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pple/Downloads/"/>
    </mc:Choice>
  </mc:AlternateContent>
  <xr:revisionPtr revIDLastSave="0" documentId="8_{222AE475-425B-C541-9666-518CABF1EB6B}" xr6:coauthVersionLast="36" xr6:coauthVersionMax="36" xr10:uidLastSave="{00000000-0000-0000-0000-000000000000}"/>
  <bookViews>
    <workbookView xWindow="28800" yWindow="-1880" windowWidth="38400" windowHeight="19700" activeTab="2" xr2:uid="{40680AF0-33EF-7048-8366-1E431F2D73B6}"/>
  </bookViews>
  <sheets>
    <sheet name=" Pivot Tables" sheetId="4" r:id="rId1"/>
    <sheet name="Data" sheetId="1" state="hidden" r:id="rId2"/>
    <sheet name="Superstore Dashboard" sheetId="3" r:id="rId3"/>
  </sheets>
  <definedNames>
    <definedName name="_xlnm._FilterDatabase" localSheetId="1" hidden="1">Data!$A$1:$X$8400</definedName>
    <definedName name="_xlchart.v1.0" hidden="1">' Pivot Tables'!$A$25:$A$37</definedName>
    <definedName name="_xlchart.v1.1" hidden="1">' Pivot Tables'!$B$24</definedName>
    <definedName name="_xlchart.v1.2" hidden="1">' Pivot Tables'!$B$25:$B$37</definedName>
    <definedName name="_xlchart.v1.3" hidden="1">' Pivot Tables'!$C$24</definedName>
    <definedName name="_xlchart.v1.4" hidden="1">' Pivot Tables'!$C$25:$C$37</definedName>
    <definedName name="Срез_Order_Year_Month">#N/A</definedName>
    <definedName name="Срез_Region">#N/A</definedName>
    <definedName name="pvtStart">' Pivot Tables'!$M$26</definedName>
  </definedNames>
  <calcPr calcId="181029"/>
  <pivotCaches>
    <pivotCache cacheId="38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4" l="1"/>
  <c r="I4" i="4"/>
  <c r="Z2" i="1" l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Z2496" i="1"/>
  <c r="Z2497" i="1"/>
  <c r="Z2498" i="1"/>
  <c r="Z2499" i="1"/>
  <c r="Z2500" i="1"/>
  <c r="Z2501" i="1"/>
  <c r="Z2502" i="1"/>
  <c r="Z2503" i="1"/>
  <c r="Z2504" i="1"/>
  <c r="Z2505" i="1"/>
  <c r="Z2506" i="1"/>
  <c r="Z2507" i="1"/>
  <c r="Z2508" i="1"/>
  <c r="Z2509" i="1"/>
  <c r="Z2510" i="1"/>
  <c r="Z2511" i="1"/>
  <c r="Z2512" i="1"/>
  <c r="Z2513" i="1"/>
  <c r="Z2514" i="1"/>
  <c r="Z2515" i="1"/>
  <c r="Z2516" i="1"/>
  <c r="Z2517" i="1"/>
  <c r="Z2518" i="1"/>
  <c r="Z2519" i="1"/>
  <c r="Z2520" i="1"/>
  <c r="Z2521" i="1"/>
  <c r="Z2522" i="1"/>
  <c r="Z2523" i="1"/>
  <c r="Z2524" i="1"/>
  <c r="Z2525" i="1"/>
  <c r="Z2526" i="1"/>
  <c r="Z2527" i="1"/>
  <c r="Z2528" i="1"/>
  <c r="Z2529" i="1"/>
  <c r="Z2530" i="1"/>
  <c r="Z2531" i="1"/>
  <c r="Z2532" i="1"/>
  <c r="Z2533" i="1"/>
  <c r="Z2534" i="1"/>
  <c r="Z2535" i="1"/>
  <c r="Z2536" i="1"/>
  <c r="Z2537" i="1"/>
  <c r="Z2538" i="1"/>
  <c r="Z2539" i="1"/>
  <c r="Z2540" i="1"/>
  <c r="Z2541" i="1"/>
  <c r="Z2542" i="1"/>
  <c r="Z2543" i="1"/>
  <c r="Z2544" i="1"/>
  <c r="Z2545" i="1"/>
  <c r="Z2546" i="1"/>
  <c r="Z2547" i="1"/>
  <c r="Z2548" i="1"/>
  <c r="Z2549" i="1"/>
  <c r="Z2550" i="1"/>
  <c r="Z2551" i="1"/>
  <c r="Z2552" i="1"/>
  <c r="Z2553" i="1"/>
  <c r="Z2554" i="1"/>
  <c r="Z2555" i="1"/>
  <c r="Z2556" i="1"/>
  <c r="Z2557" i="1"/>
  <c r="Z2558" i="1"/>
  <c r="Z2559" i="1"/>
  <c r="Z2560" i="1"/>
  <c r="Z2561" i="1"/>
  <c r="Z2562" i="1"/>
  <c r="Z2563" i="1"/>
  <c r="Z2564" i="1"/>
  <c r="Z2565" i="1"/>
  <c r="Z2566" i="1"/>
  <c r="Z2567" i="1"/>
  <c r="Z2568" i="1"/>
  <c r="Z2569" i="1"/>
  <c r="Z2570" i="1"/>
  <c r="Z2571" i="1"/>
  <c r="Z2572" i="1"/>
  <c r="Z2573" i="1"/>
  <c r="Z2574" i="1"/>
  <c r="Z2575" i="1"/>
  <c r="Z2576" i="1"/>
  <c r="Z2577" i="1"/>
  <c r="Z2578" i="1"/>
  <c r="Z2579" i="1"/>
  <c r="Z2580" i="1"/>
  <c r="Z2581" i="1"/>
  <c r="Z2582" i="1"/>
  <c r="Z2583" i="1"/>
  <c r="Z2584" i="1"/>
  <c r="Z2585" i="1"/>
  <c r="Z2586" i="1"/>
  <c r="Z2587" i="1"/>
  <c r="Z2588" i="1"/>
  <c r="Z2589" i="1"/>
  <c r="Z2590" i="1"/>
  <c r="Z2591" i="1"/>
  <c r="Z2592" i="1"/>
  <c r="Z2593" i="1"/>
  <c r="Z2594" i="1"/>
  <c r="Z2595" i="1"/>
  <c r="Z2596" i="1"/>
  <c r="Z2597" i="1"/>
  <c r="Z2598" i="1"/>
  <c r="Z2599" i="1"/>
  <c r="Z2600" i="1"/>
  <c r="Z2601" i="1"/>
  <c r="Z2602" i="1"/>
  <c r="Z2603" i="1"/>
  <c r="Z2604" i="1"/>
  <c r="Z2605" i="1"/>
  <c r="Z2606" i="1"/>
  <c r="Z2607" i="1"/>
  <c r="Z2608" i="1"/>
  <c r="Z2609" i="1"/>
  <c r="Z2610" i="1"/>
  <c r="Z2611" i="1"/>
  <c r="Z2612" i="1"/>
  <c r="Z2613" i="1"/>
  <c r="Z2614" i="1"/>
  <c r="Z2615" i="1"/>
  <c r="Z2616" i="1"/>
  <c r="Z2617" i="1"/>
  <c r="Z2618" i="1"/>
  <c r="Z2619" i="1"/>
  <c r="Z2620" i="1"/>
  <c r="Z2621" i="1"/>
  <c r="Z2622" i="1"/>
  <c r="Z2623" i="1"/>
  <c r="Z2624" i="1"/>
  <c r="Z2625" i="1"/>
  <c r="Z2626" i="1"/>
  <c r="Z2627" i="1"/>
  <c r="Z2628" i="1"/>
  <c r="Z2629" i="1"/>
  <c r="Z2630" i="1"/>
  <c r="Z2631" i="1"/>
  <c r="Z2632" i="1"/>
  <c r="Z2633" i="1"/>
  <c r="Z2634" i="1"/>
  <c r="Z2635" i="1"/>
  <c r="Z2636" i="1"/>
  <c r="Z2637" i="1"/>
  <c r="Z2638" i="1"/>
  <c r="Z2639" i="1"/>
  <c r="Z2640" i="1"/>
  <c r="Z2641" i="1"/>
  <c r="Z2642" i="1"/>
  <c r="Z2643" i="1"/>
  <c r="Z2644" i="1"/>
  <c r="Z2645" i="1"/>
  <c r="Z2646" i="1"/>
  <c r="Z2647" i="1"/>
  <c r="Z2648" i="1"/>
  <c r="Z2649" i="1"/>
  <c r="Z2650" i="1"/>
  <c r="Z2651" i="1"/>
  <c r="Z2652" i="1"/>
  <c r="Z2653" i="1"/>
  <c r="Z2654" i="1"/>
  <c r="Z2655" i="1"/>
  <c r="Z2656" i="1"/>
  <c r="Z2657" i="1"/>
  <c r="Z2658" i="1"/>
  <c r="Z2659" i="1"/>
  <c r="Z2660" i="1"/>
  <c r="Z2661" i="1"/>
  <c r="Z2662" i="1"/>
  <c r="Z2663" i="1"/>
  <c r="Z2664" i="1"/>
  <c r="Z2665" i="1"/>
  <c r="Z2666" i="1"/>
  <c r="Z2667" i="1"/>
  <c r="Z2668" i="1"/>
  <c r="Z2669" i="1"/>
  <c r="Z2670" i="1"/>
  <c r="Z2671" i="1"/>
  <c r="Z2672" i="1"/>
  <c r="Z2673" i="1"/>
  <c r="Z2674" i="1"/>
  <c r="Z2675" i="1"/>
  <c r="Z2676" i="1"/>
  <c r="Z2677" i="1"/>
  <c r="Z2678" i="1"/>
  <c r="Z2679" i="1"/>
  <c r="Z2680" i="1"/>
  <c r="Z2681" i="1"/>
  <c r="Z2682" i="1"/>
  <c r="Z2683" i="1"/>
  <c r="Z2684" i="1"/>
  <c r="Z2685" i="1"/>
  <c r="Z2686" i="1"/>
  <c r="Z2687" i="1"/>
  <c r="Z2688" i="1"/>
  <c r="Z2689" i="1"/>
  <c r="Z2690" i="1"/>
  <c r="Z2691" i="1"/>
  <c r="Z2692" i="1"/>
  <c r="Z2693" i="1"/>
  <c r="Z2694" i="1"/>
  <c r="Z2695" i="1"/>
  <c r="Z2696" i="1"/>
  <c r="Z2697" i="1"/>
  <c r="Z2698" i="1"/>
  <c r="Z2699" i="1"/>
  <c r="Z2700" i="1"/>
  <c r="Z2701" i="1"/>
  <c r="Z2702" i="1"/>
  <c r="Z2703" i="1"/>
  <c r="Z2704" i="1"/>
  <c r="Z2705" i="1"/>
  <c r="Z2706" i="1"/>
  <c r="Z2707" i="1"/>
  <c r="Z2708" i="1"/>
  <c r="Z2709" i="1"/>
  <c r="Z2710" i="1"/>
  <c r="Z2711" i="1"/>
  <c r="Z2712" i="1"/>
  <c r="Z2713" i="1"/>
  <c r="Z2714" i="1"/>
  <c r="Z2715" i="1"/>
  <c r="Z2716" i="1"/>
  <c r="Z2717" i="1"/>
  <c r="Z2718" i="1"/>
  <c r="Z2719" i="1"/>
  <c r="Z2720" i="1"/>
  <c r="Z2721" i="1"/>
  <c r="Z2722" i="1"/>
  <c r="Z2723" i="1"/>
  <c r="Z2724" i="1"/>
  <c r="Z2725" i="1"/>
  <c r="Z2726" i="1"/>
  <c r="Z2727" i="1"/>
  <c r="Z2728" i="1"/>
  <c r="Z2729" i="1"/>
  <c r="Z2730" i="1"/>
  <c r="Z2731" i="1"/>
  <c r="Z2732" i="1"/>
  <c r="Z2733" i="1"/>
  <c r="Z2734" i="1"/>
  <c r="Z2735" i="1"/>
  <c r="Z2736" i="1"/>
  <c r="Z2737" i="1"/>
  <c r="Z2738" i="1"/>
  <c r="Z2739" i="1"/>
  <c r="Z2740" i="1"/>
  <c r="Z2741" i="1"/>
  <c r="Z2742" i="1"/>
  <c r="Z2743" i="1"/>
  <c r="Z2744" i="1"/>
  <c r="Z2745" i="1"/>
  <c r="Z2746" i="1"/>
  <c r="Z2747" i="1"/>
  <c r="Z2748" i="1"/>
  <c r="Z2749" i="1"/>
  <c r="Z2750" i="1"/>
  <c r="Z2751" i="1"/>
  <c r="Z2752" i="1"/>
  <c r="Z2753" i="1"/>
  <c r="Z2754" i="1"/>
  <c r="Z2755" i="1"/>
  <c r="Z2756" i="1"/>
  <c r="Z2757" i="1"/>
  <c r="Z2758" i="1"/>
  <c r="Z2759" i="1"/>
  <c r="Z2760" i="1"/>
  <c r="Z2761" i="1"/>
  <c r="Z2762" i="1"/>
  <c r="Z2763" i="1"/>
  <c r="Z2764" i="1"/>
  <c r="Z2765" i="1"/>
  <c r="Z2766" i="1"/>
  <c r="Z2767" i="1"/>
  <c r="Z2768" i="1"/>
  <c r="Z2769" i="1"/>
  <c r="Z2770" i="1"/>
  <c r="Z2771" i="1"/>
  <c r="Z2772" i="1"/>
  <c r="Z2773" i="1"/>
  <c r="Z2774" i="1"/>
  <c r="Z2775" i="1"/>
  <c r="Z2776" i="1"/>
  <c r="Z2777" i="1"/>
  <c r="Z2778" i="1"/>
  <c r="Z2779" i="1"/>
  <c r="Z2780" i="1"/>
  <c r="Z2781" i="1"/>
  <c r="Z2782" i="1"/>
  <c r="Z2783" i="1"/>
  <c r="Z2784" i="1"/>
  <c r="Z2785" i="1"/>
  <c r="Z2786" i="1"/>
  <c r="Z2787" i="1"/>
  <c r="Z2788" i="1"/>
  <c r="Z2789" i="1"/>
  <c r="Z2790" i="1"/>
  <c r="Z2791" i="1"/>
  <c r="Z2792" i="1"/>
  <c r="Z2793" i="1"/>
  <c r="Z2794" i="1"/>
  <c r="Z2795" i="1"/>
  <c r="Z2796" i="1"/>
  <c r="Z2797" i="1"/>
  <c r="Z2798" i="1"/>
  <c r="Z2799" i="1"/>
  <c r="Z2800" i="1"/>
  <c r="Z2801" i="1"/>
  <c r="Z2802" i="1"/>
  <c r="Z2803" i="1"/>
  <c r="Z2804" i="1"/>
  <c r="Z2805" i="1"/>
  <c r="Z2806" i="1"/>
  <c r="Z2807" i="1"/>
  <c r="Z2808" i="1"/>
  <c r="Z2809" i="1"/>
  <c r="Z2810" i="1"/>
  <c r="Z2811" i="1"/>
  <c r="Z2812" i="1"/>
  <c r="Z2813" i="1"/>
  <c r="Z2814" i="1"/>
  <c r="Z2815" i="1"/>
  <c r="Z2816" i="1"/>
  <c r="Z2817" i="1"/>
  <c r="Z2818" i="1"/>
  <c r="Z2819" i="1"/>
  <c r="Z2820" i="1"/>
  <c r="Z2821" i="1"/>
  <c r="Z2822" i="1"/>
  <c r="Z2823" i="1"/>
  <c r="Z2824" i="1"/>
  <c r="Z2825" i="1"/>
  <c r="Z2826" i="1"/>
  <c r="Z2827" i="1"/>
  <c r="Z2828" i="1"/>
  <c r="Z2829" i="1"/>
  <c r="Z2830" i="1"/>
  <c r="Z2831" i="1"/>
  <c r="Z2832" i="1"/>
  <c r="Z2833" i="1"/>
  <c r="Z2834" i="1"/>
  <c r="Z2835" i="1"/>
  <c r="Z2836" i="1"/>
  <c r="Z2837" i="1"/>
  <c r="Z2838" i="1"/>
  <c r="Z2839" i="1"/>
  <c r="Z2840" i="1"/>
  <c r="Z2841" i="1"/>
  <c r="Z2842" i="1"/>
  <c r="Z2843" i="1"/>
  <c r="Z2844" i="1"/>
  <c r="Z2845" i="1"/>
  <c r="Z2846" i="1"/>
  <c r="Z2847" i="1"/>
  <c r="Z2848" i="1"/>
  <c r="Z2849" i="1"/>
  <c r="Z2850" i="1"/>
  <c r="Z2851" i="1"/>
  <c r="Z2852" i="1"/>
  <c r="Z2853" i="1"/>
  <c r="Z2854" i="1"/>
  <c r="Z2855" i="1"/>
  <c r="Z2856" i="1"/>
  <c r="Z2857" i="1"/>
  <c r="Z2858" i="1"/>
  <c r="Z2859" i="1"/>
  <c r="Z2860" i="1"/>
  <c r="Z2861" i="1"/>
  <c r="Z2862" i="1"/>
  <c r="Z2863" i="1"/>
  <c r="Z2864" i="1"/>
  <c r="Z2865" i="1"/>
  <c r="Z2866" i="1"/>
  <c r="Z2867" i="1"/>
  <c r="Z2868" i="1"/>
  <c r="Z2869" i="1"/>
  <c r="Z2870" i="1"/>
  <c r="Z2871" i="1"/>
  <c r="Z2872" i="1"/>
  <c r="Z2873" i="1"/>
  <c r="Z2874" i="1"/>
  <c r="Z2875" i="1"/>
  <c r="Z2876" i="1"/>
  <c r="Z2877" i="1"/>
  <c r="Z2878" i="1"/>
  <c r="Z2879" i="1"/>
  <c r="Z2880" i="1"/>
  <c r="Z2881" i="1"/>
  <c r="Z2882" i="1"/>
  <c r="Z2883" i="1"/>
  <c r="Z2884" i="1"/>
  <c r="Z2885" i="1"/>
  <c r="Z2886" i="1"/>
  <c r="Z2887" i="1"/>
  <c r="Z2888" i="1"/>
  <c r="Z2889" i="1"/>
  <c r="Z2890" i="1"/>
  <c r="Z2891" i="1"/>
  <c r="Z2892" i="1"/>
  <c r="Z2893" i="1"/>
  <c r="Z2894" i="1"/>
  <c r="Z2895" i="1"/>
  <c r="Z2896" i="1"/>
  <c r="Z2897" i="1"/>
  <c r="Z2898" i="1"/>
  <c r="Z2899" i="1"/>
  <c r="Z2900" i="1"/>
  <c r="Z2901" i="1"/>
  <c r="Z2902" i="1"/>
  <c r="Z2903" i="1"/>
  <c r="Z2904" i="1"/>
  <c r="Z2905" i="1"/>
  <c r="Z2906" i="1"/>
  <c r="Z2907" i="1"/>
  <c r="Z2908" i="1"/>
  <c r="Z2909" i="1"/>
  <c r="Z2910" i="1"/>
  <c r="Z2911" i="1"/>
  <c r="Z2912" i="1"/>
  <c r="Z2913" i="1"/>
  <c r="Z2914" i="1"/>
  <c r="Z2915" i="1"/>
  <c r="Z2916" i="1"/>
  <c r="Z2917" i="1"/>
  <c r="Z2918" i="1"/>
  <c r="Z2919" i="1"/>
  <c r="Z2920" i="1"/>
  <c r="Z2921" i="1"/>
  <c r="Z2922" i="1"/>
  <c r="Z2923" i="1"/>
  <c r="Z2924" i="1"/>
  <c r="Z2925" i="1"/>
  <c r="Z2926" i="1"/>
  <c r="Z2927" i="1"/>
  <c r="Z2928" i="1"/>
  <c r="Z2929" i="1"/>
  <c r="Z2930" i="1"/>
  <c r="Z2931" i="1"/>
  <c r="Z2932" i="1"/>
  <c r="Z2933" i="1"/>
  <c r="Z2934" i="1"/>
  <c r="Z2935" i="1"/>
  <c r="Z2936" i="1"/>
  <c r="Z2937" i="1"/>
  <c r="Z2938" i="1"/>
  <c r="Z2939" i="1"/>
  <c r="Z2940" i="1"/>
  <c r="Z2941" i="1"/>
  <c r="Z2942" i="1"/>
  <c r="Z2943" i="1"/>
  <c r="Z2944" i="1"/>
  <c r="Z2945" i="1"/>
  <c r="Z2946" i="1"/>
  <c r="Z2947" i="1"/>
  <c r="Z2948" i="1"/>
  <c r="Z2949" i="1"/>
  <c r="Z2950" i="1"/>
  <c r="Z2951" i="1"/>
  <c r="Z2952" i="1"/>
  <c r="Z2953" i="1"/>
  <c r="Z2954" i="1"/>
  <c r="Z2955" i="1"/>
  <c r="Z2956" i="1"/>
  <c r="Z2957" i="1"/>
  <c r="Z2958" i="1"/>
  <c r="Z2959" i="1"/>
  <c r="Z2960" i="1"/>
  <c r="Z2961" i="1"/>
  <c r="Z2962" i="1"/>
  <c r="Z2963" i="1"/>
  <c r="Z2964" i="1"/>
  <c r="Z2965" i="1"/>
  <c r="Z2966" i="1"/>
  <c r="Z2967" i="1"/>
  <c r="Z2968" i="1"/>
  <c r="Z2969" i="1"/>
  <c r="Z2970" i="1"/>
  <c r="Z2971" i="1"/>
  <c r="Z2972" i="1"/>
  <c r="Z2973" i="1"/>
  <c r="Z2974" i="1"/>
  <c r="Z2975" i="1"/>
  <c r="Z2976" i="1"/>
  <c r="Z2977" i="1"/>
  <c r="Z2978" i="1"/>
  <c r="Z2979" i="1"/>
  <c r="Z2980" i="1"/>
  <c r="Z2981" i="1"/>
  <c r="Z2982" i="1"/>
  <c r="Z2983" i="1"/>
  <c r="Z2984" i="1"/>
  <c r="Z2985" i="1"/>
  <c r="Z2986" i="1"/>
  <c r="Z2987" i="1"/>
  <c r="Z2988" i="1"/>
  <c r="Z2989" i="1"/>
  <c r="Z2990" i="1"/>
  <c r="Z2991" i="1"/>
  <c r="Z2992" i="1"/>
  <c r="Z2993" i="1"/>
  <c r="Z2994" i="1"/>
  <c r="Z2995" i="1"/>
  <c r="Z2996" i="1"/>
  <c r="Z2997" i="1"/>
  <c r="Z2998" i="1"/>
  <c r="Z2999" i="1"/>
  <c r="Z3000" i="1"/>
  <c r="Z3001" i="1"/>
  <c r="Z3002" i="1"/>
  <c r="Z3003" i="1"/>
  <c r="Z3004" i="1"/>
  <c r="Z3005" i="1"/>
  <c r="Z3006" i="1"/>
  <c r="Z3007" i="1"/>
  <c r="Z3008" i="1"/>
  <c r="Z3009" i="1"/>
  <c r="Z3010" i="1"/>
  <c r="Z3011" i="1"/>
  <c r="Z3012" i="1"/>
  <c r="Z3013" i="1"/>
  <c r="Z3014" i="1"/>
  <c r="Z3015" i="1"/>
  <c r="Z3016" i="1"/>
  <c r="Z3017" i="1"/>
  <c r="Z3018" i="1"/>
  <c r="Z3019" i="1"/>
  <c r="Z3020" i="1"/>
  <c r="Z3021" i="1"/>
  <c r="Z3022" i="1"/>
  <c r="Z3023" i="1"/>
  <c r="Z3024" i="1"/>
  <c r="Z3025" i="1"/>
  <c r="Z3026" i="1"/>
  <c r="Z3027" i="1"/>
  <c r="Z3028" i="1"/>
  <c r="Z3029" i="1"/>
  <c r="Z3030" i="1"/>
  <c r="Z3031" i="1"/>
  <c r="Z3032" i="1"/>
  <c r="Z3033" i="1"/>
  <c r="Z3034" i="1"/>
  <c r="Z3035" i="1"/>
  <c r="Z3036" i="1"/>
  <c r="Z3037" i="1"/>
  <c r="Z3038" i="1"/>
  <c r="Z3039" i="1"/>
  <c r="Z3040" i="1"/>
  <c r="Z3041" i="1"/>
  <c r="Z3042" i="1"/>
  <c r="Z3043" i="1"/>
  <c r="Z3044" i="1"/>
  <c r="Z3045" i="1"/>
  <c r="Z3046" i="1"/>
  <c r="Z3047" i="1"/>
  <c r="Z3048" i="1"/>
  <c r="Z3049" i="1"/>
  <c r="Z3050" i="1"/>
  <c r="Z3051" i="1"/>
  <c r="Z3052" i="1"/>
  <c r="Z3053" i="1"/>
  <c r="Z3054" i="1"/>
  <c r="Z3055" i="1"/>
  <c r="Z3056" i="1"/>
  <c r="Z3057" i="1"/>
  <c r="Z3058" i="1"/>
  <c r="Z3059" i="1"/>
  <c r="Z3060" i="1"/>
  <c r="Z3061" i="1"/>
  <c r="Z3062" i="1"/>
  <c r="Z3063" i="1"/>
  <c r="Z3064" i="1"/>
  <c r="Z3065" i="1"/>
  <c r="Z3066" i="1"/>
  <c r="Z3067" i="1"/>
  <c r="Z3068" i="1"/>
  <c r="Z3069" i="1"/>
  <c r="Z3070" i="1"/>
  <c r="Z3071" i="1"/>
  <c r="Z3072" i="1"/>
  <c r="Z3073" i="1"/>
  <c r="Z3074" i="1"/>
  <c r="Z3075" i="1"/>
  <c r="Z3076" i="1"/>
  <c r="Z3077" i="1"/>
  <c r="Z3078" i="1"/>
  <c r="Z3079" i="1"/>
  <c r="Z3080" i="1"/>
  <c r="Z3081" i="1"/>
  <c r="Z3082" i="1"/>
  <c r="Z3083" i="1"/>
  <c r="Z3084" i="1"/>
  <c r="Z3085" i="1"/>
  <c r="Z3086" i="1"/>
  <c r="Z3087" i="1"/>
  <c r="Z3088" i="1"/>
  <c r="Z3089" i="1"/>
  <c r="Z3090" i="1"/>
  <c r="Z3091" i="1"/>
  <c r="Z3092" i="1"/>
  <c r="Z3093" i="1"/>
  <c r="Z3094" i="1"/>
  <c r="Z3095" i="1"/>
  <c r="Z3096" i="1"/>
  <c r="Z3097" i="1"/>
  <c r="Z3098" i="1"/>
  <c r="Z3099" i="1"/>
  <c r="Z3100" i="1"/>
  <c r="Z3101" i="1"/>
  <c r="Z3102" i="1"/>
  <c r="Z3103" i="1"/>
  <c r="Z3104" i="1"/>
  <c r="Z3105" i="1"/>
  <c r="Z3106" i="1"/>
  <c r="Z3107" i="1"/>
  <c r="Z3108" i="1"/>
  <c r="Z3109" i="1"/>
  <c r="Z3110" i="1"/>
  <c r="Z3111" i="1"/>
  <c r="Z3112" i="1"/>
  <c r="Z3113" i="1"/>
  <c r="Z3114" i="1"/>
  <c r="Z3115" i="1"/>
  <c r="Z3116" i="1"/>
  <c r="Z3117" i="1"/>
  <c r="Z3118" i="1"/>
  <c r="Z3119" i="1"/>
  <c r="Z3120" i="1"/>
  <c r="Z3121" i="1"/>
  <c r="Z3122" i="1"/>
  <c r="Z3123" i="1"/>
  <c r="Z3124" i="1"/>
  <c r="Z3125" i="1"/>
  <c r="Z3126" i="1"/>
  <c r="Z3127" i="1"/>
  <c r="Z3128" i="1"/>
  <c r="Z3129" i="1"/>
  <c r="Z3130" i="1"/>
  <c r="Z3131" i="1"/>
  <c r="Z3132" i="1"/>
  <c r="Z3133" i="1"/>
  <c r="Z3134" i="1"/>
  <c r="Z3135" i="1"/>
  <c r="Z3136" i="1"/>
  <c r="Z3137" i="1"/>
  <c r="Z3138" i="1"/>
  <c r="Z3139" i="1"/>
  <c r="Z3140" i="1"/>
  <c r="Z3141" i="1"/>
  <c r="Z3142" i="1"/>
  <c r="Z3143" i="1"/>
  <c r="Z3144" i="1"/>
  <c r="Z3145" i="1"/>
  <c r="Z3146" i="1"/>
  <c r="Z3147" i="1"/>
  <c r="Z3148" i="1"/>
  <c r="Z3149" i="1"/>
  <c r="Z3150" i="1"/>
  <c r="Z3151" i="1"/>
  <c r="Z3152" i="1"/>
  <c r="Z3153" i="1"/>
  <c r="Z3154" i="1"/>
  <c r="Z3155" i="1"/>
  <c r="Z3156" i="1"/>
  <c r="Z3157" i="1"/>
  <c r="Z3158" i="1"/>
  <c r="Z3159" i="1"/>
  <c r="Z3160" i="1"/>
  <c r="Z3161" i="1"/>
  <c r="Z3162" i="1"/>
  <c r="Z3163" i="1"/>
  <c r="Z3164" i="1"/>
  <c r="Z3165" i="1"/>
  <c r="Z3166" i="1"/>
  <c r="Z3167" i="1"/>
  <c r="Z3168" i="1"/>
  <c r="Z3169" i="1"/>
  <c r="Z3170" i="1"/>
  <c r="Z3171" i="1"/>
  <c r="Z3172" i="1"/>
  <c r="Z3173" i="1"/>
  <c r="Z3174" i="1"/>
  <c r="Z3175" i="1"/>
  <c r="Z3176" i="1"/>
  <c r="Z3177" i="1"/>
  <c r="Z3178" i="1"/>
  <c r="Z3179" i="1"/>
  <c r="Z3180" i="1"/>
  <c r="Z3181" i="1"/>
  <c r="Z3182" i="1"/>
  <c r="Z3183" i="1"/>
  <c r="Z3184" i="1"/>
  <c r="Z3185" i="1"/>
  <c r="Z3186" i="1"/>
  <c r="Z3187" i="1"/>
  <c r="Z3188" i="1"/>
  <c r="Z3189" i="1"/>
  <c r="Z3190" i="1"/>
  <c r="Z3191" i="1"/>
  <c r="Z3192" i="1"/>
  <c r="Z3193" i="1"/>
  <c r="Z3194" i="1"/>
  <c r="Z3195" i="1"/>
  <c r="Z3196" i="1"/>
  <c r="Z3197" i="1"/>
  <c r="Z3198" i="1"/>
  <c r="Z3199" i="1"/>
  <c r="Z3200" i="1"/>
  <c r="Z3201" i="1"/>
  <c r="Z3202" i="1"/>
  <c r="Z3203" i="1"/>
  <c r="Z3204" i="1"/>
  <c r="Z3205" i="1"/>
  <c r="Z3206" i="1"/>
  <c r="Z3207" i="1"/>
  <c r="Z3208" i="1"/>
  <c r="Z3209" i="1"/>
  <c r="Z3210" i="1"/>
  <c r="Z3211" i="1"/>
  <c r="Z3212" i="1"/>
  <c r="Z3213" i="1"/>
  <c r="Z3214" i="1"/>
  <c r="Z3215" i="1"/>
  <c r="Z3216" i="1"/>
  <c r="Z3217" i="1"/>
  <c r="Z3218" i="1"/>
  <c r="Z3219" i="1"/>
  <c r="Z3220" i="1"/>
  <c r="Z3221" i="1"/>
  <c r="Z3222" i="1"/>
  <c r="Z3223" i="1"/>
  <c r="Z3224" i="1"/>
  <c r="Z3225" i="1"/>
  <c r="Z3226" i="1"/>
  <c r="Z3227" i="1"/>
  <c r="Z3228" i="1"/>
  <c r="Z3229" i="1"/>
  <c r="Z3230" i="1"/>
  <c r="Z3231" i="1"/>
  <c r="Z3232" i="1"/>
  <c r="Z3233" i="1"/>
  <c r="Z3234" i="1"/>
  <c r="Z3235" i="1"/>
  <c r="Z3236" i="1"/>
  <c r="Z3237" i="1"/>
  <c r="Z3238" i="1"/>
  <c r="Z3239" i="1"/>
  <c r="Z3240" i="1"/>
  <c r="Z3241" i="1"/>
  <c r="Z3242" i="1"/>
  <c r="Z3243" i="1"/>
  <c r="Z3244" i="1"/>
  <c r="Z3245" i="1"/>
  <c r="Z3246" i="1"/>
  <c r="Z3247" i="1"/>
  <c r="Z3248" i="1"/>
  <c r="Z3249" i="1"/>
  <c r="Z3250" i="1"/>
  <c r="Z3251" i="1"/>
  <c r="Z3252" i="1"/>
  <c r="Z3253" i="1"/>
  <c r="Z3254" i="1"/>
  <c r="Z3255" i="1"/>
  <c r="Z3256" i="1"/>
  <c r="Z3257" i="1"/>
  <c r="Z3258" i="1"/>
  <c r="Z3259" i="1"/>
  <c r="Z3260" i="1"/>
  <c r="Z3261" i="1"/>
  <c r="Z3262" i="1"/>
  <c r="Z3263" i="1"/>
  <c r="Z3264" i="1"/>
  <c r="Z3265" i="1"/>
  <c r="Z3266" i="1"/>
  <c r="Z3267" i="1"/>
  <c r="Z3268" i="1"/>
  <c r="Z3269" i="1"/>
  <c r="Z3270" i="1"/>
  <c r="Z3271" i="1"/>
  <c r="Z3272" i="1"/>
  <c r="Z3273" i="1"/>
  <c r="Z3274" i="1"/>
  <c r="Z3275" i="1"/>
  <c r="Z3276" i="1"/>
  <c r="Z3277" i="1"/>
  <c r="Z3278" i="1"/>
  <c r="Z3279" i="1"/>
  <c r="Z3280" i="1"/>
  <c r="Z3281" i="1"/>
  <c r="Z3282" i="1"/>
  <c r="Z3283" i="1"/>
  <c r="Z3284" i="1"/>
  <c r="Z3285" i="1"/>
  <c r="Z3286" i="1"/>
  <c r="Z3287" i="1"/>
  <c r="Z3288" i="1"/>
  <c r="Z3289" i="1"/>
  <c r="Z3290" i="1"/>
  <c r="Z3291" i="1"/>
  <c r="Z3292" i="1"/>
  <c r="Z3293" i="1"/>
  <c r="Z3294" i="1"/>
  <c r="Z3295" i="1"/>
  <c r="Z3296" i="1"/>
  <c r="Z3297" i="1"/>
  <c r="Z3298" i="1"/>
  <c r="Z3299" i="1"/>
  <c r="Z3300" i="1"/>
  <c r="Z3301" i="1"/>
  <c r="Z3302" i="1"/>
  <c r="Z3303" i="1"/>
  <c r="Z3304" i="1"/>
  <c r="Z3305" i="1"/>
  <c r="Z3306" i="1"/>
  <c r="Z3307" i="1"/>
  <c r="Z3308" i="1"/>
  <c r="Z3309" i="1"/>
  <c r="Z3310" i="1"/>
  <c r="Z3311" i="1"/>
  <c r="Z3312" i="1"/>
  <c r="Z3313" i="1"/>
  <c r="Z3314" i="1"/>
  <c r="Z3315" i="1"/>
  <c r="Z3316" i="1"/>
  <c r="Z3317" i="1"/>
  <c r="Z3318" i="1"/>
  <c r="Z3319" i="1"/>
  <c r="Z3320" i="1"/>
  <c r="Z3321" i="1"/>
  <c r="Z3322" i="1"/>
  <c r="Z3323" i="1"/>
  <c r="Z3324" i="1"/>
  <c r="Z3325" i="1"/>
  <c r="Z3326" i="1"/>
  <c r="Z3327" i="1"/>
  <c r="Z3328" i="1"/>
  <c r="Z3329" i="1"/>
  <c r="Z3330" i="1"/>
  <c r="Z3331" i="1"/>
  <c r="Z3332" i="1"/>
  <c r="Z3333" i="1"/>
  <c r="Z3334" i="1"/>
  <c r="Z3335" i="1"/>
  <c r="Z3336" i="1"/>
  <c r="Z3337" i="1"/>
  <c r="Z3338" i="1"/>
  <c r="Z3339" i="1"/>
  <c r="Z3340" i="1"/>
  <c r="Z3341" i="1"/>
  <c r="Z3342" i="1"/>
  <c r="Z3343" i="1"/>
  <c r="Z3344" i="1"/>
  <c r="Z3345" i="1"/>
  <c r="Z3346" i="1"/>
  <c r="Z3347" i="1"/>
  <c r="Z3348" i="1"/>
  <c r="Z3349" i="1"/>
  <c r="Z3350" i="1"/>
  <c r="Z3351" i="1"/>
  <c r="Z3352" i="1"/>
  <c r="Z3353" i="1"/>
  <c r="Z3354" i="1"/>
  <c r="Z3355" i="1"/>
  <c r="Z3356" i="1"/>
  <c r="Z3357" i="1"/>
  <c r="Z3358" i="1"/>
  <c r="Z3359" i="1"/>
  <c r="Z3360" i="1"/>
  <c r="Z3361" i="1"/>
  <c r="Z3362" i="1"/>
  <c r="Z3363" i="1"/>
  <c r="Z3364" i="1"/>
  <c r="Z3365" i="1"/>
  <c r="Z3366" i="1"/>
  <c r="Z3367" i="1"/>
  <c r="Z3368" i="1"/>
  <c r="Z3369" i="1"/>
  <c r="Z3370" i="1"/>
  <c r="Z3371" i="1"/>
  <c r="Z3372" i="1"/>
  <c r="Z3373" i="1"/>
  <c r="Z3374" i="1"/>
  <c r="Z3375" i="1"/>
  <c r="Z3376" i="1"/>
  <c r="Z3377" i="1"/>
  <c r="Z3378" i="1"/>
  <c r="Z3379" i="1"/>
  <c r="Z3380" i="1"/>
  <c r="Z3381" i="1"/>
  <c r="Z3382" i="1"/>
  <c r="Z3383" i="1"/>
  <c r="Z3384" i="1"/>
  <c r="Z3385" i="1"/>
  <c r="Z3386" i="1"/>
  <c r="Z3387" i="1"/>
  <c r="Z3388" i="1"/>
  <c r="Z3389" i="1"/>
  <c r="Z3390" i="1"/>
  <c r="Z3391" i="1"/>
  <c r="Z3392" i="1"/>
  <c r="Z3393" i="1"/>
  <c r="Z3394" i="1"/>
  <c r="Z3395" i="1"/>
  <c r="Z3396" i="1"/>
  <c r="Z3397" i="1"/>
  <c r="Z3398" i="1"/>
  <c r="Z3399" i="1"/>
  <c r="Z3400" i="1"/>
  <c r="Z3401" i="1"/>
  <c r="Z3402" i="1"/>
  <c r="Z3403" i="1"/>
  <c r="Z3404" i="1"/>
  <c r="Z3405" i="1"/>
  <c r="Z3406" i="1"/>
  <c r="Z3407" i="1"/>
  <c r="Z3408" i="1"/>
  <c r="Z3409" i="1"/>
  <c r="Z3410" i="1"/>
  <c r="Z3411" i="1"/>
  <c r="Z3412" i="1"/>
  <c r="Z3413" i="1"/>
  <c r="Z3414" i="1"/>
  <c r="Z3415" i="1"/>
  <c r="Z3416" i="1"/>
  <c r="Z3417" i="1"/>
  <c r="Z3418" i="1"/>
  <c r="Z3419" i="1"/>
  <c r="Z3420" i="1"/>
  <c r="Z3421" i="1"/>
  <c r="Z3422" i="1"/>
  <c r="Z3423" i="1"/>
  <c r="Z3424" i="1"/>
  <c r="Z3425" i="1"/>
  <c r="Z3426" i="1"/>
  <c r="Z3427" i="1"/>
  <c r="Z3428" i="1"/>
  <c r="Z3429" i="1"/>
  <c r="Z3430" i="1"/>
  <c r="Z3431" i="1"/>
  <c r="Z3432" i="1"/>
  <c r="Z3433" i="1"/>
  <c r="Z3434" i="1"/>
  <c r="Z3435" i="1"/>
  <c r="Z3436" i="1"/>
  <c r="Z3437" i="1"/>
  <c r="Z3438" i="1"/>
  <c r="Z3439" i="1"/>
  <c r="Z3440" i="1"/>
  <c r="Z3441" i="1"/>
  <c r="Z3442" i="1"/>
  <c r="Z3443" i="1"/>
  <c r="Z3444" i="1"/>
  <c r="Z3445" i="1"/>
  <c r="Z3446" i="1"/>
  <c r="Z3447" i="1"/>
  <c r="Z3448" i="1"/>
  <c r="Z3449" i="1"/>
  <c r="Z3450" i="1"/>
  <c r="Z3451" i="1"/>
  <c r="Z3452" i="1"/>
  <c r="Z3453" i="1"/>
  <c r="Z3454" i="1"/>
  <c r="Z3455" i="1"/>
  <c r="Z3456" i="1"/>
  <c r="Z3457" i="1"/>
  <c r="Z3458" i="1"/>
  <c r="Z3459" i="1"/>
  <c r="Z3460" i="1"/>
  <c r="Z3461" i="1"/>
  <c r="Z3462" i="1"/>
  <c r="Z3463" i="1"/>
  <c r="Z3464" i="1"/>
  <c r="Z3465" i="1"/>
  <c r="Z3466" i="1"/>
  <c r="Z3467" i="1"/>
  <c r="Z3468" i="1"/>
  <c r="Z3469" i="1"/>
  <c r="Z3470" i="1"/>
  <c r="Z3471" i="1"/>
  <c r="Z3472" i="1"/>
  <c r="Z3473" i="1"/>
  <c r="Z3474" i="1"/>
  <c r="Z3475" i="1"/>
  <c r="Z3476" i="1"/>
  <c r="Z3477" i="1"/>
  <c r="Z3478" i="1"/>
  <c r="Z3479" i="1"/>
  <c r="Z3480" i="1"/>
  <c r="Z3481" i="1"/>
  <c r="Z3482" i="1"/>
  <c r="Z3483" i="1"/>
  <c r="Z3484" i="1"/>
  <c r="Z3485" i="1"/>
  <c r="Z3486" i="1"/>
  <c r="Z3487" i="1"/>
  <c r="Z3488" i="1"/>
  <c r="Z3489" i="1"/>
  <c r="Z3490" i="1"/>
  <c r="Z3491" i="1"/>
  <c r="Z3492" i="1"/>
  <c r="Z3493" i="1"/>
  <c r="Z3494" i="1"/>
  <c r="Z3495" i="1"/>
  <c r="Z3496" i="1"/>
  <c r="Z3497" i="1"/>
  <c r="Z3498" i="1"/>
  <c r="Z3499" i="1"/>
  <c r="Z3500" i="1"/>
  <c r="Z3501" i="1"/>
  <c r="Z3502" i="1"/>
  <c r="Z3503" i="1"/>
  <c r="Z3504" i="1"/>
  <c r="Z3505" i="1"/>
  <c r="Z3506" i="1"/>
  <c r="Z3507" i="1"/>
  <c r="Z3508" i="1"/>
  <c r="Z3509" i="1"/>
  <c r="Z3510" i="1"/>
  <c r="Z3511" i="1"/>
  <c r="Z3512" i="1"/>
  <c r="Z3513" i="1"/>
  <c r="Z3514" i="1"/>
  <c r="Z3515" i="1"/>
  <c r="Z3516" i="1"/>
  <c r="Z3517" i="1"/>
  <c r="Z3518" i="1"/>
  <c r="Z3519" i="1"/>
  <c r="Z3520" i="1"/>
  <c r="Z3521" i="1"/>
  <c r="Z3522" i="1"/>
  <c r="Z3523" i="1"/>
  <c r="Z3524" i="1"/>
  <c r="Z3525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Z3558" i="1"/>
  <c r="Z3559" i="1"/>
  <c r="Z3560" i="1"/>
  <c r="Z3561" i="1"/>
  <c r="Z3562" i="1"/>
  <c r="Z3563" i="1"/>
  <c r="Z3564" i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Z3997" i="1"/>
  <c r="Z3998" i="1"/>
  <c r="Z3999" i="1"/>
  <c r="Z4000" i="1"/>
  <c r="Z4001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Z4999" i="1"/>
  <c r="Z5000" i="1"/>
  <c r="Z5001" i="1"/>
  <c r="Z5002" i="1"/>
  <c r="Z5003" i="1"/>
  <c r="Z5004" i="1"/>
  <c r="Z5005" i="1"/>
  <c r="Z5006" i="1"/>
  <c r="Z5007" i="1"/>
  <c r="Z5008" i="1"/>
  <c r="Z5009" i="1"/>
  <c r="Z5010" i="1"/>
  <c r="Z5011" i="1"/>
  <c r="Z5012" i="1"/>
  <c r="Z5013" i="1"/>
  <c r="Z5014" i="1"/>
  <c r="Z5015" i="1"/>
  <c r="Z5016" i="1"/>
  <c r="Z5017" i="1"/>
  <c r="Z5018" i="1"/>
  <c r="Z5019" i="1"/>
  <c r="Z5020" i="1"/>
  <c r="Z5021" i="1"/>
  <c r="Z5022" i="1"/>
  <c r="Z5023" i="1"/>
  <c r="Z5024" i="1"/>
  <c r="Z5025" i="1"/>
  <c r="Z5026" i="1"/>
  <c r="Z5027" i="1"/>
  <c r="Z5028" i="1"/>
  <c r="Z5029" i="1"/>
  <c r="Z5030" i="1"/>
  <c r="Z5031" i="1"/>
  <c r="Z5032" i="1"/>
  <c r="Z5033" i="1"/>
  <c r="Z5034" i="1"/>
  <c r="Z5035" i="1"/>
  <c r="Z5036" i="1"/>
  <c r="Z5037" i="1"/>
  <c r="Z5038" i="1"/>
  <c r="Z5039" i="1"/>
  <c r="Z5040" i="1"/>
  <c r="Z5041" i="1"/>
  <c r="Z5042" i="1"/>
  <c r="Z5043" i="1"/>
  <c r="Z5044" i="1"/>
  <c r="Z5045" i="1"/>
  <c r="Z5046" i="1"/>
  <c r="Z5047" i="1"/>
  <c r="Z5048" i="1"/>
  <c r="Z5049" i="1"/>
  <c r="Z5050" i="1"/>
  <c r="Z5051" i="1"/>
  <c r="Z5052" i="1"/>
  <c r="Z5053" i="1"/>
  <c r="Z5054" i="1"/>
  <c r="Z5055" i="1"/>
  <c r="Z5056" i="1"/>
  <c r="Z5057" i="1"/>
  <c r="Z5058" i="1"/>
  <c r="Z5059" i="1"/>
  <c r="Z5060" i="1"/>
  <c r="Z5061" i="1"/>
  <c r="Z5062" i="1"/>
  <c r="Z5063" i="1"/>
  <c r="Z5064" i="1"/>
  <c r="Z5065" i="1"/>
  <c r="Z5066" i="1"/>
  <c r="Z5067" i="1"/>
  <c r="Z5068" i="1"/>
  <c r="Z5069" i="1"/>
  <c r="Z5070" i="1"/>
  <c r="Z5071" i="1"/>
  <c r="Z5072" i="1"/>
  <c r="Z5073" i="1"/>
  <c r="Z5074" i="1"/>
  <c r="Z5075" i="1"/>
  <c r="Z5076" i="1"/>
  <c r="Z5077" i="1"/>
  <c r="Z5078" i="1"/>
  <c r="Z5079" i="1"/>
  <c r="Z5080" i="1"/>
  <c r="Z5081" i="1"/>
  <c r="Z5082" i="1"/>
  <c r="Z5083" i="1"/>
  <c r="Z5084" i="1"/>
  <c r="Z5085" i="1"/>
  <c r="Z5086" i="1"/>
  <c r="Z5087" i="1"/>
  <c r="Z5088" i="1"/>
  <c r="Z5089" i="1"/>
  <c r="Z5090" i="1"/>
  <c r="Z5091" i="1"/>
  <c r="Z5092" i="1"/>
  <c r="Z5093" i="1"/>
  <c r="Z5094" i="1"/>
  <c r="Z5095" i="1"/>
  <c r="Z5096" i="1"/>
  <c r="Z5097" i="1"/>
  <c r="Z5098" i="1"/>
  <c r="Z5099" i="1"/>
  <c r="Z5100" i="1"/>
  <c r="Z5101" i="1"/>
  <c r="Z5102" i="1"/>
  <c r="Z5103" i="1"/>
  <c r="Z5104" i="1"/>
  <c r="Z5105" i="1"/>
  <c r="Z5106" i="1"/>
  <c r="Z5107" i="1"/>
  <c r="Z5108" i="1"/>
  <c r="Z5109" i="1"/>
  <c r="Z5110" i="1"/>
  <c r="Z5111" i="1"/>
  <c r="Z5112" i="1"/>
  <c r="Z5113" i="1"/>
  <c r="Z5114" i="1"/>
  <c r="Z5115" i="1"/>
  <c r="Z5116" i="1"/>
  <c r="Z5117" i="1"/>
  <c r="Z5118" i="1"/>
  <c r="Z5119" i="1"/>
  <c r="Z5120" i="1"/>
  <c r="Z5121" i="1"/>
  <c r="Z5122" i="1"/>
  <c r="Z5123" i="1"/>
  <c r="Z5124" i="1"/>
  <c r="Z5125" i="1"/>
  <c r="Z5126" i="1"/>
  <c r="Z5127" i="1"/>
  <c r="Z5128" i="1"/>
  <c r="Z5129" i="1"/>
  <c r="Z5130" i="1"/>
  <c r="Z5131" i="1"/>
  <c r="Z5132" i="1"/>
  <c r="Z5133" i="1"/>
  <c r="Z5134" i="1"/>
  <c r="Z5135" i="1"/>
  <c r="Z5136" i="1"/>
  <c r="Z5137" i="1"/>
  <c r="Z5138" i="1"/>
  <c r="Z5139" i="1"/>
  <c r="Z5140" i="1"/>
  <c r="Z5141" i="1"/>
  <c r="Z5142" i="1"/>
  <c r="Z5143" i="1"/>
  <c r="Z5144" i="1"/>
  <c r="Z5145" i="1"/>
  <c r="Z5146" i="1"/>
  <c r="Z5147" i="1"/>
  <c r="Z5148" i="1"/>
  <c r="Z5149" i="1"/>
  <c r="Z5150" i="1"/>
  <c r="Z5151" i="1"/>
  <c r="Z5152" i="1"/>
  <c r="Z5153" i="1"/>
  <c r="Z5154" i="1"/>
  <c r="Z5155" i="1"/>
  <c r="Z5156" i="1"/>
  <c r="Z5157" i="1"/>
  <c r="Z5158" i="1"/>
  <c r="Z5159" i="1"/>
  <c r="Z5160" i="1"/>
  <c r="Z5161" i="1"/>
  <c r="Z5162" i="1"/>
  <c r="Z5163" i="1"/>
  <c r="Z5164" i="1"/>
  <c r="Z5165" i="1"/>
  <c r="Z5166" i="1"/>
  <c r="Z5167" i="1"/>
  <c r="Z5168" i="1"/>
  <c r="Z5169" i="1"/>
  <c r="Z5170" i="1"/>
  <c r="Z5171" i="1"/>
  <c r="Z5172" i="1"/>
  <c r="Z5173" i="1"/>
  <c r="Z5174" i="1"/>
  <c r="Z5175" i="1"/>
  <c r="Z5176" i="1"/>
  <c r="Z5177" i="1"/>
  <c r="Z5178" i="1"/>
  <c r="Z5179" i="1"/>
  <c r="Z5180" i="1"/>
  <c r="Z5181" i="1"/>
  <c r="Z5182" i="1"/>
  <c r="Z5183" i="1"/>
  <c r="Z5184" i="1"/>
  <c r="Z5185" i="1"/>
  <c r="Z5186" i="1"/>
  <c r="Z5187" i="1"/>
  <c r="Z5188" i="1"/>
  <c r="Z5189" i="1"/>
  <c r="Z5190" i="1"/>
  <c r="Z5191" i="1"/>
  <c r="Z5192" i="1"/>
  <c r="Z5193" i="1"/>
  <c r="Z5194" i="1"/>
  <c r="Z5195" i="1"/>
  <c r="Z5196" i="1"/>
  <c r="Z5197" i="1"/>
  <c r="Z5198" i="1"/>
  <c r="Z5199" i="1"/>
  <c r="Z5200" i="1"/>
  <c r="Z5201" i="1"/>
  <c r="Z5202" i="1"/>
  <c r="Z5203" i="1"/>
  <c r="Z5204" i="1"/>
  <c r="Z5205" i="1"/>
  <c r="Z5206" i="1"/>
  <c r="Z5207" i="1"/>
  <c r="Z5208" i="1"/>
  <c r="Z5209" i="1"/>
  <c r="Z5210" i="1"/>
  <c r="Z5211" i="1"/>
  <c r="Z5212" i="1"/>
  <c r="Z5213" i="1"/>
  <c r="Z5214" i="1"/>
  <c r="Z5215" i="1"/>
  <c r="Z5216" i="1"/>
  <c r="Z5217" i="1"/>
  <c r="Z5218" i="1"/>
  <c r="Z5219" i="1"/>
  <c r="Z5220" i="1"/>
  <c r="Z5221" i="1"/>
  <c r="Z5222" i="1"/>
  <c r="Z5223" i="1"/>
  <c r="Z5224" i="1"/>
  <c r="Z5225" i="1"/>
  <c r="Z5226" i="1"/>
  <c r="Z5227" i="1"/>
  <c r="Z5228" i="1"/>
  <c r="Z5229" i="1"/>
  <c r="Z5230" i="1"/>
  <c r="Z5231" i="1"/>
  <c r="Z5232" i="1"/>
  <c r="Z5233" i="1"/>
  <c r="Z5234" i="1"/>
  <c r="Z5235" i="1"/>
  <c r="Z5236" i="1"/>
  <c r="Z5237" i="1"/>
  <c r="Z5238" i="1"/>
  <c r="Z5239" i="1"/>
  <c r="Z5240" i="1"/>
  <c r="Z5241" i="1"/>
  <c r="Z5242" i="1"/>
  <c r="Z5243" i="1"/>
  <c r="Z5244" i="1"/>
  <c r="Z5245" i="1"/>
  <c r="Z5246" i="1"/>
  <c r="Z5247" i="1"/>
  <c r="Z5248" i="1"/>
  <c r="Z5249" i="1"/>
  <c r="Z5250" i="1"/>
  <c r="Z5251" i="1"/>
  <c r="Z5252" i="1"/>
  <c r="Z5253" i="1"/>
  <c r="Z5254" i="1"/>
  <c r="Z5255" i="1"/>
  <c r="Z5256" i="1"/>
  <c r="Z5257" i="1"/>
  <c r="Z5258" i="1"/>
  <c r="Z5259" i="1"/>
  <c r="Z5260" i="1"/>
  <c r="Z5261" i="1"/>
  <c r="Z5262" i="1"/>
  <c r="Z5263" i="1"/>
  <c r="Z5264" i="1"/>
  <c r="Z5265" i="1"/>
  <c r="Z5266" i="1"/>
  <c r="Z5267" i="1"/>
  <c r="Z5268" i="1"/>
  <c r="Z5269" i="1"/>
  <c r="Z5270" i="1"/>
  <c r="Z5271" i="1"/>
  <c r="Z5272" i="1"/>
  <c r="Z5273" i="1"/>
  <c r="Z5274" i="1"/>
  <c r="Z5275" i="1"/>
  <c r="Z5276" i="1"/>
  <c r="Z5277" i="1"/>
  <c r="Z5278" i="1"/>
  <c r="Z5279" i="1"/>
  <c r="Z5280" i="1"/>
  <c r="Z5281" i="1"/>
  <c r="Z5282" i="1"/>
  <c r="Z5283" i="1"/>
  <c r="Z5284" i="1"/>
  <c r="Z5285" i="1"/>
  <c r="Z5286" i="1"/>
  <c r="Z5287" i="1"/>
  <c r="Z5288" i="1"/>
  <c r="Z5289" i="1"/>
  <c r="Z5290" i="1"/>
  <c r="Z5291" i="1"/>
  <c r="Z5292" i="1"/>
  <c r="Z5293" i="1"/>
  <c r="Z5294" i="1"/>
  <c r="Z5295" i="1"/>
  <c r="Z5296" i="1"/>
  <c r="Z5297" i="1"/>
  <c r="Z5298" i="1"/>
  <c r="Z5299" i="1"/>
  <c r="Z5300" i="1"/>
  <c r="Z5301" i="1"/>
  <c r="Z5302" i="1"/>
  <c r="Z5303" i="1"/>
  <c r="Z5304" i="1"/>
  <c r="Z5305" i="1"/>
  <c r="Z5306" i="1"/>
  <c r="Z5307" i="1"/>
  <c r="Z5308" i="1"/>
  <c r="Z5309" i="1"/>
  <c r="Z5310" i="1"/>
  <c r="Z5311" i="1"/>
  <c r="Z5312" i="1"/>
  <c r="Z5313" i="1"/>
  <c r="Z5314" i="1"/>
  <c r="Z5315" i="1"/>
  <c r="Z5316" i="1"/>
  <c r="Z5317" i="1"/>
  <c r="Z5318" i="1"/>
  <c r="Z5319" i="1"/>
  <c r="Z5320" i="1"/>
  <c r="Z5321" i="1"/>
  <c r="Z5322" i="1"/>
  <c r="Z5323" i="1"/>
  <c r="Z5324" i="1"/>
  <c r="Z5325" i="1"/>
  <c r="Z5326" i="1"/>
  <c r="Z5327" i="1"/>
  <c r="Z5328" i="1"/>
  <c r="Z5329" i="1"/>
  <c r="Z5330" i="1"/>
  <c r="Z5331" i="1"/>
  <c r="Z5332" i="1"/>
  <c r="Z5333" i="1"/>
  <c r="Z5334" i="1"/>
  <c r="Z5335" i="1"/>
  <c r="Z5336" i="1"/>
  <c r="Z5337" i="1"/>
  <c r="Z5338" i="1"/>
  <c r="Z5339" i="1"/>
  <c r="Z5340" i="1"/>
  <c r="Z5341" i="1"/>
  <c r="Z5342" i="1"/>
  <c r="Z5343" i="1"/>
  <c r="Z5344" i="1"/>
  <c r="Z5345" i="1"/>
  <c r="Z5346" i="1"/>
  <c r="Z5347" i="1"/>
  <c r="Z5348" i="1"/>
  <c r="Z5349" i="1"/>
  <c r="Z5350" i="1"/>
  <c r="Z5351" i="1"/>
  <c r="Z5352" i="1"/>
  <c r="Z5353" i="1"/>
  <c r="Z5354" i="1"/>
  <c r="Z5355" i="1"/>
  <c r="Z5356" i="1"/>
  <c r="Z5357" i="1"/>
  <c r="Z5358" i="1"/>
  <c r="Z5359" i="1"/>
  <c r="Z5360" i="1"/>
  <c r="Z5361" i="1"/>
  <c r="Z5362" i="1"/>
  <c r="Z5363" i="1"/>
  <c r="Z5364" i="1"/>
  <c r="Z5365" i="1"/>
  <c r="Z5366" i="1"/>
  <c r="Z5367" i="1"/>
  <c r="Z5368" i="1"/>
  <c r="Z5369" i="1"/>
  <c r="Z5370" i="1"/>
  <c r="Z5371" i="1"/>
  <c r="Z5372" i="1"/>
  <c r="Z5373" i="1"/>
  <c r="Z5374" i="1"/>
  <c r="Z5375" i="1"/>
  <c r="Z5376" i="1"/>
  <c r="Z5377" i="1"/>
  <c r="Z5378" i="1"/>
  <c r="Z5379" i="1"/>
  <c r="Z5380" i="1"/>
  <c r="Z5381" i="1"/>
  <c r="Z5382" i="1"/>
  <c r="Z5383" i="1"/>
  <c r="Z5384" i="1"/>
  <c r="Z5385" i="1"/>
  <c r="Z5386" i="1"/>
  <c r="Z5387" i="1"/>
  <c r="Z5388" i="1"/>
  <c r="Z5389" i="1"/>
  <c r="Z5390" i="1"/>
  <c r="Z5391" i="1"/>
  <c r="Z5392" i="1"/>
  <c r="Z5393" i="1"/>
  <c r="Z5394" i="1"/>
  <c r="Z5395" i="1"/>
  <c r="Z5396" i="1"/>
  <c r="Z5397" i="1"/>
  <c r="Z5398" i="1"/>
  <c r="Z5399" i="1"/>
  <c r="Z5400" i="1"/>
  <c r="Z5401" i="1"/>
  <c r="Z5402" i="1"/>
  <c r="Z5403" i="1"/>
  <c r="Z5404" i="1"/>
  <c r="Z5405" i="1"/>
  <c r="Z5406" i="1"/>
  <c r="Z5407" i="1"/>
  <c r="Z5408" i="1"/>
  <c r="Z5409" i="1"/>
  <c r="Z5410" i="1"/>
  <c r="Z5411" i="1"/>
  <c r="Z5412" i="1"/>
  <c r="Z5413" i="1"/>
  <c r="Z5414" i="1"/>
  <c r="Z5415" i="1"/>
  <c r="Z5416" i="1"/>
  <c r="Z5417" i="1"/>
  <c r="Z5418" i="1"/>
  <c r="Z5419" i="1"/>
  <c r="Z5420" i="1"/>
  <c r="Z5421" i="1"/>
  <c r="Z5422" i="1"/>
  <c r="Z5423" i="1"/>
  <c r="Z5424" i="1"/>
  <c r="Z5425" i="1"/>
  <c r="Z5426" i="1"/>
  <c r="Z5427" i="1"/>
  <c r="Z5428" i="1"/>
  <c r="Z5429" i="1"/>
  <c r="Z5430" i="1"/>
  <c r="Z5431" i="1"/>
  <c r="Z5432" i="1"/>
  <c r="Z5433" i="1"/>
  <c r="Z5434" i="1"/>
  <c r="Z5435" i="1"/>
  <c r="Z5436" i="1"/>
  <c r="Z5437" i="1"/>
  <c r="Z5438" i="1"/>
  <c r="Z5439" i="1"/>
  <c r="Z5440" i="1"/>
  <c r="Z5441" i="1"/>
  <c r="Z5442" i="1"/>
  <c r="Z5443" i="1"/>
  <c r="Z5444" i="1"/>
  <c r="Z5445" i="1"/>
  <c r="Z5446" i="1"/>
  <c r="Z5447" i="1"/>
  <c r="Z5448" i="1"/>
  <c r="Z5449" i="1"/>
  <c r="Z5450" i="1"/>
  <c r="Z5451" i="1"/>
  <c r="Z5452" i="1"/>
  <c r="Z5453" i="1"/>
  <c r="Z5454" i="1"/>
  <c r="Z5455" i="1"/>
  <c r="Z5456" i="1"/>
  <c r="Z5457" i="1"/>
  <c r="Z5458" i="1"/>
  <c r="Z5459" i="1"/>
  <c r="Z5460" i="1"/>
  <c r="Z5461" i="1"/>
  <c r="Z5462" i="1"/>
  <c r="Z5463" i="1"/>
  <c r="Z5464" i="1"/>
  <c r="Z5465" i="1"/>
  <c r="Z5466" i="1"/>
  <c r="Z5467" i="1"/>
  <c r="Z5468" i="1"/>
  <c r="Z5469" i="1"/>
  <c r="Z5470" i="1"/>
  <c r="Z5471" i="1"/>
  <c r="Z5472" i="1"/>
  <c r="Z5473" i="1"/>
  <c r="Z5474" i="1"/>
  <c r="Z5475" i="1"/>
  <c r="Z5476" i="1"/>
  <c r="Z5477" i="1"/>
  <c r="Z5478" i="1"/>
  <c r="Z5479" i="1"/>
  <c r="Z5480" i="1"/>
  <c r="Z5481" i="1"/>
  <c r="Z5482" i="1"/>
  <c r="Z5483" i="1"/>
  <c r="Z5484" i="1"/>
  <c r="Z5485" i="1"/>
  <c r="Z5486" i="1"/>
  <c r="Z5487" i="1"/>
  <c r="Z5488" i="1"/>
  <c r="Z5489" i="1"/>
  <c r="Z5490" i="1"/>
  <c r="Z5491" i="1"/>
  <c r="Z5492" i="1"/>
  <c r="Z5493" i="1"/>
  <c r="Z5494" i="1"/>
  <c r="Z5495" i="1"/>
  <c r="Z5496" i="1"/>
  <c r="Z5497" i="1"/>
  <c r="Z5498" i="1"/>
  <c r="Z5499" i="1"/>
  <c r="Z5500" i="1"/>
  <c r="Z5501" i="1"/>
  <c r="Z5502" i="1"/>
  <c r="Z5503" i="1"/>
  <c r="Z5504" i="1"/>
  <c r="Z5505" i="1"/>
  <c r="Z5506" i="1"/>
  <c r="Z5507" i="1"/>
  <c r="Z5508" i="1"/>
  <c r="Z5509" i="1"/>
  <c r="Z5510" i="1"/>
  <c r="Z5511" i="1"/>
  <c r="Z5512" i="1"/>
  <c r="Z5513" i="1"/>
  <c r="Z5514" i="1"/>
  <c r="Z5515" i="1"/>
  <c r="Z5516" i="1"/>
  <c r="Z5517" i="1"/>
  <c r="Z5518" i="1"/>
  <c r="Z5519" i="1"/>
  <c r="Z5520" i="1"/>
  <c r="Z5521" i="1"/>
  <c r="Z5522" i="1"/>
  <c r="Z5523" i="1"/>
  <c r="Z5524" i="1"/>
  <c r="Z5525" i="1"/>
  <c r="Z5526" i="1"/>
  <c r="Z5527" i="1"/>
  <c r="Z5528" i="1"/>
  <c r="Z5529" i="1"/>
  <c r="Z5530" i="1"/>
  <c r="Z5531" i="1"/>
  <c r="Z5532" i="1"/>
  <c r="Z5533" i="1"/>
  <c r="Z5534" i="1"/>
  <c r="Z5535" i="1"/>
  <c r="Z5536" i="1"/>
  <c r="Z5537" i="1"/>
  <c r="Z5538" i="1"/>
  <c r="Z5539" i="1"/>
  <c r="Z5540" i="1"/>
  <c r="Z5541" i="1"/>
  <c r="Z5542" i="1"/>
  <c r="Z5543" i="1"/>
  <c r="Z5544" i="1"/>
  <c r="Z5545" i="1"/>
  <c r="Z5546" i="1"/>
  <c r="Z5547" i="1"/>
  <c r="Z5548" i="1"/>
  <c r="Z5549" i="1"/>
  <c r="Z5550" i="1"/>
  <c r="Z5551" i="1"/>
  <c r="Z5552" i="1"/>
  <c r="Z5553" i="1"/>
  <c r="Z5554" i="1"/>
  <c r="Z5555" i="1"/>
  <c r="Z5556" i="1"/>
  <c r="Z5557" i="1"/>
  <c r="Z5558" i="1"/>
  <c r="Z5559" i="1"/>
  <c r="Z5560" i="1"/>
  <c r="Z5561" i="1"/>
  <c r="Z5562" i="1"/>
  <c r="Z5563" i="1"/>
  <c r="Z5564" i="1"/>
  <c r="Z5565" i="1"/>
  <c r="Z5566" i="1"/>
  <c r="Z5567" i="1"/>
  <c r="Z5568" i="1"/>
  <c r="Z5569" i="1"/>
  <c r="Z5570" i="1"/>
  <c r="Z5571" i="1"/>
  <c r="Z5572" i="1"/>
  <c r="Z5573" i="1"/>
  <c r="Z5574" i="1"/>
  <c r="Z5575" i="1"/>
  <c r="Z5576" i="1"/>
  <c r="Z5577" i="1"/>
  <c r="Z5578" i="1"/>
  <c r="Z5579" i="1"/>
  <c r="Z5580" i="1"/>
  <c r="Z5581" i="1"/>
  <c r="Z5582" i="1"/>
  <c r="Z5583" i="1"/>
  <c r="Z5584" i="1"/>
  <c r="Z5585" i="1"/>
  <c r="Z5586" i="1"/>
  <c r="Z5587" i="1"/>
  <c r="Z5588" i="1"/>
  <c r="Z5589" i="1"/>
  <c r="Z5590" i="1"/>
  <c r="Z5591" i="1"/>
  <c r="Z5592" i="1"/>
  <c r="Z5593" i="1"/>
  <c r="Z5594" i="1"/>
  <c r="Z5595" i="1"/>
  <c r="Z5596" i="1"/>
  <c r="Z5597" i="1"/>
  <c r="Z5598" i="1"/>
  <c r="Z5599" i="1"/>
  <c r="Z5600" i="1"/>
  <c r="Z5601" i="1"/>
  <c r="Z5602" i="1"/>
  <c r="Z5603" i="1"/>
  <c r="Z5604" i="1"/>
  <c r="Z5605" i="1"/>
  <c r="Z5606" i="1"/>
  <c r="Z5607" i="1"/>
  <c r="Z5608" i="1"/>
  <c r="Z5609" i="1"/>
  <c r="Z5610" i="1"/>
  <c r="Z5611" i="1"/>
  <c r="Z5612" i="1"/>
  <c r="Z5613" i="1"/>
  <c r="Z5614" i="1"/>
  <c r="Z5615" i="1"/>
  <c r="Z5616" i="1"/>
  <c r="Z5617" i="1"/>
  <c r="Z5618" i="1"/>
  <c r="Z5619" i="1"/>
  <c r="Z5620" i="1"/>
  <c r="Z5621" i="1"/>
  <c r="Z5622" i="1"/>
  <c r="Z5623" i="1"/>
  <c r="Z5624" i="1"/>
  <c r="Z5625" i="1"/>
  <c r="Z5626" i="1"/>
  <c r="Z5627" i="1"/>
  <c r="Z5628" i="1"/>
  <c r="Z5629" i="1"/>
  <c r="Z5630" i="1"/>
  <c r="Z5631" i="1"/>
  <c r="Z5632" i="1"/>
  <c r="Z5633" i="1"/>
  <c r="Z5634" i="1"/>
  <c r="Z5635" i="1"/>
  <c r="Z5636" i="1"/>
  <c r="Z5637" i="1"/>
  <c r="Z5638" i="1"/>
  <c r="Z5639" i="1"/>
  <c r="Z5640" i="1"/>
  <c r="Z5641" i="1"/>
  <c r="Z5642" i="1"/>
  <c r="Z5643" i="1"/>
  <c r="Z5644" i="1"/>
  <c r="Z5645" i="1"/>
  <c r="Z5646" i="1"/>
  <c r="Z5647" i="1"/>
  <c r="Z5648" i="1"/>
  <c r="Z5649" i="1"/>
  <c r="Z5650" i="1"/>
  <c r="Z5651" i="1"/>
  <c r="Z5652" i="1"/>
  <c r="Z5653" i="1"/>
  <c r="Z5654" i="1"/>
  <c r="Z5655" i="1"/>
  <c r="Z5656" i="1"/>
  <c r="Z5657" i="1"/>
  <c r="Z5658" i="1"/>
  <c r="Z5659" i="1"/>
  <c r="Z5660" i="1"/>
  <c r="Z5661" i="1"/>
  <c r="Z5662" i="1"/>
  <c r="Z5663" i="1"/>
  <c r="Z5664" i="1"/>
  <c r="Z5665" i="1"/>
  <c r="Z5666" i="1"/>
  <c r="Z5667" i="1"/>
  <c r="Z5668" i="1"/>
  <c r="Z5669" i="1"/>
  <c r="Z5670" i="1"/>
  <c r="Z5671" i="1"/>
  <c r="Z5672" i="1"/>
  <c r="Z5673" i="1"/>
  <c r="Z5674" i="1"/>
  <c r="Z5675" i="1"/>
  <c r="Z5676" i="1"/>
  <c r="Z5677" i="1"/>
  <c r="Z5678" i="1"/>
  <c r="Z5679" i="1"/>
  <c r="Z5680" i="1"/>
  <c r="Z5681" i="1"/>
  <c r="Z5682" i="1"/>
  <c r="Z5683" i="1"/>
  <c r="Z5684" i="1"/>
  <c r="Z5685" i="1"/>
  <c r="Z5686" i="1"/>
  <c r="Z5687" i="1"/>
  <c r="Z5688" i="1"/>
  <c r="Z5689" i="1"/>
  <c r="Z5690" i="1"/>
  <c r="Z5691" i="1"/>
  <c r="Z5692" i="1"/>
  <c r="Z5693" i="1"/>
  <c r="Z5694" i="1"/>
  <c r="Z5695" i="1"/>
  <c r="Z5696" i="1"/>
  <c r="Z5697" i="1"/>
  <c r="Z5698" i="1"/>
  <c r="Z5699" i="1"/>
  <c r="Z5700" i="1"/>
  <c r="Z5701" i="1"/>
  <c r="Z5702" i="1"/>
  <c r="Z5703" i="1"/>
  <c r="Z5704" i="1"/>
  <c r="Z5705" i="1"/>
  <c r="Z5706" i="1"/>
  <c r="Z5707" i="1"/>
  <c r="Z5708" i="1"/>
  <c r="Z5709" i="1"/>
  <c r="Z5710" i="1"/>
  <c r="Z5711" i="1"/>
  <c r="Z5712" i="1"/>
  <c r="Z5713" i="1"/>
  <c r="Z5714" i="1"/>
  <c r="Z5715" i="1"/>
  <c r="Z5716" i="1"/>
  <c r="Z5717" i="1"/>
  <c r="Z5718" i="1"/>
  <c r="Z5719" i="1"/>
  <c r="Z5720" i="1"/>
  <c r="Z5721" i="1"/>
  <c r="Z5722" i="1"/>
  <c r="Z5723" i="1"/>
  <c r="Z5724" i="1"/>
  <c r="Z5725" i="1"/>
  <c r="Z5726" i="1"/>
  <c r="Z5727" i="1"/>
  <c r="Z5728" i="1"/>
  <c r="Z5729" i="1"/>
  <c r="Z5730" i="1"/>
  <c r="Z5731" i="1"/>
  <c r="Z5732" i="1"/>
  <c r="Z5733" i="1"/>
  <c r="Z5734" i="1"/>
  <c r="Z5735" i="1"/>
  <c r="Z5736" i="1"/>
  <c r="Z5737" i="1"/>
  <c r="Z5738" i="1"/>
  <c r="Z5739" i="1"/>
  <c r="Z5740" i="1"/>
  <c r="Z5741" i="1"/>
  <c r="Z5742" i="1"/>
  <c r="Z5743" i="1"/>
  <c r="Z5744" i="1"/>
  <c r="Z5745" i="1"/>
  <c r="Z5746" i="1"/>
  <c r="Z5747" i="1"/>
  <c r="Z5748" i="1"/>
  <c r="Z5749" i="1"/>
  <c r="Z5750" i="1"/>
  <c r="Z5751" i="1"/>
  <c r="Z5752" i="1"/>
  <c r="Z5753" i="1"/>
  <c r="Z5754" i="1"/>
  <c r="Z5755" i="1"/>
  <c r="Z5756" i="1"/>
  <c r="Z5757" i="1"/>
  <c r="Z5758" i="1"/>
  <c r="Z5759" i="1"/>
  <c r="Z5760" i="1"/>
  <c r="Z5761" i="1"/>
  <c r="Z5762" i="1"/>
  <c r="Z5763" i="1"/>
  <c r="Z5764" i="1"/>
  <c r="Z5765" i="1"/>
  <c r="Z5766" i="1"/>
  <c r="Z5767" i="1"/>
  <c r="Z5768" i="1"/>
  <c r="Z5769" i="1"/>
  <c r="Z5770" i="1"/>
  <c r="Z5771" i="1"/>
  <c r="Z5772" i="1"/>
  <c r="Z5773" i="1"/>
  <c r="Z5774" i="1"/>
  <c r="Z5775" i="1"/>
  <c r="Z5776" i="1"/>
  <c r="Z5777" i="1"/>
  <c r="Z5778" i="1"/>
  <c r="Z5779" i="1"/>
  <c r="Z5780" i="1"/>
  <c r="Z5781" i="1"/>
  <c r="Z5782" i="1"/>
  <c r="Z5783" i="1"/>
  <c r="Z5784" i="1"/>
  <c r="Z5785" i="1"/>
  <c r="Z5786" i="1"/>
  <c r="Z5787" i="1"/>
  <c r="Z5788" i="1"/>
  <c r="Z5789" i="1"/>
  <c r="Z5790" i="1"/>
  <c r="Z5791" i="1"/>
  <c r="Z5792" i="1"/>
  <c r="Z5793" i="1"/>
  <c r="Z5794" i="1"/>
  <c r="Z5795" i="1"/>
  <c r="Z5796" i="1"/>
  <c r="Z5797" i="1"/>
  <c r="Z5798" i="1"/>
  <c r="Z5799" i="1"/>
  <c r="Z5800" i="1"/>
  <c r="Z5801" i="1"/>
  <c r="Z5802" i="1"/>
  <c r="Z5803" i="1"/>
  <c r="Z5804" i="1"/>
  <c r="Z5805" i="1"/>
  <c r="Z5806" i="1"/>
  <c r="Z5807" i="1"/>
  <c r="Z5808" i="1"/>
  <c r="Z5809" i="1"/>
  <c r="Z5810" i="1"/>
  <c r="Z5811" i="1"/>
  <c r="Z5812" i="1"/>
  <c r="Z5813" i="1"/>
  <c r="Z5814" i="1"/>
  <c r="Z5815" i="1"/>
  <c r="Z5816" i="1"/>
  <c r="Z5817" i="1"/>
  <c r="Z5818" i="1"/>
  <c r="Z5819" i="1"/>
  <c r="Z5820" i="1"/>
  <c r="Z5821" i="1"/>
  <c r="Z5822" i="1"/>
  <c r="Z5823" i="1"/>
  <c r="Z5824" i="1"/>
  <c r="Z5825" i="1"/>
  <c r="Z5826" i="1"/>
  <c r="Z5827" i="1"/>
  <c r="Z5828" i="1"/>
  <c r="Z5829" i="1"/>
  <c r="Z5830" i="1"/>
  <c r="Z5831" i="1"/>
  <c r="Z5832" i="1"/>
  <c r="Z5833" i="1"/>
  <c r="Z5834" i="1"/>
  <c r="Z5835" i="1"/>
  <c r="Z5836" i="1"/>
  <c r="Z5837" i="1"/>
  <c r="Z5838" i="1"/>
  <c r="Z5839" i="1"/>
  <c r="Z5840" i="1"/>
  <c r="Z5841" i="1"/>
  <c r="Z5842" i="1"/>
  <c r="Z5843" i="1"/>
  <c r="Z5844" i="1"/>
  <c r="Z5845" i="1"/>
  <c r="Z5846" i="1"/>
  <c r="Z5847" i="1"/>
  <c r="Z5848" i="1"/>
  <c r="Z5849" i="1"/>
  <c r="Z5850" i="1"/>
  <c r="Z5851" i="1"/>
  <c r="Z5852" i="1"/>
  <c r="Z5853" i="1"/>
  <c r="Z5854" i="1"/>
  <c r="Z5855" i="1"/>
  <c r="Z5856" i="1"/>
  <c r="Z5857" i="1"/>
  <c r="Z5858" i="1"/>
  <c r="Z5859" i="1"/>
  <c r="Z5860" i="1"/>
  <c r="Z5861" i="1"/>
  <c r="Z5862" i="1"/>
  <c r="Z5863" i="1"/>
  <c r="Z5864" i="1"/>
  <c r="Z5865" i="1"/>
  <c r="Z5866" i="1"/>
  <c r="Z5867" i="1"/>
  <c r="Z5868" i="1"/>
  <c r="Z5869" i="1"/>
  <c r="Z5870" i="1"/>
  <c r="Z5871" i="1"/>
  <c r="Z5872" i="1"/>
  <c r="Z5873" i="1"/>
  <c r="Z5874" i="1"/>
  <c r="Z5875" i="1"/>
  <c r="Z5876" i="1"/>
  <c r="Z5877" i="1"/>
  <c r="Z5878" i="1"/>
  <c r="Z5879" i="1"/>
  <c r="Z5880" i="1"/>
  <c r="Z5881" i="1"/>
  <c r="Z5882" i="1"/>
  <c r="Z5883" i="1"/>
  <c r="Z5884" i="1"/>
  <c r="Z5885" i="1"/>
  <c r="Z5886" i="1"/>
  <c r="Z5887" i="1"/>
  <c r="Z5888" i="1"/>
  <c r="Z5889" i="1"/>
  <c r="Z5890" i="1"/>
  <c r="Z5891" i="1"/>
  <c r="Z5892" i="1"/>
  <c r="Z5893" i="1"/>
  <c r="Z5894" i="1"/>
  <c r="Z5895" i="1"/>
  <c r="Z5896" i="1"/>
  <c r="Z5897" i="1"/>
  <c r="Z5898" i="1"/>
  <c r="Z5899" i="1"/>
  <c r="Z5900" i="1"/>
  <c r="Z5901" i="1"/>
  <c r="Z5902" i="1"/>
  <c r="Z5903" i="1"/>
  <c r="Z5904" i="1"/>
  <c r="Z5905" i="1"/>
  <c r="Z5906" i="1"/>
  <c r="Z5907" i="1"/>
  <c r="Z5908" i="1"/>
  <c r="Z5909" i="1"/>
  <c r="Z5910" i="1"/>
  <c r="Z5911" i="1"/>
  <c r="Z5912" i="1"/>
  <c r="Z5913" i="1"/>
  <c r="Z5914" i="1"/>
  <c r="Z5915" i="1"/>
  <c r="Z5916" i="1"/>
  <c r="Z5917" i="1"/>
  <c r="Z5918" i="1"/>
  <c r="Z5919" i="1"/>
  <c r="Z5920" i="1"/>
  <c r="Z5921" i="1"/>
  <c r="Z5922" i="1"/>
  <c r="Z5923" i="1"/>
  <c r="Z5924" i="1"/>
  <c r="Z5925" i="1"/>
  <c r="Z5926" i="1"/>
  <c r="Z5927" i="1"/>
  <c r="Z5928" i="1"/>
  <c r="Z5929" i="1"/>
  <c r="Z5930" i="1"/>
  <c r="Z5931" i="1"/>
  <c r="Z5932" i="1"/>
  <c r="Z5933" i="1"/>
  <c r="Z5934" i="1"/>
  <c r="Z5935" i="1"/>
  <c r="Z5936" i="1"/>
  <c r="Z5937" i="1"/>
  <c r="Z5938" i="1"/>
  <c r="Z5939" i="1"/>
  <c r="Z5940" i="1"/>
  <c r="Z5941" i="1"/>
  <c r="Z5942" i="1"/>
  <c r="Z5943" i="1"/>
  <c r="Z5944" i="1"/>
  <c r="Z5945" i="1"/>
  <c r="Z5946" i="1"/>
  <c r="Z5947" i="1"/>
  <c r="Z5948" i="1"/>
  <c r="Z5949" i="1"/>
  <c r="Z5950" i="1"/>
  <c r="Z5951" i="1"/>
  <c r="Z5952" i="1"/>
  <c r="Z5953" i="1"/>
  <c r="Z5954" i="1"/>
  <c r="Z5955" i="1"/>
  <c r="Z5956" i="1"/>
  <c r="Z5957" i="1"/>
  <c r="Z5958" i="1"/>
  <c r="Z5959" i="1"/>
  <c r="Z5960" i="1"/>
  <c r="Z5961" i="1"/>
  <c r="Z5962" i="1"/>
  <c r="Z5963" i="1"/>
  <c r="Z5964" i="1"/>
  <c r="Z5965" i="1"/>
  <c r="Z5966" i="1"/>
  <c r="Z5967" i="1"/>
  <c r="Z5968" i="1"/>
  <c r="Z5969" i="1"/>
  <c r="Z5970" i="1"/>
  <c r="Z5971" i="1"/>
  <c r="Z5972" i="1"/>
  <c r="Z5973" i="1"/>
  <c r="Z5974" i="1"/>
  <c r="Z5975" i="1"/>
  <c r="Z5976" i="1"/>
  <c r="Z5977" i="1"/>
  <c r="Z5978" i="1"/>
  <c r="Z5979" i="1"/>
  <c r="Z5980" i="1"/>
  <c r="Z5981" i="1"/>
  <c r="Z5982" i="1"/>
  <c r="Z5983" i="1"/>
  <c r="Z5984" i="1"/>
  <c r="Z5985" i="1"/>
  <c r="Z5986" i="1"/>
  <c r="Z5987" i="1"/>
  <c r="Z5988" i="1"/>
  <c r="Z5989" i="1"/>
  <c r="Z5990" i="1"/>
  <c r="Z5991" i="1"/>
  <c r="Z5992" i="1"/>
  <c r="Z5993" i="1"/>
  <c r="Z5994" i="1"/>
  <c r="Z5995" i="1"/>
  <c r="Z5996" i="1"/>
  <c r="Z5997" i="1"/>
  <c r="Z5998" i="1"/>
  <c r="Z5999" i="1"/>
  <c r="Z6000" i="1"/>
  <c r="Z6001" i="1"/>
  <c r="Z6002" i="1"/>
  <c r="Z6003" i="1"/>
  <c r="Z6004" i="1"/>
  <c r="Z6005" i="1"/>
  <c r="Z6006" i="1"/>
  <c r="Z6007" i="1"/>
  <c r="Z6008" i="1"/>
  <c r="Z6009" i="1"/>
  <c r="Z6010" i="1"/>
  <c r="Z6011" i="1"/>
  <c r="Z6012" i="1"/>
  <c r="Z6013" i="1"/>
  <c r="Z6014" i="1"/>
  <c r="Z6015" i="1"/>
  <c r="Z6016" i="1"/>
  <c r="Z6017" i="1"/>
  <c r="Z6018" i="1"/>
  <c r="Z6019" i="1"/>
  <c r="Z6020" i="1"/>
  <c r="Z6021" i="1"/>
  <c r="Z6022" i="1"/>
  <c r="Z6023" i="1"/>
  <c r="Z6024" i="1"/>
  <c r="Z6025" i="1"/>
  <c r="Z6026" i="1"/>
  <c r="Z6027" i="1"/>
  <c r="Z6028" i="1"/>
  <c r="Z6029" i="1"/>
  <c r="Z6030" i="1"/>
  <c r="Z6031" i="1"/>
  <c r="Z6032" i="1"/>
  <c r="Z6033" i="1"/>
  <c r="Z6034" i="1"/>
  <c r="Z6035" i="1"/>
  <c r="Z6036" i="1"/>
  <c r="Z6037" i="1"/>
  <c r="Z6038" i="1"/>
  <c r="Z6039" i="1"/>
  <c r="Z6040" i="1"/>
  <c r="Z6041" i="1"/>
  <c r="Z6042" i="1"/>
  <c r="Z6043" i="1"/>
  <c r="Z6044" i="1"/>
  <c r="Z6045" i="1"/>
  <c r="Z6046" i="1"/>
  <c r="Z6047" i="1"/>
  <c r="Z6048" i="1"/>
  <c r="Z6049" i="1"/>
  <c r="Z6050" i="1"/>
  <c r="Z6051" i="1"/>
  <c r="Z6052" i="1"/>
  <c r="Z6053" i="1"/>
  <c r="Z6054" i="1"/>
  <c r="Z6055" i="1"/>
  <c r="Z6056" i="1"/>
  <c r="Z6057" i="1"/>
  <c r="Z6058" i="1"/>
  <c r="Z6059" i="1"/>
  <c r="Z6060" i="1"/>
  <c r="Z6061" i="1"/>
  <c r="Z6062" i="1"/>
  <c r="Z6063" i="1"/>
  <c r="Z6064" i="1"/>
  <c r="Z6065" i="1"/>
  <c r="Z6066" i="1"/>
  <c r="Z6067" i="1"/>
  <c r="Z6068" i="1"/>
  <c r="Z6069" i="1"/>
  <c r="Z6070" i="1"/>
  <c r="Z6071" i="1"/>
  <c r="Z6072" i="1"/>
  <c r="Z6073" i="1"/>
  <c r="Z6074" i="1"/>
  <c r="Z6075" i="1"/>
  <c r="Z6076" i="1"/>
  <c r="Z6077" i="1"/>
  <c r="Z6078" i="1"/>
  <c r="Z6079" i="1"/>
  <c r="Z6080" i="1"/>
  <c r="Z6081" i="1"/>
  <c r="Z6082" i="1"/>
  <c r="Z6083" i="1"/>
  <c r="Z6084" i="1"/>
  <c r="Z6085" i="1"/>
  <c r="Z6086" i="1"/>
  <c r="Z6087" i="1"/>
  <c r="Z6088" i="1"/>
  <c r="Z6089" i="1"/>
  <c r="Z6090" i="1"/>
  <c r="Z6091" i="1"/>
  <c r="Z6092" i="1"/>
  <c r="Z6093" i="1"/>
  <c r="Z6094" i="1"/>
  <c r="Z6095" i="1"/>
  <c r="Z6096" i="1"/>
  <c r="Z6097" i="1"/>
  <c r="Z6098" i="1"/>
  <c r="Z6099" i="1"/>
  <c r="Z6100" i="1"/>
  <c r="Z6101" i="1"/>
  <c r="Z6102" i="1"/>
  <c r="Z6103" i="1"/>
  <c r="Z6104" i="1"/>
  <c r="Z6105" i="1"/>
  <c r="Z6106" i="1"/>
  <c r="Z6107" i="1"/>
  <c r="Z6108" i="1"/>
  <c r="Z6109" i="1"/>
  <c r="Z6110" i="1"/>
  <c r="Z6111" i="1"/>
  <c r="Z6112" i="1"/>
  <c r="Z6113" i="1"/>
  <c r="Z6114" i="1"/>
  <c r="Z6115" i="1"/>
  <c r="Z6116" i="1"/>
  <c r="Z6117" i="1"/>
  <c r="Z6118" i="1"/>
  <c r="Z6119" i="1"/>
  <c r="Z6120" i="1"/>
  <c r="Z6121" i="1"/>
  <c r="Z6122" i="1"/>
  <c r="Z6123" i="1"/>
  <c r="Z6124" i="1"/>
  <c r="Z6125" i="1"/>
  <c r="Z6126" i="1"/>
  <c r="Z6127" i="1"/>
  <c r="Z6128" i="1"/>
  <c r="Z6129" i="1"/>
  <c r="Z6130" i="1"/>
  <c r="Z6131" i="1"/>
  <c r="Z6132" i="1"/>
  <c r="Z6133" i="1"/>
  <c r="Z6134" i="1"/>
  <c r="Z6135" i="1"/>
  <c r="Z6136" i="1"/>
  <c r="Z6137" i="1"/>
  <c r="Z6138" i="1"/>
  <c r="Z6139" i="1"/>
  <c r="Z6140" i="1"/>
  <c r="Z6141" i="1"/>
  <c r="Z6142" i="1"/>
  <c r="Z6143" i="1"/>
  <c r="Z6144" i="1"/>
  <c r="Z6145" i="1"/>
  <c r="Z6146" i="1"/>
  <c r="Z6147" i="1"/>
  <c r="Z6148" i="1"/>
  <c r="Z6149" i="1"/>
  <c r="Z6150" i="1"/>
  <c r="Z6151" i="1"/>
  <c r="Z6152" i="1"/>
  <c r="Z6153" i="1"/>
  <c r="Z6154" i="1"/>
  <c r="Z6155" i="1"/>
  <c r="Z6156" i="1"/>
  <c r="Z6157" i="1"/>
  <c r="Z6158" i="1"/>
  <c r="Z6159" i="1"/>
  <c r="Z6160" i="1"/>
  <c r="Z6161" i="1"/>
  <c r="Z6162" i="1"/>
  <c r="Z6163" i="1"/>
  <c r="Z6164" i="1"/>
  <c r="Z6165" i="1"/>
  <c r="Z6166" i="1"/>
  <c r="Z6167" i="1"/>
  <c r="Z6168" i="1"/>
  <c r="Z6169" i="1"/>
  <c r="Z6170" i="1"/>
  <c r="Z6171" i="1"/>
  <c r="Z6172" i="1"/>
  <c r="Z6173" i="1"/>
  <c r="Z6174" i="1"/>
  <c r="Z6175" i="1"/>
  <c r="Z6176" i="1"/>
  <c r="Z6177" i="1"/>
  <c r="Z6178" i="1"/>
  <c r="Z6179" i="1"/>
  <c r="Z6180" i="1"/>
  <c r="Z6181" i="1"/>
  <c r="Z6182" i="1"/>
  <c r="Z6183" i="1"/>
  <c r="Z6184" i="1"/>
  <c r="Z6185" i="1"/>
  <c r="Z6186" i="1"/>
  <c r="Z6187" i="1"/>
  <c r="Z6188" i="1"/>
  <c r="Z6189" i="1"/>
  <c r="Z6190" i="1"/>
  <c r="Z6191" i="1"/>
  <c r="Z6192" i="1"/>
  <c r="Z6193" i="1"/>
  <c r="Z6194" i="1"/>
  <c r="Z6195" i="1"/>
  <c r="Z6196" i="1"/>
  <c r="Z6197" i="1"/>
  <c r="Z6198" i="1"/>
  <c r="Z6199" i="1"/>
  <c r="Z6200" i="1"/>
  <c r="Z6201" i="1"/>
  <c r="Z6202" i="1"/>
  <c r="Z6203" i="1"/>
  <c r="Z6204" i="1"/>
  <c r="Z6205" i="1"/>
  <c r="Z6206" i="1"/>
  <c r="Z6207" i="1"/>
  <c r="Z6208" i="1"/>
  <c r="Z6209" i="1"/>
  <c r="Z6210" i="1"/>
  <c r="Z6211" i="1"/>
  <c r="Z6212" i="1"/>
  <c r="Z6213" i="1"/>
  <c r="Z6214" i="1"/>
  <c r="Z6215" i="1"/>
  <c r="Z6216" i="1"/>
  <c r="Z6217" i="1"/>
  <c r="Z6218" i="1"/>
  <c r="Z6219" i="1"/>
  <c r="Z6220" i="1"/>
  <c r="Z6221" i="1"/>
  <c r="Z6222" i="1"/>
  <c r="Z6223" i="1"/>
  <c r="Z6224" i="1"/>
  <c r="Z6225" i="1"/>
  <c r="Z6226" i="1"/>
  <c r="Z6227" i="1"/>
  <c r="Z6228" i="1"/>
  <c r="Z6229" i="1"/>
  <c r="Z6230" i="1"/>
  <c r="Z6231" i="1"/>
  <c r="Z6232" i="1"/>
  <c r="Z6233" i="1"/>
  <c r="Z6234" i="1"/>
  <c r="Z6235" i="1"/>
  <c r="Z6236" i="1"/>
  <c r="Z6237" i="1"/>
  <c r="Z6238" i="1"/>
  <c r="Z6239" i="1"/>
  <c r="Z6240" i="1"/>
  <c r="Z6241" i="1"/>
  <c r="Z6242" i="1"/>
  <c r="Z6243" i="1"/>
  <c r="Z6244" i="1"/>
  <c r="Z6245" i="1"/>
  <c r="Z6246" i="1"/>
  <c r="Z6247" i="1"/>
  <c r="Z6248" i="1"/>
  <c r="Z6249" i="1"/>
  <c r="Z6250" i="1"/>
  <c r="Z6251" i="1"/>
  <c r="Z6252" i="1"/>
  <c r="Z6253" i="1"/>
  <c r="Z6254" i="1"/>
  <c r="Z6255" i="1"/>
  <c r="Z6256" i="1"/>
  <c r="Z6257" i="1"/>
  <c r="Z6258" i="1"/>
  <c r="Z6259" i="1"/>
  <c r="Z6260" i="1"/>
  <c r="Z6261" i="1"/>
  <c r="Z6262" i="1"/>
  <c r="Z6263" i="1"/>
  <c r="Z6264" i="1"/>
  <c r="Z6265" i="1"/>
  <c r="Z6266" i="1"/>
  <c r="Z6267" i="1"/>
  <c r="Z6268" i="1"/>
  <c r="Z6269" i="1"/>
  <c r="Z6270" i="1"/>
  <c r="Z6271" i="1"/>
  <c r="Z6272" i="1"/>
  <c r="Z6273" i="1"/>
  <c r="Z6274" i="1"/>
  <c r="Z6275" i="1"/>
  <c r="Z6276" i="1"/>
  <c r="Z6277" i="1"/>
  <c r="Z6278" i="1"/>
  <c r="Z6279" i="1"/>
  <c r="Z6280" i="1"/>
  <c r="Z6281" i="1"/>
  <c r="Z6282" i="1"/>
  <c r="Z6283" i="1"/>
  <c r="Z6284" i="1"/>
  <c r="Z6285" i="1"/>
  <c r="Z6286" i="1"/>
  <c r="Z6287" i="1"/>
  <c r="Z6288" i="1"/>
  <c r="Z6289" i="1"/>
  <c r="Z6290" i="1"/>
  <c r="Z6291" i="1"/>
  <c r="Z6292" i="1"/>
  <c r="Z6293" i="1"/>
  <c r="Z6294" i="1"/>
  <c r="Z6295" i="1"/>
  <c r="Z6296" i="1"/>
  <c r="Z6297" i="1"/>
  <c r="Z6298" i="1"/>
  <c r="Z6299" i="1"/>
  <c r="Z6300" i="1"/>
  <c r="Z6301" i="1"/>
  <c r="Z6302" i="1"/>
  <c r="Z6303" i="1"/>
  <c r="Z6304" i="1"/>
  <c r="Z6305" i="1"/>
  <c r="Z6306" i="1"/>
  <c r="Z6307" i="1"/>
  <c r="Z6308" i="1"/>
  <c r="Z6309" i="1"/>
  <c r="Z6310" i="1"/>
  <c r="Z6311" i="1"/>
  <c r="Z6312" i="1"/>
  <c r="Z6313" i="1"/>
  <c r="Z6314" i="1"/>
  <c r="Z6315" i="1"/>
  <c r="Z6316" i="1"/>
  <c r="Z6317" i="1"/>
  <c r="Z6318" i="1"/>
  <c r="Z6319" i="1"/>
  <c r="Z6320" i="1"/>
  <c r="Z6321" i="1"/>
  <c r="Z6322" i="1"/>
  <c r="Z6323" i="1"/>
  <c r="Z6324" i="1"/>
  <c r="Z6325" i="1"/>
  <c r="Z6326" i="1"/>
  <c r="Z6327" i="1"/>
  <c r="Z6328" i="1"/>
  <c r="Z6329" i="1"/>
  <c r="Z6330" i="1"/>
  <c r="Z6331" i="1"/>
  <c r="Z6332" i="1"/>
  <c r="Z6333" i="1"/>
  <c r="Z6334" i="1"/>
  <c r="Z6335" i="1"/>
  <c r="Z6336" i="1"/>
  <c r="Z6337" i="1"/>
  <c r="Z6338" i="1"/>
  <c r="Z6339" i="1"/>
  <c r="Z6340" i="1"/>
  <c r="Z6341" i="1"/>
  <c r="Z6342" i="1"/>
  <c r="Z6343" i="1"/>
  <c r="Z6344" i="1"/>
  <c r="Z6345" i="1"/>
  <c r="Z6346" i="1"/>
  <c r="Z6347" i="1"/>
  <c r="Z6348" i="1"/>
  <c r="Z6349" i="1"/>
  <c r="Z6350" i="1"/>
  <c r="Z6351" i="1"/>
  <c r="Z6352" i="1"/>
  <c r="Z6353" i="1"/>
  <c r="Z6354" i="1"/>
  <c r="Z6355" i="1"/>
  <c r="Z6356" i="1"/>
  <c r="Z6357" i="1"/>
  <c r="Z6358" i="1"/>
  <c r="Z6359" i="1"/>
  <c r="Z6360" i="1"/>
  <c r="Z6361" i="1"/>
  <c r="Z6362" i="1"/>
  <c r="Z6363" i="1"/>
  <c r="Z6364" i="1"/>
  <c r="Z6365" i="1"/>
  <c r="Z6366" i="1"/>
  <c r="Z6367" i="1"/>
  <c r="Z6368" i="1"/>
  <c r="Z6369" i="1"/>
  <c r="Z6370" i="1"/>
  <c r="Z6371" i="1"/>
  <c r="Z6372" i="1"/>
  <c r="Z6373" i="1"/>
  <c r="Z6374" i="1"/>
  <c r="Z6375" i="1"/>
  <c r="Z6376" i="1"/>
  <c r="Z6377" i="1"/>
  <c r="Z6378" i="1"/>
  <c r="Z6379" i="1"/>
  <c r="Z6380" i="1"/>
  <c r="Z6381" i="1"/>
  <c r="Z6382" i="1"/>
  <c r="Z6383" i="1"/>
  <c r="Z6384" i="1"/>
  <c r="Z6385" i="1"/>
  <c r="Z6386" i="1"/>
  <c r="Z6387" i="1"/>
  <c r="Z6388" i="1"/>
  <c r="Z6389" i="1"/>
  <c r="Z6390" i="1"/>
  <c r="Z6391" i="1"/>
  <c r="Z6392" i="1"/>
  <c r="Z6393" i="1"/>
  <c r="Z6394" i="1"/>
  <c r="Z6395" i="1"/>
  <c r="Z6396" i="1"/>
  <c r="Z6397" i="1"/>
  <c r="Z6398" i="1"/>
  <c r="Z6399" i="1"/>
  <c r="Z6400" i="1"/>
  <c r="Z6401" i="1"/>
  <c r="Z6402" i="1"/>
  <c r="Z6403" i="1"/>
  <c r="Z6404" i="1"/>
  <c r="Z6405" i="1"/>
  <c r="Z6406" i="1"/>
  <c r="Z6407" i="1"/>
  <c r="Z6408" i="1"/>
  <c r="Z6409" i="1"/>
  <c r="Z6410" i="1"/>
  <c r="Z6411" i="1"/>
  <c r="Z6412" i="1"/>
  <c r="Z6413" i="1"/>
  <c r="Z6414" i="1"/>
  <c r="Z6415" i="1"/>
  <c r="Z6416" i="1"/>
  <c r="Z6417" i="1"/>
  <c r="Z6418" i="1"/>
  <c r="Z6419" i="1"/>
  <c r="Z6420" i="1"/>
  <c r="Z6421" i="1"/>
  <c r="Z6422" i="1"/>
  <c r="Z6423" i="1"/>
  <c r="Z6424" i="1"/>
  <c r="Z6425" i="1"/>
  <c r="Z6426" i="1"/>
  <c r="Z6427" i="1"/>
  <c r="Z6428" i="1"/>
  <c r="Z6429" i="1"/>
  <c r="Z6430" i="1"/>
  <c r="Z6431" i="1"/>
  <c r="Z6432" i="1"/>
  <c r="Z6433" i="1"/>
  <c r="Z6434" i="1"/>
  <c r="Z6435" i="1"/>
  <c r="Z6436" i="1"/>
  <c r="Z6437" i="1"/>
  <c r="Z6438" i="1"/>
  <c r="Z6439" i="1"/>
  <c r="Z6440" i="1"/>
  <c r="Z6441" i="1"/>
  <c r="Z6442" i="1"/>
  <c r="Z6443" i="1"/>
  <c r="Z6444" i="1"/>
  <c r="Z6445" i="1"/>
  <c r="Z6446" i="1"/>
  <c r="Z6447" i="1"/>
  <c r="Z6448" i="1"/>
  <c r="Z6449" i="1"/>
  <c r="Z6450" i="1"/>
  <c r="Z6451" i="1"/>
  <c r="Z6452" i="1"/>
  <c r="Z6453" i="1"/>
  <c r="Z6454" i="1"/>
  <c r="Z6455" i="1"/>
  <c r="Z6456" i="1"/>
  <c r="Z6457" i="1"/>
  <c r="Z6458" i="1"/>
  <c r="Z6459" i="1"/>
  <c r="Z6460" i="1"/>
  <c r="Z6461" i="1"/>
  <c r="Z6462" i="1"/>
  <c r="Z6463" i="1"/>
  <c r="Z6464" i="1"/>
  <c r="Z6465" i="1"/>
  <c r="Z6466" i="1"/>
  <c r="Z6467" i="1"/>
  <c r="Z6468" i="1"/>
  <c r="Z6469" i="1"/>
  <c r="Z6470" i="1"/>
  <c r="Z6471" i="1"/>
  <c r="Z6472" i="1"/>
  <c r="Z6473" i="1"/>
  <c r="Z6474" i="1"/>
  <c r="Z6475" i="1"/>
  <c r="Z6476" i="1"/>
  <c r="Z6477" i="1"/>
  <c r="Z6478" i="1"/>
  <c r="Z6479" i="1"/>
  <c r="Z6480" i="1"/>
  <c r="Z6481" i="1"/>
  <c r="Z6482" i="1"/>
  <c r="Z6483" i="1"/>
  <c r="Z6484" i="1"/>
  <c r="Z6485" i="1"/>
  <c r="Z6486" i="1"/>
  <c r="Z6487" i="1"/>
  <c r="Z6488" i="1"/>
  <c r="Z6489" i="1"/>
  <c r="Z6490" i="1"/>
  <c r="Z6491" i="1"/>
  <c r="Z6492" i="1"/>
  <c r="Z6493" i="1"/>
  <c r="Z6494" i="1"/>
  <c r="Z6495" i="1"/>
  <c r="Z6496" i="1"/>
  <c r="Z6497" i="1"/>
  <c r="Z6498" i="1"/>
  <c r="Z6499" i="1"/>
  <c r="Z6500" i="1"/>
  <c r="Z6501" i="1"/>
  <c r="Z6502" i="1"/>
  <c r="Z6503" i="1"/>
  <c r="Z6504" i="1"/>
  <c r="Z6505" i="1"/>
  <c r="Z6506" i="1"/>
  <c r="Z6507" i="1"/>
  <c r="Z6508" i="1"/>
  <c r="Z6509" i="1"/>
  <c r="Z6510" i="1"/>
  <c r="Z6511" i="1"/>
  <c r="Z6512" i="1"/>
  <c r="Z6513" i="1"/>
  <c r="Z6514" i="1"/>
  <c r="Z6515" i="1"/>
  <c r="Z6516" i="1"/>
  <c r="Z6517" i="1"/>
  <c r="Z6518" i="1"/>
  <c r="Z6519" i="1"/>
  <c r="Z6520" i="1"/>
  <c r="Z6521" i="1"/>
  <c r="Z6522" i="1"/>
  <c r="Z6523" i="1"/>
  <c r="Z6524" i="1"/>
  <c r="Z6525" i="1"/>
  <c r="Z6526" i="1"/>
  <c r="Z6527" i="1"/>
  <c r="Z6528" i="1"/>
  <c r="Z6529" i="1"/>
  <c r="Z6530" i="1"/>
  <c r="Z6531" i="1"/>
  <c r="Z6532" i="1"/>
  <c r="Z6533" i="1"/>
  <c r="Z6534" i="1"/>
  <c r="Z6535" i="1"/>
  <c r="Z6536" i="1"/>
  <c r="Z6537" i="1"/>
  <c r="Z6538" i="1"/>
  <c r="Z6539" i="1"/>
  <c r="Z6540" i="1"/>
  <c r="Z6541" i="1"/>
  <c r="Z6542" i="1"/>
  <c r="Z6543" i="1"/>
  <c r="Z6544" i="1"/>
  <c r="Z6545" i="1"/>
  <c r="Z6546" i="1"/>
  <c r="Z6547" i="1"/>
  <c r="Z6548" i="1"/>
  <c r="Z6549" i="1"/>
  <c r="Z6550" i="1"/>
  <c r="Z6551" i="1"/>
  <c r="Z6552" i="1"/>
  <c r="Z6553" i="1"/>
  <c r="Z6554" i="1"/>
  <c r="Z6555" i="1"/>
  <c r="Z6556" i="1"/>
  <c r="Z6557" i="1"/>
  <c r="Z6558" i="1"/>
  <c r="Z6559" i="1"/>
  <c r="Z6560" i="1"/>
  <c r="Z6561" i="1"/>
  <c r="Z6562" i="1"/>
  <c r="Z6563" i="1"/>
  <c r="Z6564" i="1"/>
  <c r="Z6565" i="1"/>
  <c r="Z6566" i="1"/>
  <c r="Z6567" i="1"/>
  <c r="Z6568" i="1"/>
  <c r="Z6569" i="1"/>
  <c r="Z6570" i="1"/>
  <c r="Z6571" i="1"/>
  <c r="Z6572" i="1"/>
  <c r="Z6573" i="1"/>
  <c r="Z6574" i="1"/>
  <c r="Z6575" i="1"/>
  <c r="Z6576" i="1"/>
  <c r="Z6577" i="1"/>
  <c r="Z6578" i="1"/>
  <c r="Z6579" i="1"/>
  <c r="Z6580" i="1"/>
  <c r="Z6581" i="1"/>
  <c r="Z6582" i="1"/>
  <c r="Z6583" i="1"/>
  <c r="Z6584" i="1"/>
  <c r="Z6585" i="1"/>
  <c r="Z6586" i="1"/>
  <c r="Z6587" i="1"/>
  <c r="Z6588" i="1"/>
  <c r="Z6589" i="1"/>
  <c r="Z6590" i="1"/>
  <c r="Z6591" i="1"/>
  <c r="Z6592" i="1"/>
  <c r="Z6593" i="1"/>
  <c r="Z6594" i="1"/>
  <c r="Z6595" i="1"/>
  <c r="Z6596" i="1"/>
  <c r="Z6597" i="1"/>
  <c r="Z6598" i="1"/>
  <c r="Z6599" i="1"/>
  <c r="Z6600" i="1"/>
  <c r="Z6601" i="1"/>
  <c r="Z6602" i="1"/>
  <c r="Z6603" i="1"/>
  <c r="Z6604" i="1"/>
  <c r="Z6605" i="1"/>
  <c r="Z6606" i="1"/>
  <c r="Z6607" i="1"/>
  <c r="Z6608" i="1"/>
  <c r="Z6609" i="1"/>
  <c r="Z6610" i="1"/>
  <c r="Z6611" i="1"/>
  <c r="Z6612" i="1"/>
  <c r="Z6613" i="1"/>
  <c r="Z6614" i="1"/>
  <c r="Z6615" i="1"/>
  <c r="Z6616" i="1"/>
  <c r="Z6617" i="1"/>
  <c r="Z6618" i="1"/>
  <c r="Z6619" i="1"/>
  <c r="Z6620" i="1"/>
  <c r="Z6621" i="1"/>
  <c r="Z6622" i="1"/>
  <c r="Z6623" i="1"/>
  <c r="Z6624" i="1"/>
  <c r="Z6625" i="1"/>
  <c r="Z6626" i="1"/>
  <c r="Z6627" i="1"/>
  <c r="Z6628" i="1"/>
  <c r="Z6629" i="1"/>
  <c r="Z6630" i="1"/>
  <c r="Z6631" i="1"/>
  <c r="Z6632" i="1"/>
  <c r="Z6633" i="1"/>
  <c r="Z6634" i="1"/>
  <c r="Z6635" i="1"/>
  <c r="Z6636" i="1"/>
  <c r="Z6637" i="1"/>
  <c r="Z6638" i="1"/>
  <c r="Z6639" i="1"/>
  <c r="Z6640" i="1"/>
  <c r="Z6641" i="1"/>
  <c r="Z6642" i="1"/>
  <c r="Z6643" i="1"/>
  <c r="Z6644" i="1"/>
  <c r="Z6645" i="1"/>
  <c r="Z6646" i="1"/>
  <c r="Z6647" i="1"/>
  <c r="Z6648" i="1"/>
  <c r="Z6649" i="1"/>
  <c r="Z6650" i="1"/>
  <c r="Z6651" i="1"/>
  <c r="Z6652" i="1"/>
  <c r="Z6653" i="1"/>
  <c r="Z6654" i="1"/>
  <c r="Z6655" i="1"/>
  <c r="Z6656" i="1"/>
  <c r="Z6657" i="1"/>
  <c r="Z6658" i="1"/>
  <c r="Z6659" i="1"/>
  <c r="Z6660" i="1"/>
  <c r="Z6661" i="1"/>
  <c r="Z6662" i="1"/>
  <c r="Z6663" i="1"/>
  <c r="Z6664" i="1"/>
  <c r="Z6665" i="1"/>
  <c r="Z6666" i="1"/>
  <c r="Z6667" i="1"/>
  <c r="Z6668" i="1"/>
  <c r="Z6669" i="1"/>
  <c r="Z6670" i="1"/>
  <c r="Z6671" i="1"/>
  <c r="Z6672" i="1"/>
  <c r="Z6673" i="1"/>
  <c r="Z6674" i="1"/>
  <c r="Z6675" i="1"/>
  <c r="Z6676" i="1"/>
  <c r="Z6677" i="1"/>
  <c r="Z6678" i="1"/>
  <c r="Z6679" i="1"/>
  <c r="Z6680" i="1"/>
  <c r="Z6681" i="1"/>
  <c r="Z6682" i="1"/>
  <c r="Z6683" i="1"/>
  <c r="Z6684" i="1"/>
  <c r="Z6685" i="1"/>
  <c r="Z6686" i="1"/>
  <c r="Z6687" i="1"/>
  <c r="Z6688" i="1"/>
  <c r="Z6689" i="1"/>
  <c r="Z6690" i="1"/>
  <c r="Z6691" i="1"/>
  <c r="Z6692" i="1"/>
  <c r="Z6693" i="1"/>
  <c r="Z6694" i="1"/>
  <c r="Z6695" i="1"/>
  <c r="Z6696" i="1"/>
  <c r="Z6697" i="1"/>
  <c r="Z6698" i="1"/>
  <c r="Z6699" i="1"/>
  <c r="Z6700" i="1"/>
  <c r="Z6701" i="1"/>
  <c r="Z6702" i="1"/>
  <c r="Z6703" i="1"/>
  <c r="Z6704" i="1"/>
  <c r="Z6705" i="1"/>
  <c r="Z6706" i="1"/>
  <c r="Z6707" i="1"/>
  <c r="Z6708" i="1"/>
  <c r="Z6709" i="1"/>
  <c r="Z6710" i="1"/>
  <c r="Z6711" i="1"/>
  <c r="Z6712" i="1"/>
  <c r="Z6713" i="1"/>
  <c r="Z6714" i="1"/>
  <c r="Z6715" i="1"/>
  <c r="Z6716" i="1"/>
  <c r="Z6717" i="1"/>
  <c r="Z6718" i="1"/>
  <c r="Z6719" i="1"/>
  <c r="Z6720" i="1"/>
  <c r="Z6721" i="1"/>
  <c r="Z6722" i="1"/>
  <c r="Z6723" i="1"/>
  <c r="Z6724" i="1"/>
  <c r="Z6725" i="1"/>
  <c r="Z6726" i="1"/>
  <c r="Z6727" i="1"/>
  <c r="Z6728" i="1"/>
  <c r="Z6729" i="1"/>
  <c r="Z6730" i="1"/>
  <c r="Z6731" i="1"/>
  <c r="Z6732" i="1"/>
  <c r="Z6733" i="1"/>
  <c r="Z6734" i="1"/>
  <c r="Z6735" i="1"/>
  <c r="Z6736" i="1"/>
  <c r="Z6737" i="1"/>
  <c r="Z6738" i="1"/>
  <c r="Z6739" i="1"/>
  <c r="Z6740" i="1"/>
  <c r="Z6741" i="1"/>
  <c r="Z6742" i="1"/>
  <c r="Z6743" i="1"/>
  <c r="Z6744" i="1"/>
  <c r="Z6745" i="1"/>
  <c r="Z6746" i="1"/>
  <c r="Z6747" i="1"/>
  <c r="Z6748" i="1"/>
  <c r="Z6749" i="1"/>
  <c r="Z6750" i="1"/>
  <c r="Z6751" i="1"/>
  <c r="Z6752" i="1"/>
  <c r="Z6753" i="1"/>
  <c r="Z6754" i="1"/>
  <c r="Z6755" i="1"/>
  <c r="Z6756" i="1"/>
  <c r="Z6757" i="1"/>
  <c r="Z6758" i="1"/>
  <c r="Z6759" i="1"/>
  <c r="Z6760" i="1"/>
  <c r="Z6761" i="1"/>
  <c r="Z6762" i="1"/>
  <c r="Z6763" i="1"/>
  <c r="Z6764" i="1"/>
  <c r="Z6765" i="1"/>
  <c r="Z6766" i="1"/>
  <c r="Z6767" i="1"/>
  <c r="Z6768" i="1"/>
  <c r="Z6769" i="1"/>
  <c r="Z6770" i="1"/>
  <c r="Z6771" i="1"/>
  <c r="Z6772" i="1"/>
  <c r="Z6773" i="1"/>
  <c r="Z6774" i="1"/>
  <c r="Z6775" i="1"/>
  <c r="Z6776" i="1"/>
  <c r="Z6777" i="1"/>
  <c r="Z6778" i="1"/>
  <c r="Z6779" i="1"/>
  <c r="Z6780" i="1"/>
  <c r="Z6781" i="1"/>
  <c r="Z6782" i="1"/>
  <c r="Z6783" i="1"/>
  <c r="Z6784" i="1"/>
  <c r="Z6785" i="1"/>
  <c r="Z6786" i="1"/>
  <c r="Z6787" i="1"/>
  <c r="Z6788" i="1"/>
  <c r="Z6789" i="1"/>
  <c r="Z6790" i="1"/>
  <c r="Z6791" i="1"/>
  <c r="Z6792" i="1"/>
  <c r="Z6793" i="1"/>
  <c r="Z6794" i="1"/>
  <c r="Z6795" i="1"/>
  <c r="Z6796" i="1"/>
  <c r="Z6797" i="1"/>
  <c r="Z6798" i="1"/>
  <c r="Z6799" i="1"/>
  <c r="Z6800" i="1"/>
  <c r="Z6801" i="1"/>
  <c r="Z6802" i="1"/>
  <c r="Z6803" i="1"/>
  <c r="Z6804" i="1"/>
  <c r="Z6805" i="1"/>
  <c r="Z6806" i="1"/>
  <c r="Z6807" i="1"/>
  <c r="Z6808" i="1"/>
  <c r="Z6809" i="1"/>
  <c r="Z6810" i="1"/>
  <c r="Z6811" i="1"/>
  <c r="Z6812" i="1"/>
  <c r="Z6813" i="1"/>
  <c r="Z6814" i="1"/>
  <c r="Z6815" i="1"/>
  <c r="Z6816" i="1"/>
  <c r="Z6817" i="1"/>
  <c r="Z6818" i="1"/>
  <c r="Z6819" i="1"/>
  <c r="Z6820" i="1"/>
  <c r="Z6821" i="1"/>
  <c r="Z6822" i="1"/>
  <c r="Z6823" i="1"/>
  <c r="Z6824" i="1"/>
  <c r="Z6825" i="1"/>
  <c r="Z6826" i="1"/>
  <c r="Z6827" i="1"/>
  <c r="Z6828" i="1"/>
  <c r="Z6829" i="1"/>
  <c r="Z6830" i="1"/>
  <c r="Z6831" i="1"/>
  <c r="Z6832" i="1"/>
  <c r="Z6833" i="1"/>
  <c r="Z6834" i="1"/>
  <c r="Z6835" i="1"/>
  <c r="Z6836" i="1"/>
  <c r="Z6837" i="1"/>
  <c r="Z6838" i="1"/>
  <c r="Z6839" i="1"/>
  <c r="Z6840" i="1"/>
  <c r="Z6841" i="1"/>
  <c r="Z6842" i="1"/>
  <c r="Z6843" i="1"/>
  <c r="Z6844" i="1"/>
  <c r="Z6845" i="1"/>
  <c r="Z6846" i="1"/>
  <c r="Z6847" i="1"/>
  <c r="Z6848" i="1"/>
  <c r="Z6849" i="1"/>
  <c r="Z6850" i="1"/>
  <c r="Z6851" i="1"/>
  <c r="Z6852" i="1"/>
  <c r="Z6853" i="1"/>
  <c r="Z6854" i="1"/>
  <c r="Z6855" i="1"/>
  <c r="Z6856" i="1"/>
  <c r="Z6857" i="1"/>
  <c r="Z6858" i="1"/>
  <c r="Z6859" i="1"/>
  <c r="Z6860" i="1"/>
  <c r="Z6861" i="1"/>
  <c r="Z6862" i="1"/>
  <c r="Z6863" i="1"/>
  <c r="Z6864" i="1"/>
  <c r="Z6865" i="1"/>
  <c r="Z6866" i="1"/>
  <c r="Z6867" i="1"/>
  <c r="Z6868" i="1"/>
  <c r="Z6869" i="1"/>
  <c r="Z6870" i="1"/>
  <c r="Z6871" i="1"/>
  <c r="Z6872" i="1"/>
  <c r="Z6873" i="1"/>
  <c r="Z6874" i="1"/>
  <c r="Z6875" i="1"/>
  <c r="Z6876" i="1"/>
  <c r="Z6877" i="1"/>
  <c r="Z6878" i="1"/>
  <c r="Z6879" i="1"/>
  <c r="Z6880" i="1"/>
  <c r="Z6881" i="1"/>
  <c r="Z6882" i="1"/>
  <c r="Z6883" i="1"/>
  <c r="Z6884" i="1"/>
  <c r="Z6885" i="1"/>
  <c r="Z6886" i="1"/>
  <c r="Z6887" i="1"/>
  <c r="Z6888" i="1"/>
  <c r="Z6889" i="1"/>
  <c r="Z6890" i="1"/>
  <c r="Z6891" i="1"/>
  <c r="Z6892" i="1"/>
  <c r="Z6893" i="1"/>
  <c r="Z6894" i="1"/>
  <c r="Z6895" i="1"/>
  <c r="Z6896" i="1"/>
  <c r="Z6897" i="1"/>
  <c r="Z6898" i="1"/>
  <c r="Z6899" i="1"/>
  <c r="Z6900" i="1"/>
  <c r="Z6901" i="1"/>
  <c r="Z6902" i="1"/>
  <c r="Z6903" i="1"/>
  <c r="Z6904" i="1"/>
  <c r="Z6905" i="1"/>
  <c r="Z6906" i="1"/>
  <c r="Z6907" i="1"/>
  <c r="Z6908" i="1"/>
  <c r="Z6909" i="1"/>
  <c r="Z6910" i="1"/>
  <c r="Z6911" i="1"/>
  <c r="Z6912" i="1"/>
  <c r="Z6913" i="1"/>
  <c r="Z6914" i="1"/>
  <c r="Z6915" i="1"/>
  <c r="Z6916" i="1"/>
  <c r="Z6917" i="1"/>
  <c r="Z6918" i="1"/>
  <c r="Z6919" i="1"/>
  <c r="Z6920" i="1"/>
  <c r="Z6921" i="1"/>
  <c r="Z6922" i="1"/>
  <c r="Z6923" i="1"/>
  <c r="Z6924" i="1"/>
  <c r="Z6925" i="1"/>
  <c r="Z6926" i="1"/>
  <c r="Z6927" i="1"/>
  <c r="Z6928" i="1"/>
  <c r="Z6929" i="1"/>
  <c r="Z6930" i="1"/>
  <c r="Z6931" i="1"/>
  <c r="Z6932" i="1"/>
  <c r="Z6933" i="1"/>
  <c r="Z6934" i="1"/>
  <c r="Z6935" i="1"/>
  <c r="Z6936" i="1"/>
  <c r="Z6937" i="1"/>
  <c r="Z6938" i="1"/>
  <c r="Z6939" i="1"/>
  <c r="Z6940" i="1"/>
  <c r="Z6941" i="1"/>
  <c r="Z6942" i="1"/>
  <c r="Z6943" i="1"/>
  <c r="Z6944" i="1"/>
  <c r="Z6945" i="1"/>
  <c r="Z6946" i="1"/>
  <c r="Z6947" i="1"/>
  <c r="Z6948" i="1"/>
  <c r="Z6949" i="1"/>
  <c r="Z6950" i="1"/>
  <c r="Z6951" i="1"/>
  <c r="Z6952" i="1"/>
  <c r="Z6953" i="1"/>
  <c r="Z6954" i="1"/>
  <c r="Z6955" i="1"/>
  <c r="Z6956" i="1"/>
  <c r="Z6957" i="1"/>
  <c r="Z6958" i="1"/>
  <c r="Z6959" i="1"/>
  <c r="Z6960" i="1"/>
  <c r="Z6961" i="1"/>
  <c r="Z6962" i="1"/>
  <c r="Z6963" i="1"/>
  <c r="Z6964" i="1"/>
  <c r="Z6965" i="1"/>
  <c r="Z6966" i="1"/>
  <c r="Z6967" i="1"/>
  <c r="Z6968" i="1"/>
  <c r="Z6969" i="1"/>
  <c r="Z6970" i="1"/>
  <c r="Z6971" i="1"/>
  <c r="Z6972" i="1"/>
  <c r="Z6973" i="1"/>
  <c r="Z6974" i="1"/>
  <c r="Z6975" i="1"/>
  <c r="Z6976" i="1"/>
  <c r="Z6977" i="1"/>
  <c r="Z6978" i="1"/>
  <c r="Z6979" i="1"/>
  <c r="Z6980" i="1"/>
  <c r="Z6981" i="1"/>
  <c r="Z6982" i="1"/>
  <c r="Z6983" i="1"/>
  <c r="Z6984" i="1"/>
  <c r="Z6985" i="1"/>
  <c r="Z6986" i="1"/>
  <c r="Z6987" i="1"/>
  <c r="Z6988" i="1"/>
  <c r="Z6989" i="1"/>
  <c r="Z6990" i="1"/>
  <c r="Z6991" i="1"/>
  <c r="Z6992" i="1"/>
  <c r="Z6993" i="1"/>
  <c r="Z6994" i="1"/>
  <c r="Z6995" i="1"/>
  <c r="Z6996" i="1"/>
  <c r="Z6997" i="1"/>
  <c r="Z6998" i="1"/>
  <c r="Z6999" i="1"/>
  <c r="Z7000" i="1"/>
  <c r="Z7001" i="1"/>
  <c r="Z7002" i="1"/>
  <c r="Z7003" i="1"/>
  <c r="Z7004" i="1"/>
  <c r="Z7005" i="1"/>
  <c r="Z7006" i="1"/>
  <c r="Z7007" i="1"/>
  <c r="Z7008" i="1"/>
  <c r="Z7009" i="1"/>
  <c r="Z7010" i="1"/>
  <c r="Z7011" i="1"/>
  <c r="Z7012" i="1"/>
  <c r="Z7013" i="1"/>
  <c r="Z7014" i="1"/>
  <c r="Z7015" i="1"/>
  <c r="Z7016" i="1"/>
  <c r="Z7017" i="1"/>
  <c r="Z7018" i="1"/>
  <c r="Z7019" i="1"/>
  <c r="Z7020" i="1"/>
  <c r="Z7021" i="1"/>
  <c r="Z7022" i="1"/>
  <c r="Z7023" i="1"/>
  <c r="Z7024" i="1"/>
  <c r="Z7025" i="1"/>
  <c r="Z7026" i="1"/>
  <c r="Z7027" i="1"/>
  <c r="Z7028" i="1"/>
  <c r="Z7029" i="1"/>
  <c r="Z7030" i="1"/>
  <c r="Z7031" i="1"/>
  <c r="Z7032" i="1"/>
  <c r="Z7033" i="1"/>
  <c r="Z7034" i="1"/>
  <c r="Z7035" i="1"/>
  <c r="Z7036" i="1"/>
  <c r="Z7037" i="1"/>
  <c r="Z7038" i="1"/>
  <c r="Z7039" i="1"/>
  <c r="Z7040" i="1"/>
  <c r="Z7041" i="1"/>
  <c r="Z7042" i="1"/>
  <c r="Z7043" i="1"/>
  <c r="Z7044" i="1"/>
  <c r="Z7045" i="1"/>
  <c r="Z7046" i="1"/>
  <c r="Z7047" i="1"/>
  <c r="Z7048" i="1"/>
  <c r="Z7049" i="1"/>
  <c r="Z7050" i="1"/>
  <c r="Z7051" i="1"/>
  <c r="Z7052" i="1"/>
  <c r="Z7053" i="1"/>
  <c r="Z7054" i="1"/>
  <c r="Z7055" i="1"/>
  <c r="Z7056" i="1"/>
  <c r="Z7057" i="1"/>
  <c r="Z7058" i="1"/>
  <c r="Z7059" i="1"/>
  <c r="Z7060" i="1"/>
  <c r="Z7061" i="1"/>
  <c r="Z7062" i="1"/>
  <c r="Z7063" i="1"/>
  <c r="Z7064" i="1"/>
  <c r="Z7065" i="1"/>
  <c r="Z7066" i="1"/>
  <c r="Z7067" i="1"/>
  <c r="Z7068" i="1"/>
  <c r="Z7069" i="1"/>
  <c r="Z7070" i="1"/>
  <c r="Z7071" i="1"/>
  <c r="Z7072" i="1"/>
  <c r="Z7073" i="1"/>
  <c r="Z7074" i="1"/>
  <c r="Z7075" i="1"/>
  <c r="Z7076" i="1"/>
  <c r="Z7077" i="1"/>
  <c r="Z7078" i="1"/>
  <c r="Z7079" i="1"/>
  <c r="Z7080" i="1"/>
  <c r="Z7081" i="1"/>
  <c r="Z7082" i="1"/>
  <c r="Z7083" i="1"/>
  <c r="Z7084" i="1"/>
  <c r="Z7085" i="1"/>
  <c r="Z7086" i="1"/>
  <c r="Z7087" i="1"/>
  <c r="Z7088" i="1"/>
  <c r="Z7089" i="1"/>
  <c r="Z7090" i="1"/>
  <c r="Z7091" i="1"/>
  <c r="Z7092" i="1"/>
  <c r="Z7093" i="1"/>
  <c r="Z7094" i="1"/>
  <c r="Z7095" i="1"/>
  <c r="Z7096" i="1"/>
  <c r="Z7097" i="1"/>
  <c r="Z7098" i="1"/>
  <c r="Z7099" i="1"/>
  <c r="Z7100" i="1"/>
  <c r="Z7101" i="1"/>
  <c r="Z7102" i="1"/>
  <c r="Z7103" i="1"/>
  <c r="Z7104" i="1"/>
  <c r="Z7105" i="1"/>
  <c r="Z7106" i="1"/>
  <c r="Z7107" i="1"/>
  <c r="Z7108" i="1"/>
  <c r="Z7109" i="1"/>
  <c r="Z7110" i="1"/>
  <c r="Z7111" i="1"/>
  <c r="Z7112" i="1"/>
  <c r="Z7113" i="1"/>
  <c r="Z7114" i="1"/>
  <c r="Z7115" i="1"/>
  <c r="Z7116" i="1"/>
  <c r="Z7117" i="1"/>
  <c r="Z7118" i="1"/>
  <c r="Z7119" i="1"/>
  <c r="Z7120" i="1"/>
  <c r="Z7121" i="1"/>
  <c r="Z7122" i="1"/>
  <c r="Z7123" i="1"/>
  <c r="Z7124" i="1"/>
  <c r="Z7125" i="1"/>
  <c r="Z7126" i="1"/>
  <c r="Z7127" i="1"/>
  <c r="Z7128" i="1"/>
  <c r="Z7129" i="1"/>
  <c r="Z7130" i="1"/>
  <c r="Z7131" i="1"/>
  <c r="Z7132" i="1"/>
  <c r="Z7133" i="1"/>
  <c r="Z7134" i="1"/>
  <c r="Z7135" i="1"/>
  <c r="Z7136" i="1"/>
  <c r="Z7137" i="1"/>
  <c r="Z7138" i="1"/>
  <c r="Z7139" i="1"/>
  <c r="Z7140" i="1"/>
  <c r="Z7141" i="1"/>
  <c r="Z7142" i="1"/>
  <c r="Z7143" i="1"/>
  <c r="Z7144" i="1"/>
  <c r="Z7145" i="1"/>
  <c r="Z7146" i="1"/>
  <c r="Z7147" i="1"/>
  <c r="Z7148" i="1"/>
  <c r="Z7149" i="1"/>
  <c r="Z7150" i="1"/>
  <c r="Z7151" i="1"/>
  <c r="Z7152" i="1"/>
  <c r="Z7153" i="1"/>
  <c r="Z7154" i="1"/>
  <c r="Z7155" i="1"/>
  <c r="Z7156" i="1"/>
  <c r="Z7157" i="1"/>
  <c r="Z7158" i="1"/>
  <c r="Z7159" i="1"/>
  <c r="Z7160" i="1"/>
  <c r="Z7161" i="1"/>
  <c r="Z7162" i="1"/>
  <c r="Z7163" i="1"/>
  <c r="Z7164" i="1"/>
  <c r="Z7165" i="1"/>
  <c r="Z7166" i="1"/>
  <c r="Z7167" i="1"/>
  <c r="Z7168" i="1"/>
  <c r="Z7169" i="1"/>
  <c r="Z7170" i="1"/>
  <c r="Z7171" i="1"/>
  <c r="Z7172" i="1"/>
  <c r="Z7173" i="1"/>
  <c r="Z7174" i="1"/>
  <c r="Z7175" i="1"/>
  <c r="Z7176" i="1"/>
  <c r="Z7177" i="1"/>
  <c r="Z7178" i="1"/>
  <c r="Z7179" i="1"/>
  <c r="Z7180" i="1"/>
  <c r="Z7181" i="1"/>
  <c r="Z7182" i="1"/>
  <c r="Z7183" i="1"/>
  <c r="Z7184" i="1"/>
  <c r="Z7185" i="1"/>
  <c r="Z7186" i="1"/>
  <c r="Z7187" i="1"/>
  <c r="Z7188" i="1"/>
  <c r="Z7189" i="1"/>
  <c r="Z7190" i="1"/>
  <c r="Z7191" i="1"/>
  <c r="Z7192" i="1"/>
  <c r="Z7193" i="1"/>
  <c r="Z7194" i="1"/>
  <c r="Z7195" i="1"/>
  <c r="Z7196" i="1"/>
  <c r="Z7197" i="1"/>
  <c r="Z7198" i="1"/>
  <c r="Z7199" i="1"/>
  <c r="Z7200" i="1"/>
  <c r="Z7201" i="1"/>
  <c r="Z7202" i="1"/>
  <c r="Z7203" i="1"/>
  <c r="Z7204" i="1"/>
  <c r="Z7205" i="1"/>
  <c r="Z7206" i="1"/>
  <c r="Z7207" i="1"/>
  <c r="Z7208" i="1"/>
  <c r="Z7209" i="1"/>
  <c r="Z7210" i="1"/>
  <c r="Z7211" i="1"/>
  <c r="Z7212" i="1"/>
  <c r="Z7213" i="1"/>
  <c r="Z7214" i="1"/>
  <c r="Z7215" i="1"/>
  <c r="Z7216" i="1"/>
  <c r="Z7217" i="1"/>
  <c r="Z7218" i="1"/>
  <c r="Z7219" i="1"/>
  <c r="Z7220" i="1"/>
  <c r="Z7221" i="1"/>
  <c r="Z7222" i="1"/>
  <c r="Z7223" i="1"/>
  <c r="Z7224" i="1"/>
  <c r="Z7225" i="1"/>
  <c r="Z7226" i="1"/>
  <c r="Z7227" i="1"/>
  <c r="Z7228" i="1"/>
  <c r="Z7229" i="1"/>
  <c r="Z7230" i="1"/>
  <c r="Z7231" i="1"/>
  <c r="Z7232" i="1"/>
  <c r="Z7233" i="1"/>
  <c r="Z7234" i="1"/>
  <c r="Z7235" i="1"/>
  <c r="Z7236" i="1"/>
  <c r="Z7237" i="1"/>
  <c r="Z7238" i="1"/>
  <c r="Z7239" i="1"/>
  <c r="Z7240" i="1"/>
  <c r="Z7241" i="1"/>
  <c r="Z7242" i="1"/>
  <c r="Z7243" i="1"/>
  <c r="Z7244" i="1"/>
  <c r="Z7245" i="1"/>
  <c r="Z7246" i="1"/>
  <c r="Z7247" i="1"/>
  <c r="Z7248" i="1"/>
  <c r="Z7249" i="1"/>
  <c r="Z7250" i="1"/>
  <c r="Z7251" i="1"/>
  <c r="Z7252" i="1"/>
  <c r="Z7253" i="1"/>
  <c r="Z7254" i="1"/>
  <c r="Z7255" i="1"/>
  <c r="Z7256" i="1"/>
  <c r="Z7257" i="1"/>
  <c r="Z7258" i="1"/>
  <c r="Z7259" i="1"/>
  <c r="Z7260" i="1"/>
  <c r="Z7261" i="1"/>
  <c r="Z7262" i="1"/>
  <c r="Z7263" i="1"/>
  <c r="Z7264" i="1"/>
  <c r="Z7265" i="1"/>
  <c r="Z7266" i="1"/>
  <c r="Z7267" i="1"/>
  <c r="Z7268" i="1"/>
  <c r="Z7269" i="1"/>
  <c r="Z7270" i="1"/>
  <c r="Z7271" i="1"/>
  <c r="Z7272" i="1"/>
  <c r="Z7273" i="1"/>
  <c r="Z7274" i="1"/>
  <c r="Z7275" i="1"/>
  <c r="Z7276" i="1"/>
  <c r="Z7277" i="1"/>
  <c r="Z7278" i="1"/>
  <c r="Z7279" i="1"/>
  <c r="Z7280" i="1"/>
  <c r="Z7281" i="1"/>
  <c r="Z7282" i="1"/>
  <c r="Z7283" i="1"/>
  <c r="Z7284" i="1"/>
  <c r="Z7285" i="1"/>
  <c r="Z7286" i="1"/>
  <c r="Z7287" i="1"/>
  <c r="Z7288" i="1"/>
  <c r="Z7289" i="1"/>
  <c r="Z7290" i="1"/>
  <c r="Z7291" i="1"/>
  <c r="Z7292" i="1"/>
  <c r="Z7293" i="1"/>
  <c r="Z7294" i="1"/>
  <c r="Z7295" i="1"/>
  <c r="Z7296" i="1"/>
  <c r="Z7297" i="1"/>
  <c r="Z7298" i="1"/>
  <c r="Z7299" i="1"/>
  <c r="Z7300" i="1"/>
  <c r="Z7301" i="1"/>
  <c r="Z7302" i="1"/>
  <c r="Z7303" i="1"/>
  <c r="Z7304" i="1"/>
  <c r="Z7305" i="1"/>
  <c r="Z7306" i="1"/>
  <c r="Z7307" i="1"/>
  <c r="Z7308" i="1"/>
  <c r="Z7309" i="1"/>
  <c r="Z7310" i="1"/>
  <c r="Z7311" i="1"/>
  <c r="Z7312" i="1"/>
  <c r="Z7313" i="1"/>
  <c r="Z7314" i="1"/>
  <c r="Z7315" i="1"/>
  <c r="Z7316" i="1"/>
  <c r="Z7317" i="1"/>
  <c r="Z7318" i="1"/>
  <c r="Z7319" i="1"/>
  <c r="Z7320" i="1"/>
  <c r="Z7321" i="1"/>
  <c r="Z7322" i="1"/>
  <c r="Z7323" i="1"/>
  <c r="Z7324" i="1"/>
  <c r="Z7325" i="1"/>
  <c r="Z7326" i="1"/>
  <c r="Z7327" i="1"/>
  <c r="Z7328" i="1"/>
  <c r="Z7329" i="1"/>
  <c r="Z7330" i="1"/>
  <c r="Z7331" i="1"/>
  <c r="Z7332" i="1"/>
  <c r="Z7333" i="1"/>
  <c r="Z7334" i="1"/>
  <c r="Z7335" i="1"/>
  <c r="Z7336" i="1"/>
  <c r="Z7337" i="1"/>
  <c r="Z7338" i="1"/>
  <c r="Z7339" i="1"/>
  <c r="Z7340" i="1"/>
  <c r="Z7341" i="1"/>
  <c r="Z7342" i="1"/>
  <c r="Z7343" i="1"/>
  <c r="Z7344" i="1"/>
  <c r="Z7345" i="1"/>
  <c r="Z7346" i="1"/>
  <c r="Z7347" i="1"/>
  <c r="Z7348" i="1"/>
  <c r="Z7349" i="1"/>
  <c r="Z7350" i="1"/>
  <c r="Z7351" i="1"/>
  <c r="Z7352" i="1"/>
  <c r="Z7353" i="1"/>
  <c r="Z7354" i="1"/>
  <c r="Z7355" i="1"/>
  <c r="Z7356" i="1"/>
  <c r="Z7357" i="1"/>
  <c r="Z7358" i="1"/>
  <c r="Z7359" i="1"/>
  <c r="Z7360" i="1"/>
  <c r="Z7361" i="1"/>
  <c r="Z7362" i="1"/>
  <c r="Z7363" i="1"/>
  <c r="Z7364" i="1"/>
  <c r="Z7365" i="1"/>
  <c r="Z7366" i="1"/>
  <c r="Z7367" i="1"/>
  <c r="Z7368" i="1"/>
  <c r="Z7369" i="1"/>
  <c r="Z7370" i="1"/>
  <c r="Z7371" i="1"/>
  <c r="Z7372" i="1"/>
  <c r="Z7373" i="1"/>
  <c r="Z7374" i="1"/>
  <c r="Z7375" i="1"/>
  <c r="Z7376" i="1"/>
  <c r="Z7377" i="1"/>
  <c r="Z7378" i="1"/>
  <c r="Z7379" i="1"/>
  <c r="Z7380" i="1"/>
  <c r="Z7381" i="1"/>
  <c r="Z7382" i="1"/>
  <c r="Z7383" i="1"/>
  <c r="Z7384" i="1"/>
  <c r="Z7385" i="1"/>
  <c r="Z7386" i="1"/>
  <c r="Z7387" i="1"/>
  <c r="Z7388" i="1"/>
  <c r="Z7389" i="1"/>
  <c r="Z7390" i="1"/>
  <c r="Z7391" i="1"/>
  <c r="Z7392" i="1"/>
  <c r="Z7393" i="1"/>
  <c r="Z7394" i="1"/>
  <c r="Z7395" i="1"/>
  <c r="Z7396" i="1"/>
  <c r="Z7397" i="1"/>
  <c r="Z7398" i="1"/>
  <c r="Z7399" i="1"/>
  <c r="Z7400" i="1"/>
  <c r="Z7401" i="1"/>
  <c r="Z7402" i="1"/>
  <c r="Z7403" i="1"/>
  <c r="Z7404" i="1"/>
  <c r="Z7405" i="1"/>
  <c r="Z7406" i="1"/>
  <c r="Z7407" i="1"/>
  <c r="Z7408" i="1"/>
  <c r="Z7409" i="1"/>
  <c r="Z7410" i="1"/>
  <c r="Z7411" i="1"/>
  <c r="Z7412" i="1"/>
  <c r="Z7413" i="1"/>
  <c r="Z7414" i="1"/>
  <c r="Z7415" i="1"/>
  <c r="Z7416" i="1"/>
  <c r="Z7417" i="1"/>
  <c r="Z7418" i="1"/>
  <c r="Z7419" i="1"/>
  <c r="Z7420" i="1"/>
  <c r="Z7421" i="1"/>
  <c r="Z7422" i="1"/>
  <c r="Z7423" i="1"/>
  <c r="Z7424" i="1"/>
  <c r="Z7425" i="1"/>
  <c r="Z7426" i="1"/>
  <c r="Z7427" i="1"/>
  <c r="Z7428" i="1"/>
  <c r="Z7429" i="1"/>
  <c r="Z7430" i="1"/>
  <c r="Z7431" i="1"/>
  <c r="Z7432" i="1"/>
  <c r="Z7433" i="1"/>
  <c r="Z7434" i="1"/>
  <c r="Z7435" i="1"/>
  <c r="Z7436" i="1"/>
  <c r="Z7437" i="1"/>
  <c r="Z7438" i="1"/>
  <c r="Z7439" i="1"/>
  <c r="Z7440" i="1"/>
  <c r="Z7441" i="1"/>
  <c r="Z7442" i="1"/>
  <c r="Z7443" i="1"/>
  <c r="Z7444" i="1"/>
  <c r="Z7445" i="1"/>
  <c r="Z7446" i="1"/>
  <c r="Z7447" i="1"/>
  <c r="Z7448" i="1"/>
  <c r="Z7449" i="1"/>
  <c r="Z7450" i="1"/>
  <c r="Z7451" i="1"/>
  <c r="Z7452" i="1"/>
  <c r="Z7453" i="1"/>
  <c r="Z7454" i="1"/>
  <c r="Z7455" i="1"/>
  <c r="Z7456" i="1"/>
  <c r="Z7457" i="1"/>
  <c r="Z7458" i="1"/>
  <c r="Z7459" i="1"/>
  <c r="Z7460" i="1"/>
  <c r="Z7461" i="1"/>
  <c r="Z7462" i="1"/>
  <c r="Z7463" i="1"/>
  <c r="Z7464" i="1"/>
  <c r="Z7465" i="1"/>
  <c r="Z7466" i="1"/>
  <c r="Z7467" i="1"/>
  <c r="Z7468" i="1"/>
  <c r="Z7469" i="1"/>
  <c r="Z7470" i="1"/>
  <c r="Z7471" i="1"/>
  <c r="Z7472" i="1"/>
  <c r="Z7473" i="1"/>
  <c r="Z7474" i="1"/>
  <c r="Z7475" i="1"/>
  <c r="Z7476" i="1"/>
  <c r="Z7477" i="1"/>
  <c r="Z7478" i="1"/>
  <c r="Z7479" i="1"/>
  <c r="Z7480" i="1"/>
  <c r="Z7481" i="1"/>
  <c r="Z7482" i="1"/>
  <c r="Z7483" i="1"/>
  <c r="Z7484" i="1"/>
  <c r="Z7485" i="1"/>
  <c r="Z7486" i="1"/>
  <c r="Z7487" i="1"/>
  <c r="Z7488" i="1"/>
  <c r="Z7489" i="1"/>
  <c r="Z7490" i="1"/>
  <c r="Z7491" i="1"/>
  <c r="Z7492" i="1"/>
  <c r="Z7493" i="1"/>
  <c r="Z7494" i="1"/>
  <c r="Z7495" i="1"/>
  <c r="Z7496" i="1"/>
  <c r="Z7497" i="1"/>
  <c r="Z7498" i="1"/>
  <c r="Z7499" i="1"/>
  <c r="Z7500" i="1"/>
  <c r="Z7501" i="1"/>
  <c r="Z7502" i="1"/>
  <c r="Z7503" i="1"/>
  <c r="Z7504" i="1"/>
  <c r="Z7505" i="1"/>
  <c r="Z7506" i="1"/>
  <c r="Z7507" i="1"/>
  <c r="Z7508" i="1"/>
  <c r="Z7509" i="1"/>
  <c r="Z7510" i="1"/>
  <c r="Z7511" i="1"/>
  <c r="Z7512" i="1"/>
  <c r="Z7513" i="1"/>
  <c r="Z7514" i="1"/>
  <c r="Z7515" i="1"/>
  <c r="Z7516" i="1"/>
  <c r="Z7517" i="1"/>
  <c r="Z7518" i="1"/>
  <c r="Z7519" i="1"/>
  <c r="Z7520" i="1"/>
  <c r="Z7521" i="1"/>
  <c r="Z7522" i="1"/>
  <c r="Z7523" i="1"/>
  <c r="Z7524" i="1"/>
  <c r="Z7525" i="1"/>
  <c r="Z7526" i="1"/>
  <c r="Z7527" i="1"/>
  <c r="Z7528" i="1"/>
  <c r="Z7529" i="1"/>
  <c r="Z7530" i="1"/>
  <c r="Z7531" i="1"/>
  <c r="Z7532" i="1"/>
  <c r="Z7533" i="1"/>
  <c r="Z7534" i="1"/>
  <c r="Z7535" i="1"/>
  <c r="Z7536" i="1"/>
  <c r="Z7537" i="1"/>
  <c r="Z7538" i="1"/>
  <c r="Z7539" i="1"/>
  <c r="Z7540" i="1"/>
  <c r="Z7541" i="1"/>
  <c r="Z7542" i="1"/>
  <c r="Z7543" i="1"/>
  <c r="Z7544" i="1"/>
  <c r="Z7545" i="1"/>
  <c r="Z7546" i="1"/>
  <c r="Z7547" i="1"/>
  <c r="Z7548" i="1"/>
  <c r="Z7549" i="1"/>
  <c r="Z7550" i="1"/>
  <c r="Z7551" i="1"/>
  <c r="Z7552" i="1"/>
  <c r="Z7553" i="1"/>
  <c r="Z7554" i="1"/>
  <c r="Z7555" i="1"/>
  <c r="Z7556" i="1"/>
  <c r="Z7557" i="1"/>
  <c r="Z7558" i="1"/>
  <c r="Z7559" i="1"/>
  <c r="Z7560" i="1"/>
  <c r="Z7561" i="1"/>
  <c r="Z7562" i="1"/>
  <c r="Z7563" i="1"/>
  <c r="Z7564" i="1"/>
  <c r="Z7565" i="1"/>
  <c r="Z7566" i="1"/>
  <c r="Z7567" i="1"/>
  <c r="Z7568" i="1"/>
  <c r="Z7569" i="1"/>
  <c r="Z7570" i="1"/>
  <c r="Z7571" i="1"/>
  <c r="Z7572" i="1"/>
  <c r="Z7573" i="1"/>
  <c r="Z7574" i="1"/>
  <c r="Z7575" i="1"/>
  <c r="Z7576" i="1"/>
  <c r="Z7577" i="1"/>
  <c r="Z7578" i="1"/>
  <c r="Z7579" i="1"/>
  <c r="Z7580" i="1"/>
  <c r="Z7581" i="1"/>
  <c r="Z7582" i="1"/>
  <c r="Z7583" i="1"/>
  <c r="Z7584" i="1"/>
  <c r="Z7585" i="1"/>
  <c r="Z7586" i="1"/>
  <c r="Z7587" i="1"/>
  <c r="Z7588" i="1"/>
  <c r="Z7589" i="1"/>
  <c r="Z7590" i="1"/>
  <c r="Z7591" i="1"/>
  <c r="Z7592" i="1"/>
  <c r="Z7593" i="1"/>
  <c r="Z7594" i="1"/>
  <c r="Z7595" i="1"/>
  <c r="Z7596" i="1"/>
  <c r="Z7597" i="1"/>
  <c r="Z7598" i="1"/>
  <c r="Z7599" i="1"/>
  <c r="Z7600" i="1"/>
  <c r="Z7601" i="1"/>
  <c r="Z7602" i="1"/>
  <c r="Z7603" i="1"/>
  <c r="Z7604" i="1"/>
  <c r="Z7605" i="1"/>
  <c r="Z7606" i="1"/>
  <c r="Z7607" i="1"/>
  <c r="Z7608" i="1"/>
  <c r="Z7609" i="1"/>
  <c r="Z7610" i="1"/>
  <c r="Z7611" i="1"/>
  <c r="Z7612" i="1"/>
  <c r="Z7613" i="1"/>
  <c r="Z7614" i="1"/>
  <c r="Z7615" i="1"/>
  <c r="Z7616" i="1"/>
  <c r="Z7617" i="1"/>
  <c r="Z7618" i="1"/>
  <c r="Z7619" i="1"/>
  <c r="Z7620" i="1"/>
  <c r="Z7621" i="1"/>
  <c r="Z7622" i="1"/>
  <c r="Z7623" i="1"/>
  <c r="Z7624" i="1"/>
  <c r="Z7625" i="1"/>
  <c r="Z7626" i="1"/>
  <c r="Z7627" i="1"/>
  <c r="Z7628" i="1"/>
  <c r="Z7629" i="1"/>
  <c r="Z7630" i="1"/>
  <c r="Z7631" i="1"/>
  <c r="Z7632" i="1"/>
  <c r="Z7633" i="1"/>
  <c r="Z7634" i="1"/>
  <c r="Z7635" i="1"/>
  <c r="Z7636" i="1"/>
  <c r="Z7637" i="1"/>
  <c r="Z7638" i="1"/>
  <c r="Z7639" i="1"/>
  <c r="Z7640" i="1"/>
  <c r="Z7641" i="1"/>
  <c r="Z7642" i="1"/>
  <c r="Z7643" i="1"/>
  <c r="Z7644" i="1"/>
  <c r="Z7645" i="1"/>
  <c r="Z7646" i="1"/>
  <c r="Z7647" i="1"/>
  <c r="Z7648" i="1"/>
  <c r="Z7649" i="1"/>
  <c r="Z7650" i="1"/>
  <c r="Z7651" i="1"/>
  <c r="Z7652" i="1"/>
  <c r="Z7653" i="1"/>
  <c r="Z7654" i="1"/>
  <c r="Z7655" i="1"/>
  <c r="Z7656" i="1"/>
  <c r="Z7657" i="1"/>
  <c r="Z7658" i="1"/>
  <c r="Z7659" i="1"/>
  <c r="Z7660" i="1"/>
  <c r="Z7661" i="1"/>
  <c r="Z7662" i="1"/>
  <c r="Z7663" i="1"/>
  <c r="Z7664" i="1"/>
  <c r="Z7665" i="1"/>
  <c r="Z7666" i="1"/>
  <c r="Z7667" i="1"/>
  <c r="Z7668" i="1"/>
  <c r="Z7669" i="1"/>
  <c r="Z7670" i="1"/>
  <c r="Z7671" i="1"/>
  <c r="Z7672" i="1"/>
  <c r="Z7673" i="1"/>
  <c r="Z7674" i="1"/>
  <c r="Z7675" i="1"/>
  <c r="Z7676" i="1"/>
  <c r="Z7677" i="1"/>
  <c r="Z7678" i="1"/>
  <c r="Z7679" i="1"/>
  <c r="Z7680" i="1"/>
  <c r="Z7681" i="1"/>
  <c r="Z7682" i="1"/>
  <c r="Z7683" i="1"/>
  <c r="Z7684" i="1"/>
  <c r="Z7685" i="1"/>
  <c r="Z7686" i="1"/>
  <c r="Z7687" i="1"/>
  <c r="Z7688" i="1"/>
  <c r="Z7689" i="1"/>
  <c r="Z7690" i="1"/>
  <c r="Z7691" i="1"/>
  <c r="Z7692" i="1"/>
  <c r="Z7693" i="1"/>
  <c r="Z7694" i="1"/>
  <c r="Z7695" i="1"/>
  <c r="Z7696" i="1"/>
  <c r="Z7697" i="1"/>
  <c r="Z7698" i="1"/>
  <c r="Z7699" i="1"/>
  <c r="Z7700" i="1"/>
  <c r="Z7701" i="1"/>
  <c r="Z7702" i="1"/>
  <c r="Z7703" i="1"/>
  <c r="Z7704" i="1"/>
  <c r="Z7705" i="1"/>
  <c r="Z7706" i="1"/>
  <c r="Z7707" i="1"/>
  <c r="Z7708" i="1"/>
  <c r="Z7709" i="1"/>
  <c r="Z7710" i="1"/>
  <c r="Z7711" i="1"/>
  <c r="Z7712" i="1"/>
  <c r="Z7713" i="1"/>
  <c r="Z7714" i="1"/>
  <c r="Z7715" i="1"/>
  <c r="Z7716" i="1"/>
  <c r="Z7717" i="1"/>
  <c r="Z7718" i="1"/>
  <c r="Z7719" i="1"/>
  <c r="Z7720" i="1"/>
  <c r="Z7721" i="1"/>
  <c r="Z7722" i="1"/>
  <c r="Z7723" i="1"/>
  <c r="Z7724" i="1"/>
  <c r="Z7725" i="1"/>
  <c r="Z7726" i="1"/>
  <c r="Z7727" i="1"/>
  <c r="Z7728" i="1"/>
  <c r="Z7729" i="1"/>
  <c r="Z7730" i="1"/>
  <c r="Z7731" i="1"/>
  <c r="Z7732" i="1"/>
  <c r="Z7733" i="1"/>
  <c r="Z7734" i="1"/>
  <c r="Z7735" i="1"/>
  <c r="Z7736" i="1"/>
  <c r="Z7737" i="1"/>
  <c r="Z7738" i="1"/>
  <c r="Z7739" i="1"/>
  <c r="Z7740" i="1"/>
  <c r="Z7741" i="1"/>
  <c r="Z7742" i="1"/>
  <c r="Z7743" i="1"/>
  <c r="Z7744" i="1"/>
  <c r="Z7745" i="1"/>
  <c r="Z7746" i="1"/>
  <c r="Z7747" i="1"/>
  <c r="Z7748" i="1"/>
  <c r="Z7749" i="1"/>
  <c r="Z7750" i="1"/>
  <c r="Z7751" i="1"/>
  <c r="Z7752" i="1"/>
  <c r="Z7753" i="1"/>
  <c r="Z7754" i="1"/>
  <c r="Z7755" i="1"/>
  <c r="Z7756" i="1"/>
  <c r="Z7757" i="1"/>
  <c r="Z7758" i="1"/>
  <c r="Z7759" i="1"/>
  <c r="Z7760" i="1"/>
  <c r="Z7761" i="1"/>
  <c r="Z7762" i="1"/>
  <c r="Z7763" i="1"/>
  <c r="Z7764" i="1"/>
  <c r="Z7765" i="1"/>
  <c r="Z7766" i="1"/>
  <c r="Z7767" i="1"/>
  <c r="Z7768" i="1"/>
  <c r="Z7769" i="1"/>
  <c r="Z7770" i="1"/>
  <c r="Z7771" i="1"/>
  <c r="Z7772" i="1"/>
  <c r="Z7773" i="1"/>
  <c r="Z7774" i="1"/>
  <c r="Z7775" i="1"/>
  <c r="Z7776" i="1"/>
  <c r="Z7777" i="1"/>
  <c r="Z7778" i="1"/>
  <c r="Z7779" i="1"/>
  <c r="Z7780" i="1"/>
  <c r="Z7781" i="1"/>
  <c r="Z7782" i="1"/>
  <c r="Z7783" i="1"/>
  <c r="Z7784" i="1"/>
  <c r="Z7785" i="1"/>
  <c r="Z7786" i="1"/>
  <c r="Z7787" i="1"/>
  <c r="Z7788" i="1"/>
  <c r="Z7789" i="1"/>
  <c r="Z7790" i="1"/>
  <c r="Z7791" i="1"/>
  <c r="Z7792" i="1"/>
  <c r="Z7793" i="1"/>
  <c r="Z7794" i="1"/>
  <c r="Z7795" i="1"/>
  <c r="Z7796" i="1"/>
  <c r="Z7797" i="1"/>
  <c r="Z7798" i="1"/>
  <c r="Z7799" i="1"/>
  <c r="Z7800" i="1"/>
  <c r="Z7801" i="1"/>
  <c r="Z7802" i="1"/>
  <c r="Z7803" i="1"/>
  <c r="Z7804" i="1"/>
  <c r="Z7805" i="1"/>
  <c r="Z7806" i="1"/>
  <c r="Z7807" i="1"/>
  <c r="Z7808" i="1"/>
  <c r="Z7809" i="1"/>
  <c r="Z7810" i="1"/>
  <c r="Z7811" i="1"/>
  <c r="Z7812" i="1"/>
  <c r="Z7813" i="1"/>
  <c r="Z7814" i="1"/>
  <c r="Z7815" i="1"/>
  <c r="Z7816" i="1"/>
  <c r="Z7817" i="1"/>
  <c r="Z7818" i="1"/>
  <c r="Z7819" i="1"/>
  <c r="Z7820" i="1"/>
  <c r="Z7821" i="1"/>
  <c r="Z7822" i="1"/>
  <c r="Z7823" i="1"/>
  <c r="Z7824" i="1"/>
  <c r="Z7825" i="1"/>
  <c r="Z7826" i="1"/>
  <c r="Z7827" i="1"/>
  <c r="Z7828" i="1"/>
  <c r="Z7829" i="1"/>
  <c r="Z7830" i="1"/>
  <c r="Z7831" i="1"/>
  <c r="Z7832" i="1"/>
  <c r="Z7833" i="1"/>
  <c r="Z7834" i="1"/>
  <c r="Z7835" i="1"/>
  <c r="Z7836" i="1"/>
  <c r="Z7837" i="1"/>
  <c r="Z7838" i="1"/>
  <c r="Z7839" i="1"/>
  <c r="Z7840" i="1"/>
  <c r="Z7841" i="1"/>
  <c r="Z7842" i="1"/>
  <c r="Z7843" i="1"/>
  <c r="Z7844" i="1"/>
  <c r="Z7845" i="1"/>
  <c r="Z7846" i="1"/>
  <c r="Z7847" i="1"/>
  <c r="Z7848" i="1"/>
  <c r="Z7849" i="1"/>
  <c r="Z7850" i="1"/>
  <c r="Z7851" i="1"/>
  <c r="Z7852" i="1"/>
  <c r="Z7853" i="1"/>
  <c r="Z7854" i="1"/>
  <c r="Z7855" i="1"/>
  <c r="Z7856" i="1"/>
  <c r="Z7857" i="1"/>
  <c r="Z7858" i="1"/>
  <c r="Z7859" i="1"/>
  <c r="Z7860" i="1"/>
  <c r="Z7861" i="1"/>
  <c r="Z7862" i="1"/>
  <c r="Z7863" i="1"/>
  <c r="Z7864" i="1"/>
  <c r="Z7865" i="1"/>
  <c r="Z7866" i="1"/>
  <c r="Z7867" i="1"/>
  <c r="Z7868" i="1"/>
  <c r="Z7869" i="1"/>
  <c r="Z7870" i="1"/>
  <c r="Z7871" i="1"/>
  <c r="Z7872" i="1"/>
  <c r="Z7873" i="1"/>
  <c r="Z7874" i="1"/>
  <c r="Z7875" i="1"/>
  <c r="Z7876" i="1"/>
  <c r="Z7877" i="1"/>
  <c r="Z7878" i="1"/>
  <c r="Z7879" i="1"/>
  <c r="Z7880" i="1"/>
  <c r="Z7881" i="1"/>
  <c r="Z7882" i="1"/>
  <c r="Z7883" i="1"/>
  <c r="Z7884" i="1"/>
  <c r="Z7885" i="1"/>
  <c r="Z7886" i="1"/>
  <c r="Z7887" i="1"/>
  <c r="Z7888" i="1"/>
  <c r="Z7889" i="1"/>
  <c r="Z7890" i="1"/>
  <c r="Z7891" i="1"/>
  <c r="Z7892" i="1"/>
  <c r="Z7893" i="1"/>
  <c r="Z7894" i="1"/>
  <c r="Z7895" i="1"/>
  <c r="Z7896" i="1"/>
  <c r="Z7897" i="1"/>
  <c r="Z7898" i="1"/>
  <c r="Z7899" i="1"/>
  <c r="Z7900" i="1"/>
  <c r="Z7901" i="1"/>
  <c r="Z7902" i="1"/>
  <c r="Z7903" i="1"/>
  <c r="Z7904" i="1"/>
  <c r="Z7905" i="1"/>
  <c r="Z7906" i="1"/>
  <c r="Z7907" i="1"/>
  <c r="Z7908" i="1"/>
  <c r="Z7909" i="1"/>
  <c r="Z7910" i="1"/>
  <c r="Z7911" i="1"/>
  <c r="Z7912" i="1"/>
  <c r="Z7913" i="1"/>
  <c r="Z7914" i="1"/>
  <c r="Z7915" i="1"/>
  <c r="Z7916" i="1"/>
  <c r="Z7917" i="1"/>
  <c r="Z7918" i="1"/>
  <c r="Z7919" i="1"/>
  <c r="Z7920" i="1"/>
  <c r="Z7921" i="1"/>
  <c r="Z7922" i="1"/>
  <c r="Z7923" i="1"/>
  <c r="Z7924" i="1"/>
  <c r="Z7925" i="1"/>
  <c r="Z7926" i="1"/>
  <c r="Z7927" i="1"/>
  <c r="Z7928" i="1"/>
  <c r="Z7929" i="1"/>
  <c r="Z7930" i="1"/>
  <c r="Z7931" i="1"/>
  <c r="Z7932" i="1"/>
  <c r="Z7933" i="1"/>
  <c r="Z7934" i="1"/>
  <c r="Z7935" i="1"/>
  <c r="Z7936" i="1"/>
  <c r="Z7937" i="1"/>
  <c r="Z7938" i="1"/>
  <c r="Z7939" i="1"/>
  <c r="Z7940" i="1"/>
  <c r="Z7941" i="1"/>
  <c r="Z7942" i="1"/>
  <c r="Z7943" i="1"/>
  <c r="Z7944" i="1"/>
  <c r="Z7945" i="1"/>
  <c r="Z7946" i="1"/>
  <c r="Z7947" i="1"/>
  <c r="Z7948" i="1"/>
  <c r="Z7949" i="1"/>
  <c r="Z7950" i="1"/>
  <c r="Z7951" i="1"/>
  <c r="Z7952" i="1"/>
  <c r="Z7953" i="1"/>
  <c r="Z7954" i="1"/>
  <c r="Z7955" i="1"/>
  <c r="Z7956" i="1"/>
  <c r="Z7957" i="1"/>
  <c r="Z7958" i="1"/>
  <c r="Z7959" i="1"/>
  <c r="Z7960" i="1"/>
  <c r="Z7961" i="1"/>
  <c r="Z7962" i="1"/>
  <c r="Z7963" i="1"/>
  <c r="Z7964" i="1"/>
  <c r="Z7965" i="1"/>
  <c r="Z7966" i="1"/>
  <c r="Z7967" i="1"/>
  <c r="Z7968" i="1"/>
  <c r="Z7969" i="1"/>
  <c r="Z7970" i="1"/>
  <c r="Z7971" i="1"/>
  <c r="Z7972" i="1"/>
  <c r="Z7973" i="1"/>
  <c r="Z7974" i="1"/>
  <c r="Z7975" i="1"/>
  <c r="Z7976" i="1"/>
  <c r="Z7977" i="1"/>
  <c r="Z7978" i="1"/>
  <c r="Z7979" i="1"/>
  <c r="Z7980" i="1"/>
  <c r="Z7981" i="1"/>
  <c r="Z7982" i="1"/>
  <c r="Z7983" i="1"/>
  <c r="Z7984" i="1"/>
  <c r="Z7985" i="1"/>
  <c r="Z7986" i="1"/>
  <c r="Z7987" i="1"/>
  <c r="Z7988" i="1"/>
  <c r="Z7989" i="1"/>
  <c r="Z7990" i="1"/>
  <c r="Z7991" i="1"/>
  <c r="Z7992" i="1"/>
  <c r="Z7993" i="1"/>
  <c r="Z7994" i="1"/>
  <c r="Z7995" i="1"/>
  <c r="Z7996" i="1"/>
  <c r="Z7997" i="1"/>
  <c r="Z7998" i="1"/>
  <c r="Z7999" i="1"/>
  <c r="Z8000" i="1"/>
  <c r="Z8001" i="1"/>
  <c r="Z8002" i="1"/>
  <c r="Z8003" i="1"/>
  <c r="Z8004" i="1"/>
  <c r="Z8005" i="1"/>
  <c r="Z8006" i="1"/>
  <c r="Z8007" i="1"/>
  <c r="Z8008" i="1"/>
  <c r="Z8009" i="1"/>
  <c r="Z8010" i="1"/>
  <c r="Z8011" i="1"/>
  <c r="Z8012" i="1"/>
  <c r="Z8013" i="1"/>
  <c r="Z8014" i="1"/>
  <c r="Z8015" i="1"/>
  <c r="Z8016" i="1"/>
  <c r="Z8017" i="1"/>
  <c r="Z8018" i="1"/>
  <c r="Z8019" i="1"/>
  <c r="Z8020" i="1"/>
  <c r="Z8021" i="1"/>
  <c r="Z8022" i="1"/>
  <c r="Z8023" i="1"/>
  <c r="Z8024" i="1"/>
  <c r="Z8025" i="1"/>
  <c r="Z8026" i="1"/>
  <c r="Z8027" i="1"/>
  <c r="Z8028" i="1"/>
  <c r="Z8029" i="1"/>
  <c r="Z8030" i="1"/>
  <c r="Z8031" i="1"/>
  <c r="Z8032" i="1"/>
  <c r="Z8033" i="1"/>
  <c r="Z8034" i="1"/>
  <c r="Z8035" i="1"/>
  <c r="Z8036" i="1"/>
  <c r="Z8037" i="1"/>
  <c r="Z8038" i="1"/>
  <c r="Z8039" i="1"/>
  <c r="Z8040" i="1"/>
  <c r="Z8041" i="1"/>
  <c r="Z8042" i="1"/>
  <c r="Z8043" i="1"/>
  <c r="Z8044" i="1"/>
  <c r="Z8045" i="1"/>
  <c r="Z8046" i="1"/>
  <c r="Z8047" i="1"/>
  <c r="Z8048" i="1"/>
  <c r="Z8049" i="1"/>
  <c r="Z8050" i="1"/>
  <c r="Z8051" i="1"/>
  <c r="Z8052" i="1"/>
  <c r="Z8053" i="1"/>
  <c r="Z8054" i="1"/>
  <c r="Z8055" i="1"/>
  <c r="Z8056" i="1"/>
  <c r="Z8057" i="1"/>
  <c r="Z8058" i="1"/>
  <c r="Z8059" i="1"/>
  <c r="Z8060" i="1"/>
  <c r="Z8061" i="1"/>
  <c r="Z8062" i="1"/>
  <c r="Z8063" i="1"/>
  <c r="Z8064" i="1"/>
  <c r="Z8065" i="1"/>
  <c r="Z8066" i="1"/>
  <c r="Z8067" i="1"/>
  <c r="Z8068" i="1"/>
  <c r="Z8069" i="1"/>
  <c r="Z8070" i="1"/>
  <c r="Z8071" i="1"/>
  <c r="Z8072" i="1"/>
  <c r="Z8073" i="1"/>
  <c r="Z8074" i="1"/>
  <c r="Z8075" i="1"/>
  <c r="Z8076" i="1"/>
  <c r="Z8077" i="1"/>
  <c r="Z8078" i="1"/>
  <c r="Z8079" i="1"/>
  <c r="Z8080" i="1"/>
  <c r="Z8081" i="1"/>
  <c r="Z8082" i="1"/>
  <c r="Z8083" i="1"/>
  <c r="Z8084" i="1"/>
  <c r="Z8085" i="1"/>
  <c r="Z8086" i="1"/>
  <c r="Z8087" i="1"/>
  <c r="Z8088" i="1"/>
  <c r="Z8089" i="1"/>
  <c r="Z8090" i="1"/>
  <c r="Z8091" i="1"/>
  <c r="Z8092" i="1"/>
  <c r="Z8093" i="1"/>
  <c r="Z8094" i="1"/>
  <c r="Z8095" i="1"/>
  <c r="Z8096" i="1"/>
  <c r="Z8097" i="1"/>
  <c r="Z8098" i="1"/>
  <c r="Z8099" i="1"/>
  <c r="Z8100" i="1"/>
  <c r="Z8101" i="1"/>
  <c r="Z8102" i="1"/>
  <c r="Z8103" i="1"/>
  <c r="Z8104" i="1"/>
  <c r="Z8105" i="1"/>
  <c r="Z8106" i="1"/>
  <c r="Z8107" i="1"/>
  <c r="Z8108" i="1"/>
  <c r="Z8109" i="1"/>
  <c r="Z8110" i="1"/>
  <c r="Z8111" i="1"/>
  <c r="Z8112" i="1"/>
  <c r="Z8113" i="1"/>
  <c r="Z8114" i="1"/>
  <c r="Z8115" i="1"/>
  <c r="Z8116" i="1"/>
  <c r="Z8117" i="1"/>
  <c r="Z8118" i="1"/>
  <c r="Z8119" i="1"/>
  <c r="Z8120" i="1"/>
  <c r="Z8121" i="1"/>
  <c r="Z8122" i="1"/>
  <c r="Z8123" i="1"/>
  <c r="Z8124" i="1"/>
  <c r="Z8125" i="1"/>
  <c r="Z8126" i="1"/>
  <c r="Z8127" i="1"/>
  <c r="Z8128" i="1"/>
  <c r="Z8129" i="1"/>
  <c r="Z8130" i="1"/>
  <c r="Z8131" i="1"/>
  <c r="Z8132" i="1"/>
  <c r="Z8133" i="1"/>
  <c r="Z8134" i="1"/>
  <c r="Z8135" i="1"/>
  <c r="Z8136" i="1"/>
  <c r="Z8137" i="1"/>
  <c r="Z8138" i="1"/>
  <c r="Z8139" i="1"/>
  <c r="Z8140" i="1"/>
  <c r="Z8141" i="1"/>
  <c r="Z8142" i="1"/>
  <c r="Z8143" i="1"/>
  <c r="Z8144" i="1"/>
  <c r="Z8145" i="1"/>
  <c r="Z8146" i="1"/>
  <c r="Z8147" i="1"/>
  <c r="Z8148" i="1"/>
  <c r="Z8149" i="1"/>
  <c r="Z8150" i="1"/>
  <c r="Z8151" i="1"/>
  <c r="Z8152" i="1"/>
  <c r="Z8153" i="1"/>
  <c r="Z8154" i="1"/>
  <c r="Z8155" i="1"/>
  <c r="Z8156" i="1"/>
  <c r="Z8157" i="1"/>
  <c r="Z8158" i="1"/>
  <c r="Z8159" i="1"/>
  <c r="Z8160" i="1"/>
  <c r="Z8161" i="1"/>
  <c r="Z8162" i="1"/>
  <c r="Z8163" i="1"/>
  <c r="Z8164" i="1"/>
  <c r="Z8165" i="1"/>
  <c r="Z8166" i="1"/>
  <c r="Z8167" i="1"/>
  <c r="Z8168" i="1"/>
  <c r="Z8169" i="1"/>
  <c r="Z8170" i="1"/>
  <c r="Z8171" i="1"/>
  <c r="Z8172" i="1"/>
  <c r="Z8173" i="1"/>
  <c r="Z8174" i="1"/>
  <c r="Z8175" i="1"/>
  <c r="Z8176" i="1"/>
  <c r="Z8177" i="1"/>
  <c r="Z8178" i="1"/>
  <c r="Z8179" i="1"/>
  <c r="Z8180" i="1"/>
  <c r="Z8181" i="1"/>
  <c r="Z8182" i="1"/>
  <c r="Z8183" i="1"/>
  <c r="Z8184" i="1"/>
  <c r="Z8185" i="1"/>
  <c r="Z8186" i="1"/>
  <c r="Z8187" i="1"/>
  <c r="Z8188" i="1"/>
  <c r="Z8189" i="1"/>
  <c r="Z8190" i="1"/>
  <c r="Z8191" i="1"/>
  <c r="Z8192" i="1"/>
  <c r="Z8193" i="1"/>
  <c r="Z8194" i="1"/>
  <c r="Z8195" i="1"/>
  <c r="Z8196" i="1"/>
  <c r="Z8197" i="1"/>
  <c r="Z8198" i="1"/>
  <c r="Z8199" i="1"/>
  <c r="Z8200" i="1"/>
  <c r="Z8201" i="1"/>
  <c r="Z8202" i="1"/>
  <c r="Z8203" i="1"/>
  <c r="Z8204" i="1"/>
  <c r="Z8205" i="1"/>
  <c r="Z8206" i="1"/>
  <c r="Z8207" i="1"/>
  <c r="Z8208" i="1"/>
  <c r="Z8209" i="1"/>
  <c r="Z8210" i="1"/>
  <c r="Z8211" i="1"/>
  <c r="Z8212" i="1"/>
  <c r="Z8213" i="1"/>
  <c r="Z8214" i="1"/>
  <c r="Z8215" i="1"/>
  <c r="Z8216" i="1"/>
  <c r="Z8217" i="1"/>
  <c r="Z8218" i="1"/>
  <c r="Z8219" i="1"/>
  <c r="Z8220" i="1"/>
  <c r="Z8221" i="1"/>
  <c r="Z8222" i="1"/>
  <c r="Z8223" i="1"/>
  <c r="Z8224" i="1"/>
  <c r="Z8225" i="1"/>
  <c r="Z8226" i="1"/>
  <c r="Z8227" i="1"/>
  <c r="Z8228" i="1"/>
  <c r="Z8229" i="1"/>
  <c r="Z8230" i="1"/>
  <c r="Z8231" i="1"/>
  <c r="Z8232" i="1"/>
  <c r="Z8233" i="1"/>
  <c r="Z8234" i="1"/>
  <c r="Z8235" i="1"/>
  <c r="Z8236" i="1"/>
  <c r="Z8237" i="1"/>
  <c r="Z8238" i="1"/>
  <c r="Z8239" i="1"/>
  <c r="Z8240" i="1"/>
  <c r="Z8241" i="1"/>
  <c r="Z8242" i="1"/>
  <c r="Z8243" i="1"/>
  <c r="Z8244" i="1"/>
  <c r="Z8245" i="1"/>
  <c r="Z8246" i="1"/>
  <c r="Z8247" i="1"/>
  <c r="Z8248" i="1"/>
  <c r="Z8249" i="1"/>
  <c r="Z8250" i="1"/>
  <c r="Z8251" i="1"/>
  <c r="Z8252" i="1"/>
  <c r="Z8253" i="1"/>
  <c r="Z8254" i="1"/>
  <c r="Z8255" i="1"/>
  <c r="Z8256" i="1"/>
  <c r="Z8257" i="1"/>
  <c r="Z8258" i="1"/>
  <c r="Z8259" i="1"/>
  <c r="Z8260" i="1"/>
  <c r="Z8261" i="1"/>
  <c r="Z8262" i="1"/>
  <c r="Z8263" i="1"/>
  <c r="Z8264" i="1"/>
  <c r="Z8265" i="1"/>
  <c r="Z8266" i="1"/>
  <c r="Z8267" i="1"/>
  <c r="Z8268" i="1"/>
  <c r="Z8269" i="1"/>
  <c r="Z8270" i="1"/>
  <c r="Z8271" i="1"/>
  <c r="Z8272" i="1"/>
  <c r="Z8273" i="1"/>
  <c r="Z8274" i="1"/>
  <c r="Z8275" i="1"/>
  <c r="Z8276" i="1"/>
  <c r="Z8277" i="1"/>
  <c r="Z8278" i="1"/>
  <c r="Z8279" i="1"/>
  <c r="Z8280" i="1"/>
  <c r="Z8281" i="1"/>
  <c r="Z8282" i="1"/>
  <c r="Z8283" i="1"/>
  <c r="Z8284" i="1"/>
  <c r="Z8285" i="1"/>
  <c r="Z8286" i="1"/>
  <c r="Z8287" i="1"/>
  <c r="Z8288" i="1"/>
  <c r="Z8289" i="1"/>
  <c r="Z8290" i="1"/>
  <c r="Z8291" i="1"/>
  <c r="Z8292" i="1"/>
  <c r="Z8293" i="1"/>
  <c r="Z8294" i="1"/>
  <c r="Z8295" i="1"/>
  <c r="Z8296" i="1"/>
  <c r="Z8297" i="1"/>
  <c r="Z8298" i="1"/>
  <c r="Z8299" i="1"/>
  <c r="Z8300" i="1"/>
  <c r="Z8301" i="1"/>
  <c r="Z8302" i="1"/>
  <c r="Z8303" i="1"/>
  <c r="Z8304" i="1"/>
  <c r="Z8305" i="1"/>
  <c r="Z8306" i="1"/>
  <c r="Z8307" i="1"/>
  <c r="Z8308" i="1"/>
  <c r="Z8309" i="1"/>
  <c r="Z8310" i="1"/>
  <c r="Z8311" i="1"/>
  <c r="Z8312" i="1"/>
  <c r="Z8313" i="1"/>
  <c r="Z8314" i="1"/>
  <c r="Z8315" i="1"/>
  <c r="Z8316" i="1"/>
  <c r="Z8317" i="1"/>
  <c r="Z8318" i="1"/>
  <c r="Z8319" i="1"/>
  <c r="Z8320" i="1"/>
  <c r="Z8321" i="1"/>
  <c r="Z8322" i="1"/>
  <c r="Z8323" i="1"/>
  <c r="Z8324" i="1"/>
  <c r="Z8325" i="1"/>
  <c r="Z8326" i="1"/>
  <c r="Z8327" i="1"/>
  <c r="Z8328" i="1"/>
  <c r="Z8329" i="1"/>
  <c r="Z8330" i="1"/>
  <c r="Z8331" i="1"/>
  <c r="Z8332" i="1"/>
  <c r="Z8333" i="1"/>
  <c r="Z8334" i="1"/>
  <c r="Z8335" i="1"/>
  <c r="Z8336" i="1"/>
  <c r="Z8337" i="1"/>
  <c r="Z8338" i="1"/>
  <c r="Z8339" i="1"/>
  <c r="Z8340" i="1"/>
  <c r="Z8341" i="1"/>
  <c r="Z8342" i="1"/>
  <c r="Z8343" i="1"/>
  <c r="Z8344" i="1"/>
  <c r="Z8345" i="1"/>
  <c r="Z8346" i="1"/>
  <c r="Z8347" i="1"/>
  <c r="Z8348" i="1"/>
  <c r="Z8349" i="1"/>
  <c r="Z8350" i="1"/>
  <c r="Z8351" i="1"/>
  <c r="Z8352" i="1"/>
  <c r="Z8353" i="1"/>
  <c r="Z8354" i="1"/>
  <c r="Z8355" i="1"/>
  <c r="Z8356" i="1"/>
  <c r="Z8357" i="1"/>
  <c r="Z8358" i="1"/>
  <c r="Z8359" i="1"/>
  <c r="Z8360" i="1"/>
  <c r="Z8361" i="1"/>
  <c r="Z8362" i="1"/>
  <c r="Z8363" i="1"/>
  <c r="Z8364" i="1"/>
  <c r="Z8365" i="1"/>
  <c r="Z8366" i="1"/>
  <c r="Z8367" i="1"/>
  <c r="Z8368" i="1"/>
  <c r="Z8369" i="1"/>
  <c r="Z8370" i="1"/>
  <c r="Z8371" i="1"/>
  <c r="Z8372" i="1"/>
  <c r="Z8373" i="1"/>
  <c r="Z8374" i="1"/>
  <c r="Z8375" i="1"/>
  <c r="Z8376" i="1"/>
  <c r="Z8377" i="1"/>
  <c r="Z8378" i="1"/>
  <c r="Z8379" i="1"/>
  <c r="Z8380" i="1"/>
  <c r="Z8381" i="1"/>
  <c r="Z8382" i="1"/>
  <c r="Z8383" i="1"/>
  <c r="Z8384" i="1"/>
  <c r="Z8385" i="1"/>
  <c r="Z8386" i="1"/>
  <c r="Z8387" i="1"/>
  <c r="Z8388" i="1"/>
  <c r="Z8389" i="1"/>
  <c r="Z8390" i="1"/>
  <c r="Z8391" i="1"/>
  <c r="Z8392" i="1"/>
  <c r="Z8393" i="1"/>
  <c r="Z8394" i="1"/>
  <c r="Z8395" i="1"/>
  <c r="Z8396" i="1"/>
  <c r="Z8397" i="1"/>
  <c r="Z8398" i="1"/>
  <c r="Z8399" i="1"/>
  <c r="Z8400" i="1"/>
  <c r="Y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940" i="1"/>
  <c r="Y2941" i="1"/>
  <c r="Y2942" i="1"/>
  <c r="Y2943" i="1"/>
  <c r="Y2944" i="1"/>
  <c r="Y2945" i="1"/>
  <c r="Y2946" i="1"/>
  <c r="Y2947" i="1"/>
  <c r="Y2948" i="1"/>
  <c r="Y2949" i="1"/>
  <c r="Y2950" i="1"/>
  <c r="Y2951" i="1"/>
  <c r="Y2952" i="1"/>
  <c r="Y2953" i="1"/>
  <c r="Y2954" i="1"/>
  <c r="Y2955" i="1"/>
  <c r="Y2956" i="1"/>
  <c r="Y2957" i="1"/>
  <c r="Y2958" i="1"/>
  <c r="Y2959" i="1"/>
  <c r="Y2960" i="1"/>
  <c r="Y2961" i="1"/>
  <c r="Y2962" i="1"/>
  <c r="Y2963" i="1"/>
  <c r="Y2964" i="1"/>
  <c r="Y2965" i="1"/>
  <c r="Y2966" i="1"/>
  <c r="Y2967" i="1"/>
  <c r="Y2968" i="1"/>
  <c r="Y2969" i="1"/>
  <c r="Y2970" i="1"/>
  <c r="Y2971" i="1"/>
  <c r="Y2972" i="1"/>
  <c r="Y2973" i="1"/>
  <c r="Y2974" i="1"/>
  <c r="Y2975" i="1"/>
  <c r="Y2976" i="1"/>
  <c r="Y2977" i="1"/>
  <c r="Y2978" i="1"/>
  <c r="Y2979" i="1"/>
  <c r="Y2980" i="1"/>
  <c r="Y2981" i="1"/>
  <c r="Y2982" i="1"/>
  <c r="Y2983" i="1"/>
  <c r="Y2984" i="1"/>
  <c r="Y2985" i="1"/>
  <c r="Y2986" i="1"/>
  <c r="Y2987" i="1"/>
  <c r="Y2988" i="1"/>
  <c r="Y2989" i="1"/>
  <c r="Y2990" i="1"/>
  <c r="Y2991" i="1"/>
  <c r="Y2992" i="1"/>
  <c r="Y2993" i="1"/>
  <c r="Y2994" i="1"/>
  <c r="Y2995" i="1"/>
  <c r="Y2996" i="1"/>
  <c r="Y2997" i="1"/>
  <c r="Y2998" i="1"/>
  <c r="Y2999" i="1"/>
  <c r="Y3000" i="1"/>
  <c r="Y3001" i="1"/>
  <c r="Y3002" i="1"/>
  <c r="Y3003" i="1"/>
  <c r="Y3004" i="1"/>
  <c r="Y3005" i="1"/>
  <c r="Y3006" i="1"/>
  <c r="Y3007" i="1"/>
  <c r="Y3008" i="1"/>
  <c r="Y3009" i="1"/>
  <c r="Y3010" i="1"/>
  <c r="Y3011" i="1"/>
  <c r="Y3012" i="1"/>
  <c r="Y3013" i="1"/>
  <c r="Y3014" i="1"/>
  <c r="Y3015" i="1"/>
  <c r="Y3016" i="1"/>
  <c r="Y3017" i="1"/>
  <c r="Y3018" i="1"/>
  <c r="Y3019" i="1"/>
  <c r="Y3020" i="1"/>
  <c r="Y3021" i="1"/>
  <c r="Y3022" i="1"/>
  <c r="Y3023" i="1"/>
  <c r="Y3024" i="1"/>
  <c r="Y3025" i="1"/>
  <c r="Y3026" i="1"/>
  <c r="Y3027" i="1"/>
  <c r="Y3028" i="1"/>
  <c r="Y3029" i="1"/>
  <c r="Y3030" i="1"/>
  <c r="Y3031" i="1"/>
  <c r="Y3032" i="1"/>
  <c r="Y3033" i="1"/>
  <c r="Y3034" i="1"/>
  <c r="Y3035" i="1"/>
  <c r="Y3036" i="1"/>
  <c r="Y3037" i="1"/>
  <c r="Y3038" i="1"/>
  <c r="Y3039" i="1"/>
  <c r="Y3040" i="1"/>
  <c r="Y3041" i="1"/>
  <c r="Y3042" i="1"/>
  <c r="Y3043" i="1"/>
  <c r="Y3044" i="1"/>
  <c r="Y3045" i="1"/>
  <c r="Y3046" i="1"/>
  <c r="Y3047" i="1"/>
  <c r="Y3048" i="1"/>
  <c r="Y3049" i="1"/>
  <c r="Y3050" i="1"/>
  <c r="Y3051" i="1"/>
  <c r="Y3052" i="1"/>
  <c r="Y3053" i="1"/>
  <c r="Y3054" i="1"/>
  <c r="Y3055" i="1"/>
  <c r="Y3056" i="1"/>
  <c r="Y3057" i="1"/>
  <c r="Y3058" i="1"/>
  <c r="Y3059" i="1"/>
  <c r="Y3060" i="1"/>
  <c r="Y3061" i="1"/>
  <c r="Y3062" i="1"/>
  <c r="Y3063" i="1"/>
  <c r="Y3064" i="1"/>
  <c r="Y3065" i="1"/>
  <c r="Y3066" i="1"/>
  <c r="Y3067" i="1"/>
  <c r="Y3068" i="1"/>
  <c r="Y3069" i="1"/>
  <c r="Y3070" i="1"/>
  <c r="Y3071" i="1"/>
  <c r="Y3072" i="1"/>
  <c r="Y3073" i="1"/>
  <c r="Y3074" i="1"/>
  <c r="Y3075" i="1"/>
  <c r="Y3076" i="1"/>
  <c r="Y3077" i="1"/>
  <c r="Y3078" i="1"/>
  <c r="Y3079" i="1"/>
  <c r="Y3080" i="1"/>
  <c r="Y3081" i="1"/>
  <c r="Y3082" i="1"/>
  <c r="Y3083" i="1"/>
  <c r="Y3084" i="1"/>
  <c r="Y3085" i="1"/>
  <c r="Y3086" i="1"/>
  <c r="Y3087" i="1"/>
  <c r="Y3088" i="1"/>
  <c r="Y3089" i="1"/>
  <c r="Y3090" i="1"/>
  <c r="Y3091" i="1"/>
  <c r="Y3092" i="1"/>
  <c r="Y3093" i="1"/>
  <c r="Y3094" i="1"/>
  <c r="Y3095" i="1"/>
  <c r="Y3096" i="1"/>
  <c r="Y3097" i="1"/>
  <c r="Y3098" i="1"/>
  <c r="Y3099" i="1"/>
  <c r="Y3100" i="1"/>
  <c r="Y3101" i="1"/>
  <c r="Y3102" i="1"/>
  <c r="Y3103" i="1"/>
  <c r="Y3104" i="1"/>
  <c r="Y3105" i="1"/>
  <c r="Y3106" i="1"/>
  <c r="Y3107" i="1"/>
  <c r="Y3108" i="1"/>
  <c r="Y3109" i="1"/>
  <c r="Y3110" i="1"/>
  <c r="Y3111" i="1"/>
  <c r="Y3112" i="1"/>
  <c r="Y3113" i="1"/>
  <c r="Y3114" i="1"/>
  <c r="Y3115" i="1"/>
  <c r="Y3116" i="1"/>
  <c r="Y3117" i="1"/>
  <c r="Y3118" i="1"/>
  <c r="Y3119" i="1"/>
  <c r="Y3120" i="1"/>
  <c r="Y3121" i="1"/>
  <c r="Y3122" i="1"/>
  <c r="Y3123" i="1"/>
  <c r="Y3124" i="1"/>
  <c r="Y3125" i="1"/>
  <c r="Y3126" i="1"/>
  <c r="Y3127" i="1"/>
  <c r="Y3128" i="1"/>
  <c r="Y3129" i="1"/>
  <c r="Y3130" i="1"/>
  <c r="Y3131" i="1"/>
  <c r="Y3132" i="1"/>
  <c r="Y3133" i="1"/>
  <c r="Y3134" i="1"/>
  <c r="Y3135" i="1"/>
  <c r="Y3136" i="1"/>
  <c r="Y3137" i="1"/>
  <c r="Y3138" i="1"/>
  <c r="Y3139" i="1"/>
  <c r="Y3140" i="1"/>
  <c r="Y3141" i="1"/>
  <c r="Y3142" i="1"/>
  <c r="Y3143" i="1"/>
  <c r="Y3144" i="1"/>
  <c r="Y3145" i="1"/>
  <c r="Y3146" i="1"/>
  <c r="Y3147" i="1"/>
  <c r="Y3148" i="1"/>
  <c r="Y3149" i="1"/>
  <c r="Y3150" i="1"/>
  <c r="Y3151" i="1"/>
  <c r="Y3152" i="1"/>
  <c r="Y3153" i="1"/>
  <c r="Y3154" i="1"/>
  <c r="Y3155" i="1"/>
  <c r="Y3156" i="1"/>
  <c r="Y3157" i="1"/>
  <c r="Y3158" i="1"/>
  <c r="Y3159" i="1"/>
  <c r="Y3160" i="1"/>
  <c r="Y3161" i="1"/>
  <c r="Y3162" i="1"/>
  <c r="Y3163" i="1"/>
  <c r="Y3164" i="1"/>
  <c r="Y3165" i="1"/>
  <c r="Y3166" i="1"/>
  <c r="Y3167" i="1"/>
  <c r="Y3168" i="1"/>
  <c r="Y3169" i="1"/>
  <c r="Y3170" i="1"/>
  <c r="Y3171" i="1"/>
  <c r="Y3172" i="1"/>
  <c r="Y3173" i="1"/>
  <c r="Y3174" i="1"/>
  <c r="Y3175" i="1"/>
  <c r="Y3176" i="1"/>
  <c r="Y3177" i="1"/>
  <c r="Y3178" i="1"/>
  <c r="Y3179" i="1"/>
  <c r="Y3180" i="1"/>
  <c r="Y3181" i="1"/>
  <c r="Y3182" i="1"/>
  <c r="Y3183" i="1"/>
  <c r="Y3184" i="1"/>
  <c r="Y3185" i="1"/>
  <c r="Y3186" i="1"/>
  <c r="Y3187" i="1"/>
  <c r="Y3188" i="1"/>
  <c r="Y3189" i="1"/>
  <c r="Y3190" i="1"/>
  <c r="Y3191" i="1"/>
  <c r="Y3192" i="1"/>
  <c r="Y3193" i="1"/>
  <c r="Y3194" i="1"/>
  <c r="Y3195" i="1"/>
  <c r="Y3196" i="1"/>
  <c r="Y3197" i="1"/>
  <c r="Y3198" i="1"/>
  <c r="Y3199" i="1"/>
  <c r="Y3200" i="1"/>
  <c r="Y3201" i="1"/>
  <c r="Y3202" i="1"/>
  <c r="Y3203" i="1"/>
  <c r="Y3204" i="1"/>
  <c r="Y3205" i="1"/>
  <c r="Y3206" i="1"/>
  <c r="Y3207" i="1"/>
  <c r="Y3208" i="1"/>
  <c r="Y3209" i="1"/>
  <c r="Y3210" i="1"/>
  <c r="Y3211" i="1"/>
  <c r="Y3212" i="1"/>
  <c r="Y3213" i="1"/>
  <c r="Y3214" i="1"/>
  <c r="Y3215" i="1"/>
  <c r="Y3216" i="1"/>
  <c r="Y3217" i="1"/>
  <c r="Y3218" i="1"/>
  <c r="Y3219" i="1"/>
  <c r="Y3220" i="1"/>
  <c r="Y3221" i="1"/>
  <c r="Y3222" i="1"/>
  <c r="Y3223" i="1"/>
  <c r="Y3224" i="1"/>
  <c r="Y3225" i="1"/>
  <c r="Y3226" i="1"/>
  <c r="Y3227" i="1"/>
  <c r="Y3228" i="1"/>
  <c r="Y3229" i="1"/>
  <c r="Y3230" i="1"/>
  <c r="Y3231" i="1"/>
  <c r="Y3232" i="1"/>
  <c r="Y3233" i="1"/>
  <c r="Y3234" i="1"/>
  <c r="Y3235" i="1"/>
  <c r="Y3236" i="1"/>
  <c r="Y3237" i="1"/>
  <c r="Y3238" i="1"/>
  <c r="Y3239" i="1"/>
  <c r="Y3240" i="1"/>
  <c r="Y3241" i="1"/>
  <c r="Y3242" i="1"/>
  <c r="Y3243" i="1"/>
  <c r="Y3244" i="1"/>
  <c r="Y3245" i="1"/>
  <c r="Y3246" i="1"/>
  <c r="Y3247" i="1"/>
  <c r="Y3248" i="1"/>
  <c r="Y3249" i="1"/>
  <c r="Y3250" i="1"/>
  <c r="Y3251" i="1"/>
  <c r="Y3252" i="1"/>
  <c r="Y3253" i="1"/>
  <c r="Y3254" i="1"/>
  <c r="Y3255" i="1"/>
  <c r="Y3256" i="1"/>
  <c r="Y3257" i="1"/>
  <c r="Y3258" i="1"/>
  <c r="Y3259" i="1"/>
  <c r="Y3260" i="1"/>
  <c r="Y3261" i="1"/>
  <c r="Y3262" i="1"/>
  <c r="Y3263" i="1"/>
  <c r="Y3264" i="1"/>
  <c r="Y3265" i="1"/>
  <c r="Y3266" i="1"/>
  <c r="Y3267" i="1"/>
  <c r="Y3268" i="1"/>
  <c r="Y3269" i="1"/>
  <c r="Y3270" i="1"/>
  <c r="Y3271" i="1"/>
  <c r="Y3272" i="1"/>
  <c r="Y3273" i="1"/>
  <c r="Y3274" i="1"/>
  <c r="Y3275" i="1"/>
  <c r="Y3276" i="1"/>
  <c r="Y3277" i="1"/>
  <c r="Y3278" i="1"/>
  <c r="Y3279" i="1"/>
  <c r="Y3280" i="1"/>
  <c r="Y3281" i="1"/>
  <c r="Y3282" i="1"/>
  <c r="Y3283" i="1"/>
  <c r="Y3284" i="1"/>
  <c r="Y3285" i="1"/>
  <c r="Y3286" i="1"/>
  <c r="Y3287" i="1"/>
  <c r="Y3288" i="1"/>
  <c r="Y3289" i="1"/>
  <c r="Y3290" i="1"/>
  <c r="Y3291" i="1"/>
  <c r="Y3292" i="1"/>
  <c r="Y3293" i="1"/>
  <c r="Y3294" i="1"/>
  <c r="Y3295" i="1"/>
  <c r="Y3296" i="1"/>
  <c r="Y3297" i="1"/>
  <c r="Y3298" i="1"/>
  <c r="Y3299" i="1"/>
  <c r="Y3300" i="1"/>
  <c r="Y3301" i="1"/>
  <c r="Y3302" i="1"/>
  <c r="Y3303" i="1"/>
  <c r="Y3304" i="1"/>
  <c r="Y3305" i="1"/>
  <c r="Y3306" i="1"/>
  <c r="Y3307" i="1"/>
  <c r="Y3308" i="1"/>
  <c r="Y3309" i="1"/>
  <c r="Y3310" i="1"/>
  <c r="Y3311" i="1"/>
  <c r="Y3312" i="1"/>
  <c r="Y3313" i="1"/>
  <c r="Y3314" i="1"/>
  <c r="Y3315" i="1"/>
  <c r="Y3316" i="1"/>
  <c r="Y3317" i="1"/>
  <c r="Y3318" i="1"/>
  <c r="Y3319" i="1"/>
  <c r="Y3320" i="1"/>
  <c r="Y3321" i="1"/>
  <c r="Y3322" i="1"/>
  <c r="Y3323" i="1"/>
  <c r="Y3324" i="1"/>
  <c r="Y3325" i="1"/>
  <c r="Y3326" i="1"/>
  <c r="Y3327" i="1"/>
  <c r="Y3328" i="1"/>
  <c r="Y3329" i="1"/>
  <c r="Y3330" i="1"/>
  <c r="Y3331" i="1"/>
  <c r="Y3332" i="1"/>
  <c r="Y3333" i="1"/>
  <c r="Y3334" i="1"/>
  <c r="Y3335" i="1"/>
  <c r="Y3336" i="1"/>
  <c r="Y3337" i="1"/>
  <c r="Y3338" i="1"/>
  <c r="Y3339" i="1"/>
  <c r="Y3340" i="1"/>
  <c r="Y3341" i="1"/>
  <c r="Y3342" i="1"/>
  <c r="Y3343" i="1"/>
  <c r="Y3344" i="1"/>
  <c r="Y3345" i="1"/>
  <c r="Y3346" i="1"/>
  <c r="Y3347" i="1"/>
  <c r="Y3348" i="1"/>
  <c r="Y3349" i="1"/>
  <c r="Y3350" i="1"/>
  <c r="Y3351" i="1"/>
  <c r="Y3352" i="1"/>
  <c r="Y3353" i="1"/>
  <c r="Y3354" i="1"/>
  <c r="Y3355" i="1"/>
  <c r="Y3356" i="1"/>
  <c r="Y3357" i="1"/>
  <c r="Y3358" i="1"/>
  <c r="Y3359" i="1"/>
  <c r="Y3360" i="1"/>
  <c r="Y3361" i="1"/>
  <c r="Y3362" i="1"/>
  <c r="Y3363" i="1"/>
  <c r="Y3364" i="1"/>
  <c r="Y3365" i="1"/>
  <c r="Y3366" i="1"/>
  <c r="Y3367" i="1"/>
  <c r="Y3368" i="1"/>
  <c r="Y3369" i="1"/>
  <c r="Y3370" i="1"/>
  <c r="Y3371" i="1"/>
  <c r="Y3372" i="1"/>
  <c r="Y3373" i="1"/>
  <c r="Y3374" i="1"/>
  <c r="Y3375" i="1"/>
  <c r="Y3376" i="1"/>
  <c r="Y3377" i="1"/>
  <c r="Y3378" i="1"/>
  <c r="Y3379" i="1"/>
  <c r="Y3380" i="1"/>
  <c r="Y3381" i="1"/>
  <c r="Y3382" i="1"/>
  <c r="Y3383" i="1"/>
  <c r="Y3384" i="1"/>
  <c r="Y3385" i="1"/>
  <c r="Y3386" i="1"/>
  <c r="Y3387" i="1"/>
  <c r="Y3388" i="1"/>
  <c r="Y3389" i="1"/>
  <c r="Y3390" i="1"/>
  <c r="Y3391" i="1"/>
  <c r="Y3392" i="1"/>
  <c r="Y3393" i="1"/>
  <c r="Y3394" i="1"/>
  <c r="Y3395" i="1"/>
  <c r="Y3396" i="1"/>
  <c r="Y3397" i="1"/>
  <c r="Y3398" i="1"/>
  <c r="Y3399" i="1"/>
  <c r="Y3400" i="1"/>
  <c r="Y3401" i="1"/>
  <c r="Y3402" i="1"/>
  <c r="Y3403" i="1"/>
  <c r="Y3404" i="1"/>
  <c r="Y3405" i="1"/>
  <c r="Y3406" i="1"/>
  <c r="Y3407" i="1"/>
  <c r="Y3408" i="1"/>
  <c r="Y3409" i="1"/>
  <c r="Y3410" i="1"/>
  <c r="Y3411" i="1"/>
  <c r="Y3412" i="1"/>
  <c r="Y3413" i="1"/>
  <c r="Y3414" i="1"/>
  <c r="Y3415" i="1"/>
  <c r="Y3416" i="1"/>
  <c r="Y3417" i="1"/>
  <c r="Y3418" i="1"/>
  <c r="Y3419" i="1"/>
  <c r="Y3420" i="1"/>
  <c r="Y3421" i="1"/>
  <c r="Y3422" i="1"/>
  <c r="Y3423" i="1"/>
  <c r="Y3424" i="1"/>
  <c r="Y3425" i="1"/>
  <c r="Y3426" i="1"/>
  <c r="Y3427" i="1"/>
  <c r="Y3428" i="1"/>
  <c r="Y3429" i="1"/>
  <c r="Y3430" i="1"/>
  <c r="Y3431" i="1"/>
  <c r="Y3432" i="1"/>
  <c r="Y3433" i="1"/>
  <c r="Y3434" i="1"/>
  <c r="Y3435" i="1"/>
  <c r="Y3436" i="1"/>
  <c r="Y3437" i="1"/>
  <c r="Y3438" i="1"/>
  <c r="Y3439" i="1"/>
  <c r="Y3440" i="1"/>
  <c r="Y3441" i="1"/>
  <c r="Y3442" i="1"/>
  <c r="Y3443" i="1"/>
  <c r="Y3444" i="1"/>
  <c r="Y3445" i="1"/>
  <c r="Y3446" i="1"/>
  <c r="Y3447" i="1"/>
  <c r="Y3448" i="1"/>
  <c r="Y3449" i="1"/>
  <c r="Y3450" i="1"/>
  <c r="Y3451" i="1"/>
  <c r="Y3452" i="1"/>
  <c r="Y3453" i="1"/>
  <c r="Y3454" i="1"/>
  <c r="Y3455" i="1"/>
  <c r="Y3456" i="1"/>
  <c r="Y3457" i="1"/>
  <c r="Y3458" i="1"/>
  <c r="Y3459" i="1"/>
  <c r="Y3460" i="1"/>
  <c r="Y3461" i="1"/>
  <c r="Y3462" i="1"/>
  <c r="Y3463" i="1"/>
  <c r="Y3464" i="1"/>
  <c r="Y3465" i="1"/>
  <c r="Y3466" i="1"/>
  <c r="Y3467" i="1"/>
  <c r="Y3468" i="1"/>
  <c r="Y3469" i="1"/>
  <c r="Y3470" i="1"/>
  <c r="Y3471" i="1"/>
  <c r="Y3472" i="1"/>
  <c r="Y3473" i="1"/>
  <c r="Y3474" i="1"/>
  <c r="Y3475" i="1"/>
  <c r="Y3476" i="1"/>
  <c r="Y3477" i="1"/>
  <c r="Y3478" i="1"/>
  <c r="Y3479" i="1"/>
  <c r="Y3480" i="1"/>
  <c r="Y3481" i="1"/>
  <c r="Y3482" i="1"/>
  <c r="Y3483" i="1"/>
  <c r="Y3484" i="1"/>
  <c r="Y3485" i="1"/>
  <c r="Y3486" i="1"/>
  <c r="Y3487" i="1"/>
  <c r="Y3488" i="1"/>
  <c r="Y3489" i="1"/>
  <c r="Y3490" i="1"/>
  <c r="Y3491" i="1"/>
  <c r="Y3492" i="1"/>
  <c r="Y3493" i="1"/>
  <c r="Y3494" i="1"/>
  <c r="Y3495" i="1"/>
  <c r="Y3496" i="1"/>
  <c r="Y3497" i="1"/>
  <c r="Y3498" i="1"/>
  <c r="Y3499" i="1"/>
  <c r="Y3500" i="1"/>
  <c r="Y3501" i="1"/>
  <c r="Y3502" i="1"/>
  <c r="Y3503" i="1"/>
  <c r="Y3504" i="1"/>
  <c r="Y3505" i="1"/>
  <c r="Y3506" i="1"/>
  <c r="Y3507" i="1"/>
  <c r="Y3508" i="1"/>
  <c r="Y3509" i="1"/>
  <c r="Y3510" i="1"/>
  <c r="Y3511" i="1"/>
  <c r="Y3512" i="1"/>
  <c r="Y3513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Y4001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Y5001" i="1"/>
  <c r="Y5002" i="1"/>
  <c r="Y5003" i="1"/>
  <c r="Y5004" i="1"/>
  <c r="Y5005" i="1"/>
  <c r="Y5006" i="1"/>
  <c r="Y5007" i="1"/>
  <c r="Y5008" i="1"/>
  <c r="Y5009" i="1"/>
  <c r="Y5010" i="1"/>
  <c r="Y5011" i="1"/>
  <c r="Y5012" i="1"/>
  <c r="Y5013" i="1"/>
  <c r="Y5014" i="1"/>
  <c r="Y5015" i="1"/>
  <c r="Y5016" i="1"/>
  <c r="Y5017" i="1"/>
  <c r="Y5018" i="1"/>
  <c r="Y5019" i="1"/>
  <c r="Y5020" i="1"/>
  <c r="Y5021" i="1"/>
  <c r="Y5022" i="1"/>
  <c r="Y5023" i="1"/>
  <c r="Y5024" i="1"/>
  <c r="Y5025" i="1"/>
  <c r="Y5026" i="1"/>
  <c r="Y5027" i="1"/>
  <c r="Y5028" i="1"/>
  <c r="Y5029" i="1"/>
  <c r="Y5030" i="1"/>
  <c r="Y5031" i="1"/>
  <c r="Y5032" i="1"/>
  <c r="Y5033" i="1"/>
  <c r="Y5034" i="1"/>
  <c r="Y5035" i="1"/>
  <c r="Y5036" i="1"/>
  <c r="Y5037" i="1"/>
  <c r="Y5038" i="1"/>
  <c r="Y5039" i="1"/>
  <c r="Y5040" i="1"/>
  <c r="Y5041" i="1"/>
  <c r="Y5042" i="1"/>
  <c r="Y5043" i="1"/>
  <c r="Y5044" i="1"/>
  <c r="Y5045" i="1"/>
  <c r="Y5046" i="1"/>
  <c r="Y5047" i="1"/>
  <c r="Y5048" i="1"/>
  <c r="Y5049" i="1"/>
  <c r="Y5050" i="1"/>
  <c r="Y5051" i="1"/>
  <c r="Y5052" i="1"/>
  <c r="Y5053" i="1"/>
  <c r="Y5054" i="1"/>
  <c r="Y5055" i="1"/>
  <c r="Y5056" i="1"/>
  <c r="Y5057" i="1"/>
  <c r="Y5058" i="1"/>
  <c r="Y5059" i="1"/>
  <c r="Y5060" i="1"/>
  <c r="Y5061" i="1"/>
  <c r="Y5062" i="1"/>
  <c r="Y5063" i="1"/>
  <c r="Y5064" i="1"/>
  <c r="Y5065" i="1"/>
  <c r="Y5066" i="1"/>
  <c r="Y5067" i="1"/>
  <c r="Y5068" i="1"/>
  <c r="Y5069" i="1"/>
  <c r="Y5070" i="1"/>
  <c r="Y5071" i="1"/>
  <c r="Y5072" i="1"/>
  <c r="Y5073" i="1"/>
  <c r="Y5074" i="1"/>
  <c r="Y5075" i="1"/>
  <c r="Y5076" i="1"/>
  <c r="Y5077" i="1"/>
  <c r="Y5078" i="1"/>
  <c r="Y5079" i="1"/>
  <c r="Y5080" i="1"/>
  <c r="Y5081" i="1"/>
  <c r="Y5082" i="1"/>
  <c r="Y5083" i="1"/>
  <c r="Y5084" i="1"/>
  <c r="Y5085" i="1"/>
  <c r="Y5086" i="1"/>
  <c r="Y5087" i="1"/>
  <c r="Y5088" i="1"/>
  <c r="Y5089" i="1"/>
  <c r="Y5090" i="1"/>
  <c r="Y5091" i="1"/>
  <c r="Y5092" i="1"/>
  <c r="Y5093" i="1"/>
  <c r="Y5094" i="1"/>
  <c r="Y5095" i="1"/>
  <c r="Y5096" i="1"/>
  <c r="Y5097" i="1"/>
  <c r="Y5098" i="1"/>
  <c r="Y5099" i="1"/>
  <c r="Y5100" i="1"/>
  <c r="Y5101" i="1"/>
  <c r="Y5102" i="1"/>
  <c r="Y5103" i="1"/>
  <c r="Y5104" i="1"/>
  <c r="Y5105" i="1"/>
  <c r="Y5106" i="1"/>
  <c r="Y5107" i="1"/>
  <c r="Y5108" i="1"/>
  <c r="Y5109" i="1"/>
  <c r="Y5110" i="1"/>
  <c r="Y5111" i="1"/>
  <c r="Y5112" i="1"/>
  <c r="Y5113" i="1"/>
  <c r="Y5114" i="1"/>
  <c r="Y5115" i="1"/>
  <c r="Y5116" i="1"/>
  <c r="Y5117" i="1"/>
  <c r="Y5118" i="1"/>
  <c r="Y5119" i="1"/>
  <c r="Y5120" i="1"/>
  <c r="Y5121" i="1"/>
  <c r="Y5122" i="1"/>
  <c r="Y5123" i="1"/>
  <c r="Y5124" i="1"/>
  <c r="Y5125" i="1"/>
  <c r="Y5126" i="1"/>
  <c r="Y5127" i="1"/>
  <c r="Y5128" i="1"/>
  <c r="Y5129" i="1"/>
  <c r="Y5130" i="1"/>
  <c r="Y5131" i="1"/>
  <c r="Y5132" i="1"/>
  <c r="Y5133" i="1"/>
  <c r="Y5134" i="1"/>
  <c r="Y5135" i="1"/>
  <c r="Y5136" i="1"/>
  <c r="Y5137" i="1"/>
  <c r="Y5138" i="1"/>
  <c r="Y5139" i="1"/>
  <c r="Y5140" i="1"/>
  <c r="Y5141" i="1"/>
  <c r="Y5142" i="1"/>
  <c r="Y5143" i="1"/>
  <c r="Y5144" i="1"/>
  <c r="Y5145" i="1"/>
  <c r="Y5146" i="1"/>
  <c r="Y5147" i="1"/>
  <c r="Y5148" i="1"/>
  <c r="Y5149" i="1"/>
  <c r="Y5150" i="1"/>
  <c r="Y5151" i="1"/>
  <c r="Y5152" i="1"/>
  <c r="Y5153" i="1"/>
  <c r="Y5154" i="1"/>
  <c r="Y5155" i="1"/>
  <c r="Y5156" i="1"/>
  <c r="Y5157" i="1"/>
  <c r="Y5158" i="1"/>
  <c r="Y5159" i="1"/>
  <c r="Y5160" i="1"/>
  <c r="Y5161" i="1"/>
  <c r="Y5162" i="1"/>
  <c r="Y5163" i="1"/>
  <c r="Y5164" i="1"/>
  <c r="Y5165" i="1"/>
  <c r="Y5166" i="1"/>
  <c r="Y5167" i="1"/>
  <c r="Y5168" i="1"/>
  <c r="Y5169" i="1"/>
  <c r="Y5170" i="1"/>
  <c r="Y5171" i="1"/>
  <c r="Y5172" i="1"/>
  <c r="Y5173" i="1"/>
  <c r="Y5174" i="1"/>
  <c r="Y5175" i="1"/>
  <c r="Y5176" i="1"/>
  <c r="Y5177" i="1"/>
  <c r="Y5178" i="1"/>
  <c r="Y5179" i="1"/>
  <c r="Y5180" i="1"/>
  <c r="Y5181" i="1"/>
  <c r="Y5182" i="1"/>
  <c r="Y5183" i="1"/>
  <c r="Y5184" i="1"/>
  <c r="Y5185" i="1"/>
  <c r="Y5186" i="1"/>
  <c r="Y5187" i="1"/>
  <c r="Y5188" i="1"/>
  <c r="Y5189" i="1"/>
  <c r="Y5190" i="1"/>
  <c r="Y5191" i="1"/>
  <c r="Y5192" i="1"/>
  <c r="Y5193" i="1"/>
  <c r="Y5194" i="1"/>
  <c r="Y5195" i="1"/>
  <c r="Y5196" i="1"/>
  <c r="Y5197" i="1"/>
  <c r="Y5198" i="1"/>
  <c r="Y5199" i="1"/>
  <c r="Y5200" i="1"/>
  <c r="Y5201" i="1"/>
  <c r="Y5202" i="1"/>
  <c r="Y5203" i="1"/>
  <c r="Y5204" i="1"/>
  <c r="Y5205" i="1"/>
  <c r="Y5206" i="1"/>
  <c r="Y5207" i="1"/>
  <c r="Y5208" i="1"/>
  <c r="Y5209" i="1"/>
  <c r="Y5210" i="1"/>
  <c r="Y5211" i="1"/>
  <c r="Y5212" i="1"/>
  <c r="Y5213" i="1"/>
  <c r="Y5214" i="1"/>
  <c r="Y5215" i="1"/>
  <c r="Y5216" i="1"/>
  <c r="Y5217" i="1"/>
  <c r="Y5218" i="1"/>
  <c r="Y5219" i="1"/>
  <c r="Y5220" i="1"/>
  <c r="Y5221" i="1"/>
  <c r="Y5222" i="1"/>
  <c r="Y5223" i="1"/>
  <c r="Y5224" i="1"/>
  <c r="Y5225" i="1"/>
  <c r="Y5226" i="1"/>
  <c r="Y5227" i="1"/>
  <c r="Y5228" i="1"/>
  <c r="Y5229" i="1"/>
  <c r="Y5230" i="1"/>
  <c r="Y5231" i="1"/>
  <c r="Y5232" i="1"/>
  <c r="Y5233" i="1"/>
  <c r="Y5234" i="1"/>
  <c r="Y5235" i="1"/>
  <c r="Y5236" i="1"/>
  <c r="Y5237" i="1"/>
  <c r="Y5238" i="1"/>
  <c r="Y5239" i="1"/>
  <c r="Y5240" i="1"/>
  <c r="Y5241" i="1"/>
  <c r="Y5242" i="1"/>
  <c r="Y5243" i="1"/>
  <c r="Y5244" i="1"/>
  <c r="Y5245" i="1"/>
  <c r="Y5246" i="1"/>
  <c r="Y5247" i="1"/>
  <c r="Y5248" i="1"/>
  <c r="Y5249" i="1"/>
  <c r="Y5250" i="1"/>
  <c r="Y5251" i="1"/>
  <c r="Y5252" i="1"/>
  <c r="Y5253" i="1"/>
  <c r="Y5254" i="1"/>
  <c r="Y5255" i="1"/>
  <c r="Y5256" i="1"/>
  <c r="Y5257" i="1"/>
  <c r="Y5258" i="1"/>
  <c r="Y5259" i="1"/>
  <c r="Y5260" i="1"/>
  <c r="Y5261" i="1"/>
  <c r="Y5262" i="1"/>
  <c r="Y5263" i="1"/>
  <c r="Y5264" i="1"/>
  <c r="Y5265" i="1"/>
  <c r="Y5266" i="1"/>
  <c r="Y5267" i="1"/>
  <c r="Y5268" i="1"/>
  <c r="Y5269" i="1"/>
  <c r="Y5270" i="1"/>
  <c r="Y5271" i="1"/>
  <c r="Y5272" i="1"/>
  <c r="Y5273" i="1"/>
  <c r="Y5274" i="1"/>
  <c r="Y5275" i="1"/>
  <c r="Y5276" i="1"/>
  <c r="Y5277" i="1"/>
  <c r="Y5278" i="1"/>
  <c r="Y5279" i="1"/>
  <c r="Y5280" i="1"/>
  <c r="Y5281" i="1"/>
  <c r="Y5282" i="1"/>
  <c r="Y5283" i="1"/>
  <c r="Y5284" i="1"/>
  <c r="Y5285" i="1"/>
  <c r="Y5286" i="1"/>
  <c r="Y5287" i="1"/>
  <c r="Y5288" i="1"/>
  <c r="Y5289" i="1"/>
  <c r="Y5290" i="1"/>
  <c r="Y5291" i="1"/>
  <c r="Y5292" i="1"/>
  <c r="Y5293" i="1"/>
  <c r="Y5294" i="1"/>
  <c r="Y5295" i="1"/>
  <c r="Y5296" i="1"/>
  <c r="Y5297" i="1"/>
  <c r="Y5298" i="1"/>
  <c r="Y5299" i="1"/>
  <c r="Y5300" i="1"/>
  <c r="Y5301" i="1"/>
  <c r="Y5302" i="1"/>
  <c r="Y5303" i="1"/>
  <c r="Y5304" i="1"/>
  <c r="Y5305" i="1"/>
  <c r="Y5306" i="1"/>
  <c r="Y5307" i="1"/>
  <c r="Y5308" i="1"/>
  <c r="Y5309" i="1"/>
  <c r="Y5310" i="1"/>
  <c r="Y5311" i="1"/>
  <c r="Y5312" i="1"/>
  <c r="Y5313" i="1"/>
  <c r="Y5314" i="1"/>
  <c r="Y5315" i="1"/>
  <c r="Y5316" i="1"/>
  <c r="Y5317" i="1"/>
  <c r="Y5318" i="1"/>
  <c r="Y5319" i="1"/>
  <c r="Y5320" i="1"/>
  <c r="Y5321" i="1"/>
  <c r="Y5322" i="1"/>
  <c r="Y5323" i="1"/>
  <c r="Y5324" i="1"/>
  <c r="Y5325" i="1"/>
  <c r="Y5326" i="1"/>
  <c r="Y5327" i="1"/>
  <c r="Y5328" i="1"/>
  <c r="Y5329" i="1"/>
  <c r="Y5330" i="1"/>
  <c r="Y5331" i="1"/>
  <c r="Y5332" i="1"/>
  <c r="Y5333" i="1"/>
  <c r="Y5334" i="1"/>
  <c r="Y5335" i="1"/>
  <c r="Y5336" i="1"/>
  <c r="Y5337" i="1"/>
  <c r="Y5338" i="1"/>
  <c r="Y5339" i="1"/>
  <c r="Y5340" i="1"/>
  <c r="Y5341" i="1"/>
  <c r="Y5342" i="1"/>
  <c r="Y5343" i="1"/>
  <c r="Y5344" i="1"/>
  <c r="Y5345" i="1"/>
  <c r="Y5346" i="1"/>
  <c r="Y5347" i="1"/>
  <c r="Y5348" i="1"/>
  <c r="Y5349" i="1"/>
  <c r="Y5350" i="1"/>
  <c r="Y5351" i="1"/>
  <c r="Y5352" i="1"/>
  <c r="Y5353" i="1"/>
  <c r="Y5354" i="1"/>
  <c r="Y5355" i="1"/>
  <c r="Y5356" i="1"/>
  <c r="Y5357" i="1"/>
  <c r="Y5358" i="1"/>
  <c r="Y5359" i="1"/>
  <c r="Y5360" i="1"/>
  <c r="Y5361" i="1"/>
  <c r="Y5362" i="1"/>
  <c r="Y5363" i="1"/>
  <c r="Y5364" i="1"/>
  <c r="Y5365" i="1"/>
  <c r="Y5366" i="1"/>
  <c r="Y5367" i="1"/>
  <c r="Y5368" i="1"/>
  <c r="Y5369" i="1"/>
  <c r="Y5370" i="1"/>
  <c r="Y5371" i="1"/>
  <c r="Y5372" i="1"/>
  <c r="Y5373" i="1"/>
  <c r="Y5374" i="1"/>
  <c r="Y5375" i="1"/>
  <c r="Y5376" i="1"/>
  <c r="Y5377" i="1"/>
  <c r="Y5378" i="1"/>
  <c r="Y5379" i="1"/>
  <c r="Y5380" i="1"/>
  <c r="Y5381" i="1"/>
  <c r="Y5382" i="1"/>
  <c r="Y5383" i="1"/>
  <c r="Y5384" i="1"/>
  <c r="Y5385" i="1"/>
  <c r="Y5386" i="1"/>
  <c r="Y5387" i="1"/>
  <c r="Y5388" i="1"/>
  <c r="Y5389" i="1"/>
  <c r="Y5390" i="1"/>
  <c r="Y5391" i="1"/>
  <c r="Y5392" i="1"/>
  <c r="Y5393" i="1"/>
  <c r="Y5394" i="1"/>
  <c r="Y5395" i="1"/>
  <c r="Y5396" i="1"/>
  <c r="Y5397" i="1"/>
  <c r="Y5398" i="1"/>
  <c r="Y5399" i="1"/>
  <c r="Y5400" i="1"/>
  <c r="Y5401" i="1"/>
  <c r="Y5402" i="1"/>
  <c r="Y5403" i="1"/>
  <c r="Y5404" i="1"/>
  <c r="Y5405" i="1"/>
  <c r="Y5406" i="1"/>
  <c r="Y5407" i="1"/>
  <c r="Y5408" i="1"/>
  <c r="Y5409" i="1"/>
  <c r="Y5410" i="1"/>
  <c r="Y5411" i="1"/>
  <c r="Y5412" i="1"/>
  <c r="Y5413" i="1"/>
  <c r="Y5414" i="1"/>
  <c r="Y5415" i="1"/>
  <c r="Y5416" i="1"/>
  <c r="Y5417" i="1"/>
  <c r="Y5418" i="1"/>
  <c r="Y5419" i="1"/>
  <c r="Y5420" i="1"/>
  <c r="Y5421" i="1"/>
  <c r="Y5422" i="1"/>
  <c r="Y5423" i="1"/>
  <c r="Y5424" i="1"/>
  <c r="Y5425" i="1"/>
  <c r="Y5426" i="1"/>
  <c r="Y5427" i="1"/>
  <c r="Y5428" i="1"/>
  <c r="Y5429" i="1"/>
  <c r="Y5430" i="1"/>
  <c r="Y5431" i="1"/>
  <c r="Y5432" i="1"/>
  <c r="Y5433" i="1"/>
  <c r="Y5434" i="1"/>
  <c r="Y5435" i="1"/>
  <c r="Y5436" i="1"/>
  <c r="Y5437" i="1"/>
  <c r="Y5438" i="1"/>
  <c r="Y5439" i="1"/>
  <c r="Y5440" i="1"/>
  <c r="Y5441" i="1"/>
  <c r="Y5442" i="1"/>
  <c r="Y5443" i="1"/>
  <c r="Y5444" i="1"/>
  <c r="Y5445" i="1"/>
  <c r="Y5446" i="1"/>
  <c r="Y5447" i="1"/>
  <c r="Y5448" i="1"/>
  <c r="Y5449" i="1"/>
  <c r="Y5450" i="1"/>
  <c r="Y5451" i="1"/>
  <c r="Y5452" i="1"/>
  <c r="Y5453" i="1"/>
  <c r="Y5454" i="1"/>
  <c r="Y5455" i="1"/>
  <c r="Y5456" i="1"/>
  <c r="Y5457" i="1"/>
  <c r="Y5458" i="1"/>
  <c r="Y5459" i="1"/>
  <c r="Y5460" i="1"/>
  <c r="Y5461" i="1"/>
  <c r="Y5462" i="1"/>
  <c r="Y5463" i="1"/>
  <c r="Y5464" i="1"/>
  <c r="Y5465" i="1"/>
  <c r="Y5466" i="1"/>
  <c r="Y5467" i="1"/>
  <c r="Y5468" i="1"/>
  <c r="Y5469" i="1"/>
  <c r="Y5470" i="1"/>
  <c r="Y5471" i="1"/>
  <c r="Y5472" i="1"/>
  <c r="Y5473" i="1"/>
  <c r="Y5474" i="1"/>
  <c r="Y5475" i="1"/>
  <c r="Y5476" i="1"/>
  <c r="Y5477" i="1"/>
  <c r="Y5478" i="1"/>
  <c r="Y5479" i="1"/>
  <c r="Y5480" i="1"/>
  <c r="Y5481" i="1"/>
  <c r="Y5482" i="1"/>
  <c r="Y5483" i="1"/>
  <c r="Y5484" i="1"/>
  <c r="Y5485" i="1"/>
  <c r="Y5486" i="1"/>
  <c r="Y5487" i="1"/>
  <c r="Y5488" i="1"/>
  <c r="Y5489" i="1"/>
  <c r="Y5490" i="1"/>
  <c r="Y5491" i="1"/>
  <c r="Y5492" i="1"/>
  <c r="Y5493" i="1"/>
  <c r="Y5494" i="1"/>
  <c r="Y5495" i="1"/>
  <c r="Y5496" i="1"/>
  <c r="Y5497" i="1"/>
  <c r="Y5498" i="1"/>
  <c r="Y5499" i="1"/>
  <c r="Y5500" i="1"/>
  <c r="Y5501" i="1"/>
  <c r="Y5502" i="1"/>
  <c r="Y5503" i="1"/>
  <c r="Y5504" i="1"/>
  <c r="Y5505" i="1"/>
  <c r="Y5506" i="1"/>
  <c r="Y5507" i="1"/>
  <c r="Y5508" i="1"/>
  <c r="Y5509" i="1"/>
  <c r="Y5510" i="1"/>
  <c r="Y5511" i="1"/>
  <c r="Y5512" i="1"/>
  <c r="Y5513" i="1"/>
  <c r="Y5514" i="1"/>
  <c r="Y5515" i="1"/>
  <c r="Y5516" i="1"/>
  <c r="Y5517" i="1"/>
  <c r="Y5518" i="1"/>
  <c r="Y5519" i="1"/>
  <c r="Y5520" i="1"/>
  <c r="Y5521" i="1"/>
  <c r="Y5522" i="1"/>
  <c r="Y5523" i="1"/>
  <c r="Y5524" i="1"/>
  <c r="Y5525" i="1"/>
  <c r="Y5526" i="1"/>
  <c r="Y5527" i="1"/>
  <c r="Y5528" i="1"/>
  <c r="Y5529" i="1"/>
  <c r="Y5530" i="1"/>
  <c r="Y5531" i="1"/>
  <c r="Y5532" i="1"/>
  <c r="Y5533" i="1"/>
  <c r="Y5534" i="1"/>
  <c r="Y5535" i="1"/>
  <c r="Y5536" i="1"/>
  <c r="Y5537" i="1"/>
  <c r="Y5538" i="1"/>
  <c r="Y5539" i="1"/>
  <c r="Y5540" i="1"/>
  <c r="Y5541" i="1"/>
  <c r="Y5542" i="1"/>
  <c r="Y5543" i="1"/>
  <c r="Y5544" i="1"/>
  <c r="Y5545" i="1"/>
  <c r="Y5546" i="1"/>
  <c r="Y5547" i="1"/>
  <c r="Y5548" i="1"/>
  <c r="Y5549" i="1"/>
  <c r="Y5550" i="1"/>
  <c r="Y5551" i="1"/>
  <c r="Y5552" i="1"/>
  <c r="Y5553" i="1"/>
  <c r="Y5554" i="1"/>
  <c r="Y5555" i="1"/>
  <c r="Y5556" i="1"/>
  <c r="Y5557" i="1"/>
  <c r="Y5558" i="1"/>
  <c r="Y5559" i="1"/>
  <c r="Y5560" i="1"/>
  <c r="Y5561" i="1"/>
  <c r="Y5562" i="1"/>
  <c r="Y5563" i="1"/>
  <c r="Y5564" i="1"/>
  <c r="Y5565" i="1"/>
  <c r="Y5566" i="1"/>
  <c r="Y5567" i="1"/>
  <c r="Y5568" i="1"/>
  <c r="Y5569" i="1"/>
  <c r="Y5570" i="1"/>
  <c r="Y5571" i="1"/>
  <c r="Y5572" i="1"/>
  <c r="Y5573" i="1"/>
  <c r="Y5574" i="1"/>
  <c r="Y5575" i="1"/>
  <c r="Y5576" i="1"/>
  <c r="Y5577" i="1"/>
  <c r="Y5578" i="1"/>
  <c r="Y5579" i="1"/>
  <c r="Y5580" i="1"/>
  <c r="Y5581" i="1"/>
  <c r="Y5582" i="1"/>
  <c r="Y5583" i="1"/>
  <c r="Y5584" i="1"/>
  <c r="Y5585" i="1"/>
  <c r="Y5586" i="1"/>
  <c r="Y5587" i="1"/>
  <c r="Y5588" i="1"/>
  <c r="Y5589" i="1"/>
  <c r="Y5590" i="1"/>
  <c r="Y5591" i="1"/>
  <c r="Y5592" i="1"/>
  <c r="Y5593" i="1"/>
  <c r="Y5594" i="1"/>
  <c r="Y5595" i="1"/>
  <c r="Y5596" i="1"/>
  <c r="Y5597" i="1"/>
  <c r="Y5598" i="1"/>
  <c r="Y5599" i="1"/>
  <c r="Y5600" i="1"/>
  <c r="Y5601" i="1"/>
  <c r="Y5602" i="1"/>
  <c r="Y5603" i="1"/>
  <c r="Y5604" i="1"/>
  <c r="Y5605" i="1"/>
  <c r="Y5606" i="1"/>
  <c r="Y5607" i="1"/>
  <c r="Y5608" i="1"/>
  <c r="Y5609" i="1"/>
  <c r="Y5610" i="1"/>
  <c r="Y5611" i="1"/>
  <c r="Y5612" i="1"/>
  <c r="Y5613" i="1"/>
  <c r="Y5614" i="1"/>
  <c r="Y5615" i="1"/>
  <c r="Y5616" i="1"/>
  <c r="Y5617" i="1"/>
  <c r="Y5618" i="1"/>
  <c r="Y5619" i="1"/>
  <c r="Y5620" i="1"/>
  <c r="Y5621" i="1"/>
  <c r="Y5622" i="1"/>
  <c r="Y5623" i="1"/>
  <c r="Y5624" i="1"/>
  <c r="Y5625" i="1"/>
  <c r="Y5626" i="1"/>
  <c r="Y5627" i="1"/>
  <c r="Y5628" i="1"/>
  <c r="Y5629" i="1"/>
  <c r="Y5630" i="1"/>
  <c r="Y5631" i="1"/>
  <c r="Y5632" i="1"/>
  <c r="Y5633" i="1"/>
  <c r="Y5634" i="1"/>
  <c r="Y5635" i="1"/>
  <c r="Y5636" i="1"/>
  <c r="Y5637" i="1"/>
  <c r="Y5638" i="1"/>
  <c r="Y5639" i="1"/>
  <c r="Y5640" i="1"/>
  <c r="Y5641" i="1"/>
  <c r="Y5642" i="1"/>
  <c r="Y5643" i="1"/>
  <c r="Y5644" i="1"/>
  <c r="Y5645" i="1"/>
  <c r="Y5646" i="1"/>
  <c r="Y5647" i="1"/>
  <c r="Y5648" i="1"/>
  <c r="Y5649" i="1"/>
  <c r="Y5650" i="1"/>
  <c r="Y5651" i="1"/>
  <c r="Y5652" i="1"/>
  <c r="Y5653" i="1"/>
  <c r="Y5654" i="1"/>
  <c r="Y5655" i="1"/>
  <c r="Y5656" i="1"/>
  <c r="Y5657" i="1"/>
  <c r="Y5658" i="1"/>
  <c r="Y5659" i="1"/>
  <c r="Y5660" i="1"/>
  <c r="Y5661" i="1"/>
  <c r="Y5662" i="1"/>
  <c r="Y5663" i="1"/>
  <c r="Y5664" i="1"/>
  <c r="Y5665" i="1"/>
  <c r="Y5666" i="1"/>
  <c r="Y5667" i="1"/>
  <c r="Y5668" i="1"/>
  <c r="Y5669" i="1"/>
  <c r="Y5670" i="1"/>
  <c r="Y5671" i="1"/>
  <c r="Y5672" i="1"/>
  <c r="Y5673" i="1"/>
  <c r="Y5674" i="1"/>
  <c r="Y5675" i="1"/>
  <c r="Y5676" i="1"/>
  <c r="Y5677" i="1"/>
  <c r="Y5678" i="1"/>
  <c r="Y5679" i="1"/>
  <c r="Y5680" i="1"/>
  <c r="Y5681" i="1"/>
  <c r="Y5682" i="1"/>
  <c r="Y5683" i="1"/>
  <c r="Y5684" i="1"/>
  <c r="Y5685" i="1"/>
  <c r="Y5686" i="1"/>
  <c r="Y5687" i="1"/>
  <c r="Y5688" i="1"/>
  <c r="Y5689" i="1"/>
  <c r="Y5690" i="1"/>
  <c r="Y5691" i="1"/>
  <c r="Y5692" i="1"/>
  <c r="Y5693" i="1"/>
  <c r="Y5694" i="1"/>
  <c r="Y5695" i="1"/>
  <c r="Y5696" i="1"/>
  <c r="Y5697" i="1"/>
  <c r="Y5698" i="1"/>
  <c r="Y5699" i="1"/>
  <c r="Y5700" i="1"/>
  <c r="Y5701" i="1"/>
  <c r="Y5702" i="1"/>
  <c r="Y5703" i="1"/>
  <c r="Y5704" i="1"/>
  <c r="Y5705" i="1"/>
  <c r="Y5706" i="1"/>
  <c r="Y5707" i="1"/>
  <c r="Y5708" i="1"/>
  <c r="Y5709" i="1"/>
  <c r="Y5710" i="1"/>
  <c r="Y5711" i="1"/>
  <c r="Y5712" i="1"/>
  <c r="Y5713" i="1"/>
  <c r="Y5714" i="1"/>
  <c r="Y5715" i="1"/>
  <c r="Y5716" i="1"/>
  <c r="Y5717" i="1"/>
  <c r="Y5718" i="1"/>
  <c r="Y5719" i="1"/>
  <c r="Y5720" i="1"/>
  <c r="Y5721" i="1"/>
  <c r="Y5722" i="1"/>
  <c r="Y5723" i="1"/>
  <c r="Y5724" i="1"/>
  <c r="Y5725" i="1"/>
  <c r="Y5726" i="1"/>
  <c r="Y5727" i="1"/>
  <c r="Y5728" i="1"/>
  <c r="Y5729" i="1"/>
  <c r="Y5730" i="1"/>
  <c r="Y5731" i="1"/>
  <c r="Y5732" i="1"/>
  <c r="Y5733" i="1"/>
  <c r="Y5734" i="1"/>
  <c r="Y5735" i="1"/>
  <c r="Y5736" i="1"/>
  <c r="Y5737" i="1"/>
  <c r="Y5738" i="1"/>
  <c r="Y5739" i="1"/>
  <c r="Y5740" i="1"/>
  <c r="Y5741" i="1"/>
  <c r="Y5742" i="1"/>
  <c r="Y5743" i="1"/>
  <c r="Y5744" i="1"/>
  <c r="Y5745" i="1"/>
  <c r="Y5746" i="1"/>
  <c r="Y5747" i="1"/>
  <c r="Y5748" i="1"/>
  <c r="Y5749" i="1"/>
  <c r="Y5750" i="1"/>
  <c r="Y5751" i="1"/>
  <c r="Y5752" i="1"/>
  <c r="Y5753" i="1"/>
  <c r="Y5754" i="1"/>
  <c r="Y5755" i="1"/>
  <c r="Y5756" i="1"/>
  <c r="Y5757" i="1"/>
  <c r="Y5758" i="1"/>
  <c r="Y5759" i="1"/>
  <c r="Y5760" i="1"/>
  <c r="Y5761" i="1"/>
  <c r="Y5762" i="1"/>
  <c r="Y5763" i="1"/>
  <c r="Y5764" i="1"/>
  <c r="Y5765" i="1"/>
  <c r="Y5766" i="1"/>
  <c r="Y5767" i="1"/>
  <c r="Y5768" i="1"/>
  <c r="Y5769" i="1"/>
  <c r="Y5770" i="1"/>
  <c r="Y5771" i="1"/>
  <c r="Y5772" i="1"/>
  <c r="Y5773" i="1"/>
  <c r="Y5774" i="1"/>
  <c r="Y5775" i="1"/>
  <c r="Y5776" i="1"/>
  <c r="Y5777" i="1"/>
  <c r="Y5778" i="1"/>
  <c r="Y5779" i="1"/>
  <c r="Y5780" i="1"/>
  <c r="Y5781" i="1"/>
  <c r="Y5782" i="1"/>
  <c r="Y5783" i="1"/>
  <c r="Y5784" i="1"/>
  <c r="Y5785" i="1"/>
  <c r="Y5786" i="1"/>
  <c r="Y5787" i="1"/>
  <c r="Y5788" i="1"/>
  <c r="Y5789" i="1"/>
  <c r="Y5790" i="1"/>
  <c r="Y5791" i="1"/>
  <c r="Y5792" i="1"/>
  <c r="Y5793" i="1"/>
  <c r="Y5794" i="1"/>
  <c r="Y5795" i="1"/>
  <c r="Y5796" i="1"/>
  <c r="Y5797" i="1"/>
  <c r="Y5798" i="1"/>
  <c r="Y5799" i="1"/>
  <c r="Y5800" i="1"/>
  <c r="Y5801" i="1"/>
  <c r="Y5802" i="1"/>
  <c r="Y5803" i="1"/>
  <c r="Y5804" i="1"/>
  <c r="Y5805" i="1"/>
  <c r="Y5806" i="1"/>
  <c r="Y5807" i="1"/>
  <c r="Y5808" i="1"/>
  <c r="Y5809" i="1"/>
  <c r="Y5810" i="1"/>
  <c r="Y5811" i="1"/>
  <c r="Y5812" i="1"/>
  <c r="Y5813" i="1"/>
  <c r="Y5814" i="1"/>
  <c r="Y5815" i="1"/>
  <c r="Y5816" i="1"/>
  <c r="Y5817" i="1"/>
  <c r="Y5818" i="1"/>
  <c r="Y5819" i="1"/>
  <c r="Y5820" i="1"/>
  <c r="Y5821" i="1"/>
  <c r="Y5822" i="1"/>
  <c r="Y5823" i="1"/>
  <c r="Y5824" i="1"/>
  <c r="Y5825" i="1"/>
  <c r="Y5826" i="1"/>
  <c r="Y5827" i="1"/>
  <c r="Y5828" i="1"/>
  <c r="Y5829" i="1"/>
  <c r="Y5830" i="1"/>
  <c r="Y5831" i="1"/>
  <c r="Y5832" i="1"/>
  <c r="Y5833" i="1"/>
  <c r="Y5834" i="1"/>
  <c r="Y5835" i="1"/>
  <c r="Y5836" i="1"/>
  <c r="Y5837" i="1"/>
  <c r="Y5838" i="1"/>
  <c r="Y5839" i="1"/>
  <c r="Y5840" i="1"/>
  <c r="Y5841" i="1"/>
  <c r="Y5842" i="1"/>
  <c r="Y5843" i="1"/>
  <c r="Y5844" i="1"/>
  <c r="Y5845" i="1"/>
  <c r="Y5846" i="1"/>
  <c r="Y5847" i="1"/>
  <c r="Y5848" i="1"/>
  <c r="Y5849" i="1"/>
  <c r="Y5850" i="1"/>
  <c r="Y5851" i="1"/>
  <c r="Y5852" i="1"/>
  <c r="Y5853" i="1"/>
  <c r="Y5854" i="1"/>
  <c r="Y5855" i="1"/>
  <c r="Y5856" i="1"/>
  <c r="Y5857" i="1"/>
  <c r="Y5858" i="1"/>
  <c r="Y5859" i="1"/>
  <c r="Y5860" i="1"/>
  <c r="Y5861" i="1"/>
  <c r="Y5862" i="1"/>
  <c r="Y5863" i="1"/>
  <c r="Y5864" i="1"/>
  <c r="Y5865" i="1"/>
  <c r="Y5866" i="1"/>
  <c r="Y5867" i="1"/>
  <c r="Y5868" i="1"/>
  <c r="Y5869" i="1"/>
  <c r="Y5870" i="1"/>
  <c r="Y5871" i="1"/>
  <c r="Y5872" i="1"/>
  <c r="Y5873" i="1"/>
  <c r="Y5874" i="1"/>
  <c r="Y5875" i="1"/>
  <c r="Y5876" i="1"/>
  <c r="Y5877" i="1"/>
  <c r="Y5878" i="1"/>
  <c r="Y5879" i="1"/>
  <c r="Y5880" i="1"/>
  <c r="Y5881" i="1"/>
  <c r="Y5882" i="1"/>
  <c r="Y5883" i="1"/>
  <c r="Y5884" i="1"/>
  <c r="Y5885" i="1"/>
  <c r="Y5886" i="1"/>
  <c r="Y5887" i="1"/>
  <c r="Y5888" i="1"/>
  <c r="Y5889" i="1"/>
  <c r="Y5890" i="1"/>
  <c r="Y5891" i="1"/>
  <c r="Y5892" i="1"/>
  <c r="Y5893" i="1"/>
  <c r="Y5894" i="1"/>
  <c r="Y5895" i="1"/>
  <c r="Y5896" i="1"/>
  <c r="Y5897" i="1"/>
  <c r="Y5898" i="1"/>
  <c r="Y5899" i="1"/>
  <c r="Y5900" i="1"/>
  <c r="Y5901" i="1"/>
  <c r="Y5902" i="1"/>
  <c r="Y5903" i="1"/>
  <c r="Y5904" i="1"/>
  <c r="Y5905" i="1"/>
  <c r="Y5906" i="1"/>
  <c r="Y5907" i="1"/>
  <c r="Y5908" i="1"/>
  <c r="Y5909" i="1"/>
  <c r="Y5910" i="1"/>
  <c r="Y5911" i="1"/>
  <c r="Y5912" i="1"/>
  <c r="Y5913" i="1"/>
  <c r="Y5914" i="1"/>
  <c r="Y5915" i="1"/>
  <c r="Y5916" i="1"/>
  <c r="Y5917" i="1"/>
  <c r="Y5918" i="1"/>
  <c r="Y5919" i="1"/>
  <c r="Y5920" i="1"/>
  <c r="Y5921" i="1"/>
  <c r="Y5922" i="1"/>
  <c r="Y5923" i="1"/>
  <c r="Y5924" i="1"/>
  <c r="Y5925" i="1"/>
  <c r="Y5926" i="1"/>
  <c r="Y5927" i="1"/>
  <c r="Y5928" i="1"/>
  <c r="Y5929" i="1"/>
  <c r="Y5930" i="1"/>
  <c r="Y5931" i="1"/>
  <c r="Y5932" i="1"/>
  <c r="Y5933" i="1"/>
  <c r="Y5934" i="1"/>
  <c r="Y5935" i="1"/>
  <c r="Y5936" i="1"/>
  <c r="Y5937" i="1"/>
  <c r="Y5938" i="1"/>
  <c r="Y5939" i="1"/>
  <c r="Y5940" i="1"/>
  <c r="Y5941" i="1"/>
  <c r="Y5942" i="1"/>
  <c r="Y5943" i="1"/>
  <c r="Y5944" i="1"/>
  <c r="Y5945" i="1"/>
  <c r="Y5946" i="1"/>
  <c r="Y5947" i="1"/>
  <c r="Y5948" i="1"/>
  <c r="Y5949" i="1"/>
  <c r="Y5950" i="1"/>
  <c r="Y5951" i="1"/>
  <c r="Y5952" i="1"/>
  <c r="Y5953" i="1"/>
  <c r="Y5954" i="1"/>
  <c r="Y5955" i="1"/>
  <c r="Y5956" i="1"/>
  <c r="Y5957" i="1"/>
  <c r="Y5958" i="1"/>
  <c r="Y5959" i="1"/>
  <c r="Y5960" i="1"/>
  <c r="Y5961" i="1"/>
  <c r="Y5962" i="1"/>
  <c r="Y5963" i="1"/>
  <c r="Y5964" i="1"/>
  <c r="Y5965" i="1"/>
  <c r="Y5966" i="1"/>
  <c r="Y5967" i="1"/>
  <c r="Y5968" i="1"/>
  <c r="Y5969" i="1"/>
  <c r="Y5970" i="1"/>
  <c r="Y5971" i="1"/>
  <c r="Y5972" i="1"/>
  <c r="Y5973" i="1"/>
  <c r="Y5974" i="1"/>
  <c r="Y5975" i="1"/>
  <c r="Y5976" i="1"/>
  <c r="Y5977" i="1"/>
  <c r="Y5978" i="1"/>
  <c r="Y5979" i="1"/>
  <c r="Y5980" i="1"/>
  <c r="Y5981" i="1"/>
  <c r="Y5982" i="1"/>
  <c r="Y5983" i="1"/>
  <c r="Y5984" i="1"/>
  <c r="Y5985" i="1"/>
  <c r="Y5986" i="1"/>
  <c r="Y5987" i="1"/>
  <c r="Y5988" i="1"/>
  <c r="Y5989" i="1"/>
  <c r="Y5990" i="1"/>
  <c r="Y5991" i="1"/>
  <c r="Y5992" i="1"/>
  <c r="Y5993" i="1"/>
  <c r="Y5994" i="1"/>
  <c r="Y5995" i="1"/>
  <c r="Y5996" i="1"/>
  <c r="Y5997" i="1"/>
  <c r="Y5998" i="1"/>
  <c r="Y5999" i="1"/>
  <c r="Y6000" i="1"/>
  <c r="Y6001" i="1"/>
  <c r="Y6002" i="1"/>
  <c r="Y6003" i="1"/>
  <c r="Y6004" i="1"/>
  <c r="Y6005" i="1"/>
  <c r="Y6006" i="1"/>
  <c r="Y6007" i="1"/>
  <c r="Y6008" i="1"/>
  <c r="Y6009" i="1"/>
  <c r="Y6010" i="1"/>
  <c r="Y6011" i="1"/>
  <c r="Y6012" i="1"/>
  <c r="Y6013" i="1"/>
  <c r="Y6014" i="1"/>
  <c r="Y6015" i="1"/>
  <c r="Y6016" i="1"/>
  <c r="Y6017" i="1"/>
  <c r="Y6018" i="1"/>
  <c r="Y6019" i="1"/>
  <c r="Y6020" i="1"/>
  <c r="Y6021" i="1"/>
  <c r="Y6022" i="1"/>
  <c r="Y6023" i="1"/>
  <c r="Y6024" i="1"/>
  <c r="Y6025" i="1"/>
  <c r="Y6026" i="1"/>
  <c r="Y6027" i="1"/>
  <c r="Y6028" i="1"/>
  <c r="Y6029" i="1"/>
  <c r="Y6030" i="1"/>
  <c r="Y6031" i="1"/>
  <c r="Y6032" i="1"/>
  <c r="Y6033" i="1"/>
  <c r="Y6034" i="1"/>
  <c r="Y6035" i="1"/>
  <c r="Y6036" i="1"/>
  <c r="Y6037" i="1"/>
  <c r="Y6038" i="1"/>
  <c r="Y6039" i="1"/>
  <c r="Y6040" i="1"/>
  <c r="Y6041" i="1"/>
  <c r="Y6042" i="1"/>
  <c r="Y6043" i="1"/>
  <c r="Y6044" i="1"/>
  <c r="Y6045" i="1"/>
  <c r="Y6046" i="1"/>
  <c r="Y6047" i="1"/>
  <c r="Y6048" i="1"/>
  <c r="Y6049" i="1"/>
  <c r="Y6050" i="1"/>
  <c r="Y6051" i="1"/>
  <c r="Y6052" i="1"/>
  <c r="Y6053" i="1"/>
  <c r="Y6054" i="1"/>
  <c r="Y6055" i="1"/>
  <c r="Y6056" i="1"/>
  <c r="Y6057" i="1"/>
  <c r="Y6058" i="1"/>
  <c r="Y6059" i="1"/>
  <c r="Y6060" i="1"/>
  <c r="Y6061" i="1"/>
  <c r="Y6062" i="1"/>
  <c r="Y6063" i="1"/>
  <c r="Y6064" i="1"/>
  <c r="Y6065" i="1"/>
  <c r="Y6066" i="1"/>
  <c r="Y6067" i="1"/>
  <c r="Y6068" i="1"/>
  <c r="Y6069" i="1"/>
  <c r="Y6070" i="1"/>
  <c r="Y6071" i="1"/>
  <c r="Y6072" i="1"/>
  <c r="Y6073" i="1"/>
  <c r="Y6074" i="1"/>
  <c r="Y6075" i="1"/>
  <c r="Y6076" i="1"/>
  <c r="Y6077" i="1"/>
  <c r="Y6078" i="1"/>
  <c r="Y6079" i="1"/>
  <c r="Y6080" i="1"/>
  <c r="Y6081" i="1"/>
  <c r="Y6082" i="1"/>
  <c r="Y6083" i="1"/>
  <c r="Y6084" i="1"/>
  <c r="Y6085" i="1"/>
  <c r="Y6086" i="1"/>
  <c r="Y6087" i="1"/>
  <c r="Y6088" i="1"/>
  <c r="Y6089" i="1"/>
  <c r="Y6090" i="1"/>
  <c r="Y6091" i="1"/>
  <c r="Y6092" i="1"/>
  <c r="Y6093" i="1"/>
  <c r="Y6094" i="1"/>
  <c r="Y6095" i="1"/>
  <c r="Y6096" i="1"/>
  <c r="Y6097" i="1"/>
  <c r="Y6098" i="1"/>
  <c r="Y6099" i="1"/>
  <c r="Y6100" i="1"/>
  <c r="Y6101" i="1"/>
  <c r="Y6102" i="1"/>
  <c r="Y6103" i="1"/>
  <c r="Y6104" i="1"/>
  <c r="Y6105" i="1"/>
  <c r="Y6106" i="1"/>
  <c r="Y6107" i="1"/>
  <c r="Y6108" i="1"/>
  <c r="Y6109" i="1"/>
  <c r="Y6110" i="1"/>
  <c r="Y6111" i="1"/>
  <c r="Y6112" i="1"/>
  <c r="Y6113" i="1"/>
  <c r="Y6114" i="1"/>
  <c r="Y6115" i="1"/>
  <c r="Y6116" i="1"/>
  <c r="Y6117" i="1"/>
  <c r="Y6118" i="1"/>
  <c r="Y6119" i="1"/>
  <c r="Y6120" i="1"/>
  <c r="Y6121" i="1"/>
  <c r="Y6122" i="1"/>
  <c r="Y6123" i="1"/>
  <c r="Y6124" i="1"/>
  <c r="Y6125" i="1"/>
  <c r="Y6126" i="1"/>
  <c r="Y6127" i="1"/>
  <c r="Y6128" i="1"/>
  <c r="Y6129" i="1"/>
  <c r="Y6130" i="1"/>
  <c r="Y6131" i="1"/>
  <c r="Y6132" i="1"/>
  <c r="Y6133" i="1"/>
  <c r="Y6134" i="1"/>
  <c r="Y6135" i="1"/>
  <c r="Y6136" i="1"/>
  <c r="Y6137" i="1"/>
  <c r="Y6138" i="1"/>
  <c r="Y6139" i="1"/>
  <c r="Y6140" i="1"/>
  <c r="Y6141" i="1"/>
  <c r="Y6142" i="1"/>
  <c r="Y6143" i="1"/>
  <c r="Y6144" i="1"/>
  <c r="Y6145" i="1"/>
  <c r="Y6146" i="1"/>
  <c r="Y6147" i="1"/>
  <c r="Y6148" i="1"/>
  <c r="Y6149" i="1"/>
  <c r="Y6150" i="1"/>
  <c r="Y6151" i="1"/>
  <c r="Y6152" i="1"/>
  <c r="Y6153" i="1"/>
  <c r="Y6154" i="1"/>
  <c r="Y6155" i="1"/>
  <c r="Y6156" i="1"/>
  <c r="Y6157" i="1"/>
  <c r="Y6158" i="1"/>
  <c r="Y6159" i="1"/>
  <c r="Y6160" i="1"/>
  <c r="Y6161" i="1"/>
  <c r="Y6162" i="1"/>
  <c r="Y6163" i="1"/>
  <c r="Y6164" i="1"/>
  <c r="Y6165" i="1"/>
  <c r="Y6166" i="1"/>
  <c r="Y6167" i="1"/>
  <c r="Y6168" i="1"/>
  <c r="Y6169" i="1"/>
  <c r="Y6170" i="1"/>
  <c r="Y6171" i="1"/>
  <c r="Y6172" i="1"/>
  <c r="Y6173" i="1"/>
  <c r="Y6174" i="1"/>
  <c r="Y6175" i="1"/>
  <c r="Y6176" i="1"/>
  <c r="Y6177" i="1"/>
  <c r="Y6178" i="1"/>
  <c r="Y6179" i="1"/>
  <c r="Y6180" i="1"/>
  <c r="Y6181" i="1"/>
  <c r="Y6182" i="1"/>
  <c r="Y6183" i="1"/>
  <c r="Y6184" i="1"/>
  <c r="Y6185" i="1"/>
  <c r="Y6186" i="1"/>
  <c r="Y6187" i="1"/>
  <c r="Y6188" i="1"/>
  <c r="Y6189" i="1"/>
  <c r="Y6190" i="1"/>
  <c r="Y6191" i="1"/>
  <c r="Y6192" i="1"/>
  <c r="Y6193" i="1"/>
  <c r="Y6194" i="1"/>
  <c r="Y6195" i="1"/>
  <c r="Y6196" i="1"/>
  <c r="Y6197" i="1"/>
  <c r="Y6198" i="1"/>
  <c r="Y6199" i="1"/>
  <c r="Y6200" i="1"/>
  <c r="Y6201" i="1"/>
  <c r="Y6202" i="1"/>
  <c r="Y6203" i="1"/>
  <c r="Y6204" i="1"/>
  <c r="Y6205" i="1"/>
  <c r="Y6206" i="1"/>
  <c r="Y6207" i="1"/>
  <c r="Y6208" i="1"/>
  <c r="Y6209" i="1"/>
  <c r="Y6210" i="1"/>
  <c r="Y6211" i="1"/>
  <c r="Y6212" i="1"/>
  <c r="Y6213" i="1"/>
  <c r="Y6214" i="1"/>
  <c r="Y6215" i="1"/>
  <c r="Y6216" i="1"/>
  <c r="Y6217" i="1"/>
  <c r="Y6218" i="1"/>
  <c r="Y6219" i="1"/>
  <c r="Y6220" i="1"/>
  <c r="Y6221" i="1"/>
  <c r="Y6222" i="1"/>
  <c r="Y6223" i="1"/>
  <c r="Y6224" i="1"/>
  <c r="Y6225" i="1"/>
  <c r="Y6226" i="1"/>
  <c r="Y6227" i="1"/>
  <c r="Y6228" i="1"/>
  <c r="Y6229" i="1"/>
  <c r="Y6230" i="1"/>
  <c r="Y6231" i="1"/>
  <c r="Y6232" i="1"/>
  <c r="Y6233" i="1"/>
  <c r="Y6234" i="1"/>
  <c r="Y6235" i="1"/>
  <c r="Y6236" i="1"/>
  <c r="Y6237" i="1"/>
  <c r="Y6238" i="1"/>
  <c r="Y6239" i="1"/>
  <c r="Y6240" i="1"/>
  <c r="Y6241" i="1"/>
  <c r="Y6242" i="1"/>
  <c r="Y6243" i="1"/>
  <c r="Y6244" i="1"/>
  <c r="Y6245" i="1"/>
  <c r="Y6246" i="1"/>
  <c r="Y6247" i="1"/>
  <c r="Y6248" i="1"/>
  <c r="Y6249" i="1"/>
  <c r="Y6250" i="1"/>
  <c r="Y6251" i="1"/>
  <c r="Y6252" i="1"/>
  <c r="Y6253" i="1"/>
  <c r="Y6254" i="1"/>
  <c r="Y6255" i="1"/>
  <c r="Y6256" i="1"/>
  <c r="Y6257" i="1"/>
  <c r="Y6258" i="1"/>
  <c r="Y6259" i="1"/>
  <c r="Y6260" i="1"/>
  <c r="Y6261" i="1"/>
  <c r="Y6262" i="1"/>
  <c r="Y6263" i="1"/>
  <c r="Y6264" i="1"/>
  <c r="Y6265" i="1"/>
  <c r="Y6266" i="1"/>
  <c r="Y6267" i="1"/>
  <c r="Y6268" i="1"/>
  <c r="Y6269" i="1"/>
  <c r="Y6270" i="1"/>
  <c r="Y6271" i="1"/>
  <c r="Y6272" i="1"/>
  <c r="Y6273" i="1"/>
  <c r="Y6274" i="1"/>
  <c r="Y6275" i="1"/>
  <c r="Y6276" i="1"/>
  <c r="Y6277" i="1"/>
  <c r="Y6278" i="1"/>
  <c r="Y6279" i="1"/>
  <c r="Y6280" i="1"/>
  <c r="Y6281" i="1"/>
  <c r="Y6282" i="1"/>
  <c r="Y6283" i="1"/>
  <c r="Y6284" i="1"/>
  <c r="Y6285" i="1"/>
  <c r="Y6286" i="1"/>
  <c r="Y6287" i="1"/>
  <c r="Y6288" i="1"/>
  <c r="Y6289" i="1"/>
  <c r="Y6290" i="1"/>
  <c r="Y6291" i="1"/>
  <c r="Y6292" i="1"/>
  <c r="Y6293" i="1"/>
  <c r="Y6294" i="1"/>
  <c r="Y6295" i="1"/>
  <c r="Y6296" i="1"/>
  <c r="Y6297" i="1"/>
  <c r="Y6298" i="1"/>
  <c r="Y6299" i="1"/>
  <c r="Y6300" i="1"/>
  <c r="Y6301" i="1"/>
  <c r="Y6302" i="1"/>
  <c r="Y6303" i="1"/>
  <c r="Y6304" i="1"/>
  <c r="Y6305" i="1"/>
  <c r="Y6306" i="1"/>
  <c r="Y6307" i="1"/>
  <c r="Y6308" i="1"/>
  <c r="Y6309" i="1"/>
  <c r="Y6310" i="1"/>
  <c r="Y6311" i="1"/>
  <c r="Y6312" i="1"/>
  <c r="Y6313" i="1"/>
  <c r="Y6314" i="1"/>
  <c r="Y6315" i="1"/>
  <c r="Y6316" i="1"/>
  <c r="Y6317" i="1"/>
  <c r="Y6318" i="1"/>
  <c r="Y6319" i="1"/>
  <c r="Y6320" i="1"/>
  <c r="Y6321" i="1"/>
  <c r="Y6322" i="1"/>
  <c r="Y6323" i="1"/>
  <c r="Y6324" i="1"/>
  <c r="Y6325" i="1"/>
  <c r="Y6326" i="1"/>
  <c r="Y6327" i="1"/>
  <c r="Y6328" i="1"/>
  <c r="Y6329" i="1"/>
  <c r="Y6330" i="1"/>
  <c r="Y6331" i="1"/>
  <c r="Y6332" i="1"/>
  <c r="Y6333" i="1"/>
  <c r="Y6334" i="1"/>
  <c r="Y6335" i="1"/>
  <c r="Y6336" i="1"/>
  <c r="Y6337" i="1"/>
  <c r="Y6338" i="1"/>
  <c r="Y6339" i="1"/>
  <c r="Y6340" i="1"/>
  <c r="Y6341" i="1"/>
  <c r="Y6342" i="1"/>
  <c r="Y6343" i="1"/>
  <c r="Y6344" i="1"/>
  <c r="Y6345" i="1"/>
  <c r="Y6346" i="1"/>
  <c r="Y6347" i="1"/>
  <c r="Y6348" i="1"/>
  <c r="Y6349" i="1"/>
  <c r="Y6350" i="1"/>
  <c r="Y6351" i="1"/>
  <c r="Y6352" i="1"/>
  <c r="Y6353" i="1"/>
  <c r="Y6354" i="1"/>
  <c r="Y6355" i="1"/>
  <c r="Y6356" i="1"/>
  <c r="Y6357" i="1"/>
  <c r="Y6358" i="1"/>
  <c r="Y6359" i="1"/>
  <c r="Y6360" i="1"/>
  <c r="Y6361" i="1"/>
  <c r="Y6362" i="1"/>
  <c r="Y6363" i="1"/>
  <c r="Y6364" i="1"/>
  <c r="Y6365" i="1"/>
  <c r="Y6366" i="1"/>
  <c r="Y6367" i="1"/>
  <c r="Y6368" i="1"/>
  <c r="Y6369" i="1"/>
  <c r="Y6370" i="1"/>
  <c r="Y6371" i="1"/>
  <c r="Y6372" i="1"/>
  <c r="Y6373" i="1"/>
  <c r="Y6374" i="1"/>
  <c r="Y6375" i="1"/>
  <c r="Y6376" i="1"/>
  <c r="Y6377" i="1"/>
  <c r="Y6378" i="1"/>
  <c r="Y6379" i="1"/>
  <c r="Y6380" i="1"/>
  <c r="Y6381" i="1"/>
  <c r="Y6382" i="1"/>
  <c r="Y6383" i="1"/>
  <c r="Y6384" i="1"/>
  <c r="Y6385" i="1"/>
  <c r="Y6386" i="1"/>
  <c r="Y6387" i="1"/>
  <c r="Y6388" i="1"/>
  <c r="Y6389" i="1"/>
  <c r="Y6390" i="1"/>
  <c r="Y6391" i="1"/>
  <c r="Y6392" i="1"/>
  <c r="Y6393" i="1"/>
  <c r="Y6394" i="1"/>
  <c r="Y6395" i="1"/>
  <c r="Y6396" i="1"/>
  <c r="Y6397" i="1"/>
  <c r="Y6398" i="1"/>
  <c r="Y6399" i="1"/>
  <c r="Y6400" i="1"/>
  <c r="Y6401" i="1"/>
  <c r="Y6402" i="1"/>
  <c r="Y6403" i="1"/>
  <c r="Y6404" i="1"/>
  <c r="Y6405" i="1"/>
  <c r="Y6406" i="1"/>
  <c r="Y6407" i="1"/>
  <c r="Y6408" i="1"/>
  <c r="Y6409" i="1"/>
  <c r="Y6410" i="1"/>
  <c r="Y6411" i="1"/>
  <c r="Y6412" i="1"/>
  <c r="Y6413" i="1"/>
  <c r="Y6414" i="1"/>
  <c r="Y6415" i="1"/>
  <c r="Y6416" i="1"/>
  <c r="Y6417" i="1"/>
  <c r="Y6418" i="1"/>
  <c r="Y6419" i="1"/>
  <c r="Y6420" i="1"/>
  <c r="Y6421" i="1"/>
  <c r="Y6422" i="1"/>
  <c r="Y6423" i="1"/>
  <c r="Y6424" i="1"/>
  <c r="Y6425" i="1"/>
  <c r="Y6426" i="1"/>
  <c r="Y6427" i="1"/>
  <c r="Y6428" i="1"/>
  <c r="Y6429" i="1"/>
  <c r="Y6430" i="1"/>
  <c r="Y6431" i="1"/>
  <c r="Y6432" i="1"/>
  <c r="Y6433" i="1"/>
  <c r="Y6434" i="1"/>
  <c r="Y6435" i="1"/>
  <c r="Y6436" i="1"/>
  <c r="Y6437" i="1"/>
  <c r="Y6438" i="1"/>
  <c r="Y6439" i="1"/>
  <c r="Y6440" i="1"/>
  <c r="Y6441" i="1"/>
  <c r="Y6442" i="1"/>
  <c r="Y6443" i="1"/>
  <c r="Y6444" i="1"/>
  <c r="Y6445" i="1"/>
  <c r="Y6446" i="1"/>
  <c r="Y6447" i="1"/>
  <c r="Y6448" i="1"/>
  <c r="Y6449" i="1"/>
  <c r="Y6450" i="1"/>
  <c r="Y6451" i="1"/>
  <c r="Y6452" i="1"/>
  <c r="Y6453" i="1"/>
  <c r="Y6454" i="1"/>
  <c r="Y6455" i="1"/>
  <c r="Y6456" i="1"/>
  <c r="Y6457" i="1"/>
  <c r="Y6458" i="1"/>
  <c r="Y6459" i="1"/>
  <c r="Y6460" i="1"/>
  <c r="Y6461" i="1"/>
  <c r="Y6462" i="1"/>
  <c r="Y6463" i="1"/>
  <c r="Y6464" i="1"/>
  <c r="Y6465" i="1"/>
  <c r="Y6466" i="1"/>
  <c r="Y6467" i="1"/>
  <c r="Y6468" i="1"/>
  <c r="Y6469" i="1"/>
  <c r="Y6470" i="1"/>
  <c r="Y6471" i="1"/>
  <c r="Y6472" i="1"/>
  <c r="Y6473" i="1"/>
  <c r="Y6474" i="1"/>
  <c r="Y6475" i="1"/>
  <c r="Y6476" i="1"/>
  <c r="Y6477" i="1"/>
  <c r="Y6478" i="1"/>
  <c r="Y6479" i="1"/>
  <c r="Y6480" i="1"/>
  <c r="Y6481" i="1"/>
  <c r="Y6482" i="1"/>
  <c r="Y6483" i="1"/>
  <c r="Y6484" i="1"/>
  <c r="Y6485" i="1"/>
  <c r="Y6486" i="1"/>
  <c r="Y6487" i="1"/>
  <c r="Y6488" i="1"/>
  <c r="Y6489" i="1"/>
  <c r="Y6490" i="1"/>
  <c r="Y6491" i="1"/>
  <c r="Y6492" i="1"/>
  <c r="Y6493" i="1"/>
  <c r="Y6494" i="1"/>
  <c r="Y6495" i="1"/>
  <c r="Y6496" i="1"/>
  <c r="Y6497" i="1"/>
  <c r="Y6498" i="1"/>
  <c r="Y6499" i="1"/>
  <c r="Y6500" i="1"/>
  <c r="Y6501" i="1"/>
  <c r="Y6502" i="1"/>
  <c r="Y6503" i="1"/>
  <c r="Y6504" i="1"/>
  <c r="Y6505" i="1"/>
  <c r="Y6506" i="1"/>
  <c r="Y6507" i="1"/>
  <c r="Y6508" i="1"/>
  <c r="Y6509" i="1"/>
  <c r="Y6510" i="1"/>
  <c r="Y6511" i="1"/>
  <c r="Y6512" i="1"/>
  <c r="Y6513" i="1"/>
  <c r="Y6514" i="1"/>
  <c r="Y6515" i="1"/>
  <c r="Y6516" i="1"/>
  <c r="Y6517" i="1"/>
  <c r="Y6518" i="1"/>
  <c r="Y6519" i="1"/>
  <c r="Y6520" i="1"/>
  <c r="Y6521" i="1"/>
  <c r="Y6522" i="1"/>
  <c r="Y6523" i="1"/>
  <c r="Y6524" i="1"/>
  <c r="Y6525" i="1"/>
  <c r="Y6526" i="1"/>
  <c r="Y6527" i="1"/>
  <c r="Y6528" i="1"/>
  <c r="Y6529" i="1"/>
  <c r="Y6530" i="1"/>
  <c r="Y6531" i="1"/>
  <c r="Y6532" i="1"/>
  <c r="Y6533" i="1"/>
  <c r="Y6534" i="1"/>
  <c r="Y6535" i="1"/>
  <c r="Y6536" i="1"/>
  <c r="Y6537" i="1"/>
  <c r="Y6538" i="1"/>
  <c r="Y6539" i="1"/>
  <c r="Y6540" i="1"/>
  <c r="Y6541" i="1"/>
  <c r="Y6542" i="1"/>
  <c r="Y6543" i="1"/>
  <c r="Y6544" i="1"/>
  <c r="Y6545" i="1"/>
  <c r="Y6546" i="1"/>
  <c r="Y6547" i="1"/>
  <c r="Y6548" i="1"/>
  <c r="Y6549" i="1"/>
  <c r="Y6550" i="1"/>
  <c r="Y6551" i="1"/>
  <c r="Y6552" i="1"/>
  <c r="Y6553" i="1"/>
  <c r="Y6554" i="1"/>
  <c r="Y6555" i="1"/>
  <c r="Y6556" i="1"/>
  <c r="Y6557" i="1"/>
  <c r="Y6558" i="1"/>
  <c r="Y6559" i="1"/>
  <c r="Y6560" i="1"/>
  <c r="Y6561" i="1"/>
  <c r="Y6562" i="1"/>
  <c r="Y6563" i="1"/>
  <c r="Y6564" i="1"/>
  <c r="Y6565" i="1"/>
  <c r="Y6566" i="1"/>
  <c r="Y6567" i="1"/>
  <c r="Y6568" i="1"/>
  <c r="Y6569" i="1"/>
  <c r="Y6570" i="1"/>
  <c r="Y6571" i="1"/>
  <c r="Y6572" i="1"/>
  <c r="Y6573" i="1"/>
  <c r="Y6574" i="1"/>
  <c r="Y6575" i="1"/>
  <c r="Y6576" i="1"/>
  <c r="Y6577" i="1"/>
  <c r="Y6578" i="1"/>
  <c r="Y6579" i="1"/>
  <c r="Y6580" i="1"/>
  <c r="Y6581" i="1"/>
  <c r="Y6582" i="1"/>
  <c r="Y6583" i="1"/>
  <c r="Y6584" i="1"/>
  <c r="Y6585" i="1"/>
  <c r="Y6586" i="1"/>
  <c r="Y6587" i="1"/>
  <c r="Y6588" i="1"/>
  <c r="Y6589" i="1"/>
  <c r="Y6590" i="1"/>
  <c r="Y6591" i="1"/>
  <c r="Y6592" i="1"/>
  <c r="Y6593" i="1"/>
  <c r="Y6594" i="1"/>
  <c r="Y6595" i="1"/>
  <c r="Y6596" i="1"/>
  <c r="Y6597" i="1"/>
  <c r="Y6598" i="1"/>
  <c r="Y6599" i="1"/>
  <c r="Y6600" i="1"/>
  <c r="Y6601" i="1"/>
  <c r="Y6602" i="1"/>
  <c r="Y6603" i="1"/>
  <c r="Y6604" i="1"/>
  <c r="Y6605" i="1"/>
  <c r="Y6606" i="1"/>
  <c r="Y6607" i="1"/>
  <c r="Y6608" i="1"/>
  <c r="Y6609" i="1"/>
  <c r="Y6610" i="1"/>
  <c r="Y6611" i="1"/>
  <c r="Y6612" i="1"/>
  <c r="Y6613" i="1"/>
  <c r="Y6614" i="1"/>
  <c r="Y6615" i="1"/>
  <c r="Y6616" i="1"/>
  <c r="Y6617" i="1"/>
  <c r="Y6618" i="1"/>
  <c r="Y6619" i="1"/>
  <c r="Y6620" i="1"/>
  <c r="Y6621" i="1"/>
  <c r="Y6622" i="1"/>
  <c r="Y6623" i="1"/>
  <c r="Y6624" i="1"/>
  <c r="Y6625" i="1"/>
  <c r="Y6626" i="1"/>
  <c r="Y6627" i="1"/>
  <c r="Y6628" i="1"/>
  <c r="Y6629" i="1"/>
  <c r="Y6630" i="1"/>
  <c r="Y6631" i="1"/>
  <c r="Y6632" i="1"/>
  <c r="Y6633" i="1"/>
  <c r="Y6634" i="1"/>
  <c r="Y6635" i="1"/>
  <c r="Y6636" i="1"/>
  <c r="Y6637" i="1"/>
  <c r="Y6638" i="1"/>
  <c r="Y6639" i="1"/>
  <c r="Y6640" i="1"/>
  <c r="Y6641" i="1"/>
  <c r="Y6642" i="1"/>
  <c r="Y6643" i="1"/>
  <c r="Y6644" i="1"/>
  <c r="Y6645" i="1"/>
  <c r="Y6646" i="1"/>
  <c r="Y6647" i="1"/>
  <c r="Y6648" i="1"/>
  <c r="Y6649" i="1"/>
  <c r="Y6650" i="1"/>
  <c r="Y6651" i="1"/>
  <c r="Y6652" i="1"/>
  <c r="Y6653" i="1"/>
  <c r="Y6654" i="1"/>
  <c r="Y6655" i="1"/>
  <c r="Y6656" i="1"/>
  <c r="Y6657" i="1"/>
  <c r="Y6658" i="1"/>
  <c r="Y6659" i="1"/>
  <c r="Y6660" i="1"/>
  <c r="Y6661" i="1"/>
  <c r="Y6662" i="1"/>
  <c r="Y6663" i="1"/>
  <c r="Y6664" i="1"/>
  <c r="Y6665" i="1"/>
  <c r="Y6666" i="1"/>
  <c r="Y6667" i="1"/>
  <c r="Y6668" i="1"/>
  <c r="Y6669" i="1"/>
  <c r="Y6670" i="1"/>
  <c r="Y6671" i="1"/>
  <c r="Y6672" i="1"/>
  <c r="Y6673" i="1"/>
  <c r="Y6674" i="1"/>
  <c r="Y6675" i="1"/>
  <c r="Y6676" i="1"/>
  <c r="Y6677" i="1"/>
  <c r="Y6678" i="1"/>
  <c r="Y6679" i="1"/>
  <c r="Y6680" i="1"/>
  <c r="Y6681" i="1"/>
  <c r="Y6682" i="1"/>
  <c r="Y6683" i="1"/>
  <c r="Y6684" i="1"/>
  <c r="Y6685" i="1"/>
  <c r="Y6686" i="1"/>
  <c r="Y6687" i="1"/>
  <c r="Y6688" i="1"/>
  <c r="Y6689" i="1"/>
  <c r="Y6690" i="1"/>
  <c r="Y6691" i="1"/>
  <c r="Y6692" i="1"/>
  <c r="Y6693" i="1"/>
  <c r="Y6694" i="1"/>
  <c r="Y6695" i="1"/>
  <c r="Y6696" i="1"/>
  <c r="Y6697" i="1"/>
  <c r="Y6698" i="1"/>
  <c r="Y6699" i="1"/>
  <c r="Y6700" i="1"/>
  <c r="Y6701" i="1"/>
  <c r="Y6702" i="1"/>
  <c r="Y6703" i="1"/>
  <c r="Y6704" i="1"/>
  <c r="Y6705" i="1"/>
  <c r="Y6706" i="1"/>
  <c r="Y6707" i="1"/>
  <c r="Y6708" i="1"/>
  <c r="Y6709" i="1"/>
  <c r="Y6710" i="1"/>
  <c r="Y6711" i="1"/>
  <c r="Y6712" i="1"/>
  <c r="Y6713" i="1"/>
  <c r="Y6714" i="1"/>
  <c r="Y6715" i="1"/>
  <c r="Y6716" i="1"/>
  <c r="Y6717" i="1"/>
  <c r="Y6718" i="1"/>
  <c r="Y6719" i="1"/>
  <c r="Y6720" i="1"/>
  <c r="Y6721" i="1"/>
  <c r="Y6722" i="1"/>
  <c r="Y6723" i="1"/>
  <c r="Y6724" i="1"/>
  <c r="Y6725" i="1"/>
  <c r="Y6726" i="1"/>
  <c r="Y6727" i="1"/>
  <c r="Y6728" i="1"/>
  <c r="Y6729" i="1"/>
  <c r="Y6730" i="1"/>
  <c r="Y6731" i="1"/>
  <c r="Y6732" i="1"/>
  <c r="Y6733" i="1"/>
  <c r="Y6734" i="1"/>
  <c r="Y6735" i="1"/>
  <c r="Y6736" i="1"/>
  <c r="Y6737" i="1"/>
  <c r="Y6738" i="1"/>
  <c r="Y6739" i="1"/>
  <c r="Y6740" i="1"/>
  <c r="Y6741" i="1"/>
  <c r="Y6742" i="1"/>
  <c r="Y6743" i="1"/>
  <c r="Y6744" i="1"/>
  <c r="Y6745" i="1"/>
  <c r="Y6746" i="1"/>
  <c r="Y6747" i="1"/>
  <c r="Y6748" i="1"/>
  <c r="Y6749" i="1"/>
  <c r="Y6750" i="1"/>
  <c r="Y6751" i="1"/>
  <c r="Y6752" i="1"/>
  <c r="Y6753" i="1"/>
  <c r="Y6754" i="1"/>
  <c r="Y6755" i="1"/>
  <c r="Y6756" i="1"/>
  <c r="Y6757" i="1"/>
  <c r="Y6758" i="1"/>
  <c r="Y6759" i="1"/>
  <c r="Y6760" i="1"/>
  <c r="Y6761" i="1"/>
  <c r="Y6762" i="1"/>
  <c r="Y6763" i="1"/>
  <c r="Y6764" i="1"/>
  <c r="Y6765" i="1"/>
  <c r="Y6766" i="1"/>
  <c r="Y6767" i="1"/>
  <c r="Y6768" i="1"/>
  <c r="Y6769" i="1"/>
  <c r="Y6770" i="1"/>
  <c r="Y6771" i="1"/>
  <c r="Y6772" i="1"/>
  <c r="Y6773" i="1"/>
  <c r="Y6774" i="1"/>
  <c r="Y6775" i="1"/>
  <c r="Y6776" i="1"/>
  <c r="Y6777" i="1"/>
  <c r="Y6778" i="1"/>
  <c r="Y6779" i="1"/>
  <c r="Y6780" i="1"/>
  <c r="Y6781" i="1"/>
  <c r="Y6782" i="1"/>
  <c r="Y6783" i="1"/>
  <c r="Y6784" i="1"/>
  <c r="Y6785" i="1"/>
  <c r="Y6786" i="1"/>
  <c r="Y6787" i="1"/>
  <c r="Y6788" i="1"/>
  <c r="Y6789" i="1"/>
  <c r="Y6790" i="1"/>
  <c r="Y6791" i="1"/>
  <c r="Y6792" i="1"/>
  <c r="Y6793" i="1"/>
  <c r="Y6794" i="1"/>
  <c r="Y6795" i="1"/>
  <c r="Y6796" i="1"/>
  <c r="Y6797" i="1"/>
  <c r="Y6798" i="1"/>
  <c r="Y6799" i="1"/>
  <c r="Y6800" i="1"/>
  <c r="Y6801" i="1"/>
  <c r="Y6802" i="1"/>
  <c r="Y6803" i="1"/>
  <c r="Y6804" i="1"/>
  <c r="Y6805" i="1"/>
  <c r="Y6806" i="1"/>
  <c r="Y6807" i="1"/>
  <c r="Y6808" i="1"/>
  <c r="Y6809" i="1"/>
  <c r="Y6810" i="1"/>
  <c r="Y6811" i="1"/>
  <c r="Y6812" i="1"/>
  <c r="Y6813" i="1"/>
  <c r="Y6814" i="1"/>
  <c r="Y6815" i="1"/>
  <c r="Y6816" i="1"/>
  <c r="Y6817" i="1"/>
  <c r="Y6818" i="1"/>
  <c r="Y6819" i="1"/>
  <c r="Y6820" i="1"/>
  <c r="Y6821" i="1"/>
  <c r="Y6822" i="1"/>
  <c r="Y6823" i="1"/>
  <c r="Y6824" i="1"/>
  <c r="Y6825" i="1"/>
  <c r="Y6826" i="1"/>
  <c r="Y6827" i="1"/>
  <c r="Y6828" i="1"/>
  <c r="Y6829" i="1"/>
  <c r="Y6830" i="1"/>
  <c r="Y6831" i="1"/>
  <c r="Y6832" i="1"/>
  <c r="Y6833" i="1"/>
  <c r="Y6834" i="1"/>
  <c r="Y6835" i="1"/>
  <c r="Y6836" i="1"/>
  <c r="Y6837" i="1"/>
  <c r="Y6838" i="1"/>
  <c r="Y6839" i="1"/>
  <c r="Y6840" i="1"/>
  <c r="Y6841" i="1"/>
  <c r="Y6842" i="1"/>
  <c r="Y6843" i="1"/>
  <c r="Y6844" i="1"/>
  <c r="Y6845" i="1"/>
  <c r="Y6846" i="1"/>
  <c r="Y6847" i="1"/>
  <c r="Y6848" i="1"/>
  <c r="Y6849" i="1"/>
  <c r="Y6850" i="1"/>
  <c r="Y6851" i="1"/>
  <c r="Y6852" i="1"/>
  <c r="Y6853" i="1"/>
  <c r="Y6854" i="1"/>
  <c r="Y6855" i="1"/>
  <c r="Y6856" i="1"/>
  <c r="Y6857" i="1"/>
  <c r="Y6858" i="1"/>
  <c r="Y6859" i="1"/>
  <c r="Y6860" i="1"/>
  <c r="Y6861" i="1"/>
  <c r="Y6862" i="1"/>
  <c r="Y6863" i="1"/>
  <c r="Y6864" i="1"/>
  <c r="Y6865" i="1"/>
  <c r="Y6866" i="1"/>
  <c r="Y6867" i="1"/>
  <c r="Y6868" i="1"/>
  <c r="Y6869" i="1"/>
  <c r="Y6870" i="1"/>
  <c r="Y6871" i="1"/>
  <c r="Y6872" i="1"/>
  <c r="Y6873" i="1"/>
  <c r="Y6874" i="1"/>
  <c r="Y6875" i="1"/>
  <c r="Y6876" i="1"/>
  <c r="Y6877" i="1"/>
  <c r="Y6878" i="1"/>
  <c r="Y6879" i="1"/>
  <c r="Y6880" i="1"/>
  <c r="Y6881" i="1"/>
  <c r="Y6882" i="1"/>
  <c r="Y6883" i="1"/>
  <c r="Y6884" i="1"/>
  <c r="Y6885" i="1"/>
  <c r="Y6886" i="1"/>
  <c r="Y6887" i="1"/>
  <c r="Y6888" i="1"/>
  <c r="Y6889" i="1"/>
  <c r="Y6890" i="1"/>
  <c r="Y6891" i="1"/>
  <c r="Y6892" i="1"/>
  <c r="Y6893" i="1"/>
  <c r="Y6894" i="1"/>
  <c r="Y6895" i="1"/>
  <c r="Y6896" i="1"/>
  <c r="Y6897" i="1"/>
  <c r="Y6898" i="1"/>
  <c r="Y6899" i="1"/>
  <c r="Y6900" i="1"/>
  <c r="Y6901" i="1"/>
  <c r="Y6902" i="1"/>
  <c r="Y6903" i="1"/>
  <c r="Y6904" i="1"/>
  <c r="Y6905" i="1"/>
  <c r="Y6906" i="1"/>
  <c r="Y6907" i="1"/>
  <c r="Y6908" i="1"/>
  <c r="Y6909" i="1"/>
  <c r="Y6910" i="1"/>
  <c r="Y6911" i="1"/>
  <c r="Y6912" i="1"/>
  <c r="Y6913" i="1"/>
  <c r="Y6914" i="1"/>
  <c r="Y6915" i="1"/>
  <c r="Y6916" i="1"/>
  <c r="Y6917" i="1"/>
  <c r="Y6918" i="1"/>
  <c r="Y6919" i="1"/>
  <c r="Y6920" i="1"/>
  <c r="Y6921" i="1"/>
  <c r="Y6922" i="1"/>
  <c r="Y6923" i="1"/>
  <c r="Y6924" i="1"/>
  <c r="Y6925" i="1"/>
  <c r="Y6926" i="1"/>
  <c r="Y6927" i="1"/>
  <c r="Y6928" i="1"/>
  <c r="Y6929" i="1"/>
  <c r="Y6930" i="1"/>
  <c r="Y6931" i="1"/>
  <c r="Y6932" i="1"/>
  <c r="Y6933" i="1"/>
  <c r="Y6934" i="1"/>
  <c r="Y6935" i="1"/>
  <c r="Y6936" i="1"/>
  <c r="Y6937" i="1"/>
  <c r="Y6938" i="1"/>
  <c r="Y6939" i="1"/>
  <c r="Y6940" i="1"/>
  <c r="Y6941" i="1"/>
  <c r="Y6942" i="1"/>
  <c r="Y6943" i="1"/>
  <c r="Y6944" i="1"/>
  <c r="Y6945" i="1"/>
  <c r="Y6946" i="1"/>
  <c r="Y6947" i="1"/>
  <c r="Y6948" i="1"/>
  <c r="Y6949" i="1"/>
  <c r="Y6950" i="1"/>
  <c r="Y6951" i="1"/>
  <c r="Y6952" i="1"/>
  <c r="Y6953" i="1"/>
  <c r="Y6954" i="1"/>
  <c r="Y6955" i="1"/>
  <c r="Y6956" i="1"/>
  <c r="Y6957" i="1"/>
  <c r="Y6958" i="1"/>
  <c r="Y6959" i="1"/>
  <c r="Y6960" i="1"/>
  <c r="Y6961" i="1"/>
  <c r="Y6962" i="1"/>
  <c r="Y6963" i="1"/>
  <c r="Y6964" i="1"/>
  <c r="Y6965" i="1"/>
  <c r="Y6966" i="1"/>
  <c r="Y6967" i="1"/>
  <c r="Y6968" i="1"/>
  <c r="Y6969" i="1"/>
  <c r="Y6970" i="1"/>
  <c r="Y6971" i="1"/>
  <c r="Y6972" i="1"/>
  <c r="Y6973" i="1"/>
  <c r="Y6974" i="1"/>
  <c r="Y6975" i="1"/>
  <c r="Y6976" i="1"/>
  <c r="Y6977" i="1"/>
  <c r="Y6978" i="1"/>
  <c r="Y6979" i="1"/>
  <c r="Y6980" i="1"/>
  <c r="Y6981" i="1"/>
  <c r="Y6982" i="1"/>
  <c r="Y6983" i="1"/>
  <c r="Y6984" i="1"/>
  <c r="Y6985" i="1"/>
  <c r="Y6986" i="1"/>
  <c r="Y6987" i="1"/>
  <c r="Y6988" i="1"/>
  <c r="Y6989" i="1"/>
  <c r="Y6990" i="1"/>
  <c r="Y6991" i="1"/>
  <c r="Y6992" i="1"/>
  <c r="Y6993" i="1"/>
  <c r="Y6994" i="1"/>
  <c r="Y6995" i="1"/>
  <c r="Y6996" i="1"/>
  <c r="Y6997" i="1"/>
  <c r="Y6998" i="1"/>
  <c r="Y6999" i="1"/>
  <c r="Y7000" i="1"/>
  <c r="Y7001" i="1"/>
  <c r="Y7002" i="1"/>
  <c r="Y7003" i="1"/>
  <c r="Y7004" i="1"/>
  <c r="Y7005" i="1"/>
  <c r="Y7006" i="1"/>
  <c r="Y7007" i="1"/>
  <c r="Y7008" i="1"/>
  <c r="Y7009" i="1"/>
  <c r="Y7010" i="1"/>
  <c r="Y7011" i="1"/>
  <c r="Y7012" i="1"/>
  <c r="Y7013" i="1"/>
  <c r="Y7014" i="1"/>
  <c r="Y7015" i="1"/>
  <c r="Y7016" i="1"/>
  <c r="Y7017" i="1"/>
  <c r="Y7018" i="1"/>
  <c r="Y7019" i="1"/>
  <c r="Y7020" i="1"/>
  <c r="Y7021" i="1"/>
  <c r="Y7022" i="1"/>
  <c r="Y7023" i="1"/>
  <c r="Y7024" i="1"/>
  <c r="Y7025" i="1"/>
  <c r="Y7026" i="1"/>
  <c r="Y7027" i="1"/>
  <c r="Y7028" i="1"/>
  <c r="Y7029" i="1"/>
  <c r="Y7030" i="1"/>
  <c r="Y7031" i="1"/>
  <c r="Y7032" i="1"/>
  <c r="Y7033" i="1"/>
  <c r="Y7034" i="1"/>
  <c r="Y7035" i="1"/>
  <c r="Y7036" i="1"/>
  <c r="Y7037" i="1"/>
  <c r="Y7038" i="1"/>
  <c r="Y7039" i="1"/>
  <c r="Y7040" i="1"/>
  <c r="Y7041" i="1"/>
  <c r="Y7042" i="1"/>
  <c r="Y7043" i="1"/>
  <c r="Y7044" i="1"/>
  <c r="Y7045" i="1"/>
  <c r="Y7046" i="1"/>
  <c r="Y7047" i="1"/>
  <c r="Y7048" i="1"/>
  <c r="Y7049" i="1"/>
  <c r="Y7050" i="1"/>
  <c r="Y7051" i="1"/>
  <c r="Y7052" i="1"/>
  <c r="Y7053" i="1"/>
  <c r="Y7054" i="1"/>
  <c r="Y7055" i="1"/>
  <c r="Y7056" i="1"/>
  <c r="Y7057" i="1"/>
  <c r="Y7058" i="1"/>
  <c r="Y7059" i="1"/>
  <c r="Y7060" i="1"/>
  <c r="Y7061" i="1"/>
  <c r="Y7062" i="1"/>
  <c r="Y7063" i="1"/>
  <c r="Y7064" i="1"/>
  <c r="Y7065" i="1"/>
  <c r="Y7066" i="1"/>
  <c r="Y7067" i="1"/>
  <c r="Y7068" i="1"/>
  <c r="Y7069" i="1"/>
  <c r="Y7070" i="1"/>
  <c r="Y7071" i="1"/>
  <c r="Y7072" i="1"/>
  <c r="Y7073" i="1"/>
  <c r="Y7074" i="1"/>
  <c r="Y7075" i="1"/>
  <c r="Y7076" i="1"/>
  <c r="Y7077" i="1"/>
  <c r="Y7078" i="1"/>
  <c r="Y7079" i="1"/>
  <c r="Y7080" i="1"/>
  <c r="Y7081" i="1"/>
  <c r="Y7082" i="1"/>
  <c r="Y7083" i="1"/>
  <c r="Y7084" i="1"/>
  <c r="Y7085" i="1"/>
  <c r="Y7086" i="1"/>
  <c r="Y7087" i="1"/>
  <c r="Y7088" i="1"/>
  <c r="Y7089" i="1"/>
  <c r="Y7090" i="1"/>
  <c r="Y7091" i="1"/>
  <c r="Y7092" i="1"/>
  <c r="Y7093" i="1"/>
  <c r="Y7094" i="1"/>
  <c r="Y7095" i="1"/>
  <c r="Y7096" i="1"/>
  <c r="Y7097" i="1"/>
  <c r="Y7098" i="1"/>
  <c r="Y7099" i="1"/>
  <c r="Y7100" i="1"/>
  <c r="Y7101" i="1"/>
  <c r="Y7102" i="1"/>
  <c r="Y7103" i="1"/>
  <c r="Y7104" i="1"/>
  <c r="Y7105" i="1"/>
  <c r="Y7106" i="1"/>
  <c r="Y7107" i="1"/>
  <c r="Y7108" i="1"/>
  <c r="Y7109" i="1"/>
  <c r="Y7110" i="1"/>
  <c r="Y7111" i="1"/>
  <c r="Y7112" i="1"/>
  <c r="Y7113" i="1"/>
  <c r="Y7114" i="1"/>
  <c r="Y7115" i="1"/>
  <c r="Y7116" i="1"/>
  <c r="Y7117" i="1"/>
  <c r="Y7118" i="1"/>
  <c r="Y7119" i="1"/>
  <c r="Y7120" i="1"/>
  <c r="Y7121" i="1"/>
  <c r="Y7122" i="1"/>
  <c r="Y7123" i="1"/>
  <c r="Y7124" i="1"/>
  <c r="Y7125" i="1"/>
  <c r="Y7126" i="1"/>
  <c r="Y7127" i="1"/>
  <c r="Y7128" i="1"/>
  <c r="Y7129" i="1"/>
  <c r="Y7130" i="1"/>
  <c r="Y7131" i="1"/>
  <c r="Y7132" i="1"/>
  <c r="Y7133" i="1"/>
  <c r="Y7134" i="1"/>
  <c r="Y7135" i="1"/>
  <c r="Y7136" i="1"/>
  <c r="Y7137" i="1"/>
  <c r="Y7138" i="1"/>
  <c r="Y7139" i="1"/>
  <c r="Y7140" i="1"/>
  <c r="Y7141" i="1"/>
  <c r="Y7142" i="1"/>
  <c r="Y7143" i="1"/>
  <c r="Y7144" i="1"/>
  <c r="Y7145" i="1"/>
  <c r="Y7146" i="1"/>
  <c r="Y7147" i="1"/>
  <c r="Y7148" i="1"/>
  <c r="Y7149" i="1"/>
  <c r="Y7150" i="1"/>
  <c r="Y7151" i="1"/>
  <c r="Y7152" i="1"/>
  <c r="Y7153" i="1"/>
  <c r="Y7154" i="1"/>
  <c r="Y7155" i="1"/>
  <c r="Y7156" i="1"/>
  <c r="Y7157" i="1"/>
  <c r="Y7158" i="1"/>
  <c r="Y7159" i="1"/>
  <c r="Y7160" i="1"/>
  <c r="Y7161" i="1"/>
  <c r="Y7162" i="1"/>
  <c r="Y7163" i="1"/>
  <c r="Y7164" i="1"/>
  <c r="Y7165" i="1"/>
  <c r="Y7166" i="1"/>
  <c r="Y7167" i="1"/>
  <c r="Y7168" i="1"/>
  <c r="Y7169" i="1"/>
  <c r="Y7170" i="1"/>
  <c r="Y7171" i="1"/>
  <c r="Y7172" i="1"/>
  <c r="Y7173" i="1"/>
  <c r="Y7174" i="1"/>
  <c r="Y7175" i="1"/>
  <c r="Y7176" i="1"/>
  <c r="Y7177" i="1"/>
  <c r="Y7178" i="1"/>
  <c r="Y7179" i="1"/>
  <c r="Y7180" i="1"/>
  <c r="Y7181" i="1"/>
  <c r="Y7182" i="1"/>
  <c r="Y7183" i="1"/>
  <c r="Y7184" i="1"/>
  <c r="Y7185" i="1"/>
  <c r="Y7186" i="1"/>
  <c r="Y7187" i="1"/>
  <c r="Y7188" i="1"/>
  <c r="Y7189" i="1"/>
  <c r="Y7190" i="1"/>
  <c r="Y7191" i="1"/>
  <c r="Y7192" i="1"/>
  <c r="Y7193" i="1"/>
  <c r="Y7194" i="1"/>
  <c r="Y7195" i="1"/>
  <c r="Y7196" i="1"/>
  <c r="Y7197" i="1"/>
  <c r="Y7198" i="1"/>
  <c r="Y7199" i="1"/>
  <c r="Y7200" i="1"/>
  <c r="Y7201" i="1"/>
  <c r="Y7202" i="1"/>
  <c r="Y7203" i="1"/>
  <c r="Y7204" i="1"/>
  <c r="Y7205" i="1"/>
  <c r="Y7206" i="1"/>
  <c r="Y7207" i="1"/>
  <c r="Y7208" i="1"/>
  <c r="Y7209" i="1"/>
  <c r="Y7210" i="1"/>
  <c r="Y7211" i="1"/>
  <c r="Y7212" i="1"/>
  <c r="Y7213" i="1"/>
  <c r="Y7214" i="1"/>
  <c r="Y7215" i="1"/>
  <c r="Y7216" i="1"/>
  <c r="Y7217" i="1"/>
  <c r="Y7218" i="1"/>
  <c r="Y7219" i="1"/>
  <c r="Y7220" i="1"/>
  <c r="Y7221" i="1"/>
  <c r="Y7222" i="1"/>
  <c r="Y7223" i="1"/>
  <c r="Y7224" i="1"/>
  <c r="Y7225" i="1"/>
  <c r="Y7226" i="1"/>
  <c r="Y7227" i="1"/>
  <c r="Y7228" i="1"/>
  <c r="Y7229" i="1"/>
  <c r="Y7230" i="1"/>
  <c r="Y7231" i="1"/>
  <c r="Y7232" i="1"/>
  <c r="Y7233" i="1"/>
  <c r="Y7234" i="1"/>
  <c r="Y7235" i="1"/>
  <c r="Y7236" i="1"/>
  <c r="Y7237" i="1"/>
  <c r="Y7238" i="1"/>
  <c r="Y7239" i="1"/>
  <c r="Y7240" i="1"/>
  <c r="Y7241" i="1"/>
  <c r="Y7242" i="1"/>
  <c r="Y7243" i="1"/>
  <c r="Y7244" i="1"/>
  <c r="Y7245" i="1"/>
  <c r="Y7246" i="1"/>
  <c r="Y7247" i="1"/>
  <c r="Y7248" i="1"/>
  <c r="Y7249" i="1"/>
  <c r="Y7250" i="1"/>
  <c r="Y7251" i="1"/>
  <c r="Y7252" i="1"/>
  <c r="Y7253" i="1"/>
  <c r="Y7254" i="1"/>
  <c r="Y7255" i="1"/>
  <c r="Y7256" i="1"/>
  <c r="Y7257" i="1"/>
  <c r="Y7258" i="1"/>
  <c r="Y7259" i="1"/>
  <c r="Y7260" i="1"/>
  <c r="Y7261" i="1"/>
  <c r="Y7262" i="1"/>
  <c r="Y7263" i="1"/>
  <c r="Y7264" i="1"/>
  <c r="Y7265" i="1"/>
  <c r="Y7266" i="1"/>
  <c r="Y7267" i="1"/>
  <c r="Y7268" i="1"/>
  <c r="Y7269" i="1"/>
  <c r="Y7270" i="1"/>
  <c r="Y7271" i="1"/>
  <c r="Y7272" i="1"/>
  <c r="Y7273" i="1"/>
  <c r="Y7274" i="1"/>
  <c r="Y7275" i="1"/>
  <c r="Y7276" i="1"/>
  <c r="Y7277" i="1"/>
  <c r="Y7278" i="1"/>
  <c r="Y7279" i="1"/>
  <c r="Y7280" i="1"/>
  <c r="Y7281" i="1"/>
  <c r="Y7282" i="1"/>
  <c r="Y7283" i="1"/>
  <c r="Y7284" i="1"/>
  <c r="Y7285" i="1"/>
  <c r="Y7286" i="1"/>
  <c r="Y7287" i="1"/>
  <c r="Y7288" i="1"/>
  <c r="Y7289" i="1"/>
  <c r="Y7290" i="1"/>
  <c r="Y7291" i="1"/>
  <c r="Y7292" i="1"/>
  <c r="Y7293" i="1"/>
  <c r="Y7294" i="1"/>
  <c r="Y7295" i="1"/>
  <c r="Y7296" i="1"/>
  <c r="Y7297" i="1"/>
  <c r="Y7298" i="1"/>
  <c r="Y7299" i="1"/>
  <c r="Y7300" i="1"/>
  <c r="Y7301" i="1"/>
  <c r="Y7302" i="1"/>
  <c r="Y7303" i="1"/>
  <c r="Y7304" i="1"/>
  <c r="Y7305" i="1"/>
  <c r="Y7306" i="1"/>
  <c r="Y7307" i="1"/>
  <c r="Y7308" i="1"/>
  <c r="Y7309" i="1"/>
  <c r="Y7310" i="1"/>
  <c r="Y7311" i="1"/>
  <c r="Y7312" i="1"/>
  <c r="Y7313" i="1"/>
  <c r="Y7314" i="1"/>
  <c r="Y7315" i="1"/>
  <c r="Y7316" i="1"/>
  <c r="Y7317" i="1"/>
  <c r="Y7318" i="1"/>
  <c r="Y7319" i="1"/>
  <c r="Y7320" i="1"/>
  <c r="Y7321" i="1"/>
  <c r="Y7322" i="1"/>
  <c r="Y7323" i="1"/>
  <c r="Y7324" i="1"/>
  <c r="Y7325" i="1"/>
  <c r="Y7326" i="1"/>
  <c r="Y7327" i="1"/>
  <c r="Y7328" i="1"/>
  <c r="Y7329" i="1"/>
  <c r="Y7330" i="1"/>
  <c r="Y7331" i="1"/>
  <c r="Y7332" i="1"/>
  <c r="Y7333" i="1"/>
  <c r="Y7334" i="1"/>
  <c r="Y7335" i="1"/>
  <c r="Y7336" i="1"/>
  <c r="Y7337" i="1"/>
  <c r="Y7338" i="1"/>
  <c r="Y7339" i="1"/>
  <c r="Y7340" i="1"/>
  <c r="Y7341" i="1"/>
  <c r="Y7342" i="1"/>
  <c r="Y7343" i="1"/>
  <c r="Y7344" i="1"/>
  <c r="Y7345" i="1"/>
  <c r="Y7346" i="1"/>
  <c r="Y7347" i="1"/>
  <c r="Y7348" i="1"/>
  <c r="Y7349" i="1"/>
  <c r="Y7350" i="1"/>
  <c r="Y7351" i="1"/>
  <c r="Y7352" i="1"/>
  <c r="Y7353" i="1"/>
  <c r="Y7354" i="1"/>
  <c r="Y7355" i="1"/>
  <c r="Y7356" i="1"/>
  <c r="Y7357" i="1"/>
  <c r="Y7358" i="1"/>
  <c r="Y7359" i="1"/>
  <c r="Y7360" i="1"/>
  <c r="Y7361" i="1"/>
  <c r="Y7362" i="1"/>
  <c r="Y7363" i="1"/>
  <c r="Y7364" i="1"/>
  <c r="Y7365" i="1"/>
  <c r="Y7366" i="1"/>
  <c r="Y7367" i="1"/>
  <c r="Y7368" i="1"/>
  <c r="Y7369" i="1"/>
  <c r="Y7370" i="1"/>
  <c r="Y7371" i="1"/>
  <c r="Y7372" i="1"/>
  <c r="Y7373" i="1"/>
  <c r="Y7374" i="1"/>
  <c r="Y7375" i="1"/>
  <c r="Y7376" i="1"/>
  <c r="Y7377" i="1"/>
  <c r="Y7378" i="1"/>
  <c r="Y7379" i="1"/>
  <c r="Y7380" i="1"/>
  <c r="Y7381" i="1"/>
  <c r="Y7382" i="1"/>
  <c r="Y7383" i="1"/>
  <c r="Y7384" i="1"/>
  <c r="Y7385" i="1"/>
  <c r="Y7386" i="1"/>
  <c r="Y7387" i="1"/>
  <c r="Y7388" i="1"/>
  <c r="Y7389" i="1"/>
  <c r="Y7390" i="1"/>
  <c r="Y7391" i="1"/>
  <c r="Y7392" i="1"/>
  <c r="Y7393" i="1"/>
  <c r="Y7394" i="1"/>
  <c r="Y7395" i="1"/>
  <c r="Y7396" i="1"/>
  <c r="Y7397" i="1"/>
  <c r="Y7398" i="1"/>
  <c r="Y7399" i="1"/>
  <c r="Y7400" i="1"/>
  <c r="Y7401" i="1"/>
  <c r="Y7402" i="1"/>
  <c r="Y7403" i="1"/>
  <c r="Y7404" i="1"/>
  <c r="Y7405" i="1"/>
  <c r="Y7406" i="1"/>
  <c r="Y7407" i="1"/>
  <c r="Y7408" i="1"/>
  <c r="Y7409" i="1"/>
  <c r="Y7410" i="1"/>
  <c r="Y7411" i="1"/>
  <c r="Y7412" i="1"/>
  <c r="Y7413" i="1"/>
  <c r="Y7414" i="1"/>
  <c r="Y7415" i="1"/>
  <c r="Y7416" i="1"/>
  <c r="Y7417" i="1"/>
  <c r="Y7418" i="1"/>
  <c r="Y7419" i="1"/>
  <c r="Y7420" i="1"/>
  <c r="Y7421" i="1"/>
  <c r="Y7422" i="1"/>
  <c r="Y7423" i="1"/>
  <c r="Y7424" i="1"/>
  <c r="Y7425" i="1"/>
  <c r="Y7426" i="1"/>
  <c r="Y7427" i="1"/>
  <c r="Y7428" i="1"/>
  <c r="Y7429" i="1"/>
  <c r="Y7430" i="1"/>
  <c r="Y7431" i="1"/>
  <c r="Y7432" i="1"/>
  <c r="Y7433" i="1"/>
  <c r="Y7434" i="1"/>
  <c r="Y7435" i="1"/>
  <c r="Y7436" i="1"/>
  <c r="Y7437" i="1"/>
  <c r="Y7438" i="1"/>
  <c r="Y7439" i="1"/>
  <c r="Y7440" i="1"/>
  <c r="Y7441" i="1"/>
  <c r="Y7442" i="1"/>
  <c r="Y7443" i="1"/>
  <c r="Y7444" i="1"/>
  <c r="Y7445" i="1"/>
  <c r="Y7446" i="1"/>
  <c r="Y7447" i="1"/>
  <c r="Y7448" i="1"/>
  <c r="Y7449" i="1"/>
  <c r="Y7450" i="1"/>
  <c r="Y7451" i="1"/>
  <c r="Y7452" i="1"/>
  <c r="Y7453" i="1"/>
  <c r="Y7454" i="1"/>
  <c r="Y7455" i="1"/>
  <c r="Y7456" i="1"/>
  <c r="Y7457" i="1"/>
  <c r="Y7458" i="1"/>
  <c r="Y7459" i="1"/>
  <c r="Y7460" i="1"/>
  <c r="Y7461" i="1"/>
  <c r="Y7462" i="1"/>
  <c r="Y7463" i="1"/>
  <c r="Y7464" i="1"/>
  <c r="Y7465" i="1"/>
  <c r="Y7466" i="1"/>
  <c r="Y7467" i="1"/>
  <c r="Y7468" i="1"/>
  <c r="Y7469" i="1"/>
  <c r="Y7470" i="1"/>
  <c r="Y7471" i="1"/>
  <c r="Y7472" i="1"/>
  <c r="Y7473" i="1"/>
  <c r="Y7474" i="1"/>
  <c r="Y7475" i="1"/>
  <c r="Y7476" i="1"/>
  <c r="Y7477" i="1"/>
  <c r="Y7478" i="1"/>
  <c r="Y7479" i="1"/>
  <c r="Y7480" i="1"/>
  <c r="Y7481" i="1"/>
  <c r="Y7482" i="1"/>
  <c r="Y7483" i="1"/>
  <c r="Y7484" i="1"/>
  <c r="Y7485" i="1"/>
  <c r="Y7486" i="1"/>
  <c r="Y7487" i="1"/>
  <c r="Y7488" i="1"/>
  <c r="Y7489" i="1"/>
  <c r="Y7490" i="1"/>
  <c r="Y7491" i="1"/>
  <c r="Y7492" i="1"/>
  <c r="Y7493" i="1"/>
  <c r="Y7494" i="1"/>
  <c r="Y7495" i="1"/>
  <c r="Y7496" i="1"/>
  <c r="Y7497" i="1"/>
  <c r="Y7498" i="1"/>
  <c r="Y7499" i="1"/>
  <c r="Y7500" i="1"/>
  <c r="Y7501" i="1"/>
  <c r="Y7502" i="1"/>
  <c r="Y7503" i="1"/>
  <c r="Y7504" i="1"/>
  <c r="Y7505" i="1"/>
  <c r="Y7506" i="1"/>
  <c r="Y7507" i="1"/>
  <c r="Y7508" i="1"/>
  <c r="Y7509" i="1"/>
  <c r="Y7510" i="1"/>
  <c r="Y7511" i="1"/>
  <c r="Y7512" i="1"/>
  <c r="Y7513" i="1"/>
  <c r="Y7514" i="1"/>
  <c r="Y7515" i="1"/>
  <c r="Y7516" i="1"/>
  <c r="Y7517" i="1"/>
  <c r="Y7518" i="1"/>
  <c r="Y7519" i="1"/>
  <c r="Y7520" i="1"/>
  <c r="Y7521" i="1"/>
  <c r="Y7522" i="1"/>
  <c r="Y7523" i="1"/>
  <c r="Y7524" i="1"/>
  <c r="Y7525" i="1"/>
  <c r="Y7526" i="1"/>
  <c r="Y7527" i="1"/>
  <c r="Y7528" i="1"/>
  <c r="Y7529" i="1"/>
  <c r="Y7530" i="1"/>
  <c r="Y7531" i="1"/>
  <c r="Y7532" i="1"/>
  <c r="Y7533" i="1"/>
  <c r="Y7534" i="1"/>
  <c r="Y7535" i="1"/>
  <c r="Y7536" i="1"/>
  <c r="Y7537" i="1"/>
  <c r="Y7538" i="1"/>
  <c r="Y7539" i="1"/>
  <c r="Y7540" i="1"/>
  <c r="Y7541" i="1"/>
  <c r="Y7542" i="1"/>
  <c r="Y7543" i="1"/>
  <c r="Y7544" i="1"/>
  <c r="Y7545" i="1"/>
  <c r="Y7546" i="1"/>
  <c r="Y7547" i="1"/>
  <c r="Y7548" i="1"/>
  <c r="Y7549" i="1"/>
  <c r="Y7550" i="1"/>
  <c r="Y7551" i="1"/>
  <c r="Y7552" i="1"/>
  <c r="Y7553" i="1"/>
  <c r="Y7554" i="1"/>
  <c r="Y7555" i="1"/>
  <c r="Y7556" i="1"/>
  <c r="Y7557" i="1"/>
  <c r="Y7558" i="1"/>
  <c r="Y7559" i="1"/>
  <c r="Y7560" i="1"/>
  <c r="Y7561" i="1"/>
  <c r="Y7562" i="1"/>
  <c r="Y7563" i="1"/>
  <c r="Y7564" i="1"/>
  <c r="Y7565" i="1"/>
  <c r="Y7566" i="1"/>
  <c r="Y7567" i="1"/>
  <c r="Y7568" i="1"/>
  <c r="Y7569" i="1"/>
  <c r="Y7570" i="1"/>
  <c r="Y7571" i="1"/>
  <c r="Y7572" i="1"/>
  <c r="Y7573" i="1"/>
  <c r="Y7574" i="1"/>
  <c r="Y7575" i="1"/>
  <c r="Y7576" i="1"/>
  <c r="Y7577" i="1"/>
  <c r="Y7578" i="1"/>
  <c r="Y7579" i="1"/>
  <c r="Y7580" i="1"/>
  <c r="Y7581" i="1"/>
  <c r="Y7582" i="1"/>
  <c r="Y7583" i="1"/>
  <c r="Y7584" i="1"/>
  <c r="Y7585" i="1"/>
  <c r="Y7586" i="1"/>
  <c r="Y7587" i="1"/>
  <c r="Y7588" i="1"/>
  <c r="Y7589" i="1"/>
  <c r="Y7590" i="1"/>
  <c r="Y7591" i="1"/>
  <c r="Y7592" i="1"/>
  <c r="Y7593" i="1"/>
  <c r="Y7594" i="1"/>
  <c r="Y7595" i="1"/>
  <c r="Y7596" i="1"/>
  <c r="Y7597" i="1"/>
  <c r="Y7598" i="1"/>
  <c r="Y7599" i="1"/>
  <c r="Y7600" i="1"/>
  <c r="Y7601" i="1"/>
  <c r="Y7602" i="1"/>
  <c r="Y7603" i="1"/>
  <c r="Y7604" i="1"/>
  <c r="Y7605" i="1"/>
  <c r="Y7606" i="1"/>
  <c r="Y7607" i="1"/>
  <c r="Y7608" i="1"/>
  <c r="Y7609" i="1"/>
  <c r="Y7610" i="1"/>
  <c r="Y7611" i="1"/>
  <c r="Y7612" i="1"/>
  <c r="Y7613" i="1"/>
  <c r="Y7614" i="1"/>
  <c r="Y7615" i="1"/>
  <c r="Y7616" i="1"/>
  <c r="Y7617" i="1"/>
  <c r="Y7618" i="1"/>
  <c r="Y7619" i="1"/>
  <c r="Y7620" i="1"/>
  <c r="Y7621" i="1"/>
  <c r="Y7622" i="1"/>
  <c r="Y7623" i="1"/>
  <c r="Y7624" i="1"/>
  <c r="Y7625" i="1"/>
  <c r="Y7626" i="1"/>
  <c r="Y7627" i="1"/>
  <c r="Y7628" i="1"/>
  <c r="Y7629" i="1"/>
  <c r="Y7630" i="1"/>
  <c r="Y7631" i="1"/>
  <c r="Y7632" i="1"/>
  <c r="Y7633" i="1"/>
  <c r="Y7634" i="1"/>
  <c r="Y7635" i="1"/>
  <c r="Y7636" i="1"/>
  <c r="Y7637" i="1"/>
  <c r="Y7638" i="1"/>
  <c r="Y7639" i="1"/>
  <c r="Y7640" i="1"/>
  <c r="Y7641" i="1"/>
  <c r="Y7642" i="1"/>
  <c r="Y7643" i="1"/>
  <c r="Y7644" i="1"/>
  <c r="Y7645" i="1"/>
  <c r="Y7646" i="1"/>
  <c r="Y7647" i="1"/>
  <c r="Y7648" i="1"/>
  <c r="Y7649" i="1"/>
  <c r="Y7650" i="1"/>
  <c r="Y7651" i="1"/>
  <c r="Y7652" i="1"/>
  <c r="Y7653" i="1"/>
  <c r="Y7654" i="1"/>
  <c r="Y7655" i="1"/>
  <c r="Y7656" i="1"/>
  <c r="Y7657" i="1"/>
  <c r="Y7658" i="1"/>
  <c r="Y7659" i="1"/>
  <c r="Y7660" i="1"/>
  <c r="Y7661" i="1"/>
  <c r="Y7662" i="1"/>
  <c r="Y7663" i="1"/>
  <c r="Y7664" i="1"/>
  <c r="Y7665" i="1"/>
  <c r="Y7666" i="1"/>
  <c r="Y7667" i="1"/>
  <c r="Y7668" i="1"/>
  <c r="Y7669" i="1"/>
  <c r="Y7670" i="1"/>
  <c r="Y7671" i="1"/>
  <c r="Y7672" i="1"/>
  <c r="Y7673" i="1"/>
  <c r="Y7674" i="1"/>
  <c r="Y7675" i="1"/>
  <c r="Y7676" i="1"/>
  <c r="Y7677" i="1"/>
  <c r="Y7678" i="1"/>
  <c r="Y7679" i="1"/>
  <c r="Y7680" i="1"/>
  <c r="Y7681" i="1"/>
  <c r="Y7682" i="1"/>
  <c r="Y7683" i="1"/>
  <c r="Y7684" i="1"/>
  <c r="Y7685" i="1"/>
  <c r="Y7686" i="1"/>
  <c r="Y7687" i="1"/>
  <c r="Y7688" i="1"/>
  <c r="Y7689" i="1"/>
  <c r="Y7690" i="1"/>
  <c r="Y7691" i="1"/>
  <c r="Y7692" i="1"/>
  <c r="Y7693" i="1"/>
  <c r="Y7694" i="1"/>
  <c r="Y7695" i="1"/>
  <c r="Y7696" i="1"/>
  <c r="Y7697" i="1"/>
  <c r="Y7698" i="1"/>
  <c r="Y7699" i="1"/>
  <c r="Y7700" i="1"/>
  <c r="Y7701" i="1"/>
  <c r="Y7702" i="1"/>
  <c r="Y7703" i="1"/>
  <c r="Y7704" i="1"/>
  <c r="Y7705" i="1"/>
  <c r="Y7706" i="1"/>
  <c r="Y7707" i="1"/>
  <c r="Y7708" i="1"/>
  <c r="Y7709" i="1"/>
  <c r="Y7710" i="1"/>
  <c r="Y7711" i="1"/>
  <c r="Y7712" i="1"/>
  <c r="Y7713" i="1"/>
  <c r="Y7714" i="1"/>
  <c r="Y7715" i="1"/>
  <c r="Y7716" i="1"/>
  <c r="Y7717" i="1"/>
  <c r="Y7718" i="1"/>
  <c r="Y7719" i="1"/>
  <c r="Y7720" i="1"/>
  <c r="Y7721" i="1"/>
  <c r="Y7722" i="1"/>
  <c r="Y7723" i="1"/>
  <c r="Y7724" i="1"/>
  <c r="Y7725" i="1"/>
  <c r="Y7726" i="1"/>
  <c r="Y7727" i="1"/>
  <c r="Y7728" i="1"/>
  <c r="Y7729" i="1"/>
  <c r="Y7730" i="1"/>
  <c r="Y7731" i="1"/>
  <c r="Y7732" i="1"/>
  <c r="Y7733" i="1"/>
  <c r="Y7734" i="1"/>
  <c r="Y7735" i="1"/>
  <c r="Y7736" i="1"/>
  <c r="Y7737" i="1"/>
  <c r="Y7738" i="1"/>
  <c r="Y7739" i="1"/>
  <c r="Y7740" i="1"/>
  <c r="Y7741" i="1"/>
  <c r="Y7742" i="1"/>
  <c r="Y7743" i="1"/>
  <c r="Y7744" i="1"/>
  <c r="Y7745" i="1"/>
  <c r="Y7746" i="1"/>
  <c r="Y7747" i="1"/>
  <c r="Y7748" i="1"/>
  <c r="Y7749" i="1"/>
  <c r="Y7750" i="1"/>
  <c r="Y7751" i="1"/>
  <c r="Y7752" i="1"/>
  <c r="Y7753" i="1"/>
  <c r="Y7754" i="1"/>
  <c r="Y7755" i="1"/>
  <c r="Y7756" i="1"/>
  <c r="Y7757" i="1"/>
  <c r="Y7758" i="1"/>
  <c r="Y7759" i="1"/>
  <c r="Y7760" i="1"/>
  <c r="Y7761" i="1"/>
  <c r="Y7762" i="1"/>
  <c r="Y7763" i="1"/>
  <c r="Y7764" i="1"/>
  <c r="Y7765" i="1"/>
  <c r="Y7766" i="1"/>
  <c r="Y7767" i="1"/>
  <c r="Y7768" i="1"/>
  <c r="Y7769" i="1"/>
  <c r="Y7770" i="1"/>
  <c r="Y7771" i="1"/>
  <c r="Y7772" i="1"/>
  <c r="Y7773" i="1"/>
  <c r="Y7774" i="1"/>
  <c r="Y7775" i="1"/>
  <c r="Y7776" i="1"/>
  <c r="Y7777" i="1"/>
  <c r="Y7778" i="1"/>
  <c r="Y7779" i="1"/>
  <c r="Y7780" i="1"/>
  <c r="Y7781" i="1"/>
  <c r="Y7782" i="1"/>
  <c r="Y7783" i="1"/>
  <c r="Y7784" i="1"/>
  <c r="Y7785" i="1"/>
  <c r="Y7786" i="1"/>
  <c r="Y7787" i="1"/>
  <c r="Y7788" i="1"/>
  <c r="Y7789" i="1"/>
  <c r="Y7790" i="1"/>
  <c r="Y7791" i="1"/>
  <c r="Y7792" i="1"/>
  <c r="Y7793" i="1"/>
  <c r="Y7794" i="1"/>
  <c r="Y7795" i="1"/>
  <c r="Y7796" i="1"/>
  <c r="Y7797" i="1"/>
  <c r="Y7798" i="1"/>
  <c r="Y7799" i="1"/>
  <c r="Y7800" i="1"/>
  <c r="Y7801" i="1"/>
  <c r="Y7802" i="1"/>
  <c r="Y7803" i="1"/>
  <c r="Y7804" i="1"/>
  <c r="Y7805" i="1"/>
  <c r="Y7806" i="1"/>
  <c r="Y7807" i="1"/>
  <c r="Y7808" i="1"/>
  <c r="Y7809" i="1"/>
  <c r="Y7810" i="1"/>
  <c r="Y7811" i="1"/>
  <c r="Y7812" i="1"/>
  <c r="Y7813" i="1"/>
  <c r="Y7814" i="1"/>
  <c r="Y7815" i="1"/>
  <c r="Y7816" i="1"/>
  <c r="Y7817" i="1"/>
  <c r="Y7818" i="1"/>
  <c r="Y7819" i="1"/>
  <c r="Y7820" i="1"/>
  <c r="Y7821" i="1"/>
  <c r="Y7822" i="1"/>
  <c r="Y7823" i="1"/>
  <c r="Y7824" i="1"/>
  <c r="Y7825" i="1"/>
  <c r="Y7826" i="1"/>
  <c r="Y7827" i="1"/>
  <c r="Y7828" i="1"/>
  <c r="Y7829" i="1"/>
  <c r="Y7830" i="1"/>
  <c r="Y7831" i="1"/>
  <c r="Y7832" i="1"/>
  <c r="Y7833" i="1"/>
  <c r="Y7834" i="1"/>
  <c r="Y7835" i="1"/>
  <c r="Y7836" i="1"/>
  <c r="Y7837" i="1"/>
  <c r="Y7838" i="1"/>
  <c r="Y7839" i="1"/>
  <c r="Y7840" i="1"/>
  <c r="Y7841" i="1"/>
  <c r="Y7842" i="1"/>
  <c r="Y7843" i="1"/>
  <c r="Y7844" i="1"/>
  <c r="Y7845" i="1"/>
  <c r="Y7846" i="1"/>
  <c r="Y7847" i="1"/>
  <c r="Y7848" i="1"/>
  <c r="Y7849" i="1"/>
  <c r="Y7850" i="1"/>
  <c r="Y7851" i="1"/>
  <c r="Y7852" i="1"/>
  <c r="Y7853" i="1"/>
  <c r="Y7854" i="1"/>
  <c r="Y7855" i="1"/>
  <c r="Y7856" i="1"/>
  <c r="Y7857" i="1"/>
  <c r="Y7858" i="1"/>
  <c r="Y7859" i="1"/>
  <c r="Y7860" i="1"/>
  <c r="Y7861" i="1"/>
  <c r="Y7862" i="1"/>
  <c r="Y7863" i="1"/>
  <c r="Y7864" i="1"/>
  <c r="Y7865" i="1"/>
  <c r="Y7866" i="1"/>
  <c r="Y7867" i="1"/>
  <c r="Y7868" i="1"/>
  <c r="Y7869" i="1"/>
  <c r="Y7870" i="1"/>
  <c r="Y7871" i="1"/>
  <c r="Y7872" i="1"/>
  <c r="Y7873" i="1"/>
  <c r="Y7874" i="1"/>
  <c r="Y7875" i="1"/>
  <c r="Y7876" i="1"/>
  <c r="Y7877" i="1"/>
  <c r="Y7878" i="1"/>
  <c r="Y7879" i="1"/>
  <c r="Y7880" i="1"/>
  <c r="Y7881" i="1"/>
  <c r="Y7882" i="1"/>
  <c r="Y7883" i="1"/>
  <c r="Y7884" i="1"/>
  <c r="Y7885" i="1"/>
  <c r="Y7886" i="1"/>
  <c r="Y7887" i="1"/>
  <c r="Y7888" i="1"/>
  <c r="Y7889" i="1"/>
  <c r="Y7890" i="1"/>
  <c r="Y7891" i="1"/>
  <c r="Y7892" i="1"/>
  <c r="Y7893" i="1"/>
  <c r="Y7894" i="1"/>
  <c r="Y7895" i="1"/>
  <c r="Y7896" i="1"/>
  <c r="Y7897" i="1"/>
  <c r="Y7898" i="1"/>
  <c r="Y7899" i="1"/>
  <c r="Y7900" i="1"/>
  <c r="Y7901" i="1"/>
  <c r="Y7902" i="1"/>
  <c r="Y7903" i="1"/>
  <c r="Y7904" i="1"/>
  <c r="Y7905" i="1"/>
  <c r="Y7906" i="1"/>
  <c r="Y7907" i="1"/>
  <c r="Y7908" i="1"/>
  <c r="Y7909" i="1"/>
  <c r="Y7910" i="1"/>
  <c r="Y7911" i="1"/>
  <c r="Y7912" i="1"/>
  <c r="Y7913" i="1"/>
  <c r="Y7914" i="1"/>
  <c r="Y7915" i="1"/>
  <c r="Y7916" i="1"/>
  <c r="Y7917" i="1"/>
  <c r="Y7918" i="1"/>
  <c r="Y7919" i="1"/>
  <c r="Y7920" i="1"/>
  <c r="Y7921" i="1"/>
  <c r="Y7922" i="1"/>
  <c r="Y7923" i="1"/>
  <c r="Y7924" i="1"/>
  <c r="Y7925" i="1"/>
  <c r="Y7926" i="1"/>
  <c r="Y7927" i="1"/>
  <c r="Y7928" i="1"/>
  <c r="Y7929" i="1"/>
  <c r="Y7930" i="1"/>
  <c r="Y7931" i="1"/>
  <c r="Y7932" i="1"/>
  <c r="Y7933" i="1"/>
  <c r="Y7934" i="1"/>
  <c r="Y7935" i="1"/>
  <c r="Y7936" i="1"/>
  <c r="Y7937" i="1"/>
  <c r="Y7938" i="1"/>
  <c r="Y7939" i="1"/>
  <c r="Y7940" i="1"/>
  <c r="Y7941" i="1"/>
  <c r="Y7942" i="1"/>
  <c r="Y7943" i="1"/>
  <c r="Y7944" i="1"/>
  <c r="Y7945" i="1"/>
  <c r="Y7946" i="1"/>
  <c r="Y7947" i="1"/>
  <c r="Y7948" i="1"/>
  <c r="Y7949" i="1"/>
  <c r="Y7950" i="1"/>
  <c r="Y7951" i="1"/>
  <c r="Y7952" i="1"/>
  <c r="Y7953" i="1"/>
  <c r="Y7954" i="1"/>
  <c r="Y7955" i="1"/>
  <c r="Y7956" i="1"/>
  <c r="Y7957" i="1"/>
  <c r="Y7958" i="1"/>
  <c r="Y7959" i="1"/>
  <c r="Y7960" i="1"/>
  <c r="Y7961" i="1"/>
  <c r="Y7962" i="1"/>
  <c r="Y7963" i="1"/>
  <c r="Y7964" i="1"/>
  <c r="Y7965" i="1"/>
  <c r="Y7966" i="1"/>
  <c r="Y7967" i="1"/>
  <c r="Y7968" i="1"/>
  <c r="Y7969" i="1"/>
  <c r="Y7970" i="1"/>
  <c r="Y7971" i="1"/>
  <c r="Y7972" i="1"/>
  <c r="Y7973" i="1"/>
  <c r="Y7974" i="1"/>
  <c r="Y7975" i="1"/>
  <c r="Y7976" i="1"/>
  <c r="Y7977" i="1"/>
  <c r="Y7978" i="1"/>
  <c r="Y7979" i="1"/>
  <c r="Y7980" i="1"/>
  <c r="Y7981" i="1"/>
  <c r="Y7982" i="1"/>
  <c r="Y7983" i="1"/>
  <c r="Y7984" i="1"/>
  <c r="Y7985" i="1"/>
  <c r="Y7986" i="1"/>
  <c r="Y7987" i="1"/>
  <c r="Y7988" i="1"/>
  <c r="Y7989" i="1"/>
  <c r="Y7990" i="1"/>
  <c r="Y7991" i="1"/>
  <c r="Y7992" i="1"/>
  <c r="Y7993" i="1"/>
  <c r="Y7994" i="1"/>
  <c r="Y7995" i="1"/>
  <c r="Y7996" i="1"/>
  <c r="Y7997" i="1"/>
  <c r="Y7998" i="1"/>
  <c r="Y7999" i="1"/>
  <c r="Y8000" i="1"/>
  <c r="Y8001" i="1"/>
  <c r="Y8002" i="1"/>
  <c r="Y8003" i="1"/>
  <c r="Y8004" i="1"/>
  <c r="Y8005" i="1"/>
  <c r="Y8006" i="1"/>
  <c r="Y8007" i="1"/>
  <c r="Y8008" i="1"/>
  <c r="Y8009" i="1"/>
  <c r="Y8010" i="1"/>
  <c r="Y8011" i="1"/>
  <c r="Y8012" i="1"/>
  <c r="Y8013" i="1"/>
  <c r="Y8014" i="1"/>
  <c r="Y8015" i="1"/>
  <c r="Y8016" i="1"/>
  <c r="Y8017" i="1"/>
  <c r="Y8018" i="1"/>
  <c r="Y8019" i="1"/>
  <c r="Y8020" i="1"/>
  <c r="Y8021" i="1"/>
  <c r="Y8022" i="1"/>
  <c r="Y8023" i="1"/>
  <c r="Y8024" i="1"/>
  <c r="Y8025" i="1"/>
  <c r="Y8026" i="1"/>
  <c r="Y8027" i="1"/>
  <c r="Y8028" i="1"/>
  <c r="Y8029" i="1"/>
  <c r="Y8030" i="1"/>
  <c r="Y8031" i="1"/>
  <c r="Y8032" i="1"/>
  <c r="Y8033" i="1"/>
  <c r="Y8034" i="1"/>
  <c r="Y8035" i="1"/>
  <c r="Y8036" i="1"/>
  <c r="Y8037" i="1"/>
  <c r="Y8038" i="1"/>
  <c r="Y8039" i="1"/>
  <c r="Y8040" i="1"/>
  <c r="Y8041" i="1"/>
  <c r="Y8042" i="1"/>
  <c r="Y8043" i="1"/>
  <c r="Y8044" i="1"/>
  <c r="Y8045" i="1"/>
  <c r="Y8046" i="1"/>
  <c r="Y8047" i="1"/>
  <c r="Y8048" i="1"/>
  <c r="Y8049" i="1"/>
  <c r="Y8050" i="1"/>
  <c r="Y8051" i="1"/>
  <c r="Y8052" i="1"/>
  <c r="Y8053" i="1"/>
  <c r="Y8054" i="1"/>
  <c r="Y8055" i="1"/>
  <c r="Y8056" i="1"/>
  <c r="Y8057" i="1"/>
  <c r="Y8058" i="1"/>
  <c r="Y8059" i="1"/>
  <c r="Y8060" i="1"/>
  <c r="Y8061" i="1"/>
  <c r="Y8062" i="1"/>
  <c r="Y8063" i="1"/>
  <c r="Y8064" i="1"/>
  <c r="Y8065" i="1"/>
  <c r="Y8066" i="1"/>
  <c r="Y8067" i="1"/>
  <c r="Y8068" i="1"/>
  <c r="Y8069" i="1"/>
  <c r="Y8070" i="1"/>
  <c r="Y8071" i="1"/>
  <c r="Y8072" i="1"/>
  <c r="Y8073" i="1"/>
  <c r="Y8074" i="1"/>
  <c r="Y8075" i="1"/>
  <c r="Y8076" i="1"/>
  <c r="Y8077" i="1"/>
  <c r="Y8078" i="1"/>
  <c r="Y8079" i="1"/>
  <c r="Y8080" i="1"/>
  <c r="Y8081" i="1"/>
  <c r="Y8082" i="1"/>
  <c r="Y8083" i="1"/>
  <c r="Y8084" i="1"/>
  <c r="Y8085" i="1"/>
  <c r="Y8086" i="1"/>
  <c r="Y8087" i="1"/>
  <c r="Y8088" i="1"/>
  <c r="Y8089" i="1"/>
  <c r="Y8090" i="1"/>
  <c r="Y8091" i="1"/>
  <c r="Y8092" i="1"/>
  <c r="Y8093" i="1"/>
  <c r="Y8094" i="1"/>
  <c r="Y8095" i="1"/>
  <c r="Y8096" i="1"/>
  <c r="Y8097" i="1"/>
  <c r="Y8098" i="1"/>
  <c r="Y8099" i="1"/>
  <c r="Y8100" i="1"/>
  <c r="Y8101" i="1"/>
  <c r="Y8102" i="1"/>
  <c r="Y8103" i="1"/>
  <c r="Y8104" i="1"/>
  <c r="Y8105" i="1"/>
  <c r="Y8106" i="1"/>
  <c r="Y8107" i="1"/>
  <c r="Y8108" i="1"/>
  <c r="Y8109" i="1"/>
  <c r="Y8110" i="1"/>
  <c r="Y8111" i="1"/>
  <c r="Y8112" i="1"/>
  <c r="Y8113" i="1"/>
  <c r="Y8114" i="1"/>
  <c r="Y8115" i="1"/>
  <c r="Y8116" i="1"/>
  <c r="Y8117" i="1"/>
  <c r="Y8118" i="1"/>
  <c r="Y8119" i="1"/>
  <c r="Y8120" i="1"/>
  <c r="Y8121" i="1"/>
  <c r="Y8122" i="1"/>
  <c r="Y8123" i="1"/>
  <c r="Y8124" i="1"/>
  <c r="Y8125" i="1"/>
  <c r="Y8126" i="1"/>
  <c r="Y8127" i="1"/>
  <c r="Y8128" i="1"/>
  <c r="Y8129" i="1"/>
  <c r="Y8130" i="1"/>
  <c r="Y8131" i="1"/>
  <c r="Y8132" i="1"/>
  <c r="Y8133" i="1"/>
  <c r="Y8134" i="1"/>
  <c r="Y8135" i="1"/>
  <c r="Y8136" i="1"/>
  <c r="Y8137" i="1"/>
  <c r="Y8138" i="1"/>
  <c r="Y8139" i="1"/>
  <c r="Y8140" i="1"/>
  <c r="Y8141" i="1"/>
  <c r="Y8142" i="1"/>
  <c r="Y8143" i="1"/>
  <c r="Y8144" i="1"/>
  <c r="Y8145" i="1"/>
  <c r="Y8146" i="1"/>
  <c r="Y8147" i="1"/>
  <c r="Y8148" i="1"/>
  <c r="Y8149" i="1"/>
  <c r="Y8150" i="1"/>
  <c r="Y8151" i="1"/>
  <c r="Y8152" i="1"/>
  <c r="Y8153" i="1"/>
  <c r="Y8154" i="1"/>
  <c r="Y8155" i="1"/>
  <c r="Y8156" i="1"/>
  <c r="Y8157" i="1"/>
  <c r="Y8158" i="1"/>
  <c r="Y8159" i="1"/>
  <c r="Y8160" i="1"/>
  <c r="Y8161" i="1"/>
  <c r="Y8162" i="1"/>
  <c r="Y8163" i="1"/>
  <c r="Y8164" i="1"/>
  <c r="Y8165" i="1"/>
  <c r="Y8166" i="1"/>
  <c r="Y8167" i="1"/>
  <c r="Y8168" i="1"/>
  <c r="Y8169" i="1"/>
  <c r="Y8170" i="1"/>
  <c r="Y8171" i="1"/>
  <c r="Y8172" i="1"/>
  <c r="Y8173" i="1"/>
  <c r="Y8174" i="1"/>
  <c r="Y8175" i="1"/>
  <c r="Y8176" i="1"/>
  <c r="Y8177" i="1"/>
  <c r="Y8178" i="1"/>
  <c r="Y8179" i="1"/>
  <c r="Y8180" i="1"/>
  <c r="Y8181" i="1"/>
  <c r="Y8182" i="1"/>
  <c r="Y8183" i="1"/>
  <c r="Y8184" i="1"/>
  <c r="Y8185" i="1"/>
  <c r="Y8186" i="1"/>
  <c r="Y8187" i="1"/>
  <c r="Y8188" i="1"/>
  <c r="Y8189" i="1"/>
  <c r="Y8190" i="1"/>
  <c r="Y8191" i="1"/>
  <c r="Y8192" i="1"/>
  <c r="Y8193" i="1"/>
  <c r="Y8194" i="1"/>
  <c r="Y8195" i="1"/>
  <c r="Y8196" i="1"/>
  <c r="Y8197" i="1"/>
  <c r="Y8198" i="1"/>
  <c r="Y8199" i="1"/>
  <c r="Y8200" i="1"/>
  <c r="Y8201" i="1"/>
  <c r="Y8202" i="1"/>
  <c r="Y8203" i="1"/>
  <c r="Y8204" i="1"/>
  <c r="Y8205" i="1"/>
  <c r="Y8206" i="1"/>
  <c r="Y8207" i="1"/>
  <c r="Y8208" i="1"/>
  <c r="Y8209" i="1"/>
  <c r="Y8210" i="1"/>
  <c r="Y8211" i="1"/>
  <c r="Y8212" i="1"/>
  <c r="Y8213" i="1"/>
  <c r="Y8214" i="1"/>
  <c r="Y8215" i="1"/>
  <c r="Y8216" i="1"/>
  <c r="Y8217" i="1"/>
  <c r="Y8218" i="1"/>
  <c r="Y8219" i="1"/>
  <c r="Y8220" i="1"/>
  <c r="Y8221" i="1"/>
  <c r="Y8222" i="1"/>
  <c r="Y8223" i="1"/>
  <c r="Y8224" i="1"/>
  <c r="Y8225" i="1"/>
  <c r="Y8226" i="1"/>
  <c r="Y8227" i="1"/>
  <c r="Y8228" i="1"/>
  <c r="Y8229" i="1"/>
  <c r="Y8230" i="1"/>
  <c r="Y8231" i="1"/>
  <c r="Y8232" i="1"/>
  <c r="Y8233" i="1"/>
  <c r="Y8234" i="1"/>
  <c r="Y8235" i="1"/>
  <c r="Y8236" i="1"/>
  <c r="Y8237" i="1"/>
  <c r="Y8238" i="1"/>
  <c r="Y8239" i="1"/>
  <c r="Y8240" i="1"/>
  <c r="Y8241" i="1"/>
  <c r="Y8242" i="1"/>
  <c r="Y8243" i="1"/>
  <c r="Y8244" i="1"/>
  <c r="Y8245" i="1"/>
  <c r="Y8246" i="1"/>
  <c r="Y8247" i="1"/>
  <c r="Y8248" i="1"/>
  <c r="Y8249" i="1"/>
  <c r="Y8250" i="1"/>
  <c r="Y8251" i="1"/>
  <c r="Y8252" i="1"/>
  <c r="Y8253" i="1"/>
  <c r="Y8254" i="1"/>
  <c r="Y8255" i="1"/>
  <c r="Y8256" i="1"/>
  <c r="Y8257" i="1"/>
  <c r="Y8258" i="1"/>
  <c r="Y8259" i="1"/>
  <c r="Y8260" i="1"/>
  <c r="Y8261" i="1"/>
  <c r="Y8262" i="1"/>
  <c r="Y8263" i="1"/>
  <c r="Y8264" i="1"/>
  <c r="Y8265" i="1"/>
  <c r="Y8266" i="1"/>
  <c r="Y8267" i="1"/>
  <c r="Y8268" i="1"/>
  <c r="Y8269" i="1"/>
  <c r="Y8270" i="1"/>
  <c r="Y8271" i="1"/>
  <c r="Y8272" i="1"/>
  <c r="Y8273" i="1"/>
  <c r="Y8274" i="1"/>
  <c r="Y8275" i="1"/>
  <c r="Y8276" i="1"/>
  <c r="Y8277" i="1"/>
  <c r="Y8278" i="1"/>
  <c r="Y8279" i="1"/>
  <c r="Y8280" i="1"/>
  <c r="Y8281" i="1"/>
  <c r="Y8282" i="1"/>
  <c r="Y8283" i="1"/>
  <c r="Y8284" i="1"/>
  <c r="Y8285" i="1"/>
  <c r="Y8286" i="1"/>
  <c r="Y8287" i="1"/>
  <c r="Y8288" i="1"/>
  <c r="Y8289" i="1"/>
  <c r="Y8290" i="1"/>
  <c r="Y8291" i="1"/>
  <c r="Y8292" i="1"/>
  <c r="Y8293" i="1"/>
  <c r="Y8294" i="1"/>
  <c r="Y8295" i="1"/>
  <c r="Y8296" i="1"/>
  <c r="Y8297" i="1"/>
  <c r="Y8298" i="1"/>
  <c r="Y8299" i="1"/>
  <c r="Y8300" i="1"/>
  <c r="Y8301" i="1"/>
  <c r="Y8302" i="1"/>
  <c r="Y8303" i="1"/>
  <c r="Y8304" i="1"/>
  <c r="Y8305" i="1"/>
  <c r="Y8306" i="1"/>
  <c r="Y8307" i="1"/>
  <c r="Y8308" i="1"/>
  <c r="Y8309" i="1"/>
  <c r="Y8310" i="1"/>
  <c r="Y8311" i="1"/>
  <c r="Y8312" i="1"/>
  <c r="Y8313" i="1"/>
  <c r="Y8314" i="1"/>
  <c r="Y8315" i="1"/>
  <c r="Y8316" i="1"/>
  <c r="Y8317" i="1"/>
  <c r="Y8318" i="1"/>
  <c r="Y8319" i="1"/>
  <c r="Y8320" i="1"/>
  <c r="Y8321" i="1"/>
  <c r="Y8322" i="1"/>
  <c r="Y8323" i="1"/>
  <c r="Y8324" i="1"/>
  <c r="Y8325" i="1"/>
  <c r="Y8326" i="1"/>
  <c r="Y8327" i="1"/>
  <c r="Y8328" i="1"/>
  <c r="Y8329" i="1"/>
  <c r="Y8330" i="1"/>
  <c r="Y8331" i="1"/>
  <c r="Y8332" i="1"/>
  <c r="Y8333" i="1"/>
  <c r="Y8334" i="1"/>
  <c r="Y8335" i="1"/>
  <c r="Y8336" i="1"/>
  <c r="Y8337" i="1"/>
  <c r="Y8338" i="1"/>
  <c r="Y8339" i="1"/>
  <c r="Y8340" i="1"/>
  <c r="Y8341" i="1"/>
  <c r="Y8342" i="1"/>
  <c r="Y8343" i="1"/>
  <c r="Y8344" i="1"/>
  <c r="Y8345" i="1"/>
  <c r="Y8346" i="1"/>
  <c r="Y8347" i="1"/>
  <c r="Y8348" i="1"/>
  <c r="Y8349" i="1"/>
  <c r="Y8350" i="1"/>
  <c r="Y8351" i="1"/>
  <c r="Y8352" i="1"/>
  <c r="Y8353" i="1"/>
  <c r="Y8354" i="1"/>
  <c r="Y8355" i="1"/>
  <c r="Y8356" i="1"/>
  <c r="Y8357" i="1"/>
  <c r="Y8358" i="1"/>
  <c r="Y8359" i="1"/>
  <c r="Y8360" i="1"/>
  <c r="Y8361" i="1"/>
  <c r="Y8362" i="1"/>
  <c r="Y8363" i="1"/>
  <c r="Y8364" i="1"/>
  <c r="Y8365" i="1"/>
  <c r="Y8366" i="1"/>
  <c r="Y8367" i="1"/>
  <c r="Y8368" i="1"/>
  <c r="Y8369" i="1"/>
  <c r="Y8370" i="1"/>
  <c r="Y8371" i="1"/>
  <c r="Y8372" i="1"/>
  <c r="Y8373" i="1"/>
  <c r="Y8374" i="1"/>
  <c r="Y8375" i="1"/>
  <c r="Y8376" i="1"/>
  <c r="Y8377" i="1"/>
  <c r="Y8378" i="1"/>
  <c r="Y8379" i="1"/>
  <c r="Y8380" i="1"/>
  <c r="Y8381" i="1"/>
  <c r="Y8382" i="1"/>
  <c r="Y8383" i="1"/>
  <c r="Y8384" i="1"/>
  <c r="Y8385" i="1"/>
  <c r="Y8386" i="1"/>
  <c r="Y8387" i="1"/>
  <c r="Y8388" i="1"/>
  <c r="Y8389" i="1"/>
  <c r="Y8390" i="1"/>
  <c r="Y8391" i="1"/>
  <c r="Y8392" i="1"/>
  <c r="Y8393" i="1"/>
  <c r="Y8394" i="1"/>
  <c r="Y8395" i="1"/>
  <c r="Y8396" i="1"/>
  <c r="Y8397" i="1"/>
  <c r="Y8398" i="1"/>
  <c r="Y8399" i="1"/>
  <c r="Y8400" i="1"/>
  <c r="AB4" i="4"/>
  <c r="P4" i="4"/>
  <c r="AA4" i="4"/>
  <c r="O4" i="4"/>
  <c r="AH4" i="4"/>
  <c r="AG4" i="4"/>
  <c r="U4" i="4"/>
  <c r="V4" i="4"/>
  <c r="C8400" i="1" l="1"/>
  <c r="V8400" i="1" s="1"/>
  <c r="C8399" i="1"/>
  <c r="V8399" i="1" s="1"/>
  <c r="C8398" i="1"/>
  <c r="V8398" i="1" s="1"/>
  <c r="C8397" i="1"/>
  <c r="D8397" i="1" s="1"/>
  <c r="X8397" i="1" s="1"/>
  <c r="C8396" i="1"/>
  <c r="V8396" i="1" s="1"/>
  <c r="C8395" i="1"/>
  <c r="V8395" i="1" s="1"/>
  <c r="C8394" i="1"/>
  <c r="V8394" i="1" s="1"/>
  <c r="C8393" i="1"/>
  <c r="V8393" i="1" s="1"/>
  <c r="C8392" i="1"/>
  <c r="V8392" i="1" s="1"/>
  <c r="C8391" i="1"/>
  <c r="V8391" i="1" s="1"/>
  <c r="C8390" i="1"/>
  <c r="V8390" i="1" s="1"/>
  <c r="C8389" i="1"/>
  <c r="D8389" i="1" s="1"/>
  <c r="X8389" i="1" s="1"/>
  <c r="C8388" i="1"/>
  <c r="V8388" i="1" s="1"/>
  <c r="C8387" i="1"/>
  <c r="V8387" i="1" s="1"/>
  <c r="C8386" i="1"/>
  <c r="V8386" i="1" s="1"/>
  <c r="C8385" i="1"/>
  <c r="V8385" i="1" s="1"/>
  <c r="C8384" i="1"/>
  <c r="V8384" i="1" s="1"/>
  <c r="C8383" i="1"/>
  <c r="V8383" i="1" s="1"/>
  <c r="C8382" i="1"/>
  <c r="V8382" i="1" s="1"/>
  <c r="C8381" i="1"/>
  <c r="D8381" i="1" s="1"/>
  <c r="X8381" i="1" s="1"/>
  <c r="C8380" i="1"/>
  <c r="V8380" i="1" s="1"/>
  <c r="C8379" i="1"/>
  <c r="V8379" i="1" s="1"/>
  <c r="C8378" i="1"/>
  <c r="V8378" i="1" s="1"/>
  <c r="C8377" i="1"/>
  <c r="V8377" i="1" s="1"/>
  <c r="C8376" i="1"/>
  <c r="V8376" i="1" s="1"/>
  <c r="C8375" i="1"/>
  <c r="V8375" i="1" s="1"/>
  <c r="C8374" i="1"/>
  <c r="V8374" i="1" s="1"/>
  <c r="C8373" i="1"/>
  <c r="D8373" i="1" s="1"/>
  <c r="X8373" i="1" s="1"/>
  <c r="C8372" i="1"/>
  <c r="V8372" i="1" s="1"/>
  <c r="C8371" i="1"/>
  <c r="V8371" i="1" s="1"/>
  <c r="C8370" i="1"/>
  <c r="V8370" i="1" s="1"/>
  <c r="C8369" i="1"/>
  <c r="V8369" i="1" s="1"/>
  <c r="C8368" i="1"/>
  <c r="V8368" i="1" s="1"/>
  <c r="C8367" i="1"/>
  <c r="V8367" i="1" s="1"/>
  <c r="C8366" i="1"/>
  <c r="V8366" i="1" s="1"/>
  <c r="V8365" i="1"/>
  <c r="C8365" i="1"/>
  <c r="D8365" i="1" s="1"/>
  <c r="X8365" i="1" s="1"/>
  <c r="C8364" i="1"/>
  <c r="V8364" i="1" s="1"/>
  <c r="C8363" i="1"/>
  <c r="V8363" i="1" s="1"/>
  <c r="C8362" i="1"/>
  <c r="V8362" i="1" s="1"/>
  <c r="C8361" i="1"/>
  <c r="V8361" i="1" s="1"/>
  <c r="C8360" i="1"/>
  <c r="V8360" i="1" s="1"/>
  <c r="C8359" i="1"/>
  <c r="V8359" i="1" s="1"/>
  <c r="C8358" i="1"/>
  <c r="V8358" i="1" s="1"/>
  <c r="C8357" i="1"/>
  <c r="D8357" i="1" s="1"/>
  <c r="X8357" i="1" s="1"/>
  <c r="C8356" i="1"/>
  <c r="V8356" i="1" s="1"/>
  <c r="C8355" i="1"/>
  <c r="V8355" i="1" s="1"/>
  <c r="C8354" i="1"/>
  <c r="V8354" i="1" s="1"/>
  <c r="C8353" i="1"/>
  <c r="V8353" i="1" s="1"/>
  <c r="C8352" i="1"/>
  <c r="V8352" i="1" s="1"/>
  <c r="C8351" i="1"/>
  <c r="V8351" i="1" s="1"/>
  <c r="C8350" i="1"/>
  <c r="V8350" i="1" s="1"/>
  <c r="C8349" i="1"/>
  <c r="D8349" i="1" s="1"/>
  <c r="X8349" i="1" s="1"/>
  <c r="C8348" i="1"/>
  <c r="V8348" i="1" s="1"/>
  <c r="C8347" i="1"/>
  <c r="V8347" i="1" s="1"/>
  <c r="C8346" i="1"/>
  <c r="V8346" i="1" s="1"/>
  <c r="C8345" i="1"/>
  <c r="V8345" i="1" s="1"/>
  <c r="C8344" i="1"/>
  <c r="V8344" i="1" s="1"/>
  <c r="C8343" i="1"/>
  <c r="V8343" i="1" s="1"/>
  <c r="C8342" i="1"/>
  <c r="V8342" i="1" s="1"/>
  <c r="C8341" i="1"/>
  <c r="D8341" i="1" s="1"/>
  <c r="X8341" i="1" s="1"/>
  <c r="C8340" i="1"/>
  <c r="V8340" i="1" s="1"/>
  <c r="C8339" i="1"/>
  <c r="V8339" i="1" s="1"/>
  <c r="C8338" i="1"/>
  <c r="V8338" i="1" s="1"/>
  <c r="C8337" i="1"/>
  <c r="V8337" i="1" s="1"/>
  <c r="C8336" i="1"/>
  <c r="V8336" i="1" s="1"/>
  <c r="C8335" i="1"/>
  <c r="V8335" i="1" s="1"/>
  <c r="C8334" i="1"/>
  <c r="V8334" i="1" s="1"/>
  <c r="V8333" i="1"/>
  <c r="C8333" i="1"/>
  <c r="D8333" i="1" s="1"/>
  <c r="X8333" i="1" s="1"/>
  <c r="C8332" i="1"/>
  <c r="V8332" i="1" s="1"/>
  <c r="C8331" i="1"/>
  <c r="V8331" i="1" s="1"/>
  <c r="C8330" i="1"/>
  <c r="V8330" i="1" s="1"/>
  <c r="C8329" i="1"/>
  <c r="V8329" i="1" s="1"/>
  <c r="C8328" i="1"/>
  <c r="V8328" i="1" s="1"/>
  <c r="C8327" i="1"/>
  <c r="V8327" i="1" s="1"/>
  <c r="C8326" i="1"/>
  <c r="V8326" i="1" s="1"/>
  <c r="C8325" i="1"/>
  <c r="D8325" i="1" s="1"/>
  <c r="X8325" i="1" s="1"/>
  <c r="C8324" i="1"/>
  <c r="V8324" i="1" s="1"/>
  <c r="C8323" i="1"/>
  <c r="V8323" i="1" s="1"/>
  <c r="C8322" i="1"/>
  <c r="V8322" i="1" s="1"/>
  <c r="C8321" i="1"/>
  <c r="V8321" i="1" s="1"/>
  <c r="C8320" i="1"/>
  <c r="V8320" i="1" s="1"/>
  <c r="C8319" i="1"/>
  <c r="V8319" i="1" s="1"/>
  <c r="C8318" i="1"/>
  <c r="V8318" i="1" s="1"/>
  <c r="C8317" i="1"/>
  <c r="D8317" i="1" s="1"/>
  <c r="X8317" i="1" s="1"/>
  <c r="C8316" i="1"/>
  <c r="V8316" i="1" s="1"/>
  <c r="C8315" i="1"/>
  <c r="V8315" i="1" s="1"/>
  <c r="C8314" i="1"/>
  <c r="V8314" i="1" s="1"/>
  <c r="C8313" i="1"/>
  <c r="V8313" i="1" s="1"/>
  <c r="C8312" i="1"/>
  <c r="V8312" i="1" s="1"/>
  <c r="C8311" i="1"/>
  <c r="V8311" i="1" s="1"/>
  <c r="C8310" i="1"/>
  <c r="V8310" i="1" s="1"/>
  <c r="C8309" i="1"/>
  <c r="D8309" i="1" s="1"/>
  <c r="X8309" i="1" s="1"/>
  <c r="C8308" i="1"/>
  <c r="V8308" i="1" s="1"/>
  <c r="C8307" i="1"/>
  <c r="V8307" i="1" s="1"/>
  <c r="C8306" i="1"/>
  <c r="V8306" i="1" s="1"/>
  <c r="C8305" i="1"/>
  <c r="V8305" i="1" s="1"/>
  <c r="C8304" i="1"/>
  <c r="V8304" i="1" s="1"/>
  <c r="C8303" i="1"/>
  <c r="V8303" i="1" s="1"/>
  <c r="C8302" i="1"/>
  <c r="V8302" i="1" s="1"/>
  <c r="V8301" i="1"/>
  <c r="C8301" i="1"/>
  <c r="D8301" i="1" s="1"/>
  <c r="X8301" i="1" s="1"/>
  <c r="C8300" i="1"/>
  <c r="V8300" i="1" s="1"/>
  <c r="C8299" i="1"/>
  <c r="V8299" i="1" s="1"/>
  <c r="C8298" i="1"/>
  <c r="V8298" i="1" s="1"/>
  <c r="C8297" i="1"/>
  <c r="V8297" i="1" s="1"/>
  <c r="C8296" i="1"/>
  <c r="V8296" i="1" s="1"/>
  <c r="C8295" i="1"/>
  <c r="V8295" i="1" s="1"/>
  <c r="C8294" i="1"/>
  <c r="V8294" i="1" s="1"/>
  <c r="C8293" i="1"/>
  <c r="D8293" i="1" s="1"/>
  <c r="X8293" i="1" s="1"/>
  <c r="C8292" i="1"/>
  <c r="V8292" i="1" s="1"/>
  <c r="C8291" i="1"/>
  <c r="V8291" i="1" s="1"/>
  <c r="C8290" i="1"/>
  <c r="V8290" i="1" s="1"/>
  <c r="C8289" i="1"/>
  <c r="V8289" i="1" s="1"/>
  <c r="C8288" i="1"/>
  <c r="V8288" i="1" s="1"/>
  <c r="C8287" i="1"/>
  <c r="V8287" i="1" s="1"/>
  <c r="C8286" i="1"/>
  <c r="V8286" i="1" s="1"/>
  <c r="C8285" i="1"/>
  <c r="D8285" i="1" s="1"/>
  <c r="X8285" i="1" s="1"/>
  <c r="C8284" i="1"/>
  <c r="V8284" i="1" s="1"/>
  <c r="C8283" i="1"/>
  <c r="V8283" i="1" s="1"/>
  <c r="C8282" i="1"/>
  <c r="V8282" i="1" s="1"/>
  <c r="C8281" i="1"/>
  <c r="V8281" i="1" s="1"/>
  <c r="C8280" i="1"/>
  <c r="V8280" i="1" s="1"/>
  <c r="C8279" i="1"/>
  <c r="V8279" i="1" s="1"/>
  <c r="C8278" i="1"/>
  <c r="V8278" i="1" s="1"/>
  <c r="C8277" i="1"/>
  <c r="D8277" i="1" s="1"/>
  <c r="X8277" i="1" s="1"/>
  <c r="C8276" i="1"/>
  <c r="V8276" i="1" s="1"/>
  <c r="C8275" i="1"/>
  <c r="V8275" i="1" s="1"/>
  <c r="C8274" i="1"/>
  <c r="V8274" i="1" s="1"/>
  <c r="C8273" i="1"/>
  <c r="V8273" i="1" s="1"/>
  <c r="C8272" i="1"/>
  <c r="V8272" i="1" s="1"/>
  <c r="C8271" i="1"/>
  <c r="V8271" i="1" s="1"/>
  <c r="C8270" i="1"/>
  <c r="V8270" i="1" s="1"/>
  <c r="V8269" i="1"/>
  <c r="C8269" i="1"/>
  <c r="D8269" i="1" s="1"/>
  <c r="X8269" i="1" s="1"/>
  <c r="C8268" i="1"/>
  <c r="V8268" i="1" s="1"/>
  <c r="C8267" i="1"/>
  <c r="D8267" i="1" s="1"/>
  <c r="X8267" i="1" s="1"/>
  <c r="C8266" i="1"/>
  <c r="V8266" i="1" s="1"/>
  <c r="C8265" i="1"/>
  <c r="V8265" i="1" s="1"/>
  <c r="C8264" i="1"/>
  <c r="V8264" i="1" s="1"/>
  <c r="C8263" i="1"/>
  <c r="V8263" i="1" s="1"/>
  <c r="C8262" i="1"/>
  <c r="V8262" i="1" s="1"/>
  <c r="C8261" i="1"/>
  <c r="D8261" i="1" s="1"/>
  <c r="X8261" i="1" s="1"/>
  <c r="C8260" i="1"/>
  <c r="V8260" i="1" s="1"/>
  <c r="C8259" i="1"/>
  <c r="D8259" i="1" s="1"/>
  <c r="X8259" i="1" s="1"/>
  <c r="C8258" i="1"/>
  <c r="V8258" i="1" s="1"/>
  <c r="C8257" i="1"/>
  <c r="V8257" i="1" s="1"/>
  <c r="C8256" i="1"/>
  <c r="V8256" i="1" s="1"/>
  <c r="C8255" i="1"/>
  <c r="V8255" i="1" s="1"/>
  <c r="C8254" i="1"/>
  <c r="V8254" i="1" s="1"/>
  <c r="V8253" i="1"/>
  <c r="C8253" i="1"/>
  <c r="D8253" i="1" s="1"/>
  <c r="X8253" i="1" s="1"/>
  <c r="C8252" i="1"/>
  <c r="V8252" i="1" s="1"/>
  <c r="C8251" i="1"/>
  <c r="D8251" i="1" s="1"/>
  <c r="X8251" i="1" s="1"/>
  <c r="C8250" i="1"/>
  <c r="V8250" i="1" s="1"/>
  <c r="C8249" i="1"/>
  <c r="V8249" i="1" s="1"/>
  <c r="C8248" i="1"/>
  <c r="V8248" i="1" s="1"/>
  <c r="C8247" i="1"/>
  <c r="V8247" i="1" s="1"/>
  <c r="C8246" i="1"/>
  <c r="V8246" i="1" s="1"/>
  <c r="C8245" i="1"/>
  <c r="D8245" i="1" s="1"/>
  <c r="X8245" i="1" s="1"/>
  <c r="C8244" i="1"/>
  <c r="V8244" i="1" s="1"/>
  <c r="C8243" i="1"/>
  <c r="D8243" i="1" s="1"/>
  <c r="X8243" i="1" s="1"/>
  <c r="C8242" i="1"/>
  <c r="V8242" i="1" s="1"/>
  <c r="C8241" i="1"/>
  <c r="V8241" i="1" s="1"/>
  <c r="C8240" i="1"/>
  <c r="V8240" i="1" s="1"/>
  <c r="C8239" i="1"/>
  <c r="V8239" i="1" s="1"/>
  <c r="C8238" i="1"/>
  <c r="V8238" i="1" s="1"/>
  <c r="V8237" i="1"/>
  <c r="C8237" i="1"/>
  <c r="D8237" i="1" s="1"/>
  <c r="X8237" i="1" s="1"/>
  <c r="C8236" i="1"/>
  <c r="V8236" i="1" s="1"/>
  <c r="C8235" i="1"/>
  <c r="D8235" i="1" s="1"/>
  <c r="X8235" i="1" s="1"/>
  <c r="C8234" i="1"/>
  <c r="V8234" i="1" s="1"/>
  <c r="C8233" i="1"/>
  <c r="V8233" i="1" s="1"/>
  <c r="C8232" i="1"/>
  <c r="V8232" i="1" s="1"/>
  <c r="C8231" i="1"/>
  <c r="V8231" i="1" s="1"/>
  <c r="C8230" i="1"/>
  <c r="V8230" i="1" s="1"/>
  <c r="C8229" i="1"/>
  <c r="V8229" i="1" s="1"/>
  <c r="C8228" i="1"/>
  <c r="D8228" i="1" s="1"/>
  <c r="X8228" i="1" s="1"/>
  <c r="C8227" i="1"/>
  <c r="V8227" i="1" s="1"/>
  <c r="V8226" i="1"/>
  <c r="C8226" i="1"/>
  <c r="D8226" i="1" s="1"/>
  <c r="X8226" i="1" s="1"/>
  <c r="C8225" i="1"/>
  <c r="V8225" i="1" s="1"/>
  <c r="C8224" i="1"/>
  <c r="V8224" i="1" s="1"/>
  <c r="C8223" i="1"/>
  <c r="V8223" i="1" s="1"/>
  <c r="C8222" i="1"/>
  <c r="V8222" i="1" s="1"/>
  <c r="C8221" i="1"/>
  <c r="V8221" i="1" s="1"/>
  <c r="C8220" i="1"/>
  <c r="D8220" i="1" s="1"/>
  <c r="X8220" i="1" s="1"/>
  <c r="C8219" i="1"/>
  <c r="V8219" i="1" s="1"/>
  <c r="V8218" i="1"/>
  <c r="C8218" i="1"/>
  <c r="D8218" i="1" s="1"/>
  <c r="X8218" i="1" s="1"/>
  <c r="C8217" i="1"/>
  <c r="V8217" i="1" s="1"/>
  <c r="C8216" i="1"/>
  <c r="V8216" i="1" s="1"/>
  <c r="C8215" i="1"/>
  <c r="V8215" i="1" s="1"/>
  <c r="C8214" i="1"/>
  <c r="V8214" i="1" s="1"/>
  <c r="C8213" i="1"/>
  <c r="V8213" i="1" s="1"/>
  <c r="C8212" i="1"/>
  <c r="D8212" i="1" s="1"/>
  <c r="X8212" i="1" s="1"/>
  <c r="C8211" i="1"/>
  <c r="V8211" i="1" s="1"/>
  <c r="C8210" i="1"/>
  <c r="D8210" i="1" s="1"/>
  <c r="X8210" i="1" s="1"/>
  <c r="C8209" i="1"/>
  <c r="V8209" i="1" s="1"/>
  <c r="C8208" i="1"/>
  <c r="V8208" i="1" s="1"/>
  <c r="C8207" i="1"/>
  <c r="V8207" i="1" s="1"/>
  <c r="C8206" i="1"/>
  <c r="V8206" i="1" s="1"/>
  <c r="C8205" i="1"/>
  <c r="V8205" i="1" s="1"/>
  <c r="C8204" i="1"/>
  <c r="D8204" i="1" s="1"/>
  <c r="X8204" i="1" s="1"/>
  <c r="C8203" i="1"/>
  <c r="V8203" i="1" s="1"/>
  <c r="V8202" i="1"/>
  <c r="C8202" i="1"/>
  <c r="D8202" i="1" s="1"/>
  <c r="X8202" i="1" s="1"/>
  <c r="C8201" i="1"/>
  <c r="V8201" i="1" s="1"/>
  <c r="C8200" i="1"/>
  <c r="V8200" i="1" s="1"/>
  <c r="C8199" i="1"/>
  <c r="V8199" i="1" s="1"/>
  <c r="C8198" i="1"/>
  <c r="V8198" i="1" s="1"/>
  <c r="C8197" i="1"/>
  <c r="V8197" i="1" s="1"/>
  <c r="C8196" i="1"/>
  <c r="D8196" i="1" s="1"/>
  <c r="X8196" i="1" s="1"/>
  <c r="C8195" i="1"/>
  <c r="V8195" i="1" s="1"/>
  <c r="C8194" i="1"/>
  <c r="D8194" i="1" s="1"/>
  <c r="X8194" i="1" s="1"/>
  <c r="C8193" i="1"/>
  <c r="V8193" i="1" s="1"/>
  <c r="C8192" i="1"/>
  <c r="V8192" i="1" s="1"/>
  <c r="C8191" i="1"/>
  <c r="V8191" i="1" s="1"/>
  <c r="C8190" i="1"/>
  <c r="V8190" i="1" s="1"/>
  <c r="C8189" i="1"/>
  <c r="V8189" i="1" s="1"/>
  <c r="C8188" i="1"/>
  <c r="D8188" i="1" s="1"/>
  <c r="X8188" i="1" s="1"/>
  <c r="C8187" i="1"/>
  <c r="V8187" i="1" s="1"/>
  <c r="V8186" i="1"/>
  <c r="C8186" i="1"/>
  <c r="D8186" i="1" s="1"/>
  <c r="X8186" i="1" s="1"/>
  <c r="C8185" i="1"/>
  <c r="V8185" i="1" s="1"/>
  <c r="C8184" i="1"/>
  <c r="V8184" i="1" s="1"/>
  <c r="C8183" i="1"/>
  <c r="V8183" i="1" s="1"/>
  <c r="C8182" i="1"/>
  <c r="V8182" i="1" s="1"/>
  <c r="C8181" i="1"/>
  <c r="V8181" i="1" s="1"/>
  <c r="C8180" i="1"/>
  <c r="D8180" i="1" s="1"/>
  <c r="X8180" i="1" s="1"/>
  <c r="C8179" i="1"/>
  <c r="V8179" i="1" s="1"/>
  <c r="C8178" i="1"/>
  <c r="D8178" i="1" s="1"/>
  <c r="X8178" i="1" s="1"/>
  <c r="C8177" i="1"/>
  <c r="V8177" i="1" s="1"/>
  <c r="C8176" i="1"/>
  <c r="V8176" i="1" s="1"/>
  <c r="C8175" i="1"/>
  <c r="V8175" i="1" s="1"/>
  <c r="C8174" i="1"/>
  <c r="V8174" i="1" s="1"/>
  <c r="C8173" i="1"/>
  <c r="V8173" i="1" s="1"/>
  <c r="V8172" i="1"/>
  <c r="C8172" i="1"/>
  <c r="D8172" i="1" s="1"/>
  <c r="X8172" i="1" s="1"/>
  <c r="C8171" i="1"/>
  <c r="V8171" i="1" s="1"/>
  <c r="C8170" i="1"/>
  <c r="V8170" i="1" s="1"/>
  <c r="C8169" i="1"/>
  <c r="V8169" i="1" s="1"/>
  <c r="C8168" i="1"/>
  <c r="V8168" i="1" s="1"/>
  <c r="C8167" i="1"/>
  <c r="V8167" i="1" s="1"/>
  <c r="C8166" i="1"/>
  <c r="V8166" i="1" s="1"/>
  <c r="C8165" i="1"/>
  <c r="V8165" i="1" s="1"/>
  <c r="C8164" i="1"/>
  <c r="V8164" i="1" s="1"/>
  <c r="C8163" i="1"/>
  <c r="V8163" i="1" s="1"/>
  <c r="C8162" i="1"/>
  <c r="D8162" i="1" s="1"/>
  <c r="X8162" i="1" s="1"/>
  <c r="C8161" i="1"/>
  <c r="V8161" i="1" s="1"/>
  <c r="C8160" i="1"/>
  <c r="V8160" i="1" s="1"/>
  <c r="C8159" i="1"/>
  <c r="V8159" i="1" s="1"/>
  <c r="C8158" i="1"/>
  <c r="V8158" i="1" s="1"/>
  <c r="C8157" i="1"/>
  <c r="V8157" i="1" s="1"/>
  <c r="V8156" i="1"/>
  <c r="C8156" i="1"/>
  <c r="D8156" i="1" s="1"/>
  <c r="X8156" i="1" s="1"/>
  <c r="C8155" i="1"/>
  <c r="V8155" i="1" s="1"/>
  <c r="C8154" i="1"/>
  <c r="D8154" i="1" s="1"/>
  <c r="X8154" i="1" s="1"/>
  <c r="C8153" i="1"/>
  <c r="V8153" i="1" s="1"/>
  <c r="C8152" i="1"/>
  <c r="V8152" i="1" s="1"/>
  <c r="C8151" i="1"/>
  <c r="V8151" i="1" s="1"/>
  <c r="C8150" i="1"/>
  <c r="V8150" i="1" s="1"/>
  <c r="C8149" i="1"/>
  <c r="V8149" i="1" s="1"/>
  <c r="C8148" i="1"/>
  <c r="V8148" i="1" s="1"/>
  <c r="C8147" i="1"/>
  <c r="V8147" i="1" s="1"/>
  <c r="C8146" i="1"/>
  <c r="D8146" i="1" s="1"/>
  <c r="X8146" i="1" s="1"/>
  <c r="C8145" i="1"/>
  <c r="V8145" i="1" s="1"/>
  <c r="C8144" i="1"/>
  <c r="V8144" i="1" s="1"/>
  <c r="C8143" i="1"/>
  <c r="V8143" i="1" s="1"/>
  <c r="C8142" i="1"/>
  <c r="V8142" i="1" s="1"/>
  <c r="C8141" i="1"/>
  <c r="V8141" i="1" s="1"/>
  <c r="V8140" i="1"/>
  <c r="C8140" i="1"/>
  <c r="D8140" i="1" s="1"/>
  <c r="X8140" i="1" s="1"/>
  <c r="C8139" i="1"/>
  <c r="V8139" i="1" s="1"/>
  <c r="C8138" i="1"/>
  <c r="D8138" i="1" s="1"/>
  <c r="X8138" i="1" s="1"/>
  <c r="C8137" i="1"/>
  <c r="V8137" i="1" s="1"/>
  <c r="C8136" i="1"/>
  <c r="V8136" i="1" s="1"/>
  <c r="C8135" i="1"/>
  <c r="V8135" i="1" s="1"/>
  <c r="C8134" i="1"/>
  <c r="V8134" i="1" s="1"/>
  <c r="C8133" i="1"/>
  <c r="V8133" i="1" s="1"/>
  <c r="C8132" i="1"/>
  <c r="V8132" i="1" s="1"/>
  <c r="C8131" i="1"/>
  <c r="V8131" i="1" s="1"/>
  <c r="C8130" i="1"/>
  <c r="D8130" i="1" s="1"/>
  <c r="X8130" i="1" s="1"/>
  <c r="C8129" i="1"/>
  <c r="V8129" i="1" s="1"/>
  <c r="C8128" i="1"/>
  <c r="V8128" i="1" s="1"/>
  <c r="C8127" i="1"/>
  <c r="V8127" i="1" s="1"/>
  <c r="C8126" i="1"/>
  <c r="V8126" i="1" s="1"/>
  <c r="C8125" i="1"/>
  <c r="V8125" i="1" s="1"/>
  <c r="V8124" i="1"/>
  <c r="C8124" i="1"/>
  <c r="D8124" i="1" s="1"/>
  <c r="X8124" i="1" s="1"/>
  <c r="C8123" i="1"/>
  <c r="V8123" i="1" s="1"/>
  <c r="C8122" i="1"/>
  <c r="D8122" i="1" s="1"/>
  <c r="X8122" i="1" s="1"/>
  <c r="C8121" i="1"/>
  <c r="V8121" i="1" s="1"/>
  <c r="C8120" i="1"/>
  <c r="V8120" i="1" s="1"/>
  <c r="C8119" i="1"/>
  <c r="V8119" i="1" s="1"/>
  <c r="C8118" i="1"/>
  <c r="V8118" i="1" s="1"/>
  <c r="C8117" i="1"/>
  <c r="V8117" i="1" s="1"/>
  <c r="C8116" i="1"/>
  <c r="D8116" i="1" s="1"/>
  <c r="X8116" i="1" s="1"/>
  <c r="C8115" i="1"/>
  <c r="V8115" i="1" s="1"/>
  <c r="V8114" i="1"/>
  <c r="C8114" i="1"/>
  <c r="D8114" i="1" s="1"/>
  <c r="X8114" i="1" s="1"/>
  <c r="C8113" i="1"/>
  <c r="V8113" i="1" s="1"/>
  <c r="C8112" i="1"/>
  <c r="V8112" i="1" s="1"/>
  <c r="C8111" i="1"/>
  <c r="V8111" i="1" s="1"/>
  <c r="C8110" i="1"/>
  <c r="V8110" i="1" s="1"/>
  <c r="C8109" i="1"/>
  <c r="V8109" i="1" s="1"/>
  <c r="C8108" i="1"/>
  <c r="D8108" i="1" s="1"/>
  <c r="X8108" i="1" s="1"/>
  <c r="C8107" i="1"/>
  <c r="V8107" i="1" s="1"/>
  <c r="C8106" i="1"/>
  <c r="D8106" i="1" s="1"/>
  <c r="X8106" i="1" s="1"/>
  <c r="C8105" i="1"/>
  <c r="V8105" i="1" s="1"/>
  <c r="C8104" i="1"/>
  <c r="V8104" i="1" s="1"/>
  <c r="C8103" i="1"/>
  <c r="D8103" i="1" s="1"/>
  <c r="X8103" i="1" s="1"/>
  <c r="C8102" i="1"/>
  <c r="V8102" i="1" s="1"/>
  <c r="C8101" i="1"/>
  <c r="D8101" i="1" s="1"/>
  <c r="X8101" i="1" s="1"/>
  <c r="C8100" i="1"/>
  <c r="V8100" i="1" s="1"/>
  <c r="V8099" i="1"/>
  <c r="C8099" i="1"/>
  <c r="D8099" i="1" s="1"/>
  <c r="X8099" i="1" s="1"/>
  <c r="C8098" i="1"/>
  <c r="V8098" i="1" s="1"/>
  <c r="C8097" i="1"/>
  <c r="D8097" i="1" s="1"/>
  <c r="X8097" i="1" s="1"/>
  <c r="C8096" i="1"/>
  <c r="V8096" i="1" s="1"/>
  <c r="C8095" i="1"/>
  <c r="D8095" i="1" s="1"/>
  <c r="X8095" i="1" s="1"/>
  <c r="C8094" i="1"/>
  <c r="V8094" i="1" s="1"/>
  <c r="V8093" i="1"/>
  <c r="C8093" i="1"/>
  <c r="D8093" i="1" s="1"/>
  <c r="X8093" i="1" s="1"/>
  <c r="C8092" i="1"/>
  <c r="V8092" i="1" s="1"/>
  <c r="C8091" i="1"/>
  <c r="D8091" i="1" s="1"/>
  <c r="X8091" i="1" s="1"/>
  <c r="C8090" i="1"/>
  <c r="V8090" i="1" s="1"/>
  <c r="V8089" i="1"/>
  <c r="C8089" i="1"/>
  <c r="D8089" i="1" s="1"/>
  <c r="X8089" i="1" s="1"/>
  <c r="C8088" i="1"/>
  <c r="V8088" i="1" s="1"/>
  <c r="C8087" i="1"/>
  <c r="D8087" i="1" s="1"/>
  <c r="X8087" i="1" s="1"/>
  <c r="C8086" i="1"/>
  <c r="V8086" i="1" s="1"/>
  <c r="C8085" i="1"/>
  <c r="D8085" i="1" s="1"/>
  <c r="X8085" i="1" s="1"/>
  <c r="C8084" i="1"/>
  <c r="V8084" i="1" s="1"/>
  <c r="V8083" i="1"/>
  <c r="C8083" i="1"/>
  <c r="D8083" i="1" s="1"/>
  <c r="X8083" i="1" s="1"/>
  <c r="C8082" i="1"/>
  <c r="V8082" i="1" s="1"/>
  <c r="C8081" i="1"/>
  <c r="D8081" i="1" s="1"/>
  <c r="X8081" i="1" s="1"/>
  <c r="C8080" i="1"/>
  <c r="V8080" i="1" s="1"/>
  <c r="C8079" i="1"/>
  <c r="D8079" i="1" s="1"/>
  <c r="X8079" i="1" s="1"/>
  <c r="C8078" i="1"/>
  <c r="V8078" i="1" s="1"/>
  <c r="V8077" i="1"/>
  <c r="C8077" i="1"/>
  <c r="D8077" i="1" s="1"/>
  <c r="X8077" i="1" s="1"/>
  <c r="C8076" i="1"/>
  <c r="V8076" i="1" s="1"/>
  <c r="C8075" i="1"/>
  <c r="D8075" i="1" s="1"/>
  <c r="X8075" i="1" s="1"/>
  <c r="C8074" i="1"/>
  <c r="V8074" i="1" s="1"/>
  <c r="V8073" i="1"/>
  <c r="C8073" i="1"/>
  <c r="D8073" i="1" s="1"/>
  <c r="X8073" i="1" s="1"/>
  <c r="C8072" i="1"/>
  <c r="V8072" i="1" s="1"/>
  <c r="C8071" i="1"/>
  <c r="D8071" i="1" s="1"/>
  <c r="X8071" i="1" s="1"/>
  <c r="C8070" i="1"/>
  <c r="V8070" i="1" s="1"/>
  <c r="C8069" i="1"/>
  <c r="D8069" i="1" s="1"/>
  <c r="X8069" i="1" s="1"/>
  <c r="C8068" i="1"/>
  <c r="V8068" i="1" s="1"/>
  <c r="C8067" i="1"/>
  <c r="D8067" i="1" s="1"/>
  <c r="X8067" i="1" s="1"/>
  <c r="C8066" i="1"/>
  <c r="V8066" i="1" s="1"/>
  <c r="V8065" i="1"/>
  <c r="C8065" i="1"/>
  <c r="D8065" i="1" s="1"/>
  <c r="X8065" i="1" s="1"/>
  <c r="C8064" i="1"/>
  <c r="V8064" i="1" s="1"/>
  <c r="C8063" i="1"/>
  <c r="D8063" i="1" s="1"/>
  <c r="X8063" i="1" s="1"/>
  <c r="C8062" i="1"/>
  <c r="V8062" i="1" s="1"/>
  <c r="C8061" i="1"/>
  <c r="D8061" i="1" s="1"/>
  <c r="X8061" i="1" s="1"/>
  <c r="C8060" i="1"/>
  <c r="V8060" i="1" s="1"/>
  <c r="C8059" i="1"/>
  <c r="D8059" i="1" s="1"/>
  <c r="X8059" i="1" s="1"/>
  <c r="C8058" i="1"/>
  <c r="V8058" i="1" s="1"/>
  <c r="V8057" i="1"/>
  <c r="C8057" i="1"/>
  <c r="D8057" i="1" s="1"/>
  <c r="X8057" i="1" s="1"/>
  <c r="C8056" i="1"/>
  <c r="V8056" i="1" s="1"/>
  <c r="C8055" i="1"/>
  <c r="D8055" i="1" s="1"/>
  <c r="X8055" i="1" s="1"/>
  <c r="C8054" i="1"/>
  <c r="V8054" i="1" s="1"/>
  <c r="V8053" i="1"/>
  <c r="C8053" i="1"/>
  <c r="D8053" i="1" s="1"/>
  <c r="X8053" i="1" s="1"/>
  <c r="C8052" i="1"/>
  <c r="V8052" i="1" s="1"/>
  <c r="C8051" i="1"/>
  <c r="D8051" i="1" s="1"/>
  <c r="X8051" i="1" s="1"/>
  <c r="C8050" i="1"/>
  <c r="V8050" i="1" s="1"/>
  <c r="C8049" i="1"/>
  <c r="D8049" i="1" s="1"/>
  <c r="X8049" i="1" s="1"/>
  <c r="C8048" i="1"/>
  <c r="V8048" i="1" s="1"/>
  <c r="C8047" i="1"/>
  <c r="D8047" i="1" s="1"/>
  <c r="X8047" i="1" s="1"/>
  <c r="C8046" i="1"/>
  <c r="V8046" i="1" s="1"/>
  <c r="C8045" i="1"/>
  <c r="D8045" i="1" s="1"/>
  <c r="X8045" i="1" s="1"/>
  <c r="C8044" i="1"/>
  <c r="V8044" i="1" s="1"/>
  <c r="V8043" i="1"/>
  <c r="C8043" i="1"/>
  <c r="D8043" i="1" s="1"/>
  <c r="X8043" i="1" s="1"/>
  <c r="C8042" i="1"/>
  <c r="V8042" i="1" s="1"/>
  <c r="V8041" i="1"/>
  <c r="C8041" i="1"/>
  <c r="D8041" i="1" s="1"/>
  <c r="X8041" i="1" s="1"/>
  <c r="C8040" i="1"/>
  <c r="V8040" i="1" s="1"/>
  <c r="C8039" i="1"/>
  <c r="D8039" i="1" s="1"/>
  <c r="X8039" i="1" s="1"/>
  <c r="C8038" i="1"/>
  <c r="V8038" i="1" s="1"/>
  <c r="C8037" i="1"/>
  <c r="D8037" i="1" s="1"/>
  <c r="X8037" i="1" s="1"/>
  <c r="C8036" i="1"/>
  <c r="V8036" i="1" s="1"/>
  <c r="V8035" i="1"/>
  <c r="C8035" i="1"/>
  <c r="D8035" i="1" s="1"/>
  <c r="X8035" i="1" s="1"/>
  <c r="C8034" i="1"/>
  <c r="V8034" i="1" s="1"/>
  <c r="C8033" i="1"/>
  <c r="D8033" i="1" s="1"/>
  <c r="X8033" i="1" s="1"/>
  <c r="C8032" i="1"/>
  <c r="V8032" i="1" s="1"/>
  <c r="C8031" i="1"/>
  <c r="D8031" i="1" s="1"/>
  <c r="X8031" i="1" s="1"/>
  <c r="C8030" i="1"/>
  <c r="V8030" i="1" s="1"/>
  <c r="C8029" i="1"/>
  <c r="D8029" i="1" s="1"/>
  <c r="X8029" i="1" s="1"/>
  <c r="C8028" i="1"/>
  <c r="V8028" i="1" s="1"/>
  <c r="V8027" i="1"/>
  <c r="C8027" i="1"/>
  <c r="D8027" i="1" s="1"/>
  <c r="X8027" i="1" s="1"/>
  <c r="C8026" i="1"/>
  <c r="V8026" i="1" s="1"/>
  <c r="C8025" i="1"/>
  <c r="D8025" i="1" s="1"/>
  <c r="X8025" i="1" s="1"/>
  <c r="C8024" i="1"/>
  <c r="V8024" i="1" s="1"/>
  <c r="C8023" i="1"/>
  <c r="D8023" i="1" s="1"/>
  <c r="X8023" i="1" s="1"/>
  <c r="C8022" i="1"/>
  <c r="V8022" i="1" s="1"/>
  <c r="C8021" i="1"/>
  <c r="D8021" i="1" s="1"/>
  <c r="X8021" i="1" s="1"/>
  <c r="C8020" i="1"/>
  <c r="V8020" i="1" s="1"/>
  <c r="V8019" i="1"/>
  <c r="C8019" i="1"/>
  <c r="D8019" i="1" s="1"/>
  <c r="X8019" i="1" s="1"/>
  <c r="C8018" i="1"/>
  <c r="V8018" i="1" s="1"/>
  <c r="C8017" i="1"/>
  <c r="D8017" i="1" s="1"/>
  <c r="X8017" i="1" s="1"/>
  <c r="C8016" i="1"/>
  <c r="V8016" i="1" s="1"/>
  <c r="C8015" i="1"/>
  <c r="D8015" i="1" s="1"/>
  <c r="X8015" i="1" s="1"/>
  <c r="C8014" i="1"/>
  <c r="V8014" i="1" s="1"/>
  <c r="C8013" i="1"/>
  <c r="D8013" i="1" s="1"/>
  <c r="X8013" i="1" s="1"/>
  <c r="C8012" i="1"/>
  <c r="V8012" i="1" s="1"/>
  <c r="V8011" i="1"/>
  <c r="C8011" i="1"/>
  <c r="D8011" i="1" s="1"/>
  <c r="X8011" i="1" s="1"/>
  <c r="C8010" i="1"/>
  <c r="V8010" i="1" s="1"/>
  <c r="C8009" i="1"/>
  <c r="D8009" i="1" s="1"/>
  <c r="X8009" i="1" s="1"/>
  <c r="C8008" i="1"/>
  <c r="V8008" i="1" s="1"/>
  <c r="C8007" i="1"/>
  <c r="D8007" i="1" s="1"/>
  <c r="X8007" i="1" s="1"/>
  <c r="C8006" i="1"/>
  <c r="V8006" i="1" s="1"/>
  <c r="C8005" i="1"/>
  <c r="D8005" i="1" s="1"/>
  <c r="X8005" i="1" s="1"/>
  <c r="C8004" i="1"/>
  <c r="V8004" i="1" s="1"/>
  <c r="V8003" i="1"/>
  <c r="C8003" i="1"/>
  <c r="D8003" i="1" s="1"/>
  <c r="X8003" i="1" s="1"/>
  <c r="C8002" i="1"/>
  <c r="V8002" i="1" s="1"/>
  <c r="C8001" i="1"/>
  <c r="D8001" i="1" s="1"/>
  <c r="X8001" i="1" s="1"/>
  <c r="C8000" i="1"/>
  <c r="V8000" i="1" s="1"/>
  <c r="C7999" i="1"/>
  <c r="D7999" i="1" s="1"/>
  <c r="X7999" i="1" s="1"/>
  <c r="C7998" i="1"/>
  <c r="V7998" i="1" s="1"/>
  <c r="V7997" i="1"/>
  <c r="C7997" i="1"/>
  <c r="D7997" i="1" s="1"/>
  <c r="X7997" i="1" s="1"/>
  <c r="C7996" i="1"/>
  <c r="V7996" i="1" s="1"/>
  <c r="C7995" i="1"/>
  <c r="D7995" i="1" s="1"/>
  <c r="X7995" i="1" s="1"/>
  <c r="C7994" i="1"/>
  <c r="V7994" i="1" s="1"/>
  <c r="V7993" i="1"/>
  <c r="C7993" i="1"/>
  <c r="D7993" i="1" s="1"/>
  <c r="X7993" i="1" s="1"/>
  <c r="C7992" i="1"/>
  <c r="V7992" i="1" s="1"/>
  <c r="C7991" i="1"/>
  <c r="D7991" i="1" s="1"/>
  <c r="X7991" i="1" s="1"/>
  <c r="C7990" i="1"/>
  <c r="V7990" i="1" s="1"/>
  <c r="C7989" i="1"/>
  <c r="D7989" i="1" s="1"/>
  <c r="X7989" i="1" s="1"/>
  <c r="C7988" i="1"/>
  <c r="V7988" i="1" s="1"/>
  <c r="V7987" i="1"/>
  <c r="C7987" i="1"/>
  <c r="D7987" i="1" s="1"/>
  <c r="X7987" i="1" s="1"/>
  <c r="C7986" i="1"/>
  <c r="V7986" i="1" s="1"/>
  <c r="V7985" i="1"/>
  <c r="C7985" i="1"/>
  <c r="D7985" i="1" s="1"/>
  <c r="X7985" i="1" s="1"/>
  <c r="C7984" i="1"/>
  <c r="V7984" i="1" s="1"/>
  <c r="C7983" i="1"/>
  <c r="D7983" i="1" s="1"/>
  <c r="X7983" i="1" s="1"/>
  <c r="C7982" i="1"/>
  <c r="V7982" i="1" s="1"/>
  <c r="C7981" i="1"/>
  <c r="D7981" i="1" s="1"/>
  <c r="X7981" i="1" s="1"/>
  <c r="C7980" i="1"/>
  <c r="V7980" i="1" s="1"/>
  <c r="C7979" i="1"/>
  <c r="D7979" i="1" s="1"/>
  <c r="X7979" i="1" s="1"/>
  <c r="C7978" i="1"/>
  <c r="V7978" i="1" s="1"/>
  <c r="V7977" i="1"/>
  <c r="C7977" i="1"/>
  <c r="D7977" i="1" s="1"/>
  <c r="X7977" i="1" s="1"/>
  <c r="C7976" i="1"/>
  <c r="V7976" i="1" s="1"/>
  <c r="C7975" i="1"/>
  <c r="D7975" i="1" s="1"/>
  <c r="X7975" i="1" s="1"/>
  <c r="C7974" i="1"/>
  <c r="V7974" i="1" s="1"/>
  <c r="C7973" i="1"/>
  <c r="D7973" i="1" s="1"/>
  <c r="X7973" i="1" s="1"/>
  <c r="C7972" i="1"/>
  <c r="V7972" i="1" s="1"/>
  <c r="V7971" i="1"/>
  <c r="C7971" i="1"/>
  <c r="D7971" i="1" s="1"/>
  <c r="X7971" i="1" s="1"/>
  <c r="C7970" i="1"/>
  <c r="V7970" i="1" s="1"/>
  <c r="V7969" i="1"/>
  <c r="C7969" i="1"/>
  <c r="D7969" i="1" s="1"/>
  <c r="X7969" i="1" s="1"/>
  <c r="C7968" i="1"/>
  <c r="V7968" i="1" s="1"/>
  <c r="C7967" i="1"/>
  <c r="D7967" i="1" s="1"/>
  <c r="X7967" i="1" s="1"/>
  <c r="C7966" i="1"/>
  <c r="V7966" i="1" s="1"/>
  <c r="C7965" i="1"/>
  <c r="D7965" i="1" s="1"/>
  <c r="X7965" i="1" s="1"/>
  <c r="C7964" i="1"/>
  <c r="V7964" i="1" s="1"/>
  <c r="C7963" i="1"/>
  <c r="D7963" i="1" s="1"/>
  <c r="X7963" i="1" s="1"/>
  <c r="C7962" i="1"/>
  <c r="V7962" i="1" s="1"/>
  <c r="V7961" i="1"/>
  <c r="C7961" i="1"/>
  <c r="D7961" i="1" s="1"/>
  <c r="X7961" i="1" s="1"/>
  <c r="C7960" i="1"/>
  <c r="V7960" i="1" s="1"/>
  <c r="C7959" i="1"/>
  <c r="D7959" i="1" s="1"/>
  <c r="X7959" i="1" s="1"/>
  <c r="C7958" i="1"/>
  <c r="V7958" i="1" s="1"/>
  <c r="C7957" i="1"/>
  <c r="D7957" i="1" s="1"/>
  <c r="X7957" i="1" s="1"/>
  <c r="C7956" i="1"/>
  <c r="V7956" i="1" s="1"/>
  <c r="V7955" i="1"/>
  <c r="C7955" i="1"/>
  <c r="D7955" i="1" s="1"/>
  <c r="X7955" i="1" s="1"/>
  <c r="C7954" i="1"/>
  <c r="V7954" i="1" s="1"/>
  <c r="C7953" i="1"/>
  <c r="D7953" i="1" s="1"/>
  <c r="X7953" i="1" s="1"/>
  <c r="C7952" i="1"/>
  <c r="V7952" i="1" s="1"/>
  <c r="C7951" i="1"/>
  <c r="D7951" i="1" s="1"/>
  <c r="X7951" i="1" s="1"/>
  <c r="C7950" i="1"/>
  <c r="V7950" i="1" s="1"/>
  <c r="C7949" i="1"/>
  <c r="D7949" i="1" s="1"/>
  <c r="X7949" i="1" s="1"/>
  <c r="C7948" i="1"/>
  <c r="V7948" i="1" s="1"/>
  <c r="C7947" i="1"/>
  <c r="V7947" i="1" s="1"/>
  <c r="C7946" i="1"/>
  <c r="V7946" i="1" s="1"/>
  <c r="C7945" i="1"/>
  <c r="D7945" i="1" s="1"/>
  <c r="X7945" i="1" s="1"/>
  <c r="C7944" i="1"/>
  <c r="V7944" i="1" s="1"/>
  <c r="C7943" i="1"/>
  <c r="V7943" i="1" s="1"/>
  <c r="C7942" i="1"/>
  <c r="V7942" i="1" s="1"/>
  <c r="C7941" i="1"/>
  <c r="V7941" i="1" s="1"/>
  <c r="C7940" i="1"/>
  <c r="V7940" i="1" s="1"/>
  <c r="C7939" i="1"/>
  <c r="V7939" i="1" s="1"/>
  <c r="C7938" i="1"/>
  <c r="V7938" i="1" s="1"/>
  <c r="V7937" i="1"/>
  <c r="C7937" i="1"/>
  <c r="D7937" i="1" s="1"/>
  <c r="X7937" i="1" s="1"/>
  <c r="C7936" i="1"/>
  <c r="V7936" i="1" s="1"/>
  <c r="C7935" i="1"/>
  <c r="V7935" i="1" s="1"/>
  <c r="C7934" i="1"/>
  <c r="V7934" i="1" s="1"/>
  <c r="C7933" i="1"/>
  <c r="V7933" i="1" s="1"/>
  <c r="C7932" i="1"/>
  <c r="V7932" i="1" s="1"/>
  <c r="C7931" i="1"/>
  <c r="V7931" i="1" s="1"/>
  <c r="C7930" i="1"/>
  <c r="V7930" i="1" s="1"/>
  <c r="V7929" i="1"/>
  <c r="C7929" i="1"/>
  <c r="D7929" i="1" s="1"/>
  <c r="X7929" i="1" s="1"/>
  <c r="C7928" i="1"/>
  <c r="V7928" i="1" s="1"/>
  <c r="C7927" i="1"/>
  <c r="V7927" i="1" s="1"/>
  <c r="C7926" i="1"/>
  <c r="V7926" i="1" s="1"/>
  <c r="C7925" i="1"/>
  <c r="V7925" i="1" s="1"/>
  <c r="C7924" i="1"/>
  <c r="V7924" i="1" s="1"/>
  <c r="C7923" i="1"/>
  <c r="V7923" i="1" s="1"/>
  <c r="C7922" i="1"/>
  <c r="V7922" i="1" s="1"/>
  <c r="C7921" i="1"/>
  <c r="D7921" i="1" s="1"/>
  <c r="X7921" i="1" s="1"/>
  <c r="C7920" i="1"/>
  <c r="V7920" i="1" s="1"/>
  <c r="C7919" i="1"/>
  <c r="V7919" i="1" s="1"/>
  <c r="C7918" i="1"/>
  <c r="V7918" i="1" s="1"/>
  <c r="C7917" i="1"/>
  <c r="V7917" i="1" s="1"/>
  <c r="C7916" i="1"/>
  <c r="V7916" i="1" s="1"/>
  <c r="C7915" i="1"/>
  <c r="V7915" i="1" s="1"/>
  <c r="C7914" i="1"/>
  <c r="V7914" i="1" s="1"/>
  <c r="C7913" i="1"/>
  <c r="D7913" i="1" s="1"/>
  <c r="X7913" i="1" s="1"/>
  <c r="C7912" i="1"/>
  <c r="V7912" i="1" s="1"/>
  <c r="C7911" i="1"/>
  <c r="V7911" i="1" s="1"/>
  <c r="C7910" i="1"/>
  <c r="V7910" i="1" s="1"/>
  <c r="C7909" i="1"/>
  <c r="V7909" i="1" s="1"/>
  <c r="C7908" i="1"/>
  <c r="V7908" i="1" s="1"/>
  <c r="C7907" i="1"/>
  <c r="V7907" i="1" s="1"/>
  <c r="C7906" i="1"/>
  <c r="V7906" i="1" s="1"/>
  <c r="C7905" i="1"/>
  <c r="D7905" i="1" s="1"/>
  <c r="X7905" i="1" s="1"/>
  <c r="C7904" i="1"/>
  <c r="V7904" i="1" s="1"/>
  <c r="C7903" i="1"/>
  <c r="V7903" i="1" s="1"/>
  <c r="C7902" i="1"/>
  <c r="V7902" i="1" s="1"/>
  <c r="C7901" i="1"/>
  <c r="V7901" i="1" s="1"/>
  <c r="C7900" i="1"/>
  <c r="V7900" i="1" s="1"/>
  <c r="C7899" i="1"/>
  <c r="V7899" i="1" s="1"/>
  <c r="C7898" i="1"/>
  <c r="V7898" i="1" s="1"/>
  <c r="C7897" i="1"/>
  <c r="D7897" i="1" s="1"/>
  <c r="X7897" i="1" s="1"/>
  <c r="C7896" i="1"/>
  <c r="V7896" i="1" s="1"/>
  <c r="C7895" i="1"/>
  <c r="V7895" i="1" s="1"/>
  <c r="C7894" i="1"/>
  <c r="V7894" i="1" s="1"/>
  <c r="C7893" i="1"/>
  <c r="V7893" i="1" s="1"/>
  <c r="C7892" i="1"/>
  <c r="V7892" i="1" s="1"/>
  <c r="C7891" i="1"/>
  <c r="V7891" i="1" s="1"/>
  <c r="C7890" i="1"/>
  <c r="V7890" i="1" s="1"/>
  <c r="C7889" i="1"/>
  <c r="D7889" i="1" s="1"/>
  <c r="X7889" i="1" s="1"/>
  <c r="C7888" i="1"/>
  <c r="V7888" i="1" s="1"/>
  <c r="C7887" i="1"/>
  <c r="V7887" i="1" s="1"/>
  <c r="C7886" i="1"/>
  <c r="V7886" i="1" s="1"/>
  <c r="C7885" i="1"/>
  <c r="V7885" i="1" s="1"/>
  <c r="C7884" i="1"/>
  <c r="V7884" i="1" s="1"/>
  <c r="C7883" i="1"/>
  <c r="V7883" i="1" s="1"/>
  <c r="C7882" i="1"/>
  <c r="V7882" i="1" s="1"/>
  <c r="C7881" i="1"/>
  <c r="D7881" i="1" s="1"/>
  <c r="X7881" i="1" s="1"/>
  <c r="C7880" i="1"/>
  <c r="V7880" i="1" s="1"/>
  <c r="C7879" i="1"/>
  <c r="V7879" i="1" s="1"/>
  <c r="C7878" i="1"/>
  <c r="V7878" i="1" s="1"/>
  <c r="C7877" i="1"/>
  <c r="V7877" i="1" s="1"/>
  <c r="C7876" i="1"/>
  <c r="V7876" i="1" s="1"/>
  <c r="C7875" i="1"/>
  <c r="V7875" i="1" s="1"/>
  <c r="C7874" i="1"/>
  <c r="V7874" i="1" s="1"/>
  <c r="V7873" i="1"/>
  <c r="C7873" i="1"/>
  <c r="D7873" i="1" s="1"/>
  <c r="X7873" i="1" s="1"/>
  <c r="C7872" i="1"/>
  <c r="V7872" i="1" s="1"/>
  <c r="C7871" i="1"/>
  <c r="V7871" i="1" s="1"/>
  <c r="C7870" i="1"/>
  <c r="V7870" i="1" s="1"/>
  <c r="C7869" i="1"/>
  <c r="V7869" i="1" s="1"/>
  <c r="C7868" i="1"/>
  <c r="V7868" i="1" s="1"/>
  <c r="C7867" i="1"/>
  <c r="V7867" i="1" s="1"/>
  <c r="C7866" i="1"/>
  <c r="V7866" i="1" s="1"/>
  <c r="V7865" i="1"/>
  <c r="C7865" i="1"/>
  <c r="D7865" i="1" s="1"/>
  <c r="X7865" i="1" s="1"/>
  <c r="C7864" i="1"/>
  <c r="V7864" i="1" s="1"/>
  <c r="C7863" i="1"/>
  <c r="V7863" i="1" s="1"/>
  <c r="C7862" i="1"/>
  <c r="V7862" i="1" s="1"/>
  <c r="C7861" i="1"/>
  <c r="V7861" i="1" s="1"/>
  <c r="C7860" i="1"/>
  <c r="V7860" i="1" s="1"/>
  <c r="C7859" i="1"/>
  <c r="V7859" i="1" s="1"/>
  <c r="C7858" i="1"/>
  <c r="V7858" i="1" s="1"/>
  <c r="C7857" i="1"/>
  <c r="D7857" i="1" s="1"/>
  <c r="X7857" i="1" s="1"/>
  <c r="C7856" i="1"/>
  <c r="V7856" i="1" s="1"/>
  <c r="C7855" i="1"/>
  <c r="V7855" i="1" s="1"/>
  <c r="C7854" i="1"/>
  <c r="V7854" i="1" s="1"/>
  <c r="C7853" i="1"/>
  <c r="V7853" i="1" s="1"/>
  <c r="C7852" i="1"/>
  <c r="V7852" i="1" s="1"/>
  <c r="C7851" i="1"/>
  <c r="V7851" i="1" s="1"/>
  <c r="C7850" i="1"/>
  <c r="V7850" i="1" s="1"/>
  <c r="C7849" i="1"/>
  <c r="D7849" i="1" s="1"/>
  <c r="X7849" i="1" s="1"/>
  <c r="C7848" i="1"/>
  <c r="V7848" i="1" s="1"/>
  <c r="C7847" i="1"/>
  <c r="V7847" i="1" s="1"/>
  <c r="C7846" i="1"/>
  <c r="V7846" i="1" s="1"/>
  <c r="C7845" i="1"/>
  <c r="V7845" i="1" s="1"/>
  <c r="C7844" i="1"/>
  <c r="V7844" i="1" s="1"/>
  <c r="C7843" i="1"/>
  <c r="V7843" i="1" s="1"/>
  <c r="C7842" i="1"/>
  <c r="V7842" i="1" s="1"/>
  <c r="C7841" i="1"/>
  <c r="D7841" i="1" s="1"/>
  <c r="X7841" i="1" s="1"/>
  <c r="C7840" i="1"/>
  <c r="V7840" i="1" s="1"/>
  <c r="C7839" i="1"/>
  <c r="V7839" i="1" s="1"/>
  <c r="C7838" i="1"/>
  <c r="V7838" i="1" s="1"/>
  <c r="C7837" i="1"/>
  <c r="V7837" i="1" s="1"/>
  <c r="C7836" i="1"/>
  <c r="V7836" i="1" s="1"/>
  <c r="C7835" i="1"/>
  <c r="V7835" i="1" s="1"/>
  <c r="C7834" i="1"/>
  <c r="V7834" i="1" s="1"/>
  <c r="C7833" i="1"/>
  <c r="D7833" i="1" s="1"/>
  <c r="X7833" i="1" s="1"/>
  <c r="C7832" i="1"/>
  <c r="V7832" i="1" s="1"/>
  <c r="C7831" i="1"/>
  <c r="D7831" i="1" s="1"/>
  <c r="X7831" i="1" s="1"/>
  <c r="C7830" i="1"/>
  <c r="V7830" i="1" s="1"/>
  <c r="C7829" i="1"/>
  <c r="V7829" i="1" s="1"/>
  <c r="C7828" i="1"/>
  <c r="V7828" i="1" s="1"/>
  <c r="C7827" i="1"/>
  <c r="V7827" i="1" s="1"/>
  <c r="C7826" i="1"/>
  <c r="V7826" i="1" s="1"/>
  <c r="C7825" i="1"/>
  <c r="D7825" i="1" s="1"/>
  <c r="X7825" i="1" s="1"/>
  <c r="C7824" i="1"/>
  <c r="V7824" i="1" s="1"/>
  <c r="C7823" i="1"/>
  <c r="V7823" i="1" s="1"/>
  <c r="C7822" i="1"/>
  <c r="V7822" i="1" s="1"/>
  <c r="C7821" i="1"/>
  <c r="V7821" i="1" s="1"/>
  <c r="C7820" i="1"/>
  <c r="V7820" i="1" s="1"/>
  <c r="C7819" i="1"/>
  <c r="V7819" i="1" s="1"/>
  <c r="C7818" i="1"/>
  <c r="V7818" i="1" s="1"/>
  <c r="V7817" i="1"/>
  <c r="C7817" i="1"/>
  <c r="D7817" i="1" s="1"/>
  <c r="X7817" i="1" s="1"/>
  <c r="C7816" i="1"/>
  <c r="V7816" i="1" s="1"/>
  <c r="C7815" i="1"/>
  <c r="D7815" i="1" s="1"/>
  <c r="X7815" i="1" s="1"/>
  <c r="C7814" i="1"/>
  <c r="V7814" i="1" s="1"/>
  <c r="C7813" i="1"/>
  <c r="V7813" i="1" s="1"/>
  <c r="C7812" i="1"/>
  <c r="V7812" i="1" s="1"/>
  <c r="C7811" i="1"/>
  <c r="V7811" i="1" s="1"/>
  <c r="C7810" i="1"/>
  <c r="V7810" i="1" s="1"/>
  <c r="C7809" i="1"/>
  <c r="D7809" i="1" s="1"/>
  <c r="X7809" i="1" s="1"/>
  <c r="C7808" i="1"/>
  <c r="V7808" i="1" s="1"/>
  <c r="C7807" i="1"/>
  <c r="V7807" i="1" s="1"/>
  <c r="C7806" i="1"/>
  <c r="V7806" i="1" s="1"/>
  <c r="C7805" i="1"/>
  <c r="V7805" i="1" s="1"/>
  <c r="C7804" i="1"/>
  <c r="V7804" i="1" s="1"/>
  <c r="C7803" i="1"/>
  <c r="V7803" i="1" s="1"/>
  <c r="C7802" i="1"/>
  <c r="V7802" i="1" s="1"/>
  <c r="C7801" i="1"/>
  <c r="D7801" i="1" s="1"/>
  <c r="X7801" i="1" s="1"/>
  <c r="C7800" i="1"/>
  <c r="V7800" i="1" s="1"/>
  <c r="V7799" i="1"/>
  <c r="C7799" i="1"/>
  <c r="D7799" i="1" s="1"/>
  <c r="X7799" i="1" s="1"/>
  <c r="C7798" i="1"/>
  <c r="V7798" i="1" s="1"/>
  <c r="C7797" i="1"/>
  <c r="V7797" i="1" s="1"/>
  <c r="C7796" i="1"/>
  <c r="V7796" i="1" s="1"/>
  <c r="C7795" i="1"/>
  <c r="V7795" i="1" s="1"/>
  <c r="C7794" i="1"/>
  <c r="V7794" i="1" s="1"/>
  <c r="C7793" i="1"/>
  <c r="V7793" i="1" s="1"/>
  <c r="C7792" i="1"/>
  <c r="V7792" i="1" s="1"/>
  <c r="C7791" i="1"/>
  <c r="V7791" i="1" s="1"/>
  <c r="C7790" i="1"/>
  <c r="D7790" i="1" s="1"/>
  <c r="X7790" i="1" s="1"/>
  <c r="C7789" i="1"/>
  <c r="V7789" i="1" s="1"/>
  <c r="C7788" i="1"/>
  <c r="V7788" i="1" s="1"/>
  <c r="C7787" i="1"/>
  <c r="V7787" i="1" s="1"/>
  <c r="C7786" i="1"/>
  <c r="V7786" i="1" s="1"/>
  <c r="C7785" i="1"/>
  <c r="V7785" i="1" s="1"/>
  <c r="C7784" i="1"/>
  <c r="D7784" i="1" s="1"/>
  <c r="X7784" i="1" s="1"/>
  <c r="C7783" i="1"/>
  <c r="V7783" i="1" s="1"/>
  <c r="C7782" i="1"/>
  <c r="D7782" i="1" s="1"/>
  <c r="X7782" i="1" s="1"/>
  <c r="C7781" i="1"/>
  <c r="V7781" i="1" s="1"/>
  <c r="C7780" i="1"/>
  <c r="V7780" i="1" s="1"/>
  <c r="C7779" i="1"/>
  <c r="V7779" i="1" s="1"/>
  <c r="C7778" i="1"/>
  <c r="V7778" i="1" s="1"/>
  <c r="C7777" i="1"/>
  <c r="V7777" i="1" s="1"/>
  <c r="C7776" i="1"/>
  <c r="D7776" i="1" s="1"/>
  <c r="X7776" i="1" s="1"/>
  <c r="C7775" i="1"/>
  <c r="V7775" i="1" s="1"/>
  <c r="V7774" i="1"/>
  <c r="C7774" i="1"/>
  <c r="D7774" i="1" s="1"/>
  <c r="X7774" i="1" s="1"/>
  <c r="C7773" i="1"/>
  <c r="V7773" i="1" s="1"/>
  <c r="C7772" i="1"/>
  <c r="V7772" i="1" s="1"/>
  <c r="C7771" i="1"/>
  <c r="V7771" i="1" s="1"/>
  <c r="C7770" i="1"/>
  <c r="V7770" i="1" s="1"/>
  <c r="C7769" i="1"/>
  <c r="V7769" i="1" s="1"/>
  <c r="C7768" i="1"/>
  <c r="D7768" i="1" s="1"/>
  <c r="X7768" i="1" s="1"/>
  <c r="C7767" i="1"/>
  <c r="V7767" i="1" s="1"/>
  <c r="C7766" i="1"/>
  <c r="D7766" i="1" s="1"/>
  <c r="X7766" i="1" s="1"/>
  <c r="C7765" i="1"/>
  <c r="V7765" i="1" s="1"/>
  <c r="C7764" i="1"/>
  <c r="V7764" i="1" s="1"/>
  <c r="C7763" i="1"/>
  <c r="V7763" i="1" s="1"/>
  <c r="C7762" i="1"/>
  <c r="V7762" i="1" s="1"/>
  <c r="C7761" i="1"/>
  <c r="V7761" i="1" s="1"/>
  <c r="V7760" i="1"/>
  <c r="C7760" i="1"/>
  <c r="D7760" i="1" s="1"/>
  <c r="X7760" i="1" s="1"/>
  <c r="C7759" i="1"/>
  <c r="V7759" i="1" s="1"/>
  <c r="V7758" i="1"/>
  <c r="C7758" i="1"/>
  <c r="D7758" i="1" s="1"/>
  <c r="X7758" i="1" s="1"/>
  <c r="C7757" i="1"/>
  <c r="V7757" i="1" s="1"/>
  <c r="C7756" i="1"/>
  <c r="V7756" i="1" s="1"/>
  <c r="C7755" i="1"/>
  <c r="C7754" i="1"/>
  <c r="V7754" i="1" s="1"/>
  <c r="C7753" i="1"/>
  <c r="C7752" i="1"/>
  <c r="D7752" i="1" s="1"/>
  <c r="X7752" i="1" s="1"/>
  <c r="C7751" i="1"/>
  <c r="V7750" i="1"/>
  <c r="C7750" i="1"/>
  <c r="D7750" i="1" s="1"/>
  <c r="X7750" i="1" s="1"/>
  <c r="C7749" i="1"/>
  <c r="C7748" i="1"/>
  <c r="C7747" i="1"/>
  <c r="C7746" i="1"/>
  <c r="V7746" i="1" s="1"/>
  <c r="C7745" i="1"/>
  <c r="V7744" i="1"/>
  <c r="C7744" i="1"/>
  <c r="D7744" i="1" s="1"/>
  <c r="X7744" i="1" s="1"/>
  <c r="C7743" i="1"/>
  <c r="V7742" i="1"/>
  <c r="C7742" i="1"/>
  <c r="D7742" i="1" s="1"/>
  <c r="X7742" i="1" s="1"/>
  <c r="C7741" i="1"/>
  <c r="C7740" i="1"/>
  <c r="C7739" i="1"/>
  <c r="C7738" i="1"/>
  <c r="V7738" i="1" s="1"/>
  <c r="C7737" i="1"/>
  <c r="C7736" i="1"/>
  <c r="D7736" i="1" s="1"/>
  <c r="X7736" i="1" s="1"/>
  <c r="C7735" i="1"/>
  <c r="V7734" i="1"/>
  <c r="C7734" i="1"/>
  <c r="D7734" i="1" s="1"/>
  <c r="X7734" i="1" s="1"/>
  <c r="C7733" i="1"/>
  <c r="C7732" i="1"/>
  <c r="C7731" i="1"/>
  <c r="C7730" i="1"/>
  <c r="V7730" i="1" s="1"/>
  <c r="C7729" i="1"/>
  <c r="C7728" i="1"/>
  <c r="D7728" i="1" s="1"/>
  <c r="X7728" i="1" s="1"/>
  <c r="C7727" i="1"/>
  <c r="V7726" i="1"/>
  <c r="C7726" i="1"/>
  <c r="D7726" i="1" s="1"/>
  <c r="X7726" i="1" s="1"/>
  <c r="C7725" i="1"/>
  <c r="C7724" i="1"/>
  <c r="C7723" i="1"/>
  <c r="C7722" i="1"/>
  <c r="V7722" i="1" s="1"/>
  <c r="C7721" i="1"/>
  <c r="C7720" i="1"/>
  <c r="D7720" i="1" s="1"/>
  <c r="X7720" i="1" s="1"/>
  <c r="C7719" i="1"/>
  <c r="C7718" i="1"/>
  <c r="D7718" i="1" s="1"/>
  <c r="X7718" i="1" s="1"/>
  <c r="C7717" i="1"/>
  <c r="C7716" i="1"/>
  <c r="C7715" i="1"/>
  <c r="C7714" i="1"/>
  <c r="V7714" i="1" s="1"/>
  <c r="C7713" i="1"/>
  <c r="C7712" i="1"/>
  <c r="D7712" i="1" s="1"/>
  <c r="X7712" i="1" s="1"/>
  <c r="C7711" i="1"/>
  <c r="V7710" i="1"/>
  <c r="C7710" i="1"/>
  <c r="D7710" i="1" s="1"/>
  <c r="X7710" i="1" s="1"/>
  <c r="C7709" i="1"/>
  <c r="C7708" i="1"/>
  <c r="C7707" i="1"/>
  <c r="C7706" i="1"/>
  <c r="V7706" i="1" s="1"/>
  <c r="C7705" i="1"/>
  <c r="C7704" i="1"/>
  <c r="D7704" i="1" s="1"/>
  <c r="X7704" i="1" s="1"/>
  <c r="C7703" i="1"/>
  <c r="V7702" i="1"/>
  <c r="C7702" i="1"/>
  <c r="D7702" i="1" s="1"/>
  <c r="X7702" i="1" s="1"/>
  <c r="C7701" i="1"/>
  <c r="C7700" i="1"/>
  <c r="C7699" i="1"/>
  <c r="C7698" i="1"/>
  <c r="V7698" i="1" s="1"/>
  <c r="C7697" i="1"/>
  <c r="C7696" i="1"/>
  <c r="D7696" i="1" s="1"/>
  <c r="X7696" i="1" s="1"/>
  <c r="C7695" i="1"/>
  <c r="V7694" i="1"/>
  <c r="C7694" i="1"/>
  <c r="D7694" i="1" s="1"/>
  <c r="X7694" i="1" s="1"/>
  <c r="C7693" i="1"/>
  <c r="C7692" i="1"/>
  <c r="C7691" i="1"/>
  <c r="C7690" i="1"/>
  <c r="V7690" i="1" s="1"/>
  <c r="C7689" i="1"/>
  <c r="C7688" i="1"/>
  <c r="D7688" i="1" s="1"/>
  <c r="X7688" i="1" s="1"/>
  <c r="C7687" i="1"/>
  <c r="C7686" i="1"/>
  <c r="D7686" i="1" s="1"/>
  <c r="X7686" i="1" s="1"/>
  <c r="C7685" i="1"/>
  <c r="C7684" i="1"/>
  <c r="C7683" i="1"/>
  <c r="C7682" i="1"/>
  <c r="V7682" i="1" s="1"/>
  <c r="C7681" i="1"/>
  <c r="C7680" i="1"/>
  <c r="D7680" i="1" s="1"/>
  <c r="X7680" i="1" s="1"/>
  <c r="C7679" i="1"/>
  <c r="V7678" i="1"/>
  <c r="C7678" i="1"/>
  <c r="D7678" i="1" s="1"/>
  <c r="X7678" i="1" s="1"/>
  <c r="C7677" i="1"/>
  <c r="C7676" i="1"/>
  <c r="C7675" i="1"/>
  <c r="C7674" i="1"/>
  <c r="V7674" i="1" s="1"/>
  <c r="C7673" i="1"/>
  <c r="C7672" i="1"/>
  <c r="D7672" i="1" s="1"/>
  <c r="X7672" i="1" s="1"/>
  <c r="C7671" i="1"/>
  <c r="V7670" i="1"/>
  <c r="C7670" i="1"/>
  <c r="D7670" i="1" s="1"/>
  <c r="X7670" i="1" s="1"/>
  <c r="C7669" i="1"/>
  <c r="C7668" i="1"/>
  <c r="C7667" i="1"/>
  <c r="C7666" i="1"/>
  <c r="V7666" i="1" s="1"/>
  <c r="C7665" i="1"/>
  <c r="C7664" i="1"/>
  <c r="D7664" i="1" s="1"/>
  <c r="X7664" i="1" s="1"/>
  <c r="C7663" i="1"/>
  <c r="V7662" i="1"/>
  <c r="C7662" i="1"/>
  <c r="D7662" i="1" s="1"/>
  <c r="X7662" i="1" s="1"/>
  <c r="C7661" i="1"/>
  <c r="C7660" i="1"/>
  <c r="C7659" i="1"/>
  <c r="C7658" i="1"/>
  <c r="V7658" i="1" s="1"/>
  <c r="C7657" i="1"/>
  <c r="C7656" i="1"/>
  <c r="D7656" i="1" s="1"/>
  <c r="X7656" i="1" s="1"/>
  <c r="C7655" i="1"/>
  <c r="C7654" i="1"/>
  <c r="D7654" i="1" s="1"/>
  <c r="X7654" i="1" s="1"/>
  <c r="C7653" i="1"/>
  <c r="C7652" i="1"/>
  <c r="C7651" i="1"/>
  <c r="C7650" i="1"/>
  <c r="V7650" i="1" s="1"/>
  <c r="C7649" i="1"/>
  <c r="C7648" i="1"/>
  <c r="D7648" i="1" s="1"/>
  <c r="X7648" i="1" s="1"/>
  <c r="C7647" i="1"/>
  <c r="V7646" i="1"/>
  <c r="C7646" i="1"/>
  <c r="D7646" i="1" s="1"/>
  <c r="X7646" i="1" s="1"/>
  <c r="C7645" i="1"/>
  <c r="C7644" i="1"/>
  <c r="C7643" i="1"/>
  <c r="C7642" i="1"/>
  <c r="V7642" i="1" s="1"/>
  <c r="C7641" i="1"/>
  <c r="C7640" i="1"/>
  <c r="D7640" i="1" s="1"/>
  <c r="X7640" i="1" s="1"/>
  <c r="C7639" i="1"/>
  <c r="V7638" i="1"/>
  <c r="C7638" i="1"/>
  <c r="D7638" i="1" s="1"/>
  <c r="X7638" i="1" s="1"/>
  <c r="C7637" i="1"/>
  <c r="C7636" i="1"/>
  <c r="C7635" i="1"/>
  <c r="C7634" i="1"/>
  <c r="V7634" i="1" s="1"/>
  <c r="C7633" i="1"/>
  <c r="C7632" i="1"/>
  <c r="D7632" i="1" s="1"/>
  <c r="X7632" i="1" s="1"/>
  <c r="C7631" i="1"/>
  <c r="V7630" i="1"/>
  <c r="C7630" i="1"/>
  <c r="D7630" i="1" s="1"/>
  <c r="X7630" i="1" s="1"/>
  <c r="C7629" i="1"/>
  <c r="C7628" i="1"/>
  <c r="C7627" i="1"/>
  <c r="C7626" i="1"/>
  <c r="V7626" i="1" s="1"/>
  <c r="C7625" i="1"/>
  <c r="C7624" i="1"/>
  <c r="D7624" i="1" s="1"/>
  <c r="X7624" i="1" s="1"/>
  <c r="C7623" i="1"/>
  <c r="C7622" i="1"/>
  <c r="D7622" i="1" s="1"/>
  <c r="X7622" i="1" s="1"/>
  <c r="C7621" i="1"/>
  <c r="C7620" i="1"/>
  <c r="C7619" i="1"/>
  <c r="C7618" i="1"/>
  <c r="V7618" i="1" s="1"/>
  <c r="C7617" i="1"/>
  <c r="C7616" i="1"/>
  <c r="D7616" i="1" s="1"/>
  <c r="X7616" i="1" s="1"/>
  <c r="C7615" i="1"/>
  <c r="V7614" i="1"/>
  <c r="C7614" i="1"/>
  <c r="D7614" i="1" s="1"/>
  <c r="X7614" i="1" s="1"/>
  <c r="C7613" i="1"/>
  <c r="C7612" i="1"/>
  <c r="C7611" i="1"/>
  <c r="C7610" i="1"/>
  <c r="C7609" i="1"/>
  <c r="C7608" i="1"/>
  <c r="D7608" i="1" s="1"/>
  <c r="X7608" i="1" s="1"/>
  <c r="C7607" i="1"/>
  <c r="V7606" i="1"/>
  <c r="C7606" i="1"/>
  <c r="D7606" i="1" s="1"/>
  <c r="X7606" i="1" s="1"/>
  <c r="C7605" i="1"/>
  <c r="C7604" i="1"/>
  <c r="C7603" i="1"/>
  <c r="C7602" i="1"/>
  <c r="C7601" i="1"/>
  <c r="C7600" i="1"/>
  <c r="D7600" i="1" s="1"/>
  <c r="X7600" i="1" s="1"/>
  <c r="C7599" i="1"/>
  <c r="V7598" i="1"/>
  <c r="C7598" i="1"/>
  <c r="D7598" i="1" s="1"/>
  <c r="X7598" i="1" s="1"/>
  <c r="C7597" i="1"/>
  <c r="C7596" i="1"/>
  <c r="C7595" i="1"/>
  <c r="C7594" i="1"/>
  <c r="C7593" i="1"/>
  <c r="C7592" i="1"/>
  <c r="D7592" i="1" s="1"/>
  <c r="X7592" i="1" s="1"/>
  <c r="C7591" i="1"/>
  <c r="C7590" i="1"/>
  <c r="D7590" i="1" s="1"/>
  <c r="X7590" i="1" s="1"/>
  <c r="C7589" i="1"/>
  <c r="C7588" i="1"/>
  <c r="C7587" i="1"/>
  <c r="C7586" i="1"/>
  <c r="C7585" i="1"/>
  <c r="C7584" i="1"/>
  <c r="D7584" i="1" s="1"/>
  <c r="X7584" i="1" s="1"/>
  <c r="C7583" i="1"/>
  <c r="V7582" i="1"/>
  <c r="C7582" i="1"/>
  <c r="D7582" i="1" s="1"/>
  <c r="X7582" i="1" s="1"/>
  <c r="C7581" i="1"/>
  <c r="C7580" i="1"/>
  <c r="C7579" i="1"/>
  <c r="C7578" i="1"/>
  <c r="C7577" i="1"/>
  <c r="C7576" i="1"/>
  <c r="D7576" i="1" s="1"/>
  <c r="X7576" i="1" s="1"/>
  <c r="C7575" i="1"/>
  <c r="V7574" i="1"/>
  <c r="C7574" i="1"/>
  <c r="D7574" i="1" s="1"/>
  <c r="X7574" i="1" s="1"/>
  <c r="C7573" i="1"/>
  <c r="C7572" i="1"/>
  <c r="C7571" i="1"/>
  <c r="C7570" i="1"/>
  <c r="C7569" i="1"/>
  <c r="C7568" i="1"/>
  <c r="D7568" i="1" s="1"/>
  <c r="X7568" i="1" s="1"/>
  <c r="C7567" i="1"/>
  <c r="V7566" i="1"/>
  <c r="C7566" i="1"/>
  <c r="D7566" i="1" s="1"/>
  <c r="X7566" i="1" s="1"/>
  <c r="C7565" i="1"/>
  <c r="C7564" i="1"/>
  <c r="C7563" i="1"/>
  <c r="C7562" i="1"/>
  <c r="C7561" i="1"/>
  <c r="C7560" i="1"/>
  <c r="D7560" i="1" s="1"/>
  <c r="X7560" i="1" s="1"/>
  <c r="C7559" i="1"/>
  <c r="C7558" i="1"/>
  <c r="D7558" i="1" s="1"/>
  <c r="X7558" i="1" s="1"/>
  <c r="C7557" i="1"/>
  <c r="C7556" i="1"/>
  <c r="C7555" i="1"/>
  <c r="C7554" i="1"/>
  <c r="C7553" i="1"/>
  <c r="C7552" i="1"/>
  <c r="D7552" i="1" s="1"/>
  <c r="X7552" i="1" s="1"/>
  <c r="C7551" i="1"/>
  <c r="V7550" i="1"/>
  <c r="C7550" i="1"/>
  <c r="D7550" i="1" s="1"/>
  <c r="X7550" i="1" s="1"/>
  <c r="C7549" i="1"/>
  <c r="C7548" i="1"/>
  <c r="C7547" i="1"/>
  <c r="C7546" i="1"/>
  <c r="C7545" i="1"/>
  <c r="C7544" i="1"/>
  <c r="D7544" i="1" s="1"/>
  <c r="X7544" i="1" s="1"/>
  <c r="C7543" i="1"/>
  <c r="V7542" i="1"/>
  <c r="C7542" i="1"/>
  <c r="D7542" i="1" s="1"/>
  <c r="X7542" i="1" s="1"/>
  <c r="C7541" i="1"/>
  <c r="C7540" i="1"/>
  <c r="C7539" i="1"/>
  <c r="C7538" i="1"/>
  <c r="C7537" i="1"/>
  <c r="C7536" i="1"/>
  <c r="D7536" i="1" s="1"/>
  <c r="X7536" i="1" s="1"/>
  <c r="C7535" i="1"/>
  <c r="V7534" i="1"/>
  <c r="C7534" i="1"/>
  <c r="D7534" i="1" s="1"/>
  <c r="X7534" i="1" s="1"/>
  <c r="C7533" i="1"/>
  <c r="C7532" i="1"/>
  <c r="C7531" i="1"/>
  <c r="C7530" i="1"/>
  <c r="C7529" i="1"/>
  <c r="C7528" i="1"/>
  <c r="D7528" i="1" s="1"/>
  <c r="X7528" i="1" s="1"/>
  <c r="C7527" i="1"/>
  <c r="C7526" i="1"/>
  <c r="D7526" i="1" s="1"/>
  <c r="X7526" i="1" s="1"/>
  <c r="C7525" i="1"/>
  <c r="C7524" i="1"/>
  <c r="C7523" i="1"/>
  <c r="C7522" i="1"/>
  <c r="C7521" i="1"/>
  <c r="C7520" i="1"/>
  <c r="D7520" i="1" s="1"/>
  <c r="X7520" i="1" s="1"/>
  <c r="C7519" i="1"/>
  <c r="V7518" i="1"/>
  <c r="C7518" i="1"/>
  <c r="D7518" i="1" s="1"/>
  <c r="X7518" i="1" s="1"/>
  <c r="C7517" i="1"/>
  <c r="C7516" i="1"/>
  <c r="C7515" i="1"/>
  <c r="C7514" i="1"/>
  <c r="C7513" i="1"/>
  <c r="C7512" i="1"/>
  <c r="D7512" i="1" s="1"/>
  <c r="X7512" i="1" s="1"/>
  <c r="C7511" i="1"/>
  <c r="V7510" i="1"/>
  <c r="C7510" i="1"/>
  <c r="D7510" i="1" s="1"/>
  <c r="X7510" i="1" s="1"/>
  <c r="C7509" i="1"/>
  <c r="C7508" i="1"/>
  <c r="C7507" i="1"/>
  <c r="C7506" i="1"/>
  <c r="C7505" i="1"/>
  <c r="C7504" i="1"/>
  <c r="D7504" i="1" s="1"/>
  <c r="X7504" i="1" s="1"/>
  <c r="C7503" i="1"/>
  <c r="V7502" i="1"/>
  <c r="C7502" i="1"/>
  <c r="D7502" i="1" s="1"/>
  <c r="X7502" i="1" s="1"/>
  <c r="C7501" i="1"/>
  <c r="C7500" i="1"/>
  <c r="C7499" i="1"/>
  <c r="C7498" i="1"/>
  <c r="C7497" i="1"/>
  <c r="C7496" i="1"/>
  <c r="D7496" i="1" s="1"/>
  <c r="X7496" i="1" s="1"/>
  <c r="C7495" i="1"/>
  <c r="C7494" i="1"/>
  <c r="D7494" i="1" s="1"/>
  <c r="X7494" i="1" s="1"/>
  <c r="C7493" i="1"/>
  <c r="C7492" i="1"/>
  <c r="D7492" i="1" s="1"/>
  <c r="X7492" i="1" s="1"/>
  <c r="C7491" i="1"/>
  <c r="V7490" i="1"/>
  <c r="C7490" i="1"/>
  <c r="D7490" i="1" s="1"/>
  <c r="X7490" i="1" s="1"/>
  <c r="C7489" i="1"/>
  <c r="C7488" i="1"/>
  <c r="D7488" i="1" s="1"/>
  <c r="X7488" i="1" s="1"/>
  <c r="C7487" i="1"/>
  <c r="V7486" i="1"/>
  <c r="C7486" i="1"/>
  <c r="D7486" i="1" s="1"/>
  <c r="X7486" i="1" s="1"/>
  <c r="C7485" i="1"/>
  <c r="C7484" i="1"/>
  <c r="D7484" i="1" s="1"/>
  <c r="X7484" i="1" s="1"/>
  <c r="C7483" i="1"/>
  <c r="V7482" i="1"/>
  <c r="C7482" i="1"/>
  <c r="D7482" i="1" s="1"/>
  <c r="X7482" i="1" s="1"/>
  <c r="C7481" i="1"/>
  <c r="C7480" i="1"/>
  <c r="D7480" i="1" s="1"/>
  <c r="X7480" i="1" s="1"/>
  <c r="C7479" i="1"/>
  <c r="C7478" i="1"/>
  <c r="D7478" i="1" s="1"/>
  <c r="X7478" i="1" s="1"/>
  <c r="C7477" i="1"/>
  <c r="C7476" i="1"/>
  <c r="D7476" i="1" s="1"/>
  <c r="X7476" i="1" s="1"/>
  <c r="C7475" i="1"/>
  <c r="V7474" i="1"/>
  <c r="C7474" i="1"/>
  <c r="D7474" i="1" s="1"/>
  <c r="X7474" i="1" s="1"/>
  <c r="C7473" i="1"/>
  <c r="C7472" i="1"/>
  <c r="D7472" i="1" s="1"/>
  <c r="X7472" i="1" s="1"/>
  <c r="C7471" i="1"/>
  <c r="V7470" i="1"/>
  <c r="C7470" i="1"/>
  <c r="D7470" i="1" s="1"/>
  <c r="X7470" i="1" s="1"/>
  <c r="C7469" i="1"/>
  <c r="C7468" i="1"/>
  <c r="D7468" i="1" s="1"/>
  <c r="X7468" i="1" s="1"/>
  <c r="C7467" i="1"/>
  <c r="V7466" i="1"/>
  <c r="C7466" i="1"/>
  <c r="D7466" i="1" s="1"/>
  <c r="X7466" i="1" s="1"/>
  <c r="C7465" i="1"/>
  <c r="C7464" i="1"/>
  <c r="D7464" i="1" s="1"/>
  <c r="X7464" i="1" s="1"/>
  <c r="C7463" i="1"/>
  <c r="C7462" i="1"/>
  <c r="D7462" i="1" s="1"/>
  <c r="X7462" i="1" s="1"/>
  <c r="C7461" i="1"/>
  <c r="C7460" i="1"/>
  <c r="D7460" i="1" s="1"/>
  <c r="X7460" i="1" s="1"/>
  <c r="C7459" i="1"/>
  <c r="V7458" i="1"/>
  <c r="C7458" i="1"/>
  <c r="D7458" i="1" s="1"/>
  <c r="X7458" i="1" s="1"/>
  <c r="C7457" i="1"/>
  <c r="C7456" i="1"/>
  <c r="D7456" i="1" s="1"/>
  <c r="X7456" i="1" s="1"/>
  <c r="C7455" i="1"/>
  <c r="V7454" i="1"/>
  <c r="C7454" i="1"/>
  <c r="D7454" i="1" s="1"/>
  <c r="X7454" i="1" s="1"/>
  <c r="C7453" i="1"/>
  <c r="C7452" i="1"/>
  <c r="D7452" i="1" s="1"/>
  <c r="X7452" i="1" s="1"/>
  <c r="C7451" i="1"/>
  <c r="C7450" i="1"/>
  <c r="D7450" i="1" s="1"/>
  <c r="X7450" i="1" s="1"/>
  <c r="C7449" i="1"/>
  <c r="C7448" i="1"/>
  <c r="D7448" i="1" s="1"/>
  <c r="X7448" i="1" s="1"/>
  <c r="C7447" i="1"/>
  <c r="C7446" i="1"/>
  <c r="D7446" i="1" s="1"/>
  <c r="X7446" i="1" s="1"/>
  <c r="C7445" i="1"/>
  <c r="C7444" i="1"/>
  <c r="D7444" i="1" s="1"/>
  <c r="X7444" i="1" s="1"/>
  <c r="C7443" i="1"/>
  <c r="V7442" i="1"/>
  <c r="C7442" i="1"/>
  <c r="D7442" i="1" s="1"/>
  <c r="X7442" i="1" s="1"/>
  <c r="C7441" i="1"/>
  <c r="C7440" i="1"/>
  <c r="D7440" i="1" s="1"/>
  <c r="X7440" i="1" s="1"/>
  <c r="C7439" i="1"/>
  <c r="V7438" i="1"/>
  <c r="C7438" i="1"/>
  <c r="D7438" i="1" s="1"/>
  <c r="X7438" i="1" s="1"/>
  <c r="C7437" i="1"/>
  <c r="C7436" i="1"/>
  <c r="D7436" i="1" s="1"/>
  <c r="X7436" i="1" s="1"/>
  <c r="C7435" i="1"/>
  <c r="C7434" i="1"/>
  <c r="D7434" i="1" s="1"/>
  <c r="X7434" i="1" s="1"/>
  <c r="C7433" i="1"/>
  <c r="V7432" i="1"/>
  <c r="C7432" i="1"/>
  <c r="D7432" i="1" s="1"/>
  <c r="X7432" i="1" s="1"/>
  <c r="C7431" i="1"/>
  <c r="V7430" i="1"/>
  <c r="C7430" i="1"/>
  <c r="D7430" i="1" s="1"/>
  <c r="X7430" i="1" s="1"/>
  <c r="C7429" i="1"/>
  <c r="C7428" i="1"/>
  <c r="D7428" i="1" s="1"/>
  <c r="X7428" i="1" s="1"/>
  <c r="C7427" i="1"/>
  <c r="V7426" i="1"/>
  <c r="C7426" i="1"/>
  <c r="D7426" i="1" s="1"/>
  <c r="X7426" i="1" s="1"/>
  <c r="C7425" i="1"/>
  <c r="C7424" i="1"/>
  <c r="D7424" i="1" s="1"/>
  <c r="X7424" i="1" s="1"/>
  <c r="C7423" i="1"/>
  <c r="C7422" i="1"/>
  <c r="D7422" i="1" s="1"/>
  <c r="X7422" i="1" s="1"/>
  <c r="C7421" i="1"/>
  <c r="C7420" i="1"/>
  <c r="D7420" i="1" s="1"/>
  <c r="X7420" i="1" s="1"/>
  <c r="C7419" i="1"/>
  <c r="C7418" i="1"/>
  <c r="D7418" i="1" s="1"/>
  <c r="X7418" i="1" s="1"/>
  <c r="C7417" i="1"/>
  <c r="C7416" i="1"/>
  <c r="D7416" i="1" s="1"/>
  <c r="X7416" i="1" s="1"/>
  <c r="C7415" i="1"/>
  <c r="V7414" i="1"/>
  <c r="C7414" i="1"/>
  <c r="D7414" i="1" s="1"/>
  <c r="X7414" i="1" s="1"/>
  <c r="C7413" i="1"/>
  <c r="C7412" i="1"/>
  <c r="D7412" i="1" s="1"/>
  <c r="X7412" i="1" s="1"/>
  <c r="C7411" i="1"/>
  <c r="C7410" i="1"/>
  <c r="D7410" i="1" s="1"/>
  <c r="X7410" i="1" s="1"/>
  <c r="C7409" i="1"/>
  <c r="C7408" i="1"/>
  <c r="D7408" i="1" s="1"/>
  <c r="X7408" i="1" s="1"/>
  <c r="C7407" i="1"/>
  <c r="V7406" i="1"/>
  <c r="C7406" i="1"/>
  <c r="D7406" i="1" s="1"/>
  <c r="X7406" i="1" s="1"/>
  <c r="C7405" i="1"/>
  <c r="C7404" i="1"/>
  <c r="D7404" i="1" s="1"/>
  <c r="X7404" i="1" s="1"/>
  <c r="C7403" i="1"/>
  <c r="C7402" i="1"/>
  <c r="D7402" i="1" s="1"/>
  <c r="X7402" i="1" s="1"/>
  <c r="C7401" i="1"/>
  <c r="V7400" i="1"/>
  <c r="C7400" i="1"/>
  <c r="D7400" i="1" s="1"/>
  <c r="X7400" i="1" s="1"/>
  <c r="C7399" i="1"/>
  <c r="V7398" i="1"/>
  <c r="C7398" i="1"/>
  <c r="D7398" i="1" s="1"/>
  <c r="X7398" i="1" s="1"/>
  <c r="C7397" i="1"/>
  <c r="C7396" i="1"/>
  <c r="D7396" i="1" s="1"/>
  <c r="X7396" i="1" s="1"/>
  <c r="C7395" i="1"/>
  <c r="V7394" i="1"/>
  <c r="C7394" i="1"/>
  <c r="D7394" i="1" s="1"/>
  <c r="X7394" i="1" s="1"/>
  <c r="C7393" i="1"/>
  <c r="C7392" i="1"/>
  <c r="D7392" i="1" s="1"/>
  <c r="X7392" i="1" s="1"/>
  <c r="C7391" i="1"/>
  <c r="C7390" i="1"/>
  <c r="D7390" i="1" s="1"/>
  <c r="X7390" i="1" s="1"/>
  <c r="C7389" i="1"/>
  <c r="C7388" i="1"/>
  <c r="D7388" i="1" s="1"/>
  <c r="X7388" i="1" s="1"/>
  <c r="C7387" i="1"/>
  <c r="C7386" i="1"/>
  <c r="D7386" i="1" s="1"/>
  <c r="X7386" i="1" s="1"/>
  <c r="C7385" i="1"/>
  <c r="C7384" i="1"/>
  <c r="D7384" i="1" s="1"/>
  <c r="X7384" i="1" s="1"/>
  <c r="C7383" i="1"/>
  <c r="V7382" i="1"/>
  <c r="C7382" i="1"/>
  <c r="D7382" i="1" s="1"/>
  <c r="X7382" i="1" s="1"/>
  <c r="C7381" i="1"/>
  <c r="C7380" i="1"/>
  <c r="D7380" i="1" s="1"/>
  <c r="X7380" i="1" s="1"/>
  <c r="C7379" i="1"/>
  <c r="C7378" i="1"/>
  <c r="D7378" i="1" s="1"/>
  <c r="X7378" i="1" s="1"/>
  <c r="C7377" i="1"/>
  <c r="C7376" i="1"/>
  <c r="D7376" i="1" s="1"/>
  <c r="X7376" i="1" s="1"/>
  <c r="C7375" i="1"/>
  <c r="V7374" i="1"/>
  <c r="C7374" i="1"/>
  <c r="D7374" i="1" s="1"/>
  <c r="X7374" i="1" s="1"/>
  <c r="C7373" i="1"/>
  <c r="C7372" i="1"/>
  <c r="D7372" i="1" s="1"/>
  <c r="X7372" i="1" s="1"/>
  <c r="C7371" i="1"/>
  <c r="C7370" i="1"/>
  <c r="D7370" i="1" s="1"/>
  <c r="X7370" i="1" s="1"/>
  <c r="C7369" i="1"/>
  <c r="V7368" i="1"/>
  <c r="C7368" i="1"/>
  <c r="D7368" i="1" s="1"/>
  <c r="X7368" i="1" s="1"/>
  <c r="C7367" i="1"/>
  <c r="V7366" i="1"/>
  <c r="C7366" i="1"/>
  <c r="D7366" i="1" s="1"/>
  <c r="X7366" i="1" s="1"/>
  <c r="C7365" i="1"/>
  <c r="C7364" i="1"/>
  <c r="D7364" i="1" s="1"/>
  <c r="X7364" i="1" s="1"/>
  <c r="C7363" i="1"/>
  <c r="V7362" i="1"/>
  <c r="C7362" i="1"/>
  <c r="D7362" i="1" s="1"/>
  <c r="X7362" i="1" s="1"/>
  <c r="C7361" i="1"/>
  <c r="C7360" i="1"/>
  <c r="D7360" i="1" s="1"/>
  <c r="X7360" i="1" s="1"/>
  <c r="C7359" i="1"/>
  <c r="C7358" i="1"/>
  <c r="D7358" i="1" s="1"/>
  <c r="X7358" i="1" s="1"/>
  <c r="C7357" i="1"/>
  <c r="C7356" i="1"/>
  <c r="D7356" i="1" s="1"/>
  <c r="X7356" i="1" s="1"/>
  <c r="C7355" i="1"/>
  <c r="C7354" i="1"/>
  <c r="D7354" i="1" s="1"/>
  <c r="X7354" i="1" s="1"/>
  <c r="C7353" i="1"/>
  <c r="C7352" i="1"/>
  <c r="D7352" i="1" s="1"/>
  <c r="X7352" i="1" s="1"/>
  <c r="C7351" i="1"/>
  <c r="V7350" i="1"/>
  <c r="C7350" i="1"/>
  <c r="D7350" i="1" s="1"/>
  <c r="X7350" i="1" s="1"/>
  <c r="C7349" i="1"/>
  <c r="C7348" i="1"/>
  <c r="D7348" i="1" s="1"/>
  <c r="X7348" i="1" s="1"/>
  <c r="C7347" i="1"/>
  <c r="C7346" i="1"/>
  <c r="D7346" i="1" s="1"/>
  <c r="X7346" i="1" s="1"/>
  <c r="C7345" i="1"/>
  <c r="C7344" i="1"/>
  <c r="D7344" i="1" s="1"/>
  <c r="X7344" i="1" s="1"/>
  <c r="C7343" i="1"/>
  <c r="V7342" i="1"/>
  <c r="C7342" i="1"/>
  <c r="D7342" i="1" s="1"/>
  <c r="X7342" i="1" s="1"/>
  <c r="C7341" i="1"/>
  <c r="C7340" i="1"/>
  <c r="D7340" i="1" s="1"/>
  <c r="X7340" i="1" s="1"/>
  <c r="C7339" i="1"/>
  <c r="C7338" i="1"/>
  <c r="D7338" i="1" s="1"/>
  <c r="X7338" i="1" s="1"/>
  <c r="C7337" i="1"/>
  <c r="V7336" i="1"/>
  <c r="C7336" i="1"/>
  <c r="D7336" i="1" s="1"/>
  <c r="X7336" i="1" s="1"/>
  <c r="C7335" i="1"/>
  <c r="V7334" i="1"/>
  <c r="C7334" i="1"/>
  <c r="D7334" i="1" s="1"/>
  <c r="X7334" i="1" s="1"/>
  <c r="C7333" i="1"/>
  <c r="C7332" i="1"/>
  <c r="D7332" i="1" s="1"/>
  <c r="X7332" i="1" s="1"/>
  <c r="C7331" i="1"/>
  <c r="V7330" i="1"/>
  <c r="C7330" i="1"/>
  <c r="D7330" i="1" s="1"/>
  <c r="X7330" i="1" s="1"/>
  <c r="C7329" i="1"/>
  <c r="C7328" i="1"/>
  <c r="D7328" i="1" s="1"/>
  <c r="X7328" i="1" s="1"/>
  <c r="C7327" i="1"/>
  <c r="C7326" i="1"/>
  <c r="D7326" i="1" s="1"/>
  <c r="X7326" i="1" s="1"/>
  <c r="C7325" i="1"/>
  <c r="C7324" i="1"/>
  <c r="D7324" i="1" s="1"/>
  <c r="X7324" i="1" s="1"/>
  <c r="C7323" i="1"/>
  <c r="C7322" i="1"/>
  <c r="D7322" i="1" s="1"/>
  <c r="X7322" i="1" s="1"/>
  <c r="C7321" i="1"/>
  <c r="C7320" i="1"/>
  <c r="D7320" i="1" s="1"/>
  <c r="X7320" i="1" s="1"/>
  <c r="C7319" i="1"/>
  <c r="V7318" i="1"/>
  <c r="C7318" i="1"/>
  <c r="D7318" i="1" s="1"/>
  <c r="X7318" i="1" s="1"/>
  <c r="C7317" i="1"/>
  <c r="C7316" i="1"/>
  <c r="D7316" i="1" s="1"/>
  <c r="X7316" i="1" s="1"/>
  <c r="C7315" i="1"/>
  <c r="C7314" i="1"/>
  <c r="D7314" i="1" s="1"/>
  <c r="X7314" i="1" s="1"/>
  <c r="C7313" i="1"/>
  <c r="C7312" i="1"/>
  <c r="D7312" i="1" s="1"/>
  <c r="X7312" i="1" s="1"/>
  <c r="C7311" i="1"/>
  <c r="V7310" i="1"/>
  <c r="C7310" i="1"/>
  <c r="D7310" i="1" s="1"/>
  <c r="X7310" i="1" s="1"/>
  <c r="C7309" i="1"/>
  <c r="C7308" i="1"/>
  <c r="D7308" i="1" s="1"/>
  <c r="X7308" i="1" s="1"/>
  <c r="C7307" i="1"/>
  <c r="C7306" i="1"/>
  <c r="D7306" i="1" s="1"/>
  <c r="X7306" i="1" s="1"/>
  <c r="C7305" i="1"/>
  <c r="V7304" i="1"/>
  <c r="C7304" i="1"/>
  <c r="D7304" i="1" s="1"/>
  <c r="X7304" i="1" s="1"/>
  <c r="C7303" i="1"/>
  <c r="V7302" i="1"/>
  <c r="C7302" i="1"/>
  <c r="D7302" i="1" s="1"/>
  <c r="X7302" i="1" s="1"/>
  <c r="C7301" i="1"/>
  <c r="C7300" i="1"/>
  <c r="D7300" i="1" s="1"/>
  <c r="X7300" i="1" s="1"/>
  <c r="C7299" i="1"/>
  <c r="V7298" i="1"/>
  <c r="C7298" i="1"/>
  <c r="D7298" i="1" s="1"/>
  <c r="X7298" i="1" s="1"/>
  <c r="C7297" i="1"/>
  <c r="C7296" i="1"/>
  <c r="D7296" i="1" s="1"/>
  <c r="X7296" i="1" s="1"/>
  <c r="C7295" i="1"/>
  <c r="C7294" i="1"/>
  <c r="D7294" i="1" s="1"/>
  <c r="X7294" i="1" s="1"/>
  <c r="C7293" i="1"/>
  <c r="C7292" i="1"/>
  <c r="D7292" i="1" s="1"/>
  <c r="X7292" i="1" s="1"/>
  <c r="C7291" i="1"/>
  <c r="C7290" i="1"/>
  <c r="D7290" i="1" s="1"/>
  <c r="X7290" i="1" s="1"/>
  <c r="C7289" i="1"/>
  <c r="C7288" i="1"/>
  <c r="D7288" i="1" s="1"/>
  <c r="X7288" i="1" s="1"/>
  <c r="C7287" i="1"/>
  <c r="V7286" i="1"/>
  <c r="C7286" i="1"/>
  <c r="D7286" i="1" s="1"/>
  <c r="X7286" i="1" s="1"/>
  <c r="C7285" i="1"/>
  <c r="C7284" i="1"/>
  <c r="D7284" i="1" s="1"/>
  <c r="X7284" i="1" s="1"/>
  <c r="C7283" i="1"/>
  <c r="C7282" i="1"/>
  <c r="D7282" i="1" s="1"/>
  <c r="X7282" i="1" s="1"/>
  <c r="C7281" i="1"/>
  <c r="C7280" i="1"/>
  <c r="D7280" i="1" s="1"/>
  <c r="X7280" i="1" s="1"/>
  <c r="C7279" i="1"/>
  <c r="V7278" i="1"/>
  <c r="C7278" i="1"/>
  <c r="D7278" i="1" s="1"/>
  <c r="X7278" i="1" s="1"/>
  <c r="C7277" i="1"/>
  <c r="C7276" i="1"/>
  <c r="D7276" i="1" s="1"/>
  <c r="X7276" i="1" s="1"/>
  <c r="C7275" i="1"/>
  <c r="C7274" i="1"/>
  <c r="D7274" i="1" s="1"/>
  <c r="X7274" i="1" s="1"/>
  <c r="C7273" i="1"/>
  <c r="V7272" i="1"/>
  <c r="C7272" i="1"/>
  <c r="D7272" i="1" s="1"/>
  <c r="X7272" i="1" s="1"/>
  <c r="C7271" i="1"/>
  <c r="V7270" i="1"/>
  <c r="C7270" i="1"/>
  <c r="D7270" i="1" s="1"/>
  <c r="X7270" i="1" s="1"/>
  <c r="C7269" i="1"/>
  <c r="C7268" i="1"/>
  <c r="D7268" i="1" s="1"/>
  <c r="X7268" i="1" s="1"/>
  <c r="C7267" i="1"/>
  <c r="V7266" i="1"/>
  <c r="C7266" i="1"/>
  <c r="D7266" i="1" s="1"/>
  <c r="X7266" i="1" s="1"/>
  <c r="C7265" i="1"/>
  <c r="C7264" i="1"/>
  <c r="D7264" i="1" s="1"/>
  <c r="X7264" i="1" s="1"/>
  <c r="C7263" i="1"/>
  <c r="C7262" i="1"/>
  <c r="D7262" i="1" s="1"/>
  <c r="X7262" i="1" s="1"/>
  <c r="C7261" i="1"/>
  <c r="C7260" i="1"/>
  <c r="D7260" i="1" s="1"/>
  <c r="X7260" i="1" s="1"/>
  <c r="C7259" i="1"/>
  <c r="C7258" i="1"/>
  <c r="D7258" i="1" s="1"/>
  <c r="X7258" i="1" s="1"/>
  <c r="C7257" i="1"/>
  <c r="C7256" i="1"/>
  <c r="D7256" i="1" s="1"/>
  <c r="X7256" i="1" s="1"/>
  <c r="C7255" i="1"/>
  <c r="V7254" i="1"/>
  <c r="C7254" i="1"/>
  <c r="D7254" i="1" s="1"/>
  <c r="X7254" i="1" s="1"/>
  <c r="C7253" i="1"/>
  <c r="C7252" i="1"/>
  <c r="D7252" i="1" s="1"/>
  <c r="X7252" i="1" s="1"/>
  <c r="C7251" i="1"/>
  <c r="C7250" i="1"/>
  <c r="D7250" i="1" s="1"/>
  <c r="X7250" i="1" s="1"/>
  <c r="C7249" i="1"/>
  <c r="C7248" i="1"/>
  <c r="D7248" i="1" s="1"/>
  <c r="X7248" i="1" s="1"/>
  <c r="C7247" i="1"/>
  <c r="V7246" i="1"/>
  <c r="C7246" i="1"/>
  <c r="D7246" i="1" s="1"/>
  <c r="X7246" i="1" s="1"/>
  <c r="C7245" i="1"/>
  <c r="C7244" i="1"/>
  <c r="D7244" i="1" s="1"/>
  <c r="X7244" i="1" s="1"/>
  <c r="C7243" i="1"/>
  <c r="C7242" i="1"/>
  <c r="D7242" i="1" s="1"/>
  <c r="X7242" i="1" s="1"/>
  <c r="C7241" i="1"/>
  <c r="V7240" i="1"/>
  <c r="C7240" i="1"/>
  <c r="D7240" i="1" s="1"/>
  <c r="X7240" i="1" s="1"/>
  <c r="C7239" i="1"/>
  <c r="V7238" i="1"/>
  <c r="C7238" i="1"/>
  <c r="D7238" i="1" s="1"/>
  <c r="X7238" i="1" s="1"/>
  <c r="C7237" i="1"/>
  <c r="C7236" i="1"/>
  <c r="D7236" i="1" s="1"/>
  <c r="X7236" i="1" s="1"/>
  <c r="C7235" i="1"/>
  <c r="V7234" i="1"/>
  <c r="C7234" i="1"/>
  <c r="D7234" i="1" s="1"/>
  <c r="X7234" i="1" s="1"/>
  <c r="C7233" i="1"/>
  <c r="C7232" i="1"/>
  <c r="D7232" i="1" s="1"/>
  <c r="X7232" i="1" s="1"/>
  <c r="C7231" i="1"/>
  <c r="C7230" i="1"/>
  <c r="D7230" i="1" s="1"/>
  <c r="X7230" i="1" s="1"/>
  <c r="C7229" i="1"/>
  <c r="C7228" i="1"/>
  <c r="D7228" i="1" s="1"/>
  <c r="X7228" i="1" s="1"/>
  <c r="C7227" i="1"/>
  <c r="C7226" i="1"/>
  <c r="D7226" i="1" s="1"/>
  <c r="X7226" i="1" s="1"/>
  <c r="C7225" i="1"/>
  <c r="C7224" i="1"/>
  <c r="D7224" i="1" s="1"/>
  <c r="X7224" i="1" s="1"/>
  <c r="C7223" i="1"/>
  <c r="V7222" i="1"/>
  <c r="C7222" i="1"/>
  <c r="D7222" i="1" s="1"/>
  <c r="X7222" i="1" s="1"/>
  <c r="C7221" i="1"/>
  <c r="C7220" i="1"/>
  <c r="D7220" i="1" s="1"/>
  <c r="X7220" i="1" s="1"/>
  <c r="C7219" i="1"/>
  <c r="C7218" i="1"/>
  <c r="D7218" i="1" s="1"/>
  <c r="X7218" i="1" s="1"/>
  <c r="C7217" i="1"/>
  <c r="C7216" i="1"/>
  <c r="D7216" i="1" s="1"/>
  <c r="X7216" i="1" s="1"/>
  <c r="C7215" i="1"/>
  <c r="V7214" i="1"/>
  <c r="C7214" i="1"/>
  <c r="D7214" i="1" s="1"/>
  <c r="X7214" i="1" s="1"/>
  <c r="C7213" i="1"/>
  <c r="C7212" i="1"/>
  <c r="D7212" i="1" s="1"/>
  <c r="X7212" i="1" s="1"/>
  <c r="C7211" i="1"/>
  <c r="C7210" i="1"/>
  <c r="D7210" i="1" s="1"/>
  <c r="X7210" i="1" s="1"/>
  <c r="C7209" i="1"/>
  <c r="V7208" i="1"/>
  <c r="C7208" i="1"/>
  <c r="D7208" i="1" s="1"/>
  <c r="X7208" i="1" s="1"/>
  <c r="C7207" i="1"/>
  <c r="V7206" i="1"/>
  <c r="C7206" i="1"/>
  <c r="D7206" i="1" s="1"/>
  <c r="X7206" i="1" s="1"/>
  <c r="C7205" i="1"/>
  <c r="C7204" i="1"/>
  <c r="D7204" i="1" s="1"/>
  <c r="X7204" i="1" s="1"/>
  <c r="C7203" i="1"/>
  <c r="V7202" i="1"/>
  <c r="C7202" i="1"/>
  <c r="D7202" i="1" s="1"/>
  <c r="X7202" i="1" s="1"/>
  <c r="C7201" i="1"/>
  <c r="C7200" i="1"/>
  <c r="D7200" i="1" s="1"/>
  <c r="X7200" i="1" s="1"/>
  <c r="C7199" i="1"/>
  <c r="C7198" i="1"/>
  <c r="D7198" i="1" s="1"/>
  <c r="X7198" i="1" s="1"/>
  <c r="C7197" i="1"/>
  <c r="C7196" i="1"/>
  <c r="D7196" i="1" s="1"/>
  <c r="X7196" i="1" s="1"/>
  <c r="C7195" i="1"/>
  <c r="C7194" i="1"/>
  <c r="D7194" i="1" s="1"/>
  <c r="X7194" i="1" s="1"/>
  <c r="C7193" i="1"/>
  <c r="C7192" i="1"/>
  <c r="D7192" i="1" s="1"/>
  <c r="X7192" i="1" s="1"/>
  <c r="C7191" i="1"/>
  <c r="V7190" i="1"/>
  <c r="C7190" i="1"/>
  <c r="D7190" i="1" s="1"/>
  <c r="X7190" i="1" s="1"/>
  <c r="C7189" i="1"/>
  <c r="C7188" i="1"/>
  <c r="D7188" i="1" s="1"/>
  <c r="X7188" i="1" s="1"/>
  <c r="C7187" i="1"/>
  <c r="C7186" i="1"/>
  <c r="D7186" i="1" s="1"/>
  <c r="X7186" i="1" s="1"/>
  <c r="C7185" i="1"/>
  <c r="C7184" i="1"/>
  <c r="D7184" i="1" s="1"/>
  <c r="X7184" i="1" s="1"/>
  <c r="C7183" i="1"/>
  <c r="V7182" i="1"/>
  <c r="C7182" i="1"/>
  <c r="D7182" i="1" s="1"/>
  <c r="X7182" i="1" s="1"/>
  <c r="C7181" i="1"/>
  <c r="C7180" i="1"/>
  <c r="D7180" i="1" s="1"/>
  <c r="X7180" i="1" s="1"/>
  <c r="C7179" i="1"/>
  <c r="C7178" i="1"/>
  <c r="D7178" i="1" s="1"/>
  <c r="X7178" i="1" s="1"/>
  <c r="C7177" i="1"/>
  <c r="V7176" i="1"/>
  <c r="C7176" i="1"/>
  <c r="D7176" i="1" s="1"/>
  <c r="X7176" i="1" s="1"/>
  <c r="C7175" i="1"/>
  <c r="V7174" i="1"/>
  <c r="C7174" i="1"/>
  <c r="D7174" i="1" s="1"/>
  <c r="X7174" i="1" s="1"/>
  <c r="C7173" i="1"/>
  <c r="C7172" i="1"/>
  <c r="D7172" i="1" s="1"/>
  <c r="X7172" i="1" s="1"/>
  <c r="C7171" i="1"/>
  <c r="V7170" i="1"/>
  <c r="C7170" i="1"/>
  <c r="D7170" i="1" s="1"/>
  <c r="X7170" i="1" s="1"/>
  <c r="C7169" i="1"/>
  <c r="C7168" i="1"/>
  <c r="D7168" i="1" s="1"/>
  <c r="X7168" i="1" s="1"/>
  <c r="C7167" i="1"/>
  <c r="C7166" i="1"/>
  <c r="D7166" i="1" s="1"/>
  <c r="X7166" i="1" s="1"/>
  <c r="C7165" i="1"/>
  <c r="C7164" i="1"/>
  <c r="D7164" i="1" s="1"/>
  <c r="X7164" i="1" s="1"/>
  <c r="C7163" i="1"/>
  <c r="C7162" i="1"/>
  <c r="D7162" i="1" s="1"/>
  <c r="X7162" i="1" s="1"/>
  <c r="C7161" i="1"/>
  <c r="C7160" i="1"/>
  <c r="D7160" i="1" s="1"/>
  <c r="X7160" i="1" s="1"/>
  <c r="C7159" i="1"/>
  <c r="V7158" i="1"/>
  <c r="C7158" i="1"/>
  <c r="D7158" i="1" s="1"/>
  <c r="X7158" i="1" s="1"/>
  <c r="C7157" i="1"/>
  <c r="C7156" i="1"/>
  <c r="D7156" i="1" s="1"/>
  <c r="X7156" i="1" s="1"/>
  <c r="C7155" i="1"/>
  <c r="C7154" i="1"/>
  <c r="D7154" i="1" s="1"/>
  <c r="X7154" i="1" s="1"/>
  <c r="C7153" i="1"/>
  <c r="V7152" i="1"/>
  <c r="C7152" i="1"/>
  <c r="D7152" i="1" s="1"/>
  <c r="X7152" i="1" s="1"/>
  <c r="C7151" i="1"/>
  <c r="V7150" i="1"/>
  <c r="C7150" i="1"/>
  <c r="D7150" i="1" s="1"/>
  <c r="X7150" i="1" s="1"/>
  <c r="C7149" i="1"/>
  <c r="C7148" i="1"/>
  <c r="D7148" i="1" s="1"/>
  <c r="X7148" i="1" s="1"/>
  <c r="C7147" i="1"/>
  <c r="V7146" i="1"/>
  <c r="C7146" i="1"/>
  <c r="D7146" i="1" s="1"/>
  <c r="X7146" i="1" s="1"/>
  <c r="C7145" i="1"/>
  <c r="V7144" i="1"/>
  <c r="C7144" i="1"/>
  <c r="D7144" i="1" s="1"/>
  <c r="X7144" i="1" s="1"/>
  <c r="C7143" i="1"/>
  <c r="C7142" i="1"/>
  <c r="D7142" i="1" s="1"/>
  <c r="X7142" i="1" s="1"/>
  <c r="C7141" i="1"/>
  <c r="C7140" i="1"/>
  <c r="D7140" i="1" s="1"/>
  <c r="X7140" i="1" s="1"/>
  <c r="C7139" i="1"/>
  <c r="C7138" i="1"/>
  <c r="C7137" i="1"/>
  <c r="C7136" i="1"/>
  <c r="C7135" i="1"/>
  <c r="C7134" i="1"/>
  <c r="C7133" i="1"/>
  <c r="C7132" i="1"/>
  <c r="D7132" i="1" s="1"/>
  <c r="X7132" i="1" s="1"/>
  <c r="C7131" i="1"/>
  <c r="C7130" i="1"/>
  <c r="C7129" i="1"/>
  <c r="C7128" i="1"/>
  <c r="C7127" i="1"/>
  <c r="C7126" i="1"/>
  <c r="C7125" i="1"/>
  <c r="C7124" i="1"/>
  <c r="D7124" i="1" s="1"/>
  <c r="X7124" i="1" s="1"/>
  <c r="C7123" i="1"/>
  <c r="C7122" i="1"/>
  <c r="C7121" i="1"/>
  <c r="C7120" i="1"/>
  <c r="C7119" i="1"/>
  <c r="C7118" i="1"/>
  <c r="C7117" i="1"/>
  <c r="V7116" i="1"/>
  <c r="C7116" i="1"/>
  <c r="D7116" i="1" s="1"/>
  <c r="X7116" i="1" s="1"/>
  <c r="C7115" i="1"/>
  <c r="C7114" i="1"/>
  <c r="C7113" i="1"/>
  <c r="C7112" i="1"/>
  <c r="C7111" i="1"/>
  <c r="C7110" i="1"/>
  <c r="C7109" i="1"/>
  <c r="C7108" i="1"/>
  <c r="D7108" i="1" s="1"/>
  <c r="X7108" i="1" s="1"/>
  <c r="C7107" i="1"/>
  <c r="C7106" i="1"/>
  <c r="C7105" i="1"/>
  <c r="C7104" i="1"/>
  <c r="C7103" i="1"/>
  <c r="C7102" i="1"/>
  <c r="C7101" i="1"/>
  <c r="V7100" i="1"/>
  <c r="C7100" i="1"/>
  <c r="D7100" i="1" s="1"/>
  <c r="X7100" i="1" s="1"/>
  <c r="C7099" i="1"/>
  <c r="C7098" i="1"/>
  <c r="C7097" i="1"/>
  <c r="C7096" i="1"/>
  <c r="C7095" i="1"/>
  <c r="C7094" i="1"/>
  <c r="C7093" i="1"/>
  <c r="C7092" i="1"/>
  <c r="D7092" i="1" s="1"/>
  <c r="X7092" i="1" s="1"/>
  <c r="C7091" i="1"/>
  <c r="C7090" i="1"/>
  <c r="C7089" i="1"/>
  <c r="C7088" i="1"/>
  <c r="C7087" i="1"/>
  <c r="C7086" i="1"/>
  <c r="C7085" i="1"/>
  <c r="C7084" i="1"/>
  <c r="D7084" i="1" s="1"/>
  <c r="X7084" i="1" s="1"/>
  <c r="C7083" i="1"/>
  <c r="C7082" i="1"/>
  <c r="C7081" i="1"/>
  <c r="C7080" i="1"/>
  <c r="C7079" i="1"/>
  <c r="C7078" i="1"/>
  <c r="C7077" i="1"/>
  <c r="C7076" i="1"/>
  <c r="D7076" i="1" s="1"/>
  <c r="X7076" i="1" s="1"/>
  <c r="C7075" i="1"/>
  <c r="C7074" i="1"/>
  <c r="C7073" i="1"/>
  <c r="C7072" i="1"/>
  <c r="C7071" i="1"/>
  <c r="C7070" i="1"/>
  <c r="C7069" i="1"/>
  <c r="V7068" i="1"/>
  <c r="C7068" i="1"/>
  <c r="D7068" i="1" s="1"/>
  <c r="X7068" i="1" s="1"/>
  <c r="C7067" i="1"/>
  <c r="C7066" i="1"/>
  <c r="C7065" i="1"/>
  <c r="C7064" i="1"/>
  <c r="C7063" i="1"/>
  <c r="C7062" i="1"/>
  <c r="C7061" i="1"/>
  <c r="V7060" i="1"/>
  <c r="C7060" i="1"/>
  <c r="D7060" i="1" s="1"/>
  <c r="X7060" i="1" s="1"/>
  <c r="C7059" i="1"/>
  <c r="C7058" i="1"/>
  <c r="C7057" i="1"/>
  <c r="C7056" i="1"/>
  <c r="C7055" i="1"/>
  <c r="C7054" i="1"/>
  <c r="C7053" i="1"/>
  <c r="C7052" i="1"/>
  <c r="D7052" i="1" s="1"/>
  <c r="X7052" i="1" s="1"/>
  <c r="C7051" i="1"/>
  <c r="C7050" i="1"/>
  <c r="C7049" i="1"/>
  <c r="C7048" i="1"/>
  <c r="C7047" i="1"/>
  <c r="C7046" i="1"/>
  <c r="C7045" i="1"/>
  <c r="C7044" i="1"/>
  <c r="D7044" i="1" s="1"/>
  <c r="X7044" i="1" s="1"/>
  <c r="C7043" i="1"/>
  <c r="C7042" i="1"/>
  <c r="C7041" i="1"/>
  <c r="C7040" i="1"/>
  <c r="C7039" i="1"/>
  <c r="C7038" i="1"/>
  <c r="C7037" i="1"/>
  <c r="C7036" i="1"/>
  <c r="D7036" i="1" s="1"/>
  <c r="X7036" i="1" s="1"/>
  <c r="C7035" i="1"/>
  <c r="C7034" i="1"/>
  <c r="C7033" i="1"/>
  <c r="C7032" i="1"/>
  <c r="C7031" i="1"/>
  <c r="C7030" i="1"/>
  <c r="C7029" i="1"/>
  <c r="V7028" i="1"/>
  <c r="C7028" i="1"/>
  <c r="D7028" i="1" s="1"/>
  <c r="X7028" i="1" s="1"/>
  <c r="C7027" i="1"/>
  <c r="C7026" i="1"/>
  <c r="C7025" i="1"/>
  <c r="C7024" i="1"/>
  <c r="C7023" i="1"/>
  <c r="C7022" i="1"/>
  <c r="C7021" i="1"/>
  <c r="V7020" i="1"/>
  <c r="C7020" i="1"/>
  <c r="D7020" i="1" s="1"/>
  <c r="X7020" i="1" s="1"/>
  <c r="C7019" i="1"/>
  <c r="C7018" i="1"/>
  <c r="C7017" i="1"/>
  <c r="C7016" i="1"/>
  <c r="C7015" i="1"/>
  <c r="C7014" i="1"/>
  <c r="C7013" i="1"/>
  <c r="C7012" i="1"/>
  <c r="D7012" i="1" s="1"/>
  <c r="X7012" i="1" s="1"/>
  <c r="C7011" i="1"/>
  <c r="V7010" i="1"/>
  <c r="C7010" i="1"/>
  <c r="D7010" i="1" s="1"/>
  <c r="X7010" i="1" s="1"/>
  <c r="C7009" i="1"/>
  <c r="C7008" i="1"/>
  <c r="C7007" i="1"/>
  <c r="C7006" i="1"/>
  <c r="C7005" i="1"/>
  <c r="C7004" i="1"/>
  <c r="D7004" i="1" s="1"/>
  <c r="X7004" i="1" s="1"/>
  <c r="C7003" i="1"/>
  <c r="C7002" i="1"/>
  <c r="C7001" i="1"/>
  <c r="C7000" i="1"/>
  <c r="C6999" i="1"/>
  <c r="C6998" i="1"/>
  <c r="C6997" i="1"/>
  <c r="V6996" i="1"/>
  <c r="C6996" i="1"/>
  <c r="D6996" i="1" s="1"/>
  <c r="X6996" i="1" s="1"/>
  <c r="C6995" i="1"/>
  <c r="C6994" i="1"/>
  <c r="D6994" i="1" s="1"/>
  <c r="X6994" i="1" s="1"/>
  <c r="C6993" i="1"/>
  <c r="C6992" i="1"/>
  <c r="C6991" i="1"/>
  <c r="C6990" i="1"/>
  <c r="C6989" i="1"/>
  <c r="C6988" i="1"/>
  <c r="D6988" i="1" s="1"/>
  <c r="X6988" i="1" s="1"/>
  <c r="C6987" i="1"/>
  <c r="C6986" i="1"/>
  <c r="C6985" i="1"/>
  <c r="C6984" i="1"/>
  <c r="C6983" i="1"/>
  <c r="C6982" i="1"/>
  <c r="C6981" i="1"/>
  <c r="C6980" i="1"/>
  <c r="D6980" i="1" s="1"/>
  <c r="X6980" i="1" s="1"/>
  <c r="C6979" i="1"/>
  <c r="C6978" i="1"/>
  <c r="D6978" i="1" s="1"/>
  <c r="X6978" i="1" s="1"/>
  <c r="C6977" i="1"/>
  <c r="C6976" i="1"/>
  <c r="C6975" i="1"/>
  <c r="C6974" i="1"/>
  <c r="C6973" i="1"/>
  <c r="C6972" i="1"/>
  <c r="D6972" i="1" s="1"/>
  <c r="X6972" i="1" s="1"/>
  <c r="C6971" i="1"/>
  <c r="C6970" i="1"/>
  <c r="C6969" i="1"/>
  <c r="C6968" i="1"/>
  <c r="C6967" i="1"/>
  <c r="C6966" i="1"/>
  <c r="C6965" i="1"/>
  <c r="C6964" i="1"/>
  <c r="D6964" i="1" s="1"/>
  <c r="X6964" i="1" s="1"/>
  <c r="C6963" i="1"/>
  <c r="C6962" i="1"/>
  <c r="D6962" i="1" s="1"/>
  <c r="X6962" i="1" s="1"/>
  <c r="C6961" i="1"/>
  <c r="C6960" i="1"/>
  <c r="C6959" i="1"/>
  <c r="C6958" i="1"/>
  <c r="C6957" i="1"/>
  <c r="V6956" i="1"/>
  <c r="C6956" i="1"/>
  <c r="D6956" i="1" s="1"/>
  <c r="X6956" i="1" s="1"/>
  <c r="C6955" i="1"/>
  <c r="C6954" i="1"/>
  <c r="C6953" i="1"/>
  <c r="C6952" i="1"/>
  <c r="C6951" i="1"/>
  <c r="C6950" i="1"/>
  <c r="C6949" i="1"/>
  <c r="C6948" i="1"/>
  <c r="D6948" i="1" s="1"/>
  <c r="X6948" i="1" s="1"/>
  <c r="C6947" i="1"/>
  <c r="C6946" i="1"/>
  <c r="D6946" i="1" s="1"/>
  <c r="X6946" i="1" s="1"/>
  <c r="C6945" i="1"/>
  <c r="C6944" i="1"/>
  <c r="C6943" i="1"/>
  <c r="C6942" i="1"/>
  <c r="C6941" i="1"/>
  <c r="C6940" i="1"/>
  <c r="D6940" i="1" s="1"/>
  <c r="X6940" i="1" s="1"/>
  <c r="C6939" i="1"/>
  <c r="C6938" i="1"/>
  <c r="C6937" i="1"/>
  <c r="C6936" i="1"/>
  <c r="C6935" i="1"/>
  <c r="C6934" i="1"/>
  <c r="C6933" i="1"/>
  <c r="C6932" i="1"/>
  <c r="D6932" i="1" s="1"/>
  <c r="X6932" i="1" s="1"/>
  <c r="C6931" i="1"/>
  <c r="C6930" i="1"/>
  <c r="D6930" i="1" s="1"/>
  <c r="X6930" i="1" s="1"/>
  <c r="C6929" i="1"/>
  <c r="C6928" i="1"/>
  <c r="C6927" i="1"/>
  <c r="C6926" i="1"/>
  <c r="C6925" i="1"/>
  <c r="V6924" i="1"/>
  <c r="C6924" i="1"/>
  <c r="D6924" i="1" s="1"/>
  <c r="X6924" i="1" s="1"/>
  <c r="C6923" i="1"/>
  <c r="C6922" i="1"/>
  <c r="C6921" i="1"/>
  <c r="C6920" i="1"/>
  <c r="C6919" i="1"/>
  <c r="C6918" i="1"/>
  <c r="C6917" i="1"/>
  <c r="C6916" i="1"/>
  <c r="D6916" i="1" s="1"/>
  <c r="X6916" i="1" s="1"/>
  <c r="C6915" i="1"/>
  <c r="C6914" i="1"/>
  <c r="D6914" i="1" s="1"/>
  <c r="X6914" i="1" s="1"/>
  <c r="C6913" i="1"/>
  <c r="C6912" i="1"/>
  <c r="C6911" i="1"/>
  <c r="C6910" i="1"/>
  <c r="C6909" i="1"/>
  <c r="C6908" i="1"/>
  <c r="D6908" i="1" s="1"/>
  <c r="X6908" i="1" s="1"/>
  <c r="C6907" i="1"/>
  <c r="C6906" i="1"/>
  <c r="C6905" i="1"/>
  <c r="C6904" i="1"/>
  <c r="C6903" i="1"/>
  <c r="C6902" i="1"/>
  <c r="C6901" i="1"/>
  <c r="C6900" i="1"/>
  <c r="D6900" i="1" s="1"/>
  <c r="X6900" i="1" s="1"/>
  <c r="C6899" i="1"/>
  <c r="C6898" i="1"/>
  <c r="D6898" i="1" s="1"/>
  <c r="X6898" i="1" s="1"/>
  <c r="C6897" i="1"/>
  <c r="C6896" i="1"/>
  <c r="C6895" i="1"/>
  <c r="C6894" i="1"/>
  <c r="C6893" i="1"/>
  <c r="C6892" i="1"/>
  <c r="D6892" i="1" s="1"/>
  <c r="X6892" i="1" s="1"/>
  <c r="C6891" i="1"/>
  <c r="C6890" i="1"/>
  <c r="D6890" i="1" s="1"/>
  <c r="X6890" i="1" s="1"/>
  <c r="C6889" i="1"/>
  <c r="C6888" i="1"/>
  <c r="D6888" i="1" s="1"/>
  <c r="X6888" i="1" s="1"/>
  <c r="C6887" i="1"/>
  <c r="C6886" i="1"/>
  <c r="D6886" i="1" s="1"/>
  <c r="X6886" i="1" s="1"/>
  <c r="C6885" i="1"/>
  <c r="V6884" i="1"/>
  <c r="C6884" i="1"/>
  <c r="D6884" i="1" s="1"/>
  <c r="X6884" i="1" s="1"/>
  <c r="C6883" i="1"/>
  <c r="V6882" i="1"/>
  <c r="C6882" i="1"/>
  <c r="D6882" i="1" s="1"/>
  <c r="X6882" i="1" s="1"/>
  <c r="C6881" i="1"/>
  <c r="C6880" i="1"/>
  <c r="D6880" i="1" s="1"/>
  <c r="X6880" i="1" s="1"/>
  <c r="C6879" i="1"/>
  <c r="C6878" i="1"/>
  <c r="D6878" i="1" s="1"/>
  <c r="X6878" i="1" s="1"/>
  <c r="C6877" i="1"/>
  <c r="C6876" i="1"/>
  <c r="D6876" i="1" s="1"/>
  <c r="X6876" i="1" s="1"/>
  <c r="C6875" i="1"/>
  <c r="C6874" i="1"/>
  <c r="D6874" i="1" s="1"/>
  <c r="X6874" i="1" s="1"/>
  <c r="C6873" i="1"/>
  <c r="C6872" i="1"/>
  <c r="D6872" i="1" s="1"/>
  <c r="X6872" i="1" s="1"/>
  <c r="C6871" i="1"/>
  <c r="C6870" i="1"/>
  <c r="D6870" i="1" s="1"/>
  <c r="X6870" i="1" s="1"/>
  <c r="C6869" i="1"/>
  <c r="V6868" i="1"/>
  <c r="C6868" i="1"/>
  <c r="D6868" i="1" s="1"/>
  <c r="X6868" i="1" s="1"/>
  <c r="C6867" i="1"/>
  <c r="V6866" i="1"/>
  <c r="C6866" i="1"/>
  <c r="D6866" i="1" s="1"/>
  <c r="X6866" i="1" s="1"/>
  <c r="C6865" i="1"/>
  <c r="C6864" i="1"/>
  <c r="D6864" i="1" s="1"/>
  <c r="X6864" i="1" s="1"/>
  <c r="C6863" i="1"/>
  <c r="C6862" i="1"/>
  <c r="D6862" i="1" s="1"/>
  <c r="X6862" i="1" s="1"/>
  <c r="C6861" i="1"/>
  <c r="V6860" i="1"/>
  <c r="C6860" i="1"/>
  <c r="D6860" i="1" s="1"/>
  <c r="X6860" i="1" s="1"/>
  <c r="C6859" i="1"/>
  <c r="C6858" i="1"/>
  <c r="D6858" i="1" s="1"/>
  <c r="X6858" i="1" s="1"/>
  <c r="C6857" i="1"/>
  <c r="C6856" i="1"/>
  <c r="D6856" i="1" s="1"/>
  <c r="X6856" i="1" s="1"/>
  <c r="C6855" i="1"/>
  <c r="C6854" i="1"/>
  <c r="D6854" i="1" s="1"/>
  <c r="X6854" i="1" s="1"/>
  <c r="C6853" i="1"/>
  <c r="V6852" i="1"/>
  <c r="C6852" i="1"/>
  <c r="D6852" i="1" s="1"/>
  <c r="X6852" i="1" s="1"/>
  <c r="C6851" i="1"/>
  <c r="V6850" i="1"/>
  <c r="C6850" i="1"/>
  <c r="D6850" i="1" s="1"/>
  <c r="X6850" i="1" s="1"/>
  <c r="C6849" i="1"/>
  <c r="C6848" i="1"/>
  <c r="D6848" i="1" s="1"/>
  <c r="X6848" i="1" s="1"/>
  <c r="C6847" i="1"/>
  <c r="C6846" i="1"/>
  <c r="D6846" i="1" s="1"/>
  <c r="X6846" i="1" s="1"/>
  <c r="C6845" i="1"/>
  <c r="V6844" i="1"/>
  <c r="C6844" i="1"/>
  <c r="D6844" i="1" s="1"/>
  <c r="X6844" i="1" s="1"/>
  <c r="C6843" i="1"/>
  <c r="C6842" i="1"/>
  <c r="D6842" i="1" s="1"/>
  <c r="X6842" i="1" s="1"/>
  <c r="C6841" i="1"/>
  <c r="C6840" i="1"/>
  <c r="D6840" i="1" s="1"/>
  <c r="X6840" i="1" s="1"/>
  <c r="C6839" i="1"/>
  <c r="C6838" i="1"/>
  <c r="D6838" i="1" s="1"/>
  <c r="X6838" i="1" s="1"/>
  <c r="C6837" i="1"/>
  <c r="V6836" i="1"/>
  <c r="C6836" i="1"/>
  <c r="D6836" i="1" s="1"/>
  <c r="X6836" i="1" s="1"/>
  <c r="C6835" i="1"/>
  <c r="V6834" i="1"/>
  <c r="C6834" i="1"/>
  <c r="D6834" i="1" s="1"/>
  <c r="X6834" i="1" s="1"/>
  <c r="C6833" i="1"/>
  <c r="C6832" i="1"/>
  <c r="D6832" i="1" s="1"/>
  <c r="X6832" i="1" s="1"/>
  <c r="C6831" i="1"/>
  <c r="C6830" i="1"/>
  <c r="D6830" i="1" s="1"/>
  <c r="X6830" i="1" s="1"/>
  <c r="C6829" i="1"/>
  <c r="V6828" i="1"/>
  <c r="C6828" i="1"/>
  <c r="D6828" i="1" s="1"/>
  <c r="X6828" i="1" s="1"/>
  <c r="C6827" i="1"/>
  <c r="C6826" i="1"/>
  <c r="C6825" i="1"/>
  <c r="C6824" i="1"/>
  <c r="D6824" i="1" s="1"/>
  <c r="X6824" i="1" s="1"/>
  <c r="C6823" i="1"/>
  <c r="C6822" i="1"/>
  <c r="D6822" i="1" s="1"/>
  <c r="X6822" i="1" s="1"/>
  <c r="C6821" i="1"/>
  <c r="V6820" i="1"/>
  <c r="C6820" i="1"/>
  <c r="D6820" i="1" s="1"/>
  <c r="X6820" i="1" s="1"/>
  <c r="C6819" i="1"/>
  <c r="C6818" i="1"/>
  <c r="D6818" i="1" s="1"/>
  <c r="X6818" i="1" s="1"/>
  <c r="C6817" i="1"/>
  <c r="C6816" i="1"/>
  <c r="D6816" i="1" s="1"/>
  <c r="X6816" i="1" s="1"/>
  <c r="C6815" i="1"/>
  <c r="C6814" i="1"/>
  <c r="D6814" i="1" s="1"/>
  <c r="X6814" i="1" s="1"/>
  <c r="C6813" i="1"/>
  <c r="C6812" i="1"/>
  <c r="C6811" i="1"/>
  <c r="C6810" i="1"/>
  <c r="C6809" i="1"/>
  <c r="C6808" i="1"/>
  <c r="C6807" i="1"/>
  <c r="C6806" i="1"/>
  <c r="D6806" i="1" s="1"/>
  <c r="X6806" i="1" s="1"/>
  <c r="C6805" i="1"/>
  <c r="C6804" i="1"/>
  <c r="C6803" i="1"/>
  <c r="C6802" i="1"/>
  <c r="C6801" i="1"/>
  <c r="C6800" i="1"/>
  <c r="C6799" i="1"/>
  <c r="V6798" i="1"/>
  <c r="C6798" i="1"/>
  <c r="D6798" i="1" s="1"/>
  <c r="X6798" i="1" s="1"/>
  <c r="C6797" i="1"/>
  <c r="C6796" i="1"/>
  <c r="C6795" i="1"/>
  <c r="C6794" i="1"/>
  <c r="C6793" i="1"/>
  <c r="C6792" i="1"/>
  <c r="C6791" i="1"/>
  <c r="C6790" i="1"/>
  <c r="C6789" i="1"/>
  <c r="C6788" i="1"/>
  <c r="C6787" i="1"/>
  <c r="C6786" i="1"/>
  <c r="C6785" i="1"/>
  <c r="C6784" i="1"/>
  <c r="C6783" i="1"/>
  <c r="C6782" i="1"/>
  <c r="C6781" i="1"/>
  <c r="C6780" i="1"/>
  <c r="C6779" i="1"/>
  <c r="C6778" i="1"/>
  <c r="C6777" i="1"/>
  <c r="C6776" i="1"/>
  <c r="C6775" i="1"/>
  <c r="C6774" i="1"/>
  <c r="C6773" i="1"/>
  <c r="C6772" i="1"/>
  <c r="C6771" i="1"/>
  <c r="C6770" i="1"/>
  <c r="C6769" i="1"/>
  <c r="C6768" i="1"/>
  <c r="C6767" i="1"/>
  <c r="C6766" i="1"/>
  <c r="C6765" i="1"/>
  <c r="C6764" i="1"/>
  <c r="C6763" i="1"/>
  <c r="C6762" i="1"/>
  <c r="C6761" i="1"/>
  <c r="C6760" i="1"/>
  <c r="C6759" i="1"/>
  <c r="C6758" i="1"/>
  <c r="C6757" i="1"/>
  <c r="C6756" i="1"/>
  <c r="C6755" i="1"/>
  <c r="C6754" i="1"/>
  <c r="C6753" i="1"/>
  <c r="C6752" i="1"/>
  <c r="C6751" i="1"/>
  <c r="C6750" i="1"/>
  <c r="C6749" i="1"/>
  <c r="C6748" i="1"/>
  <c r="C6747" i="1"/>
  <c r="C6746" i="1"/>
  <c r="C6745" i="1"/>
  <c r="C6744" i="1"/>
  <c r="C6743" i="1"/>
  <c r="C6742" i="1"/>
  <c r="C6741" i="1"/>
  <c r="C6740" i="1"/>
  <c r="C6739" i="1"/>
  <c r="C6738" i="1"/>
  <c r="C6737" i="1"/>
  <c r="C6736" i="1"/>
  <c r="C6735" i="1"/>
  <c r="C6734" i="1"/>
  <c r="C6733" i="1"/>
  <c r="C6732" i="1"/>
  <c r="C6731" i="1"/>
  <c r="C6730" i="1"/>
  <c r="C6729" i="1"/>
  <c r="C6728" i="1"/>
  <c r="C6727" i="1"/>
  <c r="C6726" i="1"/>
  <c r="C6725" i="1"/>
  <c r="C6724" i="1"/>
  <c r="C6723" i="1"/>
  <c r="C6722" i="1"/>
  <c r="C6721" i="1"/>
  <c r="C6720" i="1"/>
  <c r="C6719" i="1"/>
  <c r="C6718" i="1"/>
  <c r="C6717" i="1"/>
  <c r="C6716" i="1"/>
  <c r="C6715" i="1"/>
  <c r="C6714" i="1"/>
  <c r="C6713" i="1"/>
  <c r="C6712" i="1"/>
  <c r="C6711" i="1"/>
  <c r="C6710" i="1"/>
  <c r="C6709" i="1"/>
  <c r="C6708" i="1"/>
  <c r="C6707" i="1"/>
  <c r="C6706" i="1"/>
  <c r="C6705" i="1"/>
  <c r="C6704" i="1"/>
  <c r="C6703" i="1"/>
  <c r="C6702" i="1"/>
  <c r="C6701" i="1"/>
  <c r="C6700" i="1"/>
  <c r="C6699" i="1"/>
  <c r="C6698" i="1"/>
  <c r="C6697" i="1"/>
  <c r="C6696" i="1"/>
  <c r="C6695" i="1"/>
  <c r="C6694" i="1"/>
  <c r="C6693" i="1"/>
  <c r="C6692" i="1"/>
  <c r="C6691" i="1"/>
  <c r="C6690" i="1"/>
  <c r="C6689" i="1"/>
  <c r="C6688" i="1"/>
  <c r="C6687" i="1"/>
  <c r="C6686" i="1"/>
  <c r="C6685" i="1"/>
  <c r="C6684" i="1"/>
  <c r="C6683" i="1"/>
  <c r="C6682" i="1"/>
  <c r="C6681" i="1"/>
  <c r="C6680" i="1"/>
  <c r="C6679" i="1"/>
  <c r="C6678" i="1"/>
  <c r="C6677" i="1"/>
  <c r="C6676" i="1"/>
  <c r="C6675" i="1"/>
  <c r="C6674" i="1"/>
  <c r="C6673" i="1"/>
  <c r="C6672" i="1"/>
  <c r="C6671" i="1"/>
  <c r="C6670" i="1"/>
  <c r="C6669" i="1"/>
  <c r="C6668" i="1"/>
  <c r="C6667" i="1"/>
  <c r="C6666" i="1"/>
  <c r="C6665" i="1"/>
  <c r="C6664" i="1"/>
  <c r="C6663" i="1"/>
  <c r="C6662" i="1"/>
  <c r="C6661" i="1"/>
  <c r="C6660" i="1"/>
  <c r="C6659" i="1"/>
  <c r="C6658" i="1"/>
  <c r="C6657" i="1"/>
  <c r="C6656" i="1"/>
  <c r="C6655" i="1"/>
  <c r="C6654" i="1"/>
  <c r="C6653" i="1"/>
  <c r="C6652" i="1"/>
  <c r="C6651" i="1"/>
  <c r="C6650" i="1"/>
  <c r="C6649" i="1"/>
  <c r="C6648" i="1"/>
  <c r="C6647" i="1"/>
  <c r="C6646" i="1"/>
  <c r="C6645" i="1"/>
  <c r="C6644" i="1"/>
  <c r="C6643" i="1"/>
  <c r="C6642" i="1"/>
  <c r="C6641" i="1"/>
  <c r="C6640" i="1"/>
  <c r="C6639" i="1"/>
  <c r="C6638" i="1"/>
  <c r="C6637" i="1"/>
  <c r="C6636" i="1"/>
  <c r="C6635" i="1"/>
  <c r="C6634" i="1"/>
  <c r="C6633" i="1"/>
  <c r="C6632" i="1"/>
  <c r="C6631" i="1"/>
  <c r="C6630" i="1"/>
  <c r="C6629" i="1"/>
  <c r="C6628" i="1"/>
  <c r="C6627" i="1"/>
  <c r="C6626" i="1"/>
  <c r="C6625" i="1"/>
  <c r="C6624" i="1"/>
  <c r="C6623" i="1"/>
  <c r="C6622" i="1"/>
  <c r="C6621" i="1"/>
  <c r="C6620" i="1"/>
  <c r="C6619" i="1"/>
  <c r="C6618" i="1"/>
  <c r="C6617" i="1"/>
  <c r="C6616" i="1"/>
  <c r="C6615" i="1"/>
  <c r="C6614" i="1"/>
  <c r="C6613" i="1"/>
  <c r="C6612" i="1"/>
  <c r="C6611" i="1"/>
  <c r="C6610" i="1"/>
  <c r="C6609" i="1"/>
  <c r="C6608" i="1"/>
  <c r="C6607" i="1"/>
  <c r="C6606" i="1"/>
  <c r="C6605" i="1"/>
  <c r="C6604" i="1"/>
  <c r="C6603" i="1"/>
  <c r="C6602" i="1"/>
  <c r="C6601" i="1"/>
  <c r="C6600" i="1"/>
  <c r="C6599" i="1"/>
  <c r="C6598" i="1"/>
  <c r="C6597" i="1"/>
  <c r="C6596" i="1"/>
  <c r="C6595" i="1"/>
  <c r="C6594" i="1"/>
  <c r="C6593" i="1"/>
  <c r="C6592" i="1"/>
  <c r="C6591" i="1"/>
  <c r="C6590" i="1"/>
  <c r="C6589" i="1"/>
  <c r="C6588" i="1"/>
  <c r="C6587" i="1"/>
  <c r="C6586" i="1"/>
  <c r="C6585" i="1"/>
  <c r="C6584" i="1"/>
  <c r="C6583" i="1"/>
  <c r="C6582" i="1"/>
  <c r="C6581" i="1"/>
  <c r="C6580" i="1"/>
  <c r="C6579" i="1"/>
  <c r="C6578" i="1"/>
  <c r="C6577" i="1"/>
  <c r="C6576" i="1"/>
  <c r="C6575" i="1"/>
  <c r="C6574" i="1"/>
  <c r="C6573" i="1"/>
  <c r="C6572" i="1"/>
  <c r="C6571" i="1"/>
  <c r="C6570" i="1"/>
  <c r="C6569" i="1"/>
  <c r="C6568" i="1"/>
  <c r="C6567" i="1"/>
  <c r="C6566" i="1"/>
  <c r="C6565" i="1"/>
  <c r="C6564" i="1"/>
  <c r="C6563" i="1"/>
  <c r="C6562" i="1"/>
  <c r="C6561" i="1"/>
  <c r="C6560" i="1"/>
  <c r="C6559" i="1"/>
  <c r="C6558" i="1"/>
  <c r="C6557" i="1"/>
  <c r="C6556" i="1"/>
  <c r="C6555" i="1"/>
  <c r="C6554" i="1"/>
  <c r="C6553" i="1"/>
  <c r="C6552" i="1"/>
  <c r="C6551" i="1"/>
  <c r="C6550" i="1"/>
  <c r="C6549" i="1"/>
  <c r="C6548" i="1"/>
  <c r="C6547" i="1"/>
  <c r="C6546" i="1"/>
  <c r="C6545" i="1"/>
  <c r="C6544" i="1"/>
  <c r="C6543" i="1"/>
  <c r="C6542" i="1"/>
  <c r="C6541" i="1"/>
  <c r="C6540" i="1"/>
  <c r="C6539" i="1"/>
  <c r="C6538" i="1"/>
  <c r="C6537" i="1"/>
  <c r="C6536" i="1"/>
  <c r="C6535" i="1"/>
  <c r="C6534" i="1"/>
  <c r="C6533" i="1"/>
  <c r="C6532" i="1"/>
  <c r="C6531" i="1"/>
  <c r="C6530" i="1"/>
  <c r="C6529" i="1"/>
  <c r="C6528" i="1"/>
  <c r="C6527" i="1"/>
  <c r="C6526" i="1"/>
  <c r="C6525" i="1"/>
  <c r="C6524" i="1"/>
  <c r="C6523" i="1"/>
  <c r="C6522" i="1"/>
  <c r="C6521" i="1"/>
  <c r="C6520" i="1"/>
  <c r="C6519" i="1"/>
  <c r="C6518" i="1"/>
  <c r="C6517" i="1"/>
  <c r="C6516" i="1"/>
  <c r="C6515" i="1"/>
  <c r="C6514" i="1"/>
  <c r="C6513" i="1"/>
  <c r="C6512" i="1"/>
  <c r="C6511" i="1"/>
  <c r="C6510" i="1"/>
  <c r="C6509" i="1"/>
  <c r="C6508" i="1"/>
  <c r="C6507" i="1"/>
  <c r="C6506" i="1"/>
  <c r="C6505" i="1"/>
  <c r="C6504" i="1"/>
  <c r="C6503" i="1"/>
  <c r="C6502" i="1"/>
  <c r="C6501" i="1"/>
  <c r="C6500" i="1"/>
  <c r="C6499" i="1"/>
  <c r="C6498" i="1"/>
  <c r="C6497" i="1"/>
  <c r="C6496" i="1"/>
  <c r="C6495" i="1"/>
  <c r="C6494" i="1"/>
  <c r="C6493" i="1"/>
  <c r="C6492" i="1"/>
  <c r="C6491" i="1"/>
  <c r="C6490" i="1"/>
  <c r="C6489" i="1"/>
  <c r="C6488" i="1"/>
  <c r="C6487" i="1"/>
  <c r="C6486" i="1"/>
  <c r="C6485" i="1"/>
  <c r="C6484" i="1"/>
  <c r="C6483" i="1"/>
  <c r="C6482" i="1"/>
  <c r="C6481" i="1"/>
  <c r="C6480" i="1"/>
  <c r="C6479" i="1"/>
  <c r="C6478" i="1"/>
  <c r="C6477" i="1"/>
  <c r="C6476" i="1"/>
  <c r="C6475" i="1"/>
  <c r="C6474" i="1"/>
  <c r="C6473" i="1"/>
  <c r="C6472" i="1"/>
  <c r="C6471" i="1"/>
  <c r="C6470" i="1"/>
  <c r="C6469" i="1"/>
  <c r="C6468" i="1"/>
  <c r="C6467" i="1"/>
  <c r="C6466" i="1"/>
  <c r="C6465" i="1"/>
  <c r="C6464" i="1"/>
  <c r="C6463" i="1"/>
  <c r="C6462" i="1"/>
  <c r="C6461" i="1"/>
  <c r="C6460" i="1"/>
  <c r="C6459" i="1"/>
  <c r="C6458" i="1"/>
  <c r="C6457" i="1"/>
  <c r="C6456" i="1"/>
  <c r="C6455" i="1"/>
  <c r="C6454" i="1"/>
  <c r="C6453" i="1"/>
  <c r="C6452" i="1"/>
  <c r="C6451" i="1"/>
  <c r="C6450" i="1"/>
  <c r="C6449" i="1"/>
  <c r="C6448" i="1"/>
  <c r="C6447" i="1"/>
  <c r="C6446" i="1"/>
  <c r="C6445" i="1"/>
  <c r="C6444" i="1"/>
  <c r="C6443" i="1"/>
  <c r="D6443" i="1" s="1"/>
  <c r="X6443" i="1" s="1"/>
  <c r="C6442" i="1"/>
  <c r="C6441" i="1"/>
  <c r="C6440" i="1"/>
  <c r="C6439" i="1"/>
  <c r="C6438" i="1"/>
  <c r="C6437" i="1"/>
  <c r="C6436" i="1"/>
  <c r="C6435" i="1"/>
  <c r="D6435" i="1" s="1"/>
  <c r="X6435" i="1" s="1"/>
  <c r="C6434" i="1"/>
  <c r="C6433" i="1"/>
  <c r="C6432" i="1"/>
  <c r="C6431" i="1"/>
  <c r="C6430" i="1"/>
  <c r="C6429" i="1"/>
  <c r="C6428" i="1"/>
  <c r="V6427" i="1"/>
  <c r="C6427" i="1"/>
  <c r="D6427" i="1" s="1"/>
  <c r="X6427" i="1" s="1"/>
  <c r="C6426" i="1"/>
  <c r="C6425" i="1"/>
  <c r="C6424" i="1"/>
  <c r="C6423" i="1"/>
  <c r="C6422" i="1"/>
  <c r="C6421" i="1"/>
  <c r="C6420" i="1"/>
  <c r="C6419" i="1"/>
  <c r="C6418" i="1"/>
  <c r="C6417" i="1"/>
  <c r="C6416" i="1"/>
  <c r="C6415" i="1"/>
  <c r="C6414" i="1"/>
  <c r="C6413" i="1"/>
  <c r="C6412" i="1"/>
  <c r="C6411" i="1"/>
  <c r="D6411" i="1" s="1"/>
  <c r="X6411" i="1" s="1"/>
  <c r="C6410" i="1"/>
  <c r="C6409" i="1"/>
  <c r="C6408" i="1"/>
  <c r="C6407" i="1"/>
  <c r="C6406" i="1"/>
  <c r="C6405" i="1"/>
  <c r="C6404" i="1"/>
  <c r="C6403" i="1"/>
  <c r="D6403" i="1" s="1"/>
  <c r="X6403" i="1" s="1"/>
  <c r="C6402" i="1"/>
  <c r="C6401" i="1"/>
  <c r="C6400" i="1"/>
  <c r="C6399" i="1"/>
  <c r="C6398" i="1"/>
  <c r="C6397" i="1"/>
  <c r="C6396" i="1"/>
  <c r="V6395" i="1"/>
  <c r="C6395" i="1"/>
  <c r="D6395" i="1" s="1"/>
  <c r="X6395" i="1" s="1"/>
  <c r="C6394" i="1"/>
  <c r="C6393" i="1"/>
  <c r="C6392" i="1"/>
  <c r="C6391" i="1"/>
  <c r="C6390" i="1"/>
  <c r="C6389" i="1"/>
  <c r="C6388" i="1"/>
  <c r="C6387" i="1"/>
  <c r="C6386" i="1"/>
  <c r="C6385" i="1"/>
  <c r="C6384" i="1"/>
  <c r="C6383" i="1"/>
  <c r="C6382" i="1"/>
  <c r="C6381" i="1"/>
  <c r="C6380" i="1"/>
  <c r="C6379" i="1"/>
  <c r="D6379" i="1" s="1"/>
  <c r="X6379" i="1" s="1"/>
  <c r="C6378" i="1"/>
  <c r="C6377" i="1"/>
  <c r="C6376" i="1"/>
  <c r="C6375" i="1"/>
  <c r="C6374" i="1"/>
  <c r="C6373" i="1"/>
  <c r="C6372" i="1"/>
  <c r="C6371" i="1"/>
  <c r="D6371" i="1" s="1"/>
  <c r="X6371" i="1" s="1"/>
  <c r="C6370" i="1"/>
  <c r="C6369" i="1"/>
  <c r="C6368" i="1"/>
  <c r="C6367" i="1"/>
  <c r="C6366" i="1"/>
  <c r="C6365" i="1"/>
  <c r="C6364" i="1"/>
  <c r="V6363" i="1"/>
  <c r="C6363" i="1"/>
  <c r="D6363" i="1" s="1"/>
  <c r="X6363" i="1" s="1"/>
  <c r="C6362" i="1"/>
  <c r="C6361" i="1"/>
  <c r="C6360" i="1"/>
  <c r="C6359" i="1"/>
  <c r="C6358" i="1"/>
  <c r="C6357" i="1"/>
  <c r="C6356" i="1"/>
  <c r="C6355" i="1"/>
  <c r="C6354" i="1"/>
  <c r="C6353" i="1"/>
  <c r="C6352" i="1"/>
  <c r="C6351" i="1"/>
  <c r="C6350" i="1"/>
  <c r="C6349" i="1"/>
  <c r="C6348" i="1"/>
  <c r="C6347" i="1"/>
  <c r="D6347" i="1" s="1"/>
  <c r="X6347" i="1" s="1"/>
  <c r="C6346" i="1"/>
  <c r="C6345" i="1"/>
  <c r="C6344" i="1"/>
  <c r="C6343" i="1"/>
  <c r="C6342" i="1"/>
  <c r="C6341" i="1"/>
  <c r="C6340" i="1"/>
  <c r="C6339" i="1"/>
  <c r="D6339" i="1" s="1"/>
  <c r="X6339" i="1" s="1"/>
  <c r="C6338" i="1"/>
  <c r="C6337" i="1"/>
  <c r="C6336" i="1"/>
  <c r="C6335" i="1"/>
  <c r="C6334" i="1"/>
  <c r="C6333" i="1"/>
  <c r="C6332" i="1"/>
  <c r="V6331" i="1"/>
  <c r="C6331" i="1"/>
  <c r="D6331" i="1" s="1"/>
  <c r="X6331" i="1" s="1"/>
  <c r="C6330" i="1"/>
  <c r="C6329" i="1"/>
  <c r="C6328" i="1"/>
  <c r="C6327" i="1"/>
  <c r="C6326" i="1"/>
  <c r="C6325" i="1"/>
  <c r="C6324" i="1"/>
  <c r="C6323" i="1"/>
  <c r="C6322" i="1"/>
  <c r="C6321" i="1"/>
  <c r="C6320" i="1"/>
  <c r="C6319" i="1"/>
  <c r="C6318" i="1"/>
  <c r="C6317" i="1"/>
  <c r="C6316" i="1"/>
  <c r="C6315" i="1"/>
  <c r="D6315" i="1" s="1"/>
  <c r="X6315" i="1" s="1"/>
  <c r="C6314" i="1"/>
  <c r="C6313" i="1"/>
  <c r="C6312" i="1"/>
  <c r="C6311" i="1"/>
  <c r="C6310" i="1"/>
  <c r="C6309" i="1"/>
  <c r="C6308" i="1"/>
  <c r="C6307" i="1"/>
  <c r="D6307" i="1" s="1"/>
  <c r="X6307" i="1" s="1"/>
  <c r="C6306" i="1"/>
  <c r="C6305" i="1"/>
  <c r="C6304" i="1"/>
  <c r="C6303" i="1"/>
  <c r="C6302" i="1"/>
  <c r="C6301" i="1"/>
  <c r="C6300" i="1"/>
  <c r="V6299" i="1"/>
  <c r="C6299" i="1"/>
  <c r="D6299" i="1" s="1"/>
  <c r="X6299" i="1" s="1"/>
  <c r="C6298" i="1"/>
  <c r="C6297" i="1"/>
  <c r="C6296" i="1"/>
  <c r="C6295" i="1"/>
  <c r="C6294" i="1"/>
  <c r="C6293" i="1"/>
  <c r="C6292" i="1"/>
  <c r="C6291" i="1"/>
  <c r="D6291" i="1" s="1"/>
  <c r="X6291" i="1" s="1"/>
  <c r="C6290" i="1"/>
  <c r="C6289" i="1"/>
  <c r="C6288" i="1"/>
  <c r="C6287" i="1"/>
  <c r="C6286" i="1"/>
  <c r="C6285" i="1"/>
  <c r="C6284" i="1"/>
  <c r="C6283" i="1"/>
  <c r="D6283" i="1" s="1"/>
  <c r="X6283" i="1" s="1"/>
  <c r="C6282" i="1"/>
  <c r="C6281" i="1"/>
  <c r="C6280" i="1"/>
  <c r="C6279" i="1"/>
  <c r="C6278" i="1"/>
  <c r="C6277" i="1"/>
  <c r="C6276" i="1"/>
  <c r="C6275" i="1"/>
  <c r="D6275" i="1" s="1"/>
  <c r="X6275" i="1" s="1"/>
  <c r="C6274" i="1"/>
  <c r="C6273" i="1"/>
  <c r="C6272" i="1"/>
  <c r="C6271" i="1"/>
  <c r="C6270" i="1"/>
  <c r="C6269" i="1"/>
  <c r="C6268" i="1"/>
  <c r="V6267" i="1"/>
  <c r="C6267" i="1"/>
  <c r="D6267" i="1" s="1"/>
  <c r="X6267" i="1" s="1"/>
  <c r="C6266" i="1"/>
  <c r="C6265" i="1"/>
  <c r="C6264" i="1"/>
  <c r="C6263" i="1"/>
  <c r="C6262" i="1"/>
  <c r="C6261" i="1"/>
  <c r="C6260" i="1"/>
  <c r="C6259" i="1"/>
  <c r="C6258" i="1"/>
  <c r="C6257" i="1"/>
  <c r="C6256" i="1"/>
  <c r="C6255" i="1"/>
  <c r="C6254" i="1"/>
  <c r="C6253" i="1"/>
  <c r="C6252" i="1"/>
  <c r="C6251" i="1"/>
  <c r="D6251" i="1" s="1"/>
  <c r="X6251" i="1" s="1"/>
  <c r="C6250" i="1"/>
  <c r="C6249" i="1"/>
  <c r="C6248" i="1"/>
  <c r="C6247" i="1"/>
  <c r="C6246" i="1"/>
  <c r="C6245" i="1"/>
  <c r="C6244" i="1"/>
  <c r="C6243" i="1"/>
  <c r="D6243" i="1" s="1"/>
  <c r="X6243" i="1" s="1"/>
  <c r="C6242" i="1"/>
  <c r="C6241" i="1"/>
  <c r="C6240" i="1"/>
  <c r="C6239" i="1"/>
  <c r="C6238" i="1"/>
  <c r="C6237" i="1"/>
  <c r="C6236" i="1"/>
  <c r="C6235" i="1"/>
  <c r="D6235" i="1" s="1"/>
  <c r="X6235" i="1" s="1"/>
  <c r="C6234" i="1"/>
  <c r="C6233" i="1"/>
  <c r="C6232" i="1"/>
  <c r="C6231" i="1"/>
  <c r="C6230" i="1"/>
  <c r="C6229" i="1"/>
  <c r="C6228" i="1"/>
  <c r="V6227" i="1"/>
  <c r="C6227" i="1"/>
  <c r="D6227" i="1" s="1"/>
  <c r="X6227" i="1" s="1"/>
  <c r="C6226" i="1"/>
  <c r="C6225" i="1"/>
  <c r="C6224" i="1"/>
  <c r="C6223" i="1"/>
  <c r="C6222" i="1"/>
  <c r="C6221" i="1"/>
  <c r="C6220" i="1"/>
  <c r="C6219" i="1"/>
  <c r="D6219" i="1" s="1"/>
  <c r="X6219" i="1" s="1"/>
  <c r="C6218" i="1"/>
  <c r="C6217" i="1"/>
  <c r="C6216" i="1"/>
  <c r="C6215" i="1"/>
  <c r="C6214" i="1"/>
  <c r="C6213" i="1"/>
  <c r="C6212" i="1"/>
  <c r="C6211" i="1"/>
  <c r="D6211" i="1" s="1"/>
  <c r="X6211" i="1" s="1"/>
  <c r="C6210" i="1"/>
  <c r="C6209" i="1"/>
  <c r="C6208" i="1"/>
  <c r="C6207" i="1"/>
  <c r="C6206" i="1"/>
  <c r="C6205" i="1"/>
  <c r="C6204" i="1"/>
  <c r="V6203" i="1"/>
  <c r="C6203" i="1"/>
  <c r="D6203" i="1" s="1"/>
  <c r="X6203" i="1" s="1"/>
  <c r="C6202" i="1"/>
  <c r="C6201" i="1"/>
  <c r="C6200" i="1"/>
  <c r="C6199" i="1"/>
  <c r="C6198" i="1"/>
  <c r="C6197" i="1"/>
  <c r="C6196" i="1"/>
  <c r="C6195" i="1"/>
  <c r="C6194" i="1"/>
  <c r="C6193" i="1"/>
  <c r="C6192" i="1"/>
  <c r="C6191" i="1"/>
  <c r="C6190" i="1"/>
  <c r="C6189" i="1"/>
  <c r="C6188" i="1"/>
  <c r="C6187" i="1"/>
  <c r="D6187" i="1" s="1"/>
  <c r="X6187" i="1" s="1"/>
  <c r="C6186" i="1"/>
  <c r="C6185" i="1"/>
  <c r="C6184" i="1"/>
  <c r="C6183" i="1"/>
  <c r="C6182" i="1"/>
  <c r="C6181" i="1"/>
  <c r="C6180" i="1"/>
  <c r="C6179" i="1"/>
  <c r="D6179" i="1" s="1"/>
  <c r="X6179" i="1" s="1"/>
  <c r="C6178" i="1"/>
  <c r="C6177" i="1"/>
  <c r="C6176" i="1"/>
  <c r="C6175" i="1"/>
  <c r="C6174" i="1"/>
  <c r="C6173" i="1"/>
  <c r="C6172" i="1"/>
  <c r="V6171" i="1"/>
  <c r="C6171" i="1"/>
  <c r="D6171" i="1" s="1"/>
  <c r="X6171" i="1" s="1"/>
  <c r="C6170" i="1"/>
  <c r="C6169" i="1"/>
  <c r="C6168" i="1"/>
  <c r="C6167" i="1"/>
  <c r="C6166" i="1"/>
  <c r="C6165" i="1"/>
  <c r="C6164" i="1"/>
  <c r="C6163" i="1"/>
  <c r="C6162" i="1"/>
  <c r="C6161" i="1"/>
  <c r="C6160" i="1"/>
  <c r="C6159" i="1"/>
  <c r="C6158" i="1"/>
  <c r="C6157" i="1"/>
  <c r="C6156" i="1"/>
  <c r="C6155" i="1"/>
  <c r="C6154" i="1"/>
  <c r="C6153" i="1"/>
  <c r="C6152" i="1"/>
  <c r="C6151" i="1"/>
  <c r="C6150" i="1"/>
  <c r="C6149" i="1"/>
  <c r="C6148" i="1"/>
  <c r="C6147" i="1"/>
  <c r="C6146" i="1"/>
  <c r="C6145" i="1"/>
  <c r="C6144" i="1"/>
  <c r="C6143" i="1"/>
  <c r="C6142" i="1"/>
  <c r="C6141" i="1"/>
  <c r="C6140" i="1"/>
  <c r="C6139" i="1"/>
  <c r="C6138" i="1"/>
  <c r="C6137" i="1"/>
  <c r="C6136" i="1"/>
  <c r="C6135" i="1"/>
  <c r="C6134" i="1"/>
  <c r="C6133" i="1"/>
  <c r="C6132" i="1"/>
  <c r="C6131" i="1"/>
  <c r="C6130" i="1"/>
  <c r="C6129" i="1"/>
  <c r="C6128" i="1"/>
  <c r="C6127" i="1"/>
  <c r="C6126" i="1"/>
  <c r="C6125" i="1"/>
  <c r="C6124" i="1"/>
  <c r="C6123" i="1"/>
  <c r="C6122" i="1"/>
  <c r="C6121" i="1"/>
  <c r="C6120" i="1"/>
  <c r="C6119" i="1"/>
  <c r="C6118" i="1"/>
  <c r="C6117" i="1"/>
  <c r="C6116" i="1"/>
  <c r="C6115" i="1"/>
  <c r="C6114" i="1"/>
  <c r="C6113" i="1"/>
  <c r="C6112" i="1"/>
  <c r="C6111" i="1"/>
  <c r="C6110" i="1"/>
  <c r="C6109" i="1"/>
  <c r="C6108" i="1"/>
  <c r="C6107" i="1"/>
  <c r="C6106" i="1"/>
  <c r="C6105" i="1"/>
  <c r="C6104" i="1"/>
  <c r="C6103" i="1"/>
  <c r="C6102" i="1"/>
  <c r="C6101" i="1"/>
  <c r="C6100" i="1"/>
  <c r="C6099" i="1"/>
  <c r="C6098" i="1"/>
  <c r="C6097" i="1"/>
  <c r="C6096" i="1"/>
  <c r="C6095" i="1"/>
  <c r="C6094" i="1"/>
  <c r="C6093" i="1"/>
  <c r="C6092" i="1"/>
  <c r="C6091" i="1"/>
  <c r="C6090" i="1"/>
  <c r="C6089" i="1"/>
  <c r="C6088" i="1"/>
  <c r="C6087" i="1"/>
  <c r="C6086" i="1"/>
  <c r="C6085" i="1"/>
  <c r="C6084" i="1"/>
  <c r="C6083" i="1"/>
  <c r="C6082" i="1"/>
  <c r="C6081" i="1"/>
  <c r="C6080" i="1"/>
  <c r="C6079" i="1"/>
  <c r="C6078" i="1"/>
  <c r="C6077" i="1"/>
  <c r="C6076" i="1"/>
  <c r="C6075" i="1"/>
  <c r="C6074" i="1"/>
  <c r="C6073" i="1"/>
  <c r="C6072" i="1"/>
  <c r="C6071" i="1"/>
  <c r="C6070" i="1"/>
  <c r="C6069" i="1"/>
  <c r="C6068" i="1"/>
  <c r="C6067" i="1"/>
  <c r="C6066" i="1"/>
  <c r="C6065" i="1"/>
  <c r="C6064" i="1"/>
  <c r="C6063" i="1"/>
  <c r="C6062" i="1"/>
  <c r="C6061" i="1"/>
  <c r="C6060" i="1"/>
  <c r="C6059" i="1"/>
  <c r="C6058" i="1"/>
  <c r="C6057" i="1"/>
  <c r="C6056" i="1"/>
  <c r="C6055" i="1"/>
  <c r="C6054" i="1"/>
  <c r="C6053" i="1"/>
  <c r="C6052" i="1"/>
  <c r="C6051" i="1"/>
  <c r="C6050" i="1"/>
  <c r="C6049" i="1"/>
  <c r="C6048" i="1"/>
  <c r="C6047" i="1"/>
  <c r="C6046" i="1"/>
  <c r="C6045" i="1"/>
  <c r="C6044" i="1"/>
  <c r="C6043" i="1"/>
  <c r="C6042" i="1"/>
  <c r="C6041" i="1"/>
  <c r="C6040" i="1"/>
  <c r="C6039" i="1"/>
  <c r="C6038" i="1"/>
  <c r="C6037" i="1"/>
  <c r="C6036" i="1"/>
  <c r="C6035" i="1"/>
  <c r="C6034" i="1"/>
  <c r="C6033" i="1"/>
  <c r="C6032" i="1"/>
  <c r="C6031" i="1"/>
  <c r="C6030" i="1"/>
  <c r="C6029" i="1"/>
  <c r="C6028" i="1"/>
  <c r="C6027" i="1"/>
  <c r="C6026" i="1"/>
  <c r="C6025" i="1"/>
  <c r="C6024" i="1"/>
  <c r="C6023" i="1"/>
  <c r="C6022" i="1"/>
  <c r="C6021" i="1"/>
  <c r="C6020" i="1"/>
  <c r="C6019" i="1"/>
  <c r="C6018" i="1"/>
  <c r="C6017" i="1"/>
  <c r="C6016" i="1"/>
  <c r="C6015" i="1"/>
  <c r="C6014" i="1"/>
  <c r="C6013" i="1"/>
  <c r="C6012" i="1"/>
  <c r="C6011" i="1"/>
  <c r="C6010" i="1"/>
  <c r="C6009" i="1"/>
  <c r="C6008" i="1"/>
  <c r="C6007" i="1"/>
  <c r="C6006" i="1"/>
  <c r="C6005" i="1"/>
  <c r="C6004" i="1"/>
  <c r="C6003" i="1"/>
  <c r="C6002" i="1"/>
  <c r="C6001" i="1"/>
  <c r="C6000" i="1"/>
  <c r="C5999" i="1"/>
  <c r="C5998" i="1"/>
  <c r="C5997" i="1"/>
  <c r="C5996" i="1"/>
  <c r="C5995" i="1"/>
  <c r="C5994" i="1"/>
  <c r="C5993" i="1"/>
  <c r="C5992" i="1"/>
  <c r="C5991" i="1"/>
  <c r="C5990" i="1"/>
  <c r="C5989" i="1"/>
  <c r="C5988" i="1"/>
  <c r="C5987" i="1"/>
  <c r="C5986" i="1"/>
  <c r="C5985" i="1"/>
  <c r="C5984" i="1"/>
  <c r="C5983" i="1"/>
  <c r="C5982" i="1"/>
  <c r="C5981" i="1"/>
  <c r="C5980" i="1"/>
  <c r="C5979" i="1"/>
  <c r="C5978" i="1"/>
  <c r="C5977" i="1"/>
  <c r="C5976" i="1"/>
  <c r="C5975" i="1"/>
  <c r="C5974" i="1"/>
  <c r="C5973" i="1"/>
  <c r="C5972" i="1"/>
  <c r="C5971" i="1"/>
  <c r="C5970" i="1"/>
  <c r="C5969" i="1"/>
  <c r="C5968" i="1"/>
  <c r="C5967" i="1"/>
  <c r="C5966" i="1"/>
  <c r="C5965" i="1"/>
  <c r="C5964" i="1"/>
  <c r="C5963" i="1"/>
  <c r="C5962" i="1"/>
  <c r="C5961" i="1"/>
  <c r="C5960" i="1"/>
  <c r="C5959" i="1"/>
  <c r="C5958" i="1"/>
  <c r="C5957" i="1"/>
  <c r="C5956" i="1"/>
  <c r="C5955" i="1"/>
  <c r="C5954" i="1"/>
  <c r="C5953" i="1"/>
  <c r="C5952" i="1"/>
  <c r="C5951" i="1"/>
  <c r="C5950" i="1"/>
  <c r="C5949" i="1"/>
  <c r="C5948" i="1"/>
  <c r="C5947" i="1"/>
  <c r="C5946" i="1"/>
  <c r="C5945" i="1"/>
  <c r="C5944" i="1"/>
  <c r="C5943" i="1"/>
  <c r="C5942" i="1"/>
  <c r="C5941" i="1"/>
  <c r="C5940" i="1"/>
  <c r="C5939" i="1"/>
  <c r="C5938" i="1"/>
  <c r="C5937" i="1"/>
  <c r="C5936" i="1"/>
  <c r="C5935" i="1"/>
  <c r="C5934" i="1"/>
  <c r="C5933" i="1"/>
  <c r="C5932" i="1"/>
  <c r="C5931" i="1"/>
  <c r="C5930" i="1"/>
  <c r="C5929" i="1"/>
  <c r="C5928" i="1"/>
  <c r="C5927" i="1"/>
  <c r="C5926" i="1"/>
  <c r="C5925" i="1"/>
  <c r="C5924" i="1"/>
  <c r="C5923" i="1"/>
  <c r="C5922" i="1"/>
  <c r="C5921" i="1"/>
  <c r="C5920" i="1"/>
  <c r="C5919" i="1"/>
  <c r="C5918" i="1"/>
  <c r="C5917" i="1"/>
  <c r="C5916" i="1"/>
  <c r="C5915" i="1"/>
  <c r="C5914" i="1"/>
  <c r="C5913" i="1"/>
  <c r="C5912" i="1"/>
  <c r="C5911" i="1"/>
  <c r="C5910" i="1"/>
  <c r="C5909" i="1"/>
  <c r="C5908" i="1"/>
  <c r="C5907" i="1"/>
  <c r="C5906" i="1"/>
  <c r="C5905" i="1"/>
  <c r="C5904" i="1"/>
  <c r="C5903" i="1"/>
  <c r="C5902" i="1"/>
  <c r="C5901" i="1"/>
  <c r="C5900" i="1"/>
  <c r="C5899" i="1"/>
  <c r="C5898" i="1"/>
  <c r="C5897" i="1"/>
  <c r="C5896" i="1"/>
  <c r="C5895" i="1"/>
  <c r="C5894" i="1"/>
  <c r="C5893" i="1"/>
  <c r="C5892" i="1"/>
  <c r="C5891" i="1"/>
  <c r="C5890" i="1"/>
  <c r="C5889" i="1"/>
  <c r="C5888" i="1"/>
  <c r="C5887" i="1"/>
  <c r="C5886" i="1"/>
  <c r="C5885" i="1"/>
  <c r="C5884" i="1"/>
  <c r="C5883" i="1"/>
  <c r="C5882" i="1"/>
  <c r="C5881" i="1"/>
  <c r="C5880" i="1"/>
  <c r="C5879" i="1"/>
  <c r="C5878" i="1"/>
  <c r="C5877" i="1"/>
  <c r="C5876" i="1"/>
  <c r="C5875" i="1"/>
  <c r="C5874" i="1"/>
  <c r="C5873" i="1"/>
  <c r="C5872" i="1"/>
  <c r="C5871" i="1"/>
  <c r="C5870" i="1"/>
  <c r="C5869" i="1"/>
  <c r="C5868" i="1"/>
  <c r="C5867" i="1"/>
  <c r="C5866" i="1"/>
  <c r="C5865" i="1"/>
  <c r="C5864" i="1"/>
  <c r="C5863" i="1"/>
  <c r="C5862" i="1"/>
  <c r="C5861" i="1"/>
  <c r="C5860" i="1"/>
  <c r="C5859" i="1"/>
  <c r="C5858" i="1"/>
  <c r="C5857" i="1"/>
  <c r="C5856" i="1"/>
  <c r="C5855" i="1"/>
  <c r="C5854" i="1"/>
  <c r="C5853" i="1"/>
  <c r="C5852" i="1"/>
  <c r="C5851" i="1"/>
  <c r="C5850" i="1"/>
  <c r="C5849" i="1"/>
  <c r="C5848" i="1"/>
  <c r="C5847" i="1"/>
  <c r="D5847" i="1" s="1"/>
  <c r="X5847" i="1" s="1"/>
  <c r="C5846" i="1"/>
  <c r="C5845" i="1"/>
  <c r="C5844" i="1"/>
  <c r="C5843" i="1"/>
  <c r="C5842" i="1"/>
  <c r="C5841" i="1"/>
  <c r="C5840" i="1"/>
  <c r="C5839" i="1"/>
  <c r="D5839" i="1" s="1"/>
  <c r="X5839" i="1" s="1"/>
  <c r="C5838" i="1"/>
  <c r="C5837" i="1"/>
  <c r="C5836" i="1"/>
  <c r="C5835" i="1"/>
  <c r="C5834" i="1"/>
  <c r="C5833" i="1"/>
  <c r="C5832" i="1"/>
  <c r="C5831" i="1"/>
  <c r="D5831" i="1" s="1"/>
  <c r="X5831" i="1" s="1"/>
  <c r="C5830" i="1"/>
  <c r="C5829" i="1"/>
  <c r="C5828" i="1"/>
  <c r="C5827" i="1"/>
  <c r="C5826" i="1"/>
  <c r="C5825" i="1"/>
  <c r="C5824" i="1"/>
  <c r="V5823" i="1"/>
  <c r="C5823" i="1"/>
  <c r="D5823" i="1" s="1"/>
  <c r="X5823" i="1" s="1"/>
  <c r="C5822" i="1"/>
  <c r="C5821" i="1"/>
  <c r="C5820" i="1"/>
  <c r="C5819" i="1"/>
  <c r="C5818" i="1"/>
  <c r="C5817" i="1"/>
  <c r="C5816" i="1"/>
  <c r="C5815" i="1"/>
  <c r="C5814" i="1"/>
  <c r="C5813" i="1"/>
  <c r="C5812" i="1"/>
  <c r="C5811" i="1"/>
  <c r="C5810" i="1"/>
  <c r="C5809" i="1"/>
  <c r="C5808" i="1"/>
  <c r="C5807" i="1"/>
  <c r="D5807" i="1" s="1"/>
  <c r="X5807" i="1" s="1"/>
  <c r="C5806" i="1"/>
  <c r="C5805" i="1"/>
  <c r="C5804" i="1"/>
  <c r="C5803" i="1"/>
  <c r="C5802" i="1"/>
  <c r="C5801" i="1"/>
  <c r="C5800" i="1"/>
  <c r="C5799" i="1"/>
  <c r="D5799" i="1" s="1"/>
  <c r="X5799" i="1" s="1"/>
  <c r="C5798" i="1"/>
  <c r="C5797" i="1"/>
  <c r="C5796" i="1"/>
  <c r="C5795" i="1"/>
  <c r="C5794" i="1"/>
  <c r="C5793" i="1"/>
  <c r="C5792" i="1"/>
  <c r="C5791" i="1"/>
  <c r="D5791" i="1" s="1"/>
  <c r="X5791" i="1" s="1"/>
  <c r="C5790" i="1"/>
  <c r="C5789" i="1"/>
  <c r="C5788" i="1"/>
  <c r="C5787" i="1"/>
  <c r="C5786" i="1"/>
  <c r="C5785" i="1"/>
  <c r="C5784" i="1"/>
  <c r="V5783" i="1"/>
  <c r="C5783" i="1"/>
  <c r="D5783" i="1" s="1"/>
  <c r="X5783" i="1" s="1"/>
  <c r="C5782" i="1"/>
  <c r="C5781" i="1"/>
  <c r="C5780" i="1"/>
  <c r="C5779" i="1"/>
  <c r="C5778" i="1"/>
  <c r="C5777" i="1"/>
  <c r="C5776" i="1"/>
  <c r="C5775" i="1"/>
  <c r="D5775" i="1" s="1"/>
  <c r="X5775" i="1" s="1"/>
  <c r="C5774" i="1"/>
  <c r="C5773" i="1"/>
  <c r="C5772" i="1"/>
  <c r="C5771" i="1"/>
  <c r="C5770" i="1"/>
  <c r="C5769" i="1"/>
  <c r="C5768" i="1"/>
  <c r="C5767" i="1"/>
  <c r="D5767" i="1" s="1"/>
  <c r="X5767" i="1" s="1"/>
  <c r="C5766" i="1"/>
  <c r="C5765" i="1"/>
  <c r="C5764" i="1"/>
  <c r="C5763" i="1"/>
  <c r="C5762" i="1"/>
  <c r="C5761" i="1"/>
  <c r="C5760" i="1"/>
  <c r="V5759" i="1"/>
  <c r="C5759" i="1"/>
  <c r="D5759" i="1" s="1"/>
  <c r="X5759" i="1" s="1"/>
  <c r="C5758" i="1"/>
  <c r="C5757" i="1"/>
  <c r="C5756" i="1"/>
  <c r="C5755" i="1"/>
  <c r="C5754" i="1"/>
  <c r="C5753" i="1"/>
  <c r="C5752" i="1"/>
  <c r="C5751" i="1"/>
  <c r="C5750" i="1"/>
  <c r="C5749" i="1"/>
  <c r="C5748" i="1"/>
  <c r="C5747" i="1"/>
  <c r="C5746" i="1"/>
  <c r="C5745" i="1"/>
  <c r="C5744" i="1"/>
  <c r="C5743" i="1"/>
  <c r="D5743" i="1" s="1"/>
  <c r="X5743" i="1" s="1"/>
  <c r="C5742" i="1"/>
  <c r="C5741" i="1"/>
  <c r="C5740" i="1"/>
  <c r="C5739" i="1"/>
  <c r="C5738" i="1"/>
  <c r="C5737" i="1"/>
  <c r="C5736" i="1"/>
  <c r="C5735" i="1"/>
  <c r="D5735" i="1" s="1"/>
  <c r="X5735" i="1" s="1"/>
  <c r="C5734" i="1"/>
  <c r="C5733" i="1"/>
  <c r="C5732" i="1"/>
  <c r="C5731" i="1"/>
  <c r="C5730" i="1"/>
  <c r="C5729" i="1"/>
  <c r="C5728" i="1"/>
  <c r="V5727" i="1"/>
  <c r="C5727" i="1"/>
  <c r="D5727" i="1" s="1"/>
  <c r="X5727" i="1" s="1"/>
  <c r="C5726" i="1"/>
  <c r="C5725" i="1"/>
  <c r="C5724" i="1"/>
  <c r="C5723" i="1"/>
  <c r="C5722" i="1"/>
  <c r="C5721" i="1"/>
  <c r="C5720" i="1"/>
  <c r="C5719" i="1"/>
  <c r="D5719" i="1" s="1"/>
  <c r="X5719" i="1" s="1"/>
  <c r="C5718" i="1"/>
  <c r="C5717" i="1"/>
  <c r="C5716" i="1"/>
  <c r="C5715" i="1"/>
  <c r="C5714" i="1"/>
  <c r="C5713" i="1"/>
  <c r="C5712" i="1"/>
  <c r="C5711" i="1"/>
  <c r="D5711" i="1" s="1"/>
  <c r="X5711" i="1" s="1"/>
  <c r="C5710" i="1"/>
  <c r="C5709" i="1"/>
  <c r="C5708" i="1"/>
  <c r="C5707" i="1"/>
  <c r="C5706" i="1"/>
  <c r="C5705" i="1"/>
  <c r="C5704" i="1"/>
  <c r="C5703" i="1"/>
  <c r="D5703" i="1" s="1"/>
  <c r="X5703" i="1" s="1"/>
  <c r="C5702" i="1"/>
  <c r="C5701" i="1"/>
  <c r="C5700" i="1"/>
  <c r="C5699" i="1"/>
  <c r="C5698" i="1"/>
  <c r="C5697" i="1"/>
  <c r="C5696" i="1"/>
  <c r="V5695" i="1"/>
  <c r="C5695" i="1"/>
  <c r="D5695" i="1" s="1"/>
  <c r="X5695" i="1" s="1"/>
  <c r="C5694" i="1"/>
  <c r="C5693" i="1"/>
  <c r="C5692" i="1"/>
  <c r="C5691" i="1"/>
  <c r="C5690" i="1"/>
  <c r="C5689" i="1"/>
  <c r="C5688" i="1"/>
  <c r="C5687" i="1"/>
  <c r="C5686" i="1"/>
  <c r="C5685" i="1"/>
  <c r="C5684" i="1"/>
  <c r="C5683" i="1"/>
  <c r="C5682" i="1"/>
  <c r="C5681" i="1"/>
  <c r="C5680" i="1"/>
  <c r="C5679" i="1"/>
  <c r="D5679" i="1" s="1"/>
  <c r="X5679" i="1" s="1"/>
  <c r="C5678" i="1"/>
  <c r="C5677" i="1"/>
  <c r="C5676" i="1"/>
  <c r="C5675" i="1"/>
  <c r="C5674" i="1"/>
  <c r="C5673" i="1"/>
  <c r="C5672" i="1"/>
  <c r="C5671" i="1"/>
  <c r="D5671" i="1" s="1"/>
  <c r="X5671" i="1" s="1"/>
  <c r="C5670" i="1"/>
  <c r="C5669" i="1"/>
  <c r="C5668" i="1"/>
  <c r="C5667" i="1"/>
  <c r="C5666" i="1"/>
  <c r="C5665" i="1"/>
  <c r="C5664" i="1"/>
  <c r="C5663" i="1"/>
  <c r="D5663" i="1" s="1"/>
  <c r="X5663" i="1" s="1"/>
  <c r="C5662" i="1"/>
  <c r="C5661" i="1"/>
  <c r="C5660" i="1"/>
  <c r="C5659" i="1"/>
  <c r="C5658" i="1"/>
  <c r="C5657" i="1"/>
  <c r="C5656" i="1"/>
  <c r="V5655" i="1"/>
  <c r="C5655" i="1"/>
  <c r="D5655" i="1" s="1"/>
  <c r="X5655" i="1" s="1"/>
  <c r="C5654" i="1"/>
  <c r="C5653" i="1"/>
  <c r="C5652" i="1"/>
  <c r="C5651" i="1"/>
  <c r="C5650" i="1"/>
  <c r="C5649" i="1"/>
  <c r="C5648" i="1"/>
  <c r="C5647" i="1"/>
  <c r="D5647" i="1" s="1"/>
  <c r="X5647" i="1" s="1"/>
  <c r="C5646" i="1"/>
  <c r="C5645" i="1"/>
  <c r="C5644" i="1"/>
  <c r="C5643" i="1"/>
  <c r="C5642" i="1"/>
  <c r="C5641" i="1"/>
  <c r="C5640" i="1"/>
  <c r="C5639" i="1"/>
  <c r="D5639" i="1" s="1"/>
  <c r="X5639" i="1" s="1"/>
  <c r="C5638" i="1"/>
  <c r="C5637" i="1"/>
  <c r="C5636" i="1"/>
  <c r="C5635" i="1"/>
  <c r="C5634" i="1"/>
  <c r="C5633" i="1"/>
  <c r="C5632" i="1"/>
  <c r="V5631" i="1"/>
  <c r="C5631" i="1"/>
  <c r="D5631" i="1" s="1"/>
  <c r="X5631" i="1" s="1"/>
  <c r="C5630" i="1"/>
  <c r="C5629" i="1"/>
  <c r="C5628" i="1"/>
  <c r="C5627" i="1"/>
  <c r="C5626" i="1"/>
  <c r="C5625" i="1"/>
  <c r="C5624" i="1"/>
  <c r="C5623" i="1"/>
  <c r="C5622" i="1"/>
  <c r="C5621" i="1"/>
  <c r="C5620" i="1"/>
  <c r="C5619" i="1"/>
  <c r="C5618" i="1"/>
  <c r="C5617" i="1"/>
  <c r="C5616" i="1"/>
  <c r="C5615" i="1"/>
  <c r="D5615" i="1" s="1"/>
  <c r="X5615" i="1" s="1"/>
  <c r="C5614" i="1"/>
  <c r="C5613" i="1"/>
  <c r="C5612" i="1"/>
  <c r="C5611" i="1"/>
  <c r="C5610" i="1"/>
  <c r="C5609" i="1"/>
  <c r="C5608" i="1"/>
  <c r="C5607" i="1"/>
  <c r="D5607" i="1" s="1"/>
  <c r="X5607" i="1" s="1"/>
  <c r="C5606" i="1"/>
  <c r="C5605" i="1"/>
  <c r="C5604" i="1"/>
  <c r="C5603" i="1"/>
  <c r="C5602" i="1"/>
  <c r="C5601" i="1"/>
  <c r="C5600" i="1"/>
  <c r="V5599" i="1"/>
  <c r="C5599" i="1"/>
  <c r="D5599" i="1" s="1"/>
  <c r="X5599" i="1" s="1"/>
  <c r="C5598" i="1"/>
  <c r="C5597" i="1"/>
  <c r="C5596" i="1"/>
  <c r="C5595" i="1"/>
  <c r="C5594" i="1"/>
  <c r="C5593" i="1"/>
  <c r="C5592" i="1"/>
  <c r="C5591" i="1"/>
  <c r="D5591" i="1" s="1"/>
  <c r="X5591" i="1" s="1"/>
  <c r="C5590" i="1"/>
  <c r="C5589" i="1"/>
  <c r="C5588" i="1"/>
  <c r="C5587" i="1"/>
  <c r="C5586" i="1"/>
  <c r="C5585" i="1"/>
  <c r="C5584" i="1"/>
  <c r="C5583" i="1"/>
  <c r="D5583" i="1" s="1"/>
  <c r="X5583" i="1" s="1"/>
  <c r="C5582" i="1"/>
  <c r="C5581" i="1"/>
  <c r="C5580" i="1"/>
  <c r="C5579" i="1"/>
  <c r="C5578" i="1"/>
  <c r="C5577" i="1"/>
  <c r="C5576" i="1"/>
  <c r="C5575" i="1"/>
  <c r="D5575" i="1" s="1"/>
  <c r="X5575" i="1" s="1"/>
  <c r="C5574" i="1"/>
  <c r="C5573" i="1"/>
  <c r="C5572" i="1"/>
  <c r="C5571" i="1"/>
  <c r="C5570" i="1"/>
  <c r="C5569" i="1"/>
  <c r="C5568" i="1"/>
  <c r="V5567" i="1"/>
  <c r="C5567" i="1"/>
  <c r="D5567" i="1" s="1"/>
  <c r="X5567" i="1" s="1"/>
  <c r="C5566" i="1"/>
  <c r="C5565" i="1"/>
  <c r="C5564" i="1"/>
  <c r="C5563" i="1"/>
  <c r="C5562" i="1"/>
  <c r="C5561" i="1"/>
  <c r="C5560" i="1"/>
  <c r="C5559" i="1"/>
  <c r="C5558" i="1"/>
  <c r="C5557" i="1"/>
  <c r="C5556" i="1"/>
  <c r="C5555" i="1"/>
  <c r="C5554" i="1"/>
  <c r="C5553" i="1"/>
  <c r="C5552" i="1"/>
  <c r="C5551" i="1"/>
  <c r="C5550" i="1"/>
  <c r="C5549" i="1"/>
  <c r="C5548" i="1"/>
  <c r="C5547" i="1"/>
  <c r="C5546" i="1"/>
  <c r="C5545" i="1"/>
  <c r="C5544" i="1"/>
  <c r="C5543" i="1"/>
  <c r="C5542" i="1"/>
  <c r="C5541" i="1"/>
  <c r="C5540" i="1"/>
  <c r="C5539" i="1"/>
  <c r="C5538" i="1"/>
  <c r="C5537" i="1"/>
  <c r="C5536" i="1"/>
  <c r="C5535" i="1"/>
  <c r="C5534" i="1"/>
  <c r="C5533" i="1"/>
  <c r="C5532" i="1"/>
  <c r="C5531" i="1"/>
  <c r="C5530" i="1"/>
  <c r="C5529" i="1"/>
  <c r="C5528" i="1"/>
  <c r="C5527" i="1"/>
  <c r="C5526" i="1"/>
  <c r="C5525" i="1"/>
  <c r="C5524" i="1"/>
  <c r="C5523" i="1"/>
  <c r="C5522" i="1"/>
  <c r="C5521" i="1"/>
  <c r="C5520" i="1"/>
  <c r="C5519" i="1"/>
  <c r="C5518" i="1"/>
  <c r="C5517" i="1"/>
  <c r="C5516" i="1"/>
  <c r="C5515" i="1"/>
  <c r="C5514" i="1"/>
  <c r="C5513" i="1"/>
  <c r="C5512" i="1"/>
  <c r="C5511" i="1"/>
  <c r="C5510" i="1"/>
  <c r="C5509" i="1"/>
  <c r="C5508" i="1"/>
  <c r="C5507" i="1"/>
  <c r="C5506" i="1"/>
  <c r="C5505" i="1"/>
  <c r="C5504" i="1"/>
  <c r="C5503" i="1"/>
  <c r="C5502" i="1"/>
  <c r="C5501" i="1"/>
  <c r="C5500" i="1"/>
  <c r="C5499" i="1"/>
  <c r="C5498" i="1"/>
  <c r="C5497" i="1"/>
  <c r="C5496" i="1"/>
  <c r="C5495" i="1"/>
  <c r="C5494" i="1"/>
  <c r="C5493" i="1"/>
  <c r="C5492" i="1"/>
  <c r="C5491" i="1"/>
  <c r="C5490" i="1"/>
  <c r="C5489" i="1"/>
  <c r="C5488" i="1"/>
  <c r="C5487" i="1"/>
  <c r="C5486" i="1"/>
  <c r="C5485" i="1"/>
  <c r="C5484" i="1"/>
  <c r="C5483" i="1"/>
  <c r="C5482" i="1"/>
  <c r="C5481" i="1"/>
  <c r="C5480" i="1"/>
  <c r="C5479" i="1"/>
  <c r="C5478" i="1"/>
  <c r="C5477" i="1"/>
  <c r="C5476" i="1"/>
  <c r="C5475" i="1"/>
  <c r="C5474" i="1"/>
  <c r="C5473" i="1"/>
  <c r="C5472" i="1"/>
  <c r="C5471" i="1"/>
  <c r="C5470" i="1"/>
  <c r="C5469" i="1"/>
  <c r="C5468" i="1"/>
  <c r="C5467" i="1"/>
  <c r="C5466" i="1"/>
  <c r="C5465" i="1"/>
  <c r="C5464" i="1"/>
  <c r="C5463" i="1"/>
  <c r="C5462" i="1"/>
  <c r="C5461" i="1"/>
  <c r="C5460" i="1"/>
  <c r="C5459" i="1"/>
  <c r="C5458" i="1"/>
  <c r="C5457" i="1"/>
  <c r="C5456" i="1"/>
  <c r="C5455" i="1"/>
  <c r="C5454" i="1"/>
  <c r="C5453" i="1"/>
  <c r="C5452" i="1"/>
  <c r="C5451" i="1"/>
  <c r="C5450" i="1"/>
  <c r="C5449" i="1"/>
  <c r="C5448" i="1"/>
  <c r="C5447" i="1"/>
  <c r="C5446" i="1"/>
  <c r="C5445" i="1"/>
  <c r="C5444" i="1"/>
  <c r="C5443" i="1"/>
  <c r="C5442" i="1"/>
  <c r="C5441" i="1"/>
  <c r="C5440" i="1"/>
  <c r="C5439" i="1"/>
  <c r="C5438" i="1"/>
  <c r="C5437" i="1"/>
  <c r="C5436" i="1"/>
  <c r="C5435" i="1"/>
  <c r="C5434" i="1"/>
  <c r="C5433" i="1"/>
  <c r="C5432" i="1"/>
  <c r="C5431" i="1"/>
  <c r="C5430" i="1"/>
  <c r="C5429" i="1"/>
  <c r="C5428" i="1"/>
  <c r="C5427" i="1"/>
  <c r="C5426" i="1"/>
  <c r="C5425" i="1"/>
  <c r="C5424" i="1"/>
  <c r="C5423" i="1"/>
  <c r="C5422" i="1"/>
  <c r="C5421" i="1"/>
  <c r="C5420" i="1"/>
  <c r="C5419" i="1"/>
  <c r="C5418" i="1"/>
  <c r="C5417" i="1"/>
  <c r="C5416" i="1"/>
  <c r="C5415" i="1"/>
  <c r="C5414" i="1"/>
  <c r="C5413" i="1"/>
  <c r="C5412" i="1"/>
  <c r="C5411" i="1"/>
  <c r="C5410" i="1"/>
  <c r="C5409" i="1"/>
  <c r="C5408" i="1"/>
  <c r="C5407" i="1"/>
  <c r="C5406" i="1"/>
  <c r="C5405" i="1"/>
  <c r="C5404" i="1"/>
  <c r="C5403" i="1"/>
  <c r="C5402" i="1"/>
  <c r="C5401" i="1"/>
  <c r="C5400" i="1"/>
  <c r="C5399" i="1"/>
  <c r="C5398" i="1"/>
  <c r="C5397" i="1"/>
  <c r="C5396" i="1"/>
  <c r="C5395" i="1"/>
  <c r="C5394" i="1"/>
  <c r="C5393" i="1"/>
  <c r="C5392" i="1"/>
  <c r="C5391" i="1"/>
  <c r="C5390" i="1"/>
  <c r="C5389" i="1"/>
  <c r="C5388" i="1"/>
  <c r="C5387" i="1"/>
  <c r="C5386" i="1"/>
  <c r="C5385" i="1"/>
  <c r="C5384" i="1"/>
  <c r="C5383" i="1"/>
  <c r="C5382" i="1"/>
  <c r="C5381" i="1"/>
  <c r="C5380" i="1"/>
  <c r="C5379" i="1"/>
  <c r="C5378" i="1"/>
  <c r="C5377" i="1"/>
  <c r="C5376" i="1"/>
  <c r="C5375" i="1"/>
  <c r="C5374" i="1"/>
  <c r="C5373" i="1"/>
  <c r="C5372" i="1"/>
  <c r="C5371" i="1"/>
  <c r="C5370" i="1"/>
  <c r="C5369" i="1"/>
  <c r="C5368" i="1"/>
  <c r="C5367" i="1"/>
  <c r="C5366" i="1"/>
  <c r="C5365" i="1"/>
  <c r="C5364" i="1"/>
  <c r="C5363" i="1"/>
  <c r="C5362" i="1"/>
  <c r="C5361" i="1"/>
  <c r="C5360" i="1"/>
  <c r="C5359" i="1"/>
  <c r="C5358" i="1"/>
  <c r="C5357" i="1"/>
  <c r="C5356" i="1"/>
  <c r="C5355" i="1"/>
  <c r="C5354" i="1"/>
  <c r="C5353" i="1"/>
  <c r="C5352" i="1"/>
  <c r="C5351" i="1"/>
  <c r="C5350" i="1"/>
  <c r="C5349" i="1"/>
  <c r="C5348" i="1"/>
  <c r="C5347" i="1"/>
  <c r="C5346" i="1"/>
  <c r="C5345" i="1"/>
  <c r="C5344" i="1"/>
  <c r="C5343" i="1"/>
  <c r="C5342" i="1"/>
  <c r="C5341" i="1"/>
  <c r="C5340" i="1"/>
  <c r="C5339" i="1"/>
  <c r="C5338" i="1"/>
  <c r="C5337" i="1"/>
  <c r="C5336" i="1"/>
  <c r="C5335" i="1"/>
  <c r="C5334" i="1"/>
  <c r="C5333" i="1"/>
  <c r="C5332" i="1"/>
  <c r="C5331" i="1"/>
  <c r="C5330" i="1"/>
  <c r="C5329" i="1"/>
  <c r="C5328" i="1"/>
  <c r="C5327" i="1"/>
  <c r="C5326" i="1"/>
  <c r="C5325" i="1"/>
  <c r="C5324" i="1"/>
  <c r="C5323" i="1"/>
  <c r="C5322" i="1"/>
  <c r="C5321" i="1"/>
  <c r="C5320" i="1"/>
  <c r="C5319" i="1"/>
  <c r="C5318" i="1"/>
  <c r="C5317" i="1"/>
  <c r="C5316" i="1"/>
  <c r="C5315" i="1"/>
  <c r="C5314" i="1"/>
  <c r="C5313" i="1"/>
  <c r="C5312" i="1"/>
  <c r="C5311" i="1"/>
  <c r="C5310" i="1"/>
  <c r="C5309" i="1"/>
  <c r="C5308" i="1"/>
  <c r="C5307" i="1"/>
  <c r="C5306" i="1"/>
  <c r="C5305" i="1"/>
  <c r="C5304" i="1"/>
  <c r="C5303" i="1"/>
  <c r="C5302" i="1"/>
  <c r="C5301" i="1"/>
  <c r="C5300" i="1"/>
  <c r="C5299" i="1"/>
  <c r="C5298" i="1"/>
  <c r="C5297" i="1"/>
  <c r="C5296" i="1"/>
  <c r="C5295" i="1"/>
  <c r="C5294" i="1"/>
  <c r="C5293" i="1"/>
  <c r="C5292" i="1"/>
  <c r="C5291" i="1"/>
  <c r="C5290" i="1"/>
  <c r="C5289" i="1"/>
  <c r="C5288" i="1"/>
  <c r="C5287" i="1"/>
  <c r="C5286" i="1"/>
  <c r="C5285" i="1"/>
  <c r="C5284" i="1"/>
  <c r="C5283" i="1"/>
  <c r="C5282" i="1"/>
  <c r="C5281" i="1"/>
  <c r="C5280" i="1"/>
  <c r="C5279" i="1"/>
  <c r="C5278" i="1"/>
  <c r="C5277" i="1"/>
  <c r="C5276" i="1"/>
  <c r="C5275" i="1"/>
  <c r="C5274" i="1"/>
  <c r="C5273" i="1"/>
  <c r="C5272" i="1"/>
  <c r="C5271" i="1"/>
  <c r="C5270" i="1"/>
  <c r="C5269" i="1"/>
  <c r="C5268" i="1"/>
  <c r="C5267" i="1"/>
  <c r="C5266" i="1"/>
  <c r="C5265" i="1"/>
  <c r="C5264" i="1"/>
  <c r="C5263" i="1"/>
  <c r="C5262" i="1"/>
  <c r="C5261" i="1"/>
  <c r="C5260" i="1"/>
  <c r="C5259" i="1"/>
  <c r="C5258" i="1"/>
  <c r="C5257" i="1"/>
  <c r="C5256" i="1"/>
  <c r="C5255" i="1"/>
  <c r="C5254" i="1"/>
  <c r="C5253" i="1"/>
  <c r="C5252" i="1"/>
  <c r="C5251" i="1"/>
  <c r="C5250" i="1"/>
  <c r="C5249" i="1"/>
  <c r="C5248" i="1"/>
  <c r="C5247" i="1"/>
  <c r="C5246" i="1"/>
  <c r="C5245" i="1"/>
  <c r="C5244" i="1"/>
  <c r="C5243" i="1"/>
  <c r="C5242" i="1"/>
  <c r="C5241" i="1"/>
  <c r="C5240" i="1"/>
  <c r="C5239" i="1"/>
  <c r="C5238" i="1"/>
  <c r="C5237" i="1"/>
  <c r="C5236" i="1"/>
  <c r="C5235" i="1"/>
  <c r="C5234" i="1"/>
  <c r="C5233" i="1"/>
  <c r="C5232" i="1"/>
  <c r="C5231" i="1"/>
  <c r="C5230" i="1"/>
  <c r="C5229" i="1"/>
  <c r="C5228" i="1"/>
  <c r="C5227" i="1"/>
  <c r="C5226" i="1"/>
  <c r="C5225" i="1"/>
  <c r="C5224" i="1"/>
  <c r="C5223" i="1"/>
  <c r="C5222" i="1"/>
  <c r="C5221" i="1"/>
  <c r="C5220" i="1"/>
  <c r="C5219" i="1"/>
  <c r="C5218" i="1"/>
  <c r="C5217" i="1"/>
  <c r="C5216" i="1"/>
  <c r="C5215" i="1"/>
  <c r="C5214" i="1"/>
  <c r="C5213" i="1"/>
  <c r="C5212" i="1"/>
  <c r="C5211" i="1"/>
  <c r="C5210" i="1"/>
  <c r="C5209" i="1"/>
  <c r="C5208" i="1"/>
  <c r="C5207" i="1"/>
  <c r="C5206" i="1"/>
  <c r="C5205" i="1"/>
  <c r="C5204" i="1"/>
  <c r="C5203" i="1"/>
  <c r="C5202" i="1"/>
  <c r="C5201" i="1"/>
  <c r="C5200" i="1"/>
  <c r="C5199" i="1"/>
  <c r="C5198" i="1"/>
  <c r="C5197" i="1"/>
  <c r="C5196" i="1"/>
  <c r="C5195" i="1"/>
  <c r="C5194" i="1"/>
  <c r="C5193" i="1"/>
  <c r="C5192" i="1"/>
  <c r="C5191" i="1"/>
  <c r="C5190" i="1"/>
  <c r="C5189" i="1"/>
  <c r="C5188" i="1"/>
  <c r="C5187" i="1"/>
  <c r="C5186" i="1"/>
  <c r="C5185" i="1"/>
  <c r="C5184" i="1"/>
  <c r="C5183" i="1"/>
  <c r="C5182" i="1"/>
  <c r="C5181" i="1"/>
  <c r="C5180" i="1"/>
  <c r="C5179" i="1"/>
  <c r="C5178" i="1"/>
  <c r="C5177" i="1"/>
  <c r="C5176" i="1"/>
  <c r="C5175" i="1"/>
  <c r="C5174" i="1"/>
  <c r="C5173" i="1"/>
  <c r="C5172" i="1"/>
  <c r="C5171" i="1"/>
  <c r="C5170" i="1"/>
  <c r="C5169" i="1"/>
  <c r="C5168" i="1"/>
  <c r="C5167" i="1"/>
  <c r="C5166" i="1"/>
  <c r="C5165" i="1"/>
  <c r="C5164" i="1"/>
  <c r="C5163" i="1"/>
  <c r="C5162" i="1"/>
  <c r="C5161" i="1"/>
  <c r="C5160" i="1"/>
  <c r="C5159" i="1"/>
  <c r="C5158" i="1"/>
  <c r="C5157" i="1"/>
  <c r="C5156" i="1"/>
  <c r="C5155" i="1"/>
  <c r="C5154" i="1"/>
  <c r="C5153" i="1"/>
  <c r="C5152" i="1"/>
  <c r="C5151" i="1"/>
  <c r="C5150" i="1"/>
  <c r="C5149" i="1"/>
  <c r="C5148" i="1"/>
  <c r="C5147" i="1"/>
  <c r="C5146" i="1"/>
  <c r="C5145" i="1"/>
  <c r="C5144" i="1"/>
  <c r="C5143" i="1"/>
  <c r="C5142" i="1"/>
  <c r="C5141" i="1"/>
  <c r="C5140" i="1"/>
  <c r="C5139" i="1"/>
  <c r="C5138" i="1"/>
  <c r="C5137" i="1"/>
  <c r="C5136" i="1"/>
  <c r="C5135" i="1"/>
  <c r="C5134" i="1"/>
  <c r="C5133" i="1"/>
  <c r="C5132" i="1"/>
  <c r="C5131" i="1"/>
  <c r="C5130" i="1"/>
  <c r="C5129" i="1"/>
  <c r="C5128" i="1"/>
  <c r="C5127" i="1"/>
  <c r="C5126" i="1"/>
  <c r="C5125" i="1"/>
  <c r="C5124" i="1"/>
  <c r="C5123" i="1"/>
  <c r="C5122" i="1"/>
  <c r="C5121" i="1"/>
  <c r="C5120" i="1"/>
  <c r="C5119" i="1"/>
  <c r="C5118" i="1"/>
  <c r="C5117" i="1"/>
  <c r="C5116" i="1"/>
  <c r="C5115" i="1"/>
  <c r="C5114" i="1"/>
  <c r="C5113" i="1"/>
  <c r="C5112" i="1"/>
  <c r="C5111" i="1"/>
  <c r="C5110" i="1"/>
  <c r="C5109" i="1"/>
  <c r="C5108" i="1"/>
  <c r="C5107" i="1"/>
  <c r="C5106" i="1"/>
  <c r="C5105" i="1"/>
  <c r="C5104" i="1"/>
  <c r="C5103" i="1"/>
  <c r="C5102" i="1"/>
  <c r="C5101" i="1"/>
  <c r="C5100" i="1"/>
  <c r="C5099" i="1"/>
  <c r="C5098" i="1"/>
  <c r="C5097" i="1"/>
  <c r="C5096" i="1"/>
  <c r="C5095" i="1"/>
  <c r="C5094" i="1"/>
  <c r="C5093" i="1"/>
  <c r="C5092" i="1"/>
  <c r="C5091" i="1"/>
  <c r="C5090" i="1"/>
  <c r="C5089" i="1"/>
  <c r="C5088" i="1"/>
  <c r="C5087" i="1"/>
  <c r="C5086" i="1"/>
  <c r="C5085" i="1"/>
  <c r="C5084" i="1"/>
  <c r="C5083" i="1"/>
  <c r="C5082" i="1"/>
  <c r="C5081" i="1"/>
  <c r="C5080" i="1"/>
  <c r="C5079" i="1"/>
  <c r="C5078" i="1"/>
  <c r="C5077" i="1"/>
  <c r="C5076" i="1"/>
  <c r="C5075" i="1"/>
  <c r="C5074" i="1"/>
  <c r="C5073" i="1"/>
  <c r="C5072" i="1"/>
  <c r="C5071" i="1"/>
  <c r="C5070" i="1"/>
  <c r="C5069" i="1"/>
  <c r="C5068" i="1"/>
  <c r="C5067" i="1"/>
  <c r="C5066" i="1"/>
  <c r="C5065" i="1"/>
  <c r="C5064" i="1"/>
  <c r="C5063" i="1"/>
  <c r="C5062" i="1"/>
  <c r="C5061" i="1"/>
  <c r="C5060" i="1"/>
  <c r="C5059" i="1"/>
  <c r="C5058" i="1"/>
  <c r="C5057" i="1"/>
  <c r="C5056" i="1"/>
  <c r="C5055" i="1"/>
  <c r="C5054" i="1"/>
  <c r="C5053" i="1"/>
  <c r="C5052" i="1"/>
  <c r="C5051" i="1"/>
  <c r="C5050" i="1"/>
  <c r="C5049" i="1"/>
  <c r="C5048" i="1"/>
  <c r="C5047" i="1"/>
  <c r="C5046" i="1"/>
  <c r="C5045" i="1"/>
  <c r="C5044" i="1"/>
  <c r="C5043" i="1"/>
  <c r="C5042" i="1"/>
  <c r="C5041" i="1"/>
  <c r="C5040" i="1"/>
  <c r="C5039" i="1"/>
  <c r="C5038" i="1"/>
  <c r="C5037" i="1"/>
  <c r="C5036" i="1"/>
  <c r="C5035" i="1"/>
  <c r="C5034" i="1"/>
  <c r="C5033" i="1"/>
  <c r="C5032" i="1"/>
  <c r="C5031" i="1"/>
  <c r="C5030" i="1"/>
  <c r="C5029" i="1"/>
  <c r="C5028" i="1"/>
  <c r="C5027" i="1"/>
  <c r="C5026" i="1"/>
  <c r="C5025" i="1"/>
  <c r="C5024" i="1"/>
  <c r="C5023" i="1"/>
  <c r="C5022" i="1"/>
  <c r="C5021" i="1"/>
  <c r="C5020" i="1"/>
  <c r="C5019" i="1"/>
  <c r="C5018" i="1"/>
  <c r="C5017" i="1"/>
  <c r="C5016" i="1"/>
  <c r="C5015" i="1"/>
  <c r="C5014" i="1"/>
  <c r="C5013" i="1"/>
  <c r="C5012" i="1"/>
  <c r="C5011" i="1"/>
  <c r="C5010" i="1"/>
  <c r="C5009" i="1"/>
  <c r="C5008" i="1"/>
  <c r="C5007" i="1"/>
  <c r="C5006" i="1"/>
  <c r="C5005" i="1"/>
  <c r="C5004" i="1"/>
  <c r="C5003" i="1"/>
  <c r="C5002" i="1"/>
  <c r="C5001" i="1"/>
  <c r="C5000" i="1"/>
  <c r="C4999" i="1"/>
  <c r="C4998" i="1"/>
  <c r="C4997" i="1"/>
  <c r="C4996" i="1"/>
  <c r="C4995" i="1"/>
  <c r="C4994" i="1"/>
  <c r="C4993" i="1"/>
  <c r="C4992" i="1"/>
  <c r="C4991" i="1"/>
  <c r="C4990" i="1"/>
  <c r="C4989" i="1"/>
  <c r="C4988" i="1"/>
  <c r="C4987" i="1"/>
  <c r="C4986" i="1"/>
  <c r="C4985" i="1"/>
  <c r="C4984" i="1"/>
  <c r="C4983" i="1"/>
  <c r="C4982" i="1"/>
  <c r="C4981" i="1"/>
  <c r="C4980" i="1"/>
  <c r="C4979" i="1"/>
  <c r="C4978" i="1"/>
  <c r="C4977" i="1"/>
  <c r="C4976" i="1"/>
  <c r="C4975" i="1"/>
  <c r="C4974" i="1"/>
  <c r="C4973" i="1"/>
  <c r="C4972" i="1"/>
  <c r="C4971" i="1"/>
  <c r="C4970" i="1"/>
  <c r="C4969" i="1"/>
  <c r="C4968" i="1"/>
  <c r="C4967" i="1"/>
  <c r="C4966" i="1"/>
  <c r="C4965" i="1"/>
  <c r="C4964" i="1"/>
  <c r="C4963" i="1"/>
  <c r="C4962" i="1"/>
  <c r="C4961" i="1"/>
  <c r="C4960" i="1"/>
  <c r="C4959" i="1"/>
  <c r="C4958" i="1"/>
  <c r="C4957" i="1"/>
  <c r="C4956" i="1"/>
  <c r="C4955" i="1"/>
  <c r="C4954" i="1"/>
  <c r="C4953" i="1"/>
  <c r="C4952" i="1"/>
  <c r="C4951" i="1"/>
  <c r="C4950" i="1"/>
  <c r="C4949" i="1"/>
  <c r="C4948" i="1"/>
  <c r="C4947" i="1"/>
  <c r="D4947" i="1" s="1"/>
  <c r="X4947" i="1" s="1"/>
  <c r="C4946" i="1"/>
  <c r="C4945" i="1"/>
  <c r="C4944" i="1"/>
  <c r="C4943" i="1"/>
  <c r="D4943" i="1" s="1"/>
  <c r="X4943" i="1" s="1"/>
  <c r="C4942" i="1"/>
  <c r="C4941" i="1"/>
  <c r="C4940" i="1"/>
  <c r="C4939" i="1"/>
  <c r="D4939" i="1" s="1"/>
  <c r="X4939" i="1" s="1"/>
  <c r="C4938" i="1"/>
  <c r="C4937" i="1"/>
  <c r="C4936" i="1"/>
  <c r="V4935" i="1"/>
  <c r="C4935" i="1"/>
  <c r="D4935" i="1" s="1"/>
  <c r="X4935" i="1" s="1"/>
  <c r="C4934" i="1"/>
  <c r="C4933" i="1"/>
  <c r="C4932" i="1"/>
  <c r="C4931" i="1"/>
  <c r="D4931" i="1" s="1"/>
  <c r="X4931" i="1" s="1"/>
  <c r="C4930" i="1"/>
  <c r="C4929" i="1"/>
  <c r="C4928" i="1"/>
  <c r="C4927" i="1"/>
  <c r="D4927" i="1" s="1"/>
  <c r="X4927" i="1" s="1"/>
  <c r="C4926" i="1"/>
  <c r="C4925" i="1"/>
  <c r="C4924" i="1"/>
  <c r="V4923" i="1"/>
  <c r="C4923" i="1"/>
  <c r="D4923" i="1" s="1"/>
  <c r="X4923" i="1" s="1"/>
  <c r="C4922" i="1"/>
  <c r="C4921" i="1"/>
  <c r="C4920" i="1"/>
  <c r="C4919" i="1"/>
  <c r="C4918" i="1"/>
  <c r="C4917" i="1"/>
  <c r="C4916" i="1"/>
  <c r="C4915" i="1"/>
  <c r="D4915" i="1" s="1"/>
  <c r="X4915" i="1" s="1"/>
  <c r="C4914" i="1"/>
  <c r="C4913" i="1"/>
  <c r="C4912" i="1"/>
  <c r="C4911" i="1"/>
  <c r="D4911" i="1" s="1"/>
  <c r="X4911" i="1" s="1"/>
  <c r="C4910" i="1"/>
  <c r="C4909" i="1"/>
  <c r="C4908" i="1"/>
  <c r="V4907" i="1"/>
  <c r="C4907" i="1"/>
  <c r="D4907" i="1" s="1"/>
  <c r="X4907" i="1" s="1"/>
  <c r="C4906" i="1"/>
  <c r="C4905" i="1"/>
  <c r="C4904" i="1"/>
  <c r="C4903" i="1"/>
  <c r="D4903" i="1" s="1"/>
  <c r="X4903" i="1" s="1"/>
  <c r="C4902" i="1"/>
  <c r="C4901" i="1"/>
  <c r="C4900" i="1"/>
  <c r="C4899" i="1"/>
  <c r="D4899" i="1" s="1"/>
  <c r="X4899" i="1" s="1"/>
  <c r="C4898" i="1"/>
  <c r="C4897" i="1"/>
  <c r="C4896" i="1"/>
  <c r="C4895" i="1"/>
  <c r="D4895" i="1" s="1"/>
  <c r="X4895" i="1" s="1"/>
  <c r="C4894" i="1"/>
  <c r="C4893" i="1"/>
  <c r="C4892" i="1"/>
  <c r="V4891" i="1"/>
  <c r="C4891" i="1"/>
  <c r="D4891" i="1" s="1"/>
  <c r="X4891" i="1" s="1"/>
  <c r="C4890" i="1"/>
  <c r="C4889" i="1"/>
  <c r="C4888" i="1"/>
  <c r="C4887" i="1"/>
  <c r="C4886" i="1"/>
  <c r="C4885" i="1"/>
  <c r="C4884" i="1"/>
  <c r="C4883" i="1"/>
  <c r="D4883" i="1" s="1"/>
  <c r="X4883" i="1" s="1"/>
  <c r="C4882" i="1"/>
  <c r="C4881" i="1"/>
  <c r="C4880" i="1"/>
  <c r="C4879" i="1"/>
  <c r="D4879" i="1" s="1"/>
  <c r="X4879" i="1" s="1"/>
  <c r="C4878" i="1"/>
  <c r="C4877" i="1"/>
  <c r="C4876" i="1"/>
  <c r="C4875" i="1"/>
  <c r="D4875" i="1" s="1"/>
  <c r="X4875" i="1" s="1"/>
  <c r="C4874" i="1"/>
  <c r="C4873" i="1"/>
  <c r="C4872" i="1"/>
  <c r="V4871" i="1"/>
  <c r="C4871" i="1"/>
  <c r="D4871" i="1" s="1"/>
  <c r="X4871" i="1" s="1"/>
  <c r="C4870" i="1"/>
  <c r="C4869" i="1"/>
  <c r="C4868" i="1"/>
  <c r="C4867" i="1"/>
  <c r="D4867" i="1" s="1"/>
  <c r="X4867" i="1" s="1"/>
  <c r="C4866" i="1"/>
  <c r="C4865" i="1"/>
  <c r="C4864" i="1"/>
  <c r="C4863" i="1"/>
  <c r="D4863" i="1" s="1"/>
  <c r="X4863" i="1" s="1"/>
  <c r="C4862" i="1"/>
  <c r="C4861" i="1"/>
  <c r="C4860" i="1"/>
  <c r="C4859" i="1"/>
  <c r="D4859" i="1" s="1"/>
  <c r="X4859" i="1" s="1"/>
  <c r="C4858" i="1"/>
  <c r="C4857" i="1"/>
  <c r="C4856" i="1"/>
  <c r="V4855" i="1"/>
  <c r="C4855" i="1"/>
  <c r="D4855" i="1" s="1"/>
  <c r="X4855" i="1" s="1"/>
  <c r="C4854" i="1"/>
  <c r="C4853" i="1"/>
  <c r="C4852" i="1"/>
  <c r="C4851" i="1"/>
  <c r="D4851" i="1" s="1"/>
  <c r="X4851" i="1" s="1"/>
  <c r="C4850" i="1"/>
  <c r="C4849" i="1"/>
  <c r="C4848" i="1"/>
  <c r="C4847" i="1"/>
  <c r="D4847" i="1" s="1"/>
  <c r="X4847" i="1" s="1"/>
  <c r="C4846" i="1"/>
  <c r="C4845" i="1"/>
  <c r="C4844" i="1"/>
  <c r="C4843" i="1"/>
  <c r="D4843" i="1" s="1"/>
  <c r="X4843" i="1" s="1"/>
  <c r="C4842" i="1"/>
  <c r="C4841" i="1"/>
  <c r="C4840" i="1"/>
  <c r="V4839" i="1"/>
  <c r="C4839" i="1"/>
  <c r="D4839" i="1" s="1"/>
  <c r="X4839" i="1" s="1"/>
  <c r="C4838" i="1"/>
  <c r="C4837" i="1"/>
  <c r="C4836" i="1"/>
  <c r="C4835" i="1"/>
  <c r="D4835" i="1" s="1"/>
  <c r="X4835" i="1" s="1"/>
  <c r="C4834" i="1"/>
  <c r="C4833" i="1"/>
  <c r="C4832" i="1"/>
  <c r="C4831" i="1"/>
  <c r="D4831" i="1" s="1"/>
  <c r="X4831" i="1" s="1"/>
  <c r="C4830" i="1"/>
  <c r="C4829" i="1"/>
  <c r="C4828" i="1"/>
  <c r="V4827" i="1"/>
  <c r="C4827" i="1"/>
  <c r="D4827" i="1" s="1"/>
  <c r="X4827" i="1" s="1"/>
  <c r="C4826" i="1"/>
  <c r="C4825" i="1"/>
  <c r="C4824" i="1"/>
  <c r="C4823" i="1"/>
  <c r="D4823" i="1" s="1"/>
  <c r="X4823" i="1" s="1"/>
  <c r="C4822" i="1"/>
  <c r="C4821" i="1"/>
  <c r="C4820" i="1"/>
  <c r="C4819" i="1"/>
  <c r="D4819" i="1" s="1"/>
  <c r="X4819" i="1" s="1"/>
  <c r="C4818" i="1"/>
  <c r="C4817" i="1"/>
  <c r="C4816" i="1"/>
  <c r="C4815" i="1"/>
  <c r="D4815" i="1" s="1"/>
  <c r="X4815" i="1" s="1"/>
  <c r="C4814" i="1"/>
  <c r="C4813" i="1"/>
  <c r="C4812" i="1"/>
  <c r="V4811" i="1"/>
  <c r="C4811" i="1"/>
  <c r="D4811" i="1" s="1"/>
  <c r="X4811" i="1" s="1"/>
  <c r="C4810" i="1"/>
  <c r="C4809" i="1"/>
  <c r="C4808" i="1"/>
  <c r="V4807" i="1"/>
  <c r="C4807" i="1"/>
  <c r="D4807" i="1" s="1"/>
  <c r="X4807" i="1" s="1"/>
  <c r="C4806" i="1"/>
  <c r="C4805" i="1"/>
  <c r="C4804" i="1"/>
  <c r="C4803" i="1"/>
  <c r="D4803" i="1" s="1"/>
  <c r="X4803" i="1" s="1"/>
  <c r="C4802" i="1"/>
  <c r="C4801" i="1"/>
  <c r="C4800" i="1"/>
  <c r="C4799" i="1"/>
  <c r="D4799" i="1" s="1"/>
  <c r="X4799" i="1" s="1"/>
  <c r="C4798" i="1"/>
  <c r="C4797" i="1"/>
  <c r="C4796" i="1"/>
  <c r="V4795" i="1"/>
  <c r="C4795" i="1"/>
  <c r="D4795" i="1" s="1"/>
  <c r="X4795" i="1" s="1"/>
  <c r="C4794" i="1"/>
  <c r="C4793" i="1"/>
  <c r="C4792" i="1"/>
  <c r="C4791" i="1"/>
  <c r="D4791" i="1" s="1"/>
  <c r="X4791" i="1" s="1"/>
  <c r="C4790" i="1"/>
  <c r="C4789" i="1"/>
  <c r="C4788" i="1"/>
  <c r="C4787" i="1"/>
  <c r="D4787" i="1" s="1"/>
  <c r="X4787" i="1" s="1"/>
  <c r="C4786" i="1"/>
  <c r="C4785" i="1"/>
  <c r="C4784" i="1"/>
  <c r="C4783" i="1"/>
  <c r="D4783" i="1" s="1"/>
  <c r="X4783" i="1" s="1"/>
  <c r="C4782" i="1"/>
  <c r="C4781" i="1"/>
  <c r="C4780" i="1"/>
  <c r="V4779" i="1"/>
  <c r="C4779" i="1"/>
  <c r="D4779" i="1" s="1"/>
  <c r="X4779" i="1" s="1"/>
  <c r="C4778" i="1"/>
  <c r="C4777" i="1"/>
  <c r="C4776" i="1"/>
  <c r="V4775" i="1"/>
  <c r="C4775" i="1"/>
  <c r="D4775" i="1" s="1"/>
  <c r="X4775" i="1" s="1"/>
  <c r="C4774" i="1"/>
  <c r="C4773" i="1"/>
  <c r="C4772" i="1"/>
  <c r="C4771" i="1"/>
  <c r="D4771" i="1" s="1"/>
  <c r="X4771" i="1" s="1"/>
  <c r="C4770" i="1"/>
  <c r="C4769" i="1"/>
  <c r="C4768" i="1"/>
  <c r="C4767" i="1"/>
  <c r="D4767" i="1" s="1"/>
  <c r="X4767" i="1" s="1"/>
  <c r="C4766" i="1"/>
  <c r="C4765" i="1"/>
  <c r="C4764" i="1"/>
  <c r="V4763" i="1"/>
  <c r="C4763" i="1"/>
  <c r="D4763" i="1" s="1"/>
  <c r="X4763" i="1" s="1"/>
  <c r="C4762" i="1"/>
  <c r="C4761" i="1"/>
  <c r="C4760" i="1"/>
  <c r="C4759" i="1"/>
  <c r="D4759" i="1" s="1"/>
  <c r="X4759" i="1" s="1"/>
  <c r="C4758" i="1"/>
  <c r="C4757" i="1"/>
  <c r="C4756" i="1"/>
  <c r="C4755" i="1"/>
  <c r="D4755" i="1" s="1"/>
  <c r="X4755" i="1" s="1"/>
  <c r="C4754" i="1"/>
  <c r="C4753" i="1"/>
  <c r="C4752" i="1"/>
  <c r="C4751" i="1"/>
  <c r="D4751" i="1" s="1"/>
  <c r="X4751" i="1" s="1"/>
  <c r="C4750" i="1"/>
  <c r="C4749" i="1"/>
  <c r="C4748" i="1"/>
  <c r="V4747" i="1"/>
  <c r="C4747" i="1"/>
  <c r="D4747" i="1" s="1"/>
  <c r="X4747" i="1" s="1"/>
  <c r="C4746" i="1"/>
  <c r="C4745" i="1"/>
  <c r="C4744" i="1"/>
  <c r="C4743" i="1"/>
  <c r="D4743" i="1" s="1"/>
  <c r="X4743" i="1" s="1"/>
  <c r="C4742" i="1"/>
  <c r="C4741" i="1"/>
  <c r="C4740" i="1"/>
  <c r="C4739" i="1"/>
  <c r="D4739" i="1" s="1"/>
  <c r="X4739" i="1" s="1"/>
  <c r="C4738" i="1"/>
  <c r="C4737" i="1"/>
  <c r="C4736" i="1"/>
  <c r="C4735" i="1"/>
  <c r="D4735" i="1" s="1"/>
  <c r="X4735" i="1" s="1"/>
  <c r="C4734" i="1"/>
  <c r="C4733" i="1"/>
  <c r="C4732" i="1"/>
  <c r="V4731" i="1"/>
  <c r="C4731" i="1"/>
  <c r="D4731" i="1" s="1"/>
  <c r="X4731" i="1" s="1"/>
  <c r="C4730" i="1"/>
  <c r="C4729" i="1"/>
  <c r="C4728" i="1"/>
  <c r="C4727" i="1"/>
  <c r="D4727" i="1" s="1"/>
  <c r="X4727" i="1" s="1"/>
  <c r="C4726" i="1"/>
  <c r="C4725" i="1"/>
  <c r="C4724" i="1"/>
  <c r="C4723" i="1"/>
  <c r="D4723" i="1" s="1"/>
  <c r="X4723" i="1" s="1"/>
  <c r="C4722" i="1"/>
  <c r="C4721" i="1"/>
  <c r="C4720" i="1"/>
  <c r="C4719" i="1"/>
  <c r="D4719" i="1" s="1"/>
  <c r="X4719" i="1" s="1"/>
  <c r="C4718" i="1"/>
  <c r="C4717" i="1"/>
  <c r="C4716" i="1"/>
  <c r="C4715" i="1"/>
  <c r="C4714" i="1"/>
  <c r="C4713" i="1"/>
  <c r="C4712" i="1"/>
  <c r="C4711" i="1"/>
  <c r="C4710" i="1"/>
  <c r="C4709" i="1"/>
  <c r="C4708" i="1"/>
  <c r="C4707" i="1"/>
  <c r="C4706" i="1"/>
  <c r="C4705" i="1"/>
  <c r="C4704" i="1"/>
  <c r="C4703" i="1"/>
  <c r="C4702" i="1"/>
  <c r="C4701" i="1"/>
  <c r="C4700" i="1"/>
  <c r="C4699" i="1"/>
  <c r="C4698" i="1"/>
  <c r="C4697" i="1"/>
  <c r="C4696" i="1"/>
  <c r="C4695" i="1"/>
  <c r="C4694" i="1"/>
  <c r="C4693" i="1"/>
  <c r="C4692" i="1"/>
  <c r="C4691" i="1"/>
  <c r="C4690" i="1"/>
  <c r="C4689" i="1"/>
  <c r="C4688" i="1"/>
  <c r="C4687" i="1"/>
  <c r="C4686" i="1"/>
  <c r="C4685" i="1"/>
  <c r="C4684" i="1"/>
  <c r="C4683" i="1"/>
  <c r="C4682" i="1"/>
  <c r="C4681" i="1"/>
  <c r="C4680" i="1"/>
  <c r="C4679" i="1"/>
  <c r="C4678" i="1"/>
  <c r="C4677" i="1"/>
  <c r="C4676" i="1"/>
  <c r="C4675" i="1"/>
  <c r="C4674" i="1"/>
  <c r="C4673" i="1"/>
  <c r="C4672" i="1"/>
  <c r="C4671" i="1"/>
  <c r="C4670" i="1"/>
  <c r="C4669" i="1"/>
  <c r="C4668" i="1"/>
  <c r="C4667" i="1"/>
  <c r="C4666" i="1"/>
  <c r="C4665" i="1"/>
  <c r="C4664" i="1"/>
  <c r="C4663" i="1"/>
  <c r="C4662" i="1"/>
  <c r="C4661" i="1"/>
  <c r="C4660" i="1"/>
  <c r="C4659" i="1"/>
  <c r="C4658" i="1"/>
  <c r="C4657" i="1"/>
  <c r="C4656" i="1"/>
  <c r="C4655" i="1"/>
  <c r="C4654" i="1"/>
  <c r="C4653" i="1"/>
  <c r="C4652" i="1"/>
  <c r="C4651" i="1"/>
  <c r="C4650" i="1"/>
  <c r="C4649" i="1"/>
  <c r="C4648" i="1"/>
  <c r="C4647" i="1"/>
  <c r="C4646" i="1"/>
  <c r="C4645" i="1"/>
  <c r="C4644" i="1"/>
  <c r="C4643" i="1"/>
  <c r="C4642" i="1"/>
  <c r="C4641" i="1"/>
  <c r="C4640" i="1"/>
  <c r="C4639" i="1"/>
  <c r="C4638" i="1"/>
  <c r="C4637" i="1"/>
  <c r="C4636" i="1"/>
  <c r="C4635" i="1"/>
  <c r="C4634" i="1"/>
  <c r="C4633" i="1"/>
  <c r="C4632" i="1"/>
  <c r="C4631" i="1"/>
  <c r="C4630" i="1"/>
  <c r="C4629" i="1"/>
  <c r="C4628" i="1"/>
  <c r="C4627" i="1"/>
  <c r="C4626" i="1"/>
  <c r="C4625" i="1"/>
  <c r="C4624" i="1"/>
  <c r="C4623" i="1"/>
  <c r="C4622" i="1"/>
  <c r="C4621" i="1"/>
  <c r="C4620" i="1"/>
  <c r="C4619" i="1"/>
  <c r="C4618" i="1"/>
  <c r="C4617" i="1"/>
  <c r="C4616" i="1"/>
  <c r="C4615" i="1"/>
  <c r="C4614" i="1"/>
  <c r="C4613" i="1"/>
  <c r="C4612" i="1"/>
  <c r="C4611" i="1"/>
  <c r="C4610" i="1"/>
  <c r="C4609" i="1"/>
  <c r="C4608" i="1"/>
  <c r="C4607" i="1"/>
  <c r="C4606" i="1"/>
  <c r="C4605" i="1"/>
  <c r="C4604" i="1"/>
  <c r="C4603" i="1"/>
  <c r="C4602" i="1"/>
  <c r="C4601" i="1"/>
  <c r="C4600" i="1"/>
  <c r="D4600" i="1" s="1"/>
  <c r="X4600" i="1" s="1"/>
  <c r="C4599" i="1"/>
  <c r="C4598" i="1"/>
  <c r="C4597" i="1"/>
  <c r="C4596" i="1"/>
  <c r="C4595" i="1"/>
  <c r="C4594" i="1"/>
  <c r="C4593" i="1"/>
  <c r="C4592" i="1"/>
  <c r="D4592" i="1" s="1"/>
  <c r="X4592" i="1" s="1"/>
  <c r="C4591" i="1"/>
  <c r="C4590" i="1"/>
  <c r="C4589" i="1"/>
  <c r="C4588" i="1"/>
  <c r="C4587" i="1"/>
  <c r="C4586" i="1"/>
  <c r="C4585" i="1"/>
  <c r="V4584" i="1"/>
  <c r="C4584" i="1"/>
  <c r="D4584" i="1" s="1"/>
  <c r="X4584" i="1" s="1"/>
  <c r="C4583" i="1"/>
  <c r="C4582" i="1"/>
  <c r="C4581" i="1"/>
  <c r="C4580" i="1"/>
  <c r="C4579" i="1"/>
  <c r="C4578" i="1"/>
  <c r="C4577" i="1"/>
  <c r="C4576" i="1"/>
  <c r="D4576" i="1" s="1"/>
  <c r="X4576" i="1" s="1"/>
  <c r="C4575" i="1"/>
  <c r="C4574" i="1"/>
  <c r="C4573" i="1"/>
  <c r="C4572" i="1"/>
  <c r="C4571" i="1"/>
  <c r="C4570" i="1"/>
  <c r="C4569" i="1"/>
  <c r="C4568" i="1"/>
  <c r="D4568" i="1" s="1"/>
  <c r="X4568" i="1" s="1"/>
  <c r="C4567" i="1"/>
  <c r="C4566" i="1"/>
  <c r="C4565" i="1"/>
  <c r="C4564" i="1"/>
  <c r="C4563" i="1"/>
  <c r="C4562" i="1"/>
  <c r="C4561" i="1"/>
  <c r="C4560" i="1"/>
  <c r="D4560" i="1" s="1"/>
  <c r="X4560" i="1" s="1"/>
  <c r="C4559" i="1"/>
  <c r="C4558" i="1"/>
  <c r="C4557" i="1"/>
  <c r="C4556" i="1"/>
  <c r="C4555" i="1"/>
  <c r="C4554" i="1"/>
  <c r="C4553" i="1"/>
  <c r="V4552" i="1"/>
  <c r="C4552" i="1"/>
  <c r="D4552" i="1" s="1"/>
  <c r="X4552" i="1" s="1"/>
  <c r="C4551" i="1"/>
  <c r="C4550" i="1"/>
  <c r="C4549" i="1"/>
  <c r="C4548" i="1"/>
  <c r="C4547" i="1"/>
  <c r="C4546" i="1"/>
  <c r="C4545" i="1"/>
  <c r="C4544" i="1"/>
  <c r="D4544" i="1" s="1"/>
  <c r="X4544" i="1" s="1"/>
  <c r="C4543" i="1"/>
  <c r="C4542" i="1"/>
  <c r="C4541" i="1"/>
  <c r="C4540" i="1"/>
  <c r="C4539" i="1"/>
  <c r="C4538" i="1"/>
  <c r="C4537" i="1"/>
  <c r="C4536" i="1"/>
  <c r="D4536" i="1" s="1"/>
  <c r="X4536" i="1" s="1"/>
  <c r="C4535" i="1"/>
  <c r="C4534" i="1"/>
  <c r="C4533" i="1"/>
  <c r="C4532" i="1"/>
  <c r="C4531" i="1"/>
  <c r="C4530" i="1"/>
  <c r="C4529" i="1"/>
  <c r="C4528" i="1"/>
  <c r="D4528" i="1" s="1"/>
  <c r="X4528" i="1" s="1"/>
  <c r="C4527" i="1"/>
  <c r="C4526" i="1"/>
  <c r="C4525" i="1"/>
  <c r="C4524" i="1"/>
  <c r="C4523" i="1"/>
  <c r="C4522" i="1"/>
  <c r="C4521" i="1"/>
  <c r="V4520" i="1"/>
  <c r="C4520" i="1"/>
  <c r="D4520" i="1" s="1"/>
  <c r="X4520" i="1" s="1"/>
  <c r="C4519" i="1"/>
  <c r="C4518" i="1"/>
  <c r="C4517" i="1"/>
  <c r="C4516" i="1"/>
  <c r="C4515" i="1"/>
  <c r="C4514" i="1"/>
  <c r="C4513" i="1"/>
  <c r="C4512" i="1"/>
  <c r="D4512" i="1" s="1"/>
  <c r="X4512" i="1" s="1"/>
  <c r="C4511" i="1"/>
  <c r="C4510" i="1"/>
  <c r="C4509" i="1"/>
  <c r="C4508" i="1"/>
  <c r="C4507" i="1"/>
  <c r="C4506" i="1"/>
  <c r="C4505" i="1"/>
  <c r="C4504" i="1"/>
  <c r="D4504" i="1" s="1"/>
  <c r="X4504" i="1" s="1"/>
  <c r="C4503" i="1"/>
  <c r="C4502" i="1"/>
  <c r="C4501" i="1"/>
  <c r="C4500" i="1"/>
  <c r="C4499" i="1"/>
  <c r="C4498" i="1"/>
  <c r="C4497" i="1"/>
  <c r="V4496" i="1"/>
  <c r="C4496" i="1"/>
  <c r="D4496" i="1" s="1"/>
  <c r="X4496" i="1" s="1"/>
  <c r="C4495" i="1"/>
  <c r="C4494" i="1"/>
  <c r="C4493" i="1"/>
  <c r="C4492" i="1"/>
  <c r="C4491" i="1"/>
  <c r="C4490" i="1"/>
  <c r="C4489" i="1"/>
  <c r="V4488" i="1"/>
  <c r="C4488" i="1"/>
  <c r="D4488" i="1" s="1"/>
  <c r="X4488" i="1" s="1"/>
  <c r="C4487" i="1"/>
  <c r="C4486" i="1"/>
  <c r="C4485" i="1"/>
  <c r="C4484" i="1"/>
  <c r="C4483" i="1"/>
  <c r="C4482" i="1"/>
  <c r="C4481" i="1"/>
  <c r="C4480" i="1"/>
  <c r="D4480" i="1" s="1"/>
  <c r="X4480" i="1" s="1"/>
  <c r="C4479" i="1"/>
  <c r="C4478" i="1"/>
  <c r="C4477" i="1"/>
  <c r="C4476" i="1"/>
  <c r="C4475" i="1"/>
  <c r="C4474" i="1"/>
  <c r="C4473" i="1"/>
  <c r="C4472" i="1"/>
  <c r="D4472" i="1" s="1"/>
  <c r="X4472" i="1" s="1"/>
  <c r="C4471" i="1"/>
  <c r="C4470" i="1"/>
  <c r="C4469" i="1"/>
  <c r="C4468" i="1"/>
  <c r="C4467" i="1"/>
  <c r="C4466" i="1"/>
  <c r="C4465" i="1"/>
  <c r="C4464" i="1"/>
  <c r="D4464" i="1" s="1"/>
  <c r="X4464" i="1" s="1"/>
  <c r="C4463" i="1"/>
  <c r="C4462" i="1"/>
  <c r="C4461" i="1"/>
  <c r="C4460" i="1"/>
  <c r="C4459" i="1"/>
  <c r="C4458" i="1"/>
  <c r="C4457" i="1"/>
  <c r="V4456" i="1"/>
  <c r="C4456" i="1"/>
  <c r="D4456" i="1" s="1"/>
  <c r="X4456" i="1" s="1"/>
  <c r="C4455" i="1"/>
  <c r="C4454" i="1"/>
  <c r="C4453" i="1"/>
  <c r="C4452" i="1"/>
  <c r="C4451" i="1"/>
  <c r="C4450" i="1"/>
  <c r="C4449" i="1"/>
  <c r="C4448" i="1"/>
  <c r="D4448" i="1" s="1"/>
  <c r="X4448" i="1" s="1"/>
  <c r="C4447" i="1"/>
  <c r="C4446" i="1"/>
  <c r="C4445" i="1"/>
  <c r="C4444" i="1"/>
  <c r="C4443" i="1"/>
  <c r="C4442" i="1"/>
  <c r="C4441" i="1"/>
  <c r="C4440" i="1"/>
  <c r="D4440" i="1" s="1"/>
  <c r="X4440" i="1" s="1"/>
  <c r="C4439" i="1"/>
  <c r="C4438" i="1"/>
  <c r="C4437" i="1"/>
  <c r="C4436" i="1"/>
  <c r="C4435" i="1"/>
  <c r="C4434" i="1"/>
  <c r="C4433" i="1"/>
  <c r="V4432" i="1"/>
  <c r="C4432" i="1"/>
  <c r="D4432" i="1" s="1"/>
  <c r="X4432" i="1" s="1"/>
  <c r="C4431" i="1"/>
  <c r="C4430" i="1"/>
  <c r="C4429" i="1"/>
  <c r="C4428" i="1"/>
  <c r="C4427" i="1"/>
  <c r="C4426" i="1"/>
  <c r="C4425" i="1"/>
  <c r="V4424" i="1"/>
  <c r="C4424" i="1"/>
  <c r="D4424" i="1" s="1"/>
  <c r="X4424" i="1" s="1"/>
  <c r="C4423" i="1"/>
  <c r="C4422" i="1"/>
  <c r="C4421" i="1"/>
  <c r="C4420" i="1"/>
  <c r="C4419" i="1"/>
  <c r="C4418" i="1"/>
  <c r="C4417" i="1"/>
  <c r="C4416" i="1"/>
  <c r="D4416" i="1" s="1"/>
  <c r="X4416" i="1" s="1"/>
  <c r="C4415" i="1"/>
  <c r="C4414" i="1"/>
  <c r="C4413" i="1"/>
  <c r="C4412" i="1"/>
  <c r="C4411" i="1"/>
  <c r="C4410" i="1"/>
  <c r="C4409" i="1"/>
  <c r="C4408" i="1"/>
  <c r="D4408" i="1" s="1"/>
  <c r="X4408" i="1" s="1"/>
  <c r="C4407" i="1"/>
  <c r="C4406" i="1"/>
  <c r="C4405" i="1"/>
  <c r="C4404" i="1"/>
  <c r="C4403" i="1"/>
  <c r="C4402" i="1"/>
  <c r="C4401" i="1"/>
  <c r="C4400" i="1"/>
  <c r="C4399" i="1"/>
  <c r="C4398" i="1"/>
  <c r="C4397" i="1"/>
  <c r="C4396" i="1"/>
  <c r="C4395" i="1"/>
  <c r="C4394" i="1"/>
  <c r="C4393" i="1"/>
  <c r="C4392" i="1"/>
  <c r="C4391" i="1"/>
  <c r="C4390" i="1"/>
  <c r="C4389" i="1"/>
  <c r="C4388" i="1"/>
  <c r="C4387" i="1"/>
  <c r="C4386" i="1"/>
  <c r="C4385" i="1"/>
  <c r="C4384" i="1"/>
  <c r="C4383" i="1"/>
  <c r="C4382" i="1"/>
  <c r="C4381" i="1"/>
  <c r="C4380" i="1"/>
  <c r="C4379" i="1"/>
  <c r="C4378" i="1"/>
  <c r="C4377" i="1"/>
  <c r="C4376" i="1"/>
  <c r="C4375" i="1"/>
  <c r="C4374" i="1"/>
  <c r="C4373" i="1"/>
  <c r="C4372" i="1"/>
  <c r="C4371" i="1"/>
  <c r="C4370" i="1"/>
  <c r="C4369" i="1"/>
  <c r="C4368" i="1"/>
  <c r="C4367" i="1"/>
  <c r="C4366" i="1"/>
  <c r="C4365" i="1"/>
  <c r="C4364" i="1"/>
  <c r="C4363" i="1"/>
  <c r="C4362" i="1"/>
  <c r="C4361" i="1"/>
  <c r="C4360" i="1"/>
  <c r="C4359" i="1"/>
  <c r="C4358" i="1"/>
  <c r="C4357" i="1"/>
  <c r="C4356" i="1"/>
  <c r="C4355" i="1"/>
  <c r="C4354" i="1"/>
  <c r="C4353" i="1"/>
  <c r="C4352" i="1"/>
  <c r="C4351" i="1"/>
  <c r="C4350" i="1"/>
  <c r="C4349" i="1"/>
  <c r="C4348" i="1"/>
  <c r="C4347" i="1"/>
  <c r="C4346" i="1"/>
  <c r="C4345" i="1"/>
  <c r="C4344" i="1"/>
  <c r="C4343" i="1"/>
  <c r="C4342" i="1"/>
  <c r="C4341" i="1"/>
  <c r="C4340" i="1"/>
  <c r="C4339" i="1"/>
  <c r="C4338" i="1"/>
  <c r="C4337" i="1"/>
  <c r="C4336" i="1"/>
  <c r="C4335" i="1"/>
  <c r="C4334" i="1"/>
  <c r="C4333" i="1"/>
  <c r="C4332" i="1"/>
  <c r="C4331" i="1"/>
  <c r="C4330" i="1"/>
  <c r="C4329" i="1"/>
  <c r="C4328" i="1"/>
  <c r="C4327" i="1"/>
  <c r="C4326" i="1"/>
  <c r="C4325" i="1"/>
  <c r="C4324" i="1"/>
  <c r="C4323" i="1"/>
  <c r="C4322" i="1"/>
  <c r="C4321" i="1"/>
  <c r="C4320" i="1"/>
  <c r="C4319" i="1"/>
  <c r="C4318" i="1"/>
  <c r="C4317" i="1"/>
  <c r="C4316" i="1"/>
  <c r="C4315" i="1"/>
  <c r="C4314" i="1"/>
  <c r="C4313" i="1"/>
  <c r="C4312" i="1"/>
  <c r="C4311" i="1"/>
  <c r="C4310" i="1"/>
  <c r="C4309" i="1"/>
  <c r="C4308" i="1"/>
  <c r="C4307" i="1"/>
  <c r="C4306" i="1"/>
  <c r="C4305" i="1"/>
  <c r="C4304" i="1"/>
  <c r="C4303" i="1"/>
  <c r="C4302" i="1"/>
  <c r="C4301" i="1"/>
  <c r="C4300" i="1"/>
  <c r="C4299" i="1"/>
  <c r="C4298" i="1"/>
  <c r="C4297" i="1"/>
  <c r="C4296" i="1"/>
  <c r="C4295" i="1"/>
  <c r="C4294" i="1"/>
  <c r="C4293" i="1"/>
  <c r="C4292" i="1"/>
  <c r="C4291" i="1"/>
  <c r="C4290" i="1"/>
  <c r="C4289" i="1"/>
  <c r="C4288" i="1"/>
  <c r="C4287" i="1"/>
  <c r="C4286" i="1"/>
  <c r="C4285" i="1"/>
  <c r="C4284" i="1"/>
  <c r="C4283" i="1"/>
  <c r="C4282" i="1"/>
  <c r="C4281" i="1"/>
  <c r="C4280" i="1"/>
  <c r="C4279" i="1"/>
  <c r="C4278" i="1"/>
  <c r="C4277" i="1"/>
  <c r="C4276" i="1"/>
  <c r="C4275" i="1"/>
  <c r="C4274" i="1"/>
  <c r="C4273" i="1"/>
  <c r="C4272" i="1"/>
  <c r="C4271" i="1"/>
  <c r="C4270" i="1"/>
  <c r="C4269" i="1"/>
  <c r="C4268" i="1"/>
  <c r="C4267" i="1"/>
  <c r="C4266" i="1"/>
  <c r="C4265" i="1"/>
  <c r="C4264" i="1"/>
  <c r="C4263" i="1"/>
  <c r="C4262" i="1"/>
  <c r="C4261" i="1"/>
  <c r="C4260" i="1"/>
  <c r="C4259" i="1"/>
  <c r="C4258" i="1"/>
  <c r="C4257" i="1"/>
  <c r="C4256" i="1"/>
  <c r="C4255" i="1"/>
  <c r="C4254" i="1"/>
  <c r="C4253" i="1"/>
  <c r="C4252" i="1"/>
  <c r="C4251" i="1"/>
  <c r="C4250" i="1"/>
  <c r="C4249" i="1"/>
  <c r="C4248" i="1"/>
  <c r="C4247" i="1"/>
  <c r="C4246" i="1"/>
  <c r="C4245" i="1"/>
  <c r="C4244" i="1"/>
  <c r="C4243" i="1"/>
  <c r="C4242" i="1"/>
  <c r="C4241" i="1"/>
  <c r="C4240" i="1"/>
  <c r="C4239" i="1"/>
  <c r="C4238" i="1"/>
  <c r="C4237" i="1"/>
  <c r="C4236" i="1"/>
  <c r="C4235" i="1"/>
  <c r="C4234" i="1"/>
  <c r="C4233" i="1"/>
  <c r="C4232" i="1"/>
  <c r="C4231" i="1"/>
  <c r="C4230" i="1"/>
  <c r="C4229" i="1"/>
  <c r="C4228" i="1"/>
  <c r="C4227" i="1"/>
  <c r="C4226" i="1"/>
  <c r="C4225" i="1"/>
  <c r="C4224" i="1"/>
  <c r="C4223" i="1"/>
  <c r="C4222" i="1"/>
  <c r="C4221" i="1"/>
  <c r="C4220" i="1"/>
  <c r="C4219" i="1"/>
  <c r="C4218" i="1"/>
  <c r="C4217" i="1"/>
  <c r="C4216" i="1"/>
  <c r="C4215" i="1"/>
  <c r="C4214" i="1"/>
  <c r="C4213" i="1"/>
  <c r="C4212" i="1"/>
  <c r="C4211" i="1"/>
  <c r="C4210" i="1"/>
  <c r="C4209" i="1"/>
  <c r="C4208" i="1"/>
  <c r="C4207" i="1"/>
  <c r="C4206" i="1"/>
  <c r="C4205" i="1"/>
  <c r="C4204" i="1"/>
  <c r="C4203" i="1"/>
  <c r="C4202" i="1"/>
  <c r="C4201" i="1"/>
  <c r="C4200" i="1"/>
  <c r="C4199" i="1"/>
  <c r="C4198" i="1"/>
  <c r="C4197" i="1"/>
  <c r="C4196" i="1"/>
  <c r="C4195" i="1"/>
  <c r="C4194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7" i="1"/>
  <c r="C4176" i="1"/>
  <c r="C4175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2" i="1"/>
  <c r="C4161" i="1"/>
  <c r="C4160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3" i="1"/>
  <c r="C4142" i="1"/>
  <c r="C4141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8" i="1"/>
  <c r="C4127" i="1"/>
  <c r="C4126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4" i="1"/>
  <c r="C4093" i="1"/>
  <c r="C4092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5" i="1"/>
  <c r="C4074" i="1"/>
  <c r="C4073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60" i="1"/>
  <c r="C4059" i="1"/>
  <c r="C4058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1" i="1"/>
  <c r="C4040" i="1"/>
  <c r="C4039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6" i="1"/>
  <c r="C4025" i="1"/>
  <c r="C4024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7" i="1"/>
  <c r="C4006" i="1"/>
  <c r="C4005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2" i="1"/>
  <c r="C3991" i="1"/>
  <c r="C3990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3" i="1"/>
  <c r="C3972" i="1"/>
  <c r="C3971" i="1"/>
  <c r="C3970" i="1"/>
  <c r="C3969" i="1"/>
  <c r="C3968" i="1"/>
  <c r="C3967" i="1"/>
  <c r="C3966" i="1"/>
  <c r="C3965" i="1"/>
  <c r="C3964" i="1"/>
  <c r="C3963" i="1"/>
  <c r="C3962" i="1"/>
  <c r="C3961" i="1"/>
  <c r="C3960" i="1"/>
  <c r="C3959" i="1"/>
  <c r="C3958" i="1"/>
  <c r="C3957" i="1"/>
  <c r="C3956" i="1"/>
  <c r="C3955" i="1"/>
  <c r="C3954" i="1"/>
  <c r="C3953" i="1"/>
  <c r="C3952" i="1"/>
  <c r="C3951" i="1"/>
  <c r="C3950" i="1"/>
  <c r="C3949" i="1"/>
  <c r="C3948" i="1"/>
  <c r="C3947" i="1"/>
  <c r="C3946" i="1"/>
  <c r="C3945" i="1"/>
  <c r="C3944" i="1"/>
  <c r="C3943" i="1"/>
  <c r="C3942" i="1"/>
  <c r="C3941" i="1"/>
  <c r="C3940" i="1"/>
  <c r="C3939" i="1"/>
  <c r="C3938" i="1"/>
  <c r="C3937" i="1"/>
  <c r="C3936" i="1"/>
  <c r="C3935" i="1"/>
  <c r="C3934" i="1"/>
  <c r="C3933" i="1"/>
  <c r="C3932" i="1"/>
  <c r="C3931" i="1"/>
  <c r="C3930" i="1"/>
  <c r="C3929" i="1"/>
  <c r="C3928" i="1"/>
  <c r="C3927" i="1"/>
  <c r="C3926" i="1"/>
  <c r="C3925" i="1"/>
  <c r="C3924" i="1"/>
  <c r="C3923" i="1"/>
  <c r="C3922" i="1"/>
  <c r="C3921" i="1"/>
  <c r="C3920" i="1"/>
  <c r="C3919" i="1"/>
  <c r="C3918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1" i="1"/>
  <c r="C3900" i="1"/>
  <c r="C3899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6" i="1"/>
  <c r="C3885" i="1"/>
  <c r="C3884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7" i="1"/>
  <c r="C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3" i="1"/>
  <c r="C3832" i="1"/>
  <c r="C3831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8" i="1"/>
  <c r="C3817" i="1"/>
  <c r="C3816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9" i="1"/>
  <c r="C3798" i="1"/>
  <c r="C3797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50" i="1"/>
  <c r="C3749" i="1"/>
  <c r="C3748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1" i="1"/>
  <c r="C3730" i="1"/>
  <c r="C3729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7" i="1"/>
  <c r="C3696" i="1"/>
  <c r="C3695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2" i="1"/>
  <c r="C3681" i="1"/>
  <c r="C3680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3" i="1"/>
  <c r="C3662" i="1"/>
  <c r="C3661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8" i="1"/>
  <c r="C3647" i="1"/>
  <c r="C3646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9" i="1"/>
  <c r="C3628" i="1"/>
  <c r="C3627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4" i="1"/>
  <c r="C3613" i="1"/>
  <c r="C3612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D3324" i="1" s="1"/>
  <c r="X3324" i="1" s="1"/>
  <c r="C3323" i="1"/>
  <c r="C3322" i="1"/>
  <c r="D3322" i="1" s="1"/>
  <c r="X3322" i="1" s="1"/>
  <c r="C3321" i="1"/>
  <c r="C3320" i="1"/>
  <c r="C3319" i="1"/>
  <c r="C3318" i="1"/>
  <c r="C3317" i="1"/>
  <c r="C3316" i="1"/>
  <c r="D3316" i="1" s="1"/>
  <c r="X3316" i="1" s="1"/>
  <c r="C3315" i="1"/>
  <c r="V3314" i="1"/>
  <c r="C3314" i="1"/>
  <c r="D3314" i="1" s="1"/>
  <c r="X3314" i="1" s="1"/>
  <c r="C3313" i="1"/>
  <c r="C3312" i="1"/>
  <c r="C3311" i="1"/>
  <c r="C3310" i="1"/>
  <c r="C3309" i="1"/>
  <c r="V3308" i="1"/>
  <c r="C3308" i="1"/>
  <c r="D3308" i="1" s="1"/>
  <c r="X3308" i="1" s="1"/>
  <c r="C3307" i="1"/>
  <c r="C3306" i="1"/>
  <c r="D3306" i="1" s="1"/>
  <c r="X3306" i="1" s="1"/>
  <c r="C3305" i="1"/>
  <c r="C3304" i="1"/>
  <c r="C3303" i="1"/>
  <c r="C3302" i="1"/>
  <c r="C3301" i="1"/>
  <c r="C3300" i="1"/>
  <c r="D3300" i="1" s="1"/>
  <c r="X3300" i="1" s="1"/>
  <c r="C3299" i="1"/>
  <c r="V3298" i="1"/>
  <c r="C3298" i="1"/>
  <c r="D3298" i="1" s="1"/>
  <c r="X3298" i="1" s="1"/>
  <c r="C3297" i="1"/>
  <c r="C3296" i="1"/>
  <c r="C3295" i="1"/>
  <c r="C3294" i="1"/>
  <c r="C3293" i="1"/>
  <c r="C3292" i="1"/>
  <c r="D3292" i="1" s="1"/>
  <c r="X3292" i="1" s="1"/>
  <c r="C3291" i="1"/>
  <c r="C3290" i="1"/>
  <c r="D3290" i="1" s="1"/>
  <c r="X3290" i="1" s="1"/>
  <c r="C3289" i="1"/>
  <c r="C3288" i="1"/>
  <c r="C3287" i="1"/>
  <c r="C3286" i="1"/>
  <c r="C3285" i="1"/>
  <c r="C3284" i="1"/>
  <c r="D3284" i="1" s="1"/>
  <c r="X3284" i="1" s="1"/>
  <c r="C3283" i="1"/>
  <c r="V3282" i="1"/>
  <c r="C3282" i="1"/>
  <c r="D3282" i="1" s="1"/>
  <c r="X3282" i="1" s="1"/>
  <c r="C3281" i="1"/>
  <c r="C3280" i="1"/>
  <c r="C3279" i="1"/>
  <c r="C3278" i="1"/>
  <c r="C3277" i="1"/>
  <c r="C3276" i="1"/>
  <c r="D3276" i="1" s="1"/>
  <c r="X3276" i="1" s="1"/>
  <c r="C3275" i="1"/>
  <c r="C3274" i="1"/>
  <c r="D3274" i="1" s="1"/>
  <c r="X3274" i="1" s="1"/>
  <c r="C3273" i="1"/>
  <c r="C3272" i="1"/>
  <c r="C3271" i="1"/>
  <c r="C3270" i="1"/>
  <c r="C3269" i="1"/>
  <c r="C3268" i="1"/>
  <c r="D3268" i="1" s="1"/>
  <c r="X3268" i="1" s="1"/>
  <c r="C3267" i="1"/>
  <c r="V3266" i="1"/>
  <c r="C3266" i="1"/>
  <c r="D3266" i="1" s="1"/>
  <c r="X3266" i="1" s="1"/>
  <c r="C3265" i="1"/>
  <c r="C3264" i="1"/>
  <c r="C3263" i="1"/>
  <c r="C3262" i="1"/>
  <c r="C3261" i="1"/>
  <c r="C3260" i="1"/>
  <c r="D3260" i="1" s="1"/>
  <c r="X3260" i="1" s="1"/>
  <c r="C3259" i="1"/>
  <c r="C3258" i="1"/>
  <c r="D3258" i="1" s="1"/>
  <c r="X3258" i="1" s="1"/>
  <c r="C3257" i="1"/>
  <c r="C3256" i="1"/>
  <c r="C3255" i="1"/>
  <c r="C3254" i="1"/>
  <c r="C3253" i="1"/>
  <c r="C3252" i="1"/>
  <c r="D3252" i="1" s="1"/>
  <c r="X3252" i="1" s="1"/>
  <c r="C3251" i="1"/>
  <c r="V3250" i="1"/>
  <c r="C3250" i="1"/>
  <c r="D3250" i="1" s="1"/>
  <c r="X3250" i="1" s="1"/>
  <c r="C3249" i="1"/>
  <c r="C3248" i="1"/>
  <c r="C3247" i="1"/>
  <c r="C3246" i="1"/>
  <c r="C3245" i="1"/>
  <c r="C3244" i="1"/>
  <c r="D3244" i="1" s="1"/>
  <c r="X3244" i="1" s="1"/>
  <c r="C3243" i="1"/>
  <c r="C3242" i="1"/>
  <c r="D3242" i="1" s="1"/>
  <c r="X3242" i="1" s="1"/>
  <c r="C3241" i="1"/>
  <c r="C3240" i="1"/>
  <c r="C3239" i="1"/>
  <c r="C3238" i="1"/>
  <c r="C3237" i="1"/>
  <c r="C3236" i="1"/>
  <c r="D3236" i="1" s="1"/>
  <c r="X3236" i="1" s="1"/>
  <c r="C3235" i="1"/>
  <c r="V3234" i="1"/>
  <c r="C3234" i="1"/>
  <c r="D3234" i="1" s="1"/>
  <c r="X3234" i="1" s="1"/>
  <c r="C3233" i="1"/>
  <c r="C3232" i="1"/>
  <c r="C3231" i="1"/>
  <c r="C3230" i="1"/>
  <c r="C3229" i="1"/>
  <c r="C3228" i="1"/>
  <c r="D3228" i="1" s="1"/>
  <c r="X3228" i="1" s="1"/>
  <c r="C3227" i="1"/>
  <c r="C3226" i="1"/>
  <c r="D3226" i="1" s="1"/>
  <c r="X3226" i="1" s="1"/>
  <c r="C3225" i="1"/>
  <c r="C3224" i="1"/>
  <c r="C3223" i="1"/>
  <c r="C3222" i="1"/>
  <c r="C3221" i="1"/>
  <c r="C3220" i="1"/>
  <c r="D3220" i="1" s="1"/>
  <c r="X3220" i="1" s="1"/>
  <c r="C3219" i="1"/>
  <c r="V3218" i="1"/>
  <c r="C3218" i="1"/>
  <c r="D3218" i="1" s="1"/>
  <c r="X3218" i="1" s="1"/>
  <c r="C3217" i="1"/>
  <c r="C3216" i="1"/>
  <c r="C3215" i="1"/>
  <c r="C3214" i="1"/>
  <c r="C3213" i="1"/>
  <c r="C3212" i="1"/>
  <c r="D3212" i="1" s="1"/>
  <c r="X3212" i="1" s="1"/>
  <c r="C3211" i="1"/>
  <c r="C3210" i="1"/>
  <c r="D3210" i="1" s="1"/>
  <c r="X3210" i="1" s="1"/>
  <c r="C3209" i="1"/>
  <c r="C3208" i="1"/>
  <c r="C3207" i="1"/>
  <c r="C3206" i="1"/>
  <c r="C3205" i="1"/>
  <c r="C3204" i="1"/>
  <c r="D3204" i="1" s="1"/>
  <c r="X3204" i="1" s="1"/>
  <c r="C3203" i="1"/>
  <c r="V3202" i="1"/>
  <c r="C3202" i="1"/>
  <c r="D3202" i="1" s="1"/>
  <c r="X3202" i="1" s="1"/>
  <c r="C3201" i="1"/>
  <c r="C3200" i="1"/>
  <c r="C3199" i="1"/>
  <c r="C3198" i="1"/>
  <c r="C3197" i="1"/>
  <c r="C3196" i="1"/>
  <c r="D3196" i="1" s="1"/>
  <c r="X3196" i="1" s="1"/>
  <c r="C3195" i="1"/>
  <c r="C3194" i="1"/>
  <c r="D3194" i="1" s="1"/>
  <c r="X3194" i="1" s="1"/>
  <c r="C3193" i="1"/>
  <c r="C3192" i="1"/>
  <c r="C3191" i="1"/>
  <c r="C3190" i="1"/>
  <c r="C3189" i="1"/>
  <c r="C3188" i="1"/>
  <c r="D3188" i="1" s="1"/>
  <c r="X3188" i="1" s="1"/>
  <c r="C3187" i="1"/>
  <c r="V3186" i="1"/>
  <c r="C3186" i="1"/>
  <c r="D3186" i="1" s="1"/>
  <c r="X3186" i="1" s="1"/>
  <c r="C3185" i="1"/>
  <c r="C3184" i="1"/>
  <c r="C3183" i="1"/>
  <c r="C3182" i="1"/>
  <c r="C3181" i="1"/>
  <c r="C3180" i="1"/>
  <c r="D3180" i="1" s="1"/>
  <c r="X3180" i="1" s="1"/>
  <c r="C3179" i="1"/>
  <c r="C3178" i="1"/>
  <c r="D3178" i="1" s="1"/>
  <c r="X3178" i="1" s="1"/>
  <c r="C3177" i="1"/>
  <c r="C3176" i="1"/>
  <c r="C3175" i="1"/>
  <c r="C3174" i="1"/>
  <c r="C3173" i="1"/>
  <c r="C3172" i="1"/>
  <c r="D3172" i="1" s="1"/>
  <c r="X3172" i="1" s="1"/>
  <c r="C3171" i="1"/>
  <c r="V3170" i="1"/>
  <c r="C3170" i="1"/>
  <c r="D3170" i="1" s="1"/>
  <c r="X3170" i="1" s="1"/>
  <c r="C3169" i="1"/>
  <c r="C3168" i="1"/>
  <c r="C3167" i="1"/>
  <c r="C3166" i="1"/>
  <c r="C3165" i="1"/>
  <c r="C3164" i="1"/>
  <c r="D3164" i="1" s="1"/>
  <c r="X3164" i="1" s="1"/>
  <c r="C3163" i="1"/>
  <c r="C3162" i="1"/>
  <c r="D3162" i="1" s="1"/>
  <c r="X3162" i="1" s="1"/>
  <c r="C3161" i="1"/>
  <c r="C3160" i="1"/>
  <c r="C3159" i="1"/>
  <c r="C3158" i="1"/>
  <c r="C3157" i="1"/>
  <c r="C3156" i="1"/>
  <c r="D3156" i="1" s="1"/>
  <c r="X3156" i="1" s="1"/>
  <c r="C3155" i="1"/>
  <c r="V3154" i="1"/>
  <c r="C3154" i="1"/>
  <c r="D3154" i="1" s="1"/>
  <c r="X3154" i="1" s="1"/>
  <c r="C3153" i="1"/>
  <c r="C3152" i="1"/>
  <c r="C3151" i="1"/>
  <c r="C3150" i="1"/>
  <c r="C3149" i="1"/>
  <c r="C3148" i="1"/>
  <c r="D3148" i="1" s="1"/>
  <c r="X3148" i="1" s="1"/>
  <c r="C3147" i="1"/>
  <c r="C3146" i="1"/>
  <c r="D3146" i="1" s="1"/>
  <c r="X3146" i="1" s="1"/>
  <c r="C3145" i="1"/>
  <c r="C3144" i="1"/>
  <c r="C3143" i="1"/>
  <c r="C3142" i="1"/>
  <c r="C3141" i="1"/>
  <c r="C3140" i="1"/>
  <c r="D3140" i="1" s="1"/>
  <c r="X3140" i="1" s="1"/>
  <c r="C3139" i="1"/>
  <c r="V3138" i="1"/>
  <c r="C3138" i="1"/>
  <c r="D3138" i="1" s="1"/>
  <c r="X3138" i="1" s="1"/>
  <c r="C3137" i="1"/>
  <c r="C3136" i="1"/>
  <c r="C3135" i="1"/>
  <c r="C3134" i="1"/>
  <c r="C3133" i="1"/>
  <c r="C3132" i="1"/>
  <c r="D3132" i="1" s="1"/>
  <c r="X3132" i="1" s="1"/>
  <c r="C3131" i="1"/>
  <c r="C3130" i="1"/>
  <c r="D3130" i="1" s="1"/>
  <c r="X3130" i="1" s="1"/>
  <c r="C3129" i="1"/>
  <c r="C3128" i="1"/>
  <c r="C3127" i="1"/>
  <c r="C3126" i="1"/>
  <c r="C3125" i="1"/>
  <c r="C3124" i="1"/>
  <c r="D3124" i="1" s="1"/>
  <c r="X3124" i="1" s="1"/>
  <c r="C3123" i="1"/>
  <c r="V3122" i="1"/>
  <c r="C3122" i="1"/>
  <c r="D3122" i="1" s="1"/>
  <c r="X3122" i="1" s="1"/>
  <c r="C3121" i="1"/>
  <c r="C3120" i="1"/>
  <c r="C3119" i="1"/>
  <c r="C3118" i="1"/>
  <c r="C3117" i="1"/>
  <c r="C3116" i="1"/>
  <c r="D3116" i="1" s="1"/>
  <c r="X3116" i="1" s="1"/>
  <c r="C3115" i="1"/>
  <c r="C3114" i="1"/>
  <c r="D3114" i="1" s="1"/>
  <c r="X3114" i="1" s="1"/>
  <c r="C3113" i="1"/>
  <c r="C3112" i="1"/>
  <c r="C3111" i="1"/>
  <c r="C3110" i="1"/>
  <c r="C3109" i="1"/>
  <c r="C3108" i="1"/>
  <c r="D3108" i="1" s="1"/>
  <c r="X3108" i="1" s="1"/>
  <c r="C3107" i="1"/>
  <c r="V3106" i="1"/>
  <c r="C3106" i="1"/>
  <c r="D3106" i="1" s="1"/>
  <c r="X3106" i="1" s="1"/>
  <c r="C3105" i="1"/>
  <c r="C3104" i="1"/>
  <c r="C3103" i="1"/>
  <c r="C3102" i="1"/>
  <c r="C3101" i="1"/>
  <c r="C3100" i="1"/>
  <c r="D3100" i="1" s="1"/>
  <c r="X3100" i="1" s="1"/>
  <c r="C3099" i="1"/>
  <c r="C3098" i="1"/>
  <c r="D3098" i="1" s="1"/>
  <c r="X3098" i="1" s="1"/>
  <c r="C3097" i="1"/>
  <c r="C3096" i="1"/>
  <c r="C3095" i="1"/>
  <c r="C3094" i="1"/>
  <c r="C3093" i="1"/>
  <c r="C3092" i="1"/>
  <c r="D3092" i="1" s="1"/>
  <c r="X3092" i="1" s="1"/>
  <c r="C3091" i="1"/>
  <c r="V3090" i="1"/>
  <c r="C3090" i="1"/>
  <c r="D3090" i="1" s="1"/>
  <c r="X3090" i="1" s="1"/>
  <c r="C3089" i="1"/>
  <c r="C3088" i="1"/>
  <c r="D3088" i="1" s="1"/>
  <c r="X3088" i="1" s="1"/>
  <c r="C3087" i="1"/>
  <c r="C3086" i="1"/>
  <c r="D3086" i="1" s="1"/>
  <c r="X3086" i="1" s="1"/>
  <c r="C3085" i="1"/>
  <c r="C3084" i="1"/>
  <c r="D3084" i="1" s="1"/>
  <c r="X3084" i="1" s="1"/>
  <c r="C3083" i="1"/>
  <c r="V3082" i="1"/>
  <c r="C3082" i="1"/>
  <c r="D3082" i="1" s="1"/>
  <c r="X3082" i="1" s="1"/>
  <c r="C3081" i="1"/>
  <c r="C3080" i="1"/>
  <c r="D3080" i="1" s="1"/>
  <c r="X3080" i="1" s="1"/>
  <c r="C3079" i="1"/>
  <c r="C3078" i="1"/>
  <c r="D3078" i="1" s="1"/>
  <c r="X3078" i="1" s="1"/>
  <c r="C3077" i="1"/>
  <c r="C3076" i="1"/>
  <c r="D3076" i="1" s="1"/>
  <c r="X3076" i="1" s="1"/>
  <c r="C3075" i="1"/>
  <c r="V3074" i="1"/>
  <c r="C3074" i="1"/>
  <c r="D3074" i="1" s="1"/>
  <c r="X3074" i="1" s="1"/>
  <c r="C3073" i="1"/>
  <c r="C3072" i="1"/>
  <c r="D3072" i="1" s="1"/>
  <c r="X3072" i="1" s="1"/>
  <c r="C3071" i="1"/>
  <c r="V3070" i="1"/>
  <c r="C3070" i="1"/>
  <c r="D3070" i="1" s="1"/>
  <c r="X3070" i="1" s="1"/>
  <c r="C3069" i="1"/>
  <c r="C3068" i="1"/>
  <c r="C3067" i="1"/>
  <c r="C3066" i="1"/>
  <c r="D3066" i="1" s="1"/>
  <c r="X3066" i="1" s="1"/>
  <c r="C3065" i="1"/>
  <c r="V3064" i="1"/>
  <c r="C3064" i="1"/>
  <c r="D3064" i="1" s="1"/>
  <c r="X3064" i="1" s="1"/>
  <c r="C3063" i="1"/>
  <c r="C3062" i="1"/>
  <c r="D3062" i="1" s="1"/>
  <c r="X3062" i="1" s="1"/>
  <c r="C3061" i="1"/>
  <c r="C3060" i="1"/>
  <c r="C3059" i="1"/>
  <c r="V3058" i="1"/>
  <c r="C3058" i="1"/>
  <c r="D3058" i="1" s="1"/>
  <c r="X3058" i="1" s="1"/>
  <c r="C3057" i="1"/>
  <c r="C3056" i="1"/>
  <c r="D3056" i="1" s="1"/>
  <c r="X3056" i="1" s="1"/>
  <c r="C3055" i="1"/>
  <c r="V3054" i="1"/>
  <c r="C3054" i="1"/>
  <c r="D3054" i="1" s="1"/>
  <c r="X3054" i="1" s="1"/>
  <c r="C3053" i="1"/>
  <c r="C3052" i="1"/>
  <c r="C3051" i="1"/>
  <c r="C3050" i="1"/>
  <c r="D3050" i="1" s="1"/>
  <c r="X3050" i="1" s="1"/>
  <c r="C3049" i="1"/>
  <c r="V3048" i="1"/>
  <c r="C3048" i="1"/>
  <c r="D3048" i="1" s="1"/>
  <c r="X3048" i="1" s="1"/>
  <c r="C3047" i="1"/>
  <c r="C3046" i="1"/>
  <c r="D3046" i="1" s="1"/>
  <c r="X3046" i="1" s="1"/>
  <c r="C3045" i="1"/>
  <c r="C3044" i="1"/>
  <c r="C3043" i="1"/>
  <c r="V3042" i="1"/>
  <c r="C3042" i="1"/>
  <c r="D3042" i="1" s="1"/>
  <c r="X3042" i="1" s="1"/>
  <c r="C3041" i="1"/>
  <c r="C3040" i="1"/>
  <c r="D3040" i="1" s="1"/>
  <c r="X3040" i="1" s="1"/>
  <c r="C3039" i="1"/>
  <c r="V3038" i="1"/>
  <c r="C3038" i="1"/>
  <c r="D3038" i="1" s="1"/>
  <c r="X3038" i="1" s="1"/>
  <c r="C3037" i="1"/>
  <c r="C3036" i="1"/>
  <c r="C3035" i="1"/>
  <c r="C3034" i="1"/>
  <c r="D3034" i="1" s="1"/>
  <c r="X3034" i="1" s="1"/>
  <c r="C3033" i="1"/>
  <c r="V3032" i="1"/>
  <c r="C3032" i="1"/>
  <c r="D3032" i="1" s="1"/>
  <c r="X3032" i="1" s="1"/>
  <c r="C3031" i="1"/>
  <c r="C3030" i="1"/>
  <c r="D3030" i="1" s="1"/>
  <c r="X3030" i="1" s="1"/>
  <c r="C3029" i="1"/>
  <c r="C3028" i="1"/>
  <c r="C3027" i="1"/>
  <c r="V3026" i="1"/>
  <c r="C3026" i="1"/>
  <c r="D3026" i="1" s="1"/>
  <c r="X3026" i="1" s="1"/>
  <c r="C3025" i="1"/>
  <c r="C3024" i="1"/>
  <c r="D3024" i="1" s="1"/>
  <c r="X3024" i="1" s="1"/>
  <c r="C3023" i="1"/>
  <c r="V3022" i="1"/>
  <c r="C3022" i="1"/>
  <c r="D3022" i="1" s="1"/>
  <c r="X3022" i="1" s="1"/>
  <c r="C3021" i="1"/>
  <c r="C3020" i="1"/>
  <c r="C3019" i="1"/>
  <c r="C3018" i="1"/>
  <c r="D3018" i="1" s="1"/>
  <c r="X3018" i="1" s="1"/>
  <c r="C3017" i="1"/>
  <c r="V3016" i="1"/>
  <c r="C3016" i="1"/>
  <c r="D3016" i="1" s="1"/>
  <c r="X3016" i="1" s="1"/>
  <c r="C3015" i="1"/>
  <c r="C3014" i="1"/>
  <c r="D3014" i="1" s="1"/>
  <c r="X3014" i="1" s="1"/>
  <c r="C3013" i="1"/>
  <c r="C3012" i="1"/>
  <c r="C3011" i="1"/>
  <c r="V3010" i="1"/>
  <c r="C3010" i="1"/>
  <c r="D3010" i="1" s="1"/>
  <c r="X3010" i="1" s="1"/>
  <c r="C3009" i="1"/>
  <c r="C3008" i="1"/>
  <c r="D3008" i="1" s="1"/>
  <c r="X3008" i="1" s="1"/>
  <c r="C3007" i="1"/>
  <c r="C3006" i="1"/>
  <c r="D3006" i="1" s="1"/>
  <c r="X3006" i="1" s="1"/>
  <c r="C3005" i="1"/>
  <c r="C3004" i="1"/>
  <c r="C3003" i="1"/>
  <c r="V3002" i="1"/>
  <c r="C3002" i="1"/>
  <c r="D3002" i="1" s="1"/>
  <c r="X3002" i="1" s="1"/>
  <c r="C3001" i="1"/>
  <c r="C3000" i="1"/>
  <c r="D3000" i="1" s="1"/>
  <c r="X3000" i="1" s="1"/>
  <c r="C2999" i="1"/>
  <c r="V2998" i="1"/>
  <c r="C2998" i="1"/>
  <c r="D2998" i="1" s="1"/>
  <c r="X2998" i="1" s="1"/>
  <c r="C2997" i="1"/>
  <c r="C2996" i="1"/>
  <c r="C2995" i="1"/>
  <c r="C2994" i="1"/>
  <c r="D2994" i="1" s="1"/>
  <c r="X2994" i="1" s="1"/>
  <c r="C2993" i="1"/>
  <c r="V2992" i="1"/>
  <c r="C2992" i="1"/>
  <c r="D2992" i="1" s="1"/>
  <c r="X2992" i="1" s="1"/>
  <c r="C2991" i="1"/>
  <c r="C2990" i="1"/>
  <c r="D2990" i="1" s="1"/>
  <c r="X2990" i="1" s="1"/>
  <c r="C2989" i="1"/>
  <c r="C2988" i="1"/>
  <c r="C2987" i="1"/>
  <c r="V2986" i="1"/>
  <c r="C2986" i="1"/>
  <c r="D2986" i="1" s="1"/>
  <c r="X2986" i="1" s="1"/>
  <c r="C2985" i="1"/>
  <c r="C2984" i="1"/>
  <c r="D2984" i="1" s="1"/>
  <c r="X2984" i="1" s="1"/>
  <c r="C2983" i="1"/>
  <c r="C2982" i="1"/>
  <c r="D2982" i="1" s="1"/>
  <c r="X2982" i="1" s="1"/>
  <c r="C2981" i="1"/>
  <c r="C2980" i="1"/>
  <c r="C2979" i="1"/>
  <c r="V2978" i="1"/>
  <c r="C2978" i="1"/>
  <c r="D2978" i="1" s="1"/>
  <c r="X2978" i="1" s="1"/>
  <c r="C2977" i="1"/>
  <c r="C2976" i="1"/>
  <c r="D2976" i="1" s="1"/>
  <c r="X2976" i="1" s="1"/>
  <c r="C2975" i="1"/>
  <c r="C2974" i="1"/>
  <c r="D2974" i="1" s="1"/>
  <c r="X2974" i="1" s="1"/>
  <c r="C2973" i="1"/>
  <c r="C2972" i="1"/>
  <c r="C2971" i="1"/>
  <c r="V2970" i="1"/>
  <c r="C2970" i="1"/>
  <c r="D2970" i="1" s="1"/>
  <c r="X2970" i="1" s="1"/>
  <c r="C2969" i="1"/>
  <c r="C2968" i="1"/>
  <c r="D2968" i="1" s="1"/>
  <c r="X2968" i="1" s="1"/>
  <c r="C2967" i="1"/>
  <c r="V2966" i="1"/>
  <c r="C2966" i="1"/>
  <c r="D2966" i="1" s="1"/>
  <c r="X2966" i="1" s="1"/>
  <c r="C2965" i="1"/>
  <c r="C2964" i="1"/>
  <c r="C2963" i="1"/>
  <c r="C2962" i="1"/>
  <c r="D2962" i="1" s="1"/>
  <c r="X2962" i="1" s="1"/>
  <c r="C2961" i="1"/>
  <c r="V2960" i="1"/>
  <c r="C2960" i="1"/>
  <c r="D2960" i="1" s="1"/>
  <c r="X2960" i="1" s="1"/>
  <c r="C2959" i="1"/>
  <c r="C2958" i="1"/>
  <c r="D2958" i="1" s="1"/>
  <c r="X2958" i="1" s="1"/>
  <c r="C2957" i="1"/>
  <c r="C2956" i="1"/>
  <c r="C2955" i="1"/>
  <c r="V2954" i="1"/>
  <c r="C2954" i="1"/>
  <c r="D2954" i="1" s="1"/>
  <c r="X2954" i="1" s="1"/>
  <c r="C2953" i="1"/>
  <c r="C2952" i="1"/>
  <c r="D2952" i="1" s="1"/>
  <c r="X2952" i="1" s="1"/>
  <c r="C2951" i="1"/>
  <c r="C2950" i="1"/>
  <c r="D2950" i="1" s="1"/>
  <c r="X2950" i="1" s="1"/>
  <c r="C2949" i="1"/>
  <c r="C2948" i="1"/>
  <c r="C2947" i="1"/>
  <c r="V2946" i="1"/>
  <c r="C2946" i="1"/>
  <c r="D2946" i="1" s="1"/>
  <c r="X2946" i="1" s="1"/>
  <c r="C2945" i="1"/>
  <c r="C2944" i="1"/>
  <c r="D2944" i="1" s="1"/>
  <c r="X2944" i="1" s="1"/>
  <c r="C2943" i="1"/>
  <c r="C2942" i="1"/>
  <c r="D2942" i="1" s="1"/>
  <c r="X2942" i="1" s="1"/>
  <c r="C2941" i="1"/>
  <c r="C2940" i="1"/>
  <c r="C2939" i="1"/>
  <c r="V2938" i="1"/>
  <c r="C2938" i="1"/>
  <c r="D2938" i="1" s="1"/>
  <c r="X2938" i="1" s="1"/>
  <c r="C2937" i="1"/>
  <c r="C2936" i="1"/>
  <c r="D2936" i="1" s="1"/>
  <c r="X2936" i="1" s="1"/>
  <c r="C2935" i="1"/>
  <c r="V2934" i="1"/>
  <c r="C2934" i="1"/>
  <c r="D2934" i="1" s="1"/>
  <c r="X2934" i="1" s="1"/>
  <c r="C2933" i="1"/>
  <c r="C2932" i="1"/>
  <c r="C2931" i="1"/>
  <c r="C2930" i="1"/>
  <c r="D2930" i="1" s="1"/>
  <c r="X2930" i="1" s="1"/>
  <c r="C2929" i="1"/>
  <c r="V2928" i="1"/>
  <c r="C2928" i="1"/>
  <c r="D2928" i="1" s="1"/>
  <c r="X2928" i="1" s="1"/>
  <c r="C2927" i="1"/>
  <c r="C2926" i="1"/>
  <c r="D2926" i="1" s="1"/>
  <c r="X2926" i="1" s="1"/>
  <c r="C2925" i="1"/>
  <c r="C2924" i="1"/>
  <c r="C2923" i="1"/>
  <c r="V2922" i="1"/>
  <c r="C2922" i="1"/>
  <c r="D2922" i="1" s="1"/>
  <c r="X2922" i="1" s="1"/>
  <c r="C2921" i="1"/>
  <c r="C2920" i="1"/>
  <c r="D2920" i="1" s="1"/>
  <c r="X2920" i="1" s="1"/>
  <c r="C2919" i="1"/>
  <c r="C2918" i="1"/>
  <c r="D2918" i="1" s="1"/>
  <c r="X2918" i="1" s="1"/>
  <c r="C2917" i="1"/>
  <c r="C2916" i="1"/>
  <c r="C2915" i="1"/>
  <c r="V2914" i="1"/>
  <c r="C2914" i="1"/>
  <c r="D2914" i="1" s="1"/>
  <c r="X2914" i="1" s="1"/>
  <c r="C2913" i="1"/>
  <c r="C2912" i="1"/>
  <c r="D2912" i="1" s="1"/>
  <c r="X2912" i="1" s="1"/>
  <c r="C2911" i="1"/>
  <c r="C2910" i="1"/>
  <c r="D2910" i="1" s="1"/>
  <c r="X2910" i="1" s="1"/>
  <c r="C2909" i="1"/>
  <c r="C2908" i="1"/>
  <c r="C2907" i="1"/>
  <c r="C2906" i="1"/>
  <c r="D2906" i="1" s="1"/>
  <c r="X2906" i="1" s="1"/>
  <c r="C2905" i="1"/>
  <c r="C2904" i="1"/>
  <c r="D2904" i="1" s="1"/>
  <c r="X2904" i="1" s="1"/>
  <c r="C2903" i="1"/>
  <c r="V2902" i="1"/>
  <c r="C2902" i="1"/>
  <c r="D2902" i="1" s="1"/>
  <c r="X2902" i="1" s="1"/>
  <c r="C2901" i="1"/>
  <c r="C2900" i="1"/>
  <c r="C2899" i="1"/>
  <c r="C2898" i="1"/>
  <c r="D2898" i="1" s="1"/>
  <c r="X2898" i="1" s="1"/>
  <c r="C2897" i="1"/>
  <c r="V2896" i="1"/>
  <c r="C2896" i="1"/>
  <c r="D2896" i="1" s="1"/>
  <c r="X2896" i="1" s="1"/>
  <c r="C2895" i="1"/>
  <c r="C2894" i="1"/>
  <c r="D2894" i="1" s="1"/>
  <c r="X2894" i="1" s="1"/>
  <c r="C2893" i="1"/>
  <c r="C2892" i="1"/>
  <c r="C2891" i="1"/>
  <c r="V2890" i="1"/>
  <c r="C2890" i="1"/>
  <c r="D2890" i="1" s="1"/>
  <c r="X2890" i="1" s="1"/>
  <c r="C2889" i="1"/>
  <c r="C2888" i="1"/>
  <c r="D2888" i="1" s="1"/>
  <c r="X2888" i="1" s="1"/>
  <c r="C2887" i="1"/>
  <c r="C2886" i="1"/>
  <c r="D2886" i="1" s="1"/>
  <c r="X2886" i="1" s="1"/>
  <c r="C2885" i="1"/>
  <c r="C2884" i="1"/>
  <c r="C2883" i="1"/>
  <c r="V2882" i="1"/>
  <c r="C2882" i="1"/>
  <c r="D2882" i="1" s="1"/>
  <c r="X2882" i="1" s="1"/>
  <c r="C2881" i="1"/>
  <c r="C2880" i="1"/>
  <c r="D2880" i="1" s="1"/>
  <c r="X2880" i="1" s="1"/>
  <c r="C2879" i="1"/>
  <c r="C2878" i="1"/>
  <c r="D2878" i="1" s="1"/>
  <c r="X2878" i="1" s="1"/>
  <c r="C2877" i="1"/>
  <c r="C2876" i="1"/>
  <c r="D2876" i="1" s="1"/>
  <c r="X2876" i="1" s="1"/>
  <c r="C2875" i="1"/>
  <c r="V2874" i="1"/>
  <c r="C2874" i="1"/>
  <c r="D2874" i="1" s="1"/>
  <c r="X2874" i="1" s="1"/>
  <c r="C2873" i="1"/>
  <c r="C2872" i="1"/>
  <c r="D2872" i="1" s="1"/>
  <c r="X2872" i="1" s="1"/>
  <c r="C2871" i="1"/>
  <c r="C2870" i="1"/>
  <c r="D2870" i="1" s="1"/>
  <c r="X2870" i="1" s="1"/>
  <c r="C2869" i="1"/>
  <c r="C2868" i="1"/>
  <c r="D2868" i="1" s="1"/>
  <c r="X2868" i="1" s="1"/>
  <c r="C2867" i="1"/>
  <c r="V2866" i="1"/>
  <c r="C2866" i="1"/>
  <c r="D2866" i="1" s="1"/>
  <c r="X2866" i="1" s="1"/>
  <c r="C2865" i="1"/>
  <c r="C2864" i="1"/>
  <c r="D2864" i="1" s="1"/>
  <c r="X2864" i="1" s="1"/>
  <c r="C2863" i="1"/>
  <c r="C2862" i="1"/>
  <c r="D2862" i="1" s="1"/>
  <c r="X2862" i="1" s="1"/>
  <c r="C2861" i="1"/>
  <c r="C2860" i="1"/>
  <c r="D2860" i="1" s="1"/>
  <c r="X2860" i="1" s="1"/>
  <c r="C2859" i="1"/>
  <c r="V2858" i="1"/>
  <c r="C2858" i="1"/>
  <c r="D2858" i="1" s="1"/>
  <c r="X2858" i="1" s="1"/>
  <c r="C2857" i="1"/>
  <c r="C2856" i="1"/>
  <c r="D2856" i="1" s="1"/>
  <c r="X2856" i="1" s="1"/>
  <c r="C2855" i="1"/>
  <c r="C2854" i="1"/>
  <c r="D2854" i="1" s="1"/>
  <c r="X2854" i="1" s="1"/>
  <c r="C2853" i="1"/>
  <c r="C2852" i="1"/>
  <c r="D2852" i="1" s="1"/>
  <c r="X2852" i="1" s="1"/>
  <c r="C2851" i="1"/>
  <c r="V2850" i="1"/>
  <c r="C2850" i="1"/>
  <c r="D2850" i="1" s="1"/>
  <c r="X2850" i="1" s="1"/>
  <c r="C2849" i="1"/>
  <c r="C2848" i="1"/>
  <c r="D2848" i="1" s="1"/>
  <c r="X2848" i="1" s="1"/>
  <c r="C2847" i="1"/>
  <c r="C2846" i="1"/>
  <c r="D2846" i="1" s="1"/>
  <c r="X2846" i="1" s="1"/>
  <c r="C2845" i="1"/>
  <c r="C2844" i="1"/>
  <c r="D2844" i="1" s="1"/>
  <c r="X2844" i="1" s="1"/>
  <c r="C2843" i="1"/>
  <c r="V2842" i="1"/>
  <c r="C2842" i="1"/>
  <c r="D2842" i="1" s="1"/>
  <c r="X2842" i="1" s="1"/>
  <c r="C2841" i="1"/>
  <c r="C2840" i="1"/>
  <c r="D2840" i="1" s="1"/>
  <c r="X2840" i="1" s="1"/>
  <c r="C2839" i="1"/>
  <c r="C2838" i="1"/>
  <c r="D2838" i="1" s="1"/>
  <c r="X2838" i="1" s="1"/>
  <c r="C2837" i="1"/>
  <c r="C2836" i="1"/>
  <c r="D2836" i="1" s="1"/>
  <c r="X2836" i="1" s="1"/>
  <c r="C2835" i="1"/>
  <c r="V2834" i="1"/>
  <c r="C2834" i="1"/>
  <c r="D2834" i="1" s="1"/>
  <c r="X2834" i="1" s="1"/>
  <c r="C2833" i="1"/>
  <c r="C2832" i="1"/>
  <c r="D2832" i="1" s="1"/>
  <c r="X2832" i="1" s="1"/>
  <c r="C2831" i="1"/>
  <c r="C2830" i="1"/>
  <c r="D2830" i="1" s="1"/>
  <c r="X2830" i="1" s="1"/>
  <c r="C2829" i="1"/>
  <c r="C2828" i="1"/>
  <c r="D2828" i="1" s="1"/>
  <c r="X2828" i="1" s="1"/>
  <c r="C2827" i="1"/>
  <c r="V2826" i="1"/>
  <c r="C2826" i="1"/>
  <c r="D2826" i="1" s="1"/>
  <c r="X2826" i="1" s="1"/>
  <c r="C2825" i="1"/>
  <c r="C2824" i="1"/>
  <c r="D2824" i="1" s="1"/>
  <c r="X2824" i="1" s="1"/>
  <c r="C2823" i="1"/>
  <c r="C2822" i="1"/>
  <c r="D2822" i="1" s="1"/>
  <c r="X2822" i="1" s="1"/>
  <c r="C2821" i="1"/>
  <c r="C2820" i="1"/>
  <c r="D2820" i="1" s="1"/>
  <c r="X2820" i="1" s="1"/>
  <c r="C2819" i="1"/>
  <c r="V2818" i="1"/>
  <c r="C2818" i="1"/>
  <c r="D2818" i="1" s="1"/>
  <c r="X2818" i="1" s="1"/>
  <c r="C2817" i="1"/>
  <c r="C2816" i="1"/>
  <c r="D2816" i="1" s="1"/>
  <c r="X2816" i="1" s="1"/>
  <c r="C2815" i="1"/>
  <c r="C2814" i="1"/>
  <c r="D2814" i="1" s="1"/>
  <c r="X2814" i="1" s="1"/>
  <c r="C2813" i="1"/>
  <c r="C2812" i="1"/>
  <c r="D2812" i="1" s="1"/>
  <c r="X2812" i="1" s="1"/>
  <c r="C2811" i="1"/>
  <c r="C2810" i="1"/>
  <c r="D2810" i="1" s="1"/>
  <c r="X2810" i="1" s="1"/>
  <c r="C2809" i="1"/>
  <c r="C2808" i="1"/>
  <c r="D2808" i="1" s="1"/>
  <c r="X2808" i="1" s="1"/>
  <c r="C2807" i="1"/>
  <c r="C2806" i="1"/>
  <c r="D2806" i="1" s="1"/>
  <c r="X2806" i="1" s="1"/>
  <c r="C2805" i="1"/>
  <c r="V2804" i="1"/>
  <c r="C2804" i="1"/>
  <c r="D2804" i="1" s="1"/>
  <c r="X2804" i="1" s="1"/>
  <c r="C2803" i="1"/>
  <c r="C2802" i="1"/>
  <c r="D2802" i="1" s="1"/>
  <c r="X2802" i="1" s="1"/>
  <c r="C2801" i="1"/>
  <c r="C2800" i="1"/>
  <c r="D2800" i="1" s="1"/>
  <c r="X2800" i="1" s="1"/>
  <c r="C2799" i="1"/>
  <c r="C2798" i="1"/>
  <c r="D2798" i="1" s="1"/>
  <c r="X2798" i="1" s="1"/>
  <c r="C2797" i="1"/>
  <c r="C2796" i="1"/>
  <c r="D2796" i="1" s="1"/>
  <c r="X2796" i="1" s="1"/>
  <c r="C2795" i="1"/>
  <c r="C2794" i="1"/>
  <c r="D2794" i="1" s="1"/>
  <c r="X2794" i="1" s="1"/>
  <c r="C2793" i="1"/>
  <c r="C2792" i="1"/>
  <c r="D2792" i="1" s="1"/>
  <c r="X2792" i="1" s="1"/>
  <c r="C2791" i="1"/>
  <c r="C2790" i="1"/>
  <c r="D2790" i="1" s="1"/>
  <c r="X2790" i="1" s="1"/>
  <c r="C2789" i="1"/>
  <c r="V2788" i="1"/>
  <c r="C2788" i="1"/>
  <c r="D2788" i="1" s="1"/>
  <c r="X2788" i="1" s="1"/>
  <c r="C2787" i="1"/>
  <c r="C2786" i="1"/>
  <c r="D2786" i="1" s="1"/>
  <c r="X2786" i="1" s="1"/>
  <c r="C2785" i="1"/>
  <c r="C2784" i="1"/>
  <c r="D2784" i="1" s="1"/>
  <c r="X2784" i="1" s="1"/>
  <c r="C2783" i="1"/>
  <c r="C2782" i="1"/>
  <c r="D2782" i="1" s="1"/>
  <c r="X2782" i="1" s="1"/>
  <c r="C2781" i="1"/>
  <c r="C2780" i="1"/>
  <c r="D2780" i="1" s="1"/>
  <c r="X2780" i="1" s="1"/>
  <c r="C2779" i="1"/>
  <c r="C2778" i="1"/>
  <c r="D2778" i="1" s="1"/>
  <c r="X2778" i="1" s="1"/>
  <c r="C2777" i="1"/>
  <c r="C2776" i="1"/>
  <c r="D2776" i="1" s="1"/>
  <c r="X2776" i="1" s="1"/>
  <c r="C2775" i="1"/>
  <c r="C2774" i="1"/>
  <c r="D2774" i="1" s="1"/>
  <c r="X2774" i="1" s="1"/>
  <c r="C2773" i="1"/>
  <c r="V2772" i="1"/>
  <c r="C2772" i="1"/>
  <c r="D2772" i="1" s="1"/>
  <c r="X2772" i="1" s="1"/>
  <c r="C2771" i="1"/>
  <c r="C2770" i="1"/>
  <c r="D2770" i="1" s="1"/>
  <c r="X2770" i="1" s="1"/>
  <c r="C2769" i="1"/>
  <c r="C2768" i="1"/>
  <c r="D2768" i="1" s="1"/>
  <c r="X2768" i="1" s="1"/>
  <c r="C2767" i="1"/>
  <c r="C2766" i="1"/>
  <c r="D2766" i="1" s="1"/>
  <c r="X2766" i="1" s="1"/>
  <c r="C2765" i="1"/>
  <c r="C2764" i="1"/>
  <c r="D2764" i="1" s="1"/>
  <c r="X2764" i="1" s="1"/>
  <c r="C2763" i="1"/>
  <c r="C2762" i="1"/>
  <c r="D2762" i="1" s="1"/>
  <c r="X2762" i="1" s="1"/>
  <c r="C2761" i="1"/>
  <c r="C2760" i="1"/>
  <c r="D2760" i="1" s="1"/>
  <c r="X2760" i="1" s="1"/>
  <c r="C2759" i="1"/>
  <c r="C2758" i="1"/>
  <c r="D2758" i="1" s="1"/>
  <c r="X2758" i="1" s="1"/>
  <c r="C2757" i="1"/>
  <c r="V2756" i="1"/>
  <c r="C2756" i="1"/>
  <c r="D2756" i="1" s="1"/>
  <c r="X2756" i="1" s="1"/>
  <c r="C2755" i="1"/>
  <c r="C2754" i="1"/>
  <c r="D2754" i="1" s="1"/>
  <c r="X2754" i="1" s="1"/>
  <c r="C2753" i="1"/>
  <c r="C2752" i="1"/>
  <c r="D2752" i="1" s="1"/>
  <c r="X2752" i="1" s="1"/>
  <c r="C2751" i="1"/>
  <c r="C2750" i="1"/>
  <c r="D2750" i="1" s="1"/>
  <c r="X2750" i="1" s="1"/>
  <c r="C2749" i="1"/>
  <c r="C2748" i="1"/>
  <c r="D2748" i="1" s="1"/>
  <c r="X2748" i="1" s="1"/>
  <c r="C2747" i="1"/>
  <c r="C2746" i="1"/>
  <c r="D2746" i="1" s="1"/>
  <c r="X2746" i="1" s="1"/>
  <c r="C2745" i="1"/>
  <c r="C2744" i="1"/>
  <c r="D2744" i="1" s="1"/>
  <c r="X2744" i="1" s="1"/>
  <c r="C2743" i="1"/>
  <c r="C2742" i="1"/>
  <c r="D2742" i="1" s="1"/>
  <c r="X2742" i="1" s="1"/>
  <c r="C2741" i="1"/>
  <c r="V2740" i="1"/>
  <c r="C2740" i="1"/>
  <c r="D2740" i="1" s="1"/>
  <c r="X2740" i="1" s="1"/>
  <c r="C2739" i="1"/>
  <c r="C2738" i="1"/>
  <c r="D2738" i="1" s="1"/>
  <c r="X2738" i="1" s="1"/>
  <c r="C2737" i="1"/>
  <c r="C2736" i="1"/>
  <c r="D2736" i="1" s="1"/>
  <c r="X2736" i="1" s="1"/>
  <c r="C2735" i="1"/>
  <c r="C2734" i="1"/>
  <c r="D2734" i="1" s="1"/>
  <c r="X2734" i="1" s="1"/>
  <c r="C2733" i="1"/>
  <c r="C2732" i="1"/>
  <c r="D2732" i="1" s="1"/>
  <c r="X2732" i="1" s="1"/>
  <c r="C2731" i="1"/>
  <c r="C2730" i="1"/>
  <c r="D2730" i="1" s="1"/>
  <c r="X2730" i="1" s="1"/>
  <c r="C2729" i="1"/>
  <c r="C2728" i="1"/>
  <c r="D2728" i="1" s="1"/>
  <c r="X2728" i="1" s="1"/>
  <c r="C2727" i="1"/>
  <c r="C2726" i="1"/>
  <c r="D2726" i="1" s="1"/>
  <c r="X2726" i="1" s="1"/>
  <c r="C2725" i="1"/>
  <c r="V2724" i="1"/>
  <c r="C2724" i="1"/>
  <c r="D2724" i="1" s="1"/>
  <c r="X2724" i="1" s="1"/>
  <c r="C2723" i="1"/>
  <c r="C2722" i="1"/>
  <c r="D2722" i="1" s="1"/>
  <c r="X2722" i="1" s="1"/>
  <c r="C2721" i="1"/>
  <c r="C2720" i="1"/>
  <c r="D2720" i="1" s="1"/>
  <c r="X2720" i="1" s="1"/>
  <c r="C2719" i="1"/>
  <c r="C2718" i="1"/>
  <c r="D2718" i="1" s="1"/>
  <c r="X2718" i="1" s="1"/>
  <c r="C2717" i="1"/>
  <c r="C2716" i="1"/>
  <c r="D2716" i="1" s="1"/>
  <c r="X2716" i="1" s="1"/>
  <c r="C2715" i="1"/>
  <c r="C2714" i="1"/>
  <c r="D2714" i="1" s="1"/>
  <c r="X2714" i="1" s="1"/>
  <c r="C2713" i="1"/>
  <c r="C2712" i="1"/>
  <c r="D2712" i="1" s="1"/>
  <c r="X2712" i="1" s="1"/>
  <c r="C2711" i="1"/>
  <c r="C2710" i="1"/>
  <c r="D2710" i="1" s="1"/>
  <c r="X2710" i="1" s="1"/>
  <c r="C2709" i="1"/>
  <c r="V2708" i="1"/>
  <c r="C2708" i="1"/>
  <c r="D2708" i="1" s="1"/>
  <c r="X2708" i="1" s="1"/>
  <c r="C2707" i="1"/>
  <c r="C2706" i="1"/>
  <c r="D2706" i="1" s="1"/>
  <c r="X2706" i="1" s="1"/>
  <c r="C2705" i="1"/>
  <c r="C2704" i="1"/>
  <c r="D2704" i="1" s="1"/>
  <c r="X2704" i="1" s="1"/>
  <c r="C2703" i="1"/>
  <c r="C2702" i="1"/>
  <c r="D2702" i="1" s="1"/>
  <c r="X2702" i="1" s="1"/>
  <c r="C2701" i="1"/>
  <c r="C2700" i="1"/>
  <c r="D2700" i="1" s="1"/>
  <c r="X2700" i="1" s="1"/>
  <c r="C2699" i="1"/>
  <c r="C2698" i="1"/>
  <c r="D2698" i="1" s="1"/>
  <c r="X2698" i="1" s="1"/>
  <c r="C2697" i="1"/>
  <c r="C2696" i="1"/>
  <c r="D2696" i="1" s="1"/>
  <c r="X2696" i="1" s="1"/>
  <c r="C2695" i="1"/>
  <c r="C2694" i="1"/>
  <c r="D2694" i="1" s="1"/>
  <c r="X2694" i="1" s="1"/>
  <c r="C2693" i="1"/>
  <c r="V2692" i="1"/>
  <c r="C2692" i="1"/>
  <c r="D2692" i="1" s="1"/>
  <c r="X2692" i="1" s="1"/>
  <c r="C2691" i="1"/>
  <c r="C2690" i="1"/>
  <c r="D2690" i="1" s="1"/>
  <c r="X2690" i="1" s="1"/>
  <c r="C2689" i="1"/>
  <c r="C2688" i="1"/>
  <c r="D2688" i="1" s="1"/>
  <c r="X2688" i="1" s="1"/>
  <c r="C2687" i="1"/>
  <c r="C2686" i="1"/>
  <c r="D2686" i="1" s="1"/>
  <c r="X2686" i="1" s="1"/>
  <c r="C2685" i="1"/>
  <c r="C2684" i="1"/>
  <c r="D2684" i="1" s="1"/>
  <c r="X2684" i="1" s="1"/>
  <c r="C2683" i="1"/>
  <c r="C2682" i="1"/>
  <c r="D2682" i="1" s="1"/>
  <c r="X2682" i="1" s="1"/>
  <c r="C2681" i="1"/>
  <c r="C2680" i="1"/>
  <c r="D2680" i="1" s="1"/>
  <c r="X2680" i="1" s="1"/>
  <c r="C2679" i="1"/>
  <c r="C2678" i="1"/>
  <c r="D2678" i="1" s="1"/>
  <c r="X2678" i="1" s="1"/>
  <c r="C2677" i="1"/>
  <c r="V2676" i="1"/>
  <c r="C2676" i="1"/>
  <c r="D2676" i="1" s="1"/>
  <c r="X2676" i="1" s="1"/>
  <c r="C2675" i="1"/>
  <c r="C2674" i="1"/>
  <c r="D2674" i="1" s="1"/>
  <c r="X2674" i="1" s="1"/>
  <c r="C2673" i="1"/>
  <c r="C2672" i="1"/>
  <c r="D2672" i="1" s="1"/>
  <c r="X2672" i="1" s="1"/>
  <c r="C2671" i="1"/>
  <c r="C2670" i="1"/>
  <c r="D2670" i="1" s="1"/>
  <c r="X2670" i="1" s="1"/>
  <c r="C2669" i="1"/>
  <c r="C2668" i="1"/>
  <c r="D2668" i="1" s="1"/>
  <c r="X2668" i="1" s="1"/>
  <c r="C2667" i="1"/>
  <c r="C2666" i="1"/>
  <c r="D2666" i="1" s="1"/>
  <c r="X2666" i="1" s="1"/>
  <c r="C2665" i="1"/>
  <c r="C2664" i="1"/>
  <c r="D2664" i="1" s="1"/>
  <c r="X2664" i="1" s="1"/>
  <c r="C2663" i="1"/>
  <c r="C2662" i="1"/>
  <c r="D2662" i="1" s="1"/>
  <c r="X2662" i="1" s="1"/>
  <c r="C2661" i="1"/>
  <c r="V2660" i="1"/>
  <c r="C2660" i="1"/>
  <c r="D2660" i="1" s="1"/>
  <c r="X2660" i="1" s="1"/>
  <c r="C2659" i="1"/>
  <c r="C2658" i="1"/>
  <c r="D2658" i="1" s="1"/>
  <c r="X2658" i="1" s="1"/>
  <c r="C2657" i="1"/>
  <c r="C2656" i="1"/>
  <c r="D2656" i="1" s="1"/>
  <c r="X2656" i="1" s="1"/>
  <c r="C2655" i="1"/>
  <c r="C2654" i="1"/>
  <c r="D2654" i="1" s="1"/>
  <c r="X2654" i="1" s="1"/>
  <c r="C2653" i="1"/>
  <c r="C2652" i="1"/>
  <c r="D2652" i="1" s="1"/>
  <c r="X2652" i="1" s="1"/>
  <c r="C2651" i="1"/>
  <c r="C2650" i="1"/>
  <c r="D2650" i="1" s="1"/>
  <c r="X2650" i="1" s="1"/>
  <c r="C2649" i="1"/>
  <c r="C2648" i="1"/>
  <c r="D2648" i="1" s="1"/>
  <c r="X2648" i="1" s="1"/>
  <c r="C2647" i="1"/>
  <c r="C2646" i="1"/>
  <c r="D2646" i="1" s="1"/>
  <c r="X2646" i="1" s="1"/>
  <c r="C2645" i="1"/>
  <c r="V2644" i="1"/>
  <c r="C2644" i="1"/>
  <c r="D2644" i="1" s="1"/>
  <c r="X2644" i="1" s="1"/>
  <c r="C2643" i="1"/>
  <c r="C2642" i="1"/>
  <c r="D2642" i="1" s="1"/>
  <c r="X2642" i="1" s="1"/>
  <c r="C2641" i="1"/>
  <c r="C2640" i="1"/>
  <c r="D2640" i="1" s="1"/>
  <c r="X2640" i="1" s="1"/>
  <c r="C2639" i="1"/>
  <c r="C2638" i="1"/>
  <c r="D2638" i="1" s="1"/>
  <c r="X2638" i="1" s="1"/>
  <c r="C2637" i="1"/>
  <c r="C2636" i="1"/>
  <c r="D2636" i="1" s="1"/>
  <c r="X2636" i="1" s="1"/>
  <c r="C2635" i="1"/>
  <c r="C2634" i="1"/>
  <c r="D2634" i="1" s="1"/>
  <c r="X2634" i="1" s="1"/>
  <c r="C2633" i="1"/>
  <c r="C2632" i="1"/>
  <c r="D2632" i="1" s="1"/>
  <c r="X2632" i="1" s="1"/>
  <c r="C2631" i="1"/>
  <c r="C2630" i="1"/>
  <c r="D2630" i="1" s="1"/>
  <c r="X2630" i="1" s="1"/>
  <c r="C2629" i="1"/>
  <c r="V2628" i="1"/>
  <c r="C2628" i="1"/>
  <c r="D2628" i="1" s="1"/>
  <c r="X2628" i="1" s="1"/>
  <c r="C2627" i="1"/>
  <c r="C2626" i="1"/>
  <c r="D2626" i="1" s="1"/>
  <c r="X2626" i="1" s="1"/>
  <c r="C2625" i="1"/>
  <c r="C2624" i="1"/>
  <c r="D2624" i="1" s="1"/>
  <c r="X2624" i="1" s="1"/>
  <c r="C2623" i="1"/>
  <c r="C2622" i="1"/>
  <c r="D2622" i="1" s="1"/>
  <c r="X2622" i="1" s="1"/>
  <c r="C2621" i="1"/>
  <c r="C2620" i="1"/>
  <c r="D2620" i="1" s="1"/>
  <c r="X2620" i="1" s="1"/>
  <c r="C2619" i="1"/>
  <c r="C2618" i="1"/>
  <c r="D2618" i="1" s="1"/>
  <c r="X2618" i="1" s="1"/>
  <c r="C2617" i="1"/>
  <c r="C2616" i="1"/>
  <c r="D2616" i="1" s="1"/>
  <c r="X2616" i="1" s="1"/>
  <c r="C2615" i="1"/>
  <c r="C2614" i="1"/>
  <c r="D2614" i="1" s="1"/>
  <c r="X2614" i="1" s="1"/>
  <c r="C2613" i="1"/>
  <c r="V2612" i="1"/>
  <c r="C2612" i="1"/>
  <c r="D2612" i="1" s="1"/>
  <c r="X2612" i="1" s="1"/>
  <c r="C2611" i="1"/>
  <c r="C2610" i="1"/>
  <c r="D2610" i="1" s="1"/>
  <c r="X2610" i="1" s="1"/>
  <c r="C2609" i="1"/>
  <c r="C2608" i="1"/>
  <c r="D2608" i="1" s="1"/>
  <c r="X2608" i="1" s="1"/>
  <c r="C2607" i="1"/>
  <c r="C2606" i="1"/>
  <c r="D2606" i="1" s="1"/>
  <c r="X2606" i="1" s="1"/>
  <c r="C2605" i="1"/>
  <c r="C2604" i="1"/>
  <c r="D2604" i="1" s="1"/>
  <c r="X2604" i="1" s="1"/>
  <c r="C2603" i="1"/>
  <c r="C2602" i="1"/>
  <c r="D2602" i="1" s="1"/>
  <c r="X2602" i="1" s="1"/>
  <c r="C2601" i="1"/>
  <c r="C2600" i="1"/>
  <c r="D2600" i="1" s="1"/>
  <c r="X2600" i="1" s="1"/>
  <c r="C2599" i="1"/>
  <c r="C2598" i="1"/>
  <c r="D2598" i="1" s="1"/>
  <c r="X2598" i="1" s="1"/>
  <c r="C2597" i="1"/>
  <c r="V2596" i="1"/>
  <c r="C2596" i="1"/>
  <c r="D2596" i="1" s="1"/>
  <c r="X2596" i="1" s="1"/>
  <c r="C2595" i="1"/>
  <c r="C2594" i="1"/>
  <c r="D2594" i="1" s="1"/>
  <c r="X2594" i="1" s="1"/>
  <c r="C2593" i="1"/>
  <c r="C2592" i="1"/>
  <c r="D2592" i="1" s="1"/>
  <c r="X2592" i="1" s="1"/>
  <c r="C2591" i="1"/>
  <c r="C2590" i="1"/>
  <c r="D2590" i="1" s="1"/>
  <c r="X2590" i="1" s="1"/>
  <c r="C2589" i="1"/>
  <c r="C2588" i="1"/>
  <c r="D2588" i="1" s="1"/>
  <c r="X2588" i="1" s="1"/>
  <c r="C2587" i="1"/>
  <c r="C2586" i="1"/>
  <c r="D2586" i="1" s="1"/>
  <c r="X2586" i="1" s="1"/>
  <c r="C2585" i="1"/>
  <c r="C2584" i="1"/>
  <c r="D2584" i="1" s="1"/>
  <c r="X2584" i="1" s="1"/>
  <c r="C2583" i="1"/>
  <c r="C2582" i="1"/>
  <c r="D2582" i="1" s="1"/>
  <c r="X2582" i="1" s="1"/>
  <c r="C2581" i="1"/>
  <c r="V2580" i="1"/>
  <c r="C2580" i="1"/>
  <c r="D2580" i="1" s="1"/>
  <c r="X2580" i="1" s="1"/>
  <c r="C2579" i="1"/>
  <c r="C2578" i="1"/>
  <c r="D2578" i="1" s="1"/>
  <c r="X2578" i="1" s="1"/>
  <c r="C2577" i="1"/>
  <c r="C2576" i="1"/>
  <c r="D2576" i="1" s="1"/>
  <c r="X2576" i="1" s="1"/>
  <c r="C2575" i="1"/>
  <c r="C2574" i="1"/>
  <c r="D2574" i="1" s="1"/>
  <c r="X2574" i="1" s="1"/>
  <c r="C2573" i="1"/>
  <c r="C2572" i="1"/>
  <c r="D2572" i="1" s="1"/>
  <c r="X2572" i="1" s="1"/>
  <c r="C2571" i="1"/>
  <c r="C2570" i="1"/>
  <c r="D2570" i="1" s="1"/>
  <c r="X2570" i="1" s="1"/>
  <c r="C2569" i="1"/>
  <c r="C2568" i="1"/>
  <c r="D2568" i="1" s="1"/>
  <c r="X2568" i="1" s="1"/>
  <c r="C2567" i="1"/>
  <c r="C2566" i="1"/>
  <c r="D2566" i="1" s="1"/>
  <c r="X2566" i="1" s="1"/>
  <c r="C2565" i="1"/>
  <c r="V2564" i="1"/>
  <c r="C2564" i="1"/>
  <c r="D2564" i="1" s="1"/>
  <c r="X2564" i="1" s="1"/>
  <c r="C2563" i="1"/>
  <c r="C2562" i="1"/>
  <c r="D2562" i="1" s="1"/>
  <c r="X2562" i="1" s="1"/>
  <c r="C2561" i="1"/>
  <c r="C2560" i="1"/>
  <c r="D2560" i="1" s="1"/>
  <c r="X2560" i="1" s="1"/>
  <c r="C2559" i="1"/>
  <c r="C2558" i="1"/>
  <c r="D2558" i="1" s="1"/>
  <c r="X2558" i="1" s="1"/>
  <c r="C2557" i="1"/>
  <c r="C2556" i="1"/>
  <c r="D2556" i="1" s="1"/>
  <c r="X2556" i="1" s="1"/>
  <c r="C2555" i="1"/>
  <c r="C2554" i="1"/>
  <c r="D2554" i="1" s="1"/>
  <c r="X2554" i="1" s="1"/>
  <c r="C2553" i="1"/>
  <c r="C2552" i="1"/>
  <c r="D2552" i="1" s="1"/>
  <c r="X2552" i="1" s="1"/>
  <c r="C2551" i="1"/>
  <c r="C2550" i="1"/>
  <c r="D2550" i="1" s="1"/>
  <c r="X2550" i="1" s="1"/>
  <c r="C2549" i="1"/>
  <c r="V2548" i="1"/>
  <c r="C2548" i="1"/>
  <c r="D2548" i="1" s="1"/>
  <c r="X2548" i="1" s="1"/>
  <c r="C2547" i="1"/>
  <c r="C2546" i="1"/>
  <c r="D2546" i="1" s="1"/>
  <c r="X2546" i="1" s="1"/>
  <c r="C2545" i="1"/>
  <c r="C2544" i="1"/>
  <c r="D2544" i="1" s="1"/>
  <c r="X2544" i="1" s="1"/>
  <c r="C2543" i="1"/>
  <c r="C2542" i="1"/>
  <c r="D2542" i="1" s="1"/>
  <c r="X2542" i="1" s="1"/>
  <c r="C2541" i="1"/>
  <c r="C2540" i="1"/>
  <c r="D2540" i="1" s="1"/>
  <c r="X2540" i="1" s="1"/>
  <c r="C2539" i="1"/>
  <c r="C2538" i="1"/>
  <c r="D2538" i="1" s="1"/>
  <c r="X2538" i="1" s="1"/>
  <c r="C2537" i="1"/>
  <c r="C2536" i="1"/>
  <c r="D2536" i="1" s="1"/>
  <c r="X2536" i="1" s="1"/>
  <c r="C2535" i="1"/>
  <c r="C2534" i="1"/>
  <c r="D2534" i="1" s="1"/>
  <c r="X2534" i="1" s="1"/>
  <c r="C2533" i="1"/>
  <c r="V2532" i="1"/>
  <c r="C2532" i="1"/>
  <c r="D2532" i="1" s="1"/>
  <c r="X2532" i="1" s="1"/>
  <c r="C2531" i="1"/>
  <c r="C2530" i="1"/>
  <c r="D2530" i="1" s="1"/>
  <c r="X2530" i="1" s="1"/>
  <c r="C2529" i="1"/>
  <c r="C2528" i="1"/>
  <c r="D2528" i="1" s="1"/>
  <c r="X2528" i="1" s="1"/>
  <c r="C2527" i="1"/>
  <c r="C2526" i="1"/>
  <c r="D2526" i="1" s="1"/>
  <c r="X2526" i="1" s="1"/>
  <c r="C2525" i="1"/>
  <c r="C2524" i="1"/>
  <c r="D2524" i="1" s="1"/>
  <c r="X2524" i="1" s="1"/>
  <c r="C2523" i="1"/>
  <c r="C2522" i="1"/>
  <c r="D2522" i="1" s="1"/>
  <c r="X2522" i="1" s="1"/>
  <c r="C2521" i="1"/>
  <c r="C2520" i="1"/>
  <c r="D2520" i="1" s="1"/>
  <c r="X2520" i="1" s="1"/>
  <c r="C2519" i="1"/>
  <c r="C2518" i="1"/>
  <c r="D2518" i="1" s="1"/>
  <c r="X2518" i="1" s="1"/>
  <c r="C2517" i="1"/>
  <c r="V2516" i="1"/>
  <c r="C2516" i="1"/>
  <c r="D2516" i="1" s="1"/>
  <c r="X2516" i="1" s="1"/>
  <c r="C2515" i="1"/>
  <c r="C2514" i="1"/>
  <c r="D2514" i="1" s="1"/>
  <c r="X2514" i="1" s="1"/>
  <c r="C2513" i="1"/>
  <c r="C2512" i="1"/>
  <c r="D2512" i="1" s="1"/>
  <c r="X2512" i="1" s="1"/>
  <c r="C2511" i="1"/>
  <c r="C2510" i="1"/>
  <c r="D2510" i="1" s="1"/>
  <c r="X2510" i="1" s="1"/>
  <c r="C2509" i="1"/>
  <c r="C2508" i="1"/>
  <c r="D2508" i="1" s="1"/>
  <c r="X2508" i="1" s="1"/>
  <c r="C2507" i="1"/>
  <c r="C2506" i="1"/>
  <c r="D2506" i="1" s="1"/>
  <c r="X2506" i="1" s="1"/>
  <c r="C2505" i="1"/>
  <c r="C2504" i="1"/>
  <c r="D2504" i="1" s="1"/>
  <c r="X2504" i="1" s="1"/>
  <c r="C2503" i="1"/>
  <c r="V2502" i="1"/>
  <c r="C2502" i="1"/>
  <c r="D2502" i="1" s="1"/>
  <c r="X2502" i="1" s="1"/>
  <c r="C2501" i="1"/>
  <c r="C2500" i="1"/>
  <c r="D2500" i="1" s="1"/>
  <c r="X2500" i="1" s="1"/>
  <c r="C2499" i="1"/>
  <c r="C2498" i="1"/>
  <c r="D2498" i="1" s="1"/>
  <c r="X2498" i="1" s="1"/>
  <c r="C2497" i="1"/>
  <c r="C2496" i="1"/>
  <c r="D2496" i="1" s="1"/>
  <c r="X2496" i="1" s="1"/>
  <c r="C2495" i="1"/>
  <c r="V2494" i="1"/>
  <c r="C2494" i="1"/>
  <c r="D2494" i="1" s="1"/>
  <c r="X2494" i="1" s="1"/>
  <c r="C2493" i="1"/>
  <c r="C2492" i="1"/>
  <c r="D2492" i="1" s="1"/>
  <c r="X2492" i="1" s="1"/>
  <c r="C2491" i="1"/>
  <c r="C2490" i="1"/>
  <c r="D2490" i="1" s="1"/>
  <c r="X2490" i="1" s="1"/>
  <c r="C2489" i="1"/>
  <c r="C2488" i="1"/>
  <c r="D2488" i="1" s="1"/>
  <c r="X2488" i="1" s="1"/>
  <c r="C2487" i="1"/>
  <c r="V2486" i="1"/>
  <c r="C2486" i="1"/>
  <c r="D2486" i="1" s="1"/>
  <c r="X2486" i="1" s="1"/>
  <c r="C2485" i="1"/>
  <c r="C2484" i="1"/>
  <c r="D2484" i="1" s="1"/>
  <c r="X2484" i="1" s="1"/>
  <c r="C2483" i="1"/>
  <c r="C2482" i="1"/>
  <c r="D2482" i="1" s="1"/>
  <c r="X2482" i="1" s="1"/>
  <c r="C2481" i="1"/>
  <c r="C2480" i="1"/>
  <c r="D2480" i="1" s="1"/>
  <c r="X2480" i="1" s="1"/>
  <c r="C2479" i="1"/>
  <c r="V2478" i="1"/>
  <c r="C2478" i="1"/>
  <c r="D2478" i="1" s="1"/>
  <c r="X2478" i="1" s="1"/>
  <c r="C2477" i="1"/>
  <c r="C2476" i="1"/>
  <c r="D2476" i="1" s="1"/>
  <c r="X2476" i="1" s="1"/>
  <c r="C2475" i="1"/>
  <c r="C2474" i="1"/>
  <c r="D2474" i="1" s="1"/>
  <c r="X2474" i="1" s="1"/>
  <c r="C2473" i="1"/>
  <c r="C2472" i="1"/>
  <c r="D2472" i="1" s="1"/>
  <c r="X2472" i="1" s="1"/>
  <c r="C2471" i="1"/>
  <c r="V2470" i="1"/>
  <c r="C2470" i="1"/>
  <c r="D2470" i="1" s="1"/>
  <c r="X2470" i="1" s="1"/>
  <c r="C2469" i="1"/>
  <c r="C2468" i="1"/>
  <c r="D2468" i="1" s="1"/>
  <c r="X2468" i="1" s="1"/>
  <c r="C2467" i="1"/>
  <c r="C2466" i="1"/>
  <c r="D2466" i="1" s="1"/>
  <c r="X2466" i="1" s="1"/>
  <c r="C2465" i="1"/>
  <c r="C2464" i="1"/>
  <c r="D2464" i="1" s="1"/>
  <c r="X2464" i="1" s="1"/>
  <c r="C2463" i="1"/>
  <c r="V2462" i="1"/>
  <c r="C2462" i="1"/>
  <c r="D2462" i="1" s="1"/>
  <c r="X2462" i="1" s="1"/>
  <c r="C2461" i="1"/>
  <c r="C2460" i="1"/>
  <c r="D2460" i="1" s="1"/>
  <c r="X2460" i="1" s="1"/>
  <c r="C2459" i="1"/>
  <c r="C2458" i="1"/>
  <c r="D2458" i="1" s="1"/>
  <c r="X2458" i="1" s="1"/>
  <c r="C2457" i="1"/>
  <c r="C2456" i="1"/>
  <c r="D2456" i="1" s="1"/>
  <c r="X2456" i="1" s="1"/>
  <c r="C2455" i="1"/>
  <c r="V2454" i="1"/>
  <c r="C2454" i="1"/>
  <c r="D2454" i="1" s="1"/>
  <c r="X2454" i="1" s="1"/>
  <c r="C2453" i="1"/>
  <c r="C2452" i="1"/>
  <c r="D2452" i="1" s="1"/>
  <c r="X2452" i="1" s="1"/>
  <c r="C2451" i="1"/>
  <c r="C2450" i="1"/>
  <c r="D2450" i="1" s="1"/>
  <c r="X2450" i="1" s="1"/>
  <c r="C2449" i="1"/>
  <c r="C2448" i="1"/>
  <c r="D2448" i="1" s="1"/>
  <c r="X2448" i="1" s="1"/>
  <c r="C2447" i="1"/>
  <c r="V2446" i="1"/>
  <c r="C2446" i="1"/>
  <c r="D2446" i="1" s="1"/>
  <c r="X2446" i="1" s="1"/>
  <c r="C2445" i="1"/>
  <c r="C2444" i="1"/>
  <c r="D2444" i="1" s="1"/>
  <c r="X2444" i="1" s="1"/>
  <c r="C2443" i="1"/>
  <c r="C2442" i="1"/>
  <c r="D2442" i="1" s="1"/>
  <c r="X2442" i="1" s="1"/>
  <c r="C2441" i="1"/>
  <c r="C2440" i="1"/>
  <c r="D2440" i="1" s="1"/>
  <c r="X2440" i="1" s="1"/>
  <c r="C2439" i="1"/>
  <c r="V2438" i="1"/>
  <c r="C2438" i="1"/>
  <c r="D2438" i="1" s="1"/>
  <c r="X2438" i="1" s="1"/>
  <c r="C2437" i="1"/>
  <c r="C2436" i="1"/>
  <c r="D2436" i="1" s="1"/>
  <c r="X2436" i="1" s="1"/>
  <c r="C2435" i="1"/>
  <c r="C2434" i="1"/>
  <c r="D2434" i="1" s="1"/>
  <c r="X2434" i="1" s="1"/>
  <c r="C2433" i="1"/>
  <c r="C2432" i="1"/>
  <c r="D2432" i="1" s="1"/>
  <c r="X2432" i="1" s="1"/>
  <c r="C2431" i="1"/>
  <c r="V2430" i="1"/>
  <c r="C2430" i="1"/>
  <c r="D2430" i="1" s="1"/>
  <c r="X2430" i="1" s="1"/>
  <c r="C2429" i="1"/>
  <c r="C2428" i="1"/>
  <c r="D2428" i="1" s="1"/>
  <c r="X2428" i="1" s="1"/>
  <c r="C2427" i="1"/>
  <c r="C2426" i="1"/>
  <c r="D2426" i="1" s="1"/>
  <c r="X2426" i="1" s="1"/>
  <c r="C2425" i="1"/>
  <c r="C2424" i="1"/>
  <c r="D2424" i="1" s="1"/>
  <c r="X2424" i="1" s="1"/>
  <c r="C2423" i="1"/>
  <c r="V2422" i="1"/>
  <c r="C2422" i="1"/>
  <c r="D2422" i="1" s="1"/>
  <c r="X2422" i="1" s="1"/>
  <c r="C2421" i="1"/>
  <c r="C2420" i="1"/>
  <c r="D2420" i="1" s="1"/>
  <c r="X2420" i="1" s="1"/>
  <c r="C2419" i="1"/>
  <c r="C2418" i="1"/>
  <c r="D2418" i="1" s="1"/>
  <c r="X2418" i="1" s="1"/>
  <c r="C2417" i="1"/>
  <c r="C2416" i="1"/>
  <c r="D2416" i="1" s="1"/>
  <c r="X2416" i="1" s="1"/>
  <c r="C2415" i="1"/>
  <c r="V2414" i="1"/>
  <c r="C2414" i="1"/>
  <c r="D2414" i="1" s="1"/>
  <c r="X2414" i="1" s="1"/>
  <c r="C2413" i="1"/>
  <c r="C2412" i="1"/>
  <c r="D2412" i="1" s="1"/>
  <c r="X2412" i="1" s="1"/>
  <c r="C2411" i="1"/>
  <c r="C2410" i="1"/>
  <c r="D2410" i="1" s="1"/>
  <c r="X2410" i="1" s="1"/>
  <c r="C2409" i="1"/>
  <c r="C2408" i="1"/>
  <c r="D2408" i="1" s="1"/>
  <c r="X2408" i="1" s="1"/>
  <c r="C2407" i="1"/>
  <c r="V2406" i="1"/>
  <c r="C2406" i="1"/>
  <c r="D2406" i="1" s="1"/>
  <c r="X2406" i="1" s="1"/>
  <c r="C2405" i="1"/>
  <c r="C2404" i="1"/>
  <c r="D2404" i="1" s="1"/>
  <c r="X2404" i="1" s="1"/>
  <c r="C2403" i="1"/>
  <c r="C2402" i="1"/>
  <c r="D2402" i="1" s="1"/>
  <c r="X2402" i="1" s="1"/>
  <c r="C2401" i="1"/>
  <c r="C2400" i="1"/>
  <c r="D2400" i="1" s="1"/>
  <c r="X2400" i="1" s="1"/>
  <c r="C2399" i="1"/>
  <c r="V2398" i="1"/>
  <c r="C2398" i="1"/>
  <c r="D2398" i="1" s="1"/>
  <c r="X2398" i="1" s="1"/>
  <c r="C2397" i="1"/>
  <c r="C2396" i="1"/>
  <c r="D2396" i="1" s="1"/>
  <c r="X2396" i="1" s="1"/>
  <c r="C2395" i="1"/>
  <c r="C2394" i="1"/>
  <c r="D2394" i="1" s="1"/>
  <c r="X2394" i="1" s="1"/>
  <c r="C2393" i="1"/>
  <c r="C2392" i="1"/>
  <c r="D2392" i="1" s="1"/>
  <c r="X2392" i="1" s="1"/>
  <c r="C2391" i="1"/>
  <c r="V2390" i="1"/>
  <c r="C2390" i="1"/>
  <c r="D2390" i="1" s="1"/>
  <c r="X2390" i="1" s="1"/>
  <c r="C2389" i="1"/>
  <c r="C2388" i="1"/>
  <c r="D2388" i="1" s="1"/>
  <c r="X2388" i="1" s="1"/>
  <c r="C2387" i="1"/>
  <c r="C2386" i="1"/>
  <c r="D2386" i="1" s="1"/>
  <c r="X2386" i="1" s="1"/>
  <c r="C2385" i="1"/>
  <c r="C2384" i="1"/>
  <c r="D2384" i="1" s="1"/>
  <c r="X2384" i="1" s="1"/>
  <c r="C2383" i="1"/>
  <c r="V2382" i="1"/>
  <c r="C2382" i="1"/>
  <c r="D2382" i="1" s="1"/>
  <c r="X2382" i="1" s="1"/>
  <c r="C2381" i="1"/>
  <c r="C2380" i="1"/>
  <c r="D2380" i="1" s="1"/>
  <c r="X2380" i="1" s="1"/>
  <c r="C2379" i="1"/>
  <c r="C2378" i="1"/>
  <c r="D2378" i="1" s="1"/>
  <c r="X2378" i="1" s="1"/>
  <c r="C2377" i="1"/>
  <c r="C2376" i="1"/>
  <c r="D2376" i="1" s="1"/>
  <c r="X2376" i="1" s="1"/>
  <c r="C2375" i="1"/>
  <c r="V2374" i="1"/>
  <c r="C2374" i="1"/>
  <c r="D2374" i="1" s="1"/>
  <c r="X2374" i="1" s="1"/>
  <c r="C2373" i="1"/>
  <c r="C2372" i="1"/>
  <c r="D2372" i="1" s="1"/>
  <c r="X2372" i="1" s="1"/>
  <c r="C2371" i="1"/>
  <c r="C2370" i="1"/>
  <c r="D2370" i="1" s="1"/>
  <c r="X2370" i="1" s="1"/>
  <c r="C2369" i="1"/>
  <c r="C2368" i="1"/>
  <c r="D2368" i="1" s="1"/>
  <c r="X2368" i="1" s="1"/>
  <c r="C2367" i="1"/>
  <c r="V2366" i="1"/>
  <c r="C2366" i="1"/>
  <c r="D2366" i="1" s="1"/>
  <c r="X2366" i="1" s="1"/>
  <c r="C2365" i="1"/>
  <c r="C2364" i="1"/>
  <c r="D2364" i="1" s="1"/>
  <c r="X2364" i="1" s="1"/>
  <c r="C2363" i="1"/>
  <c r="C2362" i="1"/>
  <c r="D2362" i="1" s="1"/>
  <c r="X2362" i="1" s="1"/>
  <c r="C2361" i="1"/>
  <c r="C2360" i="1"/>
  <c r="D2360" i="1" s="1"/>
  <c r="X2360" i="1" s="1"/>
  <c r="C2359" i="1"/>
  <c r="V2358" i="1"/>
  <c r="C2358" i="1"/>
  <c r="D2358" i="1" s="1"/>
  <c r="X2358" i="1" s="1"/>
  <c r="C2357" i="1"/>
  <c r="C2356" i="1"/>
  <c r="D2356" i="1" s="1"/>
  <c r="X2356" i="1" s="1"/>
  <c r="C2355" i="1"/>
  <c r="C2354" i="1"/>
  <c r="D2354" i="1" s="1"/>
  <c r="X2354" i="1" s="1"/>
  <c r="C2353" i="1"/>
  <c r="C2352" i="1"/>
  <c r="D2352" i="1" s="1"/>
  <c r="X2352" i="1" s="1"/>
  <c r="C2351" i="1"/>
  <c r="V2350" i="1"/>
  <c r="C2350" i="1"/>
  <c r="D2350" i="1" s="1"/>
  <c r="X2350" i="1" s="1"/>
  <c r="C2349" i="1"/>
  <c r="C2348" i="1"/>
  <c r="D2348" i="1" s="1"/>
  <c r="X2348" i="1" s="1"/>
  <c r="C2347" i="1"/>
  <c r="C2346" i="1"/>
  <c r="D2346" i="1" s="1"/>
  <c r="X2346" i="1" s="1"/>
  <c r="C2345" i="1"/>
  <c r="C2344" i="1"/>
  <c r="D2344" i="1" s="1"/>
  <c r="X2344" i="1" s="1"/>
  <c r="C2343" i="1"/>
  <c r="V2342" i="1"/>
  <c r="C2342" i="1"/>
  <c r="D2342" i="1" s="1"/>
  <c r="X2342" i="1" s="1"/>
  <c r="C2341" i="1"/>
  <c r="C2340" i="1"/>
  <c r="D2340" i="1" s="1"/>
  <c r="X2340" i="1" s="1"/>
  <c r="C2339" i="1"/>
  <c r="C2338" i="1"/>
  <c r="D2338" i="1" s="1"/>
  <c r="X2338" i="1" s="1"/>
  <c r="C2337" i="1"/>
  <c r="C2336" i="1"/>
  <c r="D2336" i="1" s="1"/>
  <c r="X2336" i="1" s="1"/>
  <c r="C2335" i="1"/>
  <c r="V2334" i="1"/>
  <c r="C2334" i="1"/>
  <c r="D2334" i="1" s="1"/>
  <c r="X2334" i="1" s="1"/>
  <c r="C2333" i="1"/>
  <c r="C2332" i="1"/>
  <c r="D2332" i="1" s="1"/>
  <c r="X2332" i="1" s="1"/>
  <c r="C2331" i="1"/>
  <c r="C2330" i="1"/>
  <c r="D2330" i="1" s="1"/>
  <c r="X2330" i="1" s="1"/>
  <c r="C2329" i="1"/>
  <c r="C2328" i="1"/>
  <c r="D2328" i="1" s="1"/>
  <c r="X2328" i="1" s="1"/>
  <c r="C2327" i="1"/>
  <c r="V2326" i="1"/>
  <c r="C2326" i="1"/>
  <c r="D2326" i="1" s="1"/>
  <c r="X2326" i="1" s="1"/>
  <c r="C2325" i="1"/>
  <c r="C2324" i="1"/>
  <c r="D2324" i="1" s="1"/>
  <c r="X2324" i="1" s="1"/>
  <c r="C2323" i="1"/>
  <c r="C2322" i="1"/>
  <c r="D2322" i="1" s="1"/>
  <c r="X2322" i="1" s="1"/>
  <c r="C2321" i="1"/>
  <c r="C2320" i="1"/>
  <c r="D2320" i="1" s="1"/>
  <c r="X2320" i="1" s="1"/>
  <c r="C2319" i="1"/>
  <c r="V2318" i="1"/>
  <c r="C2318" i="1"/>
  <c r="D2318" i="1" s="1"/>
  <c r="X2318" i="1" s="1"/>
  <c r="C2317" i="1"/>
  <c r="C2316" i="1"/>
  <c r="D2316" i="1" s="1"/>
  <c r="X2316" i="1" s="1"/>
  <c r="C2315" i="1"/>
  <c r="C2314" i="1"/>
  <c r="D2314" i="1" s="1"/>
  <c r="X2314" i="1" s="1"/>
  <c r="C2313" i="1"/>
  <c r="C2312" i="1"/>
  <c r="D2312" i="1" s="1"/>
  <c r="X2312" i="1" s="1"/>
  <c r="C2311" i="1"/>
  <c r="V2310" i="1"/>
  <c r="C2310" i="1"/>
  <c r="D2310" i="1" s="1"/>
  <c r="X2310" i="1" s="1"/>
  <c r="C2309" i="1"/>
  <c r="C2308" i="1"/>
  <c r="D2308" i="1" s="1"/>
  <c r="X2308" i="1" s="1"/>
  <c r="C2307" i="1"/>
  <c r="C2306" i="1"/>
  <c r="D2306" i="1" s="1"/>
  <c r="X2306" i="1" s="1"/>
  <c r="C2305" i="1"/>
  <c r="C2304" i="1"/>
  <c r="D2304" i="1" s="1"/>
  <c r="X2304" i="1" s="1"/>
  <c r="C2303" i="1"/>
  <c r="V2302" i="1"/>
  <c r="C2302" i="1"/>
  <c r="D2302" i="1" s="1"/>
  <c r="X2302" i="1" s="1"/>
  <c r="C2301" i="1"/>
  <c r="C2300" i="1"/>
  <c r="D2300" i="1" s="1"/>
  <c r="X2300" i="1" s="1"/>
  <c r="C2299" i="1"/>
  <c r="C2298" i="1"/>
  <c r="D2298" i="1" s="1"/>
  <c r="X2298" i="1" s="1"/>
  <c r="C2297" i="1"/>
  <c r="C2296" i="1"/>
  <c r="D2296" i="1" s="1"/>
  <c r="X2296" i="1" s="1"/>
  <c r="C2295" i="1"/>
  <c r="V2294" i="1"/>
  <c r="C2294" i="1"/>
  <c r="D2294" i="1" s="1"/>
  <c r="X2294" i="1" s="1"/>
  <c r="C2293" i="1"/>
  <c r="C2292" i="1"/>
  <c r="D2292" i="1" s="1"/>
  <c r="X2292" i="1" s="1"/>
  <c r="C2291" i="1"/>
  <c r="C2290" i="1"/>
  <c r="D2290" i="1" s="1"/>
  <c r="X2290" i="1" s="1"/>
  <c r="C2289" i="1"/>
  <c r="C2288" i="1"/>
  <c r="D2288" i="1" s="1"/>
  <c r="X2288" i="1" s="1"/>
  <c r="C2287" i="1"/>
  <c r="V2286" i="1"/>
  <c r="C2286" i="1"/>
  <c r="D2286" i="1" s="1"/>
  <c r="X2286" i="1" s="1"/>
  <c r="C2285" i="1"/>
  <c r="C2284" i="1"/>
  <c r="D2284" i="1" s="1"/>
  <c r="X2284" i="1" s="1"/>
  <c r="C2283" i="1"/>
  <c r="C2282" i="1"/>
  <c r="D2282" i="1" s="1"/>
  <c r="X2282" i="1" s="1"/>
  <c r="C2281" i="1"/>
  <c r="C2280" i="1"/>
  <c r="D2280" i="1" s="1"/>
  <c r="X2280" i="1" s="1"/>
  <c r="C2279" i="1"/>
  <c r="V2278" i="1"/>
  <c r="C2278" i="1"/>
  <c r="D2278" i="1" s="1"/>
  <c r="X2278" i="1" s="1"/>
  <c r="C2277" i="1"/>
  <c r="C2276" i="1"/>
  <c r="D2276" i="1" s="1"/>
  <c r="X2276" i="1" s="1"/>
  <c r="C2275" i="1"/>
  <c r="C2274" i="1"/>
  <c r="D2274" i="1" s="1"/>
  <c r="X2274" i="1" s="1"/>
  <c r="C2273" i="1"/>
  <c r="C2272" i="1"/>
  <c r="D2272" i="1" s="1"/>
  <c r="X2272" i="1" s="1"/>
  <c r="C2271" i="1"/>
  <c r="V2270" i="1"/>
  <c r="C2270" i="1"/>
  <c r="D2270" i="1" s="1"/>
  <c r="X2270" i="1" s="1"/>
  <c r="C2269" i="1"/>
  <c r="C2268" i="1"/>
  <c r="D2268" i="1" s="1"/>
  <c r="X2268" i="1" s="1"/>
  <c r="C2267" i="1"/>
  <c r="C2266" i="1"/>
  <c r="D2266" i="1" s="1"/>
  <c r="X2266" i="1" s="1"/>
  <c r="C2265" i="1"/>
  <c r="C2264" i="1"/>
  <c r="D2264" i="1" s="1"/>
  <c r="X2264" i="1" s="1"/>
  <c r="C2263" i="1"/>
  <c r="V2262" i="1"/>
  <c r="C2262" i="1"/>
  <c r="D2262" i="1" s="1"/>
  <c r="X2262" i="1" s="1"/>
  <c r="C2261" i="1"/>
  <c r="C2260" i="1"/>
  <c r="D2260" i="1" s="1"/>
  <c r="X2260" i="1" s="1"/>
  <c r="C2259" i="1"/>
  <c r="C2258" i="1"/>
  <c r="D2258" i="1" s="1"/>
  <c r="X2258" i="1" s="1"/>
  <c r="C2257" i="1"/>
  <c r="C2256" i="1"/>
  <c r="D2256" i="1" s="1"/>
  <c r="X2256" i="1" s="1"/>
  <c r="C2255" i="1"/>
  <c r="V2254" i="1"/>
  <c r="C2254" i="1"/>
  <c r="D2254" i="1" s="1"/>
  <c r="X2254" i="1" s="1"/>
  <c r="C2253" i="1"/>
  <c r="C2252" i="1"/>
  <c r="D2252" i="1" s="1"/>
  <c r="X2252" i="1" s="1"/>
  <c r="C2251" i="1"/>
  <c r="C2250" i="1"/>
  <c r="D2250" i="1" s="1"/>
  <c r="X2250" i="1" s="1"/>
  <c r="C2249" i="1"/>
  <c r="C2248" i="1"/>
  <c r="D2248" i="1" s="1"/>
  <c r="X2248" i="1" s="1"/>
  <c r="C2247" i="1"/>
  <c r="V2246" i="1"/>
  <c r="C2246" i="1"/>
  <c r="D2246" i="1" s="1"/>
  <c r="X2246" i="1" s="1"/>
  <c r="C2245" i="1"/>
  <c r="C2244" i="1"/>
  <c r="D2244" i="1" s="1"/>
  <c r="X2244" i="1" s="1"/>
  <c r="C2243" i="1"/>
  <c r="C2242" i="1"/>
  <c r="D2242" i="1" s="1"/>
  <c r="X2242" i="1" s="1"/>
  <c r="C2241" i="1"/>
  <c r="C2240" i="1"/>
  <c r="D2240" i="1" s="1"/>
  <c r="X2240" i="1" s="1"/>
  <c r="C2239" i="1"/>
  <c r="V2238" i="1"/>
  <c r="C2238" i="1"/>
  <c r="D2238" i="1" s="1"/>
  <c r="X2238" i="1" s="1"/>
  <c r="C2237" i="1"/>
  <c r="C2236" i="1"/>
  <c r="D2236" i="1" s="1"/>
  <c r="X2236" i="1" s="1"/>
  <c r="C2235" i="1"/>
  <c r="C2234" i="1"/>
  <c r="D2234" i="1" s="1"/>
  <c r="X2234" i="1" s="1"/>
  <c r="C2233" i="1"/>
  <c r="C2232" i="1"/>
  <c r="D2232" i="1" s="1"/>
  <c r="X2232" i="1" s="1"/>
  <c r="C2231" i="1"/>
  <c r="V2230" i="1"/>
  <c r="C2230" i="1"/>
  <c r="D2230" i="1" s="1"/>
  <c r="X2230" i="1" s="1"/>
  <c r="C2229" i="1"/>
  <c r="C2228" i="1"/>
  <c r="D2228" i="1" s="1"/>
  <c r="X2228" i="1" s="1"/>
  <c r="C2227" i="1"/>
  <c r="C2226" i="1"/>
  <c r="D2226" i="1" s="1"/>
  <c r="X2226" i="1" s="1"/>
  <c r="C2225" i="1"/>
  <c r="C2224" i="1"/>
  <c r="D2224" i="1" s="1"/>
  <c r="X2224" i="1" s="1"/>
  <c r="C2223" i="1"/>
  <c r="V2222" i="1"/>
  <c r="C2222" i="1"/>
  <c r="D2222" i="1" s="1"/>
  <c r="X2222" i="1" s="1"/>
  <c r="C2221" i="1"/>
  <c r="C2220" i="1"/>
  <c r="D2220" i="1" s="1"/>
  <c r="X2220" i="1" s="1"/>
  <c r="C2219" i="1"/>
  <c r="C2218" i="1"/>
  <c r="D2218" i="1" s="1"/>
  <c r="X2218" i="1" s="1"/>
  <c r="C2217" i="1"/>
  <c r="C2216" i="1"/>
  <c r="D2216" i="1" s="1"/>
  <c r="X2216" i="1" s="1"/>
  <c r="C2215" i="1"/>
  <c r="V2214" i="1"/>
  <c r="C2214" i="1"/>
  <c r="D2214" i="1" s="1"/>
  <c r="X2214" i="1" s="1"/>
  <c r="C2213" i="1"/>
  <c r="C2212" i="1"/>
  <c r="D2212" i="1" s="1"/>
  <c r="X2212" i="1" s="1"/>
  <c r="C2211" i="1"/>
  <c r="C2210" i="1"/>
  <c r="D2210" i="1" s="1"/>
  <c r="X2210" i="1" s="1"/>
  <c r="C2209" i="1"/>
  <c r="C2208" i="1"/>
  <c r="D2208" i="1" s="1"/>
  <c r="X2208" i="1" s="1"/>
  <c r="C2207" i="1"/>
  <c r="C2206" i="1"/>
  <c r="D2206" i="1" s="1"/>
  <c r="X2206" i="1" s="1"/>
  <c r="C2205" i="1"/>
  <c r="V2204" i="1"/>
  <c r="C2204" i="1"/>
  <c r="D2204" i="1" s="1"/>
  <c r="X2204" i="1" s="1"/>
  <c r="C2203" i="1"/>
  <c r="C2202" i="1"/>
  <c r="D2202" i="1" s="1"/>
  <c r="X2202" i="1" s="1"/>
  <c r="C2201" i="1"/>
  <c r="C2200" i="1"/>
  <c r="D2200" i="1" s="1"/>
  <c r="X2200" i="1" s="1"/>
  <c r="C2199" i="1"/>
  <c r="C2198" i="1"/>
  <c r="D2198" i="1" s="1"/>
  <c r="X2198" i="1" s="1"/>
  <c r="C2197" i="1"/>
  <c r="V2196" i="1"/>
  <c r="C2196" i="1"/>
  <c r="D2196" i="1" s="1"/>
  <c r="X2196" i="1" s="1"/>
  <c r="C2195" i="1"/>
  <c r="C2194" i="1"/>
  <c r="D2194" i="1" s="1"/>
  <c r="X2194" i="1" s="1"/>
  <c r="C2193" i="1"/>
  <c r="C2192" i="1"/>
  <c r="D2192" i="1" s="1"/>
  <c r="X2192" i="1" s="1"/>
  <c r="C2191" i="1"/>
  <c r="C2190" i="1"/>
  <c r="D2190" i="1" s="1"/>
  <c r="X2190" i="1" s="1"/>
  <c r="C2189" i="1"/>
  <c r="V2188" i="1"/>
  <c r="C2188" i="1"/>
  <c r="D2188" i="1" s="1"/>
  <c r="X2188" i="1" s="1"/>
  <c r="C2187" i="1"/>
  <c r="C2186" i="1"/>
  <c r="D2186" i="1" s="1"/>
  <c r="X2186" i="1" s="1"/>
  <c r="C2185" i="1"/>
  <c r="C2184" i="1"/>
  <c r="D2184" i="1" s="1"/>
  <c r="X2184" i="1" s="1"/>
  <c r="C2183" i="1"/>
  <c r="C2182" i="1"/>
  <c r="D2182" i="1" s="1"/>
  <c r="X2182" i="1" s="1"/>
  <c r="C2181" i="1"/>
  <c r="V2180" i="1"/>
  <c r="C2180" i="1"/>
  <c r="D2180" i="1" s="1"/>
  <c r="X2180" i="1" s="1"/>
  <c r="C2179" i="1"/>
  <c r="C2178" i="1"/>
  <c r="D2178" i="1" s="1"/>
  <c r="X2178" i="1" s="1"/>
  <c r="C2177" i="1"/>
  <c r="C2176" i="1"/>
  <c r="D2176" i="1" s="1"/>
  <c r="X2176" i="1" s="1"/>
  <c r="C2175" i="1"/>
  <c r="C2174" i="1"/>
  <c r="D2174" i="1" s="1"/>
  <c r="X2174" i="1" s="1"/>
  <c r="C2173" i="1"/>
  <c r="V2172" i="1"/>
  <c r="C2172" i="1"/>
  <c r="D2172" i="1" s="1"/>
  <c r="X2172" i="1" s="1"/>
  <c r="C2171" i="1"/>
  <c r="C2170" i="1"/>
  <c r="D2170" i="1" s="1"/>
  <c r="X2170" i="1" s="1"/>
  <c r="C2169" i="1"/>
  <c r="C2168" i="1"/>
  <c r="D2168" i="1" s="1"/>
  <c r="X2168" i="1" s="1"/>
  <c r="C2167" i="1"/>
  <c r="C2166" i="1"/>
  <c r="D2166" i="1" s="1"/>
  <c r="X2166" i="1" s="1"/>
  <c r="C2165" i="1"/>
  <c r="V2164" i="1"/>
  <c r="C2164" i="1"/>
  <c r="D2164" i="1" s="1"/>
  <c r="X2164" i="1" s="1"/>
  <c r="C2163" i="1"/>
  <c r="C2162" i="1"/>
  <c r="D2162" i="1" s="1"/>
  <c r="X2162" i="1" s="1"/>
  <c r="C2161" i="1"/>
  <c r="C2160" i="1"/>
  <c r="D2160" i="1" s="1"/>
  <c r="X2160" i="1" s="1"/>
  <c r="C2159" i="1"/>
  <c r="C2158" i="1"/>
  <c r="D2158" i="1" s="1"/>
  <c r="X2158" i="1" s="1"/>
  <c r="C2157" i="1"/>
  <c r="V2156" i="1"/>
  <c r="C2156" i="1"/>
  <c r="D2156" i="1" s="1"/>
  <c r="X2156" i="1" s="1"/>
  <c r="C2155" i="1"/>
  <c r="C2154" i="1"/>
  <c r="D2154" i="1" s="1"/>
  <c r="X2154" i="1" s="1"/>
  <c r="C2153" i="1"/>
  <c r="C2152" i="1"/>
  <c r="D2152" i="1" s="1"/>
  <c r="X2152" i="1" s="1"/>
  <c r="C2151" i="1"/>
  <c r="C2150" i="1"/>
  <c r="D2150" i="1" s="1"/>
  <c r="X2150" i="1" s="1"/>
  <c r="C2149" i="1"/>
  <c r="V2148" i="1"/>
  <c r="C2148" i="1"/>
  <c r="D2148" i="1" s="1"/>
  <c r="X2148" i="1" s="1"/>
  <c r="C2147" i="1"/>
  <c r="C2146" i="1"/>
  <c r="D2146" i="1" s="1"/>
  <c r="X2146" i="1" s="1"/>
  <c r="C2145" i="1"/>
  <c r="C2144" i="1"/>
  <c r="D2144" i="1" s="1"/>
  <c r="X2144" i="1" s="1"/>
  <c r="C2143" i="1"/>
  <c r="C2142" i="1"/>
  <c r="D2142" i="1" s="1"/>
  <c r="X2142" i="1" s="1"/>
  <c r="C2141" i="1"/>
  <c r="V2140" i="1"/>
  <c r="C2140" i="1"/>
  <c r="D2140" i="1" s="1"/>
  <c r="X2140" i="1" s="1"/>
  <c r="C2139" i="1"/>
  <c r="C2138" i="1"/>
  <c r="D2138" i="1" s="1"/>
  <c r="X2138" i="1" s="1"/>
  <c r="C2137" i="1"/>
  <c r="C2136" i="1"/>
  <c r="D2136" i="1" s="1"/>
  <c r="X2136" i="1" s="1"/>
  <c r="C2135" i="1"/>
  <c r="C2134" i="1"/>
  <c r="D2134" i="1" s="1"/>
  <c r="X2134" i="1" s="1"/>
  <c r="C2133" i="1"/>
  <c r="V2132" i="1"/>
  <c r="C2132" i="1"/>
  <c r="D2132" i="1" s="1"/>
  <c r="X2132" i="1" s="1"/>
  <c r="C2131" i="1"/>
  <c r="C2130" i="1"/>
  <c r="D2130" i="1" s="1"/>
  <c r="X2130" i="1" s="1"/>
  <c r="C2129" i="1"/>
  <c r="C2128" i="1"/>
  <c r="D2128" i="1" s="1"/>
  <c r="X2128" i="1" s="1"/>
  <c r="C2127" i="1"/>
  <c r="C2126" i="1"/>
  <c r="D2126" i="1" s="1"/>
  <c r="X2126" i="1" s="1"/>
  <c r="C2125" i="1"/>
  <c r="V2124" i="1"/>
  <c r="C2124" i="1"/>
  <c r="D2124" i="1" s="1"/>
  <c r="X2124" i="1" s="1"/>
  <c r="C2123" i="1"/>
  <c r="C2122" i="1"/>
  <c r="D2122" i="1" s="1"/>
  <c r="X2122" i="1" s="1"/>
  <c r="C2121" i="1"/>
  <c r="C2120" i="1"/>
  <c r="D2120" i="1" s="1"/>
  <c r="X2120" i="1" s="1"/>
  <c r="C2119" i="1"/>
  <c r="C2118" i="1"/>
  <c r="D2118" i="1" s="1"/>
  <c r="X2118" i="1" s="1"/>
  <c r="C2117" i="1"/>
  <c r="V2116" i="1"/>
  <c r="C2116" i="1"/>
  <c r="D2116" i="1" s="1"/>
  <c r="X2116" i="1" s="1"/>
  <c r="C2115" i="1"/>
  <c r="C2114" i="1"/>
  <c r="D2114" i="1" s="1"/>
  <c r="X2114" i="1" s="1"/>
  <c r="C2113" i="1"/>
  <c r="C2112" i="1"/>
  <c r="D2112" i="1" s="1"/>
  <c r="X2112" i="1" s="1"/>
  <c r="C2111" i="1"/>
  <c r="C2110" i="1"/>
  <c r="D2110" i="1" s="1"/>
  <c r="X2110" i="1" s="1"/>
  <c r="C2109" i="1"/>
  <c r="V2108" i="1"/>
  <c r="C2108" i="1"/>
  <c r="D2108" i="1" s="1"/>
  <c r="X2108" i="1" s="1"/>
  <c r="C2107" i="1"/>
  <c r="C2106" i="1"/>
  <c r="D2106" i="1" s="1"/>
  <c r="X2106" i="1" s="1"/>
  <c r="C2105" i="1"/>
  <c r="C2104" i="1"/>
  <c r="D2104" i="1" s="1"/>
  <c r="X2104" i="1" s="1"/>
  <c r="C2103" i="1"/>
  <c r="C2102" i="1"/>
  <c r="D2102" i="1" s="1"/>
  <c r="X2102" i="1" s="1"/>
  <c r="C2101" i="1"/>
  <c r="V2100" i="1"/>
  <c r="C2100" i="1"/>
  <c r="D2100" i="1" s="1"/>
  <c r="X2100" i="1" s="1"/>
  <c r="C2099" i="1"/>
  <c r="C2098" i="1"/>
  <c r="D2098" i="1" s="1"/>
  <c r="X2098" i="1" s="1"/>
  <c r="C2097" i="1"/>
  <c r="C2096" i="1"/>
  <c r="D2096" i="1" s="1"/>
  <c r="X2096" i="1" s="1"/>
  <c r="C2095" i="1"/>
  <c r="C2094" i="1"/>
  <c r="D2094" i="1" s="1"/>
  <c r="X2094" i="1" s="1"/>
  <c r="C2093" i="1"/>
  <c r="V2092" i="1"/>
  <c r="C2092" i="1"/>
  <c r="D2092" i="1" s="1"/>
  <c r="X2092" i="1" s="1"/>
  <c r="C2091" i="1"/>
  <c r="C2090" i="1"/>
  <c r="D2090" i="1" s="1"/>
  <c r="X2090" i="1" s="1"/>
  <c r="C2089" i="1"/>
  <c r="C2088" i="1"/>
  <c r="D2088" i="1" s="1"/>
  <c r="X2088" i="1" s="1"/>
  <c r="C2087" i="1"/>
  <c r="C2086" i="1"/>
  <c r="D2086" i="1" s="1"/>
  <c r="X2086" i="1" s="1"/>
  <c r="C2085" i="1"/>
  <c r="V2084" i="1"/>
  <c r="C2084" i="1"/>
  <c r="D2084" i="1" s="1"/>
  <c r="X2084" i="1" s="1"/>
  <c r="C2083" i="1"/>
  <c r="C2082" i="1"/>
  <c r="D2082" i="1" s="1"/>
  <c r="X2082" i="1" s="1"/>
  <c r="C2081" i="1"/>
  <c r="C2080" i="1"/>
  <c r="D2080" i="1" s="1"/>
  <c r="X2080" i="1" s="1"/>
  <c r="C2079" i="1"/>
  <c r="C2078" i="1"/>
  <c r="D2078" i="1" s="1"/>
  <c r="X2078" i="1" s="1"/>
  <c r="C2077" i="1"/>
  <c r="V2076" i="1"/>
  <c r="C2076" i="1"/>
  <c r="D2076" i="1" s="1"/>
  <c r="X2076" i="1" s="1"/>
  <c r="C2075" i="1"/>
  <c r="C2074" i="1"/>
  <c r="D2074" i="1" s="1"/>
  <c r="X2074" i="1" s="1"/>
  <c r="C2073" i="1"/>
  <c r="C2072" i="1"/>
  <c r="D2072" i="1" s="1"/>
  <c r="X2072" i="1" s="1"/>
  <c r="C2071" i="1"/>
  <c r="C2070" i="1"/>
  <c r="D2070" i="1" s="1"/>
  <c r="X2070" i="1" s="1"/>
  <c r="C2069" i="1"/>
  <c r="V2068" i="1"/>
  <c r="C2068" i="1"/>
  <c r="D2068" i="1" s="1"/>
  <c r="X2068" i="1" s="1"/>
  <c r="C2067" i="1"/>
  <c r="C2066" i="1"/>
  <c r="D2066" i="1" s="1"/>
  <c r="X2066" i="1" s="1"/>
  <c r="C2065" i="1"/>
  <c r="C2064" i="1"/>
  <c r="D2064" i="1" s="1"/>
  <c r="X2064" i="1" s="1"/>
  <c r="C2063" i="1"/>
  <c r="C2062" i="1"/>
  <c r="D2062" i="1" s="1"/>
  <c r="X2062" i="1" s="1"/>
  <c r="C2061" i="1"/>
  <c r="V2060" i="1"/>
  <c r="C2060" i="1"/>
  <c r="D2060" i="1" s="1"/>
  <c r="X2060" i="1" s="1"/>
  <c r="C2059" i="1"/>
  <c r="C2058" i="1"/>
  <c r="D2058" i="1" s="1"/>
  <c r="X2058" i="1" s="1"/>
  <c r="C2057" i="1"/>
  <c r="C2056" i="1"/>
  <c r="D2056" i="1" s="1"/>
  <c r="X2056" i="1" s="1"/>
  <c r="C2055" i="1"/>
  <c r="C2054" i="1"/>
  <c r="D2054" i="1" s="1"/>
  <c r="X2054" i="1" s="1"/>
  <c r="C2053" i="1"/>
  <c r="V2052" i="1"/>
  <c r="C2052" i="1"/>
  <c r="D2052" i="1" s="1"/>
  <c r="X2052" i="1" s="1"/>
  <c r="C2051" i="1"/>
  <c r="C2050" i="1"/>
  <c r="D2050" i="1" s="1"/>
  <c r="X2050" i="1" s="1"/>
  <c r="C2049" i="1"/>
  <c r="C2048" i="1"/>
  <c r="D2048" i="1" s="1"/>
  <c r="X2048" i="1" s="1"/>
  <c r="C2047" i="1"/>
  <c r="C2046" i="1"/>
  <c r="D2046" i="1" s="1"/>
  <c r="X2046" i="1" s="1"/>
  <c r="C2045" i="1"/>
  <c r="V2044" i="1"/>
  <c r="C2044" i="1"/>
  <c r="D2044" i="1" s="1"/>
  <c r="X2044" i="1" s="1"/>
  <c r="C2043" i="1"/>
  <c r="C2042" i="1"/>
  <c r="D2042" i="1" s="1"/>
  <c r="X2042" i="1" s="1"/>
  <c r="C2041" i="1"/>
  <c r="C2040" i="1"/>
  <c r="D2040" i="1" s="1"/>
  <c r="X2040" i="1" s="1"/>
  <c r="C2039" i="1"/>
  <c r="C2038" i="1"/>
  <c r="D2038" i="1" s="1"/>
  <c r="X2038" i="1" s="1"/>
  <c r="C2037" i="1"/>
  <c r="V2036" i="1"/>
  <c r="C2036" i="1"/>
  <c r="D2036" i="1" s="1"/>
  <c r="X2036" i="1" s="1"/>
  <c r="C2035" i="1"/>
  <c r="C2034" i="1"/>
  <c r="D2034" i="1" s="1"/>
  <c r="X2034" i="1" s="1"/>
  <c r="C2033" i="1"/>
  <c r="C2032" i="1"/>
  <c r="D2032" i="1" s="1"/>
  <c r="X2032" i="1" s="1"/>
  <c r="C2031" i="1"/>
  <c r="C2030" i="1"/>
  <c r="D2030" i="1" s="1"/>
  <c r="X2030" i="1" s="1"/>
  <c r="C2029" i="1"/>
  <c r="V2028" i="1"/>
  <c r="C2028" i="1"/>
  <c r="D2028" i="1" s="1"/>
  <c r="X2028" i="1" s="1"/>
  <c r="C2027" i="1"/>
  <c r="C2026" i="1"/>
  <c r="D2026" i="1" s="1"/>
  <c r="X2026" i="1" s="1"/>
  <c r="C2025" i="1"/>
  <c r="C2024" i="1"/>
  <c r="D2024" i="1" s="1"/>
  <c r="X2024" i="1" s="1"/>
  <c r="C2023" i="1"/>
  <c r="C2022" i="1"/>
  <c r="D2022" i="1" s="1"/>
  <c r="X2022" i="1" s="1"/>
  <c r="C2021" i="1"/>
  <c r="V2020" i="1"/>
  <c r="C2020" i="1"/>
  <c r="D2020" i="1" s="1"/>
  <c r="X2020" i="1" s="1"/>
  <c r="C2019" i="1"/>
  <c r="C2018" i="1"/>
  <c r="D2018" i="1" s="1"/>
  <c r="X2018" i="1" s="1"/>
  <c r="C2017" i="1"/>
  <c r="C2016" i="1"/>
  <c r="D2016" i="1" s="1"/>
  <c r="X2016" i="1" s="1"/>
  <c r="C2015" i="1"/>
  <c r="C2014" i="1"/>
  <c r="D2014" i="1" s="1"/>
  <c r="X2014" i="1" s="1"/>
  <c r="C2013" i="1"/>
  <c r="V2012" i="1"/>
  <c r="C2012" i="1"/>
  <c r="D2012" i="1" s="1"/>
  <c r="X2012" i="1" s="1"/>
  <c r="C2011" i="1"/>
  <c r="C2010" i="1"/>
  <c r="D2010" i="1" s="1"/>
  <c r="X2010" i="1" s="1"/>
  <c r="C2009" i="1"/>
  <c r="C2008" i="1"/>
  <c r="D2008" i="1" s="1"/>
  <c r="X2008" i="1" s="1"/>
  <c r="C2007" i="1"/>
  <c r="C2006" i="1"/>
  <c r="D2006" i="1" s="1"/>
  <c r="X2006" i="1" s="1"/>
  <c r="C2005" i="1"/>
  <c r="V2004" i="1"/>
  <c r="C2004" i="1"/>
  <c r="D2004" i="1" s="1"/>
  <c r="X2004" i="1" s="1"/>
  <c r="C2003" i="1"/>
  <c r="C2002" i="1"/>
  <c r="D2002" i="1" s="1"/>
  <c r="X2002" i="1" s="1"/>
  <c r="C2001" i="1"/>
  <c r="C2000" i="1"/>
  <c r="D2000" i="1" s="1"/>
  <c r="X2000" i="1" s="1"/>
  <c r="C1999" i="1"/>
  <c r="C1998" i="1"/>
  <c r="D1998" i="1" s="1"/>
  <c r="X1998" i="1" s="1"/>
  <c r="C1997" i="1"/>
  <c r="V1996" i="1"/>
  <c r="C1996" i="1"/>
  <c r="D1996" i="1" s="1"/>
  <c r="X1996" i="1" s="1"/>
  <c r="C1995" i="1"/>
  <c r="C1994" i="1"/>
  <c r="D1994" i="1" s="1"/>
  <c r="X1994" i="1" s="1"/>
  <c r="C1993" i="1"/>
  <c r="C1992" i="1"/>
  <c r="D1992" i="1" s="1"/>
  <c r="X1992" i="1" s="1"/>
  <c r="C1991" i="1"/>
  <c r="C1990" i="1"/>
  <c r="D1990" i="1" s="1"/>
  <c r="X1990" i="1" s="1"/>
  <c r="C1989" i="1"/>
  <c r="V1988" i="1"/>
  <c r="C1988" i="1"/>
  <c r="D1988" i="1" s="1"/>
  <c r="X1988" i="1" s="1"/>
  <c r="C1987" i="1"/>
  <c r="C1986" i="1"/>
  <c r="D1986" i="1" s="1"/>
  <c r="X1986" i="1" s="1"/>
  <c r="C1985" i="1"/>
  <c r="C1984" i="1"/>
  <c r="D1984" i="1" s="1"/>
  <c r="X1984" i="1" s="1"/>
  <c r="C1983" i="1"/>
  <c r="C1982" i="1"/>
  <c r="D1982" i="1" s="1"/>
  <c r="X1982" i="1" s="1"/>
  <c r="C1981" i="1"/>
  <c r="V1980" i="1"/>
  <c r="C1980" i="1"/>
  <c r="D1980" i="1" s="1"/>
  <c r="X1980" i="1" s="1"/>
  <c r="C1979" i="1"/>
  <c r="C1978" i="1"/>
  <c r="D1978" i="1" s="1"/>
  <c r="X1978" i="1" s="1"/>
  <c r="C1977" i="1"/>
  <c r="C1976" i="1"/>
  <c r="D1976" i="1" s="1"/>
  <c r="X1976" i="1" s="1"/>
  <c r="C1975" i="1"/>
  <c r="C1974" i="1"/>
  <c r="D1974" i="1" s="1"/>
  <c r="X1974" i="1" s="1"/>
  <c r="C1973" i="1"/>
  <c r="V1972" i="1"/>
  <c r="C1972" i="1"/>
  <c r="D1972" i="1" s="1"/>
  <c r="X1972" i="1" s="1"/>
  <c r="C1971" i="1"/>
  <c r="C1970" i="1"/>
  <c r="D1970" i="1" s="1"/>
  <c r="X1970" i="1" s="1"/>
  <c r="C1969" i="1"/>
  <c r="C1968" i="1"/>
  <c r="D1968" i="1" s="1"/>
  <c r="X1968" i="1" s="1"/>
  <c r="C1967" i="1"/>
  <c r="C1966" i="1"/>
  <c r="D1966" i="1" s="1"/>
  <c r="X1966" i="1" s="1"/>
  <c r="C1965" i="1"/>
  <c r="V1964" i="1"/>
  <c r="C1964" i="1"/>
  <c r="D1964" i="1" s="1"/>
  <c r="X1964" i="1" s="1"/>
  <c r="C1963" i="1"/>
  <c r="C1962" i="1"/>
  <c r="D1962" i="1" s="1"/>
  <c r="X1962" i="1" s="1"/>
  <c r="C1961" i="1"/>
  <c r="C1960" i="1"/>
  <c r="D1960" i="1" s="1"/>
  <c r="X1960" i="1" s="1"/>
  <c r="C1959" i="1"/>
  <c r="C1958" i="1"/>
  <c r="C1957" i="1"/>
  <c r="V1956" i="1"/>
  <c r="C1956" i="1"/>
  <c r="D1956" i="1" s="1"/>
  <c r="X1956" i="1" s="1"/>
  <c r="C1955" i="1"/>
  <c r="C1954" i="1"/>
  <c r="D1954" i="1" s="1"/>
  <c r="X1954" i="1" s="1"/>
  <c r="C1953" i="1"/>
  <c r="C1952" i="1"/>
  <c r="D1952" i="1" s="1"/>
  <c r="X1952" i="1" s="1"/>
  <c r="C1951" i="1"/>
  <c r="C1950" i="1"/>
  <c r="D1950" i="1" s="1"/>
  <c r="X1950" i="1" s="1"/>
  <c r="C1949" i="1"/>
  <c r="V1948" i="1"/>
  <c r="C1948" i="1"/>
  <c r="D1948" i="1" s="1"/>
  <c r="X1948" i="1" s="1"/>
  <c r="C1947" i="1"/>
  <c r="C1946" i="1"/>
  <c r="D1946" i="1" s="1"/>
  <c r="X1946" i="1" s="1"/>
  <c r="C1945" i="1"/>
  <c r="C1944" i="1"/>
  <c r="D1944" i="1" s="1"/>
  <c r="X1944" i="1" s="1"/>
  <c r="C1943" i="1"/>
  <c r="C1942" i="1"/>
  <c r="C1941" i="1"/>
  <c r="V1940" i="1"/>
  <c r="C1940" i="1"/>
  <c r="D1940" i="1" s="1"/>
  <c r="X1940" i="1" s="1"/>
  <c r="C1939" i="1"/>
  <c r="C1938" i="1"/>
  <c r="D1938" i="1" s="1"/>
  <c r="X1938" i="1" s="1"/>
  <c r="C1937" i="1"/>
  <c r="C1936" i="1"/>
  <c r="D1936" i="1" s="1"/>
  <c r="X1936" i="1" s="1"/>
  <c r="C1935" i="1"/>
  <c r="C1934" i="1"/>
  <c r="D1934" i="1" s="1"/>
  <c r="X1934" i="1" s="1"/>
  <c r="C1933" i="1"/>
  <c r="V1932" i="1"/>
  <c r="C1932" i="1"/>
  <c r="D1932" i="1" s="1"/>
  <c r="X1932" i="1" s="1"/>
  <c r="C1931" i="1"/>
  <c r="C1930" i="1"/>
  <c r="D1930" i="1" s="1"/>
  <c r="X1930" i="1" s="1"/>
  <c r="C1929" i="1"/>
  <c r="C1928" i="1"/>
  <c r="D1928" i="1" s="1"/>
  <c r="X1928" i="1" s="1"/>
  <c r="C1927" i="1"/>
  <c r="C1926" i="1"/>
  <c r="C1925" i="1"/>
  <c r="V1924" i="1"/>
  <c r="C1924" i="1"/>
  <c r="D1924" i="1" s="1"/>
  <c r="X1924" i="1" s="1"/>
  <c r="C1923" i="1"/>
  <c r="C1922" i="1"/>
  <c r="D1922" i="1" s="1"/>
  <c r="X1922" i="1" s="1"/>
  <c r="C1921" i="1"/>
  <c r="C1920" i="1"/>
  <c r="D1920" i="1" s="1"/>
  <c r="X1920" i="1" s="1"/>
  <c r="C1919" i="1"/>
  <c r="C1918" i="1"/>
  <c r="C1917" i="1"/>
  <c r="V1916" i="1"/>
  <c r="C1916" i="1"/>
  <c r="D1916" i="1" s="1"/>
  <c r="X1916" i="1" s="1"/>
  <c r="C1915" i="1"/>
  <c r="C1914" i="1"/>
  <c r="D1914" i="1" s="1"/>
  <c r="X1914" i="1" s="1"/>
  <c r="C1913" i="1"/>
  <c r="C1912" i="1"/>
  <c r="D1912" i="1" s="1"/>
  <c r="X1912" i="1" s="1"/>
  <c r="C1911" i="1"/>
  <c r="C1910" i="1"/>
  <c r="C1909" i="1"/>
  <c r="V1908" i="1"/>
  <c r="C1908" i="1"/>
  <c r="D1908" i="1" s="1"/>
  <c r="X1908" i="1" s="1"/>
  <c r="C1907" i="1"/>
  <c r="C1906" i="1"/>
  <c r="D1906" i="1" s="1"/>
  <c r="X1906" i="1" s="1"/>
  <c r="C1905" i="1"/>
  <c r="C1904" i="1"/>
  <c r="D1904" i="1" s="1"/>
  <c r="X1904" i="1" s="1"/>
  <c r="C1903" i="1"/>
  <c r="V1902" i="1"/>
  <c r="C1902" i="1"/>
  <c r="D1902" i="1" s="1"/>
  <c r="X1902" i="1" s="1"/>
  <c r="C1901" i="1"/>
  <c r="C1900" i="1"/>
  <c r="D1900" i="1" s="1"/>
  <c r="X1900" i="1" s="1"/>
  <c r="C1899" i="1"/>
  <c r="C1898" i="1"/>
  <c r="D1898" i="1" s="1"/>
  <c r="X1898" i="1" s="1"/>
  <c r="C1897" i="1"/>
  <c r="C1896" i="1"/>
  <c r="D1896" i="1" s="1"/>
  <c r="X1896" i="1" s="1"/>
  <c r="C1895" i="1"/>
  <c r="C1894" i="1"/>
  <c r="C1893" i="1"/>
  <c r="V1892" i="1"/>
  <c r="C1892" i="1"/>
  <c r="D1892" i="1" s="1"/>
  <c r="X1892" i="1" s="1"/>
  <c r="C1891" i="1"/>
  <c r="C1890" i="1"/>
  <c r="D1890" i="1" s="1"/>
  <c r="X1890" i="1" s="1"/>
  <c r="C1889" i="1"/>
  <c r="C1888" i="1"/>
  <c r="D1888" i="1" s="1"/>
  <c r="X1888" i="1" s="1"/>
  <c r="C1887" i="1"/>
  <c r="C1886" i="1"/>
  <c r="D1886" i="1" s="1"/>
  <c r="X1886" i="1" s="1"/>
  <c r="C1885" i="1"/>
  <c r="C1884" i="1"/>
  <c r="D1884" i="1" s="1"/>
  <c r="X1884" i="1" s="1"/>
  <c r="C1883" i="1"/>
  <c r="C1882" i="1"/>
  <c r="D1882" i="1" s="1"/>
  <c r="X1882" i="1" s="1"/>
  <c r="C1881" i="1"/>
  <c r="C1880" i="1"/>
  <c r="D1880" i="1" s="1"/>
  <c r="X1880" i="1" s="1"/>
  <c r="C1879" i="1"/>
  <c r="C1878" i="1"/>
  <c r="C1877" i="1"/>
  <c r="C1876" i="1"/>
  <c r="D1876" i="1" s="1"/>
  <c r="X1876" i="1" s="1"/>
  <c r="C1875" i="1"/>
  <c r="C1874" i="1"/>
  <c r="D1874" i="1" s="1"/>
  <c r="X1874" i="1" s="1"/>
  <c r="C1873" i="1"/>
  <c r="C1872" i="1"/>
  <c r="D1872" i="1" s="1"/>
  <c r="X1872" i="1" s="1"/>
  <c r="C1871" i="1"/>
  <c r="C1870" i="1"/>
  <c r="D1870" i="1" s="1"/>
  <c r="X1870" i="1" s="1"/>
  <c r="C1869" i="1"/>
  <c r="C1868" i="1"/>
  <c r="D1868" i="1" s="1"/>
  <c r="X1868" i="1" s="1"/>
  <c r="C1867" i="1"/>
  <c r="C1866" i="1"/>
  <c r="D1866" i="1" s="1"/>
  <c r="X1866" i="1" s="1"/>
  <c r="C1865" i="1"/>
  <c r="C1864" i="1"/>
  <c r="D1864" i="1" s="1"/>
  <c r="X1864" i="1" s="1"/>
  <c r="C1863" i="1"/>
  <c r="V1862" i="1"/>
  <c r="C1862" i="1"/>
  <c r="D1862" i="1" s="1"/>
  <c r="X1862" i="1" s="1"/>
  <c r="C1861" i="1"/>
  <c r="C1860" i="1"/>
  <c r="D1860" i="1" s="1"/>
  <c r="X1860" i="1" s="1"/>
  <c r="C1859" i="1"/>
  <c r="C1858" i="1"/>
  <c r="D1858" i="1" s="1"/>
  <c r="X1858" i="1" s="1"/>
  <c r="C1857" i="1"/>
  <c r="C1856" i="1"/>
  <c r="D1856" i="1" s="1"/>
  <c r="X1856" i="1" s="1"/>
  <c r="C1855" i="1"/>
  <c r="C1854" i="1"/>
  <c r="D1854" i="1" s="1"/>
  <c r="X1854" i="1" s="1"/>
  <c r="C1853" i="1"/>
  <c r="C1852" i="1"/>
  <c r="D1852" i="1" s="1"/>
  <c r="X1852" i="1" s="1"/>
  <c r="C1851" i="1"/>
  <c r="C1850" i="1"/>
  <c r="D1850" i="1" s="1"/>
  <c r="X1850" i="1" s="1"/>
  <c r="C1849" i="1"/>
  <c r="C1848" i="1"/>
  <c r="D1848" i="1" s="1"/>
  <c r="X1848" i="1" s="1"/>
  <c r="C1847" i="1"/>
  <c r="V1846" i="1"/>
  <c r="C1846" i="1"/>
  <c r="D1846" i="1" s="1"/>
  <c r="X1846" i="1" s="1"/>
  <c r="C1845" i="1"/>
  <c r="C1844" i="1"/>
  <c r="D1844" i="1" s="1"/>
  <c r="X1844" i="1" s="1"/>
  <c r="C1843" i="1"/>
  <c r="C1842" i="1"/>
  <c r="D1842" i="1" s="1"/>
  <c r="X1842" i="1" s="1"/>
  <c r="C1841" i="1"/>
  <c r="C1840" i="1"/>
  <c r="D1840" i="1" s="1"/>
  <c r="X1840" i="1" s="1"/>
  <c r="C1839" i="1"/>
  <c r="C1838" i="1"/>
  <c r="D1838" i="1" s="1"/>
  <c r="X1838" i="1" s="1"/>
  <c r="C1837" i="1"/>
  <c r="C1836" i="1"/>
  <c r="D1836" i="1" s="1"/>
  <c r="X1836" i="1" s="1"/>
  <c r="C1835" i="1"/>
  <c r="C1834" i="1"/>
  <c r="D1834" i="1" s="1"/>
  <c r="X1834" i="1" s="1"/>
  <c r="C1833" i="1"/>
  <c r="C1832" i="1"/>
  <c r="D1832" i="1" s="1"/>
  <c r="X1832" i="1" s="1"/>
  <c r="C1831" i="1"/>
  <c r="V1830" i="1"/>
  <c r="C1830" i="1"/>
  <c r="D1830" i="1" s="1"/>
  <c r="X1830" i="1" s="1"/>
  <c r="C1829" i="1"/>
  <c r="C1828" i="1"/>
  <c r="D1828" i="1" s="1"/>
  <c r="X1828" i="1" s="1"/>
  <c r="C1827" i="1"/>
  <c r="C1826" i="1"/>
  <c r="D1826" i="1" s="1"/>
  <c r="X1826" i="1" s="1"/>
  <c r="C1825" i="1"/>
  <c r="C1824" i="1"/>
  <c r="D1824" i="1" s="1"/>
  <c r="X1824" i="1" s="1"/>
  <c r="C1823" i="1"/>
  <c r="C1822" i="1"/>
  <c r="D1822" i="1" s="1"/>
  <c r="X1822" i="1" s="1"/>
  <c r="C1821" i="1"/>
  <c r="C1820" i="1"/>
  <c r="D1820" i="1" s="1"/>
  <c r="X1820" i="1" s="1"/>
  <c r="C1819" i="1"/>
  <c r="C1818" i="1"/>
  <c r="D1818" i="1" s="1"/>
  <c r="X1818" i="1" s="1"/>
  <c r="C1817" i="1"/>
  <c r="C1816" i="1"/>
  <c r="D1816" i="1" s="1"/>
  <c r="X1816" i="1" s="1"/>
  <c r="C1815" i="1"/>
  <c r="V1814" i="1"/>
  <c r="C1814" i="1"/>
  <c r="D1814" i="1" s="1"/>
  <c r="X1814" i="1" s="1"/>
  <c r="C1813" i="1"/>
  <c r="C1812" i="1"/>
  <c r="D1812" i="1" s="1"/>
  <c r="X1812" i="1" s="1"/>
  <c r="C1811" i="1"/>
  <c r="C1810" i="1"/>
  <c r="D1810" i="1" s="1"/>
  <c r="X1810" i="1" s="1"/>
  <c r="C1809" i="1"/>
  <c r="C1808" i="1"/>
  <c r="D1808" i="1" s="1"/>
  <c r="X1808" i="1" s="1"/>
  <c r="C1807" i="1"/>
  <c r="C1806" i="1"/>
  <c r="D1806" i="1" s="1"/>
  <c r="X1806" i="1" s="1"/>
  <c r="C1805" i="1"/>
  <c r="C1804" i="1"/>
  <c r="D1804" i="1" s="1"/>
  <c r="X1804" i="1" s="1"/>
  <c r="C1803" i="1"/>
  <c r="C1802" i="1"/>
  <c r="D1802" i="1" s="1"/>
  <c r="X1802" i="1" s="1"/>
  <c r="C1801" i="1"/>
  <c r="C1800" i="1"/>
  <c r="D1800" i="1" s="1"/>
  <c r="X1800" i="1" s="1"/>
  <c r="C1799" i="1"/>
  <c r="V1798" i="1"/>
  <c r="C1798" i="1"/>
  <c r="D1798" i="1" s="1"/>
  <c r="X1798" i="1" s="1"/>
  <c r="C1797" i="1"/>
  <c r="C1796" i="1"/>
  <c r="D1796" i="1" s="1"/>
  <c r="X1796" i="1" s="1"/>
  <c r="C1795" i="1"/>
  <c r="C1794" i="1"/>
  <c r="D1794" i="1" s="1"/>
  <c r="X1794" i="1" s="1"/>
  <c r="C1793" i="1"/>
  <c r="C1792" i="1"/>
  <c r="D1792" i="1" s="1"/>
  <c r="X1792" i="1" s="1"/>
  <c r="C1791" i="1"/>
  <c r="C1790" i="1"/>
  <c r="D1790" i="1" s="1"/>
  <c r="X1790" i="1" s="1"/>
  <c r="C1789" i="1"/>
  <c r="C1788" i="1"/>
  <c r="D1788" i="1" s="1"/>
  <c r="X1788" i="1" s="1"/>
  <c r="C1787" i="1"/>
  <c r="C1786" i="1"/>
  <c r="D1786" i="1" s="1"/>
  <c r="X1786" i="1" s="1"/>
  <c r="C1785" i="1"/>
  <c r="C1784" i="1"/>
  <c r="D1784" i="1" s="1"/>
  <c r="X1784" i="1" s="1"/>
  <c r="C1783" i="1"/>
  <c r="V1782" i="1"/>
  <c r="C1782" i="1"/>
  <c r="D1782" i="1" s="1"/>
  <c r="X1782" i="1" s="1"/>
  <c r="C1781" i="1"/>
  <c r="C1780" i="1"/>
  <c r="D1780" i="1" s="1"/>
  <c r="X1780" i="1" s="1"/>
  <c r="C1779" i="1"/>
  <c r="C1778" i="1"/>
  <c r="D1778" i="1" s="1"/>
  <c r="X1778" i="1" s="1"/>
  <c r="C1777" i="1"/>
  <c r="C1776" i="1"/>
  <c r="D1776" i="1" s="1"/>
  <c r="X1776" i="1" s="1"/>
  <c r="C1775" i="1"/>
  <c r="C1774" i="1"/>
  <c r="D1774" i="1" s="1"/>
  <c r="X1774" i="1" s="1"/>
  <c r="C1773" i="1"/>
  <c r="C1772" i="1"/>
  <c r="D1772" i="1" s="1"/>
  <c r="X1772" i="1" s="1"/>
  <c r="C1771" i="1"/>
  <c r="C1770" i="1"/>
  <c r="D1770" i="1" s="1"/>
  <c r="X1770" i="1" s="1"/>
  <c r="C1769" i="1"/>
  <c r="C1768" i="1"/>
  <c r="D1768" i="1" s="1"/>
  <c r="X1768" i="1" s="1"/>
  <c r="C1767" i="1"/>
  <c r="V1766" i="1"/>
  <c r="C1766" i="1"/>
  <c r="D1766" i="1" s="1"/>
  <c r="X1766" i="1" s="1"/>
  <c r="C1765" i="1"/>
  <c r="C1764" i="1"/>
  <c r="D1764" i="1" s="1"/>
  <c r="X1764" i="1" s="1"/>
  <c r="C1763" i="1"/>
  <c r="C1762" i="1"/>
  <c r="D1762" i="1" s="1"/>
  <c r="X1762" i="1" s="1"/>
  <c r="C1761" i="1"/>
  <c r="C1760" i="1"/>
  <c r="D1760" i="1" s="1"/>
  <c r="X1760" i="1" s="1"/>
  <c r="C1759" i="1"/>
  <c r="C1758" i="1"/>
  <c r="D1758" i="1" s="1"/>
  <c r="X1758" i="1" s="1"/>
  <c r="C1757" i="1"/>
  <c r="C1756" i="1"/>
  <c r="D1756" i="1" s="1"/>
  <c r="X1756" i="1" s="1"/>
  <c r="C1755" i="1"/>
  <c r="C1754" i="1"/>
  <c r="D1754" i="1" s="1"/>
  <c r="X1754" i="1" s="1"/>
  <c r="C1753" i="1"/>
  <c r="C1752" i="1"/>
  <c r="D1752" i="1" s="1"/>
  <c r="X1752" i="1" s="1"/>
  <c r="C1751" i="1"/>
  <c r="V1750" i="1"/>
  <c r="C1750" i="1"/>
  <c r="D1750" i="1" s="1"/>
  <c r="X1750" i="1" s="1"/>
  <c r="C1749" i="1"/>
  <c r="C1748" i="1"/>
  <c r="D1748" i="1" s="1"/>
  <c r="X1748" i="1" s="1"/>
  <c r="C1747" i="1"/>
  <c r="C1746" i="1"/>
  <c r="D1746" i="1" s="1"/>
  <c r="X1746" i="1" s="1"/>
  <c r="C1745" i="1"/>
  <c r="C1744" i="1"/>
  <c r="D1744" i="1" s="1"/>
  <c r="X1744" i="1" s="1"/>
  <c r="C1743" i="1"/>
  <c r="C1742" i="1"/>
  <c r="D1742" i="1" s="1"/>
  <c r="X1742" i="1" s="1"/>
  <c r="C1741" i="1"/>
  <c r="C1740" i="1"/>
  <c r="D1740" i="1" s="1"/>
  <c r="X1740" i="1" s="1"/>
  <c r="C1739" i="1"/>
  <c r="C1738" i="1"/>
  <c r="D1738" i="1" s="1"/>
  <c r="X1738" i="1" s="1"/>
  <c r="C1737" i="1"/>
  <c r="C1736" i="1"/>
  <c r="D1736" i="1" s="1"/>
  <c r="X1736" i="1" s="1"/>
  <c r="C1735" i="1"/>
  <c r="V1734" i="1"/>
  <c r="C1734" i="1"/>
  <c r="D1734" i="1" s="1"/>
  <c r="X1734" i="1" s="1"/>
  <c r="C1733" i="1"/>
  <c r="C1732" i="1"/>
  <c r="D1732" i="1" s="1"/>
  <c r="X1732" i="1" s="1"/>
  <c r="C1731" i="1"/>
  <c r="C1730" i="1"/>
  <c r="D1730" i="1" s="1"/>
  <c r="X1730" i="1" s="1"/>
  <c r="C1729" i="1"/>
  <c r="C1728" i="1"/>
  <c r="D1728" i="1" s="1"/>
  <c r="X1728" i="1" s="1"/>
  <c r="C1727" i="1"/>
  <c r="C1726" i="1"/>
  <c r="D1726" i="1" s="1"/>
  <c r="X1726" i="1" s="1"/>
  <c r="C1725" i="1"/>
  <c r="C1724" i="1"/>
  <c r="D1724" i="1" s="1"/>
  <c r="X1724" i="1" s="1"/>
  <c r="C1723" i="1"/>
  <c r="C1722" i="1"/>
  <c r="D1722" i="1" s="1"/>
  <c r="X1722" i="1" s="1"/>
  <c r="C1721" i="1"/>
  <c r="C1720" i="1"/>
  <c r="D1720" i="1" s="1"/>
  <c r="X1720" i="1" s="1"/>
  <c r="C1719" i="1"/>
  <c r="V1718" i="1"/>
  <c r="C1718" i="1"/>
  <c r="D1718" i="1" s="1"/>
  <c r="X1718" i="1" s="1"/>
  <c r="C1717" i="1"/>
  <c r="C1716" i="1"/>
  <c r="D1716" i="1" s="1"/>
  <c r="X1716" i="1" s="1"/>
  <c r="C1715" i="1"/>
  <c r="C1714" i="1"/>
  <c r="D1714" i="1" s="1"/>
  <c r="X1714" i="1" s="1"/>
  <c r="C1713" i="1"/>
  <c r="C1712" i="1"/>
  <c r="D1712" i="1" s="1"/>
  <c r="X1712" i="1" s="1"/>
  <c r="C1711" i="1"/>
  <c r="C1710" i="1"/>
  <c r="D1710" i="1" s="1"/>
  <c r="X1710" i="1" s="1"/>
  <c r="C1709" i="1"/>
  <c r="C1708" i="1"/>
  <c r="D1708" i="1" s="1"/>
  <c r="X1708" i="1" s="1"/>
  <c r="C1707" i="1"/>
  <c r="C1706" i="1"/>
  <c r="D1706" i="1" s="1"/>
  <c r="X1706" i="1" s="1"/>
  <c r="C1705" i="1"/>
  <c r="C1704" i="1"/>
  <c r="D1704" i="1" s="1"/>
  <c r="X1704" i="1" s="1"/>
  <c r="C1703" i="1"/>
  <c r="V1702" i="1"/>
  <c r="C1702" i="1"/>
  <c r="D1702" i="1" s="1"/>
  <c r="X1702" i="1" s="1"/>
  <c r="C1701" i="1"/>
  <c r="C1700" i="1"/>
  <c r="D1700" i="1" s="1"/>
  <c r="X1700" i="1" s="1"/>
  <c r="C1699" i="1"/>
  <c r="C1698" i="1"/>
  <c r="D1698" i="1" s="1"/>
  <c r="X1698" i="1" s="1"/>
  <c r="C1697" i="1"/>
  <c r="C1696" i="1"/>
  <c r="D1696" i="1" s="1"/>
  <c r="X1696" i="1" s="1"/>
  <c r="C1695" i="1"/>
  <c r="C1694" i="1"/>
  <c r="D1694" i="1" s="1"/>
  <c r="X1694" i="1" s="1"/>
  <c r="C1693" i="1"/>
  <c r="C1692" i="1"/>
  <c r="D1692" i="1" s="1"/>
  <c r="X1692" i="1" s="1"/>
  <c r="C1691" i="1"/>
  <c r="C1690" i="1"/>
  <c r="D1690" i="1" s="1"/>
  <c r="X1690" i="1" s="1"/>
  <c r="C1689" i="1"/>
  <c r="C1688" i="1"/>
  <c r="D1688" i="1" s="1"/>
  <c r="X1688" i="1" s="1"/>
  <c r="C1687" i="1"/>
  <c r="V1686" i="1"/>
  <c r="C1686" i="1"/>
  <c r="D1686" i="1" s="1"/>
  <c r="X1686" i="1" s="1"/>
  <c r="C1685" i="1"/>
  <c r="C1684" i="1"/>
  <c r="D1684" i="1" s="1"/>
  <c r="X1684" i="1" s="1"/>
  <c r="C1683" i="1"/>
  <c r="C1682" i="1"/>
  <c r="D1682" i="1" s="1"/>
  <c r="X1682" i="1" s="1"/>
  <c r="C1681" i="1"/>
  <c r="C1680" i="1"/>
  <c r="D1680" i="1" s="1"/>
  <c r="X1680" i="1" s="1"/>
  <c r="C1679" i="1"/>
  <c r="C1678" i="1"/>
  <c r="D1678" i="1" s="1"/>
  <c r="X1678" i="1" s="1"/>
  <c r="C1677" i="1"/>
  <c r="C1676" i="1"/>
  <c r="D1676" i="1" s="1"/>
  <c r="X1676" i="1" s="1"/>
  <c r="C1675" i="1"/>
  <c r="C1674" i="1"/>
  <c r="D1674" i="1" s="1"/>
  <c r="X1674" i="1" s="1"/>
  <c r="C1673" i="1"/>
  <c r="C1672" i="1"/>
  <c r="D1672" i="1" s="1"/>
  <c r="X1672" i="1" s="1"/>
  <c r="C1671" i="1"/>
  <c r="V1670" i="1"/>
  <c r="C1670" i="1"/>
  <c r="D1670" i="1" s="1"/>
  <c r="X1670" i="1" s="1"/>
  <c r="C1669" i="1"/>
  <c r="C1668" i="1"/>
  <c r="D1668" i="1" s="1"/>
  <c r="X1668" i="1" s="1"/>
  <c r="C1667" i="1"/>
  <c r="C1666" i="1"/>
  <c r="D1666" i="1" s="1"/>
  <c r="X1666" i="1" s="1"/>
  <c r="C1665" i="1"/>
  <c r="C1664" i="1"/>
  <c r="D1664" i="1" s="1"/>
  <c r="X1664" i="1" s="1"/>
  <c r="C1663" i="1"/>
  <c r="C1662" i="1"/>
  <c r="D1662" i="1" s="1"/>
  <c r="X1662" i="1" s="1"/>
  <c r="C1661" i="1"/>
  <c r="C1660" i="1"/>
  <c r="D1660" i="1" s="1"/>
  <c r="X1660" i="1" s="1"/>
  <c r="C1659" i="1"/>
  <c r="C1658" i="1"/>
  <c r="D1658" i="1" s="1"/>
  <c r="X1658" i="1" s="1"/>
  <c r="C1657" i="1"/>
  <c r="C1656" i="1"/>
  <c r="D1656" i="1" s="1"/>
  <c r="X1656" i="1" s="1"/>
  <c r="C1655" i="1"/>
  <c r="V1654" i="1"/>
  <c r="C1654" i="1"/>
  <c r="D1654" i="1" s="1"/>
  <c r="X1654" i="1" s="1"/>
  <c r="C1653" i="1"/>
  <c r="C1652" i="1"/>
  <c r="D1652" i="1" s="1"/>
  <c r="X1652" i="1" s="1"/>
  <c r="C1651" i="1"/>
  <c r="C1650" i="1"/>
  <c r="D1650" i="1" s="1"/>
  <c r="X1650" i="1" s="1"/>
  <c r="C1649" i="1"/>
  <c r="C1648" i="1"/>
  <c r="D1648" i="1" s="1"/>
  <c r="X1648" i="1" s="1"/>
  <c r="C1647" i="1"/>
  <c r="V1646" i="1"/>
  <c r="C1646" i="1"/>
  <c r="D1646" i="1" s="1"/>
  <c r="X1646" i="1" s="1"/>
  <c r="C1645" i="1"/>
  <c r="C1644" i="1"/>
  <c r="D1644" i="1" s="1"/>
  <c r="X1644" i="1" s="1"/>
  <c r="C1643" i="1"/>
  <c r="C1642" i="1"/>
  <c r="D1642" i="1" s="1"/>
  <c r="X1642" i="1" s="1"/>
  <c r="C1641" i="1"/>
  <c r="C1640" i="1"/>
  <c r="D1640" i="1" s="1"/>
  <c r="X1640" i="1" s="1"/>
  <c r="C1639" i="1"/>
  <c r="V1638" i="1"/>
  <c r="C1638" i="1"/>
  <c r="D1638" i="1" s="1"/>
  <c r="X1638" i="1" s="1"/>
  <c r="C1637" i="1"/>
  <c r="C1636" i="1"/>
  <c r="D1636" i="1" s="1"/>
  <c r="X1636" i="1" s="1"/>
  <c r="C1635" i="1"/>
  <c r="C1634" i="1"/>
  <c r="D1634" i="1" s="1"/>
  <c r="X1634" i="1" s="1"/>
  <c r="C1633" i="1"/>
  <c r="C1632" i="1"/>
  <c r="D1632" i="1" s="1"/>
  <c r="X1632" i="1" s="1"/>
  <c r="C1631" i="1"/>
  <c r="V1630" i="1"/>
  <c r="C1630" i="1"/>
  <c r="D1630" i="1" s="1"/>
  <c r="X1630" i="1" s="1"/>
  <c r="C1629" i="1"/>
  <c r="C1628" i="1"/>
  <c r="D1628" i="1" s="1"/>
  <c r="X1628" i="1" s="1"/>
  <c r="C1627" i="1"/>
  <c r="C1626" i="1"/>
  <c r="D1626" i="1" s="1"/>
  <c r="X1626" i="1" s="1"/>
  <c r="C1625" i="1"/>
  <c r="C1624" i="1"/>
  <c r="D1624" i="1" s="1"/>
  <c r="X1624" i="1" s="1"/>
  <c r="C1623" i="1"/>
  <c r="V1622" i="1"/>
  <c r="C1622" i="1"/>
  <c r="D1622" i="1" s="1"/>
  <c r="X1622" i="1" s="1"/>
  <c r="C1621" i="1"/>
  <c r="C1620" i="1"/>
  <c r="D1620" i="1" s="1"/>
  <c r="X1620" i="1" s="1"/>
  <c r="C1619" i="1"/>
  <c r="C1618" i="1"/>
  <c r="D1618" i="1" s="1"/>
  <c r="X1618" i="1" s="1"/>
  <c r="C1617" i="1"/>
  <c r="C1616" i="1"/>
  <c r="D1616" i="1" s="1"/>
  <c r="X1616" i="1" s="1"/>
  <c r="C1615" i="1"/>
  <c r="V1614" i="1"/>
  <c r="C1614" i="1"/>
  <c r="D1614" i="1" s="1"/>
  <c r="X1614" i="1" s="1"/>
  <c r="C1613" i="1"/>
  <c r="C1612" i="1"/>
  <c r="D1612" i="1" s="1"/>
  <c r="X1612" i="1" s="1"/>
  <c r="C1611" i="1"/>
  <c r="C1610" i="1"/>
  <c r="D1610" i="1" s="1"/>
  <c r="X1610" i="1" s="1"/>
  <c r="C1609" i="1"/>
  <c r="C1608" i="1"/>
  <c r="D1608" i="1" s="1"/>
  <c r="X1608" i="1" s="1"/>
  <c r="C1607" i="1"/>
  <c r="V1606" i="1"/>
  <c r="C1606" i="1"/>
  <c r="D1606" i="1" s="1"/>
  <c r="X1606" i="1" s="1"/>
  <c r="C1605" i="1"/>
  <c r="C1604" i="1"/>
  <c r="D1604" i="1" s="1"/>
  <c r="X1604" i="1" s="1"/>
  <c r="C1603" i="1"/>
  <c r="C1602" i="1"/>
  <c r="D1602" i="1" s="1"/>
  <c r="X1602" i="1" s="1"/>
  <c r="C1601" i="1"/>
  <c r="C1600" i="1"/>
  <c r="D1600" i="1" s="1"/>
  <c r="X1600" i="1" s="1"/>
  <c r="C1599" i="1"/>
  <c r="V1598" i="1"/>
  <c r="C1598" i="1"/>
  <c r="D1598" i="1" s="1"/>
  <c r="X1598" i="1" s="1"/>
  <c r="C1597" i="1"/>
  <c r="C1596" i="1"/>
  <c r="D1596" i="1" s="1"/>
  <c r="X1596" i="1" s="1"/>
  <c r="C1595" i="1"/>
  <c r="C1594" i="1"/>
  <c r="D1594" i="1" s="1"/>
  <c r="X1594" i="1" s="1"/>
  <c r="C1593" i="1"/>
  <c r="C1592" i="1"/>
  <c r="D1592" i="1" s="1"/>
  <c r="X1592" i="1" s="1"/>
  <c r="C1591" i="1"/>
  <c r="V1590" i="1"/>
  <c r="C1590" i="1"/>
  <c r="D1590" i="1" s="1"/>
  <c r="X1590" i="1" s="1"/>
  <c r="C1589" i="1"/>
  <c r="C1588" i="1"/>
  <c r="D1588" i="1" s="1"/>
  <c r="X1588" i="1" s="1"/>
  <c r="C1587" i="1"/>
  <c r="C1586" i="1"/>
  <c r="D1586" i="1" s="1"/>
  <c r="X1586" i="1" s="1"/>
  <c r="C1585" i="1"/>
  <c r="C1584" i="1"/>
  <c r="D1584" i="1" s="1"/>
  <c r="X1584" i="1" s="1"/>
  <c r="C1583" i="1"/>
  <c r="V1582" i="1"/>
  <c r="C1582" i="1"/>
  <c r="D1582" i="1" s="1"/>
  <c r="X1582" i="1" s="1"/>
  <c r="C1581" i="1"/>
  <c r="C1580" i="1"/>
  <c r="D1580" i="1" s="1"/>
  <c r="X1580" i="1" s="1"/>
  <c r="C1579" i="1"/>
  <c r="C1578" i="1"/>
  <c r="D1578" i="1" s="1"/>
  <c r="X1578" i="1" s="1"/>
  <c r="C1577" i="1"/>
  <c r="C1576" i="1"/>
  <c r="D1576" i="1" s="1"/>
  <c r="X1576" i="1" s="1"/>
  <c r="C1575" i="1"/>
  <c r="V1574" i="1"/>
  <c r="C1574" i="1"/>
  <c r="D1574" i="1" s="1"/>
  <c r="X1574" i="1" s="1"/>
  <c r="C1573" i="1"/>
  <c r="C1572" i="1"/>
  <c r="D1572" i="1" s="1"/>
  <c r="X1572" i="1" s="1"/>
  <c r="C1571" i="1"/>
  <c r="C1570" i="1"/>
  <c r="D1570" i="1" s="1"/>
  <c r="X1570" i="1" s="1"/>
  <c r="C1569" i="1"/>
  <c r="C1568" i="1"/>
  <c r="D1568" i="1" s="1"/>
  <c r="X1568" i="1" s="1"/>
  <c r="C1567" i="1"/>
  <c r="V1566" i="1"/>
  <c r="C1566" i="1"/>
  <c r="D1566" i="1" s="1"/>
  <c r="X1566" i="1" s="1"/>
  <c r="C1565" i="1"/>
  <c r="C1564" i="1"/>
  <c r="D1564" i="1" s="1"/>
  <c r="X1564" i="1" s="1"/>
  <c r="C1563" i="1"/>
  <c r="C1562" i="1"/>
  <c r="D1562" i="1" s="1"/>
  <c r="X1562" i="1" s="1"/>
  <c r="C1561" i="1"/>
  <c r="C1560" i="1"/>
  <c r="D1560" i="1" s="1"/>
  <c r="X1560" i="1" s="1"/>
  <c r="C1559" i="1"/>
  <c r="V1558" i="1"/>
  <c r="C1558" i="1"/>
  <c r="D1558" i="1" s="1"/>
  <c r="X1558" i="1" s="1"/>
  <c r="C1557" i="1"/>
  <c r="C1556" i="1"/>
  <c r="D1556" i="1" s="1"/>
  <c r="X1556" i="1" s="1"/>
  <c r="C1555" i="1"/>
  <c r="C1554" i="1"/>
  <c r="D1554" i="1" s="1"/>
  <c r="X1554" i="1" s="1"/>
  <c r="C1553" i="1"/>
  <c r="C1552" i="1"/>
  <c r="D1552" i="1" s="1"/>
  <c r="X1552" i="1" s="1"/>
  <c r="C1551" i="1"/>
  <c r="V1550" i="1"/>
  <c r="C1550" i="1"/>
  <c r="D1550" i="1" s="1"/>
  <c r="X1550" i="1" s="1"/>
  <c r="C1549" i="1"/>
  <c r="C1548" i="1"/>
  <c r="D1548" i="1" s="1"/>
  <c r="X1548" i="1" s="1"/>
  <c r="C1547" i="1"/>
  <c r="C1546" i="1"/>
  <c r="D1546" i="1" s="1"/>
  <c r="X1546" i="1" s="1"/>
  <c r="C1545" i="1"/>
  <c r="C1544" i="1"/>
  <c r="D1544" i="1" s="1"/>
  <c r="X1544" i="1" s="1"/>
  <c r="C1543" i="1"/>
  <c r="V1542" i="1"/>
  <c r="C1542" i="1"/>
  <c r="D1542" i="1" s="1"/>
  <c r="X1542" i="1" s="1"/>
  <c r="C1541" i="1"/>
  <c r="C1540" i="1"/>
  <c r="D1540" i="1" s="1"/>
  <c r="X1540" i="1" s="1"/>
  <c r="C1539" i="1"/>
  <c r="C1538" i="1"/>
  <c r="D1538" i="1" s="1"/>
  <c r="X1538" i="1" s="1"/>
  <c r="C1537" i="1"/>
  <c r="C1536" i="1"/>
  <c r="D1536" i="1" s="1"/>
  <c r="X1536" i="1" s="1"/>
  <c r="C1535" i="1"/>
  <c r="V1534" i="1"/>
  <c r="C1534" i="1"/>
  <c r="D1534" i="1" s="1"/>
  <c r="X1534" i="1" s="1"/>
  <c r="C1533" i="1"/>
  <c r="C1532" i="1"/>
  <c r="D1532" i="1" s="1"/>
  <c r="X1532" i="1" s="1"/>
  <c r="C1531" i="1"/>
  <c r="C1530" i="1"/>
  <c r="D1530" i="1" s="1"/>
  <c r="X1530" i="1" s="1"/>
  <c r="C1529" i="1"/>
  <c r="C1528" i="1"/>
  <c r="D1528" i="1" s="1"/>
  <c r="X1528" i="1" s="1"/>
  <c r="C1527" i="1"/>
  <c r="V1526" i="1"/>
  <c r="C1526" i="1"/>
  <c r="D1526" i="1" s="1"/>
  <c r="X1526" i="1" s="1"/>
  <c r="C1525" i="1"/>
  <c r="C1524" i="1"/>
  <c r="D1524" i="1" s="1"/>
  <c r="X1524" i="1" s="1"/>
  <c r="C1523" i="1"/>
  <c r="C1522" i="1"/>
  <c r="D1522" i="1" s="1"/>
  <c r="X1522" i="1" s="1"/>
  <c r="C1521" i="1"/>
  <c r="C1520" i="1"/>
  <c r="D1520" i="1" s="1"/>
  <c r="X1520" i="1" s="1"/>
  <c r="C1519" i="1"/>
  <c r="V1518" i="1"/>
  <c r="C1518" i="1"/>
  <c r="D1518" i="1" s="1"/>
  <c r="X1518" i="1" s="1"/>
  <c r="C1517" i="1"/>
  <c r="C1516" i="1"/>
  <c r="D1516" i="1" s="1"/>
  <c r="X1516" i="1" s="1"/>
  <c r="C1515" i="1"/>
  <c r="C1514" i="1"/>
  <c r="D1514" i="1" s="1"/>
  <c r="X1514" i="1" s="1"/>
  <c r="C1513" i="1"/>
  <c r="C1512" i="1"/>
  <c r="D1512" i="1" s="1"/>
  <c r="X1512" i="1" s="1"/>
  <c r="C1511" i="1"/>
  <c r="V1510" i="1"/>
  <c r="C1510" i="1"/>
  <c r="D1510" i="1" s="1"/>
  <c r="X1510" i="1" s="1"/>
  <c r="C1509" i="1"/>
  <c r="C1508" i="1"/>
  <c r="D1508" i="1" s="1"/>
  <c r="X1508" i="1" s="1"/>
  <c r="C1507" i="1"/>
  <c r="C1506" i="1"/>
  <c r="D1506" i="1" s="1"/>
  <c r="X1506" i="1" s="1"/>
  <c r="C1505" i="1"/>
  <c r="C1504" i="1"/>
  <c r="D1504" i="1" s="1"/>
  <c r="X1504" i="1" s="1"/>
  <c r="C1503" i="1"/>
  <c r="V1502" i="1"/>
  <c r="C1502" i="1"/>
  <c r="D1502" i="1" s="1"/>
  <c r="X1502" i="1" s="1"/>
  <c r="C1501" i="1"/>
  <c r="C1500" i="1"/>
  <c r="D1500" i="1" s="1"/>
  <c r="X1500" i="1" s="1"/>
  <c r="C1499" i="1"/>
  <c r="C1498" i="1"/>
  <c r="D1498" i="1" s="1"/>
  <c r="X1498" i="1" s="1"/>
  <c r="C1497" i="1"/>
  <c r="C1496" i="1"/>
  <c r="D1496" i="1" s="1"/>
  <c r="X1496" i="1" s="1"/>
  <c r="C1495" i="1"/>
  <c r="V1494" i="1"/>
  <c r="C1494" i="1"/>
  <c r="D1494" i="1" s="1"/>
  <c r="X1494" i="1" s="1"/>
  <c r="C1493" i="1"/>
  <c r="C1492" i="1"/>
  <c r="D1492" i="1" s="1"/>
  <c r="X1492" i="1" s="1"/>
  <c r="C1491" i="1"/>
  <c r="C1490" i="1"/>
  <c r="D1490" i="1" s="1"/>
  <c r="X1490" i="1" s="1"/>
  <c r="C1489" i="1"/>
  <c r="C1488" i="1"/>
  <c r="D1488" i="1" s="1"/>
  <c r="X1488" i="1" s="1"/>
  <c r="C1487" i="1"/>
  <c r="V1486" i="1"/>
  <c r="C1486" i="1"/>
  <c r="D1486" i="1" s="1"/>
  <c r="X1486" i="1" s="1"/>
  <c r="C1485" i="1"/>
  <c r="C1484" i="1"/>
  <c r="D1484" i="1" s="1"/>
  <c r="X1484" i="1" s="1"/>
  <c r="C1483" i="1"/>
  <c r="C1482" i="1"/>
  <c r="D1482" i="1" s="1"/>
  <c r="X1482" i="1" s="1"/>
  <c r="C1481" i="1"/>
  <c r="C1480" i="1"/>
  <c r="D1480" i="1" s="1"/>
  <c r="X1480" i="1" s="1"/>
  <c r="C1479" i="1"/>
  <c r="V1478" i="1"/>
  <c r="C1478" i="1"/>
  <c r="D1478" i="1" s="1"/>
  <c r="X1478" i="1" s="1"/>
  <c r="C1477" i="1"/>
  <c r="C1476" i="1"/>
  <c r="D1476" i="1" s="1"/>
  <c r="X1476" i="1" s="1"/>
  <c r="C1475" i="1"/>
  <c r="C1474" i="1"/>
  <c r="D1474" i="1" s="1"/>
  <c r="X1474" i="1" s="1"/>
  <c r="C1473" i="1"/>
  <c r="C1472" i="1"/>
  <c r="D1472" i="1" s="1"/>
  <c r="X1472" i="1" s="1"/>
  <c r="C1471" i="1"/>
  <c r="V1470" i="1"/>
  <c r="C1470" i="1"/>
  <c r="D1470" i="1" s="1"/>
  <c r="X1470" i="1" s="1"/>
  <c r="C1469" i="1"/>
  <c r="C1468" i="1"/>
  <c r="D1468" i="1" s="1"/>
  <c r="X1468" i="1" s="1"/>
  <c r="C1467" i="1"/>
  <c r="C1466" i="1"/>
  <c r="D1466" i="1" s="1"/>
  <c r="X1466" i="1" s="1"/>
  <c r="C1465" i="1"/>
  <c r="C1464" i="1"/>
  <c r="D1464" i="1" s="1"/>
  <c r="X1464" i="1" s="1"/>
  <c r="C1463" i="1"/>
  <c r="V1462" i="1"/>
  <c r="C1462" i="1"/>
  <c r="D1462" i="1" s="1"/>
  <c r="X1462" i="1" s="1"/>
  <c r="C1461" i="1"/>
  <c r="C1460" i="1"/>
  <c r="D1460" i="1" s="1"/>
  <c r="X1460" i="1" s="1"/>
  <c r="C1459" i="1"/>
  <c r="C1458" i="1"/>
  <c r="D1458" i="1" s="1"/>
  <c r="X1458" i="1" s="1"/>
  <c r="C1457" i="1"/>
  <c r="C1456" i="1"/>
  <c r="D1456" i="1" s="1"/>
  <c r="X1456" i="1" s="1"/>
  <c r="C1455" i="1"/>
  <c r="V1454" i="1"/>
  <c r="C1454" i="1"/>
  <c r="D1454" i="1" s="1"/>
  <c r="X1454" i="1" s="1"/>
  <c r="C1453" i="1"/>
  <c r="C1452" i="1"/>
  <c r="D1452" i="1" s="1"/>
  <c r="X1452" i="1" s="1"/>
  <c r="C1451" i="1"/>
  <c r="C1450" i="1"/>
  <c r="D1450" i="1" s="1"/>
  <c r="X1450" i="1" s="1"/>
  <c r="C1449" i="1"/>
  <c r="C1448" i="1"/>
  <c r="D1448" i="1" s="1"/>
  <c r="X1448" i="1" s="1"/>
  <c r="C1447" i="1"/>
  <c r="V1446" i="1"/>
  <c r="C1446" i="1"/>
  <c r="D1446" i="1" s="1"/>
  <c r="X1446" i="1" s="1"/>
  <c r="C1445" i="1"/>
  <c r="C1444" i="1"/>
  <c r="D1444" i="1" s="1"/>
  <c r="X1444" i="1" s="1"/>
  <c r="C1443" i="1"/>
  <c r="C1442" i="1"/>
  <c r="D1442" i="1" s="1"/>
  <c r="X1442" i="1" s="1"/>
  <c r="C1441" i="1"/>
  <c r="C1440" i="1"/>
  <c r="D1440" i="1" s="1"/>
  <c r="X1440" i="1" s="1"/>
  <c r="C1439" i="1"/>
  <c r="V1438" i="1"/>
  <c r="C1438" i="1"/>
  <c r="D1438" i="1" s="1"/>
  <c r="X1438" i="1" s="1"/>
  <c r="C1437" i="1"/>
  <c r="C1436" i="1"/>
  <c r="D1436" i="1" s="1"/>
  <c r="X1436" i="1" s="1"/>
  <c r="C1435" i="1"/>
  <c r="C1434" i="1"/>
  <c r="D1434" i="1" s="1"/>
  <c r="X1434" i="1" s="1"/>
  <c r="C1433" i="1"/>
  <c r="C1432" i="1"/>
  <c r="D1432" i="1" s="1"/>
  <c r="X1432" i="1" s="1"/>
  <c r="C1431" i="1"/>
  <c r="V1430" i="1"/>
  <c r="C1430" i="1"/>
  <c r="D1430" i="1" s="1"/>
  <c r="X1430" i="1" s="1"/>
  <c r="C1429" i="1"/>
  <c r="C1428" i="1"/>
  <c r="D1428" i="1" s="1"/>
  <c r="X1428" i="1" s="1"/>
  <c r="C1427" i="1"/>
  <c r="C1426" i="1"/>
  <c r="D1426" i="1" s="1"/>
  <c r="X1426" i="1" s="1"/>
  <c r="C1425" i="1"/>
  <c r="C1424" i="1"/>
  <c r="D1424" i="1" s="1"/>
  <c r="X1424" i="1" s="1"/>
  <c r="C1423" i="1"/>
  <c r="V1422" i="1"/>
  <c r="C1422" i="1"/>
  <c r="D1422" i="1" s="1"/>
  <c r="X1422" i="1" s="1"/>
  <c r="C1421" i="1"/>
  <c r="C1420" i="1"/>
  <c r="D1420" i="1" s="1"/>
  <c r="X1420" i="1" s="1"/>
  <c r="C1419" i="1"/>
  <c r="C1418" i="1"/>
  <c r="D1418" i="1" s="1"/>
  <c r="X1418" i="1" s="1"/>
  <c r="C1417" i="1"/>
  <c r="C1416" i="1"/>
  <c r="D1416" i="1" s="1"/>
  <c r="X1416" i="1" s="1"/>
  <c r="C1415" i="1"/>
  <c r="V1414" i="1"/>
  <c r="C1414" i="1"/>
  <c r="D1414" i="1" s="1"/>
  <c r="X1414" i="1" s="1"/>
  <c r="C1413" i="1"/>
  <c r="C1412" i="1"/>
  <c r="D1412" i="1" s="1"/>
  <c r="X1412" i="1" s="1"/>
  <c r="C1411" i="1"/>
  <c r="C1410" i="1"/>
  <c r="D1410" i="1" s="1"/>
  <c r="X1410" i="1" s="1"/>
  <c r="C1409" i="1"/>
  <c r="C1408" i="1"/>
  <c r="D1408" i="1" s="1"/>
  <c r="X1408" i="1" s="1"/>
  <c r="C1407" i="1"/>
  <c r="V1406" i="1"/>
  <c r="C1406" i="1"/>
  <c r="D1406" i="1" s="1"/>
  <c r="X1406" i="1" s="1"/>
  <c r="C1405" i="1"/>
  <c r="C1404" i="1"/>
  <c r="D1404" i="1" s="1"/>
  <c r="X1404" i="1" s="1"/>
  <c r="C1403" i="1"/>
  <c r="C1402" i="1"/>
  <c r="D1402" i="1" s="1"/>
  <c r="X1402" i="1" s="1"/>
  <c r="C1401" i="1"/>
  <c r="C1400" i="1"/>
  <c r="D1400" i="1" s="1"/>
  <c r="X1400" i="1" s="1"/>
  <c r="C1399" i="1"/>
  <c r="V1398" i="1"/>
  <c r="C1398" i="1"/>
  <c r="D1398" i="1" s="1"/>
  <c r="X1398" i="1" s="1"/>
  <c r="C1397" i="1"/>
  <c r="C1396" i="1"/>
  <c r="C1395" i="1"/>
  <c r="C1394" i="1"/>
  <c r="D1394" i="1" s="1"/>
  <c r="X1394" i="1" s="1"/>
  <c r="C1393" i="1"/>
  <c r="C1392" i="1"/>
  <c r="D1392" i="1" s="1"/>
  <c r="X1392" i="1" s="1"/>
  <c r="C1391" i="1"/>
  <c r="V1390" i="1"/>
  <c r="C1390" i="1"/>
  <c r="D1390" i="1" s="1"/>
  <c r="X1390" i="1" s="1"/>
  <c r="C1389" i="1"/>
  <c r="C1388" i="1"/>
  <c r="D1388" i="1" s="1"/>
  <c r="X1388" i="1" s="1"/>
  <c r="C1387" i="1"/>
  <c r="C1386" i="1"/>
  <c r="D1386" i="1" s="1"/>
  <c r="X1386" i="1" s="1"/>
  <c r="C1385" i="1"/>
  <c r="C1384" i="1"/>
  <c r="D1384" i="1" s="1"/>
  <c r="X1384" i="1" s="1"/>
  <c r="C1383" i="1"/>
  <c r="V1382" i="1"/>
  <c r="C1382" i="1"/>
  <c r="D1382" i="1" s="1"/>
  <c r="X1382" i="1" s="1"/>
  <c r="C1381" i="1"/>
  <c r="C1380" i="1"/>
  <c r="C1379" i="1"/>
  <c r="C1378" i="1"/>
  <c r="D1378" i="1" s="1"/>
  <c r="X1378" i="1" s="1"/>
  <c r="C1377" i="1"/>
  <c r="C1376" i="1"/>
  <c r="D1376" i="1" s="1"/>
  <c r="X1376" i="1" s="1"/>
  <c r="C1375" i="1"/>
  <c r="V1374" i="1"/>
  <c r="C1374" i="1"/>
  <c r="D1374" i="1" s="1"/>
  <c r="X1374" i="1" s="1"/>
  <c r="C1373" i="1"/>
  <c r="C1372" i="1"/>
  <c r="D1372" i="1" s="1"/>
  <c r="X1372" i="1" s="1"/>
  <c r="C1371" i="1"/>
  <c r="C1370" i="1"/>
  <c r="D1370" i="1" s="1"/>
  <c r="X1370" i="1" s="1"/>
  <c r="C1369" i="1"/>
  <c r="C1368" i="1"/>
  <c r="D1368" i="1" s="1"/>
  <c r="X1368" i="1" s="1"/>
  <c r="C1367" i="1"/>
  <c r="V1366" i="1"/>
  <c r="C1366" i="1"/>
  <c r="D1366" i="1" s="1"/>
  <c r="X1366" i="1" s="1"/>
  <c r="C1365" i="1"/>
  <c r="C1364" i="1"/>
  <c r="C1363" i="1"/>
  <c r="C1362" i="1"/>
  <c r="D1362" i="1" s="1"/>
  <c r="X1362" i="1" s="1"/>
  <c r="C1361" i="1"/>
  <c r="C1360" i="1"/>
  <c r="D1360" i="1" s="1"/>
  <c r="X1360" i="1" s="1"/>
  <c r="C1359" i="1"/>
  <c r="V1358" i="1"/>
  <c r="C1358" i="1"/>
  <c r="D1358" i="1" s="1"/>
  <c r="X1358" i="1" s="1"/>
  <c r="C1357" i="1"/>
  <c r="C1356" i="1"/>
  <c r="D1356" i="1" s="1"/>
  <c r="X1356" i="1" s="1"/>
  <c r="C1355" i="1"/>
  <c r="C1354" i="1"/>
  <c r="D1354" i="1" s="1"/>
  <c r="X1354" i="1" s="1"/>
  <c r="C1353" i="1"/>
  <c r="C1352" i="1"/>
  <c r="D1352" i="1" s="1"/>
  <c r="X1352" i="1" s="1"/>
  <c r="C1351" i="1"/>
  <c r="V1350" i="1"/>
  <c r="C1350" i="1"/>
  <c r="D1350" i="1" s="1"/>
  <c r="X1350" i="1" s="1"/>
  <c r="C1349" i="1"/>
  <c r="C1348" i="1"/>
  <c r="C1347" i="1"/>
  <c r="C1346" i="1"/>
  <c r="D1346" i="1" s="1"/>
  <c r="X1346" i="1" s="1"/>
  <c r="C1345" i="1"/>
  <c r="C1344" i="1"/>
  <c r="D1344" i="1" s="1"/>
  <c r="X1344" i="1" s="1"/>
  <c r="C1343" i="1"/>
  <c r="V1342" i="1"/>
  <c r="C1342" i="1"/>
  <c r="D1342" i="1" s="1"/>
  <c r="X1342" i="1" s="1"/>
  <c r="C1341" i="1"/>
  <c r="C1340" i="1"/>
  <c r="D1340" i="1" s="1"/>
  <c r="X1340" i="1" s="1"/>
  <c r="C1339" i="1"/>
  <c r="C1338" i="1"/>
  <c r="D1338" i="1" s="1"/>
  <c r="X1338" i="1" s="1"/>
  <c r="C1337" i="1"/>
  <c r="C1336" i="1"/>
  <c r="D1336" i="1" s="1"/>
  <c r="X1336" i="1" s="1"/>
  <c r="C1335" i="1"/>
  <c r="V1334" i="1"/>
  <c r="C1334" i="1"/>
  <c r="D1334" i="1" s="1"/>
  <c r="X1334" i="1" s="1"/>
  <c r="C1333" i="1"/>
  <c r="C1332" i="1"/>
  <c r="C1331" i="1"/>
  <c r="C1330" i="1"/>
  <c r="D1330" i="1" s="1"/>
  <c r="X1330" i="1" s="1"/>
  <c r="C1329" i="1"/>
  <c r="C1328" i="1"/>
  <c r="D1328" i="1" s="1"/>
  <c r="X1328" i="1" s="1"/>
  <c r="C1327" i="1"/>
  <c r="V1326" i="1"/>
  <c r="C1326" i="1"/>
  <c r="D1326" i="1" s="1"/>
  <c r="X1326" i="1" s="1"/>
  <c r="C1325" i="1"/>
  <c r="C1324" i="1"/>
  <c r="D1324" i="1" s="1"/>
  <c r="X1324" i="1" s="1"/>
  <c r="C1323" i="1"/>
  <c r="C1322" i="1"/>
  <c r="D1322" i="1" s="1"/>
  <c r="X1322" i="1" s="1"/>
  <c r="C1321" i="1"/>
  <c r="C1320" i="1"/>
  <c r="D1320" i="1" s="1"/>
  <c r="X1320" i="1" s="1"/>
  <c r="C1319" i="1"/>
  <c r="V1318" i="1"/>
  <c r="C1318" i="1"/>
  <c r="D1318" i="1" s="1"/>
  <c r="X1318" i="1" s="1"/>
  <c r="C1317" i="1"/>
  <c r="C1316" i="1"/>
  <c r="C1315" i="1"/>
  <c r="C1314" i="1"/>
  <c r="D1314" i="1" s="1"/>
  <c r="X1314" i="1" s="1"/>
  <c r="C1313" i="1"/>
  <c r="C1312" i="1"/>
  <c r="D1312" i="1" s="1"/>
  <c r="X1312" i="1" s="1"/>
  <c r="C1311" i="1"/>
  <c r="V1310" i="1"/>
  <c r="C1310" i="1"/>
  <c r="D1310" i="1" s="1"/>
  <c r="X1310" i="1" s="1"/>
  <c r="C1309" i="1"/>
  <c r="C1308" i="1"/>
  <c r="D1308" i="1" s="1"/>
  <c r="X1308" i="1" s="1"/>
  <c r="C1307" i="1"/>
  <c r="C1306" i="1"/>
  <c r="D1306" i="1" s="1"/>
  <c r="X1306" i="1" s="1"/>
  <c r="C1305" i="1"/>
  <c r="C1304" i="1"/>
  <c r="D1304" i="1" s="1"/>
  <c r="X1304" i="1" s="1"/>
  <c r="C1303" i="1"/>
  <c r="V1302" i="1"/>
  <c r="C1302" i="1"/>
  <c r="D1302" i="1" s="1"/>
  <c r="X1302" i="1" s="1"/>
  <c r="C1301" i="1"/>
  <c r="C1300" i="1"/>
  <c r="C1299" i="1"/>
  <c r="C1298" i="1"/>
  <c r="D1298" i="1" s="1"/>
  <c r="X1298" i="1" s="1"/>
  <c r="C1297" i="1"/>
  <c r="C1296" i="1"/>
  <c r="D1296" i="1" s="1"/>
  <c r="X1296" i="1" s="1"/>
  <c r="C1295" i="1"/>
  <c r="V1294" i="1"/>
  <c r="C1294" i="1"/>
  <c r="D1294" i="1" s="1"/>
  <c r="X1294" i="1" s="1"/>
  <c r="C1293" i="1"/>
  <c r="C1292" i="1"/>
  <c r="D1292" i="1" s="1"/>
  <c r="X1292" i="1" s="1"/>
  <c r="C1291" i="1"/>
  <c r="C1290" i="1"/>
  <c r="D1290" i="1" s="1"/>
  <c r="X1290" i="1" s="1"/>
  <c r="C1289" i="1"/>
  <c r="C1288" i="1"/>
  <c r="D1288" i="1" s="1"/>
  <c r="X1288" i="1" s="1"/>
  <c r="C1287" i="1"/>
  <c r="V1286" i="1"/>
  <c r="C1286" i="1"/>
  <c r="D1286" i="1" s="1"/>
  <c r="X1286" i="1" s="1"/>
  <c r="C1285" i="1"/>
  <c r="C1284" i="1"/>
  <c r="C1283" i="1"/>
  <c r="C1282" i="1"/>
  <c r="D1282" i="1" s="1"/>
  <c r="X1282" i="1" s="1"/>
  <c r="C1281" i="1"/>
  <c r="C1280" i="1"/>
  <c r="D1280" i="1" s="1"/>
  <c r="X1280" i="1" s="1"/>
  <c r="C1279" i="1"/>
  <c r="V1278" i="1"/>
  <c r="C1278" i="1"/>
  <c r="D1278" i="1" s="1"/>
  <c r="X1278" i="1" s="1"/>
  <c r="C1277" i="1"/>
  <c r="C1276" i="1"/>
  <c r="D1276" i="1" s="1"/>
  <c r="X1276" i="1" s="1"/>
  <c r="C1275" i="1"/>
  <c r="C1274" i="1"/>
  <c r="D1274" i="1" s="1"/>
  <c r="X1274" i="1" s="1"/>
  <c r="C1273" i="1"/>
  <c r="C1272" i="1"/>
  <c r="D1272" i="1" s="1"/>
  <c r="X1272" i="1" s="1"/>
  <c r="C1271" i="1"/>
  <c r="V1270" i="1"/>
  <c r="C1270" i="1"/>
  <c r="D1270" i="1" s="1"/>
  <c r="X1270" i="1" s="1"/>
  <c r="C1269" i="1"/>
  <c r="C1268" i="1"/>
  <c r="C1267" i="1"/>
  <c r="C1266" i="1"/>
  <c r="D1266" i="1" s="1"/>
  <c r="X1266" i="1" s="1"/>
  <c r="C1265" i="1"/>
  <c r="C1264" i="1"/>
  <c r="D1264" i="1" s="1"/>
  <c r="X1264" i="1" s="1"/>
  <c r="C1263" i="1"/>
  <c r="V1262" i="1"/>
  <c r="C1262" i="1"/>
  <c r="D1262" i="1" s="1"/>
  <c r="X1262" i="1" s="1"/>
  <c r="C1261" i="1"/>
  <c r="C1260" i="1"/>
  <c r="D1260" i="1" s="1"/>
  <c r="X1260" i="1" s="1"/>
  <c r="C1259" i="1"/>
  <c r="C1258" i="1"/>
  <c r="D1258" i="1" s="1"/>
  <c r="X1258" i="1" s="1"/>
  <c r="C1257" i="1"/>
  <c r="C1256" i="1"/>
  <c r="D1256" i="1" s="1"/>
  <c r="X1256" i="1" s="1"/>
  <c r="C1255" i="1"/>
  <c r="V1254" i="1"/>
  <c r="C1254" i="1"/>
  <c r="D1254" i="1" s="1"/>
  <c r="X1254" i="1" s="1"/>
  <c r="C1253" i="1"/>
  <c r="C1252" i="1"/>
  <c r="C1251" i="1"/>
  <c r="C1250" i="1"/>
  <c r="D1250" i="1" s="1"/>
  <c r="X1250" i="1" s="1"/>
  <c r="C1249" i="1"/>
  <c r="C1248" i="1"/>
  <c r="D1248" i="1" s="1"/>
  <c r="X1248" i="1" s="1"/>
  <c r="C1247" i="1"/>
  <c r="V1246" i="1"/>
  <c r="C1246" i="1"/>
  <c r="D1246" i="1" s="1"/>
  <c r="X1246" i="1" s="1"/>
  <c r="C1245" i="1"/>
  <c r="C1244" i="1"/>
  <c r="D1244" i="1" s="1"/>
  <c r="X1244" i="1" s="1"/>
  <c r="C1243" i="1"/>
  <c r="V1242" i="1"/>
  <c r="C1242" i="1"/>
  <c r="D1242" i="1" s="1"/>
  <c r="X1242" i="1" s="1"/>
  <c r="C1241" i="1"/>
  <c r="C1240" i="1"/>
  <c r="D1240" i="1" s="1"/>
  <c r="X1240" i="1" s="1"/>
  <c r="C1239" i="1"/>
  <c r="C1238" i="1"/>
  <c r="D1238" i="1" s="1"/>
  <c r="X1238" i="1" s="1"/>
  <c r="C1237" i="1"/>
  <c r="V1236" i="1"/>
  <c r="C1236" i="1"/>
  <c r="D1236" i="1" s="1"/>
  <c r="X1236" i="1" s="1"/>
  <c r="C1235" i="1"/>
  <c r="C1234" i="1"/>
  <c r="C1233" i="1"/>
  <c r="C1232" i="1"/>
  <c r="D1232" i="1" s="1"/>
  <c r="X1232" i="1" s="1"/>
  <c r="C1231" i="1"/>
  <c r="V1230" i="1"/>
  <c r="C1230" i="1"/>
  <c r="D1230" i="1" s="1"/>
  <c r="X1230" i="1" s="1"/>
  <c r="C1229" i="1"/>
  <c r="C1228" i="1"/>
  <c r="C1227" i="1"/>
  <c r="V1226" i="1"/>
  <c r="C1226" i="1"/>
  <c r="D1226" i="1" s="1"/>
  <c r="X1226" i="1" s="1"/>
  <c r="C1225" i="1"/>
  <c r="C1224" i="1"/>
  <c r="D1224" i="1" s="1"/>
  <c r="X1224" i="1" s="1"/>
  <c r="C1223" i="1"/>
  <c r="C1222" i="1"/>
  <c r="C1221" i="1"/>
  <c r="V1220" i="1"/>
  <c r="C1220" i="1"/>
  <c r="D1220" i="1" s="1"/>
  <c r="X1220" i="1" s="1"/>
  <c r="C1219" i="1"/>
  <c r="C1218" i="1"/>
  <c r="D1218" i="1" s="1"/>
  <c r="X1218" i="1" s="1"/>
  <c r="C1217" i="1"/>
  <c r="C1216" i="1"/>
  <c r="D1216" i="1" s="1"/>
  <c r="X1216" i="1" s="1"/>
  <c r="C1215" i="1"/>
  <c r="V1214" i="1"/>
  <c r="C1214" i="1"/>
  <c r="D1214" i="1" s="1"/>
  <c r="X1214" i="1" s="1"/>
  <c r="C1213" i="1"/>
  <c r="C1212" i="1"/>
  <c r="D1212" i="1" s="1"/>
  <c r="X1212" i="1" s="1"/>
  <c r="C1211" i="1"/>
  <c r="V1210" i="1"/>
  <c r="C1210" i="1"/>
  <c r="D1210" i="1" s="1"/>
  <c r="X1210" i="1" s="1"/>
  <c r="C1209" i="1"/>
  <c r="C1208" i="1"/>
  <c r="D1208" i="1" s="1"/>
  <c r="X1208" i="1" s="1"/>
  <c r="C1207" i="1"/>
  <c r="C1206" i="1"/>
  <c r="D1206" i="1" s="1"/>
  <c r="X1206" i="1" s="1"/>
  <c r="C1205" i="1"/>
  <c r="V1204" i="1"/>
  <c r="C1204" i="1"/>
  <c r="D1204" i="1" s="1"/>
  <c r="X1204" i="1" s="1"/>
  <c r="C1203" i="1"/>
  <c r="C1202" i="1"/>
  <c r="C1201" i="1"/>
  <c r="C1200" i="1"/>
  <c r="D1200" i="1" s="1"/>
  <c r="X1200" i="1" s="1"/>
  <c r="C1199" i="1"/>
  <c r="V1198" i="1"/>
  <c r="C1198" i="1"/>
  <c r="D1198" i="1" s="1"/>
  <c r="X1198" i="1" s="1"/>
  <c r="C1197" i="1"/>
  <c r="C1196" i="1"/>
  <c r="C1195" i="1"/>
  <c r="V1194" i="1"/>
  <c r="C1194" i="1"/>
  <c r="D1194" i="1" s="1"/>
  <c r="X1194" i="1" s="1"/>
  <c r="C1193" i="1"/>
  <c r="C1192" i="1"/>
  <c r="D1192" i="1" s="1"/>
  <c r="X1192" i="1" s="1"/>
  <c r="C1191" i="1"/>
  <c r="C1190" i="1"/>
  <c r="C1189" i="1"/>
  <c r="V1188" i="1"/>
  <c r="C1188" i="1"/>
  <c r="D1188" i="1" s="1"/>
  <c r="X1188" i="1" s="1"/>
  <c r="C1187" i="1"/>
  <c r="C1186" i="1"/>
  <c r="C1185" i="1"/>
  <c r="C1184" i="1"/>
  <c r="D1184" i="1" s="1"/>
  <c r="X1184" i="1" s="1"/>
  <c r="C1183" i="1"/>
  <c r="V1182" i="1"/>
  <c r="C1182" i="1"/>
  <c r="D1182" i="1" s="1"/>
  <c r="X1182" i="1" s="1"/>
  <c r="C1181" i="1"/>
  <c r="C1180" i="1"/>
  <c r="C1179" i="1"/>
  <c r="V1178" i="1"/>
  <c r="C1178" i="1"/>
  <c r="D1178" i="1" s="1"/>
  <c r="X1178" i="1" s="1"/>
  <c r="C1177" i="1"/>
  <c r="C1176" i="1"/>
  <c r="D1176" i="1" s="1"/>
  <c r="X1176" i="1" s="1"/>
  <c r="C1175" i="1"/>
  <c r="C1174" i="1"/>
  <c r="C1173" i="1"/>
  <c r="V1172" i="1"/>
  <c r="C1172" i="1"/>
  <c r="D1172" i="1" s="1"/>
  <c r="X1172" i="1" s="1"/>
  <c r="C1171" i="1"/>
  <c r="C1170" i="1"/>
  <c r="C1169" i="1"/>
  <c r="C1168" i="1"/>
  <c r="D1168" i="1" s="1"/>
  <c r="X1168" i="1" s="1"/>
  <c r="C1167" i="1"/>
  <c r="V1166" i="1"/>
  <c r="C1166" i="1"/>
  <c r="D1166" i="1" s="1"/>
  <c r="X1166" i="1" s="1"/>
  <c r="C1165" i="1"/>
  <c r="C1164" i="1"/>
  <c r="C1163" i="1"/>
  <c r="V1162" i="1"/>
  <c r="C1162" i="1"/>
  <c r="D1162" i="1" s="1"/>
  <c r="X1162" i="1" s="1"/>
  <c r="C1161" i="1"/>
  <c r="C1160" i="1"/>
  <c r="D1160" i="1" s="1"/>
  <c r="X1160" i="1" s="1"/>
  <c r="C1159" i="1"/>
  <c r="C1158" i="1"/>
  <c r="C1157" i="1"/>
  <c r="V1156" i="1"/>
  <c r="C1156" i="1"/>
  <c r="D1156" i="1" s="1"/>
  <c r="X1156" i="1" s="1"/>
  <c r="C1155" i="1"/>
  <c r="C1154" i="1"/>
  <c r="C1153" i="1"/>
  <c r="C1152" i="1"/>
  <c r="D1152" i="1" s="1"/>
  <c r="X1152" i="1" s="1"/>
  <c r="C1151" i="1"/>
  <c r="V1150" i="1"/>
  <c r="C1150" i="1"/>
  <c r="D1150" i="1" s="1"/>
  <c r="X1150" i="1" s="1"/>
  <c r="C1149" i="1"/>
  <c r="C1148" i="1"/>
  <c r="C1147" i="1"/>
  <c r="V1146" i="1"/>
  <c r="C1146" i="1"/>
  <c r="D1146" i="1" s="1"/>
  <c r="X1146" i="1" s="1"/>
  <c r="C1145" i="1"/>
  <c r="C1144" i="1"/>
  <c r="D1144" i="1" s="1"/>
  <c r="X1144" i="1" s="1"/>
  <c r="C1143" i="1"/>
  <c r="C1142" i="1"/>
  <c r="C1141" i="1"/>
  <c r="V1140" i="1"/>
  <c r="C1140" i="1"/>
  <c r="D1140" i="1" s="1"/>
  <c r="X1140" i="1" s="1"/>
  <c r="C1139" i="1"/>
  <c r="C1138" i="1"/>
  <c r="C1137" i="1"/>
  <c r="C1136" i="1"/>
  <c r="D1136" i="1" s="1"/>
  <c r="X1136" i="1" s="1"/>
  <c r="C1135" i="1"/>
  <c r="V1134" i="1"/>
  <c r="C1134" i="1"/>
  <c r="D1134" i="1" s="1"/>
  <c r="X1134" i="1" s="1"/>
  <c r="C1133" i="1"/>
  <c r="C1132" i="1"/>
  <c r="C1131" i="1"/>
  <c r="V1130" i="1"/>
  <c r="C1130" i="1"/>
  <c r="D1130" i="1" s="1"/>
  <c r="X1130" i="1" s="1"/>
  <c r="C1129" i="1"/>
  <c r="C1128" i="1"/>
  <c r="D1128" i="1" s="1"/>
  <c r="X1128" i="1" s="1"/>
  <c r="C1127" i="1"/>
  <c r="C1126" i="1"/>
  <c r="C1125" i="1"/>
  <c r="V1124" i="1"/>
  <c r="C1124" i="1"/>
  <c r="D1124" i="1" s="1"/>
  <c r="X1124" i="1" s="1"/>
  <c r="C1123" i="1"/>
  <c r="C1122" i="1"/>
  <c r="C1121" i="1"/>
  <c r="C1120" i="1"/>
  <c r="D1120" i="1" s="1"/>
  <c r="X1120" i="1" s="1"/>
  <c r="C1119" i="1"/>
  <c r="V1118" i="1"/>
  <c r="C1118" i="1"/>
  <c r="D1118" i="1" s="1"/>
  <c r="X1118" i="1" s="1"/>
  <c r="C1117" i="1"/>
  <c r="C1116" i="1"/>
  <c r="C1115" i="1"/>
  <c r="V1114" i="1"/>
  <c r="C1114" i="1"/>
  <c r="D1114" i="1" s="1"/>
  <c r="X1114" i="1" s="1"/>
  <c r="C1113" i="1"/>
  <c r="C1112" i="1"/>
  <c r="D1112" i="1" s="1"/>
  <c r="X1112" i="1" s="1"/>
  <c r="C1111" i="1"/>
  <c r="C1110" i="1"/>
  <c r="C1109" i="1"/>
  <c r="V1108" i="1"/>
  <c r="C1108" i="1"/>
  <c r="D1108" i="1" s="1"/>
  <c r="X1108" i="1" s="1"/>
  <c r="C1107" i="1"/>
  <c r="C1106" i="1"/>
  <c r="C1105" i="1"/>
  <c r="C1104" i="1"/>
  <c r="D1104" i="1" s="1"/>
  <c r="X1104" i="1" s="1"/>
  <c r="C1103" i="1"/>
  <c r="V1102" i="1"/>
  <c r="C1102" i="1"/>
  <c r="D1102" i="1" s="1"/>
  <c r="X1102" i="1" s="1"/>
  <c r="C1101" i="1"/>
  <c r="C1100" i="1"/>
  <c r="C1099" i="1"/>
  <c r="V1098" i="1"/>
  <c r="C1098" i="1"/>
  <c r="D1098" i="1" s="1"/>
  <c r="X1098" i="1" s="1"/>
  <c r="C1097" i="1"/>
  <c r="C1096" i="1"/>
  <c r="D1096" i="1" s="1"/>
  <c r="X1096" i="1" s="1"/>
  <c r="C1095" i="1"/>
  <c r="C1094" i="1"/>
  <c r="C1093" i="1"/>
  <c r="V1092" i="1"/>
  <c r="C1092" i="1"/>
  <c r="D1092" i="1" s="1"/>
  <c r="X1092" i="1" s="1"/>
  <c r="C1091" i="1"/>
  <c r="C1090" i="1"/>
  <c r="C1089" i="1"/>
  <c r="C1088" i="1"/>
  <c r="D1088" i="1" s="1"/>
  <c r="X1088" i="1" s="1"/>
  <c r="C1087" i="1"/>
  <c r="V1086" i="1"/>
  <c r="C1086" i="1"/>
  <c r="D1086" i="1" s="1"/>
  <c r="X1086" i="1" s="1"/>
  <c r="C1085" i="1"/>
  <c r="C1084" i="1"/>
  <c r="C1083" i="1"/>
  <c r="V1082" i="1"/>
  <c r="C1082" i="1"/>
  <c r="D1082" i="1" s="1"/>
  <c r="X1082" i="1" s="1"/>
  <c r="C1081" i="1"/>
  <c r="C1080" i="1"/>
  <c r="D1080" i="1" s="1"/>
  <c r="X1080" i="1" s="1"/>
  <c r="C1079" i="1"/>
  <c r="C1078" i="1"/>
  <c r="C1077" i="1"/>
  <c r="V1076" i="1"/>
  <c r="C1076" i="1"/>
  <c r="D1076" i="1" s="1"/>
  <c r="X1076" i="1" s="1"/>
  <c r="C1075" i="1"/>
  <c r="C1074" i="1"/>
  <c r="C1073" i="1"/>
  <c r="C1072" i="1"/>
  <c r="D1072" i="1" s="1"/>
  <c r="X1072" i="1" s="1"/>
  <c r="C1071" i="1"/>
  <c r="V1070" i="1"/>
  <c r="C1070" i="1"/>
  <c r="D1070" i="1" s="1"/>
  <c r="X1070" i="1" s="1"/>
  <c r="C1069" i="1"/>
  <c r="C1068" i="1"/>
  <c r="C1067" i="1"/>
  <c r="V1066" i="1"/>
  <c r="C1066" i="1"/>
  <c r="D1066" i="1" s="1"/>
  <c r="X1066" i="1" s="1"/>
  <c r="C1065" i="1"/>
  <c r="C1064" i="1"/>
  <c r="D1064" i="1" s="1"/>
  <c r="X1064" i="1" s="1"/>
  <c r="C1063" i="1"/>
  <c r="C1062" i="1"/>
  <c r="C1061" i="1"/>
  <c r="V1060" i="1"/>
  <c r="C1060" i="1"/>
  <c r="D1060" i="1" s="1"/>
  <c r="X1060" i="1" s="1"/>
  <c r="C1059" i="1"/>
  <c r="C1058" i="1"/>
  <c r="C1057" i="1"/>
  <c r="C1056" i="1"/>
  <c r="D1056" i="1" s="1"/>
  <c r="X1056" i="1" s="1"/>
  <c r="C1055" i="1"/>
  <c r="V1054" i="1"/>
  <c r="C1054" i="1"/>
  <c r="D1054" i="1" s="1"/>
  <c r="X1054" i="1" s="1"/>
  <c r="C1053" i="1"/>
  <c r="C1052" i="1"/>
  <c r="C1051" i="1"/>
  <c r="V1050" i="1"/>
  <c r="C1050" i="1"/>
  <c r="D1050" i="1" s="1"/>
  <c r="X1050" i="1" s="1"/>
  <c r="C1049" i="1"/>
  <c r="C1048" i="1"/>
  <c r="D1048" i="1" s="1"/>
  <c r="X1048" i="1" s="1"/>
  <c r="C1047" i="1"/>
  <c r="C1046" i="1"/>
  <c r="C1045" i="1"/>
  <c r="V1044" i="1"/>
  <c r="C1044" i="1"/>
  <c r="D1044" i="1" s="1"/>
  <c r="X1044" i="1" s="1"/>
  <c r="C1043" i="1"/>
  <c r="C1042" i="1"/>
  <c r="C1041" i="1"/>
  <c r="C1040" i="1"/>
  <c r="D1040" i="1" s="1"/>
  <c r="X1040" i="1" s="1"/>
  <c r="C1039" i="1"/>
  <c r="V1038" i="1"/>
  <c r="C1038" i="1"/>
  <c r="D1038" i="1" s="1"/>
  <c r="X1038" i="1" s="1"/>
  <c r="C1037" i="1"/>
  <c r="C1036" i="1"/>
  <c r="C1035" i="1"/>
  <c r="V1034" i="1"/>
  <c r="C1034" i="1"/>
  <c r="D1034" i="1" s="1"/>
  <c r="X1034" i="1" s="1"/>
  <c r="C1033" i="1"/>
  <c r="C1032" i="1"/>
  <c r="D1032" i="1" s="1"/>
  <c r="X1032" i="1" s="1"/>
  <c r="C1031" i="1"/>
  <c r="C1030" i="1"/>
  <c r="C1029" i="1"/>
  <c r="V1028" i="1"/>
  <c r="C1028" i="1"/>
  <c r="D1028" i="1" s="1"/>
  <c r="X1028" i="1" s="1"/>
  <c r="C1027" i="1"/>
  <c r="C1026" i="1"/>
  <c r="C1025" i="1"/>
  <c r="C1024" i="1"/>
  <c r="D1024" i="1" s="1"/>
  <c r="X1024" i="1" s="1"/>
  <c r="C1023" i="1"/>
  <c r="V1022" i="1"/>
  <c r="C1022" i="1"/>
  <c r="D1022" i="1" s="1"/>
  <c r="X1022" i="1" s="1"/>
  <c r="C1021" i="1"/>
  <c r="C1020" i="1"/>
  <c r="C1019" i="1"/>
  <c r="V1018" i="1"/>
  <c r="C1018" i="1"/>
  <c r="D1018" i="1" s="1"/>
  <c r="X1018" i="1" s="1"/>
  <c r="C1017" i="1"/>
  <c r="C1016" i="1"/>
  <c r="D1016" i="1" s="1"/>
  <c r="X1016" i="1" s="1"/>
  <c r="C1015" i="1"/>
  <c r="C1014" i="1"/>
  <c r="C1013" i="1"/>
  <c r="V1012" i="1"/>
  <c r="C1012" i="1"/>
  <c r="D1012" i="1" s="1"/>
  <c r="X1012" i="1" s="1"/>
  <c r="C1011" i="1"/>
  <c r="C1010" i="1"/>
  <c r="C1009" i="1"/>
  <c r="C1008" i="1"/>
  <c r="D1008" i="1" s="1"/>
  <c r="X1008" i="1" s="1"/>
  <c r="C1007" i="1"/>
  <c r="V1006" i="1"/>
  <c r="C1006" i="1"/>
  <c r="D1006" i="1" s="1"/>
  <c r="X1006" i="1" s="1"/>
  <c r="C1005" i="1"/>
  <c r="C1004" i="1"/>
  <c r="C1003" i="1"/>
  <c r="V1002" i="1"/>
  <c r="C1002" i="1"/>
  <c r="D1002" i="1" s="1"/>
  <c r="X1002" i="1" s="1"/>
  <c r="C1001" i="1"/>
  <c r="C1000" i="1"/>
  <c r="D1000" i="1" s="1"/>
  <c r="X1000" i="1" s="1"/>
  <c r="C999" i="1"/>
  <c r="C998" i="1"/>
  <c r="C997" i="1"/>
  <c r="V996" i="1"/>
  <c r="C996" i="1"/>
  <c r="D996" i="1" s="1"/>
  <c r="X996" i="1" s="1"/>
  <c r="C995" i="1"/>
  <c r="C994" i="1"/>
  <c r="C993" i="1"/>
  <c r="C992" i="1"/>
  <c r="D992" i="1" s="1"/>
  <c r="X992" i="1" s="1"/>
  <c r="C991" i="1"/>
  <c r="V990" i="1"/>
  <c r="C990" i="1"/>
  <c r="D990" i="1" s="1"/>
  <c r="X990" i="1" s="1"/>
  <c r="C989" i="1"/>
  <c r="C988" i="1"/>
  <c r="C987" i="1"/>
  <c r="V986" i="1"/>
  <c r="C986" i="1"/>
  <c r="D986" i="1" s="1"/>
  <c r="X986" i="1" s="1"/>
  <c r="C985" i="1"/>
  <c r="C984" i="1"/>
  <c r="D984" i="1" s="1"/>
  <c r="X984" i="1" s="1"/>
  <c r="C983" i="1"/>
  <c r="C982" i="1"/>
  <c r="C981" i="1"/>
  <c r="V980" i="1"/>
  <c r="C980" i="1"/>
  <c r="D980" i="1" s="1"/>
  <c r="X980" i="1" s="1"/>
  <c r="C979" i="1"/>
  <c r="C978" i="1"/>
  <c r="C977" i="1"/>
  <c r="C976" i="1"/>
  <c r="D976" i="1" s="1"/>
  <c r="X976" i="1" s="1"/>
  <c r="C975" i="1"/>
  <c r="V974" i="1"/>
  <c r="C974" i="1"/>
  <c r="D974" i="1" s="1"/>
  <c r="X974" i="1" s="1"/>
  <c r="C973" i="1"/>
  <c r="C972" i="1"/>
  <c r="C971" i="1"/>
  <c r="V970" i="1"/>
  <c r="C970" i="1"/>
  <c r="D970" i="1" s="1"/>
  <c r="X970" i="1" s="1"/>
  <c r="C969" i="1"/>
  <c r="C968" i="1"/>
  <c r="D968" i="1" s="1"/>
  <c r="X968" i="1" s="1"/>
  <c r="C967" i="1"/>
  <c r="C966" i="1"/>
  <c r="C965" i="1"/>
  <c r="V964" i="1"/>
  <c r="C964" i="1"/>
  <c r="D964" i="1" s="1"/>
  <c r="X964" i="1" s="1"/>
  <c r="C963" i="1"/>
  <c r="C962" i="1"/>
  <c r="C961" i="1"/>
  <c r="C960" i="1"/>
  <c r="D960" i="1" s="1"/>
  <c r="X960" i="1" s="1"/>
  <c r="C959" i="1"/>
  <c r="V958" i="1"/>
  <c r="C958" i="1"/>
  <c r="D958" i="1" s="1"/>
  <c r="X958" i="1" s="1"/>
  <c r="C957" i="1"/>
  <c r="C956" i="1"/>
  <c r="C955" i="1"/>
  <c r="V954" i="1"/>
  <c r="C954" i="1"/>
  <c r="D954" i="1" s="1"/>
  <c r="X954" i="1" s="1"/>
  <c r="C953" i="1"/>
  <c r="C952" i="1"/>
  <c r="D952" i="1" s="1"/>
  <c r="X952" i="1" s="1"/>
  <c r="C951" i="1"/>
  <c r="C950" i="1"/>
  <c r="C949" i="1"/>
  <c r="V948" i="1"/>
  <c r="C948" i="1"/>
  <c r="D948" i="1" s="1"/>
  <c r="X948" i="1" s="1"/>
  <c r="C947" i="1"/>
  <c r="C946" i="1"/>
  <c r="C945" i="1"/>
  <c r="C944" i="1"/>
  <c r="D944" i="1" s="1"/>
  <c r="X944" i="1" s="1"/>
  <c r="C943" i="1"/>
  <c r="V942" i="1"/>
  <c r="C942" i="1"/>
  <c r="D942" i="1" s="1"/>
  <c r="X942" i="1" s="1"/>
  <c r="C941" i="1"/>
  <c r="C940" i="1"/>
  <c r="C939" i="1"/>
  <c r="V938" i="1"/>
  <c r="C938" i="1"/>
  <c r="D938" i="1" s="1"/>
  <c r="X938" i="1" s="1"/>
  <c r="C937" i="1"/>
  <c r="C936" i="1"/>
  <c r="D936" i="1" s="1"/>
  <c r="X936" i="1" s="1"/>
  <c r="C935" i="1"/>
  <c r="C934" i="1"/>
  <c r="C933" i="1"/>
  <c r="V932" i="1"/>
  <c r="C932" i="1"/>
  <c r="D932" i="1" s="1"/>
  <c r="X932" i="1" s="1"/>
  <c r="C931" i="1"/>
  <c r="C930" i="1"/>
  <c r="C929" i="1"/>
  <c r="C928" i="1"/>
  <c r="D928" i="1" s="1"/>
  <c r="X928" i="1" s="1"/>
  <c r="C927" i="1"/>
  <c r="V926" i="1"/>
  <c r="C926" i="1"/>
  <c r="D926" i="1" s="1"/>
  <c r="X926" i="1" s="1"/>
  <c r="C925" i="1"/>
  <c r="C924" i="1"/>
  <c r="C923" i="1"/>
  <c r="V922" i="1"/>
  <c r="C922" i="1"/>
  <c r="D922" i="1" s="1"/>
  <c r="X922" i="1" s="1"/>
  <c r="C921" i="1"/>
  <c r="C920" i="1"/>
  <c r="D920" i="1" s="1"/>
  <c r="X920" i="1" s="1"/>
  <c r="C919" i="1"/>
  <c r="C918" i="1"/>
  <c r="C917" i="1"/>
  <c r="V916" i="1"/>
  <c r="C916" i="1"/>
  <c r="D916" i="1" s="1"/>
  <c r="X916" i="1" s="1"/>
  <c r="C915" i="1"/>
  <c r="C914" i="1"/>
  <c r="C913" i="1"/>
  <c r="C912" i="1"/>
  <c r="D912" i="1" s="1"/>
  <c r="X912" i="1" s="1"/>
  <c r="C911" i="1"/>
  <c r="V910" i="1"/>
  <c r="C910" i="1"/>
  <c r="D910" i="1" s="1"/>
  <c r="X910" i="1" s="1"/>
  <c r="C909" i="1"/>
  <c r="C908" i="1"/>
  <c r="C907" i="1"/>
  <c r="V906" i="1"/>
  <c r="C906" i="1"/>
  <c r="D906" i="1" s="1"/>
  <c r="X906" i="1" s="1"/>
  <c r="C905" i="1"/>
  <c r="C904" i="1"/>
  <c r="D904" i="1" s="1"/>
  <c r="X904" i="1" s="1"/>
  <c r="C903" i="1"/>
  <c r="C902" i="1"/>
  <c r="C901" i="1"/>
  <c r="V900" i="1"/>
  <c r="C900" i="1"/>
  <c r="D900" i="1" s="1"/>
  <c r="X900" i="1" s="1"/>
  <c r="C899" i="1"/>
  <c r="C898" i="1"/>
  <c r="C897" i="1"/>
  <c r="C896" i="1"/>
  <c r="D896" i="1" s="1"/>
  <c r="X896" i="1" s="1"/>
  <c r="C895" i="1"/>
  <c r="V894" i="1"/>
  <c r="C894" i="1"/>
  <c r="D894" i="1" s="1"/>
  <c r="X894" i="1" s="1"/>
  <c r="C893" i="1"/>
  <c r="C892" i="1"/>
  <c r="C891" i="1"/>
  <c r="V890" i="1"/>
  <c r="C890" i="1"/>
  <c r="D890" i="1" s="1"/>
  <c r="X890" i="1" s="1"/>
  <c r="C889" i="1"/>
  <c r="C888" i="1"/>
  <c r="D888" i="1" s="1"/>
  <c r="X888" i="1" s="1"/>
  <c r="C887" i="1"/>
  <c r="C886" i="1"/>
  <c r="C885" i="1"/>
  <c r="V884" i="1"/>
  <c r="C884" i="1"/>
  <c r="D884" i="1" s="1"/>
  <c r="X884" i="1" s="1"/>
  <c r="C883" i="1"/>
  <c r="C882" i="1"/>
  <c r="C881" i="1"/>
  <c r="C880" i="1"/>
  <c r="D880" i="1" s="1"/>
  <c r="X880" i="1" s="1"/>
  <c r="C879" i="1"/>
  <c r="V878" i="1"/>
  <c r="C878" i="1"/>
  <c r="D878" i="1" s="1"/>
  <c r="X878" i="1" s="1"/>
  <c r="C877" i="1"/>
  <c r="C876" i="1"/>
  <c r="C875" i="1"/>
  <c r="V874" i="1"/>
  <c r="C874" i="1"/>
  <c r="D874" i="1" s="1"/>
  <c r="X874" i="1" s="1"/>
  <c r="C873" i="1"/>
  <c r="C872" i="1"/>
  <c r="D872" i="1" s="1"/>
  <c r="X872" i="1" s="1"/>
  <c r="C871" i="1"/>
  <c r="C870" i="1"/>
  <c r="C869" i="1"/>
  <c r="V868" i="1"/>
  <c r="C868" i="1"/>
  <c r="D868" i="1" s="1"/>
  <c r="X868" i="1" s="1"/>
  <c r="C867" i="1"/>
  <c r="C866" i="1"/>
  <c r="C865" i="1"/>
  <c r="C864" i="1"/>
  <c r="D864" i="1" s="1"/>
  <c r="X864" i="1" s="1"/>
  <c r="C863" i="1"/>
  <c r="V862" i="1"/>
  <c r="C862" i="1"/>
  <c r="D862" i="1" s="1"/>
  <c r="X862" i="1" s="1"/>
  <c r="C861" i="1"/>
  <c r="C860" i="1"/>
  <c r="C859" i="1"/>
  <c r="V858" i="1"/>
  <c r="C858" i="1"/>
  <c r="D858" i="1" s="1"/>
  <c r="X858" i="1" s="1"/>
  <c r="C857" i="1"/>
  <c r="C856" i="1"/>
  <c r="D856" i="1" s="1"/>
  <c r="X856" i="1" s="1"/>
  <c r="C855" i="1"/>
  <c r="C854" i="1"/>
  <c r="C853" i="1"/>
  <c r="V852" i="1"/>
  <c r="C852" i="1"/>
  <c r="D852" i="1" s="1"/>
  <c r="X852" i="1" s="1"/>
  <c r="C851" i="1"/>
  <c r="C850" i="1"/>
  <c r="C849" i="1"/>
  <c r="C848" i="1"/>
  <c r="D848" i="1" s="1"/>
  <c r="X848" i="1" s="1"/>
  <c r="C847" i="1"/>
  <c r="V846" i="1"/>
  <c r="C846" i="1"/>
  <c r="D846" i="1" s="1"/>
  <c r="X846" i="1" s="1"/>
  <c r="C845" i="1"/>
  <c r="C844" i="1"/>
  <c r="C843" i="1"/>
  <c r="V842" i="1"/>
  <c r="C842" i="1"/>
  <c r="D842" i="1" s="1"/>
  <c r="X842" i="1" s="1"/>
  <c r="C841" i="1"/>
  <c r="C840" i="1"/>
  <c r="D840" i="1" s="1"/>
  <c r="X840" i="1" s="1"/>
  <c r="C839" i="1"/>
  <c r="C838" i="1"/>
  <c r="C837" i="1"/>
  <c r="V836" i="1"/>
  <c r="C836" i="1"/>
  <c r="D836" i="1" s="1"/>
  <c r="X836" i="1" s="1"/>
  <c r="C835" i="1"/>
  <c r="C834" i="1"/>
  <c r="C833" i="1"/>
  <c r="C832" i="1"/>
  <c r="D832" i="1" s="1"/>
  <c r="X832" i="1" s="1"/>
  <c r="C831" i="1"/>
  <c r="V830" i="1"/>
  <c r="C830" i="1"/>
  <c r="D830" i="1" s="1"/>
  <c r="X830" i="1" s="1"/>
  <c r="C829" i="1"/>
  <c r="C828" i="1"/>
  <c r="C827" i="1"/>
  <c r="V826" i="1"/>
  <c r="C826" i="1"/>
  <c r="D826" i="1" s="1"/>
  <c r="X826" i="1" s="1"/>
  <c r="C825" i="1"/>
  <c r="C824" i="1"/>
  <c r="D824" i="1" s="1"/>
  <c r="X824" i="1" s="1"/>
  <c r="C823" i="1"/>
  <c r="C822" i="1"/>
  <c r="C821" i="1"/>
  <c r="V820" i="1"/>
  <c r="C820" i="1"/>
  <c r="D820" i="1" s="1"/>
  <c r="X820" i="1" s="1"/>
  <c r="C819" i="1"/>
  <c r="C818" i="1"/>
  <c r="C817" i="1"/>
  <c r="C816" i="1"/>
  <c r="D816" i="1" s="1"/>
  <c r="X816" i="1" s="1"/>
  <c r="C815" i="1"/>
  <c r="V814" i="1"/>
  <c r="C814" i="1"/>
  <c r="D814" i="1" s="1"/>
  <c r="X814" i="1" s="1"/>
  <c r="C813" i="1"/>
  <c r="C812" i="1"/>
  <c r="D812" i="1" s="1"/>
  <c r="X812" i="1" s="1"/>
  <c r="C811" i="1"/>
  <c r="C810" i="1"/>
  <c r="C809" i="1"/>
  <c r="C808" i="1"/>
  <c r="D808" i="1" s="1"/>
  <c r="X808" i="1" s="1"/>
  <c r="C807" i="1"/>
  <c r="V806" i="1"/>
  <c r="C806" i="1"/>
  <c r="D806" i="1" s="1"/>
  <c r="X806" i="1" s="1"/>
  <c r="C805" i="1"/>
  <c r="C804" i="1"/>
  <c r="D804" i="1" s="1"/>
  <c r="X804" i="1" s="1"/>
  <c r="C803" i="1"/>
  <c r="C802" i="1"/>
  <c r="C801" i="1"/>
  <c r="C800" i="1"/>
  <c r="D800" i="1" s="1"/>
  <c r="X800" i="1" s="1"/>
  <c r="C799" i="1"/>
  <c r="V798" i="1"/>
  <c r="C798" i="1"/>
  <c r="D798" i="1" s="1"/>
  <c r="X798" i="1" s="1"/>
  <c r="C797" i="1"/>
  <c r="C796" i="1"/>
  <c r="D796" i="1" s="1"/>
  <c r="X796" i="1" s="1"/>
  <c r="C795" i="1"/>
  <c r="C794" i="1"/>
  <c r="C793" i="1"/>
  <c r="C792" i="1"/>
  <c r="D792" i="1" s="1"/>
  <c r="X792" i="1" s="1"/>
  <c r="C791" i="1"/>
  <c r="V790" i="1"/>
  <c r="C790" i="1"/>
  <c r="D790" i="1" s="1"/>
  <c r="X790" i="1" s="1"/>
  <c r="C789" i="1"/>
  <c r="C788" i="1"/>
  <c r="D788" i="1" s="1"/>
  <c r="X788" i="1" s="1"/>
  <c r="C787" i="1"/>
  <c r="C786" i="1"/>
  <c r="C785" i="1"/>
  <c r="C784" i="1"/>
  <c r="D784" i="1" s="1"/>
  <c r="X784" i="1" s="1"/>
  <c r="C783" i="1"/>
  <c r="V782" i="1"/>
  <c r="C782" i="1"/>
  <c r="D782" i="1" s="1"/>
  <c r="X782" i="1" s="1"/>
  <c r="C781" i="1"/>
  <c r="C780" i="1"/>
  <c r="D780" i="1" s="1"/>
  <c r="X780" i="1" s="1"/>
  <c r="C779" i="1"/>
  <c r="C778" i="1"/>
  <c r="C777" i="1"/>
  <c r="C776" i="1"/>
  <c r="D776" i="1" s="1"/>
  <c r="X776" i="1" s="1"/>
  <c r="C775" i="1"/>
  <c r="C774" i="1"/>
  <c r="D774" i="1" s="1"/>
  <c r="X774" i="1" s="1"/>
  <c r="C773" i="1"/>
  <c r="C772" i="1"/>
  <c r="D772" i="1" s="1"/>
  <c r="X772" i="1" s="1"/>
  <c r="C771" i="1"/>
  <c r="C770" i="1"/>
  <c r="D770" i="1" s="1"/>
  <c r="X770" i="1" s="1"/>
  <c r="C769" i="1"/>
  <c r="C768" i="1"/>
  <c r="D768" i="1" s="1"/>
  <c r="X768" i="1" s="1"/>
  <c r="C767" i="1"/>
  <c r="V766" i="1"/>
  <c r="C766" i="1"/>
  <c r="D766" i="1" s="1"/>
  <c r="X766" i="1" s="1"/>
  <c r="C765" i="1"/>
  <c r="C764" i="1"/>
  <c r="D764" i="1" s="1"/>
  <c r="X764" i="1" s="1"/>
  <c r="C763" i="1"/>
  <c r="C762" i="1"/>
  <c r="C761" i="1"/>
  <c r="C760" i="1"/>
  <c r="D760" i="1" s="1"/>
  <c r="X760" i="1" s="1"/>
  <c r="C759" i="1"/>
  <c r="C758" i="1"/>
  <c r="D758" i="1" s="1"/>
  <c r="X758" i="1" s="1"/>
  <c r="C757" i="1"/>
  <c r="C756" i="1"/>
  <c r="D756" i="1" s="1"/>
  <c r="X756" i="1" s="1"/>
  <c r="C755" i="1"/>
  <c r="C754" i="1"/>
  <c r="D754" i="1" s="1"/>
  <c r="X754" i="1" s="1"/>
  <c r="C753" i="1"/>
  <c r="C752" i="1"/>
  <c r="D752" i="1" s="1"/>
  <c r="X752" i="1" s="1"/>
  <c r="C751" i="1"/>
  <c r="V750" i="1"/>
  <c r="C750" i="1"/>
  <c r="D750" i="1" s="1"/>
  <c r="X750" i="1" s="1"/>
  <c r="C749" i="1"/>
  <c r="C748" i="1"/>
  <c r="D748" i="1" s="1"/>
  <c r="X748" i="1" s="1"/>
  <c r="C747" i="1"/>
  <c r="C746" i="1"/>
  <c r="C745" i="1"/>
  <c r="C744" i="1"/>
  <c r="D744" i="1" s="1"/>
  <c r="X744" i="1" s="1"/>
  <c r="C743" i="1"/>
  <c r="V742" i="1"/>
  <c r="C742" i="1"/>
  <c r="D742" i="1" s="1"/>
  <c r="X742" i="1" s="1"/>
  <c r="C741" i="1"/>
  <c r="C740" i="1"/>
  <c r="D740" i="1" s="1"/>
  <c r="X740" i="1" s="1"/>
  <c r="C739" i="1"/>
  <c r="C738" i="1"/>
  <c r="D738" i="1" s="1"/>
  <c r="X738" i="1" s="1"/>
  <c r="C737" i="1"/>
  <c r="C736" i="1"/>
  <c r="D736" i="1" s="1"/>
  <c r="X736" i="1" s="1"/>
  <c r="C735" i="1"/>
  <c r="V734" i="1"/>
  <c r="C734" i="1"/>
  <c r="D734" i="1" s="1"/>
  <c r="X734" i="1" s="1"/>
  <c r="C733" i="1"/>
  <c r="C732" i="1"/>
  <c r="D732" i="1" s="1"/>
  <c r="X732" i="1" s="1"/>
  <c r="C731" i="1"/>
  <c r="C730" i="1"/>
  <c r="C729" i="1"/>
  <c r="C728" i="1"/>
  <c r="D728" i="1" s="1"/>
  <c r="X728" i="1" s="1"/>
  <c r="C727" i="1"/>
  <c r="C726" i="1"/>
  <c r="D726" i="1" s="1"/>
  <c r="X726" i="1" s="1"/>
  <c r="C725" i="1"/>
  <c r="C724" i="1"/>
  <c r="D724" i="1" s="1"/>
  <c r="X724" i="1" s="1"/>
  <c r="C723" i="1"/>
  <c r="V722" i="1"/>
  <c r="C722" i="1"/>
  <c r="D722" i="1" s="1"/>
  <c r="X722" i="1" s="1"/>
  <c r="C721" i="1"/>
  <c r="C720" i="1"/>
  <c r="D720" i="1" s="1"/>
  <c r="X720" i="1" s="1"/>
  <c r="C719" i="1"/>
  <c r="V718" i="1"/>
  <c r="C718" i="1"/>
  <c r="D718" i="1" s="1"/>
  <c r="X718" i="1" s="1"/>
  <c r="C717" i="1"/>
  <c r="C716" i="1"/>
  <c r="D716" i="1" s="1"/>
  <c r="X716" i="1" s="1"/>
  <c r="C715" i="1"/>
  <c r="C714" i="1"/>
  <c r="C713" i="1"/>
  <c r="C712" i="1"/>
  <c r="D712" i="1" s="1"/>
  <c r="X712" i="1" s="1"/>
  <c r="C711" i="1"/>
  <c r="C710" i="1"/>
  <c r="D710" i="1" s="1"/>
  <c r="X710" i="1" s="1"/>
  <c r="C709" i="1"/>
  <c r="C708" i="1"/>
  <c r="D708" i="1" s="1"/>
  <c r="X708" i="1" s="1"/>
  <c r="C707" i="1"/>
  <c r="C706" i="1"/>
  <c r="D706" i="1" s="1"/>
  <c r="X706" i="1" s="1"/>
  <c r="C705" i="1"/>
  <c r="C704" i="1"/>
  <c r="D704" i="1" s="1"/>
  <c r="X704" i="1" s="1"/>
  <c r="C703" i="1"/>
  <c r="V702" i="1"/>
  <c r="C702" i="1"/>
  <c r="D702" i="1" s="1"/>
  <c r="X702" i="1" s="1"/>
  <c r="C701" i="1"/>
  <c r="C700" i="1"/>
  <c r="D700" i="1" s="1"/>
  <c r="X700" i="1" s="1"/>
  <c r="C699" i="1"/>
  <c r="C698" i="1"/>
  <c r="C697" i="1"/>
  <c r="C696" i="1"/>
  <c r="D696" i="1" s="1"/>
  <c r="X696" i="1" s="1"/>
  <c r="C695" i="1"/>
  <c r="C694" i="1"/>
  <c r="D694" i="1" s="1"/>
  <c r="X694" i="1" s="1"/>
  <c r="C693" i="1"/>
  <c r="C692" i="1"/>
  <c r="D692" i="1" s="1"/>
  <c r="X692" i="1" s="1"/>
  <c r="C691" i="1"/>
  <c r="C690" i="1"/>
  <c r="D690" i="1" s="1"/>
  <c r="X690" i="1" s="1"/>
  <c r="C689" i="1"/>
  <c r="C688" i="1"/>
  <c r="D688" i="1" s="1"/>
  <c r="X688" i="1" s="1"/>
  <c r="C687" i="1"/>
  <c r="V686" i="1"/>
  <c r="C686" i="1"/>
  <c r="D686" i="1" s="1"/>
  <c r="X686" i="1" s="1"/>
  <c r="C685" i="1"/>
  <c r="C684" i="1"/>
  <c r="D684" i="1" s="1"/>
  <c r="X684" i="1" s="1"/>
  <c r="C683" i="1"/>
  <c r="C682" i="1"/>
  <c r="C681" i="1"/>
  <c r="C680" i="1"/>
  <c r="D680" i="1" s="1"/>
  <c r="X680" i="1" s="1"/>
  <c r="C679" i="1"/>
  <c r="V678" i="1"/>
  <c r="C678" i="1"/>
  <c r="D678" i="1" s="1"/>
  <c r="X678" i="1" s="1"/>
  <c r="C677" i="1"/>
  <c r="C676" i="1"/>
  <c r="D676" i="1" s="1"/>
  <c r="X676" i="1" s="1"/>
  <c r="C675" i="1"/>
  <c r="C674" i="1"/>
  <c r="D674" i="1" s="1"/>
  <c r="X674" i="1" s="1"/>
  <c r="C673" i="1"/>
  <c r="C672" i="1"/>
  <c r="D672" i="1" s="1"/>
  <c r="X672" i="1" s="1"/>
  <c r="C671" i="1"/>
  <c r="V670" i="1"/>
  <c r="C670" i="1"/>
  <c r="D670" i="1" s="1"/>
  <c r="X670" i="1" s="1"/>
  <c r="C669" i="1"/>
  <c r="C668" i="1"/>
  <c r="D668" i="1" s="1"/>
  <c r="X668" i="1" s="1"/>
  <c r="C667" i="1"/>
  <c r="C666" i="1"/>
  <c r="C665" i="1"/>
  <c r="C664" i="1"/>
  <c r="D664" i="1" s="1"/>
  <c r="X664" i="1" s="1"/>
  <c r="C663" i="1"/>
  <c r="C662" i="1"/>
  <c r="D662" i="1" s="1"/>
  <c r="X662" i="1" s="1"/>
  <c r="C661" i="1"/>
  <c r="C660" i="1"/>
  <c r="D660" i="1" s="1"/>
  <c r="X660" i="1" s="1"/>
  <c r="C659" i="1"/>
  <c r="V658" i="1"/>
  <c r="C658" i="1"/>
  <c r="D658" i="1" s="1"/>
  <c r="X658" i="1" s="1"/>
  <c r="C657" i="1"/>
  <c r="C656" i="1"/>
  <c r="D656" i="1" s="1"/>
  <c r="X656" i="1" s="1"/>
  <c r="C655" i="1"/>
  <c r="V654" i="1"/>
  <c r="C654" i="1"/>
  <c r="D654" i="1" s="1"/>
  <c r="X654" i="1" s="1"/>
  <c r="C653" i="1"/>
  <c r="C652" i="1"/>
  <c r="D652" i="1" s="1"/>
  <c r="X652" i="1" s="1"/>
  <c r="C651" i="1"/>
  <c r="C650" i="1"/>
  <c r="C649" i="1"/>
  <c r="C648" i="1"/>
  <c r="D648" i="1" s="1"/>
  <c r="X648" i="1" s="1"/>
  <c r="C647" i="1"/>
  <c r="C646" i="1"/>
  <c r="D646" i="1" s="1"/>
  <c r="X646" i="1" s="1"/>
  <c r="C645" i="1"/>
  <c r="C644" i="1"/>
  <c r="D644" i="1" s="1"/>
  <c r="X644" i="1" s="1"/>
  <c r="C643" i="1"/>
  <c r="C642" i="1"/>
  <c r="D642" i="1" s="1"/>
  <c r="X642" i="1" s="1"/>
  <c r="C641" i="1"/>
  <c r="C640" i="1"/>
  <c r="D640" i="1" s="1"/>
  <c r="X640" i="1" s="1"/>
  <c r="C639" i="1"/>
  <c r="V638" i="1"/>
  <c r="C638" i="1"/>
  <c r="D638" i="1" s="1"/>
  <c r="X638" i="1" s="1"/>
  <c r="C637" i="1"/>
  <c r="C636" i="1"/>
  <c r="D636" i="1" s="1"/>
  <c r="X636" i="1" s="1"/>
  <c r="C635" i="1"/>
  <c r="C634" i="1"/>
  <c r="C633" i="1"/>
  <c r="C632" i="1"/>
  <c r="D632" i="1" s="1"/>
  <c r="X632" i="1" s="1"/>
  <c r="C631" i="1"/>
  <c r="C630" i="1"/>
  <c r="D630" i="1" s="1"/>
  <c r="X630" i="1" s="1"/>
  <c r="C629" i="1"/>
  <c r="C628" i="1"/>
  <c r="D628" i="1" s="1"/>
  <c r="X628" i="1" s="1"/>
  <c r="C627" i="1"/>
  <c r="C626" i="1"/>
  <c r="D626" i="1" s="1"/>
  <c r="X626" i="1" s="1"/>
  <c r="C625" i="1"/>
  <c r="C624" i="1"/>
  <c r="D624" i="1" s="1"/>
  <c r="X624" i="1" s="1"/>
  <c r="C623" i="1"/>
  <c r="V622" i="1"/>
  <c r="C622" i="1"/>
  <c r="D622" i="1" s="1"/>
  <c r="X622" i="1" s="1"/>
  <c r="C621" i="1"/>
  <c r="C620" i="1"/>
  <c r="D620" i="1" s="1"/>
  <c r="X620" i="1" s="1"/>
  <c r="C619" i="1"/>
  <c r="C618" i="1"/>
  <c r="C617" i="1"/>
  <c r="C616" i="1"/>
  <c r="D616" i="1" s="1"/>
  <c r="X616" i="1" s="1"/>
  <c r="C615" i="1"/>
  <c r="V614" i="1"/>
  <c r="C614" i="1"/>
  <c r="D614" i="1" s="1"/>
  <c r="X614" i="1" s="1"/>
  <c r="C613" i="1"/>
  <c r="C612" i="1"/>
  <c r="D612" i="1" s="1"/>
  <c r="X612" i="1" s="1"/>
  <c r="C611" i="1"/>
  <c r="C610" i="1"/>
  <c r="D610" i="1" s="1"/>
  <c r="X610" i="1" s="1"/>
  <c r="C609" i="1"/>
  <c r="C608" i="1"/>
  <c r="D608" i="1" s="1"/>
  <c r="X608" i="1" s="1"/>
  <c r="C607" i="1"/>
  <c r="V606" i="1"/>
  <c r="C606" i="1"/>
  <c r="D606" i="1" s="1"/>
  <c r="X606" i="1" s="1"/>
  <c r="C605" i="1"/>
  <c r="C604" i="1"/>
  <c r="D604" i="1" s="1"/>
  <c r="X604" i="1" s="1"/>
  <c r="C603" i="1"/>
  <c r="C602" i="1"/>
  <c r="D602" i="1" s="1"/>
  <c r="X602" i="1" s="1"/>
  <c r="C601" i="1"/>
  <c r="C600" i="1"/>
  <c r="D600" i="1" s="1"/>
  <c r="X600" i="1" s="1"/>
  <c r="C599" i="1"/>
  <c r="V598" i="1"/>
  <c r="C598" i="1"/>
  <c r="D598" i="1" s="1"/>
  <c r="X598" i="1" s="1"/>
  <c r="C597" i="1"/>
  <c r="C596" i="1"/>
  <c r="D596" i="1" s="1"/>
  <c r="X596" i="1" s="1"/>
  <c r="C595" i="1"/>
  <c r="C594" i="1"/>
  <c r="D594" i="1" s="1"/>
  <c r="X594" i="1" s="1"/>
  <c r="C593" i="1"/>
  <c r="C592" i="1"/>
  <c r="D592" i="1" s="1"/>
  <c r="X592" i="1" s="1"/>
  <c r="C591" i="1"/>
  <c r="V590" i="1"/>
  <c r="C590" i="1"/>
  <c r="D590" i="1" s="1"/>
  <c r="X590" i="1" s="1"/>
  <c r="C589" i="1"/>
  <c r="C588" i="1"/>
  <c r="D588" i="1" s="1"/>
  <c r="X588" i="1" s="1"/>
  <c r="C587" i="1"/>
  <c r="C586" i="1"/>
  <c r="D586" i="1" s="1"/>
  <c r="X586" i="1" s="1"/>
  <c r="C585" i="1"/>
  <c r="C584" i="1"/>
  <c r="D584" i="1" s="1"/>
  <c r="X584" i="1" s="1"/>
  <c r="C583" i="1"/>
  <c r="V582" i="1"/>
  <c r="C582" i="1"/>
  <c r="D582" i="1" s="1"/>
  <c r="X582" i="1" s="1"/>
  <c r="C581" i="1"/>
  <c r="C580" i="1"/>
  <c r="D580" i="1" s="1"/>
  <c r="X580" i="1" s="1"/>
  <c r="C579" i="1"/>
  <c r="C578" i="1"/>
  <c r="D578" i="1" s="1"/>
  <c r="X578" i="1" s="1"/>
  <c r="C577" i="1"/>
  <c r="C576" i="1"/>
  <c r="D576" i="1" s="1"/>
  <c r="X576" i="1" s="1"/>
  <c r="C575" i="1"/>
  <c r="V574" i="1"/>
  <c r="C574" i="1"/>
  <c r="D574" i="1" s="1"/>
  <c r="X574" i="1" s="1"/>
  <c r="C573" i="1"/>
  <c r="C572" i="1"/>
  <c r="D572" i="1" s="1"/>
  <c r="X572" i="1" s="1"/>
  <c r="C571" i="1"/>
  <c r="C570" i="1"/>
  <c r="D570" i="1" s="1"/>
  <c r="X570" i="1" s="1"/>
  <c r="C569" i="1"/>
  <c r="C568" i="1"/>
  <c r="D568" i="1" s="1"/>
  <c r="X568" i="1" s="1"/>
  <c r="C567" i="1"/>
  <c r="V566" i="1"/>
  <c r="C566" i="1"/>
  <c r="D566" i="1" s="1"/>
  <c r="X566" i="1" s="1"/>
  <c r="C565" i="1"/>
  <c r="C564" i="1"/>
  <c r="D564" i="1" s="1"/>
  <c r="X564" i="1" s="1"/>
  <c r="C563" i="1"/>
  <c r="C562" i="1"/>
  <c r="D562" i="1" s="1"/>
  <c r="X562" i="1" s="1"/>
  <c r="C561" i="1"/>
  <c r="C560" i="1"/>
  <c r="D560" i="1" s="1"/>
  <c r="X560" i="1" s="1"/>
  <c r="C559" i="1"/>
  <c r="V558" i="1"/>
  <c r="C558" i="1"/>
  <c r="D558" i="1" s="1"/>
  <c r="X558" i="1" s="1"/>
  <c r="C557" i="1"/>
  <c r="C556" i="1"/>
  <c r="D556" i="1" s="1"/>
  <c r="X556" i="1" s="1"/>
  <c r="C555" i="1"/>
  <c r="C554" i="1"/>
  <c r="D554" i="1" s="1"/>
  <c r="X554" i="1" s="1"/>
  <c r="C553" i="1"/>
  <c r="C552" i="1"/>
  <c r="D552" i="1" s="1"/>
  <c r="X552" i="1" s="1"/>
  <c r="C551" i="1"/>
  <c r="V550" i="1"/>
  <c r="C550" i="1"/>
  <c r="D550" i="1" s="1"/>
  <c r="X550" i="1" s="1"/>
  <c r="C549" i="1"/>
  <c r="C548" i="1"/>
  <c r="D548" i="1" s="1"/>
  <c r="X548" i="1" s="1"/>
  <c r="C547" i="1"/>
  <c r="C546" i="1"/>
  <c r="D546" i="1" s="1"/>
  <c r="X546" i="1" s="1"/>
  <c r="C545" i="1"/>
  <c r="C544" i="1"/>
  <c r="D544" i="1" s="1"/>
  <c r="X544" i="1" s="1"/>
  <c r="C543" i="1"/>
  <c r="V542" i="1"/>
  <c r="C542" i="1"/>
  <c r="D542" i="1" s="1"/>
  <c r="X542" i="1" s="1"/>
  <c r="C541" i="1"/>
  <c r="C540" i="1"/>
  <c r="D540" i="1" s="1"/>
  <c r="X540" i="1" s="1"/>
  <c r="C539" i="1"/>
  <c r="C538" i="1"/>
  <c r="D538" i="1" s="1"/>
  <c r="X538" i="1" s="1"/>
  <c r="C537" i="1"/>
  <c r="C536" i="1"/>
  <c r="D536" i="1" s="1"/>
  <c r="X536" i="1" s="1"/>
  <c r="C535" i="1"/>
  <c r="V534" i="1"/>
  <c r="C534" i="1"/>
  <c r="D534" i="1" s="1"/>
  <c r="X534" i="1" s="1"/>
  <c r="C533" i="1"/>
  <c r="C532" i="1"/>
  <c r="D532" i="1" s="1"/>
  <c r="X532" i="1" s="1"/>
  <c r="C531" i="1"/>
  <c r="C530" i="1"/>
  <c r="D530" i="1" s="1"/>
  <c r="X530" i="1" s="1"/>
  <c r="C529" i="1"/>
  <c r="C528" i="1"/>
  <c r="D528" i="1" s="1"/>
  <c r="X528" i="1" s="1"/>
  <c r="C527" i="1"/>
  <c r="V526" i="1"/>
  <c r="C526" i="1"/>
  <c r="D526" i="1" s="1"/>
  <c r="X526" i="1" s="1"/>
  <c r="C525" i="1"/>
  <c r="C524" i="1"/>
  <c r="D524" i="1" s="1"/>
  <c r="X524" i="1" s="1"/>
  <c r="C523" i="1"/>
  <c r="C522" i="1"/>
  <c r="D522" i="1" s="1"/>
  <c r="X522" i="1" s="1"/>
  <c r="C521" i="1"/>
  <c r="C520" i="1"/>
  <c r="D520" i="1" s="1"/>
  <c r="X520" i="1" s="1"/>
  <c r="C519" i="1"/>
  <c r="V518" i="1"/>
  <c r="C518" i="1"/>
  <c r="D518" i="1" s="1"/>
  <c r="X518" i="1" s="1"/>
  <c r="C517" i="1"/>
  <c r="C516" i="1"/>
  <c r="D516" i="1" s="1"/>
  <c r="X516" i="1" s="1"/>
  <c r="C515" i="1"/>
  <c r="C514" i="1"/>
  <c r="D514" i="1" s="1"/>
  <c r="X514" i="1" s="1"/>
  <c r="C513" i="1"/>
  <c r="C512" i="1"/>
  <c r="D512" i="1" s="1"/>
  <c r="X512" i="1" s="1"/>
  <c r="C511" i="1"/>
  <c r="V510" i="1"/>
  <c r="C510" i="1"/>
  <c r="D510" i="1" s="1"/>
  <c r="X510" i="1" s="1"/>
  <c r="C509" i="1"/>
  <c r="C508" i="1"/>
  <c r="D508" i="1" s="1"/>
  <c r="X508" i="1" s="1"/>
  <c r="C507" i="1"/>
  <c r="C506" i="1"/>
  <c r="D506" i="1" s="1"/>
  <c r="X506" i="1" s="1"/>
  <c r="C505" i="1"/>
  <c r="C504" i="1"/>
  <c r="D504" i="1" s="1"/>
  <c r="X504" i="1" s="1"/>
  <c r="C503" i="1"/>
  <c r="V502" i="1"/>
  <c r="C502" i="1"/>
  <c r="D502" i="1" s="1"/>
  <c r="X502" i="1" s="1"/>
  <c r="C501" i="1"/>
  <c r="C500" i="1"/>
  <c r="D500" i="1" s="1"/>
  <c r="X500" i="1" s="1"/>
  <c r="C499" i="1"/>
  <c r="C498" i="1"/>
  <c r="D498" i="1" s="1"/>
  <c r="X498" i="1" s="1"/>
  <c r="C497" i="1"/>
  <c r="C496" i="1"/>
  <c r="D496" i="1" s="1"/>
  <c r="X496" i="1" s="1"/>
  <c r="C495" i="1"/>
  <c r="V494" i="1"/>
  <c r="C494" i="1"/>
  <c r="D494" i="1" s="1"/>
  <c r="X494" i="1" s="1"/>
  <c r="C493" i="1"/>
  <c r="C492" i="1"/>
  <c r="D492" i="1" s="1"/>
  <c r="X492" i="1" s="1"/>
  <c r="C491" i="1"/>
  <c r="C490" i="1"/>
  <c r="D490" i="1" s="1"/>
  <c r="X490" i="1" s="1"/>
  <c r="C489" i="1"/>
  <c r="C488" i="1"/>
  <c r="D488" i="1" s="1"/>
  <c r="X488" i="1" s="1"/>
  <c r="C487" i="1"/>
  <c r="V486" i="1"/>
  <c r="C486" i="1"/>
  <c r="D486" i="1" s="1"/>
  <c r="X486" i="1" s="1"/>
  <c r="C485" i="1"/>
  <c r="C484" i="1"/>
  <c r="D484" i="1" s="1"/>
  <c r="X484" i="1" s="1"/>
  <c r="C483" i="1"/>
  <c r="C482" i="1"/>
  <c r="D482" i="1" s="1"/>
  <c r="X482" i="1" s="1"/>
  <c r="C481" i="1"/>
  <c r="C480" i="1"/>
  <c r="D480" i="1" s="1"/>
  <c r="X480" i="1" s="1"/>
  <c r="C479" i="1"/>
  <c r="V478" i="1"/>
  <c r="C478" i="1"/>
  <c r="D478" i="1" s="1"/>
  <c r="X478" i="1" s="1"/>
  <c r="C477" i="1"/>
  <c r="C476" i="1"/>
  <c r="D476" i="1" s="1"/>
  <c r="X476" i="1" s="1"/>
  <c r="C475" i="1"/>
  <c r="C474" i="1"/>
  <c r="D474" i="1" s="1"/>
  <c r="X474" i="1" s="1"/>
  <c r="C473" i="1"/>
  <c r="C472" i="1"/>
  <c r="D472" i="1" s="1"/>
  <c r="X472" i="1" s="1"/>
  <c r="C471" i="1"/>
  <c r="V470" i="1"/>
  <c r="C470" i="1"/>
  <c r="D470" i="1" s="1"/>
  <c r="X470" i="1" s="1"/>
  <c r="C469" i="1"/>
  <c r="C468" i="1"/>
  <c r="D468" i="1" s="1"/>
  <c r="X468" i="1" s="1"/>
  <c r="C467" i="1"/>
  <c r="C466" i="1"/>
  <c r="D466" i="1" s="1"/>
  <c r="X466" i="1" s="1"/>
  <c r="C465" i="1"/>
  <c r="C464" i="1"/>
  <c r="D464" i="1" s="1"/>
  <c r="X464" i="1" s="1"/>
  <c r="C463" i="1"/>
  <c r="V462" i="1"/>
  <c r="C462" i="1"/>
  <c r="D462" i="1" s="1"/>
  <c r="X462" i="1" s="1"/>
  <c r="C461" i="1"/>
  <c r="C460" i="1"/>
  <c r="D460" i="1" s="1"/>
  <c r="X460" i="1" s="1"/>
  <c r="C459" i="1"/>
  <c r="C458" i="1"/>
  <c r="D458" i="1" s="1"/>
  <c r="X458" i="1" s="1"/>
  <c r="C457" i="1"/>
  <c r="C456" i="1"/>
  <c r="D456" i="1" s="1"/>
  <c r="X456" i="1" s="1"/>
  <c r="C455" i="1"/>
  <c r="V454" i="1"/>
  <c r="C454" i="1"/>
  <c r="D454" i="1" s="1"/>
  <c r="X454" i="1" s="1"/>
  <c r="C453" i="1"/>
  <c r="C452" i="1"/>
  <c r="D452" i="1" s="1"/>
  <c r="X452" i="1" s="1"/>
  <c r="C451" i="1"/>
  <c r="C450" i="1"/>
  <c r="D450" i="1" s="1"/>
  <c r="X450" i="1" s="1"/>
  <c r="C449" i="1"/>
  <c r="C448" i="1"/>
  <c r="D448" i="1" s="1"/>
  <c r="X448" i="1" s="1"/>
  <c r="C447" i="1"/>
  <c r="V446" i="1"/>
  <c r="C446" i="1"/>
  <c r="D446" i="1" s="1"/>
  <c r="X446" i="1" s="1"/>
  <c r="C445" i="1"/>
  <c r="C444" i="1"/>
  <c r="D444" i="1" s="1"/>
  <c r="X444" i="1" s="1"/>
  <c r="C443" i="1"/>
  <c r="C442" i="1"/>
  <c r="D442" i="1" s="1"/>
  <c r="X442" i="1" s="1"/>
  <c r="C441" i="1"/>
  <c r="C440" i="1"/>
  <c r="D440" i="1" s="1"/>
  <c r="X440" i="1" s="1"/>
  <c r="C439" i="1"/>
  <c r="V438" i="1"/>
  <c r="C438" i="1"/>
  <c r="D438" i="1" s="1"/>
  <c r="X438" i="1" s="1"/>
  <c r="C437" i="1"/>
  <c r="C436" i="1"/>
  <c r="D436" i="1" s="1"/>
  <c r="X436" i="1" s="1"/>
  <c r="C435" i="1"/>
  <c r="C434" i="1"/>
  <c r="D434" i="1" s="1"/>
  <c r="X434" i="1" s="1"/>
  <c r="C433" i="1"/>
  <c r="C432" i="1"/>
  <c r="D432" i="1" s="1"/>
  <c r="X432" i="1" s="1"/>
  <c r="C431" i="1"/>
  <c r="V430" i="1"/>
  <c r="C430" i="1"/>
  <c r="D430" i="1" s="1"/>
  <c r="X430" i="1" s="1"/>
  <c r="C429" i="1"/>
  <c r="C428" i="1"/>
  <c r="D428" i="1" s="1"/>
  <c r="X428" i="1" s="1"/>
  <c r="C427" i="1"/>
  <c r="C426" i="1"/>
  <c r="D426" i="1" s="1"/>
  <c r="X426" i="1" s="1"/>
  <c r="C425" i="1"/>
  <c r="C424" i="1"/>
  <c r="D424" i="1" s="1"/>
  <c r="X424" i="1" s="1"/>
  <c r="C423" i="1"/>
  <c r="V422" i="1"/>
  <c r="C422" i="1"/>
  <c r="D422" i="1" s="1"/>
  <c r="X422" i="1" s="1"/>
  <c r="C421" i="1"/>
  <c r="C420" i="1"/>
  <c r="D420" i="1" s="1"/>
  <c r="X420" i="1" s="1"/>
  <c r="C419" i="1"/>
  <c r="C418" i="1"/>
  <c r="D418" i="1" s="1"/>
  <c r="X418" i="1" s="1"/>
  <c r="C417" i="1"/>
  <c r="C416" i="1"/>
  <c r="D416" i="1" s="1"/>
  <c r="X416" i="1" s="1"/>
  <c r="C415" i="1"/>
  <c r="V414" i="1"/>
  <c r="C414" i="1"/>
  <c r="D414" i="1" s="1"/>
  <c r="X414" i="1" s="1"/>
  <c r="C413" i="1"/>
  <c r="C412" i="1"/>
  <c r="D412" i="1" s="1"/>
  <c r="X412" i="1" s="1"/>
  <c r="C411" i="1"/>
  <c r="C410" i="1"/>
  <c r="D410" i="1" s="1"/>
  <c r="X410" i="1" s="1"/>
  <c r="C409" i="1"/>
  <c r="C408" i="1"/>
  <c r="D408" i="1" s="1"/>
  <c r="X408" i="1" s="1"/>
  <c r="C407" i="1"/>
  <c r="V406" i="1"/>
  <c r="C406" i="1"/>
  <c r="D406" i="1" s="1"/>
  <c r="X406" i="1" s="1"/>
  <c r="C405" i="1"/>
  <c r="C404" i="1"/>
  <c r="D404" i="1" s="1"/>
  <c r="X404" i="1" s="1"/>
  <c r="C403" i="1"/>
  <c r="C402" i="1"/>
  <c r="D402" i="1" s="1"/>
  <c r="X402" i="1" s="1"/>
  <c r="C401" i="1"/>
  <c r="C400" i="1"/>
  <c r="D400" i="1" s="1"/>
  <c r="X400" i="1" s="1"/>
  <c r="C399" i="1"/>
  <c r="V398" i="1"/>
  <c r="C398" i="1"/>
  <c r="D398" i="1" s="1"/>
  <c r="X398" i="1" s="1"/>
  <c r="C397" i="1"/>
  <c r="C396" i="1"/>
  <c r="D396" i="1" s="1"/>
  <c r="X396" i="1" s="1"/>
  <c r="C395" i="1"/>
  <c r="C394" i="1"/>
  <c r="D394" i="1" s="1"/>
  <c r="X394" i="1" s="1"/>
  <c r="C393" i="1"/>
  <c r="C392" i="1"/>
  <c r="D392" i="1" s="1"/>
  <c r="X392" i="1" s="1"/>
  <c r="C391" i="1"/>
  <c r="C390" i="1"/>
  <c r="D390" i="1" s="1"/>
  <c r="X390" i="1" s="1"/>
  <c r="C389" i="1"/>
  <c r="C388" i="1"/>
  <c r="D388" i="1" s="1"/>
  <c r="X388" i="1" s="1"/>
  <c r="C387" i="1"/>
  <c r="C386" i="1"/>
  <c r="D386" i="1" s="1"/>
  <c r="X386" i="1" s="1"/>
  <c r="C385" i="1"/>
  <c r="C384" i="1"/>
  <c r="D384" i="1" s="1"/>
  <c r="X384" i="1" s="1"/>
  <c r="C383" i="1"/>
  <c r="V382" i="1"/>
  <c r="C382" i="1"/>
  <c r="D382" i="1" s="1"/>
  <c r="X382" i="1" s="1"/>
  <c r="C381" i="1"/>
  <c r="C380" i="1"/>
  <c r="D380" i="1" s="1"/>
  <c r="X380" i="1" s="1"/>
  <c r="C379" i="1"/>
  <c r="C378" i="1"/>
  <c r="D378" i="1" s="1"/>
  <c r="X378" i="1" s="1"/>
  <c r="C377" i="1"/>
  <c r="C376" i="1"/>
  <c r="D376" i="1" s="1"/>
  <c r="X376" i="1" s="1"/>
  <c r="C375" i="1"/>
  <c r="V374" i="1"/>
  <c r="C374" i="1"/>
  <c r="D374" i="1" s="1"/>
  <c r="X374" i="1" s="1"/>
  <c r="C373" i="1"/>
  <c r="C372" i="1"/>
  <c r="D372" i="1" s="1"/>
  <c r="X372" i="1" s="1"/>
  <c r="C371" i="1"/>
  <c r="C370" i="1"/>
  <c r="D370" i="1" s="1"/>
  <c r="X370" i="1" s="1"/>
  <c r="C369" i="1"/>
  <c r="C368" i="1"/>
  <c r="D368" i="1" s="1"/>
  <c r="X368" i="1" s="1"/>
  <c r="C367" i="1"/>
  <c r="V366" i="1"/>
  <c r="C366" i="1"/>
  <c r="D366" i="1" s="1"/>
  <c r="X366" i="1" s="1"/>
  <c r="C365" i="1"/>
  <c r="C364" i="1"/>
  <c r="D364" i="1" s="1"/>
  <c r="X364" i="1" s="1"/>
  <c r="C363" i="1"/>
  <c r="C362" i="1"/>
  <c r="D362" i="1" s="1"/>
  <c r="X362" i="1" s="1"/>
  <c r="C361" i="1"/>
  <c r="C360" i="1"/>
  <c r="D360" i="1" s="1"/>
  <c r="X360" i="1" s="1"/>
  <c r="C359" i="1"/>
  <c r="C358" i="1"/>
  <c r="D358" i="1" s="1"/>
  <c r="X358" i="1" s="1"/>
  <c r="C357" i="1"/>
  <c r="C356" i="1"/>
  <c r="D356" i="1" s="1"/>
  <c r="X356" i="1" s="1"/>
  <c r="C355" i="1"/>
  <c r="C354" i="1"/>
  <c r="D354" i="1" s="1"/>
  <c r="X354" i="1" s="1"/>
  <c r="C353" i="1"/>
  <c r="C352" i="1"/>
  <c r="D352" i="1" s="1"/>
  <c r="X352" i="1" s="1"/>
  <c r="C351" i="1"/>
  <c r="V350" i="1"/>
  <c r="C350" i="1"/>
  <c r="D350" i="1" s="1"/>
  <c r="X350" i="1" s="1"/>
  <c r="C349" i="1"/>
  <c r="C348" i="1"/>
  <c r="D348" i="1" s="1"/>
  <c r="X348" i="1" s="1"/>
  <c r="C347" i="1"/>
  <c r="C346" i="1"/>
  <c r="D346" i="1" s="1"/>
  <c r="X346" i="1" s="1"/>
  <c r="C345" i="1"/>
  <c r="C344" i="1"/>
  <c r="D344" i="1" s="1"/>
  <c r="X344" i="1" s="1"/>
  <c r="C343" i="1"/>
  <c r="V342" i="1"/>
  <c r="C342" i="1"/>
  <c r="D342" i="1" s="1"/>
  <c r="X342" i="1" s="1"/>
  <c r="C341" i="1"/>
  <c r="C340" i="1"/>
  <c r="D340" i="1" s="1"/>
  <c r="X340" i="1" s="1"/>
  <c r="C339" i="1"/>
  <c r="C338" i="1"/>
  <c r="D338" i="1" s="1"/>
  <c r="X338" i="1" s="1"/>
  <c r="C337" i="1"/>
  <c r="C336" i="1"/>
  <c r="D336" i="1" s="1"/>
  <c r="X336" i="1" s="1"/>
  <c r="C335" i="1"/>
  <c r="V334" i="1"/>
  <c r="C334" i="1"/>
  <c r="D334" i="1" s="1"/>
  <c r="X334" i="1" s="1"/>
  <c r="C333" i="1"/>
  <c r="C332" i="1"/>
  <c r="D332" i="1" s="1"/>
  <c r="X332" i="1" s="1"/>
  <c r="C331" i="1"/>
  <c r="C330" i="1"/>
  <c r="D330" i="1" s="1"/>
  <c r="X330" i="1" s="1"/>
  <c r="C329" i="1"/>
  <c r="C328" i="1"/>
  <c r="D328" i="1" s="1"/>
  <c r="X328" i="1" s="1"/>
  <c r="C327" i="1"/>
  <c r="C326" i="1"/>
  <c r="D326" i="1" s="1"/>
  <c r="X326" i="1" s="1"/>
  <c r="C325" i="1"/>
  <c r="C324" i="1"/>
  <c r="D324" i="1" s="1"/>
  <c r="X324" i="1" s="1"/>
  <c r="C323" i="1"/>
  <c r="C322" i="1"/>
  <c r="D322" i="1" s="1"/>
  <c r="X322" i="1" s="1"/>
  <c r="C321" i="1"/>
  <c r="C320" i="1"/>
  <c r="D320" i="1" s="1"/>
  <c r="X320" i="1" s="1"/>
  <c r="C319" i="1"/>
  <c r="V318" i="1"/>
  <c r="C318" i="1"/>
  <c r="D318" i="1" s="1"/>
  <c r="X318" i="1" s="1"/>
  <c r="C317" i="1"/>
  <c r="C316" i="1"/>
  <c r="D316" i="1" s="1"/>
  <c r="X316" i="1" s="1"/>
  <c r="C315" i="1"/>
  <c r="C314" i="1"/>
  <c r="D314" i="1" s="1"/>
  <c r="X314" i="1" s="1"/>
  <c r="C313" i="1"/>
  <c r="C312" i="1"/>
  <c r="D312" i="1" s="1"/>
  <c r="X312" i="1" s="1"/>
  <c r="C311" i="1"/>
  <c r="V310" i="1"/>
  <c r="C310" i="1"/>
  <c r="D310" i="1" s="1"/>
  <c r="X310" i="1" s="1"/>
  <c r="C309" i="1"/>
  <c r="C308" i="1"/>
  <c r="D308" i="1" s="1"/>
  <c r="X308" i="1" s="1"/>
  <c r="C307" i="1"/>
  <c r="C306" i="1"/>
  <c r="D306" i="1" s="1"/>
  <c r="X306" i="1" s="1"/>
  <c r="C305" i="1"/>
  <c r="C304" i="1"/>
  <c r="D304" i="1" s="1"/>
  <c r="X304" i="1" s="1"/>
  <c r="C303" i="1"/>
  <c r="V302" i="1"/>
  <c r="C302" i="1"/>
  <c r="D302" i="1" s="1"/>
  <c r="X302" i="1" s="1"/>
  <c r="C301" i="1"/>
  <c r="C300" i="1"/>
  <c r="D300" i="1" s="1"/>
  <c r="X300" i="1" s="1"/>
  <c r="C299" i="1"/>
  <c r="C298" i="1"/>
  <c r="D298" i="1" s="1"/>
  <c r="X298" i="1" s="1"/>
  <c r="C297" i="1"/>
  <c r="C296" i="1"/>
  <c r="D296" i="1" s="1"/>
  <c r="X296" i="1" s="1"/>
  <c r="C295" i="1"/>
  <c r="C294" i="1"/>
  <c r="D294" i="1" s="1"/>
  <c r="X294" i="1" s="1"/>
  <c r="C293" i="1"/>
  <c r="C292" i="1"/>
  <c r="D292" i="1" s="1"/>
  <c r="X292" i="1" s="1"/>
  <c r="C291" i="1"/>
  <c r="C290" i="1"/>
  <c r="D290" i="1" s="1"/>
  <c r="X290" i="1" s="1"/>
  <c r="C289" i="1"/>
  <c r="C288" i="1"/>
  <c r="D288" i="1" s="1"/>
  <c r="X288" i="1" s="1"/>
  <c r="C287" i="1"/>
  <c r="V286" i="1"/>
  <c r="C286" i="1"/>
  <c r="D286" i="1" s="1"/>
  <c r="X286" i="1" s="1"/>
  <c r="C285" i="1"/>
  <c r="C284" i="1"/>
  <c r="D284" i="1" s="1"/>
  <c r="X284" i="1" s="1"/>
  <c r="C283" i="1"/>
  <c r="C282" i="1"/>
  <c r="D282" i="1" s="1"/>
  <c r="X282" i="1" s="1"/>
  <c r="C281" i="1"/>
  <c r="C280" i="1"/>
  <c r="D280" i="1" s="1"/>
  <c r="X280" i="1" s="1"/>
  <c r="C279" i="1"/>
  <c r="V278" i="1"/>
  <c r="C278" i="1"/>
  <c r="D278" i="1" s="1"/>
  <c r="X278" i="1" s="1"/>
  <c r="C277" i="1"/>
  <c r="C276" i="1"/>
  <c r="D276" i="1" s="1"/>
  <c r="X276" i="1" s="1"/>
  <c r="C275" i="1"/>
  <c r="C274" i="1"/>
  <c r="D274" i="1" s="1"/>
  <c r="X274" i="1" s="1"/>
  <c r="C273" i="1"/>
  <c r="C272" i="1"/>
  <c r="D272" i="1" s="1"/>
  <c r="X272" i="1" s="1"/>
  <c r="C271" i="1"/>
  <c r="V270" i="1"/>
  <c r="C270" i="1"/>
  <c r="D270" i="1" s="1"/>
  <c r="X270" i="1" s="1"/>
  <c r="C269" i="1"/>
  <c r="C268" i="1"/>
  <c r="D268" i="1" s="1"/>
  <c r="X268" i="1" s="1"/>
  <c r="C267" i="1"/>
  <c r="C266" i="1"/>
  <c r="D266" i="1" s="1"/>
  <c r="X266" i="1" s="1"/>
  <c r="C265" i="1"/>
  <c r="C264" i="1"/>
  <c r="D264" i="1" s="1"/>
  <c r="X264" i="1" s="1"/>
  <c r="C263" i="1"/>
  <c r="C262" i="1"/>
  <c r="D262" i="1" s="1"/>
  <c r="X262" i="1" s="1"/>
  <c r="C261" i="1"/>
  <c r="C260" i="1"/>
  <c r="D260" i="1" s="1"/>
  <c r="X260" i="1" s="1"/>
  <c r="C259" i="1"/>
  <c r="C258" i="1"/>
  <c r="D258" i="1" s="1"/>
  <c r="X258" i="1" s="1"/>
  <c r="C257" i="1"/>
  <c r="C256" i="1"/>
  <c r="D256" i="1" s="1"/>
  <c r="X256" i="1" s="1"/>
  <c r="C255" i="1"/>
  <c r="V254" i="1"/>
  <c r="C254" i="1"/>
  <c r="D254" i="1" s="1"/>
  <c r="X254" i="1" s="1"/>
  <c r="C253" i="1"/>
  <c r="C252" i="1"/>
  <c r="D252" i="1" s="1"/>
  <c r="X252" i="1" s="1"/>
  <c r="C251" i="1"/>
  <c r="C250" i="1"/>
  <c r="D250" i="1" s="1"/>
  <c r="X250" i="1" s="1"/>
  <c r="C249" i="1"/>
  <c r="C248" i="1"/>
  <c r="D248" i="1" s="1"/>
  <c r="X248" i="1" s="1"/>
  <c r="C247" i="1"/>
  <c r="V246" i="1"/>
  <c r="C246" i="1"/>
  <c r="D246" i="1" s="1"/>
  <c r="X246" i="1" s="1"/>
  <c r="C245" i="1"/>
  <c r="C244" i="1"/>
  <c r="D244" i="1" s="1"/>
  <c r="X244" i="1" s="1"/>
  <c r="C243" i="1"/>
  <c r="C242" i="1"/>
  <c r="D242" i="1" s="1"/>
  <c r="X242" i="1" s="1"/>
  <c r="C241" i="1"/>
  <c r="C240" i="1"/>
  <c r="D240" i="1" s="1"/>
  <c r="X240" i="1" s="1"/>
  <c r="C239" i="1"/>
  <c r="V238" i="1"/>
  <c r="C238" i="1"/>
  <c r="D238" i="1" s="1"/>
  <c r="X238" i="1" s="1"/>
  <c r="C237" i="1"/>
  <c r="C236" i="1"/>
  <c r="D236" i="1" s="1"/>
  <c r="X236" i="1" s="1"/>
  <c r="C235" i="1"/>
  <c r="C234" i="1"/>
  <c r="D234" i="1" s="1"/>
  <c r="X234" i="1" s="1"/>
  <c r="C233" i="1"/>
  <c r="C232" i="1"/>
  <c r="D232" i="1" s="1"/>
  <c r="X232" i="1" s="1"/>
  <c r="C231" i="1"/>
  <c r="C230" i="1"/>
  <c r="D230" i="1" s="1"/>
  <c r="X230" i="1" s="1"/>
  <c r="C229" i="1"/>
  <c r="C228" i="1"/>
  <c r="D228" i="1" s="1"/>
  <c r="X228" i="1" s="1"/>
  <c r="C227" i="1"/>
  <c r="C226" i="1"/>
  <c r="D226" i="1" s="1"/>
  <c r="X226" i="1" s="1"/>
  <c r="C225" i="1"/>
  <c r="C224" i="1"/>
  <c r="D224" i="1" s="1"/>
  <c r="X224" i="1" s="1"/>
  <c r="C223" i="1"/>
  <c r="V222" i="1"/>
  <c r="C222" i="1"/>
  <c r="D222" i="1" s="1"/>
  <c r="X222" i="1" s="1"/>
  <c r="C221" i="1"/>
  <c r="C220" i="1"/>
  <c r="D220" i="1" s="1"/>
  <c r="X220" i="1" s="1"/>
  <c r="C219" i="1"/>
  <c r="C218" i="1"/>
  <c r="D218" i="1" s="1"/>
  <c r="X218" i="1" s="1"/>
  <c r="C217" i="1"/>
  <c r="C216" i="1"/>
  <c r="D216" i="1" s="1"/>
  <c r="X216" i="1" s="1"/>
  <c r="C215" i="1"/>
  <c r="C214" i="1"/>
  <c r="D214" i="1" s="1"/>
  <c r="X214" i="1" s="1"/>
  <c r="C213" i="1"/>
  <c r="C212" i="1"/>
  <c r="D212" i="1" s="1"/>
  <c r="X212" i="1" s="1"/>
  <c r="C211" i="1"/>
  <c r="C210" i="1"/>
  <c r="D210" i="1" s="1"/>
  <c r="X210" i="1" s="1"/>
  <c r="C209" i="1"/>
  <c r="C208" i="1"/>
  <c r="D208" i="1" s="1"/>
  <c r="X208" i="1" s="1"/>
  <c r="C207" i="1"/>
  <c r="V206" i="1"/>
  <c r="C206" i="1"/>
  <c r="D206" i="1" s="1"/>
  <c r="X206" i="1" s="1"/>
  <c r="C205" i="1"/>
  <c r="C204" i="1"/>
  <c r="D204" i="1" s="1"/>
  <c r="X204" i="1" s="1"/>
  <c r="C203" i="1"/>
  <c r="C202" i="1"/>
  <c r="D202" i="1" s="1"/>
  <c r="X202" i="1" s="1"/>
  <c r="C201" i="1"/>
  <c r="C200" i="1"/>
  <c r="D200" i="1" s="1"/>
  <c r="X200" i="1" s="1"/>
  <c r="C199" i="1"/>
  <c r="C198" i="1"/>
  <c r="D198" i="1" s="1"/>
  <c r="X198" i="1" s="1"/>
  <c r="C197" i="1"/>
  <c r="C196" i="1"/>
  <c r="D196" i="1" s="1"/>
  <c r="X196" i="1" s="1"/>
  <c r="C195" i="1"/>
  <c r="C194" i="1"/>
  <c r="D194" i="1" s="1"/>
  <c r="X194" i="1" s="1"/>
  <c r="C193" i="1"/>
  <c r="C192" i="1"/>
  <c r="D192" i="1" s="1"/>
  <c r="X192" i="1" s="1"/>
  <c r="C191" i="1"/>
  <c r="V190" i="1"/>
  <c r="C190" i="1"/>
  <c r="D190" i="1" s="1"/>
  <c r="X190" i="1" s="1"/>
  <c r="C189" i="1"/>
  <c r="C188" i="1"/>
  <c r="D188" i="1" s="1"/>
  <c r="X188" i="1" s="1"/>
  <c r="C187" i="1"/>
  <c r="C186" i="1"/>
  <c r="D186" i="1" s="1"/>
  <c r="X186" i="1" s="1"/>
  <c r="C185" i="1"/>
  <c r="C184" i="1"/>
  <c r="D184" i="1" s="1"/>
  <c r="X184" i="1" s="1"/>
  <c r="C183" i="1"/>
  <c r="V182" i="1"/>
  <c r="C182" i="1"/>
  <c r="D182" i="1" s="1"/>
  <c r="X182" i="1" s="1"/>
  <c r="C181" i="1"/>
  <c r="C180" i="1"/>
  <c r="D180" i="1" s="1"/>
  <c r="X180" i="1" s="1"/>
  <c r="C179" i="1"/>
  <c r="C178" i="1"/>
  <c r="D178" i="1" s="1"/>
  <c r="X178" i="1" s="1"/>
  <c r="C177" i="1"/>
  <c r="C176" i="1"/>
  <c r="D176" i="1" s="1"/>
  <c r="X176" i="1" s="1"/>
  <c r="C175" i="1"/>
  <c r="V174" i="1"/>
  <c r="C174" i="1"/>
  <c r="D174" i="1" s="1"/>
  <c r="X174" i="1" s="1"/>
  <c r="C173" i="1"/>
  <c r="C172" i="1"/>
  <c r="D172" i="1" s="1"/>
  <c r="X172" i="1" s="1"/>
  <c r="C171" i="1"/>
  <c r="C170" i="1"/>
  <c r="D170" i="1" s="1"/>
  <c r="X170" i="1" s="1"/>
  <c r="C169" i="1"/>
  <c r="C168" i="1"/>
  <c r="D168" i="1" s="1"/>
  <c r="X168" i="1" s="1"/>
  <c r="C167" i="1"/>
  <c r="C166" i="1"/>
  <c r="D166" i="1" s="1"/>
  <c r="X166" i="1" s="1"/>
  <c r="C165" i="1"/>
  <c r="C164" i="1"/>
  <c r="D164" i="1" s="1"/>
  <c r="X164" i="1" s="1"/>
  <c r="C163" i="1"/>
  <c r="C162" i="1"/>
  <c r="D162" i="1" s="1"/>
  <c r="X162" i="1" s="1"/>
  <c r="C161" i="1"/>
  <c r="C160" i="1"/>
  <c r="D160" i="1" s="1"/>
  <c r="X160" i="1" s="1"/>
  <c r="C159" i="1"/>
  <c r="V158" i="1"/>
  <c r="C158" i="1"/>
  <c r="D158" i="1" s="1"/>
  <c r="X158" i="1" s="1"/>
  <c r="C157" i="1"/>
  <c r="C156" i="1"/>
  <c r="D156" i="1" s="1"/>
  <c r="X156" i="1" s="1"/>
  <c r="C155" i="1"/>
  <c r="C154" i="1"/>
  <c r="D154" i="1" s="1"/>
  <c r="X154" i="1" s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4" i="4"/>
  <c r="D4" i="4"/>
  <c r="J4" i="4"/>
  <c r="V626" i="1" l="1"/>
  <c r="V646" i="1"/>
  <c r="D650" i="1"/>
  <c r="X650" i="1" s="1"/>
  <c r="V650" i="1"/>
  <c r="V690" i="1"/>
  <c r="V710" i="1"/>
  <c r="D714" i="1"/>
  <c r="X714" i="1" s="1"/>
  <c r="V714" i="1"/>
  <c r="V754" i="1"/>
  <c r="V774" i="1"/>
  <c r="D778" i="1"/>
  <c r="X778" i="1" s="1"/>
  <c r="V778" i="1"/>
  <c r="D810" i="1"/>
  <c r="X810" i="1" s="1"/>
  <c r="V810" i="1"/>
  <c r="D834" i="1"/>
  <c r="X834" i="1" s="1"/>
  <c r="V834" i="1"/>
  <c r="D844" i="1"/>
  <c r="X844" i="1" s="1"/>
  <c r="V844" i="1"/>
  <c r="D854" i="1"/>
  <c r="X854" i="1" s="1"/>
  <c r="V854" i="1"/>
  <c r="D898" i="1"/>
  <c r="X898" i="1" s="1"/>
  <c r="V898" i="1"/>
  <c r="D908" i="1"/>
  <c r="X908" i="1" s="1"/>
  <c r="V908" i="1"/>
  <c r="D918" i="1"/>
  <c r="X918" i="1" s="1"/>
  <c r="V918" i="1"/>
  <c r="D962" i="1"/>
  <c r="X962" i="1" s="1"/>
  <c r="V962" i="1"/>
  <c r="D972" i="1"/>
  <c r="X972" i="1" s="1"/>
  <c r="V972" i="1"/>
  <c r="D982" i="1"/>
  <c r="X982" i="1" s="1"/>
  <c r="V982" i="1"/>
  <c r="D1026" i="1"/>
  <c r="X1026" i="1" s="1"/>
  <c r="V1026" i="1"/>
  <c r="D1036" i="1"/>
  <c r="X1036" i="1" s="1"/>
  <c r="V1036" i="1"/>
  <c r="D1046" i="1"/>
  <c r="X1046" i="1" s="1"/>
  <c r="V1046" i="1"/>
  <c r="D1090" i="1"/>
  <c r="X1090" i="1" s="1"/>
  <c r="V1090" i="1"/>
  <c r="D1100" i="1"/>
  <c r="X1100" i="1" s="1"/>
  <c r="V1100" i="1"/>
  <c r="D1110" i="1"/>
  <c r="X1110" i="1" s="1"/>
  <c r="V1110" i="1"/>
  <c r="D1154" i="1"/>
  <c r="X1154" i="1" s="1"/>
  <c r="V1154" i="1"/>
  <c r="D1164" i="1"/>
  <c r="X1164" i="1" s="1"/>
  <c r="V1164" i="1"/>
  <c r="D1174" i="1"/>
  <c r="X1174" i="1" s="1"/>
  <c r="V1174" i="1"/>
  <c r="D1228" i="1"/>
  <c r="X1228" i="1" s="1"/>
  <c r="V1228" i="1"/>
  <c r="D1252" i="1"/>
  <c r="X1252" i="1" s="1"/>
  <c r="V1252" i="1"/>
  <c r="D1284" i="1"/>
  <c r="X1284" i="1" s="1"/>
  <c r="V1284" i="1"/>
  <c r="D1316" i="1"/>
  <c r="X1316" i="1" s="1"/>
  <c r="V1316" i="1"/>
  <c r="D1348" i="1"/>
  <c r="X1348" i="1" s="1"/>
  <c r="V1348" i="1"/>
  <c r="D1380" i="1"/>
  <c r="X1380" i="1" s="1"/>
  <c r="V1380" i="1"/>
  <c r="V214" i="1"/>
  <c r="V402" i="1"/>
  <c r="V418" i="1"/>
  <c r="V434" i="1"/>
  <c r="V450" i="1"/>
  <c r="V466" i="1"/>
  <c r="V482" i="1"/>
  <c r="V498" i="1"/>
  <c r="V514" i="1"/>
  <c r="V530" i="1"/>
  <c r="V546" i="1"/>
  <c r="V562" i="1"/>
  <c r="V578" i="1"/>
  <c r="V594" i="1"/>
  <c r="V610" i="1"/>
  <c r="V630" i="1"/>
  <c r="D634" i="1"/>
  <c r="X634" i="1" s="1"/>
  <c r="V634" i="1"/>
  <c r="V674" i="1"/>
  <c r="V694" i="1"/>
  <c r="D698" i="1"/>
  <c r="X698" i="1" s="1"/>
  <c r="V698" i="1"/>
  <c r="V738" i="1"/>
  <c r="V758" i="1"/>
  <c r="D762" i="1"/>
  <c r="X762" i="1" s="1"/>
  <c r="V762" i="1"/>
  <c r="D786" i="1"/>
  <c r="X786" i="1" s="1"/>
  <c r="V786" i="1"/>
  <c r="D818" i="1"/>
  <c r="X818" i="1" s="1"/>
  <c r="V818" i="1"/>
  <c r="D828" i="1"/>
  <c r="X828" i="1" s="1"/>
  <c r="V828" i="1"/>
  <c r="D838" i="1"/>
  <c r="X838" i="1" s="1"/>
  <c r="V838" i="1"/>
  <c r="D882" i="1"/>
  <c r="X882" i="1" s="1"/>
  <c r="V882" i="1"/>
  <c r="D892" i="1"/>
  <c r="X892" i="1" s="1"/>
  <c r="V892" i="1"/>
  <c r="D902" i="1"/>
  <c r="X902" i="1" s="1"/>
  <c r="V902" i="1"/>
  <c r="D946" i="1"/>
  <c r="X946" i="1" s="1"/>
  <c r="V946" i="1"/>
  <c r="D956" i="1"/>
  <c r="X956" i="1" s="1"/>
  <c r="V956" i="1"/>
  <c r="D966" i="1"/>
  <c r="X966" i="1" s="1"/>
  <c r="V966" i="1"/>
  <c r="D1010" i="1"/>
  <c r="X1010" i="1" s="1"/>
  <c r="V1010" i="1"/>
  <c r="D1020" i="1"/>
  <c r="X1020" i="1" s="1"/>
  <c r="V1020" i="1"/>
  <c r="D1030" i="1"/>
  <c r="X1030" i="1" s="1"/>
  <c r="V1030" i="1"/>
  <c r="D1074" i="1"/>
  <c r="X1074" i="1" s="1"/>
  <c r="V1074" i="1"/>
  <c r="D1084" i="1"/>
  <c r="X1084" i="1" s="1"/>
  <c r="V1084" i="1"/>
  <c r="D1094" i="1"/>
  <c r="X1094" i="1" s="1"/>
  <c r="V1094" i="1"/>
  <c r="D1138" i="1"/>
  <c r="X1138" i="1" s="1"/>
  <c r="V1138" i="1"/>
  <c r="D1148" i="1"/>
  <c r="X1148" i="1" s="1"/>
  <c r="V1148" i="1"/>
  <c r="D1158" i="1"/>
  <c r="X1158" i="1" s="1"/>
  <c r="V1158" i="1"/>
  <c r="D1202" i="1"/>
  <c r="X1202" i="1" s="1"/>
  <c r="V1202" i="1"/>
  <c r="D1222" i="1"/>
  <c r="X1222" i="1" s="1"/>
  <c r="V1222" i="1"/>
  <c r="D618" i="1"/>
  <c r="X618" i="1" s="1"/>
  <c r="V618" i="1"/>
  <c r="D682" i="1"/>
  <c r="X682" i="1" s="1"/>
  <c r="V682" i="1"/>
  <c r="D746" i="1"/>
  <c r="X746" i="1" s="1"/>
  <c r="V746" i="1"/>
  <c r="D794" i="1"/>
  <c r="X794" i="1" s="1"/>
  <c r="V794" i="1"/>
  <c r="D822" i="1"/>
  <c r="X822" i="1" s="1"/>
  <c r="V822" i="1"/>
  <c r="D866" i="1"/>
  <c r="X866" i="1" s="1"/>
  <c r="V866" i="1"/>
  <c r="D876" i="1"/>
  <c r="X876" i="1" s="1"/>
  <c r="V876" i="1"/>
  <c r="D886" i="1"/>
  <c r="X886" i="1" s="1"/>
  <c r="V886" i="1"/>
  <c r="D930" i="1"/>
  <c r="X930" i="1" s="1"/>
  <c r="V930" i="1"/>
  <c r="D940" i="1"/>
  <c r="X940" i="1" s="1"/>
  <c r="V940" i="1"/>
  <c r="D950" i="1"/>
  <c r="X950" i="1" s="1"/>
  <c r="V950" i="1"/>
  <c r="D994" i="1"/>
  <c r="X994" i="1" s="1"/>
  <c r="V994" i="1"/>
  <c r="D1004" i="1"/>
  <c r="X1004" i="1" s="1"/>
  <c r="V1004" i="1"/>
  <c r="D1014" i="1"/>
  <c r="X1014" i="1" s="1"/>
  <c r="V1014" i="1"/>
  <c r="D1058" i="1"/>
  <c r="X1058" i="1" s="1"/>
  <c r="V1058" i="1"/>
  <c r="D1068" i="1"/>
  <c r="X1068" i="1" s="1"/>
  <c r="V1068" i="1"/>
  <c r="D1078" i="1"/>
  <c r="X1078" i="1" s="1"/>
  <c r="V1078" i="1"/>
  <c r="D1122" i="1"/>
  <c r="X1122" i="1" s="1"/>
  <c r="V1122" i="1"/>
  <c r="D1132" i="1"/>
  <c r="X1132" i="1" s="1"/>
  <c r="V1132" i="1"/>
  <c r="D1142" i="1"/>
  <c r="X1142" i="1" s="1"/>
  <c r="V1142" i="1"/>
  <c r="D1186" i="1"/>
  <c r="X1186" i="1" s="1"/>
  <c r="V1186" i="1"/>
  <c r="D1196" i="1"/>
  <c r="X1196" i="1" s="1"/>
  <c r="V1196" i="1"/>
  <c r="D1268" i="1"/>
  <c r="X1268" i="1" s="1"/>
  <c r="V1268" i="1"/>
  <c r="D1300" i="1"/>
  <c r="X1300" i="1" s="1"/>
  <c r="V1300" i="1"/>
  <c r="D1332" i="1"/>
  <c r="X1332" i="1" s="1"/>
  <c r="V1332" i="1"/>
  <c r="D1364" i="1"/>
  <c r="X1364" i="1" s="1"/>
  <c r="V1364" i="1"/>
  <c r="D1396" i="1"/>
  <c r="X1396" i="1" s="1"/>
  <c r="V1396" i="1"/>
  <c r="V166" i="1"/>
  <c r="V198" i="1"/>
  <c r="V230" i="1"/>
  <c r="V262" i="1"/>
  <c r="V294" i="1"/>
  <c r="V326" i="1"/>
  <c r="V358" i="1"/>
  <c r="V390" i="1"/>
  <c r="V410" i="1"/>
  <c r="V426" i="1"/>
  <c r="V442" i="1"/>
  <c r="V458" i="1"/>
  <c r="V474" i="1"/>
  <c r="V490" i="1"/>
  <c r="V506" i="1"/>
  <c r="V522" i="1"/>
  <c r="V538" i="1"/>
  <c r="V554" i="1"/>
  <c r="V570" i="1"/>
  <c r="V586" i="1"/>
  <c r="V602" i="1"/>
  <c r="V642" i="1"/>
  <c r="V662" i="1"/>
  <c r="D666" i="1"/>
  <c r="X666" i="1" s="1"/>
  <c r="V666" i="1"/>
  <c r="V706" i="1"/>
  <c r="V726" i="1"/>
  <c r="D730" i="1"/>
  <c r="X730" i="1" s="1"/>
  <c r="V730" i="1"/>
  <c r="V770" i="1"/>
  <c r="D802" i="1"/>
  <c r="X802" i="1" s="1"/>
  <c r="V802" i="1"/>
  <c r="D850" i="1"/>
  <c r="X850" i="1" s="1"/>
  <c r="V850" i="1"/>
  <c r="D860" i="1"/>
  <c r="X860" i="1" s="1"/>
  <c r="V860" i="1"/>
  <c r="D870" i="1"/>
  <c r="X870" i="1" s="1"/>
  <c r="V870" i="1"/>
  <c r="D914" i="1"/>
  <c r="X914" i="1" s="1"/>
  <c r="V914" i="1"/>
  <c r="D924" i="1"/>
  <c r="X924" i="1" s="1"/>
  <c r="V924" i="1"/>
  <c r="D934" i="1"/>
  <c r="X934" i="1" s="1"/>
  <c r="V934" i="1"/>
  <c r="D978" i="1"/>
  <c r="X978" i="1" s="1"/>
  <c r="V978" i="1"/>
  <c r="D988" i="1"/>
  <c r="X988" i="1" s="1"/>
  <c r="V988" i="1"/>
  <c r="D998" i="1"/>
  <c r="X998" i="1" s="1"/>
  <c r="V998" i="1"/>
  <c r="D1042" i="1"/>
  <c r="X1042" i="1" s="1"/>
  <c r="V1042" i="1"/>
  <c r="D1052" i="1"/>
  <c r="X1052" i="1" s="1"/>
  <c r="V1052" i="1"/>
  <c r="D1062" i="1"/>
  <c r="X1062" i="1" s="1"/>
  <c r="V1062" i="1"/>
  <c r="D1106" i="1"/>
  <c r="X1106" i="1" s="1"/>
  <c r="V1106" i="1"/>
  <c r="D1116" i="1"/>
  <c r="X1116" i="1" s="1"/>
  <c r="V1116" i="1"/>
  <c r="D1126" i="1"/>
  <c r="X1126" i="1" s="1"/>
  <c r="V1126" i="1"/>
  <c r="D1170" i="1"/>
  <c r="X1170" i="1" s="1"/>
  <c r="V1170" i="1"/>
  <c r="D1180" i="1"/>
  <c r="X1180" i="1" s="1"/>
  <c r="V1180" i="1"/>
  <c r="D1190" i="1"/>
  <c r="X1190" i="1" s="1"/>
  <c r="V1190" i="1"/>
  <c r="D1234" i="1"/>
  <c r="X1234" i="1" s="1"/>
  <c r="V1234" i="1"/>
  <c r="V1412" i="1"/>
  <c r="V1428" i="1"/>
  <c r="V1444" i="1"/>
  <c r="V1460" i="1"/>
  <c r="V1476" i="1"/>
  <c r="V1492" i="1"/>
  <c r="V1508" i="1"/>
  <c r="V1524" i="1"/>
  <c r="V1540" i="1"/>
  <c r="V1556" i="1"/>
  <c r="V1572" i="1"/>
  <c r="V1588" i="1"/>
  <c r="V1604" i="1"/>
  <c r="V1620" i="1"/>
  <c r="V1636" i="1"/>
  <c r="V1652" i="1"/>
  <c r="V1668" i="1"/>
  <c r="V1684" i="1"/>
  <c r="V1700" i="1"/>
  <c r="V1716" i="1"/>
  <c r="V1732" i="1"/>
  <c r="V1748" i="1"/>
  <c r="V1764" i="1"/>
  <c r="V1780" i="1"/>
  <c r="V1796" i="1"/>
  <c r="V1812" i="1"/>
  <c r="V1828" i="1"/>
  <c r="V1844" i="1"/>
  <c r="V1860" i="1"/>
  <c r="V1876" i="1"/>
  <c r="V1886" i="1"/>
  <c r="V1900" i="1"/>
  <c r="D1910" i="1"/>
  <c r="X1910" i="1" s="1"/>
  <c r="V1910" i="1"/>
  <c r="D1942" i="1"/>
  <c r="X1942" i="1" s="1"/>
  <c r="V1942" i="1"/>
  <c r="V1662" i="1"/>
  <c r="V1678" i="1"/>
  <c r="V1694" i="1"/>
  <c r="V1710" i="1"/>
  <c r="V1726" i="1"/>
  <c r="V1742" i="1"/>
  <c r="V1758" i="1"/>
  <c r="V1774" i="1"/>
  <c r="V1790" i="1"/>
  <c r="V1806" i="1"/>
  <c r="V1822" i="1"/>
  <c r="V1838" i="1"/>
  <c r="V1854" i="1"/>
  <c r="V1870" i="1"/>
  <c r="V1884" i="1"/>
  <c r="D1894" i="1"/>
  <c r="X1894" i="1" s="1"/>
  <c r="V1894" i="1"/>
  <c r="D1918" i="1"/>
  <c r="X1918" i="1" s="1"/>
  <c r="V1918" i="1"/>
  <c r="V1206" i="1"/>
  <c r="V1212" i="1"/>
  <c r="V1218" i="1"/>
  <c r="V1238" i="1"/>
  <c r="V1244" i="1"/>
  <c r="V1260" i="1"/>
  <c r="V1276" i="1"/>
  <c r="V1292" i="1"/>
  <c r="V1308" i="1"/>
  <c r="V1324" i="1"/>
  <c r="V1340" i="1"/>
  <c r="V1356" i="1"/>
  <c r="V1372" i="1"/>
  <c r="V1388" i="1"/>
  <c r="V1404" i="1"/>
  <c r="V1420" i="1"/>
  <c r="V1436" i="1"/>
  <c r="V1452" i="1"/>
  <c r="V1468" i="1"/>
  <c r="V1484" i="1"/>
  <c r="V1500" i="1"/>
  <c r="V1516" i="1"/>
  <c r="V1532" i="1"/>
  <c r="V1548" i="1"/>
  <c r="V1564" i="1"/>
  <c r="V1580" i="1"/>
  <c r="V1596" i="1"/>
  <c r="V1612" i="1"/>
  <c r="V1628" i="1"/>
  <c r="V1644" i="1"/>
  <c r="V1660" i="1"/>
  <c r="V1676" i="1"/>
  <c r="V1692" i="1"/>
  <c r="V1708" i="1"/>
  <c r="V1724" i="1"/>
  <c r="V1740" i="1"/>
  <c r="V1756" i="1"/>
  <c r="V1772" i="1"/>
  <c r="V1788" i="1"/>
  <c r="V1804" i="1"/>
  <c r="V1820" i="1"/>
  <c r="V1836" i="1"/>
  <c r="V1852" i="1"/>
  <c r="V1868" i="1"/>
  <c r="D1878" i="1"/>
  <c r="X1878" i="1" s="1"/>
  <c r="V1878" i="1"/>
  <c r="D1926" i="1"/>
  <c r="X1926" i="1" s="1"/>
  <c r="V1926" i="1"/>
  <c r="D1958" i="1"/>
  <c r="X1958" i="1" s="1"/>
  <c r="V1958" i="1"/>
  <c r="V1974" i="1"/>
  <c r="V1990" i="1"/>
  <c r="V2006" i="1"/>
  <c r="V2022" i="1"/>
  <c r="V2038" i="1"/>
  <c r="V2054" i="1"/>
  <c r="V2070" i="1"/>
  <c r="V2086" i="1"/>
  <c r="V2102" i="1"/>
  <c r="V2118" i="1"/>
  <c r="V2134" i="1"/>
  <c r="V2150" i="1"/>
  <c r="V2166" i="1"/>
  <c r="V2182" i="1"/>
  <c r="V2198" i="1"/>
  <c r="V2212" i="1"/>
  <c r="V2228" i="1"/>
  <c r="V2244" i="1"/>
  <c r="V2260" i="1"/>
  <c r="V2276" i="1"/>
  <c r="V2292" i="1"/>
  <c r="V2308" i="1"/>
  <c r="V2324" i="1"/>
  <c r="V2340" i="1"/>
  <c r="V2356" i="1"/>
  <c r="V2372" i="1"/>
  <c r="V2388" i="1"/>
  <c r="V2404" i="1"/>
  <c r="V2420" i="1"/>
  <c r="V2436" i="1"/>
  <c r="V2452" i="1"/>
  <c r="V2468" i="1"/>
  <c r="V2484" i="1"/>
  <c r="V2500" i="1"/>
  <c r="V2524" i="1"/>
  <c r="V2556" i="1"/>
  <c r="V2588" i="1"/>
  <c r="V2620" i="1"/>
  <c r="V2652" i="1"/>
  <c r="V2684" i="1"/>
  <c r="V2716" i="1"/>
  <c r="V2748" i="1"/>
  <c r="V2780" i="1"/>
  <c r="V2812" i="1"/>
  <c r="V2828" i="1"/>
  <c r="V2844" i="1"/>
  <c r="V2860" i="1"/>
  <c r="V2876" i="1"/>
  <c r="V2898" i="1"/>
  <c r="V2930" i="1"/>
  <c r="V2936" i="1"/>
  <c r="V2952" i="1"/>
  <c r="V2958" i="1"/>
  <c r="V2976" i="1"/>
  <c r="V2994" i="1"/>
  <c r="V3000" i="1"/>
  <c r="V3018" i="1"/>
  <c r="V3024" i="1"/>
  <c r="V3030" i="1"/>
  <c r="V3050" i="1"/>
  <c r="V3056" i="1"/>
  <c r="V3062" i="1"/>
  <c r="V3080" i="1"/>
  <c r="V3100" i="1"/>
  <c r="V3132" i="1"/>
  <c r="V3164" i="1"/>
  <c r="V3196" i="1"/>
  <c r="V3228" i="1"/>
  <c r="V3260" i="1"/>
  <c r="V3292" i="1"/>
  <c r="V3324" i="1"/>
  <c r="V4464" i="1"/>
  <c r="V4528" i="1"/>
  <c r="V4592" i="1"/>
  <c r="V4727" i="1"/>
  <c r="V4759" i="1"/>
  <c r="V4791" i="1"/>
  <c r="V4823" i="1"/>
  <c r="D5623" i="1"/>
  <c r="X5623" i="1" s="1"/>
  <c r="V5623" i="1"/>
  <c r="D6195" i="1"/>
  <c r="X6195" i="1" s="1"/>
  <c r="V6195" i="1"/>
  <c r="D6387" i="1"/>
  <c r="X6387" i="1" s="1"/>
  <c r="V6387" i="1"/>
  <c r="V4859" i="1"/>
  <c r="V4903" i="1"/>
  <c r="V4939" i="1"/>
  <c r="D5559" i="1"/>
  <c r="X5559" i="1" s="1"/>
  <c r="V5559" i="1"/>
  <c r="V5719" i="1"/>
  <c r="V5791" i="1"/>
  <c r="D5815" i="1"/>
  <c r="X5815" i="1" s="1"/>
  <c r="V5815" i="1"/>
  <c r="V6291" i="1"/>
  <c r="D6419" i="1"/>
  <c r="X6419" i="1" s="1"/>
  <c r="V6419" i="1"/>
  <c r="D6790" i="1"/>
  <c r="X6790" i="1" s="1"/>
  <c r="V6790" i="1"/>
  <c r="V1934" i="1"/>
  <c r="V1950" i="1"/>
  <c r="V1966" i="1"/>
  <c r="V1982" i="1"/>
  <c r="V1998" i="1"/>
  <c r="V2014" i="1"/>
  <c r="V2030" i="1"/>
  <c r="V2046" i="1"/>
  <c r="V2062" i="1"/>
  <c r="V2078" i="1"/>
  <c r="V2094" i="1"/>
  <c r="V2110" i="1"/>
  <c r="V2126" i="1"/>
  <c r="V2142" i="1"/>
  <c r="V2158" i="1"/>
  <c r="V2174" i="1"/>
  <c r="V2190" i="1"/>
  <c r="V2220" i="1"/>
  <c r="V2236" i="1"/>
  <c r="V2252" i="1"/>
  <c r="V2268" i="1"/>
  <c r="V2284" i="1"/>
  <c r="V2300" i="1"/>
  <c r="V2316" i="1"/>
  <c r="V2332" i="1"/>
  <c r="V2348" i="1"/>
  <c r="V2364" i="1"/>
  <c r="V2380" i="1"/>
  <c r="V2396" i="1"/>
  <c r="V2412" i="1"/>
  <c r="V2428" i="1"/>
  <c r="V2444" i="1"/>
  <c r="V2460" i="1"/>
  <c r="V2476" i="1"/>
  <c r="V2492" i="1"/>
  <c r="V2508" i="1"/>
  <c r="V2540" i="1"/>
  <c r="V2572" i="1"/>
  <c r="V2604" i="1"/>
  <c r="V2636" i="1"/>
  <c r="V2668" i="1"/>
  <c r="V2700" i="1"/>
  <c r="V2732" i="1"/>
  <c r="V2764" i="1"/>
  <c r="V2796" i="1"/>
  <c r="V2820" i="1"/>
  <c r="V2836" i="1"/>
  <c r="V2852" i="1"/>
  <c r="V2868" i="1"/>
  <c r="V2888" i="1"/>
  <c r="V2894" i="1"/>
  <c r="V2906" i="1"/>
  <c r="V2920" i="1"/>
  <c r="V2926" i="1"/>
  <c r="V2944" i="1"/>
  <c r="V2962" i="1"/>
  <c r="V2968" i="1"/>
  <c r="V2984" i="1"/>
  <c r="V2990" i="1"/>
  <c r="V3008" i="1"/>
  <c r="V3014" i="1"/>
  <c r="V3034" i="1"/>
  <c r="V3040" i="1"/>
  <c r="V3046" i="1"/>
  <c r="V3066" i="1"/>
  <c r="V3072" i="1"/>
  <c r="V3088" i="1"/>
  <c r="V3116" i="1"/>
  <c r="V3148" i="1"/>
  <c r="V3180" i="1"/>
  <c r="V3212" i="1"/>
  <c r="V3244" i="1"/>
  <c r="V3276" i="1"/>
  <c r="V4560" i="1"/>
  <c r="V4743" i="1"/>
  <c r="D4919" i="1"/>
  <c r="X4919" i="1" s="1"/>
  <c r="V4919" i="1"/>
  <c r="D5751" i="1"/>
  <c r="X5751" i="1" s="1"/>
  <c r="V5751" i="1"/>
  <c r="D6323" i="1"/>
  <c r="X6323" i="1" s="1"/>
  <c r="V6323" i="1"/>
  <c r="D6451" i="1"/>
  <c r="X6451" i="1" s="1"/>
  <c r="V6451" i="1"/>
  <c r="V4843" i="1"/>
  <c r="V4875" i="1"/>
  <c r="D4887" i="1"/>
  <c r="X4887" i="1" s="1"/>
  <c r="V4887" i="1"/>
  <c r="V5591" i="1"/>
  <c r="V5663" i="1"/>
  <c r="D5687" i="1"/>
  <c r="X5687" i="1" s="1"/>
  <c r="V5687" i="1"/>
  <c r="V5847" i="1"/>
  <c r="V6235" i="1"/>
  <c r="D6259" i="1"/>
  <c r="X6259" i="1" s="1"/>
  <c r="V6259" i="1"/>
  <c r="D6355" i="1"/>
  <c r="X6355" i="1" s="1"/>
  <c r="V6355" i="1"/>
  <c r="D6826" i="1"/>
  <c r="X6826" i="1" s="1"/>
  <c r="V6826" i="1"/>
  <c r="V7178" i="1"/>
  <c r="V7184" i="1"/>
  <c r="V7210" i="1"/>
  <c r="V7216" i="1"/>
  <c r="V7242" i="1"/>
  <c r="V7248" i="1"/>
  <c r="V7274" i="1"/>
  <c r="V7280" i="1"/>
  <c r="V7306" i="1"/>
  <c r="V7312" i="1"/>
  <c r="V7338" i="1"/>
  <c r="V7344" i="1"/>
  <c r="V7370" i="1"/>
  <c r="V7376" i="1"/>
  <c r="V7402" i="1"/>
  <c r="V7408" i="1"/>
  <c r="V7434" i="1"/>
  <c r="V7450" i="1"/>
  <c r="V6818" i="1"/>
  <c r="V8009" i="1"/>
  <c r="V8025" i="1"/>
  <c r="V8059" i="1"/>
  <c r="V8075" i="1"/>
  <c r="V8081" i="1"/>
  <c r="V8101" i="1"/>
  <c r="V8108" i="1"/>
  <c r="V8146" i="1"/>
  <c r="V8178" i="1"/>
  <c r="V8188" i="1"/>
  <c r="V8220" i="1"/>
  <c r="V8259" i="1"/>
  <c r="V8293" i="1"/>
  <c r="V6876" i="1"/>
  <c r="V6892" i="1"/>
  <c r="V6932" i="1"/>
  <c r="V6946" i="1"/>
  <c r="V6980" i="1"/>
  <c r="V6994" i="1"/>
  <c r="V7004" i="1"/>
  <c r="V7036" i="1"/>
  <c r="V7084" i="1"/>
  <c r="V7124" i="1"/>
  <c r="V7142" i="1"/>
  <c r="V7162" i="1"/>
  <c r="V7168" i="1"/>
  <c r="V7194" i="1"/>
  <c r="V7200" i="1"/>
  <c r="V7226" i="1"/>
  <c r="V7232" i="1"/>
  <c r="V7258" i="1"/>
  <c r="V7264" i="1"/>
  <c r="V7290" i="1"/>
  <c r="V7296" i="1"/>
  <c r="V7322" i="1"/>
  <c r="V7328" i="1"/>
  <c r="V7354" i="1"/>
  <c r="V7360" i="1"/>
  <c r="V7386" i="1"/>
  <c r="V7392" i="1"/>
  <c r="V7418" i="1"/>
  <c r="V7424" i="1"/>
  <c r="V7782" i="1"/>
  <c r="V7833" i="1"/>
  <c r="V7897" i="1"/>
  <c r="V7953" i="1"/>
  <c r="V8051" i="1"/>
  <c r="V6842" i="1"/>
  <c r="V6858" i="1"/>
  <c r="V6874" i="1"/>
  <c r="V6890" i="1"/>
  <c r="V6916" i="1"/>
  <c r="V6930" i="1"/>
  <c r="V6940" i="1"/>
  <c r="V6988" i="1"/>
  <c r="V7052" i="1"/>
  <c r="V7092" i="1"/>
  <c r="V7132" i="1"/>
  <c r="V7154" i="1"/>
  <c r="V7160" i="1"/>
  <c r="V7166" i="1"/>
  <c r="V7186" i="1"/>
  <c r="V7192" i="1"/>
  <c r="V7198" i="1"/>
  <c r="V7218" i="1"/>
  <c r="V7224" i="1"/>
  <c r="V7230" i="1"/>
  <c r="V7250" i="1"/>
  <c r="V7256" i="1"/>
  <c r="V7262" i="1"/>
  <c r="V7282" i="1"/>
  <c r="V7288" i="1"/>
  <c r="V7294" i="1"/>
  <c r="V7314" i="1"/>
  <c r="V7320" i="1"/>
  <c r="V7326" i="1"/>
  <c r="V7346" i="1"/>
  <c r="V7352" i="1"/>
  <c r="V7358" i="1"/>
  <c r="V7378" i="1"/>
  <c r="V7384" i="1"/>
  <c r="V7390" i="1"/>
  <c r="V7410" i="1"/>
  <c r="V7416" i="1"/>
  <c r="V7422" i="1"/>
  <c r="V7446" i="1"/>
  <c r="V7462" i="1"/>
  <c r="V7478" i="1"/>
  <c r="V7494" i="1"/>
  <c r="V7526" i="1"/>
  <c r="V7558" i="1"/>
  <c r="V7590" i="1"/>
  <c r="V7622" i="1"/>
  <c r="V7654" i="1"/>
  <c r="V7686" i="1"/>
  <c r="V7718" i="1"/>
  <c r="V7766" i="1"/>
  <c r="V7776" i="1"/>
  <c r="V7790" i="1"/>
  <c r="V7831" i="1"/>
  <c r="V7841" i="1"/>
  <c r="V7905" i="1"/>
  <c r="V7963" i="1"/>
  <c r="V7979" i="1"/>
  <c r="V7995" i="1"/>
  <c r="V8001" i="1"/>
  <c r="V8017" i="1"/>
  <c r="V8033" i="1"/>
  <c r="V8049" i="1"/>
  <c r="V8067" i="1"/>
  <c r="V8085" i="1"/>
  <c r="V8091" i="1"/>
  <c r="V8097" i="1"/>
  <c r="V8116" i="1"/>
  <c r="V8130" i="1"/>
  <c r="V8162" i="1"/>
  <c r="V8204" i="1"/>
  <c r="V8243" i="1"/>
  <c r="V161" i="1"/>
  <c r="D161" i="1"/>
  <c r="X161" i="1" s="1"/>
  <c r="V185" i="1"/>
  <c r="D185" i="1"/>
  <c r="X185" i="1" s="1"/>
  <c r="V209" i="1"/>
  <c r="D209" i="1"/>
  <c r="X209" i="1" s="1"/>
  <c r="V233" i="1"/>
  <c r="D233" i="1"/>
  <c r="X233" i="1" s="1"/>
  <c r="V241" i="1"/>
  <c r="D241" i="1"/>
  <c r="X241" i="1" s="1"/>
  <c r="V265" i="1"/>
  <c r="D265" i="1"/>
  <c r="X265" i="1" s="1"/>
  <c r="V281" i="1"/>
  <c r="D281" i="1"/>
  <c r="X281" i="1" s="1"/>
  <c r="V305" i="1"/>
  <c r="D305" i="1"/>
  <c r="X305" i="1" s="1"/>
  <c r="V156" i="1"/>
  <c r="V159" i="1"/>
  <c r="D159" i="1"/>
  <c r="X159" i="1" s="1"/>
  <c r="V172" i="1"/>
  <c r="V175" i="1"/>
  <c r="D175" i="1"/>
  <c r="X175" i="1" s="1"/>
  <c r="V188" i="1"/>
  <c r="V191" i="1"/>
  <c r="D191" i="1"/>
  <c r="X191" i="1" s="1"/>
  <c r="V212" i="1"/>
  <c r="V215" i="1"/>
  <c r="D215" i="1"/>
  <c r="X215" i="1" s="1"/>
  <c r="V236" i="1"/>
  <c r="V239" i="1"/>
  <c r="D239" i="1"/>
  <c r="X239" i="1" s="1"/>
  <c r="V260" i="1"/>
  <c r="V263" i="1"/>
  <c r="D263" i="1"/>
  <c r="X263" i="1" s="1"/>
  <c r="V162" i="1"/>
  <c r="V165" i="1"/>
  <c r="D165" i="1"/>
  <c r="X165" i="1" s="1"/>
  <c r="V178" i="1"/>
  <c r="V181" i="1"/>
  <c r="D181" i="1"/>
  <c r="X181" i="1" s="1"/>
  <c r="V194" i="1"/>
  <c r="V197" i="1"/>
  <c r="D197" i="1"/>
  <c r="X197" i="1" s="1"/>
  <c r="V210" i="1"/>
  <c r="V213" i="1"/>
  <c r="D213" i="1"/>
  <c r="X213" i="1" s="1"/>
  <c r="V226" i="1"/>
  <c r="V229" i="1"/>
  <c r="D229" i="1"/>
  <c r="X229" i="1" s="1"/>
  <c r="V242" i="1"/>
  <c r="V245" i="1"/>
  <c r="D245" i="1"/>
  <c r="X245" i="1" s="1"/>
  <c r="V258" i="1"/>
  <c r="V261" i="1"/>
  <c r="D261" i="1"/>
  <c r="X261" i="1" s="1"/>
  <c r="V274" i="1"/>
  <c r="V277" i="1"/>
  <c r="D277" i="1"/>
  <c r="X277" i="1" s="1"/>
  <c r="V290" i="1"/>
  <c r="V293" i="1"/>
  <c r="D293" i="1"/>
  <c r="X293" i="1" s="1"/>
  <c r="V298" i="1"/>
  <c r="V301" i="1"/>
  <c r="D301" i="1"/>
  <c r="X301" i="1" s="1"/>
  <c r="V314" i="1"/>
  <c r="V317" i="1"/>
  <c r="D317" i="1"/>
  <c r="X317" i="1" s="1"/>
  <c r="V330" i="1"/>
  <c r="V333" i="1"/>
  <c r="D333" i="1"/>
  <c r="X333" i="1" s="1"/>
  <c r="V346" i="1"/>
  <c r="V349" i="1"/>
  <c r="D349" i="1"/>
  <c r="X349" i="1" s="1"/>
  <c r="V362" i="1"/>
  <c r="V365" i="1"/>
  <c r="D365" i="1"/>
  <c r="X365" i="1" s="1"/>
  <c r="V378" i="1"/>
  <c r="V381" i="1"/>
  <c r="D381" i="1"/>
  <c r="X381" i="1" s="1"/>
  <c r="V394" i="1"/>
  <c r="V397" i="1"/>
  <c r="D397" i="1"/>
  <c r="X397" i="1" s="1"/>
  <c r="V413" i="1"/>
  <c r="D413" i="1"/>
  <c r="X413" i="1" s="1"/>
  <c r="V429" i="1"/>
  <c r="D429" i="1"/>
  <c r="X429" i="1" s="1"/>
  <c r="V445" i="1"/>
  <c r="D445" i="1"/>
  <c r="X445" i="1" s="1"/>
  <c r="V461" i="1"/>
  <c r="D461" i="1"/>
  <c r="X461" i="1" s="1"/>
  <c r="V477" i="1"/>
  <c r="D477" i="1"/>
  <c r="X477" i="1" s="1"/>
  <c r="V493" i="1"/>
  <c r="D493" i="1"/>
  <c r="X493" i="1" s="1"/>
  <c r="V509" i="1"/>
  <c r="D509" i="1"/>
  <c r="X509" i="1" s="1"/>
  <c r="V517" i="1"/>
  <c r="D517" i="1"/>
  <c r="X517" i="1" s="1"/>
  <c r="V525" i="1"/>
  <c r="D525" i="1"/>
  <c r="X525" i="1" s="1"/>
  <c r="V533" i="1"/>
  <c r="D533" i="1"/>
  <c r="X533" i="1" s="1"/>
  <c r="V541" i="1"/>
  <c r="D541" i="1"/>
  <c r="X541" i="1" s="1"/>
  <c r="V549" i="1"/>
  <c r="D549" i="1"/>
  <c r="X549" i="1" s="1"/>
  <c r="V557" i="1"/>
  <c r="D557" i="1"/>
  <c r="X557" i="1" s="1"/>
  <c r="V565" i="1"/>
  <c r="D565" i="1"/>
  <c r="X565" i="1" s="1"/>
  <c r="V581" i="1"/>
  <c r="D581" i="1"/>
  <c r="X581" i="1" s="1"/>
  <c r="V605" i="1"/>
  <c r="D605" i="1"/>
  <c r="X605" i="1" s="1"/>
  <c r="V613" i="1"/>
  <c r="D613" i="1"/>
  <c r="X613" i="1" s="1"/>
  <c r="V621" i="1"/>
  <c r="D621" i="1"/>
  <c r="X621" i="1" s="1"/>
  <c r="V629" i="1"/>
  <c r="D629" i="1"/>
  <c r="X629" i="1" s="1"/>
  <c r="V637" i="1"/>
  <c r="D637" i="1"/>
  <c r="X637" i="1" s="1"/>
  <c r="V645" i="1"/>
  <c r="D645" i="1"/>
  <c r="X645" i="1" s="1"/>
  <c r="V653" i="1"/>
  <c r="D653" i="1"/>
  <c r="X653" i="1" s="1"/>
  <c r="V661" i="1"/>
  <c r="D661" i="1"/>
  <c r="X661" i="1" s="1"/>
  <c r="V669" i="1"/>
  <c r="D669" i="1"/>
  <c r="X669" i="1" s="1"/>
  <c r="V677" i="1"/>
  <c r="D677" i="1"/>
  <c r="X677" i="1" s="1"/>
  <c r="V685" i="1"/>
  <c r="D685" i="1"/>
  <c r="X685" i="1" s="1"/>
  <c r="V693" i="1"/>
  <c r="D693" i="1"/>
  <c r="X693" i="1" s="1"/>
  <c r="V701" i="1"/>
  <c r="D701" i="1"/>
  <c r="X701" i="1" s="1"/>
  <c r="V709" i="1"/>
  <c r="D709" i="1"/>
  <c r="X709" i="1" s="1"/>
  <c r="V717" i="1"/>
  <c r="D717" i="1"/>
  <c r="X717" i="1" s="1"/>
  <c r="V725" i="1"/>
  <c r="D725" i="1"/>
  <c r="X725" i="1" s="1"/>
  <c r="V733" i="1"/>
  <c r="D733" i="1"/>
  <c r="X733" i="1" s="1"/>
  <c r="V741" i="1"/>
  <c r="D741" i="1"/>
  <c r="X741" i="1" s="1"/>
  <c r="V749" i="1"/>
  <c r="D749" i="1"/>
  <c r="X749" i="1" s="1"/>
  <c r="V757" i="1"/>
  <c r="D757" i="1"/>
  <c r="X757" i="1" s="1"/>
  <c r="V765" i="1"/>
  <c r="D765" i="1"/>
  <c r="X765" i="1" s="1"/>
  <c r="V773" i="1"/>
  <c r="D773" i="1"/>
  <c r="X773" i="1" s="1"/>
  <c r="V781" i="1"/>
  <c r="D781" i="1"/>
  <c r="X781" i="1" s="1"/>
  <c r="V789" i="1"/>
  <c r="D789" i="1"/>
  <c r="X789" i="1" s="1"/>
  <c r="V797" i="1"/>
  <c r="D797" i="1"/>
  <c r="X797" i="1" s="1"/>
  <c r="V805" i="1"/>
  <c r="D805" i="1"/>
  <c r="X805" i="1" s="1"/>
  <c r="V813" i="1"/>
  <c r="D813" i="1"/>
  <c r="X813" i="1" s="1"/>
  <c r="V821" i="1"/>
  <c r="D821" i="1"/>
  <c r="X821" i="1" s="1"/>
  <c r="V829" i="1"/>
  <c r="D829" i="1"/>
  <c r="X829" i="1" s="1"/>
  <c r="V837" i="1"/>
  <c r="D837" i="1"/>
  <c r="X837" i="1" s="1"/>
  <c r="V845" i="1"/>
  <c r="D845" i="1"/>
  <c r="X845" i="1" s="1"/>
  <c r="V853" i="1"/>
  <c r="D853" i="1"/>
  <c r="X853" i="1" s="1"/>
  <c r="V861" i="1"/>
  <c r="D861" i="1"/>
  <c r="X861" i="1" s="1"/>
  <c r="V869" i="1"/>
  <c r="D869" i="1"/>
  <c r="X869" i="1" s="1"/>
  <c r="V877" i="1"/>
  <c r="D877" i="1"/>
  <c r="X877" i="1" s="1"/>
  <c r="V885" i="1"/>
  <c r="D885" i="1"/>
  <c r="X885" i="1" s="1"/>
  <c r="V893" i="1"/>
  <c r="D893" i="1"/>
  <c r="X893" i="1" s="1"/>
  <c r="V901" i="1"/>
  <c r="D901" i="1"/>
  <c r="X901" i="1" s="1"/>
  <c r="V909" i="1"/>
  <c r="D909" i="1"/>
  <c r="X909" i="1" s="1"/>
  <c r="V917" i="1"/>
  <c r="D917" i="1"/>
  <c r="X917" i="1" s="1"/>
  <c r="V925" i="1"/>
  <c r="D925" i="1"/>
  <c r="X925" i="1" s="1"/>
  <c r="V933" i="1"/>
  <c r="D933" i="1"/>
  <c r="X933" i="1" s="1"/>
  <c r="V941" i="1"/>
  <c r="D941" i="1"/>
  <c r="X941" i="1" s="1"/>
  <c r="V949" i="1"/>
  <c r="D949" i="1"/>
  <c r="X949" i="1" s="1"/>
  <c r="V957" i="1"/>
  <c r="D957" i="1"/>
  <c r="X957" i="1" s="1"/>
  <c r="V965" i="1"/>
  <c r="D965" i="1"/>
  <c r="X965" i="1" s="1"/>
  <c r="V973" i="1"/>
  <c r="D973" i="1"/>
  <c r="X973" i="1" s="1"/>
  <c r="V981" i="1"/>
  <c r="D981" i="1"/>
  <c r="X981" i="1" s="1"/>
  <c r="V989" i="1"/>
  <c r="D989" i="1"/>
  <c r="X989" i="1" s="1"/>
  <c r="V997" i="1"/>
  <c r="D997" i="1"/>
  <c r="X997" i="1" s="1"/>
  <c r="V1005" i="1"/>
  <c r="D1005" i="1"/>
  <c r="X1005" i="1" s="1"/>
  <c r="V1013" i="1"/>
  <c r="D1013" i="1"/>
  <c r="X1013" i="1" s="1"/>
  <c r="V1021" i="1"/>
  <c r="D1021" i="1"/>
  <c r="X1021" i="1" s="1"/>
  <c r="V1029" i="1"/>
  <c r="D1029" i="1"/>
  <c r="X1029" i="1" s="1"/>
  <c r="V1037" i="1"/>
  <c r="D1037" i="1"/>
  <c r="X1037" i="1" s="1"/>
  <c r="V1045" i="1"/>
  <c r="D1045" i="1"/>
  <c r="X1045" i="1" s="1"/>
  <c r="V1053" i="1"/>
  <c r="D1053" i="1"/>
  <c r="X1053" i="1" s="1"/>
  <c r="V1061" i="1"/>
  <c r="D1061" i="1"/>
  <c r="X1061" i="1" s="1"/>
  <c r="V1069" i="1"/>
  <c r="D1069" i="1"/>
  <c r="X1069" i="1" s="1"/>
  <c r="V1077" i="1"/>
  <c r="D1077" i="1"/>
  <c r="X1077" i="1" s="1"/>
  <c r="V1085" i="1"/>
  <c r="D1085" i="1"/>
  <c r="X1085" i="1" s="1"/>
  <c r="V1093" i="1"/>
  <c r="D1093" i="1"/>
  <c r="X1093" i="1" s="1"/>
  <c r="V1101" i="1"/>
  <c r="D1101" i="1"/>
  <c r="X1101" i="1" s="1"/>
  <c r="V1109" i="1"/>
  <c r="D1109" i="1"/>
  <c r="X1109" i="1" s="1"/>
  <c r="V1117" i="1"/>
  <c r="D1117" i="1"/>
  <c r="X1117" i="1" s="1"/>
  <c r="V1125" i="1"/>
  <c r="D1125" i="1"/>
  <c r="X1125" i="1" s="1"/>
  <c r="V1133" i="1"/>
  <c r="D1133" i="1"/>
  <c r="X1133" i="1" s="1"/>
  <c r="V1141" i="1"/>
  <c r="D1141" i="1"/>
  <c r="X1141" i="1" s="1"/>
  <c r="V1149" i="1"/>
  <c r="D1149" i="1"/>
  <c r="X1149" i="1" s="1"/>
  <c r="V1157" i="1"/>
  <c r="D1157" i="1"/>
  <c r="X1157" i="1" s="1"/>
  <c r="V1165" i="1"/>
  <c r="D1165" i="1"/>
  <c r="X1165" i="1" s="1"/>
  <c r="V1173" i="1"/>
  <c r="D1173" i="1"/>
  <c r="X1173" i="1" s="1"/>
  <c r="V1181" i="1"/>
  <c r="D1181" i="1"/>
  <c r="X1181" i="1" s="1"/>
  <c r="V1189" i="1"/>
  <c r="D1189" i="1"/>
  <c r="X1189" i="1" s="1"/>
  <c r="V1197" i="1"/>
  <c r="D1197" i="1"/>
  <c r="X1197" i="1" s="1"/>
  <c r="V1205" i="1"/>
  <c r="D1205" i="1"/>
  <c r="X1205" i="1" s="1"/>
  <c r="V1213" i="1"/>
  <c r="D1213" i="1"/>
  <c r="X1213" i="1" s="1"/>
  <c r="V1221" i="1"/>
  <c r="D1221" i="1"/>
  <c r="X1221" i="1" s="1"/>
  <c r="V1229" i="1"/>
  <c r="D1229" i="1"/>
  <c r="X1229" i="1" s="1"/>
  <c r="V1237" i="1"/>
  <c r="D1237" i="1"/>
  <c r="X1237" i="1" s="1"/>
  <c r="V1245" i="1"/>
  <c r="D1245" i="1"/>
  <c r="X1245" i="1" s="1"/>
  <c r="V1250" i="1"/>
  <c r="V1253" i="1"/>
  <c r="D1253" i="1"/>
  <c r="X1253" i="1" s="1"/>
  <c r="V1258" i="1"/>
  <c r="V1261" i="1"/>
  <c r="D1261" i="1"/>
  <c r="X1261" i="1" s="1"/>
  <c r="V1266" i="1"/>
  <c r="V1269" i="1"/>
  <c r="D1269" i="1"/>
  <c r="X1269" i="1" s="1"/>
  <c r="V1274" i="1"/>
  <c r="V1277" i="1"/>
  <c r="D1277" i="1"/>
  <c r="X1277" i="1" s="1"/>
  <c r="V1282" i="1"/>
  <c r="V1285" i="1"/>
  <c r="D1285" i="1"/>
  <c r="X1285" i="1" s="1"/>
  <c r="V1290" i="1"/>
  <c r="V1293" i="1"/>
  <c r="D1293" i="1"/>
  <c r="X1293" i="1" s="1"/>
  <c r="V1298" i="1"/>
  <c r="V1301" i="1"/>
  <c r="D1301" i="1"/>
  <c r="X1301" i="1" s="1"/>
  <c r="V1306" i="1"/>
  <c r="V1309" i="1"/>
  <c r="D1309" i="1"/>
  <c r="X1309" i="1" s="1"/>
  <c r="V1314" i="1"/>
  <c r="V1317" i="1"/>
  <c r="D1317" i="1"/>
  <c r="X1317" i="1" s="1"/>
  <c r="V1322" i="1"/>
  <c r="V1325" i="1"/>
  <c r="D1325" i="1"/>
  <c r="X1325" i="1" s="1"/>
  <c r="V1330" i="1"/>
  <c r="V1333" i="1"/>
  <c r="D1333" i="1"/>
  <c r="X1333" i="1" s="1"/>
  <c r="V1338" i="1"/>
  <c r="V1341" i="1"/>
  <c r="D1341" i="1"/>
  <c r="X1341" i="1" s="1"/>
  <c r="V1346" i="1"/>
  <c r="V1349" i="1"/>
  <c r="D1349" i="1"/>
  <c r="X1349" i="1" s="1"/>
  <c r="V1354" i="1"/>
  <c r="V1357" i="1"/>
  <c r="D1357" i="1"/>
  <c r="X1357" i="1" s="1"/>
  <c r="V1362" i="1"/>
  <c r="V1365" i="1"/>
  <c r="D1365" i="1"/>
  <c r="X1365" i="1" s="1"/>
  <c r="V1370" i="1"/>
  <c r="V1373" i="1"/>
  <c r="D1373" i="1"/>
  <c r="X1373" i="1" s="1"/>
  <c r="V1378" i="1"/>
  <c r="V1381" i="1"/>
  <c r="D1381" i="1"/>
  <c r="X1381" i="1" s="1"/>
  <c r="V1386" i="1"/>
  <c r="V1389" i="1"/>
  <c r="D1389" i="1"/>
  <c r="X1389" i="1" s="1"/>
  <c r="V1394" i="1"/>
  <c r="V1397" i="1"/>
  <c r="D1397" i="1"/>
  <c r="X1397" i="1" s="1"/>
  <c r="V1402" i="1"/>
  <c r="V1405" i="1"/>
  <c r="D1405" i="1"/>
  <c r="X1405" i="1" s="1"/>
  <c r="V1410" i="1"/>
  <c r="V1413" i="1"/>
  <c r="D1413" i="1"/>
  <c r="X1413" i="1" s="1"/>
  <c r="V1418" i="1"/>
  <c r="V1421" i="1"/>
  <c r="D1421" i="1"/>
  <c r="X1421" i="1" s="1"/>
  <c r="V1426" i="1"/>
  <c r="V1429" i="1"/>
  <c r="D1429" i="1"/>
  <c r="X1429" i="1" s="1"/>
  <c r="V1434" i="1"/>
  <c r="V1437" i="1"/>
  <c r="D1437" i="1"/>
  <c r="X1437" i="1" s="1"/>
  <c r="V1442" i="1"/>
  <c r="V1445" i="1"/>
  <c r="D1445" i="1"/>
  <c r="X1445" i="1" s="1"/>
  <c r="V1450" i="1"/>
  <c r="V1453" i="1"/>
  <c r="D1453" i="1"/>
  <c r="X1453" i="1" s="1"/>
  <c r="V1458" i="1"/>
  <c r="V1461" i="1"/>
  <c r="D1461" i="1"/>
  <c r="X1461" i="1" s="1"/>
  <c r="V1466" i="1"/>
  <c r="V1469" i="1"/>
  <c r="D1469" i="1"/>
  <c r="X1469" i="1" s="1"/>
  <c r="V1474" i="1"/>
  <c r="V1477" i="1"/>
  <c r="D1477" i="1"/>
  <c r="X1477" i="1" s="1"/>
  <c r="V1482" i="1"/>
  <c r="V1485" i="1"/>
  <c r="D1485" i="1"/>
  <c r="X1485" i="1" s="1"/>
  <c r="V1490" i="1"/>
  <c r="V1493" i="1"/>
  <c r="D1493" i="1"/>
  <c r="X1493" i="1" s="1"/>
  <c r="V1498" i="1"/>
  <c r="V1501" i="1"/>
  <c r="D1501" i="1"/>
  <c r="X1501" i="1" s="1"/>
  <c r="V1506" i="1"/>
  <c r="V1509" i="1"/>
  <c r="D1509" i="1"/>
  <c r="X1509" i="1" s="1"/>
  <c r="V1514" i="1"/>
  <c r="V1517" i="1"/>
  <c r="D1517" i="1"/>
  <c r="X1517" i="1" s="1"/>
  <c r="V1522" i="1"/>
  <c r="V1525" i="1"/>
  <c r="D1525" i="1"/>
  <c r="X1525" i="1" s="1"/>
  <c r="V1530" i="1"/>
  <c r="V1533" i="1"/>
  <c r="D1533" i="1"/>
  <c r="X1533" i="1" s="1"/>
  <c r="V1538" i="1"/>
  <c r="V1541" i="1"/>
  <c r="D1541" i="1"/>
  <c r="X1541" i="1" s="1"/>
  <c r="V1546" i="1"/>
  <c r="V1549" i="1"/>
  <c r="D1549" i="1"/>
  <c r="X1549" i="1" s="1"/>
  <c r="V1554" i="1"/>
  <c r="V1557" i="1"/>
  <c r="D1557" i="1"/>
  <c r="X1557" i="1" s="1"/>
  <c r="V1562" i="1"/>
  <c r="V1565" i="1"/>
  <c r="D1565" i="1"/>
  <c r="X1565" i="1" s="1"/>
  <c r="V1570" i="1"/>
  <c r="V1573" i="1"/>
  <c r="D1573" i="1"/>
  <c r="X1573" i="1" s="1"/>
  <c r="V1578" i="1"/>
  <c r="V1581" i="1"/>
  <c r="D1581" i="1"/>
  <c r="X1581" i="1" s="1"/>
  <c r="V1586" i="1"/>
  <c r="V1589" i="1"/>
  <c r="D1589" i="1"/>
  <c r="X1589" i="1" s="1"/>
  <c r="V1594" i="1"/>
  <c r="V1597" i="1"/>
  <c r="D1597" i="1"/>
  <c r="X1597" i="1" s="1"/>
  <c r="V1602" i="1"/>
  <c r="V1605" i="1"/>
  <c r="D1605" i="1"/>
  <c r="X1605" i="1" s="1"/>
  <c r="V1610" i="1"/>
  <c r="V1613" i="1"/>
  <c r="D1613" i="1"/>
  <c r="X1613" i="1" s="1"/>
  <c r="V1618" i="1"/>
  <c r="V1621" i="1"/>
  <c r="D1621" i="1"/>
  <c r="X1621" i="1" s="1"/>
  <c r="V1626" i="1"/>
  <c r="V1629" i="1"/>
  <c r="D1629" i="1"/>
  <c r="X1629" i="1" s="1"/>
  <c r="V1634" i="1"/>
  <c r="V1637" i="1"/>
  <c r="D1637" i="1"/>
  <c r="X1637" i="1" s="1"/>
  <c r="V1642" i="1"/>
  <c r="V1645" i="1"/>
  <c r="D1645" i="1"/>
  <c r="X1645" i="1" s="1"/>
  <c r="V1650" i="1"/>
  <c r="V1653" i="1"/>
  <c r="D1653" i="1"/>
  <c r="X1653" i="1" s="1"/>
  <c r="V1658" i="1"/>
  <c r="V1661" i="1"/>
  <c r="D1661" i="1"/>
  <c r="X1661" i="1" s="1"/>
  <c r="V1666" i="1"/>
  <c r="V1669" i="1"/>
  <c r="D1669" i="1"/>
  <c r="X1669" i="1" s="1"/>
  <c r="V1674" i="1"/>
  <c r="V1677" i="1"/>
  <c r="D1677" i="1"/>
  <c r="X1677" i="1" s="1"/>
  <c r="V1682" i="1"/>
  <c r="V1685" i="1"/>
  <c r="D1685" i="1"/>
  <c r="X1685" i="1" s="1"/>
  <c r="V1690" i="1"/>
  <c r="V1693" i="1"/>
  <c r="D1693" i="1"/>
  <c r="X1693" i="1" s="1"/>
  <c r="V1698" i="1"/>
  <c r="V1701" i="1"/>
  <c r="D1701" i="1"/>
  <c r="X1701" i="1" s="1"/>
  <c r="V1706" i="1"/>
  <c r="V1709" i="1"/>
  <c r="D1709" i="1"/>
  <c r="X1709" i="1" s="1"/>
  <c r="V1714" i="1"/>
  <c r="V1717" i="1"/>
  <c r="D1717" i="1"/>
  <c r="X1717" i="1" s="1"/>
  <c r="V1722" i="1"/>
  <c r="V1725" i="1"/>
  <c r="D1725" i="1"/>
  <c r="X1725" i="1" s="1"/>
  <c r="V1730" i="1"/>
  <c r="V1733" i="1"/>
  <c r="D1733" i="1"/>
  <c r="X1733" i="1" s="1"/>
  <c r="V1738" i="1"/>
  <c r="V1741" i="1"/>
  <c r="D1741" i="1"/>
  <c r="X1741" i="1" s="1"/>
  <c r="V1746" i="1"/>
  <c r="V1749" i="1"/>
  <c r="D1749" i="1"/>
  <c r="X1749" i="1" s="1"/>
  <c r="V1754" i="1"/>
  <c r="V1757" i="1"/>
  <c r="D1757" i="1"/>
  <c r="X1757" i="1" s="1"/>
  <c r="V1762" i="1"/>
  <c r="V1765" i="1"/>
  <c r="D1765" i="1"/>
  <c r="X1765" i="1" s="1"/>
  <c r="V1770" i="1"/>
  <c r="V1773" i="1"/>
  <c r="D1773" i="1"/>
  <c r="X1773" i="1" s="1"/>
  <c r="V1778" i="1"/>
  <c r="V1781" i="1"/>
  <c r="D1781" i="1"/>
  <c r="X1781" i="1" s="1"/>
  <c r="V1786" i="1"/>
  <c r="V1789" i="1"/>
  <c r="D1789" i="1"/>
  <c r="X1789" i="1" s="1"/>
  <c r="V1794" i="1"/>
  <c r="V1797" i="1"/>
  <c r="D1797" i="1"/>
  <c r="X1797" i="1" s="1"/>
  <c r="V1802" i="1"/>
  <c r="V1805" i="1"/>
  <c r="D1805" i="1"/>
  <c r="X1805" i="1" s="1"/>
  <c r="V1810" i="1"/>
  <c r="V1813" i="1"/>
  <c r="D1813" i="1"/>
  <c r="X1813" i="1" s="1"/>
  <c r="V1818" i="1"/>
  <c r="V1821" i="1"/>
  <c r="D1821" i="1"/>
  <c r="X1821" i="1" s="1"/>
  <c r="V1826" i="1"/>
  <c r="V1829" i="1"/>
  <c r="D1829" i="1"/>
  <c r="X1829" i="1" s="1"/>
  <c r="V1834" i="1"/>
  <c r="V1837" i="1"/>
  <c r="D1837" i="1"/>
  <c r="X1837" i="1" s="1"/>
  <c r="V1842" i="1"/>
  <c r="V1845" i="1"/>
  <c r="D1845" i="1"/>
  <c r="X1845" i="1" s="1"/>
  <c r="V1850" i="1"/>
  <c r="V1853" i="1"/>
  <c r="D1853" i="1"/>
  <c r="X1853" i="1" s="1"/>
  <c r="V1858" i="1"/>
  <c r="V1861" i="1"/>
  <c r="D1861" i="1"/>
  <c r="X1861" i="1" s="1"/>
  <c r="V1866" i="1"/>
  <c r="V1869" i="1"/>
  <c r="D1869" i="1"/>
  <c r="X1869" i="1" s="1"/>
  <c r="V1874" i="1"/>
  <c r="V1877" i="1"/>
  <c r="D1877" i="1"/>
  <c r="X1877" i="1" s="1"/>
  <c r="V1882" i="1"/>
  <c r="V1885" i="1"/>
  <c r="D1885" i="1"/>
  <c r="X1885" i="1" s="1"/>
  <c r="V1890" i="1"/>
  <c r="V1893" i="1"/>
  <c r="D1893" i="1"/>
  <c r="X1893" i="1" s="1"/>
  <c r="V1898" i="1"/>
  <c r="V1901" i="1"/>
  <c r="D1901" i="1"/>
  <c r="X1901" i="1" s="1"/>
  <c r="V1906" i="1"/>
  <c r="V1909" i="1"/>
  <c r="D1909" i="1"/>
  <c r="X1909" i="1" s="1"/>
  <c r="V1914" i="1"/>
  <c r="V1917" i="1"/>
  <c r="D1917" i="1"/>
  <c r="X1917" i="1" s="1"/>
  <c r="V1922" i="1"/>
  <c r="V1925" i="1"/>
  <c r="D1925" i="1"/>
  <c r="X1925" i="1" s="1"/>
  <c r="V1930" i="1"/>
  <c r="V1933" i="1"/>
  <c r="D1933" i="1"/>
  <c r="X1933" i="1" s="1"/>
  <c r="V1938" i="1"/>
  <c r="V1941" i="1"/>
  <c r="D1941" i="1"/>
  <c r="X1941" i="1" s="1"/>
  <c r="V1946" i="1"/>
  <c r="V1949" i="1"/>
  <c r="D1949" i="1"/>
  <c r="X1949" i="1" s="1"/>
  <c r="V1954" i="1"/>
  <c r="V1957" i="1"/>
  <c r="D1957" i="1"/>
  <c r="X1957" i="1" s="1"/>
  <c r="V1962" i="1"/>
  <c r="V1965" i="1"/>
  <c r="D1965" i="1"/>
  <c r="X1965" i="1" s="1"/>
  <c r="V1970" i="1"/>
  <c r="V1973" i="1"/>
  <c r="D1973" i="1"/>
  <c r="X1973" i="1" s="1"/>
  <c r="V1978" i="1"/>
  <c r="V1981" i="1"/>
  <c r="D1981" i="1"/>
  <c r="X1981" i="1" s="1"/>
  <c r="V1986" i="1"/>
  <c r="V1989" i="1"/>
  <c r="D1989" i="1"/>
  <c r="X1989" i="1" s="1"/>
  <c r="V1994" i="1"/>
  <c r="V1997" i="1"/>
  <c r="D1997" i="1"/>
  <c r="X1997" i="1" s="1"/>
  <c r="V2002" i="1"/>
  <c r="V2005" i="1"/>
  <c r="D2005" i="1"/>
  <c r="X2005" i="1" s="1"/>
  <c r="V2010" i="1"/>
  <c r="V2013" i="1"/>
  <c r="D2013" i="1"/>
  <c r="X2013" i="1" s="1"/>
  <c r="V2018" i="1"/>
  <c r="V2021" i="1"/>
  <c r="D2021" i="1"/>
  <c r="X2021" i="1" s="1"/>
  <c r="V2026" i="1"/>
  <c r="V2029" i="1"/>
  <c r="D2029" i="1"/>
  <c r="X2029" i="1" s="1"/>
  <c r="V2034" i="1"/>
  <c r="V2037" i="1"/>
  <c r="D2037" i="1"/>
  <c r="X2037" i="1" s="1"/>
  <c r="V2042" i="1"/>
  <c r="V2045" i="1"/>
  <c r="D2045" i="1"/>
  <c r="X2045" i="1" s="1"/>
  <c r="V2050" i="1"/>
  <c r="V2053" i="1"/>
  <c r="D2053" i="1"/>
  <c r="X2053" i="1" s="1"/>
  <c r="V2058" i="1"/>
  <c r="V2061" i="1"/>
  <c r="D2061" i="1"/>
  <c r="X2061" i="1" s="1"/>
  <c r="V2066" i="1"/>
  <c r="V2069" i="1"/>
  <c r="D2069" i="1"/>
  <c r="X2069" i="1" s="1"/>
  <c r="V2074" i="1"/>
  <c r="V2077" i="1"/>
  <c r="D2077" i="1"/>
  <c r="X2077" i="1" s="1"/>
  <c r="V2082" i="1"/>
  <c r="V2085" i="1"/>
  <c r="D2085" i="1"/>
  <c r="X2085" i="1" s="1"/>
  <c r="V2090" i="1"/>
  <c r="V2093" i="1"/>
  <c r="D2093" i="1"/>
  <c r="X2093" i="1" s="1"/>
  <c r="V2098" i="1"/>
  <c r="V2101" i="1"/>
  <c r="D2101" i="1"/>
  <c r="X2101" i="1" s="1"/>
  <c r="V2106" i="1"/>
  <c r="V2109" i="1"/>
  <c r="D2109" i="1"/>
  <c r="X2109" i="1" s="1"/>
  <c r="V2114" i="1"/>
  <c r="V2117" i="1"/>
  <c r="D2117" i="1"/>
  <c r="X2117" i="1" s="1"/>
  <c r="V2122" i="1"/>
  <c r="V2125" i="1"/>
  <c r="D2125" i="1"/>
  <c r="X2125" i="1" s="1"/>
  <c r="V2130" i="1"/>
  <c r="V2133" i="1"/>
  <c r="D2133" i="1"/>
  <c r="X2133" i="1" s="1"/>
  <c r="V2138" i="1"/>
  <c r="V2141" i="1"/>
  <c r="D2141" i="1"/>
  <c r="X2141" i="1" s="1"/>
  <c r="V2146" i="1"/>
  <c r="V2149" i="1"/>
  <c r="D2149" i="1"/>
  <c r="X2149" i="1" s="1"/>
  <c r="V2154" i="1"/>
  <c r="V2157" i="1"/>
  <c r="D2157" i="1"/>
  <c r="X2157" i="1" s="1"/>
  <c r="V2162" i="1"/>
  <c r="V2165" i="1"/>
  <c r="D2165" i="1"/>
  <c r="X2165" i="1" s="1"/>
  <c r="V2170" i="1"/>
  <c r="V2173" i="1"/>
  <c r="D2173" i="1"/>
  <c r="X2173" i="1" s="1"/>
  <c r="V2178" i="1"/>
  <c r="V2181" i="1"/>
  <c r="D2181" i="1"/>
  <c r="X2181" i="1" s="1"/>
  <c r="V2186" i="1"/>
  <c r="V2189" i="1"/>
  <c r="D2189" i="1"/>
  <c r="X2189" i="1" s="1"/>
  <c r="V2194" i="1"/>
  <c r="V2197" i="1"/>
  <c r="D2197" i="1"/>
  <c r="X2197" i="1" s="1"/>
  <c r="V2202" i="1"/>
  <c r="V2205" i="1"/>
  <c r="D2205" i="1"/>
  <c r="X2205" i="1" s="1"/>
  <c r="V2210" i="1"/>
  <c r="V2213" i="1"/>
  <c r="D2213" i="1"/>
  <c r="X2213" i="1" s="1"/>
  <c r="V2218" i="1"/>
  <c r="V2221" i="1"/>
  <c r="D2221" i="1"/>
  <c r="X2221" i="1" s="1"/>
  <c r="V2226" i="1"/>
  <c r="V2229" i="1"/>
  <c r="D2229" i="1"/>
  <c r="X2229" i="1" s="1"/>
  <c r="V2234" i="1"/>
  <c r="V2237" i="1"/>
  <c r="D2237" i="1"/>
  <c r="X2237" i="1" s="1"/>
  <c r="V2242" i="1"/>
  <c r="V2245" i="1"/>
  <c r="D2245" i="1"/>
  <c r="X2245" i="1" s="1"/>
  <c r="V2250" i="1"/>
  <c r="V2253" i="1"/>
  <c r="D2253" i="1"/>
  <c r="X2253" i="1" s="1"/>
  <c r="V2258" i="1"/>
  <c r="V2261" i="1"/>
  <c r="D2261" i="1"/>
  <c r="X2261" i="1" s="1"/>
  <c r="V2266" i="1"/>
  <c r="V2269" i="1"/>
  <c r="D2269" i="1"/>
  <c r="X2269" i="1" s="1"/>
  <c r="V2274" i="1"/>
  <c r="V2277" i="1"/>
  <c r="D2277" i="1"/>
  <c r="X2277" i="1" s="1"/>
  <c r="V2282" i="1"/>
  <c r="V2285" i="1"/>
  <c r="D2285" i="1"/>
  <c r="X2285" i="1" s="1"/>
  <c r="V2290" i="1"/>
  <c r="V2293" i="1"/>
  <c r="D2293" i="1"/>
  <c r="X2293" i="1" s="1"/>
  <c r="V2298" i="1"/>
  <c r="V2301" i="1"/>
  <c r="D2301" i="1"/>
  <c r="X2301" i="1" s="1"/>
  <c r="V2306" i="1"/>
  <c r="V2309" i="1"/>
  <c r="D2309" i="1"/>
  <c r="X2309" i="1" s="1"/>
  <c r="V2314" i="1"/>
  <c r="V2317" i="1"/>
  <c r="D2317" i="1"/>
  <c r="X2317" i="1" s="1"/>
  <c r="V2322" i="1"/>
  <c r="V2325" i="1"/>
  <c r="D2325" i="1"/>
  <c r="X2325" i="1" s="1"/>
  <c r="V2330" i="1"/>
  <c r="V2333" i="1"/>
  <c r="D2333" i="1"/>
  <c r="X2333" i="1" s="1"/>
  <c r="V2338" i="1"/>
  <c r="V2341" i="1"/>
  <c r="D2341" i="1"/>
  <c r="X2341" i="1" s="1"/>
  <c r="V2346" i="1"/>
  <c r="V2349" i="1"/>
  <c r="D2349" i="1"/>
  <c r="X2349" i="1" s="1"/>
  <c r="V2354" i="1"/>
  <c r="V2357" i="1"/>
  <c r="D2357" i="1"/>
  <c r="X2357" i="1" s="1"/>
  <c r="V2362" i="1"/>
  <c r="V2365" i="1"/>
  <c r="D2365" i="1"/>
  <c r="X2365" i="1" s="1"/>
  <c r="V2370" i="1"/>
  <c r="V2373" i="1"/>
  <c r="D2373" i="1"/>
  <c r="X2373" i="1" s="1"/>
  <c r="V2378" i="1"/>
  <c r="V2381" i="1"/>
  <c r="D2381" i="1"/>
  <c r="X2381" i="1" s="1"/>
  <c r="V2386" i="1"/>
  <c r="V2389" i="1"/>
  <c r="D2389" i="1"/>
  <c r="X2389" i="1" s="1"/>
  <c r="V2394" i="1"/>
  <c r="V2397" i="1"/>
  <c r="D2397" i="1"/>
  <c r="X2397" i="1" s="1"/>
  <c r="V2402" i="1"/>
  <c r="V2405" i="1"/>
  <c r="D2405" i="1"/>
  <c r="X2405" i="1" s="1"/>
  <c r="V2410" i="1"/>
  <c r="V2413" i="1"/>
  <c r="D2413" i="1"/>
  <c r="X2413" i="1" s="1"/>
  <c r="V2418" i="1"/>
  <c r="V2421" i="1"/>
  <c r="D2421" i="1"/>
  <c r="X2421" i="1" s="1"/>
  <c r="V2426" i="1"/>
  <c r="V2429" i="1"/>
  <c r="D2429" i="1"/>
  <c r="X2429" i="1" s="1"/>
  <c r="V2434" i="1"/>
  <c r="V2437" i="1"/>
  <c r="D2437" i="1"/>
  <c r="X2437" i="1" s="1"/>
  <c r="V2442" i="1"/>
  <c r="V2445" i="1"/>
  <c r="D2445" i="1"/>
  <c r="X2445" i="1" s="1"/>
  <c r="V2450" i="1"/>
  <c r="V2453" i="1"/>
  <c r="D2453" i="1"/>
  <c r="X2453" i="1" s="1"/>
  <c r="V2458" i="1"/>
  <c r="V2461" i="1"/>
  <c r="D2461" i="1"/>
  <c r="X2461" i="1" s="1"/>
  <c r="V2466" i="1"/>
  <c r="V2469" i="1"/>
  <c r="D2469" i="1"/>
  <c r="X2469" i="1" s="1"/>
  <c r="V2474" i="1"/>
  <c r="V2477" i="1"/>
  <c r="D2477" i="1"/>
  <c r="X2477" i="1" s="1"/>
  <c r="V2482" i="1"/>
  <c r="V2485" i="1"/>
  <c r="D2485" i="1"/>
  <c r="X2485" i="1" s="1"/>
  <c r="V2490" i="1"/>
  <c r="V2493" i="1"/>
  <c r="D2493" i="1"/>
  <c r="X2493" i="1" s="1"/>
  <c r="V2498" i="1"/>
  <c r="V2501" i="1"/>
  <c r="D2501" i="1"/>
  <c r="X2501" i="1" s="1"/>
  <c r="V2506" i="1"/>
  <c r="V2509" i="1"/>
  <c r="D2509" i="1"/>
  <c r="X2509" i="1" s="1"/>
  <c r="V2514" i="1"/>
  <c r="V2517" i="1"/>
  <c r="D2517" i="1"/>
  <c r="X2517" i="1" s="1"/>
  <c r="V2522" i="1"/>
  <c r="V2525" i="1"/>
  <c r="D2525" i="1"/>
  <c r="X2525" i="1" s="1"/>
  <c r="V2530" i="1"/>
  <c r="V2533" i="1"/>
  <c r="D2533" i="1"/>
  <c r="X2533" i="1" s="1"/>
  <c r="V2538" i="1"/>
  <c r="V2541" i="1"/>
  <c r="D2541" i="1"/>
  <c r="X2541" i="1" s="1"/>
  <c r="V2546" i="1"/>
  <c r="V2549" i="1"/>
  <c r="D2549" i="1"/>
  <c r="X2549" i="1" s="1"/>
  <c r="V2554" i="1"/>
  <c r="V2557" i="1"/>
  <c r="D2557" i="1"/>
  <c r="X2557" i="1" s="1"/>
  <c r="V2562" i="1"/>
  <c r="V2565" i="1"/>
  <c r="D2565" i="1"/>
  <c r="X2565" i="1" s="1"/>
  <c r="V2570" i="1"/>
  <c r="V2573" i="1"/>
  <c r="D2573" i="1"/>
  <c r="X2573" i="1" s="1"/>
  <c r="V2578" i="1"/>
  <c r="V2581" i="1"/>
  <c r="D2581" i="1"/>
  <c r="X2581" i="1" s="1"/>
  <c r="V2586" i="1"/>
  <c r="V2589" i="1"/>
  <c r="D2589" i="1"/>
  <c r="X2589" i="1" s="1"/>
  <c r="V2594" i="1"/>
  <c r="V2597" i="1"/>
  <c r="D2597" i="1"/>
  <c r="X2597" i="1" s="1"/>
  <c r="V2602" i="1"/>
  <c r="V2605" i="1"/>
  <c r="D2605" i="1"/>
  <c r="X2605" i="1" s="1"/>
  <c r="V2610" i="1"/>
  <c r="V2613" i="1"/>
  <c r="D2613" i="1"/>
  <c r="X2613" i="1" s="1"/>
  <c r="V2618" i="1"/>
  <c r="V2621" i="1"/>
  <c r="D2621" i="1"/>
  <c r="X2621" i="1" s="1"/>
  <c r="V2626" i="1"/>
  <c r="V2629" i="1"/>
  <c r="D2629" i="1"/>
  <c r="X2629" i="1" s="1"/>
  <c r="V2634" i="1"/>
  <c r="V2637" i="1"/>
  <c r="D2637" i="1"/>
  <c r="X2637" i="1" s="1"/>
  <c r="V2642" i="1"/>
  <c r="V2645" i="1"/>
  <c r="D2645" i="1"/>
  <c r="X2645" i="1" s="1"/>
  <c r="V2650" i="1"/>
  <c r="V2653" i="1"/>
  <c r="D2653" i="1"/>
  <c r="X2653" i="1" s="1"/>
  <c r="V2658" i="1"/>
  <c r="V2661" i="1"/>
  <c r="D2661" i="1"/>
  <c r="X2661" i="1" s="1"/>
  <c r="V2666" i="1"/>
  <c r="V2669" i="1"/>
  <c r="D2669" i="1"/>
  <c r="X2669" i="1" s="1"/>
  <c r="V2674" i="1"/>
  <c r="V2677" i="1"/>
  <c r="D2677" i="1"/>
  <c r="X2677" i="1" s="1"/>
  <c r="V2682" i="1"/>
  <c r="V2685" i="1"/>
  <c r="D2685" i="1"/>
  <c r="X2685" i="1" s="1"/>
  <c r="V2690" i="1"/>
  <c r="V2693" i="1"/>
  <c r="D2693" i="1"/>
  <c r="X2693" i="1" s="1"/>
  <c r="V2698" i="1"/>
  <c r="V2701" i="1"/>
  <c r="D2701" i="1"/>
  <c r="X2701" i="1" s="1"/>
  <c r="V2706" i="1"/>
  <c r="V2709" i="1"/>
  <c r="D2709" i="1"/>
  <c r="X2709" i="1" s="1"/>
  <c r="V2714" i="1"/>
  <c r="V2717" i="1"/>
  <c r="D2717" i="1"/>
  <c r="X2717" i="1" s="1"/>
  <c r="V2722" i="1"/>
  <c r="V2725" i="1"/>
  <c r="D2725" i="1"/>
  <c r="X2725" i="1" s="1"/>
  <c r="V2730" i="1"/>
  <c r="V2733" i="1"/>
  <c r="D2733" i="1"/>
  <c r="X2733" i="1" s="1"/>
  <c r="V2738" i="1"/>
  <c r="V2741" i="1"/>
  <c r="D2741" i="1"/>
  <c r="X2741" i="1" s="1"/>
  <c r="V2746" i="1"/>
  <c r="V2749" i="1"/>
  <c r="D2749" i="1"/>
  <c r="X2749" i="1" s="1"/>
  <c r="V2754" i="1"/>
  <c r="V2757" i="1"/>
  <c r="D2757" i="1"/>
  <c r="X2757" i="1" s="1"/>
  <c r="V2762" i="1"/>
  <c r="V2765" i="1"/>
  <c r="D2765" i="1"/>
  <c r="X2765" i="1" s="1"/>
  <c r="V2770" i="1"/>
  <c r="V2773" i="1"/>
  <c r="D2773" i="1"/>
  <c r="X2773" i="1" s="1"/>
  <c r="V2778" i="1"/>
  <c r="V2781" i="1"/>
  <c r="D2781" i="1"/>
  <c r="X2781" i="1" s="1"/>
  <c r="V2786" i="1"/>
  <c r="V2789" i="1"/>
  <c r="D2789" i="1"/>
  <c r="X2789" i="1" s="1"/>
  <c r="V2794" i="1"/>
  <c r="V2797" i="1"/>
  <c r="D2797" i="1"/>
  <c r="X2797" i="1" s="1"/>
  <c r="V2802" i="1"/>
  <c r="V2805" i="1"/>
  <c r="D2805" i="1"/>
  <c r="X2805" i="1" s="1"/>
  <c r="V2810" i="1"/>
  <c r="V2813" i="1"/>
  <c r="D2813" i="1"/>
  <c r="X2813" i="1" s="1"/>
  <c r="V2821" i="1"/>
  <c r="D2821" i="1"/>
  <c r="X2821" i="1" s="1"/>
  <c r="V2829" i="1"/>
  <c r="D2829" i="1"/>
  <c r="X2829" i="1" s="1"/>
  <c r="V2837" i="1"/>
  <c r="D2837" i="1"/>
  <c r="X2837" i="1" s="1"/>
  <c r="V2845" i="1"/>
  <c r="D2845" i="1"/>
  <c r="X2845" i="1" s="1"/>
  <c r="V2853" i="1"/>
  <c r="D2853" i="1"/>
  <c r="X2853" i="1" s="1"/>
  <c r="V2861" i="1"/>
  <c r="D2861" i="1"/>
  <c r="X2861" i="1" s="1"/>
  <c r="V2869" i="1"/>
  <c r="D2869" i="1"/>
  <c r="X2869" i="1" s="1"/>
  <c r="V2877" i="1"/>
  <c r="D2877" i="1"/>
  <c r="X2877" i="1" s="1"/>
  <c r="V2891" i="1"/>
  <c r="D2891" i="1"/>
  <c r="X2891" i="1" s="1"/>
  <c r="V2897" i="1"/>
  <c r="D2897" i="1"/>
  <c r="X2897" i="1" s="1"/>
  <c r="D2900" i="1"/>
  <c r="X2900" i="1" s="1"/>
  <c r="V2900" i="1"/>
  <c r="V2909" i="1"/>
  <c r="D2909" i="1"/>
  <c r="X2909" i="1" s="1"/>
  <c r="V2923" i="1"/>
  <c r="D2923" i="1"/>
  <c r="X2923" i="1" s="1"/>
  <c r="V2929" i="1"/>
  <c r="D2929" i="1"/>
  <c r="X2929" i="1" s="1"/>
  <c r="D2932" i="1"/>
  <c r="X2932" i="1" s="1"/>
  <c r="V2932" i="1"/>
  <c r="V2955" i="1"/>
  <c r="D2955" i="1"/>
  <c r="X2955" i="1" s="1"/>
  <c r="V2961" i="1"/>
  <c r="D2961" i="1"/>
  <c r="X2961" i="1" s="1"/>
  <c r="D2964" i="1"/>
  <c r="X2964" i="1" s="1"/>
  <c r="V2964" i="1"/>
  <c r="V2987" i="1"/>
  <c r="D2987" i="1"/>
  <c r="X2987" i="1" s="1"/>
  <c r="V2993" i="1"/>
  <c r="D2993" i="1"/>
  <c r="X2993" i="1" s="1"/>
  <c r="D2996" i="1"/>
  <c r="X2996" i="1" s="1"/>
  <c r="V2996" i="1"/>
  <c r="V3025" i="1"/>
  <c r="D3025" i="1"/>
  <c r="X3025" i="1" s="1"/>
  <c r="D3028" i="1"/>
  <c r="X3028" i="1" s="1"/>
  <c r="V3028" i="1"/>
  <c r="V3057" i="1"/>
  <c r="D3057" i="1"/>
  <c r="X3057" i="1" s="1"/>
  <c r="D3060" i="1"/>
  <c r="X3060" i="1" s="1"/>
  <c r="V3060" i="1"/>
  <c r="V177" i="1"/>
  <c r="D177" i="1"/>
  <c r="X177" i="1" s="1"/>
  <c r="V201" i="1"/>
  <c r="D201" i="1"/>
  <c r="X201" i="1" s="1"/>
  <c r="V225" i="1"/>
  <c r="D225" i="1"/>
  <c r="X225" i="1" s="1"/>
  <c r="V257" i="1"/>
  <c r="D257" i="1"/>
  <c r="X257" i="1" s="1"/>
  <c r="V289" i="1"/>
  <c r="D289" i="1"/>
  <c r="X289" i="1" s="1"/>
  <c r="V313" i="1"/>
  <c r="D313" i="1"/>
  <c r="X313" i="1" s="1"/>
  <c r="V337" i="1"/>
  <c r="D337" i="1"/>
  <c r="X337" i="1" s="1"/>
  <c r="V2" i="1"/>
  <c r="D2" i="1"/>
  <c r="V6" i="1"/>
  <c r="D6" i="1"/>
  <c r="X6" i="1" s="1"/>
  <c r="V10" i="1"/>
  <c r="D10" i="1"/>
  <c r="X10" i="1" s="1"/>
  <c r="V14" i="1"/>
  <c r="D14" i="1"/>
  <c r="X14" i="1" s="1"/>
  <c r="V18" i="1"/>
  <c r="D18" i="1"/>
  <c r="X18" i="1" s="1"/>
  <c r="V22" i="1"/>
  <c r="D22" i="1"/>
  <c r="X22" i="1" s="1"/>
  <c r="V26" i="1"/>
  <c r="D26" i="1"/>
  <c r="X26" i="1" s="1"/>
  <c r="V30" i="1"/>
  <c r="D30" i="1"/>
  <c r="X30" i="1" s="1"/>
  <c r="V34" i="1"/>
  <c r="D34" i="1"/>
  <c r="X34" i="1" s="1"/>
  <c r="V38" i="1"/>
  <c r="D38" i="1"/>
  <c r="X38" i="1" s="1"/>
  <c r="V42" i="1"/>
  <c r="D42" i="1"/>
  <c r="X42" i="1" s="1"/>
  <c r="V46" i="1"/>
  <c r="D46" i="1"/>
  <c r="X46" i="1" s="1"/>
  <c r="V50" i="1"/>
  <c r="D50" i="1"/>
  <c r="X50" i="1" s="1"/>
  <c r="V54" i="1"/>
  <c r="D54" i="1"/>
  <c r="X54" i="1" s="1"/>
  <c r="V58" i="1"/>
  <c r="D58" i="1"/>
  <c r="X58" i="1" s="1"/>
  <c r="V62" i="1"/>
  <c r="D62" i="1"/>
  <c r="X62" i="1" s="1"/>
  <c r="V66" i="1"/>
  <c r="D66" i="1"/>
  <c r="X66" i="1" s="1"/>
  <c r="V70" i="1"/>
  <c r="D70" i="1"/>
  <c r="X70" i="1" s="1"/>
  <c r="V74" i="1"/>
  <c r="D74" i="1"/>
  <c r="X74" i="1" s="1"/>
  <c r="V78" i="1"/>
  <c r="D78" i="1"/>
  <c r="X78" i="1" s="1"/>
  <c r="V82" i="1"/>
  <c r="D82" i="1"/>
  <c r="X82" i="1" s="1"/>
  <c r="V86" i="1"/>
  <c r="D86" i="1"/>
  <c r="X86" i="1" s="1"/>
  <c r="V90" i="1"/>
  <c r="D90" i="1"/>
  <c r="X90" i="1" s="1"/>
  <c r="V94" i="1"/>
  <c r="D94" i="1"/>
  <c r="X94" i="1" s="1"/>
  <c r="V98" i="1"/>
  <c r="D98" i="1"/>
  <c r="X98" i="1" s="1"/>
  <c r="V102" i="1"/>
  <c r="D102" i="1"/>
  <c r="X102" i="1" s="1"/>
  <c r="V106" i="1"/>
  <c r="D106" i="1"/>
  <c r="X106" i="1" s="1"/>
  <c r="V110" i="1"/>
  <c r="D110" i="1"/>
  <c r="X110" i="1" s="1"/>
  <c r="V114" i="1"/>
  <c r="D114" i="1"/>
  <c r="X114" i="1" s="1"/>
  <c r="V118" i="1"/>
  <c r="D118" i="1"/>
  <c r="X118" i="1" s="1"/>
  <c r="V122" i="1"/>
  <c r="D122" i="1"/>
  <c r="X122" i="1" s="1"/>
  <c r="V126" i="1"/>
  <c r="D126" i="1"/>
  <c r="X126" i="1" s="1"/>
  <c r="V130" i="1"/>
  <c r="D130" i="1"/>
  <c r="X130" i="1" s="1"/>
  <c r="V134" i="1"/>
  <c r="D134" i="1"/>
  <c r="X134" i="1" s="1"/>
  <c r="V138" i="1"/>
  <c r="D138" i="1"/>
  <c r="X138" i="1" s="1"/>
  <c r="V142" i="1"/>
  <c r="D142" i="1"/>
  <c r="X142" i="1" s="1"/>
  <c r="V146" i="1"/>
  <c r="D146" i="1"/>
  <c r="X146" i="1" s="1"/>
  <c r="V150" i="1"/>
  <c r="D150" i="1"/>
  <c r="X150" i="1" s="1"/>
  <c r="V164" i="1"/>
  <c r="V167" i="1"/>
  <c r="D167" i="1"/>
  <c r="X167" i="1" s="1"/>
  <c r="V180" i="1"/>
  <c r="V183" i="1"/>
  <c r="D183" i="1"/>
  <c r="X183" i="1" s="1"/>
  <c r="V204" i="1"/>
  <c r="V207" i="1"/>
  <c r="D207" i="1"/>
  <c r="X207" i="1" s="1"/>
  <c r="V228" i="1"/>
  <c r="V231" i="1"/>
  <c r="D231" i="1"/>
  <c r="X231" i="1" s="1"/>
  <c r="V252" i="1"/>
  <c r="V255" i="1"/>
  <c r="D255" i="1"/>
  <c r="X255" i="1" s="1"/>
  <c r="V276" i="1"/>
  <c r="V279" i="1"/>
  <c r="D279" i="1"/>
  <c r="X279" i="1" s="1"/>
  <c r="V3" i="1"/>
  <c r="D3" i="1"/>
  <c r="X3" i="1" s="1"/>
  <c r="V7" i="1"/>
  <c r="D7" i="1"/>
  <c r="X7" i="1" s="1"/>
  <c r="V11" i="1"/>
  <c r="D11" i="1"/>
  <c r="X11" i="1" s="1"/>
  <c r="V15" i="1"/>
  <c r="D15" i="1"/>
  <c r="X15" i="1" s="1"/>
  <c r="V19" i="1"/>
  <c r="D19" i="1"/>
  <c r="X19" i="1" s="1"/>
  <c r="V23" i="1"/>
  <c r="D23" i="1"/>
  <c r="X23" i="1" s="1"/>
  <c r="V27" i="1"/>
  <c r="D27" i="1"/>
  <c r="X27" i="1" s="1"/>
  <c r="V31" i="1"/>
  <c r="D31" i="1"/>
  <c r="X31" i="1" s="1"/>
  <c r="V35" i="1"/>
  <c r="D35" i="1"/>
  <c r="X35" i="1" s="1"/>
  <c r="V39" i="1"/>
  <c r="D39" i="1"/>
  <c r="X39" i="1" s="1"/>
  <c r="V43" i="1"/>
  <c r="D43" i="1"/>
  <c r="X43" i="1" s="1"/>
  <c r="V47" i="1"/>
  <c r="D47" i="1"/>
  <c r="X47" i="1" s="1"/>
  <c r="V51" i="1"/>
  <c r="D51" i="1"/>
  <c r="X51" i="1" s="1"/>
  <c r="V55" i="1"/>
  <c r="D55" i="1"/>
  <c r="X55" i="1" s="1"/>
  <c r="V59" i="1"/>
  <c r="D59" i="1"/>
  <c r="X59" i="1" s="1"/>
  <c r="V63" i="1"/>
  <c r="D63" i="1"/>
  <c r="X63" i="1" s="1"/>
  <c r="V67" i="1"/>
  <c r="D67" i="1"/>
  <c r="X67" i="1" s="1"/>
  <c r="V71" i="1"/>
  <c r="D71" i="1"/>
  <c r="X71" i="1" s="1"/>
  <c r="V75" i="1"/>
  <c r="D75" i="1"/>
  <c r="X75" i="1" s="1"/>
  <c r="V79" i="1"/>
  <c r="D79" i="1"/>
  <c r="X79" i="1" s="1"/>
  <c r="V83" i="1"/>
  <c r="D83" i="1"/>
  <c r="X83" i="1" s="1"/>
  <c r="V87" i="1"/>
  <c r="D87" i="1"/>
  <c r="X87" i="1" s="1"/>
  <c r="V91" i="1"/>
  <c r="D91" i="1"/>
  <c r="X91" i="1" s="1"/>
  <c r="V95" i="1"/>
  <c r="D95" i="1"/>
  <c r="X95" i="1" s="1"/>
  <c r="V99" i="1"/>
  <c r="D99" i="1"/>
  <c r="X99" i="1" s="1"/>
  <c r="V103" i="1"/>
  <c r="D103" i="1"/>
  <c r="X103" i="1" s="1"/>
  <c r="V107" i="1"/>
  <c r="D107" i="1"/>
  <c r="X107" i="1" s="1"/>
  <c r="V111" i="1"/>
  <c r="D111" i="1"/>
  <c r="X111" i="1" s="1"/>
  <c r="V115" i="1"/>
  <c r="D115" i="1"/>
  <c r="X115" i="1" s="1"/>
  <c r="V119" i="1"/>
  <c r="D119" i="1"/>
  <c r="X119" i="1" s="1"/>
  <c r="V123" i="1"/>
  <c r="D123" i="1"/>
  <c r="X123" i="1" s="1"/>
  <c r="V127" i="1"/>
  <c r="D127" i="1"/>
  <c r="X127" i="1" s="1"/>
  <c r="V131" i="1"/>
  <c r="D131" i="1"/>
  <c r="X131" i="1" s="1"/>
  <c r="V135" i="1"/>
  <c r="D135" i="1"/>
  <c r="X135" i="1" s="1"/>
  <c r="V139" i="1"/>
  <c r="D139" i="1"/>
  <c r="X139" i="1" s="1"/>
  <c r="V143" i="1"/>
  <c r="D143" i="1"/>
  <c r="X143" i="1" s="1"/>
  <c r="V147" i="1"/>
  <c r="D147" i="1"/>
  <c r="X147" i="1" s="1"/>
  <c r="V151" i="1"/>
  <c r="D151" i="1"/>
  <c r="X151" i="1" s="1"/>
  <c r="V154" i="1"/>
  <c r="V157" i="1"/>
  <c r="D157" i="1"/>
  <c r="X157" i="1" s="1"/>
  <c r="V170" i="1"/>
  <c r="V173" i="1"/>
  <c r="D173" i="1"/>
  <c r="X173" i="1" s="1"/>
  <c r="V186" i="1"/>
  <c r="V189" i="1"/>
  <c r="D189" i="1"/>
  <c r="X189" i="1" s="1"/>
  <c r="V202" i="1"/>
  <c r="V205" i="1"/>
  <c r="D205" i="1"/>
  <c r="X205" i="1" s="1"/>
  <c r="V218" i="1"/>
  <c r="V221" i="1"/>
  <c r="D221" i="1"/>
  <c r="X221" i="1" s="1"/>
  <c r="V234" i="1"/>
  <c r="V237" i="1"/>
  <c r="D237" i="1"/>
  <c r="X237" i="1" s="1"/>
  <c r="V250" i="1"/>
  <c r="V253" i="1"/>
  <c r="D253" i="1"/>
  <c r="X253" i="1" s="1"/>
  <c r="V266" i="1"/>
  <c r="V269" i="1"/>
  <c r="D269" i="1"/>
  <c r="X269" i="1" s="1"/>
  <c r="V282" i="1"/>
  <c r="V285" i="1"/>
  <c r="D285" i="1"/>
  <c r="X285" i="1" s="1"/>
  <c r="V306" i="1"/>
  <c r="V309" i="1"/>
  <c r="D309" i="1"/>
  <c r="X309" i="1" s="1"/>
  <c r="V322" i="1"/>
  <c r="V325" i="1"/>
  <c r="D325" i="1"/>
  <c r="X325" i="1" s="1"/>
  <c r="V338" i="1"/>
  <c r="V341" i="1"/>
  <c r="D341" i="1"/>
  <c r="X341" i="1" s="1"/>
  <c r="V354" i="1"/>
  <c r="V357" i="1"/>
  <c r="D357" i="1"/>
  <c r="X357" i="1" s="1"/>
  <c r="V370" i="1"/>
  <c r="V373" i="1"/>
  <c r="D373" i="1"/>
  <c r="X373" i="1" s="1"/>
  <c r="V386" i="1"/>
  <c r="V389" i="1"/>
  <c r="D389" i="1"/>
  <c r="X389" i="1" s="1"/>
  <c r="V405" i="1"/>
  <c r="D405" i="1"/>
  <c r="X405" i="1" s="1"/>
  <c r="V421" i="1"/>
  <c r="D421" i="1"/>
  <c r="X421" i="1" s="1"/>
  <c r="V437" i="1"/>
  <c r="D437" i="1"/>
  <c r="X437" i="1" s="1"/>
  <c r="V453" i="1"/>
  <c r="D453" i="1"/>
  <c r="X453" i="1" s="1"/>
  <c r="V469" i="1"/>
  <c r="D469" i="1"/>
  <c r="X469" i="1" s="1"/>
  <c r="V485" i="1"/>
  <c r="D485" i="1"/>
  <c r="X485" i="1" s="1"/>
  <c r="V501" i="1"/>
  <c r="D501" i="1"/>
  <c r="X501" i="1" s="1"/>
  <c r="V573" i="1"/>
  <c r="D573" i="1"/>
  <c r="X573" i="1" s="1"/>
  <c r="V589" i="1"/>
  <c r="D589" i="1"/>
  <c r="X589" i="1" s="1"/>
  <c r="V597" i="1"/>
  <c r="D597" i="1"/>
  <c r="X597" i="1" s="1"/>
  <c r="V4" i="1"/>
  <c r="D4" i="1"/>
  <c r="X4" i="1" s="1"/>
  <c r="V8" i="1"/>
  <c r="D8" i="1"/>
  <c r="X8" i="1" s="1"/>
  <c r="V12" i="1"/>
  <c r="D12" i="1"/>
  <c r="X12" i="1" s="1"/>
  <c r="V16" i="1"/>
  <c r="D16" i="1"/>
  <c r="X16" i="1" s="1"/>
  <c r="V20" i="1"/>
  <c r="D20" i="1"/>
  <c r="X20" i="1" s="1"/>
  <c r="V24" i="1"/>
  <c r="D24" i="1"/>
  <c r="X24" i="1" s="1"/>
  <c r="V28" i="1"/>
  <c r="D28" i="1"/>
  <c r="X28" i="1" s="1"/>
  <c r="V32" i="1"/>
  <c r="D32" i="1"/>
  <c r="X32" i="1" s="1"/>
  <c r="V36" i="1"/>
  <c r="D36" i="1"/>
  <c r="X36" i="1" s="1"/>
  <c r="V40" i="1"/>
  <c r="D40" i="1"/>
  <c r="X40" i="1" s="1"/>
  <c r="V44" i="1"/>
  <c r="D44" i="1"/>
  <c r="X44" i="1" s="1"/>
  <c r="V48" i="1"/>
  <c r="D48" i="1"/>
  <c r="X48" i="1" s="1"/>
  <c r="V52" i="1"/>
  <c r="D52" i="1"/>
  <c r="X52" i="1" s="1"/>
  <c r="V56" i="1"/>
  <c r="D56" i="1"/>
  <c r="X56" i="1" s="1"/>
  <c r="V60" i="1"/>
  <c r="D60" i="1"/>
  <c r="X60" i="1" s="1"/>
  <c r="V64" i="1"/>
  <c r="D64" i="1"/>
  <c r="X64" i="1" s="1"/>
  <c r="V68" i="1"/>
  <c r="D68" i="1"/>
  <c r="X68" i="1" s="1"/>
  <c r="V72" i="1"/>
  <c r="D72" i="1"/>
  <c r="X72" i="1" s="1"/>
  <c r="V76" i="1"/>
  <c r="D76" i="1"/>
  <c r="X76" i="1" s="1"/>
  <c r="V80" i="1"/>
  <c r="D80" i="1"/>
  <c r="X80" i="1" s="1"/>
  <c r="V84" i="1"/>
  <c r="D84" i="1"/>
  <c r="X84" i="1" s="1"/>
  <c r="V88" i="1"/>
  <c r="D88" i="1"/>
  <c r="X88" i="1" s="1"/>
  <c r="V92" i="1"/>
  <c r="D92" i="1"/>
  <c r="X92" i="1" s="1"/>
  <c r="V96" i="1"/>
  <c r="D96" i="1"/>
  <c r="X96" i="1" s="1"/>
  <c r="V100" i="1"/>
  <c r="D100" i="1"/>
  <c r="X100" i="1" s="1"/>
  <c r="V104" i="1"/>
  <c r="D104" i="1"/>
  <c r="X104" i="1" s="1"/>
  <c r="V108" i="1"/>
  <c r="D108" i="1"/>
  <c r="X108" i="1" s="1"/>
  <c r="V112" i="1"/>
  <c r="D112" i="1"/>
  <c r="X112" i="1" s="1"/>
  <c r="V116" i="1"/>
  <c r="D116" i="1"/>
  <c r="X116" i="1" s="1"/>
  <c r="V120" i="1"/>
  <c r="D120" i="1"/>
  <c r="X120" i="1" s="1"/>
  <c r="V124" i="1"/>
  <c r="D124" i="1"/>
  <c r="X124" i="1" s="1"/>
  <c r="V128" i="1"/>
  <c r="D128" i="1"/>
  <c r="X128" i="1" s="1"/>
  <c r="V132" i="1"/>
  <c r="D132" i="1"/>
  <c r="X132" i="1" s="1"/>
  <c r="V136" i="1"/>
  <c r="D136" i="1"/>
  <c r="X136" i="1" s="1"/>
  <c r="V140" i="1"/>
  <c r="D140" i="1"/>
  <c r="X140" i="1" s="1"/>
  <c r="V144" i="1"/>
  <c r="D144" i="1"/>
  <c r="X144" i="1" s="1"/>
  <c r="V148" i="1"/>
  <c r="D148" i="1"/>
  <c r="X148" i="1" s="1"/>
  <c r="V152" i="1"/>
  <c r="D152" i="1"/>
  <c r="X152" i="1" s="1"/>
  <c r="V155" i="1"/>
  <c r="D155" i="1"/>
  <c r="X155" i="1" s="1"/>
  <c r="V160" i="1"/>
  <c r="V163" i="1"/>
  <c r="D163" i="1"/>
  <c r="X163" i="1" s="1"/>
  <c r="V168" i="1"/>
  <c r="V171" i="1"/>
  <c r="D171" i="1"/>
  <c r="X171" i="1" s="1"/>
  <c r="V176" i="1"/>
  <c r="V179" i="1"/>
  <c r="D179" i="1"/>
  <c r="X179" i="1" s="1"/>
  <c r="V184" i="1"/>
  <c r="V187" i="1"/>
  <c r="D187" i="1"/>
  <c r="X187" i="1" s="1"/>
  <c r="V192" i="1"/>
  <c r="V195" i="1"/>
  <c r="D195" i="1"/>
  <c r="X195" i="1" s="1"/>
  <c r="V200" i="1"/>
  <c r="V203" i="1"/>
  <c r="D203" i="1"/>
  <c r="X203" i="1" s="1"/>
  <c r="V208" i="1"/>
  <c r="V211" i="1"/>
  <c r="D211" i="1"/>
  <c r="X211" i="1" s="1"/>
  <c r="V216" i="1"/>
  <c r="V219" i="1"/>
  <c r="D219" i="1"/>
  <c r="X219" i="1" s="1"/>
  <c r="V224" i="1"/>
  <c r="V227" i="1"/>
  <c r="D227" i="1"/>
  <c r="X227" i="1" s="1"/>
  <c r="V232" i="1"/>
  <c r="V235" i="1"/>
  <c r="D235" i="1"/>
  <c r="X235" i="1" s="1"/>
  <c r="V240" i="1"/>
  <c r="V243" i="1"/>
  <c r="D243" i="1"/>
  <c r="X243" i="1" s="1"/>
  <c r="V248" i="1"/>
  <c r="V251" i="1"/>
  <c r="D251" i="1"/>
  <c r="X251" i="1" s="1"/>
  <c r="V256" i="1"/>
  <c r="V259" i="1"/>
  <c r="D259" i="1"/>
  <c r="X259" i="1" s="1"/>
  <c r="V264" i="1"/>
  <c r="V267" i="1"/>
  <c r="D267" i="1"/>
  <c r="X267" i="1" s="1"/>
  <c r="V272" i="1"/>
  <c r="V275" i="1"/>
  <c r="D275" i="1"/>
  <c r="X275" i="1" s="1"/>
  <c r="V280" i="1"/>
  <c r="V283" i="1"/>
  <c r="D283" i="1"/>
  <c r="X283" i="1" s="1"/>
  <c r="V288" i="1"/>
  <c r="V291" i="1"/>
  <c r="D291" i="1"/>
  <c r="X291" i="1" s="1"/>
  <c r="V296" i="1"/>
  <c r="V299" i="1"/>
  <c r="D299" i="1"/>
  <c r="X299" i="1" s="1"/>
  <c r="V304" i="1"/>
  <c r="V307" i="1"/>
  <c r="D307" i="1"/>
  <c r="X307" i="1" s="1"/>
  <c r="V312" i="1"/>
  <c r="V315" i="1"/>
  <c r="D315" i="1"/>
  <c r="X315" i="1" s="1"/>
  <c r="V320" i="1"/>
  <c r="V323" i="1"/>
  <c r="D323" i="1"/>
  <c r="X323" i="1" s="1"/>
  <c r="V328" i="1"/>
  <c r="V331" i="1"/>
  <c r="D331" i="1"/>
  <c r="X331" i="1" s="1"/>
  <c r="V336" i="1"/>
  <c r="V339" i="1"/>
  <c r="D339" i="1"/>
  <c r="X339" i="1" s="1"/>
  <c r="V344" i="1"/>
  <c r="V347" i="1"/>
  <c r="D347" i="1"/>
  <c r="X347" i="1" s="1"/>
  <c r="V352" i="1"/>
  <c r="V355" i="1"/>
  <c r="D355" i="1"/>
  <c r="X355" i="1" s="1"/>
  <c r="V360" i="1"/>
  <c r="V363" i="1"/>
  <c r="D363" i="1"/>
  <c r="X363" i="1" s="1"/>
  <c r="V368" i="1"/>
  <c r="V371" i="1"/>
  <c r="D371" i="1"/>
  <c r="X371" i="1" s="1"/>
  <c r="V376" i="1"/>
  <c r="V379" i="1"/>
  <c r="D379" i="1"/>
  <c r="X379" i="1" s="1"/>
  <c r="V384" i="1"/>
  <c r="V387" i="1"/>
  <c r="D387" i="1"/>
  <c r="X387" i="1" s="1"/>
  <c r="V392" i="1"/>
  <c r="V395" i="1"/>
  <c r="D395" i="1"/>
  <c r="X395" i="1" s="1"/>
  <c r="V400" i="1"/>
  <c r="V403" i="1"/>
  <c r="D403" i="1"/>
  <c r="X403" i="1" s="1"/>
  <c r="V408" i="1"/>
  <c r="V411" i="1"/>
  <c r="D411" i="1"/>
  <c r="X411" i="1" s="1"/>
  <c r="V416" i="1"/>
  <c r="V419" i="1"/>
  <c r="D419" i="1"/>
  <c r="X419" i="1" s="1"/>
  <c r="V424" i="1"/>
  <c r="V427" i="1"/>
  <c r="D427" i="1"/>
  <c r="X427" i="1" s="1"/>
  <c r="V432" i="1"/>
  <c r="V435" i="1"/>
  <c r="D435" i="1"/>
  <c r="X435" i="1" s="1"/>
  <c r="V440" i="1"/>
  <c r="V443" i="1"/>
  <c r="D443" i="1"/>
  <c r="X443" i="1" s="1"/>
  <c r="V448" i="1"/>
  <c r="V451" i="1"/>
  <c r="D451" i="1"/>
  <c r="X451" i="1" s="1"/>
  <c r="V456" i="1"/>
  <c r="V459" i="1"/>
  <c r="D459" i="1"/>
  <c r="X459" i="1" s="1"/>
  <c r="V464" i="1"/>
  <c r="V467" i="1"/>
  <c r="D467" i="1"/>
  <c r="X467" i="1" s="1"/>
  <c r="V472" i="1"/>
  <c r="V475" i="1"/>
  <c r="D475" i="1"/>
  <c r="X475" i="1" s="1"/>
  <c r="V480" i="1"/>
  <c r="V483" i="1"/>
  <c r="D483" i="1"/>
  <c r="X483" i="1" s="1"/>
  <c r="V488" i="1"/>
  <c r="V491" i="1"/>
  <c r="D491" i="1"/>
  <c r="X491" i="1" s="1"/>
  <c r="V496" i="1"/>
  <c r="V499" i="1"/>
  <c r="D499" i="1"/>
  <c r="X499" i="1" s="1"/>
  <c r="V504" i="1"/>
  <c r="V507" i="1"/>
  <c r="D507" i="1"/>
  <c r="X507" i="1" s="1"/>
  <c r="V512" i="1"/>
  <c r="V515" i="1"/>
  <c r="D515" i="1"/>
  <c r="X515" i="1" s="1"/>
  <c r="V520" i="1"/>
  <c r="V523" i="1"/>
  <c r="D523" i="1"/>
  <c r="X523" i="1" s="1"/>
  <c r="V528" i="1"/>
  <c r="V531" i="1"/>
  <c r="D531" i="1"/>
  <c r="X531" i="1" s="1"/>
  <c r="V536" i="1"/>
  <c r="V539" i="1"/>
  <c r="D539" i="1"/>
  <c r="X539" i="1" s="1"/>
  <c r="V544" i="1"/>
  <c r="V547" i="1"/>
  <c r="D547" i="1"/>
  <c r="X547" i="1" s="1"/>
  <c r="V552" i="1"/>
  <c r="V555" i="1"/>
  <c r="D555" i="1"/>
  <c r="X555" i="1" s="1"/>
  <c r="V560" i="1"/>
  <c r="V563" i="1"/>
  <c r="D563" i="1"/>
  <c r="X563" i="1" s="1"/>
  <c r="V568" i="1"/>
  <c r="V571" i="1"/>
  <c r="D571" i="1"/>
  <c r="X571" i="1" s="1"/>
  <c r="V576" i="1"/>
  <c r="V579" i="1"/>
  <c r="D579" i="1"/>
  <c r="X579" i="1" s="1"/>
  <c r="V584" i="1"/>
  <c r="V587" i="1"/>
  <c r="D587" i="1"/>
  <c r="X587" i="1" s="1"/>
  <c r="V592" i="1"/>
  <c r="V595" i="1"/>
  <c r="D595" i="1"/>
  <c r="X595" i="1" s="1"/>
  <c r="V600" i="1"/>
  <c r="V603" i="1"/>
  <c r="D603" i="1"/>
  <c r="X603" i="1" s="1"/>
  <c r="V608" i="1"/>
  <c r="V611" i="1"/>
  <c r="D611" i="1"/>
  <c r="X611" i="1" s="1"/>
  <c r="V616" i="1"/>
  <c r="V619" i="1"/>
  <c r="D619" i="1"/>
  <c r="X619" i="1" s="1"/>
  <c r="V624" i="1"/>
  <c r="V627" i="1"/>
  <c r="D627" i="1"/>
  <c r="X627" i="1" s="1"/>
  <c r="V632" i="1"/>
  <c r="V635" i="1"/>
  <c r="D635" i="1"/>
  <c r="X635" i="1" s="1"/>
  <c r="V640" i="1"/>
  <c r="V643" i="1"/>
  <c r="D643" i="1"/>
  <c r="X643" i="1" s="1"/>
  <c r="V648" i="1"/>
  <c r="V651" i="1"/>
  <c r="D651" i="1"/>
  <c r="X651" i="1" s="1"/>
  <c r="V656" i="1"/>
  <c r="V659" i="1"/>
  <c r="D659" i="1"/>
  <c r="X659" i="1" s="1"/>
  <c r="V664" i="1"/>
  <c r="V667" i="1"/>
  <c r="D667" i="1"/>
  <c r="X667" i="1" s="1"/>
  <c r="V672" i="1"/>
  <c r="V675" i="1"/>
  <c r="D675" i="1"/>
  <c r="X675" i="1" s="1"/>
  <c r="V680" i="1"/>
  <c r="V683" i="1"/>
  <c r="D683" i="1"/>
  <c r="X683" i="1" s="1"/>
  <c r="V688" i="1"/>
  <c r="V691" i="1"/>
  <c r="D691" i="1"/>
  <c r="X691" i="1" s="1"/>
  <c r="V696" i="1"/>
  <c r="V699" i="1"/>
  <c r="D699" i="1"/>
  <c r="X699" i="1" s="1"/>
  <c r="V704" i="1"/>
  <c r="V707" i="1"/>
  <c r="D707" i="1"/>
  <c r="X707" i="1" s="1"/>
  <c r="V712" i="1"/>
  <c r="V715" i="1"/>
  <c r="D715" i="1"/>
  <c r="X715" i="1" s="1"/>
  <c r="V720" i="1"/>
  <c r="V723" i="1"/>
  <c r="D723" i="1"/>
  <c r="X723" i="1" s="1"/>
  <c r="V728" i="1"/>
  <c r="V731" i="1"/>
  <c r="D731" i="1"/>
  <c r="X731" i="1" s="1"/>
  <c r="V736" i="1"/>
  <c r="V739" i="1"/>
  <c r="D739" i="1"/>
  <c r="X739" i="1" s="1"/>
  <c r="V744" i="1"/>
  <c r="V747" i="1"/>
  <c r="D747" i="1"/>
  <c r="X747" i="1" s="1"/>
  <c r="V752" i="1"/>
  <c r="V755" i="1"/>
  <c r="D755" i="1"/>
  <c r="X755" i="1" s="1"/>
  <c r="V760" i="1"/>
  <c r="V763" i="1"/>
  <c r="D763" i="1"/>
  <c r="X763" i="1" s="1"/>
  <c r="V768" i="1"/>
  <c r="V771" i="1"/>
  <c r="D771" i="1"/>
  <c r="X771" i="1" s="1"/>
  <c r="V776" i="1"/>
  <c r="V779" i="1"/>
  <c r="D779" i="1"/>
  <c r="X779" i="1" s="1"/>
  <c r="V784" i="1"/>
  <c r="V787" i="1"/>
  <c r="D787" i="1"/>
  <c r="X787" i="1" s="1"/>
  <c r="V792" i="1"/>
  <c r="V795" i="1"/>
  <c r="D795" i="1"/>
  <c r="X795" i="1" s="1"/>
  <c r="V800" i="1"/>
  <c r="V803" i="1"/>
  <c r="D803" i="1"/>
  <c r="X803" i="1" s="1"/>
  <c r="V808" i="1"/>
  <c r="V811" i="1"/>
  <c r="D811" i="1"/>
  <c r="X811" i="1" s="1"/>
  <c r="V816" i="1"/>
  <c r="V819" i="1"/>
  <c r="D819" i="1"/>
  <c r="X819" i="1" s="1"/>
  <c r="V824" i="1"/>
  <c r="V827" i="1"/>
  <c r="D827" i="1"/>
  <c r="X827" i="1" s="1"/>
  <c r="V832" i="1"/>
  <c r="V835" i="1"/>
  <c r="D835" i="1"/>
  <c r="X835" i="1" s="1"/>
  <c r="V840" i="1"/>
  <c r="V843" i="1"/>
  <c r="D843" i="1"/>
  <c r="X843" i="1" s="1"/>
  <c r="V848" i="1"/>
  <c r="V851" i="1"/>
  <c r="D851" i="1"/>
  <c r="X851" i="1" s="1"/>
  <c r="V856" i="1"/>
  <c r="V859" i="1"/>
  <c r="D859" i="1"/>
  <c r="X859" i="1" s="1"/>
  <c r="V864" i="1"/>
  <c r="V867" i="1"/>
  <c r="D867" i="1"/>
  <c r="X867" i="1" s="1"/>
  <c r="V872" i="1"/>
  <c r="V875" i="1"/>
  <c r="D875" i="1"/>
  <c r="X875" i="1" s="1"/>
  <c r="V880" i="1"/>
  <c r="V883" i="1"/>
  <c r="D883" i="1"/>
  <c r="X883" i="1" s="1"/>
  <c r="V888" i="1"/>
  <c r="V891" i="1"/>
  <c r="D891" i="1"/>
  <c r="X891" i="1" s="1"/>
  <c r="V896" i="1"/>
  <c r="V899" i="1"/>
  <c r="D899" i="1"/>
  <c r="X899" i="1" s="1"/>
  <c r="V904" i="1"/>
  <c r="V907" i="1"/>
  <c r="D907" i="1"/>
  <c r="X907" i="1" s="1"/>
  <c r="V912" i="1"/>
  <c r="V915" i="1"/>
  <c r="D915" i="1"/>
  <c r="X915" i="1" s="1"/>
  <c r="V920" i="1"/>
  <c r="V923" i="1"/>
  <c r="D923" i="1"/>
  <c r="X923" i="1" s="1"/>
  <c r="V928" i="1"/>
  <c r="V931" i="1"/>
  <c r="D931" i="1"/>
  <c r="X931" i="1" s="1"/>
  <c r="V936" i="1"/>
  <c r="V939" i="1"/>
  <c r="D939" i="1"/>
  <c r="X939" i="1" s="1"/>
  <c r="V944" i="1"/>
  <c r="V947" i="1"/>
  <c r="D947" i="1"/>
  <c r="X947" i="1" s="1"/>
  <c r="V952" i="1"/>
  <c r="V955" i="1"/>
  <c r="D955" i="1"/>
  <c r="X955" i="1" s="1"/>
  <c r="V960" i="1"/>
  <c r="V963" i="1"/>
  <c r="D963" i="1"/>
  <c r="X963" i="1" s="1"/>
  <c r="V968" i="1"/>
  <c r="V971" i="1"/>
  <c r="D971" i="1"/>
  <c r="X971" i="1" s="1"/>
  <c r="V976" i="1"/>
  <c r="V979" i="1"/>
  <c r="D979" i="1"/>
  <c r="X979" i="1" s="1"/>
  <c r="V984" i="1"/>
  <c r="V987" i="1"/>
  <c r="D987" i="1"/>
  <c r="X987" i="1" s="1"/>
  <c r="V992" i="1"/>
  <c r="V995" i="1"/>
  <c r="D995" i="1"/>
  <c r="X995" i="1" s="1"/>
  <c r="V1000" i="1"/>
  <c r="V1003" i="1"/>
  <c r="D1003" i="1"/>
  <c r="X1003" i="1" s="1"/>
  <c r="V1008" i="1"/>
  <c r="V1011" i="1"/>
  <c r="D1011" i="1"/>
  <c r="X1011" i="1" s="1"/>
  <c r="V1016" i="1"/>
  <c r="V1019" i="1"/>
  <c r="D1019" i="1"/>
  <c r="X1019" i="1" s="1"/>
  <c r="V1024" i="1"/>
  <c r="V1027" i="1"/>
  <c r="D1027" i="1"/>
  <c r="X1027" i="1" s="1"/>
  <c r="V1032" i="1"/>
  <c r="V1035" i="1"/>
  <c r="D1035" i="1"/>
  <c r="X1035" i="1" s="1"/>
  <c r="V1040" i="1"/>
  <c r="V1043" i="1"/>
  <c r="D1043" i="1"/>
  <c r="X1043" i="1" s="1"/>
  <c r="V1048" i="1"/>
  <c r="V1051" i="1"/>
  <c r="D1051" i="1"/>
  <c r="X1051" i="1" s="1"/>
  <c r="V1056" i="1"/>
  <c r="V1059" i="1"/>
  <c r="D1059" i="1"/>
  <c r="X1059" i="1" s="1"/>
  <c r="V1064" i="1"/>
  <c r="V1067" i="1"/>
  <c r="D1067" i="1"/>
  <c r="X1067" i="1" s="1"/>
  <c r="V1072" i="1"/>
  <c r="V1075" i="1"/>
  <c r="D1075" i="1"/>
  <c r="X1075" i="1" s="1"/>
  <c r="V1080" i="1"/>
  <c r="V1083" i="1"/>
  <c r="D1083" i="1"/>
  <c r="X1083" i="1" s="1"/>
  <c r="V1088" i="1"/>
  <c r="V1091" i="1"/>
  <c r="D1091" i="1"/>
  <c r="X1091" i="1" s="1"/>
  <c r="V1096" i="1"/>
  <c r="V1099" i="1"/>
  <c r="D1099" i="1"/>
  <c r="X1099" i="1" s="1"/>
  <c r="V1104" i="1"/>
  <c r="V1107" i="1"/>
  <c r="D1107" i="1"/>
  <c r="X1107" i="1" s="1"/>
  <c r="V1112" i="1"/>
  <c r="V1115" i="1"/>
  <c r="D1115" i="1"/>
  <c r="X1115" i="1" s="1"/>
  <c r="V1120" i="1"/>
  <c r="V1123" i="1"/>
  <c r="D1123" i="1"/>
  <c r="X1123" i="1" s="1"/>
  <c r="V1128" i="1"/>
  <c r="V1131" i="1"/>
  <c r="D1131" i="1"/>
  <c r="X1131" i="1" s="1"/>
  <c r="V1136" i="1"/>
  <c r="V1139" i="1"/>
  <c r="D1139" i="1"/>
  <c r="X1139" i="1" s="1"/>
  <c r="V1144" i="1"/>
  <c r="V1147" i="1"/>
  <c r="D1147" i="1"/>
  <c r="X1147" i="1" s="1"/>
  <c r="V1152" i="1"/>
  <c r="V1155" i="1"/>
  <c r="D1155" i="1"/>
  <c r="X1155" i="1" s="1"/>
  <c r="V1160" i="1"/>
  <c r="V1163" i="1"/>
  <c r="D1163" i="1"/>
  <c r="X1163" i="1" s="1"/>
  <c r="V1168" i="1"/>
  <c r="V1171" i="1"/>
  <c r="D1171" i="1"/>
  <c r="X1171" i="1" s="1"/>
  <c r="V1176" i="1"/>
  <c r="V1179" i="1"/>
  <c r="D1179" i="1"/>
  <c r="X1179" i="1" s="1"/>
  <c r="V1184" i="1"/>
  <c r="V1187" i="1"/>
  <c r="D1187" i="1"/>
  <c r="X1187" i="1" s="1"/>
  <c r="V1192" i="1"/>
  <c r="V1195" i="1"/>
  <c r="D1195" i="1"/>
  <c r="X1195" i="1" s="1"/>
  <c r="V1200" i="1"/>
  <c r="V1203" i="1"/>
  <c r="D1203" i="1"/>
  <c r="X1203" i="1" s="1"/>
  <c r="V1208" i="1"/>
  <c r="V1211" i="1"/>
  <c r="D1211" i="1"/>
  <c r="X1211" i="1" s="1"/>
  <c r="V1216" i="1"/>
  <c r="V1219" i="1"/>
  <c r="D1219" i="1"/>
  <c r="X1219" i="1" s="1"/>
  <c r="V1224" i="1"/>
  <c r="V1227" i="1"/>
  <c r="D1227" i="1"/>
  <c r="X1227" i="1" s="1"/>
  <c r="V1232" i="1"/>
  <c r="V1235" i="1"/>
  <c r="D1235" i="1"/>
  <c r="X1235" i="1" s="1"/>
  <c r="V1240" i="1"/>
  <c r="V1243" i="1"/>
  <c r="D1243" i="1"/>
  <c r="X1243" i="1" s="1"/>
  <c r="V1248" i="1"/>
  <c r="V1251" i="1"/>
  <c r="D1251" i="1"/>
  <c r="X1251" i="1" s="1"/>
  <c r="V1256" i="1"/>
  <c r="V1259" i="1"/>
  <c r="D1259" i="1"/>
  <c r="X1259" i="1" s="1"/>
  <c r="V1264" i="1"/>
  <c r="V1267" i="1"/>
  <c r="D1267" i="1"/>
  <c r="X1267" i="1" s="1"/>
  <c r="V1272" i="1"/>
  <c r="V1275" i="1"/>
  <c r="D1275" i="1"/>
  <c r="X1275" i="1" s="1"/>
  <c r="V1280" i="1"/>
  <c r="V1283" i="1"/>
  <c r="D1283" i="1"/>
  <c r="X1283" i="1" s="1"/>
  <c r="V1288" i="1"/>
  <c r="V1291" i="1"/>
  <c r="D1291" i="1"/>
  <c r="X1291" i="1" s="1"/>
  <c r="V1296" i="1"/>
  <c r="V1299" i="1"/>
  <c r="D1299" i="1"/>
  <c r="X1299" i="1" s="1"/>
  <c r="V1304" i="1"/>
  <c r="V1307" i="1"/>
  <c r="D1307" i="1"/>
  <c r="X1307" i="1" s="1"/>
  <c r="V1312" i="1"/>
  <c r="V1315" i="1"/>
  <c r="D1315" i="1"/>
  <c r="X1315" i="1" s="1"/>
  <c r="V1320" i="1"/>
  <c r="V1323" i="1"/>
  <c r="D1323" i="1"/>
  <c r="X1323" i="1" s="1"/>
  <c r="V1328" i="1"/>
  <c r="V1331" i="1"/>
  <c r="D1331" i="1"/>
  <c r="X1331" i="1" s="1"/>
  <c r="V1336" i="1"/>
  <c r="V1339" i="1"/>
  <c r="D1339" i="1"/>
  <c r="X1339" i="1" s="1"/>
  <c r="V1344" i="1"/>
  <c r="V1347" i="1"/>
  <c r="D1347" i="1"/>
  <c r="X1347" i="1" s="1"/>
  <c r="V1352" i="1"/>
  <c r="V1355" i="1"/>
  <c r="D1355" i="1"/>
  <c r="X1355" i="1" s="1"/>
  <c r="V1360" i="1"/>
  <c r="V1363" i="1"/>
  <c r="D1363" i="1"/>
  <c r="X1363" i="1" s="1"/>
  <c r="V1368" i="1"/>
  <c r="V1371" i="1"/>
  <c r="D1371" i="1"/>
  <c r="X1371" i="1" s="1"/>
  <c r="V1376" i="1"/>
  <c r="V1379" i="1"/>
  <c r="D1379" i="1"/>
  <c r="X1379" i="1" s="1"/>
  <c r="V1384" i="1"/>
  <c r="V1387" i="1"/>
  <c r="D1387" i="1"/>
  <c r="X1387" i="1" s="1"/>
  <c r="V1392" i="1"/>
  <c r="V1395" i="1"/>
  <c r="D1395" i="1"/>
  <c r="X1395" i="1" s="1"/>
  <c r="V1400" i="1"/>
  <c r="V1403" i="1"/>
  <c r="D1403" i="1"/>
  <c r="X1403" i="1" s="1"/>
  <c r="V1408" i="1"/>
  <c r="V1411" i="1"/>
  <c r="D1411" i="1"/>
  <c r="X1411" i="1" s="1"/>
  <c r="V1416" i="1"/>
  <c r="V1419" i="1"/>
  <c r="D1419" i="1"/>
  <c r="X1419" i="1" s="1"/>
  <c r="V1424" i="1"/>
  <c r="V1427" i="1"/>
  <c r="D1427" i="1"/>
  <c r="X1427" i="1" s="1"/>
  <c r="V1432" i="1"/>
  <c r="V1435" i="1"/>
  <c r="D1435" i="1"/>
  <c r="X1435" i="1" s="1"/>
  <c r="V1440" i="1"/>
  <c r="V1443" i="1"/>
  <c r="D1443" i="1"/>
  <c r="X1443" i="1" s="1"/>
  <c r="V1448" i="1"/>
  <c r="V1451" i="1"/>
  <c r="D1451" i="1"/>
  <c r="X1451" i="1" s="1"/>
  <c r="V1456" i="1"/>
  <c r="V1459" i="1"/>
  <c r="D1459" i="1"/>
  <c r="X1459" i="1" s="1"/>
  <c r="V1464" i="1"/>
  <c r="V1467" i="1"/>
  <c r="D1467" i="1"/>
  <c r="X1467" i="1" s="1"/>
  <c r="V1472" i="1"/>
  <c r="V1475" i="1"/>
  <c r="D1475" i="1"/>
  <c r="X1475" i="1" s="1"/>
  <c r="V1480" i="1"/>
  <c r="V1483" i="1"/>
  <c r="D1483" i="1"/>
  <c r="X1483" i="1" s="1"/>
  <c r="V1488" i="1"/>
  <c r="V1491" i="1"/>
  <c r="D1491" i="1"/>
  <c r="X1491" i="1" s="1"/>
  <c r="V1496" i="1"/>
  <c r="V1499" i="1"/>
  <c r="D1499" i="1"/>
  <c r="X1499" i="1" s="1"/>
  <c r="V1504" i="1"/>
  <c r="V1507" i="1"/>
  <c r="D1507" i="1"/>
  <c r="X1507" i="1" s="1"/>
  <c r="V1512" i="1"/>
  <c r="V1515" i="1"/>
  <c r="D1515" i="1"/>
  <c r="X1515" i="1" s="1"/>
  <c r="V1520" i="1"/>
  <c r="V1523" i="1"/>
  <c r="D1523" i="1"/>
  <c r="X1523" i="1" s="1"/>
  <c r="V1528" i="1"/>
  <c r="V1531" i="1"/>
  <c r="D1531" i="1"/>
  <c r="X1531" i="1" s="1"/>
  <c r="V1536" i="1"/>
  <c r="V1539" i="1"/>
  <c r="D1539" i="1"/>
  <c r="X1539" i="1" s="1"/>
  <c r="V1544" i="1"/>
  <c r="V1547" i="1"/>
  <c r="D1547" i="1"/>
  <c r="X1547" i="1" s="1"/>
  <c r="V1552" i="1"/>
  <c r="V1555" i="1"/>
  <c r="D1555" i="1"/>
  <c r="X1555" i="1" s="1"/>
  <c r="V1560" i="1"/>
  <c r="V1563" i="1"/>
  <c r="D1563" i="1"/>
  <c r="X1563" i="1" s="1"/>
  <c r="V1568" i="1"/>
  <c r="V1571" i="1"/>
  <c r="D1571" i="1"/>
  <c r="X1571" i="1" s="1"/>
  <c r="V1576" i="1"/>
  <c r="V1579" i="1"/>
  <c r="D1579" i="1"/>
  <c r="X1579" i="1" s="1"/>
  <c r="V1584" i="1"/>
  <c r="V1587" i="1"/>
  <c r="D1587" i="1"/>
  <c r="X1587" i="1" s="1"/>
  <c r="V1592" i="1"/>
  <c r="V1595" i="1"/>
  <c r="D1595" i="1"/>
  <c r="X1595" i="1" s="1"/>
  <c r="V1600" i="1"/>
  <c r="V1603" i="1"/>
  <c r="D1603" i="1"/>
  <c r="X1603" i="1" s="1"/>
  <c r="V1608" i="1"/>
  <c r="V1611" i="1"/>
  <c r="D1611" i="1"/>
  <c r="X1611" i="1" s="1"/>
  <c r="V1616" i="1"/>
  <c r="V1619" i="1"/>
  <c r="D1619" i="1"/>
  <c r="X1619" i="1" s="1"/>
  <c r="V1624" i="1"/>
  <c r="V1627" i="1"/>
  <c r="D1627" i="1"/>
  <c r="X1627" i="1" s="1"/>
  <c r="V1632" i="1"/>
  <c r="V1635" i="1"/>
  <c r="D1635" i="1"/>
  <c r="X1635" i="1" s="1"/>
  <c r="V1640" i="1"/>
  <c r="V1643" i="1"/>
  <c r="D1643" i="1"/>
  <c r="X1643" i="1" s="1"/>
  <c r="V1648" i="1"/>
  <c r="V1651" i="1"/>
  <c r="D1651" i="1"/>
  <c r="X1651" i="1" s="1"/>
  <c r="V1656" i="1"/>
  <c r="V1659" i="1"/>
  <c r="D1659" i="1"/>
  <c r="X1659" i="1" s="1"/>
  <c r="V1664" i="1"/>
  <c r="V1667" i="1"/>
  <c r="D1667" i="1"/>
  <c r="X1667" i="1" s="1"/>
  <c r="V1672" i="1"/>
  <c r="V1675" i="1"/>
  <c r="D1675" i="1"/>
  <c r="X1675" i="1" s="1"/>
  <c r="V1680" i="1"/>
  <c r="V1683" i="1"/>
  <c r="D1683" i="1"/>
  <c r="X1683" i="1" s="1"/>
  <c r="V1688" i="1"/>
  <c r="V1691" i="1"/>
  <c r="D1691" i="1"/>
  <c r="X1691" i="1" s="1"/>
  <c r="V1696" i="1"/>
  <c r="V1699" i="1"/>
  <c r="D1699" i="1"/>
  <c r="X1699" i="1" s="1"/>
  <c r="V1704" i="1"/>
  <c r="V1707" i="1"/>
  <c r="D1707" i="1"/>
  <c r="X1707" i="1" s="1"/>
  <c r="V1712" i="1"/>
  <c r="V1715" i="1"/>
  <c r="D1715" i="1"/>
  <c r="X1715" i="1" s="1"/>
  <c r="V1720" i="1"/>
  <c r="V1723" i="1"/>
  <c r="D1723" i="1"/>
  <c r="X1723" i="1" s="1"/>
  <c r="V1728" i="1"/>
  <c r="V1731" i="1"/>
  <c r="D1731" i="1"/>
  <c r="X1731" i="1" s="1"/>
  <c r="V1736" i="1"/>
  <c r="V1739" i="1"/>
  <c r="D1739" i="1"/>
  <c r="X1739" i="1" s="1"/>
  <c r="V1744" i="1"/>
  <c r="V1747" i="1"/>
  <c r="D1747" i="1"/>
  <c r="X1747" i="1" s="1"/>
  <c r="V1752" i="1"/>
  <c r="V1755" i="1"/>
  <c r="D1755" i="1"/>
  <c r="X1755" i="1" s="1"/>
  <c r="V1760" i="1"/>
  <c r="V1763" i="1"/>
  <c r="D1763" i="1"/>
  <c r="X1763" i="1" s="1"/>
  <c r="V1768" i="1"/>
  <c r="V1771" i="1"/>
  <c r="D1771" i="1"/>
  <c r="X1771" i="1" s="1"/>
  <c r="V1776" i="1"/>
  <c r="V1779" i="1"/>
  <c r="D1779" i="1"/>
  <c r="X1779" i="1" s="1"/>
  <c r="V1784" i="1"/>
  <c r="V1787" i="1"/>
  <c r="D1787" i="1"/>
  <c r="X1787" i="1" s="1"/>
  <c r="V1792" i="1"/>
  <c r="V1795" i="1"/>
  <c r="D1795" i="1"/>
  <c r="X1795" i="1" s="1"/>
  <c r="V1800" i="1"/>
  <c r="V1803" i="1"/>
  <c r="D1803" i="1"/>
  <c r="X1803" i="1" s="1"/>
  <c r="V1808" i="1"/>
  <c r="V1811" i="1"/>
  <c r="D1811" i="1"/>
  <c r="X1811" i="1" s="1"/>
  <c r="V1816" i="1"/>
  <c r="V1819" i="1"/>
  <c r="D1819" i="1"/>
  <c r="X1819" i="1" s="1"/>
  <c r="V1824" i="1"/>
  <c r="V1827" i="1"/>
  <c r="D1827" i="1"/>
  <c r="X1827" i="1" s="1"/>
  <c r="V1832" i="1"/>
  <c r="V1835" i="1"/>
  <c r="D1835" i="1"/>
  <c r="X1835" i="1" s="1"/>
  <c r="V1840" i="1"/>
  <c r="V1843" i="1"/>
  <c r="D1843" i="1"/>
  <c r="X1843" i="1" s="1"/>
  <c r="V1848" i="1"/>
  <c r="V1851" i="1"/>
  <c r="D1851" i="1"/>
  <c r="X1851" i="1" s="1"/>
  <c r="V1856" i="1"/>
  <c r="V1859" i="1"/>
  <c r="D1859" i="1"/>
  <c r="X1859" i="1" s="1"/>
  <c r="V1864" i="1"/>
  <c r="V1867" i="1"/>
  <c r="D1867" i="1"/>
  <c r="X1867" i="1" s="1"/>
  <c r="V1872" i="1"/>
  <c r="V1875" i="1"/>
  <c r="D1875" i="1"/>
  <c r="X1875" i="1" s="1"/>
  <c r="V1880" i="1"/>
  <c r="V1883" i="1"/>
  <c r="D1883" i="1"/>
  <c r="X1883" i="1" s="1"/>
  <c r="V1888" i="1"/>
  <c r="V1891" i="1"/>
  <c r="D1891" i="1"/>
  <c r="X1891" i="1" s="1"/>
  <c r="V1896" i="1"/>
  <c r="V1899" i="1"/>
  <c r="D1899" i="1"/>
  <c r="X1899" i="1" s="1"/>
  <c r="V1904" i="1"/>
  <c r="V1907" i="1"/>
  <c r="D1907" i="1"/>
  <c r="X1907" i="1" s="1"/>
  <c r="V1912" i="1"/>
  <c r="V1915" i="1"/>
  <c r="D1915" i="1"/>
  <c r="X1915" i="1" s="1"/>
  <c r="V1920" i="1"/>
  <c r="V1923" i="1"/>
  <c r="D1923" i="1"/>
  <c r="X1923" i="1" s="1"/>
  <c r="V1928" i="1"/>
  <c r="V1931" i="1"/>
  <c r="D1931" i="1"/>
  <c r="X1931" i="1" s="1"/>
  <c r="V1936" i="1"/>
  <c r="V1939" i="1"/>
  <c r="D1939" i="1"/>
  <c r="X1939" i="1" s="1"/>
  <c r="V1944" i="1"/>
  <c r="V1947" i="1"/>
  <c r="D1947" i="1"/>
  <c r="X1947" i="1" s="1"/>
  <c r="V1952" i="1"/>
  <c r="V1955" i="1"/>
  <c r="D1955" i="1"/>
  <c r="X1955" i="1" s="1"/>
  <c r="V1960" i="1"/>
  <c r="V1963" i="1"/>
  <c r="D1963" i="1"/>
  <c r="X1963" i="1" s="1"/>
  <c r="V1968" i="1"/>
  <c r="V1971" i="1"/>
  <c r="D1971" i="1"/>
  <c r="X1971" i="1" s="1"/>
  <c r="V1976" i="1"/>
  <c r="V1979" i="1"/>
  <c r="D1979" i="1"/>
  <c r="X1979" i="1" s="1"/>
  <c r="V1984" i="1"/>
  <c r="V1987" i="1"/>
  <c r="D1987" i="1"/>
  <c r="X1987" i="1" s="1"/>
  <c r="V1992" i="1"/>
  <c r="V1995" i="1"/>
  <c r="D1995" i="1"/>
  <c r="X1995" i="1" s="1"/>
  <c r="V2000" i="1"/>
  <c r="V2003" i="1"/>
  <c r="D2003" i="1"/>
  <c r="X2003" i="1" s="1"/>
  <c r="V2008" i="1"/>
  <c r="V2011" i="1"/>
  <c r="D2011" i="1"/>
  <c r="X2011" i="1" s="1"/>
  <c r="V2016" i="1"/>
  <c r="V2019" i="1"/>
  <c r="D2019" i="1"/>
  <c r="X2019" i="1" s="1"/>
  <c r="V2024" i="1"/>
  <c r="V2027" i="1"/>
  <c r="D2027" i="1"/>
  <c r="X2027" i="1" s="1"/>
  <c r="V2032" i="1"/>
  <c r="V2035" i="1"/>
  <c r="D2035" i="1"/>
  <c r="X2035" i="1" s="1"/>
  <c r="V2040" i="1"/>
  <c r="V2043" i="1"/>
  <c r="D2043" i="1"/>
  <c r="X2043" i="1" s="1"/>
  <c r="V2048" i="1"/>
  <c r="V2051" i="1"/>
  <c r="D2051" i="1"/>
  <c r="X2051" i="1" s="1"/>
  <c r="V2056" i="1"/>
  <c r="V2059" i="1"/>
  <c r="D2059" i="1"/>
  <c r="X2059" i="1" s="1"/>
  <c r="V2064" i="1"/>
  <c r="V2067" i="1"/>
  <c r="D2067" i="1"/>
  <c r="X2067" i="1" s="1"/>
  <c r="V2072" i="1"/>
  <c r="V2075" i="1"/>
  <c r="D2075" i="1"/>
  <c r="X2075" i="1" s="1"/>
  <c r="V2080" i="1"/>
  <c r="V2083" i="1"/>
  <c r="D2083" i="1"/>
  <c r="X2083" i="1" s="1"/>
  <c r="V2088" i="1"/>
  <c r="V2091" i="1"/>
  <c r="D2091" i="1"/>
  <c r="X2091" i="1" s="1"/>
  <c r="V2096" i="1"/>
  <c r="V2099" i="1"/>
  <c r="D2099" i="1"/>
  <c r="X2099" i="1" s="1"/>
  <c r="V2104" i="1"/>
  <c r="V2107" i="1"/>
  <c r="D2107" i="1"/>
  <c r="X2107" i="1" s="1"/>
  <c r="V2112" i="1"/>
  <c r="V2115" i="1"/>
  <c r="D2115" i="1"/>
  <c r="X2115" i="1" s="1"/>
  <c r="V2120" i="1"/>
  <c r="V2123" i="1"/>
  <c r="D2123" i="1"/>
  <c r="X2123" i="1" s="1"/>
  <c r="V2128" i="1"/>
  <c r="V2131" i="1"/>
  <c r="D2131" i="1"/>
  <c r="X2131" i="1" s="1"/>
  <c r="V2136" i="1"/>
  <c r="V2139" i="1"/>
  <c r="D2139" i="1"/>
  <c r="X2139" i="1" s="1"/>
  <c r="V2144" i="1"/>
  <c r="V2147" i="1"/>
  <c r="D2147" i="1"/>
  <c r="X2147" i="1" s="1"/>
  <c r="V2152" i="1"/>
  <c r="V2155" i="1"/>
  <c r="D2155" i="1"/>
  <c r="X2155" i="1" s="1"/>
  <c r="V2160" i="1"/>
  <c r="V2163" i="1"/>
  <c r="D2163" i="1"/>
  <c r="X2163" i="1" s="1"/>
  <c r="V2168" i="1"/>
  <c r="V2171" i="1"/>
  <c r="D2171" i="1"/>
  <c r="X2171" i="1" s="1"/>
  <c r="V2176" i="1"/>
  <c r="V2179" i="1"/>
  <c r="D2179" i="1"/>
  <c r="X2179" i="1" s="1"/>
  <c r="V2184" i="1"/>
  <c r="V2187" i="1"/>
  <c r="D2187" i="1"/>
  <c r="X2187" i="1" s="1"/>
  <c r="V2192" i="1"/>
  <c r="V2195" i="1"/>
  <c r="D2195" i="1"/>
  <c r="X2195" i="1" s="1"/>
  <c r="V2200" i="1"/>
  <c r="V2203" i="1"/>
  <c r="D2203" i="1"/>
  <c r="X2203" i="1" s="1"/>
  <c r="V2208" i="1"/>
  <c r="V2211" i="1"/>
  <c r="D2211" i="1"/>
  <c r="X2211" i="1" s="1"/>
  <c r="V2216" i="1"/>
  <c r="V2219" i="1"/>
  <c r="D2219" i="1"/>
  <c r="X2219" i="1" s="1"/>
  <c r="V2224" i="1"/>
  <c r="V2227" i="1"/>
  <c r="D2227" i="1"/>
  <c r="X2227" i="1" s="1"/>
  <c r="V2232" i="1"/>
  <c r="V2235" i="1"/>
  <c r="D2235" i="1"/>
  <c r="X2235" i="1" s="1"/>
  <c r="V2240" i="1"/>
  <c r="V2243" i="1"/>
  <c r="D2243" i="1"/>
  <c r="X2243" i="1" s="1"/>
  <c r="V2248" i="1"/>
  <c r="V2251" i="1"/>
  <c r="D2251" i="1"/>
  <c r="X2251" i="1" s="1"/>
  <c r="V2256" i="1"/>
  <c r="V2259" i="1"/>
  <c r="D2259" i="1"/>
  <c r="X2259" i="1" s="1"/>
  <c r="V2264" i="1"/>
  <c r="V2267" i="1"/>
  <c r="D2267" i="1"/>
  <c r="X2267" i="1" s="1"/>
  <c r="V2272" i="1"/>
  <c r="V2275" i="1"/>
  <c r="D2275" i="1"/>
  <c r="X2275" i="1" s="1"/>
  <c r="V2280" i="1"/>
  <c r="V2283" i="1"/>
  <c r="D2283" i="1"/>
  <c r="X2283" i="1" s="1"/>
  <c r="V2288" i="1"/>
  <c r="V2291" i="1"/>
  <c r="D2291" i="1"/>
  <c r="X2291" i="1" s="1"/>
  <c r="V2296" i="1"/>
  <c r="V2299" i="1"/>
  <c r="D2299" i="1"/>
  <c r="X2299" i="1" s="1"/>
  <c r="V2304" i="1"/>
  <c r="V2307" i="1"/>
  <c r="D2307" i="1"/>
  <c r="X2307" i="1" s="1"/>
  <c r="V2312" i="1"/>
  <c r="V2315" i="1"/>
  <c r="D2315" i="1"/>
  <c r="X2315" i="1" s="1"/>
  <c r="V2320" i="1"/>
  <c r="V2323" i="1"/>
  <c r="D2323" i="1"/>
  <c r="X2323" i="1" s="1"/>
  <c r="V2328" i="1"/>
  <c r="V2331" i="1"/>
  <c r="D2331" i="1"/>
  <c r="X2331" i="1" s="1"/>
  <c r="V2336" i="1"/>
  <c r="V2339" i="1"/>
  <c r="D2339" i="1"/>
  <c r="X2339" i="1" s="1"/>
  <c r="V2344" i="1"/>
  <c r="V2347" i="1"/>
  <c r="D2347" i="1"/>
  <c r="X2347" i="1" s="1"/>
  <c r="V2352" i="1"/>
  <c r="V2355" i="1"/>
  <c r="D2355" i="1"/>
  <c r="X2355" i="1" s="1"/>
  <c r="V2360" i="1"/>
  <c r="V2363" i="1"/>
  <c r="D2363" i="1"/>
  <c r="X2363" i="1" s="1"/>
  <c r="V2368" i="1"/>
  <c r="V2371" i="1"/>
  <c r="D2371" i="1"/>
  <c r="X2371" i="1" s="1"/>
  <c r="V2376" i="1"/>
  <c r="V2379" i="1"/>
  <c r="D2379" i="1"/>
  <c r="X2379" i="1" s="1"/>
  <c r="V2384" i="1"/>
  <c r="V2387" i="1"/>
  <c r="D2387" i="1"/>
  <c r="X2387" i="1" s="1"/>
  <c r="V2392" i="1"/>
  <c r="V2395" i="1"/>
  <c r="D2395" i="1"/>
  <c r="X2395" i="1" s="1"/>
  <c r="V2400" i="1"/>
  <c r="V2403" i="1"/>
  <c r="D2403" i="1"/>
  <c r="X2403" i="1" s="1"/>
  <c r="V2408" i="1"/>
  <c r="V2411" i="1"/>
  <c r="D2411" i="1"/>
  <c r="X2411" i="1" s="1"/>
  <c r="V2416" i="1"/>
  <c r="V2419" i="1"/>
  <c r="D2419" i="1"/>
  <c r="X2419" i="1" s="1"/>
  <c r="V2424" i="1"/>
  <c r="V2427" i="1"/>
  <c r="D2427" i="1"/>
  <c r="X2427" i="1" s="1"/>
  <c r="V2432" i="1"/>
  <c r="V2435" i="1"/>
  <c r="D2435" i="1"/>
  <c r="X2435" i="1" s="1"/>
  <c r="V2440" i="1"/>
  <c r="V2443" i="1"/>
  <c r="D2443" i="1"/>
  <c r="X2443" i="1" s="1"/>
  <c r="V2448" i="1"/>
  <c r="V2451" i="1"/>
  <c r="D2451" i="1"/>
  <c r="X2451" i="1" s="1"/>
  <c r="V2456" i="1"/>
  <c r="V2459" i="1"/>
  <c r="D2459" i="1"/>
  <c r="X2459" i="1" s="1"/>
  <c r="V2464" i="1"/>
  <c r="V2467" i="1"/>
  <c r="D2467" i="1"/>
  <c r="X2467" i="1" s="1"/>
  <c r="V2472" i="1"/>
  <c r="V2475" i="1"/>
  <c r="D2475" i="1"/>
  <c r="X2475" i="1" s="1"/>
  <c r="V2480" i="1"/>
  <c r="V2483" i="1"/>
  <c r="D2483" i="1"/>
  <c r="X2483" i="1" s="1"/>
  <c r="V2488" i="1"/>
  <c r="V2491" i="1"/>
  <c r="D2491" i="1"/>
  <c r="X2491" i="1" s="1"/>
  <c r="V2496" i="1"/>
  <c r="V2499" i="1"/>
  <c r="D2499" i="1"/>
  <c r="X2499" i="1" s="1"/>
  <c r="V2504" i="1"/>
  <c r="V2507" i="1"/>
  <c r="D2507" i="1"/>
  <c r="X2507" i="1" s="1"/>
  <c r="V2512" i="1"/>
  <c r="V2515" i="1"/>
  <c r="D2515" i="1"/>
  <c r="X2515" i="1" s="1"/>
  <c r="V2520" i="1"/>
  <c r="V2523" i="1"/>
  <c r="D2523" i="1"/>
  <c r="X2523" i="1" s="1"/>
  <c r="V2528" i="1"/>
  <c r="V2531" i="1"/>
  <c r="D2531" i="1"/>
  <c r="X2531" i="1" s="1"/>
  <c r="V2536" i="1"/>
  <c r="V2539" i="1"/>
  <c r="D2539" i="1"/>
  <c r="X2539" i="1" s="1"/>
  <c r="V2544" i="1"/>
  <c r="V2547" i="1"/>
  <c r="D2547" i="1"/>
  <c r="X2547" i="1" s="1"/>
  <c r="V2552" i="1"/>
  <c r="V2555" i="1"/>
  <c r="D2555" i="1"/>
  <c r="X2555" i="1" s="1"/>
  <c r="V2560" i="1"/>
  <c r="V2563" i="1"/>
  <c r="D2563" i="1"/>
  <c r="X2563" i="1" s="1"/>
  <c r="V2568" i="1"/>
  <c r="V2571" i="1"/>
  <c r="D2571" i="1"/>
  <c r="X2571" i="1" s="1"/>
  <c r="V2576" i="1"/>
  <c r="V2579" i="1"/>
  <c r="D2579" i="1"/>
  <c r="X2579" i="1" s="1"/>
  <c r="V2584" i="1"/>
  <c r="V2587" i="1"/>
  <c r="D2587" i="1"/>
  <c r="X2587" i="1" s="1"/>
  <c r="V2592" i="1"/>
  <c r="V2595" i="1"/>
  <c r="D2595" i="1"/>
  <c r="X2595" i="1" s="1"/>
  <c r="V2600" i="1"/>
  <c r="V2603" i="1"/>
  <c r="D2603" i="1"/>
  <c r="X2603" i="1" s="1"/>
  <c r="V2608" i="1"/>
  <c r="V2611" i="1"/>
  <c r="D2611" i="1"/>
  <c r="X2611" i="1" s="1"/>
  <c r="V2616" i="1"/>
  <c r="V2619" i="1"/>
  <c r="D2619" i="1"/>
  <c r="X2619" i="1" s="1"/>
  <c r="V2624" i="1"/>
  <c r="V2627" i="1"/>
  <c r="D2627" i="1"/>
  <c r="X2627" i="1" s="1"/>
  <c r="V2632" i="1"/>
  <c r="V2635" i="1"/>
  <c r="D2635" i="1"/>
  <c r="X2635" i="1" s="1"/>
  <c r="V2640" i="1"/>
  <c r="V2643" i="1"/>
  <c r="D2643" i="1"/>
  <c r="X2643" i="1" s="1"/>
  <c r="V2648" i="1"/>
  <c r="V2651" i="1"/>
  <c r="D2651" i="1"/>
  <c r="X2651" i="1" s="1"/>
  <c r="V2656" i="1"/>
  <c r="V2659" i="1"/>
  <c r="D2659" i="1"/>
  <c r="X2659" i="1" s="1"/>
  <c r="V2664" i="1"/>
  <c r="V2667" i="1"/>
  <c r="D2667" i="1"/>
  <c r="X2667" i="1" s="1"/>
  <c r="V2672" i="1"/>
  <c r="V2675" i="1"/>
  <c r="D2675" i="1"/>
  <c r="X2675" i="1" s="1"/>
  <c r="V2680" i="1"/>
  <c r="V2683" i="1"/>
  <c r="D2683" i="1"/>
  <c r="X2683" i="1" s="1"/>
  <c r="V2688" i="1"/>
  <c r="V2691" i="1"/>
  <c r="D2691" i="1"/>
  <c r="X2691" i="1" s="1"/>
  <c r="V2696" i="1"/>
  <c r="V2699" i="1"/>
  <c r="D2699" i="1"/>
  <c r="X2699" i="1" s="1"/>
  <c r="V2704" i="1"/>
  <c r="V2707" i="1"/>
  <c r="D2707" i="1"/>
  <c r="X2707" i="1" s="1"/>
  <c r="V2712" i="1"/>
  <c r="V2715" i="1"/>
  <c r="D2715" i="1"/>
  <c r="X2715" i="1" s="1"/>
  <c r="V2720" i="1"/>
  <c r="V2723" i="1"/>
  <c r="D2723" i="1"/>
  <c r="X2723" i="1" s="1"/>
  <c r="V2728" i="1"/>
  <c r="V2731" i="1"/>
  <c r="D2731" i="1"/>
  <c r="X2731" i="1" s="1"/>
  <c r="V2736" i="1"/>
  <c r="V2739" i="1"/>
  <c r="D2739" i="1"/>
  <c r="X2739" i="1" s="1"/>
  <c r="V2744" i="1"/>
  <c r="V2747" i="1"/>
  <c r="D2747" i="1"/>
  <c r="X2747" i="1" s="1"/>
  <c r="V2752" i="1"/>
  <c r="V2755" i="1"/>
  <c r="D2755" i="1"/>
  <c r="X2755" i="1" s="1"/>
  <c r="V2760" i="1"/>
  <c r="V2763" i="1"/>
  <c r="D2763" i="1"/>
  <c r="X2763" i="1" s="1"/>
  <c r="V2768" i="1"/>
  <c r="V2771" i="1"/>
  <c r="D2771" i="1"/>
  <c r="X2771" i="1" s="1"/>
  <c r="V2776" i="1"/>
  <c r="V2779" i="1"/>
  <c r="D2779" i="1"/>
  <c r="X2779" i="1" s="1"/>
  <c r="V2784" i="1"/>
  <c r="V2787" i="1"/>
  <c r="D2787" i="1"/>
  <c r="X2787" i="1" s="1"/>
  <c r="V2792" i="1"/>
  <c r="V2795" i="1"/>
  <c r="D2795" i="1"/>
  <c r="X2795" i="1" s="1"/>
  <c r="V2800" i="1"/>
  <c r="V2803" i="1"/>
  <c r="D2803" i="1"/>
  <c r="X2803" i="1" s="1"/>
  <c r="V2808" i="1"/>
  <c r="V2811" i="1"/>
  <c r="D2811" i="1"/>
  <c r="X2811" i="1" s="1"/>
  <c r="V2816" i="1"/>
  <c r="V2819" i="1"/>
  <c r="D2819" i="1"/>
  <c r="X2819" i="1" s="1"/>
  <c r="V2824" i="1"/>
  <c r="V2827" i="1"/>
  <c r="D2827" i="1"/>
  <c r="X2827" i="1" s="1"/>
  <c r="V2832" i="1"/>
  <c r="V2835" i="1"/>
  <c r="D2835" i="1"/>
  <c r="X2835" i="1" s="1"/>
  <c r="V2840" i="1"/>
  <c r="V2843" i="1"/>
  <c r="D2843" i="1"/>
  <c r="X2843" i="1" s="1"/>
  <c r="V2848" i="1"/>
  <c r="V2851" i="1"/>
  <c r="D2851" i="1"/>
  <c r="X2851" i="1" s="1"/>
  <c r="V2856" i="1"/>
  <c r="V2859" i="1"/>
  <c r="D2859" i="1"/>
  <c r="X2859" i="1" s="1"/>
  <c r="V2864" i="1"/>
  <c r="V2867" i="1"/>
  <c r="D2867" i="1"/>
  <c r="X2867" i="1" s="1"/>
  <c r="V2872" i="1"/>
  <c r="V2875" i="1"/>
  <c r="D2875" i="1"/>
  <c r="X2875" i="1" s="1"/>
  <c r="V2880" i="1"/>
  <c r="V2883" i="1"/>
  <c r="D2883" i="1"/>
  <c r="X2883" i="1" s="1"/>
  <c r="V2886" i="1"/>
  <c r="V2889" i="1"/>
  <c r="D2889" i="1"/>
  <c r="X2889" i="1" s="1"/>
  <c r="D2892" i="1"/>
  <c r="X2892" i="1" s="1"/>
  <c r="V2892" i="1"/>
  <c r="V2901" i="1"/>
  <c r="D2901" i="1"/>
  <c r="X2901" i="1" s="1"/>
  <c r="V2912" i="1"/>
  <c r="V2915" i="1"/>
  <c r="D2915" i="1"/>
  <c r="X2915" i="1" s="1"/>
  <c r="V2918" i="1"/>
  <c r="V2921" i="1"/>
  <c r="D2921" i="1"/>
  <c r="X2921" i="1" s="1"/>
  <c r="D2924" i="1"/>
  <c r="X2924" i="1" s="1"/>
  <c r="V2924" i="1"/>
  <c r="V2947" i="1"/>
  <c r="D2947" i="1"/>
  <c r="X2947" i="1" s="1"/>
  <c r="V2950" i="1"/>
  <c r="V2953" i="1"/>
  <c r="D2953" i="1"/>
  <c r="X2953" i="1" s="1"/>
  <c r="D2956" i="1"/>
  <c r="X2956" i="1" s="1"/>
  <c r="V2956" i="1"/>
  <c r="V2979" i="1"/>
  <c r="D2979" i="1"/>
  <c r="X2979" i="1" s="1"/>
  <c r="V2982" i="1"/>
  <c r="V2985" i="1"/>
  <c r="D2985" i="1"/>
  <c r="X2985" i="1" s="1"/>
  <c r="D2988" i="1"/>
  <c r="X2988" i="1" s="1"/>
  <c r="V2988" i="1"/>
  <c r="V3011" i="1"/>
  <c r="D3011" i="1"/>
  <c r="X3011" i="1" s="1"/>
  <c r="V3017" i="1"/>
  <c r="D3017" i="1"/>
  <c r="X3017" i="1" s="1"/>
  <c r="D3020" i="1"/>
  <c r="X3020" i="1" s="1"/>
  <c r="V3020" i="1"/>
  <c r="V3049" i="1"/>
  <c r="D3049" i="1"/>
  <c r="X3049" i="1" s="1"/>
  <c r="D3052" i="1"/>
  <c r="X3052" i="1" s="1"/>
  <c r="V3052" i="1"/>
  <c r="V5" i="1"/>
  <c r="D5" i="1"/>
  <c r="X5" i="1" s="1"/>
  <c r="V9" i="1"/>
  <c r="D9" i="1"/>
  <c r="X9" i="1" s="1"/>
  <c r="V13" i="1"/>
  <c r="D13" i="1"/>
  <c r="X13" i="1" s="1"/>
  <c r="V17" i="1"/>
  <c r="D17" i="1"/>
  <c r="X17" i="1" s="1"/>
  <c r="V21" i="1"/>
  <c r="D21" i="1"/>
  <c r="X21" i="1" s="1"/>
  <c r="V25" i="1"/>
  <c r="D25" i="1"/>
  <c r="X25" i="1" s="1"/>
  <c r="V29" i="1"/>
  <c r="D29" i="1"/>
  <c r="X29" i="1" s="1"/>
  <c r="V33" i="1"/>
  <c r="D33" i="1"/>
  <c r="X33" i="1" s="1"/>
  <c r="V37" i="1"/>
  <c r="D37" i="1"/>
  <c r="X37" i="1" s="1"/>
  <c r="V41" i="1"/>
  <c r="D41" i="1"/>
  <c r="X41" i="1" s="1"/>
  <c r="V45" i="1"/>
  <c r="D45" i="1"/>
  <c r="X45" i="1" s="1"/>
  <c r="V49" i="1"/>
  <c r="D49" i="1"/>
  <c r="X49" i="1" s="1"/>
  <c r="V53" i="1"/>
  <c r="D53" i="1"/>
  <c r="X53" i="1" s="1"/>
  <c r="V57" i="1"/>
  <c r="D57" i="1"/>
  <c r="X57" i="1" s="1"/>
  <c r="V61" i="1"/>
  <c r="D61" i="1"/>
  <c r="X61" i="1" s="1"/>
  <c r="V65" i="1"/>
  <c r="D65" i="1"/>
  <c r="X65" i="1" s="1"/>
  <c r="V69" i="1"/>
  <c r="D69" i="1"/>
  <c r="X69" i="1" s="1"/>
  <c r="V73" i="1"/>
  <c r="D73" i="1"/>
  <c r="X73" i="1" s="1"/>
  <c r="V77" i="1"/>
  <c r="D77" i="1"/>
  <c r="X77" i="1" s="1"/>
  <c r="V81" i="1"/>
  <c r="D81" i="1"/>
  <c r="X81" i="1" s="1"/>
  <c r="V85" i="1"/>
  <c r="D85" i="1"/>
  <c r="X85" i="1" s="1"/>
  <c r="V89" i="1"/>
  <c r="D89" i="1"/>
  <c r="X89" i="1" s="1"/>
  <c r="V93" i="1"/>
  <c r="D93" i="1"/>
  <c r="X93" i="1" s="1"/>
  <c r="V97" i="1"/>
  <c r="D97" i="1"/>
  <c r="X97" i="1" s="1"/>
  <c r="V101" i="1"/>
  <c r="D101" i="1"/>
  <c r="X101" i="1" s="1"/>
  <c r="V105" i="1"/>
  <c r="D105" i="1"/>
  <c r="X105" i="1" s="1"/>
  <c r="V109" i="1"/>
  <c r="D109" i="1"/>
  <c r="X109" i="1" s="1"/>
  <c r="V113" i="1"/>
  <c r="D113" i="1"/>
  <c r="X113" i="1" s="1"/>
  <c r="V117" i="1"/>
  <c r="D117" i="1"/>
  <c r="X117" i="1" s="1"/>
  <c r="V121" i="1"/>
  <c r="D121" i="1"/>
  <c r="X121" i="1" s="1"/>
  <c r="V125" i="1"/>
  <c r="D125" i="1"/>
  <c r="X125" i="1" s="1"/>
  <c r="V129" i="1"/>
  <c r="D129" i="1"/>
  <c r="X129" i="1" s="1"/>
  <c r="V133" i="1"/>
  <c r="D133" i="1"/>
  <c r="X133" i="1" s="1"/>
  <c r="V137" i="1"/>
  <c r="D137" i="1"/>
  <c r="X137" i="1" s="1"/>
  <c r="V141" i="1"/>
  <c r="D141" i="1"/>
  <c r="X141" i="1" s="1"/>
  <c r="V145" i="1"/>
  <c r="D145" i="1"/>
  <c r="X145" i="1" s="1"/>
  <c r="V149" i="1"/>
  <c r="D149" i="1"/>
  <c r="X149" i="1" s="1"/>
  <c r="V153" i="1"/>
  <c r="D153" i="1"/>
  <c r="X153" i="1" s="1"/>
  <c r="V169" i="1"/>
  <c r="D169" i="1"/>
  <c r="X169" i="1" s="1"/>
  <c r="V193" i="1"/>
  <c r="D193" i="1"/>
  <c r="X193" i="1" s="1"/>
  <c r="V217" i="1"/>
  <c r="D217" i="1"/>
  <c r="X217" i="1" s="1"/>
  <c r="V249" i="1"/>
  <c r="D249" i="1"/>
  <c r="X249" i="1" s="1"/>
  <c r="V273" i="1"/>
  <c r="D273" i="1"/>
  <c r="X273" i="1" s="1"/>
  <c r="V297" i="1"/>
  <c r="D297" i="1"/>
  <c r="X297" i="1" s="1"/>
  <c r="V321" i="1"/>
  <c r="D321" i="1"/>
  <c r="X321" i="1" s="1"/>
  <c r="V329" i="1"/>
  <c r="D329" i="1"/>
  <c r="X329" i="1" s="1"/>
  <c r="V345" i="1"/>
  <c r="D345" i="1"/>
  <c r="X345" i="1" s="1"/>
  <c r="V353" i="1"/>
  <c r="D353" i="1"/>
  <c r="X353" i="1" s="1"/>
  <c r="V361" i="1"/>
  <c r="D361" i="1"/>
  <c r="X361" i="1" s="1"/>
  <c r="V369" i="1"/>
  <c r="D369" i="1"/>
  <c r="X369" i="1" s="1"/>
  <c r="V377" i="1"/>
  <c r="D377" i="1"/>
  <c r="X377" i="1" s="1"/>
  <c r="V385" i="1"/>
  <c r="D385" i="1"/>
  <c r="X385" i="1" s="1"/>
  <c r="V393" i="1"/>
  <c r="D393" i="1"/>
  <c r="X393" i="1" s="1"/>
  <c r="V401" i="1"/>
  <c r="D401" i="1"/>
  <c r="X401" i="1" s="1"/>
  <c r="V409" i="1"/>
  <c r="D409" i="1"/>
  <c r="X409" i="1" s="1"/>
  <c r="V417" i="1"/>
  <c r="D417" i="1"/>
  <c r="X417" i="1" s="1"/>
  <c r="V425" i="1"/>
  <c r="D425" i="1"/>
  <c r="X425" i="1" s="1"/>
  <c r="V433" i="1"/>
  <c r="D433" i="1"/>
  <c r="X433" i="1" s="1"/>
  <c r="V441" i="1"/>
  <c r="D441" i="1"/>
  <c r="X441" i="1" s="1"/>
  <c r="V449" i="1"/>
  <c r="D449" i="1"/>
  <c r="X449" i="1" s="1"/>
  <c r="V457" i="1"/>
  <c r="D457" i="1"/>
  <c r="X457" i="1" s="1"/>
  <c r="V465" i="1"/>
  <c r="D465" i="1"/>
  <c r="X465" i="1" s="1"/>
  <c r="V473" i="1"/>
  <c r="D473" i="1"/>
  <c r="X473" i="1" s="1"/>
  <c r="V481" i="1"/>
  <c r="D481" i="1"/>
  <c r="X481" i="1" s="1"/>
  <c r="V489" i="1"/>
  <c r="D489" i="1"/>
  <c r="X489" i="1" s="1"/>
  <c r="V497" i="1"/>
  <c r="D497" i="1"/>
  <c r="X497" i="1" s="1"/>
  <c r="V505" i="1"/>
  <c r="D505" i="1"/>
  <c r="X505" i="1" s="1"/>
  <c r="V513" i="1"/>
  <c r="D513" i="1"/>
  <c r="X513" i="1" s="1"/>
  <c r="V521" i="1"/>
  <c r="D521" i="1"/>
  <c r="X521" i="1" s="1"/>
  <c r="V529" i="1"/>
  <c r="D529" i="1"/>
  <c r="X529" i="1" s="1"/>
  <c r="V537" i="1"/>
  <c r="D537" i="1"/>
  <c r="X537" i="1" s="1"/>
  <c r="V545" i="1"/>
  <c r="D545" i="1"/>
  <c r="X545" i="1" s="1"/>
  <c r="V553" i="1"/>
  <c r="D553" i="1"/>
  <c r="X553" i="1" s="1"/>
  <c r="V561" i="1"/>
  <c r="D561" i="1"/>
  <c r="X561" i="1" s="1"/>
  <c r="V569" i="1"/>
  <c r="D569" i="1"/>
  <c r="X569" i="1" s="1"/>
  <c r="V577" i="1"/>
  <c r="D577" i="1"/>
  <c r="X577" i="1" s="1"/>
  <c r="V585" i="1"/>
  <c r="D585" i="1"/>
  <c r="X585" i="1" s="1"/>
  <c r="V593" i="1"/>
  <c r="D593" i="1"/>
  <c r="X593" i="1" s="1"/>
  <c r="V601" i="1"/>
  <c r="D601" i="1"/>
  <c r="X601" i="1" s="1"/>
  <c r="V609" i="1"/>
  <c r="D609" i="1"/>
  <c r="X609" i="1" s="1"/>
  <c r="V617" i="1"/>
  <c r="D617" i="1"/>
  <c r="X617" i="1" s="1"/>
  <c r="V625" i="1"/>
  <c r="D625" i="1"/>
  <c r="X625" i="1" s="1"/>
  <c r="V633" i="1"/>
  <c r="D633" i="1"/>
  <c r="X633" i="1" s="1"/>
  <c r="V641" i="1"/>
  <c r="D641" i="1"/>
  <c r="X641" i="1" s="1"/>
  <c r="V649" i="1"/>
  <c r="D649" i="1"/>
  <c r="X649" i="1" s="1"/>
  <c r="V657" i="1"/>
  <c r="D657" i="1"/>
  <c r="X657" i="1" s="1"/>
  <c r="V665" i="1"/>
  <c r="D665" i="1"/>
  <c r="X665" i="1" s="1"/>
  <c r="V673" i="1"/>
  <c r="D673" i="1"/>
  <c r="X673" i="1" s="1"/>
  <c r="V681" i="1"/>
  <c r="D681" i="1"/>
  <c r="X681" i="1" s="1"/>
  <c r="V689" i="1"/>
  <c r="D689" i="1"/>
  <c r="X689" i="1" s="1"/>
  <c r="V697" i="1"/>
  <c r="D697" i="1"/>
  <c r="X697" i="1" s="1"/>
  <c r="V705" i="1"/>
  <c r="D705" i="1"/>
  <c r="X705" i="1" s="1"/>
  <c r="V713" i="1"/>
  <c r="D713" i="1"/>
  <c r="X713" i="1" s="1"/>
  <c r="V721" i="1"/>
  <c r="D721" i="1"/>
  <c r="X721" i="1" s="1"/>
  <c r="V729" i="1"/>
  <c r="D729" i="1"/>
  <c r="X729" i="1" s="1"/>
  <c r="V737" i="1"/>
  <c r="D737" i="1"/>
  <c r="X737" i="1" s="1"/>
  <c r="V745" i="1"/>
  <c r="D745" i="1"/>
  <c r="X745" i="1" s="1"/>
  <c r="V753" i="1"/>
  <c r="D753" i="1"/>
  <c r="X753" i="1" s="1"/>
  <c r="V761" i="1"/>
  <c r="D761" i="1"/>
  <c r="X761" i="1" s="1"/>
  <c r="V769" i="1"/>
  <c r="D769" i="1"/>
  <c r="X769" i="1" s="1"/>
  <c r="V777" i="1"/>
  <c r="D777" i="1"/>
  <c r="X777" i="1" s="1"/>
  <c r="V785" i="1"/>
  <c r="D785" i="1"/>
  <c r="X785" i="1" s="1"/>
  <c r="V793" i="1"/>
  <c r="D793" i="1"/>
  <c r="X793" i="1" s="1"/>
  <c r="V801" i="1"/>
  <c r="D801" i="1"/>
  <c r="X801" i="1" s="1"/>
  <c r="V809" i="1"/>
  <c r="D809" i="1"/>
  <c r="X809" i="1" s="1"/>
  <c r="V817" i="1"/>
  <c r="D817" i="1"/>
  <c r="X817" i="1" s="1"/>
  <c r="V825" i="1"/>
  <c r="D825" i="1"/>
  <c r="X825" i="1" s="1"/>
  <c r="V833" i="1"/>
  <c r="D833" i="1"/>
  <c r="X833" i="1" s="1"/>
  <c r="V841" i="1"/>
  <c r="D841" i="1"/>
  <c r="X841" i="1" s="1"/>
  <c r="V849" i="1"/>
  <c r="D849" i="1"/>
  <c r="X849" i="1" s="1"/>
  <c r="V857" i="1"/>
  <c r="D857" i="1"/>
  <c r="X857" i="1" s="1"/>
  <c r="V865" i="1"/>
  <c r="D865" i="1"/>
  <c r="X865" i="1" s="1"/>
  <c r="V873" i="1"/>
  <c r="D873" i="1"/>
  <c r="X873" i="1" s="1"/>
  <c r="V881" i="1"/>
  <c r="D881" i="1"/>
  <c r="X881" i="1" s="1"/>
  <c r="V889" i="1"/>
  <c r="D889" i="1"/>
  <c r="X889" i="1" s="1"/>
  <c r="V897" i="1"/>
  <c r="D897" i="1"/>
  <c r="X897" i="1" s="1"/>
  <c r="V905" i="1"/>
  <c r="D905" i="1"/>
  <c r="X905" i="1" s="1"/>
  <c r="V913" i="1"/>
  <c r="D913" i="1"/>
  <c r="X913" i="1" s="1"/>
  <c r="V921" i="1"/>
  <c r="D921" i="1"/>
  <c r="X921" i="1" s="1"/>
  <c r="V929" i="1"/>
  <c r="D929" i="1"/>
  <c r="X929" i="1" s="1"/>
  <c r="V937" i="1"/>
  <c r="D937" i="1"/>
  <c r="X937" i="1" s="1"/>
  <c r="V945" i="1"/>
  <c r="D945" i="1"/>
  <c r="X945" i="1" s="1"/>
  <c r="V953" i="1"/>
  <c r="D953" i="1"/>
  <c r="X953" i="1" s="1"/>
  <c r="V961" i="1"/>
  <c r="D961" i="1"/>
  <c r="X961" i="1" s="1"/>
  <c r="V969" i="1"/>
  <c r="D969" i="1"/>
  <c r="X969" i="1" s="1"/>
  <c r="V977" i="1"/>
  <c r="D977" i="1"/>
  <c r="X977" i="1" s="1"/>
  <c r="V985" i="1"/>
  <c r="D985" i="1"/>
  <c r="X985" i="1" s="1"/>
  <c r="V993" i="1"/>
  <c r="D993" i="1"/>
  <c r="X993" i="1" s="1"/>
  <c r="V1001" i="1"/>
  <c r="D1001" i="1"/>
  <c r="X1001" i="1" s="1"/>
  <c r="V1009" i="1"/>
  <c r="D1009" i="1"/>
  <c r="X1009" i="1" s="1"/>
  <c r="V1017" i="1"/>
  <c r="D1017" i="1"/>
  <c r="X1017" i="1" s="1"/>
  <c r="V1025" i="1"/>
  <c r="D1025" i="1"/>
  <c r="X1025" i="1" s="1"/>
  <c r="V1033" i="1"/>
  <c r="D1033" i="1"/>
  <c r="X1033" i="1" s="1"/>
  <c r="V1041" i="1"/>
  <c r="D1041" i="1"/>
  <c r="X1041" i="1" s="1"/>
  <c r="V1049" i="1"/>
  <c r="D1049" i="1"/>
  <c r="X1049" i="1" s="1"/>
  <c r="V1057" i="1"/>
  <c r="D1057" i="1"/>
  <c r="X1057" i="1" s="1"/>
  <c r="V1065" i="1"/>
  <c r="D1065" i="1"/>
  <c r="X1065" i="1" s="1"/>
  <c r="V1073" i="1"/>
  <c r="D1073" i="1"/>
  <c r="X1073" i="1" s="1"/>
  <c r="V1081" i="1"/>
  <c r="D1081" i="1"/>
  <c r="X1081" i="1" s="1"/>
  <c r="V1089" i="1"/>
  <c r="D1089" i="1"/>
  <c r="X1089" i="1" s="1"/>
  <c r="V1097" i="1"/>
  <c r="D1097" i="1"/>
  <c r="X1097" i="1" s="1"/>
  <c r="V1105" i="1"/>
  <c r="D1105" i="1"/>
  <c r="X1105" i="1" s="1"/>
  <c r="V1113" i="1"/>
  <c r="D1113" i="1"/>
  <c r="X1113" i="1" s="1"/>
  <c r="V1121" i="1"/>
  <c r="D1121" i="1"/>
  <c r="X1121" i="1" s="1"/>
  <c r="V1129" i="1"/>
  <c r="D1129" i="1"/>
  <c r="X1129" i="1" s="1"/>
  <c r="V1137" i="1"/>
  <c r="D1137" i="1"/>
  <c r="X1137" i="1" s="1"/>
  <c r="V1145" i="1"/>
  <c r="D1145" i="1"/>
  <c r="X1145" i="1" s="1"/>
  <c r="V1153" i="1"/>
  <c r="D1153" i="1"/>
  <c r="X1153" i="1" s="1"/>
  <c r="V1161" i="1"/>
  <c r="D1161" i="1"/>
  <c r="X1161" i="1" s="1"/>
  <c r="V1169" i="1"/>
  <c r="D1169" i="1"/>
  <c r="X1169" i="1" s="1"/>
  <c r="V1177" i="1"/>
  <c r="D1177" i="1"/>
  <c r="X1177" i="1" s="1"/>
  <c r="V1185" i="1"/>
  <c r="D1185" i="1"/>
  <c r="X1185" i="1" s="1"/>
  <c r="V1193" i="1"/>
  <c r="D1193" i="1"/>
  <c r="X1193" i="1" s="1"/>
  <c r="V1201" i="1"/>
  <c r="D1201" i="1"/>
  <c r="X1201" i="1" s="1"/>
  <c r="V1209" i="1"/>
  <c r="D1209" i="1"/>
  <c r="X1209" i="1" s="1"/>
  <c r="V1217" i="1"/>
  <c r="D1217" i="1"/>
  <c r="X1217" i="1" s="1"/>
  <c r="V1225" i="1"/>
  <c r="D1225" i="1"/>
  <c r="X1225" i="1" s="1"/>
  <c r="V1233" i="1"/>
  <c r="D1233" i="1"/>
  <c r="X1233" i="1" s="1"/>
  <c r="V1241" i="1"/>
  <c r="D1241" i="1"/>
  <c r="X1241" i="1" s="1"/>
  <c r="V1249" i="1"/>
  <c r="D1249" i="1"/>
  <c r="X1249" i="1" s="1"/>
  <c r="V1257" i="1"/>
  <c r="D1257" i="1"/>
  <c r="X1257" i="1" s="1"/>
  <c r="V1265" i="1"/>
  <c r="D1265" i="1"/>
  <c r="X1265" i="1" s="1"/>
  <c r="V1273" i="1"/>
  <c r="D1273" i="1"/>
  <c r="X1273" i="1" s="1"/>
  <c r="V1281" i="1"/>
  <c r="D1281" i="1"/>
  <c r="X1281" i="1" s="1"/>
  <c r="V1289" i="1"/>
  <c r="D1289" i="1"/>
  <c r="X1289" i="1" s="1"/>
  <c r="V1297" i="1"/>
  <c r="D1297" i="1"/>
  <c r="X1297" i="1" s="1"/>
  <c r="V1305" i="1"/>
  <c r="D1305" i="1"/>
  <c r="X1305" i="1" s="1"/>
  <c r="V1313" i="1"/>
  <c r="D1313" i="1"/>
  <c r="X1313" i="1" s="1"/>
  <c r="V1321" i="1"/>
  <c r="D1321" i="1"/>
  <c r="X1321" i="1" s="1"/>
  <c r="V1329" i="1"/>
  <c r="D1329" i="1"/>
  <c r="X1329" i="1" s="1"/>
  <c r="V1337" i="1"/>
  <c r="D1337" i="1"/>
  <c r="X1337" i="1" s="1"/>
  <c r="V1345" i="1"/>
  <c r="D1345" i="1"/>
  <c r="X1345" i="1" s="1"/>
  <c r="V1353" i="1"/>
  <c r="D1353" i="1"/>
  <c r="X1353" i="1" s="1"/>
  <c r="V1361" i="1"/>
  <c r="D1361" i="1"/>
  <c r="X1361" i="1" s="1"/>
  <c r="V1369" i="1"/>
  <c r="D1369" i="1"/>
  <c r="X1369" i="1" s="1"/>
  <c r="V1377" i="1"/>
  <c r="D1377" i="1"/>
  <c r="X1377" i="1" s="1"/>
  <c r="V1385" i="1"/>
  <c r="D1385" i="1"/>
  <c r="X1385" i="1" s="1"/>
  <c r="V1393" i="1"/>
  <c r="D1393" i="1"/>
  <c r="X1393" i="1" s="1"/>
  <c r="V1401" i="1"/>
  <c r="D1401" i="1"/>
  <c r="X1401" i="1" s="1"/>
  <c r="V1409" i="1"/>
  <c r="D1409" i="1"/>
  <c r="X1409" i="1" s="1"/>
  <c r="V1417" i="1"/>
  <c r="D1417" i="1"/>
  <c r="X1417" i="1" s="1"/>
  <c r="V1425" i="1"/>
  <c r="D1425" i="1"/>
  <c r="X1425" i="1" s="1"/>
  <c r="V1433" i="1"/>
  <c r="D1433" i="1"/>
  <c r="X1433" i="1" s="1"/>
  <c r="V1441" i="1"/>
  <c r="D1441" i="1"/>
  <c r="X1441" i="1" s="1"/>
  <c r="V1449" i="1"/>
  <c r="D1449" i="1"/>
  <c r="X1449" i="1" s="1"/>
  <c r="V1457" i="1"/>
  <c r="D1457" i="1"/>
  <c r="X1457" i="1" s="1"/>
  <c r="V1465" i="1"/>
  <c r="D1465" i="1"/>
  <c r="X1465" i="1" s="1"/>
  <c r="V1473" i="1"/>
  <c r="D1473" i="1"/>
  <c r="X1473" i="1" s="1"/>
  <c r="V1481" i="1"/>
  <c r="D1481" i="1"/>
  <c r="X1481" i="1" s="1"/>
  <c r="V1489" i="1"/>
  <c r="D1489" i="1"/>
  <c r="X1489" i="1" s="1"/>
  <c r="V1497" i="1"/>
  <c r="D1497" i="1"/>
  <c r="X1497" i="1" s="1"/>
  <c r="V1505" i="1"/>
  <c r="D1505" i="1"/>
  <c r="X1505" i="1" s="1"/>
  <c r="V1513" i="1"/>
  <c r="D1513" i="1"/>
  <c r="X1513" i="1" s="1"/>
  <c r="V1521" i="1"/>
  <c r="D1521" i="1"/>
  <c r="X1521" i="1" s="1"/>
  <c r="V1529" i="1"/>
  <c r="D1529" i="1"/>
  <c r="X1529" i="1" s="1"/>
  <c r="V1537" i="1"/>
  <c r="D1537" i="1"/>
  <c r="X1537" i="1" s="1"/>
  <c r="V1545" i="1"/>
  <c r="D1545" i="1"/>
  <c r="X1545" i="1" s="1"/>
  <c r="V1553" i="1"/>
  <c r="D1553" i="1"/>
  <c r="X1553" i="1" s="1"/>
  <c r="V1561" i="1"/>
  <c r="D1561" i="1"/>
  <c r="X1561" i="1" s="1"/>
  <c r="V1569" i="1"/>
  <c r="D1569" i="1"/>
  <c r="X1569" i="1" s="1"/>
  <c r="V1577" i="1"/>
  <c r="D1577" i="1"/>
  <c r="X1577" i="1" s="1"/>
  <c r="V1585" i="1"/>
  <c r="D1585" i="1"/>
  <c r="X1585" i="1" s="1"/>
  <c r="V1593" i="1"/>
  <c r="D1593" i="1"/>
  <c r="X1593" i="1" s="1"/>
  <c r="V1601" i="1"/>
  <c r="D1601" i="1"/>
  <c r="X1601" i="1" s="1"/>
  <c r="V1609" i="1"/>
  <c r="D1609" i="1"/>
  <c r="X1609" i="1" s="1"/>
  <c r="V1617" i="1"/>
  <c r="D1617" i="1"/>
  <c r="X1617" i="1" s="1"/>
  <c r="V1625" i="1"/>
  <c r="D1625" i="1"/>
  <c r="X1625" i="1" s="1"/>
  <c r="V1633" i="1"/>
  <c r="D1633" i="1"/>
  <c r="X1633" i="1" s="1"/>
  <c r="V1641" i="1"/>
  <c r="D1641" i="1"/>
  <c r="X1641" i="1" s="1"/>
  <c r="V1649" i="1"/>
  <c r="D1649" i="1"/>
  <c r="X1649" i="1" s="1"/>
  <c r="V1657" i="1"/>
  <c r="D1657" i="1"/>
  <c r="X1657" i="1" s="1"/>
  <c r="V1665" i="1"/>
  <c r="D1665" i="1"/>
  <c r="X1665" i="1" s="1"/>
  <c r="V1673" i="1"/>
  <c r="D1673" i="1"/>
  <c r="X1673" i="1" s="1"/>
  <c r="V1681" i="1"/>
  <c r="D1681" i="1"/>
  <c r="X1681" i="1" s="1"/>
  <c r="V1689" i="1"/>
  <c r="D1689" i="1"/>
  <c r="X1689" i="1" s="1"/>
  <c r="V1697" i="1"/>
  <c r="D1697" i="1"/>
  <c r="X1697" i="1" s="1"/>
  <c r="V1705" i="1"/>
  <c r="D1705" i="1"/>
  <c r="X1705" i="1" s="1"/>
  <c r="V1713" i="1"/>
  <c r="D1713" i="1"/>
  <c r="X1713" i="1" s="1"/>
  <c r="V1721" i="1"/>
  <c r="D1721" i="1"/>
  <c r="X1721" i="1" s="1"/>
  <c r="V1729" i="1"/>
  <c r="D1729" i="1"/>
  <c r="X1729" i="1" s="1"/>
  <c r="V1737" i="1"/>
  <c r="D1737" i="1"/>
  <c r="X1737" i="1" s="1"/>
  <c r="V1745" i="1"/>
  <c r="D1745" i="1"/>
  <c r="X1745" i="1" s="1"/>
  <c r="V1753" i="1"/>
  <c r="D1753" i="1"/>
  <c r="X1753" i="1" s="1"/>
  <c r="V1761" i="1"/>
  <c r="D1761" i="1"/>
  <c r="X1761" i="1" s="1"/>
  <c r="V1769" i="1"/>
  <c r="D1769" i="1"/>
  <c r="X1769" i="1" s="1"/>
  <c r="V1777" i="1"/>
  <c r="D1777" i="1"/>
  <c r="X1777" i="1" s="1"/>
  <c r="V1785" i="1"/>
  <c r="D1785" i="1"/>
  <c r="X1785" i="1" s="1"/>
  <c r="V1793" i="1"/>
  <c r="D1793" i="1"/>
  <c r="X1793" i="1" s="1"/>
  <c r="V1801" i="1"/>
  <c r="D1801" i="1"/>
  <c r="X1801" i="1" s="1"/>
  <c r="V1809" i="1"/>
  <c r="D1809" i="1"/>
  <c r="X1809" i="1" s="1"/>
  <c r="V1817" i="1"/>
  <c r="D1817" i="1"/>
  <c r="X1817" i="1" s="1"/>
  <c r="V1825" i="1"/>
  <c r="D1825" i="1"/>
  <c r="X1825" i="1" s="1"/>
  <c r="V1833" i="1"/>
  <c r="D1833" i="1"/>
  <c r="X1833" i="1" s="1"/>
  <c r="V1841" i="1"/>
  <c r="D1841" i="1"/>
  <c r="X1841" i="1" s="1"/>
  <c r="V1849" i="1"/>
  <c r="D1849" i="1"/>
  <c r="X1849" i="1" s="1"/>
  <c r="V1857" i="1"/>
  <c r="D1857" i="1"/>
  <c r="X1857" i="1" s="1"/>
  <c r="V1865" i="1"/>
  <c r="D1865" i="1"/>
  <c r="X1865" i="1" s="1"/>
  <c r="V1873" i="1"/>
  <c r="D1873" i="1"/>
  <c r="X1873" i="1" s="1"/>
  <c r="V1881" i="1"/>
  <c r="D1881" i="1"/>
  <c r="X1881" i="1" s="1"/>
  <c r="V1889" i="1"/>
  <c r="D1889" i="1"/>
  <c r="X1889" i="1" s="1"/>
  <c r="V1897" i="1"/>
  <c r="D1897" i="1"/>
  <c r="X1897" i="1" s="1"/>
  <c r="V1905" i="1"/>
  <c r="D1905" i="1"/>
  <c r="X1905" i="1" s="1"/>
  <c r="V1913" i="1"/>
  <c r="D1913" i="1"/>
  <c r="X1913" i="1" s="1"/>
  <c r="V1921" i="1"/>
  <c r="D1921" i="1"/>
  <c r="X1921" i="1" s="1"/>
  <c r="V1929" i="1"/>
  <c r="D1929" i="1"/>
  <c r="X1929" i="1" s="1"/>
  <c r="V1937" i="1"/>
  <c r="D1937" i="1"/>
  <c r="X1937" i="1" s="1"/>
  <c r="V1945" i="1"/>
  <c r="D1945" i="1"/>
  <c r="X1945" i="1" s="1"/>
  <c r="V1953" i="1"/>
  <c r="D1953" i="1"/>
  <c r="X1953" i="1" s="1"/>
  <c r="V1961" i="1"/>
  <c r="D1961" i="1"/>
  <c r="X1961" i="1" s="1"/>
  <c r="V1969" i="1"/>
  <c r="D1969" i="1"/>
  <c r="X1969" i="1" s="1"/>
  <c r="V1977" i="1"/>
  <c r="D1977" i="1"/>
  <c r="X1977" i="1" s="1"/>
  <c r="V1985" i="1"/>
  <c r="D1985" i="1"/>
  <c r="X1985" i="1" s="1"/>
  <c r="V1993" i="1"/>
  <c r="D1993" i="1"/>
  <c r="X1993" i="1" s="1"/>
  <c r="V2001" i="1"/>
  <c r="D2001" i="1"/>
  <c r="X2001" i="1" s="1"/>
  <c r="V2009" i="1"/>
  <c r="D2009" i="1"/>
  <c r="X2009" i="1" s="1"/>
  <c r="V2017" i="1"/>
  <c r="D2017" i="1"/>
  <c r="X2017" i="1" s="1"/>
  <c r="V2025" i="1"/>
  <c r="D2025" i="1"/>
  <c r="X2025" i="1" s="1"/>
  <c r="V2033" i="1"/>
  <c r="D2033" i="1"/>
  <c r="X2033" i="1" s="1"/>
  <c r="V2041" i="1"/>
  <c r="D2041" i="1"/>
  <c r="X2041" i="1" s="1"/>
  <c r="V2049" i="1"/>
  <c r="D2049" i="1"/>
  <c r="X2049" i="1" s="1"/>
  <c r="V2057" i="1"/>
  <c r="D2057" i="1"/>
  <c r="X2057" i="1" s="1"/>
  <c r="V2065" i="1"/>
  <c r="D2065" i="1"/>
  <c r="X2065" i="1" s="1"/>
  <c r="V2073" i="1"/>
  <c r="D2073" i="1"/>
  <c r="X2073" i="1" s="1"/>
  <c r="V2081" i="1"/>
  <c r="D2081" i="1"/>
  <c r="X2081" i="1" s="1"/>
  <c r="V2089" i="1"/>
  <c r="D2089" i="1"/>
  <c r="X2089" i="1" s="1"/>
  <c r="V2097" i="1"/>
  <c r="D2097" i="1"/>
  <c r="X2097" i="1" s="1"/>
  <c r="V2105" i="1"/>
  <c r="D2105" i="1"/>
  <c r="X2105" i="1" s="1"/>
  <c r="V2113" i="1"/>
  <c r="D2113" i="1"/>
  <c r="X2113" i="1" s="1"/>
  <c r="V2121" i="1"/>
  <c r="D2121" i="1"/>
  <c r="X2121" i="1" s="1"/>
  <c r="V2129" i="1"/>
  <c r="D2129" i="1"/>
  <c r="X2129" i="1" s="1"/>
  <c r="V2137" i="1"/>
  <c r="D2137" i="1"/>
  <c r="X2137" i="1" s="1"/>
  <c r="V2145" i="1"/>
  <c r="D2145" i="1"/>
  <c r="X2145" i="1" s="1"/>
  <c r="V2153" i="1"/>
  <c r="D2153" i="1"/>
  <c r="X2153" i="1" s="1"/>
  <c r="V2161" i="1"/>
  <c r="D2161" i="1"/>
  <c r="X2161" i="1" s="1"/>
  <c r="V2169" i="1"/>
  <c r="D2169" i="1"/>
  <c r="X2169" i="1" s="1"/>
  <c r="V2177" i="1"/>
  <c r="D2177" i="1"/>
  <c r="X2177" i="1" s="1"/>
  <c r="V2185" i="1"/>
  <c r="D2185" i="1"/>
  <c r="X2185" i="1" s="1"/>
  <c r="V2193" i="1"/>
  <c r="D2193" i="1"/>
  <c r="X2193" i="1" s="1"/>
  <c r="V2201" i="1"/>
  <c r="D2201" i="1"/>
  <c r="X2201" i="1" s="1"/>
  <c r="V2206" i="1"/>
  <c r="V2209" i="1"/>
  <c r="D2209" i="1"/>
  <c r="X2209" i="1" s="1"/>
  <c r="V2217" i="1"/>
  <c r="D2217" i="1"/>
  <c r="X2217" i="1" s="1"/>
  <c r="V2225" i="1"/>
  <c r="D2225" i="1"/>
  <c r="X2225" i="1" s="1"/>
  <c r="V2233" i="1"/>
  <c r="D2233" i="1"/>
  <c r="X2233" i="1" s="1"/>
  <c r="V2241" i="1"/>
  <c r="D2241" i="1"/>
  <c r="X2241" i="1" s="1"/>
  <c r="V2249" i="1"/>
  <c r="D2249" i="1"/>
  <c r="X2249" i="1" s="1"/>
  <c r="V2257" i="1"/>
  <c r="D2257" i="1"/>
  <c r="X2257" i="1" s="1"/>
  <c r="V2265" i="1"/>
  <c r="D2265" i="1"/>
  <c r="X2265" i="1" s="1"/>
  <c r="V2273" i="1"/>
  <c r="D2273" i="1"/>
  <c r="X2273" i="1" s="1"/>
  <c r="V2281" i="1"/>
  <c r="D2281" i="1"/>
  <c r="X2281" i="1" s="1"/>
  <c r="V2289" i="1"/>
  <c r="D2289" i="1"/>
  <c r="X2289" i="1" s="1"/>
  <c r="V2297" i="1"/>
  <c r="D2297" i="1"/>
  <c r="X2297" i="1" s="1"/>
  <c r="V2305" i="1"/>
  <c r="D2305" i="1"/>
  <c r="X2305" i="1" s="1"/>
  <c r="V2313" i="1"/>
  <c r="D2313" i="1"/>
  <c r="X2313" i="1" s="1"/>
  <c r="V2321" i="1"/>
  <c r="D2321" i="1"/>
  <c r="X2321" i="1" s="1"/>
  <c r="V2329" i="1"/>
  <c r="D2329" i="1"/>
  <c r="X2329" i="1" s="1"/>
  <c r="V2337" i="1"/>
  <c r="D2337" i="1"/>
  <c r="X2337" i="1" s="1"/>
  <c r="V2345" i="1"/>
  <c r="D2345" i="1"/>
  <c r="X2345" i="1" s="1"/>
  <c r="V2353" i="1"/>
  <c r="D2353" i="1"/>
  <c r="X2353" i="1" s="1"/>
  <c r="V2361" i="1"/>
  <c r="D2361" i="1"/>
  <c r="X2361" i="1" s="1"/>
  <c r="V2369" i="1"/>
  <c r="D2369" i="1"/>
  <c r="X2369" i="1" s="1"/>
  <c r="V2377" i="1"/>
  <c r="D2377" i="1"/>
  <c r="X2377" i="1" s="1"/>
  <c r="V2385" i="1"/>
  <c r="D2385" i="1"/>
  <c r="X2385" i="1" s="1"/>
  <c r="V2393" i="1"/>
  <c r="D2393" i="1"/>
  <c r="X2393" i="1" s="1"/>
  <c r="V2401" i="1"/>
  <c r="D2401" i="1"/>
  <c r="X2401" i="1" s="1"/>
  <c r="V2409" i="1"/>
  <c r="D2409" i="1"/>
  <c r="X2409" i="1" s="1"/>
  <c r="V2417" i="1"/>
  <c r="D2417" i="1"/>
  <c r="X2417" i="1" s="1"/>
  <c r="V2425" i="1"/>
  <c r="D2425" i="1"/>
  <c r="X2425" i="1" s="1"/>
  <c r="V2433" i="1"/>
  <c r="D2433" i="1"/>
  <c r="X2433" i="1" s="1"/>
  <c r="V2441" i="1"/>
  <c r="D2441" i="1"/>
  <c r="X2441" i="1" s="1"/>
  <c r="V2449" i="1"/>
  <c r="D2449" i="1"/>
  <c r="X2449" i="1" s="1"/>
  <c r="V2457" i="1"/>
  <c r="D2457" i="1"/>
  <c r="X2457" i="1" s="1"/>
  <c r="V2465" i="1"/>
  <c r="D2465" i="1"/>
  <c r="X2465" i="1" s="1"/>
  <c r="V2473" i="1"/>
  <c r="D2473" i="1"/>
  <c r="X2473" i="1" s="1"/>
  <c r="V2481" i="1"/>
  <c r="D2481" i="1"/>
  <c r="X2481" i="1" s="1"/>
  <c r="V2489" i="1"/>
  <c r="D2489" i="1"/>
  <c r="X2489" i="1" s="1"/>
  <c r="V2497" i="1"/>
  <c r="D2497" i="1"/>
  <c r="X2497" i="1" s="1"/>
  <c r="V2505" i="1"/>
  <c r="D2505" i="1"/>
  <c r="X2505" i="1" s="1"/>
  <c r="V2510" i="1"/>
  <c r="V2513" i="1"/>
  <c r="D2513" i="1"/>
  <c r="X2513" i="1" s="1"/>
  <c r="V2518" i="1"/>
  <c r="V2521" i="1"/>
  <c r="D2521" i="1"/>
  <c r="X2521" i="1" s="1"/>
  <c r="V2526" i="1"/>
  <c r="V2529" i="1"/>
  <c r="D2529" i="1"/>
  <c r="X2529" i="1" s="1"/>
  <c r="V2534" i="1"/>
  <c r="V2537" i="1"/>
  <c r="D2537" i="1"/>
  <c r="X2537" i="1" s="1"/>
  <c r="V2542" i="1"/>
  <c r="V2545" i="1"/>
  <c r="D2545" i="1"/>
  <c r="X2545" i="1" s="1"/>
  <c r="V2550" i="1"/>
  <c r="V2553" i="1"/>
  <c r="D2553" i="1"/>
  <c r="X2553" i="1" s="1"/>
  <c r="V2558" i="1"/>
  <c r="V2561" i="1"/>
  <c r="D2561" i="1"/>
  <c r="X2561" i="1" s="1"/>
  <c r="V2566" i="1"/>
  <c r="V2569" i="1"/>
  <c r="D2569" i="1"/>
  <c r="X2569" i="1" s="1"/>
  <c r="V2574" i="1"/>
  <c r="V2577" i="1"/>
  <c r="D2577" i="1"/>
  <c r="X2577" i="1" s="1"/>
  <c r="V2582" i="1"/>
  <c r="V2585" i="1"/>
  <c r="D2585" i="1"/>
  <c r="X2585" i="1" s="1"/>
  <c r="V2590" i="1"/>
  <c r="V2593" i="1"/>
  <c r="D2593" i="1"/>
  <c r="X2593" i="1" s="1"/>
  <c r="V2598" i="1"/>
  <c r="V2601" i="1"/>
  <c r="D2601" i="1"/>
  <c r="X2601" i="1" s="1"/>
  <c r="V2606" i="1"/>
  <c r="V2609" i="1"/>
  <c r="D2609" i="1"/>
  <c r="X2609" i="1" s="1"/>
  <c r="V2614" i="1"/>
  <c r="V2617" i="1"/>
  <c r="D2617" i="1"/>
  <c r="X2617" i="1" s="1"/>
  <c r="V2622" i="1"/>
  <c r="V2625" i="1"/>
  <c r="D2625" i="1"/>
  <c r="X2625" i="1" s="1"/>
  <c r="V2630" i="1"/>
  <c r="V2633" i="1"/>
  <c r="D2633" i="1"/>
  <c r="X2633" i="1" s="1"/>
  <c r="V2638" i="1"/>
  <c r="V2641" i="1"/>
  <c r="D2641" i="1"/>
  <c r="X2641" i="1" s="1"/>
  <c r="V2646" i="1"/>
  <c r="V2649" i="1"/>
  <c r="D2649" i="1"/>
  <c r="X2649" i="1" s="1"/>
  <c r="V2654" i="1"/>
  <c r="V2657" i="1"/>
  <c r="D2657" i="1"/>
  <c r="X2657" i="1" s="1"/>
  <c r="V2662" i="1"/>
  <c r="V2665" i="1"/>
  <c r="D2665" i="1"/>
  <c r="X2665" i="1" s="1"/>
  <c r="V2670" i="1"/>
  <c r="V2673" i="1"/>
  <c r="D2673" i="1"/>
  <c r="X2673" i="1" s="1"/>
  <c r="V2678" i="1"/>
  <c r="V2681" i="1"/>
  <c r="D2681" i="1"/>
  <c r="X2681" i="1" s="1"/>
  <c r="V2686" i="1"/>
  <c r="V2689" i="1"/>
  <c r="D2689" i="1"/>
  <c r="X2689" i="1" s="1"/>
  <c r="V2694" i="1"/>
  <c r="V2697" i="1"/>
  <c r="D2697" i="1"/>
  <c r="X2697" i="1" s="1"/>
  <c r="V2702" i="1"/>
  <c r="V2705" i="1"/>
  <c r="D2705" i="1"/>
  <c r="X2705" i="1" s="1"/>
  <c r="V2710" i="1"/>
  <c r="V2713" i="1"/>
  <c r="D2713" i="1"/>
  <c r="X2713" i="1" s="1"/>
  <c r="V2718" i="1"/>
  <c r="V2721" i="1"/>
  <c r="D2721" i="1"/>
  <c r="X2721" i="1" s="1"/>
  <c r="V2726" i="1"/>
  <c r="V2729" i="1"/>
  <c r="D2729" i="1"/>
  <c r="X2729" i="1" s="1"/>
  <c r="V2734" i="1"/>
  <c r="V2737" i="1"/>
  <c r="D2737" i="1"/>
  <c r="X2737" i="1" s="1"/>
  <c r="V2742" i="1"/>
  <c r="V2745" i="1"/>
  <c r="D2745" i="1"/>
  <c r="X2745" i="1" s="1"/>
  <c r="V2750" i="1"/>
  <c r="V2753" i="1"/>
  <c r="D2753" i="1"/>
  <c r="X2753" i="1" s="1"/>
  <c r="V2758" i="1"/>
  <c r="V2761" i="1"/>
  <c r="D2761" i="1"/>
  <c r="X2761" i="1" s="1"/>
  <c r="V2766" i="1"/>
  <c r="V2769" i="1"/>
  <c r="D2769" i="1"/>
  <c r="X2769" i="1" s="1"/>
  <c r="V2774" i="1"/>
  <c r="V2777" i="1"/>
  <c r="D2777" i="1"/>
  <c r="X2777" i="1" s="1"/>
  <c r="V2782" i="1"/>
  <c r="V2785" i="1"/>
  <c r="D2785" i="1"/>
  <c r="X2785" i="1" s="1"/>
  <c r="V2790" i="1"/>
  <c r="V2793" i="1"/>
  <c r="D2793" i="1"/>
  <c r="X2793" i="1" s="1"/>
  <c r="V2798" i="1"/>
  <c r="V2801" i="1"/>
  <c r="D2801" i="1"/>
  <c r="X2801" i="1" s="1"/>
  <c r="V2806" i="1"/>
  <c r="V2809" i="1"/>
  <c r="D2809" i="1"/>
  <c r="X2809" i="1" s="1"/>
  <c r="V2814" i="1"/>
  <c r="V2817" i="1"/>
  <c r="D2817" i="1"/>
  <c r="X2817" i="1" s="1"/>
  <c r="V2822" i="1"/>
  <c r="V2825" i="1"/>
  <c r="D2825" i="1"/>
  <c r="X2825" i="1" s="1"/>
  <c r="V2830" i="1"/>
  <c r="V2833" i="1"/>
  <c r="D2833" i="1"/>
  <c r="X2833" i="1" s="1"/>
  <c r="V2838" i="1"/>
  <c r="V2841" i="1"/>
  <c r="D2841" i="1"/>
  <c r="X2841" i="1" s="1"/>
  <c r="V2846" i="1"/>
  <c r="V2849" i="1"/>
  <c r="D2849" i="1"/>
  <c r="X2849" i="1" s="1"/>
  <c r="V2854" i="1"/>
  <c r="V2857" i="1"/>
  <c r="D2857" i="1"/>
  <c r="X2857" i="1" s="1"/>
  <c r="V2862" i="1"/>
  <c r="V2865" i="1"/>
  <c r="D2865" i="1"/>
  <c r="X2865" i="1" s="1"/>
  <c r="V2870" i="1"/>
  <c r="V2873" i="1"/>
  <c r="D2873" i="1"/>
  <c r="X2873" i="1" s="1"/>
  <c r="V2878" i="1"/>
  <c r="V2881" i="1"/>
  <c r="D2881" i="1"/>
  <c r="X2881" i="1" s="1"/>
  <c r="D2884" i="1"/>
  <c r="X2884" i="1" s="1"/>
  <c r="V2884" i="1"/>
  <c r="V2893" i="1"/>
  <c r="D2893" i="1"/>
  <c r="X2893" i="1" s="1"/>
  <c r="V2904" i="1"/>
  <c r="V2907" i="1"/>
  <c r="D2907" i="1"/>
  <c r="X2907" i="1" s="1"/>
  <c r="V2910" i="1"/>
  <c r="V2913" i="1"/>
  <c r="D2913" i="1"/>
  <c r="X2913" i="1" s="1"/>
  <c r="D2916" i="1"/>
  <c r="X2916" i="1" s="1"/>
  <c r="V2916" i="1"/>
  <c r="V2925" i="1"/>
  <c r="D2925" i="1"/>
  <c r="X2925" i="1" s="1"/>
  <c r="V2939" i="1"/>
  <c r="D2939" i="1"/>
  <c r="X2939" i="1" s="1"/>
  <c r="V2942" i="1"/>
  <c r="V2945" i="1"/>
  <c r="D2945" i="1"/>
  <c r="X2945" i="1" s="1"/>
  <c r="D2948" i="1"/>
  <c r="X2948" i="1" s="1"/>
  <c r="V2948" i="1"/>
  <c r="V2971" i="1"/>
  <c r="D2971" i="1"/>
  <c r="X2971" i="1" s="1"/>
  <c r="V2974" i="1"/>
  <c r="V2977" i="1"/>
  <c r="D2977" i="1"/>
  <c r="X2977" i="1" s="1"/>
  <c r="D2980" i="1"/>
  <c r="X2980" i="1" s="1"/>
  <c r="V2980" i="1"/>
  <c r="V3003" i="1"/>
  <c r="D3003" i="1"/>
  <c r="X3003" i="1" s="1"/>
  <c r="V3006" i="1"/>
  <c r="V3009" i="1"/>
  <c r="D3009" i="1"/>
  <c r="X3009" i="1" s="1"/>
  <c r="D3012" i="1"/>
  <c r="X3012" i="1" s="1"/>
  <c r="V3012" i="1"/>
  <c r="V3041" i="1"/>
  <c r="D3041" i="1"/>
  <c r="X3041" i="1" s="1"/>
  <c r="D3044" i="1"/>
  <c r="X3044" i="1" s="1"/>
  <c r="V3044" i="1"/>
  <c r="V3073" i="1"/>
  <c r="D3073" i="1"/>
  <c r="X3073" i="1" s="1"/>
  <c r="V196" i="1"/>
  <c r="V199" i="1"/>
  <c r="D199" i="1"/>
  <c r="X199" i="1" s="1"/>
  <c r="V220" i="1"/>
  <c r="V223" i="1"/>
  <c r="D223" i="1"/>
  <c r="X223" i="1" s="1"/>
  <c r="V244" i="1"/>
  <c r="V247" i="1"/>
  <c r="D247" i="1"/>
  <c r="X247" i="1" s="1"/>
  <c r="V268" i="1"/>
  <c r="V271" i="1"/>
  <c r="D271" i="1"/>
  <c r="X271" i="1" s="1"/>
  <c r="V284" i="1"/>
  <c r="V287" i="1"/>
  <c r="D287" i="1"/>
  <c r="X287" i="1" s="1"/>
  <c r="V292" i="1"/>
  <c r="V295" i="1"/>
  <c r="D295" i="1"/>
  <c r="X295" i="1" s="1"/>
  <c r="V300" i="1"/>
  <c r="V303" i="1"/>
  <c r="D303" i="1"/>
  <c r="X303" i="1" s="1"/>
  <c r="V308" i="1"/>
  <c r="V311" i="1"/>
  <c r="D311" i="1"/>
  <c r="X311" i="1" s="1"/>
  <c r="V316" i="1"/>
  <c r="V319" i="1"/>
  <c r="D319" i="1"/>
  <c r="X319" i="1" s="1"/>
  <c r="V324" i="1"/>
  <c r="V327" i="1"/>
  <c r="D327" i="1"/>
  <c r="X327" i="1" s="1"/>
  <c r="V332" i="1"/>
  <c r="V335" i="1"/>
  <c r="D335" i="1"/>
  <c r="X335" i="1" s="1"/>
  <c r="V340" i="1"/>
  <c r="V343" i="1"/>
  <c r="D343" i="1"/>
  <c r="X343" i="1" s="1"/>
  <c r="V348" i="1"/>
  <c r="V351" i="1"/>
  <c r="D351" i="1"/>
  <c r="X351" i="1" s="1"/>
  <c r="V356" i="1"/>
  <c r="V359" i="1"/>
  <c r="D359" i="1"/>
  <c r="X359" i="1" s="1"/>
  <c r="V364" i="1"/>
  <c r="V367" i="1"/>
  <c r="D367" i="1"/>
  <c r="X367" i="1" s="1"/>
  <c r="V372" i="1"/>
  <c r="V375" i="1"/>
  <c r="D375" i="1"/>
  <c r="X375" i="1" s="1"/>
  <c r="V380" i="1"/>
  <c r="V383" i="1"/>
  <c r="D383" i="1"/>
  <c r="X383" i="1" s="1"/>
  <c r="V388" i="1"/>
  <c r="V391" i="1"/>
  <c r="D391" i="1"/>
  <c r="X391" i="1" s="1"/>
  <c r="V396" i="1"/>
  <c r="V399" i="1"/>
  <c r="D399" i="1"/>
  <c r="X399" i="1" s="1"/>
  <c r="V404" i="1"/>
  <c r="V407" i="1"/>
  <c r="D407" i="1"/>
  <c r="X407" i="1" s="1"/>
  <c r="V412" i="1"/>
  <c r="V415" i="1"/>
  <c r="D415" i="1"/>
  <c r="X415" i="1" s="1"/>
  <c r="V420" i="1"/>
  <c r="V423" i="1"/>
  <c r="D423" i="1"/>
  <c r="X423" i="1" s="1"/>
  <c r="V428" i="1"/>
  <c r="V431" i="1"/>
  <c r="D431" i="1"/>
  <c r="X431" i="1" s="1"/>
  <c r="V436" i="1"/>
  <c r="V439" i="1"/>
  <c r="D439" i="1"/>
  <c r="X439" i="1" s="1"/>
  <c r="V444" i="1"/>
  <c r="V447" i="1"/>
  <c r="D447" i="1"/>
  <c r="X447" i="1" s="1"/>
  <c r="V452" i="1"/>
  <c r="V455" i="1"/>
  <c r="D455" i="1"/>
  <c r="X455" i="1" s="1"/>
  <c r="V460" i="1"/>
  <c r="V463" i="1"/>
  <c r="D463" i="1"/>
  <c r="X463" i="1" s="1"/>
  <c r="V468" i="1"/>
  <c r="V471" i="1"/>
  <c r="D471" i="1"/>
  <c r="X471" i="1" s="1"/>
  <c r="V476" i="1"/>
  <c r="V479" i="1"/>
  <c r="D479" i="1"/>
  <c r="X479" i="1" s="1"/>
  <c r="V484" i="1"/>
  <c r="V487" i="1"/>
  <c r="D487" i="1"/>
  <c r="X487" i="1" s="1"/>
  <c r="V492" i="1"/>
  <c r="V495" i="1"/>
  <c r="D495" i="1"/>
  <c r="X495" i="1" s="1"/>
  <c r="V500" i="1"/>
  <c r="V503" i="1"/>
  <c r="D503" i="1"/>
  <c r="X503" i="1" s="1"/>
  <c r="V508" i="1"/>
  <c r="V511" i="1"/>
  <c r="D511" i="1"/>
  <c r="X511" i="1" s="1"/>
  <c r="V516" i="1"/>
  <c r="V519" i="1"/>
  <c r="D519" i="1"/>
  <c r="X519" i="1" s="1"/>
  <c r="V524" i="1"/>
  <c r="V527" i="1"/>
  <c r="D527" i="1"/>
  <c r="X527" i="1" s="1"/>
  <c r="V532" i="1"/>
  <c r="V535" i="1"/>
  <c r="D535" i="1"/>
  <c r="X535" i="1" s="1"/>
  <c r="V540" i="1"/>
  <c r="V543" i="1"/>
  <c r="D543" i="1"/>
  <c r="X543" i="1" s="1"/>
  <c r="V548" i="1"/>
  <c r="V551" i="1"/>
  <c r="D551" i="1"/>
  <c r="X551" i="1" s="1"/>
  <c r="V556" i="1"/>
  <c r="V559" i="1"/>
  <c r="D559" i="1"/>
  <c r="X559" i="1" s="1"/>
  <c r="V564" i="1"/>
  <c r="V567" i="1"/>
  <c r="D567" i="1"/>
  <c r="X567" i="1" s="1"/>
  <c r="V572" i="1"/>
  <c r="V575" i="1"/>
  <c r="D575" i="1"/>
  <c r="X575" i="1" s="1"/>
  <c r="V580" i="1"/>
  <c r="V583" i="1"/>
  <c r="D583" i="1"/>
  <c r="X583" i="1" s="1"/>
  <c r="V588" i="1"/>
  <c r="V591" i="1"/>
  <c r="D591" i="1"/>
  <c r="X591" i="1" s="1"/>
  <c r="V596" i="1"/>
  <c r="V599" i="1"/>
  <c r="D599" i="1"/>
  <c r="X599" i="1" s="1"/>
  <c r="V604" i="1"/>
  <c r="V607" i="1"/>
  <c r="D607" i="1"/>
  <c r="X607" i="1" s="1"/>
  <c r="V612" i="1"/>
  <c r="V615" i="1"/>
  <c r="D615" i="1"/>
  <c r="X615" i="1" s="1"/>
  <c r="V620" i="1"/>
  <c r="V623" i="1"/>
  <c r="D623" i="1"/>
  <c r="X623" i="1" s="1"/>
  <c r="V628" i="1"/>
  <c r="V631" i="1"/>
  <c r="D631" i="1"/>
  <c r="X631" i="1" s="1"/>
  <c r="V636" i="1"/>
  <c r="V639" i="1"/>
  <c r="D639" i="1"/>
  <c r="X639" i="1" s="1"/>
  <c r="V644" i="1"/>
  <c r="V647" i="1"/>
  <c r="D647" i="1"/>
  <c r="X647" i="1" s="1"/>
  <c r="V652" i="1"/>
  <c r="V655" i="1"/>
  <c r="D655" i="1"/>
  <c r="X655" i="1" s="1"/>
  <c r="V660" i="1"/>
  <c r="V663" i="1"/>
  <c r="D663" i="1"/>
  <c r="X663" i="1" s="1"/>
  <c r="V668" i="1"/>
  <c r="V671" i="1"/>
  <c r="D671" i="1"/>
  <c r="X671" i="1" s="1"/>
  <c r="V676" i="1"/>
  <c r="V679" i="1"/>
  <c r="D679" i="1"/>
  <c r="X679" i="1" s="1"/>
  <c r="V684" i="1"/>
  <c r="V687" i="1"/>
  <c r="D687" i="1"/>
  <c r="X687" i="1" s="1"/>
  <c r="V692" i="1"/>
  <c r="V695" i="1"/>
  <c r="D695" i="1"/>
  <c r="X695" i="1" s="1"/>
  <c r="V700" i="1"/>
  <c r="V703" i="1"/>
  <c r="D703" i="1"/>
  <c r="X703" i="1" s="1"/>
  <c r="V708" i="1"/>
  <c r="V711" i="1"/>
  <c r="D711" i="1"/>
  <c r="X711" i="1" s="1"/>
  <c r="V716" i="1"/>
  <c r="V719" i="1"/>
  <c r="D719" i="1"/>
  <c r="X719" i="1" s="1"/>
  <c r="V724" i="1"/>
  <c r="V727" i="1"/>
  <c r="D727" i="1"/>
  <c r="X727" i="1" s="1"/>
  <c r="V732" i="1"/>
  <c r="V735" i="1"/>
  <c r="D735" i="1"/>
  <c r="X735" i="1" s="1"/>
  <c r="V740" i="1"/>
  <c r="V743" i="1"/>
  <c r="D743" i="1"/>
  <c r="X743" i="1" s="1"/>
  <c r="V748" i="1"/>
  <c r="V751" i="1"/>
  <c r="D751" i="1"/>
  <c r="X751" i="1" s="1"/>
  <c r="V756" i="1"/>
  <c r="V759" i="1"/>
  <c r="D759" i="1"/>
  <c r="X759" i="1" s="1"/>
  <c r="V764" i="1"/>
  <c r="V767" i="1"/>
  <c r="D767" i="1"/>
  <c r="X767" i="1" s="1"/>
  <c r="V772" i="1"/>
  <c r="V775" i="1"/>
  <c r="D775" i="1"/>
  <c r="X775" i="1" s="1"/>
  <c r="V780" i="1"/>
  <c r="V783" i="1"/>
  <c r="D783" i="1"/>
  <c r="X783" i="1" s="1"/>
  <c r="V788" i="1"/>
  <c r="V791" i="1"/>
  <c r="D791" i="1"/>
  <c r="X791" i="1" s="1"/>
  <c r="V796" i="1"/>
  <c r="V799" i="1"/>
  <c r="D799" i="1"/>
  <c r="X799" i="1" s="1"/>
  <c r="V804" i="1"/>
  <c r="V807" i="1"/>
  <c r="D807" i="1"/>
  <c r="X807" i="1" s="1"/>
  <c r="V812" i="1"/>
  <c r="V815" i="1"/>
  <c r="D815" i="1"/>
  <c r="X815" i="1" s="1"/>
  <c r="V823" i="1"/>
  <c r="D823" i="1"/>
  <c r="X823" i="1" s="1"/>
  <c r="V831" i="1"/>
  <c r="D831" i="1"/>
  <c r="X831" i="1" s="1"/>
  <c r="V839" i="1"/>
  <c r="D839" i="1"/>
  <c r="X839" i="1" s="1"/>
  <c r="V847" i="1"/>
  <c r="D847" i="1"/>
  <c r="X847" i="1" s="1"/>
  <c r="V855" i="1"/>
  <c r="D855" i="1"/>
  <c r="X855" i="1" s="1"/>
  <c r="V863" i="1"/>
  <c r="D863" i="1"/>
  <c r="X863" i="1" s="1"/>
  <c r="V871" i="1"/>
  <c r="D871" i="1"/>
  <c r="X871" i="1" s="1"/>
  <c r="V879" i="1"/>
  <c r="D879" i="1"/>
  <c r="X879" i="1" s="1"/>
  <c r="V887" i="1"/>
  <c r="D887" i="1"/>
  <c r="X887" i="1" s="1"/>
  <c r="V895" i="1"/>
  <c r="D895" i="1"/>
  <c r="X895" i="1" s="1"/>
  <c r="V903" i="1"/>
  <c r="D903" i="1"/>
  <c r="X903" i="1" s="1"/>
  <c r="V911" i="1"/>
  <c r="D911" i="1"/>
  <c r="X911" i="1" s="1"/>
  <c r="V919" i="1"/>
  <c r="D919" i="1"/>
  <c r="X919" i="1" s="1"/>
  <c r="V927" i="1"/>
  <c r="D927" i="1"/>
  <c r="X927" i="1" s="1"/>
  <c r="V935" i="1"/>
  <c r="D935" i="1"/>
  <c r="X935" i="1" s="1"/>
  <c r="V943" i="1"/>
  <c r="D943" i="1"/>
  <c r="X943" i="1" s="1"/>
  <c r="V951" i="1"/>
  <c r="D951" i="1"/>
  <c r="X951" i="1" s="1"/>
  <c r="V959" i="1"/>
  <c r="D959" i="1"/>
  <c r="X959" i="1" s="1"/>
  <c r="V967" i="1"/>
  <c r="D967" i="1"/>
  <c r="X967" i="1" s="1"/>
  <c r="V975" i="1"/>
  <c r="D975" i="1"/>
  <c r="X975" i="1" s="1"/>
  <c r="V983" i="1"/>
  <c r="D983" i="1"/>
  <c r="X983" i="1" s="1"/>
  <c r="V991" i="1"/>
  <c r="D991" i="1"/>
  <c r="X991" i="1" s="1"/>
  <c r="V999" i="1"/>
  <c r="D999" i="1"/>
  <c r="X999" i="1" s="1"/>
  <c r="V1007" i="1"/>
  <c r="D1007" i="1"/>
  <c r="X1007" i="1" s="1"/>
  <c r="V1015" i="1"/>
  <c r="D1015" i="1"/>
  <c r="X1015" i="1" s="1"/>
  <c r="V1023" i="1"/>
  <c r="D1023" i="1"/>
  <c r="X1023" i="1" s="1"/>
  <c r="V1031" i="1"/>
  <c r="D1031" i="1"/>
  <c r="X1031" i="1" s="1"/>
  <c r="V1039" i="1"/>
  <c r="D1039" i="1"/>
  <c r="X1039" i="1" s="1"/>
  <c r="V1047" i="1"/>
  <c r="D1047" i="1"/>
  <c r="X1047" i="1" s="1"/>
  <c r="V1055" i="1"/>
  <c r="D1055" i="1"/>
  <c r="X1055" i="1" s="1"/>
  <c r="V1063" i="1"/>
  <c r="D1063" i="1"/>
  <c r="X1063" i="1" s="1"/>
  <c r="V1071" i="1"/>
  <c r="D1071" i="1"/>
  <c r="X1071" i="1" s="1"/>
  <c r="V1079" i="1"/>
  <c r="D1079" i="1"/>
  <c r="X1079" i="1" s="1"/>
  <c r="V1087" i="1"/>
  <c r="D1087" i="1"/>
  <c r="X1087" i="1" s="1"/>
  <c r="V1095" i="1"/>
  <c r="D1095" i="1"/>
  <c r="X1095" i="1" s="1"/>
  <c r="V1103" i="1"/>
  <c r="D1103" i="1"/>
  <c r="X1103" i="1" s="1"/>
  <c r="V1111" i="1"/>
  <c r="D1111" i="1"/>
  <c r="X1111" i="1" s="1"/>
  <c r="V1119" i="1"/>
  <c r="D1119" i="1"/>
  <c r="X1119" i="1" s="1"/>
  <c r="V1127" i="1"/>
  <c r="D1127" i="1"/>
  <c r="X1127" i="1" s="1"/>
  <c r="V1135" i="1"/>
  <c r="D1135" i="1"/>
  <c r="X1135" i="1" s="1"/>
  <c r="V1143" i="1"/>
  <c r="D1143" i="1"/>
  <c r="X1143" i="1" s="1"/>
  <c r="V1151" i="1"/>
  <c r="D1151" i="1"/>
  <c r="X1151" i="1" s="1"/>
  <c r="V1159" i="1"/>
  <c r="D1159" i="1"/>
  <c r="X1159" i="1" s="1"/>
  <c r="V1167" i="1"/>
  <c r="D1167" i="1"/>
  <c r="X1167" i="1" s="1"/>
  <c r="V1175" i="1"/>
  <c r="D1175" i="1"/>
  <c r="X1175" i="1" s="1"/>
  <c r="V1183" i="1"/>
  <c r="D1183" i="1"/>
  <c r="X1183" i="1" s="1"/>
  <c r="V1191" i="1"/>
  <c r="D1191" i="1"/>
  <c r="X1191" i="1" s="1"/>
  <c r="V1199" i="1"/>
  <c r="D1199" i="1"/>
  <c r="X1199" i="1" s="1"/>
  <c r="V1207" i="1"/>
  <c r="D1207" i="1"/>
  <c r="X1207" i="1" s="1"/>
  <c r="V1215" i="1"/>
  <c r="D1215" i="1"/>
  <c r="X1215" i="1" s="1"/>
  <c r="V1223" i="1"/>
  <c r="D1223" i="1"/>
  <c r="X1223" i="1" s="1"/>
  <c r="V1231" i="1"/>
  <c r="D1231" i="1"/>
  <c r="X1231" i="1" s="1"/>
  <c r="V1239" i="1"/>
  <c r="D1239" i="1"/>
  <c r="X1239" i="1" s="1"/>
  <c r="V1247" i="1"/>
  <c r="D1247" i="1"/>
  <c r="X1247" i="1" s="1"/>
  <c r="V1255" i="1"/>
  <c r="D1255" i="1"/>
  <c r="X1255" i="1" s="1"/>
  <c r="V1263" i="1"/>
  <c r="D1263" i="1"/>
  <c r="X1263" i="1" s="1"/>
  <c r="V1271" i="1"/>
  <c r="D1271" i="1"/>
  <c r="X1271" i="1" s="1"/>
  <c r="V1279" i="1"/>
  <c r="D1279" i="1"/>
  <c r="X1279" i="1" s="1"/>
  <c r="V1287" i="1"/>
  <c r="D1287" i="1"/>
  <c r="X1287" i="1" s="1"/>
  <c r="V1295" i="1"/>
  <c r="D1295" i="1"/>
  <c r="X1295" i="1" s="1"/>
  <c r="V1303" i="1"/>
  <c r="D1303" i="1"/>
  <c r="X1303" i="1" s="1"/>
  <c r="V1311" i="1"/>
  <c r="D1311" i="1"/>
  <c r="X1311" i="1" s="1"/>
  <c r="V1319" i="1"/>
  <c r="D1319" i="1"/>
  <c r="X1319" i="1" s="1"/>
  <c r="V1327" i="1"/>
  <c r="D1327" i="1"/>
  <c r="X1327" i="1" s="1"/>
  <c r="V1335" i="1"/>
  <c r="D1335" i="1"/>
  <c r="X1335" i="1" s="1"/>
  <c r="V1343" i="1"/>
  <c r="D1343" i="1"/>
  <c r="X1343" i="1" s="1"/>
  <c r="V1351" i="1"/>
  <c r="D1351" i="1"/>
  <c r="X1351" i="1" s="1"/>
  <c r="V1359" i="1"/>
  <c r="D1359" i="1"/>
  <c r="X1359" i="1" s="1"/>
  <c r="V1367" i="1"/>
  <c r="D1367" i="1"/>
  <c r="X1367" i="1" s="1"/>
  <c r="V1375" i="1"/>
  <c r="D1375" i="1"/>
  <c r="X1375" i="1" s="1"/>
  <c r="V1383" i="1"/>
  <c r="D1383" i="1"/>
  <c r="X1383" i="1" s="1"/>
  <c r="V1391" i="1"/>
  <c r="D1391" i="1"/>
  <c r="X1391" i="1" s="1"/>
  <c r="V1399" i="1"/>
  <c r="D1399" i="1"/>
  <c r="X1399" i="1" s="1"/>
  <c r="V1407" i="1"/>
  <c r="D1407" i="1"/>
  <c r="X1407" i="1" s="1"/>
  <c r="V1415" i="1"/>
  <c r="D1415" i="1"/>
  <c r="X1415" i="1" s="1"/>
  <c r="V1423" i="1"/>
  <c r="D1423" i="1"/>
  <c r="X1423" i="1" s="1"/>
  <c r="V1431" i="1"/>
  <c r="D1431" i="1"/>
  <c r="X1431" i="1" s="1"/>
  <c r="V1439" i="1"/>
  <c r="D1439" i="1"/>
  <c r="X1439" i="1" s="1"/>
  <c r="V1447" i="1"/>
  <c r="D1447" i="1"/>
  <c r="X1447" i="1" s="1"/>
  <c r="V1455" i="1"/>
  <c r="D1455" i="1"/>
  <c r="X1455" i="1" s="1"/>
  <c r="V1463" i="1"/>
  <c r="D1463" i="1"/>
  <c r="X1463" i="1" s="1"/>
  <c r="V1471" i="1"/>
  <c r="D1471" i="1"/>
  <c r="X1471" i="1" s="1"/>
  <c r="V1479" i="1"/>
  <c r="D1479" i="1"/>
  <c r="X1479" i="1" s="1"/>
  <c r="V1487" i="1"/>
  <c r="D1487" i="1"/>
  <c r="X1487" i="1" s="1"/>
  <c r="V1495" i="1"/>
  <c r="D1495" i="1"/>
  <c r="X1495" i="1" s="1"/>
  <c r="V1503" i="1"/>
  <c r="D1503" i="1"/>
  <c r="X1503" i="1" s="1"/>
  <c r="V1511" i="1"/>
  <c r="D1511" i="1"/>
  <c r="X1511" i="1" s="1"/>
  <c r="V1519" i="1"/>
  <c r="D1519" i="1"/>
  <c r="X1519" i="1" s="1"/>
  <c r="V1527" i="1"/>
  <c r="D1527" i="1"/>
  <c r="X1527" i="1" s="1"/>
  <c r="V1535" i="1"/>
  <c r="D1535" i="1"/>
  <c r="X1535" i="1" s="1"/>
  <c r="V1543" i="1"/>
  <c r="D1543" i="1"/>
  <c r="X1543" i="1" s="1"/>
  <c r="V1551" i="1"/>
  <c r="D1551" i="1"/>
  <c r="X1551" i="1" s="1"/>
  <c r="V1559" i="1"/>
  <c r="D1559" i="1"/>
  <c r="X1559" i="1" s="1"/>
  <c r="V1567" i="1"/>
  <c r="D1567" i="1"/>
  <c r="X1567" i="1" s="1"/>
  <c r="V1575" i="1"/>
  <c r="D1575" i="1"/>
  <c r="X1575" i="1" s="1"/>
  <c r="V1583" i="1"/>
  <c r="D1583" i="1"/>
  <c r="X1583" i="1" s="1"/>
  <c r="V1591" i="1"/>
  <c r="D1591" i="1"/>
  <c r="X1591" i="1" s="1"/>
  <c r="V1599" i="1"/>
  <c r="D1599" i="1"/>
  <c r="X1599" i="1" s="1"/>
  <c r="V1607" i="1"/>
  <c r="D1607" i="1"/>
  <c r="X1607" i="1" s="1"/>
  <c r="V1615" i="1"/>
  <c r="D1615" i="1"/>
  <c r="X1615" i="1" s="1"/>
  <c r="V1623" i="1"/>
  <c r="D1623" i="1"/>
  <c r="X1623" i="1" s="1"/>
  <c r="V1631" i="1"/>
  <c r="D1631" i="1"/>
  <c r="X1631" i="1" s="1"/>
  <c r="V1639" i="1"/>
  <c r="D1639" i="1"/>
  <c r="X1639" i="1" s="1"/>
  <c r="V1647" i="1"/>
  <c r="D1647" i="1"/>
  <c r="X1647" i="1" s="1"/>
  <c r="V1655" i="1"/>
  <c r="D1655" i="1"/>
  <c r="X1655" i="1" s="1"/>
  <c r="V1663" i="1"/>
  <c r="D1663" i="1"/>
  <c r="X1663" i="1" s="1"/>
  <c r="V1671" i="1"/>
  <c r="D1671" i="1"/>
  <c r="X1671" i="1" s="1"/>
  <c r="V1679" i="1"/>
  <c r="D1679" i="1"/>
  <c r="X1679" i="1" s="1"/>
  <c r="V1687" i="1"/>
  <c r="D1687" i="1"/>
  <c r="X1687" i="1" s="1"/>
  <c r="V1695" i="1"/>
  <c r="D1695" i="1"/>
  <c r="X1695" i="1" s="1"/>
  <c r="V1703" i="1"/>
  <c r="D1703" i="1"/>
  <c r="X1703" i="1" s="1"/>
  <c r="V1711" i="1"/>
  <c r="D1711" i="1"/>
  <c r="X1711" i="1" s="1"/>
  <c r="V1719" i="1"/>
  <c r="D1719" i="1"/>
  <c r="X1719" i="1" s="1"/>
  <c r="V1727" i="1"/>
  <c r="D1727" i="1"/>
  <c r="X1727" i="1" s="1"/>
  <c r="V1735" i="1"/>
  <c r="D1735" i="1"/>
  <c r="X1735" i="1" s="1"/>
  <c r="V1743" i="1"/>
  <c r="D1743" i="1"/>
  <c r="X1743" i="1" s="1"/>
  <c r="V1751" i="1"/>
  <c r="D1751" i="1"/>
  <c r="X1751" i="1" s="1"/>
  <c r="V1759" i="1"/>
  <c r="D1759" i="1"/>
  <c r="X1759" i="1" s="1"/>
  <c r="V1767" i="1"/>
  <c r="D1767" i="1"/>
  <c r="X1767" i="1" s="1"/>
  <c r="V1775" i="1"/>
  <c r="D1775" i="1"/>
  <c r="X1775" i="1" s="1"/>
  <c r="V1783" i="1"/>
  <c r="D1783" i="1"/>
  <c r="X1783" i="1" s="1"/>
  <c r="V1791" i="1"/>
  <c r="D1791" i="1"/>
  <c r="X1791" i="1" s="1"/>
  <c r="V1799" i="1"/>
  <c r="D1799" i="1"/>
  <c r="X1799" i="1" s="1"/>
  <c r="V1807" i="1"/>
  <c r="D1807" i="1"/>
  <c r="X1807" i="1" s="1"/>
  <c r="V1815" i="1"/>
  <c r="D1815" i="1"/>
  <c r="X1815" i="1" s="1"/>
  <c r="V1823" i="1"/>
  <c r="D1823" i="1"/>
  <c r="X1823" i="1" s="1"/>
  <c r="V1831" i="1"/>
  <c r="D1831" i="1"/>
  <c r="X1831" i="1" s="1"/>
  <c r="V1839" i="1"/>
  <c r="D1839" i="1"/>
  <c r="X1839" i="1" s="1"/>
  <c r="V1847" i="1"/>
  <c r="D1847" i="1"/>
  <c r="X1847" i="1" s="1"/>
  <c r="V1855" i="1"/>
  <c r="D1855" i="1"/>
  <c r="X1855" i="1" s="1"/>
  <c r="V1863" i="1"/>
  <c r="D1863" i="1"/>
  <c r="X1863" i="1" s="1"/>
  <c r="V1871" i="1"/>
  <c r="D1871" i="1"/>
  <c r="X1871" i="1" s="1"/>
  <c r="V1879" i="1"/>
  <c r="D1879" i="1"/>
  <c r="X1879" i="1" s="1"/>
  <c r="V1887" i="1"/>
  <c r="D1887" i="1"/>
  <c r="X1887" i="1" s="1"/>
  <c r="V1895" i="1"/>
  <c r="D1895" i="1"/>
  <c r="X1895" i="1" s="1"/>
  <c r="V1903" i="1"/>
  <c r="D1903" i="1"/>
  <c r="X1903" i="1" s="1"/>
  <c r="V1911" i="1"/>
  <c r="D1911" i="1"/>
  <c r="X1911" i="1" s="1"/>
  <c r="V1919" i="1"/>
  <c r="D1919" i="1"/>
  <c r="X1919" i="1" s="1"/>
  <c r="V1927" i="1"/>
  <c r="D1927" i="1"/>
  <c r="X1927" i="1" s="1"/>
  <c r="V1935" i="1"/>
  <c r="D1935" i="1"/>
  <c r="X1935" i="1" s="1"/>
  <c r="V1943" i="1"/>
  <c r="D1943" i="1"/>
  <c r="X1943" i="1" s="1"/>
  <c r="V1951" i="1"/>
  <c r="D1951" i="1"/>
  <c r="X1951" i="1" s="1"/>
  <c r="V1959" i="1"/>
  <c r="D1959" i="1"/>
  <c r="X1959" i="1" s="1"/>
  <c r="V1967" i="1"/>
  <c r="D1967" i="1"/>
  <c r="X1967" i="1" s="1"/>
  <c r="V1975" i="1"/>
  <c r="D1975" i="1"/>
  <c r="X1975" i="1" s="1"/>
  <c r="V1983" i="1"/>
  <c r="D1983" i="1"/>
  <c r="X1983" i="1" s="1"/>
  <c r="V1991" i="1"/>
  <c r="D1991" i="1"/>
  <c r="X1991" i="1" s="1"/>
  <c r="V1999" i="1"/>
  <c r="D1999" i="1"/>
  <c r="X1999" i="1" s="1"/>
  <c r="V2007" i="1"/>
  <c r="D2007" i="1"/>
  <c r="X2007" i="1" s="1"/>
  <c r="V2015" i="1"/>
  <c r="D2015" i="1"/>
  <c r="X2015" i="1" s="1"/>
  <c r="V2023" i="1"/>
  <c r="D2023" i="1"/>
  <c r="X2023" i="1" s="1"/>
  <c r="V2031" i="1"/>
  <c r="D2031" i="1"/>
  <c r="X2031" i="1" s="1"/>
  <c r="V2039" i="1"/>
  <c r="D2039" i="1"/>
  <c r="X2039" i="1" s="1"/>
  <c r="V2047" i="1"/>
  <c r="D2047" i="1"/>
  <c r="X2047" i="1" s="1"/>
  <c r="V2055" i="1"/>
  <c r="D2055" i="1"/>
  <c r="X2055" i="1" s="1"/>
  <c r="V2063" i="1"/>
  <c r="D2063" i="1"/>
  <c r="X2063" i="1" s="1"/>
  <c r="V2071" i="1"/>
  <c r="D2071" i="1"/>
  <c r="X2071" i="1" s="1"/>
  <c r="V2079" i="1"/>
  <c r="D2079" i="1"/>
  <c r="X2079" i="1" s="1"/>
  <c r="V2087" i="1"/>
  <c r="D2087" i="1"/>
  <c r="X2087" i="1" s="1"/>
  <c r="V2095" i="1"/>
  <c r="D2095" i="1"/>
  <c r="X2095" i="1" s="1"/>
  <c r="V2103" i="1"/>
  <c r="D2103" i="1"/>
  <c r="X2103" i="1" s="1"/>
  <c r="V2111" i="1"/>
  <c r="D2111" i="1"/>
  <c r="X2111" i="1" s="1"/>
  <c r="V2119" i="1"/>
  <c r="D2119" i="1"/>
  <c r="X2119" i="1" s="1"/>
  <c r="V2127" i="1"/>
  <c r="D2127" i="1"/>
  <c r="X2127" i="1" s="1"/>
  <c r="V2135" i="1"/>
  <c r="D2135" i="1"/>
  <c r="X2135" i="1" s="1"/>
  <c r="V2143" i="1"/>
  <c r="D2143" i="1"/>
  <c r="X2143" i="1" s="1"/>
  <c r="V2151" i="1"/>
  <c r="D2151" i="1"/>
  <c r="X2151" i="1" s="1"/>
  <c r="V2159" i="1"/>
  <c r="D2159" i="1"/>
  <c r="X2159" i="1" s="1"/>
  <c r="V2167" i="1"/>
  <c r="D2167" i="1"/>
  <c r="X2167" i="1" s="1"/>
  <c r="V2175" i="1"/>
  <c r="D2175" i="1"/>
  <c r="X2175" i="1" s="1"/>
  <c r="V2183" i="1"/>
  <c r="D2183" i="1"/>
  <c r="X2183" i="1" s="1"/>
  <c r="V2191" i="1"/>
  <c r="D2191" i="1"/>
  <c r="X2191" i="1" s="1"/>
  <c r="V2199" i="1"/>
  <c r="D2199" i="1"/>
  <c r="X2199" i="1" s="1"/>
  <c r="V2207" i="1"/>
  <c r="D2207" i="1"/>
  <c r="X2207" i="1" s="1"/>
  <c r="V2215" i="1"/>
  <c r="D2215" i="1"/>
  <c r="X2215" i="1" s="1"/>
  <c r="V2223" i="1"/>
  <c r="D2223" i="1"/>
  <c r="X2223" i="1" s="1"/>
  <c r="V2231" i="1"/>
  <c r="D2231" i="1"/>
  <c r="X2231" i="1" s="1"/>
  <c r="V2239" i="1"/>
  <c r="D2239" i="1"/>
  <c r="X2239" i="1" s="1"/>
  <c r="V2247" i="1"/>
  <c r="D2247" i="1"/>
  <c r="X2247" i="1" s="1"/>
  <c r="V2255" i="1"/>
  <c r="D2255" i="1"/>
  <c r="X2255" i="1" s="1"/>
  <c r="V2263" i="1"/>
  <c r="D2263" i="1"/>
  <c r="X2263" i="1" s="1"/>
  <c r="V2271" i="1"/>
  <c r="D2271" i="1"/>
  <c r="X2271" i="1" s="1"/>
  <c r="V2279" i="1"/>
  <c r="D2279" i="1"/>
  <c r="X2279" i="1" s="1"/>
  <c r="V2287" i="1"/>
  <c r="D2287" i="1"/>
  <c r="X2287" i="1" s="1"/>
  <c r="V2295" i="1"/>
  <c r="D2295" i="1"/>
  <c r="X2295" i="1" s="1"/>
  <c r="V2303" i="1"/>
  <c r="D2303" i="1"/>
  <c r="X2303" i="1" s="1"/>
  <c r="V2311" i="1"/>
  <c r="D2311" i="1"/>
  <c r="X2311" i="1" s="1"/>
  <c r="V2319" i="1"/>
  <c r="D2319" i="1"/>
  <c r="X2319" i="1" s="1"/>
  <c r="V2327" i="1"/>
  <c r="D2327" i="1"/>
  <c r="X2327" i="1" s="1"/>
  <c r="V2335" i="1"/>
  <c r="D2335" i="1"/>
  <c r="X2335" i="1" s="1"/>
  <c r="V2343" i="1"/>
  <c r="D2343" i="1"/>
  <c r="X2343" i="1" s="1"/>
  <c r="V2351" i="1"/>
  <c r="D2351" i="1"/>
  <c r="X2351" i="1" s="1"/>
  <c r="V2359" i="1"/>
  <c r="D2359" i="1"/>
  <c r="X2359" i="1" s="1"/>
  <c r="V2367" i="1"/>
  <c r="D2367" i="1"/>
  <c r="X2367" i="1" s="1"/>
  <c r="V2375" i="1"/>
  <c r="D2375" i="1"/>
  <c r="X2375" i="1" s="1"/>
  <c r="V2383" i="1"/>
  <c r="D2383" i="1"/>
  <c r="X2383" i="1" s="1"/>
  <c r="V2391" i="1"/>
  <c r="D2391" i="1"/>
  <c r="X2391" i="1" s="1"/>
  <c r="V2399" i="1"/>
  <c r="D2399" i="1"/>
  <c r="X2399" i="1" s="1"/>
  <c r="V2407" i="1"/>
  <c r="D2407" i="1"/>
  <c r="X2407" i="1" s="1"/>
  <c r="V2415" i="1"/>
  <c r="D2415" i="1"/>
  <c r="X2415" i="1" s="1"/>
  <c r="V2423" i="1"/>
  <c r="D2423" i="1"/>
  <c r="X2423" i="1" s="1"/>
  <c r="V2431" i="1"/>
  <c r="D2431" i="1"/>
  <c r="X2431" i="1" s="1"/>
  <c r="V2439" i="1"/>
  <c r="D2439" i="1"/>
  <c r="X2439" i="1" s="1"/>
  <c r="V2447" i="1"/>
  <c r="D2447" i="1"/>
  <c r="X2447" i="1" s="1"/>
  <c r="V2455" i="1"/>
  <c r="D2455" i="1"/>
  <c r="X2455" i="1" s="1"/>
  <c r="V2463" i="1"/>
  <c r="D2463" i="1"/>
  <c r="X2463" i="1" s="1"/>
  <c r="V2471" i="1"/>
  <c r="D2471" i="1"/>
  <c r="X2471" i="1" s="1"/>
  <c r="V2479" i="1"/>
  <c r="D2479" i="1"/>
  <c r="X2479" i="1" s="1"/>
  <c r="V2487" i="1"/>
  <c r="D2487" i="1"/>
  <c r="X2487" i="1" s="1"/>
  <c r="V2495" i="1"/>
  <c r="D2495" i="1"/>
  <c r="X2495" i="1" s="1"/>
  <c r="V2503" i="1"/>
  <c r="D2503" i="1"/>
  <c r="X2503" i="1" s="1"/>
  <c r="V2511" i="1"/>
  <c r="D2511" i="1"/>
  <c r="X2511" i="1" s="1"/>
  <c r="V2519" i="1"/>
  <c r="D2519" i="1"/>
  <c r="X2519" i="1" s="1"/>
  <c r="V2527" i="1"/>
  <c r="D2527" i="1"/>
  <c r="X2527" i="1" s="1"/>
  <c r="V2535" i="1"/>
  <c r="D2535" i="1"/>
  <c r="X2535" i="1" s="1"/>
  <c r="V2543" i="1"/>
  <c r="D2543" i="1"/>
  <c r="X2543" i="1" s="1"/>
  <c r="V2551" i="1"/>
  <c r="D2551" i="1"/>
  <c r="X2551" i="1" s="1"/>
  <c r="V2559" i="1"/>
  <c r="D2559" i="1"/>
  <c r="X2559" i="1" s="1"/>
  <c r="V2567" i="1"/>
  <c r="D2567" i="1"/>
  <c r="X2567" i="1" s="1"/>
  <c r="V2575" i="1"/>
  <c r="D2575" i="1"/>
  <c r="X2575" i="1" s="1"/>
  <c r="V2583" i="1"/>
  <c r="D2583" i="1"/>
  <c r="X2583" i="1" s="1"/>
  <c r="V2591" i="1"/>
  <c r="D2591" i="1"/>
  <c r="X2591" i="1" s="1"/>
  <c r="V2599" i="1"/>
  <c r="D2599" i="1"/>
  <c r="X2599" i="1" s="1"/>
  <c r="V2607" i="1"/>
  <c r="D2607" i="1"/>
  <c r="X2607" i="1" s="1"/>
  <c r="V2615" i="1"/>
  <c r="D2615" i="1"/>
  <c r="X2615" i="1" s="1"/>
  <c r="V2623" i="1"/>
  <c r="D2623" i="1"/>
  <c r="X2623" i="1" s="1"/>
  <c r="V2631" i="1"/>
  <c r="D2631" i="1"/>
  <c r="X2631" i="1" s="1"/>
  <c r="V2639" i="1"/>
  <c r="D2639" i="1"/>
  <c r="X2639" i="1" s="1"/>
  <c r="V2647" i="1"/>
  <c r="D2647" i="1"/>
  <c r="X2647" i="1" s="1"/>
  <c r="V2655" i="1"/>
  <c r="D2655" i="1"/>
  <c r="X2655" i="1" s="1"/>
  <c r="V2663" i="1"/>
  <c r="D2663" i="1"/>
  <c r="X2663" i="1" s="1"/>
  <c r="V2671" i="1"/>
  <c r="D2671" i="1"/>
  <c r="X2671" i="1" s="1"/>
  <c r="V2679" i="1"/>
  <c r="D2679" i="1"/>
  <c r="X2679" i="1" s="1"/>
  <c r="V2687" i="1"/>
  <c r="D2687" i="1"/>
  <c r="X2687" i="1" s="1"/>
  <c r="V2695" i="1"/>
  <c r="D2695" i="1"/>
  <c r="X2695" i="1" s="1"/>
  <c r="V2703" i="1"/>
  <c r="D2703" i="1"/>
  <c r="X2703" i="1" s="1"/>
  <c r="V2711" i="1"/>
  <c r="D2711" i="1"/>
  <c r="X2711" i="1" s="1"/>
  <c r="V2719" i="1"/>
  <c r="D2719" i="1"/>
  <c r="X2719" i="1" s="1"/>
  <c r="V2727" i="1"/>
  <c r="D2727" i="1"/>
  <c r="X2727" i="1" s="1"/>
  <c r="V2735" i="1"/>
  <c r="D2735" i="1"/>
  <c r="X2735" i="1" s="1"/>
  <c r="V2743" i="1"/>
  <c r="D2743" i="1"/>
  <c r="X2743" i="1" s="1"/>
  <c r="V2751" i="1"/>
  <c r="D2751" i="1"/>
  <c r="X2751" i="1" s="1"/>
  <c r="V2759" i="1"/>
  <c r="D2759" i="1"/>
  <c r="X2759" i="1" s="1"/>
  <c r="V2767" i="1"/>
  <c r="D2767" i="1"/>
  <c r="X2767" i="1" s="1"/>
  <c r="V2775" i="1"/>
  <c r="D2775" i="1"/>
  <c r="X2775" i="1" s="1"/>
  <c r="V2783" i="1"/>
  <c r="D2783" i="1"/>
  <c r="X2783" i="1" s="1"/>
  <c r="V2791" i="1"/>
  <c r="D2791" i="1"/>
  <c r="X2791" i="1" s="1"/>
  <c r="V2799" i="1"/>
  <c r="D2799" i="1"/>
  <c r="X2799" i="1" s="1"/>
  <c r="V2807" i="1"/>
  <c r="D2807" i="1"/>
  <c r="X2807" i="1" s="1"/>
  <c r="V2815" i="1"/>
  <c r="D2815" i="1"/>
  <c r="X2815" i="1" s="1"/>
  <c r="V2823" i="1"/>
  <c r="D2823" i="1"/>
  <c r="X2823" i="1" s="1"/>
  <c r="V2831" i="1"/>
  <c r="D2831" i="1"/>
  <c r="X2831" i="1" s="1"/>
  <c r="V2839" i="1"/>
  <c r="D2839" i="1"/>
  <c r="X2839" i="1" s="1"/>
  <c r="V2847" i="1"/>
  <c r="D2847" i="1"/>
  <c r="X2847" i="1" s="1"/>
  <c r="V2855" i="1"/>
  <c r="D2855" i="1"/>
  <c r="X2855" i="1" s="1"/>
  <c r="V2863" i="1"/>
  <c r="D2863" i="1"/>
  <c r="X2863" i="1" s="1"/>
  <c r="V2871" i="1"/>
  <c r="D2871" i="1"/>
  <c r="X2871" i="1" s="1"/>
  <c r="V2879" i="1"/>
  <c r="D2879" i="1"/>
  <c r="X2879" i="1" s="1"/>
  <c r="V2885" i="1"/>
  <c r="D2885" i="1"/>
  <c r="X2885" i="1" s="1"/>
  <c r="V2899" i="1"/>
  <c r="D2899" i="1"/>
  <c r="X2899" i="1" s="1"/>
  <c r="V2905" i="1"/>
  <c r="D2905" i="1"/>
  <c r="X2905" i="1" s="1"/>
  <c r="D2908" i="1"/>
  <c r="X2908" i="1" s="1"/>
  <c r="V2908" i="1"/>
  <c r="V2917" i="1"/>
  <c r="D2917" i="1"/>
  <c r="X2917" i="1" s="1"/>
  <c r="V2931" i="1"/>
  <c r="D2931" i="1"/>
  <c r="X2931" i="1" s="1"/>
  <c r="V2937" i="1"/>
  <c r="D2937" i="1"/>
  <c r="X2937" i="1" s="1"/>
  <c r="D2940" i="1"/>
  <c r="X2940" i="1" s="1"/>
  <c r="V2940" i="1"/>
  <c r="V2963" i="1"/>
  <c r="D2963" i="1"/>
  <c r="X2963" i="1" s="1"/>
  <c r="V2969" i="1"/>
  <c r="D2969" i="1"/>
  <c r="X2969" i="1" s="1"/>
  <c r="D2972" i="1"/>
  <c r="X2972" i="1" s="1"/>
  <c r="V2972" i="1"/>
  <c r="V2995" i="1"/>
  <c r="D2995" i="1"/>
  <c r="X2995" i="1" s="1"/>
  <c r="V3001" i="1"/>
  <c r="D3001" i="1"/>
  <c r="X3001" i="1" s="1"/>
  <c r="D3004" i="1"/>
  <c r="X3004" i="1" s="1"/>
  <c r="V3004" i="1"/>
  <c r="V3033" i="1"/>
  <c r="D3033" i="1"/>
  <c r="X3033" i="1" s="1"/>
  <c r="D3036" i="1"/>
  <c r="X3036" i="1" s="1"/>
  <c r="V3036" i="1"/>
  <c r="V3065" i="1"/>
  <c r="D3065" i="1"/>
  <c r="X3065" i="1" s="1"/>
  <c r="D3068" i="1"/>
  <c r="X3068" i="1" s="1"/>
  <c r="V3068" i="1"/>
  <c r="V3019" i="1"/>
  <c r="D3019" i="1"/>
  <c r="X3019" i="1" s="1"/>
  <c r="V3027" i="1"/>
  <c r="D3027" i="1"/>
  <c r="X3027" i="1" s="1"/>
  <c r="V3035" i="1"/>
  <c r="D3035" i="1"/>
  <c r="X3035" i="1" s="1"/>
  <c r="V3043" i="1"/>
  <c r="D3043" i="1"/>
  <c r="X3043" i="1" s="1"/>
  <c r="V3051" i="1"/>
  <c r="D3051" i="1"/>
  <c r="X3051" i="1" s="1"/>
  <c r="V3059" i="1"/>
  <c r="D3059" i="1"/>
  <c r="X3059" i="1" s="1"/>
  <c r="V3067" i="1"/>
  <c r="D3067" i="1"/>
  <c r="X3067" i="1" s="1"/>
  <c r="V3075" i="1"/>
  <c r="D3075" i="1"/>
  <c r="X3075" i="1" s="1"/>
  <c r="V3083" i="1"/>
  <c r="D3083" i="1"/>
  <c r="X3083" i="1" s="1"/>
  <c r="V3091" i="1"/>
  <c r="D3091" i="1"/>
  <c r="X3091" i="1" s="1"/>
  <c r="V3094" i="1"/>
  <c r="D3094" i="1"/>
  <c r="X3094" i="1" s="1"/>
  <c r="V3104" i="1"/>
  <c r="D3104" i="1"/>
  <c r="X3104" i="1" s="1"/>
  <c r="V3107" i="1"/>
  <c r="D3107" i="1"/>
  <c r="X3107" i="1" s="1"/>
  <c r="V3110" i="1"/>
  <c r="D3110" i="1"/>
  <c r="X3110" i="1" s="1"/>
  <c r="V3120" i="1"/>
  <c r="D3120" i="1"/>
  <c r="X3120" i="1" s="1"/>
  <c r="V3123" i="1"/>
  <c r="D3123" i="1"/>
  <c r="X3123" i="1" s="1"/>
  <c r="V3126" i="1"/>
  <c r="D3126" i="1"/>
  <c r="X3126" i="1" s="1"/>
  <c r="V3136" i="1"/>
  <c r="D3136" i="1"/>
  <c r="X3136" i="1" s="1"/>
  <c r="V3139" i="1"/>
  <c r="D3139" i="1"/>
  <c r="X3139" i="1" s="1"/>
  <c r="V3142" i="1"/>
  <c r="D3142" i="1"/>
  <c r="X3142" i="1" s="1"/>
  <c r="V3152" i="1"/>
  <c r="D3152" i="1"/>
  <c r="X3152" i="1" s="1"/>
  <c r="V3155" i="1"/>
  <c r="D3155" i="1"/>
  <c r="X3155" i="1" s="1"/>
  <c r="V3158" i="1"/>
  <c r="D3158" i="1"/>
  <c r="X3158" i="1" s="1"/>
  <c r="V3168" i="1"/>
  <c r="D3168" i="1"/>
  <c r="X3168" i="1" s="1"/>
  <c r="V3171" i="1"/>
  <c r="D3171" i="1"/>
  <c r="X3171" i="1" s="1"/>
  <c r="V3174" i="1"/>
  <c r="D3174" i="1"/>
  <c r="X3174" i="1" s="1"/>
  <c r="V3184" i="1"/>
  <c r="D3184" i="1"/>
  <c r="X3184" i="1" s="1"/>
  <c r="V3187" i="1"/>
  <c r="D3187" i="1"/>
  <c r="X3187" i="1" s="1"/>
  <c r="V3190" i="1"/>
  <c r="D3190" i="1"/>
  <c r="X3190" i="1" s="1"/>
  <c r="V3200" i="1"/>
  <c r="D3200" i="1"/>
  <c r="X3200" i="1" s="1"/>
  <c r="V3203" i="1"/>
  <c r="D3203" i="1"/>
  <c r="X3203" i="1" s="1"/>
  <c r="V3206" i="1"/>
  <c r="D3206" i="1"/>
  <c r="X3206" i="1" s="1"/>
  <c r="V3216" i="1"/>
  <c r="D3216" i="1"/>
  <c r="X3216" i="1" s="1"/>
  <c r="V3219" i="1"/>
  <c r="D3219" i="1"/>
  <c r="X3219" i="1" s="1"/>
  <c r="V3222" i="1"/>
  <c r="D3222" i="1"/>
  <c r="X3222" i="1" s="1"/>
  <c r="V3232" i="1"/>
  <c r="D3232" i="1"/>
  <c r="X3232" i="1" s="1"/>
  <c r="V3235" i="1"/>
  <c r="D3235" i="1"/>
  <c r="X3235" i="1" s="1"/>
  <c r="V3238" i="1"/>
  <c r="D3238" i="1"/>
  <c r="X3238" i="1" s="1"/>
  <c r="V3248" i="1"/>
  <c r="D3248" i="1"/>
  <c r="X3248" i="1" s="1"/>
  <c r="V3251" i="1"/>
  <c r="D3251" i="1"/>
  <c r="X3251" i="1" s="1"/>
  <c r="V3254" i="1"/>
  <c r="D3254" i="1"/>
  <c r="X3254" i="1" s="1"/>
  <c r="V3264" i="1"/>
  <c r="D3264" i="1"/>
  <c r="X3264" i="1" s="1"/>
  <c r="V3267" i="1"/>
  <c r="D3267" i="1"/>
  <c r="X3267" i="1" s="1"/>
  <c r="V3270" i="1"/>
  <c r="D3270" i="1"/>
  <c r="X3270" i="1" s="1"/>
  <c r="V3280" i="1"/>
  <c r="D3280" i="1"/>
  <c r="X3280" i="1" s="1"/>
  <c r="V3283" i="1"/>
  <c r="D3283" i="1"/>
  <c r="X3283" i="1" s="1"/>
  <c r="V3286" i="1"/>
  <c r="D3286" i="1"/>
  <c r="X3286" i="1" s="1"/>
  <c r="V3296" i="1"/>
  <c r="D3296" i="1"/>
  <c r="X3296" i="1" s="1"/>
  <c r="V3299" i="1"/>
  <c r="D3299" i="1"/>
  <c r="X3299" i="1" s="1"/>
  <c r="V3302" i="1"/>
  <c r="D3302" i="1"/>
  <c r="X3302" i="1" s="1"/>
  <c r="V3312" i="1"/>
  <c r="D3312" i="1"/>
  <c r="X3312" i="1" s="1"/>
  <c r="V3315" i="1"/>
  <c r="D3315" i="1"/>
  <c r="X3315" i="1" s="1"/>
  <c r="V3318" i="1"/>
  <c r="D3318" i="1"/>
  <c r="X3318" i="1" s="1"/>
  <c r="V3328" i="1"/>
  <c r="D3328" i="1"/>
  <c r="X3328" i="1" s="1"/>
  <c r="V3332" i="1"/>
  <c r="D3332" i="1"/>
  <c r="X3332" i="1" s="1"/>
  <c r="V3336" i="1"/>
  <c r="D3336" i="1"/>
  <c r="X3336" i="1" s="1"/>
  <c r="V3340" i="1"/>
  <c r="D3340" i="1"/>
  <c r="X3340" i="1" s="1"/>
  <c r="V3344" i="1"/>
  <c r="D3344" i="1"/>
  <c r="X3344" i="1" s="1"/>
  <c r="V3348" i="1"/>
  <c r="D3348" i="1"/>
  <c r="X3348" i="1" s="1"/>
  <c r="V3352" i="1"/>
  <c r="D3352" i="1"/>
  <c r="X3352" i="1" s="1"/>
  <c r="V3356" i="1"/>
  <c r="D3356" i="1"/>
  <c r="X3356" i="1" s="1"/>
  <c r="V3360" i="1"/>
  <c r="D3360" i="1"/>
  <c r="X3360" i="1" s="1"/>
  <c r="V3364" i="1"/>
  <c r="D3364" i="1"/>
  <c r="X3364" i="1" s="1"/>
  <c r="V3368" i="1"/>
  <c r="D3368" i="1"/>
  <c r="X3368" i="1" s="1"/>
  <c r="V3372" i="1"/>
  <c r="D3372" i="1"/>
  <c r="X3372" i="1" s="1"/>
  <c r="V3376" i="1"/>
  <c r="D3376" i="1"/>
  <c r="X3376" i="1" s="1"/>
  <c r="V3380" i="1"/>
  <c r="D3380" i="1"/>
  <c r="X3380" i="1" s="1"/>
  <c r="V3384" i="1"/>
  <c r="D3384" i="1"/>
  <c r="X3384" i="1" s="1"/>
  <c r="V3388" i="1"/>
  <c r="D3388" i="1"/>
  <c r="X3388" i="1" s="1"/>
  <c r="V3392" i="1"/>
  <c r="D3392" i="1"/>
  <c r="X3392" i="1" s="1"/>
  <c r="V3396" i="1"/>
  <c r="D3396" i="1"/>
  <c r="X3396" i="1" s="1"/>
  <c r="V3400" i="1"/>
  <c r="D3400" i="1"/>
  <c r="X3400" i="1" s="1"/>
  <c r="V3404" i="1"/>
  <c r="D3404" i="1"/>
  <c r="X3404" i="1" s="1"/>
  <c r="V3408" i="1"/>
  <c r="D3408" i="1"/>
  <c r="X3408" i="1" s="1"/>
  <c r="V3412" i="1"/>
  <c r="D3412" i="1"/>
  <c r="X3412" i="1" s="1"/>
  <c r="V3416" i="1"/>
  <c r="D3416" i="1"/>
  <c r="X3416" i="1" s="1"/>
  <c r="V3420" i="1"/>
  <c r="D3420" i="1"/>
  <c r="X3420" i="1" s="1"/>
  <c r="V3424" i="1"/>
  <c r="D3424" i="1"/>
  <c r="X3424" i="1" s="1"/>
  <c r="V3428" i="1"/>
  <c r="D3428" i="1"/>
  <c r="X3428" i="1" s="1"/>
  <c r="V3432" i="1"/>
  <c r="D3432" i="1"/>
  <c r="X3432" i="1" s="1"/>
  <c r="V3436" i="1"/>
  <c r="D3436" i="1"/>
  <c r="X3436" i="1" s="1"/>
  <c r="V3440" i="1"/>
  <c r="D3440" i="1"/>
  <c r="X3440" i="1" s="1"/>
  <c r="V3444" i="1"/>
  <c r="D3444" i="1"/>
  <c r="X3444" i="1" s="1"/>
  <c r="V3448" i="1"/>
  <c r="D3448" i="1"/>
  <c r="X3448" i="1" s="1"/>
  <c r="V3452" i="1"/>
  <c r="D3452" i="1"/>
  <c r="X3452" i="1" s="1"/>
  <c r="V3456" i="1"/>
  <c r="D3456" i="1"/>
  <c r="X3456" i="1" s="1"/>
  <c r="V3460" i="1"/>
  <c r="D3460" i="1"/>
  <c r="X3460" i="1" s="1"/>
  <c r="V3464" i="1"/>
  <c r="D3464" i="1"/>
  <c r="X3464" i="1" s="1"/>
  <c r="V3468" i="1"/>
  <c r="D3468" i="1"/>
  <c r="X3468" i="1" s="1"/>
  <c r="V3472" i="1"/>
  <c r="D3472" i="1"/>
  <c r="X3472" i="1" s="1"/>
  <c r="V3476" i="1"/>
  <c r="D3476" i="1"/>
  <c r="X3476" i="1" s="1"/>
  <c r="V3480" i="1"/>
  <c r="D3480" i="1"/>
  <c r="X3480" i="1" s="1"/>
  <c r="V3484" i="1"/>
  <c r="D3484" i="1"/>
  <c r="X3484" i="1" s="1"/>
  <c r="V3488" i="1"/>
  <c r="D3488" i="1"/>
  <c r="X3488" i="1" s="1"/>
  <c r="V3492" i="1"/>
  <c r="D3492" i="1"/>
  <c r="X3492" i="1" s="1"/>
  <c r="V3496" i="1"/>
  <c r="D3496" i="1"/>
  <c r="X3496" i="1" s="1"/>
  <c r="V3500" i="1"/>
  <c r="D3500" i="1"/>
  <c r="X3500" i="1" s="1"/>
  <c r="V3504" i="1"/>
  <c r="D3504" i="1"/>
  <c r="X3504" i="1" s="1"/>
  <c r="V3508" i="1"/>
  <c r="D3508" i="1"/>
  <c r="X3508" i="1" s="1"/>
  <c r="V3512" i="1"/>
  <c r="D3512" i="1"/>
  <c r="X3512" i="1" s="1"/>
  <c r="V3516" i="1"/>
  <c r="D3516" i="1"/>
  <c r="X3516" i="1" s="1"/>
  <c r="V3520" i="1"/>
  <c r="D3520" i="1"/>
  <c r="X3520" i="1" s="1"/>
  <c r="V3524" i="1"/>
  <c r="D3524" i="1"/>
  <c r="X3524" i="1" s="1"/>
  <c r="V3528" i="1"/>
  <c r="D3528" i="1"/>
  <c r="X3528" i="1" s="1"/>
  <c r="V3532" i="1"/>
  <c r="D3532" i="1"/>
  <c r="X3532" i="1" s="1"/>
  <c r="V3536" i="1"/>
  <c r="D3536" i="1"/>
  <c r="X3536" i="1" s="1"/>
  <c r="V3540" i="1"/>
  <c r="D3540" i="1"/>
  <c r="X3540" i="1" s="1"/>
  <c r="V3544" i="1"/>
  <c r="D3544" i="1"/>
  <c r="X3544" i="1" s="1"/>
  <c r="V3548" i="1"/>
  <c r="D3548" i="1"/>
  <c r="X3548" i="1" s="1"/>
  <c r="V3552" i="1"/>
  <c r="D3552" i="1"/>
  <c r="X3552" i="1" s="1"/>
  <c r="V3556" i="1"/>
  <c r="D3556" i="1"/>
  <c r="X3556" i="1" s="1"/>
  <c r="V3560" i="1"/>
  <c r="D3560" i="1"/>
  <c r="X3560" i="1" s="1"/>
  <c r="V3564" i="1"/>
  <c r="D3564" i="1"/>
  <c r="X3564" i="1" s="1"/>
  <c r="V3568" i="1"/>
  <c r="D3568" i="1"/>
  <c r="X3568" i="1" s="1"/>
  <c r="V3572" i="1"/>
  <c r="D3572" i="1"/>
  <c r="X3572" i="1" s="1"/>
  <c r="V3576" i="1"/>
  <c r="D3576" i="1"/>
  <c r="X3576" i="1" s="1"/>
  <c r="V3580" i="1"/>
  <c r="D3580" i="1"/>
  <c r="X3580" i="1" s="1"/>
  <c r="V3584" i="1"/>
  <c r="D3584" i="1"/>
  <c r="X3584" i="1" s="1"/>
  <c r="V3588" i="1"/>
  <c r="D3588" i="1"/>
  <c r="X3588" i="1" s="1"/>
  <c r="V3592" i="1"/>
  <c r="D3592" i="1"/>
  <c r="X3592" i="1" s="1"/>
  <c r="V3596" i="1"/>
  <c r="D3596" i="1"/>
  <c r="X3596" i="1" s="1"/>
  <c r="V3600" i="1"/>
  <c r="D3600" i="1"/>
  <c r="X3600" i="1" s="1"/>
  <c r="V3604" i="1"/>
  <c r="D3604" i="1"/>
  <c r="X3604" i="1" s="1"/>
  <c r="V3608" i="1"/>
  <c r="D3608" i="1"/>
  <c r="X3608" i="1" s="1"/>
  <c r="V3612" i="1"/>
  <c r="D3612" i="1"/>
  <c r="X3612" i="1" s="1"/>
  <c r="V3616" i="1"/>
  <c r="D3616" i="1"/>
  <c r="X3616" i="1" s="1"/>
  <c r="V3620" i="1"/>
  <c r="D3620" i="1"/>
  <c r="X3620" i="1" s="1"/>
  <c r="V3624" i="1"/>
  <c r="D3624" i="1"/>
  <c r="X3624" i="1" s="1"/>
  <c r="V3628" i="1"/>
  <c r="D3628" i="1"/>
  <c r="X3628" i="1" s="1"/>
  <c r="V3632" i="1"/>
  <c r="D3632" i="1"/>
  <c r="X3632" i="1" s="1"/>
  <c r="V3636" i="1"/>
  <c r="D3636" i="1"/>
  <c r="X3636" i="1" s="1"/>
  <c r="V3640" i="1"/>
  <c r="D3640" i="1"/>
  <c r="X3640" i="1" s="1"/>
  <c r="V3644" i="1"/>
  <c r="D3644" i="1"/>
  <c r="X3644" i="1" s="1"/>
  <c r="V3648" i="1"/>
  <c r="D3648" i="1"/>
  <c r="X3648" i="1" s="1"/>
  <c r="V3652" i="1"/>
  <c r="D3652" i="1"/>
  <c r="X3652" i="1" s="1"/>
  <c r="V3656" i="1"/>
  <c r="D3656" i="1"/>
  <c r="X3656" i="1" s="1"/>
  <c r="V3660" i="1"/>
  <c r="D3660" i="1"/>
  <c r="X3660" i="1" s="1"/>
  <c r="V3664" i="1"/>
  <c r="D3664" i="1"/>
  <c r="X3664" i="1" s="1"/>
  <c r="V3668" i="1"/>
  <c r="D3668" i="1"/>
  <c r="X3668" i="1" s="1"/>
  <c r="V3672" i="1"/>
  <c r="D3672" i="1"/>
  <c r="X3672" i="1" s="1"/>
  <c r="V3676" i="1"/>
  <c r="D3676" i="1"/>
  <c r="X3676" i="1" s="1"/>
  <c r="V3680" i="1"/>
  <c r="D3680" i="1"/>
  <c r="X3680" i="1" s="1"/>
  <c r="V3684" i="1"/>
  <c r="D3684" i="1"/>
  <c r="X3684" i="1" s="1"/>
  <c r="V3688" i="1"/>
  <c r="D3688" i="1"/>
  <c r="X3688" i="1" s="1"/>
  <c r="V3692" i="1"/>
  <c r="D3692" i="1"/>
  <c r="X3692" i="1" s="1"/>
  <c r="V3696" i="1"/>
  <c r="D3696" i="1"/>
  <c r="X3696" i="1" s="1"/>
  <c r="V3700" i="1"/>
  <c r="D3700" i="1"/>
  <c r="X3700" i="1" s="1"/>
  <c r="V3704" i="1"/>
  <c r="D3704" i="1"/>
  <c r="X3704" i="1" s="1"/>
  <c r="V3708" i="1"/>
  <c r="D3708" i="1"/>
  <c r="X3708" i="1" s="1"/>
  <c r="V3712" i="1"/>
  <c r="D3712" i="1"/>
  <c r="X3712" i="1" s="1"/>
  <c r="V3716" i="1"/>
  <c r="D3716" i="1"/>
  <c r="X3716" i="1" s="1"/>
  <c r="V3720" i="1"/>
  <c r="D3720" i="1"/>
  <c r="X3720" i="1" s="1"/>
  <c r="V3724" i="1"/>
  <c r="D3724" i="1"/>
  <c r="X3724" i="1" s="1"/>
  <c r="V3728" i="1"/>
  <c r="D3728" i="1"/>
  <c r="X3728" i="1" s="1"/>
  <c r="V3732" i="1"/>
  <c r="D3732" i="1"/>
  <c r="X3732" i="1" s="1"/>
  <c r="V3736" i="1"/>
  <c r="D3736" i="1"/>
  <c r="X3736" i="1" s="1"/>
  <c r="V3740" i="1"/>
  <c r="D3740" i="1"/>
  <c r="X3740" i="1" s="1"/>
  <c r="V3744" i="1"/>
  <c r="D3744" i="1"/>
  <c r="X3744" i="1" s="1"/>
  <c r="V3748" i="1"/>
  <c r="D3748" i="1"/>
  <c r="X3748" i="1" s="1"/>
  <c r="V3752" i="1"/>
  <c r="D3752" i="1"/>
  <c r="X3752" i="1" s="1"/>
  <c r="V3756" i="1"/>
  <c r="D3756" i="1"/>
  <c r="X3756" i="1" s="1"/>
  <c r="V3760" i="1"/>
  <c r="D3760" i="1"/>
  <c r="X3760" i="1" s="1"/>
  <c r="V3764" i="1"/>
  <c r="D3764" i="1"/>
  <c r="X3764" i="1" s="1"/>
  <c r="V3768" i="1"/>
  <c r="D3768" i="1"/>
  <c r="X3768" i="1" s="1"/>
  <c r="V3772" i="1"/>
  <c r="D3772" i="1"/>
  <c r="X3772" i="1" s="1"/>
  <c r="V3776" i="1"/>
  <c r="D3776" i="1"/>
  <c r="X3776" i="1" s="1"/>
  <c r="V3780" i="1"/>
  <c r="D3780" i="1"/>
  <c r="X3780" i="1" s="1"/>
  <c r="V3784" i="1"/>
  <c r="D3784" i="1"/>
  <c r="X3784" i="1" s="1"/>
  <c r="V3788" i="1"/>
  <c r="D3788" i="1"/>
  <c r="X3788" i="1" s="1"/>
  <c r="V3792" i="1"/>
  <c r="D3792" i="1"/>
  <c r="X3792" i="1" s="1"/>
  <c r="V3796" i="1"/>
  <c r="D3796" i="1"/>
  <c r="X3796" i="1" s="1"/>
  <c r="V3800" i="1"/>
  <c r="D3800" i="1"/>
  <c r="X3800" i="1" s="1"/>
  <c r="V3804" i="1"/>
  <c r="D3804" i="1"/>
  <c r="X3804" i="1" s="1"/>
  <c r="V3808" i="1"/>
  <c r="D3808" i="1"/>
  <c r="X3808" i="1" s="1"/>
  <c r="V3812" i="1"/>
  <c r="D3812" i="1"/>
  <c r="X3812" i="1" s="1"/>
  <c r="V3816" i="1"/>
  <c r="D3816" i="1"/>
  <c r="X3816" i="1" s="1"/>
  <c r="V3820" i="1"/>
  <c r="D3820" i="1"/>
  <c r="X3820" i="1" s="1"/>
  <c r="V3824" i="1"/>
  <c r="D3824" i="1"/>
  <c r="X3824" i="1" s="1"/>
  <c r="V3828" i="1"/>
  <c r="D3828" i="1"/>
  <c r="X3828" i="1" s="1"/>
  <c r="V3832" i="1"/>
  <c r="D3832" i="1"/>
  <c r="X3832" i="1" s="1"/>
  <c r="V3836" i="1"/>
  <c r="D3836" i="1"/>
  <c r="X3836" i="1" s="1"/>
  <c r="V3840" i="1"/>
  <c r="D3840" i="1"/>
  <c r="X3840" i="1" s="1"/>
  <c r="V3844" i="1"/>
  <c r="D3844" i="1"/>
  <c r="X3844" i="1" s="1"/>
  <c r="V3848" i="1"/>
  <c r="D3848" i="1"/>
  <c r="X3848" i="1" s="1"/>
  <c r="V3852" i="1"/>
  <c r="D3852" i="1"/>
  <c r="X3852" i="1" s="1"/>
  <c r="V3856" i="1"/>
  <c r="D3856" i="1"/>
  <c r="X3856" i="1" s="1"/>
  <c r="V3860" i="1"/>
  <c r="D3860" i="1"/>
  <c r="X3860" i="1" s="1"/>
  <c r="V3864" i="1"/>
  <c r="D3864" i="1"/>
  <c r="X3864" i="1" s="1"/>
  <c r="V3868" i="1"/>
  <c r="D3868" i="1"/>
  <c r="X3868" i="1" s="1"/>
  <c r="V3872" i="1"/>
  <c r="D3872" i="1"/>
  <c r="X3872" i="1" s="1"/>
  <c r="V3876" i="1"/>
  <c r="D3876" i="1"/>
  <c r="X3876" i="1" s="1"/>
  <c r="V3880" i="1"/>
  <c r="D3880" i="1"/>
  <c r="X3880" i="1" s="1"/>
  <c r="V3884" i="1"/>
  <c r="D3884" i="1"/>
  <c r="X3884" i="1" s="1"/>
  <c r="V3888" i="1"/>
  <c r="D3888" i="1"/>
  <c r="X3888" i="1" s="1"/>
  <c r="V3892" i="1"/>
  <c r="D3892" i="1"/>
  <c r="X3892" i="1" s="1"/>
  <c r="V3896" i="1"/>
  <c r="D3896" i="1"/>
  <c r="X3896" i="1" s="1"/>
  <c r="V3900" i="1"/>
  <c r="D3900" i="1"/>
  <c r="X3900" i="1" s="1"/>
  <c r="V3904" i="1"/>
  <c r="D3904" i="1"/>
  <c r="X3904" i="1" s="1"/>
  <c r="V3908" i="1"/>
  <c r="D3908" i="1"/>
  <c r="X3908" i="1" s="1"/>
  <c r="V3912" i="1"/>
  <c r="D3912" i="1"/>
  <c r="X3912" i="1" s="1"/>
  <c r="V3916" i="1"/>
  <c r="D3916" i="1"/>
  <c r="X3916" i="1" s="1"/>
  <c r="V3920" i="1"/>
  <c r="D3920" i="1"/>
  <c r="X3920" i="1" s="1"/>
  <c r="V3924" i="1"/>
  <c r="D3924" i="1"/>
  <c r="X3924" i="1" s="1"/>
  <c r="V3928" i="1"/>
  <c r="D3928" i="1"/>
  <c r="X3928" i="1" s="1"/>
  <c r="V3932" i="1"/>
  <c r="D3932" i="1"/>
  <c r="X3932" i="1" s="1"/>
  <c r="V3936" i="1"/>
  <c r="D3936" i="1"/>
  <c r="X3936" i="1" s="1"/>
  <c r="V3940" i="1"/>
  <c r="D3940" i="1"/>
  <c r="X3940" i="1" s="1"/>
  <c r="V3944" i="1"/>
  <c r="D3944" i="1"/>
  <c r="X3944" i="1" s="1"/>
  <c r="V3948" i="1"/>
  <c r="D3948" i="1"/>
  <c r="X3948" i="1" s="1"/>
  <c r="V3952" i="1"/>
  <c r="D3952" i="1"/>
  <c r="X3952" i="1" s="1"/>
  <c r="V3956" i="1"/>
  <c r="D3956" i="1"/>
  <c r="X3956" i="1" s="1"/>
  <c r="V3960" i="1"/>
  <c r="D3960" i="1"/>
  <c r="X3960" i="1" s="1"/>
  <c r="V3964" i="1"/>
  <c r="D3964" i="1"/>
  <c r="X3964" i="1" s="1"/>
  <c r="V3968" i="1"/>
  <c r="D3968" i="1"/>
  <c r="X3968" i="1" s="1"/>
  <c r="V3972" i="1"/>
  <c r="D3972" i="1"/>
  <c r="X3972" i="1" s="1"/>
  <c r="V3976" i="1"/>
  <c r="D3976" i="1"/>
  <c r="X3976" i="1" s="1"/>
  <c r="V3980" i="1"/>
  <c r="D3980" i="1"/>
  <c r="X3980" i="1" s="1"/>
  <c r="V3984" i="1"/>
  <c r="D3984" i="1"/>
  <c r="X3984" i="1" s="1"/>
  <c r="V3988" i="1"/>
  <c r="D3988" i="1"/>
  <c r="X3988" i="1" s="1"/>
  <c r="V3992" i="1"/>
  <c r="D3992" i="1"/>
  <c r="X3992" i="1" s="1"/>
  <c r="V3996" i="1"/>
  <c r="D3996" i="1"/>
  <c r="X3996" i="1" s="1"/>
  <c r="V4000" i="1"/>
  <c r="D4000" i="1"/>
  <c r="X4000" i="1" s="1"/>
  <c r="V4004" i="1"/>
  <c r="D4004" i="1"/>
  <c r="X4004" i="1" s="1"/>
  <c r="V4008" i="1"/>
  <c r="D4008" i="1"/>
  <c r="X4008" i="1" s="1"/>
  <c r="V4012" i="1"/>
  <c r="D4012" i="1"/>
  <c r="X4012" i="1" s="1"/>
  <c r="V4016" i="1"/>
  <c r="D4016" i="1"/>
  <c r="X4016" i="1" s="1"/>
  <c r="V4020" i="1"/>
  <c r="D4020" i="1"/>
  <c r="X4020" i="1" s="1"/>
  <c r="V4024" i="1"/>
  <c r="D4024" i="1"/>
  <c r="X4024" i="1" s="1"/>
  <c r="V4028" i="1"/>
  <c r="D4028" i="1"/>
  <c r="X4028" i="1" s="1"/>
  <c r="V4032" i="1"/>
  <c r="D4032" i="1"/>
  <c r="X4032" i="1" s="1"/>
  <c r="V4036" i="1"/>
  <c r="D4036" i="1"/>
  <c r="X4036" i="1" s="1"/>
  <c r="V4040" i="1"/>
  <c r="D4040" i="1"/>
  <c r="X4040" i="1" s="1"/>
  <c r="V4044" i="1"/>
  <c r="D4044" i="1"/>
  <c r="X4044" i="1" s="1"/>
  <c r="V4048" i="1"/>
  <c r="D4048" i="1"/>
  <c r="X4048" i="1" s="1"/>
  <c r="V4052" i="1"/>
  <c r="D4052" i="1"/>
  <c r="X4052" i="1" s="1"/>
  <c r="V4056" i="1"/>
  <c r="D4056" i="1"/>
  <c r="X4056" i="1" s="1"/>
  <c r="V4060" i="1"/>
  <c r="D4060" i="1"/>
  <c r="X4060" i="1" s="1"/>
  <c r="V4064" i="1"/>
  <c r="D4064" i="1"/>
  <c r="X4064" i="1" s="1"/>
  <c r="V4068" i="1"/>
  <c r="D4068" i="1"/>
  <c r="X4068" i="1" s="1"/>
  <c r="V4072" i="1"/>
  <c r="D4072" i="1"/>
  <c r="X4072" i="1" s="1"/>
  <c r="V4076" i="1"/>
  <c r="D4076" i="1"/>
  <c r="X4076" i="1" s="1"/>
  <c r="V4080" i="1"/>
  <c r="D4080" i="1"/>
  <c r="X4080" i="1" s="1"/>
  <c r="V4084" i="1"/>
  <c r="D4084" i="1"/>
  <c r="X4084" i="1" s="1"/>
  <c r="V4088" i="1"/>
  <c r="D4088" i="1"/>
  <c r="X4088" i="1" s="1"/>
  <c r="V4092" i="1"/>
  <c r="D4092" i="1"/>
  <c r="X4092" i="1" s="1"/>
  <c r="V4096" i="1"/>
  <c r="D4096" i="1"/>
  <c r="X4096" i="1" s="1"/>
  <c r="V4100" i="1"/>
  <c r="D4100" i="1"/>
  <c r="X4100" i="1" s="1"/>
  <c r="V4104" i="1"/>
  <c r="D4104" i="1"/>
  <c r="X4104" i="1" s="1"/>
  <c r="V4108" i="1"/>
  <c r="D4108" i="1"/>
  <c r="X4108" i="1" s="1"/>
  <c r="V4112" i="1"/>
  <c r="D4112" i="1"/>
  <c r="X4112" i="1" s="1"/>
  <c r="V4116" i="1"/>
  <c r="D4116" i="1"/>
  <c r="X4116" i="1" s="1"/>
  <c r="V4120" i="1"/>
  <c r="D4120" i="1"/>
  <c r="X4120" i="1" s="1"/>
  <c r="V4124" i="1"/>
  <c r="D4124" i="1"/>
  <c r="X4124" i="1" s="1"/>
  <c r="V4128" i="1"/>
  <c r="D4128" i="1"/>
  <c r="X4128" i="1" s="1"/>
  <c r="V4132" i="1"/>
  <c r="D4132" i="1"/>
  <c r="X4132" i="1" s="1"/>
  <c r="V4136" i="1"/>
  <c r="D4136" i="1"/>
  <c r="X4136" i="1" s="1"/>
  <c r="V4140" i="1"/>
  <c r="D4140" i="1"/>
  <c r="X4140" i="1" s="1"/>
  <c r="V4144" i="1"/>
  <c r="D4144" i="1"/>
  <c r="X4144" i="1" s="1"/>
  <c r="V4148" i="1"/>
  <c r="D4148" i="1"/>
  <c r="X4148" i="1" s="1"/>
  <c r="V4152" i="1"/>
  <c r="D4152" i="1"/>
  <c r="X4152" i="1" s="1"/>
  <c r="V4156" i="1"/>
  <c r="D4156" i="1"/>
  <c r="X4156" i="1" s="1"/>
  <c r="V4160" i="1"/>
  <c r="D4160" i="1"/>
  <c r="X4160" i="1" s="1"/>
  <c r="V4164" i="1"/>
  <c r="D4164" i="1"/>
  <c r="X4164" i="1" s="1"/>
  <c r="V4168" i="1"/>
  <c r="D4168" i="1"/>
  <c r="X4168" i="1" s="1"/>
  <c r="V4172" i="1"/>
  <c r="D4172" i="1"/>
  <c r="X4172" i="1" s="1"/>
  <c r="V4176" i="1"/>
  <c r="D4176" i="1"/>
  <c r="X4176" i="1" s="1"/>
  <c r="V4180" i="1"/>
  <c r="D4180" i="1"/>
  <c r="X4180" i="1" s="1"/>
  <c r="V4184" i="1"/>
  <c r="D4184" i="1"/>
  <c r="X4184" i="1" s="1"/>
  <c r="V4188" i="1"/>
  <c r="D4188" i="1"/>
  <c r="X4188" i="1" s="1"/>
  <c r="V4192" i="1"/>
  <c r="D4192" i="1"/>
  <c r="X4192" i="1" s="1"/>
  <c r="V4196" i="1"/>
  <c r="D4196" i="1"/>
  <c r="X4196" i="1" s="1"/>
  <c r="V4200" i="1"/>
  <c r="D4200" i="1"/>
  <c r="X4200" i="1" s="1"/>
  <c r="V4204" i="1"/>
  <c r="D4204" i="1"/>
  <c r="X4204" i="1" s="1"/>
  <c r="V4208" i="1"/>
  <c r="D4208" i="1"/>
  <c r="X4208" i="1" s="1"/>
  <c r="V4212" i="1"/>
  <c r="D4212" i="1"/>
  <c r="X4212" i="1" s="1"/>
  <c r="V4216" i="1"/>
  <c r="D4216" i="1"/>
  <c r="X4216" i="1" s="1"/>
  <c r="V4220" i="1"/>
  <c r="D4220" i="1"/>
  <c r="X4220" i="1" s="1"/>
  <c r="V4224" i="1"/>
  <c r="D4224" i="1"/>
  <c r="X4224" i="1" s="1"/>
  <c r="V4228" i="1"/>
  <c r="D4228" i="1"/>
  <c r="X4228" i="1" s="1"/>
  <c r="V4232" i="1"/>
  <c r="D4232" i="1"/>
  <c r="X4232" i="1" s="1"/>
  <c r="V4236" i="1"/>
  <c r="D4236" i="1"/>
  <c r="X4236" i="1" s="1"/>
  <c r="V4240" i="1"/>
  <c r="D4240" i="1"/>
  <c r="X4240" i="1" s="1"/>
  <c r="V4244" i="1"/>
  <c r="D4244" i="1"/>
  <c r="X4244" i="1" s="1"/>
  <c r="V4248" i="1"/>
  <c r="D4248" i="1"/>
  <c r="X4248" i="1" s="1"/>
  <c r="V4252" i="1"/>
  <c r="D4252" i="1"/>
  <c r="X4252" i="1" s="1"/>
  <c r="V4256" i="1"/>
  <c r="D4256" i="1"/>
  <c r="X4256" i="1" s="1"/>
  <c r="V4260" i="1"/>
  <c r="D4260" i="1"/>
  <c r="X4260" i="1" s="1"/>
  <c r="V4264" i="1"/>
  <c r="D4264" i="1"/>
  <c r="X4264" i="1" s="1"/>
  <c r="V4268" i="1"/>
  <c r="D4268" i="1"/>
  <c r="X4268" i="1" s="1"/>
  <c r="V4272" i="1"/>
  <c r="D4272" i="1"/>
  <c r="X4272" i="1" s="1"/>
  <c r="V4276" i="1"/>
  <c r="D4276" i="1"/>
  <c r="X4276" i="1" s="1"/>
  <c r="V4280" i="1"/>
  <c r="D4280" i="1"/>
  <c r="X4280" i="1" s="1"/>
  <c r="V4284" i="1"/>
  <c r="D4284" i="1"/>
  <c r="X4284" i="1" s="1"/>
  <c r="V4288" i="1"/>
  <c r="D4288" i="1"/>
  <c r="X4288" i="1" s="1"/>
  <c r="V4292" i="1"/>
  <c r="D4292" i="1"/>
  <c r="X4292" i="1" s="1"/>
  <c r="V4296" i="1"/>
  <c r="D4296" i="1"/>
  <c r="X4296" i="1" s="1"/>
  <c r="V4300" i="1"/>
  <c r="D4300" i="1"/>
  <c r="X4300" i="1" s="1"/>
  <c r="V4304" i="1"/>
  <c r="D4304" i="1"/>
  <c r="X4304" i="1" s="1"/>
  <c r="V4308" i="1"/>
  <c r="D4308" i="1"/>
  <c r="X4308" i="1" s="1"/>
  <c r="V4312" i="1"/>
  <c r="D4312" i="1"/>
  <c r="X4312" i="1" s="1"/>
  <c r="V4316" i="1"/>
  <c r="D4316" i="1"/>
  <c r="X4316" i="1" s="1"/>
  <c r="V4320" i="1"/>
  <c r="D4320" i="1"/>
  <c r="X4320" i="1" s="1"/>
  <c r="V4324" i="1"/>
  <c r="D4324" i="1"/>
  <c r="X4324" i="1" s="1"/>
  <c r="V4328" i="1"/>
  <c r="D4328" i="1"/>
  <c r="X4328" i="1" s="1"/>
  <c r="V4332" i="1"/>
  <c r="D4332" i="1"/>
  <c r="X4332" i="1" s="1"/>
  <c r="V4336" i="1"/>
  <c r="D4336" i="1"/>
  <c r="X4336" i="1" s="1"/>
  <c r="V4340" i="1"/>
  <c r="D4340" i="1"/>
  <c r="X4340" i="1" s="1"/>
  <c r="V4344" i="1"/>
  <c r="D4344" i="1"/>
  <c r="X4344" i="1" s="1"/>
  <c r="V4348" i="1"/>
  <c r="D4348" i="1"/>
  <c r="X4348" i="1" s="1"/>
  <c r="V4352" i="1"/>
  <c r="D4352" i="1"/>
  <c r="X4352" i="1" s="1"/>
  <c r="V4356" i="1"/>
  <c r="D4356" i="1"/>
  <c r="X4356" i="1" s="1"/>
  <c r="V4360" i="1"/>
  <c r="D4360" i="1"/>
  <c r="X4360" i="1" s="1"/>
  <c r="V4364" i="1"/>
  <c r="D4364" i="1"/>
  <c r="X4364" i="1" s="1"/>
  <c r="V4368" i="1"/>
  <c r="D4368" i="1"/>
  <c r="X4368" i="1" s="1"/>
  <c r="V4372" i="1"/>
  <c r="D4372" i="1"/>
  <c r="X4372" i="1" s="1"/>
  <c r="V4376" i="1"/>
  <c r="D4376" i="1"/>
  <c r="X4376" i="1" s="1"/>
  <c r="V4380" i="1"/>
  <c r="D4380" i="1"/>
  <c r="X4380" i="1" s="1"/>
  <c r="V4384" i="1"/>
  <c r="D4384" i="1"/>
  <c r="X4384" i="1" s="1"/>
  <c r="V4388" i="1"/>
  <c r="D4388" i="1"/>
  <c r="X4388" i="1" s="1"/>
  <c r="V4392" i="1"/>
  <c r="D4392" i="1"/>
  <c r="X4392" i="1" s="1"/>
  <c r="V4396" i="1"/>
  <c r="D4396" i="1"/>
  <c r="X4396" i="1" s="1"/>
  <c r="V4400" i="1"/>
  <c r="D4400" i="1"/>
  <c r="X4400" i="1" s="1"/>
  <c r="V4404" i="1"/>
  <c r="D4404" i="1"/>
  <c r="X4404" i="1" s="1"/>
  <c r="V4411" i="1"/>
  <c r="D4411" i="1"/>
  <c r="X4411" i="1" s="1"/>
  <c r="V4415" i="1"/>
  <c r="D4415" i="1"/>
  <c r="X4415" i="1" s="1"/>
  <c r="V4418" i="1"/>
  <c r="D4418" i="1"/>
  <c r="X4418" i="1" s="1"/>
  <c r="V4422" i="1"/>
  <c r="D4422" i="1"/>
  <c r="X4422" i="1" s="1"/>
  <c r="V4425" i="1"/>
  <c r="D4425" i="1"/>
  <c r="X4425" i="1" s="1"/>
  <c r="V4429" i="1"/>
  <c r="D4429" i="1"/>
  <c r="X4429" i="1" s="1"/>
  <c r="V4436" i="1"/>
  <c r="D4436" i="1"/>
  <c r="X4436" i="1" s="1"/>
  <c r="V4443" i="1"/>
  <c r="D4443" i="1"/>
  <c r="X4443" i="1" s="1"/>
  <c r="V4447" i="1"/>
  <c r="D4447" i="1"/>
  <c r="X4447" i="1" s="1"/>
  <c r="V4450" i="1"/>
  <c r="D4450" i="1"/>
  <c r="X4450" i="1" s="1"/>
  <c r="V4454" i="1"/>
  <c r="D4454" i="1"/>
  <c r="X4454" i="1" s="1"/>
  <c r="V4457" i="1"/>
  <c r="D4457" i="1"/>
  <c r="X4457" i="1" s="1"/>
  <c r="V4461" i="1"/>
  <c r="D4461" i="1"/>
  <c r="X4461" i="1" s="1"/>
  <c r="V4468" i="1"/>
  <c r="D4468" i="1"/>
  <c r="X4468" i="1" s="1"/>
  <c r="V4475" i="1"/>
  <c r="D4475" i="1"/>
  <c r="X4475" i="1" s="1"/>
  <c r="V4479" i="1"/>
  <c r="D4479" i="1"/>
  <c r="X4479" i="1" s="1"/>
  <c r="V4482" i="1"/>
  <c r="D4482" i="1"/>
  <c r="X4482" i="1" s="1"/>
  <c r="V4486" i="1"/>
  <c r="D4486" i="1"/>
  <c r="X4486" i="1" s="1"/>
  <c r="V4489" i="1"/>
  <c r="D4489" i="1"/>
  <c r="X4489" i="1" s="1"/>
  <c r="V4493" i="1"/>
  <c r="D4493" i="1"/>
  <c r="X4493" i="1" s="1"/>
  <c r="V4500" i="1"/>
  <c r="D4500" i="1"/>
  <c r="X4500" i="1" s="1"/>
  <c r="V4507" i="1"/>
  <c r="D4507" i="1"/>
  <c r="X4507" i="1" s="1"/>
  <c r="V4511" i="1"/>
  <c r="D4511" i="1"/>
  <c r="X4511" i="1" s="1"/>
  <c r="V4514" i="1"/>
  <c r="D4514" i="1"/>
  <c r="X4514" i="1" s="1"/>
  <c r="V4518" i="1"/>
  <c r="D4518" i="1"/>
  <c r="X4518" i="1" s="1"/>
  <c r="V4521" i="1"/>
  <c r="D4521" i="1"/>
  <c r="X4521" i="1" s="1"/>
  <c r="V4525" i="1"/>
  <c r="D4525" i="1"/>
  <c r="X4525" i="1" s="1"/>
  <c r="V4532" i="1"/>
  <c r="D4532" i="1"/>
  <c r="X4532" i="1" s="1"/>
  <c r="V4539" i="1"/>
  <c r="D4539" i="1"/>
  <c r="X4539" i="1" s="1"/>
  <c r="V4543" i="1"/>
  <c r="D4543" i="1"/>
  <c r="X4543" i="1" s="1"/>
  <c r="V4546" i="1"/>
  <c r="D4546" i="1"/>
  <c r="X4546" i="1" s="1"/>
  <c r="V4550" i="1"/>
  <c r="D4550" i="1"/>
  <c r="X4550" i="1" s="1"/>
  <c r="V4553" i="1"/>
  <c r="D4553" i="1"/>
  <c r="X4553" i="1" s="1"/>
  <c r="V4557" i="1"/>
  <c r="D4557" i="1"/>
  <c r="X4557" i="1" s="1"/>
  <c r="V4564" i="1"/>
  <c r="D4564" i="1"/>
  <c r="X4564" i="1" s="1"/>
  <c r="V4571" i="1"/>
  <c r="D4571" i="1"/>
  <c r="X4571" i="1" s="1"/>
  <c r="V4575" i="1"/>
  <c r="D4575" i="1"/>
  <c r="X4575" i="1" s="1"/>
  <c r="V4578" i="1"/>
  <c r="D4578" i="1"/>
  <c r="X4578" i="1" s="1"/>
  <c r="V4582" i="1"/>
  <c r="D4582" i="1"/>
  <c r="X4582" i="1" s="1"/>
  <c r="V4585" i="1"/>
  <c r="D4585" i="1"/>
  <c r="X4585" i="1" s="1"/>
  <c r="V4589" i="1"/>
  <c r="D4589" i="1"/>
  <c r="X4589" i="1" s="1"/>
  <c r="V4596" i="1"/>
  <c r="D4596" i="1"/>
  <c r="X4596" i="1" s="1"/>
  <c r="V4603" i="1"/>
  <c r="D4603" i="1"/>
  <c r="X4603" i="1" s="1"/>
  <c r="V4607" i="1"/>
  <c r="D4607" i="1"/>
  <c r="X4607" i="1" s="1"/>
  <c r="V4611" i="1"/>
  <c r="D4611" i="1"/>
  <c r="X4611" i="1" s="1"/>
  <c r="V4615" i="1"/>
  <c r="D4615" i="1"/>
  <c r="X4615" i="1" s="1"/>
  <c r="V4619" i="1"/>
  <c r="D4619" i="1"/>
  <c r="X4619" i="1" s="1"/>
  <c r="V4623" i="1"/>
  <c r="D4623" i="1"/>
  <c r="X4623" i="1" s="1"/>
  <c r="V4627" i="1"/>
  <c r="D4627" i="1"/>
  <c r="X4627" i="1" s="1"/>
  <c r="V4631" i="1"/>
  <c r="D4631" i="1"/>
  <c r="X4631" i="1" s="1"/>
  <c r="V4635" i="1"/>
  <c r="D4635" i="1"/>
  <c r="X4635" i="1" s="1"/>
  <c r="V4639" i="1"/>
  <c r="D4639" i="1"/>
  <c r="X4639" i="1" s="1"/>
  <c r="V4643" i="1"/>
  <c r="D4643" i="1"/>
  <c r="X4643" i="1" s="1"/>
  <c r="V4647" i="1"/>
  <c r="D4647" i="1"/>
  <c r="X4647" i="1" s="1"/>
  <c r="V4651" i="1"/>
  <c r="D4651" i="1"/>
  <c r="X4651" i="1" s="1"/>
  <c r="V4655" i="1"/>
  <c r="D4655" i="1"/>
  <c r="X4655" i="1" s="1"/>
  <c r="V4659" i="1"/>
  <c r="D4659" i="1"/>
  <c r="X4659" i="1" s="1"/>
  <c r="V4663" i="1"/>
  <c r="D4663" i="1"/>
  <c r="X4663" i="1" s="1"/>
  <c r="V4667" i="1"/>
  <c r="D4667" i="1"/>
  <c r="X4667" i="1" s="1"/>
  <c r="V4671" i="1"/>
  <c r="D4671" i="1"/>
  <c r="X4671" i="1" s="1"/>
  <c r="V4675" i="1"/>
  <c r="D4675" i="1"/>
  <c r="X4675" i="1" s="1"/>
  <c r="V4679" i="1"/>
  <c r="D4679" i="1"/>
  <c r="X4679" i="1" s="1"/>
  <c r="V4683" i="1"/>
  <c r="D4683" i="1"/>
  <c r="X4683" i="1" s="1"/>
  <c r="V4687" i="1"/>
  <c r="D4687" i="1"/>
  <c r="X4687" i="1" s="1"/>
  <c r="V4691" i="1"/>
  <c r="D4691" i="1"/>
  <c r="X4691" i="1" s="1"/>
  <c r="V4695" i="1"/>
  <c r="D4695" i="1"/>
  <c r="X4695" i="1" s="1"/>
  <c r="V4699" i="1"/>
  <c r="D4699" i="1"/>
  <c r="X4699" i="1" s="1"/>
  <c r="V4703" i="1"/>
  <c r="D4703" i="1"/>
  <c r="X4703" i="1" s="1"/>
  <c r="V4707" i="1"/>
  <c r="D4707" i="1"/>
  <c r="X4707" i="1" s="1"/>
  <c r="V4711" i="1"/>
  <c r="D4711" i="1"/>
  <c r="X4711" i="1" s="1"/>
  <c r="V4715" i="1"/>
  <c r="D4715" i="1"/>
  <c r="X4715" i="1" s="1"/>
  <c r="V4722" i="1"/>
  <c r="D4722" i="1"/>
  <c r="X4722" i="1" s="1"/>
  <c r="V4725" i="1"/>
  <c r="D4725" i="1"/>
  <c r="X4725" i="1" s="1"/>
  <c r="V4728" i="1"/>
  <c r="D4728" i="1"/>
  <c r="X4728" i="1" s="1"/>
  <c r="V4738" i="1"/>
  <c r="D4738" i="1"/>
  <c r="X4738" i="1" s="1"/>
  <c r="V4741" i="1"/>
  <c r="D4741" i="1"/>
  <c r="X4741" i="1" s="1"/>
  <c r="V4744" i="1"/>
  <c r="D4744" i="1"/>
  <c r="X4744" i="1" s="1"/>
  <c r="V4754" i="1"/>
  <c r="D4754" i="1"/>
  <c r="X4754" i="1" s="1"/>
  <c r="V4757" i="1"/>
  <c r="D4757" i="1"/>
  <c r="X4757" i="1" s="1"/>
  <c r="V4760" i="1"/>
  <c r="D4760" i="1"/>
  <c r="X4760" i="1" s="1"/>
  <c r="V4770" i="1"/>
  <c r="D4770" i="1"/>
  <c r="X4770" i="1" s="1"/>
  <c r="V4773" i="1"/>
  <c r="D4773" i="1"/>
  <c r="X4773" i="1" s="1"/>
  <c r="V4776" i="1"/>
  <c r="D4776" i="1"/>
  <c r="X4776" i="1" s="1"/>
  <c r="V4786" i="1"/>
  <c r="D4786" i="1"/>
  <c r="X4786" i="1" s="1"/>
  <c r="V4789" i="1"/>
  <c r="D4789" i="1"/>
  <c r="X4789" i="1" s="1"/>
  <c r="V4792" i="1"/>
  <c r="D4792" i="1"/>
  <c r="X4792" i="1" s="1"/>
  <c r="V4802" i="1"/>
  <c r="D4802" i="1"/>
  <c r="X4802" i="1" s="1"/>
  <c r="V4805" i="1"/>
  <c r="D4805" i="1"/>
  <c r="X4805" i="1" s="1"/>
  <c r="V4808" i="1"/>
  <c r="D4808" i="1"/>
  <c r="X4808" i="1" s="1"/>
  <c r="V4818" i="1"/>
  <c r="D4818" i="1"/>
  <c r="X4818" i="1" s="1"/>
  <c r="V4821" i="1"/>
  <c r="D4821" i="1"/>
  <c r="X4821" i="1" s="1"/>
  <c r="V4824" i="1"/>
  <c r="D4824" i="1"/>
  <c r="X4824" i="1" s="1"/>
  <c r="V4834" i="1"/>
  <c r="D4834" i="1"/>
  <c r="X4834" i="1" s="1"/>
  <c r="V4837" i="1"/>
  <c r="D4837" i="1"/>
  <c r="X4837" i="1" s="1"/>
  <c r="V4840" i="1"/>
  <c r="D4840" i="1"/>
  <c r="X4840" i="1" s="1"/>
  <c r="V4850" i="1"/>
  <c r="D4850" i="1"/>
  <c r="X4850" i="1" s="1"/>
  <c r="V4853" i="1"/>
  <c r="D4853" i="1"/>
  <c r="X4853" i="1" s="1"/>
  <c r="V4856" i="1"/>
  <c r="D4856" i="1"/>
  <c r="X4856" i="1" s="1"/>
  <c r="V4866" i="1"/>
  <c r="D4866" i="1"/>
  <c r="X4866" i="1" s="1"/>
  <c r="V4869" i="1"/>
  <c r="D4869" i="1"/>
  <c r="X4869" i="1" s="1"/>
  <c r="V4872" i="1"/>
  <c r="D4872" i="1"/>
  <c r="X4872" i="1" s="1"/>
  <c r="V4882" i="1"/>
  <c r="D4882" i="1"/>
  <c r="X4882" i="1" s="1"/>
  <c r="V4885" i="1"/>
  <c r="D4885" i="1"/>
  <c r="X4885" i="1" s="1"/>
  <c r="V4888" i="1"/>
  <c r="D4888" i="1"/>
  <c r="X4888" i="1" s="1"/>
  <c r="V4898" i="1"/>
  <c r="D4898" i="1"/>
  <c r="X4898" i="1" s="1"/>
  <c r="V4901" i="1"/>
  <c r="D4901" i="1"/>
  <c r="X4901" i="1" s="1"/>
  <c r="V4904" i="1"/>
  <c r="D4904" i="1"/>
  <c r="X4904" i="1" s="1"/>
  <c r="V4914" i="1"/>
  <c r="D4914" i="1"/>
  <c r="X4914" i="1" s="1"/>
  <c r="V4917" i="1"/>
  <c r="D4917" i="1"/>
  <c r="X4917" i="1" s="1"/>
  <c r="V4920" i="1"/>
  <c r="D4920" i="1"/>
  <c r="X4920" i="1" s="1"/>
  <c r="V4930" i="1"/>
  <c r="D4930" i="1"/>
  <c r="X4930" i="1" s="1"/>
  <c r="V4933" i="1"/>
  <c r="D4933" i="1"/>
  <c r="X4933" i="1" s="1"/>
  <c r="V4936" i="1"/>
  <c r="D4936" i="1"/>
  <c r="X4936" i="1" s="1"/>
  <c r="V4946" i="1"/>
  <c r="D4946" i="1"/>
  <c r="X4946" i="1" s="1"/>
  <c r="V4949" i="1"/>
  <c r="D4949" i="1"/>
  <c r="X4949" i="1" s="1"/>
  <c r="V4953" i="1"/>
  <c r="D4953" i="1"/>
  <c r="X4953" i="1" s="1"/>
  <c r="V4957" i="1"/>
  <c r="D4957" i="1"/>
  <c r="X4957" i="1" s="1"/>
  <c r="V4961" i="1"/>
  <c r="D4961" i="1"/>
  <c r="X4961" i="1" s="1"/>
  <c r="V4965" i="1"/>
  <c r="D4965" i="1"/>
  <c r="X4965" i="1" s="1"/>
  <c r="V4969" i="1"/>
  <c r="D4969" i="1"/>
  <c r="X4969" i="1" s="1"/>
  <c r="V4973" i="1"/>
  <c r="D4973" i="1"/>
  <c r="X4973" i="1" s="1"/>
  <c r="V4977" i="1"/>
  <c r="D4977" i="1"/>
  <c r="X4977" i="1" s="1"/>
  <c r="V4981" i="1"/>
  <c r="D4981" i="1"/>
  <c r="X4981" i="1" s="1"/>
  <c r="V4985" i="1"/>
  <c r="D4985" i="1"/>
  <c r="X4985" i="1" s="1"/>
  <c r="V4989" i="1"/>
  <c r="D4989" i="1"/>
  <c r="X4989" i="1" s="1"/>
  <c r="V4993" i="1"/>
  <c r="D4993" i="1"/>
  <c r="X4993" i="1" s="1"/>
  <c r="V4997" i="1"/>
  <c r="D4997" i="1"/>
  <c r="X4997" i="1" s="1"/>
  <c r="V5001" i="1"/>
  <c r="D5001" i="1"/>
  <c r="X5001" i="1" s="1"/>
  <c r="V5005" i="1"/>
  <c r="D5005" i="1"/>
  <c r="X5005" i="1" s="1"/>
  <c r="V5009" i="1"/>
  <c r="D5009" i="1"/>
  <c r="X5009" i="1" s="1"/>
  <c r="V5013" i="1"/>
  <c r="D5013" i="1"/>
  <c r="X5013" i="1" s="1"/>
  <c r="V5017" i="1"/>
  <c r="D5017" i="1"/>
  <c r="X5017" i="1" s="1"/>
  <c r="V5021" i="1"/>
  <c r="D5021" i="1"/>
  <c r="X5021" i="1" s="1"/>
  <c r="V5025" i="1"/>
  <c r="D5025" i="1"/>
  <c r="X5025" i="1" s="1"/>
  <c r="V5029" i="1"/>
  <c r="D5029" i="1"/>
  <c r="X5029" i="1" s="1"/>
  <c r="V5033" i="1"/>
  <c r="D5033" i="1"/>
  <c r="X5033" i="1" s="1"/>
  <c r="V5037" i="1"/>
  <c r="D5037" i="1"/>
  <c r="X5037" i="1" s="1"/>
  <c r="V5041" i="1"/>
  <c r="D5041" i="1"/>
  <c r="X5041" i="1" s="1"/>
  <c r="V5045" i="1"/>
  <c r="D5045" i="1"/>
  <c r="X5045" i="1" s="1"/>
  <c r="V5049" i="1"/>
  <c r="D5049" i="1"/>
  <c r="X5049" i="1" s="1"/>
  <c r="V5053" i="1"/>
  <c r="D5053" i="1"/>
  <c r="X5053" i="1" s="1"/>
  <c r="V5057" i="1"/>
  <c r="D5057" i="1"/>
  <c r="X5057" i="1" s="1"/>
  <c r="V5061" i="1"/>
  <c r="D5061" i="1"/>
  <c r="X5061" i="1" s="1"/>
  <c r="V5065" i="1"/>
  <c r="D5065" i="1"/>
  <c r="X5065" i="1" s="1"/>
  <c r="V5069" i="1"/>
  <c r="D5069" i="1"/>
  <c r="X5069" i="1" s="1"/>
  <c r="V5073" i="1"/>
  <c r="D5073" i="1"/>
  <c r="X5073" i="1" s="1"/>
  <c r="V5077" i="1"/>
  <c r="D5077" i="1"/>
  <c r="X5077" i="1" s="1"/>
  <c r="V5081" i="1"/>
  <c r="D5081" i="1"/>
  <c r="X5081" i="1" s="1"/>
  <c r="V5085" i="1"/>
  <c r="D5085" i="1"/>
  <c r="X5085" i="1" s="1"/>
  <c r="V5089" i="1"/>
  <c r="D5089" i="1"/>
  <c r="X5089" i="1" s="1"/>
  <c r="V5093" i="1"/>
  <c r="D5093" i="1"/>
  <c r="X5093" i="1" s="1"/>
  <c r="V5097" i="1"/>
  <c r="D5097" i="1"/>
  <c r="X5097" i="1" s="1"/>
  <c r="V5101" i="1"/>
  <c r="D5101" i="1"/>
  <c r="X5101" i="1" s="1"/>
  <c r="V5105" i="1"/>
  <c r="D5105" i="1"/>
  <c r="X5105" i="1" s="1"/>
  <c r="V5109" i="1"/>
  <c r="D5109" i="1"/>
  <c r="X5109" i="1" s="1"/>
  <c r="V5113" i="1"/>
  <c r="D5113" i="1"/>
  <c r="X5113" i="1" s="1"/>
  <c r="V5117" i="1"/>
  <c r="D5117" i="1"/>
  <c r="X5117" i="1" s="1"/>
  <c r="V5121" i="1"/>
  <c r="D5121" i="1"/>
  <c r="X5121" i="1" s="1"/>
  <c r="V5125" i="1"/>
  <c r="D5125" i="1"/>
  <c r="X5125" i="1" s="1"/>
  <c r="V5129" i="1"/>
  <c r="D5129" i="1"/>
  <c r="X5129" i="1" s="1"/>
  <c r="V5133" i="1"/>
  <c r="D5133" i="1"/>
  <c r="X5133" i="1" s="1"/>
  <c r="V5137" i="1"/>
  <c r="D5137" i="1"/>
  <c r="X5137" i="1" s="1"/>
  <c r="V5141" i="1"/>
  <c r="D5141" i="1"/>
  <c r="X5141" i="1" s="1"/>
  <c r="V5145" i="1"/>
  <c r="D5145" i="1"/>
  <c r="X5145" i="1" s="1"/>
  <c r="V5149" i="1"/>
  <c r="D5149" i="1"/>
  <c r="X5149" i="1" s="1"/>
  <c r="V5153" i="1"/>
  <c r="D5153" i="1"/>
  <c r="X5153" i="1" s="1"/>
  <c r="V5157" i="1"/>
  <c r="D5157" i="1"/>
  <c r="X5157" i="1" s="1"/>
  <c r="V5161" i="1"/>
  <c r="D5161" i="1"/>
  <c r="X5161" i="1" s="1"/>
  <c r="V5165" i="1"/>
  <c r="D5165" i="1"/>
  <c r="X5165" i="1" s="1"/>
  <c r="V5169" i="1"/>
  <c r="D5169" i="1"/>
  <c r="X5169" i="1" s="1"/>
  <c r="V5173" i="1"/>
  <c r="D5173" i="1"/>
  <c r="X5173" i="1" s="1"/>
  <c r="V5177" i="1"/>
  <c r="D5177" i="1"/>
  <c r="X5177" i="1" s="1"/>
  <c r="V5181" i="1"/>
  <c r="D5181" i="1"/>
  <c r="X5181" i="1" s="1"/>
  <c r="V5185" i="1"/>
  <c r="D5185" i="1"/>
  <c r="X5185" i="1" s="1"/>
  <c r="V5189" i="1"/>
  <c r="D5189" i="1"/>
  <c r="X5189" i="1" s="1"/>
  <c r="V5193" i="1"/>
  <c r="D5193" i="1"/>
  <c r="X5193" i="1" s="1"/>
  <c r="V5197" i="1"/>
  <c r="D5197" i="1"/>
  <c r="X5197" i="1" s="1"/>
  <c r="V5201" i="1"/>
  <c r="D5201" i="1"/>
  <c r="X5201" i="1" s="1"/>
  <c r="V5205" i="1"/>
  <c r="D5205" i="1"/>
  <c r="X5205" i="1" s="1"/>
  <c r="V5209" i="1"/>
  <c r="D5209" i="1"/>
  <c r="X5209" i="1" s="1"/>
  <c r="V5213" i="1"/>
  <c r="D5213" i="1"/>
  <c r="X5213" i="1" s="1"/>
  <c r="V5217" i="1"/>
  <c r="D5217" i="1"/>
  <c r="X5217" i="1" s="1"/>
  <c r="V5221" i="1"/>
  <c r="D5221" i="1"/>
  <c r="X5221" i="1" s="1"/>
  <c r="V5225" i="1"/>
  <c r="D5225" i="1"/>
  <c r="X5225" i="1" s="1"/>
  <c r="V5229" i="1"/>
  <c r="D5229" i="1"/>
  <c r="X5229" i="1" s="1"/>
  <c r="V5233" i="1"/>
  <c r="D5233" i="1"/>
  <c r="X5233" i="1" s="1"/>
  <c r="V5237" i="1"/>
  <c r="D5237" i="1"/>
  <c r="X5237" i="1" s="1"/>
  <c r="V5241" i="1"/>
  <c r="D5241" i="1"/>
  <c r="X5241" i="1" s="1"/>
  <c r="V5245" i="1"/>
  <c r="D5245" i="1"/>
  <c r="X5245" i="1" s="1"/>
  <c r="V5249" i="1"/>
  <c r="D5249" i="1"/>
  <c r="X5249" i="1" s="1"/>
  <c r="V5253" i="1"/>
  <c r="D5253" i="1"/>
  <c r="X5253" i="1" s="1"/>
  <c r="V5257" i="1"/>
  <c r="D5257" i="1"/>
  <c r="X5257" i="1" s="1"/>
  <c r="V5261" i="1"/>
  <c r="D5261" i="1"/>
  <c r="X5261" i="1" s="1"/>
  <c r="V5265" i="1"/>
  <c r="D5265" i="1"/>
  <c r="X5265" i="1" s="1"/>
  <c r="V5269" i="1"/>
  <c r="D5269" i="1"/>
  <c r="X5269" i="1" s="1"/>
  <c r="V5273" i="1"/>
  <c r="D5273" i="1"/>
  <c r="X5273" i="1" s="1"/>
  <c r="V5277" i="1"/>
  <c r="D5277" i="1"/>
  <c r="X5277" i="1" s="1"/>
  <c r="V5281" i="1"/>
  <c r="D5281" i="1"/>
  <c r="X5281" i="1" s="1"/>
  <c r="V5285" i="1"/>
  <c r="D5285" i="1"/>
  <c r="X5285" i="1" s="1"/>
  <c r="V5289" i="1"/>
  <c r="D5289" i="1"/>
  <c r="X5289" i="1" s="1"/>
  <c r="V5293" i="1"/>
  <c r="D5293" i="1"/>
  <c r="X5293" i="1" s="1"/>
  <c r="V5297" i="1"/>
  <c r="D5297" i="1"/>
  <c r="X5297" i="1" s="1"/>
  <c r="V5301" i="1"/>
  <c r="D5301" i="1"/>
  <c r="X5301" i="1" s="1"/>
  <c r="V5305" i="1"/>
  <c r="D5305" i="1"/>
  <c r="X5305" i="1" s="1"/>
  <c r="V5309" i="1"/>
  <c r="D5309" i="1"/>
  <c r="X5309" i="1" s="1"/>
  <c r="V5313" i="1"/>
  <c r="D5313" i="1"/>
  <c r="X5313" i="1" s="1"/>
  <c r="V5317" i="1"/>
  <c r="D5317" i="1"/>
  <c r="X5317" i="1" s="1"/>
  <c r="V5321" i="1"/>
  <c r="D5321" i="1"/>
  <c r="X5321" i="1" s="1"/>
  <c r="V5325" i="1"/>
  <c r="D5325" i="1"/>
  <c r="X5325" i="1" s="1"/>
  <c r="V5329" i="1"/>
  <c r="D5329" i="1"/>
  <c r="X5329" i="1" s="1"/>
  <c r="V5333" i="1"/>
  <c r="D5333" i="1"/>
  <c r="X5333" i="1" s="1"/>
  <c r="V5337" i="1"/>
  <c r="D5337" i="1"/>
  <c r="X5337" i="1" s="1"/>
  <c r="V5341" i="1"/>
  <c r="D5341" i="1"/>
  <c r="X5341" i="1" s="1"/>
  <c r="V5345" i="1"/>
  <c r="D5345" i="1"/>
  <c r="X5345" i="1" s="1"/>
  <c r="V5349" i="1"/>
  <c r="D5349" i="1"/>
  <c r="X5349" i="1" s="1"/>
  <c r="V5353" i="1"/>
  <c r="D5353" i="1"/>
  <c r="X5353" i="1" s="1"/>
  <c r="V5357" i="1"/>
  <c r="D5357" i="1"/>
  <c r="X5357" i="1" s="1"/>
  <c r="V5361" i="1"/>
  <c r="D5361" i="1"/>
  <c r="X5361" i="1" s="1"/>
  <c r="V5365" i="1"/>
  <c r="D5365" i="1"/>
  <c r="X5365" i="1" s="1"/>
  <c r="V5369" i="1"/>
  <c r="D5369" i="1"/>
  <c r="X5369" i="1" s="1"/>
  <c r="V5373" i="1"/>
  <c r="D5373" i="1"/>
  <c r="X5373" i="1" s="1"/>
  <c r="V5377" i="1"/>
  <c r="D5377" i="1"/>
  <c r="X5377" i="1" s="1"/>
  <c r="V5381" i="1"/>
  <c r="D5381" i="1"/>
  <c r="X5381" i="1" s="1"/>
  <c r="V5385" i="1"/>
  <c r="D5385" i="1"/>
  <c r="X5385" i="1" s="1"/>
  <c r="V5389" i="1"/>
  <c r="D5389" i="1"/>
  <c r="X5389" i="1" s="1"/>
  <c r="V5393" i="1"/>
  <c r="D5393" i="1"/>
  <c r="X5393" i="1" s="1"/>
  <c r="V5397" i="1"/>
  <c r="D5397" i="1"/>
  <c r="X5397" i="1" s="1"/>
  <c r="V5401" i="1"/>
  <c r="D5401" i="1"/>
  <c r="X5401" i="1" s="1"/>
  <c r="V5405" i="1"/>
  <c r="D5405" i="1"/>
  <c r="X5405" i="1" s="1"/>
  <c r="V5409" i="1"/>
  <c r="D5409" i="1"/>
  <c r="X5409" i="1" s="1"/>
  <c r="V5413" i="1"/>
  <c r="D5413" i="1"/>
  <c r="X5413" i="1" s="1"/>
  <c r="V5417" i="1"/>
  <c r="D5417" i="1"/>
  <c r="X5417" i="1" s="1"/>
  <c r="V5421" i="1"/>
  <c r="D5421" i="1"/>
  <c r="X5421" i="1" s="1"/>
  <c r="V5425" i="1"/>
  <c r="D5425" i="1"/>
  <c r="X5425" i="1" s="1"/>
  <c r="V5429" i="1"/>
  <c r="D5429" i="1"/>
  <c r="X5429" i="1" s="1"/>
  <c r="V5433" i="1"/>
  <c r="D5433" i="1"/>
  <c r="X5433" i="1" s="1"/>
  <c r="V5437" i="1"/>
  <c r="D5437" i="1"/>
  <c r="X5437" i="1" s="1"/>
  <c r="V5441" i="1"/>
  <c r="D5441" i="1"/>
  <c r="X5441" i="1" s="1"/>
  <c r="V5445" i="1"/>
  <c r="D5445" i="1"/>
  <c r="X5445" i="1" s="1"/>
  <c r="V5449" i="1"/>
  <c r="D5449" i="1"/>
  <c r="X5449" i="1" s="1"/>
  <c r="V5453" i="1"/>
  <c r="D5453" i="1"/>
  <c r="X5453" i="1" s="1"/>
  <c r="V5457" i="1"/>
  <c r="D5457" i="1"/>
  <c r="X5457" i="1" s="1"/>
  <c r="V5461" i="1"/>
  <c r="D5461" i="1"/>
  <c r="X5461" i="1" s="1"/>
  <c r="V5465" i="1"/>
  <c r="D5465" i="1"/>
  <c r="X5465" i="1" s="1"/>
  <c r="V5469" i="1"/>
  <c r="D5469" i="1"/>
  <c r="X5469" i="1" s="1"/>
  <c r="V5473" i="1"/>
  <c r="D5473" i="1"/>
  <c r="X5473" i="1" s="1"/>
  <c r="V5477" i="1"/>
  <c r="D5477" i="1"/>
  <c r="X5477" i="1" s="1"/>
  <c r="V5481" i="1"/>
  <c r="D5481" i="1"/>
  <c r="X5481" i="1" s="1"/>
  <c r="V5485" i="1"/>
  <c r="D5485" i="1"/>
  <c r="X5485" i="1" s="1"/>
  <c r="V5489" i="1"/>
  <c r="D5489" i="1"/>
  <c r="X5489" i="1" s="1"/>
  <c r="V5493" i="1"/>
  <c r="D5493" i="1"/>
  <c r="X5493" i="1" s="1"/>
  <c r="V5497" i="1"/>
  <c r="D5497" i="1"/>
  <c r="X5497" i="1" s="1"/>
  <c r="V5501" i="1"/>
  <c r="D5501" i="1"/>
  <c r="X5501" i="1" s="1"/>
  <c r="V5505" i="1"/>
  <c r="D5505" i="1"/>
  <c r="X5505" i="1" s="1"/>
  <c r="V5509" i="1"/>
  <c r="D5509" i="1"/>
  <c r="X5509" i="1" s="1"/>
  <c r="V5513" i="1"/>
  <c r="D5513" i="1"/>
  <c r="X5513" i="1" s="1"/>
  <c r="V5517" i="1"/>
  <c r="D5517" i="1"/>
  <c r="X5517" i="1" s="1"/>
  <c r="V5521" i="1"/>
  <c r="D5521" i="1"/>
  <c r="X5521" i="1" s="1"/>
  <c r="V5525" i="1"/>
  <c r="D5525" i="1"/>
  <c r="X5525" i="1" s="1"/>
  <c r="V5529" i="1"/>
  <c r="D5529" i="1"/>
  <c r="X5529" i="1" s="1"/>
  <c r="V5533" i="1"/>
  <c r="D5533" i="1"/>
  <c r="X5533" i="1" s="1"/>
  <c r="V5537" i="1"/>
  <c r="D5537" i="1"/>
  <c r="X5537" i="1" s="1"/>
  <c r="V5541" i="1"/>
  <c r="D5541" i="1"/>
  <c r="X5541" i="1" s="1"/>
  <c r="V5545" i="1"/>
  <c r="D5545" i="1"/>
  <c r="X5545" i="1" s="1"/>
  <c r="V5549" i="1"/>
  <c r="D5549" i="1"/>
  <c r="X5549" i="1" s="1"/>
  <c r="V5553" i="1"/>
  <c r="D5553" i="1"/>
  <c r="X5553" i="1" s="1"/>
  <c r="V5557" i="1"/>
  <c r="D5557" i="1"/>
  <c r="X5557" i="1" s="1"/>
  <c r="V5560" i="1"/>
  <c r="D5560" i="1"/>
  <c r="X5560" i="1" s="1"/>
  <c r="V5564" i="1"/>
  <c r="D5564" i="1"/>
  <c r="X5564" i="1" s="1"/>
  <c r="V5571" i="1"/>
  <c r="D5571" i="1"/>
  <c r="X5571" i="1" s="1"/>
  <c r="V5578" i="1"/>
  <c r="D5578" i="1"/>
  <c r="X5578" i="1" s="1"/>
  <c r="V5582" i="1"/>
  <c r="D5582" i="1"/>
  <c r="X5582" i="1" s="1"/>
  <c r="V5585" i="1"/>
  <c r="D5585" i="1"/>
  <c r="X5585" i="1" s="1"/>
  <c r="V5589" i="1"/>
  <c r="D5589" i="1"/>
  <c r="X5589" i="1" s="1"/>
  <c r="V5592" i="1"/>
  <c r="D5592" i="1"/>
  <c r="X5592" i="1" s="1"/>
  <c r="V5596" i="1"/>
  <c r="D5596" i="1"/>
  <c r="X5596" i="1" s="1"/>
  <c r="V5603" i="1"/>
  <c r="D5603" i="1"/>
  <c r="X5603" i="1" s="1"/>
  <c r="V5610" i="1"/>
  <c r="D5610" i="1"/>
  <c r="X5610" i="1" s="1"/>
  <c r="V5614" i="1"/>
  <c r="D5614" i="1"/>
  <c r="X5614" i="1" s="1"/>
  <c r="V5617" i="1"/>
  <c r="D5617" i="1"/>
  <c r="X5617" i="1" s="1"/>
  <c r="V5621" i="1"/>
  <c r="D5621" i="1"/>
  <c r="X5621" i="1" s="1"/>
  <c r="V5624" i="1"/>
  <c r="D5624" i="1"/>
  <c r="X5624" i="1" s="1"/>
  <c r="V5628" i="1"/>
  <c r="D5628" i="1"/>
  <c r="X5628" i="1" s="1"/>
  <c r="V5635" i="1"/>
  <c r="D5635" i="1"/>
  <c r="X5635" i="1" s="1"/>
  <c r="V5642" i="1"/>
  <c r="D5642" i="1"/>
  <c r="X5642" i="1" s="1"/>
  <c r="V5646" i="1"/>
  <c r="D5646" i="1"/>
  <c r="X5646" i="1" s="1"/>
  <c r="V5649" i="1"/>
  <c r="D5649" i="1"/>
  <c r="X5649" i="1" s="1"/>
  <c r="V5653" i="1"/>
  <c r="D5653" i="1"/>
  <c r="X5653" i="1" s="1"/>
  <c r="V5656" i="1"/>
  <c r="D5656" i="1"/>
  <c r="X5656" i="1" s="1"/>
  <c r="V5660" i="1"/>
  <c r="D5660" i="1"/>
  <c r="X5660" i="1" s="1"/>
  <c r="V5667" i="1"/>
  <c r="D5667" i="1"/>
  <c r="X5667" i="1" s="1"/>
  <c r="V5674" i="1"/>
  <c r="D5674" i="1"/>
  <c r="X5674" i="1" s="1"/>
  <c r="V5678" i="1"/>
  <c r="D5678" i="1"/>
  <c r="X5678" i="1" s="1"/>
  <c r="V5681" i="1"/>
  <c r="D5681" i="1"/>
  <c r="X5681" i="1" s="1"/>
  <c r="V5685" i="1"/>
  <c r="D5685" i="1"/>
  <c r="X5685" i="1" s="1"/>
  <c r="V5688" i="1"/>
  <c r="D5688" i="1"/>
  <c r="X5688" i="1" s="1"/>
  <c r="V5692" i="1"/>
  <c r="D5692" i="1"/>
  <c r="X5692" i="1" s="1"/>
  <c r="V5699" i="1"/>
  <c r="D5699" i="1"/>
  <c r="X5699" i="1" s="1"/>
  <c r="V5706" i="1"/>
  <c r="D5706" i="1"/>
  <c r="X5706" i="1" s="1"/>
  <c r="V5710" i="1"/>
  <c r="D5710" i="1"/>
  <c r="X5710" i="1" s="1"/>
  <c r="V5713" i="1"/>
  <c r="D5713" i="1"/>
  <c r="X5713" i="1" s="1"/>
  <c r="V5717" i="1"/>
  <c r="D5717" i="1"/>
  <c r="X5717" i="1" s="1"/>
  <c r="V5720" i="1"/>
  <c r="D5720" i="1"/>
  <c r="X5720" i="1" s="1"/>
  <c r="V5724" i="1"/>
  <c r="D5724" i="1"/>
  <c r="X5724" i="1" s="1"/>
  <c r="V5731" i="1"/>
  <c r="D5731" i="1"/>
  <c r="X5731" i="1" s="1"/>
  <c r="V5738" i="1"/>
  <c r="D5738" i="1"/>
  <c r="X5738" i="1" s="1"/>
  <c r="V5742" i="1"/>
  <c r="D5742" i="1"/>
  <c r="X5742" i="1" s="1"/>
  <c r="V5745" i="1"/>
  <c r="D5745" i="1"/>
  <c r="X5745" i="1" s="1"/>
  <c r="V5749" i="1"/>
  <c r="D5749" i="1"/>
  <c r="X5749" i="1" s="1"/>
  <c r="V5752" i="1"/>
  <c r="D5752" i="1"/>
  <c r="X5752" i="1" s="1"/>
  <c r="V5756" i="1"/>
  <c r="D5756" i="1"/>
  <c r="X5756" i="1" s="1"/>
  <c r="V5763" i="1"/>
  <c r="D5763" i="1"/>
  <c r="X5763" i="1" s="1"/>
  <c r="V5770" i="1"/>
  <c r="D5770" i="1"/>
  <c r="X5770" i="1" s="1"/>
  <c r="V5774" i="1"/>
  <c r="D5774" i="1"/>
  <c r="X5774" i="1" s="1"/>
  <c r="V5777" i="1"/>
  <c r="D5777" i="1"/>
  <c r="X5777" i="1" s="1"/>
  <c r="V5781" i="1"/>
  <c r="D5781" i="1"/>
  <c r="X5781" i="1" s="1"/>
  <c r="V5784" i="1"/>
  <c r="D5784" i="1"/>
  <c r="X5784" i="1" s="1"/>
  <c r="V5788" i="1"/>
  <c r="D5788" i="1"/>
  <c r="X5788" i="1" s="1"/>
  <c r="V5795" i="1"/>
  <c r="D5795" i="1"/>
  <c r="X5795" i="1" s="1"/>
  <c r="V5802" i="1"/>
  <c r="D5802" i="1"/>
  <c r="X5802" i="1" s="1"/>
  <c r="V5806" i="1"/>
  <c r="D5806" i="1"/>
  <c r="X5806" i="1" s="1"/>
  <c r="V5809" i="1"/>
  <c r="D5809" i="1"/>
  <c r="X5809" i="1" s="1"/>
  <c r="V5813" i="1"/>
  <c r="D5813" i="1"/>
  <c r="X5813" i="1" s="1"/>
  <c r="V5816" i="1"/>
  <c r="D5816" i="1"/>
  <c r="X5816" i="1" s="1"/>
  <c r="V5820" i="1"/>
  <c r="D5820" i="1"/>
  <c r="X5820" i="1" s="1"/>
  <c r="V5827" i="1"/>
  <c r="D5827" i="1"/>
  <c r="X5827" i="1" s="1"/>
  <c r="V5834" i="1"/>
  <c r="D5834" i="1"/>
  <c r="X5834" i="1" s="1"/>
  <c r="V5838" i="1"/>
  <c r="D5838" i="1"/>
  <c r="X5838" i="1" s="1"/>
  <c r="V5841" i="1"/>
  <c r="D5841" i="1"/>
  <c r="X5841" i="1" s="1"/>
  <c r="V5845" i="1"/>
  <c r="D5845" i="1"/>
  <c r="X5845" i="1" s="1"/>
  <c r="V5848" i="1"/>
  <c r="D5848" i="1"/>
  <c r="X5848" i="1" s="1"/>
  <c r="V5852" i="1"/>
  <c r="D5852" i="1"/>
  <c r="X5852" i="1" s="1"/>
  <c r="V5856" i="1"/>
  <c r="D5856" i="1"/>
  <c r="X5856" i="1" s="1"/>
  <c r="V5860" i="1"/>
  <c r="D5860" i="1"/>
  <c r="X5860" i="1" s="1"/>
  <c r="V5864" i="1"/>
  <c r="D5864" i="1"/>
  <c r="X5864" i="1" s="1"/>
  <c r="V5868" i="1"/>
  <c r="D5868" i="1"/>
  <c r="X5868" i="1" s="1"/>
  <c r="V5872" i="1"/>
  <c r="D5872" i="1"/>
  <c r="X5872" i="1" s="1"/>
  <c r="V5876" i="1"/>
  <c r="D5876" i="1"/>
  <c r="X5876" i="1" s="1"/>
  <c r="V5880" i="1"/>
  <c r="D5880" i="1"/>
  <c r="X5880" i="1" s="1"/>
  <c r="V5884" i="1"/>
  <c r="D5884" i="1"/>
  <c r="X5884" i="1" s="1"/>
  <c r="V5888" i="1"/>
  <c r="D5888" i="1"/>
  <c r="X5888" i="1" s="1"/>
  <c r="V5892" i="1"/>
  <c r="D5892" i="1"/>
  <c r="X5892" i="1" s="1"/>
  <c r="V5896" i="1"/>
  <c r="D5896" i="1"/>
  <c r="X5896" i="1" s="1"/>
  <c r="V5900" i="1"/>
  <c r="D5900" i="1"/>
  <c r="X5900" i="1" s="1"/>
  <c r="V5904" i="1"/>
  <c r="D5904" i="1"/>
  <c r="X5904" i="1" s="1"/>
  <c r="V5908" i="1"/>
  <c r="D5908" i="1"/>
  <c r="X5908" i="1" s="1"/>
  <c r="V5912" i="1"/>
  <c r="D5912" i="1"/>
  <c r="X5912" i="1" s="1"/>
  <c r="V5916" i="1"/>
  <c r="D5916" i="1"/>
  <c r="X5916" i="1" s="1"/>
  <c r="V5920" i="1"/>
  <c r="D5920" i="1"/>
  <c r="X5920" i="1" s="1"/>
  <c r="V5924" i="1"/>
  <c r="D5924" i="1"/>
  <c r="X5924" i="1" s="1"/>
  <c r="V5928" i="1"/>
  <c r="D5928" i="1"/>
  <c r="X5928" i="1" s="1"/>
  <c r="V5932" i="1"/>
  <c r="D5932" i="1"/>
  <c r="X5932" i="1" s="1"/>
  <c r="V5936" i="1"/>
  <c r="D5936" i="1"/>
  <c r="X5936" i="1" s="1"/>
  <c r="V5940" i="1"/>
  <c r="D5940" i="1"/>
  <c r="X5940" i="1" s="1"/>
  <c r="V5944" i="1"/>
  <c r="D5944" i="1"/>
  <c r="X5944" i="1" s="1"/>
  <c r="V5948" i="1"/>
  <c r="D5948" i="1"/>
  <c r="X5948" i="1" s="1"/>
  <c r="V5952" i="1"/>
  <c r="D5952" i="1"/>
  <c r="X5952" i="1" s="1"/>
  <c r="V5956" i="1"/>
  <c r="D5956" i="1"/>
  <c r="X5956" i="1" s="1"/>
  <c r="V5960" i="1"/>
  <c r="D5960" i="1"/>
  <c r="X5960" i="1" s="1"/>
  <c r="V5964" i="1"/>
  <c r="D5964" i="1"/>
  <c r="X5964" i="1" s="1"/>
  <c r="V5968" i="1"/>
  <c r="D5968" i="1"/>
  <c r="X5968" i="1" s="1"/>
  <c r="V5972" i="1"/>
  <c r="D5972" i="1"/>
  <c r="X5972" i="1" s="1"/>
  <c r="V5976" i="1"/>
  <c r="D5976" i="1"/>
  <c r="X5976" i="1" s="1"/>
  <c r="V5980" i="1"/>
  <c r="D5980" i="1"/>
  <c r="X5980" i="1" s="1"/>
  <c r="V5984" i="1"/>
  <c r="D5984" i="1"/>
  <c r="X5984" i="1" s="1"/>
  <c r="V5988" i="1"/>
  <c r="D5988" i="1"/>
  <c r="X5988" i="1" s="1"/>
  <c r="V5992" i="1"/>
  <c r="D5992" i="1"/>
  <c r="X5992" i="1" s="1"/>
  <c r="V5996" i="1"/>
  <c r="D5996" i="1"/>
  <c r="X5996" i="1" s="1"/>
  <c r="V6000" i="1"/>
  <c r="D6000" i="1"/>
  <c r="X6000" i="1" s="1"/>
  <c r="V6004" i="1"/>
  <c r="D6004" i="1"/>
  <c r="X6004" i="1" s="1"/>
  <c r="V6008" i="1"/>
  <c r="D6008" i="1"/>
  <c r="X6008" i="1" s="1"/>
  <c r="V6012" i="1"/>
  <c r="D6012" i="1"/>
  <c r="X6012" i="1" s="1"/>
  <c r="V6016" i="1"/>
  <c r="D6016" i="1"/>
  <c r="X6016" i="1" s="1"/>
  <c r="V6020" i="1"/>
  <c r="D6020" i="1"/>
  <c r="X6020" i="1" s="1"/>
  <c r="V6024" i="1"/>
  <c r="D6024" i="1"/>
  <c r="X6024" i="1" s="1"/>
  <c r="V6028" i="1"/>
  <c r="D6028" i="1"/>
  <c r="X6028" i="1" s="1"/>
  <c r="V6032" i="1"/>
  <c r="D6032" i="1"/>
  <c r="X6032" i="1" s="1"/>
  <c r="V6036" i="1"/>
  <c r="D6036" i="1"/>
  <c r="X6036" i="1" s="1"/>
  <c r="V6040" i="1"/>
  <c r="D6040" i="1"/>
  <c r="X6040" i="1" s="1"/>
  <c r="V6044" i="1"/>
  <c r="D6044" i="1"/>
  <c r="X6044" i="1" s="1"/>
  <c r="V6048" i="1"/>
  <c r="D6048" i="1"/>
  <c r="X6048" i="1" s="1"/>
  <c r="V6052" i="1"/>
  <c r="D6052" i="1"/>
  <c r="X6052" i="1" s="1"/>
  <c r="V6056" i="1"/>
  <c r="D6056" i="1"/>
  <c r="X6056" i="1" s="1"/>
  <c r="V6060" i="1"/>
  <c r="D6060" i="1"/>
  <c r="X6060" i="1" s="1"/>
  <c r="V6064" i="1"/>
  <c r="D6064" i="1"/>
  <c r="X6064" i="1" s="1"/>
  <c r="V6068" i="1"/>
  <c r="D6068" i="1"/>
  <c r="X6068" i="1" s="1"/>
  <c r="V6072" i="1"/>
  <c r="D6072" i="1"/>
  <c r="X6072" i="1" s="1"/>
  <c r="V6076" i="1"/>
  <c r="D6076" i="1"/>
  <c r="X6076" i="1" s="1"/>
  <c r="V6080" i="1"/>
  <c r="D6080" i="1"/>
  <c r="X6080" i="1" s="1"/>
  <c r="V6084" i="1"/>
  <c r="D6084" i="1"/>
  <c r="X6084" i="1" s="1"/>
  <c r="V6088" i="1"/>
  <c r="D6088" i="1"/>
  <c r="X6088" i="1" s="1"/>
  <c r="V6092" i="1"/>
  <c r="D6092" i="1"/>
  <c r="X6092" i="1" s="1"/>
  <c r="V6096" i="1"/>
  <c r="D6096" i="1"/>
  <c r="X6096" i="1" s="1"/>
  <c r="V6100" i="1"/>
  <c r="D6100" i="1"/>
  <c r="X6100" i="1" s="1"/>
  <c r="V6104" i="1"/>
  <c r="D6104" i="1"/>
  <c r="X6104" i="1" s="1"/>
  <c r="V6108" i="1"/>
  <c r="D6108" i="1"/>
  <c r="X6108" i="1" s="1"/>
  <c r="V6112" i="1"/>
  <c r="D6112" i="1"/>
  <c r="X6112" i="1" s="1"/>
  <c r="V6116" i="1"/>
  <c r="D6116" i="1"/>
  <c r="X6116" i="1" s="1"/>
  <c r="V6120" i="1"/>
  <c r="D6120" i="1"/>
  <c r="X6120" i="1" s="1"/>
  <c r="V6124" i="1"/>
  <c r="D6124" i="1"/>
  <c r="X6124" i="1" s="1"/>
  <c r="V6128" i="1"/>
  <c r="D6128" i="1"/>
  <c r="X6128" i="1" s="1"/>
  <c r="V6132" i="1"/>
  <c r="D6132" i="1"/>
  <c r="X6132" i="1" s="1"/>
  <c r="V6136" i="1"/>
  <c r="D6136" i="1"/>
  <c r="X6136" i="1" s="1"/>
  <c r="V6140" i="1"/>
  <c r="D6140" i="1"/>
  <c r="X6140" i="1" s="1"/>
  <c r="V6144" i="1"/>
  <c r="D6144" i="1"/>
  <c r="X6144" i="1" s="1"/>
  <c r="V6148" i="1"/>
  <c r="D6148" i="1"/>
  <c r="X6148" i="1" s="1"/>
  <c r="V6152" i="1"/>
  <c r="D6152" i="1"/>
  <c r="X6152" i="1" s="1"/>
  <c r="V6156" i="1"/>
  <c r="D6156" i="1"/>
  <c r="X6156" i="1" s="1"/>
  <c r="V6160" i="1"/>
  <c r="D6160" i="1"/>
  <c r="X6160" i="1" s="1"/>
  <c r="V6164" i="1"/>
  <c r="D6164" i="1"/>
  <c r="X6164" i="1" s="1"/>
  <c r="V6168" i="1"/>
  <c r="D6168" i="1"/>
  <c r="X6168" i="1" s="1"/>
  <c r="V6175" i="1"/>
  <c r="D6175" i="1"/>
  <c r="X6175" i="1" s="1"/>
  <c r="V6182" i="1"/>
  <c r="D6182" i="1"/>
  <c r="X6182" i="1" s="1"/>
  <c r="V6186" i="1"/>
  <c r="D6186" i="1"/>
  <c r="X6186" i="1" s="1"/>
  <c r="V6189" i="1"/>
  <c r="D6189" i="1"/>
  <c r="X6189" i="1" s="1"/>
  <c r="V6193" i="1"/>
  <c r="D6193" i="1"/>
  <c r="X6193" i="1" s="1"/>
  <c r="V6196" i="1"/>
  <c r="D6196" i="1"/>
  <c r="X6196" i="1" s="1"/>
  <c r="V6200" i="1"/>
  <c r="D6200" i="1"/>
  <c r="X6200" i="1" s="1"/>
  <c r="V6207" i="1"/>
  <c r="D6207" i="1"/>
  <c r="X6207" i="1" s="1"/>
  <c r="V6214" i="1"/>
  <c r="D6214" i="1"/>
  <c r="X6214" i="1" s="1"/>
  <c r="V6218" i="1"/>
  <c r="D6218" i="1"/>
  <c r="X6218" i="1" s="1"/>
  <c r="V6221" i="1"/>
  <c r="D6221" i="1"/>
  <c r="X6221" i="1" s="1"/>
  <c r="V6225" i="1"/>
  <c r="D6225" i="1"/>
  <c r="X6225" i="1" s="1"/>
  <c r="V6228" i="1"/>
  <c r="D6228" i="1"/>
  <c r="X6228" i="1" s="1"/>
  <c r="V6232" i="1"/>
  <c r="D6232" i="1"/>
  <c r="X6232" i="1" s="1"/>
  <c r="V6239" i="1"/>
  <c r="D6239" i="1"/>
  <c r="X6239" i="1" s="1"/>
  <c r="V6246" i="1"/>
  <c r="D6246" i="1"/>
  <c r="X6246" i="1" s="1"/>
  <c r="V6250" i="1"/>
  <c r="D6250" i="1"/>
  <c r="X6250" i="1" s="1"/>
  <c r="V6253" i="1"/>
  <c r="D6253" i="1"/>
  <c r="X6253" i="1" s="1"/>
  <c r="V6257" i="1"/>
  <c r="D6257" i="1"/>
  <c r="X6257" i="1" s="1"/>
  <c r="V6260" i="1"/>
  <c r="D6260" i="1"/>
  <c r="X6260" i="1" s="1"/>
  <c r="V6264" i="1"/>
  <c r="D6264" i="1"/>
  <c r="X6264" i="1" s="1"/>
  <c r="V6271" i="1"/>
  <c r="D6271" i="1"/>
  <c r="X6271" i="1" s="1"/>
  <c r="V6278" i="1"/>
  <c r="D6278" i="1"/>
  <c r="X6278" i="1" s="1"/>
  <c r="V6282" i="1"/>
  <c r="D6282" i="1"/>
  <c r="X6282" i="1" s="1"/>
  <c r="V6285" i="1"/>
  <c r="D6285" i="1"/>
  <c r="X6285" i="1" s="1"/>
  <c r="V6289" i="1"/>
  <c r="D6289" i="1"/>
  <c r="X6289" i="1" s="1"/>
  <c r="V6292" i="1"/>
  <c r="D6292" i="1"/>
  <c r="X6292" i="1" s="1"/>
  <c r="V6296" i="1"/>
  <c r="D6296" i="1"/>
  <c r="X6296" i="1" s="1"/>
  <c r="V6303" i="1"/>
  <c r="D6303" i="1"/>
  <c r="X6303" i="1" s="1"/>
  <c r="V6310" i="1"/>
  <c r="D6310" i="1"/>
  <c r="X6310" i="1" s="1"/>
  <c r="V6314" i="1"/>
  <c r="D6314" i="1"/>
  <c r="X6314" i="1" s="1"/>
  <c r="V6317" i="1"/>
  <c r="D6317" i="1"/>
  <c r="X6317" i="1" s="1"/>
  <c r="V6321" i="1"/>
  <c r="D6321" i="1"/>
  <c r="X6321" i="1" s="1"/>
  <c r="V6324" i="1"/>
  <c r="D6324" i="1"/>
  <c r="X6324" i="1" s="1"/>
  <c r="V6328" i="1"/>
  <c r="D6328" i="1"/>
  <c r="X6328" i="1" s="1"/>
  <c r="V6335" i="1"/>
  <c r="D6335" i="1"/>
  <c r="X6335" i="1" s="1"/>
  <c r="V6342" i="1"/>
  <c r="D6342" i="1"/>
  <c r="X6342" i="1" s="1"/>
  <c r="V6346" i="1"/>
  <c r="D6346" i="1"/>
  <c r="X6346" i="1" s="1"/>
  <c r="V6349" i="1"/>
  <c r="D6349" i="1"/>
  <c r="X6349" i="1" s="1"/>
  <c r="V6353" i="1"/>
  <c r="D6353" i="1"/>
  <c r="X6353" i="1" s="1"/>
  <c r="V6356" i="1"/>
  <c r="D6356" i="1"/>
  <c r="X6356" i="1" s="1"/>
  <c r="V6360" i="1"/>
  <c r="D6360" i="1"/>
  <c r="X6360" i="1" s="1"/>
  <c r="V6367" i="1"/>
  <c r="D6367" i="1"/>
  <c r="X6367" i="1" s="1"/>
  <c r="V6374" i="1"/>
  <c r="D6374" i="1"/>
  <c r="X6374" i="1" s="1"/>
  <c r="V6378" i="1"/>
  <c r="D6378" i="1"/>
  <c r="X6378" i="1" s="1"/>
  <c r="V6381" i="1"/>
  <c r="D6381" i="1"/>
  <c r="X6381" i="1" s="1"/>
  <c r="V6385" i="1"/>
  <c r="D6385" i="1"/>
  <c r="X6385" i="1" s="1"/>
  <c r="V6388" i="1"/>
  <c r="D6388" i="1"/>
  <c r="X6388" i="1" s="1"/>
  <c r="V6392" i="1"/>
  <c r="D6392" i="1"/>
  <c r="X6392" i="1" s="1"/>
  <c r="V6399" i="1"/>
  <c r="D6399" i="1"/>
  <c r="X6399" i="1" s="1"/>
  <c r="V6406" i="1"/>
  <c r="D6406" i="1"/>
  <c r="X6406" i="1" s="1"/>
  <c r="V6410" i="1"/>
  <c r="D6410" i="1"/>
  <c r="X6410" i="1" s="1"/>
  <c r="V6413" i="1"/>
  <c r="D6413" i="1"/>
  <c r="X6413" i="1" s="1"/>
  <c r="V6417" i="1"/>
  <c r="D6417" i="1"/>
  <c r="X6417" i="1" s="1"/>
  <c r="V6420" i="1"/>
  <c r="D6420" i="1"/>
  <c r="X6420" i="1" s="1"/>
  <c r="V6424" i="1"/>
  <c r="D6424" i="1"/>
  <c r="X6424" i="1" s="1"/>
  <c r="V6431" i="1"/>
  <c r="D6431" i="1"/>
  <c r="X6431" i="1" s="1"/>
  <c r="V6438" i="1"/>
  <c r="D6438" i="1"/>
  <c r="X6438" i="1" s="1"/>
  <c r="V6442" i="1"/>
  <c r="D6442" i="1"/>
  <c r="X6442" i="1" s="1"/>
  <c r="V6445" i="1"/>
  <c r="D6445" i="1"/>
  <c r="X6445" i="1" s="1"/>
  <c r="V6449" i="1"/>
  <c r="D6449" i="1"/>
  <c r="X6449" i="1" s="1"/>
  <c r="V6452" i="1"/>
  <c r="D6452" i="1"/>
  <c r="X6452" i="1" s="1"/>
  <c r="V6456" i="1"/>
  <c r="D6456" i="1"/>
  <c r="X6456" i="1" s="1"/>
  <c r="V6460" i="1"/>
  <c r="D6460" i="1"/>
  <c r="X6460" i="1" s="1"/>
  <c r="V6464" i="1"/>
  <c r="D6464" i="1"/>
  <c r="X6464" i="1" s="1"/>
  <c r="V6468" i="1"/>
  <c r="D6468" i="1"/>
  <c r="X6468" i="1" s="1"/>
  <c r="V6472" i="1"/>
  <c r="D6472" i="1"/>
  <c r="X6472" i="1" s="1"/>
  <c r="V6476" i="1"/>
  <c r="D6476" i="1"/>
  <c r="X6476" i="1" s="1"/>
  <c r="V6480" i="1"/>
  <c r="D6480" i="1"/>
  <c r="X6480" i="1" s="1"/>
  <c r="V6484" i="1"/>
  <c r="D6484" i="1"/>
  <c r="X6484" i="1" s="1"/>
  <c r="V6488" i="1"/>
  <c r="D6488" i="1"/>
  <c r="X6488" i="1" s="1"/>
  <c r="V6492" i="1"/>
  <c r="D6492" i="1"/>
  <c r="X6492" i="1" s="1"/>
  <c r="V6496" i="1"/>
  <c r="D6496" i="1"/>
  <c r="X6496" i="1" s="1"/>
  <c r="V6500" i="1"/>
  <c r="D6500" i="1"/>
  <c r="X6500" i="1" s="1"/>
  <c r="V6504" i="1"/>
  <c r="D6504" i="1"/>
  <c r="X6504" i="1" s="1"/>
  <c r="V6508" i="1"/>
  <c r="D6508" i="1"/>
  <c r="X6508" i="1" s="1"/>
  <c r="V6512" i="1"/>
  <c r="D6512" i="1"/>
  <c r="X6512" i="1" s="1"/>
  <c r="V6516" i="1"/>
  <c r="D6516" i="1"/>
  <c r="X6516" i="1" s="1"/>
  <c r="V6520" i="1"/>
  <c r="D6520" i="1"/>
  <c r="X6520" i="1" s="1"/>
  <c r="V6524" i="1"/>
  <c r="D6524" i="1"/>
  <c r="X6524" i="1" s="1"/>
  <c r="V6528" i="1"/>
  <c r="D6528" i="1"/>
  <c r="X6528" i="1" s="1"/>
  <c r="V6532" i="1"/>
  <c r="D6532" i="1"/>
  <c r="X6532" i="1" s="1"/>
  <c r="V6536" i="1"/>
  <c r="D6536" i="1"/>
  <c r="X6536" i="1" s="1"/>
  <c r="V6540" i="1"/>
  <c r="D6540" i="1"/>
  <c r="X6540" i="1" s="1"/>
  <c r="V6544" i="1"/>
  <c r="D6544" i="1"/>
  <c r="X6544" i="1" s="1"/>
  <c r="V6548" i="1"/>
  <c r="D6548" i="1"/>
  <c r="X6548" i="1" s="1"/>
  <c r="V6552" i="1"/>
  <c r="D6552" i="1"/>
  <c r="X6552" i="1" s="1"/>
  <c r="V6556" i="1"/>
  <c r="D6556" i="1"/>
  <c r="X6556" i="1" s="1"/>
  <c r="V6560" i="1"/>
  <c r="D6560" i="1"/>
  <c r="X6560" i="1" s="1"/>
  <c r="V6564" i="1"/>
  <c r="D6564" i="1"/>
  <c r="X6564" i="1" s="1"/>
  <c r="V6568" i="1"/>
  <c r="D6568" i="1"/>
  <c r="X6568" i="1" s="1"/>
  <c r="V6572" i="1"/>
  <c r="D6572" i="1"/>
  <c r="X6572" i="1" s="1"/>
  <c r="V6576" i="1"/>
  <c r="D6576" i="1"/>
  <c r="X6576" i="1" s="1"/>
  <c r="V6580" i="1"/>
  <c r="D6580" i="1"/>
  <c r="X6580" i="1" s="1"/>
  <c r="V6584" i="1"/>
  <c r="D6584" i="1"/>
  <c r="X6584" i="1" s="1"/>
  <c r="V6588" i="1"/>
  <c r="D6588" i="1"/>
  <c r="X6588" i="1" s="1"/>
  <c r="V6592" i="1"/>
  <c r="D6592" i="1"/>
  <c r="X6592" i="1" s="1"/>
  <c r="V6596" i="1"/>
  <c r="D6596" i="1"/>
  <c r="X6596" i="1" s="1"/>
  <c r="V6600" i="1"/>
  <c r="D6600" i="1"/>
  <c r="X6600" i="1" s="1"/>
  <c r="V6604" i="1"/>
  <c r="D6604" i="1"/>
  <c r="X6604" i="1" s="1"/>
  <c r="V6608" i="1"/>
  <c r="D6608" i="1"/>
  <c r="X6608" i="1" s="1"/>
  <c r="V6612" i="1"/>
  <c r="D6612" i="1"/>
  <c r="X6612" i="1" s="1"/>
  <c r="V6616" i="1"/>
  <c r="D6616" i="1"/>
  <c r="X6616" i="1" s="1"/>
  <c r="V6620" i="1"/>
  <c r="D6620" i="1"/>
  <c r="X6620" i="1" s="1"/>
  <c r="V6624" i="1"/>
  <c r="D6624" i="1"/>
  <c r="X6624" i="1" s="1"/>
  <c r="V6628" i="1"/>
  <c r="D6628" i="1"/>
  <c r="X6628" i="1" s="1"/>
  <c r="V6632" i="1"/>
  <c r="D6632" i="1"/>
  <c r="X6632" i="1" s="1"/>
  <c r="V6636" i="1"/>
  <c r="D6636" i="1"/>
  <c r="X6636" i="1" s="1"/>
  <c r="V6640" i="1"/>
  <c r="D6640" i="1"/>
  <c r="X6640" i="1" s="1"/>
  <c r="V6644" i="1"/>
  <c r="D6644" i="1"/>
  <c r="X6644" i="1" s="1"/>
  <c r="V6648" i="1"/>
  <c r="D6648" i="1"/>
  <c r="X6648" i="1" s="1"/>
  <c r="V6652" i="1"/>
  <c r="D6652" i="1"/>
  <c r="X6652" i="1" s="1"/>
  <c r="V6656" i="1"/>
  <c r="D6656" i="1"/>
  <c r="X6656" i="1" s="1"/>
  <c r="V6660" i="1"/>
  <c r="D6660" i="1"/>
  <c r="X6660" i="1" s="1"/>
  <c r="V6664" i="1"/>
  <c r="D6664" i="1"/>
  <c r="X6664" i="1" s="1"/>
  <c r="V6668" i="1"/>
  <c r="D6668" i="1"/>
  <c r="X6668" i="1" s="1"/>
  <c r="V6672" i="1"/>
  <c r="D6672" i="1"/>
  <c r="X6672" i="1" s="1"/>
  <c r="V6676" i="1"/>
  <c r="D6676" i="1"/>
  <c r="X6676" i="1" s="1"/>
  <c r="V6680" i="1"/>
  <c r="D6680" i="1"/>
  <c r="X6680" i="1" s="1"/>
  <c r="V6684" i="1"/>
  <c r="D6684" i="1"/>
  <c r="X6684" i="1" s="1"/>
  <c r="V6688" i="1"/>
  <c r="D6688" i="1"/>
  <c r="X6688" i="1" s="1"/>
  <c r="V6692" i="1"/>
  <c r="D6692" i="1"/>
  <c r="X6692" i="1" s="1"/>
  <c r="V6696" i="1"/>
  <c r="D6696" i="1"/>
  <c r="X6696" i="1" s="1"/>
  <c r="V6700" i="1"/>
  <c r="D6700" i="1"/>
  <c r="X6700" i="1" s="1"/>
  <c r="V6704" i="1"/>
  <c r="D6704" i="1"/>
  <c r="X6704" i="1" s="1"/>
  <c r="V6708" i="1"/>
  <c r="D6708" i="1"/>
  <c r="X6708" i="1" s="1"/>
  <c r="V6712" i="1"/>
  <c r="D6712" i="1"/>
  <c r="X6712" i="1" s="1"/>
  <c r="V6716" i="1"/>
  <c r="D6716" i="1"/>
  <c r="X6716" i="1" s="1"/>
  <c r="V6720" i="1"/>
  <c r="D6720" i="1"/>
  <c r="X6720" i="1" s="1"/>
  <c r="V6724" i="1"/>
  <c r="D6724" i="1"/>
  <c r="X6724" i="1" s="1"/>
  <c r="V6728" i="1"/>
  <c r="D6728" i="1"/>
  <c r="X6728" i="1" s="1"/>
  <c r="V6732" i="1"/>
  <c r="D6732" i="1"/>
  <c r="X6732" i="1" s="1"/>
  <c r="V6736" i="1"/>
  <c r="D6736" i="1"/>
  <c r="X6736" i="1" s="1"/>
  <c r="V6740" i="1"/>
  <c r="D6740" i="1"/>
  <c r="X6740" i="1" s="1"/>
  <c r="V6744" i="1"/>
  <c r="D6744" i="1"/>
  <c r="X6744" i="1" s="1"/>
  <c r="V6748" i="1"/>
  <c r="D6748" i="1"/>
  <c r="X6748" i="1" s="1"/>
  <c r="V6752" i="1"/>
  <c r="D6752" i="1"/>
  <c r="X6752" i="1" s="1"/>
  <c r="V6756" i="1"/>
  <c r="D6756" i="1"/>
  <c r="X6756" i="1" s="1"/>
  <c r="V6760" i="1"/>
  <c r="D6760" i="1"/>
  <c r="X6760" i="1" s="1"/>
  <c r="V6764" i="1"/>
  <c r="D6764" i="1"/>
  <c r="X6764" i="1" s="1"/>
  <c r="V6768" i="1"/>
  <c r="D6768" i="1"/>
  <c r="X6768" i="1" s="1"/>
  <c r="V6772" i="1"/>
  <c r="D6772" i="1"/>
  <c r="X6772" i="1" s="1"/>
  <c r="V6776" i="1"/>
  <c r="D6776" i="1"/>
  <c r="X6776" i="1" s="1"/>
  <c r="V6780" i="1"/>
  <c r="D6780" i="1"/>
  <c r="X6780" i="1" s="1"/>
  <c r="V6784" i="1"/>
  <c r="D6784" i="1"/>
  <c r="X6784" i="1" s="1"/>
  <c r="V6788" i="1"/>
  <c r="D6788" i="1"/>
  <c r="X6788" i="1" s="1"/>
  <c r="V6791" i="1"/>
  <c r="D6791" i="1"/>
  <c r="X6791" i="1" s="1"/>
  <c r="V6795" i="1"/>
  <c r="D6795" i="1"/>
  <c r="X6795" i="1" s="1"/>
  <c r="V6802" i="1"/>
  <c r="D6802" i="1"/>
  <c r="X6802" i="1" s="1"/>
  <c r="V6809" i="1"/>
  <c r="D6809" i="1"/>
  <c r="X6809" i="1" s="1"/>
  <c r="V6813" i="1"/>
  <c r="D6813" i="1"/>
  <c r="X6813" i="1" s="1"/>
  <c r="V6821" i="1"/>
  <c r="D6821" i="1"/>
  <c r="X6821" i="1" s="1"/>
  <c r="V6829" i="1"/>
  <c r="D6829" i="1"/>
  <c r="X6829" i="1" s="1"/>
  <c r="V6837" i="1"/>
  <c r="D6837" i="1"/>
  <c r="X6837" i="1" s="1"/>
  <c r="V6845" i="1"/>
  <c r="D6845" i="1"/>
  <c r="X6845" i="1" s="1"/>
  <c r="V6853" i="1"/>
  <c r="D6853" i="1"/>
  <c r="X6853" i="1" s="1"/>
  <c r="V6861" i="1"/>
  <c r="D6861" i="1"/>
  <c r="X6861" i="1" s="1"/>
  <c r="V6869" i="1"/>
  <c r="D6869" i="1"/>
  <c r="X6869" i="1" s="1"/>
  <c r="V6877" i="1"/>
  <c r="D6877" i="1"/>
  <c r="X6877" i="1" s="1"/>
  <c r="V6885" i="1"/>
  <c r="D6885" i="1"/>
  <c r="X6885" i="1" s="1"/>
  <c r="V6893" i="1"/>
  <c r="D6893" i="1"/>
  <c r="X6893" i="1" s="1"/>
  <c r="V6897" i="1"/>
  <c r="D6897" i="1"/>
  <c r="X6897" i="1" s="1"/>
  <c r="V6903" i="1"/>
  <c r="D6903" i="1"/>
  <c r="X6903" i="1" s="1"/>
  <c r="V6907" i="1"/>
  <c r="D6907" i="1"/>
  <c r="X6907" i="1" s="1"/>
  <c r="V6910" i="1"/>
  <c r="D6910" i="1"/>
  <c r="X6910" i="1" s="1"/>
  <c r="V6920" i="1"/>
  <c r="D6920" i="1"/>
  <c r="X6920" i="1" s="1"/>
  <c r="V6927" i="1"/>
  <c r="D6927" i="1"/>
  <c r="X6927" i="1" s="1"/>
  <c r="V6933" i="1"/>
  <c r="D6933" i="1"/>
  <c r="X6933" i="1" s="1"/>
  <c r="V6937" i="1"/>
  <c r="D6937" i="1"/>
  <c r="X6937" i="1" s="1"/>
  <c r="V6944" i="1"/>
  <c r="D6944" i="1"/>
  <c r="X6944" i="1" s="1"/>
  <c r="V6947" i="1"/>
  <c r="D6947" i="1"/>
  <c r="X6947" i="1" s="1"/>
  <c r="V6950" i="1"/>
  <c r="D6950" i="1"/>
  <c r="X6950" i="1" s="1"/>
  <c r="V6954" i="1"/>
  <c r="D6954" i="1"/>
  <c r="X6954" i="1" s="1"/>
  <c r="V6957" i="1"/>
  <c r="D6957" i="1"/>
  <c r="X6957" i="1" s="1"/>
  <c r="V6961" i="1"/>
  <c r="D6961" i="1"/>
  <c r="X6961" i="1" s="1"/>
  <c r="V6967" i="1"/>
  <c r="D6967" i="1"/>
  <c r="X6967" i="1" s="1"/>
  <c r="V6971" i="1"/>
  <c r="D6971" i="1"/>
  <c r="X6971" i="1" s="1"/>
  <c r="V6974" i="1"/>
  <c r="D6974" i="1"/>
  <c r="X6974" i="1" s="1"/>
  <c r="V6984" i="1"/>
  <c r="D6984" i="1"/>
  <c r="X6984" i="1" s="1"/>
  <c r="V6991" i="1"/>
  <c r="D6991" i="1"/>
  <c r="X6991" i="1" s="1"/>
  <c r="V6997" i="1"/>
  <c r="D6997" i="1"/>
  <c r="X6997" i="1" s="1"/>
  <c r="V7001" i="1"/>
  <c r="D7001" i="1"/>
  <c r="X7001" i="1" s="1"/>
  <c r="V7008" i="1"/>
  <c r="D7008" i="1"/>
  <c r="X7008" i="1" s="1"/>
  <c r="V7011" i="1"/>
  <c r="D7011" i="1"/>
  <c r="X7011" i="1" s="1"/>
  <c r="V7014" i="1"/>
  <c r="D7014" i="1"/>
  <c r="X7014" i="1" s="1"/>
  <c r="V7018" i="1"/>
  <c r="D7018" i="1"/>
  <c r="X7018" i="1" s="1"/>
  <c r="V7021" i="1"/>
  <c r="D7021" i="1"/>
  <c r="X7021" i="1" s="1"/>
  <c r="V7025" i="1"/>
  <c r="D7025" i="1"/>
  <c r="X7025" i="1" s="1"/>
  <c r="V7032" i="1"/>
  <c r="D7032" i="1"/>
  <c r="X7032" i="1" s="1"/>
  <c r="V7039" i="1"/>
  <c r="D7039" i="1"/>
  <c r="X7039" i="1" s="1"/>
  <c r="V7043" i="1"/>
  <c r="D7043" i="1"/>
  <c r="X7043" i="1" s="1"/>
  <c r="V7046" i="1"/>
  <c r="D7046" i="1"/>
  <c r="X7046" i="1" s="1"/>
  <c r="V7050" i="1"/>
  <c r="D7050" i="1"/>
  <c r="X7050" i="1" s="1"/>
  <c r="V7053" i="1"/>
  <c r="D7053" i="1"/>
  <c r="X7053" i="1" s="1"/>
  <c r="V7057" i="1"/>
  <c r="D7057" i="1"/>
  <c r="X7057" i="1" s="1"/>
  <c r="V7064" i="1"/>
  <c r="D7064" i="1"/>
  <c r="X7064" i="1" s="1"/>
  <c r="V7071" i="1"/>
  <c r="D7071" i="1"/>
  <c r="X7071" i="1" s="1"/>
  <c r="V7075" i="1"/>
  <c r="D7075" i="1"/>
  <c r="X7075" i="1" s="1"/>
  <c r="V7078" i="1"/>
  <c r="D7078" i="1"/>
  <c r="X7078" i="1" s="1"/>
  <c r="V7082" i="1"/>
  <c r="D7082" i="1"/>
  <c r="X7082" i="1" s="1"/>
  <c r="V7085" i="1"/>
  <c r="D7085" i="1"/>
  <c r="X7085" i="1" s="1"/>
  <c r="V7089" i="1"/>
  <c r="D7089" i="1"/>
  <c r="X7089" i="1" s="1"/>
  <c r="V7096" i="1"/>
  <c r="D7096" i="1"/>
  <c r="X7096" i="1" s="1"/>
  <c r="V7103" i="1"/>
  <c r="D7103" i="1"/>
  <c r="X7103" i="1" s="1"/>
  <c r="V7107" i="1"/>
  <c r="D7107" i="1"/>
  <c r="X7107" i="1" s="1"/>
  <c r="V7110" i="1"/>
  <c r="D7110" i="1"/>
  <c r="X7110" i="1" s="1"/>
  <c r="V7114" i="1"/>
  <c r="D7114" i="1"/>
  <c r="X7114" i="1" s="1"/>
  <c r="V7117" i="1"/>
  <c r="D7117" i="1"/>
  <c r="X7117" i="1" s="1"/>
  <c r="V7121" i="1"/>
  <c r="D7121" i="1"/>
  <c r="X7121" i="1" s="1"/>
  <c r="V7128" i="1"/>
  <c r="D7128" i="1"/>
  <c r="X7128" i="1" s="1"/>
  <c r="V7135" i="1"/>
  <c r="D7135" i="1"/>
  <c r="X7135" i="1" s="1"/>
  <c r="V7139" i="1"/>
  <c r="D7139" i="1"/>
  <c r="X7139" i="1" s="1"/>
  <c r="V7147" i="1"/>
  <c r="D7147" i="1"/>
  <c r="X7147" i="1" s="1"/>
  <c r="V7155" i="1"/>
  <c r="D7155" i="1"/>
  <c r="X7155" i="1" s="1"/>
  <c r="V7163" i="1"/>
  <c r="D7163" i="1"/>
  <c r="X7163" i="1" s="1"/>
  <c r="V7171" i="1"/>
  <c r="D7171" i="1"/>
  <c r="X7171" i="1" s="1"/>
  <c r="V7179" i="1"/>
  <c r="D7179" i="1"/>
  <c r="X7179" i="1" s="1"/>
  <c r="V7187" i="1"/>
  <c r="D7187" i="1"/>
  <c r="X7187" i="1" s="1"/>
  <c r="V7195" i="1"/>
  <c r="D7195" i="1"/>
  <c r="X7195" i="1" s="1"/>
  <c r="V7203" i="1"/>
  <c r="D7203" i="1"/>
  <c r="X7203" i="1" s="1"/>
  <c r="V7211" i="1"/>
  <c r="D7211" i="1"/>
  <c r="X7211" i="1" s="1"/>
  <c r="V7219" i="1"/>
  <c r="D7219" i="1"/>
  <c r="X7219" i="1" s="1"/>
  <c r="V7227" i="1"/>
  <c r="D7227" i="1"/>
  <c r="X7227" i="1" s="1"/>
  <c r="V7235" i="1"/>
  <c r="D7235" i="1"/>
  <c r="X7235" i="1" s="1"/>
  <c r="V7243" i="1"/>
  <c r="D7243" i="1"/>
  <c r="X7243" i="1" s="1"/>
  <c r="V7251" i="1"/>
  <c r="D7251" i="1"/>
  <c r="X7251" i="1" s="1"/>
  <c r="V7259" i="1"/>
  <c r="D7259" i="1"/>
  <c r="X7259" i="1" s="1"/>
  <c r="V7267" i="1"/>
  <c r="D7267" i="1"/>
  <c r="X7267" i="1" s="1"/>
  <c r="V7275" i="1"/>
  <c r="D7275" i="1"/>
  <c r="X7275" i="1" s="1"/>
  <c r="V7283" i="1"/>
  <c r="D7283" i="1"/>
  <c r="X7283" i="1" s="1"/>
  <c r="V7291" i="1"/>
  <c r="D7291" i="1"/>
  <c r="X7291" i="1" s="1"/>
  <c r="V7299" i="1"/>
  <c r="D7299" i="1"/>
  <c r="X7299" i="1" s="1"/>
  <c r="V7307" i="1"/>
  <c r="D7307" i="1"/>
  <c r="X7307" i="1" s="1"/>
  <c r="V7315" i="1"/>
  <c r="D7315" i="1"/>
  <c r="X7315" i="1" s="1"/>
  <c r="V7323" i="1"/>
  <c r="D7323" i="1"/>
  <c r="X7323" i="1" s="1"/>
  <c r="V7331" i="1"/>
  <c r="D7331" i="1"/>
  <c r="X7331" i="1" s="1"/>
  <c r="V7339" i="1"/>
  <c r="D7339" i="1"/>
  <c r="X7339" i="1" s="1"/>
  <c r="V7347" i="1"/>
  <c r="D7347" i="1"/>
  <c r="X7347" i="1" s="1"/>
  <c r="V7355" i="1"/>
  <c r="D7355" i="1"/>
  <c r="X7355" i="1" s="1"/>
  <c r="V7363" i="1"/>
  <c r="D7363" i="1"/>
  <c r="X7363" i="1" s="1"/>
  <c r="V7371" i="1"/>
  <c r="D7371" i="1"/>
  <c r="X7371" i="1" s="1"/>
  <c r="V7379" i="1"/>
  <c r="D7379" i="1"/>
  <c r="X7379" i="1" s="1"/>
  <c r="V7387" i="1"/>
  <c r="D7387" i="1"/>
  <c r="X7387" i="1" s="1"/>
  <c r="V7395" i="1"/>
  <c r="D7395" i="1"/>
  <c r="X7395" i="1" s="1"/>
  <c r="V7403" i="1"/>
  <c r="D7403" i="1"/>
  <c r="X7403" i="1" s="1"/>
  <c r="V7411" i="1"/>
  <c r="D7411" i="1"/>
  <c r="X7411" i="1" s="1"/>
  <c r="V7419" i="1"/>
  <c r="D7419" i="1"/>
  <c r="X7419" i="1" s="1"/>
  <c r="V7427" i="1"/>
  <c r="D7427" i="1"/>
  <c r="X7427" i="1" s="1"/>
  <c r="V7435" i="1"/>
  <c r="D7435" i="1"/>
  <c r="X7435" i="1" s="1"/>
  <c r="V7440" i="1"/>
  <c r="V7443" i="1"/>
  <c r="D7443" i="1"/>
  <c r="X7443" i="1" s="1"/>
  <c r="V7448" i="1"/>
  <c r="V7451" i="1"/>
  <c r="D7451" i="1"/>
  <c r="X7451" i="1" s="1"/>
  <c r="V7456" i="1"/>
  <c r="V7459" i="1"/>
  <c r="D7459" i="1"/>
  <c r="X7459" i="1" s="1"/>
  <c r="V7464" i="1"/>
  <c r="V7467" i="1"/>
  <c r="D7467" i="1"/>
  <c r="X7467" i="1" s="1"/>
  <c r="V7472" i="1"/>
  <c r="V7475" i="1"/>
  <c r="D7475" i="1"/>
  <c r="X7475" i="1" s="1"/>
  <c r="V7480" i="1"/>
  <c r="V7483" i="1"/>
  <c r="D7483" i="1"/>
  <c r="X7483" i="1" s="1"/>
  <c r="V7488" i="1"/>
  <c r="V7491" i="1"/>
  <c r="D7491" i="1"/>
  <c r="X7491" i="1" s="1"/>
  <c r="V7496" i="1"/>
  <c r="V7500" i="1"/>
  <c r="D7500" i="1"/>
  <c r="X7500" i="1" s="1"/>
  <c r="V7503" i="1"/>
  <c r="D7503" i="1"/>
  <c r="X7503" i="1" s="1"/>
  <c r="V7506" i="1"/>
  <c r="D7506" i="1"/>
  <c r="X7506" i="1" s="1"/>
  <c r="V7512" i="1"/>
  <c r="V7516" i="1"/>
  <c r="D7516" i="1"/>
  <c r="X7516" i="1" s="1"/>
  <c r="V7519" i="1"/>
  <c r="D7519" i="1"/>
  <c r="X7519" i="1" s="1"/>
  <c r="V7522" i="1"/>
  <c r="D7522" i="1"/>
  <c r="X7522" i="1" s="1"/>
  <c r="V7528" i="1"/>
  <c r="V7532" i="1"/>
  <c r="D7532" i="1"/>
  <c r="X7532" i="1" s="1"/>
  <c r="V7535" i="1"/>
  <c r="D7535" i="1"/>
  <c r="X7535" i="1" s="1"/>
  <c r="V7538" i="1"/>
  <c r="D7538" i="1"/>
  <c r="X7538" i="1" s="1"/>
  <c r="V7544" i="1"/>
  <c r="V7548" i="1"/>
  <c r="D7548" i="1"/>
  <c r="X7548" i="1" s="1"/>
  <c r="V7551" i="1"/>
  <c r="D7551" i="1"/>
  <c r="X7551" i="1" s="1"/>
  <c r="V7554" i="1"/>
  <c r="D7554" i="1"/>
  <c r="X7554" i="1" s="1"/>
  <c r="V7560" i="1"/>
  <c r="V7564" i="1"/>
  <c r="D7564" i="1"/>
  <c r="X7564" i="1" s="1"/>
  <c r="V7567" i="1"/>
  <c r="D7567" i="1"/>
  <c r="X7567" i="1" s="1"/>
  <c r="V7570" i="1"/>
  <c r="D7570" i="1"/>
  <c r="X7570" i="1" s="1"/>
  <c r="V7576" i="1"/>
  <c r="V7580" i="1"/>
  <c r="D7580" i="1"/>
  <c r="X7580" i="1" s="1"/>
  <c r="V7583" i="1"/>
  <c r="D7583" i="1"/>
  <c r="X7583" i="1" s="1"/>
  <c r="V7586" i="1"/>
  <c r="D7586" i="1"/>
  <c r="X7586" i="1" s="1"/>
  <c r="V7592" i="1"/>
  <c r="V7596" i="1"/>
  <c r="D7596" i="1"/>
  <c r="X7596" i="1" s="1"/>
  <c r="V7599" i="1"/>
  <c r="D7599" i="1"/>
  <c r="X7599" i="1" s="1"/>
  <c r="V7602" i="1"/>
  <c r="D7602" i="1"/>
  <c r="X7602" i="1" s="1"/>
  <c r="V7608" i="1"/>
  <c r="V7612" i="1"/>
  <c r="D7612" i="1"/>
  <c r="X7612" i="1" s="1"/>
  <c r="V7615" i="1"/>
  <c r="D7615" i="1"/>
  <c r="X7615" i="1" s="1"/>
  <c r="V7624" i="1"/>
  <c r="V7628" i="1"/>
  <c r="D7628" i="1"/>
  <c r="X7628" i="1" s="1"/>
  <c r="V7631" i="1"/>
  <c r="D7631" i="1"/>
  <c r="X7631" i="1" s="1"/>
  <c r="V7640" i="1"/>
  <c r="V7644" i="1"/>
  <c r="D7644" i="1"/>
  <c r="X7644" i="1" s="1"/>
  <c r="V7647" i="1"/>
  <c r="D7647" i="1"/>
  <c r="X7647" i="1" s="1"/>
  <c r="V7656" i="1"/>
  <c r="V7660" i="1"/>
  <c r="D7660" i="1"/>
  <c r="X7660" i="1" s="1"/>
  <c r="V7663" i="1"/>
  <c r="D7663" i="1"/>
  <c r="X7663" i="1" s="1"/>
  <c r="V7672" i="1"/>
  <c r="V7676" i="1"/>
  <c r="D7676" i="1"/>
  <c r="X7676" i="1" s="1"/>
  <c r="V7679" i="1"/>
  <c r="D7679" i="1"/>
  <c r="X7679" i="1" s="1"/>
  <c r="V7688" i="1"/>
  <c r="V7692" i="1"/>
  <c r="D7692" i="1"/>
  <c r="X7692" i="1" s="1"/>
  <c r="V7695" i="1"/>
  <c r="D7695" i="1"/>
  <c r="X7695" i="1" s="1"/>
  <c r="V7704" i="1"/>
  <c r="V7708" i="1"/>
  <c r="D7708" i="1"/>
  <c r="X7708" i="1" s="1"/>
  <c r="V7711" i="1"/>
  <c r="D7711" i="1"/>
  <c r="X7711" i="1" s="1"/>
  <c r="V7720" i="1"/>
  <c r="V7724" i="1"/>
  <c r="D7724" i="1"/>
  <c r="X7724" i="1" s="1"/>
  <c r="V7727" i="1"/>
  <c r="D7727" i="1"/>
  <c r="X7727" i="1" s="1"/>
  <c r="V7736" i="1"/>
  <c r="V7740" i="1"/>
  <c r="D7740" i="1"/>
  <c r="X7740" i="1" s="1"/>
  <c r="V7743" i="1"/>
  <c r="D7743" i="1"/>
  <c r="X7743" i="1" s="1"/>
  <c r="V7752" i="1"/>
  <c r="V7768" i="1"/>
  <c r="V7784" i="1"/>
  <c r="V7801" i="1"/>
  <c r="V7815" i="1"/>
  <c r="V7825" i="1"/>
  <c r="V7849" i="1"/>
  <c r="V7881" i="1"/>
  <c r="V7913" i="1"/>
  <c r="V7945" i="1"/>
  <c r="V7951" i="1"/>
  <c r="V7959" i="1"/>
  <c r="V7967" i="1"/>
  <c r="V7975" i="1"/>
  <c r="V7983" i="1"/>
  <c r="V7991" i="1"/>
  <c r="V7999" i="1"/>
  <c r="V8007" i="1"/>
  <c r="V8015" i="1"/>
  <c r="V8023" i="1"/>
  <c r="V8031" i="1"/>
  <c r="V8039" i="1"/>
  <c r="V8047" i="1"/>
  <c r="V8055" i="1"/>
  <c r="V8063" i="1"/>
  <c r="V8071" i="1"/>
  <c r="V8079" i="1"/>
  <c r="V8087" i="1"/>
  <c r="V8095" i="1"/>
  <c r="V8103" i="1"/>
  <c r="V8106" i="1"/>
  <c r="V8122" i="1"/>
  <c r="V8138" i="1"/>
  <c r="V8154" i="1"/>
  <c r="V8180" i="1"/>
  <c r="V8196" i="1"/>
  <c r="V8212" i="1"/>
  <c r="V8228" i="1"/>
  <c r="V8235" i="1"/>
  <c r="V8251" i="1"/>
  <c r="V8267" i="1"/>
  <c r="V8277" i="1"/>
  <c r="V8309" i="1"/>
  <c r="V8341" i="1"/>
  <c r="V8373" i="1"/>
  <c r="D8400" i="1"/>
  <c r="X8400" i="1" s="1"/>
  <c r="D8396" i="1"/>
  <c r="X8396" i="1" s="1"/>
  <c r="D8392" i="1"/>
  <c r="X8392" i="1" s="1"/>
  <c r="D8388" i="1"/>
  <c r="X8388" i="1" s="1"/>
  <c r="D8384" i="1"/>
  <c r="X8384" i="1" s="1"/>
  <c r="D8380" i="1"/>
  <c r="X8380" i="1" s="1"/>
  <c r="D8376" i="1"/>
  <c r="X8376" i="1" s="1"/>
  <c r="D8372" i="1"/>
  <c r="X8372" i="1" s="1"/>
  <c r="D8368" i="1"/>
  <c r="X8368" i="1" s="1"/>
  <c r="D8364" i="1"/>
  <c r="X8364" i="1" s="1"/>
  <c r="D8360" i="1"/>
  <c r="X8360" i="1" s="1"/>
  <c r="D8356" i="1"/>
  <c r="X8356" i="1" s="1"/>
  <c r="D8352" i="1"/>
  <c r="X8352" i="1" s="1"/>
  <c r="D8348" i="1"/>
  <c r="X8348" i="1" s="1"/>
  <c r="D8344" i="1"/>
  <c r="X8344" i="1" s="1"/>
  <c r="D8340" i="1"/>
  <c r="X8340" i="1" s="1"/>
  <c r="D8336" i="1"/>
  <c r="X8336" i="1" s="1"/>
  <c r="D8332" i="1"/>
  <c r="X8332" i="1" s="1"/>
  <c r="D8328" i="1"/>
  <c r="X8328" i="1" s="1"/>
  <c r="D8324" i="1"/>
  <c r="X8324" i="1" s="1"/>
  <c r="D8320" i="1"/>
  <c r="X8320" i="1" s="1"/>
  <c r="D8316" i="1"/>
  <c r="X8316" i="1" s="1"/>
  <c r="D8312" i="1"/>
  <c r="X8312" i="1" s="1"/>
  <c r="D8308" i="1"/>
  <c r="X8308" i="1" s="1"/>
  <c r="D8304" i="1"/>
  <c r="X8304" i="1" s="1"/>
  <c r="D8300" i="1"/>
  <c r="X8300" i="1" s="1"/>
  <c r="D8296" i="1"/>
  <c r="X8296" i="1" s="1"/>
  <c r="D8292" i="1"/>
  <c r="X8292" i="1" s="1"/>
  <c r="D8288" i="1"/>
  <c r="X8288" i="1" s="1"/>
  <c r="D8284" i="1"/>
  <c r="X8284" i="1" s="1"/>
  <c r="D8280" i="1"/>
  <c r="X8280" i="1" s="1"/>
  <c r="D8276" i="1"/>
  <c r="X8276" i="1" s="1"/>
  <c r="D8272" i="1"/>
  <c r="X8272" i="1" s="1"/>
  <c r="D8268" i="1"/>
  <c r="X8268" i="1" s="1"/>
  <c r="D8264" i="1"/>
  <c r="X8264" i="1" s="1"/>
  <c r="D8260" i="1"/>
  <c r="X8260" i="1" s="1"/>
  <c r="D8256" i="1"/>
  <c r="X8256" i="1" s="1"/>
  <c r="D8252" i="1"/>
  <c r="X8252" i="1" s="1"/>
  <c r="D8248" i="1"/>
  <c r="X8248" i="1" s="1"/>
  <c r="D8244" i="1"/>
  <c r="X8244" i="1" s="1"/>
  <c r="D8240" i="1"/>
  <c r="X8240" i="1" s="1"/>
  <c r="D8236" i="1"/>
  <c r="X8236" i="1" s="1"/>
  <c r="D8232" i="1"/>
  <c r="X8232" i="1" s="1"/>
  <c r="D8224" i="1"/>
  <c r="X8224" i="1" s="1"/>
  <c r="D8216" i="1"/>
  <c r="X8216" i="1" s="1"/>
  <c r="D8208" i="1"/>
  <c r="X8208" i="1" s="1"/>
  <c r="D8200" i="1"/>
  <c r="X8200" i="1" s="1"/>
  <c r="D8192" i="1"/>
  <c r="X8192" i="1" s="1"/>
  <c r="D8184" i="1"/>
  <c r="X8184" i="1" s="1"/>
  <c r="D8176" i="1"/>
  <c r="X8176" i="1" s="1"/>
  <c r="D8168" i="1"/>
  <c r="X8168" i="1" s="1"/>
  <c r="D8164" i="1"/>
  <c r="X8164" i="1" s="1"/>
  <c r="D8160" i="1"/>
  <c r="X8160" i="1" s="1"/>
  <c r="D8152" i="1"/>
  <c r="X8152" i="1" s="1"/>
  <c r="D8148" i="1"/>
  <c r="X8148" i="1" s="1"/>
  <c r="D8144" i="1"/>
  <c r="X8144" i="1" s="1"/>
  <c r="D8136" i="1"/>
  <c r="X8136" i="1" s="1"/>
  <c r="D8132" i="1"/>
  <c r="X8132" i="1" s="1"/>
  <c r="D8128" i="1"/>
  <c r="X8128" i="1" s="1"/>
  <c r="D8120" i="1"/>
  <c r="X8120" i="1" s="1"/>
  <c r="D8112" i="1"/>
  <c r="X8112" i="1" s="1"/>
  <c r="D8104" i="1"/>
  <c r="X8104" i="1" s="1"/>
  <c r="D8100" i="1"/>
  <c r="X8100" i="1" s="1"/>
  <c r="D8096" i="1"/>
  <c r="X8096" i="1" s="1"/>
  <c r="D8092" i="1"/>
  <c r="X8092" i="1" s="1"/>
  <c r="D8088" i="1"/>
  <c r="X8088" i="1" s="1"/>
  <c r="D8084" i="1"/>
  <c r="X8084" i="1" s="1"/>
  <c r="D8080" i="1"/>
  <c r="X8080" i="1" s="1"/>
  <c r="D8076" i="1"/>
  <c r="X8076" i="1" s="1"/>
  <c r="D8072" i="1"/>
  <c r="X8072" i="1" s="1"/>
  <c r="D8068" i="1"/>
  <c r="X8068" i="1" s="1"/>
  <c r="D8064" i="1"/>
  <c r="X8064" i="1" s="1"/>
  <c r="D8060" i="1"/>
  <c r="X8060" i="1" s="1"/>
  <c r="D8056" i="1"/>
  <c r="X8056" i="1" s="1"/>
  <c r="D8052" i="1"/>
  <c r="X8052" i="1" s="1"/>
  <c r="D8048" i="1"/>
  <c r="X8048" i="1" s="1"/>
  <c r="D8044" i="1"/>
  <c r="X8044" i="1" s="1"/>
  <c r="D8040" i="1"/>
  <c r="X8040" i="1" s="1"/>
  <c r="D8036" i="1"/>
  <c r="X8036" i="1" s="1"/>
  <c r="D8032" i="1"/>
  <c r="X8032" i="1" s="1"/>
  <c r="D8028" i="1"/>
  <c r="X8028" i="1" s="1"/>
  <c r="D8024" i="1"/>
  <c r="X8024" i="1" s="1"/>
  <c r="D8020" i="1"/>
  <c r="X8020" i="1" s="1"/>
  <c r="D8016" i="1"/>
  <c r="X8016" i="1" s="1"/>
  <c r="D8012" i="1"/>
  <c r="X8012" i="1" s="1"/>
  <c r="D8008" i="1"/>
  <c r="X8008" i="1" s="1"/>
  <c r="D8004" i="1"/>
  <c r="X8004" i="1" s="1"/>
  <c r="D8000" i="1"/>
  <c r="X8000" i="1" s="1"/>
  <c r="D7996" i="1"/>
  <c r="X7996" i="1" s="1"/>
  <c r="D7992" i="1"/>
  <c r="X7992" i="1" s="1"/>
  <c r="D7988" i="1"/>
  <c r="X7988" i="1" s="1"/>
  <c r="D7984" i="1"/>
  <c r="X7984" i="1" s="1"/>
  <c r="D7980" i="1"/>
  <c r="X7980" i="1" s="1"/>
  <c r="D7976" i="1"/>
  <c r="X7976" i="1" s="1"/>
  <c r="D7972" i="1"/>
  <c r="X7972" i="1" s="1"/>
  <c r="D7968" i="1"/>
  <c r="X7968" i="1" s="1"/>
  <c r="D7964" i="1"/>
  <c r="X7964" i="1" s="1"/>
  <c r="D7960" i="1"/>
  <c r="X7960" i="1" s="1"/>
  <c r="D7956" i="1"/>
  <c r="X7956" i="1" s="1"/>
  <c r="D7952" i="1"/>
  <c r="X7952" i="1" s="1"/>
  <c r="D7948" i="1"/>
  <c r="X7948" i="1" s="1"/>
  <c r="D7944" i="1"/>
  <c r="X7944" i="1" s="1"/>
  <c r="D7940" i="1"/>
  <c r="X7940" i="1" s="1"/>
  <c r="D7936" i="1"/>
  <c r="X7936" i="1" s="1"/>
  <c r="D7932" i="1"/>
  <c r="X7932" i="1" s="1"/>
  <c r="D7928" i="1"/>
  <c r="X7928" i="1" s="1"/>
  <c r="D7924" i="1"/>
  <c r="X7924" i="1" s="1"/>
  <c r="D7920" i="1"/>
  <c r="X7920" i="1" s="1"/>
  <c r="D7916" i="1"/>
  <c r="X7916" i="1" s="1"/>
  <c r="D7912" i="1"/>
  <c r="X7912" i="1" s="1"/>
  <c r="D7908" i="1"/>
  <c r="X7908" i="1" s="1"/>
  <c r="D7904" i="1"/>
  <c r="X7904" i="1" s="1"/>
  <c r="D7900" i="1"/>
  <c r="X7900" i="1" s="1"/>
  <c r="D7896" i="1"/>
  <c r="X7896" i="1" s="1"/>
  <c r="D7892" i="1"/>
  <c r="X7892" i="1" s="1"/>
  <c r="D7888" i="1"/>
  <c r="X7888" i="1" s="1"/>
  <c r="D7884" i="1"/>
  <c r="X7884" i="1" s="1"/>
  <c r="D7880" i="1"/>
  <c r="X7880" i="1" s="1"/>
  <c r="D7876" i="1"/>
  <c r="X7876" i="1" s="1"/>
  <c r="D7872" i="1"/>
  <c r="X7872" i="1" s="1"/>
  <c r="D7868" i="1"/>
  <c r="X7868" i="1" s="1"/>
  <c r="D7864" i="1"/>
  <c r="X7864" i="1" s="1"/>
  <c r="D7860" i="1"/>
  <c r="X7860" i="1" s="1"/>
  <c r="D7856" i="1"/>
  <c r="X7856" i="1" s="1"/>
  <c r="D7852" i="1"/>
  <c r="X7852" i="1" s="1"/>
  <c r="D7848" i="1"/>
  <c r="X7848" i="1" s="1"/>
  <c r="D7844" i="1"/>
  <c r="X7844" i="1" s="1"/>
  <c r="D7840" i="1"/>
  <c r="X7840" i="1" s="1"/>
  <c r="D7836" i="1"/>
  <c r="X7836" i="1" s="1"/>
  <c r="D7832" i="1"/>
  <c r="X7832" i="1" s="1"/>
  <c r="D7828" i="1"/>
  <c r="X7828" i="1" s="1"/>
  <c r="D7824" i="1"/>
  <c r="X7824" i="1" s="1"/>
  <c r="D7820" i="1"/>
  <c r="X7820" i="1" s="1"/>
  <c r="D7816" i="1"/>
  <c r="X7816" i="1" s="1"/>
  <c r="D7812" i="1"/>
  <c r="X7812" i="1" s="1"/>
  <c r="D7808" i="1"/>
  <c r="X7808" i="1" s="1"/>
  <c r="D7804" i="1"/>
  <c r="X7804" i="1" s="1"/>
  <c r="D7800" i="1"/>
  <c r="X7800" i="1" s="1"/>
  <c r="D7796" i="1"/>
  <c r="X7796" i="1" s="1"/>
  <c r="D7792" i="1"/>
  <c r="X7792" i="1" s="1"/>
  <c r="D7788" i="1"/>
  <c r="X7788" i="1" s="1"/>
  <c r="D7780" i="1"/>
  <c r="X7780" i="1" s="1"/>
  <c r="D7772" i="1"/>
  <c r="X7772" i="1" s="1"/>
  <c r="D7764" i="1"/>
  <c r="X7764" i="1" s="1"/>
  <c r="D7756" i="1"/>
  <c r="X7756" i="1" s="1"/>
  <c r="V3078" i="1"/>
  <c r="V3081" i="1"/>
  <c r="D3081" i="1"/>
  <c r="X3081" i="1" s="1"/>
  <c r="V3086" i="1"/>
  <c r="V3089" i="1"/>
  <c r="D3089" i="1"/>
  <c r="X3089" i="1" s="1"/>
  <c r="V3095" i="1"/>
  <c r="D3095" i="1"/>
  <c r="X3095" i="1" s="1"/>
  <c r="V3098" i="1"/>
  <c r="V3101" i="1"/>
  <c r="D3101" i="1"/>
  <c r="X3101" i="1" s="1"/>
  <c r="V3105" i="1"/>
  <c r="D3105" i="1"/>
  <c r="X3105" i="1" s="1"/>
  <c r="V3111" i="1"/>
  <c r="D3111" i="1"/>
  <c r="X3111" i="1" s="1"/>
  <c r="V3114" i="1"/>
  <c r="V3117" i="1"/>
  <c r="D3117" i="1"/>
  <c r="X3117" i="1" s="1"/>
  <c r="V3121" i="1"/>
  <c r="D3121" i="1"/>
  <c r="X3121" i="1" s="1"/>
  <c r="V3127" i="1"/>
  <c r="D3127" i="1"/>
  <c r="X3127" i="1" s="1"/>
  <c r="V3130" i="1"/>
  <c r="V3133" i="1"/>
  <c r="D3133" i="1"/>
  <c r="X3133" i="1" s="1"/>
  <c r="V3137" i="1"/>
  <c r="D3137" i="1"/>
  <c r="X3137" i="1" s="1"/>
  <c r="V3143" i="1"/>
  <c r="D3143" i="1"/>
  <c r="X3143" i="1" s="1"/>
  <c r="V3146" i="1"/>
  <c r="V3149" i="1"/>
  <c r="D3149" i="1"/>
  <c r="X3149" i="1" s="1"/>
  <c r="V3153" i="1"/>
  <c r="D3153" i="1"/>
  <c r="X3153" i="1" s="1"/>
  <c r="V3159" i="1"/>
  <c r="D3159" i="1"/>
  <c r="X3159" i="1" s="1"/>
  <c r="V3162" i="1"/>
  <c r="V3165" i="1"/>
  <c r="D3165" i="1"/>
  <c r="X3165" i="1" s="1"/>
  <c r="V3169" i="1"/>
  <c r="D3169" i="1"/>
  <c r="X3169" i="1" s="1"/>
  <c r="V3175" i="1"/>
  <c r="D3175" i="1"/>
  <c r="X3175" i="1" s="1"/>
  <c r="V3178" i="1"/>
  <c r="V3181" i="1"/>
  <c r="D3181" i="1"/>
  <c r="X3181" i="1" s="1"/>
  <c r="V3185" i="1"/>
  <c r="D3185" i="1"/>
  <c r="X3185" i="1" s="1"/>
  <c r="V3191" i="1"/>
  <c r="D3191" i="1"/>
  <c r="X3191" i="1" s="1"/>
  <c r="V3194" i="1"/>
  <c r="V3197" i="1"/>
  <c r="D3197" i="1"/>
  <c r="X3197" i="1" s="1"/>
  <c r="V3201" i="1"/>
  <c r="D3201" i="1"/>
  <c r="X3201" i="1" s="1"/>
  <c r="V3207" i="1"/>
  <c r="D3207" i="1"/>
  <c r="X3207" i="1" s="1"/>
  <c r="V3210" i="1"/>
  <c r="V3213" i="1"/>
  <c r="D3213" i="1"/>
  <c r="X3213" i="1" s="1"/>
  <c r="V3217" i="1"/>
  <c r="D3217" i="1"/>
  <c r="X3217" i="1" s="1"/>
  <c r="V3223" i="1"/>
  <c r="D3223" i="1"/>
  <c r="X3223" i="1" s="1"/>
  <c r="V3226" i="1"/>
  <c r="V3229" i="1"/>
  <c r="D3229" i="1"/>
  <c r="X3229" i="1" s="1"/>
  <c r="V3233" i="1"/>
  <c r="D3233" i="1"/>
  <c r="X3233" i="1" s="1"/>
  <c r="V3239" i="1"/>
  <c r="D3239" i="1"/>
  <c r="X3239" i="1" s="1"/>
  <c r="V3242" i="1"/>
  <c r="V3245" i="1"/>
  <c r="D3245" i="1"/>
  <c r="X3245" i="1" s="1"/>
  <c r="V3249" i="1"/>
  <c r="D3249" i="1"/>
  <c r="X3249" i="1" s="1"/>
  <c r="V3255" i="1"/>
  <c r="D3255" i="1"/>
  <c r="X3255" i="1" s="1"/>
  <c r="V3258" i="1"/>
  <c r="V3261" i="1"/>
  <c r="D3261" i="1"/>
  <c r="X3261" i="1" s="1"/>
  <c r="V3265" i="1"/>
  <c r="D3265" i="1"/>
  <c r="X3265" i="1" s="1"/>
  <c r="V3271" i="1"/>
  <c r="D3271" i="1"/>
  <c r="X3271" i="1" s="1"/>
  <c r="V3274" i="1"/>
  <c r="V3277" i="1"/>
  <c r="D3277" i="1"/>
  <c r="X3277" i="1" s="1"/>
  <c r="V3281" i="1"/>
  <c r="D3281" i="1"/>
  <c r="X3281" i="1" s="1"/>
  <c r="V3287" i="1"/>
  <c r="D3287" i="1"/>
  <c r="X3287" i="1" s="1"/>
  <c r="V3290" i="1"/>
  <c r="V3293" i="1"/>
  <c r="D3293" i="1"/>
  <c r="X3293" i="1" s="1"/>
  <c r="V3297" i="1"/>
  <c r="D3297" i="1"/>
  <c r="X3297" i="1" s="1"/>
  <c r="V3303" i="1"/>
  <c r="D3303" i="1"/>
  <c r="X3303" i="1" s="1"/>
  <c r="V3306" i="1"/>
  <c r="V3309" i="1"/>
  <c r="D3309" i="1"/>
  <c r="X3309" i="1" s="1"/>
  <c r="V3313" i="1"/>
  <c r="D3313" i="1"/>
  <c r="X3313" i="1" s="1"/>
  <c r="V3319" i="1"/>
  <c r="D3319" i="1"/>
  <c r="X3319" i="1" s="1"/>
  <c r="V3322" i="1"/>
  <c r="V3325" i="1"/>
  <c r="D3325" i="1"/>
  <c r="X3325" i="1" s="1"/>
  <c r="V3329" i="1"/>
  <c r="D3329" i="1"/>
  <c r="X3329" i="1" s="1"/>
  <c r="V3333" i="1"/>
  <c r="D3333" i="1"/>
  <c r="X3333" i="1" s="1"/>
  <c r="V3337" i="1"/>
  <c r="D3337" i="1"/>
  <c r="X3337" i="1" s="1"/>
  <c r="V3341" i="1"/>
  <c r="D3341" i="1"/>
  <c r="X3341" i="1" s="1"/>
  <c r="V3345" i="1"/>
  <c r="D3345" i="1"/>
  <c r="X3345" i="1" s="1"/>
  <c r="V3349" i="1"/>
  <c r="D3349" i="1"/>
  <c r="X3349" i="1" s="1"/>
  <c r="V3353" i="1"/>
  <c r="D3353" i="1"/>
  <c r="X3353" i="1" s="1"/>
  <c r="V3357" i="1"/>
  <c r="D3357" i="1"/>
  <c r="X3357" i="1" s="1"/>
  <c r="V3361" i="1"/>
  <c r="D3361" i="1"/>
  <c r="X3361" i="1" s="1"/>
  <c r="V3365" i="1"/>
  <c r="D3365" i="1"/>
  <c r="X3365" i="1" s="1"/>
  <c r="V3369" i="1"/>
  <c r="D3369" i="1"/>
  <c r="X3369" i="1" s="1"/>
  <c r="V3373" i="1"/>
  <c r="D3373" i="1"/>
  <c r="X3373" i="1" s="1"/>
  <c r="V3377" i="1"/>
  <c r="D3377" i="1"/>
  <c r="X3377" i="1" s="1"/>
  <c r="V3381" i="1"/>
  <c r="D3381" i="1"/>
  <c r="X3381" i="1" s="1"/>
  <c r="V3385" i="1"/>
  <c r="D3385" i="1"/>
  <c r="X3385" i="1" s="1"/>
  <c r="V3389" i="1"/>
  <c r="D3389" i="1"/>
  <c r="X3389" i="1" s="1"/>
  <c r="V3393" i="1"/>
  <c r="D3393" i="1"/>
  <c r="X3393" i="1" s="1"/>
  <c r="V3397" i="1"/>
  <c r="D3397" i="1"/>
  <c r="X3397" i="1" s="1"/>
  <c r="V3401" i="1"/>
  <c r="D3401" i="1"/>
  <c r="X3401" i="1" s="1"/>
  <c r="V3405" i="1"/>
  <c r="D3405" i="1"/>
  <c r="X3405" i="1" s="1"/>
  <c r="V3409" i="1"/>
  <c r="D3409" i="1"/>
  <c r="X3409" i="1" s="1"/>
  <c r="V3413" i="1"/>
  <c r="D3413" i="1"/>
  <c r="X3413" i="1" s="1"/>
  <c r="V3417" i="1"/>
  <c r="D3417" i="1"/>
  <c r="X3417" i="1" s="1"/>
  <c r="V3421" i="1"/>
  <c r="D3421" i="1"/>
  <c r="X3421" i="1" s="1"/>
  <c r="V3425" i="1"/>
  <c r="D3425" i="1"/>
  <c r="X3425" i="1" s="1"/>
  <c r="V3429" i="1"/>
  <c r="D3429" i="1"/>
  <c r="X3429" i="1" s="1"/>
  <c r="V3433" i="1"/>
  <c r="D3433" i="1"/>
  <c r="X3433" i="1" s="1"/>
  <c r="V3437" i="1"/>
  <c r="D3437" i="1"/>
  <c r="X3437" i="1" s="1"/>
  <c r="V3441" i="1"/>
  <c r="D3441" i="1"/>
  <c r="X3441" i="1" s="1"/>
  <c r="V3445" i="1"/>
  <c r="D3445" i="1"/>
  <c r="X3445" i="1" s="1"/>
  <c r="V3449" i="1"/>
  <c r="D3449" i="1"/>
  <c r="X3449" i="1" s="1"/>
  <c r="V3453" i="1"/>
  <c r="D3453" i="1"/>
  <c r="X3453" i="1" s="1"/>
  <c r="V3457" i="1"/>
  <c r="D3457" i="1"/>
  <c r="X3457" i="1" s="1"/>
  <c r="V3461" i="1"/>
  <c r="D3461" i="1"/>
  <c r="X3461" i="1" s="1"/>
  <c r="V3465" i="1"/>
  <c r="D3465" i="1"/>
  <c r="X3465" i="1" s="1"/>
  <c r="V3469" i="1"/>
  <c r="D3469" i="1"/>
  <c r="X3469" i="1" s="1"/>
  <c r="V3473" i="1"/>
  <c r="D3473" i="1"/>
  <c r="X3473" i="1" s="1"/>
  <c r="V3477" i="1"/>
  <c r="D3477" i="1"/>
  <c r="X3477" i="1" s="1"/>
  <c r="V3481" i="1"/>
  <c r="D3481" i="1"/>
  <c r="X3481" i="1" s="1"/>
  <c r="V3485" i="1"/>
  <c r="D3485" i="1"/>
  <c r="X3485" i="1" s="1"/>
  <c r="V3489" i="1"/>
  <c r="D3489" i="1"/>
  <c r="X3489" i="1" s="1"/>
  <c r="V3493" i="1"/>
  <c r="D3493" i="1"/>
  <c r="X3493" i="1" s="1"/>
  <c r="V3497" i="1"/>
  <c r="D3497" i="1"/>
  <c r="X3497" i="1" s="1"/>
  <c r="V3501" i="1"/>
  <c r="D3501" i="1"/>
  <c r="X3501" i="1" s="1"/>
  <c r="V3505" i="1"/>
  <c r="D3505" i="1"/>
  <c r="X3505" i="1" s="1"/>
  <c r="V3509" i="1"/>
  <c r="D3509" i="1"/>
  <c r="X3509" i="1" s="1"/>
  <c r="V3513" i="1"/>
  <c r="D3513" i="1"/>
  <c r="X3513" i="1" s="1"/>
  <c r="V3517" i="1"/>
  <c r="D3517" i="1"/>
  <c r="X3517" i="1" s="1"/>
  <c r="V3521" i="1"/>
  <c r="D3521" i="1"/>
  <c r="X3521" i="1" s="1"/>
  <c r="V3525" i="1"/>
  <c r="D3525" i="1"/>
  <c r="X3525" i="1" s="1"/>
  <c r="V3529" i="1"/>
  <c r="D3529" i="1"/>
  <c r="X3529" i="1" s="1"/>
  <c r="V3533" i="1"/>
  <c r="D3533" i="1"/>
  <c r="X3533" i="1" s="1"/>
  <c r="V3537" i="1"/>
  <c r="D3537" i="1"/>
  <c r="X3537" i="1" s="1"/>
  <c r="V3541" i="1"/>
  <c r="D3541" i="1"/>
  <c r="X3541" i="1" s="1"/>
  <c r="V3545" i="1"/>
  <c r="D3545" i="1"/>
  <c r="X3545" i="1" s="1"/>
  <c r="V3549" i="1"/>
  <c r="D3549" i="1"/>
  <c r="X3549" i="1" s="1"/>
  <c r="V3553" i="1"/>
  <c r="D3553" i="1"/>
  <c r="X3553" i="1" s="1"/>
  <c r="V3557" i="1"/>
  <c r="D3557" i="1"/>
  <c r="X3557" i="1" s="1"/>
  <c r="V3561" i="1"/>
  <c r="D3561" i="1"/>
  <c r="X3561" i="1" s="1"/>
  <c r="V3565" i="1"/>
  <c r="D3565" i="1"/>
  <c r="X3565" i="1" s="1"/>
  <c r="V3569" i="1"/>
  <c r="D3569" i="1"/>
  <c r="X3569" i="1" s="1"/>
  <c r="V3573" i="1"/>
  <c r="D3573" i="1"/>
  <c r="X3573" i="1" s="1"/>
  <c r="V3577" i="1"/>
  <c r="D3577" i="1"/>
  <c r="X3577" i="1" s="1"/>
  <c r="V3581" i="1"/>
  <c r="D3581" i="1"/>
  <c r="X3581" i="1" s="1"/>
  <c r="V3585" i="1"/>
  <c r="D3585" i="1"/>
  <c r="X3585" i="1" s="1"/>
  <c r="V3589" i="1"/>
  <c r="D3589" i="1"/>
  <c r="X3589" i="1" s="1"/>
  <c r="V3593" i="1"/>
  <c r="D3593" i="1"/>
  <c r="X3593" i="1" s="1"/>
  <c r="V3597" i="1"/>
  <c r="D3597" i="1"/>
  <c r="X3597" i="1" s="1"/>
  <c r="V3601" i="1"/>
  <c r="D3601" i="1"/>
  <c r="X3601" i="1" s="1"/>
  <c r="V3605" i="1"/>
  <c r="D3605" i="1"/>
  <c r="X3605" i="1" s="1"/>
  <c r="V3609" i="1"/>
  <c r="D3609" i="1"/>
  <c r="X3609" i="1" s="1"/>
  <c r="V3613" i="1"/>
  <c r="D3613" i="1"/>
  <c r="X3613" i="1" s="1"/>
  <c r="V3617" i="1"/>
  <c r="D3617" i="1"/>
  <c r="X3617" i="1" s="1"/>
  <c r="V3621" i="1"/>
  <c r="D3621" i="1"/>
  <c r="X3621" i="1" s="1"/>
  <c r="V3625" i="1"/>
  <c r="D3625" i="1"/>
  <c r="X3625" i="1" s="1"/>
  <c r="V3629" i="1"/>
  <c r="D3629" i="1"/>
  <c r="X3629" i="1" s="1"/>
  <c r="V3633" i="1"/>
  <c r="D3633" i="1"/>
  <c r="X3633" i="1" s="1"/>
  <c r="V3637" i="1"/>
  <c r="D3637" i="1"/>
  <c r="X3637" i="1" s="1"/>
  <c r="V3641" i="1"/>
  <c r="D3641" i="1"/>
  <c r="X3641" i="1" s="1"/>
  <c r="V3645" i="1"/>
  <c r="D3645" i="1"/>
  <c r="X3645" i="1" s="1"/>
  <c r="V3649" i="1"/>
  <c r="D3649" i="1"/>
  <c r="X3649" i="1" s="1"/>
  <c r="V3653" i="1"/>
  <c r="D3653" i="1"/>
  <c r="X3653" i="1" s="1"/>
  <c r="V3657" i="1"/>
  <c r="D3657" i="1"/>
  <c r="X3657" i="1" s="1"/>
  <c r="V3661" i="1"/>
  <c r="D3661" i="1"/>
  <c r="X3661" i="1" s="1"/>
  <c r="V3665" i="1"/>
  <c r="D3665" i="1"/>
  <c r="X3665" i="1" s="1"/>
  <c r="V3669" i="1"/>
  <c r="D3669" i="1"/>
  <c r="X3669" i="1" s="1"/>
  <c r="V3673" i="1"/>
  <c r="D3673" i="1"/>
  <c r="X3673" i="1" s="1"/>
  <c r="V3677" i="1"/>
  <c r="D3677" i="1"/>
  <c r="X3677" i="1" s="1"/>
  <c r="V3681" i="1"/>
  <c r="D3681" i="1"/>
  <c r="X3681" i="1" s="1"/>
  <c r="V3685" i="1"/>
  <c r="D3685" i="1"/>
  <c r="X3685" i="1" s="1"/>
  <c r="V3689" i="1"/>
  <c r="D3689" i="1"/>
  <c r="X3689" i="1" s="1"/>
  <c r="V3693" i="1"/>
  <c r="D3693" i="1"/>
  <c r="X3693" i="1" s="1"/>
  <c r="V3697" i="1"/>
  <c r="D3697" i="1"/>
  <c r="X3697" i="1" s="1"/>
  <c r="V3701" i="1"/>
  <c r="D3701" i="1"/>
  <c r="X3701" i="1" s="1"/>
  <c r="V3705" i="1"/>
  <c r="D3705" i="1"/>
  <c r="X3705" i="1" s="1"/>
  <c r="V3709" i="1"/>
  <c r="D3709" i="1"/>
  <c r="X3709" i="1" s="1"/>
  <c r="V3713" i="1"/>
  <c r="D3713" i="1"/>
  <c r="X3713" i="1" s="1"/>
  <c r="V3717" i="1"/>
  <c r="D3717" i="1"/>
  <c r="X3717" i="1" s="1"/>
  <c r="V3721" i="1"/>
  <c r="D3721" i="1"/>
  <c r="X3721" i="1" s="1"/>
  <c r="V3725" i="1"/>
  <c r="D3725" i="1"/>
  <c r="X3725" i="1" s="1"/>
  <c r="V3729" i="1"/>
  <c r="D3729" i="1"/>
  <c r="X3729" i="1" s="1"/>
  <c r="V3733" i="1"/>
  <c r="D3733" i="1"/>
  <c r="X3733" i="1" s="1"/>
  <c r="V3737" i="1"/>
  <c r="D3737" i="1"/>
  <c r="X3737" i="1" s="1"/>
  <c r="V3741" i="1"/>
  <c r="D3741" i="1"/>
  <c r="X3741" i="1" s="1"/>
  <c r="V3745" i="1"/>
  <c r="D3745" i="1"/>
  <c r="X3745" i="1" s="1"/>
  <c r="V3749" i="1"/>
  <c r="D3749" i="1"/>
  <c r="X3749" i="1" s="1"/>
  <c r="V3753" i="1"/>
  <c r="D3753" i="1"/>
  <c r="X3753" i="1" s="1"/>
  <c r="V3757" i="1"/>
  <c r="D3757" i="1"/>
  <c r="X3757" i="1" s="1"/>
  <c r="V3761" i="1"/>
  <c r="D3761" i="1"/>
  <c r="X3761" i="1" s="1"/>
  <c r="V3765" i="1"/>
  <c r="D3765" i="1"/>
  <c r="X3765" i="1" s="1"/>
  <c r="V3769" i="1"/>
  <c r="D3769" i="1"/>
  <c r="X3769" i="1" s="1"/>
  <c r="V3773" i="1"/>
  <c r="D3773" i="1"/>
  <c r="X3773" i="1" s="1"/>
  <c r="V3777" i="1"/>
  <c r="D3777" i="1"/>
  <c r="X3777" i="1" s="1"/>
  <c r="V3781" i="1"/>
  <c r="D3781" i="1"/>
  <c r="X3781" i="1" s="1"/>
  <c r="V3785" i="1"/>
  <c r="D3785" i="1"/>
  <c r="X3785" i="1" s="1"/>
  <c r="V3789" i="1"/>
  <c r="D3789" i="1"/>
  <c r="X3789" i="1" s="1"/>
  <c r="V3793" i="1"/>
  <c r="D3793" i="1"/>
  <c r="X3793" i="1" s="1"/>
  <c r="V3797" i="1"/>
  <c r="D3797" i="1"/>
  <c r="X3797" i="1" s="1"/>
  <c r="V3801" i="1"/>
  <c r="D3801" i="1"/>
  <c r="X3801" i="1" s="1"/>
  <c r="V3805" i="1"/>
  <c r="D3805" i="1"/>
  <c r="X3805" i="1" s="1"/>
  <c r="V3809" i="1"/>
  <c r="D3809" i="1"/>
  <c r="X3809" i="1" s="1"/>
  <c r="V3813" i="1"/>
  <c r="D3813" i="1"/>
  <c r="X3813" i="1" s="1"/>
  <c r="V3817" i="1"/>
  <c r="D3817" i="1"/>
  <c r="X3817" i="1" s="1"/>
  <c r="V3821" i="1"/>
  <c r="D3821" i="1"/>
  <c r="X3821" i="1" s="1"/>
  <c r="V3825" i="1"/>
  <c r="D3825" i="1"/>
  <c r="X3825" i="1" s="1"/>
  <c r="V3829" i="1"/>
  <c r="D3829" i="1"/>
  <c r="X3829" i="1" s="1"/>
  <c r="V3833" i="1"/>
  <c r="D3833" i="1"/>
  <c r="X3833" i="1" s="1"/>
  <c r="V3837" i="1"/>
  <c r="D3837" i="1"/>
  <c r="X3837" i="1" s="1"/>
  <c r="V3841" i="1"/>
  <c r="D3841" i="1"/>
  <c r="X3841" i="1" s="1"/>
  <c r="V3845" i="1"/>
  <c r="D3845" i="1"/>
  <c r="X3845" i="1" s="1"/>
  <c r="V3849" i="1"/>
  <c r="D3849" i="1"/>
  <c r="X3849" i="1" s="1"/>
  <c r="V3853" i="1"/>
  <c r="D3853" i="1"/>
  <c r="X3853" i="1" s="1"/>
  <c r="V3857" i="1"/>
  <c r="D3857" i="1"/>
  <c r="X3857" i="1" s="1"/>
  <c r="V3861" i="1"/>
  <c r="D3861" i="1"/>
  <c r="X3861" i="1" s="1"/>
  <c r="V3865" i="1"/>
  <c r="D3865" i="1"/>
  <c r="X3865" i="1" s="1"/>
  <c r="V3869" i="1"/>
  <c r="D3869" i="1"/>
  <c r="X3869" i="1" s="1"/>
  <c r="V3873" i="1"/>
  <c r="D3873" i="1"/>
  <c r="X3873" i="1" s="1"/>
  <c r="V3877" i="1"/>
  <c r="D3877" i="1"/>
  <c r="X3877" i="1" s="1"/>
  <c r="V3881" i="1"/>
  <c r="D3881" i="1"/>
  <c r="X3881" i="1" s="1"/>
  <c r="V3885" i="1"/>
  <c r="D3885" i="1"/>
  <c r="X3885" i="1" s="1"/>
  <c r="V3889" i="1"/>
  <c r="D3889" i="1"/>
  <c r="X3889" i="1" s="1"/>
  <c r="V3893" i="1"/>
  <c r="D3893" i="1"/>
  <c r="X3893" i="1" s="1"/>
  <c r="V3897" i="1"/>
  <c r="D3897" i="1"/>
  <c r="X3897" i="1" s="1"/>
  <c r="V3901" i="1"/>
  <c r="D3901" i="1"/>
  <c r="X3901" i="1" s="1"/>
  <c r="V3905" i="1"/>
  <c r="D3905" i="1"/>
  <c r="X3905" i="1" s="1"/>
  <c r="V3909" i="1"/>
  <c r="D3909" i="1"/>
  <c r="X3909" i="1" s="1"/>
  <c r="V3913" i="1"/>
  <c r="D3913" i="1"/>
  <c r="X3913" i="1" s="1"/>
  <c r="V3917" i="1"/>
  <c r="D3917" i="1"/>
  <c r="X3917" i="1" s="1"/>
  <c r="V3921" i="1"/>
  <c r="D3921" i="1"/>
  <c r="X3921" i="1" s="1"/>
  <c r="V3925" i="1"/>
  <c r="D3925" i="1"/>
  <c r="X3925" i="1" s="1"/>
  <c r="V3929" i="1"/>
  <c r="D3929" i="1"/>
  <c r="X3929" i="1" s="1"/>
  <c r="V3933" i="1"/>
  <c r="D3933" i="1"/>
  <c r="X3933" i="1" s="1"/>
  <c r="V3937" i="1"/>
  <c r="D3937" i="1"/>
  <c r="X3937" i="1" s="1"/>
  <c r="V3941" i="1"/>
  <c r="D3941" i="1"/>
  <c r="X3941" i="1" s="1"/>
  <c r="V3945" i="1"/>
  <c r="D3945" i="1"/>
  <c r="X3945" i="1" s="1"/>
  <c r="V3949" i="1"/>
  <c r="D3949" i="1"/>
  <c r="X3949" i="1" s="1"/>
  <c r="V3953" i="1"/>
  <c r="D3953" i="1"/>
  <c r="X3953" i="1" s="1"/>
  <c r="V3957" i="1"/>
  <c r="D3957" i="1"/>
  <c r="X3957" i="1" s="1"/>
  <c r="V3961" i="1"/>
  <c r="D3961" i="1"/>
  <c r="X3961" i="1" s="1"/>
  <c r="V3965" i="1"/>
  <c r="D3965" i="1"/>
  <c r="X3965" i="1" s="1"/>
  <c r="V3969" i="1"/>
  <c r="D3969" i="1"/>
  <c r="X3969" i="1" s="1"/>
  <c r="V3973" i="1"/>
  <c r="D3973" i="1"/>
  <c r="X3973" i="1" s="1"/>
  <c r="V3977" i="1"/>
  <c r="D3977" i="1"/>
  <c r="X3977" i="1" s="1"/>
  <c r="V3981" i="1"/>
  <c r="D3981" i="1"/>
  <c r="X3981" i="1" s="1"/>
  <c r="V3985" i="1"/>
  <c r="D3985" i="1"/>
  <c r="X3985" i="1" s="1"/>
  <c r="V3989" i="1"/>
  <c r="D3989" i="1"/>
  <c r="X3989" i="1" s="1"/>
  <c r="V3993" i="1"/>
  <c r="D3993" i="1"/>
  <c r="X3993" i="1" s="1"/>
  <c r="V3997" i="1"/>
  <c r="D3997" i="1"/>
  <c r="X3997" i="1" s="1"/>
  <c r="V4001" i="1"/>
  <c r="D4001" i="1"/>
  <c r="X4001" i="1" s="1"/>
  <c r="V4005" i="1"/>
  <c r="D4005" i="1"/>
  <c r="X4005" i="1" s="1"/>
  <c r="V4009" i="1"/>
  <c r="D4009" i="1"/>
  <c r="X4009" i="1" s="1"/>
  <c r="V4013" i="1"/>
  <c r="D4013" i="1"/>
  <c r="X4013" i="1" s="1"/>
  <c r="V4017" i="1"/>
  <c r="D4017" i="1"/>
  <c r="X4017" i="1" s="1"/>
  <c r="V4021" i="1"/>
  <c r="D4021" i="1"/>
  <c r="X4021" i="1" s="1"/>
  <c r="V4025" i="1"/>
  <c r="D4025" i="1"/>
  <c r="X4025" i="1" s="1"/>
  <c r="V4029" i="1"/>
  <c r="D4029" i="1"/>
  <c r="X4029" i="1" s="1"/>
  <c r="V4033" i="1"/>
  <c r="D4033" i="1"/>
  <c r="X4033" i="1" s="1"/>
  <c r="V4037" i="1"/>
  <c r="D4037" i="1"/>
  <c r="X4037" i="1" s="1"/>
  <c r="V4041" i="1"/>
  <c r="D4041" i="1"/>
  <c r="X4041" i="1" s="1"/>
  <c r="V4045" i="1"/>
  <c r="D4045" i="1"/>
  <c r="X4045" i="1" s="1"/>
  <c r="V4049" i="1"/>
  <c r="D4049" i="1"/>
  <c r="X4049" i="1" s="1"/>
  <c r="V4053" i="1"/>
  <c r="D4053" i="1"/>
  <c r="X4053" i="1" s="1"/>
  <c r="V4057" i="1"/>
  <c r="D4057" i="1"/>
  <c r="X4057" i="1" s="1"/>
  <c r="V4061" i="1"/>
  <c r="D4061" i="1"/>
  <c r="X4061" i="1" s="1"/>
  <c r="V4065" i="1"/>
  <c r="D4065" i="1"/>
  <c r="X4065" i="1" s="1"/>
  <c r="V4069" i="1"/>
  <c r="D4069" i="1"/>
  <c r="X4069" i="1" s="1"/>
  <c r="V4073" i="1"/>
  <c r="D4073" i="1"/>
  <c r="X4073" i="1" s="1"/>
  <c r="V4077" i="1"/>
  <c r="D4077" i="1"/>
  <c r="X4077" i="1" s="1"/>
  <c r="V4081" i="1"/>
  <c r="D4081" i="1"/>
  <c r="X4081" i="1" s="1"/>
  <c r="V4085" i="1"/>
  <c r="D4085" i="1"/>
  <c r="X4085" i="1" s="1"/>
  <c r="V4089" i="1"/>
  <c r="D4089" i="1"/>
  <c r="X4089" i="1" s="1"/>
  <c r="V4093" i="1"/>
  <c r="D4093" i="1"/>
  <c r="X4093" i="1" s="1"/>
  <c r="V4097" i="1"/>
  <c r="D4097" i="1"/>
  <c r="X4097" i="1" s="1"/>
  <c r="V4101" i="1"/>
  <c r="D4101" i="1"/>
  <c r="X4101" i="1" s="1"/>
  <c r="V4105" i="1"/>
  <c r="D4105" i="1"/>
  <c r="X4105" i="1" s="1"/>
  <c r="V4109" i="1"/>
  <c r="D4109" i="1"/>
  <c r="X4109" i="1" s="1"/>
  <c r="V4113" i="1"/>
  <c r="D4113" i="1"/>
  <c r="X4113" i="1" s="1"/>
  <c r="V4117" i="1"/>
  <c r="D4117" i="1"/>
  <c r="X4117" i="1" s="1"/>
  <c r="V4121" i="1"/>
  <c r="D4121" i="1"/>
  <c r="X4121" i="1" s="1"/>
  <c r="V4125" i="1"/>
  <c r="D4125" i="1"/>
  <c r="X4125" i="1" s="1"/>
  <c r="V4129" i="1"/>
  <c r="D4129" i="1"/>
  <c r="X4129" i="1" s="1"/>
  <c r="V4133" i="1"/>
  <c r="D4133" i="1"/>
  <c r="X4133" i="1" s="1"/>
  <c r="V4137" i="1"/>
  <c r="D4137" i="1"/>
  <c r="X4137" i="1" s="1"/>
  <c r="V4141" i="1"/>
  <c r="D4141" i="1"/>
  <c r="X4141" i="1" s="1"/>
  <c r="V4145" i="1"/>
  <c r="D4145" i="1"/>
  <c r="X4145" i="1" s="1"/>
  <c r="V4149" i="1"/>
  <c r="D4149" i="1"/>
  <c r="X4149" i="1" s="1"/>
  <c r="V4153" i="1"/>
  <c r="D4153" i="1"/>
  <c r="X4153" i="1" s="1"/>
  <c r="V4157" i="1"/>
  <c r="D4157" i="1"/>
  <c r="X4157" i="1" s="1"/>
  <c r="V4161" i="1"/>
  <c r="D4161" i="1"/>
  <c r="X4161" i="1" s="1"/>
  <c r="V4165" i="1"/>
  <c r="D4165" i="1"/>
  <c r="X4165" i="1" s="1"/>
  <c r="V4169" i="1"/>
  <c r="D4169" i="1"/>
  <c r="X4169" i="1" s="1"/>
  <c r="V4173" i="1"/>
  <c r="D4173" i="1"/>
  <c r="X4173" i="1" s="1"/>
  <c r="V4177" i="1"/>
  <c r="D4177" i="1"/>
  <c r="X4177" i="1" s="1"/>
  <c r="V4181" i="1"/>
  <c r="D4181" i="1"/>
  <c r="X4181" i="1" s="1"/>
  <c r="V4185" i="1"/>
  <c r="D4185" i="1"/>
  <c r="X4185" i="1" s="1"/>
  <c r="V4189" i="1"/>
  <c r="D4189" i="1"/>
  <c r="X4189" i="1" s="1"/>
  <c r="V4193" i="1"/>
  <c r="D4193" i="1"/>
  <c r="X4193" i="1" s="1"/>
  <c r="V4197" i="1"/>
  <c r="D4197" i="1"/>
  <c r="X4197" i="1" s="1"/>
  <c r="V4201" i="1"/>
  <c r="D4201" i="1"/>
  <c r="X4201" i="1" s="1"/>
  <c r="V4205" i="1"/>
  <c r="D4205" i="1"/>
  <c r="X4205" i="1" s="1"/>
  <c r="V4209" i="1"/>
  <c r="D4209" i="1"/>
  <c r="X4209" i="1" s="1"/>
  <c r="V4213" i="1"/>
  <c r="D4213" i="1"/>
  <c r="X4213" i="1" s="1"/>
  <c r="V4217" i="1"/>
  <c r="D4217" i="1"/>
  <c r="X4217" i="1" s="1"/>
  <c r="V4221" i="1"/>
  <c r="D4221" i="1"/>
  <c r="X4221" i="1" s="1"/>
  <c r="V4225" i="1"/>
  <c r="D4225" i="1"/>
  <c r="X4225" i="1" s="1"/>
  <c r="V4229" i="1"/>
  <c r="D4229" i="1"/>
  <c r="X4229" i="1" s="1"/>
  <c r="V4233" i="1"/>
  <c r="D4233" i="1"/>
  <c r="X4233" i="1" s="1"/>
  <c r="V4237" i="1"/>
  <c r="D4237" i="1"/>
  <c r="X4237" i="1" s="1"/>
  <c r="V4241" i="1"/>
  <c r="D4241" i="1"/>
  <c r="X4241" i="1" s="1"/>
  <c r="V4245" i="1"/>
  <c r="D4245" i="1"/>
  <c r="X4245" i="1" s="1"/>
  <c r="V4249" i="1"/>
  <c r="D4249" i="1"/>
  <c r="X4249" i="1" s="1"/>
  <c r="V4253" i="1"/>
  <c r="D4253" i="1"/>
  <c r="X4253" i="1" s="1"/>
  <c r="V4257" i="1"/>
  <c r="D4257" i="1"/>
  <c r="X4257" i="1" s="1"/>
  <c r="V4261" i="1"/>
  <c r="D4261" i="1"/>
  <c r="X4261" i="1" s="1"/>
  <c r="V4265" i="1"/>
  <c r="D4265" i="1"/>
  <c r="X4265" i="1" s="1"/>
  <c r="V4269" i="1"/>
  <c r="D4269" i="1"/>
  <c r="X4269" i="1" s="1"/>
  <c r="V4273" i="1"/>
  <c r="D4273" i="1"/>
  <c r="X4273" i="1" s="1"/>
  <c r="V4277" i="1"/>
  <c r="D4277" i="1"/>
  <c r="X4277" i="1" s="1"/>
  <c r="V4281" i="1"/>
  <c r="D4281" i="1"/>
  <c r="X4281" i="1" s="1"/>
  <c r="V4285" i="1"/>
  <c r="D4285" i="1"/>
  <c r="X4285" i="1" s="1"/>
  <c r="V4289" i="1"/>
  <c r="D4289" i="1"/>
  <c r="X4289" i="1" s="1"/>
  <c r="V4293" i="1"/>
  <c r="D4293" i="1"/>
  <c r="X4293" i="1" s="1"/>
  <c r="V4297" i="1"/>
  <c r="D4297" i="1"/>
  <c r="X4297" i="1" s="1"/>
  <c r="V4301" i="1"/>
  <c r="D4301" i="1"/>
  <c r="X4301" i="1" s="1"/>
  <c r="V4305" i="1"/>
  <c r="D4305" i="1"/>
  <c r="X4305" i="1" s="1"/>
  <c r="V4309" i="1"/>
  <c r="D4309" i="1"/>
  <c r="X4309" i="1" s="1"/>
  <c r="V4313" i="1"/>
  <c r="D4313" i="1"/>
  <c r="X4313" i="1" s="1"/>
  <c r="V4317" i="1"/>
  <c r="D4317" i="1"/>
  <c r="X4317" i="1" s="1"/>
  <c r="V4321" i="1"/>
  <c r="D4321" i="1"/>
  <c r="X4321" i="1" s="1"/>
  <c r="V4325" i="1"/>
  <c r="D4325" i="1"/>
  <c r="X4325" i="1" s="1"/>
  <c r="V4329" i="1"/>
  <c r="D4329" i="1"/>
  <c r="X4329" i="1" s="1"/>
  <c r="V4333" i="1"/>
  <c r="D4333" i="1"/>
  <c r="X4333" i="1" s="1"/>
  <c r="V4337" i="1"/>
  <c r="D4337" i="1"/>
  <c r="X4337" i="1" s="1"/>
  <c r="V4341" i="1"/>
  <c r="D4341" i="1"/>
  <c r="X4341" i="1" s="1"/>
  <c r="V4345" i="1"/>
  <c r="D4345" i="1"/>
  <c r="X4345" i="1" s="1"/>
  <c r="V4349" i="1"/>
  <c r="D4349" i="1"/>
  <c r="X4349" i="1" s="1"/>
  <c r="V4353" i="1"/>
  <c r="D4353" i="1"/>
  <c r="X4353" i="1" s="1"/>
  <c r="V4357" i="1"/>
  <c r="D4357" i="1"/>
  <c r="X4357" i="1" s="1"/>
  <c r="V4361" i="1"/>
  <c r="D4361" i="1"/>
  <c r="X4361" i="1" s="1"/>
  <c r="V4365" i="1"/>
  <c r="D4365" i="1"/>
  <c r="X4365" i="1" s="1"/>
  <c r="V4369" i="1"/>
  <c r="D4369" i="1"/>
  <c r="X4369" i="1" s="1"/>
  <c r="V4373" i="1"/>
  <c r="D4373" i="1"/>
  <c r="X4373" i="1" s="1"/>
  <c r="V4377" i="1"/>
  <c r="D4377" i="1"/>
  <c r="X4377" i="1" s="1"/>
  <c r="V4381" i="1"/>
  <c r="D4381" i="1"/>
  <c r="X4381" i="1" s="1"/>
  <c r="V4385" i="1"/>
  <c r="D4385" i="1"/>
  <c r="X4385" i="1" s="1"/>
  <c r="V4389" i="1"/>
  <c r="D4389" i="1"/>
  <c r="X4389" i="1" s="1"/>
  <c r="V4393" i="1"/>
  <c r="D4393" i="1"/>
  <c r="X4393" i="1" s="1"/>
  <c r="V4397" i="1"/>
  <c r="D4397" i="1"/>
  <c r="X4397" i="1" s="1"/>
  <c r="V4401" i="1"/>
  <c r="D4401" i="1"/>
  <c r="X4401" i="1" s="1"/>
  <c r="V4405" i="1"/>
  <c r="D4405" i="1"/>
  <c r="X4405" i="1" s="1"/>
  <c r="V4408" i="1"/>
  <c r="V4412" i="1"/>
  <c r="D4412" i="1"/>
  <c r="X4412" i="1" s="1"/>
  <c r="V4419" i="1"/>
  <c r="D4419" i="1"/>
  <c r="X4419" i="1" s="1"/>
  <c r="V4423" i="1"/>
  <c r="D4423" i="1"/>
  <c r="X4423" i="1" s="1"/>
  <c r="V4426" i="1"/>
  <c r="D4426" i="1"/>
  <c r="X4426" i="1" s="1"/>
  <c r="V4430" i="1"/>
  <c r="D4430" i="1"/>
  <c r="X4430" i="1" s="1"/>
  <c r="V4433" i="1"/>
  <c r="D4433" i="1"/>
  <c r="X4433" i="1" s="1"/>
  <c r="V4437" i="1"/>
  <c r="D4437" i="1"/>
  <c r="X4437" i="1" s="1"/>
  <c r="V4440" i="1"/>
  <c r="V4444" i="1"/>
  <c r="D4444" i="1"/>
  <c r="X4444" i="1" s="1"/>
  <c r="V4451" i="1"/>
  <c r="D4451" i="1"/>
  <c r="X4451" i="1" s="1"/>
  <c r="V4455" i="1"/>
  <c r="D4455" i="1"/>
  <c r="X4455" i="1" s="1"/>
  <c r="V4458" i="1"/>
  <c r="D4458" i="1"/>
  <c r="X4458" i="1" s="1"/>
  <c r="V4462" i="1"/>
  <c r="D4462" i="1"/>
  <c r="X4462" i="1" s="1"/>
  <c r="V4465" i="1"/>
  <c r="D4465" i="1"/>
  <c r="X4465" i="1" s="1"/>
  <c r="V4469" i="1"/>
  <c r="D4469" i="1"/>
  <c r="X4469" i="1" s="1"/>
  <c r="V4472" i="1"/>
  <c r="V4476" i="1"/>
  <c r="D4476" i="1"/>
  <c r="X4476" i="1" s="1"/>
  <c r="V4483" i="1"/>
  <c r="D4483" i="1"/>
  <c r="X4483" i="1" s="1"/>
  <c r="V4487" i="1"/>
  <c r="D4487" i="1"/>
  <c r="X4487" i="1" s="1"/>
  <c r="V4490" i="1"/>
  <c r="D4490" i="1"/>
  <c r="X4490" i="1" s="1"/>
  <c r="V4494" i="1"/>
  <c r="D4494" i="1"/>
  <c r="X4494" i="1" s="1"/>
  <c r="V4497" i="1"/>
  <c r="D4497" i="1"/>
  <c r="X4497" i="1" s="1"/>
  <c r="V4501" i="1"/>
  <c r="D4501" i="1"/>
  <c r="X4501" i="1" s="1"/>
  <c r="V4504" i="1"/>
  <c r="V4508" i="1"/>
  <c r="D4508" i="1"/>
  <c r="X4508" i="1" s="1"/>
  <c r="V4515" i="1"/>
  <c r="D4515" i="1"/>
  <c r="X4515" i="1" s="1"/>
  <c r="V4519" i="1"/>
  <c r="D4519" i="1"/>
  <c r="X4519" i="1" s="1"/>
  <c r="V4522" i="1"/>
  <c r="D4522" i="1"/>
  <c r="X4522" i="1" s="1"/>
  <c r="V4526" i="1"/>
  <c r="D4526" i="1"/>
  <c r="X4526" i="1" s="1"/>
  <c r="V4529" i="1"/>
  <c r="D4529" i="1"/>
  <c r="X4529" i="1" s="1"/>
  <c r="V4533" i="1"/>
  <c r="D4533" i="1"/>
  <c r="X4533" i="1" s="1"/>
  <c r="V4536" i="1"/>
  <c r="V4540" i="1"/>
  <c r="D4540" i="1"/>
  <c r="X4540" i="1" s="1"/>
  <c r="V4547" i="1"/>
  <c r="D4547" i="1"/>
  <c r="X4547" i="1" s="1"/>
  <c r="V4551" i="1"/>
  <c r="D4551" i="1"/>
  <c r="X4551" i="1" s="1"/>
  <c r="V4554" i="1"/>
  <c r="D4554" i="1"/>
  <c r="X4554" i="1" s="1"/>
  <c r="V4558" i="1"/>
  <c r="D4558" i="1"/>
  <c r="X4558" i="1" s="1"/>
  <c r="V4561" i="1"/>
  <c r="D4561" i="1"/>
  <c r="X4561" i="1" s="1"/>
  <c r="V4565" i="1"/>
  <c r="D4565" i="1"/>
  <c r="X4565" i="1" s="1"/>
  <c r="V4568" i="1"/>
  <c r="V4572" i="1"/>
  <c r="D4572" i="1"/>
  <c r="X4572" i="1" s="1"/>
  <c r="V4579" i="1"/>
  <c r="D4579" i="1"/>
  <c r="X4579" i="1" s="1"/>
  <c r="V4583" i="1"/>
  <c r="D4583" i="1"/>
  <c r="X4583" i="1" s="1"/>
  <c r="V4586" i="1"/>
  <c r="D4586" i="1"/>
  <c r="X4586" i="1" s="1"/>
  <c r="V4590" i="1"/>
  <c r="D4590" i="1"/>
  <c r="X4590" i="1" s="1"/>
  <c r="V4593" i="1"/>
  <c r="D4593" i="1"/>
  <c r="X4593" i="1" s="1"/>
  <c r="V4597" i="1"/>
  <c r="D4597" i="1"/>
  <c r="X4597" i="1" s="1"/>
  <c r="V4600" i="1"/>
  <c r="V4604" i="1"/>
  <c r="D4604" i="1"/>
  <c r="X4604" i="1" s="1"/>
  <c r="V4608" i="1"/>
  <c r="D4608" i="1"/>
  <c r="X4608" i="1" s="1"/>
  <c r="V4612" i="1"/>
  <c r="D4612" i="1"/>
  <c r="X4612" i="1" s="1"/>
  <c r="V4616" i="1"/>
  <c r="D4616" i="1"/>
  <c r="X4616" i="1" s="1"/>
  <c r="V4620" i="1"/>
  <c r="D4620" i="1"/>
  <c r="X4620" i="1" s="1"/>
  <c r="V4624" i="1"/>
  <c r="D4624" i="1"/>
  <c r="X4624" i="1" s="1"/>
  <c r="V4628" i="1"/>
  <c r="D4628" i="1"/>
  <c r="X4628" i="1" s="1"/>
  <c r="V4632" i="1"/>
  <c r="D4632" i="1"/>
  <c r="X4632" i="1" s="1"/>
  <c r="V4636" i="1"/>
  <c r="D4636" i="1"/>
  <c r="X4636" i="1" s="1"/>
  <c r="V4640" i="1"/>
  <c r="D4640" i="1"/>
  <c r="X4640" i="1" s="1"/>
  <c r="V4644" i="1"/>
  <c r="D4644" i="1"/>
  <c r="X4644" i="1" s="1"/>
  <c r="V4648" i="1"/>
  <c r="D4648" i="1"/>
  <c r="X4648" i="1" s="1"/>
  <c r="V4652" i="1"/>
  <c r="D4652" i="1"/>
  <c r="X4652" i="1" s="1"/>
  <c r="V4656" i="1"/>
  <c r="D4656" i="1"/>
  <c r="X4656" i="1" s="1"/>
  <c r="V4660" i="1"/>
  <c r="D4660" i="1"/>
  <c r="X4660" i="1" s="1"/>
  <c r="V4664" i="1"/>
  <c r="D4664" i="1"/>
  <c r="X4664" i="1" s="1"/>
  <c r="V4668" i="1"/>
  <c r="D4668" i="1"/>
  <c r="X4668" i="1" s="1"/>
  <c r="V4672" i="1"/>
  <c r="D4672" i="1"/>
  <c r="X4672" i="1" s="1"/>
  <c r="V4676" i="1"/>
  <c r="D4676" i="1"/>
  <c r="X4676" i="1" s="1"/>
  <c r="V4680" i="1"/>
  <c r="D4680" i="1"/>
  <c r="X4680" i="1" s="1"/>
  <c r="V4684" i="1"/>
  <c r="D4684" i="1"/>
  <c r="X4684" i="1" s="1"/>
  <c r="V4688" i="1"/>
  <c r="D4688" i="1"/>
  <c r="X4688" i="1" s="1"/>
  <c r="V4692" i="1"/>
  <c r="D4692" i="1"/>
  <c r="X4692" i="1" s="1"/>
  <c r="V4696" i="1"/>
  <c r="D4696" i="1"/>
  <c r="X4696" i="1" s="1"/>
  <c r="V4700" i="1"/>
  <c r="D4700" i="1"/>
  <c r="X4700" i="1" s="1"/>
  <c r="V4704" i="1"/>
  <c r="D4704" i="1"/>
  <c r="X4704" i="1" s="1"/>
  <c r="V4708" i="1"/>
  <c r="D4708" i="1"/>
  <c r="X4708" i="1" s="1"/>
  <c r="V4712" i="1"/>
  <c r="D4712" i="1"/>
  <c r="X4712" i="1" s="1"/>
  <c r="V4716" i="1"/>
  <c r="D4716" i="1"/>
  <c r="X4716" i="1" s="1"/>
  <c r="V4719" i="1"/>
  <c r="V4726" i="1"/>
  <c r="D4726" i="1"/>
  <c r="X4726" i="1" s="1"/>
  <c r="V4729" i="1"/>
  <c r="D4729" i="1"/>
  <c r="X4729" i="1" s="1"/>
  <c r="V4732" i="1"/>
  <c r="D4732" i="1"/>
  <c r="X4732" i="1" s="1"/>
  <c r="V4735" i="1"/>
  <c r="V4742" i="1"/>
  <c r="D4742" i="1"/>
  <c r="X4742" i="1" s="1"/>
  <c r="V4745" i="1"/>
  <c r="D4745" i="1"/>
  <c r="X4745" i="1" s="1"/>
  <c r="V4748" i="1"/>
  <c r="D4748" i="1"/>
  <c r="X4748" i="1" s="1"/>
  <c r="V4751" i="1"/>
  <c r="V4758" i="1"/>
  <c r="D4758" i="1"/>
  <c r="X4758" i="1" s="1"/>
  <c r="V4761" i="1"/>
  <c r="D4761" i="1"/>
  <c r="X4761" i="1" s="1"/>
  <c r="V4764" i="1"/>
  <c r="D4764" i="1"/>
  <c r="X4764" i="1" s="1"/>
  <c r="V4767" i="1"/>
  <c r="V4774" i="1"/>
  <c r="D4774" i="1"/>
  <c r="X4774" i="1" s="1"/>
  <c r="V4777" i="1"/>
  <c r="D4777" i="1"/>
  <c r="X4777" i="1" s="1"/>
  <c r="V4780" i="1"/>
  <c r="D4780" i="1"/>
  <c r="X4780" i="1" s="1"/>
  <c r="V4783" i="1"/>
  <c r="V4790" i="1"/>
  <c r="D4790" i="1"/>
  <c r="X4790" i="1" s="1"/>
  <c r="V4793" i="1"/>
  <c r="D4793" i="1"/>
  <c r="X4793" i="1" s="1"/>
  <c r="V4796" i="1"/>
  <c r="D4796" i="1"/>
  <c r="X4796" i="1" s="1"/>
  <c r="V4799" i="1"/>
  <c r="V4806" i="1"/>
  <c r="D4806" i="1"/>
  <c r="X4806" i="1" s="1"/>
  <c r="V4809" i="1"/>
  <c r="D4809" i="1"/>
  <c r="X4809" i="1" s="1"/>
  <c r="V4812" i="1"/>
  <c r="D4812" i="1"/>
  <c r="X4812" i="1" s="1"/>
  <c r="V4815" i="1"/>
  <c r="V4822" i="1"/>
  <c r="D4822" i="1"/>
  <c r="X4822" i="1" s="1"/>
  <c r="V4825" i="1"/>
  <c r="D4825" i="1"/>
  <c r="X4825" i="1" s="1"/>
  <c r="V4828" i="1"/>
  <c r="D4828" i="1"/>
  <c r="X4828" i="1" s="1"/>
  <c r="V4831" i="1"/>
  <c r="V4838" i="1"/>
  <c r="D4838" i="1"/>
  <c r="X4838" i="1" s="1"/>
  <c r="V4841" i="1"/>
  <c r="D4841" i="1"/>
  <c r="X4841" i="1" s="1"/>
  <c r="V4844" i="1"/>
  <c r="D4844" i="1"/>
  <c r="X4844" i="1" s="1"/>
  <c r="V4847" i="1"/>
  <c r="V4854" i="1"/>
  <c r="D4854" i="1"/>
  <c r="X4854" i="1" s="1"/>
  <c r="V4857" i="1"/>
  <c r="D4857" i="1"/>
  <c r="X4857" i="1" s="1"/>
  <c r="V4860" i="1"/>
  <c r="D4860" i="1"/>
  <c r="X4860" i="1" s="1"/>
  <c r="V4863" i="1"/>
  <c r="V4870" i="1"/>
  <c r="D4870" i="1"/>
  <c r="X4870" i="1" s="1"/>
  <c r="V4873" i="1"/>
  <c r="D4873" i="1"/>
  <c r="X4873" i="1" s="1"/>
  <c r="V4876" i="1"/>
  <c r="D4876" i="1"/>
  <c r="X4876" i="1" s="1"/>
  <c r="V4879" i="1"/>
  <c r="V4886" i="1"/>
  <c r="D4886" i="1"/>
  <c r="X4886" i="1" s="1"/>
  <c r="V4889" i="1"/>
  <c r="D4889" i="1"/>
  <c r="X4889" i="1" s="1"/>
  <c r="V4892" i="1"/>
  <c r="D4892" i="1"/>
  <c r="X4892" i="1" s="1"/>
  <c r="V4895" i="1"/>
  <c r="V4902" i="1"/>
  <c r="D4902" i="1"/>
  <c r="X4902" i="1" s="1"/>
  <c r="V4905" i="1"/>
  <c r="D4905" i="1"/>
  <c r="X4905" i="1" s="1"/>
  <c r="V4908" i="1"/>
  <c r="D4908" i="1"/>
  <c r="X4908" i="1" s="1"/>
  <c r="V4911" i="1"/>
  <c r="V4918" i="1"/>
  <c r="D4918" i="1"/>
  <c r="X4918" i="1" s="1"/>
  <c r="V4921" i="1"/>
  <c r="D4921" i="1"/>
  <c r="X4921" i="1" s="1"/>
  <c r="V4924" i="1"/>
  <c r="D4924" i="1"/>
  <c r="X4924" i="1" s="1"/>
  <c r="V4927" i="1"/>
  <c r="V4934" i="1"/>
  <c r="D4934" i="1"/>
  <c r="X4934" i="1" s="1"/>
  <c r="V4937" i="1"/>
  <c r="D4937" i="1"/>
  <c r="X4937" i="1" s="1"/>
  <c r="V4940" i="1"/>
  <c r="D4940" i="1"/>
  <c r="X4940" i="1" s="1"/>
  <c r="V4943" i="1"/>
  <c r="V4950" i="1"/>
  <c r="D4950" i="1"/>
  <c r="X4950" i="1" s="1"/>
  <c r="V4954" i="1"/>
  <c r="D4954" i="1"/>
  <c r="X4954" i="1" s="1"/>
  <c r="V4958" i="1"/>
  <c r="D4958" i="1"/>
  <c r="X4958" i="1" s="1"/>
  <c r="V4962" i="1"/>
  <c r="D4962" i="1"/>
  <c r="X4962" i="1" s="1"/>
  <c r="V4966" i="1"/>
  <c r="D4966" i="1"/>
  <c r="X4966" i="1" s="1"/>
  <c r="V4970" i="1"/>
  <c r="D4970" i="1"/>
  <c r="X4970" i="1" s="1"/>
  <c r="V4974" i="1"/>
  <c r="D4974" i="1"/>
  <c r="X4974" i="1" s="1"/>
  <c r="V4978" i="1"/>
  <c r="D4978" i="1"/>
  <c r="X4978" i="1" s="1"/>
  <c r="V4982" i="1"/>
  <c r="D4982" i="1"/>
  <c r="X4982" i="1" s="1"/>
  <c r="V4986" i="1"/>
  <c r="D4986" i="1"/>
  <c r="X4986" i="1" s="1"/>
  <c r="V4990" i="1"/>
  <c r="D4990" i="1"/>
  <c r="X4990" i="1" s="1"/>
  <c r="V4994" i="1"/>
  <c r="D4994" i="1"/>
  <c r="X4994" i="1" s="1"/>
  <c r="V4998" i="1"/>
  <c r="D4998" i="1"/>
  <c r="X4998" i="1" s="1"/>
  <c r="V5002" i="1"/>
  <c r="D5002" i="1"/>
  <c r="X5002" i="1" s="1"/>
  <c r="V5006" i="1"/>
  <c r="D5006" i="1"/>
  <c r="X5006" i="1" s="1"/>
  <c r="V5010" i="1"/>
  <c r="D5010" i="1"/>
  <c r="X5010" i="1" s="1"/>
  <c r="V5014" i="1"/>
  <c r="D5014" i="1"/>
  <c r="X5014" i="1" s="1"/>
  <c r="V5018" i="1"/>
  <c r="D5018" i="1"/>
  <c r="X5018" i="1" s="1"/>
  <c r="V5022" i="1"/>
  <c r="D5022" i="1"/>
  <c r="X5022" i="1" s="1"/>
  <c r="V5026" i="1"/>
  <c r="D5026" i="1"/>
  <c r="X5026" i="1" s="1"/>
  <c r="V5030" i="1"/>
  <c r="D5030" i="1"/>
  <c r="X5030" i="1" s="1"/>
  <c r="V5034" i="1"/>
  <c r="D5034" i="1"/>
  <c r="X5034" i="1" s="1"/>
  <c r="V5038" i="1"/>
  <c r="D5038" i="1"/>
  <c r="X5038" i="1" s="1"/>
  <c r="V5042" i="1"/>
  <c r="D5042" i="1"/>
  <c r="X5042" i="1" s="1"/>
  <c r="V5046" i="1"/>
  <c r="D5046" i="1"/>
  <c r="X5046" i="1" s="1"/>
  <c r="V5050" i="1"/>
  <c r="D5050" i="1"/>
  <c r="X5050" i="1" s="1"/>
  <c r="V5054" i="1"/>
  <c r="D5054" i="1"/>
  <c r="X5054" i="1" s="1"/>
  <c r="V5058" i="1"/>
  <c r="D5058" i="1"/>
  <c r="X5058" i="1" s="1"/>
  <c r="V5062" i="1"/>
  <c r="D5062" i="1"/>
  <c r="X5062" i="1" s="1"/>
  <c r="V5066" i="1"/>
  <c r="D5066" i="1"/>
  <c r="X5066" i="1" s="1"/>
  <c r="V5070" i="1"/>
  <c r="D5070" i="1"/>
  <c r="X5070" i="1" s="1"/>
  <c r="V5074" i="1"/>
  <c r="D5074" i="1"/>
  <c r="X5074" i="1" s="1"/>
  <c r="V5078" i="1"/>
  <c r="D5078" i="1"/>
  <c r="X5078" i="1" s="1"/>
  <c r="V5082" i="1"/>
  <c r="D5082" i="1"/>
  <c r="X5082" i="1" s="1"/>
  <c r="V5086" i="1"/>
  <c r="D5086" i="1"/>
  <c r="X5086" i="1" s="1"/>
  <c r="V5090" i="1"/>
  <c r="D5090" i="1"/>
  <c r="X5090" i="1" s="1"/>
  <c r="V5094" i="1"/>
  <c r="D5094" i="1"/>
  <c r="X5094" i="1" s="1"/>
  <c r="V5098" i="1"/>
  <c r="D5098" i="1"/>
  <c r="X5098" i="1" s="1"/>
  <c r="V5102" i="1"/>
  <c r="D5102" i="1"/>
  <c r="X5102" i="1" s="1"/>
  <c r="V5106" i="1"/>
  <c r="D5106" i="1"/>
  <c r="X5106" i="1" s="1"/>
  <c r="V5110" i="1"/>
  <c r="D5110" i="1"/>
  <c r="X5110" i="1" s="1"/>
  <c r="V5114" i="1"/>
  <c r="D5114" i="1"/>
  <c r="X5114" i="1" s="1"/>
  <c r="V5118" i="1"/>
  <c r="D5118" i="1"/>
  <c r="X5118" i="1" s="1"/>
  <c r="V5122" i="1"/>
  <c r="D5122" i="1"/>
  <c r="X5122" i="1" s="1"/>
  <c r="V5126" i="1"/>
  <c r="D5126" i="1"/>
  <c r="X5126" i="1" s="1"/>
  <c r="V5130" i="1"/>
  <c r="D5130" i="1"/>
  <c r="X5130" i="1" s="1"/>
  <c r="V5134" i="1"/>
  <c r="D5134" i="1"/>
  <c r="X5134" i="1" s="1"/>
  <c r="V5138" i="1"/>
  <c r="D5138" i="1"/>
  <c r="X5138" i="1" s="1"/>
  <c r="V5142" i="1"/>
  <c r="D5142" i="1"/>
  <c r="X5142" i="1" s="1"/>
  <c r="V5146" i="1"/>
  <c r="D5146" i="1"/>
  <c r="X5146" i="1" s="1"/>
  <c r="V5150" i="1"/>
  <c r="D5150" i="1"/>
  <c r="X5150" i="1" s="1"/>
  <c r="V5154" i="1"/>
  <c r="D5154" i="1"/>
  <c r="X5154" i="1" s="1"/>
  <c r="V5158" i="1"/>
  <c r="D5158" i="1"/>
  <c r="X5158" i="1" s="1"/>
  <c r="V5162" i="1"/>
  <c r="D5162" i="1"/>
  <c r="X5162" i="1" s="1"/>
  <c r="V5166" i="1"/>
  <c r="D5166" i="1"/>
  <c r="X5166" i="1" s="1"/>
  <c r="V5170" i="1"/>
  <c r="D5170" i="1"/>
  <c r="X5170" i="1" s="1"/>
  <c r="V5174" i="1"/>
  <c r="D5174" i="1"/>
  <c r="X5174" i="1" s="1"/>
  <c r="V5178" i="1"/>
  <c r="D5178" i="1"/>
  <c r="X5178" i="1" s="1"/>
  <c r="V5182" i="1"/>
  <c r="D5182" i="1"/>
  <c r="X5182" i="1" s="1"/>
  <c r="V5186" i="1"/>
  <c r="D5186" i="1"/>
  <c r="X5186" i="1" s="1"/>
  <c r="V5190" i="1"/>
  <c r="D5190" i="1"/>
  <c r="X5190" i="1" s="1"/>
  <c r="V5194" i="1"/>
  <c r="D5194" i="1"/>
  <c r="X5194" i="1" s="1"/>
  <c r="V5198" i="1"/>
  <c r="D5198" i="1"/>
  <c r="X5198" i="1" s="1"/>
  <c r="V5202" i="1"/>
  <c r="D5202" i="1"/>
  <c r="X5202" i="1" s="1"/>
  <c r="V5206" i="1"/>
  <c r="D5206" i="1"/>
  <c r="X5206" i="1" s="1"/>
  <c r="V5210" i="1"/>
  <c r="D5210" i="1"/>
  <c r="X5210" i="1" s="1"/>
  <c r="V5214" i="1"/>
  <c r="D5214" i="1"/>
  <c r="X5214" i="1" s="1"/>
  <c r="V5218" i="1"/>
  <c r="D5218" i="1"/>
  <c r="X5218" i="1" s="1"/>
  <c r="V5222" i="1"/>
  <c r="D5222" i="1"/>
  <c r="X5222" i="1" s="1"/>
  <c r="V5226" i="1"/>
  <c r="D5226" i="1"/>
  <c r="X5226" i="1" s="1"/>
  <c r="V5230" i="1"/>
  <c r="D5230" i="1"/>
  <c r="X5230" i="1" s="1"/>
  <c r="V5234" i="1"/>
  <c r="D5234" i="1"/>
  <c r="X5234" i="1" s="1"/>
  <c r="V5238" i="1"/>
  <c r="D5238" i="1"/>
  <c r="X5238" i="1" s="1"/>
  <c r="V5242" i="1"/>
  <c r="D5242" i="1"/>
  <c r="X5242" i="1" s="1"/>
  <c r="V5246" i="1"/>
  <c r="D5246" i="1"/>
  <c r="X5246" i="1" s="1"/>
  <c r="V5250" i="1"/>
  <c r="D5250" i="1"/>
  <c r="X5250" i="1" s="1"/>
  <c r="V5254" i="1"/>
  <c r="D5254" i="1"/>
  <c r="X5254" i="1" s="1"/>
  <c r="V5258" i="1"/>
  <c r="D5258" i="1"/>
  <c r="X5258" i="1" s="1"/>
  <c r="V5262" i="1"/>
  <c r="D5262" i="1"/>
  <c r="X5262" i="1" s="1"/>
  <c r="V5266" i="1"/>
  <c r="D5266" i="1"/>
  <c r="X5266" i="1" s="1"/>
  <c r="V5270" i="1"/>
  <c r="D5270" i="1"/>
  <c r="X5270" i="1" s="1"/>
  <c r="V5274" i="1"/>
  <c r="D5274" i="1"/>
  <c r="X5274" i="1" s="1"/>
  <c r="V5278" i="1"/>
  <c r="D5278" i="1"/>
  <c r="X5278" i="1" s="1"/>
  <c r="V5282" i="1"/>
  <c r="D5282" i="1"/>
  <c r="X5282" i="1" s="1"/>
  <c r="V5286" i="1"/>
  <c r="D5286" i="1"/>
  <c r="X5286" i="1" s="1"/>
  <c r="V5290" i="1"/>
  <c r="D5290" i="1"/>
  <c r="X5290" i="1" s="1"/>
  <c r="V5294" i="1"/>
  <c r="D5294" i="1"/>
  <c r="X5294" i="1" s="1"/>
  <c r="V5298" i="1"/>
  <c r="D5298" i="1"/>
  <c r="X5298" i="1" s="1"/>
  <c r="V5302" i="1"/>
  <c r="D5302" i="1"/>
  <c r="X5302" i="1" s="1"/>
  <c r="V5306" i="1"/>
  <c r="D5306" i="1"/>
  <c r="X5306" i="1" s="1"/>
  <c r="V5310" i="1"/>
  <c r="D5310" i="1"/>
  <c r="X5310" i="1" s="1"/>
  <c r="V5314" i="1"/>
  <c r="D5314" i="1"/>
  <c r="X5314" i="1" s="1"/>
  <c r="V5318" i="1"/>
  <c r="D5318" i="1"/>
  <c r="X5318" i="1" s="1"/>
  <c r="V5322" i="1"/>
  <c r="D5322" i="1"/>
  <c r="X5322" i="1" s="1"/>
  <c r="V5326" i="1"/>
  <c r="D5326" i="1"/>
  <c r="X5326" i="1" s="1"/>
  <c r="V5330" i="1"/>
  <c r="D5330" i="1"/>
  <c r="X5330" i="1" s="1"/>
  <c r="V5334" i="1"/>
  <c r="D5334" i="1"/>
  <c r="X5334" i="1" s="1"/>
  <c r="V5338" i="1"/>
  <c r="D5338" i="1"/>
  <c r="X5338" i="1" s="1"/>
  <c r="V5342" i="1"/>
  <c r="D5342" i="1"/>
  <c r="X5342" i="1" s="1"/>
  <c r="V5346" i="1"/>
  <c r="D5346" i="1"/>
  <c r="X5346" i="1" s="1"/>
  <c r="V5350" i="1"/>
  <c r="D5350" i="1"/>
  <c r="X5350" i="1" s="1"/>
  <c r="V5354" i="1"/>
  <c r="D5354" i="1"/>
  <c r="X5354" i="1" s="1"/>
  <c r="V5358" i="1"/>
  <c r="D5358" i="1"/>
  <c r="X5358" i="1" s="1"/>
  <c r="V5362" i="1"/>
  <c r="D5362" i="1"/>
  <c r="X5362" i="1" s="1"/>
  <c r="V5366" i="1"/>
  <c r="D5366" i="1"/>
  <c r="X5366" i="1" s="1"/>
  <c r="V5370" i="1"/>
  <c r="D5370" i="1"/>
  <c r="X5370" i="1" s="1"/>
  <c r="V5374" i="1"/>
  <c r="D5374" i="1"/>
  <c r="X5374" i="1" s="1"/>
  <c r="V5378" i="1"/>
  <c r="D5378" i="1"/>
  <c r="X5378" i="1" s="1"/>
  <c r="V5382" i="1"/>
  <c r="D5382" i="1"/>
  <c r="X5382" i="1" s="1"/>
  <c r="V5386" i="1"/>
  <c r="D5386" i="1"/>
  <c r="X5386" i="1" s="1"/>
  <c r="V5390" i="1"/>
  <c r="D5390" i="1"/>
  <c r="X5390" i="1" s="1"/>
  <c r="V5394" i="1"/>
  <c r="D5394" i="1"/>
  <c r="X5394" i="1" s="1"/>
  <c r="V5398" i="1"/>
  <c r="D5398" i="1"/>
  <c r="X5398" i="1" s="1"/>
  <c r="V5402" i="1"/>
  <c r="D5402" i="1"/>
  <c r="X5402" i="1" s="1"/>
  <c r="V5406" i="1"/>
  <c r="D5406" i="1"/>
  <c r="X5406" i="1" s="1"/>
  <c r="V5410" i="1"/>
  <c r="D5410" i="1"/>
  <c r="X5410" i="1" s="1"/>
  <c r="V5414" i="1"/>
  <c r="D5414" i="1"/>
  <c r="X5414" i="1" s="1"/>
  <c r="V5418" i="1"/>
  <c r="D5418" i="1"/>
  <c r="X5418" i="1" s="1"/>
  <c r="V5422" i="1"/>
  <c r="D5422" i="1"/>
  <c r="X5422" i="1" s="1"/>
  <c r="V5426" i="1"/>
  <c r="D5426" i="1"/>
  <c r="X5426" i="1" s="1"/>
  <c r="V5430" i="1"/>
  <c r="D5430" i="1"/>
  <c r="X5430" i="1" s="1"/>
  <c r="V5434" i="1"/>
  <c r="D5434" i="1"/>
  <c r="X5434" i="1" s="1"/>
  <c r="V5438" i="1"/>
  <c r="D5438" i="1"/>
  <c r="X5438" i="1" s="1"/>
  <c r="V5442" i="1"/>
  <c r="D5442" i="1"/>
  <c r="X5442" i="1" s="1"/>
  <c r="V5446" i="1"/>
  <c r="D5446" i="1"/>
  <c r="X5446" i="1" s="1"/>
  <c r="V5450" i="1"/>
  <c r="D5450" i="1"/>
  <c r="X5450" i="1" s="1"/>
  <c r="V5454" i="1"/>
  <c r="D5454" i="1"/>
  <c r="X5454" i="1" s="1"/>
  <c r="V5458" i="1"/>
  <c r="D5458" i="1"/>
  <c r="X5458" i="1" s="1"/>
  <c r="V5462" i="1"/>
  <c r="D5462" i="1"/>
  <c r="X5462" i="1" s="1"/>
  <c r="V5466" i="1"/>
  <c r="D5466" i="1"/>
  <c r="X5466" i="1" s="1"/>
  <c r="V5470" i="1"/>
  <c r="D5470" i="1"/>
  <c r="X5470" i="1" s="1"/>
  <c r="V5474" i="1"/>
  <c r="D5474" i="1"/>
  <c r="X5474" i="1" s="1"/>
  <c r="V5478" i="1"/>
  <c r="D5478" i="1"/>
  <c r="X5478" i="1" s="1"/>
  <c r="V5482" i="1"/>
  <c r="D5482" i="1"/>
  <c r="X5482" i="1" s="1"/>
  <c r="V5486" i="1"/>
  <c r="D5486" i="1"/>
  <c r="X5486" i="1" s="1"/>
  <c r="V5490" i="1"/>
  <c r="D5490" i="1"/>
  <c r="X5490" i="1" s="1"/>
  <c r="V5494" i="1"/>
  <c r="D5494" i="1"/>
  <c r="X5494" i="1" s="1"/>
  <c r="V5498" i="1"/>
  <c r="D5498" i="1"/>
  <c r="X5498" i="1" s="1"/>
  <c r="V5502" i="1"/>
  <c r="D5502" i="1"/>
  <c r="X5502" i="1" s="1"/>
  <c r="V5506" i="1"/>
  <c r="D5506" i="1"/>
  <c r="X5506" i="1" s="1"/>
  <c r="V5510" i="1"/>
  <c r="D5510" i="1"/>
  <c r="X5510" i="1" s="1"/>
  <c r="V5514" i="1"/>
  <c r="D5514" i="1"/>
  <c r="X5514" i="1" s="1"/>
  <c r="V5518" i="1"/>
  <c r="D5518" i="1"/>
  <c r="X5518" i="1" s="1"/>
  <c r="V5522" i="1"/>
  <c r="D5522" i="1"/>
  <c r="X5522" i="1" s="1"/>
  <c r="V5526" i="1"/>
  <c r="D5526" i="1"/>
  <c r="X5526" i="1" s="1"/>
  <c r="V5530" i="1"/>
  <c r="D5530" i="1"/>
  <c r="X5530" i="1" s="1"/>
  <c r="V5534" i="1"/>
  <c r="D5534" i="1"/>
  <c r="X5534" i="1" s="1"/>
  <c r="V5538" i="1"/>
  <c r="D5538" i="1"/>
  <c r="X5538" i="1" s="1"/>
  <c r="V5542" i="1"/>
  <c r="D5542" i="1"/>
  <c r="X5542" i="1" s="1"/>
  <c r="V5546" i="1"/>
  <c r="D5546" i="1"/>
  <c r="X5546" i="1" s="1"/>
  <c r="V5550" i="1"/>
  <c r="D5550" i="1"/>
  <c r="X5550" i="1" s="1"/>
  <c r="V5554" i="1"/>
  <c r="D5554" i="1"/>
  <c r="X5554" i="1" s="1"/>
  <c r="V5558" i="1"/>
  <c r="D5558" i="1"/>
  <c r="X5558" i="1" s="1"/>
  <c r="V5561" i="1"/>
  <c r="D5561" i="1"/>
  <c r="X5561" i="1" s="1"/>
  <c r="V5565" i="1"/>
  <c r="D5565" i="1"/>
  <c r="X5565" i="1" s="1"/>
  <c r="V5568" i="1"/>
  <c r="D5568" i="1"/>
  <c r="X5568" i="1" s="1"/>
  <c r="V5572" i="1"/>
  <c r="D5572" i="1"/>
  <c r="X5572" i="1" s="1"/>
  <c r="V5575" i="1"/>
  <c r="V5579" i="1"/>
  <c r="D5579" i="1"/>
  <c r="X5579" i="1" s="1"/>
  <c r="V5586" i="1"/>
  <c r="D5586" i="1"/>
  <c r="X5586" i="1" s="1"/>
  <c r="V5590" i="1"/>
  <c r="D5590" i="1"/>
  <c r="X5590" i="1" s="1"/>
  <c r="V5593" i="1"/>
  <c r="D5593" i="1"/>
  <c r="X5593" i="1" s="1"/>
  <c r="V5597" i="1"/>
  <c r="D5597" i="1"/>
  <c r="X5597" i="1" s="1"/>
  <c r="V5600" i="1"/>
  <c r="D5600" i="1"/>
  <c r="X5600" i="1" s="1"/>
  <c r="V5604" i="1"/>
  <c r="D5604" i="1"/>
  <c r="X5604" i="1" s="1"/>
  <c r="V5607" i="1"/>
  <c r="V5611" i="1"/>
  <c r="D5611" i="1"/>
  <c r="X5611" i="1" s="1"/>
  <c r="V5618" i="1"/>
  <c r="D5618" i="1"/>
  <c r="X5618" i="1" s="1"/>
  <c r="V5622" i="1"/>
  <c r="D5622" i="1"/>
  <c r="X5622" i="1" s="1"/>
  <c r="V5625" i="1"/>
  <c r="D5625" i="1"/>
  <c r="X5625" i="1" s="1"/>
  <c r="V5629" i="1"/>
  <c r="D5629" i="1"/>
  <c r="X5629" i="1" s="1"/>
  <c r="V5632" i="1"/>
  <c r="D5632" i="1"/>
  <c r="X5632" i="1" s="1"/>
  <c r="V5636" i="1"/>
  <c r="D5636" i="1"/>
  <c r="X5636" i="1" s="1"/>
  <c r="V5639" i="1"/>
  <c r="V5643" i="1"/>
  <c r="D5643" i="1"/>
  <c r="X5643" i="1" s="1"/>
  <c r="V5650" i="1"/>
  <c r="D5650" i="1"/>
  <c r="X5650" i="1" s="1"/>
  <c r="V5654" i="1"/>
  <c r="D5654" i="1"/>
  <c r="X5654" i="1" s="1"/>
  <c r="V5657" i="1"/>
  <c r="D5657" i="1"/>
  <c r="X5657" i="1" s="1"/>
  <c r="V5661" i="1"/>
  <c r="D5661" i="1"/>
  <c r="X5661" i="1" s="1"/>
  <c r="V5664" i="1"/>
  <c r="D5664" i="1"/>
  <c r="X5664" i="1" s="1"/>
  <c r="V5668" i="1"/>
  <c r="D5668" i="1"/>
  <c r="X5668" i="1" s="1"/>
  <c r="V5671" i="1"/>
  <c r="V5675" i="1"/>
  <c r="D5675" i="1"/>
  <c r="X5675" i="1" s="1"/>
  <c r="V5682" i="1"/>
  <c r="D5682" i="1"/>
  <c r="X5682" i="1" s="1"/>
  <c r="V5686" i="1"/>
  <c r="D5686" i="1"/>
  <c r="X5686" i="1" s="1"/>
  <c r="V5689" i="1"/>
  <c r="D5689" i="1"/>
  <c r="X5689" i="1" s="1"/>
  <c r="V5693" i="1"/>
  <c r="D5693" i="1"/>
  <c r="X5693" i="1" s="1"/>
  <c r="V5696" i="1"/>
  <c r="D5696" i="1"/>
  <c r="X5696" i="1" s="1"/>
  <c r="V5700" i="1"/>
  <c r="D5700" i="1"/>
  <c r="X5700" i="1" s="1"/>
  <c r="V5703" i="1"/>
  <c r="V5707" i="1"/>
  <c r="D5707" i="1"/>
  <c r="X5707" i="1" s="1"/>
  <c r="V5714" i="1"/>
  <c r="D5714" i="1"/>
  <c r="X5714" i="1" s="1"/>
  <c r="V5718" i="1"/>
  <c r="D5718" i="1"/>
  <c r="X5718" i="1" s="1"/>
  <c r="V5721" i="1"/>
  <c r="D5721" i="1"/>
  <c r="X5721" i="1" s="1"/>
  <c r="V5725" i="1"/>
  <c r="D5725" i="1"/>
  <c r="X5725" i="1" s="1"/>
  <c r="V5728" i="1"/>
  <c r="D5728" i="1"/>
  <c r="X5728" i="1" s="1"/>
  <c r="V5732" i="1"/>
  <c r="D5732" i="1"/>
  <c r="X5732" i="1" s="1"/>
  <c r="V5735" i="1"/>
  <c r="V5739" i="1"/>
  <c r="D5739" i="1"/>
  <c r="X5739" i="1" s="1"/>
  <c r="V5746" i="1"/>
  <c r="D5746" i="1"/>
  <c r="X5746" i="1" s="1"/>
  <c r="V5750" i="1"/>
  <c r="D5750" i="1"/>
  <c r="X5750" i="1" s="1"/>
  <c r="V5753" i="1"/>
  <c r="D5753" i="1"/>
  <c r="X5753" i="1" s="1"/>
  <c r="V5757" i="1"/>
  <c r="D5757" i="1"/>
  <c r="X5757" i="1" s="1"/>
  <c r="V5760" i="1"/>
  <c r="D5760" i="1"/>
  <c r="X5760" i="1" s="1"/>
  <c r="V5764" i="1"/>
  <c r="D5764" i="1"/>
  <c r="X5764" i="1" s="1"/>
  <c r="V5767" i="1"/>
  <c r="V5771" i="1"/>
  <c r="D5771" i="1"/>
  <c r="X5771" i="1" s="1"/>
  <c r="V5778" i="1"/>
  <c r="D5778" i="1"/>
  <c r="X5778" i="1" s="1"/>
  <c r="V5782" i="1"/>
  <c r="D5782" i="1"/>
  <c r="X5782" i="1" s="1"/>
  <c r="V5785" i="1"/>
  <c r="D5785" i="1"/>
  <c r="X5785" i="1" s="1"/>
  <c r="V5789" i="1"/>
  <c r="D5789" i="1"/>
  <c r="X5789" i="1" s="1"/>
  <c r="V5792" i="1"/>
  <c r="D5792" i="1"/>
  <c r="X5792" i="1" s="1"/>
  <c r="V5796" i="1"/>
  <c r="D5796" i="1"/>
  <c r="X5796" i="1" s="1"/>
  <c r="V5799" i="1"/>
  <c r="V5803" i="1"/>
  <c r="D5803" i="1"/>
  <c r="X5803" i="1" s="1"/>
  <c r="V5810" i="1"/>
  <c r="D5810" i="1"/>
  <c r="X5810" i="1" s="1"/>
  <c r="V5814" i="1"/>
  <c r="D5814" i="1"/>
  <c r="X5814" i="1" s="1"/>
  <c r="V5817" i="1"/>
  <c r="D5817" i="1"/>
  <c r="X5817" i="1" s="1"/>
  <c r="V5821" i="1"/>
  <c r="D5821" i="1"/>
  <c r="X5821" i="1" s="1"/>
  <c r="V5824" i="1"/>
  <c r="D5824" i="1"/>
  <c r="X5824" i="1" s="1"/>
  <c r="V5828" i="1"/>
  <c r="D5828" i="1"/>
  <c r="X5828" i="1" s="1"/>
  <c r="V5831" i="1"/>
  <c r="V5835" i="1"/>
  <c r="D5835" i="1"/>
  <c r="X5835" i="1" s="1"/>
  <c r="V5842" i="1"/>
  <c r="D5842" i="1"/>
  <c r="X5842" i="1" s="1"/>
  <c r="V5846" i="1"/>
  <c r="D5846" i="1"/>
  <c r="X5846" i="1" s="1"/>
  <c r="V5849" i="1"/>
  <c r="D5849" i="1"/>
  <c r="X5849" i="1" s="1"/>
  <c r="V5853" i="1"/>
  <c r="D5853" i="1"/>
  <c r="X5853" i="1" s="1"/>
  <c r="V5857" i="1"/>
  <c r="D5857" i="1"/>
  <c r="X5857" i="1" s="1"/>
  <c r="V5861" i="1"/>
  <c r="D5861" i="1"/>
  <c r="X5861" i="1" s="1"/>
  <c r="V5865" i="1"/>
  <c r="D5865" i="1"/>
  <c r="X5865" i="1" s="1"/>
  <c r="V5869" i="1"/>
  <c r="D5869" i="1"/>
  <c r="X5869" i="1" s="1"/>
  <c r="V5873" i="1"/>
  <c r="D5873" i="1"/>
  <c r="X5873" i="1" s="1"/>
  <c r="V5877" i="1"/>
  <c r="D5877" i="1"/>
  <c r="X5877" i="1" s="1"/>
  <c r="V5881" i="1"/>
  <c r="D5881" i="1"/>
  <c r="X5881" i="1" s="1"/>
  <c r="V5885" i="1"/>
  <c r="D5885" i="1"/>
  <c r="X5885" i="1" s="1"/>
  <c r="V5889" i="1"/>
  <c r="D5889" i="1"/>
  <c r="X5889" i="1" s="1"/>
  <c r="V5893" i="1"/>
  <c r="D5893" i="1"/>
  <c r="X5893" i="1" s="1"/>
  <c r="V5897" i="1"/>
  <c r="D5897" i="1"/>
  <c r="X5897" i="1" s="1"/>
  <c r="V5901" i="1"/>
  <c r="D5901" i="1"/>
  <c r="X5901" i="1" s="1"/>
  <c r="V5905" i="1"/>
  <c r="D5905" i="1"/>
  <c r="X5905" i="1" s="1"/>
  <c r="V5909" i="1"/>
  <c r="D5909" i="1"/>
  <c r="X5909" i="1" s="1"/>
  <c r="V5913" i="1"/>
  <c r="D5913" i="1"/>
  <c r="X5913" i="1" s="1"/>
  <c r="V5917" i="1"/>
  <c r="D5917" i="1"/>
  <c r="X5917" i="1" s="1"/>
  <c r="V5921" i="1"/>
  <c r="D5921" i="1"/>
  <c r="X5921" i="1" s="1"/>
  <c r="V5925" i="1"/>
  <c r="D5925" i="1"/>
  <c r="X5925" i="1" s="1"/>
  <c r="V5929" i="1"/>
  <c r="D5929" i="1"/>
  <c r="X5929" i="1" s="1"/>
  <c r="V5933" i="1"/>
  <c r="D5933" i="1"/>
  <c r="X5933" i="1" s="1"/>
  <c r="V5937" i="1"/>
  <c r="D5937" i="1"/>
  <c r="X5937" i="1" s="1"/>
  <c r="V5941" i="1"/>
  <c r="D5941" i="1"/>
  <c r="X5941" i="1" s="1"/>
  <c r="V5945" i="1"/>
  <c r="D5945" i="1"/>
  <c r="X5945" i="1" s="1"/>
  <c r="V5949" i="1"/>
  <c r="D5949" i="1"/>
  <c r="X5949" i="1" s="1"/>
  <c r="V5953" i="1"/>
  <c r="D5953" i="1"/>
  <c r="X5953" i="1" s="1"/>
  <c r="V5957" i="1"/>
  <c r="D5957" i="1"/>
  <c r="X5957" i="1" s="1"/>
  <c r="V5961" i="1"/>
  <c r="D5961" i="1"/>
  <c r="X5961" i="1" s="1"/>
  <c r="V5965" i="1"/>
  <c r="D5965" i="1"/>
  <c r="X5965" i="1" s="1"/>
  <c r="V5969" i="1"/>
  <c r="D5969" i="1"/>
  <c r="X5969" i="1" s="1"/>
  <c r="V5973" i="1"/>
  <c r="D5973" i="1"/>
  <c r="X5973" i="1" s="1"/>
  <c r="V5977" i="1"/>
  <c r="D5977" i="1"/>
  <c r="X5977" i="1" s="1"/>
  <c r="V5981" i="1"/>
  <c r="D5981" i="1"/>
  <c r="X5981" i="1" s="1"/>
  <c r="V5985" i="1"/>
  <c r="D5985" i="1"/>
  <c r="X5985" i="1" s="1"/>
  <c r="V5989" i="1"/>
  <c r="D5989" i="1"/>
  <c r="X5989" i="1" s="1"/>
  <c r="V5993" i="1"/>
  <c r="D5993" i="1"/>
  <c r="X5993" i="1" s="1"/>
  <c r="V5997" i="1"/>
  <c r="D5997" i="1"/>
  <c r="X5997" i="1" s="1"/>
  <c r="V6001" i="1"/>
  <c r="D6001" i="1"/>
  <c r="X6001" i="1" s="1"/>
  <c r="V6005" i="1"/>
  <c r="D6005" i="1"/>
  <c r="X6005" i="1" s="1"/>
  <c r="V6009" i="1"/>
  <c r="D6009" i="1"/>
  <c r="X6009" i="1" s="1"/>
  <c r="V6013" i="1"/>
  <c r="D6013" i="1"/>
  <c r="X6013" i="1" s="1"/>
  <c r="V6017" i="1"/>
  <c r="D6017" i="1"/>
  <c r="X6017" i="1" s="1"/>
  <c r="V6021" i="1"/>
  <c r="D6021" i="1"/>
  <c r="X6021" i="1" s="1"/>
  <c r="V6025" i="1"/>
  <c r="D6025" i="1"/>
  <c r="X6025" i="1" s="1"/>
  <c r="V6029" i="1"/>
  <c r="D6029" i="1"/>
  <c r="X6029" i="1" s="1"/>
  <c r="V6033" i="1"/>
  <c r="D6033" i="1"/>
  <c r="X6033" i="1" s="1"/>
  <c r="V6037" i="1"/>
  <c r="D6037" i="1"/>
  <c r="X6037" i="1" s="1"/>
  <c r="V6041" i="1"/>
  <c r="D6041" i="1"/>
  <c r="X6041" i="1" s="1"/>
  <c r="V6045" i="1"/>
  <c r="D6045" i="1"/>
  <c r="X6045" i="1" s="1"/>
  <c r="V6049" i="1"/>
  <c r="D6049" i="1"/>
  <c r="X6049" i="1" s="1"/>
  <c r="V6053" i="1"/>
  <c r="D6053" i="1"/>
  <c r="X6053" i="1" s="1"/>
  <c r="V6057" i="1"/>
  <c r="D6057" i="1"/>
  <c r="X6057" i="1" s="1"/>
  <c r="V6061" i="1"/>
  <c r="D6061" i="1"/>
  <c r="X6061" i="1" s="1"/>
  <c r="V6065" i="1"/>
  <c r="D6065" i="1"/>
  <c r="X6065" i="1" s="1"/>
  <c r="V6069" i="1"/>
  <c r="D6069" i="1"/>
  <c r="X6069" i="1" s="1"/>
  <c r="V6073" i="1"/>
  <c r="D6073" i="1"/>
  <c r="X6073" i="1" s="1"/>
  <c r="V6077" i="1"/>
  <c r="D6077" i="1"/>
  <c r="X6077" i="1" s="1"/>
  <c r="V6081" i="1"/>
  <c r="D6081" i="1"/>
  <c r="X6081" i="1" s="1"/>
  <c r="V6085" i="1"/>
  <c r="D6085" i="1"/>
  <c r="X6085" i="1" s="1"/>
  <c r="V6089" i="1"/>
  <c r="D6089" i="1"/>
  <c r="X6089" i="1" s="1"/>
  <c r="V6093" i="1"/>
  <c r="D6093" i="1"/>
  <c r="X6093" i="1" s="1"/>
  <c r="V6097" i="1"/>
  <c r="D6097" i="1"/>
  <c r="X6097" i="1" s="1"/>
  <c r="V6101" i="1"/>
  <c r="D6101" i="1"/>
  <c r="X6101" i="1" s="1"/>
  <c r="V6105" i="1"/>
  <c r="D6105" i="1"/>
  <c r="X6105" i="1" s="1"/>
  <c r="V6109" i="1"/>
  <c r="D6109" i="1"/>
  <c r="X6109" i="1" s="1"/>
  <c r="V6113" i="1"/>
  <c r="D6113" i="1"/>
  <c r="X6113" i="1" s="1"/>
  <c r="V6117" i="1"/>
  <c r="D6117" i="1"/>
  <c r="X6117" i="1" s="1"/>
  <c r="V6121" i="1"/>
  <c r="D6121" i="1"/>
  <c r="X6121" i="1" s="1"/>
  <c r="V6125" i="1"/>
  <c r="D6125" i="1"/>
  <c r="X6125" i="1" s="1"/>
  <c r="V6129" i="1"/>
  <c r="D6129" i="1"/>
  <c r="X6129" i="1" s="1"/>
  <c r="V6133" i="1"/>
  <c r="D6133" i="1"/>
  <c r="X6133" i="1" s="1"/>
  <c r="V6137" i="1"/>
  <c r="D6137" i="1"/>
  <c r="X6137" i="1" s="1"/>
  <c r="V6141" i="1"/>
  <c r="D6141" i="1"/>
  <c r="X6141" i="1" s="1"/>
  <c r="V6145" i="1"/>
  <c r="D6145" i="1"/>
  <c r="X6145" i="1" s="1"/>
  <c r="V6149" i="1"/>
  <c r="D6149" i="1"/>
  <c r="X6149" i="1" s="1"/>
  <c r="V6153" i="1"/>
  <c r="D6153" i="1"/>
  <c r="X6153" i="1" s="1"/>
  <c r="V6157" i="1"/>
  <c r="D6157" i="1"/>
  <c r="X6157" i="1" s="1"/>
  <c r="V6161" i="1"/>
  <c r="D6161" i="1"/>
  <c r="X6161" i="1" s="1"/>
  <c r="V6165" i="1"/>
  <c r="D6165" i="1"/>
  <c r="X6165" i="1" s="1"/>
  <c r="V6169" i="1"/>
  <c r="D6169" i="1"/>
  <c r="X6169" i="1" s="1"/>
  <c r="V6172" i="1"/>
  <c r="D6172" i="1"/>
  <c r="X6172" i="1" s="1"/>
  <c r="V6176" i="1"/>
  <c r="D6176" i="1"/>
  <c r="X6176" i="1" s="1"/>
  <c r="V6179" i="1"/>
  <c r="V6183" i="1"/>
  <c r="D6183" i="1"/>
  <c r="X6183" i="1" s="1"/>
  <c r="V6190" i="1"/>
  <c r="D6190" i="1"/>
  <c r="X6190" i="1" s="1"/>
  <c r="V6194" i="1"/>
  <c r="D6194" i="1"/>
  <c r="X6194" i="1" s="1"/>
  <c r="V6197" i="1"/>
  <c r="D6197" i="1"/>
  <c r="X6197" i="1" s="1"/>
  <c r="V6201" i="1"/>
  <c r="D6201" i="1"/>
  <c r="X6201" i="1" s="1"/>
  <c r="V6204" i="1"/>
  <c r="D6204" i="1"/>
  <c r="X6204" i="1" s="1"/>
  <c r="V6208" i="1"/>
  <c r="D6208" i="1"/>
  <c r="X6208" i="1" s="1"/>
  <c r="V6211" i="1"/>
  <c r="V6215" i="1"/>
  <c r="D6215" i="1"/>
  <c r="X6215" i="1" s="1"/>
  <c r="V6222" i="1"/>
  <c r="D6222" i="1"/>
  <c r="X6222" i="1" s="1"/>
  <c r="V6226" i="1"/>
  <c r="D6226" i="1"/>
  <c r="X6226" i="1" s="1"/>
  <c r="V6229" i="1"/>
  <c r="D6229" i="1"/>
  <c r="X6229" i="1" s="1"/>
  <c r="V6233" i="1"/>
  <c r="D6233" i="1"/>
  <c r="X6233" i="1" s="1"/>
  <c r="V6236" i="1"/>
  <c r="D6236" i="1"/>
  <c r="X6236" i="1" s="1"/>
  <c r="V6240" i="1"/>
  <c r="D6240" i="1"/>
  <c r="X6240" i="1" s="1"/>
  <c r="V6243" i="1"/>
  <c r="V6247" i="1"/>
  <c r="D6247" i="1"/>
  <c r="X6247" i="1" s="1"/>
  <c r="V6254" i="1"/>
  <c r="D6254" i="1"/>
  <c r="X6254" i="1" s="1"/>
  <c r="V6258" i="1"/>
  <c r="D6258" i="1"/>
  <c r="X6258" i="1" s="1"/>
  <c r="V6261" i="1"/>
  <c r="D6261" i="1"/>
  <c r="X6261" i="1" s="1"/>
  <c r="V6265" i="1"/>
  <c r="D6265" i="1"/>
  <c r="X6265" i="1" s="1"/>
  <c r="V6268" i="1"/>
  <c r="D6268" i="1"/>
  <c r="X6268" i="1" s="1"/>
  <c r="V6272" i="1"/>
  <c r="D6272" i="1"/>
  <c r="X6272" i="1" s="1"/>
  <c r="V6275" i="1"/>
  <c r="V6279" i="1"/>
  <c r="D6279" i="1"/>
  <c r="X6279" i="1" s="1"/>
  <c r="V6286" i="1"/>
  <c r="D6286" i="1"/>
  <c r="X6286" i="1" s="1"/>
  <c r="V6290" i="1"/>
  <c r="D6290" i="1"/>
  <c r="X6290" i="1" s="1"/>
  <c r="V6293" i="1"/>
  <c r="D6293" i="1"/>
  <c r="X6293" i="1" s="1"/>
  <c r="V6297" i="1"/>
  <c r="D6297" i="1"/>
  <c r="X6297" i="1" s="1"/>
  <c r="V6300" i="1"/>
  <c r="D6300" i="1"/>
  <c r="X6300" i="1" s="1"/>
  <c r="V6304" i="1"/>
  <c r="D6304" i="1"/>
  <c r="X6304" i="1" s="1"/>
  <c r="V6307" i="1"/>
  <c r="V6311" i="1"/>
  <c r="D6311" i="1"/>
  <c r="X6311" i="1" s="1"/>
  <c r="V6318" i="1"/>
  <c r="D6318" i="1"/>
  <c r="X6318" i="1" s="1"/>
  <c r="V6322" i="1"/>
  <c r="D6322" i="1"/>
  <c r="X6322" i="1" s="1"/>
  <c r="V6325" i="1"/>
  <c r="D6325" i="1"/>
  <c r="X6325" i="1" s="1"/>
  <c r="V6329" i="1"/>
  <c r="D6329" i="1"/>
  <c r="X6329" i="1" s="1"/>
  <c r="V6332" i="1"/>
  <c r="D6332" i="1"/>
  <c r="X6332" i="1" s="1"/>
  <c r="V6336" i="1"/>
  <c r="D6336" i="1"/>
  <c r="X6336" i="1" s="1"/>
  <c r="V6339" i="1"/>
  <c r="V6343" i="1"/>
  <c r="D6343" i="1"/>
  <c r="X6343" i="1" s="1"/>
  <c r="V6350" i="1"/>
  <c r="D6350" i="1"/>
  <c r="X6350" i="1" s="1"/>
  <c r="V6354" i="1"/>
  <c r="D6354" i="1"/>
  <c r="X6354" i="1" s="1"/>
  <c r="V6357" i="1"/>
  <c r="D6357" i="1"/>
  <c r="X6357" i="1" s="1"/>
  <c r="V6361" i="1"/>
  <c r="D6361" i="1"/>
  <c r="X6361" i="1" s="1"/>
  <c r="V6364" i="1"/>
  <c r="D6364" i="1"/>
  <c r="X6364" i="1" s="1"/>
  <c r="V6368" i="1"/>
  <c r="D6368" i="1"/>
  <c r="X6368" i="1" s="1"/>
  <c r="V6371" i="1"/>
  <c r="V6375" i="1"/>
  <c r="D6375" i="1"/>
  <c r="X6375" i="1" s="1"/>
  <c r="V6382" i="1"/>
  <c r="D6382" i="1"/>
  <c r="X6382" i="1" s="1"/>
  <c r="V6386" i="1"/>
  <c r="D6386" i="1"/>
  <c r="X6386" i="1" s="1"/>
  <c r="V6389" i="1"/>
  <c r="D6389" i="1"/>
  <c r="X6389" i="1" s="1"/>
  <c r="V6393" i="1"/>
  <c r="D6393" i="1"/>
  <c r="X6393" i="1" s="1"/>
  <c r="V6396" i="1"/>
  <c r="D6396" i="1"/>
  <c r="X6396" i="1" s="1"/>
  <c r="V6400" i="1"/>
  <c r="D6400" i="1"/>
  <c r="X6400" i="1" s="1"/>
  <c r="V6403" i="1"/>
  <c r="V6407" i="1"/>
  <c r="D6407" i="1"/>
  <c r="X6407" i="1" s="1"/>
  <c r="V6414" i="1"/>
  <c r="D6414" i="1"/>
  <c r="X6414" i="1" s="1"/>
  <c r="V6418" i="1"/>
  <c r="D6418" i="1"/>
  <c r="X6418" i="1" s="1"/>
  <c r="V6421" i="1"/>
  <c r="D6421" i="1"/>
  <c r="X6421" i="1" s="1"/>
  <c r="V6425" i="1"/>
  <c r="D6425" i="1"/>
  <c r="X6425" i="1" s="1"/>
  <c r="V6428" i="1"/>
  <c r="D6428" i="1"/>
  <c r="X6428" i="1" s="1"/>
  <c r="V6432" i="1"/>
  <c r="D6432" i="1"/>
  <c r="X6432" i="1" s="1"/>
  <c r="V6435" i="1"/>
  <c r="V6439" i="1"/>
  <c r="D6439" i="1"/>
  <c r="X6439" i="1" s="1"/>
  <c r="V6446" i="1"/>
  <c r="D6446" i="1"/>
  <c r="X6446" i="1" s="1"/>
  <c r="V6450" i="1"/>
  <c r="D6450" i="1"/>
  <c r="X6450" i="1" s="1"/>
  <c r="V6453" i="1"/>
  <c r="D6453" i="1"/>
  <c r="X6453" i="1" s="1"/>
  <c r="V6457" i="1"/>
  <c r="D6457" i="1"/>
  <c r="X6457" i="1" s="1"/>
  <c r="V6461" i="1"/>
  <c r="D6461" i="1"/>
  <c r="X6461" i="1" s="1"/>
  <c r="V6465" i="1"/>
  <c r="D6465" i="1"/>
  <c r="X6465" i="1" s="1"/>
  <c r="V6469" i="1"/>
  <c r="D6469" i="1"/>
  <c r="X6469" i="1" s="1"/>
  <c r="V6473" i="1"/>
  <c r="D6473" i="1"/>
  <c r="X6473" i="1" s="1"/>
  <c r="V6477" i="1"/>
  <c r="D6477" i="1"/>
  <c r="X6477" i="1" s="1"/>
  <c r="V6481" i="1"/>
  <c r="D6481" i="1"/>
  <c r="X6481" i="1" s="1"/>
  <c r="V6485" i="1"/>
  <c r="D6485" i="1"/>
  <c r="X6485" i="1" s="1"/>
  <c r="V6489" i="1"/>
  <c r="D6489" i="1"/>
  <c r="X6489" i="1" s="1"/>
  <c r="V6493" i="1"/>
  <c r="D6493" i="1"/>
  <c r="X6493" i="1" s="1"/>
  <c r="V6497" i="1"/>
  <c r="D6497" i="1"/>
  <c r="X6497" i="1" s="1"/>
  <c r="V6501" i="1"/>
  <c r="D6501" i="1"/>
  <c r="X6501" i="1" s="1"/>
  <c r="V6505" i="1"/>
  <c r="D6505" i="1"/>
  <c r="X6505" i="1" s="1"/>
  <c r="V6509" i="1"/>
  <c r="D6509" i="1"/>
  <c r="X6509" i="1" s="1"/>
  <c r="V6513" i="1"/>
  <c r="D6513" i="1"/>
  <c r="X6513" i="1" s="1"/>
  <c r="V6517" i="1"/>
  <c r="D6517" i="1"/>
  <c r="X6517" i="1" s="1"/>
  <c r="V6521" i="1"/>
  <c r="D6521" i="1"/>
  <c r="X6521" i="1" s="1"/>
  <c r="V6525" i="1"/>
  <c r="D6525" i="1"/>
  <c r="X6525" i="1" s="1"/>
  <c r="V6529" i="1"/>
  <c r="D6529" i="1"/>
  <c r="X6529" i="1" s="1"/>
  <c r="V6533" i="1"/>
  <c r="D6533" i="1"/>
  <c r="X6533" i="1" s="1"/>
  <c r="V6537" i="1"/>
  <c r="D6537" i="1"/>
  <c r="X6537" i="1" s="1"/>
  <c r="V6541" i="1"/>
  <c r="D6541" i="1"/>
  <c r="X6541" i="1" s="1"/>
  <c r="V6545" i="1"/>
  <c r="D6545" i="1"/>
  <c r="X6545" i="1" s="1"/>
  <c r="V6549" i="1"/>
  <c r="D6549" i="1"/>
  <c r="X6549" i="1" s="1"/>
  <c r="V6553" i="1"/>
  <c r="D6553" i="1"/>
  <c r="X6553" i="1" s="1"/>
  <c r="V6557" i="1"/>
  <c r="D6557" i="1"/>
  <c r="X6557" i="1" s="1"/>
  <c r="V6561" i="1"/>
  <c r="D6561" i="1"/>
  <c r="X6561" i="1" s="1"/>
  <c r="V6565" i="1"/>
  <c r="D6565" i="1"/>
  <c r="X6565" i="1" s="1"/>
  <c r="V6569" i="1"/>
  <c r="D6569" i="1"/>
  <c r="X6569" i="1" s="1"/>
  <c r="V6573" i="1"/>
  <c r="D6573" i="1"/>
  <c r="X6573" i="1" s="1"/>
  <c r="V6577" i="1"/>
  <c r="D6577" i="1"/>
  <c r="X6577" i="1" s="1"/>
  <c r="V6581" i="1"/>
  <c r="D6581" i="1"/>
  <c r="X6581" i="1" s="1"/>
  <c r="V6585" i="1"/>
  <c r="D6585" i="1"/>
  <c r="X6585" i="1" s="1"/>
  <c r="V6589" i="1"/>
  <c r="D6589" i="1"/>
  <c r="X6589" i="1" s="1"/>
  <c r="V6593" i="1"/>
  <c r="D6593" i="1"/>
  <c r="X6593" i="1" s="1"/>
  <c r="V6597" i="1"/>
  <c r="D6597" i="1"/>
  <c r="X6597" i="1" s="1"/>
  <c r="V6601" i="1"/>
  <c r="D6601" i="1"/>
  <c r="X6601" i="1" s="1"/>
  <c r="V6605" i="1"/>
  <c r="D6605" i="1"/>
  <c r="X6605" i="1" s="1"/>
  <c r="V6609" i="1"/>
  <c r="D6609" i="1"/>
  <c r="X6609" i="1" s="1"/>
  <c r="V6613" i="1"/>
  <c r="D6613" i="1"/>
  <c r="X6613" i="1" s="1"/>
  <c r="V6617" i="1"/>
  <c r="D6617" i="1"/>
  <c r="X6617" i="1" s="1"/>
  <c r="V6621" i="1"/>
  <c r="D6621" i="1"/>
  <c r="X6621" i="1" s="1"/>
  <c r="V6625" i="1"/>
  <c r="D6625" i="1"/>
  <c r="X6625" i="1" s="1"/>
  <c r="V6629" i="1"/>
  <c r="D6629" i="1"/>
  <c r="X6629" i="1" s="1"/>
  <c r="V6633" i="1"/>
  <c r="D6633" i="1"/>
  <c r="X6633" i="1" s="1"/>
  <c r="V6637" i="1"/>
  <c r="D6637" i="1"/>
  <c r="X6637" i="1" s="1"/>
  <c r="V6641" i="1"/>
  <c r="D6641" i="1"/>
  <c r="X6641" i="1" s="1"/>
  <c r="V6645" i="1"/>
  <c r="D6645" i="1"/>
  <c r="X6645" i="1" s="1"/>
  <c r="V6649" i="1"/>
  <c r="D6649" i="1"/>
  <c r="X6649" i="1" s="1"/>
  <c r="V6653" i="1"/>
  <c r="D6653" i="1"/>
  <c r="X6653" i="1" s="1"/>
  <c r="V6657" i="1"/>
  <c r="D6657" i="1"/>
  <c r="X6657" i="1" s="1"/>
  <c r="V6661" i="1"/>
  <c r="D6661" i="1"/>
  <c r="X6661" i="1" s="1"/>
  <c r="V6665" i="1"/>
  <c r="D6665" i="1"/>
  <c r="X6665" i="1" s="1"/>
  <c r="V6669" i="1"/>
  <c r="D6669" i="1"/>
  <c r="X6669" i="1" s="1"/>
  <c r="V6673" i="1"/>
  <c r="D6673" i="1"/>
  <c r="X6673" i="1" s="1"/>
  <c r="V6677" i="1"/>
  <c r="D6677" i="1"/>
  <c r="X6677" i="1" s="1"/>
  <c r="V6681" i="1"/>
  <c r="D6681" i="1"/>
  <c r="X6681" i="1" s="1"/>
  <c r="V6685" i="1"/>
  <c r="D6685" i="1"/>
  <c r="X6685" i="1" s="1"/>
  <c r="V6689" i="1"/>
  <c r="D6689" i="1"/>
  <c r="X6689" i="1" s="1"/>
  <c r="V6693" i="1"/>
  <c r="D6693" i="1"/>
  <c r="X6693" i="1" s="1"/>
  <c r="V6697" i="1"/>
  <c r="D6697" i="1"/>
  <c r="X6697" i="1" s="1"/>
  <c r="V6701" i="1"/>
  <c r="D6701" i="1"/>
  <c r="X6701" i="1" s="1"/>
  <c r="V6705" i="1"/>
  <c r="D6705" i="1"/>
  <c r="X6705" i="1" s="1"/>
  <c r="V6709" i="1"/>
  <c r="D6709" i="1"/>
  <c r="X6709" i="1" s="1"/>
  <c r="V6713" i="1"/>
  <c r="D6713" i="1"/>
  <c r="X6713" i="1" s="1"/>
  <c r="V6717" i="1"/>
  <c r="D6717" i="1"/>
  <c r="X6717" i="1" s="1"/>
  <c r="V6721" i="1"/>
  <c r="D6721" i="1"/>
  <c r="X6721" i="1" s="1"/>
  <c r="V6725" i="1"/>
  <c r="D6725" i="1"/>
  <c r="X6725" i="1" s="1"/>
  <c r="V6729" i="1"/>
  <c r="D6729" i="1"/>
  <c r="X6729" i="1" s="1"/>
  <c r="V6733" i="1"/>
  <c r="D6733" i="1"/>
  <c r="X6733" i="1" s="1"/>
  <c r="V6737" i="1"/>
  <c r="D6737" i="1"/>
  <c r="X6737" i="1" s="1"/>
  <c r="V6741" i="1"/>
  <c r="D6741" i="1"/>
  <c r="X6741" i="1" s="1"/>
  <c r="V6745" i="1"/>
  <c r="D6745" i="1"/>
  <c r="X6745" i="1" s="1"/>
  <c r="V6749" i="1"/>
  <c r="D6749" i="1"/>
  <c r="X6749" i="1" s="1"/>
  <c r="V6753" i="1"/>
  <c r="D6753" i="1"/>
  <c r="X6753" i="1" s="1"/>
  <c r="V6757" i="1"/>
  <c r="D6757" i="1"/>
  <c r="X6757" i="1" s="1"/>
  <c r="V6761" i="1"/>
  <c r="D6761" i="1"/>
  <c r="X6761" i="1" s="1"/>
  <c r="V6765" i="1"/>
  <c r="D6765" i="1"/>
  <c r="X6765" i="1" s="1"/>
  <c r="V6769" i="1"/>
  <c r="D6769" i="1"/>
  <c r="X6769" i="1" s="1"/>
  <c r="V6773" i="1"/>
  <c r="D6773" i="1"/>
  <c r="X6773" i="1" s="1"/>
  <c r="V6777" i="1"/>
  <c r="D6777" i="1"/>
  <c r="X6777" i="1" s="1"/>
  <c r="V6781" i="1"/>
  <c r="D6781" i="1"/>
  <c r="X6781" i="1" s="1"/>
  <c r="V6785" i="1"/>
  <c r="D6785" i="1"/>
  <c r="X6785" i="1" s="1"/>
  <c r="V6789" i="1"/>
  <c r="D6789" i="1"/>
  <c r="X6789" i="1" s="1"/>
  <c r="V6792" i="1"/>
  <c r="D6792" i="1"/>
  <c r="X6792" i="1" s="1"/>
  <c r="V6796" i="1"/>
  <c r="D6796" i="1"/>
  <c r="X6796" i="1" s="1"/>
  <c r="V6799" i="1"/>
  <c r="D6799" i="1"/>
  <c r="X6799" i="1" s="1"/>
  <c r="V6803" i="1"/>
  <c r="D6803" i="1"/>
  <c r="X6803" i="1" s="1"/>
  <c r="V6806" i="1"/>
  <c r="V6810" i="1"/>
  <c r="D6810" i="1"/>
  <c r="X6810" i="1" s="1"/>
  <c r="V6816" i="1"/>
  <c r="V6819" i="1"/>
  <c r="D6819" i="1"/>
  <c r="X6819" i="1" s="1"/>
  <c r="V6824" i="1"/>
  <c r="V6827" i="1"/>
  <c r="D6827" i="1"/>
  <c r="X6827" i="1" s="1"/>
  <c r="V6832" i="1"/>
  <c r="V6835" i="1"/>
  <c r="D6835" i="1"/>
  <c r="X6835" i="1" s="1"/>
  <c r="V6840" i="1"/>
  <c r="V6843" i="1"/>
  <c r="D6843" i="1"/>
  <c r="X6843" i="1" s="1"/>
  <c r="V6848" i="1"/>
  <c r="V6851" i="1"/>
  <c r="D6851" i="1"/>
  <c r="X6851" i="1" s="1"/>
  <c r="V6856" i="1"/>
  <c r="V6859" i="1"/>
  <c r="D6859" i="1"/>
  <c r="X6859" i="1" s="1"/>
  <c r="V6864" i="1"/>
  <c r="V6867" i="1"/>
  <c r="D6867" i="1"/>
  <c r="X6867" i="1" s="1"/>
  <c r="V6872" i="1"/>
  <c r="V6875" i="1"/>
  <c r="D6875" i="1"/>
  <c r="X6875" i="1" s="1"/>
  <c r="V6880" i="1"/>
  <c r="V6883" i="1"/>
  <c r="D6883" i="1"/>
  <c r="X6883" i="1" s="1"/>
  <c r="V6888" i="1"/>
  <c r="V6891" i="1"/>
  <c r="D6891" i="1"/>
  <c r="X6891" i="1" s="1"/>
  <c r="V6894" i="1"/>
  <c r="D6894" i="1"/>
  <c r="X6894" i="1" s="1"/>
  <c r="V6900" i="1"/>
  <c r="V6904" i="1"/>
  <c r="D6904" i="1"/>
  <c r="X6904" i="1" s="1"/>
  <c r="V6911" i="1"/>
  <c r="D6911" i="1"/>
  <c r="X6911" i="1" s="1"/>
  <c r="V6914" i="1"/>
  <c r="V6917" i="1"/>
  <c r="D6917" i="1"/>
  <c r="X6917" i="1" s="1"/>
  <c r="V6921" i="1"/>
  <c r="D6921" i="1"/>
  <c r="X6921" i="1" s="1"/>
  <c r="V6928" i="1"/>
  <c r="D6928" i="1"/>
  <c r="X6928" i="1" s="1"/>
  <c r="V6931" i="1"/>
  <c r="D6931" i="1"/>
  <c r="X6931" i="1" s="1"/>
  <c r="V6934" i="1"/>
  <c r="D6934" i="1"/>
  <c r="X6934" i="1" s="1"/>
  <c r="V6938" i="1"/>
  <c r="D6938" i="1"/>
  <c r="X6938" i="1" s="1"/>
  <c r="V6941" i="1"/>
  <c r="D6941" i="1"/>
  <c r="X6941" i="1" s="1"/>
  <c r="V6945" i="1"/>
  <c r="D6945" i="1"/>
  <c r="X6945" i="1" s="1"/>
  <c r="V6951" i="1"/>
  <c r="D6951" i="1"/>
  <c r="X6951" i="1" s="1"/>
  <c r="V6955" i="1"/>
  <c r="D6955" i="1"/>
  <c r="X6955" i="1" s="1"/>
  <c r="V6958" i="1"/>
  <c r="D6958" i="1"/>
  <c r="X6958" i="1" s="1"/>
  <c r="V6964" i="1"/>
  <c r="V6968" i="1"/>
  <c r="D6968" i="1"/>
  <c r="X6968" i="1" s="1"/>
  <c r="V6975" i="1"/>
  <c r="D6975" i="1"/>
  <c r="X6975" i="1" s="1"/>
  <c r="V6978" i="1"/>
  <c r="V6981" i="1"/>
  <c r="D6981" i="1"/>
  <c r="X6981" i="1" s="1"/>
  <c r="V6985" i="1"/>
  <c r="D6985" i="1"/>
  <c r="X6985" i="1" s="1"/>
  <c r="V6992" i="1"/>
  <c r="D6992" i="1"/>
  <c r="X6992" i="1" s="1"/>
  <c r="V6995" i="1"/>
  <c r="D6995" i="1"/>
  <c r="X6995" i="1" s="1"/>
  <c r="V6998" i="1"/>
  <c r="D6998" i="1"/>
  <c r="X6998" i="1" s="1"/>
  <c r="V7002" i="1"/>
  <c r="D7002" i="1"/>
  <c r="X7002" i="1" s="1"/>
  <c r="V7005" i="1"/>
  <c r="D7005" i="1"/>
  <c r="X7005" i="1" s="1"/>
  <c r="V7009" i="1"/>
  <c r="D7009" i="1"/>
  <c r="X7009" i="1" s="1"/>
  <c r="V7015" i="1"/>
  <c r="D7015" i="1"/>
  <c r="X7015" i="1" s="1"/>
  <c r="V7019" i="1"/>
  <c r="D7019" i="1"/>
  <c r="X7019" i="1" s="1"/>
  <c r="V7022" i="1"/>
  <c r="D7022" i="1"/>
  <c r="X7022" i="1" s="1"/>
  <c r="V7026" i="1"/>
  <c r="D7026" i="1"/>
  <c r="X7026" i="1" s="1"/>
  <c r="V7029" i="1"/>
  <c r="D7029" i="1"/>
  <c r="X7029" i="1" s="1"/>
  <c r="V7033" i="1"/>
  <c r="D7033" i="1"/>
  <c r="X7033" i="1" s="1"/>
  <c r="V7040" i="1"/>
  <c r="D7040" i="1"/>
  <c r="X7040" i="1" s="1"/>
  <c r="V7047" i="1"/>
  <c r="D7047" i="1"/>
  <c r="X7047" i="1" s="1"/>
  <c r="V7051" i="1"/>
  <c r="D7051" i="1"/>
  <c r="X7051" i="1" s="1"/>
  <c r="V7054" i="1"/>
  <c r="D7054" i="1"/>
  <c r="X7054" i="1" s="1"/>
  <c r="V7058" i="1"/>
  <c r="D7058" i="1"/>
  <c r="X7058" i="1" s="1"/>
  <c r="V7061" i="1"/>
  <c r="D7061" i="1"/>
  <c r="X7061" i="1" s="1"/>
  <c r="V7065" i="1"/>
  <c r="D7065" i="1"/>
  <c r="X7065" i="1" s="1"/>
  <c r="V7072" i="1"/>
  <c r="D7072" i="1"/>
  <c r="X7072" i="1" s="1"/>
  <c r="V7079" i="1"/>
  <c r="D7079" i="1"/>
  <c r="X7079" i="1" s="1"/>
  <c r="V7083" i="1"/>
  <c r="D7083" i="1"/>
  <c r="X7083" i="1" s="1"/>
  <c r="V7086" i="1"/>
  <c r="D7086" i="1"/>
  <c r="X7086" i="1" s="1"/>
  <c r="V7090" i="1"/>
  <c r="D7090" i="1"/>
  <c r="X7090" i="1" s="1"/>
  <c r="V7093" i="1"/>
  <c r="D7093" i="1"/>
  <c r="X7093" i="1" s="1"/>
  <c r="V7097" i="1"/>
  <c r="D7097" i="1"/>
  <c r="X7097" i="1" s="1"/>
  <c r="V7104" i="1"/>
  <c r="D7104" i="1"/>
  <c r="X7104" i="1" s="1"/>
  <c r="V7111" i="1"/>
  <c r="D7111" i="1"/>
  <c r="X7111" i="1" s="1"/>
  <c r="V7115" i="1"/>
  <c r="D7115" i="1"/>
  <c r="X7115" i="1" s="1"/>
  <c r="V7118" i="1"/>
  <c r="D7118" i="1"/>
  <c r="X7118" i="1" s="1"/>
  <c r="V7122" i="1"/>
  <c r="D7122" i="1"/>
  <c r="X7122" i="1" s="1"/>
  <c r="V7125" i="1"/>
  <c r="D7125" i="1"/>
  <c r="X7125" i="1" s="1"/>
  <c r="V7129" i="1"/>
  <c r="D7129" i="1"/>
  <c r="X7129" i="1" s="1"/>
  <c r="V7136" i="1"/>
  <c r="D7136" i="1"/>
  <c r="X7136" i="1" s="1"/>
  <c r="V7145" i="1"/>
  <c r="D7145" i="1"/>
  <c r="X7145" i="1" s="1"/>
  <c r="V7153" i="1"/>
  <c r="D7153" i="1"/>
  <c r="X7153" i="1" s="1"/>
  <c r="V7161" i="1"/>
  <c r="D7161" i="1"/>
  <c r="X7161" i="1" s="1"/>
  <c r="V7169" i="1"/>
  <c r="D7169" i="1"/>
  <c r="X7169" i="1" s="1"/>
  <c r="V7177" i="1"/>
  <c r="D7177" i="1"/>
  <c r="X7177" i="1" s="1"/>
  <c r="V7185" i="1"/>
  <c r="D7185" i="1"/>
  <c r="X7185" i="1" s="1"/>
  <c r="V7193" i="1"/>
  <c r="D7193" i="1"/>
  <c r="X7193" i="1" s="1"/>
  <c r="V7201" i="1"/>
  <c r="D7201" i="1"/>
  <c r="X7201" i="1" s="1"/>
  <c r="V7209" i="1"/>
  <c r="D7209" i="1"/>
  <c r="X7209" i="1" s="1"/>
  <c r="V7217" i="1"/>
  <c r="D7217" i="1"/>
  <c r="X7217" i="1" s="1"/>
  <c r="V7225" i="1"/>
  <c r="D7225" i="1"/>
  <c r="X7225" i="1" s="1"/>
  <c r="V7233" i="1"/>
  <c r="D7233" i="1"/>
  <c r="X7233" i="1" s="1"/>
  <c r="V7241" i="1"/>
  <c r="D7241" i="1"/>
  <c r="X7241" i="1" s="1"/>
  <c r="V7249" i="1"/>
  <c r="D7249" i="1"/>
  <c r="X7249" i="1" s="1"/>
  <c r="V7257" i="1"/>
  <c r="D7257" i="1"/>
  <c r="X7257" i="1" s="1"/>
  <c r="V7265" i="1"/>
  <c r="D7265" i="1"/>
  <c r="X7265" i="1" s="1"/>
  <c r="V7273" i="1"/>
  <c r="D7273" i="1"/>
  <c r="X7273" i="1" s="1"/>
  <c r="V7281" i="1"/>
  <c r="D7281" i="1"/>
  <c r="X7281" i="1" s="1"/>
  <c r="V7289" i="1"/>
  <c r="D7289" i="1"/>
  <c r="X7289" i="1" s="1"/>
  <c r="V7297" i="1"/>
  <c r="D7297" i="1"/>
  <c r="X7297" i="1" s="1"/>
  <c r="V7305" i="1"/>
  <c r="D7305" i="1"/>
  <c r="X7305" i="1" s="1"/>
  <c r="V7313" i="1"/>
  <c r="D7313" i="1"/>
  <c r="X7313" i="1" s="1"/>
  <c r="V7321" i="1"/>
  <c r="D7321" i="1"/>
  <c r="X7321" i="1" s="1"/>
  <c r="V7329" i="1"/>
  <c r="D7329" i="1"/>
  <c r="X7329" i="1" s="1"/>
  <c r="V7337" i="1"/>
  <c r="D7337" i="1"/>
  <c r="X7337" i="1" s="1"/>
  <c r="V7345" i="1"/>
  <c r="D7345" i="1"/>
  <c r="X7345" i="1" s="1"/>
  <c r="V7353" i="1"/>
  <c r="D7353" i="1"/>
  <c r="X7353" i="1" s="1"/>
  <c r="V7361" i="1"/>
  <c r="D7361" i="1"/>
  <c r="X7361" i="1" s="1"/>
  <c r="V7369" i="1"/>
  <c r="D7369" i="1"/>
  <c r="X7369" i="1" s="1"/>
  <c r="V7377" i="1"/>
  <c r="D7377" i="1"/>
  <c r="X7377" i="1" s="1"/>
  <c r="V7385" i="1"/>
  <c r="D7385" i="1"/>
  <c r="X7385" i="1" s="1"/>
  <c r="V7393" i="1"/>
  <c r="D7393" i="1"/>
  <c r="X7393" i="1" s="1"/>
  <c r="V7401" i="1"/>
  <c r="D7401" i="1"/>
  <c r="X7401" i="1" s="1"/>
  <c r="V7409" i="1"/>
  <c r="D7409" i="1"/>
  <c r="X7409" i="1" s="1"/>
  <c r="V7417" i="1"/>
  <c r="D7417" i="1"/>
  <c r="X7417" i="1" s="1"/>
  <c r="V7425" i="1"/>
  <c r="D7425" i="1"/>
  <c r="X7425" i="1" s="1"/>
  <c r="V7433" i="1"/>
  <c r="D7433" i="1"/>
  <c r="X7433" i="1" s="1"/>
  <c r="V7441" i="1"/>
  <c r="D7441" i="1"/>
  <c r="X7441" i="1" s="1"/>
  <c r="V7449" i="1"/>
  <c r="D7449" i="1"/>
  <c r="X7449" i="1" s="1"/>
  <c r="V7457" i="1"/>
  <c r="D7457" i="1"/>
  <c r="X7457" i="1" s="1"/>
  <c r="V7465" i="1"/>
  <c r="D7465" i="1"/>
  <c r="X7465" i="1" s="1"/>
  <c r="V7473" i="1"/>
  <c r="D7473" i="1"/>
  <c r="X7473" i="1" s="1"/>
  <c r="V7481" i="1"/>
  <c r="D7481" i="1"/>
  <c r="X7481" i="1" s="1"/>
  <c r="V7489" i="1"/>
  <c r="D7489" i="1"/>
  <c r="X7489" i="1" s="1"/>
  <c r="V7497" i="1"/>
  <c r="D7497" i="1"/>
  <c r="X7497" i="1" s="1"/>
  <c r="V7501" i="1"/>
  <c r="D7501" i="1"/>
  <c r="X7501" i="1" s="1"/>
  <c r="V7507" i="1"/>
  <c r="D7507" i="1"/>
  <c r="X7507" i="1" s="1"/>
  <c r="V7513" i="1"/>
  <c r="D7513" i="1"/>
  <c r="X7513" i="1" s="1"/>
  <c r="V7517" i="1"/>
  <c r="D7517" i="1"/>
  <c r="X7517" i="1" s="1"/>
  <c r="V7523" i="1"/>
  <c r="D7523" i="1"/>
  <c r="X7523" i="1" s="1"/>
  <c r="V7529" i="1"/>
  <c r="D7529" i="1"/>
  <c r="X7529" i="1" s="1"/>
  <c r="V7533" i="1"/>
  <c r="D7533" i="1"/>
  <c r="X7533" i="1" s="1"/>
  <c r="V7539" i="1"/>
  <c r="D7539" i="1"/>
  <c r="X7539" i="1" s="1"/>
  <c r="V7545" i="1"/>
  <c r="D7545" i="1"/>
  <c r="X7545" i="1" s="1"/>
  <c r="V7549" i="1"/>
  <c r="D7549" i="1"/>
  <c r="X7549" i="1" s="1"/>
  <c r="V7555" i="1"/>
  <c r="D7555" i="1"/>
  <c r="X7555" i="1" s="1"/>
  <c r="V7561" i="1"/>
  <c r="D7561" i="1"/>
  <c r="X7561" i="1" s="1"/>
  <c r="V7565" i="1"/>
  <c r="D7565" i="1"/>
  <c r="X7565" i="1" s="1"/>
  <c r="V7571" i="1"/>
  <c r="D7571" i="1"/>
  <c r="X7571" i="1" s="1"/>
  <c r="V7577" i="1"/>
  <c r="D7577" i="1"/>
  <c r="X7577" i="1" s="1"/>
  <c r="V7581" i="1"/>
  <c r="D7581" i="1"/>
  <c r="X7581" i="1" s="1"/>
  <c r="V7587" i="1"/>
  <c r="D7587" i="1"/>
  <c r="X7587" i="1" s="1"/>
  <c r="V7593" i="1"/>
  <c r="D7593" i="1"/>
  <c r="X7593" i="1" s="1"/>
  <c r="V7597" i="1"/>
  <c r="D7597" i="1"/>
  <c r="X7597" i="1" s="1"/>
  <c r="V7603" i="1"/>
  <c r="D7603" i="1"/>
  <c r="X7603" i="1" s="1"/>
  <c r="V7609" i="1"/>
  <c r="D7609" i="1"/>
  <c r="X7609" i="1" s="1"/>
  <c r="V7613" i="1"/>
  <c r="D7613" i="1"/>
  <c r="X7613" i="1" s="1"/>
  <c r="V7619" i="1"/>
  <c r="D7619" i="1"/>
  <c r="X7619" i="1" s="1"/>
  <c r="V7625" i="1"/>
  <c r="D7625" i="1"/>
  <c r="X7625" i="1" s="1"/>
  <c r="V7629" i="1"/>
  <c r="D7629" i="1"/>
  <c r="X7629" i="1" s="1"/>
  <c r="V7635" i="1"/>
  <c r="D7635" i="1"/>
  <c r="X7635" i="1" s="1"/>
  <c r="V7641" i="1"/>
  <c r="D7641" i="1"/>
  <c r="X7641" i="1" s="1"/>
  <c r="V7645" i="1"/>
  <c r="D7645" i="1"/>
  <c r="X7645" i="1" s="1"/>
  <c r="V7651" i="1"/>
  <c r="D7651" i="1"/>
  <c r="X7651" i="1" s="1"/>
  <c r="V7657" i="1"/>
  <c r="D7657" i="1"/>
  <c r="X7657" i="1" s="1"/>
  <c r="V7661" i="1"/>
  <c r="D7661" i="1"/>
  <c r="X7661" i="1" s="1"/>
  <c r="V7667" i="1"/>
  <c r="D7667" i="1"/>
  <c r="X7667" i="1" s="1"/>
  <c r="V7673" i="1"/>
  <c r="D7673" i="1"/>
  <c r="X7673" i="1" s="1"/>
  <c r="V7677" i="1"/>
  <c r="D7677" i="1"/>
  <c r="X7677" i="1" s="1"/>
  <c r="V7683" i="1"/>
  <c r="D7683" i="1"/>
  <c r="X7683" i="1" s="1"/>
  <c r="V7689" i="1"/>
  <c r="D7689" i="1"/>
  <c r="X7689" i="1" s="1"/>
  <c r="V7693" i="1"/>
  <c r="D7693" i="1"/>
  <c r="X7693" i="1" s="1"/>
  <c r="V7699" i="1"/>
  <c r="D7699" i="1"/>
  <c r="X7699" i="1" s="1"/>
  <c r="V7705" i="1"/>
  <c r="D7705" i="1"/>
  <c r="X7705" i="1" s="1"/>
  <c r="V7709" i="1"/>
  <c r="D7709" i="1"/>
  <c r="X7709" i="1" s="1"/>
  <c r="V7715" i="1"/>
  <c r="D7715" i="1"/>
  <c r="X7715" i="1" s="1"/>
  <c r="V7721" i="1"/>
  <c r="D7721" i="1"/>
  <c r="X7721" i="1" s="1"/>
  <c r="V7725" i="1"/>
  <c r="D7725" i="1"/>
  <c r="X7725" i="1" s="1"/>
  <c r="V7731" i="1"/>
  <c r="D7731" i="1"/>
  <c r="X7731" i="1" s="1"/>
  <c r="V7737" i="1"/>
  <c r="D7737" i="1"/>
  <c r="X7737" i="1" s="1"/>
  <c r="V7741" i="1"/>
  <c r="D7741" i="1"/>
  <c r="X7741" i="1" s="1"/>
  <c r="V7747" i="1"/>
  <c r="D7747" i="1"/>
  <c r="X7747" i="1" s="1"/>
  <c r="V7753" i="1"/>
  <c r="D7753" i="1"/>
  <c r="X7753" i="1" s="1"/>
  <c r="V7809" i="1"/>
  <c r="V7857" i="1"/>
  <c r="V7889" i="1"/>
  <c r="V7921" i="1"/>
  <c r="V7949" i="1"/>
  <c r="V7957" i="1"/>
  <c r="V7965" i="1"/>
  <c r="V7973" i="1"/>
  <c r="V7981" i="1"/>
  <c r="V7989" i="1"/>
  <c r="V8005" i="1"/>
  <c r="V8013" i="1"/>
  <c r="V8021" i="1"/>
  <c r="V8029" i="1"/>
  <c r="V8037" i="1"/>
  <c r="V8045" i="1"/>
  <c r="V8061" i="1"/>
  <c r="V8069" i="1"/>
  <c r="V8194" i="1"/>
  <c r="V8210" i="1"/>
  <c r="V8245" i="1"/>
  <c r="V8261" i="1"/>
  <c r="V8285" i="1"/>
  <c r="V8317" i="1"/>
  <c r="V8349" i="1"/>
  <c r="V8381" i="1"/>
  <c r="D8399" i="1"/>
  <c r="X8399" i="1" s="1"/>
  <c r="D8395" i="1"/>
  <c r="X8395" i="1" s="1"/>
  <c r="D8391" i="1"/>
  <c r="X8391" i="1" s="1"/>
  <c r="D8387" i="1"/>
  <c r="X8387" i="1" s="1"/>
  <c r="D8383" i="1"/>
  <c r="X8383" i="1" s="1"/>
  <c r="D8379" i="1"/>
  <c r="X8379" i="1" s="1"/>
  <c r="D8375" i="1"/>
  <c r="X8375" i="1" s="1"/>
  <c r="D8371" i="1"/>
  <c r="X8371" i="1" s="1"/>
  <c r="D8367" i="1"/>
  <c r="X8367" i="1" s="1"/>
  <c r="D8363" i="1"/>
  <c r="X8363" i="1" s="1"/>
  <c r="D8359" i="1"/>
  <c r="X8359" i="1" s="1"/>
  <c r="D8355" i="1"/>
  <c r="X8355" i="1" s="1"/>
  <c r="D8351" i="1"/>
  <c r="X8351" i="1" s="1"/>
  <c r="D8347" i="1"/>
  <c r="X8347" i="1" s="1"/>
  <c r="D8343" i="1"/>
  <c r="X8343" i="1" s="1"/>
  <c r="D8339" i="1"/>
  <c r="X8339" i="1" s="1"/>
  <c r="D8335" i="1"/>
  <c r="X8335" i="1" s="1"/>
  <c r="D8331" i="1"/>
  <c r="X8331" i="1" s="1"/>
  <c r="D8327" i="1"/>
  <c r="X8327" i="1" s="1"/>
  <c r="D8323" i="1"/>
  <c r="X8323" i="1" s="1"/>
  <c r="D8319" i="1"/>
  <c r="X8319" i="1" s="1"/>
  <c r="D8315" i="1"/>
  <c r="X8315" i="1" s="1"/>
  <c r="D8311" i="1"/>
  <c r="X8311" i="1" s="1"/>
  <c r="D8307" i="1"/>
  <c r="X8307" i="1" s="1"/>
  <c r="D8303" i="1"/>
  <c r="X8303" i="1" s="1"/>
  <c r="D8299" i="1"/>
  <c r="X8299" i="1" s="1"/>
  <c r="D8295" i="1"/>
  <c r="X8295" i="1" s="1"/>
  <c r="D8291" i="1"/>
  <c r="X8291" i="1" s="1"/>
  <c r="D8287" i="1"/>
  <c r="X8287" i="1" s="1"/>
  <c r="D8283" i="1"/>
  <c r="X8283" i="1" s="1"/>
  <c r="D8279" i="1"/>
  <c r="X8279" i="1" s="1"/>
  <c r="D8275" i="1"/>
  <c r="X8275" i="1" s="1"/>
  <c r="D8271" i="1"/>
  <c r="X8271" i="1" s="1"/>
  <c r="D8263" i="1"/>
  <c r="X8263" i="1" s="1"/>
  <c r="D8255" i="1"/>
  <c r="X8255" i="1" s="1"/>
  <c r="D8247" i="1"/>
  <c r="X8247" i="1" s="1"/>
  <c r="D8239" i="1"/>
  <c r="X8239" i="1" s="1"/>
  <c r="D8231" i="1"/>
  <c r="X8231" i="1" s="1"/>
  <c r="D8227" i="1"/>
  <c r="X8227" i="1" s="1"/>
  <c r="D8223" i="1"/>
  <c r="X8223" i="1" s="1"/>
  <c r="D8219" i="1"/>
  <c r="X8219" i="1" s="1"/>
  <c r="D8215" i="1"/>
  <c r="X8215" i="1" s="1"/>
  <c r="D8211" i="1"/>
  <c r="X8211" i="1" s="1"/>
  <c r="D8207" i="1"/>
  <c r="X8207" i="1" s="1"/>
  <c r="D8203" i="1"/>
  <c r="X8203" i="1" s="1"/>
  <c r="D8199" i="1"/>
  <c r="X8199" i="1" s="1"/>
  <c r="D8195" i="1"/>
  <c r="X8195" i="1" s="1"/>
  <c r="D8191" i="1"/>
  <c r="X8191" i="1" s="1"/>
  <c r="D8187" i="1"/>
  <c r="X8187" i="1" s="1"/>
  <c r="D8183" i="1"/>
  <c r="X8183" i="1" s="1"/>
  <c r="D8179" i="1"/>
  <c r="X8179" i="1" s="1"/>
  <c r="D8175" i="1"/>
  <c r="X8175" i="1" s="1"/>
  <c r="D8171" i="1"/>
  <c r="X8171" i="1" s="1"/>
  <c r="D8167" i="1"/>
  <c r="X8167" i="1" s="1"/>
  <c r="D8163" i="1"/>
  <c r="X8163" i="1" s="1"/>
  <c r="D8159" i="1"/>
  <c r="X8159" i="1" s="1"/>
  <c r="D8155" i="1"/>
  <c r="X8155" i="1" s="1"/>
  <c r="D8151" i="1"/>
  <c r="X8151" i="1" s="1"/>
  <c r="D8147" i="1"/>
  <c r="X8147" i="1" s="1"/>
  <c r="D8143" i="1"/>
  <c r="X8143" i="1" s="1"/>
  <c r="D8139" i="1"/>
  <c r="X8139" i="1" s="1"/>
  <c r="D8135" i="1"/>
  <c r="X8135" i="1" s="1"/>
  <c r="D8131" i="1"/>
  <c r="X8131" i="1" s="1"/>
  <c r="D8127" i="1"/>
  <c r="X8127" i="1" s="1"/>
  <c r="D8123" i="1"/>
  <c r="X8123" i="1" s="1"/>
  <c r="D8119" i="1"/>
  <c r="X8119" i="1" s="1"/>
  <c r="D8115" i="1"/>
  <c r="X8115" i="1" s="1"/>
  <c r="D8111" i="1"/>
  <c r="X8111" i="1" s="1"/>
  <c r="D8107" i="1"/>
  <c r="X8107" i="1" s="1"/>
  <c r="D7947" i="1"/>
  <c r="X7947" i="1" s="1"/>
  <c r="D7943" i="1"/>
  <c r="X7943" i="1" s="1"/>
  <c r="D7939" i="1"/>
  <c r="X7939" i="1" s="1"/>
  <c r="D7935" i="1"/>
  <c r="X7935" i="1" s="1"/>
  <c r="D7931" i="1"/>
  <c r="X7931" i="1" s="1"/>
  <c r="D7927" i="1"/>
  <c r="X7927" i="1" s="1"/>
  <c r="D7923" i="1"/>
  <c r="X7923" i="1" s="1"/>
  <c r="D7919" i="1"/>
  <c r="X7919" i="1" s="1"/>
  <c r="D7915" i="1"/>
  <c r="X7915" i="1" s="1"/>
  <c r="D7911" i="1"/>
  <c r="X7911" i="1" s="1"/>
  <c r="D7907" i="1"/>
  <c r="X7907" i="1" s="1"/>
  <c r="D7903" i="1"/>
  <c r="X7903" i="1" s="1"/>
  <c r="D7899" i="1"/>
  <c r="X7899" i="1" s="1"/>
  <c r="D7895" i="1"/>
  <c r="X7895" i="1" s="1"/>
  <c r="D7891" i="1"/>
  <c r="X7891" i="1" s="1"/>
  <c r="D7887" i="1"/>
  <c r="X7887" i="1" s="1"/>
  <c r="D7883" i="1"/>
  <c r="X7883" i="1" s="1"/>
  <c r="D7879" i="1"/>
  <c r="X7879" i="1" s="1"/>
  <c r="D7875" i="1"/>
  <c r="X7875" i="1" s="1"/>
  <c r="D7871" i="1"/>
  <c r="X7871" i="1" s="1"/>
  <c r="D7867" i="1"/>
  <c r="X7867" i="1" s="1"/>
  <c r="D7863" i="1"/>
  <c r="X7863" i="1" s="1"/>
  <c r="D7859" i="1"/>
  <c r="X7859" i="1" s="1"/>
  <c r="D7855" i="1"/>
  <c r="X7855" i="1" s="1"/>
  <c r="D7851" i="1"/>
  <c r="X7851" i="1" s="1"/>
  <c r="D7847" i="1"/>
  <c r="X7847" i="1" s="1"/>
  <c r="D7843" i="1"/>
  <c r="X7843" i="1" s="1"/>
  <c r="D7839" i="1"/>
  <c r="X7839" i="1" s="1"/>
  <c r="D7835" i="1"/>
  <c r="X7835" i="1" s="1"/>
  <c r="D7827" i="1"/>
  <c r="X7827" i="1" s="1"/>
  <c r="D7823" i="1"/>
  <c r="X7823" i="1" s="1"/>
  <c r="D7819" i="1"/>
  <c r="X7819" i="1" s="1"/>
  <c r="D7811" i="1"/>
  <c r="X7811" i="1" s="1"/>
  <c r="D7807" i="1"/>
  <c r="X7807" i="1" s="1"/>
  <c r="D7803" i="1"/>
  <c r="X7803" i="1" s="1"/>
  <c r="D7795" i="1"/>
  <c r="X7795" i="1" s="1"/>
  <c r="D7791" i="1"/>
  <c r="X7791" i="1" s="1"/>
  <c r="D7787" i="1"/>
  <c r="X7787" i="1" s="1"/>
  <c r="D7783" i="1"/>
  <c r="X7783" i="1" s="1"/>
  <c r="D7779" i="1"/>
  <c r="X7779" i="1" s="1"/>
  <c r="D7775" i="1"/>
  <c r="X7775" i="1" s="1"/>
  <c r="D7771" i="1"/>
  <c r="X7771" i="1" s="1"/>
  <c r="D7767" i="1"/>
  <c r="X7767" i="1" s="1"/>
  <c r="D7763" i="1"/>
  <c r="X7763" i="1" s="1"/>
  <c r="D7759" i="1"/>
  <c r="X7759" i="1" s="1"/>
  <c r="D7754" i="1"/>
  <c r="X7754" i="1" s="1"/>
  <c r="D7738" i="1"/>
  <c r="X7738" i="1" s="1"/>
  <c r="D7722" i="1"/>
  <c r="X7722" i="1" s="1"/>
  <c r="D7706" i="1"/>
  <c r="X7706" i="1" s="1"/>
  <c r="D7690" i="1"/>
  <c r="X7690" i="1" s="1"/>
  <c r="D7674" i="1"/>
  <c r="X7674" i="1" s="1"/>
  <c r="D7658" i="1"/>
  <c r="X7658" i="1" s="1"/>
  <c r="D7642" i="1"/>
  <c r="X7642" i="1" s="1"/>
  <c r="D7626" i="1"/>
  <c r="X7626" i="1" s="1"/>
  <c r="V2887" i="1"/>
  <c r="D2887" i="1"/>
  <c r="X2887" i="1" s="1"/>
  <c r="V2895" i="1"/>
  <c r="D2895" i="1"/>
  <c r="X2895" i="1" s="1"/>
  <c r="V2903" i="1"/>
  <c r="D2903" i="1"/>
  <c r="X2903" i="1" s="1"/>
  <c r="V2911" i="1"/>
  <c r="D2911" i="1"/>
  <c r="X2911" i="1" s="1"/>
  <c r="V2919" i="1"/>
  <c r="D2919" i="1"/>
  <c r="X2919" i="1" s="1"/>
  <c r="V2927" i="1"/>
  <c r="D2927" i="1"/>
  <c r="X2927" i="1" s="1"/>
  <c r="V2935" i="1"/>
  <c r="D2935" i="1"/>
  <c r="X2935" i="1" s="1"/>
  <c r="V2943" i="1"/>
  <c r="D2943" i="1"/>
  <c r="X2943" i="1" s="1"/>
  <c r="V2951" i="1"/>
  <c r="D2951" i="1"/>
  <c r="X2951" i="1" s="1"/>
  <c r="V2959" i="1"/>
  <c r="D2959" i="1"/>
  <c r="X2959" i="1" s="1"/>
  <c r="V2967" i="1"/>
  <c r="D2967" i="1"/>
  <c r="X2967" i="1" s="1"/>
  <c r="V2975" i="1"/>
  <c r="D2975" i="1"/>
  <c r="X2975" i="1" s="1"/>
  <c r="V2983" i="1"/>
  <c r="D2983" i="1"/>
  <c r="X2983" i="1" s="1"/>
  <c r="V2991" i="1"/>
  <c r="D2991" i="1"/>
  <c r="X2991" i="1" s="1"/>
  <c r="V2999" i="1"/>
  <c r="D2999" i="1"/>
  <c r="X2999" i="1" s="1"/>
  <c r="V3007" i="1"/>
  <c r="D3007" i="1"/>
  <c r="X3007" i="1" s="1"/>
  <c r="V3015" i="1"/>
  <c r="D3015" i="1"/>
  <c r="X3015" i="1" s="1"/>
  <c r="V3023" i="1"/>
  <c r="D3023" i="1"/>
  <c r="X3023" i="1" s="1"/>
  <c r="V3031" i="1"/>
  <c r="D3031" i="1"/>
  <c r="X3031" i="1" s="1"/>
  <c r="V3039" i="1"/>
  <c r="D3039" i="1"/>
  <c r="X3039" i="1" s="1"/>
  <c r="V3047" i="1"/>
  <c r="D3047" i="1"/>
  <c r="X3047" i="1" s="1"/>
  <c r="V3055" i="1"/>
  <c r="D3055" i="1"/>
  <c r="X3055" i="1" s="1"/>
  <c r="V3063" i="1"/>
  <c r="D3063" i="1"/>
  <c r="X3063" i="1" s="1"/>
  <c r="V3071" i="1"/>
  <c r="D3071" i="1"/>
  <c r="X3071" i="1" s="1"/>
  <c r="V3076" i="1"/>
  <c r="V3079" i="1"/>
  <c r="D3079" i="1"/>
  <c r="X3079" i="1" s="1"/>
  <c r="V3084" i="1"/>
  <c r="V3087" i="1"/>
  <c r="D3087" i="1"/>
  <c r="X3087" i="1" s="1"/>
  <c r="V3092" i="1"/>
  <c r="V3096" i="1"/>
  <c r="D3096" i="1"/>
  <c r="X3096" i="1" s="1"/>
  <c r="V3099" i="1"/>
  <c r="D3099" i="1"/>
  <c r="X3099" i="1" s="1"/>
  <c r="V3102" i="1"/>
  <c r="D3102" i="1"/>
  <c r="X3102" i="1" s="1"/>
  <c r="V3108" i="1"/>
  <c r="V3112" i="1"/>
  <c r="D3112" i="1"/>
  <c r="X3112" i="1" s="1"/>
  <c r="V3115" i="1"/>
  <c r="D3115" i="1"/>
  <c r="X3115" i="1" s="1"/>
  <c r="V3118" i="1"/>
  <c r="D3118" i="1"/>
  <c r="X3118" i="1" s="1"/>
  <c r="V3124" i="1"/>
  <c r="V3128" i="1"/>
  <c r="D3128" i="1"/>
  <c r="X3128" i="1" s="1"/>
  <c r="V3131" i="1"/>
  <c r="D3131" i="1"/>
  <c r="X3131" i="1" s="1"/>
  <c r="V3134" i="1"/>
  <c r="D3134" i="1"/>
  <c r="X3134" i="1" s="1"/>
  <c r="V3140" i="1"/>
  <c r="V3144" i="1"/>
  <c r="D3144" i="1"/>
  <c r="X3144" i="1" s="1"/>
  <c r="V3147" i="1"/>
  <c r="D3147" i="1"/>
  <c r="X3147" i="1" s="1"/>
  <c r="V3150" i="1"/>
  <c r="D3150" i="1"/>
  <c r="X3150" i="1" s="1"/>
  <c r="V3156" i="1"/>
  <c r="V3160" i="1"/>
  <c r="D3160" i="1"/>
  <c r="X3160" i="1" s="1"/>
  <c r="V3163" i="1"/>
  <c r="D3163" i="1"/>
  <c r="X3163" i="1" s="1"/>
  <c r="V3166" i="1"/>
  <c r="D3166" i="1"/>
  <c r="X3166" i="1" s="1"/>
  <c r="V3172" i="1"/>
  <c r="V3176" i="1"/>
  <c r="D3176" i="1"/>
  <c r="X3176" i="1" s="1"/>
  <c r="V3179" i="1"/>
  <c r="D3179" i="1"/>
  <c r="X3179" i="1" s="1"/>
  <c r="V3182" i="1"/>
  <c r="D3182" i="1"/>
  <c r="X3182" i="1" s="1"/>
  <c r="V3188" i="1"/>
  <c r="V3192" i="1"/>
  <c r="D3192" i="1"/>
  <c r="X3192" i="1" s="1"/>
  <c r="V3195" i="1"/>
  <c r="D3195" i="1"/>
  <c r="X3195" i="1" s="1"/>
  <c r="V3198" i="1"/>
  <c r="D3198" i="1"/>
  <c r="X3198" i="1" s="1"/>
  <c r="V3204" i="1"/>
  <c r="V3208" i="1"/>
  <c r="D3208" i="1"/>
  <c r="X3208" i="1" s="1"/>
  <c r="V3211" i="1"/>
  <c r="D3211" i="1"/>
  <c r="X3211" i="1" s="1"/>
  <c r="V3214" i="1"/>
  <c r="D3214" i="1"/>
  <c r="X3214" i="1" s="1"/>
  <c r="V3220" i="1"/>
  <c r="V3224" i="1"/>
  <c r="D3224" i="1"/>
  <c r="X3224" i="1" s="1"/>
  <c r="V3227" i="1"/>
  <c r="D3227" i="1"/>
  <c r="X3227" i="1" s="1"/>
  <c r="V3230" i="1"/>
  <c r="D3230" i="1"/>
  <c r="X3230" i="1" s="1"/>
  <c r="V3236" i="1"/>
  <c r="V3240" i="1"/>
  <c r="D3240" i="1"/>
  <c r="X3240" i="1" s="1"/>
  <c r="V3243" i="1"/>
  <c r="D3243" i="1"/>
  <c r="X3243" i="1" s="1"/>
  <c r="V3246" i="1"/>
  <c r="D3246" i="1"/>
  <c r="X3246" i="1" s="1"/>
  <c r="V3252" i="1"/>
  <c r="V3256" i="1"/>
  <c r="D3256" i="1"/>
  <c r="X3256" i="1" s="1"/>
  <c r="V3259" i="1"/>
  <c r="D3259" i="1"/>
  <c r="X3259" i="1" s="1"/>
  <c r="V3262" i="1"/>
  <c r="D3262" i="1"/>
  <c r="X3262" i="1" s="1"/>
  <c r="V3268" i="1"/>
  <c r="V3272" i="1"/>
  <c r="D3272" i="1"/>
  <c r="X3272" i="1" s="1"/>
  <c r="V3275" i="1"/>
  <c r="D3275" i="1"/>
  <c r="X3275" i="1" s="1"/>
  <c r="V3278" i="1"/>
  <c r="D3278" i="1"/>
  <c r="X3278" i="1" s="1"/>
  <c r="V3284" i="1"/>
  <c r="V3288" i="1"/>
  <c r="D3288" i="1"/>
  <c r="X3288" i="1" s="1"/>
  <c r="V3291" i="1"/>
  <c r="D3291" i="1"/>
  <c r="X3291" i="1" s="1"/>
  <c r="V3294" i="1"/>
  <c r="D3294" i="1"/>
  <c r="X3294" i="1" s="1"/>
  <c r="V3300" i="1"/>
  <c r="V3304" i="1"/>
  <c r="D3304" i="1"/>
  <c r="X3304" i="1" s="1"/>
  <c r="V3307" i="1"/>
  <c r="D3307" i="1"/>
  <c r="X3307" i="1" s="1"/>
  <c r="V3310" i="1"/>
  <c r="D3310" i="1"/>
  <c r="X3310" i="1" s="1"/>
  <c r="V3316" i="1"/>
  <c r="V3320" i="1"/>
  <c r="D3320" i="1"/>
  <c r="X3320" i="1" s="1"/>
  <c r="V3323" i="1"/>
  <c r="D3323" i="1"/>
  <c r="X3323" i="1" s="1"/>
  <c r="V3326" i="1"/>
  <c r="D3326" i="1"/>
  <c r="X3326" i="1" s="1"/>
  <c r="V3330" i="1"/>
  <c r="D3330" i="1"/>
  <c r="X3330" i="1" s="1"/>
  <c r="V3334" i="1"/>
  <c r="D3334" i="1"/>
  <c r="X3334" i="1" s="1"/>
  <c r="V3338" i="1"/>
  <c r="D3338" i="1"/>
  <c r="X3338" i="1" s="1"/>
  <c r="V3342" i="1"/>
  <c r="D3342" i="1"/>
  <c r="X3342" i="1" s="1"/>
  <c r="V3346" i="1"/>
  <c r="D3346" i="1"/>
  <c r="X3346" i="1" s="1"/>
  <c r="V3350" i="1"/>
  <c r="D3350" i="1"/>
  <c r="X3350" i="1" s="1"/>
  <c r="V3354" i="1"/>
  <c r="D3354" i="1"/>
  <c r="X3354" i="1" s="1"/>
  <c r="V3358" i="1"/>
  <c r="D3358" i="1"/>
  <c r="X3358" i="1" s="1"/>
  <c r="V3362" i="1"/>
  <c r="D3362" i="1"/>
  <c r="X3362" i="1" s="1"/>
  <c r="V3366" i="1"/>
  <c r="D3366" i="1"/>
  <c r="X3366" i="1" s="1"/>
  <c r="V3370" i="1"/>
  <c r="D3370" i="1"/>
  <c r="X3370" i="1" s="1"/>
  <c r="V3374" i="1"/>
  <c r="D3374" i="1"/>
  <c r="X3374" i="1" s="1"/>
  <c r="V3378" i="1"/>
  <c r="D3378" i="1"/>
  <c r="X3378" i="1" s="1"/>
  <c r="V3382" i="1"/>
  <c r="D3382" i="1"/>
  <c r="X3382" i="1" s="1"/>
  <c r="V3386" i="1"/>
  <c r="D3386" i="1"/>
  <c r="X3386" i="1" s="1"/>
  <c r="V3390" i="1"/>
  <c r="D3390" i="1"/>
  <c r="X3390" i="1" s="1"/>
  <c r="V3394" i="1"/>
  <c r="D3394" i="1"/>
  <c r="X3394" i="1" s="1"/>
  <c r="V3398" i="1"/>
  <c r="D3398" i="1"/>
  <c r="X3398" i="1" s="1"/>
  <c r="V3402" i="1"/>
  <c r="D3402" i="1"/>
  <c r="X3402" i="1" s="1"/>
  <c r="V3406" i="1"/>
  <c r="D3406" i="1"/>
  <c r="X3406" i="1" s="1"/>
  <c r="V3410" i="1"/>
  <c r="D3410" i="1"/>
  <c r="X3410" i="1" s="1"/>
  <c r="V3414" i="1"/>
  <c r="D3414" i="1"/>
  <c r="X3414" i="1" s="1"/>
  <c r="V3418" i="1"/>
  <c r="D3418" i="1"/>
  <c r="X3418" i="1" s="1"/>
  <c r="V3422" i="1"/>
  <c r="D3422" i="1"/>
  <c r="X3422" i="1" s="1"/>
  <c r="V3426" i="1"/>
  <c r="D3426" i="1"/>
  <c r="X3426" i="1" s="1"/>
  <c r="V3430" i="1"/>
  <c r="D3430" i="1"/>
  <c r="X3430" i="1" s="1"/>
  <c r="V3434" i="1"/>
  <c r="D3434" i="1"/>
  <c r="X3434" i="1" s="1"/>
  <c r="V3438" i="1"/>
  <c r="D3438" i="1"/>
  <c r="X3438" i="1" s="1"/>
  <c r="V3442" i="1"/>
  <c r="D3442" i="1"/>
  <c r="X3442" i="1" s="1"/>
  <c r="V3446" i="1"/>
  <c r="D3446" i="1"/>
  <c r="X3446" i="1" s="1"/>
  <c r="V3450" i="1"/>
  <c r="D3450" i="1"/>
  <c r="X3450" i="1" s="1"/>
  <c r="V3454" i="1"/>
  <c r="D3454" i="1"/>
  <c r="X3454" i="1" s="1"/>
  <c r="V3458" i="1"/>
  <c r="D3458" i="1"/>
  <c r="X3458" i="1" s="1"/>
  <c r="V3462" i="1"/>
  <c r="D3462" i="1"/>
  <c r="X3462" i="1" s="1"/>
  <c r="V3466" i="1"/>
  <c r="D3466" i="1"/>
  <c r="X3466" i="1" s="1"/>
  <c r="V3470" i="1"/>
  <c r="D3470" i="1"/>
  <c r="X3470" i="1" s="1"/>
  <c r="V3474" i="1"/>
  <c r="D3474" i="1"/>
  <c r="X3474" i="1" s="1"/>
  <c r="V3478" i="1"/>
  <c r="D3478" i="1"/>
  <c r="X3478" i="1" s="1"/>
  <c r="V3482" i="1"/>
  <c r="D3482" i="1"/>
  <c r="X3482" i="1" s="1"/>
  <c r="V3486" i="1"/>
  <c r="D3486" i="1"/>
  <c r="X3486" i="1" s="1"/>
  <c r="V3490" i="1"/>
  <c r="D3490" i="1"/>
  <c r="X3490" i="1" s="1"/>
  <c r="V3494" i="1"/>
  <c r="D3494" i="1"/>
  <c r="X3494" i="1" s="1"/>
  <c r="V3498" i="1"/>
  <c r="D3498" i="1"/>
  <c r="X3498" i="1" s="1"/>
  <c r="V3502" i="1"/>
  <c r="D3502" i="1"/>
  <c r="X3502" i="1" s="1"/>
  <c r="V3506" i="1"/>
  <c r="D3506" i="1"/>
  <c r="X3506" i="1" s="1"/>
  <c r="V3510" i="1"/>
  <c r="D3510" i="1"/>
  <c r="X3510" i="1" s="1"/>
  <c r="V3514" i="1"/>
  <c r="D3514" i="1"/>
  <c r="X3514" i="1" s="1"/>
  <c r="V3518" i="1"/>
  <c r="D3518" i="1"/>
  <c r="X3518" i="1" s="1"/>
  <c r="V3522" i="1"/>
  <c r="D3522" i="1"/>
  <c r="X3522" i="1" s="1"/>
  <c r="V3526" i="1"/>
  <c r="D3526" i="1"/>
  <c r="X3526" i="1" s="1"/>
  <c r="V3530" i="1"/>
  <c r="D3530" i="1"/>
  <c r="X3530" i="1" s="1"/>
  <c r="V3534" i="1"/>
  <c r="D3534" i="1"/>
  <c r="X3534" i="1" s="1"/>
  <c r="V3538" i="1"/>
  <c r="D3538" i="1"/>
  <c r="X3538" i="1" s="1"/>
  <c r="V3542" i="1"/>
  <c r="D3542" i="1"/>
  <c r="X3542" i="1" s="1"/>
  <c r="V3546" i="1"/>
  <c r="D3546" i="1"/>
  <c r="X3546" i="1" s="1"/>
  <c r="V3550" i="1"/>
  <c r="D3550" i="1"/>
  <c r="X3550" i="1" s="1"/>
  <c r="V3554" i="1"/>
  <c r="D3554" i="1"/>
  <c r="X3554" i="1" s="1"/>
  <c r="V3558" i="1"/>
  <c r="D3558" i="1"/>
  <c r="X3558" i="1" s="1"/>
  <c r="V3562" i="1"/>
  <c r="D3562" i="1"/>
  <c r="X3562" i="1" s="1"/>
  <c r="V3566" i="1"/>
  <c r="D3566" i="1"/>
  <c r="X3566" i="1" s="1"/>
  <c r="V3570" i="1"/>
  <c r="D3570" i="1"/>
  <c r="X3570" i="1" s="1"/>
  <c r="V3574" i="1"/>
  <c r="D3574" i="1"/>
  <c r="X3574" i="1" s="1"/>
  <c r="V3578" i="1"/>
  <c r="D3578" i="1"/>
  <c r="X3578" i="1" s="1"/>
  <c r="V3582" i="1"/>
  <c r="D3582" i="1"/>
  <c r="X3582" i="1" s="1"/>
  <c r="V3586" i="1"/>
  <c r="D3586" i="1"/>
  <c r="X3586" i="1" s="1"/>
  <c r="V3590" i="1"/>
  <c r="D3590" i="1"/>
  <c r="X3590" i="1" s="1"/>
  <c r="V3594" i="1"/>
  <c r="D3594" i="1"/>
  <c r="X3594" i="1" s="1"/>
  <c r="V3598" i="1"/>
  <c r="D3598" i="1"/>
  <c r="X3598" i="1" s="1"/>
  <c r="V3602" i="1"/>
  <c r="D3602" i="1"/>
  <c r="X3602" i="1" s="1"/>
  <c r="V3606" i="1"/>
  <c r="D3606" i="1"/>
  <c r="X3606" i="1" s="1"/>
  <c r="V3610" i="1"/>
  <c r="D3610" i="1"/>
  <c r="X3610" i="1" s="1"/>
  <c r="V3614" i="1"/>
  <c r="D3614" i="1"/>
  <c r="X3614" i="1" s="1"/>
  <c r="V3618" i="1"/>
  <c r="D3618" i="1"/>
  <c r="X3618" i="1" s="1"/>
  <c r="V3622" i="1"/>
  <c r="D3622" i="1"/>
  <c r="X3622" i="1" s="1"/>
  <c r="V3626" i="1"/>
  <c r="D3626" i="1"/>
  <c r="X3626" i="1" s="1"/>
  <c r="V3630" i="1"/>
  <c r="D3630" i="1"/>
  <c r="X3630" i="1" s="1"/>
  <c r="V3634" i="1"/>
  <c r="D3634" i="1"/>
  <c r="X3634" i="1" s="1"/>
  <c r="V3638" i="1"/>
  <c r="D3638" i="1"/>
  <c r="X3638" i="1" s="1"/>
  <c r="V3642" i="1"/>
  <c r="D3642" i="1"/>
  <c r="X3642" i="1" s="1"/>
  <c r="V3646" i="1"/>
  <c r="D3646" i="1"/>
  <c r="X3646" i="1" s="1"/>
  <c r="V3650" i="1"/>
  <c r="D3650" i="1"/>
  <c r="X3650" i="1" s="1"/>
  <c r="V3654" i="1"/>
  <c r="D3654" i="1"/>
  <c r="X3654" i="1" s="1"/>
  <c r="V3658" i="1"/>
  <c r="D3658" i="1"/>
  <c r="X3658" i="1" s="1"/>
  <c r="V3662" i="1"/>
  <c r="D3662" i="1"/>
  <c r="X3662" i="1" s="1"/>
  <c r="V3666" i="1"/>
  <c r="D3666" i="1"/>
  <c r="X3666" i="1" s="1"/>
  <c r="V3670" i="1"/>
  <c r="D3670" i="1"/>
  <c r="X3670" i="1" s="1"/>
  <c r="V3674" i="1"/>
  <c r="D3674" i="1"/>
  <c r="X3674" i="1" s="1"/>
  <c r="V3678" i="1"/>
  <c r="D3678" i="1"/>
  <c r="X3678" i="1" s="1"/>
  <c r="V3682" i="1"/>
  <c r="D3682" i="1"/>
  <c r="X3682" i="1" s="1"/>
  <c r="V3686" i="1"/>
  <c r="D3686" i="1"/>
  <c r="X3686" i="1" s="1"/>
  <c r="V3690" i="1"/>
  <c r="D3690" i="1"/>
  <c r="X3690" i="1" s="1"/>
  <c r="V3694" i="1"/>
  <c r="D3694" i="1"/>
  <c r="X3694" i="1" s="1"/>
  <c r="V3698" i="1"/>
  <c r="D3698" i="1"/>
  <c r="X3698" i="1" s="1"/>
  <c r="V3702" i="1"/>
  <c r="D3702" i="1"/>
  <c r="X3702" i="1" s="1"/>
  <c r="V3706" i="1"/>
  <c r="D3706" i="1"/>
  <c r="X3706" i="1" s="1"/>
  <c r="V3710" i="1"/>
  <c r="D3710" i="1"/>
  <c r="X3710" i="1" s="1"/>
  <c r="V3714" i="1"/>
  <c r="D3714" i="1"/>
  <c r="X3714" i="1" s="1"/>
  <c r="V3718" i="1"/>
  <c r="D3718" i="1"/>
  <c r="X3718" i="1" s="1"/>
  <c r="V3722" i="1"/>
  <c r="D3722" i="1"/>
  <c r="X3722" i="1" s="1"/>
  <c r="V3726" i="1"/>
  <c r="D3726" i="1"/>
  <c r="X3726" i="1" s="1"/>
  <c r="V3730" i="1"/>
  <c r="D3730" i="1"/>
  <c r="X3730" i="1" s="1"/>
  <c r="V3734" i="1"/>
  <c r="D3734" i="1"/>
  <c r="X3734" i="1" s="1"/>
  <c r="V3738" i="1"/>
  <c r="D3738" i="1"/>
  <c r="X3738" i="1" s="1"/>
  <c r="V3742" i="1"/>
  <c r="D3742" i="1"/>
  <c r="X3742" i="1" s="1"/>
  <c r="V3746" i="1"/>
  <c r="D3746" i="1"/>
  <c r="X3746" i="1" s="1"/>
  <c r="V3750" i="1"/>
  <c r="D3750" i="1"/>
  <c r="X3750" i="1" s="1"/>
  <c r="V3754" i="1"/>
  <c r="D3754" i="1"/>
  <c r="X3754" i="1" s="1"/>
  <c r="V3758" i="1"/>
  <c r="D3758" i="1"/>
  <c r="X3758" i="1" s="1"/>
  <c r="V3762" i="1"/>
  <c r="D3762" i="1"/>
  <c r="X3762" i="1" s="1"/>
  <c r="V3766" i="1"/>
  <c r="D3766" i="1"/>
  <c r="X3766" i="1" s="1"/>
  <c r="V3770" i="1"/>
  <c r="D3770" i="1"/>
  <c r="X3770" i="1" s="1"/>
  <c r="V3774" i="1"/>
  <c r="D3774" i="1"/>
  <c r="X3774" i="1" s="1"/>
  <c r="V3778" i="1"/>
  <c r="D3778" i="1"/>
  <c r="X3778" i="1" s="1"/>
  <c r="V3782" i="1"/>
  <c r="D3782" i="1"/>
  <c r="X3782" i="1" s="1"/>
  <c r="V3786" i="1"/>
  <c r="D3786" i="1"/>
  <c r="X3786" i="1" s="1"/>
  <c r="V3790" i="1"/>
  <c r="D3790" i="1"/>
  <c r="X3790" i="1" s="1"/>
  <c r="V3794" i="1"/>
  <c r="D3794" i="1"/>
  <c r="X3794" i="1" s="1"/>
  <c r="V3798" i="1"/>
  <c r="D3798" i="1"/>
  <c r="X3798" i="1" s="1"/>
  <c r="V3802" i="1"/>
  <c r="D3802" i="1"/>
  <c r="X3802" i="1" s="1"/>
  <c r="V3806" i="1"/>
  <c r="D3806" i="1"/>
  <c r="X3806" i="1" s="1"/>
  <c r="V3810" i="1"/>
  <c r="D3810" i="1"/>
  <c r="X3810" i="1" s="1"/>
  <c r="V3814" i="1"/>
  <c r="D3814" i="1"/>
  <c r="X3814" i="1" s="1"/>
  <c r="V3818" i="1"/>
  <c r="D3818" i="1"/>
  <c r="X3818" i="1" s="1"/>
  <c r="V3822" i="1"/>
  <c r="D3822" i="1"/>
  <c r="X3822" i="1" s="1"/>
  <c r="V3826" i="1"/>
  <c r="D3826" i="1"/>
  <c r="X3826" i="1" s="1"/>
  <c r="V3830" i="1"/>
  <c r="D3830" i="1"/>
  <c r="X3830" i="1" s="1"/>
  <c r="V3834" i="1"/>
  <c r="D3834" i="1"/>
  <c r="X3834" i="1" s="1"/>
  <c r="V3838" i="1"/>
  <c r="D3838" i="1"/>
  <c r="X3838" i="1" s="1"/>
  <c r="V3842" i="1"/>
  <c r="D3842" i="1"/>
  <c r="X3842" i="1" s="1"/>
  <c r="V3846" i="1"/>
  <c r="D3846" i="1"/>
  <c r="X3846" i="1" s="1"/>
  <c r="V3850" i="1"/>
  <c r="D3850" i="1"/>
  <c r="X3850" i="1" s="1"/>
  <c r="V3854" i="1"/>
  <c r="D3854" i="1"/>
  <c r="X3854" i="1" s="1"/>
  <c r="V3858" i="1"/>
  <c r="D3858" i="1"/>
  <c r="X3858" i="1" s="1"/>
  <c r="V3862" i="1"/>
  <c r="D3862" i="1"/>
  <c r="X3862" i="1" s="1"/>
  <c r="V3866" i="1"/>
  <c r="D3866" i="1"/>
  <c r="X3866" i="1" s="1"/>
  <c r="V3870" i="1"/>
  <c r="D3870" i="1"/>
  <c r="X3870" i="1" s="1"/>
  <c r="V3874" i="1"/>
  <c r="D3874" i="1"/>
  <c r="X3874" i="1" s="1"/>
  <c r="V3878" i="1"/>
  <c r="D3878" i="1"/>
  <c r="X3878" i="1" s="1"/>
  <c r="V3882" i="1"/>
  <c r="D3882" i="1"/>
  <c r="X3882" i="1" s="1"/>
  <c r="V3886" i="1"/>
  <c r="D3886" i="1"/>
  <c r="X3886" i="1" s="1"/>
  <c r="V3890" i="1"/>
  <c r="D3890" i="1"/>
  <c r="X3890" i="1" s="1"/>
  <c r="V3894" i="1"/>
  <c r="D3894" i="1"/>
  <c r="X3894" i="1" s="1"/>
  <c r="V3898" i="1"/>
  <c r="D3898" i="1"/>
  <c r="X3898" i="1" s="1"/>
  <c r="V3902" i="1"/>
  <c r="D3902" i="1"/>
  <c r="X3902" i="1" s="1"/>
  <c r="V3906" i="1"/>
  <c r="D3906" i="1"/>
  <c r="X3906" i="1" s="1"/>
  <c r="V3910" i="1"/>
  <c r="D3910" i="1"/>
  <c r="X3910" i="1" s="1"/>
  <c r="V3914" i="1"/>
  <c r="D3914" i="1"/>
  <c r="X3914" i="1" s="1"/>
  <c r="V3918" i="1"/>
  <c r="D3918" i="1"/>
  <c r="X3918" i="1" s="1"/>
  <c r="V3922" i="1"/>
  <c r="D3922" i="1"/>
  <c r="X3922" i="1" s="1"/>
  <c r="V3926" i="1"/>
  <c r="D3926" i="1"/>
  <c r="X3926" i="1" s="1"/>
  <c r="V3930" i="1"/>
  <c r="D3930" i="1"/>
  <c r="X3930" i="1" s="1"/>
  <c r="V3934" i="1"/>
  <c r="D3934" i="1"/>
  <c r="X3934" i="1" s="1"/>
  <c r="V3938" i="1"/>
  <c r="D3938" i="1"/>
  <c r="X3938" i="1" s="1"/>
  <c r="V3942" i="1"/>
  <c r="D3942" i="1"/>
  <c r="X3942" i="1" s="1"/>
  <c r="V3946" i="1"/>
  <c r="D3946" i="1"/>
  <c r="X3946" i="1" s="1"/>
  <c r="V3950" i="1"/>
  <c r="D3950" i="1"/>
  <c r="X3950" i="1" s="1"/>
  <c r="V3954" i="1"/>
  <c r="D3954" i="1"/>
  <c r="X3954" i="1" s="1"/>
  <c r="V3958" i="1"/>
  <c r="D3958" i="1"/>
  <c r="X3958" i="1" s="1"/>
  <c r="V3962" i="1"/>
  <c r="D3962" i="1"/>
  <c r="X3962" i="1" s="1"/>
  <c r="V3966" i="1"/>
  <c r="D3966" i="1"/>
  <c r="X3966" i="1" s="1"/>
  <c r="V3970" i="1"/>
  <c r="D3970" i="1"/>
  <c r="X3970" i="1" s="1"/>
  <c r="V3974" i="1"/>
  <c r="D3974" i="1"/>
  <c r="X3974" i="1" s="1"/>
  <c r="V3978" i="1"/>
  <c r="D3978" i="1"/>
  <c r="X3978" i="1" s="1"/>
  <c r="V3982" i="1"/>
  <c r="D3982" i="1"/>
  <c r="X3982" i="1" s="1"/>
  <c r="V3986" i="1"/>
  <c r="D3986" i="1"/>
  <c r="X3986" i="1" s="1"/>
  <c r="V3990" i="1"/>
  <c r="D3990" i="1"/>
  <c r="X3990" i="1" s="1"/>
  <c r="V3994" i="1"/>
  <c r="D3994" i="1"/>
  <c r="X3994" i="1" s="1"/>
  <c r="V3998" i="1"/>
  <c r="D3998" i="1"/>
  <c r="X3998" i="1" s="1"/>
  <c r="V4002" i="1"/>
  <c r="D4002" i="1"/>
  <c r="X4002" i="1" s="1"/>
  <c r="V4006" i="1"/>
  <c r="D4006" i="1"/>
  <c r="X4006" i="1" s="1"/>
  <c r="V4010" i="1"/>
  <c r="D4010" i="1"/>
  <c r="X4010" i="1" s="1"/>
  <c r="V4014" i="1"/>
  <c r="D4014" i="1"/>
  <c r="X4014" i="1" s="1"/>
  <c r="V4018" i="1"/>
  <c r="D4018" i="1"/>
  <c r="X4018" i="1" s="1"/>
  <c r="V4022" i="1"/>
  <c r="D4022" i="1"/>
  <c r="X4022" i="1" s="1"/>
  <c r="V4026" i="1"/>
  <c r="D4026" i="1"/>
  <c r="X4026" i="1" s="1"/>
  <c r="V4030" i="1"/>
  <c r="D4030" i="1"/>
  <c r="X4030" i="1" s="1"/>
  <c r="V4034" i="1"/>
  <c r="D4034" i="1"/>
  <c r="X4034" i="1" s="1"/>
  <c r="V4038" i="1"/>
  <c r="D4038" i="1"/>
  <c r="X4038" i="1" s="1"/>
  <c r="V4042" i="1"/>
  <c r="D4042" i="1"/>
  <c r="X4042" i="1" s="1"/>
  <c r="V4046" i="1"/>
  <c r="D4046" i="1"/>
  <c r="X4046" i="1" s="1"/>
  <c r="V4050" i="1"/>
  <c r="D4050" i="1"/>
  <c r="X4050" i="1" s="1"/>
  <c r="V4054" i="1"/>
  <c r="D4054" i="1"/>
  <c r="X4054" i="1" s="1"/>
  <c r="V4058" i="1"/>
  <c r="D4058" i="1"/>
  <c r="X4058" i="1" s="1"/>
  <c r="V4062" i="1"/>
  <c r="D4062" i="1"/>
  <c r="X4062" i="1" s="1"/>
  <c r="V4066" i="1"/>
  <c r="D4066" i="1"/>
  <c r="X4066" i="1" s="1"/>
  <c r="V4070" i="1"/>
  <c r="D4070" i="1"/>
  <c r="X4070" i="1" s="1"/>
  <c r="V4074" i="1"/>
  <c r="D4074" i="1"/>
  <c r="X4074" i="1" s="1"/>
  <c r="V4078" i="1"/>
  <c r="D4078" i="1"/>
  <c r="X4078" i="1" s="1"/>
  <c r="V4082" i="1"/>
  <c r="D4082" i="1"/>
  <c r="X4082" i="1" s="1"/>
  <c r="V4086" i="1"/>
  <c r="D4086" i="1"/>
  <c r="X4086" i="1" s="1"/>
  <c r="V4090" i="1"/>
  <c r="D4090" i="1"/>
  <c r="X4090" i="1" s="1"/>
  <c r="V4094" i="1"/>
  <c r="D4094" i="1"/>
  <c r="X4094" i="1" s="1"/>
  <c r="V4098" i="1"/>
  <c r="D4098" i="1"/>
  <c r="X4098" i="1" s="1"/>
  <c r="V4102" i="1"/>
  <c r="D4102" i="1"/>
  <c r="X4102" i="1" s="1"/>
  <c r="V4106" i="1"/>
  <c r="D4106" i="1"/>
  <c r="X4106" i="1" s="1"/>
  <c r="V4110" i="1"/>
  <c r="D4110" i="1"/>
  <c r="X4110" i="1" s="1"/>
  <c r="V4114" i="1"/>
  <c r="D4114" i="1"/>
  <c r="X4114" i="1" s="1"/>
  <c r="V4118" i="1"/>
  <c r="D4118" i="1"/>
  <c r="X4118" i="1" s="1"/>
  <c r="V4122" i="1"/>
  <c r="D4122" i="1"/>
  <c r="X4122" i="1" s="1"/>
  <c r="V4126" i="1"/>
  <c r="D4126" i="1"/>
  <c r="X4126" i="1" s="1"/>
  <c r="V4130" i="1"/>
  <c r="D4130" i="1"/>
  <c r="X4130" i="1" s="1"/>
  <c r="V4134" i="1"/>
  <c r="D4134" i="1"/>
  <c r="X4134" i="1" s="1"/>
  <c r="V4138" i="1"/>
  <c r="D4138" i="1"/>
  <c r="X4138" i="1" s="1"/>
  <c r="V4142" i="1"/>
  <c r="D4142" i="1"/>
  <c r="X4142" i="1" s="1"/>
  <c r="V4146" i="1"/>
  <c r="D4146" i="1"/>
  <c r="X4146" i="1" s="1"/>
  <c r="V4150" i="1"/>
  <c r="D4150" i="1"/>
  <c r="X4150" i="1" s="1"/>
  <c r="V4154" i="1"/>
  <c r="D4154" i="1"/>
  <c r="X4154" i="1" s="1"/>
  <c r="V4158" i="1"/>
  <c r="D4158" i="1"/>
  <c r="X4158" i="1" s="1"/>
  <c r="V4162" i="1"/>
  <c r="D4162" i="1"/>
  <c r="X4162" i="1" s="1"/>
  <c r="V4166" i="1"/>
  <c r="D4166" i="1"/>
  <c r="X4166" i="1" s="1"/>
  <c r="V4170" i="1"/>
  <c r="D4170" i="1"/>
  <c r="X4170" i="1" s="1"/>
  <c r="V4174" i="1"/>
  <c r="D4174" i="1"/>
  <c r="X4174" i="1" s="1"/>
  <c r="V4178" i="1"/>
  <c r="D4178" i="1"/>
  <c r="X4178" i="1" s="1"/>
  <c r="V4182" i="1"/>
  <c r="D4182" i="1"/>
  <c r="X4182" i="1" s="1"/>
  <c r="V4186" i="1"/>
  <c r="D4186" i="1"/>
  <c r="X4186" i="1" s="1"/>
  <c r="V4190" i="1"/>
  <c r="D4190" i="1"/>
  <c r="X4190" i="1" s="1"/>
  <c r="V4194" i="1"/>
  <c r="D4194" i="1"/>
  <c r="X4194" i="1" s="1"/>
  <c r="V4198" i="1"/>
  <c r="D4198" i="1"/>
  <c r="X4198" i="1" s="1"/>
  <c r="V4202" i="1"/>
  <c r="D4202" i="1"/>
  <c r="X4202" i="1" s="1"/>
  <c r="V4206" i="1"/>
  <c r="D4206" i="1"/>
  <c r="X4206" i="1" s="1"/>
  <c r="V4210" i="1"/>
  <c r="D4210" i="1"/>
  <c r="X4210" i="1" s="1"/>
  <c r="V4214" i="1"/>
  <c r="D4214" i="1"/>
  <c r="X4214" i="1" s="1"/>
  <c r="V4218" i="1"/>
  <c r="D4218" i="1"/>
  <c r="X4218" i="1" s="1"/>
  <c r="V4222" i="1"/>
  <c r="D4222" i="1"/>
  <c r="X4222" i="1" s="1"/>
  <c r="V4226" i="1"/>
  <c r="D4226" i="1"/>
  <c r="X4226" i="1" s="1"/>
  <c r="V4230" i="1"/>
  <c r="D4230" i="1"/>
  <c r="X4230" i="1" s="1"/>
  <c r="V4234" i="1"/>
  <c r="D4234" i="1"/>
  <c r="X4234" i="1" s="1"/>
  <c r="V4238" i="1"/>
  <c r="D4238" i="1"/>
  <c r="X4238" i="1" s="1"/>
  <c r="V4242" i="1"/>
  <c r="D4242" i="1"/>
  <c r="X4242" i="1" s="1"/>
  <c r="V4246" i="1"/>
  <c r="D4246" i="1"/>
  <c r="X4246" i="1" s="1"/>
  <c r="V4250" i="1"/>
  <c r="D4250" i="1"/>
  <c r="X4250" i="1" s="1"/>
  <c r="V4254" i="1"/>
  <c r="D4254" i="1"/>
  <c r="X4254" i="1" s="1"/>
  <c r="V4258" i="1"/>
  <c r="D4258" i="1"/>
  <c r="X4258" i="1" s="1"/>
  <c r="V4262" i="1"/>
  <c r="D4262" i="1"/>
  <c r="X4262" i="1" s="1"/>
  <c r="V4266" i="1"/>
  <c r="D4266" i="1"/>
  <c r="X4266" i="1" s="1"/>
  <c r="V4270" i="1"/>
  <c r="D4270" i="1"/>
  <c r="X4270" i="1" s="1"/>
  <c r="V4274" i="1"/>
  <c r="D4274" i="1"/>
  <c r="X4274" i="1" s="1"/>
  <c r="V4278" i="1"/>
  <c r="D4278" i="1"/>
  <c r="X4278" i="1" s="1"/>
  <c r="V4282" i="1"/>
  <c r="D4282" i="1"/>
  <c r="X4282" i="1" s="1"/>
  <c r="V4286" i="1"/>
  <c r="D4286" i="1"/>
  <c r="X4286" i="1" s="1"/>
  <c r="V4290" i="1"/>
  <c r="D4290" i="1"/>
  <c r="X4290" i="1" s="1"/>
  <c r="V4294" i="1"/>
  <c r="D4294" i="1"/>
  <c r="X4294" i="1" s="1"/>
  <c r="V4298" i="1"/>
  <c r="D4298" i="1"/>
  <c r="X4298" i="1" s="1"/>
  <c r="V4302" i="1"/>
  <c r="D4302" i="1"/>
  <c r="X4302" i="1" s="1"/>
  <c r="V4306" i="1"/>
  <c r="D4306" i="1"/>
  <c r="X4306" i="1" s="1"/>
  <c r="V4310" i="1"/>
  <c r="D4310" i="1"/>
  <c r="X4310" i="1" s="1"/>
  <c r="V4314" i="1"/>
  <c r="D4314" i="1"/>
  <c r="X4314" i="1" s="1"/>
  <c r="V4318" i="1"/>
  <c r="D4318" i="1"/>
  <c r="X4318" i="1" s="1"/>
  <c r="V4322" i="1"/>
  <c r="D4322" i="1"/>
  <c r="X4322" i="1" s="1"/>
  <c r="V4326" i="1"/>
  <c r="D4326" i="1"/>
  <c r="X4326" i="1" s="1"/>
  <c r="V4330" i="1"/>
  <c r="D4330" i="1"/>
  <c r="X4330" i="1" s="1"/>
  <c r="V4334" i="1"/>
  <c r="D4334" i="1"/>
  <c r="X4334" i="1" s="1"/>
  <c r="V4338" i="1"/>
  <c r="D4338" i="1"/>
  <c r="X4338" i="1" s="1"/>
  <c r="V4342" i="1"/>
  <c r="D4342" i="1"/>
  <c r="X4342" i="1" s="1"/>
  <c r="V4346" i="1"/>
  <c r="D4346" i="1"/>
  <c r="X4346" i="1" s="1"/>
  <c r="V4350" i="1"/>
  <c r="D4350" i="1"/>
  <c r="X4350" i="1" s="1"/>
  <c r="V4354" i="1"/>
  <c r="D4354" i="1"/>
  <c r="X4354" i="1" s="1"/>
  <c r="V4358" i="1"/>
  <c r="D4358" i="1"/>
  <c r="X4358" i="1" s="1"/>
  <c r="V4362" i="1"/>
  <c r="D4362" i="1"/>
  <c r="X4362" i="1" s="1"/>
  <c r="V4366" i="1"/>
  <c r="D4366" i="1"/>
  <c r="X4366" i="1" s="1"/>
  <c r="V4370" i="1"/>
  <c r="D4370" i="1"/>
  <c r="X4370" i="1" s="1"/>
  <c r="V4374" i="1"/>
  <c r="D4374" i="1"/>
  <c r="X4374" i="1" s="1"/>
  <c r="V4378" i="1"/>
  <c r="D4378" i="1"/>
  <c r="X4378" i="1" s="1"/>
  <c r="V4382" i="1"/>
  <c r="D4382" i="1"/>
  <c r="X4382" i="1" s="1"/>
  <c r="V4386" i="1"/>
  <c r="D4386" i="1"/>
  <c r="X4386" i="1" s="1"/>
  <c r="V4390" i="1"/>
  <c r="D4390" i="1"/>
  <c r="X4390" i="1" s="1"/>
  <c r="V4394" i="1"/>
  <c r="D4394" i="1"/>
  <c r="X4394" i="1" s="1"/>
  <c r="V4398" i="1"/>
  <c r="D4398" i="1"/>
  <c r="X4398" i="1" s="1"/>
  <c r="V4402" i="1"/>
  <c r="D4402" i="1"/>
  <c r="X4402" i="1" s="1"/>
  <c r="V4406" i="1"/>
  <c r="D4406" i="1"/>
  <c r="X4406" i="1" s="1"/>
  <c r="V4409" i="1"/>
  <c r="D4409" i="1"/>
  <c r="X4409" i="1" s="1"/>
  <c r="V4413" i="1"/>
  <c r="D4413" i="1"/>
  <c r="X4413" i="1" s="1"/>
  <c r="V4416" i="1"/>
  <c r="V4420" i="1"/>
  <c r="D4420" i="1"/>
  <c r="X4420" i="1" s="1"/>
  <c r="V4427" i="1"/>
  <c r="D4427" i="1"/>
  <c r="X4427" i="1" s="1"/>
  <c r="V4431" i="1"/>
  <c r="D4431" i="1"/>
  <c r="X4431" i="1" s="1"/>
  <c r="V4434" i="1"/>
  <c r="D4434" i="1"/>
  <c r="X4434" i="1" s="1"/>
  <c r="V4438" i="1"/>
  <c r="D4438" i="1"/>
  <c r="X4438" i="1" s="1"/>
  <c r="V4441" i="1"/>
  <c r="D4441" i="1"/>
  <c r="X4441" i="1" s="1"/>
  <c r="V4445" i="1"/>
  <c r="D4445" i="1"/>
  <c r="X4445" i="1" s="1"/>
  <c r="V4448" i="1"/>
  <c r="V4452" i="1"/>
  <c r="D4452" i="1"/>
  <c r="X4452" i="1" s="1"/>
  <c r="V4459" i="1"/>
  <c r="D4459" i="1"/>
  <c r="X4459" i="1" s="1"/>
  <c r="V4463" i="1"/>
  <c r="D4463" i="1"/>
  <c r="X4463" i="1" s="1"/>
  <c r="V4466" i="1"/>
  <c r="D4466" i="1"/>
  <c r="X4466" i="1" s="1"/>
  <c r="V4470" i="1"/>
  <c r="D4470" i="1"/>
  <c r="X4470" i="1" s="1"/>
  <c r="V4473" i="1"/>
  <c r="D4473" i="1"/>
  <c r="X4473" i="1" s="1"/>
  <c r="V4477" i="1"/>
  <c r="D4477" i="1"/>
  <c r="X4477" i="1" s="1"/>
  <c r="V4480" i="1"/>
  <c r="V4484" i="1"/>
  <c r="D4484" i="1"/>
  <c r="X4484" i="1" s="1"/>
  <c r="V4491" i="1"/>
  <c r="D4491" i="1"/>
  <c r="X4491" i="1" s="1"/>
  <c r="V4495" i="1"/>
  <c r="D4495" i="1"/>
  <c r="X4495" i="1" s="1"/>
  <c r="V4498" i="1"/>
  <c r="D4498" i="1"/>
  <c r="X4498" i="1" s="1"/>
  <c r="V4502" i="1"/>
  <c r="D4502" i="1"/>
  <c r="V4505" i="1"/>
  <c r="D4505" i="1"/>
  <c r="X4505" i="1" s="1"/>
  <c r="V4509" i="1"/>
  <c r="D4509" i="1"/>
  <c r="V4512" i="1"/>
  <c r="V4516" i="1"/>
  <c r="D4516" i="1"/>
  <c r="X4516" i="1" s="1"/>
  <c r="V4523" i="1"/>
  <c r="D4523" i="1"/>
  <c r="X4523" i="1" s="1"/>
  <c r="V4527" i="1"/>
  <c r="D4527" i="1"/>
  <c r="X4527" i="1" s="1"/>
  <c r="V4530" i="1"/>
  <c r="D4530" i="1"/>
  <c r="X4530" i="1" s="1"/>
  <c r="V4534" i="1"/>
  <c r="D4534" i="1"/>
  <c r="X4534" i="1" s="1"/>
  <c r="V4537" i="1"/>
  <c r="D4537" i="1"/>
  <c r="X4537" i="1" s="1"/>
  <c r="V4541" i="1"/>
  <c r="D4541" i="1"/>
  <c r="X4541" i="1" s="1"/>
  <c r="V4544" i="1"/>
  <c r="V4548" i="1"/>
  <c r="D4548" i="1"/>
  <c r="X4548" i="1" s="1"/>
  <c r="V4555" i="1"/>
  <c r="D4555" i="1"/>
  <c r="X4555" i="1" s="1"/>
  <c r="V4559" i="1"/>
  <c r="D4559" i="1"/>
  <c r="X4559" i="1" s="1"/>
  <c r="V4562" i="1"/>
  <c r="D4562" i="1"/>
  <c r="X4562" i="1" s="1"/>
  <c r="V4566" i="1"/>
  <c r="D4566" i="1"/>
  <c r="V4569" i="1"/>
  <c r="D4569" i="1"/>
  <c r="X4569" i="1" s="1"/>
  <c r="V4573" i="1"/>
  <c r="D4573" i="1"/>
  <c r="V4576" i="1"/>
  <c r="V4580" i="1"/>
  <c r="D4580" i="1"/>
  <c r="X4580" i="1" s="1"/>
  <c r="V4587" i="1"/>
  <c r="D4587" i="1"/>
  <c r="X4587" i="1" s="1"/>
  <c r="V4591" i="1"/>
  <c r="D4591" i="1"/>
  <c r="X4591" i="1" s="1"/>
  <c r="V4594" i="1"/>
  <c r="D4594" i="1"/>
  <c r="X4594" i="1" s="1"/>
  <c r="V4598" i="1"/>
  <c r="D4598" i="1"/>
  <c r="X4598" i="1" s="1"/>
  <c r="V4601" i="1"/>
  <c r="D4601" i="1"/>
  <c r="X4601" i="1" s="1"/>
  <c r="V4605" i="1"/>
  <c r="D4605" i="1"/>
  <c r="X4605" i="1" s="1"/>
  <c r="V4609" i="1"/>
  <c r="D4609" i="1"/>
  <c r="X4609" i="1" s="1"/>
  <c r="V4613" i="1"/>
  <c r="D4613" i="1"/>
  <c r="X4613" i="1" s="1"/>
  <c r="V4617" i="1"/>
  <c r="D4617" i="1"/>
  <c r="X4617" i="1" s="1"/>
  <c r="V4621" i="1"/>
  <c r="D4621" i="1"/>
  <c r="X4621" i="1" s="1"/>
  <c r="V4625" i="1"/>
  <c r="D4625" i="1"/>
  <c r="X4625" i="1" s="1"/>
  <c r="V4629" i="1"/>
  <c r="D4629" i="1"/>
  <c r="X4629" i="1" s="1"/>
  <c r="V4633" i="1"/>
  <c r="D4633" i="1"/>
  <c r="X4633" i="1" s="1"/>
  <c r="V4637" i="1"/>
  <c r="D4637" i="1"/>
  <c r="X4637" i="1" s="1"/>
  <c r="V4641" i="1"/>
  <c r="D4641" i="1"/>
  <c r="X4641" i="1" s="1"/>
  <c r="V4645" i="1"/>
  <c r="D4645" i="1"/>
  <c r="X4645" i="1" s="1"/>
  <c r="V4649" i="1"/>
  <c r="D4649" i="1"/>
  <c r="X4649" i="1" s="1"/>
  <c r="V4653" i="1"/>
  <c r="D4653" i="1"/>
  <c r="X4653" i="1" s="1"/>
  <c r="V4657" i="1"/>
  <c r="D4657" i="1"/>
  <c r="X4657" i="1" s="1"/>
  <c r="V4661" i="1"/>
  <c r="D4661" i="1"/>
  <c r="X4661" i="1" s="1"/>
  <c r="V4665" i="1"/>
  <c r="D4665" i="1"/>
  <c r="X4665" i="1" s="1"/>
  <c r="V4669" i="1"/>
  <c r="D4669" i="1"/>
  <c r="X4669" i="1" s="1"/>
  <c r="V4673" i="1"/>
  <c r="D4673" i="1"/>
  <c r="X4673" i="1" s="1"/>
  <c r="V4677" i="1"/>
  <c r="D4677" i="1"/>
  <c r="X4677" i="1" s="1"/>
  <c r="V4681" i="1"/>
  <c r="D4681" i="1"/>
  <c r="X4681" i="1" s="1"/>
  <c r="V4685" i="1"/>
  <c r="D4685" i="1"/>
  <c r="X4685" i="1" s="1"/>
  <c r="V4689" i="1"/>
  <c r="D4689" i="1"/>
  <c r="X4689" i="1" s="1"/>
  <c r="V4693" i="1"/>
  <c r="D4693" i="1"/>
  <c r="X4693" i="1" s="1"/>
  <c r="V4697" i="1"/>
  <c r="D4697" i="1"/>
  <c r="X4697" i="1" s="1"/>
  <c r="V4701" i="1"/>
  <c r="D4701" i="1"/>
  <c r="X4701" i="1" s="1"/>
  <c r="V4705" i="1"/>
  <c r="D4705" i="1"/>
  <c r="X4705" i="1" s="1"/>
  <c r="V4709" i="1"/>
  <c r="D4709" i="1"/>
  <c r="X4709" i="1" s="1"/>
  <c r="V4713" i="1"/>
  <c r="D4713" i="1"/>
  <c r="X4713" i="1" s="1"/>
  <c r="V4717" i="1"/>
  <c r="D4717" i="1"/>
  <c r="X4717" i="1" s="1"/>
  <c r="V4720" i="1"/>
  <c r="D4720" i="1"/>
  <c r="X4720" i="1" s="1"/>
  <c r="V4723" i="1"/>
  <c r="V4730" i="1"/>
  <c r="D4730" i="1"/>
  <c r="X4730" i="1" s="1"/>
  <c r="V4733" i="1"/>
  <c r="D4733" i="1"/>
  <c r="V4736" i="1"/>
  <c r="D4736" i="1"/>
  <c r="V4739" i="1"/>
  <c r="V4746" i="1"/>
  <c r="D4746" i="1"/>
  <c r="X4746" i="1" s="1"/>
  <c r="V4749" i="1"/>
  <c r="D4749" i="1"/>
  <c r="X4749" i="1" s="1"/>
  <c r="V4752" i="1"/>
  <c r="D4752" i="1"/>
  <c r="X4752" i="1" s="1"/>
  <c r="V4755" i="1"/>
  <c r="V4762" i="1"/>
  <c r="D4762" i="1"/>
  <c r="X4762" i="1" s="1"/>
  <c r="V4765" i="1"/>
  <c r="D4765" i="1"/>
  <c r="V4768" i="1"/>
  <c r="D4768" i="1"/>
  <c r="V4771" i="1"/>
  <c r="V4778" i="1"/>
  <c r="D4778" i="1"/>
  <c r="X4778" i="1" s="1"/>
  <c r="V4781" i="1"/>
  <c r="D4781" i="1"/>
  <c r="X4781" i="1" s="1"/>
  <c r="V4784" i="1"/>
  <c r="D4784" i="1"/>
  <c r="X4784" i="1" s="1"/>
  <c r="V4787" i="1"/>
  <c r="V4794" i="1"/>
  <c r="D4794" i="1"/>
  <c r="X4794" i="1" s="1"/>
  <c r="V4797" i="1"/>
  <c r="D4797" i="1"/>
  <c r="V4800" i="1"/>
  <c r="D4800" i="1"/>
  <c r="V4803" i="1"/>
  <c r="V4810" i="1"/>
  <c r="D4810" i="1"/>
  <c r="X4810" i="1" s="1"/>
  <c r="V4813" i="1"/>
  <c r="D4813" i="1"/>
  <c r="X4813" i="1" s="1"/>
  <c r="V4816" i="1"/>
  <c r="D4816" i="1"/>
  <c r="X4816" i="1" s="1"/>
  <c r="V4819" i="1"/>
  <c r="V4826" i="1"/>
  <c r="D4826" i="1"/>
  <c r="X4826" i="1" s="1"/>
  <c r="V4829" i="1"/>
  <c r="D4829" i="1"/>
  <c r="V4832" i="1"/>
  <c r="D4832" i="1"/>
  <c r="V4835" i="1"/>
  <c r="V4842" i="1"/>
  <c r="D4842" i="1"/>
  <c r="X4842" i="1" s="1"/>
  <c r="V4845" i="1"/>
  <c r="D4845" i="1"/>
  <c r="X4845" i="1" s="1"/>
  <c r="V4848" i="1"/>
  <c r="D4848" i="1"/>
  <c r="X4848" i="1" s="1"/>
  <c r="V4851" i="1"/>
  <c r="V4858" i="1"/>
  <c r="D4858" i="1"/>
  <c r="X4858" i="1" s="1"/>
  <c r="V4861" i="1"/>
  <c r="D4861" i="1"/>
  <c r="V4864" i="1"/>
  <c r="D4864" i="1"/>
  <c r="V4867" i="1"/>
  <c r="V4874" i="1"/>
  <c r="D4874" i="1"/>
  <c r="X4874" i="1" s="1"/>
  <c r="V4877" i="1"/>
  <c r="D4877" i="1"/>
  <c r="X4877" i="1" s="1"/>
  <c r="V4880" i="1"/>
  <c r="D4880" i="1"/>
  <c r="X4880" i="1" s="1"/>
  <c r="V4883" i="1"/>
  <c r="V4890" i="1"/>
  <c r="D4890" i="1"/>
  <c r="X4890" i="1" s="1"/>
  <c r="V4893" i="1"/>
  <c r="D4893" i="1"/>
  <c r="V4896" i="1"/>
  <c r="D4896" i="1"/>
  <c r="V4899" i="1"/>
  <c r="V4906" i="1"/>
  <c r="D4906" i="1"/>
  <c r="X4906" i="1" s="1"/>
  <c r="V4909" i="1"/>
  <c r="D4909" i="1"/>
  <c r="X4909" i="1" s="1"/>
  <c r="V4912" i="1"/>
  <c r="D4912" i="1"/>
  <c r="X4912" i="1" s="1"/>
  <c r="V4915" i="1"/>
  <c r="V4922" i="1"/>
  <c r="D4922" i="1"/>
  <c r="X4922" i="1" s="1"/>
  <c r="V4925" i="1"/>
  <c r="D4925" i="1"/>
  <c r="V4928" i="1"/>
  <c r="D4928" i="1"/>
  <c r="V4931" i="1"/>
  <c r="V4938" i="1"/>
  <c r="D4938" i="1"/>
  <c r="X4938" i="1" s="1"/>
  <c r="V4941" i="1"/>
  <c r="D4941" i="1"/>
  <c r="X4941" i="1" s="1"/>
  <c r="V4944" i="1"/>
  <c r="D4944" i="1"/>
  <c r="X4944" i="1" s="1"/>
  <c r="V4947" i="1"/>
  <c r="V4951" i="1"/>
  <c r="D4951" i="1"/>
  <c r="X4951" i="1" s="1"/>
  <c r="V4955" i="1"/>
  <c r="D4955" i="1"/>
  <c r="X4955" i="1" s="1"/>
  <c r="V4959" i="1"/>
  <c r="D4959" i="1"/>
  <c r="X4959" i="1" s="1"/>
  <c r="V4963" i="1"/>
  <c r="D4963" i="1"/>
  <c r="X4963" i="1" s="1"/>
  <c r="V4967" i="1"/>
  <c r="D4967" i="1"/>
  <c r="X4967" i="1" s="1"/>
  <c r="V4971" i="1"/>
  <c r="D4971" i="1"/>
  <c r="X4971" i="1" s="1"/>
  <c r="V4975" i="1"/>
  <c r="D4975" i="1"/>
  <c r="X4975" i="1" s="1"/>
  <c r="V4979" i="1"/>
  <c r="D4979" i="1"/>
  <c r="X4979" i="1" s="1"/>
  <c r="V4983" i="1"/>
  <c r="D4983" i="1"/>
  <c r="X4983" i="1" s="1"/>
  <c r="V4987" i="1"/>
  <c r="D4987" i="1"/>
  <c r="X4987" i="1" s="1"/>
  <c r="V4991" i="1"/>
  <c r="D4991" i="1"/>
  <c r="X4991" i="1" s="1"/>
  <c r="V4995" i="1"/>
  <c r="D4995" i="1"/>
  <c r="X4995" i="1" s="1"/>
  <c r="V4999" i="1"/>
  <c r="D4999" i="1"/>
  <c r="X4999" i="1" s="1"/>
  <c r="V5003" i="1"/>
  <c r="D5003" i="1"/>
  <c r="X5003" i="1" s="1"/>
  <c r="V5007" i="1"/>
  <c r="D5007" i="1"/>
  <c r="X5007" i="1" s="1"/>
  <c r="V5011" i="1"/>
  <c r="D5011" i="1"/>
  <c r="X5011" i="1" s="1"/>
  <c r="V5015" i="1"/>
  <c r="D5015" i="1"/>
  <c r="X5015" i="1" s="1"/>
  <c r="V5019" i="1"/>
  <c r="D5019" i="1"/>
  <c r="X5019" i="1" s="1"/>
  <c r="V5023" i="1"/>
  <c r="D5023" i="1"/>
  <c r="X5023" i="1" s="1"/>
  <c r="V5027" i="1"/>
  <c r="D5027" i="1"/>
  <c r="X5027" i="1" s="1"/>
  <c r="V5031" i="1"/>
  <c r="D5031" i="1"/>
  <c r="X5031" i="1" s="1"/>
  <c r="V5035" i="1"/>
  <c r="D5035" i="1"/>
  <c r="X5035" i="1" s="1"/>
  <c r="V5039" i="1"/>
  <c r="D5039" i="1"/>
  <c r="X5039" i="1" s="1"/>
  <c r="V5043" i="1"/>
  <c r="D5043" i="1"/>
  <c r="X5043" i="1" s="1"/>
  <c r="V5047" i="1"/>
  <c r="D5047" i="1"/>
  <c r="X5047" i="1" s="1"/>
  <c r="V5051" i="1"/>
  <c r="D5051" i="1"/>
  <c r="X5051" i="1" s="1"/>
  <c r="V5055" i="1"/>
  <c r="D5055" i="1"/>
  <c r="X5055" i="1" s="1"/>
  <c r="V5059" i="1"/>
  <c r="D5059" i="1"/>
  <c r="X5059" i="1" s="1"/>
  <c r="V5063" i="1"/>
  <c r="D5063" i="1"/>
  <c r="X5063" i="1" s="1"/>
  <c r="V5067" i="1"/>
  <c r="D5067" i="1"/>
  <c r="X5067" i="1" s="1"/>
  <c r="V5071" i="1"/>
  <c r="D5071" i="1"/>
  <c r="X5071" i="1" s="1"/>
  <c r="V5075" i="1"/>
  <c r="D5075" i="1"/>
  <c r="X5075" i="1" s="1"/>
  <c r="V5079" i="1"/>
  <c r="D5079" i="1"/>
  <c r="X5079" i="1" s="1"/>
  <c r="V5083" i="1"/>
  <c r="D5083" i="1"/>
  <c r="X5083" i="1" s="1"/>
  <c r="V5087" i="1"/>
  <c r="D5087" i="1"/>
  <c r="X5087" i="1" s="1"/>
  <c r="V5091" i="1"/>
  <c r="D5091" i="1"/>
  <c r="X5091" i="1" s="1"/>
  <c r="V5095" i="1"/>
  <c r="D5095" i="1"/>
  <c r="X5095" i="1" s="1"/>
  <c r="V5099" i="1"/>
  <c r="D5099" i="1"/>
  <c r="X5099" i="1" s="1"/>
  <c r="V5103" i="1"/>
  <c r="D5103" i="1"/>
  <c r="X5103" i="1" s="1"/>
  <c r="V5107" i="1"/>
  <c r="D5107" i="1"/>
  <c r="X5107" i="1" s="1"/>
  <c r="V5111" i="1"/>
  <c r="D5111" i="1"/>
  <c r="X5111" i="1" s="1"/>
  <c r="V5115" i="1"/>
  <c r="D5115" i="1"/>
  <c r="X5115" i="1" s="1"/>
  <c r="V5119" i="1"/>
  <c r="D5119" i="1"/>
  <c r="X5119" i="1" s="1"/>
  <c r="V5123" i="1"/>
  <c r="D5123" i="1"/>
  <c r="X5123" i="1" s="1"/>
  <c r="V5127" i="1"/>
  <c r="D5127" i="1"/>
  <c r="X5127" i="1" s="1"/>
  <c r="V5131" i="1"/>
  <c r="D5131" i="1"/>
  <c r="X5131" i="1" s="1"/>
  <c r="V5135" i="1"/>
  <c r="D5135" i="1"/>
  <c r="X5135" i="1" s="1"/>
  <c r="V5139" i="1"/>
  <c r="D5139" i="1"/>
  <c r="X5139" i="1" s="1"/>
  <c r="V5143" i="1"/>
  <c r="D5143" i="1"/>
  <c r="X5143" i="1" s="1"/>
  <c r="V5147" i="1"/>
  <c r="D5147" i="1"/>
  <c r="X5147" i="1" s="1"/>
  <c r="V5151" i="1"/>
  <c r="D5151" i="1"/>
  <c r="X5151" i="1" s="1"/>
  <c r="V5155" i="1"/>
  <c r="D5155" i="1"/>
  <c r="X5155" i="1" s="1"/>
  <c r="V5159" i="1"/>
  <c r="D5159" i="1"/>
  <c r="X5159" i="1" s="1"/>
  <c r="V5163" i="1"/>
  <c r="D5163" i="1"/>
  <c r="X5163" i="1" s="1"/>
  <c r="V5167" i="1"/>
  <c r="D5167" i="1"/>
  <c r="X5167" i="1" s="1"/>
  <c r="V5171" i="1"/>
  <c r="D5171" i="1"/>
  <c r="X5171" i="1" s="1"/>
  <c r="V5175" i="1"/>
  <c r="D5175" i="1"/>
  <c r="X5175" i="1" s="1"/>
  <c r="V5179" i="1"/>
  <c r="D5179" i="1"/>
  <c r="X5179" i="1" s="1"/>
  <c r="V5183" i="1"/>
  <c r="D5183" i="1"/>
  <c r="X5183" i="1" s="1"/>
  <c r="V5187" i="1"/>
  <c r="D5187" i="1"/>
  <c r="V5191" i="1"/>
  <c r="D5191" i="1"/>
  <c r="X5191" i="1" s="1"/>
  <c r="V5195" i="1"/>
  <c r="D5195" i="1"/>
  <c r="X5195" i="1" s="1"/>
  <c r="V5199" i="1"/>
  <c r="D5199" i="1"/>
  <c r="X5199" i="1" s="1"/>
  <c r="V5203" i="1"/>
  <c r="D5203" i="1"/>
  <c r="V5207" i="1"/>
  <c r="D5207" i="1"/>
  <c r="X5207" i="1" s="1"/>
  <c r="V5211" i="1"/>
  <c r="D5211" i="1"/>
  <c r="X5211" i="1" s="1"/>
  <c r="V5215" i="1"/>
  <c r="D5215" i="1"/>
  <c r="X5215" i="1" s="1"/>
  <c r="V5219" i="1"/>
  <c r="D5219" i="1"/>
  <c r="V5223" i="1"/>
  <c r="D5223" i="1"/>
  <c r="X5223" i="1" s="1"/>
  <c r="V5227" i="1"/>
  <c r="D5227" i="1"/>
  <c r="X5227" i="1" s="1"/>
  <c r="V5231" i="1"/>
  <c r="D5231" i="1"/>
  <c r="X5231" i="1" s="1"/>
  <c r="V5235" i="1"/>
  <c r="D5235" i="1"/>
  <c r="V5239" i="1"/>
  <c r="D5239" i="1"/>
  <c r="X5239" i="1" s="1"/>
  <c r="V5243" i="1"/>
  <c r="D5243" i="1"/>
  <c r="X5243" i="1" s="1"/>
  <c r="V5247" i="1"/>
  <c r="D5247" i="1"/>
  <c r="X5247" i="1" s="1"/>
  <c r="V5251" i="1"/>
  <c r="D5251" i="1"/>
  <c r="V5255" i="1"/>
  <c r="D5255" i="1"/>
  <c r="X5255" i="1" s="1"/>
  <c r="V5259" i="1"/>
  <c r="D5259" i="1"/>
  <c r="X5259" i="1" s="1"/>
  <c r="V5263" i="1"/>
  <c r="D5263" i="1"/>
  <c r="X5263" i="1" s="1"/>
  <c r="V5267" i="1"/>
  <c r="D5267" i="1"/>
  <c r="V5271" i="1"/>
  <c r="D5271" i="1"/>
  <c r="X5271" i="1" s="1"/>
  <c r="V5275" i="1"/>
  <c r="D5275" i="1"/>
  <c r="X5275" i="1" s="1"/>
  <c r="V5279" i="1"/>
  <c r="D5279" i="1"/>
  <c r="X5279" i="1" s="1"/>
  <c r="V5283" i="1"/>
  <c r="D5283" i="1"/>
  <c r="V5287" i="1"/>
  <c r="D5287" i="1"/>
  <c r="X5287" i="1" s="1"/>
  <c r="V5291" i="1"/>
  <c r="D5291" i="1"/>
  <c r="X5291" i="1" s="1"/>
  <c r="V5295" i="1"/>
  <c r="D5295" i="1"/>
  <c r="X5295" i="1" s="1"/>
  <c r="V5299" i="1"/>
  <c r="D5299" i="1"/>
  <c r="V5303" i="1"/>
  <c r="D5303" i="1"/>
  <c r="X5303" i="1" s="1"/>
  <c r="V5307" i="1"/>
  <c r="D5307" i="1"/>
  <c r="X5307" i="1" s="1"/>
  <c r="V5311" i="1"/>
  <c r="D5311" i="1"/>
  <c r="X5311" i="1" s="1"/>
  <c r="V5315" i="1"/>
  <c r="D5315" i="1"/>
  <c r="V5319" i="1"/>
  <c r="D5319" i="1"/>
  <c r="X5319" i="1" s="1"/>
  <c r="V5323" i="1"/>
  <c r="D5323" i="1"/>
  <c r="X5323" i="1" s="1"/>
  <c r="V5327" i="1"/>
  <c r="D5327" i="1"/>
  <c r="X5327" i="1" s="1"/>
  <c r="V5331" i="1"/>
  <c r="D5331" i="1"/>
  <c r="V5335" i="1"/>
  <c r="D5335" i="1"/>
  <c r="X5335" i="1" s="1"/>
  <c r="V5339" i="1"/>
  <c r="D5339" i="1"/>
  <c r="X5339" i="1" s="1"/>
  <c r="V5343" i="1"/>
  <c r="D5343" i="1"/>
  <c r="X5343" i="1" s="1"/>
  <c r="V5347" i="1"/>
  <c r="D5347" i="1"/>
  <c r="V5351" i="1"/>
  <c r="D5351" i="1"/>
  <c r="X5351" i="1" s="1"/>
  <c r="V5355" i="1"/>
  <c r="D5355" i="1"/>
  <c r="X5355" i="1" s="1"/>
  <c r="V5359" i="1"/>
  <c r="D5359" i="1"/>
  <c r="X5359" i="1" s="1"/>
  <c r="V5363" i="1"/>
  <c r="D5363" i="1"/>
  <c r="V5367" i="1"/>
  <c r="D5367" i="1"/>
  <c r="X5367" i="1" s="1"/>
  <c r="V5371" i="1"/>
  <c r="D5371" i="1"/>
  <c r="X5371" i="1" s="1"/>
  <c r="V5375" i="1"/>
  <c r="D5375" i="1"/>
  <c r="X5375" i="1" s="1"/>
  <c r="V5379" i="1"/>
  <c r="D5379" i="1"/>
  <c r="V5383" i="1"/>
  <c r="D5383" i="1"/>
  <c r="X5383" i="1" s="1"/>
  <c r="V5387" i="1"/>
  <c r="D5387" i="1"/>
  <c r="X5387" i="1" s="1"/>
  <c r="V5391" i="1"/>
  <c r="D5391" i="1"/>
  <c r="X5391" i="1" s="1"/>
  <c r="V5395" i="1"/>
  <c r="D5395" i="1"/>
  <c r="V5399" i="1"/>
  <c r="D5399" i="1"/>
  <c r="X5399" i="1" s="1"/>
  <c r="V5403" i="1"/>
  <c r="D5403" i="1"/>
  <c r="X5403" i="1" s="1"/>
  <c r="V5407" i="1"/>
  <c r="D5407" i="1"/>
  <c r="X5407" i="1" s="1"/>
  <c r="V5411" i="1"/>
  <c r="D5411" i="1"/>
  <c r="V5415" i="1"/>
  <c r="D5415" i="1"/>
  <c r="X5415" i="1" s="1"/>
  <c r="V5419" i="1"/>
  <c r="D5419" i="1"/>
  <c r="X5419" i="1" s="1"/>
  <c r="V5423" i="1"/>
  <c r="D5423" i="1"/>
  <c r="X5423" i="1" s="1"/>
  <c r="V5427" i="1"/>
  <c r="D5427" i="1"/>
  <c r="V5431" i="1"/>
  <c r="D5431" i="1"/>
  <c r="X5431" i="1" s="1"/>
  <c r="V5435" i="1"/>
  <c r="D5435" i="1"/>
  <c r="X5435" i="1" s="1"/>
  <c r="V5439" i="1"/>
  <c r="D5439" i="1"/>
  <c r="X5439" i="1" s="1"/>
  <c r="V5443" i="1"/>
  <c r="D5443" i="1"/>
  <c r="V5447" i="1"/>
  <c r="D5447" i="1"/>
  <c r="X5447" i="1" s="1"/>
  <c r="V5451" i="1"/>
  <c r="D5451" i="1"/>
  <c r="X5451" i="1" s="1"/>
  <c r="V5455" i="1"/>
  <c r="D5455" i="1"/>
  <c r="X5455" i="1" s="1"/>
  <c r="V5459" i="1"/>
  <c r="D5459" i="1"/>
  <c r="V5463" i="1"/>
  <c r="D5463" i="1"/>
  <c r="X5463" i="1" s="1"/>
  <c r="V5467" i="1"/>
  <c r="D5467" i="1"/>
  <c r="X5467" i="1" s="1"/>
  <c r="V5471" i="1"/>
  <c r="D5471" i="1"/>
  <c r="X5471" i="1" s="1"/>
  <c r="V5475" i="1"/>
  <c r="D5475" i="1"/>
  <c r="X5475" i="1" s="1"/>
  <c r="V5479" i="1"/>
  <c r="D5479" i="1"/>
  <c r="V5483" i="1"/>
  <c r="D5483" i="1"/>
  <c r="X5483" i="1" s="1"/>
  <c r="V5487" i="1"/>
  <c r="D5487" i="1"/>
  <c r="X5487" i="1" s="1"/>
  <c r="V5491" i="1"/>
  <c r="D5491" i="1"/>
  <c r="X5491" i="1" s="1"/>
  <c r="V5495" i="1"/>
  <c r="D5495" i="1"/>
  <c r="X5495" i="1" s="1"/>
  <c r="V5499" i="1"/>
  <c r="D5499" i="1"/>
  <c r="X5499" i="1" s="1"/>
  <c r="V5503" i="1"/>
  <c r="D5503" i="1"/>
  <c r="X5503" i="1" s="1"/>
  <c r="V5507" i="1"/>
  <c r="D5507" i="1"/>
  <c r="X5507" i="1" s="1"/>
  <c r="V5511" i="1"/>
  <c r="D5511" i="1"/>
  <c r="V5515" i="1"/>
  <c r="D5515" i="1"/>
  <c r="X5515" i="1" s="1"/>
  <c r="V5519" i="1"/>
  <c r="D5519" i="1"/>
  <c r="X5519" i="1" s="1"/>
  <c r="V5523" i="1"/>
  <c r="D5523" i="1"/>
  <c r="X5523" i="1" s="1"/>
  <c r="V5527" i="1"/>
  <c r="D5527" i="1"/>
  <c r="X5527" i="1" s="1"/>
  <c r="V5531" i="1"/>
  <c r="D5531" i="1"/>
  <c r="X5531" i="1" s="1"/>
  <c r="V5535" i="1"/>
  <c r="D5535" i="1"/>
  <c r="X5535" i="1" s="1"/>
  <c r="V5539" i="1"/>
  <c r="D5539" i="1"/>
  <c r="X5539" i="1" s="1"/>
  <c r="V5543" i="1"/>
  <c r="D5543" i="1"/>
  <c r="V5547" i="1"/>
  <c r="D5547" i="1"/>
  <c r="X5547" i="1" s="1"/>
  <c r="V5551" i="1"/>
  <c r="D5551" i="1"/>
  <c r="X5551" i="1" s="1"/>
  <c r="V5555" i="1"/>
  <c r="D5555" i="1"/>
  <c r="X5555" i="1" s="1"/>
  <c r="V5562" i="1"/>
  <c r="D5562" i="1"/>
  <c r="X5562" i="1" s="1"/>
  <c r="V5566" i="1"/>
  <c r="D5566" i="1"/>
  <c r="X5566" i="1" s="1"/>
  <c r="V5569" i="1"/>
  <c r="D5569" i="1"/>
  <c r="X5569" i="1" s="1"/>
  <c r="V5573" i="1"/>
  <c r="D5573" i="1"/>
  <c r="X5573" i="1" s="1"/>
  <c r="V5576" i="1"/>
  <c r="D5576" i="1"/>
  <c r="X5576" i="1" s="1"/>
  <c r="V5580" i="1"/>
  <c r="D5580" i="1"/>
  <c r="X5580" i="1" s="1"/>
  <c r="V5583" i="1"/>
  <c r="V5587" i="1"/>
  <c r="D5587" i="1"/>
  <c r="X5587" i="1" s="1"/>
  <c r="V5594" i="1"/>
  <c r="D5594" i="1"/>
  <c r="X5594" i="1" s="1"/>
  <c r="V5598" i="1"/>
  <c r="D5598" i="1"/>
  <c r="X5598" i="1" s="1"/>
  <c r="V5601" i="1"/>
  <c r="D5601" i="1"/>
  <c r="X5601" i="1" s="1"/>
  <c r="V5605" i="1"/>
  <c r="D5605" i="1"/>
  <c r="X5605" i="1" s="1"/>
  <c r="V5608" i="1"/>
  <c r="D5608" i="1"/>
  <c r="X5608" i="1" s="1"/>
  <c r="V5612" i="1"/>
  <c r="D5612" i="1"/>
  <c r="X5612" i="1" s="1"/>
  <c r="V5615" i="1"/>
  <c r="V5619" i="1"/>
  <c r="D5619" i="1"/>
  <c r="X5619" i="1" s="1"/>
  <c r="V5626" i="1"/>
  <c r="D5626" i="1"/>
  <c r="V5630" i="1"/>
  <c r="D5630" i="1"/>
  <c r="X5630" i="1" s="1"/>
  <c r="V5633" i="1"/>
  <c r="D5633" i="1"/>
  <c r="X5633" i="1" s="1"/>
  <c r="V5637" i="1"/>
  <c r="D5637" i="1"/>
  <c r="V5640" i="1"/>
  <c r="D5640" i="1"/>
  <c r="X5640" i="1" s="1"/>
  <c r="V5644" i="1"/>
  <c r="D5644" i="1"/>
  <c r="X5644" i="1" s="1"/>
  <c r="V5647" i="1"/>
  <c r="V5651" i="1"/>
  <c r="D5651" i="1"/>
  <c r="X5651" i="1" s="1"/>
  <c r="V5658" i="1"/>
  <c r="D5658" i="1"/>
  <c r="X5658" i="1" s="1"/>
  <c r="V5662" i="1"/>
  <c r="D5662" i="1"/>
  <c r="X5662" i="1" s="1"/>
  <c r="V5665" i="1"/>
  <c r="D5665" i="1"/>
  <c r="X5665" i="1" s="1"/>
  <c r="V5669" i="1"/>
  <c r="D5669" i="1"/>
  <c r="X5669" i="1" s="1"/>
  <c r="V5672" i="1"/>
  <c r="D5672" i="1"/>
  <c r="X5672" i="1" s="1"/>
  <c r="V5676" i="1"/>
  <c r="D5676" i="1"/>
  <c r="X5676" i="1" s="1"/>
  <c r="V5679" i="1"/>
  <c r="V5683" i="1"/>
  <c r="D5683" i="1"/>
  <c r="X5683" i="1" s="1"/>
  <c r="V5690" i="1"/>
  <c r="D5690" i="1"/>
  <c r="X5690" i="1" s="1"/>
  <c r="V5694" i="1"/>
  <c r="D5694" i="1"/>
  <c r="X5694" i="1" s="1"/>
  <c r="V5697" i="1"/>
  <c r="D5697" i="1"/>
  <c r="X5697" i="1" s="1"/>
  <c r="V5701" i="1"/>
  <c r="D5701" i="1"/>
  <c r="X5701" i="1" s="1"/>
  <c r="V5704" i="1"/>
  <c r="D5704" i="1"/>
  <c r="X5704" i="1" s="1"/>
  <c r="V5708" i="1"/>
  <c r="D5708" i="1"/>
  <c r="V5711" i="1"/>
  <c r="V5715" i="1"/>
  <c r="D5715" i="1"/>
  <c r="X5715" i="1" s="1"/>
  <c r="V5722" i="1"/>
  <c r="D5722" i="1"/>
  <c r="X5722" i="1" s="1"/>
  <c r="V5726" i="1"/>
  <c r="D5726" i="1"/>
  <c r="X5726" i="1" s="1"/>
  <c r="V5729" i="1"/>
  <c r="D5729" i="1"/>
  <c r="X5729" i="1" s="1"/>
  <c r="V5733" i="1"/>
  <c r="D5733" i="1"/>
  <c r="X5733" i="1" s="1"/>
  <c r="V5736" i="1"/>
  <c r="D5736" i="1"/>
  <c r="X5736" i="1" s="1"/>
  <c r="V5740" i="1"/>
  <c r="D5740" i="1"/>
  <c r="X5740" i="1" s="1"/>
  <c r="V5743" i="1"/>
  <c r="V5747" i="1"/>
  <c r="D5747" i="1"/>
  <c r="X5747" i="1" s="1"/>
  <c r="V5754" i="1"/>
  <c r="D5754" i="1"/>
  <c r="X5754" i="1" s="1"/>
  <c r="V5758" i="1"/>
  <c r="D5758" i="1"/>
  <c r="X5758" i="1" s="1"/>
  <c r="V5761" i="1"/>
  <c r="D5761" i="1"/>
  <c r="X5761" i="1" s="1"/>
  <c r="V5765" i="1"/>
  <c r="D5765" i="1"/>
  <c r="X5765" i="1" s="1"/>
  <c r="V5768" i="1"/>
  <c r="D5768" i="1"/>
  <c r="X5768" i="1" s="1"/>
  <c r="V5772" i="1"/>
  <c r="D5772" i="1"/>
  <c r="X5772" i="1" s="1"/>
  <c r="V5775" i="1"/>
  <c r="V5779" i="1"/>
  <c r="D5779" i="1"/>
  <c r="X5779" i="1" s="1"/>
  <c r="V5786" i="1"/>
  <c r="D5786" i="1"/>
  <c r="X5786" i="1" s="1"/>
  <c r="V5790" i="1"/>
  <c r="D5790" i="1"/>
  <c r="X5790" i="1" s="1"/>
  <c r="V5793" i="1"/>
  <c r="D5793" i="1"/>
  <c r="X5793" i="1" s="1"/>
  <c r="V5797" i="1"/>
  <c r="D5797" i="1"/>
  <c r="X5797" i="1" s="1"/>
  <c r="V5800" i="1"/>
  <c r="D5800" i="1"/>
  <c r="X5800" i="1" s="1"/>
  <c r="V5804" i="1"/>
  <c r="D5804" i="1"/>
  <c r="X5804" i="1" s="1"/>
  <c r="V5807" i="1"/>
  <c r="V5811" i="1"/>
  <c r="D5811" i="1"/>
  <c r="X5811" i="1" s="1"/>
  <c r="V5818" i="1"/>
  <c r="D5818" i="1"/>
  <c r="X5818" i="1" s="1"/>
  <c r="V5822" i="1"/>
  <c r="D5822" i="1"/>
  <c r="X5822" i="1" s="1"/>
  <c r="V5825" i="1"/>
  <c r="D5825" i="1"/>
  <c r="X5825" i="1" s="1"/>
  <c r="V5829" i="1"/>
  <c r="D5829" i="1"/>
  <c r="X5829" i="1" s="1"/>
  <c r="V5832" i="1"/>
  <c r="D5832" i="1"/>
  <c r="X5832" i="1" s="1"/>
  <c r="V5836" i="1"/>
  <c r="D5836" i="1"/>
  <c r="X5836" i="1" s="1"/>
  <c r="V5839" i="1"/>
  <c r="V5843" i="1"/>
  <c r="D5843" i="1"/>
  <c r="X5843" i="1" s="1"/>
  <c r="V5850" i="1"/>
  <c r="D5850" i="1"/>
  <c r="X5850" i="1" s="1"/>
  <c r="V5854" i="1"/>
  <c r="D5854" i="1"/>
  <c r="X5854" i="1" s="1"/>
  <c r="V5858" i="1"/>
  <c r="D5858" i="1"/>
  <c r="X5858" i="1" s="1"/>
  <c r="V5862" i="1"/>
  <c r="D5862" i="1"/>
  <c r="X5862" i="1" s="1"/>
  <c r="V5866" i="1"/>
  <c r="D5866" i="1"/>
  <c r="X5866" i="1" s="1"/>
  <c r="V5870" i="1"/>
  <c r="D5870" i="1"/>
  <c r="X5870" i="1" s="1"/>
  <c r="V5874" i="1"/>
  <c r="D5874" i="1"/>
  <c r="X5874" i="1" s="1"/>
  <c r="V5878" i="1"/>
  <c r="D5878" i="1"/>
  <c r="X5878" i="1" s="1"/>
  <c r="V5882" i="1"/>
  <c r="D5882" i="1"/>
  <c r="X5882" i="1" s="1"/>
  <c r="V5886" i="1"/>
  <c r="D5886" i="1"/>
  <c r="X5886" i="1" s="1"/>
  <c r="V5890" i="1"/>
  <c r="D5890" i="1"/>
  <c r="X5890" i="1" s="1"/>
  <c r="V5894" i="1"/>
  <c r="D5894" i="1"/>
  <c r="X5894" i="1" s="1"/>
  <c r="V5898" i="1"/>
  <c r="D5898" i="1"/>
  <c r="X5898" i="1" s="1"/>
  <c r="V5902" i="1"/>
  <c r="D5902" i="1"/>
  <c r="X5902" i="1" s="1"/>
  <c r="V5906" i="1"/>
  <c r="D5906" i="1"/>
  <c r="X5906" i="1" s="1"/>
  <c r="V5910" i="1"/>
  <c r="D5910" i="1"/>
  <c r="X5910" i="1" s="1"/>
  <c r="V5914" i="1"/>
  <c r="D5914" i="1"/>
  <c r="X5914" i="1" s="1"/>
  <c r="V5918" i="1"/>
  <c r="D5918" i="1"/>
  <c r="X5918" i="1" s="1"/>
  <c r="V5922" i="1"/>
  <c r="D5922" i="1"/>
  <c r="X5922" i="1" s="1"/>
  <c r="V5926" i="1"/>
  <c r="D5926" i="1"/>
  <c r="X5926" i="1" s="1"/>
  <c r="V5930" i="1"/>
  <c r="D5930" i="1"/>
  <c r="X5930" i="1" s="1"/>
  <c r="V5934" i="1"/>
  <c r="D5934" i="1"/>
  <c r="X5934" i="1" s="1"/>
  <c r="V5938" i="1"/>
  <c r="D5938" i="1"/>
  <c r="X5938" i="1" s="1"/>
  <c r="V5942" i="1"/>
  <c r="D5942" i="1"/>
  <c r="X5942" i="1" s="1"/>
  <c r="V5946" i="1"/>
  <c r="D5946" i="1"/>
  <c r="X5946" i="1" s="1"/>
  <c r="V5950" i="1"/>
  <c r="D5950" i="1"/>
  <c r="X5950" i="1" s="1"/>
  <c r="V5954" i="1"/>
  <c r="D5954" i="1"/>
  <c r="X5954" i="1" s="1"/>
  <c r="V5958" i="1"/>
  <c r="D5958" i="1"/>
  <c r="X5958" i="1" s="1"/>
  <c r="V5962" i="1"/>
  <c r="D5962" i="1"/>
  <c r="X5962" i="1" s="1"/>
  <c r="V5966" i="1"/>
  <c r="D5966" i="1"/>
  <c r="X5966" i="1" s="1"/>
  <c r="V5970" i="1"/>
  <c r="D5970" i="1"/>
  <c r="X5970" i="1" s="1"/>
  <c r="V5974" i="1"/>
  <c r="D5974" i="1"/>
  <c r="X5974" i="1" s="1"/>
  <c r="V5978" i="1"/>
  <c r="D5978" i="1"/>
  <c r="X5978" i="1" s="1"/>
  <c r="V5982" i="1"/>
  <c r="D5982" i="1"/>
  <c r="X5982" i="1" s="1"/>
  <c r="V5986" i="1"/>
  <c r="D5986" i="1"/>
  <c r="X5986" i="1" s="1"/>
  <c r="V5990" i="1"/>
  <c r="D5990" i="1"/>
  <c r="X5990" i="1" s="1"/>
  <c r="V5994" i="1"/>
  <c r="D5994" i="1"/>
  <c r="X5994" i="1" s="1"/>
  <c r="V5998" i="1"/>
  <c r="D5998" i="1"/>
  <c r="X5998" i="1" s="1"/>
  <c r="V6002" i="1"/>
  <c r="D6002" i="1"/>
  <c r="X6002" i="1" s="1"/>
  <c r="V6006" i="1"/>
  <c r="D6006" i="1"/>
  <c r="X6006" i="1" s="1"/>
  <c r="V6010" i="1"/>
  <c r="D6010" i="1"/>
  <c r="X6010" i="1" s="1"/>
  <c r="V6014" i="1"/>
  <c r="D6014" i="1"/>
  <c r="X6014" i="1" s="1"/>
  <c r="V6018" i="1"/>
  <c r="D6018" i="1"/>
  <c r="X6018" i="1" s="1"/>
  <c r="V6022" i="1"/>
  <c r="D6022" i="1"/>
  <c r="X6022" i="1" s="1"/>
  <c r="V6026" i="1"/>
  <c r="D6026" i="1"/>
  <c r="X6026" i="1" s="1"/>
  <c r="V6030" i="1"/>
  <c r="D6030" i="1"/>
  <c r="X6030" i="1" s="1"/>
  <c r="V6034" i="1"/>
  <c r="D6034" i="1"/>
  <c r="X6034" i="1" s="1"/>
  <c r="V6038" i="1"/>
  <c r="D6038" i="1"/>
  <c r="X6038" i="1" s="1"/>
  <c r="V6042" i="1"/>
  <c r="D6042" i="1"/>
  <c r="X6042" i="1" s="1"/>
  <c r="V6046" i="1"/>
  <c r="D6046" i="1"/>
  <c r="X6046" i="1" s="1"/>
  <c r="V6050" i="1"/>
  <c r="D6050" i="1"/>
  <c r="X6050" i="1" s="1"/>
  <c r="V6054" i="1"/>
  <c r="D6054" i="1"/>
  <c r="X6054" i="1" s="1"/>
  <c r="V6058" i="1"/>
  <c r="D6058" i="1"/>
  <c r="X6058" i="1" s="1"/>
  <c r="V6062" i="1"/>
  <c r="D6062" i="1"/>
  <c r="X6062" i="1" s="1"/>
  <c r="V6066" i="1"/>
  <c r="D6066" i="1"/>
  <c r="X6066" i="1" s="1"/>
  <c r="V6070" i="1"/>
  <c r="D6070" i="1"/>
  <c r="X6070" i="1" s="1"/>
  <c r="V6074" i="1"/>
  <c r="D6074" i="1"/>
  <c r="X6074" i="1" s="1"/>
  <c r="V6078" i="1"/>
  <c r="D6078" i="1"/>
  <c r="X6078" i="1" s="1"/>
  <c r="V6082" i="1"/>
  <c r="D6082" i="1"/>
  <c r="X6082" i="1" s="1"/>
  <c r="V6086" i="1"/>
  <c r="D6086" i="1"/>
  <c r="X6086" i="1" s="1"/>
  <c r="V6090" i="1"/>
  <c r="D6090" i="1"/>
  <c r="X6090" i="1" s="1"/>
  <c r="V6094" i="1"/>
  <c r="D6094" i="1"/>
  <c r="X6094" i="1" s="1"/>
  <c r="V6098" i="1"/>
  <c r="D6098" i="1"/>
  <c r="X6098" i="1" s="1"/>
  <c r="V6102" i="1"/>
  <c r="D6102" i="1"/>
  <c r="X6102" i="1" s="1"/>
  <c r="V6106" i="1"/>
  <c r="D6106" i="1"/>
  <c r="X6106" i="1" s="1"/>
  <c r="V6110" i="1"/>
  <c r="D6110" i="1"/>
  <c r="X6110" i="1" s="1"/>
  <c r="V6114" i="1"/>
  <c r="D6114" i="1"/>
  <c r="X6114" i="1" s="1"/>
  <c r="V6118" i="1"/>
  <c r="D6118" i="1"/>
  <c r="X6118" i="1" s="1"/>
  <c r="V6122" i="1"/>
  <c r="D6122" i="1"/>
  <c r="X6122" i="1" s="1"/>
  <c r="V6126" i="1"/>
  <c r="D6126" i="1"/>
  <c r="X6126" i="1" s="1"/>
  <c r="V6130" i="1"/>
  <c r="D6130" i="1"/>
  <c r="X6130" i="1" s="1"/>
  <c r="V6134" i="1"/>
  <c r="D6134" i="1"/>
  <c r="X6134" i="1" s="1"/>
  <c r="V6138" i="1"/>
  <c r="D6138" i="1"/>
  <c r="X6138" i="1" s="1"/>
  <c r="V6142" i="1"/>
  <c r="D6142" i="1"/>
  <c r="X6142" i="1" s="1"/>
  <c r="V6146" i="1"/>
  <c r="D6146" i="1"/>
  <c r="X6146" i="1" s="1"/>
  <c r="V6150" i="1"/>
  <c r="D6150" i="1"/>
  <c r="X6150" i="1" s="1"/>
  <c r="V6154" i="1"/>
  <c r="D6154" i="1"/>
  <c r="X6154" i="1" s="1"/>
  <c r="V6158" i="1"/>
  <c r="D6158" i="1"/>
  <c r="X6158" i="1" s="1"/>
  <c r="V6162" i="1"/>
  <c r="D6162" i="1"/>
  <c r="X6162" i="1" s="1"/>
  <c r="V6166" i="1"/>
  <c r="D6166" i="1"/>
  <c r="X6166" i="1" s="1"/>
  <c r="V6170" i="1"/>
  <c r="D6170" i="1"/>
  <c r="X6170" i="1" s="1"/>
  <c r="V6173" i="1"/>
  <c r="D6173" i="1"/>
  <c r="X6173" i="1" s="1"/>
  <c r="V6177" i="1"/>
  <c r="D6177" i="1"/>
  <c r="X6177" i="1" s="1"/>
  <c r="V6180" i="1"/>
  <c r="D6180" i="1"/>
  <c r="X6180" i="1" s="1"/>
  <c r="V6184" i="1"/>
  <c r="D6184" i="1"/>
  <c r="X6184" i="1" s="1"/>
  <c r="V6187" i="1"/>
  <c r="V6191" i="1"/>
  <c r="D6191" i="1"/>
  <c r="V6198" i="1"/>
  <c r="D6198" i="1"/>
  <c r="X6198" i="1" s="1"/>
  <c r="V6202" i="1"/>
  <c r="D6202" i="1"/>
  <c r="X6202" i="1" s="1"/>
  <c r="V6205" i="1"/>
  <c r="D6205" i="1"/>
  <c r="X6205" i="1" s="1"/>
  <c r="V6209" i="1"/>
  <c r="D6209" i="1"/>
  <c r="X6209" i="1" s="1"/>
  <c r="V6212" i="1"/>
  <c r="D6212" i="1"/>
  <c r="V6216" i="1"/>
  <c r="D6216" i="1"/>
  <c r="X6216" i="1" s="1"/>
  <c r="V6219" i="1"/>
  <c r="V6223" i="1"/>
  <c r="D6223" i="1"/>
  <c r="X6223" i="1" s="1"/>
  <c r="V6230" i="1"/>
  <c r="D6230" i="1"/>
  <c r="X6230" i="1" s="1"/>
  <c r="V6234" i="1"/>
  <c r="D6234" i="1"/>
  <c r="X6234" i="1" s="1"/>
  <c r="V6237" i="1"/>
  <c r="D6237" i="1"/>
  <c r="X6237" i="1" s="1"/>
  <c r="V6241" i="1"/>
  <c r="D6241" i="1"/>
  <c r="X6241" i="1" s="1"/>
  <c r="V6244" i="1"/>
  <c r="D6244" i="1"/>
  <c r="X6244" i="1" s="1"/>
  <c r="V6248" i="1"/>
  <c r="D6248" i="1"/>
  <c r="X6248" i="1" s="1"/>
  <c r="V6251" i="1"/>
  <c r="V6255" i="1"/>
  <c r="D6255" i="1"/>
  <c r="V6262" i="1"/>
  <c r="D6262" i="1"/>
  <c r="X6262" i="1" s="1"/>
  <c r="V6266" i="1"/>
  <c r="D6266" i="1"/>
  <c r="X6266" i="1" s="1"/>
  <c r="V6269" i="1"/>
  <c r="D6269" i="1"/>
  <c r="X6269" i="1" s="1"/>
  <c r="V6273" i="1"/>
  <c r="D6273" i="1"/>
  <c r="X6273" i="1" s="1"/>
  <c r="V6276" i="1"/>
  <c r="D6276" i="1"/>
  <c r="X6276" i="1" s="1"/>
  <c r="V6280" i="1"/>
  <c r="D6280" i="1"/>
  <c r="X6280" i="1" s="1"/>
  <c r="V6283" i="1"/>
  <c r="V6287" i="1"/>
  <c r="D6287" i="1"/>
  <c r="X6287" i="1" s="1"/>
  <c r="V6294" i="1"/>
  <c r="D6294" i="1"/>
  <c r="X6294" i="1" s="1"/>
  <c r="V6298" i="1"/>
  <c r="D6298" i="1"/>
  <c r="X6298" i="1" s="1"/>
  <c r="V6301" i="1"/>
  <c r="D6301" i="1"/>
  <c r="X6301" i="1" s="1"/>
  <c r="V6305" i="1"/>
  <c r="D6305" i="1"/>
  <c r="X6305" i="1" s="1"/>
  <c r="V6308" i="1"/>
  <c r="D6308" i="1"/>
  <c r="X6308" i="1" s="1"/>
  <c r="V6312" i="1"/>
  <c r="D6312" i="1"/>
  <c r="X6312" i="1" s="1"/>
  <c r="V6315" i="1"/>
  <c r="V6319" i="1"/>
  <c r="D6319" i="1"/>
  <c r="V6326" i="1"/>
  <c r="D6326" i="1"/>
  <c r="X6326" i="1" s="1"/>
  <c r="V6330" i="1"/>
  <c r="D6330" i="1"/>
  <c r="X6330" i="1" s="1"/>
  <c r="V6333" i="1"/>
  <c r="D6333" i="1"/>
  <c r="X6333" i="1" s="1"/>
  <c r="V6337" i="1"/>
  <c r="D6337" i="1"/>
  <c r="X6337" i="1" s="1"/>
  <c r="V6340" i="1"/>
  <c r="D6340" i="1"/>
  <c r="X6340" i="1" s="1"/>
  <c r="V6344" i="1"/>
  <c r="D6344" i="1"/>
  <c r="X6344" i="1" s="1"/>
  <c r="V6347" i="1"/>
  <c r="V6351" i="1"/>
  <c r="D6351" i="1"/>
  <c r="X6351" i="1" s="1"/>
  <c r="V6358" i="1"/>
  <c r="D6358" i="1"/>
  <c r="X6358" i="1" s="1"/>
  <c r="V6362" i="1"/>
  <c r="D6362" i="1"/>
  <c r="X6362" i="1" s="1"/>
  <c r="V6365" i="1"/>
  <c r="D6365" i="1"/>
  <c r="X6365" i="1" s="1"/>
  <c r="V6369" i="1"/>
  <c r="D6369" i="1"/>
  <c r="X6369" i="1" s="1"/>
  <c r="V6372" i="1"/>
  <c r="D6372" i="1"/>
  <c r="X6372" i="1" s="1"/>
  <c r="V6376" i="1"/>
  <c r="D6376" i="1"/>
  <c r="X6376" i="1" s="1"/>
  <c r="V6379" i="1"/>
  <c r="V6383" i="1"/>
  <c r="D6383" i="1"/>
  <c r="V6390" i="1"/>
  <c r="D6390" i="1"/>
  <c r="X6390" i="1" s="1"/>
  <c r="V6394" i="1"/>
  <c r="D6394" i="1"/>
  <c r="V6397" i="1"/>
  <c r="D6397" i="1"/>
  <c r="V6401" i="1"/>
  <c r="D6401" i="1"/>
  <c r="X6401" i="1" s="1"/>
  <c r="V6404" i="1"/>
  <c r="D6404" i="1"/>
  <c r="X6404" i="1" s="1"/>
  <c r="V6408" i="1"/>
  <c r="D6408" i="1"/>
  <c r="X6408" i="1" s="1"/>
  <c r="V6411" i="1"/>
  <c r="V6415" i="1"/>
  <c r="D6415" i="1"/>
  <c r="X6415" i="1" s="1"/>
  <c r="V6422" i="1"/>
  <c r="D6422" i="1"/>
  <c r="X6422" i="1" s="1"/>
  <c r="V6426" i="1"/>
  <c r="D6426" i="1"/>
  <c r="X6426" i="1" s="1"/>
  <c r="V6429" i="1"/>
  <c r="D6429" i="1"/>
  <c r="X6429" i="1" s="1"/>
  <c r="V6433" i="1"/>
  <c r="D6433" i="1"/>
  <c r="X6433" i="1" s="1"/>
  <c r="V6436" i="1"/>
  <c r="D6436" i="1"/>
  <c r="X6436" i="1" s="1"/>
  <c r="V6440" i="1"/>
  <c r="D6440" i="1"/>
  <c r="X6440" i="1" s="1"/>
  <c r="V6443" i="1"/>
  <c r="V6447" i="1"/>
  <c r="D6447" i="1"/>
  <c r="V6454" i="1"/>
  <c r="D6454" i="1"/>
  <c r="X6454" i="1" s="1"/>
  <c r="V6458" i="1"/>
  <c r="D6458" i="1"/>
  <c r="X6458" i="1" s="1"/>
  <c r="V6462" i="1"/>
  <c r="D6462" i="1"/>
  <c r="X6462" i="1" s="1"/>
  <c r="V6466" i="1"/>
  <c r="D6466" i="1"/>
  <c r="V6470" i="1"/>
  <c r="D6470" i="1"/>
  <c r="X6470" i="1" s="1"/>
  <c r="V6474" i="1"/>
  <c r="D6474" i="1"/>
  <c r="X6474" i="1" s="1"/>
  <c r="V6478" i="1"/>
  <c r="D6478" i="1"/>
  <c r="X6478" i="1" s="1"/>
  <c r="V6482" i="1"/>
  <c r="D6482" i="1"/>
  <c r="X6482" i="1" s="1"/>
  <c r="V6486" i="1"/>
  <c r="D6486" i="1"/>
  <c r="X6486" i="1" s="1"/>
  <c r="V6490" i="1"/>
  <c r="D6490" i="1"/>
  <c r="X6490" i="1" s="1"/>
  <c r="V6494" i="1"/>
  <c r="D6494" i="1"/>
  <c r="X6494" i="1" s="1"/>
  <c r="V6498" i="1"/>
  <c r="D6498" i="1"/>
  <c r="V6502" i="1"/>
  <c r="D6502" i="1"/>
  <c r="X6502" i="1" s="1"/>
  <c r="V6506" i="1"/>
  <c r="D6506" i="1"/>
  <c r="X6506" i="1" s="1"/>
  <c r="V6510" i="1"/>
  <c r="D6510" i="1"/>
  <c r="X6510" i="1" s="1"/>
  <c r="V6514" i="1"/>
  <c r="D6514" i="1"/>
  <c r="X6514" i="1" s="1"/>
  <c r="V6518" i="1"/>
  <c r="D6518" i="1"/>
  <c r="X6518" i="1" s="1"/>
  <c r="V6522" i="1"/>
  <c r="D6522" i="1"/>
  <c r="X6522" i="1" s="1"/>
  <c r="V6526" i="1"/>
  <c r="D6526" i="1"/>
  <c r="X6526" i="1" s="1"/>
  <c r="V6530" i="1"/>
  <c r="D6530" i="1"/>
  <c r="V6534" i="1"/>
  <c r="D6534" i="1"/>
  <c r="X6534" i="1" s="1"/>
  <c r="V6538" i="1"/>
  <c r="D6538" i="1"/>
  <c r="X6538" i="1" s="1"/>
  <c r="V6542" i="1"/>
  <c r="D6542" i="1"/>
  <c r="X6542" i="1" s="1"/>
  <c r="V6546" i="1"/>
  <c r="D6546" i="1"/>
  <c r="X6546" i="1" s="1"/>
  <c r="V6550" i="1"/>
  <c r="D6550" i="1"/>
  <c r="X6550" i="1" s="1"/>
  <c r="V6554" i="1"/>
  <c r="D6554" i="1"/>
  <c r="X6554" i="1" s="1"/>
  <c r="V6558" i="1"/>
  <c r="D6558" i="1"/>
  <c r="X6558" i="1" s="1"/>
  <c r="V6562" i="1"/>
  <c r="D6562" i="1"/>
  <c r="V6566" i="1"/>
  <c r="D6566" i="1"/>
  <c r="X6566" i="1" s="1"/>
  <c r="V6570" i="1"/>
  <c r="D6570" i="1"/>
  <c r="X6570" i="1" s="1"/>
  <c r="V6574" i="1"/>
  <c r="D6574" i="1"/>
  <c r="X6574" i="1" s="1"/>
  <c r="V6578" i="1"/>
  <c r="D6578" i="1"/>
  <c r="X6578" i="1" s="1"/>
  <c r="V6582" i="1"/>
  <c r="D6582" i="1"/>
  <c r="X6582" i="1" s="1"/>
  <c r="V6586" i="1"/>
  <c r="D6586" i="1"/>
  <c r="X6586" i="1" s="1"/>
  <c r="V6590" i="1"/>
  <c r="D6590" i="1"/>
  <c r="X6590" i="1" s="1"/>
  <c r="V6594" i="1"/>
  <c r="D6594" i="1"/>
  <c r="V6598" i="1"/>
  <c r="D6598" i="1"/>
  <c r="X6598" i="1" s="1"/>
  <c r="V6602" i="1"/>
  <c r="D6602" i="1"/>
  <c r="X6602" i="1" s="1"/>
  <c r="V6606" i="1"/>
  <c r="D6606" i="1"/>
  <c r="X6606" i="1" s="1"/>
  <c r="V6610" i="1"/>
  <c r="D6610" i="1"/>
  <c r="X6610" i="1" s="1"/>
  <c r="V6614" i="1"/>
  <c r="D6614" i="1"/>
  <c r="X6614" i="1" s="1"/>
  <c r="V6618" i="1"/>
  <c r="D6618" i="1"/>
  <c r="X6618" i="1" s="1"/>
  <c r="V6622" i="1"/>
  <c r="D6622" i="1"/>
  <c r="X6622" i="1" s="1"/>
  <c r="V6626" i="1"/>
  <c r="D6626" i="1"/>
  <c r="V6630" i="1"/>
  <c r="D6630" i="1"/>
  <c r="X6630" i="1" s="1"/>
  <c r="V6634" i="1"/>
  <c r="D6634" i="1"/>
  <c r="X6634" i="1" s="1"/>
  <c r="V6638" i="1"/>
  <c r="D6638" i="1"/>
  <c r="X6638" i="1" s="1"/>
  <c r="V6642" i="1"/>
  <c r="D6642" i="1"/>
  <c r="X6642" i="1" s="1"/>
  <c r="V6646" i="1"/>
  <c r="D6646" i="1"/>
  <c r="X6646" i="1" s="1"/>
  <c r="V6650" i="1"/>
  <c r="D6650" i="1"/>
  <c r="X6650" i="1" s="1"/>
  <c r="V6654" i="1"/>
  <c r="D6654" i="1"/>
  <c r="X6654" i="1" s="1"/>
  <c r="V6658" i="1"/>
  <c r="D6658" i="1"/>
  <c r="V6662" i="1"/>
  <c r="D6662" i="1"/>
  <c r="X6662" i="1" s="1"/>
  <c r="V6666" i="1"/>
  <c r="D6666" i="1"/>
  <c r="X6666" i="1" s="1"/>
  <c r="V6670" i="1"/>
  <c r="D6670" i="1"/>
  <c r="X6670" i="1" s="1"/>
  <c r="V6674" i="1"/>
  <c r="D6674" i="1"/>
  <c r="X6674" i="1" s="1"/>
  <c r="V6678" i="1"/>
  <c r="D6678" i="1"/>
  <c r="X6678" i="1" s="1"/>
  <c r="V6682" i="1"/>
  <c r="D6682" i="1"/>
  <c r="X6682" i="1" s="1"/>
  <c r="V6686" i="1"/>
  <c r="D6686" i="1"/>
  <c r="X6686" i="1" s="1"/>
  <c r="V6690" i="1"/>
  <c r="D6690" i="1"/>
  <c r="V6694" i="1"/>
  <c r="D6694" i="1"/>
  <c r="X6694" i="1" s="1"/>
  <c r="V6698" i="1"/>
  <c r="D6698" i="1"/>
  <c r="X6698" i="1" s="1"/>
  <c r="V6702" i="1"/>
  <c r="D6702" i="1"/>
  <c r="X6702" i="1" s="1"/>
  <c r="V6706" i="1"/>
  <c r="D6706" i="1"/>
  <c r="X6706" i="1" s="1"/>
  <c r="V6710" i="1"/>
  <c r="D6710" i="1"/>
  <c r="X6710" i="1" s="1"/>
  <c r="V6714" i="1"/>
  <c r="D6714" i="1"/>
  <c r="X6714" i="1" s="1"/>
  <c r="V6718" i="1"/>
  <c r="D6718" i="1"/>
  <c r="X6718" i="1" s="1"/>
  <c r="V6722" i="1"/>
  <c r="D6722" i="1"/>
  <c r="V6726" i="1"/>
  <c r="D6726" i="1"/>
  <c r="X6726" i="1" s="1"/>
  <c r="V6730" i="1"/>
  <c r="D6730" i="1"/>
  <c r="X6730" i="1" s="1"/>
  <c r="V6734" i="1"/>
  <c r="D6734" i="1"/>
  <c r="X6734" i="1" s="1"/>
  <c r="V6738" i="1"/>
  <c r="D6738" i="1"/>
  <c r="X6738" i="1" s="1"/>
  <c r="V6742" i="1"/>
  <c r="D6742" i="1"/>
  <c r="X6742" i="1" s="1"/>
  <c r="V6746" i="1"/>
  <c r="D6746" i="1"/>
  <c r="X6746" i="1" s="1"/>
  <c r="V6750" i="1"/>
  <c r="D6750" i="1"/>
  <c r="X6750" i="1" s="1"/>
  <c r="V6754" i="1"/>
  <c r="D6754" i="1"/>
  <c r="V6758" i="1"/>
  <c r="D6758" i="1"/>
  <c r="X6758" i="1" s="1"/>
  <c r="V6762" i="1"/>
  <c r="D6762" i="1"/>
  <c r="X6762" i="1" s="1"/>
  <c r="V6766" i="1"/>
  <c r="D6766" i="1"/>
  <c r="X6766" i="1" s="1"/>
  <c r="V6770" i="1"/>
  <c r="D6770" i="1"/>
  <c r="X6770" i="1" s="1"/>
  <c r="V6774" i="1"/>
  <c r="D6774" i="1"/>
  <c r="X6774" i="1" s="1"/>
  <c r="V6778" i="1"/>
  <c r="D6778" i="1"/>
  <c r="X6778" i="1" s="1"/>
  <c r="V6782" i="1"/>
  <c r="D6782" i="1"/>
  <c r="X6782" i="1" s="1"/>
  <c r="V6786" i="1"/>
  <c r="D6786" i="1"/>
  <c r="V6793" i="1"/>
  <c r="D6793" i="1"/>
  <c r="X6793" i="1" s="1"/>
  <c r="V6797" i="1"/>
  <c r="D6797" i="1"/>
  <c r="X6797" i="1" s="1"/>
  <c r="V6800" i="1"/>
  <c r="D6800" i="1"/>
  <c r="X6800" i="1" s="1"/>
  <c r="V6804" i="1"/>
  <c r="D6804" i="1"/>
  <c r="X6804" i="1" s="1"/>
  <c r="V6807" i="1"/>
  <c r="D6807" i="1"/>
  <c r="X6807" i="1" s="1"/>
  <c r="V6811" i="1"/>
  <c r="D6811" i="1"/>
  <c r="X6811" i="1" s="1"/>
  <c r="V6814" i="1"/>
  <c r="V6817" i="1"/>
  <c r="D6817" i="1"/>
  <c r="X6817" i="1" s="1"/>
  <c r="V6822" i="1"/>
  <c r="V6825" i="1"/>
  <c r="D6825" i="1"/>
  <c r="X6825" i="1" s="1"/>
  <c r="V6830" i="1"/>
  <c r="V6833" i="1"/>
  <c r="D6833" i="1"/>
  <c r="X6833" i="1" s="1"/>
  <c r="V6838" i="1"/>
  <c r="V6841" i="1"/>
  <c r="D6841" i="1"/>
  <c r="X6841" i="1" s="1"/>
  <c r="V6846" i="1"/>
  <c r="V6849" i="1"/>
  <c r="D6849" i="1"/>
  <c r="X6849" i="1" s="1"/>
  <c r="V6854" i="1"/>
  <c r="V6857" i="1"/>
  <c r="D6857" i="1"/>
  <c r="X6857" i="1" s="1"/>
  <c r="V6862" i="1"/>
  <c r="V6865" i="1"/>
  <c r="D6865" i="1"/>
  <c r="X6865" i="1" s="1"/>
  <c r="V6870" i="1"/>
  <c r="V6873" i="1"/>
  <c r="D6873" i="1"/>
  <c r="X6873" i="1" s="1"/>
  <c r="V6878" i="1"/>
  <c r="V6881" i="1"/>
  <c r="D6881" i="1"/>
  <c r="X6881" i="1" s="1"/>
  <c r="V6886" i="1"/>
  <c r="V6889" i="1"/>
  <c r="D6889" i="1"/>
  <c r="X6889" i="1" s="1"/>
  <c r="V6895" i="1"/>
  <c r="D6895" i="1"/>
  <c r="X6895" i="1" s="1"/>
  <c r="V6898" i="1"/>
  <c r="V6901" i="1"/>
  <c r="D6901" i="1"/>
  <c r="X6901" i="1" s="1"/>
  <c r="V6905" i="1"/>
  <c r="D6905" i="1"/>
  <c r="X6905" i="1" s="1"/>
  <c r="V6908" i="1"/>
  <c r="V6912" i="1"/>
  <c r="D6912" i="1"/>
  <c r="X6912" i="1" s="1"/>
  <c r="V6915" i="1"/>
  <c r="D6915" i="1"/>
  <c r="X6915" i="1" s="1"/>
  <c r="V6918" i="1"/>
  <c r="D6918" i="1"/>
  <c r="X6918" i="1" s="1"/>
  <c r="V6922" i="1"/>
  <c r="D6922" i="1"/>
  <c r="X6922" i="1" s="1"/>
  <c r="V6925" i="1"/>
  <c r="D6925" i="1"/>
  <c r="X6925" i="1" s="1"/>
  <c r="V6929" i="1"/>
  <c r="D6929" i="1"/>
  <c r="X6929" i="1" s="1"/>
  <c r="V6935" i="1"/>
  <c r="D6935" i="1"/>
  <c r="V6939" i="1"/>
  <c r="D6939" i="1"/>
  <c r="X6939" i="1" s="1"/>
  <c r="V6942" i="1"/>
  <c r="D6942" i="1"/>
  <c r="X6942" i="1" s="1"/>
  <c r="V6948" i="1"/>
  <c r="V6952" i="1"/>
  <c r="D6952" i="1"/>
  <c r="X6952" i="1" s="1"/>
  <c r="V6959" i="1"/>
  <c r="D6959" i="1"/>
  <c r="X6959" i="1" s="1"/>
  <c r="V6962" i="1"/>
  <c r="V6965" i="1"/>
  <c r="D6965" i="1"/>
  <c r="X6965" i="1" s="1"/>
  <c r="V6969" i="1"/>
  <c r="D6969" i="1"/>
  <c r="X6969" i="1" s="1"/>
  <c r="V6972" i="1"/>
  <c r="V6976" i="1"/>
  <c r="D6976" i="1"/>
  <c r="X6976" i="1" s="1"/>
  <c r="V6979" i="1"/>
  <c r="D6979" i="1"/>
  <c r="X6979" i="1" s="1"/>
  <c r="V6982" i="1"/>
  <c r="D6982" i="1"/>
  <c r="X6982" i="1" s="1"/>
  <c r="V6986" i="1"/>
  <c r="D6986" i="1"/>
  <c r="X6986" i="1" s="1"/>
  <c r="V6989" i="1"/>
  <c r="D6989" i="1"/>
  <c r="X6989" i="1" s="1"/>
  <c r="V6993" i="1"/>
  <c r="D6993" i="1"/>
  <c r="X6993" i="1" s="1"/>
  <c r="V6999" i="1"/>
  <c r="D6999" i="1"/>
  <c r="X6999" i="1" s="1"/>
  <c r="V7003" i="1"/>
  <c r="D7003" i="1"/>
  <c r="X7003" i="1" s="1"/>
  <c r="V7006" i="1"/>
  <c r="D7006" i="1"/>
  <c r="X7006" i="1" s="1"/>
  <c r="V7012" i="1"/>
  <c r="V7016" i="1"/>
  <c r="D7016" i="1"/>
  <c r="X7016" i="1" s="1"/>
  <c r="V7023" i="1"/>
  <c r="D7023" i="1"/>
  <c r="X7023" i="1" s="1"/>
  <c r="V7027" i="1"/>
  <c r="D7027" i="1"/>
  <c r="X7027" i="1" s="1"/>
  <c r="V7030" i="1"/>
  <c r="D7030" i="1"/>
  <c r="X7030" i="1" s="1"/>
  <c r="V7034" i="1"/>
  <c r="D7034" i="1"/>
  <c r="X7034" i="1" s="1"/>
  <c r="V7037" i="1"/>
  <c r="D7037" i="1"/>
  <c r="X7037" i="1" s="1"/>
  <c r="V7041" i="1"/>
  <c r="D7041" i="1"/>
  <c r="X7041" i="1" s="1"/>
  <c r="V7044" i="1"/>
  <c r="V7048" i="1"/>
  <c r="D7048" i="1"/>
  <c r="X7048" i="1" s="1"/>
  <c r="V7055" i="1"/>
  <c r="D7055" i="1"/>
  <c r="X7055" i="1" s="1"/>
  <c r="V7059" i="1"/>
  <c r="D7059" i="1"/>
  <c r="X7059" i="1" s="1"/>
  <c r="V7062" i="1"/>
  <c r="D7062" i="1"/>
  <c r="X7062" i="1" s="1"/>
  <c r="V7066" i="1"/>
  <c r="D7066" i="1"/>
  <c r="X7066" i="1" s="1"/>
  <c r="V7069" i="1"/>
  <c r="D7069" i="1"/>
  <c r="X7069" i="1" s="1"/>
  <c r="V7073" i="1"/>
  <c r="D7073" i="1"/>
  <c r="X7073" i="1" s="1"/>
  <c r="V7076" i="1"/>
  <c r="V7080" i="1"/>
  <c r="D7080" i="1"/>
  <c r="X7080" i="1" s="1"/>
  <c r="V7087" i="1"/>
  <c r="D7087" i="1"/>
  <c r="V7091" i="1"/>
  <c r="D7091" i="1"/>
  <c r="X7091" i="1" s="1"/>
  <c r="V7094" i="1"/>
  <c r="D7094" i="1"/>
  <c r="X7094" i="1" s="1"/>
  <c r="V7098" i="1"/>
  <c r="D7098" i="1"/>
  <c r="X7098" i="1" s="1"/>
  <c r="V7101" i="1"/>
  <c r="D7101" i="1"/>
  <c r="X7101" i="1" s="1"/>
  <c r="V7105" i="1"/>
  <c r="D7105" i="1"/>
  <c r="X7105" i="1" s="1"/>
  <c r="V7108" i="1"/>
  <c r="V7112" i="1"/>
  <c r="D7112" i="1"/>
  <c r="X7112" i="1" s="1"/>
  <c r="V7119" i="1"/>
  <c r="D7119" i="1"/>
  <c r="X7119" i="1" s="1"/>
  <c r="V7123" i="1"/>
  <c r="D7123" i="1"/>
  <c r="X7123" i="1" s="1"/>
  <c r="V7126" i="1"/>
  <c r="D7126" i="1"/>
  <c r="X7126" i="1" s="1"/>
  <c r="V7130" i="1"/>
  <c r="D7130" i="1"/>
  <c r="X7130" i="1" s="1"/>
  <c r="V7133" i="1"/>
  <c r="D7133" i="1"/>
  <c r="X7133" i="1" s="1"/>
  <c r="V7137" i="1"/>
  <c r="D7137" i="1"/>
  <c r="X7137" i="1" s="1"/>
  <c r="V7140" i="1"/>
  <c r="V7143" i="1"/>
  <c r="D7143" i="1"/>
  <c r="X7143" i="1" s="1"/>
  <c r="V7148" i="1"/>
  <c r="V7151" i="1"/>
  <c r="D7151" i="1"/>
  <c r="X7151" i="1" s="1"/>
  <c r="V7156" i="1"/>
  <c r="V7159" i="1"/>
  <c r="D7159" i="1"/>
  <c r="X7159" i="1" s="1"/>
  <c r="V7164" i="1"/>
  <c r="V7167" i="1"/>
  <c r="D7167" i="1"/>
  <c r="X7167" i="1" s="1"/>
  <c r="V7172" i="1"/>
  <c r="V7175" i="1"/>
  <c r="D7175" i="1"/>
  <c r="X7175" i="1" s="1"/>
  <c r="V7180" i="1"/>
  <c r="V7183" i="1"/>
  <c r="D7183" i="1"/>
  <c r="X7183" i="1" s="1"/>
  <c r="V7188" i="1"/>
  <c r="V7191" i="1"/>
  <c r="D7191" i="1"/>
  <c r="X7191" i="1" s="1"/>
  <c r="V7196" i="1"/>
  <c r="V7199" i="1"/>
  <c r="D7199" i="1"/>
  <c r="X7199" i="1" s="1"/>
  <c r="V7204" i="1"/>
  <c r="V7207" i="1"/>
  <c r="D7207" i="1"/>
  <c r="X7207" i="1" s="1"/>
  <c r="V7212" i="1"/>
  <c r="V7215" i="1"/>
  <c r="D7215" i="1"/>
  <c r="X7215" i="1" s="1"/>
  <c r="V7220" i="1"/>
  <c r="V7223" i="1"/>
  <c r="D7223" i="1"/>
  <c r="X7223" i="1" s="1"/>
  <c r="V7228" i="1"/>
  <c r="V7231" i="1"/>
  <c r="D7231" i="1"/>
  <c r="X7231" i="1" s="1"/>
  <c r="V7236" i="1"/>
  <c r="V7239" i="1"/>
  <c r="D7239" i="1"/>
  <c r="X7239" i="1" s="1"/>
  <c r="V7244" i="1"/>
  <c r="V7247" i="1"/>
  <c r="D7247" i="1"/>
  <c r="X7247" i="1" s="1"/>
  <c r="V7252" i="1"/>
  <c r="V7255" i="1"/>
  <c r="D7255" i="1"/>
  <c r="X7255" i="1" s="1"/>
  <c r="V7260" i="1"/>
  <c r="V7263" i="1"/>
  <c r="D7263" i="1"/>
  <c r="X7263" i="1" s="1"/>
  <c r="V7268" i="1"/>
  <c r="V7271" i="1"/>
  <c r="D7271" i="1"/>
  <c r="X7271" i="1" s="1"/>
  <c r="V7276" i="1"/>
  <c r="V7279" i="1"/>
  <c r="D7279" i="1"/>
  <c r="X7279" i="1" s="1"/>
  <c r="V7284" i="1"/>
  <c r="V7287" i="1"/>
  <c r="D7287" i="1"/>
  <c r="X7287" i="1" s="1"/>
  <c r="V7292" i="1"/>
  <c r="V7295" i="1"/>
  <c r="D7295" i="1"/>
  <c r="X7295" i="1" s="1"/>
  <c r="V7300" i="1"/>
  <c r="V7303" i="1"/>
  <c r="D7303" i="1"/>
  <c r="X7303" i="1" s="1"/>
  <c r="V7308" i="1"/>
  <c r="V7311" i="1"/>
  <c r="D7311" i="1"/>
  <c r="X7311" i="1" s="1"/>
  <c r="V7316" i="1"/>
  <c r="V7319" i="1"/>
  <c r="D7319" i="1"/>
  <c r="X7319" i="1" s="1"/>
  <c r="V7324" i="1"/>
  <c r="V7327" i="1"/>
  <c r="D7327" i="1"/>
  <c r="X7327" i="1" s="1"/>
  <c r="V7332" i="1"/>
  <c r="V7335" i="1"/>
  <c r="D7335" i="1"/>
  <c r="X7335" i="1" s="1"/>
  <c r="V7340" i="1"/>
  <c r="V7343" i="1"/>
  <c r="D7343" i="1"/>
  <c r="X7343" i="1" s="1"/>
  <c r="V7348" i="1"/>
  <c r="V7351" i="1"/>
  <c r="D7351" i="1"/>
  <c r="X7351" i="1" s="1"/>
  <c r="V7356" i="1"/>
  <c r="V7359" i="1"/>
  <c r="D7359" i="1"/>
  <c r="X7359" i="1" s="1"/>
  <c r="V7364" i="1"/>
  <c r="V7367" i="1"/>
  <c r="D7367" i="1"/>
  <c r="X7367" i="1" s="1"/>
  <c r="V7372" i="1"/>
  <c r="V7375" i="1"/>
  <c r="D7375" i="1"/>
  <c r="X7375" i="1" s="1"/>
  <c r="V7380" i="1"/>
  <c r="V7383" i="1"/>
  <c r="D7383" i="1"/>
  <c r="X7383" i="1" s="1"/>
  <c r="V7388" i="1"/>
  <c r="V7391" i="1"/>
  <c r="D7391" i="1"/>
  <c r="X7391" i="1" s="1"/>
  <c r="V7396" i="1"/>
  <c r="V7399" i="1"/>
  <c r="D7399" i="1"/>
  <c r="X7399" i="1" s="1"/>
  <c r="V7404" i="1"/>
  <c r="V7407" i="1"/>
  <c r="D7407" i="1"/>
  <c r="X7407" i="1" s="1"/>
  <c r="V7412" i="1"/>
  <c r="V7415" i="1"/>
  <c r="D7415" i="1"/>
  <c r="X7415" i="1" s="1"/>
  <c r="V7420" i="1"/>
  <c r="V7423" i="1"/>
  <c r="D7423" i="1"/>
  <c r="X7423" i="1" s="1"/>
  <c r="V7428" i="1"/>
  <c r="V7431" i="1"/>
  <c r="D7431" i="1"/>
  <c r="X7431" i="1" s="1"/>
  <c r="V7436" i="1"/>
  <c r="V7439" i="1"/>
  <c r="D7439" i="1"/>
  <c r="X7439" i="1" s="1"/>
  <c r="V7444" i="1"/>
  <c r="V7447" i="1"/>
  <c r="D7447" i="1"/>
  <c r="X7447" i="1" s="1"/>
  <c r="V7452" i="1"/>
  <c r="V7455" i="1"/>
  <c r="D7455" i="1"/>
  <c r="X7455" i="1" s="1"/>
  <c r="V7460" i="1"/>
  <c r="V7463" i="1"/>
  <c r="D7463" i="1"/>
  <c r="X7463" i="1" s="1"/>
  <c r="V7468" i="1"/>
  <c r="V7471" i="1"/>
  <c r="D7471" i="1"/>
  <c r="X7471" i="1" s="1"/>
  <c r="V7476" i="1"/>
  <c r="V7479" i="1"/>
  <c r="D7479" i="1"/>
  <c r="X7479" i="1" s="1"/>
  <c r="V7484" i="1"/>
  <c r="V7487" i="1"/>
  <c r="D7487" i="1"/>
  <c r="X7487" i="1" s="1"/>
  <c r="V7492" i="1"/>
  <c r="V7495" i="1"/>
  <c r="D7495" i="1"/>
  <c r="X7495" i="1" s="1"/>
  <c r="V7498" i="1"/>
  <c r="D7498" i="1"/>
  <c r="X7498" i="1" s="1"/>
  <c r="V7504" i="1"/>
  <c r="V7508" i="1"/>
  <c r="D7508" i="1"/>
  <c r="X7508" i="1" s="1"/>
  <c r="V7511" i="1"/>
  <c r="D7511" i="1"/>
  <c r="X7511" i="1" s="1"/>
  <c r="V7514" i="1"/>
  <c r="D7514" i="1"/>
  <c r="X7514" i="1" s="1"/>
  <c r="V7520" i="1"/>
  <c r="V7524" i="1"/>
  <c r="D7524" i="1"/>
  <c r="V7527" i="1"/>
  <c r="D7527" i="1"/>
  <c r="X7527" i="1" s="1"/>
  <c r="V7530" i="1"/>
  <c r="D7530" i="1"/>
  <c r="X7530" i="1" s="1"/>
  <c r="V7536" i="1"/>
  <c r="V7540" i="1"/>
  <c r="D7540" i="1"/>
  <c r="X7540" i="1" s="1"/>
  <c r="V7543" i="1"/>
  <c r="D7543" i="1"/>
  <c r="X7543" i="1" s="1"/>
  <c r="V7546" i="1"/>
  <c r="D7546" i="1"/>
  <c r="X7546" i="1" s="1"/>
  <c r="V7552" i="1"/>
  <c r="V7556" i="1"/>
  <c r="D7556" i="1"/>
  <c r="V7559" i="1"/>
  <c r="D7559" i="1"/>
  <c r="X7559" i="1" s="1"/>
  <c r="V7562" i="1"/>
  <c r="D7562" i="1"/>
  <c r="X7562" i="1" s="1"/>
  <c r="V7568" i="1"/>
  <c r="V7572" i="1"/>
  <c r="D7572" i="1"/>
  <c r="X7572" i="1" s="1"/>
  <c r="V7575" i="1"/>
  <c r="D7575" i="1"/>
  <c r="X7575" i="1" s="1"/>
  <c r="V7578" i="1"/>
  <c r="D7578" i="1"/>
  <c r="X7578" i="1" s="1"/>
  <c r="V7584" i="1"/>
  <c r="V7588" i="1"/>
  <c r="D7588" i="1"/>
  <c r="V7591" i="1"/>
  <c r="D7591" i="1"/>
  <c r="X7591" i="1" s="1"/>
  <c r="V7594" i="1"/>
  <c r="D7594" i="1"/>
  <c r="X7594" i="1" s="1"/>
  <c r="V7600" i="1"/>
  <c r="V7604" i="1"/>
  <c r="D7604" i="1"/>
  <c r="X7604" i="1" s="1"/>
  <c r="V7607" i="1"/>
  <c r="D7607" i="1"/>
  <c r="X7607" i="1" s="1"/>
  <c r="V7610" i="1"/>
  <c r="D7610" i="1"/>
  <c r="X7610" i="1" s="1"/>
  <c r="V7616" i="1"/>
  <c r="V7620" i="1"/>
  <c r="D7620" i="1"/>
  <c r="V7623" i="1"/>
  <c r="D7623" i="1"/>
  <c r="X7623" i="1" s="1"/>
  <c r="V7632" i="1"/>
  <c r="V7636" i="1"/>
  <c r="D7636" i="1"/>
  <c r="X7636" i="1" s="1"/>
  <c r="V7639" i="1"/>
  <c r="D7639" i="1"/>
  <c r="X7639" i="1" s="1"/>
  <c r="V7648" i="1"/>
  <c r="V7652" i="1"/>
  <c r="D7652" i="1"/>
  <c r="V7655" i="1"/>
  <c r="D7655" i="1"/>
  <c r="X7655" i="1" s="1"/>
  <c r="V7664" i="1"/>
  <c r="V7668" i="1"/>
  <c r="D7668" i="1"/>
  <c r="X7668" i="1" s="1"/>
  <c r="V7671" i="1"/>
  <c r="D7671" i="1"/>
  <c r="X7671" i="1" s="1"/>
  <c r="V7680" i="1"/>
  <c r="V7684" i="1"/>
  <c r="D7684" i="1"/>
  <c r="V7687" i="1"/>
  <c r="D7687" i="1"/>
  <c r="X7687" i="1" s="1"/>
  <c r="V7696" i="1"/>
  <c r="V7700" i="1"/>
  <c r="D7700" i="1"/>
  <c r="X7700" i="1" s="1"/>
  <c r="V7703" i="1"/>
  <c r="D7703" i="1"/>
  <c r="X7703" i="1" s="1"/>
  <c r="V7712" i="1"/>
  <c r="V7716" i="1"/>
  <c r="D7716" i="1"/>
  <c r="V7719" i="1"/>
  <c r="D7719" i="1"/>
  <c r="X7719" i="1" s="1"/>
  <c r="V7728" i="1"/>
  <c r="V7732" i="1"/>
  <c r="D7732" i="1"/>
  <c r="X7732" i="1" s="1"/>
  <c r="V7735" i="1"/>
  <c r="D7735" i="1"/>
  <c r="X7735" i="1" s="1"/>
  <c r="V7748" i="1"/>
  <c r="D7748" i="1"/>
  <c r="X7748" i="1" s="1"/>
  <c r="V7751" i="1"/>
  <c r="D7751" i="1"/>
  <c r="X7751" i="1" s="1"/>
  <c r="V8325" i="1"/>
  <c r="V8357" i="1"/>
  <c r="V8389" i="1"/>
  <c r="D8398" i="1"/>
  <c r="X8398" i="1" s="1"/>
  <c r="D8394" i="1"/>
  <c r="X8394" i="1" s="1"/>
  <c r="D8390" i="1"/>
  <c r="X8390" i="1" s="1"/>
  <c r="D8386" i="1"/>
  <c r="X8386" i="1" s="1"/>
  <c r="D8382" i="1"/>
  <c r="X8382" i="1" s="1"/>
  <c r="D8378" i="1"/>
  <c r="X8378" i="1" s="1"/>
  <c r="D8374" i="1"/>
  <c r="X8374" i="1" s="1"/>
  <c r="D8370" i="1"/>
  <c r="X8370" i="1" s="1"/>
  <c r="D8366" i="1"/>
  <c r="X8366" i="1" s="1"/>
  <c r="D8362" i="1"/>
  <c r="X8362" i="1" s="1"/>
  <c r="D8358" i="1"/>
  <c r="X8358" i="1" s="1"/>
  <c r="D8354" i="1"/>
  <c r="X8354" i="1" s="1"/>
  <c r="D8350" i="1"/>
  <c r="X8350" i="1" s="1"/>
  <c r="D8346" i="1"/>
  <c r="X8346" i="1" s="1"/>
  <c r="D8342" i="1"/>
  <c r="X8342" i="1" s="1"/>
  <c r="D8338" i="1"/>
  <c r="X8338" i="1" s="1"/>
  <c r="D8334" i="1"/>
  <c r="X8334" i="1" s="1"/>
  <c r="D8330" i="1"/>
  <c r="X8330" i="1" s="1"/>
  <c r="D8326" i="1"/>
  <c r="X8326" i="1" s="1"/>
  <c r="D8322" i="1"/>
  <c r="X8322" i="1" s="1"/>
  <c r="D8318" i="1"/>
  <c r="X8318" i="1" s="1"/>
  <c r="D8314" i="1"/>
  <c r="X8314" i="1" s="1"/>
  <c r="D8310" i="1"/>
  <c r="X8310" i="1" s="1"/>
  <c r="D8306" i="1"/>
  <c r="X8306" i="1" s="1"/>
  <c r="D8302" i="1"/>
  <c r="X8302" i="1" s="1"/>
  <c r="D8298" i="1"/>
  <c r="X8298" i="1" s="1"/>
  <c r="D8294" i="1"/>
  <c r="X8294" i="1" s="1"/>
  <c r="D8290" i="1"/>
  <c r="X8290" i="1" s="1"/>
  <c r="D8286" i="1"/>
  <c r="X8286" i="1" s="1"/>
  <c r="D8282" i="1"/>
  <c r="X8282" i="1" s="1"/>
  <c r="D8278" i="1"/>
  <c r="X8278" i="1" s="1"/>
  <c r="D8274" i="1"/>
  <c r="X8274" i="1" s="1"/>
  <c r="D8270" i="1"/>
  <c r="X8270" i="1" s="1"/>
  <c r="D8266" i="1"/>
  <c r="X8266" i="1" s="1"/>
  <c r="D8262" i="1"/>
  <c r="X8262" i="1" s="1"/>
  <c r="D8258" i="1"/>
  <c r="X8258" i="1" s="1"/>
  <c r="D8254" i="1"/>
  <c r="X8254" i="1" s="1"/>
  <c r="D8250" i="1"/>
  <c r="X8250" i="1" s="1"/>
  <c r="D8246" i="1"/>
  <c r="X8246" i="1" s="1"/>
  <c r="D8242" i="1"/>
  <c r="X8242" i="1" s="1"/>
  <c r="D8238" i="1"/>
  <c r="X8238" i="1" s="1"/>
  <c r="D8234" i="1"/>
  <c r="X8234" i="1" s="1"/>
  <c r="D8230" i="1"/>
  <c r="X8230" i="1" s="1"/>
  <c r="D8222" i="1"/>
  <c r="X8222" i="1" s="1"/>
  <c r="D8214" i="1"/>
  <c r="X8214" i="1" s="1"/>
  <c r="D8206" i="1"/>
  <c r="X8206" i="1" s="1"/>
  <c r="D8198" i="1"/>
  <c r="X8198" i="1" s="1"/>
  <c r="D8190" i="1"/>
  <c r="X8190" i="1" s="1"/>
  <c r="D8182" i="1"/>
  <c r="X8182" i="1" s="1"/>
  <c r="D8174" i="1"/>
  <c r="X8174" i="1" s="1"/>
  <c r="D8170" i="1"/>
  <c r="X8170" i="1" s="1"/>
  <c r="D8166" i="1"/>
  <c r="X8166" i="1" s="1"/>
  <c r="D8158" i="1"/>
  <c r="X8158" i="1" s="1"/>
  <c r="D8150" i="1"/>
  <c r="X8150" i="1" s="1"/>
  <c r="D8142" i="1"/>
  <c r="X8142" i="1" s="1"/>
  <c r="D8134" i="1"/>
  <c r="X8134" i="1" s="1"/>
  <c r="D8126" i="1"/>
  <c r="X8126" i="1" s="1"/>
  <c r="D8118" i="1"/>
  <c r="X8118" i="1" s="1"/>
  <c r="D8110" i="1"/>
  <c r="X8110" i="1" s="1"/>
  <c r="D8102" i="1"/>
  <c r="X8102" i="1" s="1"/>
  <c r="D8098" i="1"/>
  <c r="X8098" i="1" s="1"/>
  <c r="D8094" i="1"/>
  <c r="X8094" i="1" s="1"/>
  <c r="D8090" i="1"/>
  <c r="X8090" i="1" s="1"/>
  <c r="D8086" i="1"/>
  <c r="X8086" i="1" s="1"/>
  <c r="D8082" i="1"/>
  <c r="X8082" i="1" s="1"/>
  <c r="D8078" i="1"/>
  <c r="X8078" i="1" s="1"/>
  <c r="D8074" i="1"/>
  <c r="X8074" i="1" s="1"/>
  <c r="D8070" i="1"/>
  <c r="X8070" i="1" s="1"/>
  <c r="D8066" i="1"/>
  <c r="X8066" i="1" s="1"/>
  <c r="D8062" i="1"/>
  <c r="X8062" i="1" s="1"/>
  <c r="D8058" i="1"/>
  <c r="X8058" i="1" s="1"/>
  <c r="D8054" i="1"/>
  <c r="X8054" i="1" s="1"/>
  <c r="D8050" i="1"/>
  <c r="X8050" i="1" s="1"/>
  <c r="D8046" i="1"/>
  <c r="X8046" i="1" s="1"/>
  <c r="D8042" i="1"/>
  <c r="X8042" i="1" s="1"/>
  <c r="D8038" i="1"/>
  <c r="X8038" i="1" s="1"/>
  <c r="D8034" i="1"/>
  <c r="X8034" i="1" s="1"/>
  <c r="D8030" i="1"/>
  <c r="X8030" i="1" s="1"/>
  <c r="D8026" i="1"/>
  <c r="X8026" i="1" s="1"/>
  <c r="D8022" i="1"/>
  <c r="X8022" i="1" s="1"/>
  <c r="D8018" i="1"/>
  <c r="X8018" i="1" s="1"/>
  <c r="D8014" i="1"/>
  <c r="X8014" i="1" s="1"/>
  <c r="D8010" i="1"/>
  <c r="X8010" i="1" s="1"/>
  <c r="D8006" i="1"/>
  <c r="X8006" i="1" s="1"/>
  <c r="D8002" i="1"/>
  <c r="X8002" i="1" s="1"/>
  <c r="D7998" i="1"/>
  <c r="X7998" i="1" s="1"/>
  <c r="D7994" i="1"/>
  <c r="X7994" i="1" s="1"/>
  <c r="D7990" i="1"/>
  <c r="X7990" i="1" s="1"/>
  <c r="D7986" i="1"/>
  <c r="X7986" i="1" s="1"/>
  <c r="D7982" i="1"/>
  <c r="X7982" i="1" s="1"/>
  <c r="D7978" i="1"/>
  <c r="X7978" i="1" s="1"/>
  <c r="D7974" i="1"/>
  <c r="X7974" i="1" s="1"/>
  <c r="D7970" i="1"/>
  <c r="X7970" i="1" s="1"/>
  <c r="D7966" i="1"/>
  <c r="X7966" i="1" s="1"/>
  <c r="D7962" i="1"/>
  <c r="X7962" i="1" s="1"/>
  <c r="D7958" i="1"/>
  <c r="X7958" i="1" s="1"/>
  <c r="D7954" i="1"/>
  <c r="X7954" i="1" s="1"/>
  <c r="D7950" i="1"/>
  <c r="X7950" i="1" s="1"/>
  <c r="D7946" i="1"/>
  <c r="X7946" i="1" s="1"/>
  <c r="D7942" i="1"/>
  <c r="X7942" i="1" s="1"/>
  <c r="D7938" i="1"/>
  <c r="X7938" i="1" s="1"/>
  <c r="D7934" i="1"/>
  <c r="X7934" i="1" s="1"/>
  <c r="D7930" i="1"/>
  <c r="X7930" i="1" s="1"/>
  <c r="D7926" i="1"/>
  <c r="X7926" i="1" s="1"/>
  <c r="D7922" i="1"/>
  <c r="X7922" i="1" s="1"/>
  <c r="D7918" i="1"/>
  <c r="X7918" i="1" s="1"/>
  <c r="D7914" i="1"/>
  <c r="X7914" i="1" s="1"/>
  <c r="D7910" i="1"/>
  <c r="X7910" i="1" s="1"/>
  <c r="D7906" i="1"/>
  <c r="X7906" i="1" s="1"/>
  <c r="D7902" i="1"/>
  <c r="X7902" i="1" s="1"/>
  <c r="D7898" i="1"/>
  <c r="X7898" i="1" s="1"/>
  <c r="D7894" i="1"/>
  <c r="X7894" i="1" s="1"/>
  <c r="D7890" i="1"/>
  <c r="X7890" i="1" s="1"/>
  <c r="D7886" i="1"/>
  <c r="X7886" i="1" s="1"/>
  <c r="D7882" i="1"/>
  <c r="X7882" i="1" s="1"/>
  <c r="D7878" i="1"/>
  <c r="X7878" i="1" s="1"/>
  <c r="D7874" i="1"/>
  <c r="X7874" i="1" s="1"/>
  <c r="D7870" i="1"/>
  <c r="X7870" i="1" s="1"/>
  <c r="D7866" i="1"/>
  <c r="X7866" i="1" s="1"/>
  <c r="D7862" i="1"/>
  <c r="X7862" i="1" s="1"/>
  <c r="D7858" i="1"/>
  <c r="X7858" i="1" s="1"/>
  <c r="D7854" i="1"/>
  <c r="X7854" i="1" s="1"/>
  <c r="D7850" i="1"/>
  <c r="X7850" i="1" s="1"/>
  <c r="D7846" i="1"/>
  <c r="X7846" i="1" s="1"/>
  <c r="D7842" i="1"/>
  <c r="X7842" i="1" s="1"/>
  <c r="D7838" i="1"/>
  <c r="X7838" i="1" s="1"/>
  <c r="D7834" i="1"/>
  <c r="X7834" i="1" s="1"/>
  <c r="D7830" i="1"/>
  <c r="X7830" i="1" s="1"/>
  <c r="D7826" i="1"/>
  <c r="X7826" i="1" s="1"/>
  <c r="D7822" i="1"/>
  <c r="X7822" i="1" s="1"/>
  <c r="D7818" i="1"/>
  <c r="X7818" i="1" s="1"/>
  <c r="D7814" i="1"/>
  <c r="X7814" i="1" s="1"/>
  <c r="D7810" i="1"/>
  <c r="X7810" i="1" s="1"/>
  <c r="D7806" i="1"/>
  <c r="X7806" i="1" s="1"/>
  <c r="D7802" i="1"/>
  <c r="X7802" i="1" s="1"/>
  <c r="D7798" i="1"/>
  <c r="X7798" i="1" s="1"/>
  <c r="D7794" i="1"/>
  <c r="X7794" i="1" s="1"/>
  <c r="D7786" i="1"/>
  <c r="X7786" i="1" s="1"/>
  <c r="D7778" i="1"/>
  <c r="X7778" i="1" s="1"/>
  <c r="D7770" i="1"/>
  <c r="X7770" i="1" s="1"/>
  <c r="D7762" i="1"/>
  <c r="X7762" i="1" s="1"/>
  <c r="V2933" i="1"/>
  <c r="D2933" i="1"/>
  <c r="X2933" i="1" s="1"/>
  <c r="V2941" i="1"/>
  <c r="D2941" i="1"/>
  <c r="X2941" i="1" s="1"/>
  <c r="V2949" i="1"/>
  <c r="D2949" i="1"/>
  <c r="X2949" i="1" s="1"/>
  <c r="V2957" i="1"/>
  <c r="D2957" i="1"/>
  <c r="X2957" i="1" s="1"/>
  <c r="V2965" i="1"/>
  <c r="D2965" i="1"/>
  <c r="X2965" i="1" s="1"/>
  <c r="V2973" i="1"/>
  <c r="D2973" i="1"/>
  <c r="X2973" i="1" s="1"/>
  <c r="V2981" i="1"/>
  <c r="D2981" i="1"/>
  <c r="X2981" i="1" s="1"/>
  <c r="V2989" i="1"/>
  <c r="D2989" i="1"/>
  <c r="X2989" i="1" s="1"/>
  <c r="V2997" i="1"/>
  <c r="D2997" i="1"/>
  <c r="X2997" i="1" s="1"/>
  <c r="V3005" i="1"/>
  <c r="D3005" i="1"/>
  <c r="X3005" i="1" s="1"/>
  <c r="V3013" i="1"/>
  <c r="D3013" i="1"/>
  <c r="X3013" i="1" s="1"/>
  <c r="V3021" i="1"/>
  <c r="D3021" i="1"/>
  <c r="X3021" i="1" s="1"/>
  <c r="V3029" i="1"/>
  <c r="D3029" i="1"/>
  <c r="X3029" i="1" s="1"/>
  <c r="V3037" i="1"/>
  <c r="D3037" i="1"/>
  <c r="X3037" i="1" s="1"/>
  <c r="V3045" i="1"/>
  <c r="D3045" i="1"/>
  <c r="X3045" i="1" s="1"/>
  <c r="V3053" i="1"/>
  <c r="D3053" i="1"/>
  <c r="X3053" i="1" s="1"/>
  <c r="V3061" i="1"/>
  <c r="D3061" i="1"/>
  <c r="X3061" i="1" s="1"/>
  <c r="V3069" i="1"/>
  <c r="D3069" i="1"/>
  <c r="X3069" i="1" s="1"/>
  <c r="V3077" i="1"/>
  <c r="D3077" i="1"/>
  <c r="X3077" i="1" s="1"/>
  <c r="V3085" i="1"/>
  <c r="D3085" i="1"/>
  <c r="X3085" i="1" s="1"/>
  <c r="V3093" i="1"/>
  <c r="D3093" i="1"/>
  <c r="X3093" i="1" s="1"/>
  <c r="V3097" i="1"/>
  <c r="D3097" i="1"/>
  <c r="X3097" i="1" s="1"/>
  <c r="V3103" i="1"/>
  <c r="D3103" i="1"/>
  <c r="X3103" i="1" s="1"/>
  <c r="V3109" i="1"/>
  <c r="D3109" i="1"/>
  <c r="X3109" i="1" s="1"/>
  <c r="V3113" i="1"/>
  <c r="D3113" i="1"/>
  <c r="X3113" i="1" s="1"/>
  <c r="V3119" i="1"/>
  <c r="D3119" i="1"/>
  <c r="X3119" i="1" s="1"/>
  <c r="V3125" i="1"/>
  <c r="D3125" i="1"/>
  <c r="X3125" i="1" s="1"/>
  <c r="V3129" i="1"/>
  <c r="D3129" i="1"/>
  <c r="X3129" i="1" s="1"/>
  <c r="V3135" i="1"/>
  <c r="D3135" i="1"/>
  <c r="X3135" i="1" s="1"/>
  <c r="V3141" i="1"/>
  <c r="D3141" i="1"/>
  <c r="X3141" i="1" s="1"/>
  <c r="V3145" i="1"/>
  <c r="D3145" i="1"/>
  <c r="X3145" i="1" s="1"/>
  <c r="V3151" i="1"/>
  <c r="D3151" i="1"/>
  <c r="X3151" i="1" s="1"/>
  <c r="V3157" i="1"/>
  <c r="D3157" i="1"/>
  <c r="X3157" i="1" s="1"/>
  <c r="V3161" i="1"/>
  <c r="D3161" i="1"/>
  <c r="X3161" i="1" s="1"/>
  <c r="V3167" i="1"/>
  <c r="D3167" i="1"/>
  <c r="X3167" i="1" s="1"/>
  <c r="V3173" i="1"/>
  <c r="D3173" i="1"/>
  <c r="X3173" i="1" s="1"/>
  <c r="V3177" i="1"/>
  <c r="D3177" i="1"/>
  <c r="X3177" i="1" s="1"/>
  <c r="V3183" i="1"/>
  <c r="D3183" i="1"/>
  <c r="X3183" i="1" s="1"/>
  <c r="V3189" i="1"/>
  <c r="D3189" i="1"/>
  <c r="X3189" i="1" s="1"/>
  <c r="V3193" i="1"/>
  <c r="D3193" i="1"/>
  <c r="X3193" i="1" s="1"/>
  <c r="V3199" i="1"/>
  <c r="D3199" i="1"/>
  <c r="X3199" i="1" s="1"/>
  <c r="V3205" i="1"/>
  <c r="D3205" i="1"/>
  <c r="X3205" i="1" s="1"/>
  <c r="V3209" i="1"/>
  <c r="D3209" i="1"/>
  <c r="X3209" i="1" s="1"/>
  <c r="V3215" i="1"/>
  <c r="D3215" i="1"/>
  <c r="X3215" i="1" s="1"/>
  <c r="V3221" i="1"/>
  <c r="D3221" i="1"/>
  <c r="X3221" i="1" s="1"/>
  <c r="V3225" i="1"/>
  <c r="D3225" i="1"/>
  <c r="X3225" i="1" s="1"/>
  <c r="V3231" i="1"/>
  <c r="D3231" i="1"/>
  <c r="X3231" i="1" s="1"/>
  <c r="V3237" i="1"/>
  <c r="D3237" i="1"/>
  <c r="X3237" i="1" s="1"/>
  <c r="V3241" i="1"/>
  <c r="D3241" i="1"/>
  <c r="X3241" i="1" s="1"/>
  <c r="V3247" i="1"/>
  <c r="D3247" i="1"/>
  <c r="X3247" i="1" s="1"/>
  <c r="V3253" i="1"/>
  <c r="D3253" i="1"/>
  <c r="X3253" i="1" s="1"/>
  <c r="V3257" i="1"/>
  <c r="D3257" i="1"/>
  <c r="X3257" i="1" s="1"/>
  <c r="V3263" i="1"/>
  <c r="D3263" i="1"/>
  <c r="X3263" i="1" s="1"/>
  <c r="V3269" i="1"/>
  <c r="D3269" i="1"/>
  <c r="X3269" i="1" s="1"/>
  <c r="V3273" i="1"/>
  <c r="D3273" i="1"/>
  <c r="X3273" i="1" s="1"/>
  <c r="V3279" i="1"/>
  <c r="D3279" i="1"/>
  <c r="X3279" i="1" s="1"/>
  <c r="V3285" i="1"/>
  <c r="D3285" i="1"/>
  <c r="X3285" i="1" s="1"/>
  <c r="V3289" i="1"/>
  <c r="D3289" i="1"/>
  <c r="X3289" i="1" s="1"/>
  <c r="V3295" i="1"/>
  <c r="D3295" i="1"/>
  <c r="X3295" i="1" s="1"/>
  <c r="V3301" i="1"/>
  <c r="D3301" i="1"/>
  <c r="X3301" i="1" s="1"/>
  <c r="V3305" i="1"/>
  <c r="D3305" i="1"/>
  <c r="X3305" i="1" s="1"/>
  <c r="V3311" i="1"/>
  <c r="D3311" i="1"/>
  <c r="X3311" i="1" s="1"/>
  <c r="V3317" i="1"/>
  <c r="D3317" i="1"/>
  <c r="X3317" i="1" s="1"/>
  <c r="V3321" i="1"/>
  <c r="D3321" i="1"/>
  <c r="X3321" i="1" s="1"/>
  <c r="V3327" i="1"/>
  <c r="D3327" i="1"/>
  <c r="X3327" i="1" s="1"/>
  <c r="V3331" i="1"/>
  <c r="D3331" i="1"/>
  <c r="X3331" i="1" s="1"/>
  <c r="V3335" i="1"/>
  <c r="D3335" i="1"/>
  <c r="X3335" i="1" s="1"/>
  <c r="V3339" i="1"/>
  <c r="D3339" i="1"/>
  <c r="X3339" i="1" s="1"/>
  <c r="V3343" i="1"/>
  <c r="D3343" i="1"/>
  <c r="X3343" i="1" s="1"/>
  <c r="V3347" i="1"/>
  <c r="D3347" i="1"/>
  <c r="X3347" i="1" s="1"/>
  <c r="V3351" i="1"/>
  <c r="D3351" i="1"/>
  <c r="X3351" i="1" s="1"/>
  <c r="V3355" i="1"/>
  <c r="D3355" i="1"/>
  <c r="X3355" i="1" s="1"/>
  <c r="V3359" i="1"/>
  <c r="D3359" i="1"/>
  <c r="X3359" i="1" s="1"/>
  <c r="V3363" i="1"/>
  <c r="D3363" i="1"/>
  <c r="X3363" i="1" s="1"/>
  <c r="V3367" i="1"/>
  <c r="D3367" i="1"/>
  <c r="X3367" i="1" s="1"/>
  <c r="V3371" i="1"/>
  <c r="D3371" i="1"/>
  <c r="X3371" i="1" s="1"/>
  <c r="V3375" i="1"/>
  <c r="D3375" i="1"/>
  <c r="X3375" i="1" s="1"/>
  <c r="V3379" i="1"/>
  <c r="D3379" i="1"/>
  <c r="X3379" i="1" s="1"/>
  <c r="V3383" i="1"/>
  <c r="D3383" i="1"/>
  <c r="X3383" i="1" s="1"/>
  <c r="V3387" i="1"/>
  <c r="D3387" i="1"/>
  <c r="X3387" i="1" s="1"/>
  <c r="V3391" i="1"/>
  <c r="D3391" i="1"/>
  <c r="X3391" i="1" s="1"/>
  <c r="V3395" i="1"/>
  <c r="D3395" i="1"/>
  <c r="X3395" i="1" s="1"/>
  <c r="V3399" i="1"/>
  <c r="D3399" i="1"/>
  <c r="X3399" i="1" s="1"/>
  <c r="V3403" i="1"/>
  <c r="D3403" i="1"/>
  <c r="X3403" i="1" s="1"/>
  <c r="V3407" i="1"/>
  <c r="D3407" i="1"/>
  <c r="X3407" i="1" s="1"/>
  <c r="V3411" i="1"/>
  <c r="D3411" i="1"/>
  <c r="X3411" i="1" s="1"/>
  <c r="V3415" i="1"/>
  <c r="D3415" i="1"/>
  <c r="X3415" i="1" s="1"/>
  <c r="V3419" i="1"/>
  <c r="D3419" i="1"/>
  <c r="X3419" i="1" s="1"/>
  <c r="V3423" i="1"/>
  <c r="D3423" i="1"/>
  <c r="X3423" i="1" s="1"/>
  <c r="V3427" i="1"/>
  <c r="D3427" i="1"/>
  <c r="X3427" i="1" s="1"/>
  <c r="V3431" i="1"/>
  <c r="D3431" i="1"/>
  <c r="X3431" i="1" s="1"/>
  <c r="V3435" i="1"/>
  <c r="D3435" i="1"/>
  <c r="X3435" i="1" s="1"/>
  <c r="V3439" i="1"/>
  <c r="D3439" i="1"/>
  <c r="X3439" i="1" s="1"/>
  <c r="V3443" i="1"/>
  <c r="D3443" i="1"/>
  <c r="X3443" i="1" s="1"/>
  <c r="V3447" i="1"/>
  <c r="D3447" i="1"/>
  <c r="X3447" i="1" s="1"/>
  <c r="V3451" i="1"/>
  <c r="D3451" i="1"/>
  <c r="X3451" i="1" s="1"/>
  <c r="V3455" i="1"/>
  <c r="D3455" i="1"/>
  <c r="X3455" i="1" s="1"/>
  <c r="V3459" i="1"/>
  <c r="D3459" i="1"/>
  <c r="X3459" i="1" s="1"/>
  <c r="V3463" i="1"/>
  <c r="D3463" i="1"/>
  <c r="X3463" i="1" s="1"/>
  <c r="V3467" i="1"/>
  <c r="D3467" i="1"/>
  <c r="X3467" i="1" s="1"/>
  <c r="V3471" i="1"/>
  <c r="D3471" i="1"/>
  <c r="X3471" i="1" s="1"/>
  <c r="V3475" i="1"/>
  <c r="D3475" i="1"/>
  <c r="X3475" i="1" s="1"/>
  <c r="V3479" i="1"/>
  <c r="D3479" i="1"/>
  <c r="X3479" i="1" s="1"/>
  <c r="V3483" i="1"/>
  <c r="D3483" i="1"/>
  <c r="X3483" i="1" s="1"/>
  <c r="V3487" i="1"/>
  <c r="D3487" i="1"/>
  <c r="X3487" i="1" s="1"/>
  <c r="V3491" i="1"/>
  <c r="D3491" i="1"/>
  <c r="X3491" i="1" s="1"/>
  <c r="V3495" i="1"/>
  <c r="D3495" i="1"/>
  <c r="X3495" i="1" s="1"/>
  <c r="V3499" i="1"/>
  <c r="D3499" i="1"/>
  <c r="X3499" i="1" s="1"/>
  <c r="V3503" i="1"/>
  <c r="D3503" i="1"/>
  <c r="X3503" i="1" s="1"/>
  <c r="V3507" i="1"/>
  <c r="D3507" i="1"/>
  <c r="X3507" i="1" s="1"/>
  <c r="V3511" i="1"/>
  <c r="D3511" i="1"/>
  <c r="X3511" i="1" s="1"/>
  <c r="V3515" i="1"/>
  <c r="D3515" i="1"/>
  <c r="X3515" i="1" s="1"/>
  <c r="V3519" i="1"/>
  <c r="D3519" i="1"/>
  <c r="X3519" i="1" s="1"/>
  <c r="V3523" i="1"/>
  <c r="D3523" i="1"/>
  <c r="X3523" i="1" s="1"/>
  <c r="V3527" i="1"/>
  <c r="D3527" i="1"/>
  <c r="X3527" i="1" s="1"/>
  <c r="V3531" i="1"/>
  <c r="D3531" i="1"/>
  <c r="X3531" i="1" s="1"/>
  <c r="V3535" i="1"/>
  <c r="D3535" i="1"/>
  <c r="X3535" i="1" s="1"/>
  <c r="V3539" i="1"/>
  <c r="D3539" i="1"/>
  <c r="X3539" i="1" s="1"/>
  <c r="V3543" i="1"/>
  <c r="D3543" i="1"/>
  <c r="X3543" i="1" s="1"/>
  <c r="V3547" i="1"/>
  <c r="D3547" i="1"/>
  <c r="X3547" i="1" s="1"/>
  <c r="V3551" i="1"/>
  <c r="D3551" i="1"/>
  <c r="X3551" i="1" s="1"/>
  <c r="V3555" i="1"/>
  <c r="D3555" i="1"/>
  <c r="X3555" i="1" s="1"/>
  <c r="V3559" i="1"/>
  <c r="D3559" i="1"/>
  <c r="X3559" i="1" s="1"/>
  <c r="V3563" i="1"/>
  <c r="D3563" i="1"/>
  <c r="X3563" i="1" s="1"/>
  <c r="V3567" i="1"/>
  <c r="D3567" i="1"/>
  <c r="X3567" i="1" s="1"/>
  <c r="V3571" i="1"/>
  <c r="D3571" i="1"/>
  <c r="X3571" i="1" s="1"/>
  <c r="V3575" i="1"/>
  <c r="D3575" i="1"/>
  <c r="X3575" i="1" s="1"/>
  <c r="V3579" i="1"/>
  <c r="D3579" i="1"/>
  <c r="X3579" i="1" s="1"/>
  <c r="V3583" i="1"/>
  <c r="D3583" i="1"/>
  <c r="X3583" i="1" s="1"/>
  <c r="V3587" i="1"/>
  <c r="D3587" i="1"/>
  <c r="X3587" i="1" s="1"/>
  <c r="V3591" i="1"/>
  <c r="D3591" i="1"/>
  <c r="X3591" i="1" s="1"/>
  <c r="V3595" i="1"/>
  <c r="D3595" i="1"/>
  <c r="X3595" i="1" s="1"/>
  <c r="V3599" i="1"/>
  <c r="D3599" i="1"/>
  <c r="X3599" i="1" s="1"/>
  <c r="V3603" i="1"/>
  <c r="D3603" i="1"/>
  <c r="X3603" i="1" s="1"/>
  <c r="V3607" i="1"/>
  <c r="D3607" i="1"/>
  <c r="X3607" i="1" s="1"/>
  <c r="V3611" i="1"/>
  <c r="D3611" i="1"/>
  <c r="X3611" i="1" s="1"/>
  <c r="V3615" i="1"/>
  <c r="D3615" i="1"/>
  <c r="X3615" i="1" s="1"/>
  <c r="V3619" i="1"/>
  <c r="D3619" i="1"/>
  <c r="X3619" i="1" s="1"/>
  <c r="V3623" i="1"/>
  <c r="D3623" i="1"/>
  <c r="X3623" i="1" s="1"/>
  <c r="V3627" i="1"/>
  <c r="D3627" i="1"/>
  <c r="X3627" i="1" s="1"/>
  <c r="V3631" i="1"/>
  <c r="D3631" i="1"/>
  <c r="X3631" i="1" s="1"/>
  <c r="V3635" i="1"/>
  <c r="D3635" i="1"/>
  <c r="X3635" i="1" s="1"/>
  <c r="V3639" i="1"/>
  <c r="D3639" i="1"/>
  <c r="X3639" i="1" s="1"/>
  <c r="V3643" i="1"/>
  <c r="D3643" i="1"/>
  <c r="X3643" i="1" s="1"/>
  <c r="V3647" i="1"/>
  <c r="D3647" i="1"/>
  <c r="X3647" i="1" s="1"/>
  <c r="V3651" i="1"/>
  <c r="D3651" i="1"/>
  <c r="X3651" i="1" s="1"/>
  <c r="V3655" i="1"/>
  <c r="D3655" i="1"/>
  <c r="X3655" i="1" s="1"/>
  <c r="V3659" i="1"/>
  <c r="D3659" i="1"/>
  <c r="X3659" i="1" s="1"/>
  <c r="V3663" i="1"/>
  <c r="D3663" i="1"/>
  <c r="X3663" i="1" s="1"/>
  <c r="V3667" i="1"/>
  <c r="D3667" i="1"/>
  <c r="X3667" i="1" s="1"/>
  <c r="V3671" i="1"/>
  <c r="D3671" i="1"/>
  <c r="X3671" i="1" s="1"/>
  <c r="V3675" i="1"/>
  <c r="D3675" i="1"/>
  <c r="X3675" i="1" s="1"/>
  <c r="V3679" i="1"/>
  <c r="D3679" i="1"/>
  <c r="X3679" i="1" s="1"/>
  <c r="V3683" i="1"/>
  <c r="D3683" i="1"/>
  <c r="X3683" i="1" s="1"/>
  <c r="V3687" i="1"/>
  <c r="D3687" i="1"/>
  <c r="X3687" i="1" s="1"/>
  <c r="V3691" i="1"/>
  <c r="D3691" i="1"/>
  <c r="X3691" i="1" s="1"/>
  <c r="V3695" i="1"/>
  <c r="D3695" i="1"/>
  <c r="X3695" i="1" s="1"/>
  <c r="V3699" i="1"/>
  <c r="D3699" i="1"/>
  <c r="X3699" i="1" s="1"/>
  <c r="V3703" i="1"/>
  <c r="D3703" i="1"/>
  <c r="X3703" i="1" s="1"/>
  <c r="V3707" i="1"/>
  <c r="D3707" i="1"/>
  <c r="X3707" i="1" s="1"/>
  <c r="V3711" i="1"/>
  <c r="D3711" i="1"/>
  <c r="X3711" i="1" s="1"/>
  <c r="V3715" i="1"/>
  <c r="D3715" i="1"/>
  <c r="X3715" i="1" s="1"/>
  <c r="V3719" i="1"/>
  <c r="D3719" i="1"/>
  <c r="X3719" i="1" s="1"/>
  <c r="V3723" i="1"/>
  <c r="D3723" i="1"/>
  <c r="X3723" i="1" s="1"/>
  <c r="V3727" i="1"/>
  <c r="D3727" i="1"/>
  <c r="X3727" i="1" s="1"/>
  <c r="V3731" i="1"/>
  <c r="D3731" i="1"/>
  <c r="X3731" i="1" s="1"/>
  <c r="V3735" i="1"/>
  <c r="D3735" i="1"/>
  <c r="X3735" i="1" s="1"/>
  <c r="V3739" i="1"/>
  <c r="D3739" i="1"/>
  <c r="X3739" i="1" s="1"/>
  <c r="V3743" i="1"/>
  <c r="D3743" i="1"/>
  <c r="X3743" i="1" s="1"/>
  <c r="V3747" i="1"/>
  <c r="D3747" i="1"/>
  <c r="X3747" i="1" s="1"/>
  <c r="V3751" i="1"/>
  <c r="D3751" i="1"/>
  <c r="X3751" i="1" s="1"/>
  <c r="V3755" i="1"/>
  <c r="D3755" i="1"/>
  <c r="X3755" i="1" s="1"/>
  <c r="V3759" i="1"/>
  <c r="D3759" i="1"/>
  <c r="X3759" i="1" s="1"/>
  <c r="V3763" i="1"/>
  <c r="D3763" i="1"/>
  <c r="X3763" i="1" s="1"/>
  <c r="V3767" i="1"/>
  <c r="D3767" i="1"/>
  <c r="X3767" i="1" s="1"/>
  <c r="V3771" i="1"/>
  <c r="D3771" i="1"/>
  <c r="X3771" i="1" s="1"/>
  <c r="V3775" i="1"/>
  <c r="D3775" i="1"/>
  <c r="X3775" i="1" s="1"/>
  <c r="V3779" i="1"/>
  <c r="D3779" i="1"/>
  <c r="X3779" i="1" s="1"/>
  <c r="V3783" i="1"/>
  <c r="D3783" i="1"/>
  <c r="X3783" i="1" s="1"/>
  <c r="V3787" i="1"/>
  <c r="D3787" i="1"/>
  <c r="X3787" i="1" s="1"/>
  <c r="V3791" i="1"/>
  <c r="D3791" i="1"/>
  <c r="X3791" i="1" s="1"/>
  <c r="V3795" i="1"/>
  <c r="D3795" i="1"/>
  <c r="X3795" i="1" s="1"/>
  <c r="V3799" i="1"/>
  <c r="D3799" i="1"/>
  <c r="X3799" i="1" s="1"/>
  <c r="V3803" i="1"/>
  <c r="D3803" i="1"/>
  <c r="X3803" i="1" s="1"/>
  <c r="V3807" i="1"/>
  <c r="D3807" i="1"/>
  <c r="X3807" i="1" s="1"/>
  <c r="V3811" i="1"/>
  <c r="D3811" i="1"/>
  <c r="X3811" i="1" s="1"/>
  <c r="V3815" i="1"/>
  <c r="D3815" i="1"/>
  <c r="X3815" i="1" s="1"/>
  <c r="V3819" i="1"/>
  <c r="D3819" i="1"/>
  <c r="X3819" i="1" s="1"/>
  <c r="V3823" i="1"/>
  <c r="D3823" i="1"/>
  <c r="X3823" i="1" s="1"/>
  <c r="V3827" i="1"/>
  <c r="D3827" i="1"/>
  <c r="X3827" i="1" s="1"/>
  <c r="V3831" i="1"/>
  <c r="D3831" i="1"/>
  <c r="X3831" i="1" s="1"/>
  <c r="V3835" i="1"/>
  <c r="D3835" i="1"/>
  <c r="X3835" i="1" s="1"/>
  <c r="V3839" i="1"/>
  <c r="D3839" i="1"/>
  <c r="X3839" i="1" s="1"/>
  <c r="V3843" i="1"/>
  <c r="D3843" i="1"/>
  <c r="X3843" i="1" s="1"/>
  <c r="V3847" i="1"/>
  <c r="D3847" i="1"/>
  <c r="X3847" i="1" s="1"/>
  <c r="V3851" i="1"/>
  <c r="D3851" i="1"/>
  <c r="X3851" i="1" s="1"/>
  <c r="V3855" i="1"/>
  <c r="D3855" i="1"/>
  <c r="X3855" i="1" s="1"/>
  <c r="V3859" i="1"/>
  <c r="D3859" i="1"/>
  <c r="X3859" i="1" s="1"/>
  <c r="V3863" i="1"/>
  <c r="D3863" i="1"/>
  <c r="X3863" i="1" s="1"/>
  <c r="V3867" i="1"/>
  <c r="D3867" i="1"/>
  <c r="X3867" i="1" s="1"/>
  <c r="V3871" i="1"/>
  <c r="D3871" i="1"/>
  <c r="X3871" i="1" s="1"/>
  <c r="V3875" i="1"/>
  <c r="D3875" i="1"/>
  <c r="X3875" i="1" s="1"/>
  <c r="V3879" i="1"/>
  <c r="D3879" i="1"/>
  <c r="X3879" i="1" s="1"/>
  <c r="V3883" i="1"/>
  <c r="D3883" i="1"/>
  <c r="X3883" i="1" s="1"/>
  <c r="V3887" i="1"/>
  <c r="D3887" i="1"/>
  <c r="X3887" i="1" s="1"/>
  <c r="V3891" i="1"/>
  <c r="D3891" i="1"/>
  <c r="X3891" i="1" s="1"/>
  <c r="V3895" i="1"/>
  <c r="D3895" i="1"/>
  <c r="X3895" i="1" s="1"/>
  <c r="V3899" i="1"/>
  <c r="D3899" i="1"/>
  <c r="X3899" i="1" s="1"/>
  <c r="V3903" i="1"/>
  <c r="D3903" i="1"/>
  <c r="X3903" i="1" s="1"/>
  <c r="V3907" i="1"/>
  <c r="D3907" i="1"/>
  <c r="X3907" i="1" s="1"/>
  <c r="V3911" i="1"/>
  <c r="D3911" i="1"/>
  <c r="X3911" i="1" s="1"/>
  <c r="V3915" i="1"/>
  <c r="D3915" i="1"/>
  <c r="X3915" i="1" s="1"/>
  <c r="V3919" i="1"/>
  <c r="D3919" i="1"/>
  <c r="X3919" i="1" s="1"/>
  <c r="V3923" i="1"/>
  <c r="D3923" i="1"/>
  <c r="X3923" i="1" s="1"/>
  <c r="V3927" i="1"/>
  <c r="D3927" i="1"/>
  <c r="X3927" i="1" s="1"/>
  <c r="V3931" i="1"/>
  <c r="D3931" i="1"/>
  <c r="X3931" i="1" s="1"/>
  <c r="V3935" i="1"/>
  <c r="D3935" i="1"/>
  <c r="X3935" i="1" s="1"/>
  <c r="V3939" i="1"/>
  <c r="D3939" i="1"/>
  <c r="X3939" i="1" s="1"/>
  <c r="V3943" i="1"/>
  <c r="D3943" i="1"/>
  <c r="X3943" i="1" s="1"/>
  <c r="V3947" i="1"/>
  <c r="D3947" i="1"/>
  <c r="X3947" i="1" s="1"/>
  <c r="V3951" i="1"/>
  <c r="D3951" i="1"/>
  <c r="X3951" i="1" s="1"/>
  <c r="V3955" i="1"/>
  <c r="D3955" i="1"/>
  <c r="X3955" i="1" s="1"/>
  <c r="V3959" i="1"/>
  <c r="D3959" i="1"/>
  <c r="X3959" i="1" s="1"/>
  <c r="V3963" i="1"/>
  <c r="D3963" i="1"/>
  <c r="X3963" i="1" s="1"/>
  <c r="V3967" i="1"/>
  <c r="D3967" i="1"/>
  <c r="X3967" i="1" s="1"/>
  <c r="V3971" i="1"/>
  <c r="D3971" i="1"/>
  <c r="X3971" i="1" s="1"/>
  <c r="V3975" i="1"/>
  <c r="D3975" i="1"/>
  <c r="X3975" i="1" s="1"/>
  <c r="V3979" i="1"/>
  <c r="D3979" i="1"/>
  <c r="X3979" i="1" s="1"/>
  <c r="V3983" i="1"/>
  <c r="D3983" i="1"/>
  <c r="X3983" i="1" s="1"/>
  <c r="V3987" i="1"/>
  <c r="D3987" i="1"/>
  <c r="X3987" i="1" s="1"/>
  <c r="V3991" i="1"/>
  <c r="D3991" i="1"/>
  <c r="X3991" i="1" s="1"/>
  <c r="V3995" i="1"/>
  <c r="D3995" i="1"/>
  <c r="X3995" i="1" s="1"/>
  <c r="V3999" i="1"/>
  <c r="D3999" i="1"/>
  <c r="X3999" i="1" s="1"/>
  <c r="V4003" i="1"/>
  <c r="D4003" i="1"/>
  <c r="X4003" i="1" s="1"/>
  <c r="V4007" i="1"/>
  <c r="D4007" i="1"/>
  <c r="X4007" i="1" s="1"/>
  <c r="V4011" i="1"/>
  <c r="D4011" i="1"/>
  <c r="X4011" i="1" s="1"/>
  <c r="V4015" i="1"/>
  <c r="D4015" i="1"/>
  <c r="X4015" i="1" s="1"/>
  <c r="V4019" i="1"/>
  <c r="D4019" i="1"/>
  <c r="X4019" i="1" s="1"/>
  <c r="V4023" i="1"/>
  <c r="D4023" i="1"/>
  <c r="X4023" i="1" s="1"/>
  <c r="V4027" i="1"/>
  <c r="D4027" i="1"/>
  <c r="X4027" i="1" s="1"/>
  <c r="V4031" i="1"/>
  <c r="D4031" i="1"/>
  <c r="X4031" i="1" s="1"/>
  <c r="V4035" i="1"/>
  <c r="D4035" i="1"/>
  <c r="X4035" i="1" s="1"/>
  <c r="V4039" i="1"/>
  <c r="D4039" i="1"/>
  <c r="X4039" i="1" s="1"/>
  <c r="V4043" i="1"/>
  <c r="D4043" i="1"/>
  <c r="X4043" i="1" s="1"/>
  <c r="V4047" i="1"/>
  <c r="D4047" i="1"/>
  <c r="X4047" i="1" s="1"/>
  <c r="V4051" i="1"/>
  <c r="D4051" i="1"/>
  <c r="X4051" i="1" s="1"/>
  <c r="V4055" i="1"/>
  <c r="D4055" i="1"/>
  <c r="X4055" i="1" s="1"/>
  <c r="V4059" i="1"/>
  <c r="D4059" i="1"/>
  <c r="X4059" i="1" s="1"/>
  <c r="V4063" i="1"/>
  <c r="D4063" i="1"/>
  <c r="X4063" i="1" s="1"/>
  <c r="V4067" i="1"/>
  <c r="D4067" i="1"/>
  <c r="X4067" i="1" s="1"/>
  <c r="V4071" i="1"/>
  <c r="D4071" i="1"/>
  <c r="X4071" i="1" s="1"/>
  <c r="V4075" i="1"/>
  <c r="D4075" i="1"/>
  <c r="X4075" i="1" s="1"/>
  <c r="V4079" i="1"/>
  <c r="D4079" i="1"/>
  <c r="X4079" i="1" s="1"/>
  <c r="V4083" i="1"/>
  <c r="D4083" i="1"/>
  <c r="X4083" i="1" s="1"/>
  <c r="V4087" i="1"/>
  <c r="D4087" i="1"/>
  <c r="X4087" i="1" s="1"/>
  <c r="V4091" i="1"/>
  <c r="D4091" i="1"/>
  <c r="X4091" i="1" s="1"/>
  <c r="V4095" i="1"/>
  <c r="D4095" i="1"/>
  <c r="X4095" i="1" s="1"/>
  <c r="V4099" i="1"/>
  <c r="D4099" i="1"/>
  <c r="X4099" i="1" s="1"/>
  <c r="V4103" i="1"/>
  <c r="D4103" i="1"/>
  <c r="X4103" i="1" s="1"/>
  <c r="V4107" i="1"/>
  <c r="D4107" i="1"/>
  <c r="X4107" i="1" s="1"/>
  <c r="V4111" i="1"/>
  <c r="D4111" i="1"/>
  <c r="X4111" i="1" s="1"/>
  <c r="V4115" i="1"/>
  <c r="D4115" i="1"/>
  <c r="X4115" i="1" s="1"/>
  <c r="V4119" i="1"/>
  <c r="D4119" i="1"/>
  <c r="X4119" i="1" s="1"/>
  <c r="V4123" i="1"/>
  <c r="D4123" i="1"/>
  <c r="X4123" i="1" s="1"/>
  <c r="V4127" i="1"/>
  <c r="D4127" i="1"/>
  <c r="X4127" i="1" s="1"/>
  <c r="V4131" i="1"/>
  <c r="D4131" i="1"/>
  <c r="X4131" i="1" s="1"/>
  <c r="V4135" i="1"/>
  <c r="D4135" i="1"/>
  <c r="X4135" i="1" s="1"/>
  <c r="V4139" i="1"/>
  <c r="D4139" i="1"/>
  <c r="X4139" i="1" s="1"/>
  <c r="V4143" i="1"/>
  <c r="D4143" i="1"/>
  <c r="X4143" i="1" s="1"/>
  <c r="V4147" i="1"/>
  <c r="D4147" i="1"/>
  <c r="X4147" i="1" s="1"/>
  <c r="V4151" i="1"/>
  <c r="D4151" i="1"/>
  <c r="X4151" i="1" s="1"/>
  <c r="V4155" i="1"/>
  <c r="D4155" i="1"/>
  <c r="X4155" i="1" s="1"/>
  <c r="V4159" i="1"/>
  <c r="D4159" i="1"/>
  <c r="X4159" i="1" s="1"/>
  <c r="V4163" i="1"/>
  <c r="D4163" i="1"/>
  <c r="X4163" i="1" s="1"/>
  <c r="V4167" i="1"/>
  <c r="D4167" i="1"/>
  <c r="X4167" i="1" s="1"/>
  <c r="V4171" i="1"/>
  <c r="D4171" i="1"/>
  <c r="X4171" i="1" s="1"/>
  <c r="V4175" i="1"/>
  <c r="D4175" i="1"/>
  <c r="X4175" i="1" s="1"/>
  <c r="V4179" i="1"/>
  <c r="D4179" i="1"/>
  <c r="X4179" i="1" s="1"/>
  <c r="V4183" i="1"/>
  <c r="D4183" i="1"/>
  <c r="X4183" i="1" s="1"/>
  <c r="V4187" i="1"/>
  <c r="D4187" i="1"/>
  <c r="X4187" i="1" s="1"/>
  <c r="V4191" i="1"/>
  <c r="D4191" i="1"/>
  <c r="X4191" i="1" s="1"/>
  <c r="V4195" i="1"/>
  <c r="D4195" i="1"/>
  <c r="X4195" i="1" s="1"/>
  <c r="V4199" i="1"/>
  <c r="D4199" i="1"/>
  <c r="X4199" i="1" s="1"/>
  <c r="V4203" i="1"/>
  <c r="D4203" i="1"/>
  <c r="X4203" i="1" s="1"/>
  <c r="V4207" i="1"/>
  <c r="D4207" i="1"/>
  <c r="X4207" i="1" s="1"/>
  <c r="V4211" i="1"/>
  <c r="D4211" i="1"/>
  <c r="X4211" i="1" s="1"/>
  <c r="V4215" i="1"/>
  <c r="D4215" i="1"/>
  <c r="X4215" i="1" s="1"/>
  <c r="V4219" i="1"/>
  <c r="D4219" i="1"/>
  <c r="X4219" i="1" s="1"/>
  <c r="V4223" i="1"/>
  <c r="D4223" i="1"/>
  <c r="X4223" i="1" s="1"/>
  <c r="V4227" i="1"/>
  <c r="D4227" i="1"/>
  <c r="X4227" i="1" s="1"/>
  <c r="V4231" i="1"/>
  <c r="D4231" i="1"/>
  <c r="X4231" i="1" s="1"/>
  <c r="V4235" i="1"/>
  <c r="D4235" i="1"/>
  <c r="X4235" i="1" s="1"/>
  <c r="V4239" i="1"/>
  <c r="D4239" i="1"/>
  <c r="X4239" i="1" s="1"/>
  <c r="V4243" i="1"/>
  <c r="D4243" i="1"/>
  <c r="X4243" i="1" s="1"/>
  <c r="V4247" i="1"/>
  <c r="D4247" i="1"/>
  <c r="X4247" i="1" s="1"/>
  <c r="V4251" i="1"/>
  <c r="D4251" i="1"/>
  <c r="X4251" i="1" s="1"/>
  <c r="V4255" i="1"/>
  <c r="D4255" i="1"/>
  <c r="X4255" i="1" s="1"/>
  <c r="V4259" i="1"/>
  <c r="D4259" i="1"/>
  <c r="X4259" i="1" s="1"/>
  <c r="V4263" i="1"/>
  <c r="D4263" i="1"/>
  <c r="X4263" i="1" s="1"/>
  <c r="V4267" i="1"/>
  <c r="D4267" i="1"/>
  <c r="X4267" i="1" s="1"/>
  <c r="V4271" i="1"/>
  <c r="D4271" i="1"/>
  <c r="X4271" i="1" s="1"/>
  <c r="V4275" i="1"/>
  <c r="D4275" i="1"/>
  <c r="X4275" i="1" s="1"/>
  <c r="V4279" i="1"/>
  <c r="D4279" i="1"/>
  <c r="X4279" i="1" s="1"/>
  <c r="V4283" i="1"/>
  <c r="D4283" i="1"/>
  <c r="X4283" i="1" s="1"/>
  <c r="V4287" i="1"/>
  <c r="D4287" i="1"/>
  <c r="X4287" i="1" s="1"/>
  <c r="V4291" i="1"/>
  <c r="D4291" i="1"/>
  <c r="X4291" i="1" s="1"/>
  <c r="V4295" i="1"/>
  <c r="D4295" i="1"/>
  <c r="X4295" i="1" s="1"/>
  <c r="V4299" i="1"/>
  <c r="D4299" i="1"/>
  <c r="X4299" i="1" s="1"/>
  <c r="V4303" i="1"/>
  <c r="D4303" i="1"/>
  <c r="X4303" i="1" s="1"/>
  <c r="V4307" i="1"/>
  <c r="D4307" i="1"/>
  <c r="X4307" i="1" s="1"/>
  <c r="V4311" i="1"/>
  <c r="D4311" i="1"/>
  <c r="X4311" i="1" s="1"/>
  <c r="V4315" i="1"/>
  <c r="D4315" i="1"/>
  <c r="X4315" i="1" s="1"/>
  <c r="V4319" i="1"/>
  <c r="D4319" i="1"/>
  <c r="X4319" i="1" s="1"/>
  <c r="V4323" i="1"/>
  <c r="D4323" i="1"/>
  <c r="X4323" i="1" s="1"/>
  <c r="V4327" i="1"/>
  <c r="D4327" i="1"/>
  <c r="X4327" i="1" s="1"/>
  <c r="V4331" i="1"/>
  <c r="D4331" i="1"/>
  <c r="X4331" i="1" s="1"/>
  <c r="V4335" i="1"/>
  <c r="D4335" i="1"/>
  <c r="X4335" i="1" s="1"/>
  <c r="V4339" i="1"/>
  <c r="D4339" i="1"/>
  <c r="X4339" i="1" s="1"/>
  <c r="V4343" i="1"/>
  <c r="D4343" i="1"/>
  <c r="X4343" i="1" s="1"/>
  <c r="V4347" i="1"/>
  <c r="D4347" i="1"/>
  <c r="X4347" i="1" s="1"/>
  <c r="V4351" i="1"/>
  <c r="D4351" i="1"/>
  <c r="X4351" i="1" s="1"/>
  <c r="V4355" i="1"/>
  <c r="D4355" i="1"/>
  <c r="X4355" i="1" s="1"/>
  <c r="V4359" i="1"/>
  <c r="D4359" i="1"/>
  <c r="X4359" i="1" s="1"/>
  <c r="V4363" i="1"/>
  <c r="D4363" i="1"/>
  <c r="X4363" i="1" s="1"/>
  <c r="V4367" i="1"/>
  <c r="D4367" i="1"/>
  <c r="X4367" i="1" s="1"/>
  <c r="V4371" i="1"/>
  <c r="D4371" i="1"/>
  <c r="X4371" i="1" s="1"/>
  <c r="V4375" i="1"/>
  <c r="D4375" i="1"/>
  <c r="X4375" i="1" s="1"/>
  <c r="V4379" i="1"/>
  <c r="D4379" i="1"/>
  <c r="X4379" i="1" s="1"/>
  <c r="V4383" i="1"/>
  <c r="D4383" i="1"/>
  <c r="X4383" i="1" s="1"/>
  <c r="V4387" i="1"/>
  <c r="D4387" i="1"/>
  <c r="X4387" i="1" s="1"/>
  <c r="V4391" i="1"/>
  <c r="D4391" i="1"/>
  <c r="X4391" i="1" s="1"/>
  <c r="V4395" i="1"/>
  <c r="D4395" i="1"/>
  <c r="X4395" i="1" s="1"/>
  <c r="V4399" i="1"/>
  <c r="D4399" i="1"/>
  <c r="X4399" i="1" s="1"/>
  <c r="V4403" i="1"/>
  <c r="D4403" i="1"/>
  <c r="X4403" i="1" s="1"/>
  <c r="V4407" i="1"/>
  <c r="D4407" i="1"/>
  <c r="X4407" i="1" s="1"/>
  <c r="V4410" i="1"/>
  <c r="D4410" i="1"/>
  <c r="X4410" i="1" s="1"/>
  <c r="V4414" i="1"/>
  <c r="D4414" i="1"/>
  <c r="X4414" i="1" s="1"/>
  <c r="V4417" i="1"/>
  <c r="D4417" i="1"/>
  <c r="X4417" i="1" s="1"/>
  <c r="V4421" i="1"/>
  <c r="D4421" i="1"/>
  <c r="X4421" i="1" s="1"/>
  <c r="V4428" i="1"/>
  <c r="D4428" i="1"/>
  <c r="X4428" i="1" s="1"/>
  <c r="V4435" i="1"/>
  <c r="D4435" i="1"/>
  <c r="X4435" i="1" s="1"/>
  <c r="V4439" i="1"/>
  <c r="D4439" i="1"/>
  <c r="X4439" i="1" s="1"/>
  <c r="V4442" i="1"/>
  <c r="D4442" i="1"/>
  <c r="X4442" i="1" s="1"/>
  <c r="V4446" i="1"/>
  <c r="D4446" i="1"/>
  <c r="X4446" i="1" s="1"/>
  <c r="V4449" i="1"/>
  <c r="D4449" i="1"/>
  <c r="X4449" i="1" s="1"/>
  <c r="V4453" i="1"/>
  <c r="D4453" i="1"/>
  <c r="X4453" i="1" s="1"/>
  <c r="V4460" i="1"/>
  <c r="D4460" i="1"/>
  <c r="X4460" i="1" s="1"/>
  <c r="V4467" i="1"/>
  <c r="D4467" i="1"/>
  <c r="X4467" i="1" s="1"/>
  <c r="V4471" i="1"/>
  <c r="D4471" i="1"/>
  <c r="X4471" i="1" s="1"/>
  <c r="V4474" i="1"/>
  <c r="D4474" i="1"/>
  <c r="X4474" i="1" s="1"/>
  <c r="V4478" i="1"/>
  <c r="D4478" i="1"/>
  <c r="X4478" i="1" s="1"/>
  <c r="V4481" i="1"/>
  <c r="D4481" i="1"/>
  <c r="X4481" i="1" s="1"/>
  <c r="V4485" i="1"/>
  <c r="D4485" i="1"/>
  <c r="X4485" i="1" s="1"/>
  <c r="V4492" i="1"/>
  <c r="D4492" i="1"/>
  <c r="X4492" i="1" s="1"/>
  <c r="V4499" i="1"/>
  <c r="D4499" i="1"/>
  <c r="X4499" i="1" s="1"/>
  <c r="V4503" i="1"/>
  <c r="D4503" i="1"/>
  <c r="X4503" i="1" s="1"/>
  <c r="V4506" i="1"/>
  <c r="D4506" i="1"/>
  <c r="X4506" i="1" s="1"/>
  <c r="V4510" i="1"/>
  <c r="D4510" i="1"/>
  <c r="X4510" i="1" s="1"/>
  <c r="V4513" i="1"/>
  <c r="D4513" i="1"/>
  <c r="X4513" i="1" s="1"/>
  <c r="V4517" i="1"/>
  <c r="D4517" i="1"/>
  <c r="X4517" i="1" s="1"/>
  <c r="V4524" i="1"/>
  <c r="D4524" i="1"/>
  <c r="X4524" i="1" s="1"/>
  <c r="V4531" i="1"/>
  <c r="D4531" i="1"/>
  <c r="X4531" i="1" s="1"/>
  <c r="V4535" i="1"/>
  <c r="D4535" i="1"/>
  <c r="X4535" i="1" s="1"/>
  <c r="V4538" i="1"/>
  <c r="D4538" i="1"/>
  <c r="X4538" i="1" s="1"/>
  <c r="V4542" i="1"/>
  <c r="D4542" i="1"/>
  <c r="X4542" i="1" s="1"/>
  <c r="V4545" i="1"/>
  <c r="D4545" i="1"/>
  <c r="X4545" i="1" s="1"/>
  <c r="V4549" i="1"/>
  <c r="D4549" i="1"/>
  <c r="X4549" i="1" s="1"/>
  <c r="V4556" i="1"/>
  <c r="D4556" i="1"/>
  <c r="X4556" i="1" s="1"/>
  <c r="V4563" i="1"/>
  <c r="D4563" i="1"/>
  <c r="X4563" i="1" s="1"/>
  <c r="V4567" i="1"/>
  <c r="D4567" i="1"/>
  <c r="X4567" i="1" s="1"/>
  <c r="V4570" i="1"/>
  <c r="D4570" i="1"/>
  <c r="X4570" i="1" s="1"/>
  <c r="V4574" i="1"/>
  <c r="D4574" i="1"/>
  <c r="X4574" i="1" s="1"/>
  <c r="V4577" i="1"/>
  <c r="D4577" i="1"/>
  <c r="X4577" i="1" s="1"/>
  <c r="V4581" i="1"/>
  <c r="D4581" i="1"/>
  <c r="X4581" i="1" s="1"/>
  <c r="V4588" i="1"/>
  <c r="D4588" i="1"/>
  <c r="X4588" i="1" s="1"/>
  <c r="V4595" i="1"/>
  <c r="D4595" i="1"/>
  <c r="X4595" i="1" s="1"/>
  <c r="V4599" i="1"/>
  <c r="D4599" i="1"/>
  <c r="X4599" i="1" s="1"/>
  <c r="V4602" i="1"/>
  <c r="D4602" i="1"/>
  <c r="X4602" i="1" s="1"/>
  <c r="V4606" i="1"/>
  <c r="D4606" i="1"/>
  <c r="X4606" i="1" s="1"/>
  <c r="V4610" i="1"/>
  <c r="D4610" i="1"/>
  <c r="X4610" i="1" s="1"/>
  <c r="V4614" i="1"/>
  <c r="D4614" i="1"/>
  <c r="X4614" i="1" s="1"/>
  <c r="V4618" i="1"/>
  <c r="D4618" i="1"/>
  <c r="X4618" i="1" s="1"/>
  <c r="V4622" i="1"/>
  <c r="D4622" i="1"/>
  <c r="X4622" i="1" s="1"/>
  <c r="V4626" i="1"/>
  <c r="D4626" i="1"/>
  <c r="X4626" i="1" s="1"/>
  <c r="V4630" i="1"/>
  <c r="D4630" i="1"/>
  <c r="X4630" i="1" s="1"/>
  <c r="V4634" i="1"/>
  <c r="D4634" i="1"/>
  <c r="X4634" i="1" s="1"/>
  <c r="V4638" i="1"/>
  <c r="D4638" i="1"/>
  <c r="X4638" i="1" s="1"/>
  <c r="V4642" i="1"/>
  <c r="D4642" i="1"/>
  <c r="X4642" i="1" s="1"/>
  <c r="V4646" i="1"/>
  <c r="D4646" i="1"/>
  <c r="X4646" i="1" s="1"/>
  <c r="V4650" i="1"/>
  <c r="D4650" i="1"/>
  <c r="X4650" i="1" s="1"/>
  <c r="V4654" i="1"/>
  <c r="D4654" i="1"/>
  <c r="X4654" i="1" s="1"/>
  <c r="V4658" i="1"/>
  <c r="D4658" i="1"/>
  <c r="X4658" i="1" s="1"/>
  <c r="V4662" i="1"/>
  <c r="D4662" i="1"/>
  <c r="X4662" i="1" s="1"/>
  <c r="V4666" i="1"/>
  <c r="D4666" i="1"/>
  <c r="X4666" i="1" s="1"/>
  <c r="V4670" i="1"/>
  <c r="D4670" i="1"/>
  <c r="X4670" i="1" s="1"/>
  <c r="V4674" i="1"/>
  <c r="D4674" i="1"/>
  <c r="X4674" i="1" s="1"/>
  <c r="V4678" i="1"/>
  <c r="D4678" i="1"/>
  <c r="X4678" i="1" s="1"/>
  <c r="V4682" i="1"/>
  <c r="D4682" i="1"/>
  <c r="X4682" i="1" s="1"/>
  <c r="V4686" i="1"/>
  <c r="D4686" i="1"/>
  <c r="X4686" i="1" s="1"/>
  <c r="V4690" i="1"/>
  <c r="D4690" i="1"/>
  <c r="X4690" i="1" s="1"/>
  <c r="V4694" i="1"/>
  <c r="D4694" i="1"/>
  <c r="X4694" i="1" s="1"/>
  <c r="V4698" i="1"/>
  <c r="D4698" i="1"/>
  <c r="X4698" i="1" s="1"/>
  <c r="V4702" i="1"/>
  <c r="D4702" i="1"/>
  <c r="X4702" i="1" s="1"/>
  <c r="V4706" i="1"/>
  <c r="D4706" i="1"/>
  <c r="X4706" i="1" s="1"/>
  <c r="V4710" i="1"/>
  <c r="D4710" i="1"/>
  <c r="X4710" i="1" s="1"/>
  <c r="V4714" i="1"/>
  <c r="D4714" i="1"/>
  <c r="X4714" i="1" s="1"/>
  <c r="V4718" i="1"/>
  <c r="D4718" i="1"/>
  <c r="X4718" i="1" s="1"/>
  <c r="V4721" i="1"/>
  <c r="D4721" i="1"/>
  <c r="X4721" i="1" s="1"/>
  <c r="V4724" i="1"/>
  <c r="D4724" i="1"/>
  <c r="X4724" i="1" s="1"/>
  <c r="V4734" i="1"/>
  <c r="D4734" i="1"/>
  <c r="X4734" i="1" s="1"/>
  <c r="V4737" i="1"/>
  <c r="D4737" i="1"/>
  <c r="X4737" i="1" s="1"/>
  <c r="V4740" i="1"/>
  <c r="D4740" i="1"/>
  <c r="X4740" i="1" s="1"/>
  <c r="V4750" i="1"/>
  <c r="D4750" i="1"/>
  <c r="X4750" i="1" s="1"/>
  <c r="V4753" i="1"/>
  <c r="D4753" i="1"/>
  <c r="X4753" i="1" s="1"/>
  <c r="V4756" i="1"/>
  <c r="D4756" i="1"/>
  <c r="X4756" i="1" s="1"/>
  <c r="V4766" i="1"/>
  <c r="D4766" i="1"/>
  <c r="X4766" i="1" s="1"/>
  <c r="V4769" i="1"/>
  <c r="D4769" i="1"/>
  <c r="X4769" i="1" s="1"/>
  <c r="V4772" i="1"/>
  <c r="D4772" i="1"/>
  <c r="X4772" i="1" s="1"/>
  <c r="V4782" i="1"/>
  <c r="D4782" i="1"/>
  <c r="X4782" i="1" s="1"/>
  <c r="V4785" i="1"/>
  <c r="D4785" i="1"/>
  <c r="X4785" i="1" s="1"/>
  <c r="V4788" i="1"/>
  <c r="D4788" i="1"/>
  <c r="X4788" i="1" s="1"/>
  <c r="V4798" i="1"/>
  <c r="D4798" i="1"/>
  <c r="X4798" i="1" s="1"/>
  <c r="V4801" i="1"/>
  <c r="D4801" i="1"/>
  <c r="X4801" i="1" s="1"/>
  <c r="V4804" i="1"/>
  <c r="D4804" i="1"/>
  <c r="X4804" i="1" s="1"/>
  <c r="V4814" i="1"/>
  <c r="D4814" i="1"/>
  <c r="X4814" i="1" s="1"/>
  <c r="V4817" i="1"/>
  <c r="D4817" i="1"/>
  <c r="X4817" i="1" s="1"/>
  <c r="V4820" i="1"/>
  <c r="D4820" i="1"/>
  <c r="X4820" i="1" s="1"/>
  <c r="V4830" i="1"/>
  <c r="D4830" i="1"/>
  <c r="X4830" i="1" s="1"/>
  <c r="V4833" i="1"/>
  <c r="D4833" i="1"/>
  <c r="X4833" i="1" s="1"/>
  <c r="V4836" i="1"/>
  <c r="D4836" i="1"/>
  <c r="X4836" i="1" s="1"/>
  <c r="V4846" i="1"/>
  <c r="D4846" i="1"/>
  <c r="X4846" i="1" s="1"/>
  <c r="V4849" i="1"/>
  <c r="D4849" i="1"/>
  <c r="X4849" i="1" s="1"/>
  <c r="V4852" i="1"/>
  <c r="D4852" i="1"/>
  <c r="X4852" i="1" s="1"/>
  <c r="V4862" i="1"/>
  <c r="D4862" i="1"/>
  <c r="X4862" i="1" s="1"/>
  <c r="V4865" i="1"/>
  <c r="D4865" i="1"/>
  <c r="X4865" i="1" s="1"/>
  <c r="V4868" i="1"/>
  <c r="D4868" i="1"/>
  <c r="X4868" i="1" s="1"/>
  <c r="V4878" i="1"/>
  <c r="D4878" i="1"/>
  <c r="X4878" i="1" s="1"/>
  <c r="V4881" i="1"/>
  <c r="D4881" i="1"/>
  <c r="X4881" i="1" s="1"/>
  <c r="V4884" i="1"/>
  <c r="D4884" i="1"/>
  <c r="X4884" i="1" s="1"/>
  <c r="V4894" i="1"/>
  <c r="D4894" i="1"/>
  <c r="X4894" i="1" s="1"/>
  <c r="V4897" i="1"/>
  <c r="D4897" i="1"/>
  <c r="X4897" i="1" s="1"/>
  <c r="V4900" i="1"/>
  <c r="D4900" i="1"/>
  <c r="X4900" i="1" s="1"/>
  <c r="V4910" i="1"/>
  <c r="D4910" i="1"/>
  <c r="X4910" i="1" s="1"/>
  <c r="V4913" i="1"/>
  <c r="D4913" i="1"/>
  <c r="X4913" i="1" s="1"/>
  <c r="V4916" i="1"/>
  <c r="D4916" i="1"/>
  <c r="X4916" i="1" s="1"/>
  <c r="V4926" i="1"/>
  <c r="D4926" i="1"/>
  <c r="X4926" i="1" s="1"/>
  <c r="V4929" i="1"/>
  <c r="D4929" i="1"/>
  <c r="X4929" i="1" s="1"/>
  <c r="V4932" i="1"/>
  <c r="D4932" i="1"/>
  <c r="X4932" i="1" s="1"/>
  <c r="V4942" i="1"/>
  <c r="D4942" i="1"/>
  <c r="X4942" i="1" s="1"/>
  <c r="V4945" i="1"/>
  <c r="D4945" i="1"/>
  <c r="X4945" i="1" s="1"/>
  <c r="V4948" i="1"/>
  <c r="D4948" i="1"/>
  <c r="X4948" i="1" s="1"/>
  <c r="V4952" i="1"/>
  <c r="D4952" i="1"/>
  <c r="X4952" i="1" s="1"/>
  <c r="V4956" i="1"/>
  <c r="D4956" i="1"/>
  <c r="X4956" i="1" s="1"/>
  <c r="V4960" i="1"/>
  <c r="D4960" i="1"/>
  <c r="X4960" i="1" s="1"/>
  <c r="V4964" i="1"/>
  <c r="D4964" i="1"/>
  <c r="X4964" i="1" s="1"/>
  <c r="V4968" i="1"/>
  <c r="D4968" i="1"/>
  <c r="X4968" i="1" s="1"/>
  <c r="V4972" i="1"/>
  <c r="D4972" i="1"/>
  <c r="X4972" i="1" s="1"/>
  <c r="V4976" i="1"/>
  <c r="D4976" i="1"/>
  <c r="X4976" i="1" s="1"/>
  <c r="V4980" i="1"/>
  <c r="D4980" i="1"/>
  <c r="X4980" i="1" s="1"/>
  <c r="V4984" i="1"/>
  <c r="D4984" i="1"/>
  <c r="X4984" i="1" s="1"/>
  <c r="V4988" i="1"/>
  <c r="D4988" i="1"/>
  <c r="X4988" i="1" s="1"/>
  <c r="V4992" i="1"/>
  <c r="D4992" i="1"/>
  <c r="X4992" i="1" s="1"/>
  <c r="V4996" i="1"/>
  <c r="D4996" i="1"/>
  <c r="X4996" i="1" s="1"/>
  <c r="V5000" i="1"/>
  <c r="D5000" i="1"/>
  <c r="X5000" i="1" s="1"/>
  <c r="V5004" i="1"/>
  <c r="D5004" i="1"/>
  <c r="X5004" i="1" s="1"/>
  <c r="V5008" i="1"/>
  <c r="D5008" i="1"/>
  <c r="X5008" i="1" s="1"/>
  <c r="V5012" i="1"/>
  <c r="D5012" i="1"/>
  <c r="X5012" i="1" s="1"/>
  <c r="V5016" i="1"/>
  <c r="D5016" i="1"/>
  <c r="X5016" i="1" s="1"/>
  <c r="V5020" i="1"/>
  <c r="D5020" i="1"/>
  <c r="X5020" i="1" s="1"/>
  <c r="V5024" i="1"/>
  <c r="D5024" i="1"/>
  <c r="X5024" i="1" s="1"/>
  <c r="V5028" i="1"/>
  <c r="D5028" i="1"/>
  <c r="X5028" i="1" s="1"/>
  <c r="V5032" i="1"/>
  <c r="D5032" i="1"/>
  <c r="X5032" i="1" s="1"/>
  <c r="V5036" i="1"/>
  <c r="D5036" i="1"/>
  <c r="X5036" i="1" s="1"/>
  <c r="V5040" i="1"/>
  <c r="D5040" i="1"/>
  <c r="X5040" i="1" s="1"/>
  <c r="V5044" i="1"/>
  <c r="D5044" i="1"/>
  <c r="X5044" i="1" s="1"/>
  <c r="V5048" i="1"/>
  <c r="D5048" i="1"/>
  <c r="X5048" i="1" s="1"/>
  <c r="V5052" i="1"/>
  <c r="D5052" i="1"/>
  <c r="X5052" i="1" s="1"/>
  <c r="V5056" i="1"/>
  <c r="D5056" i="1"/>
  <c r="X5056" i="1" s="1"/>
  <c r="V5060" i="1"/>
  <c r="D5060" i="1"/>
  <c r="X5060" i="1" s="1"/>
  <c r="V5064" i="1"/>
  <c r="D5064" i="1"/>
  <c r="X5064" i="1" s="1"/>
  <c r="V5068" i="1"/>
  <c r="D5068" i="1"/>
  <c r="X5068" i="1" s="1"/>
  <c r="V5072" i="1"/>
  <c r="D5072" i="1"/>
  <c r="X5072" i="1" s="1"/>
  <c r="V5076" i="1"/>
  <c r="D5076" i="1"/>
  <c r="X5076" i="1" s="1"/>
  <c r="V5080" i="1"/>
  <c r="D5080" i="1"/>
  <c r="X5080" i="1" s="1"/>
  <c r="V5084" i="1"/>
  <c r="D5084" i="1"/>
  <c r="X5084" i="1" s="1"/>
  <c r="V5088" i="1"/>
  <c r="D5088" i="1"/>
  <c r="X5088" i="1" s="1"/>
  <c r="V5092" i="1"/>
  <c r="D5092" i="1"/>
  <c r="X5092" i="1" s="1"/>
  <c r="V5096" i="1"/>
  <c r="D5096" i="1"/>
  <c r="X5096" i="1" s="1"/>
  <c r="V5100" i="1"/>
  <c r="D5100" i="1"/>
  <c r="X5100" i="1" s="1"/>
  <c r="V5104" i="1"/>
  <c r="D5104" i="1"/>
  <c r="X5104" i="1" s="1"/>
  <c r="V5108" i="1"/>
  <c r="D5108" i="1"/>
  <c r="X5108" i="1" s="1"/>
  <c r="V5112" i="1"/>
  <c r="D5112" i="1"/>
  <c r="X5112" i="1" s="1"/>
  <c r="V5116" i="1"/>
  <c r="D5116" i="1"/>
  <c r="X5116" i="1" s="1"/>
  <c r="V5120" i="1"/>
  <c r="D5120" i="1"/>
  <c r="X5120" i="1" s="1"/>
  <c r="V5124" i="1"/>
  <c r="D5124" i="1"/>
  <c r="X5124" i="1" s="1"/>
  <c r="V5128" i="1"/>
  <c r="D5128" i="1"/>
  <c r="X5128" i="1" s="1"/>
  <c r="V5132" i="1"/>
  <c r="D5132" i="1"/>
  <c r="X5132" i="1" s="1"/>
  <c r="V5136" i="1"/>
  <c r="D5136" i="1"/>
  <c r="X5136" i="1" s="1"/>
  <c r="V5140" i="1"/>
  <c r="D5140" i="1"/>
  <c r="X5140" i="1" s="1"/>
  <c r="V5144" i="1"/>
  <c r="D5144" i="1"/>
  <c r="X5144" i="1" s="1"/>
  <c r="V5148" i="1"/>
  <c r="D5148" i="1"/>
  <c r="X5148" i="1" s="1"/>
  <c r="V5152" i="1"/>
  <c r="D5152" i="1"/>
  <c r="X5152" i="1" s="1"/>
  <c r="V5156" i="1"/>
  <c r="D5156" i="1"/>
  <c r="X5156" i="1" s="1"/>
  <c r="V5160" i="1"/>
  <c r="D5160" i="1"/>
  <c r="X5160" i="1" s="1"/>
  <c r="V5164" i="1"/>
  <c r="D5164" i="1"/>
  <c r="X5164" i="1" s="1"/>
  <c r="V5168" i="1"/>
  <c r="D5168" i="1"/>
  <c r="X5168" i="1" s="1"/>
  <c r="V5172" i="1"/>
  <c r="D5172" i="1"/>
  <c r="X5172" i="1" s="1"/>
  <c r="V5176" i="1"/>
  <c r="D5176" i="1"/>
  <c r="X5176" i="1" s="1"/>
  <c r="V5180" i="1"/>
  <c r="D5180" i="1"/>
  <c r="X5180" i="1" s="1"/>
  <c r="V5184" i="1"/>
  <c r="D5184" i="1"/>
  <c r="X5184" i="1" s="1"/>
  <c r="V5188" i="1"/>
  <c r="D5188" i="1"/>
  <c r="X5188" i="1" s="1"/>
  <c r="V5192" i="1"/>
  <c r="D5192" i="1"/>
  <c r="X5192" i="1" s="1"/>
  <c r="V5196" i="1"/>
  <c r="D5196" i="1"/>
  <c r="X5196" i="1" s="1"/>
  <c r="V5200" i="1"/>
  <c r="D5200" i="1"/>
  <c r="X5200" i="1" s="1"/>
  <c r="V5204" i="1"/>
  <c r="D5204" i="1"/>
  <c r="X5204" i="1" s="1"/>
  <c r="V5208" i="1"/>
  <c r="D5208" i="1"/>
  <c r="X5208" i="1" s="1"/>
  <c r="V5212" i="1"/>
  <c r="D5212" i="1"/>
  <c r="X5212" i="1" s="1"/>
  <c r="V5216" i="1"/>
  <c r="D5216" i="1"/>
  <c r="X5216" i="1" s="1"/>
  <c r="V5220" i="1"/>
  <c r="D5220" i="1"/>
  <c r="X5220" i="1" s="1"/>
  <c r="V5224" i="1"/>
  <c r="D5224" i="1"/>
  <c r="X5224" i="1" s="1"/>
  <c r="V5228" i="1"/>
  <c r="D5228" i="1"/>
  <c r="X5228" i="1" s="1"/>
  <c r="V5232" i="1"/>
  <c r="D5232" i="1"/>
  <c r="X5232" i="1" s="1"/>
  <c r="V5236" i="1"/>
  <c r="D5236" i="1"/>
  <c r="X5236" i="1" s="1"/>
  <c r="V5240" i="1"/>
  <c r="D5240" i="1"/>
  <c r="X5240" i="1" s="1"/>
  <c r="V5244" i="1"/>
  <c r="D5244" i="1"/>
  <c r="X5244" i="1" s="1"/>
  <c r="V5248" i="1"/>
  <c r="D5248" i="1"/>
  <c r="X5248" i="1" s="1"/>
  <c r="V5252" i="1"/>
  <c r="D5252" i="1"/>
  <c r="X5252" i="1" s="1"/>
  <c r="V5256" i="1"/>
  <c r="D5256" i="1"/>
  <c r="X5256" i="1" s="1"/>
  <c r="V5260" i="1"/>
  <c r="D5260" i="1"/>
  <c r="X5260" i="1" s="1"/>
  <c r="V5264" i="1"/>
  <c r="D5264" i="1"/>
  <c r="X5264" i="1" s="1"/>
  <c r="V5268" i="1"/>
  <c r="D5268" i="1"/>
  <c r="X5268" i="1" s="1"/>
  <c r="V5272" i="1"/>
  <c r="D5272" i="1"/>
  <c r="X5272" i="1" s="1"/>
  <c r="V5276" i="1"/>
  <c r="D5276" i="1"/>
  <c r="X5276" i="1" s="1"/>
  <c r="V5280" i="1"/>
  <c r="D5280" i="1"/>
  <c r="X5280" i="1" s="1"/>
  <c r="V5284" i="1"/>
  <c r="D5284" i="1"/>
  <c r="X5284" i="1" s="1"/>
  <c r="V5288" i="1"/>
  <c r="D5288" i="1"/>
  <c r="X5288" i="1" s="1"/>
  <c r="V5292" i="1"/>
  <c r="D5292" i="1"/>
  <c r="X5292" i="1" s="1"/>
  <c r="V5296" i="1"/>
  <c r="D5296" i="1"/>
  <c r="X5296" i="1" s="1"/>
  <c r="V5300" i="1"/>
  <c r="D5300" i="1"/>
  <c r="X5300" i="1" s="1"/>
  <c r="V5304" i="1"/>
  <c r="D5304" i="1"/>
  <c r="X5304" i="1" s="1"/>
  <c r="V5308" i="1"/>
  <c r="D5308" i="1"/>
  <c r="X5308" i="1" s="1"/>
  <c r="V5312" i="1"/>
  <c r="D5312" i="1"/>
  <c r="X5312" i="1" s="1"/>
  <c r="V5316" i="1"/>
  <c r="D5316" i="1"/>
  <c r="X5316" i="1" s="1"/>
  <c r="V5320" i="1"/>
  <c r="D5320" i="1"/>
  <c r="X5320" i="1" s="1"/>
  <c r="V5324" i="1"/>
  <c r="D5324" i="1"/>
  <c r="X5324" i="1" s="1"/>
  <c r="V5328" i="1"/>
  <c r="D5328" i="1"/>
  <c r="X5328" i="1" s="1"/>
  <c r="V5332" i="1"/>
  <c r="D5332" i="1"/>
  <c r="X5332" i="1" s="1"/>
  <c r="V5336" i="1"/>
  <c r="D5336" i="1"/>
  <c r="X5336" i="1" s="1"/>
  <c r="V5340" i="1"/>
  <c r="D5340" i="1"/>
  <c r="X5340" i="1" s="1"/>
  <c r="V5344" i="1"/>
  <c r="D5344" i="1"/>
  <c r="X5344" i="1" s="1"/>
  <c r="V5348" i="1"/>
  <c r="D5348" i="1"/>
  <c r="X5348" i="1" s="1"/>
  <c r="V5352" i="1"/>
  <c r="D5352" i="1"/>
  <c r="X5352" i="1" s="1"/>
  <c r="V5356" i="1"/>
  <c r="D5356" i="1"/>
  <c r="X5356" i="1" s="1"/>
  <c r="V5360" i="1"/>
  <c r="D5360" i="1"/>
  <c r="X5360" i="1" s="1"/>
  <c r="V5364" i="1"/>
  <c r="D5364" i="1"/>
  <c r="X5364" i="1" s="1"/>
  <c r="V5368" i="1"/>
  <c r="D5368" i="1"/>
  <c r="X5368" i="1" s="1"/>
  <c r="V5372" i="1"/>
  <c r="D5372" i="1"/>
  <c r="X5372" i="1" s="1"/>
  <c r="V5376" i="1"/>
  <c r="D5376" i="1"/>
  <c r="X5376" i="1" s="1"/>
  <c r="V5380" i="1"/>
  <c r="D5380" i="1"/>
  <c r="X5380" i="1" s="1"/>
  <c r="V5384" i="1"/>
  <c r="D5384" i="1"/>
  <c r="X5384" i="1" s="1"/>
  <c r="V5388" i="1"/>
  <c r="D5388" i="1"/>
  <c r="X5388" i="1" s="1"/>
  <c r="V5392" i="1"/>
  <c r="D5392" i="1"/>
  <c r="X5392" i="1" s="1"/>
  <c r="V5396" i="1"/>
  <c r="D5396" i="1"/>
  <c r="X5396" i="1" s="1"/>
  <c r="V5400" i="1"/>
  <c r="D5400" i="1"/>
  <c r="X5400" i="1" s="1"/>
  <c r="V5404" i="1"/>
  <c r="D5404" i="1"/>
  <c r="X5404" i="1" s="1"/>
  <c r="V5408" i="1"/>
  <c r="D5408" i="1"/>
  <c r="X5408" i="1" s="1"/>
  <c r="V5412" i="1"/>
  <c r="D5412" i="1"/>
  <c r="X5412" i="1" s="1"/>
  <c r="V5416" i="1"/>
  <c r="D5416" i="1"/>
  <c r="X5416" i="1" s="1"/>
  <c r="V5420" i="1"/>
  <c r="D5420" i="1"/>
  <c r="X5420" i="1" s="1"/>
  <c r="V5424" i="1"/>
  <c r="D5424" i="1"/>
  <c r="X5424" i="1" s="1"/>
  <c r="V5428" i="1"/>
  <c r="D5428" i="1"/>
  <c r="X5428" i="1" s="1"/>
  <c r="V5432" i="1"/>
  <c r="D5432" i="1"/>
  <c r="X5432" i="1" s="1"/>
  <c r="V5436" i="1"/>
  <c r="D5436" i="1"/>
  <c r="X5436" i="1" s="1"/>
  <c r="V5440" i="1"/>
  <c r="D5440" i="1"/>
  <c r="X5440" i="1" s="1"/>
  <c r="V5444" i="1"/>
  <c r="D5444" i="1"/>
  <c r="X5444" i="1" s="1"/>
  <c r="V5448" i="1"/>
  <c r="D5448" i="1"/>
  <c r="X5448" i="1" s="1"/>
  <c r="V5452" i="1"/>
  <c r="D5452" i="1"/>
  <c r="X5452" i="1" s="1"/>
  <c r="V5456" i="1"/>
  <c r="D5456" i="1"/>
  <c r="X5456" i="1" s="1"/>
  <c r="V5460" i="1"/>
  <c r="D5460" i="1"/>
  <c r="X5460" i="1" s="1"/>
  <c r="V5464" i="1"/>
  <c r="D5464" i="1"/>
  <c r="X5464" i="1" s="1"/>
  <c r="V5468" i="1"/>
  <c r="D5468" i="1"/>
  <c r="X5468" i="1" s="1"/>
  <c r="V5472" i="1"/>
  <c r="D5472" i="1"/>
  <c r="X5472" i="1" s="1"/>
  <c r="V5476" i="1"/>
  <c r="D5476" i="1"/>
  <c r="X5476" i="1" s="1"/>
  <c r="V5480" i="1"/>
  <c r="D5480" i="1"/>
  <c r="X5480" i="1" s="1"/>
  <c r="V5484" i="1"/>
  <c r="D5484" i="1"/>
  <c r="X5484" i="1" s="1"/>
  <c r="V5488" i="1"/>
  <c r="D5488" i="1"/>
  <c r="X5488" i="1" s="1"/>
  <c r="V5492" i="1"/>
  <c r="D5492" i="1"/>
  <c r="X5492" i="1" s="1"/>
  <c r="V5496" i="1"/>
  <c r="D5496" i="1"/>
  <c r="X5496" i="1" s="1"/>
  <c r="V5500" i="1"/>
  <c r="D5500" i="1"/>
  <c r="X5500" i="1" s="1"/>
  <c r="V5504" i="1"/>
  <c r="D5504" i="1"/>
  <c r="X5504" i="1" s="1"/>
  <c r="V5508" i="1"/>
  <c r="D5508" i="1"/>
  <c r="X5508" i="1" s="1"/>
  <c r="V5512" i="1"/>
  <c r="D5512" i="1"/>
  <c r="X5512" i="1" s="1"/>
  <c r="V5516" i="1"/>
  <c r="D5516" i="1"/>
  <c r="X5516" i="1" s="1"/>
  <c r="V5520" i="1"/>
  <c r="D5520" i="1"/>
  <c r="X5520" i="1" s="1"/>
  <c r="V5524" i="1"/>
  <c r="D5524" i="1"/>
  <c r="X5524" i="1" s="1"/>
  <c r="V5528" i="1"/>
  <c r="D5528" i="1"/>
  <c r="X5528" i="1" s="1"/>
  <c r="V5532" i="1"/>
  <c r="D5532" i="1"/>
  <c r="X5532" i="1" s="1"/>
  <c r="V5536" i="1"/>
  <c r="D5536" i="1"/>
  <c r="X5536" i="1" s="1"/>
  <c r="V5540" i="1"/>
  <c r="D5540" i="1"/>
  <c r="X5540" i="1" s="1"/>
  <c r="V5544" i="1"/>
  <c r="D5544" i="1"/>
  <c r="X5544" i="1" s="1"/>
  <c r="V5548" i="1"/>
  <c r="D5548" i="1"/>
  <c r="X5548" i="1" s="1"/>
  <c r="V5552" i="1"/>
  <c r="D5552" i="1"/>
  <c r="X5552" i="1" s="1"/>
  <c r="V5556" i="1"/>
  <c r="D5556" i="1"/>
  <c r="X5556" i="1" s="1"/>
  <c r="V5563" i="1"/>
  <c r="D5563" i="1"/>
  <c r="X5563" i="1" s="1"/>
  <c r="V5570" i="1"/>
  <c r="D5570" i="1"/>
  <c r="X5570" i="1" s="1"/>
  <c r="V5574" i="1"/>
  <c r="D5574" i="1"/>
  <c r="X5574" i="1" s="1"/>
  <c r="V5577" i="1"/>
  <c r="D5577" i="1"/>
  <c r="X5577" i="1" s="1"/>
  <c r="V5581" i="1"/>
  <c r="D5581" i="1"/>
  <c r="X5581" i="1" s="1"/>
  <c r="V5584" i="1"/>
  <c r="D5584" i="1"/>
  <c r="X5584" i="1" s="1"/>
  <c r="V5588" i="1"/>
  <c r="D5588" i="1"/>
  <c r="X5588" i="1" s="1"/>
  <c r="V5595" i="1"/>
  <c r="D5595" i="1"/>
  <c r="X5595" i="1" s="1"/>
  <c r="V5602" i="1"/>
  <c r="D5602" i="1"/>
  <c r="X5602" i="1" s="1"/>
  <c r="V5606" i="1"/>
  <c r="D5606" i="1"/>
  <c r="X5606" i="1" s="1"/>
  <c r="V5609" i="1"/>
  <c r="D5609" i="1"/>
  <c r="X5609" i="1" s="1"/>
  <c r="V5613" i="1"/>
  <c r="D5613" i="1"/>
  <c r="X5613" i="1" s="1"/>
  <c r="V5616" i="1"/>
  <c r="D5616" i="1"/>
  <c r="X5616" i="1" s="1"/>
  <c r="V5620" i="1"/>
  <c r="D5620" i="1"/>
  <c r="X5620" i="1" s="1"/>
  <c r="V5627" i="1"/>
  <c r="D5627" i="1"/>
  <c r="X5627" i="1" s="1"/>
  <c r="V5634" i="1"/>
  <c r="D5634" i="1"/>
  <c r="X5634" i="1" s="1"/>
  <c r="V5638" i="1"/>
  <c r="D5638" i="1"/>
  <c r="X5638" i="1" s="1"/>
  <c r="V5641" i="1"/>
  <c r="D5641" i="1"/>
  <c r="X5641" i="1" s="1"/>
  <c r="V5645" i="1"/>
  <c r="D5645" i="1"/>
  <c r="X5645" i="1" s="1"/>
  <c r="V5648" i="1"/>
  <c r="D5648" i="1"/>
  <c r="X5648" i="1" s="1"/>
  <c r="V5652" i="1"/>
  <c r="D5652" i="1"/>
  <c r="X5652" i="1" s="1"/>
  <c r="V5659" i="1"/>
  <c r="D5659" i="1"/>
  <c r="X5659" i="1" s="1"/>
  <c r="V5666" i="1"/>
  <c r="D5666" i="1"/>
  <c r="X5666" i="1" s="1"/>
  <c r="V5670" i="1"/>
  <c r="D5670" i="1"/>
  <c r="X5670" i="1" s="1"/>
  <c r="V5673" i="1"/>
  <c r="D5673" i="1"/>
  <c r="X5673" i="1" s="1"/>
  <c r="V5677" i="1"/>
  <c r="D5677" i="1"/>
  <c r="X5677" i="1" s="1"/>
  <c r="V5680" i="1"/>
  <c r="D5680" i="1"/>
  <c r="X5680" i="1" s="1"/>
  <c r="V5684" i="1"/>
  <c r="D5684" i="1"/>
  <c r="X5684" i="1" s="1"/>
  <c r="V5691" i="1"/>
  <c r="D5691" i="1"/>
  <c r="X5691" i="1" s="1"/>
  <c r="V5698" i="1"/>
  <c r="D5698" i="1"/>
  <c r="X5698" i="1" s="1"/>
  <c r="V5702" i="1"/>
  <c r="D5702" i="1"/>
  <c r="X5702" i="1" s="1"/>
  <c r="V5705" i="1"/>
  <c r="D5705" i="1"/>
  <c r="X5705" i="1" s="1"/>
  <c r="V5709" i="1"/>
  <c r="D5709" i="1"/>
  <c r="X5709" i="1" s="1"/>
  <c r="V5712" i="1"/>
  <c r="D5712" i="1"/>
  <c r="X5712" i="1" s="1"/>
  <c r="V5716" i="1"/>
  <c r="D5716" i="1"/>
  <c r="X5716" i="1" s="1"/>
  <c r="V5723" i="1"/>
  <c r="D5723" i="1"/>
  <c r="X5723" i="1" s="1"/>
  <c r="V5730" i="1"/>
  <c r="D5730" i="1"/>
  <c r="X5730" i="1" s="1"/>
  <c r="V5734" i="1"/>
  <c r="D5734" i="1"/>
  <c r="X5734" i="1" s="1"/>
  <c r="V5737" i="1"/>
  <c r="D5737" i="1"/>
  <c r="X5737" i="1" s="1"/>
  <c r="V5741" i="1"/>
  <c r="D5741" i="1"/>
  <c r="X5741" i="1" s="1"/>
  <c r="V5744" i="1"/>
  <c r="D5744" i="1"/>
  <c r="X5744" i="1" s="1"/>
  <c r="V5748" i="1"/>
  <c r="D5748" i="1"/>
  <c r="X5748" i="1" s="1"/>
  <c r="V5755" i="1"/>
  <c r="D5755" i="1"/>
  <c r="X5755" i="1" s="1"/>
  <c r="V5762" i="1"/>
  <c r="D5762" i="1"/>
  <c r="X5762" i="1" s="1"/>
  <c r="V5766" i="1"/>
  <c r="D5766" i="1"/>
  <c r="X5766" i="1" s="1"/>
  <c r="V5769" i="1"/>
  <c r="D5769" i="1"/>
  <c r="X5769" i="1" s="1"/>
  <c r="V5773" i="1"/>
  <c r="D5773" i="1"/>
  <c r="X5773" i="1" s="1"/>
  <c r="V5776" i="1"/>
  <c r="D5776" i="1"/>
  <c r="X5776" i="1" s="1"/>
  <c r="V5780" i="1"/>
  <c r="D5780" i="1"/>
  <c r="X5780" i="1" s="1"/>
  <c r="V5787" i="1"/>
  <c r="D5787" i="1"/>
  <c r="X5787" i="1" s="1"/>
  <c r="V5794" i="1"/>
  <c r="D5794" i="1"/>
  <c r="X5794" i="1" s="1"/>
  <c r="V5798" i="1"/>
  <c r="D5798" i="1"/>
  <c r="X5798" i="1" s="1"/>
  <c r="V5801" i="1"/>
  <c r="D5801" i="1"/>
  <c r="X5801" i="1" s="1"/>
  <c r="V5805" i="1"/>
  <c r="D5805" i="1"/>
  <c r="X5805" i="1" s="1"/>
  <c r="V5808" i="1"/>
  <c r="D5808" i="1"/>
  <c r="X5808" i="1" s="1"/>
  <c r="V5812" i="1"/>
  <c r="D5812" i="1"/>
  <c r="X5812" i="1" s="1"/>
  <c r="V5819" i="1"/>
  <c r="D5819" i="1"/>
  <c r="X5819" i="1" s="1"/>
  <c r="V5826" i="1"/>
  <c r="D5826" i="1"/>
  <c r="X5826" i="1" s="1"/>
  <c r="V5830" i="1"/>
  <c r="D5830" i="1"/>
  <c r="X5830" i="1" s="1"/>
  <c r="V5833" i="1"/>
  <c r="D5833" i="1"/>
  <c r="X5833" i="1" s="1"/>
  <c r="V5837" i="1"/>
  <c r="D5837" i="1"/>
  <c r="X5837" i="1" s="1"/>
  <c r="V5840" i="1"/>
  <c r="D5840" i="1"/>
  <c r="X5840" i="1" s="1"/>
  <c r="V5844" i="1"/>
  <c r="D5844" i="1"/>
  <c r="X5844" i="1" s="1"/>
  <c r="V5851" i="1"/>
  <c r="D5851" i="1"/>
  <c r="X5851" i="1" s="1"/>
  <c r="V5855" i="1"/>
  <c r="D5855" i="1"/>
  <c r="X5855" i="1" s="1"/>
  <c r="V5859" i="1"/>
  <c r="D5859" i="1"/>
  <c r="X5859" i="1" s="1"/>
  <c r="V5863" i="1"/>
  <c r="D5863" i="1"/>
  <c r="X5863" i="1" s="1"/>
  <c r="V5867" i="1"/>
  <c r="D5867" i="1"/>
  <c r="X5867" i="1" s="1"/>
  <c r="V5871" i="1"/>
  <c r="D5871" i="1"/>
  <c r="X5871" i="1" s="1"/>
  <c r="V5875" i="1"/>
  <c r="D5875" i="1"/>
  <c r="X5875" i="1" s="1"/>
  <c r="V5879" i="1"/>
  <c r="D5879" i="1"/>
  <c r="X5879" i="1" s="1"/>
  <c r="V5883" i="1"/>
  <c r="D5883" i="1"/>
  <c r="X5883" i="1" s="1"/>
  <c r="V5887" i="1"/>
  <c r="D5887" i="1"/>
  <c r="X5887" i="1" s="1"/>
  <c r="V5891" i="1"/>
  <c r="D5891" i="1"/>
  <c r="X5891" i="1" s="1"/>
  <c r="V5895" i="1"/>
  <c r="D5895" i="1"/>
  <c r="X5895" i="1" s="1"/>
  <c r="V5899" i="1"/>
  <c r="D5899" i="1"/>
  <c r="X5899" i="1" s="1"/>
  <c r="V5903" i="1"/>
  <c r="D5903" i="1"/>
  <c r="X5903" i="1" s="1"/>
  <c r="V5907" i="1"/>
  <c r="D5907" i="1"/>
  <c r="X5907" i="1" s="1"/>
  <c r="V5911" i="1"/>
  <c r="D5911" i="1"/>
  <c r="X5911" i="1" s="1"/>
  <c r="V5915" i="1"/>
  <c r="D5915" i="1"/>
  <c r="X5915" i="1" s="1"/>
  <c r="V5919" i="1"/>
  <c r="D5919" i="1"/>
  <c r="X5919" i="1" s="1"/>
  <c r="V5923" i="1"/>
  <c r="D5923" i="1"/>
  <c r="X5923" i="1" s="1"/>
  <c r="V5927" i="1"/>
  <c r="D5927" i="1"/>
  <c r="X5927" i="1" s="1"/>
  <c r="V5931" i="1"/>
  <c r="D5931" i="1"/>
  <c r="X5931" i="1" s="1"/>
  <c r="V5935" i="1"/>
  <c r="D5935" i="1"/>
  <c r="X5935" i="1" s="1"/>
  <c r="V5939" i="1"/>
  <c r="D5939" i="1"/>
  <c r="X5939" i="1" s="1"/>
  <c r="V5943" i="1"/>
  <c r="D5943" i="1"/>
  <c r="X5943" i="1" s="1"/>
  <c r="V5947" i="1"/>
  <c r="D5947" i="1"/>
  <c r="X5947" i="1" s="1"/>
  <c r="V5951" i="1"/>
  <c r="D5951" i="1"/>
  <c r="X5951" i="1" s="1"/>
  <c r="V5955" i="1"/>
  <c r="D5955" i="1"/>
  <c r="X5955" i="1" s="1"/>
  <c r="V5959" i="1"/>
  <c r="D5959" i="1"/>
  <c r="X5959" i="1" s="1"/>
  <c r="V5963" i="1"/>
  <c r="D5963" i="1"/>
  <c r="X5963" i="1" s="1"/>
  <c r="V5967" i="1"/>
  <c r="D5967" i="1"/>
  <c r="X5967" i="1" s="1"/>
  <c r="V5971" i="1"/>
  <c r="D5971" i="1"/>
  <c r="X5971" i="1" s="1"/>
  <c r="V5975" i="1"/>
  <c r="D5975" i="1"/>
  <c r="X5975" i="1" s="1"/>
  <c r="V5979" i="1"/>
  <c r="D5979" i="1"/>
  <c r="X5979" i="1" s="1"/>
  <c r="V5983" i="1"/>
  <c r="D5983" i="1"/>
  <c r="X5983" i="1" s="1"/>
  <c r="V5987" i="1"/>
  <c r="D5987" i="1"/>
  <c r="X5987" i="1" s="1"/>
  <c r="V5991" i="1"/>
  <c r="D5991" i="1"/>
  <c r="X5991" i="1" s="1"/>
  <c r="V5995" i="1"/>
  <c r="D5995" i="1"/>
  <c r="X5995" i="1" s="1"/>
  <c r="V5999" i="1"/>
  <c r="D5999" i="1"/>
  <c r="X5999" i="1" s="1"/>
  <c r="V6003" i="1"/>
  <c r="D6003" i="1"/>
  <c r="X6003" i="1" s="1"/>
  <c r="V6007" i="1"/>
  <c r="D6007" i="1"/>
  <c r="X6007" i="1" s="1"/>
  <c r="V6011" i="1"/>
  <c r="D6011" i="1"/>
  <c r="X6011" i="1" s="1"/>
  <c r="V6015" i="1"/>
  <c r="D6015" i="1"/>
  <c r="X6015" i="1" s="1"/>
  <c r="V6019" i="1"/>
  <c r="D6019" i="1"/>
  <c r="X6019" i="1" s="1"/>
  <c r="V6023" i="1"/>
  <c r="D6023" i="1"/>
  <c r="X6023" i="1" s="1"/>
  <c r="V6027" i="1"/>
  <c r="D6027" i="1"/>
  <c r="X6027" i="1" s="1"/>
  <c r="V6031" i="1"/>
  <c r="D6031" i="1"/>
  <c r="X6031" i="1" s="1"/>
  <c r="V6035" i="1"/>
  <c r="D6035" i="1"/>
  <c r="X6035" i="1" s="1"/>
  <c r="V6039" i="1"/>
  <c r="D6039" i="1"/>
  <c r="X6039" i="1" s="1"/>
  <c r="V6043" i="1"/>
  <c r="D6043" i="1"/>
  <c r="X6043" i="1" s="1"/>
  <c r="V6047" i="1"/>
  <c r="D6047" i="1"/>
  <c r="X6047" i="1" s="1"/>
  <c r="V6051" i="1"/>
  <c r="D6051" i="1"/>
  <c r="X6051" i="1" s="1"/>
  <c r="V6055" i="1"/>
  <c r="D6055" i="1"/>
  <c r="X6055" i="1" s="1"/>
  <c r="V6059" i="1"/>
  <c r="D6059" i="1"/>
  <c r="X6059" i="1" s="1"/>
  <c r="V6063" i="1"/>
  <c r="D6063" i="1"/>
  <c r="X6063" i="1" s="1"/>
  <c r="V6067" i="1"/>
  <c r="D6067" i="1"/>
  <c r="X6067" i="1" s="1"/>
  <c r="V6071" i="1"/>
  <c r="D6071" i="1"/>
  <c r="X6071" i="1" s="1"/>
  <c r="V6075" i="1"/>
  <c r="D6075" i="1"/>
  <c r="X6075" i="1" s="1"/>
  <c r="V6079" i="1"/>
  <c r="D6079" i="1"/>
  <c r="X6079" i="1" s="1"/>
  <c r="V6083" i="1"/>
  <c r="D6083" i="1"/>
  <c r="X6083" i="1" s="1"/>
  <c r="V6087" i="1"/>
  <c r="D6087" i="1"/>
  <c r="X6087" i="1" s="1"/>
  <c r="V6091" i="1"/>
  <c r="D6091" i="1"/>
  <c r="X6091" i="1" s="1"/>
  <c r="V6095" i="1"/>
  <c r="D6095" i="1"/>
  <c r="X6095" i="1" s="1"/>
  <c r="V6099" i="1"/>
  <c r="D6099" i="1"/>
  <c r="X6099" i="1" s="1"/>
  <c r="V6103" i="1"/>
  <c r="D6103" i="1"/>
  <c r="X6103" i="1" s="1"/>
  <c r="V6107" i="1"/>
  <c r="D6107" i="1"/>
  <c r="X6107" i="1" s="1"/>
  <c r="V6111" i="1"/>
  <c r="D6111" i="1"/>
  <c r="X6111" i="1" s="1"/>
  <c r="V6115" i="1"/>
  <c r="D6115" i="1"/>
  <c r="X6115" i="1" s="1"/>
  <c r="V6119" i="1"/>
  <c r="D6119" i="1"/>
  <c r="X6119" i="1" s="1"/>
  <c r="V6123" i="1"/>
  <c r="D6123" i="1"/>
  <c r="X6123" i="1" s="1"/>
  <c r="V6127" i="1"/>
  <c r="D6127" i="1"/>
  <c r="X6127" i="1" s="1"/>
  <c r="V6131" i="1"/>
  <c r="D6131" i="1"/>
  <c r="X6131" i="1" s="1"/>
  <c r="V6135" i="1"/>
  <c r="D6135" i="1"/>
  <c r="X6135" i="1" s="1"/>
  <c r="V6139" i="1"/>
  <c r="D6139" i="1"/>
  <c r="X6139" i="1" s="1"/>
  <c r="V6143" i="1"/>
  <c r="D6143" i="1"/>
  <c r="X6143" i="1" s="1"/>
  <c r="V6147" i="1"/>
  <c r="D6147" i="1"/>
  <c r="X6147" i="1" s="1"/>
  <c r="V6151" i="1"/>
  <c r="D6151" i="1"/>
  <c r="X6151" i="1" s="1"/>
  <c r="V6155" i="1"/>
  <c r="D6155" i="1"/>
  <c r="X6155" i="1" s="1"/>
  <c r="V6159" i="1"/>
  <c r="D6159" i="1"/>
  <c r="X6159" i="1" s="1"/>
  <c r="V6163" i="1"/>
  <c r="D6163" i="1"/>
  <c r="X6163" i="1" s="1"/>
  <c r="V6167" i="1"/>
  <c r="D6167" i="1"/>
  <c r="X6167" i="1" s="1"/>
  <c r="V6174" i="1"/>
  <c r="D6174" i="1"/>
  <c r="X6174" i="1" s="1"/>
  <c r="V6178" i="1"/>
  <c r="D6178" i="1"/>
  <c r="X6178" i="1" s="1"/>
  <c r="V6181" i="1"/>
  <c r="D6181" i="1"/>
  <c r="X6181" i="1" s="1"/>
  <c r="V6185" i="1"/>
  <c r="D6185" i="1"/>
  <c r="X6185" i="1" s="1"/>
  <c r="V6188" i="1"/>
  <c r="D6188" i="1"/>
  <c r="X6188" i="1" s="1"/>
  <c r="V6192" i="1"/>
  <c r="D6192" i="1"/>
  <c r="X6192" i="1" s="1"/>
  <c r="V6199" i="1"/>
  <c r="D6199" i="1"/>
  <c r="X6199" i="1" s="1"/>
  <c r="V6206" i="1"/>
  <c r="D6206" i="1"/>
  <c r="X6206" i="1" s="1"/>
  <c r="V6210" i="1"/>
  <c r="D6210" i="1"/>
  <c r="X6210" i="1" s="1"/>
  <c r="V6213" i="1"/>
  <c r="D6213" i="1"/>
  <c r="X6213" i="1" s="1"/>
  <c r="V6217" i="1"/>
  <c r="D6217" i="1"/>
  <c r="X6217" i="1" s="1"/>
  <c r="V6220" i="1"/>
  <c r="D6220" i="1"/>
  <c r="X6220" i="1" s="1"/>
  <c r="V6224" i="1"/>
  <c r="D6224" i="1"/>
  <c r="X6224" i="1" s="1"/>
  <c r="V6231" i="1"/>
  <c r="D6231" i="1"/>
  <c r="X6231" i="1" s="1"/>
  <c r="V6238" i="1"/>
  <c r="D6238" i="1"/>
  <c r="X6238" i="1" s="1"/>
  <c r="V6242" i="1"/>
  <c r="D6242" i="1"/>
  <c r="X6242" i="1" s="1"/>
  <c r="V6245" i="1"/>
  <c r="D6245" i="1"/>
  <c r="X6245" i="1" s="1"/>
  <c r="V6249" i="1"/>
  <c r="D6249" i="1"/>
  <c r="X6249" i="1" s="1"/>
  <c r="V6252" i="1"/>
  <c r="D6252" i="1"/>
  <c r="X6252" i="1" s="1"/>
  <c r="V6256" i="1"/>
  <c r="D6256" i="1"/>
  <c r="X6256" i="1" s="1"/>
  <c r="V6263" i="1"/>
  <c r="D6263" i="1"/>
  <c r="X6263" i="1" s="1"/>
  <c r="V6270" i="1"/>
  <c r="D6270" i="1"/>
  <c r="X6270" i="1" s="1"/>
  <c r="V6274" i="1"/>
  <c r="D6274" i="1"/>
  <c r="X6274" i="1" s="1"/>
  <c r="V6277" i="1"/>
  <c r="D6277" i="1"/>
  <c r="X6277" i="1" s="1"/>
  <c r="V6281" i="1"/>
  <c r="D6281" i="1"/>
  <c r="X6281" i="1" s="1"/>
  <c r="V6284" i="1"/>
  <c r="D6284" i="1"/>
  <c r="X6284" i="1" s="1"/>
  <c r="V6288" i="1"/>
  <c r="D6288" i="1"/>
  <c r="X6288" i="1" s="1"/>
  <c r="V6295" i="1"/>
  <c r="D6295" i="1"/>
  <c r="X6295" i="1" s="1"/>
  <c r="V6302" i="1"/>
  <c r="D6302" i="1"/>
  <c r="X6302" i="1" s="1"/>
  <c r="V6306" i="1"/>
  <c r="D6306" i="1"/>
  <c r="X6306" i="1" s="1"/>
  <c r="V6309" i="1"/>
  <c r="D6309" i="1"/>
  <c r="X6309" i="1" s="1"/>
  <c r="V6313" i="1"/>
  <c r="D6313" i="1"/>
  <c r="X6313" i="1" s="1"/>
  <c r="V6316" i="1"/>
  <c r="D6316" i="1"/>
  <c r="X6316" i="1" s="1"/>
  <c r="V6320" i="1"/>
  <c r="D6320" i="1"/>
  <c r="X6320" i="1" s="1"/>
  <c r="V6327" i="1"/>
  <c r="D6327" i="1"/>
  <c r="X6327" i="1" s="1"/>
  <c r="V6334" i="1"/>
  <c r="D6334" i="1"/>
  <c r="X6334" i="1" s="1"/>
  <c r="V6338" i="1"/>
  <c r="D6338" i="1"/>
  <c r="X6338" i="1" s="1"/>
  <c r="V6341" i="1"/>
  <c r="D6341" i="1"/>
  <c r="X6341" i="1" s="1"/>
  <c r="V6345" i="1"/>
  <c r="D6345" i="1"/>
  <c r="X6345" i="1" s="1"/>
  <c r="V6348" i="1"/>
  <c r="D6348" i="1"/>
  <c r="X6348" i="1" s="1"/>
  <c r="V6352" i="1"/>
  <c r="D6352" i="1"/>
  <c r="X6352" i="1" s="1"/>
  <c r="V6359" i="1"/>
  <c r="D6359" i="1"/>
  <c r="X6359" i="1" s="1"/>
  <c r="V6366" i="1"/>
  <c r="D6366" i="1"/>
  <c r="X6366" i="1" s="1"/>
  <c r="V6370" i="1"/>
  <c r="D6370" i="1"/>
  <c r="X6370" i="1" s="1"/>
  <c r="V6373" i="1"/>
  <c r="D6373" i="1"/>
  <c r="X6373" i="1" s="1"/>
  <c r="V6377" i="1"/>
  <c r="D6377" i="1"/>
  <c r="X6377" i="1" s="1"/>
  <c r="V6380" i="1"/>
  <c r="D6380" i="1"/>
  <c r="X6380" i="1" s="1"/>
  <c r="V6384" i="1"/>
  <c r="D6384" i="1"/>
  <c r="X6384" i="1" s="1"/>
  <c r="V6391" i="1"/>
  <c r="D6391" i="1"/>
  <c r="X6391" i="1" s="1"/>
  <c r="V6398" i="1"/>
  <c r="D6398" i="1"/>
  <c r="X6398" i="1" s="1"/>
  <c r="V6402" i="1"/>
  <c r="D6402" i="1"/>
  <c r="X6402" i="1" s="1"/>
  <c r="V6405" i="1"/>
  <c r="D6405" i="1"/>
  <c r="X6405" i="1" s="1"/>
  <c r="V6409" i="1"/>
  <c r="D6409" i="1"/>
  <c r="X6409" i="1" s="1"/>
  <c r="V6412" i="1"/>
  <c r="D6412" i="1"/>
  <c r="X6412" i="1" s="1"/>
  <c r="V6416" i="1"/>
  <c r="D6416" i="1"/>
  <c r="X6416" i="1" s="1"/>
  <c r="V6423" i="1"/>
  <c r="D6423" i="1"/>
  <c r="X6423" i="1" s="1"/>
  <c r="V6430" i="1"/>
  <c r="D6430" i="1"/>
  <c r="X6430" i="1" s="1"/>
  <c r="V6434" i="1"/>
  <c r="D6434" i="1"/>
  <c r="X6434" i="1" s="1"/>
  <c r="V6437" i="1"/>
  <c r="D6437" i="1"/>
  <c r="X6437" i="1" s="1"/>
  <c r="V6441" i="1"/>
  <c r="D6441" i="1"/>
  <c r="X6441" i="1" s="1"/>
  <c r="V6444" i="1"/>
  <c r="D6444" i="1"/>
  <c r="X6444" i="1" s="1"/>
  <c r="V6448" i="1"/>
  <c r="D6448" i="1"/>
  <c r="X6448" i="1" s="1"/>
  <c r="V6455" i="1"/>
  <c r="D6455" i="1"/>
  <c r="X6455" i="1" s="1"/>
  <c r="V6459" i="1"/>
  <c r="D6459" i="1"/>
  <c r="X6459" i="1" s="1"/>
  <c r="V6463" i="1"/>
  <c r="D6463" i="1"/>
  <c r="X6463" i="1" s="1"/>
  <c r="V6467" i="1"/>
  <c r="D6467" i="1"/>
  <c r="X6467" i="1" s="1"/>
  <c r="V6471" i="1"/>
  <c r="D6471" i="1"/>
  <c r="X6471" i="1" s="1"/>
  <c r="V6475" i="1"/>
  <c r="D6475" i="1"/>
  <c r="X6475" i="1" s="1"/>
  <c r="V6479" i="1"/>
  <c r="D6479" i="1"/>
  <c r="X6479" i="1" s="1"/>
  <c r="V6483" i="1"/>
  <c r="D6483" i="1"/>
  <c r="X6483" i="1" s="1"/>
  <c r="V6487" i="1"/>
  <c r="D6487" i="1"/>
  <c r="X6487" i="1" s="1"/>
  <c r="V6491" i="1"/>
  <c r="D6491" i="1"/>
  <c r="X6491" i="1" s="1"/>
  <c r="V6495" i="1"/>
  <c r="D6495" i="1"/>
  <c r="X6495" i="1" s="1"/>
  <c r="V6499" i="1"/>
  <c r="D6499" i="1"/>
  <c r="X6499" i="1" s="1"/>
  <c r="V6503" i="1"/>
  <c r="D6503" i="1"/>
  <c r="X6503" i="1" s="1"/>
  <c r="V6507" i="1"/>
  <c r="D6507" i="1"/>
  <c r="X6507" i="1" s="1"/>
  <c r="V6511" i="1"/>
  <c r="D6511" i="1"/>
  <c r="X6511" i="1" s="1"/>
  <c r="V6515" i="1"/>
  <c r="D6515" i="1"/>
  <c r="X6515" i="1" s="1"/>
  <c r="V6519" i="1"/>
  <c r="D6519" i="1"/>
  <c r="X6519" i="1" s="1"/>
  <c r="V6523" i="1"/>
  <c r="D6523" i="1"/>
  <c r="X6523" i="1" s="1"/>
  <c r="V6527" i="1"/>
  <c r="D6527" i="1"/>
  <c r="X6527" i="1" s="1"/>
  <c r="V6531" i="1"/>
  <c r="D6531" i="1"/>
  <c r="X6531" i="1" s="1"/>
  <c r="V6535" i="1"/>
  <c r="D6535" i="1"/>
  <c r="X6535" i="1" s="1"/>
  <c r="V6539" i="1"/>
  <c r="D6539" i="1"/>
  <c r="X6539" i="1" s="1"/>
  <c r="V6543" i="1"/>
  <c r="D6543" i="1"/>
  <c r="X6543" i="1" s="1"/>
  <c r="V6547" i="1"/>
  <c r="D6547" i="1"/>
  <c r="X6547" i="1" s="1"/>
  <c r="V6551" i="1"/>
  <c r="D6551" i="1"/>
  <c r="X6551" i="1" s="1"/>
  <c r="V6555" i="1"/>
  <c r="D6555" i="1"/>
  <c r="X6555" i="1" s="1"/>
  <c r="V6559" i="1"/>
  <c r="D6559" i="1"/>
  <c r="X6559" i="1" s="1"/>
  <c r="V6563" i="1"/>
  <c r="D6563" i="1"/>
  <c r="X6563" i="1" s="1"/>
  <c r="V6567" i="1"/>
  <c r="D6567" i="1"/>
  <c r="X6567" i="1" s="1"/>
  <c r="V6571" i="1"/>
  <c r="D6571" i="1"/>
  <c r="X6571" i="1" s="1"/>
  <c r="V6575" i="1"/>
  <c r="D6575" i="1"/>
  <c r="X6575" i="1" s="1"/>
  <c r="V6579" i="1"/>
  <c r="D6579" i="1"/>
  <c r="X6579" i="1" s="1"/>
  <c r="V6583" i="1"/>
  <c r="D6583" i="1"/>
  <c r="X6583" i="1" s="1"/>
  <c r="V6587" i="1"/>
  <c r="D6587" i="1"/>
  <c r="X6587" i="1" s="1"/>
  <c r="V6591" i="1"/>
  <c r="D6591" i="1"/>
  <c r="X6591" i="1" s="1"/>
  <c r="V6595" i="1"/>
  <c r="D6595" i="1"/>
  <c r="X6595" i="1" s="1"/>
  <c r="V6599" i="1"/>
  <c r="D6599" i="1"/>
  <c r="X6599" i="1" s="1"/>
  <c r="V6603" i="1"/>
  <c r="D6603" i="1"/>
  <c r="X6603" i="1" s="1"/>
  <c r="V6607" i="1"/>
  <c r="D6607" i="1"/>
  <c r="X6607" i="1" s="1"/>
  <c r="V6611" i="1"/>
  <c r="D6611" i="1"/>
  <c r="X6611" i="1" s="1"/>
  <c r="V6615" i="1"/>
  <c r="D6615" i="1"/>
  <c r="X6615" i="1" s="1"/>
  <c r="V6619" i="1"/>
  <c r="D6619" i="1"/>
  <c r="X6619" i="1" s="1"/>
  <c r="V6623" i="1"/>
  <c r="D6623" i="1"/>
  <c r="X6623" i="1" s="1"/>
  <c r="V6627" i="1"/>
  <c r="D6627" i="1"/>
  <c r="X6627" i="1" s="1"/>
  <c r="V6631" i="1"/>
  <c r="D6631" i="1"/>
  <c r="X6631" i="1" s="1"/>
  <c r="V6635" i="1"/>
  <c r="D6635" i="1"/>
  <c r="X6635" i="1" s="1"/>
  <c r="V6639" i="1"/>
  <c r="D6639" i="1"/>
  <c r="X6639" i="1" s="1"/>
  <c r="V6643" i="1"/>
  <c r="D6643" i="1"/>
  <c r="X6643" i="1" s="1"/>
  <c r="V6647" i="1"/>
  <c r="D6647" i="1"/>
  <c r="X6647" i="1" s="1"/>
  <c r="V6651" i="1"/>
  <c r="D6651" i="1"/>
  <c r="X6651" i="1" s="1"/>
  <c r="V6655" i="1"/>
  <c r="D6655" i="1"/>
  <c r="X6655" i="1" s="1"/>
  <c r="V6659" i="1"/>
  <c r="D6659" i="1"/>
  <c r="X6659" i="1" s="1"/>
  <c r="V6663" i="1"/>
  <c r="D6663" i="1"/>
  <c r="X6663" i="1" s="1"/>
  <c r="V6667" i="1"/>
  <c r="D6667" i="1"/>
  <c r="X6667" i="1" s="1"/>
  <c r="V6671" i="1"/>
  <c r="D6671" i="1"/>
  <c r="X6671" i="1" s="1"/>
  <c r="V6675" i="1"/>
  <c r="D6675" i="1"/>
  <c r="X6675" i="1" s="1"/>
  <c r="V6679" i="1"/>
  <c r="D6679" i="1"/>
  <c r="X6679" i="1" s="1"/>
  <c r="V6683" i="1"/>
  <c r="D6683" i="1"/>
  <c r="X6683" i="1" s="1"/>
  <c r="V6687" i="1"/>
  <c r="D6687" i="1"/>
  <c r="X6687" i="1" s="1"/>
  <c r="V6691" i="1"/>
  <c r="D6691" i="1"/>
  <c r="X6691" i="1" s="1"/>
  <c r="V6695" i="1"/>
  <c r="D6695" i="1"/>
  <c r="X6695" i="1" s="1"/>
  <c r="V6699" i="1"/>
  <c r="D6699" i="1"/>
  <c r="X6699" i="1" s="1"/>
  <c r="V6703" i="1"/>
  <c r="D6703" i="1"/>
  <c r="X6703" i="1" s="1"/>
  <c r="V6707" i="1"/>
  <c r="D6707" i="1"/>
  <c r="X6707" i="1" s="1"/>
  <c r="V6711" i="1"/>
  <c r="D6711" i="1"/>
  <c r="X6711" i="1" s="1"/>
  <c r="V6715" i="1"/>
  <c r="D6715" i="1"/>
  <c r="X6715" i="1" s="1"/>
  <c r="V6719" i="1"/>
  <c r="D6719" i="1"/>
  <c r="X6719" i="1" s="1"/>
  <c r="V6723" i="1"/>
  <c r="D6723" i="1"/>
  <c r="X6723" i="1" s="1"/>
  <c r="V6727" i="1"/>
  <c r="D6727" i="1"/>
  <c r="X6727" i="1" s="1"/>
  <c r="V6731" i="1"/>
  <c r="D6731" i="1"/>
  <c r="X6731" i="1" s="1"/>
  <c r="V6735" i="1"/>
  <c r="D6735" i="1"/>
  <c r="X6735" i="1" s="1"/>
  <c r="V6739" i="1"/>
  <c r="D6739" i="1"/>
  <c r="X6739" i="1" s="1"/>
  <c r="V6743" i="1"/>
  <c r="D6743" i="1"/>
  <c r="X6743" i="1" s="1"/>
  <c r="V6747" i="1"/>
  <c r="D6747" i="1"/>
  <c r="X6747" i="1" s="1"/>
  <c r="V6751" i="1"/>
  <c r="D6751" i="1"/>
  <c r="X6751" i="1" s="1"/>
  <c r="V6755" i="1"/>
  <c r="D6755" i="1"/>
  <c r="X6755" i="1" s="1"/>
  <c r="V6759" i="1"/>
  <c r="D6759" i="1"/>
  <c r="X6759" i="1" s="1"/>
  <c r="V6763" i="1"/>
  <c r="D6763" i="1"/>
  <c r="X6763" i="1" s="1"/>
  <c r="V6767" i="1"/>
  <c r="D6767" i="1"/>
  <c r="X6767" i="1" s="1"/>
  <c r="V6771" i="1"/>
  <c r="D6771" i="1"/>
  <c r="X6771" i="1" s="1"/>
  <c r="V6775" i="1"/>
  <c r="D6775" i="1"/>
  <c r="X6775" i="1" s="1"/>
  <c r="V6779" i="1"/>
  <c r="D6779" i="1"/>
  <c r="X6779" i="1" s="1"/>
  <c r="V6783" i="1"/>
  <c r="D6783" i="1"/>
  <c r="X6783" i="1" s="1"/>
  <c r="V6787" i="1"/>
  <c r="D6787" i="1"/>
  <c r="X6787" i="1" s="1"/>
  <c r="V6794" i="1"/>
  <c r="D6794" i="1"/>
  <c r="X6794" i="1" s="1"/>
  <c r="V6801" i="1"/>
  <c r="D6801" i="1"/>
  <c r="X6801" i="1" s="1"/>
  <c r="V6805" i="1"/>
  <c r="D6805" i="1"/>
  <c r="X6805" i="1" s="1"/>
  <c r="V6808" i="1"/>
  <c r="D6808" i="1"/>
  <c r="X6808" i="1" s="1"/>
  <c r="V6812" i="1"/>
  <c r="D6812" i="1"/>
  <c r="X6812" i="1" s="1"/>
  <c r="V6815" i="1"/>
  <c r="D6815" i="1"/>
  <c r="X6815" i="1" s="1"/>
  <c r="V6823" i="1"/>
  <c r="D6823" i="1"/>
  <c r="X6823" i="1" s="1"/>
  <c r="V6831" i="1"/>
  <c r="D6831" i="1"/>
  <c r="X6831" i="1" s="1"/>
  <c r="V6839" i="1"/>
  <c r="D6839" i="1"/>
  <c r="X6839" i="1" s="1"/>
  <c r="V6847" i="1"/>
  <c r="D6847" i="1"/>
  <c r="X6847" i="1" s="1"/>
  <c r="V6855" i="1"/>
  <c r="D6855" i="1"/>
  <c r="X6855" i="1" s="1"/>
  <c r="V6863" i="1"/>
  <c r="D6863" i="1"/>
  <c r="X6863" i="1" s="1"/>
  <c r="V6871" i="1"/>
  <c r="D6871" i="1"/>
  <c r="X6871" i="1" s="1"/>
  <c r="V6879" i="1"/>
  <c r="D6879" i="1"/>
  <c r="X6879" i="1" s="1"/>
  <c r="V6887" i="1"/>
  <c r="D6887" i="1"/>
  <c r="X6887" i="1" s="1"/>
  <c r="V6896" i="1"/>
  <c r="D6896" i="1"/>
  <c r="X6896" i="1" s="1"/>
  <c r="V6899" i="1"/>
  <c r="D6899" i="1"/>
  <c r="X6899" i="1" s="1"/>
  <c r="V6902" i="1"/>
  <c r="D6902" i="1"/>
  <c r="X6902" i="1" s="1"/>
  <c r="V6906" i="1"/>
  <c r="D6906" i="1"/>
  <c r="X6906" i="1" s="1"/>
  <c r="V6909" i="1"/>
  <c r="D6909" i="1"/>
  <c r="X6909" i="1" s="1"/>
  <c r="V6913" i="1"/>
  <c r="D6913" i="1"/>
  <c r="X6913" i="1" s="1"/>
  <c r="V6919" i="1"/>
  <c r="D6919" i="1"/>
  <c r="X6919" i="1" s="1"/>
  <c r="V6923" i="1"/>
  <c r="D6923" i="1"/>
  <c r="X6923" i="1" s="1"/>
  <c r="V6926" i="1"/>
  <c r="D6926" i="1"/>
  <c r="X6926" i="1" s="1"/>
  <c r="V6936" i="1"/>
  <c r="D6936" i="1"/>
  <c r="X6936" i="1" s="1"/>
  <c r="V6943" i="1"/>
  <c r="D6943" i="1"/>
  <c r="X6943" i="1" s="1"/>
  <c r="V6949" i="1"/>
  <c r="D6949" i="1"/>
  <c r="X6949" i="1" s="1"/>
  <c r="V6953" i="1"/>
  <c r="D6953" i="1"/>
  <c r="X6953" i="1" s="1"/>
  <c r="V6960" i="1"/>
  <c r="D6960" i="1"/>
  <c r="X6960" i="1" s="1"/>
  <c r="V6963" i="1"/>
  <c r="D6963" i="1"/>
  <c r="X6963" i="1" s="1"/>
  <c r="V6966" i="1"/>
  <c r="D6966" i="1"/>
  <c r="X6966" i="1" s="1"/>
  <c r="V6970" i="1"/>
  <c r="D6970" i="1"/>
  <c r="X6970" i="1" s="1"/>
  <c r="V6973" i="1"/>
  <c r="D6973" i="1"/>
  <c r="X6973" i="1" s="1"/>
  <c r="V6977" i="1"/>
  <c r="D6977" i="1"/>
  <c r="X6977" i="1" s="1"/>
  <c r="V6983" i="1"/>
  <c r="D6983" i="1"/>
  <c r="X6983" i="1" s="1"/>
  <c r="V6987" i="1"/>
  <c r="D6987" i="1"/>
  <c r="X6987" i="1" s="1"/>
  <c r="V6990" i="1"/>
  <c r="D6990" i="1"/>
  <c r="X6990" i="1" s="1"/>
  <c r="V7000" i="1"/>
  <c r="D7000" i="1"/>
  <c r="X7000" i="1" s="1"/>
  <c r="V7007" i="1"/>
  <c r="D7007" i="1"/>
  <c r="X7007" i="1" s="1"/>
  <c r="V7013" i="1"/>
  <c r="D7013" i="1"/>
  <c r="X7013" i="1" s="1"/>
  <c r="V7017" i="1"/>
  <c r="D7017" i="1"/>
  <c r="X7017" i="1" s="1"/>
  <c r="V7024" i="1"/>
  <c r="D7024" i="1"/>
  <c r="X7024" i="1" s="1"/>
  <c r="V7031" i="1"/>
  <c r="D7031" i="1"/>
  <c r="X7031" i="1" s="1"/>
  <c r="V7035" i="1"/>
  <c r="D7035" i="1"/>
  <c r="X7035" i="1" s="1"/>
  <c r="V7038" i="1"/>
  <c r="D7038" i="1"/>
  <c r="X7038" i="1" s="1"/>
  <c r="V7042" i="1"/>
  <c r="D7042" i="1"/>
  <c r="X7042" i="1" s="1"/>
  <c r="V7045" i="1"/>
  <c r="D7045" i="1"/>
  <c r="X7045" i="1" s="1"/>
  <c r="V7049" i="1"/>
  <c r="D7049" i="1"/>
  <c r="X7049" i="1" s="1"/>
  <c r="V7056" i="1"/>
  <c r="D7056" i="1"/>
  <c r="X7056" i="1" s="1"/>
  <c r="V7063" i="1"/>
  <c r="D7063" i="1"/>
  <c r="X7063" i="1" s="1"/>
  <c r="V7067" i="1"/>
  <c r="D7067" i="1"/>
  <c r="X7067" i="1" s="1"/>
  <c r="V7070" i="1"/>
  <c r="D7070" i="1"/>
  <c r="X7070" i="1" s="1"/>
  <c r="V7074" i="1"/>
  <c r="D7074" i="1"/>
  <c r="X7074" i="1" s="1"/>
  <c r="V7077" i="1"/>
  <c r="D7077" i="1"/>
  <c r="X7077" i="1" s="1"/>
  <c r="V7081" i="1"/>
  <c r="D7081" i="1"/>
  <c r="X7081" i="1" s="1"/>
  <c r="V7088" i="1"/>
  <c r="D7088" i="1"/>
  <c r="X7088" i="1" s="1"/>
  <c r="V7095" i="1"/>
  <c r="D7095" i="1"/>
  <c r="X7095" i="1" s="1"/>
  <c r="V7099" i="1"/>
  <c r="D7099" i="1"/>
  <c r="X7099" i="1" s="1"/>
  <c r="V7102" i="1"/>
  <c r="D7102" i="1"/>
  <c r="X7102" i="1" s="1"/>
  <c r="V7106" i="1"/>
  <c r="D7106" i="1"/>
  <c r="X7106" i="1" s="1"/>
  <c r="V7109" i="1"/>
  <c r="D7109" i="1"/>
  <c r="X7109" i="1" s="1"/>
  <c r="V7113" i="1"/>
  <c r="D7113" i="1"/>
  <c r="X7113" i="1" s="1"/>
  <c r="V7120" i="1"/>
  <c r="D7120" i="1"/>
  <c r="X7120" i="1" s="1"/>
  <c r="V7127" i="1"/>
  <c r="D7127" i="1"/>
  <c r="X7127" i="1" s="1"/>
  <c r="V7131" i="1"/>
  <c r="D7131" i="1"/>
  <c r="X7131" i="1" s="1"/>
  <c r="V7134" i="1"/>
  <c r="D7134" i="1"/>
  <c r="X7134" i="1" s="1"/>
  <c r="V7138" i="1"/>
  <c r="D7138" i="1"/>
  <c r="X7138" i="1" s="1"/>
  <c r="V7141" i="1"/>
  <c r="D7141" i="1"/>
  <c r="X7141" i="1" s="1"/>
  <c r="V7149" i="1"/>
  <c r="D7149" i="1"/>
  <c r="X7149" i="1" s="1"/>
  <c r="V7157" i="1"/>
  <c r="D7157" i="1"/>
  <c r="X7157" i="1" s="1"/>
  <c r="V7165" i="1"/>
  <c r="D7165" i="1"/>
  <c r="X7165" i="1" s="1"/>
  <c r="V7173" i="1"/>
  <c r="D7173" i="1"/>
  <c r="X7173" i="1" s="1"/>
  <c r="V7181" i="1"/>
  <c r="D7181" i="1"/>
  <c r="X7181" i="1" s="1"/>
  <c r="V7189" i="1"/>
  <c r="D7189" i="1"/>
  <c r="X7189" i="1" s="1"/>
  <c r="V7197" i="1"/>
  <c r="D7197" i="1"/>
  <c r="X7197" i="1" s="1"/>
  <c r="V7205" i="1"/>
  <c r="D7205" i="1"/>
  <c r="X7205" i="1" s="1"/>
  <c r="V7213" i="1"/>
  <c r="D7213" i="1"/>
  <c r="X7213" i="1" s="1"/>
  <c r="V7221" i="1"/>
  <c r="D7221" i="1"/>
  <c r="X7221" i="1" s="1"/>
  <c r="V7229" i="1"/>
  <c r="D7229" i="1"/>
  <c r="X7229" i="1" s="1"/>
  <c r="V7237" i="1"/>
  <c r="D7237" i="1"/>
  <c r="X7237" i="1" s="1"/>
  <c r="V7245" i="1"/>
  <c r="D7245" i="1"/>
  <c r="X7245" i="1" s="1"/>
  <c r="V7253" i="1"/>
  <c r="D7253" i="1"/>
  <c r="X7253" i="1" s="1"/>
  <c r="V7261" i="1"/>
  <c r="D7261" i="1"/>
  <c r="X7261" i="1" s="1"/>
  <c r="V7269" i="1"/>
  <c r="D7269" i="1"/>
  <c r="X7269" i="1" s="1"/>
  <c r="V7277" i="1"/>
  <c r="D7277" i="1"/>
  <c r="X7277" i="1" s="1"/>
  <c r="V7285" i="1"/>
  <c r="D7285" i="1"/>
  <c r="X7285" i="1" s="1"/>
  <c r="V7293" i="1"/>
  <c r="D7293" i="1"/>
  <c r="X7293" i="1" s="1"/>
  <c r="V7301" i="1"/>
  <c r="D7301" i="1"/>
  <c r="X7301" i="1" s="1"/>
  <c r="V7309" i="1"/>
  <c r="D7309" i="1"/>
  <c r="X7309" i="1" s="1"/>
  <c r="V7317" i="1"/>
  <c r="D7317" i="1"/>
  <c r="X7317" i="1" s="1"/>
  <c r="V7325" i="1"/>
  <c r="D7325" i="1"/>
  <c r="X7325" i="1" s="1"/>
  <c r="V7333" i="1"/>
  <c r="D7333" i="1"/>
  <c r="X7333" i="1" s="1"/>
  <c r="V7341" i="1"/>
  <c r="D7341" i="1"/>
  <c r="X7341" i="1" s="1"/>
  <c r="V7349" i="1"/>
  <c r="D7349" i="1"/>
  <c r="X7349" i="1" s="1"/>
  <c r="V7357" i="1"/>
  <c r="D7357" i="1"/>
  <c r="X7357" i="1" s="1"/>
  <c r="V7365" i="1"/>
  <c r="D7365" i="1"/>
  <c r="X7365" i="1" s="1"/>
  <c r="V7373" i="1"/>
  <c r="D7373" i="1"/>
  <c r="X7373" i="1" s="1"/>
  <c r="V7381" i="1"/>
  <c r="D7381" i="1"/>
  <c r="X7381" i="1" s="1"/>
  <c r="V7389" i="1"/>
  <c r="D7389" i="1"/>
  <c r="X7389" i="1" s="1"/>
  <c r="V7397" i="1"/>
  <c r="D7397" i="1"/>
  <c r="X7397" i="1" s="1"/>
  <c r="V7405" i="1"/>
  <c r="D7405" i="1"/>
  <c r="X7405" i="1" s="1"/>
  <c r="V7413" i="1"/>
  <c r="D7413" i="1"/>
  <c r="X7413" i="1" s="1"/>
  <c r="V7421" i="1"/>
  <c r="D7421" i="1"/>
  <c r="X7421" i="1" s="1"/>
  <c r="V7429" i="1"/>
  <c r="D7429" i="1"/>
  <c r="X7429" i="1" s="1"/>
  <c r="V7437" i="1"/>
  <c r="D7437" i="1"/>
  <c r="X7437" i="1" s="1"/>
  <c r="V7445" i="1"/>
  <c r="D7445" i="1"/>
  <c r="X7445" i="1" s="1"/>
  <c r="V7453" i="1"/>
  <c r="D7453" i="1"/>
  <c r="X7453" i="1" s="1"/>
  <c r="V7461" i="1"/>
  <c r="D7461" i="1"/>
  <c r="X7461" i="1" s="1"/>
  <c r="V7469" i="1"/>
  <c r="D7469" i="1"/>
  <c r="X7469" i="1" s="1"/>
  <c r="V7477" i="1"/>
  <c r="D7477" i="1"/>
  <c r="X7477" i="1" s="1"/>
  <c r="V7485" i="1"/>
  <c r="D7485" i="1"/>
  <c r="X7485" i="1" s="1"/>
  <c r="V7493" i="1"/>
  <c r="D7493" i="1"/>
  <c r="X7493" i="1" s="1"/>
  <c r="V7499" i="1"/>
  <c r="D7499" i="1"/>
  <c r="X7499" i="1" s="1"/>
  <c r="V7505" i="1"/>
  <c r="D7505" i="1"/>
  <c r="X7505" i="1" s="1"/>
  <c r="V7509" i="1"/>
  <c r="D7509" i="1"/>
  <c r="X7509" i="1" s="1"/>
  <c r="V7515" i="1"/>
  <c r="D7515" i="1"/>
  <c r="X7515" i="1" s="1"/>
  <c r="V7521" i="1"/>
  <c r="D7521" i="1"/>
  <c r="X7521" i="1" s="1"/>
  <c r="V7525" i="1"/>
  <c r="D7525" i="1"/>
  <c r="X7525" i="1" s="1"/>
  <c r="V7531" i="1"/>
  <c r="D7531" i="1"/>
  <c r="X7531" i="1" s="1"/>
  <c r="V7537" i="1"/>
  <c r="D7537" i="1"/>
  <c r="X7537" i="1" s="1"/>
  <c r="V7541" i="1"/>
  <c r="D7541" i="1"/>
  <c r="X7541" i="1" s="1"/>
  <c r="V7547" i="1"/>
  <c r="D7547" i="1"/>
  <c r="X7547" i="1" s="1"/>
  <c r="V7553" i="1"/>
  <c r="D7553" i="1"/>
  <c r="X7553" i="1" s="1"/>
  <c r="V7557" i="1"/>
  <c r="D7557" i="1"/>
  <c r="X7557" i="1" s="1"/>
  <c r="V7563" i="1"/>
  <c r="D7563" i="1"/>
  <c r="X7563" i="1" s="1"/>
  <c r="V7569" i="1"/>
  <c r="D7569" i="1"/>
  <c r="X7569" i="1" s="1"/>
  <c r="V7573" i="1"/>
  <c r="D7573" i="1"/>
  <c r="X7573" i="1" s="1"/>
  <c r="V7579" i="1"/>
  <c r="D7579" i="1"/>
  <c r="X7579" i="1" s="1"/>
  <c r="V7585" i="1"/>
  <c r="D7585" i="1"/>
  <c r="X7585" i="1" s="1"/>
  <c r="V7589" i="1"/>
  <c r="D7589" i="1"/>
  <c r="X7589" i="1" s="1"/>
  <c r="V7595" i="1"/>
  <c r="D7595" i="1"/>
  <c r="X7595" i="1" s="1"/>
  <c r="V7601" i="1"/>
  <c r="D7601" i="1"/>
  <c r="X7601" i="1" s="1"/>
  <c r="V7605" i="1"/>
  <c r="D7605" i="1"/>
  <c r="X7605" i="1" s="1"/>
  <c r="V7611" i="1"/>
  <c r="D7611" i="1"/>
  <c r="X7611" i="1" s="1"/>
  <c r="V7617" i="1"/>
  <c r="D7617" i="1"/>
  <c r="X7617" i="1" s="1"/>
  <c r="V7621" i="1"/>
  <c r="D7621" i="1"/>
  <c r="X7621" i="1" s="1"/>
  <c r="V7627" i="1"/>
  <c r="D7627" i="1"/>
  <c r="X7627" i="1" s="1"/>
  <c r="V7633" i="1"/>
  <c r="D7633" i="1"/>
  <c r="X7633" i="1" s="1"/>
  <c r="V7637" i="1"/>
  <c r="D7637" i="1"/>
  <c r="X7637" i="1" s="1"/>
  <c r="V7643" i="1"/>
  <c r="D7643" i="1"/>
  <c r="X7643" i="1" s="1"/>
  <c r="V7649" i="1"/>
  <c r="D7649" i="1"/>
  <c r="X7649" i="1" s="1"/>
  <c r="V7653" i="1"/>
  <c r="D7653" i="1"/>
  <c r="X7653" i="1" s="1"/>
  <c r="V7659" i="1"/>
  <c r="D7659" i="1"/>
  <c r="X7659" i="1" s="1"/>
  <c r="V7665" i="1"/>
  <c r="D7665" i="1"/>
  <c r="X7665" i="1" s="1"/>
  <c r="V7669" i="1"/>
  <c r="D7669" i="1"/>
  <c r="X7669" i="1" s="1"/>
  <c r="V7675" i="1"/>
  <c r="D7675" i="1"/>
  <c r="X7675" i="1" s="1"/>
  <c r="V7681" i="1"/>
  <c r="D7681" i="1"/>
  <c r="X7681" i="1" s="1"/>
  <c r="V7685" i="1"/>
  <c r="D7685" i="1"/>
  <c r="X7685" i="1" s="1"/>
  <c r="V7691" i="1"/>
  <c r="D7691" i="1"/>
  <c r="X7691" i="1" s="1"/>
  <c r="V7697" i="1"/>
  <c r="D7697" i="1"/>
  <c r="X7697" i="1" s="1"/>
  <c r="V7701" i="1"/>
  <c r="D7701" i="1"/>
  <c r="X7701" i="1" s="1"/>
  <c r="V7707" i="1"/>
  <c r="D7707" i="1"/>
  <c r="X7707" i="1" s="1"/>
  <c r="V7713" i="1"/>
  <c r="D7713" i="1"/>
  <c r="X7713" i="1" s="1"/>
  <c r="V7717" i="1"/>
  <c r="D7717" i="1"/>
  <c r="X7717" i="1" s="1"/>
  <c r="V7723" i="1"/>
  <c r="D7723" i="1"/>
  <c r="X7723" i="1" s="1"/>
  <c r="V7729" i="1"/>
  <c r="D7729" i="1"/>
  <c r="X7729" i="1" s="1"/>
  <c r="V7733" i="1"/>
  <c r="D7733" i="1"/>
  <c r="X7733" i="1" s="1"/>
  <c r="V7739" i="1"/>
  <c r="D7739" i="1"/>
  <c r="X7739" i="1" s="1"/>
  <c r="V7745" i="1"/>
  <c r="D7745" i="1"/>
  <c r="X7745" i="1" s="1"/>
  <c r="V7749" i="1"/>
  <c r="D7749" i="1"/>
  <c r="X7749" i="1" s="1"/>
  <c r="V7755" i="1"/>
  <c r="D7755" i="1"/>
  <c r="X7755" i="1" s="1"/>
  <c r="V8397" i="1"/>
  <c r="D8393" i="1"/>
  <c r="X8393" i="1" s="1"/>
  <c r="D8385" i="1"/>
  <c r="X8385" i="1" s="1"/>
  <c r="D8377" i="1"/>
  <c r="X8377" i="1" s="1"/>
  <c r="D8369" i="1"/>
  <c r="X8369" i="1" s="1"/>
  <c r="D8361" i="1"/>
  <c r="X8361" i="1" s="1"/>
  <c r="D8353" i="1"/>
  <c r="X8353" i="1" s="1"/>
  <c r="D8345" i="1"/>
  <c r="X8345" i="1" s="1"/>
  <c r="D8337" i="1"/>
  <c r="X8337" i="1" s="1"/>
  <c r="D8329" i="1"/>
  <c r="X8329" i="1" s="1"/>
  <c r="D8321" i="1"/>
  <c r="X8321" i="1" s="1"/>
  <c r="D8313" i="1"/>
  <c r="X8313" i="1" s="1"/>
  <c r="D8305" i="1"/>
  <c r="X8305" i="1" s="1"/>
  <c r="D8297" i="1"/>
  <c r="X8297" i="1" s="1"/>
  <c r="D8289" i="1"/>
  <c r="X8289" i="1" s="1"/>
  <c r="D8281" i="1"/>
  <c r="X8281" i="1" s="1"/>
  <c r="D8273" i="1"/>
  <c r="X8273" i="1" s="1"/>
  <c r="D8265" i="1"/>
  <c r="X8265" i="1" s="1"/>
  <c r="D8257" i="1"/>
  <c r="X8257" i="1" s="1"/>
  <c r="D8249" i="1"/>
  <c r="X8249" i="1" s="1"/>
  <c r="D8241" i="1"/>
  <c r="X8241" i="1" s="1"/>
  <c r="D8233" i="1"/>
  <c r="X8233" i="1" s="1"/>
  <c r="D8229" i="1"/>
  <c r="X8229" i="1" s="1"/>
  <c r="D8225" i="1"/>
  <c r="X8225" i="1" s="1"/>
  <c r="D8221" i="1"/>
  <c r="D8217" i="1"/>
  <c r="X8217" i="1" s="1"/>
  <c r="D8213" i="1"/>
  <c r="X8213" i="1" s="1"/>
  <c r="D8209" i="1"/>
  <c r="X8209" i="1" s="1"/>
  <c r="D8205" i="1"/>
  <c r="X8205" i="1" s="1"/>
  <c r="D8201" i="1"/>
  <c r="X8201" i="1" s="1"/>
  <c r="D8197" i="1"/>
  <c r="X8197" i="1" s="1"/>
  <c r="D8193" i="1"/>
  <c r="X8193" i="1" s="1"/>
  <c r="D8189" i="1"/>
  <c r="X8189" i="1" s="1"/>
  <c r="D8185" i="1"/>
  <c r="X8185" i="1" s="1"/>
  <c r="D8181" i="1"/>
  <c r="X8181" i="1" s="1"/>
  <c r="D8177" i="1"/>
  <c r="D8173" i="1"/>
  <c r="X8173" i="1" s="1"/>
  <c r="D8169" i="1"/>
  <c r="X8169" i="1" s="1"/>
  <c r="D8165" i="1"/>
  <c r="X8165" i="1" s="1"/>
  <c r="D8161" i="1"/>
  <c r="X8161" i="1" s="1"/>
  <c r="D8157" i="1"/>
  <c r="D8153" i="1"/>
  <c r="X8153" i="1" s="1"/>
  <c r="D8149" i="1"/>
  <c r="X8149" i="1" s="1"/>
  <c r="D8145" i="1"/>
  <c r="X8145" i="1" s="1"/>
  <c r="D8141" i="1"/>
  <c r="X8141" i="1" s="1"/>
  <c r="D8137" i="1"/>
  <c r="X8137" i="1" s="1"/>
  <c r="D8133" i="1"/>
  <c r="X8133" i="1" s="1"/>
  <c r="D8129" i="1"/>
  <c r="X8129" i="1" s="1"/>
  <c r="D8125" i="1"/>
  <c r="X8125" i="1" s="1"/>
  <c r="D8121" i="1"/>
  <c r="X8121" i="1" s="1"/>
  <c r="D8117" i="1"/>
  <c r="X8117" i="1" s="1"/>
  <c r="D8113" i="1"/>
  <c r="X8113" i="1" s="1"/>
  <c r="D8109" i="1"/>
  <c r="D8105" i="1"/>
  <c r="X8105" i="1" s="1"/>
  <c r="D7941" i="1"/>
  <c r="X7941" i="1" s="1"/>
  <c r="D7933" i="1"/>
  <c r="X7933" i="1" s="1"/>
  <c r="D7925" i="1"/>
  <c r="X7925" i="1" s="1"/>
  <c r="D7917" i="1"/>
  <c r="X7917" i="1" s="1"/>
  <c r="D7909" i="1"/>
  <c r="X7909" i="1" s="1"/>
  <c r="D7901" i="1"/>
  <c r="X7901" i="1" s="1"/>
  <c r="D7893" i="1"/>
  <c r="D7885" i="1"/>
  <c r="X7885" i="1" s="1"/>
  <c r="D7877" i="1"/>
  <c r="X7877" i="1" s="1"/>
  <c r="D7869" i="1"/>
  <c r="X7869" i="1" s="1"/>
  <c r="D7861" i="1"/>
  <c r="X7861" i="1" s="1"/>
  <c r="D7853" i="1"/>
  <c r="X7853" i="1" s="1"/>
  <c r="D7845" i="1"/>
  <c r="X7845" i="1" s="1"/>
  <c r="D7837" i="1"/>
  <c r="D7829" i="1"/>
  <c r="X7829" i="1" s="1"/>
  <c r="D7821" i="1"/>
  <c r="X7821" i="1" s="1"/>
  <c r="D7813" i="1"/>
  <c r="X7813" i="1" s="1"/>
  <c r="D7805" i="1"/>
  <c r="X7805" i="1" s="1"/>
  <c r="D7797" i="1"/>
  <c r="X7797" i="1" s="1"/>
  <c r="D7793" i="1"/>
  <c r="X7793" i="1" s="1"/>
  <c r="D7789" i="1"/>
  <c r="X7789" i="1" s="1"/>
  <c r="D7785" i="1"/>
  <c r="D7781" i="1"/>
  <c r="X7781" i="1" s="1"/>
  <c r="D7777" i="1"/>
  <c r="X7777" i="1" s="1"/>
  <c r="D7773" i="1"/>
  <c r="X7773" i="1" s="1"/>
  <c r="D7769" i="1"/>
  <c r="D7765" i="1"/>
  <c r="X7765" i="1" s="1"/>
  <c r="D7761" i="1"/>
  <c r="X7761" i="1" s="1"/>
  <c r="D7757" i="1"/>
  <c r="X7757" i="1" s="1"/>
  <c r="D7746" i="1"/>
  <c r="X7746" i="1" s="1"/>
  <c r="D7730" i="1"/>
  <c r="X7730" i="1" s="1"/>
  <c r="D7714" i="1"/>
  <c r="X7714" i="1" s="1"/>
  <c r="D7698" i="1"/>
  <c r="X7698" i="1" s="1"/>
  <c r="D7682" i="1"/>
  <c r="D7666" i="1"/>
  <c r="D7650" i="1"/>
  <c r="X7650" i="1" s="1"/>
  <c r="D7634" i="1"/>
  <c r="D7618" i="1"/>
  <c r="X2" i="1"/>
  <c r="W8390" i="1"/>
  <c r="W8382" i="1"/>
  <c r="W8378" i="1"/>
  <c r="W8374" i="1"/>
  <c r="W8366" i="1"/>
  <c r="W8362" i="1"/>
  <c r="W8358" i="1"/>
  <c r="W8350" i="1"/>
  <c r="W8346" i="1"/>
  <c r="W8342" i="1"/>
  <c r="W8334" i="1"/>
  <c r="W8330" i="1"/>
  <c r="W8326" i="1"/>
  <c r="W8318" i="1"/>
  <c r="W8314" i="1"/>
  <c r="W8310" i="1"/>
  <c r="W8302" i="1"/>
  <c r="W8298" i="1"/>
  <c r="W8294" i="1"/>
  <c r="W8286" i="1"/>
  <c r="W8282" i="1"/>
  <c r="W8278" i="1"/>
  <c r="W8270" i="1"/>
  <c r="W8266" i="1"/>
  <c r="W8262" i="1"/>
  <c r="W8254" i="1"/>
  <c r="W8250" i="1"/>
  <c r="W8246" i="1"/>
  <c r="W8238" i="1"/>
  <c r="W8234" i="1"/>
  <c r="W8230" i="1"/>
  <c r="W8226" i="1"/>
  <c r="W8218" i="1"/>
  <c r="W8214" i="1"/>
  <c r="W8210" i="1"/>
  <c r="W8202" i="1"/>
  <c r="W8198" i="1"/>
  <c r="W8194" i="1"/>
  <c r="W8398" i="1"/>
  <c r="W2" i="1"/>
  <c r="W8377" i="1"/>
  <c r="W8361" i="1"/>
  <c r="W8313" i="1"/>
  <c r="W8297" i="1"/>
  <c r="W8281" i="1"/>
  <c r="W8277" i="1"/>
  <c r="W8269" i="1"/>
  <c r="W8265" i="1"/>
  <c r="W8261" i="1"/>
  <c r="W8253" i="1"/>
  <c r="W8249" i="1"/>
  <c r="W8245" i="1"/>
  <c r="W8237" i="1"/>
  <c r="W8217" i="1"/>
  <c r="W8209" i="1"/>
  <c r="W8185" i="1"/>
  <c r="W8169" i="1"/>
  <c r="W8161" i="1"/>
  <c r="W8153" i="1"/>
  <c r="W8145" i="1"/>
  <c r="W8137" i="1"/>
  <c r="W8129" i="1"/>
  <c r="W8394" i="1"/>
  <c r="W8397" i="1"/>
  <c r="W8389" i="1"/>
  <c r="W8381" i="1"/>
  <c r="W8373" i="1"/>
  <c r="W8365" i="1"/>
  <c r="W8357" i="1"/>
  <c r="W8349" i="1"/>
  <c r="W8341" i="1"/>
  <c r="W8333" i="1"/>
  <c r="W8325" i="1"/>
  <c r="W8317" i="1"/>
  <c r="W8309" i="1"/>
  <c r="W8301" i="1"/>
  <c r="W8293" i="1"/>
  <c r="W8285" i="1"/>
  <c r="W8400" i="1"/>
  <c r="W8396" i="1"/>
  <c r="W8392" i="1"/>
  <c r="W8388" i="1"/>
  <c r="W8384" i="1"/>
  <c r="W8380" i="1"/>
  <c r="W8376" i="1"/>
  <c r="W8372" i="1"/>
  <c r="W8368" i="1"/>
  <c r="W8364" i="1"/>
  <c r="W8360" i="1"/>
  <c r="W8356" i="1"/>
  <c r="W8352" i="1"/>
  <c r="W8348" i="1"/>
  <c r="W8344" i="1"/>
  <c r="W8340" i="1"/>
  <c r="W8336" i="1"/>
  <c r="W8332" i="1"/>
  <c r="W8328" i="1"/>
  <c r="W8324" i="1"/>
  <c r="W8320" i="1"/>
  <c r="W8316" i="1"/>
  <c r="W8312" i="1"/>
  <c r="W8308" i="1"/>
  <c r="W8304" i="1"/>
  <c r="W8300" i="1"/>
  <c r="W8296" i="1"/>
  <c r="W8292" i="1"/>
  <c r="W8288" i="1"/>
  <c r="W8284" i="1"/>
  <c r="W8280" i="1"/>
  <c r="W8276" i="1"/>
  <c r="W8272" i="1"/>
  <c r="W8268" i="1"/>
  <c r="W8264" i="1"/>
  <c r="W8260" i="1"/>
  <c r="W8256" i="1"/>
  <c r="W8252" i="1"/>
  <c r="W8248" i="1"/>
  <c r="W8244" i="1"/>
  <c r="W8240" i="1"/>
  <c r="W8236" i="1"/>
  <c r="W8399" i="1"/>
  <c r="W8395" i="1"/>
  <c r="W8391" i="1"/>
  <c r="W8387" i="1"/>
  <c r="W8383" i="1"/>
  <c r="W8379" i="1"/>
  <c r="W8375" i="1"/>
  <c r="W8371" i="1"/>
  <c r="W8367" i="1"/>
  <c r="W8363" i="1"/>
  <c r="W8359" i="1"/>
  <c r="W8355" i="1"/>
  <c r="W8351" i="1"/>
  <c r="W8347" i="1"/>
  <c r="W8343" i="1"/>
  <c r="W8339" i="1"/>
  <c r="W8335" i="1"/>
  <c r="W8331" i="1"/>
  <c r="W8327" i="1"/>
  <c r="W8323" i="1"/>
  <c r="W8319" i="1"/>
  <c r="W8315" i="1"/>
  <c r="W8311" i="1"/>
  <c r="W8307" i="1"/>
  <c r="W8303" i="1"/>
  <c r="W8299" i="1"/>
  <c r="W8295" i="1"/>
  <c r="W8291" i="1"/>
  <c r="W8287" i="1"/>
  <c r="W8283" i="1"/>
  <c r="W8279" i="1"/>
  <c r="W8275" i="1"/>
  <c r="W8271" i="1"/>
  <c r="W8267" i="1"/>
  <c r="W8263" i="1"/>
  <c r="W8259" i="1"/>
  <c r="W8255" i="1"/>
  <c r="W8251" i="1"/>
  <c r="W8247" i="1"/>
  <c r="W8243" i="1"/>
  <c r="W8239" i="1"/>
  <c r="W8235" i="1"/>
  <c r="W8231" i="1"/>
  <c r="W8227" i="1"/>
  <c r="W8223" i="1"/>
  <c r="W8219" i="1"/>
  <c r="W8215" i="1"/>
  <c r="W8211" i="1"/>
  <c r="W8207" i="1"/>
  <c r="W8203" i="1"/>
  <c r="W8199" i="1"/>
  <c r="W8195" i="1"/>
  <c r="W8191" i="1"/>
  <c r="W8187" i="1"/>
  <c r="W8183" i="1"/>
  <c r="W8179" i="1"/>
  <c r="W8175" i="1"/>
  <c r="W8171" i="1"/>
  <c r="W8167" i="1"/>
  <c r="W8186" i="1"/>
  <c r="W8182" i="1"/>
  <c r="W8178" i="1"/>
  <c r="W8170" i="1"/>
  <c r="W8162" i="1"/>
  <c r="W8158" i="1"/>
  <c r="W8154" i="1"/>
  <c r="W8146" i="1"/>
  <c r="W8142" i="1"/>
  <c r="W8138" i="1"/>
  <c r="W8130" i="1"/>
  <c r="W8126" i="1"/>
  <c r="W8122" i="1"/>
  <c r="W8114" i="1"/>
  <c r="W8110" i="1"/>
  <c r="W8106" i="1"/>
  <c r="W8098" i="1"/>
  <c r="W8090" i="1"/>
  <c r="W8082" i="1"/>
  <c r="W8074" i="1"/>
  <c r="W8066" i="1"/>
  <c r="W8058" i="1"/>
  <c r="W8050" i="1"/>
  <c r="W8042" i="1"/>
  <c r="W8034" i="1"/>
  <c r="W8026" i="1"/>
  <c r="W8018" i="1"/>
  <c r="W8010" i="1"/>
  <c r="W8002" i="1"/>
  <c r="W7994" i="1"/>
  <c r="W7986" i="1"/>
  <c r="W7978" i="1"/>
  <c r="W7970" i="1"/>
  <c r="W7962" i="1"/>
  <c r="W7954" i="1"/>
  <c r="W7946" i="1"/>
  <c r="W7938" i="1"/>
  <c r="W7930" i="1"/>
  <c r="W7922" i="1"/>
  <c r="W7914" i="1"/>
  <c r="W7906" i="1"/>
  <c r="W7898" i="1"/>
  <c r="W7890" i="1"/>
  <c r="W7882" i="1"/>
  <c r="W7874" i="1"/>
  <c r="W7866" i="1"/>
  <c r="W7858" i="1"/>
  <c r="W7850" i="1"/>
  <c r="W7842" i="1"/>
  <c r="W7834" i="1"/>
  <c r="W7826" i="1"/>
  <c r="W7818" i="1"/>
  <c r="W7810" i="1"/>
  <c r="W7802" i="1"/>
  <c r="W7794" i="1"/>
  <c r="W7790" i="1"/>
  <c r="W7782" i="1"/>
  <c r="W7778" i="1"/>
  <c r="W7774" i="1"/>
  <c r="W7766" i="1"/>
  <c r="W7762" i="1"/>
  <c r="W7758" i="1"/>
  <c r="W7750" i="1"/>
  <c r="W7746" i="1"/>
  <c r="W7742" i="1"/>
  <c r="W7738" i="1"/>
  <c r="W7734" i="1"/>
  <c r="W7726" i="1"/>
  <c r="W7722" i="1"/>
  <c r="W7718" i="1"/>
  <c r="W7714" i="1"/>
  <c r="W7710" i="1"/>
  <c r="W7706" i="1"/>
  <c r="W7702" i="1"/>
  <c r="W7694" i="1"/>
  <c r="W7690" i="1"/>
  <c r="W7686" i="1"/>
  <c r="W7678" i="1"/>
  <c r="W7674" i="1"/>
  <c r="W7670" i="1"/>
  <c r="W7662" i="1"/>
  <c r="W7658" i="1"/>
  <c r="W7654" i="1"/>
  <c r="W7650" i="1"/>
  <c r="W7646" i="1"/>
  <c r="W7642" i="1"/>
  <c r="W7638" i="1"/>
  <c r="W7630" i="1"/>
  <c r="W7622" i="1"/>
  <c r="W7614" i="1"/>
  <c r="W7610" i="1"/>
  <c r="W7606" i="1"/>
  <c r="W7602" i="1"/>
  <c r="W7598" i="1"/>
  <c r="W7594" i="1"/>
  <c r="W7590" i="1"/>
  <c r="W7586" i="1"/>
  <c r="W7582" i="1"/>
  <c r="W7578" i="1"/>
  <c r="W7574" i="1"/>
  <c r="W7570" i="1"/>
  <c r="W7566" i="1"/>
  <c r="W7558" i="1"/>
  <c r="W7554" i="1"/>
  <c r="W7550" i="1"/>
  <c r="W7546" i="1"/>
  <c r="W7542" i="1"/>
  <c r="W7538" i="1"/>
  <c r="W7534" i="1"/>
  <c r="W7530" i="1"/>
  <c r="W7526" i="1"/>
  <c r="W7522" i="1"/>
  <c r="W7518" i="1"/>
  <c r="W7514" i="1"/>
  <c r="W7510" i="1"/>
  <c r="W7506" i="1"/>
  <c r="W7502" i="1"/>
  <c r="W7494" i="1"/>
  <c r="W7490" i="1"/>
  <c r="W7486" i="1"/>
  <c r="W7482" i="1"/>
  <c r="W7478" i="1"/>
  <c r="W7474" i="1"/>
  <c r="W7470" i="1"/>
  <c r="W7466" i="1"/>
  <c r="W7462" i="1"/>
  <c r="W7458" i="1"/>
  <c r="W7454" i="1"/>
  <c r="W7450" i="1"/>
  <c r="W7446" i="1"/>
  <c r="W7442" i="1"/>
  <c r="W7438" i="1"/>
  <c r="W7434" i="1"/>
  <c r="W7430" i="1"/>
  <c r="W7426" i="1"/>
  <c r="W7422" i="1"/>
  <c r="W7418" i="1"/>
  <c r="W7414" i="1"/>
  <c r="W7410" i="1"/>
  <c r="W7406" i="1"/>
  <c r="W7402" i="1"/>
  <c r="W7398" i="1"/>
  <c r="W7394" i="1"/>
  <c r="W7390" i="1"/>
  <c r="W7386" i="1"/>
  <c r="W7382" i="1"/>
  <c r="W7378" i="1"/>
  <c r="W7374" i="1"/>
  <c r="W7370" i="1"/>
  <c r="W7366" i="1"/>
  <c r="W7362" i="1"/>
  <c r="W7358" i="1"/>
  <c r="W7354" i="1"/>
  <c r="W7350" i="1"/>
  <c r="W7346" i="1"/>
  <c r="W7342" i="1"/>
  <c r="W7338" i="1"/>
  <c r="W7334" i="1"/>
  <c r="W7330" i="1"/>
  <c r="W7326" i="1"/>
  <c r="W7322" i="1"/>
  <c r="W7318" i="1"/>
  <c r="W7314" i="1"/>
  <c r="W7310" i="1"/>
  <c r="W7306" i="1"/>
  <c r="W7302" i="1"/>
  <c r="W7298" i="1"/>
  <c r="W7294" i="1"/>
  <c r="W7290" i="1"/>
  <c r="W7286" i="1"/>
  <c r="W7282" i="1"/>
  <c r="W7278" i="1"/>
  <c r="W7274" i="1"/>
  <c r="W7270" i="1"/>
  <c r="W7266" i="1"/>
  <c r="W7262" i="1"/>
  <c r="W7258" i="1"/>
  <c r="W7254" i="1"/>
  <c r="W7250" i="1"/>
  <c r="W7246" i="1"/>
  <c r="W7242" i="1"/>
  <c r="W7238" i="1"/>
  <c r="W7234" i="1"/>
  <c r="W7230" i="1"/>
  <c r="W7226" i="1"/>
  <c r="W7222" i="1"/>
  <c r="W7218" i="1"/>
  <c r="W7214" i="1"/>
  <c r="W7210" i="1"/>
  <c r="W7206" i="1"/>
  <c r="W7202" i="1"/>
  <c r="W7198" i="1"/>
  <c r="W7194" i="1"/>
  <c r="W7190" i="1"/>
  <c r="W7186" i="1"/>
  <c r="W7182" i="1"/>
  <c r="W7178" i="1"/>
  <c r="W7174" i="1"/>
  <c r="W7170" i="1"/>
  <c r="W7166" i="1"/>
  <c r="W7162" i="1"/>
  <c r="W7158" i="1"/>
  <c r="W7154" i="1"/>
  <c r="W7150" i="1"/>
  <c r="W7146" i="1"/>
  <c r="W7142" i="1"/>
  <c r="W7134" i="1"/>
  <c r="W7130" i="1"/>
  <c r="W7126" i="1"/>
  <c r="W7122" i="1"/>
  <c r="W7118" i="1"/>
  <c r="W7114" i="1"/>
  <c r="W7110" i="1"/>
  <c r="W7106" i="1"/>
  <c r="W7102" i="1"/>
  <c r="W7090" i="1"/>
  <c r="W7086" i="1"/>
  <c r="W7082" i="1"/>
  <c r="W7078" i="1"/>
  <c r="W7074" i="1"/>
  <c r="W7070" i="1"/>
  <c r="W7066" i="1"/>
  <c r="W7062" i="1"/>
  <c r="W7058" i="1"/>
  <c r="W7054" i="1"/>
  <c r="W7050" i="1"/>
  <c r="W7046" i="1"/>
  <c r="W7042" i="1"/>
  <c r="W7038" i="1"/>
  <c r="W7026" i="1"/>
  <c r="W7022" i="1"/>
  <c r="W7018" i="1"/>
  <c r="W7014" i="1"/>
  <c r="W7010" i="1"/>
  <c r="W7006" i="1"/>
  <c r="W7002" i="1"/>
  <c r="W6998" i="1"/>
  <c r="W6994" i="1"/>
  <c r="W6990" i="1"/>
  <c r="W6986" i="1"/>
  <c r="W6982" i="1"/>
  <c r="W6978" i="1"/>
  <c r="W6974" i="1"/>
  <c r="W6970" i="1"/>
  <c r="W6966" i="1"/>
  <c r="W6962" i="1"/>
  <c r="W6958" i="1"/>
  <c r="W6954" i="1"/>
  <c r="W6950" i="1"/>
  <c r="W6946" i="1"/>
  <c r="W6938" i="1"/>
  <c r="W6934" i="1"/>
  <c r="W6930" i="1"/>
  <c r="W6926" i="1"/>
  <c r="W6914" i="1"/>
  <c r="W6910" i="1"/>
  <c r="W6906" i="1"/>
  <c r="W6902" i="1"/>
  <c r="W6898" i="1"/>
  <c r="W6894" i="1"/>
  <c r="W6890" i="1"/>
  <c r="W6886" i="1"/>
  <c r="W6882" i="1"/>
  <c r="W6878" i="1"/>
  <c r="W6874" i="1"/>
  <c r="W6870" i="1"/>
  <c r="W6866" i="1"/>
  <c r="W6862" i="1"/>
  <c r="W6858" i="1"/>
  <c r="W6854" i="1"/>
  <c r="W6850" i="1"/>
  <c r="W6846" i="1"/>
  <c r="W6842" i="1"/>
  <c r="W6838" i="1"/>
  <c r="W6834" i="1"/>
  <c r="W6830" i="1"/>
  <c r="W6826" i="1"/>
  <c r="W6822" i="1"/>
  <c r="W6818" i="1"/>
  <c r="W6814" i="1"/>
  <c r="W6810" i="1"/>
  <c r="W6806" i="1"/>
  <c r="W6802" i="1"/>
  <c r="W6798" i="1"/>
  <c r="W6794" i="1"/>
  <c r="W6790" i="1"/>
  <c r="W6730" i="1"/>
  <c r="W6682" i="1"/>
  <c r="W6642" i="1"/>
  <c r="W6554" i="1"/>
  <c r="W6514" i="1"/>
  <c r="W6474" i="1"/>
  <c r="W6450" i="1"/>
  <c r="W6446" i="1"/>
  <c r="W6442" i="1"/>
  <c r="W6438" i="1"/>
  <c r="W6434" i="1"/>
  <c r="W6430" i="1"/>
  <c r="W6426" i="1"/>
  <c r="W6422" i="1"/>
  <c r="W6418" i="1"/>
  <c r="W6414" i="1"/>
  <c r="W6410" i="1"/>
  <c r="W6406" i="1"/>
  <c r="W6402" i="1"/>
  <c r="W6398" i="1"/>
  <c r="W6386" i="1"/>
  <c r="W6382" i="1"/>
  <c r="W6378" i="1"/>
  <c r="W6374" i="1"/>
  <c r="W6370" i="1"/>
  <c r="W6366" i="1"/>
  <c r="W6362" i="1"/>
  <c r="W6358" i="1"/>
  <c r="W6354" i="1"/>
  <c r="W6350" i="1"/>
  <c r="W6346" i="1"/>
  <c r="W6342" i="1"/>
  <c r="W6338" i="1"/>
  <c r="W6334" i="1"/>
  <c r="W6322" i="1"/>
  <c r="W6318" i="1"/>
  <c r="W6314" i="1"/>
  <c r="W6310" i="1"/>
  <c r="W6306" i="1"/>
  <c r="W6302" i="1"/>
  <c r="W6298" i="1"/>
  <c r="W6294" i="1"/>
  <c r="W6290" i="1"/>
  <c r="W6286" i="1"/>
  <c r="W6282" i="1"/>
  <c r="W6278" i="1"/>
  <c r="W6274" i="1"/>
  <c r="W6270" i="1"/>
  <c r="W6258" i="1"/>
  <c r="W6254" i="1"/>
  <c r="W6250" i="1"/>
  <c r="W6246" i="1"/>
  <c r="W6242" i="1"/>
  <c r="W6238" i="1"/>
  <c r="W6234" i="1"/>
  <c r="W6230" i="1"/>
  <c r="W6226" i="1"/>
  <c r="W6222" i="1"/>
  <c r="W6218" i="1"/>
  <c r="W6214" i="1"/>
  <c r="W6210" i="1"/>
  <c r="W6206" i="1"/>
  <c r="W6202" i="1"/>
  <c r="W6194" i="1"/>
  <c r="W6190" i="1"/>
  <c r="W6186" i="1"/>
  <c r="W6182" i="1"/>
  <c r="W6178" i="1"/>
  <c r="W6174" i="1"/>
  <c r="W6170" i="1"/>
  <c r="W6166" i="1"/>
  <c r="W6162" i="1"/>
  <c r="W6158" i="1"/>
  <c r="W6154" i="1"/>
  <c r="W6150" i="1"/>
  <c r="W6146" i="1"/>
  <c r="W6142" i="1"/>
  <c r="W6138" i="1"/>
  <c r="W6134" i="1"/>
  <c r="W6130" i="1"/>
  <c r="W6126" i="1"/>
  <c r="W6122" i="1"/>
  <c r="W6118" i="1"/>
  <c r="W6114" i="1"/>
  <c r="W6110" i="1"/>
  <c r="W6106" i="1"/>
  <c r="W6102" i="1"/>
  <c r="W6098" i="1"/>
  <c r="W6094" i="1"/>
  <c r="W6090" i="1"/>
  <c r="W6086" i="1"/>
  <c r="W6082" i="1"/>
  <c r="W6078" i="1"/>
  <c r="W6074" i="1"/>
  <c r="W6070" i="1"/>
  <c r="W6066" i="1"/>
  <c r="W6062" i="1"/>
  <c r="W6058" i="1"/>
  <c r="W6054" i="1"/>
  <c r="W6050" i="1"/>
  <c r="W6046" i="1"/>
  <c r="W6042" i="1"/>
  <c r="W6038" i="1"/>
  <c r="W6034" i="1"/>
  <c r="W6030" i="1"/>
  <c r="W6026" i="1"/>
  <c r="W6022" i="1"/>
  <c r="W6018" i="1"/>
  <c r="W6014" i="1"/>
  <c r="W6010" i="1"/>
  <c r="W6006" i="1"/>
  <c r="W6002" i="1"/>
  <c r="W5998" i="1"/>
  <c r="W5994" i="1"/>
  <c r="W5990" i="1"/>
  <c r="W5986" i="1"/>
  <c r="W5982" i="1"/>
  <c r="W5978" i="1"/>
  <c r="W5974" i="1"/>
  <c r="W5970" i="1"/>
  <c r="W5966" i="1"/>
  <c r="W5962" i="1"/>
  <c r="W5958" i="1"/>
  <c r="W5954" i="1"/>
  <c r="W5950" i="1"/>
  <c r="W5946" i="1"/>
  <c r="W5942" i="1"/>
  <c r="W5938" i="1"/>
  <c r="W5934" i="1"/>
  <c r="W5930" i="1"/>
  <c r="W5926" i="1"/>
  <c r="W5922" i="1"/>
  <c r="W5918" i="1"/>
  <c r="W5914" i="1"/>
  <c r="W5910" i="1"/>
  <c r="W5906" i="1"/>
  <c r="W5902" i="1"/>
  <c r="W5898" i="1"/>
  <c r="W5894" i="1"/>
  <c r="W5890" i="1"/>
  <c r="W5886" i="1"/>
  <c r="W5882" i="1"/>
  <c r="W5878" i="1"/>
  <c r="W5874" i="1"/>
  <c r="W5870" i="1"/>
  <c r="W5866" i="1"/>
  <c r="W5862" i="1"/>
  <c r="W5858" i="1"/>
  <c r="W5854" i="1"/>
  <c r="W5850" i="1"/>
  <c r="W5846" i="1"/>
  <c r="W5842" i="1"/>
  <c r="W5838" i="1"/>
  <c r="W5834" i="1"/>
  <c r="W5830" i="1"/>
  <c r="W5826" i="1"/>
  <c r="W5818" i="1"/>
  <c r="W5814" i="1"/>
  <c r="W5810" i="1"/>
  <c r="W5806" i="1"/>
  <c r="W5802" i="1"/>
  <c r="W5798" i="1"/>
  <c r="W5794" i="1"/>
  <c r="W5790" i="1"/>
  <c r="W5786" i="1"/>
  <c r="W5782" i="1"/>
  <c r="W5778" i="1"/>
  <c r="W5774" i="1"/>
  <c r="W5770" i="1"/>
  <c r="W5766" i="1"/>
  <c r="W5762" i="1"/>
  <c r="W5750" i="1"/>
  <c r="W5746" i="1"/>
  <c r="W5742" i="1"/>
  <c r="W5738" i="1"/>
  <c r="W5734" i="1"/>
  <c r="W5730" i="1"/>
  <c r="W5726" i="1"/>
  <c r="W5722" i="1"/>
  <c r="W5718" i="1"/>
  <c r="W5714" i="1"/>
  <c r="W5710" i="1"/>
  <c r="W5706" i="1"/>
  <c r="W5702" i="1"/>
  <c r="W5698" i="1"/>
  <c r="W5690" i="1"/>
  <c r="W5686" i="1"/>
  <c r="W5682" i="1"/>
  <c r="W5678" i="1"/>
  <c r="W5674" i="1"/>
  <c r="W5670" i="1"/>
  <c r="W5666" i="1"/>
  <c r="W5662" i="1"/>
  <c r="W5658" i="1"/>
  <c r="W5654" i="1"/>
  <c r="W5650" i="1"/>
  <c r="W5646" i="1"/>
  <c r="W5642" i="1"/>
  <c r="W5638" i="1"/>
  <c r="W5634" i="1"/>
  <c r="W5622" i="1"/>
  <c r="W5618" i="1"/>
  <c r="W5614" i="1"/>
  <c r="W5610" i="1"/>
  <c r="W5606" i="1"/>
  <c r="W5602" i="1"/>
  <c r="W5598" i="1"/>
  <c r="W5594" i="1"/>
  <c r="W5590" i="1"/>
  <c r="W5586" i="1"/>
  <c r="W5582" i="1"/>
  <c r="W5578" i="1"/>
  <c r="W5574" i="1"/>
  <c r="W5570" i="1"/>
  <c r="W5558" i="1"/>
  <c r="W5554" i="1"/>
  <c r="W5550" i="1"/>
  <c r="W5546" i="1"/>
  <c r="W5542" i="1"/>
  <c r="W5538" i="1"/>
  <c r="W5534" i="1"/>
  <c r="W5530" i="1"/>
  <c r="W5526" i="1"/>
  <c r="W5522" i="1"/>
  <c r="W5518" i="1"/>
  <c r="W5514" i="1"/>
  <c r="W5510" i="1"/>
  <c r="W5506" i="1"/>
  <c r="W5502" i="1"/>
  <c r="W5498" i="1"/>
  <c r="W5494" i="1"/>
  <c r="W5490" i="1"/>
  <c r="W5486" i="1"/>
  <c r="W5482" i="1"/>
  <c r="W5478" i="1"/>
  <c r="W5474" i="1"/>
  <c r="W5470" i="1"/>
  <c r="W5466" i="1"/>
  <c r="W5462" i="1"/>
  <c r="W5458" i="1"/>
  <c r="W5454" i="1"/>
  <c r="W5450" i="1"/>
  <c r="W5446" i="1"/>
  <c r="W5442" i="1"/>
  <c r="W5438" i="1"/>
  <c r="W5434" i="1"/>
  <c r="W5430" i="1"/>
  <c r="W5426" i="1"/>
  <c r="W5422" i="1"/>
  <c r="W5418" i="1"/>
  <c r="W5414" i="1"/>
  <c r="W5410" i="1"/>
  <c r="W5406" i="1"/>
  <c r="W5402" i="1"/>
  <c r="W5398" i="1"/>
  <c r="W5394" i="1"/>
  <c r="W5390" i="1"/>
  <c r="W5386" i="1"/>
  <c r="W5382" i="1"/>
  <c r="W5378" i="1"/>
  <c r="W5374" i="1"/>
  <c r="W5370" i="1"/>
  <c r="W5366" i="1"/>
  <c r="W5362" i="1"/>
  <c r="W5358" i="1"/>
  <c r="W5354" i="1"/>
  <c r="W5350" i="1"/>
  <c r="W5346" i="1"/>
  <c r="W5342" i="1"/>
  <c r="W5338" i="1"/>
  <c r="W5334" i="1"/>
  <c r="W5330" i="1"/>
  <c r="W5326" i="1"/>
  <c r="W5322" i="1"/>
  <c r="W5318" i="1"/>
  <c r="W5314" i="1"/>
  <c r="W5310" i="1"/>
  <c r="W5306" i="1"/>
  <c r="W5302" i="1"/>
  <c r="W5298" i="1"/>
  <c r="W5294" i="1"/>
  <c r="W5290" i="1"/>
  <c r="W5286" i="1"/>
  <c r="W5282" i="1"/>
  <c r="W5278" i="1"/>
  <c r="W5274" i="1"/>
  <c r="W5270" i="1"/>
  <c r="W5266" i="1"/>
  <c r="W5262" i="1"/>
  <c r="W5258" i="1"/>
  <c r="W5254" i="1"/>
  <c r="W5250" i="1"/>
  <c r="W5246" i="1"/>
  <c r="W5242" i="1"/>
  <c r="W5238" i="1"/>
  <c r="W5234" i="1"/>
  <c r="W5230" i="1"/>
  <c r="W5226" i="1"/>
  <c r="W5222" i="1"/>
  <c r="W5218" i="1"/>
  <c r="W5214" i="1"/>
  <c r="W5210" i="1"/>
  <c r="W5206" i="1"/>
  <c r="W5202" i="1"/>
  <c r="W5198" i="1"/>
  <c r="W5194" i="1"/>
  <c r="W5190" i="1"/>
  <c r="W5186" i="1"/>
  <c r="W5182" i="1"/>
  <c r="W5178" i="1"/>
  <c r="W5174" i="1"/>
  <c r="W5170" i="1"/>
  <c r="W5166" i="1"/>
  <c r="W5162" i="1"/>
  <c r="W5158" i="1"/>
  <c r="W5154" i="1"/>
  <c r="W5150" i="1"/>
  <c r="W5146" i="1"/>
  <c r="W5142" i="1"/>
  <c r="W5138" i="1"/>
  <c r="W5134" i="1"/>
  <c r="W5130" i="1"/>
  <c r="W5126" i="1"/>
  <c r="W5122" i="1"/>
  <c r="W5118" i="1"/>
  <c r="W5114" i="1"/>
  <c r="W5110" i="1"/>
  <c r="W5106" i="1"/>
  <c r="W5102" i="1"/>
  <c r="W5098" i="1"/>
  <c r="W5094" i="1"/>
  <c r="W5090" i="1"/>
  <c r="W5086" i="1"/>
  <c r="W5082" i="1"/>
  <c r="W5078" i="1"/>
  <c r="W5074" i="1"/>
  <c r="W5070" i="1"/>
  <c r="W5066" i="1"/>
  <c r="W5062" i="1"/>
  <c r="W5058" i="1"/>
  <c r="W5054" i="1"/>
  <c r="W5050" i="1"/>
  <c r="W5046" i="1"/>
  <c r="W5042" i="1"/>
  <c r="W5038" i="1"/>
  <c r="W5034" i="1"/>
  <c r="W5030" i="1"/>
  <c r="W5026" i="1"/>
  <c r="W5022" i="1"/>
  <c r="W5018" i="1"/>
  <c r="W5014" i="1"/>
  <c r="W5010" i="1"/>
  <c r="W5006" i="1"/>
  <c r="W5002" i="1"/>
  <c r="W4998" i="1"/>
  <c r="W4994" i="1"/>
  <c r="W4990" i="1"/>
  <c r="W4986" i="1"/>
  <c r="W4982" i="1"/>
  <c r="W4978" i="1"/>
  <c r="W4974" i="1"/>
  <c r="W4970" i="1"/>
  <c r="W4966" i="1"/>
  <c r="W4962" i="1"/>
  <c r="W4958" i="1"/>
  <c r="W4954" i="1"/>
  <c r="W4950" i="1"/>
  <c r="W4946" i="1"/>
  <c r="W4942" i="1"/>
  <c r="W4938" i="1"/>
  <c r="W4934" i="1"/>
  <c r="W4930" i="1"/>
  <c r="W4926" i="1"/>
  <c r="W4922" i="1"/>
  <c r="W4918" i="1"/>
  <c r="W4914" i="1"/>
  <c r="W4910" i="1"/>
  <c r="W4906" i="1"/>
  <c r="W4902" i="1"/>
  <c r="W4898" i="1"/>
  <c r="W4894" i="1"/>
  <c r="W4890" i="1"/>
  <c r="W4886" i="1"/>
  <c r="W4882" i="1"/>
  <c r="W4878" i="1"/>
  <c r="W4874" i="1"/>
  <c r="W4870" i="1"/>
  <c r="W4866" i="1"/>
  <c r="W4862" i="1"/>
  <c r="W4858" i="1"/>
  <c r="W4854" i="1"/>
  <c r="W4850" i="1"/>
  <c r="W4846" i="1"/>
  <c r="W4842" i="1"/>
  <c r="W4838" i="1"/>
  <c r="W4834" i="1"/>
  <c r="W4830" i="1"/>
  <c r="W4826" i="1"/>
  <c r="W4822" i="1"/>
  <c r="W4818" i="1"/>
  <c r="W4814" i="1"/>
  <c r="W4810" i="1"/>
  <c r="W4806" i="1"/>
  <c r="W4802" i="1"/>
  <c r="W4798" i="1"/>
  <c r="W4794" i="1"/>
  <c r="W4790" i="1"/>
  <c r="W4786" i="1"/>
  <c r="W4782" i="1"/>
  <c r="W4778" i="1"/>
  <c r="W4774" i="1"/>
  <c r="W4770" i="1"/>
  <c r="W4766" i="1"/>
  <c r="W4762" i="1"/>
  <c r="W4758" i="1"/>
  <c r="W4754" i="1"/>
  <c r="W4750" i="1"/>
  <c r="W4746" i="1"/>
  <c r="W4742" i="1"/>
  <c r="W4738" i="1"/>
  <c r="W4734" i="1"/>
  <c r="W4730" i="1"/>
  <c r="W4726" i="1"/>
  <c r="W4722" i="1"/>
  <c r="W4718" i="1"/>
  <c r="W4714" i="1"/>
  <c r="W4710" i="1"/>
  <c r="W4706" i="1"/>
  <c r="W4702" i="1"/>
  <c r="W4698" i="1"/>
  <c r="W4694" i="1"/>
  <c r="W4690" i="1"/>
  <c r="W4686" i="1"/>
  <c r="W4682" i="1"/>
  <c r="W4678" i="1"/>
  <c r="W4674" i="1"/>
  <c r="W4670" i="1"/>
  <c r="W4666" i="1"/>
  <c r="W4662" i="1"/>
  <c r="W4658" i="1"/>
  <c r="W4654" i="1"/>
  <c r="W4650" i="1"/>
  <c r="W4646" i="1"/>
  <c r="W4642" i="1"/>
  <c r="W4638" i="1"/>
  <c r="W4634" i="1"/>
  <c r="W4630" i="1"/>
  <c r="W4626" i="1"/>
  <c r="W4622" i="1"/>
  <c r="W4618" i="1"/>
  <c r="W4614" i="1"/>
  <c r="W4610" i="1"/>
  <c r="W4606" i="1"/>
  <c r="W4602" i="1"/>
  <c r="W4598" i="1"/>
  <c r="W4594" i="1"/>
  <c r="W4590" i="1"/>
  <c r="W4586" i="1"/>
  <c r="W4582" i="1"/>
  <c r="W4578" i="1"/>
  <c r="W4574" i="1"/>
  <c r="W4570" i="1"/>
  <c r="W4562" i="1"/>
  <c r="W4558" i="1"/>
  <c r="W4554" i="1"/>
  <c r="W4550" i="1"/>
  <c r="W4546" i="1"/>
  <c r="W4542" i="1"/>
  <c r="W4538" i="1"/>
  <c r="W4534" i="1"/>
  <c r="W4530" i="1"/>
  <c r="W4526" i="1"/>
  <c r="W4522" i="1"/>
  <c r="W4518" i="1"/>
  <c r="W4514" i="1"/>
  <c r="W4510" i="1"/>
  <c r="W4506" i="1"/>
  <c r="W4498" i="1"/>
  <c r="W4494" i="1"/>
  <c r="W4490" i="1"/>
  <c r="W4486" i="1"/>
  <c r="W4482" i="1"/>
  <c r="W4478" i="1"/>
  <c r="W4474" i="1"/>
  <c r="W4470" i="1"/>
  <c r="W4466" i="1"/>
  <c r="W4462" i="1"/>
  <c r="W4458" i="1"/>
  <c r="W4454" i="1"/>
  <c r="W4450" i="1"/>
  <c r="W4446" i="1"/>
  <c r="W4442" i="1"/>
  <c r="W4434" i="1"/>
  <c r="W4430" i="1"/>
  <c r="W4426" i="1"/>
  <c r="W4422" i="1"/>
  <c r="W4418" i="1"/>
  <c r="W4414" i="1"/>
  <c r="W4410" i="1"/>
  <c r="W4406" i="1"/>
  <c r="W4402" i="1"/>
  <c r="W4398" i="1"/>
  <c r="W4394" i="1"/>
  <c r="W4390" i="1"/>
  <c r="W4386" i="1"/>
  <c r="W4382" i="1"/>
  <c r="W4378" i="1"/>
  <c r="W4374" i="1"/>
  <c r="W4370" i="1"/>
  <c r="W4366" i="1"/>
  <c r="W4362" i="1"/>
  <c r="W4358" i="1"/>
  <c r="W4354" i="1"/>
  <c r="W4350" i="1"/>
  <c r="W4346" i="1"/>
  <c r="W4342" i="1"/>
  <c r="W4338" i="1"/>
  <c r="W4334" i="1"/>
  <c r="W4330" i="1"/>
  <c r="W4326" i="1"/>
  <c r="W4322" i="1"/>
  <c r="W4318" i="1"/>
  <c r="W4314" i="1"/>
  <c r="W4310" i="1"/>
  <c r="W4306" i="1"/>
  <c r="W4302" i="1"/>
  <c r="W4298" i="1"/>
  <c r="W4294" i="1"/>
  <c r="W4290" i="1"/>
  <c r="W4286" i="1"/>
  <c r="W4282" i="1"/>
  <c r="W4278" i="1"/>
  <c r="W4274" i="1"/>
  <c r="W4270" i="1"/>
  <c r="W4266" i="1"/>
  <c r="W4262" i="1"/>
  <c r="W4258" i="1"/>
  <c r="W4254" i="1"/>
  <c r="W4250" i="1"/>
  <c r="W4246" i="1"/>
  <c r="W4242" i="1"/>
  <c r="W4238" i="1"/>
  <c r="W4234" i="1"/>
  <c r="W4230" i="1"/>
  <c r="W4226" i="1"/>
  <c r="W4222" i="1"/>
  <c r="W4218" i="1"/>
  <c r="W4214" i="1"/>
  <c r="W4210" i="1"/>
  <c r="W4206" i="1"/>
  <c r="W4202" i="1"/>
  <c r="W4198" i="1"/>
  <c r="W4194" i="1"/>
  <c r="W4190" i="1"/>
  <c r="W4186" i="1"/>
  <c r="W4182" i="1"/>
  <c r="W4178" i="1"/>
  <c r="W4174" i="1"/>
  <c r="W4170" i="1"/>
  <c r="W4166" i="1"/>
  <c r="W4162" i="1"/>
  <c r="W4158" i="1"/>
  <c r="W4154" i="1"/>
  <c r="W4150" i="1"/>
  <c r="W4146" i="1"/>
  <c r="W4142" i="1"/>
  <c r="W4138" i="1"/>
  <c r="W4134" i="1"/>
  <c r="W4130" i="1"/>
  <c r="W4126" i="1"/>
  <c r="W4122" i="1"/>
  <c r="W4118" i="1"/>
  <c r="W4114" i="1"/>
  <c r="W4110" i="1"/>
  <c r="W4106" i="1"/>
  <c r="W4102" i="1"/>
  <c r="W4098" i="1"/>
  <c r="W4094" i="1"/>
  <c r="W4090" i="1"/>
  <c r="W4086" i="1"/>
  <c r="W4082" i="1"/>
  <c r="W4078" i="1"/>
  <c r="W4074" i="1"/>
  <c r="W4070" i="1"/>
  <c r="W4066" i="1"/>
  <c r="W4062" i="1"/>
  <c r="W4058" i="1"/>
  <c r="W4054" i="1"/>
  <c r="W4050" i="1"/>
  <c r="W4046" i="1"/>
  <c r="W4042" i="1"/>
  <c r="W4038" i="1"/>
  <c r="W4034" i="1"/>
  <c r="W4030" i="1"/>
  <c r="W4026" i="1"/>
  <c r="W4022" i="1"/>
  <c r="W4018" i="1"/>
  <c r="W4014" i="1"/>
  <c r="W4010" i="1"/>
  <c r="W4006" i="1"/>
  <c r="W4002" i="1"/>
  <c r="W3998" i="1"/>
  <c r="W3994" i="1"/>
  <c r="W3990" i="1"/>
  <c r="W3986" i="1"/>
  <c r="W3982" i="1"/>
  <c r="W3978" i="1"/>
  <c r="W3974" i="1"/>
  <c r="W3970" i="1"/>
  <c r="W3966" i="1"/>
  <c r="W3962" i="1"/>
  <c r="W3958" i="1"/>
  <c r="W3954" i="1"/>
  <c r="W3950" i="1"/>
  <c r="W3946" i="1"/>
  <c r="W3942" i="1"/>
  <c r="W3938" i="1"/>
  <c r="W3934" i="1"/>
  <c r="W3930" i="1"/>
  <c r="W3926" i="1"/>
  <c r="W3922" i="1"/>
  <c r="W3918" i="1"/>
  <c r="W3914" i="1"/>
  <c r="W3910" i="1"/>
  <c r="W3906" i="1"/>
  <c r="W3902" i="1"/>
  <c r="W3898" i="1"/>
  <c r="W3894" i="1"/>
  <c r="W3890" i="1"/>
  <c r="W3886" i="1"/>
  <c r="W3882" i="1"/>
  <c r="W3878" i="1"/>
  <c r="W3874" i="1"/>
  <c r="W3870" i="1"/>
  <c r="W3866" i="1"/>
  <c r="W3862" i="1"/>
  <c r="W3858" i="1"/>
  <c r="W3854" i="1"/>
  <c r="W3850" i="1"/>
  <c r="W3846" i="1"/>
  <c r="W3842" i="1"/>
  <c r="W3838" i="1"/>
  <c r="W3834" i="1"/>
  <c r="W3830" i="1"/>
  <c r="W3826" i="1"/>
  <c r="W3822" i="1"/>
  <c r="W3818" i="1"/>
  <c r="W3814" i="1"/>
  <c r="W3810" i="1"/>
  <c r="W3806" i="1"/>
  <c r="W3802" i="1"/>
  <c r="W3798" i="1"/>
  <c r="W3794" i="1"/>
  <c r="W3790" i="1"/>
  <c r="W3786" i="1"/>
  <c r="W3782" i="1"/>
  <c r="W3778" i="1"/>
  <c r="W3774" i="1"/>
  <c r="W3770" i="1"/>
  <c r="W3766" i="1"/>
  <c r="W3762" i="1"/>
  <c r="W3758" i="1"/>
  <c r="W3754" i="1"/>
  <c r="W3750" i="1"/>
  <c r="W3746" i="1"/>
  <c r="W3742" i="1"/>
  <c r="W3738" i="1"/>
  <c r="W3734" i="1"/>
  <c r="W3730" i="1"/>
  <c r="W3726" i="1"/>
  <c r="W3722" i="1"/>
  <c r="W3718" i="1"/>
  <c r="W3714" i="1"/>
  <c r="W3710" i="1"/>
  <c r="W3706" i="1"/>
  <c r="W3702" i="1"/>
  <c r="W3698" i="1"/>
  <c r="W3694" i="1"/>
  <c r="W3690" i="1"/>
  <c r="W3686" i="1"/>
  <c r="W3682" i="1"/>
  <c r="W3678" i="1"/>
  <c r="W3674" i="1"/>
  <c r="W3670" i="1"/>
  <c r="W3666" i="1"/>
  <c r="W3662" i="1"/>
  <c r="W3658" i="1"/>
  <c r="W3654" i="1"/>
  <c r="W3650" i="1"/>
  <c r="W3646" i="1"/>
  <c r="W3642" i="1"/>
  <c r="W3638" i="1"/>
  <c r="W3634" i="1"/>
  <c r="W3630" i="1"/>
  <c r="W3626" i="1"/>
  <c r="W3622" i="1"/>
  <c r="W3618" i="1"/>
  <c r="W3614" i="1"/>
  <c r="W3610" i="1"/>
  <c r="W3606" i="1"/>
  <c r="W3602" i="1"/>
  <c r="W3598" i="1"/>
  <c r="W3594" i="1"/>
  <c r="W3590" i="1"/>
  <c r="W3586" i="1"/>
  <c r="W3582" i="1"/>
  <c r="W3578" i="1"/>
  <c r="W3574" i="1"/>
  <c r="W3570" i="1"/>
  <c r="W3566" i="1"/>
  <c r="W3562" i="1"/>
  <c r="W3558" i="1"/>
  <c r="W3554" i="1"/>
  <c r="W3550" i="1"/>
  <c r="W3546" i="1"/>
  <c r="W3542" i="1"/>
  <c r="W3538" i="1"/>
  <c r="W3534" i="1"/>
  <c r="W3530" i="1"/>
  <c r="W3526" i="1"/>
  <c r="W3522" i="1"/>
  <c r="W3518" i="1"/>
  <c r="W3514" i="1"/>
  <c r="W3510" i="1"/>
  <c r="W3506" i="1"/>
  <c r="W3502" i="1"/>
  <c r="W3498" i="1"/>
  <c r="W3494" i="1"/>
  <c r="W3490" i="1"/>
  <c r="W3486" i="1"/>
  <c r="W3482" i="1"/>
  <c r="W3478" i="1"/>
  <c r="W3474" i="1"/>
  <c r="W3470" i="1"/>
  <c r="W3466" i="1"/>
  <c r="W3462" i="1"/>
  <c r="W3458" i="1"/>
  <c r="W3454" i="1"/>
  <c r="W3450" i="1"/>
  <c r="W3446" i="1"/>
  <c r="W3442" i="1"/>
  <c r="W3438" i="1"/>
  <c r="W3434" i="1"/>
  <c r="W3430" i="1"/>
  <c r="W3426" i="1"/>
  <c r="W3422" i="1"/>
  <c r="W3418" i="1"/>
  <c r="W3414" i="1"/>
  <c r="W3410" i="1"/>
  <c r="W3406" i="1"/>
  <c r="W3402" i="1"/>
  <c r="W3398" i="1"/>
  <c r="W3394" i="1"/>
  <c r="W3390" i="1"/>
  <c r="W3386" i="1"/>
  <c r="W3382" i="1"/>
  <c r="W3378" i="1"/>
  <c r="W3374" i="1"/>
  <c r="W3370" i="1"/>
  <c r="W3366" i="1"/>
  <c r="W3362" i="1"/>
  <c r="W3358" i="1"/>
  <c r="W3354" i="1"/>
  <c r="W3350" i="1"/>
  <c r="W3346" i="1"/>
  <c r="W3342" i="1"/>
  <c r="W3338" i="1"/>
  <c r="W3334" i="1"/>
  <c r="W3330" i="1"/>
  <c r="W3326" i="1"/>
  <c r="W3322" i="1"/>
  <c r="W3318" i="1"/>
  <c r="W3314" i="1"/>
  <c r="W3310" i="1"/>
  <c r="W3306" i="1"/>
  <c r="W3302" i="1"/>
  <c r="W3298" i="1"/>
  <c r="W3294" i="1"/>
  <c r="W3290" i="1"/>
  <c r="W3286" i="1"/>
  <c r="W3282" i="1"/>
  <c r="W3278" i="1"/>
  <c r="W3274" i="1"/>
  <c r="W3270" i="1"/>
  <c r="W3266" i="1"/>
  <c r="W3262" i="1"/>
  <c r="W3258" i="1"/>
  <c r="W3254" i="1"/>
  <c r="W3250" i="1"/>
  <c r="W3246" i="1"/>
  <c r="W3242" i="1"/>
  <c r="W3238" i="1"/>
  <c r="W3234" i="1"/>
  <c r="W3230" i="1"/>
  <c r="W3226" i="1"/>
  <c r="W3222" i="1"/>
  <c r="W3218" i="1"/>
  <c r="W3214" i="1"/>
  <c r="W3210" i="1"/>
  <c r="W3206" i="1"/>
  <c r="W3202" i="1"/>
  <c r="W3198" i="1"/>
  <c r="W3194" i="1"/>
  <c r="W3190" i="1"/>
  <c r="W3186" i="1"/>
  <c r="W3182" i="1"/>
  <c r="W3178" i="1"/>
  <c r="W3174" i="1"/>
  <c r="W3170" i="1"/>
  <c r="W3166" i="1"/>
  <c r="W3162" i="1"/>
  <c r="W3158" i="1"/>
  <c r="W3154" i="1"/>
  <c r="W3150" i="1"/>
  <c r="W3146" i="1"/>
  <c r="W3142" i="1"/>
  <c r="W3138" i="1"/>
  <c r="W3134" i="1"/>
  <c r="W3130" i="1"/>
  <c r="W3126" i="1"/>
  <c r="W3122" i="1"/>
  <c r="W3118" i="1"/>
  <c r="W3114" i="1"/>
  <c r="W3110" i="1"/>
  <c r="W3106" i="1"/>
  <c r="W3102" i="1"/>
  <c r="W3098" i="1"/>
  <c r="W3094" i="1"/>
  <c r="W3090" i="1"/>
  <c r="W3086" i="1"/>
  <c r="W3082" i="1"/>
  <c r="W3078" i="1"/>
  <c r="W3074" i="1"/>
  <c r="W3070" i="1"/>
  <c r="W3066" i="1"/>
  <c r="W3062" i="1"/>
  <c r="W3058" i="1"/>
  <c r="W3054" i="1"/>
  <c r="W3050" i="1"/>
  <c r="W3046" i="1"/>
  <c r="W3042" i="1"/>
  <c r="W3038" i="1"/>
  <c r="W3034" i="1"/>
  <c r="W3030" i="1"/>
  <c r="W3026" i="1"/>
  <c r="W3022" i="1"/>
  <c r="W3018" i="1"/>
  <c r="W3014" i="1"/>
  <c r="W3010" i="1"/>
  <c r="W3006" i="1"/>
  <c r="W3002" i="1"/>
  <c r="W2998" i="1"/>
  <c r="W2994" i="1"/>
  <c r="W2990" i="1"/>
  <c r="W2986" i="1"/>
  <c r="W2982" i="1"/>
  <c r="W2978" i="1"/>
  <c r="W2974" i="1"/>
  <c r="W2970" i="1"/>
  <c r="W2966" i="1"/>
  <c r="W2962" i="1"/>
  <c r="W2958" i="1"/>
  <c r="W2954" i="1"/>
  <c r="W2950" i="1"/>
  <c r="W2946" i="1"/>
  <c r="W2942" i="1"/>
  <c r="W2938" i="1"/>
  <c r="W2934" i="1"/>
  <c r="W2930" i="1"/>
  <c r="W2926" i="1"/>
  <c r="W2922" i="1"/>
  <c r="W2918" i="1"/>
  <c r="W2914" i="1"/>
  <c r="W2910" i="1"/>
  <c r="W2906" i="1"/>
  <c r="W2902" i="1"/>
  <c r="W2898" i="1"/>
  <c r="W2894" i="1"/>
  <c r="W2890" i="1"/>
  <c r="W2886" i="1"/>
  <c r="W2882" i="1"/>
  <c r="W2878" i="1"/>
  <c r="W2874" i="1"/>
  <c r="W2870" i="1"/>
  <c r="W2866" i="1"/>
  <c r="W2862" i="1"/>
  <c r="W2858" i="1"/>
  <c r="W2854" i="1"/>
  <c r="W2850" i="1"/>
  <c r="W2846" i="1"/>
  <c r="W2842" i="1"/>
  <c r="W2838" i="1"/>
  <c r="W2834" i="1"/>
  <c r="W2830" i="1"/>
  <c r="W2826" i="1"/>
  <c r="W2822" i="1"/>
  <c r="W2818" i="1"/>
  <c r="W2814" i="1"/>
  <c r="W2810" i="1"/>
  <c r="W2806" i="1"/>
  <c r="W2802" i="1"/>
  <c r="W2798" i="1"/>
  <c r="W2794" i="1"/>
  <c r="W2790" i="1"/>
  <c r="W2786" i="1"/>
  <c r="W2782" i="1"/>
  <c r="W2778" i="1"/>
  <c r="W2774" i="1"/>
  <c r="W2770" i="1"/>
  <c r="W2766" i="1"/>
  <c r="W2762" i="1"/>
  <c r="W2758" i="1"/>
  <c r="W2754" i="1"/>
  <c r="W2750" i="1"/>
  <c r="W2746" i="1"/>
  <c r="W2742" i="1"/>
  <c r="W2738" i="1"/>
  <c r="W2734" i="1"/>
  <c r="W2730" i="1"/>
  <c r="W2726" i="1"/>
  <c r="W2722" i="1"/>
  <c r="W2718" i="1"/>
  <c r="W2714" i="1"/>
  <c r="W2710" i="1"/>
  <c r="W2706" i="1"/>
  <c r="W2702" i="1"/>
  <c r="W2698" i="1"/>
  <c r="W2694" i="1"/>
  <c r="W2690" i="1"/>
  <c r="W2686" i="1"/>
  <c r="W2682" i="1"/>
  <c r="W2678" i="1"/>
  <c r="W2674" i="1"/>
  <c r="W2670" i="1"/>
  <c r="W2666" i="1"/>
  <c r="W2662" i="1"/>
  <c r="W2658" i="1"/>
  <c r="W2654" i="1"/>
  <c r="W2650" i="1"/>
  <c r="W2646" i="1"/>
  <c r="W2642" i="1"/>
  <c r="W2638" i="1"/>
  <c r="W2634" i="1"/>
  <c r="W2630" i="1"/>
  <c r="W2626" i="1"/>
  <c r="W2622" i="1"/>
  <c r="W2618" i="1"/>
  <c r="W2614" i="1"/>
  <c r="W2610" i="1"/>
  <c r="W2606" i="1"/>
  <c r="W2602" i="1"/>
  <c r="W2598" i="1"/>
  <c r="W2594" i="1"/>
  <c r="W2590" i="1"/>
  <c r="W2586" i="1"/>
  <c r="W2582" i="1"/>
  <c r="W2578" i="1"/>
  <c r="W2574" i="1"/>
  <c r="W2570" i="1"/>
  <c r="W2566" i="1"/>
  <c r="W2562" i="1"/>
  <c r="W2558" i="1"/>
  <c r="W2554" i="1"/>
  <c r="W2550" i="1"/>
  <c r="W2546" i="1"/>
  <c r="W2542" i="1"/>
  <c r="W2538" i="1"/>
  <c r="W2534" i="1"/>
  <c r="W2530" i="1"/>
  <c r="W2526" i="1"/>
  <c r="W2522" i="1"/>
  <c r="W2518" i="1"/>
  <c r="W2514" i="1"/>
  <c r="W2510" i="1"/>
  <c r="W2506" i="1"/>
  <c r="W2502" i="1"/>
  <c r="W2498" i="1"/>
  <c r="W2494" i="1"/>
  <c r="W2490" i="1"/>
  <c r="W2486" i="1"/>
  <c r="W2482" i="1"/>
  <c r="W2478" i="1"/>
  <c r="W2474" i="1"/>
  <c r="W2470" i="1"/>
  <c r="W2466" i="1"/>
  <c r="W2462" i="1"/>
  <c r="W2458" i="1"/>
  <c r="W2454" i="1"/>
  <c r="W2450" i="1"/>
  <c r="W2446" i="1"/>
  <c r="W2442" i="1"/>
  <c r="W2438" i="1"/>
  <c r="W2434" i="1"/>
  <c r="W2430" i="1"/>
  <c r="W2426" i="1"/>
  <c r="W2422" i="1"/>
  <c r="W2418" i="1"/>
  <c r="W2414" i="1"/>
  <c r="W2410" i="1"/>
  <c r="W2406" i="1"/>
  <c r="W2402" i="1"/>
  <c r="W2398" i="1"/>
  <c r="W2394" i="1"/>
  <c r="W2390" i="1"/>
  <c r="W2386" i="1"/>
  <c r="W2382" i="1"/>
  <c r="W2378" i="1"/>
  <c r="W2374" i="1"/>
  <c r="W2370" i="1"/>
  <c r="W2366" i="1"/>
  <c r="W2362" i="1"/>
  <c r="W2358" i="1"/>
  <c r="W2354" i="1"/>
  <c r="W2350" i="1"/>
  <c r="W2346" i="1"/>
  <c r="W2342" i="1"/>
  <c r="W2338" i="1"/>
  <c r="W2334" i="1"/>
  <c r="W2330" i="1"/>
  <c r="W2326" i="1"/>
  <c r="W2322" i="1"/>
  <c r="W2318" i="1"/>
  <c r="W2314" i="1"/>
  <c r="W2310" i="1"/>
  <c r="W2306" i="1"/>
  <c r="W2302" i="1"/>
  <c r="W2298" i="1"/>
  <c r="W2294" i="1"/>
  <c r="W2290" i="1"/>
  <c r="W2286" i="1"/>
  <c r="W2282" i="1"/>
  <c r="W2278" i="1"/>
  <c r="W2274" i="1"/>
  <c r="W2270" i="1"/>
  <c r="W2266" i="1"/>
  <c r="W2262" i="1"/>
  <c r="W2258" i="1"/>
  <c r="W2254" i="1"/>
  <c r="W2250" i="1"/>
  <c r="W2246" i="1"/>
  <c r="W2242" i="1"/>
  <c r="W2238" i="1"/>
  <c r="W2234" i="1"/>
  <c r="W2230" i="1"/>
  <c r="W2226" i="1"/>
  <c r="W2222" i="1"/>
  <c r="W2218" i="1"/>
  <c r="W2214" i="1"/>
  <c r="W2210" i="1"/>
  <c r="W2206" i="1"/>
  <c r="W2202" i="1"/>
  <c r="W2198" i="1"/>
  <c r="W2194" i="1"/>
  <c r="W2190" i="1"/>
  <c r="W2186" i="1"/>
  <c r="W2182" i="1"/>
  <c r="W2178" i="1"/>
  <c r="W2174" i="1"/>
  <c r="W2170" i="1"/>
  <c r="W2166" i="1"/>
  <c r="W2162" i="1"/>
  <c r="W2158" i="1"/>
  <c r="W2154" i="1"/>
  <c r="W2150" i="1"/>
  <c r="W2146" i="1"/>
  <c r="W2142" i="1"/>
  <c r="W2138" i="1"/>
  <c r="W2134" i="1"/>
  <c r="W2130" i="1"/>
  <c r="W2126" i="1"/>
  <c r="W2122" i="1"/>
  <c r="W2118" i="1"/>
  <c r="W2114" i="1"/>
  <c r="W2110" i="1"/>
  <c r="W2106" i="1"/>
  <c r="W2102" i="1"/>
  <c r="W2098" i="1"/>
  <c r="W2094" i="1"/>
  <c r="W2090" i="1"/>
  <c r="W2086" i="1"/>
  <c r="W2082" i="1"/>
  <c r="W2078" i="1"/>
  <c r="W2074" i="1"/>
  <c r="W2070" i="1"/>
  <c r="W2066" i="1"/>
  <c r="W2062" i="1"/>
  <c r="W2058" i="1"/>
  <c r="W2054" i="1"/>
  <c r="W2050" i="1"/>
  <c r="W2046" i="1"/>
  <c r="W2042" i="1"/>
  <c r="W2038" i="1"/>
  <c r="W2034" i="1"/>
  <c r="W2030" i="1"/>
  <c r="W2026" i="1"/>
  <c r="W2022" i="1"/>
  <c r="W2018" i="1"/>
  <c r="W2014" i="1"/>
  <c r="W2010" i="1"/>
  <c r="W2006" i="1"/>
  <c r="W2002" i="1"/>
  <c r="W1998" i="1"/>
  <c r="W1994" i="1"/>
  <c r="W1990" i="1"/>
  <c r="W1986" i="1"/>
  <c r="W1982" i="1"/>
  <c r="W1978" i="1"/>
  <c r="W1974" i="1"/>
  <c r="W1970" i="1"/>
  <c r="W1966" i="1"/>
  <c r="W1962" i="1"/>
  <c r="W1958" i="1"/>
  <c r="W1954" i="1"/>
  <c r="W1950" i="1"/>
  <c r="W1946" i="1"/>
  <c r="W1942" i="1"/>
  <c r="W1938" i="1"/>
  <c r="W1934" i="1"/>
  <c r="W1930" i="1"/>
  <c r="W1926" i="1"/>
  <c r="W1922" i="1"/>
  <c r="W1918" i="1"/>
  <c r="W1914" i="1"/>
  <c r="W1910" i="1"/>
  <c r="W1906" i="1"/>
  <c r="W1902" i="1"/>
  <c r="W1898" i="1"/>
  <c r="W1894" i="1"/>
  <c r="W1890" i="1"/>
  <c r="W1886" i="1"/>
  <c r="W1882" i="1"/>
  <c r="W1878" i="1"/>
  <c r="W1874" i="1"/>
  <c r="W1870" i="1"/>
  <c r="W1866" i="1"/>
  <c r="W1862" i="1"/>
  <c r="W1858" i="1"/>
  <c r="W1854" i="1"/>
  <c r="W1850" i="1"/>
  <c r="W1846" i="1"/>
  <c r="W1842" i="1"/>
  <c r="W1838" i="1"/>
  <c r="W1834" i="1"/>
  <c r="W1830" i="1"/>
  <c r="W1826" i="1"/>
  <c r="W1822" i="1"/>
  <c r="W1818" i="1"/>
  <c r="W1814" i="1"/>
  <c r="W1810" i="1"/>
  <c r="W1806" i="1"/>
  <c r="W1802" i="1"/>
  <c r="W1798" i="1"/>
  <c r="W1794" i="1"/>
  <c r="W1790" i="1"/>
  <c r="W1786" i="1"/>
  <c r="W1782" i="1"/>
  <c r="W1778" i="1"/>
  <c r="W1774" i="1"/>
  <c r="W1770" i="1"/>
  <c r="W1766" i="1"/>
  <c r="W1762" i="1"/>
  <c r="W1758" i="1"/>
  <c r="W1754" i="1"/>
  <c r="W1750" i="1"/>
  <c r="W1746" i="1"/>
  <c r="W1742" i="1"/>
  <c r="W1738" i="1"/>
  <c r="W1734" i="1"/>
  <c r="W1730" i="1"/>
  <c r="W1726" i="1"/>
  <c r="W1722" i="1"/>
  <c r="W1718" i="1"/>
  <c r="W1714" i="1"/>
  <c r="W1710" i="1"/>
  <c r="W1706" i="1"/>
  <c r="W1702" i="1"/>
  <c r="W1698" i="1"/>
  <c r="W1694" i="1"/>
  <c r="W1690" i="1"/>
  <c r="W1686" i="1"/>
  <c r="W1682" i="1"/>
  <c r="W1678" i="1"/>
  <c r="W1674" i="1"/>
  <c r="W1670" i="1"/>
  <c r="W1666" i="1"/>
  <c r="W1662" i="1"/>
  <c r="W1658" i="1"/>
  <c r="W1654" i="1"/>
  <c r="W1650" i="1"/>
  <c r="W1646" i="1"/>
  <c r="W1642" i="1"/>
  <c r="W1638" i="1"/>
  <c r="W1634" i="1"/>
  <c r="W1630" i="1"/>
  <c r="W1626" i="1"/>
  <c r="W1622" i="1"/>
  <c r="W1618" i="1"/>
  <c r="W1614" i="1"/>
  <c r="W1610" i="1"/>
  <c r="W1606" i="1"/>
  <c r="W1602" i="1"/>
  <c r="W1598" i="1"/>
  <c r="W1594" i="1"/>
  <c r="W1590" i="1"/>
  <c r="W1586" i="1"/>
  <c r="W1582" i="1"/>
  <c r="W1578" i="1"/>
  <c r="W1574" i="1"/>
  <c r="W1570" i="1"/>
  <c r="W1566" i="1"/>
  <c r="W1562" i="1"/>
  <c r="W1558" i="1"/>
  <c r="W1554" i="1"/>
  <c r="W1550" i="1"/>
  <c r="W1546" i="1"/>
  <c r="W1542" i="1"/>
  <c r="W1538" i="1"/>
  <c r="W1534" i="1"/>
  <c r="W1530" i="1"/>
  <c r="W1526" i="1"/>
  <c r="W1522" i="1"/>
  <c r="W1518" i="1"/>
  <c r="W1514" i="1"/>
  <c r="W1510" i="1"/>
  <c r="W1506" i="1"/>
  <c r="W1502" i="1"/>
  <c r="W1498" i="1"/>
  <c r="W1494" i="1"/>
  <c r="W1490" i="1"/>
  <c r="W1486" i="1"/>
  <c r="W1482" i="1"/>
  <c r="W1478" i="1"/>
  <c r="W1474" i="1"/>
  <c r="W1470" i="1"/>
  <c r="W1466" i="1"/>
  <c r="W1462" i="1"/>
  <c r="W1458" i="1"/>
  <c r="W1454" i="1"/>
  <c r="W1450" i="1"/>
  <c r="W1446" i="1"/>
  <c r="W1442" i="1"/>
  <c r="W1438" i="1"/>
  <c r="W1434" i="1"/>
  <c r="W1430" i="1"/>
  <c r="W1426" i="1"/>
  <c r="W1422" i="1"/>
  <c r="W1418" i="1"/>
  <c r="W1414" i="1"/>
  <c r="W1410" i="1"/>
  <c r="W1406" i="1"/>
  <c r="W1402" i="1"/>
  <c r="W1398" i="1"/>
  <c r="W1394" i="1"/>
  <c r="W1390" i="1"/>
  <c r="W1386" i="1"/>
  <c r="W1382" i="1"/>
  <c r="W1378" i="1"/>
  <c r="W1374" i="1"/>
  <c r="W1370" i="1"/>
  <c r="W1366" i="1"/>
  <c r="W1362" i="1"/>
  <c r="W1358" i="1"/>
  <c r="W1354" i="1"/>
  <c r="W1350" i="1"/>
  <c r="W1346" i="1"/>
  <c r="W1342" i="1"/>
  <c r="W1338" i="1"/>
  <c r="W1334" i="1"/>
  <c r="W1330" i="1"/>
  <c r="W1326" i="1"/>
  <c r="W1322" i="1"/>
  <c r="W1318" i="1"/>
  <c r="W1314" i="1"/>
  <c r="W1310" i="1"/>
  <c r="W1306" i="1"/>
  <c r="W1302" i="1"/>
  <c r="W1298" i="1"/>
  <c r="W1294" i="1"/>
  <c r="W1290" i="1"/>
  <c r="W1286" i="1"/>
  <c r="W1282" i="1"/>
  <c r="W1278" i="1"/>
  <c r="W1274" i="1"/>
  <c r="W1270" i="1"/>
  <c r="W1266" i="1"/>
  <c r="W1262" i="1"/>
  <c r="W1258" i="1"/>
  <c r="W1254" i="1"/>
  <c r="W1250" i="1"/>
  <c r="W1246" i="1"/>
  <c r="W1242" i="1"/>
  <c r="W1238" i="1"/>
  <c r="W1234" i="1"/>
  <c r="W1230" i="1"/>
  <c r="W1226" i="1"/>
  <c r="W1222" i="1"/>
  <c r="W1218" i="1"/>
  <c r="W1214" i="1"/>
  <c r="W1210" i="1"/>
  <c r="W1206" i="1"/>
  <c r="W1202" i="1"/>
  <c r="W1198" i="1"/>
  <c r="W1194" i="1"/>
  <c r="W1190" i="1"/>
  <c r="W1186" i="1"/>
  <c r="W1182" i="1"/>
  <c r="W1178" i="1"/>
  <c r="W1174" i="1"/>
  <c r="W1170" i="1"/>
  <c r="W1166" i="1"/>
  <c r="W1162" i="1"/>
  <c r="W1158" i="1"/>
  <c r="W1154" i="1"/>
  <c r="W1150" i="1"/>
  <c r="W1146" i="1"/>
  <c r="W1142" i="1"/>
  <c r="W1138" i="1"/>
  <c r="W1134" i="1"/>
  <c r="W1130" i="1"/>
  <c r="W1126" i="1"/>
  <c r="W1122" i="1"/>
  <c r="W1118" i="1"/>
  <c r="W1114" i="1"/>
  <c r="W1110" i="1"/>
  <c r="W1106" i="1"/>
  <c r="W1102" i="1"/>
  <c r="W1098" i="1"/>
  <c r="W1094" i="1"/>
  <c r="W1090" i="1"/>
  <c r="W1086" i="1"/>
  <c r="W1082" i="1"/>
  <c r="W1078" i="1"/>
  <c r="W1074" i="1"/>
  <c r="W1070" i="1"/>
  <c r="W1066" i="1"/>
  <c r="W1062" i="1"/>
  <c r="W1058" i="1"/>
  <c r="W1054" i="1"/>
  <c r="W1050" i="1"/>
  <c r="W1046" i="1"/>
  <c r="W1042" i="1"/>
  <c r="W1038" i="1"/>
  <c r="W1034" i="1"/>
  <c r="W1030" i="1"/>
  <c r="W1026" i="1"/>
  <c r="W1022" i="1"/>
  <c r="W1018" i="1"/>
  <c r="W1014" i="1"/>
  <c r="W1010" i="1"/>
  <c r="W1006" i="1"/>
  <c r="W1002" i="1"/>
  <c r="W998" i="1"/>
  <c r="W994" i="1"/>
  <c r="W990" i="1"/>
  <c r="W986" i="1"/>
  <c r="W982" i="1"/>
  <c r="W978" i="1"/>
  <c r="W974" i="1"/>
  <c r="W970" i="1"/>
  <c r="W966" i="1"/>
  <c r="W962" i="1"/>
  <c r="W958" i="1"/>
  <c r="W954" i="1"/>
  <c r="W950" i="1"/>
  <c r="W946" i="1"/>
  <c r="W942" i="1"/>
  <c r="W938" i="1"/>
  <c r="W934" i="1"/>
  <c r="W930" i="1"/>
  <c r="W926" i="1"/>
  <c r="W922" i="1"/>
  <c r="W918" i="1"/>
  <c r="W914" i="1"/>
  <c r="W910" i="1"/>
  <c r="W906" i="1"/>
  <c r="W902" i="1"/>
  <c r="W898" i="1"/>
  <c r="W894" i="1"/>
  <c r="W890" i="1"/>
  <c r="W886" i="1"/>
  <c r="W882" i="1"/>
  <c r="W878" i="1"/>
  <c r="W874" i="1"/>
  <c r="W870" i="1"/>
  <c r="W866" i="1"/>
  <c r="W862" i="1"/>
  <c r="W858" i="1"/>
  <c r="W854" i="1"/>
  <c r="W850" i="1"/>
  <c r="W846" i="1"/>
  <c r="W842" i="1"/>
  <c r="W838" i="1"/>
  <c r="W834" i="1"/>
  <c r="W830" i="1"/>
  <c r="W826" i="1"/>
  <c r="W822" i="1"/>
  <c r="W818" i="1"/>
  <c r="W814" i="1"/>
  <c r="W810" i="1"/>
  <c r="W806" i="1"/>
  <c r="W802" i="1"/>
  <c r="W798" i="1"/>
  <c r="W794" i="1"/>
  <c r="W790" i="1"/>
  <c r="W786" i="1"/>
  <c r="W782" i="1"/>
  <c r="W778" i="1"/>
  <c r="W774" i="1"/>
  <c r="W770" i="1"/>
  <c r="W766" i="1"/>
  <c r="W762" i="1"/>
  <c r="W758" i="1"/>
  <c r="W754" i="1"/>
  <c r="W750" i="1"/>
  <c r="W746" i="1"/>
  <c r="W742" i="1"/>
  <c r="W738" i="1"/>
  <c r="W734" i="1"/>
  <c r="W730" i="1"/>
  <c r="W726" i="1"/>
  <c r="W722" i="1"/>
  <c r="W718" i="1"/>
  <c r="W714" i="1"/>
  <c r="W710" i="1"/>
  <c r="W706" i="1"/>
  <c r="W702" i="1"/>
  <c r="W698" i="1"/>
  <c r="W694" i="1"/>
  <c r="W690" i="1"/>
  <c r="W686" i="1"/>
  <c r="W682" i="1"/>
  <c r="W678" i="1"/>
  <c r="W674" i="1"/>
  <c r="W670" i="1"/>
  <c r="W666" i="1"/>
  <c r="W662" i="1"/>
  <c r="W658" i="1"/>
  <c r="W654" i="1"/>
  <c r="W650" i="1"/>
  <c r="W646" i="1"/>
  <c r="W642" i="1"/>
  <c r="W638" i="1"/>
  <c r="W634" i="1"/>
  <c r="W630" i="1"/>
  <c r="W626" i="1"/>
  <c r="W622" i="1"/>
  <c r="W618" i="1"/>
  <c r="W614" i="1"/>
  <c r="W610" i="1"/>
  <c r="W606" i="1"/>
  <c r="W602" i="1"/>
  <c r="W598" i="1"/>
  <c r="W594" i="1"/>
  <c r="W590" i="1"/>
  <c r="W586" i="1"/>
  <c r="W582" i="1"/>
  <c r="W578" i="1"/>
  <c r="W574" i="1"/>
  <c r="W570" i="1"/>
  <c r="W566" i="1"/>
  <c r="W562" i="1"/>
  <c r="W558" i="1"/>
  <c r="W554" i="1"/>
  <c r="W550" i="1"/>
  <c r="W546" i="1"/>
  <c r="W542" i="1"/>
  <c r="W538" i="1"/>
  <c r="W534" i="1"/>
  <c r="W530" i="1"/>
  <c r="W526" i="1"/>
  <c r="W522" i="1"/>
  <c r="W518" i="1"/>
  <c r="W514" i="1"/>
  <c r="W510" i="1"/>
  <c r="W506" i="1"/>
  <c r="W502" i="1"/>
  <c r="W498" i="1"/>
  <c r="W494" i="1"/>
  <c r="W490" i="1"/>
  <c r="W486" i="1"/>
  <c r="W482" i="1"/>
  <c r="W478" i="1"/>
  <c r="W474" i="1"/>
  <c r="W470" i="1"/>
  <c r="W466" i="1"/>
  <c r="W462" i="1"/>
  <c r="W458" i="1"/>
  <c r="W454" i="1"/>
  <c r="W450" i="1"/>
  <c r="W446" i="1"/>
  <c r="W442" i="1"/>
  <c r="W438" i="1"/>
  <c r="W434" i="1"/>
  <c r="W430" i="1"/>
  <c r="W426" i="1"/>
  <c r="W422" i="1"/>
  <c r="W418" i="1"/>
  <c r="W414" i="1"/>
  <c r="W410" i="1"/>
  <c r="W406" i="1"/>
  <c r="W402" i="1"/>
  <c r="W398" i="1"/>
  <c r="W394" i="1"/>
  <c r="W390" i="1"/>
  <c r="W386" i="1"/>
  <c r="W382" i="1"/>
  <c r="W378" i="1"/>
  <c r="W374" i="1"/>
  <c r="W370" i="1"/>
  <c r="W366" i="1"/>
  <c r="W362" i="1"/>
  <c r="W358" i="1"/>
  <c r="W354" i="1"/>
  <c r="W350" i="1"/>
  <c r="W346" i="1"/>
  <c r="W342" i="1"/>
  <c r="W338" i="1"/>
  <c r="W334" i="1"/>
  <c r="W330" i="1"/>
  <c r="W326" i="1"/>
  <c r="W322" i="1"/>
  <c r="W318" i="1"/>
  <c r="W314" i="1"/>
  <c r="W310" i="1"/>
  <c r="W306" i="1"/>
  <c r="W302" i="1"/>
  <c r="W298" i="1"/>
  <c r="W294" i="1"/>
  <c r="W290" i="1"/>
  <c r="W286" i="1"/>
  <c r="W282" i="1"/>
  <c r="W278" i="1"/>
  <c r="W274" i="1"/>
  <c r="W270" i="1"/>
  <c r="W266" i="1"/>
  <c r="W262" i="1"/>
  <c r="W258" i="1"/>
  <c r="W254" i="1"/>
  <c r="W250" i="1"/>
  <c r="W246" i="1"/>
  <c r="W242" i="1"/>
  <c r="W238" i="1"/>
  <c r="W234" i="1"/>
  <c r="W230" i="1"/>
  <c r="W226" i="1"/>
  <c r="W222" i="1"/>
  <c r="W218" i="1"/>
  <c r="W214" i="1"/>
  <c r="W210" i="1"/>
  <c r="W206" i="1"/>
  <c r="W202" i="1"/>
  <c r="W198" i="1"/>
  <c r="W194" i="1"/>
  <c r="W190" i="1"/>
  <c r="W186" i="1"/>
  <c r="W182" i="1"/>
  <c r="W178" i="1"/>
  <c r="W174" i="1"/>
  <c r="W170" i="1"/>
  <c r="W166" i="1"/>
  <c r="W162" i="1"/>
  <c r="W158" i="1"/>
  <c r="W154" i="1"/>
  <c r="W150" i="1"/>
  <c r="W146" i="1"/>
  <c r="W142" i="1"/>
  <c r="W138" i="1"/>
  <c r="W134" i="1"/>
  <c r="W130" i="1"/>
  <c r="W126" i="1"/>
  <c r="W122" i="1"/>
  <c r="W118" i="1"/>
  <c r="W114" i="1"/>
  <c r="W110" i="1"/>
  <c r="W106" i="1"/>
  <c r="W102" i="1"/>
  <c r="W98" i="1"/>
  <c r="W94" i="1"/>
  <c r="W90" i="1"/>
  <c r="W86" i="1"/>
  <c r="W82" i="1"/>
  <c r="W78" i="1"/>
  <c r="W74" i="1"/>
  <c r="W70" i="1"/>
  <c r="W66" i="1"/>
  <c r="W62" i="1"/>
  <c r="W58" i="1"/>
  <c r="W54" i="1"/>
  <c r="W50" i="1"/>
  <c r="W46" i="1"/>
  <c r="W42" i="1"/>
  <c r="W38" i="1"/>
  <c r="W34" i="1"/>
  <c r="W30" i="1"/>
  <c r="W26" i="1"/>
  <c r="W22" i="1"/>
  <c r="W18" i="1"/>
  <c r="W14" i="1"/>
  <c r="W10" i="1"/>
  <c r="W6" i="1"/>
  <c r="W8113" i="1"/>
  <c r="W8105" i="1"/>
  <c r="W8101" i="1"/>
  <c r="W8097" i="1"/>
  <c r="W8093" i="1"/>
  <c r="W8089" i="1"/>
  <c r="W8085" i="1"/>
  <c r="W8081" i="1"/>
  <c r="W8077" i="1"/>
  <c r="W8073" i="1"/>
  <c r="W8069" i="1"/>
  <c r="W8065" i="1"/>
  <c r="W8061" i="1"/>
  <c r="W8057" i="1"/>
  <c r="W8053" i="1"/>
  <c r="W8049" i="1"/>
  <c r="W8045" i="1"/>
  <c r="W8041" i="1"/>
  <c r="W8037" i="1"/>
  <c r="W8033" i="1"/>
  <c r="W8029" i="1"/>
  <c r="W8025" i="1"/>
  <c r="W8021" i="1"/>
  <c r="W8017" i="1"/>
  <c r="W8013" i="1"/>
  <c r="W8009" i="1"/>
  <c r="W8005" i="1"/>
  <c r="W8001" i="1"/>
  <c r="W7997" i="1"/>
  <c r="W7993" i="1"/>
  <c r="W7989" i="1"/>
  <c r="W7985" i="1"/>
  <c r="W7981" i="1"/>
  <c r="W7977" i="1"/>
  <c r="W7973" i="1"/>
  <c r="W7969" i="1"/>
  <c r="W7965" i="1"/>
  <c r="W7961" i="1"/>
  <c r="W7957" i="1"/>
  <c r="W7953" i="1"/>
  <c r="W7949" i="1"/>
  <c r="W7945" i="1"/>
  <c r="W7937" i="1"/>
  <c r="W7933" i="1"/>
  <c r="W7929" i="1"/>
  <c r="W7921" i="1"/>
  <c r="W7917" i="1"/>
  <c r="W7913" i="1"/>
  <c r="W7905" i="1"/>
  <c r="W7901" i="1"/>
  <c r="W7897" i="1"/>
  <c r="W7889" i="1"/>
  <c r="W7885" i="1"/>
  <c r="W7881" i="1"/>
  <c r="W7873" i="1"/>
  <c r="W7869" i="1"/>
  <c r="W7865" i="1"/>
  <c r="W7857" i="1"/>
  <c r="W7853" i="1"/>
  <c r="W7849" i="1"/>
  <c r="W7841" i="1"/>
  <c r="W7833" i="1"/>
  <c r="W7825" i="1"/>
  <c r="W7821" i="1"/>
  <c r="W7817" i="1"/>
  <c r="W7809" i="1"/>
  <c r="W7801" i="1"/>
  <c r="W7793" i="1"/>
  <c r="W7777" i="1"/>
  <c r="W7753" i="1"/>
  <c r="W7749" i="1"/>
  <c r="W7745" i="1"/>
  <c r="W7741" i="1"/>
  <c r="W7737" i="1"/>
  <c r="W7729" i="1"/>
  <c r="W7725" i="1"/>
  <c r="W7721" i="1"/>
  <c r="W7717" i="1"/>
  <c r="W7713" i="1"/>
  <c r="W7709" i="1"/>
  <c r="W7705" i="1"/>
  <c r="W7697" i="1"/>
  <c r="W7693" i="1"/>
  <c r="W7689" i="1"/>
  <c r="W7677" i="1"/>
  <c r="W7673" i="1"/>
  <c r="W7661" i="1"/>
  <c r="W7657" i="1"/>
  <c r="W7653" i="1"/>
  <c r="W7649" i="1"/>
  <c r="W7645" i="1"/>
  <c r="W7641" i="1"/>
  <c r="W7633" i="1"/>
  <c r="W7629" i="1"/>
  <c r="W7625" i="1"/>
  <c r="W7621" i="1"/>
  <c r="W7617" i="1"/>
  <c r="W7613" i="1"/>
  <c r="W7609" i="1"/>
  <c r="W7601" i="1"/>
  <c r="W7597" i="1"/>
  <c r="W7593" i="1"/>
  <c r="W7589" i="1"/>
  <c r="W7581" i="1"/>
  <c r="W7577" i="1"/>
  <c r="W7569" i="1"/>
  <c r="W7565" i="1"/>
  <c r="W7561" i="1"/>
  <c r="W7557" i="1"/>
  <c r="W7553" i="1"/>
  <c r="W7549" i="1"/>
  <c r="W7545" i="1"/>
  <c r="W7537" i="1"/>
  <c r="W7533" i="1"/>
  <c r="W7529" i="1"/>
  <c r="W7525" i="1"/>
  <c r="W7521" i="1"/>
  <c r="W7517" i="1"/>
  <c r="W7513" i="1"/>
  <c r="W7505" i="1"/>
  <c r="W7501" i="1"/>
  <c r="W7497" i="1"/>
  <c r="W7493" i="1"/>
  <c r="W7489" i="1"/>
  <c r="W7485" i="1"/>
  <c r="W7481" i="1"/>
  <c r="W7477" i="1"/>
  <c r="W7473" i="1"/>
  <c r="W7469" i="1"/>
  <c r="W7465" i="1"/>
  <c r="W7461" i="1"/>
  <c r="W7457" i="1"/>
  <c r="W7453" i="1"/>
  <c r="W7449" i="1"/>
  <c r="W7445" i="1"/>
  <c r="W7441" i="1"/>
  <c r="W7437" i="1"/>
  <c r="W7433" i="1"/>
  <c r="W7429" i="1"/>
  <c r="W7425" i="1"/>
  <c r="W7421" i="1"/>
  <c r="W7417" i="1"/>
  <c r="W7413" i="1"/>
  <c r="W7409" i="1"/>
  <c r="W7405" i="1"/>
  <c r="W7401" i="1"/>
  <c r="W7397" i="1"/>
  <c r="W7393" i="1"/>
  <c r="W7389" i="1"/>
  <c r="W7385" i="1"/>
  <c r="W7381" i="1"/>
  <c r="W7377" i="1"/>
  <c r="W7373" i="1"/>
  <c r="W7369" i="1"/>
  <c r="W7365" i="1"/>
  <c r="W7361" i="1"/>
  <c r="W7357" i="1"/>
  <c r="W7353" i="1"/>
  <c r="W7349" i="1"/>
  <c r="W7345" i="1"/>
  <c r="W7341" i="1"/>
  <c r="W7337" i="1"/>
  <c r="W7333" i="1"/>
  <c r="W7329" i="1"/>
  <c r="W7325" i="1"/>
  <c r="W7321" i="1"/>
  <c r="W7317" i="1"/>
  <c r="W7313" i="1"/>
  <c r="W7309" i="1"/>
  <c r="W7305" i="1"/>
  <c r="W7301" i="1"/>
  <c r="W7297" i="1"/>
  <c r="W7293" i="1"/>
  <c r="W7289" i="1"/>
  <c r="W7285" i="1"/>
  <c r="W7281" i="1"/>
  <c r="W7277" i="1"/>
  <c r="W7273" i="1"/>
  <c r="W7269" i="1"/>
  <c r="W7265" i="1"/>
  <c r="W7261" i="1"/>
  <c r="W7257" i="1"/>
  <c r="W7253" i="1"/>
  <c r="W7249" i="1"/>
  <c r="W7245" i="1"/>
  <c r="W7241" i="1"/>
  <c r="W7237" i="1"/>
  <c r="W7233" i="1"/>
  <c r="W7229" i="1"/>
  <c r="W7225" i="1"/>
  <c r="W7221" i="1"/>
  <c r="W7217" i="1"/>
  <c r="W7213" i="1"/>
  <c r="W7209" i="1"/>
  <c r="W7205" i="1"/>
  <c r="W7201" i="1"/>
  <c r="W7197" i="1"/>
  <c r="W7193" i="1"/>
  <c r="W7189" i="1"/>
  <c r="W7185" i="1"/>
  <c r="W7181" i="1"/>
  <c r="W7177" i="1"/>
  <c r="W7173" i="1"/>
  <c r="W7169" i="1"/>
  <c r="W7165" i="1"/>
  <c r="W7161" i="1"/>
  <c r="W7157" i="1"/>
  <c r="W7153" i="1"/>
  <c r="W7149" i="1"/>
  <c r="W7145" i="1"/>
  <c r="W7141" i="1"/>
  <c r="W7137" i="1"/>
  <c r="W7133" i="1"/>
  <c r="W7129" i="1"/>
  <c r="W7125" i="1"/>
  <c r="W7121" i="1"/>
  <c r="W7117" i="1"/>
  <c r="W7113" i="1"/>
  <c r="W7109" i="1"/>
  <c r="W7101" i="1"/>
  <c r="W7097" i="1"/>
  <c r="W7093" i="1"/>
  <c r="W7089" i="1"/>
  <c r="W7085" i="1"/>
  <c r="W7081" i="1"/>
  <c r="W7077" i="1"/>
  <c r="W7073" i="1"/>
  <c r="W7069" i="1"/>
  <c r="W7065" i="1"/>
  <c r="W7061" i="1"/>
  <c r="W7057" i="1"/>
  <c r="W7053" i="1"/>
  <c r="W7049" i="1"/>
  <c r="W7045" i="1"/>
  <c r="W7033" i="1"/>
  <c r="W7029" i="1"/>
  <c r="W7025" i="1"/>
  <c r="W7021" i="1"/>
  <c r="W7017" i="1"/>
  <c r="W7013" i="1"/>
  <c r="W7009" i="1"/>
  <c r="W7005" i="1"/>
  <c r="W7001" i="1"/>
  <c r="W6997" i="1"/>
  <c r="W6993" i="1"/>
  <c r="W6989" i="1"/>
  <c r="W6985" i="1"/>
  <c r="W6981" i="1"/>
  <c r="W6977" i="1"/>
  <c r="W6973" i="1"/>
  <c r="W6961" i="1"/>
  <c r="W6957" i="1"/>
  <c r="W6953" i="1"/>
  <c r="W6949" i="1"/>
  <c r="W6945" i="1"/>
  <c r="W6941" i="1"/>
  <c r="W6937" i="1"/>
  <c r="W6933" i="1"/>
  <c r="W6921" i="1"/>
  <c r="W6917" i="1"/>
  <c r="W6913" i="1"/>
  <c r="W6909" i="1"/>
  <c r="W6905" i="1"/>
  <c r="W6901" i="1"/>
  <c r="W6897" i="1"/>
  <c r="W6893" i="1"/>
  <c r="W6885" i="1"/>
  <c r="W6881" i="1"/>
  <c r="W6877" i="1"/>
  <c r="W6869" i="1"/>
  <c r="W6865" i="1"/>
  <c r="W6861" i="1"/>
  <c r="W6853" i="1"/>
  <c r="W6849" i="1"/>
  <c r="W6845" i="1"/>
  <c r="W6837" i="1"/>
  <c r="W6833" i="1"/>
  <c r="W6829" i="1"/>
  <c r="W6821" i="1"/>
  <c r="W6817" i="1"/>
  <c r="W6813" i="1"/>
  <c r="W6809" i="1"/>
  <c r="W6805" i="1"/>
  <c r="W6801" i="1"/>
  <c r="W6797" i="1"/>
  <c r="W6789" i="1"/>
  <c r="W6785" i="1"/>
  <c r="W6781" i="1"/>
  <c r="W6777" i="1"/>
  <c r="W6773" i="1"/>
  <c r="W6769" i="1"/>
  <c r="W6765" i="1"/>
  <c r="W6761" i="1"/>
  <c r="W6757" i="1"/>
  <c r="W6753" i="1"/>
  <c r="W6749" i="1"/>
  <c r="W6745" i="1"/>
  <c r="W6741" i="1"/>
  <c r="W6737" i="1"/>
  <c r="W6733" i="1"/>
  <c r="W6729" i="1"/>
  <c r="W6725" i="1"/>
  <c r="W6721" i="1"/>
  <c r="W6717" i="1"/>
  <c r="W6713" i="1"/>
  <c r="W6709" i="1"/>
  <c r="W6705" i="1"/>
  <c r="W6701" i="1"/>
  <c r="W6697" i="1"/>
  <c r="W6693" i="1"/>
  <c r="W6689" i="1"/>
  <c r="W6685" i="1"/>
  <c r="W6681" i="1"/>
  <c r="W6677" i="1"/>
  <c r="W6673" i="1"/>
  <c r="W6669" i="1"/>
  <c r="W6665" i="1"/>
  <c r="W6661" i="1"/>
  <c r="W6657" i="1"/>
  <c r="W6653" i="1"/>
  <c r="W6649" i="1"/>
  <c r="W6645" i="1"/>
  <c r="W6641" i="1"/>
  <c r="W6637" i="1"/>
  <c r="W6633" i="1"/>
  <c r="W6629" i="1"/>
  <c r="W6625" i="1"/>
  <c r="W6621" i="1"/>
  <c r="W6617" i="1"/>
  <c r="W6613" i="1"/>
  <c r="W6609" i="1"/>
  <c r="W6605" i="1"/>
  <c r="W6601" i="1"/>
  <c r="W6597" i="1"/>
  <c r="W6593" i="1"/>
  <c r="W6589" i="1"/>
  <c r="W6585" i="1"/>
  <c r="W6581" i="1"/>
  <c r="W6577" i="1"/>
  <c r="W6573" i="1"/>
  <c r="W6569" i="1"/>
  <c r="W6565" i="1"/>
  <c r="W6561" i="1"/>
  <c r="W6557" i="1"/>
  <c r="W6553" i="1"/>
  <c r="W6549" i="1"/>
  <c r="W6545" i="1"/>
  <c r="W6541" i="1"/>
  <c r="W6537" i="1"/>
  <c r="W6533" i="1"/>
  <c r="W6529" i="1"/>
  <c r="W6525" i="1"/>
  <c r="W6521" i="1"/>
  <c r="W6517" i="1"/>
  <c r="W6513" i="1"/>
  <c r="W6509" i="1"/>
  <c r="W6505" i="1"/>
  <c r="W6501" i="1"/>
  <c r="W6497" i="1"/>
  <c r="W6493" i="1"/>
  <c r="W6489" i="1"/>
  <c r="W6485" i="1"/>
  <c r="W6481" i="1"/>
  <c r="W6477" i="1"/>
  <c r="W6473" i="1"/>
  <c r="W6469" i="1"/>
  <c r="W6465" i="1"/>
  <c r="W6461" i="1"/>
  <c r="W6457" i="1"/>
  <c r="W6453" i="1"/>
  <c r="W6449" i="1"/>
  <c r="W6445" i="1"/>
  <c r="W6441" i="1"/>
  <c r="W6437" i="1"/>
  <c r="W6433" i="1"/>
  <c r="W6429" i="1"/>
  <c r="W6425" i="1"/>
  <c r="W6421" i="1"/>
  <c r="W6417" i="1"/>
  <c r="W6413" i="1"/>
  <c r="W6409" i="1"/>
  <c r="W6405" i="1"/>
  <c r="W6393" i="1"/>
  <c r="W6389" i="1"/>
  <c r="W6385" i="1"/>
  <c r="W6381" i="1"/>
  <c r="W6377" i="1"/>
  <c r="W6373" i="1"/>
  <c r="W6369" i="1"/>
  <c r="W6365" i="1"/>
  <c r="W6361" i="1"/>
  <c r="W6357" i="1"/>
  <c r="W6353" i="1"/>
  <c r="W6349" i="1"/>
  <c r="W6345" i="1"/>
  <c r="W6341" i="1"/>
  <c r="W6333" i="1"/>
  <c r="W6329" i="1"/>
  <c r="W6325" i="1"/>
  <c r="W6321" i="1"/>
  <c r="W6317" i="1"/>
  <c r="W6313" i="1"/>
  <c r="W6309" i="1"/>
  <c r="W6305" i="1"/>
  <c r="W6301" i="1"/>
  <c r="W6297" i="1"/>
  <c r="W6293" i="1"/>
  <c r="W6289" i="1"/>
  <c r="W6285" i="1"/>
  <c r="W6281" i="1"/>
  <c r="W6277" i="1"/>
  <c r="W6265" i="1"/>
  <c r="W6261" i="1"/>
  <c r="W6257" i="1"/>
  <c r="W6253" i="1"/>
  <c r="W6249" i="1"/>
  <c r="W6245" i="1"/>
  <c r="W6241" i="1"/>
  <c r="W6237" i="1"/>
  <c r="W6233" i="1"/>
  <c r="W6229" i="1"/>
  <c r="W6225" i="1"/>
  <c r="W6221" i="1"/>
  <c r="W6217" i="1"/>
  <c r="W6213" i="1"/>
  <c r="W6201" i="1"/>
  <c r="W6197" i="1"/>
  <c r="W6193" i="1"/>
  <c r="W6189" i="1"/>
  <c r="W6185" i="1"/>
  <c r="W6181" i="1"/>
  <c r="W6177" i="1"/>
  <c r="W6173" i="1"/>
  <c r="W6169" i="1"/>
  <c r="W6165" i="1"/>
  <c r="W6161" i="1"/>
  <c r="W6157" i="1"/>
  <c r="W6153" i="1"/>
  <c r="W6149" i="1"/>
  <c r="W6145" i="1"/>
  <c r="W6141" i="1"/>
  <c r="W6137" i="1"/>
  <c r="W6133" i="1"/>
  <c r="W6129" i="1"/>
  <c r="W6125" i="1"/>
  <c r="W6121" i="1"/>
  <c r="W6117" i="1"/>
  <c r="W6113" i="1"/>
  <c r="W6109" i="1"/>
  <c r="W6105" i="1"/>
  <c r="W6101" i="1"/>
  <c r="W6097" i="1"/>
  <c r="W6093" i="1"/>
  <c r="W6089" i="1"/>
  <c r="W6085" i="1"/>
  <c r="W6081" i="1"/>
  <c r="W6077" i="1"/>
  <c r="W6073" i="1"/>
  <c r="W6069" i="1"/>
  <c r="W6065" i="1"/>
  <c r="W6061" i="1"/>
  <c r="W6057" i="1"/>
  <c r="W6053" i="1"/>
  <c r="W6049" i="1"/>
  <c r="W6045" i="1"/>
  <c r="W6041" i="1"/>
  <c r="W6037" i="1"/>
  <c r="W6033" i="1"/>
  <c r="W6029" i="1"/>
  <c r="W6025" i="1"/>
  <c r="W6021" i="1"/>
  <c r="W6017" i="1"/>
  <c r="W6013" i="1"/>
  <c r="W6009" i="1"/>
  <c r="W6005" i="1"/>
  <c r="W6001" i="1"/>
  <c r="W5997" i="1"/>
  <c r="W5993" i="1"/>
  <c r="W5989" i="1"/>
  <c r="W5985" i="1"/>
  <c r="W5981" i="1"/>
  <c r="W5977" i="1"/>
  <c r="W5973" i="1"/>
  <c r="W5969" i="1"/>
  <c r="W5965" i="1"/>
  <c r="W5961" i="1"/>
  <c r="W5957" i="1"/>
  <c r="W5953" i="1"/>
  <c r="W5949" i="1"/>
  <c r="W5945" i="1"/>
  <c r="W5941" i="1"/>
  <c r="W5937" i="1"/>
  <c r="W5933" i="1"/>
  <c r="W5929" i="1"/>
  <c r="W5925" i="1"/>
  <c r="W5921" i="1"/>
  <c r="W5917" i="1"/>
  <c r="W5913" i="1"/>
  <c r="W5909" i="1"/>
  <c r="W5905" i="1"/>
  <c r="W5901" i="1"/>
  <c r="W5897" i="1"/>
  <c r="W5893" i="1"/>
  <c r="W5889" i="1"/>
  <c r="W5885" i="1"/>
  <c r="W5881" i="1"/>
  <c r="W5877" i="1"/>
  <c r="W5873" i="1"/>
  <c r="W5869" i="1"/>
  <c r="W5865" i="1"/>
  <c r="W5861" i="1"/>
  <c r="W5857" i="1"/>
  <c r="W5853" i="1"/>
  <c r="W5849" i="1"/>
  <c r="W5845" i="1"/>
  <c r="W5841" i="1"/>
  <c r="W5837" i="1"/>
  <c r="W5833" i="1"/>
  <c r="W5821" i="1"/>
  <c r="W5817" i="1"/>
  <c r="W5813" i="1"/>
  <c r="W5809" i="1"/>
  <c r="W5805" i="1"/>
  <c r="W5801" i="1"/>
  <c r="W5797" i="1"/>
  <c r="W5793" i="1"/>
  <c r="W5789" i="1"/>
  <c r="W5785" i="1"/>
  <c r="W5781" i="1"/>
  <c r="W5777" i="1"/>
  <c r="W5773" i="1"/>
  <c r="W5769" i="1"/>
  <c r="W5757" i="1"/>
  <c r="W5753" i="1"/>
  <c r="W5749" i="1"/>
  <c r="W5745" i="1"/>
  <c r="W5741" i="1"/>
  <c r="W5737" i="1"/>
  <c r="W5733" i="1"/>
  <c r="W5729" i="1"/>
  <c r="W5725" i="1"/>
  <c r="W5721" i="1"/>
  <c r="W5717" i="1"/>
  <c r="W5713" i="1"/>
  <c r="W5709" i="1"/>
  <c r="W5705" i="1"/>
  <c r="W5701" i="1"/>
  <c r="W5693" i="1"/>
  <c r="W5689" i="1"/>
  <c r="W5685" i="1"/>
  <c r="W5681" i="1"/>
  <c r="W5677" i="1"/>
  <c r="W5673" i="1"/>
  <c r="W5669" i="1"/>
  <c r="W5665" i="1"/>
  <c r="W5661" i="1"/>
  <c r="W5657" i="1"/>
  <c r="W5653" i="1"/>
  <c r="W5649" i="1"/>
  <c r="W5645" i="1"/>
  <c r="W5641" i="1"/>
  <c r="W5629" i="1"/>
  <c r="W5625" i="1"/>
  <c r="W5621" i="1"/>
  <c r="W5617" i="1"/>
  <c r="W5613" i="1"/>
  <c r="W5609" i="1"/>
  <c r="W5605" i="1"/>
  <c r="W5601" i="1"/>
  <c r="W5597" i="1"/>
  <c r="W5593" i="1"/>
  <c r="W5589" i="1"/>
  <c r="W5585" i="1"/>
  <c r="W5581" i="1"/>
  <c r="W5577" i="1"/>
  <c r="W5565" i="1"/>
  <c r="W5561" i="1"/>
  <c r="W5557" i="1"/>
  <c r="W5553" i="1"/>
  <c r="W5549" i="1"/>
  <c r="W5545" i="1"/>
  <c r="W5541" i="1"/>
  <c r="W5537" i="1"/>
  <c r="W5533" i="1"/>
  <c r="W5529" i="1"/>
  <c r="W5525" i="1"/>
  <c r="W5521" i="1"/>
  <c r="W5517" i="1"/>
  <c r="W5513" i="1"/>
  <c r="W5509" i="1"/>
  <c r="W5505" i="1"/>
  <c r="W5501" i="1"/>
  <c r="W5497" i="1"/>
  <c r="W5493" i="1"/>
  <c r="W5489" i="1"/>
  <c r="W5485" i="1"/>
  <c r="W5481" i="1"/>
  <c r="W5477" i="1"/>
  <c r="W5473" i="1"/>
  <c r="W5469" i="1"/>
  <c r="W5465" i="1"/>
  <c r="W5461" i="1"/>
  <c r="W5457" i="1"/>
  <c r="W5453" i="1"/>
  <c r="W5449" i="1"/>
  <c r="W5445" i="1"/>
  <c r="W5441" i="1"/>
  <c r="W5437" i="1"/>
  <c r="W5433" i="1"/>
  <c r="W5429" i="1"/>
  <c r="W5425" i="1"/>
  <c r="W5421" i="1"/>
  <c r="W5417" i="1"/>
  <c r="W5413" i="1"/>
  <c r="W5409" i="1"/>
  <c r="W5405" i="1"/>
  <c r="W5401" i="1"/>
  <c r="W5397" i="1"/>
  <c r="W5393" i="1"/>
  <c r="W5389" i="1"/>
  <c r="W5385" i="1"/>
  <c r="W5381" i="1"/>
  <c r="W5377" i="1"/>
  <c r="W5373" i="1"/>
  <c r="W5369" i="1"/>
  <c r="W5365" i="1"/>
  <c r="W5361" i="1"/>
  <c r="W5357" i="1"/>
  <c r="W5353" i="1"/>
  <c r="W5349" i="1"/>
  <c r="W5345" i="1"/>
  <c r="W5341" i="1"/>
  <c r="W5337" i="1"/>
  <c r="W5333" i="1"/>
  <c r="W5329" i="1"/>
  <c r="W5325" i="1"/>
  <c r="W5321" i="1"/>
  <c r="W5317" i="1"/>
  <c r="W5313" i="1"/>
  <c r="W5309" i="1"/>
  <c r="W5305" i="1"/>
  <c r="W5301" i="1"/>
  <c r="W5297" i="1"/>
  <c r="W5293" i="1"/>
  <c r="W5289" i="1"/>
  <c r="W5285" i="1"/>
  <c r="W5281" i="1"/>
  <c r="W5277" i="1"/>
  <c r="W5273" i="1"/>
  <c r="W5269" i="1"/>
  <c r="W5265" i="1"/>
  <c r="W5261" i="1"/>
  <c r="W5257" i="1"/>
  <c r="W5253" i="1"/>
  <c r="W5249" i="1"/>
  <c r="W5245" i="1"/>
  <c r="W5241" i="1"/>
  <c r="W5237" i="1"/>
  <c r="W5233" i="1"/>
  <c r="W5229" i="1"/>
  <c r="W5225" i="1"/>
  <c r="W5221" i="1"/>
  <c r="W5217" i="1"/>
  <c r="W5213" i="1"/>
  <c r="W5209" i="1"/>
  <c r="W5205" i="1"/>
  <c r="W5201" i="1"/>
  <c r="W5197" i="1"/>
  <c r="W5193" i="1"/>
  <c r="W5189" i="1"/>
  <c r="W5185" i="1"/>
  <c r="W5181" i="1"/>
  <c r="W5177" i="1"/>
  <c r="W5173" i="1"/>
  <c r="W5169" i="1"/>
  <c r="W5165" i="1"/>
  <c r="W5161" i="1"/>
  <c r="W5157" i="1"/>
  <c r="W5153" i="1"/>
  <c r="W5149" i="1"/>
  <c r="W5145" i="1"/>
  <c r="W5141" i="1"/>
  <c r="W5137" i="1"/>
  <c r="W5133" i="1"/>
  <c r="W5129" i="1"/>
  <c r="W5125" i="1"/>
  <c r="W5121" i="1"/>
  <c r="W5117" i="1"/>
  <c r="W5113" i="1"/>
  <c r="W5109" i="1"/>
  <c r="W5105" i="1"/>
  <c r="W5101" i="1"/>
  <c r="W5097" i="1"/>
  <c r="W5093" i="1"/>
  <c r="W5089" i="1"/>
  <c r="W5085" i="1"/>
  <c r="W5081" i="1"/>
  <c r="W5077" i="1"/>
  <c r="W5073" i="1"/>
  <c r="W5069" i="1"/>
  <c r="W5065" i="1"/>
  <c r="W5061" i="1"/>
  <c r="W5057" i="1"/>
  <c r="W5053" i="1"/>
  <c r="W5049" i="1"/>
  <c r="W5045" i="1"/>
  <c r="W5041" i="1"/>
  <c r="W5037" i="1"/>
  <c r="W5033" i="1"/>
  <c r="W5029" i="1"/>
  <c r="W5025" i="1"/>
  <c r="W5021" i="1"/>
  <c r="W5017" i="1"/>
  <c r="W5013" i="1"/>
  <c r="W5009" i="1"/>
  <c r="W5005" i="1"/>
  <c r="W5001" i="1"/>
  <c r="W4997" i="1"/>
  <c r="W4993" i="1"/>
  <c r="W4989" i="1"/>
  <c r="W4985" i="1"/>
  <c r="W4981" i="1"/>
  <c r="W4977" i="1"/>
  <c r="W4973" i="1"/>
  <c r="W4969" i="1"/>
  <c r="W4965" i="1"/>
  <c r="W4961" i="1"/>
  <c r="W4957" i="1"/>
  <c r="W4953" i="1"/>
  <c r="W4949" i="1"/>
  <c r="W4945" i="1"/>
  <c r="W4941" i="1"/>
  <c r="W4937" i="1"/>
  <c r="W4933" i="1"/>
  <c r="W4929" i="1"/>
  <c r="W4921" i="1"/>
  <c r="W4917" i="1"/>
  <c r="W4913" i="1"/>
  <c r="W4909" i="1"/>
  <c r="W4905" i="1"/>
  <c r="W4901" i="1"/>
  <c r="W4897" i="1"/>
  <c r="W4889" i="1"/>
  <c r="W4885" i="1"/>
  <c r="W4881" i="1"/>
  <c r="W4877" i="1"/>
  <c r="W4873" i="1"/>
  <c r="W4869" i="1"/>
  <c r="W4865" i="1"/>
  <c r="W4857" i="1"/>
  <c r="W4853" i="1"/>
  <c r="W4849" i="1"/>
  <c r="W4845" i="1"/>
  <c r="W4841" i="1"/>
  <c r="W4837" i="1"/>
  <c r="W4833" i="1"/>
  <c r="W4825" i="1"/>
  <c r="W4821" i="1"/>
  <c r="W4817" i="1"/>
  <c r="W4813" i="1"/>
  <c r="W4809" i="1"/>
  <c r="W4805" i="1"/>
  <c r="W4801" i="1"/>
  <c r="W4793" i="1"/>
  <c r="W4789" i="1"/>
  <c r="W4785" i="1"/>
  <c r="W4781" i="1"/>
  <c r="W4777" i="1"/>
  <c r="W4773" i="1"/>
  <c r="W4769" i="1"/>
  <c r="W4761" i="1"/>
  <c r="W4757" i="1"/>
  <c r="W4753" i="1"/>
  <c r="W4749" i="1"/>
  <c r="W4745" i="1"/>
  <c r="W4741" i="1"/>
  <c r="W4737" i="1"/>
  <c r="W4729" i="1"/>
  <c r="W4725" i="1"/>
  <c r="W4721" i="1"/>
  <c r="W4717" i="1"/>
  <c r="W4713" i="1"/>
  <c r="W4709" i="1"/>
  <c r="W4705" i="1"/>
  <c r="W4701" i="1"/>
  <c r="W4697" i="1"/>
  <c r="W4693" i="1"/>
  <c r="W4689" i="1"/>
  <c r="W4685" i="1"/>
  <c r="W4681" i="1"/>
  <c r="W4677" i="1"/>
  <c r="W4673" i="1"/>
  <c r="W4669" i="1"/>
  <c r="W4665" i="1"/>
  <c r="W4661" i="1"/>
  <c r="W4657" i="1"/>
  <c r="W4653" i="1"/>
  <c r="W4649" i="1"/>
  <c r="W4645" i="1"/>
  <c r="W4641" i="1"/>
  <c r="W4637" i="1"/>
  <c r="W4633" i="1"/>
  <c r="W4629" i="1"/>
  <c r="W4625" i="1"/>
  <c r="W4621" i="1"/>
  <c r="W4617" i="1"/>
  <c r="W4613" i="1"/>
  <c r="W4609" i="1"/>
  <c r="W4605" i="1"/>
  <c r="W4601" i="1"/>
  <c r="W4597" i="1"/>
  <c r="W4593" i="1"/>
  <c r="W4589" i="1"/>
  <c r="W4585" i="1"/>
  <c r="W4581" i="1"/>
  <c r="W4577" i="1"/>
  <c r="W4569" i="1"/>
  <c r="W4565" i="1"/>
  <c r="W4561" i="1"/>
  <c r="W4557" i="1"/>
  <c r="W4553" i="1"/>
  <c r="W4549" i="1"/>
  <c r="W4545" i="1"/>
  <c r="W4541" i="1"/>
  <c r="W4537" i="1"/>
  <c r="W4533" i="1"/>
  <c r="W4529" i="1"/>
  <c r="W4525" i="1"/>
  <c r="W4521" i="1"/>
  <c r="W4517" i="1"/>
  <c r="W4513" i="1"/>
  <c r="W4505" i="1"/>
  <c r="W4501" i="1"/>
  <c r="W4497" i="1"/>
  <c r="W4493" i="1"/>
  <c r="W4489" i="1"/>
  <c r="W4485" i="1"/>
  <c r="W4481" i="1"/>
  <c r="W4477" i="1"/>
  <c r="W4473" i="1"/>
  <c r="W4469" i="1"/>
  <c r="W4465" i="1"/>
  <c r="W4461" i="1"/>
  <c r="W4457" i="1"/>
  <c r="W4453" i="1"/>
  <c r="W4449" i="1"/>
  <c r="W4437" i="1"/>
  <c r="W4433" i="1"/>
  <c r="W4429" i="1"/>
  <c r="W4425" i="1"/>
  <c r="W4421" i="1"/>
  <c r="W4417" i="1"/>
  <c r="W4413" i="1"/>
  <c r="W4409" i="1"/>
  <c r="W4405" i="1"/>
  <c r="W4401" i="1"/>
  <c r="W4397" i="1"/>
  <c r="W4393" i="1"/>
  <c r="W4389" i="1"/>
  <c r="W4385" i="1"/>
  <c r="W4381" i="1"/>
  <c r="W4377" i="1"/>
  <c r="W4373" i="1"/>
  <c r="W4369" i="1"/>
  <c r="W4365" i="1"/>
  <c r="W4361" i="1"/>
  <c r="W4357" i="1"/>
  <c r="W4353" i="1"/>
  <c r="W4349" i="1"/>
  <c r="W4345" i="1"/>
  <c r="W4341" i="1"/>
  <c r="W4337" i="1"/>
  <c r="W4333" i="1"/>
  <c r="W4329" i="1"/>
  <c r="W4325" i="1"/>
  <c r="W4321" i="1"/>
  <c r="W4317" i="1"/>
  <c r="W4313" i="1"/>
  <c r="W4309" i="1"/>
  <c r="W4305" i="1"/>
  <c r="W4301" i="1"/>
  <c r="W4297" i="1"/>
  <c r="W4293" i="1"/>
  <c r="W4289" i="1"/>
  <c r="W4285" i="1"/>
  <c r="W4281" i="1"/>
  <c r="W4277" i="1"/>
  <c r="W4273" i="1"/>
  <c r="W4269" i="1"/>
  <c r="W4265" i="1"/>
  <c r="W4261" i="1"/>
  <c r="W4257" i="1"/>
  <c r="W4253" i="1"/>
  <c r="W4249" i="1"/>
  <c r="W4245" i="1"/>
  <c r="W4241" i="1"/>
  <c r="W4237" i="1"/>
  <c r="W4233" i="1"/>
  <c r="W4229" i="1"/>
  <c r="W4225" i="1"/>
  <c r="W4221" i="1"/>
  <c r="W4217" i="1"/>
  <c r="W4213" i="1"/>
  <c r="W4209" i="1"/>
  <c r="W4205" i="1"/>
  <c r="W4201" i="1"/>
  <c r="W4197" i="1"/>
  <c r="W4193" i="1"/>
  <c r="W4189" i="1"/>
  <c r="W4185" i="1"/>
  <c r="W4181" i="1"/>
  <c r="W4177" i="1"/>
  <c r="W4173" i="1"/>
  <c r="W4169" i="1"/>
  <c r="W4165" i="1"/>
  <c r="W4161" i="1"/>
  <c r="W4157" i="1"/>
  <c r="W4153" i="1"/>
  <c r="W4149" i="1"/>
  <c r="W4145" i="1"/>
  <c r="W4141" i="1"/>
  <c r="W4137" i="1"/>
  <c r="W4133" i="1"/>
  <c r="W4129" i="1"/>
  <c r="W4125" i="1"/>
  <c r="W4121" i="1"/>
  <c r="W4117" i="1"/>
  <c r="W4113" i="1"/>
  <c r="W4109" i="1"/>
  <c r="W4105" i="1"/>
  <c r="W4101" i="1"/>
  <c r="W4097" i="1"/>
  <c r="W4093" i="1"/>
  <c r="W4089" i="1"/>
  <c r="W4085" i="1"/>
  <c r="W4081" i="1"/>
  <c r="W4077" i="1"/>
  <c r="W4073" i="1"/>
  <c r="W4069" i="1"/>
  <c r="W4065" i="1"/>
  <c r="W4061" i="1"/>
  <c r="W4057" i="1"/>
  <c r="W4053" i="1"/>
  <c r="W4049" i="1"/>
  <c r="W4045" i="1"/>
  <c r="W4041" i="1"/>
  <c r="W4037" i="1"/>
  <c r="W4033" i="1"/>
  <c r="W4029" i="1"/>
  <c r="W4025" i="1"/>
  <c r="W4021" i="1"/>
  <c r="W4017" i="1"/>
  <c r="W4013" i="1"/>
  <c r="W4009" i="1"/>
  <c r="W4005" i="1"/>
  <c r="W4001" i="1"/>
  <c r="W3997" i="1"/>
  <c r="W3993" i="1"/>
  <c r="W3989" i="1"/>
  <c r="W3985" i="1"/>
  <c r="W3981" i="1"/>
  <c r="W3977" i="1"/>
  <c r="W3973" i="1"/>
  <c r="W3969" i="1"/>
  <c r="W3965" i="1"/>
  <c r="W3961" i="1"/>
  <c r="W3957" i="1"/>
  <c r="W3953" i="1"/>
  <c r="W3949" i="1"/>
  <c r="W3945" i="1"/>
  <c r="W3941" i="1"/>
  <c r="W3937" i="1"/>
  <c r="W3933" i="1"/>
  <c r="W3929" i="1"/>
  <c r="W3925" i="1"/>
  <c r="W3921" i="1"/>
  <c r="W3917" i="1"/>
  <c r="W3913" i="1"/>
  <c r="W3909" i="1"/>
  <c r="W3905" i="1"/>
  <c r="W3901" i="1"/>
  <c r="W3897" i="1"/>
  <c r="W3893" i="1"/>
  <c r="W3889" i="1"/>
  <c r="W3885" i="1"/>
  <c r="W3881" i="1"/>
  <c r="W3877" i="1"/>
  <c r="W3873" i="1"/>
  <c r="W3869" i="1"/>
  <c r="W3865" i="1"/>
  <c r="W3861" i="1"/>
  <c r="W3857" i="1"/>
  <c r="W3853" i="1"/>
  <c r="W3849" i="1"/>
  <c r="W3845" i="1"/>
  <c r="W3841" i="1"/>
  <c r="W3837" i="1"/>
  <c r="W3833" i="1"/>
  <c r="W3829" i="1"/>
  <c r="W3825" i="1"/>
  <c r="W3821" i="1"/>
  <c r="W3817" i="1"/>
  <c r="W3813" i="1"/>
  <c r="W3809" i="1"/>
  <c r="W3805" i="1"/>
  <c r="W3801" i="1"/>
  <c r="W3797" i="1"/>
  <c r="W3793" i="1"/>
  <c r="W3789" i="1"/>
  <c r="W3785" i="1"/>
  <c r="W3781" i="1"/>
  <c r="W3777" i="1"/>
  <c r="W3773" i="1"/>
  <c r="W3769" i="1"/>
  <c r="W3765" i="1"/>
  <c r="W3761" i="1"/>
  <c r="W3757" i="1"/>
  <c r="W3753" i="1"/>
  <c r="W3749" i="1"/>
  <c r="W3745" i="1"/>
  <c r="W3741" i="1"/>
  <c r="W3737" i="1"/>
  <c r="W3733" i="1"/>
  <c r="W3729" i="1"/>
  <c r="W3725" i="1"/>
  <c r="W3721" i="1"/>
  <c r="W3717" i="1"/>
  <c r="W3713" i="1"/>
  <c r="W3709" i="1"/>
  <c r="W3705" i="1"/>
  <c r="W3701" i="1"/>
  <c r="W3697" i="1"/>
  <c r="W3693" i="1"/>
  <c r="W3689" i="1"/>
  <c r="W3685" i="1"/>
  <c r="W3681" i="1"/>
  <c r="W3677" i="1"/>
  <c r="W3673" i="1"/>
  <c r="W3669" i="1"/>
  <c r="W3665" i="1"/>
  <c r="W3661" i="1"/>
  <c r="W3657" i="1"/>
  <c r="W3653" i="1"/>
  <c r="W3649" i="1"/>
  <c r="W3645" i="1"/>
  <c r="W3641" i="1"/>
  <c r="W3637" i="1"/>
  <c r="W3633" i="1"/>
  <c r="W3629" i="1"/>
  <c r="W3625" i="1"/>
  <c r="W3621" i="1"/>
  <c r="W3617" i="1"/>
  <c r="W3613" i="1"/>
  <c r="W3609" i="1"/>
  <c r="W3605" i="1"/>
  <c r="W3601" i="1"/>
  <c r="W3597" i="1"/>
  <c r="W3593" i="1"/>
  <c r="W3589" i="1"/>
  <c r="W3585" i="1"/>
  <c r="W3581" i="1"/>
  <c r="W3577" i="1"/>
  <c r="W3573" i="1"/>
  <c r="W3569" i="1"/>
  <c r="W3565" i="1"/>
  <c r="W3561" i="1"/>
  <c r="W3557" i="1"/>
  <c r="W3553" i="1"/>
  <c r="W3549" i="1"/>
  <c r="W3545" i="1"/>
  <c r="W3541" i="1"/>
  <c r="W3537" i="1"/>
  <c r="W3533" i="1"/>
  <c r="W3529" i="1"/>
  <c r="W3525" i="1"/>
  <c r="W3521" i="1"/>
  <c r="W3517" i="1"/>
  <c r="W3513" i="1"/>
  <c r="W3509" i="1"/>
  <c r="W3505" i="1"/>
  <c r="W3501" i="1"/>
  <c r="W3497" i="1"/>
  <c r="W3493" i="1"/>
  <c r="W3489" i="1"/>
  <c r="W3485" i="1"/>
  <c r="W3481" i="1"/>
  <c r="W3477" i="1"/>
  <c r="W3473" i="1"/>
  <c r="W3469" i="1"/>
  <c r="W3465" i="1"/>
  <c r="W3461" i="1"/>
  <c r="W3457" i="1"/>
  <c r="W3453" i="1"/>
  <c r="W3449" i="1"/>
  <c r="W3445" i="1"/>
  <c r="W3441" i="1"/>
  <c r="W3437" i="1"/>
  <c r="W3433" i="1"/>
  <c r="W3429" i="1"/>
  <c r="W3425" i="1"/>
  <c r="W3421" i="1"/>
  <c r="W3417" i="1"/>
  <c r="W3413" i="1"/>
  <c r="W3409" i="1"/>
  <c r="W3405" i="1"/>
  <c r="W3401" i="1"/>
  <c r="W3397" i="1"/>
  <c r="W3393" i="1"/>
  <c r="W3389" i="1"/>
  <c r="W3385" i="1"/>
  <c r="W3381" i="1"/>
  <c r="W3377" i="1"/>
  <c r="W3373" i="1"/>
  <c r="W3369" i="1"/>
  <c r="W3365" i="1"/>
  <c r="W3361" i="1"/>
  <c r="W3357" i="1"/>
  <c r="W3353" i="1"/>
  <c r="W3349" i="1"/>
  <c r="W3345" i="1"/>
  <c r="W3341" i="1"/>
  <c r="W3337" i="1"/>
  <c r="W3333" i="1"/>
  <c r="W3329" i="1"/>
  <c r="W3325" i="1"/>
  <c r="W3321" i="1"/>
  <c r="W3317" i="1"/>
  <c r="W3313" i="1"/>
  <c r="W3309" i="1"/>
  <c r="W3305" i="1"/>
  <c r="W3301" i="1"/>
  <c r="W3297" i="1"/>
  <c r="W3293" i="1"/>
  <c r="W3289" i="1"/>
  <c r="W3285" i="1"/>
  <c r="W3281" i="1"/>
  <c r="W3277" i="1"/>
  <c r="W3273" i="1"/>
  <c r="W3269" i="1"/>
  <c r="W3265" i="1"/>
  <c r="W3261" i="1"/>
  <c r="W3257" i="1"/>
  <c r="W3253" i="1"/>
  <c r="W3249" i="1"/>
  <c r="W3245" i="1"/>
  <c r="W3241" i="1"/>
  <c r="W3237" i="1"/>
  <c r="W3233" i="1"/>
  <c r="W3229" i="1"/>
  <c r="W3225" i="1"/>
  <c r="W3221" i="1"/>
  <c r="W3217" i="1"/>
  <c r="W3213" i="1"/>
  <c r="W3209" i="1"/>
  <c r="W3205" i="1"/>
  <c r="W3201" i="1"/>
  <c r="W3197" i="1"/>
  <c r="W3193" i="1"/>
  <c r="W3189" i="1"/>
  <c r="W3185" i="1"/>
  <c r="W3181" i="1"/>
  <c r="W3177" i="1"/>
  <c r="W3173" i="1"/>
  <c r="W3169" i="1"/>
  <c r="W3165" i="1"/>
  <c r="W3161" i="1"/>
  <c r="W3157" i="1"/>
  <c r="W3153" i="1"/>
  <c r="W3149" i="1"/>
  <c r="W3145" i="1"/>
  <c r="W3141" i="1"/>
  <c r="W3137" i="1"/>
  <c r="W3133" i="1"/>
  <c r="W3129" i="1"/>
  <c r="W3125" i="1"/>
  <c r="W3121" i="1"/>
  <c r="W3117" i="1"/>
  <c r="W3113" i="1"/>
  <c r="W3109" i="1"/>
  <c r="W3105" i="1"/>
  <c r="W3101" i="1"/>
  <c r="W3097" i="1"/>
  <c r="W3093" i="1"/>
  <c r="W3089" i="1"/>
  <c r="W3085" i="1"/>
  <c r="W3081" i="1"/>
  <c r="W3077" i="1"/>
  <c r="W3073" i="1"/>
  <c r="W3069" i="1"/>
  <c r="W3065" i="1"/>
  <c r="W3061" i="1"/>
  <c r="W3057" i="1"/>
  <c r="W3053" i="1"/>
  <c r="W3049" i="1"/>
  <c r="W3045" i="1"/>
  <c r="W3041" i="1"/>
  <c r="W3037" i="1"/>
  <c r="W3033" i="1"/>
  <c r="W3029" i="1"/>
  <c r="W3025" i="1"/>
  <c r="W3021" i="1"/>
  <c r="W3017" i="1"/>
  <c r="W3013" i="1"/>
  <c r="W3009" i="1"/>
  <c r="W3005" i="1"/>
  <c r="W3001" i="1"/>
  <c r="W2997" i="1"/>
  <c r="W2993" i="1"/>
  <c r="W2989" i="1"/>
  <c r="W2985" i="1"/>
  <c r="W2981" i="1"/>
  <c r="W2977" i="1"/>
  <c r="W2973" i="1"/>
  <c r="W2969" i="1"/>
  <c r="W2965" i="1"/>
  <c r="W2961" i="1"/>
  <c r="W2957" i="1"/>
  <c r="W2953" i="1"/>
  <c r="W2949" i="1"/>
  <c r="W2945" i="1"/>
  <c r="W2941" i="1"/>
  <c r="W2937" i="1"/>
  <c r="W2933" i="1"/>
  <c r="W2929" i="1"/>
  <c r="W2925" i="1"/>
  <c r="W2921" i="1"/>
  <c r="W2917" i="1"/>
  <c r="W2913" i="1"/>
  <c r="W2909" i="1"/>
  <c r="W2905" i="1"/>
  <c r="W2901" i="1"/>
  <c r="W2897" i="1"/>
  <c r="W2893" i="1"/>
  <c r="W2889" i="1"/>
  <c r="W2885" i="1"/>
  <c r="W2881" i="1"/>
  <c r="W2877" i="1"/>
  <c r="W2873" i="1"/>
  <c r="W2869" i="1"/>
  <c r="W2865" i="1"/>
  <c r="W2861" i="1"/>
  <c r="W2857" i="1"/>
  <c r="W2853" i="1"/>
  <c r="W2849" i="1"/>
  <c r="W2845" i="1"/>
  <c r="W2841" i="1"/>
  <c r="W2837" i="1"/>
  <c r="W2833" i="1"/>
  <c r="W2829" i="1"/>
  <c r="W2825" i="1"/>
  <c r="W2821" i="1"/>
  <c r="W2817" i="1"/>
  <c r="W2813" i="1"/>
  <c r="W2809" i="1"/>
  <c r="W2805" i="1"/>
  <c r="W2801" i="1"/>
  <c r="W2797" i="1"/>
  <c r="W2793" i="1"/>
  <c r="W2789" i="1"/>
  <c r="W2785" i="1"/>
  <c r="W2781" i="1"/>
  <c r="W2777" i="1"/>
  <c r="W2773" i="1"/>
  <c r="W2769" i="1"/>
  <c r="W2765" i="1"/>
  <c r="W2761" i="1"/>
  <c r="W2757" i="1"/>
  <c r="W2753" i="1"/>
  <c r="W2749" i="1"/>
  <c r="W2745" i="1"/>
  <c r="W2741" i="1"/>
  <c r="W2737" i="1"/>
  <c r="W2733" i="1"/>
  <c r="W2729" i="1"/>
  <c r="W2725" i="1"/>
  <c r="W2721" i="1"/>
  <c r="W2717" i="1"/>
  <c r="W2713" i="1"/>
  <c r="W2709" i="1"/>
  <c r="W2705" i="1"/>
  <c r="W2701" i="1"/>
  <c r="W2697" i="1"/>
  <c r="W2693" i="1"/>
  <c r="W2689" i="1"/>
  <c r="W2685" i="1"/>
  <c r="W2681" i="1"/>
  <c r="W2677" i="1"/>
  <c r="W2673" i="1"/>
  <c r="W2669" i="1"/>
  <c r="W2665" i="1"/>
  <c r="W2661" i="1"/>
  <c r="W2657" i="1"/>
  <c r="W2653" i="1"/>
  <c r="W2649" i="1"/>
  <c r="W2645" i="1"/>
  <c r="W2641" i="1"/>
  <c r="W2637" i="1"/>
  <c r="W2633" i="1"/>
  <c r="W2629" i="1"/>
  <c r="W2625" i="1"/>
  <c r="W2621" i="1"/>
  <c r="W2617" i="1"/>
  <c r="W2613" i="1"/>
  <c r="W2609" i="1"/>
  <c r="W2605" i="1"/>
  <c r="W2601" i="1"/>
  <c r="W2597" i="1"/>
  <c r="W2593" i="1"/>
  <c r="W2589" i="1"/>
  <c r="W2585" i="1"/>
  <c r="W2581" i="1"/>
  <c r="W2577" i="1"/>
  <c r="W2573" i="1"/>
  <c r="W2569" i="1"/>
  <c r="W2565" i="1"/>
  <c r="W2561" i="1"/>
  <c r="W2557" i="1"/>
  <c r="W2553" i="1"/>
  <c r="W2549" i="1"/>
  <c r="W2545" i="1"/>
  <c r="W2541" i="1"/>
  <c r="W2537" i="1"/>
  <c r="W2533" i="1"/>
  <c r="W2529" i="1"/>
  <c r="W2525" i="1"/>
  <c r="W2521" i="1"/>
  <c r="W2517" i="1"/>
  <c r="W2513" i="1"/>
  <c r="W2509" i="1"/>
  <c r="W2505" i="1"/>
  <c r="W2501" i="1"/>
  <c r="W2497" i="1"/>
  <c r="W2493" i="1"/>
  <c r="W2489" i="1"/>
  <c r="W2485" i="1"/>
  <c r="W2481" i="1"/>
  <c r="W2477" i="1"/>
  <c r="W2473" i="1"/>
  <c r="W2469" i="1"/>
  <c r="W2465" i="1"/>
  <c r="W2461" i="1"/>
  <c r="W2457" i="1"/>
  <c r="W2453" i="1"/>
  <c r="W2449" i="1"/>
  <c r="W2445" i="1"/>
  <c r="W2441" i="1"/>
  <c r="W2437" i="1"/>
  <c r="W2433" i="1"/>
  <c r="W2429" i="1"/>
  <c r="W2425" i="1"/>
  <c r="W2421" i="1"/>
  <c r="W2417" i="1"/>
  <c r="W2413" i="1"/>
  <c r="W2409" i="1"/>
  <c r="W2405" i="1"/>
  <c r="W2401" i="1"/>
  <c r="W2397" i="1"/>
  <c r="W2393" i="1"/>
  <c r="W2389" i="1"/>
  <c r="W2385" i="1"/>
  <c r="W2381" i="1"/>
  <c r="W2377" i="1"/>
  <c r="W2373" i="1"/>
  <c r="W2369" i="1"/>
  <c r="W2365" i="1"/>
  <c r="W2361" i="1"/>
  <c r="W2357" i="1"/>
  <c r="W2353" i="1"/>
  <c r="W2349" i="1"/>
  <c r="W2345" i="1"/>
  <c r="W2341" i="1"/>
  <c r="W2337" i="1"/>
  <c r="W2333" i="1"/>
  <c r="W2329" i="1"/>
  <c r="W2325" i="1"/>
  <c r="W2321" i="1"/>
  <c r="W2317" i="1"/>
  <c r="W2313" i="1"/>
  <c r="W2309" i="1"/>
  <c r="W2305" i="1"/>
  <c r="W2301" i="1"/>
  <c r="W2297" i="1"/>
  <c r="W2293" i="1"/>
  <c r="W2289" i="1"/>
  <c r="W2285" i="1"/>
  <c r="W2281" i="1"/>
  <c r="W2277" i="1"/>
  <c r="W2273" i="1"/>
  <c r="W2269" i="1"/>
  <c r="W2265" i="1"/>
  <c r="W2261" i="1"/>
  <c r="W2257" i="1"/>
  <c r="W2253" i="1"/>
  <c r="W2249" i="1"/>
  <c r="W2245" i="1"/>
  <c r="W2241" i="1"/>
  <c r="W2237" i="1"/>
  <c r="W2233" i="1"/>
  <c r="W2229" i="1"/>
  <c r="W2225" i="1"/>
  <c r="W2221" i="1"/>
  <c r="W2217" i="1"/>
  <c r="W2213" i="1"/>
  <c r="W2209" i="1"/>
  <c r="W2205" i="1"/>
  <c r="W2201" i="1"/>
  <c r="W2197" i="1"/>
  <c r="W2193" i="1"/>
  <c r="W2189" i="1"/>
  <c r="W2185" i="1"/>
  <c r="W2181" i="1"/>
  <c r="W2177" i="1"/>
  <c r="W2173" i="1"/>
  <c r="W2169" i="1"/>
  <c r="W2165" i="1"/>
  <c r="W2161" i="1"/>
  <c r="W2157" i="1"/>
  <c r="W2153" i="1"/>
  <c r="W2149" i="1"/>
  <c r="W2145" i="1"/>
  <c r="W2141" i="1"/>
  <c r="W2137" i="1"/>
  <c r="W2133" i="1"/>
  <c r="W2129" i="1"/>
  <c r="W2125" i="1"/>
  <c r="W2121" i="1"/>
  <c r="W2117" i="1"/>
  <c r="W2113" i="1"/>
  <c r="W2109" i="1"/>
  <c r="W2105" i="1"/>
  <c r="W2101" i="1"/>
  <c r="W2097" i="1"/>
  <c r="W2093" i="1"/>
  <c r="W2089" i="1"/>
  <c r="W2085" i="1"/>
  <c r="W2081" i="1"/>
  <c r="W2077" i="1"/>
  <c r="W2073" i="1"/>
  <c r="W2069" i="1"/>
  <c r="W2065" i="1"/>
  <c r="W2061" i="1"/>
  <c r="W2057" i="1"/>
  <c r="W2053" i="1"/>
  <c r="W2049" i="1"/>
  <c r="W2045" i="1"/>
  <c r="W2041" i="1"/>
  <c r="W2037" i="1"/>
  <c r="W2033" i="1"/>
  <c r="W2029" i="1"/>
  <c r="W2025" i="1"/>
  <c r="W2021" i="1"/>
  <c r="W2017" i="1"/>
  <c r="W2013" i="1"/>
  <c r="W2009" i="1"/>
  <c r="W2005" i="1"/>
  <c r="W2001" i="1"/>
  <c r="W1997" i="1"/>
  <c r="W1993" i="1"/>
  <c r="W1989" i="1"/>
  <c r="W1985" i="1"/>
  <c r="W1981" i="1"/>
  <c r="W1977" i="1"/>
  <c r="W1973" i="1"/>
  <c r="W1969" i="1"/>
  <c r="W1965" i="1"/>
  <c r="W1961" i="1"/>
  <c r="W1957" i="1"/>
  <c r="W1953" i="1"/>
  <c r="W1949" i="1"/>
  <c r="W1945" i="1"/>
  <c r="W1941" i="1"/>
  <c r="W1937" i="1"/>
  <c r="W1933" i="1"/>
  <c r="W1929" i="1"/>
  <c r="W1925" i="1"/>
  <c r="W1921" i="1"/>
  <c r="W1917" i="1"/>
  <c r="W1913" i="1"/>
  <c r="W1909" i="1"/>
  <c r="W1905" i="1"/>
  <c r="W1901" i="1"/>
  <c r="W1897" i="1"/>
  <c r="W1893" i="1"/>
  <c r="W1889" i="1"/>
  <c r="W1885" i="1"/>
  <c r="W1881" i="1"/>
  <c r="W1877" i="1"/>
  <c r="W1873" i="1"/>
  <c r="W1869" i="1"/>
  <c r="W1865" i="1"/>
  <c r="W1861" i="1"/>
  <c r="W1857" i="1"/>
  <c r="W1853" i="1"/>
  <c r="W1849" i="1"/>
  <c r="W1845" i="1"/>
  <c r="W1841" i="1"/>
  <c r="W1837" i="1"/>
  <c r="W1833" i="1"/>
  <c r="W1829" i="1"/>
  <c r="W1825" i="1"/>
  <c r="W1821" i="1"/>
  <c r="W1817" i="1"/>
  <c r="W1813" i="1"/>
  <c r="W1809" i="1"/>
  <c r="W1805" i="1"/>
  <c r="W1801" i="1"/>
  <c r="W1797" i="1"/>
  <c r="W1793" i="1"/>
  <c r="W1789" i="1"/>
  <c r="W1785" i="1"/>
  <c r="W1781" i="1"/>
  <c r="W1777" i="1"/>
  <c r="W1773" i="1"/>
  <c r="W1769" i="1"/>
  <c r="W1765" i="1"/>
  <c r="W1761" i="1"/>
  <c r="W1757" i="1"/>
  <c r="W1753" i="1"/>
  <c r="W1749" i="1"/>
  <c r="W1745" i="1"/>
  <c r="W1741" i="1"/>
  <c r="W1737" i="1"/>
  <c r="W1733" i="1"/>
  <c r="W1729" i="1"/>
  <c r="W1725" i="1"/>
  <c r="W1721" i="1"/>
  <c r="W1717" i="1"/>
  <c r="W1713" i="1"/>
  <c r="W1709" i="1"/>
  <c r="W1705" i="1"/>
  <c r="W1701" i="1"/>
  <c r="W1697" i="1"/>
  <c r="W1693" i="1"/>
  <c r="W1689" i="1"/>
  <c r="W1685" i="1"/>
  <c r="W1681" i="1"/>
  <c r="W1677" i="1"/>
  <c r="W1673" i="1"/>
  <c r="W1669" i="1"/>
  <c r="W1665" i="1"/>
  <c r="W1661" i="1"/>
  <c r="W1657" i="1"/>
  <c r="W1653" i="1"/>
  <c r="W1649" i="1"/>
  <c r="W1645" i="1"/>
  <c r="W1641" i="1"/>
  <c r="W1637" i="1"/>
  <c r="W1633" i="1"/>
  <c r="W1629" i="1"/>
  <c r="W1625" i="1"/>
  <c r="W1621" i="1"/>
  <c r="W1617" i="1"/>
  <c r="W1613" i="1"/>
  <c r="W1609" i="1"/>
  <c r="W1605" i="1"/>
  <c r="W1601" i="1"/>
  <c r="W1597" i="1"/>
  <c r="W1593" i="1"/>
  <c r="W1589" i="1"/>
  <c r="W1585" i="1"/>
  <c r="W1581" i="1"/>
  <c r="W1577" i="1"/>
  <c r="W1573" i="1"/>
  <c r="W1569" i="1"/>
  <c r="W1565" i="1"/>
  <c r="W1561" i="1"/>
  <c r="W1557" i="1"/>
  <c r="W1553" i="1"/>
  <c r="W1549" i="1"/>
  <c r="W1545" i="1"/>
  <c r="W1541" i="1"/>
  <c r="W1537" i="1"/>
  <c r="W1533" i="1"/>
  <c r="W1529" i="1"/>
  <c r="W1525" i="1"/>
  <c r="W1521" i="1"/>
  <c r="W1517" i="1"/>
  <c r="W1513" i="1"/>
  <c r="W1509" i="1"/>
  <c r="W1505" i="1"/>
  <c r="W1501" i="1"/>
  <c r="W1497" i="1"/>
  <c r="W1493" i="1"/>
  <c r="W1489" i="1"/>
  <c r="W1485" i="1"/>
  <c r="W1481" i="1"/>
  <c r="W1477" i="1"/>
  <c r="W1473" i="1"/>
  <c r="W1469" i="1"/>
  <c r="W1465" i="1"/>
  <c r="W1461" i="1"/>
  <c r="W1457" i="1"/>
  <c r="W1453" i="1"/>
  <c r="W1449" i="1"/>
  <c r="W1445" i="1"/>
  <c r="W1441" i="1"/>
  <c r="W1437" i="1"/>
  <c r="W1433" i="1"/>
  <c r="W1429" i="1"/>
  <c r="W1425" i="1"/>
  <c r="W1421" i="1"/>
  <c r="W1417" i="1"/>
  <c r="W1413" i="1"/>
  <c r="W1409" i="1"/>
  <c r="W1405" i="1"/>
  <c r="W1401" i="1"/>
  <c r="W1397" i="1"/>
  <c r="W1393" i="1"/>
  <c r="W1389" i="1"/>
  <c r="W1385" i="1"/>
  <c r="W1381" i="1"/>
  <c r="W1377" i="1"/>
  <c r="W1373" i="1"/>
  <c r="W1369" i="1"/>
  <c r="W1365" i="1"/>
  <c r="W1361" i="1"/>
  <c r="W1357" i="1"/>
  <c r="W1353" i="1"/>
  <c r="W1349" i="1"/>
  <c r="W1345" i="1"/>
  <c r="W1341" i="1"/>
  <c r="W1337" i="1"/>
  <c r="W1333" i="1"/>
  <c r="W1329" i="1"/>
  <c r="W1325" i="1"/>
  <c r="W1321" i="1"/>
  <c r="W1317" i="1"/>
  <c r="W1313" i="1"/>
  <c r="W1309" i="1"/>
  <c r="W1305" i="1"/>
  <c r="W1301" i="1"/>
  <c r="W1297" i="1"/>
  <c r="W1293" i="1"/>
  <c r="W1289" i="1"/>
  <c r="W1285" i="1"/>
  <c r="W1281" i="1"/>
  <c r="W1277" i="1"/>
  <c r="W1273" i="1"/>
  <c r="W1269" i="1"/>
  <c r="W1265" i="1"/>
  <c r="W1261" i="1"/>
  <c r="W1257" i="1"/>
  <c r="W1253" i="1"/>
  <c r="W1249" i="1"/>
  <c r="W1245" i="1"/>
  <c r="W1241" i="1"/>
  <c r="W1237" i="1"/>
  <c r="W1233" i="1"/>
  <c r="W1229" i="1"/>
  <c r="W1225" i="1"/>
  <c r="W1221" i="1"/>
  <c r="W1217" i="1"/>
  <c r="W1213" i="1"/>
  <c r="W1209" i="1"/>
  <c r="W1205" i="1"/>
  <c r="W1201" i="1"/>
  <c r="W1197" i="1"/>
  <c r="W1193" i="1"/>
  <c r="W1189" i="1"/>
  <c r="W1185" i="1"/>
  <c r="W1181" i="1"/>
  <c r="W1177" i="1"/>
  <c r="W1173" i="1"/>
  <c r="W1169" i="1"/>
  <c r="W1165" i="1"/>
  <c r="W1161" i="1"/>
  <c r="W1157" i="1"/>
  <c r="W1153" i="1"/>
  <c r="W1149" i="1"/>
  <c r="W1145" i="1"/>
  <c r="W1141" i="1"/>
  <c r="W1137" i="1"/>
  <c r="W1133" i="1"/>
  <c r="W1129" i="1"/>
  <c r="W1125" i="1"/>
  <c r="W1121" i="1"/>
  <c r="W1117" i="1"/>
  <c r="W1113" i="1"/>
  <c r="W1109" i="1"/>
  <c r="W1105" i="1"/>
  <c r="W1101" i="1"/>
  <c r="W1097" i="1"/>
  <c r="W1093" i="1"/>
  <c r="W1089" i="1"/>
  <c r="W1085" i="1"/>
  <c r="W1081" i="1"/>
  <c r="W1077" i="1"/>
  <c r="W1073" i="1"/>
  <c r="W1069" i="1"/>
  <c r="W1065" i="1"/>
  <c r="W1061" i="1"/>
  <c r="W1057" i="1"/>
  <c r="W1053" i="1"/>
  <c r="W1049" i="1"/>
  <c r="W1045" i="1"/>
  <c r="W1041" i="1"/>
  <c r="W1037" i="1"/>
  <c r="W1033" i="1"/>
  <c r="W1029" i="1"/>
  <c r="W1025" i="1"/>
  <c r="W1021" i="1"/>
  <c r="W1017" i="1"/>
  <c r="W1013" i="1"/>
  <c r="W1009" i="1"/>
  <c r="W1005" i="1"/>
  <c r="W1001" i="1"/>
  <c r="W997" i="1"/>
  <c r="W993" i="1"/>
  <c r="W989" i="1"/>
  <c r="W985" i="1"/>
  <c r="W981" i="1"/>
  <c r="W977" i="1"/>
  <c r="W973" i="1"/>
  <c r="W969" i="1"/>
  <c r="W965" i="1"/>
  <c r="W961" i="1"/>
  <c r="W957" i="1"/>
  <c r="W953" i="1"/>
  <c r="W949" i="1"/>
  <c r="W945" i="1"/>
  <c r="W941" i="1"/>
  <c r="W937" i="1"/>
  <c r="W933" i="1"/>
  <c r="W929" i="1"/>
  <c r="W925" i="1"/>
  <c r="W921" i="1"/>
  <c r="W917" i="1"/>
  <c r="W913" i="1"/>
  <c r="W909" i="1"/>
  <c r="W905" i="1"/>
  <c r="W901" i="1"/>
  <c r="W897" i="1"/>
  <c r="W893" i="1"/>
  <c r="W889" i="1"/>
  <c r="W885" i="1"/>
  <c r="W881" i="1"/>
  <c r="W877" i="1"/>
  <c r="W873" i="1"/>
  <c r="W869" i="1"/>
  <c r="W865" i="1"/>
  <c r="W861" i="1"/>
  <c r="W857" i="1"/>
  <c r="W853" i="1"/>
  <c r="W849" i="1"/>
  <c r="W845" i="1"/>
  <c r="W841" i="1"/>
  <c r="W837" i="1"/>
  <c r="W833" i="1"/>
  <c r="W829" i="1"/>
  <c r="W825" i="1"/>
  <c r="W821" i="1"/>
  <c r="W817" i="1"/>
  <c r="W813" i="1"/>
  <c r="W809" i="1"/>
  <c r="W805" i="1"/>
  <c r="W801" i="1"/>
  <c r="W797" i="1"/>
  <c r="W793" i="1"/>
  <c r="W789" i="1"/>
  <c r="W785" i="1"/>
  <c r="W781" i="1"/>
  <c r="W777" i="1"/>
  <c r="W773" i="1"/>
  <c r="W769" i="1"/>
  <c r="W765" i="1"/>
  <c r="W761" i="1"/>
  <c r="W757" i="1"/>
  <c r="W753" i="1"/>
  <c r="W749" i="1"/>
  <c r="W745" i="1"/>
  <c r="W741" i="1"/>
  <c r="W737" i="1"/>
  <c r="W733" i="1"/>
  <c r="W729" i="1"/>
  <c r="W725" i="1"/>
  <c r="W721" i="1"/>
  <c r="W717" i="1"/>
  <c r="W713" i="1"/>
  <c r="W709" i="1"/>
  <c r="W705" i="1"/>
  <c r="W701" i="1"/>
  <c r="W697" i="1"/>
  <c r="W693" i="1"/>
  <c r="W689" i="1"/>
  <c r="W685" i="1"/>
  <c r="W681" i="1"/>
  <c r="W677" i="1"/>
  <c r="W673" i="1"/>
  <c r="W669" i="1"/>
  <c r="W665" i="1"/>
  <c r="W661" i="1"/>
  <c r="W657" i="1"/>
  <c r="W653" i="1"/>
  <c r="W649" i="1"/>
  <c r="W645" i="1"/>
  <c r="W641" i="1"/>
  <c r="W637" i="1"/>
  <c r="W633" i="1"/>
  <c r="W629" i="1"/>
  <c r="W625" i="1"/>
  <c r="W621" i="1"/>
  <c r="W617" i="1"/>
  <c r="W613" i="1"/>
  <c r="W609" i="1"/>
  <c r="W605" i="1"/>
  <c r="W601" i="1"/>
  <c r="W597" i="1"/>
  <c r="W593" i="1"/>
  <c r="W589" i="1"/>
  <c r="W585" i="1"/>
  <c r="W581" i="1"/>
  <c r="W577" i="1"/>
  <c r="W573" i="1"/>
  <c r="W569" i="1"/>
  <c r="W565" i="1"/>
  <c r="W561" i="1"/>
  <c r="W557" i="1"/>
  <c r="W553" i="1"/>
  <c r="W549" i="1"/>
  <c r="W545" i="1"/>
  <c r="W541" i="1"/>
  <c r="W537" i="1"/>
  <c r="W533" i="1"/>
  <c r="W529" i="1"/>
  <c r="W525" i="1"/>
  <c r="W521" i="1"/>
  <c r="W517" i="1"/>
  <c r="W513" i="1"/>
  <c r="W509" i="1"/>
  <c r="W505" i="1"/>
  <c r="W501" i="1"/>
  <c r="W497" i="1"/>
  <c r="W493" i="1"/>
  <c r="W489" i="1"/>
  <c r="W485" i="1"/>
  <c r="W481" i="1"/>
  <c r="W477" i="1"/>
  <c r="W473" i="1"/>
  <c r="W469" i="1"/>
  <c r="W465" i="1"/>
  <c r="W461" i="1"/>
  <c r="W457" i="1"/>
  <c r="W453" i="1"/>
  <c r="W449" i="1"/>
  <c r="W445" i="1"/>
  <c r="W441" i="1"/>
  <c r="W437" i="1"/>
  <c r="W433" i="1"/>
  <c r="W429" i="1"/>
  <c r="W425" i="1"/>
  <c r="W421" i="1"/>
  <c r="W417" i="1"/>
  <c r="W413" i="1"/>
  <c r="W409" i="1"/>
  <c r="W405" i="1"/>
  <c r="W401" i="1"/>
  <c r="W397" i="1"/>
  <c r="W393" i="1"/>
  <c r="W389" i="1"/>
  <c r="W385" i="1"/>
  <c r="W381" i="1"/>
  <c r="W377" i="1"/>
  <c r="W373" i="1"/>
  <c r="W369" i="1"/>
  <c r="W365" i="1"/>
  <c r="W361" i="1"/>
  <c r="W357" i="1"/>
  <c r="W353" i="1"/>
  <c r="W349" i="1"/>
  <c r="W345" i="1"/>
  <c r="W341" i="1"/>
  <c r="W337" i="1"/>
  <c r="W333" i="1"/>
  <c r="W329" i="1"/>
  <c r="W325" i="1"/>
  <c r="W321" i="1"/>
  <c r="W317" i="1"/>
  <c r="W313" i="1"/>
  <c r="W309" i="1"/>
  <c r="W305" i="1"/>
  <c r="W301" i="1"/>
  <c r="W297" i="1"/>
  <c r="W293" i="1"/>
  <c r="W289" i="1"/>
  <c r="W285" i="1"/>
  <c r="W281" i="1"/>
  <c r="W277" i="1"/>
  <c r="W273" i="1"/>
  <c r="W269" i="1"/>
  <c r="W265" i="1"/>
  <c r="W261" i="1"/>
  <c r="W257" i="1"/>
  <c r="W253" i="1"/>
  <c r="W249" i="1"/>
  <c r="W245" i="1"/>
  <c r="W241" i="1"/>
  <c r="W237" i="1"/>
  <c r="W233" i="1"/>
  <c r="W229" i="1"/>
  <c r="W225" i="1"/>
  <c r="W221" i="1"/>
  <c r="W217" i="1"/>
  <c r="W213" i="1"/>
  <c r="W209" i="1"/>
  <c r="W205" i="1"/>
  <c r="W201" i="1"/>
  <c r="W197" i="1"/>
  <c r="W193" i="1"/>
  <c r="W189" i="1"/>
  <c r="W185" i="1"/>
  <c r="W181" i="1"/>
  <c r="W177" i="1"/>
  <c r="W173" i="1"/>
  <c r="W169" i="1"/>
  <c r="W165" i="1"/>
  <c r="W161" i="1"/>
  <c r="W157" i="1"/>
  <c r="W153" i="1"/>
  <c r="W149" i="1"/>
  <c r="W145" i="1"/>
  <c r="W141" i="1"/>
  <c r="W137" i="1"/>
  <c r="W133" i="1"/>
  <c r="W129" i="1"/>
  <c r="W125" i="1"/>
  <c r="W121" i="1"/>
  <c r="W117" i="1"/>
  <c r="W113" i="1"/>
  <c r="W109" i="1"/>
  <c r="W105" i="1"/>
  <c r="W101" i="1"/>
  <c r="W97" i="1"/>
  <c r="W93" i="1"/>
  <c r="W89" i="1"/>
  <c r="W85" i="1"/>
  <c r="W81" i="1"/>
  <c r="W77" i="1"/>
  <c r="W73" i="1"/>
  <c r="W69" i="1"/>
  <c r="W65" i="1"/>
  <c r="W61" i="1"/>
  <c r="W57" i="1"/>
  <c r="W53" i="1"/>
  <c r="W49" i="1"/>
  <c r="W45" i="1"/>
  <c r="W41" i="1"/>
  <c r="W37" i="1"/>
  <c r="W33" i="1"/>
  <c r="W29" i="1"/>
  <c r="W25" i="1"/>
  <c r="W21" i="1"/>
  <c r="W17" i="1"/>
  <c r="W13" i="1"/>
  <c r="W9" i="1"/>
  <c r="W5" i="1"/>
  <c r="W8232" i="1"/>
  <c r="W8228" i="1"/>
  <c r="W8224" i="1"/>
  <c r="W8220" i="1"/>
  <c r="W8216" i="1"/>
  <c r="W8212" i="1"/>
  <c r="W8208" i="1"/>
  <c r="W8204" i="1"/>
  <c r="W8200" i="1"/>
  <c r="W8196" i="1"/>
  <c r="W8192" i="1"/>
  <c r="W8188" i="1"/>
  <c r="W8184" i="1"/>
  <c r="W8180" i="1"/>
  <c r="W8176" i="1"/>
  <c r="W8172" i="1"/>
  <c r="W8168" i="1"/>
  <c r="W8164" i="1"/>
  <c r="W8160" i="1"/>
  <c r="W8156" i="1"/>
  <c r="W8152" i="1"/>
  <c r="W8148" i="1"/>
  <c r="W8144" i="1"/>
  <c r="W8140" i="1"/>
  <c r="W8136" i="1"/>
  <c r="W8132" i="1"/>
  <c r="W8128" i="1"/>
  <c r="W8124" i="1"/>
  <c r="W8120" i="1"/>
  <c r="W8116" i="1"/>
  <c r="W8112" i="1"/>
  <c r="W8108" i="1"/>
  <c r="W8104" i="1"/>
  <c r="W8100" i="1"/>
  <c r="W8096" i="1"/>
  <c r="W8092" i="1"/>
  <c r="W8088" i="1"/>
  <c r="W8084" i="1"/>
  <c r="W8080" i="1"/>
  <c r="W8076" i="1"/>
  <c r="W8072" i="1"/>
  <c r="W8068" i="1"/>
  <c r="W8064" i="1"/>
  <c r="W8060" i="1"/>
  <c r="W8056" i="1"/>
  <c r="W8052" i="1"/>
  <c r="W8048" i="1"/>
  <c r="W8044" i="1"/>
  <c r="W8040" i="1"/>
  <c r="W8036" i="1"/>
  <c r="W8032" i="1"/>
  <c r="W8028" i="1"/>
  <c r="W8024" i="1"/>
  <c r="W8020" i="1"/>
  <c r="W8016" i="1"/>
  <c r="W8012" i="1"/>
  <c r="W8008" i="1"/>
  <c r="W8004" i="1"/>
  <c r="W8000" i="1"/>
  <c r="W7996" i="1"/>
  <c r="W7992" i="1"/>
  <c r="W7988" i="1"/>
  <c r="W7984" i="1"/>
  <c r="W7980" i="1"/>
  <c r="W7976" i="1"/>
  <c r="W7972" i="1"/>
  <c r="W7968" i="1"/>
  <c r="W7964" i="1"/>
  <c r="W7960" i="1"/>
  <c r="W7956" i="1"/>
  <c r="W7952" i="1"/>
  <c r="W7948" i="1"/>
  <c r="W7944" i="1"/>
  <c r="W7940" i="1"/>
  <c r="W7936" i="1"/>
  <c r="W7932" i="1"/>
  <c r="W7928" i="1"/>
  <c r="W7924" i="1"/>
  <c r="W7920" i="1"/>
  <c r="W7916" i="1"/>
  <c r="W7912" i="1"/>
  <c r="W7908" i="1"/>
  <c r="W7904" i="1"/>
  <c r="W7900" i="1"/>
  <c r="W7896" i="1"/>
  <c r="W7892" i="1"/>
  <c r="W7888" i="1"/>
  <c r="W7884" i="1"/>
  <c r="W7880" i="1"/>
  <c r="W7876" i="1"/>
  <c r="W7872" i="1"/>
  <c r="W7868" i="1"/>
  <c r="W7864" i="1"/>
  <c r="W7860" i="1"/>
  <c r="W7856" i="1"/>
  <c r="W7852" i="1"/>
  <c r="W7848" i="1"/>
  <c r="W7844" i="1"/>
  <c r="W7840" i="1"/>
  <c r="W7836" i="1"/>
  <c r="W7832" i="1"/>
  <c r="W7828" i="1"/>
  <c r="W7824" i="1"/>
  <c r="W7820" i="1"/>
  <c r="W7816" i="1"/>
  <c r="W7812" i="1"/>
  <c r="W7808" i="1"/>
  <c r="W7804" i="1"/>
  <c r="W7800" i="1"/>
  <c r="W7796" i="1"/>
  <c r="W7792" i="1"/>
  <c r="W7788" i="1"/>
  <c r="W7784" i="1"/>
  <c r="W7780" i="1"/>
  <c r="W7776" i="1"/>
  <c r="W7772" i="1"/>
  <c r="W7768" i="1"/>
  <c r="W7764" i="1"/>
  <c r="W7760" i="1"/>
  <c r="W7756" i="1"/>
  <c r="W7752" i="1"/>
  <c r="W7748" i="1"/>
  <c r="W7744" i="1"/>
  <c r="W7740" i="1"/>
  <c r="W7736" i="1"/>
  <c r="W7732" i="1"/>
  <c r="W7728" i="1"/>
  <c r="W7724" i="1"/>
  <c r="W7720" i="1"/>
  <c r="W7712" i="1"/>
  <c r="W7708" i="1"/>
  <c r="W7704" i="1"/>
  <c r="W7700" i="1"/>
  <c r="W7696" i="1"/>
  <c r="W7692" i="1"/>
  <c r="W7688" i="1"/>
  <c r="W7680" i="1"/>
  <c r="W7676" i="1"/>
  <c r="W7672" i="1"/>
  <c r="W7668" i="1"/>
  <c r="W7664" i="1"/>
  <c r="W7660" i="1"/>
  <c r="W7656" i="1"/>
  <c r="W7648" i="1"/>
  <c r="W7644" i="1"/>
  <c r="W7640" i="1"/>
  <c r="W7636" i="1"/>
  <c r="W7632" i="1"/>
  <c r="W7628" i="1"/>
  <c r="W7624" i="1"/>
  <c r="W7616" i="1"/>
  <c r="W7612" i="1"/>
  <c r="W7608" i="1"/>
  <c r="W7604" i="1"/>
  <c r="W7600" i="1"/>
  <c r="W7596" i="1"/>
  <c r="W7592" i="1"/>
  <c r="W7584" i="1"/>
  <c r="W7580" i="1"/>
  <c r="W7576" i="1"/>
  <c r="W7572" i="1"/>
  <c r="W7568" i="1"/>
  <c r="W7564" i="1"/>
  <c r="W7560" i="1"/>
  <c r="W7552" i="1"/>
  <c r="W7548" i="1"/>
  <c r="W7544" i="1"/>
  <c r="W7540" i="1"/>
  <c r="W7536" i="1"/>
  <c r="W7532" i="1"/>
  <c r="W7528" i="1"/>
  <c r="W7520" i="1"/>
  <c r="W7516" i="1"/>
  <c r="W7512" i="1"/>
  <c r="W7508" i="1"/>
  <c r="W7504" i="1"/>
  <c r="W7500" i="1"/>
  <c r="W7496" i="1"/>
  <c r="W7492" i="1"/>
  <c r="W7488" i="1"/>
  <c r="W7484" i="1"/>
  <c r="W7480" i="1"/>
  <c r="W7476" i="1"/>
  <c r="W7472" i="1"/>
  <c r="W7468" i="1"/>
  <c r="W7464" i="1"/>
  <c r="W7460" i="1"/>
  <c r="W7456" i="1"/>
  <c r="W7452" i="1"/>
  <c r="W7448" i="1"/>
  <c r="W7444" i="1"/>
  <c r="W7440" i="1"/>
  <c r="W7436" i="1"/>
  <c r="W7432" i="1"/>
  <c r="W7428" i="1"/>
  <c r="W7424" i="1"/>
  <c r="W7420" i="1"/>
  <c r="W7416" i="1"/>
  <c r="W7412" i="1"/>
  <c r="W7408" i="1"/>
  <c r="W7404" i="1"/>
  <c r="W7400" i="1"/>
  <c r="W7396" i="1"/>
  <c r="W7392" i="1"/>
  <c r="W7388" i="1"/>
  <c r="W7384" i="1"/>
  <c r="W7380" i="1"/>
  <c r="W7376" i="1"/>
  <c r="W7372" i="1"/>
  <c r="W7368" i="1"/>
  <c r="W7364" i="1"/>
  <c r="W7360" i="1"/>
  <c r="W7356" i="1"/>
  <c r="W7352" i="1"/>
  <c r="W7348" i="1"/>
  <c r="W7344" i="1"/>
  <c r="W7340" i="1"/>
  <c r="W7336" i="1"/>
  <c r="W7332" i="1"/>
  <c r="W7328" i="1"/>
  <c r="W7324" i="1"/>
  <c r="W7320" i="1"/>
  <c r="W7316" i="1"/>
  <c r="W7312" i="1"/>
  <c r="W7308" i="1"/>
  <c r="W7304" i="1"/>
  <c r="W7300" i="1"/>
  <c r="W7296" i="1"/>
  <c r="W7292" i="1"/>
  <c r="W7288" i="1"/>
  <c r="W7284" i="1"/>
  <c r="W7280" i="1"/>
  <c r="W7276" i="1"/>
  <c r="W7272" i="1"/>
  <c r="W7268" i="1"/>
  <c r="W7264" i="1"/>
  <c r="W7260" i="1"/>
  <c r="W7256" i="1"/>
  <c r="W7252" i="1"/>
  <c r="W7248" i="1"/>
  <c r="W7244" i="1"/>
  <c r="W7240" i="1"/>
  <c r="W7236" i="1"/>
  <c r="W7232" i="1"/>
  <c r="W7228" i="1"/>
  <c r="W7224" i="1"/>
  <c r="W7220" i="1"/>
  <c r="W7216" i="1"/>
  <c r="W7212" i="1"/>
  <c r="W7208" i="1"/>
  <c r="W7204" i="1"/>
  <c r="W7200" i="1"/>
  <c r="W7196" i="1"/>
  <c r="W7192" i="1"/>
  <c r="W7188" i="1"/>
  <c r="W7184" i="1"/>
  <c r="W7180" i="1"/>
  <c r="W7176" i="1"/>
  <c r="W7172" i="1"/>
  <c r="W7168" i="1"/>
  <c r="W7164" i="1"/>
  <c r="W7160" i="1"/>
  <c r="W7156" i="1"/>
  <c r="W7152" i="1"/>
  <c r="W7148" i="1"/>
  <c r="W7144" i="1"/>
  <c r="W7140" i="1"/>
  <c r="W7136" i="1"/>
  <c r="W7132" i="1"/>
  <c r="W7128" i="1"/>
  <c r="W7124" i="1"/>
  <c r="W7120" i="1"/>
  <c r="W7116" i="1"/>
  <c r="W7112" i="1"/>
  <c r="W7108" i="1"/>
  <c r="W7104" i="1"/>
  <c r="W7100" i="1"/>
  <c r="W7096" i="1"/>
  <c r="W7092" i="1"/>
  <c r="W7088" i="1"/>
  <c r="W7084" i="1"/>
  <c r="W7076" i="1"/>
  <c r="W7072" i="1"/>
  <c r="W7068" i="1"/>
  <c r="W7064" i="1"/>
  <c r="W7060" i="1"/>
  <c r="W7056" i="1"/>
  <c r="W7052" i="1"/>
  <c r="W7048" i="1"/>
  <c r="W7044" i="1"/>
  <c r="W7040" i="1"/>
  <c r="W7036" i="1"/>
  <c r="W7032" i="1"/>
  <c r="W7028" i="1"/>
  <c r="W7024" i="1"/>
  <c r="W7020" i="1"/>
  <c r="W7012" i="1"/>
  <c r="W7008" i="1"/>
  <c r="W7004" i="1"/>
  <c r="W7000" i="1"/>
  <c r="W6996" i="1"/>
  <c r="W6992" i="1"/>
  <c r="W6988" i="1"/>
  <c r="W6984" i="1"/>
  <c r="W6980" i="1"/>
  <c r="W6976" i="1"/>
  <c r="W6972" i="1"/>
  <c r="W6968" i="1"/>
  <c r="W6964" i="1"/>
  <c r="W6960" i="1"/>
  <c r="W6956" i="1"/>
  <c r="W6952" i="1"/>
  <c r="W6948" i="1"/>
  <c r="W6944" i="1"/>
  <c r="W6940" i="1"/>
  <c r="W6936" i="1"/>
  <c r="W6932" i="1"/>
  <c r="W6928" i="1"/>
  <c r="W6924" i="1"/>
  <c r="W6920" i="1"/>
  <c r="W6916" i="1"/>
  <c r="W6908" i="1"/>
  <c r="W6904" i="1"/>
  <c r="W6900" i="1"/>
  <c r="W6896" i="1"/>
  <c r="W6892" i="1"/>
  <c r="W6888" i="1"/>
  <c r="W6884" i="1"/>
  <c r="W6880" i="1"/>
  <c r="W6876" i="1"/>
  <c r="W6872" i="1"/>
  <c r="W6868" i="1"/>
  <c r="W6864" i="1"/>
  <c r="W6860" i="1"/>
  <c r="W6856" i="1"/>
  <c r="W6852" i="1"/>
  <c r="W6848" i="1"/>
  <c r="W6844" i="1"/>
  <c r="W6840" i="1"/>
  <c r="W6836" i="1"/>
  <c r="W6832" i="1"/>
  <c r="W6828" i="1"/>
  <c r="W6824" i="1"/>
  <c r="W6820" i="1"/>
  <c r="W6816" i="1"/>
  <c r="W6812" i="1"/>
  <c r="W6808" i="1"/>
  <c r="W6796" i="1"/>
  <c r="W6792" i="1"/>
  <c r="W6788" i="1"/>
  <c r="W6784" i="1"/>
  <c r="W6780" i="1"/>
  <c r="W6776" i="1"/>
  <c r="W6772" i="1"/>
  <c r="W6768" i="1"/>
  <c r="W6764" i="1"/>
  <c r="W6760" i="1"/>
  <c r="W6756" i="1"/>
  <c r="W6752" i="1"/>
  <c r="W6748" i="1"/>
  <c r="W6744" i="1"/>
  <c r="W6740" i="1"/>
  <c r="W6736" i="1"/>
  <c r="W6732" i="1"/>
  <c r="W6728" i="1"/>
  <c r="W6724" i="1"/>
  <c r="W6720" i="1"/>
  <c r="W6716" i="1"/>
  <c r="W6712" i="1"/>
  <c r="W6708" i="1"/>
  <c r="W6704" i="1"/>
  <c r="W6700" i="1"/>
  <c r="W6696" i="1"/>
  <c r="W6692" i="1"/>
  <c r="W6688" i="1"/>
  <c r="W6684" i="1"/>
  <c r="W6680" i="1"/>
  <c r="W6676" i="1"/>
  <c r="W6672" i="1"/>
  <c r="W6668" i="1"/>
  <c r="W6664" i="1"/>
  <c r="W6660" i="1"/>
  <c r="W6656" i="1"/>
  <c r="W6652" i="1"/>
  <c r="W6648" i="1"/>
  <c r="W6644" i="1"/>
  <c r="W6640" i="1"/>
  <c r="W6636" i="1"/>
  <c r="W6632" i="1"/>
  <c r="W6628" i="1"/>
  <c r="W6624" i="1"/>
  <c r="W6620" i="1"/>
  <c r="W6616" i="1"/>
  <c r="W6612" i="1"/>
  <c r="W6608" i="1"/>
  <c r="W6604" i="1"/>
  <c r="W6600" i="1"/>
  <c r="W6596" i="1"/>
  <c r="W6592" i="1"/>
  <c r="W6588" i="1"/>
  <c r="W6584" i="1"/>
  <c r="W6580" i="1"/>
  <c r="W6576" i="1"/>
  <c r="W6572" i="1"/>
  <c r="W6568" i="1"/>
  <c r="W6564" i="1"/>
  <c r="W6560" i="1"/>
  <c r="W6556" i="1"/>
  <c r="W6552" i="1"/>
  <c r="W6548" i="1"/>
  <c r="W6544" i="1"/>
  <c r="W6540" i="1"/>
  <c r="W6536" i="1"/>
  <c r="W6532" i="1"/>
  <c r="W6528" i="1"/>
  <c r="W6524" i="1"/>
  <c r="W6520" i="1"/>
  <c r="W6516" i="1"/>
  <c r="W6512" i="1"/>
  <c r="W6508" i="1"/>
  <c r="W6504" i="1"/>
  <c r="W6500" i="1"/>
  <c r="W6496" i="1"/>
  <c r="W6492" i="1"/>
  <c r="W6488" i="1"/>
  <c r="W6484" i="1"/>
  <c r="W6480" i="1"/>
  <c r="W6476" i="1"/>
  <c r="W6472" i="1"/>
  <c r="W6468" i="1"/>
  <c r="W6464" i="1"/>
  <c r="W6460" i="1"/>
  <c r="W6456" i="1"/>
  <c r="W6452" i="1"/>
  <c r="W6448" i="1"/>
  <c r="W6444" i="1"/>
  <c r="W6440" i="1"/>
  <c r="W6436" i="1"/>
  <c r="W6432" i="1"/>
  <c r="W6428" i="1"/>
  <c r="W6424" i="1"/>
  <c r="W6420" i="1"/>
  <c r="W6416" i="1"/>
  <c r="W6412" i="1"/>
  <c r="W6404" i="1"/>
  <c r="W6400" i="1"/>
  <c r="W6396" i="1"/>
  <c r="W6392" i="1"/>
  <c r="W6388" i="1"/>
  <c r="W6384" i="1"/>
  <c r="W6380" i="1"/>
  <c r="W6376" i="1"/>
  <c r="W6372" i="1"/>
  <c r="W6368" i="1"/>
  <c r="W6364" i="1"/>
  <c r="W6360" i="1"/>
  <c r="W6356" i="1"/>
  <c r="W6352" i="1"/>
  <c r="W6348" i="1"/>
  <c r="W6336" i="1"/>
  <c r="W6332" i="1"/>
  <c r="W6328" i="1"/>
  <c r="W6324" i="1"/>
  <c r="W6320" i="1"/>
  <c r="W6316" i="1"/>
  <c r="W6312" i="1"/>
  <c r="W6308" i="1"/>
  <c r="W6304" i="1"/>
  <c r="W6300" i="1"/>
  <c r="W6296" i="1"/>
  <c r="W6292" i="1"/>
  <c r="W6288" i="1"/>
  <c r="W6284" i="1"/>
  <c r="W6272" i="1"/>
  <c r="W6268" i="1"/>
  <c r="W6264" i="1"/>
  <c r="W6260" i="1"/>
  <c r="W6256" i="1"/>
  <c r="W6252" i="1"/>
  <c r="W6248" i="1"/>
  <c r="W6244" i="1"/>
  <c r="W6240" i="1"/>
  <c r="W6236" i="1"/>
  <c r="W6232" i="1"/>
  <c r="W6228" i="1"/>
  <c r="W6224" i="1"/>
  <c r="W6220" i="1"/>
  <c r="W6208" i="1"/>
  <c r="W6204" i="1"/>
  <c r="W6200" i="1"/>
  <c r="W6196" i="1"/>
  <c r="W6192" i="1"/>
  <c r="W6188" i="1"/>
  <c r="W6184" i="1"/>
  <c r="W6180" i="1"/>
  <c r="W6176" i="1"/>
  <c r="W6172" i="1"/>
  <c r="W6168" i="1"/>
  <c r="W6164" i="1"/>
  <c r="W6160" i="1"/>
  <c r="W6156" i="1"/>
  <c r="W6152" i="1"/>
  <c r="W6148" i="1"/>
  <c r="W6144" i="1"/>
  <c r="W6140" i="1"/>
  <c r="W6136" i="1"/>
  <c r="W6132" i="1"/>
  <c r="W6128" i="1"/>
  <c r="W6124" i="1"/>
  <c r="W6120" i="1"/>
  <c r="W6116" i="1"/>
  <c r="W6112" i="1"/>
  <c r="W6108" i="1"/>
  <c r="W6104" i="1"/>
  <c r="W6100" i="1"/>
  <c r="W6096" i="1"/>
  <c r="W6092" i="1"/>
  <c r="W6088" i="1"/>
  <c r="W6084" i="1"/>
  <c r="W6080" i="1"/>
  <c r="W6076" i="1"/>
  <c r="W6072" i="1"/>
  <c r="W6068" i="1"/>
  <c r="W6064" i="1"/>
  <c r="W6060" i="1"/>
  <c r="W6056" i="1"/>
  <c r="W6052" i="1"/>
  <c r="W6048" i="1"/>
  <c r="W6044" i="1"/>
  <c r="W6040" i="1"/>
  <c r="W6036" i="1"/>
  <c r="W6032" i="1"/>
  <c r="W6028" i="1"/>
  <c r="W6024" i="1"/>
  <c r="W6020" i="1"/>
  <c r="W6016" i="1"/>
  <c r="W6012" i="1"/>
  <c r="W6008" i="1"/>
  <c r="W6004" i="1"/>
  <c r="W6000" i="1"/>
  <c r="W5996" i="1"/>
  <c r="W5992" i="1"/>
  <c r="W5988" i="1"/>
  <c r="W5984" i="1"/>
  <c r="W5980" i="1"/>
  <c r="W5976" i="1"/>
  <c r="W5972" i="1"/>
  <c r="W5968" i="1"/>
  <c r="W5964" i="1"/>
  <c r="W5960" i="1"/>
  <c r="W5956" i="1"/>
  <c r="W5952" i="1"/>
  <c r="W5948" i="1"/>
  <c r="W5944" i="1"/>
  <c r="W5940" i="1"/>
  <c r="W5936" i="1"/>
  <c r="W5932" i="1"/>
  <c r="W5928" i="1"/>
  <c r="W5924" i="1"/>
  <c r="W5920" i="1"/>
  <c r="W5916" i="1"/>
  <c r="W5912" i="1"/>
  <c r="W5908" i="1"/>
  <c r="W5904" i="1"/>
  <c r="W5900" i="1"/>
  <c r="W5896" i="1"/>
  <c r="W5892" i="1"/>
  <c r="W5888" i="1"/>
  <c r="W5884" i="1"/>
  <c r="W5880" i="1"/>
  <c r="W5876" i="1"/>
  <c r="W5872" i="1"/>
  <c r="W5868" i="1"/>
  <c r="W5864" i="1"/>
  <c r="W5860" i="1"/>
  <c r="W5856" i="1"/>
  <c r="W5852" i="1"/>
  <c r="W5848" i="1"/>
  <c r="W5844" i="1"/>
  <c r="W5840" i="1"/>
  <c r="W5828" i="1"/>
  <c r="W5824" i="1"/>
  <c r="W5820" i="1"/>
  <c r="W5816" i="1"/>
  <c r="W5812" i="1"/>
  <c r="W5808" i="1"/>
  <c r="W5804" i="1"/>
  <c r="W5800" i="1"/>
  <c r="W5796" i="1"/>
  <c r="W5792" i="1"/>
  <c r="W5788" i="1"/>
  <c r="W5784" i="1"/>
  <c r="W5780" i="1"/>
  <c r="W5776" i="1"/>
  <c r="W5764" i="1"/>
  <c r="W5760" i="1"/>
  <c r="W5756" i="1"/>
  <c r="W5752" i="1"/>
  <c r="W5748" i="1"/>
  <c r="W5744" i="1"/>
  <c r="W5740" i="1"/>
  <c r="W5736" i="1"/>
  <c r="W5732" i="1"/>
  <c r="W5728" i="1"/>
  <c r="W5724" i="1"/>
  <c r="W5720" i="1"/>
  <c r="W5716" i="1"/>
  <c r="W5712" i="1"/>
  <c r="W5700" i="1"/>
  <c r="W5696" i="1"/>
  <c r="W5692" i="1"/>
  <c r="W5688" i="1"/>
  <c r="W5684" i="1"/>
  <c r="W5680" i="1"/>
  <c r="W5676" i="1"/>
  <c r="W5672" i="1"/>
  <c r="W5668" i="1"/>
  <c r="W5664" i="1"/>
  <c r="W5660" i="1"/>
  <c r="W5656" i="1"/>
  <c r="W5652" i="1"/>
  <c r="W5648" i="1"/>
  <c r="W5636" i="1"/>
  <c r="W5632" i="1"/>
  <c r="W5628" i="1"/>
  <c r="W5624" i="1"/>
  <c r="W5620" i="1"/>
  <c r="W5616" i="1"/>
  <c r="W5612" i="1"/>
  <c r="W5608" i="1"/>
  <c r="W5604" i="1"/>
  <c r="W5600" i="1"/>
  <c r="W5596" i="1"/>
  <c r="W5592" i="1"/>
  <c r="W5588" i="1"/>
  <c r="W5584" i="1"/>
  <c r="W5572" i="1"/>
  <c r="W5568" i="1"/>
  <c r="W5564" i="1"/>
  <c r="W5560" i="1"/>
  <c r="W5556" i="1"/>
  <c r="W5552" i="1"/>
  <c r="W5548" i="1"/>
  <c r="W5544" i="1"/>
  <c r="W5540" i="1"/>
  <c r="W5536" i="1"/>
  <c r="W5532" i="1"/>
  <c r="W5528" i="1"/>
  <c r="W5524" i="1"/>
  <c r="W5520" i="1"/>
  <c r="W5516" i="1"/>
  <c r="W5512" i="1"/>
  <c r="W5508" i="1"/>
  <c r="W5504" i="1"/>
  <c r="W5500" i="1"/>
  <c r="W5496" i="1"/>
  <c r="W5492" i="1"/>
  <c r="W5488" i="1"/>
  <c r="W5484" i="1"/>
  <c r="W5480" i="1"/>
  <c r="W5476" i="1"/>
  <c r="W5472" i="1"/>
  <c r="W5468" i="1"/>
  <c r="W5464" i="1"/>
  <c r="W5460" i="1"/>
  <c r="W5456" i="1"/>
  <c r="W5452" i="1"/>
  <c r="W5448" i="1"/>
  <c r="W5444" i="1"/>
  <c r="W5440" i="1"/>
  <c r="W5436" i="1"/>
  <c r="W5432" i="1"/>
  <c r="W5428" i="1"/>
  <c r="W5424" i="1"/>
  <c r="W5420" i="1"/>
  <c r="W5416" i="1"/>
  <c r="W5412" i="1"/>
  <c r="W5408" i="1"/>
  <c r="W5404" i="1"/>
  <c r="W5400" i="1"/>
  <c r="W5396" i="1"/>
  <c r="W5392" i="1"/>
  <c r="W5388" i="1"/>
  <c r="W5384" i="1"/>
  <c r="W5380" i="1"/>
  <c r="W5376" i="1"/>
  <c r="W5372" i="1"/>
  <c r="W5368" i="1"/>
  <c r="W5364" i="1"/>
  <c r="W5360" i="1"/>
  <c r="W5356" i="1"/>
  <c r="W5352" i="1"/>
  <c r="W5348" i="1"/>
  <c r="W5344" i="1"/>
  <c r="W5340" i="1"/>
  <c r="W5336" i="1"/>
  <c r="W5332" i="1"/>
  <c r="W5328" i="1"/>
  <c r="W5324" i="1"/>
  <c r="W5320" i="1"/>
  <c r="W5316" i="1"/>
  <c r="W5312" i="1"/>
  <c r="W5308" i="1"/>
  <c r="W5304" i="1"/>
  <c r="W5300" i="1"/>
  <c r="W5296" i="1"/>
  <c r="W5292" i="1"/>
  <c r="W5288" i="1"/>
  <c r="W5284" i="1"/>
  <c r="W5280" i="1"/>
  <c r="W5276" i="1"/>
  <c r="W5272" i="1"/>
  <c r="W5268" i="1"/>
  <c r="W5264" i="1"/>
  <c r="W5260" i="1"/>
  <c r="W5256" i="1"/>
  <c r="W5252" i="1"/>
  <c r="W5248" i="1"/>
  <c r="W5244" i="1"/>
  <c r="W5240" i="1"/>
  <c r="W5236" i="1"/>
  <c r="W5232" i="1"/>
  <c r="W5228" i="1"/>
  <c r="W5224" i="1"/>
  <c r="W5220" i="1"/>
  <c r="W5216" i="1"/>
  <c r="W5212" i="1"/>
  <c r="W5208" i="1"/>
  <c r="W5204" i="1"/>
  <c r="W5200" i="1"/>
  <c r="W5196" i="1"/>
  <c r="W5192" i="1"/>
  <c r="W5188" i="1"/>
  <c r="W5184" i="1"/>
  <c r="W5180" i="1"/>
  <c r="W5176" i="1"/>
  <c r="W5172" i="1"/>
  <c r="W5168" i="1"/>
  <c r="W5164" i="1"/>
  <c r="W5160" i="1"/>
  <c r="W5156" i="1"/>
  <c r="W5152" i="1"/>
  <c r="W5148" i="1"/>
  <c r="W5144" i="1"/>
  <c r="W5140" i="1"/>
  <c r="W5136" i="1"/>
  <c r="W5132" i="1"/>
  <c r="W5128" i="1"/>
  <c r="W5124" i="1"/>
  <c r="W5120" i="1"/>
  <c r="W5116" i="1"/>
  <c r="W5112" i="1"/>
  <c r="W5108" i="1"/>
  <c r="W5104" i="1"/>
  <c r="W5100" i="1"/>
  <c r="W5096" i="1"/>
  <c r="W5092" i="1"/>
  <c r="W5088" i="1"/>
  <c r="W5084" i="1"/>
  <c r="W5080" i="1"/>
  <c r="W5076" i="1"/>
  <c r="W5072" i="1"/>
  <c r="W5068" i="1"/>
  <c r="W5064" i="1"/>
  <c r="W5060" i="1"/>
  <c r="W5056" i="1"/>
  <c r="W5052" i="1"/>
  <c r="W5048" i="1"/>
  <c r="W5044" i="1"/>
  <c r="W5040" i="1"/>
  <c r="W5036" i="1"/>
  <c r="W5032" i="1"/>
  <c r="W5028" i="1"/>
  <c r="W5024" i="1"/>
  <c r="W5020" i="1"/>
  <c r="W5016" i="1"/>
  <c r="W5012" i="1"/>
  <c r="W5008" i="1"/>
  <c r="W5004" i="1"/>
  <c r="W5000" i="1"/>
  <c r="W4996" i="1"/>
  <c r="W4992" i="1"/>
  <c r="W4988" i="1"/>
  <c r="W4984" i="1"/>
  <c r="W4980" i="1"/>
  <c r="W4976" i="1"/>
  <c r="W4972" i="1"/>
  <c r="W4968" i="1"/>
  <c r="W4964" i="1"/>
  <c r="W4960" i="1"/>
  <c r="W4956" i="1"/>
  <c r="W4952" i="1"/>
  <c r="W4948" i="1"/>
  <c r="W4944" i="1"/>
  <c r="W4940" i="1"/>
  <c r="W4936" i="1"/>
  <c r="W4932" i="1"/>
  <c r="W4924" i="1"/>
  <c r="W4920" i="1"/>
  <c r="W4916" i="1"/>
  <c r="W4912" i="1"/>
  <c r="W4908" i="1"/>
  <c r="W4904" i="1"/>
  <c r="W4900" i="1"/>
  <c r="W4892" i="1"/>
  <c r="W4888" i="1"/>
  <c r="W4884" i="1"/>
  <c r="W4880" i="1"/>
  <c r="W4876" i="1"/>
  <c r="W4872" i="1"/>
  <c r="W4868" i="1"/>
  <c r="W4860" i="1"/>
  <c r="W4856" i="1"/>
  <c r="W4852" i="1"/>
  <c r="W4848" i="1"/>
  <c r="W4844" i="1"/>
  <c r="W4840" i="1"/>
  <c r="W4836" i="1"/>
  <c r="W4828" i="1"/>
  <c r="W4824" i="1"/>
  <c r="W4820" i="1"/>
  <c r="W4816" i="1"/>
  <c r="W4812" i="1"/>
  <c r="W4808" i="1"/>
  <c r="W4804" i="1"/>
  <c r="W4796" i="1"/>
  <c r="W4792" i="1"/>
  <c r="W4788" i="1"/>
  <c r="W4784" i="1"/>
  <c r="W4780" i="1"/>
  <c r="W4776" i="1"/>
  <c r="W4772" i="1"/>
  <c r="W4764" i="1"/>
  <c r="W4760" i="1"/>
  <c r="W4756" i="1"/>
  <c r="W4752" i="1"/>
  <c r="W4748" i="1"/>
  <c r="W4744" i="1"/>
  <c r="W4740" i="1"/>
  <c r="W4732" i="1"/>
  <c r="W4728" i="1"/>
  <c r="W4724" i="1"/>
  <c r="W4720" i="1"/>
  <c r="W4716" i="1"/>
  <c r="W4712" i="1"/>
  <c r="W4708" i="1"/>
  <c r="W4704" i="1"/>
  <c r="W4700" i="1"/>
  <c r="W4696" i="1"/>
  <c r="W4692" i="1"/>
  <c r="W4688" i="1"/>
  <c r="W4684" i="1"/>
  <c r="W4680" i="1"/>
  <c r="W4676" i="1"/>
  <c r="W4672" i="1"/>
  <c r="W4668" i="1"/>
  <c r="W4664" i="1"/>
  <c r="W4660" i="1"/>
  <c r="W4656" i="1"/>
  <c r="W4652" i="1"/>
  <c r="W4648" i="1"/>
  <c r="W4644" i="1"/>
  <c r="W4640" i="1"/>
  <c r="W4636" i="1"/>
  <c r="W4632" i="1"/>
  <c r="W4628" i="1"/>
  <c r="W4624" i="1"/>
  <c r="W4620" i="1"/>
  <c r="W4616" i="1"/>
  <c r="W4612" i="1"/>
  <c r="W4608" i="1"/>
  <c r="W4604" i="1"/>
  <c r="W4600" i="1"/>
  <c r="W4596" i="1"/>
  <c r="W4592" i="1"/>
  <c r="W4588" i="1"/>
  <c r="W4584" i="1"/>
  <c r="W4580" i="1"/>
  <c r="W4576" i="1"/>
  <c r="W4572" i="1"/>
  <c r="W4568" i="1"/>
  <c r="W4564" i="1"/>
  <c r="W4560" i="1"/>
  <c r="W4556" i="1"/>
  <c r="W4552" i="1"/>
  <c r="W4548" i="1"/>
  <c r="W4544" i="1"/>
  <c r="W4540" i="1"/>
  <c r="W4536" i="1"/>
  <c r="W4532" i="1"/>
  <c r="W4528" i="1"/>
  <c r="W4524" i="1"/>
  <c r="W4520" i="1"/>
  <c r="W4516" i="1"/>
  <c r="W4512" i="1"/>
  <c r="W4508" i="1"/>
  <c r="W4504" i="1"/>
  <c r="W4500" i="1"/>
  <c r="W4496" i="1"/>
  <c r="W4492" i="1"/>
  <c r="W4488" i="1"/>
  <c r="W4484" i="1"/>
  <c r="W4480" i="1"/>
  <c r="W4476" i="1"/>
  <c r="W4472" i="1"/>
  <c r="W4468" i="1"/>
  <c r="W4464" i="1"/>
  <c r="W4460" i="1"/>
  <c r="W4456" i="1"/>
  <c r="W4452" i="1"/>
  <c r="W4448" i="1"/>
  <c r="W4444" i="1"/>
  <c r="W4440" i="1"/>
  <c r="W4436" i="1"/>
  <c r="W4432" i="1"/>
  <c r="W4428" i="1"/>
  <c r="W4424" i="1"/>
  <c r="W4420" i="1"/>
  <c r="W4416" i="1"/>
  <c r="W4412" i="1"/>
  <c r="W4408" i="1"/>
  <c r="W4404" i="1"/>
  <c r="W4400" i="1"/>
  <c r="W4396" i="1"/>
  <c r="W4392" i="1"/>
  <c r="W4388" i="1"/>
  <c r="W4384" i="1"/>
  <c r="W4380" i="1"/>
  <c r="W4376" i="1"/>
  <c r="W4372" i="1"/>
  <c r="W4368" i="1"/>
  <c r="W4364" i="1"/>
  <c r="W4360" i="1"/>
  <c r="W4356" i="1"/>
  <c r="W4352" i="1"/>
  <c r="W4348" i="1"/>
  <c r="W4344" i="1"/>
  <c r="W4340" i="1"/>
  <c r="W4336" i="1"/>
  <c r="W4332" i="1"/>
  <c r="W4328" i="1"/>
  <c r="W4324" i="1"/>
  <c r="W4320" i="1"/>
  <c r="W4316" i="1"/>
  <c r="W4312" i="1"/>
  <c r="W4308" i="1"/>
  <c r="W4304" i="1"/>
  <c r="W4300" i="1"/>
  <c r="W4296" i="1"/>
  <c r="W4292" i="1"/>
  <c r="W4288" i="1"/>
  <c r="W4284" i="1"/>
  <c r="W4280" i="1"/>
  <c r="W4276" i="1"/>
  <c r="W4272" i="1"/>
  <c r="W4268" i="1"/>
  <c r="W4264" i="1"/>
  <c r="W4260" i="1"/>
  <c r="W4256" i="1"/>
  <c r="W4252" i="1"/>
  <c r="W4248" i="1"/>
  <c r="W4244" i="1"/>
  <c r="W4240" i="1"/>
  <c r="W4236" i="1"/>
  <c r="W4232" i="1"/>
  <c r="W4228" i="1"/>
  <c r="W4224" i="1"/>
  <c r="W4220" i="1"/>
  <c r="W4216" i="1"/>
  <c r="W4212" i="1"/>
  <c r="W4208" i="1"/>
  <c r="W4204" i="1"/>
  <c r="W4200" i="1"/>
  <c r="W4196" i="1"/>
  <c r="W4192" i="1"/>
  <c r="W4188" i="1"/>
  <c r="W4184" i="1"/>
  <c r="W4180" i="1"/>
  <c r="W4176" i="1"/>
  <c r="W4172" i="1"/>
  <c r="W4168" i="1"/>
  <c r="W4164" i="1"/>
  <c r="W4160" i="1"/>
  <c r="W4156" i="1"/>
  <c r="W4152" i="1"/>
  <c r="W4148" i="1"/>
  <c r="W4144" i="1"/>
  <c r="W4140" i="1"/>
  <c r="W4136" i="1"/>
  <c r="W4132" i="1"/>
  <c r="W4128" i="1"/>
  <c r="W4124" i="1"/>
  <c r="W4120" i="1"/>
  <c r="W4116" i="1"/>
  <c r="W4112" i="1"/>
  <c r="W4108" i="1"/>
  <c r="W4104" i="1"/>
  <c r="W4100" i="1"/>
  <c r="W4096" i="1"/>
  <c r="W4092" i="1"/>
  <c r="W4088" i="1"/>
  <c r="W4084" i="1"/>
  <c r="W4080" i="1"/>
  <c r="W4076" i="1"/>
  <c r="W4072" i="1"/>
  <c r="W4068" i="1"/>
  <c r="W4064" i="1"/>
  <c r="W4060" i="1"/>
  <c r="W4056" i="1"/>
  <c r="W4052" i="1"/>
  <c r="W4048" i="1"/>
  <c r="W4044" i="1"/>
  <c r="W4040" i="1"/>
  <c r="W4036" i="1"/>
  <c r="W4032" i="1"/>
  <c r="W4028" i="1"/>
  <c r="W4024" i="1"/>
  <c r="W4020" i="1"/>
  <c r="W4016" i="1"/>
  <c r="W4012" i="1"/>
  <c r="W4008" i="1"/>
  <c r="W4004" i="1"/>
  <c r="W4000" i="1"/>
  <c r="W3996" i="1"/>
  <c r="W3992" i="1"/>
  <c r="W3988" i="1"/>
  <c r="W3984" i="1"/>
  <c r="W3980" i="1"/>
  <c r="W3976" i="1"/>
  <c r="W3972" i="1"/>
  <c r="W3968" i="1"/>
  <c r="W3964" i="1"/>
  <c r="W3960" i="1"/>
  <c r="W3956" i="1"/>
  <c r="W3952" i="1"/>
  <c r="W3948" i="1"/>
  <c r="W3944" i="1"/>
  <c r="W3940" i="1"/>
  <c r="W3936" i="1"/>
  <c r="W3932" i="1"/>
  <c r="W3928" i="1"/>
  <c r="W3924" i="1"/>
  <c r="W3920" i="1"/>
  <c r="W3916" i="1"/>
  <c r="W3912" i="1"/>
  <c r="W3908" i="1"/>
  <c r="W3904" i="1"/>
  <c r="W3900" i="1"/>
  <c r="W3896" i="1"/>
  <c r="W3892" i="1"/>
  <c r="W3888" i="1"/>
  <c r="W3884" i="1"/>
  <c r="W3880" i="1"/>
  <c r="W3876" i="1"/>
  <c r="W3872" i="1"/>
  <c r="W3868" i="1"/>
  <c r="W3864" i="1"/>
  <c r="W3860" i="1"/>
  <c r="W3856" i="1"/>
  <c r="W3852" i="1"/>
  <c r="W3848" i="1"/>
  <c r="W3844" i="1"/>
  <c r="W3840" i="1"/>
  <c r="W3836" i="1"/>
  <c r="W3832" i="1"/>
  <c r="W3828" i="1"/>
  <c r="W3824" i="1"/>
  <c r="W3820" i="1"/>
  <c r="W3816" i="1"/>
  <c r="W3812" i="1"/>
  <c r="W3808" i="1"/>
  <c r="W3804" i="1"/>
  <c r="W3800" i="1"/>
  <c r="W3796" i="1"/>
  <c r="W3792" i="1"/>
  <c r="W3788" i="1"/>
  <c r="W3784" i="1"/>
  <c r="W3780" i="1"/>
  <c r="W3776" i="1"/>
  <c r="W3772" i="1"/>
  <c r="W3768" i="1"/>
  <c r="W3764" i="1"/>
  <c r="W3760" i="1"/>
  <c r="W3756" i="1"/>
  <c r="W3752" i="1"/>
  <c r="W3748" i="1"/>
  <c r="W3744" i="1"/>
  <c r="W3740" i="1"/>
  <c r="W3736" i="1"/>
  <c r="W3732" i="1"/>
  <c r="W3728" i="1"/>
  <c r="W3724" i="1"/>
  <c r="W3720" i="1"/>
  <c r="W3716" i="1"/>
  <c r="W3712" i="1"/>
  <c r="W3708" i="1"/>
  <c r="W3704" i="1"/>
  <c r="W3700" i="1"/>
  <c r="W3696" i="1"/>
  <c r="W3692" i="1"/>
  <c r="W3688" i="1"/>
  <c r="W3684" i="1"/>
  <c r="W3680" i="1"/>
  <c r="W3676" i="1"/>
  <c r="W3672" i="1"/>
  <c r="W3668" i="1"/>
  <c r="W3664" i="1"/>
  <c r="W3660" i="1"/>
  <c r="W3656" i="1"/>
  <c r="W3652" i="1"/>
  <c r="W3648" i="1"/>
  <c r="W3644" i="1"/>
  <c r="W3640" i="1"/>
  <c r="W3636" i="1"/>
  <c r="W3632" i="1"/>
  <c r="W3628" i="1"/>
  <c r="W3624" i="1"/>
  <c r="W3620" i="1"/>
  <c r="W3616" i="1"/>
  <c r="W3612" i="1"/>
  <c r="W3608" i="1"/>
  <c r="W3604" i="1"/>
  <c r="W3600" i="1"/>
  <c r="W3596" i="1"/>
  <c r="W3592" i="1"/>
  <c r="W3588" i="1"/>
  <c r="W3584" i="1"/>
  <c r="W3580" i="1"/>
  <c r="W3576" i="1"/>
  <c r="W3572" i="1"/>
  <c r="W3568" i="1"/>
  <c r="W3564" i="1"/>
  <c r="W3560" i="1"/>
  <c r="W3556" i="1"/>
  <c r="W3552" i="1"/>
  <c r="W3548" i="1"/>
  <c r="W3544" i="1"/>
  <c r="W3540" i="1"/>
  <c r="W3536" i="1"/>
  <c r="W3532" i="1"/>
  <c r="W3528" i="1"/>
  <c r="W3524" i="1"/>
  <c r="W3520" i="1"/>
  <c r="W3516" i="1"/>
  <c r="W3512" i="1"/>
  <c r="W3508" i="1"/>
  <c r="W3504" i="1"/>
  <c r="W3500" i="1"/>
  <c r="W3496" i="1"/>
  <c r="W3492" i="1"/>
  <c r="W3488" i="1"/>
  <c r="W3484" i="1"/>
  <c r="W3480" i="1"/>
  <c r="W3476" i="1"/>
  <c r="W3472" i="1"/>
  <c r="W3468" i="1"/>
  <c r="W3464" i="1"/>
  <c r="W3460" i="1"/>
  <c r="W3456" i="1"/>
  <c r="W3452" i="1"/>
  <c r="W3448" i="1"/>
  <c r="W3444" i="1"/>
  <c r="W3440" i="1"/>
  <c r="W3436" i="1"/>
  <c r="W3432" i="1"/>
  <c r="W3428" i="1"/>
  <c r="W3424" i="1"/>
  <c r="W3420" i="1"/>
  <c r="W3416" i="1"/>
  <c r="W3412" i="1"/>
  <c r="W3408" i="1"/>
  <c r="W3404" i="1"/>
  <c r="W3400" i="1"/>
  <c r="W3396" i="1"/>
  <c r="W3392" i="1"/>
  <c r="W3388" i="1"/>
  <c r="W3384" i="1"/>
  <c r="W3380" i="1"/>
  <c r="W3376" i="1"/>
  <c r="W3372" i="1"/>
  <c r="W3368" i="1"/>
  <c r="W3364" i="1"/>
  <c r="W3360" i="1"/>
  <c r="W3356" i="1"/>
  <c r="W3352" i="1"/>
  <c r="W3348" i="1"/>
  <c r="W3344" i="1"/>
  <c r="W3340" i="1"/>
  <c r="W3336" i="1"/>
  <c r="W3332" i="1"/>
  <c r="W3328" i="1"/>
  <c r="W3324" i="1"/>
  <c r="W3320" i="1"/>
  <c r="W3316" i="1"/>
  <c r="W3312" i="1"/>
  <c r="W3308" i="1"/>
  <c r="W3304" i="1"/>
  <c r="W3300" i="1"/>
  <c r="W3296" i="1"/>
  <c r="W3292" i="1"/>
  <c r="W3288" i="1"/>
  <c r="W3284" i="1"/>
  <c r="W3280" i="1"/>
  <c r="W3276" i="1"/>
  <c r="W3272" i="1"/>
  <c r="W3268" i="1"/>
  <c r="W3264" i="1"/>
  <c r="W3260" i="1"/>
  <c r="W3256" i="1"/>
  <c r="W3252" i="1"/>
  <c r="W3248" i="1"/>
  <c r="W3244" i="1"/>
  <c r="W3240" i="1"/>
  <c r="W3236" i="1"/>
  <c r="W3232" i="1"/>
  <c r="W3228" i="1"/>
  <c r="W3224" i="1"/>
  <c r="W3220" i="1"/>
  <c r="W3216" i="1"/>
  <c r="W3212" i="1"/>
  <c r="W3208" i="1"/>
  <c r="W3204" i="1"/>
  <c r="W3200" i="1"/>
  <c r="W3196" i="1"/>
  <c r="W3192" i="1"/>
  <c r="W3188" i="1"/>
  <c r="W3184" i="1"/>
  <c r="W3180" i="1"/>
  <c r="W3176" i="1"/>
  <c r="W3172" i="1"/>
  <c r="W3168" i="1"/>
  <c r="W3164" i="1"/>
  <c r="W3160" i="1"/>
  <c r="W3156" i="1"/>
  <c r="W3152" i="1"/>
  <c r="W3148" i="1"/>
  <c r="W3144" i="1"/>
  <c r="W3140" i="1"/>
  <c r="W3136" i="1"/>
  <c r="W3132" i="1"/>
  <c r="W3128" i="1"/>
  <c r="W3124" i="1"/>
  <c r="W3120" i="1"/>
  <c r="W3116" i="1"/>
  <c r="W3112" i="1"/>
  <c r="W3108" i="1"/>
  <c r="W3104" i="1"/>
  <c r="W3100" i="1"/>
  <c r="W3096" i="1"/>
  <c r="W3092" i="1"/>
  <c r="W3088" i="1"/>
  <c r="W3084" i="1"/>
  <c r="W3080" i="1"/>
  <c r="W3076" i="1"/>
  <c r="W3072" i="1"/>
  <c r="W3068" i="1"/>
  <c r="W3064" i="1"/>
  <c r="W3060" i="1"/>
  <c r="W3056" i="1"/>
  <c r="W3052" i="1"/>
  <c r="W3048" i="1"/>
  <c r="W3044" i="1"/>
  <c r="W3040" i="1"/>
  <c r="W3036" i="1"/>
  <c r="W3032" i="1"/>
  <c r="W3028" i="1"/>
  <c r="W3024" i="1"/>
  <c r="W3020" i="1"/>
  <c r="W3016" i="1"/>
  <c r="W3012" i="1"/>
  <c r="W3008" i="1"/>
  <c r="W3004" i="1"/>
  <c r="W3000" i="1"/>
  <c r="W2996" i="1"/>
  <c r="W2992" i="1"/>
  <c r="W2988" i="1"/>
  <c r="W2984" i="1"/>
  <c r="W2980" i="1"/>
  <c r="W2976" i="1"/>
  <c r="W2972" i="1"/>
  <c r="W2968" i="1"/>
  <c r="W2964" i="1"/>
  <c r="W2960" i="1"/>
  <c r="W2956" i="1"/>
  <c r="W2952" i="1"/>
  <c r="W2948" i="1"/>
  <c r="W2944" i="1"/>
  <c r="W2940" i="1"/>
  <c r="W2936" i="1"/>
  <c r="W2932" i="1"/>
  <c r="W2928" i="1"/>
  <c r="W2924" i="1"/>
  <c r="W2920" i="1"/>
  <c r="W2916" i="1"/>
  <c r="W2912" i="1"/>
  <c r="W2908" i="1"/>
  <c r="W2904" i="1"/>
  <c r="W2900" i="1"/>
  <c r="W2896" i="1"/>
  <c r="W2892" i="1"/>
  <c r="W2888" i="1"/>
  <c r="W2884" i="1"/>
  <c r="W2880" i="1"/>
  <c r="W2876" i="1"/>
  <c r="W2872" i="1"/>
  <c r="W2868" i="1"/>
  <c r="W2864" i="1"/>
  <c r="W2860" i="1"/>
  <c r="W2856" i="1"/>
  <c r="W2852" i="1"/>
  <c r="W2848" i="1"/>
  <c r="W2844" i="1"/>
  <c r="W2840" i="1"/>
  <c r="W2836" i="1"/>
  <c r="W2832" i="1"/>
  <c r="W2828" i="1"/>
  <c r="W2824" i="1"/>
  <c r="W2820" i="1"/>
  <c r="W2816" i="1"/>
  <c r="W2812" i="1"/>
  <c r="W2808" i="1"/>
  <c r="W2804" i="1"/>
  <c r="W2800" i="1"/>
  <c r="W2796" i="1"/>
  <c r="W2792" i="1"/>
  <c r="W2788" i="1"/>
  <c r="W2784" i="1"/>
  <c r="W2780" i="1"/>
  <c r="W2776" i="1"/>
  <c r="W2772" i="1"/>
  <c r="W2768" i="1"/>
  <c r="W2764" i="1"/>
  <c r="W2760" i="1"/>
  <c r="W2756" i="1"/>
  <c r="W2752" i="1"/>
  <c r="W2748" i="1"/>
  <c r="W2744" i="1"/>
  <c r="W2740" i="1"/>
  <c r="W2736" i="1"/>
  <c r="W2732" i="1"/>
  <c r="W2728" i="1"/>
  <c r="W2724" i="1"/>
  <c r="W2720" i="1"/>
  <c r="W2716" i="1"/>
  <c r="W2712" i="1"/>
  <c r="W2708" i="1"/>
  <c r="W2704" i="1"/>
  <c r="W2700" i="1"/>
  <c r="W2696" i="1"/>
  <c r="W2692" i="1"/>
  <c r="W2688" i="1"/>
  <c r="W2684" i="1"/>
  <c r="W2680" i="1"/>
  <c r="W2676" i="1"/>
  <c r="W2672" i="1"/>
  <c r="W2668" i="1"/>
  <c r="W2664" i="1"/>
  <c r="W2660" i="1"/>
  <c r="W2656" i="1"/>
  <c r="W2652" i="1"/>
  <c r="W2648" i="1"/>
  <c r="W2644" i="1"/>
  <c r="W2640" i="1"/>
  <c r="W2636" i="1"/>
  <c r="W2632" i="1"/>
  <c r="W2628" i="1"/>
  <c r="W2624" i="1"/>
  <c r="W2620" i="1"/>
  <c r="W2616" i="1"/>
  <c r="W2612" i="1"/>
  <c r="W2608" i="1"/>
  <c r="W2604" i="1"/>
  <c r="W2600" i="1"/>
  <c r="W2596" i="1"/>
  <c r="W2592" i="1"/>
  <c r="W2588" i="1"/>
  <c r="W2584" i="1"/>
  <c r="W2580" i="1"/>
  <c r="W2576" i="1"/>
  <c r="W2572" i="1"/>
  <c r="W2568" i="1"/>
  <c r="W2564" i="1"/>
  <c r="W2560" i="1"/>
  <c r="W2556" i="1"/>
  <c r="W2552" i="1"/>
  <c r="W2548" i="1"/>
  <c r="W2544" i="1"/>
  <c r="W2540" i="1"/>
  <c r="W2536" i="1"/>
  <c r="W2532" i="1"/>
  <c r="W2528" i="1"/>
  <c r="W2524" i="1"/>
  <c r="W2520" i="1"/>
  <c r="W2516" i="1"/>
  <c r="W2512" i="1"/>
  <c r="W2508" i="1"/>
  <c r="W2504" i="1"/>
  <c r="W2500" i="1"/>
  <c r="W2496" i="1"/>
  <c r="W2492" i="1"/>
  <c r="W2488" i="1"/>
  <c r="W2484" i="1"/>
  <c r="W2480" i="1"/>
  <c r="W2476" i="1"/>
  <c r="W2472" i="1"/>
  <c r="W2468" i="1"/>
  <c r="W2464" i="1"/>
  <c r="W2460" i="1"/>
  <c r="W2456" i="1"/>
  <c r="W2452" i="1"/>
  <c r="W2448" i="1"/>
  <c r="W2444" i="1"/>
  <c r="W2440" i="1"/>
  <c r="W2436" i="1"/>
  <c r="W2432" i="1"/>
  <c r="W2428" i="1"/>
  <c r="W2424" i="1"/>
  <c r="W2420" i="1"/>
  <c r="W2416" i="1"/>
  <c r="W2412" i="1"/>
  <c r="W2408" i="1"/>
  <c r="W2404" i="1"/>
  <c r="W2400" i="1"/>
  <c r="W2396" i="1"/>
  <c r="W2392" i="1"/>
  <c r="W2388" i="1"/>
  <c r="W2384" i="1"/>
  <c r="W2380" i="1"/>
  <c r="W2376" i="1"/>
  <c r="W2372" i="1"/>
  <c r="W2368" i="1"/>
  <c r="W2364" i="1"/>
  <c r="W2360" i="1"/>
  <c r="W2356" i="1"/>
  <c r="W2352" i="1"/>
  <c r="W2348" i="1"/>
  <c r="W2344" i="1"/>
  <c r="W2340" i="1"/>
  <c r="W2336" i="1"/>
  <c r="W2332" i="1"/>
  <c r="W2328" i="1"/>
  <c r="W2324" i="1"/>
  <c r="W2320" i="1"/>
  <c r="W2316" i="1"/>
  <c r="W2312" i="1"/>
  <c r="W2308" i="1"/>
  <c r="W2304" i="1"/>
  <c r="W2300" i="1"/>
  <c r="W2296" i="1"/>
  <c r="W2292" i="1"/>
  <c r="W2288" i="1"/>
  <c r="W2284" i="1"/>
  <c r="W2280" i="1"/>
  <c r="W2276" i="1"/>
  <c r="W2272" i="1"/>
  <c r="W2268" i="1"/>
  <c r="W2264" i="1"/>
  <c r="W2260" i="1"/>
  <c r="W2256" i="1"/>
  <c r="W2252" i="1"/>
  <c r="W2248" i="1"/>
  <c r="W2244" i="1"/>
  <c r="W2240" i="1"/>
  <c r="W2236" i="1"/>
  <c r="W2232" i="1"/>
  <c r="W2228" i="1"/>
  <c r="W2224" i="1"/>
  <c r="W2220" i="1"/>
  <c r="W2216" i="1"/>
  <c r="W2212" i="1"/>
  <c r="W2208" i="1"/>
  <c r="W2204" i="1"/>
  <c r="W2200" i="1"/>
  <c r="W2196" i="1"/>
  <c r="W2192" i="1"/>
  <c r="W2188" i="1"/>
  <c r="W2184" i="1"/>
  <c r="W2180" i="1"/>
  <c r="W2176" i="1"/>
  <c r="W2172" i="1"/>
  <c r="W2168" i="1"/>
  <c r="W2164" i="1"/>
  <c r="W2160" i="1"/>
  <c r="W2156" i="1"/>
  <c r="W2152" i="1"/>
  <c r="W2148" i="1"/>
  <c r="W2144" i="1"/>
  <c r="W2140" i="1"/>
  <c r="W2136" i="1"/>
  <c r="W2132" i="1"/>
  <c r="W2128" i="1"/>
  <c r="W2124" i="1"/>
  <c r="W2120" i="1"/>
  <c r="W2116" i="1"/>
  <c r="W2112" i="1"/>
  <c r="W2108" i="1"/>
  <c r="W2104" i="1"/>
  <c r="W2100" i="1"/>
  <c r="W2096" i="1"/>
  <c r="W2092" i="1"/>
  <c r="W2088" i="1"/>
  <c r="W2084" i="1"/>
  <c r="W2080" i="1"/>
  <c r="W2076" i="1"/>
  <c r="W2072" i="1"/>
  <c r="W2068" i="1"/>
  <c r="W2064" i="1"/>
  <c r="W2060" i="1"/>
  <c r="W2056" i="1"/>
  <c r="W2052" i="1"/>
  <c r="W2048" i="1"/>
  <c r="W2044" i="1"/>
  <c r="W2040" i="1"/>
  <c r="W2036" i="1"/>
  <c r="W2032" i="1"/>
  <c r="W2028" i="1"/>
  <c r="W2024" i="1"/>
  <c r="W2020" i="1"/>
  <c r="W2016" i="1"/>
  <c r="W2012" i="1"/>
  <c r="W2008" i="1"/>
  <c r="W2004" i="1"/>
  <c r="W2000" i="1"/>
  <c r="W1996" i="1"/>
  <c r="W1992" i="1"/>
  <c r="W1988" i="1"/>
  <c r="W1984" i="1"/>
  <c r="W1980" i="1"/>
  <c r="W1976" i="1"/>
  <c r="W1972" i="1"/>
  <c r="W1968" i="1"/>
  <c r="W1964" i="1"/>
  <c r="W1960" i="1"/>
  <c r="W1956" i="1"/>
  <c r="W1952" i="1"/>
  <c r="W1948" i="1"/>
  <c r="W1944" i="1"/>
  <c r="W1940" i="1"/>
  <c r="W1936" i="1"/>
  <c r="W1932" i="1"/>
  <c r="W1928" i="1"/>
  <c r="W1924" i="1"/>
  <c r="W1920" i="1"/>
  <c r="W1916" i="1"/>
  <c r="W1912" i="1"/>
  <c r="W1908" i="1"/>
  <c r="W1904" i="1"/>
  <c r="W1900" i="1"/>
  <c r="W1896" i="1"/>
  <c r="W1892" i="1"/>
  <c r="W1888" i="1"/>
  <c r="W1884" i="1"/>
  <c r="W1880" i="1"/>
  <c r="W1876" i="1"/>
  <c r="W1872" i="1"/>
  <c r="W1868" i="1"/>
  <c r="W1864" i="1"/>
  <c r="W1860" i="1"/>
  <c r="W1856" i="1"/>
  <c r="W1852" i="1"/>
  <c r="W1848" i="1"/>
  <c r="W1844" i="1"/>
  <c r="W1840" i="1"/>
  <c r="W1836" i="1"/>
  <c r="W1832" i="1"/>
  <c r="W1828" i="1"/>
  <c r="W1824" i="1"/>
  <c r="W1820" i="1"/>
  <c r="W1816" i="1"/>
  <c r="W1812" i="1"/>
  <c r="W1808" i="1"/>
  <c r="W1804" i="1"/>
  <c r="W1800" i="1"/>
  <c r="W1796" i="1"/>
  <c r="W1792" i="1"/>
  <c r="W1788" i="1"/>
  <c r="W1784" i="1"/>
  <c r="W1780" i="1"/>
  <c r="W1776" i="1"/>
  <c r="W1772" i="1"/>
  <c r="W1768" i="1"/>
  <c r="W1764" i="1"/>
  <c r="W1760" i="1"/>
  <c r="W1756" i="1"/>
  <c r="W1752" i="1"/>
  <c r="W1748" i="1"/>
  <c r="W1744" i="1"/>
  <c r="W1740" i="1"/>
  <c r="W1736" i="1"/>
  <c r="W1732" i="1"/>
  <c r="W1728" i="1"/>
  <c r="W1724" i="1"/>
  <c r="W1720" i="1"/>
  <c r="W1716" i="1"/>
  <c r="W1712" i="1"/>
  <c r="W1708" i="1"/>
  <c r="W1704" i="1"/>
  <c r="W1700" i="1"/>
  <c r="W1696" i="1"/>
  <c r="W1692" i="1"/>
  <c r="W1688" i="1"/>
  <c r="W1684" i="1"/>
  <c r="W1680" i="1"/>
  <c r="W1676" i="1"/>
  <c r="W1672" i="1"/>
  <c r="W1668" i="1"/>
  <c r="W1664" i="1"/>
  <c r="W1660" i="1"/>
  <c r="W1656" i="1"/>
  <c r="W1652" i="1"/>
  <c r="W1648" i="1"/>
  <c r="W1644" i="1"/>
  <c r="W1640" i="1"/>
  <c r="W1636" i="1"/>
  <c r="W1632" i="1"/>
  <c r="W1628" i="1"/>
  <c r="W1624" i="1"/>
  <c r="W1620" i="1"/>
  <c r="W1616" i="1"/>
  <c r="W1612" i="1"/>
  <c r="W1608" i="1"/>
  <c r="W1604" i="1"/>
  <c r="W1600" i="1"/>
  <c r="W1596" i="1"/>
  <c r="W1592" i="1"/>
  <c r="W1588" i="1"/>
  <c r="W1584" i="1"/>
  <c r="W1580" i="1"/>
  <c r="W1576" i="1"/>
  <c r="W1572" i="1"/>
  <c r="W1568" i="1"/>
  <c r="W1564" i="1"/>
  <c r="W1560" i="1"/>
  <c r="W1556" i="1"/>
  <c r="W1552" i="1"/>
  <c r="W1548" i="1"/>
  <c r="W1544" i="1"/>
  <c r="W1540" i="1"/>
  <c r="W1536" i="1"/>
  <c r="W1532" i="1"/>
  <c r="W1528" i="1"/>
  <c r="W1524" i="1"/>
  <c r="W1520" i="1"/>
  <c r="W1516" i="1"/>
  <c r="W1512" i="1"/>
  <c r="W1508" i="1"/>
  <c r="W1504" i="1"/>
  <c r="W1500" i="1"/>
  <c r="W1496" i="1"/>
  <c r="W1492" i="1"/>
  <c r="W1488" i="1"/>
  <c r="W1484" i="1"/>
  <c r="W1480" i="1"/>
  <c r="W1476" i="1"/>
  <c r="W1472" i="1"/>
  <c r="W1468" i="1"/>
  <c r="W1464" i="1"/>
  <c r="W1460" i="1"/>
  <c r="W1456" i="1"/>
  <c r="W1452" i="1"/>
  <c r="W1448" i="1"/>
  <c r="W1444" i="1"/>
  <c r="W1440" i="1"/>
  <c r="W1436" i="1"/>
  <c r="W1432" i="1"/>
  <c r="W1428" i="1"/>
  <c r="W1424" i="1"/>
  <c r="W1420" i="1"/>
  <c r="W1416" i="1"/>
  <c r="W1412" i="1"/>
  <c r="W1408" i="1"/>
  <c r="W1404" i="1"/>
  <c r="W1400" i="1"/>
  <c r="W1396" i="1"/>
  <c r="W1392" i="1"/>
  <c r="W1388" i="1"/>
  <c r="W1384" i="1"/>
  <c r="W1380" i="1"/>
  <c r="W1376" i="1"/>
  <c r="W1372" i="1"/>
  <c r="W1368" i="1"/>
  <c r="W1364" i="1"/>
  <c r="W1360" i="1"/>
  <c r="W1356" i="1"/>
  <c r="W1352" i="1"/>
  <c r="W1348" i="1"/>
  <c r="W1344" i="1"/>
  <c r="W1340" i="1"/>
  <c r="W1336" i="1"/>
  <c r="W1332" i="1"/>
  <c r="W1328" i="1"/>
  <c r="W1324" i="1"/>
  <c r="W1320" i="1"/>
  <c r="W1316" i="1"/>
  <c r="W1312" i="1"/>
  <c r="W1308" i="1"/>
  <c r="W1304" i="1"/>
  <c r="W1300" i="1"/>
  <c r="W1296" i="1"/>
  <c r="W1292" i="1"/>
  <c r="W1288" i="1"/>
  <c r="W1284" i="1"/>
  <c r="W1280" i="1"/>
  <c r="W1276" i="1"/>
  <c r="W1272" i="1"/>
  <c r="W1268" i="1"/>
  <c r="W1264" i="1"/>
  <c r="W1260" i="1"/>
  <c r="W1256" i="1"/>
  <c r="W1252" i="1"/>
  <c r="W1248" i="1"/>
  <c r="W1244" i="1"/>
  <c r="W1240" i="1"/>
  <c r="W1236" i="1"/>
  <c r="W1232" i="1"/>
  <c r="W1228" i="1"/>
  <c r="W1224" i="1"/>
  <c r="W1220" i="1"/>
  <c r="W1216" i="1"/>
  <c r="W1212" i="1"/>
  <c r="W1208" i="1"/>
  <c r="W1204" i="1"/>
  <c r="W1200" i="1"/>
  <c r="W1196" i="1"/>
  <c r="W1192" i="1"/>
  <c r="W1188" i="1"/>
  <c r="W1184" i="1"/>
  <c r="W1180" i="1"/>
  <c r="W1176" i="1"/>
  <c r="W1172" i="1"/>
  <c r="W1168" i="1"/>
  <c r="W1164" i="1"/>
  <c r="W1160" i="1"/>
  <c r="W1156" i="1"/>
  <c r="W1152" i="1"/>
  <c r="W1148" i="1"/>
  <c r="W1144" i="1"/>
  <c r="W1140" i="1"/>
  <c r="W1136" i="1"/>
  <c r="W1132" i="1"/>
  <c r="W1128" i="1"/>
  <c r="W1124" i="1"/>
  <c r="W1120" i="1"/>
  <c r="W1116" i="1"/>
  <c r="W1112" i="1"/>
  <c r="W1108" i="1"/>
  <c r="W1104" i="1"/>
  <c r="W1100" i="1"/>
  <c r="W1096" i="1"/>
  <c r="W1092" i="1"/>
  <c r="W1088" i="1"/>
  <c r="W1084" i="1"/>
  <c r="W1080" i="1"/>
  <c r="W1076" i="1"/>
  <c r="W1072" i="1"/>
  <c r="W1068" i="1"/>
  <c r="W1064" i="1"/>
  <c r="W1060" i="1"/>
  <c r="W1056" i="1"/>
  <c r="W1052" i="1"/>
  <c r="W1048" i="1"/>
  <c r="W1044" i="1"/>
  <c r="W1040" i="1"/>
  <c r="W1036" i="1"/>
  <c r="W1032" i="1"/>
  <c r="W1028" i="1"/>
  <c r="W1024" i="1"/>
  <c r="W1020" i="1"/>
  <c r="W1016" i="1"/>
  <c r="W1012" i="1"/>
  <c r="W1008" i="1"/>
  <c r="W1004" i="1"/>
  <c r="W1000" i="1"/>
  <c r="W996" i="1"/>
  <c r="W992" i="1"/>
  <c r="W988" i="1"/>
  <c r="W984" i="1"/>
  <c r="W980" i="1"/>
  <c r="W976" i="1"/>
  <c r="W972" i="1"/>
  <c r="W968" i="1"/>
  <c r="W964" i="1"/>
  <c r="W960" i="1"/>
  <c r="W956" i="1"/>
  <c r="W952" i="1"/>
  <c r="W948" i="1"/>
  <c r="W944" i="1"/>
  <c r="W940" i="1"/>
  <c r="W936" i="1"/>
  <c r="W932" i="1"/>
  <c r="W928" i="1"/>
  <c r="W924" i="1"/>
  <c r="W920" i="1"/>
  <c r="W916" i="1"/>
  <c r="W912" i="1"/>
  <c r="W908" i="1"/>
  <c r="W904" i="1"/>
  <c r="W900" i="1"/>
  <c r="W896" i="1"/>
  <c r="W892" i="1"/>
  <c r="W888" i="1"/>
  <c r="W884" i="1"/>
  <c r="W880" i="1"/>
  <c r="W876" i="1"/>
  <c r="W872" i="1"/>
  <c r="W868" i="1"/>
  <c r="W864" i="1"/>
  <c r="W860" i="1"/>
  <c r="W856" i="1"/>
  <c r="W852" i="1"/>
  <c r="W848" i="1"/>
  <c r="W844" i="1"/>
  <c r="W840" i="1"/>
  <c r="W836" i="1"/>
  <c r="W832" i="1"/>
  <c r="W828" i="1"/>
  <c r="W824" i="1"/>
  <c r="W820" i="1"/>
  <c r="W816" i="1"/>
  <c r="W812" i="1"/>
  <c r="W808" i="1"/>
  <c r="W804" i="1"/>
  <c r="W800" i="1"/>
  <c r="W796" i="1"/>
  <c r="W792" i="1"/>
  <c r="W788" i="1"/>
  <c r="W784" i="1"/>
  <c r="W780" i="1"/>
  <c r="W776" i="1"/>
  <c r="W772" i="1"/>
  <c r="W768" i="1"/>
  <c r="W764" i="1"/>
  <c r="W760" i="1"/>
  <c r="W756" i="1"/>
  <c r="W752" i="1"/>
  <c r="W748" i="1"/>
  <c r="W744" i="1"/>
  <c r="W740" i="1"/>
  <c r="W736" i="1"/>
  <c r="W732" i="1"/>
  <c r="W728" i="1"/>
  <c r="W724" i="1"/>
  <c r="W720" i="1"/>
  <c r="W716" i="1"/>
  <c r="W712" i="1"/>
  <c r="W708" i="1"/>
  <c r="W704" i="1"/>
  <c r="W700" i="1"/>
  <c r="W696" i="1"/>
  <c r="W692" i="1"/>
  <c r="W688" i="1"/>
  <c r="W684" i="1"/>
  <c r="W680" i="1"/>
  <c r="W676" i="1"/>
  <c r="W672" i="1"/>
  <c r="W668" i="1"/>
  <c r="W664" i="1"/>
  <c r="W660" i="1"/>
  <c r="W656" i="1"/>
  <c r="W652" i="1"/>
  <c r="W648" i="1"/>
  <c r="W644" i="1"/>
  <c r="W640" i="1"/>
  <c r="W636" i="1"/>
  <c r="W632" i="1"/>
  <c r="W628" i="1"/>
  <c r="W624" i="1"/>
  <c r="W620" i="1"/>
  <c r="W616" i="1"/>
  <c r="W612" i="1"/>
  <c r="W608" i="1"/>
  <c r="W604" i="1"/>
  <c r="W600" i="1"/>
  <c r="W596" i="1"/>
  <c r="W592" i="1"/>
  <c r="W588" i="1"/>
  <c r="W584" i="1"/>
  <c r="W580" i="1"/>
  <c r="W576" i="1"/>
  <c r="W572" i="1"/>
  <c r="W568" i="1"/>
  <c r="W564" i="1"/>
  <c r="W560" i="1"/>
  <c r="W556" i="1"/>
  <c r="W552" i="1"/>
  <c r="W548" i="1"/>
  <c r="W544" i="1"/>
  <c r="W540" i="1"/>
  <c r="W536" i="1"/>
  <c r="W532" i="1"/>
  <c r="W528" i="1"/>
  <c r="W524" i="1"/>
  <c r="W520" i="1"/>
  <c r="W516" i="1"/>
  <c r="W512" i="1"/>
  <c r="W508" i="1"/>
  <c r="W504" i="1"/>
  <c r="W500" i="1"/>
  <c r="W496" i="1"/>
  <c r="W492" i="1"/>
  <c r="W488" i="1"/>
  <c r="W484" i="1"/>
  <c r="W480" i="1"/>
  <c r="W476" i="1"/>
  <c r="W472" i="1"/>
  <c r="W468" i="1"/>
  <c r="W464" i="1"/>
  <c r="W460" i="1"/>
  <c r="W456" i="1"/>
  <c r="W452" i="1"/>
  <c r="W448" i="1"/>
  <c r="W444" i="1"/>
  <c r="W440" i="1"/>
  <c r="W436" i="1"/>
  <c r="W432" i="1"/>
  <c r="W428" i="1"/>
  <c r="W424" i="1"/>
  <c r="W420" i="1"/>
  <c r="W416" i="1"/>
  <c r="W412" i="1"/>
  <c r="W408" i="1"/>
  <c r="W404" i="1"/>
  <c r="W400" i="1"/>
  <c r="W396" i="1"/>
  <c r="W392" i="1"/>
  <c r="W388" i="1"/>
  <c r="W384" i="1"/>
  <c r="W380" i="1"/>
  <c r="W376" i="1"/>
  <c r="W372" i="1"/>
  <c r="W368" i="1"/>
  <c r="W364" i="1"/>
  <c r="W360" i="1"/>
  <c r="W356" i="1"/>
  <c r="W352" i="1"/>
  <c r="W348" i="1"/>
  <c r="W344" i="1"/>
  <c r="W340" i="1"/>
  <c r="W336" i="1"/>
  <c r="W332" i="1"/>
  <c r="W328" i="1"/>
  <c r="W324" i="1"/>
  <c r="W320" i="1"/>
  <c r="W316" i="1"/>
  <c r="W312" i="1"/>
  <c r="W308" i="1"/>
  <c r="W304" i="1"/>
  <c r="W300" i="1"/>
  <c r="W296" i="1"/>
  <c r="W292" i="1"/>
  <c r="W288" i="1"/>
  <c r="W284" i="1"/>
  <c r="W280" i="1"/>
  <c r="W276" i="1"/>
  <c r="W272" i="1"/>
  <c r="W268" i="1"/>
  <c r="W264" i="1"/>
  <c r="W260" i="1"/>
  <c r="W256" i="1"/>
  <c r="W252" i="1"/>
  <c r="W248" i="1"/>
  <c r="W244" i="1"/>
  <c r="W240" i="1"/>
  <c r="W236" i="1"/>
  <c r="W232" i="1"/>
  <c r="W228" i="1"/>
  <c r="W224" i="1"/>
  <c r="W220" i="1"/>
  <c r="W216" i="1"/>
  <c r="W212" i="1"/>
  <c r="W208" i="1"/>
  <c r="W204" i="1"/>
  <c r="W200" i="1"/>
  <c r="W196" i="1"/>
  <c r="W192" i="1"/>
  <c r="W188" i="1"/>
  <c r="W184" i="1"/>
  <c r="W180" i="1"/>
  <c r="W176" i="1"/>
  <c r="W172" i="1"/>
  <c r="W168" i="1"/>
  <c r="W164" i="1"/>
  <c r="W160" i="1"/>
  <c r="W156" i="1"/>
  <c r="W152" i="1"/>
  <c r="W148" i="1"/>
  <c r="W144" i="1"/>
  <c r="W140" i="1"/>
  <c r="W136" i="1"/>
  <c r="W132" i="1"/>
  <c r="W128" i="1"/>
  <c r="W124" i="1"/>
  <c r="W120" i="1"/>
  <c r="W116" i="1"/>
  <c r="W112" i="1"/>
  <c r="W108" i="1"/>
  <c r="W104" i="1"/>
  <c r="W100" i="1"/>
  <c r="W96" i="1"/>
  <c r="W92" i="1"/>
  <c r="W88" i="1"/>
  <c r="W84" i="1"/>
  <c r="W80" i="1"/>
  <c r="W76" i="1"/>
  <c r="W72" i="1"/>
  <c r="W68" i="1"/>
  <c r="W64" i="1"/>
  <c r="W60" i="1"/>
  <c r="W56" i="1"/>
  <c r="W52" i="1"/>
  <c r="W48" i="1"/>
  <c r="W44" i="1"/>
  <c r="W40" i="1"/>
  <c r="W36" i="1"/>
  <c r="W32" i="1"/>
  <c r="W28" i="1"/>
  <c r="W24" i="1"/>
  <c r="W20" i="1"/>
  <c r="W16" i="1"/>
  <c r="W12" i="1"/>
  <c r="W8" i="1"/>
  <c r="W4" i="1"/>
  <c r="W8163" i="1"/>
  <c r="W8159" i="1"/>
  <c r="W8155" i="1"/>
  <c r="W8151" i="1"/>
  <c r="W8147" i="1"/>
  <c r="W8143" i="1"/>
  <c r="W8139" i="1"/>
  <c r="W8135" i="1"/>
  <c r="W8131" i="1"/>
  <c r="W8127" i="1"/>
  <c r="W8123" i="1"/>
  <c r="W8119" i="1"/>
  <c r="W8115" i="1"/>
  <c r="W8111" i="1"/>
  <c r="W8107" i="1"/>
  <c r="W8103" i="1"/>
  <c r="W8099" i="1"/>
  <c r="W8095" i="1"/>
  <c r="W8091" i="1"/>
  <c r="W8087" i="1"/>
  <c r="W8083" i="1"/>
  <c r="W8079" i="1"/>
  <c r="W8075" i="1"/>
  <c r="W8071" i="1"/>
  <c r="W8067" i="1"/>
  <c r="W8063" i="1"/>
  <c r="W8059" i="1"/>
  <c r="W8055" i="1"/>
  <c r="W8051" i="1"/>
  <c r="W8047" i="1"/>
  <c r="W8043" i="1"/>
  <c r="W8039" i="1"/>
  <c r="W8035" i="1"/>
  <c r="W8031" i="1"/>
  <c r="W8027" i="1"/>
  <c r="W8023" i="1"/>
  <c r="W8019" i="1"/>
  <c r="W8015" i="1"/>
  <c r="W8011" i="1"/>
  <c r="W8007" i="1"/>
  <c r="W8003" i="1"/>
  <c r="W7999" i="1"/>
  <c r="W7995" i="1"/>
  <c r="W7991" i="1"/>
  <c r="W7987" i="1"/>
  <c r="W7983" i="1"/>
  <c r="W7979" i="1"/>
  <c r="W7975" i="1"/>
  <c r="W7971" i="1"/>
  <c r="W7967" i="1"/>
  <c r="W7963" i="1"/>
  <c r="W7959" i="1"/>
  <c r="W7955" i="1"/>
  <c r="W7951" i="1"/>
  <c r="W7947" i="1"/>
  <c r="W7943" i="1"/>
  <c r="W7939" i="1"/>
  <c r="W7935" i="1"/>
  <c r="W7931" i="1"/>
  <c r="W7927" i="1"/>
  <c r="W7923" i="1"/>
  <c r="W7919" i="1"/>
  <c r="W7915" i="1"/>
  <c r="W7911" i="1"/>
  <c r="W7907" i="1"/>
  <c r="W7903" i="1"/>
  <c r="W7899" i="1"/>
  <c r="W7895" i="1"/>
  <c r="W7891" i="1"/>
  <c r="W7887" i="1"/>
  <c r="W7883" i="1"/>
  <c r="W7879" i="1"/>
  <c r="W7875" i="1"/>
  <c r="W7871" i="1"/>
  <c r="W7867" i="1"/>
  <c r="W7863" i="1"/>
  <c r="W7859" i="1"/>
  <c r="W7855" i="1"/>
  <c r="W7851" i="1"/>
  <c r="W7847" i="1"/>
  <c r="W7843" i="1"/>
  <c r="W7839" i="1"/>
  <c r="W7835" i="1"/>
  <c r="W7831" i="1"/>
  <c r="W7827" i="1"/>
  <c r="W7823" i="1"/>
  <c r="W7819" i="1"/>
  <c r="W7815" i="1"/>
  <c r="W7811" i="1"/>
  <c r="W7807" i="1"/>
  <c r="W7803" i="1"/>
  <c r="W7799" i="1"/>
  <c r="W7795" i="1"/>
  <c r="W7791" i="1"/>
  <c r="W7787" i="1"/>
  <c r="W7783" i="1"/>
  <c r="W7779" i="1"/>
  <c r="W7775" i="1"/>
  <c r="W7771" i="1"/>
  <c r="W7767" i="1"/>
  <c r="W7763" i="1"/>
  <c r="W7759" i="1"/>
  <c r="W7755" i="1"/>
  <c r="W7751" i="1"/>
  <c r="W7747" i="1"/>
  <c r="W7743" i="1"/>
  <c r="W7739" i="1"/>
  <c r="W7735" i="1"/>
  <c r="W7731" i="1"/>
  <c r="W7727" i="1"/>
  <c r="W7723" i="1"/>
  <c r="W7715" i="1"/>
  <c r="W7711" i="1"/>
  <c r="W7707" i="1"/>
  <c r="W7703" i="1"/>
  <c r="W7699" i="1"/>
  <c r="W7695" i="1"/>
  <c r="W7691" i="1"/>
  <c r="W7683" i="1"/>
  <c r="W7679" i="1"/>
  <c r="W7671" i="1"/>
  <c r="W7667" i="1"/>
  <c r="W7663" i="1"/>
  <c r="W7651" i="1"/>
  <c r="W7647" i="1"/>
  <c r="W7643" i="1"/>
  <c r="W7639" i="1"/>
  <c r="W7635" i="1"/>
  <c r="W7631" i="1"/>
  <c r="W7627" i="1"/>
  <c r="W7619" i="1"/>
  <c r="W7615" i="1"/>
  <c r="W7611" i="1"/>
  <c r="W7607" i="1"/>
  <c r="W7603" i="1"/>
  <c r="W7599" i="1"/>
  <c r="W7595" i="1"/>
  <c r="W7587" i="1"/>
  <c r="W7583" i="1"/>
  <c r="W7579" i="1"/>
  <c r="W7575" i="1"/>
  <c r="W7571" i="1"/>
  <c r="W7567" i="1"/>
  <c r="W7563" i="1"/>
  <c r="W7555" i="1"/>
  <c r="W7551" i="1"/>
  <c r="W7547" i="1"/>
  <c r="W7543" i="1"/>
  <c r="W7539" i="1"/>
  <c r="W7535" i="1"/>
  <c r="W7531" i="1"/>
  <c r="W7523" i="1"/>
  <c r="W7519" i="1"/>
  <c r="W7515" i="1"/>
  <c r="W7511" i="1"/>
  <c r="W7507" i="1"/>
  <c r="W7503" i="1"/>
  <c r="W7499" i="1"/>
  <c r="W7491" i="1"/>
  <c r="W7487" i="1"/>
  <c r="W7483" i="1"/>
  <c r="W7475" i="1"/>
  <c r="W7471" i="1"/>
  <c r="W7467" i="1"/>
  <c r="W7459" i="1"/>
  <c r="W7455" i="1"/>
  <c r="W7451" i="1"/>
  <c r="W7443" i="1"/>
  <c r="W7439" i="1"/>
  <c r="W7435" i="1"/>
  <c r="W7427" i="1"/>
  <c r="W7423" i="1"/>
  <c r="W7419" i="1"/>
  <c r="W7411" i="1"/>
  <c r="W7407" i="1"/>
  <c r="W7403" i="1"/>
  <c r="W7395" i="1"/>
  <c r="W7391" i="1"/>
  <c r="W7387" i="1"/>
  <c r="W7379" i="1"/>
  <c r="W7375" i="1"/>
  <c r="W7371" i="1"/>
  <c r="W7363" i="1"/>
  <c r="W7359" i="1"/>
  <c r="W7355" i="1"/>
  <c r="W7347" i="1"/>
  <c r="W7343" i="1"/>
  <c r="W7339" i="1"/>
  <c r="W7331" i="1"/>
  <c r="W7327" i="1"/>
  <c r="W7323" i="1"/>
  <c r="W7315" i="1"/>
  <c r="W7311" i="1"/>
  <c r="W7307" i="1"/>
  <c r="W7299" i="1"/>
  <c r="W7295" i="1"/>
  <c r="W7291" i="1"/>
  <c r="W7283" i="1"/>
  <c r="W7279" i="1"/>
  <c r="W7275" i="1"/>
  <c r="W7267" i="1"/>
  <c r="W7263" i="1"/>
  <c r="W7259" i="1"/>
  <c r="W7251" i="1"/>
  <c r="W7247" i="1"/>
  <c r="W7243" i="1"/>
  <c r="W7235" i="1"/>
  <c r="W7231" i="1"/>
  <c r="W7227" i="1"/>
  <c r="W7219" i="1"/>
  <c r="W7215" i="1"/>
  <c r="W7211" i="1"/>
  <c r="W7203" i="1"/>
  <c r="W7199" i="1"/>
  <c r="W7195" i="1"/>
  <c r="W7187" i="1"/>
  <c r="W7183" i="1"/>
  <c r="W7179" i="1"/>
  <c r="W7171" i="1"/>
  <c r="W7167" i="1"/>
  <c r="W7163" i="1"/>
  <c r="W7155" i="1"/>
  <c r="W7151" i="1"/>
  <c r="W7147" i="1"/>
  <c r="W7139" i="1"/>
  <c r="W7135" i="1"/>
  <c r="W7131" i="1"/>
  <c r="W7127" i="1"/>
  <c r="W7123" i="1"/>
  <c r="W7119" i="1"/>
  <c r="W7115" i="1"/>
  <c r="W7111" i="1"/>
  <c r="W7107" i="1"/>
  <c r="W7103" i="1"/>
  <c r="W7099" i="1"/>
  <c r="W7095" i="1"/>
  <c r="W7083" i="1"/>
  <c r="W7079" i="1"/>
  <c r="W7075" i="1"/>
  <c r="W7071" i="1"/>
  <c r="W7067" i="1"/>
  <c r="W7063" i="1"/>
  <c r="W7059" i="1"/>
  <c r="W7055" i="1"/>
  <c r="W7051" i="1"/>
  <c r="W7047" i="1"/>
  <c r="W7043" i="1"/>
  <c r="W7039" i="1"/>
  <c r="W7035" i="1"/>
  <c r="W7031" i="1"/>
  <c r="W7019" i="1"/>
  <c r="W7015" i="1"/>
  <c r="W7011" i="1"/>
  <c r="W7007" i="1"/>
  <c r="W7003" i="1"/>
  <c r="W6999" i="1"/>
  <c r="W6995" i="1"/>
  <c r="W6991" i="1"/>
  <c r="W6987" i="1"/>
  <c r="W6983" i="1"/>
  <c r="W6979" i="1"/>
  <c r="W6975" i="1"/>
  <c r="W6971" i="1"/>
  <c r="W6967" i="1"/>
  <c r="W6963" i="1"/>
  <c r="W6959" i="1"/>
  <c r="W6955" i="1"/>
  <c r="W6951" i="1"/>
  <c r="W6947" i="1"/>
  <c r="W6943" i="1"/>
  <c r="W6931" i="1"/>
  <c r="W6927" i="1"/>
  <c r="W6923" i="1"/>
  <c r="W6919" i="1"/>
  <c r="W6911" i="1"/>
  <c r="W6907" i="1"/>
  <c r="W6903" i="1"/>
  <c r="W6899" i="1"/>
  <c r="W6891" i="1"/>
  <c r="W6887" i="1"/>
  <c r="W6883" i="1"/>
  <c r="W6879" i="1"/>
  <c r="W6875" i="1"/>
  <c r="W6871" i="1"/>
  <c r="W6867" i="1"/>
  <c r="W6863" i="1"/>
  <c r="W6859" i="1"/>
  <c r="W6855" i="1"/>
  <c r="W6851" i="1"/>
  <c r="W6847" i="1"/>
  <c r="W6843" i="1"/>
  <c r="W6839" i="1"/>
  <c r="W6835" i="1"/>
  <c r="W6831" i="1"/>
  <c r="W6827" i="1"/>
  <c r="W6823" i="1"/>
  <c r="W6819" i="1"/>
  <c r="W6815" i="1"/>
  <c r="W6803" i="1"/>
  <c r="W6799" i="1"/>
  <c r="W6795" i="1"/>
  <c r="W6791" i="1"/>
  <c r="W6787" i="1"/>
  <c r="W6783" i="1"/>
  <c r="W6779" i="1"/>
  <c r="W6775" i="1"/>
  <c r="W6771" i="1"/>
  <c r="W6767" i="1"/>
  <c r="W6763" i="1"/>
  <c r="W6759" i="1"/>
  <c r="W6755" i="1"/>
  <c r="W6751" i="1"/>
  <c r="W6747" i="1"/>
  <c r="W6743" i="1"/>
  <c r="W6739" i="1"/>
  <c r="W6735" i="1"/>
  <c r="W6731" i="1"/>
  <c r="W6727" i="1"/>
  <c r="W6723" i="1"/>
  <c r="W6719" i="1"/>
  <c r="W6715" i="1"/>
  <c r="W6711" i="1"/>
  <c r="W6707" i="1"/>
  <c r="W6703" i="1"/>
  <c r="W6699" i="1"/>
  <c r="W6695" i="1"/>
  <c r="W6691" i="1"/>
  <c r="W6687" i="1"/>
  <c r="W6683" i="1"/>
  <c r="W6679" i="1"/>
  <c r="W6675" i="1"/>
  <c r="W6671" i="1"/>
  <c r="W6667" i="1"/>
  <c r="W6663" i="1"/>
  <c r="W6659" i="1"/>
  <c r="W6655" i="1"/>
  <c r="W6651" i="1"/>
  <c r="W6647" i="1"/>
  <c r="W6643" i="1"/>
  <c r="W6639" i="1"/>
  <c r="W6635" i="1"/>
  <c r="W6631" i="1"/>
  <c r="W6627" i="1"/>
  <c r="W6623" i="1"/>
  <c r="W6619" i="1"/>
  <c r="W6615" i="1"/>
  <c r="W6611" i="1"/>
  <c r="W6607" i="1"/>
  <c r="W6603" i="1"/>
  <c r="W6599" i="1"/>
  <c r="W6595" i="1"/>
  <c r="W6591" i="1"/>
  <c r="W6587" i="1"/>
  <c r="W6583" i="1"/>
  <c r="W6579" i="1"/>
  <c r="W6575" i="1"/>
  <c r="W6571" i="1"/>
  <c r="W6567" i="1"/>
  <c r="W6563" i="1"/>
  <c r="W6559" i="1"/>
  <c r="W6555" i="1"/>
  <c r="W6551" i="1"/>
  <c r="W6547" i="1"/>
  <c r="W6543" i="1"/>
  <c r="W6539" i="1"/>
  <c r="W6535" i="1"/>
  <c r="W6531" i="1"/>
  <c r="W6527" i="1"/>
  <c r="W6523" i="1"/>
  <c r="W6519" i="1"/>
  <c r="W6515" i="1"/>
  <c r="W6511" i="1"/>
  <c r="W6507" i="1"/>
  <c r="W6503" i="1"/>
  <c r="W6499" i="1"/>
  <c r="W6495" i="1"/>
  <c r="W6491" i="1"/>
  <c r="W6487" i="1"/>
  <c r="W6483" i="1"/>
  <c r="W6479" i="1"/>
  <c r="W6475" i="1"/>
  <c r="W6471" i="1"/>
  <c r="W6467" i="1"/>
  <c r="W6463" i="1"/>
  <c r="W6459" i="1"/>
  <c r="W6455" i="1"/>
  <c r="W6451" i="1"/>
  <c r="W6443" i="1"/>
  <c r="W6439" i="1"/>
  <c r="W6435" i="1"/>
  <c r="W6431" i="1"/>
  <c r="W6427" i="1"/>
  <c r="W6423" i="1"/>
  <c r="W6419" i="1"/>
  <c r="W6415" i="1"/>
  <c r="W6411" i="1"/>
  <c r="W6407" i="1"/>
  <c r="W6403" i="1"/>
  <c r="W6399" i="1"/>
  <c r="W6395" i="1"/>
  <c r="W6391" i="1"/>
  <c r="W6387" i="1"/>
  <c r="W6379" i="1"/>
  <c r="W6375" i="1"/>
  <c r="W6371" i="1"/>
  <c r="W6367" i="1"/>
  <c r="W6363" i="1"/>
  <c r="W6359" i="1"/>
  <c r="W6355" i="1"/>
  <c r="W6351" i="1"/>
  <c r="W6347" i="1"/>
  <c r="W6343" i="1"/>
  <c r="W6339" i="1"/>
  <c r="W6335" i="1"/>
  <c r="W6331" i="1"/>
  <c r="W6327" i="1"/>
  <c r="W6323" i="1"/>
  <c r="W6315" i="1"/>
  <c r="W6311" i="1"/>
  <c r="W6307" i="1"/>
  <c r="W6303" i="1"/>
  <c r="W6299" i="1"/>
  <c r="W6295" i="1"/>
  <c r="W6291" i="1"/>
  <c r="W6287" i="1"/>
  <c r="W6283" i="1"/>
  <c r="W6279" i="1"/>
  <c r="W6275" i="1"/>
  <c r="W6271" i="1"/>
  <c r="W6267" i="1"/>
  <c r="W6263" i="1"/>
  <c r="W6259" i="1"/>
  <c r="W6251" i="1"/>
  <c r="W6247" i="1"/>
  <c r="W6243" i="1"/>
  <c r="W6239" i="1"/>
  <c r="W6235" i="1"/>
  <c r="W6231" i="1"/>
  <c r="W6227" i="1"/>
  <c r="W6223" i="1"/>
  <c r="W6219" i="1"/>
  <c r="W6215" i="1"/>
  <c r="W6211" i="1"/>
  <c r="W6207" i="1"/>
  <c r="W6203" i="1"/>
  <c r="W6199" i="1"/>
  <c r="W6195" i="1"/>
  <c r="W6187" i="1"/>
  <c r="W6183" i="1"/>
  <c r="W6179" i="1"/>
  <c r="W6175" i="1"/>
  <c r="W6171" i="1"/>
  <c r="W6167" i="1"/>
  <c r="W6163" i="1"/>
  <c r="W6159" i="1"/>
  <c r="W6155" i="1"/>
  <c r="W6151" i="1"/>
  <c r="W6147" i="1"/>
  <c r="W6143" i="1"/>
  <c r="W6139" i="1"/>
  <c r="W6135" i="1"/>
  <c r="W6131" i="1"/>
  <c r="W6127" i="1"/>
  <c r="W6123" i="1"/>
  <c r="W6119" i="1"/>
  <c r="W6115" i="1"/>
  <c r="W6111" i="1"/>
  <c r="W6107" i="1"/>
  <c r="W6103" i="1"/>
  <c r="W6099" i="1"/>
  <c r="W6095" i="1"/>
  <c r="W6091" i="1"/>
  <c r="W6087" i="1"/>
  <c r="W6083" i="1"/>
  <c r="W6079" i="1"/>
  <c r="W6075" i="1"/>
  <c r="W6071" i="1"/>
  <c r="W6067" i="1"/>
  <c r="W6063" i="1"/>
  <c r="W6059" i="1"/>
  <c r="W6055" i="1"/>
  <c r="W6051" i="1"/>
  <c r="W6047" i="1"/>
  <c r="W6043" i="1"/>
  <c r="W6039" i="1"/>
  <c r="W6035" i="1"/>
  <c r="W6031" i="1"/>
  <c r="W6027" i="1"/>
  <c r="W6023" i="1"/>
  <c r="W6019" i="1"/>
  <c r="W6015" i="1"/>
  <c r="W6011" i="1"/>
  <c r="W6007" i="1"/>
  <c r="W6003" i="1"/>
  <c r="W5999" i="1"/>
  <c r="W5995" i="1"/>
  <c r="W5991" i="1"/>
  <c r="W5987" i="1"/>
  <c r="W5983" i="1"/>
  <c r="W5979" i="1"/>
  <c r="W5975" i="1"/>
  <c r="W5971" i="1"/>
  <c r="W5967" i="1"/>
  <c r="W5963" i="1"/>
  <c r="W5959" i="1"/>
  <c r="W5955" i="1"/>
  <c r="W5951" i="1"/>
  <c r="W5947" i="1"/>
  <c r="W5943" i="1"/>
  <c r="W5939" i="1"/>
  <c r="W5935" i="1"/>
  <c r="W5931" i="1"/>
  <c r="W5927" i="1"/>
  <c r="W5923" i="1"/>
  <c r="W5919" i="1"/>
  <c r="W5915" i="1"/>
  <c r="W5911" i="1"/>
  <c r="W5907" i="1"/>
  <c r="W5903" i="1"/>
  <c r="W5899" i="1"/>
  <c r="W5895" i="1"/>
  <c r="W5891" i="1"/>
  <c r="W5887" i="1"/>
  <c r="W5883" i="1"/>
  <c r="W5879" i="1"/>
  <c r="W5875" i="1"/>
  <c r="W5871" i="1"/>
  <c r="W5867" i="1"/>
  <c r="W5863" i="1"/>
  <c r="W5859" i="1"/>
  <c r="W5855" i="1"/>
  <c r="W5851" i="1"/>
  <c r="W5847" i="1"/>
  <c r="W5843" i="1"/>
  <c r="W5839" i="1"/>
  <c r="W5835" i="1"/>
  <c r="W5831" i="1"/>
  <c r="W5827" i="1"/>
  <c r="W5823" i="1"/>
  <c r="W5819" i="1"/>
  <c r="W5815" i="1"/>
  <c r="W5807" i="1"/>
  <c r="W5803" i="1"/>
  <c r="W5799" i="1"/>
  <c r="W5795" i="1"/>
  <c r="W5791" i="1"/>
  <c r="W5787" i="1"/>
  <c r="W5783" i="1"/>
  <c r="W5779" i="1"/>
  <c r="W5775" i="1"/>
  <c r="W5771" i="1"/>
  <c r="W5767" i="1"/>
  <c r="W5763" i="1"/>
  <c r="W5759" i="1"/>
  <c r="W5755" i="1"/>
  <c r="W5751" i="1"/>
  <c r="W5743" i="1"/>
  <c r="W5739" i="1"/>
  <c r="W5735" i="1"/>
  <c r="W5731" i="1"/>
  <c r="W5727" i="1"/>
  <c r="W5723" i="1"/>
  <c r="W5719" i="1"/>
  <c r="W5715" i="1"/>
  <c r="W5711" i="1"/>
  <c r="W5707" i="1"/>
  <c r="W5703" i="1"/>
  <c r="W5699" i="1"/>
  <c r="W5695" i="1"/>
  <c r="W5691" i="1"/>
  <c r="W5687" i="1"/>
  <c r="W5679" i="1"/>
  <c r="W5675" i="1"/>
  <c r="W5671" i="1"/>
  <c r="W5667" i="1"/>
  <c r="W5663" i="1"/>
  <c r="W5659" i="1"/>
  <c r="W5655" i="1"/>
  <c r="W5651" i="1"/>
  <c r="W5647" i="1"/>
  <c r="W5643" i="1"/>
  <c r="W5639" i="1"/>
  <c r="W5635" i="1"/>
  <c r="W5631" i="1"/>
  <c r="W5627" i="1"/>
  <c r="W5623" i="1"/>
  <c r="W5615" i="1"/>
  <c r="W5611" i="1"/>
  <c r="W5607" i="1"/>
  <c r="W5603" i="1"/>
  <c r="W5599" i="1"/>
  <c r="W5595" i="1"/>
  <c r="W5591" i="1"/>
  <c r="W5587" i="1"/>
  <c r="W5583" i="1"/>
  <c r="W5579" i="1"/>
  <c r="W5575" i="1"/>
  <c r="W5571" i="1"/>
  <c r="W5567" i="1"/>
  <c r="W5563" i="1"/>
  <c r="W5559" i="1"/>
  <c r="W5527" i="1"/>
  <c r="W5503" i="1"/>
  <c r="W5475" i="1"/>
  <c r="W5455" i="1"/>
  <c r="W5447" i="1"/>
  <c r="W5435" i="1"/>
  <c r="W5403" i="1"/>
  <c r="W5391" i="1"/>
  <c r="W5387" i="1"/>
  <c r="W5371" i="1"/>
  <c r="W5359" i="1"/>
  <c r="W5351" i="1"/>
  <c r="W5327" i="1"/>
  <c r="W5323" i="1"/>
  <c r="W5319" i="1"/>
  <c r="W5295" i="1"/>
  <c r="W5287" i="1"/>
  <c r="W5275" i="1"/>
  <c r="W5259" i="1"/>
  <c r="W5255" i="1"/>
  <c r="W5243" i="1"/>
  <c r="W5223" i="1"/>
  <c r="W5211" i="1"/>
  <c r="W5199" i="1"/>
  <c r="W5191" i="1"/>
  <c r="W5179" i="1"/>
  <c r="W5171" i="1"/>
  <c r="W5155" i="1"/>
  <c r="W5147" i="1"/>
  <c r="W5139" i="1"/>
  <c r="W5131" i="1"/>
  <c r="W5123" i="1"/>
  <c r="W5115" i="1"/>
  <c r="W5107" i="1"/>
  <c r="W5099" i="1"/>
  <c r="W5091" i="1"/>
  <c r="W5083" i="1"/>
  <c r="W5075" i="1"/>
  <c r="W5067" i="1"/>
  <c r="W5059" i="1"/>
  <c r="W5051" i="1"/>
  <c r="W5043" i="1"/>
  <c r="W5035" i="1"/>
  <c r="W5027" i="1"/>
  <c r="W5019" i="1"/>
  <c r="W5011" i="1"/>
  <c r="W5003" i="1"/>
  <c r="W4999" i="1"/>
  <c r="W4995" i="1"/>
  <c r="W4987" i="1"/>
  <c r="W4979" i="1"/>
  <c r="W4971" i="1"/>
  <c r="W4967" i="1"/>
  <c r="W4963" i="1"/>
  <c r="W4955" i="1"/>
  <c r="W4951" i="1"/>
  <c r="W4947" i="1"/>
  <c r="W4943" i="1"/>
  <c r="W4939" i="1"/>
  <c r="W4935" i="1"/>
  <c r="W4931" i="1"/>
  <c r="W4927" i="1"/>
  <c r="W4923" i="1"/>
  <c r="W4919" i="1"/>
  <c r="W4915" i="1"/>
  <c r="W4911" i="1"/>
  <c r="W4907" i="1"/>
  <c r="W4903" i="1"/>
  <c r="W4899" i="1"/>
  <c r="W4895" i="1"/>
  <c r="W4891" i="1"/>
  <c r="W4887" i="1"/>
  <c r="W4883" i="1"/>
  <c r="W4879" i="1"/>
  <c r="W4875" i="1"/>
  <c r="W4871" i="1"/>
  <c r="W4867" i="1"/>
  <c r="W4863" i="1"/>
  <c r="W4859" i="1"/>
  <c r="W4855" i="1"/>
  <c r="W4851" i="1"/>
  <c r="W4847" i="1"/>
  <c r="W4843" i="1"/>
  <c r="W4839" i="1"/>
  <c r="W4835" i="1"/>
  <c r="W4831" i="1"/>
  <c r="W4827" i="1"/>
  <c r="W4823" i="1"/>
  <c r="W4819" i="1"/>
  <c r="W4815" i="1"/>
  <c r="W4811" i="1"/>
  <c r="W4807" i="1"/>
  <c r="W4803" i="1"/>
  <c r="W4799" i="1"/>
  <c r="W4795" i="1"/>
  <c r="W4791" i="1"/>
  <c r="W4787" i="1"/>
  <c r="W4783" i="1"/>
  <c r="W4779" i="1"/>
  <c r="W4775" i="1"/>
  <c r="W4771" i="1"/>
  <c r="W4767" i="1"/>
  <c r="W4763" i="1"/>
  <c r="W4759" i="1"/>
  <c r="W4755" i="1"/>
  <c r="W4751" i="1"/>
  <c r="W4747" i="1"/>
  <c r="W4743" i="1"/>
  <c r="W4739" i="1"/>
  <c r="W4735" i="1"/>
  <c r="W4731" i="1"/>
  <c r="W4727" i="1"/>
  <c r="W4723" i="1"/>
  <c r="W4719" i="1"/>
  <c r="W4715" i="1"/>
  <c r="W4711" i="1"/>
  <c r="W4707" i="1"/>
  <c r="W4703" i="1"/>
  <c r="W4699" i="1"/>
  <c r="W4695" i="1"/>
  <c r="W4691" i="1"/>
  <c r="W4687" i="1"/>
  <c r="W4683" i="1"/>
  <c r="W4679" i="1"/>
  <c r="W4675" i="1"/>
  <c r="W4671" i="1"/>
  <c r="W4667" i="1"/>
  <c r="W4663" i="1"/>
  <c r="W4659" i="1"/>
  <c r="W4655" i="1"/>
  <c r="W4651" i="1"/>
  <c r="W4647" i="1"/>
  <c r="W4643" i="1"/>
  <c r="W4639" i="1"/>
  <c r="W4635" i="1"/>
  <c r="W4631" i="1"/>
  <c r="W4627" i="1"/>
  <c r="W4623" i="1"/>
  <c r="W4619" i="1"/>
  <c r="W4615" i="1"/>
  <c r="W4611" i="1"/>
  <c r="W4607" i="1"/>
  <c r="W4603" i="1"/>
  <c r="W4599" i="1"/>
  <c r="W4595" i="1"/>
  <c r="W4591" i="1"/>
  <c r="W4587" i="1"/>
  <c r="W4583" i="1"/>
  <c r="W4579" i="1"/>
  <c r="W4575" i="1"/>
  <c r="W4571" i="1"/>
  <c r="W4567" i="1"/>
  <c r="W4563" i="1"/>
  <c r="W4559" i="1"/>
  <c r="W4555" i="1"/>
  <c r="W4551" i="1"/>
  <c r="W4547" i="1"/>
  <c r="W4543" i="1"/>
  <c r="W4539" i="1"/>
  <c r="W4535" i="1"/>
  <c r="W4531" i="1"/>
  <c r="W4527" i="1"/>
  <c r="W4523" i="1"/>
  <c r="W4519" i="1"/>
  <c r="W4515" i="1"/>
  <c r="W4511" i="1"/>
  <c r="W4507" i="1"/>
  <c r="W4503" i="1"/>
  <c r="W4499" i="1"/>
  <c r="W4491" i="1"/>
  <c r="W4487" i="1"/>
  <c r="W4483" i="1"/>
  <c r="W4479" i="1"/>
  <c r="W4475" i="1"/>
  <c r="W4471" i="1"/>
  <c r="W4467" i="1"/>
  <c r="W4463" i="1"/>
  <c r="W4459" i="1"/>
  <c r="W4455" i="1"/>
  <c r="W4451" i="1"/>
  <c r="W4447" i="1"/>
  <c r="W4443" i="1"/>
  <c r="W4439" i="1"/>
  <c r="W4435" i="1"/>
  <c r="W4431" i="1"/>
  <c r="W4427" i="1"/>
  <c r="W4423" i="1"/>
  <c r="W4419" i="1"/>
  <c r="W4415" i="1"/>
  <c r="W4411" i="1"/>
  <c r="W4407" i="1"/>
  <c r="W4403" i="1"/>
  <c r="W4399" i="1"/>
  <c r="W4395" i="1"/>
  <c r="W4391" i="1"/>
  <c r="W4387" i="1"/>
  <c r="W4383" i="1"/>
  <c r="W4379" i="1"/>
  <c r="W4375" i="1"/>
  <c r="W4371" i="1"/>
  <c r="W4367" i="1"/>
  <c r="W4363" i="1"/>
  <c r="W4359" i="1"/>
  <c r="W4355" i="1"/>
  <c r="W4351" i="1"/>
  <c r="W4347" i="1"/>
  <c r="W4343" i="1"/>
  <c r="W4339" i="1"/>
  <c r="W4335" i="1"/>
  <c r="W4331" i="1"/>
  <c r="W4327" i="1"/>
  <c r="W4323" i="1"/>
  <c r="W4319" i="1"/>
  <c r="W4315" i="1"/>
  <c r="W4311" i="1"/>
  <c r="W4307" i="1"/>
  <c r="W4303" i="1"/>
  <c r="W4299" i="1"/>
  <c r="W4295" i="1"/>
  <c r="W4291" i="1"/>
  <c r="W4287" i="1"/>
  <c r="W4283" i="1"/>
  <c r="W4279" i="1"/>
  <c r="W4275" i="1"/>
  <c r="W4271" i="1"/>
  <c r="W4267" i="1"/>
  <c r="W4263" i="1"/>
  <c r="W4259" i="1"/>
  <c r="W4255" i="1"/>
  <c r="W4251" i="1"/>
  <c r="W4247" i="1"/>
  <c r="W4243" i="1"/>
  <c r="W4239" i="1"/>
  <c r="W4235" i="1"/>
  <c r="W4231" i="1"/>
  <c r="W4227" i="1"/>
  <c r="W4223" i="1"/>
  <c r="W4219" i="1"/>
  <c r="W4215" i="1"/>
  <c r="W4211" i="1"/>
  <c r="W4207" i="1"/>
  <c r="W4203" i="1"/>
  <c r="W4199" i="1"/>
  <c r="W4195" i="1"/>
  <c r="W4191" i="1"/>
  <c r="W4187" i="1"/>
  <c r="W4183" i="1"/>
  <c r="W4179" i="1"/>
  <c r="W4175" i="1"/>
  <c r="W4171" i="1"/>
  <c r="W4167" i="1"/>
  <c r="W4163" i="1"/>
  <c r="W4159" i="1"/>
  <c r="W4155" i="1"/>
  <c r="W4151" i="1"/>
  <c r="W4147" i="1"/>
  <c r="W4143" i="1"/>
  <c r="W4139" i="1"/>
  <c r="W4135" i="1"/>
  <c r="W4131" i="1"/>
  <c r="W4127" i="1"/>
  <c r="W4123" i="1"/>
  <c r="W4119" i="1"/>
  <c r="W4115" i="1"/>
  <c r="W4111" i="1"/>
  <c r="W4107" i="1"/>
  <c r="W4103" i="1"/>
  <c r="W4099" i="1"/>
  <c r="W4095" i="1"/>
  <c r="W4091" i="1"/>
  <c r="W4087" i="1"/>
  <c r="W4083" i="1"/>
  <c r="W4079" i="1"/>
  <c r="W4075" i="1"/>
  <c r="W4071" i="1"/>
  <c r="W4067" i="1"/>
  <c r="W4063" i="1"/>
  <c r="W4059" i="1"/>
  <c r="W4055" i="1"/>
  <c r="W4051" i="1"/>
  <c r="W4047" i="1"/>
  <c r="W4043" i="1"/>
  <c r="W4039" i="1"/>
  <c r="W4035" i="1"/>
  <c r="W4031" i="1"/>
  <c r="W4027" i="1"/>
  <c r="W4023" i="1"/>
  <c r="W4019" i="1"/>
  <c r="W4015" i="1"/>
  <c r="W4011" i="1"/>
  <c r="W4007" i="1"/>
  <c r="W4003" i="1"/>
  <c r="W3999" i="1"/>
  <c r="W3995" i="1"/>
  <c r="W3991" i="1"/>
  <c r="W3987" i="1"/>
  <c r="W3983" i="1"/>
  <c r="W3979" i="1"/>
  <c r="W3975" i="1"/>
  <c r="W3971" i="1"/>
  <c r="W3967" i="1"/>
  <c r="W3963" i="1"/>
  <c r="W3959" i="1"/>
  <c r="W3955" i="1"/>
  <c r="W3951" i="1"/>
  <c r="W3947" i="1"/>
  <c r="W3943" i="1"/>
  <c r="W3939" i="1"/>
  <c r="W3935" i="1"/>
  <c r="W3931" i="1"/>
  <c r="W3927" i="1"/>
  <c r="W3923" i="1"/>
  <c r="W3919" i="1"/>
  <c r="W3915" i="1"/>
  <c r="W3911" i="1"/>
  <c r="W3907" i="1"/>
  <c r="W3903" i="1"/>
  <c r="W3899" i="1"/>
  <c r="W3895" i="1"/>
  <c r="W3891" i="1"/>
  <c r="W3887" i="1"/>
  <c r="W3883" i="1"/>
  <c r="W3879" i="1"/>
  <c r="W3875" i="1"/>
  <c r="W3871" i="1"/>
  <c r="W3867" i="1"/>
  <c r="W3863" i="1"/>
  <c r="W3859" i="1"/>
  <c r="W3855" i="1"/>
  <c r="W3851" i="1"/>
  <c r="W3847" i="1"/>
  <c r="W3843" i="1"/>
  <c r="W3839" i="1"/>
  <c r="W3835" i="1"/>
  <c r="W3831" i="1"/>
  <c r="W3827" i="1"/>
  <c r="W3823" i="1"/>
  <c r="W3819" i="1"/>
  <c r="W3815" i="1"/>
  <c r="W3811" i="1"/>
  <c r="W3807" i="1"/>
  <c r="W3803" i="1"/>
  <c r="W3799" i="1"/>
  <c r="W3795" i="1"/>
  <c r="W3791" i="1"/>
  <c r="W3787" i="1"/>
  <c r="W3783" i="1"/>
  <c r="W3779" i="1"/>
  <c r="W3775" i="1"/>
  <c r="W3771" i="1"/>
  <c r="W3767" i="1"/>
  <c r="W3763" i="1"/>
  <c r="W3759" i="1"/>
  <c r="W3755" i="1"/>
  <c r="W3751" i="1"/>
  <c r="W3747" i="1"/>
  <c r="W3743" i="1"/>
  <c r="W3739" i="1"/>
  <c r="W3735" i="1"/>
  <c r="W3731" i="1"/>
  <c r="W3727" i="1"/>
  <c r="W3723" i="1"/>
  <c r="W3719" i="1"/>
  <c r="W3715" i="1"/>
  <c r="W3711" i="1"/>
  <c r="W3707" i="1"/>
  <c r="W3703" i="1"/>
  <c r="W3699" i="1"/>
  <c r="W3695" i="1"/>
  <c r="W3691" i="1"/>
  <c r="W3687" i="1"/>
  <c r="W3683" i="1"/>
  <c r="W3679" i="1"/>
  <c r="W3675" i="1"/>
  <c r="W3671" i="1"/>
  <c r="W3667" i="1"/>
  <c r="W3663" i="1"/>
  <c r="W3659" i="1"/>
  <c r="W3655" i="1"/>
  <c r="W3651" i="1"/>
  <c r="W3647" i="1"/>
  <c r="W3643" i="1"/>
  <c r="W3639" i="1"/>
  <c r="W3635" i="1"/>
  <c r="W3631" i="1"/>
  <c r="W3627" i="1"/>
  <c r="W3623" i="1"/>
  <c r="W3619" i="1"/>
  <c r="W3615" i="1"/>
  <c r="W3611" i="1"/>
  <c r="W3607" i="1"/>
  <c r="W3603" i="1"/>
  <c r="W3599" i="1"/>
  <c r="W3595" i="1"/>
  <c r="W3591" i="1"/>
  <c r="W3587" i="1"/>
  <c r="W3583" i="1"/>
  <c r="W3579" i="1"/>
  <c r="W3575" i="1"/>
  <c r="W3571" i="1"/>
  <c r="W3567" i="1"/>
  <c r="W3563" i="1"/>
  <c r="W3559" i="1"/>
  <c r="W3555" i="1"/>
  <c r="W3551" i="1"/>
  <c r="W3547" i="1"/>
  <c r="W3543" i="1"/>
  <c r="W3539" i="1"/>
  <c r="W3535" i="1"/>
  <c r="W3531" i="1"/>
  <c r="W3527" i="1"/>
  <c r="W3523" i="1"/>
  <c r="W3519" i="1"/>
  <c r="W3515" i="1"/>
  <c r="W3511" i="1"/>
  <c r="W3507" i="1"/>
  <c r="W3503" i="1"/>
  <c r="W3499" i="1"/>
  <c r="W3495" i="1"/>
  <c r="W3491" i="1"/>
  <c r="W3487" i="1"/>
  <c r="W3483" i="1"/>
  <c r="W3479" i="1"/>
  <c r="W3475" i="1"/>
  <c r="W3471" i="1"/>
  <c r="W3467" i="1"/>
  <c r="W3463" i="1"/>
  <c r="W3459" i="1"/>
  <c r="W3455" i="1"/>
  <c r="W3451" i="1"/>
  <c r="W3447" i="1"/>
  <c r="W3443" i="1"/>
  <c r="W3439" i="1"/>
  <c r="W3435" i="1"/>
  <c r="W3431" i="1"/>
  <c r="W3427" i="1"/>
  <c r="W3423" i="1"/>
  <c r="W3419" i="1"/>
  <c r="W3415" i="1"/>
  <c r="W3411" i="1"/>
  <c r="W3407" i="1"/>
  <c r="W3403" i="1"/>
  <c r="W3399" i="1"/>
  <c r="W3395" i="1"/>
  <c r="W3391" i="1"/>
  <c r="W3387" i="1"/>
  <c r="W3383" i="1"/>
  <c r="W3379" i="1"/>
  <c r="W3375" i="1"/>
  <c r="W3371" i="1"/>
  <c r="W3367" i="1"/>
  <c r="W3363" i="1"/>
  <c r="W3359" i="1"/>
  <c r="W3355" i="1"/>
  <c r="W3351" i="1"/>
  <c r="W3347" i="1"/>
  <c r="W3343" i="1"/>
  <c r="W3339" i="1"/>
  <c r="W3335" i="1"/>
  <c r="W3331" i="1"/>
  <c r="W3327" i="1"/>
  <c r="W3323" i="1"/>
  <c r="W3319" i="1"/>
  <c r="W3315" i="1"/>
  <c r="W3311" i="1"/>
  <c r="W3307" i="1"/>
  <c r="W3303" i="1"/>
  <c r="W3299" i="1"/>
  <c r="W3295" i="1"/>
  <c r="W3291" i="1"/>
  <c r="W3287" i="1"/>
  <c r="W3283" i="1"/>
  <c r="W3279" i="1"/>
  <c r="W3275" i="1"/>
  <c r="W3271" i="1"/>
  <c r="W3267" i="1"/>
  <c r="W3263" i="1"/>
  <c r="W3259" i="1"/>
  <c r="W3255" i="1"/>
  <c r="W3251" i="1"/>
  <c r="W3247" i="1"/>
  <c r="W3243" i="1"/>
  <c r="W3239" i="1"/>
  <c r="W3235" i="1"/>
  <c r="W3231" i="1"/>
  <c r="W3227" i="1"/>
  <c r="W3223" i="1"/>
  <c r="W3219" i="1"/>
  <c r="W3215" i="1"/>
  <c r="W3211" i="1"/>
  <c r="W3207" i="1"/>
  <c r="W3203" i="1"/>
  <c r="W3199" i="1"/>
  <c r="W3195" i="1"/>
  <c r="W3191" i="1"/>
  <c r="W3187" i="1"/>
  <c r="W3183" i="1"/>
  <c r="W3179" i="1"/>
  <c r="W3175" i="1"/>
  <c r="W3171" i="1"/>
  <c r="W3167" i="1"/>
  <c r="W3163" i="1"/>
  <c r="W3159" i="1"/>
  <c r="W3155" i="1"/>
  <c r="W3151" i="1"/>
  <c r="W3147" i="1"/>
  <c r="W3143" i="1"/>
  <c r="W3139" i="1"/>
  <c r="W3135" i="1"/>
  <c r="W3131" i="1"/>
  <c r="W3127" i="1"/>
  <c r="W3123" i="1"/>
  <c r="W3119" i="1"/>
  <c r="W3115" i="1"/>
  <c r="W3111" i="1"/>
  <c r="W3107" i="1"/>
  <c r="W3103" i="1"/>
  <c r="W3099" i="1"/>
  <c r="W3095" i="1"/>
  <c r="W3091" i="1"/>
  <c r="W3087" i="1"/>
  <c r="W3083" i="1"/>
  <c r="W3079" i="1"/>
  <c r="W3075" i="1"/>
  <c r="W3067" i="1"/>
  <c r="W3063" i="1"/>
  <c r="W3059" i="1"/>
  <c r="W3051" i="1"/>
  <c r="W3047" i="1"/>
  <c r="W3043" i="1"/>
  <c r="W3035" i="1"/>
  <c r="W3031" i="1"/>
  <c r="W3027" i="1"/>
  <c r="W3019" i="1"/>
  <c r="W3015" i="1"/>
  <c r="W3011" i="1"/>
  <c r="W3003" i="1"/>
  <c r="W2999" i="1"/>
  <c r="W2995" i="1"/>
  <c r="W2987" i="1"/>
  <c r="W2983" i="1"/>
  <c r="W2979" i="1"/>
  <c r="W2971" i="1"/>
  <c r="W2967" i="1"/>
  <c r="W2963" i="1"/>
  <c r="W2955" i="1"/>
  <c r="W2951" i="1"/>
  <c r="W2947" i="1"/>
  <c r="W2939" i="1"/>
  <c r="W2935" i="1"/>
  <c r="W2931" i="1"/>
  <c r="W2923" i="1"/>
  <c r="W2919" i="1"/>
  <c r="W2915" i="1"/>
  <c r="W2907" i="1"/>
  <c r="W2903" i="1"/>
  <c r="W2899" i="1"/>
  <c r="W2895" i="1"/>
  <c r="W2891" i="1"/>
  <c r="W2887" i="1"/>
  <c r="W2883" i="1"/>
  <c r="W2879" i="1"/>
  <c r="W2875" i="1"/>
  <c r="W2871" i="1"/>
  <c r="W2867" i="1"/>
  <c r="W2863" i="1"/>
  <c r="W2859" i="1"/>
  <c r="W2855" i="1"/>
  <c r="W2851" i="1"/>
  <c r="W2847" i="1"/>
  <c r="W2843" i="1"/>
  <c r="W2839" i="1"/>
  <c r="W2835" i="1"/>
  <c r="W2831" i="1"/>
  <c r="W2827" i="1"/>
  <c r="W2823" i="1"/>
  <c r="W2819" i="1"/>
  <c r="W2815" i="1"/>
  <c r="W2811" i="1"/>
  <c r="W2807" i="1"/>
  <c r="W2803" i="1"/>
  <c r="W2799" i="1"/>
  <c r="W2795" i="1"/>
  <c r="W2791" i="1"/>
  <c r="W2787" i="1"/>
  <c r="W2783" i="1"/>
  <c r="W2779" i="1"/>
  <c r="W2775" i="1"/>
  <c r="W2771" i="1"/>
  <c r="W2767" i="1"/>
  <c r="W2763" i="1"/>
  <c r="W2759" i="1"/>
  <c r="W2755" i="1"/>
  <c r="W2751" i="1"/>
  <c r="W2747" i="1"/>
  <c r="W2743" i="1"/>
  <c r="W2739" i="1"/>
  <c r="W2735" i="1"/>
  <c r="W2731" i="1"/>
  <c r="W2727" i="1"/>
  <c r="W2723" i="1"/>
  <c r="W2719" i="1"/>
  <c r="W2715" i="1"/>
  <c r="W2711" i="1"/>
  <c r="W2707" i="1"/>
  <c r="W2703" i="1"/>
  <c r="W2699" i="1"/>
  <c r="W2695" i="1"/>
  <c r="W2691" i="1"/>
  <c r="W2687" i="1"/>
  <c r="W2683" i="1"/>
  <c r="W2679" i="1"/>
  <c r="W2675" i="1"/>
  <c r="W2671" i="1"/>
  <c r="W2667" i="1"/>
  <c r="W2663" i="1"/>
  <c r="W2659" i="1"/>
  <c r="W2655" i="1"/>
  <c r="W2651" i="1"/>
  <c r="W2647" i="1"/>
  <c r="W2643" i="1"/>
  <c r="W2639" i="1"/>
  <c r="W2635" i="1"/>
  <c r="W2631" i="1"/>
  <c r="W2627" i="1"/>
  <c r="W2623" i="1"/>
  <c r="W2619" i="1"/>
  <c r="W2615" i="1"/>
  <c r="W2611" i="1"/>
  <c r="W2607" i="1"/>
  <c r="W2603" i="1"/>
  <c r="W2599" i="1"/>
  <c r="W2595" i="1"/>
  <c r="W2591" i="1"/>
  <c r="W2587" i="1"/>
  <c r="W2583" i="1"/>
  <c r="W2579" i="1"/>
  <c r="W2575" i="1"/>
  <c r="W2571" i="1"/>
  <c r="W2567" i="1"/>
  <c r="W2563" i="1"/>
  <c r="W2559" i="1"/>
  <c r="W2555" i="1"/>
  <c r="W2551" i="1"/>
  <c r="W2547" i="1"/>
  <c r="W2543" i="1"/>
  <c r="W2539" i="1"/>
  <c r="W2535" i="1"/>
  <c r="W2531" i="1"/>
  <c r="W2527" i="1"/>
  <c r="W2523" i="1"/>
  <c r="W2519" i="1"/>
  <c r="W2515" i="1"/>
  <c r="W2511" i="1"/>
  <c r="W2507" i="1"/>
  <c r="W2503" i="1"/>
  <c r="W2499" i="1"/>
  <c r="W2495" i="1"/>
  <c r="W2491" i="1"/>
  <c r="W2487" i="1"/>
  <c r="W2483" i="1"/>
  <c r="W2479" i="1"/>
  <c r="W2475" i="1"/>
  <c r="W2471" i="1"/>
  <c r="W2467" i="1"/>
  <c r="W2463" i="1"/>
  <c r="W2459" i="1"/>
  <c r="W2455" i="1"/>
  <c r="W2451" i="1"/>
  <c r="W2447" i="1"/>
  <c r="W2443" i="1"/>
  <c r="W2439" i="1"/>
  <c r="W2435" i="1"/>
  <c r="W2431" i="1"/>
  <c r="W2427" i="1"/>
  <c r="W2423" i="1"/>
  <c r="W2419" i="1"/>
  <c r="W2415" i="1"/>
  <c r="W2411" i="1"/>
  <c r="W2407" i="1"/>
  <c r="W2403" i="1"/>
  <c r="W2399" i="1"/>
  <c r="W2395" i="1"/>
  <c r="W2391" i="1"/>
  <c r="W2387" i="1"/>
  <c r="W2383" i="1"/>
  <c r="W2379" i="1"/>
  <c r="W2375" i="1"/>
  <c r="W2371" i="1"/>
  <c r="W2367" i="1"/>
  <c r="W2363" i="1"/>
  <c r="W2359" i="1"/>
  <c r="W2355" i="1"/>
  <c r="W2351" i="1"/>
  <c r="W2347" i="1"/>
  <c r="W2343" i="1"/>
  <c r="W2339" i="1"/>
  <c r="W2335" i="1"/>
  <c r="W2331" i="1"/>
  <c r="W2327" i="1"/>
  <c r="W2323" i="1"/>
  <c r="W2319" i="1"/>
  <c r="W2315" i="1"/>
  <c r="W2311" i="1"/>
  <c r="W2307" i="1"/>
  <c r="W2303" i="1"/>
  <c r="W2299" i="1"/>
  <c r="W2295" i="1"/>
  <c r="W2291" i="1"/>
  <c r="W2287" i="1"/>
  <c r="W2283" i="1"/>
  <c r="W2279" i="1"/>
  <c r="W2275" i="1"/>
  <c r="W2271" i="1"/>
  <c r="W2267" i="1"/>
  <c r="W2263" i="1"/>
  <c r="W2259" i="1"/>
  <c r="W2255" i="1"/>
  <c r="W2251" i="1"/>
  <c r="W2247" i="1"/>
  <c r="W2243" i="1"/>
  <c r="W2239" i="1"/>
  <c r="W2235" i="1"/>
  <c r="W2231" i="1"/>
  <c r="W2227" i="1"/>
  <c r="W2223" i="1"/>
  <c r="W2219" i="1"/>
  <c r="W2215" i="1"/>
  <c r="W2211" i="1"/>
  <c r="W2207" i="1"/>
  <c r="W2203" i="1"/>
  <c r="W2199" i="1"/>
  <c r="W2195" i="1"/>
  <c r="W2191" i="1"/>
  <c r="W2187" i="1"/>
  <c r="W2183" i="1"/>
  <c r="W2179" i="1"/>
  <c r="W2175" i="1"/>
  <c r="W2171" i="1"/>
  <c r="W2167" i="1"/>
  <c r="W2163" i="1"/>
  <c r="W2159" i="1"/>
  <c r="W2155" i="1"/>
  <c r="W2151" i="1"/>
  <c r="W2147" i="1"/>
  <c r="W2143" i="1"/>
  <c r="W2139" i="1"/>
  <c r="W2135" i="1"/>
  <c r="W2131" i="1"/>
  <c r="W2127" i="1"/>
  <c r="W2123" i="1"/>
  <c r="W2119" i="1"/>
  <c r="W2115" i="1"/>
  <c r="W2111" i="1"/>
  <c r="W2107" i="1"/>
  <c r="W2103" i="1"/>
  <c r="W2099" i="1"/>
  <c r="W2095" i="1"/>
  <c r="W2091" i="1"/>
  <c r="W2087" i="1"/>
  <c r="W2083" i="1"/>
  <c r="W2079" i="1"/>
  <c r="W2075" i="1"/>
  <c r="W2071" i="1"/>
  <c r="W2067" i="1"/>
  <c r="W2063" i="1"/>
  <c r="W2059" i="1"/>
  <c r="W2055" i="1"/>
  <c r="W2051" i="1"/>
  <c r="W2047" i="1"/>
  <c r="W2043" i="1"/>
  <c r="W2039" i="1"/>
  <c r="W2035" i="1"/>
  <c r="W2031" i="1"/>
  <c r="W2027" i="1"/>
  <c r="W2023" i="1"/>
  <c r="W2019" i="1"/>
  <c r="W2015" i="1"/>
  <c r="W2011" i="1"/>
  <c r="W2007" i="1"/>
  <c r="W2003" i="1"/>
  <c r="W1999" i="1"/>
  <c r="W1995" i="1"/>
  <c r="W1991" i="1"/>
  <c r="W1987" i="1"/>
  <c r="W1983" i="1"/>
  <c r="W1979" i="1"/>
  <c r="W1975" i="1"/>
  <c r="W1971" i="1"/>
  <c r="W1967" i="1"/>
  <c r="W1963" i="1"/>
  <c r="W1959" i="1"/>
  <c r="W1955" i="1"/>
  <c r="W1951" i="1"/>
  <c r="W1947" i="1"/>
  <c r="W1943" i="1"/>
  <c r="W1939" i="1"/>
  <c r="W1935" i="1"/>
  <c r="W1931" i="1"/>
  <c r="W1927" i="1"/>
  <c r="W1923" i="1"/>
  <c r="W1919" i="1"/>
  <c r="W1915" i="1"/>
  <c r="W1911" i="1"/>
  <c r="W1907" i="1"/>
  <c r="W1903" i="1"/>
  <c r="W1899" i="1"/>
  <c r="W1895" i="1"/>
  <c r="W1891" i="1"/>
  <c r="W1887" i="1"/>
  <c r="W1883" i="1"/>
  <c r="W1879" i="1"/>
  <c r="W1875" i="1"/>
  <c r="W1871" i="1"/>
  <c r="W1867" i="1"/>
  <c r="W1863" i="1"/>
  <c r="W1859" i="1"/>
  <c r="W1855" i="1"/>
  <c r="W1851" i="1"/>
  <c r="W1847" i="1"/>
  <c r="W1843" i="1"/>
  <c r="W1839" i="1"/>
  <c r="W1835" i="1"/>
  <c r="W1831" i="1"/>
  <c r="W1827" i="1"/>
  <c r="W1823" i="1"/>
  <c r="W1819" i="1"/>
  <c r="W1815" i="1"/>
  <c r="W1811" i="1"/>
  <c r="W1807" i="1"/>
  <c r="W1803" i="1"/>
  <c r="W1799" i="1"/>
  <c r="W1795" i="1"/>
  <c r="W1791" i="1"/>
  <c r="W1787" i="1"/>
  <c r="W1783" i="1"/>
  <c r="W1779" i="1"/>
  <c r="W1775" i="1"/>
  <c r="W1771" i="1"/>
  <c r="W1767" i="1"/>
  <c r="W1763" i="1"/>
  <c r="W1759" i="1"/>
  <c r="W1755" i="1"/>
  <c r="W1751" i="1"/>
  <c r="W1747" i="1"/>
  <c r="W1743" i="1"/>
  <c r="W1739" i="1"/>
  <c r="W1735" i="1"/>
  <c r="W1731" i="1"/>
  <c r="W1727" i="1"/>
  <c r="W1723" i="1"/>
  <c r="W1719" i="1"/>
  <c r="W1715" i="1"/>
  <c r="W1711" i="1"/>
  <c r="W1707" i="1"/>
  <c r="W1703" i="1"/>
  <c r="W1699" i="1"/>
  <c r="W1695" i="1"/>
  <c r="W1691" i="1"/>
  <c r="W1687" i="1"/>
  <c r="W1683" i="1"/>
  <c r="W1679" i="1"/>
  <c r="W1675" i="1"/>
  <c r="W1671" i="1"/>
  <c r="W1667" i="1"/>
  <c r="W1663" i="1"/>
  <c r="W1659" i="1"/>
  <c r="W1655" i="1"/>
  <c r="W1651" i="1"/>
  <c r="W1647" i="1"/>
  <c r="W1643" i="1"/>
  <c r="W1639" i="1"/>
  <c r="W1635" i="1"/>
  <c r="W1631" i="1"/>
  <c r="W1627" i="1"/>
  <c r="W1623" i="1"/>
  <c r="W1619" i="1"/>
  <c r="W1615" i="1"/>
  <c r="W1611" i="1"/>
  <c r="W1607" i="1"/>
  <c r="W1603" i="1"/>
  <c r="W1599" i="1"/>
  <c r="W1595" i="1"/>
  <c r="W1591" i="1"/>
  <c r="W1587" i="1"/>
  <c r="W1583" i="1"/>
  <c r="W1579" i="1"/>
  <c r="W1575" i="1"/>
  <c r="W1571" i="1"/>
  <c r="W1567" i="1"/>
  <c r="W1563" i="1"/>
  <c r="W1559" i="1"/>
  <c r="W1555" i="1"/>
  <c r="W1551" i="1"/>
  <c r="W1547" i="1"/>
  <c r="W1543" i="1"/>
  <c r="W1539" i="1"/>
  <c r="W1535" i="1"/>
  <c r="W1531" i="1"/>
  <c r="W1527" i="1"/>
  <c r="W1523" i="1"/>
  <c r="W1519" i="1"/>
  <c r="W1515" i="1"/>
  <c r="W1511" i="1"/>
  <c r="W1507" i="1"/>
  <c r="W1503" i="1"/>
  <c r="W1499" i="1"/>
  <c r="W1495" i="1"/>
  <c r="W1491" i="1"/>
  <c r="W1487" i="1"/>
  <c r="W1483" i="1"/>
  <c r="W1479" i="1"/>
  <c r="W1475" i="1"/>
  <c r="W1471" i="1"/>
  <c r="W1467" i="1"/>
  <c r="W1463" i="1"/>
  <c r="W1459" i="1"/>
  <c r="W1455" i="1"/>
  <c r="W1451" i="1"/>
  <c r="W1447" i="1"/>
  <c r="W1443" i="1"/>
  <c r="W1439" i="1"/>
  <c r="W1435" i="1"/>
  <c r="W1431" i="1"/>
  <c r="W1427" i="1"/>
  <c r="W1423" i="1"/>
  <c r="W1419" i="1"/>
  <c r="W1415" i="1"/>
  <c r="W1411" i="1"/>
  <c r="W1407" i="1"/>
  <c r="W1403" i="1"/>
  <c r="W1399" i="1"/>
  <c r="W1395" i="1"/>
  <c r="W1391" i="1"/>
  <c r="W1387" i="1"/>
  <c r="W1383" i="1"/>
  <c r="W1379" i="1"/>
  <c r="W1375" i="1"/>
  <c r="W1371" i="1"/>
  <c r="W1367" i="1"/>
  <c r="W1363" i="1"/>
  <c r="W1359" i="1"/>
  <c r="W1355" i="1"/>
  <c r="W1351" i="1"/>
  <c r="W1347" i="1"/>
  <c r="W1343" i="1"/>
  <c r="W1339" i="1"/>
  <c r="W1335" i="1"/>
  <c r="W1331" i="1"/>
  <c r="W1327" i="1"/>
  <c r="W1323" i="1"/>
  <c r="W1319" i="1"/>
  <c r="W1315" i="1"/>
  <c r="W1311" i="1"/>
  <c r="W1307" i="1"/>
  <c r="W1303" i="1"/>
  <c r="W1299" i="1"/>
  <c r="W1295" i="1"/>
  <c r="W1291" i="1"/>
  <c r="W1287" i="1"/>
  <c r="W1283" i="1"/>
  <c r="W1279" i="1"/>
  <c r="W1275" i="1"/>
  <c r="W1271" i="1"/>
  <c r="W1267" i="1"/>
  <c r="W1263" i="1"/>
  <c r="W1259" i="1"/>
  <c r="W1255" i="1"/>
  <c r="W1251" i="1"/>
  <c r="W1247" i="1"/>
  <c r="W1243" i="1"/>
  <c r="W1239" i="1"/>
  <c r="W1235" i="1"/>
  <c r="W1231" i="1"/>
  <c r="W1227" i="1"/>
  <c r="W1223" i="1"/>
  <c r="W1219" i="1"/>
  <c r="W1215" i="1"/>
  <c r="W1211" i="1"/>
  <c r="W1207" i="1"/>
  <c r="W1203" i="1"/>
  <c r="W1199" i="1"/>
  <c r="W1195" i="1"/>
  <c r="W1191" i="1"/>
  <c r="W1187" i="1"/>
  <c r="W1183" i="1"/>
  <c r="W1179" i="1"/>
  <c r="W1175" i="1"/>
  <c r="W1171" i="1"/>
  <c r="W1167" i="1"/>
  <c r="W1163" i="1"/>
  <c r="W1159" i="1"/>
  <c r="W1155" i="1"/>
  <c r="W1151" i="1"/>
  <c r="W1147" i="1"/>
  <c r="W1143" i="1"/>
  <c r="W1139" i="1"/>
  <c r="W1135" i="1"/>
  <c r="W1131" i="1"/>
  <c r="W1127" i="1"/>
  <c r="W1123" i="1"/>
  <c r="W1119" i="1"/>
  <c r="W1115" i="1"/>
  <c r="W1111" i="1"/>
  <c r="W1107" i="1"/>
  <c r="W1103" i="1"/>
  <c r="W1099" i="1"/>
  <c r="W1095" i="1"/>
  <c r="W1091" i="1"/>
  <c r="W1087" i="1"/>
  <c r="W1083" i="1"/>
  <c r="W1079" i="1"/>
  <c r="W1075" i="1"/>
  <c r="W1071" i="1"/>
  <c r="W1067" i="1"/>
  <c r="W1063" i="1"/>
  <c r="W1059" i="1"/>
  <c r="W1055" i="1"/>
  <c r="W1051" i="1"/>
  <c r="W1047" i="1"/>
  <c r="W1043" i="1"/>
  <c r="W1039" i="1"/>
  <c r="W1035" i="1"/>
  <c r="W1031" i="1"/>
  <c r="W1027" i="1"/>
  <c r="W1023" i="1"/>
  <c r="W1019" i="1"/>
  <c r="W1015" i="1"/>
  <c r="W1011" i="1"/>
  <c r="W1007" i="1"/>
  <c r="W1003" i="1"/>
  <c r="W999" i="1"/>
  <c r="W995" i="1"/>
  <c r="W991" i="1"/>
  <c r="W987" i="1"/>
  <c r="W983" i="1"/>
  <c r="W979" i="1"/>
  <c r="W975" i="1"/>
  <c r="W971" i="1"/>
  <c r="W967" i="1"/>
  <c r="W963" i="1"/>
  <c r="W959" i="1"/>
  <c r="W955" i="1"/>
  <c r="W951" i="1"/>
  <c r="W947" i="1"/>
  <c r="W943" i="1"/>
  <c r="W939" i="1"/>
  <c r="W935" i="1"/>
  <c r="W931" i="1"/>
  <c r="W927" i="1"/>
  <c r="W923" i="1"/>
  <c r="W919" i="1"/>
  <c r="W915" i="1"/>
  <c r="W911" i="1"/>
  <c r="W907" i="1"/>
  <c r="W903" i="1"/>
  <c r="W899" i="1"/>
  <c r="W895" i="1"/>
  <c r="W891" i="1"/>
  <c r="W887" i="1"/>
  <c r="W883" i="1"/>
  <c r="W879" i="1"/>
  <c r="W875" i="1"/>
  <c r="W871" i="1"/>
  <c r="W867" i="1"/>
  <c r="W863" i="1"/>
  <c r="W859" i="1"/>
  <c r="W855" i="1"/>
  <c r="W851" i="1"/>
  <c r="W847" i="1"/>
  <c r="W843" i="1"/>
  <c r="W839" i="1"/>
  <c r="W835" i="1"/>
  <c r="W831" i="1"/>
  <c r="W827" i="1"/>
  <c r="W823" i="1"/>
  <c r="W819" i="1"/>
  <c r="W815" i="1"/>
  <c r="W811" i="1"/>
  <c r="W807" i="1"/>
  <c r="W803" i="1"/>
  <c r="W799" i="1"/>
  <c r="W795" i="1"/>
  <c r="W791" i="1"/>
  <c r="W787" i="1"/>
  <c r="W783" i="1"/>
  <c r="W779" i="1"/>
  <c r="W775" i="1"/>
  <c r="W771" i="1"/>
  <c r="W767" i="1"/>
  <c r="W763" i="1"/>
  <c r="W759" i="1"/>
  <c r="W755" i="1"/>
  <c r="W751" i="1"/>
  <c r="W747" i="1"/>
  <c r="W743" i="1"/>
  <c r="W739" i="1"/>
  <c r="W735" i="1"/>
  <c r="W731" i="1"/>
  <c r="W727" i="1"/>
  <c r="W723" i="1"/>
  <c r="W719" i="1"/>
  <c r="W715" i="1"/>
  <c r="W711" i="1"/>
  <c r="W707" i="1"/>
  <c r="W703" i="1"/>
  <c r="W699" i="1"/>
  <c r="W695" i="1"/>
  <c r="W691" i="1"/>
  <c r="W687" i="1"/>
  <c r="W683" i="1"/>
  <c r="W679" i="1"/>
  <c r="W675" i="1"/>
  <c r="W671" i="1"/>
  <c r="W667" i="1"/>
  <c r="W663" i="1"/>
  <c r="W659" i="1"/>
  <c r="W655" i="1"/>
  <c r="W651" i="1"/>
  <c r="W647" i="1"/>
  <c r="W643" i="1"/>
  <c r="W639" i="1"/>
  <c r="W635" i="1"/>
  <c r="W631" i="1"/>
  <c r="W627" i="1"/>
  <c r="W623" i="1"/>
  <c r="W619" i="1"/>
  <c r="W615" i="1"/>
  <c r="W611" i="1"/>
  <c r="W607" i="1"/>
  <c r="W603" i="1"/>
  <c r="W599" i="1"/>
  <c r="W595" i="1"/>
  <c r="W591" i="1"/>
  <c r="W587" i="1"/>
  <c r="W583" i="1"/>
  <c r="W579" i="1"/>
  <c r="W575" i="1"/>
  <c r="W571" i="1"/>
  <c r="W567" i="1"/>
  <c r="W563" i="1"/>
  <c r="W559" i="1"/>
  <c r="W555" i="1"/>
  <c r="W551" i="1"/>
  <c r="W547" i="1"/>
  <c r="W543" i="1"/>
  <c r="W539" i="1"/>
  <c r="W535" i="1"/>
  <c r="W531" i="1"/>
  <c r="W527" i="1"/>
  <c r="W523" i="1"/>
  <c r="W519" i="1"/>
  <c r="W515" i="1"/>
  <c r="W511" i="1"/>
  <c r="W507" i="1"/>
  <c r="W503" i="1"/>
  <c r="W499" i="1"/>
  <c r="W495" i="1"/>
  <c r="W491" i="1"/>
  <c r="W487" i="1"/>
  <c r="W483" i="1"/>
  <c r="W479" i="1"/>
  <c r="W475" i="1"/>
  <c r="W471" i="1"/>
  <c r="W467" i="1"/>
  <c r="W463" i="1"/>
  <c r="W459" i="1"/>
  <c r="W455" i="1"/>
  <c r="W451" i="1"/>
  <c r="W447" i="1"/>
  <c r="W443" i="1"/>
  <c r="W439" i="1"/>
  <c r="W435" i="1"/>
  <c r="W431" i="1"/>
  <c r="W427" i="1"/>
  <c r="W423" i="1"/>
  <c r="W419" i="1"/>
  <c r="W415" i="1"/>
  <c r="W411" i="1"/>
  <c r="W407" i="1"/>
  <c r="W403" i="1"/>
  <c r="W399" i="1"/>
  <c r="W395" i="1"/>
  <c r="W391" i="1"/>
  <c r="W387" i="1"/>
  <c r="W383" i="1"/>
  <c r="W379" i="1"/>
  <c r="W375" i="1"/>
  <c r="W371" i="1"/>
  <c r="W367" i="1"/>
  <c r="W363" i="1"/>
  <c r="W359" i="1"/>
  <c r="W355" i="1"/>
  <c r="W351" i="1"/>
  <c r="W347" i="1"/>
  <c r="W343" i="1"/>
  <c r="W339" i="1"/>
  <c r="W335" i="1"/>
  <c r="W331" i="1"/>
  <c r="W327" i="1"/>
  <c r="W323" i="1"/>
  <c r="W319" i="1"/>
  <c r="W315" i="1"/>
  <c r="W311" i="1"/>
  <c r="W307" i="1"/>
  <c r="W303" i="1"/>
  <c r="W299" i="1"/>
  <c r="W295" i="1"/>
  <c r="W291" i="1"/>
  <c r="W287" i="1"/>
  <c r="W283" i="1"/>
  <c r="W279" i="1"/>
  <c r="W275" i="1"/>
  <c r="W271" i="1"/>
  <c r="W267" i="1"/>
  <c r="W263" i="1"/>
  <c r="W259" i="1"/>
  <c r="W255" i="1"/>
  <c r="W251" i="1"/>
  <c r="W247" i="1"/>
  <c r="W243" i="1"/>
  <c r="W239" i="1"/>
  <c r="W235" i="1"/>
  <c r="W231" i="1"/>
  <c r="W227" i="1"/>
  <c r="W223" i="1"/>
  <c r="W219" i="1"/>
  <c r="W215" i="1"/>
  <c r="W211" i="1"/>
  <c r="W207" i="1"/>
  <c r="W203" i="1"/>
  <c r="W199" i="1"/>
  <c r="W195" i="1"/>
  <c r="W191" i="1"/>
  <c r="W187" i="1"/>
  <c r="W183" i="1"/>
  <c r="W179" i="1"/>
  <c r="W175" i="1"/>
  <c r="W171" i="1"/>
  <c r="W167" i="1"/>
  <c r="W163" i="1"/>
  <c r="W159" i="1"/>
  <c r="W155" i="1"/>
  <c r="W151" i="1"/>
  <c r="W147" i="1"/>
  <c r="W143" i="1"/>
  <c r="W139" i="1"/>
  <c r="W135" i="1"/>
  <c r="W131" i="1"/>
  <c r="W127" i="1"/>
  <c r="W123" i="1"/>
  <c r="W119" i="1"/>
  <c r="W115" i="1"/>
  <c r="W111" i="1"/>
  <c r="W107" i="1"/>
  <c r="W103" i="1"/>
  <c r="W99" i="1"/>
  <c r="W95" i="1"/>
  <c r="W91" i="1"/>
  <c r="W87" i="1"/>
  <c r="W83" i="1"/>
  <c r="W79" i="1"/>
  <c r="W75" i="1"/>
  <c r="W71" i="1"/>
  <c r="W67" i="1"/>
  <c r="W63" i="1"/>
  <c r="W59" i="1"/>
  <c r="W55" i="1"/>
  <c r="W51" i="1"/>
  <c r="W47" i="1"/>
  <c r="W43" i="1"/>
  <c r="W39" i="1"/>
  <c r="W35" i="1"/>
  <c r="W31" i="1"/>
  <c r="W27" i="1"/>
  <c r="W23" i="1"/>
  <c r="W19" i="1"/>
  <c r="W15" i="1"/>
  <c r="W11" i="1"/>
  <c r="W7" i="1"/>
  <c r="W3" i="1"/>
  <c r="W7498" i="1" l="1"/>
  <c r="W7562" i="1"/>
  <c r="W8273" i="1"/>
  <c r="W8242" i="1"/>
  <c r="W8258" i="1"/>
  <c r="W8274" i="1"/>
  <c r="W8290" i="1"/>
  <c r="W8306" i="1"/>
  <c r="W8322" i="1"/>
  <c r="W8338" i="1"/>
  <c r="W8354" i="1"/>
  <c r="W8370" i="1"/>
  <c r="W8386" i="1"/>
  <c r="W5423" i="1"/>
  <c r="W5471" i="1"/>
  <c r="W5551" i="1"/>
  <c r="W6807" i="1"/>
  <c r="W7659" i="1"/>
  <c r="W5644" i="1"/>
  <c r="W6804" i="1"/>
  <c r="W7585" i="1"/>
  <c r="W7681" i="1"/>
  <c r="W7773" i="1"/>
  <c r="W7829" i="1"/>
  <c r="W6602" i="1"/>
  <c r="W6770" i="1"/>
  <c r="W8225" i="1"/>
  <c r="W8345" i="1"/>
  <c r="W4983" i="1"/>
  <c r="W5163" i="1"/>
  <c r="W5195" i="1"/>
  <c r="W5231" i="1"/>
  <c r="W5263" i="1"/>
  <c r="W5307" i="1"/>
  <c r="W5339" i="1"/>
  <c r="W5383" i="1"/>
  <c r="W5415" i="1"/>
  <c r="W5451" i="1"/>
  <c r="W5487" i="1"/>
  <c r="W7023" i="1"/>
  <c r="W7675" i="1"/>
  <c r="W5836" i="1"/>
  <c r="W6276" i="1"/>
  <c r="W5829" i="1"/>
  <c r="W7665" i="1"/>
  <c r="W7685" i="1"/>
  <c r="W7761" i="1"/>
  <c r="W8121" i="1"/>
  <c r="W6330" i="1"/>
  <c r="W6538" i="1"/>
  <c r="W6618" i="1"/>
  <c r="W6706" i="1"/>
  <c r="W6922" i="1"/>
  <c r="W8201" i="1"/>
  <c r="W8233" i="1"/>
  <c r="W8329" i="1"/>
  <c r="W8393" i="1"/>
  <c r="W6205" i="1"/>
  <c r="W6965" i="1"/>
  <c r="W5754" i="1"/>
  <c r="W6490" i="1"/>
  <c r="W6578" i="1"/>
  <c r="W6666" i="1"/>
  <c r="W6746" i="1"/>
  <c r="W7034" i="1"/>
  <c r="W8173" i="1"/>
  <c r="X7666" i="1"/>
  <c r="W7666" i="1"/>
  <c r="X7893" i="1"/>
  <c r="W7893" i="1"/>
  <c r="X7634" i="1"/>
  <c r="W7634" i="1"/>
  <c r="X7716" i="1"/>
  <c r="W7716" i="1"/>
  <c r="X7652" i="1"/>
  <c r="W7652" i="1"/>
  <c r="X7087" i="1"/>
  <c r="W7087" i="1"/>
  <c r="X6935" i="1"/>
  <c r="W6935" i="1"/>
  <c r="X6786" i="1"/>
  <c r="W6786" i="1"/>
  <c r="X6754" i="1"/>
  <c r="W6754" i="1"/>
  <c r="X6722" i="1"/>
  <c r="W6722" i="1"/>
  <c r="X6690" i="1"/>
  <c r="W6690" i="1"/>
  <c r="X6498" i="1"/>
  <c r="W6498" i="1"/>
  <c r="X6466" i="1"/>
  <c r="W6466" i="1"/>
  <c r="X6447" i="1"/>
  <c r="W6447" i="1"/>
  <c r="X6397" i="1"/>
  <c r="W6397" i="1"/>
  <c r="X6319" i="1"/>
  <c r="W6319" i="1"/>
  <c r="X5443" i="1"/>
  <c r="W5443" i="1"/>
  <c r="X5427" i="1"/>
  <c r="W5427" i="1"/>
  <c r="X5379" i="1"/>
  <c r="W5379" i="1"/>
  <c r="X5347" i="1"/>
  <c r="W5347" i="1"/>
  <c r="X5315" i="1"/>
  <c r="W5315" i="1"/>
  <c r="X5267" i="1"/>
  <c r="W5267" i="1"/>
  <c r="X5251" i="1"/>
  <c r="W5251" i="1"/>
  <c r="X5219" i="1"/>
  <c r="W5219" i="1"/>
  <c r="X5203" i="1"/>
  <c r="W5203" i="1"/>
  <c r="X4928" i="1"/>
  <c r="W4928" i="1"/>
  <c r="X4893" i="1"/>
  <c r="W4893" i="1"/>
  <c r="X4800" i="1"/>
  <c r="W4800" i="1"/>
  <c r="W2911" i="1"/>
  <c r="W2927" i="1"/>
  <c r="W2943" i="1"/>
  <c r="W2959" i="1"/>
  <c r="W2975" i="1"/>
  <c r="W2991" i="1"/>
  <c r="W3007" i="1"/>
  <c r="W3023" i="1"/>
  <c r="W3039" i="1"/>
  <c r="W3055" i="1"/>
  <c r="W3071" i="1"/>
  <c r="W4495" i="1"/>
  <c r="W4959" i="1"/>
  <c r="W4975" i="1"/>
  <c r="W4991" i="1"/>
  <c r="W5007" i="1"/>
  <c r="W5023" i="1"/>
  <c r="W5039" i="1"/>
  <c r="W5055" i="1"/>
  <c r="W5071" i="1"/>
  <c r="W5087" i="1"/>
  <c r="W5103" i="1"/>
  <c r="W5119" i="1"/>
  <c r="W5135" i="1"/>
  <c r="W5151" i="1"/>
  <c r="W5167" i="1"/>
  <c r="W5183" i="1"/>
  <c r="W5207" i="1"/>
  <c r="W5227" i="1"/>
  <c r="W5247" i="1"/>
  <c r="W5271" i="1"/>
  <c r="W5291" i="1"/>
  <c r="W5311" i="1"/>
  <c r="W5335" i="1"/>
  <c r="W5355" i="1"/>
  <c r="W5375" i="1"/>
  <c r="W5399" i="1"/>
  <c r="W5419" i="1"/>
  <c r="W5439" i="1"/>
  <c r="W5463" i="1"/>
  <c r="W5495" i="1"/>
  <c r="W5535" i="1"/>
  <c r="W5580" i="1"/>
  <c r="W5772" i="1"/>
  <c r="W4441" i="1"/>
  <c r="W5573" i="1"/>
  <c r="W5765" i="1"/>
  <c r="W6269" i="1"/>
  <c r="W7037" i="1"/>
  <c r="W7509" i="1"/>
  <c r="W7541" i="1"/>
  <c r="W7573" i="1"/>
  <c r="W7605" i="1"/>
  <c r="W7637" i="1"/>
  <c r="W7669" i="1"/>
  <c r="W7701" i="1"/>
  <c r="W7733" i="1"/>
  <c r="W7765" i="1"/>
  <c r="W7789" i="1"/>
  <c r="W7805" i="1"/>
  <c r="W7925" i="1"/>
  <c r="W6482" i="1"/>
  <c r="W6522" i="1"/>
  <c r="W6570" i="1"/>
  <c r="W6610" i="1"/>
  <c r="W6650" i="1"/>
  <c r="W6698" i="1"/>
  <c r="W6738" i="1"/>
  <c r="W6778" i="1"/>
  <c r="W7626" i="1"/>
  <c r="W7754" i="1"/>
  <c r="W7770" i="1"/>
  <c r="W8141" i="1"/>
  <c r="W8193" i="1"/>
  <c r="X8109" i="1"/>
  <c r="W8109" i="1"/>
  <c r="X8157" i="1"/>
  <c r="W8157" i="1"/>
  <c r="X7684" i="1"/>
  <c r="W7684" i="1"/>
  <c r="X7620" i="1"/>
  <c r="W7620" i="1"/>
  <c r="X7556" i="1"/>
  <c r="W7556" i="1"/>
  <c r="X6383" i="1"/>
  <c r="W6383" i="1"/>
  <c r="X6212" i="1"/>
  <c r="W6212" i="1"/>
  <c r="X4925" i="1"/>
  <c r="W4925" i="1"/>
  <c r="X4896" i="1"/>
  <c r="W4896" i="1"/>
  <c r="X4861" i="1"/>
  <c r="W4861" i="1"/>
  <c r="X4832" i="1"/>
  <c r="W4832" i="1"/>
  <c r="X4797" i="1"/>
  <c r="W4797" i="1"/>
  <c r="X4768" i="1"/>
  <c r="W4768" i="1"/>
  <c r="X4733" i="1"/>
  <c r="W4733" i="1"/>
  <c r="X4509" i="1"/>
  <c r="W4509" i="1"/>
  <c r="X4502" i="1"/>
  <c r="W4502" i="1"/>
  <c r="X8221" i="1"/>
  <c r="W8221" i="1"/>
  <c r="X6394" i="1"/>
  <c r="W6394" i="1"/>
  <c r="X6255" i="1"/>
  <c r="W6255" i="1"/>
  <c r="X5637" i="1"/>
  <c r="W5637" i="1"/>
  <c r="X5543" i="1"/>
  <c r="W5543" i="1"/>
  <c r="X5511" i="1"/>
  <c r="W5511" i="1"/>
  <c r="X5479" i="1"/>
  <c r="W5479" i="1"/>
  <c r="W5015" i="1"/>
  <c r="W5031" i="1"/>
  <c r="W5047" i="1"/>
  <c r="W5063" i="1"/>
  <c r="W5079" i="1"/>
  <c r="W5095" i="1"/>
  <c r="W5111" i="1"/>
  <c r="W5127" i="1"/>
  <c r="W5143" i="1"/>
  <c r="W5159" i="1"/>
  <c r="W5175" i="1"/>
  <c r="W5215" i="1"/>
  <c r="W5239" i="1"/>
  <c r="W5279" i="1"/>
  <c r="W5303" i="1"/>
  <c r="W5343" i="1"/>
  <c r="W5367" i="1"/>
  <c r="W5407" i="1"/>
  <c r="W5431" i="1"/>
  <c r="W5519" i="1"/>
  <c r="W6895" i="1"/>
  <c r="W7143" i="1"/>
  <c r="W7159" i="1"/>
  <c r="W7175" i="1"/>
  <c r="W7191" i="1"/>
  <c r="W7207" i="1"/>
  <c r="W7223" i="1"/>
  <c r="W7239" i="1"/>
  <c r="W7255" i="1"/>
  <c r="W7271" i="1"/>
  <c r="W7287" i="1"/>
  <c r="W7303" i="1"/>
  <c r="W7319" i="1"/>
  <c r="W7335" i="1"/>
  <c r="W7351" i="1"/>
  <c r="W7367" i="1"/>
  <c r="W7383" i="1"/>
  <c r="W7399" i="1"/>
  <c r="W7415" i="1"/>
  <c r="W7431" i="1"/>
  <c r="W7447" i="1"/>
  <c r="W7463" i="1"/>
  <c r="W7479" i="1"/>
  <c r="W7495" i="1"/>
  <c r="W7527" i="1"/>
  <c r="W7559" i="1"/>
  <c r="W7591" i="1"/>
  <c r="W7623" i="1"/>
  <c r="W7655" i="1"/>
  <c r="W7687" i="1"/>
  <c r="W7719" i="1"/>
  <c r="W6340" i="1"/>
  <c r="W6925" i="1"/>
  <c r="W7757" i="1"/>
  <c r="W7797" i="1"/>
  <c r="W5562" i="1"/>
  <c r="W6266" i="1"/>
  <c r="W6458" i="1"/>
  <c r="W6506" i="1"/>
  <c r="W6546" i="1"/>
  <c r="W6586" i="1"/>
  <c r="W6634" i="1"/>
  <c r="W6674" i="1"/>
  <c r="W6714" i="1"/>
  <c r="W6762" i="1"/>
  <c r="W7098" i="1"/>
  <c r="W7730" i="1"/>
  <c r="W8205" i="1"/>
  <c r="X7618" i="1"/>
  <c r="W7618" i="1"/>
  <c r="X7682" i="1"/>
  <c r="W7682" i="1"/>
  <c r="X7769" i="1"/>
  <c r="W7769" i="1"/>
  <c r="X7785" i="1"/>
  <c r="W7785" i="1"/>
  <c r="X7837" i="1"/>
  <c r="W7837" i="1"/>
  <c r="X8177" i="1"/>
  <c r="W8177" i="1"/>
  <c r="W7781" i="1"/>
  <c r="W7861" i="1"/>
  <c r="W8125" i="1"/>
  <c r="W8189" i="1"/>
  <c r="X7588" i="1"/>
  <c r="W7588" i="1"/>
  <c r="X7524" i="1"/>
  <c r="W7524" i="1"/>
  <c r="X6658" i="1"/>
  <c r="W6658" i="1"/>
  <c r="X6626" i="1"/>
  <c r="W6626" i="1"/>
  <c r="X6594" i="1"/>
  <c r="W6594" i="1"/>
  <c r="X6562" i="1"/>
  <c r="W6562" i="1"/>
  <c r="X6530" i="1"/>
  <c r="W6530" i="1"/>
  <c r="X6191" i="1"/>
  <c r="W6191" i="1"/>
  <c r="X5708" i="1"/>
  <c r="W5708" i="1"/>
  <c r="X5626" i="1"/>
  <c r="W5626" i="1"/>
  <c r="X5459" i="1"/>
  <c r="W5459" i="1"/>
  <c r="X5411" i="1"/>
  <c r="W5411" i="1"/>
  <c r="X5395" i="1"/>
  <c r="W5395" i="1"/>
  <c r="X5363" i="1"/>
  <c r="W5363" i="1"/>
  <c r="X5331" i="1"/>
  <c r="W5331" i="1"/>
  <c r="X5299" i="1"/>
  <c r="W5299" i="1"/>
  <c r="X5283" i="1"/>
  <c r="W5283" i="1"/>
  <c r="X5235" i="1"/>
  <c r="W5235" i="1"/>
  <c r="X5187" i="1"/>
  <c r="W5187" i="1"/>
  <c r="X4864" i="1"/>
  <c r="W4864" i="1"/>
  <c r="X4829" i="1"/>
  <c r="W4829" i="1"/>
  <c r="X4765" i="1"/>
  <c r="W4765" i="1"/>
  <c r="X4736" i="1"/>
  <c r="W4736" i="1"/>
  <c r="X4573" i="1"/>
  <c r="W4573" i="1"/>
  <c r="X4566" i="1"/>
  <c r="W4566" i="1"/>
  <c r="W4445" i="1"/>
  <c r="W4438" i="1"/>
  <c r="W7138" i="1"/>
  <c r="W5467" i="1"/>
  <c r="W5483" i="1"/>
  <c r="W5499" i="1"/>
  <c r="W5515" i="1"/>
  <c r="W5531" i="1"/>
  <c r="W5547" i="1"/>
  <c r="W6811" i="1"/>
  <c r="W6939" i="1"/>
  <c r="W5576" i="1"/>
  <c r="W5640" i="1"/>
  <c r="W5704" i="1"/>
  <c r="W5768" i="1"/>
  <c r="W5832" i="1"/>
  <c r="W6216" i="1"/>
  <c r="W6280" i="1"/>
  <c r="W6344" i="1"/>
  <c r="W6408" i="1"/>
  <c r="W7016" i="1"/>
  <c r="W7080" i="1"/>
  <c r="W5569" i="1"/>
  <c r="W5633" i="1"/>
  <c r="W5697" i="1"/>
  <c r="W5761" i="1"/>
  <c r="W5825" i="1"/>
  <c r="W6209" i="1"/>
  <c r="W6273" i="1"/>
  <c r="W6337" i="1"/>
  <c r="W6401" i="1"/>
  <c r="W6929" i="1"/>
  <c r="W7041" i="1"/>
  <c r="W7105" i="1"/>
  <c r="W6198" i="1"/>
  <c r="W6262" i="1"/>
  <c r="W6326" i="1"/>
  <c r="W6390" i="1"/>
  <c r="W6454" i="1"/>
  <c r="W6470" i="1"/>
  <c r="W6486" i="1"/>
  <c r="W6502" i="1"/>
  <c r="W6518" i="1"/>
  <c r="W6534" i="1"/>
  <c r="W6550" i="1"/>
  <c r="W6566" i="1"/>
  <c r="W6582" i="1"/>
  <c r="W6598" i="1"/>
  <c r="W6614" i="1"/>
  <c r="W6630" i="1"/>
  <c r="W6646" i="1"/>
  <c r="W6662" i="1"/>
  <c r="W6678" i="1"/>
  <c r="W6694" i="1"/>
  <c r="W6710" i="1"/>
  <c r="W6726" i="1"/>
  <c r="W6742" i="1"/>
  <c r="W6758" i="1"/>
  <c r="W6774" i="1"/>
  <c r="W6918" i="1"/>
  <c r="W7030" i="1"/>
  <c r="W7094" i="1"/>
  <c r="W7798" i="1"/>
  <c r="W7814" i="1"/>
  <c r="W7830" i="1"/>
  <c r="W7846" i="1"/>
  <c r="W7862" i="1"/>
  <c r="W7878" i="1"/>
  <c r="W7894" i="1"/>
  <c r="W7910" i="1"/>
  <c r="W7926" i="1"/>
  <c r="W7942" i="1"/>
  <c r="W7958" i="1"/>
  <c r="W7974" i="1"/>
  <c r="W7990" i="1"/>
  <c r="W8006" i="1"/>
  <c r="W8022" i="1"/>
  <c r="W8038" i="1"/>
  <c r="W8054" i="1"/>
  <c r="W8070" i="1"/>
  <c r="W8086" i="1"/>
  <c r="W8102" i="1"/>
  <c r="W8118" i="1"/>
  <c r="W8134" i="1"/>
  <c r="W8150" i="1"/>
  <c r="W8166" i="1"/>
  <c r="W8241" i="1"/>
  <c r="W8257" i="1"/>
  <c r="W8305" i="1"/>
  <c r="W8337" i="1"/>
  <c r="W8369" i="1"/>
  <c r="W7698" i="1"/>
  <c r="W7813" i="1"/>
  <c r="W7845" i="1"/>
  <c r="W7877" i="1"/>
  <c r="W7909" i="1"/>
  <c r="W7941" i="1"/>
  <c r="W8117" i="1"/>
  <c r="W7786" i="1"/>
  <c r="W8133" i="1"/>
  <c r="W8149" i="1"/>
  <c r="W8165" i="1"/>
  <c r="W8181" i="1"/>
  <c r="W8197" i="1"/>
  <c r="W8213" i="1"/>
  <c r="W8229" i="1"/>
  <c r="W5491" i="1"/>
  <c r="W5507" i="1"/>
  <c r="W5523" i="1"/>
  <c r="W5539" i="1"/>
  <c r="W5555" i="1"/>
  <c r="W5619" i="1"/>
  <c r="W5683" i="1"/>
  <c r="W5747" i="1"/>
  <c r="W5811" i="1"/>
  <c r="W6915" i="1"/>
  <c r="W7027" i="1"/>
  <c r="W7091" i="1"/>
  <c r="W6800" i="1"/>
  <c r="W6912" i="1"/>
  <c r="W6793" i="1"/>
  <c r="W6825" i="1"/>
  <c r="W6841" i="1"/>
  <c r="W6857" i="1"/>
  <c r="W6873" i="1"/>
  <c r="W6889" i="1"/>
  <c r="W6969" i="1"/>
  <c r="W5566" i="1"/>
  <c r="W5630" i="1"/>
  <c r="W5694" i="1"/>
  <c r="W5758" i="1"/>
  <c r="W5822" i="1"/>
  <c r="W6462" i="1"/>
  <c r="W6478" i="1"/>
  <c r="W6494" i="1"/>
  <c r="W6510" i="1"/>
  <c r="W6526" i="1"/>
  <c r="W6542" i="1"/>
  <c r="W6558" i="1"/>
  <c r="W6574" i="1"/>
  <c r="W6590" i="1"/>
  <c r="W6606" i="1"/>
  <c r="W6622" i="1"/>
  <c r="W6638" i="1"/>
  <c r="W6654" i="1"/>
  <c r="W6670" i="1"/>
  <c r="W6686" i="1"/>
  <c r="W6702" i="1"/>
  <c r="W6718" i="1"/>
  <c r="W6734" i="1"/>
  <c r="W6750" i="1"/>
  <c r="W6766" i="1"/>
  <c r="W6782" i="1"/>
  <c r="W6942" i="1"/>
  <c r="W7806" i="1"/>
  <c r="W7822" i="1"/>
  <c r="W7838" i="1"/>
  <c r="W7854" i="1"/>
  <c r="W7870" i="1"/>
  <c r="W7886" i="1"/>
  <c r="W7902" i="1"/>
  <c r="W7918" i="1"/>
  <c r="W7934" i="1"/>
  <c r="W7950" i="1"/>
  <c r="W7966" i="1"/>
  <c r="W7982" i="1"/>
  <c r="W7998" i="1"/>
  <c r="W8014" i="1"/>
  <c r="W8030" i="1"/>
  <c r="W8046" i="1"/>
  <c r="W8062" i="1"/>
  <c r="W8078" i="1"/>
  <c r="W8094" i="1"/>
  <c r="W8174" i="1"/>
  <c r="W8289" i="1"/>
  <c r="W8321" i="1"/>
  <c r="W8353" i="1"/>
  <c r="W8385" i="1"/>
  <c r="W8190" i="1"/>
  <c r="W8206" i="1"/>
  <c r="W8222" i="1"/>
</calcChain>
</file>

<file path=xl/sharedStrings.xml><?xml version="1.0" encoding="utf-8"?>
<sst xmlns="http://schemas.openxmlformats.org/spreadsheetml/2006/main" count="84686" uniqueCount="2188">
  <si>
    <t>Row ID</t>
  </si>
  <si>
    <t>Order ID</t>
  </si>
  <si>
    <t>Order Date</t>
  </si>
  <si>
    <t>Order Priority</t>
  </si>
  <si>
    <t>Order Quantity</t>
  </si>
  <si>
    <t>Sales</t>
  </si>
  <si>
    <t>Discount</t>
  </si>
  <si>
    <t>Ship Mode</t>
  </si>
  <si>
    <t>Profit</t>
  </si>
  <si>
    <t>Unit Price</t>
  </si>
  <si>
    <t>Shipping Cost</t>
  </si>
  <si>
    <t>Customer Name</t>
  </si>
  <si>
    <t>Province</t>
  </si>
  <si>
    <t>Region</t>
  </si>
  <si>
    <t>Customer Segment</t>
  </si>
  <si>
    <t>Product Category</t>
  </si>
  <si>
    <t>Product Sub-Category</t>
  </si>
  <si>
    <t>Product Name</t>
  </si>
  <si>
    <t>Product Container</t>
  </si>
  <si>
    <t>Product Base Margin</t>
  </si>
  <si>
    <t>Ship Date</t>
  </si>
  <si>
    <t>Low</t>
  </si>
  <si>
    <t>Regular Air</t>
  </si>
  <si>
    <t>Muhammed MacIntyre</t>
  </si>
  <si>
    <t>Nunavut</t>
  </si>
  <si>
    <t>Small Business</t>
  </si>
  <si>
    <t>Office Supplies</t>
  </si>
  <si>
    <t>Storage &amp; Organization</t>
  </si>
  <si>
    <t>Eldon Base for stackable storage shelf, platinum</t>
  </si>
  <si>
    <t>Large Box</t>
  </si>
  <si>
    <t>High</t>
  </si>
  <si>
    <t>Delivery Truck</t>
  </si>
  <si>
    <t>Barry French</t>
  </si>
  <si>
    <t>Consumer</t>
  </si>
  <si>
    <t>Appliances</t>
  </si>
  <si>
    <t>1.7 Cubic Foot Compact "Cube" Office Refrigerators</t>
  </si>
  <si>
    <t>Jumbo Drum</t>
  </si>
  <si>
    <t>Binders and Binder Accessories</t>
  </si>
  <si>
    <t>Cardinal Slant-D® Ring Binder, Heavy Gauge Vinyl</t>
  </si>
  <si>
    <t>Small Box</t>
  </si>
  <si>
    <t>Clay Rozendal</t>
  </si>
  <si>
    <t>Corporate</t>
  </si>
  <si>
    <t>Technology</t>
  </si>
  <si>
    <t>Telephones and Communication</t>
  </si>
  <si>
    <t>R380</t>
  </si>
  <si>
    <t>Not Specified</t>
  </si>
  <si>
    <t>Carlos Soltero</t>
  </si>
  <si>
    <t>Holmes HEPA Air Purifier</t>
  </si>
  <si>
    <t>Medium Box</t>
  </si>
  <si>
    <t>Furniture</t>
  </si>
  <si>
    <t>Office Furnishings</t>
  </si>
  <si>
    <t>G.E. Longer-Life Indoor Recessed Floodlight Bulbs</t>
  </si>
  <si>
    <t>Small Pack</t>
  </si>
  <si>
    <t>Carl Jackson</t>
  </si>
  <si>
    <t>Angle-D Binders with Locking Rings, Label Holders</t>
  </si>
  <si>
    <t>SAFCO Mobile Desk Side File, Wire Frame</t>
  </si>
  <si>
    <t>Express Air</t>
  </si>
  <si>
    <t>Monica Federle</t>
  </si>
  <si>
    <t>SAFCO Commercial Wire Shelving, Black</t>
  </si>
  <si>
    <t>Dorothy Badders</t>
  </si>
  <si>
    <t>Home Office</t>
  </si>
  <si>
    <t>Paper</t>
  </si>
  <si>
    <t>Xerox 198</t>
  </si>
  <si>
    <t>Medium</t>
  </si>
  <si>
    <t>Neola Schneider</t>
  </si>
  <si>
    <t>Xerox 1980</t>
  </si>
  <si>
    <t>Rubber Bands</t>
  </si>
  <si>
    <t>Advantus Map Pennant Flags and Round Head Tacks</t>
  </si>
  <si>
    <t>Wrap Bag</t>
  </si>
  <si>
    <t>Carlos Daly</t>
  </si>
  <si>
    <t>Computer Peripherals</t>
  </si>
  <si>
    <t>DS/HD IBM Formatted Diskettes, 200/Pack - Staples</t>
  </si>
  <si>
    <t>Claudia Miner</t>
  </si>
  <si>
    <t>Wilson Jones 1" Hanging DublLock® Ring Binders</t>
  </si>
  <si>
    <t>Ultra Commercial Grade Dual Valve Door Closer</t>
  </si>
  <si>
    <t>Allen Rosenblatt</t>
  </si>
  <si>
    <t>Envelopes</t>
  </si>
  <si>
    <t>#10-4 1/8" x 9 1/2" Premium Diagonal Seam Envelopes</t>
  </si>
  <si>
    <t>Critical</t>
  </si>
  <si>
    <t>Sylvia Foulston</t>
  </si>
  <si>
    <t>Bookcases</t>
  </si>
  <si>
    <t>Hon 4-Shelf Metal Bookcases</t>
  </si>
  <si>
    <t>Jumbo Box</t>
  </si>
  <si>
    <t>Tables</t>
  </si>
  <si>
    <t>Lesro Sheffield Collection Coffee Table, End Table, Center Table, Corner Table</t>
  </si>
  <si>
    <t>Jim Radford</t>
  </si>
  <si>
    <t>g520</t>
  </si>
  <si>
    <t>LX 788</t>
  </si>
  <si>
    <t>Labels</t>
  </si>
  <si>
    <t>Avery 52</t>
  </si>
  <si>
    <t>Plymouth Boxed Rubber Bands by Plymouth</t>
  </si>
  <si>
    <t>Carl Ludwig</t>
  </si>
  <si>
    <t>GBC Pre-Punched Binding Paper, Plastic, White, 8-1/2" x 11"</t>
  </si>
  <si>
    <t>Maxell 3.5" DS/HD IBM-Formatted Diskettes, 10/Pack</t>
  </si>
  <si>
    <t>Don Miller</t>
  </si>
  <si>
    <t>Pens &amp; Art Supplies</t>
  </si>
  <si>
    <t>Newell 335</t>
  </si>
  <si>
    <t>Annie Cyprus</t>
  </si>
  <si>
    <t>SANFORD Liquid Accent™ Tank-Style Highlighters</t>
  </si>
  <si>
    <t>Copiers and Fax</t>
  </si>
  <si>
    <t>Canon PC940 Copier</t>
  </si>
  <si>
    <t>Tenex Personal Project File with Scoop Front Design, Black</t>
  </si>
  <si>
    <t>Grant Carroll</t>
  </si>
  <si>
    <t>Col-Erase® Pencils with Erasers</t>
  </si>
  <si>
    <t>Imation 3.5" DS/HD IBM Formatted Diskettes, 10/Pack</t>
  </si>
  <si>
    <t>White Dual Perf Computer Printout Paper, 2700 Sheets, 1 Part, Heavyweight, 20 lbs., 14 7/8 x 11</t>
  </si>
  <si>
    <t>Alan Barnes</t>
  </si>
  <si>
    <t>Self-Adhesive Address Labels for Typewriters by Universal</t>
  </si>
  <si>
    <t>Accessory37</t>
  </si>
  <si>
    <t>Jack Garza</t>
  </si>
  <si>
    <t>Fuji 5.2GB DVD-RAM</t>
  </si>
  <si>
    <t>Julia West</t>
  </si>
  <si>
    <t>Chairs &amp; Chairmats</t>
  </si>
  <si>
    <t>Bevis Steel Folding Chairs</t>
  </si>
  <si>
    <t>Eugene Barchas</t>
  </si>
  <si>
    <t>Avery Binder Labels</t>
  </si>
  <si>
    <t>Hon Every-Day® Chair Series Swivel Task Chairs</t>
  </si>
  <si>
    <t>IBM Multi-Purpose Copy Paper, 8 1/2 x 11", Case</t>
  </si>
  <si>
    <t>Edward Hooks</t>
  </si>
  <si>
    <t>Global Troy™ Executive Leather Low-Back Tilter</t>
  </si>
  <si>
    <t>Brad Eason</t>
  </si>
  <si>
    <t>XtraLife® ClearVue™ Slant-D® Ring Binders by Cardinal</t>
  </si>
  <si>
    <t>Nicole Hansen</t>
  </si>
  <si>
    <t>Computer Printout Paper with Letter-Trim Perforations</t>
  </si>
  <si>
    <t>Dorothy Wardle</t>
  </si>
  <si>
    <t>6160</t>
  </si>
  <si>
    <t>Aaron Bergman</t>
  </si>
  <si>
    <t>Avery 49</t>
  </si>
  <si>
    <t>Hoover Portapower™ Portable Vacuum</t>
  </si>
  <si>
    <t>Timeport L7089</t>
  </si>
  <si>
    <t>Avery 510</t>
  </si>
  <si>
    <t>Xerox 1881</t>
  </si>
  <si>
    <t>Memorex 4.7GB DVD-RAM, 3/Pack</t>
  </si>
  <si>
    <t>Don Jones</t>
  </si>
  <si>
    <t>Unpadded Memo Slips</t>
  </si>
  <si>
    <t>Beth Thompson</t>
  </si>
  <si>
    <t>Adams Telephone Message Book W/Dividers/Space For Phone Numbers, 5 1/4"X8 1/2", 300/Messages</t>
  </si>
  <si>
    <t>Frank Price</t>
  </si>
  <si>
    <t>Eldon Expressions™ Desk Accessory, Wood Pencil Holder, Oak</t>
  </si>
  <si>
    <t>Michelle Lonsdale</t>
  </si>
  <si>
    <t>Bell Sonecor JB700 Caller ID</t>
  </si>
  <si>
    <t>Ann Chong</t>
  </si>
  <si>
    <t>Avery Arch Ring Binders</t>
  </si>
  <si>
    <t>APC 7 Outlet Network SurgeArrest Surge Protector</t>
  </si>
  <si>
    <t>Joy Bell</t>
  </si>
  <si>
    <t>Deflect-o RollaMat Studded, Beveled Mat for Medium Pile Carpeting</t>
  </si>
  <si>
    <t>Accessory4</t>
  </si>
  <si>
    <t>Skye Norling</t>
  </si>
  <si>
    <t>Personal Creations™ Ink Jet Cards and Labels</t>
  </si>
  <si>
    <t>Barry Weirich</t>
  </si>
  <si>
    <t>Scissors, Rulers and Trimmers</t>
  </si>
  <si>
    <t>High Speed Automatic Electric Letter Opener</t>
  </si>
  <si>
    <t>Xerox 1966</t>
  </si>
  <si>
    <t>Xerox 213</t>
  </si>
  <si>
    <t>Adrian Hane</t>
  </si>
  <si>
    <t>Boston Electric Pencil Sharpener, Model 1818, Charcoal Black</t>
  </si>
  <si>
    <t>Hammermill CopyPlus Copy Paper (20Lb. and 84 Bright)</t>
  </si>
  <si>
    <t>Telephone Message Books with Fax/Mobile Section, 5 1/2" x 3 3/16"</t>
  </si>
  <si>
    <t>Andrew Gjertsen</t>
  </si>
  <si>
    <t>Crate-A-Files™</t>
  </si>
  <si>
    <t>Ralph Knight</t>
  </si>
  <si>
    <t>80 Minute CD-R Spindle, 100/Pack - Staples</t>
  </si>
  <si>
    <t>Bush Westfield Collection Bookcases, Dark Cherry Finish, Fully Assembled</t>
  </si>
  <si>
    <t>12-1/2 Diameter Round Wall Clock</t>
  </si>
  <si>
    <t>SAFCO Arco Folding Chair</t>
  </si>
  <si>
    <t>#10 White Business Envelopes,4 1/8 x 9 1/2</t>
  </si>
  <si>
    <t>Beth Paige</t>
  </si>
  <si>
    <t>3M Office Air Cleaner</t>
  </si>
  <si>
    <t>Global Leather and Oak Executive Chair, Black</t>
  </si>
  <si>
    <t>Xerox 1936</t>
  </si>
  <si>
    <t>Xerox 214</t>
  </si>
  <si>
    <t>Carina Double Wide Media Storage Towers in Natural &amp; Black</t>
  </si>
  <si>
    <t>Staples® General Use 3-Ring Binders</t>
  </si>
  <si>
    <t>Northwest Territories</t>
  </si>
  <si>
    <t>Xerox 1904</t>
  </si>
  <si>
    <t>Luxo Professional Combination Clamp-On Lamps</t>
  </si>
  <si>
    <t>Xerox 217</t>
  </si>
  <si>
    <t>Revere Boxed Rubber Bands by Revere</t>
  </si>
  <si>
    <t>Acco Smartsocket™ Table Surge Protector, 6 Color-Coded Adapter Outlets</t>
  </si>
  <si>
    <t>Bryan Davis</t>
  </si>
  <si>
    <t>Tennsco Snap-Together Open Shelving Units, Starter Sets and Add-On Units</t>
  </si>
  <si>
    <t>Hon 4070 Series Pagoda™ Round Back Stacking Chairs</t>
  </si>
  <si>
    <t>Xerox 1887</t>
  </si>
  <si>
    <t>Xerox 1891</t>
  </si>
  <si>
    <t>Avery 506</t>
  </si>
  <si>
    <t>Bush Heritage Pine Collection 5-Shelf Bookcase, Albany Pine Finish, *Special Order</t>
  </si>
  <si>
    <t>Lifetime Advantage™ Folding Chairs, 4/Carton</t>
  </si>
  <si>
    <t>Microsoft Natural Multimedia Keyboard</t>
  </si>
  <si>
    <t>Delfina Latchford</t>
  </si>
  <si>
    <t>Staples Wirebound Steno Books, 6" x 9", 12/Pack</t>
  </si>
  <si>
    <t>Doug Bickford</t>
  </si>
  <si>
    <t>Bevis Boat-Shaped Conference Table</t>
  </si>
  <si>
    <t>Linden® 12" Wall Clock With Oak Frame</t>
  </si>
  <si>
    <t>Newell 326</t>
  </si>
  <si>
    <t>Jamie Kunitz</t>
  </si>
  <si>
    <t>Prismacolor Color Pencil Set</t>
  </si>
  <si>
    <t>Anthony Johnson</t>
  </si>
  <si>
    <t>Xerox Blank Computer Paper</t>
  </si>
  <si>
    <t>600 Series Flip</t>
  </si>
  <si>
    <t>Fellowes Recycled Storage Drawers</t>
  </si>
  <si>
    <t>Satellite Sectional Post Binders</t>
  </si>
  <si>
    <t>Deflect-o DuraMat Antistatic Studded Beveled Mat for Medium Pile Carpeting</t>
  </si>
  <si>
    <t>Avery 487</t>
  </si>
  <si>
    <t>Brendan Dodson</t>
  </si>
  <si>
    <t>Bevis Round Conference Table Top &amp; Single Column Base</t>
  </si>
  <si>
    <t>GBC Twin Loop™ Wire Binding Elements, 9/16" Spine, Black</t>
  </si>
  <si>
    <t>Hanging Personal Folder File</t>
  </si>
  <si>
    <t>Bevis Round Conference Table Top, X-Base</t>
  </si>
  <si>
    <t>5125</t>
  </si>
  <si>
    <t>Electrix Halogen Magnifier Lamp</t>
  </si>
  <si>
    <t>Office Machines</t>
  </si>
  <si>
    <t>Canon BP1200DH 12-Digit Bubble Jet Printing Calculator</t>
  </si>
  <si>
    <t>Hunter Glantz</t>
  </si>
  <si>
    <t>Fellowes Black Plastic Comb Bindings</t>
  </si>
  <si>
    <t>Polycom ViewStation™ Adapter H323 Videoconferencing Unit</t>
  </si>
  <si>
    <t>Hon GuestStacker Chair</t>
  </si>
  <si>
    <t>Eldon® Wave Desk Accessories</t>
  </si>
  <si>
    <t>Sharp AL-1530CS Digital Copier</t>
  </si>
  <si>
    <t>Tennsco Lockers, Gray</t>
  </si>
  <si>
    <t>Avery 4027 File Folder Labels for Dot Matrix Printers, 5000 Labels per Box, White</t>
  </si>
  <si>
    <t>Newell 323</t>
  </si>
  <si>
    <t>Global Enterprise Series Seating High-Back Swivel/Tilt Chairs</t>
  </si>
  <si>
    <t>Spiral Phone Message Books with Labels by Adams</t>
  </si>
  <si>
    <t>Holmes 99% HEPA Air Purifier</t>
  </si>
  <si>
    <t>Xerox 224</t>
  </si>
  <si>
    <t>Xerox 1906</t>
  </si>
  <si>
    <t>Xerox 188</t>
  </si>
  <si>
    <t>Xerox 1932</t>
  </si>
  <si>
    <t>GBC Linen Binding Covers</t>
  </si>
  <si>
    <t>GBC Recycled Grain Textured Covers</t>
  </si>
  <si>
    <t>Sauder Facets Collection Library, Sky Alder Finish</t>
  </si>
  <si>
    <t>Fellowes Basic 104-Key Keyboard, Platinum</t>
  </si>
  <si>
    <t>Kensington 7 Outlet MasterPiece Power Center with Fax/Phone Line Protection</t>
  </si>
  <si>
    <t>O'Sullivan 3-Shelf Heavy-Duty Bookcases</t>
  </si>
  <si>
    <t>Panasonic KX-P1150 Dot Matrix Printer</t>
  </si>
  <si>
    <t>Newell 327</t>
  </si>
  <si>
    <t>Xerox 1893</t>
  </si>
  <si>
    <t>Hon Deluxe Fabric Upholstered Stacking Chairs, Rounded Back</t>
  </si>
  <si>
    <t>Eldon Radial Chair Mat for Low to Medium Pile Carpets</t>
  </si>
  <si>
    <t>DAX Copper Panel Document Frame, 5 x 7 Size</t>
  </si>
  <si>
    <t>Thomas Seio</t>
  </si>
  <si>
    <t>O'Sullivan 2-Shelf Heavy-Duty Bookcases</t>
  </si>
  <si>
    <t>Tenex 46" x 60" Computer Anti-Static Chairmat, Rectangular Shaped</t>
  </si>
  <si>
    <t>Wirebound Message Books, 2 7/8" x 5", 3 Forms per Page</t>
  </si>
  <si>
    <t>Memorex Slim 80 Minute CD-R, 10/Pack</t>
  </si>
  <si>
    <t>Aluminum Document Frame</t>
  </si>
  <si>
    <t>Memorex 80 Minute CD-R Spindle, 100/Pack</t>
  </si>
  <si>
    <t>Multi-Use Personal File Cart and Caster Set, Three Stacking Bins</t>
  </si>
  <si>
    <t>Accessory36</t>
  </si>
  <si>
    <t>Xerox 20</t>
  </si>
  <si>
    <t>Surelock™ Post Binders</t>
  </si>
  <si>
    <t>Colorific® Watercolor Pencils</t>
  </si>
  <si>
    <t>*Staples* vLetter Openers, 2/Pack</t>
  </si>
  <si>
    <t>Hon 4700 Series Mobuis™ Mid-Back Task Chairs with Adjustable Arms</t>
  </si>
  <si>
    <t>BoxOffice By Design Rectangular and Half-Moon Meeting Room Tables</t>
  </si>
  <si>
    <t>Eldon Econocleat® Chair Mats for Low Pile Carpets</t>
  </si>
  <si>
    <t>Prang Drawing Pencil Set</t>
  </si>
  <si>
    <t>T39m</t>
  </si>
  <si>
    <t>Xerox 1982</t>
  </si>
  <si>
    <t>Xerox 1924</t>
  </si>
  <si>
    <t>Turquoise Lead Holder with Pocket Clip</t>
  </si>
  <si>
    <t>Okidata ML395C Color Dot Matrix Printer</t>
  </si>
  <si>
    <t>Microsoft Internet Keyboard</t>
  </si>
  <si>
    <t>Global Ergonomic Managers Chair</t>
  </si>
  <si>
    <t>Becky Castell</t>
  </si>
  <si>
    <t>Office Star - Contemporary Task Swivel chair with 2-way adjustable arms, Plum</t>
  </si>
  <si>
    <t>Xerox 1971</t>
  </si>
  <si>
    <t>Eldon Portable Mobile Manager</t>
  </si>
  <si>
    <t>Accessory6</t>
  </si>
  <si>
    <t>Durable Pressboard Binders</t>
  </si>
  <si>
    <t>Fellowes 17-key keypad for PS/2 interface</t>
  </si>
  <si>
    <t>StarTAC ST7762</t>
  </si>
  <si>
    <t>Accessory21</t>
  </si>
  <si>
    <t>Fellowes PB500 Electric Punch Plastic Comb Binding Machine with Manual Bind</t>
  </si>
  <si>
    <t>Staples 6 Outlet Surge</t>
  </si>
  <si>
    <t>Recycled Eldon Regeneration Jumbo File</t>
  </si>
  <si>
    <t>Verbatim DVD-R 4.7GB authoring disc</t>
  </si>
  <si>
    <t>Canon P1-DHIII Palm Printing Calculator</t>
  </si>
  <si>
    <t>GBC Binding covers</t>
  </si>
  <si>
    <t>Cari Schnelling</t>
  </si>
  <si>
    <t>Global Stack Chair without Arms, Black</t>
  </si>
  <si>
    <t>Chad Cunningham</t>
  </si>
  <si>
    <t>Speediset Carbonless Redi-Letter® 7" x 8 1/2"</t>
  </si>
  <si>
    <t>Bryan Mills</t>
  </si>
  <si>
    <t>GBC Recycled Regency Composition Covers</t>
  </si>
  <si>
    <t>Accessory29</t>
  </si>
  <si>
    <t>SANFORD Major Accent™ Highlighters</t>
  </si>
  <si>
    <t>Rick Reed</t>
  </si>
  <si>
    <t>Polycom ViaVideo™ Desktop Video Communications Unit</t>
  </si>
  <si>
    <t>Heather Kirkland</t>
  </si>
  <si>
    <t>Dixon Ticonderoga Core-Lock Colored Pencils, 48-Color Set</t>
  </si>
  <si>
    <t>Fred Wasserman</t>
  </si>
  <si>
    <t>Accessory24</t>
  </si>
  <si>
    <t>Howard Miller 13-3/4" Diameter Brushed Chrome Round Wall Clock</t>
  </si>
  <si>
    <t>Recycled Steel Personal File for Standard File Folders</t>
  </si>
  <si>
    <t>Accessory39</t>
  </si>
  <si>
    <t>Jack Lebron</t>
  </si>
  <si>
    <t>#10- 4 1/8" x 9 1/2" Security-Tint Envelopes</t>
  </si>
  <si>
    <t>GBC Standard Plastic Binding Systems Combs</t>
  </si>
  <si>
    <t>Xerox 1930</t>
  </si>
  <si>
    <t>Avery 474</t>
  </si>
  <si>
    <t>Riverside Palais Royal Lawyers Bookcase, Royale Cherry Finish</t>
  </si>
  <si>
    <t>Hewlett-Packard Deskjet 6122 Color Inkjet Printer</t>
  </si>
  <si>
    <t>IBM 80 Minute CD-R Spindle, 50/Pack</t>
  </si>
  <si>
    <t>Peel &amp; Seel® Recycled Catalog Envelopes, Brown</t>
  </si>
  <si>
    <t>TDK 4.7GB DVD+RW</t>
  </si>
  <si>
    <t>U.S. Robotics 56K Internet Call Modem</t>
  </si>
  <si>
    <t>Xerox 190</t>
  </si>
  <si>
    <t>Standard Line™ “While You Were Out” Hardbound Telephone Message Book</t>
  </si>
  <si>
    <t>CF 888</t>
  </si>
  <si>
    <t>Dana Halogen Swing-Arm Architect Lamp</t>
  </si>
  <si>
    <t>SAFCO PlanMaster Heigh-Adjustable Drafting Table Base, 43w x 30d x 30-37h, Black</t>
  </si>
  <si>
    <t>Lexmark Z25 Color Inkjet Printer</t>
  </si>
  <si>
    <t>Hon Multipurpose Stacking Arm Chairs</t>
  </si>
  <si>
    <t>Hon Olson Stacker Stools</t>
  </si>
  <si>
    <t>Executive Impressions 14" Two-Color Numerals Wall Clock</t>
  </si>
  <si>
    <t>Epson DFX5000+ Dot Matrix Printer</t>
  </si>
  <si>
    <t>Mike Pelletier</t>
  </si>
  <si>
    <t>Recycled Interoffice Envelopes with String and Button Closure, 10 x 13</t>
  </si>
  <si>
    <t>GBC Standard Therm-A-Bind Covers</t>
  </si>
  <si>
    <t>Xerox 1892</t>
  </si>
  <si>
    <t>Charles McCrossin</t>
  </si>
  <si>
    <t>Staples Paper Clips</t>
  </si>
  <si>
    <t>Metal Folding Chairs, Beige, 4/Carton</t>
  </si>
  <si>
    <t>80 Minute Slim Jewel Case CD-R , 10/Pack - Staples</t>
  </si>
  <si>
    <t>Bush Mission Pointe Library</t>
  </si>
  <si>
    <t>Xerox 1929</t>
  </si>
  <si>
    <t>Home/Office Personal File Carts</t>
  </si>
  <si>
    <t>Avery 507</t>
  </si>
  <si>
    <t>i470</t>
  </si>
  <si>
    <t>3M Organizer Strips</t>
  </si>
  <si>
    <t>Imation 3.5 IBM Diskettes, 10/Box</t>
  </si>
  <si>
    <t>GE 4 Foot Flourescent Tube, 40 Watt</t>
  </si>
  <si>
    <t>300 Series Non-Flip</t>
  </si>
  <si>
    <t>Charlotte Melton</t>
  </si>
  <si>
    <t>Executive Impressions 13" Chairman Wall Clock</t>
  </si>
  <si>
    <t>Micro Innovations 104 Keyboard</t>
  </si>
  <si>
    <t>US Robotics 56K V.92 External Faxmodem</t>
  </si>
  <si>
    <t>Fellowes Staxonsteel® Drawer Files</t>
  </si>
  <si>
    <t>Henry Goldwyn</t>
  </si>
  <si>
    <t>Telescoping Adjustable Floor Lamp</t>
  </si>
  <si>
    <t>Canon MP41DH Printing Calculator</t>
  </si>
  <si>
    <t>Sauder Facets Collection Locker/File Cabinet, Sky Alder Finish</t>
  </si>
  <si>
    <t>VTech VT20-2481 2.4GHz Two-Line Phone System w/Answering Machine</t>
  </si>
  <si>
    <t>Memo Book, 100 Message Capacity, 5 3/8” x 11”</t>
  </si>
  <si>
    <t>Belkin 6 Outlet Metallic Surge Strip</t>
  </si>
  <si>
    <t>Xerox 21</t>
  </si>
  <si>
    <t>Roy Skaria</t>
  </si>
  <si>
    <t>GBC DocuBind TL200 Manual Binding Machine</t>
  </si>
  <si>
    <t>Sauder Forest Hills Library, Woodland Oak Finish</t>
  </si>
  <si>
    <t>Xerox 1940</t>
  </si>
  <si>
    <t>Bagged Rubber Bands</t>
  </si>
  <si>
    <t>Xerox 1897</t>
  </si>
  <si>
    <t>Poly Designer Cover &amp; Back</t>
  </si>
  <si>
    <t>Jeremy Lonsdale</t>
  </si>
  <si>
    <t>Bionaire Personal Warm Mist Humidifier/Vaporizer</t>
  </si>
  <si>
    <t>Acme® 8" Straight Scissors</t>
  </si>
  <si>
    <t>Heavy-Duty E-Z-D® Binders</t>
  </si>
  <si>
    <t>Deluxe Rollaway Locking File with Drawer</t>
  </si>
  <si>
    <t>252</t>
  </si>
  <si>
    <t>Cindy Schnelling</t>
  </si>
  <si>
    <t>Imation 3.5, DISKETTE 44766 HGHLD3.52HD/FM, 10/Pack</t>
  </si>
  <si>
    <t>Wilson Jones DublLock® D-Ring Binders</t>
  </si>
  <si>
    <t>Binder Posts</t>
  </si>
  <si>
    <t>Epson LQ-570e Dot Matrix Printer</t>
  </si>
  <si>
    <t>Atlantic Metals Mobile 3-Shelf Bookcases, Custom Colors</t>
  </si>
  <si>
    <t>Fellowes PB300 Plastic Comb Binding Machine</t>
  </si>
  <si>
    <t>Rush Hierlooms Collection Rich Wood Bookcases</t>
  </si>
  <si>
    <t>Avery 481</t>
  </si>
  <si>
    <t>Avery Trapezoid Extra Heavy Duty 4" Binders</t>
  </si>
  <si>
    <t>StarTAC Series</t>
  </si>
  <si>
    <t>Rediform Wirebound "Phone Memo" Message Book, 11 x 5-3/4</t>
  </si>
  <si>
    <t>Global Comet™ Stacking Armless Chair</t>
  </si>
  <si>
    <t>Hon 4070 Series Pagoda™ Armless Upholstered Stacking Chairs</t>
  </si>
  <si>
    <t>Fellowes Internet Keyboard, Platinum</t>
  </si>
  <si>
    <t>Luxo Economy Swing Arm Lamp</t>
  </si>
  <si>
    <t>Acco Perma® 2700 Stacking Storage Drawers</t>
  </si>
  <si>
    <t>Fellowes Stor/Drawer® Steel Plus™ Storage Drawers</t>
  </si>
  <si>
    <t>Honeywell Enviracaire Portable HEPA Air Cleaner for 17' x 22' Room</t>
  </si>
  <si>
    <t>Verbatim DVD-RAM, 9.4GB, Rewritable, Type 1, DS, DataLife Plus</t>
  </si>
  <si>
    <t>Lock-Up Easel 'Spel-Binder'</t>
  </si>
  <si>
    <t>Susan Vittorini</t>
  </si>
  <si>
    <t>Adams Write n' Stick Phone Message Book, 11" X 5 1/4", 200 Messages</t>
  </si>
  <si>
    <t>Tenex File Box, Personal Filing Tote with Lid, Black</t>
  </si>
  <si>
    <t>Assorted Color Push Pins</t>
  </si>
  <si>
    <t>HP Office Paper (20Lb. and 87 Bright)</t>
  </si>
  <si>
    <t>Staples Vinyl Coated Paper Clips</t>
  </si>
  <si>
    <t>Newell 310</t>
  </si>
  <si>
    <t>Kensington 7 Outlet MasterPiece Power Center</t>
  </si>
  <si>
    <t>DAX Metal Frame, Desktop, Stepped-Edge</t>
  </si>
  <si>
    <t>8860</t>
  </si>
  <si>
    <t>Array® Memo Cubes</t>
  </si>
  <si>
    <t>Fiskars 8" Scissors, 2/Pack</t>
  </si>
  <si>
    <t>12 Colored Short Pencils</t>
  </si>
  <si>
    <t>Pizazz® Global Quick File™</t>
  </si>
  <si>
    <t>Imation 5.2GB DVD-RAM</t>
  </si>
  <si>
    <t>Portable Personal File Box</t>
  </si>
  <si>
    <t>Snap-A-Way® Black Print Carbonless Speed Message, No Reply Area, Duplicate</t>
  </si>
  <si>
    <t>Ibico Covers for Plastic or Wire Binding Elements</t>
  </si>
  <si>
    <t>Tennsco Double-Tier Lockers</t>
  </si>
  <si>
    <t>Wirebound Message Books, Four 2 3/4" x 5" Forms per Page, 600 Sets per Book</t>
  </si>
  <si>
    <t>Acme Design Line 8" Stainless Steel Bent Scissors w/Champagne Handles, 3-1/8" Cut</t>
  </si>
  <si>
    <t>Imation 3.5", DISKETTE 44766 HGHLD3.52HD/FM, 10/Pack</t>
  </si>
  <si>
    <t>PC Concepts 116 Key Quantum 3000 Keyboard</t>
  </si>
  <si>
    <t>Epson Stylus 1520 Color Inkjet Printer</t>
  </si>
  <si>
    <t>Toby Braunhardt</t>
  </si>
  <si>
    <t>Avery 494</t>
  </si>
  <si>
    <t>Wilson Jones 14 Line Acrylic Coated Pressboard Data Binders</t>
  </si>
  <si>
    <t>Eureka Disposable Bags for Sanitaire® Vibra Groomer I® Upright Vac</t>
  </si>
  <si>
    <t>AT&amp;T 2230 Dual Handset Phone With Caller ID/Call Waiting</t>
  </si>
  <si>
    <t>Cardinal Poly Pocket Divider Pockets for Ring Binders</t>
  </si>
  <si>
    <t>Canon PC1060 Personal Laser Copier</t>
  </si>
  <si>
    <t>Sterling Rubber Bands by Alliance</t>
  </si>
  <si>
    <t>Newell 312</t>
  </si>
  <si>
    <t>Imation 3.5" DS/HD IBM Formatted Diskettes, 50/Pack</t>
  </si>
  <si>
    <t>Avery Flip-Chart Easel Binder, Black</t>
  </si>
  <si>
    <t>R280</t>
  </si>
  <si>
    <t>Accessory9</t>
  </si>
  <si>
    <t>Tennsco Industrial Shelving</t>
  </si>
  <si>
    <t>Staples Bulldog Clip</t>
  </si>
  <si>
    <t>Micro Innovations Micro 3000 Keyboard, Black</t>
  </si>
  <si>
    <t>Xerox 1882</t>
  </si>
  <si>
    <t>Acme Hot Forged Carbon Steel Scissors with Nickel-Plated Handles, 3 7/8" Cut, 8"L</t>
  </si>
  <si>
    <t>Eldon Cleatmat® Chair Mats for Medium Pile Carpets</t>
  </si>
  <si>
    <t>Xerox 4200 Series MultiUse Premium Copy Paper (20Lb. and 84 Bright)</t>
  </si>
  <si>
    <t>Hon 94000 Series Round Tables</t>
  </si>
  <si>
    <t>Global High-Back Leather Tilter, Burgundy</t>
  </si>
  <si>
    <t>DAX Contemporary Wood Frame with Silver Metal Mat, Desktop, 11 x 14 Size</t>
  </si>
  <si>
    <t>Stockwell Push Pins</t>
  </si>
  <si>
    <t>8260</t>
  </si>
  <si>
    <t>3390</t>
  </si>
  <si>
    <t>Global Deluxe Stacking Chair, Gray</t>
  </si>
  <si>
    <t>Bevis 36 x 72 Conference Tables</t>
  </si>
  <si>
    <t>Howard Miller 16" Diameter Gallery Wall Clock</t>
  </si>
  <si>
    <t>ACCOHIDE® 3-Ring Binder, Blue, 1"</t>
  </si>
  <si>
    <t>Wilson Jones Hanging View Binder, White, 1"</t>
  </si>
  <si>
    <t>Boston 1730 StandUp Electric Pencil Sharpener</t>
  </si>
  <si>
    <t>Accessory31</t>
  </si>
  <si>
    <t>Accessory8</t>
  </si>
  <si>
    <t>Fellowes Command Center 5-outlet power strip</t>
  </si>
  <si>
    <t>Accessory12</t>
  </si>
  <si>
    <t>Global Leather Highback Executive Chair with Pneumatic Height Adjustment, Black</t>
  </si>
  <si>
    <t>GBC DocuBind TL300 Electric Binding System</t>
  </si>
  <si>
    <t>GBC Prepunched Paper, 19-Hole, for Binding Systems, 24-lb</t>
  </si>
  <si>
    <t>TDK 4.7GB DVD-R</t>
  </si>
  <si>
    <t>Xerox 1977</t>
  </si>
  <si>
    <t>DAX Solid Wood Frames</t>
  </si>
  <si>
    <t>Honeywell Enviracaire® Portable Air Cleaner for up to 8 x 10 Room</t>
  </si>
  <si>
    <t>Belkin 8 Outlet SurgeMaster II Gold Surge Protector</t>
  </si>
  <si>
    <t>Multimedia Mailers</t>
  </si>
  <si>
    <t>White Business Envelopes with Contemporary Seam, Recycled White Business Envelopes</t>
  </si>
  <si>
    <t>Avery Trapezoid Ring Binder, 3" Capacity, Black, 1040 sheets</t>
  </si>
  <si>
    <t>DXL™ Angle-View Binders with Locking Rings, Black</t>
  </si>
  <si>
    <t>Newell® 3-Hole Punched Plastic Slotted Magazine Holders for Binders</t>
  </si>
  <si>
    <t>Laser &amp; Ink Jet Business Envelopes</t>
  </si>
  <si>
    <t>Okidata ML390 Turbo Dot Matrix Printers</t>
  </si>
  <si>
    <t>Eldon Regeneration Recycled Desk Accessories, Smoke</t>
  </si>
  <si>
    <t>2160i</t>
  </si>
  <si>
    <t>Global Deluxe High-Back Office Chair in Storm</t>
  </si>
  <si>
    <t>Canon MP100DHII Printing Calculator</t>
  </si>
  <si>
    <t>C-Line Cubicle Keepers Polyproplyene Holder w/Velcro® Back, 8-1/2x11, 25/Bx</t>
  </si>
  <si>
    <t>Avery 51</t>
  </si>
  <si>
    <t>Avery Poly Binder Pockets</t>
  </si>
  <si>
    <t>Dixon My First Ticonderoga Pencil, #2</t>
  </si>
  <si>
    <t>Acco® Hot Clips™ Clips to Go</t>
  </si>
  <si>
    <t>Fiskars® Softgrip Scissors</t>
  </si>
  <si>
    <t>Elite 5" Scissors</t>
  </si>
  <si>
    <t>Eldon Wave Desk Accessories</t>
  </si>
  <si>
    <t>Avery 478</t>
  </si>
  <si>
    <t>Boston 16701 Slimline Battery Pencil Sharpener</t>
  </si>
  <si>
    <t>Soundgear Copyboard Conference Phone, Optional Battery</t>
  </si>
  <si>
    <t>Dot Matrix Printer Tape Reel Labels, White, 5000/Box</t>
  </si>
  <si>
    <t>Euro Pro Shark Stick Mini Vacuum</t>
  </si>
  <si>
    <t>Tenex Contemporary Contur Chairmats for Low and Medium Pile Carpet, Computer, 39" x 49"</t>
  </si>
  <si>
    <t>Avery 498</t>
  </si>
  <si>
    <t>Premium Transparent Presentation Covers by GBC</t>
  </si>
  <si>
    <t>Barricks 18" x 48" Non-Folding Utility Table with Bottom Storage Shelf</t>
  </si>
  <si>
    <t>GBC VeloBinder Electric Binding Machine</t>
  </si>
  <si>
    <t>Brown Kraft Recycled Envelopes</t>
  </si>
  <si>
    <t>A1228</t>
  </si>
  <si>
    <t>3M Polarizing Task Lamp with Clamp Arm, Light Gray</t>
  </si>
  <si>
    <t>8290</t>
  </si>
  <si>
    <t>Hewlett-Packard Deskjet 5550 Color Inkjet Printer</t>
  </si>
  <si>
    <t>Fellowes Neat Ideas® Storage Cubes</t>
  </si>
  <si>
    <t>Lesro Round Back Collection Coffee Table, End Table</t>
  </si>
  <si>
    <t>Avery 492</t>
  </si>
  <si>
    <t>Newell 343</t>
  </si>
  <si>
    <t>Canon S750 Color Inkjet Printer</t>
  </si>
  <si>
    <t>Panasonic KP-310 Heavy-Duty Electric Pencil Sharpener</t>
  </si>
  <si>
    <t>AT&amp;T Black Trimline Phone, Model 210</t>
  </si>
  <si>
    <t>Newell 318</t>
  </si>
  <si>
    <t>Staples Pen Style Liquid Stix; Assorted (yellow, pink, green, blue, orange), 5/Pack</t>
  </si>
  <si>
    <t>Avery 491</t>
  </si>
  <si>
    <t>T18</t>
  </si>
  <si>
    <t>Sanyo 2.5 Cubic Foot Mid-Size Office Refrigerators</t>
  </si>
  <si>
    <t>Honeywell Quietcare HEPA Air Cleaner</t>
  </si>
  <si>
    <t>Staples Colored Bar Computer Paper</t>
  </si>
  <si>
    <t>Ralph Arnett</t>
  </si>
  <si>
    <t>Boston 16765 Mini Stand Up Battery Pencil Sharpener</t>
  </si>
  <si>
    <t>Staples Battery-Operated Desktop Pencil Sharpener</t>
  </si>
  <si>
    <t>Eldon® 200 Class™ Desk Accessories</t>
  </si>
  <si>
    <t>Memorex 80 Minute CD-R, 30/Pack</t>
  </si>
  <si>
    <t>Dual Level, Single-Width Filing Carts</t>
  </si>
  <si>
    <t>Fellowes Smart Design 104-Key Enhanced Keyboard, PS/2 Adapter, Platinum</t>
  </si>
  <si>
    <t>Master Giant Foot® Doorstop, Safety Yellow</t>
  </si>
  <si>
    <t>Perma STOR-ALL™ Hanging File Box, 13 1/8"W x 12 1/4"D x 10 1/2"H</t>
  </si>
  <si>
    <t>Epson DFX-8500 Dot Matrix Printer</t>
  </si>
  <si>
    <t>Xerox 194</t>
  </si>
  <si>
    <t>SouthWestern Bell FA970 Digital Answering Machine with Time/Day Stamp</t>
  </si>
  <si>
    <t>Avery 493</t>
  </si>
  <si>
    <t>Bevis Round Bullnose 29" High Table Top</t>
  </si>
  <si>
    <t>Prince Edward Island</t>
  </si>
  <si>
    <t>Atlantic</t>
  </si>
  <si>
    <t>Xerox 197</t>
  </si>
  <si>
    <t>Eldon® Expressions™ Wood Desk Accessories, Oak</t>
  </si>
  <si>
    <t>Xerox 1935</t>
  </si>
  <si>
    <t>Peel &amp; Stick Add-On Corner Pockets</t>
  </si>
  <si>
    <t>Eureka The Boss® Cordless Rechargeable Stick Vac</t>
  </si>
  <si>
    <t>Xerox 1905</t>
  </si>
  <si>
    <t>Fellowes Bankers Box™ Staxonsteel® Drawer File/Stacking System</t>
  </si>
  <si>
    <t>Executive Impressions 13" Clairmont Wall Clock</t>
  </si>
  <si>
    <t>Staples SlimLine Pencil Sharpener</t>
  </si>
  <si>
    <t>Presstex Flexible Ring Binders</t>
  </si>
  <si>
    <t>Memorex 4.7GB DVD+RW, 3/Pack</t>
  </si>
  <si>
    <t>Eldon Image Series Black Desk Accessories</t>
  </si>
  <si>
    <t>Avery 485</t>
  </si>
  <si>
    <t>Global Adaptabilities™ Conference Tables</t>
  </si>
  <si>
    <t>Xerox 1885</t>
  </si>
  <si>
    <t>Avery 479</t>
  </si>
  <si>
    <t>Fellowes Twister Kit, Gray/Clear, 3/pkg</t>
  </si>
  <si>
    <t>Eldon Pizzaz™ Desk Accessories</t>
  </si>
  <si>
    <t>Harold Engle</t>
  </si>
  <si>
    <t>Roy French</t>
  </si>
  <si>
    <t>Helen Abelman</t>
  </si>
  <si>
    <t>Talkabout T8367</t>
  </si>
  <si>
    <t>Guy Armstrong</t>
  </si>
  <si>
    <t>Logitech Access Keyboard</t>
  </si>
  <si>
    <t>Jennifer Braxton</t>
  </si>
  <si>
    <t>Fellowes Strictly Business® Drawer File, Letter/Legal Size</t>
  </si>
  <si>
    <t>Giulietta Baptist</t>
  </si>
  <si>
    <t>Newell 336</t>
  </si>
  <si>
    <t>Conquest™ 14 Commercial Heavy-Duty Upright Vacuum, Collection System, Accessory Kit</t>
  </si>
  <si>
    <t>Erica Bern</t>
  </si>
  <si>
    <t>GBC DocuBind P100 Manual Binding Machine</t>
  </si>
  <si>
    <t>Avery 497</t>
  </si>
  <si>
    <t>SAFCO Folding Chair Trolley</t>
  </si>
  <si>
    <t>Manila Recycled Extra-Heavyweight Clasp Envelopes, 6" x 9"</t>
  </si>
  <si>
    <t>Verbatim DVD-RAM, 5.2GB, Rewritable, Type 1, DS</t>
  </si>
  <si>
    <t>Christopher Schild</t>
  </si>
  <si>
    <t>Keytronic Designer 104- Key Black Keyboard</t>
  </si>
  <si>
    <t>Avanti 4.4 Cu. Ft. Refrigerator</t>
  </si>
  <si>
    <t>Acco Pressboard Covers with Storage Hooks, 14 7/8" x 11", Dark Blue</t>
  </si>
  <si>
    <t>Joy Smith</t>
  </si>
  <si>
    <t>Evan Minnotte</t>
  </si>
  <si>
    <t>Boston KS Multi-Size Manual Pencil Sharpener</t>
  </si>
  <si>
    <t>Hunt BOSTON® Vista® Battery-Operated Pencil Sharpener, Black</t>
  </si>
  <si>
    <t>Jenna Caffey</t>
  </si>
  <si>
    <t>Martin-Yale Premier Letter Opener</t>
  </si>
  <si>
    <t>Recycled Premium Regency Composition Covers</t>
  </si>
  <si>
    <t>Atlantic Metals Mobile 5-Shelf Bookcases, Custom Colors</t>
  </si>
  <si>
    <t>i1000</t>
  </si>
  <si>
    <t>Fellowes Super Stor/Drawer®</t>
  </si>
  <si>
    <t>Hilary Holden</t>
  </si>
  <si>
    <t>Rubbermaid ClusterMat Chairmats, Mat Size- 66" x 60", Lip 20" x 11" -90 Degree Angle</t>
  </si>
  <si>
    <t>*Staples* Letter Opener</t>
  </si>
  <si>
    <t>LX 677</t>
  </si>
  <si>
    <t>Avery Hi-Liter® Fluorescent Desk Style Markers</t>
  </si>
  <si>
    <t>#10- 4 1/8" x 9 1/2" Recycled Envelopes</t>
  </si>
  <si>
    <t>Greg Guthrie</t>
  </si>
  <si>
    <t>Acco Suede Grain Vinyl Round Ring Binder</t>
  </si>
  <si>
    <t>Newell 342</t>
  </si>
  <si>
    <t>Staples #10 Laser &amp; Inkjet Envelopes, 4 1/8" x 9 1/2", 100/Box</t>
  </si>
  <si>
    <t>Newell 337</t>
  </si>
  <si>
    <t>Micro Innovations Micro Digital Wireless Keyboard and Mouse, Gray</t>
  </si>
  <si>
    <t>Eldon ClusterMat Chair Mat with Cordless Antistatic Protection</t>
  </si>
  <si>
    <t>Dan Reichenbach</t>
  </si>
  <si>
    <t>Xerox 1985</t>
  </si>
  <si>
    <t>Zoom V.92 V.44 PCI Internal Controllerless FaxModem</t>
  </si>
  <si>
    <t>Tennsco Lockers, Sand</t>
  </si>
  <si>
    <t>Xerox 1920</t>
  </si>
  <si>
    <t>Xerox 1928</t>
  </si>
  <si>
    <t>Xerox 1939</t>
  </si>
  <si>
    <t>StarTAC 7760</t>
  </si>
  <si>
    <t>Paul Gonzalez</t>
  </si>
  <si>
    <t>Magna Visual Magnetic Picture Hangers</t>
  </si>
  <si>
    <t>Filia McAdams</t>
  </si>
  <si>
    <t>M3682</t>
  </si>
  <si>
    <t>Xerox 1978</t>
  </si>
  <si>
    <t>Wirebound Message Book, 4 per Page</t>
  </si>
  <si>
    <t>Hoover WindTunnel™ Plus Canister Vacuum</t>
  </si>
  <si>
    <t>Zoom V.92 USB External Faxmodem</t>
  </si>
  <si>
    <t>Wilson Jones Ledger-Size, Piano-Hinge Binder, 2", Blue</t>
  </si>
  <si>
    <t>Chuck Magee</t>
  </si>
  <si>
    <t>Eldon Expressions Punched Metal &amp; Wood Desk Accessories, Pewter &amp; Cherry</t>
  </si>
  <si>
    <t>Xerox 1992</t>
  </si>
  <si>
    <t>TI 36X Solar Scientific Calculator</t>
  </si>
  <si>
    <t>V 3600 Series</t>
  </si>
  <si>
    <t>Deflect-o EconoMat Nonstudded, No Bevel Mat</t>
  </si>
  <si>
    <t>Frank Atkinson</t>
  </si>
  <si>
    <t>Bretford CR4500 Series Slim Rectangular Table</t>
  </si>
  <si>
    <t>Hon 5100 Series Wood Tables</t>
  </si>
  <si>
    <t>Belkin ErgoBoard™ Keyboard</t>
  </si>
  <si>
    <t>Riverleaf Stik-Withit® Designer Note Cubes®</t>
  </si>
  <si>
    <t>Coloredge Poster Frame</t>
  </si>
  <si>
    <t>Sharp 1540cs Digital Laser Copier</t>
  </si>
  <si>
    <t>Holmes Replacement Filter for HEPA Air Cleaner, Very Large Room, HEPA Filter</t>
  </si>
  <si>
    <t>Wilson Jones Impact Binders</t>
  </si>
  <si>
    <t>GBC DocuBind 200 Manual Binding Machine</t>
  </si>
  <si>
    <t>Deflect-o SuperTray™ Unbreakable Stackable Tray, Letter, Black</t>
  </si>
  <si>
    <t>Sanford Liquid Accent Highlighters</t>
  </si>
  <si>
    <t>Holmes Harmony HEPA Air Purifier for 17 x 20 Room</t>
  </si>
  <si>
    <t>Hon iLevel™ Computer Training Table</t>
  </si>
  <si>
    <t>Eldon® 200 Class™ Desk Accessories, Burgundy</t>
  </si>
  <si>
    <t>3M Hangers With Command Adhesive</t>
  </si>
  <si>
    <t>X-Rack™ File for Hanging Folders</t>
  </si>
  <si>
    <t>688</t>
  </si>
  <si>
    <t>Ibico EB-19 Dual Function Manual Binding System</t>
  </si>
  <si>
    <t>Southworth 25% Cotton Premium Laser Paper and Envelopes</t>
  </si>
  <si>
    <t>Safco Contoured Stacking Chairs</t>
  </si>
  <si>
    <t>Canon PC-428 Personal Copier</t>
  </si>
  <si>
    <t>Staples Standard Envelopes</t>
  </si>
  <si>
    <t>Lexmark Z55se Color Inkjet Printer</t>
  </si>
  <si>
    <t>Philip Brown</t>
  </si>
  <si>
    <t>Binder Clips by OIC</t>
  </si>
  <si>
    <t>Fellowes Smart Surge Ten-Outlet Protector, Platinum</t>
  </si>
  <si>
    <t>Wausau Papers Astrobrights® Colored Envelopes</t>
  </si>
  <si>
    <t>Pressboard Covers with Storage Hooks, 9 1/2" x 11", Light Blue</t>
  </si>
  <si>
    <t>Canon imageCLASS 2200 Advanced Copier</t>
  </si>
  <si>
    <t>Chromcraft Bull-Nose Wood 48" x 96" Rectangular Conference Tables</t>
  </si>
  <si>
    <t>KF 788</t>
  </si>
  <si>
    <t>Imation Neon Mac Format Diskettes, 10/Pack</t>
  </si>
  <si>
    <t>2180</t>
  </si>
  <si>
    <t>Executive Impressions 14" Contract Wall Clock</t>
  </si>
  <si>
    <t>*Staples* Highlighting Markers</t>
  </si>
  <si>
    <t>Boston 19500 Mighty Mite Electric Pencil Sharpener</t>
  </si>
  <si>
    <t>Xerox 1995</t>
  </si>
  <si>
    <t>Self-Adhesive Ring Binder Labels</t>
  </si>
  <si>
    <t>Catalog Binders with Expanding Posts</t>
  </si>
  <si>
    <t>*Staples* Packaging Labels</t>
  </si>
  <si>
    <t>Deflect-o EconoMat Studded, No Bevel Mat for Low Pile Carpeting</t>
  </si>
  <si>
    <t>Recycled Desk Saver Line "While You Were Out" Book, 5 1/2" X 4"</t>
  </si>
  <si>
    <t>9-3/4 Diameter Round Wall Clock</t>
  </si>
  <si>
    <t>Logitech Cordless Elite Duo</t>
  </si>
  <si>
    <t>Xerox 220</t>
  </si>
  <si>
    <t>Canon Image Class D660 Copier</t>
  </si>
  <si>
    <t>Avery Legal 4-Ring Binder</t>
  </si>
  <si>
    <t>Hoover® Commercial Lightweight Upright Vacuum</t>
  </si>
  <si>
    <t>Colored Envelopes</t>
  </si>
  <si>
    <t>Xerox 1953</t>
  </si>
  <si>
    <t>DAX Natural Wood-Tone Poster Frame</t>
  </si>
  <si>
    <t>Jim Sink</t>
  </si>
  <si>
    <t>Office Star Flex Back Scooter Chair with White Frame</t>
  </si>
  <si>
    <t>Xerox 1941</t>
  </si>
  <si>
    <t>DAX Clear Channel Poster Frame</t>
  </si>
  <si>
    <t>Tenex B1-RE Series Chair Mats for Low Pile Carpets</t>
  </si>
  <si>
    <t>Belkin 105-Key Black Keyboard</t>
  </si>
  <si>
    <t>GBC Imprintable Covers</t>
  </si>
  <si>
    <t>Logan Haushalter</t>
  </si>
  <si>
    <t>GBC Laser Imprintable Binding System Covers, Desert Sand</t>
  </si>
  <si>
    <t>Sharp EL501VB Scientific Calculator, Battery Operated, 10-Digit Display, Hard Case</t>
  </si>
  <si>
    <t>Executive Impressions 14"</t>
  </si>
  <si>
    <t>Accessory2</t>
  </si>
  <si>
    <t>Southworth 25% Cotton Antique Laid Paper &amp; Envelopes</t>
  </si>
  <si>
    <t>Eldon® 400 Class™ Desk Accessories, Black Carbon</t>
  </si>
  <si>
    <t>Adams Telephone Message Book w/Frequently-Called Numbers Space, 400 Messages per Book</t>
  </si>
  <si>
    <t>Bretford “Just In Time” Height-Adjustable Multi-Task Work Tables</t>
  </si>
  <si>
    <t>Array® Parchment Paper, Assorted Colors</t>
  </si>
  <si>
    <t>Avery Durable Poly Binders</t>
  </si>
  <si>
    <t>Dana Swing-Arm Lamps</t>
  </si>
  <si>
    <t>270c</t>
  </si>
  <si>
    <t>T28 WORLD</t>
  </si>
  <si>
    <t>Noah Childs</t>
  </si>
  <si>
    <t>Manitoba</t>
  </si>
  <si>
    <t>Prarie</t>
  </si>
  <si>
    <t>Staples Premium Bright 1-Part Blank Computer Paper</t>
  </si>
  <si>
    <t>Hon Metal Bookcases, Black</t>
  </si>
  <si>
    <t>24 Capacity Maxi Data Binder Racks, Pearl</t>
  </si>
  <si>
    <t>Accessory17</t>
  </si>
  <si>
    <t>Xerox 1898</t>
  </si>
  <si>
    <t>Barricks Non-Folding Utility Table with Steel Legs, Laminate Tops</t>
  </si>
  <si>
    <t>ACCOHIDE® Binder by Acco</t>
  </si>
  <si>
    <t>Eldon Executive Woodline II Cherry Finish Desk Accessories</t>
  </si>
  <si>
    <t>Belkin 8 Outlet Surge Protector</t>
  </si>
  <si>
    <t>Holmes Replacement Filter for HEPA Air Cleaner, Large Room</t>
  </si>
  <si>
    <t>Snap-A-Way® Black Print Carbonless Ruled Speed Letter, Triplicate</t>
  </si>
  <si>
    <t>Fellowes Super Stor/Drawer® Files</t>
  </si>
  <si>
    <t>Logitech Cordless Navigator Duo</t>
  </si>
  <si>
    <t>Sharp EL500L Fraction Calculator</t>
  </si>
  <si>
    <t>White GlueTop Scratch Pads</t>
  </si>
  <si>
    <t>Brian Moss</t>
  </si>
  <si>
    <t>Eureka Sanitaire ® Multi-Pro Heavy-Duty Upright, Disposable Bags</t>
  </si>
  <si>
    <t>Cardinal Holdit Business Card Pockets</t>
  </si>
  <si>
    <t>T193</t>
  </si>
  <si>
    <t>Tennsco Commercial Shelving</t>
  </si>
  <si>
    <t>Office Star Flex Back Scooter Chair with Aluminum Finish Frame</t>
  </si>
  <si>
    <t>Accessory13</t>
  </si>
  <si>
    <t>Xerox 1976</t>
  </si>
  <si>
    <t>Hon 2090 “Pillow Soft” Series Mid Back Swivel/Tilt Chairs</t>
  </si>
  <si>
    <t>Hammermill Color Copier Paper (28Lb. and 96 Bright)</t>
  </si>
  <si>
    <t>Serrated Blade or Curved Handle Hand Letter Openers</t>
  </si>
  <si>
    <t>GE 48" Fluorescent Tube, Cool White Energy Saver, 34 Watts, 30/Box</t>
  </si>
  <si>
    <t>TOPS Money Receipt Book, Consecutively Numbered in Red,</t>
  </si>
  <si>
    <t>Xerox 1989</t>
  </si>
  <si>
    <t>British Columbia</t>
  </si>
  <si>
    <t>West</t>
  </si>
  <si>
    <t>Bush Westfield Collection Bookcases, Fully Assembled</t>
  </si>
  <si>
    <t>Nu-Dell Leatherette Frames</t>
  </si>
  <si>
    <t>Xerox 1994</t>
  </si>
  <si>
    <t>Julie Creighton</t>
  </si>
  <si>
    <t>Dixon Ticonderoga Core-Lock Colored Pencils</t>
  </si>
  <si>
    <t>CF 688</t>
  </si>
  <si>
    <t>Sanjit Chand</t>
  </si>
  <si>
    <t>Matt Collins</t>
  </si>
  <si>
    <t>Panasonic KP-350BK Electric Pencil Sharpener with Auto Stop</t>
  </si>
  <si>
    <t>3285</t>
  </si>
  <si>
    <t>Justin Knight</t>
  </si>
  <si>
    <t>Rob Haberlin</t>
  </si>
  <si>
    <t>Office Star - Task Chair with Contemporary Loop Arms</t>
  </si>
  <si>
    <t>Acco Perma® 3000 Stacking Storage Drawers</t>
  </si>
  <si>
    <t>Christina Vanderzanden</t>
  </si>
  <si>
    <t>Imation Printable White 80 Minute CD-R Spindle, 50/Pack</t>
  </si>
  <si>
    <t>Eldon® Gobal File Keepers</t>
  </si>
  <si>
    <t>Kensington 7 Outlet MasterPiece® HOMEOFFICE Power Control Center</t>
  </si>
  <si>
    <t>Seth Thomas 13 1/2" Wall Clock</t>
  </si>
  <si>
    <t>Tenex Carpeted, Granite-Look or Clear Contemporary Contour Shape Chair Mats</t>
  </si>
  <si>
    <t>Bretford Rectangular Conference Table Tops</t>
  </si>
  <si>
    <t>Wirebound Voice Message Log Book</t>
  </si>
  <si>
    <t>Lena Cacioppo</t>
  </si>
  <si>
    <t>Kimberly Carter</t>
  </si>
  <si>
    <t>O'Sullivan Manor Hill 2-Door Library in Brianna Oak</t>
  </si>
  <si>
    <t>Gene Hale</t>
  </si>
  <si>
    <t>Novimex Swivel Fabric Task Chair</t>
  </si>
  <si>
    <t>Imation Primaris 3.5" 2HD Unformatted Diskettes, 10/Pack</t>
  </si>
  <si>
    <t>Project Tote Personal File</t>
  </si>
  <si>
    <t>Sally Knutson</t>
  </si>
  <si>
    <t>Imation 3.5" DS-HD Macintosh Formatted Diskettes, 10/Pack</t>
  </si>
  <si>
    <t>Sanford Colorific Colored Pencils, 12/Box</t>
  </si>
  <si>
    <t>Xerox 1899</t>
  </si>
  <si>
    <t>Imation IBM Formatted Diskettes, 100/Pack</t>
  </si>
  <si>
    <t>Barrel Sharpener</t>
  </si>
  <si>
    <t>Gould Plastics 9-Pocket Panel Bin, 18-3/8w x 5-1/4d x 20-1/2h, Black</t>
  </si>
  <si>
    <t>Accessory34</t>
  </si>
  <si>
    <t>Marina Lichtenstein</t>
  </si>
  <si>
    <t>Panasonic All Digital Answering System with Caller ID*, KX-TM150B</t>
  </si>
  <si>
    <t>Wilson Jones® Four-Pocket Poly Binders</t>
  </si>
  <si>
    <t>Economy Binders</t>
  </si>
  <si>
    <t>Office Star - Mid Back Dual function Ergonomic High Back Chair with 2-Way Adjustable Arms</t>
  </si>
  <si>
    <t>Michelle Arnett</t>
  </si>
  <si>
    <t>Eldon Jumbo ProFile™ Portable File Boxes Graphite/Black</t>
  </si>
  <si>
    <t>Newell 315</t>
  </si>
  <si>
    <t>Kleencut® Forged Office Shears by Acme United Corporation</t>
  </si>
  <si>
    <t>Xerox 1983</t>
  </si>
  <si>
    <t>T61</t>
  </si>
  <si>
    <t>Seth Vernon</t>
  </si>
  <si>
    <t>Xerox 196</t>
  </si>
  <si>
    <t>Luke Weiss</t>
  </si>
  <si>
    <t>Eldon Simplefile® Box Office®</t>
  </si>
  <si>
    <t>6190</t>
  </si>
  <si>
    <t>Panasonic KX-P3200 Dot Matrix Printer</t>
  </si>
  <si>
    <t>Ibico Recycled Linen-Style Covers</t>
  </si>
  <si>
    <t>1726 Digital Answering Machine</t>
  </si>
  <si>
    <t>Executive Impressions 8-1/2" Career Panel/Partition Cubicle Clock</t>
  </si>
  <si>
    <t>Belkin MediaBoard 104- Keyboard</t>
  </si>
  <si>
    <t>Executive Impressions 12" Wall Clock</t>
  </si>
  <si>
    <t>6185</t>
  </si>
  <si>
    <t>Eldon Spacemaker® Box, Quick-Snap Lid, Clear</t>
  </si>
  <si>
    <t>Xerox 1993</t>
  </si>
  <si>
    <t>Strathmore #10 Envelopes, Ultimate White</t>
  </si>
  <si>
    <t>Fellowes 8 Outlet Superior Workstation Surge Protector</t>
  </si>
  <si>
    <t>Tyvek Interoffice Envelopes, 9 1/2" x 12 1/2", 100/Box</t>
  </si>
  <si>
    <t>Accessory20</t>
  </si>
  <si>
    <t>5165</t>
  </si>
  <si>
    <t>Lexmark Z54se Color Inkjet Printer</t>
  </si>
  <si>
    <t>Premier Elliptical Ring Binder, Black</t>
  </si>
  <si>
    <t>Avery 520</t>
  </si>
  <si>
    <t>Fellowes Premier Superior Surge Suppressor, 10-Outlet, With Phone and Remote</t>
  </si>
  <si>
    <t>Xerox 226</t>
  </si>
  <si>
    <t>Sanford 52201 APSCO Electric Pencil Sharpener</t>
  </si>
  <si>
    <t>Laminate Occasional Tables</t>
  </si>
  <si>
    <t>Round Ring Binders</t>
  </si>
  <si>
    <t>Christina DeMoss</t>
  </si>
  <si>
    <t>DIXON Oriole® Pencils</t>
  </si>
  <si>
    <t>Avery Durable Binders</t>
  </si>
  <si>
    <t>Super Bands, 12/Pack</t>
  </si>
  <si>
    <t>iDEN i95</t>
  </si>
  <si>
    <t>Memorex 4.7GB DVD+R, 3/Pack</t>
  </si>
  <si>
    <t>Advantus Employee of the Month Certificate Frame, 11 x 13-1/2</t>
  </si>
  <si>
    <t>Howard Miller 11-1/2" Diameter Ridgewood Wall Clock</t>
  </si>
  <si>
    <t>Howard Miller 12-3/4 Diameter Accuwave DS ™ Wall Clock</t>
  </si>
  <si>
    <t>Seth Thomas 12" Clock w/ Goldtone Case</t>
  </si>
  <si>
    <t>Bevis Round Conference Room Tables and Bases</t>
  </si>
  <si>
    <t>#10 Self-Seal White Envelopes</t>
  </si>
  <si>
    <t>Advantus Push Pins, Aluminum Head</t>
  </si>
  <si>
    <t>Staples Vinyl Coated Paper Clips, 800/Box</t>
  </si>
  <si>
    <t>Tenex Personal Self-Stacking Standard File Box, Black/Gray</t>
  </si>
  <si>
    <t>Sonia Sunley</t>
  </si>
  <si>
    <t>7160</t>
  </si>
  <si>
    <t>Anthony O'Donnell</t>
  </si>
  <si>
    <t>Emily Grady</t>
  </si>
  <si>
    <t>Alex Avila</t>
  </si>
  <si>
    <t>StarTAC 6500</t>
  </si>
  <si>
    <t>Eldon Advantage® Chair Mats for Low to Medium Pile Carpets</t>
  </si>
  <si>
    <t>SC7868i</t>
  </si>
  <si>
    <t>Anna Andreadi</t>
  </si>
  <si>
    <t>HP Office Recycled Paper (20Lb. and 87 Bright)</t>
  </si>
  <si>
    <t>Logitech Internet Navigator Keyboard</t>
  </si>
  <si>
    <t>Barbara Fisher</t>
  </si>
  <si>
    <t>O'Sullivan Elevations Bookcase, Cherry Finish</t>
  </si>
  <si>
    <t>Kelly Williams</t>
  </si>
  <si>
    <t>Tyvek ® Top-Opening Peel &amp; Seel Envelopes, Plain White</t>
  </si>
  <si>
    <t>Keytronic 105-Key Spanish Keyboard</t>
  </si>
  <si>
    <t>Motorola SB4200 Cable Modem</t>
  </si>
  <si>
    <t>Jocasta Rupert</t>
  </si>
  <si>
    <t>Jet-Pak Recycled Peel 'N' Seal Padded Mailers</t>
  </si>
  <si>
    <t>Strathmore Photo Mount Cards</t>
  </si>
  <si>
    <t>Rick Duston</t>
  </si>
  <si>
    <t>GBC White Gloss Covers, Plain Front</t>
  </si>
  <si>
    <t>Angele Hood</t>
  </si>
  <si>
    <t>Dennis Bolton</t>
  </si>
  <si>
    <t>Stewart Carmichael</t>
  </si>
  <si>
    <t>Eureka Hand Vacuum, Bagless</t>
  </si>
  <si>
    <t>Airmail Envelopes</t>
  </si>
  <si>
    <t>Keytronic French Keyboard</t>
  </si>
  <si>
    <t>Newell 314</t>
  </si>
  <si>
    <t>Xerox 1919</t>
  </si>
  <si>
    <t>Accessory27</t>
  </si>
  <si>
    <t>Sarah Foster</t>
  </si>
  <si>
    <t>Berol Giant Pencil Sharpener</t>
  </si>
  <si>
    <t>Xerox 227</t>
  </si>
  <si>
    <t>Adams Phone Message Book, Professional, 400 Message Capacity, 5 3/6” x 11”</t>
  </si>
  <si>
    <t>Jim Karlsson</t>
  </si>
  <si>
    <t>Xerox 1962</t>
  </si>
  <si>
    <t>636</t>
  </si>
  <si>
    <t>Lisa DeCherney</t>
  </si>
  <si>
    <t>Global Commerce™ Series High-Back Swivel/Tilt Chairs</t>
  </si>
  <si>
    <t>Wilson Jones Easy Flow II™ Sheet Lifters</t>
  </si>
  <si>
    <t>Avery White Multi-Purpose Labels</t>
  </si>
  <si>
    <t>Accessory25</t>
  </si>
  <si>
    <t>Xerox 199</t>
  </si>
  <si>
    <t>Bush Advantage Collection® Racetrack Conference Table</t>
  </si>
  <si>
    <t>Hon Comfortask® Task/Swivel Chairs</t>
  </si>
  <si>
    <t>Xerox 1938</t>
  </si>
  <si>
    <t>Rediform S.O.S. Phone Message Books</t>
  </si>
  <si>
    <t>StarTAC 3000</t>
  </si>
  <si>
    <t>Adesso Programmable 142-Key Keyboard</t>
  </si>
  <si>
    <t>Ampad #10 Peel &amp; Seel® Holiday Envelopes</t>
  </si>
  <si>
    <t>Belkin 107-key enhanced keyboard, USB/PS/2 interface</t>
  </si>
  <si>
    <t>5185</t>
  </si>
  <si>
    <t>Maxell DVD-RAM Discs</t>
  </si>
  <si>
    <t>StarTAC ST7868</t>
  </si>
  <si>
    <t>Novimex Turbo Task Chair</t>
  </si>
  <si>
    <t>Panasonic KX-P3626 Dot Matrix Printer</t>
  </si>
  <si>
    <t>Belkin F9M820V08 8 Outlet Surge</t>
  </si>
  <si>
    <t>Global Leather Task Chair, Black</t>
  </si>
  <si>
    <t>GBC VeloBinder Strips</t>
  </si>
  <si>
    <t>MicroTAC 650</t>
  </si>
  <si>
    <t>Peter Buhler</t>
  </si>
  <si>
    <t>Hand-Finished Solid Wood Document Frame</t>
  </si>
  <si>
    <t>Boston 1645 Deluxe Heavier-Duty Electric Pencil Sharpener</t>
  </si>
  <si>
    <t>Xerox 210</t>
  </si>
  <si>
    <t>Xerox 1923</t>
  </si>
  <si>
    <t>Staples Metal Binder Clips</t>
  </si>
  <si>
    <t>Daniel Lacy</t>
  </si>
  <si>
    <t>Hewlett-Packard 4.7GB DVD+R Discs</t>
  </si>
  <si>
    <t>It's Hot Message Books with Stickers, 2 3/4" x 5"</t>
  </si>
  <si>
    <t>Dixon Prang® Watercolor Pencils, 10-Color Set with Brush</t>
  </si>
  <si>
    <t>Giulietta Weimer</t>
  </si>
  <si>
    <t>I888 World Phone</t>
  </si>
  <si>
    <t>Xerox 1997</t>
  </si>
  <si>
    <t>Mike Vittorini</t>
  </si>
  <si>
    <t>GBC Therma-A-Bind 250T Electric Binding System</t>
  </si>
  <si>
    <t>Lela Donovan</t>
  </si>
  <si>
    <t>Avery Printable Repositionable Plastic Tabs</t>
  </si>
  <si>
    <t>Storex DuraTech Recycled Plastic Frosted Binders</t>
  </si>
  <si>
    <t>Shahid Shariari</t>
  </si>
  <si>
    <t>Trudy Schmidt</t>
  </si>
  <si>
    <t>Xerox 204</t>
  </si>
  <si>
    <t>Christopher Martinez</t>
  </si>
  <si>
    <t>Newell 35</t>
  </si>
  <si>
    <t>Marc Harrigan</t>
  </si>
  <si>
    <t>Liz Price</t>
  </si>
  <si>
    <t>Staples Brown Kraft Recycled Clasp Envelopes</t>
  </si>
  <si>
    <t>Xerox 1947</t>
  </si>
  <si>
    <t>Xerox 1950</t>
  </si>
  <si>
    <t>Ralph Kennedy</t>
  </si>
  <si>
    <t>GBC ProClick™ 150 Presentation Binding System</t>
  </si>
  <si>
    <t>Rob Dowd</t>
  </si>
  <si>
    <t>Letter Size Cart</t>
  </si>
  <si>
    <t>Khloe Miller</t>
  </si>
  <si>
    <t>Shahid Hopkins</t>
  </si>
  <si>
    <t>Kristina Nunn</t>
  </si>
  <si>
    <t>Kensington 6 Outlet Guardian Standard Surge Protector</t>
  </si>
  <si>
    <t>Ricardo Emerson</t>
  </si>
  <si>
    <t>Imation 3.5" Diskettes, IBM Format, DS/HD, 10/Box, Neon</t>
  </si>
  <si>
    <t>Career Cubicle Clock, 8 1/4", Black</t>
  </si>
  <si>
    <t>V8162</t>
  </si>
  <si>
    <t>Flexible Leather- Look Classic Collection Ring Binder</t>
  </si>
  <si>
    <t>Patrick O'Brill</t>
  </si>
  <si>
    <t>Okidata ML520 Series Dot Matrix Printers</t>
  </si>
  <si>
    <t>TOPS Voice Message Log Book, Flash Format</t>
  </si>
  <si>
    <t>Avery 48</t>
  </si>
  <si>
    <t>Thomas Brumley</t>
  </si>
  <si>
    <t>Eldon Cleatmat Plus™ Chair Mats for High Pile Carpets</t>
  </si>
  <si>
    <t>6340</t>
  </si>
  <si>
    <t>Vicky Freymann</t>
  </si>
  <si>
    <t>Tony Chapman</t>
  </si>
  <si>
    <t>Microsoft Natural Keyboard Elite</t>
  </si>
  <si>
    <t>Accessory41</t>
  </si>
  <si>
    <t>i500plus</t>
  </si>
  <si>
    <t>Sarah Bern</t>
  </si>
  <si>
    <t>Mark Cousins</t>
  </si>
  <si>
    <t>Hewlett-Packard Deskjet 3820 Color Inkjet Printer</t>
  </si>
  <si>
    <t>Daniel Byrd</t>
  </si>
  <si>
    <t>Newell 346</t>
  </si>
  <si>
    <t>John Murray</t>
  </si>
  <si>
    <t>Global Enterprise™ Series Seating Low-Back Swivel/Tilt Chairs</t>
  </si>
  <si>
    <t>3M Polarizing Light Filter Sleeves</t>
  </si>
  <si>
    <t>Lena Hernandez</t>
  </si>
  <si>
    <t>Master Caster Door Stop, Brown</t>
  </si>
  <si>
    <t>6162i</t>
  </si>
  <si>
    <t>Greg Maxwell</t>
  </si>
  <si>
    <t>Fellowes Mobile Numeric Keypad, Graphite</t>
  </si>
  <si>
    <t>iDENi80s</t>
  </si>
  <si>
    <t>5190</t>
  </si>
  <si>
    <t>M70</t>
  </si>
  <si>
    <t>Acco 6 Outlet Guardian Premium Surge Suppressor</t>
  </si>
  <si>
    <t>G.E. Halogen Desk Lamp Bulbs</t>
  </si>
  <si>
    <t>Filing/Storage Totes and Swivel Casters</t>
  </si>
  <si>
    <t>Ultra Door Pull Handle</t>
  </si>
  <si>
    <t>Justin Hirsh</t>
  </si>
  <si>
    <t>Southworth 25% Cotton Linen-Finish Paper &amp; Envelopes</t>
  </si>
  <si>
    <t>Hayes Optima 56K V.90 Internal Voice Modem</t>
  </si>
  <si>
    <t>Xerox 1979</t>
  </si>
  <si>
    <t>Global Leather &amp; Oak Executive Chair, Burgundy</t>
  </si>
  <si>
    <t>DAX Two-Tone Rosewood/Black Document Frame, Desktop, 5 x 7</t>
  </si>
  <si>
    <t>Xerox 1903</t>
  </si>
  <si>
    <t>Hon 2111 Invitation™ Series Corner Table</t>
  </si>
  <si>
    <t>Staples Copy Paper (20Lb. and 84 Bright)</t>
  </si>
  <si>
    <t>Bevis Rectangular Conference Tables</t>
  </si>
  <si>
    <t>Master Caster Door Stop, Gray</t>
  </si>
  <si>
    <t>Xerox 1937</t>
  </si>
  <si>
    <t>Xerox 1986</t>
  </si>
  <si>
    <t>Microsoft Multimedia Keyboard</t>
  </si>
  <si>
    <t>Xerox 1894</t>
  </si>
  <si>
    <t>Heather Jas</t>
  </si>
  <si>
    <t>BASF Silver 74 Minute CD-R</t>
  </si>
  <si>
    <t>Accessory32</t>
  </si>
  <si>
    <t>Philisse Overcash</t>
  </si>
  <si>
    <t>Westinghouse Clip-On Gooseneck Lamps</t>
  </si>
  <si>
    <t>Neil Knudson</t>
  </si>
  <si>
    <t>Hewlett-Packard 2600DN Business Color Inkjet Printer</t>
  </si>
  <si>
    <t>Staples Plastic Wall Frames</t>
  </si>
  <si>
    <t>Vinyl Sectional Post Binders</t>
  </si>
  <si>
    <t>Cathy Armstrong</t>
  </si>
  <si>
    <t>i2000</t>
  </si>
  <si>
    <t>Ames Color-File® Green Diamond Border X-ray Mailers</t>
  </si>
  <si>
    <t>Hon Non-Folding Utility Tables</t>
  </si>
  <si>
    <t>Office Star - Ergonomic Mid Back Chair with 2-Way Adjustable Arms</t>
  </si>
  <si>
    <t>Nu-Form 106-Key Ergonomic Keyboard w/ Touchpad</t>
  </si>
  <si>
    <t>Avery 496</t>
  </si>
  <si>
    <t>Executive Impressions 14" Contract Wall Clock with Quartz Movement</t>
  </si>
  <si>
    <t>Tuff Stuff™ Recycled Round Ring Binders</t>
  </si>
  <si>
    <t>Avery 514</t>
  </si>
  <si>
    <t>V8160</t>
  </si>
  <si>
    <t>Rush Hierlooms Collection 1" Thick Stackable Bookcases</t>
  </si>
  <si>
    <t>Chuck Clark</t>
  </si>
  <si>
    <t>Hewlett-Packard Deskjet 1220Cse Color Inkjet Printer</t>
  </si>
  <si>
    <t>Letter/Legal File Tote with Clear Snap-On Lid, Black Granite</t>
  </si>
  <si>
    <t>Xerox 1949</t>
  </si>
  <si>
    <t>Bill Eplett</t>
  </si>
  <si>
    <t>Xerox 1907</t>
  </si>
  <si>
    <t>Imation DVD-RAM discs</t>
  </si>
  <si>
    <t>Xerox 1974</t>
  </si>
  <si>
    <t>John Grady</t>
  </si>
  <si>
    <t>Nova Scotia</t>
  </si>
  <si>
    <t>Panasonic KP-150 Electric Pencil Sharpener</t>
  </si>
  <si>
    <t>Xerox 1896</t>
  </si>
  <si>
    <t>8890</t>
  </si>
  <si>
    <t>Office Impressions Heavy Duty Welded Shelving &amp; Multimedia Storage Drawers</t>
  </si>
  <si>
    <t>Novimex Fabric Task Chair</t>
  </si>
  <si>
    <t>Eldon® Image Series Desk Accessories, Burgundy</t>
  </si>
  <si>
    <t>Staples File Caddy</t>
  </si>
  <si>
    <t>Tanja Norvell</t>
  </si>
  <si>
    <t>Sauder Camden County Collection Libraries, Planked Cherry Finish</t>
  </si>
  <si>
    <t>Bush Advantage Collection® Round Conference Table</t>
  </si>
  <si>
    <t>Avery Hole Reinforcements</t>
  </si>
  <si>
    <t>TI 30X Scientific Calculator</t>
  </si>
  <si>
    <t>Avery Non-Stick Binders</t>
  </si>
  <si>
    <t>Belkin Premiere Surge Master II 8-outlet surge protector</t>
  </si>
  <si>
    <t>Hon Metal Bookcases, Putty</t>
  </si>
  <si>
    <t>Newell 309</t>
  </si>
  <si>
    <t>Wilson Jones “Snap” Scratch Pad Binder Tool for Ring Binders</t>
  </si>
  <si>
    <t>Flat Face Poster Frame</t>
  </si>
  <si>
    <t>Paul MacIntyre</t>
  </si>
  <si>
    <t>Eureka Recycled Copy Paper 8 1/2" x 11", Ream</t>
  </si>
  <si>
    <t>Xerox 193</t>
  </si>
  <si>
    <t>Matt Abelman</t>
  </si>
  <si>
    <t>Nu-Dell Executive Frame</t>
  </si>
  <si>
    <t>Sarah Jordon</t>
  </si>
  <si>
    <t>Sally Matthias</t>
  </si>
  <si>
    <t>Xerox 1973</t>
  </si>
  <si>
    <t>Theone Pippenger</t>
  </si>
  <si>
    <t>Art Ferguson</t>
  </si>
  <si>
    <t>Jack O'Briant</t>
  </si>
  <si>
    <t>Hewlett Packard LaserJet 3310 Copier</t>
  </si>
  <si>
    <t>Nathan Cano</t>
  </si>
  <si>
    <t>Michael Granlund</t>
  </si>
  <si>
    <t>Xerox 1927</t>
  </si>
  <si>
    <t>Steve Carroll</t>
  </si>
  <si>
    <t>Scott Williamson</t>
  </si>
  <si>
    <t>Sean Wendt</t>
  </si>
  <si>
    <t>John Castell</t>
  </si>
  <si>
    <t>Bush Cubix Collection Bookcases, Fully Assembled</t>
  </si>
  <si>
    <t>3.6 Cubic Foot Counter Height Office Refrigerator</t>
  </si>
  <si>
    <t>David Philippe</t>
  </si>
  <si>
    <t>Chad Sievert</t>
  </si>
  <si>
    <t>Hewlett-Packard cp1700 [D, PS] Series Color Inkjet Printers</t>
  </si>
  <si>
    <t>T65</t>
  </si>
  <si>
    <t>Shaun Weien</t>
  </si>
  <si>
    <t>Gyration RF Keyboard</t>
  </si>
  <si>
    <t>Maya Herman</t>
  </si>
  <si>
    <t>StarTAC 8000</t>
  </si>
  <si>
    <t>Xerox 1910</t>
  </si>
  <si>
    <t>Newell 320</t>
  </si>
  <si>
    <t>Howard Miller Distant Time Traveler Alarm Clock</t>
  </si>
  <si>
    <t>Ivan Liston</t>
  </si>
  <si>
    <t>Carina Mini System Audio Rack, Model AR050B</t>
  </si>
  <si>
    <t>Brad Norvell</t>
  </si>
  <si>
    <t>Ken Heidel</t>
  </si>
  <si>
    <t>Hoover Replacement Belts For Soft Guard™ &amp; Commercial Ltweight Upright Vacs, 2/Pk</t>
  </si>
  <si>
    <t>SimpliFile™ Personal File, Black Granite, 15w x 6-15/16d x 11-1/4h</t>
  </si>
  <si>
    <t>Newell 307</t>
  </si>
  <si>
    <t>Mike Kennedy</t>
  </si>
  <si>
    <t>Charles Sheldon</t>
  </si>
  <si>
    <t>Tensor Computer Mounted Lamp</t>
  </si>
  <si>
    <t>Hewlett-Packard Deskjet 940 REFURBISHED Color Inkjet Printer</t>
  </si>
  <si>
    <t>Holmes Odor Grabber</t>
  </si>
  <si>
    <t>Avery Hi-Liter® Smear-Safe Highlighters</t>
  </si>
  <si>
    <t>Brian Derr</t>
  </si>
  <si>
    <t>Wirebound Four 2-3/4 x 5 Forms per Page, 400 Sets per Book</t>
  </si>
  <si>
    <t>Roland Black</t>
  </si>
  <si>
    <t>Iris® 3-Drawer Stacking Bin, Black</t>
  </si>
  <si>
    <t>Dana Kaydos</t>
  </si>
  <si>
    <t>Darren Koutras</t>
  </si>
  <si>
    <t>Artistic Insta-Plaque</t>
  </si>
  <si>
    <t>Carina 42"Hx23 3/4"W Media Storage Unit</t>
  </si>
  <si>
    <t>Neil Ducich</t>
  </si>
  <si>
    <t>Verbatim DVD-R, 4.7GB, Spindle, WE, Blank, Ink Jet/Thermal, 20/Spindle</t>
  </si>
  <si>
    <t>Peel-Off® China Markers</t>
  </si>
  <si>
    <t>Parhena Norris</t>
  </si>
  <si>
    <t>Model L Table or Wall-Mount Pencil Sharpener</t>
  </si>
  <si>
    <t>Okidata ML320 Series Turbo Dot Matrix Printers</t>
  </si>
  <si>
    <t>Deflect-O® Glasstique™ Clear Desk Accessories</t>
  </si>
  <si>
    <t>Bart Watters</t>
  </si>
  <si>
    <t>Acme® Box Cutter Scissors</t>
  </si>
  <si>
    <t>Boston School Pro Electric Pencil Sharpener, 1670</t>
  </si>
  <si>
    <t>Mary O'Rourke</t>
  </si>
  <si>
    <t>Multicolor Computer Printout Paper</t>
  </si>
  <si>
    <t>DAX Wood Document Frame.</t>
  </si>
  <si>
    <t>Newell 340</t>
  </si>
  <si>
    <t>Space Solutions Commercial Steel Shelving</t>
  </si>
  <si>
    <t>Hunter Lopez</t>
  </si>
  <si>
    <t>Nathan Mautz</t>
  </si>
  <si>
    <t>Adams Phone Message Book, 200 Message Capacity, 8 1/16” x 11”</t>
  </si>
  <si>
    <t>DS/HD IBM Formatted Diskettes, 10/Pack - Staples</t>
  </si>
  <si>
    <t>Eaton Premium Continuous-Feed Paper, 25% Cotton, Letter Size, White, 1000 Shts/Box</t>
  </si>
  <si>
    <t>Fellowes Personal Hanging Folder Files, Navy</t>
  </si>
  <si>
    <t>Maxell Pro 80 Minute CD-R, 10/Pack</t>
  </si>
  <si>
    <t>StarTAC Analog</t>
  </si>
  <si>
    <t>232</t>
  </si>
  <si>
    <t>Colored Push Pins</t>
  </si>
  <si>
    <t>KI Conference Tables</t>
  </si>
  <si>
    <t>Aaron Smayling</t>
  </si>
  <si>
    <t>Newell 321</t>
  </si>
  <si>
    <t>Newell 351</t>
  </si>
  <si>
    <t>OIC Colored Binder Clips, Assorted Sizes</t>
  </si>
  <si>
    <t>Avanti 1.7 Cu. Ft. Refrigerator</t>
  </si>
  <si>
    <t>Executive Impressions 13-1/2" Indoor/Outdoor Wall Clock</t>
  </si>
  <si>
    <t>Gyration Ultra Cordless Optical Suite</t>
  </si>
  <si>
    <t>DPC 650 Piper</t>
  </si>
  <si>
    <t>Staples #10 Colored Envelopes</t>
  </si>
  <si>
    <t>Imation 3.5" Unformatted DS/HD Diskettes, 10/Box</t>
  </si>
  <si>
    <t>Accessory35</t>
  </si>
  <si>
    <t>Avery Heavy-Duty EZD ™ Binder With Locking Rings</t>
  </si>
  <si>
    <t>IBM Active Response Keyboard, Black</t>
  </si>
  <si>
    <t>Okidata ML184 Turbo Dot Matrix Printers</t>
  </si>
  <si>
    <t>Riverside Furniture Stanwyck Manor Table Series</t>
  </si>
  <si>
    <t>Companion Letter/Legal File, Black</t>
  </si>
  <si>
    <t>Joel Jenkins</t>
  </si>
  <si>
    <t>Meg O'Connel</t>
  </si>
  <si>
    <t>Hallie Redmond</t>
  </si>
  <si>
    <t>Liz Thompson</t>
  </si>
  <si>
    <t>Acco Four Pocket Poly Ring Binder with Label Holder, Smoke, 1"</t>
  </si>
  <si>
    <t>Robert Waldorf</t>
  </si>
  <si>
    <t>Helen Andreada</t>
  </si>
  <si>
    <t>Epson C82 Color Inkjet Printer</t>
  </si>
  <si>
    <t>Julia Dunbar</t>
  </si>
  <si>
    <t>Xerox 212</t>
  </si>
  <si>
    <t>Christine Sundaresam</t>
  </si>
  <si>
    <t>Bruce Stewart</t>
  </si>
  <si>
    <t>Binding Machine Supplies</t>
  </si>
  <si>
    <t>BPI Conference Tables</t>
  </si>
  <si>
    <t>Guy Thornton</t>
  </si>
  <si>
    <t>Mary Zewe</t>
  </si>
  <si>
    <t>O'Sullivan 5-Shelf Heavy-Duty Bookcases</t>
  </si>
  <si>
    <t>DAX Cubicle Frames, 8-1/2 x 11</t>
  </si>
  <si>
    <t>Ken Lonsdale</t>
  </si>
  <si>
    <t>Avery® Durable Slant Ring Binders With Label Holder</t>
  </si>
  <si>
    <t>Maria Bertelson</t>
  </si>
  <si>
    <t>Binney &amp; Smith inkTank™ Erasable Desk Highlighter, Chisel Tip, Yellow, 12/Box</t>
  </si>
  <si>
    <t>Ibico Laser Imprintable Binding System Covers</t>
  </si>
  <si>
    <t>1/4 Fold Party Design Invitations &amp; White Envelopes, 24 8-1/2" X 11" Cards, 25 Env./Pack</t>
  </si>
  <si>
    <t>Brian Thompson</t>
  </si>
  <si>
    <t>Deflect-o Glass Clear Studded Chair Mats</t>
  </si>
  <si>
    <t>Brites Rubber Bands, 1 1/2 oz. Box</t>
  </si>
  <si>
    <t>Jason Gross</t>
  </si>
  <si>
    <t>Verbatim DVD-R, 3.95GB, SR, Mitsubishi Branded, Jewel</t>
  </si>
  <si>
    <t>Avery Round Ring Poly Binders</t>
  </si>
  <si>
    <t>Katrina Bavinger</t>
  </si>
  <si>
    <t>Wirebound Service Call Books, 5 1/2" x 4"</t>
  </si>
  <si>
    <t>Targus USB Numeric Keypad</t>
  </si>
  <si>
    <t>Ivan Gibson</t>
  </si>
  <si>
    <t>Micro Innovations Media Access Pro Keyboard</t>
  </si>
  <si>
    <t>Ontario</t>
  </si>
  <si>
    <t>Howard Miller 13" Diameter Goldtone Round Wall Clock</t>
  </si>
  <si>
    <t>Acco Recycled 2" Capacity Laser Printer Hanging Data Binders</t>
  </si>
  <si>
    <t>Joseph Airdo</t>
  </si>
  <si>
    <t>Blue String-Tie &amp; Button Interoffice Envelopes, 10 x 13</t>
  </si>
  <si>
    <t>Staples 4 Outlet Surge Protector</t>
  </si>
  <si>
    <t>Tensor "Hersey Kiss" Styled Floor Lamp</t>
  </si>
  <si>
    <t>Prang Colored Pencils</t>
  </si>
  <si>
    <t>Lycoris Saunders</t>
  </si>
  <si>
    <t>6120</t>
  </si>
  <si>
    <t>Dorothy Dickinson</t>
  </si>
  <si>
    <t>Belkin 5 Outlet SurgeMaster™ Power Centers</t>
  </si>
  <si>
    <t>Polycom VoiceStation 100</t>
  </si>
  <si>
    <t>Bretford CR8500 Series Meeting Room Furniture</t>
  </si>
  <si>
    <t>Janet Molinari</t>
  </si>
  <si>
    <t>Boston 1799 Powerhouse™ Electric Pencil Sharpener</t>
  </si>
  <si>
    <t>Belkin F5C206VTEL 6 Outlet Surge</t>
  </si>
  <si>
    <t>Eldon Expressions Mahogany Wood Desk Collection</t>
  </si>
  <si>
    <t>Sony MFD2HD Formatted Diskettes, 10/Pack</t>
  </si>
  <si>
    <t>Julie Prescott</t>
  </si>
  <si>
    <t>Hoover Upright Vacuum With Dirt Cup</t>
  </si>
  <si>
    <t>Quartet Omega® Colored Chalk, 12/Pack</t>
  </si>
  <si>
    <t>Annie Thurman</t>
  </si>
  <si>
    <t>GBC DocuBind P50 Personal Binding Machine</t>
  </si>
  <si>
    <t>Boston 16801 Nautilus™ Battery Pencil Sharpener</t>
  </si>
  <si>
    <t>Iceberg Mobile Mega Data/Printer Cart ®</t>
  </si>
  <si>
    <t>Chromcraft Rectangular Conference Tables</t>
  </si>
  <si>
    <t>Security-Tint Envelopes</t>
  </si>
  <si>
    <t>Avery Binding System Hidden Tab™ Executive Style Index Sets</t>
  </si>
  <si>
    <t>Rob Beeghly</t>
  </si>
  <si>
    <t>Fellowes EZ Multi-Media Keyboard</t>
  </si>
  <si>
    <t>Wilson Jones Elliptical Ring 3 1/2" Capacity Binders, 800 sheets</t>
  </si>
  <si>
    <t>Holmes Replacement Filter for HEPA Air Cleaner, Medium Room</t>
  </si>
  <si>
    <t>Doug O'Connell</t>
  </si>
  <si>
    <t>Craig Carroll</t>
  </si>
  <si>
    <t>Liz MacKendrick</t>
  </si>
  <si>
    <t>Xerox 1922</t>
  </si>
  <si>
    <t>Christine Kargatis</t>
  </si>
  <si>
    <t>Avery 504</t>
  </si>
  <si>
    <t>Talkabout T8097</t>
  </si>
  <si>
    <t>Bobby Odegard</t>
  </si>
  <si>
    <t>Russell Applegate</t>
  </si>
  <si>
    <t>Ibico Hi-Tech Manual Binding System</t>
  </si>
  <si>
    <t>Bill Donatelli</t>
  </si>
  <si>
    <t>Tyvek® Side-Opening Peel &amp; Seel® Expanding Envelopes</t>
  </si>
  <si>
    <t>3.5" IBM Formatted Diskettes, DS/HD</t>
  </si>
  <si>
    <t>Xerox 1934</t>
  </si>
  <si>
    <t>"While you Were Out" Message Book, One Form per Page</t>
  </si>
  <si>
    <t>Duane Benoit</t>
  </si>
  <si>
    <t>Atlantic Metals Mobile 2-Shelf Bookcases, Custom Colors</t>
  </si>
  <si>
    <t>GBC Instant Index™ System for Binding Systems</t>
  </si>
  <si>
    <t>Letter or Legal Size Expandable Poly String Tie Envelopes</t>
  </si>
  <si>
    <t>Sanyo Counter Height Refrigerator with Crisper, 3.6 Cubic Foot, Stainless Steel/Black</t>
  </si>
  <si>
    <t>Park Ridge™ Embossed Executive Business Envelopes</t>
  </si>
  <si>
    <t>Logitech Cordless Access Keyboard</t>
  </si>
  <si>
    <t>14-7/8 x 11 Blue Bar Computer Printout Paper</t>
  </si>
  <si>
    <t>6000</t>
  </si>
  <si>
    <t>Harold Pawlan</t>
  </si>
  <si>
    <t>5180</t>
  </si>
  <si>
    <t>O'Sullivan Living Dimensions 3-Shelf Bookcases</t>
  </si>
  <si>
    <t>Newell 333</t>
  </si>
  <si>
    <t>Xerox 23</t>
  </si>
  <si>
    <t>Adam Bellavance</t>
  </si>
  <si>
    <t>Anderson Hickey Conga Table Tops &amp; Accessories</t>
  </si>
  <si>
    <t>Cari Sayre</t>
  </si>
  <si>
    <t>Wirebound Message Books, 5-1/2 x 4 Forms, 2 or 4 Forms per Page</t>
  </si>
  <si>
    <t>Sean O'Donnell</t>
  </si>
  <si>
    <t>Sandra Glassco</t>
  </si>
  <si>
    <t>Hon Pagoda™ Stacking Chairs</t>
  </si>
  <si>
    <t>Newell 338</t>
  </si>
  <si>
    <t>Shirley Schmidt</t>
  </si>
  <si>
    <t>Avery Hi-Liter Pen Style Six-Color Fluorescent Set</t>
  </si>
  <si>
    <t>Hot File® 7-Pocket, Floor Stand</t>
  </si>
  <si>
    <t>Rick Wilson</t>
  </si>
  <si>
    <t>Eldon Expressions Punched Metal &amp; Wood Desk Accessories, Black &amp; Cherry</t>
  </si>
  <si>
    <t>Blackstonian Pencils</t>
  </si>
  <si>
    <t>Chromcraft Bull-Nose Wood Round Conference Table Top, Wood Base</t>
  </si>
  <si>
    <t>Pauline Chand</t>
  </si>
  <si>
    <t>Jennifer Halladay</t>
  </si>
  <si>
    <t>Harmony HEPA Quiet Air Purifiers</t>
  </si>
  <si>
    <t>Ritsa Hightower</t>
  </si>
  <si>
    <t>Joni Blumstein</t>
  </si>
  <si>
    <t>GBC Standard Plastic Binding Systems' Combs</t>
  </si>
  <si>
    <t>Pete Armstrong</t>
  </si>
  <si>
    <t>Panasonic KX-P1131 Dot Matrix Printer</t>
  </si>
  <si>
    <t>REDIFORM Incoming/Outgoing Call Register, 11" X 8 1/2", 100 Messages</t>
  </si>
  <si>
    <t>EcoTones® Memo Sheets</t>
  </si>
  <si>
    <t>Xerox 1984</t>
  </si>
  <si>
    <t>Anna Gayman</t>
  </si>
  <si>
    <t>Nat Gilpin</t>
  </si>
  <si>
    <t>3395</t>
  </si>
  <si>
    <t>Rose O'Brian</t>
  </si>
  <si>
    <t>Canon MP25DIII Desktop Whisper-Quiet Printing Calculator</t>
  </si>
  <si>
    <t>Fluorescent Highlighters by Dixon</t>
  </si>
  <si>
    <t>Tenex Traditional Chairmats for Medium Pile Carpet, Standard Lip, 36" x 48"</t>
  </si>
  <si>
    <t>Accessory23</t>
  </si>
  <si>
    <t>Avery 05222 Permanent Self-Adhesive File Folder Labels for Typewriters, on Rolls, White, 250/Roll</t>
  </si>
  <si>
    <t>SAFCO Boltless Steel Shelving</t>
  </si>
  <si>
    <t>Imation 3.5", RTS 247544 3M 3.5 DSDD, 10/Pack</t>
  </si>
  <si>
    <t>Daniel Raglin</t>
  </si>
  <si>
    <t>GBC Wire Binding Strips</t>
  </si>
  <si>
    <t>Xerox 1952</t>
  </si>
  <si>
    <t>Luxo Professional Fluorescent Magnifier Lamp with Clamp-Mount Base</t>
  </si>
  <si>
    <t>Xerox 1933</t>
  </si>
  <si>
    <t>Corinna Mitchell</t>
  </si>
  <si>
    <t>Eva Jacobs</t>
  </si>
  <si>
    <t>Jas O'Carroll</t>
  </si>
  <si>
    <t>Accessory15</t>
  </si>
  <si>
    <t>Tennsco Regal Shelving Units</t>
  </si>
  <si>
    <t>Fuji Slim Jewel Case CD-R</t>
  </si>
  <si>
    <t>Paul Prost</t>
  </si>
  <si>
    <t>Self-Adhesive Removable Labels</t>
  </si>
  <si>
    <t>KH 688</t>
  </si>
  <si>
    <t>Michael Nguyen</t>
  </si>
  <si>
    <t>Plastic Binding Combs</t>
  </si>
  <si>
    <t>TIMEPORT P8767</t>
  </si>
  <si>
    <t>DIXON Ticonderoga® Erasable Checking Pencils</t>
  </si>
  <si>
    <t>Super Decoflex Portable Personal File</t>
  </si>
  <si>
    <t>Bravo II™ Megaboss® 12-Amp Hard Body Upright, Replacement Belts, 2 Belts per Pack</t>
  </si>
  <si>
    <t>Tamara Dahlen</t>
  </si>
  <si>
    <t>Erin Creighton</t>
  </si>
  <si>
    <t>Henry MacAllister</t>
  </si>
  <si>
    <t>Candace McMahon</t>
  </si>
  <si>
    <t>Tamara Chand</t>
  </si>
  <si>
    <t>O'Sullivan Living Dimensions 2-Shelf Bookcases</t>
  </si>
  <si>
    <t>Duane Huffman</t>
  </si>
  <si>
    <t>Acme® Forged Steel Scissors with Black Enamel Handles</t>
  </si>
  <si>
    <t>Edward Nazzal</t>
  </si>
  <si>
    <t>Kelly Lampkin</t>
  </si>
  <si>
    <t>Anthony Witt</t>
  </si>
  <si>
    <t>Ted Trevino</t>
  </si>
  <si>
    <t>T60</t>
  </si>
  <si>
    <t>Ed Ludwig</t>
  </si>
  <si>
    <t>Jeremy Ellison</t>
  </si>
  <si>
    <t>Alan Hwang</t>
  </si>
  <si>
    <t>OIC Bulk Pack Metal Binder Clips</t>
  </si>
  <si>
    <t>Eileen Kiefer</t>
  </si>
  <si>
    <t>Xerox 1908</t>
  </si>
  <si>
    <t>James Lanier</t>
  </si>
  <si>
    <t>Edward Becker</t>
  </si>
  <si>
    <t>Gary Zandusky</t>
  </si>
  <si>
    <t>Ann Blume</t>
  </si>
  <si>
    <t>Erin Smith</t>
  </si>
  <si>
    <t>Allen Golden</t>
  </si>
  <si>
    <t>Xerox 1948</t>
  </si>
  <si>
    <t>Epson C62 Color Inkjet Printer</t>
  </si>
  <si>
    <t>Mead 1st Gear 2" Zipper Binder, Asst. Colors</t>
  </si>
  <si>
    <t>2160</t>
  </si>
  <si>
    <t>Ampad® Evidence® Wirebond Steno Books, 6" x 9"</t>
  </si>
  <si>
    <t>Frank Carlisle</t>
  </si>
  <si>
    <t>Gary Hansen</t>
  </si>
  <si>
    <t>Nancy Lomonaco</t>
  </si>
  <si>
    <t>Global Airflow Leather Mesh Back Chair, Black</t>
  </si>
  <si>
    <t>Anna Haberlin</t>
  </si>
  <si>
    <t>Erin Ashbrook</t>
  </si>
  <si>
    <t>Darren Budd</t>
  </si>
  <si>
    <t>Electrix Fluorescent Magnifier Lamps &amp; Weighted Base</t>
  </si>
  <si>
    <t>Bill Stewart</t>
  </si>
  <si>
    <t>Staples 1 Part Blank Computer Paper</t>
  </si>
  <si>
    <t>Christine Phan</t>
  </si>
  <si>
    <t>Advantus Panel Wall Certificate Holder - 8.5x11</t>
  </si>
  <si>
    <t>Newell 339</t>
  </si>
  <si>
    <t>Eugene Hildebrand</t>
  </si>
  <si>
    <t>Melanie Page</t>
  </si>
  <si>
    <t>Acme Galleria® Hot Forged Steel Scissors with Colored Handles</t>
  </si>
  <si>
    <t>Jesus Ocampo</t>
  </si>
  <si>
    <t>Darren Powers</t>
  </si>
  <si>
    <t>Patrick Bzostek</t>
  </si>
  <si>
    <t>Grace Kelly</t>
  </si>
  <si>
    <t>Dana Fluorescent Magnifying Lamp, White, 36"</t>
  </si>
  <si>
    <t>Dan Lawera</t>
  </si>
  <si>
    <t>Belkin 7 Outlet SurgeMaster Surge Protector with Phone Protection</t>
  </si>
  <si>
    <t>George Ashbrook</t>
  </si>
  <si>
    <t>Dave Hallsten</t>
  </si>
  <si>
    <t>Xerox 216</t>
  </si>
  <si>
    <t>Arthur Wiediger</t>
  </si>
  <si>
    <t>Jim Mitchum</t>
  </si>
  <si>
    <t>DMI Arturo Collection Mission-style Design Wood Chair</t>
  </si>
  <si>
    <t>Andy Yotov</t>
  </si>
  <si>
    <t>Frank Hawley</t>
  </si>
  <si>
    <t>Acco D-Ring Binder w/DublLock®</t>
  </si>
  <si>
    <t>Theresa Coyne</t>
  </si>
  <si>
    <t>Fellowes High-Stak® Drawer Files</t>
  </si>
  <si>
    <t>Document Clip Frames</t>
  </si>
  <si>
    <t>Xerox 221</t>
  </si>
  <si>
    <t>David Smith</t>
  </si>
  <si>
    <t>Naresj Patel</t>
  </si>
  <si>
    <t>Staples Gold Paper Clips</t>
  </si>
  <si>
    <t>Ruben Ausman</t>
  </si>
  <si>
    <t>Larry Hughes</t>
  </si>
  <si>
    <t>Magdelene Morse</t>
  </si>
  <si>
    <t>Eldon Shelf Savers™ Cubes and Bins</t>
  </si>
  <si>
    <t>Okidata ML591 Wide Format Dot Matrix Printer</t>
  </si>
  <si>
    <t>Xerox 1917</t>
  </si>
  <si>
    <t>Xerox 1959</t>
  </si>
  <si>
    <t>Phone 918</t>
  </si>
  <si>
    <t>Avery Self-Adhesive Photo Pockets for Polaroid Photos</t>
  </si>
  <si>
    <t>Fellowes Bases and Tops For Staxonsteel®/High-Stak® Systems</t>
  </si>
  <si>
    <t>Global Deluxe Office Fabric Chairs</t>
  </si>
  <si>
    <t>Jonathan Howell</t>
  </si>
  <si>
    <t>Accessory28</t>
  </si>
  <si>
    <t>Linda Cazamias</t>
  </si>
  <si>
    <t>600 Series Non-Flip</t>
  </si>
  <si>
    <t>Nat Carroll</t>
  </si>
  <si>
    <t>Gary Mitchum</t>
  </si>
  <si>
    <t>Matt Hagelstein</t>
  </si>
  <si>
    <t>Andy Reiter</t>
  </si>
  <si>
    <t>Recycled Interoffice Envelopes with Re-Use-A-Seal® Closure, 10 x 13</t>
  </si>
  <si>
    <t>Staples Bulk Pack Metal Binder Clips</t>
  </si>
  <si>
    <t>Avery® Durable Plastic 1" Binders</t>
  </si>
  <si>
    <t>Fellowes Binding Cases</t>
  </si>
  <si>
    <t>Mike Caudle</t>
  </si>
  <si>
    <t>Wirebound Message Forms, Four 2 3/4 x 5 Forms per Page, Pink Paper</t>
  </si>
  <si>
    <t>Letter Slitter</t>
  </si>
  <si>
    <t>Cynthia Arntzen</t>
  </si>
  <si>
    <t>Trav-L-File Heavy-Duty Shuttle II, Black</t>
  </si>
  <si>
    <t>Pressboard Data Binder, Crimson, 12" X 8 1/2"</t>
  </si>
  <si>
    <t>Xerox 229</t>
  </si>
  <si>
    <t>Brian Stugart</t>
  </si>
  <si>
    <t>Black Print Carbonless 8 1/2" x 8 1/4" Rapid Memo Book</t>
  </si>
  <si>
    <t>George Bell</t>
  </si>
  <si>
    <t>GBC Durable Plastic Covers</t>
  </si>
  <si>
    <t>Acco Pressboard Covers with Storage Hooks, 14 7/8" x 11", Light Blue</t>
  </si>
  <si>
    <t>Eldon® Expressions™ Wood and Plastic Desk Accessories, Oak</t>
  </si>
  <si>
    <t>Seth Thomas 14" Putty-Colored Wall Clock</t>
  </si>
  <si>
    <t>Ibico Presentation Index for Binding Systems</t>
  </si>
  <si>
    <t>Canon PC1080F Personal Copier</t>
  </si>
  <si>
    <t>Xerox 191</t>
  </si>
  <si>
    <t>Avery Hanging File Binders</t>
  </si>
  <si>
    <t>Hoover Replacement Belt for Commercial Guardsman Heavy-Duty Upright Vacuum</t>
  </si>
  <si>
    <t>Ultra Door Push Plate</t>
  </si>
  <si>
    <t>Joni Sundaresam</t>
  </si>
  <si>
    <t>Hunt Boston® Vacuum Mount KS Pencil Sharpener</t>
  </si>
  <si>
    <t>Acme® Design Stainless Steel Bent Scissors</t>
  </si>
  <si>
    <t>Canon Imageclass D680 Copier / Fax</t>
  </si>
  <si>
    <t>Michelle Huthwaite</t>
  </si>
  <si>
    <t>Avery Premier Heavy-Duty Binder with Round Locking Rings</t>
  </si>
  <si>
    <t>Avery 503</t>
  </si>
  <si>
    <t>Amy Cox</t>
  </si>
  <si>
    <t>Master Caster Door Stop, Large Neon Orange</t>
  </si>
  <si>
    <t>Hon 4060 Series Tables</t>
  </si>
  <si>
    <t>Cari MacIntyre</t>
  </si>
  <si>
    <t>Telephone Message Books with Fax/Mobile Section, 4 1/4" x 6"</t>
  </si>
  <si>
    <t>Zebra Zazzle Fluorescent Highlighters</t>
  </si>
  <si>
    <t>Eudokia Martin</t>
  </si>
  <si>
    <t>Fred Hopkins</t>
  </si>
  <si>
    <t>Belkin 8 Outlet SurgeMaster II Gold Surge Protector with Phone Protection</t>
  </si>
  <si>
    <t>Avery 508</t>
  </si>
  <si>
    <t>Belkin 325VA UPS Surge Protector, 6'</t>
  </si>
  <si>
    <t>Westinghouse Floor Lamp with Metal Mesh Shade, Black</t>
  </si>
  <si>
    <t>Hoover Commercial Lightweight Upright Vacuum with E-Z Empty™ Dirt Cup</t>
  </si>
  <si>
    <t>Accessory1</t>
  </si>
  <si>
    <t>Acme Kleencut® Forged Steel Scissors</t>
  </si>
  <si>
    <t>Aimee Bixby</t>
  </si>
  <si>
    <t>SAFCO Optional Arm Kit for Workspace® Cribbage Stacking Chair</t>
  </si>
  <si>
    <t>Staples Pushpins</t>
  </si>
  <si>
    <t>C-Line Peel &amp; Stick Add-On Filing Pockets, 8-3/4 x 5-1/8, 10/Pack</t>
  </si>
  <si>
    <t>Anemone Ratner</t>
  </si>
  <si>
    <t>Acme® Elite Stainless Steel Scissors</t>
  </si>
  <si>
    <t>Chris Selesnick</t>
  </si>
  <si>
    <t>Noel Staavos</t>
  </si>
  <si>
    <t>Dean Braden</t>
  </si>
  <si>
    <t>Lena Creighton</t>
  </si>
  <si>
    <t>Hoover Commercial Soft Guard Upright Vacuum And Disposable Filtration Bags</t>
  </si>
  <si>
    <t>Geographics Note Cards, Blank, White, 8 1/2" x 11"</t>
  </si>
  <si>
    <t>Acme® Office Executive Series Stainless Steel Trimmers</t>
  </si>
  <si>
    <t>Fellowes Superior 10 Outlet Split Surge Protector</t>
  </si>
  <si>
    <t>Large Capacity Hanging Post Binders</t>
  </si>
  <si>
    <t>Eldon Delta Triangular Chair Mat, 52" x 58", Clear</t>
  </si>
  <si>
    <t>Binney &amp; Smith Crayola® Metallic Colored Pencils, 8-Color Set</t>
  </si>
  <si>
    <t>Sensible Storage WireTech Storage Systems</t>
  </si>
  <si>
    <t>Balt Solid Wood Rectangular Table</t>
  </si>
  <si>
    <t>6162m</t>
  </si>
  <si>
    <t>Matt Collister</t>
  </si>
  <si>
    <t>Office Star - Professional Matrix Back Chair with 2-to-1 Synchro Tilt and Mesh Fabric Seat</t>
  </si>
  <si>
    <t>Avery 484</t>
  </si>
  <si>
    <t>5170</t>
  </si>
  <si>
    <t>Situations Contoured Folding Chairs, 4/Set</t>
  </si>
  <si>
    <t>Tripp Lite Isotel 8 Ultra 8 Outlet Metal Surge</t>
  </si>
  <si>
    <t>Black Print Carbonless Snap-Off® Rapid Letter, 8 1/2" x 7"</t>
  </si>
  <si>
    <t>Erica Smith</t>
  </si>
  <si>
    <t>Iceberg OfficeWorks 42" Round Tables</t>
  </si>
  <si>
    <t>Decoflex Hanging Personal Folder File</t>
  </si>
  <si>
    <t>Janet Martin</t>
  </si>
  <si>
    <t>Advantus SlideClip™ Paper Clips</t>
  </si>
  <si>
    <t>Andrew Roberts</t>
  </si>
  <si>
    <t>Important Message Pads, 50 4-1/4 x 5-1/2 Forms per Pad</t>
  </si>
  <si>
    <t>Michael Dominguez</t>
  </si>
  <si>
    <t>Safco Industrial Wire Shelving</t>
  </si>
  <si>
    <t>Thomas Boland</t>
  </si>
  <si>
    <t>Olvera Toch</t>
  </si>
  <si>
    <t>GBC ProClick Spines for 32-Hole Punch</t>
  </si>
  <si>
    <t>Lena Radford</t>
  </si>
  <si>
    <t>Global Push Button Manager's Chair, Indigo</t>
  </si>
  <si>
    <t>Sean Christensen</t>
  </si>
  <si>
    <t>Todd Boyes</t>
  </si>
  <si>
    <t>2190</t>
  </si>
  <si>
    <t>Sean Miller</t>
  </si>
  <si>
    <t>Phillip Breyer</t>
  </si>
  <si>
    <t>Xerox 1916</t>
  </si>
  <si>
    <t>Michelle Ellison</t>
  </si>
  <si>
    <t>Universal Premium White Copier/Laser Paper (20Lb. and 87 Bright)</t>
  </si>
  <si>
    <t>Brother DCP1000 Digital 3 in 1 Multifunction Machine</t>
  </si>
  <si>
    <t>Polycom Soundstation EX Audio-Conferencing Telephone, Black</t>
  </si>
  <si>
    <t>Scot Coram</t>
  </si>
  <si>
    <t>Natalie Fritzler</t>
  </si>
  <si>
    <t>Nathan Gelder</t>
  </si>
  <si>
    <t>Xerox 1895</t>
  </si>
  <si>
    <t>V70</t>
  </si>
  <si>
    <t>Patricia Hirasaki</t>
  </si>
  <si>
    <t>Maria Zettner</t>
  </si>
  <si>
    <t>Tyvek ® Top-Opening Peel &amp; Seel ® Envelopes, Gray</t>
  </si>
  <si>
    <t>Matthew Clasen</t>
  </si>
  <si>
    <t>Storex Dura Pro™ Binders</t>
  </si>
  <si>
    <t>Newell 31</t>
  </si>
  <si>
    <t>Patrick O'Donnell</t>
  </si>
  <si>
    <t>Harry Marie</t>
  </si>
  <si>
    <t>Avoid Verbal Orders Carbonless Minifold Book</t>
  </si>
  <si>
    <t>Rogers® Profile Extra Capacity Storage Tub</t>
  </si>
  <si>
    <t>Victoria Wilson</t>
  </si>
  <si>
    <t>Shahid Collister</t>
  </si>
  <si>
    <t>TimeportP7382</t>
  </si>
  <si>
    <t>Avery 501</t>
  </si>
  <si>
    <t>Portfile® Personal File Boxes</t>
  </si>
  <si>
    <t>Tennsco Stur-D-Stor Boltless Shelving, 5 Shelves, 24" Deep, Sand</t>
  </si>
  <si>
    <t>Quality Park Security Envelopes</t>
  </si>
  <si>
    <t>Memorex 'Cool' 80 Minute CD-R Spindle, 25/Pack</t>
  </si>
  <si>
    <t>Rubber Band Ball</t>
  </si>
  <si>
    <t>Hon Valutask™ Swivel Chairs</t>
  </si>
  <si>
    <t>Thea Hendricks</t>
  </si>
  <si>
    <t>Newfoundland</t>
  </si>
  <si>
    <t>Corey Catlett</t>
  </si>
  <si>
    <t>Ed Jacobs</t>
  </si>
  <si>
    <t>Keith Herrera</t>
  </si>
  <si>
    <t>Carlos Meador</t>
  </si>
  <si>
    <t>Raymond Fair</t>
  </si>
  <si>
    <t>Karl Brown</t>
  </si>
  <si>
    <t>Natalie Webber</t>
  </si>
  <si>
    <t>i1000plus</t>
  </si>
  <si>
    <t>Eric Barreto</t>
  </si>
  <si>
    <t>Sauder Camden County Collection Library</t>
  </si>
  <si>
    <t>Barry Franz</t>
  </si>
  <si>
    <t>Craig Yedwab</t>
  </si>
  <si>
    <t>Chuck Sachs</t>
  </si>
  <si>
    <t>Muhammed Lee</t>
  </si>
  <si>
    <t>Prang Dustless Chalk Sticks</t>
  </si>
  <si>
    <t>Bobby Trafton</t>
  </si>
  <si>
    <t>David Flashing</t>
  </si>
  <si>
    <t>Troy Staebel</t>
  </si>
  <si>
    <t>Nora Paige</t>
  </si>
  <si>
    <t>Harold Dahlen</t>
  </si>
  <si>
    <t>Jay Fine</t>
  </si>
  <si>
    <t>Dan Campbell</t>
  </si>
  <si>
    <t>2300 Heavy-Duty Transfer File Systems by Perma</t>
  </si>
  <si>
    <t>George Zrebassa</t>
  </si>
  <si>
    <t>Xerox 1888</t>
  </si>
  <si>
    <t>Eleni McCrary</t>
  </si>
  <si>
    <t>Crayola Anti Dust Chalk, 12/Pack</t>
  </si>
  <si>
    <t>Astrea Jones</t>
  </si>
  <si>
    <t>Giulietta Dortch</t>
  </si>
  <si>
    <t>Cathy Hwang</t>
  </si>
  <si>
    <t>Damala Kotsonis</t>
  </si>
  <si>
    <t>Dianna Arnett</t>
  </si>
  <si>
    <t>Newell 325</t>
  </si>
  <si>
    <t>Fred McMath</t>
  </si>
  <si>
    <t>Christy Brittain</t>
  </si>
  <si>
    <t>Tom Prescott</t>
  </si>
  <si>
    <t>Yana Sorensen</t>
  </si>
  <si>
    <t>Brad Thomas</t>
  </si>
  <si>
    <t>Cynthia Voltz</t>
  </si>
  <si>
    <t>Dean Percer</t>
  </si>
  <si>
    <t>Ben Peterman</t>
  </si>
  <si>
    <t>Tracy Poddar</t>
  </si>
  <si>
    <t>Michael Paige</t>
  </si>
  <si>
    <t>Corey Roper</t>
  </si>
  <si>
    <t>Maureen Gastineau</t>
  </si>
  <si>
    <t>Binney &amp; Smith inkTank™ Erasable Pocket Highlighter, Chisel Tip, Yellow</t>
  </si>
  <si>
    <t>Muhammed Yedwab</t>
  </si>
  <si>
    <t>Alex Grayson</t>
  </si>
  <si>
    <t>Avery Hi-Liter Comfort Grip Fluorescent Highlighter, Yellow Ink</t>
  </si>
  <si>
    <t>Chris Cortes</t>
  </si>
  <si>
    <t>Staples Colored Interoffice Envelopes</t>
  </si>
  <si>
    <t>Xerox 1964</t>
  </si>
  <si>
    <t>Sara Luxemburg</t>
  </si>
  <si>
    <t>Xerox 1880</t>
  </si>
  <si>
    <t>Eric Murdock</t>
  </si>
  <si>
    <t>Paul Knutson</t>
  </si>
  <si>
    <t>Eldon Antistatic Chair Mats for Low to Medium Pile Carpets</t>
  </si>
  <si>
    <t>Nicole Brennan</t>
  </si>
  <si>
    <t>Jennifer Patt</t>
  </si>
  <si>
    <t>Elpida Rittenbach</t>
  </si>
  <si>
    <t>David Wiener</t>
  </si>
  <si>
    <t>While You Were Out Pads, 50 per Pad, 4 x 5 1/4, Green Cycle</t>
  </si>
  <si>
    <t>Peter McVee</t>
  </si>
  <si>
    <t>Karen Carlisle</t>
  </si>
  <si>
    <t>Stefania Perrino</t>
  </si>
  <si>
    <t>TDK 4.7GB DVD-R Spindle, 15/Pack</t>
  </si>
  <si>
    <t>Paul Lucas</t>
  </si>
  <si>
    <t>Evan Henry</t>
  </si>
  <si>
    <t>Xerox 2</t>
  </si>
  <si>
    <t>Alyssa Tate</t>
  </si>
  <si>
    <t>Michael Stewart</t>
  </si>
  <si>
    <t>i600</t>
  </si>
  <si>
    <t>Shirley Jackson</t>
  </si>
  <si>
    <t>Katherine Murray</t>
  </si>
  <si>
    <t>Hon 61000 Series Interactive Training Tables</t>
  </si>
  <si>
    <t>Berenike Kampe</t>
  </si>
  <si>
    <t>Erica Hernandez</t>
  </si>
  <si>
    <t>Tony Molinari</t>
  </si>
  <si>
    <t>Elizabeth Moffitt</t>
  </si>
  <si>
    <t>Deanra Eno</t>
  </si>
  <si>
    <t>Imation Neon 80 Minute CD-R Spindle, 50/Pack</t>
  </si>
  <si>
    <t>Avery Hi-Liter GlideStik Fluorescent Highlighter, Yellow Ink</t>
  </si>
  <si>
    <t>Mark Packer</t>
  </si>
  <si>
    <t>Hewlett-Packard Business Color Inkjet 3000 [N, DTN] Series Printers</t>
  </si>
  <si>
    <t>Alan Shonely</t>
  </si>
  <si>
    <t>Xerox 1991</t>
  </si>
  <si>
    <t>Katrina Willman</t>
  </si>
  <si>
    <t>Trimflex™ Flexible Post Binders</t>
  </si>
  <si>
    <t>Tenex Antistatic Computer Chair Mats</t>
  </si>
  <si>
    <t>Anthony Garverick</t>
  </si>
  <si>
    <t>Aaron Hawkins</t>
  </si>
  <si>
    <t>Dave Poirier</t>
  </si>
  <si>
    <t>Bradley Drucker</t>
  </si>
  <si>
    <t>Mark Haberlin</t>
  </si>
  <si>
    <t>BOSTON® Ranger® #55 Pencil Sharpener, Black</t>
  </si>
  <si>
    <t>Iris Project Case</t>
  </si>
  <si>
    <t>Brendan Murry</t>
  </si>
  <si>
    <t>Emily Burns</t>
  </si>
  <si>
    <t>Michael Oakman</t>
  </si>
  <si>
    <t>Deborah Brumfield</t>
  </si>
  <si>
    <t>Xerox 1961</t>
  </si>
  <si>
    <t>Robert Barroso</t>
  </si>
  <si>
    <t>Darrin Sayre</t>
  </si>
  <si>
    <t>Chromcraft Bull-Nose Wood Oval Conference Tables &amp; Bases</t>
  </si>
  <si>
    <t>Michael Kennedy</t>
  </si>
  <si>
    <t>Marc Crier</t>
  </si>
  <si>
    <t>Bobby Elias</t>
  </si>
  <si>
    <t>Crayola Colored Pencils</t>
  </si>
  <si>
    <t>Joni Wasserman</t>
  </si>
  <si>
    <t>Karen Ferguson</t>
  </si>
  <si>
    <t>Bradley Talbott</t>
  </si>
  <si>
    <t>4009® Highlighters by Sanford</t>
  </si>
  <si>
    <t>Julia Barnett</t>
  </si>
  <si>
    <t>Emily Phan</t>
  </si>
  <si>
    <t>Liz Willingham</t>
  </si>
  <si>
    <t>282</t>
  </si>
  <si>
    <t>Denise Leinenbach</t>
  </si>
  <si>
    <t>Bill Tyler</t>
  </si>
  <si>
    <t>DMI Eclipse Executive Suite Bookcases</t>
  </si>
  <si>
    <t>Rogers Handheld Barrel Pencil Sharpener</t>
  </si>
  <si>
    <t>Tripp Lite Isotel 6 Outlet Surge Protector with Fax/Modem Protection</t>
  </si>
  <si>
    <t>Debra Catini</t>
  </si>
  <si>
    <t>Becky Martin</t>
  </si>
  <si>
    <t>Advantus Push Pins</t>
  </si>
  <si>
    <t>Benjamin Venier</t>
  </si>
  <si>
    <t>V3682</t>
  </si>
  <si>
    <t>Astroparche® Fine Business Paper</t>
  </si>
  <si>
    <t>Bill Shonely</t>
  </si>
  <si>
    <t>Pierre Wener</t>
  </si>
  <si>
    <t>Xerox 1951</t>
  </si>
  <si>
    <t>Imation 3.5 IBM Formatted Diskettes, 10/Box</t>
  </si>
  <si>
    <t>Maxell 4.7GB DVD-R</t>
  </si>
  <si>
    <t>Electrix Architect's Clamp-On Swing Arm Lamp, Black</t>
  </si>
  <si>
    <t>Accohide Poly Flexible Ring Binders</t>
  </si>
  <si>
    <t>Julie Kriz</t>
  </si>
  <si>
    <t>Avery File Folder Labels</t>
  </si>
  <si>
    <t>David Kendrick</t>
  </si>
  <si>
    <t>Doug Jacobs</t>
  </si>
  <si>
    <t>Luke Foster</t>
  </si>
  <si>
    <t>Dianna Wilson</t>
  </si>
  <si>
    <t>Michelle Tran</t>
  </si>
  <si>
    <t>Quebec</t>
  </si>
  <si>
    <t>Balt Split Level Computer Training Table</t>
  </si>
  <si>
    <t>Sanjit Jacobs</t>
  </si>
  <si>
    <t>Barry Gonzalez</t>
  </si>
  <si>
    <t>SC-3160</t>
  </si>
  <si>
    <t>Vivian Mathis</t>
  </si>
  <si>
    <t>Carol Adams</t>
  </si>
  <si>
    <t>Vivek Gonzalez</t>
  </si>
  <si>
    <t>Bradley Nguyen</t>
  </si>
  <si>
    <t>IBM 3.5" DS/HD IBM Formatted Diskettes, 50/Pack</t>
  </si>
  <si>
    <t>Pete Takahito</t>
  </si>
  <si>
    <t>Nu-Dell Float Frame 11 x 14 1/2</t>
  </si>
  <si>
    <t>Regeneration Desk Collection</t>
  </si>
  <si>
    <t>Jason Klamczynski</t>
  </si>
  <si>
    <t>Greg Tran</t>
  </si>
  <si>
    <t>Gene McClure</t>
  </si>
  <si>
    <t>Helen Wasserman</t>
  </si>
  <si>
    <t>Xerox 1996</t>
  </si>
  <si>
    <t>Ross DeVincentis</t>
  </si>
  <si>
    <t>Valerie Mitchum</t>
  </si>
  <si>
    <t>Verbatim 4.7GB DVD-R</t>
  </si>
  <si>
    <t>Bart Pistole</t>
  </si>
  <si>
    <t>Advantus 10-Drawer Portable Organizer, Chrome Metal Frame, Smoke Drawers</t>
  </si>
  <si>
    <t>Global Leather Executive Chair</t>
  </si>
  <si>
    <t>Chromcraft 48" x 96" Racetrack Double Pedestal Table</t>
  </si>
  <si>
    <t>Chad McGuire</t>
  </si>
  <si>
    <t>Seth Thomas 8 1/2" Cubicle Clock</t>
  </si>
  <si>
    <t>Scott Cohen</t>
  </si>
  <si>
    <t>Vivek Sundaresam</t>
  </si>
  <si>
    <t>Natalie DeCherney</t>
  </si>
  <si>
    <t>Lumber Crayons</t>
  </si>
  <si>
    <t>Acco Six-Outlet Power Strip, 4' Cord Length</t>
  </si>
  <si>
    <t>Cynthia Delaney</t>
  </si>
  <si>
    <t>Tom Stivers</t>
  </si>
  <si>
    <t>Xerox 200</t>
  </si>
  <si>
    <t>Hewlett Packard 610 Color Digital Copier / Printer</t>
  </si>
  <si>
    <t>Gary McGarr</t>
  </si>
  <si>
    <t>Hon Rectangular Conference Tables</t>
  </si>
  <si>
    <t>Acco PRESSTEX® Data Binder with Storage Hooks, Dark Blue, 9 1/2" X 11"</t>
  </si>
  <si>
    <t>DAX Value U-Channel Document Frames, Easel Back</t>
  </si>
  <si>
    <t>Grant Thornton</t>
  </si>
  <si>
    <t>Acco Keyboard-In-A-Box®</t>
  </si>
  <si>
    <t>Speros Goranitis</t>
  </si>
  <si>
    <t>Post-it® “Important Message” Note Pad, Neon Colors, 50 Sheets/Pad</t>
  </si>
  <si>
    <t>Ellis Ballard</t>
  </si>
  <si>
    <t>Xerox 1963</t>
  </si>
  <si>
    <t>Computer Printout Index Tabs</t>
  </si>
  <si>
    <t>Safco Value Mate Steel Bookcase, Baked Enamel Finish on Steel, Black</t>
  </si>
  <si>
    <t>Advantus Rolling Storage Box</t>
  </si>
  <si>
    <t>Maribeth Dona</t>
  </si>
  <si>
    <t>Decoflex Hanging Personal Folder File, Blue</t>
  </si>
  <si>
    <t>Microsoft Office Keyboard</t>
  </si>
  <si>
    <t>DAX Cubicle Frames - 8x10</t>
  </si>
  <si>
    <t>Acco Smartsocket® Color-Coded Six-Outlet AC Adapter Model Surge Protectors</t>
  </si>
  <si>
    <t>IBM Numeric Access II Keypad, 17-Key, Black</t>
  </si>
  <si>
    <t>Xerox 1981</t>
  </si>
  <si>
    <t>Corey Lock</t>
  </si>
  <si>
    <t>Stacking Tray, Side-Loading, Legal, Smoke</t>
  </si>
  <si>
    <t>Bart Folk</t>
  </si>
  <si>
    <t>36X48 HARDFLOOR CHAIRMAT</t>
  </si>
  <si>
    <t>Smead Adjustable Mobile File Trolley with Lockable Top</t>
  </si>
  <si>
    <t>ELITE Series</t>
  </si>
  <si>
    <t>OIC Thumb-Tacks</t>
  </si>
  <si>
    <t>Gyration Ultra Professional Cordless Optical Suite</t>
  </si>
  <si>
    <t>Anne Pryor</t>
  </si>
  <si>
    <t>Dorris Love</t>
  </si>
  <si>
    <t>Caroline Jumper</t>
  </si>
  <si>
    <t>Pamela Stobb</t>
  </si>
  <si>
    <t>Bionaire 99.97% HEPA Air Cleaner</t>
  </si>
  <si>
    <t>#6 3/4 Gummed Flap White Envelopes</t>
  </si>
  <si>
    <t>Grip Seal Envelopes</t>
  </si>
  <si>
    <t>Jasper Cacioppo</t>
  </si>
  <si>
    <t>Avery Reinforcements for Hole-Punch Pages</t>
  </si>
  <si>
    <t>Polycom ViewStation™ ISDN Videoconferencing Unit</t>
  </si>
  <si>
    <t>Master Big Foot® Doorstop, Beige</t>
  </si>
  <si>
    <t>Alan Haines</t>
  </si>
  <si>
    <t>Deirdre Greer</t>
  </si>
  <si>
    <t>John Stevenson</t>
  </si>
  <si>
    <t>Sheri Gordon</t>
  </si>
  <si>
    <t>Ben Wallace</t>
  </si>
  <si>
    <t>Max Engle</t>
  </si>
  <si>
    <t>Fred Chung</t>
  </si>
  <si>
    <t>Dennis Kane</t>
  </si>
  <si>
    <t>Phillip Flathmann</t>
  </si>
  <si>
    <t>Mathew Reese</t>
  </si>
  <si>
    <t>Stuart Van</t>
  </si>
  <si>
    <t>Brenda Bowman</t>
  </si>
  <si>
    <t>US Robotics 56K V.92 Internal PCI Faxmodem</t>
  </si>
  <si>
    <t>Wilson Jones Turn Tabs Binder Tool for Ring Binders</t>
  </si>
  <si>
    <t>Xerox 19</t>
  </si>
  <si>
    <t>GBC Plastic Binding Combs</t>
  </si>
  <si>
    <t>Jennifer Ferguson</t>
  </si>
  <si>
    <t>Theresa Swint</t>
  </si>
  <si>
    <t>Katherine Nockton</t>
  </si>
  <si>
    <t>Stewart Visinsky</t>
  </si>
  <si>
    <t>Jeremy Farry</t>
  </si>
  <si>
    <t>Clay Ludtke</t>
  </si>
  <si>
    <t>Laurel Elliston</t>
  </si>
  <si>
    <t>Computer Room Manger, 14"</t>
  </si>
  <si>
    <t>Mitch Webber</t>
  </si>
  <si>
    <t>Carol Triggs</t>
  </si>
  <si>
    <t>GBC Clear Cover, 8-1/2 x 11, unpunched, 25 covers per pack</t>
  </si>
  <si>
    <t>Imation 3.5" IBM-Formatted Diskettes, 10/Pack</t>
  </si>
  <si>
    <t>Justin MacKendrick</t>
  </si>
  <si>
    <t>Sarah Brown</t>
  </si>
  <si>
    <t>Panasonic KX-P2130 Dot Matrix Printer</t>
  </si>
  <si>
    <t>Tony Sayre</t>
  </si>
  <si>
    <t>Dionis Lloyd</t>
  </si>
  <si>
    <t>Sanford EarthWrite® Recycled Pencils, Medium Soft, #2</t>
  </si>
  <si>
    <t>GBC DocuBind 300 Electric Binding Machine</t>
  </si>
  <si>
    <t>Lindsay Castell</t>
  </si>
  <si>
    <t>Ibico Ibimaster 300 Manual Binding System</t>
  </si>
  <si>
    <t>Michael Chen</t>
  </si>
  <si>
    <t>Toby Carlisle</t>
  </si>
  <si>
    <t>Electrix 20W Halogen Replacement Bulb for Zoom-In Desk Lamp</t>
  </si>
  <si>
    <t>Ted Butterfield</t>
  </si>
  <si>
    <t>Wilson Jones Standard D-Ring Binders</t>
  </si>
  <si>
    <t>Eldon® 300 Class™ Desk Accessories, Black</t>
  </si>
  <si>
    <t>Nora Price</t>
  </si>
  <si>
    <t>Xerox 1968</t>
  </si>
  <si>
    <t>Hon Deluxe Fabric Upholstered Stacking Chairs</t>
  </si>
  <si>
    <t>Acme® Preferred Stainless Steel Scissors</t>
  </si>
  <si>
    <t>Shirley Daniels</t>
  </si>
  <si>
    <t>Arthur Gainer</t>
  </si>
  <si>
    <t>StarTAC 7797</t>
  </si>
  <si>
    <t>Stuart Calhoun</t>
  </si>
  <si>
    <t>Arthur Prichep</t>
  </si>
  <si>
    <t>Kean Nguyen</t>
  </si>
  <si>
    <t>Jim Kriz</t>
  </si>
  <si>
    <t>Harold Ryan</t>
  </si>
  <si>
    <t>John Lucas</t>
  </si>
  <si>
    <t>Alejandro Grove</t>
  </si>
  <si>
    <t>Sam Zeldin</t>
  </si>
  <si>
    <t>Sally Hughsby</t>
  </si>
  <si>
    <t>Kensington 6 Outlet MasterPiece® HOMEOFFICE Power Control Center</t>
  </si>
  <si>
    <t>Jane Waco</t>
  </si>
  <si>
    <t>Sandra Flanagan</t>
  </si>
  <si>
    <t>Xerox 207</t>
  </si>
  <si>
    <t>Steve Nguyen</t>
  </si>
  <si>
    <t>Herbert Flentye</t>
  </si>
  <si>
    <t>Xylona Price</t>
  </si>
  <si>
    <t>Bill Overfelt</t>
  </si>
  <si>
    <t>Quartet Alpha® White Chalk, 12/Pack</t>
  </si>
  <si>
    <t>Robert Marley</t>
  </si>
  <si>
    <t>Mick Hernandez</t>
  </si>
  <si>
    <t>Guy Phonely</t>
  </si>
  <si>
    <t>Jay Kimmel</t>
  </si>
  <si>
    <t>Matt Connell</t>
  </si>
  <si>
    <t>O'Sullivan Cherrywood Estates Traditional Barrister Bookcase</t>
  </si>
  <si>
    <t>Vivek Grady</t>
  </si>
  <si>
    <t>Xerox 231</t>
  </si>
  <si>
    <t>Ben Ferrer</t>
  </si>
  <si>
    <t>Karen Daniels</t>
  </si>
  <si>
    <t>Pamela Coakley</t>
  </si>
  <si>
    <t>Space Solutions™ Industrial Galvanized Steel Shelving.</t>
  </si>
  <si>
    <t>Denny Blanton</t>
  </si>
  <si>
    <t>Laura Armstrong</t>
  </si>
  <si>
    <t>Staples Surge Protector 6 outlet</t>
  </si>
  <si>
    <t>Boston Model 1800 Electric Pencil Sharpener, Gray</t>
  </si>
  <si>
    <t>Lindsay Shagiari</t>
  </si>
  <si>
    <t>Kensington 6 Outlet SmartSocket Surge Protector</t>
  </si>
  <si>
    <t>Ibico EPK-21 Electric Binding System</t>
  </si>
  <si>
    <t>Cathy Prescott</t>
  </si>
  <si>
    <t>Stephanie Ulpright</t>
  </si>
  <si>
    <t>Odella Nelson</t>
  </si>
  <si>
    <t>Avery 511</t>
  </si>
  <si>
    <t>Xerox 215</t>
  </si>
  <si>
    <t>Dixon Ticonderoga® Erasable Colored Pencil Set, 12-Color</t>
  </si>
  <si>
    <t>Fellowes Mighty 8 Compact Surge Protector</t>
  </si>
  <si>
    <t>Premium Writing Pencils, Soft, #2 by Central Association for the Blind</t>
  </si>
  <si>
    <t>Ryan Akin</t>
  </si>
  <si>
    <t>Xerox 1998</t>
  </si>
  <si>
    <t>Todd Sumrall</t>
  </si>
  <si>
    <t>Adams "While You Were Out" Message Pads</t>
  </si>
  <si>
    <t>6" Cubicle Wall Clock, Black</t>
  </si>
  <si>
    <t>Eldon Imàge® Series Desk Accessories, Clear</t>
  </si>
  <si>
    <t>Fellowes Officeware™ Wire Shelving</t>
  </si>
  <si>
    <t>Eldon Expressions™ Desk Accessory, Wood Photo Frame, Mahogany</t>
  </si>
  <si>
    <t>Economy Rollaway Files</t>
  </si>
  <si>
    <t>Alliance Rubber Bands</t>
  </si>
  <si>
    <t>File Shuttle II and Handi-File, Black</t>
  </si>
  <si>
    <t>Greg Hansen</t>
  </si>
  <si>
    <t>Darrin Martin</t>
  </si>
  <si>
    <t>Ken Brennan</t>
  </si>
  <si>
    <t>Max Jones</t>
  </si>
  <si>
    <t>Joe Kamberova</t>
  </si>
  <si>
    <t>Maureen Fritzler</t>
  </si>
  <si>
    <t>Art Foster</t>
  </si>
  <si>
    <t>Erica Hackney</t>
  </si>
  <si>
    <t>Don Weiss</t>
  </si>
  <si>
    <t>Jessica Myrick</t>
  </si>
  <si>
    <t>Round Specialty Laser Printer Labels</t>
  </si>
  <si>
    <t>Bruce Degenhardt</t>
  </si>
  <si>
    <t>Kalyca Meade</t>
  </si>
  <si>
    <t>Troy Blackwell</t>
  </si>
  <si>
    <t>Eldon® 500 Class™ Desk Accessories</t>
  </si>
  <si>
    <t>Clytie Kelty</t>
  </si>
  <si>
    <t>Steven Roelle</t>
  </si>
  <si>
    <t>Sauder Camden County Barrister Bookcase, Planked Cherry Finish</t>
  </si>
  <si>
    <t>DAX Charcoal/Nickel-Tone Document Frame, 5 x 7</t>
  </si>
  <si>
    <t>Staples 10" Round Wall Clock</t>
  </si>
  <si>
    <t>Benjamin Patterson</t>
  </si>
  <si>
    <t>Denny Joy</t>
  </si>
  <si>
    <t>Kristen Hastings</t>
  </si>
  <si>
    <t>Epson LQ-870 Dot Matrix Printer</t>
  </si>
  <si>
    <t>Alan Schoenberger</t>
  </si>
  <si>
    <t>Adams Telephone Message Book W/Dividers/Space For Phone Numbers, 5 1/4"X8 1/2", 200/Messages</t>
  </si>
  <si>
    <t>Alejandro Savely</t>
  </si>
  <si>
    <t>Tenex Personal Filing Tote With Secure Closure Lid, Black/Frost</t>
  </si>
  <si>
    <t>Canon F603 Scientific Calculator</t>
  </si>
  <si>
    <t>Kean Thornton</t>
  </si>
  <si>
    <t>Grant Donatelli</t>
  </si>
  <si>
    <t>Jason Fortune</t>
  </si>
  <si>
    <t>Newell 329</t>
  </si>
  <si>
    <t>Dave Brooks</t>
  </si>
  <si>
    <t>Philip Fox</t>
  </si>
  <si>
    <t>Sanford Prismacolor® Professional Thick Lead Art Pencils, 36-Color Set</t>
  </si>
  <si>
    <t>Ionia McGrath</t>
  </si>
  <si>
    <t>New Brunswick</t>
  </si>
  <si>
    <t>Lori Olson</t>
  </si>
  <si>
    <t>Quincy Jones</t>
  </si>
  <si>
    <t>Patrick Jones</t>
  </si>
  <si>
    <t>Karen Seio</t>
  </si>
  <si>
    <t>Patrick Gardner</t>
  </si>
  <si>
    <t>Nona Balk</t>
  </si>
  <si>
    <t>Erin Mull</t>
  </si>
  <si>
    <t>John Lee</t>
  </si>
  <si>
    <t>Fellowes Bankers Box™ Stor/Drawer® Steel Plus™</t>
  </si>
  <si>
    <t>Justin Deggeller</t>
  </si>
  <si>
    <t>Adams Telephone Message Books, 5 1/4” x 11”</t>
  </si>
  <si>
    <t>Keith Dawkins</t>
  </si>
  <si>
    <t>Joe Elijah</t>
  </si>
  <si>
    <t>Xerox 195</t>
  </si>
  <si>
    <t>Stefanie Holloman</t>
  </si>
  <si>
    <t>Ken Black</t>
  </si>
  <si>
    <t>Lindsay Williams</t>
  </si>
  <si>
    <t>Logan Currie</t>
  </si>
  <si>
    <t>Steve Chapman</t>
  </si>
  <si>
    <t>Eldon Advantage® Foldable Chair Mats for Low Pile Carpets</t>
  </si>
  <si>
    <t>Xerox 1954</t>
  </si>
  <si>
    <t>Scot Wooten</t>
  </si>
  <si>
    <t>V2397</t>
  </si>
  <si>
    <t>Denise Monton</t>
  </si>
  <si>
    <t>Epson FX-980 Dot Matrix Printer</t>
  </si>
  <si>
    <t>Avery® 3 1/2" Diskette Storage Pages, 10/Pack</t>
  </si>
  <si>
    <t>Soundgear TeleForum DX Desktop Conference Phone</t>
  </si>
  <si>
    <t>Ed Braxton</t>
  </si>
  <si>
    <t>Valerie Takahito</t>
  </si>
  <si>
    <t>i270</t>
  </si>
  <si>
    <t>Penelope Sewall</t>
  </si>
  <si>
    <t>Sean Braxton</t>
  </si>
  <si>
    <t>Valerie Dominguez</t>
  </si>
  <si>
    <t>Susan MacKendrick</t>
  </si>
  <si>
    <t>Thais Sissman</t>
  </si>
  <si>
    <t>Linda Southworth</t>
  </si>
  <si>
    <t>Steel Personal Filing/Posting Tote</t>
  </si>
  <si>
    <t>Michael Moore</t>
  </si>
  <si>
    <t>Patrick Ryan</t>
  </si>
  <si>
    <t>Ross Baird</t>
  </si>
  <si>
    <t>Tracy Zic</t>
  </si>
  <si>
    <t>Mick Crebagga</t>
  </si>
  <si>
    <t>Steven Ward</t>
  </si>
  <si>
    <t>Ryan Crowe</t>
  </si>
  <si>
    <t>Irene Maddox</t>
  </si>
  <si>
    <t>Nick Radford</t>
  </si>
  <si>
    <t>JM Magazine Binder</t>
  </si>
  <si>
    <t>Maurice Satty</t>
  </si>
  <si>
    <t>Victor Price</t>
  </si>
  <si>
    <t>Maureen Grace</t>
  </si>
  <si>
    <t>Eric Hoffmann</t>
  </si>
  <si>
    <t>Jill Stevenson</t>
  </si>
  <si>
    <t>Evan Bailliet</t>
  </si>
  <si>
    <t>Meg Tillman</t>
  </si>
  <si>
    <t>Russell D'Ascenzo</t>
  </si>
  <si>
    <t>Gary Hwang</t>
  </si>
  <si>
    <t>Emily Ducich</t>
  </si>
  <si>
    <t>Xerox 1926</t>
  </si>
  <si>
    <t>Steven Cartwright</t>
  </si>
  <si>
    <t>Sue Ann Reed</t>
  </si>
  <si>
    <t>Sanjit Engle</t>
  </si>
  <si>
    <t>Katherine Ducich</t>
  </si>
  <si>
    <t>Mike Gockenbach</t>
  </si>
  <si>
    <t>Tom Zandusky</t>
  </si>
  <si>
    <t>Henia Zydlo</t>
  </si>
  <si>
    <t>Tracy Collins</t>
  </si>
  <si>
    <t>Toby Knight</t>
  </si>
  <si>
    <t>Thea Hudgings</t>
  </si>
  <si>
    <t>Nora Pelletier</t>
  </si>
  <si>
    <t>Message Book, Standard Line "While You Were Out", 5 1/2" X 4", 200 Sets/Book</t>
  </si>
  <si>
    <t>Jamie Frazer</t>
  </si>
  <si>
    <t>Smead Alpha-Z Color-Coded Name Labels First Letter Starter Set</t>
  </si>
  <si>
    <t>Rachel Payne</t>
  </si>
  <si>
    <t>Craig Molinari</t>
  </si>
  <si>
    <t>Joy Daniels</t>
  </si>
  <si>
    <t>Jill Fjeld</t>
  </si>
  <si>
    <t>Luxo Adjustable Task Clamp Lamp</t>
  </si>
  <si>
    <t>Rick Bensley</t>
  </si>
  <si>
    <t>Sanford Pocket Accent® Highlighters</t>
  </si>
  <si>
    <t>Contemporary Wood/Metal Frame</t>
  </si>
  <si>
    <t>Advantus Panel Wall Acrylic Frame</t>
  </si>
  <si>
    <t>Avery 516</t>
  </si>
  <si>
    <t>Newell 332</t>
  </si>
  <si>
    <t>Maribeth Schnelling</t>
  </si>
  <si>
    <t>Acco 3-Hole Punch</t>
  </si>
  <si>
    <t>Fellowes 8 Outlet Superior Workstation Surge Protector w/o Phone/Fax/Modem Protection</t>
  </si>
  <si>
    <t>GBC ProClick Punch Binding System</t>
  </si>
  <si>
    <t>GBC Poly Designer Binding Covers</t>
  </si>
  <si>
    <t>Roland Murray</t>
  </si>
  <si>
    <t>Southworth Structures Collection™</t>
  </si>
  <si>
    <t>Peter Fuller</t>
  </si>
  <si>
    <t>Saskachewan</t>
  </si>
  <si>
    <t>Sam Craven</t>
  </si>
  <si>
    <t>Mitch Willingham</t>
  </si>
  <si>
    <t>John Dryer</t>
  </si>
  <si>
    <t>Susan Gilcrest</t>
  </si>
  <si>
    <t>Randy Bradley</t>
  </si>
  <si>
    <t>Wilson Jones Custom Binder Spines &amp; Labels</t>
  </si>
  <si>
    <t>William Brown</t>
  </si>
  <si>
    <t>Rick Hansen</t>
  </si>
  <si>
    <t>Epson FX-2180 Wide Format Dot Matrix Printer</t>
  </si>
  <si>
    <t>Toby Grace</t>
  </si>
  <si>
    <t>Joseph Holt</t>
  </si>
  <si>
    <t>Ashley Jarboe</t>
  </si>
  <si>
    <t>Xerox 1988</t>
  </si>
  <si>
    <t>Eureka The Boss® Plus 12-Amp Hard Box Upright Vacuum, Red</t>
  </si>
  <si>
    <t>Pauline Webber</t>
  </si>
  <si>
    <t>Kean Takahito</t>
  </si>
  <si>
    <t>Nick Zandusky</t>
  </si>
  <si>
    <t>Neoma Murray</t>
  </si>
  <si>
    <t>Hewlett Packard 6S Scientific Calculator</t>
  </si>
  <si>
    <t>Sanford Colorific® Eraseable Coloring Pencils, 12 Count</t>
  </si>
  <si>
    <t>Newell 308</t>
  </si>
  <si>
    <t>Sung Chung</t>
  </si>
  <si>
    <t>Darrin Van Huff</t>
  </si>
  <si>
    <t>Max Ludwig</t>
  </si>
  <si>
    <t>Michelle Moray</t>
  </si>
  <si>
    <t>Craig Rider</t>
  </si>
  <si>
    <t>Maribeth Yedwab</t>
  </si>
  <si>
    <t>Eugene Moren</t>
  </si>
  <si>
    <t>Mark Van Huff</t>
  </si>
  <si>
    <t>Mark Hamilton</t>
  </si>
  <si>
    <t>Martin Yale Chadless Opener Electric Letter Opener</t>
  </si>
  <si>
    <t>Sung Shariari</t>
  </si>
  <si>
    <t>Wilson Jones Suede Grain Vinyl Binders</t>
  </si>
  <si>
    <t>Richard Eichhorn</t>
  </si>
  <si>
    <t>Neil French</t>
  </si>
  <si>
    <t>Nicole Fjeld</t>
  </si>
  <si>
    <t>Suzanne McNair</t>
  </si>
  <si>
    <t>Honeywell Enviracaire® Portable HEPA Air Cleaner for up to 10 x 16 Room</t>
  </si>
  <si>
    <t>Susan Pistek</t>
  </si>
  <si>
    <t>Nick Crebassa</t>
  </si>
  <si>
    <t>Eldon® Executive Woodline II Desk Accessories, Mahogany</t>
  </si>
  <si>
    <t>Verbatim DVD Rewritable Disc, Single-Sided, 4.7GB</t>
  </si>
  <si>
    <t>Aleksandra Gannaway</t>
  </si>
  <si>
    <t>Kensington 4 Outlet MasterPiece® Compact Power Control Center</t>
  </si>
  <si>
    <t>Carl Weiss</t>
  </si>
  <si>
    <t>Joel Eaton</t>
  </si>
  <si>
    <t>Justin Ellison</t>
  </si>
  <si>
    <t>Jennifer Jackson</t>
  </si>
  <si>
    <t>Karen Bern</t>
  </si>
  <si>
    <t>Xerox 223</t>
  </si>
  <si>
    <t>Liz Pelletier</t>
  </si>
  <si>
    <t>Jonathan Doherty</t>
  </si>
  <si>
    <t>Frank Gastineau</t>
  </si>
  <si>
    <t>Janet Lee</t>
  </si>
  <si>
    <t>Maxwell Schwartz</t>
  </si>
  <si>
    <t>Liz Carlisle</t>
  </si>
  <si>
    <t>Kelly Collister</t>
  </si>
  <si>
    <t>Dennis Pardue</t>
  </si>
  <si>
    <t>John Huston</t>
  </si>
  <si>
    <t>MaryBeth Skach</t>
  </si>
  <si>
    <t>210 Trimline Phone, White</t>
  </si>
  <si>
    <t>Craig Carreira</t>
  </si>
  <si>
    <t>Paul Stevenson</t>
  </si>
  <si>
    <t>Stanley Bostitch Contemporary Electric Pencil Sharpeners</t>
  </si>
  <si>
    <t>Luke Schmidt</t>
  </si>
  <si>
    <t>Kelly Andreada</t>
  </si>
  <si>
    <t>Tracy Hopkins</t>
  </si>
  <si>
    <t>Craig Leslie</t>
  </si>
  <si>
    <t>Michael Grace</t>
  </si>
  <si>
    <t>Saphhira Shifley</t>
  </si>
  <si>
    <t>Laurel Beltran</t>
  </si>
  <si>
    <t>5170i</t>
  </si>
  <si>
    <t>Tracy Blumstein</t>
  </si>
  <si>
    <t>Avery Hi-Liter® EverBold™ Pen Style Fluorescent Highlighters, 4/Pack</t>
  </si>
  <si>
    <t>Larry Blacks</t>
  </si>
  <si>
    <t>Desktop 3-Pocket Hot File®</t>
  </si>
  <si>
    <t>Richard Bierner</t>
  </si>
  <si>
    <t>Tiffany House</t>
  </si>
  <si>
    <t>Roy Collins</t>
  </si>
  <si>
    <t>Toby Swindell</t>
  </si>
  <si>
    <t>Christina Anderson</t>
  </si>
  <si>
    <t>Robert Dilbeck</t>
  </si>
  <si>
    <t>Randy Ferguson</t>
  </si>
  <si>
    <t>Arianne Irving</t>
  </si>
  <si>
    <t>Andy Gerbode</t>
  </si>
  <si>
    <t>Amy Hunt</t>
  </si>
  <si>
    <t>Trudy Brown</t>
  </si>
  <si>
    <t>Brian Dahlen</t>
  </si>
  <si>
    <t>Beth Fritzler</t>
  </si>
  <si>
    <t>Brosina Hoffman</t>
  </si>
  <si>
    <t>Lexmark 4227 Plus Dot Matrix Printer</t>
  </si>
  <si>
    <t>6162</t>
  </si>
  <si>
    <t>Phillina Ober</t>
  </si>
  <si>
    <t>Jim Epp</t>
  </si>
  <si>
    <t>James Galang</t>
  </si>
  <si>
    <t>Avery 482</t>
  </si>
  <si>
    <t>Lynn Smith</t>
  </si>
  <si>
    <t>Christine Abelman</t>
  </si>
  <si>
    <t>Pauline Johnson</t>
  </si>
  <si>
    <t>Georgia Rosenberg</t>
  </si>
  <si>
    <t>Allen Armold</t>
  </si>
  <si>
    <t>Katherine Hughes</t>
  </si>
  <si>
    <t>Xerox 1972</t>
  </si>
  <si>
    <t>Brendan Sweed</t>
  </si>
  <si>
    <t>Acco Clips to Go™ Binder Clips, 24 Clips in Two Sizes</t>
  </si>
  <si>
    <t>Sony IBM Color Diskettes, 25/Pack</t>
  </si>
  <si>
    <t>Yukon</t>
  </si>
  <si>
    <t>Dario Medina</t>
  </si>
  <si>
    <t>Cindy Chapman</t>
  </si>
  <si>
    <t>Benjamin Farhat</t>
  </si>
  <si>
    <t>Dianna Vittorini</t>
  </si>
  <si>
    <t>Cindy Stewart</t>
  </si>
  <si>
    <t>Rob Williams</t>
  </si>
  <si>
    <t>Anna Chung</t>
  </si>
  <si>
    <t>Ricardo Block</t>
  </si>
  <si>
    <t>Fellowes Mobile File Cart, Black</t>
  </si>
  <si>
    <t>Sterilite Officeware Hinged File Box</t>
  </si>
  <si>
    <t>Trudy Bell</t>
  </si>
  <si>
    <t>Xerox 1883</t>
  </si>
  <si>
    <t>Belkin OmniView SE Rackmount Kit</t>
  </si>
  <si>
    <t>Rob Lucas</t>
  </si>
  <si>
    <t>Adam Hart</t>
  </si>
  <si>
    <t>Roland Fjeld</t>
  </si>
  <si>
    <t>Denny Ordway</t>
  </si>
  <si>
    <t>iDEN i550</t>
  </si>
  <si>
    <t>Charles Crestani</t>
  </si>
  <si>
    <t>Bryan Spruell</t>
  </si>
  <si>
    <t>Thomas Thornton</t>
  </si>
  <si>
    <t>Tamara Willingham</t>
  </si>
  <si>
    <t>Anne McFarland</t>
  </si>
  <si>
    <t>Dean Katz</t>
  </si>
  <si>
    <t>DAX Wood Document Frame</t>
  </si>
  <si>
    <t>Barry Pond</t>
  </si>
  <si>
    <t>Jeremy Pistek</t>
  </si>
  <si>
    <t>Cyra Reiten</t>
  </si>
  <si>
    <t>Holmes Cool Mist Humidifier for the Whole House with 8-Gallon Output per Day, Extended Life Filter</t>
  </si>
  <si>
    <t>Victoria Pisteka</t>
  </si>
  <si>
    <t>Okidata Pacemark 4410N Wide Format Dot Matrix Printer</t>
  </si>
  <si>
    <t>Dave Kipp</t>
  </si>
  <si>
    <t>David Bremer</t>
  </si>
  <si>
    <t>Jill Matthias</t>
  </si>
  <si>
    <t>Tim Taslimi</t>
  </si>
  <si>
    <t>Juliana Krohn</t>
  </si>
  <si>
    <t>Duane Noonan</t>
  </si>
  <si>
    <t>Paul Van Hugh</t>
  </si>
  <si>
    <t>Tom Ashbrook</t>
  </si>
  <si>
    <t>Maris LaWare</t>
  </si>
  <si>
    <t>Mick Brown</t>
  </si>
  <si>
    <t>R289LX</t>
  </si>
  <si>
    <t>Chris McAfee</t>
  </si>
  <si>
    <t>Pete Kriz</t>
  </si>
  <si>
    <t>Rick Huthwaite</t>
  </si>
  <si>
    <t>Electrix Incandescent Magnifying Lamp, Black</t>
  </si>
  <si>
    <t>AT&amp;T 1430 2.4GHz Analog Phone w/Caller ID</t>
  </si>
  <si>
    <t>UniKeep™ View Case Binders</t>
  </si>
  <si>
    <t>Carol Darley</t>
  </si>
  <si>
    <t>Fred Harton</t>
  </si>
  <si>
    <t>Andrew Allen</t>
  </si>
  <si>
    <t>Art Miller</t>
  </si>
  <si>
    <t>Acco PRESSTEX® Data Binder with Storage Hooks, Dark Blue, 14 7/8" X 11"</t>
  </si>
  <si>
    <t>Lauren Leatherbury</t>
  </si>
  <si>
    <t>Bush® Cubix Conference Tables, Fully Assembled</t>
  </si>
  <si>
    <t>Greg Matthias</t>
  </si>
  <si>
    <t>Anthony Rawles</t>
  </si>
  <si>
    <t>Barry Blumstein</t>
  </si>
  <si>
    <t>Logitech Cordless Keyboard</t>
  </si>
  <si>
    <t>V66</t>
  </si>
  <si>
    <t>Alberta</t>
  </si>
  <si>
    <t>Roger Barcio</t>
  </si>
  <si>
    <t>Sung Pak</t>
  </si>
  <si>
    <t>Tim Brockman</t>
  </si>
  <si>
    <t>Resi Polking</t>
  </si>
  <si>
    <t>Roger Demir</t>
  </si>
  <si>
    <t>Tamara Manning</t>
  </si>
  <si>
    <t>Shaun Chance</t>
  </si>
  <si>
    <t>Sharelle Roach</t>
  </si>
  <si>
    <t>Ken Dana</t>
  </si>
  <si>
    <t>Laurel Workman</t>
  </si>
  <si>
    <t>Lisa Ryan</t>
  </si>
  <si>
    <t>Advantus Plastic Paper Clips</t>
  </si>
  <si>
    <t>O'Sullivan 4-Shelf Bookcase in Odessa Pine</t>
  </si>
  <si>
    <t>Chloris Kastensmidt</t>
  </si>
  <si>
    <t>Lisa Hazard</t>
  </si>
  <si>
    <t>Mitch Gastineau</t>
  </si>
  <si>
    <t>Katharine Harms</t>
  </si>
  <si>
    <t>Matthew Grinstein</t>
  </si>
  <si>
    <t>Maria Etezadi</t>
  </si>
  <si>
    <t>Sample Company A</t>
  </si>
  <si>
    <t>Sonia Cooley</t>
  </si>
  <si>
    <t>Sibella Parks</t>
  </si>
  <si>
    <t>Becky Pak</t>
  </si>
  <si>
    <t>Adam Shillingsburg</t>
  </si>
  <si>
    <t>Brooke Gillingham</t>
  </si>
  <si>
    <t>Tom Boeckenhauer</t>
  </si>
  <si>
    <t>Alex Russell</t>
  </si>
  <si>
    <t>Alejandro Ballentine</t>
  </si>
  <si>
    <t>Claire Good</t>
  </si>
  <si>
    <t>Alyssa Crouse</t>
  </si>
  <si>
    <t>Cassandra Brandow</t>
  </si>
  <si>
    <t>Adrian Barton</t>
  </si>
  <si>
    <t>Catherine Glotzbach</t>
  </si>
  <si>
    <t>Frank Olsen</t>
  </si>
  <si>
    <t>Acco Pressboard Covers with Storage Hooks, 14 7/8" x 11", Executive Red</t>
  </si>
  <si>
    <t>Novimex High-Tech Fabric Mesh Task Chair</t>
  </si>
  <si>
    <t>Alice McCarthy</t>
  </si>
  <si>
    <t>Frank Merwin</t>
  </si>
  <si>
    <t>Bruce Money</t>
  </si>
  <si>
    <t>Larry Tron</t>
  </si>
  <si>
    <t>Brian DeCherney</t>
  </si>
  <si>
    <t>Ann Steele</t>
  </si>
  <si>
    <t>Anthony Jacobs</t>
  </si>
  <si>
    <t>Katrina Edelman</t>
  </si>
  <si>
    <t>Ruben Dartt</t>
  </si>
  <si>
    <t>Roy Phan</t>
  </si>
  <si>
    <t>Clay Cheatham</t>
  </si>
  <si>
    <t>Yoseph Carroll</t>
  </si>
  <si>
    <t>Raymond Book</t>
  </si>
  <si>
    <t>Alan Dominguez</t>
  </si>
  <si>
    <t>Stephanie Phelps</t>
  </si>
  <si>
    <t>Tonja Turnell</t>
  </si>
  <si>
    <t>Christopher Conant</t>
  </si>
  <si>
    <t>Cyma Kinney</t>
  </si>
  <si>
    <t>Shui Tom</t>
  </si>
  <si>
    <t>Victoria Brennan</t>
  </si>
  <si>
    <t>Adrian Shami</t>
  </si>
  <si>
    <t>Xerox 209</t>
  </si>
  <si>
    <t>Sanford Uni-Blazer™ View Highlighters, Chisel Tip, Yellow</t>
  </si>
  <si>
    <t>Harry Greene</t>
  </si>
  <si>
    <t>Названия строк</t>
  </si>
  <si>
    <t>Общий итог</t>
  </si>
  <si>
    <t>Order-Year-Month</t>
  </si>
  <si>
    <t xml:space="preserve">
</t>
  </si>
  <si>
    <t>Сумма по полю Profit</t>
  </si>
  <si>
    <t>2010</t>
  </si>
  <si>
    <t>апр</t>
  </si>
  <si>
    <t>2009</t>
  </si>
  <si>
    <t>2011</t>
  </si>
  <si>
    <t>2012</t>
  </si>
  <si>
    <t>Названия столбцов</t>
  </si>
  <si>
    <t>янв</t>
  </si>
  <si>
    <t>февр</t>
  </si>
  <si>
    <t>март</t>
  </si>
  <si>
    <t>май</t>
  </si>
  <si>
    <t>июнь</t>
  </si>
  <si>
    <t>июль</t>
  </si>
  <si>
    <t>авг</t>
  </si>
  <si>
    <t>сент</t>
  </si>
  <si>
    <t>окт</t>
  </si>
  <si>
    <t>нояб</t>
  </si>
  <si>
    <t>дек</t>
  </si>
  <si>
    <t>Сумма по полю Sales</t>
  </si>
  <si>
    <t>Годы</t>
  </si>
  <si>
    <t>CurrentMonth</t>
  </si>
  <si>
    <t>PrevMonth</t>
  </si>
  <si>
    <t>Прошлого года</t>
  </si>
  <si>
    <t>Текущего года</t>
  </si>
  <si>
    <t>Прибыль</t>
  </si>
  <si>
    <t>Продажи</t>
  </si>
  <si>
    <t>Pivot10 (Top products by margin value)</t>
  </si>
  <si>
    <t>Pivot10 (Top customer segment, customer name)</t>
  </si>
  <si>
    <t>Pivot9 (Product hierarchy by sales/margin)</t>
  </si>
  <si>
    <t>Pivot5. Treemap with regions.</t>
  </si>
  <si>
    <t>Pivot8. Margin dynamics in line graph</t>
  </si>
  <si>
    <t>Pivot4. Margin YoY</t>
  </si>
  <si>
    <t>Pivot7. Margin KPI</t>
  </si>
  <si>
    <t>Pivot3. Orders KPI</t>
  </si>
  <si>
    <t>Pivot6. Orders YoY</t>
  </si>
  <si>
    <t>Pivot2. Sales KPI</t>
  </si>
  <si>
    <t>Pivot1. Sales YoY</t>
  </si>
  <si>
    <t>OrderCount</t>
  </si>
  <si>
    <t>Сумма по полю OrderCount</t>
  </si>
  <si>
    <t>Среднее по полю Discount</t>
  </si>
  <si>
    <t>Pivot12. Average Discount KPI</t>
  </si>
  <si>
    <t>Pivot14. Average Discount YoY</t>
  </si>
  <si>
    <t>CustomerCount</t>
  </si>
  <si>
    <t>Сумма по полю CustomerCount</t>
  </si>
  <si>
    <t>Pivot16. Customers KPI</t>
  </si>
  <si>
    <t>Pivot15. Customers YoY</t>
  </si>
  <si>
    <t>Сумма по полю SalesPerCustomer</t>
  </si>
  <si>
    <t>Pivot17. Sales Per Customer</t>
  </si>
  <si>
    <t>Pivot18. Sales Per Customer</t>
  </si>
  <si>
    <t>2010-01 (январь 2010)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</si>
</sst>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\ _₽_-;\-* #,##0.00\ _₽_-;_-* &quot;-&quot;??\ _₽_-;_-@_-"/>
    <numFmt numFmtId="164" formatCode="[$$-409]#,##0"/>
    <numFmt numFmtId="165" formatCode="[$$]#,##0" x16r2:formatCode16="[$$-gsw-CH]#,##0"/>
  </numFmts>
  <fonts count="7" x14ac:knownFonts="1"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Tahoma"/>
      <family val="2"/>
    </font>
    <font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49" fontId="2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2" fillId="0" borderId="1" xfId="0" quotePrefix="1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/>
    </xf>
    <xf numFmtId="0" fontId="3" fillId="0" borderId="0" xfId="0" applyFont="1" applyFill="1"/>
    <xf numFmtId="0" fontId="3" fillId="0" borderId="0" xfId="0" quotePrefix="1" applyNumberFormat="1" applyFont="1" applyFill="1"/>
    <xf numFmtId="14" fontId="3" fillId="0" borderId="0" xfId="1" quotePrefix="1" applyNumberFormat="1" applyFont="1" applyFill="1"/>
    <xf numFmtId="0" fontId="3" fillId="0" borderId="0" xfId="0" applyNumberFormat="1" applyFont="1" applyFill="1"/>
    <xf numFmtId="2" fontId="3" fillId="0" borderId="0" xfId="0" applyNumberFormat="1" applyFont="1" applyFill="1"/>
    <xf numFmtId="0" fontId="3" fillId="0" borderId="0" xfId="1" applyNumberFormat="1" applyFont="1" applyFill="1"/>
    <xf numFmtId="14" fontId="3" fillId="0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 applyAlignment="1">
      <alignment wrapText="1"/>
    </xf>
    <xf numFmtId="0" fontId="0" fillId="2" borderId="0" xfId="0" applyFill="1"/>
    <xf numFmtId="0" fontId="0" fillId="0" borderId="0" xfId="0" applyNumberFormat="1"/>
    <xf numFmtId="10" fontId="0" fillId="0" borderId="0" xfId="0" applyNumberFormat="1"/>
    <xf numFmtId="14" fontId="0" fillId="0" borderId="0" xfId="0" applyNumberFormat="1" applyAlignment="1">
      <alignment horizontal="left"/>
    </xf>
    <xf numFmtId="164" fontId="0" fillId="0" borderId="0" xfId="0" applyNumberFormat="1"/>
    <xf numFmtId="14" fontId="0" fillId="0" borderId="0" xfId="0" applyNumberFormat="1"/>
    <xf numFmtId="0" fontId="2" fillId="0" borderId="0" xfId="0" applyNumberFormat="1" applyFont="1" applyFill="1" applyBorder="1" applyAlignment="1">
      <alignment horizontal="center" vertical="center"/>
    </xf>
    <xf numFmtId="2" fontId="0" fillId="0" borderId="0" xfId="0" applyNumberFormat="1"/>
    <xf numFmtId="0" fontId="5" fillId="2" borderId="0" xfId="0" applyFont="1" applyFill="1"/>
    <xf numFmtId="0" fontId="0" fillId="0" borderId="0" xfId="0" quotePrefix="1"/>
    <xf numFmtId="0" fontId="6" fillId="0" borderId="0" xfId="0" applyFont="1"/>
    <xf numFmtId="1" fontId="0" fillId="0" borderId="0" xfId="0" applyNumberFormat="1"/>
    <xf numFmtId="0" fontId="0" fillId="0" borderId="0" xfId="0" applyFill="1"/>
    <xf numFmtId="165" fontId="0" fillId="0" borderId="0" xfId="0" applyNumberFormat="1"/>
    <xf numFmtId="0" fontId="4" fillId="0" borderId="0" xfId="0" applyFont="1" applyAlignment="1">
      <alignment horizontal="center"/>
    </xf>
  </cellXfs>
  <cellStyles count="2">
    <cellStyle name="Обычный" xfId="0" builtinId="0"/>
    <cellStyle name="Финансовый" xfId="1" builtinId="3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[$$-409]#,##0"/>
    </dxf>
    <dxf>
      <numFmt numFmtId="1" formatCode="0"/>
    </dxf>
    <dxf>
      <numFmt numFmtId="1" formatCode="0"/>
    </dxf>
    <dxf>
      <numFmt numFmtId="14" formatCode="0.00%"/>
    </dxf>
    <dxf>
      <numFmt numFmtId="166" formatCode="0.000"/>
    </dxf>
    <dxf>
      <numFmt numFmtId="165" formatCode="[$$]#,##0" x16r2:formatCode16="[$$-gsw-CH]#,##0"/>
    </dxf>
    <dxf>
      <numFmt numFmtId="164" formatCode="[$$-409]#,##0"/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[Superstore-Dashboard-v5.5.xlsm] Pivot Tables!Dynamics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11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rgbClr val="0070C0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11"/>
          <c:spPr>
            <a:solidFill>
              <a:schemeClr val="accent6">
                <a:lumMod val="40000"/>
                <a:lumOff val="60000"/>
              </a:schemeClr>
            </a:solidFill>
            <a:ln w="9525">
              <a:solidFill>
                <a:srgbClr val="0070C0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11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rgbClr val="0070C0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11"/>
          <c:spPr>
            <a:solidFill>
              <a:schemeClr val="accent6">
                <a:lumMod val="40000"/>
                <a:lumOff val="60000"/>
              </a:schemeClr>
            </a:solidFill>
            <a:ln w="9525">
              <a:solidFill>
                <a:srgbClr val="0070C0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circle"/>
          <c:size val="11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rgbClr val="0070C0"/>
              </a:solidFill>
            </a:ln>
            <a:effectLst/>
          </c:spPr>
        </c:marker>
      </c:pivotFmt>
      <c:pivotFmt>
        <c:idx val="8"/>
        <c:spPr>
          <a:ln w="28575" cap="rnd">
            <a:solidFill>
              <a:schemeClr val="accent6">
                <a:lumMod val="20000"/>
                <a:lumOff val="80000"/>
              </a:schemeClr>
            </a:solidFill>
            <a:round/>
          </a:ln>
          <a:effectLst/>
        </c:spPr>
        <c:marker>
          <c:symbol val="circle"/>
          <c:size val="11"/>
          <c:spPr>
            <a:solidFill>
              <a:schemeClr val="accent6">
                <a:lumMod val="40000"/>
                <a:lumOff val="60000"/>
              </a:schemeClr>
            </a:solidFill>
            <a:ln w="9525">
              <a:solidFill>
                <a:srgbClr val="0070C0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 Pivot Tables'!$C$39</c:f>
              <c:strCache>
                <c:ptCount val="1"/>
                <c:pt idx="0">
                  <c:v>Прибыль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 Pivot Tables'!$A$40:$B$87</c:f>
              <c:multiLvlStrCache>
                <c:ptCount val="48"/>
                <c:lvl>
                  <c:pt idx="0">
                    <c:v>янв</c:v>
                  </c:pt>
                  <c:pt idx="1">
                    <c:v>февр</c:v>
                  </c:pt>
                  <c:pt idx="2">
                    <c:v>март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июнь</c:v>
                  </c:pt>
                  <c:pt idx="6">
                    <c:v>июль</c:v>
                  </c:pt>
                  <c:pt idx="7">
                    <c:v>авг</c:v>
                  </c:pt>
                  <c:pt idx="8">
                    <c:v>сент</c:v>
                  </c:pt>
                  <c:pt idx="9">
                    <c:v>окт</c:v>
                  </c:pt>
                  <c:pt idx="10">
                    <c:v>нояб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февр</c:v>
                  </c:pt>
                  <c:pt idx="14">
                    <c:v>март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июнь</c:v>
                  </c:pt>
                  <c:pt idx="18">
                    <c:v>июль</c:v>
                  </c:pt>
                  <c:pt idx="19">
                    <c:v>авг</c:v>
                  </c:pt>
                  <c:pt idx="20">
                    <c:v>сент</c:v>
                  </c:pt>
                  <c:pt idx="21">
                    <c:v>окт</c:v>
                  </c:pt>
                  <c:pt idx="22">
                    <c:v>нояб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февр</c:v>
                  </c:pt>
                  <c:pt idx="26">
                    <c:v>март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июнь</c:v>
                  </c:pt>
                  <c:pt idx="30">
                    <c:v>июль</c:v>
                  </c:pt>
                  <c:pt idx="31">
                    <c:v>авг</c:v>
                  </c:pt>
                  <c:pt idx="32">
                    <c:v>сент</c:v>
                  </c:pt>
                  <c:pt idx="33">
                    <c:v>окт</c:v>
                  </c:pt>
                  <c:pt idx="34">
                    <c:v>нояб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февр</c:v>
                  </c:pt>
                  <c:pt idx="38">
                    <c:v>март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июнь</c:v>
                  </c:pt>
                  <c:pt idx="42">
                    <c:v>июль</c:v>
                  </c:pt>
                  <c:pt idx="43">
                    <c:v>авг</c:v>
                  </c:pt>
                  <c:pt idx="44">
                    <c:v>сент</c:v>
                  </c:pt>
                  <c:pt idx="45">
                    <c:v>окт</c:v>
                  </c:pt>
                  <c:pt idx="46">
                    <c:v>нояб</c:v>
                  </c:pt>
                  <c:pt idx="47">
                    <c:v>дек</c:v>
                  </c:pt>
                </c:lvl>
                <c:lvl>
                  <c:pt idx="0">
                    <c:v>2009</c:v>
                  </c:pt>
                  <c:pt idx="12">
                    <c:v>2010</c:v>
                  </c:pt>
                  <c:pt idx="24">
                    <c:v>2011</c:v>
                  </c:pt>
                  <c:pt idx="36">
                    <c:v>2012</c:v>
                  </c:pt>
                </c:lvl>
              </c:multiLvlStrCache>
            </c:multiLvlStrRef>
          </c:cat>
          <c:val>
            <c:numRef>
              <c:f>' Pivot Tables'!$C$40:$C$87</c:f>
              <c:numCache>
                <c:formatCode>General</c:formatCode>
                <c:ptCount val="48"/>
                <c:pt idx="0">
                  <c:v>62326.383882000002</c:v>
                </c:pt>
                <c:pt idx="1">
                  <c:v>30422.705028999997</c:v>
                </c:pt>
                <c:pt idx="2">
                  <c:v>22802.977469000019</c:v>
                </c:pt>
                <c:pt idx="3">
                  <c:v>39132.71557399998</c:v>
                </c:pt>
                <c:pt idx="4">
                  <c:v>18035.390263000008</c:v>
                </c:pt>
                <c:pt idx="5">
                  <c:v>34640.578300000016</c:v>
                </c:pt>
                <c:pt idx="6">
                  <c:v>41749.435449999997</c:v>
                </c:pt>
                <c:pt idx="7">
                  <c:v>14682.849950999991</c:v>
                </c:pt>
                <c:pt idx="8">
                  <c:v>46652.034034000011</c:v>
                </c:pt>
                <c:pt idx="9">
                  <c:v>55227.985300000015</c:v>
                </c:pt>
                <c:pt idx="10">
                  <c:v>16222.218223</c:v>
                </c:pt>
                <c:pt idx="11">
                  <c:v>52643.511960000011</c:v>
                </c:pt>
                <c:pt idx="12">
                  <c:v>48177.268184</c:v>
                </c:pt>
                <c:pt idx="13">
                  <c:v>25999.133966999991</c:v>
                </c:pt>
                <c:pt idx="14">
                  <c:v>1116.6682830000038</c:v>
                </c:pt>
                <c:pt idx="15">
                  <c:v>17306.488913999994</c:v>
                </c:pt>
                <c:pt idx="16">
                  <c:v>42636.65070000002</c:v>
                </c:pt>
                <c:pt idx="17">
                  <c:v>36130.270952999985</c:v>
                </c:pt>
                <c:pt idx="18">
                  <c:v>15918.420689999999</c:v>
                </c:pt>
                <c:pt idx="19">
                  <c:v>21862.73643400002</c:v>
                </c:pt>
                <c:pt idx="20">
                  <c:v>50022.715382000009</c:v>
                </c:pt>
                <c:pt idx="21">
                  <c:v>48596.767284000023</c:v>
                </c:pt>
                <c:pt idx="22">
                  <c:v>23345.049121000015</c:v>
                </c:pt>
                <c:pt idx="23">
                  <c:v>32759.208614999996</c:v>
                </c:pt>
                <c:pt idx="24">
                  <c:v>17704.57109999999</c:v>
                </c:pt>
                <c:pt idx="25">
                  <c:v>20848.916913999998</c:v>
                </c:pt>
                <c:pt idx="26">
                  <c:v>43243.558899999982</c:v>
                </c:pt>
                <c:pt idx="27">
                  <c:v>36106.234799999998</c:v>
                </c:pt>
                <c:pt idx="28">
                  <c:v>25585.220934000008</c:v>
                </c:pt>
                <c:pt idx="29">
                  <c:v>17478.481099999994</c:v>
                </c:pt>
                <c:pt idx="30">
                  <c:v>36903.867949999993</c:v>
                </c:pt>
                <c:pt idx="31">
                  <c:v>24378.913784999997</c:v>
                </c:pt>
                <c:pt idx="32">
                  <c:v>33097.994584</c:v>
                </c:pt>
                <c:pt idx="33">
                  <c:v>49054.106956999996</c:v>
                </c:pt>
                <c:pt idx="34">
                  <c:v>39559.994481000016</c:v>
                </c:pt>
                <c:pt idx="35">
                  <c:v>37494.124718999999</c:v>
                </c:pt>
                <c:pt idx="36">
                  <c:v>43312.513599999977</c:v>
                </c:pt>
                <c:pt idx="37">
                  <c:v>25158.407909999991</c:v>
                </c:pt>
                <c:pt idx="38">
                  <c:v>37636.12515</c:v>
                </c:pt>
                <c:pt idx="39">
                  <c:v>31361.037740000007</c:v>
                </c:pt>
                <c:pt idx="40">
                  <c:v>29371.456403999997</c:v>
                </c:pt>
                <c:pt idx="41">
                  <c:v>30454.273799999999</c:v>
                </c:pt>
                <c:pt idx="42">
                  <c:v>26393.575904999983</c:v>
                </c:pt>
                <c:pt idx="43">
                  <c:v>13660.979200000002</c:v>
                </c:pt>
                <c:pt idx="44">
                  <c:v>34579.944134999998</c:v>
                </c:pt>
                <c:pt idx="45">
                  <c:v>21137.482421000012</c:v>
                </c:pt>
                <c:pt idx="46">
                  <c:v>27543.036874999994</c:v>
                </c:pt>
                <c:pt idx="47">
                  <c:v>21292.976254999994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D1-4342-9837-FD3D4E1508E3}"/>
            </c:ext>
          </c:extLst>
        </c:ser>
        <c:ser>
          <c:idx val="1"/>
          <c:order val="1"/>
          <c:tx>
            <c:strRef>
              <c:f>' Pivot Tables'!$D$39</c:f>
              <c:strCache>
                <c:ptCount val="1"/>
                <c:pt idx="0">
                  <c:v>Прошлого года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rgbClr val="0070C0"/>
                </a:solidFill>
              </a:ln>
              <a:effectLst/>
            </c:spPr>
          </c:marker>
          <c:cat>
            <c:multiLvlStrRef>
              <c:f>' Pivot Tables'!$A$40:$B$87</c:f>
              <c:multiLvlStrCache>
                <c:ptCount val="48"/>
                <c:lvl>
                  <c:pt idx="0">
                    <c:v>янв</c:v>
                  </c:pt>
                  <c:pt idx="1">
                    <c:v>февр</c:v>
                  </c:pt>
                  <c:pt idx="2">
                    <c:v>март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июнь</c:v>
                  </c:pt>
                  <c:pt idx="6">
                    <c:v>июль</c:v>
                  </c:pt>
                  <c:pt idx="7">
                    <c:v>авг</c:v>
                  </c:pt>
                  <c:pt idx="8">
                    <c:v>сент</c:v>
                  </c:pt>
                  <c:pt idx="9">
                    <c:v>окт</c:v>
                  </c:pt>
                  <c:pt idx="10">
                    <c:v>нояб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февр</c:v>
                  </c:pt>
                  <c:pt idx="14">
                    <c:v>март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июнь</c:v>
                  </c:pt>
                  <c:pt idx="18">
                    <c:v>июль</c:v>
                  </c:pt>
                  <c:pt idx="19">
                    <c:v>авг</c:v>
                  </c:pt>
                  <c:pt idx="20">
                    <c:v>сент</c:v>
                  </c:pt>
                  <c:pt idx="21">
                    <c:v>окт</c:v>
                  </c:pt>
                  <c:pt idx="22">
                    <c:v>нояб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февр</c:v>
                  </c:pt>
                  <c:pt idx="26">
                    <c:v>март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июнь</c:v>
                  </c:pt>
                  <c:pt idx="30">
                    <c:v>июль</c:v>
                  </c:pt>
                  <c:pt idx="31">
                    <c:v>авг</c:v>
                  </c:pt>
                  <c:pt idx="32">
                    <c:v>сент</c:v>
                  </c:pt>
                  <c:pt idx="33">
                    <c:v>окт</c:v>
                  </c:pt>
                  <c:pt idx="34">
                    <c:v>нояб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февр</c:v>
                  </c:pt>
                  <c:pt idx="38">
                    <c:v>март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июнь</c:v>
                  </c:pt>
                  <c:pt idx="42">
                    <c:v>июль</c:v>
                  </c:pt>
                  <c:pt idx="43">
                    <c:v>авг</c:v>
                  </c:pt>
                  <c:pt idx="44">
                    <c:v>сент</c:v>
                  </c:pt>
                  <c:pt idx="45">
                    <c:v>окт</c:v>
                  </c:pt>
                  <c:pt idx="46">
                    <c:v>нояб</c:v>
                  </c:pt>
                  <c:pt idx="47">
                    <c:v>дек</c:v>
                  </c:pt>
                </c:lvl>
                <c:lvl>
                  <c:pt idx="0">
                    <c:v>2009</c:v>
                  </c:pt>
                  <c:pt idx="12">
                    <c:v>2010</c:v>
                  </c:pt>
                  <c:pt idx="24">
                    <c:v>2011</c:v>
                  </c:pt>
                  <c:pt idx="36">
                    <c:v>2012</c:v>
                  </c:pt>
                </c:lvl>
              </c:multiLvlStrCache>
            </c:multiLvlStrRef>
          </c:cat>
          <c:val>
            <c:numRef>
              <c:f>' Pivot Tables'!$D$40:$D$87</c:f>
              <c:numCache>
                <c:formatCode>0.00</c:formatCode>
                <c:ptCount val="48"/>
                <c:pt idx="0">
                  <c:v>62326.383882000002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D1-4342-9837-FD3D4E1508E3}"/>
            </c:ext>
          </c:extLst>
        </c:ser>
        <c:ser>
          <c:idx val="2"/>
          <c:order val="2"/>
          <c:tx>
            <c:strRef>
              <c:f>' Pivot Tables'!$E$39</c:f>
              <c:strCache>
                <c:ptCount val="1"/>
                <c:pt idx="0">
                  <c:v>Текущего года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70C0"/>
                </a:solidFill>
              </a:ln>
              <a:effectLst/>
            </c:spPr>
          </c:marker>
          <c:cat>
            <c:multiLvlStrRef>
              <c:f>' Pivot Tables'!$A$40:$B$87</c:f>
              <c:multiLvlStrCache>
                <c:ptCount val="48"/>
                <c:lvl>
                  <c:pt idx="0">
                    <c:v>янв</c:v>
                  </c:pt>
                  <c:pt idx="1">
                    <c:v>февр</c:v>
                  </c:pt>
                  <c:pt idx="2">
                    <c:v>март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июнь</c:v>
                  </c:pt>
                  <c:pt idx="6">
                    <c:v>июль</c:v>
                  </c:pt>
                  <c:pt idx="7">
                    <c:v>авг</c:v>
                  </c:pt>
                  <c:pt idx="8">
                    <c:v>сент</c:v>
                  </c:pt>
                  <c:pt idx="9">
                    <c:v>окт</c:v>
                  </c:pt>
                  <c:pt idx="10">
                    <c:v>нояб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февр</c:v>
                  </c:pt>
                  <c:pt idx="14">
                    <c:v>март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июнь</c:v>
                  </c:pt>
                  <c:pt idx="18">
                    <c:v>июль</c:v>
                  </c:pt>
                  <c:pt idx="19">
                    <c:v>авг</c:v>
                  </c:pt>
                  <c:pt idx="20">
                    <c:v>сент</c:v>
                  </c:pt>
                  <c:pt idx="21">
                    <c:v>окт</c:v>
                  </c:pt>
                  <c:pt idx="22">
                    <c:v>нояб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февр</c:v>
                  </c:pt>
                  <c:pt idx="26">
                    <c:v>март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июнь</c:v>
                  </c:pt>
                  <c:pt idx="30">
                    <c:v>июль</c:v>
                  </c:pt>
                  <c:pt idx="31">
                    <c:v>авг</c:v>
                  </c:pt>
                  <c:pt idx="32">
                    <c:v>сент</c:v>
                  </c:pt>
                  <c:pt idx="33">
                    <c:v>окт</c:v>
                  </c:pt>
                  <c:pt idx="34">
                    <c:v>нояб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февр</c:v>
                  </c:pt>
                  <c:pt idx="38">
                    <c:v>март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июнь</c:v>
                  </c:pt>
                  <c:pt idx="42">
                    <c:v>июль</c:v>
                  </c:pt>
                  <c:pt idx="43">
                    <c:v>авг</c:v>
                  </c:pt>
                  <c:pt idx="44">
                    <c:v>сент</c:v>
                  </c:pt>
                  <c:pt idx="45">
                    <c:v>окт</c:v>
                  </c:pt>
                  <c:pt idx="46">
                    <c:v>нояб</c:v>
                  </c:pt>
                  <c:pt idx="47">
                    <c:v>дек</c:v>
                  </c:pt>
                </c:lvl>
                <c:lvl>
                  <c:pt idx="0">
                    <c:v>2009</c:v>
                  </c:pt>
                  <c:pt idx="12">
                    <c:v>2010</c:v>
                  </c:pt>
                  <c:pt idx="24">
                    <c:v>2011</c:v>
                  </c:pt>
                  <c:pt idx="36">
                    <c:v>2012</c:v>
                  </c:pt>
                </c:lvl>
              </c:multiLvlStrCache>
            </c:multiLvlStrRef>
          </c:cat>
          <c:val>
            <c:numRef>
              <c:f>' Pivot Tables'!$E$40:$E$87</c:f>
              <c:numCache>
                <c:formatCode>0.00</c:formatCode>
                <c:ptCount val="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48177.268184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D1-4342-9837-FD3D4E150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0581567"/>
        <c:axId val="1755061039"/>
      </c:lineChart>
      <c:catAx>
        <c:axId val="131058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55061039"/>
        <c:crosses val="autoZero"/>
        <c:auto val="1"/>
        <c:lblAlgn val="ctr"/>
        <c:lblOffset val="100"/>
        <c:noMultiLvlLbl val="0"/>
      </c:catAx>
      <c:valAx>
        <c:axId val="175506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058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[Superstore-Dashboard-v5.5.xlsm] Pivot Tables!Сводная таблица9</c:name>
    <c:fmtId val="11"/>
  </c:pivotSource>
  <c:chart>
    <c:autoTitleDeleted val="0"/>
    <c:pivotFmts>
      <c:pivotFmt>
        <c:idx val="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0521445895212465"/>
          <c:y val="6.2655502392344492E-2"/>
          <c:w val="0.70426650387056045"/>
          <c:h val="0.8818660287081340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 Pivot Tables'!$C$92</c:f>
              <c:strCache>
                <c:ptCount val="1"/>
                <c:pt idx="0">
                  <c:v>Продажи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 Pivot Tables'!$A$93:$B$109</c:f>
              <c:multiLvlStrCache>
                <c:ptCount val="17"/>
                <c:lvl>
                  <c:pt idx="0">
                    <c:v>Bookcases</c:v>
                  </c:pt>
                  <c:pt idx="1">
                    <c:v>Chairs &amp; Chairmats</c:v>
                  </c:pt>
                  <c:pt idx="2">
                    <c:v>Office 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Binders and Binder Accessories</c:v>
                  </c:pt>
                  <c:pt idx="6">
                    <c:v>Envelopes</c:v>
                  </c:pt>
                  <c:pt idx="7">
                    <c:v>Labels</c:v>
                  </c:pt>
                  <c:pt idx="8">
                    <c:v>Paper</c:v>
                  </c:pt>
                  <c:pt idx="9">
                    <c:v>Pens &amp; Art Supplies</c:v>
                  </c:pt>
                  <c:pt idx="10">
                    <c:v>Rubber Bands</c:v>
                  </c:pt>
                  <c:pt idx="11">
                    <c:v>Scissors, Rulers and Trimmers</c:v>
                  </c:pt>
                  <c:pt idx="12">
                    <c:v>Storage &amp; Organization</c:v>
                  </c:pt>
                  <c:pt idx="13">
                    <c:v>Computer Peripherals</c:v>
                  </c:pt>
                  <c:pt idx="14">
                    <c:v>Copiers and Fax</c:v>
                  </c:pt>
                  <c:pt idx="15">
                    <c:v>Office Machines</c:v>
                  </c:pt>
                  <c:pt idx="16">
                    <c:v>Telephones and Communication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' Pivot Tables'!$C$93:$C$109</c:f>
              <c:numCache>
                <c:formatCode>General</c:formatCode>
                <c:ptCount val="17"/>
                <c:pt idx="0">
                  <c:v>43175.89</c:v>
                </c:pt>
                <c:pt idx="1">
                  <c:v>34075.67</c:v>
                </c:pt>
                <c:pt idx="2">
                  <c:v>13054.09</c:v>
                </c:pt>
                <c:pt idx="3">
                  <c:v>24688.61</c:v>
                </c:pt>
                <c:pt idx="4">
                  <c:v>16610.62</c:v>
                </c:pt>
                <c:pt idx="5">
                  <c:v>14683.680000000002</c:v>
                </c:pt>
                <c:pt idx="6">
                  <c:v>5974.0199999999995</c:v>
                </c:pt>
                <c:pt idx="7">
                  <c:v>693.95999999999992</c:v>
                </c:pt>
                <c:pt idx="8">
                  <c:v>12460.639999999998</c:v>
                </c:pt>
                <c:pt idx="9">
                  <c:v>2161.2200000000003</c:v>
                </c:pt>
                <c:pt idx="10">
                  <c:v>150.69</c:v>
                </c:pt>
                <c:pt idx="11">
                  <c:v>688.66</c:v>
                </c:pt>
                <c:pt idx="12">
                  <c:v>30749.350000000002</c:v>
                </c:pt>
                <c:pt idx="13">
                  <c:v>10202.570000000002</c:v>
                </c:pt>
                <c:pt idx="14">
                  <c:v>38741.57</c:v>
                </c:pt>
                <c:pt idx="15">
                  <c:v>65563.08</c:v>
                </c:pt>
                <c:pt idx="16">
                  <c:v>22852.360500000003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1-774D-9ACD-C04A1C697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"/>
        <c:overlap val="75"/>
        <c:axId val="1474226383"/>
        <c:axId val="1430316431"/>
      </c:barChart>
      <c:barChart>
        <c:barDir val="bar"/>
        <c:grouping val="stacked"/>
        <c:varyColors val="0"/>
        <c:ser>
          <c:idx val="1"/>
          <c:order val="1"/>
          <c:tx>
            <c:strRef>
              <c:f>' Pivot Tables'!$D$92</c:f>
              <c:strCache>
                <c:ptCount val="1"/>
                <c:pt idx="0">
                  <c:v>Прибыль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 Pivot Tables'!$A$93:$B$109</c:f>
              <c:multiLvlStrCache>
                <c:ptCount val="17"/>
                <c:lvl>
                  <c:pt idx="0">
                    <c:v>Bookcases</c:v>
                  </c:pt>
                  <c:pt idx="1">
                    <c:v>Chairs &amp; Chairmats</c:v>
                  </c:pt>
                  <c:pt idx="2">
                    <c:v>Office 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Binders and Binder Accessories</c:v>
                  </c:pt>
                  <c:pt idx="6">
                    <c:v>Envelopes</c:v>
                  </c:pt>
                  <c:pt idx="7">
                    <c:v>Labels</c:v>
                  </c:pt>
                  <c:pt idx="8">
                    <c:v>Paper</c:v>
                  </c:pt>
                  <c:pt idx="9">
                    <c:v>Pens &amp; Art Supplies</c:v>
                  </c:pt>
                  <c:pt idx="10">
                    <c:v>Rubber Bands</c:v>
                  </c:pt>
                  <c:pt idx="11">
                    <c:v>Scissors, Rulers and Trimmers</c:v>
                  </c:pt>
                  <c:pt idx="12">
                    <c:v>Storage &amp; Organization</c:v>
                  </c:pt>
                  <c:pt idx="13">
                    <c:v>Computer Peripherals</c:v>
                  </c:pt>
                  <c:pt idx="14">
                    <c:v>Copiers and Fax</c:v>
                  </c:pt>
                  <c:pt idx="15">
                    <c:v>Office Machines</c:v>
                  </c:pt>
                  <c:pt idx="16">
                    <c:v>Telephones and Communication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' Pivot Tables'!$D$93:$D$109</c:f>
              <c:numCache>
                <c:formatCode>General</c:formatCode>
                <c:ptCount val="17"/>
                <c:pt idx="0">
                  <c:v>3167.2399999999993</c:v>
                </c:pt>
                <c:pt idx="1">
                  <c:v>4401.9100000000008</c:v>
                </c:pt>
                <c:pt idx="2">
                  <c:v>1507.93</c:v>
                </c:pt>
                <c:pt idx="3">
                  <c:v>-118.45031600000016</c:v>
                </c:pt>
                <c:pt idx="4">
                  <c:v>1618.2600000000002</c:v>
                </c:pt>
                <c:pt idx="5">
                  <c:v>3431.2920000000008</c:v>
                </c:pt>
                <c:pt idx="6">
                  <c:v>1718.34</c:v>
                </c:pt>
                <c:pt idx="7">
                  <c:v>308.76</c:v>
                </c:pt>
                <c:pt idx="8">
                  <c:v>2010.5699999999995</c:v>
                </c:pt>
                <c:pt idx="9">
                  <c:v>10.309999999999993</c:v>
                </c:pt>
                <c:pt idx="10">
                  <c:v>1.7699999999999996</c:v>
                </c:pt>
                <c:pt idx="11">
                  <c:v>-120.08999999999999</c:v>
                </c:pt>
                <c:pt idx="12">
                  <c:v>-317.38</c:v>
                </c:pt>
                <c:pt idx="13">
                  <c:v>1568.7700000000002</c:v>
                </c:pt>
                <c:pt idx="14">
                  <c:v>13640.344000000001</c:v>
                </c:pt>
                <c:pt idx="15">
                  <c:v>10371.307499999999</c:v>
                </c:pt>
                <c:pt idx="16">
                  <c:v>4976.3850000000002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41-774D-9ACD-C04A1C697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90309295"/>
        <c:axId val="1477665279"/>
      </c:barChart>
      <c:catAx>
        <c:axId val="1474226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0316431"/>
        <c:crossesAt val="-70000"/>
        <c:auto val="1"/>
        <c:lblAlgn val="ctr"/>
        <c:lblOffset val="100"/>
        <c:noMultiLvlLbl val="0"/>
      </c:catAx>
      <c:valAx>
        <c:axId val="1430316431"/>
        <c:scaling>
          <c:orientation val="minMax"/>
          <c:min val="-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4226383"/>
        <c:crosses val="autoZero"/>
        <c:crossBetween val="between"/>
      </c:valAx>
      <c:valAx>
        <c:axId val="1477665279"/>
        <c:scaling>
          <c:orientation val="minMax"/>
          <c:max val="2300000"/>
          <c:min val="-150000"/>
        </c:scaling>
        <c:delete val="1"/>
        <c:axPos val="t"/>
        <c:numFmt formatCode="General" sourceLinked="1"/>
        <c:majorTickMark val="out"/>
        <c:minorTickMark val="none"/>
        <c:tickLblPos val="nextTo"/>
        <c:crossAx val="1290309295"/>
        <c:crosses val="max"/>
        <c:crossBetween val="between"/>
      </c:valAx>
      <c:catAx>
        <c:axId val="129030929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477665279"/>
        <c:crossesAt val="-1500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6343294872806981E-2"/>
          <c:y val="9.5367110812077226E-3"/>
          <c:w val="0.20096378088469999"/>
          <c:h val="4.2009775504319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[Superstore-Dashboard-v5.5.xlsm] Pivot Tables!Сводная таблица10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 Pivot Tables'!$B$117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 Pivot Tables'!$A$118:$A$271</c:f>
              <c:strCache>
                <c:ptCount val="154"/>
                <c:pt idx="0">
                  <c:v>Okidata Pacemark 4410N Wide Format Dot Matrix Printer</c:v>
                </c:pt>
                <c:pt idx="1">
                  <c:v>Bush Westfield Collection Bookcases, Dark Cherry Finish, Fully Assembled</c:v>
                </c:pt>
                <c:pt idx="2">
                  <c:v>O'Sullivan Living Dimensions 2-Shelf Bookcases</c:v>
                </c:pt>
                <c:pt idx="3">
                  <c:v>Hoover Portapower™ Portable Vacuum</c:v>
                </c:pt>
                <c:pt idx="4">
                  <c:v>Bretford CR8500 Series Meeting Room Furniture</c:v>
                </c:pt>
                <c:pt idx="5">
                  <c:v>O'Sullivan 3-Shelf Heavy-Duty Bookcases</c:v>
                </c:pt>
                <c:pt idx="6">
                  <c:v>Panasonic KX-P1131 Dot Matrix Printer</c:v>
                </c:pt>
                <c:pt idx="7">
                  <c:v>Canon PC940 Copier</c:v>
                </c:pt>
                <c:pt idx="8">
                  <c:v>Bush Mission Pointe Library</c:v>
                </c:pt>
                <c:pt idx="9">
                  <c:v>Sauder Facets Collection Locker/File Cabinet, Sky Alder Finish</c:v>
                </c:pt>
                <c:pt idx="10">
                  <c:v>Global High-Back Leather Tilter, Burgundy</c:v>
                </c:pt>
                <c:pt idx="11">
                  <c:v>Holmes Replacement Filter for HEPA Air Cleaner, Very Large Room, HEPA Filter</c:v>
                </c:pt>
                <c:pt idx="12">
                  <c:v>Hon Comfortask® Task/Swivel Chairs</c:v>
                </c:pt>
                <c:pt idx="13">
                  <c:v>Global Leather Highback Executive Chair with Pneumatic Height Adjustment, Black</c:v>
                </c:pt>
                <c:pt idx="14">
                  <c:v>Westinghouse Clip-On Gooseneck Lamps</c:v>
                </c:pt>
                <c:pt idx="15">
                  <c:v>Hoover Upright Vacuum With Dirt Cup</c:v>
                </c:pt>
                <c:pt idx="16">
                  <c:v>Eldon Portable Mobile Manager</c:v>
                </c:pt>
                <c:pt idx="17">
                  <c:v>Acco PRESSTEX® Data Binder with Storage Hooks, Dark Blue, 9 1/2" X 11"</c:v>
                </c:pt>
                <c:pt idx="18">
                  <c:v>Tennsco Commercial Shelving</c:v>
                </c:pt>
                <c:pt idx="19">
                  <c:v>iDEN i95</c:v>
                </c:pt>
                <c:pt idx="20">
                  <c:v>Luxo Economy Swing Arm Lamp</c:v>
                </c:pt>
                <c:pt idx="21">
                  <c:v>IBM Numeric Access II Keypad, 17-Key, Black</c:v>
                </c:pt>
                <c:pt idx="22">
                  <c:v>Linden® 12" Wall Clock With Oak Frame</c:v>
                </c:pt>
                <c:pt idx="23">
                  <c:v>Microsoft Internet Keyboard</c:v>
                </c:pt>
                <c:pt idx="24">
                  <c:v>Xerox 1898</c:v>
                </c:pt>
                <c:pt idx="25">
                  <c:v>Avery Poly Binder Pockets</c:v>
                </c:pt>
                <c:pt idx="26">
                  <c:v>Ampad® Evidence® Wirebond Steno Books, 6" x 9"</c:v>
                </c:pt>
                <c:pt idx="27">
                  <c:v>Fellowes 17-key keypad for PS/2 interface</c:v>
                </c:pt>
                <c:pt idx="28">
                  <c:v>Soundgear Copyboard Conference Phone, Optional Battery</c:v>
                </c:pt>
                <c:pt idx="29">
                  <c:v>DAX Cubicle Frames - 8x10</c:v>
                </c:pt>
                <c:pt idx="30">
                  <c:v>Xerox 1959</c:v>
                </c:pt>
                <c:pt idx="31">
                  <c:v>Eldon® Wave Desk Accessories</c:v>
                </c:pt>
                <c:pt idx="32">
                  <c:v>Portfile® Personal File Boxes</c:v>
                </c:pt>
                <c:pt idx="33">
                  <c:v>Newell 35</c:v>
                </c:pt>
                <c:pt idx="34">
                  <c:v>Newell 342</c:v>
                </c:pt>
                <c:pt idx="35">
                  <c:v>Xerox 200</c:v>
                </c:pt>
                <c:pt idx="36">
                  <c:v>StarTAC Series</c:v>
                </c:pt>
                <c:pt idx="37">
                  <c:v>Xerox 212</c:v>
                </c:pt>
                <c:pt idx="38">
                  <c:v>Newell® 3-Hole Punched Plastic Slotted Magazine Holders for Binders</c:v>
                </c:pt>
                <c:pt idx="39">
                  <c:v>Acme Hot Forged Carbon Steel Scissors with Nickel-Plated Handles, 3 7/8" Cut, 8"L</c:v>
                </c:pt>
                <c:pt idx="40">
                  <c:v>Wilson Jones “Snap” Scratch Pad Binder Tool for Ring Binders</c:v>
                </c:pt>
                <c:pt idx="41">
                  <c:v>2300 Heavy-Duty Transfer File Systems by Perma</c:v>
                </c:pt>
                <c:pt idx="42">
                  <c:v>Acco Four Pocket Poly Ring Binder with Label Holder, Smoke, 1"</c:v>
                </c:pt>
                <c:pt idx="43">
                  <c:v>Xerox 220</c:v>
                </c:pt>
                <c:pt idx="44">
                  <c:v>Imation 3.5", RTS 247544 3M 3.5 DSDD, 10/Pack</c:v>
                </c:pt>
                <c:pt idx="45">
                  <c:v>Accessory25</c:v>
                </c:pt>
                <c:pt idx="46">
                  <c:v>Xerox 1994</c:v>
                </c:pt>
                <c:pt idx="47">
                  <c:v>Anderson Hickey Conga Table Tops &amp; Accessories</c:v>
                </c:pt>
                <c:pt idx="48">
                  <c:v>Xerox 1952</c:v>
                </c:pt>
                <c:pt idx="49">
                  <c:v>Staples Copy Paper (20Lb. and 84 Bright)</c:v>
                </c:pt>
                <c:pt idx="50">
                  <c:v>Belkin 6 Outlet Metallic Surge Strip</c:v>
                </c:pt>
                <c:pt idx="51">
                  <c:v>Xerox 21</c:v>
                </c:pt>
                <c:pt idx="52">
                  <c:v>Master Big Foot® Doorstop, Beige</c:v>
                </c:pt>
                <c:pt idx="53">
                  <c:v>Hammermill CopyPlus Copy Paper (20Lb. and 84 Bright)</c:v>
                </c:pt>
                <c:pt idx="54">
                  <c:v>Telescoping Adjustable Floor Lamp</c:v>
                </c:pt>
                <c:pt idx="55">
                  <c:v>Xerox 217</c:v>
                </c:pt>
                <c:pt idx="56">
                  <c:v>Imation Primaris 3.5" 2HD Unformatted Diskettes, 10/Pack</c:v>
                </c:pt>
                <c:pt idx="57">
                  <c:v>Fuji Slim Jewel Case CD-R</c:v>
                </c:pt>
                <c:pt idx="58">
                  <c:v>Xerox 1924</c:v>
                </c:pt>
                <c:pt idx="59">
                  <c:v>Fellowes Bankers Box™ Stor/Drawer® Steel Plus™</c:v>
                </c:pt>
                <c:pt idx="60">
                  <c:v>Tenex Personal Self-Stacking Standard File Box, Black/Gray</c:v>
                </c:pt>
                <c:pt idx="61">
                  <c:v>Xerox 193</c:v>
                </c:pt>
                <c:pt idx="62">
                  <c:v>Acme® Box Cutter Scissors</c:v>
                </c:pt>
                <c:pt idx="63">
                  <c:v>Xerox 1984</c:v>
                </c:pt>
                <c:pt idx="64">
                  <c:v>Xerox 1978</c:v>
                </c:pt>
                <c:pt idx="65">
                  <c:v>HP Office Recycled Paper (20Lb. and 87 Bright)</c:v>
                </c:pt>
                <c:pt idx="66">
                  <c:v>Fellowes Personal Hanging Folder Files, Navy</c:v>
                </c:pt>
                <c:pt idx="67">
                  <c:v>Bevis Round Conference Table Top &amp; Single Column Base</c:v>
                </c:pt>
                <c:pt idx="68">
                  <c:v>Portable Personal File Box</c:v>
                </c:pt>
                <c:pt idx="69">
                  <c:v>Binding Machine Supplies</c:v>
                </c:pt>
                <c:pt idx="70">
                  <c:v>Acme Design Line 8" Stainless Steel Bent Scissors w/Champagne Handles, 3-1/8" Cut</c:v>
                </c:pt>
                <c:pt idx="71">
                  <c:v>Accessory34</c:v>
                </c:pt>
                <c:pt idx="72">
                  <c:v>Advantus Push Pins</c:v>
                </c:pt>
                <c:pt idx="73">
                  <c:v>DIXON Oriole® Pencils</c:v>
                </c:pt>
                <c:pt idx="74">
                  <c:v>Xerox 1923</c:v>
                </c:pt>
                <c:pt idx="75">
                  <c:v>Rogers Handheld Barrel Pencil Sharpener</c:v>
                </c:pt>
                <c:pt idx="76">
                  <c:v>Conquest™ 14 Commercial Heavy-Duty Upright Vacuum, Collection System, Accessory Kit</c:v>
                </c:pt>
                <c:pt idx="77">
                  <c:v>Sharp EL500L Fraction Calculator</c:v>
                </c:pt>
                <c:pt idx="78">
                  <c:v>Serrated Blade or Curved Handle Hand Letter Openers</c:v>
                </c:pt>
                <c:pt idx="79">
                  <c:v>Newell 346</c:v>
                </c:pt>
                <c:pt idx="80">
                  <c:v>Avery 481</c:v>
                </c:pt>
                <c:pt idx="81">
                  <c:v>Blackstonian Pencils</c:v>
                </c:pt>
                <c:pt idx="82">
                  <c:v>Avery Non-Stick Binders</c:v>
                </c:pt>
                <c:pt idx="83">
                  <c:v>Sanford EarthWrite® Recycled Pencils, Medium Soft, #2</c:v>
                </c:pt>
                <c:pt idx="84">
                  <c:v>IBM 80 Minute CD-R Spindle, 50/Pack</c:v>
                </c:pt>
                <c:pt idx="85">
                  <c:v>Wirebound Message Books, 5-1/2 x 4 Forms, 2 or 4 Forms per Page</c:v>
                </c:pt>
                <c:pt idx="86">
                  <c:v>Companion Letter/Legal File, Black</c:v>
                </c:pt>
                <c:pt idx="87">
                  <c:v>Binder Clips by OIC</c:v>
                </c:pt>
                <c:pt idx="88">
                  <c:v>DIXON Ticonderoga® Erasable Checking Pencils</c:v>
                </c:pt>
                <c:pt idx="89">
                  <c:v>KF 788</c:v>
                </c:pt>
                <c:pt idx="90">
                  <c:v>Durable Pressboard Binders</c:v>
                </c:pt>
                <c:pt idx="91">
                  <c:v>EcoTones® Memo Sheets</c:v>
                </c:pt>
                <c:pt idx="92">
                  <c:v>Avery 498</c:v>
                </c:pt>
                <c:pt idx="93">
                  <c:v>Xerox 1939</c:v>
                </c:pt>
                <c:pt idx="94">
                  <c:v>Avery Hi-Liter Pen Style Six-Color Fluorescent Set</c:v>
                </c:pt>
                <c:pt idx="95">
                  <c:v>Wirebound Service Call Books, 5 1/2" x 4"</c:v>
                </c:pt>
                <c:pt idx="96">
                  <c:v>Quartet Omega® Colored Chalk, 12/Pack</c:v>
                </c:pt>
                <c:pt idx="97">
                  <c:v>Crayola Colored Pencils</c:v>
                </c:pt>
                <c:pt idx="98">
                  <c:v>Memorex Slim 80 Minute CD-R, 10/Pack</c:v>
                </c:pt>
                <c:pt idx="99">
                  <c:v>Fellowes Stor/Drawer® Steel Plus™ Storage Drawers</c:v>
                </c:pt>
                <c:pt idx="100">
                  <c:v>Hon Every-Day® Chair Series Swivel Task Chairs</c:v>
                </c:pt>
                <c:pt idx="101">
                  <c:v>Avery 503</c:v>
                </c:pt>
                <c:pt idx="102">
                  <c:v>Verbatim DVD-R, 3.95GB, SR, Mitsubishi Branded, Jewel</c:v>
                </c:pt>
                <c:pt idx="103">
                  <c:v>Cardinal Slant-D® Ring Binder, Heavy Gauge Vinyl</c:v>
                </c:pt>
                <c:pt idx="104">
                  <c:v>Contemporary Wood/Metal Frame</c:v>
                </c:pt>
                <c:pt idx="105">
                  <c:v>Lesro Sheffield Collection Coffee Table, End Table, Center Table, Corner Table</c:v>
                </c:pt>
                <c:pt idx="106">
                  <c:v>Sanford Liquid Accent Highlighters</c:v>
                </c:pt>
                <c:pt idx="107">
                  <c:v>Avanti 4.4 Cu. Ft. Refrigerator</c:v>
                </c:pt>
                <c:pt idx="108">
                  <c:v>1726 Digital Answering Machine</c:v>
                </c:pt>
                <c:pt idx="109">
                  <c:v>Eureka The Boss® Cordless Rechargeable Stick Vac</c:v>
                </c:pt>
                <c:pt idx="110">
                  <c:v>Panasonic KP-350BK Electric Pencil Sharpener with Auto Stop</c:v>
                </c:pt>
                <c:pt idx="111">
                  <c:v>Seth Thomas 13 1/2" Wall Clock</c:v>
                </c:pt>
                <c:pt idx="112">
                  <c:v>Microsoft Natural Keyboard Elite</c:v>
                </c:pt>
                <c:pt idx="113">
                  <c:v>Deflect-o EconoMat Studded, No Bevel Mat for Low Pile Carpeting</c:v>
                </c:pt>
                <c:pt idx="114">
                  <c:v>Avery 51</c:v>
                </c:pt>
                <c:pt idx="115">
                  <c:v>Premier Elliptical Ring Binder, Black</c:v>
                </c:pt>
                <c:pt idx="116">
                  <c:v>Avery 508</c:v>
                </c:pt>
                <c:pt idx="117">
                  <c:v>Tyvek ® Top-Opening Peel &amp; Seel ® Envelopes, Gray</c:v>
                </c:pt>
                <c:pt idx="118">
                  <c:v>Iceberg Mobile Mega Data/Printer Cart ®</c:v>
                </c:pt>
                <c:pt idx="119">
                  <c:v>Mead 1st Gear 2" Zipper Binder, Asst. Colors</c:v>
                </c:pt>
                <c:pt idx="120">
                  <c:v>Deflect-o RollaMat Studded, Beveled Mat for Medium Pile Carpeting</c:v>
                </c:pt>
                <c:pt idx="121">
                  <c:v>Belkin F9M820V08 8 Outlet Surge</c:v>
                </c:pt>
                <c:pt idx="122">
                  <c:v>Executive Impressions 14" Contract Wall Clock with Quartz Movement</c:v>
                </c:pt>
                <c:pt idx="123">
                  <c:v>Blue String-Tie &amp; Button Interoffice Envelopes, 10 x 13</c:v>
                </c:pt>
                <c:pt idx="124">
                  <c:v>Ames Color-File® Green Diamond Border X-ray Mailers</c:v>
                </c:pt>
                <c:pt idx="125">
                  <c:v>Xerox 1893</c:v>
                </c:pt>
                <c:pt idx="126">
                  <c:v>Xerox 1938</c:v>
                </c:pt>
                <c:pt idx="127">
                  <c:v>Deflect-o SuperTray™ Unbreakable Stackable Tray, Letter, Black</c:v>
                </c:pt>
                <c:pt idx="128">
                  <c:v>Letter Size Cart</c:v>
                </c:pt>
                <c:pt idx="129">
                  <c:v>Fellowes Staxonsteel® Drawer Files</c:v>
                </c:pt>
                <c:pt idx="130">
                  <c:v>5170</c:v>
                </c:pt>
                <c:pt idx="131">
                  <c:v>Xerox 1917</c:v>
                </c:pt>
                <c:pt idx="132">
                  <c:v>2190</c:v>
                </c:pt>
                <c:pt idx="133">
                  <c:v>Panasonic KX-P1150 Dot Matrix Printer</c:v>
                </c:pt>
                <c:pt idx="134">
                  <c:v>Memorex 4.7GB DVD-RAM, 3/Pack</c:v>
                </c:pt>
                <c:pt idx="135">
                  <c:v>Xerox 1934</c:v>
                </c:pt>
                <c:pt idx="136">
                  <c:v>Chromcraft Bull-Nose Wood Round Conference Table Top, Wood Base</c:v>
                </c:pt>
                <c:pt idx="137">
                  <c:v>Catalog Binders with Expanding Posts</c:v>
                </c:pt>
                <c:pt idx="138">
                  <c:v>282</c:v>
                </c:pt>
                <c:pt idx="139">
                  <c:v>Accessory32</c:v>
                </c:pt>
                <c:pt idx="140">
                  <c:v>Airmail Envelopes</c:v>
                </c:pt>
                <c:pt idx="141">
                  <c:v>Multicolor Computer Printout Paper</c:v>
                </c:pt>
                <c:pt idx="142">
                  <c:v>Logitech Cordless Navigator Duo</c:v>
                </c:pt>
                <c:pt idx="143">
                  <c:v>Canon PC-428 Personal Copier</c:v>
                </c:pt>
                <c:pt idx="144">
                  <c:v>Tenex Contemporary Contur Chairmats for Low and Medium Pile Carpet, Computer, 39" x 49"</c:v>
                </c:pt>
                <c:pt idx="145">
                  <c:v>StarTAC 7797</c:v>
                </c:pt>
                <c:pt idx="146">
                  <c:v>Hewlett-Packard Deskjet 6122 Color Inkjet Printer</c:v>
                </c:pt>
                <c:pt idx="147">
                  <c:v>Ibico EB-19 Dual Function Manual Binding System</c:v>
                </c:pt>
                <c:pt idx="148">
                  <c:v>Kensington 7 Outlet MasterPiece Power Center with Fax/Phone Line Protection</c:v>
                </c:pt>
                <c:pt idx="149">
                  <c:v>Global Troy™ Executive Leather Low-Back Tilter</c:v>
                </c:pt>
                <c:pt idx="150">
                  <c:v>Riverside Palais Royal Lawyers Bookcase, Royale Cherry Finish</c:v>
                </c:pt>
                <c:pt idx="151">
                  <c:v>Hewlett-Packard cp1700 [D, PS] Series Color Inkjet Printers</c:v>
                </c:pt>
                <c:pt idx="152">
                  <c:v>Panasonic KX-P3626 Dot Matrix Printer</c:v>
                </c:pt>
                <c:pt idx="153">
                  <c:v>Canon Image Class D660 Copier</c:v>
                </c:pt>
              </c:strCache>
            </c:strRef>
          </c:cat>
          <c:val>
            <c:numRef>
              <c:f>' Pivot Tables'!$B$118:$B$271</c:f>
              <c:numCache>
                <c:formatCode>General</c:formatCode>
                <c:ptCount val="154"/>
                <c:pt idx="0">
                  <c:v>-8389.4709000000003</c:v>
                </c:pt>
                <c:pt idx="1">
                  <c:v>-1578.26</c:v>
                </c:pt>
                <c:pt idx="2">
                  <c:v>-1153.9000000000001</c:v>
                </c:pt>
                <c:pt idx="3">
                  <c:v>-1085.52</c:v>
                </c:pt>
                <c:pt idx="4">
                  <c:v>-969.0483660000001</c:v>
                </c:pt>
                <c:pt idx="5">
                  <c:v>-683.51</c:v>
                </c:pt>
                <c:pt idx="6">
                  <c:v>-577.47989999999993</c:v>
                </c:pt>
                <c:pt idx="7">
                  <c:v>-571.24</c:v>
                </c:pt>
                <c:pt idx="8">
                  <c:v>-549.27</c:v>
                </c:pt>
                <c:pt idx="9">
                  <c:v>-522.59</c:v>
                </c:pt>
                <c:pt idx="10">
                  <c:v>-404.77</c:v>
                </c:pt>
                <c:pt idx="11">
                  <c:v>-403.74</c:v>
                </c:pt>
                <c:pt idx="12">
                  <c:v>-331.82</c:v>
                </c:pt>
                <c:pt idx="13">
                  <c:v>-272.46999999999997</c:v>
                </c:pt>
                <c:pt idx="14">
                  <c:v>-261.45</c:v>
                </c:pt>
                <c:pt idx="15">
                  <c:v>-248.69</c:v>
                </c:pt>
                <c:pt idx="16">
                  <c:v>-233.14</c:v>
                </c:pt>
                <c:pt idx="17">
                  <c:v>-214.15299999999999</c:v>
                </c:pt>
                <c:pt idx="18">
                  <c:v>-194.85</c:v>
                </c:pt>
                <c:pt idx="19">
                  <c:v>-185.88900000000001</c:v>
                </c:pt>
                <c:pt idx="20">
                  <c:v>-180.45</c:v>
                </c:pt>
                <c:pt idx="21">
                  <c:v>-180.23</c:v>
                </c:pt>
                <c:pt idx="22">
                  <c:v>-175.47</c:v>
                </c:pt>
                <c:pt idx="23">
                  <c:v>-170.87</c:v>
                </c:pt>
                <c:pt idx="24">
                  <c:v>-170.07</c:v>
                </c:pt>
                <c:pt idx="25">
                  <c:v>-150.374</c:v>
                </c:pt>
                <c:pt idx="26">
                  <c:v>-149.93</c:v>
                </c:pt>
                <c:pt idx="27">
                  <c:v>-147.81</c:v>
                </c:pt>
                <c:pt idx="28">
                  <c:v>-139.4958</c:v>
                </c:pt>
                <c:pt idx="29">
                  <c:v>-136.84</c:v>
                </c:pt>
                <c:pt idx="30">
                  <c:v>-136.02000000000001</c:v>
                </c:pt>
                <c:pt idx="31">
                  <c:v>-133.06</c:v>
                </c:pt>
                <c:pt idx="32">
                  <c:v>-131.27000000000001</c:v>
                </c:pt>
                <c:pt idx="33">
                  <c:v>-126.7</c:v>
                </c:pt>
                <c:pt idx="34">
                  <c:v>-115.53</c:v>
                </c:pt>
                <c:pt idx="35">
                  <c:v>-101.5</c:v>
                </c:pt>
                <c:pt idx="36">
                  <c:v>-97.195999999999998</c:v>
                </c:pt>
                <c:pt idx="37">
                  <c:v>-92.55</c:v>
                </c:pt>
                <c:pt idx="38">
                  <c:v>-84.076499999999996</c:v>
                </c:pt>
                <c:pt idx="39">
                  <c:v>-81.55</c:v>
                </c:pt>
                <c:pt idx="40">
                  <c:v>-76.141499999999994</c:v>
                </c:pt>
                <c:pt idx="41">
                  <c:v>-74.64</c:v>
                </c:pt>
                <c:pt idx="42">
                  <c:v>-71.046999999999997</c:v>
                </c:pt>
                <c:pt idx="43">
                  <c:v>-70.31</c:v>
                </c:pt>
                <c:pt idx="44">
                  <c:v>-64.239999999999995</c:v>
                </c:pt>
                <c:pt idx="45">
                  <c:v>-63.700999999999993</c:v>
                </c:pt>
                <c:pt idx="46">
                  <c:v>-62.46</c:v>
                </c:pt>
                <c:pt idx="47">
                  <c:v>-60.74</c:v>
                </c:pt>
                <c:pt idx="48">
                  <c:v>-55.07</c:v>
                </c:pt>
                <c:pt idx="49">
                  <c:v>-50.86</c:v>
                </c:pt>
                <c:pt idx="50">
                  <c:v>-46.98</c:v>
                </c:pt>
                <c:pt idx="51">
                  <c:v>-46.89</c:v>
                </c:pt>
                <c:pt idx="52">
                  <c:v>-46.68</c:v>
                </c:pt>
                <c:pt idx="53">
                  <c:v>-46.03</c:v>
                </c:pt>
                <c:pt idx="54">
                  <c:v>-44.81</c:v>
                </c:pt>
                <c:pt idx="55">
                  <c:v>-43.97</c:v>
                </c:pt>
                <c:pt idx="56">
                  <c:v>-43.21</c:v>
                </c:pt>
                <c:pt idx="57">
                  <c:v>-37.200000000000003</c:v>
                </c:pt>
                <c:pt idx="58">
                  <c:v>-32.270000000000003</c:v>
                </c:pt>
                <c:pt idx="59">
                  <c:v>-30.19</c:v>
                </c:pt>
                <c:pt idx="60">
                  <c:v>-27.72</c:v>
                </c:pt>
                <c:pt idx="61">
                  <c:v>-25.22</c:v>
                </c:pt>
                <c:pt idx="62">
                  <c:v>-24.88</c:v>
                </c:pt>
                <c:pt idx="63">
                  <c:v>-24.15</c:v>
                </c:pt>
                <c:pt idx="64">
                  <c:v>-21.77</c:v>
                </c:pt>
                <c:pt idx="65">
                  <c:v>-20.329999999999998</c:v>
                </c:pt>
                <c:pt idx="66">
                  <c:v>-19.75</c:v>
                </c:pt>
                <c:pt idx="67">
                  <c:v>-18.809999999999999</c:v>
                </c:pt>
                <c:pt idx="68">
                  <c:v>-14.98</c:v>
                </c:pt>
                <c:pt idx="69">
                  <c:v>-12.753499999999999</c:v>
                </c:pt>
                <c:pt idx="70">
                  <c:v>-11.02</c:v>
                </c:pt>
                <c:pt idx="71">
                  <c:v>-10.67</c:v>
                </c:pt>
                <c:pt idx="72">
                  <c:v>-10.06</c:v>
                </c:pt>
                <c:pt idx="73">
                  <c:v>-9.19</c:v>
                </c:pt>
                <c:pt idx="74">
                  <c:v>-9.08</c:v>
                </c:pt>
                <c:pt idx="75">
                  <c:v>-6.79</c:v>
                </c:pt>
                <c:pt idx="76">
                  <c:v>-6.37</c:v>
                </c:pt>
                <c:pt idx="77">
                  <c:v>-4.8459000000000003</c:v>
                </c:pt>
                <c:pt idx="78">
                  <c:v>-2.64</c:v>
                </c:pt>
                <c:pt idx="79">
                  <c:v>-1.78</c:v>
                </c:pt>
                <c:pt idx="80">
                  <c:v>-1.36</c:v>
                </c:pt>
                <c:pt idx="81">
                  <c:v>-0.53</c:v>
                </c:pt>
                <c:pt idx="82">
                  <c:v>0.64600000000000002</c:v>
                </c:pt>
                <c:pt idx="83">
                  <c:v>2.38</c:v>
                </c:pt>
                <c:pt idx="84">
                  <c:v>4.41</c:v>
                </c:pt>
                <c:pt idx="85">
                  <c:v>6.99</c:v>
                </c:pt>
                <c:pt idx="86">
                  <c:v>11.38</c:v>
                </c:pt>
                <c:pt idx="87">
                  <c:v>11.83</c:v>
                </c:pt>
                <c:pt idx="88">
                  <c:v>20</c:v>
                </c:pt>
                <c:pt idx="89">
                  <c:v>20.231999999999999</c:v>
                </c:pt>
                <c:pt idx="90">
                  <c:v>21.471</c:v>
                </c:pt>
                <c:pt idx="91">
                  <c:v>26.64</c:v>
                </c:pt>
                <c:pt idx="92">
                  <c:v>28.24</c:v>
                </c:pt>
                <c:pt idx="93">
                  <c:v>29.42</c:v>
                </c:pt>
                <c:pt idx="94">
                  <c:v>29.57</c:v>
                </c:pt>
                <c:pt idx="95">
                  <c:v>29.68</c:v>
                </c:pt>
                <c:pt idx="96">
                  <c:v>42.8</c:v>
                </c:pt>
                <c:pt idx="97">
                  <c:v>44</c:v>
                </c:pt>
                <c:pt idx="98">
                  <c:v>44.14</c:v>
                </c:pt>
                <c:pt idx="99">
                  <c:v>44.58</c:v>
                </c:pt>
                <c:pt idx="100">
                  <c:v>45.54</c:v>
                </c:pt>
                <c:pt idx="101">
                  <c:v>49.69</c:v>
                </c:pt>
                <c:pt idx="102">
                  <c:v>49.82</c:v>
                </c:pt>
                <c:pt idx="103">
                  <c:v>53.048499999999997</c:v>
                </c:pt>
                <c:pt idx="104">
                  <c:v>53.67</c:v>
                </c:pt>
                <c:pt idx="105">
                  <c:v>54.598050000000008</c:v>
                </c:pt>
                <c:pt idx="106">
                  <c:v>55.21</c:v>
                </c:pt>
                <c:pt idx="107">
                  <c:v>59.73</c:v>
                </c:pt>
                <c:pt idx="108">
                  <c:v>65.628000000000014</c:v>
                </c:pt>
                <c:pt idx="109">
                  <c:v>66.47</c:v>
                </c:pt>
                <c:pt idx="110">
                  <c:v>76.87</c:v>
                </c:pt>
                <c:pt idx="111">
                  <c:v>85.48</c:v>
                </c:pt>
                <c:pt idx="112">
                  <c:v>88.68</c:v>
                </c:pt>
                <c:pt idx="113">
                  <c:v>89.03</c:v>
                </c:pt>
                <c:pt idx="114">
                  <c:v>109.29</c:v>
                </c:pt>
                <c:pt idx="115">
                  <c:v>111.58799999999999</c:v>
                </c:pt>
                <c:pt idx="116">
                  <c:v>122.9</c:v>
                </c:pt>
                <c:pt idx="117">
                  <c:v>128.11000000000001</c:v>
                </c:pt>
                <c:pt idx="118">
                  <c:v>141.31</c:v>
                </c:pt>
                <c:pt idx="119">
                  <c:v>146.166</c:v>
                </c:pt>
                <c:pt idx="120">
                  <c:v>160.47999999999999</c:v>
                </c:pt>
                <c:pt idx="121">
                  <c:v>160.58000000000001</c:v>
                </c:pt>
                <c:pt idx="122">
                  <c:v>195.71</c:v>
                </c:pt>
                <c:pt idx="123">
                  <c:v>239.94</c:v>
                </c:pt>
                <c:pt idx="124">
                  <c:v>239.94</c:v>
                </c:pt>
                <c:pt idx="125">
                  <c:v>306.25</c:v>
                </c:pt>
                <c:pt idx="126">
                  <c:v>307.64</c:v>
                </c:pt>
                <c:pt idx="127">
                  <c:v>357.23</c:v>
                </c:pt>
                <c:pt idx="128">
                  <c:v>365.68999999999994</c:v>
                </c:pt>
                <c:pt idx="129">
                  <c:v>368.79</c:v>
                </c:pt>
                <c:pt idx="130">
                  <c:v>454.38299999999998</c:v>
                </c:pt>
                <c:pt idx="131">
                  <c:v>468.19</c:v>
                </c:pt>
                <c:pt idx="132">
                  <c:v>478.10700000000003</c:v>
                </c:pt>
                <c:pt idx="133">
                  <c:v>731.32</c:v>
                </c:pt>
                <c:pt idx="134">
                  <c:v>749.03</c:v>
                </c:pt>
                <c:pt idx="135">
                  <c:v>760.79</c:v>
                </c:pt>
                <c:pt idx="136">
                  <c:v>875.55</c:v>
                </c:pt>
                <c:pt idx="137">
                  <c:v>885.51300000000015</c:v>
                </c:pt>
                <c:pt idx="138">
                  <c:v>1025.451</c:v>
                </c:pt>
                <c:pt idx="139">
                  <c:v>1040.4000000000001</c:v>
                </c:pt>
                <c:pt idx="140">
                  <c:v>1110.3499999999999</c:v>
                </c:pt>
                <c:pt idx="141">
                  <c:v>1233.45</c:v>
                </c:pt>
                <c:pt idx="142">
                  <c:v>1276.25</c:v>
                </c:pt>
                <c:pt idx="143">
                  <c:v>1462.7239999999999</c:v>
                </c:pt>
                <c:pt idx="144">
                  <c:v>1545.09</c:v>
                </c:pt>
                <c:pt idx="145">
                  <c:v>2249.6400000000003</c:v>
                </c:pt>
                <c:pt idx="146">
                  <c:v>2786.35</c:v>
                </c:pt>
                <c:pt idx="147">
                  <c:v>2821.4050000000002</c:v>
                </c:pt>
                <c:pt idx="148">
                  <c:v>3122.78</c:v>
                </c:pt>
                <c:pt idx="149">
                  <c:v>5365.43</c:v>
                </c:pt>
                <c:pt idx="150">
                  <c:v>7132.18</c:v>
                </c:pt>
                <c:pt idx="151">
                  <c:v>7176.12</c:v>
                </c:pt>
                <c:pt idx="152">
                  <c:v>8788.81</c:v>
                </c:pt>
                <c:pt idx="153">
                  <c:v>12748.86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23-BE4B-ABF6-5683D5FDE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axId val="1145982079"/>
        <c:axId val="1149065567"/>
      </c:barChart>
      <c:catAx>
        <c:axId val="114598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9065567"/>
        <c:crosses val="autoZero"/>
        <c:auto val="1"/>
        <c:lblAlgn val="ctr"/>
        <c:lblOffset val="100"/>
        <c:noMultiLvlLbl val="0"/>
      </c:catAx>
      <c:valAx>
        <c:axId val="1149065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5982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[Superstore-Dashboard-v5.5.xlsm] Pivot Tables!Сводная таблица13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 Pivot Tables'!$G$117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 Pivot Tables'!$E$118:$F$215</c:f>
              <c:multiLvlStrCache>
                <c:ptCount val="98"/>
                <c:lvl>
                  <c:pt idx="0">
                    <c:v>Tamara Chand</c:v>
                  </c:pt>
                  <c:pt idx="1">
                    <c:v>Ken Black</c:v>
                  </c:pt>
                  <c:pt idx="2">
                    <c:v>Emily Ducich</c:v>
                  </c:pt>
                  <c:pt idx="3">
                    <c:v>Darren Budd</c:v>
                  </c:pt>
                  <c:pt idx="4">
                    <c:v>Karen Daniels</c:v>
                  </c:pt>
                  <c:pt idx="5">
                    <c:v>Tanja Norvell</c:v>
                  </c:pt>
                  <c:pt idx="6">
                    <c:v>Michelle Ellison</c:v>
                  </c:pt>
                  <c:pt idx="7">
                    <c:v>Sanjit Jacobs</c:v>
                  </c:pt>
                  <c:pt idx="8">
                    <c:v>Roy Phan</c:v>
                  </c:pt>
                  <c:pt idx="9">
                    <c:v>Craig Yedwab</c:v>
                  </c:pt>
                  <c:pt idx="10">
                    <c:v>Jill Matthias</c:v>
                  </c:pt>
                  <c:pt idx="11">
                    <c:v>Eric Barreto</c:v>
                  </c:pt>
                  <c:pt idx="12">
                    <c:v>Elpida Rittenbach</c:v>
                  </c:pt>
                  <c:pt idx="13">
                    <c:v>Linda Southworth</c:v>
                  </c:pt>
                  <c:pt idx="14">
                    <c:v>Julia Dunbar</c:v>
                  </c:pt>
                  <c:pt idx="15">
                    <c:v>Ed Ludwig</c:v>
                  </c:pt>
                  <c:pt idx="16">
                    <c:v>Steve Nguyen</c:v>
                  </c:pt>
                  <c:pt idx="17">
                    <c:v>Katrina Willman</c:v>
                  </c:pt>
                  <c:pt idx="18">
                    <c:v>Valerie Takahito</c:v>
                  </c:pt>
                  <c:pt idx="19">
                    <c:v>Steven Ward</c:v>
                  </c:pt>
                  <c:pt idx="20">
                    <c:v>Jim Sink</c:v>
                  </c:pt>
                  <c:pt idx="21">
                    <c:v>Doug Bickford</c:v>
                  </c:pt>
                  <c:pt idx="22">
                    <c:v>Bill Eplett</c:v>
                  </c:pt>
                  <c:pt idx="23">
                    <c:v>Sean Wendt</c:v>
                  </c:pt>
                  <c:pt idx="24">
                    <c:v>Rob Dowd</c:v>
                  </c:pt>
                  <c:pt idx="25">
                    <c:v>Nathan Mautz</c:v>
                  </c:pt>
                  <c:pt idx="26">
                    <c:v>John Dryer</c:v>
                  </c:pt>
                  <c:pt idx="27">
                    <c:v>Harold Dahlen</c:v>
                  </c:pt>
                  <c:pt idx="28">
                    <c:v>Adam Hart</c:v>
                  </c:pt>
                  <c:pt idx="29">
                    <c:v>Carl Ludwig</c:v>
                  </c:pt>
                  <c:pt idx="30">
                    <c:v>Patrick Ryan</c:v>
                  </c:pt>
                  <c:pt idx="31">
                    <c:v>Amy Cox</c:v>
                  </c:pt>
                  <c:pt idx="32">
                    <c:v>Chad Sievert</c:v>
                  </c:pt>
                  <c:pt idx="33">
                    <c:v>Victoria Pisteka</c:v>
                  </c:pt>
                  <c:pt idx="34">
                    <c:v>John Grady</c:v>
                  </c:pt>
                  <c:pt idx="35">
                    <c:v>Pamela Coakley</c:v>
                  </c:pt>
                  <c:pt idx="36">
                    <c:v>Logan Haushalter</c:v>
                  </c:pt>
                  <c:pt idx="37">
                    <c:v>Yana Sorensen</c:v>
                  </c:pt>
                  <c:pt idx="38">
                    <c:v>Grant Thornton</c:v>
                  </c:pt>
                  <c:pt idx="39">
                    <c:v>Max Ludwig</c:v>
                  </c:pt>
                  <c:pt idx="40">
                    <c:v>Jonathan Doherty</c:v>
                  </c:pt>
                  <c:pt idx="41">
                    <c:v>Ted Butterfield</c:v>
                  </c:pt>
                  <c:pt idx="42">
                    <c:v>Caroline Jumper</c:v>
                  </c:pt>
                  <c:pt idx="43">
                    <c:v>Susan MacKendrick</c:v>
                  </c:pt>
                  <c:pt idx="44">
                    <c:v>Rick Duston</c:v>
                  </c:pt>
                  <c:pt idx="45">
                    <c:v>Lela Donovan</c:v>
                  </c:pt>
                  <c:pt idx="46">
                    <c:v>Justin MacKendrick</c:v>
                  </c:pt>
                  <c:pt idx="47">
                    <c:v>Karen Carlisle</c:v>
                  </c:pt>
                  <c:pt idx="48">
                    <c:v>Lauren Leatherbury</c:v>
                  </c:pt>
                  <c:pt idx="49">
                    <c:v>Maribeth Dona</c:v>
                  </c:pt>
                  <c:pt idx="50">
                    <c:v>Julie Prescott</c:v>
                  </c:pt>
                  <c:pt idx="51">
                    <c:v>Catherine Glotzbach</c:v>
                  </c:pt>
                  <c:pt idx="52">
                    <c:v>Helen Wasserman</c:v>
                  </c:pt>
                  <c:pt idx="53">
                    <c:v>Sam Craven</c:v>
                  </c:pt>
                  <c:pt idx="54">
                    <c:v>Joni Blumstein</c:v>
                  </c:pt>
                  <c:pt idx="55">
                    <c:v>Arthur Prichep</c:v>
                  </c:pt>
                  <c:pt idx="56">
                    <c:v>Philip Fox</c:v>
                  </c:pt>
                  <c:pt idx="57">
                    <c:v>Dean Katz</c:v>
                  </c:pt>
                  <c:pt idx="58">
                    <c:v>Michelle Arnett</c:v>
                  </c:pt>
                  <c:pt idx="59">
                    <c:v>Pierre Wener</c:v>
                  </c:pt>
                  <c:pt idx="60">
                    <c:v>Skye Norling</c:v>
                  </c:pt>
                  <c:pt idx="61">
                    <c:v>Edward Becker</c:v>
                  </c:pt>
                  <c:pt idx="62">
                    <c:v>Larry Hughes</c:v>
                  </c:pt>
                  <c:pt idx="63">
                    <c:v>Denise Leinenbach</c:v>
                  </c:pt>
                  <c:pt idx="64">
                    <c:v>Gary Hwang</c:v>
                  </c:pt>
                  <c:pt idx="65">
                    <c:v>Carol Triggs</c:v>
                  </c:pt>
                  <c:pt idx="66">
                    <c:v>Penelope Sewall</c:v>
                  </c:pt>
                  <c:pt idx="67">
                    <c:v>Sandra Glassco</c:v>
                  </c:pt>
                  <c:pt idx="68">
                    <c:v>Luke Schmidt</c:v>
                  </c:pt>
                  <c:pt idx="69">
                    <c:v>Edward Nazzal</c:v>
                  </c:pt>
                  <c:pt idx="70">
                    <c:v>Alex Russell</c:v>
                  </c:pt>
                  <c:pt idx="71">
                    <c:v>Susan Gilcrest</c:v>
                  </c:pt>
                  <c:pt idx="72">
                    <c:v>Carl Jackson</c:v>
                  </c:pt>
                  <c:pt idx="73">
                    <c:v>Lena Radford</c:v>
                  </c:pt>
                  <c:pt idx="74">
                    <c:v>Dianna Wilson</c:v>
                  </c:pt>
                  <c:pt idx="75">
                    <c:v>Benjamin Venier</c:v>
                  </c:pt>
                  <c:pt idx="76">
                    <c:v>Delfina Latchford</c:v>
                  </c:pt>
                  <c:pt idx="77">
                    <c:v>Bobby Elias</c:v>
                  </c:pt>
                  <c:pt idx="78">
                    <c:v>Anthony Garverick</c:v>
                  </c:pt>
                  <c:pt idx="79">
                    <c:v>Mark Packer</c:v>
                  </c:pt>
                  <c:pt idx="80">
                    <c:v>Christina Vanderzanden</c:v>
                  </c:pt>
                  <c:pt idx="81">
                    <c:v>Sam Zeldin</c:v>
                  </c:pt>
                  <c:pt idx="82">
                    <c:v>Eric Hoffmann</c:v>
                  </c:pt>
                  <c:pt idx="83">
                    <c:v>Tom Prescott</c:v>
                  </c:pt>
                  <c:pt idx="84">
                    <c:v>Barbara Fisher</c:v>
                  </c:pt>
                  <c:pt idx="85">
                    <c:v>Eric Barreto</c:v>
                  </c:pt>
                  <c:pt idx="86">
                    <c:v>Anna Andreadi</c:v>
                  </c:pt>
                  <c:pt idx="87">
                    <c:v>Chad McGuire</c:v>
                  </c:pt>
                  <c:pt idx="88">
                    <c:v>Pauline Chand</c:v>
                  </c:pt>
                  <c:pt idx="89">
                    <c:v>Anthony Rawles</c:v>
                  </c:pt>
                  <c:pt idx="90">
                    <c:v>Nora Paige</c:v>
                  </c:pt>
                  <c:pt idx="91">
                    <c:v>Clytie Kelty</c:v>
                  </c:pt>
                  <c:pt idx="92">
                    <c:v>Victoria Brennan</c:v>
                  </c:pt>
                  <c:pt idx="93">
                    <c:v>Dennis Pardue</c:v>
                  </c:pt>
                  <c:pt idx="94">
                    <c:v>Erica Hackney</c:v>
                  </c:pt>
                  <c:pt idx="95">
                    <c:v>Dave Poirier</c:v>
                  </c:pt>
                  <c:pt idx="96">
                    <c:v>Mike Kennedy</c:v>
                  </c:pt>
                  <c:pt idx="97">
                    <c:v>Deborah Brumfield</c:v>
                  </c:pt>
                </c:lvl>
                <c:lvl>
                  <c:pt idx="0">
                    <c:v>Consumer</c:v>
                  </c:pt>
                  <c:pt idx="20">
                    <c:v>Corporate</c:v>
                  </c:pt>
                  <c:pt idx="48">
                    <c:v>Home Office</c:v>
                  </c:pt>
                  <c:pt idx="73">
                    <c:v>Small Business</c:v>
                  </c:pt>
                </c:lvl>
              </c:multiLvlStrCache>
            </c:multiLvlStrRef>
          </c:cat>
          <c:val>
            <c:numRef>
              <c:f>' Pivot Tables'!$G$118:$G$215</c:f>
              <c:numCache>
                <c:formatCode>General</c:formatCode>
                <c:ptCount val="98"/>
                <c:pt idx="0">
                  <c:v>-1124.48</c:v>
                </c:pt>
                <c:pt idx="1">
                  <c:v>-205.29</c:v>
                </c:pt>
                <c:pt idx="2">
                  <c:v>-139.4958</c:v>
                </c:pt>
                <c:pt idx="3">
                  <c:v>-64.239999999999995</c:v>
                </c:pt>
                <c:pt idx="4">
                  <c:v>-50.86</c:v>
                </c:pt>
                <c:pt idx="5">
                  <c:v>-30.19</c:v>
                </c:pt>
                <c:pt idx="6">
                  <c:v>4.41</c:v>
                </c:pt>
                <c:pt idx="7">
                  <c:v>11.83</c:v>
                </c:pt>
                <c:pt idx="8">
                  <c:v>20</c:v>
                </c:pt>
                <c:pt idx="9">
                  <c:v>28.24</c:v>
                </c:pt>
                <c:pt idx="10">
                  <c:v>38.089999999999996</c:v>
                </c:pt>
                <c:pt idx="11">
                  <c:v>54.598050000000008</c:v>
                </c:pt>
                <c:pt idx="12">
                  <c:v>75.521999999999991</c:v>
                </c:pt>
                <c:pt idx="13">
                  <c:v>96.539999999999992</c:v>
                </c:pt>
                <c:pt idx="14">
                  <c:v>109.29</c:v>
                </c:pt>
                <c:pt idx="15">
                  <c:v>111.58799999999999</c:v>
                </c:pt>
                <c:pt idx="16">
                  <c:v>483.95299999999997</c:v>
                </c:pt>
                <c:pt idx="17">
                  <c:v>723.33300000000008</c:v>
                </c:pt>
                <c:pt idx="18">
                  <c:v>6998.84</c:v>
                </c:pt>
                <c:pt idx="19">
                  <c:v>7176.12</c:v>
                </c:pt>
                <c:pt idx="20">
                  <c:v>-969.0483660000001</c:v>
                </c:pt>
                <c:pt idx="21">
                  <c:v>-741.78</c:v>
                </c:pt>
                <c:pt idx="22">
                  <c:v>-577.47989999999993</c:v>
                </c:pt>
                <c:pt idx="23">
                  <c:v>-522.59</c:v>
                </c:pt>
                <c:pt idx="24">
                  <c:v>-293.13</c:v>
                </c:pt>
                <c:pt idx="25">
                  <c:v>-175.47</c:v>
                </c:pt>
                <c:pt idx="26">
                  <c:v>-175.2</c:v>
                </c:pt>
                <c:pt idx="27">
                  <c:v>-170.87</c:v>
                </c:pt>
                <c:pt idx="28">
                  <c:v>-100.336</c:v>
                </c:pt>
                <c:pt idx="29">
                  <c:v>-46.03</c:v>
                </c:pt>
                <c:pt idx="30">
                  <c:v>-26.451499999999996</c:v>
                </c:pt>
                <c:pt idx="31">
                  <c:v>-24.88</c:v>
                </c:pt>
                <c:pt idx="32">
                  <c:v>-20.21</c:v>
                </c:pt>
                <c:pt idx="33">
                  <c:v>-4.8459000000000003</c:v>
                </c:pt>
                <c:pt idx="34">
                  <c:v>-2.64</c:v>
                </c:pt>
                <c:pt idx="35">
                  <c:v>0.8460000000000012</c:v>
                </c:pt>
                <c:pt idx="36">
                  <c:v>33.779999999999987</c:v>
                </c:pt>
                <c:pt idx="37">
                  <c:v>34.68</c:v>
                </c:pt>
                <c:pt idx="38">
                  <c:v>128.11000000000001</c:v>
                </c:pt>
                <c:pt idx="39">
                  <c:v>160.58000000000001</c:v>
                </c:pt>
                <c:pt idx="40">
                  <c:v>179.2</c:v>
                </c:pt>
                <c:pt idx="41">
                  <c:v>341.26700000000005</c:v>
                </c:pt>
                <c:pt idx="42">
                  <c:v>368.79</c:v>
                </c:pt>
                <c:pt idx="43">
                  <c:v>669.976</c:v>
                </c:pt>
                <c:pt idx="44">
                  <c:v>1088.58</c:v>
                </c:pt>
                <c:pt idx="45">
                  <c:v>1462.7239999999999</c:v>
                </c:pt>
                <c:pt idx="46">
                  <c:v>5170.58</c:v>
                </c:pt>
                <c:pt idx="47">
                  <c:v>12748.86</c:v>
                </c:pt>
                <c:pt idx="48">
                  <c:v>-8454.7623999999996</c:v>
                </c:pt>
                <c:pt idx="49">
                  <c:v>-1446.03</c:v>
                </c:pt>
                <c:pt idx="50">
                  <c:v>-775.34999999999991</c:v>
                </c:pt>
                <c:pt idx="51">
                  <c:v>-403.74</c:v>
                </c:pt>
                <c:pt idx="52">
                  <c:v>-214.15299999999999</c:v>
                </c:pt>
                <c:pt idx="53">
                  <c:v>-147.65999999999997</c:v>
                </c:pt>
                <c:pt idx="54">
                  <c:v>-133.06</c:v>
                </c:pt>
                <c:pt idx="55">
                  <c:v>-131.27000000000001</c:v>
                </c:pt>
                <c:pt idx="56">
                  <c:v>-87.34</c:v>
                </c:pt>
                <c:pt idx="57">
                  <c:v>-79.959999999999994</c:v>
                </c:pt>
                <c:pt idx="58">
                  <c:v>-72.53</c:v>
                </c:pt>
                <c:pt idx="59">
                  <c:v>-71.046999999999997</c:v>
                </c:pt>
                <c:pt idx="60">
                  <c:v>-25.22</c:v>
                </c:pt>
                <c:pt idx="61">
                  <c:v>-9.1899999999999977</c:v>
                </c:pt>
                <c:pt idx="62">
                  <c:v>11.38</c:v>
                </c:pt>
                <c:pt idx="63">
                  <c:v>29.68</c:v>
                </c:pt>
                <c:pt idx="64">
                  <c:v>55.21</c:v>
                </c:pt>
                <c:pt idx="65">
                  <c:v>146.166</c:v>
                </c:pt>
                <c:pt idx="66">
                  <c:v>760.79</c:v>
                </c:pt>
                <c:pt idx="67">
                  <c:v>782.47</c:v>
                </c:pt>
                <c:pt idx="68">
                  <c:v>981.48099999999999</c:v>
                </c:pt>
                <c:pt idx="69">
                  <c:v>1382.4064999999998</c:v>
                </c:pt>
                <c:pt idx="70">
                  <c:v>1464.8670000000002</c:v>
                </c:pt>
                <c:pt idx="71">
                  <c:v>1689.1530000000002</c:v>
                </c:pt>
                <c:pt idx="72">
                  <c:v>2644.5600000000004</c:v>
                </c:pt>
                <c:pt idx="73">
                  <c:v>-1083.1399999999999</c:v>
                </c:pt>
                <c:pt idx="74">
                  <c:v>-173.66</c:v>
                </c:pt>
                <c:pt idx="75">
                  <c:v>-123.07</c:v>
                </c:pt>
                <c:pt idx="76">
                  <c:v>-93.87</c:v>
                </c:pt>
                <c:pt idx="77">
                  <c:v>-72.22999999999999</c:v>
                </c:pt>
                <c:pt idx="78">
                  <c:v>-62.46</c:v>
                </c:pt>
                <c:pt idx="79">
                  <c:v>-46.68</c:v>
                </c:pt>
                <c:pt idx="80">
                  <c:v>-43.21</c:v>
                </c:pt>
                <c:pt idx="81">
                  <c:v>-32.270000000000003</c:v>
                </c:pt>
                <c:pt idx="82">
                  <c:v>-30.406499999999994</c:v>
                </c:pt>
                <c:pt idx="83">
                  <c:v>-18.809999999999999</c:v>
                </c:pt>
                <c:pt idx="84">
                  <c:v>-16.491000000000014</c:v>
                </c:pt>
                <c:pt idx="85">
                  <c:v>-10.060000000000002</c:v>
                </c:pt>
                <c:pt idx="86">
                  <c:v>-9.7999999999998977E-2</c:v>
                </c:pt>
                <c:pt idx="87">
                  <c:v>0.64600000000000002</c:v>
                </c:pt>
                <c:pt idx="88">
                  <c:v>2.490000000000002</c:v>
                </c:pt>
                <c:pt idx="89">
                  <c:v>78.62</c:v>
                </c:pt>
                <c:pt idx="90">
                  <c:v>162.18</c:v>
                </c:pt>
                <c:pt idx="91">
                  <c:v>188.92000000000002</c:v>
                </c:pt>
                <c:pt idx="92">
                  <c:v>748.52</c:v>
                </c:pt>
                <c:pt idx="93">
                  <c:v>1298.232</c:v>
                </c:pt>
                <c:pt idx="94">
                  <c:v>1744.44</c:v>
                </c:pt>
                <c:pt idx="95">
                  <c:v>2705.875</c:v>
                </c:pt>
                <c:pt idx="96">
                  <c:v>2716.04</c:v>
                </c:pt>
                <c:pt idx="97">
                  <c:v>9586.0999999999985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A5-8440-B5AA-D05F6A45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11"/>
        <c:axId val="970609135"/>
        <c:axId val="908504367"/>
      </c:barChart>
      <c:catAx>
        <c:axId val="9706091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8504367"/>
        <c:crossesAt val="-3000"/>
        <c:auto val="1"/>
        <c:lblAlgn val="ctr"/>
        <c:lblOffset val="100"/>
        <c:noMultiLvlLbl val="0"/>
      </c:catAx>
      <c:valAx>
        <c:axId val="908504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70609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  <cx:data id="1">
      <cx:strDim type="cat">
        <cx:f>_xlchart.v1.0</cx:f>
      </cx:strDim>
      <cx:numDim type="size">
        <cx:f>_xlchart.v1.4</cx:f>
      </cx:numDim>
    </cx:data>
  </cx:chartData>
  <cx:chart>
    <cx:plotArea>
      <cx:plotAreaRegion>
        <cx:series layoutId="treemap" uniqueId="{5AF59A6C-255A-384E-AEC5-4AD8A9EB19CB}" formatIdx="0">
          <cx:tx>
            <cx:txData>
              <cx:f>_xlchart.v1.1</cx:f>
              <cx:v>Сумма по полю Sales</cx:v>
            </cx:txData>
          </cx:tx>
          <cx:spPr>
            <a:ln>
              <a:noFill/>
            </a:ln>
          </cx:spPr>
          <cx:dataLabels>
            <cx:numFmt formatCode="$# ##0,00" sourceLinked="0"/>
            <cx:visibility seriesName="0" categoryName="1" value="1"/>
          </cx:dataLabels>
          <cx:dataId val="0"/>
          <cx:layoutPr>
            <cx:parentLabelLayout val="overlapping"/>
          </cx:layoutPr>
        </cx:series>
        <cx:series layoutId="treemap" hidden="1" uniqueId="{00000002-3D4B-884A-BA9D-932CBFFF867D}" formatIdx="1">
          <cx:tx>
            <cx:txData>
              <cx:f>_xlchart.v1.3</cx:f>
              <cx:v>Сумма по полю Profit</cx:v>
            </cx:txData>
          </cx:tx>
          <cx:dataId val="1"/>
          <cx:layoutPr>
            <cx:parentLabelLayout val="overlapping"/>
          </cx:layoutPr>
        </cx:series>
      </cx:plotAreaRegion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image" Target="../media/image7.emf"/><Relationship Id="rId3" Type="http://schemas.openxmlformats.org/officeDocument/2006/relationships/image" Target="../media/image2.emf"/><Relationship Id="rId7" Type="http://schemas.openxmlformats.org/officeDocument/2006/relationships/chart" Target="../charts/chart3.xml"/><Relationship Id="rId12" Type="http://schemas.openxmlformats.org/officeDocument/2006/relationships/image" Target="../media/image6.emf"/><Relationship Id="rId2" Type="http://schemas.openxmlformats.org/officeDocument/2006/relationships/image" Target="../media/image1.png"/><Relationship Id="rId1" Type="http://schemas.openxmlformats.org/officeDocument/2006/relationships/hyperlink" Target="https://leftjoin.ru/" TargetMode="External"/><Relationship Id="rId6" Type="http://schemas.openxmlformats.org/officeDocument/2006/relationships/chart" Target="../charts/chart2.xml"/><Relationship Id="rId11" Type="http://schemas.openxmlformats.org/officeDocument/2006/relationships/image" Target="../media/image5.emf"/><Relationship Id="rId5" Type="http://schemas.openxmlformats.org/officeDocument/2006/relationships/chart" Target="../charts/chart1.xml"/><Relationship Id="rId10" Type="http://schemas.openxmlformats.org/officeDocument/2006/relationships/image" Target="../media/image4.emf"/><Relationship Id="rId4" Type="http://schemas.microsoft.com/office/2014/relationships/chartEx" Target="../charts/chartEx1.xml"/><Relationship Id="rId9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893234</xdr:colOff>
      <xdr:row>0</xdr:row>
      <xdr:rowOff>0</xdr:rowOff>
    </xdr:from>
    <xdr:to>
      <xdr:col>6</xdr:col>
      <xdr:colOff>543842</xdr:colOff>
      <xdr:row>3</xdr:row>
      <xdr:rowOff>86114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E58C3017-48A6-714F-A16F-3245493084F3}"/>
            </a:ext>
          </a:extLst>
        </xdr:cNvPr>
        <xdr:cNvGrpSpPr/>
      </xdr:nvGrpSpPr>
      <xdr:grpSpPr>
        <a:xfrm>
          <a:off x="893234" y="0"/>
          <a:ext cx="7030719" cy="763447"/>
          <a:chOff x="893234" y="0"/>
          <a:chExt cx="6991914" cy="774031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FC32C6A6-B391-1B43-8B17-65D34C71FF3B}"/>
              </a:ext>
            </a:extLst>
          </xdr:cNvPr>
          <xdr:cNvSpPr txBox="1"/>
        </xdr:nvSpPr>
        <xdr:spPr>
          <a:xfrm>
            <a:off x="905934" y="0"/>
            <a:ext cx="6637138" cy="52578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28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Динамика показателей </a:t>
            </a:r>
            <a:r>
              <a:rPr lang="en-US" sz="28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Superstore</a:t>
            </a:r>
            <a:endParaRPr lang="ru-RU" sz="28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5798F3F-6BBE-7549-9BEF-76BC2687465F}"/>
              </a:ext>
            </a:extLst>
          </xdr:cNvPr>
          <xdr:cNvSpPr txBox="1"/>
        </xdr:nvSpPr>
        <xdr:spPr>
          <a:xfrm>
            <a:off x="893234" y="496006"/>
            <a:ext cx="6991914" cy="278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2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Дашборд позволяет посмотреть, откуда прибыль приходит в компанию и где теряются деньги.</a:t>
            </a:r>
          </a:p>
        </xdr:txBody>
      </xdr:sp>
    </xdr:grpSp>
    <xdr:clientData/>
  </xdr:twoCellAnchor>
  <xdr:twoCellAnchor editAs="oneCell">
    <xdr:from>
      <xdr:col>0</xdr:col>
      <xdr:colOff>194735</xdr:colOff>
      <xdr:row>0</xdr:row>
      <xdr:rowOff>145344</xdr:rowOff>
    </xdr:from>
    <xdr:to>
      <xdr:col>0</xdr:col>
      <xdr:colOff>817035</xdr:colOff>
      <xdr:row>2</xdr:row>
      <xdr:rowOff>192334</xdr:rowOff>
    </xdr:to>
    <xdr:pic>
      <xdr:nvPicPr>
        <xdr:cNvPr id="5" name="Рисунок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2593D1-5D68-7946-8650-D65B9091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4735" y="145344"/>
          <a:ext cx="622300" cy="530296"/>
        </a:xfrm>
        <a:prstGeom prst="rect">
          <a:avLst/>
        </a:prstGeom>
      </xdr:spPr>
    </xdr:pic>
    <xdr:clientData/>
  </xdr:twoCellAnchor>
  <xdr:oneCellAnchor>
    <xdr:from>
      <xdr:col>0</xdr:col>
      <xdr:colOff>88900</xdr:colOff>
      <xdr:row>5</xdr:row>
      <xdr:rowOff>76200</xdr:rowOff>
    </xdr:from>
    <xdr:ext cx="750014" cy="46378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42CDD5A-765D-A946-8432-294779709365}"/>
            </a:ext>
          </a:extLst>
        </xdr:cNvPr>
        <xdr:cNvSpPr txBox="1"/>
      </xdr:nvSpPr>
      <xdr:spPr>
        <a:xfrm>
          <a:off x="88900" y="1168400"/>
          <a:ext cx="750014" cy="4637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4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KPI</a:t>
          </a:r>
          <a:endParaRPr lang="ru-RU" sz="24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oneCellAnchor>
  <xdr:oneCellAnchor>
    <xdr:from>
      <xdr:col>0</xdr:col>
      <xdr:colOff>99484</xdr:colOff>
      <xdr:row>7</xdr:row>
      <xdr:rowOff>63500</xdr:rowOff>
    </xdr:from>
    <xdr:ext cx="6300764" cy="26257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1CCA9F6-5D43-FC45-B803-FA6CCF98DA3A}"/>
            </a:ext>
          </a:extLst>
        </xdr:cNvPr>
        <xdr:cNvSpPr txBox="1"/>
      </xdr:nvSpPr>
      <xdr:spPr>
        <a:xfrm>
          <a:off x="99484" y="1569861"/>
          <a:ext cx="6300764" cy="2625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Изменение</a:t>
          </a:r>
          <a:r>
            <a:rPr lang="ru-RU" sz="11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ключевых показателей </a:t>
          </a:r>
          <a:r>
            <a:rPr lang="en-US" sz="11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YoY </a:t>
          </a:r>
          <a:r>
            <a:rPr lang="ru-RU" sz="11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по отношению к аналогичному месяцу прошлого года</a:t>
          </a:r>
          <a:endParaRPr lang="ru-RU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oneCellAnchor>
  <xdr:twoCellAnchor>
    <xdr:from>
      <xdr:col>0</xdr:col>
      <xdr:colOff>92780</xdr:colOff>
      <xdr:row>9</xdr:row>
      <xdr:rowOff>12196</xdr:rowOff>
    </xdr:from>
    <xdr:to>
      <xdr:col>0</xdr:col>
      <xdr:colOff>1313295</xdr:colOff>
      <xdr:row>12</xdr:row>
      <xdr:rowOff>193249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7F18A2F9-EFAB-FF40-B7C5-9E976A3CCA6F}"/>
            </a:ext>
          </a:extLst>
        </xdr:cNvPr>
        <xdr:cNvGrpSpPr/>
      </xdr:nvGrpSpPr>
      <xdr:grpSpPr>
        <a:xfrm>
          <a:off x="92780" y="1874863"/>
          <a:ext cx="1220515" cy="773719"/>
          <a:chOff x="184502" y="2076450"/>
          <a:chExt cx="1220515" cy="800577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04DEBD9-5D9B-1F4A-8EED-065AB5EB4F8B}"/>
              </a:ext>
            </a:extLst>
          </xdr:cNvPr>
          <xdr:cNvSpPr txBox="1"/>
        </xdr:nvSpPr>
        <xdr:spPr>
          <a:xfrm>
            <a:off x="189635" y="2076450"/>
            <a:ext cx="1097801" cy="3245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5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Прибыль</a:t>
            </a:r>
          </a:p>
        </xdr:txBody>
      </xdr:sp>
      <xdr:sp macro="" textlink="' Pivot Tables'!B4">
        <xdr:nvSpPr>
          <xdr:cNvPr id="10" name="TextBox 9">
            <a:extLst>
              <a:ext uri="{FF2B5EF4-FFF2-40B4-BE49-F238E27FC236}">
                <a16:creationId xmlns:a16="http://schemas.microsoft.com/office/drawing/2014/main" id="{6A22D9AB-71CE-7A49-8AF7-B585E665277A}"/>
              </a:ext>
            </a:extLst>
          </xdr:cNvPr>
          <xdr:cNvSpPr txBox="1"/>
        </xdr:nvSpPr>
        <xdr:spPr>
          <a:xfrm>
            <a:off x="184502" y="2315555"/>
            <a:ext cx="1076036" cy="3517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fld id="{CABA8BE6-3CE6-1140-B13B-FA7909FD2829}" type="TxLink">
              <a:rPr lang="en-US" sz="16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pPr algn="l"/>
              <a:t>$48 177</a:t>
            </a:fld>
            <a:endParaRPr lang="en-US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3" name="Рисунок 12">
                <a:extLst>
                  <a:ext uri="{FF2B5EF4-FFF2-40B4-BE49-F238E27FC236}">
                    <a16:creationId xmlns:a16="http://schemas.microsoft.com/office/drawing/2014/main" id="{3B975CD1-1BE4-F24F-AE52-078557AE8AB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 Pivot Tables'!C4" spid="_x0000_s2512"/>
                  </a:ext>
                </a:extLst>
              </xdr:cNvPicPr>
            </xdr:nvPicPr>
            <xdr:blipFill rotWithShape="1">
              <a:blip xmlns:r="http://schemas.openxmlformats.org/officeDocument/2006/relationships" r:embed="rId3"/>
              <a:srcRect l="4286" t="7318" r="1762" b="14287"/>
              <a:stretch>
                <a:fillRect/>
              </a:stretch>
            </xdr:blipFill>
            <xdr:spPr bwMode="auto">
              <a:xfrm>
                <a:off x="254001" y="2633169"/>
                <a:ext cx="778446" cy="174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' Pivot Tables'!B4">
        <xdr:nvSpPr>
          <xdr:cNvPr id="14" name="TextBox 13">
            <a:extLst>
              <a:ext uri="{FF2B5EF4-FFF2-40B4-BE49-F238E27FC236}">
                <a16:creationId xmlns:a16="http://schemas.microsoft.com/office/drawing/2014/main" id="{770C2CF5-1D52-E248-8C33-67559620C4F0}"/>
              </a:ext>
            </a:extLst>
          </xdr:cNvPr>
          <xdr:cNvSpPr txBox="1"/>
        </xdr:nvSpPr>
        <xdr:spPr>
          <a:xfrm>
            <a:off x="931654" y="2589383"/>
            <a:ext cx="473363" cy="2876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YoY</a:t>
            </a:r>
            <a:endParaRPr lang="en-US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97816</xdr:colOff>
      <xdr:row>15</xdr:row>
      <xdr:rowOff>63488</xdr:rowOff>
    </xdr:from>
    <xdr:to>
      <xdr:col>5</xdr:col>
      <xdr:colOff>108080</xdr:colOff>
      <xdr:row>40</xdr:row>
      <xdr:rowOff>184107</xdr:rowOff>
    </xdr:to>
    <xdr:grpSp>
      <xdr:nvGrpSpPr>
        <xdr:cNvPr id="15" name="Группа 14">
          <a:extLst>
            <a:ext uri="{FF2B5EF4-FFF2-40B4-BE49-F238E27FC236}">
              <a16:creationId xmlns:a16="http://schemas.microsoft.com/office/drawing/2014/main" id="{5C9645FE-4F2F-3A4C-A932-2F4B56137B64}"/>
            </a:ext>
          </a:extLst>
        </xdr:cNvPr>
        <xdr:cNvGrpSpPr/>
      </xdr:nvGrpSpPr>
      <xdr:grpSpPr>
        <a:xfrm>
          <a:off x="97816" y="3111488"/>
          <a:ext cx="6557820" cy="5059508"/>
          <a:chOff x="97816" y="3929641"/>
          <a:chExt cx="6545879" cy="5253536"/>
        </a:xfrm>
      </xdr:grpSpPr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12" name="Диаграмма 11">
                <a:extLst>
                  <a:ext uri="{FF2B5EF4-FFF2-40B4-BE49-F238E27FC236}">
                    <a16:creationId xmlns:a16="http://schemas.microsoft.com/office/drawing/2014/main" id="{F0487DB6-5CE6-BA4A-9F3C-77C991B0EC38}"/>
                  </a:ext>
                </a:extLst>
              </xdr:cNvPr>
              <xdr:cNvGraphicFramePr/>
            </xdr:nvGraphicFramePr>
            <xdr:xfrm>
              <a:off x="119625" y="4430001"/>
              <a:ext cx="6524070" cy="475317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9625" y="4430001"/>
                <a:ext cx="6524070" cy="475317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ru-RU" sz="1100"/>
  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  </a:r>
              </a:p>
            </xdr:txBody>
          </xdr:sp>
        </mc:Fallback>
      </mc:AlternateContent>
      <xdr:grpSp>
        <xdr:nvGrpSpPr>
          <xdr:cNvPr id="11" name="Группа 10">
            <a:extLst>
              <a:ext uri="{FF2B5EF4-FFF2-40B4-BE49-F238E27FC236}">
                <a16:creationId xmlns:a16="http://schemas.microsoft.com/office/drawing/2014/main" id="{58CFD807-E59F-2C45-928D-B71B9596542B}"/>
              </a:ext>
            </a:extLst>
          </xdr:cNvPr>
          <xdr:cNvGrpSpPr/>
        </xdr:nvGrpSpPr>
        <xdr:grpSpPr>
          <a:xfrm>
            <a:off x="97816" y="3929641"/>
            <a:ext cx="3602208" cy="494057"/>
            <a:chOff x="97816" y="3929641"/>
            <a:chExt cx="3602208" cy="494057"/>
          </a:xfrm>
        </xdr:grpSpPr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451C25A-BC2B-0041-A43E-31A4DBB4E137}"/>
                </a:ext>
              </a:extLst>
            </xdr:cNvPr>
            <xdr:cNvSpPr txBox="1"/>
          </xdr:nvSpPr>
          <xdr:spPr>
            <a:xfrm>
              <a:off x="97816" y="3929641"/>
              <a:ext cx="1732910" cy="3245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l"/>
              <a:r>
                <a:rPr lang="ru-RU" sz="1500" b="1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Топ</a:t>
              </a:r>
              <a:r>
                <a:rPr lang="ru-RU" sz="1500" b="1" baseline="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 Провинций</a:t>
              </a:r>
              <a:endParaRPr lang="ru-RU" sz="15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F1593C60-7124-884D-8DB3-1811EE32432E}"/>
                </a:ext>
              </a:extLst>
            </xdr:cNvPr>
            <xdr:cNvSpPr txBox="1"/>
          </xdr:nvSpPr>
          <xdr:spPr>
            <a:xfrm>
              <a:off x="114299" y="4168885"/>
              <a:ext cx="3585725" cy="2548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ru-RU" sz="105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Размер прямоугольника</a:t>
              </a:r>
              <a:r>
                <a:rPr lang="ru-RU" sz="1050" baseline="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 соответствует объему продаж</a:t>
              </a:r>
              <a:endParaRPr lang="ru-RU" sz="105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</xdr:grpSp>
    <xdr:clientData/>
  </xdr:twoCellAnchor>
  <xdr:twoCellAnchor>
    <xdr:from>
      <xdr:col>5</xdr:col>
      <xdr:colOff>531091</xdr:colOff>
      <xdr:row>17</xdr:row>
      <xdr:rowOff>186670</xdr:rowOff>
    </xdr:from>
    <xdr:to>
      <xdr:col>15</xdr:col>
      <xdr:colOff>682624</xdr:colOff>
      <xdr:row>40</xdr:row>
      <xdr:rowOff>117397</xdr:rowOff>
    </xdr:to>
    <xdr:graphicFrame macro="[0]!Лист1.Update_DynamicsGraph">
      <xdr:nvGraphicFramePr>
        <xdr:cNvPr id="18" name="Диаграмма 17">
          <a:extLst>
            <a:ext uri="{FF2B5EF4-FFF2-40B4-BE49-F238E27FC236}">
              <a16:creationId xmlns:a16="http://schemas.microsoft.com/office/drawing/2014/main" id="{93B07B4C-D292-C842-A9AA-348C977F2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518679</xdr:colOff>
      <xdr:row>15</xdr:row>
      <xdr:rowOff>63488</xdr:rowOff>
    </xdr:from>
    <xdr:to>
      <xdr:col>8</xdr:col>
      <xdr:colOff>203796</xdr:colOff>
      <xdr:row>16</xdr:row>
      <xdr:rowOff>186916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2C0868B-0565-D64D-9F7C-8BB160FF668C}"/>
            </a:ext>
          </a:extLst>
        </xdr:cNvPr>
        <xdr:cNvSpPr txBox="1"/>
      </xdr:nvSpPr>
      <xdr:spPr>
        <a:xfrm>
          <a:off x="7038012" y="3153821"/>
          <a:ext cx="2161617" cy="3245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5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Динамика прибыли</a:t>
          </a:r>
        </a:p>
      </xdr:txBody>
    </xdr:sp>
    <xdr:clientData/>
  </xdr:twoCellAnchor>
  <xdr:twoCellAnchor>
    <xdr:from>
      <xdr:col>0</xdr:col>
      <xdr:colOff>92364</xdr:colOff>
      <xdr:row>41</xdr:row>
      <xdr:rowOff>43316</xdr:rowOff>
    </xdr:from>
    <xdr:to>
      <xdr:col>8</xdr:col>
      <xdr:colOff>653378</xdr:colOff>
      <xdr:row>44</xdr:row>
      <xdr:rowOff>92105</xdr:rowOff>
    </xdr:to>
    <xdr:grpSp>
      <xdr:nvGrpSpPr>
        <xdr:cNvPr id="56" name="Группа 55">
          <a:extLst>
            <a:ext uri="{FF2B5EF4-FFF2-40B4-BE49-F238E27FC236}">
              <a16:creationId xmlns:a16="http://schemas.microsoft.com/office/drawing/2014/main" id="{3746E929-3146-924F-9711-DE7E6037383C}"/>
            </a:ext>
          </a:extLst>
        </xdr:cNvPr>
        <xdr:cNvGrpSpPr/>
      </xdr:nvGrpSpPr>
      <xdr:grpSpPr>
        <a:xfrm>
          <a:off x="92364" y="8227760"/>
          <a:ext cx="9606236" cy="641456"/>
          <a:chOff x="92364" y="9060296"/>
          <a:chExt cx="9556847" cy="652039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86440345-F44C-C448-A3B9-1E253D314F06}"/>
              </a:ext>
            </a:extLst>
          </xdr:cNvPr>
          <xdr:cNvSpPr txBox="1"/>
        </xdr:nvSpPr>
        <xdr:spPr>
          <a:xfrm>
            <a:off x="92364" y="9060296"/>
            <a:ext cx="4200061" cy="4019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20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Анализ продуктов и клиентов</a:t>
            </a: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9D218B45-E0C3-7B42-AAC2-30278A02EA17}"/>
              </a:ext>
            </a:extLst>
          </xdr:cNvPr>
          <xdr:cNvSpPr txBox="1"/>
        </xdr:nvSpPr>
        <xdr:spPr>
          <a:xfrm>
            <a:off x="92364" y="9449763"/>
            <a:ext cx="9556847" cy="2625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Обзор наиболее эффективных</a:t>
            </a:r>
            <a:r>
              <a:rPr lang="ru-RU" sz="110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продуктов и клиентов по продажам и прибыли с группировкой по товарным категориям и клиентским сегментам</a:t>
            </a:r>
            <a:endParaRPr lang="ru-RU" sz="11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96406</xdr:colOff>
      <xdr:row>45</xdr:row>
      <xdr:rowOff>137604</xdr:rowOff>
    </xdr:from>
    <xdr:to>
      <xdr:col>5</xdr:col>
      <xdr:colOff>587375</xdr:colOff>
      <xdr:row>73</xdr:row>
      <xdr:rowOff>137603</xdr:rowOff>
    </xdr:to>
    <xdr:grpSp>
      <xdr:nvGrpSpPr>
        <xdr:cNvPr id="57" name="Группа 56">
          <a:extLst>
            <a:ext uri="{FF2B5EF4-FFF2-40B4-BE49-F238E27FC236}">
              <a16:creationId xmlns:a16="http://schemas.microsoft.com/office/drawing/2014/main" id="{493AFCC6-E3C9-4146-B87E-1F4403312D31}"/>
            </a:ext>
          </a:extLst>
        </xdr:cNvPr>
        <xdr:cNvGrpSpPr/>
      </xdr:nvGrpSpPr>
      <xdr:grpSpPr>
        <a:xfrm>
          <a:off x="96406" y="9112271"/>
          <a:ext cx="7038525" cy="5531554"/>
          <a:chOff x="96406" y="9958917"/>
          <a:chExt cx="7010302" cy="5630333"/>
        </a:xfrm>
      </xdr:grpSpPr>
      <xdr:graphicFrame macro="">
        <xdr:nvGraphicFramePr>
          <xdr:cNvPr id="22" name="Диаграмма 21">
            <a:extLst>
              <a:ext uri="{FF2B5EF4-FFF2-40B4-BE49-F238E27FC236}">
                <a16:creationId xmlns:a16="http://schemas.microsoft.com/office/drawing/2014/main" id="{B2A1C9FB-D149-E249-A3EA-A034BBA6B246}"/>
              </a:ext>
            </a:extLst>
          </xdr:cNvPr>
          <xdr:cNvGraphicFramePr>
            <a:graphicFrameLocks/>
          </xdr:cNvGraphicFramePr>
        </xdr:nvGraphicFramePr>
        <xdr:xfrm>
          <a:off x="268432" y="10400049"/>
          <a:ext cx="6838276" cy="5189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F055117-07FA-5749-9CEA-72876E5A8535}"/>
              </a:ext>
            </a:extLst>
          </xdr:cNvPr>
          <xdr:cNvSpPr txBox="1"/>
        </xdr:nvSpPr>
        <xdr:spPr>
          <a:xfrm>
            <a:off x="96406" y="9958917"/>
            <a:ext cx="3760773" cy="3245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5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Прибыль</a:t>
            </a:r>
            <a:r>
              <a:rPr lang="ru-RU" sz="1500" b="1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и продажи по категориям</a:t>
            </a:r>
            <a:endParaRPr lang="ru-RU" sz="15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5</xdr:col>
      <xdr:colOff>349251</xdr:colOff>
      <xdr:row>45</xdr:row>
      <xdr:rowOff>147129</xdr:rowOff>
    </xdr:from>
    <xdr:to>
      <xdr:col>16</xdr:col>
      <xdr:colOff>492125</xdr:colOff>
      <xdr:row>73</xdr:row>
      <xdr:rowOff>105853</xdr:rowOff>
    </xdr:to>
    <xdr:grpSp>
      <xdr:nvGrpSpPr>
        <xdr:cNvPr id="60" name="Группа 59">
          <a:extLst>
            <a:ext uri="{FF2B5EF4-FFF2-40B4-BE49-F238E27FC236}">
              <a16:creationId xmlns:a16="http://schemas.microsoft.com/office/drawing/2014/main" id="{A98B7CF6-034C-5240-AA8A-66288DA5CB91}"/>
            </a:ext>
          </a:extLst>
        </xdr:cNvPr>
        <xdr:cNvGrpSpPr/>
      </xdr:nvGrpSpPr>
      <xdr:grpSpPr>
        <a:xfrm>
          <a:off x="6896807" y="9121796"/>
          <a:ext cx="9300985" cy="5490279"/>
          <a:chOff x="6868584" y="9269962"/>
          <a:chExt cx="9223374" cy="5589058"/>
        </a:xfrm>
      </xdr:grpSpPr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FC6B25A9-EAE5-CC49-97DA-7ABA76D25D29}"/>
              </a:ext>
            </a:extLst>
          </xdr:cNvPr>
          <xdr:cNvSpPr txBox="1"/>
        </xdr:nvSpPr>
        <xdr:spPr>
          <a:xfrm>
            <a:off x="7038012" y="9269962"/>
            <a:ext cx="2914259" cy="3245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ru-RU" sz="15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Топ продуктов по прибыли</a:t>
            </a:r>
          </a:p>
        </xdr:txBody>
      </xdr:sp>
      <xdr:graphicFrame macro="">
        <xdr:nvGraphicFramePr>
          <xdr:cNvPr id="28" name="Диаграмма 27">
            <a:extLst>
              <a:ext uri="{FF2B5EF4-FFF2-40B4-BE49-F238E27FC236}">
                <a16:creationId xmlns:a16="http://schemas.microsoft.com/office/drawing/2014/main" id="{E253FFAD-FCBA-FE41-9093-AF9699D461E8}"/>
              </a:ext>
            </a:extLst>
          </xdr:cNvPr>
          <xdr:cNvGraphicFramePr>
            <a:graphicFrameLocks/>
          </xdr:cNvGraphicFramePr>
        </xdr:nvGraphicFramePr>
        <xdr:xfrm>
          <a:off x="6868584" y="9895437"/>
          <a:ext cx="9223374" cy="49635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12</xdr:col>
      <xdr:colOff>174625</xdr:colOff>
      <xdr:row>0</xdr:row>
      <xdr:rowOff>89807</xdr:rowOff>
    </xdr:from>
    <xdr:to>
      <xdr:col>14</xdr:col>
      <xdr:colOff>352425</xdr:colOff>
      <xdr:row>12</xdr:row>
      <xdr:rowOff>153304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Order-Year-Month">
              <a:extLst>
                <a:ext uri="{FF2B5EF4-FFF2-40B4-BE49-F238E27FC236}">
                  <a16:creationId xmlns:a16="http://schemas.microsoft.com/office/drawing/2014/main" id="{D762D429-7498-1A4A-9D28-8CB9BA8302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der-Year-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50069" y="89807"/>
              <a:ext cx="1842912" cy="25188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390525</xdr:colOff>
      <xdr:row>0</xdr:row>
      <xdr:rowOff>95250</xdr:rowOff>
    </xdr:from>
    <xdr:to>
      <xdr:col>16</xdr:col>
      <xdr:colOff>568325</xdr:colOff>
      <xdr:row>12</xdr:row>
      <xdr:rowOff>158747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Region">
              <a:extLst>
                <a:ext uri="{FF2B5EF4-FFF2-40B4-BE49-F238E27FC236}">
                  <a16:creationId xmlns:a16="http://schemas.microsoft.com/office/drawing/2014/main" id="{13B94D7C-3208-BF48-9DB8-0EFC2628BF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28775" y="9525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75</xdr:row>
      <xdr:rowOff>115360</xdr:rowOff>
    </xdr:from>
    <xdr:to>
      <xdr:col>17</xdr:col>
      <xdr:colOff>15875</xdr:colOff>
      <xdr:row>132</xdr:row>
      <xdr:rowOff>121710</xdr:rowOff>
    </xdr:to>
    <xdr:grpSp>
      <xdr:nvGrpSpPr>
        <xdr:cNvPr id="59" name="Группа 58">
          <a:extLst>
            <a:ext uri="{FF2B5EF4-FFF2-40B4-BE49-F238E27FC236}">
              <a16:creationId xmlns:a16="http://schemas.microsoft.com/office/drawing/2014/main" id="{90343A5B-2243-6E4E-BF22-C216025660BB}"/>
            </a:ext>
          </a:extLst>
        </xdr:cNvPr>
        <xdr:cNvGrpSpPr/>
      </xdr:nvGrpSpPr>
      <xdr:grpSpPr>
        <a:xfrm>
          <a:off x="0" y="15016693"/>
          <a:ext cx="16554097" cy="11267017"/>
          <a:chOff x="0" y="15270693"/>
          <a:chExt cx="16441208" cy="11468100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D3EC33E7-52C1-814B-A77A-C0270AC64E40}"/>
              </a:ext>
            </a:extLst>
          </xdr:cNvPr>
          <xdr:cNvSpPr txBox="1"/>
        </xdr:nvSpPr>
        <xdr:spPr>
          <a:xfrm>
            <a:off x="121806" y="15270693"/>
            <a:ext cx="2805192" cy="3245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5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Топ</a:t>
            </a:r>
            <a:r>
              <a:rPr lang="ru-RU" sz="1500" b="1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клиентов по прибыли</a:t>
            </a:r>
            <a:endParaRPr lang="ru-RU" sz="15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30" name="Диаграмма 29">
            <a:extLst>
              <a:ext uri="{FF2B5EF4-FFF2-40B4-BE49-F238E27FC236}">
                <a16:creationId xmlns:a16="http://schemas.microsoft.com/office/drawing/2014/main" id="{1351F384-8B44-BD4F-9215-3654AA62431F}"/>
              </a:ext>
            </a:extLst>
          </xdr:cNvPr>
          <xdr:cNvGraphicFramePr>
            <a:graphicFrameLocks/>
          </xdr:cNvGraphicFramePr>
        </xdr:nvGraphicFramePr>
        <xdr:xfrm>
          <a:off x="0" y="15589251"/>
          <a:ext cx="16441208" cy="111495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1825419</xdr:colOff>
      <xdr:row>9</xdr:row>
      <xdr:rowOff>30337</xdr:rowOff>
    </xdr:from>
    <xdr:to>
      <xdr:col>0</xdr:col>
      <xdr:colOff>3074155</xdr:colOff>
      <xdr:row>13</xdr:row>
      <xdr:rowOff>8699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7CFB38D0-E0B3-4F46-951D-ACABA3EECF25}"/>
            </a:ext>
          </a:extLst>
        </xdr:cNvPr>
        <xdr:cNvGrpSpPr/>
      </xdr:nvGrpSpPr>
      <xdr:grpSpPr>
        <a:xfrm>
          <a:off x="1825419" y="1893004"/>
          <a:ext cx="1248736" cy="768584"/>
          <a:chOff x="184502" y="2076450"/>
          <a:chExt cx="1248736" cy="803639"/>
        </a:xfrm>
      </xdr:grpSpPr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F1EB2D83-F5FD-1947-B9D7-2E00135F9916}"/>
              </a:ext>
            </a:extLst>
          </xdr:cNvPr>
          <xdr:cNvSpPr txBox="1"/>
        </xdr:nvSpPr>
        <xdr:spPr>
          <a:xfrm>
            <a:off x="189635" y="2076450"/>
            <a:ext cx="1106841" cy="325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5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Продажи</a:t>
            </a:r>
          </a:p>
        </xdr:txBody>
      </xdr:sp>
      <xdr:sp macro="" textlink="' Pivot Tables'!H4">
        <xdr:nvSpPr>
          <xdr:cNvPr id="32" name="TextBox 31">
            <a:extLst>
              <a:ext uri="{FF2B5EF4-FFF2-40B4-BE49-F238E27FC236}">
                <a16:creationId xmlns:a16="http://schemas.microsoft.com/office/drawing/2014/main" id="{2739E0D4-1214-AE41-9637-4F97C1B0F7AE}"/>
              </a:ext>
            </a:extLst>
          </xdr:cNvPr>
          <xdr:cNvSpPr txBox="1"/>
        </xdr:nvSpPr>
        <xdr:spPr>
          <a:xfrm>
            <a:off x="184502" y="2315555"/>
            <a:ext cx="1076036" cy="3687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fld id="{09C07924-AB8F-E749-A8DA-67E293C56BCB}" type="TxLink">
              <a:rPr lang="en-US" sz="16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pPr algn="l"/>
              <a:t>$336 527</a:t>
            </a:fld>
            <a:endParaRPr lang="en-US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3" name="Рисунок 32">
                <a:extLst>
                  <a:ext uri="{FF2B5EF4-FFF2-40B4-BE49-F238E27FC236}">
                    <a16:creationId xmlns:a16="http://schemas.microsoft.com/office/drawing/2014/main" id="{DF181E60-C2FE-C540-994C-D921444852C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 Pivot Tables'!I4" spid="_x0000_s2513"/>
                  </a:ext>
                </a:extLst>
              </xdr:cNvPicPr>
            </xdr:nvPicPr>
            <xdr:blipFill rotWithShape="1">
              <a:blip xmlns:r="http://schemas.openxmlformats.org/officeDocument/2006/relationships" r:embed="rId9"/>
              <a:srcRect l="4286" t="7318" r="1762" b="14287"/>
              <a:stretch>
                <a:fillRect/>
              </a:stretch>
            </xdr:blipFill>
            <xdr:spPr bwMode="auto">
              <a:xfrm>
                <a:off x="254001" y="2633169"/>
                <a:ext cx="778446" cy="174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' Pivot Tables'!B4">
        <xdr:nvSpPr>
          <xdr:cNvPr id="34" name="TextBox 33">
            <a:extLst>
              <a:ext uri="{FF2B5EF4-FFF2-40B4-BE49-F238E27FC236}">
                <a16:creationId xmlns:a16="http://schemas.microsoft.com/office/drawing/2014/main" id="{2E279E96-BD6D-8046-AFA6-4811487008DB}"/>
              </a:ext>
            </a:extLst>
          </xdr:cNvPr>
          <xdr:cNvSpPr txBox="1"/>
        </xdr:nvSpPr>
        <xdr:spPr>
          <a:xfrm>
            <a:off x="959875" y="2589383"/>
            <a:ext cx="473363" cy="29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YoY</a:t>
            </a:r>
            <a:endParaRPr lang="en-US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1</xdr:col>
      <xdr:colOff>346772</xdr:colOff>
      <xdr:row>9</xdr:row>
      <xdr:rowOff>30337</xdr:rowOff>
    </xdr:from>
    <xdr:to>
      <xdr:col>2</xdr:col>
      <xdr:colOff>738763</xdr:colOff>
      <xdr:row>13</xdr:row>
      <xdr:rowOff>8699</xdr:rowOff>
    </xdr:to>
    <xdr:grpSp>
      <xdr:nvGrpSpPr>
        <xdr:cNvPr id="35" name="Группа 34">
          <a:extLst>
            <a:ext uri="{FF2B5EF4-FFF2-40B4-BE49-F238E27FC236}">
              <a16:creationId xmlns:a16="http://schemas.microsoft.com/office/drawing/2014/main" id="{572D63C9-F415-6242-8154-BDBB9C5887BC}"/>
            </a:ext>
          </a:extLst>
        </xdr:cNvPr>
        <xdr:cNvGrpSpPr/>
      </xdr:nvGrpSpPr>
      <xdr:grpSpPr>
        <a:xfrm>
          <a:off x="3564105" y="1893004"/>
          <a:ext cx="1224547" cy="768584"/>
          <a:chOff x="184502" y="2076450"/>
          <a:chExt cx="1220515" cy="803639"/>
        </a:xfrm>
      </xdr:grpSpPr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44C229BF-AFFA-FE4C-A592-458169FE37ED}"/>
              </a:ext>
            </a:extLst>
          </xdr:cNvPr>
          <xdr:cNvSpPr txBox="1"/>
        </xdr:nvSpPr>
        <xdr:spPr>
          <a:xfrm>
            <a:off x="189635" y="2076450"/>
            <a:ext cx="916726" cy="325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5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Заказы</a:t>
            </a:r>
          </a:p>
        </xdr:txBody>
      </xdr:sp>
      <xdr:sp macro="" textlink="' Pivot Tables'!N4">
        <xdr:nvSpPr>
          <xdr:cNvPr id="37" name="TextBox 36">
            <a:extLst>
              <a:ext uri="{FF2B5EF4-FFF2-40B4-BE49-F238E27FC236}">
                <a16:creationId xmlns:a16="http://schemas.microsoft.com/office/drawing/2014/main" id="{F8CD4A21-251D-AD41-894A-7B38B93DF659}"/>
              </a:ext>
            </a:extLst>
          </xdr:cNvPr>
          <xdr:cNvSpPr txBox="1"/>
        </xdr:nvSpPr>
        <xdr:spPr>
          <a:xfrm>
            <a:off x="184502" y="2315555"/>
            <a:ext cx="1076036" cy="3687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fld id="{9EB13349-5002-9349-A617-6117485F8B04}" type="TxLink">
              <a:rPr lang="en-US" sz="16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pPr algn="l"/>
              <a:t>108</a:t>
            </a:fld>
            <a:endPara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8" name="Рисунок 37">
                <a:extLst>
                  <a:ext uri="{FF2B5EF4-FFF2-40B4-BE49-F238E27FC236}">
                    <a16:creationId xmlns:a16="http://schemas.microsoft.com/office/drawing/2014/main" id="{6F9400BF-2289-524A-98E2-A3C6CBC04A5F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 Pivot Tables'!O4" spid="_x0000_s2514"/>
                  </a:ext>
                </a:extLst>
              </xdr:cNvPicPr>
            </xdr:nvPicPr>
            <xdr:blipFill rotWithShape="1">
              <a:blip xmlns:r="http://schemas.openxmlformats.org/officeDocument/2006/relationships" r:embed="rId10"/>
              <a:srcRect l="4286" t="7318" r="1762" b="14287"/>
              <a:stretch>
                <a:fillRect/>
              </a:stretch>
            </xdr:blipFill>
            <xdr:spPr bwMode="auto">
              <a:xfrm>
                <a:off x="254001" y="2633169"/>
                <a:ext cx="778446" cy="174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' Pivot Tables'!B4">
        <xdr:nvSpPr>
          <xdr:cNvPr id="39" name="TextBox 38">
            <a:extLst>
              <a:ext uri="{FF2B5EF4-FFF2-40B4-BE49-F238E27FC236}">
                <a16:creationId xmlns:a16="http://schemas.microsoft.com/office/drawing/2014/main" id="{B03A1333-B363-2E4F-811C-3127F8075BA0}"/>
              </a:ext>
            </a:extLst>
          </xdr:cNvPr>
          <xdr:cNvSpPr txBox="1"/>
        </xdr:nvSpPr>
        <xdr:spPr>
          <a:xfrm>
            <a:off x="931654" y="2589383"/>
            <a:ext cx="473363" cy="29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YoY</a:t>
            </a:r>
            <a:endParaRPr lang="en-US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3</xdr:col>
      <xdr:colOff>422364</xdr:colOff>
      <xdr:row>9</xdr:row>
      <xdr:rowOff>30337</xdr:rowOff>
    </xdr:from>
    <xdr:to>
      <xdr:col>5</xdr:col>
      <xdr:colOff>557348</xdr:colOff>
      <xdr:row>13</xdr:row>
      <xdr:rowOff>8699</xdr:rowOff>
    </xdr:to>
    <xdr:grpSp>
      <xdr:nvGrpSpPr>
        <xdr:cNvPr id="40" name="Группа 39">
          <a:extLst>
            <a:ext uri="{FF2B5EF4-FFF2-40B4-BE49-F238E27FC236}">
              <a16:creationId xmlns:a16="http://schemas.microsoft.com/office/drawing/2014/main" id="{843AB8DC-0D88-B049-A113-B8204F961D9D}"/>
            </a:ext>
          </a:extLst>
        </xdr:cNvPr>
        <xdr:cNvGrpSpPr/>
      </xdr:nvGrpSpPr>
      <xdr:grpSpPr>
        <a:xfrm>
          <a:off x="5304808" y="1893004"/>
          <a:ext cx="1800096" cy="768584"/>
          <a:chOff x="184502" y="2076450"/>
          <a:chExt cx="1792032" cy="803639"/>
        </a:xfrm>
      </xdr:grpSpPr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C664FAFB-406C-F54A-A598-145D91DA5A8A}"/>
              </a:ext>
            </a:extLst>
          </xdr:cNvPr>
          <xdr:cNvSpPr txBox="1"/>
        </xdr:nvSpPr>
        <xdr:spPr>
          <a:xfrm>
            <a:off x="189635" y="2076450"/>
            <a:ext cx="1786899" cy="325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5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Средняя</a:t>
            </a:r>
            <a:r>
              <a:rPr lang="ru-RU" sz="1500" b="1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скидка</a:t>
            </a:r>
            <a:endParaRPr lang="ru-RU" sz="15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 Pivot Tables'!T4">
        <xdr:nvSpPr>
          <xdr:cNvPr id="42" name="TextBox 41">
            <a:extLst>
              <a:ext uri="{FF2B5EF4-FFF2-40B4-BE49-F238E27FC236}">
                <a16:creationId xmlns:a16="http://schemas.microsoft.com/office/drawing/2014/main" id="{C53B1493-535F-0B49-9311-0E72B2CF999A}"/>
              </a:ext>
            </a:extLst>
          </xdr:cNvPr>
          <xdr:cNvSpPr txBox="1"/>
        </xdr:nvSpPr>
        <xdr:spPr>
          <a:xfrm>
            <a:off x="184502" y="2315555"/>
            <a:ext cx="1076036" cy="32308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fld id="{7D2AE184-44DF-AB49-A59C-D029CFE6B32B}" type="TxLink">
              <a:rPr lang="en-US" sz="14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pPr algn="l"/>
              <a:t>5,02%</a:t>
            </a:fld>
            <a:endParaRPr lang="en-US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43" name="Рисунок 42">
                <a:extLst>
                  <a:ext uri="{FF2B5EF4-FFF2-40B4-BE49-F238E27FC236}">
                    <a16:creationId xmlns:a16="http://schemas.microsoft.com/office/drawing/2014/main" id="{5010EC77-7DC5-AB4D-8F60-240DBD8AE371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 Pivot Tables'!U4" spid="_x0000_s2515"/>
                  </a:ext>
                </a:extLst>
              </xdr:cNvPicPr>
            </xdr:nvPicPr>
            <xdr:blipFill rotWithShape="1">
              <a:blip xmlns:r="http://schemas.openxmlformats.org/officeDocument/2006/relationships" r:embed="rId11"/>
              <a:srcRect l="4286" t="7318" r="1762" b="14287"/>
              <a:stretch>
                <a:fillRect/>
              </a:stretch>
            </xdr:blipFill>
            <xdr:spPr bwMode="auto">
              <a:xfrm>
                <a:off x="254001" y="2633169"/>
                <a:ext cx="778446" cy="174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' Pivot Tables'!B4">
        <xdr:nvSpPr>
          <xdr:cNvPr id="44" name="TextBox 43">
            <a:extLst>
              <a:ext uri="{FF2B5EF4-FFF2-40B4-BE49-F238E27FC236}">
                <a16:creationId xmlns:a16="http://schemas.microsoft.com/office/drawing/2014/main" id="{62CBA686-BAA6-C842-B732-69F6670B60F2}"/>
              </a:ext>
            </a:extLst>
          </xdr:cNvPr>
          <xdr:cNvSpPr txBox="1"/>
        </xdr:nvSpPr>
        <xdr:spPr>
          <a:xfrm>
            <a:off x="931654" y="2589383"/>
            <a:ext cx="473363" cy="29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YoY</a:t>
            </a:r>
            <a:endParaRPr lang="en-US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6</xdr:col>
      <xdr:colOff>240948</xdr:colOff>
      <xdr:row>9</xdr:row>
      <xdr:rowOff>30337</xdr:rowOff>
    </xdr:from>
    <xdr:to>
      <xdr:col>7</xdr:col>
      <xdr:colOff>632939</xdr:colOff>
      <xdr:row>13</xdr:row>
      <xdr:rowOff>8699</xdr:rowOff>
    </xdr:to>
    <xdr:grpSp>
      <xdr:nvGrpSpPr>
        <xdr:cNvPr id="45" name="Группа 44">
          <a:extLst>
            <a:ext uri="{FF2B5EF4-FFF2-40B4-BE49-F238E27FC236}">
              <a16:creationId xmlns:a16="http://schemas.microsoft.com/office/drawing/2014/main" id="{C639B26D-CB2B-8148-89B9-83D0A2598B1F}"/>
            </a:ext>
          </a:extLst>
        </xdr:cNvPr>
        <xdr:cNvGrpSpPr/>
      </xdr:nvGrpSpPr>
      <xdr:grpSpPr>
        <a:xfrm>
          <a:off x="7621059" y="1893004"/>
          <a:ext cx="1224547" cy="768584"/>
          <a:chOff x="184502" y="2076450"/>
          <a:chExt cx="1220515" cy="803639"/>
        </a:xfrm>
      </xdr:grpSpPr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048320C0-14D5-8944-8897-DB085FC88703}"/>
              </a:ext>
            </a:extLst>
          </xdr:cNvPr>
          <xdr:cNvSpPr txBox="1"/>
        </xdr:nvSpPr>
        <xdr:spPr>
          <a:xfrm>
            <a:off x="189635" y="2076450"/>
            <a:ext cx="1072409" cy="325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5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Клиенты</a:t>
            </a:r>
          </a:p>
        </xdr:txBody>
      </xdr:sp>
      <xdr:sp macro="" textlink="' Pivot Tables'!Z4">
        <xdr:nvSpPr>
          <xdr:cNvPr id="47" name="TextBox 46">
            <a:extLst>
              <a:ext uri="{FF2B5EF4-FFF2-40B4-BE49-F238E27FC236}">
                <a16:creationId xmlns:a16="http://schemas.microsoft.com/office/drawing/2014/main" id="{3F9EC200-8DA5-1746-B06A-5C71A4D9A3E5}"/>
              </a:ext>
            </a:extLst>
          </xdr:cNvPr>
          <xdr:cNvSpPr txBox="1"/>
        </xdr:nvSpPr>
        <xdr:spPr>
          <a:xfrm>
            <a:off x="184502" y="2315555"/>
            <a:ext cx="1076036" cy="355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fld id="{5856A6E4-F722-A446-9BBF-5D6DF8A95E98}" type="TxLink">
              <a:rPr lang="en-US" sz="16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pPr algn="l"/>
              <a:t>97</a:t>
            </a:fld>
            <a:endPara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48" name="Рисунок 47">
                <a:extLst>
                  <a:ext uri="{FF2B5EF4-FFF2-40B4-BE49-F238E27FC236}">
                    <a16:creationId xmlns:a16="http://schemas.microsoft.com/office/drawing/2014/main" id="{C7688277-573A-0848-993C-D69CA773C3BB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 Pivot Tables'!AA4" spid="_x0000_s2516"/>
                  </a:ext>
                </a:extLst>
              </xdr:cNvPicPr>
            </xdr:nvPicPr>
            <xdr:blipFill rotWithShape="1">
              <a:blip xmlns:r="http://schemas.openxmlformats.org/officeDocument/2006/relationships" r:embed="rId12"/>
              <a:srcRect l="4286" t="7318" r="1762" b="14287"/>
              <a:stretch>
                <a:fillRect/>
              </a:stretch>
            </xdr:blipFill>
            <xdr:spPr bwMode="auto">
              <a:xfrm>
                <a:off x="254001" y="2633169"/>
                <a:ext cx="778446" cy="174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' Pivot Tables'!B4">
        <xdr:nvSpPr>
          <xdr:cNvPr id="49" name="TextBox 48">
            <a:extLst>
              <a:ext uri="{FF2B5EF4-FFF2-40B4-BE49-F238E27FC236}">
                <a16:creationId xmlns:a16="http://schemas.microsoft.com/office/drawing/2014/main" id="{2B3119C5-4C43-F444-BF83-A92C783F0044}"/>
              </a:ext>
            </a:extLst>
          </xdr:cNvPr>
          <xdr:cNvSpPr txBox="1"/>
        </xdr:nvSpPr>
        <xdr:spPr>
          <a:xfrm>
            <a:off x="931654" y="2589383"/>
            <a:ext cx="473363" cy="29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YoY</a:t>
            </a:r>
            <a:endParaRPr lang="en-US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8</xdr:col>
      <xdr:colOff>316541</xdr:colOff>
      <xdr:row>9</xdr:row>
      <xdr:rowOff>30337</xdr:rowOff>
    </xdr:from>
    <xdr:to>
      <xdr:col>11</xdr:col>
      <xdr:colOff>117304</xdr:colOff>
      <xdr:row>13</xdr:row>
      <xdr:rowOff>8699</xdr:rowOff>
    </xdr:to>
    <xdr:grpSp>
      <xdr:nvGrpSpPr>
        <xdr:cNvPr id="50" name="Группа 49">
          <a:extLst>
            <a:ext uri="{FF2B5EF4-FFF2-40B4-BE49-F238E27FC236}">
              <a16:creationId xmlns:a16="http://schemas.microsoft.com/office/drawing/2014/main" id="{62966329-D3AB-1541-BACD-4BA556636D13}"/>
            </a:ext>
          </a:extLst>
        </xdr:cNvPr>
        <xdr:cNvGrpSpPr/>
      </xdr:nvGrpSpPr>
      <xdr:grpSpPr>
        <a:xfrm>
          <a:off x="9361763" y="1893004"/>
          <a:ext cx="2298430" cy="768584"/>
          <a:chOff x="184502" y="2076450"/>
          <a:chExt cx="2286335" cy="803639"/>
        </a:xfrm>
      </xdr:grpSpPr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847D0304-B5BB-D14E-9BF4-07E155AC3D02}"/>
              </a:ext>
            </a:extLst>
          </xdr:cNvPr>
          <xdr:cNvSpPr txBox="1"/>
        </xdr:nvSpPr>
        <xdr:spPr>
          <a:xfrm>
            <a:off x="189635" y="2076450"/>
            <a:ext cx="2281202" cy="325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5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Продажи на клиента</a:t>
            </a:r>
          </a:p>
        </xdr:txBody>
      </xdr:sp>
      <xdr:sp macro="" textlink="' Pivot Tables'!AF4">
        <xdr:nvSpPr>
          <xdr:cNvPr id="52" name="TextBox 51">
            <a:extLst>
              <a:ext uri="{FF2B5EF4-FFF2-40B4-BE49-F238E27FC236}">
                <a16:creationId xmlns:a16="http://schemas.microsoft.com/office/drawing/2014/main" id="{E08144B6-992A-CB41-9C98-23ADFE7A9CBA}"/>
              </a:ext>
            </a:extLst>
          </xdr:cNvPr>
          <xdr:cNvSpPr txBox="1"/>
        </xdr:nvSpPr>
        <xdr:spPr>
          <a:xfrm>
            <a:off x="184502" y="2315555"/>
            <a:ext cx="1076036" cy="355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fld id="{D29D1769-CDDE-264B-8364-05EB769224D6}" type="TxLink">
              <a:rPr lang="en-US" sz="16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pPr algn="l"/>
              <a:t>$3 469</a:t>
            </a:fld>
            <a:endParaRPr lang="en-US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53" name="Рисунок 52">
                <a:extLst>
                  <a:ext uri="{FF2B5EF4-FFF2-40B4-BE49-F238E27FC236}">
                    <a16:creationId xmlns:a16="http://schemas.microsoft.com/office/drawing/2014/main" id="{0E2A404B-C284-F046-BDC0-2CC1B1FAF3D4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 Pivot Tables'!AG4" spid="_x0000_s2517"/>
                  </a:ext>
                </a:extLst>
              </xdr:cNvPicPr>
            </xdr:nvPicPr>
            <xdr:blipFill rotWithShape="1">
              <a:blip xmlns:r="http://schemas.openxmlformats.org/officeDocument/2006/relationships" r:embed="rId13"/>
              <a:srcRect l="4286" t="7318" r="1762" b="14287"/>
              <a:stretch>
                <a:fillRect/>
              </a:stretch>
            </xdr:blipFill>
            <xdr:spPr bwMode="auto">
              <a:xfrm>
                <a:off x="254001" y="2633169"/>
                <a:ext cx="778446" cy="174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' Pivot Tables'!B4">
        <xdr:nvSpPr>
          <xdr:cNvPr id="54" name="TextBox 53">
            <a:extLst>
              <a:ext uri="{FF2B5EF4-FFF2-40B4-BE49-F238E27FC236}">
                <a16:creationId xmlns:a16="http://schemas.microsoft.com/office/drawing/2014/main" id="{5CE05833-1EE0-1148-9D61-068501F485D1}"/>
              </a:ext>
            </a:extLst>
          </xdr:cNvPr>
          <xdr:cNvSpPr txBox="1"/>
        </xdr:nvSpPr>
        <xdr:spPr>
          <a:xfrm>
            <a:off x="931654" y="2589383"/>
            <a:ext cx="473363" cy="29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0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YoY</a:t>
            </a:r>
            <a:endParaRPr lang="en-US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Пользователь Microsoft Office" refreshedDate="44165.810115972221" createdVersion="6" refreshedVersion="6" minRefreshableVersion="3" recordCount="8399" xr:uid="{659ECC83-DFAF-D442-871A-6D8000C1336B}">
  <cacheSource type="worksheet">
    <worksheetSource name="Таблица1"/>
  </cacheSource>
  <cacheFields count="32">
    <cacheField name="Row ID" numFmtId="0">
      <sharedItems containsSemiMixedTypes="0" containsString="0" containsNumber="1" containsInteger="1" minValue="1" maxValue="8399"/>
    </cacheField>
    <cacheField name="Order ID" numFmtId="0">
      <sharedItems containsSemiMixedTypes="0" containsString="0" containsNumber="1" containsInteger="1" minValue="3" maxValue="59973"/>
    </cacheField>
    <cacheField name="Order Date" numFmtId="14">
      <sharedItems containsSemiMixedTypes="0" containsNonDate="0" containsDate="1" containsString="0" minDate="2009-01-01T00:00:00" maxDate="2012-12-31T00:00:00" count="1418">
        <d v="2010-10-13T00:00:00"/>
        <d v="2012-10-01T00:00:00"/>
        <d v="2011-07-10T00:00:00"/>
        <d v="2010-08-28T00:00:00"/>
        <d v="2011-06-17T00:00:00"/>
        <d v="2011-03-24T00:00:00"/>
        <d v="2010-02-26T00:00:00"/>
        <d v="2010-11-23T00:00:00"/>
        <d v="2012-06-08T00:00:00"/>
        <d v="2012-08-04T00:00:00"/>
        <d v="2011-05-30T00:00:00"/>
        <d v="2009-11-25T00:00:00"/>
        <d v="2012-02-14T00:00:00"/>
        <d v="2012-04-15T00:00:00"/>
        <d v="2010-03-12T00:00:00"/>
        <d v="2011-03-09T00:00:00"/>
        <d v="2011-05-06T00:00:00"/>
        <d v="2010-12-23T00:00:00"/>
        <d v="2010-11-08T00:00:00"/>
        <d v="2012-10-21T00:00:00"/>
        <d v="2011-01-01T00:00:00"/>
        <d v="2011-10-10T00:00:00"/>
        <d v="2010-09-23T00:00:00"/>
        <d v="2011-07-19T00:00:00"/>
        <d v="2009-10-09T00:00:00"/>
        <d v="2010-12-09T00:00:00"/>
        <d v="2012-10-08T00:00:00"/>
        <d v="2012-05-02T00:00:00"/>
        <d v="2010-03-08T00:00:00"/>
        <d v="2011-05-28T00:00:00"/>
        <d v="2010-09-19T00:00:00"/>
        <d v="2011-08-31T00:00:00"/>
        <d v="2011-07-08T00:00:00"/>
        <d v="2009-01-30T00:00:00"/>
        <d v="2012-01-08T00:00:00"/>
        <d v="2010-11-07T00:00:00"/>
        <d v="2010-04-29T00:00:00"/>
        <d v="2011-12-31T00:00:00"/>
        <d v="2009-08-12T00:00:00"/>
        <d v="2011-11-12T00:00:00"/>
        <d v="2012-01-20T00:00:00"/>
        <d v="2009-03-20T00:00:00"/>
        <d v="2012-07-21T00:00:00"/>
        <d v="2012-06-12T00:00:00"/>
        <d v="2009-01-15T00:00:00"/>
        <d v="2010-06-04T00:00:00"/>
        <d v="2010-02-18T00:00:00"/>
        <d v="2011-11-16T00:00:00"/>
        <d v="2011-08-07T00:00:00"/>
        <d v="2010-06-08T00:00:00"/>
        <d v="2009-10-17T00:00:00"/>
        <d v="2011-08-28T00:00:00"/>
        <d v="2011-09-29T00:00:00"/>
        <d v="2012-05-04T00:00:00"/>
        <d v="2011-05-17T00:00:00"/>
        <d v="2009-11-17T00:00:00"/>
        <d v="2012-10-07T00:00:00"/>
        <d v="2011-08-13T00:00:00"/>
        <d v="2011-08-16T00:00:00"/>
        <d v="2009-03-04T00:00:00"/>
        <d v="2009-08-18T00:00:00"/>
        <d v="2010-11-16T00:00:00"/>
        <d v="2011-05-27T00:00:00"/>
        <d v="2010-08-23T00:00:00"/>
        <d v="2011-08-19T00:00:00"/>
        <d v="2012-01-03T00:00:00"/>
        <d v="2012-11-29T00:00:00"/>
        <d v="2012-03-17T00:00:00"/>
        <d v="2010-04-12T00:00:00"/>
        <d v="2010-08-24T00:00:00"/>
        <d v="2011-07-04T00:00:00"/>
        <d v="2010-11-10T00:00:00"/>
        <d v="2010-06-24T00:00:00"/>
        <d v="2012-09-19T00:00:00"/>
        <d v="2011-12-24T00:00:00"/>
        <d v="2012-03-23T00:00:00"/>
        <d v="2011-10-15T00:00:00"/>
        <d v="2010-08-07T00:00:00"/>
        <d v="2009-03-03T00:00:00"/>
        <d v="2010-02-09T00:00:00"/>
        <d v="2009-01-17T00:00:00"/>
        <d v="2010-08-30T00:00:00"/>
        <d v="2009-09-11T00:00:00"/>
        <d v="2009-07-16T00:00:00"/>
        <d v="2012-11-15T00:00:00"/>
        <d v="2011-09-10T00:00:00"/>
        <d v="2011-04-10T00:00:00"/>
        <d v="2011-10-09T00:00:00"/>
        <d v="2012-10-23T00:00:00"/>
        <d v="2010-01-25T00:00:00"/>
        <d v="2011-01-27T00:00:00"/>
        <d v="2009-08-27T00:00:00"/>
        <d v="2011-03-17T00:00:00"/>
        <d v="2012-06-06T00:00:00"/>
        <d v="2011-04-11T00:00:00"/>
        <d v="2012-11-06T00:00:00"/>
        <d v="2012-05-16T00:00:00"/>
        <d v="2012-04-09T00:00:00"/>
        <d v="2012-08-05T00:00:00"/>
        <d v="2009-07-22T00:00:00"/>
        <d v="2010-05-09T00:00:00"/>
        <d v="2009-02-18T00:00:00"/>
        <d v="2012-06-27T00:00:00"/>
        <d v="2010-09-30T00:00:00"/>
        <d v="2010-04-15T00:00:00"/>
        <d v="2011-09-14T00:00:00"/>
        <d v="2010-09-21T00:00:00"/>
        <d v="2010-08-17T00:00:00"/>
        <d v="2009-09-16T00:00:00"/>
        <d v="2009-06-22T00:00:00"/>
        <d v="2012-08-28T00:00:00"/>
        <d v="2011-06-07T00:00:00"/>
        <d v="2010-12-05T00:00:00"/>
        <d v="2009-06-07T00:00:00"/>
        <d v="2009-07-27T00:00:00"/>
        <d v="2011-09-05T00:00:00"/>
        <d v="2009-01-11T00:00:00"/>
        <d v="2010-08-15T00:00:00"/>
        <d v="2009-08-05T00:00:00"/>
        <d v="2011-09-17T00:00:00"/>
        <d v="2011-10-22T00:00:00"/>
        <d v="2009-11-14T00:00:00"/>
        <d v="2010-07-03T00:00:00"/>
        <d v="2012-03-15T00:00:00"/>
        <d v="2009-08-10T00:00:00"/>
        <d v="2010-04-01T00:00:00"/>
        <d v="2010-07-31T00:00:00"/>
        <d v="2009-05-29T00:00:00"/>
        <d v="2010-10-11T00:00:00"/>
        <d v="2010-05-18T00:00:00"/>
        <d v="2011-02-08T00:00:00"/>
        <d v="2010-12-07T00:00:00"/>
        <d v="2009-01-06T00:00:00"/>
        <d v="2012-03-12T00:00:00"/>
        <d v="2010-08-26T00:00:00"/>
        <d v="2011-06-20T00:00:00"/>
        <d v="2010-08-04T00:00:00"/>
        <d v="2009-08-02T00:00:00"/>
        <d v="2011-08-10T00:00:00"/>
        <d v="2010-05-06T00:00:00"/>
        <d v="2012-06-28T00:00:00"/>
        <d v="2011-03-23T00:00:00"/>
        <d v="2011-11-19T00:00:00"/>
        <d v="2012-11-26T00:00:00"/>
        <d v="2010-07-29T00:00:00"/>
        <d v="2012-05-12T00:00:00"/>
        <d v="2012-03-03T00:00:00"/>
        <d v="2010-08-20T00:00:00"/>
        <d v="2010-06-27T00:00:00"/>
        <d v="2012-10-29T00:00:00"/>
        <d v="2010-01-16T00:00:00"/>
        <d v="2012-06-29T00:00:00"/>
        <d v="2011-08-08T00:00:00"/>
        <d v="2010-02-21T00:00:00"/>
        <d v="2009-09-04T00:00:00"/>
        <d v="2009-06-21T00:00:00"/>
        <d v="2012-02-08T00:00:00"/>
        <d v="2009-03-11T00:00:00"/>
        <d v="2011-06-04T00:00:00"/>
        <d v="2012-03-02T00:00:00"/>
        <d v="2011-08-12T00:00:00"/>
        <d v="2009-09-01T00:00:00"/>
        <d v="2010-01-26T00:00:00"/>
        <d v="2011-09-02T00:00:00"/>
        <d v="2012-02-07T00:00:00"/>
        <d v="2011-03-19T00:00:00"/>
        <d v="2011-05-08T00:00:00"/>
        <d v="2009-09-25T00:00:00"/>
        <d v="2012-07-09T00:00:00"/>
        <d v="2010-01-14T00:00:00"/>
        <d v="2009-08-26T00:00:00"/>
        <d v="2009-10-08T00:00:00"/>
        <d v="2011-11-10T00:00:00"/>
        <d v="2012-01-02T00:00:00"/>
        <d v="2011-03-08T00:00:00"/>
        <d v="2009-07-02T00:00:00"/>
        <d v="2011-04-15T00:00:00"/>
        <d v="2011-11-25T00:00:00"/>
        <d v="2012-04-25T00:00:00"/>
        <d v="2011-03-26T00:00:00"/>
        <d v="2010-07-14T00:00:00"/>
        <d v="2010-10-23T00:00:00"/>
        <d v="2009-08-24T00:00:00"/>
        <d v="2011-06-09T00:00:00"/>
        <d v="2012-11-23T00:00:00"/>
        <d v="2009-05-01T00:00:00"/>
        <d v="2012-05-11T00:00:00"/>
        <d v="2010-10-15T00:00:00"/>
        <d v="2011-07-23T00:00:00"/>
        <d v="2011-07-11T00:00:00"/>
        <d v="2012-09-16T00:00:00"/>
        <d v="2009-01-16T00:00:00"/>
        <d v="2010-10-20T00:00:00"/>
        <d v="2010-05-07T00:00:00"/>
        <d v="2011-06-21T00:00:00"/>
        <d v="2010-11-24T00:00:00"/>
        <d v="2012-04-27T00:00:00"/>
        <d v="2011-07-31T00:00:00"/>
        <d v="2012-10-06T00:00:00"/>
        <d v="2010-02-06T00:00:00"/>
        <d v="2011-10-17T00:00:00"/>
        <d v="2009-08-20T00:00:00"/>
        <d v="2010-06-14T00:00:00"/>
        <d v="2010-02-27T00:00:00"/>
        <d v="2009-08-15T00:00:00"/>
        <d v="2011-05-14T00:00:00"/>
        <d v="2010-10-07T00:00:00"/>
        <d v="2009-10-23T00:00:00"/>
        <d v="2010-06-09T00:00:00"/>
        <d v="2011-01-10T00:00:00"/>
        <d v="2011-03-28T00:00:00"/>
        <d v="2010-11-22T00:00:00"/>
        <d v="2012-05-13T00:00:00"/>
        <d v="2009-11-29T00:00:00"/>
        <d v="2012-09-01T00:00:00"/>
        <d v="2012-05-21T00:00:00"/>
        <d v="2009-11-08T00:00:00"/>
        <d v="2010-08-27T00:00:00"/>
        <d v="2012-08-17T00:00:00"/>
        <d v="2012-11-09T00:00:00"/>
        <d v="2011-06-02T00:00:00"/>
        <d v="2009-02-27T00:00:00"/>
        <d v="2010-06-07T00:00:00"/>
        <d v="2012-02-17T00:00:00"/>
        <d v="2012-02-23T00:00:00"/>
        <d v="2009-10-15T00:00:00"/>
        <d v="2009-03-13T00:00:00"/>
        <d v="2009-07-07T00:00:00"/>
        <d v="2012-11-21T00:00:00"/>
        <d v="2009-03-02T00:00:00"/>
        <d v="2011-09-22T00:00:00"/>
        <d v="2011-07-21T00:00:00"/>
        <d v="2009-07-13T00:00:00"/>
        <d v="2010-03-29T00:00:00"/>
        <d v="2012-09-12T00:00:00"/>
        <d v="2010-12-22T00:00:00"/>
        <d v="2009-05-30T00:00:00"/>
        <d v="2012-12-21T00:00:00"/>
        <d v="2011-05-16T00:00:00"/>
        <d v="2010-03-07T00:00:00"/>
        <d v="2009-04-27T00:00:00"/>
        <d v="2012-04-07T00:00:00"/>
        <d v="2010-12-31T00:00:00"/>
        <d v="2010-02-02T00:00:00"/>
        <d v="2010-05-19T00:00:00"/>
        <d v="2009-03-31T00:00:00"/>
        <d v="2012-06-11T00:00:00"/>
        <d v="2010-09-01T00:00:00"/>
        <d v="2012-08-09T00:00:00"/>
        <d v="2011-08-25T00:00:00"/>
        <d v="2012-06-30T00:00:00"/>
        <d v="2011-01-17T00:00:00"/>
        <d v="2010-10-10T00:00:00"/>
        <d v="2012-06-26T00:00:00"/>
        <d v="2010-03-16T00:00:00"/>
        <d v="2010-11-13T00:00:00"/>
        <d v="2011-09-12T00:00:00"/>
        <d v="2009-11-23T00:00:00"/>
        <d v="2010-07-10T00:00:00"/>
        <d v="2009-03-06T00:00:00"/>
        <d v="2011-02-17T00:00:00"/>
        <d v="2011-06-03T00:00:00"/>
        <d v="2010-05-25T00:00:00"/>
        <d v="2012-08-30T00:00:00"/>
        <d v="2011-12-16T00:00:00"/>
        <d v="2009-12-09T00:00:00"/>
        <d v="2012-07-03T00:00:00"/>
        <d v="2010-12-24T00:00:00"/>
        <d v="2012-01-11T00:00:00"/>
        <d v="2011-10-03T00:00:00"/>
        <d v="2010-03-05T00:00:00"/>
        <d v="2011-11-05T00:00:00"/>
        <d v="2009-01-05T00:00:00"/>
        <d v="2010-11-25T00:00:00"/>
        <d v="2011-04-08T00:00:00"/>
        <d v="2010-03-31T00:00:00"/>
        <d v="2012-03-10T00:00:00"/>
        <d v="2009-02-20T00:00:00"/>
        <d v="2009-10-01T00:00:00"/>
        <d v="2012-11-01T00:00:00"/>
        <d v="2011-01-04T00:00:00"/>
        <d v="2010-06-05T00:00:00"/>
        <d v="2010-12-28T00:00:00"/>
        <d v="2012-10-10T00:00:00"/>
        <d v="2011-04-02T00:00:00"/>
        <d v="2012-04-11T00:00:00"/>
        <d v="2010-02-16T00:00:00"/>
        <d v="2010-09-24T00:00:00"/>
        <d v="2009-02-21T00:00:00"/>
        <d v="2012-11-11T00:00:00"/>
        <d v="2011-10-27T00:00:00"/>
        <d v="2009-12-16T00:00:00"/>
        <d v="2011-01-08T00:00:00"/>
        <d v="2009-03-09T00:00:00"/>
        <d v="2011-12-30T00:00:00"/>
        <d v="2009-03-29T00:00:00"/>
        <d v="2011-02-13T00:00:00"/>
        <d v="2011-01-28T00:00:00"/>
        <d v="2012-09-08T00:00:00"/>
        <d v="2009-05-18T00:00:00"/>
        <d v="2012-07-29T00:00:00"/>
        <d v="2012-04-22T00:00:00"/>
        <d v="2012-07-16T00:00:00"/>
        <d v="2012-09-22T00:00:00"/>
        <d v="2010-05-20T00:00:00"/>
        <d v="2009-12-02T00:00:00"/>
        <d v="2010-06-01T00:00:00"/>
        <d v="2010-09-25T00:00:00"/>
        <d v="2012-11-19T00:00:00"/>
        <d v="2010-12-14T00:00:00"/>
        <d v="2012-10-25T00:00:00"/>
        <d v="2010-06-17T00:00:00"/>
        <d v="2009-02-01T00:00:00"/>
        <d v="2009-06-20T00:00:00"/>
        <d v="2010-05-03T00:00:00"/>
        <d v="2009-04-07T00:00:00"/>
        <d v="2011-04-14T00:00:00"/>
        <d v="2011-07-30T00:00:00"/>
        <d v="2010-08-10T00:00:00"/>
        <d v="2009-04-06T00:00:00"/>
        <d v="2010-10-26T00:00:00"/>
        <d v="2012-05-26T00:00:00"/>
        <d v="2012-09-10T00:00:00"/>
        <d v="2011-03-16T00:00:00"/>
        <d v="2011-06-18T00:00:00"/>
        <d v="2011-01-11T00:00:00"/>
        <d v="2009-03-05T00:00:00"/>
        <d v="2009-12-14T00:00:00"/>
        <d v="2009-02-02T00:00:00"/>
        <d v="2012-03-06T00:00:00"/>
        <d v="2009-11-19T00:00:00"/>
        <d v="2010-07-24T00:00:00"/>
        <d v="2011-03-07T00:00:00"/>
        <d v="2011-10-20T00:00:00"/>
        <d v="2009-08-04T00:00:00"/>
        <d v="2010-04-28T00:00:00"/>
        <d v="2009-04-22T00:00:00"/>
        <d v="2011-12-04T00:00:00"/>
        <d v="2010-08-06T00:00:00"/>
        <d v="2011-09-15T00:00:00"/>
        <d v="2009-10-02T00:00:00"/>
        <d v="2009-03-01T00:00:00"/>
        <d v="2009-06-24T00:00:00"/>
        <d v="2011-01-16T00:00:00"/>
        <d v="2010-05-21T00:00:00"/>
        <d v="2011-05-21T00:00:00"/>
        <d v="2009-07-03T00:00:00"/>
        <d v="2009-05-27T00:00:00"/>
        <d v="2012-08-22T00:00:00"/>
        <d v="2011-01-26T00:00:00"/>
        <d v="2012-12-03T00:00:00"/>
        <d v="2010-09-06T00:00:00"/>
        <d v="2011-03-29T00:00:00"/>
        <d v="2010-12-02T00:00:00"/>
        <d v="2009-12-19T00:00:00"/>
        <d v="2011-04-29T00:00:00"/>
        <d v="2010-10-24T00:00:00"/>
        <d v="2010-05-12T00:00:00"/>
        <d v="2010-04-11T00:00:00"/>
        <d v="2009-01-24T00:00:00"/>
        <d v="2010-11-17T00:00:00"/>
        <d v="2010-09-29T00:00:00"/>
        <d v="2010-08-03T00:00:00"/>
        <d v="2011-06-13T00:00:00"/>
        <d v="2010-05-05T00:00:00"/>
        <d v="2012-10-30T00:00:00"/>
        <d v="2009-07-15T00:00:00"/>
        <d v="2012-08-07T00:00:00"/>
        <d v="2012-07-07T00:00:00"/>
        <d v="2009-03-27T00:00:00"/>
        <d v="2009-07-01T00:00:00"/>
        <d v="2010-12-11T00:00:00"/>
        <d v="2011-02-04T00:00:00"/>
        <d v="2010-09-11T00:00:00"/>
        <d v="2010-03-02T00:00:00"/>
        <d v="2009-09-15T00:00:00"/>
        <d v="2010-12-30T00:00:00"/>
        <d v="2011-07-25T00:00:00"/>
        <d v="2009-12-23T00:00:00"/>
        <d v="2012-10-31T00:00:00"/>
        <d v="2009-12-22T00:00:00"/>
        <d v="2012-04-14T00:00:00"/>
        <d v="2011-05-13T00:00:00"/>
        <d v="2011-12-07T00:00:00"/>
        <d v="2010-12-04T00:00:00"/>
        <d v="2009-11-24T00:00:00"/>
        <d v="2011-09-13T00:00:00"/>
        <d v="2010-12-03T00:00:00"/>
        <d v="2011-12-18T00:00:00"/>
        <d v="2011-05-22T00:00:00"/>
        <d v="2012-11-18T00:00:00"/>
        <d v="2009-02-04T00:00:00"/>
        <d v="2009-12-25T00:00:00"/>
        <d v="2011-09-26T00:00:00"/>
        <d v="2009-02-15T00:00:00"/>
        <d v="2009-10-11T00:00:00"/>
        <d v="2011-03-10T00:00:00"/>
        <d v="2012-08-11T00:00:00"/>
        <d v="2009-01-18T00:00:00"/>
        <d v="2012-05-20T00:00:00"/>
        <d v="2009-03-19T00:00:00"/>
        <d v="2009-09-05T00:00:00"/>
        <d v="2009-11-03T00:00:00"/>
        <d v="2012-02-10T00:00:00"/>
        <d v="2009-05-06T00:00:00"/>
        <d v="2011-02-10T00:00:00"/>
        <d v="2012-09-05T00:00:00"/>
        <d v="2011-01-31T00:00:00"/>
        <d v="2009-08-07T00:00:00"/>
        <d v="2012-05-05T00:00:00"/>
        <d v="2009-11-10T00:00:00"/>
        <d v="2012-01-07T00:00:00"/>
        <d v="2010-12-19T00:00:00"/>
        <d v="2009-04-18T00:00:00"/>
        <d v="2009-09-24T00:00:00"/>
        <d v="2011-03-11T00:00:00"/>
        <d v="2010-12-13T00:00:00"/>
        <d v="2012-01-21T00:00:00"/>
        <d v="2012-01-06T00:00:00"/>
        <d v="2009-12-10T00:00:00"/>
        <d v="2010-02-12T00:00:00"/>
        <d v="2009-06-26T00:00:00"/>
        <d v="2011-02-20T00:00:00"/>
        <d v="2010-02-01T00:00:00"/>
        <d v="2010-08-12T00:00:00"/>
        <d v="2012-05-17T00:00:00"/>
        <d v="2010-07-09T00:00:00"/>
        <d v="2010-07-15T00:00:00"/>
        <d v="2011-03-04T00:00:00"/>
        <d v="2009-05-12T00:00:00"/>
        <d v="2010-02-22T00:00:00"/>
        <d v="2011-06-23T00:00:00"/>
        <d v="2011-01-22T00:00:00"/>
        <d v="2011-07-28T00:00:00"/>
        <d v="2010-04-03T00:00:00"/>
        <d v="2010-11-21T00:00:00"/>
        <d v="2009-03-22T00:00:00"/>
        <d v="2010-09-15T00:00:00"/>
        <d v="2010-01-10T00:00:00"/>
        <d v="2010-06-26T00:00:00"/>
        <d v="2009-02-05T00:00:00"/>
        <d v="2011-11-09T00:00:00"/>
        <d v="2009-07-26T00:00:00"/>
        <d v="2012-02-24T00:00:00"/>
        <d v="2012-07-28T00:00:00"/>
        <d v="2011-12-14T00:00:00"/>
        <d v="2010-06-13T00:00:00"/>
        <d v="2010-10-01T00:00:00"/>
        <d v="2011-09-24T00:00:00"/>
        <d v="2009-11-05T00:00:00"/>
        <d v="2009-02-19T00:00:00"/>
        <d v="2009-06-28T00:00:00"/>
        <d v="2009-01-26T00:00:00"/>
        <d v="2011-08-02T00:00:00"/>
        <d v="2010-07-04T00:00:00"/>
        <d v="2011-07-14T00:00:00"/>
        <d v="2010-07-25T00:00:00"/>
        <d v="2009-07-06T00:00:00"/>
        <d v="2012-12-11T00:00:00"/>
        <d v="2011-12-01T00:00:00"/>
        <d v="2009-04-04T00:00:00"/>
        <d v="2010-06-25T00:00:00"/>
        <d v="2011-02-16T00:00:00"/>
        <d v="2010-11-04T00:00:00"/>
        <d v="2009-04-28T00:00:00"/>
        <d v="2009-08-06T00:00:00"/>
        <d v="2009-03-18T00:00:00"/>
        <d v="2010-11-05T00:00:00"/>
        <d v="2012-12-10T00:00:00"/>
        <d v="2011-09-28T00:00:00"/>
        <d v="2012-06-05T00:00:00"/>
        <d v="2010-09-26T00:00:00"/>
        <d v="2009-01-21T00:00:00"/>
        <d v="2012-10-05T00:00:00"/>
        <d v="2009-03-25T00:00:00"/>
        <d v="2012-09-20T00:00:00"/>
        <d v="2010-02-05T00:00:00"/>
        <d v="2010-03-19T00:00:00"/>
        <d v="2009-04-29T00:00:00"/>
        <d v="2011-04-03T00:00:00"/>
        <d v="2011-04-16T00:00:00"/>
        <d v="2010-06-15T00:00:00"/>
        <d v="2009-08-09T00:00:00"/>
        <d v="2009-09-20T00:00:00"/>
        <d v="2012-03-20T00:00:00"/>
        <d v="2010-07-19T00:00:00"/>
        <d v="2010-05-14T00:00:00"/>
        <d v="2010-10-17T00:00:00"/>
        <d v="2011-04-09T00:00:00"/>
        <d v="2010-06-03T00:00:00"/>
        <d v="2010-05-22T00:00:00"/>
        <d v="2010-01-05T00:00:00"/>
        <d v="2011-02-14T00:00:00"/>
        <d v="2010-05-28T00:00:00"/>
        <d v="2010-06-28T00:00:00"/>
        <d v="2011-03-01T00:00:00"/>
        <d v="2012-02-27T00:00:00"/>
        <d v="2012-03-19T00:00:00"/>
        <d v="2012-03-04T00:00:00"/>
        <d v="2012-03-09T00:00:00"/>
        <d v="2012-04-21T00:00:00"/>
        <d v="2009-06-17T00:00:00"/>
        <d v="2012-06-13T00:00:00"/>
        <d v="2009-05-15T00:00:00"/>
        <d v="2011-01-02T00:00:00"/>
        <d v="2012-01-05T00:00:00"/>
        <d v="2009-01-23T00:00:00"/>
        <d v="2012-11-20T00:00:00"/>
        <d v="2012-12-29T00:00:00"/>
        <d v="2010-01-31T00:00:00"/>
        <d v="2012-06-25T00:00:00"/>
        <d v="2012-03-13T00:00:00"/>
        <d v="2012-04-05T00:00:00"/>
        <d v="2009-07-24T00:00:00"/>
        <d v="2011-07-18T00:00:00"/>
        <d v="2011-03-15T00:00:00"/>
        <d v="2009-12-06T00:00:00"/>
        <d v="2010-07-22T00:00:00"/>
        <d v="2011-10-08T00:00:00"/>
        <d v="2010-09-07T00:00:00"/>
        <d v="2012-01-22T00:00:00"/>
        <d v="2009-12-12T00:00:00"/>
        <d v="2010-08-21T00:00:00"/>
        <d v="2012-10-26T00:00:00"/>
        <d v="2010-10-06T00:00:00"/>
        <d v="2010-03-13T00:00:00"/>
        <d v="2011-05-25T00:00:00"/>
        <d v="2011-05-09T00:00:00"/>
        <d v="2010-01-18T00:00:00"/>
        <d v="2010-01-22T00:00:00"/>
        <d v="2012-12-09T00:00:00"/>
        <d v="2009-08-28T00:00:00"/>
        <d v="2012-11-04T00:00:00"/>
        <d v="2010-07-20T00:00:00"/>
        <d v="2011-11-15T00:00:00"/>
        <d v="2011-04-13T00:00:00"/>
        <d v="2011-09-06T00:00:00"/>
        <d v="2012-05-23T00:00:00"/>
        <d v="2010-07-07T00:00:00"/>
        <d v="2010-06-23T00:00:00"/>
        <d v="2009-03-07T00:00:00"/>
        <d v="2011-01-24T00:00:00"/>
        <d v="2012-01-01T00:00:00"/>
        <d v="2009-11-27T00:00:00"/>
        <d v="2012-12-04T00:00:00"/>
        <d v="2009-02-22T00:00:00"/>
        <d v="2012-09-21T00:00:00"/>
        <d v="2012-11-10T00:00:00"/>
        <d v="2010-11-20T00:00:00"/>
        <d v="2012-03-18T00:00:00"/>
        <d v="2009-05-05T00:00:00"/>
        <d v="2012-04-18T00:00:00"/>
        <d v="2011-01-09T00:00:00"/>
        <d v="2012-01-16T00:00:00"/>
        <d v="2012-08-18T00:00:00"/>
        <d v="2012-10-02T00:00:00"/>
        <d v="2012-08-14T00:00:00"/>
        <d v="2011-02-26T00:00:00"/>
        <d v="2012-09-13T00:00:00"/>
        <d v="2012-05-10T00:00:00"/>
        <d v="2010-12-25T00:00:00"/>
        <d v="2012-03-24T00:00:00"/>
        <d v="2009-05-20T00:00:00"/>
        <d v="2010-03-26T00:00:00"/>
        <d v="2012-12-15T00:00:00"/>
        <d v="2009-12-07T00:00:00"/>
        <d v="2010-12-21T00:00:00"/>
        <d v="2012-08-10T00:00:00"/>
        <d v="2010-11-12T00:00:00"/>
        <d v="2010-07-21T00:00:00"/>
        <d v="2012-03-22T00:00:00"/>
        <d v="2009-11-16T00:00:00"/>
        <d v="2012-07-19T00:00:00"/>
        <d v="2012-08-20T00:00:00"/>
        <d v="2012-12-25T00:00:00"/>
        <d v="2011-06-16T00:00:00"/>
        <d v="2010-10-29T00:00:00"/>
        <d v="2009-04-26T00:00:00"/>
        <d v="2011-09-04T00:00:00"/>
        <d v="2012-09-24T00:00:00"/>
        <d v="2011-10-11T00:00:00"/>
        <d v="2009-06-18T00:00:00"/>
        <d v="2011-05-26T00:00:00"/>
        <d v="2010-09-20T00:00:00"/>
        <d v="2012-04-13T00:00:00"/>
        <d v="2009-08-01T00:00:00"/>
        <d v="2011-09-20T00:00:00"/>
        <d v="2012-11-13T00:00:00"/>
        <d v="2012-06-16T00:00:00"/>
        <d v="2009-08-11T00:00:00"/>
        <d v="2012-11-22T00:00:00"/>
        <d v="2009-04-10T00:00:00"/>
        <d v="2011-11-18T00:00:00"/>
        <d v="2011-02-24T00:00:00"/>
        <d v="2009-02-13T00:00:00"/>
        <d v="2011-10-29T00:00:00"/>
        <d v="2010-10-22T00:00:00"/>
        <d v="2012-06-23T00:00:00"/>
        <d v="2010-07-16T00:00:00"/>
        <d v="2009-08-23T00:00:00"/>
        <d v="2011-08-01T00:00:00"/>
        <d v="2012-05-29T00:00:00"/>
        <d v="2009-10-18T00:00:00"/>
        <d v="2009-07-12T00:00:00"/>
        <d v="2011-07-24T00:00:00"/>
        <d v="2009-01-22T00:00:00"/>
        <d v="2010-01-20T00:00:00"/>
        <d v="2010-05-02T00:00:00"/>
        <d v="2012-07-11T00:00:00"/>
        <d v="2011-07-03T00:00:00"/>
        <d v="2012-06-17T00:00:00"/>
        <d v="2010-12-12T00:00:00"/>
        <d v="2012-04-26T00:00:00"/>
        <d v="2012-09-15T00:00:00"/>
        <d v="2011-07-27T00:00:00"/>
        <d v="2009-06-25T00:00:00"/>
        <d v="2012-03-31T00:00:00"/>
        <d v="2011-04-22T00:00:00"/>
        <d v="2010-08-22T00:00:00"/>
        <d v="2009-12-24T00:00:00"/>
        <d v="2010-10-12T00:00:00"/>
        <d v="2011-04-05T00:00:00"/>
        <d v="2011-05-04T00:00:00"/>
        <d v="2010-04-10T00:00:00"/>
        <d v="2012-08-19T00:00:00"/>
        <d v="2012-07-01T00:00:00"/>
        <d v="2009-11-20T00:00:00"/>
        <d v="2009-09-17T00:00:00"/>
        <d v="2010-11-09T00:00:00"/>
        <d v="2012-05-30T00:00:00"/>
        <d v="2009-02-12T00:00:00"/>
        <d v="2009-07-21T00:00:00"/>
        <d v="2010-01-27T00:00:00"/>
        <d v="2011-09-11T00:00:00"/>
        <d v="2011-02-03T00:00:00"/>
        <d v="2011-02-15T00:00:00"/>
        <d v="2012-03-01T00:00:00"/>
        <d v="2009-10-07T00:00:00"/>
        <d v="2010-09-17T00:00:00"/>
        <d v="2010-10-09T00:00:00"/>
        <d v="2009-09-23T00:00:00"/>
        <d v="2011-10-02T00:00:00"/>
        <d v="2011-01-19T00:00:00"/>
        <d v="2009-03-23T00:00:00"/>
        <d v="2011-01-07T00:00:00"/>
        <d v="2011-06-22T00:00:00"/>
        <d v="2011-08-03T00:00:00"/>
        <d v="2011-11-07T00:00:00"/>
        <d v="2010-03-17T00:00:00"/>
        <d v="2010-02-17T00:00:00"/>
        <d v="2011-02-01T00:00:00"/>
        <d v="2009-01-10T00:00:00"/>
        <d v="2010-04-16T00:00:00"/>
        <d v="2012-10-16T00:00:00"/>
        <d v="2011-06-19T00:00:00"/>
        <d v="2012-11-07T00:00:00"/>
        <d v="2011-09-08T00:00:00"/>
        <d v="2011-03-21T00:00:00"/>
        <d v="2010-05-11T00:00:00"/>
        <d v="2012-02-06T00:00:00"/>
        <d v="2012-05-31T00:00:00"/>
        <d v="2009-09-12T00:00:00"/>
        <d v="2010-12-29T00:00:00"/>
        <d v="2011-04-30T00:00:00"/>
        <d v="2011-11-30T00:00:00"/>
        <d v="2010-08-13T00:00:00"/>
        <d v="2009-11-28T00:00:00"/>
        <d v="2012-11-03T00:00:00"/>
        <d v="2012-02-11T00:00:00"/>
        <d v="2009-11-04T00:00:00"/>
        <d v="2009-01-02T00:00:00"/>
        <d v="2012-10-28T00:00:00"/>
        <d v="2009-10-05T00:00:00"/>
        <d v="2012-01-30T00:00:00"/>
        <d v="2012-02-12T00:00:00"/>
        <d v="2012-01-19T00:00:00"/>
        <d v="2011-03-12T00:00:00"/>
        <d v="2012-03-28T00:00:00"/>
        <d v="2012-08-12T00:00:00"/>
        <d v="2012-01-31T00:00:00"/>
        <d v="2012-05-19T00:00:00"/>
        <d v="2011-01-14T00:00:00"/>
        <d v="2009-06-01T00:00:00"/>
        <d v="2010-02-19T00:00:00"/>
        <d v="2009-12-18T00:00:00"/>
        <d v="2012-07-17T00:00:00"/>
        <d v="2009-06-12T00:00:00"/>
        <d v="2012-12-27T00:00:00"/>
        <d v="2010-12-08T00:00:00"/>
        <d v="2009-03-15T00:00:00"/>
        <d v="2011-01-13T00:00:00"/>
        <d v="2009-08-14T00:00:00"/>
        <d v="2009-01-31T00:00:00"/>
        <d v="2009-04-08T00:00:00"/>
        <d v="2009-07-04T00:00:00"/>
        <d v="2010-06-19T00:00:00"/>
        <d v="2012-12-16T00:00:00"/>
        <d v="2010-03-03T00:00:00"/>
        <d v="2010-11-01T00:00:00"/>
        <d v="2010-02-28T00:00:00"/>
        <d v="2011-05-07T00:00:00"/>
        <d v="2012-07-10T00:00:00"/>
        <d v="2010-10-25T00:00:00"/>
        <d v="2011-11-23T00:00:00"/>
        <d v="2012-08-03T00:00:00"/>
        <d v="2011-04-17T00:00:00"/>
        <d v="2009-09-06T00:00:00"/>
        <d v="2012-08-16T00:00:00"/>
        <d v="2011-07-13T00:00:00"/>
        <d v="2012-07-13T00:00:00"/>
        <d v="2011-12-20T00:00:00"/>
        <d v="2010-11-27T00:00:00"/>
        <d v="2010-08-09T00:00:00"/>
        <d v="2011-09-07T00:00:00"/>
        <d v="2009-02-25T00:00:00"/>
        <d v="2010-01-02T00:00:00"/>
        <d v="2009-12-11T00:00:00"/>
        <d v="2009-09-27T00:00:00"/>
        <d v="2012-07-20T00:00:00"/>
        <d v="2011-10-12T00:00:00"/>
        <d v="2012-10-04T00:00:00"/>
        <d v="2011-02-19T00:00:00"/>
        <d v="2012-04-12T00:00:00"/>
        <d v="2012-02-26T00:00:00"/>
        <d v="2009-06-29T00:00:00"/>
        <d v="2012-03-27T00:00:00"/>
        <d v="2012-05-03T00:00:00"/>
        <d v="2012-12-02T00:00:00"/>
        <d v="2009-02-23T00:00:00"/>
        <d v="2010-03-23T00:00:00"/>
        <d v="2010-02-07T00:00:00"/>
        <d v="2009-05-08T00:00:00"/>
        <d v="2011-05-01T00:00:00"/>
        <d v="2009-07-29T00:00:00"/>
        <d v="2012-06-02T00:00:00"/>
        <d v="2011-02-05T00:00:00"/>
        <d v="2012-04-04T00:00:00"/>
        <d v="2010-05-30T00:00:00"/>
        <d v="2009-12-05T00:00:00"/>
        <d v="2011-06-05T00:00:00"/>
        <d v="2012-11-28T00:00:00"/>
        <d v="2009-05-16T00:00:00"/>
        <d v="2011-08-20T00:00:00"/>
        <d v="2012-10-14T00:00:00"/>
        <d v="2009-07-30T00:00:00"/>
        <d v="2011-02-07T00:00:00"/>
        <d v="2011-01-25T00:00:00"/>
        <d v="2010-11-06T00:00:00"/>
        <d v="2012-11-05T00:00:00"/>
        <d v="2010-09-05T00:00:00"/>
        <d v="2009-01-12T00:00:00"/>
        <d v="2011-06-14T00:00:00"/>
        <d v="2010-09-14T00:00:00"/>
        <d v="2011-08-18T00:00:00"/>
        <d v="2011-01-06T00:00:00"/>
        <d v="2009-05-10T00:00:00"/>
        <d v="2010-01-04T00:00:00"/>
        <d v="2012-01-24T00:00:00"/>
        <d v="2011-11-06T00:00:00"/>
        <d v="2012-07-05T00:00:00"/>
        <d v="2011-09-16T00:00:00"/>
        <d v="2009-07-14T00:00:00"/>
        <d v="2011-01-15T00:00:00"/>
        <d v="2010-10-14T00:00:00"/>
        <d v="2011-03-18T00:00:00"/>
        <d v="2012-10-17T00:00:00"/>
        <d v="2011-11-27T00:00:00"/>
        <d v="2012-01-25T00:00:00"/>
        <d v="2010-05-08T00:00:00"/>
        <d v="2009-09-28T00:00:00"/>
        <d v="2012-07-02T00:00:00"/>
        <d v="2010-10-04T00:00:00"/>
        <d v="2009-05-26T00:00:00"/>
        <d v="2010-02-20T00:00:00"/>
        <d v="2010-08-05T00:00:00"/>
        <d v="2011-12-09T00:00:00"/>
        <d v="2012-05-28T00:00:00"/>
        <d v="2009-06-19T00:00:00"/>
        <d v="2010-07-23T00:00:00"/>
        <d v="2011-06-29T00:00:00"/>
        <d v="2012-09-02T00:00:00"/>
        <d v="2010-06-06T00:00:00"/>
        <d v="2010-05-10T00:00:00"/>
        <d v="2011-04-12T00:00:00"/>
        <d v="2009-01-29T00:00:00"/>
        <d v="2011-06-30T00:00:00"/>
        <d v="2009-01-03T00:00:00"/>
        <d v="2010-04-22T00:00:00"/>
        <d v="2011-05-03T00:00:00"/>
        <d v="2009-04-11T00:00:00"/>
        <d v="2009-06-11T00:00:00"/>
        <d v="2011-03-30T00:00:00"/>
        <d v="2011-04-19T00:00:00"/>
        <d v="2009-02-06T00:00:00"/>
        <d v="2009-06-23T00:00:00"/>
        <d v="2011-05-31T00:00:00"/>
        <d v="2012-12-20T00:00:00"/>
        <d v="2012-10-13T00:00:00"/>
        <d v="2009-06-14T00:00:00"/>
        <d v="2009-02-26T00:00:00"/>
        <d v="2010-06-20T00:00:00"/>
        <d v="2012-06-24T00:00:00"/>
        <d v="2009-01-27T00:00:00"/>
        <d v="2009-09-13T00:00:00"/>
        <d v="2011-09-27T00:00:00"/>
        <d v="2012-06-07T00:00:00"/>
        <d v="2010-01-21T00:00:00"/>
        <d v="2010-01-07T00:00:00"/>
        <d v="2012-12-01T00:00:00"/>
        <d v="2012-10-27T00:00:00"/>
        <d v="2011-04-25T00:00:00"/>
        <d v="2009-07-17T00:00:00"/>
        <d v="2010-05-15T00:00:00"/>
        <d v="2010-02-10T00:00:00"/>
        <d v="2012-10-18T00:00:00"/>
        <d v="2009-03-08T00:00:00"/>
        <d v="2012-10-12T00:00:00"/>
        <d v="2012-12-18T00:00:00"/>
        <d v="2009-02-14T00:00:00"/>
        <d v="2012-04-10T00:00:00"/>
        <d v="2009-01-09T00:00:00"/>
        <d v="2012-10-19T00:00:00"/>
        <d v="2011-04-06T00:00:00"/>
        <d v="2009-06-10T00:00:00"/>
        <d v="2011-04-26T00:00:00"/>
        <d v="2012-03-14T00:00:00"/>
        <d v="2011-01-18T00:00:00"/>
        <d v="2011-10-05T00:00:00"/>
        <d v="2009-01-07T00:00:00"/>
        <d v="2012-04-29T00:00:00"/>
        <d v="2009-03-16T00:00:00"/>
        <d v="2010-03-30T00:00:00"/>
        <d v="2009-10-04T00:00:00"/>
        <d v="2012-07-12T00:00:00"/>
        <d v="2012-06-01T00:00:00"/>
        <d v="2010-03-14T00:00:00"/>
        <d v="2009-08-17T00:00:00"/>
        <d v="2012-09-28T00:00:00"/>
        <d v="2010-06-16T00:00:00"/>
        <d v="2009-10-21T00:00:00"/>
        <d v="2009-03-28T00:00:00"/>
        <d v="2009-12-21T00:00:00"/>
        <d v="2010-02-14T00:00:00"/>
        <d v="2011-09-25T00:00:00"/>
        <d v="2010-10-19T00:00:00"/>
        <d v="2010-03-25T00:00:00"/>
        <d v="2012-07-14T00:00:00"/>
        <d v="2009-12-27T00:00:00"/>
        <d v="2009-06-13T00:00:00"/>
        <d v="2009-11-21T00:00:00"/>
        <d v="2011-10-07T00:00:00"/>
        <d v="2009-04-19T00:00:00"/>
        <d v="2012-02-19T00:00:00"/>
        <d v="2012-05-18T00:00:00"/>
        <d v="2010-10-21T00:00:00"/>
        <d v="2012-03-11T00:00:00"/>
        <d v="2011-11-14T00:00:00"/>
        <d v="2009-11-22T00:00:00"/>
        <d v="2010-09-28T00:00:00"/>
        <d v="2011-10-06T00:00:00"/>
        <d v="2009-09-29T00:00:00"/>
        <d v="2009-12-28T00:00:00"/>
        <d v="2009-06-03T00:00:00"/>
        <d v="2010-01-28T00:00:00"/>
        <d v="2009-05-24T00:00:00"/>
        <d v="2010-05-16T00:00:00"/>
        <d v="2009-12-01T00:00:00"/>
        <d v="2011-07-01T00:00:00"/>
        <d v="2009-11-02T00:00:00"/>
        <d v="2012-08-15T00:00:00"/>
        <d v="2009-01-04T00:00:00"/>
        <d v="2009-10-13T00:00:00"/>
        <d v="2009-04-23T00:00:00"/>
        <d v="2009-08-16T00:00:00"/>
        <d v="2009-12-20T00:00:00"/>
        <d v="2010-04-20T00:00:00"/>
        <d v="2010-02-24T00:00:00"/>
        <d v="2009-11-30T00:00:00"/>
        <d v="2011-07-06T00:00:00"/>
        <d v="2009-11-15T00:00:00"/>
        <d v="2012-06-15T00:00:00"/>
        <d v="2009-12-04T00:00:00"/>
        <d v="2012-04-03T00:00:00"/>
        <d v="2009-05-21T00:00:00"/>
        <d v="2010-08-11T00:00:00"/>
        <d v="2011-08-09T00:00:00"/>
        <d v="2009-10-20T00:00:00"/>
        <d v="2011-06-10T00:00:00"/>
        <d v="2012-02-05T00:00:00"/>
        <d v="2012-09-23T00:00:00"/>
        <d v="2011-05-20T00:00:00"/>
        <d v="2011-10-28T00:00:00"/>
        <d v="2010-01-13T00:00:00"/>
        <d v="2012-03-16T00:00:00"/>
        <d v="2009-11-06T00:00:00"/>
        <d v="2009-07-31T00:00:00"/>
        <d v="2009-09-18T00:00:00"/>
        <d v="2012-09-11T00:00:00"/>
        <d v="2011-05-24T00:00:00"/>
        <d v="2012-01-12T00:00:00"/>
        <d v="2012-04-01T00:00:00"/>
        <d v="2011-10-24T00:00:00"/>
        <d v="2012-05-06T00:00:00"/>
        <d v="2012-08-29T00:00:00"/>
        <d v="2010-04-06T00:00:00"/>
        <d v="2011-12-21T00:00:00"/>
        <d v="2010-07-30T00:00:00"/>
        <d v="2010-02-03T00:00:00"/>
        <d v="2011-06-11T00:00:00"/>
        <d v="2012-03-26T00:00:00"/>
        <d v="2010-04-09T00:00:00"/>
        <d v="2012-12-30T00:00:00"/>
        <d v="2012-04-17T00:00:00"/>
        <d v="2012-12-19T00:00:00"/>
        <d v="2010-03-15T00:00:00"/>
        <d v="2012-04-06T00:00:00"/>
        <d v="2010-03-22T00:00:00"/>
        <d v="2010-03-21T00:00:00"/>
        <d v="2010-10-18T00:00:00"/>
        <d v="2012-03-08T00:00:00"/>
        <d v="2009-02-16T00:00:00"/>
        <d v="2010-12-27T00:00:00"/>
        <d v="2009-03-24T00:00:00"/>
        <d v="2012-03-29T00:00:00"/>
        <d v="2011-12-10T00:00:00"/>
        <d v="2012-02-13T00:00:00"/>
        <d v="2010-11-18T00:00:00"/>
        <d v="2009-11-09T00:00:00"/>
        <d v="2010-08-14T00:00:00"/>
        <d v="2011-10-18T00:00:00"/>
        <d v="2010-09-10T00:00:00"/>
        <d v="2009-04-05T00:00:00"/>
        <d v="2012-01-28T00:00:00"/>
        <d v="2011-08-30T00:00:00"/>
        <d v="2010-03-24T00:00:00"/>
        <d v="2012-05-25T00:00:00"/>
        <d v="2010-11-30T00:00:00"/>
        <d v="2010-02-15T00:00:00"/>
        <d v="2011-04-20T00:00:00"/>
        <d v="2012-02-15T00:00:00"/>
        <d v="2009-09-14T00:00:00"/>
        <d v="2012-05-08T00:00:00"/>
        <d v="2010-07-17T00:00:00"/>
        <d v="2012-05-14T00:00:00"/>
        <d v="2012-09-04T00:00:00"/>
        <d v="2009-04-09T00:00:00"/>
        <d v="2011-02-18T00:00:00"/>
        <d v="2012-02-02T00:00:00"/>
        <d v="2009-02-10T00:00:00"/>
        <d v="2010-03-09T00:00:00"/>
        <d v="2009-01-20T00:00:00"/>
        <d v="2011-03-13T00:00:00"/>
        <d v="2012-12-24T00:00:00"/>
        <d v="2010-11-19T00:00:00"/>
        <d v="2009-02-11T00:00:00"/>
        <d v="2011-02-06T00:00:00"/>
        <d v="2012-02-21T00:00:00"/>
        <d v="2009-05-22T00:00:00"/>
        <d v="2012-05-07T00:00:00"/>
        <d v="2011-07-17T00:00:00"/>
        <d v="2012-01-26T00:00:00"/>
        <d v="2012-09-03T00:00:00"/>
        <d v="2011-12-17T00:00:00"/>
        <d v="2012-11-08T00:00:00"/>
        <d v="2010-03-10T00:00:00"/>
        <d v="2010-09-12T00:00:00"/>
        <d v="2011-11-01T00:00:00"/>
        <d v="2012-03-07T00:00:00"/>
        <d v="2011-09-23T00:00:00"/>
        <d v="2009-04-02T00:00:00"/>
        <d v="2012-05-24T00:00:00"/>
        <d v="2009-09-19T00:00:00"/>
        <d v="2012-10-22T00:00:00"/>
        <d v="2010-05-01T00:00:00"/>
        <d v="2010-01-03T00:00:00"/>
        <d v="2012-02-01T00:00:00"/>
        <d v="2010-10-27T00:00:00"/>
        <d v="2011-08-22T00:00:00"/>
        <d v="2012-04-30T00:00:00"/>
        <d v="2011-07-15T00:00:00"/>
        <d v="2009-12-13T00:00:00"/>
        <d v="2012-04-24T00:00:00"/>
        <d v="2011-11-22T00:00:00"/>
        <d v="2011-10-23T00:00:00"/>
        <d v="2012-08-06T00:00:00"/>
        <d v="2012-01-09T00:00:00"/>
        <d v="2012-07-15T00:00:00"/>
        <d v="2009-10-10T00:00:00"/>
        <d v="2012-05-22T00:00:00"/>
        <d v="2009-05-23T00:00:00"/>
        <d v="2009-04-16T00:00:00"/>
        <d v="2009-12-26T00:00:00"/>
        <d v="2011-11-26T00:00:00"/>
        <d v="2012-07-26T00:00:00"/>
        <d v="2011-01-29T00:00:00"/>
        <d v="2012-07-25T00:00:00"/>
        <d v="2009-10-28T00:00:00"/>
        <d v="2011-07-12T00:00:00"/>
        <d v="2009-02-24T00:00:00"/>
        <d v="2009-03-17T00:00:00"/>
        <d v="2009-04-01T00:00:00"/>
        <d v="2011-06-01T00:00:00"/>
        <d v="2012-07-22T00:00:00"/>
        <d v="2010-04-18T00:00:00"/>
        <d v="2012-12-06T00:00:00"/>
        <d v="2010-08-16T00:00:00"/>
        <d v="2009-05-13T00:00:00"/>
        <d v="2011-02-25T00:00:00"/>
        <d v="2010-02-25T00:00:00"/>
        <d v="2011-03-20T00:00:00"/>
        <d v="2010-11-29T00:00:00"/>
        <d v="2010-05-17T00:00:00"/>
        <d v="2009-10-31T00:00:00"/>
        <d v="2011-07-16T00:00:00"/>
        <d v="2010-06-30T00:00:00"/>
        <d v="2009-04-14T00:00:00"/>
        <d v="2010-09-08T00:00:00"/>
        <d v="2011-08-06T00:00:00"/>
        <d v="2012-10-09T00:00:00"/>
        <d v="2012-09-14T00:00:00"/>
        <d v="2010-02-23T00:00:00"/>
        <d v="2011-08-23T00:00:00"/>
        <d v="2009-06-02T00:00:00"/>
        <d v="2009-10-22T00:00:00"/>
        <d v="2012-02-09T00:00:00"/>
        <d v="2010-01-08T00:00:00"/>
        <d v="2010-05-23T00:00:00"/>
        <d v="2011-01-20T00:00:00"/>
        <d v="2009-09-30T00:00:00"/>
        <d v="2011-05-19T00:00:00"/>
        <d v="2010-02-11T00:00:00"/>
        <d v="2010-05-31T00:00:00"/>
        <d v="2012-08-21T00:00:00"/>
        <d v="2012-06-19T00:00:00"/>
        <d v="2010-10-16T00:00:00"/>
        <d v="2009-06-15T00:00:00"/>
        <d v="2011-06-28T00:00:00"/>
        <d v="2012-08-23T00:00:00"/>
        <d v="2011-12-08T00:00:00"/>
        <d v="2009-01-19T00:00:00"/>
        <d v="2010-01-15T00:00:00"/>
        <d v="2010-11-03T00:00:00"/>
        <d v="2010-12-01T00:00:00"/>
        <d v="2011-10-30T00:00:00"/>
        <d v="2010-10-31T00:00:00"/>
        <d v="2011-02-02T00:00:00"/>
        <d v="2009-05-14T00:00:00"/>
        <d v="2011-12-29T00:00:00"/>
        <d v="2009-10-26T00:00:00"/>
        <d v="2011-08-21T00:00:00"/>
        <d v="2011-02-21T00:00:00"/>
        <d v="2009-05-11T00:00:00"/>
        <d v="2011-10-26T00:00:00"/>
        <d v="2009-08-31T00:00:00"/>
        <d v="2010-01-17T00:00:00"/>
        <d v="2009-06-06T00:00:00"/>
        <d v="2009-05-19T00:00:00"/>
        <d v="2010-01-11T00:00:00"/>
        <d v="2010-02-13T00:00:00"/>
        <d v="2012-12-12T00:00:00"/>
        <d v="2010-06-10T00:00:00"/>
        <d v="2009-05-25T00:00:00"/>
        <d v="2010-12-20T00:00:00"/>
        <d v="2011-12-22T00:00:00"/>
        <d v="2012-01-23T00:00:00"/>
        <d v="2012-12-23T00:00:00"/>
        <d v="2011-04-24T00:00:00"/>
        <d v="2009-07-28T00:00:00"/>
        <d v="2012-09-27T00:00:00"/>
        <d v="2010-07-26T00:00:00"/>
        <d v="2009-07-08T00:00:00"/>
        <d v="2012-06-10T00:00:00"/>
        <d v="2012-08-27T00:00:00"/>
        <d v="2009-08-22T00:00:00"/>
        <d v="2010-06-21T00:00:00"/>
        <d v="2012-01-27T00:00:00"/>
        <d v="2011-10-25T00:00:00"/>
        <d v="2011-03-03T00:00:00"/>
        <d v="2012-09-25T00:00:00"/>
        <d v="2011-11-11T00:00:00"/>
        <d v="2012-11-30T00:00:00"/>
        <d v="2010-06-02T00:00:00"/>
        <d v="2010-10-28T00:00:00"/>
        <d v="2009-02-08T00:00:00"/>
        <d v="2009-05-28T00:00:00"/>
        <d v="2011-06-25T00:00:00"/>
        <d v="2010-04-05T00:00:00"/>
        <d v="2011-04-28T00:00:00"/>
        <d v="2010-07-05T00:00:00"/>
        <d v="2010-03-27T00:00:00"/>
        <d v="2010-04-23T00:00:00"/>
        <d v="2011-08-17T00:00:00"/>
        <d v="2011-04-18T00:00:00"/>
        <d v="2009-01-01T00:00:00"/>
        <d v="2011-08-04T00:00:00"/>
        <d v="2010-07-18T00:00:00"/>
        <d v="2011-12-06T00:00:00"/>
        <d v="2011-01-03T00:00:00"/>
        <d v="2010-08-18T00:00:00"/>
        <d v="2012-12-14T00:00:00"/>
        <d v="2011-12-19T00:00:00"/>
        <d v="2011-06-06T00:00:00"/>
        <d v="2010-06-22T00:00:00"/>
        <d v="2012-03-30T00:00:00"/>
        <d v="2010-04-17T00:00:00"/>
        <d v="2011-03-02T00:00:00"/>
        <d v="2011-04-21T00:00:00"/>
        <d v="2012-06-18T00:00:00"/>
        <d v="2010-05-26T00:00:00"/>
        <d v="2009-10-30T00:00:00"/>
        <d v="2011-12-02T00:00:00"/>
        <d v="2010-07-13T00:00:00"/>
        <d v="2011-05-23T00:00:00"/>
        <d v="2009-01-13T00:00:00"/>
        <d v="2009-10-29T00:00:00"/>
        <d v="2012-04-08T00:00:00"/>
        <d v="2011-08-15T00:00:00"/>
        <d v="2011-09-09T00:00:00"/>
        <d v="2010-11-14T00:00:00"/>
        <d v="2010-02-08T00:00:00"/>
        <d v="2010-10-30T00:00:00"/>
        <d v="2011-12-25T00:00:00"/>
        <d v="2009-09-21T00:00:00"/>
        <d v="2009-08-25T00:00:00"/>
        <d v="2009-12-08T00:00:00"/>
        <d v="2012-01-18T00:00:00"/>
        <d v="2011-06-12T00:00:00"/>
        <d v="2011-08-24T00:00:00"/>
        <d v="2009-04-13T00:00:00"/>
        <d v="2010-06-29T00:00:00"/>
        <d v="2010-05-13T00:00:00"/>
        <d v="2012-01-15T00:00:00"/>
        <d v="2012-05-27T00:00:00"/>
        <d v="2012-09-09T00:00:00"/>
        <d v="2012-04-23T00:00:00"/>
        <d v="2011-09-19T00:00:00"/>
        <d v="2011-08-26T00:00:00"/>
        <d v="2012-09-06T00:00:00"/>
        <d v="2012-01-10T00:00:00"/>
        <d v="2011-11-24T00:00:00"/>
        <d v="2009-12-17T00:00:00"/>
        <d v="2009-07-11T00:00:00"/>
        <d v="2011-01-23T00:00:00"/>
        <d v="2011-03-22T00:00:00"/>
        <d v="2010-12-17T00:00:00"/>
        <d v="2010-03-01T00:00:00"/>
        <d v="2012-01-29T00:00:00"/>
        <d v="2010-03-28T00:00:00"/>
        <d v="2009-08-29T00:00:00"/>
        <d v="2011-11-08T00:00:00"/>
        <d v="2011-11-17T00:00:00"/>
        <d v="2012-07-30T00:00:00"/>
        <d v="2010-09-03T00:00:00"/>
        <d v="2011-10-01T00:00:00"/>
        <d v="2010-07-27T00:00:00"/>
        <d v="2012-07-23T00:00:00"/>
        <d v="2009-12-03T00:00:00"/>
        <d v="2009-06-09T00:00:00"/>
        <d v="2011-08-11T00:00:00"/>
        <d v="2010-12-26T00:00:00"/>
        <d v="2011-02-28T00:00:00"/>
        <d v="2009-06-04T00:00:00"/>
        <d v="2010-07-28T00:00:00"/>
        <d v="2009-12-30T00:00:00"/>
        <d v="2009-03-14T00:00:00"/>
        <d v="2009-04-21T00:00:00"/>
        <d v="2010-01-29T00:00:00"/>
        <d v="2012-08-24T00:00:00"/>
        <d v="2009-03-12T00:00:00"/>
        <d v="2009-04-15T00:00:00"/>
        <d v="2009-03-30T00:00:00"/>
        <d v="2010-01-24T00:00:00"/>
        <d v="2011-03-05T00:00:00"/>
        <d v="2011-12-11T00:00:00"/>
        <d v="2011-11-13T00:00:00"/>
        <d v="2010-01-23T00:00:00"/>
        <d v="2009-11-12T00:00:00"/>
        <d v="2009-08-21T00:00:00"/>
        <d v="2012-07-18T00:00:00"/>
        <d v="2009-04-03T00:00:00"/>
        <d v="2011-02-12T00:00:00"/>
        <d v="2009-12-31T00:00:00"/>
        <d v="2012-12-13T00:00:00"/>
        <d v="2011-06-15T00:00:00"/>
        <d v="2012-04-16T00:00:00"/>
        <d v="2009-04-24T00:00:00"/>
        <d v="2012-08-02T00:00:00"/>
        <d v="2011-11-29T00:00:00"/>
        <d v="2011-10-04T00:00:00"/>
        <d v="2011-11-02T00:00:00"/>
        <d v="2012-09-30T00:00:00"/>
        <d v="2012-09-17T00:00:00"/>
        <d v="2011-01-21T00:00:00"/>
        <d v="2010-04-24T00:00:00"/>
        <d v="2011-09-18T00:00:00"/>
        <d v="2009-05-07T00:00:00"/>
        <d v="2010-08-19T00:00:00"/>
        <d v="2009-01-08T00:00:00"/>
        <d v="2009-05-09T00:00:00"/>
        <d v="2010-05-24T00:00:00"/>
        <d v="2011-02-11T00:00:00"/>
        <d v="2010-10-08T00:00:00"/>
        <d v="2012-07-31T00:00:00"/>
        <d v="2011-05-11T00:00:00"/>
        <d v="2011-09-30T00:00:00"/>
        <d v="2012-10-15T00:00:00"/>
        <d v="2009-06-05T00:00:00"/>
        <d v="2009-03-21T00:00:00"/>
        <d v="2010-03-06T00:00:00"/>
        <d v="2010-09-02T00:00:00"/>
        <d v="2010-08-01T00:00:00"/>
        <d v="2011-12-03T00:00:00"/>
        <d v="2011-03-31T00:00:00"/>
        <d v="2012-02-18T00:00:00"/>
        <d v="2009-05-03T00:00:00"/>
        <d v="2009-05-02T00:00:00"/>
        <d v="2012-02-04T00:00:00"/>
        <d v="2009-06-30T00:00:00"/>
        <d v="2009-04-20T00:00:00"/>
        <d v="2009-09-10T00:00:00"/>
        <d v="2011-12-05T00:00:00"/>
        <d v="2012-11-16T00:00:00"/>
        <d v="2009-09-02T00:00:00"/>
        <d v="2011-07-07T00:00:00"/>
        <d v="2011-08-14T00:00:00"/>
        <d v="2011-10-31T00:00:00"/>
        <d v="2011-12-26T00:00:00"/>
        <d v="2010-09-04T00:00:00"/>
        <d v="2012-07-27T00:00:00"/>
        <d v="2011-05-15T00:00:00"/>
        <d v="2010-01-12T00:00:00"/>
        <d v="2012-04-28T00:00:00"/>
        <d v="2012-10-03T00:00:00"/>
        <d v="2009-01-14T00:00:00"/>
        <d v="2010-11-26T00:00:00"/>
        <d v="2011-09-03T00:00:00"/>
        <d v="2012-09-07T00:00:00"/>
        <d v="2012-10-11T00:00:00"/>
        <d v="2012-06-22T00:00:00"/>
        <d v="2010-12-16T00:00:00"/>
        <d v="2012-10-24T00:00:00"/>
        <d v="2010-09-09T00:00:00"/>
        <d v="2011-05-02T00:00:00"/>
        <d v="2011-02-27T00:00:00"/>
        <d v="2010-04-26T00:00:00"/>
        <d v="2011-07-22T00:00:00"/>
        <d v="2009-11-11T00:00:00"/>
        <d v="2011-04-23T00:00:00"/>
        <d v="2010-12-10T00:00:00"/>
        <d v="2010-08-25T00:00:00"/>
        <d v="2012-02-25T00:00:00"/>
        <d v="2012-06-04T00:00:00"/>
        <d v="2010-04-19T00:00:00"/>
        <d v="2011-11-21T00:00:00"/>
        <d v="2009-07-09T00:00:00"/>
        <d v="2011-10-21T00:00:00"/>
        <d v="2012-09-18T00:00:00"/>
        <d v="2012-10-20T00:00:00"/>
        <d v="2011-02-23T00:00:00"/>
        <d v="2012-01-04T00:00:00"/>
        <d v="2010-04-30T00:00:00"/>
        <d v="2011-10-19T00:00:00"/>
        <d v="2011-11-03T00:00:00"/>
        <d v="2009-09-26T00:00:00"/>
        <d v="2010-09-22T00:00:00"/>
        <d v="2009-02-07T00:00:00"/>
        <d v="2011-07-20T00:00:00"/>
        <d v="2012-02-29T00:00:00"/>
        <d v="2010-01-01T00:00:00"/>
        <d v="2012-08-26T00:00:00"/>
        <d v="2011-10-16T00:00:00"/>
        <d v="2009-05-17T00:00:00"/>
        <d v="2010-01-09T00:00:00"/>
        <d v="2009-12-29T00:00:00"/>
        <d v="2010-05-29T00:00:00"/>
        <d v="2011-05-12T00:00:00"/>
        <d v="2012-06-20T00:00:00"/>
        <d v="2012-08-01T00:00:00"/>
        <d v="2009-11-18T00:00:00"/>
        <d v="2011-06-24T00:00:00"/>
        <d v="2010-09-27T00:00:00"/>
        <d v="2010-09-18T00:00:00"/>
        <d v="2011-12-15T00:00:00"/>
        <d v="2012-11-27T00:00:00"/>
        <d v="2012-05-09T00:00:00"/>
        <d v="2009-11-07T00:00:00"/>
        <d v="2012-09-29T00:00:00"/>
        <d v="2009-10-19T00:00:00"/>
        <d v="2010-01-06T00:00:00"/>
        <d v="2012-11-24T00:00:00"/>
        <d v="2011-02-22T00:00:00"/>
        <d v="2009-03-10T00:00:00"/>
        <d v="2012-04-02T00:00:00"/>
        <d v="2011-08-05T00:00:00"/>
        <d v="2009-11-01T00:00:00"/>
        <d v="2012-12-17T00:00:00"/>
        <d v="2009-10-12T00:00:00"/>
        <d v="2012-03-05T00:00:00"/>
        <d v="2010-06-11T00:00:00"/>
        <d v="2012-11-25T00:00:00"/>
        <d v="2009-08-08T00:00:00"/>
        <d v="2011-07-02T00:00:00"/>
        <d v="2009-02-28T00:00:00"/>
        <d v="2011-04-01T00:00:00"/>
        <d v="2010-01-30T00:00:00"/>
        <d v="2010-05-27T00:00:00"/>
        <d v="2009-10-25T00:00:00"/>
        <d v="2012-12-22T00:00:00"/>
        <d v="2010-04-04T00:00:00"/>
        <d v="2009-06-16T00:00:00"/>
        <d v="2010-04-08T00:00:00"/>
        <d v="2010-02-04T00:00:00"/>
        <d v="2009-04-17T00:00:00"/>
        <d v="2010-10-02T00:00:00"/>
        <d v="2011-12-28T00:00:00"/>
        <d v="2009-09-08T00:00:00"/>
        <d v="2009-08-03T00:00:00"/>
        <d v="2010-12-06T00:00:00"/>
        <d v="2011-05-05T00:00:00"/>
        <d v="2012-01-13T00:00:00"/>
        <d v="2011-03-27T00:00:00"/>
        <d v="2010-05-04T00:00:00"/>
        <d v="2012-12-08T00:00:00"/>
        <d v="2011-12-12T00:00:00"/>
        <d v="2010-10-05T00:00:00"/>
        <d v="2009-12-15T00:00:00"/>
        <d v="2012-08-08T00:00:00"/>
        <d v="2012-02-16T00:00:00"/>
        <d v="2011-11-28T00:00:00"/>
        <d v="2010-04-02T00:00:00"/>
        <d v="2009-10-06T00:00:00"/>
        <d v="2009-09-09T00:00:00"/>
        <d v="2011-03-25T00:00:00"/>
        <d v="2009-07-20T00:00:00"/>
        <d v="2009-08-13T00:00:00"/>
        <d v="2011-06-27T00:00:00"/>
        <d v="2011-05-18T00:00:00"/>
        <d v="2010-09-13T00:00:00"/>
        <d v="2011-06-26T00:00:00"/>
        <d v="2012-06-14T00:00:00"/>
        <d v="2011-07-05T00:00:00"/>
        <d v="2012-12-28T00:00:00"/>
        <d v="2010-04-27T00:00:00"/>
        <d v="2011-05-10T00:00:00"/>
        <d v="2011-09-01T00:00:00"/>
        <d v="2010-04-25T00:00:00"/>
        <d v="2010-08-02T00:00:00"/>
        <d v="2009-03-26T00:00:00"/>
        <d v="2010-10-03T00:00:00"/>
        <d v="2010-08-29T00:00:00"/>
        <d v="2009-01-25T00:00:00"/>
        <d v="2012-07-24T00:00:00"/>
        <d v="2009-08-19T00:00:00"/>
        <d v="2009-11-26T00:00:00"/>
        <d v="2011-06-08T00:00:00"/>
        <d v="2009-10-27T00:00:00"/>
        <d v="2010-03-11T00:00:00"/>
        <d v="2011-11-20T00:00:00"/>
        <d v="2011-07-26T00:00:00"/>
        <d v="2012-03-21T00:00:00"/>
        <d v="2011-10-13T00:00:00"/>
        <d v="2012-07-08T00:00:00"/>
        <d v="2010-01-19T00:00:00"/>
        <d v="2011-07-29T00:00:00"/>
        <d v="2012-05-01T00:00:00"/>
        <d v="2009-07-10T00:00:00"/>
        <d v="2009-05-04T00:00:00"/>
        <d v="2009-01-28T00:00:00"/>
        <d v="2010-06-18T00:00:00"/>
        <d v="2010-03-18T00:00:00"/>
        <d v="2010-04-07T00:00:00"/>
        <d v="2012-11-12T00:00:00"/>
        <d v="2009-07-05T00:00:00"/>
        <d v="2011-10-14T00:00:00"/>
        <d v="2010-03-04T00:00:00"/>
        <d v="2010-11-11T00:00:00"/>
        <d v="2009-09-07T00:00:00"/>
        <d v="2012-08-13T00:00:00"/>
        <d v="2010-12-18T00:00:00"/>
        <d v="2010-08-31T00:00:00"/>
        <d v="2012-12-07T00:00:00"/>
        <d v="2012-11-14T00:00:00"/>
        <d v="2011-01-30T00:00:00"/>
        <d v="2009-02-17T00:00:00"/>
        <d v="2009-08-30T00:00:00"/>
        <d v="2011-03-14T00:00:00"/>
        <d v="2012-11-17T00:00:00"/>
        <d v="2009-09-22T00:00:00"/>
        <d v="2012-06-03T00:00:00"/>
        <d v="2012-04-20T00:00:00"/>
        <d v="2009-04-30T00:00:00"/>
        <d v="2012-06-09T00:00:00"/>
        <d v="2012-12-26T00:00:00"/>
        <d v="2009-04-12T00:00:00"/>
        <d v="2010-08-08T00:00:00"/>
        <d v="2010-12-15T00:00:00"/>
        <d v="2011-12-13T00:00:00"/>
        <d v="2012-07-06T00:00:00"/>
        <d v="2009-10-24T00:00:00"/>
        <d v="2012-03-25T00:00:00"/>
        <d v="2009-07-25T00:00:00"/>
        <d v="2009-02-03T00:00:00"/>
        <d v="2012-12-05T00:00:00"/>
        <d v="2011-04-04T00:00:00"/>
        <d v="2010-03-20T00:00:00"/>
        <d v="2009-06-08T00:00:00"/>
        <d v="2011-04-07T00:00:00"/>
        <d v="2009-09-03T00:00:00"/>
        <d v="2011-09-21T00:00:00"/>
        <d v="2011-02-09T00:00:00"/>
        <d v="2011-01-05T00:00:00"/>
        <d v="2009-04-25T00:00:00"/>
        <d v="2012-02-20T00:00:00"/>
        <d v="2012-11-02T00:00:00"/>
        <d v="2011-12-27T00:00:00"/>
        <d v="2009-11-13T00:00:00"/>
        <d v="2012-01-14T00:00:00"/>
        <d v="2009-02-09T00:00:00"/>
      </sharedItems>
      <fieldGroup par="27" base="2">
        <rangePr groupBy="months" startDate="2009-01-01T00:00:00" endDate="2012-12-31T00:00:00"/>
        <groupItems count="14">
          <s v="&lt;01.01.2009"/>
          <s v="янв"/>
          <s v="февр"/>
          <s v="март"/>
          <s v="апр"/>
          <s v="май"/>
          <s v="июнь"/>
          <s v="июль"/>
          <s v="авг"/>
          <s v="сент"/>
          <s v="окт"/>
          <s v="нояб"/>
          <s v="дек"/>
          <s v="&gt;31.12.2012"/>
        </groupItems>
      </fieldGroup>
    </cacheField>
    <cacheField name="Order-Year-Month" numFmtId="14">
      <sharedItems count="48">
        <s v="2010-10 (октябрь 2010)"/>
        <s v="2012-10 (октябрь 2012)"/>
        <s v="2011-07 (июль 2011)"/>
        <s v="2010-08 (август 2010)"/>
        <s v="2011-06 (июнь 2011)"/>
        <s v="2011-03 (март 2011)"/>
        <s v="2010-02 (февраль 2010)"/>
        <s v="2010-11 (ноябрь 2010)"/>
        <s v="2012-06 (июнь 2012)"/>
        <s v="2012-08 (август 2012)"/>
        <s v="2011-05 (май 2011)"/>
        <s v="2009-11 (ноябрь 2009)"/>
        <s v="2012-02 (февраль 2012)"/>
        <s v="2012-04 (апрель 2012)"/>
        <s v="2010-03 (март 2010)"/>
        <s v="2010-12 (декабрь 2010)"/>
        <s v="2011-01 (январь 2011)"/>
        <s v="2011-10 (октябрь 2011)"/>
        <s v="2010-09 (сентябрь 2010)"/>
        <s v="2009-10 (октябрь 2009)"/>
        <s v="2012-05 (май 2012)"/>
        <s v="2011-08 (август 2011)"/>
        <s v="2009-01 (январь 2009)"/>
        <s v="2012-01 (январь 2012)"/>
        <s v="2010-04 (апрель 2010)"/>
        <s v="2011-12 (декабрь 2011)"/>
        <s v="2009-08 (август 2009)"/>
        <s v="2011-11 (ноябрь 2011)"/>
        <s v="2009-03 (март 2009)"/>
        <s v="2012-07 (июль 2012)"/>
        <s v="2010-06 (июнь 2010)"/>
        <s v="2011-09 (сентябрь 2011)"/>
        <s v="2012-11 (ноябрь 2012)"/>
        <s v="2012-03 (март 2012)"/>
        <s v="2012-09 (сентябрь 2012)"/>
        <s v="2009-09 (сентябрь 2009)"/>
        <s v="2009-07 (июль 2009)"/>
        <s v="2011-04 (апрель 2011)"/>
        <s v="2010-01 (январь 2010)"/>
        <s v="2010-05 (май 2010)"/>
        <s v="2009-02 (февраль 2009)"/>
        <s v="2009-06 (июнь 2009)"/>
        <s v="2010-07 (июль 2010)"/>
        <s v="2009-05 (май 2009)"/>
        <s v="2011-02 (февраль 2011)"/>
        <s v="2012-12 (декабрь 2012)"/>
        <s v="2009-04 (апрель 2009)"/>
        <s v="2009-12 (декабрь 2009)"/>
      </sharedItems>
    </cacheField>
    <cacheField name="Order Priority" numFmtId="0">
      <sharedItems/>
    </cacheField>
    <cacheField name="Order Quantity" numFmtId="0">
      <sharedItems containsSemiMixedTypes="0" containsString="0" containsNumber="1" containsInteger="1" minValue="1" maxValue="50"/>
    </cacheField>
    <cacheField name="Sales" numFmtId="0">
      <sharedItems containsSemiMixedTypes="0" containsString="0" containsNumber="1" minValue="2.2400000000000002" maxValue="89061.05"/>
    </cacheField>
    <cacheField name="Discount" numFmtId="0">
      <sharedItems containsSemiMixedTypes="0" containsString="0" containsNumber="1" minValue="0" maxValue="0.25"/>
    </cacheField>
    <cacheField name="Ship Mode" numFmtId="0">
      <sharedItems/>
    </cacheField>
    <cacheField name="Profit" numFmtId="2">
      <sharedItems containsSemiMixedTypes="0" containsString="0" containsNumber="1" minValue="-14140.7016" maxValue="27220.69"/>
    </cacheField>
    <cacheField name="Unit Price" numFmtId="0">
      <sharedItems containsSemiMixedTypes="0" containsString="0" containsNumber="1" minValue="0.99" maxValue="6783.02"/>
    </cacheField>
    <cacheField name="Shipping Cost" numFmtId="0">
      <sharedItems containsSemiMixedTypes="0" containsString="0" containsNumber="1" minValue="0.49" maxValue="164.73"/>
    </cacheField>
    <cacheField name="Customer Name" numFmtId="0">
      <sharedItems count="795">
        <s v="Muhammed MacIntyre"/>
        <s v="Barry French"/>
        <s v="Clay Rozendal"/>
        <s v="Carlos Soltero"/>
        <s v="Carl Jackson"/>
        <s v="Monica Federle"/>
        <s v="Dorothy Badders"/>
        <s v="Neola Schneider"/>
        <s v="Carlos Daly"/>
        <s v="Claudia Miner"/>
        <s v="Allen Rosenblatt"/>
        <s v="Sylvia Foulston"/>
        <s v="Jim Radford"/>
        <s v="Carl Ludwig"/>
        <s v="Don Miller"/>
        <s v="Annie Cyprus"/>
        <s v="Grant Carroll"/>
        <s v="Alan Barnes"/>
        <s v="Jack Garza"/>
        <s v="Julia West"/>
        <s v="Eugene Barchas"/>
        <s v="Edward Hooks"/>
        <s v="Brad Eason"/>
        <s v="Nicole Hansen"/>
        <s v="Dorothy Wardle"/>
        <s v="Aaron Bergman"/>
        <s v="Don Jones"/>
        <s v="Beth Thompson"/>
        <s v="Frank Price"/>
        <s v="Michelle Lonsdale"/>
        <s v="Ann Chong"/>
        <s v="Joy Bell"/>
        <s v="Skye Norling"/>
        <s v="Barry Weirich"/>
        <s v="Adrian Hane"/>
        <s v="Andrew Gjertsen"/>
        <s v="Ralph Knight"/>
        <s v="Beth Paige"/>
        <s v="Bryan Davis"/>
        <s v="Delfina Latchford"/>
        <s v="Doug Bickford"/>
        <s v="Jamie Kunitz"/>
        <s v="Anthony Johnson"/>
        <s v="Brendan Dodson"/>
        <s v="Hunter Glantz"/>
        <s v="Thomas Seio"/>
        <s v="Becky Castell"/>
        <s v="Cari Schnelling"/>
        <s v="Chad Cunningham"/>
        <s v="Bryan Mills"/>
        <s v="Rick Reed"/>
        <s v="Heather Kirkland"/>
        <s v="Fred Wasserman"/>
        <s v="Jack Lebron"/>
        <s v="Mike Pelletier"/>
        <s v="Charles McCrossin"/>
        <s v="Charlotte Melton"/>
        <s v="Henry Goldwyn"/>
        <s v="Roy Skaria"/>
        <s v="Jeremy Lonsdale"/>
        <s v="Cindy Schnelling"/>
        <s v="Susan Vittorini"/>
        <s v="Toby Braunhardt"/>
        <s v="Ralph Arnett"/>
        <s v="Harold Engle"/>
        <s v="Roy French"/>
        <s v="Helen Abelman"/>
        <s v="Guy Armstrong"/>
        <s v="Jennifer Braxton"/>
        <s v="Giulietta Baptist"/>
        <s v="Erica Bern"/>
        <s v="Christopher Schild"/>
        <s v="Joy Smith"/>
        <s v="Evan Minnotte"/>
        <s v="Jenna Caffey"/>
        <s v="Hilary Holden"/>
        <s v="Greg Guthrie"/>
        <s v="Dan Reichenbach"/>
        <s v="Paul Gonzalez"/>
        <s v="Filia McAdams"/>
        <s v="Chuck Magee"/>
        <s v="Frank Atkinson"/>
        <s v="Philip Brown"/>
        <s v="Jim Sink"/>
        <s v="Logan Haushalter"/>
        <s v="Noah Childs"/>
        <s v="Brian Moss"/>
        <s v="Julie Creighton"/>
        <s v="Sanjit Chand"/>
        <s v="Matt Collins"/>
        <s v="Justin Knight"/>
        <s v="Rob Haberlin"/>
        <s v="Christina Vanderzanden"/>
        <s v="Lena Cacioppo"/>
        <s v="Kimberly Carter"/>
        <s v="Gene Hale"/>
        <s v="Sally Knutson"/>
        <s v="Marina Lichtenstein"/>
        <s v="Michelle Arnett"/>
        <s v="Seth Vernon"/>
        <s v="Luke Weiss"/>
        <s v="Christina DeMoss"/>
        <s v="Sonia Sunley"/>
        <s v="Anthony O'Donnell"/>
        <s v="Emily Grady"/>
        <s v="Alex Avila"/>
        <s v="Anna Andreadi"/>
        <s v="Barbara Fisher"/>
        <s v="Kelly Williams"/>
        <s v="Jocasta Rupert"/>
        <s v="Rick Duston"/>
        <s v="Angele Hood"/>
        <s v="Dennis Bolton"/>
        <s v="Stewart Carmichael"/>
        <s v="Sarah Foster"/>
        <s v="Jim Karlsson"/>
        <s v="Lisa DeCherney"/>
        <s v="Peter Buhler"/>
        <s v="Daniel Lacy"/>
        <s v="Giulietta Weimer"/>
        <s v="Mike Vittorini"/>
        <s v="Lela Donovan"/>
        <s v="Shahid Shariari"/>
        <s v="Trudy Schmidt"/>
        <s v="Christopher Martinez"/>
        <s v="Marc Harrigan"/>
        <s v="Liz Price"/>
        <s v="Ralph Kennedy"/>
        <s v="Rob Dowd"/>
        <s v="Khloe Miller"/>
        <s v="Shahid Hopkins"/>
        <s v="Kristina Nunn"/>
        <s v="Ricardo Emerson"/>
        <s v="Patrick O'Brill"/>
        <s v="Thomas Brumley"/>
        <s v="Vicky Freymann"/>
        <s v="Tony Chapman"/>
        <s v="Sarah Bern"/>
        <s v="Mark Cousins"/>
        <s v="Daniel Byrd"/>
        <s v="John Murray"/>
        <s v="Lena Hernandez"/>
        <s v="Greg Maxwell"/>
        <s v="Justin Hirsh"/>
        <s v="Heather Jas"/>
        <s v="Philisse Overcash"/>
        <s v="Neil Knudson"/>
        <s v="Cathy Armstrong"/>
        <s v="Chuck Clark"/>
        <s v="Bill Eplett"/>
        <s v="John Grady"/>
        <s v="Tanja Norvell"/>
        <s v="Paul MacIntyre"/>
        <s v="Matt Abelman"/>
        <s v="Sarah Jordon"/>
        <s v="Sally Matthias"/>
        <s v="Theone Pippenger"/>
        <s v="Art Ferguson"/>
        <s v="Jack O'Briant"/>
        <s v="Nathan Cano"/>
        <s v="Michael Granlund"/>
        <s v="Steve Carroll"/>
        <s v="Scott Williamson"/>
        <s v="Sean Wendt"/>
        <s v="John Castell"/>
        <s v="David Philippe"/>
        <s v="Chad Sievert"/>
        <s v="Shaun Weien"/>
        <s v="Maya Herman"/>
        <s v="Ivan Liston"/>
        <s v="Brad Norvell"/>
        <s v="Ken Heidel"/>
        <s v="Mike Kennedy"/>
        <s v="Charles Sheldon"/>
        <s v="Brian Derr"/>
        <s v="Roland Black"/>
        <s v="Dana Kaydos"/>
        <s v="Darren Koutras"/>
        <s v="Neil Ducich"/>
        <s v="Parhena Norris"/>
        <s v="Bart Watters"/>
        <s v="Mary O'Rourke"/>
        <s v="Hunter Lopez"/>
        <s v="Nathan Mautz"/>
        <s v="Aaron Smayling"/>
        <s v="Joel Jenkins"/>
        <s v="Meg O'Connel"/>
        <s v="Hallie Redmond"/>
        <s v="Liz Thompson"/>
        <s v="Robert Waldorf"/>
        <s v="Helen Andreada"/>
        <s v="Julia Dunbar"/>
        <s v="Christine Sundaresam"/>
        <s v="Bruce Stewart"/>
        <s v="Guy Thornton"/>
        <s v="Mary Zewe"/>
        <s v="Ken Lonsdale"/>
        <s v="Maria Bertelson"/>
        <s v="Brian Thompson"/>
        <s v="Jason Gross"/>
        <s v="Katrina Bavinger"/>
        <s v="Ivan Gibson"/>
        <s v="Joseph Airdo"/>
        <s v="Lycoris Saunders"/>
        <s v="Dorothy Dickinson"/>
        <s v="Janet Molinari"/>
        <s v="Julie Prescott"/>
        <s v="Annie Thurman"/>
        <s v="Rob Beeghly"/>
        <s v="Doug O'Connell"/>
        <s v="Craig Carroll"/>
        <s v="Liz MacKendrick"/>
        <s v="Christine Kargatis"/>
        <s v="Bobby Odegard"/>
        <s v="Russell Applegate"/>
        <s v="Bill Donatelli"/>
        <s v="Duane Benoit"/>
        <s v="Harold Pawlan"/>
        <s v="Adam Bellavance"/>
        <s v="Cari Sayre"/>
        <s v="Sean O'Donnell"/>
        <s v="Sandra Glassco"/>
        <s v="Shirley Schmidt"/>
        <s v="Rick Wilson"/>
        <s v="Pauline Chand"/>
        <s v="Jennifer Halladay"/>
        <s v="Ritsa Hightower"/>
        <s v="Joni Blumstein"/>
        <s v="Pete Armstrong"/>
        <s v="Anna Gayman"/>
        <s v="Nat Gilpin"/>
        <s v="Rose O'Brian"/>
        <s v="Daniel Raglin"/>
        <s v="Corinna Mitchell"/>
        <s v="Eva Jacobs"/>
        <s v="Jas O'Carroll"/>
        <s v="Paul Prost"/>
        <s v="Michael Nguyen"/>
        <s v="Tamara Dahlen"/>
        <s v="Erin Creighton"/>
        <s v="Henry MacAllister"/>
        <s v="Candace McMahon"/>
        <s v="Tamara Chand"/>
        <s v="Duane Huffman"/>
        <s v="Edward Nazzal"/>
        <s v="Kelly Lampkin"/>
        <s v="Anthony Witt"/>
        <s v="Ted Trevino"/>
        <s v="Ed Ludwig"/>
        <s v="Jeremy Ellison"/>
        <s v="Alan Hwang"/>
        <s v="Eileen Kiefer"/>
        <s v="James Lanier"/>
        <s v="Edward Becker"/>
        <s v="Gary Zandusky"/>
        <s v="Ann Blume"/>
        <s v="Erin Smith"/>
        <s v="Allen Golden"/>
        <s v="Frank Carlisle"/>
        <s v="Gary Hansen"/>
        <s v="Nancy Lomonaco"/>
        <s v="Anna Haberlin"/>
        <s v="Erin Ashbrook"/>
        <s v="Darren Budd"/>
        <s v="Bill Stewart"/>
        <s v="Christine Phan"/>
        <s v="Eugene Hildebrand"/>
        <s v="Melanie Page"/>
        <s v="Jesus Ocampo"/>
        <s v="Darren Powers"/>
        <s v="Patrick Bzostek"/>
        <s v="Grace Kelly"/>
        <s v="Dan Lawera"/>
        <s v="George Ashbrook"/>
        <s v="Dave Hallsten"/>
        <s v="Arthur Wiediger"/>
        <s v="Jim Mitchum"/>
        <s v="Andy Yotov"/>
        <s v="Frank Hawley"/>
        <s v="Theresa Coyne"/>
        <s v="David Smith"/>
        <s v="Naresj Patel"/>
        <s v="Ruben Ausman"/>
        <s v="Larry Hughes"/>
        <s v="Magdelene Morse"/>
        <s v="Jonathan Howell"/>
        <s v="Linda Cazamias"/>
        <s v="Nat Carroll"/>
        <s v="Gary Mitchum"/>
        <s v="Matt Hagelstein"/>
        <s v="Andy Reiter"/>
        <s v="Mike Caudle"/>
        <s v="Cynthia Arntzen"/>
        <s v="Brian Stugart"/>
        <s v="George Bell"/>
        <s v="Joni Sundaresam"/>
        <s v="Michelle Huthwaite"/>
        <s v="Amy Cox"/>
        <s v="Cari MacIntyre"/>
        <s v="Eudokia Martin"/>
        <s v="Fred Hopkins"/>
        <s v="Aimee Bixby"/>
        <s v="Anemone Ratner"/>
        <s v="Chris Selesnick"/>
        <s v="Noel Staavos"/>
        <s v="Dean Braden"/>
        <s v="Lena Creighton"/>
        <s v="Matt Collister"/>
        <s v="Erica Smith"/>
        <s v="Janet Martin"/>
        <s v="Andrew Roberts"/>
        <s v="Michael Dominguez"/>
        <s v="Thomas Boland"/>
        <s v="Olvera Toch"/>
        <s v="Lena Radford"/>
        <s v="Sean Christensen"/>
        <s v="Todd Boyes"/>
        <s v="Sean Miller"/>
        <s v="Phillip Breyer"/>
        <s v="Michelle Ellison"/>
        <s v="Scot Coram"/>
        <s v="Natalie Fritzler"/>
        <s v="Nathan Gelder"/>
        <s v="Patricia Hirasaki"/>
        <s v="Maria Zettner"/>
        <s v="Matthew Clasen"/>
        <s v="Patrick O'Donnell"/>
        <s v="Harry Marie"/>
        <s v="Victoria Wilson"/>
        <s v="Shahid Collister"/>
        <s v="Thea Hendricks"/>
        <s v="Corey Catlett"/>
        <s v="Ed Jacobs"/>
        <s v="Keith Herrera"/>
        <s v="Carlos Meador"/>
        <s v="Raymond Fair"/>
        <s v="Karl Brown"/>
        <s v="Natalie Webber"/>
        <s v="Eric Barreto"/>
        <s v="Barry Franz"/>
        <s v="Craig Yedwab"/>
        <s v="Chuck Sachs"/>
        <s v="Muhammed Lee"/>
        <s v="Bobby Trafton"/>
        <s v="David Flashing"/>
        <s v="Troy Staebel"/>
        <s v="Nora Paige"/>
        <s v="Harold Dahlen"/>
        <s v="Jay Fine"/>
        <s v="Dan Campbell"/>
        <s v="George Zrebassa"/>
        <s v="Eleni McCrary"/>
        <s v="Astrea Jones"/>
        <s v="Giulietta Dortch"/>
        <s v="Cathy Hwang"/>
        <s v="Damala Kotsonis"/>
        <s v="Dianna Arnett"/>
        <s v="Fred McMath"/>
        <s v="Christy Brittain"/>
        <s v="Tom Prescott"/>
        <s v="Yana Sorensen"/>
        <s v="Brad Thomas"/>
        <s v="Cynthia Voltz"/>
        <s v="Dean Percer"/>
        <s v="Ben Peterman"/>
        <s v="Tracy Poddar"/>
        <s v="Michael Paige"/>
        <s v="Corey Roper"/>
        <s v="Maureen Gastineau"/>
        <s v="Muhammed Yedwab"/>
        <s v="Alex Grayson"/>
        <s v="Chris Cortes"/>
        <s v="Sara Luxemburg"/>
        <s v="Eric Murdock"/>
        <s v="Paul Knutson"/>
        <s v="Nicole Brennan"/>
        <s v="Jennifer Patt"/>
        <s v="Elpida Rittenbach"/>
        <s v="David Wiener"/>
        <s v="Peter McVee"/>
        <s v="Karen Carlisle"/>
        <s v="Stefania Perrino"/>
        <s v="Paul Lucas"/>
        <s v="Evan Henry"/>
        <s v="Alyssa Tate"/>
        <s v="Michael Stewart"/>
        <s v="Shirley Jackson"/>
        <s v="Katherine Murray"/>
        <s v="Berenike Kampe"/>
        <s v="Erica Hernandez"/>
        <s v="Tony Molinari"/>
        <s v="Elizabeth Moffitt"/>
        <s v="Deanra Eno"/>
        <s v="Mark Packer"/>
        <s v="Alan Shonely"/>
        <s v="Katrina Willman"/>
        <s v="Anthony Garverick"/>
        <s v="Aaron Hawkins"/>
        <s v="Dave Poirier"/>
        <s v="Bradley Drucker"/>
        <s v="Mark Haberlin"/>
        <s v="Brendan Murry"/>
        <s v="Emily Burns"/>
        <s v="Michael Oakman"/>
        <s v="Deborah Brumfield"/>
        <s v="Robert Barroso"/>
        <s v="Darrin Sayre"/>
        <s v="Michael Kennedy"/>
        <s v="Marc Crier"/>
        <s v="Bobby Elias"/>
        <s v="Joni Wasserman"/>
        <s v="Karen Ferguson"/>
        <s v="Bradley Talbott"/>
        <s v="Julia Barnett"/>
        <s v="Emily Phan"/>
        <s v="Liz Willingham"/>
        <s v="Denise Leinenbach"/>
        <s v="Bill Tyler"/>
        <s v="Debra Catini"/>
        <s v="Becky Martin"/>
        <s v="Benjamin Venier"/>
        <s v="Bill Shonely"/>
        <s v="Pierre Wener"/>
        <s v="Julie Kriz"/>
        <s v="David Kendrick"/>
        <s v="Doug Jacobs"/>
        <s v="Luke Foster"/>
        <s v="Dianna Wilson"/>
        <s v="Michelle Tran"/>
        <s v="Sanjit Jacobs"/>
        <s v="Barry Gonzalez"/>
        <s v="Vivian Mathis"/>
        <s v="Carol Adams"/>
        <s v="Vivek Gonzalez"/>
        <s v="Bradley Nguyen"/>
        <s v="Pete Takahito"/>
        <s v="Jason Klamczynski"/>
        <s v="Greg Tran"/>
        <s v="Gene McClure"/>
        <s v="Helen Wasserman"/>
        <s v="Ross DeVincentis"/>
        <s v="Valerie Mitchum"/>
        <s v="Bart Pistole"/>
        <s v="Chad McGuire"/>
        <s v="Scott Cohen"/>
        <s v="Vivek Sundaresam"/>
        <s v="Natalie DeCherney"/>
        <s v="Cynthia Delaney"/>
        <s v="Tom Stivers"/>
        <s v="Gary McGarr"/>
        <s v="Grant Thornton"/>
        <s v="Speros Goranitis"/>
        <s v="Ellis Ballard"/>
        <s v="Maribeth Dona"/>
        <s v="Corey Lock"/>
        <s v="Bart Folk"/>
        <s v="Anne Pryor"/>
        <s v="Dorris Love"/>
        <s v="Caroline Jumper"/>
        <s v="Pamela Stobb"/>
        <s v="Jasper Cacioppo"/>
        <s v="Alan Haines"/>
        <s v="Deirdre Greer"/>
        <s v="John Stevenson"/>
        <s v="Sheri Gordon"/>
        <s v="Ben Wallace"/>
        <s v="Max Engle"/>
        <s v="Fred Chung"/>
        <s v="Dennis Kane"/>
        <s v="Phillip Flathmann"/>
        <s v="Mathew Reese"/>
        <s v="Stuart Van"/>
        <s v="Brenda Bowman"/>
        <s v="Jennifer Ferguson"/>
        <s v="Theresa Swint"/>
        <s v="Katherine Nockton"/>
        <s v="Stewart Visinsky"/>
        <s v="Jeremy Farry"/>
        <s v="Clay Ludtke"/>
        <s v="Laurel Elliston"/>
        <s v="Mitch Webber"/>
        <s v="Carol Triggs"/>
        <s v="Justin MacKendrick"/>
        <s v="Sarah Brown"/>
        <s v="Tony Sayre"/>
        <s v="Dionis Lloyd"/>
        <s v="Lindsay Castell"/>
        <s v="Michael Chen"/>
        <s v="Toby Carlisle"/>
        <s v="Ted Butterfield"/>
        <s v="Nora Price"/>
        <s v="Shirley Daniels"/>
        <s v="Arthur Gainer"/>
        <s v="Stuart Calhoun"/>
        <s v="Arthur Prichep"/>
        <s v="Kean Nguyen"/>
        <s v="Jim Kriz"/>
        <s v="Harold Ryan"/>
        <s v="John Lucas"/>
        <s v="Alejandro Grove"/>
        <s v="Sam Zeldin"/>
        <s v="Sally Hughsby"/>
        <s v="Jane Waco"/>
        <s v="Sandra Flanagan"/>
        <s v="Steve Nguyen"/>
        <s v="Herbert Flentye"/>
        <s v="Xylona Price"/>
        <s v="Bill Overfelt"/>
        <s v="Robert Marley"/>
        <s v="Mick Hernandez"/>
        <s v="Guy Phonely"/>
        <s v="Jay Kimmel"/>
        <s v="Matt Connell"/>
        <s v="Vivek Grady"/>
        <s v="Ben Ferrer"/>
        <s v="Karen Daniels"/>
        <s v="Pamela Coakley"/>
        <s v="Denny Blanton"/>
        <s v="Laura Armstrong"/>
        <s v="Lindsay Shagiari"/>
        <s v="Cathy Prescott"/>
        <s v="Stephanie Ulpright"/>
        <s v="Odella Nelson"/>
        <s v="Ryan Akin"/>
        <s v="Todd Sumrall"/>
        <s v="Greg Hansen"/>
        <s v="Darrin Martin"/>
        <s v="Ken Brennan"/>
        <s v="Max Jones"/>
        <s v="Joe Kamberova"/>
        <s v="Maureen Fritzler"/>
        <s v="Art Foster"/>
        <s v="Erica Hackney"/>
        <s v="Don Weiss"/>
        <s v="Jessica Myrick"/>
        <s v="Bruce Degenhardt"/>
        <s v="Kalyca Meade"/>
        <s v="Troy Blackwell"/>
        <s v="Clytie Kelty"/>
        <s v="Steven Roelle"/>
        <s v="Benjamin Patterson"/>
        <s v="Denny Joy"/>
        <s v="Kristen Hastings"/>
        <s v="Alan Schoenberger"/>
        <s v="Alejandro Savely"/>
        <s v="Kean Thornton"/>
        <s v="Grant Donatelli"/>
        <s v="Jason Fortune"/>
        <s v="Dave Brooks"/>
        <s v="Philip Fox"/>
        <s v="Ionia McGrath"/>
        <s v="Lori Olson"/>
        <s v="Quincy Jones"/>
        <s v="Patrick Jones"/>
        <s v="Karen Seio"/>
        <s v="Patrick Gardner"/>
        <s v="Nona Balk"/>
        <s v="Erin Mull"/>
        <s v="John Lee"/>
        <s v="Justin Deggeller"/>
        <s v="Keith Dawkins"/>
        <s v="Joe Elijah"/>
        <s v="Stefanie Holloman"/>
        <s v="Ken Black"/>
        <s v="Lindsay Williams"/>
        <s v="Logan Currie"/>
        <s v="Steve Chapman"/>
        <s v="Scot Wooten"/>
        <s v="Denise Monton"/>
        <s v="Ed Braxton"/>
        <s v="Valerie Takahito"/>
        <s v="Penelope Sewall"/>
        <s v="Sean Braxton"/>
        <s v="Valerie Dominguez"/>
        <s v="Susan MacKendrick"/>
        <s v="Thais Sissman"/>
        <s v="Linda Southworth"/>
        <s v="Michael Moore"/>
        <s v="Patrick Ryan"/>
        <s v="Ross Baird"/>
        <s v="Tracy Zic"/>
        <s v="Mick Crebagga"/>
        <s v="Steven Ward"/>
        <s v="Ryan Crowe"/>
        <s v="Irene Maddox"/>
        <s v="Nick Radford"/>
        <s v="Maurice Satty"/>
        <s v="Victor Price"/>
        <s v="Maureen Grace"/>
        <s v="Eric Hoffmann"/>
        <s v="Jill Stevenson"/>
        <s v="Evan Bailliet"/>
        <s v="Meg Tillman"/>
        <s v="Russell D'Ascenzo"/>
        <s v="Gary Hwang"/>
        <s v="Emily Ducich"/>
        <s v="Steven Cartwright"/>
        <s v="Sue Ann Reed"/>
        <s v="Sanjit Engle"/>
        <s v="Katherine Ducich"/>
        <s v="Mike Gockenbach"/>
        <s v="Tom Zandusky"/>
        <s v="Henia Zydlo"/>
        <s v="Tracy Collins"/>
        <s v="Toby Knight"/>
        <s v="Thea Hudgings"/>
        <s v="Nora Pelletier"/>
        <s v="Jamie Frazer"/>
        <s v="Rachel Payne"/>
        <s v="Craig Molinari"/>
        <s v="Joy Daniels"/>
        <s v="Jill Fjeld"/>
        <s v="Rick Bensley"/>
        <s v="Maribeth Schnelling"/>
        <s v="Roland Murray"/>
        <s v="Peter Fuller"/>
        <s v="Sam Craven"/>
        <s v="Mitch Willingham"/>
        <s v="John Dryer"/>
        <s v="Susan Gilcrest"/>
        <s v="Randy Bradley"/>
        <s v="William Brown"/>
        <s v="Rick Hansen"/>
        <s v="Toby Grace"/>
        <s v="Joseph Holt"/>
        <s v="Ashley Jarboe"/>
        <s v="Pauline Webber"/>
        <s v="Kean Takahito"/>
        <s v="Nick Zandusky"/>
        <s v="Neoma Murray"/>
        <s v="Sung Chung"/>
        <s v="Darrin Van Huff"/>
        <s v="Max Ludwig"/>
        <s v="Michelle Moray"/>
        <s v="Craig Rider"/>
        <s v="Maribeth Yedwab"/>
        <s v="Eugene Moren"/>
        <s v="Mark Van Huff"/>
        <s v="Mark Hamilton"/>
        <s v="Sung Shariari"/>
        <s v="Richard Eichhorn"/>
        <s v="Neil French"/>
        <s v="Nicole Fjeld"/>
        <s v="Suzanne McNair"/>
        <s v="Susan Pistek"/>
        <s v="Nick Crebassa"/>
        <s v="Aleksandra Gannaway"/>
        <s v="Carl Weiss"/>
        <s v="Joel Eaton"/>
        <s v="Justin Ellison"/>
        <s v="Jennifer Jackson"/>
        <s v="Karen Bern"/>
        <s v="Liz Pelletier"/>
        <s v="Jonathan Doherty"/>
        <s v="Frank Gastineau"/>
        <s v="Janet Lee"/>
        <s v="Maxwell Schwartz"/>
        <s v="Liz Carlisle"/>
        <s v="Kelly Collister"/>
        <s v="Dennis Pardue"/>
        <s v="John Huston"/>
        <s v="MaryBeth Skach"/>
        <s v="Craig Carreira"/>
        <s v="Paul Stevenson"/>
        <s v="Luke Schmidt"/>
        <s v="Kelly Andreada"/>
        <s v="Tracy Hopkins"/>
        <s v="Craig Leslie"/>
        <s v="Michael Grace"/>
        <s v="Saphhira Shifley"/>
        <s v="Laurel Beltran"/>
        <s v="Tracy Blumstein"/>
        <s v="Larry Blacks"/>
        <s v="Richard Bierner"/>
        <s v="Tiffany House"/>
        <s v="Roy Collins"/>
        <s v="Toby Swindell"/>
        <s v="Christina Anderson"/>
        <s v="Robert Dilbeck"/>
        <s v="Randy Ferguson"/>
        <s v="Arianne Irving"/>
        <s v="Andy Gerbode"/>
        <s v="Amy Hunt"/>
        <s v="Trudy Brown"/>
        <s v="Brian Dahlen"/>
        <s v="Beth Fritzler"/>
        <s v="Brosina Hoffman"/>
        <s v="Phillina Ober"/>
        <s v="Jim Epp"/>
        <s v="James Galang"/>
        <s v="Lynn Smith"/>
        <s v="Christine Abelman"/>
        <s v="Pauline Johnson"/>
        <s v="Georgia Rosenberg"/>
        <s v="Allen Armold"/>
        <s v="Katherine Hughes"/>
        <s v="Brendan Sweed"/>
        <s v="Dario Medina"/>
        <s v="Cindy Chapman"/>
        <s v="Benjamin Farhat"/>
        <s v="Dianna Vittorini"/>
        <s v="Cindy Stewart"/>
        <s v="Rob Williams"/>
        <s v="Anna Chung"/>
        <s v="Ricardo Block"/>
        <s v="Trudy Bell"/>
        <s v="Rob Lucas"/>
        <s v="Adam Hart"/>
        <s v="Roland Fjeld"/>
        <s v="Denny Ordway"/>
        <s v="Charles Crestani"/>
        <s v="Bryan Spruell"/>
        <s v="Thomas Thornton"/>
        <s v="Tamara Willingham"/>
        <s v="Anne McFarland"/>
        <s v="Dean Katz"/>
        <s v="Barry Pond"/>
        <s v="Jeremy Pistek"/>
        <s v="Cyra Reiten"/>
        <s v="Victoria Pisteka"/>
        <s v="Dave Kipp"/>
        <s v="David Bremer"/>
        <s v="Jill Matthias"/>
        <s v="Tim Taslimi"/>
        <s v="Juliana Krohn"/>
        <s v="Duane Noonan"/>
        <s v="Paul Van Hugh"/>
        <s v="Tom Ashbrook"/>
        <s v="Maris LaWare"/>
        <s v="Mick Brown"/>
        <s v="Chris McAfee"/>
        <s v="Pete Kriz"/>
        <s v="Rick Huthwaite"/>
        <s v="Carol Darley"/>
        <s v="Fred Harton"/>
        <s v="Andrew Allen"/>
        <s v="Art Miller"/>
        <s v="Lauren Leatherbury"/>
        <s v="Greg Matthias"/>
        <s v="Anthony Rawles"/>
        <s v="Barry Blumstein"/>
        <s v="Roger Barcio"/>
        <s v="Sung Pak"/>
        <s v="Tim Brockman"/>
        <s v="Resi Polking"/>
        <s v="Roger Demir"/>
        <s v="Tamara Manning"/>
        <s v="Shaun Chance"/>
        <s v="Sharelle Roach"/>
        <s v="Ken Dana"/>
        <s v="Laurel Workman"/>
        <s v="Lisa Ryan"/>
        <s v="Chloris Kastensmidt"/>
        <s v="Lisa Hazard"/>
        <s v="Mitch Gastineau"/>
        <s v="Katharine Harms"/>
        <s v="Matthew Grinstein"/>
        <s v="Maria Etezadi"/>
        <s v="Sample Company A"/>
        <s v="Sonia Cooley"/>
        <s v="Sibella Parks"/>
        <s v="Becky Pak"/>
        <s v="Adam Shillingsburg"/>
        <s v="Brooke Gillingham"/>
        <s v="Tom Boeckenhauer"/>
        <s v="Alex Russell"/>
        <s v="Alejandro Ballentine"/>
        <s v="Claire Good"/>
        <s v="Alyssa Crouse"/>
        <s v="Cassandra Brandow"/>
        <s v="Adrian Barton"/>
        <s v="Catherine Glotzbach"/>
        <s v="Frank Olsen"/>
        <s v="Alice McCarthy"/>
        <s v="Frank Merwin"/>
        <s v="Bruce Money"/>
        <s v="Larry Tron"/>
        <s v="Brian DeCherney"/>
        <s v="Ann Steele"/>
        <s v="Anthony Jacobs"/>
        <s v="Katrina Edelman"/>
        <s v="Ruben Dartt"/>
        <s v="Roy Phan"/>
        <s v="Clay Cheatham"/>
        <s v="Yoseph Carroll"/>
        <s v="Raymond Book"/>
        <s v="Alan Dominguez"/>
        <s v="Stephanie Phelps"/>
        <s v="Tonja Turnell"/>
        <s v="Christopher Conant"/>
        <s v="Cyma Kinney"/>
        <s v="Shui Tom"/>
        <s v="Victoria Brennan"/>
        <s v="Adrian Shami"/>
        <s v="Harry Greene"/>
      </sharedItems>
    </cacheField>
    <cacheField name="Province" numFmtId="0">
      <sharedItems count="13">
        <s v="Nunavut"/>
        <s v="Northwest Territories"/>
        <s v="Prince Edward Island"/>
        <s v="Manitoba"/>
        <s v="British Columbia"/>
        <s v="Nova Scotia"/>
        <s v="Ontario"/>
        <s v="Newfoundland"/>
        <s v="Quebec"/>
        <s v="New Brunswick"/>
        <s v="Saskachewan"/>
        <s v="Yukon"/>
        <s v="Alberta"/>
      </sharedItems>
    </cacheField>
    <cacheField name="Region" numFmtId="0">
      <sharedItems count="8">
        <s v="Nunavut"/>
        <s v="Northwest Territories"/>
        <s v="Atlantic"/>
        <s v="Prarie"/>
        <s v="West"/>
        <s v="Ontario"/>
        <s v="Quebec"/>
        <s v="Yukon"/>
      </sharedItems>
    </cacheField>
    <cacheField name="Customer Segment" numFmtId="0">
      <sharedItems count="4">
        <s v="Small Business"/>
        <s v="Consumer"/>
        <s v="Corporate"/>
        <s v="Home Office"/>
      </sharedItems>
    </cacheField>
    <cacheField name="Product Category" numFmtId="0">
      <sharedItems count="3">
        <s v="Office Supplies"/>
        <s v="Technology"/>
        <s v="Furniture"/>
      </sharedItems>
    </cacheField>
    <cacheField name="Product Sub-Category" numFmtId="0">
      <sharedItems count="17">
        <s v="Storage &amp; Organization"/>
        <s v="Appliances"/>
        <s v="Binders and Binder Accessories"/>
        <s v="Telephones and Communication"/>
        <s v="Office Furnishings"/>
        <s v="Paper"/>
        <s v="Rubber Bands"/>
        <s v="Computer Peripherals"/>
        <s v="Envelopes"/>
        <s v="Bookcases"/>
        <s v="Tables"/>
        <s v="Labels"/>
        <s v="Pens &amp; Art Supplies"/>
        <s v="Copiers and Fax"/>
        <s v="Chairs &amp; Chairmats"/>
        <s v="Scissors, Rulers and Trimmers"/>
        <s v="Office Machines"/>
      </sharedItems>
    </cacheField>
    <cacheField name="Product Name" numFmtId="0">
      <sharedItems count="1263">
        <s v="Eldon Base for stackable storage shelf, platinum"/>
        <s v="1.7 Cubic Foot Compact &quot;Cube&quot; Office Refrigerators"/>
        <s v="Cardinal Slant-D® Ring Binder, Heavy Gauge Vinyl"/>
        <s v="R380"/>
        <s v="Holmes HEPA Air Purifier"/>
        <s v="G.E. Longer-Life Indoor Recessed Floodlight Bulbs"/>
        <s v="Angle-D Binders with Locking Rings, Label Holders"/>
        <s v="SAFCO Mobile Desk Side File, Wire Frame"/>
        <s v="SAFCO Commercial Wire Shelving, Black"/>
        <s v="Xerox 198"/>
        <s v="Xerox 1980"/>
        <s v="Advantus Map Pennant Flags and Round Head Tacks"/>
        <s v="DS/HD IBM Formatted Diskettes, 200/Pack - Staples"/>
        <s v="Wilson Jones 1&quot; Hanging DublLock® Ring Binders"/>
        <s v="Ultra Commercial Grade Dual Valve Door Closer"/>
        <s v="#10-4 1/8&quot; x 9 1/2&quot; Premium Diagonal Seam Envelopes"/>
        <s v="Hon 4-Shelf Metal Bookcases"/>
        <s v="Lesro Sheffield Collection Coffee Table, End Table, Center Table, Corner Table"/>
        <s v="g520"/>
        <s v="LX 788"/>
        <s v="Avery 52"/>
        <s v="Plymouth Boxed Rubber Bands by Plymouth"/>
        <s v="GBC Pre-Punched Binding Paper, Plastic, White, 8-1/2&quot; x 11&quot;"/>
        <s v="Maxell 3.5&quot; DS/HD IBM-Formatted Diskettes, 10/Pack"/>
        <s v="Newell 335"/>
        <s v="SANFORD Liquid Accent™ Tank-Style Highlighters"/>
        <s v="Canon PC940 Copier"/>
        <s v="Tenex Personal Project File with Scoop Front Design, Black"/>
        <s v="Col-Erase® Pencils with Erasers"/>
        <s v="Imation 3.5&quot; DS/HD IBM Formatted Diskettes, 10/Pack"/>
        <s v="White Dual Perf Computer Printout Paper, 2700 Sheets, 1 Part, Heavyweight, 20 lbs., 14 7/8 x 11"/>
        <s v="Self-Adhesive Address Labels for Typewriters by Universal"/>
        <s v="Accessory37"/>
        <s v="Fuji 5.2GB DVD-RAM"/>
        <s v="Bevis Steel Folding Chairs"/>
        <s v="Avery Binder Labels"/>
        <s v="Hon Every-Day® Chair Series Swivel Task Chairs"/>
        <s v="IBM Multi-Purpose Copy Paper, 8 1/2 x 11&quot;, Case"/>
        <s v="Global Troy™ Executive Leather Low-Back Tilter"/>
        <s v="XtraLife® ClearVue™ Slant-D® Ring Binders by Cardinal"/>
        <s v="Computer Printout Paper with Letter-Trim Perforations"/>
        <s v="6160"/>
        <s v="Avery 49"/>
        <s v="Hoover Portapower™ Portable Vacuum"/>
        <s v="Timeport L7089"/>
        <s v="Avery 510"/>
        <s v="Xerox 1881"/>
        <s v="Memorex 4.7GB DVD-RAM, 3/Pack"/>
        <s v="Unpadded Memo Slips"/>
        <s v="Adams Telephone Message Book W/Dividers/Space For Phone Numbers, 5 1/4&quot;X8 1/2&quot;, 300/Messages"/>
        <s v="Eldon Expressions™ Desk Accessory, Wood Pencil Holder, Oak"/>
        <s v="Bell Sonecor JB700 Caller ID"/>
        <s v="Avery Arch Ring Binders"/>
        <s v="APC 7 Outlet Network SurgeArrest Surge Protector"/>
        <s v="Deflect-o RollaMat Studded, Beveled Mat for Medium Pile Carpeting"/>
        <s v="Accessory4"/>
        <s v="Personal Creations™ Ink Jet Cards and Labels"/>
        <s v="High Speed Automatic Electric Letter Opener"/>
        <s v="Xerox 1966"/>
        <s v="Xerox 213"/>
        <s v="Boston Electric Pencil Sharpener, Model 1818, Charcoal Black"/>
        <s v="Hammermill CopyPlus Copy Paper (20Lb. and 84 Bright)"/>
        <s v="Telephone Message Books with Fax/Mobile Section, 5 1/2&quot; x 3 3/16&quot;"/>
        <s v="Crate-A-Files™"/>
        <s v="80 Minute CD-R Spindle, 100/Pack - Staples"/>
        <s v="Bush Westfield Collection Bookcases, Dark Cherry Finish, Fully Assembled"/>
        <s v="12-1/2 Diameter Round Wall Clock"/>
        <s v="SAFCO Arco Folding Chair"/>
        <s v="#10 White Business Envelopes,4 1/8 x 9 1/2"/>
        <s v="3M Office Air Cleaner"/>
        <s v="Global Leather and Oak Executive Chair, Black"/>
        <s v="Xerox 1936"/>
        <s v="Xerox 214"/>
        <s v="Carina Double Wide Media Storage Towers in Natural &amp; Black"/>
        <s v="Staples® General Use 3-Ring Binders"/>
        <s v="Xerox 1904"/>
        <s v="Luxo Professional Combination Clamp-On Lamps"/>
        <s v="Xerox 217"/>
        <s v="Revere Boxed Rubber Bands by Revere"/>
        <s v="Acco Smartsocket™ Table Surge Protector, 6 Color-Coded Adapter Outlets"/>
        <s v="Tennsco Snap-Together Open Shelving Units, Starter Sets and Add-On Units"/>
        <s v="Hon 4070 Series Pagoda™ Round Back Stacking Chairs"/>
        <s v="Xerox 1887"/>
        <s v="Xerox 1891"/>
        <s v="Avery 506"/>
        <s v="Bush Heritage Pine Collection 5-Shelf Bookcase, Albany Pine Finish, *Special Order"/>
        <s v="Lifetime Advantage™ Folding Chairs, 4/Carton"/>
        <s v="Microsoft Natural Multimedia Keyboard"/>
        <s v="Staples Wirebound Steno Books, 6&quot; x 9&quot;, 12/Pack"/>
        <s v="Bevis Boat-Shaped Conference Table"/>
        <s v="Linden® 12&quot; Wall Clock With Oak Frame"/>
        <s v="Newell 326"/>
        <s v="Prismacolor Color Pencil Set"/>
        <s v="Xerox Blank Computer Paper"/>
        <s v="600 Series Flip"/>
        <s v="Fellowes Recycled Storage Drawers"/>
        <s v="Satellite Sectional Post Binders"/>
        <s v="Deflect-o DuraMat Antistatic Studded Beveled Mat for Medium Pile Carpeting"/>
        <s v="Avery 487"/>
        <s v="Bevis Round Conference Table Top &amp; Single Column Base"/>
        <s v="GBC Twin Loop™ Wire Binding Elements, 9/16&quot; Spine, Black"/>
        <s v="Hanging Personal Folder File"/>
        <s v="Bevis Round Conference Table Top, X-Base"/>
        <s v="5125"/>
        <s v="Electrix Halogen Magnifier Lamp"/>
        <s v="Canon BP1200DH 12-Digit Bubble Jet Printing Calculator"/>
        <s v="Fellowes Black Plastic Comb Bindings"/>
        <s v="Polycom ViewStation™ Adapter H323 Videoconferencing Unit"/>
        <s v="Hon GuestStacker Chair"/>
        <s v="Eldon® Wave Desk Accessories"/>
        <s v="Sharp AL-1530CS Digital Copier"/>
        <s v="Tennsco Lockers, Gray"/>
        <s v="Avery 4027 File Folder Labels for Dot Matrix Printers, 5000 Labels per Box, White"/>
        <s v="Newell 323"/>
        <s v="Global Enterprise Series Seating High-Back Swivel/Tilt Chairs"/>
        <s v="Spiral Phone Message Books with Labels by Adams"/>
        <s v="Holmes 99% HEPA Air Purifier"/>
        <s v="Xerox 224"/>
        <s v="Xerox 1906"/>
        <s v="Xerox 188"/>
        <s v="Xerox 1932"/>
        <s v="GBC Linen Binding Covers"/>
        <s v="GBC Recycled Grain Textured Covers"/>
        <s v="Sauder Facets Collection Library, Sky Alder Finish"/>
        <s v="Fellowes Basic 104-Key Keyboard, Platinum"/>
        <s v="Kensington 7 Outlet MasterPiece Power Center with Fax/Phone Line Protection"/>
        <s v="O'Sullivan 3-Shelf Heavy-Duty Bookcases"/>
        <s v="Panasonic KX-P1150 Dot Matrix Printer"/>
        <s v="Newell 327"/>
        <s v="Xerox 1893"/>
        <s v="Hon Deluxe Fabric Upholstered Stacking Chairs, Rounded Back"/>
        <s v="Eldon Radial Chair Mat for Low to Medium Pile Carpets"/>
        <s v="DAX Copper Panel Document Frame, 5 x 7 Size"/>
        <s v="O'Sullivan 2-Shelf Heavy-Duty Bookcases"/>
        <s v="Tenex 46&quot; x 60&quot; Computer Anti-Static Chairmat, Rectangular Shaped"/>
        <s v="Wirebound Message Books, 2 7/8&quot; x 5&quot;, 3 Forms per Page"/>
        <s v="Memorex Slim 80 Minute CD-R, 10/Pack"/>
        <s v="Aluminum Document Frame"/>
        <s v="Memorex 80 Minute CD-R Spindle, 100/Pack"/>
        <s v="Multi-Use Personal File Cart and Caster Set, Three Stacking Bins"/>
        <s v="Accessory36"/>
        <s v="Xerox 20"/>
        <s v="Surelock™ Post Binders"/>
        <s v="Colorific® Watercolor Pencils"/>
        <s v="*Staples* vLetter Openers, 2/Pack"/>
        <s v="Hon 4700 Series Mobuis™ Mid-Back Task Chairs with Adjustable Arms"/>
        <s v="BoxOffice By Design Rectangular and Half-Moon Meeting Room Tables"/>
        <s v="Eldon Econocleat® Chair Mats for Low Pile Carpets"/>
        <s v="Prang Drawing Pencil Set"/>
        <s v="T39m"/>
        <s v="Xerox 1982"/>
        <s v="Xerox 1924"/>
        <s v="Turquoise Lead Holder with Pocket Clip"/>
        <s v="Okidata ML395C Color Dot Matrix Printer"/>
        <s v="Microsoft Internet Keyboard"/>
        <s v="Global Ergonomic Managers Chair"/>
        <s v="Office Star - Contemporary Task Swivel chair with 2-way adjustable arms, Plum"/>
        <s v="Xerox 1971"/>
        <s v="Eldon Portable Mobile Manager"/>
        <s v="Accessory6"/>
        <s v="Durable Pressboard Binders"/>
        <s v="Fellowes 17-key keypad for PS/2 interface"/>
        <s v="StarTAC ST7762"/>
        <s v="Accessory21"/>
        <s v="Fellowes PB500 Electric Punch Plastic Comb Binding Machine with Manual Bind"/>
        <s v="Staples 6 Outlet Surge"/>
        <s v="Recycled Eldon Regeneration Jumbo File"/>
        <s v="Verbatim DVD-R 4.7GB authoring disc"/>
        <s v="Canon P1-DHIII Palm Printing Calculator"/>
        <s v="GBC Binding covers"/>
        <s v="Global Stack Chair without Arms, Black"/>
        <s v="Speediset Carbonless Redi-Letter® 7&quot; x 8 1/2&quot;"/>
        <s v="GBC Recycled Regency Composition Covers"/>
        <s v="Accessory29"/>
        <s v="SANFORD Major Accent™ Highlighters"/>
        <s v="Polycom ViaVideo™ Desktop Video Communications Unit"/>
        <s v="Dixon Ticonderoga Core-Lock Colored Pencils, 48-Color Set"/>
        <s v="Accessory24"/>
        <s v="Howard Miller 13-3/4&quot; Diameter Brushed Chrome Round Wall Clock"/>
        <s v="Recycled Steel Personal File for Standard File Folders"/>
        <s v="Accessory39"/>
        <s v="#10- 4 1/8&quot; x 9 1/2&quot; Security-Tint Envelopes"/>
        <s v="GBC Standard Plastic Binding Systems Combs"/>
        <s v="Xerox 1930"/>
        <s v="Avery 474"/>
        <s v="Riverside Palais Royal Lawyers Bookcase, Royale Cherry Finish"/>
        <s v="Hewlett-Packard Deskjet 6122 Color Inkjet Printer"/>
        <s v="IBM 80 Minute CD-R Spindle, 50/Pack"/>
        <s v="Peel &amp; Seel® Recycled Catalog Envelopes, Brown"/>
        <s v="TDK 4.7GB DVD+RW"/>
        <s v="U.S. Robotics 56K Internet Call Modem"/>
        <s v="Xerox 190"/>
        <s v="Standard Line™ “While You Were Out” Hardbound Telephone Message Book"/>
        <s v="CF 888"/>
        <s v="Dana Halogen Swing-Arm Architect Lamp"/>
        <s v="SAFCO PlanMaster Heigh-Adjustable Drafting Table Base, 43w x 30d x 30-37h, Black"/>
        <s v="Lexmark Z25 Color Inkjet Printer"/>
        <s v="Hon Multipurpose Stacking Arm Chairs"/>
        <s v="Hon Olson Stacker Stools"/>
        <s v="Executive Impressions 14&quot; Two-Color Numerals Wall Clock"/>
        <s v="Epson DFX5000+ Dot Matrix Printer"/>
        <s v="Recycled Interoffice Envelopes with String and Button Closure, 10 x 13"/>
        <s v="GBC Standard Therm-A-Bind Covers"/>
        <s v="Xerox 1892"/>
        <s v="Staples Paper Clips"/>
        <s v="Metal Folding Chairs, Beige, 4/Carton"/>
        <s v="80 Minute Slim Jewel Case CD-R , 10/Pack - Staples"/>
        <s v="Bush Mission Pointe Library"/>
        <s v="Xerox 1929"/>
        <s v="Home/Office Personal File Carts"/>
        <s v="Avery 507"/>
        <s v="i470"/>
        <s v="3M Organizer Strips"/>
        <s v="Imation 3.5 IBM Diskettes, 10/Box"/>
        <s v="GE 4 Foot Flourescent Tube, 40 Watt"/>
        <s v="300 Series Non-Flip"/>
        <s v="Executive Impressions 13&quot; Chairman Wall Clock"/>
        <s v="Micro Innovations 104 Keyboard"/>
        <s v="US Robotics 56K V.92 External Faxmodem"/>
        <s v="Fellowes Staxonsteel® Drawer Files"/>
        <s v="Telescoping Adjustable Floor Lamp"/>
        <s v="Canon MP41DH Printing Calculator"/>
        <s v="Sauder Facets Collection Locker/File Cabinet, Sky Alder Finish"/>
        <s v="VTech VT20-2481 2.4GHz Two-Line Phone System w/Answering Machine"/>
        <s v="Memo Book, 100 Message Capacity, 5 3/8” x 11”"/>
        <s v="Belkin 6 Outlet Metallic Surge Strip"/>
        <s v="Xerox 21"/>
        <s v="GBC DocuBind TL200 Manual Binding Machine"/>
        <s v="Sauder Forest Hills Library, Woodland Oak Finish"/>
        <s v="Xerox 1940"/>
        <s v="Bagged Rubber Bands"/>
        <s v="Xerox 1897"/>
        <s v="Poly Designer Cover &amp; Back"/>
        <s v="Bionaire Personal Warm Mist Humidifier/Vaporizer"/>
        <s v="Acme® 8&quot; Straight Scissors"/>
        <s v="Heavy-Duty E-Z-D® Binders"/>
        <s v="Deluxe Rollaway Locking File with Drawer"/>
        <s v="252"/>
        <s v="Imation 3.5, DISKETTE 44766 HGHLD3.52HD/FM, 10/Pack"/>
        <s v="Wilson Jones DublLock® D-Ring Binders"/>
        <s v="Binder Posts"/>
        <s v="Epson LQ-570e Dot Matrix Printer"/>
        <s v="Atlantic Metals Mobile 3-Shelf Bookcases, Custom Colors"/>
        <s v="Fellowes PB300 Plastic Comb Binding Machine"/>
        <s v="Rush Hierlooms Collection Rich Wood Bookcases"/>
        <s v="Avery 481"/>
        <s v="Avery Trapezoid Extra Heavy Duty 4&quot; Binders"/>
        <s v="StarTAC Series"/>
        <s v="Rediform Wirebound &quot;Phone Memo&quot; Message Book, 11 x 5-3/4"/>
        <s v="Global Comet™ Stacking Armless Chair"/>
        <s v="Hon 4070 Series Pagoda™ Armless Upholstered Stacking Chairs"/>
        <s v="Fellowes Internet Keyboard, Platinum"/>
        <s v="Luxo Economy Swing Arm Lamp"/>
        <s v="Acco Perma® 2700 Stacking Storage Drawers"/>
        <s v="Fellowes Stor/Drawer® Steel Plus™ Storage Drawers"/>
        <s v="Honeywell Enviracaire Portable HEPA Air Cleaner for 17' x 22' Room"/>
        <s v="Verbatim DVD-RAM, 9.4GB, Rewritable, Type 1, DS, DataLife Plus"/>
        <s v="Lock-Up Easel 'Spel-Binder'"/>
        <s v="Adams Write n' Stick Phone Message Book, 11&quot; X 5 1/4&quot;, 200 Messages"/>
        <s v="Tenex File Box, Personal Filing Tote with Lid, Black"/>
        <s v="Assorted Color Push Pins"/>
        <s v="HP Office Paper (20Lb. and 87 Bright)"/>
        <s v="Staples Vinyl Coated Paper Clips"/>
        <s v="Newell 310"/>
        <s v="Kensington 7 Outlet MasterPiece Power Center"/>
        <s v="DAX Metal Frame, Desktop, Stepped-Edge"/>
        <s v="8860"/>
        <s v="Array® Memo Cubes"/>
        <s v="Fiskars 8&quot; Scissors, 2/Pack"/>
        <s v="12 Colored Short Pencils"/>
        <s v="Pizazz® Global Quick File™"/>
        <s v="Imation 5.2GB DVD-RAM"/>
        <s v="Portable Personal File Box"/>
        <s v="Snap-A-Way® Black Print Carbonless Speed Message, No Reply Area, Duplicate"/>
        <s v="Ibico Covers for Plastic or Wire Binding Elements"/>
        <s v="Tennsco Double-Tier Lockers"/>
        <s v="Wirebound Message Books, Four 2 3/4&quot; x 5&quot; Forms per Page, 600 Sets per Book"/>
        <s v="Acme Design Line 8&quot; Stainless Steel Bent Scissors w/Champagne Handles, 3-1/8&quot; Cut"/>
        <s v="Imation 3.5&quot;, DISKETTE 44766 HGHLD3.52HD/FM, 10/Pack"/>
        <s v="PC Concepts 116 Key Quantum 3000 Keyboard"/>
        <s v="Epson Stylus 1520 Color Inkjet Printer"/>
        <s v="Avery 494"/>
        <s v="Wilson Jones 14 Line Acrylic Coated Pressboard Data Binders"/>
        <s v="Eureka Disposable Bags for Sanitaire® Vibra Groomer I® Upright Vac"/>
        <s v="AT&amp;T 2230 Dual Handset Phone With Caller ID/Call Waiting"/>
        <s v="Cardinal Poly Pocket Divider Pockets for Ring Binders"/>
        <s v="Canon PC1060 Personal Laser Copier"/>
        <s v="Sterling Rubber Bands by Alliance"/>
        <s v="Newell 312"/>
        <s v="Imation 3.5&quot; DS/HD IBM Formatted Diskettes, 50/Pack"/>
        <s v="Avery Flip-Chart Easel Binder, Black"/>
        <s v="R280"/>
        <s v="Accessory9"/>
        <s v="Tennsco Industrial Shelving"/>
        <s v="Staples Bulldog Clip"/>
        <s v="Micro Innovations Micro 3000 Keyboard, Black"/>
        <s v="Xerox 1882"/>
        <s v="Acme Hot Forged Carbon Steel Scissors with Nickel-Plated Handles, 3 7/8&quot; Cut, 8&quot;L"/>
        <s v="Eldon Cleatmat® Chair Mats for Medium Pile Carpets"/>
        <s v="Xerox 4200 Series MultiUse Premium Copy Paper (20Lb. and 84 Bright)"/>
        <s v="Hon 94000 Series Round Tables"/>
        <s v="Global High-Back Leather Tilter, Burgundy"/>
        <s v="DAX Contemporary Wood Frame with Silver Metal Mat, Desktop, 11 x 14 Size"/>
        <s v="Stockwell Push Pins"/>
        <s v="8260"/>
        <s v="3390"/>
        <s v="Global Deluxe Stacking Chair, Gray"/>
        <s v="Bevis 36 x 72 Conference Tables"/>
        <s v="Howard Miller 16&quot; Diameter Gallery Wall Clock"/>
        <s v="ACCOHIDE® 3-Ring Binder, Blue, 1&quot;"/>
        <s v="Wilson Jones Hanging View Binder, White, 1&quot;"/>
        <s v="Boston 1730 StandUp Electric Pencil Sharpener"/>
        <s v="Accessory31"/>
        <s v="Accessory8"/>
        <s v="Fellowes Command Center 5-outlet power strip"/>
        <s v="Accessory12"/>
        <s v="Global Leather Highback Executive Chair with Pneumatic Height Adjustment, Black"/>
        <s v="GBC DocuBind TL300 Electric Binding System"/>
        <s v="GBC Prepunched Paper, 19-Hole, for Binding Systems, 24-lb"/>
        <s v="TDK 4.7GB DVD-R"/>
        <s v="Xerox 1977"/>
        <s v="DAX Solid Wood Frames"/>
        <s v="Honeywell Enviracaire® Portable Air Cleaner for up to 8 x 10 Room"/>
        <s v="Belkin 8 Outlet SurgeMaster II Gold Surge Protector"/>
        <s v="Multimedia Mailers"/>
        <s v="White Business Envelopes with Contemporary Seam, Recycled White Business Envelopes"/>
        <s v="Avery Trapezoid Ring Binder, 3&quot; Capacity, Black, 1040 sheets"/>
        <s v="DXL™ Angle-View Binders with Locking Rings, Black"/>
        <s v="Newell® 3-Hole Punched Plastic Slotted Magazine Holders for Binders"/>
        <s v="Laser &amp; Ink Jet Business Envelopes"/>
        <s v="Okidata ML390 Turbo Dot Matrix Printers"/>
        <s v="Eldon Regeneration Recycled Desk Accessories, Smoke"/>
        <s v="2160i"/>
        <s v="Global Deluxe High-Back Office Chair in Storm"/>
        <s v="Canon MP100DHII Printing Calculator"/>
        <s v="C-Line Cubicle Keepers Polyproplyene Holder w/Velcro® Back, 8-1/2x11, 25/Bx"/>
        <s v="Avery 51"/>
        <s v="Avery Poly Binder Pockets"/>
        <s v="Dixon My First Ticonderoga Pencil, #2"/>
        <s v="Acco® Hot Clips™ Clips to Go"/>
        <s v="Fiskars® Softgrip Scissors"/>
        <s v="Elite 5&quot; Scissors"/>
        <s v="Eldon Wave Desk Accessories"/>
        <s v="Avery 478"/>
        <s v="Boston 16701 Slimline Battery Pencil Sharpener"/>
        <s v="Soundgear Copyboard Conference Phone, Optional Battery"/>
        <s v="Dot Matrix Printer Tape Reel Labels, White, 5000/Box"/>
        <s v="Euro Pro Shark Stick Mini Vacuum"/>
        <s v="Tenex Contemporary Contur Chairmats for Low and Medium Pile Carpet, Computer, 39&quot; x 49&quot;"/>
        <s v="Avery 498"/>
        <s v="Premium Transparent Presentation Covers by GBC"/>
        <s v="Barricks 18&quot; x 48&quot; Non-Folding Utility Table with Bottom Storage Shelf"/>
        <s v="GBC VeloBinder Electric Binding Machine"/>
        <s v="Brown Kraft Recycled Envelopes"/>
        <s v="A1228"/>
        <s v="3M Polarizing Task Lamp with Clamp Arm, Light Gray"/>
        <s v="8290"/>
        <s v="Hewlett-Packard Deskjet 5550 Color Inkjet Printer"/>
        <s v="Fellowes Neat Ideas® Storage Cubes"/>
        <s v="Lesro Round Back Collection Coffee Table, End Table"/>
        <s v="Avery 492"/>
        <s v="Newell 343"/>
        <s v="Canon S750 Color Inkjet Printer"/>
        <s v="Panasonic KP-310 Heavy-Duty Electric Pencil Sharpener"/>
        <s v="AT&amp;T Black Trimline Phone, Model 210"/>
        <s v="Newell 318"/>
        <s v="Staples Pen Style Liquid Stix; Assorted (yellow, pink, green, blue, orange), 5/Pack"/>
        <s v="Avery 491"/>
        <s v="T18"/>
        <s v="Sanyo 2.5 Cubic Foot Mid-Size Office Refrigerators"/>
        <s v="Honeywell Quietcare HEPA Air Cleaner"/>
        <s v="Staples Colored Bar Computer Paper"/>
        <s v="Boston 16765 Mini Stand Up Battery Pencil Sharpener"/>
        <s v="Staples Battery-Operated Desktop Pencil Sharpener"/>
        <s v="Eldon® 200 Class™ Desk Accessories"/>
        <s v="Memorex 80 Minute CD-R, 30/Pack"/>
        <s v="Dual Level, Single-Width Filing Carts"/>
        <s v="Fellowes Smart Design 104-Key Enhanced Keyboard, PS/2 Adapter, Platinum"/>
        <s v="Master Giant Foot® Doorstop, Safety Yellow"/>
        <s v="Perma STOR-ALL™ Hanging File Box, 13 1/8&quot;W x 12 1/4&quot;D x 10 1/2&quot;H"/>
        <s v="Epson DFX-8500 Dot Matrix Printer"/>
        <s v="Xerox 194"/>
        <s v="SouthWestern Bell FA970 Digital Answering Machine with Time/Day Stamp"/>
        <s v="Avery 493"/>
        <s v="Bevis Round Bullnose 29&quot; High Table Top"/>
        <s v="Xerox 197"/>
        <s v="Eldon® Expressions™ Wood Desk Accessories, Oak"/>
        <s v="Xerox 1935"/>
        <s v="Peel &amp; Stick Add-On Corner Pockets"/>
        <s v="Eureka The Boss® Cordless Rechargeable Stick Vac"/>
        <s v="Xerox 1905"/>
        <s v="Fellowes Bankers Box™ Staxonsteel® Drawer File/Stacking System"/>
        <s v="Executive Impressions 13&quot; Clairmont Wall Clock"/>
        <s v="Staples SlimLine Pencil Sharpener"/>
        <s v="Presstex Flexible Ring Binders"/>
        <s v="Memorex 4.7GB DVD+RW, 3/Pack"/>
        <s v="Eldon Image Series Black Desk Accessories"/>
        <s v="Avery 485"/>
        <s v="Global Adaptabilities™ Conference Tables"/>
        <s v="Xerox 1885"/>
        <s v="Avery 479"/>
        <s v="Fellowes Twister Kit, Gray/Clear, 3/pkg"/>
        <s v="Eldon Pizzaz™ Desk Accessories"/>
        <s v="Talkabout T8367"/>
        <s v="Logitech Access Keyboard"/>
        <s v="Fellowes Strictly Business® Drawer File, Letter/Legal Size"/>
        <s v="Newell 336"/>
        <s v="Conquest™ 14 Commercial Heavy-Duty Upright Vacuum, Collection System, Accessory Kit"/>
        <s v="GBC DocuBind P100 Manual Binding Machine"/>
        <s v="Avery 497"/>
        <s v="SAFCO Folding Chair Trolley"/>
        <s v="Manila Recycled Extra-Heavyweight Clasp Envelopes, 6&quot; x 9&quot;"/>
        <s v="Verbatim DVD-RAM, 5.2GB, Rewritable, Type 1, DS"/>
        <s v="Keytronic Designer 104- Key Black Keyboard"/>
        <s v="Avanti 4.4 Cu. Ft. Refrigerator"/>
        <s v="Acco Pressboard Covers with Storage Hooks, 14 7/8&quot; x 11&quot;, Dark Blue"/>
        <s v="Boston KS Multi-Size Manual Pencil Sharpener"/>
        <s v="Hunt BOSTON® Vista® Battery-Operated Pencil Sharpener, Black"/>
        <s v="Martin-Yale Premier Letter Opener"/>
        <s v="Recycled Premium Regency Composition Covers"/>
        <s v="Atlantic Metals Mobile 5-Shelf Bookcases, Custom Colors"/>
        <s v="i1000"/>
        <s v="Fellowes Super Stor/Drawer®"/>
        <s v="Rubbermaid ClusterMat Chairmats, Mat Size- 66&quot; x 60&quot;, Lip 20&quot; x 11&quot; -90 Degree Angle"/>
        <s v="*Staples* Letter Opener"/>
        <s v="LX 677"/>
        <s v="Avery Hi-Liter® Fluorescent Desk Style Markers"/>
        <s v="#10- 4 1/8&quot; x 9 1/2&quot; Recycled Envelopes"/>
        <s v="Acco Suede Grain Vinyl Round Ring Binder"/>
        <s v="Newell 342"/>
        <s v="Staples #10 Laser &amp; Inkjet Envelopes, 4 1/8&quot; x 9 1/2&quot;, 100/Box"/>
        <s v="Newell 337"/>
        <s v="Micro Innovations Micro Digital Wireless Keyboard and Mouse, Gray"/>
        <s v="Eldon ClusterMat Chair Mat with Cordless Antistatic Protection"/>
        <s v="Xerox 1985"/>
        <s v="Zoom V.92 V.44 PCI Internal Controllerless FaxModem"/>
        <s v="Tennsco Lockers, Sand"/>
        <s v="Xerox 1920"/>
        <s v="Xerox 1928"/>
        <s v="Xerox 1939"/>
        <s v="StarTAC 7760"/>
        <s v="Magna Visual Magnetic Picture Hangers"/>
        <s v="M3682"/>
        <s v="Xerox 1978"/>
        <s v="Wirebound Message Book, 4 per Page"/>
        <s v="Hoover WindTunnel™ Plus Canister Vacuum"/>
        <s v="Zoom V.92 USB External Faxmodem"/>
        <s v="Wilson Jones Ledger-Size, Piano-Hinge Binder, 2&quot;, Blue"/>
        <s v="Eldon Expressions Punched Metal &amp; Wood Desk Accessories, Pewter &amp; Cherry"/>
        <s v="Xerox 1992"/>
        <s v="TI 36X Solar Scientific Calculator"/>
        <s v="V 3600 Series"/>
        <s v="Deflect-o EconoMat Nonstudded, No Bevel Mat"/>
        <s v="Bretford CR4500 Series Slim Rectangular Table"/>
        <s v="Hon 5100 Series Wood Tables"/>
        <s v="Belkin ErgoBoard™ Keyboard"/>
        <s v="Riverleaf Stik-Withit® Designer Note Cubes®"/>
        <s v="Coloredge Poster Frame"/>
        <s v="Sharp 1540cs Digital Laser Copier"/>
        <s v="Holmes Replacement Filter for HEPA Air Cleaner, Very Large Room, HEPA Filter"/>
        <s v="Wilson Jones Impact Binders"/>
        <s v="GBC DocuBind 200 Manual Binding Machine"/>
        <s v="Deflect-o SuperTray™ Unbreakable Stackable Tray, Letter, Black"/>
        <s v="Sanford Liquid Accent Highlighters"/>
        <s v="Holmes Harmony HEPA Air Purifier for 17 x 20 Room"/>
        <s v="Hon iLevel™ Computer Training Table"/>
        <s v="Eldon® 200 Class™ Desk Accessories, Burgundy"/>
        <s v="3M Hangers With Command Adhesive"/>
        <s v="X-Rack™ File for Hanging Folders"/>
        <s v="688"/>
        <s v="Ibico EB-19 Dual Function Manual Binding System"/>
        <s v="Southworth 25% Cotton Premium Laser Paper and Envelopes"/>
        <s v="Safco Contoured Stacking Chairs"/>
        <s v="Canon PC-428 Personal Copier"/>
        <s v="Staples Standard Envelopes"/>
        <s v="Lexmark Z55se Color Inkjet Printer"/>
        <s v="Binder Clips by OIC"/>
        <s v="Fellowes Smart Surge Ten-Outlet Protector, Platinum"/>
        <s v="Wausau Papers Astrobrights® Colored Envelopes"/>
        <s v="Pressboard Covers with Storage Hooks, 9 1/2&quot; x 11&quot;, Light Blue"/>
        <s v="Canon imageCLASS 2200 Advanced Copier"/>
        <s v="Chromcraft Bull-Nose Wood 48&quot; x 96&quot; Rectangular Conference Tables"/>
        <s v="KF 788"/>
        <s v="Imation Neon Mac Format Diskettes, 10/Pack"/>
        <s v="2180"/>
        <s v="Executive Impressions 14&quot; Contract Wall Clock"/>
        <s v="*Staples* Highlighting Markers"/>
        <s v="Boston 19500 Mighty Mite Electric Pencil Sharpener"/>
        <s v="Xerox 1995"/>
        <s v="Self-Adhesive Ring Binder Labels"/>
        <s v="Catalog Binders with Expanding Posts"/>
        <s v="*Staples* Packaging Labels"/>
        <s v="Deflect-o EconoMat Studded, No Bevel Mat for Low Pile Carpeting"/>
        <s v="Recycled Desk Saver Line &quot;While You Were Out&quot; Book, 5 1/2&quot; X 4&quot;"/>
        <s v="9-3/4 Diameter Round Wall Clock"/>
        <s v="Logitech Cordless Elite Duo"/>
        <s v="Xerox 220"/>
        <s v="Canon Image Class D660 Copier"/>
        <s v="Avery Legal 4-Ring Binder"/>
        <s v="Hoover® Commercial Lightweight Upright Vacuum"/>
        <s v="Colored Envelopes"/>
        <s v="Xerox 1953"/>
        <s v="DAX Natural Wood-Tone Poster Frame"/>
        <s v="Office Star Flex Back Scooter Chair with White Frame"/>
        <s v="Xerox 1941"/>
        <s v="DAX Clear Channel Poster Frame"/>
        <s v="Tenex B1-RE Series Chair Mats for Low Pile Carpets"/>
        <s v="Belkin 105-Key Black Keyboard"/>
        <s v="GBC Imprintable Covers"/>
        <s v="GBC Laser Imprintable Binding System Covers, Desert Sand"/>
        <s v="Sharp EL501VB Scientific Calculator, Battery Operated, 10-Digit Display, Hard Case"/>
        <s v="Executive Impressions 14&quot;"/>
        <s v="Accessory2"/>
        <s v="Southworth 25% Cotton Antique Laid Paper &amp; Envelopes"/>
        <s v="Eldon® 400 Class™ Desk Accessories, Black Carbon"/>
        <s v="Adams Telephone Message Book w/Frequently-Called Numbers Space, 400 Messages per Book"/>
        <s v="Bretford “Just In Time” Height-Adjustable Multi-Task Work Tables"/>
        <s v="Array® Parchment Paper, Assorted Colors"/>
        <s v="Avery Durable Poly Binders"/>
        <s v="Dana Swing-Arm Lamps"/>
        <s v="270c"/>
        <s v="T28 WORLD"/>
        <s v="Staples Premium Bright 1-Part Blank Computer Paper"/>
        <s v="Hon Metal Bookcases, Black"/>
        <s v="24 Capacity Maxi Data Binder Racks, Pearl"/>
        <s v="Accessory17"/>
        <s v="Xerox 1898"/>
        <s v="Barricks Non-Folding Utility Table with Steel Legs, Laminate Tops"/>
        <s v="ACCOHIDE® Binder by Acco"/>
        <s v="Eldon Executive Woodline II Cherry Finish Desk Accessories"/>
        <s v="Belkin 8 Outlet Surge Protector"/>
        <s v="Holmes Replacement Filter for HEPA Air Cleaner, Large Room"/>
        <s v="Snap-A-Way® Black Print Carbonless Ruled Speed Letter, Triplicate"/>
        <s v="Fellowes Super Stor/Drawer® Files"/>
        <s v="Logitech Cordless Navigator Duo"/>
        <s v="Sharp EL500L Fraction Calculator"/>
        <s v="White GlueTop Scratch Pads"/>
        <s v="Eureka Sanitaire ® Multi-Pro Heavy-Duty Upright, Disposable Bags"/>
        <s v="Cardinal Holdit Business Card Pockets"/>
        <s v="T193"/>
        <s v="Tennsco Commercial Shelving"/>
        <s v="Office Star Flex Back Scooter Chair with Aluminum Finish Frame"/>
        <s v="Accessory13"/>
        <s v="Xerox 1976"/>
        <s v="Hon 2090 “Pillow Soft” Series Mid Back Swivel/Tilt Chairs"/>
        <s v="Hammermill Color Copier Paper (28Lb. and 96 Bright)"/>
        <s v="Serrated Blade or Curved Handle Hand Letter Openers"/>
        <s v="GE 48&quot; Fluorescent Tube, Cool White Energy Saver, 34 Watts, 30/Box"/>
        <s v="TOPS Money Receipt Book, Consecutively Numbered in Red,"/>
        <s v="Xerox 1989"/>
        <s v="Bush Westfield Collection Bookcases, Fully Assembled"/>
        <s v="Nu-Dell Leatherette Frames"/>
        <s v="Xerox 1994"/>
        <s v="Dixon Ticonderoga Core-Lock Colored Pencils"/>
        <s v="CF 688"/>
        <s v="Panasonic KP-350BK Electric Pencil Sharpener with Auto Stop"/>
        <s v="3285"/>
        <s v="Office Star - Task Chair with Contemporary Loop Arms"/>
        <s v="Acco Perma® 3000 Stacking Storage Drawers"/>
        <s v="Imation Printable White 80 Minute CD-R Spindle, 50/Pack"/>
        <s v="Eldon® Gobal File Keepers"/>
        <s v="Kensington 7 Outlet MasterPiece® HOMEOFFICE Power Control Center"/>
        <s v="Seth Thomas 13 1/2&quot; Wall Clock"/>
        <s v="Tenex Carpeted, Granite-Look or Clear Contemporary Contour Shape Chair Mats"/>
        <s v="Bretford Rectangular Conference Table Tops"/>
        <s v="Wirebound Voice Message Log Book"/>
        <s v="O'Sullivan Manor Hill 2-Door Library in Brianna Oak"/>
        <s v="Novimex Swivel Fabric Task Chair"/>
        <s v="Imation Primaris 3.5&quot; 2HD Unformatted Diskettes, 10/Pack"/>
        <s v="Project Tote Personal File"/>
        <s v="Imation 3.5&quot; DS-HD Macintosh Formatted Diskettes, 10/Pack"/>
        <s v="Sanford Colorific Colored Pencils, 12/Box"/>
        <s v="Xerox 1899"/>
        <s v="Imation IBM Formatted Diskettes, 100/Pack"/>
        <s v="Barrel Sharpener"/>
        <s v="Gould Plastics 9-Pocket Panel Bin, 18-3/8w x 5-1/4d x 20-1/2h, Black"/>
        <s v="Accessory34"/>
        <s v="Panasonic All Digital Answering System with Caller ID*, KX-TM150B"/>
        <s v="Wilson Jones® Four-Pocket Poly Binders"/>
        <s v="Economy Binders"/>
        <s v="Office Star - Mid Back Dual function Ergonomic High Back Chair with 2-Way Adjustable Arms"/>
        <s v="Eldon Jumbo ProFile™ Portable File Boxes Graphite/Black"/>
        <s v="Newell 315"/>
        <s v="Kleencut® Forged Office Shears by Acme United Corporation"/>
        <s v="Xerox 1983"/>
        <s v="T61"/>
        <s v="Xerox 196"/>
        <s v="Eldon Simplefile® Box Office®"/>
        <s v="6190"/>
        <s v="Panasonic KX-P3200 Dot Matrix Printer"/>
        <s v="Ibico Recycled Linen-Style Covers"/>
        <s v="1726 Digital Answering Machine"/>
        <s v="Executive Impressions 8-1/2&quot; Career Panel/Partition Cubicle Clock"/>
        <s v="Belkin MediaBoard 104- Keyboard"/>
        <s v="Executive Impressions 12&quot; Wall Clock"/>
        <s v="6185"/>
        <s v="Eldon Spacemaker® Box, Quick-Snap Lid, Clear"/>
        <s v="Xerox 1993"/>
        <s v="Strathmore #10 Envelopes, Ultimate White"/>
        <s v="Fellowes 8 Outlet Superior Workstation Surge Protector"/>
        <s v="Tyvek Interoffice Envelopes, 9 1/2&quot; x 12 1/2&quot;, 100/Box"/>
        <s v="Accessory20"/>
        <s v="5165"/>
        <s v="Lexmark Z54se Color Inkjet Printer"/>
        <s v="Premier Elliptical Ring Binder, Black"/>
        <s v="Avery 520"/>
        <s v="Fellowes Premier Superior Surge Suppressor, 10-Outlet, With Phone and Remote"/>
        <s v="Xerox 226"/>
        <s v="Sanford 52201 APSCO Electric Pencil Sharpener"/>
        <s v="Laminate Occasional Tables"/>
        <s v="Round Ring Binders"/>
        <s v="DIXON Oriole® Pencils"/>
        <s v="Avery Durable Binders"/>
        <s v="Super Bands, 12/Pack"/>
        <s v="iDEN i95"/>
        <s v="Memorex 4.7GB DVD+R, 3/Pack"/>
        <s v="Advantus Employee of the Month Certificate Frame, 11 x 13-1/2"/>
        <s v="Howard Miller 11-1/2&quot; Diameter Ridgewood Wall Clock"/>
        <s v="Howard Miller 12-3/4 Diameter Accuwave DS ™ Wall Clock"/>
        <s v="Seth Thomas 12&quot; Clock w/ Goldtone Case"/>
        <s v="Bevis Round Conference Room Tables and Bases"/>
        <s v="#10 Self-Seal White Envelopes"/>
        <s v="Advantus Push Pins, Aluminum Head"/>
        <s v="Staples Vinyl Coated Paper Clips, 800/Box"/>
        <s v="Tenex Personal Self-Stacking Standard File Box, Black/Gray"/>
        <s v="7160"/>
        <s v="StarTAC 6500"/>
        <s v="Eldon Advantage® Chair Mats for Low to Medium Pile Carpets"/>
        <s v="SC7868i"/>
        <s v="HP Office Recycled Paper (20Lb. and 87 Bright)"/>
        <s v="Logitech Internet Navigator Keyboard"/>
        <s v="O'Sullivan Elevations Bookcase, Cherry Finish"/>
        <s v="Tyvek ® Top-Opening Peel &amp; Seel Envelopes, Plain White"/>
        <s v="Keytronic 105-Key Spanish Keyboard"/>
        <s v="Motorola SB4200 Cable Modem"/>
        <s v="Jet-Pak Recycled Peel 'N' Seal Padded Mailers"/>
        <s v="Strathmore Photo Mount Cards"/>
        <s v="GBC White Gloss Covers, Plain Front"/>
        <s v="Eureka Hand Vacuum, Bagless"/>
        <s v="Airmail Envelopes"/>
        <s v="Keytronic French Keyboard"/>
        <s v="Newell 314"/>
        <s v="Xerox 1919"/>
        <s v="Accessory27"/>
        <s v="Berol Giant Pencil Sharpener"/>
        <s v="Xerox 227"/>
        <s v="Adams Phone Message Book, Professional, 400 Message Capacity, 5 3/6” x 11”"/>
        <s v="Xerox 1962"/>
        <s v="636"/>
        <s v="Global Commerce™ Series High-Back Swivel/Tilt Chairs"/>
        <s v="Wilson Jones Easy Flow II™ Sheet Lifters"/>
        <s v="Avery White Multi-Purpose Labels"/>
        <s v="Accessory25"/>
        <s v="Xerox 199"/>
        <s v="Bush Advantage Collection® Racetrack Conference Table"/>
        <s v="Hon Comfortask® Task/Swivel Chairs"/>
        <s v="Xerox 1938"/>
        <s v="Rediform S.O.S. Phone Message Books"/>
        <s v="StarTAC 3000"/>
        <s v="Adesso Programmable 142-Key Keyboard"/>
        <s v="Ampad #10 Peel &amp; Seel® Holiday Envelopes"/>
        <s v="Belkin 107-key enhanced keyboard, USB/PS/2 interface"/>
        <s v="5185"/>
        <s v="Maxell DVD-RAM Discs"/>
        <s v="StarTAC ST7868"/>
        <s v="Novimex Turbo Task Chair"/>
        <s v="Panasonic KX-P3626 Dot Matrix Printer"/>
        <s v="Belkin F9M820V08 8 Outlet Surge"/>
        <s v="Global Leather Task Chair, Black"/>
        <s v="GBC VeloBinder Strips"/>
        <s v="MicroTAC 650"/>
        <s v="Hand-Finished Solid Wood Document Frame"/>
        <s v="Boston 1645 Deluxe Heavier-Duty Electric Pencil Sharpener"/>
        <s v="Xerox 210"/>
        <s v="Xerox 1923"/>
        <s v="Staples Metal Binder Clips"/>
        <s v="Hewlett-Packard 4.7GB DVD+R Discs"/>
        <s v="It's Hot Message Books with Stickers, 2 3/4&quot; x 5&quot;"/>
        <s v="Dixon Prang® Watercolor Pencils, 10-Color Set with Brush"/>
        <s v="I888 World Phone"/>
        <s v="Xerox 1997"/>
        <s v="GBC Therma-A-Bind 250T Electric Binding System"/>
        <s v="Avery Printable Repositionable Plastic Tabs"/>
        <s v="Storex DuraTech Recycled Plastic Frosted Binders"/>
        <s v="Xerox 204"/>
        <s v="Newell 35"/>
        <s v="Staples Brown Kraft Recycled Clasp Envelopes"/>
        <s v="Xerox 1947"/>
        <s v="Xerox 1950"/>
        <s v="GBC ProClick™ 150 Presentation Binding System"/>
        <s v="Letter Size Cart"/>
        <s v="Kensington 6 Outlet Guardian Standard Surge Protector"/>
        <s v="Imation 3.5&quot; Diskettes, IBM Format, DS/HD, 10/Box, Neon"/>
        <s v="Career Cubicle Clock, 8 1/4&quot;, Black"/>
        <s v="V8162"/>
        <s v="Flexible Leather- Look Classic Collection Ring Binder"/>
        <s v="Okidata ML520 Series Dot Matrix Printers"/>
        <s v="TOPS Voice Message Log Book, Flash Format"/>
        <s v="Avery 48"/>
        <s v="Eldon Cleatmat Plus™ Chair Mats for High Pile Carpets"/>
        <s v="6340"/>
        <s v="Microsoft Natural Keyboard Elite"/>
        <s v="Accessory41"/>
        <s v="i500plus"/>
        <s v="Hewlett-Packard Deskjet 3820 Color Inkjet Printer"/>
        <s v="Newell 346"/>
        <s v="Global Enterprise™ Series Seating Low-Back Swivel/Tilt Chairs"/>
        <s v="3M Polarizing Light Filter Sleeves"/>
        <s v="Master Caster Door Stop, Brown"/>
        <s v="6162i"/>
        <s v="Fellowes Mobile Numeric Keypad, Graphite"/>
        <s v="iDENi80s"/>
        <s v="5190"/>
        <s v="M70"/>
        <s v="Acco 6 Outlet Guardian Premium Surge Suppressor"/>
        <s v="G.E. Halogen Desk Lamp Bulbs"/>
        <s v="Filing/Storage Totes and Swivel Casters"/>
        <s v="Ultra Door Pull Handle"/>
        <s v="Southworth 25% Cotton Linen-Finish Paper &amp; Envelopes"/>
        <s v="Hayes Optima 56K V.90 Internal Voice Modem"/>
        <s v="Xerox 1979"/>
        <s v="Global Leather &amp; Oak Executive Chair, Burgundy"/>
        <s v="DAX Two-Tone Rosewood/Black Document Frame, Desktop, 5 x 7"/>
        <s v="Xerox 1903"/>
        <s v="Hon 2111 Invitation™ Series Corner Table"/>
        <s v="Staples Copy Paper (20Lb. and 84 Bright)"/>
        <s v="Bevis Rectangular Conference Tables"/>
        <s v="Master Caster Door Stop, Gray"/>
        <s v="Xerox 1937"/>
        <s v="Xerox 1986"/>
        <s v="Microsoft Multimedia Keyboard"/>
        <s v="Xerox 1894"/>
        <s v="BASF Silver 74 Minute CD-R"/>
        <s v="Accessory32"/>
        <s v="Westinghouse Clip-On Gooseneck Lamps"/>
        <s v="Hewlett-Packard 2600DN Business Color Inkjet Printer"/>
        <s v="Staples Plastic Wall Frames"/>
        <s v="Vinyl Sectional Post Binders"/>
        <s v="i2000"/>
        <s v="Ames Color-File® Green Diamond Border X-ray Mailers"/>
        <s v="Hon Non-Folding Utility Tables"/>
        <s v="Office Star - Ergonomic Mid Back Chair with 2-Way Adjustable Arms"/>
        <s v="Nu-Form 106-Key Ergonomic Keyboard w/ Touchpad"/>
        <s v="Avery 496"/>
        <s v="Executive Impressions 14&quot; Contract Wall Clock with Quartz Movement"/>
        <s v="Tuff Stuff™ Recycled Round Ring Binders"/>
        <s v="Avery 514"/>
        <s v="V8160"/>
        <s v="Rush Hierlooms Collection 1&quot; Thick Stackable Bookcases"/>
        <s v="Hewlett-Packard Deskjet 1220Cse Color Inkjet Printer"/>
        <s v="Letter/Legal File Tote with Clear Snap-On Lid, Black Granite"/>
        <s v="Xerox 1949"/>
        <s v="Xerox 1907"/>
        <s v="Imation DVD-RAM discs"/>
        <s v="Xerox 1974"/>
        <s v="Panasonic KP-150 Electric Pencil Sharpener"/>
        <s v="Xerox 1896"/>
        <s v="8890"/>
        <s v="Office Impressions Heavy Duty Welded Shelving &amp; Multimedia Storage Drawers"/>
        <s v="Novimex Fabric Task Chair"/>
        <s v="Eldon® Image Series Desk Accessories, Burgundy"/>
        <s v="Staples File Caddy"/>
        <s v="Sauder Camden County Collection Libraries, Planked Cherry Finish"/>
        <s v="Bush Advantage Collection® Round Conference Table"/>
        <s v="Avery Hole Reinforcements"/>
        <s v="TI 30X Scientific Calculator"/>
        <s v="Avery Non-Stick Binders"/>
        <s v="Belkin Premiere Surge Master II 8-outlet surge protector"/>
        <s v="Hon Metal Bookcases, Putty"/>
        <s v="Newell 309"/>
        <s v="Wilson Jones “Snap” Scratch Pad Binder Tool for Ring Binders"/>
        <s v="Flat Face Poster Frame"/>
        <s v="Eureka Recycled Copy Paper 8 1/2&quot; x 11&quot;, Ream"/>
        <s v="Xerox 193"/>
        <s v="Nu-Dell Executive Frame"/>
        <s v="Xerox 1973"/>
        <s v="Hewlett Packard LaserJet 3310 Copier"/>
        <s v="Xerox 1927"/>
        <s v="Bush Cubix Collection Bookcases, Fully Assembled"/>
        <s v="3.6 Cubic Foot Counter Height Office Refrigerator"/>
        <s v="Hewlett-Packard cp1700 [D, PS] Series Color Inkjet Printers"/>
        <s v="T65"/>
        <s v="Gyration RF Keyboard"/>
        <s v="StarTAC 8000"/>
        <s v="Xerox 1910"/>
        <s v="Newell 320"/>
        <s v="Howard Miller Distant Time Traveler Alarm Clock"/>
        <s v="Carina Mini System Audio Rack, Model AR050B"/>
        <s v="Hoover Replacement Belts For Soft Guard™ &amp; Commercial Ltweight Upright Vacs, 2/Pk"/>
        <s v="SimpliFile™ Personal File, Black Granite, 15w x 6-15/16d x 11-1/4h"/>
        <s v="Newell 307"/>
        <s v="Tensor Computer Mounted Lamp"/>
        <s v="Hewlett-Packard Deskjet 940 REFURBISHED Color Inkjet Printer"/>
        <s v="Holmes Odor Grabber"/>
        <s v="Avery Hi-Liter® Smear-Safe Highlighters"/>
        <s v="Wirebound Four 2-3/4 x 5 Forms per Page, 400 Sets per Book"/>
        <s v="Iris® 3-Drawer Stacking Bin, Black"/>
        <s v="Artistic Insta-Plaque"/>
        <s v="Carina 42&quot;Hx23 3/4&quot;W Media Storage Unit"/>
        <s v="Verbatim DVD-R, 4.7GB, Spindle, WE, Blank, Ink Jet/Thermal, 20/Spindle"/>
        <s v="Peel-Off® China Markers"/>
        <s v="Model L Table or Wall-Mount Pencil Sharpener"/>
        <s v="Okidata ML320 Series Turbo Dot Matrix Printers"/>
        <s v="Deflect-O® Glasstique™ Clear Desk Accessories"/>
        <s v="Acme® Box Cutter Scissors"/>
        <s v="Boston School Pro Electric Pencil Sharpener, 1670"/>
        <s v="Multicolor Computer Printout Paper"/>
        <s v="DAX Wood Document Frame."/>
        <s v="Newell 340"/>
        <s v="Space Solutions Commercial Steel Shelving"/>
        <s v="Adams Phone Message Book, 200 Message Capacity, 8 1/16” x 11”"/>
        <s v="DS/HD IBM Formatted Diskettes, 10/Pack - Staples"/>
        <s v="Eaton Premium Continuous-Feed Paper, 25% Cotton, Letter Size, White, 1000 Shts/Box"/>
        <s v="Fellowes Personal Hanging Folder Files, Navy"/>
        <s v="Maxell Pro 80 Minute CD-R, 10/Pack"/>
        <s v="StarTAC Analog"/>
        <s v="232"/>
        <s v="Colored Push Pins"/>
        <s v="KI Conference Tables"/>
        <s v="Newell 321"/>
        <s v="Newell 351"/>
        <s v="OIC Colored Binder Clips, Assorted Sizes"/>
        <s v="Avanti 1.7 Cu. Ft. Refrigerator"/>
        <s v="Executive Impressions 13-1/2&quot; Indoor/Outdoor Wall Clock"/>
        <s v="Gyration Ultra Cordless Optical Suite"/>
        <s v="DPC 650 Piper"/>
        <s v="Staples #10 Colored Envelopes"/>
        <s v="Imation 3.5&quot; Unformatted DS/HD Diskettes, 10/Box"/>
        <s v="Accessory35"/>
        <s v="Avery Heavy-Duty EZD ™ Binder With Locking Rings"/>
        <s v="IBM Active Response Keyboard, Black"/>
        <s v="Okidata ML184 Turbo Dot Matrix Printers"/>
        <s v="Riverside Furniture Stanwyck Manor Table Series"/>
        <s v="Companion Letter/Legal File, Black"/>
        <s v="Acco Four Pocket Poly Ring Binder with Label Holder, Smoke, 1&quot;"/>
        <s v="Epson C82 Color Inkjet Printer"/>
        <s v="Xerox 212"/>
        <s v="Binding Machine Supplies"/>
        <s v="BPI Conference Tables"/>
        <s v="O'Sullivan 5-Shelf Heavy-Duty Bookcases"/>
        <s v="DAX Cubicle Frames, 8-1/2 x 11"/>
        <s v="Avery® Durable Slant Ring Binders With Label Holder"/>
        <s v="Binney &amp; Smith inkTank™ Erasable Desk Highlighter, Chisel Tip, Yellow, 12/Box"/>
        <s v="Ibico Laser Imprintable Binding System Covers"/>
        <s v="1/4 Fold Party Design Invitations &amp; White Envelopes, 24 8-1/2&quot; X 11&quot; Cards, 25 Env./Pack"/>
        <s v="Deflect-o Glass Clear Studded Chair Mats"/>
        <s v="Brites Rubber Bands, 1 1/2 oz. Box"/>
        <s v="Verbatim DVD-R, 3.95GB, SR, Mitsubishi Branded, Jewel"/>
        <s v="Avery Round Ring Poly Binders"/>
        <s v="Wirebound Service Call Books, 5 1/2&quot; x 4&quot;"/>
        <s v="Targus USB Numeric Keypad"/>
        <s v="Micro Innovations Media Access Pro Keyboard"/>
        <s v="Howard Miller 13&quot; Diameter Goldtone Round Wall Clock"/>
        <s v="Acco Recycled 2&quot; Capacity Laser Printer Hanging Data Binders"/>
        <s v="Blue String-Tie &amp; Button Interoffice Envelopes, 10 x 13"/>
        <s v="Staples 4 Outlet Surge Protector"/>
        <s v="Tensor &quot;Hersey Kiss&quot; Styled Floor Lamp"/>
        <s v="Prang Colored Pencils"/>
        <s v="6120"/>
        <s v="Belkin 5 Outlet SurgeMaster™ Power Centers"/>
        <s v="Polycom VoiceStation 100"/>
        <s v="Bretford CR8500 Series Meeting Room Furniture"/>
        <s v="Boston 1799 Powerhouse™ Electric Pencil Sharpener"/>
        <s v="Belkin F5C206VTEL 6 Outlet Surge"/>
        <s v="Eldon Expressions Mahogany Wood Desk Collection"/>
        <s v="Sony MFD2HD Formatted Diskettes, 10/Pack"/>
        <s v="Hoover Upright Vacuum With Dirt Cup"/>
        <s v="Quartet Omega® Colored Chalk, 12/Pack"/>
        <s v="GBC DocuBind P50 Personal Binding Machine"/>
        <s v="Boston 16801 Nautilus™ Battery Pencil Sharpener"/>
        <s v="Iceberg Mobile Mega Data/Printer Cart ®"/>
        <s v="Chromcraft Rectangular Conference Tables"/>
        <s v="Security-Tint Envelopes"/>
        <s v="Avery Binding System Hidden Tab™ Executive Style Index Sets"/>
        <s v="Fellowes EZ Multi-Media Keyboard"/>
        <s v="Wilson Jones Elliptical Ring 3 1/2&quot; Capacity Binders, 800 sheets"/>
        <s v="Holmes Replacement Filter for HEPA Air Cleaner, Medium Room"/>
        <s v="Xerox 1922"/>
        <s v="Avery 504"/>
        <s v="Talkabout T8097"/>
        <s v="Ibico Hi-Tech Manual Binding System"/>
        <s v="Tyvek® Side-Opening Peel &amp; Seel® Expanding Envelopes"/>
        <s v="3.5&quot; IBM Formatted Diskettes, DS/HD"/>
        <s v="Xerox 1934"/>
        <s v="&quot;While you Were Out&quot; Message Book, One Form per Page"/>
        <s v="Atlantic Metals Mobile 2-Shelf Bookcases, Custom Colors"/>
        <s v="GBC Instant Index™ System for Binding Systems"/>
        <s v="Letter or Legal Size Expandable Poly String Tie Envelopes"/>
        <s v="Sanyo Counter Height Refrigerator with Crisper, 3.6 Cubic Foot, Stainless Steel/Black"/>
        <s v="Park Ridge™ Embossed Executive Business Envelopes"/>
        <s v="Logitech Cordless Access Keyboard"/>
        <s v="14-7/8 x 11 Blue Bar Computer Printout Paper"/>
        <s v="6000"/>
        <s v="5180"/>
        <s v="O'Sullivan Living Dimensions 3-Shelf Bookcases"/>
        <s v="Newell 333"/>
        <s v="Xerox 23"/>
        <s v="Anderson Hickey Conga Table Tops &amp; Accessories"/>
        <s v="Wirebound Message Books, 5-1/2 x 4 Forms, 2 or 4 Forms per Page"/>
        <s v="Hon Pagoda™ Stacking Chairs"/>
        <s v="Newell 338"/>
        <s v="Avery Hi-Liter Pen Style Six-Color Fluorescent Set"/>
        <s v="Hot File® 7-Pocket, Floor Stand"/>
        <s v="Eldon Expressions Punched Metal &amp; Wood Desk Accessories, Black &amp; Cherry"/>
        <s v="Blackstonian Pencils"/>
        <s v="Chromcraft Bull-Nose Wood Round Conference Table Top, Wood Base"/>
        <s v="Harmony HEPA Quiet Air Purifiers"/>
        <s v="GBC Standard Plastic Binding Systems' Combs"/>
        <s v="Panasonic KX-P1131 Dot Matrix Printer"/>
        <s v="REDIFORM Incoming/Outgoing Call Register, 11&quot; X 8 1/2&quot;, 100 Messages"/>
        <s v="EcoTones® Memo Sheets"/>
        <s v="Xerox 1984"/>
        <s v="3395"/>
        <s v="Canon MP25DIII Desktop Whisper-Quiet Printing Calculator"/>
        <s v="Fluorescent Highlighters by Dixon"/>
        <s v="Tenex Traditional Chairmats for Medium Pile Carpet, Standard Lip, 36&quot; x 48&quot;"/>
        <s v="Accessory23"/>
        <s v="Avery 05222 Permanent Self-Adhesive File Folder Labels for Typewriters, on Rolls, White, 250/Roll"/>
        <s v="SAFCO Boltless Steel Shelving"/>
        <s v="Imation 3.5&quot;, RTS 247544 3M 3.5 DSDD, 10/Pack"/>
        <s v="GBC Wire Binding Strips"/>
        <s v="Xerox 1952"/>
        <s v="Luxo Professional Fluorescent Magnifier Lamp with Clamp-Mount Base"/>
        <s v="Xerox 1933"/>
        <s v="Accessory15"/>
        <s v="Tennsco Regal Shelving Units"/>
        <s v="Fuji Slim Jewel Case CD-R"/>
        <s v="Self-Adhesive Removable Labels"/>
        <s v="KH 688"/>
        <s v="Plastic Binding Combs"/>
        <s v="TIMEPORT P8767"/>
        <s v="DIXON Ticonderoga® Erasable Checking Pencils"/>
        <s v="Super Decoflex Portable Personal File"/>
        <s v="Bravo II™ Megaboss® 12-Amp Hard Body Upright, Replacement Belts, 2 Belts per Pack"/>
        <s v="O'Sullivan Living Dimensions 2-Shelf Bookcases"/>
        <s v="Acme® Forged Steel Scissors with Black Enamel Handles"/>
        <s v="T60"/>
        <s v="OIC Bulk Pack Metal Binder Clips"/>
        <s v="Xerox 1908"/>
        <s v="Xerox 1948"/>
        <s v="Epson C62 Color Inkjet Printer"/>
        <s v="Mead 1st Gear 2&quot; Zipper Binder, Asst. Colors"/>
        <s v="2160"/>
        <s v="Ampad® Evidence® Wirebond Steno Books, 6&quot; x 9&quot;"/>
        <s v="Global Airflow Leather Mesh Back Chair, Black"/>
        <s v="Electrix Fluorescent Magnifier Lamps &amp; Weighted Base"/>
        <s v="Staples 1 Part Blank Computer Paper"/>
        <s v="Advantus Panel Wall Certificate Holder - 8.5x11"/>
        <s v="Newell 339"/>
        <s v="Acme Galleria® Hot Forged Steel Scissors with Colored Handles"/>
        <s v="Dana Fluorescent Magnifying Lamp, White, 36&quot;"/>
        <s v="Belkin 7 Outlet SurgeMaster Surge Protector with Phone Protection"/>
        <s v="Xerox 216"/>
        <s v="DMI Arturo Collection Mission-style Design Wood Chair"/>
        <s v="Acco D-Ring Binder w/DublLock®"/>
        <s v="Fellowes High-Stak® Drawer Files"/>
        <s v="Document Clip Frames"/>
        <s v="Xerox 221"/>
        <s v="Staples Gold Paper Clips"/>
        <s v="Eldon Shelf Savers™ Cubes and Bins"/>
        <s v="Okidata ML591 Wide Format Dot Matrix Printer"/>
        <s v="Xerox 1917"/>
        <s v="Xerox 1959"/>
        <s v="Phone 918"/>
        <s v="Avery Self-Adhesive Photo Pockets for Polaroid Photos"/>
        <s v="Fellowes Bases and Tops For Staxonsteel®/High-Stak® Systems"/>
        <s v="Global Deluxe Office Fabric Chairs"/>
        <s v="Accessory28"/>
        <s v="600 Series Non-Flip"/>
        <s v="Recycled Interoffice Envelopes with Re-Use-A-Seal® Closure, 10 x 13"/>
        <s v="Staples Bulk Pack Metal Binder Clips"/>
        <s v="Avery® Durable Plastic 1&quot; Binders"/>
        <s v="Fellowes Binding Cases"/>
        <s v="Wirebound Message Forms, Four 2 3/4 x 5 Forms per Page, Pink Paper"/>
        <s v="Letter Slitter"/>
        <s v="Trav-L-File Heavy-Duty Shuttle II, Black"/>
        <s v="Pressboard Data Binder, Crimson, 12&quot; X 8 1/2&quot;"/>
        <s v="Xerox 229"/>
        <s v="Black Print Carbonless 8 1/2&quot; x 8 1/4&quot; Rapid Memo Book"/>
        <s v="GBC Durable Plastic Covers"/>
        <s v="Acco Pressboard Covers with Storage Hooks, 14 7/8&quot; x 11&quot;, Light Blue"/>
        <s v="Eldon® Expressions™ Wood and Plastic Desk Accessories, Oak"/>
        <s v="Seth Thomas 14&quot; Putty-Colored Wall Clock"/>
        <s v="Ibico Presentation Index for Binding Systems"/>
        <s v="Canon PC1080F Personal Copier"/>
        <s v="Xerox 191"/>
        <s v="Avery Hanging File Binders"/>
        <s v="Hoover Replacement Belt for Commercial Guardsman Heavy-Duty Upright Vacuum"/>
        <s v="Ultra Door Push Plate"/>
        <s v="Hunt Boston® Vacuum Mount KS Pencil Sharpener"/>
        <s v="Acme® Design Stainless Steel Bent Scissors"/>
        <s v="Canon Imageclass D680 Copier / Fax"/>
        <s v="Avery Premier Heavy-Duty Binder with Round Locking Rings"/>
        <s v="Avery 503"/>
        <s v="Master Caster Door Stop, Large Neon Orange"/>
        <s v="Hon 4060 Series Tables"/>
        <s v="Telephone Message Books with Fax/Mobile Section, 4 1/4&quot; x 6&quot;"/>
        <s v="Zebra Zazzle Fluorescent Highlighters"/>
        <s v="Belkin 8 Outlet SurgeMaster II Gold Surge Protector with Phone Protection"/>
        <s v="Avery 508"/>
        <s v="Belkin 325VA UPS Surge Protector, 6'"/>
        <s v="Westinghouse Floor Lamp with Metal Mesh Shade, Black"/>
        <s v="Hoover Commercial Lightweight Upright Vacuum with E-Z Empty™ Dirt Cup"/>
        <s v="Accessory1"/>
        <s v="Acme Kleencut® Forged Steel Scissors"/>
        <s v="SAFCO Optional Arm Kit for Workspace® Cribbage Stacking Chair"/>
        <s v="Staples Pushpins"/>
        <s v="C-Line Peel &amp; Stick Add-On Filing Pockets, 8-3/4 x 5-1/8, 10/Pack"/>
        <s v="Acme® Elite Stainless Steel Scissors"/>
        <s v="Hoover Commercial Soft Guard Upright Vacuum And Disposable Filtration Bags"/>
        <s v="Geographics Note Cards, Blank, White, 8 1/2&quot; x 11&quot;"/>
        <s v="Acme® Office Executive Series Stainless Steel Trimmers"/>
        <s v="Fellowes Superior 10 Outlet Split Surge Protector"/>
        <s v="Large Capacity Hanging Post Binders"/>
        <s v="Eldon Delta Triangular Chair Mat, 52&quot; x 58&quot;, Clear"/>
        <s v="Binney &amp; Smith Crayola® Metallic Colored Pencils, 8-Color Set"/>
        <s v="Sensible Storage WireTech Storage Systems"/>
        <s v="Balt Solid Wood Rectangular Table"/>
        <s v="6162m"/>
        <s v="Office Star - Professional Matrix Back Chair with 2-to-1 Synchro Tilt and Mesh Fabric Seat"/>
        <s v="Avery 484"/>
        <s v="5170"/>
        <s v="Situations Contoured Folding Chairs, 4/Set"/>
        <s v="Tripp Lite Isotel 8 Ultra 8 Outlet Metal Surge"/>
        <s v="Black Print Carbonless Snap-Off® Rapid Letter, 8 1/2&quot; x 7&quot;"/>
        <s v="Iceberg OfficeWorks 42&quot; Round Tables"/>
        <s v="Decoflex Hanging Personal Folder File"/>
        <s v="Advantus SlideClip™ Paper Clips"/>
        <s v="Important Message Pads, 50 4-1/4 x 5-1/2 Forms per Pad"/>
        <s v="Safco Industrial Wire Shelving"/>
        <s v="GBC ProClick Spines for 32-Hole Punch"/>
        <s v="Global Push Button Manager's Chair, Indigo"/>
        <s v="2190"/>
        <s v="Xerox 1916"/>
        <s v="Universal Premium White Copier/Laser Paper (20Lb. and 87 Bright)"/>
        <s v="Brother DCP1000 Digital 3 in 1 Multifunction Machine"/>
        <s v="Polycom Soundstation EX Audio-Conferencing Telephone, Black"/>
        <s v="Xerox 1895"/>
        <s v="V70"/>
        <s v="Tyvek ® Top-Opening Peel &amp; Seel ® Envelopes, Gray"/>
        <s v="Storex Dura Pro™ Binders"/>
        <s v="Newell 31"/>
        <s v="Avoid Verbal Orders Carbonless Minifold Book"/>
        <s v="Rogers® Profile Extra Capacity Storage Tub"/>
        <s v="TimeportP7382"/>
        <s v="Avery 501"/>
        <s v="Portfile® Personal File Boxes"/>
        <s v="Tennsco Stur-D-Stor Boltless Shelving, 5 Shelves, 24&quot; Deep, Sand"/>
        <s v="Quality Park Security Envelopes"/>
        <s v="Memorex 'Cool' 80 Minute CD-R Spindle, 25/Pack"/>
        <s v="Rubber Band Ball"/>
        <s v="Hon Valutask™ Swivel Chairs"/>
        <s v="i1000plus"/>
        <s v="Sauder Camden County Collection Library"/>
        <s v="Prang Dustless Chalk Sticks"/>
        <s v="2300 Heavy-Duty Transfer File Systems by Perma"/>
        <s v="Xerox 1888"/>
        <s v="Crayola Anti Dust Chalk, 12/Pack"/>
        <s v="Newell 325"/>
        <s v="Binney &amp; Smith inkTank™ Erasable Pocket Highlighter, Chisel Tip, Yellow"/>
        <s v="Avery Hi-Liter Comfort Grip Fluorescent Highlighter, Yellow Ink"/>
        <s v="Staples Colored Interoffice Envelopes"/>
        <s v="Xerox 1964"/>
        <s v="Xerox 1880"/>
        <s v="Eldon Antistatic Chair Mats for Low to Medium Pile Carpets"/>
        <s v="While You Were Out Pads, 50 per Pad, 4 x 5 1/4, Green Cycle"/>
        <s v="TDK 4.7GB DVD-R Spindle, 15/Pack"/>
        <s v="Xerox 2"/>
        <s v="i600"/>
        <s v="Hon 61000 Series Interactive Training Tables"/>
        <s v="Imation Neon 80 Minute CD-R Spindle, 50/Pack"/>
        <s v="Avery Hi-Liter GlideStik Fluorescent Highlighter, Yellow Ink"/>
        <s v="Hewlett-Packard Business Color Inkjet 3000 [N, DTN] Series Printers"/>
        <s v="Xerox 1991"/>
        <s v="Trimflex™ Flexible Post Binders"/>
        <s v="Tenex Antistatic Computer Chair Mats"/>
        <s v="BOSTON® Ranger® #55 Pencil Sharpener, Black"/>
        <s v="Iris Project Case"/>
        <s v="Xerox 1961"/>
        <s v="Chromcraft Bull-Nose Wood Oval Conference Tables &amp; Bases"/>
        <s v="Crayola Colored Pencils"/>
        <s v="4009® Highlighters by Sanford"/>
        <s v="282"/>
        <s v="DMI Eclipse Executive Suite Bookcases"/>
        <s v="Rogers Handheld Barrel Pencil Sharpener"/>
        <s v="Tripp Lite Isotel 6 Outlet Surge Protector with Fax/Modem Protection"/>
        <s v="Advantus Push Pins"/>
        <s v="V3682"/>
        <s v="Astroparche® Fine Business Paper"/>
        <s v="Xerox 1951"/>
        <s v="Imation 3.5 IBM Formatted Diskettes, 10/Box"/>
        <s v="Maxell 4.7GB DVD-R"/>
        <s v="Electrix Architect's Clamp-On Swing Arm Lamp, Black"/>
        <s v="Accohide Poly Flexible Ring Binders"/>
        <s v="Avery File Folder Labels"/>
        <s v="Balt Split Level Computer Training Table"/>
        <s v="SC-3160"/>
        <s v="IBM 3.5&quot; DS/HD IBM Formatted Diskettes, 50/Pack"/>
        <s v="Nu-Dell Float Frame 11 x 14 1/2"/>
        <s v="Regeneration Desk Collection"/>
        <s v="Xerox 1996"/>
        <s v="Verbatim 4.7GB DVD-R"/>
        <s v="Advantus 10-Drawer Portable Organizer, Chrome Metal Frame, Smoke Drawers"/>
        <s v="Global Leather Executive Chair"/>
        <s v="Chromcraft 48&quot; x 96&quot; Racetrack Double Pedestal Table"/>
        <s v="Seth Thomas 8 1/2&quot; Cubicle Clock"/>
        <s v="Lumber Crayons"/>
        <s v="Acco Six-Outlet Power Strip, 4' Cord Length"/>
        <s v="Xerox 200"/>
        <s v="Hewlett Packard 610 Color Digital Copier / Printer"/>
        <s v="Hon Rectangular Conference Tables"/>
        <s v="Acco PRESSTEX® Data Binder with Storage Hooks, Dark Blue, 9 1/2&quot; X 11&quot;"/>
        <s v="DAX Value U-Channel Document Frames, Easel Back"/>
        <s v="Acco Keyboard-In-A-Box®"/>
        <s v="Post-it® “Important Message” Note Pad, Neon Colors, 50 Sheets/Pad"/>
        <s v="Xerox 1963"/>
        <s v="Computer Printout Index Tabs"/>
        <s v="Safco Value Mate Steel Bookcase, Baked Enamel Finish on Steel, Black"/>
        <s v="Advantus Rolling Storage Box"/>
        <s v="Decoflex Hanging Personal Folder File, Blue"/>
        <s v="Microsoft Office Keyboard"/>
        <s v="DAX Cubicle Frames - 8x10"/>
        <s v="Acco Smartsocket® Color-Coded Six-Outlet AC Adapter Model Surge Protectors"/>
        <s v="IBM Numeric Access II Keypad, 17-Key, Black"/>
        <s v="Xerox 1981"/>
        <s v="Stacking Tray, Side-Loading, Legal, Smoke"/>
        <s v="36X48 HARDFLOOR CHAIRMAT"/>
        <s v="Smead Adjustable Mobile File Trolley with Lockable Top"/>
        <s v="ELITE Series"/>
        <s v="OIC Thumb-Tacks"/>
        <s v="Gyration Ultra Professional Cordless Optical Suite"/>
        <s v="Bionaire 99.97% HEPA Air Cleaner"/>
        <s v="#6 3/4 Gummed Flap White Envelopes"/>
        <s v="Grip Seal Envelopes"/>
        <s v="Avery Reinforcements for Hole-Punch Pages"/>
        <s v="Polycom ViewStation™ ISDN Videoconferencing Unit"/>
        <s v="Master Big Foot® Doorstop, Beige"/>
        <s v="US Robotics 56K V.92 Internal PCI Faxmodem"/>
        <s v="Wilson Jones Turn Tabs Binder Tool for Ring Binders"/>
        <s v="Xerox 19"/>
        <s v="GBC Plastic Binding Combs"/>
        <s v="Computer Room Manger, 14&quot;"/>
        <s v="GBC Clear Cover, 8-1/2 x 11, unpunched, 25 covers per pack"/>
        <s v="Imation 3.5&quot; IBM-Formatted Diskettes, 10/Pack"/>
        <s v="Panasonic KX-P2130 Dot Matrix Printer"/>
        <s v="Sanford EarthWrite® Recycled Pencils, Medium Soft, #2"/>
        <s v="GBC DocuBind 300 Electric Binding Machine"/>
        <s v="Ibico Ibimaster 300 Manual Binding System"/>
        <s v="Electrix 20W Halogen Replacement Bulb for Zoom-In Desk Lamp"/>
        <s v="Wilson Jones Standard D-Ring Binders"/>
        <s v="Eldon® 300 Class™ Desk Accessories, Black"/>
        <s v="Xerox 1968"/>
        <s v="Hon Deluxe Fabric Upholstered Stacking Chairs"/>
        <s v="Acme® Preferred Stainless Steel Scissors"/>
        <s v="StarTAC 7797"/>
        <s v="Kensington 6 Outlet MasterPiece® HOMEOFFICE Power Control Center"/>
        <s v="Xerox 207"/>
        <s v="Quartet Alpha® White Chalk, 12/Pack"/>
        <s v="O'Sullivan Cherrywood Estates Traditional Barrister Bookcase"/>
        <s v="Xerox 231"/>
        <s v="Space Solutions™ Industrial Galvanized Steel Shelving."/>
        <s v="Staples Surge Protector 6 outlet"/>
        <s v="Boston Model 1800 Electric Pencil Sharpener, Gray"/>
        <s v="Kensington 6 Outlet SmartSocket Surge Protector"/>
        <s v="Ibico EPK-21 Electric Binding System"/>
        <s v="Avery 511"/>
        <s v="Xerox 215"/>
        <s v="Dixon Ticonderoga® Erasable Colored Pencil Set, 12-Color"/>
        <s v="Fellowes Mighty 8 Compact Surge Protector"/>
        <s v="Premium Writing Pencils, Soft, #2 by Central Association for the Blind"/>
        <s v="Xerox 1998"/>
        <s v="Adams &quot;While You Were Out&quot; Message Pads"/>
        <s v="6&quot; Cubicle Wall Clock, Black"/>
        <s v="Eldon Imàge® Series Desk Accessories, Clear"/>
        <s v="Fellowes Officeware™ Wire Shelving"/>
        <s v="Eldon Expressions™ Desk Accessory, Wood Photo Frame, Mahogany"/>
        <s v="Economy Rollaway Files"/>
        <s v="Alliance Rubber Bands"/>
        <s v="File Shuttle II and Handi-File, Black"/>
        <s v="Round Specialty Laser Printer Labels"/>
        <s v="Eldon® 500 Class™ Desk Accessories"/>
        <s v="Sauder Camden County Barrister Bookcase, Planked Cherry Finish"/>
        <s v="DAX Charcoal/Nickel-Tone Document Frame, 5 x 7"/>
        <s v="Staples 10&quot; Round Wall Clock"/>
        <s v="Epson LQ-870 Dot Matrix Printer"/>
        <s v="Adams Telephone Message Book W/Dividers/Space For Phone Numbers, 5 1/4&quot;X8 1/2&quot;, 200/Messages"/>
        <s v="Tenex Personal Filing Tote With Secure Closure Lid, Black/Frost"/>
        <s v="Canon F603 Scientific Calculator"/>
        <s v="Newell 329"/>
        <s v="Sanford Prismacolor® Professional Thick Lead Art Pencils, 36-Color Set"/>
        <s v="Fellowes Bankers Box™ Stor/Drawer® Steel Plus™"/>
        <s v="Adams Telephone Message Books, 5 1/4” x 11”"/>
        <s v="Xerox 195"/>
        <s v="Eldon Advantage® Foldable Chair Mats for Low Pile Carpets"/>
        <s v="Xerox 1954"/>
        <s v="V2397"/>
        <s v="Epson FX-980 Dot Matrix Printer"/>
        <s v="Avery® 3 1/2&quot; Diskette Storage Pages, 10/Pack"/>
        <s v="Soundgear TeleForum DX Desktop Conference Phone"/>
        <s v="i270"/>
        <s v="Steel Personal Filing/Posting Tote"/>
        <s v="JM Magazine Binder"/>
        <s v="Xerox 1926"/>
        <s v="Message Book, Standard Line &quot;While You Were Out&quot;, 5 1/2&quot; X 4&quot;, 200 Sets/Book"/>
        <s v="Smead Alpha-Z Color-Coded Name Labels First Letter Starter Set"/>
        <s v="Luxo Adjustable Task Clamp Lamp"/>
        <s v="Sanford Pocket Accent® Highlighters"/>
        <s v="Contemporary Wood/Metal Frame"/>
        <s v="Advantus Panel Wall Acrylic Frame"/>
        <s v="Avery 516"/>
        <s v="Newell 332"/>
        <s v="Acco 3-Hole Punch"/>
        <s v="Fellowes 8 Outlet Superior Workstation Surge Protector w/o Phone/Fax/Modem Protection"/>
        <s v="GBC ProClick Punch Binding System"/>
        <s v="GBC Poly Designer Binding Covers"/>
        <s v="Southworth Structures Collection™"/>
        <s v="Wilson Jones Custom Binder Spines &amp; Labels"/>
        <s v="Epson FX-2180 Wide Format Dot Matrix Printer"/>
        <s v="Xerox 1988"/>
        <s v="Eureka The Boss® Plus 12-Amp Hard Box Upright Vacuum, Red"/>
        <s v="Hewlett Packard 6S Scientific Calculator"/>
        <s v="Sanford Colorific® Eraseable Coloring Pencils, 12 Count"/>
        <s v="Newell 308"/>
        <s v="Martin Yale Chadless Opener Electric Letter Opener"/>
        <s v="Wilson Jones Suede Grain Vinyl Binders"/>
        <s v="Honeywell Enviracaire® Portable HEPA Air Cleaner for up to 10 x 16 Room"/>
        <s v="Eldon® Executive Woodline II Desk Accessories, Mahogany"/>
        <s v="Verbatim DVD Rewritable Disc, Single-Sided, 4.7GB"/>
        <s v="Kensington 4 Outlet MasterPiece® Compact Power Control Center"/>
        <s v="Xerox 223"/>
        <s v="210 Trimline Phone, White"/>
        <s v="Stanley Bostitch Contemporary Electric Pencil Sharpeners"/>
        <s v="5170i"/>
        <s v="Avery Hi-Liter® EverBold™ Pen Style Fluorescent Highlighters, 4/Pack"/>
        <s v="Desktop 3-Pocket Hot File®"/>
        <s v="Lexmark 4227 Plus Dot Matrix Printer"/>
        <s v="6162"/>
        <s v="Avery 482"/>
        <s v="Xerox 1972"/>
        <s v="Acco Clips to Go™ Binder Clips, 24 Clips in Two Sizes"/>
        <s v="Sony IBM Color Diskettes, 25/Pack"/>
        <s v="Fellowes Mobile File Cart, Black"/>
        <s v="Sterilite Officeware Hinged File Box"/>
        <s v="Xerox 1883"/>
        <s v="Belkin OmniView SE Rackmount Kit"/>
        <s v="iDEN i550"/>
        <s v="DAX Wood Document Frame"/>
        <s v="Holmes Cool Mist Humidifier for the Whole House with 8-Gallon Output per Day, Extended Life Filter"/>
        <s v="Okidata Pacemark 4410N Wide Format Dot Matrix Printer"/>
        <s v="R289LX"/>
        <s v="Electrix Incandescent Magnifying Lamp, Black"/>
        <s v="AT&amp;T 1430 2.4GHz Analog Phone w/Caller ID"/>
        <s v="UniKeep™ View Case Binders"/>
        <s v="Acco PRESSTEX® Data Binder with Storage Hooks, Dark Blue, 14 7/8&quot; X 11&quot;"/>
        <s v="Bush® Cubix Conference Tables, Fully Assembled"/>
        <s v="Logitech Cordless Keyboard"/>
        <s v="V66"/>
        <s v="Advantus Plastic Paper Clips"/>
        <s v="O'Sullivan 4-Shelf Bookcase in Odessa Pine"/>
        <s v="Acco Pressboard Covers with Storage Hooks, 14 7/8&quot; x 11&quot;, Executive Red"/>
        <s v="Novimex High-Tech Fabric Mesh Task Chair"/>
        <s v="Xerox 209"/>
        <s v="Sanford Uni-Blazer™ View Highlighters, Chisel Tip, Yellow"/>
      </sharedItems>
    </cacheField>
    <cacheField name="Product Container" numFmtId="0">
      <sharedItems/>
    </cacheField>
    <cacheField name="Product Base Margin" numFmtId="0">
      <sharedItems containsString="0" containsBlank="1" containsNumber="1" minValue="0.35" maxValue="0.85"/>
    </cacheField>
    <cacheField name="Ship Date" numFmtId="14">
      <sharedItems containsSemiMixedTypes="0" containsNonDate="0" containsDate="1" containsString="0" minDate="2009-01-02T00:00:00" maxDate="2012-12-31T00:00:00"/>
    </cacheField>
    <cacheField name="CurrentMonth" numFmtId="0">
      <sharedItems containsSemiMixedTypes="0" containsString="0" containsNumber="1" containsInteger="1" minValue="0" maxValue="1"/>
    </cacheField>
    <cacheField name="PrevMonth" numFmtId="0">
      <sharedItems containsSemiMixedTypes="0" containsString="0" containsNumber="1" containsInteger="1" minValue="0" maxValue="1"/>
    </cacheField>
    <cacheField name="OrderCount" numFmtId="0">
      <sharedItems containsSemiMixedTypes="0" containsString="0" containsNumber="1" minValue="0.16666666666666666" maxValue="1"/>
    </cacheField>
    <cacheField name="CustomerCount" numFmtId="0">
      <sharedItems containsSemiMixedTypes="0" containsString="0" containsNumber="1" minValue="0.14285714285714285" maxValue="1"/>
    </cacheField>
    <cacheField name="Кварталы" numFmtId="0" databaseField="0">
      <fieldGroup base="2">
        <rangePr groupBy="quarters" startDate="2009-01-01T00:00:00" endDate="2012-12-31T00:00:00"/>
        <groupItems count="6">
          <s v="&lt;01.01.2009"/>
          <s v="Кв-л1"/>
          <s v="Кв-л2"/>
          <s v="Кв-л3"/>
          <s v="Кв-л4"/>
          <s v="&gt;31.12.2012"/>
        </groupItems>
      </fieldGroup>
    </cacheField>
    <cacheField name="Годы" numFmtId="0" databaseField="0">
      <fieldGroup base="2">
        <rangePr groupBy="years" startDate="2009-01-01T00:00:00" endDate="2012-12-31T00:00:00"/>
        <groupItems count="6">
          <s v="&lt;01.01.2009"/>
          <s v="2009"/>
          <s v="2010"/>
          <s v="2011"/>
          <s v="2012"/>
          <s v="&gt;31.12.2012"/>
        </groupItems>
      </fieldGroup>
    </cacheField>
    <cacheField name="Cond.Profit" numFmtId="0" formula=" IF(PrevMonth&gt;0,Profit,0)" databaseField="0"/>
    <cacheField name="PrevMonth.Profit" numFmtId="0" formula=" IF(PrevMonth&gt;0,Profit,NA())" databaseField="0"/>
    <cacheField name="CurrMonth.Profit" numFmtId="0" formula=" IF(CurrentMonth&gt;0,Profit,NA())" databaseField="0"/>
    <cacheField name="SalesPerCustomer" numFmtId="0" formula="Sales/CustomerCount" databaseField="0"/>
  </cacheFields>
  <extLst>
    <ext xmlns:x14="http://schemas.microsoft.com/office/spreadsheetml/2009/9/main" uri="{725AE2AE-9491-48be-B2B4-4EB974FC3084}">
      <x14:pivotCacheDefinition pivotCacheId="9168411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99">
  <r>
    <n v="1"/>
    <n v="3"/>
    <x v="0"/>
    <x v="0"/>
    <s v="Low"/>
    <n v="6"/>
    <n v="261.54000000000002"/>
    <n v="0.04"/>
    <s v="Regular Air"/>
    <n v="-213.25"/>
    <n v="38.94"/>
    <n v="35"/>
    <x v="0"/>
    <x v="0"/>
    <x v="0"/>
    <x v="0"/>
    <x v="0"/>
    <x v="0"/>
    <x v="0"/>
    <s v="Large Box"/>
    <n v="0.8"/>
    <d v="2010-10-20T00:00:00"/>
    <n v="0"/>
    <n v="0"/>
    <n v="1"/>
    <n v="1"/>
  </r>
  <r>
    <n v="49"/>
    <n v="293"/>
    <x v="1"/>
    <x v="1"/>
    <s v="High"/>
    <n v="49"/>
    <n v="10123.02"/>
    <n v="7.0000000000000007E-2"/>
    <s v="Delivery Truck"/>
    <n v="457.81"/>
    <n v="208.16"/>
    <n v="68.02"/>
    <x v="1"/>
    <x v="0"/>
    <x v="0"/>
    <x v="1"/>
    <x v="0"/>
    <x v="1"/>
    <x v="1"/>
    <s v="Jumbo Drum"/>
    <n v="0.57999999999999996"/>
    <d v="2012-10-02T00:00:00"/>
    <n v="0"/>
    <n v="0"/>
    <n v="0.5"/>
    <n v="0.5"/>
  </r>
  <r>
    <n v="50"/>
    <n v="293"/>
    <x v="1"/>
    <x v="1"/>
    <s v="High"/>
    <n v="27"/>
    <n v="244.57"/>
    <n v="0.01"/>
    <s v="Regular Air"/>
    <n v="46.707500000000003"/>
    <n v="8.69"/>
    <n v="2.99"/>
    <x v="1"/>
    <x v="0"/>
    <x v="0"/>
    <x v="1"/>
    <x v="0"/>
    <x v="2"/>
    <x v="2"/>
    <s v="Small Box"/>
    <n v="0.39"/>
    <d v="2012-10-03T00:00:00"/>
    <n v="0"/>
    <n v="0"/>
    <n v="0.5"/>
    <n v="0.5"/>
  </r>
  <r>
    <n v="80"/>
    <n v="483"/>
    <x v="2"/>
    <x v="2"/>
    <s v="High"/>
    <n v="30"/>
    <n v="4965.7594999999992"/>
    <n v="0.08"/>
    <s v="Regular Air"/>
    <n v="1198.971"/>
    <n v="195.99"/>
    <n v="3.99"/>
    <x v="2"/>
    <x v="0"/>
    <x v="0"/>
    <x v="2"/>
    <x v="1"/>
    <x v="3"/>
    <x v="3"/>
    <s v="Small Box"/>
    <n v="0.57999999999999996"/>
    <d v="2011-07-12T00:00:00"/>
    <n v="0"/>
    <n v="0"/>
    <n v="1"/>
    <n v="1"/>
  </r>
  <r>
    <n v="85"/>
    <n v="515"/>
    <x v="3"/>
    <x v="3"/>
    <s v="Not Specified"/>
    <n v="19"/>
    <n v="394.27"/>
    <n v="0.08"/>
    <s v="Regular Air"/>
    <n v="30.94"/>
    <n v="21.78"/>
    <n v="5.94"/>
    <x v="3"/>
    <x v="0"/>
    <x v="0"/>
    <x v="1"/>
    <x v="0"/>
    <x v="1"/>
    <x v="4"/>
    <s v="Medium Box"/>
    <n v="0.5"/>
    <d v="2010-08-30T00:00:00"/>
    <n v="0"/>
    <n v="0"/>
    <n v="0.5"/>
    <n v="0.5"/>
  </r>
  <r>
    <n v="86"/>
    <n v="515"/>
    <x v="3"/>
    <x v="3"/>
    <s v="Not Specified"/>
    <n v="21"/>
    <n v="146.69"/>
    <n v="0.05"/>
    <s v="Regular Air"/>
    <n v="4.43"/>
    <n v="6.64"/>
    <n v="4.95"/>
    <x v="3"/>
    <x v="0"/>
    <x v="0"/>
    <x v="1"/>
    <x v="2"/>
    <x v="4"/>
    <x v="5"/>
    <s v="Small Pack"/>
    <n v="0.37"/>
    <d v="2010-08-30T00:00:00"/>
    <n v="0"/>
    <n v="0"/>
    <n v="0.5"/>
    <n v="0.5"/>
  </r>
  <r>
    <n v="97"/>
    <n v="613"/>
    <x v="4"/>
    <x v="4"/>
    <s v="High"/>
    <n v="12"/>
    <n v="93.54"/>
    <n v="0.03"/>
    <s v="Regular Air"/>
    <n v="-54.038499999999999"/>
    <n v="7.3"/>
    <n v="7.72"/>
    <x v="4"/>
    <x v="0"/>
    <x v="0"/>
    <x v="2"/>
    <x v="0"/>
    <x v="2"/>
    <x v="6"/>
    <s v="Small Box"/>
    <n v="0.38"/>
    <d v="2011-06-17T00:00:00"/>
    <n v="0"/>
    <n v="0"/>
    <n v="0.5"/>
    <n v="0.5"/>
  </r>
  <r>
    <n v="98"/>
    <n v="613"/>
    <x v="4"/>
    <x v="4"/>
    <s v="High"/>
    <n v="22"/>
    <n v="905.08"/>
    <n v="0.09"/>
    <s v="Regular Air"/>
    <n v="127.7"/>
    <n v="42.76"/>
    <n v="6.22"/>
    <x v="4"/>
    <x v="0"/>
    <x v="0"/>
    <x v="2"/>
    <x v="0"/>
    <x v="0"/>
    <x v="7"/>
    <s v="Small Box"/>
    <m/>
    <d v="2011-06-18T00:00:00"/>
    <n v="0"/>
    <n v="0"/>
    <n v="0.5"/>
    <n v="0.5"/>
  </r>
  <r>
    <n v="103"/>
    <n v="643"/>
    <x v="5"/>
    <x v="5"/>
    <s v="High"/>
    <n v="21"/>
    <n v="2781.82"/>
    <n v="7.0000000000000007E-2"/>
    <s v="Express Air"/>
    <n v="-695.26"/>
    <n v="138.13999999999999"/>
    <n v="35"/>
    <x v="5"/>
    <x v="0"/>
    <x v="0"/>
    <x v="2"/>
    <x v="0"/>
    <x v="0"/>
    <x v="8"/>
    <s v="Large Box"/>
    <m/>
    <d v="2011-03-25T00:00:00"/>
    <n v="0"/>
    <n v="0"/>
    <n v="1"/>
    <n v="1"/>
  </r>
  <r>
    <n v="107"/>
    <n v="678"/>
    <x v="6"/>
    <x v="6"/>
    <s v="Low"/>
    <n v="44"/>
    <n v="228.41"/>
    <n v="7.0000000000000007E-2"/>
    <s v="Regular Air"/>
    <n v="-226.36"/>
    <n v="4.9800000000000004"/>
    <n v="8.33"/>
    <x v="6"/>
    <x v="0"/>
    <x v="0"/>
    <x v="3"/>
    <x v="0"/>
    <x v="5"/>
    <x v="9"/>
    <s v="Small Box"/>
    <n v="0.38"/>
    <d v="2010-02-26T00:00:00"/>
    <n v="0"/>
    <n v="0"/>
    <n v="1"/>
    <n v="1"/>
  </r>
  <r>
    <n v="127"/>
    <n v="807"/>
    <x v="7"/>
    <x v="7"/>
    <s v="Medium"/>
    <n v="45"/>
    <n v="196.85"/>
    <n v="0.01"/>
    <s v="Regular Air"/>
    <n v="-166.85"/>
    <n v="4.28"/>
    <n v="6.18"/>
    <x v="7"/>
    <x v="0"/>
    <x v="0"/>
    <x v="3"/>
    <x v="0"/>
    <x v="5"/>
    <x v="10"/>
    <s v="Small Box"/>
    <n v="0.4"/>
    <d v="2010-11-24T00:00:00"/>
    <n v="0"/>
    <n v="0"/>
    <n v="0.5"/>
    <n v="0.5"/>
  </r>
  <r>
    <n v="128"/>
    <n v="807"/>
    <x v="7"/>
    <x v="7"/>
    <s v="Medium"/>
    <n v="32"/>
    <n v="124.56"/>
    <n v="0.04"/>
    <s v="Regular Air"/>
    <n v="-14.33"/>
    <n v="3.95"/>
    <n v="2"/>
    <x v="7"/>
    <x v="0"/>
    <x v="0"/>
    <x v="3"/>
    <x v="0"/>
    <x v="6"/>
    <x v="11"/>
    <s v="Wrap Bag"/>
    <n v="0.53"/>
    <d v="2010-11-24T00:00:00"/>
    <n v="0"/>
    <n v="0"/>
    <n v="0.5"/>
    <n v="0.5"/>
  </r>
  <r>
    <n v="134"/>
    <n v="868"/>
    <x v="8"/>
    <x v="8"/>
    <s v="Not Specified"/>
    <n v="32"/>
    <n v="716.84"/>
    <n v="0"/>
    <s v="Regular Air"/>
    <n v="134.72"/>
    <n v="21.78"/>
    <n v="5.94"/>
    <x v="8"/>
    <x v="0"/>
    <x v="0"/>
    <x v="3"/>
    <x v="0"/>
    <x v="1"/>
    <x v="4"/>
    <s v="Medium Box"/>
    <n v="0.5"/>
    <d v="2012-06-09T00:00:00"/>
    <n v="0"/>
    <n v="0"/>
    <n v="0.5"/>
    <n v="0.33333333333333331"/>
  </r>
  <r>
    <n v="135"/>
    <n v="868"/>
    <x v="8"/>
    <x v="8"/>
    <s v="Not Specified"/>
    <n v="31"/>
    <n v="1474.33"/>
    <n v="0.04"/>
    <s v="Regular Air"/>
    <n v="114.46"/>
    <n v="47.98"/>
    <n v="3.61"/>
    <x v="8"/>
    <x v="0"/>
    <x v="0"/>
    <x v="3"/>
    <x v="1"/>
    <x v="7"/>
    <x v="12"/>
    <s v="Small Pack"/>
    <n v="0.71"/>
    <d v="2012-06-10T00:00:00"/>
    <n v="0"/>
    <n v="0"/>
    <n v="0.5"/>
    <n v="0.33333333333333331"/>
  </r>
  <r>
    <n v="149"/>
    <n v="933"/>
    <x v="9"/>
    <x v="9"/>
    <s v="Not Specified"/>
    <n v="15"/>
    <n v="80.61"/>
    <n v="0.02"/>
    <s v="Regular Air"/>
    <n v="-4.7149999999999999"/>
    <n v="5.28"/>
    <n v="2.99"/>
    <x v="9"/>
    <x v="0"/>
    <x v="0"/>
    <x v="0"/>
    <x v="0"/>
    <x v="2"/>
    <x v="13"/>
    <s v="Small Box"/>
    <n v="0.37"/>
    <d v="2012-08-04T00:00:00"/>
    <n v="0"/>
    <n v="0"/>
    <n v="1"/>
    <n v="1"/>
  </r>
  <r>
    <n v="160"/>
    <n v="995"/>
    <x v="10"/>
    <x v="10"/>
    <s v="Medium"/>
    <n v="46"/>
    <n v="1815.49"/>
    <n v="0.03"/>
    <s v="Regular Air"/>
    <n v="782.91"/>
    <n v="39.89"/>
    <n v="3.04"/>
    <x v="7"/>
    <x v="0"/>
    <x v="0"/>
    <x v="3"/>
    <x v="2"/>
    <x v="4"/>
    <x v="14"/>
    <s v="Wrap Bag"/>
    <n v="0.53"/>
    <d v="2011-05-31T00:00:00"/>
    <n v="0"/>
    <n v="0"/>
    <n v="1"/>
    <n v="1"/>
  </r>
  <r>
    <n v="161"/>
    <n v="998"/>
    <x v="11"/>
    <x v="11"/>
    <s v="Not Specified"/>
    <n v="16"/>
    <n v="248.26"/>
    <n v="7.0000000000000007E-2"/>
    <s v="Regular Air"/>
    <n v="93.8"/>
    <n v="15.74"/>
    <n v="1.39"/>
    <x v="10"/>
    <x v="0"/>
    <x v="0"/>
    <x v="0"/>
    <x v="0"/>
    <x v="8"/>
    <x v="15"/>
    <s v="Small Box"/>
    <n v="0.4"/>
    <d v="2009-11-26T00:00:00"/>
    <n v="0"/>
    <n v="0"/>
    <n v="1"/>
    <n v="1"/>
  </r>
  <r>
    <n v="175"/>
    <n v="1154"/>
    <x v="12"/>
    <x v="12"/>
    <s v="Critical"/>
    <n v="44"/>
    <n v="4462.2299999999996"/>
    <n v="0.04"/>
    <s v="Delivery Truck"/>
    <n v="440.72"/>
    <n v="100.98"/>
    <n v="26.22"/>
    <x v="11"/>
    <x v="0"/>
    <x v="0"/>
    <x v="3"/>
    <x v="2"/>
    <x v="9"/>
    <x v="16"/>
    <s v="Jumbo Box"/>
    <n v="0.6"/>
    <d v="2012-02-16T00:00:00"/>
    <n v="0"/>
    <n v="0"/>
    <n v="0.25"/>
    <n v="0.5"/>
  </r>
  <r>
    <n v="176"/>
    <n v="1154"/>
    <x v="12"/>
    <x v="12"/>
    <s v="Critical"/>
    <n v="11"/>
    <n v="663.78400000000011"/>
    <n v="0.25"/>
    <s v="Regular Air"/>
    <n v="-481.041"/>
    <n v="71.37"/>
    <n v="69"/>
    <x v="11"/>
    <x v="0"/>
    <x v="0"/>
    <x v="3"/>
    <x v="2"/>
    <x v="10"/>
    <x v="17"/>
    <s v="Large Box"/>
    <n v="0.68"/>
    <d v="2012-02-16T00:00:00"/>
    <n v="0"/>
    <n v="0"/>
    <n v="0.25"/>
    <n v="0.5"/>
  </r>
  <r>
    <n v="203"/>
    <n v="1344"/>
    <x v="13"/>
    <x v="13"/>
    <s v="Low"/>
    <n v="15"/>
    <n v="834.904"/>
    <n v="0.06"/>
    <s v="Regular Air"/>
    <n v="-11.681999999999999"/>
    <n v="65.989999999999995"/>
    <n v="5.26"/>
    <x v="12"/>
    <x v="0"/>
    <x v="0"/>
    <x v="2"/>
    <x v="1"/>
    <x v="3"/>
    <x v="18"/>
    <s v="Small Box"/>
    <n v="0.59"/>
    <d v="2012-04-22T00:00:00"/>
    <n v="0"/>
    <n v="0"/>
    <n v="0.5"/>
    <n v="0.5"/>
  </r>
  <r>
    <n v="204"/>
    <n v="1344"/>
    <x v="13"/>
    <x v="13"/>
    <s v="Low"/>
    <n v="18"/>
    <n v="2480.9205000000002"/>
    <n v="0.01"/>
    <s v="Regular Air"/>
    <n v="313.57800000000003"/>
    <n v="155.99"/>
    <n v="8.99"/>
    <x v="12"/>
    <x v="0"/>
    <x v="0"/>
    <x v="2"/>
    <x v="1"/>
    <x v="3"/>
    <x v="19"/>
    <s v="Small Box"/>
    <n v="0.57999999999999996"/>
    <d v="2012-04-19T00:00:00"/>
    <n v="0"/>
    <n v="0"/>
    <n v="0.5"/>
    <n v="0.5"/>
  </r>
  <r>
    <n v="213"/>
    <n v="1412"/>
    <x v="14"/>
    <x v="14"/>
    <s v="Not Specified"/>
    <n v="13"/>
    <n v="59.03"/>
    <n v="0.1"/>
    <s v="Express Air"/>
    <n v="26.92"/>
    <n v="3.69"/>
    <n v="0.5"/>
    <x v="3"/>
    <x v="0"/>
    <x v="0"/>
    <x v="1"/>
    <x v="0"/>
    <x v="11"/>
    <x v="20"/>
    <s v="Small Box"/>
    <n v="0.38"/>
    <d v="2010-03-14T00:00:00"/>
    <n v="0"/>
    <n v="0"/>
    <n v="0.5"/>
    <n v="0.5"/>
  </r>
  <r>
    <n v="214"/>
    <n v="1412"/>
    <x v="14"/>
    <x v="14"/>
    <s v="Not Specified"/>
    <n v="21"/>
    <n v="97.48"/>
    <n v="0.05"/>
    <s v="Regular Air"/>
    <n v="-5.77"/>
    <n v="4.71"/>
    <n v="0.7"/>
    <x v="3"/>
    <x v="0"/>
    <x v="0"/>
    <x v="1"/>
    <x v="0"/>
    <x v="6"/>
    <x v="21"/>
    <s v="Wrap Bag"/>
    <n v="0.8"/>
    <d v="2010-03-14T00:00:00"/>
    <n v="0"/>
    <n v="0"/>
    <n v="0.5"/>
    <n v="0.5"/>
  </r>
  <r>
    <n v="229"/>
    <n v="1539"/>
    <x v="15"/>
    <x v="5"/>
    <s v="Low"/>
    <n v="33"/>
    <n v="511.83"/>
    <n v="0.1"/>
    <s v="Regular Air"/>
    <n v="-172.87950000000001"/>
    <n v="15.99"/>
    <n v="13.18"/>
    <x v="13"/>
    <x v="0"/>
    <x v="0"/>
    <x v="2"/>
    <x v="0"/>
    <x v="2"/>
    <x v="22"/>
    <s v="Small Box"/>
    <n v="0.37"/>
    <d v="2011-03-11T00:00:00"/>
    <n v="0"/>
    <n v="0"/>
    <n v="0.5"/>
    <n v="0.33333333333333331"/>
  </r>
  <r>
    <n v="230"/>
    <n v="1539"/>
    <x v="15"/>
    <x v="5"/>
    <s v="Low"/>
    <n v="38"/>
    <n v="184.99"/>
    <n v="0.05"/>
    <s v="Regular Air"/>
    <n v="-144.55000000000001"/>
    <n v="4.8899999999999997"/>
    <n v="4.93"/>
    <x v="13"/>
    <x v="0"/>
    <x v="0"/>
    <x v="2"/>
    <x v="1"/>
    <x v="7"/>
    <x v="23"/>
    <s v="Small Pack"/>
    <n v="0.66"/>
    <d v="2011-03-14T00:00:00"/>
    <n v="0"/>
    <n v="0"/>
    <n v="0.5"/>
    <n v="0.33333333333333331"/>
  </r>
  <r>
    <n v="231"/>
    <n v="1540"/>
    <x v="9"/>
    <x v="9"/>
    <s v="High"/>
    <n v="30"/>
    <n v="80.900000000000006"/>
    <n v="0.09"/>
    <s v="Regular Air"/>
    <n v="5.76"/>
    <n v="2.88"/>
    <n v="0.7"/>
    <x v="14"/>
    <x v="0"/>
    <x v="0"/>
    <x v="3"/>
    <x v="0"/>
    <x v="12"/>
    <x v="24"/>
    <s v="Wrap Bag"/>
    <n v="0.56000000000000005"/>
    <d v="2012-08-06T00:00:00"/>
    <n v="0"/>
    <n v="0"/>
    <n v="1"/>
    <n v="1"/>
  </r>
  <r>
    <n v="249"/>
    <n v="1702"/>
    <x v="16"/>
    <x v="10"/>
    <s v="High"/>
    <n v="23"/>
    <n v="67.239999999999995"/>
    <n v="0.06"/>
    <s v="Regular Air"/>
    <n v="4.9000000000000004"/>
    <n v="2.84"/>
    <n v="0.93"/>
    <x v="15"/>
    <x v="0"/>
    <x v="0"/>
    <x v="3"/>
    <x v="0"/>
    <x v="12"/>
    <x v="25"/>
    <s v="Wrap Bag"/>
    <n v="0.54"/>
    <d v="2011-05-07T00:00:00"/>
    <n v="0"/>
    <n v="0"/>
    <n v="1"/>
    <n v="1"/>
  </r>
  <r>
    <n v="250"/>
    <n v="1761"/>
    <x v="17"/>
    <x v="15"/>
    <s v="High"/>
    <n v="25"/>
    <n v="12028.23"/>
    <n v="0.01"/>
    <s v="Delivery Truck"/>
    <n v="-547.61"/>
    <n v="449.99"/>
    <n v="49"/>
    <x v="13"/>
    <x v="0"/>
    <x v="0"/>
    <x v="2"/>
    <x v="1"/>
    <x v="13"/>
    <x v="26"/>
    <s v="Jumbo Drum"/>
    <n v="0.38"/>
    <d v="2010-12-25T00:00:00"/>
    <n v="0"/>
    <n v="0"/>
    <n v="1"/>
    <n v="1"/>
  </r>
  <r>
    <n v="256"/>
    <n v="1792"/>
    <x v="18"/>
    <x v="7"/>
    <s v="Low"/>
    <n v="28"/>
    <n v="370.48"/>
    <n v="0.04"/>
    <s v="Regular Air"/>
    <n v="-5.45"/>
    <n v="13.48"/>
    <n v="4.51"/>
    <x v="3"/>
    <x v="0"/>
    <x v="0"/>
    <x v="1"/>
    <x v="0"/>
    <x v="0"/>
    <x v="27"/>
    <s v="Small Box"/>
    <n v="0.59"/>
    <d v="2010-11-13T00:00:00"/>
    <n v="0"/>
    <n v="0"/>
    <n v="1"/>
    <n v="0.5"/>
  </r>
  <r>
    <n v="330"/>
    <n v="2275"/>
    <x v="19"/>
    <x v="1"/>
    <s v="Not Specified"/>
    <n v="49"/>
    <n v="278"/>
    <n v="0.08"/>
    <s v="Regular Air"/>
    <n v="41.67"/>
    <n v="6.08"/>
    <n v="1.17"/>
    <x v="16"/>
    <x v="0"/>
    <x v="0"/>
    <x v="0"/>
    <x v="0"/>
    <x v="12"/>
    <x v="28"/>
    <s v="Wrap Bag"/>
    <n v="0.56000000000000005"/>
    <d v="2012-10-22T00:00:00"/>
    <n v="0"/>
    <n v="0"/>
    <n v="1"/>
    <n v="1"/>
  </r>
  <r>
    <n v="331"/>
    <n v="2277"/>
    <x v="20"/>
    <x v="16"/>
    <s v="Not Specified"/>
    <n v="10"/>
    <n v="66.540000000000006"/>
    <n v="0.01"/>
    <s v="Regular Air"/>
    <n v="-46.03"/>
    <n v="5.98"/>
    <n v="4.38"/>
    <x v="14"/>
    <x v="0"/>
    <x v="0"/>
    <x v="3"/>
    <x v="1"/>
    <x v="7"/>
    <x v="29"/>
    <s v="Small Pack"/>
    <n v="0.75"/>
    <d v="2011-01-02T00:00:00"/>
    <n v="0"/>
    <n v="0"/>
    <n v="0.5"/>
    <n v="0.5"/>
  </r>
  <r>
    <n v="332"/>
    <n v="2277"/>
    <x v="20"/>
    <x v="16"/>
    <s v="Not Specified"/>
    <n v="21"/>
    <n v="845.32"/>
    <n v="0.06"/>
    <s v="Regular Air"/>
    <n v="33.67"/>
    <n v="40.99"/>
    <n v="19.989999999999998"/>
    <x v="14"/>
    <x v="0"/>
    <x v="0"/>
    <x v="3"/>
    <x v="0"/>
    <x v="5"/>
    <x v="30"/>
    <s v="Small Box"/>
    <n v="0.36"/>
    <d v="2011-01-03T00:00:00"/>
    <n v="0"/>
    <n v="0"/>
    <n v="0.5"/>
    <n v="0.5"/>
  </r>
  <r>
    <n v="362"/>
    <n v="2532"/>
    <x v="21"/>
    <x v="17"/>
    <s v="High"/>
    <n v="39"/>
    <n v="282.07"/>
    <n v="0.03"/>
    <s v="Regular Air"/>
    <n v="140.01"/>
    <n v="7.31"/>
    <n v="0.49"/>
    <x v="17"/>
    <x v="0"/>
    <x v="0"/>
    <x v="2"/>
    <x v="0"/>
    <x v="11"/>
    <x v="31"/>
    <s v="Small Box"/>
    <n v="0.38"/>
    <d v="2011-10-11T00:00:00"/>
    <n v="0"/>
    <n v="0"/>
    <n v="0.5"/>
    <n v="0.5"/>
  </r>
  <r>
    <n v="363"/>
    <n v="2532"/>
    <x v="21"/>
    <x v="17"/>
    <s v="High"/>
    <n v="24"/>
    <n v="426.03700000000003"/>
    <n v="0.01"/>
    <s v="Regular Air"/>
    <n v="-78.957999999999998"/>
    <n v="20.99"/>
    <n v="2.5"/>
    <x v="17"/>
    <x v="0"/>
    <x v="0"/>
    <x v="2"/>
    <x v="1"/>
    <x v="3"/>
    <x v="32"/>
    <s v="Wrap Bag"/>
    <n v="0.81"/>
    <d v="2011-10-11T00:00:00"/>
    <n v="0"/>
    <n v="0"/>
    <n v="0.5"/>
    <n v="0.5"/>
  </r>
  <r>
    <n v="381"/>
    <n v="2631"/>
    <x v="22"/>
    <x v="18"/>
    <s v="Low"/>
    <n v="27"/>
    <n v="1078.49"/>
    <n v="0.08"/>
    <s v="Regular Air"/>
    <n v="252.66"/>
    <n v="40.96"/>
    <n v="1.99"/>
    <x v="18"/>
    <x v="0"/>
    <x v="0"/>
    <x v="2"/>
    <x v="1"/>
    <x v="7"/>
    <x v="33"/>
    <s v="Small Pack"/>
    <n v="0.55000000000000004"/>
    <d v="2010-09-25T00:00:00"/>
    <n v="0"/>
    <n v="0"/>
    <n v="1"/>
    <n v="1"/>
  </r>
  <r>
    <n v="406"/>
    <n v="2757"/>
    <x v="23"/>
    <x v="2"/>
    <s v="Critical"/>
    <n v="39"/>
    <n v="3554.46"/>
    <n v="7.0000000000000007E-2"/>
    <s v="Delivery Truck"/>
    <n v="-1766.01"/>
    <n v="95.95"/>
    <n v="74.349999999999994"/>
    <x v="19"/>
    <x v="0"/>
    <x v="0"/>
    <x v="2"/>
    <x v="2"/>
    <x v="14"/>
    <x v="34"/>
    <s v="Jumbo Drum"/>
    <n v="0.56999999999999995"/>
    <d v="2011-07-19T00:00:00"/>
    <n v="0"/>
    <n v="0"/>
    <n v="0.5"/>
    <n v="1"/>
  </r>
  <r>
    <n v="413"/>
    <n v="2791"/>
    <x v="24"/>
    <x v="19"/>
    <s v="High"/>
    <n v="47"/>
    <n v="191.67"/>
    <n v="0"/>
    <s v="Regular Air"/>
    <n v="-236.26750000000001"/>
    <n v="3.89"/>
    <n v="7.01"/>
    <x v="20"/>
    <x v="0"/>
    <x v="0"/>
    <x v="2"/>
    <x v="0"/>
    <x v="2"/>
    <x v="35"/>
    <s v="Small Box"/>
    <n v="0.37"/>
    <d v="2009-10-09T00:00:00"/>
    <n v="0"/>
    <n v="0"/>
    <n v="0.33333333333333331"/>
    <n v="0.33333333333333331"/>
  </r>
  <r>
    <n v="414"/>
    <n v="2791"/>
    <x v="24"/>
    <x v="19"/>
    <s v="High"/>
    <n v="49"/>
    <n v="5586.33"/>
    <n v="0.09"/>
    <s v="Delivery Truck"/>
    <n v="80.44"/>
    <n v="120.98"/>
    <n v="30"/>
    <x v="20"/>
    <x v="0"/>
    <x v="0"/>
    <x v="2"/>
    <x v="2"/>
    <x v="14"/>
    <x v="36"/>
    <s v="Jumbo Drum"/>
    <n v="0.64"/>
    <d v="2009-10-11T00:00:00"/>
    <n v="0"/>
    <n v="0"/>
    <n v="0.33333333333333331"/>
    <n v="0.33333333333333331"/>
  </r>
  <r>
    <n v="415"/>
    <n v="2791"/>
    <x v="24"/>
    <x v="19"/>
    <s v="High"/>
    <n v="18"/>
    <n v="507.64"/>
    <n v="0.1"/>
    <s v="Regular Air"/>
    <n v="118.94"/>
    <n v="30.98"/>
    <n v="5.76"/>
    <x v="20"/>
    <x v="0"/>
    <x v="0"/>
    <x v="2"/>
    <x v="0"/>
    <x v="5"/>
    <x v="37"/>
    <s v="Small Box"/>
    <n v="0.4"/>
    <d v="2009-10-10T00:00:00"/>
    <n v="0"/>
    <n v="0"/>
    <n v="0.33333333333333331"/>
    <n v="0.33333333333333331"/>
  </r>
  <r>
    <n v="440"/>
    <n v="2976"/>
    <x v="25"/>
    <x v="15"/>
    <s v="Not Specified"/>
    <n v="30"/>
    <n v="14223.82"/>
    <n v="0.09"/>
    <s v="Delivery Truck"/>
    <n v="3424.22"/>
    <n v="500.98"/>
    <n v="26"/>
    <x v="21"/>
    <x v="0"/>
    <x v="0"/>
    <x v="1"/>
    <x v="2"/>
    <x v="14"/>
    <x v="38"/>
    <s v="Jumbo Drum"/>
    <n v="0.6"/>
    <d v="2010-12-11T00:00:00"/>
    <n v="0"/>
    <n v="0"/>
    <n v="1"/>
    <n v="1"/>
  </r>
  <r>
    <n v="471"/>
    <n v="3232"/>
    <x v="26"/>
    <x v="1"/>
    <s v="Critical"/>
    <n v="5"/>
    <n v="42.66"/>
    <n v="0.06"/>
    <s v="Regular Air"/>
    <n v="-11.833499999999999"/>
    <n v="7.84"/>
    <n v="4.71"/>
    <x v="22"/>
    <x v="0"/>
    <x v="0"/>
    <x v="0"/>
    <x v="0"/>
    <x v="2"/>
    <x v="39"/>
    <s v="Small Box"/>
    <n v="0.35"/>
    <d v="2012-10-10T00:00:00"/>
    <n v="0"/>
    <n v="0"/>
    <n v="1"/>
    <n v="1"/>
  </r>
  <r>
    <n v="513"/>
    <n v="3524"/>
    <x v="27"/>
    <x v="20"/>
    <s v="High"/>
    <n v="21"/>
    <n v="427.32"/>
    <n v="0"/>
    <s v="Regular Air"/>
    <n v="52.35"/>
    <n v="18.97"/>
    <n v="9.0299999999999994"/>
    <x v="23"/>
    <x v="0"/>
    <x v="0"/>
    <x v="0"/>
    <x v="0"/>
    <x v="5"/>
    <x v="40"/>
    <s v="Small Box"/>
    <n v="0.37"/>
    <d v="2012-05-03T00:00:00"/>
    <n v="0"/>
    <n v="0"/>
    <n v="1"/>
    <n v="0.5"/>
  </r>
  <r>
    <n v="577"/>
    <n v="3908"/>
    <x v="28"/>
    <x v="14"/>
    <s v="Medium"/>
    <n v="8"/>
    <n v="820.28399999999999"/>
    <n v="0"/>
    <s v="Regular Air"/>
    <n v="-180.202"/>
    <n v="115.99"/>
    <n v="2.5"/>
    <x v="24"/>
    <x v="0"/>
    <x v="0"/>
    <x v="2"/>
    <x v="1"/>
    <x v="3"/>
    <x v="41"/>
    <s v="Small Box"/>
    <n v="0.56999999999999995"/>
    <d v="2010-03-08T00:00:00"/>
    <n v="0"/>
    <n v="0"/>
    <n v="1"/>
    <n v="1"/>
  </r>
  <r>
    <n v="606"/>
    <n v="4132"/>
    <x v="29"/>
    <x v="10"/>
    <s v="Not Specified"/>
    <n v="5"/>
    <n v="14.76"/>
    <n v="0.01"/>
    <s v="Regular Air"/>
    <n v="1.32"/>
    <n v="2.88"/>
    <n v="0.5"/>
    <x v="25"/>
    <x v="0"/>
    <x v="0"/>
    <x v="2"/>
    <x v="0"/>
    <x v="11"/>
    <x v="42"/>
    <s v="Small Box"/>
    <n v="0.36"/>
    <d v="2011-05-30T00:00:00"/>
    <n v="0"/>
    <n v="0"/>
    <n v="1"/>
    <n v="1"/>
  </r>
  <r>
    <n v="656"/>
    <n v="4612"/>
    <x v="30"/>
    <x v="18"/>
    <s v="Medium"/>
    <n v="9"/>
    <n v="89.55"/>
    <n v="0.06"/>
    <s v="Regular Air"/>
    <n v="-375.64"/>
    <n v="4.4800000000000004"/>
    <n v="49"/>
    <x v="12"/>
    <x v="0"/>
    <x v="0"/>
    <x v="2"/>
    <x v="0"/>
    <x v="1"/>
    <x v="43"/>
    <s v="Large Box"/>
    <n v="0.6"/>
    <d v="2010-09-21T00:00:00"/>
    <n v="0"/>
    <n v="0"/>
    <n v="1"/>
    <n v="1"/>
  </r>
  <r>
    <n v="669"/>
    <n v="4676"/>
    <x v="31"/>
    <x v="21"/>
    <s v="High"/>
    <n v="11"/>
    <n v="1210.0514999999998"/>
    <n v="0.04"/>
    <s v="Regular Air"/>
    <n v="-104.24700000000007"/>
    <n v="125.99"/>
    <n v="7.69"/>
    <x v="15"/>
    <x v="0"/>
    <x v="0"/>
    <x v="3"/>
    <x v="1"/>
    <x v="3"/>
    <x v="44"/>
    <s v="Small Box"/>
    <n v="0.57999999999999996"/>
    <d v="2011-09-01T00:00:00"/>
    <n v="0"/>
    <n v="0"/>
    <n v="0.25"/>
    <n v="0.25"/>
  </r>
  <r>
    <n v="670"/>
    <n v="4676"/>
    <x v="31"/>
    <x v="21"/>
    <s v="High"/>
    <n v="50"/>
    <n v="187.83"/>
    <n v="0.03"/>
    <s v="Regular Air"/>
    <n v="85.96"/>
    <n v="3.75"/>
    <n v="0.5"/>
    <x v="15"/>
    <x v="0"/>
    <x v="0"/>
    <x v="3"/>
    <x v="0"/>
    <x v="11"/>
    <x v="45"/>
    <s v="Small Box"/>
    <n v="0.37"/>
    <d v="2011-09-02T00:00:00"/>
    <n v="0"/>
    <n v="0"/>
    <n v="0.25"/>
    <n v="0.25"/>
  </r>
  <r>
    <n v="671"/>
    <n v="4676"/>
    <x v="31"/>
    <x v="21"/>
    <s v="High"/>
    <n v="3"/>
    <n v="49.59"/>
    <n v="7.0000000000000007E-2"/>
    <s v="Express Air"/>
    <n v="-8.3800000000000008"/>
    <n v="12.28"/>
    <n v="6.47"/>
    <x v="15"/>
    <x v="0"/>
    <x v="0"/>
    <x v="3"/>
    <x v="0"/>
    <x v="5"/>
    <x v="46"/>
    <s v="Small Box"/>
    <n v="0.38"/>
    <d v="2011-09-02T00:00:00"/>
    <n v="0"/>
    <n v="0"/>
    <n v="0.25"/>
    <n v="0.25"/>
  </r>
  <r>
    <n v="672"/>
    <n v="4676"/>
    <x v="31"/>
    <x v="21"/>
    <s v="High"/>
    <n v="30"/>
    <n v="4253.009"/>
    <n v="0.01"/>
    <s v="Regular Air"/>
    <n v="1115.694"/>
    <n v="155.99"/>
    <n v="8.99"/>
    <x v="15"/>
    <x v="0"/>
    <x v="0"/>
    <x v="3"/>
    <x v="1"/>
    <x v="3"/>
    <x v="19"/>
    <s v="Small Box"/>
    <n v="0.57999999999999996"/>
    <d v="2011-09-01T00:00:00"/>
    <n v="0"/>
    <n v="0"/>
    <n v="0.25"/>
    <n v="0.25"/>
  </r>
  <r>
    <n v="734"/>
    <n v="5284"/>
    <x v="32"/>
    <x v="2"/>
    <s v="Not Specified"/>
    <n v="7"/>
    <n v="59.38"/>
    <n v="0.1"/>
    <s v="Regular Air"/>
    <n v="-3.0474999999999999"/>
    <n v="8.69"/>
    <n v="2.99"/>
    <x v="15"/>
    <x v="0"/>
    <x v="0"/>
    <x v="3"/>
    <x v="0"/>
    <x v="2"/>
    <x v="2"/>
    <s v="Small Box"/>
    <n v="0.39"/>
    <d v="2011-07-10T00:00:00"/>
    <n v="0"/>
    <n v="0"/>
    <n v="1"/>
    <n v="1"/>
  </r>
  <r>
    <n v="735"/>
    <n v="5316"/>
    <x v="33"/>
    <x v="22"/>
    <s v="Critical"/>
    <n v="42"/>
    <n v="1285.3699999999999"/>
    <n v="0.1"/>
    <s v="Regular Air"/>
    <n v="514.07000000000005"/>
    <n v="31.78"/>
    <n v="1.99"/>
    <x v="2"/>
    <x v="0"/>
    <x v="0"/>
    <x v="2"/>
    <x v="1"/>
    <x v="7"/>
    <x v="47"/>
    <s v="Small Pack"/>
    <n v="0.42"/>
    <d v="2009-02-01T00:00:00"/>
    <n v="0"/>
    <n v="1"/>
    <n v="1"/>
    <n v="1"/>
  </r>
  <r>
    <n v="755"/>
    <n v="5409"/>
    <x v="34"/>
    <x v="23"/>
    <s v="Low"/>
    <n v="11"/>
    <n v="48.91"/>
    <n v="0.01"/>
    <s v="Regular Air"/>
    <n v="-7.04"/>
    <n v="3.98"/>
    <n v="2.97"/>
    <x v="26"/>
    <x v="0"/>
    <x v="0"/>
    <x v="2"/>
    <x v="0"/>
    <x v="5"/>
    <x v="48"/>
    <s v="Wrap Bag"/>
    <n v="0.35"/>
    <d v="2012-01-13T00:00:00"/>
    <n v="0"/>
    <n v="0"/>
    <n v="1"/>
    <n v="1"/>
  </r>
  <r>
    <n v="769"/>
    <n v="5506"/>
    <x v="35"/>
    <x v="7"/>
    <s v="Critical"/>
    <n v="22"/>
    <n v="129.62"/>
    <n v="0.05"/>
    <s v="Regular Air"/>
    <n v="4.41"/>
    <n v="5.88"/>
    <n v="3.04"/>
    <x v="27"/>
    <x v="0"/>
    <x v="0"/>
    <x v="2"/>
    <x v="0"/>
    <x v="5"/>
    <x v="49"/>
    <s v="Wrap Bag"/>
    <n v="0.36"/>
    <d v="2010-11-08T00:00:00"/>
    <n v="0"/>
    <n v="0"/>
    <n v="1"/>
    <n v="1"/>
  </r>
  <r>
    <n v="782"/>
    <n v="5569"/>
    <x v="36"/>
    <x v="24"/>
    <s v="Not Specified"/>
    <n v="12"/>
    <n v="118.97"/>
    <n v="0.09"/>
    <s v="Regular Air"/>
    <n v="-5.9999999999995168E-2"/>
    <n v="9.65"/>
    <n v="6.22"/>
    <x v="28"/>
    <x v="0"/>
    <x v="0"/>
    <x v="2"/>
    <x v="2"/>
    <x v="4"/>
    <x v="50"/>
    <s v="Small Box"/>
    <n v="0.55000000000000004"/>
    <d v="2010-05-01T00:00:00"/>
    <n v="0"/>
    <n v="0"/>
    <n v="1"/>
    <n v="1"/>
  </r>
  <r>
    <n v="786"/>
    <n v="5607"/>
    <x v="37"/>
    <x v="25"/>
    <s v="Not Specified"/>
    <n v="8"/>
    <n v="61.871500000000005"/>
    <n v="0"/>
    <s v="Regular Air"/>
    <n v="-50.325000000000003"/>
    <n v="7.99"/>
    <n v="5.03"/>
    <x v="29"/>
    <x v="0"/>
    <x v="0"/>
    <x v="3"/>
    <x v="1"/>
    <x v="3"/>
    <x v="51"/>
    <s v="Medium Box"/>
    <n v="0.6"/>
    <d v="2012-01-03T00:00:00"/>
    <n v="0"/>
    <n v="0"/>
    <n v="1"/>
    <n v="1"/>
  </r>
  <r>
    <n v="817"/>
    <n v="5894"/>
    <x v="38"/>
    <x v="26"/>
    <s v="High"/>
    <n v="7"/>
    <n v="384.33"/>
    <n v="0.1"/>
    <s v="Regular Air"/>
    <n v="87.677499999999995"/>
    <n v="58.1"/>
    <n v="1.49"/>
    <x v="30"/>
    <x v="0"/>
    <x v="0"/>
    <x v="2"/>
    <x v="0"/>
    <x v="2"/>
    <x v="52"/>
    <s v="Small Box"/>
    <n v="0.38"/>
    <d v="2009-08-13T00:00:00"/>
    <n v="0"/>
    <n v="0"/>
    <n v="0.5"/>
    <n v="0.5"/>
  </r>
  <r>
    <n v="818"/>
    <n v="5894"/>
    <x v="38"/>
    <x v="26"/>
    <s v="High"/>
    <n v="3"/>
    <n v="239.03"/>
    <n v="0.01"/>
    <s v="Regular Air"/>
    <n v="-68.22"/>
    <n v="80.48"/>
    <n v="4.5"/>
    <x v="30"/>
    <x v="0"/>
    <x v="0"/>
    <x v="2"/>
    <x v="0"/>
    <x v="1"/>
    <x v="53"/>
    <s v="Small Box"/>
    <n v="0.55000000000000004"/>
    <d v="2009-08-15T00:00:00"/>
    <n v="0"/>
    <n v="0"/>
    <n v="0.5"/>
    <n v="0.5"/>
  </r>
  <r>
    <n v="821"/>
    <n v="5925"/>
    <x v="39"/>
    <x v="27"/>
    <s v="Low"/>
    <n v="44"/>
    <n v="3922.42"/>
    <n v="0.08"/>
    <s v="Regular Air"/>
    <n v="-354.9"/>
    <n v="92.23"/>
    <n v="39.61"/>
    <x v="31"/>
    <x v="0"/>
    <x v="0"/>
    <x v="3"/>
    <x v="2"/>
    <x v="4"/>
    <x v="54"/>
    <s v="Medium Box"/>
    <n v="0.67"/>
    <d v="2011-11-19T00:00:00"/>
    <n v="0"/>
    <n v="0"/>
    <n v="0.5"/>
    <n v="0.5"/>
  </r>
  <r>
    <n v="822"/>
    <n v="5925"/>
    <x v="39"/>
    <x v="27"/>
    <s v="Low"/>
    <n v="25"/>
    <n v="1733.3625"/>
    <n v="7.0000000000000007E-2"/>
    <s v="Regular Air"/>
    <n v="-267.01400000000001"/>
    <n v="85.99"/>
    <n v="0.99"/>
    <x v="31"/>
    <x v="0"/>
    <x v="0"/>
    <x v="3"/>
    <x v="1"/>
    <x v="3"/>
    <x v="55"/>
    <s v="Wrap Bag"/>
    <n v="0.85"/>
    <d v="2011-11-19T00:00:00"/>
    <n v="0"/>
    <n v="0"/>
    <n v="0.5"/>
    <n v="0.5"/>
  </r>
  <r>
    <n v="839"/>
    <n v="6016"/>
    <x v="40"/>
    <x v="23"/>
    <s v="High"/>
    <n v="19"/>
    <n v="208.28"/>
    <n v="7.0000000000000007E-2"/>
    <s v="Regular Air"/>
    <n v="3.63"/>
    <n v="11.48"/>
    <n v="5.43"/>
    <x v="32"/>
    <x v="0"/>
    <x v="0"/>
    <x v="3"/>
    <x v="0"/>
    <x v="5"/>
    <x v="56"/>
    <s v="Small Box"/>
    <n v="0.36"/>
    <d v="2012-01-20T00:00:00"/>
    <n v="0"/>
    <n v="0"/>
    <n v="1"/>
    <n v="1"/>
  </r>
  <r>
    <n v="853"/>
    <n v="6116"/>
    <x v="41"/>
    <x v="28"/>
    <s v="Medium"/>
    <n v="6"/>
    <n v="9620.82"/>
    <n v="0.04"/>
    <s v="Regular Air"/>
    <n v="-1759.58"/>
    <n v="1637.53"/>
    <n v="24.49"/>
    <x v="33"/>
    <x v="0"/>
    <x v="0"/>
    <x v="2"/>
    <x v="0"/>
    <x v="15"/>
    <x v="57"/>
    <s v="Medium Box"/>
    <n v="0.81"/>
    <d v="2009-03-22T00:00:00"/>
    <n v="0"/>
    <n v="0"/>
    <n v="0.5"/>
    <n v="0.5"/>
  </r>
  <r>
    <n v="863"/>
    <n v="6182"/>
    <x v="42"/>
    <x v="29"/>
    <s v="Low"/>
    <n v="40"/>
    <n v="255.48"/>
    <n v="0.04"/>
    <s v="Regular Air"/>
    <n v="-116.79"/>
    <n v="6.48"/>
    <n v="6.65"/>
    <x v="16"/>
    <x v="0"/>
    <x v="0"/>
    <x v="2"/>
    <x v="0"/>
    <x v="5"/>
    <x v="58"/>
    <s v="Small Box"/>
    <n v="0.36"/>
    <d v="2012-07-28T00:00:00"/>
    <n v="0"/>
    <n v="0"/>
    <n v="0.5"/>
    <n v="0.33333333333333331"/>
  </r>
  <r>
    <n v="864"/>
    <n v="6182"/>
    <x v="42"/>
    <x v="29"/>
    <s v="Low"/>
    <n v="18"/>
    <n v="130.32"/>
    <n v="0.04"/>
    <s v="Express Air"/>
    <n v="-67.28"/>
    <n v="6.48"/>
    <n v="7.86"/>
    <x v="16"/>
    <x v="0"/>
    <x v="0"/>
    <x v="2"/>
    <x v="0"/>
    <x v="5"/>
    <x v="59"/>
    <s v="Small Box"/>
    <n v="0.37"/>
    <d v="2012-07-25T00:00:00"/>
    <n v="0"/>
    <n v="0"/>
    <n v="0.5"/>
    <n v="0.33333333333333331"/>
  </r>
  <r>
    <n v="911"/>
    <n v="6535"/>
    <x v="43"/>
    <x v="8"/>
    <s v="Critical"/>
    <n v="11"/>
    <n v="312.36"/>
    <n v="7.0000000000000007E-2"/>
    <s v="Express Air"/>
    <n v="-19.329999999999998"/>
    <n v="28.15"/>
    <n v="8.99"/>
    <x v="34"/>
    <x v="0"/>
    <x v="0"/>
    <x v="2"/>
    <x v="0"/>
    <x v="12"/>
    <x v="60"/>
    <s v="Small Pack"/>
    <n v="0.56999999999999995"/>
    <d v="2012-06-15T00:00:00"/>
    <n v="0"/>
    <n v="0"/>
    <n v="1"/>
    <n v="1"/>
  </r>
  <r>
    <n v="950"/>
    <n v="6884"/>
    <x v="44"/>
    <x v="22"/>
    <s v="Low"/>
    <n v="41"/>
    <n v="217"/>
    <n v="0.01"/>
    <s v="Regular Air"/>
    <n v="-61.21"/>
    <n v="4.9800000000000004"/>
    <n v="4.75"/>
    <x v="32"/>
    <x v="0"/>
    <x v="0"/>
    <x v="3"/>
    <x v="0"/>
    <x v="5"/>
    <x v="61"/>
    <s v="Small Box"/>
    <n v="0.36"/>
    <d v="2009-01-20T00:00:00"/>
    <n v="0"/>
    <n v="1"/>
    <n v="0.5"/>
    <n v="0.5"/>
  </r>
  <r>
    <n v="951"/>
    <n v="6884"/>
    <x v="44"/>
    <x v="22"/>
    <s v="Low"/>
    <n v="47"/>
    <n v="296.13"/>
    <n v="0.04"/>
    <s v="Regular Air"/>
    <n v="119.09"/>
    <n v="6.35"/>
    <n v="1.02"/>
    <x v="32"/>
    <x v="0"/>
    <x v="0"/>
    <x v="3"/>
    <x v="0"/>
    <x v="5"/>
    <x v="62"/>
    <s v="Wrap Bag"/>
    <n v="0.39"/>
    <d v="2009-01-20T00:00:00"/>
    <n v="0"/>
    <n v="1"/>
    <n v="0.5"/>
    <n v="0.5"/>
  </r>
  <r>
    <n v="956"/>
    <n v="6916"/>
    <x v="45"/>
    <x v="30"/>
    <s v="Low"/>
    <n v="40"/>
    <n v="436.17"/>
    <n v="0.08"/>
    <s v="Express Air"/>
    <n v="-141.27000000000001"/>
    <n v="10.9"/>
    <n v="7.46"/>
    <x v="35"/>
    <x v="0"/>
    <x v="0"/>
    <x v="1"/>
    <x v="0"/>
    <x v="0"/>
    <x v="63"/>
    <s v="Small Box"/>
    <n v="0.59"/>
    <d v="2010-06-08T00:00:00"/>
    <n v="0"/>
    <n v="0"/>
    <n v="1"/>
    <n v="1"/>
  </r>
  <r>
    <n v="963"/>
    <n v="6980"/>
    <x v="46"/>
    <x v="6"/>
    <s v="Not Specified"/>
    <n v="18"/>
    <n v="136.29"/>
    <n v="0.05"/>
    <s v="Regular Air"/>
    <n v="-77.28"/>
    <n v="7.3"/>
    <n v="7.72"/>
    <x v="36"/>
    <x v="0"/>
    <x v="0"/>
    <x v="1"/>
    <x v="0"/>
    <x v="2"/>
    <x v="6"/>
    <s v="Small Box"/>
    <n v="0.38"/>
    <d v="2010-02-19T00:00:00"/>
    <n v="0"/>
    <n v="0"/>
    <n v="1"/>
    <n v="0.5"/>
  </r>
  <r>
    <n v="964"/>
    <n v="6982"/>
    <x v="47"/>
    <x v="27"/>
    <s v="Not Specified"/>
    <n v="32"/>
    <n v="1311.25"/>
    <n v="0"/>
    <s v="Express Air"/>
    <n v="407.44"/>
    <n v="39.479999999999997"/>
    <n v="1.99"/>
    <x v="24"/>
    <x v="0"/>
    <x v="0"/>
    <x v="2"/>
    <x v="1"/>
    <x v="7"/>
    <x v="64"/>
    <s v="Small Pack"/>
    <n v="0.54"/>
    <d v="2011-11-18T00:00:00"/>
    <n v="0"/>
    <n v="0"/>
    <n v="0.33333333333333331"/>
    <n v="0.33333333333333331"/>
  </r>
  <r>
    <n v="965"/>
    <n v="6982"/>
    <x v="47"/>
    <x v="27"/>
    <s v="Not Specified"/>
    <n v="5"/>
    <n v="544.41"/>
    <n v="0.09"/>
    <s v="Delivery Truck"/>
    <n v="-338.27"/>
    <n v="100.98"/>
    <n v="57.38"/>
    <x v="24"/>
    <x v="0"/>
    <x v="0"/>
    <x v="2"/>
    <x v="2"/>
    <x v="9"/>
    <x v="65"/>
    <s v="Jumbo Box"/>
    <n v="0.78"/>
    <d v="2011-11-18T00:00:00"/>
    <n v="0"/>
    <n v="0"/>
    <n v="0.33333333333333331"/>
    <n v="0.33333333333333331"/>
  </r>
  <r>
    <n v="966"/>
    <n v="6982"/>
    <x v="47"/>
    <x v="27"/>
    <s v="Not Specified"/>
    <n v="41"/>
    <n v="844.09"/>
    <n v="0.04"/>
    <s v="Regular Air"/>
    <n v="52.56"/>
    <n v="19.98"/>
    <n v="10.49"/>
    <x v="24"/>
    <x v="0"/>
    <x v="0"/>
    <x v="2"/>
    <x v="2"/>
    <x v="4"/>
    <x v="66"/>
    <s v="Small Box"/>
    <n v="0.49"/>
    <d v="2011-11-18T00:00:00"/>
    <n v="0"/>
    <n v="0"/>
    <n v="0.33333333333333331"/>
    <n v="0.33333333333333331"/>
  </r>
  <r>
    <n v="988"/>
    <n v="7110"/>
    <x v="48"/>
    <x v="21"/>
    <s v="Low"/>
    <n v="22"/>
    <n v="6396.2"/>
    <n v="0.02"/>
    <s v="Regular Air"/>
    <n v="1902.24"/>
    <n v="276.2"/>
    <n v="24.49"/>
    <x v="16"/>
    <x v="0"/>
    <x v="0"/>
    <x v="2"/>
    <x v="2"/>
    <x v="14"/>
    <x v="67"/>
    <s v="Large Box"/>
    <m/>
    <d v="2011-08-11T00:00:00"/>
    <n v="0"/>
    <n v="0"/>
    <n v="1"/>
    <n v="0.25"/>
  </r>
  <r>
    <n v="1017"/>
    <n v="7430"/>
    <x v="49"/>
    <x v="30"/>
    <s v="Medium"/>
    <n v="50"/>
    <n v="751.77"/>
    <n v="0.05"/>
    <s v="Regular Air"/>
    <n v="353.2"/>
    <n v="15.67"/>
    <n v="1.39"/>
    <x v="33"/>
    <x v="0"/>
    <x v="0"/>
    <x v="2"/>
    <x v="0"/>
    <x v="8"/>
    <x v="68"/>
    <s v="Small Box"/>
    <n v="0.38"/>
    <d v="2010-06-09T00:00:00"/>
    <n v="0"/>
    <n v="0"/>
    <n v="1"/>
    <n v="1"/>
  </r>
  <r>
    <n v="1073"/>
    <n v="7906"/>
    <x v="50"/>
    <x v="19"/>
    <s v="Medium"/>
    <n v="37"/>
    <n v="1003.06"/>
    <n v="0.03"/>
    <s v="Regular Air"/>
    <n v="271.77999999999997"/>
    <n v="25.98"/>
    <n v="5.37"/>
    <x v="37"/>
    <x v="0"/>
    <x v="0"/>
    <x v="1"/>
    <x v="0"/>
    <x v="1"/>
    <x v="69"/>
    <s v="Medium Box"/>
    <n v="0.5"/>
    <d v="2009-10-17T00:00:00"/>
    <n v="0"/>
    <n v="0"/>
    <n v="1"/>
    <n v="1"/>
  </r>
  <r>
    <n v="1154"/>
    <n v="8391"/>
    <x v="51"/>
    <x v="21"/>
    <s v="High"/>
    <n v="4"/>
    <n v="1266.72"/>
    <n v="0.04"/>
    <s v="Delivery Truck"/>
    <n v="-268.36"/>
    <n v="300.98"/>
    <n v="64.73"/>
    <x v="11"/>
    <x v="0"/>
    <x v="0"/>
    <x v="2"/>
    <x v="2"/>
    <x v="14"/>
    <x v="70"/>
    <s v="Jumbo Drum"/>
    <n v="0.56000000000000005"/>
    <d v="2011-08-29T00:00:00"/>
    <n v="0"/>
    <n v="0"/>
    <n v="1"/>
    <n v="1"/>
  </r>
  <r>
    <n v="1156"/>
    <n v="8419"/>
    <x v="52"/>
    <x v="31"/>
    <s v="Critical"/>
    <n v="19"/>
    <n v="368.04"/>
    <n v="7.0000000000000007E-2"/>
    <s v="Express Air"/>
    <n v="70.39"/>
    <n v="19.98"/>
    <n v="5.97"/>
    <x v="23"/>
    <x v="0"/>
    <x v="0"/>
    <x v="0"/>
    <x v="0"/>
    <x v="5"/>
    <x v="71"/>
    <s v="Small Box"/>
    <n v="0.38"/>
    <d v="2011-10-01T00:00:00"/>
    <n v="0"/>
    <n v="0"/>
    <n v="0.5"/>
    <n v="0.5"/>
  </r>
  <r>
    <n v="1157"/>
    <n v="8419"/>
    <x v="52"/>
    <x v="31"/>
    <s v="Critical"/>
    <n v="24"/>
    <n v="152.6"/>
    <n v="0.1"/>
    <s v="Regular Air"/>
    <n v="-86.62"/>
    <n v="6.48"/>
    <n v="7.03"/>
    <x v="23"/>
    <x v="0"/>
    <x v="0"/>
    <x v="0"/>
    <x v="0"/>
    <x v="5"/>
    <x v="72"/>
    <s v="Small Box"/>
    <n v="0.37"/>
    <d v="2011-09-30T00:00:00"/>
    <n v="0"/>
    <n v="0"/>
    <n v="0.5"/>
    <n v="0.5"/>
  </r>
  <r>
    <n v="1205"/>
    <n v="8833"/>
    <x v="53"/>
    <x v="20"/>
    <s v="Low"/>
    <n v="40"/>
    <n v="3338.98"/>
    <n v="0"/>
    <s v="Regular Air"/>
    <n v="-846.73"/>
    <n v="80.98"/>
    <n v="35"/>
    <x v="23"/>
    <x v="0"/>
    <x v="0"/>
    <x v="0"/>
    <x v="0"/>
    <x v="0"/>
    <x v="73"/>
    <s v="Large Box"/>
    <n v="0.81"/>
    <d v="2012-05-08T00:00:00"/>
    <n v="0"/>
    <n v="0"/>
    <n v="1"/>
    <n v="0.5"/>
  </r>
  <r>
    <n v="1226"/>
    <n v="8995"/>
    <x v="54"/>
    <x v="10"/>
    <s v="High"/>
    <n v="5"/>
    <n v="24.16"/>
    <n v="0.08"/>
    <s v="Express Air"/>
    <n v="8.0495000000000001"/>
    <n v="1.88"/>
    <n v="1.49"/>
    <x v="37"/>
    <x v="0"/>
    <x v="0"/>
    <x v="1"/>
    <x v="0"/>
    <x v="2"/>
    <x v="74"/>
    <s v="Small Box"/>
    <n v="0.37"/>
    <d v="2011-05-18T00:00:00"/>
    <n v="0"/>
    <n v="0"/>
    <n v="0.2"/>
    <n v="0.16666666666666666"/>
  </r>
  <r>
    <n v="1227"/>
    <n v="8995"/>
    <x v="54"/>
    <x v="10"/>
    <s v="High"/>
    <n v="41"/>
    <n v="270.83999999999997"/>
    <n v="0.1"/>
    <s v="Express Air"/>
    <n v="-78.02"/>
    <n v="6.48"/>
    <n v="5.86"/>
    <x v="37"/>
    <x v="1"/>
    <x v="1"/>
    <x v="1"/>
    <x v="0"/>
    <x v="5"/>
    <x v="75"/>
    <s v="Small Box"/>
    <n v="0.36"/>
    <d v="2011-05-18T00:00:00"/>
    <n v="0"/>
    <n v="0"/>
    <n v="0.2"/>
    <n v="0.16666666666666666"/>
  </r>
  <r>
    <n v="1228"/>
    <n v="8995"/>
    <x v="54"/>
    <x v="10"/>
    <s v="High"/>
    <n v="35"/>
    <n v="3389.93"/>
    <n v="0.08"/>
    <s v="Express Air"/>
    <n v="737.94"/>
    <n v="102.3"/>
    <n v="21.26"/>
    <x v="37"/>
    <x v="1"/>
    <x v="1"/>
    <x v="1"/>
    <x v="2"/>
    <x v="4"/>
    <x v="76"/>
    <s v="Large Box"/>
    <n v="0.59"/>
    <d v="2011-05-18T00:00:00"/>
    <n v="0"/>
    <n v="0"/>
    <n v="0.2"/>
    <n v="0.16666666666666666"/>
  </r>
  <r>
    <n v="1229"/>
    <n v="8995"/>
    <x v="54"/>
    <x v="10"/>
    <s v="High"/>
    <n v="42"/>
    <n v="266.36"/>
    <n v="7.0000000000000007E-2"/>
    <s v="Regular Air"/>
    <n v="-191.28"/>
    <n v="6.48"/>
    <n v="8.19"/>
    <x v="37"/>
    <x v="1"/>
    <x v="1"/>
    <x v="1"/>
    <x v="0"/>
    <x v="5"/>
    <x v="77"/>
    <s v="Small Box"/>
    <n v="0.37"/>
    <d v="2011-05-18T00:00:00"/>
    <n v="0"/>
    <n v="0"/>
    <n v="0.2"/>
    <n v="0.16666666666666666"/>
  </r>
  <r>
    <n v="1230"/>
    <n v="8995"/>
    <x v="54"/>
    <x v="10"/>
    <s v="High"/>
    <n v="46"/>
    <n v="89.41"/>
    <n v="0.01"/>
    <s v="Regular Air"/>
    <n v="-21.49"/>
    <n v="1.89"/>
    <n v="0.76"/>
    <x v="37"/>
    <x v="1"/>
    <x v="1"/>
    <x v="1"/>
    <x v="0"/>
    <x v="6"/>
    <x v="78"/>
    <s v="Wrap Bag"/>
    <n v="0.83"/>
    <d v="2011-05-19T00:00:00"/>
    <n v="0"/>
    <n v="0"/>
    <n v="0.2"/>
    <n v="0.16666666666666666"/>
  </r>
  <r>
    <n v="1258"/>
    <n v="9126"/>
    <x v="55"/>
    <x v="11"/>
    <s v="Medium"/>
    <n v="47"/>
    <n v="2799.7"/>
    <n v="0.04"/>
    <s v="Regular Air"/>
    <n v="884.08"/>
    <n v="62.05"/>
    <n v="3.99"/>
    <x v="11"/>
    <x v="1"/>
    <x v="1"/>
    <x v="2"/>
    <x v="0"/>
    <x v="1"/>
    <x v="79"/>
    <s v="Small Box"/>
    <n v="0.55000000000000004"/>
    <d v="2009-11-18T00:00:00"/>
    <n v="0"/>
    <n v="0"/>
    <n v="1"/>
    <n v="0.5"/>
  </r>
  <r>
    <n v="1259"/>
    <n v="9127"/>
    <x v="21"/>
    <x v="17"/>
    <s v="Not Specified"/>
    <n v="7"/>
    <n v="2039.56"/>
    <n v="0.04"/>
    <s v="Express Air"/>
    <n v="-329.49"/>
    <n v="279.48"/>
    <n v="35"/>
    <x v="38"/>
    <x v="1"/>
    <x v="1"/>
    <x v="2"/>
    <x v="0"/>
    <x v="0"/>
    <x v="80"/>
    <s v="Large Box"/>
    <n v="0.8"/>
    <d v="2011-10-12T00:00:00"/>
    <n v="0"/>
    <n v="0"/>
    <n v="1"/>
    <n v="1"/>
  </r>
  <r>
    <n v="1299"/>
    <n v="9509"/>
    <x v="56"/>
    <x v="1"/>
    <s v="Not Specified"/>
    <n v="36"/>
    <n v="12175.82"/>
    <n v="0.02"/>
    <s v="Delivery Truck"/>
    <n v="2825.15"/>
    <n v="320.98"/>
    <n v="58.95"/>
    <x v="31"/>
    <x v="1"/>
    <x v="1"/>
    <x v="3"/>
    <x v="2"/>
    <x v="14"/>
    <x v="81"/>
    <s v="Jumbo Drum"/>
    <n v="0.56999999999999995"/>
    <d v="2012-10-08T00:00:00"/>
    <n v="0"/>
    <n v="0"/>
    <n v="0.33333333333333331"/>
    <n v="0.33333333333333331"/>
  </r>
  <r>
    <n v="1300"/>
    <n v="9509"/>
    <x v="56"/>
    <x v="1"/>
    <s v="Not Specified"/>
    <n v="5"/>
    <n v="101.21"/>
    <n v="0.1"/>
    <s v="Express Air"/>
    <n v="2.13"/>
    <n v="18.97"/>
    <n v="5.21"/>
    <x v="31"/>
    <x v="1"/>
    <x v="1"/>
    <x v="3"/>
    <x v="0"/>
    <x v="5"/>
    <x v="82"/>
    <s v="Small Box"/>
    <n v="0.37"/>
    <d v="2012-10-08T00:00:00"/>
    <n v="0"/>
    <n v="0"/>
    <n v="0.33333333333333331"/>
    <n v="0.33333333333333331"/>
  </r>
  <r>
    <n v="1301"/>
    <n v="9509"/>
    <x v="56"/>
    <x v="1"/>
    <s v="Not Specified"/>
    <n v="32"/>
    <n v="1585.64"/>
    <n v="0.02"/>
    <s v="Regular Air"/>
    <n v="707.15"/>
    <n v="48.91"/>
    <n v="5.81"/>
    <x v="31"/>
    <x v="1"/>
    <x v="1"/>
    <x v="3"/>
    <x v="0"/>
    <x v="5"/>
    <x v="83"/>
    <s v="Small Box"/>
    <n v="0.38"/>
    <d v="2012-10-07T00:00:00"/>
    <n v="0"/>
    <n v="0"/>
    <n v="0.33333333333333331"/>
    <n v="0.33333333333333331"/>
  </r>
  <r>
    <n v="1337"/>
    <n v="9763"/>
    <x v="57"/>
    <x v="21"/>
    <s v="Medium"/>
    <n v="44"/>
    <n v="176.26"/>
    <n v="7.0000000000000007E-2"/>
    <s v="Regular Air"/>
    <n v="75.13"/>
    <n v="4.13"/>
    <n v="0.5"/>
    <x v="17"/>
    <x v="1"/>
    <x v="1"/>
    <x v="2"/>
    <x v="0"/>
    <x v="11"/>
    <x v="84"/>
    <s v="Small Box"/>
    <n v="0.39"/>
    <d v="2011-08-16T00:00:00"/>
    <n v="0"/>
    <n v="0"/>
    <n v="1"/>
    <n v="1"/>
  </r>
  <r>
    <n v="1370"/>
    <n v="9927"/>
    <x v="58"/>
    <x v="21"/>
    <s v="High"/>
    <n v="32"/>
    <n v="4655.07"/>
    <n v="0"/>
    <s v="Delivery Truck"/>
    <n v="-270.63"/>
    <n v="140.97999999999999"/>
    <n v="53.48"/>
    <x v="16"/>
    <x v="1"/>
    <x v="1"/>
    <x v="2"/>
    <x v="2"/>
    <x v="9"/>
    <x v="85"/>
    <s v="Jumbo Box"/>
    <n v="0.65"/>
    <d v="2011-08-17T00:00:00"/>
    <n v="0"/>
    <n v="0"/>
    <n v="0.33333333333333331"/>
    <n v="0.25"/>
  </r>
  <r>
    <n v="1371"/>
    <n v="9927"/>
    <x v="58"/>
    <x v="21"/>
    <s v="High"/>
    <n v="44"/>
    <n v="10087.6"/>
    <n v="0.01"/>
    <s v="Regular Air"/>
    <n v="3387.35"/>
    <n v="218.08"/>
    <n v="18.059999999999999"/>
    <x v="16"/>
    <x v="1"/>
    <x v="1"/>
    <x v="2"/>
    <x v="2"/>
    <x v="14"/>
    <x v="86"/>
    <s v="Large Box"/>
    <n v="0.56999999999999995"/>
    <d v="2011-08-17T00:00:00"/>
    <n v="0"/>
    <n v="0"/>
    <n v="0.33333333333333331"/>
    <n v="0.25"/>
  </r>
  <r>
    <n v="1372"/>
    <n v="9927"/>
    <x v="58"/>
    <x v="21"/>
    <s v="High"/>
    <n v="34"/>
    <n v="1608.08"/>
    <n v="0.09"/>
    <s v="Express Air"/>
    <n v="-82.16"/>
    <n v="50.98"/>
    <n v="6.5"/>
    <x v="16"/>
    <x v="1"/>
    <x v="1"/>
    <x v="2"/>
    <x v="1"/>
    <x v="7"/>
    <x v="87"/>
    <s v="Small Box"/>
    <n v="0.73"/>
    <d v="2011-08-17T00:00:00"/>
    <n v="0"/>
    <n v="0"/>
    <n v="0.33333333333333331"/>
    <n v="0.25"/>
  </r>
  <r>
    <n v="1380"/>
    <n v="10022"/>
    <x v="59"/>
    <x v="28"/>
    <s v="Low"/>
    <n v="1"/>
    <n v="12.18"/>
    <n v="0.06"/>
    <s v="Regular Air"/>
    <n v="-3.88"/>
    <n v="10.14"/>
    <n v="2.27"/>
    <x v="39"/>
    <x v="1"/>
    <x v="1"/>
    <x v="0"/>
    <x v="0"/>
    <x v="5"/>
    <x v="88"/>
    <s v="Wrap Bag"/>
    <n v="0.36"/>
    <d v="2009-03-04T00:00:00"/>
    <n v="0"/>
    <n v="0"/>
    <n v="1"/>
    <n v="1"/>
  </r>
  <r>
    <n v="1445"/>
    <n v="10437"/>
    <x v="60"/>
    <x v="26"/>
    <s v="Critical"/>
    <n v="50"/>
    <n v="820.52"/>
    <n v="0.01"/>
    <s v="Regular Air"/>
    <n v="-191.22200000000001"/>
    <n v="15.99"/>
    <n v="13.18"/>
    <x v="26"/>
    <x v="1"/>
    <x v="1"/>
    <x v="2"/>
    <x v="0"/>
    <x v="2"/>
    <x v="22"/>
    <s v="Small Box"/>
    <n v="0.37"/>
    <d v="2009-08-20T00:00:00"/>
    <n v="0"/>
    <n v="0"/>
    <n v="1"/>
    <n v="1"/>
  </r>
  <r>
    <n v="1457"/>
    <n v="10499"/>
    <x v="61"/>
    <x v="7"/>
    <s v="Not Specified"/>
    <n v="29"/>
    <n v="6250.9360000000006"/>
    <n v="0.01"/>
    <s v="Delivery Truck"/>
    <n v="31.21"/>
    <n v="262.11"/>
    <n v="62.74"/>
    <x v="40"/>
    <x v="1"/>
    <x v="1"/>
    <x v="2"/>
    <x v="2"/>
    <x v="10"/>
    <x v="89"/>
    <s v="Jumbo Box"/>
    <n v="0.75"/>
    <d v="2010-11-17T00:00:00"/>
    <n v="0"/>
    <n v="0"/>
    <n v="1"/>
    <n v="0.5"/>
  </r>
  <r>
    <n v="1462"/>
    <n v="10535"/>
    <x v="62"/>
    <x v="10"/>
    <s v="Low"/>
    <n v="25"/>
    <n v="854.88"/>
    <n v="0.09"/>
    <s v="Regular Air"/>
    <n v="-44.14"/>
    <n v="33.979999999999997"/>
    <n v="19.989999999999998"/>
    <x v="40"/>
    <x v="1"/>
    <x v="1"/>
    <x v="2"/>
    <x v="2"/>
    <x v="4"/>
    <x v="90"/>
    <s v="Small Box"/>
    <n v="0.55000000000000004"/>
    <d v="2011-05-29T00:00:00"/>
    <n v="0"/>
    <n v="0"/>
    <n v="0.5"/>
    <n v="0.5"/>
  </r>
  <r>
    <n v="1463"/>
    <n v="10535"/>
    <x v="62"/>
    <x v="10"/>
    <s v="Low"/>
    <n v="46"/>
    <n v="80.27"/>
    <n v="0.09"/>
    <s v="Regular Air"/>
    <n v="-0.79"/>
    <n v="1.76"/>
    <n v="0.7"/>
    <x v="40"/>
    <x v="1"/>
    <x v="1"/>
    <x v="2"/>
    <x v="0"/>
    <x v="12"/>
    <x v="91"/>
    <s v="Wrap Bag"/>
    <n v="0.56000000000000005"/>
    <d v="2011-06-03T00:00:00"/>
    <n v="0"/>
    <n v="0"/>
    <n v="0.5"/>
    <n v="0.5"/>
  </r>
  <r>
    <n v="1495"/>
    <n v="10789"/>
    <x v="63"/>
    <x v="3"/>
    <s v="Not Specified"/>
    <n v="15"/>
    <n v="308.54000000000002"/>
    <n v="0"/>
    <s v="Express Air"/>
    <n v="76.42"/>
    <n v="19.84"/>
    <n v="4.0999999999999996"/>
    <x v="41"/>
    <x v="1"/>
    <x v="1"/>
    <x v="2"/>
    <x v="0"/>
    <x v="12"/>
    <x v="92"/>
    <s v="Wrap Bag"/>
    <n v="0.44"/>
    <d v="2010-08-24T00:00:00"/>
    <n v="0"/>
    <n v="0"/>
    <n v="1"/>
    <n v="1"/>
  </r>
  <r>
    <n v="1496"/>
    <n v="10791"/>
    <x v="64"/>
    <x v="21"/>
    <s v="Not Specified"/>
    <n v="20"/>
    <n v="400.57"/>
    <n v="0.05"/>
    <s v="Regular Air"/>
    <n v="93.36"/>
    <n v="19.98"/>
    <n v="5.77"/>
    <x v="42"/>
    <x v="1"/>
    <x v="1"/>
    <x v="0"/>
    <x v="0"/>
    <x v="5"/>
    <x v="93"/>
    <s v="Small Box"/>
    <n v="0.38"/>
    <d v="2011-08-21T00:00:00"/>
    <n v="0"/>
    <n v="0"/>
    <n v="1"/>
    <n v="1"/>
  </r>
  <r>
    <n v="1513"/>
    <n v="10945"/>
    <x v="65"/>
    <x v="23"/>
    <s v="Medium"/>
    <n v="14"/>
    <n v="1170.0250000000001"/>
    <n v="0.04"/>
    <s v="Regular Air"/>
    <n v="4.2210000000000107"/>
    <n v="95.99"/>
    <n v="8.99"/>
    <x v="36"/>
    <x v="1"/>
    <x v="1"/>
    <x v="1"/>
    <x v="1"/>
    <x v="3"/>
    <x v="94"/>
    <s v="Small Box"/>
    <n v="0.56999999999999995"/>
    <d v="2012-01-05T00:00:00"/>
    <n v="0"/>
    <n v="0"/>
    <n v="1"/>
    <n v="0.5"/>
  </r>
  <r>
    <n v="1544"/>
    <n v="11137"/>
    <x v="66"/>
    <x v="32"/>
    <s v="High"/>
    <n v="48"/>
    <n v="5188.8599999999997"/>
    <n v="0.1"/>
    <s v="Regular Air"/>
    <n v="395.12"/>
    <n v="111.03"/>
    <n v="8.64"/>
    <x v="10"/>
    <x v="1"/>
    <x v="1"/>
    <x v="0"/>
    <x v="0"/>
    <x v="0"/>
    <x v="95"/>
    <s v="Small Box"/>
    <n v="0.78"/>
    <d v="2012-11-30T00:00:00"/>
    <n v="0"/>
    <n v="0"/>
    <n v="1"/>
    <n v="1"/>
  </r>
  <r>
    <n v="1551"/>
    <n v="11202"/>
    <x v="67"/>
    <x v="33"/>
    <s v="Medium"/>
    <n v="8"/>
    <n v="339.81"/>
    <n v="0.05"/>
    <s v="Regular Air"/>
    <n v="79.585499999999996"/>
    <n v="43.41"/>
    <n v="2.99"/>
    <x v="33"/>
    <x v="1"/>
    <x v="1"/>
    <x v="2"/>
    <x v="0"/>
    <x v="2"/>
    <x v="96"/>
    <s v="Small Box"/>
    <n v="0.39"/>
    <d v="2012-03-18T00:00:00"/>
    <n v="0"/>
    <n v="0"/>
    <n v="1"/>
    <n v="0.5"/>
  </r>
  <r>
    <n v="1589"/>
    <n v="11456"/>
    <x v="68"/>
    <x v="24"/>
    <s v="Low"/>
    <n v="15"/>
    <n v="1519.9"/>
    <n v="0.09"/>
    <s v="Regular Air"/>
    <n v="399.37"/>
    <n v="105.34"/>
    <n v="24.49"/>
    <x v="40"/>
    <x v="1"/>
    <x v="1"/>
    <x v="2"/>
    <x v="2"/>
    <x v="4"/>
    <x v="97"/>
    <s v="Large Box"/>
    <n v="0.61"/>
    <d v="2010-04-19T00:00:00"/>
    <n v="0"/>
    <n v="0"/>
    <n v="1"/>
    <n v="1"/>
  </r>
  <r>
    <n v="1590"/>
    <n v="11460"/>
    <x v="69"/>
    <x v="3"/>
    <s v="High"/>
    <n v="30"/>
    <n v="102.24"/>
    <n v="0.09"/>
    <s v="Regular Air"/>
    <n v="37.79"/>
    <n v="3.69"/>
    <n v="0.5"/>
    <x v="4"/>
    <x v="1"/>
    <x v="1"/>
    <x v="3"/>
    <x v="0"/>
    <x v="11"/>
    <x v="98"/>
    <s v="Small Box"/>
    <n v="0.38"/>
    <d v="2010-08-26T00:00:00"/>
    <n v="0"/>
    <n v="0"/>
    <n v="1"/>
    <n v="1"/>
  </r>
  <r>
    <n v="1594"/>
    <n v="11495"/>
    <x v="70"/>
    <x v="2"/>
    <s v="High"/>
    <n v="6"/>
    <n v="965.69"/>
    <n v="0"/>
    <s v="Delivery Truck"/>
    <n v="-144.19800000000001"/>
    <n v="146.34"/>
    <n v="43.75"/>
    <x v="43"/>
    <x v="1"/>
    <x v="1"/>
    <x v="2"/>
    <x v="2"/>
    <x v="10"/>
    <x v="99"/>
    <s v="Jumbo Box"/>
    <n v="0.65"/>
    <d v="2011-07-05T00:00:00"/>
    <n v="0"/>
    <n v="0"/>
    <n v="1"/>
    <n v="1"/>
  </r>
  <r>
    <n v="1654"/>
    <n v="11911"/>
    <x v="71"/>
    <x v="7"/>
    <s v="Critical"/>
    <n v="25"/>
    <n v="397.84"/>
    <n v="0"/>
    <s v="Regular Air"/>
    <n v="-14.7545"/>
    <n v="15.22"/>
    <n v="9.73"/>
    <x v="21"/>
    <x v="1"/>
    <x v="1"/>
    <x v="1"/>
    <x v="0"/>
    <x v="2"/>
    <x v="100"/>
    <s v="Small Box"/>
    <n v="0.36"/>
    <d v="2010-11-12T00:00:00"/>
    <n v="0"/>
    <n v="0"/>
    <n v="1"/>
    <n v="1"/>
  </r>
  <r>
    <n v="1655"/>
    <n v="11941"/>
    <x v="72"/>
    <x v="30"/>
    <s v="Critical"/>
    <n v="4"/>
    <n v="73.069999999999993"/>
    <n v="0.08"/>
    <s v="Regular Air"/>
    <n v="-41.01"/>
    <n v="15.7"/>
    <n v="11.25"/>
    <x v="41"/>
    <x v="1"/>
    <x v="1"/>
    <x v="2"/>
    <x v="0"/>
    <x v="0"/>
    <x v="101"/>
    <s v="Small Box"/>
    <n v="0.6"/>
    <d v="2010-06-25T00:00:00"/>
    <n v="0"/>
    <n v="0"/>
    <n v="0.5"/>
    <n v="0.5"/>
  </r>
  <r>
    <n v="1656"/>
    <n v="11941"/>
    <x v="72"/>
    <x v="30"/>
    <s v="Critical"/>
    <n v="26"/>
    <n v="4679.1000000000004"/>
    <n v="0.05"/>
    <s v="Delivery Truck"/>
    <n v="111.52"/>
    <n v="179.29"/>
    <n v="29.21"/>
    <x v="41"/>
    <x v="1"/>
    <x v="1"/>
    <x v="2"/>
    <x v="2"/>
    <x v="10"/>
    <x v="102"/>
    <s v="Jumbo Box"/>
    <n v="0.74"/>
    <d v="2010-06-25T00:00:00"/>
    <n v="0"/>
    <n v="0"/>
    <n v="0.5"/>
    <n v="0.5"/>
  </r>
  <r>
    <n v="1675"/>
    <n v="12096"/>
    <x v="73"/>
    <x v="34"/>
    <s v="Medium"/>
    <n v="46"/>
    <n v="8009.5924999999988"/>
    <n v="0.02"/>
    <s v="Regular Air"/>
    <n v="2332.395"/>
    <n v="200.99"/>
    <n v="8.08"/>
    <x v="29"/>
    <x v="1"/>
    <x v="1"/>
    <x v="3"/>
    <x v="1"/>
    <x v="3"/>
    <x v="103"/>
    <s v="Small Box"/>
    <n v="0.59"/>
    <d v="2012-09-19T00:00:00"/>
    <n v="0"/>
    <n v="0"/>
    <n v="0.5"/>
    <n v="0.5"/>
  </r>
  <r>
    <n v="1676"/>
    <n v="12096"/>
    <x v="73"/>
    <x v="34"/>
    <s v="Medium"/>
    <n v="23"/>
    <n v="4689.66"/>
    <n v="0.01"/>
    <s v="Regular Air"/>
    <n v="2176.19"/>
    <n v="194.3"/>
    <n v="11.54"/>
    <x v="29"/>
    <x v="1"/>
    <x v="1"/>
    <x v="3"/>
    <x v="2"/>
    <x v="4"/>
    <x v="104"/>
    <s v="Large Box"/>
    <n v="0.59"/>
    <d v="2012-09-21T00:00:00"/>
    <n v="0"/>
    <n v="0"/>
    <n v="0.5"/>
    <n v="0.5"/>
  </r>
  <r>
    <n v="1710"/>
    <n v="12289"/>
    <x v="74"/>
    <x v="25"/>
    <s v="Low"/>
    <n v="25"/>
    <n v="3019.41"/>
    <n v="0.04"/>
    <s v="Regular Air"/>
    <n v="1269.05"/>
    <n v="120.97"/>
    <n v="7.11"/>
    <x v="43"/>
    <x v="1"/>
    <x v="1"/>
    <x v="2"/>
    <x v="1"/>
    <x v="16"/>
    <x v="105"/>
    <s v="Medium Box"/>
    <n v="0.36"/>
    <d v="2011-12-28T00:00:00"/>
    <n v="0"/>
    <n v="0"/>
    <n v="1"/>
    <n v="1"/>
  </r>
  <r>
    <n v="1718"/>
    <n v="12352"/>
    <x v="75"/>
    <x v="33"/>
    <s v="Medium"/>
    <n v="5"/>
    <n v="36.86"/>
    <n v="7.0000000000000007E-2"/>
    <s v="Regular Air"/>
    <n v="-32.820999999999998"/>
    <n v="5.81"/>
    <n v="8.49"/>
    <x v="44"/>
    <x v="1"/>
    <x v="1"/>
    <x v="2"/>
    <x v="0"/>
    <x v="2"/>
    <x v="106"/>
    <s v="Small Box"/>
    <n v="0.39"/>
    <d v="2012-03-24T00:00:00"/>
    <n v="0"/>
    <n v="0"/>
    <n v="1"/>
    <n v="1"/>
  </r>
  <r>
    <n v="1727"/>
    <n v="12419"/>
    <x v="76"/>
    <x v="17"/>
    <s v="Critical"/>
    <n v="12"/>
    <n v="22079.47"/>
    <n v="0.06"/>
    <s v="Regular Air"/>
    <n v="5322.14"/>
    <n v="1938.02"/>
    <n v="13.99"/>
    <x v="11"/>
    <x v="1"/>
    <x v="1"/>
    <x v="2"/>
    <x v="1"/>
    <x v="16"/>
    <x v="107"/>
    <s v="Medium Box"/>
    <n v="0.38"/>
    <d v="2011-10-17T00:00:00"/>
    <n v="0"/>
    <n v="0"/>
    <n v="1"/>
    <n v="1"/>
  </r>
  <r>
    <n v="1745"/>
    <n v="12485"/>
    <x v="77"/>
    <x v="3"/>
    <s v="Critical"/>
    <n v="24"/>
    <n v="5407.31"/>
    <n v="0.04"/>
    <s v="Delivery Truck"/>
    <n v="1068.48"/>
    <n v="226.67"/>
    <n v="28.16"/>
    <x v="20"/>
    <x v="1"/>
    <x v="1"/>
    <x v="3"/>
    <x v="2"/>
    <x v="14"/>
    <x v="108"/>
    <s v="Jumbo Drum"/>
    <n v="0.59"/>
    <d v="2010-08-08T00:00:00"/>
    <n v="0"/>
    <n v="0"/>
    <n v="1"/>
    <n v="1"/>
  </r>
  <r>
    <n v="1751"/>
    <n v="12544"/>
    <x v="78"/>
    <x v="28"/>
    <s v="Low"/>
    <n v="34"/>
    <n v="74.3"/>
    <n v="0.08"/>
    <s v="Regular Air"/>
    <n v="-129.01"/>
    <n v="2.08"/>
    <n v="5.33"/>
    <x v="12"/>
    <x v="1"/>
    <x v="1"/>
    <x v="2"/>
    <x v="2"/>
    <x v="4"/>
    <x v="109"/>
    <s v="Small Box"/>
    <n v="0.43"/>
    <d v="2009-03-10T00:00:00"/>
    <n v="0"/>
    <n v="0"/>
    <n v="1"/>
    <n v="1"/>
  </r>
  <r>
    <n v="1770"/>
    <n v="12704"/>
    <x v="79"/>
    <x v="6"/>
    <s v="Low"/>
    <n v="44"/>
    <n v="21506.77"/>
    <n v="0.06"/>
    <s v="Regular Air"/>
    <n v="1260.51"/>
    <n v="499.99"/>
    <n v="24.49"/>
    <x v="3"/>
    <x v="1"/>
    <x v="1"/>
    <x v="0"/>
    <x v="1"/>
    <x v="13"/>
    <x v="110"/>
    <s v="Large Box"/>
    <n v="0.36"/>
    <d v="2010-02-09T00:00:00"/>
    <n v="0"/>
    <n v="0"/>
    <n v="0.5"/>
    <n v="0.5"/>
  </r>
  <r>
    <n v="1771"/>
    <n v="12704"/>
    <x v="79"/>
    <x v="6"/>
    <s v="Low"/>
    <n v="28"/>
    <n v="669.02"/>
    <n v="0.02"/>
    <s v="Delivery Truck"/>
    <n v="-1274.02"/>
    <n v="20.98"/>
    <n v="53.03"/>
    <x v="3"/>
    <x v="1"/>
    <x v="1"/>
    <x v="0"/>
    <x v="0"/>
    <x v="0"/>
    <x v="111"/>
    <s v="Jumbo Drum"/>
    <n v="0.78"/>
    <d v="2010-02-11T00:00:00"/>
    <n v="0"/>
    <n v="0"/>
    <n v="0.5"/>
    <n v="0.5"/>
  </r>
  <r>
    <n v="1781"/>
    <n v="12771"/>
    <x v="80"/>
    <x v="22"/>
    <s v="Critical"/>
    <n v="40"/>
    <n v="1143.49"/>
    <n v="0.08"/>
    <s v="Regular Air"/>
    <n v="-193.44"/>
    <n v="30.53"/>
    <n v="19.989999999999998"/>
    <x v="3"/>
    <x v="1"/>
    <x v="1"/>
    <x v="0"/>
    <x v="0"/>
    <x v="11"/>
    <x v="112"/>
    <s v="Small Box"/>
    <n v="0.39"/>
    <d v="2009-01-17T00:00:00"/>
    <n v="0"/>
    <n v="1"/>
    <n v="0.5"/>
    <n v="0.5"/>
  </r>
  <r>
    <n v="1782"/>
    <n v="12771"/>
    <x v="80"/>
    <x v="22"/>
    <s v="Critical"/>
    <n v="46"/>
    <n v="78.08"/>
    <n v="0.01"/>
    <s v="Regular Air"/>
    <n v="-43.1"/>
    <n v="1.68"/>
    <n v="1.57"/>
    <x v="3"/>
    <x v="1"/>
    <x v="1"/>
    <x v="0"/>
    <x v="0"/>
    <x v="12"/>
    <x v="113"/>
    <s v="Wrap Bag"/>
    <n v="0.59"/>
    <d v="2009-01-19T00:00:00"/>
    <n v="0"/>
    <n v="1"/>
    <n v="0.5"/>
    <n v="0.5"/>
  </r>
  <r>
    <n v="1806"/>
    <n v="12929"/>
    <x v="81"/>
    <x v="3"/>
    <s v="Critical"/>
    <n v="19"/>
    <n v="5297.47"/>
    <n v="0.02"/>
    <s v="Delivery Truck"/>
    <n v="-158.93"/>
    <n v="270.98"/>
    <n v="50"/>
    <x v="12"/>
    <x v="1"/>
    <x v="1"/>
    <x v="2"/>
    <x v="2"/>
    <x v="14"/>
    <x v="114"/>
    <s v="Jumbo Drum"/>
    <n v="0.77"/>
    <d v="2010-08-31T00:00:00"/>
    <n v="0"/>
    <n v="0"/>
    <n v="0.5"/>
    <n v="0.5"/>
  </r>
  <r>
    <n v="1807"/>
    <n v="12929"/>
    <x v="81"/>
    <x v="3"/>
    <s v="Critical"/>
    <n v="20"/>
    <n v="95.3"/>
    <n v="0"/>
    <s v="Regular Air"/>
    <n v="29.68"/>
    <n v="4.4800000000000004"/>
    <n v="1.22"/>
    <x v="12"/>
    <x v="1"/>
    <x v="1"/>
    <x v="2"/>
    <x v="0"/>
    <x v="5"/>
    <x v="115"/>
    <s v="Wrap Bag"/>
    <n v="0.36"/>
    <d v="2010-08-31T00:00:00"/>
    <n v="0"/>
    <n v="0"/>
    <n v="0.5"/>
    <n v="0.5"/>
  </r>
  <r>
    <n v="1842"/>
    <n v="13280"/>
    <x v="82"/>
    <x v="35"/>
    <s v="High"/>
    <n v="40"/>
    <n v="460.68"/>
    <n v="0.01"/>
    <s v="Regular Air"/>
    <n v="-116.76"/>
    <n v="10.9"/>
    <n v="7.46"/>
    <x v="16"/>
    <x v="1"/>
    <x v="1"/>
    <x v="0"/>
    <x v="0"/>
    <x v="0"/>
    <x v="63"/>
    <s v="Small Box"/>
    <n v="0.59"/>
    <d v="2009-09-12T00:00:00"/>
    <n v="0"/>
    <n v="0"/>
    <n v="0.5"/>
    <n v="0.5"/>
  </r>
  <r>
    <n v="1843"/>
    <n v="13280"/>
    <x v="82"/>
    <x v="35"/>
    <s v="High"/>
    <n v="49"/>
    <n v="318.75849999999997"/>
    <n v="0.1"/>
    <s v="Regular Air"/>
    <n v="-160.952"/>
    <n v="7.99"/>
    <n v="5.03"/>
    <x v="16"/>
    <x v="1"/>
    <x v="1"/>
    <x v="0"/>
    <x v="1"/>
    <x v="3"/>
    <x v="51"/>
    <s v="Medium Box"/>
    <n v="0.6"/>
    <d v="2009-09-12T00:00:00"/>
    <n v="0"/>
    <n v="0"/>
    <n v="0.5"/>
    <n v="0.5"/>
  </r>
  <r>
    <n v="1848"/>
    <n v="13313"/>
    <x v="83"/>
    <x v="36"/>
    <s v="Not Specified"/>
    <n v="47"/>
    <n v="1020.61"/>
    <n v="0.04"/>
    <s v="Regular Air"/>
    <n v="-209.61"/>
    <n v="21.66"/>
    <n v="13.99"/>
    <x v="32"/>
    <x v="1"/>
    <x v="1"/>
    <x v="3"/>
    <x v="0"/>
    <x v="1"/>
    <x v="116"/>
    <s v="Medium Box"/>
    <n v="0.52"/>
    <d v="2009-07-17T00:00:00"/>
    <n v="0"/>
    <n v="0"/>
    <n v="0.25"/>
    <n v="0.25"/>
  </r>
  <r>
    <n v="1855"/>
    <n v="13346"/>
    <x v="84"/>
    <x v="32"/>
    <s v="Low"/>
    <n v="44"/>
    <n v="268.33999999999997"/>
    <n v="0.09"/>
    <s v="Regular Air"/>
    <n v="-240.83"/>
    <n v="6.48"/>
    <n v="8.8800000000000008"/>
    <x v="40"/>
    <x v="1"/>
    <x v="1"/>
    <x v="2"/>
    <x v="0"/>
    <x v="5"/>
    <x v="117"/>
    <s v="Small Box"/>
    <n v="0.37"/>
    <d v="2012-11-20T00:00:00"/>
    <n v="0"/>
    <n v="0"/>
    <n v="1"/>
    <n v="1"/>
  </r>
  <r>
    <n v="1913"/>
    <n v="13702"/>
    <x v="85"/>
    <x v="31"/>
    <s v="Low"/>
    <n v="6"/>
    <n v="209"/>
    <n v="0.08"/>
    <s v="Regular Air"/>
    <n v="12.32"/>
    <n v="35.44"/>
    <n v="7.5"/>
    <x v="16"/>
    <x v="1"/>
    <x v="1"/>
    <x v="0"/>
    <x v="0"/>
    <x v="5"/>
    <x v="118"/>
    <s v="Small Box"/>
    <n v="0.38"/>
    <d v="2011-09-14T00:00:00"/>
    <n v="0"/>
    <n v="0"/>
    <n v="1"/>
    <n v="1"/>
  </r>
  <r>
    <n v="1928"/>
    <n v="13795"/>
    <x v="86"/>
    <x v="37"/>
    <s v="Not Specified"/>
    <n v="30"/>
    <n v="501.32"/>
    <n v="0.04"/>
    <s v="Regular Air"/>
    <n v="-119.0825"/>
    <n v="15.99"/>
    <n v="13.18"/>
    <x v="0"/>
    <x v="1"/>
    <x v="1"/>
    <x v="0"/>
    <x v="0"/>
    <x v="2"/>
    <x v="22"/>
    <s v="Small Box"/>
    <n v="0.37"/>
    <d v="2011-04-13T00:00:00"/>
    <n v="0"/>
    <n v="0"/>
    <n v="0.33333333333333331"/>
    <n v="0.14285714285714285"/>
  </r>
  <r>
    <n v="1929"/>
    <n v="13795"/>
    <x v="86"/>
    <x v="37"/>
    <s v="Not Specified"/>
    <n v="23"/>
    <n v="275.16000000000003"/>
    <n v="0.05"/>
    <s v="Express Air"/>
    <n v="43.35"/>
    <n v="11.34"/>
    <n v="5.01"/>
    <x v="0"/>
    <x v="1"/>
    <x v="1"/>
    <x v="0"/>
    <x v="0"/>
    <x v="5"/>
    <x v="119"/>
    <s v="Small Box"/>
    <n v="0.36"/>
    <d v="2011-04-13T00:00:00"/>
    <n v="0"/>
    <n v="0"/>
    <n v="0.33333333333333331"/>
    <n v="0.14285714285714285"/>
  </r>
  <r>
    <n v="1930"/>
    <n v="13795"/>
    <x v="86"/>
    <x v="37"/>
    <s v="Not Specified"/>
    <n v="37"/>
    <n v="1302.99"/>
    <n v="0.02"/>
    <s v="Regular Air"/>
    <n v="545.49"/>
    <n v="35.44"/>
    <n v="5.09"/>
    <x v="0"/>
    <x v="1"/>
    <x v="1"/>
    <x v="0"/>
    <x v="0"/>
    <x v="5"/>
    <x v="120"/>
    <s v="Small Box"/>
    <n v="0.38"/>
    <d v="2011-04-11T00:00:00"/>
    <n v="0"/>
    <n v="0"/>
    <n v="0.33333333333333331"/>
    <n v="0.14285714285714285"/>
  </r>
  <r>
    <n v="1978"/>
    <n v="14116"/>
    <x v="87"/>
    <x v="17"/>
    <s v="High"/>
    <n v="1"/>
    <n v="40.1"/>
    <n v="0.09"/>
    <s v="Regular Air"/>
    <n v="-16.0655"/>
    <n v="30.98"/>
    <n v="11.63"/>
    <x v="40"/>
    <x v="1"/>
    <x v="1"/>
    <x v="0"/>
    <x v="0"/>
    <x v="2"/>
    <x v="121"/>
    <s v="Small Box"/>
    <n v="0.37"/>
    <d v="2011-10-11T00:00:00"/>
    <n v="0"/>
    <n v="0"/>
    <n v="0.5"/>
    <n v="0.5"/>
  </r>
  <r>
    <n v="1979"/>
    <n v="14116"/>
    <x v="87"/>
    <x v="17"/>
    <s v="High"/>
    <n v="42"/>
    <n v="1414.05"/>
    <n v="0.09"/>
    <s v="Regular Air"/>
    <n v="161.483"/>
    <n v="34.54"/>
    <n v="14.72"/>
    <x v="40"/>
    <x v="1"/>
    <x v="1"/>
    <x v="0"/>
    <x v="0"/>
    <x v="2"/>
    <x v="122"/>
    <s v="Small Box"/>
    <n v="0.37"/>
    <d v="2011-10-10T00:00:00"/>
    <n v="0"/>
    <n v="0"/>
    <n v="0.5"/>
    <n v="0.5"/>
  </r>
  <r>
    <n v="2013"/>
    <n v="14372"/>
    <x v="88"/>
    <x v="1"/>
    <s v="Critical"/>
    <n v="34"/>
    <n v="5350.61"/>
    <n v="0.09"/>
    <s v="Delivery Truck"/>
    <n v="-1059.2"/>
    <n v="170.98"/>
    <n v="60.49"/>
    <x v="27"/>
    <x v="1"/>
    <x v="1"/>
    <x v="2"/>
    <x v="2"/>
    <x v="9"/>
    <x v="123"/>
    <s v="Jumbo Box"/>
    <n v="0.69"/>
    <d v="2012-10-25T00:00:00"/>
    <n v="0"/>
    <n v="0"/>
    <n v="1"/>
    <n v="1"/>
  </r>
  <r>
    <n v="2058"/>
    <n v="14726"/>
    <x v="34"/>
    <x v="23"/>
    <s v="Low"/>
    <n v="15"/>
    <n v="310.87"/>
    <n v="7.0000000000000007E-2"/>
    <s v="Regular Air"/>
    <n v="-21.48"/>
    <n v="20.95"/>
    <n v="4"/>
    <x v="36"/>
    <x v="1"/>
    <x v="1"/>
    <x v="1"/>
    <x v="1"/>
    <x v="7"/>
    <x v="124"/>
    <s v="Small Box"/>
    <n v="0.6"/>
    <d v="2012-01-08T00:00:00"/>
    <n v="0"/>
    <n v="0"/>
    <n v="1"/>
    <n v="0.5"/>
  </r>
  <r>
    <n v="2070"/>
    <n v="14819"/>
    <x v="89"/>
    <x v="38"/>
    <s v="Not Specified"/>
    <n v="48"/>
    <n v="9062.73"/>
    <n v="0.09"/>
    <s v="Regular Air"/>
    <n v="3122.78"/>
    <n v="207.48"/>
    <n v="0.99"/>
    <x v="4"/>
    <x v="1"/>
    <x v="1"/>
    <x v="3"/>
    <x v="0"/>
    <x v="1"/>
    <x v="125"/>
    <s v="Small Box"/>
    <n v="0.55000000000000004"/>
    <d v="2010-01-27T00:00:00"/>
    <n v="1"/>
    <n v="0"/>
    <n v="0.5"/>
    <n v="0.5"/>
  </r>
  <r>
    <n v="2071"/>
    <n v="14819"/>
    <x v="89"/>
    <x v="38"/>
    <s v="Not Specified"/>
    <n v="27"/>
    <n v="1584.1"/>
    <n v="7.0000000000000007E-2"/>
    <s v="Delivery Truck"/>
    <n v="-478.22"/>
    <n v="58.14"/>
    <n v="36.61"/>
    <x v="4"/>
    <x v="1"/>
    <x v="1"/>
    <x v="3"/>
    <x v="2"/>
    <x v="9"/>
    <x v="126"/>
    <s v="Jumbo Box"/>
    <n v="0.61"/>
    <d v="2010-01-26T00:00:00"/>
    <n v="1"/>
    <n v="0"/>
    <n v="0.5"/>
    <n v="0.5"/>
  </r>
  <r>
    <n v="2114"/>
    <n v="15106"/>
    <x v="90"/>
    <x v="16"/>
    <s v="Not Specified"/>
    <n v="42"/>
    <n v="283.58"/>
    <n v="0.03"/>
    <s v="Regular Air"/>
    <n v="-14.23"/>
    <n v="6.64"/>
    <n v="4.95"/>
    <x v="6"/>
    <x v="1"/>
    <x v="1"/>
    <x v="3"/>
    <x v="2"/>
    <x v="4"/>
    <x v="5"/>
    <s v="Small Pack"/>
    <n v="0.37"/>
    <d v="2011-01-29T00:00:00"/>
    <n v="0"/>
    <n v="0"/>
    <n v="0.33333333333333331"/>
    <n v="0.33333333333333331"/>
  </r>
  <r>
    <n v="2115"/>
    <n v="15106"/>
    <x v="90"/>
    <x v="16"/>
    <s v="Not Specified"/>
    <n v="39"/>
    <n v="5403.37"/>
    <n v="0.06"/>
    <s v="Delivery Truck"/>
    <n v="948.79"/>
    <n v="145.44999999999999"/>
    <n v="17.850000000000001"/>
    <x v="6"/>
    <x v="1"/>
    <x v="1"/>
    <x v="3"/>
    <x v="1"/>
    <x v="16"/>
    <x v="127"/>
    <s v="Jumbo Drum"/>
    <n v="0.56000000000000005"/>
    <d v="2011-01-27T00:00:00"/>
    <n v="0"/>
    <n v="0"/>
    <n v="0.33333333333333331"/>
    <n v="0.33333333333333331"/>
  </r>
  <r>
    <n v="2116"/>
    <n v="15106"/>
    <x v="90"/>
    <x v="16"/>
    <s v="Not Specified"/>
    <n v="35"/>
    <n v="82.15"/>
    <n v="0.03"/>
    <s v="Regular Air"/>
    <n v="-6.33"/>
    <n v="2.21"/>
    <n v="1.1200000000000001"/>
    <x v="6"/>
    <x v="1"/>
    <x v="1"/>
    <x v="3"/>
    <x v="0"/>
    <x v="12"/>
    <x v="128"/>
    <s v="Wrap Bag"/>
    <n v="0.57999999999999996"/>
    <d v="2011-01-29T00:00:00"/>
    <n v="0"/>
    <n v="0"/>
    <n v="0.33333333333333331"/>
    <n v="0.33333333333333331"/>
  </r>
  <r>
    <n v="2117"/>
    <n v="15108"/>
    <x v="91"/>
    <x v="26"/>
    <s v="High"/>
    <n v="50"/>
    <n v="2066.16"/>
    <n v="0.02"/>
    <s v="Regular Air"/>
    <n v="372.36"/>
    <n v="40.99"/>
    <n v="17.48"/>
    <x v="39"/>
    <x v="1"/>
    <x v="1"/>
    <x v="0"/>
    <x v="0"/>
    <x v="5"/>
    <x v="129"/>
    <s v="Small Box"/>
    <n v="0.36"/>
    <d v="2009-08-29T00:00:00"/>
    <n v="0"/>
    <n v="0"/>
    <n v="1"/>
    <n v="1"/>
  </r>
  <r>
    <n v="2129"/>
    <n v="15205"/>
    <x v="92"/>
    <x v="5"/>
    <s v="Critical"/>
    <n v="18"/>
    <n v="4605.3599999999997"/>
    <n v="0.02"/>
    <s v="Delivery Truck"/>
    <n v="678.26"/>
    <n v="243.98"/>
    <n v="43.32"/>
    <x v="19"/>
    <x v="1"/>
    <x v="1"/>
    <x v="2"/>
    <x v="2"/>
    <x v="14"/>
    <x v="130"/>
    <s v="Jumbo Drum"/>
    <n v="0.55000000000000004"/>
    <d v="2011-03-19T00:00:00"/>
    <n v="0"/>
    <n v="0"/>
    <n v="0.5"/>
    <n v="0.5"/>
  </r>
  <r>
    <n v="2130"/>
    <n v="15205"/>
    <x v="92"/>
    <x v="5"/>
    <s v="Critical"/>
    <n v="42"/>
    <n v="1753.51"/>
    <n v="0.02"/>
    <s v="Regular Air"/>
    <n v="155.72"/>
    <n v="39.979999999999997"/>
    <n v="9.1999999999999993"/>
    <x v="19"/>
    <x v="1"/>
    <x v="1"/>
    <x v="2"/>
    <x v="2"/>
    <x v="4"/>
    <x v="131"/>
    <s v="Wrap Bag"/>
    <n v="0.65"/>
    <d v="2011-03-18T00:00:00"/>
    <n v="0"/>
    <n v="0"/>
    <n v="0.5"/>
    <n v="0.5"/>
  </r>
  <r>
    <n v="2161"/>
    <n v="15591"/>
    <x v="93"/>
    <x v="8"/>
    <s v="Critical"/>
    <n v="31"/>
    <n v="426.34"/>
    <n v="0"/>
    <s v="Regular Air"/>
    <n v="73.53"/>
    <n v="12.58"/>
    <n v="5.16"/>
    <x v="22"/>
    <x v="1"/>
    <x v="1"/>
    <x v="0"/>
    <x v="2"/>
    <x v="4"/>
    <x v="132"/>
    <s v="Small Box"/>
    <n v="0.43"/>
    <d v="2012-06-08T00:00:00"/>
    <n v="0"/>
    <n v="0"/>
    <n v="1"/>
    <n v="1"/>
  </r>
  <r>
    <n v="2206"/>
    <n v="15907"/>
    <x v="94"/>
    <x v="37"/>
    <s v="High"/>
    <n v="36"/>
    <n v="1837.44"/>
    <n v="0.01"/>
    <s v="Delivery Truck"/>
    <n v="-1414.41"/>
    <n v="48.58"/>
    <n v="54.11"/>
    <x v="45"/>
    <x v="1"/>
    <x v="1"/>
    <x v="3"/>
    <x v="2"/>
    <x v="9"/>
    <x v="133"/>
    <s v="Jumbo Box"/>
    <n v="0.69"/>
    <d v="2011-04-13T00:00:00"/>
    <n v="0"/>
    <n v="0"/>
    <n v="0.33333333333333331"/>
    <n v="0.33333333333333331"/>
  </r>
  <r>
    <n v="2207"/>
    <n v="15907"/>
    <x v="94"/>
    <x v="37"/>
    <s v="High"/>
    <n v="36"/>
    <n v="3722.29"/>
    <n v="0.04"/>
    <s v="Express Air"/>
    <n v="950.68"/>
    <n v="105.98"/>
    <n v="13.99"/>
    <x v="45"/>
    <x v="1"/>
    <x v="1"/>
    <x v="3"/>
    <x v="2"/>
    <x v="4"/>
    <x v="134"/>
    <s v="Medium Box"/>
    <n v="0.65"/>
    <d v="2011-04-14T00:00:00"/>
    <n v="0"/>
    <n v="0"/>
    <n v="0.33333333333333331"/>
    <n v="0.33333333333333331"/>
  </r>
  <r>
    <n v="2208"/>
    <n v="15907"/>
    <x v="94"/>
    <x v="37"/>
    <s v="High"/>
    <n v="4"/>
    <n v="28.05"/>
    <n v="0.09"/>
    <s v="Regular Air"/>
    <n v="-5.41"/>
    <n v="7.04"/>
    <n v="2.17"/>
    <x v="45"/>
    <x v="1"/>
    <x v="1"/>
    <x v="3"/>
    <x v="0"/>
    <x v="5"/>
    <x v="135"/>
    <s v="Wrap Bag"/>
    <n v="0.38"/>
    <d v="2011-04-12T00:00:00"/>
    <n v="0"/>
    <n v="0"/>
    <n v="0.33333333333333331"/>
    <n v="0.33333333333333331"/>
  </r>
  <r>
    <n v="2209"/>
    <n v="15937"/>
    <x v="95"/>
    <x v="32"/>
    <s v="Low"/>
    <n v="32"/>
    <n v="311.44"/>
    <n v="0.04"/>
    <s v="Regular Air"/>
    <n v="74.069999999999993"/>
    <n v="9.7799999999999994"/>
    <n v="1.99"/>
    <x v="5"/>
    <x v="1"/>
    <x v="1"/>
    <x v="2"/>
    <x v="1"/>
    <x v="7"/>
    <x v="136"/>
    <s v="Small Pack"/>
    <n v="0.43"/>
    <d v="2012-11-10T00:00:00"/>
    <n v="0"/>
    <n v="0"/>
    <n v="0.5"/>
    <n v="0.5"/>
  </r>
  <r>
    <n v="2210"/>
    <n v="15937"/>
    <x v="95"/>
    <x v="32"/>
    <s v="Low"/>
    <n v="17"/>
    <n v="215.65"/>
    <n v="0.01"/>
    <s v="Express Air"/>
    <n v="77.38"/>
    <n v="12.22"/>
    <n v="2.85"/>
    <x v="5"/>
    <x v="1"/>
    <x v="1"/>
    <x v="2"/>
    <x v="2"/>
    <x v="4"/>
    <x v="137"/>
    <s v="Small Pack"/>
    <n v="0.55000000000000004"/>
    <d v="2012-11-15T00:00:00"/>
    <n v="0"/>
    <n v="0"/>
    <n v="0.5"/>
    <n v="0.5"/>
  </r>
  <r>
    <n v="2221"/>
    <n v="16039"/>
    <x v="96"/>
    <x v="20"/>
    <s v="High"/>
    <n v="3"/>
    <n v="121.12"/>
    <n v="0.1"/>
    <s v="Regular Air"/>
    <n v="-118.82"/>
    <n v="43.98"/>
    <n v="1.99"/>
    <x v="29"/>
    <x v="1"/>
    <x v="1"/>
    <x v="3"/>
    <x v="1"/>
    <x v="7"/>
    <x v="138"/>
    <s v="Small Pack"/>
    <n v="0.44"/>
    <d v="2012-05-17T00:00:00"/>
    <n v="0"/>
    <n v="0"/>
    <n v="1"/>
    <n v="1"/>
  </r>
  <r>
    <n v="2246"/>
    <n v="16193"/>
    <x v="97"/>
    <x v="13"/>
    <s v="Not Specified"/>
    <n v="8"/>
    <n v="300.2"/>
    <n v="0"/>
    <s v="Regular Air"/>
    <n v="6.4100000000000108"/>
    <n v="34.76"/>
    <n v="8.2200000000000006"/>
    <x v="28"/>
    <x v="1"/>
    <x v="1"/>
    <x v="2"/>
    <x v="0"/>
    <x v="0"/>
    <x v="139"/>
    <s v="Small Box"/>
    <n v="0.56999999999999995"/>
    <d v="2012-04-11T00:00:00"/>
    <n v="0"/>
    <n v="0"/>
    <n v="0.5"/>
    <n v="0.25"/>
  </r>
  <r>
    <n v="2247"/>
    <n v="16193"/>
    <x v="97"/>
    <x v="13"/>
    <s v="Not Specified"/>
    <n v="29"/>
    <n v="1364.8025"/>
    <n v="7.0000000000000007E-2"/>
    <s v="Regular Air"/>
    <n v="-183.678"/>
    <n v="55.99"/>
    <n v="5"/>
    <x v="28"/>
    <x v="1"/>
    <x v="1"/>
    <x v="2"/>
    <x v="1"/>
    <x v="3"/>
    <x v="140"/>
    <s v="Small Pack"/>
    <n v="0.83"/>
    <d v="2012-04-11T00:00:00"/>
    <n v="0"/>
    <n v="0"/>
    <n v="0.5"/>
    <n v="0.25"/>
  </r>
  <r>
    <n v="2281"/>
    <n v="16423"/>
    <x v="98"/>
    <x v="9"/>
    <s v="Medium"/>
    <n v="19"/>
    <n v="128.21"/>
    <n v="0.05"/>
    <s v="Regular Air"/>
    <n v="-55.13"/>
    <n v="6.48"/>
    <n v="6.57"/>
    <x v="38"/>
    <x v="1"/>
    <x v="1"/>
    <x v="2"/>
    <x v="0"/>
    <x v="5"/>
    <x v="141"/>
    <s v="Small Box"/>
    <n v="0.37"/>
    <d v="2012-08-07T00:00:00"/>
    <n v="0"/>
    <n v="0"/>
    <n v="1"/>
    <n v="1"/>
  </r>
  <r>
    <n v="2283"/>
    <n v="16451"/>
    <x v="99"/>
    <x v="36"/>
    <s v="Not Specified"/>
    <n v="9"/>
    <n v="252.79"/>
    <n v="0.09"/>
    <s v="Regular Air"/>
    <n v="58.225000000000001"/>
    <n v="30.56"/>
    <n v="2.99"/>
    <x v="26"/>
    <x v="1"/>
    <x v="1"/>
    <x v="2"/>
    <x v="0"/>
    <x v="2"/>
    <x v="142"/>
    <s v="Small Box"/>
    <n v="0.35"/>
    <d v="2009-07-23T00:00:00"/>
    <n v="0"/>
    <n v="0"/>
    <n v="1"/>
    <n v="1"/>
  </r>
  <r>
    <n v="2294"/>
    <n v="16545"/>
    <x v="100"/>
    <x v="39"/>
    <s v="Not Specified"/>
    <n v="10"/>
    <n v="50.97"/>
    <n v="0.09"/>
    <s v="Regular Air"/>
    <n v="4.45"/>
    <n v="5.16"/>
    <n v="0.73"/>
    <x v="3"/>
    <x v="1"/>
    <x v="1"/>
    <x v="0"/>
    <x v="0"/>
    <x v="12"/>
    <x v="143"/>
    <s v="Wrap Bag"/>
    <n v="0.56000000000000005"/>
    <d v="2010-05-11T00:00:00"/>
    <n v="0"/>
    <n v="0"/>
    <n v="0.5"/>
    <n v="0.5"/>
  </r>
  <r>
    <n v="2295"/>
    <n v="16545"/>
    <x v="100"/>
    <x v="39"/>
    <s v="Not Specified"/>
    <n v="1"/>
    <n v="4.99"/>
    <n v="0.04"/>
    <s v="Regular Air"/>
    <n v="-3.06"/>
    <n v="3.68"/>
    <n v="1.32"/>
    <x v="3"/>
    <x v="1"/>
    <x v="1"/>
    <x v="0"/>
    <x v="0"/>
    <x v="15"/>
    <x v="144"/>
    <s v="Wrap Bag"/>
    <n v="0.83"/>
    <d v="2010-05-11T00:00:00"/>
    <n v="0"/>
    <n v="0"/>
    <n v="0.5"/>
    <n v="0.5"/>
  </r>
  <r>
    <n v="2296"/>
    <n v="16547"/>
    <x v="101"/>
    <x v="40"/>
    <s v="Not Specified"/>
    <n v="30"/>
    <n v="10554.63"/>
    <n v="0.09"/>
    <s v="Delivery Truck"/>
    <n v="1240.25"/>
    <n v="355.98"/>
    <n v="58.92"/>
    <x v="23"/>
    <x v="1"/>
    <x v="1"/>
    <x v="2"/>
    <x v="2"/>
    <x v="14"/>
    <x v="145"/>
    <s v="Jumbo Drum"/>
    <n v="0.64"/>
    <d v="2009-02-20T00:00:00"/>
    <n v="0"/>
    <n v="0"/>
    <n v="0.5"/>
    <n v="0.5"/>
  </r>
  <r>
    <n v="2297"/>
    <n v="16547"/>
    <x v="101"/>
    <x v="40"/>
    <s v="Not Specified"/>
    <n v="8"/>
    <n v="1749.64"/>
    <n v="0.04"/>
    <s v="Delivery Truck"/>
    <n v="-533.23200000000008"/>
    <n v="218.75"/>
    <n v="69.64"/>
    <x v="23"/>
    <x v="1"/>
    <x v="1"/>
    <x v="2"/>
    <x v="2"/>
    <x v="10"/>
    <x v="146"/>
    <s v="Jumbo Box"/>
    <n v="0.77"/>
    <d v="2009-02-18T00:00:00"/>
    <n v="0"/>
    <n v="0"/>
    <n v="0.5"/>
    <n v="0.5"/>
  </r>
  <r>
    <n v="2316"/>
    <n v="16706"/>
    <x v="102"/>
    <x v="8"/>
    <s v="High"/>
    <n v="47"/>
    <n v="1943.72"/>
    <n v="0.03"/>
    <s v="Regular Air"/>
    <n v="-1003.58"/>
    <n v="41.47"/>
    <n v="34.200000000000003"/>
    <x v="27"/>
    <x v="1"/>
    <x v="1"/>
    <x v="2"/>
    <x v="2"/>
    <x v="4"/>
    <x v="147"/>
    <s v="Wrap Bag"/>
    <n v="0.73"/>
    <d v="2012-06-28T00:00:00"/>
    <n v="0"/>
    <n v="0"/>
    <n v="0.33333333333333331"/>
    <n v="0.33333333333333331"/>
  </r>
  <r>
    <n v="2317"/>
    <n v="16706"/>
    <x v="102"/>
    <x v="8"/>
    <s v="High"/>
    <n v="6"/>
    <n v="18.37"/>
    <n v="0.01"/>
    <s v="Regular Air"/>
    <n v="-4.0599999999999996"/>
    <n v="2.78"/>
    <n v="1.2"/>
    <x v="27"/>
    <x v="1"/>
    <x v="1"/>
    <x v="2"/>
    <x v="0"/>
    <x v="12"/>
    <x v="148"/>
    <s v="Wrap Bag"/>
    <n v="0.57999999999999996"/>
    <d v="2012-06-28T00:00:00"/>
    <n v="0"/>
    <n v="0"/>
    <n v="0.33333333333333331"/>
    <n v="0.33333333333333331"/>
  </r>
  <r>
    <n v="2318"/>
    <n v="16706"/>
    <x v="102"/>
    <x v="8"/>
    <s v="High"/>
    <n v="49"/>
    <n v="6175.777"/>
    <n v="7.0000000000000007E-2"/>
    <s v="Express Air"/>
    <n v="1881.5759999999998"/>
    <n v="155.99"/>
    <n v="3.9"/>
    <x v="27"/>
    <x v="1"/>
    <x v="1"/>
    <x v="2"/>
    <x v="1"/>
    <x v="3"/>
    <x v="149"/>
    <s v="Small Box"/>
    <n v="0.55000000000000004"/>
    <d v="2012-06-29T00:00:00"/>
    <n v="0"/>
    <n v="0"/>
    <n v="0.33333333333333331"/>
    <n v="0.33333333333333331"/>
  </r>
  <r>
    <n v="2323"/>
    <n v="16741"/>
    <x v="103"/>
    <x v="18"/>
    <s v="Medium"/>
    <n v="6"/>
    <n v="157.97"/>
    <n v="0.01"/>
    <s v="Regular Air"/>
    <n v="-42.38"/>
    <n v="22.84"/>
    <n v="16.87"/>
    <x v="23"/>
    <x v="1"/>
    <x v="1"/>
    <x v="0"/>
    <x v="0"/>
    <x v="5"/>
    <x v="150"/>
    <s v="Small Box"/>
    <n v="0.39"/>
    <d v="2010-10-01T00:00:00"/>
    <n v="0"/>
    <n v="0"/>
    <n v="1"/>
    <n v="1"/>
  </r>
  <r>
    <n v="2346"/>
    <n v="16932"/>
    <x v="104"/>
    <x v="24"/>
    <s v="Critical"/>
    <n v="25"/>
    <n v="144.84"/>
    <n v="0.09"/>
    <s v="Regular Air"/>
    <n v="-120.99"/>
    <n v="5.78"/>
    <n v="8.09"/>
    <x v="3"/>
    <x v="1"/>
    <x v="1"/>
    <x v="1"/>
    <x v="0"/>
    <x v="5"/>
    <x v="151"/>
    <s v="Small Box"/>
    <n v="0.36"/>
    <d v="2010-04-16T00:00:00"/>
    <n v="0"/>
    <n v="0"/>
    <n v="0.5"/>
    <n v="0.5"/>
  </r>
  <r>
    <n v="2347"/>
    <n v="16932"/>
    <x v="104"/>
    <x v="24"/>
    <s v="Critical"/>
    <n v="20"/>
    <n v="127.16"/>
    <n v="0.09"/>
    <s v="Regular Air"/>
    <n v="12.88"/>
    <n v="6.7"/>
    <n v="1.56"/>
    <x v="3"/>
    <x v="1"/>
    <x v="1"/>
    <x v="1"/>
    <x v="0"/>
    <x v="12"/>
    <x v="152"/>
    <s v="Wrap Bag"/>
    <n v="0.52"/>
    <d v="2010-04-15T00:00:00"/>
    <n v="0"/>
    <n v="0"/>
    <n v="0.5"/>
    <n v="0.5"/>
  </r>
  <r>
    <n v="2383"/>
    <n v="17283"/>
    <x v="105"/>
    <x v="31"/>
    <s v="Not Specified"/>
    <n v="4"/>
    <n v="5472.12"/>
    <n v="0.06"/>
    <s v="Delivery Truck"/>
    <n v="-2816.3379"/>
    <n v="1360.14"/>
    <n v="14.7"/>
    <x v="6"/>
    <x v="1"/>
    <x v="1"/>
    <x v="3"/>
    <x v="1"/>
    <x v="16"/>
    <x v="153"/>
    <s v="Jumbo Drum"/>
    <n v="0.59"/>
    <d v="2011-09-15T00:00:00"/>
    <n v="0"/>
    <n v="0"/>
    <n v="1"/>
    <n v="1"/>
  </r>
  <r>
    <n v="2384"/>
    <n v="17286"/>
    <x v="106"/>
    <x v="18"/>
    <s v="High"/>
    <n v="7"/>
    <n v="1810.67"/>
    <n v="0.09"/>
    <s v="Delivery Truck"/>
    <n v="-541.87"/>
    <n v="270.98"/>
    <n v="50"/>
    <x v="0"/>
    <x v="1"/>
    <x v="1"/>
    <x v="0"/>
    <x v="2"/>
    <x v="14"/>
    <x v="114"/>
    <s v="Jumbo Drum"/>
    <n v="0.77"/>
    <d v="2010-09-22T00:00:00"/>
    <n v="0"/>
    <n v="0"/>
    <n v="1"/>
    <n v="1"/>
  </r>
  <r>
    <n v="2402"/>
    <n v="17409"/>
    <x v="107"/>
    <x v="3"/>
    <s v="Not Specified"/>
    <n v="31"/>
    <n v="633.55999999999995"/>
    <n v="0.09"/>
    <s v="Regular Air"/>
    <n v="-158.87"/>
    <n v="20.97"/>
    <n v="6.5"/>
    <x v="0"/>
    <x v="1"/>
    <x v="1"/>
    <x v="0"/>
    <x v="1"/>
    <x v="7"/>
    <x v="154"/>
    <s v="Small Box"/>
    <n v="0.78"/>
    <d v="2010-08-19T00:00:00"/>
    <n v="0"/>
    <n v="0"/>
    <n v="1"/>
    <n v="1"/>
  </r>
  <r>
    <n v="2445"/>
    <n v="17764"/>
    <x v="108"/>
    <x v="35"/>
    <s v="Low"/>
    <n v="27"/>
    <n v="644.4"/>
    <n v="0.04"/>
    <s v="Regular Air"/>
    <n v="-97.28"/>
    <n v="22.84"/>
    <n v="16.87"/>
    <x v="14"/>
    <x v="1"/>
    <x v="1"/>
    <x v="3"/>
    <x v="0"/>
    <x v="5"/>
    <x v="150"/>
    <s v="Small Box"/>
    <n v="0.39"/>
    <d v="2009-09-16T00:00:00"/>
    <n v="0"/>
    <n v="0"/>
    <n v="1"/>
    <n v="1"/>
  </r>
  <r>
    <n v="2483"/>
    <n v="18080"/>
    <x v="109"/>
    <x v="41"/>
    <s v="High"/>
    <n v="7"/>
    <n v="1211.98"/>
    <n v="0.1"/>
    <s v="Delivery Truck"/>
    <n v="-80.83"/>
    <n v="180.98"/>
    <n v="26.2"/>
    <x v="11"/>
    <x v="1"/>
    <x v="1"/>
    <x v="2"/>
    <x v="2"/>
    <x v="14"/>
    <x v="155"/>
    <s v="Jumbo Drum"/>
    <n v="0.59"/>
    <d v="2009-06-23T00:00:00"/>
    <n v="0"/>
    <n v="0"/>
    <n v="1"/>
    <n v="1"/>
  </r>
  <r>
    <n v="2487"/>
    <n v="18113"/>
    <x v="110"/>
    <x v="9"/>
    <s v="Not Specified"/>
    <n v="27"/>
    <n v="3316.08"/>
    <n v="0.08"/>
    <s v="Delivery Truck"/>
    <n v="-514.32000000000005"/>
    <n v="130.97999999999999"/>
    <n v="30"/>
    <x v="46"/>
    <x v="1"/>
    <x v="1"/>
    <x v="1"/>
    <x v="2"/>
    <x v="14"/>
    <x v="156"/>
    <s v="Jumbo Drum"/>
    <n v="0.78"/>
    <d v="2012-08-30T00:00:00"/>
    <n v="0"/>
    <n v="0"/>
    <n v="1"/>
    <n v="1"/>
  </r>
  <r>
    <n v="2489"/>
    <n v="18144"/>
    <x v="111"/>
    <x v="4"/>
    <s v="Critical"/>
    <n v="48"/>
    <n v="207.08"/>
    <n v="0.09"/>
    <s v="Regular Air"/>
    <n v="-131.82"/>
    <n v="4.28"/>
    <n v="5.17"/>
    <x v="24"/>
    <x v="1"/>
    <x v="1"/>
    <x v="2"/>
    <x v="0"/>
    <x v="5"/>
    <x v="157"/>
    <s v="Small Box"/>
    <n v="0.4"/>
    <d v="2011-06-09T00:00:00"/>
    <n v="0"/>
    <n v="0"/>
    <n v="0.33333333333333331"/>
    <n v="0.33333333333333331"/>
  </r>
  <r>
    <n v="2490"/>
    <n v="18144"/>
    <x v="111"/>
    <x v="4"/>
    <s v="Critical"/>
    <n v="8"/>
    <n v="234.28"/>
    <n v="0.09"/>
    <s v="Regular Air"/>
    <n v="-65.42"/>
    <n v="28.28"/>
    <n v="13.99"/>
    <x v="24"/>
    <x v="1"/>
    <x v="1"/>
    <x v="2"/>
    <x v="0"/>
    <x v="0"/>
    <x v="158"/>
    <s v="Medium Box"/>
    <n v="0.57999999999999996"/>
    <d v="2011-06-09T00:00:00"/>
    <n v="0"/>
    <n v="0"/>
    <n v="0.33333333333333331"/>
    <n v="0.33333333333333331"/>
  </r>
  <r>
    <n v="2491"/>
    <n v="18144"/>
    <x v="111"/>
    <x v="4"/>
    <s v="Critical"/>
    <n v="41"/>
    <n v="1779.8914999999997"/>
    <n v="0.09"/>
    <s v="Regular Air"/>
    <n v="-250.173"/>
    <n v="55.99"/>
    <n v="5"/>
    <x v="24"/>
    <x v="1"/>
    <x v="1"/>
    <x v="2"/>
    <x v="1"/>
    <x v="3"/>
    <x v="159"/>
    <s v="Small Pack"/>
    <n v="0.8"/>
    <d v="2011-06-09T00:00:00"/>
    <n v="0"/>
    <n v="0"/>
    <n v="0.33333333333333331"/>
    <n v="0.33333333333333331"/>
  </r>
  <r>
    <n v="2520"/>
    <n v="18308"/>
    <x v="24"/>
    <x v="19"/>
    <s v="Not Specified"/>
    <n v="30"/>
    <n v="114.12"/>
    <n v="0.05"/>
    <s v="Regular Air"/>
    <n v="15.725"/>
    <n v="3.8"/>
    <n v="1.49"/>
    <x v="30"/>
    <x v="1"/>
    <x v="1"/>
    <x v="2"/>
    <x v="0"/>
    <x v="2"/>
    <x v="160"/>
    <s v="Small Box"/>
    <n v="0.38"/>
    <d v="2009-10-11T00:00:00"/>
    <n v="0"/>
    <n v="0"/>
    <n v="0.33333333333333331"/>
    <n v="0.33333333333333331"/>
  </r>
  <r>
    <n v="2521"/>
    <n v="18308"/>
    <x v="24"/>
    <x v="19"/>
    <s v="Not Specified"/>
    <n v="15"/>
    <n v="436.05"/>
    <n v="0.09"/>
    <s v="Regular Air"/>
    <n v="-92.58"/>
    <n v="30.73"/>
    <n v="4"/>
    <x v="30"/>
    <x v="1"/>
    <x v="1"/>
    <x v="2"/>
    <x v="1"/>
    <x v="7"/>
    <x v="161"/>
    <s v="Small Box"/>
    <n v="0.75"/>
    <d v="2009-10-09T00:00:00"/>
    <n v="0"/>
    <n v="0"/>
    <n v="0.33333333333333331"/>
    <n v="0.33333333333333331"/>
  </r>
  <r>
    <n v="2522"/>
    <n v="18308"/>
    <x v="24"/>
    <x v="19"/>
    <s v="Not Specified"/>
    <n v="49"/>
    <n v="5247.4835000000003"/>
    <n v="0"/>
    <s v="Regular Air"/>
    <n v="1465.866"/>
    <n v="125.99"/>
    <n v="8.08"/>
    <x v="30"/>
    <x v="1"/>
    <x v="1"/>
    <x v="2"/>
    <x v="1"/>
    <x v="3"/>
    <x v="162"/>
    <s v="Small Box"/>
    <n v="0.56999999999999995"/>
    <d v="2009-10-10T00:00:00"/>
    <n v="0"/>
    <n v="0"/>
    <n v="0.33333333333333331"/>
    <n v="0.33333333333333331"/>
  </r>
  <r>
    <n v="2615"/>
    <n v="18887"/>
    <x v="112"/>
    <x v="15"/>
    <s v="Not Specified"/>
    <n v="9"/>
    <n v="173.417"/>
    <n v="0"/>
    <s v="Regular Air"/>
    <n v="18.234000000000002"/>
    <n v="20.99"/>
    <n v="0.99"/>
    <x v="2"/>
    <x v="1"/>
    <x v="1"/>
    <x v="2"/>
    <x v="1"/>
    <x v="3"/>
    <x v="163"/>
    <s v="Wrap Bag"/>
    <n v="0.37"/>
    <d v="2010-12-07T00:00:00"/>
    <n v="0"/>
    <n v="0"/>
    <n v="1"/>
    <n v="0.33333333333333331"/>
  </r>
  <r>
    <n v="2624"/>
    <n v="19010"/>
    <x v="113"/>
    <x v="41"/>
    <s v="Low"/>
    <n v="18"/>
    <n v="23792.93"/>
    <n v="0"/>
    <s v="Regular Air"/>
    <n v="10951.306499999999"/>
    <n v="1270.99"/>
    <n v="19.989999999999998"/>
    <x v="16"/>
    <x v="1"/>
    <x v="1"/>
    <x v="0"/>
    <x v="0"/>
    <x v="2"/>
    <x v="164"/>
    <s v="Small Box"/>
    <n v="0.35"/>
    <d v="2009-06-09T00:00:00"/>
    <n v="0"/>
    <n v="0"/>
    <n v="1"/>
    <n v="1"/>
  </r>
  <r>
    <n v="2637"/>
    <n v="19078"/>
    <x v="114"/>
    <x v="36"/>
    <s v="Critical"/>
    <n v="21"/>
    <n v="256.12"/>
    <n v="0.03"/>
    <s v="Regular Air"/>
    <n v="-18.190000000000001"/>
    <n v="11.97"/>
    <n v="4.9800000000000004"/>
    <x v="43"/>
    <x v="1"/>
    <x v="1"/>
    <x v="2"/>
    <x v="0"/>
    <x v="1"/>
    <x v="165"/>
    <s v="Small Box"/>
    <n v="0.57999999999999996"/>
    <d v="2009-07-28T00:00:00"/>
    <n v="0"/>
    <n v="0"/>
    <n v="1"/>
    <n v="1"/>
  </r>
  <r>
    <n v="2643"/>
    <n v="19138"/>
    <x v="115"/>
    <x v="31"/>
    <s v="Low"/>
    <n v="30"/>
    <n v="387"/>
    <n v="0.01"/>
    <s v="Express Air"/>
    <n v="-31.45"/>
    <n v="12.28"/>
    <n v="6.13"/>
    <x v="8"/>
    <x v="1"/>
    <x v="1"/>
    <x v="3"/>
    <x v="0"/>
    <x v="0"/>
    <x v="166"/>
    <s v="Small Box"/>
    <n v="0.56999999999999995"/>
    <d v="2011-09-10T00:00:00"/>
    <n v="0"/>
    <n v="0"/>
    <n v="1"/>
    <n v="1"/>
  </r>
  <r>
    <n v="2726"/>
    <n v="19655"/>
    <x v="116"/>
    <x v="22"/>
    <s v="High"/>
    <n v="31"/>
    <n v="1143.45"/>
    <n v="0.06"/>
    <s v="Regular Air"/>
    <n v="304.42"/>
    <n v="39.24"/>
    <n v="1.99"/>
    <x v="17"/>
    <x v="1"/>
    <x v="1"/>
    <x v="2"/>
    <x v="1"/>
    <x v="7"/>
    <x v="167"/>
    <s v="Small Pack"/>
    <n v="0.51"/>
    <d v="2009-01-12T00:00:00"/>
    <n v="0"/>
    <n v="1"/>
    <n v="1"/>
    <n v="1"/>
  </r>
  <r>
    <n v="2727"/>
    <n v="19686"/>
    <x v="117"/>
    <x v="3"/>
    <s v="Medium"/>
    <n v="2"/>
    <n v="42.31"/>
    <n v="0.06"/>
    <s v="Regular Air"/>
    <n v="-53.078699999999998"/>
    <n v="17.98"/>
    <n v="8.51"/>
    <x v="17"/>
    <x v="1"/>
    <x v="1"/>
    <x v="2"/>
    <x v="1"/>
    <x v="16"/>
    <x v="168"/>
    <s v="Medium Box"/>
    <n v="0.4"/>
    <d v="2010-08-15T00:00:00"/>
    <n v="0"/>
    <n v="0"/>
    <n v="0.5"/>
    <n v="0.5"/>
  </r>
  <r>
    <n v="2728"/>
    <n v="19686"/>
    <x v="117"/>
    <x v="3"/>
    <s v="Medium"/>
    <n v="11"/>
    <n v="152.66999999999999"/>
    <n v="0.04"/>
    <s v="Regular Air"/>
    <n v="12.7585"/>
    <n v="12.95"/>
    <n v="4.9800000000000004"/>
    <x v="17"/>
    <x v="1"/>
    <x v="1"/>
    <x v="2"/>
    <x v="0"/>
    <x v="2"/>
    <x v="169"/>
    <s v="Small Box"/>
    <n v="0.4"/>
    <d v="2010-08-17T00:00:00"/>
    <n v="0"/>
    <n v="0"/>
    <n v="0.5"/>
    <n v="0.5"/>
  </r>
  <r>
    <n v="2768"/>
    <n v="20007"/>
    <x v="118"/>
    <x v="26"/>
    <s v="Not Specified"/>
    <n v="49"/>
    <n v="82.61"/>
    <n v="0.08"/>
    <s v="Regular Air"/>
    <n v="-46.25"/>
    <n v="1.68"/>
    <n v="1.57"/>
    <x v="23"/>
    <x v="1"/>
    <x v="1"/>
    <x v="0"/>
    <x v="0"/>
    <x v="12"/>
    <x v="113"/>
    <s v="Wrap Bag"/>
    <n v="0.59"/>
    <d v="2009-08-06T00:00:00"/>
    <n v="0"/>
    <n v="0"/>
    <n v="1"/>
    <n v="0.5"/>
  </r>
  <r>
    <n v="2782"/>
    <n v="20071"/>
    <x v="119"/>
    <x v="31"/>
    <s v="Medium"/>
    <n v="31"/>
    <n v="789.94"/>
    <n v="0.1"/>
    <s v="Delivery Truck"/>
    <n v="-190.41"/>
    <n v="25.98"/>
    <n v="14.36"/>
    <x v="47"/>
    <x v="1"/>
    <x v="1"/>
    <x v="3"/>
    <x v="2"/>
    <x v="14"/>
    <x v="170"/>
    <s v="Jumbo Drum"/>
    <n v="0.6"/>
    <d v="2011-09-19T00:00:00"/>
    <n v="0"/>
    <n v="0"/>
    <n v="1"/>
    <n v="1"/>
  </r>
  <r>
    <n v="2796"/>
    <n v="20160"/>
    <x v="120"/>
    <x v="17"/>
    <s v="Low"/>
    <n v="42"/>
    <n v="435.24"/>
    <n v="0.08"/>
    <s v="Express Air"/>
    <n v="174.89"/>
    <n v="10.31"/>
    <n v="1.79"/>
    <x v="48"/>
    <x v="1"/>
    <x v="1"/>
    <x v="0"/>
    <x v="0"/>
    <x v="5"/>
    <x v="171"/>
    <s v="Wrap Bag"/>
    <n v="0.38"/>
    <d v="2011-10-24T00:00:00"/>
    <n v="0"/>
    <n v="0"/>
    <n v="1"/>
    <n v="1"/>
  </r>
  <r>
    <n v="2811"/>
    <n v="20263"/>
    <x v="121"/>
    <x v="11"/>
    <s v="Medium"/>
    <n v="8"/>
    <n v="473.7"/>
    <n v="0.05"/>
    <s v="Regular Air"/>
    <n v="72.513500000000008"/>
    <n v="59.78"/>
    <n v="10.29"/>
    <x v="49"/>
    <x v="1"/>
    <x v="1"/>
    <x v="0"/>
    <x v="0"/>
    <x v="2"/>
    <x v="172"/>
    <s v="Small Box"/>
    <n v="0.39"/>
    <d v="2009-11-15T00:00:00"/>
    <n v="0"/>
    <n v="0"/>
    <n v="0.5"/>
    <n v="0.33333333333333331"/>
  </r>
  <r>
    <n v="2812"/>
    <n v="20263"/>
    <x v="121"/>
    <x v="11"/>
    <s v="Medium"/>
    <n v="33"/>
    <n v="553.5625"/>
    <n v="0.08"/>
    <s v="Regular Air"/>
    <n v="-76.856999999999999"/>
    <n v="20.99"/>
    <n v="1.25"/>
    <x v="49"/>
    <x v="1"/>
    <x v="1"/>
    <x v="0"/>
    <x v="1"/>
    <x v="3"/>
    <x v="173"/>
    <s v="Small Pack"/>
    <n v="0.83"/>
    <d v="2009-11-16T00:00:00"/>
    <n v="0"/>
    <n v="0"/>
    <n v="0.5"/>
    <n v="0.33333333333333331"/>
  </r>
  <r>
    <n v="2935"/>
    <n v="21285"/>
    <x v="122"/>
    <x v="42"/>
    <s v="Medium"/>
    <n v="32"/>
    <n v="54.78"/>
    <n v="0.02"/>
    <s v="Regular Air"/>
    <n v="-30.54"/>
    <n v="1.68"/>
    <n v="1.57"/>
    <x v="34"/>
    <x v="1"/>
    <x v="1"/>
    <x v="2"/>
    <x v="0"/>
    <x v="12"/>
    <x v="113"/>
    <s v="Wrap Bag"/>
    <n v="0.59"/>
    <d v="2010-07-04T00:00:00"/>
    <n v="0"/>
    <n v="0"/>
    <n v="0.5"/>
    <n v="0.5"/>
  </r>
  <r>
    <n v="2936"/>
    <n v="21285"/>
    <x v="122"/>
    <x v="42"/>
    <s v="Medium"/>
    <n v="47"/>
    <n v="304.83"/>
    <n v="0.1"/>
    <s v="Regular Air"/>
    <n v="23.82"/>
    <n v="7.08"/>
    <n v="2.35"/>
    <x v="34"/>
    <x v="1"/>
    <x v="1"/>
    <x v="2"/>
    <x v="0"/>
    <x v="12"/>
    <x v="174"/>
    <s v="Wrap Bag"/>
    <n v="0.47"/>
    <d v="2010-07-05T00:00:00"/>
    <n v="0"/>
    <n v="0"/>
    <n v="0.5"/>
    <n v="0.5"/>
  </r>
  <r>
    <n v="2956"/>
    <n v="21383"/>
    <x v="33"/>
    <x v="22"/>
    <s v="Low"/>
    <n v="31"/>
    <n v="16066.85"/>
    <n v="7.0000000000000007E-2"/>
    <s v="Regular Air"/>
    <n v="7416.43"/>
    <n v="574.74"/>
    <n v="24.49"/>
    <x v="50"/>
    <x v="1"/>
    <x v="1"/>
    <x v="1"/>
    <x v="1"/>
    <x v="16"/>
    <x v="175"/>
    <s v="Large Box"/>
    <n v="0.37"/>
    <d v="2009-02-04T00:00:00"/>
    <n v="0"/>
    <n v="1"/>
    <n v="1"/>
    <n v="0.33333333333333331"/>
  </r>
  <r>
    <n v="2999"/>
    <n v="21607"/>
    <x v="123"/>
    <x v="33"/>
    <s v="Not Specified"/>
    <n v="17"/>
    <n v="618.9"/>
    <n v="0.09"/>
    <s v="Regular Air"/>
    <n v="54.92"/>
    <n v="36.549999999999997"/>
    <n v="13.89"/>
    <x v="51"/>
    <x v="1"/>
    <x v="1"/>
    <x v="3"/>
    <x v="0"/>
    <x v="12"/>
    <x v="176"/>
    <s v="Wrap Bag"/>
    <n v="0.41"/>
    <d v="2012-03-17T00:00:00"/>
    <n v="0"/>
    <n v="0"/>
    <n v="1"/>
    <n v="1"/>
  </r>
  <r>
    <n v="3006"/>
    <n v="21636"/>
    <x v="124"/>
    <x v="26"/>
    <s v="Low"/>
    <n v="35"/>
    <n v="1665.0394999999999"/>
    <n v="0.02"/>
    <s v="Regular Air"/>
    <n v="366.50700000000001"/>
    <n v="55.99"/>
    <n v="3.3"/>
    <x v="52"/>
    <x v="1"/>
    <x v="1"/>
    <x v="3"/>
    <x v="1"/>
    <x v="3"/>
    <x v="177"/>
    <s v="Small Pack"/>
    <n v="0.59"/>
    <d v="2009-08-10T00:00:00"/>
    <n v="0"/>
    <n v="0"/>
    <n v="0.33333333333333331"/>
    <n v="0.33333333333333331"/>
  </r>
  <r>
    <n v="3052"/>
    <n v="21889"/>
    <x v="125"/>
    <x v="24"/>
    <s v="Low"/>
    <n v="21"/>
    <n v="1049.79"/>
    <n v="0.08"/>
    <s v="Regular Air"/>
    <n v="135.79"/>
    <n v="51.75"/>
    <n v="19.989999999999998"/>
    <x v="46"/>
    <x v="1"/>
    <x v="1"/>
    <x v="1"/>
    <x v="2"/>
    <x v="4"/>
    <x v="178"/>
    <s v="Small Box"/>
    <n v="0.55000000000000004"/>
    <d v="2010-04-08T00:00:00"/>
    <n v="0"/>
    <n v="0"/>
    <n v="0.5"/>
    <n v="0.5"/>
  </r>
  <r>
    <n v="3053"/>
    <n v="21889"/>
    <x v="125"/>
    <x v="24"/>
    <s v="Low"/>
    <n v="16"/>
    <n v="817.18"/>
    <n v="0.1"/>
    <s v="Regular Air"/>
    <n v="103.38"/>
    <n v="55.29"/>
    <n v="5.08"/>
    <x v="46"/>
    <x v="1"/>
    <x v="1"/>
    <x v="1"/>
    <x v="0"/>
    <x v="0"/>
    <x v="179"/>
    <s v="Small Box"/>
    <n v="0.59"/>
    <d v="2010-04-03T00:00:00"/>
    <n v="0"/>
    <n v="0"/>
    <n v="0.5"/>
    <n v="0.5"/>
  </r>
  <r>
    <n v="3089"/>
    <n v="22151"/>
    <x v="126"/>
    <x v="42"/>
    <s v="High"/>
    <n v="49"/>
    <n v="465.83"/>
    <n v="0.1"/>
    <s v="Regular Air"/>
    <n v="-79.72"/>
    <n v="9.65"/>
    <n v="6.22"/>
    <x v="27"/>
    <x v="1"/>
    <x v="1"/>
    <x v="2"/>
    <x v="2"/>
    <x v="4"/>
    <x v="50"/>
    <s v="Small Box"/>
    <n v="0.55000000000000004"/>
    <d v="2010-07-31T00:00:00"/>
    <n v="0"/>
    <n v="0"/>
    <n v="0.5"/>
    <n v="0.5"/>
  </r>
  <r>
    <n v="3110"/>
    <n v="22342"/>
    <x v="127"/>
    <x v="43"/>
    <s v="Low"/>
    <n v="13"/>
    <n v="241.70600000000002"/>
    <n v="0"/>
    <s v="Regular Air"/>
    <n v="-92.961000000000013"/>
    <n v="20.99"/>
    <n v="3.3"/>
    <x v="9"/>
    <x v="1"/>
    <x v="1"/>
    <x v="0"/>
    <x v="1"/>
    <x v="3"/>
    <x v="180"/>
    <s v="Small Pack"/>
    <n v="0.81"/>
    <d v="2009-06-05T00:00:00"/>
    <n v="0"/>
    <n v="0"/>
    <n v="1"/>
    <n v="1"/>
  </r>
  <r>
    <n v="3135"/>
    <n v="22469"/>
    <x v="128"/>
    <x v="0"/>
    <s v="High"/>
    <n v="44"/>
    <n v="275.91000000000003"/>
    <n v="0.1"/>
    <s v="Regular Air"/>
    <n v="-162.37100000000001"/>
    <n v="7.99"/>
    <n v="5.03"/>
    <x v="53"/>
    <x v="1"/>
    <x v="1"/>
    <x v="2"/>
    <x v="1"/>
    <x v="3"/>
    <x v="51"/>
    <s v="Medium Box"/>
    <n v="0.6"/>
    <d v="2010-10-13T00:00:00"/>
    <n v="0"/>
    <n v="0"/>
    <n v="0.33333333333333331"/>
    <n v="0.33333333333333331"/>
  </r>
  <r>
    <n v="3138"/>
    <n v="22501"/>
    <x v="129"/>
    <x v="39"/>
    <s v="High"/>
    <n v="2"/>
    <n v="30.83"/>
    <n v="0.04"/>
    <s v="Express Air"/>
    <n v="7.27"/>
    <n v="7.64"/>
    <n v="1.39"/>
    <x v="17"/>
    <x v="1"/>
    <x v="1"/>
    <x v="2"/>
    <x v="0"/>
    <x v="8"/>
    <x v="181"/>
    <s v="Small Box"/>
    <n v="0.36"/>
    <d v="2010-05-19T00:00:00"/>
    <n v="0"/>
    <n v="0"/>
    <n v="1"/>
    <n v="1"/>
  </r>
  <r>
    <n v="3140"/>
    <n v="22532"/>
    <x v="130"/>
    <x v="44"/>
    <s v="Critical"/>
    <n v="13"/>
    <n v="121.66"/>
    <n v="0.03"/>
    <s v="Regular Air"/>
    <n v="-11.798999999999999"/>
    <n v="8.85"/>
    <n v="5.6"/>
    <x v="3"/>
    <x v="1"/>
    <x v="1"/>
    <x v="1"/>
    <x v="0"/>
    <x v="2"/>
    <x v="182"/>
    <s v="Small Box"/>
    <n v="0.36"/>
    <d v="2011-02-08T00:00:00"/>
    <n v="0"/>
    <n v="0"/>
    <n v="1"/>
    <n v="0.5"/>
  </r>
  <r>
    <n v="3244"/>
    <n v="23264"/>
    <x v="131"/>
    <x v="15"/>
    <s v="Critical"/>
    <n v="16"/>
    <n v="108.42"/>
    <n v="0.02"/>
    <s v="Regular Air"/>
    <n v="-50.82"/>
    <n v="6.48"/>
    <n v="6.81"/>
    <x v="2"/>
    <x v="1"/>
    <x v="1"/>
    <x v="2"/>
    <x v="0"/>
    <x v="5"/>
    <x v="183"/>
    <s v="Small Box"/>
    <n v="0.36"/>
    <d v="2010-12-09T00:00:00"/>
    <n v="0"/>
    <n v="0"/>
    <n v="0.5"/>
    <n v="0.33333333333333331"/>
  </r>
  <r>
    <n v="3245"/>
    <n v="23264"/>
    <x v="131"/>
    <x v="15"/>
    <s v="Critical"/>
    <n v="27"/>
    <n v="78.47"/>
    <n v="0.06"/>
    <s v="Regular Air"/>
    <n v="17.989999999999998"/>
    <n v="2.88"/>
    <n v="0.99"/>
    <x v="2"/>
    <x v="1"/>
    <x v="1"/>
    <x v="2"/>
    <x v="0"/>
    <x v="11"/>
    <x v="184"/>
    <s v="Small Box"/>
    <n v="0.36"/>
    <d v="2010-12-09T00:00:00"/>
    <n v="0"/>
    <n v="0"/>
    <n v="0.5"/>
    <n v="0.33333333333333331"/>
  </r>
  <r>
    <n v="3284"/>
    <n v="23488"/>
    <x v="132"/>
    <x v="22"/>
    <s v="Critical"/>
    <n v="30"/>
    <n v="26133.39"/>
    <n v="0.04"/>
    <s v="Delivery Truck"/>
    <n v="-11053.6"/>
    <n v="880.98"/>
    <n v="44.55"/>
    <x v="19"/>
    <x v="1"/>
    <x v="1"/>
    <x v="3"/>
    <x v="2"/>
    <x v="9"/>
    <x v="185"/>
    <s v="Jumbo Box"/>
    <n v="0.62"/>
    <d v="2009-01-07T00:00:00"/>
    <n v="0"/>
    <n v="1"/>
    <n v="0.5"/>
    <n v="1"/>
  </r>
  <r>
    <n v="3300"/>
    <n v="23584"/>
    <x v="133"/>
    <x v="33"/>
    <s v="Critical"/>
    <n v="14"/>
    <n v="2671.21"/>
    <n v="0.06"/>
    <s v="Delivery Truck"/>
    <n v="636.17999999999995"/>
    <n v="200.97"/>
    <n v="15.59"/>
    <x v="17"/>
    <x v="1"/>
    <x v="1"/>
    <x v="2"/>
    <x v="1"/>
    <x v="16"/>
    <x v="186"/>
    <s v="Jumbo Drum"/>
    <n v="0.36"/>
    <d v="2012-03-14T00:00:00"/>
    <n v="0"/>
    <n v="0"/>
    <n v="1"/>
    <n v="1"/>
  </r>
  <r>
    <n v="3355"/>
    <n v="24007"/>
    <x v="134"/>
    <x v="3"/>
    <s v="Low"/>
    <n v="26"/>
    <n v="531.66"/>
    <n v="0.08"/>
    <s v="Regular Air"/>
    <n v="135.65"/>
    <n v="20.89"/>
    <n v="1.99"/>
    <x v="31"/>
    <x v="1"/>
    <x v="1"/>
    <x v="3"/>
    <x v="1"/>
    <x v="7"/>
    <x v="187"/>
    <s v="Small Pack"/>
    <n v="0.48"/>
    <d v="2010-09-02T00:00:00"/>
    <n v="0"/>
    <n v="0"/>
    <n v="0.33333333333333331"/>
    <n v="0.33333333333333331"/>
  </r>
  <r>
    <n v="3356"/>
    <n v="24007"/>
    <x v="134"/>
    <x v="3"/>
    <s v="Low"/>
    <n v="28"/>
    <n v="317.85000000000002"/>
    <n v="0.06"/>
    <s v="Regular Air"/>
    <n v="-13.95"/>
    <n v="11.58"/>
    <n v="6.97"/>
    <x v="31"/>
    <x v="1"/>
    <x v="1"/>
    <x v="3"/>
    <x v="0"/>
    <x v="8"/>
    <x v="188"/>
    <s v="Small Box"/>
    <n v="0.35"/>
    <d v="2010-09-02T00:00:00"/>
    <n v="0"/>
    <n v="0"/>
    <n v="0.33333333333333331"/>
    <n v="0.33333333333333331"/>
  </r>
  <r>
    <n v="3357"/>
    <n v="24007"/>
    <x v="134"/>
    <x v="3"/>
    <s v="Low"/>
    <n v="42"/>
    <n v="163.08000000000001"/>
    <n v="0.09"/>
    <s v="Regular Air"/>
    <n v="66.17"/>
    <n v="4.13"/>
    <n v="0.5"/>
    <x v="31"/>
    <x v="1"/>
    <x v="1"/>
    <x v="3"/>
    <x v="0"/>
    <x v="11"/>
    <x v="84"/>
    <s v="Small Box"/>
    <n v="0.39"/>
    <d v="2010-08-30T00:00:00"/>
    <n v="0"/>
    <n v="0"/>
    <n v="0.33333333333333331"/>
    <n v="0.33333333333333331"/>
  </r>
  <r>
    <n v="3359"/>
    <n v="24038"/>
    <x v="135"/>
    <x v="4"/>
    <s v="High"/>
    <n v="38"/>
    <n v="103.07"/>
    <n v="0.1"/>
    <s v="Regular Air"/>
    <n v="-0.94999999999999929"/>
    <n v="2.78"/>
    <n v="1.34"/>
    <x v="53"/>
    <x v="1"/>
    <x v="1"/>
    <x v="2"/>
    <x v="0"/>
    <x v="12"/>
    <x v="148"/>
    <s v="Wrap Bag"/>
    <n v="0.45"/>
    <d v="2011-06-22T00:00:00"/>
    <n v="0"/>
    <n v="0"/>
    <n v="0.5"/>
    <n v="0.5"/>
  </r>
  <r>
    <n v="3371"/>
    <n v="24097"/>
    <x v="136"/>
    <x v="3"/>
    <s v="High"/>
    <n v="1"/>
    <n v="17.190000000000001"/>
    <n v="0"/>
    <s v="Regular Air"/>
    <n v="-35.340000000000003"/>
    <n v="14.48"/>
    <n v="1.99"/>
    <x v="42"/>
    <x v="1"/>
    <x v="1"/>
    <x v="0"/>
    <x v="1"/>
    <x v="7"/>
    <x v="189"/>
    <s v="Small Pack"/>
    <n v="0.49"/>
    <d v="2010-08-04T00:00:00"/>
    <n v="0"/>
    <n v="0"/>
    <n v="0.33333333333333331"/>
    <n v="0.33333333333333331"/>
  </r>
  <r>
    <n v="3372"/>
    <n v="24097"/>
    <x v="136"/>
    <x v="3"/>
    <s v="High"/>
    <n v="27"/>
    <n v="2689.48"/>
    <n v="0.04"/>
    <s v="Regular Air"/>
    <n v="399.93"/>
    <n v="99.99"/>
    <n v="19.989999999999998"/>
    <x v="42"/>
    <x v="1"/>
    <x v="1"/>
    <x v="0"/>
    <x v="1"/>
    <x v="7"/>
    <x v="190"/>
    <s v="Small Box"/>
    <n v="0.5"/>
    <d v="2010-08-06T00:00:00"/>
    <n v="0"/>
    <n v="0"/>
    <n v="0.33333333333333331"/>
    <n v="0.33333333333333331"/>
  </r>
  <r>
    <n v="3373"/>
    <n v="24097"/>
    <x v="136"/>
    <x v="3"/>
    <s v="High"/>
    <n v="2"/>
    <n v="15.31"/>
    <n v="0.01"/>
    <s v="Regular Air"/>
    <n v="-8.15"/>
    <n v="4.9800000000000004"/>
    <n v="4.8600000000000003"/>
    <x v="42"/>
    <x v="1"/>
    <x v="1"/>
    <x v="0"/>
    <x v="0"/>
    <x v="5"/>
    <x v="191"/>
    <s v="Small Box"/>
    <n v="0.38"/>
    <d v="2010-08-06T00:00:00"/>
    <n v="0"/>
    <n v="0"/>
    <n v="0.33333333333333331"/>
    <n v="0.33333333333333331"/>
  </r>
  <r>
    <n v="3380"/>
    <n v="24128"/>
    <x v="7"/>
    <x v="7"/>
    <s v="High"/>
    <n v="13"/>
    <n v="270.63"/>
    <n v="0.1"/>
    <s v="Regular Air"/>
    <n v="7.07"/>
    <n v="21.98"/>
    <n v="8.32"/>
    <x v="20"/>
    <x v="1"/>
    <x v="1"/>
    <x v="2"/>
    <x v="0"/>
    <x v="5"/>
    <x v="192"/>
    <s v="Wrap Bag"/>
    <n v="0.39"/>
    <d v="2010-11-25T00:00:00"/>
    <n v="0"/>
    <n v="0"/>
    <n v="0.5"/>
    <n v="0.5"/>
  </r>
  <r>
    <n v="3381"/>
    <n v="24128"/>
    <x v="7"/>
    <x v="7"/>
    <s v="High"/>
    <n v="43"/>
    <n v="6583.9129999999996"/>
    <n v="0.09"/>
    <s v="Regular Air"/>
    <n v="1459.7909999999999"/>
    <n v="195.99"/>
    <n v="3.99"/>
    <x v="20"/>
    <x v="1"/>
    <x v="1"/>
    <x v="2"/>
    <x v="1"/>
    <x v="3"/>
    <x v="193"/>
    <s v="Small Box"/>
    <n v="0.59"/>
    <d v="2010-11-25T00:00:00"/>
    <n v="0"/>
    <n v="0"/>
    <n v="0.5"/>
    <n v="0.5"/>
  </r>
  <r>
    <n v="3406"/>
    <n v="24294"/>
    <x v="137"/>
    <x v="26"/>
    <s v="Not Specified"/>
    <n v="24"/>
    <n v="4865.72"/>
    <n v="0.03"/>
    <s v="Delivery Truck"/>
    <n v="1951.3"/>
    <n v="200.97"/>
    <n v="15.59"/>
    <x v="45"/>
    <x v="1"/>
    <x v="1"/>
    <x v="3"/>
    <x v="1"/>
    <x v="16"/>
    <x v="186"/>
    <s v="Jumbo Drum"/>
    <n v="0.36"/>
    <d v="2009-08-03T00:00:00"/>
    <n v="0"/>
    <n v="0"/>
    <n v="1"/>
    <n v="1"/>
  </r>
  <r>
    <n v="3418"/>
    <n v="24387"/>
    <x v="138"/>
    <x v="21"/>
    <s v="Critical"/>
    <n v="23"/>
    <n v="1003.31"/>
    <n v="0.01"/>
    <s v="Regular Air"/>
    <n v="51.9"/>
    <n v="40.97"/>
    <n v="14.45"/>
    <x v="49"/>
    <x v="1"/>
    <x v="1"/>
    <x v="0"/>
    <x v="2"/>
    <x v="4"/>
    <x v="194"/>
    <s v="Large Box"/>
    <n v="0.56999999999999995"/>
    <d v="2011-08-11T00:00:00"/>
    <n v="0"/>
    <n v="0"/>
    <n v="0.5"/>
    <n v="0.5"/>
  </r>
  <r>
    <n v="3419"/>
    <n v="24387"/>
    <x v="138"/>
    <x v="21"/>
    <s v="Critical"/>
    <n v="17"/>
    <n v="6048.18"/>
    <n v="0.04"/>
    <s v="Delivery Truck"/>
    <n v="1418.36"/>
    <n v="349.45"/>
    <n v="60"/>
    <x v="49"/>
    <x v="1"/>
    <x v="1"/>
    <x v="0"/>
    <x v="2"/>
    <x v="10"/>
    <x v="195"/>
    <s v="Jumbo Drum"/>
    <m/>
    <d v="2011-08-10T00:00:00"/>
    <n v="0"/>
    <n v="0"/>
    <n v="0.5"/>
    <n v="0.5"/>
  </r>
  <r>
    <n v="3434"/>
    <n v="24515"/>
    <x v="139"/>
    <x v="39"/>
    <s v="Critical"/>
    <n v="41"/>
    <n v="3051.27"/>
    <n v="0.1"/>
    <s v="Delivery Truck"/>
    <n v="121.48"/>
    <n v="80.97"/>
    <n v="33.6"/>
    <x v="20"/>
    <x v="1"/>
    <x v="1"/>
    <x v="3"/>
    <x v="1"/>
    <x v="16"/>
    <x v="196"/>
    <s v="Jumbo Drum"/>
    <n v="0.37"/>
    <d v="2010-05-08T00:00:00"/>
    <n v="0"/>
    <n v="0"/>
    <n v="1"/>
    <n v="1"/>
  </r>
  <r>
    <n v="3478"/>
    <n v="24743"/>
    <x v="140"/>
    <x v="8"/>
    <s v="Low"/>
    <n v="47"/>
    <n v="9633.59"/>
    <n v="0.06"/>
    <s v="Delivery Truck"/>
    <n v="176.67"/>
    <n v="216.6"/>
    <n v="64.2"/>
    <x v="11"/>
    <x v="1"/>
    <x v="1"/>
    <x v="2"/>
    <x v="2"/>
    <x v="14"/>
    <x v="197"/>
    <s v="Jumbo Drum"/>
    <n v="0.59"/>
    <d v="2012-07-05T00:00:00"/>
    <n v="0"/>
    <n v="0"/>
    <n v="0.5"/>
    <n v="0.5"/>
  </r>
  <r>
    <n v="3479"/>
    <n v="24743"/>
    <x v="140"/>
    <x v="8"/>
    <s v="Low"/>
    <n v="26"/>
    <n v="3758.77"/>
    <n v="0"/>
    <s v="Regular Air"/>
    <n v="753.61"/>
    <n v="140.81"/>
    <n v="24.49"/>
    <x v="11"/>
    <x v="1"/>
    <x v="1"/>
    <x v="2"/>
    <x v="2"/>
    <x v="14"/>
    <x v="198"/>
    <s v="Large Box"/>
    <n v="0.56999999999999995"/>
    <d v="2012-07-03T00:00:00"/>
    <n v="0"/>
    <n v="0"/>
    <n v="0.5"/>
    <n v="0.5"/>
  </r>
  <r>
    <n v="3493"/>
    <n v="24871"/>
    <x v="141"/>
    <x v="5"/>
    <s v="Medium"/>
    <n v="6"/>
    <n v="143.78"/>
    <n v="0.04"/>
    <s v="Regular Air"/>
    <n v="75.3"/>
    <n v="22.72"/>
    <n v="8.99"/>
    <x v="13"/>
    <x v="1"/>
    <x v="1"/>
    <x v="2"/>
    <x v="2"/>
    <x v="4"/>
    <x v="199"/>
    <s v="Small Pack"/>
    <n v="0.44"/>
    <d v="2011-03-24T00:00:00"/>
    <n v="0"/>
    <n v="0"/>
    <n v="1"/>
    <n v="0.33333333333333331"/>
  </r>
  <r>
    <n v="3552"/>
    <n v="25318"/>
    <x v="142"/>
    <x v="27"/>
    <s v="Critical"/>
    <n v="22"/>
    <n v="440.92"/>
    <n v="0.05"/>
    <s v="Express Air"/>
    <n v="-65.180000000000007"/>
    <n v="19.98"/>
    <n v="10.49"/>
    <x v="19"/>
    <x v="1"/>
    <x v="1"/>
    <x v="0"/>
    <x v="2"/>
    <x v="4"/>
    <x v="66"/>
    <s v="Small Box"/>
    <n v="0.49"/>
    <d v="2011-11-21T00:00:00"/>
    <n v="0"/>
    <n v="0"/>
    <n v="0.5"/>
    <n v="1"/>
  </r>
  <r>
    <n v="3560"/>
    <n v="25377"/>
    <x v="143"/>
    <x v="32"/>
    <s v="Low"/>
    <n v="3"/>
    <n v="4343.51"/>
    <n v="0.09"/>
    <s v="Delivery Truck"/>
    <n v="-3755.0331000000001"/>
    <n v="1500.97"/>
    <n v="29.7"/>
    <x v="26"/>
    <x v="1"/>
    <x v="1"/>
    <x v="2"/>
    <x v="1"/>
    <x v="16"/>
    <x v="200"/>
    <s v="Jumbo Drum"/>
    <n v="0.56999999999999995"/>
    <d v="2012-12-03T00:00:00"/>
    <n v="0"/>
    <n v="0"/>
    <n v="1"/>
    <n v="1"/>
  </r>
  <r>
    <n v="3591"/>
    <n v="25634"/>
    <x v="144"/>
    <x v="42"/>
    <s v="Not Specified"/>
    <n v="29"/>
    <n v="593.32000000000005"/>
    <n v="0.03"/>
    <s v="Regular Air"/>
    <n v="28.99"/>
    <n v="20.95"/>
    <n v="4"/>
    <x v="54"/>
    <x v="1"/>
    <x v="1"/>
    <x v="2"/>
    <x v="1"/>
    <x v="7"/>
    <x v="124"/>
    <s v="Small Box"/>
    <n v="0.6"/>
    <d v="2010-08-01T00:00:00"/>
    <n v="0"/>
    <n v="0"/>
    <n v="0.5"/>
    <n v="0.5"/>
  </r>
  <r>
    <n v="3592"/>
    <n v="25634"/>
    <x v="144"/>
    <x v="42"/>
    <s v="Not Specified"/>
    <n v="26"/>
    <n v="626.07000000000005"/>
    <n v="0.03"/>
    <s v="Express Air"/>
    <n v="185.32"/>
    <n v="23.99"/>
    <n v="6.71"/>
    <x v="54"/>
    <x v="1"/>
    <x v="1"/>
    <x v="2"/>
    <x v="0"/>
    <x v="8"/>
    <x v="201"/>
    <s v="Small Box"/>
    <n v="0.35"/>
    <d v="2010-07-30T00:00:00"/>
    <n v="0"/>
    <n v="0"/>
    <n v="0.5"/>
    <n v="0.5"/>
  </r>
  <r>
    <n v="3602"/>
    <n v="25733"/>
    <x v="145"/>
    <x v="20"/>
    <s v="Low"/>
    <n v="24"/>
    <n v="557.23"/>
    <n v="0.09"/>
    <s v="Regular Air"/>
    <n v="-42.987000000000002"/>
    <n v="24.92"/>
    <n v="12.98"/>
    <x v="20"/>
    <x v="1"/>
    <x v="1"/>
    <x v="3"/>
    <x v="0"/>
    <x v="2"/>
    <x v="202"/>
    <s v="Small Box"/>
    <n v="0.39"/>
    <d v="2012-05-17T00:00:00"/>
    <n v="0"/>
    <n v="0"/>
    <n v="1"/>
    <n v="1"/>
  </r>
  <r>
    <n v="3604"/>
    <n v="25767"/>
    <x v="146"/>
    <x v="33"/>
    <s v="High"/>
    <n v="7"/>
    <n v="261.88"/>
    <n v="0.08"/>
    <s v="Regular Air"/>
    <n v="-59.2"/>
    <n v="39.479999999999997"/>
    <n v="1.99"/>
    <x v="30"/>
    <x v="1"/>
    <x v="1"/>
    <x v="2"/>
    <x v="1"/>
    <x v="7"/>
    <x v="64"/>
    <s v="Small Pack"/>
    <n v="0.54"/>
    <d v="2012-03-03T00:00:00"/>
    <n v="0"/>
    <n v="0"/>
    <n v="0.5"/>
    <n v="0.5"/>
  </r>
  <r>
    <n v="3605"/>
    <n v="25767"/>
    <x v="146"/>
    <x v="33"/>
    <s v="High"/>
    <n v="15"/>
    <n v="593.73"/>
    <n v="0.04"/>
    <s v="Regular Air"/>
    <n v="108.01"/>
    <n v="38.76"/>
    <n v="13.26"/>
    <x v="30"/>
    <x v="1"/>
    <x v="1"/>
    <x v="2"/>
    <x v="0"/>
    <x v="5"/>
    <x v="203"/>
    <s v="Small Box"/>
    <n v="0.36"/>
    <d v="2012-03-04T00:00:00"/>
    <n v="0"/>
    <n v="0"/>
    <n v="0.5"/>
    <n v="0.5"/>
  </r>
  <r>
    <n v="3641"/>
    <n v="26023"/>
    <x v="147"/>
    <x v="3"/>
    <s v="High"/>
    <n v="49"/>
    <n v="120.77"/>
    <n v="0.03"/>
    <s v="Regular Air"/>
    <n v="19.86"/>
    <n v="2.4700000000000002"/>
    <n v="1.02"/>
    <x v="55"/>
    <x v="1"/>
    <x v="1"/>
    <x v="2"/>
    <x v="0"/>
    <x v="6"/>
    <x v="204"/>
    <s v="Wrap Bag"/>
    <n v="0.38"/>
    <d v="2010-08-21T00:00:00"/>
    <n v="0"/>
    <n v="0"/>
    <n v="1"/>
    <n v="1"/>
  </r>
  <r>
    <n v="3643"/>
    <n v="26051"/>
    <x v="148"/>
    <x v="30"/>
    <s v="Not Specified"/>
    <n v="22"/>
    <n v="795.74"/>
    <n v="0"/>
    <s v="Delivery Truck"/>
    <n v="-127.39"/>
    <n v="33.94"/>
    <n v="19.190000000000001"/>
    <x v="15"/>
    <x v="1"/>
    <x v="1"/>
    <x v="3"/>
    <x v="2"/>
    <x v="14"/>
    <x v="205"/>
    <s v="Jumbo Drum"/>
    <n v="0.57999999999999996"/>
    <d v="2010-06-29T00:00:00"/>
    <n v="0"/>
    <n v="0"/>
    <n v="0.5"/>
    <n v="0.5"/>
  </r>
  <r>
    <n v="3644"/>
    <n v="26051"/>
    <x v="148"/>
    <x v="30"/>
    <s v="Not Specified"/>
    <n v="31"/>
    <n v="251.75"/>
    <n v="7.0000000000000007E-2"/>
    <s v="Regular Air"/>
    <n v="22.46"/>
    <n v="8.33"/>
    <n v="1.99"/>
    <x v="15"/>
    <x v="1"/>
    <x v="1"/>
    <x v="3"/>
    <x v="1"/>
    <x v="7"/>
    <x v="206"/>
    <s v="Small Pack"/>
    <n v="0.52"/>
    <d v="2010-06-28T00:00:00"/>
    <n v="0"/>
    <n v="0"/>
    <n v="0.5"/>
    <n v="0.5"/>
  </r>
  <r>
    <n v="3649"/>
    <n v="26116"/>
    <x v="149"/>
    <x v="1"/>
    <s v="Critical"/>
    <n v="36"/>
    <n v="697.41"/>
    <n v="0.04"/>
    <s v="Regular Air"/>
    <n v="81.709999999999994"/>
    <n v="18.97"/>
    <n v="9.0299999999999994"/>
    <x v="3"/>
    <x v="1"/>
    <x v="1"/>
    <x v="0"/>
    <x v="0"/>
    <x v="5"/>
    <x v="40"/>
    <s v="Small Box"/>
    <n v="0.37"/>
    <d v="2012-10-30T00:00:00"/>
    <n v="0"/>
    <n v="0"/>
    <n v="1"/>
    <n v="0.33333333333333331"/>
  </r>
  <r>
    <n v="3658"/>
    <n v="26182"/>
    <x v="150"/>
    <x v="38"/>
    <s v="Not Specified"/>
    <n v="30"/>
    <n v="4684.8999999999996"/>
    <n v="0.01"/>
    <s v="Delivery Truck"/>
    <n v="-549.27"/>
    <n v="150.97999999999999"/>
    <n v="66.27"/>
    <x v="40"/>
    <x v="1"/>
    <x v="1"/>
    <x v="2"/>
    <x v="2"/>
    <x v="9"/>
    <x v="207"/>
    <s v="Jumbo Box"/>
    <n v="0.65"/>
    <d v="2010-01-19T00:00:00"/>
    <n v="1"/>
    <n v="0"/>
    <n v="0.5"/>
    <n v="0.5"/>
  </r>
  <r>
    <n v="3666"/>
    <n v="26272"/>
    <x v="151"/>
    <x v="8"/>
    <s v="Low"/>
    <n v="6"/>
    <n v="905.94"/>
    <n v="0.04"/>
    <s v="Express Air"/>
    <n v="-4.1900000000000004"/>
    <n v="140.81"/>
    <n v="24.49"/>
    <x v="8"/>
    <x v="1"/>
    <x v="1"/>
    <x v="3"/>
    <x v="2"/>
    <x v="14"/>
    <x v="198"/>
    <s v="Large Box"/>
    <n v="0.56999999999999995"/>
    <d v="2012-07-08T00:00:00"/>
    <n v="0"/>
    <n v="0"/>
    <n v="1"/>
    <n v="0.33333333333333331"/>
  </r>
  <r>
    <n v="3688"/>
    <n v="26370"/>
    <x v="152"/>
    <x v="21"/>
    <s v="Not Specified"/>
    <n v="12"/>
    <n v="270.23"/>
    <n v="0.08"/>
    <s v="Regular Air"/>
    <n v="52.02"/>
    <n v="22.84"/>
    <n v="5.47"/>
    <x v="52"/>
    <x v="1"/>
    <x v="1"/>
    <x v="3"/>
    <x v="0"/>
    <x v="5"/>
    <x v="208"/>
    <s v="Small Box"/>
    <n v="0.39"/>
    <d v="2011-08-10T00:00:00"/>
    <n v="0"/>
    <n v="0"/>
    <n v="0.5"/>
    <n v="0.5"/>
  </r>
  <r>
    <n v="3689"/>
    <n v="26370"/>
    <x v="152"/>
    <x v="21"/>
    <s v="Not Specified"/>
    <n v="20"/>
    <n v="660.27"/>
    <n v="0.09"/>
    <s v="Express Air"/>
    <n v="63.83"/>
    <n v="34.76"/>
    <n v="5.49"/>
    <x v="52"/>
    <x v="1"/>
    <x v="1"/>
    <x v="3"/>
    <x v="0"/>
    <x v="0"/>
    <x v="209"/>
    <s v="Small Box"/>
    <n v="0.6"/>
    <d v="2011-08-10T00:00:00"/>
    <n v="0"/>
    <n v="0"/>
    <n v="0.5"/>
    <n v="0.5"/>
  </r>
  <r>
    <n v="3711"/>
    <n v="26499"/>
    <x v="153"/>
    <x v="6"/>
    <s v="Medium"/>
    <n v="11"/>
    <n v="32.4"/>
    <n v="0.05"/>
    <s v="Regular Air"/>
    <n v="8.7799999999999994"/>
    <n v="2.88"/>
    <n v="0.5"/>
    <x v="11"/>
    <x v="1"/>
    <x v="1"/>
    <x v="2"/>
    <x v="0"/>
    <x v="11"/>
    <x v="210"/>
    <s v="Small Box"/>
    <n v="0.39"/>
    <d v="2010-02-22T00:00:00"/>
    <n v="0"/>
    <n v="0"/>
    <n v="1"/>
    <n v="1"/>
  </r>
  <r>
    <n v="3716"/>
    <n v="26531"/>
    <x v="135"/>
    <x v="4"/>
    <s v="Medium"/>
    <n v="26"/>
    <n v="4688.9484999999995"/>
    <n v="0"/>
    <s v="Regular Air"/>
    <n v="1215.441"/>
    <n v="205.99"/>
    <n v="5.26"/>
    <x v="29"/>
    <x v="1"/>
    <x v="1"/>
    <x v="2"/>
    <x v="1"/>
    <x v="3"/>
    <x v="211"/>
    <s v="Small Box"/>
    <n v="0.56000000000000005"/>
    <d v="2011-06-22T00:00:00"/>
    <n v="0"/>
    <n v="0"/>
    <n v="1"/>
    <n v="0.5"/>
  </r>
  <r>
    <n v="3719"/>
    <n v="26567"/>
    <x v="154"/>
    <x v="35"/>
    <s v="Critical"/>
    <n v="8"/>
    <n v="50.7"/>
    <n v="0.08"/>
    <s v="Regular Air"/>
    <n v="-44.067999999999998"/>
    <n v="5.4"/>
    <n v="7.78"/>
    <x v="11"/>
    <x v="1"/>
    <x v="1"/>
    <x v="2"/>
    <x v="0"/>
    <x v="2"/>
    <x v="212"/>
    <s v="Small Box"/>
    <n v="0.37"/>
    <d v="2009-09-04T00:00:00"/>
    <n v="0"/>
    <n v="0"/>
    <n v="0.25"/>
    <n v="0.25"/>
  </r>
  <r>
    <n v="3720"/>
    <n v="26567"/>
    <x v="154"/>
    <x v="35"/>
    <s v="Critical"/>
    <n v="10"/>
    <n v="90.06"/>
    <n v="0.09"/>
    <s v="Express Air"/>
    <n v="-100.51"/>
    <n v="8.4600000000000009"/>
    <n v="8.99"/>
    <x v="11"/>
    <x v="1"/>
    <x v="1"/>
    <x v="2"/>
    <x v="1"/>
    <x v="7"/>
    <x v="213"/>
    <s v="Small Pack"/>
    <n v="0.79"/>
    <d v="2009-09-07T00:00:00"/>
    <n v="0"/>
    <n v="0"/>
    <n v="0.25"/>
    <n v="0.25"/>
  </r>
  <r>
    <n v="3721"/>
    <n v="26567"/>
    <x v="154"/>
    <x v="35"/>
    <s v="Critical"/>
    <n v="22"/>
    <n v="338.52"/>
    <n v="0.21"/>
    <s v="Regular Air"/>
    <n v="-17.75"/>
    <n v="14.98"/>
    <n v="8.99"/>
    <x v="11"/>
    <x v="1"/>
    <x v="1"/>
    <x v="2"/>
    <x v="2"/>
    <x v="4"/>
    <x v="214"/>
    <s v="Small Pack"/>
    <n v="0.39"/>
    <d v="2009-09-05T00:00:00"/>
    <n v="0"/>
    <n v="0"/>
    <n v="0.25"/>
    <n v="0.25"/>
  </r>
  <r>
    <n v="3722"/>
    <n v="26567"/>
    <x v="154"/>
    <x v="35"/>
    <s v="Critical"/>
    <n v="48"/>
    <n v="6109.817"/>
    <n v="0.04"/>
    <s v="Regular Air"/>
    <n v="1374.9480000000001"/>
    <n v="155.99"/>
    <n v="8.08"/>
    <x v="11"/>
    <x v="1"/>
    <x v="1"/>
    <x v="2"/>
    <x v="1"/>
    <x v="3"/>
    <x v="215"/>
    <s v="Small Box"/>
    <n v="0.6"/>
    <d v="2009-09-05T00:00:00"/>
    <n v="0"/>
    <n v="0"/>
    <n v="0.25"/>
    <n v="0.25"/>
  </r>
  <r>
    <n v="3760"/>
    <n v="26854"/>
    <x v="155"/>
    <x v="41"/>
    <s v="Not Specified"/>
    <n v="1"/>
    <n v="34.11"/>
    <n v="0.02"/>
    <s v="Regular Air"/>
    <n v="-12.95"/>
    <n v="25.38"/>
    <n v="8.99"/>
    <x v="56"/>
    <x v="1"/>
    <x v="1"/>
    <x v="3"/>
    <x v="2"/>
    <x v="4"/>
    <x v="216"/>
    <s v="Small Pack"/>
    <n v="0.5"/>
    <d v="2009-06-22T00:00:00"/>
    <n v="0"/>
    <n v="0"/>
    <n v="1"/>
    <n v="1"/>
  </r>
  <r>
    <n v="3805"/>
    <n v="27109"/>
    <x v="156"/>
    <x v="12"/>
    <s v="Critical"/>
    <n v="48"/>
    <n v="538.22"/>
    <n v="0.01"/>
    <s v="Regular Air"/>
    <n v="-154.66"/>
    <n v="10.97"/>
    <n v="6.5"/>
    <x v="1"/>
    <x v="1"/>
    <x v="1"/>
    <x v="1"/>
    <x v="1"/>
    <x v="7"/>
    <x v="217"/>
    <s v="Small Box"/>
    <n v="0.64"/>
    <d v="2012-02-10T00:00:00"/>
    <n v="0"/>
    <n v="0"/>
    <n v="1"/>
    <n v="1"/>
  </r>
  <r>
    <n v="3806"/>
    <n v="27111"/>
    <x v="157"/>
    <x v="28"/>
    <s v="High"/>
    <n v="11"/>
    <n v="1064.23"/>
    <n v="0.06"/>
    <s v="Regular Air"/>
    <n v="-127.56"/>
    <n v="99.99"/>
    <n v="19.989999999999998"/>
    <x v="51"/>
    <x v="1"/>
    <x v="1"/>
    <x v="3"/>
    <x v="1"/>
    <x v="7"/>
    <x v="218"/>
    <s v="Small Box"/>
    <n v="0.52"/>
    <d v="2009-03-14T00:00:00"/>
    <n v="0"/>
    <n v="0"/>
    <n v="0.33333333333333331"/>
    <n v="0.33333333333333331"/>
  </r>
  <r>
    <n v="3807"/>
    <n v="27111"/>
    <x v="157"/>
    <x v="28"/>
    <s v="High"/>
    <n v="18"/>
    <n v="3497.05"/>
    <n v="0"/>
    <s v="Regular Air"/>
    <n v="282.18"/>
    <n v="193.17"/>
    <n v="19.989999999999998"/>
    <x v="51"/>
    <x v="1"/>
    <x v="1"/>
    <x v="3"/>
    <x v="0"/>
    <x v="0"/>
    <x v="219"/>
    <s v="Small Box"/>
    <n v="0.71"/>
    <d v="2009-03-12T00:00:00"/>
    <n v="0"/>
    <n v="0"/>
    <n v="0.33333333333333331"/>
    <n v="0.33333333333333331"/>
  </r>
  <r>
    <n v="3808"/>
    <n v="27111"/>
    <x v="157"/>
    <x v="28"/>
    <s v="High"/>
    <n v="44"/>
    <n v="774.05250000000001"/>
    <n v="0.08"/>
    <s v="Express Air"/>
    <n v="-96.337999999999994"/>
    <n v="20.99"/>
    <n v="3.3"/>
    <x v="51"/>
    <x v="1"/>
    <x v="1"/>
    <x v="3"/>
    <x v="1"/>
    <x v="3"/>
    <x v="180"/>
    <s v="Small Pack"/>
    <n v="0.81"/>
    <d v="2009-03-11T00:00:00"/>
    <n v="0"/>
    <n v="0"/>
    <n v="0.33333333333333331"/>
    <n v="0.33333333333333331"/>
  </r>
  <r>
    <n v="3821"/>
    <n v="27264"/>
    <x v="158"/>
    <x v="4"/>
    <s v="Low"/>
    <n v="3"/>
    <n v="74.05"/>
    <n v="0.02"/>
    <s v="Regular Air"/>
    <n v="44.54"/>
    <n v="19.989999999999998"/>
    <n v="11.17"/>
    <x v="57"/>
    <x v="1"/>
    <x v="1"/>
    <x v="0"/>
    <x v="2"/>
    <x v="4"/>
    <x v="220"/>
    <s v="Large Box"/>
    <n v="0.6"/>
    <d v="2011-06-06T00:00:00"/>
    <n v="0"/>
    <n v="0"/>
    <n v="1"/>
    <n v="1"/>
  </r>
  <r>
    <n v="3841"/>
    <n v="27392"/>
    <x v="159"/>
    <x v="33"/>
    <s v="Low"/>
    <n v="37"/>
    <n v="5753.85"/>
    <n v="0"/>
    <s v="Regular Air"/>
    <n v="2509.52"/>
    <n v="150.97999999999999"/>
    <n v="13.99"/>
    <x v="28"/>
    <x v="1"/>
    <x v="1"/>
    <x v="2"/>
    <x v="1"/>
    <x v="16"/>
    <x v="221"/>
    <s v="Medium Box"/>
    <n v="0.38"/>
    <d v="2012-03-11T00:00:00"/>
    <n v="0"/>
    <n v="0"/>
    <n v="1"/>
    <n v="1"/>
  </r>
  <r>
    <n v="3860"/>
    <n v="27553"/>
    <x v="160"/>
    <x v="21"/>
    <s v="Medium"/>
    <n v="48"/>
    <n v="18235.47"/>
    <n v="0.03"/>
    <s v="Delivery Truck"/>
    <n v="1166.93"/>
    <n v="370.98"/>
    <n v="99"/>
    <x v="12"/>
    <x v="1"/>
    <x v="1"/>
    <x v="2"/>
    <x v="0"/>
    <x v="0"/>
    <x v="222"/>
    <s v="Jumbo Drum"/>
    <n v="0.65"/>
    <d v="2011-08-14T00:00:00"/>
    <n v="0"/>
    <n v="0"/>
    <n v="0.5"/>
    <n v="0.5"/>
  </r>
  <r>
    <n v="3861"/>
    <n v="27553"/>
    <x v="160"/>
    <x v="21"/>
    <s v="Medium"/>
    <n v="16"/>
    <n v="2631.107"/>
    <n v="0"/>
    <s v="Regular Air"/>
    <n v="297.108"/>
    <n v="179.99"/>
    <n v="13.99"/>
    <x v="12"/>
    <x v="1"/>
    <x v="1"/>
    <x v="2"/>
    <x v="1"/>
    <x v="3"/>
    <x v="223"/>
    <s v="Medium Box"/>
    <n v="0.56999999999999995"/>
    <d v="2011-08-14T00:00:00"/>
    <n v="0"/>
    <n v="0"/>
    <n v="0.5"/>
    <n v="0.5"/>
  </r>
  <r>
    <n v="3863"/>
    <n v="27555"/>
    <x v="161"/>
    <x v="35"/>
    <s v="Critical"/>
    <n v="32"/>
    <n v="209.42"/>
    <n v="0.1"/>
    <s v="Regular Air"/>
    <n v="65.41"/>
    <n v="6.74"/>
    <n v="1.72"/>
    <x v="36"/>
    <x v="1"/>
    <x v="1"/>
    <x v="1"/>
    <x v="0"/>
    <x v="5"/>
    <x v="224"/>
    <s v="Wrap Bag"/>
    <n v="0.35"/>
    <d v="2009-09-03T00:00:00"/>
    <n v="0"/>
    <n v="0"/>
    <n v="1"/>
    <n v="1"/>
  </r>
  <r>
    <n v="3873"/>
    <n v="27680"/>
    <x v="162"/>
    <x v="38"/>
    <s v="Critical"/>
    <n v="32"/>
    <n v="324.39999999999998"/>
    <n v="0.1"/>
    <s v="Regular Air"/>
    <n v="-46.98"/>
    <n v="10.89"/>
    <n v="4.5"/>
    <x v="39"/>
    <x v="1"/>
    <x v="1"/>
    <x v="0"/>
    <x v="0"/>
    <x v="1"/>
    <x v="225"/>
    <s v="Small Box"/>
    <n v="0.59"/>
    <d v="2010-01-27T00:00:00"/>
    <n v="1"/>
    <n v="0"/>
    <n v="0.5"/>
    <n v="0.5"/>
  </r>
  <r>
    <n v="3874"/>
    <n v="27680"/>
    <x v="162"/>
    <x v="38"/>
    <s v="Critical"/>
    <n v="19"/>
    <n v="137.02000000000001"/>
    <n v="0.01"/>
    <s v="Regular Air"/>
    <n v="-46.89"/>
    <n v="6.48"/>
    <n v="6.6"/>
    <x v="39"/>
    <x v="1"/>
    <x v="1"/>
    <x v="0"/>
    <x v="0"/>
    <x v="5"/>
    <x v="226"/>
    <s v="Small Box"/>
    <n v="0.37"/>
    <d v="2010-01-27T00:00:00"/>
    <n v="1"/>
    <n v="0"/>
    <n v="0.5"/>
    <n v="0.5"/>
  </r>
  <r>
    <n v="3891"/>
    <n v="27778"/>
    <x v="163"/>
    <x v="31"/>
    <s v="Critical"/>
    <n v="1"/>
    <n v="232.67"/>
    <n v="0.02"/>
    <s v="Regular Air"/>
    <n v="-105.14450000000001"/>
    <n v="223.98"/>
    <n v="15.01"/>
    <x v="58"/>
    <x v="1"/>
    <x v="1"/>
    <x v="2"/>
    <x v="0"/>
    <x v="2"/>
    <x v="227"/>
    <s v="Small Box"/>
    <n v="0.38"/>
    <d v="2011-09-04T00:00:00"/>
    <n v="0"/>
    <n v="0"/>
    <n v="0.33333333333333331"/>
    <n v="0.33333333333333331"/>
  </r>
  <r>
    <n v="3892"/>
    <n v="27778"/>
    <x v="163"/>
    <x v="31"/>
    <s v="Critical"/>
    <n v="34"/>
    <n v="4805.92"/>
    <n v="7.0000000000000007E-2"/>
    <s v="Delivery Truck"/>
    <n v="-393.96"/>
    <n v="140.97999999999999"/>
    <n v="36.090000000000003"/>
    <x v="58"/>
    <x v="1"/>
    <x v="1"/>
    <x v="2"/>
    <x v="2"/>
    <x v="9"/>
    <x v="228"/>
    <s v="Jumbo Box"/>
    <n v="0.77"/>
    <d v="2011-09-04T00:00:00"/>
    <n v="0"/>
    <n v="0"/>
    <n v="0.33333333333333331"/>
    <n v="0.33333333333333331"/>
  </r>
  <r>
    <n v="3914"/>
    <n v="27909"/>
    <x v="164"/>
    <x v="12"/>
    <s v="Critical"/>
    <n v="1"/>
    <n v="62.26"/>
    <n v="0.09"/>
    <s v="Regular Air"/>
    <n v="-23.24"/>
    <n v="54.96"/>
    <n v="10.75"/>
    <x v="5"/>
    <x v="1"/>
    <x v="1"/>
    <x v="2"/>
    <x v="0"/>
    <x v="5"/>
    <x v="229"/>
    <s v="Small Box"/>
    <n v="0.36"/>
    <d v="2012-02-09T00:00:00"/>
    <n v="0"/>
    <n v="0"/>
    <n v="0.5"/>
    <n v="0.5"/>
  </r>
  <r>
    <n v="3915"/>
    <n v="27909"/>
    <x v="164"/>
    <x v="12"/>
    <s v="Critical"/>
    <n v="47"/>
    <n v="58.53"/>
    <n v="7.0000000000000007E-2"/>
    <s v="Regular Air"/>
    <n v="-24.86"/>
    <n v="1.26"/>
    <n v="0.7"/>
    <x v="5"/>
    <x v="1"/>
    <x v="1"/>
    <x v="2"/>
    <x v="0"/>
    <x v="6"/>
    <x v="230"/>
    <s v="Wrap Bag"/>
    <n v="0.81"/>
    <d v="2012-02-10T00:00:00"/>
    <n v="0"/>
    <n v="0"/>
    <n v="0.5"/>
    <n v="0.5"/>
  </r>
  <r>
    <n v="3929"/>
    <n v="28003"/>
    <x v="165"/>
    <x v="5"/>
    <s v="Critical"/>
    <n v="31"/>
    <n v="157.79"/>
    <n v="0.09"/>
    <s v="Regular Air"/>
    <n v="-95.92"/>
    <n v="4.9800000000000004"/>
    <n v="6.07"/>
    <x v="55"/>
    <x v="1"/>
    <x v="1"/>
    <x v="2"/>
    <x v="0"/>
    <x v="5"/>
    <x v="231"/>
    <s v="Small Box"/>
    <n v="0.36"/>
    <d v="2011-03-21T00:00:00"/>
    <n v="0"/>
    <n v="0"/>
    <n v="1"/>
    <n v="0.33333333333333331"/>
  </r>
  <r>
    <n v="3936"/>
    <n v="28035"/>
    <x v="166"/>
    <x v="10"/>
    <s v="Not Specified"/>
    <n v="19"/>
    <n v="376.21"/>
    <n v="0.03"/>
    <s v="Regular Air"/>
    <n v="89.555999999999997"/>
    <n v="18.989999999999998"/>
    <n v="5.23"/>
    <x v="14"/>
    <x v="1"/>
    <x v="1"/>
    <x v="3"/>
    <x v="0"/>
    <x v="2"/>
    <x v="232"/>
    <s v="Small Box"/>
    <n v="0.37"/>
    <d v="2011-05-10T00:00:00"/>
    <n v="0"/>
    <n v="0"/>
    <n v="1"/>
    <n v="1"/>
  </r>
  <r>
    <n v="3947"/>
    <n v="28135"/>
    <x v="167"/>
    <x v="35"/>
    <s v="Critical"/>
    <n v="37"/>
    <n v="1601.24"/>
    <n v="0.08"/>
    <s v="Regular Air"/>
    <n v="520.69000000000005"/>
    <n v="46.89"/>
    <n v="5.0999999999999996"/>
    <x v="59"/>
    <x v="1"/>
    <x v="1"/>
    <x v="2"/>
    <x v="0"/>
    <x v="1"/>
    <x v="233"/>
    <s v="Medium Box"/>
    <n v="0.46"/>
    <d v="2009-09-27T00:00:00"/>
    <n v="0"/>
    <n v="0"/>
    <n v="0.5"/>
    <n v="0.5"/>
  </r>
  <r>
    <n v="3948"/>
    <n v="28135"/>
    <x v="167"/>
    <x v="35"/>
    <s v="Critical"/>
    <n v="40"/>
    <n v="501.31"/>
    <n v="0.05"/>
    <s v="Regular Air"/>
    <n v="38.229999999999997"/>
    <n v="12.98"/>
    <n v="3.14"/>
    <x v="59"/>
    <x v="1"/>
    <x v="1"/>
    <x v="2"/>
    <x v="0"/>
    <x v="15"/>
    <x v="234"/>
    <s v="Small Pack"/>
    <n v="0.6"/>
    <d v="2009-09-25T00:00:00"/>
    <n v="0"/>
    <n v="0"/>
    <n v="0.5"/>
    <n v="0.5"/>
  </r>
  <r>
    <n v="3952"/>
    <n v="28165"/>
    <x v="168"/>
    <x v="29"/>
    <s v="Not Specified"/>
    <n v="2"/>
    <n v="24.96"/>
    <n v="0.05"/>
    <s v="Regular Air"/>
    <n v="-12.7995"/>
    <n v="10.91"/>
    <n v="2.99"/>
    <x v="16"/>
    <x v="1"/>
    <x v="1"/>
    <x v="2"/>
    <x v="0"/>
    <x v="2"/>
    <x v="235"/>
    <s v="Small Box"/>
    <n v="0.38"/>
    <d v="2012-07-11T00:00:00"/>
    <n v="0"/>
    <n v="0"/>
    <n v="1"/>
    <n v="0.33333333333333331"/>
  </r>
  <r>
    <n v="3963"/>
    <n v="28289"/>
    <x v="169"/>
    <x v="38"/>
    <s v="High"/>
    <n v="31"/>
    <n v="166.76"/>
    <n v="0.01"/>
    <s v="Regular Air"/>
    <n v="-46.03"/>
    <n v="4.9800000000000004"/>
    <n v="4.75"/>
    <x v="13"/>
    <x v="1"/>
    <x v="1"/>
    <x v="2"/>
    <x v="0"/>
    <x v="5"/>
    <x v="61"/>
    <s v="Small Box"/>
    <n v="0.36"/>
    <d v="2010-01-15T00:00:00"/>
    <n v="1"/>
    <n v="0"/>
    <n v="1"/>
    <n v="1"/>
  </r>
  <r>
    <n v="3992"/>
    <n v="28486"/>
    <x v="170"/>
    <x v="26"/>
    <s v="High"/>
    <n v="2"/>
    <n v="811.13"/>
    <n v="0.08"/>
    <s v="Regular Air"/>
    <n v="-517.47"/>
    <n v="415.88"/>
    <n v="11.37"/>
    <x v="8"/>
    <x v="1"/>
    <x v="1"/>
    <x v="2"/>
    <x v="0"/>
    <x v="0"/>
    <x v="236"/>
    <s v="Small Box"/>
    <n v="0.56999999999999995"/>
    <d v="2009-08-27T00:00:00"/>
    <n v="0"/>
    <n v="0"/>
    <n v="1"/>
    <n v="1"/>
  </r>
  <r>
    <n v="4017"/>
    <n v="28675"/>
    <x v="171"/>
    <x v="19"/>
    <s v="Critical"/>
    <n v="15"/>
    <n v="822.84249999999997"/>
    <n v="0.1"/>
    <s v="Regular Air"/>
    <n v="4.3920000000000083"/>
    <n v="65.989999999999995"/>
    <n v="5.92"/>
    <x v="36"/>
    <x v="1"/>
    <x v="1"/>
    <x v="1"/>
    <x v="1"/>
    <x v="3"/>
    <x v="237"/>
    <s v="Small Box"/>
    <n v="0.55000000000000004"/>
    <d v="2009-10-09T00:00:00"/>
    <n v="0"/>
    <n v="0"/>
    <n v="1"/>
    <n v="1"/>
  </r>
  <r>
    <n v="4050"/>
    <n v="28870"/>
    <x v="172"/>
    <x v="27"/>
    <s v="High"/>
    <n v="35"/>
    <n v="3310.9454999999998"/>
    <n v="0.05"/>
    <s v="Regular Air"/>
    <n v="822.40199999999993"/>
    <n v="115.99"/>
    <n v="2.5"/>
    <x v="60"/>
    <x v="1"/>
    <x v="1"/>
    <x v="2"/>
    <x v="1"/>
    <x v="3"/>
    <x v="41"/>
    <s v="Small Box"/>
    <n v="0.56999999999999995"/>
    <d v="2011-11-13T00:00:00"/>
    <n v="0"/>
    <n v="0"/>
    <n v="0.5"/>
    <n v="0.5"/>
  </r>
  <r>
    <n v="4051"/>
    <n v="28871"/>
    <x v="13"/>
    <x v="13"/>
    <s v="High"/>
    <n v="10"/>
    <n v="55.02"/>
    <n v="0.08"/>
    <s v="Regular Air"/>
    <n v="-56.12"/>
    <n v="5.0199999999999996"/>
    <n v="5.14"/>
    <x v="9"/>
    <x v="1"/>
    <x v="1"/>
    <x v="0"/>
    <x v="1"/>
    <x v="7"/>
    <x v="238"/>
    <s v="Small Pack"/>
    <n v="0.79"/>
    <d v="2012-04-15T00:00:00"/>
    <n v="0"/>
    <n v="0"/>
    <n v="1"/>
    <n v="1"/>
  </r>
  <r>
    <n v="4075"/>
    <n v="29030"/>
    <x v="173"/>
    <x v="23"/>
    <s v="Medium"/>
    <n v="10"/>
    <n v="192.58"/>
    <n v="0.05"/>
    <s v="Regular Air"/>
    <n v="24.6"/>
    <n v="19.84"/>
    <n v="4.0999999999999996"/>
    <x v="58"/>
    <x v="1"/>
    <x v="1"/>
    <x v="2"/>
    <x v="0"/>
    <x v="12"/>
    <x v="92"/>
    <s v="Wrap Bag"/>
    <n v="0.44"/>
    <d v="2012-01-03T00:00:00"/>
    <n v="0"/>
    <n v="0"/>
    <n v="1"/>
    <n v="0.33333333333333331"/>
  </r>
  <r>
    <n v="4082"/>
    <n v="29095"/>
    <x v="174"/>
    <x v="5"/>
    <s v="Not Specified"/>
    <n v="40"/>
    <n v="291.67"/>
    <n v="0.01"/>
    <s v="Regular Air"/>
    <n v="54.459499999999991"/>
    <n v="6.75"/>
    <n v="2.99"/>
    <x v="39"/>
    <x v="1"/>
    <x v="1"/>
    <x v="0"/>
    <x v="0"/>
    <x v="2"/>
    <x v="239"/>
    <s v="Small Box"/>
    <n v="0.35"/>
    <d v="2011-03-09T00:00:00"/>
    <n v="0"/>
    <n v="0"/>
    <n v="1"/>
    <n v="1"/>
  </r>
  <r>
    <n v="4118"/>
    <n v="29287"/>
    <x v="175"/>
    <x v="36"/>
    <s v="High"/>
    <n v="50"/>
    <n v="281.39"/>
    <n v="0.1"/>
    <s v="Regular Air"/>
    <n v="-106.398"/>
    <n v="5.74"/>
    <n v="5.01"/>
    <x v="21"/>
    <x v="1"/>
    <x v="1"/>
    <x v="1"/>
    <x v="0"/>
    <x v="2"/>
    <x v="240"/>
    <s v="Small Box"/>
    <n v="0.39"/>
    <d v="2009-07-04T00:00:00"/>
    <n v="0"/>
    <n v="0"/>
    <n v="0.5"/>
    <n v="0.5"/>
  </r>
  <r>
    <n v="4119"/>
    <n v="29287"/>
    <x v="175"/>
    <x v="36"/>
    <s v="High"/>
    <n v="49"/>
    <n v="12593.91"/>
    <n v="0.09"/>
    <s v="Delivery Truck"/>
    <n v="2699.67"/>
    <n v="270.97000000000003"/>
    <n v="28.06"/>
    <x v="21"/>
    <x v="1"/>
    <x v="1"/>
    <x v="1"/>
    <x v="1"/>
    <x v="16"/>
    <x v="241"/>
    <s v="Jumbo Drum"/>
    <n v="0.56000000000000005"/>
    <d v="2009-07-04T00:00:00"/>
    <n v="0"/>
    <n v="0"/>
    <n v="0.5"/>
    <n v="0.5"/>
  </r>
  <r>
    <n v="4164"/>
    <n v="29510"/>
    <x v="176"/>
    <x v="37"/>
    <s v="Critical"/>
    <n v="22"/>
    <n v="6123.94"/>
    <n v="0.01"/>
    <s v="Delivery Truck"/>
    <n v="1292.44"/>
    <n v="260.98"/>
    <n v="41.91"/>
    <x v="14"/>
    <x v="1"/>
    <x v="1"/>
    <x v="3"/>
    <x v="2"/>
    <x v="9"/>
    <x v="242"/>
    <s v="Jumbo Box"/>
    <n v="0.59"/>
    <d v="2011-04-17T00:00:00"/>
    <n v="0"/>
    <n v="0"/>
    <n v="1"/>
    <n v="1"/>
  </r>
  <r>
    <n v="4193"/>
    <n v="29795"/>
    <x v="177"/>
    <x v="27"/>
    <s v="High"/>
    <n v="49"/>
    <n v="19325.2"/>
    <n v="0.05"/>
    <s v="Regular Air"/>
    <n v="8793.5390000000007"/>
    <n v="387.99"/>
    <n v="19.989999999999998"/>
    <x v="16"/>
    <x v="1"/>
    <x v="1"/>
    <x v="0"/>
    <x v="0"/>
    <x v="2"/>
    <x v="243"/>
    <s v="Small Box"/>
    <n v="0.38"/>
    <d v="2011-11-26T00:00:00"/>
    <n v="0"/>
    <n v="0"/>
    <n v="0.5"/>
    <n v="0.33333333333333331"/>
  </r>
  <r>
    <n v="4194"/>
    <n v="29795"/>
    <x v="177"/>
    <x v="27"/>
    <s v="High"/>
    <n v="48"/>
    <n v="8380.2199999999993"/>
    <n v="0"/>
    <s v="Delivery Truck"/>
    <n v="813.83"/>
    <n v="160.97999999999999"/>
    <n v="35.020000000000003"/>
    <x v="16"/>
    <x v="1"/>
    <x v="1"/>
    <x v="0"/>
    <x v="2"/>
    <x v="9"/>
    <x v="244"/>
    <s v="Jumbo Box"/>
    <n v="0.72"/>
    <d v="2011-11-26T00:00:00"/>
    <n v="0"/>
    <n v="0"/>
    <n v="0.5"/>
    <n v="0.33333333333333331"/>
  </r>
  <r>
    <n v="4202"/>
    <n v="29861"/>
    <x v="178"/>
    <x v="13"/>
    <s v="Critical"/>
    <n v="11"/>
    <n v="35.17"/>
    <n v="0.03"/>
    <s v="Regular Air"/>
    <n v="5.58"/>
    <n v="3.08"/>
    <n v="0.99"/>
    <x v="22"/>
    <x v="1"/>
    <x v="1"/>
    <x v="0"/>
    <x v="0"/>
    <x v="11"/>
    <x v="245"/>
    <s v="Small Box"/>
    <n v="0.37"/>
    <d v="2012-04-26T00:00:00"/>
    <n v="0"/>
    <n v="0"/>
    <n v="1"/>
    <n v="1"/>
  </r>
  <r>
    <n v="4305"/>
    <n v="30658"/>
    <x v="179"/>
    <x v="5"/>
    <s v="Medium"/>
    <n v="35"/>
    <n v="17387.650000000001"/>
    <n v="0.08"/>
    <s v="Regular Air"/>
    <n v="6907.6130000000003"/>
    <n v="499.99"/>
    <n v="24.49"/>
    <x v="55"/>
    <x v="1"/>
    <x v="1"/>
    <x v="2"/>
    <x v="1"/>
    <x v="13"/>
    <x v="110"/>
    <s v="Large Box"/>
    <n v="0.36"/>
    <d v="2011-03-27T00:00:00"/>
    <n v="0"/>
    <n v="0"/>
    <n v="0.5"/>
    <n v="0.33333333333333331"/>
  </r>
  <r>
    <n v="4306"/>
    <n v="30658"/>
    <x v="179"/>
    <x v="5"/>
    <s v="Medium"/>
    <n v="44"/>
    <n v="6040.22"/>
    <n v="0.05"/>
    <s v="Regular Air"/>
    <n v="-942.5"/>
    <n v="138.13999999999999"/>
    <n v="35"/>
    <x v="55"/>
    <x v="1"/>
    <x v="1"/>
    <x v="2"/>
    <x v="0"/>
    <x v="0"/>
    <x v="8"/>
    <s v="Large Box"/>
    <m/>
    <d v="2011-03-28T00:00:00"/>
    <n v="0"/>
    <n v="0"/>
    <n v="0.5"/>
    <n v="0.33333333333333331"/>
  </r>
  <r>
    <n v="4346"/>
    <n v="30947"/>
    <x v="180"/>
    <x v="42"/>
    <s v="Low"/>
    <n v="17"/>
    <n v="691.59"/>
    <n v="0.03"/>
    <s v="Regular Air"/>
    <n v="261.23899999999998"/>
    <n v="41.94"/>
    <n v="2.99"/>
    <x v="55"/>
    <x v="1"/>
    <x v="1"/>
    <x v="2"/>
    <x v="0"/>
    <x v="2"/>
    <x v="246"/>
    <s v="Small Box"/>
    <n v="0.35"/>
    <d v="2010-07-18T00:00:00"/>
    <n v="0"/>
    <n v="0"/>
    <n v="0.5"/>
    <n v="0.5"/>
  </r>
  <r>
    <n v="4347"/>
    <n v="30947"/>
    <x v="180"/>
    <x v="42"/>
    <s v="Low"/>
    <n v="45"/>
    <n v="345.2"/>
    <n v="0.01"/>
    <s v="Regular Air"/>
    <n v="183.53"/>
    <n v="7.31"/>
    <n v="0.49"/>
    <x v="55"/>
    <x v="1"/>
    <x v="1"/>
    <x v="2"/>
    <x v="0"/>
    <x v="11"/>
    <x v="31"/>
    <s v="Small Box"/>
    <n v="0.38"/>
    <d v="2010-07-18T00:00:00"/>
    <n v="0"/>
    <n v="0"/>
    <n v="0.5"/>
    <n v="0.5"/>
  </r>
  <r>
    <n v="4362"/>
    <n v="31077"/>
    <x v="181"/>
    <x v="0"/>
    <s v="Not Specified"/>
    <n v="36"/>
    <n v="1955.0765000000001"/>
    <n v="0.06"/>
    <s v="Regular Air"/>
    <n v="470.82599999999996"/>
    <n v="65.989999999999995"/>
    <n v="3.9"/>
    <x v="49"/>
    <x v="1"/>
    <x v="1"/>
    <x v="0"/>
    <x v="1"/>
    <x v="3"/>
    <x v="247"/>
    <s v="Small Box"/>
    <n v="0.55000000000000004"/>
    <d v="2010-10-25T00:00:00"/>
    <n v="0"/>
    <n v="0"/>
    <n v="1"/>
    <n v="1"/>
  </r>
  <r>
    <n v="4369"/>
    <n v="31111"/>
    <x v="182"/>
    <x v="26"/>
    <s v="Not Specified"/>
    <n v="27"/>
    <n v="217.93"/>
    <n v="0.03"/>
    <s v="Regular Air"/>
    <n v="-29.02"/>
    <n v="7.64"/>
    <n v="5.83"/>
    <x v="5"/>
    <x v="1"/>
    <x v="1"/>
    <x v="2"/>
    <x v="0"/>
    <x v="5"/>
    <x v="248"/>
    <s v="Wrap Bag"/>
    <n v="0.36"/>
    <d v="2009-08-26T00:00:00"/>
    <n v="0"/>
    <n v="0"/>
    <n v="1"/>
    <n v="1"/>
  </r>
  <r>
    <n v="4372"/>
    <n v="31169"/>
    <x v="183"/>
    <x v="4"/>
    <s v="Low"/>
    <n v="6"/>
    <n v="254.76"/>
    <n v="0.06"/>
    <s v="Regular Air"/>
    <n v="109.88"/>
    <n v="40.97"/>
    <n v="14.45"/>
    <x v="29"/>
    <x v="1"/>
    <x v="1"/>
    <x v="3"/>
    <x v="2"/>
    <x v="4"/>
    <x v="194"/>
    <s v="Large Box"/>
    <n v="0.56999999999999995"/>
    <d v="2011-06-13T00:00:00"/>
    <n v="0"/>
    <n v="0"/>
    <n v="1"/>
    <n v="0.5"/>
  </r>
  <r>
    <n v="4390"/>
    <n v="31270"/>
    <x v="184"/>
    <x v="32"/>
    <s v="Medium"/>
    <n v="21"/>
    <n v="6806.66"/>
    <n v="0"/>
    <s v="Delivery Truck"/>
    <n v="801.72"/>
    <n v="299.05"/>
    <n v="87.01"/>
    <x v="29"/>
    <x v="1"/>
    <x v="1"/>
    <x v="2"/>
    <x v="2"/>
    <x v="14"/>
    <x v="249"/>
    <s v="Jumbo Drum"/>
    <n v="0.56999999999999995"/>
    <d v="2012-11-24T00:00:00"/>
    <n v="0"/>
    <n v="0"/>
    <n v="0.33333333333333331"/>
    <n v="0.33333333333333331"/>
  </r>
  <r>
    <n v="4391"/>
    <n v="31270"/>
    <x v="184"/>
    <x v="32"/>
    <s v="Medium"/>
    <n v="3"/>
    <n v="891.61"/>
    <n v="0.1"/>
    <s v="Delivery Truck"/>
    <n v="-328.36"/>
    <n v="291.73"/>
    <n v="48.8"/>
    <x v="29"/>
    <x v="1"/>
    <x v="1"/>
    <x v="2"/>
    <x v="2"/>
    <x v="14"/>
    <x v="250"/>
    <s v="Jumbo Drum"/>
    <n v="0.56000000000000005"/>
    <d v="2012-11-25T00:00:00"/>
    <n v="0"/>
    <n v="0"/>
    <n v="0.33333333333333331"/>
    <n v="0.33333333333333331"/>
  </r>
  <r>
    <n v="4392"/>
    <n v="31270"/>
    <x v="184"/>
    <x v="32"/>
    <s v="Medium"/>
    <n v="5"/>
    <n v="165.04"/>
    <n v="0.03"/>
    <s v="Regular Air"/>
    <n v="-112.44"/>
    <n v="30.42"/>
    <n v="8.65"/>
    <x v="29"/>
    <x v="1"/>
    <x v="1"/>
    <x v="2"/>
    <x v="1"/>
    <x v="7"/>
    <x v="251"/>
    <s v="Small Box"/>
    <n v="0.74"/>
    <d v="2012-11-25T00:00:00"/>
    <n v="0"/>
    <n v="0"/>
    <n v="0.33333333333333331"/>
    <n v="0.33333333333333331"/>
  </r>
  <r>
    <n v="4401"/>
    <n v="31364"/>
    <x v="185"/>
    <x v="43"/>
    <s v="Not Specified"/>
    <n v="2"/>
    <n v="789.01"/>
    <n v="7.0000000000000007E-2"/>
    <s v="Regular Air"/>
    <n v="-539.59"/>
    <n v="415.88"/>
    <n v="11.37"/>
    <x v="27"/>
    <x v="1"/>
    <x v="1"/>
    <x v="2"/>
    <x v="0"/>
    <x v="0"/>
    <x v="236"/>
    <s v="Small Box"/>
    <n v="0.56999999999999995"/>
    <d v="2009-05-01T00:00:00"/>
    <n v="0"/>
    <n v="0"/>
    <n v="1"/>
    <n v="1"/>
  </r>
  <r>
    <n v="4404"/>
    <n v="31393"/>
    <x v="186"/>
    <x v="20"/>
    <s v="Critical"/>
    <n v="4"/>
    <n v="97.57"/>
    <n v="0.04"/>
    <s v="Regular Air"/>
    <n v="-27.31"/>
    <n v="19.940000000000001"/>
    <n v="14.87"/>
    <x v="60"/>
    <x v="1"/>
    <x v="1"/>
    <x v="2"/>
    <x v="2"/>
    <x v="4"/>
    <x v="252"/>
    <s v="Large Box"/>
    <n v="0.56999999999999995"/>
    <d v="2012-05-12T00:00:00"/>
    <n v="0"/>
    <n v="0"/>
    <n v="0.5"/>
    <n v="0.5"/>
  </r>
  <r>
    <n v="4405"/>
    <n v="31393"/>
    <x v="186"/>
    <x v="20"/>
    <s v="Critical"/>
    <n v="31"/>
    <n v="110.32"/>
    <n v="0.09"/>
    <s v="Regular Air"/>
    <n v="-32.65"/>
    <n v="3.68"/>
    <n v="1.32"/>
    <x v="60"/>
    <x v="1"/>
    <x v="1"/>
    <x v="2"/>
    <x v="0"/>
    <x v="15"/>
    <x v="144"/>
    <s v="Wrap Bag"/>
    <n v="0.83"/>
    <d v="2012-05-13T00:00:00"/>
    <n v="0"/>
    <n v="0"/>
    <n v="0.5"/>
    <n v="0.5"/>
  </r>
  <r>
    <n v="4411"/>
    <n v="31492"/>
    <x v="187"/>
    <x v="0"/>
    <s v="Critical"/>
    <n v="26"/>
    <n v="321.68"/>
    <n v="0.04"/>
    <s v="Regular Air"/>
    <n v="-12.25"/>
    <n v="11.97"/>
    <n v="4.9800000000000004"/>
    <x v="23"/>
    <x v="1"/>
    <x v="1"/>
    <x v="0"/>
    <x v="0"/>
    <x v="1"/>
    <x v="165"/>
    <s v="Small Box"/>
    <n v="0.57999999999999996"/>
    <d v="2010-10-17T00:00:00"/>
    <n v="0"/>
    <n v="0"/>
    <n v="0.33333333333333331"/>
    <n v="0.33333333333333331"/>
  </r>
  <r>
    <n v="4412"/>
    <n v="31492"/>
    <x v="187"/>
    <x v="0"/>
    <s v="Critical"/>
    <n v="34"/>
    <n v="971.95"/>
    <n v="0.09"/>
    <s v="Express Air"/>
    <n v="-21.1"/>
    <n v="29.74"/>
    <n v="6.64"/>
    <x v="23"/>
    <x v="1"/>
    <x v="1"/>
    <x v="0"/>
    <x v="0"/>
    <x v="0"/>
    <x v="253"/>
    <s v="Small Box"/>
    <n v="0.7"/>
    <d v="2010-10-18T00:00:00"/>
    <n v="0"/>
    <n v="0"/>
    <n v="0.33333333333333331"/>
    <n v="0.33333333333333331"/>
  </r>
  <r>
    <n v="4413"/>
    <n v="31492"/>
    <x v="187"/>
    <x v="0"/>
    <s v="Critical"/>
    <n v="23"/>
    <n v="2149.0300000000002"/>
    <n v="0.03"/>
    <s v="Regular Air"/>
    <n v="-235.56"/>
    <n v="95.43"/>
    <n v="19.989999999999998"/>
    <x v="23"/>
    <x v="1"/>
    <x v="1"/>
    <x v="0"/>
    <x v="0"/>
    <x v="0"/>
    <x v="254"/>
    <s v="Small Box"/>
    <n v="0.79"/>
    <d v="2010-10-16T00:00:00"/>
    <n v="0"/>
    <n v="0"/>
    <n v="0.33333333333333331"/>
    <n v="0.33333333333333331"/>
  </r>
  <r>
    <n v="4429"/>
    <n v="31558"/>
    <x v="188"/>
    <x v="2"/>
    <s v="Low"/>
    <n v="12"/>
    <n v="3671.3"/>
    <n v="0.04"/>
    <s v="Regular Air"/>
    <n v="900.06"/>
    <n v="300.64999999999998"/>
    <n v="24.49"/>
    <x v="47"/>
    <x v="1"/>
    <x v="1"/>
    <x v="3"/>
    <x v="0"/>
    <x v="1"/>
    <x v="255"/>
    <s v="Large Box"/>
    <n v="0.52"/>
    <d v="2011-07-28T00:00:00"/>
    <n v="0"/>
    <n v="0"/>
    <n v="0.5"/>
    <n v="0.5"/>
  </r>
  <r>
    <n v="4430"/>
    <n v="31558"/>
    <x v="188"/>
    <x v="2"/>
    <s v="Low"/>
    <n v="42"/>
    <n v="1763.6"/>
    <n v="0.08"/>
    <s v="Regular Air"/>
    <n v="455.37"/>
    <n v="45.19"/>
    <n v="1.99"/>
    <x v="47"/>
    <x v="1"/>
    <x v="1"/>
    <x v="3"/>
    <x v="1"/>
    <x v="7"/>
    <x v="256"/>
    <s v="Small Pack"/>
    <n v="0.55000000000000004"/>
    <d v="2011-07-23T00:00:00"/>
    <n v="0"/>
    <n v="0"/>
    <n v="0.5"/>
    <n v="0.5"/>
  </r>
  <r>
    <n v="4437"/>
    <n v="31618"/>
    <x v="189"/>
    <x v="2"/>
    <s v="Critical"/>
    <n v="14"/>
    <n v="403.17"/>
    <n v="0.02"/>
    <s v="Regular Air"/>
    <n v="147.4495"/>
    <n v="28.53"/>
    <n v="1.49"/>
    <x v="58"/>
    <x v="1"/>
    <x v="1"/>
    <x v="2"/>
    <x v="0"/>
    <x v="2"/>
    <x v="257"/>
    <s v="Small Box"/>
    <n v="0.38"/>
    <d v="2011-07-11T00:00:00"/>
    <n v="0"/>
    <n v="0"/>
    <n v="1"/>
    <n v="1"/>
  </r>
  <r>
    <n v="4446"/>
    <n v="31684"/>
    <x v="190"/>
    <x v="34"/>
    <s v="Critical"/>
    <n v="15"/>
    <n v="89.97"/>
    <n v="0.02"/>
    <s v="Regular Air"/>
    <n v="23.48"/>
    <n v="5.68"/>
    <n v="1.46"/>
    <x v="61"/>
    <x v="1"/>
    <x v="1"/>
    <x v="2"/>
    <x v="0"/>
    <x v="5"/>
    <x v="258"/>
    <s v="Wrap Bag"/>
    <n v="0.39"/>
    <d v="2012-09-19T00:00:00"/>
    <n v="0"/>
    <n v="0"/>
    <n v="0.5"/>
    <n v="0.5"/>
  </r>
  <r>
    <n v="4447"/>
    <n v="31684"/>
    <x v="190"/>
    <x v="34"/>
    <s v="Critical"/>
    <n v="28"/>
    <n v="456.91"/>
    <n v="0.04"/>
    <s v="Express Air"/>
    <n v="-328.18"/>
    <n v="15.51"/>
    <n v="17.78"/>
    <x v="61"/>
    <x v="1"/>
    <x v="1"/>
    <x v="2"/>
    <x v="0"/>
    <x v="0"/>
    <x v="259"/>
    <s v="Small Box"/>
    <n v="0.59"/>
    <d v="2012-09-18T00:00:00"/>
    <n v="0"/>
    <n v="0"/>
    <n v="0.5"/>
    <n v="0.5"/>
  </r>
  <r>
    <n v="4459"/>
    <n v="31781"/>
    <x v="191"/>
    <x v="22"/>
    <s v="Medium"/>
    <n v="46"/>
    <n v="249.02"/>
    <n v="0.1"/>
    <s v="Regular Air"/>
    <n v="-282.61250000000001"/>
    <n v="5.81"/>
    <n v="8.49"/>
    <x v="11"/>
    <x v="1"/>
    <x v="1"/>
    <x v="2"/>
    <x v="0"/>
    <x v="2"/>
    <x v="106"/>
    <s v="Small Box"/>
    <n v="0.39"/>
    <d v="2009-01-17T00:00:00"/>
    <n v="0"/>
    <n v="1"/>
    <n v="0.5"/>
    <n v="0.5"/>
  </r>
  <r>
    <n v="4460"/>
    <n v="31781"/>
    <x v="191"/>
    <x v="22"/>
    <s v="Medium"/>
    <n v="41"/>
    <n v="78.489999999999995"/>
    <n v="0.03"/>
    <s v="Regular Air"/>
    <n v="5.53"/>
    <n v="1.81"/>
    <n v="0.75"/>
    <x v="11"/>
    <x v="1"/>
    <x v="1"/>
    <x v="2"/>
    <x v="0"/>
    <x v="6"/>
    <x v="260"/>
    <s v="Wrap Bag"/>
    <n v="0.52"/>
    <d v="2009-01-17T00:00:00"/>
    <n v="0"/>
    <n v="1"/>
    <n v="0.5"/>
    <n v="0.5"/>
  </r>
  <r>
    <n v="4524"/>
    <n v="32193"/>
    <x v="192"/>
    <x v="0"/>
    <s v="Low"/>
    <n v="4"/>
    <n v="40.72"/>
    <n v="0.1"/>
    <s v="Express Air"/>
    <n v="-10.25"/>
    <n v="6.68"/>
    <n v="6.93"/>
    <x v="48"/>
    <x v="1"/>
    <x v="1"/>
    <x v="0"/>
    <x v="0"/>
    <x v="5"/>
    <x v="261"/>
    <s v="Small Box"/>
    <n v="0.37"/>
    <d v="2010-10-22T00:00:00"/>
    <n v="0"/>
    <n v="0"/>
    <n v="0.5"/>
    <n v="0.5"/>
  </r>
  <r>
    <n v="4525"/>
    <n v="32193"/>
    <x v="192"/>
    <x v="0"/>
    <s v="Low"/>
    <n v="27"/>
    <n v="113.3"/>
    <n v="0.02"/>
    <s v="Regular Air"/>
    <n v="37.33"/>
    <n v="3.93"/>
    <n v="0.99"/>
    <x v="48"/>
    <x v="1"/>
    <x v="1"/>
    <x v="0"/>
    <x v="0"/>
    <x v="6"/>
    <x v="262"/>
    <s v="Wrap Bag"/>
    <n v="0.39"/>
    <d v="2010-10-25T00:00:00"/>
    <n v="0"/>
    <n v="0"/>
    <n v="0.5"/>
    <n v="0.5"/>
  </r>
  <r>
    <n v="4532"/>
    <n v="32229"/>
    <x v="81"/>
    <x v="3"/>
    <s v="High"/>
    <n v="8"/>
    <n v="1219.19"/>
    <n v="0.02"/>
    <s v="Regular Air"/>
    <n v="44.369999999999948"/>
    <n v="150.97999999999999"/>
    <n v="13.99"/>
    <x v="8"/>
    <x v="1"/>
    <x v="1"/>
    <x v="2"/>
    <x v="1"/>
    <x v="16"/>
    <x v="221"/>
    <s v="Medium Box"/>
    <n v="0.38"/>
    <d v="2010-08-30T00:00:00"/>
    <n v="0"/>
    <n v="0"/>
    <n v="0.5"/>
    <n v="0.5"/>
  </r>
  <r>
    <n v="4533"/>
    <n v="32229"/>
    <x v="81"/>
    <x v="3"/>
    <s v="High"/>
    <n v="15"/>
    <n v="28.68"/>
    <n v="0"/>
    <s v="Regular Air"/>
    <n v="-0.12"/>
    <n v="1.76"/>
    <n v="0.7"/>
    <x v="8"/>
    <x v="1"/>
    <x v="1"/>
    <x v="2"/>
    <x v="0"/>
    <x v="12"/>
    <x v="263"/>
    <s v="Wrap Bag"/>
    <n v="0.56000000000000005"/>
    <d v="2010-08-31T00:00:00"/>
    <n v="0"/>
    <n v="0"/>
    <n v="0.5"/>
    <n v="0.5"/>
  </r>
  <r>
    <n v="4599"/>
    <n v="32743"/>
    <x v="193"/>
    <x v="39"/>
    <s v="Critical"/>
    <n v="19"/>
    <n v="3548.67"/>
    <n v="0.01"/>
    <s v="Regular Air"/>
    <n v="1280.19"/>
    <n v="177.98"/>
    <n v="0.99"/>
    <x v="16"/>
    <x v="1"/>
    <x v="1"/>
    <x v="2"/>
    <x v="0"/>
    <x v="1"/>
    <x v="264"/>
    <s v="Small Box"/>
    <n v="0.56000000000000005"/>
    <d v="2010-05-09T00:00:00"/>
    <n v="0"/>
    <n v="0"/>
    <n v="1"/>
    <n v="1"/>
  </r>
  <r>
    <n v="4607"/>
    <n v="32806"/>
    <x v="194"/>
    <x v="4"/>
    <s v="Critical"/>
    <n v="8"/>
    <n v="178.78"/>
    <n v="0.02"/>
    <s v="Regular Air"/>
    <n v="-28.34"/>
    <n v="20.239999999999998"/>
    <n v="8.99"/>
    <x v="19"/>
    <x v="1"/>
    <x v="1"/>
    <x v="3"/>
    <x v="2"/>
    <x v="4"/>
    <x v="265"/>
    <s v="Small Pack"/>
    <n v="0.46"/>
    <d v="2011-06-22T00:00:00"/>
    <n v="0"/>
    <n v="0"/>
    <n v="0.33333333333333331"/>
    <n v="0.5"/>
  </r>
  <r>
    <n v="4651"/>
    <n v="33123"/>
    <x v="195"/>
    <x v="7"/>
    <s v="Medium"/>
    <n v="41"/>
    <n v="6045.98"/>
    <n v="0.08"/>
    <s v="Delivery Truck"/>
    <n v="-996.67"/>
    <n v="150.97999999999999"/>
    <n v="66.27"/>
    <x v="58"/>
    <x v="1"/>
    <x v="1"/>
    <x v="2"/>
    <x v="2"/>
    <x v="9"/>
    <x v="207"/>
    <s v="Jumbo Box"/>
    <n v="0.65"/>
    <d v="2010-11-26T00:00:00"/>
    <n v="0"/>
    <n v="0"/>
    <n v="1"/>
    <n v="1"/>
  </r>
  <r>
    <n v="4656"/>
    <n v="33159"/>
    <x v="196"/>
    <x v="13"/>
    <s v="Medium"/>
    <n v="3"/>
    <n v="56.695"/>
    <n v="0.01"/>
    <s v="Regular Air"/>
    <n v="-70.971999999999994"/>
    <n v="20.99"/>
    <n v="0.99"/>
    <x v="60"/>
    <x v="1"/>
    <x v="1"/>
    <x v="2"/>
    <x v="1"/>
    <x v="3"/>
    <x v="163"/>
    <s v="Wrap Bag"/>
    <n v="0.37"/>
    <d v="2012-04-29T00:00:00"/>
    <n v="0"/>
    <n v="0"/>
    <n v="1"/>
    <n v="1"/>
  </r>
  <r>
    <n v="4659"/>
    <n v="33186"/>
    <x v="110"/>
    <x v="9"/>
    <s v="Low"/>
    <n v="24"/>
    <n v="1350.5309999999999"/>
    <n v="0.01"/>
    <s v="Regular Air"/>
    <n v="221.184"/>
    <n v="65.989999999999995"/>
    <n v="5.26"/>
    <x v="26"/>
    <x v="1"/>
    <x v="1"/>
    <x v="2"/>
    <x v="1"/>
    <x v="3"/>
    <x v="266"/>
    <s v="Small Box"/>
    <n v="0.56000000000000005"/>
    <d v="2012-08-30T00:00:00"/>
    <n v="0"/>
    <n v="0"/>
    <n v="1"/>
    <n v="1"/>
  </r>
  <r>
    <n v="4687"/>
    <n v="33377"/>
    <x v="197"/>
    <x v="2"/>
    <s v="High"/>
    <n v="20"/>
    <n v="100.4"/>
    <n v="0.06"/>
    <s v="Regular Air"/>
    <n v="11.94"/>
    <n v="5.18"/>
    <n v="2.04"/>
    <x v="27"/>
    <x v="1"/>
    <x v="1"/>
    <x v="2"/>
    <x v="0"/>
    <x v="5"/>
    <x v="267"/>
    <s v="Wrap Bag"/>
    <n v="0.36"/>
    <d v="2011-08-02T00:00:00"/>
    <n v="0"/>
    <n v="0"/>
    <n v="0.5"/>
    <n v="0.33333333333333331"/>
  </r>
  <r>
    <n v="4688"/>
    <n v="33377"/>
    <x v="197"/>
    <x v="2"/>
    <s v="High"/>
    <n v="19"/>
    <n v="327.14999999999998"/>
    <n v="0.04"/>
    <s v="Regular Air"/>
    <n v="47.3"/>
    <n v="17.239999999999998"/>
    <n v="3.26"/>
    <x v="27"/>
    <x v="1"/>
    <x v="1"/>
    <x v="2"/>
    <x v="0"/>
    <x v="15"/>
    <x v="268"/>
    <s v="Small Pack"/>
    <n v="0.56000000000000005"/>
    <d v="2011-08-01T00:00:00"/>
    <n v="0"/>
    <n v="0"/>
    <n v="0.5"/>
    <n v="0.33333333333333331"/>
  </r>
  <r>
    <n v="4691"/>
    <n v="33444"/>
    <x v="198"/>
    <x v="1"/>
    <s v="Medium"/>
    <n v="11"/>
    <n v="30.51"/>
    <n v="0.09"/>
    <s v="Regular Air"/>
    <n v="-17.68"/>
    <n v="2.6"/>
    <n v="2.4"/>
    <x v="17"/>
    <x v="1"/>
    <x v="1"/>
    <x v="2"/>
    <x v="0"/>
    <x v="12"/>
    <x v="269"/>
    <s v="Wrap Bag"/>
    <n v="0.57999999999999996"/>
    <d v="2012-10-07T00:00:00"/>
    <n v="0"/>
    <n v="0"/>
    <n v="0.5"/>
    <n v="0.5"/>
  </r>
  <r>
    <n v="4692"/>
    <n v="33444"/>
    <x v="198"/>
    <x v="1"/>
    <s v="Medium"/>
    <n v="8"/>
    <n v="127.8"/>
    <n v="7.0000000000000007E-2"/>
    <s v="Regular Air"/>
    <n v="-30.48"/>
    <n v="14.97"/>
    <n v="7.51"/>
    <x v="17"/>
    <x v="1"/>
    <x v="1"/>
    <x v="2"/>
    <x v="0"/>
    <x v="0"/>
    <x v="270"/>
    <s v="Small Box"/>
    <n v="0.56999999999999995"/>
    <d v="2012-10-08T00:00:00"/>
    <n v="0"/>
    <n v="0"/>
    <n v="0.5"/>
    <n v="0.5"/>
  </r>
  <r>
    <n v="4738"/>
    <n v="33703"/>
    <x v="199"/>
    <x v="6"/>
    <s v="Not Specified"/>
    <n v="4"/>
    <n v="242.36"/>
    <n v="0.08"/>
    <s v="Regular Air"/>
    <n v="-131.47999999999999"/>
    <n v="60.98"/>
    <n v="1.99"/>
    <x v="13"/>
    <x v="1"/>
    <x v="1"/>
    <x v="2"/>
    <x v="1"/>
    <x v="7"/>
    <x v="271"/>
    <s v="Small Pack"/>
    <n v="0.5"/>
    <d v="2010-02-07T00:00:00"/>
    <n v="0"/>
    <n v="0"/>
    <n v="0.33333333333333331"/>
    <n v="0.33333333333333331"/>
  </r>
  <r>
    <n v="4739"/>
    <n v="33703"/>
    <x v="199"/>
    <x v="6"/>
    <s v="Not Specified"/>
    <n v="25"/>
    <n v="802.19"/>
    <n v="0"/>
    <s v="Regular Air"/>
    <n v="56.26"/>
    <n v="29.74"/>
    <n v="6.64"/>
    <x v="13"/>
    <x v="1"/>
    <x v="1"/>
    <x v="2"/>
    <x v="0"/>
    <x v="0"/>
    <x v="253"/>
    <s v="Small Box"/>
    <n v="0.7"/>
    <d v="2010-02-07T00:00:00"/>
    <n v="0"/>
    <n v="0"/>
    <n v="0.33333333333333331"/>
    <n v="0.33333333333333331"/>
  </r>
  <r>
    <n v="4740"/>
    <n v="33703"/>
    <x v="199"/>
    <x v="6"/>
    <s v="Not Specified"/>
    <n v="4"/>
    <n v="63.52"/>
    <n v="0.08"/>
    <s v="Express Air"/>
    <n v="-8.4700000000000006"/>
    <n v="12.21"/>
    <n v="4.8099999999999996"/>
    <x v="13"/>
    <x v="1"/>
    <x v="1"/>
    <x v="2"/>
    <x v="0"/>
    <x v="0"/>
    <x v="272"/>
    <s v="Small Box"/>
    <n v="0.57999999999999996"/>
    <d v="2010-02-08T00:00:00"/>
    <n v="0"/>
    <n v="0"/>
    <n v="0.33333333333333331"/>
    <n v="0.33333333333333331"/>
  </r>
  <r>
    <n v="4746"/>
    <n v="33734"/>
    <x v="200"/>
    <x v="17"/>
    <s v="Not Specified"/>
    <n v="13"/>
    <n v="371.94"/>
    <n v="0.05"/>
    <s v="Regular Air"/>
    <n v="106.53"/>
    <n v="29.14"/>
    <n v="4.8600000000000003"/>
    <x v="41"/>
    <x v="1"/>
    <x v="1"/>
    <x v="2"/>
    <x v="0"/>
    <x v="5"/>
    <x v="273"/>
    <s v="Wrap Bag"/>
    <n v="0.38"/>
    <d v="2011-10-18T00:00:00"/>
    <n v="0"/>
    <n v="0"/>
    <n v="1"/>
    <n v="1"/>
  </r>
  <r>
    <n v="4763"/>
    <n v="33888"/>
    <x v="201"/>
    <x v="26"/>
    <s v="Not Specified"/>
    <n v="31"/>
    <n v="349.43"/>
    <n v="0.04"/>
    <s v="Regular Air"/>
    <n v="-44.919000000000004"/>
    <n v="11.5"/>
    <n v="7.19"/>
    <x v="51"/>
    <x v="1"/>
    <x v="1"/>
    <x v="3"/>
    <x v="0"/>
    <x v="2"/>
    <x v="274"/>
    <s v="Small Box"/>
    <n v="0.4"/>
    <d v="2009-08-23T00:00:00"/>
    <n v="0"/>
    <n v="0"/>
    <n v="0.33333333333333331"/>
    <n v="0.33333333333333331"/>
  </r>
  <r>
    <n v="4764"/>
    <n v="33888"/>
    <x v="201"/>
    <x v="26"/>
    <s v="Not Specified"/>
    <n v="3"/>
    <n v="58.33"/>
    <n v="0.02"/>
    <s v="Regular Air"/>
    <n v="-35.08"/>
    <n v="15.7"/>
    <n v="11.25"/>
    <x v="51"/>
    <x v="1"/>
    <x v="1"/>
    <x v="3"/>
    <x v="0"/>
    <x v="0"/>
    <x v="101"/>
    <s v="Small Box"/>
    <n v="0.6"/>
    <d v="2009-08-21T00:00:00"/>
    <n v="0"/>
    <n v="0"/>
    <n v="0.33333333333333331"/>
    <n v="0.33333333333333331"/>
  </r>
  <r>
    <n v="4765"/>
    <n v="33888"/>
    <x v="201"/>
    <x v="26"/>
    <s v="Not Specified"/>
    <n v="47"/>
    <n v="10377.219999999999"/>
    <n v="0.05"/>
    <s v="Delivery Truck"/>
    <n v="965.48"/>
    <n v="225.02"/>
    <n v="28.66"/>
    <x v="51"/>
    <x v="1"/>
    <x v="1"/>
    <x v="3"/>
    <x v="0"/>
    <x v="0"/>
    <x v="275"/>
    <s v="Jumbo Drum"/>
    <n v="0.72"/>
    <d v="2009-08-22T00:00:00"/>
    <n v="0"/>
    <n v="0"/>
    <n v="0.33333333333333331"/>
    <n v="0.33333333333333331"/>
  </r>
  <r>
    <n v="4772"/>
    <n v="33894"/>
    <x v="202"/>
    <x v="30"/>
    <s v="Critical"/>
    <n v="14"/>
    <n v="140.66"/>
    <n v="0"/>
    <s v="Regular Air"/>
    <n v="11.34"/>
    <n v="9.27"/>
    <n v="4.3899999999999997"/>
    <x v="40"/>
    <x v="1"/>
    <x v="1"/>
    <x v="2"/>
    <x v="0"/>
    <x v="5"/>
    <x v="276"/>
    <s v="Wrap Bag"/>
    <n v="0.38"/>
    <d v="2010-06-17T00:00:00"/>
    <n v="0"/>
    <n v="0"/>
    <n v="0.25"/>
    <n v="0.25"/>
  </r>
  <r>
    <n v="4773"/>
    <n v="33894"/>
    <x v="202"/>
    <x v="30"/>
    <s v="Critical"/>
    <n v="5"/>
    <n v="42.89"/>
    <n v="0.02"/>
    <s v="Regular Air"/>
    <n v="-32.479999999999997"/>
    <n v="6.84"/>
    <n v="8.3699999999999992"/>
    <x v="40"/>
    <x v="1"/>
    <x v="1"/>
    <x v="2"/>
    <x v="0"/>
    <x v="15"/>
    <x v="277"/>
    <s v="Small Pack"/>
    <n v="0.57999999999999996"/>
    <d v="2010-06-15T00:00:00"/>
    <n v="0"/>
    <n v="0"/>
    <n v="0.25"/>
    <n v="0.25"/>
  </r>
  <r>
    <n v="4774"/>
    <n v="33894"/>
    <x v="202"/>
    <x v="30"/>
    <s v="Critical"/>
    <n v="48"/>
    <n v="226.5"/>
    <n v="0.09"/>
    <s v="Regular Air"/>
    <n v="-173.15"/>
    <n v="4.9800000000000004"/>
    <n v="4.62"/>
    <x v="40"/>
    <x v="1"/>
    <x v="1"/>
    <x v="2"/>
    <x v="1"/>
    <x v="7"/>
    <x v="278"/>
    <s v="Small Pack"/>
    <n v="0.64"/>
    <d v="2010-06-16T00:00:00"/>
    <n v="0"/>
    <n v="0"/>
    <n v="0.25"/>
    <n v="0.25"/>
  </r>
  <r>
    <n v="4775"/>
    <n v="33894"/>
    <x v="202"/>
    <x v="30"/>
    <s v="Critical"/>
    <n v="13"/>
    <n v="438.93"/>
    <n v="0.04"/>
    <s v="Express Air"/>
    <n v="-119.02"/>
    <n v="32.979999999999997"/>
    <n v="5.5"/>
    <x v="40"/>
    <x v="1"/>
    <x v="1"/>
    <x v="2"/>
    <x v="1"/>
    <x v="7"/>
    <x v="279"/>
    <s v="Small Box"/>
    <n v="0.75"/>
    <d v="2010-06-16T00:00:00"/>
    <n v="0"/>
    <n v="0"/>
    <n v="0.25"/>
    <n v="0.25"/>
  </r>
  <r>
    <n v="4777"/>
    <n v="33922"/>
    <x v="203"/>
    <x v="6"/>
    <s v="Not Specified"/>
    <n v="31"/>
    <n v="15251.5"/>
    <n v="0.06"/>
    <s v="Delivery Truck"/>
    <n v="5353.19"/>
    <n v="500.97"/>
    <n v="69.3"/>
    <x v="8"/>
    <x v="1"/>
    <x v="1"/>
    <x v="3"/>
    <x v="1"/>
    <x v="16"/>
    <x v="280"/>
    <s v="Jumbo Drum"/>
    <n v="0.37"/>
    <d v="2010-02-27T00:00:00"/>
    <n v="0"/>
    <n v="0"/>
    <n v="1"/>
    <n v="1"/>
  </r>
  <r>
    <n v="4803"/>
    <n v="34177"/>
    <x v="204"/>
    <x v="26"/>
    <s v="High"/>
    <n v="13"/>
    <n v="34.42"/>
    <n v="0.02"/>
    <s v="Regular Air"/>
    <n v="9.4700000000000006"/>
    <n v="2.61"/>
    <n v="0.5"/>
    <x v="62"/>
    <x v="1"/>
    <x v="1"/>
    <x v="2"/>
    <x v="0"/>
    <x v="11"/>
    <x v="281"/>
    <s v="Small Box"/>
    <n v="0.39"/>
    <d v="2009-08-18T00:00:00"/>
    <n v="0"/>
    <n v="0"/>
    <n v="0.33333333333333331"/>
    <n v="0.33333333333333331"/>
  </r>
  <r>
    <n v="4804"/>
    <n v="34177"/>
    <x v="204"/>
    <x v="26"/>
    <s v="High"/>
    <n v="26"/>
    <n v="172.76"/>
    <n v="0.1"/>
    <s v="Regular Air"/>
    <n v="73.180000000000007"/>
    <n v="7.31"/>
    <n v="0.49"/>
    <x v="62"/>
    <x v="1"/>
    <x v="1"/>
    <x v="2"/>
    <x v="0"/>
    <x v="11"/>
    <x v="31"/>
    <s v="Small Box"/>
    <n v="0.38"/>
    <d v="2009-08-16T00:00:00"/>
    <n v="0"/>
    <n v="0"/>
    <n v="0.33333333333333331"/>
    <n v="0.33333333333333331"/>
  </r>
  <r>
    <n v="4805"/>
    <n v="34177"/>
    <x v="204"/>
    <x v="26"/>
    <s v="High"/>
    <n v="50"/>
    <n v="853.16200000000003"/>
    <n v="0.1"/>
    <s v="Regular Air"/>
    <n v="-83.951999999999998"/>
    <n v="20.99"/>
    <n v="2.5"/>
    <x v="62"/>
    <x v="1"/>
    <x v="1"/>
    <x v="2"/>
    <x v="1"/>
    <x v="3"/>
    <x v="32"/>
    <s v="Wrap Bag"/>
    <n v="0.81"/>
    <d v="2009-08-16T00:00:00"/>
    <n v="0"/>
    <n v="0"/>
    <n v="0.33333333333333331"/>
    <n v="0.33333333333333331"/>
  </r>
  <r>
    <n v="4812"/>
    <n v="34215"/>
    <x v="205"/>
    <x v="10"/>
    <s v="High"/>
    <n v="6"/>
    <n v="35.65"/>
    <n v="0.02"/>
    <s v="Regular Air"/>
    <n v="-5.9225000000000003"/>
    <n v="5.34"/>
    <n v="2.99"/>
    <x v="47"/>
    <x v="1"/>
    <x v="1"/>
    <x v="3"/>
    <x v="0"/>
    <x v="2"/>
    <x v="282"/>
    <s v="Small Box"/>
    <n v="0.38"/>
    <d v="2011-05-15T00:00:00"/>
    <n v="0"/>
    <n v="0"/>
    <n v="1"/>
    <n v="1"/>
  </r>
  <r>
    <n v="4820"/>
    <n v="34246"/>
    <x v="206"/>
    <x v="0"/>
    <s v="Critical"/>
    <n v="49"/>
    <n v="199.86"/>
    <n v="0.03"/>
    <s v="Regular Air"/>
    <n v="-257.11"/>
    <n v="4.0599999999999996"/>
    <n v="6.89"/>
    <x v="45"/>
    <x v="1"/>
    <x v="1"/>
    <x v="3"/>
    <x v="0"/>
    <x v="1"/>
    <x v="283"/>
    <s v="Small Box"/>
    <n v="0.6"/>
    <d v="2010-10-08T00:00:00"/>
    <n v="0"/>
    <n v="0"/>
    <n v="0.33333333333333331"/>
    <n v="0.33333333333333331"/>
  </r>
  <r>
    <n v="4821"/>
    <n v="34246"/>
    <x v="206"/>
    <x v="0"/>
    <s v="Critical"/>
    <n v="18"/>
    <n v="1888.02"/>
    <n v="0.03"/>
    <s v="Regular Air"/>
    <n v="192.33"/>
    <n v="99.99"/>
    <n v="19.989999999999998"/>
    <x v="45"/>
    <x v="1"/>
    <x v="1"/>
    <x v="3"/>
    <x v="1"/>
    <x v="16"/>
    <x v="284"/>
    <s v="Small Box"/>
    <n v="0.52"/>
    <d v="2010-10-08T00:00:00"/>
    <n v="0"/>
    <n v="0"/>
    <n v="0.33333333333333331"/>
    <n v="0.33333333333333331"/>
  </r>
  <r>
    <n v="4822"/>
    <n v="34246"/>
    <x v="206"/>
    <x v="0"/>
    <s v="Critical"/>
    <n v="27"/>
    <n v="322.69"/>
    <n v="0.01"/>
    <s v="Regular Air"/>
    <n v="1.91"/>
    <n v="11.58"/>
    <n v="6.97"/>
    <x v="45"/>
    <x v="1"/>
    <x v="1"/>
    <x v="3"/>
    <x v="0"/>
    <x v="8"/>
    <x v="188"/>
    <s v="Small Box"/>
    <n v="0.35"/>
    <d v="2010-10-09T00:00:00"/>
    <n v="0"/>
    <n v="0"/>
    <n v="0.33333333333333331"/>
    <n v="0.33333333333333331"/>
  </r>
  <r>
    <n v="4864"/>
    <n v="34631"/>
    <x v="207"/>
    <x v="19"/>
    <s v="Not Specified"/>
    <n v="5"/>
    <n v="22.06"/>
    <n v="0.06"/>
    <s v="Regular Air"/>
    <n v="-22.275500000000001"/>
    <n v="3.36"/>
    <n v="6.27"/>
    <x v="43"/>
    <x v="1"/>
    <x v="1"/>
    <x v="2"/>
    <x v="0"/>
    <x v="2"/>
    <x v="285"/>
    <s v="Small Box"/>
    <n v="0.4"/>
    <d v="2009-10-24T00:00:00"/>
    <n v="0"/>
    <n v="0"/>
    <n v="0.5"/>
    <n v="0.5"/>
  </r>
  <r>
    <n v="4865"/>
    <n v="34631"/>
    <x v="207"/>
    <x v="19"/>
    <s v="Not Specified"/>
    <n v="19"/>
    <n v="12616.2"/>
    <n v="7.0000000000000007E-2"/>
    <s v="Regular Air"/>
    <n v="2808.2190000000001"/>
    <n v="699.99"/>
    <n v="24.49"/>
    <x v="43"/>
    <x v="1"/>
    <x v="1"/>
    <x v="2"/>
    <x v="1"/>
    <x v="13"/>
    <x v="286"/>
    <s v="Large Box"/>
    <n v="0.41"/>
    <d v="2009-10-25T00:00:00"/>
    <n v="0"/>
    <n v="0"/>
    <n v="0.5"/>
    <n v="0.5"/>
  </r>
  <r>
    <n v="4929"/>
    <n v="35047"/>
    <x v="208"/>
    <x v="30"/>
    <s v="Medium"/>
    <n v="31"/>
    <n v="148.16999999999999"/>
    <n v="0"/>
    <s v="Regular Air"/>
    <n v="-7.06"/>
    <n v="4.71"/>
    <n v="0.7"/>
    <x v="56"/>
    <x v="1"/>
    <x v="1"/>
    <x v="3"/>
    <x v="0"/>
    <x v="6"/>
    <x v="287"/>
    <s v="Wrap Bag"/>
    <n v="0.85"/>
    <d v="2010-06-11T00:00:00"/>
    <n v="0"/>
    <n v="0"/>
    <n v="1"/>
    <n v="1"/>
  </r>
  <r>
    <n v="4957"/>
    <n v="35266"/>
    <x v="209"/>
    <x v="16"/>
    <s v="Not Specified"/>
    <n v="39"/>
    <n v="217.25"/>
    <n v="7.0000000000000007E-2"/>
    <s v="Regular Air"/>
    <n v="33.5"/>
    <n v="5.84"/>
    <n v="1.2"/>
    <x v="27"/>
    <x v="1"/>
    <x v="1"/>
    <x v="2"/>
    <x v="0"/>
    <x v="12"/>
    <x v="288"/>
    <s v="Wrap Bag"/>
    <n v="0.55000000000000004"/>
    <d v="2011-01-10T00:00:00"/>
    <n v="0"/>
    <n v="0"/>
    <n v="0.5"/>
    <n v="0.25"/>
  </r>
  <r>
    <n v="4958"/>
    <n v="35266"/>
    <x v="209"/>
    <x v="16"/>
    <s v="Not Specified"/>
    <n v="28"/>
    <n v="5993.74"/>
    <n v="7.0000000000000007E-2"/>
    <s v="Delivery Truck"/>
    <n v="-998.93700000000013"/>
    <n v="218.75"/>
    <n v="69.64"/>
    <x v="27"/>
    <x v="1"/>
    <x v="1"/>
    <x v="2"/>
    <x v="2"/>
    <x v="10"/>
    <x v="146"/>
    <s v="Jumbo Box"/>
    <n v="0.77"/>
    <d v="2011-01-12T00:00:00"/>
    <n v="0"/>
    <n v="0"/>
    <n v="0.5"/>
    <n v="0.25"/>
  </r>
  <r>
    <n v="5031"/>
    <n v="35847"/>
    <x v="33"/>
    <x v="22"/>
    <s v="Critical"/>
    <n v="23"/>
    <n v="361.65"/>
    <n v="0.08"/>
    <s v="Express Air"/>
    <n v="-144.27000000000001"/>
    <n v="15.98"/>
    <n v="8.99"/>
    <x v="20"/>
    <x v="1"/>
    <x v="1"/>
    <x v="2"/>
    <x v="1"/>
    <x v="7"/>
    <x v="289"/>
    <s v="Small Pack"/>
    <n v="0.64"/>
    <d v="2009-01-30T00:00:00"/>
    <n v="0"/>
    <n v="1"/>
    <n v="1"/>
    <n v="1"/>
  </r>
  <r>
    <n v="5048"/>
    <n v="36001"/>
    <x v="210"/>
    <x v="5"/>
    <s v="Low"/>
    <n v="45"/>
    <n v="1038.82"/>
    <n v="0.05"/>
    <s v="Regular Air"/>
    <n v="-78.361000000000004"/>
    <n v="22.38"/>
    <n v="15.1"/>
    <x v="29"/>
    <x v="1"/>
    <x v="1"/>
    <x v="3"/>
    <x v="0"/>
    <x v="2"/>
    <x v="290"/>
    <s v="Small Box"/>
    <n v="0.38"/>
    <d v="2011-03-30T00:00:00"/>
    <n v="0"/>
    <n v="0"/>
    <n v="0.5"/>
    <n v="0.5"/>
  </r>
  <r>
    <n v="5049"/>
    <n v="36001"/>
    <x v="210"/>
    <x v="5"/>
    <s v="Low"/>
    <n v="47"/>
    <n v="564.39"/>
    <n v="0.09"/>
    <s v="Regular Air"/>
    <n v="51.8245"/>
    <n v="12.95"/>
    <n v="4.9800000000000004"/>
    <x v="29"/>
    <x v="1"/>
    <x v="1"/>
    <x v="3"/>
    <x v="0"/>
    <x v="2"/>
    <x v="169"/>
    <s v="Small Box"/>
    <n v="0.4"/>
    <d v="2011-04-01T00:00:00"/>
    <n v="0"/>
    <n v="0"/>
    <n v="0.5"/>
    <n v="0.5"/>
  </r>
  <r>
    <n v="5074"/>
    <n v="36134"/>
    <x v="211"/>
    <x v="7"/>
    <s v="Low"/>
    <n v="6"/>
    <n v="826.97349999999994"/>
    <n v="0.01"/>
    <s v="Regular Air"/>
    <n v="-413.32499999999999"/>
    <n v="155.99"/>
    <n v="8.99"/>
    <x v="16"/>
    <x v="1"/>
    <x v="1"/>
    <x v="2"/>
    <x v="1"/>
    <x v="3"/>
    <x v="291"/>
    <s v="Small Box"/>
    <n v="0.55000000000000004"/>
    <d v="2010-11-22T00:00:00"/>
    <n v="0"/>
    <n v="0"/>
    <n v="1"/>
    <n v="1"/>
  </r>
  <r>
    <n v="5075"/>
    <n v="36135"/>
    <x v="10"/>
    <x v="10"/>
    <s v="Not Specified"/>
    <n v="33"/>
    <n v="999.22599999999989"/>
    <n v="0.02"/>
    <s v="Regular Air"/>
    <n v="381.16800000000001"/>
    <n v="35.99"/>
    <n v="3.3"/>
    <x v="37"/>
    <x v="1"/>
    <x v="1"/>
    <x v="1"/>
    <x v="1"/>
    <x v="3"/>
    <x v="292"/>
    <s v="Small Pack"/>
    <n v="0.39"/>
    <d v="2011-05-31T00:00:00"/>
    <n v="0"/>
    <n v="0"/>
    <n v="1"/>
    <n v="0.16666666666666666"/>
  </r>
  <r>
    <n v="5138"/>
    <n v="36644"/>
    <x v="212"/>
    <x v="20"/>
    <s v="High"/>
    <n v="24"/>
    <n v="2298.3200000000002"/>
    <n v="0.06"/>
    <s v="Regular Air"/>
    <n v="218.72"/>
    <n v="99.99"/>
    <n v="19.989999999999998"/>
    <x v="24"/>
    <x v="1"/>
    <x v="1"/>
    <x v="2"/>
    <x v="1"/>
    <x v="7"/>
    <x v="190"/>
    <s v="Small Box"/>
    <n v="0.5"/>
    <d v="2012-05-14T00:00:00"/>
    <n v="0"/>
    <n v="0"/>
    <n v="1"/>
    <n v="1"/>
  </r>
  <r>
    <n v="5139"/>
    <n v="36646"/>
    <x v="49"/>
    <x v="30"/>
    <s v="Medium"/>
    <n v="24"/>
    <n v="1168.1500000000001"/>
    <n v="0.04"/>
    <s v="Express Air"/>
    <n v="-743.96"/>
    <n v="48.91"/>
    <n v="35"/>
    <x v="0"/>
    <x v="1"/>
    <x v="1"/>
    <x v="0"/>
    <x v="0"/>
    <x v="0"/>
    <x v="293"/>
    <s v="Large Box"/>
    <n v="0.83"/>
    <d v="2010-06-09T00:00:00"/>
    <n v="0"/>
    <n v="0"/>
    <n v="1"/>
    <n v="1"/>
  </r>
  <r>
    <n v="5154"/>
    <n v="36707"/>
    <x v="213"/>
    <x v="11"/>
    <s v="Medium"/>
    <n v="47"/>
    <n v="181.78"/>
    <n v="0.02"/>
    <s v="Regular Air"/>
    <n v="71.56"/>
    <n v="3.78"/>
    <n v="0.71"/>
    <x v="56"/>
    <x v="1"/>
    <x v="1"/>
    <x v="3"/>
    <x v="0"/>
    <x v="6"/>
    <x v="294"/>
    <s v="Wrap Bag"/>
    <n v="0.39"/>
    <d v="2009-11-30T00:00:00"/>
    <n v="0"/>
    <n v="0"/>
    <n v="1"/>
    <n v="1"/>
  </r>
  <r>
    <n v="5236"/>
    <n v="37253"/>
    <x v="214"/>
    <x v="34"/>
    <s v="High"/>
    <n v="46"/>
    <n v="1184.32"/>
    <n v="0.09"/>
    <s v="Regular Air"/>
    <n v="-99.55"/>
    <n v="26.31"/>
    <n v="5.89"/>
    <x v="0"/>
    <x v="1"/>
    <x v="1"/>
    <x v="0"/>
    <x v="1"/>
    <x v="7"/>
    <x v="295"/>
    <s v="Small Box"/>
    <n v="0.75"/>
    <d v="2012-09-01T00:00:00"/>
    <n v="0"/>
    <n v="0"/>
    <n v="1"/>
    <n v="1"/>
  </r>
  <r>
    <n v="5275"/>
    <n v="37541"/>
    <x v="6"/>
    <x v="6"/>
    <s v="Medium"/>
    <n v="3"/>
    <n v="71.94"/>
    <n v="0.01"/>
    <s v="Regular Air"/>
    <n v="-70.680000000000007"/>
    <n v="20.95"/>
    <n v="5.99"/>
    <x v="9"/>
    <x v="1"/>
    <x v="1"/>
    <x v="0"/>
    <x v="1"/>
    <x v="7"/>
    <x v="124"/>
    <s v="Small Box"/>
    <n v="0.65"/>
    <d v="2010-02-28T00:00:00"/>
    <n v="0"/>
    <n v="0"/>
    <n v="0.33333333333333331"/>
    <n v="0.2"/>
  </r>
  <r>
    <n v="5276"/>
    <n v="37541"/>
    <x v="6"/>
    <x v="6"/>
    <s v="Medium"/>
    <n v="10"/>
    <n v="550.61"/>
    <n v="0.08"/>
    <s v="Express Air"/>
    <n v="98.32"/>
    <n v="55.98"/>
    <n v="13.88"/>
    <x v="9"/>
    <x v="1"/>
    <x v="1"/>
    <x v="0"/>
    <x v="0"/>
    <x v="5"/>
    <x v="296"/>
    <s v="Small Box"/>
    <n v="0.36"/>
    <d v="2010-02-27T00:00:00"/>
    <n v="0"/>
    <n v="0"/>
    <n v="0.33333333333333331"/>
    <n v="0.2"/>
  </r>
  <r>
    <n v="5277"/>
    <n v="37541"/>
    <x v="6"/>
    <x v="6"/>
    <s v="Medium"/>
    <n v="18"/>
    <n v="1373.11"/>
    <n v="0.1"/>
    <s v="Regular Air"/>
    <n v="-599.54"/>
    <n v="80.98"/>
    <n v="35"/>
    <x v="9"/>
    <x v="1"/>
    <x v="1"/>
    <x v="0"/>
    <x v="0"/>
    <x v="0"/>
    <x v="73"/>
    <s v="Large Box"/>
    <n v="0.81"/>
    <d v="2010-02-28T00:00:00"/>
    <n v="0"/>
    <n v="0"/>
    <n v="0.33333333333333331"/>
    <n v="0.2"/>
  </r>
  <r>
    <n v="5286"/>
    <n v="37634"/>
    <x v="215"/>
    <x v="20"/>
    <s v="Medium"/>
    <n v="32"/>
    <n v="368.18"/>
    <n v="7.0000000000000007E-2"/>
    <s v="Regular Air"/>
    <n v="-36.78"/>
    <n v="12.21"/>
    <n v="4.8099999999999996"/>
    <x v="43"/>
    <x v="1"/>
    <x v="1"/>
    <x v="2"/>
    <x v="0"/>
    <x v="0"/>
    <x v="272"/>
    <s v="Small Box"/>
    <n v="0.57999999999999996"/>
    <d v="2012-05-22T00:00:00"/>
    <n v="0"/>
    <n v="0"/>
    <n v="1"/>
    <n v="1"/>
  </r>
  <r>
    <n v="5312"/>
    <n v="37793"/>
    <x v="216"/>
    <x v="11"/>
    <s v="Not Specified"/>
    <n v="16"/>
    <n v="224.47"/>
    <n v="0.08"/>
    <s v="Regular Air"/>
    <n v="-49.31"/>
    <n v="13.9"/>
    <n v="7.59"/>
    <x v="24"/>
    <x v="1"/>
    <x v="1"/>
    <x v="2"/>
    <x v="0"/>
    <x v="15"/>
    <x v="297"/>
    <s v="Small Pack"/>
    <n v="0.56000000000000005"/>
    <d v="2009-11-09T00:00:00"/>
    <n v="0"/>
    <n v="0"/>
    <n v="1"/>
    <n v="1"/>
  </r>
  <r>
    <n v="5325"/>
    <n v="37860"/>
    <x v="217"/>
    <x v="3"/>
    <s v="Medium"/>
    <n v="1"/>
    <n v="104.85"/>
    <n v="7.0000000000000007E-2"/>
    <s v="Regular Air"/>
    <n v="-98.31"/>
    <n v="55.5"/>
    <n v="52.2"/>
    <x v="54"/>
    <x v="1"/>
    <x v="1"/>
    <x v="2"/>
    <x v="2"/>
    <x v="4"/>
    <x v="298"/>
    <s v="Medium Box"/>
    <n v="0.72"/>
    <d v="2010-08-29T00:00:00"/>
    <n v="0"/>
    <n v="0"/>
    <n v="1"/>
    <n v="1"/>
  </r>
  <r>
    <n v="5472"/>
    <n v="38884"/>
    <x v="218"/>
    <x v="9"/>
    <s v="High"/>
    <n v="47"/>
    <n v="256"/>
    <n v="0.03"/>
    <s v="Regular Air"/>
    <n v="-119.84"/>
    <n v="5.28"/>
    <n v="5.66"/>
    <x v="21"/>
    <x v="1"/>
    <x v="1"/>
    <x v="1"/>
    <x v="0"/>
    <x v="5"/>
    <x v="299"/>
    <s v="Small Box"/>
    <n v="0.4"/>
    <d v="2012-08-18T00:00:00"/>
    <n v="0"/>
    <n v="0"/>
    <n v="0.5"/>
    <n v="0.5"/>
  </r>
  <r>
    <n v="5473"/>
    <n v="38884"/>
    <x v="218"/>
    <x v="9"/>
    <s v="High"/>
    <n v="20"/>
    <n v="6067.76"/>
    <n v="0.06"/>
    <s v="Delivery Truck"/>
    <n v="-98.046000000000006"/>
    <n v="296.18"/>
    <n v="54.12"/>
    <x v="21"/>
    <x v="1"/>
    <x v="1"/>
    <x v="1"/>
    <x v="2"/>
    <x v="10"/>
    <x v="300"/>
    <s v="Jumbo Box"/>
    <n v="0.76"/>
    <d v="2012-08-18T00:00:00"/>
    <n v="0"/>
    <n v="0"/>
    <n v="0.5"/>
    <n v="0.5"/>
  </r>
  <r>
    <n v="5559"/>
    <n v="39364"/>
    <x v="219"/>
    <x v="32"/>
    <s v="High"/>
    <n v="29"/>
    <n v="2754.93"/>
    <n v="0.06"/>
    <s v="Regular Air"/>
    <n v="-1.3299999999999841"/>
    <n v="92.23"/>
    <n v="39.61"/>
    <x v="41"/>
    <x v="1"/>
    <x v="1"/>
    <x v="2"/>
    <x v="2"/>
    <x v="4"/>
    <x v="54"/>
    <s v="Medium Box"/>
    <n v="0.67"/>
    <d v="2012-11-10T00:00:00"/>
    <n v="0"/>
    <n v="0"/>
    <n v="0.5"/>
    <n v="0.5"/>
  </r>
  <r>
    <n v="5560"/>
    <n v="39364"/>
    <x v="219"/>
    <x v="32"/>
    <s v="High"/>
    <n v="15"/>
    <n v="19417.55"/>
    <n v="0.03"/>
    <s v="Regular Air"/>
    <n v="8417.5670000000009"/>
    <n v="1270.99"/>
    <n v="19.989999999999998"/>
    <x v="41"/>
    <x v="1"/>
    <x v="1"/>
    <x v="2"/>
    <x v="0"/>
    <x v="2"/>
    <x v="164"/>
    <s v="Small Box"/>
    <n v="0.35"/>
    <d v="2012-11-11T00:00:00"/>
    <n v="0"/>
    <n v="0"/>
    <n v="0.5"/>
    <n v="0.5"/>
  </r>
  <r>
    <n v="5569"/>
    <n v="39457"/>
    <x v="220"/>
    <x v="4"/>
    <s v="Critical"/>
    <n v="40"/>
    <n v="4842.21"/>
    <n v="0.03"/>
    <s v="Delivery Truck"/>
    <n v="-1975.26"/>
    <n v="122.99"/>
    <n v="70.2"/>
    <x v="19"/>
    <x v="1"/>
    <x v="1"/>
    <x v="3"/>
    <x v="2"/>
    <x v="14"/>
    <x v="301"/>
    <s v="Jumbo Drum"/>
    <n v="0.74"/>
    <d v="2011-06-02T00:00:00"/>
    <n v="0"/>
    <n v="0"/>
    <n v="1"/>
    <n v="0.5"/>
  </r>
  <r>
    <n v="5598"/>
    <n v="39683"/>
    <x v="138"/>
    <x v="21"/>
    <s v="High"/>
    <n v="31"/>
    <n v="615.58000000000004"/>
    <n v="0.04"/>
    <s v="Regular Air"/>
    <n v="168.0025"/>
    <n v="18.989999999999998"/>
    <n v="5.23"/>
    <x v="59"/>
    <x v="1"/>
    <x v="1"/>
    <x v="2"/>
    <x v="0"/>
    <x v="2"/>
    <x v="232"/>
    <s v="Small Box"/>
    <n v="0.37"/>
    <d v="2011-08-13T00:00:00"/>
    <n v="0"/>
    <n v="0"/>
    <n v="0.25"/>
    <n v="0.25"/>
  </r>
  <r>
    <n v="5599"/>
    <n v="39683"/>
    <x v="138"/>
    <x v="21"/>
    <s v="High"/>
    <n v="41"/>
    <n v="8387.1"/>
    <n v="0.1"/>
    <s v="Regular Air"/>
    <n v="2113.9499999999998"/>
    <n v="218.08"/>
    <n v="18.059999999999999"/>
    <x v="59"/>
    <x v="1"/>
    <x v="1"/>
    <x v="2"/>
    <x v="2"/>
    <x v="14"/>
    <x v="86"/>
    <s v="Large Box"/>
    <n v="0.56999999999999995"/>
    <d v="2011-08-11T00:00:00"/>
    <n v="0"/>
    <n v="0"/>
    <n v="0.25"/>
    <n v="0.25"/>
  </r>
  <r>
    <n v="5600"/>
    <n v="39683"/>
    <x v="138"/>
    <x v="21"/>
    <s v="High"/>
    <n v="6"/>
    <n v="126.02"/>
    <n v="0.09"/>
    <s v="Regular Air"/>
    <n v="66.97"/>
    <n v="20.239999999999998"/>
    <n v="6.67"/>
    <x v="59"/>
    <x v="1"/>
    <x v="1"/>
    <x v="2"/>
    <x v="2"/>
    <x v="4"/>
    <x v="302"/>
    <s v="Small Pack"/>
    <n v="0.49"/>
    <d v="2011-08-11T00:00:00"/>
    <n v="0"/>
    <n v="0"/>
    <n v="0.25"/>
    <n v="0.25"/>
  </r>
  <r>
    <n v="5601"/>
    <n v="39683"/>
    <x v="138"/>
    <x v="21"/>
    <s v="High"/>
    <n v="30"/>
    <n v="68.14"/>
    <n v="0"/>
    <s v="Regular Air"/>
    <n v="6.37"/>
    <n v="2.1800000000000002"/>
    <n v="0.78"/>
    <x v="59"/>
    <x v="1"/>
    <x v="1"/>
    <x v="2"/>
    <x v="0"/>
    <x v="6"/>
    <x v="303"/>
    <s v="Wrap Bag"/>
    <n v="0.52"/>
    <d v="2011-08-12T00:00:00"/>
    <n v="0"/>
    <n v="0"/>
    <n v="0.25"/>
    <n v="0.25"/>
  </r>
  <r>
    <n v="5628"/>
    <n v="39846"/>
    <x v="221"/>
    <x v="40"/>
    <s v="Low"/>
    <n v="14"/>
    <n v="71.47"/>
    <n v="0.06"/>
    <s v="Regular Air"/>
    <n v="-62.73"/>
    <n v="4.9800000000000004"/>
    <n v="4.62"/>
    <x v="60"/>
    <x v="1"/>
    <x v="1"/>
    <x v="2"/>
    <x v="1"/>
    <x v="7"/>
    <x v="278"/>
    <s v="Small Pack"/>
    <n v="0.64"/>
    <d v="2009-03-06T00:00:00"/>
    <n v="0"/>
    <n v="0"/>
    <n v="0.5"/>
    <n v="0.5"/>
  </r>
  <r>
    <n v="5659"/>
    <n v="40036"/>
    <x v="222"/>
    <x v="30"/>
    <s v="Not Specified"/>
    <n v="10"/>
    <n v="568.33550000000002"/>
    <n v="0.02"/>
    <s v="Regular Air"/>
    <n v="-147.35599999999999"/>
    <n v="65.989999999999995"/>
    <n v="8.99"/>
    <x v="51"/>
    <x v="1"/>
    <x v="1"/>
    <x v="3"/>
    <x v="1"/>
    <x v="3"/>
    <x v="304"/>
    <s v="Small Box"/>
    <n v="0.57999999999999996"/>
    <d v="2010-06-08T00:00:00"/>
    <n v="0"/>
    <n v="0"/>
    <n v="1"/>
    <n v="1"/>
  </r>
  <r>
    <n v="5662"/>
    <n v="40067"/>
    <x v="223"/>
    <x v="12"/>
    <s v="Low"/>
    <n v="38"/>
    <n v="2157.3085000000001"/>
    <n v="0"/>
    <s v="Regular Air"/>
    <n v="519.24600000000009"/>
    <n v="65.989999999999995"/>
    <n v="5.31"/>
    <x v="17"/>
    <x v="1"/>
    <x v="1"/>
    <x v="2"/>
    <x v="1"/>
    <x v="3"/>
    <x v="305"/>
    <s v="Small Box"/>
    <n v="0.56999999999999995"/>
    <d v="2012-02-19T00:00:00"/>
    <n v="0"/>
    <n v="0"/>
    <n v="1"/>
    <n v="1"/>
  </r>
  <r>
    <n v="5675"/>
    <n v="40132"/>
    <x v="224"/>
    <x v="12"/>
    <s v="Low"/>
    <n v="26"/>
    <n v="1363"/>
    <n v="0.04"/>
    <s v="Delivery Truck"/>
    <n v="149.83000000000001"/>
    <n v="50.98"/>
    <n v="14.19"/>
    <x v="44"/>
    <x v="1"/>
    <x v="1"/>
    <x v="2"/>
    <x v="2"/>
    <x v="14"/>
    <x v="306"/>
    <s v="Jumbo Drum"/>
    <n v="0.56000000000000005"/>
    <d v="2012-02-29T00:00:00"/>
    <n v="0"/>
    <n v="0"/>
    <n v="0.33333333333333331"/>
    <n v="0.33333333333333331"/>
  </r>
  <r>
    <n v="5676"/>
    <n v="40132"/>
    <x v="224"/>
    <x v="12"/>
    <s v="Low"/>
    <n v="36"/>
    <n v="4698.5"/>
    <n v="0.04"/>
    <s v="Delivery Truck"/>
    <n v="-219.375"/>
    <n v="124.49"/>
    <n v="51.94"/>
    <x v="44"/>
    <x v="1"/>
    <x v="1"/>
    <x v="2"/>
    <x v="2"/>
    <x v="10"/>
    <x v="307"/>
    <s v="Jumbo Box"/>
    <n v="0.63"/>
    <d v="2012-02-29T00:00:00"/>
    <n v="0"/>
    <n v="0"/>
    <n v="0.33333333333333331"/>
    <n v="0.33333333333333331"/>
  </r>
  <r>
    <n v="5677"/>
    <n v="40132"/>
    <x v="224"/>
    <x v="12"/>
    <s v="Low"/>
    <n v="16"/>
    <n v="347.47"/>
    <n v="0.09"/>
    <s v="Regular Air"/>
    <n v="-86.203999999999994"/>
    <n v="22.38"/>
    <n v="15.1"/>
    <x v="44"/>
    <x v="1"/>
    <x v="1"/>
    <x v="2"/>
    <x v="0"/>
    <x v="2"/>
    <x v="290"/>
    <s v="Small Box"/>
    <n v="0.38"/>
    <d v="2012-03-02T00:00:00"/>
    <n v="0"/>
    <n v="0"/>
    <n v="0.33333333333333331"/>
    <n v="0.33333333333333331"/>
  </r>
  <r>
    <n v="5681"/>
    <n v="40160"/>
    <x v="225"/>
    <x v="19"/>
    <s v="Critical"/>
    <n v="23"/>
    <n v="1404.22"/>
    <n v="0.1"/>
    <s v="Regular Air"/>
    <n v="202.87"/>
    <n v="63.94"/>
    <n v="14.48"/>
    <x v="19"/>
    <x v="1"/>
    <x v="1"/>
    <x v="1"/>
    <x v="2"/>
    <x v="4"/>
    <x v="308"/>
    <s v="Small Box"/>
    <n v="0.46"/>
    <d v="2009-10-16T00:00:00"/>
    <n v="0"/>
    <n v="0"/>
    <n v="1"/>
    <n v="1"/>
  </r>
  <r>
    <n v="5719"/>
    <n v="40518"/>
    <x v="226"/>
    <x v="28"/>
    <s v="Critical"/>
    <n v="3"/>
    <n v="17.52"/>
    <n v="0.05"/>
    <s v="Regular Air"/>
    <n v="-12.1555"/>
    <n v="4.13"/>
    <n v="5.04"/>
    <x v="8"/>
    <x v="1"/>
    <x v="1"/>
    <x v="3"/>
    <x v="0"/>
    <x v="2"/>
    <x v="309"/>
    <s v="Small Box"/>
    <n v="0.38"/>
    <d v="2009-03-14T00:00:00"/>
    <n v="0"/>
    <n v="0"/>
    <n v="1"/>
    <n v="1"/>
  </r>
  <r>
    <n v="5746"/>
    <n v="40804"/>
    <x v="14"/>
    <x v="14"/>
    <s v="Medium"/>
    <n v="36"/>
    <n v="4273.8"/>
    <n v="0.06"/>
    <s v="Delivery Truck"/>
    <n v="-1775.83"/>
    <n v="122.99"/>
    <n v="70.2"/>
    <x v="1"/>
    <x v="1"/>
    <x v="1"/>
    <x v="1"/>
    <x v="2"/>
    <x v="14"/>
    <x v="301"/>
    <s v="Jumbo Drum"/>
    <n v="0.74"/>
    <d v="2010-03-14T00:00:00"/>
    <n v="0"/>
    <n v="0"/>
    <n v="1"/>
    <n v="1"/>
  </r>
  <r>
    <n v="5764"/>
    <n v="40902"/>
    <x v="227"/>
    <x v="36"/>
    <s v="Low"/>
    <n v="25"/>
    <n v="192.18"/>
    <n v="0.02"/>
    <s v="Regular Air"/>
    <n v="-48.875"/>
    <n v="7.1"/>
    <n v="6.05"/>
    <x v="61"/>
    <x v="1"/>
    <x v="1"/>
    <x v="3"/>
    <x v="0"/>
    <x v="2"/>
    <x v="310"/>
    <s v="Small Box"/>
    <n v="0.39"/>
    <d v="2009-07-09T00:00:00"/>
    <n v="0"/>
    <n v="0"/>
    <n v="1"/>
    <n v="1"/>
  </r>
  <r>
    <n v="5790"/>
    <n v="41063"/>
    <x v="228"/>
    <x v="32"/>
    <s v="Low"/>
    <n v="22"/>
    <n v="483.96"/>
    <n v="0.01"/>
    <s v="Regular Air"/>
    <n v="-34.090000000000003"/>
    <n v="21.38"/>
    <n v="8.99"/>
    <x v="4"/>
    <x v="1"/>
    <x v="1"/>
    <x v="3"/>
    <x v="0"/>
    <x v="12"/>
    <x v="311"/>
    <s v="Small Pack"/>
    <n v="0.59"/>
    <d v="2012-11-23T00:00:00"/>
    <n v="0"/>
    <n v="0"/>
    <n v="0.33333333333333331"/>
    <n v="0.33333333333333331"/>
  </r>
  <r>
    <n v="5791"/>
    <n v="41063"/>
    <x v="228"/>
    <x v="32"/>
    <s v="Low"/>
    <n v="10"/>
    <n v="308.36299999999994"/>
    <n v="0.04"/>
    <s v="Regular Air"/>
    <n v="42.272999999999954"/>
    <n v="35.99"/>
    <n v="0.99"/>
    <x v="4"/>
    <x v="1"/>
    <x v="1"/>
    <x v="3"/>
    <x v="1"/>
    <x v="3"/>
    <x v="312"/>
    <s v="Small Pack"/>
    <n v="0.35"/>
    <d v="2012-11-28T00:00:00"/>
    <n v="0"/>
    <n v="0"/>
    <n v="0.33333333333333331"/>
    <n v="0.33333333333333331"/>
  </r>
  <r>
    <n v="5792"/>
    <n v="41063"/>
    <x v="228"/>
    <x v="32"/>
    <s v="Low"/>
    <n v="26"/>
    <n v="1911.4034999999999"/>
    <n v="0.06"/>
    <s v="Regular Air"/>
    <n v="822.88800000000003"/>
    <n v="85.99"/>
    <n v="1.25"/>
    <x v="4"/>
    <x v="1"/>
    <x v="1"/>
    <x v="3"/>
    <x v="1"/>
    <x v="3"/>
    <x v="313"/>
    <s v="Small Pack"/>
    <n v="0.39"/>
    <d v="2012-11-28T00:00:00"/>
    <n v="0"/>
    <n v="0"/>
    <n v="0.33333333333333331"/>
    <n v="0.33333333333333331"/>
  </r>
  <r>
    <n v="5802"/>
    <n v="41153"/>
    <x v="229"/>
    <x v="28"/>
    <s v="Medium"/>
    <n v="29"/>
    <n v="862.2"/>
    <n v="0.1"/>
    <s v="Regular Air"/>
    <n v="-45.1"/>
    <n v="30.73"/>
    <n v="4"/>
    <x v="17"/>
    <x v="1"/>
    <x v="1"/>
    <x v="2"/>
    <x v="1"/>
    <x v="7"/>
    <x v="161"/>
    <s v="Small Box"/>
    <n v="0.75"/>
    <d v="2009-03-03T00:00:00"/>
    <n v="0"/>
    <n v="0"/>
    <n v="1"/>
    <n v="1"/>
  </r>
  <r>
    <n v="5805"/>
    <n v="41184"/>
    <x v="230"/>
    <x v="31"/>
    <s v="High"/>
    <n v="7"/>
    <n v="120.03"/>
    <n v="0.02"/>
    <s v="Regular Air"/>
    <n v="-56.06"/>
    <n v="15.7"/>
    <n v="11.25"/>
    <x v="56"/>
    <x v="1"/>
    <x v="1"/>
    <x v="3"/>
    <x v="0"/>
    <x v="0"/>
    <x v="101"/>
    <s v="Small Box"/>
    <n v="0.6"/>
    <d v="2011-09-24T00:00:00"/>
    <n v="0"/>
    <n v="0"/>
    <n v="1"/>
    <n v="1"/>
  </r>
  <r>
    <n v="5835"/>
    <n v="41409"/>
    <x v="231"/>
    <x v="2"/>
    <s v="Not Specified"/>
    <n v="1"/>
    <n v="18.920000000000002"/>
    <n v="0"/>
    <s v="Regular Air"/>
    <n v="-18.250499999999999"/>
    <n v="11.5"/>
    <n v="7.19"/>
    <x v="27"/>
    <x v="1"/>
    <x v="1"/>
    <x v="2"/>
    <x v="0"/>
    <x v="2"/>
    <x v="274"/>
    <s v="Small Box"/>
    <n v="0.4"/>
    <d v="2011-07-23T00:00:00"/>
    <n v="0"/>
    <n v="0"/>
    <n v="1"/>
    <n v="0.33333333333333331"/>
  </r>
  <r>
    <n v="5877"/>
    <n v="41696"/>
    <x v="232"/>
    <x v="36"/>
    <s v="Not Specified"/>
    <n v="45"/>
    <n v="237.28"/>
    <n v="0.03"/>
    <s v="Express Air"/>
    <n v="-2088.6799999999998"/>
    <n v="4.4800000000000004"/>
    <n v="49"/>
    <x v="49"/>
    <x v="1"/>
    <x v="1"/>
    <x v="0"/>
    <x v="0"/>
    <x v="1"/>
    <x v="43"/>
    <s v="Large Box"/>
    <n v="0.6"/>
    <d v="2009-07-15T00:00:00"/>
    <n v="0"/>
    <n v="0"/>
    <n v="1"/>
    <n v="1"/>
  </r>
  <r>
    <n v="5944"/>
    <n v="42209"/>
    <x v="233"/>
    <x v="14"/>
    <s v="High"/>
    <n v="5"/>
    <n v="324.55"/>
    <n v="0.08"/>
    <s v="Regular Air"/>
    <n v="-12.82"/>
    <n v="67.84"/>
    <n v="0.99"/>
    <x v="17"/>
    <x v="1"/>
    <x v="1"/>
    <x v="2"/>
    <x v="0"/>
    <x v="1"/>
    <x v="314"/>
    <s v="Small Box"/>
    <n v="0.57999999999999996"/>
    <d v="2010-03-29T00:00:00"/>
    <n v="0"/>
    <n v="0"/>
    <n v="0.5"/>
    <n v="0.5"/>
  </r>
  <r>
    <n v="5945"/>
    <n v="42209"/>
    <x v="233"/>
    <x v="14"/>
    <s v="High"/>
    <n v="31"/>
    <n v="8901.7800000000007"/>
    <n v="0.04"/>
    <s v="Regular Air"/>
    <n v="2795.36"/>
    <n v="276.2"/>
    <n v="24.49"/>
    <x v="17"/>
    <x v="1"/>
    <x v="1"/>
    <x v="2"/>
    <x v="2"/>
    <x v="14"/>
    <x v="67"/>
    <s v="Large Box"/>
    <m/>
    <d v="2010-04-01T00:00:00"/>
    <n v="0"/>
    <n v="0"/>
    <n v="0.5"/>
    <n v="0.5"/>
  </r>
  <r>
    <n v="6007"/>
    <n v="42561"/>
    <x v="199"/>
    <x v="6"/>
    <s v="Low"/>
    <n v="15"/>
    <n v="1062.9589999999998"/>
    <n v="7.0000000000000007E-2"/>
    <s v="Express Air"/>
    <n v="298.476"/>
    <n v="85.99"/>
    <n v="2.5"/>
    <x v="37"/>
    <x v="1"/>
    <x v="1"/>
    <x v="1"/>
    <x v="1"/>
    <x v="3"/>
    <x v="315"/>
    <s v="Small Box"/>
    <n v="0.35"/>
    <d v="2010-02-08T00:00:00"/>
    <n v="0"/>
    <n v="0"/>
    <n v="1"/>
    <n v="1"/>
  </r>
  <r>
    <n v="6009"/>
    <n v="42564"/>
    <x v="234"/>
    <x v="34"/>
    <s v="Low"/>
    <n v="35"/>
    <n v="7468.86"/>
    <n v="0.02"/>
    <s v="Delivery Truck"/>
    <n v="2155.41"/>
    <n v="200.98"/>
    <n v="23.76"/>
    <x v="54"/>
    <x v="1"/>
    <x v="1"/>
    <x v="0"/>
    <x v="2"/>
    <x v="14"/>
    <x v="316"/>
    <s v="Jumbo Drum"/>
    <n v="0.57999999999999996"/>
    <d v="2012-09-19T00:00:00"/>
    <n v="0"/>
    <n v="0"/>
    <n v="1"/>
    <n v="1"/>
  </r>
  <r>
    <n v="6029"/>
    <n v="42695"/>
    <x v="235"/>
    <x v="15"/>
    <s v="Not Specified"/>
    <n v="12"/>
    <n v="710.32799999999997"/>
    <n v="0.02"/>
    <s v="Regular Air"/>
    <n v="-10.295999999999992"/>
    <n v="65.989999999999995"/>
    <n v="5.31"/>
    <x v="39"/>
    <x v="1"/>
    <x v="1"/>
    <x v="0"/>
    <x v="1"/>
    <x v="3"/>
    <x v="305"/>
    <s v="Small Box"/>
    <n v="0.56999999999999995"/>
    <d v="2010-12-24T00:00:00"/>
    <n v="0"/>
    <n v="0"/>
    <n v="1"/>
    <n v="1"/>
  </r>
  <r>
    <n v="6067"/>
    <n v="42981"/>
    <x v="236"/>
    <x v="43"/>
    <s v="Critical"/>
    <n v="4"/>
    <n v="3510.82"/>
    <n v="0.05"/>
    <s v="Regular Air"/>
    <n v="232.44099999999997"/>
    <n v="896.99"/>
    <n v="19.989999999999998"/>
    <x v="61"/>
    <x v="1"/>
    <x v="1"/>
    <x v="3"/>
    <x v="0"/>
    <x v="2"/>
    <x v="317"/>
    <s v="Small Box"/>
    <n v="0.38"/>
    <d v="2009-06-01T00:00:00"/>
    <n v="0"/>
    <n v="0"/>
    <n v="1"/>
    <n v="0.5"/>
  </r>
  <r>
    <n v="6082"/>
    <n v="43109"/>
    <x v="237"/>
    <x v="45"/>
    <s v="Critical"/>
    <n v="19"/>
    <n v="281.83999999999997"/>
    <n v="0.06"/>
    <s v="Regular Air"/>
    <n v="-21.85"/>
    <n v="15.01"/>
    <n v="8.4"/>
    <x v="24"/>
    <x v="1"/>
    <x v="1"/>
    <x v="2"/>
    <x v="0"/>
    <x v="2"/>
    <x v="318"/>
    <s v="Small Box"/>
    <n v="0.39"/>
    <d v="2012-12-22T00:00:00"/>
    <n v="0"/>
    <n v="0"/>
    <n v="0.33333333333333331"/>
    <n v="0.33333333333333331"/>
  </r>
  <r>
    <n v="6083"/>
    <n v="43109"/>
    <x v="237"/>
    <x v="45"/>
    <s v="Critical"/>
    <n v="25"/>
    <n v="509.52"/>
    <n v="0.05"/>
    <s v="Regular Air"/>
    <n v="-145.78"/>
    <n v="20.97"/>
    <n v="6.5"/>
    <x v="24"/>
    <x v="1"/>
    <x v="1"/>
    <x v="2"/>
    <x v="1"/>
    <x v="7"/>
    <x v="154"/>
    <s v="Small Box"/>
    <n v="0.78"/>
    <d v="2012-12-22T00:00:00"/>
    <n v="0"/>
    <n v="0"/>
    <n v="0.33333333333333331"/>
    <n v="0.33333333333333331"/>
  </r>
  <r>
    <n v="6084"/>
    <n v="43109"/>
    <x v="237"/>
    <x v="45"/>
    <s v="Critical"/>
    <n v="10"/>
    <n v="97.02"/>
    <n v="0.06"/>
    <s v="Regular Air"/>
    <n v="-3.96"/>
    <n v="10.01"/>
    <n v="1.99"/>
    <x v="24"/>
    <x v="1"/>
    <x v="1"/>
    <x v="2"/>
    <x v="1"/>
    <x v="7"/>
    <x v="319"/>
    <s v="Small Pack"/>
    <n v="0.41"/>
    <d v="2012-12-22T00:00:00"/>
    <n v="0"/>
    <n v="0"/>
    <n v="0.33333333333333331"/>
    <n v="0.33333333333333331"/>
  </r>
  <r>
    <n v="6097"/>
    <n v="43203"/>
    <x v="12"/>
    <x v="12"/>
    <s v="Not Specified"/>
    <n v="32"/>
    <n v="225.16"/>
    <n v="0.02"/>
    <s v="Regular Air"/>
    <n v="-33.69"/>
    <n v="6.68"/>
    <n v="5.2"/>
    <x v="61"/>
    <x v="1"/>
    <x v="1"/>
    <x v="3"/>
    <x v="0"/>
    <x v="5"/>
    <x v="320"/>
    <s v="Small Box"/>
    <n v="0.37"/>
    <d v="2012-02-16T00:00:00"/>
    <n v="0"/>
    <n v="0"/>
    <n v="1"/>
    <n v="1"/>
  </r>
  <r>
    <n v="6103"/>
    <n v="43236"/>
    <x v="122"/>
    <x v="42"/>
    <s v="Not Specified"/>
    <n v="20"/>
    <n v="205.33"/>
    <n v="0"/>
    <s v="Regular Air"/>
    <n v="10.68"/>
    <n v="9.77"/>
    <n v="6.02"/>
    <x v="41"/>
    <x v="1"/>
    <x v="1"/>
    <x v="2"/>
    <x v="2"/>
    <x v="4"/>
    <x v="321"/>
    <s v="Medium Box"/>
    <n v="0.48"/>
    <d v="2010-07-05T00:00:00"/>
    <n v="0"/>
    <n v="0"/>
    <n v="1"/>
    <n v="1"/>
  </r>
  <r>
    <n v="6105"/>
    <n v="43267"/>
    <x v="238"/>
    <x v="10"/>
    <s v="Critical"/>
    <n v="17"/>
    <n v="1368.14"/>
    <n v="0.05"/>
    <s v="Express Air"/>
    <n v="171.26"/>
    <n v="76.72"/>
    <n v="19.95"/>
    <x v="52"/>
    <x v="1"/>
    <x v="1"/>
    <x v="3"/>
    <x v="0"/>
    <x v="1"/>
    <x v="322"/>
    <s v="Large Box"/>
    <n v="0.54"/>
    <d v="2011-05-18T00:00:00"/>
    <n v="0"/>
    <n v="0"/>
    <n v="1"/>
    <n v="1"/>
  </r>
  <r>
    <n v="6118"/>
    <n v="43329"/>
    <x v="239"/>
    <x v="14"/>
    <s v="Medium"/>
    <n v="42"/>
    <n v="2475.83"/>
    <n v="0.09"/>
    <s v="Regular Air"/>
    <n v="752.37"/>
    <n v="59.98"/>
    <n v="3.99"/>
    <x v="40"/>
    <x v="1"/>
    <x v="1"/>
    <x v="2"/>
    <x v="0"/>
    <x v="1"/>
    <x v="323"/>
    <s v="Small Box"/>
    <n v="0.56999999999999995"/>
    <d v="2010-03-10T00:00:00"/>
    <n v="0"/>
    <n v="0"/>
    <n v="1"/>
    <n v="1"/>
  </r>
  <r>
    <n v="6119"/>
    <n v="43330"/>
    <x v="240"/>
    <x v="46"/>
    <s v="Not Specified"/>
    <n v="40"/>
    <n v="2205.7584999999999"/>
    <n v="0.03"/>
    <s v="Regular Air"/>
    <n v="337.041"/>
    <n v="65.989999999999995"/>
    <n v="8.99"/>
    <x v="52"/>
    <x v="1"/>
    <x v="1"/>
    <x v="3"/>
    <x v="1"/>
    <x v="3"/>
    <x v="304"/>
    <s v="Small Box"/>
    <n v="0.57999999999999996"/>
    <d v="2009-04-28T00:00:00"/>
    <n v="0"/>
    <n v="0"/>
    <n v="1"/>
    <n v="1"/>
  </r>
  <r>
    <n v="6125"/>
    <n v="43364"/>
    <x v="241"/>
    <x v="13"/>
    <s v="High"/>
    <n v="21"/>
    <n v="524.20000000000005"/>
    <n v="0.04"/>
    <s v="Regular Air"/>
    <n v="158.97999999999999"/>
    <n v="23.99"/>
    <n v="6.71"/>
    <x v="61"/>
    <x v="1"/>
    <x v="1"/>
    <x v="2"/>
    <x v="0"/>
    <x v="8"/>
    <x v="201"/>
    <s v="Small Box"/>
    <n v="0.35"/>
    <d v="2012-04-10T00:00:00"/>
    <n v="0"/>
    <n v="0"/>
    <n v="1"/>
    <n v="0.5"/>
  </r>
  <r>
    <n v="6129"/>
    <n v="43392"/>
    <x v="242"/>
    <x v="15"/>
    <s v="Medium"/>
    <n v="39"/>
    <n v="6553.45"/>
    <n v="0.03"/>
    <s v="Regular Air"/>
    <n v="2969.81"/>
    <n v="162.93"/>
    <n v="19.989999999999998"/>
    <x v="40"/>
    <x v="1"/>
    <x v="1"/>
    <x v="0"/>
    <x v="0"/>
    <x v="8"/>
    <x v="324"/>
    <s v="Small Box"/>
    <n v="0.39"/>
    <d v="2011-01-02T00:00:00"/>
    <n v="0"/>
    <n v="0"/>
    <n v="1"/>
    <n v="1"/>
  </r>
  <r>
    <n v="6176"/>
    <n v="43781"/>
    <x v="243"/>
    <x v="6"/>
    <s v="Not Specified"/>
    <n v="45"/>
    <n v="497.14"/>
    <n v="0.05"/>
    <s v="Regular Air"/>
    <n v="240.41"/>
    <n v="10.94"/>
    <n v="1.39"/>
    <x v="9"/>
    <x v="1"/>
    <x v="1"/>
    <x v="0"/>
    <x v="0"/>
    <x v="8"/>
    <x v="325"/>
    <s v="Small Box"/>
    <n v="0.35"/>
    <d v="2010-02-02T00:00:00"/>
    <n v="0"/>
    <n v="0"/>
    <n v="0.5"/>
    <n v="0.2"/>
  </r>
  <r>
    <n v="6177"/>
    <n v="43781"/>
    <x v="243"/>
    <x v="6"/>
    <s v="Not Specified"/>
    <n v="21"/>
    <n v="917.39"/>
    <n v="0.02"/>
    <s v="Express Air"/>
    <n v="393.40549999999996"/>
    <n v="40.98"/>
    <n v="2.99"/>
    <x v="9"/>
    <x v="1"/>
    <x v="1"/>
    <x v="0"/>
    <x v="0"/>
    <x v="2"/>
    <x v="326"/>
    <s v="Small Box"/>
    <n v="0.36"/>
    <d v="2010-02-03T00:00:00"/>
    <n v="0"/>
    <n v="0"/>
    <n v="0.5"/>
    <n v="0.2"/>
  </r>
  <r>
    <n v="6226"/>
    <n v="44071"/>
    <x v="13"/>
    <x v="13"/>
    <s v="Not Specified"/>
    <n v="19"/>
    <n v="110.67"/>
    <n v="0.08"/>
    <s v="Regular Air"/>
    <n v="-43.745999999999995"/>
    <n v="5.99"/>
    <n v="4.92"/>
    <x v="28"/>
    <x v="1"/>
    <x v="1"/>
    <x v="2"/>
    <x v="0"/>
    <x v="2"/>
    <x v="327"/>
    <s v="Small Box"/>
    <n v="0.38"/>
    <d v="2012-04-16T00:00:00"/>
    <n v="0"/>
    <n v="0"/>
    <n v="0.5"/>
    <n v="0.25"/>
  </r>
  <r>
    <n v="6227"/>
    <n v="44071"/>
    <x v="13"/>
    <x v="13"/>
    <s v="Not Specified"/>
    <n v="20"/>
    <n v="1163.123"/>
    <n v="0"/>
    <s v="Regular Air"/>
    <n v="83.834999999999994"/>
    <n v="65.989999999999995"/>
    <n v="8.99"/>
    <x v="28"/>
    <x v="1"/>
    <x v="1"/>
    <x v="2"/>
    <x v="1"/>
    <x v="3"/>
    <x v="304"/>
    <s v="Small Box"/>
    <n v="0.57999999999999996"/>
    <d v="2012-04-16T00:00:00"/>
    <n v="0"/>
    <n v="0"/>
    <n v="0.5"/>
    <n v="0.25"/>
  </r>
  <r>
    <n v="6290"/>
    <n v="44519"/>
    <x v="244"/>
    <x v="39"/>
    <s v="High"/>
    <n v="48"/>
    <n v="224.58"/>
    <n v="0.03"/>
    <s v="Regular Air"/>
    <n v="-144.762"/>
    <n v="4.57"/>
    <n v="5.42"/>
    <x v="24"/>
    <x v="1"/>
    <x v="1"/>
    <x v="2"/>
    <x v="0"/>
    <x v="2"/>
    <x v="328"/>
    <s v="Small Box"/>
    <n v="0.37"/>
    <d v="2010-05-20T00:00:00"/>
    <n v="0"/>
    <n v="0"/>
    <n v="0.33333333333333331"/>
    <n v="0.33333333333333331"/>
  </r>
  <r>
    <n v="6291"/>
    <n v="44519"/>
    <x v="244"/>
    <x v="39"/>
    <s v="High"/>
    <n v="34"/>
    <n v="365.77"/>
    <n v="7.0000000000000007E-2"/>
    <s v="Regular Air"/>
    <n v="155.69"/>
    <n v="10.67"/>
    <n v="1.39"/>
    <x v="24"/>
    <x v="1"/>
    <x v="1"/>
    <x v="2"/>
    <x v="0"/>
    <x v="8"/>
    <x v="329"/>
    <s v="Small Box"/>
    <n v="0.39"/>
    <d v="2010-05-20T00:00:00"/>
    <n v="0"/>
    <n v="0"/>
    <n v="0.33333333333333331"/>
    <n v="0.33333333333333331"/>
  </r>
  <r>
    <n v="6292"/>
    <n v="44519"/>
    <x v="244"/>
    <x v="39"/>
    <s v="High"/>
    <n v="34"/>
    <n v="16073.03"/>
    <n v="0.01"/>
    <s v="Delivery Truck"/>
    <n v="5386.32"/>
    <n v="442.14"/>
    <n v="14.7"/>
    <x v="24"/>
    <x v="1"/>
    <x v="1"/>
    <x v="2"/>
    <x v="1"/>
    <x v="16"/>
    <x v="330"/>
    <s v="Jumbo Drum"/>
    <n v="0.56000000000000005"/>
    <d v="2010-05-20T00:00:00"/>
    <n v="0"/>
    <n v="0"/>
    <n v="0.33333333333333331"/>
    <n v="0.33333333333333331"/>
  </r>
  <r>
    <n v="6319"/>
    <n v="44708"/>
    <x v="114"/>
    <x v="36"/>
    <s v="Not Specified"/>
    <n v="15"/>
    <n v="30.68"/>
    <n v="0.02"/>
    <s v="Regular Air"/>
    <n v="-37.39"/>
    <n v="1.74"/>
    <n v="4.08"/>
    <x v="10"/>
    <x v="1"/>
    <x v="1"/>
    <x v="0"/>
    <x v="2"/>
    <x v="4"/>
    <x v="331"/>
    <s v="Small Pack"/>
    <n v="0.53"/>
    <d v="2009-07-28T00:00:00"/>
    <n v="0"/>
    <n v="0"/>
    <n v="1"/>
    <n v="1"/>
  </r>
  <r>
    <n v="6324"/>
    <n v="44772"/>
    <x v="245"/>
    <x v="28"/>
    <s v="Not Specified"/>
    <n v="1"/>
    <n v="54.076999999999998"/>
    <n v="7.0000000000000007E-2"/>
    <s v="Express Air"/>
    <n v="-232.99100000000001"/>
    <n v="55.99"/>
    <n v="5"/>
    <x v="24"/>
    <x v="1"/>
    <x v="1"/>
    <x v="2"/>
    <x v="1"/>
    <x v="3"/>
    <x v="140"/>
    <s v="Small Pack"/>
    <n v="0.83"/>
    <d v="2009-04-02T00:00:00"/>
    <n v="0"/>
    <n v="0"/>
    <n v="1"/>
    <n v="1"/>
  </r>
  <r>
    <n v="6330"/>
    <n v="44839"/>
    <x v="246"/>
    <x v="8"/>
    <s v="Critical"/>
    <n v="27"/>
    <n v="899.97"/>
    <n v="0.09"/>
    <s v="Express Air"/>
    <n v="-246.3"/>
    <n v="33.979999999999997"/>
    <n v="19.989999999999998"/>
    <x v="19"/>
    <x v="1"/>
    <x v="1"/>
    <x v="1"/>
    <x v="2"/>
    <x v="4"/>
    <x v="90"/>
    <s v="Small Box"/>
    <n v="0.55000000000000004"/>
    <d v="2012-06-13T00:00:00"/>
    <n v="0"/>
    <n v="0"/>
    <n v="1"/>
    <n v="1"/>
  </r>
  <r>
    <n v="6372"/>
    <n v="45217"/>
    <x v="247"/>
    <x v="18"/>
    <s v="Not Specified"/>
    <n v="40"/>
    <n v="6789.9274999999998"/>
    <n v="0.08"/>
    <s v="Regular Air"/>
    <n v="1864.6560000000002"/>
    <n v="200.99"/>
    <n v="4.2"/>
    <x v="36"/>
    <x v="1"/>
    <x v="1"/>
    <x v="1"/>
    <x v="1"/>
    <x v="3"/>
    <x v="332"/>
    <s v="Small Box"/>
    <n v="0.59"/>
    <d v="2010-09-02T00:00:00"/>
    <n v="0"/>
    <n v="0"/>
    <n v="1"/>
    <n v="1"/>
  </r>
  <r>
    <n v="6402"/>
    <n v="45440"/>
    <x v="248"/>
    <x v="9"/>
    <s v="Critical"/>
    <n v="5"/>
    <n v="748.29"/>
    <n v="0.02"/>
    <s v="Delivery Truck"/>
    <n v="-183.6"/>
    <n v="135.99"/>
    <n v="28.63"/>
    <x v="29"/>
    <x v="1"/>
    <x v="1"/>
    <x v="2"/>
    <x v="2"/>
    <x v="14"/>
    <x v="333"/>
    <s v="Jumbo Drum"/>
    <n v="0.76"/>
    <d v="2012-08-11T00:00:00"/>
    <n v="0"/>
    <n v="0"/>
    <n v="1"/>
    <n v="1"/>
  </r>
  <r>
    <n v="6439"/>
    <n v="45766"/>
    <x v="193"/>
    <x v="39"/>
    <s v="High"/>
    <n v="37"/>
    <n v="2522.21"/>
    <n v="0"/>
    <s v="Regular Air"/>
    <n v="1026.07"/>
    <n v="63.94"/>
    <n v="14.48"/>
    <x v="56"/>
    <x v="1"/>
    <x v="1"/>
    <x v="3"/>
    <x v="2"/>
    <x v="4"/>
    <x v="308"/>
    <s v="Small Box"/>
    <n v="0.46"/>
    <d v="2010-05-09T00:00:00"/>
    <n v="0"/>
    <n v="0"/>
    <n v="0.5"/>
    <n v="0.5"/>
  </r>
  <r>
    <n v="6440"/>
    <n v="45766"/>
    <x v="193"/>
    <x v="39"/>
    <s v="High"/>
    <n v="28"/>
    <n v="4181.82"/>
    <n v="0.01"/>
    <s v="Regular Air"/>
    <n v="1765.48"/>
    <n v="140.99"/>
    <n v="13.99"/>
    <x v="56"/>
    <x v="1"/>
    <x v="1"/>
    <x v="3"/>
    <x v="1"/>
    <x v="16"/>
    <x v="334"/>
    <s v="Medium Box"/>
    <n v="0.37"/>
    <d v="2010-05-08T00:00:00"/>
    <n v="0"/>
    <n v="0"/>
    <n v="0.5"/>
    <n v="0.5"/>
  </r>
  <r>
    <n v="6446"/>
    <n v="45861"/>
    <x v="249"/>
    <x v="21"/>
    <s v="Medium"/>
    <n v="39"/>
    <n v="680.85849999999994"/>
    <n v="0.05"/>
    <s v="Regular Air"/>
    <n v="319.10399999999998"/>
    <n v="20.99"/>
    <n v="0.99"/>
    <x v="10"/>
    <x v="1"/>
    <x v="1"/>
    <x v="0"/>
    <x v="1"/>
    <x v="3"/>
    <x v="163"/>
    <s v="Wrap Bag"/>
    <n v="0.37"/>
    <d v="2011-08-25T00:00:00"/>
    <n v="0"/>
    <n v="0"/>
    <n v="1"/>
    <n v="1"/>
  </r>
  <r>
    <n v="6450"/>
    <n v="45957"/>
    <x v="106"/>
    <x v="18"/>
    <s v="Critical"/>
    <n v="20"/>
    <n v="759.84"/>
    <n v="0.06"/>
    <s v="Regular Air"/>
    <n v="162.83000000000001"/>
    <n v="39.24"/>
    <n v="1.99"/>
    <x v="7"/>
    <x v="1"/>
    <x v="1"/>
    <x v="3"/>
    <x v="1"/>
    <x v="7"/>
    <x v="167"/>
    <s v="Small Pack"/>
    <n v="0.51"/>
    <d v="2010-09-23T00:00:00"/>
    <n v="0"/>
    <n v="0"/>
    <n v="0.5"/>
    <n v="0.5"/>
  </r>
  <r>
    <n v="6451"/>
    <n v="45957"/>
    <x v="106"/>
    <x v="18"/>
    <s v="Critical"/>
    <n v="19"/>
    <n v="147.38999999999999"/>
    <n v="0.08"/>
    <s v="Regular Air"/>
    <n v="-30.92"/>
    <n v="7.64"/>
    <n v="5.83"/>
    <x v="7"/>
    <x v="1"/>
    <x v="1"/>
    <x v="3"/>
    <x v="0"/>
    <x v="5"/>
    <x v="248"/>
    <s v="Wrap Bag"/>
    <n v="0.36"/>
    <d v="2010-09-23T00:00:00"/>
    <n v="0"/>
    <n v="0"/>
    <n v="0.5"/>
    <n v="0.5"/>
  </r>
  <r>
    <n v="6591"/>
    <n v="46912"/>
    <x v="250"/>
    <x v="8"/>
    <s v="Low"/>
    <n v="5"/>
    <n v="294"/>
    <n v="0"/>
    <s v="Regular Air"/>
    <n v="181.53"/>
    <n v="54.74"/>
    <n v="14.83"/>
    <x v="31"/>
    <x v="1"/>
    <x v="1"/>
    <x v="3"/>
    <x v="2"/>
    <x v="4"/>
    <x v="335"/>
    <s v="Small Box"/>
    <n v="0.54"/>
    <d v="2012-06-30T00:00:00"/>
    <n v="0"/>
    <n v="0"/>
    <n v="1"/>
    <n v="1"/>
  </r>
  <r>
    <n v="6603"/>
    <n v="46980"/>
    <x v="251"/>
    <x v="16"/>
    <s v="Critical"/>
    <n v="34"/>
    <n v="216.3"/>
    <n v="0.01"/>
    <s v="Regular Air"/>
    <n v="103.16"/>
    <n v="6.3"/>
    <n v="0.5"/>
    <x v="5"/>
    <x v="1"/>
    <x v="1"/>
    <x v="2"/>
    <x v="0"/>
    <x v="11"/>
    <x v="336"/>
    <s v="Small Box"/>
    <n v="0.39"/>
    <d v="2011-01-17T00:00:00"/>
    <n v="0"/>
    <n v="0"/>
    <n v="1"/>
    <n v="1"/>
  </r>
  <r>
    <n v="6665"/>
    <n v="47460"/>
    <x v="252"/>
    <x v="0"/>
    <s v="Critical"/>
    <n v="12"/>
    <n v="31.6"/>
    <n v="0.1"/>
    <s v="Regular Air"/>
    <n v="-3.64"/>
    <n v="2.84"/>
    <n v="0.93"/>
    <x v="41"/>
    <x v="1"/>
    <x v="1"/>
    <x v="2"/>
    <x v="0"/>
    <x v="12"/>
    <x v="25"/>
    <s v="Wrap Bag"/>
    <n v="0.54"/>
    <d v="2010-10-12T00:00:00"/>
    <n v="0"/>
    <n v="0"/>
    <n v="1"/>
    <n v="1"/>
  </r>
  <r>
    <n v="6669"/>
    <n v="47462"/>
    <x v="183"/>
    <x v="4"/>
    <s v="High"/>
    <n v="43"/>
    <n v="154.18"/>
    <n v="0.08"/>
    <s v="Regular Air"/>
    <n v="-166.92250000000001"/>
    <n v="3.58"/>
    <n v="5.47"/>
    <x v="61"/>
    <x v="1"/>
    <x v="1"/>
    <x v="2"/>
    <x v="0"/>
    <x v="2"/>
    <x v="337"/>
    <s v="Small Box"/>
    <n v="0.37"/>
    <d v="2011-06-11T00:00:00"/>
    <n v="0"/>
    <n v="0"/>
    <n v="0.33333333333333331"/>
    <n v="0.33333333333333331"/>
  </r>
  <r>
    <n v="6670"/>
    <n v="47462"/>
    <x v="183"/>
    <x v="4"/>
    <s v="High"/>
    <n v="18"/>
    <n v="110.31"/>
    <n v="0.05"/>
    <s v="Regular Air"/>
    <n v="-1.22"/>
    <n v="5.85"/>
    <n v="2.27"/>
    <x v="61"/>
    <x v="1"/>
    <x v="1"/>
    <x v="2"/>
    <x v="0"/>
    <x v="12"/>
    <x v="338"/>
    <s v="Wrap Bag"/>
    <n v="0.56000000000000005"/>
    <d v="2011-06-11T00:00:00"/>
    <n v="0"/>
    <n v="0"/>
    <n v="0.33333333333333331"/>
    <n v="0.33333333333333331"/>
  </r>
  <r>
    <n v="6671"/>
    <n v="47462"/>
    <x v="183"/>
    <x v="4"/>
    <s v="High"/>
    <n v="41"/>
    <n v="137.51"/>
    <n v="0.02"/>
    <s v="Regular Air"/>
    <n v="21.62"/>
    <n v="3.29"/>
    <n v="1.35"/>
    <x v="61"/>
    <x v="1"/>
    <x v="1"/>
    <x v="2"/>
    <x v="0"/>
    <x v="6"/>
    <x v="339"/>
    <s v="Wrap Bag"/>
    <n v="0.4"/>
    <d v="2011-06-11T00:00:00"/>
    <n v="0"/>
    <n v="0"/>
    <n v="0.33333333333333331"/>
    <n v="0.33333333333333331"/>
  </r>
  <r>
    <n v="6692"/>
    <n v="47620"/>
    <x v="253"/>
    <x v="8"/>
    <s v="Low"/>
    <n v="27"/>
    <n v="302.2"/>
    <n v="0.04"/>
    <s v="Regular Air"/>
    <n v="20.27"/>
    <n v="10.98"/>
    <n v="3.37"/>
    <x v="55"/>
    <x v="1"/>
    <x v="1"/>
    <x v="2"/>
    <x v="0"/>
    <x v="15"/>
    <x v="340"/>
    <s v="Small Pack"/>
    <n v="0.56999999999999995"/>
    <d v="2012-07-05T00:00:00"/>
    <n v="0"/>
    <n v="0"/>
    <n v="1"/>
    <n v="1"/>
  </r>
  <r>
    <n v="6704"/>
    <n v="47749"/>
    <x v="254"/>
    <x v="14"/>
    <s v="Medium"/>
    <n v="46"/>
    <n v="399.58"/>
    <n v="0.04"/>
    <s v="Regular Air"/>
    <n v="-188.53"/>
    <n v="8.4499999999999993"/>
    <n v="7.77"/>
    <x v="47"/>
    <x v="1"/>
    <x v="1"/>
    <x v="0"/>
    <x v="0"/>
    <x v="15"/>
    <x v="341"/>
    <s v="Small Pack"/>
    <n v="0.55000000000000004"/>
    <d v="2010-03-16T00:00:00"/>
    <n v="0"/>
    <n v="0"/>
    <n v="1"/>
    <n v="1"/>
  </r>
  <r>
    <n v="6721"/>
    <n v="47873"/>
    <x v="255"/>
    <x v="7"/>
    <s v="Critical"/>
    <n v="8"/>
    <n v="52.39"/>
    <n v="0.08"/>
    <s v="Regular Air"/>
    <n v="-17.38"/>
    <n v="5.89"/>
    <n v="5.57"/>
    <x v="40"/>
    <x v="1"/>
    <x v="1"/>
    <x v="2"/>
    <x v="2"/>
    <x v="4"/>
    <x v="342"/>
    <s v="Small Box"/>
    <n v="0.41"/>
    <d v="2010-11-15T00:00:00"/>
    <n v="0"/>
    <n v="0"/>
    <n v="1"/>
    <n v="0.5"/>
  </r>
  <r>
    <n v="6736"/>
    <n v="47943"/>
    <x v="121"/>
    <x v="11"/>
    <s v="Medium"/>
    <n v="12"/>
    <n v="61.09"/>
    <n v="0.04"/>
    <s v="Regular Air"/>
    <n v="24.06"/>
    <n v="4.91"/>
    <n v="0.5"/>
    <x v="14"/>
    <x v="1"/>
    <x v="1"/>
    <x v="3"/>
    <x v="0"/>
    <x v="11"/>
    <x v="343"/>
    <s v="Small Box"/>
    <n v="0.36"/>
    <d v="2009-11-14T00:00:00"/>
    <n v="0"/>
    <n v="0"/>
    <n v="0.5"/>
    <n v="0.5"/>
  </r>
  <r>
    <n v="6737"/>
    <n v="47943"/>
    <x v="121"/>
    <x v="11"/>
    <s v="Medium"/>
    <n v="48"/>
    <n v="777.76"/>
    <n v="0.02"/>
    <s v="Regular Air"/>
    <n v="63.46"/>
    <n v="15.94"/>
    <n v="5.45"/>
    <x v="14"/>
    <x v="1"/>
    <x v="1"/>
    <x v="3"/>
    <x v="0"/>
    <x v="12"/>
    <x v="344"/>
    <s v="Small Pack"/>
    <n v="0.55000000000000004"/>
    <d v="2009-11-15T00:00:00"/>
    <n v="0"/>
    <n v="0"/>
    <n v="0.5"/>
    <n v="0.5"/>
  </r>
  <r>
    <n v="6754"/>
    <n v="48101"/>
    <x v="256"/>
    <x v="31"/>
    <s v="High"/>
    <n v="4"/>
    <n v="108.87"/>
    <n v="0.05"/>
    <s v="Regular Air"/>
    <n v="-39.92"/>
    <n v="22.84"/>
    <n v="16.87"/>
    <x v="52"/>
    <x v="1"/>
    <x v="1"/>
    <x v="3"/>
    <x v="0"/>
    <x v="5"/>
    <x v="150"/>
    <s v="Small Box"/>
    <n v="0.39"/>
    <d v="2011-09-14T00:00:00"/>
    <n v="0"/>
    <n v="0"/>
    <n v="1"/>
    <n v="1"/>
  </r>
  <r>
    <n v="6783"/>
    <n v="48295"/>
    <x v="257"/>
    <x v="11"/>
    <s v="Medium"/>
    <n v="48"/>
    <n v="10051.52"/>
    <n v="0.05"/>
    <s v="Regular Air"/>
    <n v="4938.78"/>
    <n v="204.1"/>
    <n v="13.99"/>
    <x v="49"/>
    <x v="1"/>
    <x v="1"/>
    <x v="0"/>
    <x v="1"/>
    <x v="16"/>
    <x v="345"/>
    <s v="Medium Box"/>
    <n v="0.37"/>
    <d v="2009-11-25T00:00:00"/>
    <n v="0"/>
    <n v="0"/>
    <n v="1"/>
    <n v="0.33333333333333331"/>
  </r>
  <r>
    <n v="6858"/>
    <n v="48839"/>
    <x v="258"/>
    <x v="42"/>
    <s v="Critical"/>
    <n v="1"/>
    <n v="97.13"/>
    <n v="0.05"/>
    <s v="Regular Air"/>
    <n v="-37.06"/>
    <n v="98.31"/>
    <n v="0.49"/>
    <x v="8"/>
    <x v="1"/>
    <x v="1"/>
    <x v="2"/>
    <x v="0"/>
    <x v="11"/>
    <x v="346"/>
    <s v="Small Box"/>
    <n v="0.36"/>
    <d v="2010-07-12T00:00:00"/>
    <n v="0"/>
    <n v="0"/>
    <n v="1"/>
    <n v="1"/>
  </r>
  <r>
    <n v="6894"/>
    <n v="49154"/>
    <x v="259"/>
    <x v="28"/>
    <s v="Medium"/>
    <n v="26"/>
    <n v="1523.5"/>
    <n v="7.0000000000000007E-2"/>
    <s v="Regular Air"/>
    <n v="-807.89"/>
    <n v="60.98"/>
    <n v="49"/>
    <x v="31"/>
    <x v="1"/>
    <x v="1"/>
    <x v="3"/>
    <x v="0"/>
    <x v="1"/>
    <x v="347"/>
    <s v="Large Box"/>
    <n v="0.59"/>
    <d v="2009-03-07T00:00:00"/>
    <n v="0"/>
    <n v="0"/>
    <n v="1"/>
    <n v="1"/>
  </r>
  <r>
    <n v="6983"/>
    <n v="49921"/>
    <x v="260"/>
    <x v="44"/>
    <s v="Low"/>
    <n v="5"/>
    <n v="756.15"/>
    <n v="0.06"/>
    <s v="Delivery Truck"/>
    <n v="-280.2792"/>
    <n v="145.44999999999999"/>
    <n v="17.850000000000001"/>
    <x v="9"/>
    <x v="1"/>
    <x v="1"/>
    <x v="0"/>
    <x v="1"/>
    <x v="16"/>
    <x v="127"/>
    <s v="Jumbo Drum"/>
    <n v="0.56000000000000005"/>
    <d v="2011-02-21T00:00:00"/>
    <n v="0"/>
    <n v="0"/>
    <n v="0.5"/>
    <n v="0.5"/>
  </r>
  <r>
    <n v="6984"/>
    <n v="49921"/>
    <x v="260"/>
    <x v="44"/>
    <s v="Low"/>
    <n v="1"/>
    <n v="18.149999999999999"/>
    <n v="0.04"/>
    <s v="Regular Air"/>
    <n v="-7.26"/>
    <n v="12.28"/>
    <n v="6.13"/>
    <x v="9"/>
    <x v="1"/>
    <x v="1"/>
    <x v="0"/>
    <x v="0"/>
    <x v="0"/>
    <x v="166"/>
    <s v="Small Box"/>
    <n v="0.56999999999999995"/>
    <d v="2011-02-19T00:00:00"/>
    <n v="0"/>
    <n v="0"/>
    <n v="0.5"/>
    <n v="0.5"/>
  </r>
  <r>
    <n v="6991"/>
    <n v="49952"/>
    <x v="142"/>
    <x v="27"/>
    <s v="High"/>
    <n v="12"/>
    <n v="1323.67"/>
    <n v="0.04"/>
    <s v="Express Air"/>
    <n v="630.28"/>
    <n v="107.53"/>
    <n v="5.81"/>
    <x v="27"/>
    <x v="1"/>
    <x v="1"/>
    <x v="2"/>
    <x v="2"/>
    <x v="4"/>
    <x v="348"/>
    <s v="Medium Box"/>
    <n v="0.65"/>
    <d v="2011-11-20T00:00:00"/>
    <n v="0"/>
    <n v="0"/>
    <n v="1"/>
    <n v="1"/>
  </r>
  <r>
    <n v="7021"/>
    <n v="50117"/>
    <x v="261"/>
    <x v="4"/>
    <s v="Critical"/>
    <n v="17"/>
    <n v="47.44"/>
    <n v="0.09"/>
    <s v="Regular Air"/>
    <n v="14.49"/>
    <n v="2.89"/>
    <n v="0.5"/>
    <x v="10"/>
    <x v="1"/>
    <x v="1"/>
    <x v="0"/>
    <x v="0"/>
    <x v="11"/>
    <x v="349"/>
    <s v="Small Box"/>
    <n v="0.38"/>
    <d v="2011-06-05T00:00:00"/>
    <n v="0"/>
    <n v="0"/>
    <n v="1"/>
    <n v="1"/>
  </r>
  <r>
    <n v="7042"/>
    <n v="50278"/>
    <x v="262"/>
    <x v="39"/>
    <s v="High"/>
    <n v="2"/>
    <n v="51.21"/>
    <n v="0"/>
    <s v="Regular Air"/>
    <n v="-27.531000000000002"/>
    <n v="20.98"/>
    <n v="8.83"/>
    <x v="27"/>
    <x v="1"/>
    <x v="1"/>
    <x v="2"/>
    <x v="0"/>
    <x v="2"/>
    <x v="350"/>
    <s v="Small Box"/>
    <n v="0.37"/>
    <d v="2010-05-25T00:00:00"/>
    <n v="0"/>
    <n v="0"/>
    <n v="0.5"/>
    <n v="0.5"/>
  </r>
  <r>
    <n v="7043"/>
    <n v="50278"/>
    <x v="262"/>
    <x v="39"/>
    <s v="High"/>
    <n v="20"/>
    <n v="2195.5500000000002"/>
    <n v="0.01"/>
    <s v="Delivery Truck"/>
    <n v="-355.94100000000003"/>
    <n v="100.8"/>
    <n v="60"/>
    <x v="27"/>
    <x v="1"/>
    <x v="1"/>
    <x v="2"/>
    <x v="2"/>
    <x v="10"/>
    <x v="351"/>
    <s v="Jumbo Drum"/>
    <n v="0.59"/>
    <d v="2010-05-27T00:00:00"/>
    <n v="0"/>
    <n v="0"/>
    <n v="0.5"/>
    <n v="0.5"/>
  </r>
  <r>
    <n v="7060"/>
    <n v="50374"/>
    <x v="236"/>
    <x v="43"/>
    <s v="Not Specified"/>
    <n v="30"/>
    <n v="3482.41"/>
    <n v="0.05"/>
    <s v="Regular Air"/>
    <n v="1443.3509999999999"/>
    <n v="120.98"/>
    <n v="9.07"/>
    <x v="61"/>
    <x v="1"/>
    <x v="1"/>
    <x v="3"/>
    <x v="0"/>
    <x v="2"/>
    <x v="352"/>
    <s v="Small Box"/>
    <n v="0.35"/>
    <d v="2009-05-31T00:00:00"/>
    <n v="0"/>
    <n v="0"/>
    <n v="1"/>
    <n v="0.5"/>
  </r>
  <r>
    <n v="7087"/>
    <n v="50565"/>
    <x v="263"/>
    <x v="9"/>
    <s v="High"/>
    <n v="43"/>
    <n v="683.46"/>
    <n v="0.09"/>
    <s v="Regular Air"/>
    <n v="-138.82"/>
    <n v="16.98"/>
    <n v="12.39"/>
    <x v="11"/>
    <x v="1"/>
    <x v="1"/>
    <x v="2"/>
    <x v="0"/>
    <x v="8"/>
    <x v="353"/>
    <s v="Small Box"/>
    <n v="0.35"/>
    <d v="2012-08-30T00:00:00"/>
    <n v="0"/>
    <n v="0"/>
    <n v="1"/>
    <n v="1"/>
  </r>
  <r>
    <n v="7103"/>
    <n v="50688"/>
    <x v="264"/>
    <x v="25"/>
    <s v="Critical"/>
    <n v="50"/>
    <n v="600.22"/>
    <n v="0.08"/>
    <s v="Regular Air"/>
    <n v="27.86"/>
    <n v="12.98"/>
    <n v="3.14"/>
    <x v="31"/>
    <x v="1"/>
    <x v="1"/>
    <x v="3"/>
    <x v="0"/>
    <x v="15"/>
    <x v="234"/>
    <s v="Small Pack"/>
    <n v="0.6"/>
    <d v="2011-12-17T00:00:00"/>
    <n v="0"/>
    <n v="0"/>
    <n v="1"/>
    <n v="1"/>
  </r>
  <r>
    <n v="7111"/>
    <n v="50754"/>
    <x v="265"/>
    <x v="47"/>
    <s v="Not Specified"/>
    <n v="9"/>
    <n v="64.030500000000004"/>
    <n v="0.06"/>
    <s v="Regular Air"/>
    <n v="-58.344000000000001"/>
    <n v="7.99"/>
    <n v="5.03"/>
    <x v="46"/>
    <x v="1"/>
    <x v="1"/>
    <x v="1"/>
    <x v="1"/>
    <x v="3"/>
    <x v="51"/>
    <s v="Medium Box"/>
    <n v="0.6"/>
    <d v="2009-12-10T00:00:00"/>
    <n v="0"/>
    <n v="0"/>
    <n v="1"/>
    <n v="1"/>
  </r>
  <r>
    <n v="7136"/>
    <n v="50914"/>
    <x v="266"/>
    <x v="29"/>
    <s v="Critical"/>
    <n v="49"/>
    <n v="8551.5439999999999"/>
    <n v="0.03"/>
    <s v="Regular Air"/>
    <n v="2763.1259999999997"/>
    <n v="195.99"/>
    <n v="8.99"/>
    <x v="8"/>
    <x v="1"/>
    <x v="1"/>
    <x v="2"/>
    <x v="1"/>
    <x v="3"/>
    <x v="354"/>
    <s v="Small Box"/>
    <n v="0.57999999999999996"/>
    <d v="2012-07-03T00:00:00"/>
    <n v="0"/>
    <n v="0"/>
    <n v="1"/>
    <n v="1"/>
  </r>
  <r>
    <n v="7168"/>
    <n v="51169"/>
    <x v="267"/>
    <x v="15"/>
    <s v="High"/>
    <n v="2"/>
    <n v="291.66000000000003"/>
    <n v="0.08"/>
    <s v="Regular Air"/>
    <n v="-192.92"/>
    <n v="136.97999999999999"/>
    <n v="24.49"/>
    <x v="47"/>
    <x v="1"/>
    <x v="1"/>
    <x v="3"/>
    <x v="2"/>
    <x v="4"/>
    <x v="355"/>
    <s v="Large Box"/>
    <n v="0.59"/>
    <d v="2010-12-26T00:00:00"/>
    <n v="0"/>
    <n v="0"/>
    <n v="1"/>
    <n v="1"/>
  </r>
  <r>
    <n v="7277"/>
    <n v="51938"/>
    <x v="54"/>
    <x v="10"/>
    <s v="Low"/>
    <n v="5"/>
    <n v="503.32749999999999"/>
    <n v="0.06"/>
    <s v="Regular Air"/>
    <n v="-488.31200000000001"/>
    <n v="125.99"/>
    <n v="5.63"/>
    <x v="12"/>
    <x v="1"/>
    <x v="1"/>
    <x v="2"/>
    <x v="1"/>
    <x v="3"/>
    <x v="356"/>
    <s v="Small Box"/>
    <n v="0.6"/>
    <d v="2011-05-21T00:00:00"/>
    <n v="0"/>
    <n v="0"/>
    <n v="1"/>
    <n v="1"/>
  </r>
  <r>
    <n v="7285"/>
    <n v="51970"/>
    <x v="268"/>
    <x v="23"/>
    <s v="Not Specified"/>
    <n v="1"/>
    <n v="171.71"/>
    <n v="0.06"/>
    <s v="Delivery Truck"/>
    <n v="-343.46730000000002"/>
    <n v="115.99"/>
    <n v="56.14"/>
    <x v="10"/>
    <x v="1"/>
    <x v="1"/>
    <x v="0"/>
    <x v="1"/>
    <x v="16"/>
    <x v="357"/>
    <s v="Jumbo Drum"/>
    <n v="0.4"/>
    <d v="2012-01-13T00:00:00"/>
    <n v="0"/>
    <n v="0"/>
    <n v="1"/>
    <n v="1"/>
  </r>
  <r>
    <n v="7286"/>
    <n v="51971"/>
    <x v="269"/>
    <x v="17"/>
    <s v="Not Specified"/>
    <n v="39"/>
    <n v="1326.04"/>
    <n v="0.02"/>
    <s v="Regular Air"/>
    <n v="-1129.96"/>
    <n v="32.479999999999997"/>
    <n v="35"/>
    <x v="6"/>
    <x v="1"/>
    <x v="1"/>
    <x v="3"/>
    <x v="0"/>
    <x v="0"/>
    <x v="358"/>
    <s v="Large Box"/>
    <n v="0.81"/>
    <d v="2011-10-05T00:00:00"/>
    <n v="0"/>
    <n v="0"/>
    <n v="0.5"/>
    <n v="0.5"/>
  </r>
  <r>
    <n v="7287"/>
    <n v="51971"/>
    <x v="269"/>
    <x v="17"/>
    <s v="Not Specified"/>
    <n v="22"/>
    <n v="3881.89"/>
    <n v="0.06"/>
    <s v="Regular Air"/>
    <n v="-803.52"/>
    <n v="182.55"/>
    <n v="69"/>
    <x v="6"/>
    <x v="1"/>
    <x v="1"/>
    <x v="3"/>
    <x v="2"/>
    <x v="10"/>
    <x v="359"/>
    <s v="Large Box"/>
    <n v="0.72"/>
    <d v="2011-10-05T00:00:00"/>
    <n v="0"/>
    <n v="0"/>
    <n v="0.5"/>
    <n v="0.5"/>
  </r>
  <r>
    <n v="7318"/>
    <n v="52193"/>
    <x v="270"/>
    <x v="14"/>
    <s v="Not Specified"/>
    <n v="1"/>
    <n v="17.89"/>
    <n v="0.04"/>
    <s v="Express Air"/>
    <n v="10.51"/>
    <n v="2.88"/>
    <n v="0.5"/>
    <x v="54"/>
    <x v="1"/>
    <x v="1"/>
    <x v="2"/>
    <x v="0"/>
    <x v="11"/>
    <x v="360"/>
    <s v="Small Box"/>
    <n v="0.39"/>
    <d v="2010-03-07T00:00:00"/>
    <n v="0"/>
    <n v="0"/>
    <n v="0.5"/>
    <n v="0.5"/>
  </r>
  <r>
    <n v="7319"/>
    <n v="52193"/>
    <x v="270"/>
    <x v="14"/>
    <s v="Not Specified"/>
    <n v="47"/>
    <n v="137.18"/>
    <n v="7.0000000000000007E-2"/>
    <s v="Regular Air"/>
    <n v="6.04"/>
    <n v="2.94"/>
    <n v="0.96"/>
    <x v="54"/>
    <x v="1"/>
    <x v="1"/>
    <x v="2"/>
    <x v="0"/>
    <x v="12"/>
    <x v="361"/>
    <s v="Wrap Bag"/>
    <n v="0.57999999999999996"/>
    <d v="2010-03-07T00:00:00"/>
    <n v="0"/>
    <n v="0"/>
    <n v="0.5"/>
    <n v="0.5"/>
  </r>
  <r>
    <n v="7343"/>
    <n v="52321"/>
    <x v="271"/>
    <x v="27"/>
    <s v="High"/>
    <n v="48"/>
    <n v="617.26"/>
    <n v="0.04"/>
    <s v="Regular Air"/>
    <n v="-37.520000000000003"/>
    <n v="12.28"/>
    <n v="6.13"/>
    <x v="40"/>
    <x v="1"/>
    <x v="1"/>
    <x v="0"/>
    <x v="0"/>
    <x v="0"/>
    <x v="166"/>
    <s v="Small Box"/>
    <n v="0.56999999999999995"/>
    <d v="2011-11-07T00:00:00"/>
    <n v="0"/>
    <n v="0"/>
    <n v="0.5"/>
    <n v="0.5"/>
  </r>
  <r>
    <n v="7344"/>
    <n v="52321"/>
    <x v="271"/>
    <x v="27"/>
    <s v="High"/>
    <n v="45"/>
    <n v="13104.992"/>
    <n v="0.03"/>
    <s v="Delivery Truck"/>
    <n v="5626.42"/>
    <n v="349.45"/>
    <n v="60"/>
    <x v="40"/>
    <x v="1"/>
    <x v="1"/>
    <x v="0"/>
    <x v="2"/>
    <x v="10"/>
    <x v="195"/>
    <s v="Jumbo Drum"/>
    <m/>
    <d v="2011-11-05T00:00:00"/>
    <n v="0"/>
    <n v="0"/>
    <n v="0.5"/>
    <n v="0.5"/>
  </r>
  <r>
    <n v="7352"/>
    <n v="52386"/>
    <x v="272"/>
    <x v="22"/>
    <s v="High"/>
    <n v="6"/>
    <n v="700.73"/>
    <n v="0.08"/>
    <s v="Delivery Truck"/>
    <n v="-188.5812"/>
    <n v="120.97"/>
    <n v="26.3"/>
    <x v="61"/>
    <x v="1"/>
    <x v="1"/>
    <x v="3"/>
    <x v="1"/>
    <x v="16"/>
    <x v="362"/>
    <s v="Jumbo Drum"/>
    <n v="0.38"/>
    <d v="2009-01-07T00:00:00"/>
    <n v="0"/>
    <n v="1"/>
    <n v="1"/>
    <n v="1"/>
  </r>
  <r>
    <n v="7404"/>
    <n v="52807"/>
    <x v="273"/>
    <x v="7"/>
    <s v="Medium"/>
    <n v="28"/>
    <n v="667.55"/>
    <n v="0"/>
    <s v="Regular Air"/>
    <n v="204.74"/>
    <n v="21.98"/>
    <n v="2.87"/>
    <x v="35"/>
    <x v="1"/>
    <x v="1"/>
    <x v="1"/>
    <x v="0"/>
    <x v="12"/>
    <x v="363"/>
    <s v="Small Pack"/>
    <n v="0.55000000000000004"/>
    <d v="2010-11-27T00:00:00"/>
    <n v="0"/>
    <n v="0"/>
    <n v="1"/>
    <n v="1"/>
  </r>
  <r>
    <n v="7419"/>
    <n v="52929"/>
    <x v="274"/>
    <x v="37"/>
    <s v="High"/>
    <n v="43"/>
    <n v="701.46"/>
    <n v="0.04"/>
    <s v="Express Air"/>
    <n v="-90.140699999999995"/>
    <n v="15.99"/>
    <n v="9.4"/>
    <x v="0"/>
    <x v="1"/>
    <x v="1"/>
    <x v="0"/>
    <x v="1"/>
    <x v="16"/>
    <x v="364"/>
    <s v="Small Box"/>
    <n v="0.49"/>
    <d v="2011-04-09T00:00:00"/>
    <n v="0"/>
    <n v="0"/>
    <n v="0.25"/>
    <n v="0.14285714285714285"/>
  </r>
  <r>
    <n v="7420"/>
    <n v="52929"/>
    <x v="274"/>
    <x v="37"/>
    <s v="High"/>
    <n v="19"/>
    <n v="53.94"/>
    <n v="0.05"/>
    <s v="Regular Air"/>
    <n v="-6.53"/>
    <n v="2.78"/>
    <n v="1.25"/>
    <x v="0"/>
    <x v="1"/>
    <x v="1"/>
    <x v="0"/>
    <x v="0"/>
    <x v="12"/>
    <x v="365"/>
    <s v="Wrap Bag"/>
    <n v="0.59"/>
    <d v="2011-04-09T00:00:00"/>
    <n v="0"/>
    <n v="0"/>
    <n v="0.25"/>
    <n v="0.14285714285714285"/>
  </r>
  <r>
    <n v="7421"/>
    <n v="52929"/>
    <x v="274"/>
    <x v="37"/>
    <s v="High"/>
    <n v="7"/>
    <n v="46.94"/>
    <n v="0.02"/>
    <s v="Regular Air"/>
    <n v="7.34"/>
    <n v="6.47"/>
    <n v="1.22"/>
    <x v="0"/>
    <x v="1"/>
    <x v="1"/>
    <x v="0"/>
    <x v="0"/>
    <x v="12"/>
    <x v="366"/>
    <s v="Wrap Bag"/>
    <n v="0.4"/>
    <d v="2011-04-09T00:00:00"/>
    <n v="0"/>
    <n v="0"/>
    <n v="0.25"/>
    <n v="0.14285714285714285"/>
  </r>
  <r>
    <n v="7422"/>
    <n v="52929"/>
    <x v="274"/>
    <x v="37"/>
    <s v="High"/>
    <n v="20"/>
    <n v="77.989999999999995"/>
    <n v="0.03"/>
    <s v="Regular Air"/>
    <n v="19.68"/>
    <n v="3.93"/>
    <n v="0.99"/>
    <x v="0"/>
    <x v="1"/>
    <x v="1"/>
    <x v="0"/>
    <x v="0"/>
    <x v="6"/>
    <x v="262"/>
    <s v="Wrap Bag"/>
    <n v="0.39"/>
    <d v="2011-04-09T00:00:00"/>
    <n v="0"/>
    <n v="0"/>
    <n v="0.25"/>
    <n v="0.14285714285714285"/>
  </r>
  <r>
    <n v="7430"/>
    <n v="52964"/>
    <x v="275"/>
    <x v="14"/>
    <s v="Critical"/>
    <n v="44"/>
    <n v="5735.79"/>
    <n v="0.08"/>
    <s v="Regular Air"/>
    <n v="828.27"/>
    <n v="136.97999999999999"/>
    <n v="24.49"/>
    <x v="12"/>
    <x v="1"/>
    <x v="1"/>
    <x v="2"/>
    <x v="2"/>
    <x v="4"/>
    <x v="355"/>
    <s v="Large Box"/>
    <n v="0.59"/>
    <d v="2010-04-01T00:00:00"/>
    <n v="0"/>
    <n v="0"/>
    <n v="1"/>
    <n v="1"/>
  </r>
  <r>
    <n v="7453"/>
    <n v="53156"/>
    <x v="276"/>
    <x v="33"/>
    <s v="Not Specified"/>
    <n v="47"/>
    <n v="186.93"/>
    <n v="7.0000000000000007E-2"/>
    <s v="Regular Air"/>
    <n v="56.44"/>
    <n v="4.13"/>
    <n v="0.99"/>
    <x v="38"/>
    <x v="1"/>
    <x v="1"/>
    <x v="2"/>
    <x v="0"/>
    <x v="11"/>
    <x v="367"/>
    <s v="Small Box"/>
    <n v="0.39"/>
    <d v="2012-03-11T00:00:00"/>
    <n v="0"/>
    <n v="0"/>
    <n v="1"/>
    <n v="1"/>
  </r>
  <r>
    <n v="7500"/>
    <n v="53511"/>
    <x v="277"/>
    <x v="40"/>
    <s v="Medium"/>
    <n v="41"/>
    <n v="241.1"/>
    <n v="7.0000000000000007E-2"/>
    <s v="Regular Air"/>
    <n v="-243.23649999999998"/>
    <n v="5.81"/>
    <n v="8.49"/>
    <x v="42"/>
    <x v="1"/>
    <x v="1"/>
    <x v="0"/>
    <x v="0"/>
    <x v="2"/>
    <x v="106"/>
    <s v="Small Box"/>
    <n v="0.39"/>
    <d v="2009-02-22T00:00:00"/>
    <n v="0"/>
    <n v="0"/>
    <n v="0.5"/>
    <n v="0.33333333333333331"/>
  </r>
  <r>
    <n v="7501"/>
    <n v="53511"/>
    <x v="277"/>
    <x v="40"/>
    <s v="Medium"/>
    <n v="49"/>
    <n v="491.93"/>
    <n v="0.04"/>
    <s v="Regular Air"/>
    <n v="-53.62"/>
    <n v="9.65"/>
    <n v="6.22"/>
    <x v="42"/>
    <x v="1"/>
    <x v="1"/>
    <x v="0"/>
    <x v="2"/>
    <x v="4"/>
    <x v="50"/>
    <s v="Small Box"/>
    <n v="0.55000000000000004"/>
    <d v="2009-02-21T00:00:00"/>
    <n v="0"/>
    <n v="0"/>
    <n v="0.5"/>
    <n v="0.33333333333333331"/>
  </r>
  <r>
    <n v="7530"/>
    <n v="53797"/>
    <x v="278"/>
    <x v="19"/>
    <s v="Critical"/>
    <n v="10"/>
    <n v="623.71"/>
    <n v="0.01"/>
    <s v="Delivery Truck"/>
    <n v="-213.32"/>
    <n v="58.14"/>
    <n v="36.61"/>
    <x v="40"/>
    <x v="1"/>
    <x v="1"/>
    <x v="0"/>
    <x v="2"/>
    <x v="9"/>
    <x v="126"/>
    <s v="Jumbo Box"/>
    <n v="0.61"/>
    <d v="2009-10-01T00:00:00"/>
    <n v="0"/>
    <n v="0"/>
    <n v="1"/>
    <n v="1"/>
  </r>
  <r>
    <n v="7548"/>
    <n v="53990"/>
    <x v="279"/>
    <x v="32"/>
    <s v="Not Specified"/>
    <n v="44"/>
    <n v="4263.9315000000006"/>
    <n v="0.04"/>
    <s v="Regular Air"/>
    <n v="1411.029"/>
    <n v="110.99"/>
    <n v="2.5"/>
    <x v="8"/>
    <x v="1"/>
    <x v="1"/>
    <x v="2"/>
    <x v="1"/>
    <x v="3"/>
    <x v="368"/>
    <s v="Small Box"/>
    <n v="0.56999999999999995"/>
    <d v="2012-11-02T00:00:00"/>
    <n v="0"/>
    <n v="0"/>
    <n v="1"/>
    <n v="1"/>
  </r>
  <r>
    <n v="7559"/>
    <n v="54083"/>
    <x v="231"/>
    <x v="2"/>
    <s v="High"/>
    <n v="10"/>
    <n v="2700.41"/>
    <n v="0.08"/>
    <s v="Delivery Truck"/>
    <n v="258.01"/>
    <n v="279.81"/>
    <n v="23.19"/>
    <x v="14"/>
    <x v="1"/>
    <x v="1"/>
    <x v="3"/>
    <x v="0"/>
    <x v="1"/>
    <x v="369"/>
    <s v="Jumbo Drum"/>
    <n v="0.59"/>
    <d v="2011-07-23T00:00:00"/>
    <n v="0"/>
    <n v="0"/>
    <n v="1"/>
    <n v="1"/>
  </r>
  <r>
    <n v="7584"/>
    <n v="54274"/>
    <x v="7"/>
    <x v="7"/>
    <s v="Not Specified"/>
    <n v="20"/>
    <n v="1583.06"/>
    <n v="0.05"/>
    <s v="Regular Air"/>
    <n v="328"/>
    <n v="78.650000000000006"/>
    <n v="13.99"/>
    <x v="26"/>
    <x v="1"/>
    <x v="1"/>
    <x v="2"/>
    <x v="0"/>
    <x v="1"/>
    <x v="370"/>
    <s v="Medium Box"/>
    <n v="0.52"/>
    <d v="2010-11-25T00:00:00"/>
    <n v="0"/>
    <n v="0"/>
    <n v="1"/>
    <n v="1"/>
  </r>
  <r>
    <n v="7585"/>
    <n v="54276"/>
    <x v="199"/>
    <x v="6"/>
    <s v="Not Specified"/>
    <n v="21"/>
    <n v="756.6"/>
    <n v="0"/>
    <s v="Regular Air"/>
    <n v="299.58999999999997"/>
    <n v="35.44"/>
    <n v="4.92"/>
    <x v="48"/>
    <x v="1"/>
    <x v="1"/>
    <x v="0"/>
    <x v="0"/>
    <x v="5"/>
    <x v="371"/>
    <s v="Small Box"/>
    <n v="0.38"/>
    <d v="2010-02-07T00:00:00"/>
    <n v="0"/>
    <n v="0"/>
    <n v="1"/>
    <n v="1"/>
  </r>
  <r>
    <n v="7620"/>
    <n v="54528"/>
    <x v="280"/>
    <x v="16"/>
    <s v="Medium"/>
    <n v="17"/>
    <n v="207.19"/>
    <n v="0.01"/>
    <s v="Regular Air"/>
    <n v="-85.91"/>
    <n v="11.66"/>
    <n v="8.99"/>
    <x v="63"/>
    <x v="1"/>
    <x v="1"/>
    <x v="1"/>
    <x v="0"/>
    <x v="12"/>
    <x v="372"/>
    <s v="Small Pack"/>
    <n v="0.59"/>
    <d v="2011-01-06T00:00:00"/>
    <n v="0"/>
    <n v="0"/>
    <n v="0.33333333333333331"/>
    <n v="0.16666666666666666"/>
  </r>
  <r>
    <n v="7621"/>
    <n v="54528"/>
    <x v="280"/>
    <x v="16"/>
    <s v="Medium"/>
    <n v="8"/>
    <n v="88"/>
    <n v="0.06"/>
    <s v="Regular Air"/>
    <n v="-6.38"/>
    <n v="10.48"/>
    <n v="2.89"/>
    <x v="63"/>
    <x v="1"/>
    <x v="1"/>
    <x v="1"/>
    <x v="0"/>
    <x v="12"/>
    <x v="373"/>
    <s v="Small Pack"/>
    <n v="0.6"/>
    <d v="2011-01-06T00:00:00"/>
    <n v="0"/>
    <n v="0"/>
    <n v="0.33333333333333331"/>
    <n v="0.16666666666666666"/>
  </r>
  <r>
    <n v="7628"/>
    <n v="54567"/>
    <x v="137"/>
    <x v="26"/>
    <s v="Medium"/>
    <n v="31"/>
    <n v="196.74"/>
    <n v="0.09"/>
    <s v="Regular Air"/>
    <n v="-61.59"/>
    <n v="6.28"/>
    <n v="5.41"/>
    <x v="23"/>
    <x v="1"/>
    <x v="1"/>
    <x v="0"/>
    <x v="2"/>
    <x v="4"/>
    <x v="374"/>
    <s v="Small Box"/>
    <n v="0.53"/>
    <d v="2009-08-04T00:00:00"/>
    <n v="0"/>
    <n v="0"/>
    <n v="1"/>
    <n v="0.5"/>
  </r>
  <r>
    <n v="7633"/>
    <n v="54628"/>
    <x v="281"/>
    <x v="30"/>
    <s v="High"/>
    <n v="21"/>
    <n v="471.24"/>
    <n v="7.0000000000000007E-2"/>
    <s v="Regular Air"/>
    <n v="115.54"/>
    <n v="22.98"/>
    <n v="1.99"/>
    <x v="52"/>
    <x v="1"/>
    <x v="1"/>
    <x v="3"/>
    <x v="1"/>
    <x v="7"/>
    <x v="375"/>
    <s v="Small Pack"/>
    <n v="0.46"/>
    <d v="2010-06-06T00:00:00"/>
    <n v="0"/>
    <n v="0"/>
    <n v="1"/>
    <n v="1"/>
  </r>
  <r>
    <n v="7716"/>
    <n v="55298"/>
    <x v="137"/>
    <x v="26"/>
    <s v="Critical"/>
    <n v="1"/>
    <n v="368.66"/>
    <n v="0.01"/>
    <s v="Delivery Truck"/>
    <n v="-165.6"/>
    <n v="300.98"/>
    <n v="64.73"/>
    <x v="49"/>
    <x v="1"/>
    <x v="1"/>
    <x v="2"/>
    <x v="2"/>
    <x v="14"/>
    <x v="70"/>
    <s v="Jumbo Drum"/>
    <n v="0.56000000000000005"/>
    <d v="2009-08-03T00:00:00"/>
    <n v="0"/>
    <n v="0"/>
    <n v="1"/>
    <n v="1"/>
  </r>
  <r>
    <n v="7729"/>
    <n v="55363"/>
    <x v="282"/>
    <x v="15"/>
    <s v="High"/>
    <n v="14"/>
    <n v="2232.06"/>
    <n v="0.03"/>
    <s v="Regular Air"/>
    <n v="542.16"/>
    <n v="155.06"/>
    <n v="7.07"/>
    <x v="63"/>
    <x v="1"/>
    <x v="1"/>
    <x v="1"/>
    <x v="0"/>
    <x v="0"/>
    <x v="376"/>
    <s v="Small Box"/>
    <n v="0.59"/>
    <d v="2010-12-30T00:00:00"/>
    <n v="0"/>
    <n v="0"/>
    <n v="1"/>
    <n v="1"/>
  </r>
  <r>
    <n v="7730"/>
    <n v="55366"/>
    <x v="283"/>
    <x v="1"/>
    <s v="Critical"/>
    <n v="7"/>
    <n v="387.17"/>
    <n v="0.1"/>
    <s v="Regular Air"/>
    <n v="-204.65"/>
    <n v="55.94"/>
    <n v="6.55"/>
    <x v="40"/>
    <x v="1"/>
    <x v="1"/>
    <x v="2"/>
    <x v="1"/>
    <x v="7"/>
    <x v="377"/>
    <s v="Small Box"/>
    <n v="0.68"/>
    <d v="2012-10-11T00:00:00"/>
    <n v="0"/>
    <n v="0"/>
    <n v="1"/>
    <n v="1"/>
  </r>
  <r>
    <n v="7787"/>
    <n v="55715"/>
    <x v="284"/>
    <x v="37"/>
    <s v="Critical"/>
    <n v="28"/>
    <n v="168.57"/>
    <n v="0.02"/>
    <s v="Express Air"/>
    <n v="16.651499999999999"/>
    <n v="5.28"/>
    <n v="2.99"/>
    <x v="20"/>
    <x v="1"/>
    <x v="1"/>
    <x v="2"/>
    <x v="0"/>
    <x v="2"/>
    <x v="13"/>
    <s v="Small Box"/>
    <n v="0.37"/>
    <d v="2011-04-04T00:00:00"/>
    <n v="0"/>
    <n v="0"/>
    <n v="1"/>
    <n v="1"/>
  </r>
  <r>
    <n v="7813"/>
    <n v="55875"/>
    <x v="11"/>
    <x v="11"/>
    <s v="Critical"/>
    <n v="50"/>
    <n v="413.86"/>
    <n v="0"/>
    <s v="Regular Air"/>
    <n v="39.29"/>
    <n v="7.59"/>
    <n v="4"/>
    <x v="22"/>
    <x v="1"/>
    <x v="1"/>
    <x v="0"/>
    <x v="2"/>
    <x v="4"/>
    <x v="378"/>
    <s v="Wrap Bag"/>
    <n v="0.42"/>
    <d v="2009-11-28T00:00:00"/>
    <n v="0"/>
    <n v="0"/>
    <n v="0.5"/>
    <n v="0.5"/>
  </r>
  <r>
    <n v="7814"/>
    <n v="55875"/>
    <x v="11"/>
    <x v="11"/>
    <s v="Critical"/>
    <n v="31"/>
    <n v="178.45"/>
    <n v="0.09"/>
    <s v="Regular Air"/>
    <n v="-104.96"/>
    <n v="5.98"/>
    <n v="4.6900000000000004"/>
    <x v="22"/>
    <x v="1"/>
    <x v="1"/>
    <x v="0"/>
    <x v="0"/>
    <x v="0"/>
    <x v="379"/>
    <s v="Small Box"/>
    <n v="0.68"/>
    <d v="2009-11-25T00:00:00"/>
    <n v="0"/>
    <n v="0"/>
    <n v="0.5"/>
    <n v="0.5"/>
  </r>
  <r>
    <n v="7894"/>
    <n v="56453"/>
    <x v="285"/>
    <x v="13"/>
    <s v="Critical"/>
    <n v="1"/>
    <n v="2728.65"/>
    <n v="0"/>
    <s v="Delivery Truck"/>
    <n v="-5572.3935000000001"/>
    <n v="2550.14"/>
    <n v="29.7"/>
    <x v="24"/>
    <x v="1"/>
    <x v="1"/>
    <x v="2"/>
    <x v="1"/>
    <x v="16"/>
    <x v="380"/>
    <s v="Jumbo Drum"/>
    <n v="0.56999999999999995"/>
    <d v="2012-04-12T00:00:00"/>
    <n v="0"/>
    <n v="0"/>
    <n v="1"/>
    <n v="1"/>
  </r>
  <r>
    <n v="7993"/>
    <n v="57127"/>
    <x v="286"/>
    <x v="6"/>
    <s v="Low"/>
    <n v="13"/>
    <n v="735.54"/>
    <n v="0"/>
    <s v="Regular Air"/>
    <n v="171.82"/>
    <n v="55.48"/>
    <n v="14.3"/>
    <x v="36"/>
    <x v="1"/>
    <x v="1"/>
    <x v="1"/>
    <x v="0"/>
    <x v="5"/>
    <x v="381"/>
    <s v="Small Box"/>
    <n v="0.37"/>
    <d v="2010-02-18T00:00:00"/>
    <n v="0"/>
    <n v="0"/>
    <n v="1"/>
    <n v="0.5"/>
  </r>
  <r>
    <n v="8024"/>
    <n v="57344"/>
    <x v="287"/>
    <x v="18"/>
    <s v="High"/>
    <n v="47"/>
    <n v="1060.0605"/>
    <n v="0.1"/>
    <s v="Regular Air"/>
    <n v="-71.026999999999987"/>
    <n v="28.99"/>
    <n v="8.59"/>
    <x v="11"/>
    <x v="1"/>
    <x v="1"/>
    <x v="2"/>
    <x v="1"/>
    <x v="3"/>
    <x v="382"/>
    <s v="Medium Box"/>
    <n v="0.56000000000000005"/>
    <d v="2010-09-26T00:00:00"/>
    <n v="0"/>
    <n v="0"/>
    <n v="1"/>
    <n v="1"/>
  </r>
  <r>
    <n v="8057"/>
    <n v="57509"/>
    <x v="288"/>
    <x v="40"/>
    <s v="Low"/>
    <n v="39"/>
    <n v="199.39"/>
    <n v="0.1"/>
    <s v="Express Air"/>
    <n v="101.13"/>
    <n v="4.91"/>
    <n v="0.5"/>
    <x v="7"/>
    <x v="1"/>
    <x v="1"/>
    <x v="3"/>
    <x v="0"/>
    <x v="11"/>
    <x v="383"/>
    <s v="Small Box"/>
    <n v="0.36"/>
    <d v="2009-02-21T00:00:00"/>
    <n v="0"/>
    <n v="0"/>
    <n v="0.5"/>
    <n v="0.5"/>
  </r>
  <r>
    <n v="8058"/>
    <n v="57509"/>
    <x v="288"/>
    <x v="40"/>
    <s v="Low"/>
    <n v="11"/>
    <n v="2770.35"/>
    <n v="0.09"/>
    <s v="Delivery Truck"/>
    <n v="-202.58100000000002"/>
    <n v="259.70999999999998"/>
    <n v="66.67"/>
    <x v="7"/>
    <x v="1"/>
    <x v="1"/>
    <x v="3"/>
    <x v="2"/>
    <x v="10"/>
    <x v="384"/>
    <s v="Jumbo Box"/>
    <n v="0.61"/>
    <d v="2009-02-26T00:00:00"/>
    <n v="0"/>
    <n v="0"/>
    <n v="0.5"/>
    <n v="0.5"/>
  </r>
  <r>
    <n v="8073"/>
    <n v="57600"/>
    <x v="289"/>
    <x v="32"/>
    <s v="Critical"/>
    <n v="32"/>
    <n v="1882.12"/>
    <n v="0.05"/>
    <s v="Regular Air"/>
    <n v="584.14549999999997"/>
    <n v="59.78"/>
    <n v="10.29"/>
    <x v="16"/>
    <x v="1"/>
    <x v="1"/>
    <x v="0"/>
    <x v="0"/>
    <x v="2"/>
    <x v="172"/>
    <s v="Small Box"/>
    <n v="0.39"/>
    <d v="2012-11-13T00:00:00"/>
    <n v="0"/>
    <n v="0"/>
    <n v="0.33333333333333331"/>
    <n v="0.33333333333333331"/>
  </r>
  <r>
    <n v="8074"/>
    <n v="57600"/>
    <x v="289"/>
    <x v="32"/>
    <s v="Critical"/>
    <n v="44"/>
    <n v="186.94"/>
    <n v="0.05"/>
    <s v="Regular Air"/>
    <n v="85.81"/>
    <n v="4.13"/>
    <n v="0.5"/>
    <x v="16"/>
    <x v="2"/>
    <x v="2"/>
    <x v="0"/>
    <x v="0"/>
    <x v="11"/>
    <x v="84"/>
    <s v="Small Box"/>
    <n v="0.39"/>
    <d v="2012-11-13T00:00:00"/>
    <n v="0"/>
    <n v="0"/>
    <n v="0.33333333333333331"/>
    <n v="0.33333333333333331"/>
  </r>
  <r>
    <n v="8075"/>
    <n v="57600"/>
    <x v="289"/>
    <x v="32"/>
    <s v="Critical"/>
    <n v="12"/>
    <n v="407.2"/>
    <n v="0.01"/>
    <s v="Regular Air"/>
    <n v="-8.42"/>
    <n v="30.98"/>
    <n v="17.079999999999998"/>
    <x v="16"/>
    <x v="2"/>
    <x v="2"/>
    <x v="0"/>
    <x v="0"/>
    <x v="5"/>
    <x v="385"/>
    <s v="Small Box"/>
    <n v="0.4"/>
    <d v="2012-11-13T00:00:00"/>
    <n v="0"/>
    <n v="0"/>
    <n v="0.33333333333333331"/>
    <n v="0.33333333333333331"/>
  </r>
  <r>
    <n v="8124"/>
    <n v="58055"/>
    <x v="290"/>
    <x v="17"/>
    <s v="Critical"/>
    <n v="26"/>
    <n v="208.6"/>
    <n v="0"/>
    <s v="Regular Air"/>
    <n v="-56.45"/>
    <n v="7.38"/>
    <n v="5.21"/>
    <x v="19"/>
    <x v="2"/>
    <x v="2"/>
    <x v="1"/>
    <x v="2"/>
    <x v="4"/>
    <x v="386"/>
    <s v="Small Box"/>
    <n v="0.56000000000000005"/>
    <d v="2011-10-29T00:00:00"/>
    <n v="0"/>
    <n v="0"/>
    <n v="1"/>
    <n v="1"/>
  </r>
  <r>
    <n v="8133"/>
    <n v="58144"/>
    <x v="291"/>
    <x v="47"/>
    <s v="Low"/>
    <n v="29"/>
    <n v="778.38"/>
    <n v="0.01"/>
    <s v="Regular Air"/>
    <n v="257.32"/>
    <n v="26.38"/>
    <n v="5.86"/>
    <x v="0"/>
    <x v="2"/>
    <x v="2"/>
    <x v="0"/>
    <x v="0"/>
    <x v="5"/>
    <x v="387"/>
    <s v="Small Box"/>
    <n v="0.39"/>
    <d v="2009-12-23T00:00:00"/>
    <n v="0"/>
    <n v="0"/>
    <n v="1"/>
    <n v="1"/>
  </r>
  <r>
    <n v="8136"/>
    <n v="58150"/>
    <x v="193"/>
    <x v="39"/>
    <s v="Critical"/>
    <n v="24"/>
    <n v="60.36"/>
    <n v="0.03"/>
    <s v="Regular Air"/>
    <n v="-119.62299999999999"/>
    <n v="2.16"/>
    <n v="6.05"/>
    <x v="61"/>
    <x v="2"/>
    <x v="2"/>
    <x v="2"/>
    <x v="0"/>
    <x v="2"/>
    <x v="388"/>
    <s v="Small Box"/>
    <n v="0.37"/>
    <d v="2010-05-07T00:00:00"/>
    <n v="0"/>
    <n v="0"/>
    <n v="1"/>
    <n v="1"/>
  </r>
  <r>
    <n v="8159"/>
    <n v="58340"/>
    <x v="292"/>
    <x v="16"/>
    <s v="Medium"/>
    <n v="36"/>
    <n v="1936.3"/>
    <n v="0.03"/>
    <s v="Regular Air"/>
    <n v="278.12"/>
    <n v="50.98"/>
    <n v="13.66"/>
    <x v="11"/>
    <x v="2"/>
    <x v="2"/>
    <x v="2"/>
    <x v="0"/>
    <x v="1"/>
    <x v="389"/>
    <s v="Small Box"/>
    <n v="0.57999999999999996"/>
    <d v="2011-01-09T00:00:00"/>
    <n v="0"/>
    <n v="0"/>
    <n v="1"/>
    <n v="1"/>
  </r>
  <r>
    <n v="8162"/>
    <n v="58368"/>
    <x v="168"/>
    <x v="29"/>
    <s v="High"/>
    <n v="4"/>
    <n v="14.23"/>
    <n v="0"/>
    <s v="Regular Air"/>
    <n v="-4.43"/>
    <n v="2.08"/>
    <n v="5.33"/>
    <x v="40"/>
    <x v="2"/>
    <x v="2"/>
    <x v="2"/>
    <x v="2"/>
    <x v="4"/>
    <x v="109"/>
    <s v="Small Box"/>
    <n v="0.43"/>
    <d v="2012-07-11T00:00:00"/>
    <n v="0"/>
    <n v="0"/>
    <n v="0.33333333333333331"/>
    <n v="0.33333333333333331"/>
  </r>
  <r>
    <n v="8163"/>
    <n v="58368"/>
    <x v="168"/>
    <x v="29"/>
    <s v="High"/>
    <n v="39"/>
    <n v="272.07"/>
    <n v="0.02"/>
    <s v="Regular Air"/>
    <n v="-206.46"/>
    <n v="6.48"/>
    <n v="9.5399999999999991"/>
    <x v="40"/>
    <x v="2"/>
    <x v="2"/>
    <x v="2"/>
    <x v="0"/>
    <x v="5"/>
    <x v="390"/>
    <s v="Small Box"/>
    <n v="0.37"/>
    <d v="2012-07-10T00:00:00"/>
    <n v="0"/>
    <n v="0"/>
    <n v="0.33333333333333331"/>
    <n v="0.33333333333333331"/>
  </r>
  <r>
    <n v="8164"/>
    <n v="58368"/>
    <x v="168"/>
    <x v="29"/>
    <s v="High"/>
    <n v="5"/>
    <n v="325.43"/>
    <n v="0.09"/>
    <s v="Express Air"/>
    <n v="-76.11"/>
    <n v="64.98"/>
    <n v="6.88"/>
    <x v="40"/>
    <x v="2"/>
    <x v="2"/>
    <x v="2"/>
    <x v="0"/>
    <x v="0"/>
    <x v="391"/>
    <s v="Small Box"/>
    <n v="0.73"/>
    <d v="2012-07-09T00:00:00"/>
    <n v="0"/>
    <n v="0"/>
    <n v="0.33333333333333331"/>
    <n v="0.33333333333333331"/>
  </r>
  <r>
    <n v="8176"/>
    <n v="58434"/>
    <x v="293"/>
    <x v="28"/>
    <s v="High"/>
    <n v="42"/>
    <n v="843.53"/>
    <n v="0.04"/>
    <s v="Regular Air"/>
    <n v="268.32"/>
    <n v="19.23"/>
    <n v="6.15"/>
    <x v="6"/>
    <x v="2"/>
    <x v="2"/>
    <x v="3"/>
    <x v="2"/>
    <x v="4"/>
    <x v="392"/>
    <s v="Small Pack"/>
    <n v="0.44"/>
    <d v="2009-03-10T00:00:00"/>
    <n v="0"/>
    <n v="0"/>
    <n v="1"/>
    <n v="1"/>
  </r>
  <r>
    <n v="8197"/>
    <n v="58626"/>
    <x v="294"/>
    <x v="25"/>
    <s v="High"/>
    <n v="23"/>
    <n v="6641.14"/>
    <n v="0.05"/>
    <s v="Delivery Truck"/>
    <n v="673.77"/>
    <n v="300.98"/>
    <n v="64.73"/>
    <x v="57"/>
    <x v="2"/>
    <x v="2"/>
    <x v="0"/>
    <x v="2"/>
    <x v="14"/>
    <x v="70"/>
    <s v="Jumbo Drum"/>
    <n v="0.56000000000000005"/>
    <d v="2012-01-01T00:00:00"/>
    <n v="0"/>
    <n v="0"/>
    <n v="0.33333333333333331"/>
    <n v="0.33333333333333331"/>
  </r>
  <r>
    <n v="8198"/>
    <n v="58626"/>
    <x v="294"/>
    <x v="25"/>
    <s v="High"/>
    <n v="21"/>
    <n v="10469.030000000001"/>
    <n v="7.0000000000000007E-2"/>
    <s v="Delivery Truck"/>
    <n v="2608.7199999999998"/>
    <n v="500.98"/>
    <n v="26"/>
    <x v="57"/>
    <x v="2"/>
    <x v="2"/>
    <x v="0"/>
    <x v="2"/>
    <x v="14"/>
    <x v="38"/>
    <s v="Jumbo Drum"/>
    <n v="0.6"/>
    <d v="2012-01-02T00:00:00"/>
    <n v="0"/>
    <n v="0"/>
    <n v="0.33333333333333331"/>
    <n v="0.33333333333333331"/>
  </r>
  <r>
    <n v="8199"/>
    <n v="58626"/>
    <x v="294"/>
    <x v="25"/>
    <s v="High"/>
    <n v="18"/>
    <n v="835.55"/>
    <n v="0.04"/>
    <s v="Regular Air"/>
    <n v="171.59"/>
    <n v="45.19"/>
    <n v="1.99"/>
    <x v="57"/>
    <x v="2"/>
    <x v="2"/>
    <x v="0"/>
    <x v="1"/>
    <x v="7"/>
    <x v="256"/>
    <s v="Small Pack"/>
    <n v="0.55000000000000004"/>
    <d v="2011-12-31T00:00:00"/>
    <n v="0"/>
    <n v="0"/>
    <n v="0.33333333333333331"/>
    <n v="0.33333333333333331"/>
  </r>
  <r>
    <n v="8208"/>
    <n v="58688"/>
    <x v="295"/>
    <x v="28"/>
    <s v="Not Specified"/>
    <n v="18"/>
    <n v="215.93"/>
    <n v="0.08"/>
    <s v="Regular Air"/>
    <n v="-41.87"/>
    <n v="11.97"/>
    <n v="5.81"/>
    <x v="16"/>
    <x v="2"/>
    <x v="2"/>
    <x v="0"/>
    <x v="0"/>
    <x v="12"/>
    <x v="393"/>
    <s v="Small Pack"/>
    <n v="0.6"/>
    <d v="2009-03-31T00:00:00"/>
    <n v="0"/>
    <n v="0"/>
    <n v="1"/>
    <n v="1"/>
  </r>
  <r>
    <n v="8256"/>
    <n v="59045"/>
    <x v="296"/>
    <x v="44"/>
    <s v="Critical"/>
    <n v="30"/>
    <n v="140.24"/>
    <n v="0.05"/>
    <s v="Regular Air"/>
    <n v="32.869500000000002"/>
    <n v="4.55"/>
    <n v="1.49"/>
    <x v="48"/>
    <x v="2"/>
    <x v="2"/>
    <x v="0"/>
    <x v="0"/>
    <x v="2"/>
    <x v="394"/>
    <s v="Small Box"/>
    <n v="0.35"/>
    <d v="2011-02-15T00:00:00"/>
    <n v="0"/>
    <n v="0"/>
    <n v="1"/>
    <n v="1"/>
  </r>
  <r>
    <n v="8257"/>
    <n v="59047"/>
    <x v="297"/>
    <x v="16"/>
    <s v="Not Specified"/>
    <n v="10"/>
    <n v="266.94"/>
    <n v="0.09"/>
    <s v="Regular Air"/>
    <n v="19.2"/>
    <n v="28.48"/>
    <n v="1.99"/>
    <x v="27"/>
    <x v="2"/>
    <x v="2"/>
    <x v="2"/>
    <x v="1"/>
    <x v="7"/>
    <x v="395"/>
    <s v="Small Pack"/>
    <n v="0.4"/>
    <d v="2011-01-28T00:00:00"/>
    <n v="0"/>
    <n v="0"/>
    <n v="0.5"/>
    <n v="0.25"/>
  </r>
  <r>
    <n v="8258"/>
    <n v="59047"/>
    <x v="297"/>
    <x v="16"/>
    <s v="Not Specified"/>
    <n v="26"/>
    <n v="113.85"/>
    <n v="0.06"/>
    <s v="Regular Air"/>
    <n v="-93.93"/>
    <n v="4.1399999999999997"/>
    <n v="6.6"/>
    <x v="27"/>
    <x v="2"/>
    <x v="2"/>
    <x v="2"/>
    <x v="2"/>
    <x v="4"/>
    <x v="396"/>
    <s v="Small Box"/>
    <n v="0.49"/>
    <d v="2011-01-30T00:00:00"/>
    <n v="0"/>
    <n v="0"/>
    <n v="0.5"/>
    <n v="0.25"/>
  </r>
  <r>
    <n v="8282"/>
    <n v="59202"/>
    <x v="298"/>
    <x v="34"/>
    <s v="Medium"/>
    <n v="7"/>
    <n v="83.81"/>
    <n v="0.09"/>
    <s v="Regular Air"/>
    <n v="21.92"/>
    <n v="12.53"/>
    <n v="0.5"/>
    <x v="35"/>
    <x v="2"/>
    <x v="2"/>
    <x v="1"/>
    <x v="0"/>
    <x v="11"/>
    <x v="397"/>
    <s v="Small Box"/>
    <n v="0.38"/>
    <d v="2012-09-08T00:00:00"/>
    <n v="0"/>
    <n v="0"/>
    <n v="0.5"/>
    <n v="0.5"/>
  </r>
  <r>
    <n v="8283"/>
    <n v="59202"/>
    <x v="298"/>
    <x v="34"/>
    <s v="Medium"/>
    <n v="36"/>
    <n v="218.81"/>
    <n v="0.03"/>
    <s v="Regular Air"/>
    <n v="7.45"/>
    <n v="5.85"/>
    <n v="2.27"/>
    <x v="35"/>
    <x v="2"/>
    <x v="2"/>
    <x v="1"/>
    <x v="0"/>
    <x v="12"/>
    <x v="338"/>
    <s v="Wrap Bag"/>
    <n v="0.56000000000000005"/>
    <d v="2012-09-09T00:00:00"/>
    <n v="0"/>
    <n v="0"/>
    <n v="0.5"/>
    <n v="0.5"/>
  </r>
  <r>
    <n v="8290"/>
    <n v="59207"/>
    <x v="299"/>
    <x v="43"/>
    <s v="Critical"/>
    <n v="42"/>
    <n v="9502.7360000000008"/>
    <n v="0.02"/>
    <s v="Delivery Truck"/>
    <n v="-945.55799999999988"/>
    <n v="280.98"/>
    <n v="81.98"/>
    <x v="11"/>
    <x v="2"/>
    <x v="2"/>
    <x v="2"/>
    <x v="2"/>
    <x v="10"/>
    <x v="398"/>
    <s v="Jumbo Box"/>
    <n v="0.78"/>
    <d v="2009-05-18T00:00:00"/>
    <n v="0"/>
    <n v="0"/>
    <n v="0.5"/>
    <n v="1"/>
  </r>
  <r>
    <n v="8294"/>
    <n v="59234"/>
    <x v="300"/>
    <x v="29"/>
    <s v="Low"/>
    <n v="32"/>
    <n v="5686.25"/>
    <n v="0.04"/>
    <s v="Regular Air"/>
    <n v="2109.21"/>
    <n v="177.98"/>
    <n v="0.99"/>
    <x v="29"/>
    <x v="2"/>
    <x v="2"/>
    <x v="2"/>
    <x v="0"/>
    <x v="1"/>
    <x v="264"/>
    <s v="Small Box"/>
    <n v="0.56000000000000005"/>
    <d v="2012-08-02T00:00:00"/>
    <n v="0"/>
    <n v="0"/>
    <n v="0.5"/>
    <n v="0.5"/>
  </r>
  <r>
    <n v="8295"/>
    <n v="59234"/>
    <x v="300"/>
    <x v="29"/>
    <s v="Low"/>
    <n v="16"/>
    <n v="797.24"/>
    <n v="0.04"/>
    <s v="Delivery Truck"/>
    <n v="11.46"/>
    <n v="50.98"/>
    <n v="14.19"/>
    <x v="29"/>
    <x v="2"/>
    <x v="2"/>
    <x v="2"/>
    <x v="2"/>
    <x v="14"/>
    <x v="306"/>
    <s v="Jumbo Drum"/>
    <n v="0.56000000000000005"/>
    <d v="2012-08-03T00:00:00"/>
    <n v="0"/>
    <n v="0"/>
    <n v="0.5"/>
    <n v="0.5"/>
  </r>
  <r>
    <n v="8314"/>
    <n v="59395"/>
    <x v="301"/>
    <x v="13"/>
    <s v="Critical"/>
    <n v="20"/>
    <n v="963.3"/>
    <n v="0.06"/>
    <s v="Express Air"/>
    <n v="367.12"/>
    <n v="48.04"/>
    <n v="7.23"/>
    <x v="47"/>
    <x v="2"/>
    <x v="2"/>
    <x v="0"/>
    <x v="0"/>
    <x v="5"/>
    <x v="399"/>
    <s v="Small Box"/>
    <n v="0.37"/>
    <d v="2012-04-24T00:00:00"/>
    <n v="0"/>
    <n v="0"/>
    <n v="1"/>
    <n v="1"/>
  </r>
  <r>
    <n v="8333"/>
    <n v="59558"/>
    <x v="302"/>
    <x v="29"/>
    <s v="Not Specified"/>
    <n v="34"/>
    <n v="94.56"/>
    <n v="0"/>
    <s v="Regular Air"/>
    <n v="37.729999999999997"/>
    <n v="2.61"/>
    <n v="0.5"/>
    <x v="57"/>
    <x v="2"/>
    <x v="2"/>
    <x v="0"/>
    <x v="0"/>
    <x v="11"/>
    <x v="400"/>
    <s v="Small Box"/>
    <n v="0.39"/>
    <d v="2012-07-19T00:00:00"/>
    <n v="0"/>
    <n v="0"/>
    <n v="1"/>
    <n v="1"/>
  </r>
  <r>
    <n v="8337"/>
    <n v="59585"/>
    <x v="303"/>
    <x v="34"/>
    <s v="High"/>
    <n v="45"/>
    <n v="712.04"/>
    <n v="7.0000000000000007E-2"/>
    <s v="Regular Air"/>
    <n v="-110.925"/>
    <n v="15.99"/>
    <n v="9.4"/>
    <x v="21"/>
    <x v="2"/>
    <x v="2"/>
    <x v="1"/>
    <x v="1"/>
    <x v="16"/>
    <x v="364"/>
    <s v="Small Box"/>
    <n v="0.49"/>
    <d v="2012-09-23T00:00:00"/>
    <n v="0"/>
    <n v="0"/>
    <n v="1"/>
    <n v="1"/>
  </r>
  <r>
    <n v="8344"/>
    <n v="59651"/>
    <x v="304"/>
    <x v="39"/>
    <s v="Critical"/>
    <n v="36"/>
    <n v="283.20999999999998"/>
    <n v="0.08"/>
    <s v="Regular Air"/>
    <n v="-196.0635"/>
    <n v="8.0399999999999991"/>
    <n v="8.94"/>
    <x v="43"/>
    <x v="2"/>
    <x v="2"/>
    <x v="2"/>
    <x v="0"/>
    <x v="2"/>
    <x v="401"/>
    <s v="Small Box"/>
    <n v="0.4"/>
    <d v="2010-05-22T00:00:00"/>
    <n v="0"/>
    <n v="0"/>
    <n v="0.5"/>
    <n v="0.5"/>
  </r>
  <r>
    <n v="8345"/>
    <n v="59651"/>
    <x v="304"/>
    <x v="39"/>
    <s v="Critical"/>
    <n v="18"/>
    <n v="45.8"/>
    <n v="0.04"/>
    <s v="Regular Air"/>
    <n v="-52.92"/>
    <n v="2.23"/>
    <n v="4.57"/>
    <x v="43"/>
    <x v="2"/>
    <x v="2"/>
    <x v="2"/>
    <x v="2"/>
    <x v="4"/>
    <x v="402"/>
    <s v="Small Pack"/>
    <n v="0.41"/>
    <d v="2010-05-22T00:00:00"/>
    <n v="0"/>
    <n v="0"/>
    <n v="0.5"/>
    <n v="0.5"/>
  </r>
  <r>
    <n v="105"/>
    <n v="645"/>
    <x v="305"/>
    <x v="47"/>
    <s v="High"/>
    <n v="42"/>
    <n v="557.85"/>
    <n v="0.05"/>
    <s v="Regular Air"/>
    <n v="89.44550000000001"/>
    <n v="12.95"/>
    <n v="4.9800000000000004"/>
    <x v="64"/>
    <x v="2"/>
    <x v="2"/>
    <x v="1"/>
    <x v="0"/>
    <x v="2"/>
    <x v="169"/>
    <s v="Small Box"/>
    <n v="0.4"/>
    <d v="2009-12-04T00:00:00"/>
    <n v="0"/>
    <n v="0"/>
    <n v="1"/>
    <n v="1"/>
  </r>
  <r>
    <n v="115"/>
    <n v="769"/>
    <x v="306"/>
    <x v="30"/>
    <s v="Medium"/>
    <n v="37"/>
    <n v="4261.9399999999996"/>
    <n v="0.02"/>
    <s v="Delivery Truck"/>
    <n v="4.1500000000000057"/>
    <n v="115.99"/>
    <n v="56.14"/>
    <x v="65"/>
    <x v="2"/>
    <x v="2"/>
    <x v="1"/>
    <x v="1"/>
    <x v="16"/>
    <x v="357"/>
    <s v="Jumbo Drum"/>
    <n v="0.4"/>
    <d v="2010-06-02T00:00:00"/>
    <n v="0"/>
    <n v="0"/>
    <n v="1"/>
    <n v="1"/>
  </r>
  <r>
    <n v="119"/>
    <n v="773"/>
    <x v="307"/>
    <x v="18"/>
    <s v="Medium"/>
    <n v="38"/>
    <n v="2071.3395"/>
    <n v="0.06"/>
    <s v="Regular Air"/>
    <n v="324.92699999999996"/>
    <n v="65.989999999999995"/>
    <n v="8.99"/>
    <x v="66"/>
    <x v="2"/>
    <x v="2"/>
    <x v="3"/>
    <x v="1"/>
    <x v="3"/>
    <x v="403"/>
    <s v="Small Box"/>
    <n v="0.56000000000000005"/>
    <d v="2010-09-26T00:00:00"/>
    <n v="0"/>
    <n v="0"/>
    <n v="1"/>
    <n v="1"/>
  </r>
  <r>
    <n v="180"/>
    <n v="1187"/>
    <x v="308"/>
    <x v="32"/>
    <s v="Medium"/>
    <n v="14"/>
    <n v="222.91"/>
    <n v="0.05"/>
    <s v="Regular Air"/>
    <n v="20.21"/>
    <n v="15.98"/>
    <n v="4"/>
    <x v="67"/>
    <x v="2"/>
    <x v="2"/>
    <x v="2"/>
    <x v="1"/>
    <x v="7"/>
    <x v="404"/>
    <s v="Small Box"/>
    <n v="0.37"/>
    <d v="2012-11-20T00:00:00"/>
    <n v="0"/>
    <n v="0"/>
    <n v="1"/>
    <n v="0.25"/>
  </r>
  <r>
    <n v="342"/>
    <n v="2339"/>
    <x v="309"/>
    <x v="15"/>
    <s v="Low"/>
    <n v="12"/>
    <n v="1634.98"/>
    <n v="0.09"/>
    <s v="Regular Air"/>
    <n v="-120.45"/>
    <n v="140.85"/>
    <n v="19.989999999999998"/>
    <x v="68"/>
    <x v="2"/>
    <x v="2"/>
    <x v="0"/>
    <x v="0"/>
    <x v="0"/>
    <x v="405"/>
    <s v="Small Box"/>
    <n v="0.73"/>
    <d v="2010-12-16T00:00:00"/>
    <n v="0"/>
    <n v="0"/>
    <n v="1"/>
    <n v="0.5"/>
  </r>
  <r>
    <n v="510"/>
    <n v="3521"/>
    <x v="310"/>
    <x v="1"/>
    <s v="Low"/>
    <n v="50"/>
    <n v="204.11"/>
    <n v="0.06"/>
    <s v="Regular Air"/>
    <n v="28.71"/>
    <n v="4.28"/>
    <n v="0.94"/>
    <x v="69"/>
    <x v="2"/>
    <x v="2"/>
    <x v="3"/>
    <x v="0"/>
    <x v="12"/>
    <x v="406"/>
    <s v="Wrap Bag"/>
    <n v="0.56000000000000005"/>
    <d v="2012-10-27T00:00:00"/>
    <n v="0"/>
    <n v="0"/>
    <n v="1"/>
    <n v="1"/>
  </r>
  <r>
    <n v="587"/>
    <n v="4007"/>
    <x v="311"/>
    <x v="30"/>
    <s v="High"/>
    <n v="18"/>
    <n v="1038.4000000000001"/>
    <n v="0.01"/>
    <s v="Regular Air"/>
    <n v="112.36"/>
    <n v="56.96"/>
    <n v="13.22"/>
    <x v="53"/>
    <x v="2"/>
    <x v="2"/>
    <x v="2"/>
    <x v="0"/>
    <x v="1"/>
    <x v="407"/>
    <s v="Small Box"/>
    <n v="0.56000000000000005"/>
    <d v="2010-06-18T00:00:00"/>
    <n v="0"/>
    <n v="0"/>
    <n v="0.5"/>
    <n v="0.5"/>
  </r>
  <r>
    <n v="588"/>
    <n v="4007"/>
    <x v="311"/>
    <x v="30"/>
    <s v="High"/>
    <n v="1"/>
    <n v="305.82"/>
    <n v="0.05"/>
    <s v="Regular Air"/>
    <n v="-232.24"/>
    <n v="279.48"/>
    <n v="35"/>
    <x v="53"/>
    <x v="2"/>
    <x v="2"/>
    <x v="2"/>
    <x v="0"/>
    <x v="0"/>
    <x v="80"/>
    <s v="Large Box"/>
    <n v="0.8"/>
    <d v="2010-06-18T00:00:00"/>
    <n v="0"/>
    <n v="0"/>
    <n v="0.5"/>
    <n v="0.5"/>
  </r>
  <r>
    <n v="632"/>
    <n v="4416"/>
    <x v="151"/>
    <x v="8"/>
    <s v="Low"/>
    <n v="46"/>
    <n v="7441.29"/>
    <n v="0.1"/>
    <s v="Regular Air"/>
    <n v="2665.3960000000002"/>
    <n v="165.98"/>
    <n v="19.989999999999998"/>
    <x v="70"/>
    <x v="2"/>
    <x v="2"/>
    <x v="2"/>
    <x v="0"/>
    <x v="2"/>
    <x v="408"/>
    <s v="Small Box"/>
    <n v="0.4"/>
    <d v="2012-07-03T00:00:00"/>
    <n v="0"/>
    <n v="0"/>
    <n v="1"/>
    <n v="1"/>
  </r>
  <r>
    <n v="636"/>
    <n v="4454"/>
    <x v="312"/>
    <x v="40"/>
    <s v="Low"/>
    <n v="17"/>
    <n v="55.45"/>
    <n v="0.01"/>
    <s v="Regular Air"/>
    <n v="21.42"/>
    <n v="3.08"/>
    <n v="0.5"/>
    <x v="70"/>
    <x v="2"/>
    <x v="2"/>
    <x v="2"/>
    <x v="0"/>
    <x v="11"/>
    <x v="409"/>
    <s v="Small Box"/>
    <n v="0.37"/>
    <d v="2009-02-06T00:00:00"/>
    <n v="0"/>
    <n v="0"/>
    <n v="1"/>
    <n v="0.2"/>
  </r>
  <r>
    <n v="719"/>
    <n v="5153"/>
    <x v="249"/>
    <x v="21"/>
    <s v="Critical"/>
    <n v="37"/>
    <n v="4896.93"/>
    <n v="0.04"/>
    <s v="Express Air"/>
    <n v="1467.82"/>
    <n v="128.24"/>
    <n v="12.65"/>
    <x v="66"/>
    <x v="2"/>
    <x v="2"/>
    <x v="3"/>
    <x v="2"/>
    <x v="14"/>
    <x v="410"/>
    <s v="Medium Box"/>
    <m/>
    <d v="2011-08-27T00:00:00"/>
    <n v="0"/>
    <n v="0"/>
    <n v="1"/>
    <n v="1"/>
  </r>
  <r>
    <n v="762"/>
    <n v="5446"/>
    <x v="313"/>
    <x v="41"/>
    <s v="Low"/>
    <n v="42"/>
    <n v="433.68"/>
    <n v="7.0000000000000007E-2"/>
    <s v="Regular Air"/>
    <n v="44.1"/>
    <n v="10.98"/>
    <n v="4.8"/>
    <x v="67"/>
    <x v="2"/>
    <x v="2"/>
    <x v="2"/>
    <x v="0"/>
    <x v="8"/>
    <x v="411"/>
    <s v="Small Box"/>
    <n v="0.36"/>
    <d v="2009-06-27T00:00:00"/>
    <n v="0"/>
    <n v="0"/>
    <n v="1"/>
    <n v="1"/>
  </r>
  <r>
    <n v="1106"/>
    <n v="8131"/>
    <x v="314"/>
    <x v="39"/>
    <s v="Critical"/>
    <n v="24"/>
    <n v="717.29"/>
    <n v="0.01"/>
    <s v="Regular Air"/>
    <n v="191.29"/>
    <n v="29.89"/>
    <n v="1.99"/>
    <x v="66"/>
    <x v="2"/>
    <x v="2"/>
    <x v="3"/>
    <x v="1"/>
    <x v="7"/>
    <x v="412"/>
    <s v="Small Pack"/>
    <n v="0.5"/>
    <d v="2010-05-03T00:00:00"/>
    <n v="0"/>
    <n v="0"/>
    <n v="1"/>
    <n v="1"/>
  </r>
  <r>
    <n v="1225"/>
    <n v="8994"/>
    <x v="315"/>
    <x v="46"/>
    <s v="Low"/>
    <n v="36"/>
    <n v="1423.35"/>
    <n v="0.1"/>
    <s v="Regular Air"/>
    <n v="-580.32000000000005"/>
    <n v="40.479999999999997"/>
    <n v="19.989999999999998"/>
    <x v="71"/>
    <x v="2"/>
    <x v="2"/>
    <x v="2"/>
    <x v="1"/>
    <x v="7"/>
    <x v="413"/>
    <s v="Small Box"/>
    <n v="0.77"/>
    <d v="2009-04-09T00:00:00"/>
    <n v="0"/>
    <n v="0"/>
    <n v="1"/>
    <n v="0.5"/>
  </r>
  <r>
    <n v="1241"/>
    <n v="9027"/>
    <x v="163"/>
    <x v="31"/>
    <s v="Low"/>
    <n v="30"/>
    <n v="932.89199999999994"/>
    <n v="0.05"/>
    <s v="Regular Air"/>
    <n v="458.98200000000003"/>
    <n v="35.99"/>
    <n v="0.99"/>
    <x v="65"/>
    <x v="2"/>
    <x v="2"/>
    <x v="1"/>
    <x v="1"/>
    <x v="3"/>
    <x v="312"/>
    <s v="Small Pack"/>
    <n v="0.35"/>
    <d v="2011-09-11T00:00:00"/>
    <n v="0"/>
    <n v="0"/>
    <n v="1"/>
    <n v="1"/>
  </r>
  <r>
    <n v="1264"/>
    <n v="9216"/>
    <x v="316"/>
    <x v="37"/>
    <s v="Medium"/>
    <n v="36"/>
    <n v="5977.63"/>
    <n v="0.1"/>
    <s v="Delivery Truck"/>
    <n v="-86.68"/>
    <n v="180.98"/>
    <n v="55.24"/>
    <x v="65"/>
    <x v="2"/>
    <x v="2"/>
    <x v="1"/>
    <x v="0"/>
    <x v="1"/>
    <x v="414"/>
    <s v="Jumbo Drum"/>
    <n v="0.56999999999999995"/>
    <d v="2011-04-16T00:00:00"/>
    <n v="0"/>
    <n v="0"/>
    <n v="1"/>
    <n v="1"/>
  </r>
  <r>
    <n v="1302"/>
    <n v="9537"/>
    <x v="296"/>
    <x v="44"/>
    <s v="Not Specified"/>
    <n v="6"/>
    <n v="906.02"/>
    <n v="0.1"/>
    <s v="Delivery Truck"/>
    <n v="-382.38"/>
    <n v="150.97999999999999"/>
    <n v="66.27"/>
    <x v="68"/>
    <x v="2"/>
    <x v="2"/>
    <x v="0"/>
    <x v="2"/>
    <x v="9"/>
    <x v="207"/>
    <s v="Jumbo Box"/>
    <n v="0.65"/>
    <d v="2011-02-15T00:00:00"/>
    <n v="0"/>
    <n v="0"/>
    <n v="0.5"/>
    <n v="0.5"/>
  </r>
  <r>
    <n v="1303"/>
    <n v="9537"/>
    <x v="296"/>
    <x v="44"/>
    <s v="Not Specified"/>
    <n v="43"/>
    <n v="170.88"/>
    <n v="0.01"/>
    <s v="Regular Air"/>
    <n v="-149.08599999999998"/>
    <n v="3.81"/>
    <n v="5.44"/>
    <x v="68"/>
    <x v="2"/>
    <x v="2"/>
    <x v="0"/>
    <x v="0"/>
    <x v="2"/>
    <x v="415"/>
    <s v="Small Box"/>
    <n v="0.36"/>
    <d v="2011-02-15T00:00:00"/>
    <n v="0"/>
    <n v="0"/>
    <n v="0.5"/>
    <n v="0.5"/>
  </r>
  <r>
    <n v="1307"/>
    <n v="9574"/>
    <x v="317"/>
    <x v="2"/>
    <s v="Medium"/>
    <n v="40"/>
    <n v="434.62"/>
    <n v="0.08"/>
    <s v="Regular Air"/>
    <n v="-68.977000000000004"/>
    <n v="11.5"/>
    <n v="7.19"/>
    <x v="72"/>
    <x v="2"/>
    <x v="2"/>
    <x v="2"/>
    <x v="0"/>
    <x v="2"/>
    <x v="274"/>
    <s v="Small Box"/>
    <n v="0.4"/>
    <d v="2011-07-31T00:00:00"/>
    <n v="0"/>
    <n v="0"/>
    <n v="1"/>
    <n v="1"/>
  </r>
  <r>
    <n v="1442"/>
    <n v="10435"/>
    <x v="318"/>
    <x v="3"/>
    <s v="Medium"/>
    <n v="38"/>
    <n v="871.25"/>
    <n v="0.06"/>
    <s v="Regular Air"/>
    <n v="-14.31"/>
    <n v="22.99"/>
    <n v="8.99"/>
    <x v="73"/>
    <x v="2"/>
    <x v="2"/>
    <x v="2"/>
    <x v="0"/>
    <x v="12"/>
    <x v="416"/>
    <s v="Small Pack"/>
    <n v="0.56999999999999995"/>
    <d v="2010-08-12T00:00:00"/>
    <n v="0"/>
    <n v="0"/>
    <n v="0.5"/>
    <n v="0.5"/>
  </r>
  <r>
    <n v="1443"/>
    <n v="10435"/>
    <x v="318"/>
    <x v="3"/>
    <s v="Medium"/>
    <n v="46"/>
    <n v="537.87"/>
    <n v="0.05"/>
    <s v="Regular Air"/>
    <n v="-162.24"/>
    <n v="11.66"/>
    <n v="7.95"/>
    <x v="73"/>
    <x v="2"/>
    <x v="2"/>
    <x v="2"/>
    <x v="0"/>
    <x v="12"/>
    <x v="417"/>
    <s v="Small Pack"/>
    <n v="0.57999999999999996"/>
    <d v="2010-08-11T00:00:00"/>
    <n v="0"/>
    <n v="0"/>
    <n v="0.5"/>
    <n v="0.5"/>
  </r>
  <r>
    <n v="1501"/>
    <n v="10851"/>
    <x v="319"/>
    <x v="46"/>
    <s v="High"/>
    <n v="50"/>
    <n v="608.21"/>
    <n v="0.09"/>
    <s v="Regular Air"/>
    <n v="-175.13"/>
    <n v="12.88"/>
    <n v="4.59"/>
    <x v="74"/>
    <x v="2"/>
    <x v="2"/>
    <x v="1"/>
    <x v="0"/>
    <x v="15"/>
    <x v="418"/>
    <s v="Wrap Bag"/>
    <n v="0.82"/>
    <d v="2009-04-06T00:00:00"/>
    <n v="0"/>
    <n v="0"/>
    <n v="0.5"/>
    <n v="0.5"/>
  </r>
  <r>
    <n v="1503"/>
    <n v="10852"/>
    <x v="320"/>
    <x v="0"/>
    <s v="High"/>
    <n v="17"/>
    <n v="285.83999999999997"/>
    <n v="0.02"/>
    <s v="Regular Air"/>
    <n v="-27.254999999999999"/>
    <n v="15.28"/>
    <n v="10.91"/>
    <x v="64"/>
    <x v="2"/>
    <x v="2"/>
    <x v="3"/>
    <x v="0"/>
    <x v="2"/>
    <x v="419"/>
    <s v="Small Box"/>
    <n v="0.36"/>
    <d v="2010-10-28T00:00:00"/>
    <n v="0"/>
    <n v="0"/>
    <n v="0.5"/>
    <n v="0.5"/>
  </r>
  <r>
    <n v="1504"/>
    <n v="10852"/>
    <x v="320"/>
    <x v="0"/>
    <s v="High"/>
    <n v="40"/>
    <n v="12450.48"/>
    <n v="0.01"/>
    <s v="Delivery Truck"/>
    <n v="3030.16"/>
    <n v="300.98"/>
    <n v="54.92"/>
    <x v="64"/>
    <x v="2"/>
    <x v="2"/>
    <x v="3"/>
    <x v="2"/>
    <x v="9"/>
    <x v="420"/>
    <s v="Jumbo Box"/>
    <n v="0.55000000000000004"/>
    <d v="2010-10-27T00:00:00"/>
    <n v="0"/>
    <n v="0"/>
    <n v="0.5"/>
    <n v="0.5"/>
  </r>
  <r>
    <n v="1560"/>
    <n v="11269"/>
    <x v="321"/>
    <x v="20"/>
    <s v="Low"/>
    <n v="39"/>
    <n v="2083.0525000000002"/>
    <n v="0.09"/>
    <s v="Express Air"/>
    <n v="354.96"/>
    <n v="65.989999999999995"/>
    <n v="5.99"/>
    <x v="64"/>
    <x v="2"/>
    <x v="2"/>
    <x v="3"/>
    <x v="1"/>
    <x v="3"/>
    <x v="421"/>
    <s v="Small Box"/>
    <n v="0.57999999999999996"/>
    <d v="2012-05-30T00:00:00"/>
    <n v="0"/>
    <n v="0"/>
    <n v="0.33333333333333331"/>
    <n v="0.33333333333333331"/>
  </r>
  <r>
    <n v="1561"/>
    <n v="11269"/>
    <x v="321"/>
    <x v="20"/>
    <s v="Low"/>
    <n v="49"/>
    <n v="233.28"/>
    <n v="0.04"/>
    <s v="Regular Air"/>
    <n v="112.35"/>
    <n v="4.91"/>
    <n v="0.5"/>
    <x v="64"/>
    <x v="2"/>
    <x v="2"/>
    <x v="3"/>
    <x v="0"/>
    <x v="11"/>
    <x v="383"/>
    <s v="Small Box"/>
    <n v="0.36"/>
    <d v="2012-06-02T00:00:00"/>
    <n v="0"/>
    <n v="0"/>
    <n v="0.33333333333333331"/>
    <n v="0.33333333333333331"/>
  </r>
  <r>
    <n v="1562"/>
    <n v="11269"/>
    <x v="321"/>
    <x v="20"/>
    <s v="Low"/>
    <n v="1"/>
    <n v="47.01"/>
    <n v="0.09"/>
    <s v="Regular Air"/>
    <n v="-19.32"/>
    <n v="27.75"/>
    <n v="19.989999999999998"/>
    <x v="64"/>
    <x v="2"/>
    <x v="2"/>
    <x v="3"/>
    <x v="0"/>
    <x v="0"/>
    <x v="422"/>
    <s v="Small Box"/>
    <n v="0.67"/>
    <d v="2012-06-02T00:00:00"/>
    <n v="0"/>
    <n v="0"/>
    <n v="0.33333333333333331"/>
    <n v="0.33333333333333331"/>
  </r>
  <r>
    <n v="1571"/>
    <n v="11362"/>
    <x v="322"/>
    <x v="34"/>
    <s v="Low"/>
    <n v="32"/>
    <n v="3245.73"/>
    <n v="0.09"/>
    <s v="Regular Air"/>
    <n v="569.57000000000005"/>
    <n v="110.98"/>
    <n v="13.99"/>
    <x v="75"/>
    <x v="2"/>
    <x v="2"/>
    <x v="2"/>
    <x v="2"/>
    <x v="4"/>
    <x v="423"/>
    <s v="Medium Box"/>
    <n v="0.69"/>
    <d v="2012-09-12T00:00:00"/>
    <n v="0"/>
    <n v="0"/>
    <n v="0.25"/>
    <n v="0.25"/>
  </r>
  <r>
    <n v="1572"/>
    <n v="11362"/>
    <x v="322"/>
    <x v="34"/>
    <s v="Low"/>
    <n v="27"/>
    <n v="63.02"/>
    <n v="7.0000000000000007E-2"/>
    <s v="Regular Air"/>
    <n v="-119.66"/>
    <n v="2.1800000000000002"/>
    <n v="5"/>
    <x v="75"/>
    <x v="2"/>
    <x v="2"/>
    <x v="2"/>
    <x v="0"/>
    <x v="15"/>
    <x v="424"/>
    <s v="Wrap Bag"/>
    <n v="0.81"/>
    <d v="2012-09-12T00:00:00"/>
    <n v="0"/>
    <n v="0"/>
    <n v="0.25"/>
    <n v="0.25"/>
  </r>
  <r>
    <n v="1573"/>
    <n v="11362"/>
    <x v="322"/>
    <x v="34"/>
    <s v="Low"/>
    <n v="9"/>
    <n v="6420.87"/>
    <n v="0.02"/>
    <s v="Regular Air"/>
    <n v="-690.21"/>
    <n v="699.99"/>
    <n v="24.49"/>
    <x v="75"/>
    <x v="2"/>
    <x v="2"/>
    <x v="2"/>
    <x v="1"/>
    <x v="13"/>
    <x v="286"/>
    <s v="Large Box"/>
    <n v="0.41"/>
    <d v="2012-09-15T00:00:00"/>
    <n v="0"/>
    <n v="0"/>
    <n v="0.25"/>
    <n v="0.25"/>
  </r>
  <r>
    <n v="1574"/>
    <n v="11362"/>
    <x v="322"/>
    <x v="34"/>
    <s v="Low"/>
    <n v="25"/>
    <n v="2407.6929999999998"/>
    <n v="0.04"/>
    <s v="Regular Air"/>
    <n v="424.14299999999997"/>
    <n v="110.99"/>
    <n v="8.99"/>
    <x v="75"/>
    <x v="2"/>
    <x v="2"/>
    <x v="2"/>
    <x v="1"/>
    <x v="3"/>
    <x v="425"/>
    <s v="Small Box"/>
    <n v="0.56999999999999995"/>
    <d v="2012-09-14T00:00:00"/>
    <n v="0"/>
    <n v="0"/>
    <n v="0.25"/>
    <n v="0.25"/>
  </r>
  <r>
    <n v="1659"/>
    <n v="11968"/>
    <x v="323"/>
    <x v="5"/>
    <s v="Low"/>
    <n v="31"/>
    <n v="109.49"/>
    <n v="0.04"/>
    <s v="Regular Air"/>
    <n v="26.09"/>
    <n v="3.38"/>
    <n v="0.85"/>
    <x v="71"/>
    <x v="2"/>
    <x v="2"/>
    <x v="2"/>
    <x v="0"/>
    <x v="12"/>
    <x v="426"/>
    <s v="Wrap Bag"/>
    <n v="0.48"/>
    <d v="2011-03-16T00:00:00"/>
    <n v="0"/>
    <n v="0"/>
    <n v="1"/>
    <n v="0.5"/>
  </r>
  <r>
    <n v="1712"/>
    <n v="12293"/>
    <x v="324"/>
    <x v="4"/>
    <s v="High"/>
    <n v="31"/>
    <n v="283.17"/>
    <n v="0"/>
    <s v="Regular Air"/>
    <n v="119.64"/>
    <n v="8.74"/>
    <n v="1.39"/>
    <x v="64"/>
    <x v="2"/>
    <x v="2"/>
    <x v="3"/>
    <x v="0"/>
    <x v="8"/>
    <x v="427"/>
    <s v="Small Box"/>
    <n v="0.38"/>
    <d v="2011-06-19T00:00:00"/>
    <n v="0"/>
    <n v="0"/>
    <n v="1"/>
    <n v="1"/>
  </r>
  <r>
    <n v="1783"/>
    <n v="12773"/>
    <x v="325"/>
    <x v="16"/>
    <s v="Low"/>
    <n v="6"/>
    <n v="17"/>
    <n v="7.0000000000000007E-2"/>
    <s v="Regular Air"/>
    <n v="-4.6114999999999995"/>
    <n v="2.78"/>
    <n v="1.49"/>
    <x v="76"/>
    <x v="2"/>
    <x v="2"/>
    <x v="2"/>
    <x v="0"/>
    <x v="2"/>
    <x v="428"/>
    <s v="Small Box"/>
    <n v="0.39"/>
    <d v="2011-01-13T00:00:00"/>
    <n v="0"/>
    <n v="0"/>
    <n v="0.25"/>
    <n v="0.16666666666666666"/>
  </r>
  <r>
    <n v="1784"/>
    <n v="12773"/>
    <x v="325"/>
    <x v="16"/>
    <s v="Low"/>
    <n v="15"/>
    <n v="67.41"/>
    <n v="0.04"/>
    <s v="Regular Air"/>
    <n v="-49.6"/>
    <n v="4.1399999999999997"/>
    <n v="6.6"/>
    <x v="76"/>
    <x v="2"/>
    <x v="2"/>
    <x v="2"/>
    <x v="2"/>
    <x v="4"/>
    <x v="396"/>
    <s v="Small Box"/>
    <n v="0.49"/>
    <d v="2011-01-20T00:00:00"/>
    <n v="0"/>
    <n v="0"/>
    <n v="0.25"/>
    <n v="0.16666666666666666"/>
  </r>
  <r>
    <n v="1785"/>
    <n v="12773"/>
    <x v="325"/>
    <x v="16"/>
    <s v="Low"/>
    <n v="19"/>
    <n v="130.66999999999999"/>
    <n v="0.05"/>
    <s v="Regular Air"/>
    <n v="-77.180000000000007"/>
    <n v="6.48"/>
    <n v="7.86"/>
    <x v="76"/>
    <x v="2"/>
    <x v="2"/>
    <x v="2"/>
    <x v="0"/>
    <x v="5"/>
    <x v="59"/>
    <s v="Small Box"/>
    <n v="0.37"/>
    <d v="2011-01-16T00:00:00"/>
    <n v="0"/>
    <n v="0"/>
    <n v="0.25"/>
    <n v="0.16666666666666666"/>
  </r>
  <r>
    <n v="1786"/>
    <n v="12773"/>
    <x v="325"/>
    <x v="16"/>
    <s v="Low"/>
    <n v="21"/>
    <n v="77.62"/>
    <n v="0.01"/>
    <s v="Regular Air"/>
    <n v="-50.88"/>
    <n v="3.28"/>
    <n v="3.97"/>
    <x v="76"/>
    <x v="2"/>
    <x v="2"/>
    <x v="2"/>
    <x v="0"/>
    <x v="12"/>
    <x v="429"/>
    <s v="Wrap Bag"/>
    <n v="0.56000000000000005"/>
    <d v="2011-01-16T00:00:00"/>
    <n v="0"/>
    <n v="0"/>
    <n v="0.25"/>
    <n v="0.16666666666666666"/>
  </r>
  <r>
    <n v="1810"/>
    <n v="12934"/>
    <x v="326"/>
    <x v="28"/>
    <s v="Not Specified"/>
    <n v="45"/>
    <n v="440.39"/>
    <n v="0.05"/>
    <s v="Regular Air"/>
    <n v="186.64"/>
    <n v="9.7799999999999994"/>
    <n v="1.39"/>
    <x v="67"/>
    <x v="2"/>
    <x v="2"/>
    <x v="2"/>
    <x v="0"/>
    <x v="8"/>
    <x v="430"/>
    <s v="Small Box"/>
    <n v="0.39"/>
    <d v="2009-03-06T00:00:00"/>
    <n v="0"/>
    <n v="0"/>
    <n v="0.5"/>
    <n v="0.5"/>
  </r>
  <r>
    <n v="1811"/>
    <n v="12934"/>
    <x v="326"/>
    <x v="28"/>
    <s v="Not Specified"/>
    <n v="27"/>
    <n v="96.99"/>
    <n v="0.02"/>
    <s v="Express Air"/>
    <n v="-66.349999999999994"/>
    <n v="3.28"/>
    <n v="3.97"/>
    <x v="67"/>
    <x v="2"/>
    <x v="2"/>
    <x v="2"/>
    <x v="0"/>
    <x v="12"/>
    <x v="431"/>
    <s v="Wrap Bag"/>
    <n v="0.56000000000000005"/>
    <d v="2009-03-06T00:00:00"/>
    <n v="0"/>
    <n v="0"/>
    <n v="0.5"/>
    <n v="0.5"/>
  </r>
  <r>
    <n v="1826"/>
    <n v="13120"/>
    <x v="327"/>
    <x v="47"/>
    <s v="Low"/>
    <n v="46"/>
    <n v="590.42999999999995"/>
    <n v="0.09"/>
    <s v="Regular Air"/>
    <n v="82.594499999999996"/>
    <n v="12.95"/>
    <n v="4.9800000000000004"/>
    <x v="72"/>
    <x v="2"/>
    <x v="2"/>
    <x v="1"/>
    <x v="0"/>
    <x v="2"/>
    <x v="169"/>
    <s v="Small Box"/>
    <n v="0.4"/>
    <d v="2009-12-21T00:00:00"/>
    <n v="0"/>
    <n v="0"/>
    <n v="0.5"/>
    <n v="0.5"/>
  </r>
  <r>
    <n v="1827"/>
    <n v="13120"/>
    <x v="327"/>
    <x v="47"/>
    <s v="Low"/>
    <n v="8"/>
    <n v="216.33"/>
    <n v="0"/>
    <s v="Regular Air"/>
    <n v="-17.364999999999998"/>
    <n v="24.92"/>
    <n v="12.98"/>
    <x v="72"/>
    <x v="2"/>
    <x v="2"/>
    <x v="1"/>
    <x v="0"/>
    <x v="2"/>
    <x v="202"/>
    <s v="Small Box"/>
    <n v="0.39"/>
    <d v="2009-12-14T00:00:00"/>
    <n v="0"/>
    <n v="0"/>
    <n v="0.5"/>
    <n v="0.5"/>
  </r>
  <r>
    <n v="1896"/>
    <n v="13604"/>
    <x v="328"/>
    <x v="40"/>
    <s v="Not Specified"/>
    <n v="38"/>
    <n v="3152.75"/>
    <n v="0.04"/>
    <s v="Regular Air"/>
    <n v="1166.4000000000001"/>
    <n v="83.1"/>
    <n v="6.13"/>
    <x v="70"/>
    <x v="2"/>
    <x v="2"/>
    <x v="2"/>
    <x v="1"/>
    <x v="7"/>
    <x v="432"/>
    <s v="Small Box"/>
    <n v="0.45"/>
    <d v="2009-02-04T00:00:00"/>
    <n v="0"/>
    <n v="0"/>
    <n v="0.5"/>
    <n v="0.2"/>
  </r>
  <r>
    <n v="1897"/>
    <n v="13604"/>
    <x v="328"/>
    <x v="40"/>
    <s v="Not Specified"/>
    <n v="42"/>
    <n v="3609.88"/>
    <n v="7.0000000000000007E-2"/>
    <s v="Regular Air"/>
    <n v="-1396.22"/>
    <n v="90.98"/>
    <n v="56.2"/>
    <x v="70"/>
    <x v="2"/>
    <x v="2"/>
    <x v="2"/>
    <x v="2"/>
    <x v="4"/>
    <x v="433"/>
    <s v="Medium Box"/>
    <n v="0.74"/>
    <d v="2009-02-05T00:00:00"/>
    <n v="0"/>
    <n v="0"/>
    <n v="0.5"/>
    <n v="0.2"/>
  </r>
  <r>
    <n v="1947"/>
    <n v="13927"/>
    <x v="170"/>
    <x v="26"/>
    <s v="Low"/>
    <n v="26"/>
    <n v="188.05"/>
    <n v="0.04"/>
    <s v="Express Air"/>
    <n v="-21.41"/>
    <n v="6.48"/>
    <n v="5.16"/>
    <x v="77"/>
    <x v="2"/>
    <x v="2"/>
    <x v="2"/>
    <x v="0"/>
    <x v="5"/>
    <x v="434"/>
    <s v="Small Box"/>
    <n v="0.37"/>
    <d v="2009-09-02T00:00:00"/>
    <n v="0"/>
    <n v="0"/>
    <n v="1"/>
    <n v="1"/>
  </r>
  <r>
    <n v="2104"/>
    <n v="15044"/>
    <x v="329"/>
    <x v="33"/>
    <s v="Low"/>
    <n v="42"/>
    <n v="1681.6"/>
    <n v="7.0000000000000007E-2"/>
    <s v="Regular Air"/>
    <n v="167.37"/>
    <n v="39.99"/>
    <n v="10.25"/>
    <x v="70"/>
    <x v="2"/>
    <x v="2"/>
    <x v="2"/>
    <x v="1"/>
    <x v="7"/>
    <x v="435"/>
    <s v="Small Box"/>
    <n v="0.55000000000000004"/>
    <d v="2012-03-10T00:00:00"/>
    <n v="0"/>
    <n v="0"/>
    <n v="1"/>
    <n v="1"/>
  </r>
  <r>
    <n v="2124"/>
    <n v="15139"/>
    <x v="330"/>
    <x v="11"/>
    <s v="High"/>
    <n v="17"/>
    <n v="5203.8999999999996"/>
    <n v="7.0000000000000007E-2"/>
    <s v="Delivery Truck"/>
    <n v="636.20000000000005"/>
    <n v="300.98"/>
    <n v="64.73"/>
    <x v="67"/>
    <x v="2"/>
    <x v="2"/>
    <x v="2"/>
    <x v="2"/>
    <x v="14"/>
    <x v="70"/>
    <s v="Jumbo Drum"/>
    <n v="0.56000000000000005"/>
    <d v="2009-11-21T00:00:00"/>
    <n v="0"/>
    <n v="0"/>
    <n v="0.5"/>
    <n v="0.33333333333333331"/>
  </r>
  <r>
    <n v="2125"/>
    <n v="15139"/>
    <x v="330"/>
    <x v="11"/>
    <s v="High"/>
    <n v="33"/>
    <n v="744.12"/>
    <n v="0.01"/>
    <s v="Delivery Truck"/>
    <n v="-1163.21"/>
    <n v="20.98"/>
    <n v="45"/>
    <x v="67"/>
    <x v="2"/>
    <x v="2"/>
    <x v="2"/>
    <x v="0"/>
    <x v="0"/>
    <x v="436"/>
    <s v="Jumbo Drum"/>
    <n v="0.61"/>
    <d v="2009-11-19T00:00:00"/>
    <n v="0"/>
    <n v="0"/>
    <n v="0.5"/>
    <n v="0.33333333333333331"/>
  </r>
  <r>
    <n v="2158"/>
    <n v="15463"/>
    <x v="331"/>
    <x v="42"/>
    <s v="Low"/>
    <n v="48"/>
    <n v="293.3"/>
    <n v="0.04"/>
    <s v="Express Air"/>
    <n v="-193.48"/>
    <n v="5.98"/>
    <n v="7.5"/>
    <x v="73"/>
    <x v="2"/>
    <x v="2"/>
    <x v="2"/>
    <x v="0"/>
    <x v="5"/>
    <x v="437"/>
    <s v="Small Box"/>
    <n v="0.4"/>
    <d v="2010-07-26T00:00:00"/>
    <n v="0"/>
    <n v="0"/>
    <n v="1"/>
    <n v="1"/>
  </r>
  <r>
    <n v="2164"/>
    <n v="15618"/>
    <x v="136"/>
    <x v="3"/>
    <s v="Medium"/>
    <n v="9"/>
    <n v="50.93"/>
    <n v="0.06"/>
    <s v="Regular Air"/>
    <n v="-34.979999999999997"/>
    <n v="5.28"/>
    <n v="6.26"/>
    <x v="72"/>
    <x v="2"/>
    <x v="2"/>
    <x v="1"/>
    <x v="0"/>
    <x v="5"/>
    <x v="438"/>
    <s v="Small Box"/>
    <n v="0.4"/>
    <d v="2010-08-07T00:00:00"/>
    <n v="0"/>
    <n v="0"/>
    <n v="0.33333333333333331"/>
    <n v="0.33333333333333331"/>
  </r>
  <r>
    <n v="2165"/>
    <n v="15618"/>
    <x v="136"/>
    <x v="3"/>
    <s v="Medium"/>
    <n v="44"/>
    <n v="792.8"/>
    <n v="0.08"/>
    <s v="Regular Air"/>
    <n v="26.27"/>
    <n v="18.97"/>
    <n v="9.5399999999999991"/>
    <x v="72"/>
    <x v="2"/>
    <x v="2"/>
    <x v="1"/>
    <x v="0"/>
    <x v="5"/>
    <x v="439"/>
    <s v="Small Box"/>
    <n v="0.37"/>
    <d v="2010-08-06T00:00:00"/>
    <n v="0"/>
    <n v="0"/>
    <n v="0.33333333333333331"/>
    <n v="0.33333333333333331"/>
  </r>
  <r>
    <n v="2166"/>
    <n v="15618"/>
    <x v="136"/>
    <x v="3"/>
    <s v="Medium"/>
    <n v="14"/>
    <n v="782.45049999999992"/>
    <n v="0.06"/>
    <s v="Regular Air"/>
    <n v="-11.395999999999999"/>
    <n v="65.989999999999995"/>
    <n v="3.99"/>
    <x v="72"/>
    <x v="2"/>
    <x v="2"/>
    <x v="1"/>
    <x v="1"/>
    <x v="3"/>
    <x v="440"/>
    <s v="Small Box"/>
    <n v="0.59"/>
    <d v="2010-08-06T00:00:00"/>
    <n v="0"/>
    <n v="0"/>
    <n v="0.33333333333333331"/>
    <n v="0.33333333333333331"/>
  </r>
  <r>
    <n v="2227"/>
    <n v="16100"/>
    <x v="332"/>
    <x v="5"/>
    <s v="Medium"/>
    <n v="44"/>
    <n v="226.18"/>
    <n v="0.01"/>
    <s v="Regular Air"/>
    <n v="-115.54"/>
    <n v="4.82"/>
    <n v="5.72"/>
    <x v="78"/>
    <x v="2"/>
    <x v="2"/>
    <x v="2"/>
    <x v="2"/>
    <x v="4"/>
    <x v="441"/>
    <s v="Small Pack"/>
    <n v="0.47"/>
    <d v="2011-03-08T00:00:00"/>
    <n v="0"/>
    <n v="0"/>
    <n v="1"/>
    <n v="1"/>
  </r>
  <r>
    <n v="2269"/>
    <n v="16320"/>
    <x v="333"/>
    <x v="17"/>
    <s v="Not Specified"/>
    <n v="17"/>
    <n v="1856.9694999999999"/>
    <n v="0"/>
    <s v="Regular Air"/>
    <n v="176.86799999999999"/>
    <n v="125.99"/>
    <n v="8.08"/>
    <x v="79"/>
    <x v="2"/>
    <x v="2"/>
    <x v="0"/>
    <x v="1"/>
    <x v="3"/>
    <x v="442"/>
    <s v="Small Box"/>
    <n v="0.56999999999999995"/>
    <d v="2011-10-22T00:00:00"/>
    <n v="0"/>
    <n v="0"/>
    <n v="1"/>
    <n v="1"/>
  </r>
  <r>
    <n v="2278"/>
    <n v="16419"/>
    <x v="334"/>
    <x v="26"/>
    <s v="Not Specified"/>
    <n v="43"/>
    <n v="241.19"/>
    <n v="0.08"/>
    <s v="Regular Air"/>
    <n v="-103.65"/>
    <n v="5.78"/>
    <n v="5.67"/>
    <x v="72"/>
    <x v="2"/>
    <x v="2"/>
    <x v="1"/>
    <x v="0"/>
    <x v="5"/>
    <x v="443"/>
    <s v="Small Box"/>
    <n v="0.36"/>
    <d v="2009-08-05T00:00:00"/>
    <n v="0"/>
    <n v="0"/>
    <n v="1"/>
    <n v="1"/>
  </r>
  <r>
    <n v="2362"/>
    <n v="17090"/>
    <x v="335"/>
    <x v="24"/>
    <s v="Low"/>
    <n v="30"/>
    <n v="4177.5200000000004"/>
    <n v="0.04"/>
    <s v="Delivery Truck"/>
    <n v="-443.78"/>
    <n v="140.97999999999999"/>
    <n v="36.090000000000003"/>
    <x v="76"/>
    <x v="2"/>
    <x v="2"/>
    <x v="2"/>
    <x v="2"/>
    <x v="9"/>
    <x v="228"/>
    <s v="Jumbo Box"/>
    <n v="0.77"/>
    <d v="2010-04-30T00:00:00"/>
    <n v="0"/>
    <n v="0"/>
    <n v="0.5"/>
    <n v="0.5"/>
  </r>
  <r>
    <n v="2363"/>
    <n v="17090"/>
    <x v="335"/>
    <x v="24"/>
    <s v="Low"/>
    <n v="26"/>
    <n v="3351.08"/>
    <n v="0.05"/>
    <s v="Delivery Truck"/>
    <n v="-1086.43"/>
    <n v="122.99"/>
    <n v="70.2"/>
    <x v="76"/>
    <x v="2"/>
    <x v="2"/>
    <x v="2"/>
    <x v="2"/>
    <x v="14"/>
    <x v="301"/>
    <s v="Jumbo Drum"/>
    <n v="0.74"/>
    <d v="2010-05-03T00:00:00"/>
    <n v="0"/>
    <n v="0"/>
    <n v="0.5"/>
    <n v="0.5"/>
  </r>
  <r>
    <n v="2391"/>
    <n v="17315"/>
    <x v="336"/>
    <x v="46"/>
    <s v="Low"/>
    <n v="29"/>
    <n v="159.11000000000001"/>
    <n v="7.0000000000000007E-2"/>
    <s v="Regular Air"/>
    <n v="64.010000000000005"/>
    <n v="5.43"/>
    <n v="0.95"/>
    <x v="72"/>
    <x v="2"/>
    <x v="2"/>
    <x v="1"/>
    <x v="0"/>
    <x v="5"/>
    <x v="444"/>
    <s v="Wrap Bag"/>
    <n v="0.36"/>
    <d v="2009-04-26T00:00:00"/>
    <n v="0"/>
    <n v="0"/>
    <n v="1"/>
    <n v="1"/>
  </r>
  <r>
    <n v="2395"/>
    <n v="17376"/>
    <x v="337"/>
    <x v="25"/>
    <s v="High"/>
    <n v="44"/>
    <n v="1127.81"/>
    <n v="0.1"/>
    <s v="Regular Air"/>
    <n v="425.08"/>
    <n v="28.48"/>
    <n v="1.99"/>
    <x v="72"/>
    <x v="2"/>
    <x v="2"/>
    <x v="2"/>
    <x v="1"/>
    <x v="7"/>
    <x v="395"/>
    <s v="Small Pack"/>
    <n v="0.4"/>
    <d v="2011-12-06T00:00:00"/>
    <n v="0"/>
    <n v="0"/>
    <n v="1"/>
    <n v="1"/>
  </r>
  <r>
    <n v="2506"/>
    <n v="18210"/>
    <x v="338"/>
    <x v="3"/>
    <s v="Not Specified"/>
    <n v="27"/>
    <n v="9293.82"/>
    <n v="0.08"/>
    <s v="Regular Air"/>
    <n v="2437.17"/>
    <n v="363.25"/>
    <n v="19.989999999999998"/>
    <x v="76"/>
    <x v="2"/>
    <x v="2"/>
    <x v="0"/>
    <x v="0"/>
    <x v="1"/>
    <x v="445"/>
    <s v="Small Box"/>
    <n v="0.56999999999999995"/>
    <d v="2010-08-07T00:00:00"/>
    <n v="0"/>
    <n v="0"/>
    <n v="0.5"/>
    <n v="0.5"/>
  </r>
  <r>
    <n v="2507"/>
    <n v="18210"/>
    <x v="338"/>
    <x v="3"/>
    <s v="Not Specified"/>
    <n v="27"/>
    <n v="80.790000000000006"/>
    <n v="0"/>
    <s v="Regular Air"/>
    <n v="12.58"/>
    <n v="2.88"/>
    <n v="0.7"/>
    <x v="76"/>
    <x v="2"/>
    <x v="2"/>
    <x v="0"/>
    <x v="0"/>
    <x v="12"/>
    <x v="24"/>
    <s v="Wrap Bag"/>
    <n v="0.56000000000000005"/>
    <d v="2010-08-07T00:00:00"/>
    <n v="0"/>
    <n v="0"/>
    <n v="0.5"/>
    <n v="0.5"/>
  </r>
  <r>
    <n v="2514"/>
    <n v="18273"/>
    <x v="339"/>
    <x v="31"/>
    <s v="Low"/>
    <n v="18"/>
    <n v="925.03"/>
    <n v="0.06"/>
    <s v="Regular Air"/>
    <n v="-3.680000000000021"/>
    <n v="49.99"/>
    <n v="19.989999999999998"/>
    <x v="53"/>
    <x v="2"/>
    <x v="2"/>
    <x v="2"/>
    <x v="1"/>
    <x v="7"/>
    <x v="446"/>
    <s v="Small Box"/>
    <n v="0.41"/>
    <d v="2011-09-17T00:00:00"/>
    <n v="0"/>
    <n v="0"/>
    <n v="1"/>
    <n v="1"/>
  </r>
  <r>
    <n v="2600"/>
    <n v="18788"/>
    <x v="340"/>
    <x v="19"/>
    <s v="Not Specified"/>
    <n v="27"/>
    <n v="566.12"/>
    <n v="0.03"/>
    <s v="Regular Air"/>
    <n v="-19.329999999999998"/>
    <n v="19.989999999999998"/>
    <n v="11.17"/>
    <x v="72"/>
    <x v="2"/>
    <x v="2"/>
    <x v="2"/>
    <x v="2"/>
    <x v="4"/>
    <x v="220"/>
    <s v="Large Box"/>
    <n v="0.6"/>
    <d v="2009-10-03T00:00:00"/>
    <n v="0"/>
    <n v="0"/>
    <n v="1"/>
    <n v="1"/>
  </r>
  <r>
    <n v="2628"/>
    <n v="19042"/>
    <x v="341"/>
    <x v="28"/>
    <s v="Critical"/>
    <n v="8"/>
    <n v="327.61"/>
    <n v="7.0000000000000007E-2"/>
    <s v="Regular Air"/>
    <n v="54.901500000000006"/>
    <n v="40.98"/>
    <n v="7.47"/>
    <x v="73"/>
    <x v="2"/>
    <x v="2"/>
    <x v="2"/>
    <x v="0"/>
    <x v="2"/>
    <x v="447"/>
    <s v="Small Box"/>
    <n v="0.37"/>
    <d v="2009-03-02T00:00:00"/>
    <n v="0"/>
    <n v="0"/>
    <n v="1"/>
    <n v="1"/>
  </r>
  <r>
    <n v="2633"/>
    <n v="19073"/>
    <x v="342"/>
    <x v="41"/>
    <s v="Not Specified"/>
    <n v="16"/>
    <n v="178.4"/>
    <n v="0.04"/>
    <s v="Regular Air"/>
    <n v="20.079999999999998"/>
    <n v="10.64"/>
    <n v="5.16"/>
    <x v="80"/>
    <x v="2"/>
    <x v="2"/>
    <x v="2"/>
    <x v="2"/>
    <x v="4"/>
    <x v="448"/>
    <s v="Small Box"/>
    <n v="0.56999999999999995"/>
    <d v="2009-06-25T00:00:00"/>
    <n v="0"/>
    <n v="0"/>
    <n v="0.5"/>
    <n v="0.5"/>
  </r>
  <r>
    <n v="2634"/>
    <n v="19073"/>
    <x v="342"/>
    <x v="41"/>
    <s v="Not Specified"/>
    <n v="40"/>
    <n v="115.01"/>
    <n v="0.03"/>
    <s v="Express Air"/>
    <n v="5.81"/>
    <n v="2.78"/>
    <n v="1.34"/>
    <x v="80"/>
    <x v="2"/>
    <x v="2"/>
    <x v="2"/>
    <x v="0"/>
    <x v="12"/>
    <x v="148"/>
    <s v="Wrap Bag"/>
    <n v="0.45"/>
    <d v="2009-06-26T00:00:00"/>
    <n v="0"/>
    <n v="0"/>
    <n v="0.5"/>
    <n v="0.5"/>
  </r>
  <r>
    <n v="2678"/>
    <n v="19365"/>
    <x v="343"/>
    <x v="16"/>
    <s v="Medium"/>
    <n v="29"/>
    <n v="181.83"/>
    <n v="0.03"/>
    <s v="Regular Air"/>
    <n v="-43.36"/>
    <n v="5.98"/>
    <n v="5.2"/>
    <x v="79"/>
    <x v="2"/>
    <x v="2"/>
    <x v="0"/>
    <x v="0"/>
    <x v="5"/>
    <x v="449"/>
    <s v="Small Box"/>
    <n v="0.36"/>
    <d v="2011-01-17T00:00:00"/>
    <n v="0"/>
    <n v="0"/>
    <n v="1"/>
    <n v="1"/>
  </r>
  <r>
    <n v="2716"/>
    <n v="19617"/>
    <x v="40"/>
    <x v="23"/>
    <s v="Low"/>
    <n v="38"/>
    <n v="952.47"/>
    <n v="0.03"/>
    <s v="Regular Air"/>
    <n v="270.69"/>
    <n v="23.99"/>
    <n v="6.3"/>
    <x v="53"/>
    <x v="2"/>
    <x v="2"/>
    <x v="2"/>
    <x v="1"/>
    <x v="16"/>
    <x v="450"/>
    <s v="Medium Box"/>
    <n v="0.38"/>
    <d v="2012-01-22T00:00:00"/>
    <n v="0"/>
    <n v="0"/>
    <n v="0.5"/>
    <n v="0.5"/>
  </r>
  <r>
    <n v="2717"/>
    <n v="19617"/>
    <x v="40"/>
    <x v="23"/>
    <s v="Low"/>
    <n v="3"/>
    <n v="171.96350000000001"/>
    <n v="7.0000000000000007E-2"/>
    <s v="Regular Air"/>
    <n v="-296.37299999999999"/>
    <n v="65.989999999999995"/>
    <n v="8.99"/>
    <x v="53"/>
    <x v="2"/>
    <x v="2"/>
    <x v="2"/>
    <x v="1"/>
    <x v="3"/>
    <x v="451"/>
    <s v="Small Box"/>
    <n v="0.57999999999999996"/>
    <d v="2012-01-20T00:00:00"/>
    <n v="0"/>
    <n v="0"/>
    <n v="0.5"/>
    <n v="0.5"/>
  </r>
  <r>
    <n v="2770"/>
    <n v="20033"/>
    <x v="344"/>
    <x v="39"/>
    <s v="Critical"/>
    <n v="5"/>
    <n v="2543.9499999999998"/>
    <n v="0.04"/>
    <s v="Regular Air"/>
    <n v="-1011.32"/>
    <n v="499.99"/>
    <n v="24.49"/>
    <x v="53"/>
    <x v="2"/>
    <x v="2"/>
    <x v="2"/>
    <x v="1"/>
    <x v="13"/>
    <x v="110"/>
    <s v="Large Box"/>
    <n v="0.36"/>
    <d v="2010-05-23T00:00:00"/>
    <n v="0"/>
    <n v="0"/>
    <n v="1"/>
    <n v="1"/>
  </r>
  <r>
    <n v="2930"/>
    <n v="21223"/>
    <x v="123"/>
    <x v="33"/>
    <s v="Not Specified"/>
    <n v="3"/>
    <n v="317.95"/>
    <n v="0.1"/>
    <s v="Delivery Truck"/>
    <n v="-144.43"/>
    <n v="100.98"/>
    <n v="26.22"/>
    <x v="64"/>
    <x v="2"/>
    <x v="2"/>
    <x v="1"/>
    <x v="2"/>
    <x v="9"/>
    <x v="16"/>
    <s v="Jumbo Box"/>
    <n v="0.6"/>
    <d v="2012-03-16T00:00:00"/>
    <n v="0"/>
    <n v="0"/>
    <n v="0.5"/>
    <n v="0.5"/>
  </r>
  <r>
    <n v="2931"/>
    <n v="21223"/>
    <x v="123"/>
    <x v="33"/>
    <s v="Not Specified"/>
    <n v="8"/>
    <n v="435.29"/>
    <n v="0.03"/>
    <s v="Regular Air"/>
    <n v="122.41"/>
    <n v="51.65"/>
    <n v="18.45"/>
    <x v="64"/>
    <x v="2"/>
    <x v="2"/>
    <x v="1"/>
    <x v="2"/>
    <x v="4"/>
    <x v="452"/>
    <s v="Medium Box"/>
    <n v="0.65"/>
    <d v="2012-03-16T00:00:00"/>
    <n v="0"/>
    <n v="0"/>
    <n v="0.5"/>
    <n v="0.5"/>
  </r>
  <r>
    <n v="2950"/>
    <n v="21378"/>
    <x v="48"/>
    <x v="21"/>
    <s v="Medium"/>
    <n v="34"/>
    <n v="937.04"/>
    <n v="0.08"/>
    <s v="Regular Air"/>
    <n v="391.6035"/>
    <n v="28.53"/>
    <n v="1.49"/>
    <x v="53"/>
    <x v="2"/>
    <x v="2"/>
    <x v="2"/>
    <x v="0"/>
    <x v="2"/>
    <x v="257"/>
    <s v="Small Box"/>
    <n v="0.38"/>
    <d v="2011-08-08T00:00:00"/>
    <n v="0"/>
    <n v="0"/>
    <n v="0.5"/>
    <n v="0.5"/>
  </r>
  <r>
    <n v="2951"/>
    <n v="21378"/>
    <x v="48"/>
    <x v="21"/>
    <s v="Medium"/>
    <n v="17"/>
    <n v="1616.64"/>
    <n v="7.0000000000000007E-2"/>
    <s v="Regular Air"/>
    <n v="26.94"/>
    <n v="99.99"/>
    <n v="19.989999999999998"/>
    <x v="53"/>
    <x v="2"/>
    <x v="2"/>
    <x v="2"/>
    <x v="1"/>
    <x v="7"/>
    <x v="190"/>
    <s v="Small Box"/>
    <n v="0.5"/>
    <d v="2011-08-10T00:00:00"/>
    <n v="0"/>
    <n v="0"/>
    <n v="0.5"/>
    <n v="0.5"/>
  </r>
  <r>
    <n v="2984"/>
    <n v="21542"/>
    <x v="345"/>
    <x v="10"/>
    <s v="High"/>
    <n v="18"/>
    <n v="404.3"/>
    <n v="0.04"/>
    <s v="Regular Air"/>
    <n v="-27.34"/>
    <n v="21.38"/>
    <n v="8.99"/>
    <x v="81"/>
    <x v="2"/>
    <x v="2"/>
    <x v="2"/>
    <x v="0"/>
    <x v="12"/>
    <x v="311"/>
    <s v="Small Pack"/>
    <n v="0.59"/>
    <d v="2011-05-22T00:00:00"/>
    <n v="0"/>
    <n v="0"/>
    <n v="0.5"/>
    <n v="0.5"/>
  </r>
  <r>
    <n v="2985"/>
    <n v="21542"/>
    <x v="345"/>
    <x v="10"/>
    <s v="High"/>
    <n v="43"/>
    <n v="11674.968000000001"/>
    <n v="0.05"/>
    <s v="Delivery Truck"/>
    <n v="715.18"/>
    <n v="348.21"/>
    <n v="84.84"/>
    <x v="81"/>
    <x v="2"/>
    <x v="2"/>
    <x v="2"/>
    <x v="2"/>
    <x v="10"/>
    <x v="453"/>
    <s v="Jumbo Box"/>
    <n v="0.66"/>
    <d v="2011-05-22T00:00:00"/>
    <n v="0"/>
    <n v="0"/>
    <n v="0.5"/>
    <n v="0.5"/>
  </r>
  <r>
    <n v="3133"/>
    <n v="22469"/>
    <x v="128"/>
    <x v="0"/>
    <s v="High"/>
    <n v="24"/>
    <n v="1482.81"/>
    <n v="0.03"/>
    <s v="Regular Air"/>
    <n v="-678.63"/>
    <n v="60.98"/>
    <n v="49"/>
    <x v="53"/>
    <x v="2"/>
    <x v="2"/>
    <x v="2"/>
    <x v="0"/>
    <x v="1"/>
    <x v="347"/>
    <s v="Large Box"/>
    <n v="0.59"/>
    <d v="2010-10-13T00:00:00"/>
    <n v="0"/>
    <n v="0"/>
    <n v="0.33333333333333331"/>
    <n v="0.33333333333333331"/>
  </r>
  <r>
    <n v="3134"/>
    <n v="22469"/>
    <x v="128"/>
    <x v="0"/>
    <s v="High"/>
    <n v="23"/>
    <n v="6693.28"/>
    <n v="0.02"/>
    <s v="Regular Air"/>
    <n v="40.319999999999936"/>
    <n v="290.98"/>
    <n v="69"/>
    <x v="53"/>
    <x v="2"/>
    <x v="2"/>
    <x v="2"/>
    <x v="2"/>
    <x v="10"/>
    <x v="454"/>
    <s v="Large Box"/>
    <n v="0.67"/>
    <d v="2010-10-13T00:00:00"/>
    <n v="0"/>
    <n v="0"/>
    <n v="0.33333333333333331"/>
    <n v="0.33333333333333331"/>
  </r>
  <r>
    <n v="3155"/>
    <n v="22656"/>
    <x v="235"/>
    <x v="15"/>
    <s v="Not Specified"/>
    <n v="10"/>
    <n v="309.3"/>
    <n v="0.05"/>
    <s v="Express Air"/>
    <n v="-77.89"/>
    <n v="30.98"/>
    <n v="6.5"/>
    <x v="73"/>
    <x v="2"/>
    <x v="2"/>
    <x v="2"/>
    <x v="1"/>
    <x v="7"/>
    <x v="455"/>
    <s v="Small Box"/>
    <n v="0.64"/>
    <d v="2010-12-24T00:00:00"/>
    <n v="0"/>
    <n v="0"/>
    <n v="1"/>
    <n v="1"/>
  </r>
  <r>
    <n v="3163"/>
    <n v="22695"/>
    <x v="346"/>
    <x v="36"/>
    <s v="Low"/>
    <n v="44"/>
    <n v="444.52"/>
    <n v="0.02"/>
    <s v="Regular Air"/>
    <n v="161.13"/>
    <n v="10.06"/>
    <n v="2.06"/>
    <x v="72"/>
    <x v="2"/>
    <x v="2"/>
    <x v="1"/>
    <x v="0"/>
    <x v="5"/>
    <x v="456"/>
    <s v="Wrap Bag"/>
    <n v="0.39"/>
    <d v="2009-07-08T00:00:00"/>
    <n v="0"/>
    <n v="0"/>
    <n v="1"/>
    <n v="1"/>
  </r>
  <r>
    <n v="3214"/>
    <n v="23076"/>
    <x v="347"/>
    <x v="43"/>
    <s v="Critical"/>
    <n v="50"/>
    <n v="742.21"/>
    <n v="0.03"/>
    <s v="Regular Air"/>
    <n v="122.21"/>
    <n v="14.2"/>
    <n v="5.3"/>
    <x v="77"/>
    <x v="2"/>
    <x v="2"/>
    <x v="2"/>
    <x v="2"/>
    <x v="4"/>
    <x v="457"/>
    <s v="Wrap Bag"/>
    <n v="0.46"/>
    <d v="2009-05-28T00:00:00"/>
    <n v="0"/>
    <n v="0"/>
    <n v="1"/>
    <n v="1"/>
  </r>
  <r>
    <n v="3360"/>
    <n v="24038"/>
    <x v="135"/>
    <x v="4"/>
    <s v="High"/>
    <n v="15"/>
    <n v="896.18049999999994"/>
    <n v="0"/>
    <s v="Express Air"/>
    <n v="82.043999999999997"/>
    <n v="65.989999999999995"/>
    <n v="5.26"/>
    <x v="53"/>
    <x v="2"/>
    <x v="2"/>
    <x v="2"/>
    <x v="1"/>
    <x v="3"/>
    <x v="266"/>
    <s v="Small Box"/>
    <n v="0.56000000000000005"/>
    <d v="2011-06-22T00:00:00"/>
    <n v="0"/>
    <n v="0"/>
    <n v="0.5"/>
    <n v="0.5"/>
  </r>
  <r>
    <n v="3365"/>
    <n v="24067"/>
    <x v="348"/>
    <x v="9"/>
    <s v="High"/>
    <n v="19"/>
    <n v="120.56"/>
    <n v="7.0000000000000007E-2"/>
    <s v="Regular Air"/>
    <n v="-79.349999999999994"/>
    <n v="5.98"/>
    <n v="7.5"/>
    <x v="81"/>
    <x v="2"/>
    <x v="2"/>
    <x v="2"/>
    <x v="0"/>
    <x v="5"/>
    <x v="437"/>
    <s v="Small Box"/>
    <n v="0.4"/>
    <d v="2012-08-23T00:00:00"/>
    <n v="0"/>
    <n v="0"/>
    <n v="0.33333333333333331"/>
    <n v="0.33333333333333331"/>
  </r>
  <r>
    <n v="3366"/>
    <n v="24067"/>
    <x v="348"/>
    <x v="9"/>
    <s v="High"/>
    <n v="46"/>
    <n v="2640.6864999999998"/>
    <n v="0.03"/>
    <s v="Express Air"/>
    <n v="751.38300000000004"/>
    <n v="65.989999999999995"/>
    <n v="5.92"/>
    <x v="81"/>
    <x v="2"/>
    <x v="2"/>
    <x v="2"/>
    <x v="1"/>
    <x v="3"/>
    <x v="237"/>
    <s v="Small Box"/>
    <n v="0.55000000000000004"/>
    <d v="2012-08-23T00:00:00"/>
    <n v="0"/>
    <n v="0"/>
    <n v="0.33333333333333331"/>
    <n v="0.33333333333333331"/>
  </r>
  <r>
    <n v="3420"/>
    <n v="24388"/>
    <x v="349"/>
    <x v="16"/>
    <s v="Critical"/>
    <n v="15"/>
    <n v="8662.34"/>
    <n v="0"/>
    <s v="Delivery Truck"/>
    <n v="-704.66"/>
    <n v="549.99"/>
    <n v="49"/>
    <x v="70"/>
    <x v="2"/>
    <x v="2"/>
    <x v="2"/>
    <x v="1"/>
    <x v="13"/>
    <x v="458"/>
    <s v="Jumbo Drum"/>
    <n v="0.35"/>
    <d v="2011-01-27T00:00:00"/>
    <n v="0"/>
    <n v="0"/>
    <n v="1"/>
    <n v="1"/>
  </r>
  <r>
    <n v="3428"/>
    <n v="24451"/>
    <x v="350"/>
    <x v="45"/>
    <s v="Critical"/>
    <n v="24"/>
    <n v="1689.97"/>
    <n v="0.06"/>
    <s v="Delivery Truck"/>
    <n v="-564.74"/>
    <n v="68.81"/>
    <n v="60"/>
    <x v="53"/>
    <x v="2"/>
    <x v="2"/>
    <x v="2"/>
    <x v="0"/>
    <x v="1"/>
    <x v="459"/>
    <s v="Jumbo Drum"/>
    <n v="0.41"/>
    <d v="2012-12-04T00:00:00"/>
    <n v="0"/>
    <n v="0"/>
    <n v="1"/>
    <n v="1"/>
  </r>
  <r>
    <n v="3487"/>
    <n v="24806"/>
    <x v="351"/>
    <x v="18"/>
    <s v="Not Specified"/>
    <n v="20"/>
    <n v="112.03"/>
    <n v="0.05"/>
    <s v="Regular Air"/>
    <n v="-57.994500000000002"/>
    <n v="5.18"/>
    <n v="5.74"/>
    <x v="79"/>
    <x v="2"/>
    <x v="2"/>
    <x v="0"/>
    <x v="0"/>
    <x v="2"/>
    <x v="460"/>
    <s v="Small Box"/>
    <n v="0.36"/>
    <d v="2010-09-08T00:00:00"/>
    <n v="0"/>
    <n v="0"/>
    <n v="1"/>
    <n v="1"/>
  </r>
  <r>
    <n v="3505"/>
    <n v="24965"/>
    <x v="352"/>
    <x v="5"/>
    <s v="Low"/>
    <n v="6"/>
    <n v="2528.4899999999998"/>
    <n v="7.0000000000000007E-2"/>
    <s v="Express Air"/>
    <n v="580.15049999999997"/>
    <n v="420.98"/>
    <n v="19.989999999999998"/>
    <x v="53"/>
    <x v="2"/>
    <x v="2"/>
    <x v="2"/>
    <x v="0"/>
    <x v="2"/>
    <x v="461"/>
    <s v="Small Box"/>
    <n v="0.35"/>
    <d v="2011-04-03T00:00:00"/>
    <n v="0"/>
    <n v="0"/>
    <n v="0.5"/>
    <n v="0.5"/>
  </r>
  <r>
    <n v="3506"/>
    <n v="24965"/>
    <x v="352"/>
    <x v="5"/>
    <s v="Low"/>
    <n v="42"/>
    <n v="1146.1099999999999"/>
    <n v="0.09"/>
    <s v="Regular Air"/>
    <n v="330.63"/>
    <n v="29.18"/>
    <n v="8.5500000000000007"/>
    <x v="53"/>
    <x v="2"/>
    <x v="2"/>
    <x v="2"/>
    <x v="2"/>
    <x v="4"/>
    <x v="462"/>
    <s v="Small Box"/>
    <n v="0.42"/>
    <d v="2011-03-29T00:00:00"/>
    <n v="0"/>
    <n v="0"/>
    <n v="0.5"/>
    <n v="0.5"/>
  </r>
  <r>
    <n v="3533"/>
    <n v="25154"/>
    <x v="147"/>
    <x v="3"/>
    <s v="High"/>
    <n v="16"/>
    <n v="102.5"/>
    <n v="0.1"/>
    <s v="Regular Air"/>
    <n v="13.84"/>
    <n v="6.68"/>
    <n v="1.5"/>
    <x v="69"/>
    <x v="2"/>
    <x v="2"/>
    <x v="3"/>
    <x v="0"/>
    <x v="12"/>
    <x v="463"/>
    <s v="Wrap Bag"/>
    <n v="0.48"/>
    <d v="2010-08-21T00:00:00"/>
    <n v="0"/>
    <n v="0"/>
    <n v="1"/>
    <n v="1"/>
  </r>
  <r>
    <n v="3549"/>
    <n v="25315"/>
    <x v="353"/>
    <x v="15"/>
    <s v="Low"/>
    <n v="36"/>
    <n v="7783.36"/>
    <n v="7.0000000000000007E-2"/>
    <s v="Express Air"/>
    <n v="3506.24"/>
    <n v="225.04"/>
    <n v="11.79"/>
    <x v="72"/>
    <x v="2"/>
    <x v="2"/>
    <x v="1"/>
    <x v="0"/>
    <x v="1"/>
    <x v="464"/>
    <s v="Medium Box"/>
    <n v="0.42"/>
    <d v="2010-12-02T00:00:00"/>
    <n v="0"/>
    <n v="0"/>
    <n v="0.33333333333333331"/>
    <n v="0.33333333333333331"/>
  </r>
  <r>
    <n v="3550"/>
    <n v="25315"/>
    <x v="353"/>
    <x v="15"/>
    <s v="Low"/>
    <n v="21"/>
    <n v="61.76"/>
    <n v="0"/>
    <s v="Regular Air"/>
    <n v="4.34"/>
    <n v="2.84"/>
    <n v="0.93"/>
    <x v="72"/>
    <x v="2"/>
    <x v="2"/>
    <x v="1"/>
    <x v="0"/>
    <x v="12"/>
    <x v="25"/>
    <s v="Wrap Bag"/>
    <n v="0.54"/>
    <d v="2010-12-02T00:00:00"/>
    <n v="0"/>
    <n v="0"/>
    <n v="0.33333333333333331"/>
    <n v="0.33333333333333331"/>
  </r>
  <r>
    <n v="3551"/>
    <n v="25315"/>
    <x v="353"/>
    <x v="15"/>
    <s v="Low"/>
    <n v="36"/>
    <n v="1280.3399999999999"/>
    <n v="0"/>
    <s v="Delivery Truck"/>
    <n v="-1048.248"/>
    <n v="31.76"/>
    <n v="45.51"/>
    <x v="72"/>
    <x v="2"/>
    <x v="2"/>
    <x v="1"/>
    <x v="2"/>
    <x v="10"/>
    <x v="465"/>
    <s v="Jumbo Box"/>
    <n v="0.65"/>
    <d v="2010-12-04T00:00:00"/>
    <n v="0"/>
    <n v="0"/>
    <n v="0.33333333333333331"/>
    <n v="0.33333333333333331"/>
  </r>
  <r>
    <n v="3559"/>
    <n v="25376"/>
    <x v="179"/>
    <x v="5"/>
    <s v="Critical"/>
    <n v="12"/>
    <n v="76.61"/>
    <n v="0.09"/>
    <s v="Regular Air"/>
    <n v="-31.83"/>
    <n v="6.28"/>
    <n v="5.29"/>
    <x v="76"/>
    <x v="2"/>
    <x v="2"/>
    <x v="2"/>
    <x v="2"/>
    <x v="4"/>
    <x v="466"/>
    <s v="Small Box"/>
    <n v="0.43"/>
    <d v="2011-03-27T00:00:00"/>
    <n v="0"/>
    <n v="0"/>
    <n v="1"/>
    <n v="1"/>
  </r>
  <r>
    <n v="3662"/>
    <n v="26240"/>
    <x v="354"/>
    <x v="47"/>
    <s v="Critical"/>
    <n v="38"/>
    <n v="1483.44"/>
    <n v="0.04"/>
    <s v="Regular Air"/>
    <n v="439.77"/>
    <n v="39.479999999999997"/>
    <n v="1.99"/>
    <x v="3"/>
    <x v="2"/>
    <x v="2"/>
    <x v="1"/>
    <x v="1"/>
    <x v="7"/>
    <x v="64"/>
    <s v="Small Pack"/>
    <n v="0.54"/>
    <d v="2009-12-22T00:00:00"/>
    <n v="0"/>
    <n v="0"/>
    <n v="0.5"/>
    <n v="0.33333333333333331"/>
  </r>
  <r>
    <n v="3663"/>
    <n v="26240"/>
    <x v="354"/>
    <x v="47"/>
    <s v="Critical"/>
    <n v="39"/>
    <n v="145.68"/>
    <n v="0.04"/>
    <s v="Regular Air"/>
    <n v="12"/>
    <n v="3.7"/>
    <n v="1.61"/>
    <x v="3"/>
    <x v="2"/>
    <x v="2"/>
    <x v="1"/>
    <x v="2"/>
    <x v="4"/>
    <x v="467"/>
    <s v="Wrap Bag"/>
    <n v="0.44"/>
    <d v="2009-12-20T00:00:00"/>
    <n v="0"/>
    <n v="0"/>
    <n v="0.5"/>
    <n v="0.33333333333333331"/>
  </r>
  <r>
    <n v="3753"/>
    <n v="26791"/>
    <x v="355"/>
    <x v="37"/>
    <s v="Low"/>
    <n v="45"/>
    <n v="500.48"/>
    <n v="0.08"/>
    <s v="Regular Air"/>
    <n v="-48.2"/>
    <n v="11.29"/>
    <n v="5.03"/>
    <x v="64"/>
    <x v="2"/>
    <x v="2"/>
    <x v="3"/>
    <x v="0"/>
    <x v="0"/>
    <x v="468"/>
    <s v="Small Box"/>
    <n v="0.59"/>
    <d v="2011-05-06T00:00:00"/>
    <n v="0"/>
    <n v="0"/>
    <n v="1"/>
    <n v="1"/>
  </r>
  <r>
    <n v="4042"/>
    <n v="28836"/>
    <x v="356"/>
    <x v="0"/>
    <s v="High"/>
    <n v="50"/>
    <n v="8221.2934999999998"/>
    <n v="0.06"/>
    <s v="Regular Air"/>
    <n v="2342.2139999999999"/>
    <n v="195.99"/>
    <n v="4.2"/>
    <x v="70"/>
    <x v="2"/>
    <x v="2"/>
    <x v="2"/>
    <x v="1"/>
    <x v="3"/>
    <x v="469"/>
    <s v="Small Box"/>
    <n v="0.6"/>
    <d v="2010-10-25T00:00:00"/>
    <n v="0"/>
    <n v="0"/>
    <n v="0.5"/>
    <n v="0.5"/>
  </r>
  <r>
    <n v="4043"/>
    <n v="28836"/>
    <x v="356"/>
    <x v="0"/>
    <s v="High"/>
    <n v="7"/>
    <n v="1158.26"/>
    <n v="0.06"/>
    <s v="Regular Air"/>
    <n v="170.07650000000001"/>
    <n v="172.99"/>
    <n v="19.989999999999998"/>
    <x v="70"/>
    <x v="2"/>
    <x v="2"/>
    <x v="2"/>
    <x v="0"/>
    <x v="2"/>
    <x v="470"/>
    <s v="Small Box"/>
    <n v="0.39"/>
    <d v="2010-10-26T00:00:00"/>
    <n v="0"/>
    <n v="0"/>
    <n v="0.5"/>
    <n v="0.5"/>
  </r>
  <r>
    <n v="4071"/>
    <n v="28995"/>
    <x v="357"/>
    <x v="39"/>
    <s v="High"/>
    <n v="9"/>
    <n v="298.52"/>
    <n v="0"/>
    <s v="Regular Air"/>
    <n v="73.19"/>
    <n v="30.98"/>
    <n v="5.76"/>
    <x v="75"/>
    <x v="2"/>
    <x v="2"/>
    <x v="2"/>
    <x v="0"/>
    <x v="5"/>
    <x v="37"/>
    <s v="Small Box"/>
    <n v="0.4"/>
    <d v="2010-05-13T00:00:00"/>
    <n v="0"/>
    <n v="0"/>
    <n v="0.5"/>
    <n v="0.25"/>
  </r>
  <r>
    <n v="4072"/>
    <n v="28995"/>
    <x v="357"/>
    <x v="39"/>
    <s v="High"/>
    <n v="34"/>
    <n v="667.35"/>
    <n v="0.04"/>
    <s v="Regular Air"/>
    <n v="80.92"/>
    <n v="19.98"/>
    <n v="8.68"/>
    <x v="75"/>
    <x v="2"/>
    <x v="2"/>
    <x v="2"/>
    <x v="0"/>
    <x v="5"/>
    <x v="471"/>
    <s v="Small Box"/>
    <n v="0.37"/>
    <d v="2010-05-13T00:00:00"/>
    <n v="0"/>
    <n v="0"/>
    <n v="0.5"/>
    <n v="0.25"/>
  </r>
  <r>
    <n v="4085"/>
    <n v="29121"/>
    <x v="358"/>
    <x v="24"/>
    <s v="Medium"/>
    <n v="31"/>
    <n v="3206.9650000000001"/>
    <n v="0.08"/>
    <s v="Regular Air"/>
    <n v="575.33399999999995"/>
    <n v="125.99"/>
    <n v="7.69"/>
    <x v="53"/>
    <x v="2"/>
    <x v="2"/>
    <x v="2"/>
    <x v="1"/>
    <x v="3"/>
    <x v="44"/>
    <s v="Small Box"/>
    <n v="0.57999999999999996"/>
    <d v="2010-04-13T00:00:00"/>
    <n v="0"/>
    <n v="0"/>
    <n v="1"/>
    <n v="1"/>
  </r>
  <r>
    <n v="4125"/>
    <n v="29319"/>
    <x v="359"/>
    <x v="22"/>
    <s v="Low"/>
    <n v="30"/>
    <n v="6654.39"/>
    <n v="0.1"/>
    <s v="Regular Air"/>
    <n v="1151.69"/>
    <n v="238.4"/>
    <n v="24.49"/>
    <x v="79"/>
    <x v="2"/>
    <x v="2"/>
    <x v="0"/>
    <x v="2"/>
    <x v="14"/>
    <x v="472"/>
    <s v="Large Box"/>
    <m/>
    <d v="2009-01-26T00:00:00"/>
    <n v="0"/>
    <n v="1"/>
    <n v="0.5"/>
    <n v="0.5"/>
  </r>
  <r>
    <n v="4126"/>
    <n v="29319"/>
    <x v="359"/>
    <x v="22"/>
    <s v="Low"/>
    <n v="21"/>
    <n v="4429.6899999999996"/>
    <n v="0.03"/>
    <s v="Express Air"/>
    <n v="983.55"/>
    <n v="199.99"/>
    <n v="24.49"/>
    <x v="79"/>
    <x v="2"/>
    <x v="2"/>
    <x v="0"/>
    <x v="1"/>
    <x v="13"/>
    <x v="473"/>
    <s v="Large Box"/>
    <n v="0.46"/>
    <d v="2009-01-26T00:00:00"/>
    <n v="0"/>
    <n v="1"/>
    <n v="0.5"/>
    <n v="0.5"/>
  </r>
  <r>
    <n v="4137"/>
    <n v="29382"/>
    <x v="360"/>
    <x v="7"/>
    <s v="High"/>
    <n v="42"/>
    <n v="239.35"/>
    <n v="0.05"/>
    <s v="Regular Air"/>
    <n v="78.959999999999994"/>
    <n v="5.68"/>
    <n v="1.39"/>
    <x v="76"/>
    <x v="2"/>
    <x v="2"/>
    <x v="0"/>
    <x v="0"/>
    <x v="8"/>
    <x v="474"/>
    <s v="Small Box"/>
    <n v="0.38"/>
    <d v="2010-11-20T00:00:00"/>
    <n v="0"/>
    <n v="0"/>
    <n v="0.5"/>
    <n v="0.5"/>
  </r>
  <r>
    <n v="4138"/>
    <n v="29382"/>
    <x v="360"/>
    <x v="7"/>
    <s v="High"/>
    <n v="34"/>
    <n v="684.66"/>
    <n v="7.0000000000000007E-2"/>
    <s v="Express Air"/>
    <n v="35.090000000000003"/>
    <n v="19.98"/>
    <n v="10.49"/>
    <x v="76"/>
    <x v="2"/>
    <x v="2"/>
    <x v="0"/>
    <x v="2"/>
    <x v="4"/>
    <x v="66"/>
    <s v="Small Box"/>
    <n v="0.49"/>
    <d v="2010-11-19T00:00:00"/>
    <n v="0"/>
    <n v="0"/>
    <n v="0.5"/>
    <n v="0.5"/>
  </r>
  <r>
    <n v="4151"/>
    <n v="29445"/>
    <x v="361"/>
    <x v="18"/>
    <s v="High"/>
    <n v="28"/>
    <n v="2531.35"/>
    <n v="0.09"/>
    <s v="Delivery Truck"/>
    <n v="415.55"/>
    <n v="90.97"/>
    <n v="28"/>
    <x v="64"/>
    <x v="2"/>
    <x v="2"/>
    <x v="1"/>
    <x v="1"/>
    <x v="16"/>
    <x v="475"/>
    <s v="Jumbo Drum"/>
    <n v="0.38"/>
    <d v="2010-10-01T00:00:00"/>
    <n v="0"/>
    <n v="0"/>
    <n v="1"/>
    <n v="1"/>
  </r>
  <r>
    <n v="4187"/>
    <n v="29762"/>
    <x v="362"/>
    <x v="3"/>
    <s v="Critical"/>
    <n v="15"/>
    <n v="22.45"/>
    <n v="0.03"/>
    <s v="Regular Air"/>
    <n v="0.78"/>
    <n v="1.48"/>
    <n v="0.7"/>
    <x v="82"/>
    <x v="2"/>
    <x v="2"/>
    <x v="3"/>
    <x v="0"/>
    <x v="6"/>
    <x v="476"/>
    <s v="Wrap Bag"/>
    <n v="0.37"/>
    <d v="2010-08-05T00:00:00"/>
    <n v="0"/>
    <n v="0"/>
    <n v="0.5"/>
    <n v="0.5"/>
  </r>
  <r>
    <n v="4229"/>
    <n v="30048"/>
    <x v="363"/>
    <x v="4"/>
    <s v="Medium"/>
    <n v="44"/>
    <n v="7765.13"/>
    <n v="0.06"/>
    <s v="Delivery Truck"/>
    <n v="433.63"/>
    <n v="180.98"/>
    <n v="55.24"/>
    <x v="66"/>
    <x v="2"/>
    <x v="2"/>
    <x v="3"/>
    <x v="0"/>
    <x v="1"/>
    <x v="414"/>
    <s v="Jumbo Drum"/>
    <n v="0.56999999999999995"/>
    <d v="2011-06-15T00:00:00"/>
    <n v="0"/>
    <n v="0"/>
    <n v="1"/>
    <n v="1"/>
  </r>
  <r>
    <n v="4249"/>
    <n v="30243"/>
    <x v="364"/>
    <x v="39"/>
    <s v="Critical"/>
    <n v="44"/>
    <n v="2435.3200000000002"/>
    <n v="0.09"/>
    <s v="Regular Air"/>
    <n v="650.55999999999995"/>
    <n v="60.22"/>
    <n v="3.5"/>
    <x v="75"/>
    <x v="2"/>
    <x v="2"/>
    <x v="2"/>
    <x v="0"/>
    <x v="1"/>
    <x v="477"/>
    <s v="Small Box"/>
    <n v="0.56999999999999995"/>
    <d v="2010-05-07T00:00:00"/>
    <n v="0"/>
    <n v="0"/>
    <n v="0.5"/>
    <n v="0.25"/>
  </r>
  <r>
    <n v="4250"/>
    <n v="30243"/>
    <x v="364"/>
    <x v="39"/>
    <s v="Critical"/>
    <n v="21"/>
    <n v="4242.76"/>
    <n v="7.0000000000000007E-2"/>
    <s v="Regular Air"/>
    <n v="340.88"/>
    <n v="199.99"/>
    <n v="24.49"/>
    <x v="75"/>
    <x v="2"/>
    <x v="2"/>
    <x v="2"/>
    <x v="1"/>
    <x v="13"/>
    <x v="473"/>
    <s v="Large Box"/>
    <n v="0.46"/>
    <d v="2010-05-07T00:00:00"/>
    <n v="0"/>
    <n v="0"/>
    <n v="0.5"/>
    <n v="0.25"/>
  </r>
  <r>
    <n v="4267"/>
    <n v="30372"/>
    <x v="81"/>
    <x v="3"/>
    <s v="High"/>
    <n v="1"/>
    <n v="14.4"/>
    <n v="0.1"/>
    <s v="Regular Air"/>
    <n v="-7.39"/>
    <n v="12.22"/>
    <n v="2.85"/>
    <x v="71"/>
    <x v="2"/>
    <x v="2"/>
    <x v="2"/>
    <x v="2"/>
    <x v="4"/>
    <x v="137"/>
    <s v="Small Pack"/>
    <n v="0.55000000000000004"/>
    <d v="2010-09-01T00:00:00"/>
    <n v="0"/>
    <n v="0"/>
    <n v="1"/>
    <n v="1"/>
  </r>
  <r>
    <n v="4282"/>
    <n v="30499"/>
    <x v="365"/>
    <x v="1"/>
    <s v="High"/>
    <n v="16"/>
    <n v="92.06"/>
    <n v="0.1"/>
    <s v="Regular Air"/>
    <n v="5.66"/>
    <n v="5.98"/>
    <n v="2.5"/>
    <x v="3"/>
    <x v="2"/>
    <x v="2"/>
    <x v="1"/>
    <x v="0"/>
    <x v="8"/>
    <x v="478"/>
    <s v="Small Box"/>
    <n v="0.36"/>
    <d v="2012-11-01T00:00:00"/>
    <n v="0"/>
    <n v="0"/>
    <n v="0.5"/>
    <n v="0.33333333333333331"/>
  </r>
  <r>
    <n v="4283"/>
    <n v="30499"/>
    <x v="365"/>
    <x v="1"/>
    <s v="High"/>
    <n v="33"/>
    <n v="199.62"/>
    <n v="0.01"/>
    <s v="Regular Air"/>
    <n v="42.34"/>
    <n v="5.84"/>
    <n v="1.2"/>
    <x v="3"/>
    <x v="2"/>
    <x v="2"/>
    <x v="1"/>
    <x v="0"/>
    <x v="12"/>
    <x v="288"/>
    <s v="Wrap Bag"/>
    <n v="0.55000000000000004"/>
    <d v="2012-11-01T00:00:00"/>
    <n v="0"/>
    <n v="0"/>
    <n v="0.5"/>
    <n v="0.33333333333333331"/>
  </r>
  <r>
    <n v="4528"/>
    <n v="32199"/>
    <x v="366"/>
    <x v="36"/>
    <s v="High"/>
    <n v="40"/>
    <n v="196.5"/>
    <n v="0.08"/>
    <s v="Regular Air"/>
    <n v="-99.762500000000003"/>
    <n v="4.91"/>
    <n v="4.97"/>
    <x v="70"/>
    <x v="2"/>
    <x v="2"/>
    <x v="2"/>
    <x v="0"/>
    <x v="2"/>
    <x v="479"/>
    <s v="Small Box"/>
    <n v="0.38"/>
    <d v="2009-07-16T00:00:00"/>
    <n v="0"/>
    <n v="0"/>
    <n v="0.33333333333333331"/>
    <n v="0.33333333333333331"/>
  </r>
  <r>
    <n v="4529"/>
    <n v="32199"/>
    <x v="366"/>
    <x v="36"/>
    <s v="High"/>
    <n v="1"/>
    <n v="3672.89"/>
    <n v="0.01"/>
    <s v="Regular Air"/>
    <n v="-3061.82"/>
    <n v="3499.99"/>
    <n v="24.49"/>
    <x v="70"/>
    <x v="2"/>
    <x v="2"/>
    <x v="2"/>
    <x v="1"/>
    <x v="13"/>
    <x v="480"/>
    <s v="Large Box"/>
    <n v="0.37"/>
    <d v="2009-07-16T00:00:00"/>
    <n v="0"/>
    <n v="0"/>
    <n v="0.33333333333333331"/>
    <n v="0.33333333333333331"/>
  </r>
  <r>
    <n v="4530"/>
    <n v="32199"/>
    <x v="366"/>
    <x v="36"/>
    <s v="High"/>
    <n v="8"/>
    <n v="46.97"/>
    <n v="0.03"/>
    <s v="Regular Air"/>
    <n v="-9.9999999999997868E-3"/>
    <n v="5.84"/>
    <n v="1.2"/>
    <x v="70"/>
    <x v="2"/>
    <x v="2"/>
    <x v="2"/>
    <x v="0"/>
    <x v="12"/>
    <x v="288"/>
    <s v="Wrap Bag"/>
    <n v="0.55000000000000004"/>
    <d v="2009-07-17T00:00:00"/>
    <n v="0"/>
    <n v="0"/>
    <n v="0.33333333333333331"/>
    <n v="0.33333333333333331"/>
  </r>
  <r>
    <n v="4546"/>
    <n v="32327"/>
    <x v="367"/>
    <x v="9"/>
    <s v="Low"/>
    <n v="45"/>
    <n v="20333.816000000003"/>
    <n v="0.02"/>
    <s v="Delivery Truck"/>
    <n v="-1430.451"/>
    <n v="550.98"/>
    <n v="147.12"/>
    <x v="70"/>
    <x v="2"/>
    <x v="2"/>
    <x v="0"/>
    <x v="2"/>
    <x v="10"/>
    <x v="481"/>
    <s v="Jumbo Box"/>
    <n v="0.8"/>
    <d v="2012-08-14T00:00:00"/>
    <n v="0"/>
    <n v="0"/>
    <n v="1"/>
    <n v="1"/>
  </r>
  <r>
    <n v="4594"/>
    <n v="32676"/>
    <x v="312"/>
    <x v="40"/>
    <s v="Critical"/>
    <n v="37"/>
    <n v="1697.44"/>
    <n v="0.06"/>
    <s v="Regular Air"/>
    <n v="523.42999999999995"/>
    <n v="45.19"/>
    <n v="1.99"/>
    <x v="72"/>
    <x v="2"/>
    <x v="2"/>
    <x v="2"/>
    <x v="1"/>
    <x v="7"/>
    <x v="256"/>
    <s v="Small Pack"/>
    <n v="0.55000000000000004"/>
    <d v="2009-02-04T00:00:00"/>
    <n v="0"/>
    <n v="0"/>
    <n v="1"/>
    <n v="1"/>
  </r>
  <r>
    <n v="4611"/>
    <n v="32835"/>
    <x v="368"/>
    <x v="29"/>
    <s v="Medium"/>
    <n v="15"/>
    <n v="572.4325"/>
    <n v="0.05"/>
    <s v="Regular Air"/>
    <n v="-19.437000000000001"/>
    <n v="45.99"/>
    <n v="4.99"/>
    <x v="72"/>
    <x v="2"/>
    <x v="2"/>
    <x v="2"/>
    <x v="1"/>
    <x v="3"/>
    <x v="482"/>
    <s v="Small Box"/>
    <n v="0.56000000000000005"/>
    <d v="2012-07-09T00:00:00"/>
    <n v="0"/>
    <n v="0"/>
    <n v="1"/>
    <n v="1"/>
  </r>
  <r>
    <n v="4613"/>
    <n v="32869"/>
    <x v="369"/>
    <x v="28"/>
    <s v="Medium"/>
    <n v="41"/>
    <n v="322.02999999999997"/>
    <n v="0.06"/>
    <s v="Regular Air"/>
    <n v="-82.83"/>
    <n v="8.1199999999999992"/>
    <n v="2.83"/>
    <x v="71"/>
    <x v="2"/>
    <x v="2"/>
    <x v="2"/>
    <x v="1"/>
    <x v="7"/>
    <x v="483"/>
    <s v="Small Pack"/>
    <n v="0.77"/>
    <d v="2009-03-28T00:00:00"/>
    <n v="0"/>
    <n v="0"/>
    <n v="0.25"/>
    <n v="0.25"/>
  </r>
  <r>
    <n v="4614"/>
    <n v="32869"/>
    <x v="369"/>
    <x v="28"/>
    <s v="Medium"/>
    <n v="49"/>
    <n v="2470.84"/>
    <n v="0.05"/>
    <s v="Regular Air"/>
    <n v="25.04"/>
    <n v="51.65"/>
    <n v="18.45"/>
    <x v="71"/>
    <x v="2"/>
    <x v="2"/>
    <x v="2"/>
    <x v="2"/>
    <x v="4"/>
    <x v="452"/>
    <s v="Medium Box"/>
    <n v="0.65"/>
    <d v="2009-03-28T00:00:00"/>
    <n v="0"/>
    <n v="0"/>
    <n v="0.25"/>
    <n v="0.25"/>
  </r>
  <r>
    <n v="4615"/>
    <n v="32869"/>
    <x v="369"/>
    <x v="28"/>
    <s v="Medium"/>
    <n v="2"/>
    <n v="15.26"/>
    <n v="0.01"/>
    <s v="Regular Air"/>
    <n v="-7.51"/>
    <n v="6.68"/>
    <n v="1.5"/>
    <x v="71"/>
    <x v="2"/>
    <x v="2"/>
    <x v="2"/>
    <x v="0"/>
    <x v="12"/>
    <x v="463"/>
    <s v="Wrap Bag"/>
    <n v="0.48"/>
    <d v="2009-03-28T00:00:00"/>
    <n v="0"/>
    <n v="0"/>
    <n v="0.25"/>
    <n v="0.25"/>
  </r>
  <r>
    <n v="4616"/>
    <n v="32869"/>
    <x v="369"/>
    <x v="28"/>
    <s v="Medium"/>
    <n v="39"/>
    <n v="5250.6624999999995"/>
    <n v="0.1"/>
    <s v="Regular Air"/>
    <n v="930.98700000000008"/>
    <n v="175.99"/>
    <n v="8.99"/>
    <x v="71"/>
    <x v="2"/>
    <x v="2"/>
    <x v="2"/>
    <x v="1"/>
    <x v="3"/>
    <x v="484"/>
    <s v="Small Box"/>
    <n v="0.56999999999999995"/>
    <d v="2009-03-28T00:00:00"/>
    <n v="0"/>
    <n v="0"/>
    <n v="0.25"/>
    <n v="0.25"/>
  </r>
  <r>
    <n v="4748"/>
    <n v="33763"/>
    <x v="22"/>
    <x v="18"/>
    <s v="Not Specified"/>
    <n v="23"/>
    <n v="10791.38"/>
    <n v="0.08"/>
    <s v="Regular Air"/>
    <n v="-234.79"/>
    <n v="499.99"/>
    <n v="24.49"/>
    <x v="73"/>
    <x v="2"/>
    <x v="2"/>
    <x v="2"/>
    <x v="1"/>
    <x v="13"/>
    <x v="110"/>
    <s v="Large Box"/>
    <n v="0.36"/>
    <d v="2010-09-25T00:00:00"/>
    <n v="0"/>
    <n v="0"/>
    <n v="1"/>
    <n v="1"/>
  </r>
  <r>
    <n v="4792"/>
    <n v="34048"/>
    <x v="210"/>
    <x v="5"/>
    <s v="Low"/>
    <n v="1"/>
    <n v="26.68"/>
    <n v="0.04"/>
    <s v="Regular Air"/>
    <n v="-10.74"/>
    <n v="22.23"/>
    <n v="3.63"/>
    <x v="71"/>
    <x v="2"/>
    <x v="2"/>
    <x v="2"/>
    <x v="2"/>
    <x v="4"/>
    <x v="485"/>
    <s v="Small Pack"/>
    <n v="0.52"/>
    <d v="2011-03-30T00:00:00"/>
    <n v="0"/>
    <n v="0"/>
    <n v="1"/>
    <n v="0.5"/>
  </r>
  <r>
    <n v="4823"/>
    <n v="34275"/>
    <x v="370"/>
    <x v="36"/>
    <s v="Low"/>
    <n v="27"/>
    <n v="123.46"/>
    <n v="7.0000000000000007E-2"/>
    <s v="Regular Air"/>
    <n v="26.66"/>
    <n v="4.84"/>
    <n v="0.71"/>
    <x v="76"/>
    <x v="2"/>
    <x v="2"/>
    <x v="0"/>
    <x v="0"/>
    <x v="12"/>
    <x v="486"/>
    <s v="Wrap Bag"/>
    <n v="0.52"/>
    <d v="2009-07-03T00:00:00"/>
    <n v="0"/>
    <n v="0"/>
    <n v="0.5"/>
    <n v="1"/>
  </r>
  <r>
    <n v="4844"/>
    <n v="34438"/>
    <x v="371"/>
    <x v="15"/>
    <s v="High"/>
    <n v="28"/>
    <n v="588.54"/>
    <n v="0.04"/>
    <s v="Regular Air"/>
    <n v="-30.72"/>
    <n v="20.149999999999999"/>
    <n v="8.99"/>
    <x v="64"/>
    <x v="2"/>
    <x v="2"/>
    <x v="1"/>
    <x v="0"/>
    <x v="12"/>
    <x v="487"/>
    <s v="Small Pack"/>
    <n v="0.57999999999999996"/>
    <d v="2010-12-12T00:00:00"/>
    <n v="0"/>
    <n v="0"/>
    <n v="1"/>
    <n v="0.5"/>
  </r>
  <r>
    <n v="4901"/>
    <n v="34880"/>
    <x v="108"/>
    <x v="35"/>
    <s v="High"/>
    <n v="44"/>
    <n v="284.38"/>
    <n v="0.04"/>
    <s v="Regular Air"/>
    <n v="-62.43"/>
    <n v="6.48"/>
    <n v="5.19"/>
    <x v="82"/>
    <x v="2"/>
    <x v="2"/>
    <x v="3"/>
    <x v="0"/>
    <x v="5"/>
    <x v="488"/>
    <s v="Small Box"/>
    <n v="0.37"/>
    <d v="2009-09-17T00:00:00"/>
    <n v="0"/>
    <n v="0"/>
    <n v="1"/>
    <n v="1"/>
  </r>
  <r>
    <n v="4912"/>
    <n v="34978"/>
    <x v="372"/>
    <x v="44"/>
    <s v="High"/>
    <n v="49"/>
    <n v="165.51"/>
    <n v="0.08"/>
    <s v="Regular Air"/>
    <n v="-269.90499999999997"/>
    <n v="3.52"/>
    <n v="6.83"/>
    <x v="3"/>
    <x v="2"/>
    <x v="2"/>
    <x v="1"/>
    <x v="0"/>
    <x v="2"/>
    <x v="489"/>
    <s v="Small Box"/>
    <n v="0.38"/>
    <d v="2011-02-06T00:00:00"/>
    <n v="0"/>
    <n v="0"/>
    <n v="1"/>
    <n v="0.5"/>
  </r>
  <r>
    <n v="4945"/>
    <n v="35141"/>
    <x v="373"/>
    <x v="18"/>
    <s v="Medium"/>
    <n v="29"/>
    <n v="2046.81"/>
    <n v="0.02"/>
    <s v="Regular Air"/>
    <n v="469.27650000000006"/>
    <n v="67.28"/>
    <n v="19.989999999999998"/>
    <x v="68"/>
    <x v="2"/>
    <x v="2"/>
    <x v="0"/>
    <x v="0"/>
    <x v="2"/>
    <x v="490"/>
    <s v="Small Box"/>
    <n v="0.4"/>
    <d v="2010-09-12T00:00:00"/>
    <n v="0"/>
    <n v="0"/>
    <n v="1"/>
    <n v="1"/>
  </r>
  <r>
    <n v="4962"/>
    <n v="35300"/>
    <x v="374"/>
    <x v="14"/>
    <s v="Medium"/>
    <n v="10"/>
    <n v="28.81"/>
    <n v="0.02"/>
    <s v="Regular Air"/>
    <n v="7.15"/>
    <n v="2.89"/>
    <n v="0.49"/>
    <x v="77"/>
    <x v="2"/>
    <x v="2"/>
    <x v="2"/>
    <x v="0"/>
    <x v="11"/>
    <x v="491"/>
    <s v="Small Box"/>
    <n v="0.38"/>
    <d v="2010-03-03T00:00:00"/>
    <n v="0"/>
    <n v="0"/>
    <n v="0.33333333333333331"/>
    <n v="0.33333333333333331"/>
  </r>
  <r>
    <n v="4963"/>
    <n v="35300"/>
    <x v="374"/>
    <x v="14"/>
    <s v="Medium"/>
    <n v="35"/>
    <n v="1445.6"/>
    <n v="0.08"/>
    <s v="Regular Air"/>
    <n v="126.03"/>
    <n v="41.32"/>
    <n v="8.66"/>
    <x v="77"/>
    <x v="2"/>
    <x v="2"/>
    <x v="2"/>
    <x v="2"/>
    <x v="4"/>
    <x v="492"/>
    <s v="Medium Box"/>
    <n v="0.76"/>
    <d v="2010-03-05T00:00:00"/>
    <n v="0"/>
    <n v="0"/>
    <n v="0.33333333333333331"/>
    <n v="0.33333333333333331"/>
  </r>
  <r>
    <n v="4964"/>
    <n v="35300"/>
    <x v="374"/>
    <x v="14"/>
    <s v="Medium"/>
    <n v="13"/>
    <n v="119.03"/>
    <n v="0.06"/>
    <s v="Regular Air"/>
    <n v="29.62"/>
    <n v="8.9499999999999993"/>
    <n v="2.0099999999999998"/>
    <x v="77"/>
    <x v="2"/>
    <x v="2"/>
    <x v="2"/>
    <x v="0"/>
    <x v="5"/>
    <x v="493"/>
    <s v="Wrap Bag"/>
    <n v="0.39"/>
    <d v="2010-03-03T00:00:00"/>
    <n v="0"/>
    <n v="0"/>
    <n v="0.33333333333333331"/>
    <n v="0.33333333333333331"/>
  </r>
  <r>
    <n v="4996"/>
    <n v="35558"/>
    <x v="375"/>
    <x v="35"/>
    <s v="Critical"/>
    <n v="2"/>
    <n v="34.880000000000003"/>
    <n v="0.09"/>
    <s v="Regular Air"/>
    <n v="-22.12"/>
    <n v="13.79"/>
    <n v="8.7799999999999994"/>
    <x v="3"/>
    <x v="2"/>
    <x v="2"/>
    <x v="1"/>
    <x v="2"/>
    <x v="4"/>
    <x v="494"/>
    <s v="Small Box"/>
    <n v="0.43"/>
    <d v="2009-09-17T00:00:00"/>
    <n v="0"/>
    <n v="0"/>
    <n v="1"/>
    <n v="1"/>
  </r>
  <r>
    <n v="5091"/>
    <n v="36293"/>
    <x v="376"/>
    <x v="15"/>
    <s v="Medium"/>
    <n v="13"/>
    <n v="1272.83"/>
    <n v="0.04"/>
    <s v="Regular Air"/>
    <n v="250.47"/>
    <n v="100.98"/>
    <n v="7.18"/>
    <x v="3"/>
    <x v="2"/>
    <x v="2"/>
    <x v="0"/>
    <x v="1"/>
    <x v="7"/>
    <x v="495"/>
    <s v="Small Box"/>
    <n v="0.4"/>
    <d v="2011-01-10T00:00:00"/>
    <n v="0"/>
    <n v="0"/>
    <n v="0.5"/>
    <n v="0.5"/>
  </r>
  <r>
    <n v="5092"/>
    <n v="36293"/>
    <x v="376"/>
    <x v="15"/>
    <s v="Medium"/>
    <n v="25"/>
    <n v="165.36"/>
    <n v="0.09"/>
    <s v="Express Air"/>
    <n v="-94.79"/>
    <n v="6.48"/>
    <n v="7.49"/>
    <x v="3"/>
    <x v="2"/>
    <x v="2"/>
    <x v="0"/>
    <x v="0"/>
    <x v="5"/>
    <x v="496"/>
    <s v="Small Box"/>
    <n v="0.37"/>
    <d v="2011-01-14T00:00:00"/>
    <n v="0"/>
    <n v="0"/>
    <n v="0.5"/>
    <n v="0.5"/>
  </r>
  <r>
    <n v="5128"/>
    <n v="36516"/>
    <x v="377"/>
    <x v="2"/>
    <s v="Medium"/>
    <n v="9"/>
    <n v="883.37"/>
    <n v="0.1"/>
    <s v="Regular Air"/>
    <n v="51.3"/>
    <n v="100.98"/>
    <n v="7.18"/>
    <x v="69"/>
    <x v="2"/>
    <x v="2"/>
    <x v="3"/>
    <x v="1"/>
    <x v="7"/>
    <x v="495"/>
    <s v="Small Box"/>
    <n v="0.4"/>
    <d v="2011-07-28T00:00:00"/>
    <n v="0"/>
    <n v="0"/>
    <n v="1"/>
    <n v="1"/>
  </r>
  <r>
    <n v="5147"/>
    <n v="36677"/>
    <x v="378"/>
    <x v="47"/>
    <s v="Low"/>
    <n v="38"/>
    <n v="23255.61"/>
    <n v="0"/>
    <s v="Regular Air"/>
    <n v="-734.33"/>
    <n v="599.99"/>
    <n v="24.49"/>
    <x v="53"/>
    <x v="2"/>
    <x v="2"/>
    <x v="2"/>
    <x v="1"/>
    <x v="13"/>
    <x v="497"/>
    <s v="Large Box"/>
    <n v="0.44"/>
    <d v="2009-12-25T00:00:00"/>
    <n v="0"/>
    <n v="0"/>
    <n v="1"/>
    <n v="1"/>
  </r>
  <r>
    <n v="5223"/>
    <n v="37185"/>
    <x v="379"/>
    <x v="1"/>
    <s v="High"/>
    <n v="8"/>
    <n v="23.19"/>
    <n v="0.02"/>
    <s v="Regular Air"/>
    <n v="-13.27"/>
    <n v="2.6"/>
    <n v="2.4"/>
    <x v="67"/>
    <x v="2"/>
    <x v="2"/>
    <x v="2"/>
    <x v="0"/>
    <x v="12"/>
    <x v="269"/>
    <s v="Wrap Bag"/>
    <n v="0.57999999999999996"/>
    <d v="2012-11-01T00:00:00"/>
    <n v="0"/>
    <n v="0"/>
    <n v="1"/>
    <n v="1"/>
  </r>
  <r>
    <n v="5329"/>
    <n v="37888"/>
    <x v="380"/>
    <x v="47"/>
    <s v="Critical"/>
    <n v="31"/>
    <n v="639.19000000000005"/>
    <n v="0.09"/>
    <s v="Regular Air"/>
    <n v="274.89850000000001"/>
    <n v="20.98"/>
    <n v="1.49"/>
    <x v="75"/>
    <x v="2"/>
    <x v="2"/>
    <x v="2"/>
    <x v="0"/>
    <x v="2"/>
    <x v="498"/>
    <s v="Small Box"/>
    <n v="0.35"/>
    <d v="2009-12-24T00:00:00"/>
    <n v="0"/>
    <n v="0"/>
    <n v="1"/>
    <n v="1"/>
  </r>
  <r>
    <n v="5387"/>
    <n v="38310"/>
    <x v="381"/>
    <x v="13"/>
    <s v="High"/>
    <n v="4"/>
    <n v="62.45"/>
    <n v="0.08"/>
    <s v="Regular Air"/>
    <n v="-141.76"/>
    <n v="3.48"/>
    <n v="49"/>
    <x v="53"/>
    <x v="2"/>
    <x v="2"/>
    <x v="2"/>
    <x v="0"/>
    <x v="1"/>
    <x v="499"/>
    <s v="Large Box"/>
    <n v="0.59"/>
    <d v="2012-04-17T00:00:00"/>
    <n v="0"/>
    <n v="0"/>
    <n v="1"/>
    <n v="1"/>
  </r>
  <r>
    <n v="5702"/>
    <n v="40327"/>
    <x v="382"/>
    <x v="10"/>
    <s v="Medium"/>
    <n v="42"/>
    <n v="152.55000000000001"/>
    <n v="0.06"/>
    <s v="Regular Air"/>
    <n v="-20.27"/>
    <n v="3.69"/>
    <n v="2.5"/>
    <x v="70"/>
    <x v="2"/>
    <x v="2"/>
    <x v="2"/>
    <x v="0"/>
    <x v="8"/>
    <x v="500"/>
    <s v="Small Box"/>
    <n v="0.39"/>
    <d v="2011-05-15T00:00:00"/>
    <n v="0"/>
    <n v="0"/>
    <n v="0.5"/>
    <n v="0.5"/>
  </r>
  <r>
    <n v="5703"/>
    <n v="40327"/>
    <x v="382"/>
    <x v="10"/>
    <s v="Medium"/>
    <n v="36"/>
    <n v="152.96"/>
    <n v="0.09"/>
    <s v="Regular Air"/>
    <n v="-123.87"/>
    <n v="4.28"/>
    <n v="5.74"/>
    <x v="70"/>
    <x v="2"/>
    <x v="2"/>
    <x v="2"/>
    <x v="0"/>
    <x v="5"/>
    <x v="501"/>
    <s v="Small Box"/>
    <n v="0.4"/>
    <d v="2011-05-15T00:00:00"/>
    <n v="0"/>
    <n v="0"/>
    <n v="0.5"/>
    <n v="0.5"/>
  </r>
  <r>
    <n v="5714"/>
    <n v="40480"/>
    <x v="383"/>
    <x v="25"/>
    <s v="Critical"/>
    <n v="19"/>
    <n v="7608.88"/>
    <n v="0.06"/>
    <s v="Express Air"/>
    <n v="3049.4515000000001"/>
    <n v="420.98"/>
    <n v="19.989999999999998"/>
    <x v="64"/>
    <x v="2"/>
    <x v="2"/>
    <x v="3"/>
    <x v="0"/>
    <x v="2"/>
    <x v="461"/>
    <s v="Small Box"/>
    <n v="0.35"/>
    <d v="2011-12-07T00:00:00"/>
    <n v="0"/>
    <n v="0"/>
    <n v="0.5"/>
    <n v="0.5"/>
  </r>
  <r>
    <n v="5715"/>
    <n v="40480"/>
    <x v="383"/>
    <x v="25"/>
    <s v="Critical"/>
    <n v="50"/>
    <n v="1270.03"/>
    <n v="0.1"/>
    <s v="Regular Air"/>
    <n v="221.81"/>
    <n v="26.48"/>
    <n v="6.93"/>
    <x v="64"/>
    <x v="2"/>
    <x v="2"/>
    <x v="3"/>
    <x v="2"/>
    <x v="4"/>
    <x v="502"/>
    <s v="Small Box"/>
    <n v="0.49"/>
    <d v="2011-12-09T00:00:00"/>
    <n v="0"/>
    <n v="0"/>
    <n v="0.5"/>
    <n v="0.5"/>
  </r>
  <r>
    <n v="5741"/>
    <n v="40800"/>
    <x v="384"/>
    <x v="15"/>
    <s v="Not Specified"/>
    <n v="18"/>
    <n v="101.34"/>
    <n v="0.06"/>
    <s v="Regular Air"/>
    <n v="26.11"/>
    <n v="5.68"/>
    <n v="1.39"/>
    <x v="83"/>
    <x v="2"/>
    <x v="2"/>
    <x v="2"/>
    <x v="0"/>
    <x v="8"/>
    <x v="474"/>
    <s v="Small Box"/>
    <n v="0.38"/>
    <d v="2010-12-06T00:00:00"/>
    <n v="0"/>
    <n v="0"/>
    <n v="0.5"/>
    <n v="0.5"/>
  </r>
  <r>
    <n v="5750"/>
    <n v="40835"/>
    <x v="385"/>
    <x v="11"/>
    <s v="High"/>
    <n v="26"/>
    <n v="393.59"/>
    <n v="0.06"/>
    <s v="Regular Air"/>
    <n v="-8.0845000000000002"/>
    <n v="15.01"/>
    <n v="8.4"/>
    <x v="68"/>
    <x v="2"/>
    <x v="2"/>
    <x v="0"/>
    <x v="0"/>
    <x v="2"/>
    <x v="318"/>
    <s v="Small Box"/>
    <n v="0.39"/>
    <d v="2009-11-26T00:00:00"/>
    <n v="0"/>
    <n v="0"/>
    <n v="0.33333333333333331"/>
    <n v="0.33333333333333331"/>
  </r>
  <r>
    <n v="5751"/>
    <n v="40835"/>
    <x v="385"/>
    <x v="11"/>
    <s v="High"/>
    <n v="14"/>
    <n v="551.17999999999995"/>
    <n v="0.09"/>
    <s v="Regular Air"/>
    <n v="-326.97000000000003"/>
    <n v="40.479999999999997"/>
    <n v="19.989999999999998"/>
    <x v="68"/>
    <x v="2"/>
    <x v="2"/>
    <x v="0"/>
    <x v="1"/>
    <x v="7"/>
    <x v="413"/>
    <s v="Small Box"/>
    <n v="0.77"/>
    <d v="2009-11-26T00:00:00"/>
    <n v="0"/>
    <n v="0"/>
    <n v="0.33333333333333331"/>
    <n v="0.33333333333333331"/>
  </r>
  <r>
    <n v="5752"/>
    <n v="40835"/>
    <x v="385"/>
    <x v="11"/>
    <s v="High"/>
    <n v="1"/>
    <n v="18.73"/>
    <n v="0.05"/>
    <s v="Regular Air"/>
    <n v="-6.68"/>
    <n v="12.28"/>
    <n v="6.13"/>
    <x v="68"/>
    <x v="2"/>
    <x v="2"/>
    <x v="0"/>
    <x v="0"/>
    <x v="0"/>
    <x v="166"/>
    <s v="Small Box"/>
    <n v="0.56999999999999995"/>
    <d v="2009-11-25T00:00:00"/>
    <n v="0"/>
    <n v="0"/>
    <n v="0.33333333333333331"/>
    <n v="0.33333333333333331"/>
  </r>
  <r>
    <n v="5759"/>
    <n v="40871"/>
    <x v="386"/>
    <x v="31"/>
    <s v="Not Specified"/>
    <n v="32"/>
    <n v="294.04000000000002"/>
    <n v="0.03"/>
    <s v="Regular Air"/>
    <n v="-5.5314999999999994"/>
    <n v="8.85"/>
    <n v="5.6"/>
    <x v="72"/>
    <x v="2"/>
    <x v="2"/>
    <x v="2"/>
    <x v="0"/>
    <x v="2"/>
    <x v="182"/>
    <s v="Small Box"/>
    <n v="0.36"/>
    <d v="2011-09-15T00:00:00"/>
    <n v="0"/>
    <n v="0"/>
    <n v="0.5"/>
    <n v="0.5"/>
  </r>
  <r>
    <n v="5760"/>
    <n v="40871"/>
    <x v="386"/>
    <x v="31"/>
    <s v="Not Specified"/>
    <n v="18"/>
    <n v="2022.65"/>
    <n v="0.05"/>
    <s v="Delivery Truck"/>
    <n v="-157.63"/>
    <n v="110.98"/>
    <n v="30"/>
    <x v="72"/>
    <x v="2"/>
    <x v="2"/>
    <x v="2"/>
    <x v="2"/>
    <x v="14"/>
    <x v="503"/>
    <s v="Jumbo Drum"/>
    <n v="0.71"/>
    <d v="2011-09-15T00:00:00"/>
    <n v="0"/>
    <n v="0"/>
    <n v="0.5"/>
    <n v="0.5"/>
  </r>
  <r>
    <n v="5857"/>
    <n v="41570"/>
    <x v="387"/>
    <x v="15"/>
    <s v="Not Specified"/>
    <n v="24"/>
    <n v="2289.92"/>
    <n v="0.09"/>
    <s v="Regular Air"/>
    <n v="1037.55"/>
    <n v="104.85"/>
    <n v="4.6500000000000004"/>
    <x v="64"/>
    <x v="2"/>
    <x v="2"/>
    <x v="1"/>
    <x v="0"/>
    <x v="5"/>
    <x v="504"/>
    <s v="Small Box"/>
    <n v="0.37"/>
    <d v="2010-12-05T00:00:00"/>
    <n v="0"/>
    <n v="0"/>
    <n v="1"/>
    <n v="0.5"/>
  </r>
  <r>
    <n v="5922"/>
    <n v="41991"/>
    <x v="388"/>
    <x v="25"/>
    <s v="Low"/>
    <n v="36"/>
    <n v="1773.86"/>
    <n v="0.06"/>
    <s v="Delivery Truck"/>
    <n v="133.30000000000001"/>
    <n v="50.98"/>
    <n v="14.19"/>
    <x v="82"/>
    <x v="2"/>
    <x v="2"/>
    <x v="2"/>
    <x v="2"/>
    <x v="14"/>
    <x v="306"/>
    <s v="Jumbo Drum"/>
    <n v="0.56000000000000005"/>
    <d v="2011-12-23T00:00:00"/>
    <n v="0"/>
    <n v="0"/>
    <n v="0.33333333333333331"/>
    <n v="0.33333333333333331"/>
  </r>
  <r>
    <n v="5923"/>
    <n v="41991"/>
    <x v="388"/>
    <x v="25"/>
    <s v="Low"/>
    <n v="35"/>
    <n v="543.22"/>
    <n v="0"/>
    <s v="Regular Air"/>
    <n v="68.44"/>
    <n v="14.58"/>
    <n v="7.4"/>
    <x v="82"/>
    <x v="2"/>
    <x v="2"/>
    <x v="2"/>
    <x v="2"/>
    <x v="4"/>
    <x v="505"/>
    <s v="Small Box"/>
    <n v="0.48"/>
    <d v="2011-12-22T00:00:00"/>
    <n v="0"/>
    <n v="0"/>
    <n v="0.33333333333333331"/>
    <n v="0.33333333333333331"/>
  </r>
  <r>
    <n v="5924"/>
    <n v="41991"/>
    <x v="388"/>
    <x v="25"/>
    <s v="Low"/>
    <n v="18"/>
    <n v="813.9"/>
    <n v="0.06"/>
    <s v="Regular Air"/>
    <n v="256.66000000000003"/>
    <n v="45.98"/>
    <n v="4.8"/>
    <x v="82"/>
    <x v="2"/>
    <x v="2"/>
    <x v="2"/>
    <x v="2"/>
    <x v="4"/>
    <x v="506"/>
    <s v="Wrap Bag"/>
    <n v="0.68"/>
    <d v="2011-12-22T00:00:00"/>
    <n v="0"/>
    <n v="0"/>
    <n v="0.33333333333333331"/>
    <n v="0.33333333333333331"/>
  </r>
  <r>
    <n v="5981"/>
    <n v="42400"/>
    <x v="248"/>
    <x v="9"/>
    <s v="Low"/>
    <n v="44"/>
    <n v="865.27"/>
    <n v="0.03"/>
    <s v="Regular Air"/>
    <n v="11.55"/>
    <n v="19.98"/>
    <n v="4"/>
    <x v="69"/>
    <x v="2"/>
    <x v="2"/>
    <x v="3"/>
    <x v="1"/>
    <x v="7"/>
    <x v="507"/>
    <s v="Small Box"/>
    <n v="0.68"/>
    <d v="2012-08-11T00:00:00"/>
    <n v="0"/>
    <n v="0"/>
    <n v="0.5"/>
    <n v="0.5"/>
  </r>
  <r>
    <n v="5982"/>
    <n v="42400"/>
    <x v="248"/>
    <x v="9"/>
    <s v="Low"/>
    <n v="41"/>
    <n v="429.28"/>
    <n v="0.06"/>
    <s v="Regular Air"/>
    <n v="-168.95"/>
    <n v="10.97"/>
    <n v="6.5"/>
    <x v="69"/>
    <x v="2"/>
    <x v="2"/>
    <x v="3"/>
    <x v="1"/>
    <x v="7"/>
    <x v="217"/>
    <s v="Small Box"/>
    <n v="0.64"/>
    <d v="2012-08-14T00:00:00"/>
    <n v="0"/>
    <n v="0"/>
    <n v="0.5"/>
    <n v="0.5"/>
  </r>
  <r>
    <n v="6036"/>
    <n v="42754"/>
    <x v="69"/>
    <x v="3"/>
    <s v="Critical"/>
    <n v="31"/>
    <n v="341.71"/>
    <n v="0.04"/>
    <s v="Regular Air"/>
    <n v="32.189499999999995"/>
    <n v="10.98"/>
    <n v="5.14"/>
    <x v="78"/>
    <x v="2"/>
    <x v="2"/>
    <x v="2"/>
    <x v="0"/>
    <x v="2"/>
    <x v="508"/>
    <s v="Small Box"/>
    <n v="0.36"/>
    <d v="2010-08-25T00:00:00"/>
    <n v="0"/>
    <n v="0"/>
    <n v="1"/>
    <n v="1"/>
  </r>
  <r>
    <n v="6055"/>
    <n v="42918"/>
    <x v="389"/>
    <x v="10"/>
    <s v="High"/>
    <n v="46"/>
    <n v="648.26"/>
    <n v="7.0000000000000007E-2"/>
    <s v="Regular Air"/>
    <n v="30.481000000000002"/>
    <n v="14.27"/>
    <n v="7.27"/>
    <x v="84"/>
    <x v="2"/>
    <x v="2"/>
    <x v="2"/>
    <x v="0"/>
    <x v="2"/>
    <x v="509"/>
    <s v="Small Box"/>
    <n v="0.38"/>
    <d v="2011-05-24T00:00:00"/>
    <n v="0"/>
    <n v="0"/>
    <n v="0.33333333333333331"/>
    <n v="0.33333333333333331"/>
  </r>
  <r>
    <n v="6056"/>
    <n v="42918"/>
    <x v="389"/>
    <x v="10"/>
    <s v="High"/>
    <n v="46"/>
    <n v="410.43"/>
    <n v="0.1"/>
    <s v="Regular Air"/>
    <n v="-54.583800000000004"/>
    <n v="9.49"/>
    <n v="5.76"/>
    <x v="84"/>
    <x v="2"/>
    <x v="2"/>
    <x v="2"/>
    <x v="1"/>
    <x v="16"/>
    <x v="510"/>
    <s v="Medium Box"/>
    <n v="0.39"/>
    <d v="2011-05-24T00:00:00"/>
    <n v="0"/>
    <n v="0"/>
    <n v="0.33333333333333331"/>
    <n v="0.33333333333333331"/>
  </r>
  <r>
    <n v="6059"/>
    <n v="42944"/>
    <x v="390"/>
    <x v="32"/>
    <s v="Critical"/>
    <n v="43"/>
    <n v="9750.5499999999993"/>
    <n v="0"/>
    <s v="Delivery Truck"/>
    <n v="1061.6099999999999"/>
    <n v="216.6"/>
    <n v="64.2"/>
    <x v="79"/>
    <x v="2"/>
    <x v="2"/>
    <x v="0"/>
    <x v="2"/>
    <x v="14"/>
    <x v="197"/>
    <s v="Jumbo Drum"/>
    <n v="0.59"/>
    <d v="2012-11-19T00:00:00"/>
    <n v="0"/>
    <n v="0"/>
    <n v="1"/>
    <n v="1"/>
  </r>
  <r>
    <n v="6219"/>
    <n v="44037"/>
    <x v="140"/>
    <x v="8"/>
    <s v="High"/>
    <n v="39"/>
    <n v="835.55"/>
    <n v="7.0000000000000007E-2"/>
    <s v="Regular Air"/>
    <n v="326.43"/>
    <n v="22.23"/>
    <n v="5.08"/>
    <x v="3"/>
    <x v="2"/>
    <x v="2"/>
    <x v="1"/>
    <x v="2"/>
    <x v="4"/>
    <x v="511"/>
    <s v="Small Pack"/>
    <n v="0.41"/>
    <d v="2012-06-30T00:00:00"/>
    <n v="0"/>
    <n v="0"/>
    <n v="0.5"/>
    <n v="0.5"/>
  </r>
  <r>
    <n v="6220"/>
    <n v="44037"/>
    <x v="140"/>
    <x v="8"/>
    <s v="High"/>
    <n v="38"/>
    <n v="1799.6115"/>
    <n v="7.0000000000000007E-2"/>
    <s v="Regular Air"/>
    <n v="557.59500000000003"/>
    <n v="55.99"/>
    <n v="1.25"/>
    <x v="3"/>
    <x v="2"/>
    <x v="2"/>
    <x v="1"/>
    <x v="1"/>
    <x v="3"/>
    <x v="512"/>
    <s v="Small Pack"/>
    <n v="0.55000000000000004"/>
    <d v="2012-06-30T00:00:00"/>
    <n v="0"/>
    <n v="0"/>
    <n v="0.5"/>
    <n v="0.5"/>
  </r>
  <r>
    <n v="6270"/>
    <n v="44387"/>
    <x v="391"/>
    <x v="40"/>
    <s v="Low"/>
    <n v="50"/>
    <n v="1441.57"/>
    <n v="7.0000000000000007E-2"/>
    <s v="Express Air"/>
    <n v="475.26"/>
    <n v="29.89"/>
    <n v="1.99"/>
    <x v="70"/>
    <x v="2"/>
    <x v="2"/>
    <x v="2"/>
    <x v="1"/>
    <x v="7"/>
    <x v="412"/>
    <s v="Small Pack"/>
    <n v="0.5"/>
    <d v="2009-02-09T00:00:00"/>
    <n v="0"/>
    <n v="0"/>
    <n v="0.5"/>
    <n v="0.2"/>
  </r>
  <r>
    <n v="6271"/>
    <n v="44387"/>
    <x v="391"/>
    <x v="40"/>
    <s v="Low"/>
    <n v="20"/>
    <n v="173.09"/>
    <n v="0.03"/>
    <s v="Regular Air"/>
    <n v="-6.71"/>
    <n v="8.34"/>
    <n v="4.82"/>
    <x v="70"/>
    <x v="2"/>
    <x v="2"/>
    <x v="2"/>
    <x v="0"/>
    <x v="5"/>
    <x v="513"/>
    <s v="Small Box"/>
    <n v="0.4"/>
    <d v="2009-02-08T00:00:00"/>
    <n v="0"/>
    <n v="0"/>
    <n v="0.5"/>
    <n v="0.2"/>
  </r>
  <r>
    <n v="6295"/>
    <n v="44576"/>
    <x v="392"/>
    <x v="47"/>
    <s v="Not Specified"/>
    <n v="38"/>
    <n v="5016.25"/>
    <n v="0.01"/>
    <s v="Delivery Truck"/>
    <n v="-189.34929"/>
    <n v="124.49"/>
    <n v="51.94"/>
    <x v="76"/>
    <x v="2"/>
    <x v="2"/>
    <x v="0"/>
    <x v="2"/>
    <x v="10"/>
    <x v="307"/>
    <s v="Jumbo Box"/>
    <n v="0.63"/>
    <d v="2009-12-26T00:00:00"/>
    <n v="0"/>
    <n v="0"/>
    <n v="0.5"/>
    <n v="0.5"/>
  </r>
  <r>
    <n v="6417"/>
    <n v="45601"/>
    <x v="393"/>
    <x v="31"/>
    <s v="High"/>
    <n v="47"/>
    <n v="945.03"/>
    <n v="0"/>
    <s v="Regular Air"/>
    <n v="267.64"/>
    <n v="19.98"/>
    <n v="5.97"/>
    <x v="77"/>
    <x v="2"/>
    <x v="2"/>
    <x v="2"/>
    <x v="0"/>
    <x v="5"/>
    <x v="71"/>
    <s v="Small Box"/>
    <n v="0.38"/>
    <d v="2011-09-28T00:00:00"/>
    <n v="0"/>
    <n v="0"/>
    <n v="1"/>
    <n v="1"/>
  </r>
  <r>
    <n v="6419"/>
    <n v="45606"/>
    <x v="230"/>
    <x v="31"/>
    <s v="Medium"/>
    <n v="38"/>
    <n v="325.75"/>
    <n v="0.1"/>
    <s v="Regular Air"/>
    <n v="-124.25"/>
    <n v="8.75"/>
    <n v="8.5399999999999991"/>
    <x v="83"/>
    <x v="2"/>
    <x v="2"/>
    <x v="2"/>
    <x v="2"/>
    <x v="4"/>
    <x v="514"/>
    <s v="Small Pack"/>
    <n v="0.43"/>
    <d v="2011-09-24T00:00:00"/>
    <n v="0"/>
    <n v="0"/>
    <n v="0.5"/>
    <n v="0.5"/>
  </r>
  <r>
    <n v="6420"/>
    <n v="45606"/>
    <x v="230"/>
    <x v="31"/>
    <s v="Medium"/>
    <n v="24"/>
    <n v="136.41999999999999"/>
    <n v="0.09"/>
    <s v="Regular Air"/>
    <n v="-8.3800000000000008"/>
    <n v="5.85"/>
    <n v="2.27"/>
    <x v="83"/>
    <x v="2"/>
    <x v="2"/>
    <x v="2"/>
    <x v="0"/>
    <x v="12"/>
    <x v="338"/>
    <s v="Wrap Bag"/>
    <n v="0.56000000000000005"/>
    <d v="2011-09-23T00:00:00"/>
    <n v="0"/>
    <n v="0"/>
    <n v="0.5"/>
    <n v="0.5"/>
  </r>
  <r>
    <n v="6480"/>
    <n v="46119"/>
    <x v="394"/>
    <x v="40"/>
    <s v="Critical"/>
    <n v="23"/>
    <n v="93.05"/>
    <n v="0.03"/>
    <s v="Regular Air"/>
    <n v="15.2745"/>
    <n v="3.8"/>
    <n v="1.49"/>
    <x v="3"/>
    <x v="2"/>
    <x v="2"/>
    <x v="1"/>
    <x v="0"/>
    <x v="2"/>
    <x v="160"/>
    <s v="Small Box"/>
    <n v="0.38"/>
    <d v="2009-02-17T00:00:00"/>
    <n v="0"/>
    <n v="0"/>
    <n v="0.33333333333333331"/>
    <n v="0.33333333333333331"/>
  </r>
  <r>
    <n v="6481"/>
    <n v="46119"/>
    <x v="394"/>
    <x v="40"/>
    <s v="Critical"/>
    <n v="20"/>
    <n v="154.13"/>
    <n v="7.0000000000000007E-2"/>
    <s v="Regular Air"/>
    <n v="57.31"/>
    <n v="7.98"/>
    <n v="1.25"/>
    <x v="3"/>
    <x v="2"/>
    <x v="2"/>
    <x v="1"/>
    <x v="0"/>
    <x v="5"/>
    <x v="515"/>
    <s v="Wrap Bag"/>
    <n v="0.35"/>
    <d v="2009-02-17T00:00:00"/>
    <n v="0"/>
    <n v="0"/>
    <n v="0.33333333333333331"/>
    <n v="0.33333333333333331"/>
  </r>
  <r>
    <n v="6482"/>
    <n v="46119"/>
    <x v="394"/>
    <x v="40"/>
    <s v="Critical"/>
    <n v="46"/>
    <n v="18824.419999999998"/>
    <n v="7.0000000000000007E-2"/>
    <s v="Delivery Truck"/>
    <n v="-575.35199999999998"/>
    <n v="417.4"/>
    <n v="75.23"/>
    <x v="3"/>
    <x v="2"/>
    <x v="2"/>
    <x v="1"/>
    <x v="2"/>
    <x v="10"/>
    <x v="516"/>
    <s v="Jumbo Box"/>
    <n v="0.79"/>
    <d v="2009-02-16T00:00:00"/>
    <n v="0"/>
    <n v="0"/>
    <n v="0.33333333333333331"/>
    <n v="0.33333333333333331"/>
  </r>
  <r>
    <n v="6574"/>
    <n v="46756"/>
    <x v="395"/>
    <x v="19"/>
    <s v="Medium"/>
    <n v="3"/>
    <n v="33.64"/>
    <n v="0.01"/>
    <s v="Regular Air"/>
    <n v="-22.45"/>
    <n v="7.28"/>
    <n v="11.15"/>
    <x v="80"/>
    <x v="2"/>
    <x v="2"/>
    <x v="2"/>
    <x v="0"/>
    <x v="5"/>
    <x v="517"/>
    <s v="Small Box"/>
    <n v="0.37"/>
    <d v="2009-10-13T00:00:00"/>
    <n v="0"/>
    <n v="0"/>
    <n v="1"/>
    <n v="1"/>
  </r>
  <r>
    <n v="6700"/>
    <n v="47714"/>
    <x v="396"/>
    <x v="5"/>
    <s v="Medium"/>
    <n v="30"/>
    <n v="176.15"/>
    <n v="0.01"/>
    <s v="Regular Air"/>
    <n v="-125.36150000000001"/>
    <n v="5.53"/>
    <n v="6.98"/>
    <x v="82"/>
    <x v="2"/>
    <x v="2"/>
    <x v="2"/>
    <x v="0"/>
    <x v="2"/>
    <x v="518"/>
    <s v="Small Box"/>
    <n v="0.39"/>
    <d v="2011-03-11T00:00:00"/>
    <n v="0"/>
    <n v="0"/>
    <n v="0.5"/>
    <n v="0.5"/>
  </r>
  <r>
    <n v="6715"/>
    <n v="47846"/>
    <x v="397"/>
    <x v="9"/>
    <s v="High"/>
    <n v="5"/>
    <n v="66.430000000000007"/>
    <n v="0.01"/>
    <s v="Regular Air"/>
    <n v="-9.4499999999999993"/>
    <n v="10.68"/>
    <n v="13.04"/>
    <x v="75"/>
    <x v="2"/>
    <x v="2"/>
    <x v="2"/>
    <x v="2"/>
    <x v="4"/>
    <x v="519"/>
    <s v="Large Box"/>
    <n v="0.6"/>
    <d v="2012-08-13T00:00:00"/>
    <n v="0"/>
    <n v="0"/>
    <n v="0.25"/>
    <n v="0.25"/>
  </r>
  <r>
    <n v="6716"/>
    <n v="47846"/>
    <x v="397"/>
    <x v="9"/>
    <s v="High"/>
    <n v="25"/>
    <n v="2674.18"/>
    <n v="0.06"/>
    <s v="Regular Air"/>
    <n v="631.99"/>
    <n v="110.98"/>
    <n v="13.99"/>
    <x v="75"/>
    <x v="2"/>
    <x v="2"/>
    <x v="2"/>
    <x v="2"/>
    <x v="4"/>
    <x v="423"/>
    <s v="Medium Box"/>
    <n v="0.69"/>
    <d v="2012-08-13T00:00:00"/>
    <n v="0"/>
    <n v="0"/>
    <n v="0.25"/>
    <n v="0.25"/>
  </r>
  <r>
    <n v="6717"/>
    <n v="47846"/>
    <x v="397"/>
    <x v="9"/>
    <s v="High"/>
    <n v="50"/>
    <n v="5513.82"/>
    <n v="0.03"/>
    <s v="Regular Air"/>
    <n v="1581.93"/>
    <n v="105.98"/>
    <n v="13.99"/>
    <x v="75"/>
    <x v="2"/>
    <x v="2"/>
    <x v="2"/>
    <x v="2"/>
    <x v="4"/>
    <x v="134"/>
    <s v="Medium Box"/>
    <n v="0.65"/>
    <d v="2012-08-12T00:00:00"/>
    <n v="0"/>
    <n v="0"/>
    <n v="0.25"/>
    <n v="0.25"/>
  </r>
  <r>
    <n v="6718"/>
    <n v="47846"/>
    <x v="397"/>
    <x v="9"/>
    <s v="High"/>
    <n v="37"/>
    <n v="241.14"/>
    <n v="0.08"/>
    <s v="Regular Air"/>
    <n v="-120.08"/>
    <n v="6.68"/>
    <n v="6.93"/>
    <x v="75"/>
    <x v="2"/>
    <x v="2"/>
    <x v="2"/>
    <x v="0"/>
    <x v="5"/>
    <x v="261"/>
    <s v="Small Box"/>
    <n v="0.37"/>
    <d v="2012-08-12T00:00:00"/>
    <n v="0"/>
    <n v="0"/>
    <n v="0.25"/>
    <n v="0.25"/>
  </r>
  <r>
    <n v="6722"/>
    <n v="47876"/>
    <x v="392"/>
    <x v="47"/>
    <s v="High"/>
    <n v="8"/>
    <n v="365.22"/>
    <n v="0.04"/>
    <s v="Regular Air"/>
    <n v="58.08"/>
    <n v="46.89"/>
    <n v="5.0999999999999996"/>
    <x v="76"/>
    <x v="2"/>
    <x v="2"/>
    <x v="0"/>
    <x v="0"/>
    <x v="1"/>
    <x v="233"/>
    <s v="Medium Box"/>
    <n v="0.46"/>
    <d v="2009-12-27T00:00:00"/>
    <n v="0"/>
    <n v="0"/>
    <n v="1"/>
    <n v="0.5"/>
  </r>
  <r>
    <n v="6749"/>
    <n v="48067"/>
    <x v="151"/>
    <x v="8"/>
    <s v="Low"/>
    <n v="31"/>
    <n v="3229.66"/>
    <n v="0.05"/>
    <s v="Express Air"/>
    <n v="695.06099999999992"/>
    <n v="125.99"/>
    <n v="3"/>
    <x v="68"/>
    <x v="2"/>
    <x v="2"/>
    <x v="0"/>
    <x v="1"/>
    <x v="3"/>
    <x v="520"/>
    <s v="Small Box"/>
    <n v="0.59"/>
    <d v="2012-07-01T00:00:00"/>
    <n v="0"/>
    <n v="0"/>
    <n v="0.5"/>
    <n v="0.5"/>
  </r>
  <r>
    <n v="6750"/>
    <n v="48067"/>
    <x v="151"/>
    <x v="8"/>
    <s v="Low"/>
    <n v="24"/>
    <n v="4010.9375"/>
    <n v="0"/>
    <s v="Express Air"/>
    <n v="630.702"/>
    <n v="195.99"/>
    <n v="8.99"/>
    <x v="68"/>
    <x v="2"/>
    <x v="2"/>
    <x v="0"/>
    <x v="1"/>
    <x v="3"/>
    <x v="521"/>
    <s v="Small Box"/>
    <n v="0.6"/>
    <d v="2012-06-29T00:00:00"/>
    <n v="0"/>
    <n v="0"/>
    <n v="0.5"/>
    <n v="0.5"/>
  </r>
  <r>
    <n v="6772"/>
    <n v="48199"/>
    <x v="398"/>
    <x v="22"/>
    <s v="Not Specified"/>
    <n v="47"/>
    <n v="672.46"/>
    <n v="0.1"/>
    <s v="Regular Air"/>
    <n v="279.74"/>
    <n v="15.74"/>
    <n v="1.39"/>
    <x v="70"/>
    <x v="2"/>
    <x v="2"/>
    <x v="2"/>
    <x v="0"/>
    <x v="8"/>
    <x v="15"/>
    <s v="Small Box"/>
    <n v="0.4"/>
    <d v="2009-01-21T00:00:00"/>
    <n v="0"/>
    <n v="1"/>
    <n v="1"/>
    <n v="1"/>
  </r>
  <r>
    <n v="6879"/>
    <n v="49029"/>
    <x v="399"/>
    <x v="20"/>
    <s v="High"/>
    <n v="49"/>
    <n v="8223.07"/>
    <n v="0.06"/>
    <s v="Express Air"/>
    <n v="2549.4030000000002"/>
    <n v="195.99"/>
    <n v="3.99"/>
    <x v="83"/>
    <x v="2"/>
    <x v="2"/>
    <x v="2"/>
    <x v="1"/>
    <x v="3"/>
    <x v="193"/>
    <s v="Small Box"/>
    <n v="0.59"/>
    <d v="2012-05-22T00:00:00"/>
    <n v="0"/>
    <n v="0"/>
    <n v="1"/>
    <n v="1"/>
  </r>
  <r>
    <n v="6899"/>
    <n v="49216"/>
    <x v="400"/>
    <x v="28"/>
    <s v="High"/>
    <n v="11"/>
    <n v="259.69"/>
    <n v="0.1"/>
    <s v="Regular Air"/>
    <n v="-45.816000000000003"/>
    <n v="24.92"/>
    <n v="12.98"/>
    <x v="85"/>
    <x v="2"/>
    <x v="2"/>
    <x v="3"/>
    <x v="0"/>
    <x v="2"/>
    <x v="202"/>
    <s v="Small Box"/>
    <n v="0.39"/>
    <d v="2009-03-19T00:00:00"/>
    <n v="0"/>
    <n v="0"/>
    <n v="0.25"/>
    <n v="0.25"/>
  </r>
  <r>
    <n v="6900"/>
    <n v="49216"/>
    <x v="400"/>
    <x v="28"/>
    <s v="High"/>
    <n v="9"/>
    <n v="2503.86"/>
    <n v="0.06"/>
    <s v="Delivery Truck"/>
    <n v="-172.47749999999999"/>
    <n v="270.97000000000003"/>
    <n v="28.06"/>
    <x v="85"/>
    <x v="3"/>
    <x v="3"/>
    <x v="3"/>
    <x v="1"/>
    <x v="16"/>
    <x v="241"/>
    <s v="Jumbo Drum"/>
    <n v="0.56000000000000005"/>
    <d v="2009-03-19T00:00:00"/>
    <n v="0"/>
    <n v="0"/>
    <n v="0.25"/>
    <n v="0.25"/>
  </r>
  <r>
    <n v="6901"/>
    <n v="49216"/>
    <x v="400"/>
    <x v="28"/>
    <s v="High"/>
    <n v="29"/>
    <n v="374.67"/>
    <n v="0"/>
    <s v="Express Air"/>
    <n v="30.63"/>
    <n v="12.28"/>
    <n v="6.35"/>
    <x v="85"/>
    <x v="3"/>
    <x v="3"/>
    <x v="3"/>
    <x v="0"/>
    <x v="5"/>
    <x v="522"/>
    <s v="Small Box"/>
    <n v="0.38"/>
    <d v="2009-03-20T00:00:00"/>
    <n v="0"/>
    <n v="0"/>
    <n v="0.25"/>
    <n v="0.25"/>
  </r>
  <r>
    <n v="7005"/>
    <n v="49990"/>
    <x v="401"/>
    <x v="35"/>
    <s v="Not Specified"/>
    <n v="11"/>
    <n v="5155.3500000000004"/>
    <n v="0"/>
    <s v="Delivery Truck"/>
    <n v="501.51"/>
    <n v="442.14"/>
    <n v="14.7"/>
    <x v="73"/>
    <x v="3"/>
    <x v="3"/>
    <x v="2"/>
    <x v="1"/>
    <x v="16"/>
    <x v="330"/>
    <s v="Jumbo Drum"/>
    <n v="0.56000000000000005"/>
    <d v="2009-09-05T00:00:00"/>
    <n v="0"/>
    <n v="0"/>
    <n v="1"/>
    <n v="1"/>
  </r>
  <r>
    <n v="7018"/>
    <n v="50081"/>
    <x v="402"/>
    <x v="11"/>
    <s v="Not Specified"/>
    <n v="7"/>
    <n v="538.51"/>
    <n v="0"/>
    <s v="Delivery Truck"/>
    <n v="-88.75"/>
    <n v="70.98"/>
    <n v="26.74"/>
    <x v="67"/>
    <x v="3"/>
    <x v="3"/>
    <x v="2"/>
    <x v="2"/>
    <x v="9"/>
    <x v="523"/>
    <s v="Jumbo Box"/>
    <n v="0.6"/>
    <d v="2009-11-04T00:00:00"/>
    <n v="0"/>
    <n v="0"/>
    <n v="1"/>
    <n v="0.33333333333333331"/>
  </r>
  <r>
    <n v="7063"/>
    <n v="50404"/>
    <x v="179"/>
    <x v="5"/>
    <s v="High"/>
    <n v="18"/>
    <n v="3780.43"/>
    <n v="0.05"/>
    <s v="Regular Air"/>
    <n v="905.57"/>
    <n v="210.55"/>
    <n v="9.99"/>
    <x v="67"/>
    <x v="3"/>
    <x v="3"/>
    <x v="2"/>
    <x v="0"/>
    <x v="0"/>
    <x v="524"/>
    <s v="Small Box"/>
    <n v="0.6"/>
    <d v="2011-03-27T00:00:00"/>
    <n v="0"/>
    <n v="0"/>
    <n v="0.5"/>
    <n v="0.5"/>
  </r>
  <r>
    <n v="7064"/>
    <n v="50404"/>
    <x v="179"/>
    <x v="5"/>
    <s v="High"/>
    <n v="10"/>
    <n v="1961.68"/>
    <n v="0.04"/>
    <s v="Regular Air"/>
    <n v="-367.00200000000001"/>
    <n v="182.55"/>
    <n v="69"/>
    <x v="67"/>
    <x v="3"/>
    <x v="3"/>
    <x v="2"/>
    <x v="2"/>
    <x v="10"/>
    <x v="359"/>
    <s v="Large Box"/>
    <n v="0.72"/>
    <d v="2011-03-28T00:00:00"/>
    <n v="0"/>
    <n v="0"/>
    <n v="0.5"/>
    <n v="0.5"/>
  </r>
  <r>
    <n v="7116"/>
    <n v="50784"/>
    <x v="403"/>
    <x v="12"/>
    <s v="High"/>
    <n v="20"/>
    <n v="638.72"/>
    <n v="0.04"/>
    <s v="Regular Air"/>
    <n v="-130.88"/>
    <n v="32.979999999999997"/>
    <n v="5.5"/>
    <x v="80"/>
    <x v="3"/>
    <x v="3"/>
    <x v="2"/>
    <x v="1"/>
    <x v="7"/>
    <x v="279"/>
    <s v="Small Box"/>
    <n v="0.75"/>
    <d v="2012-02-11T00:00:00"/>
    <n v="0"/>
    <n v="0"/>
    <n v="1"/>
    <n v="1"/>
  </r>
  <r>
    <n v="7128"/>
    <n v="50850"/>
    <x v="404"/>
    <x v="43"/>
    <s v="Critical"/>
    <n v="37"/>
    <n v="1599.54"/>
    <n v="0"/>
    <s v="Regular Air"/>
    <n v="578.14449999999999"/>
    <n v="40.98"/>
    <n v="7.47"/>
    <x v="76"/>
    <x v="3"/>
    <x v="3"/>
    <x v="0"/>
    <x v="0"/>
    <x v="2"/>
    <x v="447"/>
    <s v="Small Box"/>
    <n v="0.37"/>
    <d v="2009-05-08T00:00:00"/>
    <n v="0"/>
    <n v="0"/>
    <n v="0.5"/>
    <n v="0.5"/>
  </r>
  <r>
    <n v="7129"/>
    <n v="50850"/>
    <x v="404"/>
    <x v="43"/>
    <s v="Critical"/>
    <n v="2"/>
    <n v="942.42"/>
    <n v="0.02"/>
    <s v="Delivery Truck"/>
    <n v="-634.86540000000002"/>
    <n v="417.4"/>
    <n v="75.23"/>
    <x v="76"/>
    <x v="3"/>
    <x v="3"/>
    <x v="0"/>
    <x v="2"/>
    <x v="10"/>
    <x v="516"/>
    <s v="Jumbo Box"/>
    <n v="0.79"/>
    <d v="2009-05-07T00:00:00"/>
    <n v="0"/>
    <n v="0"/>
    <n v="0.5"/>
    <n v="0.5"/>
  </r>
  <r>
    <n v="7161"/>
    <n v="51075"/>
    <x v="7"/>
    <x v="7"/>
    <s v="Not Specified"/>
    <n v="43"/>
    <n v="1290.2065"/>
    <n v="0.06"/>
    <s v="Express Air"/>
    <n v="-160.67699999999999"/>
    <n v="35.99"/>
    <n v="5"/>
    <x v="3"/>
    <x v="3"/>
    <x v="3"/>
    <x v="0"/>
    <x v="1"/>
    <x v="3"/>
    <x v="525"/>
    <s v="Wrap Bag"/>
    <n v="0.82"/>
    <d v="2010-11-25T00:00:00"/>
    <n v="0"/>
    <n v="0"/>
    <n v="1"/>
    <n v="0.5"/>
  </r>
  <r>
    <n v="7209"/>
    <n v="51461"/>
    <x v="405"/>
    <x v="44"/>
    <s v="Not Specified"/>
    <n v="43"/>
    <n v="858.53"/>
    <n v="7.0000000000000007E-2"/>
    <s v="Regular Air"/>
    <n v="-97.54"/>
    <n v="19.989999999999998"/>
    <n v="11.17"/>
    <x v="76"/>
    <x v="3"/>
    <x v="3"/>
    <x v="2"/>
    <x v="2"/>
    <x v="4"/>
    <x v="220"/>
    <s v="Large Box"/>
    <n v="0.6"/>
    <d v="2011-02-12T00:00:00"/>
    <n v="0"/>
    <n v="0"/>
    <n v="1"/>
    <n v="1"/>
  </r>
  <r>
    <n v="7232"/>
    <n v="51558"/>
    <x v="233"/>
    <x v="14"/>
    <s v="Not Specified"/>
    <n v="34"/>
    <n v="245.4"/>
    <n v="0"/>
    <s v="Regular Air"/>
    <n v="-87.27"/>
    <n v="6.68"/>
    <n v="6.92"/>
    <x v="76"/>
    <x v="3"/>
    <x v="3"/>
    <x v="2"/>
    <x v="0"/>
    <x v="5"/>
    <x v="526"/>
    <s v="Small Box"/>
    <n v="0.37"/>
    <d v="2010-03-29T00:00:00"/>
    <n v="0"/>
    <n v="0"/>
    <n v="0.5"/>
    <n v="0.5"/>
  </r>
  <r>
    <n v="7233"/>
    <n v="51558"/>
    <x v="233"/>
    <x v="14"/>
    <s v="Not Specified"/>
    <n v="47"/>
    <n v="4177.66"/>
    <n v="0.04"/>
    <s v="Delivery Truck"/>
    <n v="85.29"/>
    <n v="85.29"/>
    <n v="60"/>
    <x v="76"/>
    <x v="3"/>
    <x v="3"/>
    <x v="2"/>
    <x v="2"/>
    <x v="10"/>
    <x v="527"/>
    <s v="Jumbo Drum"/>
    <n v="0.56000000000000005"/>
    <d v="2010-03-29T00:00:00"/>
    <n v="0"/>
    <n v="0"/>
    <n v="0.5"/>
    <n v="0.5"/>
  </r>
  <r>
    <n v="7310"/>
    <n v="52130"/>
    <x v="406"/>
    <x v="34"/>
    <s v="Low"/>
    <n v="13"/>
    <n v="63.33"/>
    <n v="0"/>
    <s v="Regular Air"/>
    <n v="-39.962499999999999"/>
    <n v="4.13"/>
    <n v="5.34"/>
    <x v="3"/>
    <x v="3"/>
    <x v="3"/>
    <x v="1"/>
    <x v="0"/>
    <x v="2"/>
    <x v="528"/>
    <s v="Small Box"/>
    <n v="0.38"/>
    <d v="2012-09-07T00:00:00"/>
    <n v="0"/>
    <n v="0"/>
    <n v="0.5"/>
    <n v="0.5"/>
  </r>
  <r>
    <n v="7311"/>
    <n v="52130"/>
    <x v="406"/>
    <x v="34"/>
    <s v="Low"/>
    <n v="36"/>
    <n v="1436.55"/>
    <n v="0.1"/>
    <s v="Regular Air"/>
    <n v="-4.0099999999999909"/>
    <n v="40.89"/>
    <n v="18.98"/>
    <x v="3"/>
    <x v="3"/>
    <x v="3"/>
    <x v="1"/>
    <x v="2"/>
    <x v="4"/>
    <x v="529"/>
    <s v="Small Box"/>
    <n v="0.56999999999999995"/>
    <d v="2012-09-07T00:00:00"/>
    <n v="0"/>
    <n v="0"/>
    <n v="0.5"/>
    <n v="0.5"/>
  </r>
  <r>
    <n v="7363"/>
    <n v="52482"/>
    <x v="407"/>
    <x v="16"/>
    <s v="Critical"/>
    <n v="21"/>
    <n v="848.2"/>
    <n v="0.06"/>
    <s v="Express Air"/>
    <n v="163.78"/>
    <n v="40.98"/>
    <n v="5.33"/>
    <x v="76"/>
    <x v="3"/>
    <x v="3"/>
    <x v="2"/>
    <x v="0"/>
    <x v="1"/>
    <x v="530"/>
    <s v="Small Box"/>
    <n v="0.56999999999999995"/>
    <d v="2011-01-31T00:00:00"/>
    <n v="0"/>
    <n v="0"/>
    <n v="0.5"/>
    <n v="0.16666666666666666"/>
  </r>
  <r>
    <n v="7364"/>
    <n v="52482"/>
    <x v="407"/>
    <x v="16"/>
    <s v="Critical"/>
    <n v="30"/>
    <n v="717.21"/>
    <n v="0"/>
    <s v="Regular Air"/>
    <n v="217.06"/>
    <n v="22.23"/>
    <n v="3.63"/>
    <x v="76"/>
    <x v="3"/>
    <x v="3"/>
    <x v="2"/>
    <x v="2"/>
    <x v="4"/>
    <x v="485"/>
    <s v="Small Pack"/>
    <n v="0.52"/>
    <d v="2011-02-02T00:00:00"/>
    <n v="0"/>
    <n v="0"/>
    <n v="0.5"/>
    <n v="0.16666666666666666"/>
  </r>
  <r>
    <n v="7480"/>
    <n v="53410"/>
    <x v="408"/>
    <x v="26"/>
    <s v="Critical"/>
    <n v="44"/>
    <n v="642.79999999999995"/>
    <n v="0.08"/>
    <s v="Regular Air"/>
    <n v="-253.11"/>
    <n v="14.81"/>
    <n v="13.32"/>
    <x v="71"/>
    <x v="3"/>
    <x v="3"/>
    <x v="2"/>
    <x v="0"/>
    <x v="1"/>
    <x v="531"/>
    <s v="Small Box"/>
    <n v="0.43"/>
    <d v="2009-08-09T00:00:00"/>
    <n v="0"/>
    <n v="0"/>
    <n v="1"/>
    <n v="1"/>
  </r>
  <r>
    <n v="7493"/>
    <n v="53477"/>
    <x v="409"/>
    <x v="20"/>
    <s v="High"/>
    <n v="32"/>
    <n v="3114.05"/>
    <n v="0.01"/>
    <s v="Delivery Truck"/>
    <n v="-1207.18"/>
    <n v="95.95"/>
    <n v="74.349999999999994"/>
    <x v="72"/>
    <x v="3"/>
    <x v="3"/>
    <x v="2"/>
    <x v="2"/>
    <x v="14"/>
    <x v="34"/>
    <s v="Jumbo Drum"/>
    <n v="0.56999999999999995"/>
    <d v="2012-05-07T00:00:00"/>
    <n v="0"/>
    <n v="0"/>
    <n v="0.25"/>
    <n v="0.25"/>
  </r>
  <r>
    <n v="7494"/>
    <n v="53477"/>
    <x v="409"/>
    <x v="20"/>
    <s v="High"/>
    <n v="27"/>
    <n v="8161.93"/>
    <n v="0.06"/>
    <s v="Delivery Truck"/>
    <n v="1261.44"/>
    <n v="300.98"/>
    <n v="64.73"/>
    <x v="72"/>
    <x v="3"/>
    <x v="3"/>
    <x v="2"/>
    <x v="2"/>
    <x v="14"/>
    <x v="70"/>
    <s v="Jumbo Drum"/>
    <n v="0.56000000000000005"/>
    <d v="2012-05-06T00:00:00"/>
    <n v="0"/>
    <n v="0"/>
    <n v="0.25"/>
    <n v="0.25"/>
  </r>
  <r>
    <n v="7495"/>
    <n v="53477"/>
    <x v="409"/>
    <x v="20"/>
    <s v="High"/>
    <n v="36"/>
    <n v="1314.65"/>
    <n v="0.06"/>
    <s v="Regular Air"/>
    <n v="536.87"/>
    <n v="37.94"/>
    <n v="5.08"/>
    <x v="72"/>
    <x v="3"/>
    <x v="3"/>
    <x v="2"/>
    <x v="0"/>
    <x v="5"/>
    <x v="532"/>
    <s v="Wrap Bag"/>
    <n v="0.38"/>
    <d v="2012-05-07T00:00:00"/>
    <n v="0"/>
    <n v="0"/>
    <n v="0.25"/>
    <n v="0.25"/>
  </r>
  <r>
    <n v="7496"/>
    <n v="53477"/>
    <x v="409"/>
    <x v="20"/>
    <s v="High"/>
    <n v="28"/>
    <n v="4479.16"/>
    <n v="7.0000000000000007E-2"/>
    <s v="Regular Air"/>
    <n v="610.9"/>
    <n v="161.55000000000001"/>
    <n v="19.989999999999998"/>
    <x v="72"/>
    <x v="3"/>
    <x v="3"/>
    <x v="2"/>
    <x v="0"/>
    <x v="0"/>
    <x v="533"/>
    <s v="Small Box"/>
    <n v="0.66"/>
    <d v="2012-05-07T00:00:00"/>
    <n v="0"/>
    <n v="0"/>
    <n v="0.25"/>
    <n v="0.25"/>
  </r>
  <r>
    <n v="7497"/>
    <n v="53508"/>
    <x v="410"/>
    <x v="11"/>
    <s v="High"/>
    <n v="13"/>
    <n v="1072.22"/>
    <n v="0.03"/>
    <s v="Regular Air"/>
    <n v="149.63999999999999"/>
    <n v="80.98"/>
    <n v="7.18"/>
    <x v="72"/>
    <x v="3"/>
    <x v="3"/>
    <x v="1"/>
    <x v="1"/>
    <x v="7"/>
    <x v="534"/>
    <s v="Small Box"/>
    <n v="0.48"/>
    <d v="2009-11-12T00:00:00"/>
    <n v="0"/>
    <n v="0"/>
    <n v="0.33333333333333331"/>
    <n v="0.33333333333333331"/>
  </r>
  <r>
    <n v="7498"/>
    <n v="53508"/>
    <x v="410"/>
    <x v="11"/>
    <s v="High"/>
    <n v="25"/>
    <n v="342.85"/>
    <n v="0.06"/>
    <s v="Regular Air"/>
    <n v="-32.416199999999996"/>
    <n v="13.99"/>
    <n v="7.51"/>
    <x v="72"/>
    <x v="3"/>
    <x v="3"/>
    <x v="1"/>
    <x v="1"/>
    <x v="16"/>
    <x v="535"/>
    <s v="Medium Box"/>
    <n v="0.39"/>
    <d v="2009-11-12T00:00:00"/>
    <n v="0"/>
    <n v="0"/>
    <n v="0.33333333333333331"/>
    <n v="0.33333333333333331"/>
  </r>
  <r>
    <n v="7499"/>
    <n v="53508"/>
    <x v="410"/>
    <x v="11"/>
    <s v="High"/>
    <n v="4"/>
    <n v="62.48"/>
    <n v="0.06"/>
    <s v="Regular Air"/>
    <n v="1.06"/>
    <n v="15.04"/>
    <n v="1.97"/>
    <x v="72"/>
    <x v="3"/>
    <x v="3"/>
    <x v="1"/>
    <x v="0"/>
    <x v="5"/>
    <x v="536"/>
    <s v="Wrap Bag"/>
    <n v="0.39"/>
    <d v="2009-11-10T00:00:00"/>
    <n v="0"/>
    <n v="0"/>
    <n v="0.33333333333333331"/>
    <n v="0.33333333333333331"/>
  </r>
  <r>
    <n v="7522"/>
    <n v="53703"/>
    <x v="202"/>
    <x v="30"/>
    <s v="Not Specified"/>
    <n v="14"/>
    <n v="1966.26"/>
    <n v="0.06"/>
    <s v="Regular Air"/>
    <n v="-34.79"/>
    <n v="140.85"/>
    <n v="19.989999999999998"/>
    <x v="67"/>
    <x v="3"/>
    <x v="3"/>
    <x v="2"/>
    <x v="0"/>
    <x v="0"/>
    <x v="405"/>
    <s v="Small Box"/>
    <n v="0.73"/>
    <d v="2010-06-15T00:00:00"/>
    <n v="0"/>
    <n v="0"/>
    <n v="1"/>
    <n v="1"/>
  </r>
  <r>
    <n v="7562"/>
    <n v="54115"/>
    <x v="411"/>
    <x v="23"/>
    <s v="Low"/>
    <n v="24"/>
    <n v="114.17"/>
    <n v="0.01"/>
    <s v="Regular Air"/>
    <n v="-80.05"/>
    <n v="4.37"/>
    <n v="5.15"/>
    <x v="86"/>
    <x v="3"/>
    <x v="3"/>
    <x v="2"/>
    <x v="0"/>
    <x v="1"/>
    <x v="537"/>
    <s v="Small Box"/>
    <n v="0.59"/>
    <d v="2012-01-12T00:00:00"/>
    <n v="0"/>
    <n v="0"/>
    <n v="0.5"/>
    <n v="0.33333333333333331"/>
  </r>
  <r>
    <n v="7563"/>
    <n v="54115"/>
    <x v="411"/>
    <x v="23"/>
    <s v="Low"/>
    <n v="39"/>
    <n v="197.11"/>
    <n v="0.03"/>
    <s v="Regular Air"/>
    <n v="-89.424000000000007"/>
    <n v="4.9800000000000004"/>
    <n v="4.95"/>
    <x v="86"/>
    <x v="3"/>
    <x v="3"/>
    <x v="2"/>
    <x v="0"/>
    <x v="2"/>
    <x v="538"/>
    <s v="Small Box"/>
    <n v="0.37"/>
    <d v="2012-01-12T00:00:00"/>
    <n v="0"/>
    <n v="0"/>
    <n v="0.5"/>
    <n v="0.33333333333333331"/>
  </r>
  <r>
    <n v="7607"/>
    <n v="54437"/>
    <x v="412"/>
    <x v="15"/>
    <s v="High"/>
    <n v="15"/>
    <n v="653.87099999999998"/>
    <n v="0.09"/>
    <s v="Regular Air"/>
    <n v="-311.04699999999997"/>
    <n v="55.99"/>
    <n v="5"/>
    <x v="84"/>
    <x v="3"/>
    <x v="3"/>
    <x v="2"/>
    <x v="1"/>
    <x v="3"/>
    <x v="140"/>
    <s v="Small Pack"/>
    <n v="0.83"/>
    <d v="2010-12-19T00:00:00"/>
    <n v="0"/>
    <n v="0"/>
    <n v="1"/>
    <n v="0.5"/>
  </r>
  <r>
    <n v="7616"/>
    <n v="54501"/>
    <x v="66"/>
    <x v="32"/>
    <s v="Critical"/>
    <n v="36"/>
    <n v="2039.0820000000001"/>
    <n v="0.01"/>
    <s v="Regular Air"/>
    <n v="481.69800000000004"/>
    <n v="65.989999999999995"/>
    <n v="4.99"/>
    <x v="67"/>
    <x v="3"/>
    <x v="3"/>
    <x v="2"/>
    <x v="1"/>
    <x v="3"/>
    <x v="539"/>
    <s v="Small Box"/>
    <n v="0.56999999999999995"/>
    <d v="2012-11-30T00:00:00"/>
    <n v="0"/>
    <n v="0"/>
    <n v="0.33333333333333331"/>
    <n v="0.25"/>
  </r>
  <r>
    <n v="7617"/>
    <n v="54501"/>
    <x v="66"/>
    <x v="32"/>
    <s v="Critical"/>
    <n v="16"/>
    <n v="225.46"/>
    <n v="0.09"/>
    <s v="Regular Air"/>
    <n v="-33.025199999999998"/>
    <n v="13.99"/>
    <n v="7.51"/>
    <x v="67"/>
    <x v="3"/>
    <x v="3"/>
    <x v="2"/>
    <x v="1"/>
    <x v="16"/>
    <x v="535"/>
    <s v="Medium Box"/>
    <n v="0.39"/>
    <d v="2012-12-01T00:00:00"/>
    <n v="0"/>
    <n v="0"/>
    <n v="0.33333333333333331"/>
    <n v="0.25"/>
  </r>
  <r>
    <n v="7618"/>
    <n v="54501"/>
    <x v="66"/>
    <x v="32"/>
    <s v="Critical"/>
    <n v="38"/>
    <n v="783.96"/>
    <n v="0.05"/>
    <s v="Regular Air"/>
    <n v="-1195.29"/>
    <n v="20.34"/>
    <n v="35"/>
    <x v="67"/>
    <x v="3"/>
    <x v="3"/>
    <x v="2"/>
    <x v="0"/>
    <x v="0"/>
    <x v="540"/>
    <s v="Large Box"/>
    <n v="0.84"/>
    <d v="2012-12-01T00:00:00"/>
    <n v="0"/>
    <n v="0"/>
    <n v="0.33333333333333331"/>
    <n v="0.25"/>
  </r>
  <r>
    <n v="7642"/>
    <n v="54753"/>
    <x v="413"/>
    <x v="46"/>
    <s v="Medium"/>
    <n v="36"/>
    <n v="4711.2440000000006"/>
    <n v="0.06"/>
    <s v="Regular Air"/>
    <n v="1380.3210000000001"/>
    <n v="155.99"/>
    <n v="3.9"/>
    <x v="71"/>
    <x v="3"/>
    <x v="3"/>
    <x v="2"/>
    <x v="1"/>
    <x v="3"/>
    <x v="149"/>
    <s v="Small Box"/>
    <n v="0.55000000000000004"/>
    <d v="2009-04-19T00:00:00"/>
    <n v="0"/>
    <n v="0"/>
    <n v="1"/>
    <n v="0.5"/>
  </r>
  <r>
    <n v="7690"/>
    <n v="55138"/>
    <x v="414"/>
    <x v="35"/>
    <s v="High"/>
    <n v="22"/>
    <n v="1132.54"/>
    <n v="0"/>
    <s v="Regular Air"/>
    <n v="-628.38"/>
    <n v="48.91"/>
    <n v="35"/>
    <x v="83"/>
    <x v="3"/>
    <x v="3"/>
    <x v="2"/>
    <x v="0"/>
    <x v="0"/>
    <x v="293"/>
    <s v="Large Box"/>
    <n v="0.83"/>
    <d v="2009-09-25T00:00:00"/>
    <n v="0"/>
    <n v="0"/>
    <n v="1"/>
    <n v="1"/>
  </r>
  <r>
    <n v="7713"/>
    <n v="55271"/>
    <x v="415"/>
    <x v="5"/>
    <s v="Medium"/>
    <n v="16"/>
    <n v="1648.33"/>
    <n v="7.0000000000000007E-2"/>
    <s v="Delivery Truck"/>
    <n v="-210.14"/>
    <n v="100.89"/>
    <n v="42"/>
    <x v="3"/>
    <x v="3"/>
    <x v="3"/>
    <x v="1"/>
    <x v="2"/>
    <x v="14"/>
    <x v="541"/>
    <s v="Jumbo Drum"/>
    <n v="0.61"/>
    <d v="2011-03-13T00:00:00"/>
    <n v="0"/>
    <n v="0"/>
    <n v="1"/>
    <n v="1"/>
  </r>
  <r>
    <n v="7722"/>
    <n v="55331"/>
    <x v="416"/>
    <x v="15"/>
    <s v="High"/>
    <n v="13"/>
    <n v="50.35"/>
    <n v="0.05"/>
    <s v="Regular Air"/>
    <n v="-8.24"/>
    <n v="3.69"/>
    <n v="2.5"/>
    <x v="68"/>
    <x v="3"/>
    <x v="3"/>
    <x v="0"/>
    <x v="0"/>
    <x v="8"/>
    <x v="500"/>
    <s v="Small Box"/>
    <n v="0.39"/>
    <d v="2010-12-15T00:00:00"/>
    <n v="0"/>
    <n v="0"/>
    <n v="1"/>
    <n v="0.5"/>
  </r>
  <r>
    <n v="7769"/>
    <n v="55618"/>
    <x v="417"/>
    <x v="23"/>
    <s v="Medium"/>
    <n v="48"/>
    <n v="1494.232"/>
    <n v="0.04"/>
    <s v="Regular Air"/>
    <n v="479.952"/>
    <n v="35.99"/>
    <n v="1.25"/>
    <x v="86"/>
    <x v="3"/>
    <x v="3"/>
    <x v="2"/>
    <x v="1"/>
    <x v="3"/>
    <x v="542"/>
    <s v="Small Pack"/>
    <n v="0.56999999999999995"/>
    <d v="2012-01-22T00:00:00"/>
    <n v="0"/>
    <n v="0"/>
    <n v="1"/>
    <n v="0.33333333333333331"/>
  </r>
  <r>
    <n v="7924"/>
    <n v="56645"/>
    <x v="418"/>
    <x v="23"/>
    <s v="Low"/>
    <n v="46"/>
    <n v="1483.49"/>
    <n v="0.02"/>
    <s v="Regular Air"/>
    <n v="65.819999999999993"/>
    <n v="30.98"/>
    <n v="17.079999999999998"/>
    <x v="64"/>
    <x v="3"/>
    <x v="3"/>
    <x v="3"/>
    <x v="0"/>
    <x v="5"/>
    <x v="385"/>
    <s v="Small Box"/>
    <n v="0.4"/>
    <d v="2012-01-06T00:00:00"/>
    <n v="0"/>
    <n v="0"/>
    <n v="0.5"/>
    <n v="0.5"/>
  </r>
  <r>
    <n v="7925"/>
    <n v="56645"/>
    <x v="418"/>
    <x v="23"/>
    <s v="Low"/>
    <n v="42"/>
    <n v="14729.36"/>
    <n v="7.0000000000000007E-2"/>
    <s v="Delivery Truck"/>
    <n v="3277.57"/>
    <n v="348.21"/>
    <n v="40.19"/>
    <x v="64"/>
    <x v="3"/>
    <x v="3"/>
    <x v="3"/>
    <x v="2"/>
    <x v="10"/>
    <x v="453"/>
    <s v="Jumbo Box"/>
    <n v="0.62"/>
    <d v="2012-01-08T00:00:00"/>
    <n v="0"/>
    <n v="0"/>
    <n v="0.5"/>
    <n v="0.5"/>
  </r>
  <r>
    <n v="7949"/>
    <n v="56803"/>
    <x v="419"/>
    <x v="47"/>
    <s v="Not Specified"/>
    <n v="42"/>
    <n v="258.19"/>
    <n v="0.1"/>
    <s v="Regular Air"/>
    <n v="-103.27"/>
    <n v="6.48"/>
    <n v="5.9"/>
    <x v="3"/>
    <x v="3"/>
    <x v="3"/>
    <x v="0"/>
    <x v="0"/>
    <x v="5"/>
    <x v="543"/>
    <s v="Small Box"/>
    <n v="0.37"/>
    <d v="2009-12-10T00:00:00"/>
    <n v="0"/>
    <n v="0"/>
    <n v="1"/>
    <n v="0.33333333333333331"/>
  </r>
  <r>
    <n v="8001"/>
    <n v="57159"/>
    <x v="420"/>
    <x v="6"/>
    <s v="Critical"/>
    <n v="17"/>
    <n v="4621.1000000000004"/>
    <n v="0.09"/>
    <s v="Delivery Truck"/>
    <n v="-635.65"/>
    <n v="280.98"/>
    <n v="57"/>
    <x v="75"/>
    <x v="3"/>
    <x v="3"/>
    <x v="2"/>
    <x v="2"/>
    <x v="14"/>
    <x v="544"/>
    <s v="Jumbo Drum"/>
    <n v="0.78"/>
    <d v="2010-02-13T00:00:00"/>
    <n v="0"/>
    <n v="0"/>
    <n v="0.5"/>
    <n v="0.5"/>
  </r>
  <r>
    <n v="8002"/>
    <n v="57159"/>
    <x v="420"/>
    <x v="6"/>
    <s v="Critical"/>
    <n v="42"/>
    <n v="460.2"/>
    <n v="0.01"/>
    <s v="Regular Air"/>
    <n v="-214.39"/>
    <n v="9.99"/>
    <n v="11.59"/>
    <x v="75"/>
    <x v="3"/>
    <x v="3"/>
    <x v="2"/>
    <x v="0"/>
    <x v="5"/>
    <x v="545"/>
    <s v="Small Box"/>
    <n v="0.4"/>
    <d v="2010-02-12T00:00:00"/>
    <n v="0"/>
    <n v="0"/>
    <n v="0.5"/>
    <n v="0.5"/>
  </r>
  <r>
    <n v="8056"/>
    <n v="57507"/>
    <x v="421"/>
    <x v="41"/>
    <s v="Critical"/>
    <n v="10"/>
    <n v="155.44999999999999"/>
    <n v="0.03"/>
    <s v="Regular Air"/>
    <n v="-19.676500000000001"/>
    <n v="15.01"/>
    <n v="8.4"/>
    <x v="84"/>
    <x v="3"/>
    <x v="3"/>
    <x v="2"/>
    <x v="0"/>
    <x v="2"/>
    <x v="318"/>
    <s v="Small Box"/>
    <n v="0.39"/>
    <d v="2009-06-29T00:00:00"/>
    <n v="0"/>
    <n v="0"/>
    <n v="1"/>
    <n v="1"/>
  </r>
  <r>
    <n v="8114"/>
    <n v="57922"/>
    <x v="130"/>
    <x v="44"/>
    <s v="Critical"/>
    <n v="50"/>
    <n v="343.26"/>
    <n v="0.04"/>
    <s v="Regular Air"/>
    <n v="-287.27999999999997"/>
    <n v="6.84"/>
    <n v="8.3699999999999992"/>
    <x v="67"/>
    <x v="3"/>
    <x v="3"/>
    <x v="2"/>
    <x v="0"/>
    <x v="15"/>
    <x v="277"/>
    <s v="Small Pack"/>
    <n v="0.57999999999999996"/>
    <d v="2011-02-08T00:00:00"/>
    <n v="0"/>
    <n v="0"/>
    <n v="1"/>
    <n v="1"/>
  </r>
  <r>
    <n v="8132"/>
    <n v="58117"/>
    <x v="422"/>
    <x v="44"/>
    <s v="Critical"/>
    <n v="42"/>
    <n v="134.86000000000001"/>
    <n v="0.04"/>
    <s v="Regular Air"/>
    <n v="-62.84"/>
    <n v="3.14"/>
    <n v="1.92"/>
    <x v="70"/>
    <x v="3"/>
    <x v="3"/>
    <x v="2"/>
    <x v="0"/>
    <x v="15"/>
    <x v="546"/>
    <s v="Wrap Bag"/>
    <n v="0.84"/>
    <d v="2011-02-21T00:00:00"/>
    <n v="0"/>
    <n v="0"/>
    <n v="1"/>
    <n v="1"/>
  </r>
  <r>
    <n v="8149"/>
    <n v="58278"/>
    <x v="322"/>
    <x v="34"/>
    <s v="High"/>
    <n v="37"/>
    <n v="3512.9"/>
    <n v="0.08"/>
    <s v="Regular Air"/>
    <n v="2093.6999999999998"/>
    <n v="99.23"/>
    <n v="8.99"/>
    <x v="84"/>
    <x v="3"/>
    <x v="3"/>
    <x v="2"/>
    <x v="2"/>
    <x v="4"/>
    <x v="547"/>
    <s v="Small Pack"/>
    <n v="0.35"/>
    <d v="2012-09-12T00:00:00"/>
    <n v="0"/>
    <n v="0"/>
    <n v="0.5"/>
    <n v="0.33333333333333331"/>
  </r>
  <r>
    <n v="8150"/>
    <n v="58278"/>
    <x v="322"/>
    <x v="34"/>
    <s v="High"/>
    <n v="4"/>
    <n v="281.5455"/>
    <n v="0.1"/>
    <s v="Regular Air"/>
    <n v="-434.55500000000001"/>
    <n v="85.99"/>
    <n v="0.99"/>
    <x v="84"/>
    <x v="3"/>
    <x v="3"/>
    <x v="2"/>
    <x v="1"/>
    <x v="3"/>
    <x v="55"/>
    <s v="Wrap Bag"/>
    <n v="0.85"/>
    <d v="2012-09-13T00:00:00"/>
    <n v="0"/>
    <n v="0"/>
    <n v="0.5"/>
    <n v="0.33333333333333331"/>
  </r>
  <r>
    <n v="8185"/>
    <n v="58502"/>
    <x v="420"/>
    <x v="6"/>
    <s v="Critical"/>
    <n v="23"/>
    <n v="5186.3100000000004"/>
    <n v="0.03"/>
    <s v="Delivery Truck"/>
    <n v="1009.38"/>
    <n v="226.67"/>
    <n v="28.16"/>
    <x v="64"/>
    <x v="3"/>
    <x v="3"/>
    <x v="1"/>
    <x v="2"/>
    <x v="14"/>
    <x v="108"/>
    <s v="Jumbo Drum"/>
    <n v="0.59"/>
    <d v="2010-02-14T00:00:00"/>
    <n v="0"/>
    <n v="0"/>
    <n v="1"/>
    <n v="1"/>
  </r>
  <r>
    <n v="8225"/>
    <n v="58788"/>
    <x v="423"/>
    <x v="6"/>
    <s v="Low"/>
    <n v="31"/>
    <n v="983.78"/>
    <n v="0.04"/>
    <s v="Regular Air"/>
    <n v="43.72"/>
    <n v="30.98"/>
    <n v="6.5"/>
    <x v="71"/>
    <x v="3"/>
    <x v="3"/>
    <x v="2"/>
    <x v="1"/>
    <x v="7"/>
    <x v="455"/>
    <s v="Small Box"/>
    <n v="0.64"/>
    <d v="2010-02-03T00:00:00"/>
    <n v="0"/>
    <n v="0"/>
    <n v="1"/>
    <n v="1"/>
  </r>
  <r>
    <n v="8245"/>
    <n v="58947"/>
    <x v="393"/>
    <x v="31"/>
    <s v="Not Specified"/>
    <n v="48"/>
    <n v="410.15"/>
    <n v="0.01"/>
    <s v="Regular Air"/>
    <n v="102.58"/>
    <n v="8.01"/>
    <n v="2.87"/>
    <x v="66"/>
    <x v="3"/>
    <x v="3"/>
    <x v="3"/>
    <x v="0"/>
    <x v="5"/>
    <x v="548"/>
    <s v="Wrap Bag"/>
    <n v="0.4"/>
    <d v="2011-09-26T00:00:00"/>
    <n v="0"/>
    <n v="0"/>
    <n v="0.5"/>
    <n v="0.5"/>
  </r>
  <r>
    <n v="8246"/>
    <n v="58947"/>
    <x v="393"/>
    <x v="31"/>
    <s v="Not Specified"/>
    <n v="28"/>
    <n v="135.72"/>
    <n v="0.09"/>
    <s v="Regular Air"/>
    <n v="-67.790000000000006"/>
    <n v="4.9800000000000004"/>
    <n v="5.0199999999999996"/>
    <x v="66"/>
    <x v="3"/>
    <x v="3"/>
    <x v="3"/>
    <x v="0"/>
    <x v="5"/>
    <x v="549"/>
    <s v="Small Box"/>
    <n v="0.38"/>
    <d v="2011-09-27T00:00:00"/>
    <n v="0"/>
    <n v="0"/>
    <n v="0.5"/>
    <n v="0.5"/>
  </r>
  <r>
    <n v="8263"/>
    <n v="59074"/>
    <x v="424"/>
    <x v="3"/>
    <s v="Low"/>
    <n v="37"/>
    <n v="589.63"/>
    <n v="0.03"/>
    <s v="Regular Air"/>
    <n v="70.8"/>
    <n v="14.98"/>
    <n v="8.99"/>
    <x v="53"/>
    <x v="4"/>
    <x v="4"/>
    <x v="2"/>
    <x v="2"/>
    <x v="4"/>
    <x v="214"/>
    <s v="Small Pack"/>
    <n v="0.39"/>
    <d v="2010-08-14T00:00:00"/>
    <n v="0"/>
    <n v="0"/>
    <n v="1"/>
    <n v="0.33333333333333331"/>
  </r>
  <r>
    <n v="8292"/>
    <n v="59233"/>
    <x v="147"/>
    <x v="3"/>
    <s v="High"/>
    <n v="3"/>
    <n v="336.84"/>
    <n v="0.08"/>
    <s v="Delivery Truck"/>
    <n v="-160.46"/>
    <n v="100.98"/>
    <n v="35.840000000000003"/>
    <x v="53"/>
    <x v="4"/>
    <x v="4"/>
    <x v="2"/>
    <x v="2"/>
    <x v="9"/>
    <x v="550"/>
    <s v="Jumbo Box"/>
    <n v="0.62"/>
    <d v="2010-08-22T00:00:00"/>
    <n v="0"/>
    <n v="0"/>
    <n v="0.5"/>
    <n v="0.33333333333333331"/>
  </r>
  <r>
    <n v="8293"/>
    <n v="59233"/>
    <x v="147"/>
    <x v="3"/>
    <s v="High"/>
    <n v="30"/>
    <n v="397.17"/>
    <n v="0.1"/>
    <s v="Express Air"/>
    <n v="7.69"/>
    <n v="14.34"/>
    <n v="5"/>
    <x v="53"/>
    <x v="4"/>
    <x v="4"/>
    <x v="2"/>
    <x v="2"/>
    <x v="4"/>
    <x v="551"/>
    <s v="Small Pack"/>
    <n v="0.49"/>
    <d v="2010-08-20T00:00:00"/>
    <n v="0"/>
    <n v="0"/>
    <n v="0.5"/>
    <n v="0.33333333333333331"/>
  </r>
  <r>
    <n v="8316"/>
    <n v="59425"/>
    <x v="425"/>
    <x v="20"/>
    <s v="Medium"/>
    <n v="24"/>
    <n v="2094.12"/>
    <n v="0"/>
    <s v="Regular Air"/>
    <n v="717.12"/>
    <n v="83.1"/>
    <n v="6.13"/>
    <x v="69"/>
    <x v="4"/>
    <x v="4"/>
    <x v="3"/>
    <x v="1"/>
    <x v="7"/>
    <x v="432"/>
    <s v="Small Box"/>
    <n v="0.45"/>
    <d v="2012-05-19T00:00:00"/>
    <n v="0"/>
    <n v="0"/>
    <n v="0.5"/>
    <n v="0.5"/>
  </r>
  <r>
    <n v="8317"/>
    <n v="59425"/>
    <x v="425"/>
    <x v="20"/>
    <s v="Medium"/>
    <n v="46"/>
    <n v="1714.02"/>
    <n v="0.04"/>
    <s v="Regular Air"/>
    <n v="741.27"/>
    <n v="37.94"/>
    <n v="5.08"/>
    <x v="69"/>
    <x v="4"/>
    <x v="4"/>
    <x v="3"/>
    <x v="0"/>
    <x v="5"/>
    <x v="532"/>
    <s v="Wrap Bag"/>
    <n v="0.38"/>
    <d v="2012-05-20T00:00:00"/>
    <n v="0"/>
    <n v="0"/>
    <n v="0.5"/>
    <n v="0.5"/>
  </r>
  <r>
    <n v="8360"/>
    <n v="59750"/>
    <x v="426"/>
    <x v="42"/>
    <s v="Low"/>
    <n v="34"/>
    <n v="223.59"/>
    <n v="0.04"/>
    <s v="Regular Air"/>
    <n v="-66.05"/>
    <n v="6.48"/>
    <n v="5.74"/>
    <x v="83"/>
    <x v="4"/>
    <x v="4"/>
    <x v="2"/>
    <x v="0"/>
    <x v="5"/>
    <x v="552"/>
    <s v="Small Box"/>
    <n v="0.37"/>
    <d v="2010-07-13T00:00:00"/>
    <n v="0"/>
    <n v="0"/>
    <n v="1"/>
    <n v="1"/>
  </r>
  <r>
    <n v="7"/>
    <n v="35"/>
    <x v="120"/>
    <x v="17"/>
    <s v="Not Specified"/>
    <n v="30"/>
    <n v="288.56"/>
    <n v="0.03"/>
    <s v="Regular Air"/>
    <n v="60.72"/>
    <n v="9.11"/>
    <n v="2.25"/>
    <x v="87"/>
    <x v="4"/>
    <x v="4"/>
    <x v="2"/>
    <x v="0"/>
    <x v="12"/>
    <x v="553"/>
    <s v="Wrap Bag"/>
    <n v="0.52"/>
    <d v="2011-10-23T00:00:00"/>
    <n v="0"/>
    <n v="0"/>
    <n v="0.5"/>
    <n v="0.5"/>
  </r>
  <r>
    <n v="8"/>
    <n v="35"/>
    <x v="120"/>
    <x v="17"/>
    <s v="Not Specified"/>
    <n v="14"/>
    <n v="1892.848"/>
    <n v="0.01"/>
    <s v="Regular Air"/>
    <n v="48.987000000000002"/>
    <n v="155.99"/>
    <n v="8.99"/>
    <x v="87"/>
    <x v="4"/>
    <x v="4"/>
    <x v="2"/>
    <x v="1"/>
    <x v="3"/>
    <x v="554"/>
    <s v="Small Box"/>
    <n v="0.57999999999999996"/>
    <d v="2011-10-24T00:00:00"/>
    <n v="0"/>
    <n v="0"/>
    <n v="0.5"/>
    <n v="0.5"/>
  </r>
  <r>
    <n v="51"/>
    <n v="294"/>
    <x v="427"/>
    <x v="42"/>
    <s v="Medium"/>
    <n v="35"/>
    <n v="6375.28"/>
    <n v="0.06"/>
    <s v="Regular Air"/>
    <n v="489.02"/>
    <n v="193.17"/>
    <n v="19.989999999999998"/>
    <x v="88"/>
    <x v="4"/>
    <x v="4"/>
    <x v="3"/>
    <x v="0"/>
    <x v="0"/>
    <x v="219"/>
    <s v="Small Box"/>
    <n v="0.71"/>
    <d v="2010-07-16T00:00:00"/>
    <n v="0"/>
    <n v="0"/>
    <n v="1"/>
    <n v="0.5"/>
  </r>
  <r>
    <n v="76"/>
    <n v="450"/>
    <x v="428"/>
    <x v="5"/>
    <s v="Not Specified"/>
    <n v="29"/>
    <n v="1000.78"/>
    <n v="0.05"/>
    <s v="Express Air"/>
    <n v="109.33"/>
    <n v="34.58"/>
    <n v="8.99"/>
    <x v="89"/>
    <x v="4"/>
    <x v="4"/>
    <x v="1"/>
    <x v="0"/>
    <x v="12"/>
    <x v="555"/>
    <s v="Small Pack"/>
    <n v="0.56000000000000005"/>
    <d v="2011-03-05T00:00:00"/>
    <n v="0"/>
    <n v="0"/>
    <n v="0.5"/>
    <n v="0.5"/>
  </r>
  <r>
    <n v="77"/>
    <n v="450"/>
    <x v="428"/>
    <x v="5"/>
    <s v="Not Specified"/>
    <n v="35"/>
    <n v="543.72"/>
    <n v="0.05"/>
    <s v="Regular Air"/>
    <n v="-211.13"/>
    <n v="15.7"/>
    <n v="11.25"/>
    <x v="89"/>
    <x v="4"/>
    <x v="4"/>
    <x v="1"/>
    <x v="0"/>
    <x v="0"/>
    <x v="101"/>
    <s v="Small Box"/>
    <n v="0.6"/>
    <d v="2011-03-06T00:00:00"/>
    <n v="0"/>
    <n v="0"/>
    <n v="0.5"/>
    <n v="0.5"/>
  </r>
  <r>
    <n v="164"/>
    <n v="1028"/>
    <x v="272"/>
    <x v="22"/>
    <s v="High"/>
    <n v="6"/>
    <n v="165.75"/>
    <n v="0.03"/>
    <s v="Regular Air"/>
    <n v="-28.46"/>
    <n v="28.48"/>
    <n v="1.99"/>
    <x v="89"/>
    <x v="4"/>
    <x v="4"/>
    <x v="1"/>
    <x v="1"/>
    <x v="7"/>
    <x v="395"/>
    <s v="Small Pack"/>
    <n v="0.4"/>
    <d v="2009-01-06T00:00:00"/>
    <n v="0"/>
    <n v="1"/>
    <n v="0.5"/>
    <n v="0.5"/>
  </r>
  <r>
    <n v="165"/>
    <n v="1028"/>
    <x v="272"/>
    <x v="22"/>
    <s v="High"/>
    <n v="11"/>
    <n v="2021.1470000000002"/>
    <n v="0.01"/>
    <s v="Regular Air"/>
    <n v="-60.39"/>
    <n v="205.99"/>
    <n v="5.99"/>
    <x v="89"/>
    <x v="4"/>
    <x v="4"/>
    <x v="1"/>
    <x v="1"/>
    <x v="3"/>
    <x v="556"/>
    <s v="Small Box"/>
    <n v="0.59"/>
    <d v="2009-01-07T00:00:00"/>
    <n v="0"/>
    <n v="1"/>
    <n v="0.5"/>
    <n v="0.5"/>
  </r>
  <r>
    <n v="199"/>
    <n v="1314"/>
    <x v="429"/>
    <x v="43"/>
    <s v="Medium"/>
    <n v="4"/>
    <n v="42.58"/>
    <n v="0"/>
    <s v="Regular Air"/>
    <n v="-7.61"/>
    <n v="9.27"/>
    <n v="4.3899999999999997"/>
    <x v="90"/>
    <x v="4"/>
    <x v="4"/>
    <x v="2"/>
    <x v="0"/>
    <x v="5"/>
    <x v="276"/>
    <s v="Wrap Bag"/>
    <n v="0.38"/>
    <d v="2009-05-14T00:00:00"/>
    <n v="0"/>
    <n v="0"/>
    <n v="1"/>
    <n v="1"/>
  </r>
  <r>
    <n v="333"/>
    <n v="2279"/>
    <x v="430"/>
    <x v="6"/>
    <s v="Medium"/>
    <n v="49"/>
    <n v="4577.18"/>
    <n v="0"/>
    <s v="Delivery Truck"/>
    <n v="205.83"/>
    <n v="90.98"/>
    <n v="30"/>
    <x v="91"/>
    <x v="4"/>
    <x v="4"/>
    <x v="2"/>
    <x v="2"/>
    <x v="14"/>
    <x v="557"/>
    <s v="Jumbo Drum"/>
    <n v="0.61"/>
    <d v="2010-02-23T00:00:00"/>
    <n v="0"/>
    <n v="0"/>
    <n v="0.5"/>
    <n v="0.5"/>
  </r>
  <r>
    <n v="334"/>
    <n v="2279"/>
    <x v="430"/>
    <x v="6"/>
    <s v="Medium"/>
    <n v="39"/>
    <n v="845.9"/>
    <n v="0.04"/>
    <s v="Regular Air"/>
    <n v="52.53"/>
    <n v="20.98"/>
    <n v="5.42"/>
    <x v="91"/>
    <x v="4"/>
    <x v="4"/>
    <x v="2"/>
    <x v="0"/>
    <x v="0"/>
    <x v="558"/>
    <s v="Small Box"/>
    <n v="0.66"/>
    <d v="2010-02-24T00:00:00"/>
    <n v="0"/>
    <n v="0"/>
    <n v="0.5"/>
    <n v="0.5"/>
  </r>
  <r>
    <n v="353"/>
    <n v="2465"/>
    <x v="431"/>
    <x v="4"/>
    <s v="Critical"/>
    <n v="28"/>
    <n v="1082.45"/>
    <n v="0.04"/>
    <s v="Regular Air"/>
    <n v="271.87"/>
    <n v="39.479999999999997"/>
    <n v="1.99"/>
    <x v="91"/>
    <x v="4"/>
    <x v="4"/>
    <x v="1"/>
    <x v="1"/>
    <x v="7"/>
    <x v="64"/>
    <s v="Small Pack"/>
    <n v="0.54"/>
    <d v="2011-06-25T00:00:00"/>
    <n v="0"/>
    <n v="0"/>
    <n v="1"/>
    <n v="1"/>
  </r>
  <r>
    <n v="361"/>
    <n v="2530"/>
    <x v="41"/>
    <x v="28"/>
    <s v="Medium"/>
    <n v="9"/>
    <n v="23.46"/>
    <n v="0.06"/>
    <s v="Regular Air"/>
    <n v="4.58"/>
    <n v="2.61"/>
    <n v="0.5"/>
    <x v="91"/>
    <x v="4"/>
    <x v="4"/>
    <x v="2"/>
    <x v="0"/>
    <x v="11"/>
    <x v="400"/>
    <s v="Small Box"/>
    <n v="0.39"/>
    <d v="2009-03-22T00:00:00"/>
    <n v="0"/>
    <n v="0"/>
    <n v="1"/>
    <n v="1"/>
  </r>
  <r>
    <n v="431"/>
    <n v="2883"/>
    <x v="432"/>
    <x v="16"/>
    <s v="Low"/>
    <n v="34"/>
    <n v="2154.34"/>
    <n v="0.1"/>
    <s v="Regular Air"/>
    <n v="177.66"/>
    <n v="64.98"/>
    <n v="6.88"/>
    <x v="91"/>
    <x v="4"/>
    <x v="4"/>
    <x v="1"/>
    <x v="0"/>
    <x v="0"/>
    <x v="391"/>
    <s v="Small Box"/>
    <n v="0.73"/>
    <d v="2011-01-24T00:00:00"/>
    <n v="0"/>
    <n v="0"/>
    <n v="1"/>
    <n v="1"/>
  </r>
  <r>
    <n v="485"/>
    <n v="3362"/>
    <x v="433"/>
    <x v="2"/>
    <s v="Low"/>
    <n v="40"/>
    <n v="1699.52"/>
    <n v="0.04"/>
    <s v="Regular Air"/>
    <n v="734.75"/>
    <n v="40.98"/>
    <n v="1.99"/>
    <x v="92"/>
    <x v="4"/>
    <x v="4"/>
    <x v="0"/>
    <x v="1"/>
    <x v="7"/>
    <x v="559"/>
    <s v="Small Pack"/>
    <n v="0.44"/>
    <d v="2011-08-01T00:00:00"/>
    <n v="0"/>
    <n v="0"/>
    <n v="0.5"/>
    <n v="0.5"/>
  </r>
  <r>
    <n v="486"/>
    <n v="3362"/>
    <x v="433"/>
    <x v="2"/>
    <s v="Low"/>
    <n v="50"/>
    <n v="760.85"/>
    <n v="0.03"/>
    <s v="Regular Air"/>
    <n v="-109.1"/>
    <n v="15.14"/>
    <n v="4.53"/>
    <x v="92"/>
    <x v="4"/>
    <x v="4"/>
    <x v="0"/>
    <x v="0"/>
    <x v="0"/>
    <x v="560"/>
    <s v="Small Box"/>
    <n v="0.81"/>
    <d v="2011-08-06T00:00:00"/>
    <n v="0"/>
    <n v="0"/>
    <n v="0.5"/>
    <n v="0.5"/>
  </r>
  <r>
    <n v="739"/>
    <n v="5318"/>
    <x v="434"/>
    <x v="24"/>
    <s v="High"/>
    <n v="8"/>
    <n v="1042.25"/>
    <n v="0.08"/>
    <s v="Regular Air"/>
    <n v="195.16"/>
    <n v="131.12"/>
    <n v="0.99"/>
    <x v="89"/>
    <x v="4"/>
    <x v="4"/>
    <x v="1"/>
    <x v="0"/>
    <x v="1"/>
    <x v="561"/>
    <s v="Small Box"/>
    <n v="0.55000000000000004"/>
    <d v="2010-04-05T00:00:00"/>
    <n v="0"/>
    <n v="0"/>
    <n v="0.5"/>
    <n v="0.5"/>
  </r>
  <r>
    <n v="740"/>
    <n v="5318"/>
    <x v="434"/>
    <x v="24"/>
    <s v="High"/>
    <n v="29"/>
    <n v="5010.7415000000001"/>
    <n v="0.03"/>
    <s v="Express Air"/>
    <n v="1196.3699999999999"/>
    <n v="200.99"/>
    <n v="4.2"/>
    <x v="89"/>
    <x v="4"/>
    <x v="4"/>
    <x v="1"/>
    <x v="1"/>
    <x v="3"/>
    <x v="332"/>
    <s v="Small Box"/>
    <n v="0.59"/>
    <d v="2010-04-04T00:00:00"/>
    <n v="0"/>
    <n v="0"/>
    <n v="0.5"/>
    <n v="0.5"/>
  </r>
  <r>
    <n v="835"/>
    <n v="5988"/>
    <x v="435"/>
    <x v="7"/>
    <s v="Not Specified"/>
    <n v="40"/>
    <n v="19109.61"/>
    <n v="0.1"/>
    <s v="Express Air"/>
    <n v="-379.29"/>
    <n v="499.99"/>
    <n v="24.49"/>
    <x v="88"/>
    <x v="4"/>
    <x v="4"/>
    <x v="3"/>
    <x v="1"/>
    <x v="13"/>
    <x v="110"/>
    <s v="Large Box"/>
    <n v="0.36"/>
    <d v="2010-11-22T00:00:00"/>
    <n v="0"/>
    <n v="0"/>
    <n v="1"/>
    <n v="0.25"/>
  </r>
  <r>
    <n v="851"/>
    <n v="6115"/>
    <x v="373"/>
    <x v="18"/>
    <s v="Medium"/>
    <n v="25"/>
    <n v="409.08"/>
    <n v="0.1"/>
    <s v="Regular Air"/>
    <n v="78.86"/>
    <n v="17.78"/>
    <n v="5.03"/>
    <x v="89"/>
    <x v="4"/>
    <x v="4"/>
    <x v="1"/>
    <x v="2"/>
    <x v="4"/>
    <x v="562"/>
    <s v="Small Box"/>
    <n v="0.54"/>
    <d v="2010-09-12T00:00:00"/>
    <n v="0"/>
    <n v="0"/>
    <n v="1"/>
    <n v="1"/>
  </r>
  <r>
    <n v="882"/>
    <n v="6337"/>
    <x v="31"/>
    <x v="21"/>
    <s v="Not Specified"/>
    <n v="48"/>
    <n v="3397.72"/>
    <n v="0.01"/>
    <s v="Regular Air"/>
    <n v="-912.08"/>
    <n v="70.709999999999994"/>
    <n v="37.58"/>
    <x v="90"/>
    <x v="4"/>
    <x v="4"/>
    <x v="2"/>
    <x v="2"/>
    <x v="4"/>
    <x v="563"/>
    <s v="Wrap Bag"/>
    <n v="0.78"/>
    <d v="2011-09-02T00:00:00"/>
    <n v="0"/>
    <n v="0"/>
    <n v="0.5"/>
    <n v="0.5"/>
  </r>
  <r>
    <n v="883"/>
    <n v="6337"/>
    <x v="31"/>
    <x v="21"/>
    <s v="Not Specified"/>
    <n v="1"/>
    <n v="449.42"/>
    <n v="7.0000000000000007E-2"/>
    <s v="Delivery Truck"/>
    <n v="-261.61200000000002"/>
    <n v="376.13"/>
    <n v="85.63"/>
    <x v="90"/>
    <x v="4"/>
    <x v="4"/>
    <x v="2"/>
    <x v="2"/>
    <x v="10"/>
    <x v="564"/>
    <s v="Jumbo Box"/>
    <n v="0.74"/>
    <d v="2011-09-01T00:00:00"/>
    <n v="0"/>
    <n v="0"/>
    <n v="0.5"/>
    <n v="0.5"/>
  </r>
  <r>
    <n v="895"/>
    <n v="6434"/>
    <x v="113"/>
    <x v="41"/>
    <s v="High"/>
    <n v="13"/>
    <n v="59.58"/>
    <n v="7.0000000000000007E-2"/>
    <s v="Regular Air"/>
    <n v="14.49"/>
    <n v="4.76"/>
    <n v="0.88"/>
    <x v="91"/>
    <x v="4"/>
    <x v="4"/>
    <x v="2"/>
    <x v="0"/>
    <x v="5"/>
    <x v="565"/>
    <s v="Wrap Bag"/>
    <n v="0.39"/>
    <d v="2009-06-07T00:00:00"/>
    <n v="0"/>
    <n v="0"/>
    <n v="1"/>
    <n v="1"/>
  </r>
  <r>
    <n v="989"/>
    <n v="7136"/>
    <x v="436"/>
    <x v="28"/>
    <s v="High"/>
    <n v="17"/>
    <n v="642.9"/>
    <n v="7.0000000000000007E-2"/>
    <s v="Regular Air"/>
    <n v="88.72"/>
    <n v="39.479999999999997"/>
    <n v="1.99"/>
    <x v="93"/>
    <x v="4"/>
    <x v="4"/>
    <x v="3"/>
    <x v="1"/>
    <x v="7"/>
    <x v="64"/>
    <s v="Small Pack"/>
    <n v="0.54"/>
    <d v="2009-03-24T00:00:00"/>
    <n v="0"/>
    <n v="0"/>
    <n v="0.5"/>
    <n v="0.5"/>
  </r>
  <r>
    <n v="990"/>
    <n v="7136"/>
    <x v="436"/>
    <x v="28"/>
    <s v="High"/>
    <n v="9"/>
    <n v="47.28"/>
    <n v="0"/>
    <s v="Regular Air"/>
    <n v="17.05"/>
    <n v="4.91"/>
    <n v="0.5"/>
    <x v="93"/>
    <x v="4"/>
    <x v="4"/>
    <x v="3"/>
    <x v="0"/>
    <x v="11"/>
    <x v="383"/>
    <s v="Small Box"/>
    <n v="0.36"/>
    <d v="2009-03-24T00:00:00"/>
    <n v="0"/>
    <n v="0"/>
    <n v="0.5"/>
    <n v="0.5"/>
  </r>
  <r>
    <n v="1029"/>
    <n v="7489"/>
    <x v="103"/>
    <x v="18"/>
    <s v="Critical"/>
    <n v="38"/>
    <n v="6900.13"/>
    <n v="0.01"/>
    <s v="Delivery Truck"/>
    <n v="552.97"/>
    <n v="180.98"/>
    <n v="23.58"/>
    <x v="94"/>
    <x v="4"/>
    <x v="4"/>
    <x v="3"/>
    <x v="2"/>
    <x v="9"/>
    <x v="566"/>
    <s v="Jumbo Box"/>
    <n v="0.74"/>
    <d v="2010-10-03T00:00:00"/>
    <n v="0"/>
    <n v="0"/>
    <n v="1"/>
    <n v="1"/>
  </r>
  <r>
    <n v="1083"/>
    <n v="7968"/>
    <x v="437"/>
    <x v="18"/>
    <s v="Low"/>
    <n v="10"/>
    <n v="1449.21"/>
    <n v="0.06"/>
    <s v="Delivery Truck"/>
    <n v="-270"/>
    <n v="150.97999999999999"/>
    <n v="30"/>
    <x v="95"/>
    <x v="4"/>
    <x v="4"/>
    <x v="1"/>
    <x v="2"/>
    <x v="14"/>
    <x v="567"/>
    <s v="Jumbo Drum"/>
    <n v="0.74"/>
    <d v="2010-09-15T00:00:00"/>
    <n v="0"/>
    <n v="0"/>
    <n v="1"/>
    <n v="1"/>
  </r>
  <r>
    <n v="1122"/>
    <n v="8227"/>
    <x v="438"/>
    <x v="38"/>
    <s v="Not Specified"/>
    <n v="32"/>
    <n v="162.25"/>
    <n v="0.05"/>
    <s v="Express Air"/>
    <n v="-43.21"/>
    <n v="4.7699999999999996"/>
    <n v="2.39"/>
    <x v="92"/>
    <x v="4"/>
    <x v="4"/>
    <x v="0"/>
    <x v="1"/>
    <x v="7"/>
    <x v="568"/>
    <s v="Small Pack"/>
    <n v="0.72"/>
    <d v="2010-01-11T00:00:00"/>
    <n v="1"/>
    <n v="0"/>
    <n v="1"/>
    <n v="1"/>
  </r>
  <r>
    <n v="1255"/>
    <n v="9123"/>
    <x v="439"/>
    <x v="30"/>
    <s v="Critical"/>
    <n v="27"/>
    <n v="384.9"/>
    <n v="7.0000000000000007E-2"/>
    <s v="Express Air"/>
    <n v="-108.28"/>
    <n v="14.03"/>
    <n v="9.3699999999999992"/>
    <x v="89"/>
    <x v="4"/>
    <x v="4"/>
    <x v="1"/>
    <x v="0"/>
    <x v="0"/>
    <x v="569"/>
    <s v="Small Box"/>
    <n v="0.56000000000000005"/>
    <d v="2010-06-27T00:00:00"/>
    <n v="0"/>
    <n v="0"/>
    <n v="1"/>
    <n v="1"/>
  </r>
  <r>
    <n v="1339"/>
    <n v="9792"/>
    <x v="188"/>
    <x v="2"/>
    <s v="Low"/>
    <n v="14"/>
    <n v="84.09"/>
    <n v="0.02"/>
    <s v="Regular Air"/>
    <n v="-73.14"/>
    <n v="5.4"/>
    <n v="7.78"/>
    <x v="96"/>
    <x v="4"/>
    <x v="4"/>
    <x v="1"/>
    <x v="0"/>
    <x v="2"/>
    <x v="212"/>
    <s v="Small Box"/>
    <n v="0.37"/>
    <d v="2011-07-23T00:00:00"/>
    <n v="0"/>
    <n v="0"/>
    <n v="1"/>
    <n v="1"/>
  </r>
  <r>
    <n v="1352"/>
    <n v="9860"/>
    <x v="252"/>
    <x v="0"/>
    <s v="Critical"/>
    <n v="43"/>
    <n v="319.69"/>
    <n v="0"/>
    <s v="Regular Air"/>
    <n v="-73.66"/>
    <n v="7.28"/>
    <n v="3.52"/>
    <x v="94"/>
    <x v="4"/>
    <x v="4"/>
    <x v="3"/>
    <x v="1"/>
    <x v="7"/>
    <x v="570"/>
    <s v="Small Pack"/>
    <n v="0.68"/>
    <d v="2010-10-11T00:00:00"/>
    <n v="0"/>
    <n v="0"/>
    <n v="1"/>
    <n v="1"/>
  </r>
  <r>
    <n v="1423"/>
    <n v="10310"/>
    <x v="440"/>
    <x v="40"/>
    <s v="Low"/>
    <n v="48"/>
    <n v="139.86000000000001"/>
    <n v="7.0000000000000007E-2"/>
    <s v="Regular Air"/>
    <n v="9.59"/>
    <n v="2.88"/>
    <n v="1.01"/>
    <x v="92"/>
    <x v="4"/>
    <x v="4"/>
    <x v="0"/>
    <x v="0"/>
    <x v="12"/>
    <x v="571"/>
    <s v="Wrap Bag"/>
    <n v="0.55000000000000004"/>
    <d v="2009-02-09T00:00:00"/>
    <n v="0"/>
    <n v="0"/>
    <n v="0.5"/>
    <n v="0.5"/>
  </r>
  <r>
    <n v="1424"/>
    <n v="10310"/>
    <x v="440"/>
    <x v="40"/>
    <s v="Low"/>
    <n v="6"/>
    <n v="926.58500000000004"/>
    <n v="0.1"/>
    <s v="Regular Air"/>
    <n v="-655.42399999999998"/>
    <n v="195.99"/>
    <n v="3.99"/>
    <x v="92"/>
    <x v="4"/>
    <x v="4"/>
    <x v="0"/>
    <x v="1"/>
    <x v="3"/>
    <x v="3"/>
    <s v="Small Box"/>
    <n v="0.57999999999999996"/>
    <d v="2009-02-12T00:00:00"/>
    <n v="0"/>
    <n v="0"/>
    <n v="0.5"/>
    <n v="0.5"/>
  </r>
  <r>
    <n v="1436"/>
    <n v="10369"/>
    <x v="441"/>
    <x v="27"/>
    <s v="Low"/>
    <n v="4"/>
    <n v="27.34"/>
    <n v="0.06"/>
    <s v="Regular Air"/>
    <n v="-12.38"/>
    <n v="5.78"/>
    <n v="4.96"/>
    <x v="94"/>
    <x v="4"/>
    <x v="4"/>
    <x v="3"/>
    <x v="0"/>
    <x v="5"/>
    <x v="572"/>
    <s v="Small Box"/>
    <n v="0.36"/>
    <d v="2011-11-11T00:00:00"/>
    <n v="0"/>
    <n v="0"/>
    <n v="0.5"/>
    <n v="0.16666666666666666"/>
  </r>
  <r>
    <n v="1437"/>
    <n v="10369"/>
    <x v="441"/>
    <x v="27"/>
    <s v="Low"/>
    <n v="23"/>
    <n v="683.68"/>
    <n v="0"/>
    <s v="Regular Air"/>
    <n v="-95.54"/>
    <n v="28.48"/>
    <n v="8.99"/>
    <x v="94"/>
    <x v="4"/>
    <x v="4"/>
    <x v="3"/>
    <x v="1"/>
    <x v="7"/>
    <x v="573"/>
    <s v="Small Pack"/>
    <n v="0.7"/>
    <d v="2011-11-14T00:00:00"/>
    <n v="0"/>
    <n v="0"/>
    <n v="0.5"/>
    <n v="0.16666666666666666"/>
  </r>
  <r>
    <n v="1486"/>
    <n v="10692"/>
    <x v="442"/>
    <x v="36"/>
    <s v="Low"/>
    <n v="26"/>
    <n v="100.41"/>
    <n v="0.04"/>
    <s v="Regular Air"/>
    <n v="-69.91"/>
    <n v="3.57"/>
    <n v="4.17"/>
    <x v="91"/>
    <x v="4"/>
    <x v="4"/>
    <x v="2"/>
    <x v="0"/>
    <x v="12"/>
    <x v="574"/>
    <s v="Small Pack"/>
    <n v="0.59"/>
    <d v="2009-07-28T00:00:00"/>
    <n v="0"/>
    <n v="0"/>
    <n v="0.33333333333333331"/>
    <n v="0.33333333333333331"/>
  </r>
  <r>
    <n v="1487"/>
    <n v="10692"/>
    <x v="442"/>
    <x v="36"/>
    <s v="Low"/>
    <n v="48"/>
    <n v="8101.9875000000002"/>
    <n v="0.05"/>
    <s v="Regular Air"/>
    <n v="2369.8440000000001"/>
    <n v="200.99"/>
    <n v="4.2"/>
    <x v="91"/>
    <x v="4"/>
    <x v="4"/>
    <x v="2"/>
    <x v="1"/>
    <x v="3"/>
    <x v="332"/>
    <s v="Small Box"/>
    <n v="0.59"/>
    <d v="2009-07-30T00:00:00"/>
    <n v="0"/>
    <n v="0"/>
    <n v="0.33333333333333331"/>
    <n v="0.33333333333333331"/>
  </r>
  <r>
    <n v="1488"/>
    <n v="10692"/>
    <x v="442"/>
    <x v="36"/>
    <s v="Low"/>
    <n v="8"/>
    <n v="1313.8109999999999"/>
    <n v="7.0000000000000007E-2"/>
    <s v="Regular Air"/>
    <n v="-457.16"/>
    <n v="195.99"/>
    <n v="8.99"/>
    <x v="91"/>
    <x v="4"/>
    <x v="4"/>
    <x v="2"/>
    <x v="1"/>
    <x v="3"/>
    <x v="354"/>
    <s v="Small Box"/>
    <n v="0.57999999999999996"/>
    <d v="2009-07-26T00:00:00"/>
    <n v="0"/>
    <n v="0"/>
    <n v="0.33333333333333331"/>
    <n v="0.33333333333333331"/>
  </r>
  <r>
    <n v="1596"/>
    <n v="11553"/>
    <x v="413"/>
    <x v="46"/>
    <s v="Medium"/>
    <n v="28"/>
    <n v="1350.34"/>
    <n v="0.1"/>
    <s v="Express Air"/>
    <n v="-517.16999999999996"/>
    <n v="52.99"/>
    <n v="19.989999999999998"/>
    <x v="90"/>
    <x v="4"/>
    <x v="4"/>
    <x v="2"/>
    <x v="0"/>
    <x v="0"/>
    <x v="575"/>
    <s v="Small Box"/>
    <n v="0.81"/>
    <d v="2009-04-19T00:00:00"/>
    <n v="0"/>
    <n v="0"/>
    <n v="0.33333333333333331"/>
    <n v="0.33333333333333331"/>
  </r>
  <r>
    <n v="1597"/>
    <n v="11553"/>
    <x v="413"/>
    <x v="46"/>
    <s v="Medium"/>
    <n v="8"/>
    <n v="861.26"/>
    <n v="7.0000000000000007E-2"/>
    <s v="Delivery Truck"/>
    <n v="-429.86"/>
    <n v="100.98"/>
    <n v="57.38"/>
    <x v="90"/>
    <x v="4"/>
    <x v="4"/>
    <x v="2"/>
    <x v="2"/>
    <x v="9"/>
    <x v="65"/>
    <s v="Jumbo Box"/>
    <n v="0.78"/>
    <d v="2009-04-21T00:00:00"/>
    <n v="0"/>
    <n v="0"/>
    <n v="0.33333333333333331"/>
    <n v="0.33333333333333331"/>
  </r>
  <r>
    <n v="1598"/>
    <n v="11553"/>
    <x v="413"/>
    <x v="46"/>
    <s v="Medium"/>
    <n v="20"/>
    <n v="1531.4110000000001"/>
    <n v="0.03"/>
    <s v="Regular Air"/>
    <n v="365.41800000000001"/>
    <n v="85.99"/>
    <n v="0.99"/>
    <x v="90"/>
    <x v="4"/>
    <x v="4"/>
    <x v="2"/>
    <x v="1"/>
    <x v="3"/>
    <x v="576"/>
    <s v="Wrap Bag"/>
    <n v="0.55000000000000004"/>
    <d v="2009-04-20T00:00:00"/>
    <n v="0"/>
    <n v="0"/>
    <n v="0.33333333333333331"/>
    <n v="0.33333333333333331"/>
  </r>
  <r>
    <n v="1626"/>
    <n v="11776"/>
    <x v="443"/>
    <x v="12"/>
    <s v="Low"/>
    <n v="40"/>
    <n v="57.24"/>
    <n v="0.04"/>
    <s v="Express Air"/>
    <n v="-14.1"/>
    <n v="1.26"/>
    <n v="0.7"/>
    <x v="92"/>
    <x v="4"/>
    <x v="4"/>
    <x v="0"/>
    <x v="0"/>
    <x v="6"/>
    <x v="230"/>
    <s v="Wrap Bag"/>
    <n v="0.81"/>
    <d v="2012-02-24T00:00:00"/>
    <n v="0"/>
    <n v="0"/>
    <n v="1"/>
    <n v="1"/>
  </r>
  <r>
    <n v="1631"/>
    <n v="11782"/>
    <x v="444"/>
    <x v="29"/>
    <s v="Low"/>
    <n v="46"/>
    <n v="247.21"/>
    <n v="0.02"/>
    <s v="Regular Air"/>
    <n v="-63.72"/>
    <n v="4.9800000000000004"/>
    <n v="4.75"/>
    <x v="97"/>
    <x v="4"/>
    <x v="4"/>
    <x v="2"/>
    <x v="0"/>
    <x v="5"/>
    <x v="61"/>
    <s v="Small Box"/>
    <n v="0.36"/>
    <d v="2012-08-02T00:00:00"/>
    <n v="0"/>
    <n v="0"/>
    <n v="0.5"/>
    <n v="0.5"/>
  </r>
  <r>
    <n v="1632"/>
    <n v="11782"/>
    <x v="444"/>
    <x v="29"/>
    <s v="Low"/>
    <n v="27"/>
    <n v="1541.7809999999999"/>
    <n v="7.0000000000000007E-2"/>
    <s v="Regular Air"/>
    <n v="14.346"/>
    <n v="66.989999999999995"/>
    <n v="13.99"/>
    <x v="97"/>
    <x v="4"/>
    <x v="4"/>
    <x v="2"/>
    <x v="1"/>
    <x v="3"/>
    <x v="577"/>
    <s v="Medium Box"/>
    <n v="0.6"/>
    <d v="2012-08-04T00:00:00"/>
    <n v="0"/>
    <n v="0"/>
    <n v="0.5"/>
    <n v="0.5"/>
  </r>
  <r>
    <n v="1690"/>
    <n v="12199"/>
    <x v="445"/>
    <x v="25"/>
    <s v="Low"/>
    <n v="2"/>
    <n v="19"/>
    <n v="0.01"/>
    <s v="Regular Air"/>
    <n v="-10.7295"/>
    <n v="6.54"/>
    <n v="5.27"/>
    <x v="90"/>
    <x v="4"/>
    <x v="4"/>
    <x v="2"/>
    <x v="0"/>
    <x v="2"/>
    <x v="578"/>
    <s v="Small Box"/>
    <n v="0.36"/>
    <d v="2011-12-19T00:00:00"/>
    <n v="0"/>
    <n v="0"/>
    <n v="0.5"/>
    <n v="0.5"/>
  </r>
  <r>
    <n v="1691"/>
    <n v="12199"/>
    <x v="445"/>
    <x v="25"/>
    <s v="Low"/>
    <n v="50"/>
    <n v="8289.51"/>
    <n v="0.01"/>
    <s v="Regular Air"/>
    <n v="3051.62"/>
    <n v="155.06"/>
    <n v="7.07"/>
    <x v="90"/>
    <x v="4"/>
    <x v="4"/>
    <x v="2"/>
    <x v="0"/>
    <x v="0"/>
    <x v="376"/>
    <s v="Small Box"/>
    <n v="0.59"/>
    <d v="2011-12-18T00:00:00"/>
    <n v="0"/>
    <n v="0"/>
    <n v="0.5"/>
    <n v="0.5"/>
  </r>
  <r>
    <n v="2004"/>
    <n v="14275"/>
    <x v="446"/>
    <x v="30"/>
    <s v="Low"/>
    <n v="20"/>
    <n v="42.22"/>
    <n v="0.04"/>
    <s v="Regular Air"/>
    <n v="-7.7279999999999998"/>
    <n v="2.08"/>
    <n v="1.49"/>
    <x v="95"/>
    <x v="4"/>
    <x v="4"/>
    <x v="1"/>
    <x v="0"/>
    <x v="2"/>
    <x v="579"/>
    <s v="Small Box"/>
    <n v="0.36"/>
    <d v="2010-06-15T00:00:00"/>
    <n v="0"/>
    <n v="0"/>
    <n v="0.5"/>
    <n v="0.5"/>
  </r>
  <r>
    <n v="2005"/>
    <n v="14275"/>
    <x v="446"/>
    <x v="30"/>
    <s v="Low"/>
    <n v="4"/>
    <n v="653.44000000000005"/>
    <n v="0.06"/>
    <s v="Delivery Truck"/>
    <n v="-187.75"/>
    <n v="160.97999999999999"/>
    <n v="30"/>
    <x v="95"/>
    <x v="4"/>
    <x v="4"/>
    <x v="1"/>
    <x v="2"/>
    <x v="14"/>
    <x v="580"/>
    <s v="Jumbo Drum"/>
    <n v="0.62"/>
    <d v="2010-06-15T00:00:00"/>
    <n v="0"/>
    <n v="0"/>
    <n v="0.5"/>
    <n v="0.5"/>
  </r>
  <r>
    <n v="2043"/>
    <n v="14535"/>
    <x v="447"/>
    <x v="0"/>
    <s v="Not Specified"/>
    <n v="22"/>
    <n v="245.96"/>
    <n v="0.03"/>
    <s v="Regular Air"/>
    <n v="-33.82"/>
    <n v="11.29"/>
    <n v="5.03"/>
    <x v="95"/>
    <x v="4"/>
    <x v="4"/>
    <x v="1"/>
    <x v="0"/>
    <x v="0"/>
    <x v="468"/>
    <s v="Small Box"/>
    <n v="0.59"/>
    <d v="2010-10-02T00:00:00"/>
    <n v="0"/>
    <n v="0"/>
    <n v="1"/>
    <n v="1"/>
  </r>
  <r>
    <n v="2145"/>
    <n v="15329"/>
    <x v="196"/>
    <x v="13"/>
    <s v="High"/>
    <n v="34"/>
    <n v="1014.87"/>
    <n v="0.04"/>
    <s v="Express Air"/>
    <n v="319.52"/>
    <n v="29.89"/>
    <n v="1.99"/>
    <x v="91"/>
    <x v="4"/>
    <x v="4"/>
    <x v="1"/>
    <x v="1"/>
    <x v="7"/>
    <x v="412"/>
    <s v="Small Pack"/>
    <n v="0.5"/>
    <d v="2012-04-27T00:00:00"/>
    <n v="0"/>
    <n v="0"/>
    <n v="1"/>
    <n v="1"/>
  </r>
  <r>
    <n v="2169"/>
    <n v="15621"/>
    <x v="448"/>
    <x v="31"/>
    <s v="Critical"/>
    <n v="18"/>
    <n v="35.51"/>
    <n v="0.02"/>
    <s v="Express Air"/>
    <n v="-13.95"/>
    <n v="1.68"/>
    <n v="1.57"/>
    <x v="95"/>
    <x v="4"/>
    <x v="4"/>
    <x v="1"/>
    <x v="0"/>
    <x v="12"/>
    <x v="113"/>
    <s v="Wrap Bag"/>
    <n v="0.59"/>
    <d v="2011-09-25T00:00:00"/>
    <n v="0"/>
    <n v="0"/>
    <n v="0.5"/>
    <n v="0.5"/>
  </r>
  <r>
    <n v="2170"/>
    <n v="15621"/>
    <x v="448"/>
    <x v="31"/>
    <s v="Critical"/>
    <n v="39"/>
    <n v="1105.6600000000001"/>
    <n v="0.02"/>
    <s v="Regular Air"/>
    <n v="-136.19999999999999"/>
    <n v="28.28"/>
    <n v="13.99"/>
    <x v="95"/>
    <x v="4"/>
    <x v="4"/>
    <x v="1"/>
    <x v="0"/>
    <x v="0"/>
    <x v="158"/>
    <s v="Medium Box"/>
    <n v="0.57999999999999996"/>
    <d v="2011-09-24T00:00:00"/>
    <n v="0"/>
    <n v="0"/>
    <n v="0.5"/>
    <n v="0.5"/>
  </r>
  <r>
    <n v="2452"/>
    <n v="17826"/>
    <x v="250"/>
    <x v="8"/>
    <s v="High"/>
    <n v="18"/>
    <n v="78.930000000000007"/>
    <n v="0.04"/>
    <s v="Regular Air"/>
    <n v="-88.607500000000002"/>
    <n v="3.89"/>
    <n v="7.01"/>
    <x v="98"/>
    <x v="4"/>
    <x v="4"/>
    <x v="3"/>
    <x v="0"/>
    <x v="2"/>
    <x v="35"/>
    <s v="Small Box"/>
    <n v="0.37"/>
    <d v="2012-07-01T00:00:00"/>
    <n v="0"/>
    <n v="0"/>
    <n v="1"/>
    <n v="1"/>
  </r>
  <r>
    <n v="2463"/>
    <n v="17926"/>
    <x v="172"/>
    <x v="27"/>
    <s v="Critical"/>
    <n v="37"/>
    <n v="608.33000000000004"/>
    <n v="0.02"/>
    <s v="Regular Air"/>
    <n v="-70.040000000000006"/>
    <n v="15.31"/>
    <n v="8.7799999999999994"/>
    <x v="96"/>
    <x v="4"/>
    <x v="4"/>
    <x v="1"/>
    <x v="0"/>
    <x v="0"/>
    <x v="581"/>
    <s v="Small Box"/>
    <n v="0.56999999999999995"/>
    <d v="2011-11-12T00:00:00"/>
    <n v="0"/>
    <n v="0"/>
    <n v="1"/>
    <n v="0.25"/>
  </r>
  <r>
    <n v="2513"/>
    <n v="18247"/>
    <x v="449"/>
    <x v="11"/>
    <s v="Not Specified"/>
    <n v="20"/>
    <n v="155.80000000000001"/>
    <n v="0"/>
    <s v="Regular Air"/>
    <n v="27.22"/>
    <n v="7.59"/>
    <n v="4"/>
    <x v="91"/>
    <x v="4"/>
    <x v="4"/>
    <x v="2"/>
    <x v="2"/>
    <x v="4"/>
    <x v="378"/>
    <s v="Wrap Bag"/>
    <n v="0.42"/>
    <d v="2009-11-06T00:00:00"/>
    <n v="0"/>
    <n v="0"/>
    <n v="1"/>
    <n v="1"/>
  </r>
  <r>
    <n v="2551"/>
    <n v="18471"/>
    <x v="450"/>
    <x v="40"/>
    <s v="Not Specified"/>
    <n v="37"/>
    <n v="226.65"/>
    <n v="0"/>
    <s v="Regular Air"/>
    <n v="46.41"/>
    <n v="5.98"/>
    <n v="0.96"/>
    <x v="90"/>
    <x v="4"/>
    <x v="4"/>
    <x v="2"/>
    <x v="0"/>
    <x v="12"/>
    <x v="582"/>
    <s v="Wrap Bag"/>
    <n v="0.6"/>
    <d v="2009-02-20T00:00:00"/>
    <n v="0"/>
    <n v="0"/>
    <n v="0.33333333333333331"/>
    <n v="0.33333333333333331"/>
  </r>
  <r>
    <n v="2552"/>
    <n v="18471"/>
    <x v="450"/>
    <x v="40"/>
    <s v="Not Specified"/>
    <n v="4"/>
    <n v="10.96"/>
    <n v="0.02"/>
    <s v="Regular Air"/>
    <n v="-8.02"/>
    <n v="2.08"/>
    <n v="2.56"/>
    <x v="90"/>
    <x v="4"/>
    <x v="4"/>
    <x v="2"/>
    <x v="0"/>
    <x v="15"/>
    <x v="583"/>
    <s v="Small Pack"/>
    <n v="0.55000000000000004"/>
    <d v="2009-02-20T00:00:00"/>
    <n v="0"/>
    <n v="0"/>
    <n v="0.33333333333333331"/>
    <n v="0.33333333333333331"/>
  </r>
  <r>
    <n v="2553"/>
    <n v="18471"/>
    <x v="450"/>
    <x v="40"/>
    <s v="Not Specified"/>
    <n v="29"/>
    <n v="185.61"/>
    <n v="0.02"/>
    <s v="Regular Air"/>
    <n v="-47.12"/>
    <n v="5.98"/>
    <n v="5.46"/>
    <x v="90"/>
    <x v="4"/>
    <x v="4"/>
    <x v="2"/>
    <x v="0"/>
    <x v="5"/>
    <x v="584"/>
    <s v="Small Box"/>
    <n v="0.36"/>
    <d v="2009-02-20T00:00:00"/>
    <n v="0"/>
    <n v="0"/>
    <n v="0.33333333333333331"/>
    <n v="0.33333333333333331"/>
  </r>
  <r>
    <n v="2745"/>
    <n v="19813"/>
    <x v="374"/>
    <x v="14"/>
    <s v="Critical"/>
    <n v="29"/>
    <n v="1098.5059999999999"/>
    <n v="0.05"/>
    <s v="Regular Air"/>
    <n v="218.727"/>
    <n v="45.99"/>
    <n v="2.5"/>
    <x v="93"/>
    <x v="4"/>
    <x v="4"/>
    <x v="3"/>
    <x v="1"/>
    <x v="3"/>
    <x v="585"/>
    <s v="Small Box"/>
    <n v="0.56000000000000005"/>
    <d v="2010-03-03T00:00:00"/>
    <n v="0"/>
    <n v="0"/>
    <n v="1"/>
    <n v="1"/>
  </r>
  <r>
    <n v="2815"/>
    <n v="20322"/>
    <x v="451"/>
    <x v="41"/>
    <s v="Critical"/>
    <n v="46"/>
    <n v="160.27000000000001"/>
    <n v="0.06"/>
    <s v="Regular Air"/>
    <n v="-183.35599999999999"/>
    <n v="3.58"/>
    <n v="5.47"/>
    <x v="99"/>
    <x v="4"/>
    <x v="4"/>
    <x v="3"/>
    <x v="0"/>
    <x v="2"/>
    <x v="337"/>
    <s v="Small Box"/>
    <n v="0.37"/>
    <d v="2009-06-30T00:00:00"/>
    <n v="0"/>
    <n v="0"/>
    <n v="0.33333333333333331"/>
    <n v="0.33333333333333331"/>
  </r>
  <r>
    <n v="2816"/>
    <n v="20322"/>
    <x v="451"/>
    <x v="41"/>
    <s v="Critical"/>
    <n v="46"/>
    <n v="4601.0200000000004"/>
    <n v="0.09"/>
    <s v="Delivery Truck"/>
    <n v="-129.53"/>
    <n v="100.98"/>
    <n v="35.840000000000003"/>
    <x v="99"/>
    <x v="4"/>
    <x v="4"/>
    <x v="3"/>
    <x v="2"/>
    <x v="9"/>
    <x v="550"/>
    <s v="Jumbo Box"/>
    <n v="0.62"/>
    <d v="2009-06-28T00:00:00"/>
    <n v="0"/>
    <n v="0"/>
    <n v="0.33333333333333331"/>
    <n v="0.33333333333333331"/>
  </r>
  <r>
    <n v="2817"/>
    <n v="20322"/>
    <x v="451"/>
    <x v="41"/>
    <s v="Critical"/>
    <n v="15"/>
    <n v="89.89"/>
    <n v="0.1"/>
    <s v="Regular Air"/>
    <n v="-72.28"/>
    <n v="5.78"/>
    <n v="7.96"/>
    <x v="99"/>
    <x v="4"/>
    <x v="4"/>
    <x v="3"/>
    <x v="0"/>
    <x v="5"/>
    <x v="586"/>
    <s v="Small Box"/>
    <n v="0.36"/>
    <d v="2009-06-28T00:00:00"/>
    <n v="0"/>
    <n v="0"/>
    <n v="0.33333333333333331"/>
    <n v="0.33333333333333331"/>
  </r>
  <r>
    <n v="2830"/>
    <n v="20422"/>
    <x v="452"/>
    <x v="22"/>
    <s v="High"/>
    <n v="30"/>
    <n v="447.33"/>
    <n v="0.03"/>
    <s v="Regular Air"/>
    <n v="115.21"/>
    <n v="14.34"/>
    <n v="5"/>
    <x v="95"/>
    <x v="4"/>
    <x v="4"/>
    <x v="1"/>
    <x v="2"/>
    <x v="4"/>
    <x v="551"/>
    <s v="Small Pack"/>
    <n v="0.49"/>
    <d v="2009-01-27T00:00:00"/>
    <n v="0"/>
    <n v="1"/>
    <n v="0.5"/>
    <n v="0.5"/>
  </r>
  <r>
    <n v="2831"/>
    <n v="20448"/>
    <x v="453"/>
    <x v="21"/>
    <s v="Critical"/>
    <n v="23"/>
    <n v="104.82"/>
    <n v="0.02"/>
    <s v="Express Air"/>
    <n v="6.84"/>
    <n v="3.69"/>
    <n v="2.5"/>
    <x v="100"/>
    <x v="4"/>
    <x v="4"/>
    <x v="2"/>
    <x v="0"/>
    <x v="8"/>
    <x v="500"/>
    <s v="Small Box"/>
    <n v="0.39"/>
    <d v="2011-08-03T00:00:00"/>
    <n v="0"/>
    <n v="0"/>
    <n v="1"/>
    <n v="1"/>
  </r>
  <r>
    <n v="3056"/>
    <n v="21892"/>
    <x v="454"/>
    <x v="42"/>
    <s v="High"/>
    <n v="6"/>
    <n v="34.880000000000003"/>
    <n v="0.06"/>
    <s v="Regular Air"/>
    <n v="-18.342500000000001"/>
    <n v="4.91"/>
    <n v="4.97"/>
    <x v="90"/>
    <x v="4"/>
    <x v="4"/>
    <x v="2"/>
    <x v="0"/>
    <x v="2"/>
    <x v="479"/>
    <s v="Small Box"/>
    <n v="0.38"/>
    <d v="2010-07-06T00:00:00"/>
    <n v="0"/>
    <n v="0"/>
    <n v="1"/>
    <n v="1"/>
  </r>
  <r>
    <n v="3204"/>
    <n v="22980"/>
    <x v="1"/>
    <x v="1"/>
    <s v="Not Specified"/>
    <n v="17"/>
    <n v="224.09"/>
    <n v="0"/>
    <s v="Regular Air"/>
    <n v="-27.92"/>
    <n v="12.44"/>
    <n v="6.27"/>
    <x v="91"/>
    <x v="4"/>
    <x v="4"/>
    <x v="1"/>
    <x v="0"/>
    <x v="0"/>
    <x v="587"/>
    <s v="Medium Box"/>
    <n v="0.56999999999999995"/>
    <d v="2012-10-02T00:00:00"/>
    <n v="0"/>
    <n v="0"/>
    <n v="0.5"/>
    <n v="0.33333333333333331"/>
  </r>
  <r>
    <n v="3341"/>
    <n v="23907"/>
    <x v="455"/>
    <x v="2"/>
    <s v="Not Specified"/>
    <n v="7"/>
    <n v="384.2"/>
    <n v="0.05"/>
    <s v="Regular Air"/>
    <n v="-164.46099999999998"/>
    <n v="65.989999999999995"/>
    <n v="2.5"/>
    <x v="87"/>
    <x v="4"/>
    <x v="4"/>
    <x v="2"/>
    <x v="1"/>
    <x v="3"/>
    <x v="588"/>
    <s v="Small Box"/>
    <n v="0.55000000000000004"/>
    <d v="2011-07-14T00:00:00"/>
    <n v="0"/>
    <n v="0"/>
    <n v="1"/>
    <n v="1"/>
  </r>
  <r>
    <n v="3362"/>
    <n v="24064"/>
    <x v="456"/>
    <x v="42"/>
    <s v="Medium"/>
    <n v="23"/>
    <n v="6366.52"/>
    <n v="7.0000000000000007E-2"/>
    <s v="Delivery Truck"/>
    <n v="935.80000000000052"/>
    <n v="297.64"/>
    <n v="14.7"/>
    <x v="88"/>
    <x v="4"/>
    <x v="4"/>
    <x v="3"/>
    <x v="1"/>
    <x v="16"/>
    <x v="589"/>
    <s v="Jumbo Drum"/>
    <n v="0.56999999999999995"/>
    <d v="2010-07-28T00:00:00"/>
    <n v="0"/>
    <n v="0"/>
    <n v="1"/>
    <n v="0.5"/>
  </r>
  <r>
    <n v="3382"/>
    <n v="24132"/>
    <x v="457"/>
    <x v="36"/>
    <s v="Low"/>
    <n v="4"/>
    <n v="31.01"/>
    <n v="0.03"/>
    <s v="Regular Air"/>
    <n v="-4.4850000000000003"/>
    <n v="6.75"/>
    <n v="2.99"/>
    <x v="90"/>
    <x v="4"/>
    <x v="4"/>
    <x v="2"/>
    <x v="0"/>
    <x v="2"/>
    <x v="239"/>
    <s v="Small Box"/>
    <n v="0.35"/>
    <d v="2009-07-11T00:00:00"/>
    <n v="0"/>
    <n v="0"/>
    <n v="0.16666666666666666"/>
    <n v="0.16666666666666666"/>
  </r>
  <r>
    <n v="3383"/>
    <n v="24132"/>
    <x v="457"/>
    <x v="36"/>
    <s v="Low"/>
    <n v="46"/>
    <n v="331.83"/>
    <n v="0.05"/>
    <s v="Regular Air"/>
    <n v="-101.24600000000001"/>
    <n v="7.1"/>
    <n v="6.05"/>
    <x v="90"/>
    <x v="4"/>
    <x v="4"/>
    <x v="2"/>
    <x v="0"/>
    <x v="2"/>
    <x v="310"/>
    <s v="Small Box"/>
    <n v="0.39"/>
    <d v="2009-07-06T00:00:00"/>
    <n v="0"/>
    <n v="0"/>
    <n v="0.16666666666666666"/>
    <n v="0.16666666666666666"/>
  </r>
  <r>
    <n v="3384"/>
    <n v="24132"/>
    <x v="457"/>
    <x v="36"/>
    <s v="Low"/>
    <n v="22"/>
    <n v="446.46"/>
    <n v="0.04"/>
    <s v="Regular Air"/>
    <n v="-1.88"/>
    <n v="20.95"/>
    <n v="4"/>
    <x v="90"/>
    <x v="4"/>
    <x v="4"/>
    <x v="2"/>
    <x v="1"/>
    <x v="7"/>
    <x v="124"/>
    <s v="Small Box"/>
    <n v="0.6"/>
    <d v="2009-07-11T00:00:00"/>
    <n v="0"/>
    <n v="0"/>
    <n v="0.16666666666666666"/>
    <n v="0.16666666666666666"/>
  </r>
  <r>
    <n v="3385"/>
    <n v="24132"/>
    <x v="457"/>
    <x v="36"/>
    <s v="Low"/>
    <n v="31"/>
    <n v="1252.8900000000001"/>
    <n v="0.05"/>
    <s v="Regular Air"/>
    <n v="339.745"/>
    <n v="39.06"/>
    <n v="10.55"/>
    <x v="90"/>
    <x v="4"/>
    <x v="4"/>
    <x v="2"/>
    <x v="0"/>
    <x v="2"/>
    <x v="590"/>
    <s v="Small Box"/>
    <n v="0.37"/>
    <d v="2009-07-13T00:00:00"/>
    <n v="0"/>
    <n v="0"/>
    <n v="0.16666666666666666"/>
    <n v="0.16666666666666666"/>
  </r>
  <r>
    <n v="3386"/>
    <n v="24132"/>
    <x v="457"/>
    <x v="36"/>
    <s v="Low"/>
    <n v="12"/>
    <n v="47.79"/>
    <n v="0.04"/>
    <s v="Regular Air"/>
    <n v="-57.753"/>
    <n v="3.52"/>
    <n v="6.83"/>
    <x v="90"/>
    <x v="4"/>
    <x v="4"/>
    <x v="2"/>
    <x v="0"/>
    <x v="2"/>
    <x v="489"/>
    <s v="Small Box"/>
    <n v="0.38"/>
    <d v="2009-07-15T00:00:00"/>
    <n v="0"/>
    <n v="0"/>
    <n v="0.16666666666666666"/>
    <n v="0.16666666666666666"/>
  </r>
  <r>
    <n v="3387"/>
    <n v="24132"/>
    <x v="457"/>
    <x v="36"/>
    <s v="Low"/>
    <n v="3"/>
    <n v="63.84"/>
    <n v="0.02"/>
    <s v="Regular Air"/>
    <n v="-47.97"/>
    <n v="15.51"/>
    <n v="17.78"/>
    <x v="90"/>
    <x v="4"/>
    <x v="4"/>
    <x v="2"/>
    <x v="0"/>
    <x v="0"/>
    <x v="259"/>
    <s v="Small Box"/>
    <n v="0.59"/>
    <d v="2009-07-13T00:00:00"/>
    <n v="0"/>
    <n v="0"/>
    <n v="0.16666666666666666"/>
    <n v="0.16666666666666666"/>
  </r>
  <r>
    <n v="3441"/>
    <n v="24576"/>
    <x v="458"/>
    <x v="45"/>
    <s v="Not Specified"/>
    <n v="29"/>
    <n v="531.06299999999999"/>
    <n v="0.03"/>
    <s v="Regular Air"/>
    <n v="24.561"/>
    <n v="20.99"/>
    <n v="4.8099999999999996"/>
    <x v="100"/>
    <x v="4"/>
    <x v="4"/>
    <x v="2"/>
    <x v="1"/>
    <x v="3"/>
    <x v="591"/>
    <s v="Medium Box"/>
    <n v="0.57999999999999996"/>
    <d v="2012-12-13T00:00:00"/>
    <n v="0"/>
    <n v="0"/>
    <n v="0.5"/>
    <n v="0.33333333333333331"/>
  </r>
  <r>
    <n v="3442"/>
    <n v="24576"/>
    <x v="458"/>
    <x v="45"/>
    <s v="Not Specified"/>
    <n v="10"/>
    <n v="152.84"/>
    <n v="0.05"/>
    <s v="Regular Air"/>
    <n v="38.020000000000003"/>
    <n v="14.58"/>
    <n v="7.4"/>
    <x v="100"/>
    <x v="4"/>
    <x v="4"/>
    <x v="2"/>
    <x v="2"/>
    <x v="4"/>
    <x v="505"/>
    <s v="Small Box"/>
    <n v="0.48"/>
    <d v="2012-12-13T00:00:00"/>
    <n v="0"/>
    <n v="0"/>
    <n v="0.5"/>
    <n v="0.33333333333333331"/>
  </r>
  <r>
    <n v="3541"/>
    <n v="25248"/>
    <x v="459"/>
    <x v="25"/>
    <s v="Medium"/>
    <n v="33"/>
    <n v="271.14"/>
    <n v="0.05"/>
    <s v="Express Air"/>
    <n v="29.21"/>
    <n v="8.33"/>
    <n v="1.99"/>
    <x v="92"/>
    <x v="4"/>
    <x v="4"/>
    <x v="0"/>
    <x v="1"/>
    <x v="7"/>
    <x v="206"/>
    <s v="Small Pack"/>
    <n v="0.52"/>
    <d v="2011-12-03T00:00:00"/>
    <n v="0"/>
    <n v="0"/>
    <n v="0.5"/>
    <n v="0.5"/>
  </r>
  <r>
    <n v="3542"/>
    <n v="25248"/>
    <x v="459"/>
    <x v="25"/>
    <s v="Medium"/>
    <n v="26"/>
    <n v="1150.3"/>
    <n v="0.1"/>
    <s v="Regular Air"/>
    <n v="418.19"/>
    <n v="48.91"/>
    <n v="5.81"/>
    <x v="92"/>
    <x v="4"/>
    <x v="4"/>
    <x v="0"/>
    <x v="0"/>
    <x v="5"/>
    <x v="83"/>
    <s v="Small Box"/>
    <n v="0.38"/>
    <d v="2011-12-02T00:00:00"/>
    <n v="0"/>
    <n v="0"/>
    <n v="0.5"/>
    <n v="0.5"/>
  </r>
  <r>
    <n v="3573"/>
    <n v="25475"/>
    <x v="460"/>
    <x v="46"/>
    <s v="Critical"/>
    <n v="49"/>
    <n v="305.95999999999998"/>
    <n v="0.06"/>
    <s v="Regular Air"/>
    <n v="-191.49"/>
    <n v="6.48"/>
    <n v="7.49"/>
    <x v="93"/>
    <x v="4"/>
    <x v="4"/>
    <x v="3"/>
    <x v="0"/>
    <x v="5"/>
    <x v="496"/>
    <s v="Small Box"/>
    <n v="0.37"/>
    <d v="2009-04-04T00:00:00"/>
    <n v="0"/>
    <n v="0"/>
    <n v="1"/>
    <n v="1"/>
  </r>
  <r>
    <n v="3784"/>
    <n v="26978"/>
    <x v="461"/>
    <x v="30"/>
    <s v="Medium"/>
    <n v="2"/>
    <n v="48.84"/>
    <n v="0.01"/>
    <s v="Regular Air"/>
    <n v="-21.2"/>
    <n v="18.97"/>
    <n v="9.0299999999999994"/>
    <x v="99"/>
    <x v="4"/>
    <x v="4"/>
    <x v="3"/>
    <x v="0"/>
    <x v="5"/>
    <x v="40"/>
    <s v="Small Box"/>
    <n v="0.37"/>
    <d v="2010-06-26T00:00:00"/>
    <n v="0"/>
    <n v="0"/>
    <n v="0.25"/>
    <n v="0.25"/>
  </r>
  <r>
    <n v="3798"/>
    <n v="27105"/>
    <x v="462"/>
    <x v="44"/>
    <s v="Not Specified"/>
    <n v="37"/>
    <n v="223.74"/>
    <n v="0.01"/>
    <s v="Regular Air"/>
    <n v="39.630000000000003"/>
    <n v="5.98"/>
    <n v="2.5"/>
    <x v="88"/>
    <x v="4"/>
    <x v="4"/>
    <x v="3"/>
    <x v="0"/>
    <x v="8"/>
    <x v="478"/>
    <s v="Small Box"/>
    <n v="0.36"/>
    <d v="2011-02-17T00:00:00"/>
    <n v="0"/>
    <n v="0"/>
    <n v="0.5"/>
    <n v="0.5"/>
  </r>
  <r>
    <n v="3799"/>
    <n v="27105"/>
    <x v="462"/>
    <x v="44"/>
    <s v="Not Specified"/>
    <n v="2"/>
    <n v="26.82"/>
    <n v="0"/>
    <s v="Regular Air"/>
    <n v="26.21"/>
    <n v="10.4"/>
    <n v="5.4"/>
    <x v="88"/>
    <x v="4"/>
    <x v="4"/>
    <x v="3"/>
    <x v="2"/>
    <x v="4"/>
    <x v="592"/>
    <s v="Small Pack"/>
    <n v="0.51"/>
    <d v="2011-02-17T00:00:00"/>
    <n v="0"/>
    <n v="0"/>
    <n v="0.5"/>
    <n v="0.5"/>
  </r>
  <r>
    <n v="3940"/>
    <n v="28068"/>
    <x v="134"/>
    <x v="3"/>
    <s v="Low"/>
    <n v="23"/>
    <n v="631.99"/>
    <n v="0.08"/>
    <s v="Regular Air"/>
    <n v="-43.96"/>
    <n v="27.48"/>
    <n v="4"/>
    <x v="87"/>
    <x v="4"/>
    <x v="4"/>
    <x v="2"/>
    <x v="1"/>
    <x v="7"/>
    <x v="593"/>
    <s v="Small Box"/>
    <n v="0.75"/>
    <d v="2010-08-28T00:00:00"/>
    <n v="0"/>
    <n v="0"/>
    <n v="1"/>
    <n v="1"/>
  </r>
  <r>
    <n v="4032"/>
    <n v="28802"/>
    <x v="463"/>
    <x v="7"/>
    <s v="High"/>
    <n v="23"/>
    <n v="413.8"/>
    <n v="0.08"/>
    <s v="Express Air"/>
    <n v="51.36"/>
    <n v="17.670000000000002"/>
    <n v="8.99"/>
    <x v="88"/>
    <x v="4"/>
    <x v="4"/>
    <x v="3"/>
    <x v="2"/>
    <x v="4"/>
    <x v="594"/>
    <s v="Small Pack"/>
    <n v="0.47"/>
    <d v="2010-11-06T00:00:00"/>
    <n v="0"/>
    <n v="0"/>
    <n v="0.33333333333333331"/>
    <n v="0.25"/>
  </r>
  <r>
    <n v="4033"/>
    <n v="28802"/>
    <x v="463"/>
    <x v="7"/>
    <s v="High"/>
    <n v="36"/>
    <n v="336.25"/>
    <n v="0"/>
    <s v="Express Air"/>
    <n v="25.95"/>
    <n v="8.34"/>
    <n v="4.82"/>
    <x v="88"/>
    <x v="4"/>
    <x v="4"/>
    <x v="3"/>
    <x v="0"/>
    <x v="5"/>
    <x v="513"/>
    <s v="Small Box"/>
    <n v="0.4"/>
    <d v="2010-11-07T00:00:00"/>
    <n v="0"/>
    <n v="0"/>
    <n v="0.33333333333333331"/>
    <n v="0.25"/>
  </r>
  <r>
    <n v="4034"/>
    <n v="28802"/>
    <x v="463"/>
    <x v="7"/>
    <s v="High"/>
    <n v="22"/>
    <n v="4001.4684999999995"/>
    <n v="0.02"/>
    <s v="Regular Air"/>
    <n v="884.90700000000004"/>
    <n v="205.99"/>
    <n v="3"/>
    <x v="88"/>
    <x v="4"/>
    <x v="4"/>
    <x v="3"/>
    <x v="1"/>
    <x v="3"/>
    <x v="595"/>
    <s v="Small Box"/>
    <n v="0.57999999999999996"/>
    <d v="2010-11-06T00:00:00"/>
    <n v="0"/>
    <n v="0"/>
    <n v="0.33333333333333331"/>
    <n v="0.25"/>
  </r>
  <r>
    <n v="4044"/>
    <n v="28839"/>
    <x v="464"/>
    <x v="46"/>
    <s v="Low"/>
    <n v="30"/>
    <n v="102.95"/>
    <n v="0.06"/>
    <s v="Express Air"/>
    <n v="-175.86"/>
    <n v="3.34"/>
    <n v="7.49"/>
    <x v="42"/>
    <x v="4"/>
    <x v="4"/>
    <x v="0"/>
    <x v="0"/>
    <x v="12"/>
    <x v="596"/>
    <s v="Wrap Bag"/>
    <n v="0.54"/>
    <d v="2009-04-30T00:00:00"/>
    <n v="0"/>
    <n v="0"/>
    <n v="1"/>
    <n v="1"/>
  </r>
  <r>
    <n v="4111"/>
    <n v="29252"/>
    <x v="465"/>
    <x v="26"/>
    <s v="Low"/>
    <n v="9"/>
    <n v="65.81"/>
    <n v="0.01"/>
    <s v="Regular Air"/>
    <n v="-15.44"/>
    <n v="6.48"/>
    <n v="5.19"/>
    <x v="42"/>
    <x v="4"/>
    <x v="4"/>
    <x v="0"/>
    <x v="0"/>
    <x v="5"/>
    <x v="488"/>
    <s v="Small Box"/>
    <n v="0.37"/>
    <d v="2009-08-10T00:00:00"/>
    <n v="0"/>
    <n v="0"/>
    <n v="1"/>
    <n v="1"/>
  </r>
  <r>
    <n v="4488"/>
    <n v="31941"/>
    <x v="466"/>
    <x v="28"/>
    <s v="Medium"/>
    <n v="32"/>
    <n v="2564.4499999999998"/>
    <n v="0.01"/>
    <s v="Express Air"/>
    <n v="650.73"/>
    <n v="78.650000000000006"/>
    <n v="13.99"/>
    <x v="94"/>
    <x v="4"/>
    <x v="4"/>
    <x v="0"/>
    <x v="0"/>
    <x v="1"/>
    <x v="370"/>
    <s v="Medium Box"/>
    <n v="0.52"/>
    <d v="2009-03-19T00:00:00"/>
    <n v="0"/>
    <n v="0"/>
    <n v="0.5"/>
    <n v="0.5"/>
  </r>
  <r>
    <n v="4489"/>
    <n v="31941"/>
    <x v="466"/>
    <x v="28"/>
    <s v="Medium"/>
    <n v="7"/>
    <n v="53.55"/>
    <n v="7.0000000000000007E-2"/>
    <s v="Regular Air"/>
    <n v="-43.5"/>
    <n v="6.48"/>
    <n v="9.68"/>
    <x v="94"/>
    <x v="4"/>
    <x v="4"/>
    <x v="0"/>
    <x v="0"/>
    <x v="5"/>
    <x v="597"/>
    <s v="Small Box"/>
    <n v="0.36"/>
    <d v="2009-03-20T00:00:00"/>
    <n v="0"/>
    <n v="0"/>
    <n v="0.5"/>
    <n v="0.5"/>
  </r>
  <r>
    <n v="4555"/>
    <n v="32418"/>
    <x v="272"/>
    <x v="22"/>
    <s v="Not Specified"/>
    <n v="5"/>
    <n v="1244.19"/>
    <n v="0.08"/>
    <s v="Delivery Truck"/>
    <n v="-131.31"/>
    <n v="243.98"/>
    <n v="43.32"/>
    <x v="97"/>
    <x v="4"/>
    <x v="4"/>
    <x v="2"/>
    <x v="2"/>
    <x v="14"/>
    <x v="130"/>
    <s v="Jumbo Drum"/>
    <n v="0.55000000000000004"/>
    <d v="2009-01-06T00:00:00"/>
    <n v="0"/>
    <n v="1"/>
    <n v="1"/>
    <n v="1"/>
  </r>
  <r>
    <n v="4813"/>
    <n v="34241"/>
    <x v="26"/>
    <x v="1"/>
    <s v="Low"/>
    <n v="4"/>
    <n v="207.55"/>
    <n v="0.08"/>
    <s v="Regular Air"/>
    <n v="16.23"/>
    <n v="52.71"/>
    <n v="2.5"/>
    <x v="88"/>
    <x v="4"/>
    <x v="4"/>
    <x v="3"/>
    <x v="0"/>
    <x v="8"/>
    <x v="598"/>
    <s v="Small Box"/>
    <n v="0.36"/>
    <d v="2012-10-08T00:00:00"/>
    <n v="0"/>
    <n v="0"/>
    <n v="1"/>
    <n v="0.33333333333333331"/>
  </r>
  <r>
    <n v="4893"/>
    <n v="34816"/>
    <x v="467"/>
    <x v="7"/>
    <s v="Not Specified"/>
    <n v="29"/>
    <n v="1158.45"/>
    <n v="0.1"/>
    <s v="Regular Air"/>
    <n v="267.16000000000003"/>
    <n v="41.71"/>
    <n v="4.5"/>
    <x v="96"/>
    <x v="4"/>
    <x v="4"/>
    <x v="2"/>
    <x v="0"/>
    <x v="1"/>
    <x v="599"/>
    <s v="Small Box"/>
    <n v="0.56000000000000005"/>
    <d v="2010-11-05T00:00:00"/>
    <n v="0"/>
    <n v="0"/>
    <n v="0.5"/>
    <n v="0.5"/>
  </r>
  <r>
    <n v="4894"/>
    <n v="34816"/>
    <x v="467"/>
    <x v="7"/>
    <s v="Not Specified"/>
    <n v="43"/>
    <n v="2568.71"/>
    <n v="0.1"/>
    <s v="Regular Air"/>
    <n v="590.77"/>
    <n v="60.98"/>
    <n v="19.989999999999998"/>
    <x v="96"/>
    <x v="4"/>
    <x v="4"/>
    <x v="2"/>
    <x v="0"/>
    <x v="8"/>
    <x v="600"/>
    <s v="Small Box"/>
    <n v="0.38"/>
    <d v="2010-11-07T00:00:00"/>
    <n v="0"/>
    <n v="0"/>
    <n v="0.5"/>
    <n v="0.5"/>
  </r>
  <r>
    <n v="4917"/>
    <n v="35011"/>
    <x v="468"/>
    <x v="45"/>
    <s v="Not Specified"/>
    <n v="14"/>
    <n v="154.44999999999999"/>
    <n v="0.09"/>
    <s v="Regular Air"/>
    <n v="-2.31"/>
    <n v="10.98"/>
    <n v="3.37"/>
    <x v="100"/>
    <x v="4"/>
    <x v="4"/>
    <x v="2"/>
    <x v="0"/>
    <x v="15"/>
    <x v="340"/>
    <s v="Small Pack"/>
    <n v="0.56999999999999995"/>
    <d v="2012-12-12T00:00:00"/>
    <n v="0"/>
    <n v="0"/>
    <n v="1"/>
    <n v="0.33333333333333331"/>
  </r>
  <r>
    <n v="5058"/>
    <n v="36068"/>
    <x v="440"/>
    <x v="40"/>
    <s v="Critical"/>
    <n v="23"/>
    <n v="6133.18"/>
    <n v="0.06"/>
    <s v="Delivery Truck"/>
    <n v="1243.17"/>
    <n v="279.81"/>
    <n v="23.19"/>
    <x v="42"/>
    <x v="4"/>
    <x v="4"/>
    <x v="0"/>
    <x v="0"/>
    <x v="1"/>
    <x v="369"/>
    <s v="Jumbo Drum"/>
    <n v="0.59"/>
    <d v="2009-02-06T00:00:00"/>
    <n v="0"/>
    <n v="0"/>
    <n v="1"/>
    <n v="0.33333333333333331"/>
  </r>
  <r>
    <n v="5196"/>
    <n v="36930"/>
    <x v="469"/>
    <x v="31"/>
    <s v="Medium"/>
    <n v="34"/>
    <n v="2632.4755"/>
    <n v="0.01"/>
    <s v="Regular Air"/>
    <n v="1325.817"/>
    <n v="85.99"/>
    <n v="3.3"/>
    <x v="98"/>
    <x v="4"/>
    <x v="4"/>
    <x v="3"/>
    <x v="1"/>
    <x v="3"/>
    <x v="601"/>
    <s v="Small Pack"/>
    <n v="0.37"/>
    <d v="2011-09-30T00:00:00"/>
    <n v="0"/>
    <n v="0"/>
    <n v="1"/>
    <n v="1"/>
  </r>
  <r>
    <n v="5245"/>
    <n v="37315"/>
    <x v="470"/>
    <x v="8"/>
    <s v="Low"/>
    <n v="43"/>
    <n v="170.81"/>
    <n v="0.1"/>
    <s v="Regular Air"/>
    <n v="-133.68"/>
    <n v="4.28"/>
    <n v="5.17"/>
    <x v="100"/>
    <x v="4"/>
    <x v="4"/>
    <x v="2"/>
    <x v="0"/>
    <x v="5"/>
    <x v="157"/>
    <s v="Small Box"/>
    <n v="0.4"/>
    <d v="2012-06-12T00:00:00"/>
    <n v="0"/>
    <n v="0"/>
    <n v="0.5"/>
    <n v="0.5"/>
  </r>
  <r>
    <n v="5246"/>
    <n v="37315"/>
    <x v="470"/>
    <x v="8"/>
    <s v="Low"/>
    <n v="31"/>
    <n v="4726.5949999999993"/>
    <n v="0.05"/>
    <s v="Express Air"/>
    <n v="1176.48"/>
    <n v="175.99"/>
    <n v="4.99"/>
    <x v="100"/>
    <x v="4"/>
    <x v="4"/>
    <x v="2"/>
    <x v="1"/>
    <x v="3"/>
    <x v="602"/>
    <s v="Small Box"/>
    <n v="0.59"/>
    <d v="2012-06-12T00:00:00"/>
    <n v="0"/>
    <n v="0"/>
    <n v="0.5"/>
    <n v="0.5"/>
  </r>
  <r>
    <n v="5340"/>
    <n v="37925"/>
    <x v="471"/>
    <x v="18"/>
    <s v="Medium"/>
    <n v="46"/>
    <n v="3780.16"/>
    <n v="0.1"/>
    <s v="Delivery Truck"/>
    <n v="1265.82"/>
    <n v="90.97"/>
    <n v="14"/>
    <x v="100"/>
    <x v="4"/>
    <x v="4"/>
    <x v="2"/>
    <x v="1"/>
    <x v="16"/>
    <x v="603"/>
    <s v="Jumbo Drum"/>
    <n v="0.36"/>
    <d v="2010-09-27T00:00:00"/>
    <n v="0"/>
    <n v="0"/>
    <n v="0.5"/>
    <n v="0.5"/>
  </r>
  <r>
    <n v="5341"/>
    <n v="37925"/>
    <x v="471"/>
    <x v="18"/>
    <s v="Medium"/>
    <n v="31"/>
    <n v="1784.048"/>
    <n v="0.05"/>
    <s v="Regular Air"/>
    <n v="394.452"/>
    <n v="65.989999999999995"/>
    <n v="3.99"/>
    <x v="100"/>
    <x v="4"/>
    <x v="4"/>
    <x v="2"/>
    <x v="1"/>
    <x v="3"/>
    <x v="440"/>
    <s v="Small Box"/>
    <n v="0.59"/>
    <d v="2010-09-27T00:00:00"/>
    <n v="0"/>
    <n v="0"/>
    <n v="0.5"/>
    <n v="0.5"/>
  </r>
  <r>
    <n v="5351"/>
    <n v="38021"/>
    <x v="472"/>
    <x v="22"/>
    <s v="Medium"/>
    <n v="46"/>
    <n v="1482.01"/>
    <n v="0.02"/>
    <s v="Regular Air"/>
    <n v="709.32500000000005"/>
    <n v="30.44"/>
    <n v="1.49"/>
    <x v="91"/>
    <x v="4"/>
    <x v="4"/>
    <x v="2"/>
    <x v="0"/>
    <x v="2"/>
    <x v="604"/>
    <s v="Small Box"/>
    <n v="0.37"/>
    <d v="2009-01-23T00:00:00"/>
    <n v="0"/>
    <n v="1"/>
    <n v="0.33333333333333331"/>
    <n v="0.25"/>
  </r>
  <r>
    <n v="5389"/>
    <n v="38336"/>
    <x v="473"/>
    <x v="1"/>
    <s v="Critical"/>
    <n v="14"/>
    <n v="91.75"/>
    <n v="7.0000000000000007E-2"/>
    <s v="Regular Air"/>
    <n v="2.8220000000000001"/>
    <n v="6.75"/>
    <n v="2.99"/>
    <x v="87"/>
    <x v="4"/>
    <x v="4"/>
    <x v="2"/>
    <x v="0"/>
    <x v="2"/>
    <x v="239"/>
    <s v="Small Box"/>
    <n v="0.35"/>
    <d v="2012-10-06T00:00:00"/>
    <n v="0"/>
    <n v="0"/>
    <n v="0.5"/>
    <n v="0.5"/>
  </r>
  <r>
    <n v="5390"/>
    <n v="38336"/>
    <x v="473"/>
    <x v="1"/>
    <s v="Critical"/>
    <n v="31"/>
    <n v="346.57"/>
    <n v="0"/>
    <s v="Regular Air"/>
    <n v="-116.45"/>
    <n v="10.97"/>
    <n v="6.5"/>
    <x v="87"/>
    <x v="4"/>
    <x v="4"/>
    <x v="2"/>
    <x v="1"/>
    <x v="7"/>
    <x v="217"/>
    <s v="Small Box"/>
    <n v="0.64"/>
    <d v="2012-10-06T00:00:00"/>
    <n v="0"/>
    <n v="0"/>
    <n v="0.5"/>
    <n v="0.5"/>
  </r>
  <r>
    <n v="5430"/>
    <n v="38565"/>
    <x v="474"/>
    <x v="28"/>
    <s v="Critical"/>
    <n v="20"/>
    <n v="234.09"/>
    <n v="0.01"/>
    <s v="Express Air"/>
    <n v="-11.69"/>
    <n v="10.64"/>
    <n v="5.16"/>
    <x v="90"/>
    <x v="4"/>
    <x v="4"/>
    <x v="2"/>
    <x v="2"/>
    <x v="4"/>
    <x v="448"/>
    <s v="Small Box"/>
    <n v="0.56999999999999995"/>
    <d v="2009-03-27T00:00:00"/>
    <n v="0"/>
    <n v="0"/>
    <n v="1"/>
    <n v="1"/>
  </r>
  <r>
    <n v="5615"/>
    <n v="39783"/>
    <x v="475"/>
    <x v="34"/>
    <s v="Not Specified"/>
    <n v="19"/>
    <n v="82.43"/>
    <n v="0.04"/>
    <s v="Regular Air"/>
    <n v="-94.76"/>
    <n v="4.0599999999999996"/>
    <n v="6.89"/>
    <x v="96"/>
    <x v="4"/>
    <x v="4"/>
    <x v="2"/>
    <x v="0"/>
    <x v="1"/>
    <x v="283"/>
    <s v="Small Box"/>
    <n v="0.6"/>
    <d v="2012-09-22T00:00:00"/>
    <n v="0"/>
    <n v="0"/>
    <n v="0.33333333333333331"/>
    <n v="0.33333333333333331"/>
  </r>
  <r>
    <n v="5616"/>
    <n v="39783"/>
    <x v="475"/>
    <x v="34"/>
    <s v="Not Specified"/>
    <n v="31"/>
    <n v="295.97000000000003"/>
    <n v="0.02"/>
    <s v="Regular Air"/>
    <n v="5.0149999999999997"/>
    <n v="8.85"/>
    <n v="5.6"/>
    <x v="96"/>
    <x v="4"/>
    <x v="4"/>
    <x v="2"/>
    <x v="0"/>
    <x v="2"/>
    <x v="182"/>
    <s v="Small Box"/>
    <n v="0.36"/>
    <d v="2012-09-22T00:00:00"/>
    <n v="0"/>
    <n v="0"/>
    <n v="0.33333333333333331"/>
    <n v="0.33333333333333331"/>
  </r>
  <r>
    <n v="5617"/>
    <n v="39783"/>
    <x v="475"/>
    <x v="34"/>
    <s v="Not Specified"/>
    <n v="29"/>
    <n v="94.5"/>
    <n v="0.02"/>
    <s v="Regular Air"/>
    <n v="39.9"/>
    <n v="3.15"/>
    <n v="0.5"/>
    <x v="96"/>
    <x v="4"/>
    <x v="4"/>
    <x v="2"/>
    <x v="0"/>
    <x v="11"/>
    <x v="605"/>
    <s v="Small Box"/>
    <n v="0.37"/>
    <d v="2012-09-21T00:00:00"/>
    <n v="0"/>
    <n v="0"/>
    <n v="0.33333333333333331"/>
    <n v="0.33333333333333331"/>
  </r>
  <r>
    <n v="5997"/>
    <n v="42500"/>
    <x v="476"/>
    <x v="6"/>
    <s v="Not Specified"/>
    <n v="39"/>
    <n v="1836.06"/>
    <n v="0.04"/>
    <s v="Regular Air"/>
    <n v="437.07"/>
    <n v="48.92"/>
    <n v="4.5"/>
    <x v="98"/>
    <x v="4"/>
    <x v="4"/>
    <x v="3"/>
    <x v="0"/>
    <x v="1"/>
    <x v="606"/>
    <s v="Small Box"/>
    <n v="0.59"/>
    <d v="2010-02-07T00:00:00"/>
    <n v="0"/>
    <n v="0"/>
    <n v="0.5"/>
    <n v="0.5"/>
  </r>
  <r>
    <n v="5998"/>
    <n v="42500"/>
    <x v="476"/>
    <x v="6"/>
    <s v="Not Specified"/>
    <n v="2"/>
    <n v="21.03"/>
    <n v="0.03"/>
    <s v="Regular Air"/>
    <n v="-10.4765"/>
    <n v="8.69"/>
    <n v="2.99"/>
    <x v="98"/>
    <x v="4"/>
    <x v="4"/>
    <x v="3"/>
    <x v="0"/>
    <x v="2"/>
    <x v="2"/>
    <s v="Small Box"/>
    <n v="0.39"/>
    <d v="2010-02-07T00:00:00"/>
    <n v="0"/>
    <n v="0"/>
    <n v="0.5"/>
    <n v="0.5"/>
  </r>
  <r>
    <n v="6233"/>
    <n v="44162"/>
    <x v="477"/>
    <x v="14"/>
    <s v="High"/>
    <n v="46"/>
    <n v="507.64"/>
    <n v="0.04"/>
    <s v="Regular Air"/>
    <n v="42.76"/>
    <n v="10.98"/>
    <n v="3.37"/>
    <x v="87"/>
    <x v="4"/>
    <x v="4"/>
    <x v="2"/>
    <x v="0"/>
    <x v="15"/>
    <x v="340"/>
    <s v="Small Pack"/>
    <n v="0.56999999999999995"/>
    <d v="2010-03-20T00:00:00"/>
    <n v="0"/>
    <n v="0"/>
    <n v="1"/>
    <n v="1"/>
  </r>
  <r>
    <n v="6246"/>
    <n v="44256"/>
    <x v="142"/>
    <x v="27"/>
    <s v="Low"/>
    <n v="39"/>
    <n v="301.36"/>
    <n v="0.09"/>
    <s v="Regular Air"/>
    <n v="48.45"/>
    <n v="8.01"/>
    <n v="2.87"/>
    <x v="96"/>
    <x v="4"/>
    <x v="4"/>
    <x v="2"/>
    <x v="0"/>
    <x v="5"/>
    <x v="548"/>
    <s v="Wrap Bag"/>
    <n v="0.4"/>
    <d v="2011-11-28T00:00:00"/>
    <n v="0"/>
    <n v="0"/>
    <n v="0.33333333333333331"/>
    <n v="0.25"/>
  </r>
  <r>
    <n v="6247"/>
    <n v="44256"/>
    <x v="142"/>
    <x v="27"/>
    <s v="Low"/>
    <n v="17"/>
    <n v="114.28"/>
    <n v="0.08"/>
    <s v="Regular Air"/>
    <n v="-38.72"/>
    <n v="6.48"/>
    <n v="5.84"/>
    <x v="96"/>
    <x v="4"/>
    <x v="4"/>
    <x v="2"/>
    <x v="0"/>
    <x v="5"/>
    <x v="607"/>
    <s v="Small Box"/>
    <n v="0.37"/>
    <d v="2011-11-24T00:00:00"/>
    <n v="0"/>
    <n v="0"/>
    <n v="0.33333333333333331"/>
    <n v="0.25"/>
  </r>
  <r>
    <n v="6248"/>
    <n v="44256"/>
    <x v="142"/>
    <x v="27"/>
    <s v="Low"/>
    <n v="49"/>
    <n v="1889.04"/>
    <n v="0.1"/>
    <s v="Express Air"/>
    <n v="182.15"/>
    <n v="40.97"/>
    <n v="8.99"/>
    <x v="96"/>
    <x v="4"/>
    <x v="4"/>
    <x v="2"/>
    <x v="0"/>
    <x v="12"/>
    <x v="608"/>
    <s v="Small Pack"/>
    <n v="0.59"/>
    <d v="2011-11-26T00:00:00"/>
    <n v="0"/>
    <n v="0"/>
    <n v="0.33333333333333331"/>
    <n v="0.25"/>
  </r>
  <r>
    <n v="6261"/>
    <n v="44320"/>
    <x v="478"/>
    <x v="46"/>
    <s v="Medium"/>
    <n v="49"/>
    <n v="7002.08"/>
    <n v="0.1"/>
    <s v="Regular Air"/>
    <n v="-1640.511"/>
    <n v="154.13"/>
    <n v="69"/>
    <x v="96"/>
    <x v="4"/>
    <x v="4"/>
    <x v="2"/>
    <x v="2"/>
    <x v="10"/>
    <x v="609"/>
    <s v="Large Box"/>
    <n v="0.68"/>
    <d v="2009-04-30T00:00:00"/>
    <n v="0"/>
    <n v="0"/>
    <n v="1"/>
    <n v="1"/>
  </r>
  <r>
    <n v="6386"/>
    <n v="45377"/>
    <x v="479"/>
    <x v="37"/>
    <s v="Low"/>
    <n v="47"/>
    <n v="91.43"/>
    <n v="0.08"/>
    <s v="Regular Air"/>
    <n v="-22.8965"/>
    <n v="2.08"/>
    <n v="1.49"/>
    <x v="94"/>
    <x v="4"/>
    <x v="4"/>
    <x v="3"/>
    <x v="0"/>
    <x v="2"/>
    <x v="610"/>
    <s v="Small Box"/>
    <n v="0.38"/>
    <d v="2011-04-05T00:00:00"/>
    <n v="0"/>
    <n v="0"/>
    <n v="1"/>
    <n v="1"/>
  </r>
  <r>
    <n v="6658"/>
    <n v="47367"/>
    <x v="480"/>
    <x v="37"/>
    <s v="Medium"/>
    <n v="7"/>
    <n v="27.99"/>
    <n v="0.06"/>
    <s v="Regular Air"/>
    <n v="-0.17249999999999938"/>
    <n v="3.8"/>
    <n v="1.49"/>
    <x v="91"/>
    <x v="4"/>
    <x v="4"/>
    <x v="2"/>
    <x v="0"/>
    <x v="2"/>
    <x v="160"/>
    <s v="Small Box"/>
    <n v="0.38"/>
    <d v="2011-04-16T00:00:00"/>
    <n v="0"/>
    <n v="0"/>
    <n v="0.5"/>
    <n v="0.5"/>
  </r>
  <r>
    <n v="6659"/>
    <n v="47367"/>
    <x v="480"/>
    <x v="37"/>
    <s v="Medium"/>
    <n v="6"/>
    <n v="21.07"/>
    <n v="0.08"/>
    <s v="Regular Air"/>
    <n v="2.2799999999999998"/>
    <n v="3.69"/>
    <n v="0.5"/>
    <x v="91"/>
    <x v="4"/>
    <x v="4"/>
    <x v="2"/>
    <x v="0"/>
    <x v="11"/>
    <x v="20"/>
    <s v="Small Box"/>
    <n v="0.38"/>
    <d v="2011-04-17T00:00:00"/>
    <n v="0"/>
    <n v="0"/>
    <n v="0.5"/>
    <n v="0.5"/>
  </r>
  <r>
    <n v="6705"/>
    <n v="47750"/>
    <x v="481"/>
    <x v="30"/>
    <s v="Low"/>
    <n v="37"/>
    <n v="102.46"/>
    <n v="0.08"/>
    <s v="Regular Air"/>
    <n v="36.64"/>
    <n v="2.88"/>
    <n v="0.5"/>
    <x v="96"/>
    <x v="4"/>
    <x v="4"/>
    <x v="2"/>
    <x v="0"/>
    <x v="11"/>
    <x v="360"/>
    <s v="Small Box"/>
    <n v="0.39"/>
    <d v="2010-06-20T00:00:00"/>
    <n v="0"/>
    <n v="0"/>
    <n v="0.33333333333333331"/>
    <n v="0.33333333333333331"/>
  </r>
  <r>
    <n v="6706"/>
    <n v="47750"/>
    <x v="481"/>
    <x v="30"/>
    <s v="Low"/>
    <n v="43"/>
    <n v="1097.5999999999999"/>
    <n v="0.05"/>
    <s v="Regular Air"/>
    <n v="216.12"/>
    <n v="25.38"/>
    <n v="8.99"/>
    <x v="96"/>
    <x v="4"/>
    <x v="4"/>
    <x v="2"/>
    <x v="2"/>
    <x v="4"/>
    <x v="216"/>
    <s v="Small Pack"/>
    <n v="0.5"/>
    <d v="2010-06-20T00:00:00"/>
    <n v="0"/>
    <n v="0"/>
    <n v="0.33333333333333331"/>
    <n v="0.33333333333333331"/>
  </r>
  <r>
    <n v="6791"/>
    <n v="48388"/>
    <x v="482"/>
    <x v="26"/>
    <s v="High"/>
    <n v="3"/>
    <n v="21.64"/>
    <n v="0.08"/>
    <s v="Regular Air"/>
    <n v="-13.3285"/>
    <n v="5.74"/>
    <n v="5.01"/>
    <x v="97"/>
    <x v="4"/>
    <x v="4"/>
    <x v="2"/>
    <x v="0"/>
    <x v="2"/>
    <x v="240"/>
    <s v="Small Box"/>
    <n v="0.39"/>
    <d v="2009-08-11T00:00:00"/>
    <n v="0"/>
    <n v="0"/>
    <n v="1"/>
    <n v="1"/>
  </r>
  <r>
    <n v="6882"/>
    <n v="49059"/>
    <x v="483"/>
    <x v="35"/>
    <s v="Medium"/>
    <n v="48"/>
    <n v="128"/>
    <n v="0.09"/>
    <s v="Regular Air"/>
    <n v="45.51"/>
    <n v="2.89"/>
    <n v="0.5"/>
    <x v="101"/>
    <x v="4"/>
    <x v="4"/>
    <x v="3"/>
    <x v="0"/>
    <x v="11"/>
    <x v="349"/>
    <s v="Small Box"/>
    <n v="0.38"/>
    <d v="2009-09-22T00:00:00"/>
    <n v="0"/>
    <n v="0"/>
    <n v="0.5"/>
    <n v="0.5"/>
  </r>
  <r>
    <n v="6883"/>
    <n v="49059"/>
    <x v="483"/>
    <x v="35"/>
    <s v="Medium"/>
    <n v="5"/>
    <n v="252.66"/>
    <n v="0.02"/>
    <s v="Regular Air"/>
    <n v="32.86"/>
    <n v="48.91"/>
    <n v="5.81"/>
    <x v="101"/>
    <x v="4"/>
    <x v="4"/>
    <x v="3"/>
    <x v="0"/>
    <x v="5"/>
    <x v="83"/>
    <s v="Small Box"/>
    <n v="0.38"/>
    <d v="2009-09-21T00:00:00"/>
    <n v="0"/>
    <n v="0"/>
    <n v="0.5"/>
    <n v="0.5"/>
  </r>
  <r>
    <n v="6938"/>
    <n v="49510"/>
    <x v="484"/>
    <x v="33"/>
    <s v="Critical"/>
    <n v="16"/>
    <n v="44.1"/>
    <n v="0.04"/>
    <s v="Regular Air"/>
    <n v="-6.22"/>
    <n v="2.58"/>
    <n v="1.3"/>
    <x v="100"/>
    <x v="4"/>
    <x v="4"/>
    <x v="2"/>
    <x v="0"/>
    <x v="12"/>
    <x v="611"/>
    <s v="Wrap Bag"/>
    <n v="0.59"/>
    <d v="2012-03-21T00:00:00"/>
    <n v="0"/>
    <n v="0"/>
    <n v="1"/>
    <n v="1"/>
  </r>
  <r>
    <n v="6949"/>
    <n v="49634"/>
    <x v="75"/>
    <x v="33"/>
    <s v="Not Specified"/>
    <n v="45"/>
    <n v="132.31"/>
    <n v="0.02"/>
    <s v="Regular Air"/>
    <n v="10.914"/>
    <n v="2.88"/>
    <n v="1.49"/>
    <x v="96"/>
    <x v="4"/>
    <x v="4"/>
    <x v="1"/>
    <x v="0"/>
    <x v="2"/>
    <x v="612"/>
    <s v="Small Box"/>
    <n v="0.36"/>
    <d v="2012-03-25T00:00:00"/>
    <n v="0"/>
    <n v="0"/>
    <n v="0.33333333333333331"/>
    <n v="0.33333333333333331"/>
  </r>
  <r>
    <n v="7035"/>
    <n v="50210"/>
    <x v="485"/>
    <x v="42"/>
    <s v="Low"/>
    <n v="47"/>
    <n v="178.51"/>
    <n v="0"/>
    <s v="Regular Air"/>
    <n v="82.3"/>
    <n v="3.75"/>
    <n v="0.5"/>
    <x v="98"/>
    <x v="4"/>
    <x v="4"/>
    <x v="3"/>
    <x v="0"/>
    <x v="11"/>
    <x v="45"/>
    <s v="Small Box"/>
    <n v="0.37"/>
    <d v="2010-07-24T00:00:00"/>
    <n v="0"/>
    <n v="0"/>
    <n v="0.5"/>
    <n v="0.5"/>
  </r>
  <r>
    <n v="7036"/>
    <n v="50210"/>
    <x v="485"/>
    <x v="42"/>
    <s v="Low"/>
    <n v="15"/>
    <n v="31.32"/>
    <n v="0"/>
    <s v="Regular Air"/>
    <n v="-30.26"/>
    <n v="1.86"/>
    <n v="2.58"/>
    <x v="98"/>
    <x v="4"/>
    <x v="4"/>
    <x v="3"/>
    <x v="0"/>
    <x v="6"/>
    <x v="613"/>
    <s v="Wrap Bag"/>
    <n v="0.82"/>
    <d v="2010-07-28T00:00:00"/>
    <n v="0"/>
    <n v="0"/>
    <n v="0.5"/>
    <n v="0.5"/>
  </r>
  <r>
    <n v="7079"/>
    <n v="50503"/>
    <x v="228"/>
    <x v="32"/>
    <s v="Medium"/>
    <n v="28"/>
    <n v="1538.8655000000001"/>
    <n v="0.05"/>
    <s v="Regular Air"/>
    <n v="-186.32899999999998"/>
    <n v="65.989999999999995"/>
    <n v="19.989999999999998"/>
    <x v="88"/>
    <x v="4"/>
    <x v="4"/>
    <x v="3"/>
    <x v="1"/>
    <x v="3"/>
    <x v="614"/>
    <s v="Small Box"/>
    <n v="0.59"/>
    <d v="2012-11-23T00:00:00"/>
    <n v="0"/>
    <n v="0"/>
    <n v="1"/>
    <n v="1"/>
  </r>
  <r>
    <n v="7120"/>
    <n v="50816"/>
    <x v="369"/>
    <x v="28"/>
    <s v="High"/>
    <n v="25"/>
    <n v="286.07"/>
    <n v="7.0000000000000007E-2"/>
    <s v="Regular Air"/>
    <n v="-35.94"/>
    <n v="11.97"/>
    <n v="4.9800000000000004"/>
    <x v="42"/>
    <x v="4"/>
    <x v="4"/>
    <x v="0"/>
    <x v="0"/>
    <x v="1"/>
    <x v="165"/>
    <s v="Small Box"/>
    <n v="0.57999999999999996"/>
    <d v="2009-03-29T00:00:00"/>
    <n v="0"/>
    <n v="0"/>
    <n v="0.33333333333333331"/>
    <n v="0.33333333333333331"/>
  </r>
  <r>
    <n v="7121"/>
    <n v="50816"/>
    <x v="369"/>
    <x v="28"/>
    <s v="High"/>
    <n v="26"/>
    <n v="733.92"/>
    <n v="0.03"/>
    <s v="Regular Air"/>
    <n v="302.80400000000003"/>
    <n v="28.53"/>
    <n v="1.49"/>
    <x v="42"/>
    <x v="4"/>
    <x v="4"/>
    <x v="0"/>
    <x v="0"/>
    <x v="2"/>
    <x v="257"/>
    <s v="Small Box"/>
    <n v="0.38"/>
    <d v="2009-03-29T00:00:00"/>
    <n v="0"/>
    <n v="0"/>
    <n v="0.33333333333333331"/>
    <n v="0.33333333333333331"/>
  </r>
  <r>
    <n v="7122"/>
    <n v="50816"/>
    <x v="369"/>
    <x v="28"/>
    <s v="High"/>
    <n v="6"/>
    <n v="99.11"/>
    <n v="0.01"/>
    <s v="Regular Air"/>
    <n v="-12.46"/>
    <n v="15.28"/>
    <n v="1.99"/>
    <x v="42"/>
    <x v="4"/>
    <x v="4"/>
    <x v="0"/>
    <x v="1"/>
    <x v="7"/>
    <x v="615"/>
    <s v="Small Pack"/>
    <n v="0.42"/>
    <d v="2009-03-29T00:00:00"/>
    <n v="0"/>
    <n v="0"/>
    <n v="0.33333333333333331"/>
    <n v="0.33333333333333331"/>
  </r>
  <r>
    <n v="7159"/>
    <n v="51073"/>
    <x v="486"/>
    <x v="39"/>
    <s v="Not Specified"/>
    <n v="17"/>
    <n v="2475.08"/>
    <n v="0"/>
    <s v="Express Air"/>
    <n v="958.8"/>
    <n v="136.97999999999999"/>
    <n v="24.49"/>
    <x v="100"/>
    <x v="4"/>
    <x v="4"/>
    <x v="2"/>
    <x v="2"/>
    <x v="4"/>
    <x v="355"/>
    <s v="Large Box"/>
    <n v="0.59"/>
    <d v="2010-05-16T00:00:00"/>
    <n v="0"/>
    <n v="0"/>
    <n v="0.5"/>
    <n v="0.5"/>
  </r>
  <r>
    <n v="7160"/>
    <n v="51073"/>
    <x v="486"/>
    <x v="39"/>
    <s v="Not Specified"/>
    <n v="49"/>
    <n v="1610.42"/>
    <n v="0"/>
    <s v="Regular Air"/>
    <n v="813.35"/>
    <n v="30.93"/>
    <n v="3.92"/>
    <x v="100"/>
    <x v="4"/>
    <x v="4"/>
    <x v="2"/>
    <x v="2"/>
    <x v="4"/>
    <x v="616"/>
    <s v="Small Pack"/>
    <n v="0.44"/>
    <d v="2010-05-15T00:00:00"/>
    <n v="0"/>
    <n v="0"/>
    <n v="0.5"/>
    <n v="0.5"/>
  </r>
  <r>
    <n v="7235"/>
    <n v="51584"/>
    <x v="487"/>
    <x v="0"/>
    <s v="Critical"/>
    <n v="48"/>
    <n v="5620.2"/>
    <n v="0.01"/>
    <s v="Delivery Truck"/>
    <n v="176.04"/>
    <n v="110.98"/>
    <n v="30"/>
    <x v="91"/>
    <x v="4"/>
    <x v="4"/>
    <x v="2"/>
    <x v="2"/>
    <x v="14"/>
    <x v="503"/>
    <s v="Jumbo Drum"/>
    <n v="0.71"/>
    <d v="2010-10-18T00:00:00"/>
    <n v="0"/>
    <n v="0"/>
    <n v="1"/>
    <n v="1"/>
  </r>
  <r>
    <n v="7273"/>
    <n v="51879"/>
    <x v="69"/>
    <x v="3"/>
    <s v="Not Specified"/>
    <n v="26"/>
    <n v="1382.31"/>
    <n v="0.03"/>
    <s v="Regular Air"/>
    <n v="372.26"/>
    <n v="51.94"/>
    <n v="19.989999999999998"/>
    <x v="5"/>
    <x v="4"/>
    <x v="4"/>
    <x v="2"/>
    <x v="2"/>
    <x v="4"/>
    <x v="617"/>
    <s v="Small Box"/>
    <n v="0.44"/>
    <d v="2010-08-26T00:00:00"/>
    <n v="0"/>
    <n v="0"/>
    <n v="0.5"/>
    <n v="0.5"/>
  </r>
  <r>
    <n v="7274"/>
    <n v="51879"/>
    <x v="69"/>
    <x v="3"/>
    <s v="Not Specified"/>
    <n v="46"/>
    <n v="991.36"/>
    <n v="0.01"/>
    <s v="Regular Air"/>
    <n v="212.06"/>
    <n v="19.98"/>
    <n v="8.68"/>
    <x v="5"/>
    <x v="4"/>
    <x v="4"/>
    <x v="2"/>
    <x v="0"/>
    <x v="5"/>
    <x v="471"/>
    <s v="Small Box"/>
    <n v="0.37"/>
    <d v="2010-08-25T00:00:00"/>
    <n v="0"/>
    <n v="0"/>
    <n v="0.5"/>
    <n v="0.5"/>
  </r>
  <r>
    <n v="7335"/>
    <n v="52288"/>
    <x v="138"/>
    <x v="21"/>
    <s v="High"/>
    <n v="19"/>
    <n v="1410.44"/>
    <n v="7.0000000000000007E-2"/>
    <s v="Regular Air"/>
    <n v="545.11"/>
    <n v="78.69"/>
    <n v="19.989999999999998"/>
    <x v="94"/>
    <x v="4"/>
    <x v="4"/>
    <x v="3"/>
    <x v="2"/>
    <x v="4"/>
    <x v="618"/>
    <s v="Small Box"/>
    <n v="0.43"/>
    <d v="2011-08-11T00:00:00"/>
    <n v="0"/>
    <n v="0"/>
    <n v="1"/>
    <n v="1"/>
  </r>
  <r>
    <n v="7456"/>
    <n v="53190"/>
    <x v="414"/>
    <x v="35"/>
    <s v="Medium"/>
    <n v="10"/>
    <n v="268.18"/>
    <n v="0.06"/>
    <s v="Regular Air"/>
    <n v="74.638500000000008"/>
    <n v="28.53"/>
    <n v="1.49"/>
    <x v="98"/>
    <x v="4"/>
    <x v="4"/>
    <x v="3"/>
    <x v="0"/>
    <x v="2"/>
    <x v="257"/>
    <s v="Small Box"/>
    <n v="0.38"/>
    <d v="2009-09-27T00:00:00"/>
    <n v="0"/>
    <n v="0"/>
    <n v="0.5"/>
    <n v="0.5"/>
  </r>
  <r>
    <n v="7457"/>
    <n v="53190"/>
    <x v="414"/>
    <x v="35"/>
    <s v="Medium"/>
    <n v="9"/>
    <n v="477.05399999999997"/>
    <n v="0.1"/>
    <s v="Regular Air"/>
    <n v="-170.53300000000002"/>
    <n v="65.989999999999995"/>
    <n v="3.99"/>
    <x v="98"/>
    <x v="4"/>
    <x v="4"/>
    <x v="3"/>
    <x v="1"/>
    <x v="3"/>
    <x v="440"/>
    <s v="Small Box"/>
    <n v="0.59"/>
    <d v="2009-09-25T00:00:00"/>
    <n v="0"/>
    <n v="0"/>
    <n v="0.5"/>
    <n v="0.5"/>
  </r>
  <r>
    <n v="7502"/>
    <n v="53536"/>
    <x v="365"/>
    <x v="1"/>
    <s v="High"/>
    <n v="35"/>
    <n v="738.69"/>
    <n v="0.1"/>
    <s v="Regular Air"/>
    <n v="109.16"/>
    <n v="22.98"/>
    <n v="7.58"/>
    <x v="88"/>
    <x v="4"/>
    <x v="4"/>
    <x v="3"/>
    <x v="2"/>
    <x v="4"/>
    <x v="619"/>
    <s v="Small Box"/>
    <n v="0.51"/>
    <d v="2012-11-01T00:00:00"/>
    <n v="0"/>
    <n v="0"/>
    <n v="0.5"/>
    <n v="0.33333333333333331"/>
  </r>
  <r>
    <n v="7503"/>
    <n v="53536"/>
    <x v="365"/>
    <x v="1"/>
    <s v="High"/>
    <n v="5"/>
    <n v="1015.4"/>
    <n v="0"/>
    <s v="Delivery Truck"/>
    <n v="-234.59400000000002"/>
    <n v="179.29"/>
    <n v="56.2"/>
    <x v="88"/>
    <x v="4"/>
    <x v="4"/>
    <x v="3"/>
    <x v="2"/>
    <x v="10"/>
    <x v="620"/>
    <s v="Jumbo Box"/>
    <n v="0.71"/>
    <d v="2012-11-01T00:00:00"/>
    <n v="0"/>
    <n v="0"/>
    <n v="0.5"/>
    <n v="0.33333333333333331"/>
  </r>
  <r>
    <n v="7506"/>
    <n v="53572"/>
    <x v="193"/>
    <x v="39"/>
    <s v="Medium"/>
    <n v="17"/>
    <n v="184.09"/>
    <n v="7.0000000000000007E-2"/>
    <s v="Regular Air"/>
    <n v="4.79"/>
    <n v="11.09"/>
    <n v="5.25"/>
    <x v="97"/>
    <x v="4"/>
    <x v="4"/>
    <x v="2"/>
    <x v="0"/>
    <x v="8"/>
    <x v="621"/>
    <s v="Small Box"/>
    <n v="0.36"/>
    <d v="2010-05-08T00:00:00"/>
    <n v="0"/>
    <n v="0"/>
    <n v="1"/>
    <n v="1"/>
  </r>
  <r>
    <n v="7533"/>
    <n v="53825"/>
    <x v="488"/>
    <x v="37"/>
    <s v="Low"/>
    <n v="36"/>
    <n v="1646.05"/>
    <n v="0.08"/>
    <s v="Regular Air"/>
    <n v="649.79999999999995"/>
    <n v="48.04"/>
    <n v="7.23"/>
    <x v="72"/>
    <x v="4"/>
    <x v="4"/>
    <x v="1"/>
    <x v="0"/>
    <x v="5"/>
    <x v="399"/>
    <s v="Small Box"/>
    <n v="0.37"/>
    <d v="2011-04-11T00:00:00"/>
    <n v="0"/>
    <n v="0"/>
    <n v="1"/>
    <n v="1"/>
  </r>
  <r>
    <n v="7534"/>
    <n v="53863"/>
    <x v="489"/>
    <x v="30"/>
    <s v="High"/>
    <n v="46"/>
    <n v="7807.45"/>
    <n v="0.02"/>
    <s v="Express Air"/>
    <n v="1660.15"/>
    <n v="161.55000000000001"/>
    <n v="19.989999999999998"/>
    <x v="101"/>
    <x v="4"/>
    <x v="4"/>
    <x v="3"/>
    <x v="0"/>
    <x v="0"/>
    <x v="533"/>
    <s v="Small Box"/>
    <n v="0.66"/>
    <d v="2010-06-06T00:00:00"/>
    <n v="0"/>
    <n v="0"/>
    <n v="1"/>
    <n v="1"/>
  </r>
  <r>
    <n v="7565"/>
    <n v="54119"/>
    <x v="490"/>
    <x v="39"/>
    <s v="Medium"/>
    <n v="45"/>
    <n v="261"/>
    <n v="0.04"/>
    <s v="Express Air"/>
    <n v="-43.45"/>
    <n v="5.81"/>
    <n v="3.37"/>
    <x v="5"/>
    <x v="4"/>
    <x v="4"/>
    <x v="2"/>
    <x v="0"/>
    <x v="6"/>
    <x v="622"/>
    <s v="Wrap Bag"/>
    <n v="0.54"/>
    <d v="2010-05-23T00:00:00"/>
    <n v="0"/>
    <n v="0"/>
    <n v="0.5"/>
    <n v="0.5"/>
  </r>
  <r>
    <n v="7566"/>
    <n v="54119"/>
    <x v="490"/>
    <x v="39"/>
    <s v="Medium"/>
    <n v="4"/>
    <n v="127.56"/>
    <n v="0.05"/>
    <s v="Regular Air"/>
    <n v="-41.75"/>
    <n v="29.74"/>
    <n v="6.64"/>
    <x v="5"/>
    <x v="4"/>
    <x v="4"/>
    <x v="2"/>
    <x v="0"/>
    <x v="0"/>
    <x v="253"/>
    <s v="Small Box"/>
    <n v="0.7"/>
    <d v="2010-05-25T00:00:00"/>
    <n v="0"/>
    <n v="0"/>
    <n v="0.5"/>
    <n v="0.5"/>
  </r>
  <r>
    <n v="7861"/>
    <n v="56224"/>
    <x v="310"/>
    <x v="1"/>
    <s v="Medium"/>
    <n v="35"/>
    <n v="144.06"/>
    <n v="0.01"/>
    <s v="Regular Air"/>
    <n v="-117.2655"/>
    <n v="3.81"/>
    <n v="5.44"/>
    <x v="98"/>
    <x v="4"/>
    <x v="4"/>
    <x v="3"/>
    <x v="0"/>
    <x v="2"/>
    <x v="415"/>
    <s v="Small Box"/>
    <n v="0.36"/>
    <d v="2012-10-27T00:00:00"/>
    <n v="0"/>
    <n v="0"/>
    <n v="0.25"/>
    <n v="0.25"/>
  </r>
  <r>
    <n v="7862"/>
    <n v="56224"/>
    <x v="310"/>
    <x v="1"/>
    <s v="Medium"/>
    <n v="32"/>
    <n v="3205.24"/>
    <n v="0.01"/>
    <s v="Delivery Truck"/>
    <n v="-1115.99"/>
    <n v="95.95"/>
    <n v="74.349999999999994"/>
    <x v="98"/>
    <x v="4"/>
    <x v="4"/>
    <x v="3"/>
    <x v="2"/>
    <x v="14"/>
    <x v="34"/>
    <s v="Jumbo Drum"/>
    <n v="0.56999999999999995"/>
    <d v="2012-10-26T00:00:00"/>
    <n v="0"/>
    <n v="0"/>
    <n v="0.25"/>
    <n v="0.25"/>
  </r>
  <r>
    <n v="7863"/>
    <n v="56224"/>
    <x v="310"/>
    <x v="1"/>
    <s v="Medium"/>
    <n v="46"/>
    <n v="339.27"/>
    <n v="0.1"/>
    <s v="Regular Air"/>
    <n v="48.59"/>
    <n v="7.89"/>
    <n v="2.82"/>
    <x v="98"/>
    <x v="4"/>
    <x v="4"/>
    <x v="3"/>
    <x v="0"/>
    <x v="6"/>
    <x v="623"/>
    <s v="Wrap Bag"/>
    <n v="0.4"/>
    <d v="2012-10-25T00:00:00"/>
    <n v="0"/>
    <n v="0"/>
    <n v="0.25"/>
    <n v="0.25"/>
  </r>
  <r>
    <n v="7864"/>
    <n v="56224"/>
    <x v="310"/>
    <x v="1"/>
    <s v="Medium"/>
    <n v="9"/>
    <n v="902.024"/>
    <n v="0.04"/>
    <s v="Delivery Truck"/>
    <n v="-153.25200000000001"/>
    <n v="124.49"/>
    <n v="51.94"/>
    <x v="98"/>
    <x v="4"/>
    <x v="4"/>
    <x v="3"/>
    <x v="2"/>
    <x v="10"/>
    <x v="307"/>
    <s v="Jumbo Box"/>
    <n v="0.63"/>
    <d v="2012-10-26T00:00:00"/>
    <n v="0"/>
    <n v="0"/>
    <n v="0.25"/>
    <n v="0.25"/>
  </r>
  <r>
    <n v="7873"/>
    <n v="56293"/>
    <x v="491"/>
    <x v="38"/>
    <s v="Not Specified"/>
    <n v="34"/>
    <n v="702.79"/>
    <n v="0.04"/>
    <s v="Regular Air"/>
    <n v="-44.81"/>
    <n v="19.989999999999998"/>
    <n v="11.17"/>
    <x v="98"/>
    <x v="4"/>
    <x v="4"/>
    <x v="3"/>
    <x v="2"/>
    <x v="4"/>
    <x v="220"/>
    <s v="Large Box"/>
    <n v="0.6"/>
    <d v="2010-01-05T00:00:00"/>
    <n v="1"/>
    <n v="0"/>
    <n v="0.5"/>
    <n v="0.5"/>
  </r>
  <r>
    <n v="7874"/>
    <n v="56293"/>
    <x v="491"/>
    <x v="38"/>
    <s v="Not Specified"/>
    <n v="44"/>
    <n v="712.64"/>
    <n v="0.06"/>
    <s v="Regular Air"/>
    <n v="-27.72"/>
    <n v="16.91"/>
    <n v="6.25"/>
    <x v="98"/>
    <x v="4"/>
    <x v="4"/>
    <x v="3"/>
    <x v="0"/>
    <x v="0"/>
    <x v="624"/>
    <s v="Small Box"/>
    <n v="0.57999999999999996"/>
    <d v="2010-01-06T00:00:00"/>
    <n v="1"/>
    <n v="0"/>
    <n v="0.5"/>
    <n v="0.5"/>
  </r>
  <r>
    <n v="8116"/>
    <n v="57959"/>
    <x v="294"/>
    <x v="25"/>
    <s v="Medium"/>
    <n v="40"/>
    <n v="239.86"/>
    <n v="0.04"/>
    <s v="Regular Air"/>
    <n v="-32.06"/>
    <n v="5.81"/>
    <n v="3.37"/>
    <x v="96"/>
    <x v="4"/>
    <x v="4"/>
    <x v="1"/>
    <x v="0"/>
    <x v="6"/>
    <x v="622"/>
    <s v="Wrap Bag"/>
    <n v="0.54"/>
    <d v="2011-12-31T00:00:00"/>
    <n v="0"/>
    <n v="0"/>
    <n v="0.5"/>
    <n v="0.5"/>
  </r>
  <r>
    <n v="8117"/>
    <n v="57959"/>
    <x v="294"/>
    <x v="25"/>
    <s v="Medium"/>
    <n v="48"/>
    <n v="1269.79"/>
    <n v="0.08"/>
    <s v="Express Air"/>
    <n v="-65.33"/>
    <n v="26.31"/>
    <n v="5.89"/>
    <x v="96"/>
    <x v="4"/>
    <x v="4"/>
    <x v="1"/>
    <x v="1"/>
    <x v="7"/>
    <x v="295"/>
    <s v="Small Box"/>
    <n v="0.75"/>
    <d v="2011-12-31T00:00:00"/>
    <n v="0"/>
    <n v="0"/>
    <n v="0.5"/>
    <n v="0.5"/>
  </r>
  <r>
    <n v="8184"/>
    <n v="58500"/>
    <x v="492"/>
    <x v="44"/>
    <s v="Low"/>
    <n v="17"/>
    <n v="1529.0139999999999"/>
    <n v="7.0000000000000007E-2"/>
    <s v="Regular Air"/>
    <n v="14.013"/>
    <n v="110.99"/>
    <n v="8.99"/>
    <x v="101"/>
    <x v="4"/>
    <x v="4"/>
    <x v="3"/>
    <x v="1"/>
    <x v="3"/>
    <x v="425"/>
    <s v="Small Box"/>
    <n v="0.56999999999999995"/>
    <d v="2011-02-14T00:00:00"/>
    <n v="0"/>
    <n v="0"/>
    <n v="1"/>
    <n v="1"/>
  </r>
  <r>
    <n v="8335"/>
    <n v="59584"/>
    <x v="493"/>
    <x v="39"/>
    <s v="Medium"/>
    <n v="3"/>
    <n v="336.84"/>
    <n v="0.08"/>
    <s v="Delivery Truck"/>
    <n v="-160.46"/>
    <n v="100.98"/>
    <n v="35.840000000000003"/>
    <x v="72"/>
    <x v="4"/>
    <x v="4"/>
    <x v="1"/>
    <x v="2"/>
    <x v="9"/>
    <x v="550"/>
    <s v="Jumbo Box"/>
    <n v="0.62"/>
    <d v="2010-05-29T00:00:00"/>
    <n v="0"/>
    <n v="0"/>
    <n v="0.5"/>
    <n v="0.5"/>
  </r>
  <r>
    <n v="8336"/>
    <n v="59584"/>
    <x v="493"/>
    <x v="39"/>
    <s v="Medium"/>
    <n v="7"/>
    <n v="1120.27"/>
    <n v="0"/>
    <s v="Regular Air"/>
    <n v="16.809999999999999"/>
    <n v="150.97999999999999"/>
    <n v="13.99"/>
    <x v="72"/>
    <x v="4"/>
    <x v="4"/>
    <x v="1"/>
    <x v="1"/>
    <x v="16"/>
    <x v="221"/>
    <s v="Medium Box"/>
    <n v="0.38"/>
    <d v="2010-05-28T00:00:00"/>
    <n v="0"/>
    <n v="0"/>
    <n v="0.5"/>
    <n v="0.5"/>
  </r>
  <r>
    <n v="45"/>
    <n v="261"/>
    <x v="494"/>
    <x v="30"/>
    <s v="Medium"/>
    <n v="47"/>
    <n v="5677.6089999999995"/>
    <n v="0.04"/>
    <s v="Regular Air"/>
    <n v="1680.7860000000001"/>
    <n v="140.99"/>
    <n v="4.2"/>
    <x v="102"/>
    <x v="4"/>
    <x v="4"/>
    <x v="0"/>
    <x v="1"/>
    <x v="3"/>
    <x v="625"/>
    <s v="Small Box"/>
    <n v="0.59"/>
    <d v="2010-06-29T00:00:00"/>
    <n v="0"/>
    <n v="0"/>
    <n v="1"/>
    <n v="0.5"/>
  </r>
  <r>
    <n v="143"/>
    <n v="928"/>
    <x v="495"/>
    <x v="5"/>
    <s v="Low"/>
    <n v="21"/>
    <n v="1222.68"/>
    <n v="0.06"/>
    <s v="Express Air"/>
    <n v="300.97000000000003"/>
    <n v="59.98"/>
    <n v="3.99"/>
    <x v="103"/>
    <x v="4"/>
    <x v="4"/>
    <x v="1"/>
    <x v="0"/>
    <x v="1"/>
    <x v="323"/>
    <s v="Small Box"/>
    <n v="0.56999999999999995"/>
    <d v="2011-03-06T00:00:00"/>
    <n v="0"/>
    <n v="0"/>
    <n v="0.5"/>
    <n v="0.5"/>
  </r>
  <r>
    <n v="144"/>
    <n v="928"/>
    <x v="495"/>
    <x v="5"/>
    <s v="Low"/>
    <n v="26"/>
    <n v="390.2"/>
    <n v="0.02"/>
    <s v="Express Air"/>
    <n v="45"/>
    <n v="14.58"/>
    <n v="7.4"/>
    <x v="103"/>
    <x v="4"/>
    <x v="4"/>
    <x v="1"/>
    <x v="2"/>
    <x v="4"/>
    <x v="505"/>
    <s v="Small Box"/>
    <n v="0.48"/>
    <d v="2011-03-03T00:00:00"/>
    <n v="0"/>
    <n v="0"/>
    <n v="0.5"/>
    <n v="0.5"/>
  </r>
  <r>
    <n v="191"/>
    <n v="1282"/>
    <x v="496"/>
    <x v="12"/>
    <s v="Not Specified"/>
    <n v="26"/>
    <n v="892.38"/>
    <n v="0"/>
    <s v="Regular Air"/>
    <n v="366.48"/>
    <n v="31.78"/>
    <n v="1.99"/>
    <x v="104"/>
    <x v="4"/>
    <x v="4"/>
    <x v="3"/>
    <x v="1"/>
    <x v="7"/>
    <x v="47"/>
    <s v="Small Pack"/>
    <n v="0.42"/>
    <d v="2012-02-29T00:00:00"/>
    <n v="0"/>
    <n v="0"/>
    <n v="0.5"/>
    <n v="0.5"/>
  </r>
  <r>
    <n v="192"/>
    <n v="1282"/>
    <x v="496"/>
    <x v="12"/>
    <s v="Not Specified"/>
    <n v="10"/>
    <n v="29.41"/>
    <n v="0.01"/>
    <s v="Regular Air"/>
    <n v="-2.06"/>
    <n v="2.78"/>
    <n v="1.34"/>
    <x v="104"/>
    <x v="4"/>
    <x v="4"/>
    <x v="3"/>
    <x v="0"/>
    <x v="12"/>
    <x v="148"/>
    <s v="Wrap Bag"/>
    <n v="0.45"/>
    <d v="2012-02-29T00:00:00"/>
    <n v="0"/>
    <n v="0"/>
    <n v="0.5"/>
    <n v="0.5"/>
  </r>
  <r>
    <n v="267"/>
    <n v="1856"/>
    <x v="497"/>
    <x v="33"/>
    <s v="Not Specified"/>
    <n v="24"/>
    <n v="1449.3"/>
    <n v="0.08"/>
    <s v="Regular Air"/>
    <n v="-712.14"/>
    <n v="60.98"/>
    <n v="49"/>
    <x v="105"/>
    <x v="4"/>
    <x v="4"/>
    <x v="3"/>
    <x v="0"/>
    <x v="1"/>
    <x v="347"/>
    <s v="Large Box"/>
    <n v="0.59"/>
    <d v="2012-03-21T00:00:00"/>
    <n v="0"/>
    <n v="0"/>
    <n v="0.33333333333333331"/>
    <n v="0.33333333333333331"/>
  </r>
  <r>
    <n v="268"/>
    <n v="1856"/>
    <x v="497"/>
    <x v="33"/>
    <s v="Not Specified"/>
    <n v="43"/>
    <n v="4374.6864999999998"/>
    <n v="0.05"/>
    <s v="Regular Air"/>
    <n v="973.16099999999994"/>
    <n v="125.99"/>
    <n v="8.08"/>
    <x v="105"/>
    <x v="4"/>
    <x v="4"/>
    <x v="3"/>
    <x v="1"/>
    <x v="3"/>
    <x v="442"/>
    <s v="Small Box"/>
    <n v="0.56999999999999995"/>
    <d v="2012-03-20T00:00:00"/>
    <n v="0"/>
    <n v="0"/>
    <n v="0.33333333333333331"/>
    <n v="0.33333333333333331"/>
  </r>
  <r>
    <n v="269"/>
    <n v="1856"/>
    <x v="497"/>
    <x v="33"/>
    <s v="Not Specified"/>
    <n v="44"/>
    <n v="4283.2350000000006"/>
    <n v="0.1"/>
    <s v="Regular Air"/>
    <n v="676.125"/>
    <n v="125.99"/>
    <n v="8.8000000000000007"/>
    <x v="105"/>
    <x v="4"/>
    <x v="4"/>
    <x v="3"/>
    <x v="1"/>
    <x v="3"/>
    <x v="626"/>
    <s v="Small Box"/>
    <n v="0.59"/>
    <d v="2012-03-20T00:00:00"/>
    <n v="0"/>
    <n v="0"/>
    <n v="0.33333333333333331"/>
    <n v="0.33333333333333331"/>
  </r>
  <r>
    <n v="280"/>
    <n v="1925"/>
    <x v="498"/>
    <x v="33"/>
    <s v="Critical"/>
    <n v="7"/>
    <n v="1874.37"/>
    <n v="0.08"/>
    <s v="Regular Air"/>
    <n v="67.84"/>
    <n v="276.2"/>
    <n v="24.49"/>
    <x v="86"/>
    <x v="4"/>
    <x v="4"/>
    <x v="2"/>
    <x v="2"/>
    <x v="14"/>
    <x v="67"/>
    <s v="Large Box"/>
    <m/>
    <d v="2012-03-05T00:00:00"/>
    <n v="0"/>
    <n v="0"/>
    <n v="0.5"/>
    <n v="0.5"/>
  </r>
  <r>
    <n v="424"/>
    <n v="2848"/>
    <x v="499"/>
    <x v="33"/>
    <s v="Critical"/>
    <n v="35"/>
    <n v="1476.39"/>
    <n v="0.06"/>
    <s v="Express Air"/>
    <n v="-303.62"/>
    <n v="43.31"/>
    <n v="15.9"/>
    <x v="104"/>
    <x v="4"/>
    <x v="4"/>
    <x v="3"/>
    <x v="2"/>
    <x v="4"/>
    <x v="627"/>
    <s v="Medium Box"/>
    <n v="0.75"/>
    <d v="2012-03-11T00:00:00"/>
    <n v="0"/>
    <n v="0"/>
    <n v="0.5"/>
    <n v="0.5"/>
  </r>
  <r>
    <n v="425"/>
    <n v="2848"/>
    <x v="499"/>
    <x v="33"/>
    <s v="Critical"/>
    <n v="8"/>
    <n v="863.58299999999997"/>
    <n v="0.04"/>
    <s v="Regular Air"/>
    <n v="-264.27499999999998"/>
    <n v="125.99"/>
    <n v="8.99"/>
    <x v="104"/>
    <x v="4"/>
    <x v="4"/>
    <x v="3"/>
    <x v="1"/>
    <x v="3"/>
    <x v="628"/>
    <s v="Small Box"/>
    <n v="0.55000000000000004"/>
    <d v="2012-03-11T00:00:00"/>
    <n v="0"/>
    <n v="0"/>
    <n v="0.5"/>
    <n v="0.5"/>
  </r>
  <r>
    <n v="767"/>
    <n v="5504"/>
    <x v="491"/>
    <x v="38"/>
    <s v="High"/>
    <n v="6"/>
    <n v="49.55"/>
    <n v="0.06"/>
    <s v="Express Air"/>
    <n v="-20.329999999999998"/>
    <n v="5.78"/>
    <n v="7.64"/>
    <x v="106"/>
    <x v="4"/>
    <x v="4"/>
    <x v="0"/>
    <x v="0"/>
    <x v="5"/>
    <x v="629"/>
    <s v="Small Box"/>
    <n v="0.36"/>
    <d v="2010-01-07T00:00:00"/>
    <n v="1"/>
    <n v="0"/>
    <n v="0.5"/>
    <n v="0.5"/>
  </r>
  <r>
    <n v="768"/>
    <n v="5504"/>
    <x v="491"/>
    <x v="38"/>
    <s v="High"/>
    <n v="15"/>
    <n v="606.55999999999995"/>
    <n v="0.04"/>
    <s v="Regular Air"/>
    <n v="20.231999999999999"/>
    <n v="45.99"/>
    <n v="4.99"/>
    <x v="106"/>
    <x v="4"/>
    <x v="4"/>
    <x v="0"/>
    <x v="1"/>
    <x v="3"/>
    <x v="482"/>
    <s v="Small Box"/>
    <n v="0.56000000000000005"/>
    <d v="2010-01-07T00:00:00"/>
    <n v="1"/>
    <n v="0"/>
    <n v="0.5"/>
    <n v="0.5"/>
  </r>
  <r>
    <n v="1153"/>
    <n v="8390"/>
    <x v="500"/>
    <x v="13"/>
    <s v="Medium"/>
    <n v="24"/>
    <n v="715.4"/>
    <n v="0.08"/>
    <s v="Regular Air"/>
    <n v="-99.34"/>
    <n v="30.98"/>
    <n v="4"/>
    <x v="104"/>
    <x v="4"/>
    <x v="4"/>
    <x v="3"/>
    <x v="1"/>
    <x v="7"/>
    <x v="630"/>
    <s v="Small Box"/>
    <n v="0.8"/>
    <d v="2012-04-21T00:00:00"/>
    <n v="0"/>
    <n v="0"/>
    <n v="1"/>
    <n v="1"/>
  </r>
  <r>
    <n v="1168"/>
    <n v="8545"/>
    <x v="501"/>
    <x v="41"/>
    <s v="Low"/>
    <n v="25"/>
    <n v="113.75"/>
    <n v="0"/>
    <s v="Regular Air"/>
    <n v="-77.337500000000006"/>
    <n v="4.13"/>
    <n v="5.34"/>
    <x v="107"/>
    <x v="4"/>
    <x v="4"/>
    <x v="0"/>
    <x v="0"/>
    <x v="2"/>
    <x v="528"/>
    <s v="Small Box"/>
    <n v="0.38"/>
    <d v="2009-06-21T00:00:00"/>
    <n v="0"/>
    <n v="0"/>
    <n v="0.5"/>
    <n v="0.5"/>
  </r>
  <r>
    <n v="1169"/>
    <n v="8545"/>
    <x v="501"/>
    <x v="41"/>
    <s v="Low"/>
    <n v="24"/>
    <n v="3081.95"/>
    <n v="0.1"/>
    <s v="Delivery Truck"/>
    <n v="-662.8"/>
    <n v="130.97999999999999"/>
    <n v="54.74"/>
    <x v="107"/>
    <x v="4"/>
    <x v="4"/>
    <x v="0"/>
    <x v="2"/>
    <x v="9"/>
    <x v="631"/>
    <s v="Jumbo Box"/>
    <n v="0.69"/>
    <d v="2009-06-21T00:00:00"/>
    <n v="0"/>
    <n v="0"/>
    <n v="0.5"/>
    <n v="0.5"/>
  </r>
  <r>
    <n v="1305"/>
    <n v="9573"/>
    <x v="502"/>
    <x v="8"/>
    <s v="Medium"/>
    <n v="41"/>
    <n v="133.22999999999999"/>
    <n v="0"/>
    <s v="Regular Air"/>
    <n v="-59.91"/>
    <n v="3.14"/>
    <n v="1.92"/>
    <x v="104"/>
    <x v="4"/>
    <x v="4"/>
    <x v="3"/>
    <x v="0"/>
    <x v="15"/>
    <x v="546"/>
    <s v="Wrap Bag"/>
    <n v="0.84"/>
    <d v="2012-06-14T00:00:00"/>
    <n v="0"/>
    <n v="0"/>
    <n v="0.5"/>
    <n v="0.5"/>
  </r>
  <r>
    <n v="1356"/>
    <n v="9892"/>
    <x v="302"/>
    <x v="29"/>
    <s v="Medium"/>
    <n v="50"/>
    <n v="1406.64"/>
    <n v="0.02"/>
    <s v="Regular Air"/>
    <n v="424.36"/>
    <n v="27.18"/>
    <n v="8.23"/>
    <x v="108"/>
    <x v="4"/>
    <x v="4"/>
    <x v="2"/>
    <x v="0"/>
    <x v="8"/>
    <x v="632"/>
    <s v="Small Box"/>
    <n v="0.38"/>
    <d v="2012-07-17T00:00:00"/>
    <n v="0"/>
    <n v="0"/>
    <n v="1"/>
    <n v="1"/>
  </r>
  <r>
    <n v="1381"/>
    <n v="10048"/>
    <x v="503"/>
    <x v="43"/>
    <s v="Not Specified"/>
    <n v="46"/>
    <n v="3197.45"/>
    <n v="0.08"/>
    <s v="Regular Air"/>
    <n v="97.159999999999926"/>
    <n v="73.98"/>
    <n v="4"/>
    <x v="102"/>
    <x v="4"/>
    <x v="4"/>
    <x v="2"/>
    <x v="1"/>
    <x v="7"/>
    <x v="633"/>
    <s v="Small Box"/>
    <n v="0.77"/>
    <d v="2009-05-18T00:00:00"/>
    <n v="0"/>
    <n v="0"/>
    <n v="0.5"/>
    <n v="0.5"/>
  </r>
  <r>
    <n v="1382"/>
    <n v="10048"/>
    <x v="503"/>
    <x v="43"/>
    <s v="Not Specified"/>
    <n v="21"/>
    <n v="78.569999999999993"/>
    <n v="0.02"/>
    <s v="Regular Air"/>
    <n v="-20.65"/>
    <n v="3.68"/>
    <n v="1.32"/>
    <x v="102"/>
    <x v="4"/>
    <x v="4"/>
    <x v="2"/>
    <x v="0"/>
    <x v="15"/>
    <x v="144"/>
    <s v="Wrap Bag"/>
    <n v="0.83"/>
    <d v="2009-05-17T00:00:00"/>
    <n v="0"/>
    <n v="0"/>
    <n v="0.5"/>
    <n v="0.5"/>
  </r>
  <r>
    <n v="1395"/>
    <n v="10144"/>
    <x v="504"/>
    <x v="16"/>
    <s v="Critical"/>
    <n v="16"/>
    <n v="5403.75"/>
    <n v="0.08"/>
    <s v="Delivery Truck"/>
    <n v="103.83"/>
    <n v="355.98"/>
    <n v="58.92"/>
    <x v="102"/>
    <x v="4"/>
    <x v="4"/>
    <x v="2"/>
    <x v="2"/>
    <x v="14"/>
    <x v="145"/>
    <s v="Jumbo Drum"/>
    <n v="0.64"/>
    <d v="2011-01-04T00:00:00"/>
    <n v="0"/>
    <n v="0"/>
    <n v="0.33333333333333331"/>
    <n v="0.33333333333333331"/>
  </r>
  <r>
    <n v="1396"/>
    <n v="10144"/>
    <x v="504"/>
    <x v="16"/>
    <s v="Critical"/>
    <n v="1"/>
    <n v="192.49"/>
    <n v="0.02"/>
    <s v="Delivery Truck"/>
    <n v="-98.3"/>
    <n v="160.97999999999999"/>
    <n v="30"/>
    <x v="102"/>
    <x v="4"/>
    <x v="4"/>
    <x v="2"/>
    <x v="2"/>
    <x v="14"/>
    <x v="580"/>
    <s v="Jumbo Drum"/>
    <n v="0.62"/>
    <d v="2011-01-04T00:00:00"/>
    <n v="0"/>
    <n v="0"/>
    <n v="0.33333333333333331"/>
    <n v="0.33333333333333331"/>
  </r>
  <r>
    <n v="1397"/>
    <n v="10144"/>
    <x v="504"/>
    <x v="16"/>
    <s v="Critical"/>
    <n v="24"/>
    <n v="6408.3"/>
    <n v="0.1"/>
    <s v="Delivery Truck"/>
    <n v="539.54"/>
    <n v="280.98"/>
    <n v="35.67"/>
    <x v="102"/>
    <x v="4"/>
    <x v="4"/>
    <x v="2"/>
    <x v="2"/>
    <x v="10"/>
    <x v="398"/>
    <s v="Jumbo Box"/>
    <n v="0.66"/>
    <d v="2011-01-02T00:00:00"/>
    <n v="0"/>
    <n v="0"/>
    <n v="0.33333333333333331"/>
    <n v="0.33333333333333331"/>
  </r>
  <r>
    <n v="1440"/>
    <n v="10432"/>
    <x v="505"/>
    <x v="23"/>
    <s v="Low"/>
    <n v="13"/>
    <n v="2323.36"/>
    <n v="0.08"/>
    <s v="Regular Air"/>
    <n v="220.39"/>
    <n v="179.99"/>
    <n v="19.989999999999998"/>
    <x v="102"/>
    <x v="4"/>
    <x v="4"/>
    <x v="2"/>
    <x v="1"/>
    <x v="7"/>
    <x v="634"/>
    <s v="Small Box"/>
    <n v="0.48"/>
    <d v="2012-01-12T00:00:00"/>
    <n v="0"/>
    <n v="0"/>
    <n v="1"/>
    <n v="1"/>
  </r>
  <r>
    <n v="1481"/>
    <n v="10661"/>
    <x v="506"/>
    <x v="22"/>
    <s v="Not Specified"/>
    <n v="18"/>
    <n v="136.41"/>
    <n v="0"/>
    <s v="Regular Air"/>
    <n v="-99.34"/>
    <n v="6.84"/>
    <n v="8.3699999999999992"/>
    <x v="109"/>
    <x v="4"/>
    <x v="4"/>
    <x v="1"/>
    <x v="0"/>
    <x v="15"/>
    <x v="277"/>
    <s v="Small Pack"/>
    <n v="0.57999999999999996"/>
    <d v="2009-01-24T00:00:00"/>
    <n v="0"/>
    <n v="1"/>
    <n v="0.5"/>
    <n v="0.5"/>
  </r>
  <r>
    <n v="1791"/>
    <n v="12806"/>
    <x v="74"/>
    <x v="25"/>
    <s v="Not Specified"/>
    <n v="20"/>
    <n v="761.23"/>
    <n v="0"/>
    <s v="Regular Air"/>
    <n v="107.93"/>
    <n v="35.89"/>
    <n v="14.72"/>
    <x v="102"/>
    <x v="4"/>
    <x v="4"/>
    <x v="0"/>
    <x v="0"/>
    <x v="8"/>
    <x v="635"/>
    <s v="Small Box"/>
    <n v="0.4"/>
    <d v="2011-12-25T00:00:00"/>
    <n v="0"/>
    <n v="0"/>
    <n v="1"/>
    <n v="1"/>
  </r>
  <r>
    <n v="1837"/>
    <n v="13158"/>
    <x v="507"/>
    <x v="32"/>
    <s v="Critical"/>
    <n v="26"/>
    <n v="187.16"/>
    <n v="0.01"/>
    <s v="Regular Air"/>
    <n v="29.324999999999999"/>
    <n v="6.75"/>
    <n v="2.99"/>
    <x v="108"/>
    <x v="4"/>
    <x v="4"/>
    <x v="2"/>
    <x v="0"/>
    <x v="2"/>
    <x v="239"/>
    <s v="Small Box"/>
    <n v="0.35"/>
    <d v="2012-11-22T00:00:00"/>
    <n v="0"/>
    <n v="0"/>
    <n v="1"/>
    <n v="1"/>
  </r>
  <r>
    <n v="1876"/>
    <n v="13507"/>
    <x v="508"/>
    <x v="45"/>
    <s v="Medium"/>
    <n v="27"/>
    <n v="176.1"/>
    <n v="0.09"/>
    <s v="Regular Air"/>
    <n v="-75.709999999999994"/>
    <n v="6.78"/>
    <n v="6.18"/>
    <x v="106"/>
    <x v="4"/>
    <x v="4"/>
    <x v="0"/>
    <x v="0"/>
    <x v="5"/>
    <x v="636"/>
    <s v="Small Box"/>
    <n v="0.39"/>
    <d v="2012-12-30T00:00:00"/>
    <n v="0"/>
    <n v="0"/>
    <n v="1"/>
    <n v="1"/>
  </r>
  <r>
    <n v="2014"/>
    <n v="14375"/>
    <x v="509"/>
    <x v="38"/>
    <s v="Medium"/>
    <n v="7"/>
    <n v="44.05"/>
    <n v="7.0000000000000007E-2"/>
    <s v="Regular Air"/>
    <n v="-21.77"/>
    <n v="5.78"/>
    <n v="5.67"/>
    <x v="110"/>
    <x v="4"/>
    <x v="4"/>
    <x v="2"/>
    <x v="0"/>
    <x v="5"/>
    <x v="443"/>
    <s v="Small Box"/>
    <n v="0.36"/>
    <d v="2010-02-01T00:00:00"/>
    <n v="1"/>
    <n v="0"/>
    <n v="0.5"/>
    <n v="0.5"/>
  </r>
  <r>
    <n v="2049"/>
    <n v="14627"/>
    <x v="391"/>
    <x v="40"/>
    <s v="Medium"/>
    <n v="47"/>
    <n v="671.03"/>
    <n v="7.0000000000000007E-2"/>
    <s v="Regular Air"/>
    <n v="67.864000000000004"/>
    <n v="14.48"/>
    <n v="6.46"/>
    <x v="102"/>
    <x v="4"/>
    <x v="4"/>
    <x v="0"/>
    <x v="0"/>
    <x v="2"/>
    <x v="637"/>
    <s v="Small Box"/>
    <n v="0.38"/>
    <d v="2009-02-05T00:00:00"/>
    <n v="0"/>
    <n v="0"/>
    <n v="1"/>
    <n v="1"/>
  </r>
  <r>
    <n v="2077"/>
    <n v="14852"/>
    <x v="74"/>
    <x v="25"/>
    <s v="Medium"/>
    <n v="9"/>
    <n v="3800.4"/>
    <n v="0.03"/>
    <s v="Express Air"/>
    <n v="1234.5740000000001"/>
    <n v="420.98"/>
    <n v="19.989999999999998"/>
    <x v="111"/>
    <x v="4"/>
    <x v="4"/>
    <x v="1"/>
    <x v="0"/>
    <x v="2"/>
    <x v="461"/>
    <s v="Small Box"/>
    <n v="0.35"/>
    <d v="2011-12-24T00:00:00"/>
    <n v="0"/>
    <n v="0"/>
    <n v="1"/>
    <n v="1"/>
  </r>
  <r>
    <n v="2256"/>
    <n v="16230"/>
    <x v="203"/>
    <x v="6"/>
    <s v="Low"/>
    <n v="2"/>
    <n v="13.3"/>
    <n v="0.09"/>
    <s v="Regular Air"/>
    <n v="-7.86"/>
    <n v="7.31"/>
    <n v="0.49"/>
    <x v="102"/>
    <x v="4"/>
    <x v="4"/>
    <x v="2"/>
    <x v="0"/>
    <x v="11"/>
    <x v="31"/>
    <s v="Small Box"/>
    <n v="0.38"/>
    <d v="2010-03-01T00:00:00"/>
    <n v="0"/>
    <n v="0"/>
    <n v="0.25"/>
    <n v="0.25"/>
  </r>
  <r>
    <n v="2257"/>
    <n v="16230"/>
    <x v="203"/>
    <x v="6"/>
    <s v="Low"/>
    <n v="27"/>
    <n v="3379.01"/>
    <n v="0.06"/>
    <s v="Delivery Truck"/>
    <n v="-801.09"/>
    <n v="130.97999999999999"/>
    <n v="54.74"/>
    <x v="102"/>
    <x v="4"/>
    <x v="4"/>
    <x v="2"/>
    <x v="2"/>
    <x v="9"/>
    <x v="631"/>
    <s v="Jumbo Box"/>
    <n v="0.69"/>
    <d v="2010-03-01T00:00:00"/>
    <n v="0"/>
    <n v="0"/>
    <n v="0.25"/>
    <n v="0.25"/>
  </r>
  <r>
    <n v="2258"/>
    <n v="16230"/>
    <x v="203"/>
    <x v="6"/>
    <s v="Low"/>
    <n v="15"/>
    <n v="687.52"/>
    <n v="0.08"/>
    <s v="Regular Air"/>
    <n v="223.76"/>
    <n v="48.91"/>
    <n v="5.81"/>
    <x v="102"/>
    <x v="4"/>
    <x v="4"/>
    <x v="2"/>
    <x v="0"/>
    <x v="5"/>
    <x v="83"/>
    <s v="Small Box"/>
    <n v="0.38"/>
    <d v="2010-03-06T00:00:00"/>
    <n v="0"/>
    <n v="0"/>
    <n v="0.25"/>
    <n v="0.25"/>
  </r>
  <r>
    <n v="2259"/>
    <n v="16230"/>
    <x v="203"/>
    <x v="6"/>
    <s v="Low"/>
    <n v="40"/>
    <n v="4538.66"/>
    <n v="0"/>
    <s v="Regular Air"/>
    <n v="506.86"/>
    <n v="111.03"/>
    <n v="8.64"/>
    <x v="102"/>
    <x v="4"/>
    <x v="4"/>
    <x v="2"/>
    <x v="0"/>
    <x v="0"/>
    <x v="95"/>
    <s v="Small Box"/>
    <n v="0.78"/>
    <d v="2010-03-04T00:00:00"/>
    <n v="0"/>
    <n v="0"/>
    <n v="0.25"/>
    <n v="0.25"/>
  </r>
  <r>
    <n v="2635"/>
    <n v="19074"/>
    <x v="510"/>
    <x v="8"/>
    <s v="Critical"/>
    <n v="17"/>
    <n v="3816.59"/>
    <n v="0.01"/>
    <s v="Delivery Truck"/>
    <n v="191.47"/>
    <n v="208.16"/>
    <n v="68.02"/>
    <x v="102"/>
    <x v="4"/>
    <x v="4"/>
    <x v="2"/>
    <x v="0"/>
    <x v="1"/>
    <x v="1"/>
    <s v="Jumbo Drum"/>
    <n v="0.57999999999999996"/>
    <d v="2012-06-27T00:00:00"/>
    <n v="0"/>
    <n v="0"/>
    <n v="1"/>
    <n v="1"/>
  </r>
  <r>
    <n v="2801"/>
    <n v="20194"/>
    <x v="511"/>
    <x v="33"/>
    <s v="High"/>
    <n v="10"/>
    <n v="194.29"/>
    <n v="0.1"/>
    <s v="Regular Air"/>
    <n v="68.89"/>
    <n v="20.239999999999998"/>
    <n v="6.67"/>
    <x v="112"/>
    <x v="4"/>
    <x v="4"/>
    <x v="1"/>
    <x v="2"/>
    <x v="4"/>
    <x v="302"/>
    <s v="Small Pack"/>
    <n v="0.49"/>
    <d v="2012-03-15T00:00:00"/>
    <n v="0"/>
    <n v="0"/>
    <n v="1"/>
    <n v="1"/>
  </r>
  <r>
    <n v="2912"/>
    <n v="21024"/>
    <x v="282"/>
    <x v="15"/>
    <s v="Medium"/>
    <n v="34"/>
    <n v="195.49"/>
    <n v="0.05"/>
    <s v="Regular Air"/>
    <n v="33.799999999999997"/>
    <n v="5.84"/>
    <n v="1.2"/>
    <x v="113"/>
    <x v="4"/>
    <x v="4"/>
    <x v="2"/>
    <x v="0"/>
    <x v="12"/>
    <x v="288"/>
    <s v="Wrap Bag"/>
    <n v="0.55000000000000004"/>
    <d v="2010-12-30T00:00:00"/>
    <n v="0"/>
    <n v="0"/>
    <n v="1"/>
    <n v="1"/>
  </r>
  <r>
    <n v="2978"/>
    <n v="21509"/>
    <x v="266"/>
    <x v="29"/>
    <s v="High"/>
    <n v="13"/>
    <n v="47.93"/>
    <n v="0.04"/>
    <s v="Regular Air"/>
    <n v="15.82"/>
    <n v="3.69"/>
    <n v="0.5"/>
    <x v="112"/>
    <x v="4"/>
    <x v="4"/>
    <x v="1"/>
    <x v="0"/>
    <x v="11"/>
    <x v="98"/>
    <s v="Small Box"/>
    <n v="0.38"/>
    <d v="2012-07-05T00:00:00"/>
    <n v="0"/>
    <n v="0"/>
    <n v="1"/>
    <n v="1"/>
  </r>
  <r>
    <n v="3042"/>
    <n v="21856"/>
    <x v="512"/>
    <x v="13"/>
    <s v="Not Specified"/>
    <n v="47"/>
    <n v="168.55"/>
    <n v="0.05"/>
    <s v="Regular Air"/>
    <n v="71.77"/>
    <n v="3.69"/>
    <n v="0.5"/>
    <x v="102"/>
    <x v="4"/>
    <x v="4"/>
    <x v="2"/>
    <x v="0"/>
    <x v="11"/>
    <x v="98"/>
    <s v="Small Box"/>
    <n v="0.38"/>
    <d v="2012-04-07T00:00:00"/>
    <n v="0"/>
    <n v="0"/>
    <n v="0.5"/>
    <n v="0.5"/>
  </r>
  <r>
    <n v="3043"/>
    <n v="21856"/>
    <x v="512"/>
    <x v="13"/>
    <s v="Not Specified"/>
    <n v="26"/>
    <n v="77.03"/>
    <n v="0.08"/>
    <s v="Regular Air"/>
    <n v="-47.75"/>
    <n v="3.14"/>
    <n v="1.92"/>
    <x v="102"/>
    <x v="4"/>
    <x v="4"/>
    <x v="2"/>
    <x v="0"/>
    <x v="15"/>
    <x v="546"/>
    <s v="Wrap Bag"/>
    <n v="0.84"/>
    <d v="2012-04-05T00:00:00"/>
    <n v="0"/>
    <n v="0"/>
    <n v="0.5"/>
    <n v="0.5"/>
  </r>
  <r>
    <n v="3085"/>
    <n v="22119"/>
    <x v="513"/>
    <x v="36"/>
    <s v="Low"/>
    <n v="20"/>
    <n v="939.39"/>
    <n v="7.0000000000000007E-2"/>
    <s v="Regular Air"/>
    <n v="-122.77"/>
    <n v="49.43"/>
    <n v="19.989999999999998"/>
    <x v="113"/>
    <x v="4"/>
    <x v="4"/>
    <x v="2"/>
    <x v="0"/>
    <x v="1"/>
    <x v="638"/>
    <s v="Small Box"/>
    <n v="0.56999999999999995"/>
    <d v="2009-07-29T00:00:00"/>
    <n v="0"/>
    <n v="0"/>
    <n v="1"/>
    <n v="1"/>
  </r>
  <r>
    <n v="3141"/>
    <n v="22534"/>
    <x v="514"/>
    <x v="2"/>
    <s v="Medium"/>
    <n v="3"/>
    <n v="279.33"/>
    <n v="0"/>
    <s v="Regular Air"/>
    <n v="-44.18"/>
    <n v="83.93"/>
    <n v="19.989999999999998"/>
    <x v="108"/>
    <x v="4"/>
    <x v="4"/>
    <x v="2"/>
    <x v="0"/>
    <x v="8"/>
    <x v="639"/>
    <s v="Small Box"/>
    <n v="0.38"/>
    <d v="2011-07-20T00:00:00"/>
    <n v="0"/>
    <n v="0"/>
    <n v="1"/>
    <n v="1"/>
  </r>
  <r>
    <n v="3154"/>
    <n v="22629"/>
    <x v="104"/>
    <x v="24"/>
    <s v="Low"/>
    <n v="5"/>
    <n v="365.93"/>
    <n v="0.05"/>
    <s v="Regular Air"/>
    <n v="-243.02"/>
    <n v="73.98"/>
    <n v="14.52"/>
    <x v="102"/>
    <x v="4"/>
    <x v="4"/>
    <x v="0"/>
    <x v="1"/>
    <x v="7"/>
    <x v="640"/>
    <s v="Small Box"/>
    <n v="0.65"/>
    <d v="2010-04-20T00:00:00"/>
    <n v="0"/>
    <n v="0"/>
    <n v="1"/>
    <n v="1"/>
  </r>
  <r>
    <n v="3208"/>
    <n v="23011"/>
    <x v="481"/>
    <x v="30"/>
    <s v="Low"/>
    <n v="1"/>
    <n v="12.2"/>
    <n v="0.01"/>
    <s v="Regular Air"/>
    <n v="-33.93"/>
    <n v="10.01"/>
    <n v="1.99"/>
    <x v="108"/>
    <x v="4"/>
    <x v="4"/>
    <x v="2"/>
    <x v="1"/>
    <x v="7"/>
    <x v="319"/>
    <s v="Small Pack"/>
    <n v="0.41"/>
    <d v="2010-06-22T00:00:00"/>
    <n v="0"/>
    <n v="0"/>
    <n v="1"/>
    <n v="1"/>
  </r>
  <r>
    <n v="3368"/>
    <n v="24070"/>
    <x v="515"/>
    <x v="5"/>
    <s v="High"/>
    <n v="36"/>
    <n v="170.42"/>
    <n v="0.1"/>
    <s v="Regular Air"/>
    <n v="-98.313499999999991"/>
    <n v="4.91"/>
    <n v="4.97"/>
    <x v="102"/>
    <x v="4"/>
    <x v="4"/>
    <x v="2"/>
    <x v="0"/>
    <x v="2"/>
    <x v="479"/>
    <s v="Small Box"/>
    <n v="0.38"/>
    <d v="2011-03-16T00:00:00"/>
    <n v="0"/>
    <n v="0"/>
    <n v="0.33333333333333331"/>
    <n v="0.33333333333333331"/>
  </r>
  <r>
    <n v="3369"/>
    <n v="24070"/>
    <x v="515"/>
    <x v="5"/>
    <s v="High"/>
    <n v="3"/>
    <n v="431.29"/>
    <n v="0.1"/>
    <s v="Regular Air"/>
    <n v="-164.59"/>
    <n v="140.81"/>
    <n v="24.49"/>
    <x v="102"/>
    <x v="4"/>
    <x v="4"/>
    <x v="2"/>
    <x v="2"/>
    <x v="14"/>
    <x v="198"/>
    <s v="Large Box"/>
    <n v="0.56999999999999995"/>
    <d v="2011-03-16T00:00:00"/>
    <n v="0"/>
    <n v="0"/>
    <n v="0.33333333333333331"/>
    <n v="0.33333333333333331"/>
  </r>
  <r>
    <n v="3370"/>
    <n v="24070"/>
    <x v="515"/>
    <x v="5"/>
    <s v="High"/>
    <n v="48"/>
    <n v="294.26"/>
    <n v="0"/>
    <s v="Express Air"/>
    <n v="88.8"/>
    <n v="5.58"/>
    <n v="0.7"/>
    <x v="102"/>
    <x v="4"/>
    <x v="4"/>
    <x v="2"/>
    <x v="0"/>
    <x v="12"/>
    <x v="641"/>
    <s v="Wrap Bag"/>
    <n v="0.6"/>
    <d v="2011-03-16T00:00:00"/>
    <n v="0"/>
    <n v="0"/>
    <n v="0.33333333333333331"/>
    <n v="0.33333333333333331"/>
  </r>
  <r>
    <n v="3474"/>
    <n v="24737"/>
    <x v="516"/>
    <x v="47"/>
    <s v="High"/>
    <n v="3"/>
    <n v="549.91999999999996"/>
    <n v="0.09"/>
    <s v="Delivery Truck"/>
    <n v="-210.97"/>
    <n v="180.98"/>
    <n v="26.2"/>
    <x v="102"/>
    <x v="4"/>
    <x v="4"/>
    <x v="0"/>
    <x v="2"/>
    <x v="14"/>
    <x v="155"/>
    <s v="Jumbo Drum"/>
    <n v="0.59"/>
    <d v="2009-12-09T00:00:00"/>
    <n v="0"/>
    <n v="0"/>
    <n v="0.5"/>
    <n v="0.5"/>
  </r>
  <r>
    <n v="3475"/>
    <n v="24737"/>
    <x v="516"/>
    <x v="47"/>
    <s v="High"/>
    <n v="26"/>
    <n v="182.09"/>
    <n v="0"/>
    <s v="Regular Air"/>
    <n v="-28.15"/>
    <n v="6.48"/>
    <n v="5.19"/>
    <x v="102"/>
    <x v="4"/>
    <x v="4"/>
    <x v="0"/>
    <x v="0"/>
    <x v="5"/>
    <x v="488"/>
    <s v="Small Box"/>
    <n v="0.37"/>
    <d v="2009-12-07T00:00:00"/>
    <n v="0"/>
    <n v="0"/>
    <n v="0.5"/>
    <n v="0.5"/>
  </r>
  <r>
    <n v="3691"/>
    <n v="26373"/>
    <x v="517"/>
    <x v="42"/>
    <s v="Medium"/>
    <n v="7"/>
    <n v="285.08"/>
    <n v="0.08"/>
    <s v="Regular Air"/>
    <n v="2.3000000000000114"/>
    <n v="40.98"/>
    <n v="5.33"/>
    <x v="106"/>
    <x v="4"/>
    <x v="4"/>
    <x v="0"/>
    <x v="0"/>
    <x v="1"/>
    <x v="530"/>
    <s v="Small Box"/>
    <n v="0.56999999999999995"/>
    <d v="2010-07-25T00:00:00"/>
    <n v="0"/>
    <n v="0"/>
    <n v="1"/>
    <n v="1"/>
  </r>
  <r>
    <n v="3781"/>
    <n v="26978"/>
    <x v="461"/>
    <x v="30"/>
    <s v="Medium"/>
    <n v="46"/>
    <n v="27875.54"/>
    <n v="0"/>
    <s v="Regular Air"/>
    <n v="-635.69000000000005"/>
    <n v="599.99"/>
    <n v="24.49"/>
    <x v="99"/>
    <x v="4"/>
    <x v="4"/>
    <x v="3"/>
    <x v="1"/>
    <x v="13"/>
    <x v="497"/>
    <s v="Large Box"/>
    <n v="0.44"/>
    <d v="2010-06-27T00:00:00"/>
    <n v="0"/>
    <n v="0"/>
    <n v="0.25"/>
    <n v="0.25"/>
  </r>
  <r>
    <n v="3782"/>
    <n v="26978"/>
    <x v="461"/>
    <x v="30"/>
    <s v="Medium"/>
    <n v="49"/>
    <n v="2030.44"/>
    <n v="0.04"/>
    <s v="Regular Air"/>
    <n v="938.26"/>
    <n v="40.99"/>
    <n v="5.86"/>
    <x v="99"/>
    <x v="4"/>
    <x v="4"/>
    <x v="3"/>
    <x v="0"/>
    <x v="5"/>
    <x v="642"/>
    <s v="Small Box"/>
    <n v="0.36"/>
    <d v="2010-06-27T00:00:00"/>
    <n v="0"/>
    <n v="0"/>
    <n v="0.25"/>
    <n v="0.25"/>
  </r>
  <r>
    <n v="3783"/>
    <n v="26978"/>
    <x v="461"/>
    <x v="30"/>
    <s v="Medium"/>
    <n v="47"/>
    <n v="695.99"/>
    <n v="0.09"/>
    <s v="Express Air"/>
    <n v="-157.44"/>
    <n v="15.31"/>
    <n v="8.7799999999999994"/>
    <x v="99"/>
    <x v="4"/>
    <x v="4"/>
    <x v="3"/>
    <x v="0"/>
    <x v="0"/>
    <x v="581"/>
    <s v="Small Box"/>
    <n v="0.56999999999999995"/>
    <d v="2010-06-27T00:00:00"/>
    <n v="0"/>
    <n v="0"/>
    <n v="0.25"/>
    <n v="0.25"/>
  </r>
  <r>
    <n v="3815"/>
    <n v="27174"/>
    <x v="518"/>
    <x v="17"/>
    <s v="Critical"/>
    <n v="17"/>
    <n v="477.50449999999995"/>
    <n v="0.09"/>
    <s v="Regular Air"/>
    <n v="-245.56400000000002"/>
    <n v="35.99"/>
    <n v="5"/>
    <x v="105"/>
    <x v="4"/>
    <x v="4"/>
    <x v="2"/>
    <x v="1"/>
    <x v="3"/>
    <x v="643"/>
    <s v="Small Box"/>
    <n v="0.85"/>
    <d v="2011-10-10T00:00:00"/>
    <n v="0"/>
    <n v="0"/>
    <n v="1"/>
    <n v="1"/>
  </r>
  <r>
    <n v="3910"/>
    <n v="27876"/>
    <x v="519"/>
    <x v="18"/>
    <s v="Low"/>
    <n v="44"/>
    <n v="777.63"/>
    <n v="0.03"/>
    <s v="Regular Air"/>
    <n v="-70.540000000000006"/>
    <n v="16.989999999999998"/>
    <n v="8.99"/>
    <x v="114"/>
    <x v="4"/>
    <x v="4"/>
    <x v="2"/>
    <x v="0"/>
    <x v="12"/>
    <x v="644"/>
    <s v="Small Pack"/>
    <n v="0.56000000000000005"/>
    <d v="2010-09-14T00:00:00"/>
    <n v="0"/>
    <n v="0"/>
    <n v="1"/>
    <n v="1"/>
  </r>
  <r>
    <n v="4005"/>
    <n v="28582"/>
    <x v="520"/>
    <x v="23"/>
    <s v="Not Specified"/>
    <n v="40"/>
    <n v="1500.17"/>
    <n v="0.06"/>
    <s v="Express Air"/>
    <n v="423.87"/>
    <n v="39.24"/>
    <n v="1.99"/>
    <x v="105"/>
    <x v="4"/>
    <x v="4"/>
    <x v="3"/>
    <x v="1"/>
    <x v="7"/>
    <x v="167"/>
    <s v="Small Pack"/>
    <n v="0.51"/>
    <d v="2012-01-23T00:00:00"/>
    <n v="0"/>
    <n v="0"/>
    <n v="0.5"/>
    <n v="0.5"/>
  </r>
  <r>
    <n v="4006"/>
    <n v="28582"/>
    <x v="520"/>
    <x v="23"/>
    <s v="Not Specified"/>
    <n v="45"/>
    <n v="377.31"/>
    <n v="0.02"/>
    <s v="Regular Air"/>
    <n v="87.96"/>
    <n v="8.01"/>
    <n v="2.87"/>
    <x v="105"/>
    <x v="4"/>
    <x v="4"/>
    <x v="3"/>
    <x v="0"/>
    <x v="5"/>
    <x v="548"/>
    <s v="Wrap Bag"/>
    <n v="0.4"/>
    <d v="2012-01-23T00:00:00"/>
    <n v="0"/>
    <n v="0"/>
    <n v="0.5"/>
    <n v="0.5"/>
  </r>
  <r>
    <n v="4048"/>
    <n v="28868"/>
    <x v="512"/>
    <x v="13"/>
    <s v="High"/>
    <n v="30"/>
    <n v="204.49"/>
    <n v="0.05"/>
    <s v="Regular Air"/>
    <n v="-142.30000000000001"/>
    <n v="6.48"/>
    <n v="8.73"/>
    <x v="106"/>
    <x v="4"/>
    <x v="4"/>
    <x v="0"/>
    <x v="0"/>
    <x v="5"/>
    <x v="645"/>
    <s v="Small Box"/>
    <n v="0.37"/>
    <d v="2012-04-06T00:00:00"/>
    <n v="0"/>
    <n v="0"/>
    <n v="1"/>
    <n v="1"/>
  </r>
  <r>
    <n v="4200"/>
    <n v="29857"/>
    <x v="521"/>
    <x v="47"/>
    <s v="Medium"/>
    <n v="41"/>
    <n v="5572.92"/>
    <n v="7.0000000000000007E-2"/>
    <s v="Delivery Truck"/>
    <n v="-639.47"/>
    <n v="140.97999999999999"/>
    <n v="36.090000000000003"/>
    <x v="111"/>
    <x v="4"/>
    <x v="4"/>
    <x v="1"/>
    <x v="2"/>
    <x v="9"/>
    <x v="228"/>
    <s v="Jumbo Box"/>
    <n v="0.77"/>
    <d v="2009-12-14T00:00:00"/>
    <n v="0"/>
    <n v="0"/>
    <n v="1"/>
    <n v="1"/>
  </r>
  <r>
    <n v="4209"/>
    <n v="29921"/>
    <x v="75"/>
    <x v="33"/>
    <s v="Medium"/>
    <n v="33"/>
    <n v="3977.97"/>
    <n v="0.06"/>
    <s v="Regular Air"/>
    <n v="1733.4730000000002"/>
    <n v="120.98"/>
    <n v="9.07"/>
    <x v="102"/>
    <x v="4"/>
    <x v="4"/>
    <x v="0"/>
    <x v="0"/>
    <x v="2"/>
    <x v="352"/>
    <s v="Small Box"/>
    <n v="0.35"/>
    <d v="2012-03-25T00:00:00"/>
    <n v="0"/>
    <n v="0"/>
    <n v="1"/>
    <n v="1"/>
  </r>
  <r>
    <n v="4307"/>
    <n v="30659"/>
    <x v="386"/>
    <x v="31"/>
    <s v="Critical"/>
    <n v="45"/>
    <n v="3116.7714999999998"/>
    <n v="0.08"/>
    <s v="Regular Air"/>
    <n v="-106.51300000000001"/>
    <n v="85.99"/>
    <n v="0.99"/>
    <x v="108"/>
    <x v="4"/>
    <x v="4"/>
    <x v="2"/>
    <x v="1"/>
    <x v="3"/>
    <x v="55"/>
    <s v="Wrap Bag"/>
    <n v="0.85"/>
    <d v="2011-09-15T00:00:00"/>
    <n v="0"/>
    <n v="0"/>
    <n v="1"/>
    <n v="1"/>
  </r>
  <r>
    <n v="4308"/>
    <n v="30660"/>
    <x v="406"/>
    <x v="34"/>
    <s v="Critical"/>
    <n v="16"/>
    <n v="986.27199999999993"/>
    <n v="0.02"/>
    <s v="Regular Air"/>
    <n v="-647.13599999999997"/>
    <n v="71.37"/>
    <n v="69"/>
    <x v="106"/>
    <x v="4"/>
    <x v="4"/>
    <x v="0"/>
    <x v="2"/>
    <x v="10"/>
    <x v="17"/>
    <s v="Large Box"/>
    <n v="0.68"/>
    <d v="2012-09-08T00:00:00"/>
    <n v="0"/>
    <n v="0"/>
    <n v="1"/>
    <n v="1"/>
  </r>
  <r>
    <n v="4332"/>
    <n v="30883"/>
    <x v="522"/>
    <x v="3"/>
    <s v="Medium"/>
    <n v="30"/>
    <n v="201.37"/>
    <n v="0.1"/>
    <s v="Regular Air"/>
    <n v="59.84"/>
    <n v="6.98"/>
    <n v="1.6"/>
    <x v="105"/>
    <x v="4"/>
    <x v="4"/>
    <x v="3"/>
    <x v="0"/>
    <x v="5"/>
    <x v="646"/>
    <s v="Wrap Bag"/>
    <n v="0.38"/>
    <d v="2010-08-22T00:00:00"/>
    <n v="0"/>
    <n v="0"/>
    <n v="1"/>
    <n v="1"/>
  </r>
  <r>
    <n v="4619"/>
    <n v="32871"/>
    <x v="523"/>
    <x v="1"/>
    <s v="High"/>
    <n v="42"/>
    <n v="939.77"/>
    <n v="0"/>
    <s v="Express Air"/>
    <n v="9.7200000000000006"/>
    <n v="20.97"/>
    <n v="4"/>
    <x v="115"/>
    <x v="4"/>
    <x v="4"/>
    <x v="0"/>
    <x v="1"/>
    <x v="7"/>
    <x v="154"/>
    <s v="Small Box"/>
    <n v="0.77"/>
    <d v="2012-10-29T00:00:00"/>
    <n v="0"/>
    <n v="0"/>
    <n v="0.33333333333333331"/>
    <n v="0.33333333333333331"/>
  </r>
  <r>
    <n v="4718"/>
    <n v="33600"/>
    <x v="524"/>
    <x v="0"/>
    <s v="Low"/>
    <n v="42"/>
    <n v="187.28"/>
    <n v="0.06"/>
    <s v="Regular Air"/>
    <n v="-94.36"/>
    <n v="4.28"/>
    <n v="4.79"/>
    <x v="102"/>
    <x v="4"/>
    <x v="4"/>
    <x v="2"/>
    <x v="0"/>
    <x v="5"/>
    <x v="647"/>
    <s v="Small Box"/>
    <n v="0.4"/>
    <d v="2010-10-08T00:00:00"/>
    <n v="0"/>
    <n v="0"/>
    <n v="1"/>
    <n v="1"/>
  </r>
  <r>
    <n v="4722"/>
    <n v="33632"/>
    <x v="525"/>
    <x v="14"/>
    <s v="Critical"/>
    <n v="8"/>
    <n v="763.6484999999999"/>
    <n v="0.06"/>
    <s v="Regular Air"/>
    <n v="-277.78300000000002"/>
    <n v="115.99"/>
    <n v="5.26"/>
    <x v="105"/>
    <x v="4"/>
    <x v="4"/>
    <x v="3"/>
    <x v="1"/>
    <x v="3"/>
    <x v="648"/>
    <s v="Small Box"/>
    <n v="0.56999999999999995"/>
    <d v="2010-03-14T00:00:00"/>
    <n v="0"/>
    <n v="0"/>
    <n v="1"/>
    <n v="1"/>
  </r>
  <r>
    <n v="4727"/>
    <n v="33665"/>
    <x v="526"/>
    <x v="10"/>
    <s v="Low"/>
    <n v="45"/>
    <n v="12457.63"/>
    <n v="0.08"/>
    <s v="Delivery Truck"/>
    <n v="1063.46"/>
    <n v="284.98"/>
    <n v="69.55"/>
    <x v="116"/>
    <x v="4"/>
    <x v="4"/>
    <x v="2"/>
    <x v="2"/>
    <x v="14"/>
    <x v="649"/>
    <s v="Jumbo Drum"/>
    <n v="0.6"/>
    <d v="2011-05-30T00:00:00"/>
    <n v="0"/>
    <n v="0"/>
    <n v="1"/>
    <n v="1"/>
  </r>
  <r>
    <n v="4841"/>
    <n v="34434"/>
    <x v="527"/>
    <x v="10"/>
    <s v="Not Specified"/>
    <n v="16"/>
    <n v="32.35"/>
    <n v="0.08"/>
    <s v="Regular Air"/>
    <n v="-63.192500000000003"/>
    <n v="1.8"/>
    <n v="4.79"/>
    <x v="107"/>
    <x v="4"/>
    <x v="4"/>
    <x v="0"/>
    <x v="0"/>
    <x v="2"/>
    <x v="650"/>
    <s v="Small Box"/>
    <n v="0.37"/>
    <d v="2011-05-10T00:00:00"/>
    <n v="0"/>
    <n v="0"/>
    <n v="0.5"/>
    <n v="0.5"/>
  </r>
  <r>
    <n v="4842"/>
    <n v="34434"/>
    <x v="527"/>
    <x v="10"/>
    <s v="Not Specified"/>
    <n v="23"/>
    <n v="116.56"/>
    <n v="0.04"/>
    <s v="Regular Air"/>
    <n v="50.66"/>
    <n v="4.9800000000000004"/>
    <n v="0.49"/>
    <x v="107"/>
    <x v="4"/>
    <x v="4"/>
    <x v="0"/>
    <x v="0"/>
    <x v="11"/>
    <x v="651"/>
    <s v="Small Box"/>
    <n v="0.39"/>
    <d v="2011-05-11T00:00:00"/>
    <n v="0"/>
    <n v="0"/>
    <n v="0.5"/>
    <n v="0.5"/>
  </r>
  <r>
    <n v="4885"/>
    <n v="34753"/>
    <x v="528"/>
    <x v="38"/>
    <s v="Not Specified"/>
    <n v="7"/>
    <n v="117.062"/>
    <n v="0.09"/>
    <s v="Regular Air"/>
    <n v="-63.700999999999993"/>
    <n v="20.99"/>
    <n v="0.99"/>
    <x v="107"/>
    <x v="4"/>
    <x v="4"/>
    <x v="0"/>
    <x v="1"/>
    <x v="3"/>
    <x v="652"/>
    <s v="Wrap Bag"/>
    <n v="0.56999999999999995"/>
    <d v="2010-01-20T00:00:00"/>
    <n v="1"/>
    <n v="0"/>
    <n v="1"/>
    <n v="0.25"/>
  </r>
  <r>
    <n v="4970"/>
    <n v="35364"/>
    <x v="521"/>
    <x v="47"/>
    <s v="Critical"/>
    <n v="16"/>
    <n v="72.08"/>
    <n v="0.04"/>
    <s v="Regular Air"/>
    <n v="-54.75"/>
    <n v="4.28"/>
    <n v="5.68"/>
    <x v="116"/>
    <x v="4"/>
    <x v="4"/>
    <x v="2"/>
    <x v="0"/>
    <x v="5"/>
    <x v="653"/>
    <s v="Small Box"/>
    <n v="0.4"/>
    <d v="2009-12-14T00:00:00"/>
    <n v="0"/>
    <n v="0"/>
    <n v="0.25"/>
    <n v="0.16666666666666666"/>
  </r>
  <r>
    <n v="4971"/>
    <n v="35364"/>
    <x v="521"/>
    <x v="47"/>
    <s v="Critical"/>
    <n v="29"/>
    <n v="10338.93"/>
    <n v="0.06"/>
    <s v="Delivery Truck"/>
    <n v="-871.51499999999999"/>
    <n v="376.13"/>
    <n v="85.63"/>
    <x v="116"/>
    <x v="4"/>
    <x v="4"/>
    <x v="2"/>
    <x v="2"/>
    <x v="10"/>
    <x v="564"/>
    <s v="Jumbo Box"/>
    <n v="0.74"/>
    <d v="2009-12-14T00:00:00"/>
    <n v="0"/>
    <n v="0"/>
    <n v="0.25"/>
    <n v="0.16666666666666666"/>
  </r>
  <r>
    <n v="4972"/>
    <n v="35364"/>
    <x v="521"/>
    <x v="47"/>
    <s v="Critical"/>
    <n v="37"/>
    <n v="15897.01"/>
    <n v="0.06"/>
    <s v="Delivery Truck"/>
    <n v="455.02"/>
    <n v="424.21"/>
    <n v="110.2"/>
    <x v="116"/>
    <x v="4"/>
    <x v="4"/>
    <x v="2"/>
    <x v="2"/>
    <x v="10"/>
    <x v="654"/>
    <s v="Jumbo Box"/>
    <n v="0.67"/>
    <d v="2009-12-13T00:00:00"/>
    <n v="0"/>
    <n v="0"/>
    <n v="0.25"/>
    <n v="0.16666666666666666"/>
  </r>
  <r>
    <n v="4973"/>
    <n v="35364"/>
    <x v="521"/>
    <x v="47"/>
    <s v="Critical"/>
    <n v="8"/>
    <n v="1265.2929999999999"/>
    <n v="0.06"/>
    <s v="Regular Air"/>
    <n v="-554.44400000000007"/>
    <n v="195.99"/>
    <n v="8.99"/>
    <x v="116"/>
    <x v="4"/>
    <x v="4"/>
    <x v="2"/>
    <x v="1"/>
    <x v="3"/>
    <x v="521"/>
    <s v="Small Box"/>
    <n v="0.6"/>
    <d v="2009-12-14T00:00:00"/>
    <n v="0"/>
    <n v="0"/>
    <n v="0.25"/>
    <n v="0.16666666666666666"/>
  </r>
  <r>
    <n v="5019"/>
    <n v="35812"/>
    <x v="529"/>
    <x v="38"/>
    <s v="Critical"/>
    <n v="24"/>
    <n v="2722.85"/>
    <n v="0.08"/>
    <s v="Delivery Truck"/>
    <n v="-112.62"/>
    <n v="113.98"/>
    <n v="30"/>
    <x v="107"/>
    <x v="4"/>
    <x v="4"/>
    <x v="0"/>
    <x v="2"/>
    <x v="14"/>
    <x v="655"/>
    <s v="Jumbo Drum"/>
    <n v="0.69"/>
    <d v="2010-01-24T00:00:00"/>
    <n v="1"/>
    <n v="0"/>
    <n v="0.33333333333333331"/>
    <n v="0.25"/>
  </r>
  <r>
    <n v="5020"/>
    <n v="35812"/>
    <x v="529"/>
    <x v="38"/>
    <s v="Critical"/>
    <n v="2"/>
    <n v="59.93"/>
    <n v="0.09"/>
    <s v="Regular Air"/>
    <n v="-147.81"/>
    <n v="30.73"/>
    <n v="4"/>
    <x v="107"/>
    <x v="4"/>
    <x v="4"/>
    <x v="0"/>
    <x v="1"/>
    <x v="7"/>
    <x v="161"/>
    <s v="Small Box"/>
    <n v="0.75"/>
    <d v="2010-01-24T00:00:00"/>
    <n v="1"/>
    <n v="0"/>
    <n v="0.33333333333333331"/>
    <n v="0.25"/>
  </r>
  <r>
    <n v="5021"/>
    <n v="35812"/>
    <x v="529"/>
    <x v="38"/>
    <s v="Critical"/>
    <n v="19"/>
    <n v="851.52"/>
    <n v="0.08"/>
    <s v="Regular Air"/>
    <n v="307.64"/>
    <n v="47.9"/>
    <n v="5.86"/>
    <x v="107"/>
    <x v="4"/>
    <x v="4"/>
    <x v="0"/>
    <x v="0"/>
    <x v="5"/>
    <x v="656"/>
    <s v="Small Box"/>
    <n v="0.37"/>
    <d v="2010-01-24T00:00:00"/>
    <n v="1"/>
    <n v="0"/>
    <n v="0.33333333333333331"/>
    <n v="0.25"/>
  </r>
  <r>
    <n v="5212"/>
    <n v="37063"/>
    <x v="530"/>
    <x v="45"/>
    <s v="Not Specified"/>
    <n v="50"/>
    <n v="919"/>
    <n v="0"/>
    <s v="Regular Air"/>
    <n v="89.6"/>
    <n v="17.670000000000002"/>
    <n v="8.99"/>
    <x v="105"/>
    <x v="4"/>
    <x v="4"/>
    <x v="3"/>
    <x v="2"/>
    <x v="4"/>
    <x v="594"/>
    <s v="Small Pack"/>
    <n v="0.47"/>
    <d v="2012-12-10T00:00:00"/>
    <n v="0"/>
    <n v="0"/>
    <n v="1"/>
    <n v="1"/>
  </r>
  <r>
    <n v="5238"/>
    <n v="37281"/>
    <x v="531"/>
    <x v="26"/>
    <s v="Medium"/>
    <n v="25"/>
    <n v="453.24549999999999"/>
    <n v="0.05"/>
    <s v="Regular Air"/>
    <n v="3.3120000000000003"/>
    <n v="20.99"/>
    <n v="4.8099999999999996"/>
    <x v="58"/>
    <x v="4"/>
    <x v="4"/>
    <x v="2"/>
    <x v="1"/>
    <x v="3"/>
    <x v="591"/>
    <s v="Medium Box"/>
    <n v="0.57999999999999996"/>
    <d v="2009-08-29T00:00:00"/>
    <n v="0"/>
    <n v="0"/>
    <n v="1"/>
    <n v="1"/>
  </r>
  <r>
    <n v="5315"/>
    <n v="37798"/>
    <x v="532"/>
    <x v="32"/>
    <s v="High"/>
    <n v="23"/>
    <n v="6276.83"/>
    <n v="0.09"/>
    <s v="Delivery Truck"/>
    <n v="813.49"/>
    <n v="291.73"/>
    <n v="48.8"/>
    <x v="111"/>
    <x v="4"/>
    <x v="4"/>
    <x v="1"/>
    <x v="2"/>
    <x v="14"/>
    <x v="250"/>
    <s v="Jumbo Drum"/>
    <n v="0.56000000000000005"/>
    <d v="2012-11-04T00:00:00"/>
    <n v="0"/>
    <n v="0"/>
    <n v="1"/>
    <n v="1"/>
  </r>
  <r>
    <n v="5347"/>
    <n v="38017"/>
    <x v="533"/>
    <x v="42"/>
    <s v="Low"/>
    <n v="26"/>
    <n v="122.51"/>
    <n v="0.06"/>
    <s v="Regular Air"/>
    <n v="45.14"/>
    <n v="4.9800000000000004"/>
    <n v="0.8"/>
    <x v="99"/>
    <x v="4"/>
    <x v="4"/>
    <x v="3"/>
    <x v="0"/>
    <x v="5"/>
    <x v="657"/>
    <s v="Wrap Bag"/>
    <n v="0.36"/>
    <d v="2010-07-24T00:00:00"/>
    <n v="0"/>
    <n v="0"/>
    <n v="0.5"/>
    <n v="0.5"/>
  </r>
  <r>
    <n v="5348"/>
    <n v="38017"/>
    <x v="533"/>
    <x v="42"/>
    <s v="Low"/>
    <n v="27"/>
    <n v="2846.3609999999999"/>
    <n v="0.08"/>
    <s v="Regular Air"/>
    <n v="453.654"/>
    <n v="125.99"/>
    <n v="7.69"/>
    <x v="99"/>
    <x v="4"/>
    <x v="4"/>
    <x v="3"/>
    <x v="1"/>
    <x v="3"/>
    <x v="658"/>
    <s v="Small Box"/>
    <n v="0.59"/>
    <d v="2010-07-27T00:00:00"/>
    <n v="0"/>
    <n v="0"/>
    <n v="0.5"/>
    <n v="0.5"/>
  </r>
  <r>
    <n v="5380"/>
    <n v="38272"/>
    <x v="534"/>
    <x v="27"/>
    <s v="Critical"/>
    <n v="39"/>
    <n v="71.040000000000006"/>
    <n v="7.0000000000000007E-2"/>
    <s v="Regular Air"/>
    <n v="-20.654"/>
    <n v="1.88"/>
    <n v="1.49"/>
    <x v="114"/>
    <x v="4"/>
    <x v="4"/>
    <x v="2"/>
    <x v="0"/>
    <x v="2"/>
    <x v="74"/>
    <s v="Small Box"/>
    <n v="0.37"/>
    <d v="2011-11-17T00:00:00"/>
    <n v="0"/>
    <n v="0"/>
    <n v="1"/>
    <n v="0.2"/>
  </r>
  <r>
    <n v="5551"/>
    <n v="39301"/>
    <x v="436"/>
    <x v="28"/>
    <s v="Medium"/>
    <n v="16"/>
    <n v="2232.66"/>
    <n v="0.1"/>
    <s v="Express Air"/>
    <n v="-521.09"/>
    <n v="152.47999999999999"/>
    <n v="4"/>
    <x v="108"/>
    <x v="4"/>
    <x v="4"/>
    <x v="2"/>
    <x v="1"/>
    <x v="7"/>
    <x v="659"/>
    <s v="Small Box"/>
    <n v="0.79"/>
    <d v="2009-03-23T00:00:00"/>
    <n v="0"/>
    <n v="0"/>
    <n v="0.5"/>
    <n v="0.5"/>
  </r>
  <r>
    <n v="5562"/>
    <n v="39367"/>
    <x v="465"/>
    <x v="26"/>
    <s v="Critical"/>
    <n v="45"/>
    <n v="177.88"/>
    <n v="7.0000000000000007E-2"/>
    <s v="Regular Air"/>
    <n v="-146.97"/>
    <n v="4.13"/>
    <n v="5.04"/>
    <x v="112"/>
    <x v="4"/>
    <x v="4"/>
    <x v="0"/>
    <x v="0"/>
    <x v="2"/>
    <x v="309"/>
    <s v="Small Box"/>
    <n v="0.38"/>
    <d v="2009-08-07T00:00:00"/>
    <n v="0"/>
    <n v="0"/>
    <n v="0.5"/>
    <n v="0.5"/>
  </r>
  <r>
    <n v="5563"/>
    <n v="39367"/>
    <x v="465"/>
    <x v="26"/>
    <s v="Critical"/>
    <n v="30"/>
    <n v="139.59"/>
    <n v="0"/>
    <s v="Regular Air"/>
    <n v="5.9"/>
    <n v="4.4800000000000004"/>
    <n v="2.5"/>
    <x v="112"/>
    <x v="4"/>
    <x v="4"/>
    <x v="0"/>
    <x v="0"/>
    <x v="8"/>
    <x v="660"/>
    <s v="Small Box"/>
    <n v="0.37"/>
    <d v="2009-08-08T00:00:00"/>
    <n v="0"/>
    <n v="0"/>
    <n v="0.5"/>
    <n v="0.5"/>
  </r>
  <r>
    <n v="5596"/>
    <n v="39655"/>
    <x v="75"/>
    <x v="33"/>
    <s v="High"/>
    <n v="35"/>
    <n v="253.15"/>
    <n v="0.03"/>
    <s v="Regular Air"/>
    <n v="-72.430000000000007"/>
    <n v="7.28"/>
    <n v="3.52"/>
    <x v="58"/>
    <x v="4"/>
    <x v="4"/>
    <x v="2"/>
    <x v="1"/>
    <x v="7"/>
    <x v="570"/>
    <s v="Small Pack"/>
    <n v="0.68"/>
    <d v="2012-03-23T00:00:00"/>
    <n v="0"/>
    <n v="0"/>
    <n v="1"/>
    <n v="1"/>
  </r>
  <r>
    <n v="5744"/>
    <n v="40803"/>
    <x v="535"/>
    <x v="37"/>
    <s v="Low"/>
    <n v="22"/>
    <n v="83.02"/>
    <n v="0.08"/>
    <s v="Regular Air"/>
    <n v="9.2394999999999996"/>
    <n v="3.8"/>
    <n v="1.49"/>
    <x v="115"/>
    <x v="4"/>
    <x v="4"/>
    <x v="0"/>
    <x v="0"/>
    <x v="2"/>
    <x v="160"/>
    <s v="Small Box"/>
    <n v="0.38"/>
    <d v="2011-04-18T00:00:00"/>
    <n v="0"/>
    <n v="0"/>
    <n v="0.5"/>
    <n v="0.33333333333333331"/>
  </r>
  <r>
    <n v="5745"/>
    <n v="40803"/>
    <x v="535"/>
    <x v="37"/>
    <s v="Low"/>
    <n v="35"/>
    <n v="10278.790000000001"/>
    <n v="0.04"/>
    <s v="Delivery Truck"/>
    <n v="1512.07"/>
    <n v="300.98"/>
    <n v="64.73"/>
    <x v="115"/>
    <x v="4"/>
    <x v="4"/>
    <x v="0"/>
    <x v="2"/>
    <x v="14"/>
    <x v="70"/>
    <s v="Jumbo Drum"/>
    <n v="0.56000000000000005"/>
    <d v="2011-04-15T00:00:00"/>
    <n v="0"/>
    <n v="0"/>
    <n v="0.5"/>
    <n v="0.33333333333333331"/>
  </r>
  <r>
    <n v="5747"/>
    <n v="40806"/>
    <x v="536"/>
    <x v="31"/>
    <s v="Critical"/>
    <n v="8"/>
    <n v="53.14"/>
    <n v="0"/>
    <s v="Regular Air"/>
    <n v="-41.262"/>
    <n v="5.4"/>
    <n v="7.78"/>
    <x v="107"/>
    <x v="4"/>
    <x v="4"/>
    <x v="0"/>
    <x v="0"/>
    <x v="2"/>
    <x v="212"/>
    <s v="Small Box"/>
    <n v="0.37"/>
    <d v="2011-09-07T00:00:00"/>
    <n v="0"/>
    <n v="0"/>
    <n v="1"/>
    <n v="1"/>
  </r>
  <r>
    <n v="6147"/>
    <n v="43523"/>
    <x v="537"/>
    <x v="20"/>
    <s v="Medium"/>
    <n v="50"/>
    <n v="295.37"/>
    <n v="0.04"/>
    <s v="Regular Air"/>
    <n v="-97.23"/>
    <n v="5.98"/>
    <n v="5.46"/>
    <x v="106"/>
    <x v="4"/>
    <x v="4"/>
    <x v="0"/>
    <x v="0"/>
    <x v="5"/>
    <x v="584"/>
    <s v="Small Box"/>
    <n v="0.36"/>
    <d v="2012-05-25T00:00:00"/>
    <n v="0"/>
    <n v="0"/>
    <n v="1"/>
    <n v="1"/>
  </r>
  <r>
    <n v="6239"/>
    <n v="44199"/>
    <x v="498"/>
    <x v="33"/>
    <s v="Low"/>
    <n v="12"/>
    <n v="50.69"/>
    <n v="0.04"/>
    <s v="Regular Air"/>
    <n v="-6.33"/>
    <n v="3.95"/>
    <n v="2"/>
    <x v="99"/>
    <x v="4"/>
    <x v="4"/>
    <x v="3"/>
    <x v="0"/>
    <x v="6"/>
    <x v="11"/>
    <s v="Wrap Bag"/>
    <n v="0.53"/>
    <d v="2012-03-08T00:00:00"/>
    <n v="0"/>
    <n v="0"/>
    <n v="1"/>
    <n v="1"/>
  </r>
  <r>
    <n v="6243"/>
    <n v="44231"/>
    <x v="402"/>
    <x v="11"/>
    <s v="Not Specified"/>
    <n v="11"/>
    <n v="1865.94"/>
    <n v="0.04"/>
    <s v="Delivery Truck"/>
    <n v="116.1"/>
    <n v="160.97999999999999"/>
    <n v="30"/>
    <x v="105"/>
    <x v="4"/>
    <x v="4"/>
    <x v="3"/>
    <x v="2"/>
    <x v="14"/>
    <x v="580"/>
    <s v="Jumbo Drum"/>
    <n v="0.62"/>
    <d v="2009-11-05T00:00:00"/>
    <n v="0"/>
    <n v="0"/>
    <n v="0.33333333333333331"/>
    <n v="0.33333333333333331"/>
  </r>
  <r>
    <n v="6244"/>
    <n v="44231"/>
    <x v="402"/>
    <x v="11"/>
    <s v="Not Specified"/>
    <n v="43"/>
    <n v="784.72"/>
    <n v="0.01"/>
    <s v="Regular Air"/>
    <n v="-87.96"/>
    <n v="17.98"/>
    <n v="4"/>
    <x v="105"/>
    <x v="4"/>
    <x v="4"/>
    <x v="3"/>
    <x v="1"/>
    <x v="7"/>
    <x v="661"/>
    <s v="Small Box"/>
    <n v="0.79"/>
    <d v="2009-11-05T00:00:00"/>
    <n v="0"/>
    <n v="0"/>
    <n v="0.33333333333333331"/>
    <n v="0.33333333333333331"/>
  </r>
  <r>
    <n v="6245"/>
    <n v="44231"/>
    <x v="402"/>
    <x v="11"/>
    <s v="Not Specified"/>
    <n v="24"/>
    <n v="2343.076"/>
    <n v="0.06"/>
    <s v="Regular Air"/>
    <n v="311.64299999999997"/>
    <n v="115.99"/>
    <n v="8.99"/>
    <x v="105"/>
    <x v="4"/>
    <x v="4"/>
    <x v="3"/>
    <x v="1"/>
    <x v="3"/>
    <x v="662"/>
    <s v="Small Box"/>
    <n v="0.57999999999999996"/>
    <d v="2009-11-04T00:00:00"/>
    <n v="0"/>
    <n v="0"/>
    <n v="0.33333333333333331"/>
    <n v="0.33333333333333331"/>
  </r>
  <r>
    <n v="6415"/>
    <n v="45573"/>
    <x v="38"/>
    <x v="26"/>
    <s v="High"/>
    <n v="5"/>
    <n v="627.64"/>
    <n v="0.05"/>
    <s v="Delivery Truck"/>
    <n v="-151.46"/>
    <n v="120.98"/>
    <n v="30"/>
    <x v="102"/>
    <x v="4"/>
    <x v="4"/>
    <x v="0"/>
    <x v="2"/>
    <x v="14"/>
    <x v="36"/>
    <s v="Jumbo Drum"/>
    <n v="0.64"/>
    <d v="2009-08-14T00:00:00"/>
    <n v="0"/>
    <n v="0"/>
    <n v="1"/>
    <n v="1"/>
  </r>
  <r>
    <n v="6438"/>
    <n v="45763"/>
    <x v="538"/>
    <x v="42"/>
    <s v="High"/>
    <n v="25"/>
    <n v="67.45"/>
    <n v="0.05"/>
    <s v="Regular Air"/>
    <n v="24.28"/>
    <n v="2.61"/>
    <n v="0.5"/>
    <x v="116"/>
    <x v="4"/>
    <x v="4"/>
    <x v="2"/>
    <x v="0"/>
    <x v="11"/>
    <x v="281"/>
    <s v="Small Box"/>
    <n v="0.39"/>
    <d v="2010-07-08T00:00:00"/>
    <n v="0"/>
    <n v="0"/>
    <n v="1"/>
    <n v="1"/>
  </r>
  <r>
    <n v="6761"/>
    <n v="48165"/>
    <x v="467"/>
    <x v="7"/>
    <s v="High"/>
    <n v="28"/>
    <n v="199.94"/>
    <n v="0.01"/>
    <s v="Regular Air"/>
    <n v="-147.27000000000001"/>
    <n v="6.48"/>
    <n v="9.5399999999999991"/>
    <x v="112"/>
    <x v="4"/>
    <x v="4"/>
    <x v="0"/>
    <x v="0"/>
    <x v="5"/>
    <x v="390"/>
    <s v="Small Box"/>
    <n v="0.37"/>
    <d v="2010-11-07T00:00:00"/>
    <n v="0"/>
    <n v="0"/>
    <n v="1"/>
    <n v="1"/>
  </r>
  <r>
    <n v="6769"/>
    <n v="48197"/>
    <x v="409"/>
    <x v="20"/>
    <s v="Not Specified"/>
    <n v="32"/>
    <n v="1282.49"/>
    <n v="7.0000000000000007E-2"/>
    <s v="Regular Air"/>
    <n v="154.74"/>
    <n v="40.97"/>
    <n v="14.45"/>
    <x v="103"/>
    <x v="4"/>
    <x v="4"/>
    <x v="1"/>
    <x v="2"/>
    <x v="4"/>
    <x v="194"/>
    <s v="Large Box"/>
    <n v="0.56999999999999995"/>
    <d v="2012-05-07T00:00:00"/>
    <n v="0"/>
    <n v="0"/>
    <n v="1"/>
    <n v="1"/>
  </r>
  <r>
    <n v="6808"/>
    <n v="48484"/>
    <x v="539"/>
    <x v="30"/>
    <s v="Medium"/>
    <n v="22"/>
    <n v="346.42"/>
    <n v="0.05"/>
    <s v="Regular Air"/>
    <n v="67.959999999999994"/>
    <n v="16.48"/>
    <n v="1.99"/>
    <x v="107"/>
    <x v="4"/>
    <x v="4"/>
    <x v="0"/>
    <x v="1"/>
    <x v="7"/>
    <x v="663"/>
    <s v="Small Pack"/>
    <n v="0.42"/>
    <d v="2010-06-24T00:00:00"/>
    <n v="0"/>
    <n v="0"/>
    <n v="0.25"/>
    <n v="0.25"/>
  </r>
  <r>
    <n v="6809"/>
    <n v="48484"/>
    <x v="539"/>
    <x v="30"/>
    <s v="Medium"/>
    <n v="41"/>
    <n v="773.44"/>
    <n v="0.08"/>
    <s v="Express Air"/>
    <n v="133.83000000000001"/>
    <n v="20.239999999999998"/>
    <n v="6.67"/>
    <x v="107"/>
    <x v="4"/>
    <x v="4"/>
    <x v="0"/>
    <x v="2"/>
    <x v="4"/>
    <x v="302"/>
    <s v="Small Pack"/>
    <n v="0.49"/>
    <d v="2010-06-24T00:00:00"/>
    <n v="0"/>
    <n v="0"/>
    <n v="0.25"/>
    <n v="0.25"/>
  </r>
  <r>
    <n v="6810"/>
    <n v="48484"/>
    <x v="539"/>
    <x v="30"/>
    <s v="Medium"/>
    <n v="43"/>
    <n v="881.84"/>
    <n v="0"/>
    <s v="Regular Air"/>
    <n v="153.80000000000001"/>
    <n v="18.97"/>
    <n v="9.0299999999999994"/>
    <x v="107"/>
    <x v="4"/>
    <x v="4"/>
    <x v="0"/>
    <x v="0"/>
    <x v="5"/>
    <x v="40"/>
    <s v="Small Box"/>
    <n v="0.37"/>
    <d v="2010-06-25T00:00:00"/>
    <n v="0"/>
    <n v="0"/>
    <n v="0.25"/>
    <n v="0.25"/>
  </r>
  <r>
    <n v="6811"/>
    <n v="48484"/>
    <x v="539"/>
    <x v="30"/>
    <s v="Medium"/>
    <n v="50"/>
    <n v="5067.5725000000002"/>
    <n v="0.09"/>
    <s v="Regular Air"/>
    <n v="1275.912"/>
    <n v="125.99"/>
    <n v="8.99"/>
    <x v="107"/>
    <x v="4"/>
    <x v="4"/>
    <x v="0"/>
    <x v="1"/>
    <x v="3"/>
    <x v="664"/>
    <s v="Small Box"/>
    <n v="0.55000000000000004"/>
    <d v="2010-06-25T00:00:00"/>
    <n v="0"/>
    <n v="0"/>
    <n v="0.25"/>
    <n v="0.25"/>
  </r>
  <r>
    <n v="6893"/>
    <n v="49153"/>
    <x v="444"/>
    <x v="29"/>
    <s v="Medium"/>
    <n v="31"/>
    <n v="2245.7800000000002"/>
    <n v="0.05"/>
    <s v="Delivery Truck"/>
    <n v="-432.46"/>
    <n v="70.98"/>
    <n v="30"/>
    <x v="107"/>
    <x v="4"/>
    <x v="4"/>
    <x v="0"/>
    <x v="2"/>
    <x v="14"/>
    <x v="665"/>
    <s v="Jumbo Drum"/>
    <n v="0.73"/>
    <d v="2012-07-28T00:00:00"/>
    <n v="0"/>
    <n v="0"/>
    <n v="1"/>
    <n v="1"/>
  </r>
  <r>
    <n v="6926"/>
    <n v="49412"/>
    <x v="540"/>
    <x v="28"/>
    <s v="Critical"/>
    <n v="20"/>
    <n v="9418.14"/>
    <n v="0.09"/>
    <s v="Delivery Truck"/>
    <n v="909.36"/>
    <n v="517.48"/>
    <n v="16.63"/>
    <x v="112"/>
    <x v="4"/>
    <x v="4"/>
    <x v="0"/>
    <x v="1"/>
    <x v="16"/>
    <x v="666"/>
    <s v="Jumbo Box"/>
    <n v="0.59"/>
    <d v="2009-03-07T00:00:00"/>
    <n v="0"/>
    <n v="0"/>
    <n v="1"/>
    <n v="1"/>
  </r>
  <r>
    <n v="6958"/>
    <n v="49761"/>
    <x v="541"/>
    <x v="16"/>
    <s v="Not Specified"/>
    <n v="45"/>
    <n v="1090.5999999999999"/>
    <n v="7.0000000000000007E-2"/>
    <s v="Regular Air"/>
    <n v="300.91000000000003"/>
    <n v="23.99"/>
    <n v="6.3"/>
    <x v="116"/>
    <x v="4"/>
    <x v="4"/>
    <x v="2"/>
    <x v="1"/>
    <x v="16"/>
    <x v="450"/>
    <s v="Medium Box"/>
    <n v="0.38"/>
    <d v="2011-01-25T00:00:00"/>
    <n v="0"/>
    <n v="0"/>
    <n v="1"/>
    <n v="1"/>
  </r>
  <r>
    <n v="7051"/>
    <n v="50310"/>
    <x v="204"/>
    <x v="26"/>
    <s v="Medium"/>
    <n v="42"/>
    <n v="1811.3"/>
    <n v="7.0000000000000007E-2"/>
    <s v="Express Air"/>
    <n v="520.41"/>
    <n v="42.98"/>
    <n v="4.62"/>
    <x v="114"/>
    <x v="4"/>
    <x v="4"/>
    <x v="2"/>
    <x v="0"/>
    <x v="1"/>
    <x v="667"/>
    <s v="Small Box"/>
    <n v="0.56000000000000005"/>
    <d v="2009-08-17T00:00:00"/>
    <n v="0"/>
    <n v="0"/>
    <n v="0.33333333333333331"/>
    <n v="0.33333333333333331"/>
  </r>
  <r>
    <n v="7052"/>
    <n v="50310"/>
    <x v="204"/>
    <x v="26"/>
    <s v="Medium"/>
    <n v="43"/>
    <n v="4095.76"/>
    <n v="0.03"/>
    <s v="Delivery Truck"/>
    <n v="-444.14"/>
    <n v="89.99"/>
    <n v="42"/>
    <x v="114"/>
    <x v="4"/>
    <x v="4"/>
    <x v="2"/>
    <x v="2"/>
    <x v="14"/>
    <x v="668"/>
    <s v="Jumbo Drum"/>
    <n v="0.66"/>
    <d v="2009-08-18T00:00:00"/>
    <n v="0"/>
    <n v="0"/>
    <n v="0.33333333333333331"/>
    <n v="0.33333333333333331"/>
  </r>
  <r>
    <n v="7053"/>
    <n v="50310"/>
    <x v="204"/>
    <x v="26"/>
    <s v="Medium"/>
    <n v="22"/>
    <n v="482.37"/>
    <n v="0.03"/>
    <s v="Regular Air"/>
    <n v="34.03"/>
    <n v="20.95"/>
    <n v="4"/>
    <x v="114"/>
    <x v="4"/>
    <x v="4"/>
    <x v="2"/>
    <x v="1"/>
    <x v="7"/>
    <x v="124"/>
    <s v="Small Box"/>
    <n v="0.6"/>
    <d v="2009-08-17T00:00:00"/>
    <n v="0"/>
    <n v="0"/>
    <n v="0.33333333333333331"/>
    <n v="0.33333333333333331"/>
  </r>
  <r>
    <n v="7158"/>
    <n v="51072"/>
    <x v="340"/>
    <x v="19"/>
    <s v="Critical"/>
    <n v="43"/>
    <n v="7036.11"/>
    <n v="0"/>
    <s v="Regular Air"/>
    <n v="1268.6500000000001"/>
    <n v="161.55000000000001"/>
    <n v="19.989999999999998"/>
    <x v="106"/>
    <x v="4"/>
    <x v="4"/>
    <x v="0"/>
    <x v="0"/>
    <x v="0"/>
    <x v="533"/>
    <s v="Small Box"/>
    <n v="0.66"/>
    <d v="2009-10-04T00:00:00"/>
    <n v="0"/>
    <n v="0"/>
    <n v="1"/>
    <n v="1"/>
  </r>
  <r>
    <n v="7242"/>
    <n v="51648"/>
    <x v="542"/>
    <x v="23"/>
    <s v="Low"/>
    <n v="45"/>
    <n v="2354.8000000000002"/>
    <n v="0.03"/>
    <s v="Regular Air"/>
    <n v="332.97"/>
    <n v="49.99"/>
    <n v="19.989999999999998"/>
    <x v="58"/>
    <x v="4"/>
    <x v="4"/>
    <x v="2"/>
    <x v="1"/>
    <x v="7"/>
    <x v="446"/>
    <s v="Small Box"/>
    <n v="0.41"/>
    <d v="2012-01-08T00:00:00"/>
    <n v="0"/>
    <n v="0"/>
    <n v="0.5"/>
    <n v="0.33333333333333331"/>
  </r>
  <r>
    <n v="7243"/>
    <n v="51648"/>
    <x v="542"/>
    <x v="23"/>
    <s v="Low"/>
    <n v="50"/>
    <n v="187.88"/>
    <n v="0.08"/>
    <s v="Regular Air"/>
    <n v="-38.229999999999997"/>
    <n v="3.98"/>
    <n v="2.97"/>
    <x v="58"/>
    <x v="4"/>
    <x v="4"/>
    <x v="2"/>
    <x v="0"/>
    <x v="5"/>
    <x v="48"/>
    <s v="Wrap Bag"/>
    <n v="0.35"/>
    <d v="2012-01-06T00:00:00"/>
    <n v="0"/>
    <n v="0"/>
    <n v="0.5"/>
    <n v="0.33333333333333331"/>
  </r>
  <r>
    <n v="7298"/>
    <n v="52035"/>
    <x v="543"/>
    <x v="11"/>
    <s v="High"/>
    <n v="29"/>
    <n v="20872.16"/>
    <n v="0.03"/>
    <s v="Regular Air"/>
    <n v="-4437.91"/>
    <n v="699.99"/>
    <n v="24.49"/>
    <x v="58"/>
    <x v="4"/>
    <x v="4"/>
    <x v="2"/>
    <x v="1"/>
    <x v="13"/>
    <x v="286"/>
    <s v="Large Box"/>
    <n v="0.41"/>
    <d v="2009-11-30T00:00:00"/>
    <n v="0"/>
    <n v="0"/>
    <n v="1"/>
    <n v="0.25"/>
  </r>
  <r>
    <n v="7348"/>
    <n v="52326"/>
    <x v="136"/>
    <x v="3"/>
    <s v="Low"/>
    <n v="41"/>
    <n v="152.28"/>
    <n v="0.06"/>
    <s v="Regular Air"/>
    <n v="-154.81300000000002"/>
    <n v="3.81"/>
    <n v="5.44"/>
    <x v="112"/>
    <x v="4"/>
    <x v="4"/>
    <x v="1"/>
    <x v="0"/>
    <x v="2"/>
    <x v="415"/>
    <s v="Small Box"/>
    <n v="0.36"/>
    <d v="2010-08-08T00:00:00"/>
    <n v="0"/>
    <n v="0"/>
    <n v="1"/>
    <n v="1"/>
  </r>
  <r>
    <n v="7400"/>
    <n v="52737"/>
    <x v="18"/>
    <x v="7"/>
    <s v="Not Specified"/>
    <n v="14"/>
    <n v="125.54"/>
    <n v="0.03"/>
    <s v="Express Air"/>
    <n v="-15.743499999999999"/>
    <n v="7.68"/>
    <n v="6.16"/>
    <x v="105"/>
    <x v="4"/>
    <x v="4"/>
    <x v="3"/>
    <x v="0"/>
    <x v="2"/>
    <x v="669"/>
    <s v="Small Box"/>
    <n v="0.35"/>
    <d v="2010-11-09T00:00:00"/>
    <n v="0"/>
    <n v="0"/>
    <n v="1"/>
    <n v="1"/>
  </r>
  <r>
    <n v="7458"/>
    <n v="53216"/>
    <x v="544"/>
    <x v="45"/>
    <s v="High"/>
    <n v="36"/>
    <n v="228.01"/>
    <n v="0.06"/>
    <s v="Regular Air"/>
    <n v="-185.54"/>
    <n v="6.48"/>
    <n v="8.73"/>
    <x v="58"/>
    <x v="4"/>
    <x v="4"/>
    <x v="2"/>
    <x v="0"/>
    <x v="5"/>
    <x v="645"/>
    <s v="Small Box"/>
    <n v="0.37"/>
    <d v="2012-12-07T00:00:00"/>
    <n v="0"/>
    <n v="0"/>
    <n v="1"/>
    <n v="1"/>
  </r>
  <r>
    <n v="7558"/>
    <n v="54081"/>
    <x v="396"/>
    <x v="5"/>
    <s v="Low"/>
    <n v="2"/>
    <n v="57.5"/>
    <n v="0.02"/>
    <s v="Regular Air"/>
    <n v="-83.18"/>
    <n v="28.48"/>
    <n v="1.99"/>
    <x v="99"/>
    <x v="4"/>
    <x v="4"/>
    <x v="3"/>
    <x v="1"/>
    <x v="7"/>
    <x v="395"/>
    <s v="Small Pack"/>
    <n v="0.4"/>
    <d v="2011-03-12T00:00:00"/>
    <n v="0"/>
    <n v="0"/>
    <n v="1"/>
    <n v="1"/>
  </r>
  <r>
    <n v="7624"/>
    <n v="54560"/>
    <x v="83"/>
    <x v="36"/>
    <s v="Critical"/>
    <n v="22"/>
    <n v="604.38"/>
    <n v="0.09"/>
    <s v="Regular Air"/>
    <n v="167.58"/>
    <n v="28.48"/>
    <n v="1.99"/>
    <x v="107"/>
    <x v="4"/>
    <x v="4"/>
    <x v="0"/>
    <x v="1"/>
    <x v="7"/>
    <x v="395"/>
    <s v="Small Pack"/>
    <n v="0.4"/>
    <d v="2009-07-19T00:00:00"/>
    <n v="0"/>
    <n v="0"/>
    <n v="0.5"/>
    <n v="0.5"/>
  </r>
  <r>
    <n v="7625"/>
    <n v="54560"/>
    <x v="83"/>
    <x v="36"/>
    <s v="Critical"/>
    <n v="45"/>
    <n v="2404.5990000000002"/>
    <n v="0.08"/>
    <s v="Express Air"/>
    <n v="496.89"/>
    <n v="65.989999999999995"/>
    <n v="4.99"/>
    <x v="107"/>
    <x v="4"/>
    <x v="4"/>
    <x v="0"/>
    <x v="1"/>
    <x v="3"/>
    <x v="670"/>
    <s v="Small Box"/>
    <n v="0.57999999999999996"/>
    <d v="2009-07-18T00:00:00"/>
    <n v="0"/>
    <n v="0"/>
    <n v="0.5"/>
    <n v="0.5"/>
  </r>
  <r>
    <n v="7662"/>
    <n v="54947"/>
    <x v="545"/>
    <x v="40"/>
    <s v="Not Specified"/>
    <n v="27"/>
    <n v="132.36000000000001"/>
    <n v="0.05"/>
    <s v="Regular Air"/>
    <n v="-98.35"/>
    <n v="4.9800000000000004"/>
    <n v="4.62"/>
    <x v="117"/>
    <x v="4"/>
    <x v="4"/>
    <x v="1"/>
    <x v="1"/>
    <x v="7"/>
    <x v="278"/>
    <s v="Small Pack"/>
    <n v="0.64"/>
    <d v="2009-02-23T00:00:00"/>
    <n v="0"/>
    <n v="0"/>
    <n v="0.5"/>
    <n v="0.5"/>
  </r>
  <r>
    <n v="7663"/>
    <n v="54947"/>
    <x v="545"/>
    <x v="40"/>
    <s v="Not Specified"/>
    <n v="42"/>
    <n v="1498.46"/>
    <n v="0.02"/>
    <s v="Regular Air"/>
    <n v="565.37"/>
    <n v="34.229999999999997"/>
    <n v="5.0199999999999996"/>
    <x v="117"/>
    <x v="4"/>
    <x v="4"/>
    <x v="1"/>
    <x v="2"/>
    <x v="4"/>
    <x v="671"/>
    <s v="Small Box"/>
    <n v="0.55000000000000004"/>
    <d v="2009-02-24T00:00:00"/>
    <n v="0"/>
    <n v="0"/>
    <n v="0.5"/>
    <n v="0.5"/>
  </r>
  <r>
    <n v="7694"/>
    <n v="55170"/>
    <x v="546"/>
    <x v="34"/>
    <s v="Critical"/>
    <n v="22"/>
    <n v="985.29"/>
    <n v="0.04"/>
    <s v="Express Air"/>
    <n v="138.37"/>
    <n v="43.98"/>
    <n v="8.99"/>
    <x v="112"/>
    <x v="4"/>
    <x v="4"/>
    <x v="0"/>
    <x v="0"/>
    <x v="12"/>
    <x v="672"/>
    <s v="Small Pack"/>
    <n v="0.57999999999999996"/>
    <d v="2012-09-23T00:00:00"/>
    <n v="0"/>
    <n v="0"/>
    <n v="1"/>
    <n v="1"/>
  </r>
  <r>
    <n v="7796"/>
    <n v="55777"/>
    <x v="547"/>
    <x v="32"/>
    <s v="Not Specified"/>
    <n v="6"/>
    <n v="323.52999999999997"/>
    <n v="0.06"/>
    <s v="Regular Air"/>
    <n v="136.32"/>
    <n v="51.75"/>
    <n v="19.989999999999998"/>
    <x v="58"/>
    <x v="4"/>
    <x v="4"/>
    <x v="2"/>
    <x v="2"/>
    <x v="4"/>
    <x v="178"/>
    <s v="Small Box"/>
    <n v="0.55000000000000004"/>
    <d v="2012-11-11T00:00:00"/>
    <n v="0"/>
    <n v="0"/>
    <n v="0.5"/>
    <n v="0.5"/>
  </r>
  <r>
    <n v="7797"/>
    <n v="55777"/>
    <x v="547"/>
    <x v="32"/>
    <s v="Not Specified"/>
    <n v="1"/>
    <n v="65.747500000000002"/>
    <n v="0.1"/>
    <s v="Express Air"/>
    <n v="-252.483"/>
    <n v="65.989999999999995"/>
    <n v="3.99"/>
    <x v="58"/>
    <x v="4"/>
    <x v="4"/>
    <x v="2"/>
    <x v="1"/>
    <x v="3"/>
    <x v="440"/>
    <s v="Small Box"/>
    <n v="0.59"/>
    <d v="2012-11-12T00:00:00"/>
    <n v="0"/>
    <n v="0"/>
    <n v="0.5"/>
    <n v="0.5"/>
  </r>
  <r>
    <n v="7830"/>
    <n v="56001"/>
    <x v="68"/>
    <x v="24"/>
    <s v="Low"/>
    <n v="17"/>
    <n v="118.36"/>
    <n v="0.08"/>
    <s v="Express Air"/>
    <n v="-60.65"/>
    <n v="6.48"/>
    <n v="7.37"/>
    <x v="105"/>
    <x v="4"/>
    <x v="4"/>
    <x v="3"/>
    <x v="0"/>
    <x v="5"/>
    <x v="673"/>
    <s v="Small Box"/>
    <n v="0.37"/>
    <d v="2010-04-16T00:00:00"/>
    <n v="0"/>
    <n v="0"/>
    <n v="1"/>
    <n v="1"/>
  </r>
  <r>
    <n v="7921"/>
    <n v="56640"/>
    <x v="249"/>
    <x v="21"/>
    <s v="High"/>
    <n v="2"/>
    <n v="29.31"/>
    <n v="0"/>
    <s v="Regular Air"/>
    <n v="-12.78"/>
    <n v="11.48"/>
    <n v="5.43"/>
    <x v="103"/>
    <x v="4"/>
    <x v="4"/>
    <x v="2"/>
    <x v="0"/>
    <x v="5"/>
    <x v="56"/>
    <s v="Small Box"/>
    <n v="0.36"/>
    <d v="2011-08-26T00:00:00"/>
    <n v="0"/>
    <n v="0"/>
    <n v="0.5"/>
    <n v="0.5"/>
  </r>
  <r>
    <n v="7922"/>
    <n v="56640"/>
    <x v="249"/>
    <x v="21"/>
    <s v="High"/>
    <n v="11"/>
    <n v="80.260000000000005"/>
    <n v="0.06"/>
    <s v="Regular Air"/>
    <n v="-22.55"/>
    <n v="6.68"/>
    <n v="5.66"/>
    <x v="103"/>
    <x v="4"/>
    <x v="4"/>
    <x v="2"/>
    <x v="0"/>
    <x v="5"/>
    <x v="674"/>
    <s v="Small Box"/>
    <n v="0.37"/>
    <d v="2011-08-26T00:00:00"/>
    <n v="0"/>
    <n v="0"/>
    <n v="0.5"/>
    <n v="0.5"/>
  </r>
  <r>
    <n v="8313"/>
    <n v="59393"/>
    <x v="548"/>
    <x v="7"/>
    <s v="Medium"/>
    <n v="34"/>
    <n v="398.76"/>
    <n v="7.0000000000000007E-2"/>
    <s v="Regular Air"/>
    <n v="0.82"/>
    <n v="11.58"/>
    <n v="6.97"/>
    <x v="99"/>
    <x v="4"/>
    <x v="4"/>
    <x v="3"/>
    <x v="0"/>
    <x v="8"/>
    <x v="188"/>
    <s v="Small Box"/>
    <n v="0.35"/>
    <d v="2010-11-21T00:00:00"/>
    <n v="0"/>
    <n v="0"/>
    <n v="1"/>
    <n v="1"/>
  </r>
  <r>
    <n v="8357"/>
    <n v="59712"/>
    <x v="481"/>
    <x v="30"/>
    <s v="Critical"/>
    <n v="25"/>
    <n v="67.58"/>
    <n v="0.09"/>
    <s v="Express Air"/>
    <n v="16.8"/>
    <n v="2.62"/>
    <n v="0.8"/>
    <x v="102"/>
    <x v="4"/>
    <x v="4"/>
    <x v="0"/>
    <x v="0"/>
    <x v="6"/>
    <x v="675"/>
    <s v="Wrap Bag"/>
    <n v="0.39"/>
    <d v="2010-06-17T00:00:00"/>
    <n v="0"/>
    <n v="0"/>
    <n v="1"/>
    <n v="0.5"/>
  </r>
  <r>
    <n v="8382"/>
    <n v="59905"/>
    <x v="381"/>
    <x v="13"/>
    <s v="High"/>
    <n v="19"/>
    <n v="159.24"/>
    <n v="0.09"/>
    <s v="Regular Air"/>
    <n v="8.3000000000000007"/>
    <n v="8.5"/>
    <n v="1.99"/>
    <x v="118"/>
    <x v="4"/>
    <x v="4"/>
    <x v="0"/>
    <x v="1"/>
    <x v="7"/>
    <x v="676"/>
    <s v="Small Pack"/>
    <n v="0.49"/>
    <d v="2012-04-16T00:00:00"/>
    <n v="0"/>
    <n v="0"/>
    <n v="0.33333333333333331"/>
    <n v="0.33333333333333331"/>
  </r>
  <r>
    <n v="8383"/>
    <n v="59905"/>
    <x v="381"/>
    <x v="13"/>
    <s v="High"/>
    <n v="6"/>
    <n v="48.77"/>
    <n v="0"/>
    <s v="Regular Air"/>
    <n v="5.95"/>
    <n v="7.4"/>
    <n v="1.71"/>
    <x v="118"/>
    <x v="4"/>
    <x v="4"/>
    <x v="0"/>
    <x v="0"/>
    <x v="5"/>
    <x v="677"/>
    <s v="Wrap Bag"/>
    <n v="0.4"/>
    <d v="2012-04-16T00:00:00"/>
    <n v="0"/>
    <n v="0"/>
    <n v="0.33333333333333331"/>
    <n v="0.33333333333333331"/>
  </r>
  <r>
    <n v="8384"/>
    <n v="59905"/>
    <x v="381"/>
    <x v="13"/>
    <s v="High"/>
    <n v="5"/>
    <n v="26.5"/>
    <n v="0.01"/>
    <s v="Express Air"/>
    <n v="2.61"/>
    <n v="4.26"/>
    <n v="1.2"/>
    <x v="118"/>
    <x v="4"/>
    <x v="4"/>
    <x v="0"/>
    <x v="0"/>
    <x v="12"/>
    <x v="678"/>
    <s v="Wrap Bag"/>
    <n v="0.44"/>
    <d v="2012-04-15T00:00:00"/>
    <n v="0"/>
    <n v="0"/>
    <n v="0.33333333333333331"/>
    <n v="0.33333333333333331"/>
  </r>
  <r>
    <n v="52"/>
    <n v="322"/>
    <x v="549"/>
    <x v="33"/>
    <s v="Critical"/>
    <n v="20"/>
    <n v="2634.8554999999997"/>
    <n v="0.08"/>
    <s v="Regular Air"/>
    <n v="257.76"/>
    <n v="155.99"/>
    <n v="8.08"/>
    <x v="119"/>
    <x v="4"/>
    <x v="4"/>
    <x v="2"/>
    <x v="1"/>
    <x v="3"/>
    <x v="679"/>
    <s v="Small Box"/>
    <n v="0.6"/>
    <d v="2012-03-20T00:00:00"/>
    <n v="0"/>
    <n v="0"/>
    <n v="0.5"/>
    <n v="0.5"/>
  </r>
  <r>
    <n v="53"/>
    <n v="322"/>
    <x v="549"/>
    <x v="33"/>
    <s v="Critical"/>
    <n v="46"/>
    <n v="281"/>
    <n v="0.1"/>
    <s v="Regular Air"/>
    <n v="-291.58999999999997"/>
    <n v="6.48"/>
    <n v="10.050000000000001"/>
    <x v="119"/>
    <x v="4"/>
    <x v="4"/>
    <x v="2"/>
    <x v="0"/>
    <x v="5"/>
    <x v="680"/>
    <s v="Small Box"/>
    <n v="0.37"/>
    <d v="2012-03-20T00:00:00"/>
    <n v="0"/>
    <n v="0"/>
    <n v="0.5"/>
    <n v="0.5"/>
  </r>
  <r>
    <n v="151"/>
    <n v="962"/>
    <x v="550"/>
    <x v="43"/>
    <s v="Low"/>
    <n v="33"/>
    <n v="4064.05"/>
    <n v="0.06"/>
    <s v="Regular Air"/>
    <n v="1408.1865"/>
    <n v="122.99"/>
    <n v="19.989999999999998"/>
    <x v="120"/>
    <x v="4"/>
    <x v="4"/>
    <x v="0"/>
    <x v="0"/>
    <x v="2"/>
    <x v="681"/>
    <s v="Small Box"/>
    <n v="0.37"/>
    <d v="2009-05-07T00:00:00"/>
    <n v="0"/>
    <n v="0"/>
    <n v="0.5"/>
    <n v="0.5"/>
  </r>
  <r>
    <n v="152"/>
    <n v="962"/>
    <x v="550"/>
    <x v="43"/>
    <s v="Low"/>
    <n v="47"/>
    <n v="3213.87"/>
    <n v="0.08"/>
    <s v="Delivery Truck"/>
    <n v="-1069.72"/>
    <n v="68.81"/>
    <n v="60"/>
    <x v="120"/>
    <x v="4"/>
    <x v="4"/>
    <x v="0"/>
    <x v="0"/>
    <x v="1"/>
    <x v="459"/>
    <s v="Jumbo Drum"/>
    <n v="0.41"/>
    <d v="2009-05-07T00:00:00"/>
    <n v="0"/>
    <n v="0"/>
    <n v="0.5"/>
    <n v="0.5"/>
  </r>
  <r>
    <n v="185"/>
    <n v="1221"/>
    <x v="551"/>
    <x v="13"/>
    <s v="Not Specified"/>
    <n v="1"/>
    <n v="14.68"/>
    <n v="0.06"/>
    <s v="Regular Air"/>
    <n v="-13.777000000000001"/>
    <n v="8.6"/>
    <n v="6.19"/>
    <x v="121"/>
    <x v="4"/>
    <x v="4"/>
    <x v="2"/>
    <x v="0"/>
    <x v="2"/>
    <x v="682"/>
    <s v="Small Box"/>
    <n v="0.38"/>
    <d v="2012-04-18T00:00:00"/>
    <n v="0"/>
    <n v="0"/>
    <n v="0.33333333333333331"/>
    <n v="0.33333333333333331"/>
  </r>
  <r>
    <n v="186"/>
    <n v="1221"/>
    <x v="551"/>
    <x v="13"/>
    <s v="Not Specified"/>
    <n v="11"/>
    <n v="10145.14"/>
    <n v="0.03"/>
    <s v="Regular Air"/>
    <n v="3724.5725000000002"/>
    <n v="896.99"/>
    <n v="19.989999999999998"/>
    <x v="121"/>
    <x v="4"/>
    <x v="4"/>
    <x v="2"/>
    <x v="0"/>
    <x v="2"/>
    <x v="317"/>
    <s v="Small Box"/>
    <n v="0.38"/>
    <d v="2012-04-20T00:00:00"/>
    <n v="0"/>
    <n v="0"/>
    <n v="0.33333333333333331"/>
    <n v="0.33333333333333331"/>
  </r>
  <r>
    <n v="187"/>
    <n v="1221"/>
    <x v="551"/>
    <x v="13"/>
    <s v="Not Specified"/>
    <n v="16"/>
    <n v="68.45"/>
    <n v="0.08"/>
    <s v="Regular Air"/>
    <n v="-57.8795"/>
    <n v="4.24"/>
    <n v="5.41"/>
    <x v="121"/>
    <x v="4"/>
    <x v="4"/>
    <x v="2"/>
    <x v="0"/>
    <x v="2"/>
    <x v="683"/>
    <s v="Small Box"/>
    <n v="0.35"/>
    <d v="2012-04-20T00:00:00"/>
    <n v="0"/>
    <n v="0"/>
    <n v="0.33333333333333331"/>
    <n v="0.33333333333333331"/>
  </r>
  <r>
    <n v="222"/>
    <n v="1445"/>
    <x v="552"/>
    <x v="16"/>
    <s v="Medium"/>
    <n v="3"/>
    <n v="1326.09"/>
    <n v="0"/>
    <s v="Regular Air"/>
    <n v="-20.5505"/>
    <n v="420.98"/>
    <n v="19.989999999999998"/>
    <x v="122"/>
    <x v="4"/>
    <x v="4"/>
    <x v="2"/>
    <x v="0"/>
    <x v="2"/>
    <x v="461"/>
    <s v="Small Box"/>
    <n v="0.35"/>
    <d v="2011-01-12T00:00:00"/>
    <n v="0"/>
    <n v="0"/>
    <n v="0.5"/>
    <n v="0.5"/>
  </r>
  <r>
    <n v="223"/>
    <n v="1445"/>
    <x v="552"/>
    <x v="16"/>
    <s v="Medium"/>
    <n v="30"/>
    <n v="339.49"/>
    <n v="0.08"/>
    <s v="Regular Air"/>
    <n v="-74.209999999999994"/>
    <n v="11.97"/>
    <n v="5.81"/>
    <x v="122"/>
    <x v="4"/>
    <x v="4"/>
    <x v="2"/>
    <x v="0"/>
    <x v="12"/>
    <x v="393"/>
    <s v="Small Pack"/>
    <n v="0.6"/>
    <d v="2011-01-11T00:00:00"/>
    <n v="0"/>
    <n v="0"/>
    <n v="0.5"/>
    <n v="0.5"/>
  </r>
  <r>
    <n v="259"/>
    <n v="1799"/>
    <x v="259"/>
    <x v="28"/>
    <s v="Not Specified"/>
    <n v="10"/>
    <n v="1187.1199999999999"/>
    <n v="0.06"/>
    <s v="Delivery Truck"/>
    <n v="-127.3"/>
    <n v="113.98"/>
    <n v="30"/>
    <x v="123"/>
    <x v="4"/>
    <x v="4"/>
    <x v="0"/>
    <x v="2"/>
    <x v="14"/>
    <x v="655"/>
    <s v="Jumbo Drum"/>
    <n v="0.69"/>
    <d v="2009-03-08T00:00:00"/>
    <n v="0"/>
    <n v="0"/>
    <n v="0.5"/>
    <n v="0.5"/>
  </r>
  <r>
    <n v="260"/>
    <n v="1799"/>
    <x v="259"/>
    <x v="28"/>
    <s v="Not Specified"/>
    <n v="16"/>
    <n v="108.31"/>
    <n v="0.05"/>
    <s v="Regular Air"/>
    <n v="-52.77"/>
    <n v="6.48"/>
    <n v="6.86"/>
    <x v="123"/>
    <x v="4"/>
    <x v="4"/>
    <x v="0"/>
    <x v="0"/>
    <x v="5"/>
    <x v="684"/>
    <s v="Small Box"/>
    <n v="0.37"/>
    <d v="2009-03-08T00:00:00"/>
    <n v="0"/>
    <n v="0"/>
    <n v="0.5"/>
    <n v="0.5"/>
  </r>
  <r>
    <n v="393"/>
    <n v="2720"/>
    <x v="222"/>
    <x v="30"/>
    <s v="Critical"/>
    <n v="36"/>
    <n v="2051.0160000000001"/>
    <n v="0.02"/>
    <s v="Express Air"/>
    <n v="483.96600000000001"/>
    <n v="65.989999999999995"/>
    <n v="3.99"/>
    <x v="124"/>
    <x v="4"/>
    <x v="4"/>
    <x v="0"/>
    <x v="1"/>
    <x v="3"/>
    <x v="440"/>
    <s v="Small Box"/>
    <n v="0.59"/>
    <d v="2010-06-10T00:00:00"/>
    <n v="0"/>
    <n v="0"/>
    <n v="1"/>
    <n v="1"/>
  </r>
  <r>
    <n v="548"/>
    <n v="3685"/>
    <x v="553"/>
    <x v="23"/>
    <s v="Medium"/>
    <n v="29"/>
    <n v="106.78"/>
    <n v="0"/>
    <s v="Regular Air"/>
    <n v="-98.05"/>
    <n v="3.28"/>
    <n v="5"/>
    <x v="120"/>
    <x v="4"/>
    <x v="4"/>
    <x v="0"/>
    <x v="0"/>
    <x v="12"/>
    <x v="685"/>
    <s v="Wrap Bag"/>
    <n v="0.56000000000000005"/>
    <d v="2012-01-17T00:00:00"/>
    <n v="0"/>
    <n v="0"/>
    <n v="1"/>
    <n v="1"/>
  </r>
  <r>
    <n v="549"/>
    <n v="3687"/>
    <x v="243"/>
    <x v="6"/>
    <s v="Critical"/>
    <n v="25"/>
    <n v="79.37"/>
    <n v="7.0000000000000007E-2"/>
    <s v="Regular Air"/>
    <n v="6.14"/>
    <n v="3.29"/>
    <n v="1.35"/>
    <x v="125"/>
    <x v="4"/>
    <x v="4"/>
    <x v="3"/>
    <x v="0"/>
    <x v="6"/>
    <x v="339"/>
    <s v="Wrap Bag"/>
    <n v="0.4"/>
    <d v="2010-02-02T00:00:00"/>
    <n v="0"/>
    <n v="0"/>
    <n v="1"/>
    <n v="1"/>
  </r>
  <r>
    <n v="574"/>
    <n v="3907"/>
    <x v="554"/>
    <x v="9"/>
    <s v="Medium"/>
    <n v="36"/>
    <n v="218.12"/>
    <n v="0.02"/>
    <s v="Regular Air"/>
    <n v="-1642.65"/>
    <n v="4.4800000000000004"/>
    <n v="49"/>
    <x v="124"/>
    <x v="4"/>
    <x v="4"/>
    <x v="0"/>
    <x v="0"/>
    <x v="1"/>
    <x v="43"/>
    <s v="Large Box"/>
    <n v="0.6"/>
    <d v="2012-08-18T00:00:00"/>
    <n v="0"/>
    <n v="0"/>
    <n v="0.33333333333333331"/>
    <n v="0.33333333333333331"/>
  </r>
  <r>
    <n v="594"/>
    <n v="4067"/>
    <x v="198"/>
    <x v="1"/>
    <s v="High"/>
    <n v="16"/>
    <n v="118.38"/>
    <n v="0.04"/>
    <s v="Regular Air"/>
    <n v="-42.457999999999998"/>
    <n v="7.1"/>
    <n v="6.05"/>
    <x v="122"/>
    <x v="4"/>
    <x v="4"/>
    <x v="2"/>
    <x v="0"/>
    <x v="2"/>
    <x v="310"/>
    <s v="Small Box"/>
    <n v="0.39"/>
    <d v="2012-10-08T00:00:00"/>
    <n v="0"/>
    <n v="0"/>
    <n v="1"/>
    <n v="1"/>
  </r>
  <r>
    <n v="617"/>
    <n v="4257"/>
    <x v="5"/>
    <x v="5"/>
    <s v="Medium"/>
    <n v="45"/>
    <n v="253.89"/>
    <n v="0.01"/>
    <s v="Regular Air"/>
    <n v="-83.66"/>
    <n v="5.58"/>
    <n v="5.3"/>
    <x v="126"/>
    <x v="4"/>
    <x v="4"/>
    <x v="1"/>
    <x v="0"/>
    <x v="8"/>
    <x v="686"/>
    <s v="Small Box"/>
    <n v="0.35"/>
    <d v="2011-03-26T00:00:00"/>
    <n v="0"/>
    <n v="0"/>
    <n v="1"/>
    <n v="1"/>
  </r>
  <r>
    <n v="618"/>
    <n v="4261"/>
    <x v="555"/>
    <x v="1"/>
    <s v="Critical"/>
    <n v="22"/>
    <n v="1556.87"/>
    <n v="0.04"/>
    <s v="Delivery Truck"/>
    <n v="-521.41999999999996"/>
    <n v="68.81"/>
    <n v="60"/>
    <x v="121"/>
    <x v="4"/>
    <x v="4"/>
    <x v="2"/>
    <x v="0"/>
    <x v="1"/>
    <x v="459"/>
    <s v="Jumbo Drum"/>
    <n v="0.41"/>
    <d v="2012-10-03T00:00:00"/>
    <n v="0"/>
    <n v="0"/>
    <n v="0.25"/>
    <n v="0.25"/>
  </r>
  <r>
    <n v="619"/>
    <n v="4261"/>
    <x v="555"/>
    <x v="1"/>
    <s v="Critical"/>
    <n v="33"/>
    <n v="195.98"/>
    <n v="0.08"/>
    <s v="Regular Air"/>
    <n v="-71.47"/>
    <n v="5.98"/>
    <n v="5.35"/>
    <x v="121"/>
    <x v="4"/>
    <x v="4"/>
    <x v="2"/>
    <x v="0"/>
    <x v="5"/>
    <x v="687"/>
    <s v="Small Box"/>
    <n v="0.4"/>
    <d v="2012-10-04T00:00:00"/>
    <n v="0"/>
    <n v="0"/>
    <n v="0.25"/>
    <n v="0.25"/>
  </r>
  <r>
    <n v="620"/>
    <n v="4261"/>
    <x v="555"/>
    <x v="1"/>
    <s v="Critical"/>
    <n v="32"/>
    <n v="9235.9699999999993"/>
    <n v="0.04"/>
    <s v="Regular Air"/>
    <n v="2848.17"/>
    <n v="300.64999999999998"/>
    <n v="24.49"/>
    <x v="121"/>
    <x v="4"/>
    <x v="4"/>
    <x v="2"/>
    <x v="0"/>
    <x v="1"/>
    <x v="255"/>
    <s v="Large Box"/>
    <n v="0.52"/>
    <d v="2012-10-04T00:00:00"/>
    <n v="0"/>
    <n v="0"/>
    <n v="0.25"/>
    <n v="0.25"/>
  </r>
  <r>
    <n v="621"/>
    <n v="4261"/>
    <x v="555"/>
    <x v="1"/>
    <s v="Critical"/>
    <n v="48"/>
    <n v="274.38"/>
    <n v="0.04"/>
    <s v="Regular Air"/>
    <n v="-94.82"/>
    <n v="5.78"/>
    <n v="5.37"/>
    <x v="121"/>
    <x v="4"/>
    <x v="4"/>
    <x v="2"/>
    <x v="0"/>
    <x v="5"/>
    <x v="688"/>
    <s v="Small Box"/>
    <n v="0.36"/>
    <d v="2012-10-04T00:00:00"/>
    <n v="0"/>
    <n v="0"/>
    <n v="0.25"/>
    <n v="0.25"/>
  </r>
  <r>
    <n v="622"/>
    <n v="4294"/>
    <x v="556"/>
    <x v="9"/>
    <s v="Medium"/>
    <n v="8"/>
    <n v="17.72"/>
    <n v="0.02"/>
    <s v="Regular Air"/>
    <n v="-15.34"/>
    <n v="1.74"/>
    <n v="4.08"/>
    <x v="120"/>
    <x v="4"/>
    <x v="4"/>
    <x v="0"/>
    <x v="2"/>
    <x v="4"/>
    <x v="331"/>
    <s v="Small Pack"/>
    <n v="0.53"/>
    <d v="2012-08-16T00:00:00"/>
    <n v="0"/>
    <n v="0"/>
    <n v="1"/>
    <n v="1"/>
  </r>
  <r>
    <n v="657"/>
    <n v="4642"/>
    <x v="557"/>
    <x v="44"/>
    <s v="Critical"/>
    <n v="9"/>
    <n v="65.61"/>
    <n v="0.08"/>
    <s v="Regular Air"/>
    <n v="-39.74"/>
    <n v="7.28"/>
    <n v="3.52"/>
    <x v="122"/>
    <x v="4"/>
    <x v="4"/>
    <x v="2"/>
    <x v="1"/>
    <x v="7"/>
    <x v="570"/>
    <s v="Small Pack"/>
    <n v="0.68"/>
    <d v="2011-02-27T00:00:00"/>
    <n v="0"/>
    <n v="0"/>
    <n v="0.5"/>
    <n v="0.5"/>
  </r>
  <r>
    <n v="658"/>
    <n v="4642"/>
    <x v="557"/>
    <x v="44"/>
    <s v="Critical"/>
    <n v="21"/>
    <n v="309.62"/>
    <n v="0"/>
    <s v="Express Air"/>
    <n v="-80.2"/>
    <n v="14.03"/>
    <n v="9.3699999999999992"/>
    <x v="122"/>
    <x v="4"/>
    <x v="4"/>
    <x v="2"/>
    <x v="0"/>
    <x v="0"/>
    <x v="569"/>
    <s v="Small Box"/>
    <n v="0.56000000000000005"/>
    <d v="2011-02-26T00:00:00"/>
    <n v="0"/>
    <n v="0"/>
    <n v="0.5"/>
    <n v="0.5"/>
  </r>
  <r>
    <n v="695"/>
    <n v="4864"/>
    <x v="547"/>
    <x v="32"/>
    <s v="Low"/>
    <n v="16"/>
    <n v="4901.99"/>
    <n v="0.04"/>
    <s v="Regular Air"/>
    <n v="1724.6755000000001"/>
    <n v="315.98"/>
    <n v="19.989999999999998"/>
    <x v="127"/>
    <x v="4"/>
    <x v="4"/>
    <x v="2"/>
    <x v="0"/>
    <x v="2"/>
    <x v="689"/>
    <s v="Small Box"/>
    <n v="0.38"/>
    <d v="2012-11-14T00:00:00"/>
    <n v="0"/>
    <n v="0"/>
    <n v="1"/>
    <n v="1"/>
  </r>
  <r>
    <n v="710"/>
    <n v="4996"/>
    <x v="558"/>
    <x v="34"/>
    <s v="Medium"/>
    <n v="30"/>
    <n v="4305.79"/>
    <n v="0"/>
    <s v="Regular Air"/>
    <n v="1020.32"/>
    <n v="142.86000000000001"/>
    <n v="19.989999999999998"/>
    <x v="128"/>
    <x v="4"/>
    <x v="4"/>
    <x v="2"/>
    <x v="0"/>
    <x v="0"/>
    <x v="690"/>
    <s v="Small Box"/>
    <n v="0.56000000000000005"/>
    <d v="2012-09-14T00:00:00"/>
    <n v="0"/>
    <n v="0"/>
    <n v="1"/>
    <n v="0.5"/>
  </r>
  <r>
    <n v="718"/>
    <n v="5121"/>
    <x v="559"/>
    <x v="20"/>
    <s v="Not Specified"/>
    <n v="45"/>
    <n v="1991.7029999999997"/>
    <n v="7.0000000000000007E-2"/>
    <s v="Regular Air"/>
    <n v="559.10699999999997"/>
    <n v="55.99"/>
    <n v="1.25"/>
    <x v="127"/>
    <x v="4"/>
    <x v="4"/>
    <x v="2"/>
    <x v="1"/>
    <x v="3"/>
    <x v="512"/>
    <s v="Small Pack"/>
    <n v="0.55000000000000004"/>
    <d v="2012-05-11T00:00:00"/>
    <n v="0"/>
    <n v="0"/>
    <n v="1"/>
    <n v="1"/>
  </r>
  <r>
    <n v="741"/>
    <n v="5346"/>
    <x v="560"/>
    <x v="15"/>
    <s v="Critical"/>
    <n v="34"/>
    <n v="2932.99"/>
    <n v="7.0000000000000007E-2"/>
    <s v="Regular Air"/>
    <n v="-1448.83"/>
    <n v="90.98"/>
    <n v="56.2"/>
    <x v="129"/>
    <x v="4"/>
    <x v="4"/>
    <x v="3"/>
    <x v="2"/>
    <x v="4"/>
    <x v="433"/>
    <s v="Medium Box"/>
    <n v="0.74"/>
    <d v="2010-12-26T00:00:00"/>
    <n v="0"/>
    <n v="0"/>
    <n v="0.33333333333333331"/>
    <n v="0.33333333333333331"/>
  </r>
  <r>
    <n v="742"/>
    <n v="5346"/>
    <x v="560"/>
    <x v="15"/>
    <s v="Critical"/>
    <n v="45"/>
    <n v="9194.7999999999993"/>
    <n v="0.1"/>
    <s v="Delivery Truck"/>
    <n v="-1760.5710000000001"/>
    <n v="218.75"/>
    <n v="69.64"/>
    <x v="129"/>
    <x v="4"/>
    <x v="4"/>
    <x v="3"/>
    <x v="2"/>
    <x v="10"/>
    <x v="146"/>
    <s v="Jumbo Box"/>
    <n v="0.77"/>
    <d v="2010-12-27T00:00:00"/>
    <n v="0"/>
    <n v="0"/>
    <n v="0.33333333333333331"/>
    <n v="0.33333333333333331"/>
  </r>
  <r>
    <n v="743"/>
    <n v="5346"/>
    <x v="560"/>
    <x v="15"/>
    <s v="Critical"/>
    <n v="17"/>
    <n v="2285.12"/>
    <n v="0.08"/>
    <s v="Delivery Truck"/>
    <n v="-455.8"/>
    <n v="140.97999999999999"/>
    <n v="36.090000000000003"/>
    <x v="129"/>
    <x v="4"/>
    <x v="4"/>
    <x v="3"/>
    <x v="2"/>
    <x v="9"/>
    <x v="228"/>
    <s v="Jumbo Box"/>
    <n v="0.77"/>
    <d v="2010-12-27T00:00:00"/>
    <n v="0"/>
    <n v="0"/>
    <n v="0.33333333333333331"/>
    <n v="0.33333333333333331"/>
  </r>
  <r>
    <n v="766"/>
    <n v="5473"/>
    <x v="561"/>
    <x v="33"/>
    <s v="Not Specified"/>
    <n v="42"/>
    <n v="355.69"/>
    <n v="0.09"/>
    <s v="Regular Air"/>
    <n v="-149.46"/>
    <n v="8.74"/>
    <n v="8.2899999999999991"/>
    <x v="130"/>
    <x v="4"/>
    <x v="4"/>
    <x v="0"/>
    <x v="0"/>
    <x v="8"/>
    <x v="427"/>
    <s v="Small Box"/>
    <n v="0.38"/>
    <d v="2012-03-26T00:00:00"/>
    <n v="0"/>
    <n v="0"/>
    <n v="1"/>
    <n v="1"/>
  </r>
  <r>
    <n v="795"/>
    <n v="5698"/>
    <x v="562"/>
    <x v="43"/>
    <s v="Medium"/>
    <n v="15"/>
    <n v="297.05"/>
    <n v="0.09"/>
    <s v="Regular Air"/>
    <n v="-16.89"/>
    <n v="20.48"/>
    <n v="6.32"/>
    <x v="131"/>
    <x v="4"/>
    <x v="4"/>
    <x v="1"/>
    <x v="0"/>
    <x v="1"/>
    <x v="691"/>
    <s v="Small Box"/>
    <n v="0.57999999999999996"/>
    <d v="2009-05-21T00:00:00"/>
    <n v="0"/>
    <n v="0"/>
    <n v="0.5"/>
    <n v="0.5"/>
  </r>
  <r>
    <n v="796"/>
    <n v="5698"/>
    <x v="562"/>
    <x v="43"/>
    <s v="Medium"/>
    <n v="7"/>
    <n v="108.26"/>
    <n v="0.06"/>
    <s v="Regular Air"/>
    <n v="25.51"/>
    <n v="15.67"/>
    <n v="1.39"/>
    <x v="131"/>
    <x v="4"/>
    <x v="4"/>
    <x v="1"/>
    <x v="0"/>
    <x v="8"/>
    <x v="68"/>
    <s v="Small Box"/>
    <n v="0.38"/>
    <d v="2009-05-21T00:00:00"/>
    <n v="0"/>
    <n v="0"/>
    <n v="0.5"/>
    <n v="0.5"/>
  </r>
  <r>
    <n v="855"/>
    <n v="6144"/>
    <x v="155"/>
    <x v="41"/>
    <s v="Critical"/>
    <n v="24"/>
    <n v="67.349999999999994"/>
    <n v="7.0000000000000007E-2"/>
    <s v="Regular Air"/>
    <n v="22.63"/>
    <n v="2.88"/>
    <n v="0.5"/>
    <x v="127"/>
    <x v="4"/>
    <x v="4"/>
    <x v="2"/>
    <x v="0"/>
    <x v="11"/>
    <x v="360"/>
    <s v="Small Box"/>
    <n v="0.39"/>
    <d v="2009-06-24T00:00:00"/>
    <n v="0"/>
    <n v="0"/>
    <n v="0.5"/>
    <n v="0.5"/>
  </r>
  <r>
    <n v="856"/>
    <n v="6144"/>
    <x v="155"/>
    <x v="41"/>
    <s v="Critical"/>
    <n v="4"/>
    <n v="1472.31"/>
    <n v="0.03"/>
    <s v="Delivery Truck"/>
    <n v="-223.58700000000002"/>
    <n v="348.21"/>
    <n v="40.19"/>
    <x v="127"/>
    <x v="4"/>
    <x v="4"/>
    <x v="2"/>
    <x v="2"/>
    <x v="10"/>
    <x v="453"/>
    <s v="Jumbo Box"/>
    <n v="0.62"/>
    <d v="2009-06-22T00:00:00"/>
    <n v="0"/>
    <n v="0"/>
    <n v="0.5"/>
    <n v="0.5"/>
  </r>
  <r>
    <n v="888"/>
    <n v="6374"/>
    <x v="48"/>
    <x v="21"/>
    <s v="Critical"/>
    <n v="29"/>
    <n v="857.42"/>
    <n v="7.0000000000000007E-2"/>
    <s v="Express Air"/>
    <n v="51.18"/>
    <n v="31.11"/>
    <n v="3.6"/>
    <x v="132"/>
    <x v="4"/>
    <x v="4"/>
    <x v="2"/>
    <x v="1"/>
    <x v="7"/>
    <x v="692"/>
    <s v="Small Pack"/>
    <n v="0.64"/>
    <d v="2011-08-08T00:00:00"/>
    <n v="0"/>
    <n v="0"/>
    <n v="0.5"/>
    <n v="0.5"/>
  </r>
  <r>
    <n v="889"/>
    <n v="6374"/>
    <x v="48"/>
    <x v="21"/>
    <s v="Critical"/>
    <n v="1"/>
    <n v="2.2400000000000002"/>
    <n v="0.01"/>
    <s v="Regular Air"/>
    <n v="-1.97"/>
    <n v="1.48"/>
    <n v="0.7"/>
    <x v="132"/>
    <x v="4"/>
    <x v="4"/>
    <x v="2"/>
    <x v="0"/>
    <x v="6"/>
    <x v="476"/>
    <s v="Wrap Bag"/>
    <n v="0.37"/>
    <d v="2011-08-09T00:00:00"/>
    <n v="0"/>
    <n v="0"/>
    <n v="0.5"/>
    <n v="0.5"/>
  </r>
  <r>
    <n v="992"/>
    <n v="7169"/>
    <x v="563"/>
    <x v="14"/>
    <s v="Medium"/>
    <n v="22"/>
    <n v="446.72"/>
    <n v="0.05"/>
    <s v="Regular Air"/>
    <n v="-39"/>
    <n v="20.28"/>
    <n v="14.39"/>
    <x v="121"/>
    <x v="4"/>
    <x v="4"/>
    <x v="2"/>
    <x v="2"/>
    <x v="4"/>
    <x v="693"/>
    <s v="Small Box"/>
    <n v="0.47"/>
    <d v="2010-03-28T00:00:00"/>
    <n v="0"/>
    <n v="0"/>
    <n v="0.5"/>
    <n v="0.5"/>
  </r>
  <r>
    <n v="993"/>
    <n v="7169"/>
    <x v="563"/>
    <x v="14"/>
    <s v="Medium"/>
    <n v="30"/>
    <n v="1580.6005"/>
    <n v="7.0000000000000007E-2"/>
    <s v="Regular Air"/>
    <n v="303.52499999999998"/>
    <n v="65.989999999999995"/>
    <n v="2.79"/>
    <x v="121"/>
    <x v="4"/>
    <x v="4"/>
    <x v="2"/>
    <x v="1"/>
    <x v="3"/>
    <x v="694"/>
    <s v="Small Box"/>
    <n v="0.56000000000000005"/>
    <d v="2010-03-28T00:00:00"/>
    <n v="0"/>
    <n v="0"/>
    <n v="0.5"/>
    <n v="0.5"/>
  </r>
  <r>
    <n v="1013"/>
    <n v="7427"/>
    <x v="564"/>
    <x v="45"/>
    <s v="Not Specified"/>
    <n v="47"/>
    <n v="16002.29"/>
    <n v="0.09"/>
    <s v="Regular Air"/>
    <n v="4604.79"/>
    <n v="363.25"/>
    <n v="19.989999999999998"/>
    <x v="132"/>
    <x v="4"/>
    <x v="4"/>
    <x v="2"/>
    <x v="0"/>
    <x v="1"/>
    <x v="445"/>
    <s v="Small Box"/>
    <n v="0.56999999999999995"/>
    <d v="2012-12-15T00:00:00"/>
    <n v="0"/>
    <n v="0"/>
    <n v="0.5"/>
    <n v="0.5"/>
  </r>
  <r>
    <n v="1014"/>
    <n v="7427"/>
    <x v="564"/>
    <x v="45"/>
    <s v="Not Specified"/>
    <n v="9"/>
    <n v="182.26"/>
    <n v="0.01"/>
    <s v="Regular Air"/>
    <n v="60.613500000000002"/>
    <n v="18.940000000000001"/>
    <n v="1.49"/>
    <x v="132"/>
    <x v="4"/>
    <x v="4"/>
    <x v="2"/>
    <x v="0"/>
    <x v="2"/>
    <x v="695"/>
    <s v="Small Box"/>
    <n v="0.35"/>
    <d v="2012-12-16T00:00:00"/>
    <n v="0"/>
    <n v="0"/>
    <n v="0.5"/>
    <n v="0.5"/>
  </r>
  <r>
    <n v="1123"/>
    <n v="8229"/>
    <x v="565"/>
    <x v="47"/>
    <s v="Medium"/>
    <n v="7"/>
    <n v="3565.27"/>
    <n v="0.04"/>
    <s v="Delivery Truck"/>
    <n v="-502.80780000000004"/>
    <n v="510.14"/>
    <n v="14.7"/>
    <x v="133"/>
    <x v="4"/>
    <x v="4"/>
    <x v="3"/>
    <x v="1"/>
    <x v="16"/>
    <x v="696"/>
    <s v="Jumbo Drum"/>
    <n v="0.56000000000000005"/>
    <d v="2009-12-09T00:00:00"/>
    <n v="0"/>
    <n v="0"/>
    <n v="0.5"/>
    <n v="0.33333333333333331"/>
  </r>
  <r>
    <n v="1124"/>
    <n v="8229"/>
    <x v="565"/>
    <x v="47"/>
    <s v="Medium"/>
    <n v="50"/>
    <n v="241.01"/>
    <n v="0"/>
    <s v="Regular Air"/>
    <n v="-4.6900000000000004"/>
    <n v="4.76"/>
    <n v="3.01"/>
    <x v="133"/>
    <x v="4"/>
    <x v="4"/>
    <x v="3"/>
    <x v="0"/>
    <x v="5"/>
    <x v="697"/>
    <s v="Wrap Bag"/>
    <n v="0.36"/>
    <d v="2009-12-09T00:00:00"/>
    <n v="0"/>
    <n v="0"/>
    <n v="0.5"/>
    <n v="0.33333333333333331"/>
  </r>
  <r>
    <n v="1134"/>
    <n v="8290"/>
    <x v="265"/>
    <x v="47"/>
    <s v="Critical"/>
    <n v="32"/>
    <n v="209.02"/>
    <n v="0.04"/>
    <s v="Regular Air"/>
    <n v="101.8"/>
    <n v="6.3"/>
    <n v="0.5"/>
    <x v="133"/>
    <x v="4"/>
    <x v="4"/>
    <x v="3"/>
    <x v="0"/>
    <x v="11"/>
    <x v="698"/>
    <s v="Small Box"/>
    <n v="0.39"/>
    <d v="2009-12-11T00:00:00"/>
    <n v="0"/>
    <n v="0"/>
    <n v="1"/>
    <n v="0.33333333333333331"/>
  </r>
  <r>
    <n v="1167"/>
    <n v="8515"/>
    <x v="566"/>
    <x v="15"/>
    <s v="Critical"/>
    <n v="33"/>
    <n v="729.92"/>
    <n v="0"/>
    <s v="Regular Air"/>
    <n v="99.31"/>
    <n v="20.95"/>
    <n v="4"/>
    <x v="123"/>
    <x v="4"/>
    <x v="4"/>
    <x v="0"/>
    <x v="1"/>
    <x v="7"/>
    <x v="124"/>
    <s v="Small Box"/>
    <n v="0.6"/>
    <d v="2010-12-22T00:00:00"/>
    <n v="0"/>
    <n v="0"/>
    <n v="1"/>
    <n v="1"/>
  </r>
  <r>
    <n v="1197"/>
    <n v="8801"/>
    <x v="567"/>
    <x v="9"/>
    <s v="Low"/>
    <n v="32"/>
    <n v="2593.08"/>
    <n v="0"/>
    <s v="Express Air"/>
    <n v="-673.31"/>
    <n v="79.52"/>
    <n v="48.2"/>
    <x v="134"/>
    <x v="4"/>
    <x v="4"/>
    <x v="1"/>
    <x v="2"/>
    <x v="4"/>
    <x v="699"/>
    <s v="Medium Box"/>
    <n v="0.74"/>
    <d v="2012-08-15T00:00:00"/>
    <n v="0"/>
    <n v="0"/>
    <n v="0.5"/>
    <n v="0.5"/>
  </r>
  <r>
    <n v="1198"/>
    <n v="8801"/>
    <x v="567"/>
    <x v="9"/>
    <s v="Low"/>
    <n v="25"/>
    <n v="2529.3960000000002"/>
    <n v="0.06"/>
    <s v="Express Air"/>
    <n v="371.214"/>
    <n v="125.99"/>
    <n v="3"/>
    <x v="134"/>
    <x v="4"/>
    <x v="4"/>
    <x v="1"/>
    <x v="1"/>
    <x v="3"/>
    <x v="520"/>
    <s v="Small Box"/>
    <n v="0.59"/>
    <d v="2012-08-12T00:00:00"/>
    <n v="0"/>
    <n v="0"/>
    <n v="0.5"/>
    <n v="0.5"/>
  </r>
  <r>
    <n v="1221"/>
    <n v="8992"/>
    <x v="568"/>
    <x v="7"/>
    <s v="High"/>
    <n v="3"/>
    <n v="441.43"/>
    <n v="0.06"/>
    <s v="Regular Air"/>
    <n v="-154.44999999999999"/>
    <n v="140.81"/>
    <n v="24.49"/>
    <x v="122"/>
    <x v="4"/>
    <x v="4"/>
    <x v="2"/>
    <x v="2"/>
    <x v="14"/>
    <x v="198"/>
    <s v="Large Box"/>
    <n v="0.56999999999999995"/>
    <d v="2010-11-13T00:00:00"/>
    <n v="0"/>
    <n v="0"/>
    <n v="0.33333333333333331"/>
    <n v="0.33333333333333331"/>
  </r>
  <r>
    <n v="1222"/>
    <n v="8992"/>
    <x v="568"/>
    <x v="7"/>
    <s v="High"/>
    <n v="14"/>
    <n v="2145.6974999999998"/>
    <n v="0.08"/>
    <s v="Regular Air"/>
    <n v="-176.792"/>
    <n v="195.99"/>
    <n v="4.2"/>
    <x v="122"/>
    <x v="4"/>
    <x v="4"/>
    <x v="2"/>
    <x v="1"/>
    <x v="3"/>
    <x v="469"/>
    <s v="Small Box"/>
    <n v="0.6"/>
    <d v="2010-11-14T00:00:00"/>
    <n v="0"/>
    <n v="0"/>
    <n v="0.33333333333333331"/>
    <n v="0.33333333333333331"/>
  </r>
  <r>
    <n v="1223"/>
    <n v="8992"/>
    <x v="568"/>
    <x v="7"/>
    <s v="High"/>
    <n v="18"/>
    <n v="1341.963"/>
    <n v="0"/>
    <s v="Regular Air"/>
    <n v="180.78300000000002"/>
    <n v="85.99"/>
    <n v="2.79"/>
    <x v="122"/>
    <x v="4"/>
    <x v="4"/>
    <x v="2"/>
    <x v="1"/>
    <x v="3"/>
    <x v="700"/>
    <s v="Small Box"/>
    <n v="0.57999999999999996"/>
    <d v="2010-11-13T00:00:00"/>
    <n v="0"/>
    <n v="0"/>
    <n v="0.33333333333333331"/>
    <n v="0.33333333333333331"/>
  </r>
  <r>
    <n v="1288"/>
    <n v="9409"/>
    <x v="409"/>
    <x v="20"/>
    <s v="Critical"/>
    <n v="12"/>
    <n v="1712.66"/>
    <n v="0.1"/>
    <s v="Regular Air"/>
    <n v="-390.77"/>
    <n v="152.47999999999999"/>
    <n v="4"/>
    <x v="135"/>
    <x v="4"/>
    <x v="4"/>
    <x v="3"/>
    <x v="1"/>
    <x v="7"/>
    <x v="659"/>
    <s v="Small Box"/>
    <n v="0.79"/>
    <d v="2012-05-07T00:00:00"/>
    <n v="0"/>
    <n v="0"/>
    <n v="1"/>
    <n v="1"/>
  </r>
  <r>
    <n v="1420"/>
    <n v="10306"/>
    <x v="569"/>
    <x v="42"/>
    <s v="Low"/>
    <n v="20"/>
    <n v="310.31"/>
    <n v="0.02"/>
    <s v="Regular Air"/>
    <n v="51.5"/>
    <n v="14.58"/>
    <n v="7.4"/>
    <x v="121"/>
    <x v="4"/>
    <x v="4"/>
    <x v="2"/>
    <x v="2"/>
    <x v="4"/>
    <x v="505"/>
    <s v="Small Box"/>
    <n v="0.48"/>
    <d v="2010-07-21T00:00:00"/>
    <n v="0"/>
    <n v="0"/>
    <n v="1"/>
    <n v="1"/>
  </r>
  <r>
    <n v="1455"/>
    <n v="10470"/>
    <x v="53"/>
    <x v="20"/>
    <s v="Critical"/>
    <n v="35"/>
    <n v="246.98"/>
    <n v="0.1"/>
    <s v="Regular Air"/>
    <n v="-94.78"/>
    <n v="7.38"/>
    <n v="5.21"/>
    <x v="129"/>
    <x v="4"/>
    <x v="4"/>
    <x v="2"/>
    <x v="2"/>
    <x v="4"/>
    <x v="386"/>
    <s v="Small Box"/>
    <n v="0.56000000000000005"/>
    <d v="2012-05-09T00:00:00"/>
    <n v="0"/>
    <n v="0"/>
    <n v="0.25"/>
    <n v="1"/>
  </r>
  <r>
    <n v="1497"/>
    <n v="10819"/>
    <x v="69"/>
    <x v="3"/>
    <s v="Critical"/>
    <n v="35"/>
    <n v="233.39"/>
    <n v="0.06"/>
    <s v="Regular Air"/>
    <n v="-197.39"/>
    <n v="6.48"/>
    <n v="9.5399999999999991"/>
    <x v="120"/>
    <x v="4"/>
    <x v="4"/>
    <x v="0"/>
    <x v="0"/>
    <x v="5"/>
    <x v="390"/>
    <s v="Small Box"/>
    <n v="0.37"/>
    <d v="2010-08-24T00:00:00"/>
    <n v="0"/>
    <n v="0"/>
    <n v="1"/>
    <n v="1"/>
  </r>
  <r>
    <n v="1509"/>
    <n v="10916"/>
    <x v="396"/>
    <x v="5"/>
    <s v="Medium"/>
    <n v="23"/>
    <n v="135.31"/>
    <n v="0.06"/>
    <s v="Regular Air"/>
    <n v="-49.323500000000003"/>
    <n v="5.74"/>
    <n v="5.01"/>
    <x v="123"/>
    <x v="4"/>
    <x v="4"/>
    <x v="0"/>
    <x v="0"/>
    <x v="2"/>
    <x v="240"/>
    <s v="Small Box"/>
    <n v="0.39"/>
    <d v="2011-03-10T00:00:00"/>
    <n v="0"/>
    <n v="0"/>
    <n v="1"/>
    <n v="1"/>
  </r>
  <r>
    <n v="1512"/>
    <n v="10944"/>
    <x v="39"/>
    <x v="27"/>
    <s v="High"/>
    <n v="9"/>
    <n v="181.66"/>
    <n v="0"/>
    <s v="Regular Air"/>
    <n v="-27.474599999999999"/>
    <n v="17.98"/>
    <n v="8.51"/>
    <x v="120"/>
    <x v="4"/>
    <x v="4"/>
    <x v="0"/>
    <x v="1"/>
    <x v="16"/>
    <x v="168"/>
    <s v="Medium Box"/>
    <n v="0.4"/>
    <d v="2011-11-14T00:00:00"/>
    <n v="0"/>
    <n v="0"/>
    <n v="1"/>
    <n v="1"/>
  </r>
  <r>
    <n v="1565"/>
    <n v="11301"/>
    <x v="570"/>
    <x v="33"/>
    <s v="Medium"/>
    <n v="29"/>
    <n v="1194.96"/>
    <n v="0.04"/>
    <s v="Regular Air"/>
    <n v="107.45"/>
    <n v="39.979999999999997"/>
    <n v="4"/>
    <x v="136"/>
    <x v="4"/>
    <x v="4"/>
    <x v="1"/>
    <x v="1"/>
    <x v="7"/>
    <x v="701"/>
    <s v="Small Box"/>
    <n v="0.7"/>
    <d v="2012-03-22T00:00:00"/>
    <n v="0"/>
    <n v="0"/>
    <n v="1"/>
    <n v="1"/>
  </r>
  <r>
    <n v="1567"/>
    <n v="11332"/>
    <x v="571"/>
    <x v="11"/>
    <s v="Low"/>
    <n v="6"/>
    <n v="184.33100000000002"/>
    <n v="7.0000000000000007E-2"/>
    <s v="Regular Air"/>
    <n v="-89.198999999999998"/>
    <n v="35.99"/>
    <n v="5.99"/>
    <x v="126"/>
    <x v="4"/>
    <x v="4"/>
    <x v="2"/>
    <x v="1"/>
    <x v="3"/>
    <x v="702"/>
    <s v="Wrap Bag"/>
    <n v="0.38"/>
    <d v="2009-11-20T00:00:00"/>
    <n v="0"/>
    <n v="0"/>
    <n v="0.5"/>
    <n v="0.5"/>
  </r>
  <r>
    <n v="1568"/>
    <n v="11332"/>
    <x v="571"/>
    <x v="11"/>
    <s v="Low"/>
    <n v="23"/>
    <n v="1223.3795"/>
    <n v="0.08"/>
    <s v="Express Air"/>
    <n v="83.564999999999998"/>
    <n v="65.989999999999995"/>
    <n v="5.92"/>
    <x v="126"/>
    <x v="4"/>
    <x v="4"/>
    <x v="2"/>
    <x v="1"/>
    <x v="3"/>
    <x v="703"/>
    <s v="Small Box"/>
    <n v="0.57999999999999996"/>
    <d v="2009-11-23T00:00:00"/>
    <n v="0"/>
    <n v="0"/>
    <n v="0.5"/>
    <n v="0.5"/>
  </r>
  <r>
    <n v="1575"/>
    <n v="11392"/>
    <x v="401"/>
    <x v="35"/>
    <s v="Low"/>
    <n v="28"/>
    <n v="128.69"/>
    <n v="0.04"/>
    <s v="Regular Air"/>
    <n v="28.288"/>
    <n v="4.55"/>
    <n v="1.49"/>
    <x v="137"/>
    <x v="4"/>
    <x v="4"/>
    <x v="2"/>
    <x v="0"/>
    <x v="2"/>
    <x v="394"/>
    <s v="Small Box"/>
    <n v="0.35"/>
    <d v="2009-09-07T00:00:00"/>
    <n v="0"/>
    <n v="0"/>
    <n v="1"/>
    <n v="1"/>
  </r>
  <r>
    <n v="1623"/>
    <n v="11745"/>
    <x v="572"/>
    <x v="29"/>
    <s v="High"/>
    <n v="17"/>
    <n v="686.27"/>
    <n v="0.06"/>
    <s v="Regular Air"/>
    <n v="-345.36"/>
    <n v="40.479999999999997"/>
    <n v="19.989999999999998"/>
    <x v="138"/>
    <x v="4"/>
    <x v="4"/>
    <x v="3"/>
    <x v="1"/>
    <x v="7"/>
    <x v="413"/>
    <s v="Small Box"/>
    <n v="0.77"/>
    <d v="2012-07-20T00:00:00"/>
    <n v="0"/>
    <n v="0"/>
    <n v="1"/>
    <n v="1"/>
  </r>
  <r>
    <n v="1644"/>
    <n v="11875"/>
    <x v="573"/>
    <x v="9"/>
    <s v="Medium"/>
    <n v="19"/>
    <n v="242.63"/>
    <n v="0"/>
    <s v="Regular Air"/>
    <n v="-36.11"/>
    <n v="12.44"/>
    <n v="6.27"/>
    <x v="130"/>
    <x v="4"/>
    <x v="4"/>
    <x v="0"/>
    <x v="0"/>
    <x v="0"/>
    <x v="587"/>
    <s v="Medium Box"/>
    <n v="0.56999999999999995"/>
    <d v="2012-08-21T00:00:00"/>
    <n v="0"/>
    <n v="0"/>
    <n v="1"/>
    <n v="1"/>
  </r>
  <r>
    <n v="1650"/>
    <n v="11907"/>
    <x v="63"/>
    <x v="3"/>
    <s v="Low"/>
    <n v="45"/>
    <n v="4729.8500000000004"/>
    <n v="0.03"/>
    <s v="Delivery Truck"/>
    <n v="2014.82"/>
    <n v="100.97"/>
    <n v="14"/>
    <x v="138"/>
    <x v="4"/>
    <x v="4"/>
    <x v="3"/>
    <x v="1"/>
    <x v="16"/>
    <x v="704"/>
    <s v="Jumbo Drum"/>
    <n v="0.37"/>
    <d v="2010-08-23T00:00:00"/>
    <n v="0"/>
    <n v="0"/>
    <n v="1"/>
    <n v="1"/>
  </r>
  <r>
    <n v="1681"/>
    <n v="12129"/>
    <x v="574"/>
    <x v="45"/>
    <s v="Medium"/>
    <n v="36"/>
    <n v="4852.05"/>
    <n v="0"/>
    <s v="Delivery Truck"/>
    <n v="-1197.58"/>
    <n v="122.99"/>
    <n v="70.2"/>
    <x v="119"/>
    <x v="4"/>
    <x v="4"/>
    <x v="2"/>
    <x v="2"/>
    <x v="14"/>
    <x v="301"/>
    <s v="Jumbo Drum"/>
    <n v="0.74"/>
    <d v="2012-12-28T00:00:00"/>
    <n v="0"/>
    <n v="0"/>
    <n v="1"/>
    <n v="1"/>
  </r>
  <r>
    <n v="1753"/>
    <n v="12579"/>
    <x v="575"/>
    <x v="4"/>
    <s v="Not Specified"/>
    <n v="5"/>
    <n v="70.33"/>
    <n v="0.1"/>
    <s v="Regular Air"/>
    <n v="1.07"/>
    <n v="15.04"/>
    <n v="1.97"/>
    <x v="133"/>
    <x v="4"/>
    <x v="4"/>
    <x v="3"/>
    <x v="0"/>
    <x v="5"/>
    <x v="536"/>
    <s v="Wrap Bag"/>
    <n v="0.39"/>
    <d v="2011-06-16T00:00:00"/>
    <n v="0"/>
    <n v="0"/>
    <n v="1"/>
    <n v="1"/>
  </r>
  <r>
    <n v="1779"/>
    <n v="12743"/>
    <x v="539"/>
    <x v="30"/>
    <s v="High"/>
    <n v="39"/>
    <n v="677.51800000000003"/>
    <n v="0.09"/>
    <s v="Regular Air"/>
    <n v="168.21899999999999"/>
    <n v="20.99"/>
    <n v="0.99"/>
    <x v="138"/>
    <x v="4"/>
    <x v="4"/>
    <x v="2"/>
    <x v="1"/>
    <x v="3"/>
    <x v="652"/>
    <s v="Wrap Bag"/>
    <n v="0.56999999999999995"/>
    <d v="2010-06-25T00:00:00"/>
    <n v="0"/>
    <n v="0"/>
    <n v="1"/>
    <n v="1"/>
  </r>
  <r>
    <n v="1803"/>
    <n v="12902"/>
    <x v="576"/>
    <x v="0"/>
    <s v="Not Specified"/>
    <n v="9"/>
    <n v="302.05"/>
    <n v="0"/>
    <s v="Regular Air"/>
    <n v="-58.81"/>
    <n v="30.98"/>
    <n v="6.5"/>
    <x v="139"/>
    <x v="4"/>
    <x v="4"/>
    <x v="3"/>
    <x v="1"/>
    <x v="7"/>
    <x v="455"/>
    <s v="Small Box"/>
    <n v="0.64"/>
    <d v="2010-10-31T00:00:00"/>
    <n v="0"/>
    <n v="0"/>
    <n v="0.5"/>
    <n v="0.5"/>
  </r>
  <r>
    <n v="1860"/>
    <n v="13380"/>
    <x v="366"/>
    <x v="36"/>
    <s v="Critical"/>
    <n v="24"/>
    <n v="66.12"/>
    <n v="0.09"/>
    <s v="Regular Air"/>
    <n v="4.8499999999999996"/>
    <n v="2.88"/>
    <n v="0.7"/>
    <x v="128"/>
    <x v="4"/>
    <x v="4"/>
    <x v="2"/>
    <x v="0"/>
    <x v="12"/>
    <x v="705"/>
    <s v="Wrap Bag"/>
    <n v="0.56000000000000005"/>
    <d v="2009-07-15T00:00:00"/>
    <n v="0"/>
    <n v="0"/>
    <n v="1"/>
    <n v="1"/>
  </r>
  <r>
    <n v="1898"/>
    <n v="13606"/>
    <x v="577"/>
    <x v="46"/>
    <s v="Not Specified"/>
    <n v="34"/>
    <n v="109.86"/>
    <n v="7.0000000000000007E-2"/>
    <s v="Regular Air"/>
    <n v="19.04"/>
    <n v="3.38"/>
    <n v="0.85"/>
    <x v="120"/>
    <x v="4"/>
    <x v="4"/>
    <x v="0"/>
    <x v="0"/>
    <x v="12"/>
    <x v="426"/>
    <s v="Wrap Bag"/>
    <n v="0.48"/>
    <d v="2009-04-28T00:00:00"/>
    <n v="0"/>
    <n v="0"/>
    <n v="1"/>
    <n v="1"/>
  </r>
  <r>
    <n v="1936"/>
    <n v="13889"/>
    <x v="578"/>
    <x v="31"/>
    <s v="Medium"/>
    <n v="49"/>
    <n v="12979.1"/>
    <n v="0.03"/>
    <s v="Delivery Truck"/>
    <n v="2820.44"/>
    <n v="258.98"/>
    <n v="54.31"/>
    <x v="140"/>
    <x v="4"/>
    <x v="4"/>
    <x v="0"/>
    <x v="2"/>
    <x v="14"/>
    <x v="706"/>
    <s v="Jumbo Drum"/>
    <n v="0.55000000000000004"/>
    <d v="2011-09-05T00:00:00"/>
    <n v="0"/>
    <n v="0"/>
    <n v="1"/>
    <n v="1"/>
  </r>
  <r>
    <n v="1952"/>
    <n v="13984"/>
    <x v="579"/>
    <x v="34"/>
    <s v="Critical"/>
    <n v="30"/>
    <n v="2052.8200000000002"/>
    <n v="0.05"/>
    <s v="Regular Air"/>
    <n v="-870.61"/>
    <n v="70.709999999999994"/>
    <n v="37.58"/>
    <x v="129"/>
    <x v="4"/>
    <x v="4"/>
    <x v="3"/>
    <x v="2"/>
    <x v="4"/>
    <x v="563"/>
    <s v="Wrap Bag"/>
    <n v="0.78"/>
    <d v="2012-09-24T00:00:00"/>
    <n v="0"/>
    <n v="0"/>
    <n v="1"/>
    <n v="1"/>
  </r>
  <r>
    <n v="1953"/>
    <n v="13986"/>
    <x v="580"/>
    <x v="17"/>
    <s v="High"/>
    <n v="46"/>
    <n v="1905.79"/>
    <n v="0.01"/>
    <s v="Regular Air"/>
    <n v="675.65"/>
    <n v="39.479999999999997"/>
    <n v="1.99"/>
    <x v="131"/>
    <x v="4"/>
    <x v="4"/>
    <x v="1"/>
    <x v="1"/>
    <x v="7"/>
    <x v="64"/>
    <s v="Small Pack"/>
    <n v="0.54"/>
    <d v="2011-10-14T00:00:00"/>
    <n v="0"/>
    <n v="0"/>
    <n v="1"/>
    <n v="1"/>
  </r>
  <r>
    <n v="1995"/>
    <n v="14240"/>
    <x v="223"/>
    <x v="12"/>
    <s v="High"/>
    <n v="24"/>
    <n v="68.88"/>
    <n v="0"/>
    <s v="Regular Air"/>
    <n v="1.3090000000000002"/>
    <n v="2.78"/>
    <n v="1.49"/>
    <x v="127"/>
    <x v="4"/>
    <x v="4"/>
    <x v="2"/>
    <x v="0"/>
    <x v="2"/>
    <x v="428"/>
    <s v="Small Box"/>
    <n v="0.39"/>
    <d v="2012-02-18T00:00:00"/>
    <n v="0"/>
    <n v="0"/>
    <n v="1"/>
    <n v="1"/>
  </r>
  <r>
    <n v="2006"/>
    <n v="14276"/>
    <x v="581"/>
    <x v="41"/>
    <s v="Medium"/>
    <n v="11"/>
    <n v="110.79"/>
    <n v="0.1"/>
    <s v="Regular Air"/>
    <n v="-11.13"/>
    <n v="10.48"/>
    <n v="2.89"/>
    <x v="121"/>
    <x v="4"/>
    <x v="4"/>
    <x v="2"/>
    <x v="0"/>
    <x v="12"/>
    <x v="373"/>
    <s v="Small Pack"/>
    <n v="0.6"/>
    <d v="2009-06-19T00:00:00"/>
    <n v="0"/>
    <n v="0"/>
    <n v="1"/>
    <n v="1"/>
  </r>
  <r>
    <n v="2029"/>
    <n v="14471"/>
    <x v="582"/>
    <x v="10"/>
    <s v="Not Specified"/>
    <n v="44"/>
    <n v="823.63"/>
    <n v="0.03"/>
    <s v="Regular Air"/>
    <n v="375.02"/>
    <n v="18.649999999999999"/>
    <n v="3.77"/>
    <x v="127"/>
    <x v="4"/>
    <x v="4"/>
    <x v="2"/>
    <x v="2"/>
    <x v="4"/>
    <x v="707"/>
    <s v="Small Pack"/>
    <n v="0.39"/>
    <d v="2011-05-26T00:00:00"/>
    <n v="0"/>
    <n v="0"/>
    <n v="0.5"/>
    <n v="0.33333333333333331"/>
  </r>
  <r>
    <n v="2030"/>
    <n v="14471"/>
    <x v="582"/>
    <x v="10"/>
    <s v="Not Specified"/>
    <n v="42"/>
    <n v="286.73"/>
    <n v="0.05"/>
    <s v="Regular Air"/>
    <n v="-141.51"/>
    <n v="6.48"/>
    <n v="7.49"/>
    <x v="127"/>
    <x v="4"/>
    <x v="4"/>
    <x v="2"/>
    <x v="0"/>
    <x v="5"/>
    <x v="496"/>
    <s v="Small Box"/>
    <n v="0.37"/>
    <d v="2011-05-28T00:00:00"/>
    <n v="0"/>
    <n v="0"/>
    <n v="0.5"/>
    <n v="0.33333333333333331"/>
  </r>
  <r>
    <n v="2037"/>
    <n v="14529"/>
    <x v="583"/>
    <x v="18"/>
    <s v="Low"/>
    <n v="44"/>
    <n v="3819.42"/>
    <n v="0.1"/>
    <s v="Delivery Truck"/>
    <n v="-821.87"/>
    <n v="89.99"/>
    <n v="42"/>
    <x v="141"/>
    <x v="4"/>
    <x v="4"/>
    <x v="3"/>
    <x v="2"/>
    <x v="14"/>
    <x v="668"/>
    <s v="Jumbo Drum"/>
    <n v="0.66"/>
    <d v="2010-09-24T00:00:00"/>
    <n v="0"/>
    <n v="0"/>
    <n v="0.5"/>
    <n v="0.5"/>
  </r>
  <r>
    <n v="2038"/>
    <n v="14529"/>
    <x v="583"/>
    <x v="18"/>
    <s v="Low"/>
    <n v="42"/>
    <n v="208.78"/>
    <n v="0.05"/>
    <s v="Regular Air"/>
    <n v="24.87"/>
    <n v="5.08"/>
    <n v="2.0299999999999998"/>
    <x v="141"/>
    <x v="4"/>
    <x v="4"/>
    <x v="3"/>
    <x v="2"/>
    <x v="4"/>
    <x v="708"/>
    <s v="Wrap Bag"/>
    <n v="0.51"/>
    <d v="2010-09-22T00:00:00"/>
    <n v="0"/>
    <n v="0"/>
    <n v="0.5"/>
    <n v="0.5"/>
  </r>
  <r>
    <n v="2087"/>
    <n v="14948"/>
    <x v="29"/>
    <x v="10"/>
    <s v="Medium"/>
    <n v="6"/>
    <n v="647.78"/>
    <n v="0"/>
    <s v="Delivery Truck"/>
    <n v="-144.87"/>
    <n v="100.98"/>
    <n v="35.840000000000003"/>
    <x v="130"/>
    <x v="4"/>
    <x v="4"/>
    <x v="0"/>
    <x v="2"/>
    <x v="9"/>
    <x v="550"/>
    <s v="Jumbo Box"/>
    <n v="0.62"/>
    <d v="2011-05-29T00:00:00"/>
    <n v="0"/>
    <n v="0"/>
    <n v="1"/>
    <n v="1"/>
  </r>
  <r>
    <n v="2237"/>
    <n v="16161"/>
    <x v="444"/>
    <x v="29"/>
    <s v="Medium"/>
    <n v="49"/>
    <n v="2692.6895"/>
    <n v="0.03"/>
    <s v="Regular Air"/>
    <n v="768.32100000000003"/>
    <n v="65.989999999999995"/>
    <n v="4.2"/>
    <x v="131"/>
    <x v="4"/>
    <x v="4"/>
    <x v="1"/>
    <x v="1"/>
    <x v="3"/>
    <x v="709"/>
    <s v="Small Box"/>
    <n v="0.55000000000000004"/>
    <d v="2012-07-29T00:00:00"/>
    <n v="0"/>
    <n v="0"/>
    <n v="0.5"/>
    <n v="0.2"/>
  </r>
  <r>
    <n v="2238"/>
    <n v="16161"/>
    <x v="444"/>
    <x v="29"/>
    <s v="Medium"/>
    <n v="38"/>
    <n v="151.19"/>
    <n v="0.03"/>
    <s v="Regular Air"/>
    <n v="60.63"/>
    <n v="3.78"/>
    <n v="0.71"/>
    <x v="131"/>
    <x v="4"/>
    <x v="4"/>
    <x v="1"/>
    <x v="0"/>
    <x v="6"/>
    <x v="294"/>
    <s v="Wrap Bag"/>
    <n v="0.39"/>
    <d v="2012-07-30T00:00:00"/>
    <n v="0"/>
    <n v="0"/>
    <n v="0.5"/>
    <n v="0.2"/>
  </r>
  <r>
    <n v="2261"/>
    <n v="16257"/>
    <x v="409"/>
    <x v="20"/>
    <s v="Not Specified"/>
    <n v="16"/>
    <n v="102.73"/>
    <n v="0.03"/>
    <s v="Regular Air"/>
    <n v="16.329999999999998"/>
    <n v="5.98"/>
    <n v="2.5"/>
    <x v="142"/>
    <x v="4"/>
    <x v="4"/>
    <x v="3"/>
    <x v="0"/>
    <x v="8"/>
    <x v="478"/>
    <s v="Small Box"/>
    <n v="0.36"/>
    <d v="2012-05-06T00:00:00"/>
    <n v="0"/>
    <n v="0"/>
    <n v="1"/>
    <n v="1"/>
  </r>
  <r>
    <n v="2335"/>
    <n v="16806"/>
    <x v="311"/>
    <x v="30"/>
    <s v="High"/>
    <n v="4"/>
    <n v="167.37"/>
    <n v="0.1"/>
    <s v="Regular Air"/>
    <n v="-132.15"/>
    <n v="43.22"/>
    <n v="4"/>
    <x v="135"/>
    <x v="4"/>
    <x v="4"/>
    <x v="3"/>
    <x v="1"/>
    <x v="7"/>
    <x v="710"/>
    <s v="Small Box"/>
    <n v="0.64"/>
    <d v="2010-06-18T00:00:00"/>
    <n v="0"/>
    <n v="0"/>
    <n v="0.5"/>
    <n v="0.5"/>
  </r>
  <r>
    <n v="2336"/>
    <n v="16806"/>
    <x v="311"/>
    <x v="30"/>
    <s v="High"/>
    <n v="18"/>
    <n v="1026.6385"/>
    <n v="0"/>
    <s v="Regular Air"/>
    <n v="-201.04700000000003"/>
    <n v="65.989999999999995"/>
    <n v="19.989999999999998"/>
    <x v="135"/>
    <x v="4"/>
    <x v="4"/>
    <x v="3"/>
    <x v="1"/>
    <x v="3"/>
    <x v="711"/>
    <s v="Small Box"/>
    <n v="0.59"/>
    <d v="2010-06-19T00:00:00"/>
    <n v="0"/>
    <n v="0"/>
    <n v="0.5"/>
    <n v="0.5"/>
  </r>
  <r>
    <n v="2393"/>
    <n v="17344"/>
    <x v="485"/>
    <x v="42"/>
    <s v="Critical"/>
    <n v="40"/>
    <n v="2405.4575"/>
    <n v="0.01"/>
    <s v="Regular Air"/>
    <n v="571.53599999999994"/>
    <n v="65.989999999999995"/>
    <n v="7.69"/>
    <x v="128"/>
    <x v="4"/>
    <x v="4"/>
    <x v="2"/>
    <x v="1"/>
    <x v="3"/>
    <x v="712"/>
    <s v="Small Box"/>
    <n v="0.59"/>
    <d v="2010-07-21T00:00:00"/>
    <n v="0"/>
    <n v="0"/>
    <n v="1"/>
    <n v="1"/>
  </r>
  <r>
    <n v="2399"/>
    <n v="17382"/>
    <x v="70"/>
    <x v="2"/>
    <s v="Not Specified"/>
    <n v="20"/>
    <n v="2162.8164999999999"/>
    <n v="0.01"/>
    <s v="Regular Air"/>
    <n v="223.25399999999999"/>
    <n v="125.99"/>
    <n v="8.99"/>
    <x v="141"/>
    <x v="4"/>
    <x v="4"/>
    <x v="3"/>
    <x v="1"/>
    <x v="3"/>
    <x v="713"/>
    <s v="Small Box"/>
    <n v="0.59"/>
    <d v="2011-07-05T00:00:00"/>
    <n v="0"/>
    <n v="0"/>
    <n v="1"/>
    <n v="1"/>
  </r>
  <r>
    <n v="2411"/>
    <n v="17507"/>
    <x v="43"/>
    <x v="8"/>
    <s v="Medium"/>
    <n v="27"/>
    <n v="399.76"/>
    <n v="0.04"/>
    <s v="Regular Air"/>
    <n v="48.13"/>
    <n v="14.56"/>
    <n v="3.5"/>
    <x v="121"/>
    <x v="4"/>
    <x v="4"/>
    <x v="2"/>
    <x v="0"/>
    <x v="1"/>
    <x v="714"/>
    <s v="Small Box"/>
    <n v="0.57999999999999996"/>
    <d v="2012-06-12T00:00:00"/>
    <n v="0"/>
    <n v="0"/>
    <n v="0.5"/>
    <n v="0.5"/>
  </r>
  <r>
    <n v="2412"/>
    <n v="17507"/>
    <x v="43"/>
    <x v="8"/>
    <s v="Medium"/>
    <n v="22"/>
    <n v="5393.27"/>
    <n v="0.1"/>
    <s v="Delivery Truck"/>
    <n v="353.72"/>
    <n v="270.97000000000003"/>
    <n v="28.06"/>
    <x v="121"/>
    <x v="4"/>
    <x v="4"/>
    <x v="2"/>
    <x v="1"/>
    <x v="16"/>
    <x v="241"/>
    <s v="Jumbo Drum"/>
    <n v="0.56000000000000005"/>
    <d v="2012-06-14T00:00:00"/>
    <n v="0"/>
    <n v="0"/>
    <n v="0.5"/>
    <n v="0.5"/>
  </r>
  <r>
    <n v="2442"/>
    <n v="17702"/>
    <x v="584"/>
    <x v="13"/>
    <s v="High"/>
    <n v="9"/>
    <n v="264.63"/>
    <n v="0.02"/>
    <s v="Express Air"/>
    <n v="-66.78"/>
    <n v="27.48"/>
    <n v="4"/>
    <x v="138"/>
    <x v="4"/>
    <x v="4"/>
    <x v="3"/>
    <x v="1"/>
    <x v="7"/>
    <x v="593"/>
    <s v="Small Box"/>
    <n v="0.75"/>
    <d v="2012-04-13T00:00:00"/>
    <n v="0"/>
    <n v="0"/>
    <n v="0.5"/>
    <n v="0.5"/>
  </r>
  <r>
    <n v="2453"/>
    <n v="17831"/>
    <x v="310"/>
    <x v="1"/>
    <s v="Critical"/>
    <n v="34"/>
    <n v="239.3"/>
    <n v="0.06"/>
    <s v="Regular Air"/>
    <n v="41.31"/>
    <n v="6.98"/>
    <n v="2.83"/>
    <x v="132"/>
    <x v="4"/>
    <x v="4"/>
    <x v="2"/>
    <x v="2"/>
    <x v="4"/>
    <x v="715"/>
    <s v="Small Pack"/>
    <n v="0.37"/>
    <d v="2012-10-26T00:00:00"/>
    <n v="0"/>
    <n v="0"/>
    <n v="0.5"/>
    <n v="0.5"/>
  </r>
  <r>
    <n v="2454"/>
    <n v="17831"/>
    <x v="310"/>
    <x v="1"/>
    <s v="Critical"/>
    <n v="38"/>
    <n v="260.41000000000003"/>
    <n v="0"/>
    <s v="Express Air"/>
    <n v="-45.75"/>
    <n v="5.98"/>
    <n v="5.35"/>
    <x v="132"/>
    <x v="4"/>
    <x v="4"/>
    <x v="2"/>
    <x v="0"/>
    <x v="5"/>
    <x v="687"/>
    <s v="Small Box"/>
    <n v="0.4"/>
    <d v="2012-10-28T00:00:00"/>
    <n v="0"/>
    <n v="0"/>
    <n v="0.5"/>
    <n v="0.5"/>
  </r>
  <r>
    <n v="2498"/>
    <n v="18179"/>
    <x v="585"/>
    <x v="26"/>
    <s v="Not Specified"/>
    <n v="50"/>
    <n v="3075.83"/>
    <n v="0.03"/>
    <s v="Regular Air"/>
    <n v="1207.9100000000001"/>
    <n v="60.98"/>
    <n v="1.99"/>
    <x v="126"/>
    <x v="4"/>
    <x v="4"/>
    <x v="2"/>
    <x v="1"/>
    <x v="7"/>
    <x v="271"/>
    <s v="Small Pack"/>
    <n v="0.5"/>
    <d v="2009-08-01T00:00:00"/>
    <n v="0"/>
    <n v="0"/>
    <n v="0.33333333333333331"/>
    <n v="0.16666666666666666"/>
  </r>
  <r>
    <n v="2499"/>
    <n v="18179"/>
    <x v="585"/>
    <x v="26"/>
    <s v="Not Specified"/>
    <n v="24"/>
    <n v="73.37"/>
    <n v="0.04"/>
    <s v="Regular Air"/>
    <n v="16.100000000000001"/>
    <n v="3.08"/>
    <n v="0.99"/>
    <x v="126"/>
    <x v="4"/>
    <x v="4"/>
    <x v="2"/>
    <x v="0"/>
    <x v="11"/>
    <x v="245"/>
    <s v="Small Box"/>
    <n v="0.37"/>
    <d v="2009-08-02T00:00:00"/>
    <n v="0"/>
    <n v="0"/>
    <n v="0.33333333333333331"/>
    <n v="0.16666666666666666"/>
  </r>
  <r>
    <n v="2500"/>
    <n v="18179"/>
    <x v="585"/>
    <x v="26"/>
    <s v="Not Specified"/>
    <n v="50"/>
    <n v="527.6"/>
    <n v="0"/>
    <s v="Regular Air"/>
    <n v="221.59"/>
    <n v="10.31"/>
    <n v="1.79"/>
    <x v="126"/>
    <x v="4"/>
    <x v="4"/>
    <x v="2"/>
    <x v="0"/>
    <x v="5"/>
    <x v="171"/>
    <s v="Wrap Bag"/>
    <n v="0.38"/>
    <d v="2009-08-03T00:00:00"/>
    <n v="0"/>
    <n v="0"/>
    <n v="0.33333333333333331"/>
    <n v="0.16666666666666666"/>
  </r>
  <r>
    <n v="2629"/>
    <n v="19044"/>
    <x v="285"/>
    <x v="13"/>
    <s v="Low"/>
    <n v="32"/>
    <n v="4800.4399999999996"/>
    <n v="0.08"/>
    <s v="Regular Air"/>
    <n v="1912.92"/>
    <n v="150.97999999999999"/>
    <n v="13.99"/>
    <x v="128"/>
    <x v="4"/>
    <x v="4"/>
    <x v="2"/>
    <x v="1"/>
    <x v="16"/>
    <x v="221"/>
    <s v="Medium Box"/>
    <n v="0.38"/>
    <d v="2012-04-13T00:00:00"/>
    <n v="0"/>
    <n v="0"/>
    <n v="0.5"/>
    <n v="0.5"/>
  </r>
  <r>
    <n v="2630"/>
    <n v="19044"/>
    <x v="285"/>
    <x v="13"/>
    <s v="Low"/>
    <n v="29"/>
    <n v="271.33"/>
    <n v="7.0000000000000007E-2"/>
    <s v="Regular Air"/>
    <n v="-191.09"/>
    <n v="9.7100000000000009"/>
    <n v="9.4499999999999993"/>
    <x v="128"/>
    <x v="4"/>
    <x v="4"/>
    <x v="2"/>
    <x v="0"/>
    <x v="0"/>
    <x v="716"/>
    <s v="Small Box"/>
    <n v="0.6"/>
    <d v="2012-04-18T00:00:00"/>
    <n v="0"/>
    <n v="0"/>
    <n v="0.5"/>
    <n v="0.5"/>
  </r>
  <r>
    <n v="2690"/>
    <n v="19462"/>
    <x v="586"/>
    <x v="31"/>
    <s v="Medium"/>
    <n v="2"/>
    <n v="206.68"/>
    <n v="0"/>
    <s v="Regular Air"/>
    <n v="-156.47"/>
    <n v="80.98"/>
    <n v="35"/>
    <x v="138"/>
    <x v="4"/>
    <x v="4"/>
    <x v="3"/>
    <x v="0"/>
    <x v="0"/>
    <x v="73"/>
    <s v="Large Box"/>
    <n v="0.81"/>
    <d v="2011-09-21T00:00:00"/>
    <n v="0"/>
    <n v="0"/>
    <n v="1"/>
    <n v="1"/>
  </r>
  <r>
    <n v="2758"/>
    <n v="19936"/>
    <x v="587"/>
    <x v="32"/>
    <s v="Critical"/>
    <n v="19"/>
    <n v="36.75"/>
    <n v="0.06"/>
    <s v="Regular Air"/>
    <n v="-9.8209999999999997"/>
    <n v="1.88"/>
    <n v="1.49"/>
    <x v="119"/>
    <x v="4"/>
    <x v="4"/>
    <x v="3"/>
    <x v="0"/>
    <x v="2"/>
    <x v="74"/>
    <s v="Small Box"/>
    <n v="0.37"/>
    <d v="2012-11-14T00:00:00"/>
    <n v="0"/>
    <n v="0"/>
    <n v="0.5"/>
    <n v="0.5"/>
  </r>
  <r>
    <n v="2759"/>
    <n v="19936"/>
    <x v="587"/>
    <x v="32"/>
    <s v="Critical"/>
    <n v="41"/>
    <n v="1115.2"/>
    <n v="0.09"/>
    <s v="Regular Air"/>
    <n v="301.31"/>
    <n v="29.89"/>
    <n v="1.99"/>
    <x v="119"/>
    <x v="4"/>
    <x v="4"/>
    <x v="3"/>
    <x v="1"/>
    <x v="7"/>
    <x v="412"/>
    <s v="Small Pack"/>
    <n v="0.5"/>
    <d v="2012-11-14T00:00:00"/>
    <n v="0"/>
    <n v="0"/>
    <n v="0.5"/>
    <n v="0.5"/>
  </r>
  <r>
    <n v="2761"/>
    <n v="19972"/>
    <x v="588"/>
    <x v="8"/>
    <s v="Critical"/>
    <n v="6"/>
    <n v="97.86"/>
    <n v="0.04"/>
    <s v="Regular Air"/>
    <n v="-21.09"/>
    <n v="14.98"/>
    <n v="8.99"/>
    <x v="126"/>
    <x v="4"/>
    <x v="4"/>
    <x v="2"/>
    <x v="2"/>
    <x v="4"/>
    <x v="214"/>
    <s v="Small Pack"/>
    <n v="0.39"/>
    <d v="2012-06-18T00:00:00"/>
    <n v="0"/>
    <n v="0"/>
    <n v="1"/>
    <n v="1"/>
  </r>
  <r>
    <n v="2777"/>
    <n v="20038"/>
    <x v="6"/>
    <x v="6"/>
    <s v="Low"/>
    <n v="42"/>
    <n v="173.44"/>
    <n v="0.05"/>
    <s v="Regular Air"/>
    <n v="-172.4"/>
    <n v="4.1399999999999997"/>
    <n v="6.6"/>
    <x v="96"/>
    <x v="4"/>
    <x v="4"/>
    <x v="1"/>
    <x v="2"/>
    <x v="4"/>
    <x v="396"/>
    <s v="Small Box"/>
    <n v="0.49"/>
    <d v="2010-02-28T00:00:00"/>
    <n v="0"/>
    <n v="0"/>
    <n v="1"/>
    <n v="1"/>
  </r>
  <r>
    <n v="2824"/>
    <n v="20389"/>
    <x v="589"/>
    <x v="26"/>
    <s v="High"/>
    <n v="31"/>
    <n v="7477.78"/>
    <n v="0.09"/>
    <s v="Delivery Truck"/>
    <n v="883.29"/>
    <n v="260.98"/>
    <n v="41.91"/>
    <x v="126"/>
    <x v="4"/>
    <x v="4"/>
    <x v="2"/>
    <x v="2"/>
    <x v="9"/>
    <x v="242"/>
    <s v="Jumbo Box"/>
    <n v="0.59"/>
    <d v="2009-08-13T00:00:00"/>
    <n v="0"/>
    <n v="0"/>
    <n v="0.33333333333333331"/>
    <n v="0.16666666666666666"/>
  </r>
  <r>
    <n v="2825"/>
    <n v="20389"/>
    <x v="589"/>
    <x v="26"/>
    <s v="High"/>
    <n v="24"/>
    <n v="270.39"/>
    <n v="0.01"/>
    <s v="Regular Air"/>
    <n v="-30.42"/>
    <n v="10.52"/>
    <n v="7.94"/>
    <x v="126"/>
    <x v="4"/>
    <x v="4"/>
    <x v="2"/>
    <x v="2"/>
    <x v="4"/>
    <x v="717"/>
    <s v="Small Pack"/>
    <n v="0.52"/>
    <d v="2009-08-13T00:00:00"/>
    <n v="0"/>
    <n v="0"/>
    <n v="0.33333333333333331"/>
    <n v="0.16666666666666666"/>
  </r>
  <r>
    <n v="2826"/>
    <n v="20389"/>
    <x v="589"/>
    <x v="26"/>
    <s v="High"/>
    <n v="30"/>
    <n v="201.35"/>
    <n v="0.02"/>
    <s v="Express Air"/>
    <n v="-107.37"/>
    <n v="5.98"/>
    <n v="7.5"/>
    <x v="126"/>
    <x v="4"/>
    <x v="4"/>
    <x v="2"/>
    <x v="0"/>
    <x v="5"/>
    <x v="437"/>
    <s v="Small Box"/>
    <n v="0.4"/>
    <d v="2009-08-13T00:00:00"/>
    <n v="0"/>
    <n v="0"/>
    <n v="0.33333333333333331"/>
    <n v="0.16666666666666666"/>
  </r>
  <r>
    <n v="2829"/>
    <n v="20422"/>
    <x v="452"/>
    <x v="22"/>
    <s v="High"/>
    <n v="5"/>
    <n v="15.38"/>
    <n v="0.01"/>
    <s v="Regular Air"/>
    <n v="1.61"/>
    <n v="2.89"/>
    <n v="0.5"/>
    <x v="95"/>
    <x v="4"/>
    <x v="4"/>
    <x v="1"/>
    <x v="0"/>
    <x v="11"/>
    <x v="349"/>
    <s v="Small Box"/>
    <n v="0.38"/>
    <d v="2009-01-28T00:00:00"/>
    <n v="0"/>
    <n v="1"/>
    <n v="0.5"/>
    <n v="0.5"/>
  </r>
  <r>
    <n v="2864"/>
    <n v="20676"/>
    <x v="590"/>
    <x v="32"/>
    <s v="Low"/>
    <n v="22"/>
    <n v="43.97"/>
    <n v="0.04"/>
    <s v="Regular Air"/>
    <n v="-9.0504999999999995"/>
    <n v="1.88"/>
    <n v="1.49"/>
    <x v="122"/>
    <x v="4"/>
    <x v="4"/>
    <x v="2"/>
    <x v="0"/>
    <x v="2"/>
    <x v="74"/>
    <s v="Small Box"/>
    <n v="0.37"/>
    <d v="2012-11-26T00:00:00"/>
    <n v="0"/>
    <n v="0"/>
    <n v="1"/>
    <n v="1"/>
  </r>
  <r>
    <n v="2887"/>
    <n v="20807"/>
    <x v="42"/>
    <x v="29"/>
    <s v="Not Specified"/>
    <n v="39"/>
    <n v="6152.52"/>
    <n v="0.08"/>
    <s v="Delivery Truck"/>
    <n v="768.06"/>
    <n v="160.97999999999999"/>
    <n v="30"/>
    <x v="143"/>
    <x v="4"/>
    <x v="4"/>
    <x v="1"/>
    <x v="2"/>
    <x v="14"/>
    <x v="580"/>
    <s v="Jumbo Drum"/>
    <n v="0.62"/>
    <d v="2012-07-23T00:00:00"/>
    <n v="0"/>
    <n v="0"/>
    <n v="0.5"/>
    <n v="0.5"/>
  </r>
  <r>
    <n v="2890"/>
    <n v="20838"/>
    <x v="591"/>
    <x v="46"/>
    <s v="Not Specified"/>
    <n v="5"/>
    <n v="20.170000000000002"/>
    <n v="0.05"/>
    <s v="Regular Air"/>
    <n v="-15.42"/>
    <n v="3.28"/>
    <n v="3.97"/>
    <x v="122"/>
    <x v="4"/>
    <x v="4"/>
    <x v="1"/>
    <x v="0"/>
    <x v="12"/>
    <x v="429"/>
    <s v="Wrap Bag"/>
    <n v="0.56000000000000005"/>
    <d v="2009-04-11T00:00:00"/>
    <n v="0"/>
    <n v="0"/>
    <n v="0.5"/>
    <n v="0.5"/>
  </r>
  <r>
    <n v="2891"/>
    <n v="20838"/>
    <x v="591"/>
    <x v="46"/>
    <s v="Not Specified"/>
    <n v="21"/>
    <n v="235.98"/>
    <n v="0.03"/>
    <s v="Regular Air"/>
    <n v="11.82"/>
    <n v="10.98"/>
    <n v="3.37"/>
    <x v="122"/>
    <x v="4"/>
    <x v="4"/>
    <x v="1"/>
    <x v="0"/>
    <x v="15"/>
    <x v="340"/>
    <s v="Small Pack"/>
    <n v="0.56999999999999995"/>
    <d v="2009-04-11T00:00:00"/>
    <n v="0"/>
    <n v="0"/>
    <n v="0.5"/>
    <n v="0.5"/>
  </r>
  <r>
    <n v="2901"/>
    <n v="20960"/>
    <x v="592"/>
    <x v="27"/>
    <s v="Low"/>
    <n v="19"/>
    <n v="195.96"/>
    <n v="0.1"/>
    <s v="Regular Air"/>
    <n v="-104.82"/>
    <n v="10.97"/>
    <n v="6.5"/>
    <x v="119"/>
    <x v="4"/>
    <x v="4"/>
    <x v="2"/>
    <x v="1"/>
    <x v="7"/>
    <x v="217"/>
    <s v="Small Box"/>
    <n v="0.64"/>
    <d v="2011-11-23T00:00:00"/>
    <n v="0"/>
    <n v="0"/>
    <n v="1"/>
    <n v="1"/>
  </r>
  <r>
    <n v="2902"/>
    <n v="20961"/>
    <x v="169"/>
    <x v="38"/>
    <s v="Not Specified"/>
    <n v="34"/>
    <n v="6607.92"/>
    <n v="0.06"/>
    <s v="Regular Air"/>
    <n v="1462.7239999999999"/>
    <n v="199.99"/>
    <n v="24.49"/>
    <x v="121"/>
    <x v="4"/>
    <x v="4"/>
    <x v="2"/>
    <x v="1"/>
    <x v="13"/>
    <x v="473"/>
    <s v="Large Box"/>
    <n v="0.46"/>
    <d v="2010-01-16T00:00:00"/>
    <n v="1"/>
    <n v="0"/>
    <n v="1"/>
    <n v="1"/>
  </r>
  <r>
    <n v="2949"/>
    <n v="21350"/>
    <x v="593"/>
    <x v="44"/>
    <s v="Medium"/>
    <n v="30"/>
    <n v="278.94"/>
    <n v="0.01"/>
    <s v="Regular Air"/>
    <n v="-143.69999999999999"/>
    <n v="9.06"/>
    <n v="9.86"/>
    <x v="127"/>
    <x v="4"/>
    <x v="4"/>
    <x v="2"/>
    <x v="0"/>
    <x v="5"/>
    <x v="718"/>
    <s v="Small Box"/>
    <n v="0.4"/>
    <d v="2011-02-25T00:00:00"/>
    <n v="0"/>
    <n v="0"/>
    <n v="1"/>
    <n v="0.33333333333333331"/>
  </r>
  <r>
    <n v="2986"/>
    <n v="21572"/>
    <x v="594"/>
    <x v="40"/>
    <s v="Critical"/>
    <n v="42"/>
    <n v="8549.0400000000009"/>
    <n v="0.03"/>
    <s v="Regular Air"/>
    <n v="2861.01"/>
    <n v="194.3"/>
    <n v="11.54"/>
    <x v="135"/>
    <x v="4"/>
    <x v="4"/>
    <x v="3"/>
    <x v="2"/>
    <x v="4"/>
    <x v="104"/>
    <s v="Large Box"/>
    <n v="0.59"/>
    <d v="2009-02-15T00:00:00"/>
    <n v="0"/>
    <n v="0"/>
    <n v="1"/>
    <n v="1"/>
  </r>
  <r>
    <n v="3014"/>
    <n v="21671"/>
    <x v="481"/>
    <x v="30"/>
    <s v="High"/>
    <n v="15"/>
    <n v="670.94"/>
    <n v="0.02"/>
    <s v="Regular Air"/>
    <n v="87.51"/>
    <n v="45.19"/>
    <n v="1.99"/>
    <x v="134"/>
    <x v="4"/>
    <x v="4"/>
    <x v="1"/>
    <x v="1"/>
    <x v="7"/>
    <x v="256"/>
    <s v="Small Pack"/>
    <n v="0.55000000000000004"/>
    <d v="2010-06-18T00:00:00"/>
    <n v="0"/>
    <n v="0"/>
    <n v="1"/>
    <n v="1"/>
  </r>
  <r>
    <n v="3156"/>
    <n v="22657"/>
    <x v="595"/>
    <x v="17"/>
    <s v="High"/>
    <n v="36"/>
    <n v="9544.18"/>
    <n v="0"/>
    <s v="Express Air"/>
    <n v="3392.88"/>
    <n v="256.99"/>
    <n v="11.25"/>
    <x v="127"/>
    <x v="4"/>
    <x v="4"/>
    <x v="2"/>
    <x v="1"/>
    <x v="7"/>
    <x v="719"/>
    <s v="Small Box"/>
    <n v="0.51"/>
    <d v="2011-10-30T00:00:00"/>
    <n v="0"/>
    <n v="0"/>
    <n v="0.5"/>
    <n v="0.5"/>
  </r>
  <r>
    <n v="3157"/>
    <n v="22657"/>
    <x v="595"/>
    <x v="17"/>
    <s v="High"/>
    <n v="8"/>
    <n v="32.92"/>
    <n v="0.05"/>
    <s v="Regular Air"/>
    <n v="-7.73"/>
    <n v="3.95"/>
    <n v="2"/>
    <x v="127"/>
    <x v="4"/>
    <x v="4"/>
    <x v="2"/>
    <x v="0"/>
    <x v="6"/>
    <x v="11"/>
    <s v="Wrap Bag"/>
    <n v="0.53"/>
    <d v="2011-10-30T00:00:00"/>
    <n v="0"/>
    <n v="0"/>
    <n v="0.5"/>
    <n v="0.5"/>
  </r>
  <r>
    <n v="3238"/>
    <n v="23207"/>
    <x v="596"/>
    <x v="0"/>
    <s v="Critical"/>
    <n v="11"/>
    <n v="336.91"/>
    <n v="0.1"/>
    <s v="Regular Air"/>
    <n v="42.5"/>
    <n v="30.98"/>
    <n v="8.74"/>
    <x v="127"/>
    <x v="4"/>
    <x v="4"/>
    <x v="2"/>
    <x v="0"/>
    <x v="5"/>
    <x v="720"/>
    <s v="Small Box"/>
    <n v="0.4"/>
    <d v="2010-10-23T00:00:00"/>
    <n v="0"/>
    <n v="0"/>
    <n v="1"/>
    <n v="1"/>
  </r>
  <r>
    <n v="3346"/>
    <n v="23940"/>
    <x v="274"/>
    <x v="37"/>
    <s v="Medium"/>
    <n v="20"/>
    <n v="138.52000000000001"/>
    <n v="0.03"/>
    <s v="Regular Air"/>
    <n v="-895.24"/>
    <n v="4.4800000000000004"/>
    <n v="49"/>
    <x v="129"/>
    <x v="4"/>
    <x v="4"/>
    <x v="3"/>
    <x v="0"/>
    <x v="1"/>
    <x v="43"/>
    <s v="Large Box"/>
    <n v="0.6"/>
    <d v="2011-04-09T00:00:00"/>
    <n v="0"/>
    <n v="0"/>
    <n v="0.5"/>
    <n v="0.33333333333333331"/>
  </r>
  <r>
    <n v="3347"/>
    <n v="23940"/>
    <x v="274"/>
    <x v="37"/>
    <s v="Medium"/>
    <n v="11"/>
    <n v="1735.59"/>
    <n v="0.02"/>
    <s v="Delivery Truck"/>
    <n v="-506.43"/>
    <n v="150.88999999999999"/>
    <n v="60.2"/>
    <x v="129"/>
    <x v="4"/>
    <x v="4"/>
    <x v="3"/>
    <x v="2"/>
    <x v="14"/>
    <x v="721"/>
    <s v="Jumbo Drum"/>
    <n v="0.77"/>
    <d v="2011-04-11T00:00:00"/>
    <n v="0"/>
    <n v="0"/>
    <n v="0.5"/>
    <n v="0.33333333333333331"/>
  </r>
  <r>
    <n v="3425"/>
    <n v="24450"/>
    <x v="168"/>
    <x v="29"/>
    <s v="Critical"/>
    <n v="37"/>
    <n v="443.35"/>
    <n v="0.02"/>
    <s v="Regular Air"/>
    <n v="-21.73"/>
    <n v="11.97"/>
    <n v="4.9800000000000004"/>
    <x v="131"/>
    <x v="4"/>
    <x v="4"/>
    <x v="1"/>
    <x v="0"/>
    <x v="1"/>
    <x v="165"/>
    <s v="Small Box"/>
    <n v="0.57999999999999996"/>
    <d v="2012-07-11T00:00:00"/>
    <n v="0"/>
    <n v="0"/>
    <n v="0.33333333333333331"/>
    <n v="0.2"/>
  </r>
  <r>
    <n v="3426"/>
    <n v="24450"/>
    <x v="168"/>
    <x v="29"/>
    <s v="Critical"/>
    <n v="41"/>
    <n v="392.61"/>
    <n v="0.08"/>
    <s v="Express Air"/>
    <n v="-100.15"/>
    <n v="9.48"/>
    <n v="7.29"/>
    <x v="131"/>
    <x v="4"/>
    <x v="4"/>
    <x v="1"/>
    <x v="2"/>
    <x v="4"/>
    <x v="722"/>
    <s v="Small Pack"/>
    <n v="0.45"/>
    <d v="2012-07-12T00:00:00"/>
    <n v="0"/>
    <n v="0"/>
    <n v="0.33333333333333331"/>
    <n v="0.2"/>
  </r>
  <r>
    <n v="3427"/>
    <n v="24450"/>
    <x v="168"/>
    <x v="29"/>
    <s v="Critical"/>
    <n v="4"/>
    <n v="30.85"/>
    <n v="0.03"/>
    <s v="Regular Air"/>
    <n v="-12.88"/>
    <n v="5.98"/>
    <n v="5.79"/>
    <x v="131"/>
    <x v="4"/>
    <x v="4"/>
    <x v="1"/>
    <x v="0"/>
    <x v="5"/>
    <x v="723"/>
    <s v="Small Box"/>
    <n v="0.36"/>
    <d v="2012-07-11T00:00:00"/>
    <n v="0"/>
    <n v="0"/>
    <n v="0.33333333333333331"/>
    <n v="0.2"/>
  </r>
  <r>
    <n v="3446"/>
    <n v="24580"/>
    <x v="597"/>
    <x v="8"/>
    <s v="High"/>
    <n v="25"/>
    <n v="1081.22"/>
    <n v="0.08"/>
    <s v="Regular Air"/>
    <n v="130.80000000000001"/>
    <n v="43.98"/>
    <n v="8.99"/>
    <x v="138"/>
    <x v="4"/>
    <x v="4"/>
    <x v="2"/>
    <x v="0"/>
    <x v="12"/>
    <x v="672"/>
    <s v="Small Pack"/>
    <n v="0.57999999999999996"/>
    <d v="2012-06-24T00:00:00"/>
    <n v="0"/>
    <n v="0"/>
    <n v="0.5"/>
    <n v="0.33333333333333331"/>
  </r>
  <r>
    <n v="3447"/>
    <n v="24580"/>
    <x v="597"/>
    <x v="8"/>
    <s v="High"/>
    <n v="14"/>
    <n v="36.409999999999997"/>
    <n v="0.01"/>
    <s v="Regular Air"/>
    <n v="-31.45"/>
    <n v="2.23"/>
    <n v="4.57"/>
    <x v="138"/>
    <x v="4"/>
    <x v="4"/>
    <x v="2"/>
    <x v="2"/>
    <x v="4"/>
    <x v="402"/>
    <s v="Small Pack"/>
    <n v="0.41"/>
    <d v="2012-06-25T00:00:00"/>
    <n v="0"/>
    <n v="0"/>
    <n v="0.5"/>
    <n v="0.33333333333333331"/>
  </r>
  <r>
    <n v="3488"/>
    <n v="24833"/>
    <x v="598"/>
    <x v="42"/>
    <s v="Not Specified"/>
    <n v="45"/>
    <n v="5205.83"/>
    <n v="0.08"/>
    <s v="Delivery Truck"/>
    <n v="-818.76600000000008"/>
    <n v="124.49"/>
    <n v="51.94"/>
    <x v="96"/>
    <x v="4"/>
    <x v="4"/>
    <x v="0"/>
    <x v="2"/>
    <x v="10"/>
    <x v="307"/>
    <s v="Jumbo Box"/>
    <n v="0.63"/>
    <d v="2010-07-18T00:00:00"/>
    <n v="0"/>
    <n v="0"/>
    <n v="1"/>
    <n v="1"/>
  </r>
  <r>
    <n v="3498"/>
    <n v="24933"/>
    <x v="442"/>
    <x v="36"/>
    <s v="Low"/>
    <n v="32"/>
    <n v="3416.38"/>
    <n v="0.01"/>
    <s v="Delivery Truck"/>
    <n v="-1142.2"/>
    <n v="100.98"/>
    <n v="57.38"/>
    <x v="122"/>
    <x v="4"/>
    <x v="4"/>
    <x v="1"/>
    <x v="2"/>
    <x v="9"/>
    <x v="65"/>
    <s v="Jumbo Box"/>
    <n v="0.78"/>
    <d v="2009-07-28T00:00:00"/>
    <n v="0"/>
    <n v="0"/>
    <n v="0.5"/>
    <n v="0.5"/>
  </r>
  <r>
    <n v="3499"/>
    <n v="24933"/>
    <x v="442"/>
    <x v="36"/>
    <s v="Low"/>
    <n v="14"/>
    <n v="142.81"/>
    <n v="0.01"/>
    <s v="Regular Air"/>
    <n v="39.64"/>
    <n v="10.14"/>
    <n v="2.27"/>
    <x v="122"/>
    <x v="4"/>
    <x v="4"/>
    <x v="1"/>
    <x v="0"/>
    <x v="5"/>
    <x v="88"/>
    <s v="Wrap Bag"/>
    <n v="0.36"/>
    <d v="2009-07-28T00:00:00"/>
    <n v="0"/>
    <n v="0"/>
    <n v="0.5"/>
    <n v="0.5"/>
  </r>
  <r>
    <n v="3514"/>
    <n v="25031"/>
    <x v="599"/>
    <x v="26"/>
    <s v="High"/>
    <n v="24"/>
    <n v="4636.62"/>
    <n v="0.1"/>
    <s v="Regular Air"/>
    <n v="-318.45177000000007"/>
    <n v="209.37"/>
    <n v="69"/>
    <x v="96"/>
    <x v="4"/>
    <x v="4"/>
    <x v="1"/>
    <x v="2"/>
    <x v="10"/>
    <x v="724"/>
    <s v="Large Box"/>
    <n v="0.79"/>
    <d v="2009-08-25T00:00:00"/>
    <n v="0"/>
    <n v="0"/>
    <n v="0.5"/>
    <n v="0.5"/>
  </r>
  <r>
    <n v="3515"/>
    <n v="25031"/>
    <x v="599"/>
    <x v="26"/>
    <s v="High"/>
    <n v="20"/>
    <n v="100.11"/>
    <n v="7.0000000000000007E-2"/>
    <s v="Regular Air"/>
    <n v="-41.7"/>
    <n v="4.9800000000000004"/>
    <n v="4.7"/>
    <x v="96"/>
    <x v="4"/>
    <x v="4"/>
    <x v="1"/>
    <x v="0"/>
    <x v="5"/>
    <x v="725"/>
    <s v="Small Box"/>
    <n v="0.38"/>
    <d v="2009-08-24T00:00:00"/>
    <n v="0"/>
    <n v="0"/>
    <n v="0.5"/>
    <n v="0.5"/>
  </r>
  <r>
    <n v="3590"/>
    <n v="25633"/>
    <x v="600"/>
    <x v="21"/>
    <s v="Low"/>
    <n v="36"/>
    <n v="5140.08"/>
    <n v="0.06"/>
    <s v="Delivery Truck"/>
    <n v="-582.42600000000004"/>
    <n v="145.97999999999999"/>
    <n v="51.92"/>
    <x v="96"/>
    <x v="4"/>
    <x v="4"/>
    <x v="3"/>
    <x v="2"/>
    <x v="10"/>
    <x v="726"/>
    <s v="Jumbo Box"/>
    <n v="0.69"/>
    <d v="2011-08-06T00:00:00"/>
    <n v="0"/>
    <n v="0"/>
    <n v="1"/>
    <n v="1"/>
  </r>
  <r>
    <n v="3593"/>
    <n v="25635"/>
    <x v="601"/>
    <x v="20"/>
    <s v="Critical"/>
    <n v="14"/>
    <n v="633.08000000000004"/>
    <n v="0.04"/>
    <s v="Express Air"/>
    <n v="145.47999999999999"/>
    <n v="42.98"/>
    <n v="4.62"/>
    <x v="96"/>
    <x v="4"/>
    <x v="4"/>
    <x v="2"/>
    <x v="0"/>
    <x v="1"/>
    <x v="667"/>
    <s v="Small Box"/>
    <n v="0.56000000000000005"/>
    <d v="2012-05-30T00:00:00"/>
    <n v="0"/>
    <n v="0"/>
    <n v="0.5"/>
    <n v="0.5"/>
  </r>
  <r>
    <n v="3594"/>
    <n v="25635"/>
    <x v="601"/>
    <x v="20"/>
    <s v="Critical"/>
    <n v="22"/>
    <n v="110.42"/>
    <n v="0.09"/>
    <s v="Regular Air"/>
    <n v="-36.6"/>
    <n v="5.08"/>
    <n v="3.63"/>
    <x v="96"/>
    <x v="4"/>
    <x v="4"/>
    <x v="2"/>
    <x v="2"/>
    <x v="4"/>
    <x v="727"/>
    <s v="Wrap Bag"/>
    <n v="0.51"/>
    <d v="2012-05-30T00:00:00"/>
    <n v="0"/>
    <n v="0"/>
    <n v="0.5"/>
    <n v="0.5"/>
  </r>
  <r>
    <n v="3618"/>
    <n v="25830"/>
    <x v="139"/>
    <x v="39"/>
    <s v="Low"/>
    <n v="5"/>
    <n v="25.34"/>
    <n v="0.1"/>
    <s v="Regular Air"/>
    <n v="-21.29"/>
    <n v="4.0599999999999996"/>
    <n v="6.89"/>
    <x v="143"/>
    <x v="4"/>
    <x v="4"/>
    <x v="1"/>
    <x v="0"/>
    <x v="1"/>
    <x v="283"/>
    <s v="Small Box"/>
    <n v="0.6"/>
    <d v="2010-05-06T00:00:00"/>
    <n v="0"/>
    <n v="0"/>
    <n v="0.5"/>
    <n v="0.5"/>
  </r>
  <r>
    <n v="3619"/>
    <n v="25830"/>
    <x v="139"/>
    <x v="39"/>
    <s v="Low"/>
    <n v="11"/>
    <n v="178.57"/>
    <n v="0.05"/>
    <s v="Regular Air"/>
    <n v="-37.386499999999998"/>
    <n v="15.28"/>
    <n v="10.91"/>
    <x v="143"/>
    <x v="4"/>
    <x v="4"/>
    <x v="1"/>
    <x v="0"/>
    <x v="2"/>
    <x v="419"/>
    <s v="Small Box"/>
    <n v="0.36"/>
    <d v="2010-05-11T00:00:00"/>
    <n v="0"/>
    <n v="0"/>
    <n v="0.5"/>
    <n v="0.5"/>
  </r>
  <r>
    <n v="3684"/>
    <n v="26342"/>
    <x v="602"/>
    <x v="19"/>
    <s v="Low"/>
    <n v="24"/>
    <n v="265.35000000000002"/>
    <n v="0.02"/>
    <s v="Regular Air"/>
    <n v="-128.69"/>
    <n v="9.99"/>
    <n v="11.59"/>
    <x v="129"/>
    <x v="4"/>
    <x v="4"/>
    <x v="3"/>
    <x v="0"/>
    <x v="5"/>
    <x v="545"/>
    <s v="Small Box"/>
    <n v="0.4"/>
    <d v="2009-10-27T00:00:00"/>
    <n v="0"/>
    <n v="0"/>
    <n v="0.33333333333333331"/>
    <n v="0.33333333333333331"/>
  </r>
  <r>
    <n v="3685"/>
    <n v="26342"/>
    <x v="602"/>
    <x v="19"/>
    <s v="Low"/>
    <n v="41"/>
    <n v="1993.94"/>
    <n v="0.02"/>
    <s v="Regular Air"/>
    <n v="931.7"/>
    <n v="48.04"/>
    <n v="5.79"/>
    <x v="129"/>
    <x v="4"/>
    <x v="4"/>
    <x v="3"/>
    <x v="0"/>
    <x v="5"/>
    <x v="728"/>
    <s v="Small Box"/>
    <n v="0.37"/>
    <d v="2009-10-23T00:00:00"/>
    <n v="0"/>
    <n v="0"/>
    <n v="0.33333333333333331"/>
    <n v="0.33333333333333331"/>
  </r>
  <r>
    <n v="3686"/>
    <n v="26342"/>
    <x v="602"/>
    <x v="19"/>
    <s v="Low"/>
    <n v="3"/>
    <n v="24.73"/>
    <n v="0.04"/>
    <s v="Regular Air"/>
    <n v="-10.77"/>
    <n v="6.68"/>
    <n v="4.91"/>
    <x v="129"/>
    <x v="4"/>
    <x v="4"/>
    <x v="3"/>
    <x v="0"/>
    <x v="5"/>
    <x v="729"/>
    <s v="Small Box"/>
    <n v="0.37"/>
    <d v="2009-10-25T00:00:00"/>
    <n v="0"/>
    <n v="0"/>
    <n v="0.33333333333333331"/>
    <n v="0.33333333333333331"/>
  </r>
  <r>
    <n v="3687"/>
    <n v="26368"/>
    <x v="427"/>
    <x v="42"/>
    <s v="Medium"/>
    <n v="25"/>
    <n v="1809.0125"/>
    <n v="0.01"/>
    <s v="Regular Air"/>
    <n v="795.05099999999993"/>
    <n v="85.99"/>
    <n v="2.5"/>
    <x v="122"/>
    <x v="4"/>
    <x v="4"/>
    <x v="2"/>
    <x v="1"/>
    <x v="3"/>
    <x v="315"/>
    <s v="Small Box"/>
    <n v="0.35"/>
    <d v="2010-07-17T00:00:00"/>
    <n v="0"/>
    <n v="0"/>
    <n v="1"/>
    <n v="1"/>
  </r>
  <r>
    <n v="3690"/>
    <n v="26372"/>
    <x v="603"/>
    <x v="36"/>
    <s v="Low"/>
    <n v="1"/>
    <n v="31.96"/>
    <n v="0.01"/>
    <s v="Regular Air"/>
    <n v="-74.64"/>
    <n v="29.89"/>
    <n v="1.99"/>
    <x v="127"/>
    <x v="4"/>
    <x v="4"/>
    <x v="2"/>
    <x v="1"/>
    <x v="7"/>
    <x v="412"/>
    <s v="Small Pack"/>
    <n v="0.5"/>
    <d v="2009-07-16T00:00:00"/>
    <n v="0"/>
    <n v="0"/>
    <n v="1"/>
    <n v="1"/>
  </r>
  <r>
    <n v="3743"/>
    <n v="26756"/>
    <x v="559"/>
    <x v="20"/>
    <s v="Medium"/>
    <n v="25"/>
    <n v="767.26"/>
    <n v="7.0000000000000007E-2"/>
    <s v="Regular Air"/>
    <n v="-29.56"/>
    <n v="30.97"/>
    <n v="4"/>
    <x v="119"/>
    <x v="4"/>
    <x v="4"/>
    <x v="3"/>
    <x v="1"/>
    <x v="7"/>
    <x v="730"/>
    <s v="Small Box"/>
    <n v="0.74"/>
    <d v="2012-05-10T00:00:00"/>
    <n v="0"/>
    <n v="0"/>
    <n v="0.33333333333333331"/>
    <n v="0.33333333333333331"/>
  </r>
  <r>
    <n v="3744"/>
    <n v="26756"/>
    <x v="559"/>
    <x v="20"/>
    <s v="Medium"/>
    <n v="40"/>
    <n v="253.89"/>
    <n v="0.09"/>
    <s v="Regular Air"/>
    <n v="-103.77"/>
    <n v="6.48"/>
    <n v="6.22"/>
    <x v="119"/>
    <x v="4"/>
    <x v="4"/>
    <x v="3"/>
    <x v="0"/>
    <x v="5"/>
    <x v="731"/>
    <s v="Small Box"/>
    <n v="0.37"/>
    <d v="2012-05-12T00:00:00"/>
    <n v="0"/>
    <n v="0"/>
    <n v="0.33333333333333331"/>
    <n v="0.33333333333333331"/>
  </r>
  <r>
    <n v="3745"/>
    <n v="26756"/>
    <x v="559"/>
    <x v="20"/>
    <s v="Medium"/>
    <n v="20"/>
    <n v="127.9"/>
    <n v="7.0000000000000007E-2"/>
    <s v="Regular Air"/>
    <n v="-80.41"/>
    <n v="6.48"/>
    <n v="7.37"/>
    <x v="119"/>
    <x v="4"/>
    <x v="4"/>
    <x v="3"/>
    <x v="0"/>
    <x v="5"/>
    <x v="673"/>
    <s v="Small Box"/>
    <n v="0.37"/>
    <d v="2012-05-12T00:00:00"/>
    <n v="0"/>
    <n v="0"/>
    <n v="0.33333333333333331"/>
    <n v="0.33333333333333331"/>
  </r>
  <r>
    <n v="3757"/>
    <n v="26851"/>
    <x v="604"/>
    <x v="2"/>
    <s v="High"/>
    <n v="44"/>
    <n v="73.64"/>
    <n v="7.0000000000000007E-2"/>
    <s v="Regular Air"/>
    <n v="-58.87"/>
    <n v="1.7"/>
    <n v="1.99"/>
    <x v="144"/>
    <x v="4"/>
    <x v="4"/>
    <x v="2"/>
    <x v="1"/>
    <x v="7"/>
    <x v="732"/>
    <s v="Small Pack"/>
    <n v="0.51"/>
    <d v="2011-07-26T00:00:00"/>
    <n v="0"/>
    <n v="0"/>
    <n v="1"/>
    <n v="1"/>
  </r>
  <r>
    <n v="3787"/>
    <n v="26981"/>
    <x v="263"/>
    <x v="9"/>
    <s v="Medium"/>
    <n v="13"/>
    <n v="603.34699999999998"/>
    <n v="0.08"/>
    <s v="Regular Air"/>
    <n v="142.983"/>
    <n v="55.99"/>
    <n v="1.25"/>
    <x v="135"/>
    <x v="4"/>
    <x v="4"/>
    <x v="3"/>
    <x v="1"/>
    <x v="3"/>
    <x v="733"/>
    <s v="Small Pack"/>
    <n v="0.35"/>
    <d v="2012-08-30T00:00:00"/>
    <n v="0"/>
    <n v="0"/>
    <n v="0.5"/>
    <n v="0.5"/>
  </r>
  <r>
    <n v="3788"/>
    <n v="26981"/>
    <x v="263"/>
    <x v="9"/>
    <s v="Medium"/>
    <n v="44"/>
    <n v="770.53"/>
    <n v="0.04"/>
    <s v="Regular Air"/>
    <n v="30.17"/>
    <n v="16.91"/>
    <n v="6.25"/>
    <x v="135"/>
    <x v="4"/>
    <x v="4"/>
    <x v="3"/>
    <x v="0"/>
    <x v="0"/>
    <x v="624"/>
    <s v="Small Box"/>
    <n v="0.57999999999999996"/>
    <d v="2012-08-31T00:00:00"/>
    <n v="0"/>
    <n v="0"/>
    <n v="0.5"/>
    <n v="0.5"/>
  </r>
  <r>
    <n v="3827"/>
    <n v="27298"/>
    <x v="142"/>
    <x v="27"/>
    <s v="Low"/>
    <n v="40"/>
    <n v="7813.7"/>
    <n v="0.09"/>
    <s v="Regular Air"/>
    <n v="2154.33"/>
    <n v="199.99"/>
    <n v="24.49"/>
    <x v="145"/>
    <x v="4"/>
    <x v="4"/>
    <x v="0"/>
    <x v="1"/>
    <x v="13"/>
    <x v="473"/>
    <s v="Large Box"/>
    <n v="0.46"/>
    <d v="2011-11-23T00:00:00"/>
    <n v="0"/>
    <n v="0"/>
    <n v="0.5"/>
    <n v="0.5"/>
  </r>
  <r>
    <n v="3828"/>
    <n v="27298"/>
    <x v="142"/>
    <x v="27"/>
    <s v="Low"/>
    <n v="31"/>
    <n v="164.92"/>
    <n v="0.04"/>
    <s v="Regular Air"/>
    <n v="-54.36"/>
    <n v="4.9800000000000004"/>
    <n v="4.8600000000000003"/>
    <x v="145"/>
    <x v="4"/>
    <x v="4"/>
    <x v="0"/>
    <x v="0"/>
    <x v="5"/>
    <x v="191"/>
    <s v="Small Box"/>
    <n v="0.38"/>
    <d v="2011-11-24T00:00:00"/>
    <n v="0"/>
    <n v="0"/>
    <n v="0.5"/>
    <n v="0.5"/>
  </r>
  <r>
    <n v="3834"/>
    <n v="27330"/>
    <x v="108"/>
    <x v="35"/>
    <s v="Low"/>
    <n v="8"/>
    <n v="507.74"/>
    <n v="0.05"/>
    <s v="Regular Air"/>
    <n v="-118.54"/>
    <n v="55.5"/>
    <n v="52.2"/>
    <x v="138"/>
    <x v="4"/>
    <x v="4"/>
    <x v="3"/>
    <x v="2"/>
    <x v="4"/>
    <x v="298"/>
    <s v="Medium Box"/>
    <n v="0.72"/>
    <d v="2009-09-16T00:00:00"/>
    <n v="0"/>
    <n v="0"/>
    <n v="0.5"/>
    <n v="0.5"/>
  </r>
  <r>
    <n v="3835"/>
    <n v="27330"/>
    <x v="108"/>
    <x v="35"/>
    <s v="Low"/>
    <n v="30"/>
    <n v="12600.99"/>
    <n v="0.05"/>
    <s v="Delivery Truck"/>
    <n v="2963.48"/>
    <n v="442.14"/>
    <n v="14.7"/>
    <x v="138"/>
    <x v="4"/>
    <x v="4"/>
    <x v="3"/>
    <x v="1"/>
    <x v="16"/>
    <x v="330"/>
    <s v="Jumbo Drum"/>
    <n v="0.56000000000000005"/>
    <d v="2009-09-25T00:00:00"/>
    <n v="0"/>
    <n v="0"/>
    <n v="0.5"/>
    <n v="0.5"/>
  </r>
  <r>
    <n v="3896"/>
    <n v="27781"/>
    <x v="339"/>
    <x v="31"/>
    <s v="High"/>
    <n v="47"/>
    <n v="181.13"/>
    <n v="0"/>
    <s v="Regular Air"/>
    <n v="-11.39"/>
    <n v="3.69"/>
    <n v="2.5"/>
    <x v="130"/>
    <x v="4"/>
    <x v="4"/>
    <x v="0"/>
    <x v="0"/>
    <x v="8"/>
    <x v="500"/>
    <s v="Small Box"/>
    <n v="0.39"/>
    <d v="2011-09-17T00:00:00"/>
    <n v="0"/>
    <n v="0"/>
    <n v="1"/>
    <n v="1"/>
  </r>
  <r>
    <n v="3956"/>
    <n v="28225"/>
    <x v="605"/>
    <x v="22"/>
    <s v="Critical"/>
    <n v="9"/>
    <n v="206.04"/>
    <n v="0"/>
    <s v="Regular Air"/>
    <n v="-49.81"/>
    <n v="20.28"/>
    <n v="14.39"/>
    <x v="129"/>
    <x v="4"/>
    <x v="4"/>
    <x v="2"/>
    <x v="2"/>
    <x v="4"/>
    <x v="693"/>
    <s v="Small Box"/>
    <n v="0.47"/>
    <d v="2009-01-22T00:00:00"/>
    <n v="0"/>
    <n v="1"/>
    <n v="0.5"/>
    <n v="1"/>
  </r>
  <r>
    <n v="3975"/>
    <n v="28389"/>
    <x v="402"/>
    <x v="11"/>
    <s v="High"/>
    <n v="22"/>
    <n v="668.39"/>
    <n v="7.0000000000000007E-2"/>
    <s v="Regular Air"/>
    <n v="344.61"/>
    <n v="30.93"/>
    <n v="3.92"/>
    <x v="138"/>
    <x v="4"/>
    <x v="4"/>
    <x v="3"/>
    <x v="2"/>
    <x v="4"/>
    <x v="616"/>
    <s v="Small Pack"/>
    <n v="0.44"/>
    <d v="2009-11-04T00:00:00"/>
    <n v="0"/>
    <n v="0"/>
    <n v="0.33333333333333331"/>
    <n v="0.16666666666666666"/>
  </r>
  <r>
    <n v="3976"/>
    <n v="28389"/>
    <x v="402"/>
    <x v="11"/>
    <s v="High"/>
    <n v="16"/>
    <n v="4657.3500000000004"/>
    <n v="0.05"/>
    <s v="Delivery Truck"/>
    <n v="322.66000000000003"/>
    <n v="297.48"/>
    <n v="18.059999999999999"/>
    <x v="138"/>
    <x v="4"/>
    <x v="4"/>
    <x v="3"/>
    <x v="1"/>
    <x v="16"/>
    <x v="589"/>
    <s v="Jumbo Drum"/>
    <n v="0.6"/>
    <d v="2009-11-04T00:00:00"/>
    <n v="0"/>
    <n v="0"/>
    <n v="0.33333333333333331"/>
    <n v="0.16666666666666666"/>
  </r>
  <r>
    <n v="3977"/>
    <n v="28389"/>
    <x v="402"/>
    <x v="11"/>
    <s v="High"/>
    <n v="7"/>
    <n v="2097.94"/>
    <n v="7.0000000000000007E-2"/>
    <s v="Delivery Truck"/>
    <n v="-404.04599999999999"/>
    <n v="296.18"/>
    <n v="54.12"/>
    <x v="138"/>
    <x v="4"/>
    <x v="4"/>
    <x v="3"/>
    <x v="2"/>
    <x v="10"/>
    <x v="300"/>
    <s v="Jumbo Box"/>
    <n v="0.76"/>
    <d v="2009-11-05T00:00:00"/>
    <n v="0"/>
    <n v="0"/>
    <n v="0.33333333333333331"/>
    <n v="0.16666666666666666"/>
  </r>
  <r>
    <n v="4054"/>
    <n v="28898"/>
    <x v="29"/>
    <x v="10"/>
    <s v="Low"/>
    <n v="44"/>
    <n v="246"/>
    <n v="0.1"/>
    <s v="Regular Air"/>
    <n v="-207.36"/>
    <n v="5.78"/>
    <n v="7.96"/>
    <x v="138"/>
    <x v="4"/>
    <x v="4"/>
    <x v="2"/>
    <x v="0"/>
    <x v="5"/>
    <x v="586"/>
    <s v="Small Box"/>
    <n v="0.36"/>
    <d v="2011-05-28T00:00:00"/>
    <n v="0"/>
    <n v="0"/>
    <n v="1"/>
    <n v="1"/>
  </r>
  <r>
    <n v="4056"/>
    <n v="28901"/>
    <x v="246"/>
    <x v="8"/>
    <s v="High"/>
    <n v="23"/>
    <n v="871.32"/>
    <n v="0.1"/>
    <s v="Regular Air"/>
    <n v="315.16000000000003"/>
    <n v="40.99"/>
    <n v="5.86"/>
    <x v="123"/>
    <x v="4"/>
    <x v="4"/>
    <x v="0"/>
    <x v="0"/>
    <x v="5"/>
    <x v="642"/>
    <s v="Small Box"/>
    <n v="0.36"/>
    <d v="2012-06-12T00:00:00"/>
    <n v="0"/>
    <n v="0"/>
    <n v="1"/>
    <n v="1"/>
  </r>
  <r>
    <n v="4091"/>
    <n v="29185"/>
    <x v="606"/>
    <x v="38"/>
    <s v="High"/>
    <n v="8"/>
    <n v="468.49"/>
    <n v="0.03"/>
    <s v="Regular Air"/>
    <n v="-6.37"/>
    <n v="56.96"/>
    <n v="13.22"/>
    <x v="128"/>
    <x v="4"/>
    <x v="4"/>
    <x v="2"/>
    <x v="0"/>
    <x v="1"/>
    <x v="407"/>
    <s v="Small Box"/>
    <n v="0.56000000000000005"/>
    <d v="2010-01-21T00:00:00"/>
    <n v="1"/>
    <n v="0"/>
    <n v="0.33333333333333331"/>
    <n v="0.33333333333333331"/>
  </r>
  <r>
    <n v="4092"/>
    <n v="29185"/>
    <x v="606"/>
    <x v="38"/>
    <s v="High"/>
    <n v="48"/>
    <n v="446.53"/>
    <n v="0.04"/>
    <s v="Express Air"/>
    <n v="-261.45"/>
    <n v="8.3699999999999992"/>
    <n v="10.16"/>
    <x v="128"/>
    <x v="4"/>
    <x v="4"/>
    <x v="2"/>
    <x v="2"/>
    <x v="4"/>
    <x v="734"/>
    <s v="Large Box"/>
    <n v="0.59"/>
    <d v="2010-01-22T00:00:00"/>
    <n v="1"/>
    <n v="0"/>
    <n v="0.33333333333333331"/>
    <n v="0.33333333333333331"/>
  </r>
  <r>
    <n v="4093"/>
    <n v="29185"/>
    <x v="606"/>
    <x v="38"/>
    <s v="High"/>
    <n v="5"/>
    <n v="217.85"/>
    <n v="0.02"/>
    <s v="Express Air"/>
    <n v="-25.31"/>
    <n v="40.99"/>
    <n v="17.48"/>
    <x v="128"/>
    <x v="4"/>
    <x v="4"/>
    <x v="2"/>
    <x v="0"/>
    <x v="5"/>
    <x v="129"/>
    <s v="Small Box"/>
    <n v="0.36"/>
    <d v="2010-01-22T00:00:00"/>
    <n v="1"/>
    <n v="0"/>
    <n v="0.33333333333333331"/>
    <n v="0.33333333333333331"/>
  </r>
  <r>
    <n v="4143"/>
    <n v="29408"/>
    <x v="607"/>
    <x v="39"/>
    <s v="Not Specified"/>
    <n v="44"/>
    <n v="4260.7299999999996"/>
    <n v="7.0000000000000007E-2"/>
    <s v="Delivery Truck"/>
    <n v="251.58"/>
    <n v="119.99"/>
    <n v="56.14"/>
    <x v="146"/>
    <x v="4"/>
    <x v="4"/>
    <x v="3"/>
    <x v="1"/>
    <x v="16"/>
    <x v="735"/>
    <s v="Jumbo Box"/>
    <n v="0.39"/>
    <d v="2010-05-03T00:00:00"/>
    <n v="0"/>
    <n v="0"/>
    <n v="1"/>
    <n v="0.5"/>
  </r>
  <r>
    <n v="4219"/>
    <n v="29985"/>
    <x v="608"/>
    <x v="29"/>
    <s v="Critical"/>
    <n v="22"/>
    <n v="196.75"/>
    <n v="0.03"/>
    <s v="Express Air"/>
    <n v="0.13"/>
    <n v="7.96"/>
    <n v="4.95"/>
    <x v="129"/>
    <x v="4"/>
    <x v="4"/>
    <x v="2"/>
    <x v="2"/>
    <x v="4"/>
    <x v="736"/>
    <s v="Small Box"/>
    <n v="0.41"/>
    <d v="2012-07-12T00:00:00"/>
    <n v="0"/>
    <n v="0"/>
    <n v="0.5"/>
    <n v="1"/>
  </r>
  <r>
    <n v="4220"/>
    <n v="29986"/>
    <x v="609"/>
    <x v="2"/>
    <s v="Critical"/>
    <n v="40"/>
    <n v="1477.39"/>
    <n v="0.03"/>
    <s v="Regular Air"/>
    <n v="641.40150000000006"/>
    <n v="37.700000000000003"/>
    <n v="2.99"/>
    <x v="128"/>
    <x v="4"/>
    <x v="4"/>
    <x v="2"/>
    <x v="0"/>
    <x v="2"/>
    <x v="737"/>
    <s v="Small Box"/>
    <n v="0.35"/>
    <d v="2011-07-03T00:00:00"/>
    <n v="0"/>
    <n v="0"/>
    <n v="1"/>
    <n v="1"/>
  </r>
  <r>
    <n v="4237"/>
    <n v="30147"/>
    <x v="610"/>
    <x v="8"/>
    <s v="Not Specified"/>
    <n v="37"/>
    <n v="740.14"/>
    <n v="0.06"/>
    <s v="Regular Air"/>
    <n v="29.73"/>
    <n v="19.98"/>
    <n v="10.49"/>
    <x v="147"/>
    <x v="4"/>
    <x v="4"/>
    <x v="1"/>
    <x v="2"/>
    <x v="4"/>
    <x v="66"/>
    <s v="Small Box"/>
    <n v="0.49"/>
    <d v="2012-06-19T00:00:00"/>
    <n v="0"/>
    <n v="0"/>
    <n v="1"/>
    <n v="1"/>
  </r>
  <r>
    <n v="4238"/>
    <n v="30149"/>
    <x v="611"/>
    <x v="15"/>
    <s v="Medium"/>
    <n v="8"/>
    <n v="16.47"/>
    <n v="0.1"/>
    <s v="Regular Air"/>
    <n v="-6.8194999999999997"/>
    <n v="2.08"/>
    <n v="1.49"/>
    <x v="138"/>
    <x v="4"/>
    <x v="4"/>
    <x v="2"/>
    <x v="0"/>
    <x v="2"/>
    <x v="610"/>
    <s v="Small Box"/>
    <n v="0.38"/>
    <d v="2010-12-13T00:00:00"/>
    <n v="0"/>
    <n v="0"/>
    <n v="0.33333333333333331"/>
    <n v="0.33333333333333331"/>
  </r>
  <r>
    <n v="4239"/>
    <n v="30149"/>
    <x v="611"/>
    <x v="15"/>
    <s v="Medium"/>
    <n v="5"/>
    <n v="173.62"/>
    <n v="0.09"/>
    <s v="Delivery Truck"/>
    <n v="-88.64"/>
    <n v="33.94"/>
    <n v="19.190000000000001"/>
    <x v="138"/>
    <x v="4"/>
    <x v="4"/>
    <x v="2"/>
    <x v="2"/>
    <x v="14"/>
    <x v="205"/>
    <s v="Jumbo Drum"/>
    <n v="0.57999999999999996"/>
    <d v="2010-12-14T00:00:00"/>
    <n v="0"/>
    <n v="0"/>
    <n v="0.33333333333333331"/>
    <n v="0.33333333333333331"/>
  </r>
  <r>
    <n v="4240"/>
    <n v="30149"/>
    <x v="611"/>
    <x v="15"/>
    <s v="Medium"/>
    <n v="50"/>
    <n v="690.97"/>
    <n v="0.03"/>
    <s v="Regular Air"/>
    <n v="-16.940000000000001"/>
    <n v="13.79"/>
    <n v="8.7799999999999994"/>
    <x v="138"/>
    <x v="4"/>
    <x v="4"/>
    <x v="2"/>
    <x v="2"/>
    <x v="4"/>
    <x v="494"/>
    <s v="Small Box"/>
    <n v="0.43"/>
    <d v="2010-12-15T00:00:00"/>
    <n v="0"/>
    <n v="0"/>
    <n v="0.33333333333333331"/>
    <n v="0.33333333333333331"/>
  </r>
  <r>
    <n v="4257"/>
    <n v="30310"/>
    <x v="612"/>
    <x v="13"/>
    <s v="Medium"/>
    <n v="21"/>
    <n v="2024.0284999999999"/>
    <n v="0.1"/>
    <s v="Regular Air"/>
    <n v="4.8960000000000106"/>
    <n v="125.99"/>
    <n v="8.8000000000000007"/>
    <x v="134"/>
    <x v="4"/>
    <x v="4"/>
    <x v="1"/>
    <x v="1"/>
    <x v="3"/>
    <x v="626"/>
    <s v="Small Box"/>
    <n v="0.59"/>
    <d v="2012-04-28T00:00:00"/>
    <n v="0"/>
    <n v="0"/>
    <n v="1"/>
    <n v="1"/>
  </r>
  <r>
    <n v="4407"/>
    <n v="31426"/>
    <x v="118"/>
    <x v="26"/>
    <s v="Low"/>
    <n v="40"/>
    <n v="4054.0579999999995"/>
    <n v="0.09"/>
    <s v="Regular Air"/>
    <n v="914.19299999999998"/>
    <n v="125.99"/>
    <n v="2.5"/>
    <x v="142"/>
    <x v="4"/>
    <x v="4"/>
    <x v="3"/>
    <x v="1"/>
    <x v="3"/>
    <x v="738"/>
    <s v="Small Box"/>
    <n v="0.6"/>
    <d v="2009-08-09T00:00:00"/>
    <n v="0"/>
    <n v="0"/>
    <n v="1"/>
    <n v="1"/>
  </r>
  <r>
    <n v="4471"/>
    <n v="31872"/>
    <x v="351"/>
    <x v="18"/>
    <s v="Low"/>
    <n v="34"/>
    <n v="2833.19"/>
    <n v="0.06"/>
    <s v="Express Air"/>
    <n v="1409.87"/>
    <n v="83.98"/>
    <n v="5.01"/>
    <x v="135"/>
    <x v="4"/>
    <x v="4"/>
    <x v="3"/>
    <x v="0"/>
    <x v="8"/>
    <x v="739"/>
    <s v="Small Box"/>
    <n v="0.38"/>
    <d v="2010-09-10T00:00:00"/>
    <n v="0"/>
    <n v="0"/>
    <n v="0.5"/>
    <n v="0.5"/>
  </r>
  <r>
    <n v="4472"/>
    <n v="31872"/>
    <x v="351"/>
    <x v="18"/>
    <s v="Low"/>
    <n v="30"/>
    <n v="4452.6499999999996"/>
    <n v="0.09"/>
    <s v="Delivery Truck"/>
    <n v="-265.12200000000001"/>
    <n v="159.31"/>
    <n v="60"/>
    <x v="135"/>
    <x v="4"/>
    <x v="4"/>
    <x v="3"/>
    <x v="2"/>
    <x v="10"/>
    <x v="740"/>
    <s v="Jumbo Drum"/>
    <n v="0.55000000000000004"/>
    <d v="2010-09-10T00:00:00"/>
    <n v="0"/>
    <n v="0"/>
    <n v="0.5"/>
    <n v="0.5"/>
  </r>
  <r>
    <n v="4477"/>
    <n v="31874"/>
    <x v="613"/>
    <x v="34"/>
    <s v="High"/>
    <n v="29"/>
    <n v="321.95"/>
    <n v="0.03"/>
    <s v="Express Air"/>
    <n v="20.76"/>
    <n v="10.98"/>
    <n v="3.37"/>
    <x v="122"/>
    <x v="4"/>
    <x v="4"/>
    <x v="2"/>
    <x v="0"/>
    <x v="15"/>
    <x v="340"/>
    <s v="Small Pack"/>
    <n v="0.56999999999999995"/>
    <d v="2012-09-15T00:00:00"/>
    <n v="0"/>
    <n v="0"/>
    <n v="0.5"/>
    <n v="0.5"/>
  </r>
  <r>
    <n v="4478"/>
    <n v="31874"/>
    <x v="613"/>
    <x v="34"/>
    <s v="High"/>
    <n v="39"/>
    <n v="13244.04"/>
    <n v="0.05"/>
    <s v="Delivery Truck"/>
    <n v="275.93"/>
    <n v="348.21"/>
    <n v="84.84"/>
    <x v="122"/>
    <x v="4"/>
    <x v="4"/>
    <x v="2"/>
    <x v="2"/>
    <x v="10"/>
    <x v="453"/>
    <s v="Jumbo Box"/>
    <n v="0.66"/>
    <d v="2012-09-15T00:00:00"/>
    <n v="0"/>
    <n v="0"/>
    <n v="0.5"/>
    <n v="0.5"/>
  </r>
  <r>
    <n v="4485"/>
    <n v="31938"/>
    <x v="614"/>
    <x v="2"/>
    <s v="Medium"/>
    <n v="13"/>
    <n v="1193.6199999999999"/>
    <n v="0.08"/>
    <s v="Delivery Truck"/>
    <n v="-304.47000000000003"/>
    <n v="89.99"/>
    <n v="42"/>
    <x v="122"/>
    <x v="4"/>
    <x v="4"/>
    <x v="1"/>
    <x v="2"/>
    <x v="14"/>
    <x v="668"/>
    <s v="Jumbo Drum"/>
    <n v="0.66"/>
    <d v="2011-07-28T00:00:00"/>
    <n v="0"/>
    <n v="0"/>
    <n v="0.5"/>
    <n v="0.5"/>
  </r>
  <r>
    <n v="4486"/>
    <n v="31938"/>
    <x v="614"/>
    <x v="2"/>
    <s v="Medium"/>
    <n v="47"/>
    <n v="363.23"/>
    <n v="0.05"/>
    <s v="Regular Air"/>
    <n v="40.58"/>
    <n v="7.59"/>
    <n v="4"/>
    <x v="122"/>
    <x v="4"/>
    <x v="4"/>
    <x v="1"/>
    <x v="2"/>
    <x v="4"/>
    <x v="378"/>
    <s v="Wrap Bag"/>
    <n v="0.42"/>
    <d v="2011-07-29T00:00:00"/>
    <n v="0"/>
    <n v="0"/>
    <n v="0.5"/>
    <n v="0.5"/>
  </r>
  <r>
    <n v="4576"/>
    <n v="32582"/>
    <x v="615"/>
    <x v="41"/>
    <s v="Not Specified"/>
    <n v="27"/>
    <n v="2780.88"/>
    <n v="7.0000000000000007E-2"/>
    <s v="Express Air"/>
    <n v="595.38"/>
    <n v="105.34"/>
    <n v="24.49"/>
    <x v="136"/>
    <x v="4"/>
    <x v="4"/>
    <x v="1"/>
    <x v="2"/>
    <x v="4"/>
    <x v="97"/>
    <s v="Large Box"/>
    <n v="0.61"/>
    <d v="2009-06-26T00:00:00"/>
    <n v="0"/>
    <n v="0"/>
    <n v="1"/>
    <n v="1"/>
  </r>
  <r>
    <n v="4580"/>
    <n v="32611"/>
    <x v="91"/>
    <x v="26"/>
    <s v="Medium"/>
    <n v="16"/>
    <n v="33.76"/>
    <n v="0.04"/>
    <s v="Regular Air"/>
    <n v="-7.1529999999999996"/>
    <n v="2.08"/>
    <n v="1.49"/>
    <x v="146"/>
    <x v="4"/>
    <x v="4"/>
    <x v="2"/>
    <x v="0"/>
    <x v="2"/>
    <x v="579"/>
    <s v="Small Box"/>
    <n v="0.36"/>
    <d v="2009-08-29T00:00:00"/>
    <n v="0"/>
    <n v="0"/>
    <n v="0.25"/>
    <n v="0.25"/>
  </r>
  <r>
    <n v="4581"/>
    <n v="32611"/>
    <x v="91"/>
    <x v="26"/>
    <s v="Medium"/>
    <n v="19"/>
    <n v="3537.39"/>
    <n v="0"/>
    <s v="Delivery Truck"/>
    <n v="232.78"/>
    <n v="180.98"/>
    <n v="30"/>
    <x v="146"/>
    <x v="4"/>
    <x v="4"/>
    <x v="2"/>
    <x v="2"/>
    <x v="14"/>
    <x v="741"/>
    <s v="Jumbo Drum"/>
    <n v="0.69"/>
    <d v="2009-08-28T00:00:00"/>
    <n v="0"/>
    <n v="0"/>
    <n v="0.25"/>
    <n v="0.25"/>
  </r>
  <r>
    <n v="4582"/>
    <n v="32611"/>
    <x v="91"/>
    <x v="26"/>
    <s v="Medium"/>
    <n v="18"/>
    <n v="986.24"/>
    <n v="0.02"/>
    <s v="Express Air"/>
    <n v="68.900000000000006"/>
    <n v="53.98"/>
    <n v="5.5"/>
    <x v="146"/>
    <x v="4"/>
    <x v="4"/>
    <x v="2"/>
    <x v="1"/>
    <x v="7"/>
    <x v="742"/>
    <s v="Small Box"/>
    <n v="0.62"/>
    <d v="2009-08-28T00:00:00"/>
    <n v="0"/>
    <n v="0"/>
    <n v="0.25"/>
    <n v="0.25"/>
  </r>
  <r>
    <n v="4583"/>
    <n v="32611"/>
    <x v="91"/>
    <x v="26"/>
    <s v="Medium"/>
    <n v="15"/>
    <n v="81.66"/>
    <n v="0.05"/>
    <s v="Regular Air"/>
    <n v="-31.99"/>
    <n v="4.9800000000000004"/>
    <n v="5.0199999999999996"/>
    <x v="146"/>
    <x v="4"/>
    <x v="4"/>
    <x v="2"/>
    <x v="0"/>
    <x v="5"/>
    <x v="549"/>
    <s v="Small Box"/>
    <n v="0.38"/>
    <d v="2009-08-27T00:00:00"/>
    <n v="0"/>
    <n v="0"/>
    <n v="0.25"/>
    <n v="0.25"/>
  </r>
  <r>
    <n v="4620"/>
    <n v="32901"/>
    <x v="209"/>
    <x v="16"/>
    <s v="Critical"/>
    <n v="13"/>
    <n v="49.74"/>
    <n v="0"/>
    <s v="Regular Air"/>
    <n v="17.7"/>
    <n v="3.75"/>
    <n v="0.5"/>
    <x v="146"/>
    <x v="4"/>
    <x v="4"/>
    <x v="2"/>
    <x v="0"/>
    <x v="11"/>
    <x v="743"/>
    <s v="Small Box"/>
    <n v="0.37"/>
    <d v="2011-01-11T00:00:00"/>
    <n v="0"/>
    <n v="0"/>
    <n v="1"/>
    <n v="1"/>
  </r>
  <r>
    <n v="4678"/>
    <n v="33284"/>
    <x v="616"/>
    <x v="33"/>
    <s v="Low"/>
    <n v="21"/>
    <n v="480.39"/>
    <n v="0.01"/>
    <s v="Regular Air"/>
    <n v="144.66"/>
    <n v="22.23"/>
    <n v="8.99"/>
    <x v="121"/>
    <x v="4"/>
    <x v="4"/>
    <x v="2"/>
    <x v="2"/>
    <x v="4"/>
    <x v="744"/>
    <s v="Small Pack"/>
    <n v="0.41"/>
    <d v="2012-04-02T00:00:00"/>
    <n v="0"/>
    <n v="0"/>
    <n v="1"/>
    <n v="1"/>
  </r>
  <r>
    <n v="4680"/>
    <n v="33287"/>
    <x v="617"/>
    <x v="37"/>
    <s v="Critical"/>
    <n v="44"/>
    <n v="11904.55"/>
    <n v="0"/>
    <s v="Delivery Truck"/>
    <n v="3909.33"/>
    <n v="270.97000000000003"/>
    <n v="28.06"/>
    <x v="120"/>
    <x v="4"/>
    <x v="4"/>
    <x v="0"/>
    <x v="1"/>
    <x v="16"/>
    <x v="241"/>
    <s v="Jumbo Drum"/>
    <n v="0.56000000000000005"/>
    <d v="2011-04-25T00:00:00"/>
    <n v="0"/>
    <n v="0"/>
    <n v="1"/>
    <n v="1"/>
  </r>
  <r>
    <n v="4745"/>
    <n v="33732"/>
    <x v="531"/>
    <x v="26"/>
    <s v="Not Specified"/>
    <n v="33"/>
    <n v="332.95"/>
    <n v="0.05"/>
    <s v="Regular Air"/>
    <n v="-28.16"/>
    <n v="9.65"/>
    <n v="6.22"/>
    <x v="144"/>
    <x v="4"/>
    <x v="4"/>
    <x v="2"/>
    <x v="2"/>
    <x v="4"/>
    <x v="50"/>
    <s v="Small Box"/>
    <n v="0.55000000000000004"/>
    <d v="2009-08-29T00:00:00"/>
    <n v="0"/>
    <n v="0"/>
    <n v="1"/>
    <n v="1"/>
  </r>
  <r>
    <n v="4843"/>
    <n v="34435"/>
    <x v="118"/>
    <x v="26"/>
    <s v="Low"/>
    <n v="42"/>
    <n v="447.36"/>
    <n v="0.01"/>
    <s v="Regular Air"/>
    <n v="40.92"/>
    <n v="10.48"/>
    <n v="2.89"/>
    <x v="143"/>
    <x v="4"/>
    <x v="4"/>
    <x v="1"/>
    <x v="0"/>
    <x v="12"/>
    <x v="373"/>
    <s v="Small Pack"/>
    <n v="0.6"/>
    <d v="2009-08-07T00:00:00"/>
    <n v="0"/>
    <n v="0"/>
    <n v="1"/>
    <n v="1"/>
  </r>
  <r>
    <n v="4899"/>
    <n v="34852"/>
    <x v="406"/>
    <x v="34"/>
    <s v="Low"/>
    <n v="26"/>
    <n v="53.93"/>
    <n v="0.04"/>
    <s v="Regular Air"/>
    <n v="-10.948"/>
    <n v="2.08"/>
    <n v="1.49"/>
    <x v="128"/>
    <x v="4"/>
    <x v="4"/>
    <x v="2"/>
    <x v="0"/>
    <x v="2"/>
    <x v="610"/>
    <s v="Small Box"/>
    <n v="0.38"/>
    <d v="2012-09-09T00:00:00"/>
    <n v="0"/>
    <n v="0"/>
    <n v="1"/>
    <n v="0.5"/>
  </r>
  <r>
    <n v="5001"/>
    <n v="35649"/>
    <x v="87"/>
    <x v="17"/>
    <s v="Medium"/>
    <n v="9"/>
    <n v="43.26"/>
    <n v="0.1"/>
    <s v="Regular Air"/>
    <n v="3.9015"/>
    <n v="4.82"/>
    <n v="1.49"/>
    <x v="143"/>
    <x v="4"/>
    <x v="4"/>
    <x v="1"/>
    <x v="0"/>
    <x v="2"/>
    <x v="745"/>
    <s v="Small Box"/>
    <n v="0.36"/>
    <d v="2011-10-11T00:00:00"/>
    <n v="0"/>
    <n v="0"/>
    <n v="0.5"/>
    <n v="0.5"/>
  </r>
  <r>
    <n v="5002"/>
    <n v="35649"/>
    <x v="87"/>
    <x v="17"/>
    <s v="Medium"/>
    <n v="25"/>
    <n v="174.03"/>
    <n v="0.02"/>
    <s v="Regular Air"/>
    <n v="-42.37"/>
    <n v="6.48"/>
    <n v="5.74"/>
    <x v="143"/>
    <x v="4"/>
    <x v="4"/>
    <x v="1"/>
    <x v="0"/>
    <x v="5"/>
    <x v="552"/>
    <s v="Small Box"/>
    <n v="0.37"/>
    <d v="2011-10-11T00:00:00"/>
    <n v="0"/>
    <n v="0"/>
    <n v="0.5"/>
    <n v="0.5"/>
  </r>
  <r>
    <n v="5121"/>
    <n v="36480"/>
    <x v="618"/>
    <x v="3"/>
    <s v="Medium"/>
    <n v="44"/>
    <n v="1190.8"/>
    <n v="7.0000000000000007E-2"/>
    <s v="Regular Air"/>
    <n v="502.48599999999999"/>
    <n v="28.53"/>
    <n v="1.49"/>
    <x v="121"/>
    <x v="4"/>
    <x v="4"/>
    <x v="2"/>
    <x v="0"/>
    <x v="2"/>
    <x v="257"/>
    <s v="Small Box"/>
    <n v="0.38"/>
    <d v="2010-08-23T00:00:00"/>
    <n v="0"/>
    <n v="0"/>
    <n v="1"/>
    <n v="1"/>
  </r>
  <r>
    <n v="5171"/>
    <n v="36803"/>
    <x v="9"/>
    <x v="9"/>
    <s v="Not Specified"/>
    <n v="42"/>
    <n v="121.65"/>
    <n v="0.05"/>
    <s v="Regular Air"/>
    <n v="30.76"/>
    <n v="2.88"/>
    <n v="0.99"/>
    <x v="127"/>
    <x v="4"/>
    <x v="4"/>
    <x v="2"/>
    <x v="0"/>
    <x v="11"/>
    <x v="746"/>
    <s v="Small Box"/>
    <n v="0.36"/>
    <d v="2012-08-06T00:00:00"/>
    <n v="0"/>
    <n v="0"/>
    <n v="0.33333333333333331"/>
    <n v="0.33333333333333331"/>
  </r>
  <r>
    <n v="5172"/>
    <n v="36803"/>
    <x v="9"/>
    <x v="9"/>
    <s v="Not Specified"/>
    <n v="2"/>
    <n v="19.02"/>
    <n v="0.05"/>
    <s v="Express Air"/>
    <n v="10.73"/>
    <n v="2.08"/>
    <n v="5.33"/>
    <x v="127"/>
    <x v="4"/>
    <x v="4"/>
    <x v="2"/>
    <x v="2"/>
    <x v="4"/>
    <x v="109"/>
    <s v="Small Box"/>
    <n v="0.43"/>
    <d v="2012-08-06T00:00:00"/>
    <n v="0"/>
    <n v="0"/>
    <n v="0.33333333333333331"/>
    <n v="0.33333333333333331"/>
  </r>
  <r>
    <n v="5173"/>
    <n v="36803"/>
    <x v="9"/>
    <x v="9"/>
    <s v="Not Specified"/>
    <n v="2"/>
    <n v="103.105"/>
    <n v="0.09"/>
    <s v="Regular Air"/>
    <n v="-316.31600000000003"/>
    <n v="65.989999999999995"/>
    <n v="2.5"/>
    <x v="127"/>
    <x v="4"/>
    <x v="4"/>
    <x v="2"/>
    <x v="1"/>
    <x v="3"/>
    <x v="747"/>
    <s v="Small Box"/>
    <n v="0.56000000000000005"/>
    <d v="2012-08-06T00:00:00"/>
    <n v="0"/>
    <n v="0"/>
    <n v="0.33333333333333331"/>
    <n v="0.33333333333333331"/>
  </r>
  <r>
    <n v="5174"/>
    <n v="36805"/>
    <x v="309"/>
    <x v="15"/>
    <s v="Medium"/>
    <n v="7"/>
    <n v="263.8"/>
    <n v="0"/>
    <s v="Regular Air"/>
    <n v="165.33"/>
    <n v="34.229999999999997"/>
    <n v="5.0199999999999996"/>
    <x v="122"/>
    <x v="4"/>
    <x v="4"/>
    <x v="2"/>
    <x v="2"/>
    <x v="4"/>
    <x v="671"/>
    <s v="Small Box"/>
    <n v="0.55000000000000004"/>
    <d v="2010-12-16T00:00:00"/>
    <n v="0"/>
    <n v="0"/>
    <n v="0.5"/>
    <n v="0.5"/>
  </r>
  <r>
    <n v="5175"/>
    <n v="36805"/>
    <x v="309"/>
    <x v="15"/>
    <s v="Medium"/>
    <n v="28"/>
    <n v="1546.3964999999998"/>
    <n v="7.0000000000000007E-2"/>
    <s v="Express Air"/>
    <n v="226.71899999999999"/>
    <n v="65.989999999999995"/>
    <n v="5.26"/>
    <x v="122"/>
    <x v="4"/>
    <x v="4"/>
    <x v="2"/>
    <x v="1"/>
    <x v="3"/>
    <x v="18"/>
    <s v="Small Box"/>
    <n v="0.59"/>
    <d v="2010-12-16T00:00:00"/>
    <n v="0"/>
    <n v="0"/>
    <n v="0.5"/>
    <n v="0.5"/>
  </r>
  <r>
    <n v="5180"/>
    <n v="36834"/>
    <x v="619"/>
    <x v="47"/>
    <s v="Low"/>
    <n v="11"/>
    <n v="1935.1"/>
    <n v="0.01"/>
    <s v="Delivery Truck"/>
    <n v="-42.96"/>
    <n v="170.98"/>
    <n v="35.89"/>
    <x v="128"/>
    <x v="4"/>
    <x v="4"/>
    <x v="2"/>
    <x v="2"/>
    <x v="9"/>
    <x v="748"/>
    <s v="Jumbo Box"/>
    <n v="0.66"/>
    <d v="2009-12-26T00:00:00"/>
    <n v="0"/>
    <n v="0"/>
    <n v="1"/>
    <n v="1"/>
  </r>
  <r>
    <n v="5255"/>
    <n v="37410"/>
    <x v="620"/>
    <x v="0"/>
    <s v="Medium"/>
    <n v="45"/>
    <n v="18775.759999999998"/>
    <n v="0.03"/>
    <s v="Delivery Truck"/>
    <n v="8504.4699999999993"/>
    <n v="400.97"/>
    <n v="48.26"/>
    <x v="148"/>
    <x v="4"/>
    <x v="4"/>
    <x v="2"/>
    <x v="1"/>
    <x v="16"/>
    <x v="749"/>
    <s v="Jumbo Box"/>
    <n v="0.36"/>
    <d v="2010-10-14T00:00:00"/>
    <n v="0"/>
    <n v="0"/>
    <n v="1"/>
    <n v="1"/>
  </r>
  <r>
    <n v="5297"/>
    <n v="37729"/>
    <x v="44"/>
    <x v="22"/>
    <s v="Not Specified"/>
    <n v="48"/>
    <n v="447.89"/>
    <n v="0"/>
    <s v="Regular Air"/>
    <n v="-26.7835"/>
    <n v="8.6"/>
    <n v="6.19"/>
    <x v="119"/>
    <x v="4"/>
    <x v="4"/>
    <x v="2"/>
    <x v="0"/>
    <x v="2"/>
    <x v="682"/>
    <s v="Small Box"/>
    <n v="0.38"/>
    <d v="2009-01-15T00:00:00"/>
    <n v="0"/>
    <n v="1"/>
    <n v="1"/>
    <n v="1"/>
  </r>
  <r>
    <n v="5346"/>
    <n v="37988"/>
    <x v="621"/>
    <x v="37"/>
    <s v="Not Specified"/>
    <n v="12"/>
    <n v="189.19"/>
    <n v="0.08"/>
    <s v="Regular Air"/>
    <n v="-56.71"/>
    <n v="16.059999999999999"/>
    <n v="8.34"/>
    <x v="129"/>
    <x v="4"/>
    <x v="4"/>
    <x v="3"/>
    <x v="0"/>
    <x v="0"/>
    <x v="750"/>
    <s v="Small Box"/>
    <n v="0.59"/>
    <d v="2011-04-05T00:00:00"/>
    <n v="0"/>
    <n v="0"/>
    <n v="1"/>
    <n v="0.33333333333333331"/>
  </r>
  <r>
    <n v="5449"/>
    <n v="38690"/>
    <x v="40"/>
    <x v="23"/>
    <s v="Low"/>
    <n v="28"/>
    <n v="697.5"/>
    <n v="0.02"/>
    <s v="Regular Air"/>
    <n v="169.89"/>
    <n v="23.99"/>
    <n v="6.3"/>
    <x v="122"/>
    <x v="4"/>
    <x v="4"/>
    <x v="2"/>
    <x v="1"/>
    <x v="16"/>
    <x v="450"/>
    <s v="Medium Box"/>
    <n v="0.38"/>
    <d v="2012-01-24T00:00:00"/>
    <n v="0"/>
    <n v="0"/>
    <n v="1"/>
    <n v="1"/>
  </r>
  <r>
    <n v="5457"/>
    <n v="38758"/>
    <x v="448"/>
    <x v="31"/>
    <s v="Not Specified"/>
    <n v="7"/>
    <n v="497.2"/>
    <n v="0"/>
    <s v="Regular Air"/>
    <n v="-219.61"/>
    <n v="60.98"/>
    <n v="49"/>
    <x v="143"/>
    <x v="4"/>
    <x v="4"/>
    <x v="1"/>
    <x v="0"/>
    <x v="1"/>
    <x v="347"/>
    <s v="Large Box"/>
    <n v="0.59"/>
    <d v="2011-09-26T00:00:00"/>
    <n v="0"/>
    <n v="0"/>
    <n v="1"/>
    <n v="1"/>
  </r>
  <r>
    <n v="5554"/>
    <n v="39332"/>
    <x v="87"/>
    <x v="17"/>
    <s v="Critical"/>
    <n v="4"/>
    <n v="198.72"/>
    <n v="0.01"/>
    <s v="Express Air"/>
    <n v="-34.43"/>
    <n v="40.97"/>
    <n v="14.45"/>
    <x v="129"/>
    <x v="4"/>
    <x v="4"/>
    <x v="1"/>
    <x v="2"/>
    <x v="4"/>
    <x v="194"/>
    <s v="Large Box"/>
    <n v="0.56999999999999995"/>
    <d v="2011-10-10T00:00:00"/>
    <n v="0"/>
    <n v="0"/>
    <n v="1"/>
    <n v="1"/>
  </r>
  <r>
    <n v="5608"/>
    <n v="39745"/>
    <x v="622"/>
    <x v="10"/>
    <s v="Not Specified"/>
    <n v="8"/>
    <n v="955.29"/>
    <n v="0.05"/>
    <s v="Delivery Truck"/>
    <n v="-286.1952"/>
    <n v="115.99"/>
    <n v="56.14"/>
    <x v="127"/>
    <x v="4"/>
    <x v="4"/>
    <x v="2"/>
    <x v="1"/>
    <x v="16"/>
    <x v="357"/>
    <s v="Jumbo Drum"/>
    <n v="0.4"/>
    <d v="2011-05-05T00:00:00"/>
    <n v="0"/>
    <n v="0"/>
    <n v="1"/>
    <n v="0.33333333333333331"/>
  </r>
  <r>
    <n v="5678"/>
    <n v="40134"/>
    <x v="87"/>
    <x v="17"/>
    <s v="Low"/>
    <n v="10"/>
    <n v="109.37"/>
    <n v="0.1"/>
    <s v="Regular Air"/>
    <n v="-21.66"/>
    <n v="10.89"/>
    <n v="4.5"/>
    <x v="130"/>
    <x v="4"/>
    <x v="4"/>
    <x v="0"/>
    <x v="0"/>
    <x v="1"/>
    <x v="225"/>
    <s v="Small Box"/>
    <n v="0.59"/>
    <d v="2011-10-16T00:00:00"/>
    <n v="0"/>
    <n v="0"/>
    <n v="0.33333333333333331"/>
    <n v="0.33333333333333331"/>
  </r>
  <r>
    <n v="5679"/>
    <n v="40134"/>
    <x v="87"/>
    <x v="17"/>
    <s v="Low"/>
    <n v="43"/>
    <n v="1461.1"/>
    <n v="0.01"/>
    <s v="Regular Air"/>
    <n v="674.46"/>
    <n v="31.78"/>
    <n v="1.99"/>
    <x v="130"/>
    <x v="4"/>
    <x v="4"/>
    <x v="0"/>
    <x v="1"/>
    <x v="7"/>
    <x v="47"/>
    <s v="Small Pack"/>
    <n v="0.42"/>
    <d v="2011-10-13T00:00:00"/>
    <n v="0"/>
    <n v="0"/>
    <n v="0.33333333333333331"/>
    <n v="0.33333333333333331"/>
  </r>
  <r>
    <n v="5680"/>
    <n v="40134"/>
    <x v="87"/>
    <x v="17"/>
    <s v="Low"/>
    <n v="1"/>
    <n v="9.75"/>
    <n v="0"/>
    <s v="Regular Air"/>
    <n v="-6.72"/>
    <n v="4.9800000000000004"/>
    <n v="4.72"/>
    <x v="130"/>
    <x v="4"/>
    <x v="4"/>
    <x v="0"/>
    <x v="0"/>
    <x v="5"/>
    <x v="751"/>
    <s v="Small Box"/>
    <n v="0.36"/>
    <d v="2011-10-14T00:00:00"/>
    <n v="0"/>
    <n v="0"/>
    <n v="0.33333333333333331"/>
    <n v="0.33333333333333331"/>
  </r>
  <r>
    <n v="5683"/>
    <n v="40164"/>
    <x v="623"/>
    <x v="24"/>
    <s v="Not Specified"/>
    <n v="8"/>
    <n v="184.07"/>
    <n v="0.04"/>
    <s v="Regular Air"/>
    <n v="75.63"/>
    <n v="22.98"/>
    <n v="7.58"/>
    <x v="148"/>
    <x v="4"/>
    <x v="4"/>
    <x v="2"/>
    <x v="2"/>
    <x v="4"/>
    <x v="619"/>
    <s v="Small Box"/>
    <n v="0.51"/>
    <d v="2010-04-12T00:00:00"/>
    <n v="0"/>
    <n v="0"/>
    <n v="1"/>
    <n v="1"/>
  </r>
  <r>
    <n v="5723"/>
    <n v="40608"/>
    <x v="624"/>
    <x v="9"/>
    <s v="Not Specified"/>
    <n v="29"/>
    <n v="573.97"/>
    <n v="0.05"/>
    <s v="Regular Air"/>
    <n v="55.82"/>
    <n v="18.97"/>
    <n v="9.5399999999999991"/>
    <x v="149"/>
    <x v="4"/>
    <x v="4"/>
    <x v="2"/>
    <x v="0"/>
    <x v="5"/>
    <x v="439"/>
    <s v="Small Box"/>
    <n v="0.37"/>
    <d v="2012-08-21T00:00:00"/>
    <n v="0"/>
    <n v="0"/>
    <n v="0.5"/>
    <n v="0.5"/>
  </r>
  <r>
    <n v="5724"/>
    <n v="40608"/>
    <x v="624"/>
    <x v="9"/>
    <s v="Not Specified"/>
    <n v="39"/>
    <n v="223.79"/>
    <n v="0.01"/>
    <s v="Regular Air"/>
    <n v="-89.88"/>
    <n v="5.28"/>
    <n v="5.66"/>
    <x v="149"/>
    <x v="4"/>
    <x v="4"/>
    <x v="2"/>
    <x v="0"/>
    <x v="5"/>
    <x v="299"/>
    <s v="Small Box"/>
    <n v="0.4"/>
    <d v="2012-08-20T00:00:00"/>
    <n v="0"/>
    <n v="0"/>
    <n v="0.5"/>
    <n v="0.5"/>
  </r>
  <r>
    <n v="5742"/>
    <n v="40801"/>
    <x v="625"/>
    <x v="29"/>
    <s v="Not Specified"/>
    <n v="20"/>
    <n v="129.16"/>
    <n v="7.0000000000000007E-2"/>
    <s v="Regular Air"/>
    <n v="-56.15"/>
    <n v="6.48"/>
    <n v="6.22"/>
    <x v="137"/>
    <x v="4"/>
    <x v="4"/>
    <x v="2"/>
    <x v="0"/>
    <x v="5"/>
    <x v="731"/>
    <s v="Small Box"/>
    <n v="0.37"/>
    <d v="2012-07-01T00:00:00"/>
    <n v="0"/>
    <n v="0"/>
    <n v="1"/>
    <n v="1"/>
  </r>
  <r>
    <n v="5775"/>
    <n v="40965"/>
    <x v="626"/>
    <x v="11"/>
    <s v="Medium"/>
    <n v="29"/>
    <n v="843.55"/>
    <n v="0.08"/>
    <s v="Regular Air"/>
    <n v="168.76"/>
    <n v="30.98"/>
    <n v="8.74"/>
    <x v="138"/>
    <x v="4"/>
    <x v="4"/>
    <x v="2"/>
    <x v="0"/>
    <x v="5"/>
    <x v="720"/>
    <s v="Small Box"/>
    <n v="0.4"/>
    <d v="2009-11-21T00:00:00"/>
    <n v="0"/>
    <n v="0"/>
    <n v="0.33333333333333331"/>
    <n v="0.16666666666666666"/>
  </r>
  <r>
    <n v="5820"/>
    <n v="41286"/>
    <x v="190"/>
    <x v="34"/>
    <s v="Medium"/>
    <n v="40"/>
    <n v="260.95999999999998"/>
    <n v="0.09"/>
    <s v="Regular Air"/>
    <n v="-96.7"/>
    <n v="6.48"/>
    <n v="6.22"/>
    <x v="141"/>
    <x v="4"/>
    <x v="4"/>
    <x v="3"/>
    <x v="0"/>
    <x v="5"/>
    <x v="731"/>
    <s v="Small Box"/>
    <n v="0.37"/>
    <d v="2012-09-17T00:00:00"/>
    <n v="0"/>
    <n v="0"/>
    <n v="1"/>
    <n v="1"/>
  </r>
  <r>
    <n v="5836"/>
    <n v="41412"/>
    <x v="627"/>
    <x v="35"/>
    <s v="Not Specified"/>
    <n v="47"/>
    <n v="263.81"/>
    <n v="0.03"/>
    <s v="Regular Air"/>
    <n v="-237.54400000000001"/>
    <n v="5.4"/>
    <n v="7.78"/>
    <x v="122"/>
    <x v="4"/>
    <x v="4"/>
    <x v="1"/>
    <x v="0"/>
    <x v="2"/>
    <x v="212"/>
    <s v="Small Box"/>
    <n v="0.37"/>
    <d v="2009-09-19T00:00:00"/>
    <n v="0"/>
    <n v="0"/>
    <n v="1"/>
    <n v="1"/>
  </r>
  <r>
    <n v="5856"/>
    <n v="41569"/>
    <x v="569"/>
    <x v="42"/>
    <s v="Critical"/>
    <n v="16"/>
    <n v="60.76"/>
    <n v="0.03"/>
    <s v="Regular Air"/>
    <n v="5.25"/>
    <n v="3.7"/>
    <n v="1.61"/>
    <x v="129"/>
    <x v="4"/>
    <x v="4"/>
    <x v="2"/>
    <x v="2"/>
    <x v="4"/>
    <x v="467"/>
    <s v="Wrap Bag"/>
    <n v="0.44"/>
    <d v="2010-07-23T00:00:00"/>
    <n v="0"/>
    <n v="0"/>
    <n v="0.5"/>
    <n v="1"/>
  </r>
  <r>
    <n v="5866"/>
    <n v="41633"/>
    <x v="628"/>
    <x v="7"/>
    <s v="Low"/>
    <n v="29"/>
    <n v="3636.91"/>
    <n v="0"/>
    <s v="Delivery Truck"/>
    <n v="-1284.24"/>
    <n v="122.99"/>
    <n v="70.2"/>
    <x v="149"/>
    <x v="4"/>
    <x v="4"/>
    <x v="2"/>
    <x v="2"/>
    <x v="14"/>
    <x v="301"/>
    <s v="Jumbo Drum"/>
    <n v="0.74"/>
    <d v="2010-11-09T00:00:00"/>
    <n v="0"/>
    <n v="0"/>
    <n v="1"/>
    <n v="1"/>
  </r>
  <r>
    <n v="5910"/>
    <n v="41895"/>
    <x v="209"/>
    <x v="16"/>
    <s v="Critical"/>
    <n v="8"/>
    <n v="27663.919999999998"/>
    <n v="0.05"/>
    <s v="Regular Air"/>
    <n v="-391.92"/>
    <n v="3499.99"/>
    <n v="24.49"/>
    <x v="136"/>
    <x v="4"/>
    <x v="4"/>
    <x v="1"/>
    <x v="1"/>
    <x v="13"/>
    <x v="480"/>
    <s v="Large Box"/>
    <n v="0.37"/>
    <d v="2011-01-12T00:00:00"/>
    <n v="0"/>
    <n v="0"/>
    <n v="1"/>
    <n v="1"/>
  </r>
  <r>
    <n v="5936"/>
    <n v="42112"/>
    <x v="267"/>
    <x v="15"/>
    <s v="Not Specified"/>
    <n v="16"/>
    <n v="2744.3609999999999"/>
    <n v="0.01"/>
    <s v="Regular Air"/>
    <n v="201.03300000000002"/>
    <n v="195.99"/>
    <n v="8.99"/>
    <x v="149"/>
    <x v="4"/>
    <x v="4"/>
    <x v="2"/>
    <x v="1"/>
    <x v="3"/>
    <x v="521"/>
    <s v="Small Box"/>
    <n v="0.6"/>
    <d v="2010-12-26T00:00:00"/>
    <n v="0"/>
    <n v="0"/>
    <n v="1"/>
    <n v="1"/>
  </r>
  <r>
    <n v="5942"/>
    <n v="42177"/>
    <x v="629"/>
    <x v="20"/>
    <s v="Not Specified"/>
    <n v="49"/>
    <n v="1201.934"/>
    <n v="0.03"/>
    <s v="Regular Air"/>
    <n v="47.420999999999999"/>
    <n v="28.99"/>
    <n v="8.59"/>
    <x v="130"/>
    <x v="4"/>
    <x v="4"/>
    <x v="0"/>
    <x v="1"/>
    <x v="3"/>
    <x v="382"/>
    <s v="Medium Box"/>
    <n v="0.56000000000000005"/>
    <d v="2012-05-31T00:00:00"/>
    <n v="0"/>
    <n v="0"/>
    <n v="0.5"/>
    <n v="0.5"/>
  </r>
  <r>
    <n v="5943"/>
    <n v="42177"/>
    <x v="629"/>
    <x v="20"/>
    <s v="Not Specified"/>
    <n v="38"/>
    <n v="395.84"/>
    <n v="0"/>
    <s v="Regular Air"/>
    <n v="8.42"/>
    <n v="9.77"/>
    <n v="6.02"/>
    <x v="130"/>
    <x v="4"/>
    <x v="4"/>
    <x v="0"/>
    <x v="2"/>
    <x v="4"/>
    <x v="321"/>
    <s v="Medium Box"/>
    <n v="0.48"/>
    <d v="2012-06-02T00:00:00"/>
    <n v="0"/>
    <n v="0"/>
    <n v="0.5"/>
    <n v="0.5"/>
  </r>
  <r>
    <n v="5969"/>
    <n v="42339"/>
    <x v="630"/>
    <x v="40"/>
    <s v="Critical"/>
    <n v="31"/>
    <n v="206.54"/>
    <n v="0.02"/>
    <s v="Regular Air"/>
    <n v="-178.82"/>
    <n v="6.48"/>
    <n v="9.68"/>
    <x v="147"/>
    <x v="4"/>
    <x v="4"/>
    <x v="1"/>
    <x v="0"/>
    <x v="5"/>
    <x v="597"/>
    <s v="Small Box"/>
    <n v="0.36"/>
    <d v="2009-02-12T00:00:00"/>
    <n v="0"/>
    <n v="0"/>
    <n v="1"/>
    <n v="1"/>
  </r>
  <r>
    <n v="5971"/>
    <n v="42342"/>
    <x v="154"/>
    <x v="35"/>
    <s v="Not Specified"/>
    <n v="25"/>
    <n v="318.14"/>
    <n v="0.01"/>
    <s v="Regular Air"/>
    <n v="49.67"/>
    <n v="12.28"/>
    <n v="5.09"/>
    <x v="149"/>
    <x v="4"/>
    <x v="4"/>
    <x v="2"/>
    <x v="0"/>
    <x v="5"/>
    <x v="752"/>
    <s v="Small Box"/>
    <n v="0.38"/>
    <d v="2009-09-05T00:00:00"/>
    <n v="0"/>
    <n v="0"/>
    <n v="0.5"/>
    <n v="0.5"/>
  </r>
  <r>
    <n v="6061"/>
    <n v="42947"/>
    <x v="134"/>
    <x v="3"/>
    <s v="Low"/>
    <n v="5"/>
    <n v="177.05"/>
    <n v="0"/>
    <s v="Regular Air"/>
    <n v="-50.67"/>
    <n v="35.409999999999997"/>
    <n v="1.99"/>
    <x v="133"/>
    <x v="4"/>
    <x v="4"/>
    <x v="3"/>
    <x v="1"/>
    <x v="7"/>
    <x v="753"/>
    <s v="Small Pack"/>
    <n v="0.43"/>
    <d v="2010-08-28T00:00:00"/>
    <n v="0"/>
    <n v="0"/>
    <n v="1"/>
    <n v="1"/>
  </r>
  <r>
    <n v="6080"/>
    <n v="43079"/>
    <x v="631"/>
    <x v="36"/>
    <s v="Medium"/>
    <n v="40"/>
    <n v="1184.03"/>
    <n v="0.04"/>
    <s v="Regular Air"/>
    <n v="-20.79"/>
    <n v="30.73"/>
    <n v="4"/>
    <x v="119"/>
    <x v="4"/>
    <x v="4"/>
    <x v="3"/>
    <x v="1"/>
    <x v="7"/>
    <x v="161"/>
    <s v="Small Box"/>
    <n v="0.75"/>
    <d v="2009-07-22T00:00:00"/>
    <n v="0"/>
    <n v="0"/>
    <n v="1"/>
    <n v="1"/>
  </r>
  <r>
    <n v="6087"/>
    <n v="43111"/>
    <x v="256"/>
    <x v="31"/>
    <s v="High"/>
    <n v="27"/>
    <n v="4722.83"/>
    <n v="0.01"/>
    <s v="Regular Air"/>
    <n v="1749.7759999999998"/>
    <n v="165.98"/>
    <n v="19.989999999999998"/>
    <x v="96"/>
    <x v="4"/>
    <x v="4"/>
    <x v="1"/>
    <x v="0"/>
    <x v="2"/>
    <x v="408"/>
    <s v="Small Box"/>
    <n v="0.4"/>
    <d v="2011-09-13T00:00:00"/>
    <n v="0"/>
    <n v="0"/>
    <n v="1"/>
    <n v="1"/>
  </r>
  <r>
    <n v="6091"/>
    <n v="43140"/>
    <x v="466"/>
    <x v="28"/>
    <s v="Critical"/>
    <n v="23"/>
    <n v="130.16"/>
    <n v="0.1"/>
    <s v="Regular Air"/>
    <n v="-49.53"/>
    <n v="5.98"/>
    <n v="5.14"/>
    <x v="125"/>
    <x v="4"/>
    <x v="4"/>
    <x v="3"/>
    <x v="0"/>
    <x v="5"/>
    <x v="754"/>
    <s v="Small Box"/>
    <n v="0.36"/>
    <d v="2009-03-20T00:00:00"/>
    <n v="0"/>
    <n v="0"/>
    <n v="1"/>
    <n v="1"/>
  </r>
  <r>
    <n v="6228"/>
    <n v="44098"/>
    <x v="632"/>
    <x v="38"/>
    <s v="Low"/>
    <n v="1"/>
    <n v="5.0599999999999996"/>
    <n v="0.01"/>
    <s v="Regular Air"/>
    <n v="-2.64"/>
    <n v="3.14"/>
    <n v="1.92"/>
    <x v="150"/>
    <x v="4"/>
    <x v="4"/>
    <x v="2"/>
    <x v="0"/>
    <x v="15"/>
    <x v="546"/>
    <s v="Wrap Bag"/>
    <n v="0.84"/>
    <d v="2010-01-31T00:00:00"/>
    <n v="1"/>
    <n v="0"/>
    <n v="1"/>
    <n v="1"/>
  </r>
  <r>
    <n v="6282"/>
    <n v="44451"/>
    <x v="633"/>
    <x v="31"/>
    <s v="Critical"/>
    <n v="4"/>
    <n v="103.9"/>
    <n v="7.0000000000000007E-2"/>
    <s v="Express Air"/>
    <n v="-19.260000000000002"/>
    <n v="22.98"/>
    <n v="7.58"/>
    <x v="129"/>
    <x v="5"/>
    <x v="2"/>
    <x v="3"/>
    <x v="2"/>
    <x v="4"/>
    <x v="619"/>
    <s v="Small Box"/>
    <n v="0.51"/>
    <d v="2011-09-13T00:00:00"/>
    <n v="0"/>
    <n v="0"/>
    <n v="0.5"/>
    <n v="1"/>
  </r>
  <r>
    <n v="6354"/>
    <n v="45059"/>
    <x v="634"/>
    <x v="44"/>
    <s v="Not Specified"/>
    <n v="35"/>
    <n v="1327.59"/>
    <n v="0.05"/>
    <s v="Express Air"/>
    <n v="371.28"/>
    <n v="37.74"/>
    <n v="2.9"/>
    <x v="136"/>
    <x v="5"/>
    <x v="2"/>
    <x v="1"/>
    <x v="0"/>
    <x v="12"/>
    <x v="755"/>
    <s v="Small Pack"/>
    <n v="0.59"/>
    <d v="2011-02-04T00:00:00"/>
    <n v="0"/>
    <n v="0"/>
    <n v="0.33333333333333331"/>
    <n v="0.33333333333333331"/>
  </r>
  <r>
    <n v="6355"/>
    <n v="45059"/>
    <x v="634"/>
    <x v="44"/>
    <s v="Not Specified"/>
    <n v="39"/>
    <n v="3401.8"/>
    <n v="0.09"/>
    <s v="Express Air"/>
    <n v="-508.87"/>
    <n v="95.43"/>
    <n v="19.989999999999998"/>
    <x v="136"/>
    <x v="5"/>
    <x v="2"/>
    <x v="1"/>
    <x v="0"/>
    <x v="0"/>
    <x v="254"/>
    <s v="Small Box"/>
    <n v="0.79"/>
    <d v="2011-02-05T00:00:00"/>
    <n v="0"/>
    <n v="0"/>
    <n v="0.33333333333333331"/>
    <n v="0.33333333333333331"/>
  </r>
  <r>
    <n v="6362"/>
    <n v="45155"/>
    <x v="635"/>
    <x v="44"/>
    <s v="Low"/>
    <n v="44"/>
    <n v="181.61"/>
    <n v="0.03"/>
    <s v="Regular Air"/>
    <n v="-150.25899999999999"/>
    <n v="4.13"/>
    <n v="5.34"/>
    <x v="127"/>
    <x v="5"/>
    <x v="2"/>
    <x v="2"/>
    <x v="0"/>
    <x v="2"/>
    <x v="528"/>
    <s v="Small Box"/>
    <n v="0.38"/>
    <d v="2011-02-22T00:00:00"/>
    <n v="0"/>
    <n v="0"/>
    <n v="0.5"/>
    <n v="0.33333333333333331"/>
  </r>
  <r>
    <n v="6363"/>
    <n v="45155"/>
    <x v="635"/>
    <x v="44"/>
    <s v="Low"/>
    <n v="35"/>
    <n v="111.55"/>
    <n v="0.05"/>
    <s v="Regular Air"/>
    <n v="-54.25"/>
    <n v="3.14"/>
    <n v="1.92"/>
    <x v="127"/>
    <x v="5"/>
    <x v="2"/>
    <x v="2"/>
    <x v="0"/>
    <x v="15"/>
    <x v="546"/>
    <s v="Wrap Bag"/>
    <n v="0.84"/>
    <d v="2011-02-15T00:00:00"/>
    <n v="0"/>
    <n v="0"/>
    <n v="0.5"/>
    <n v="0.33333333333333331"/>
  </r>
  <r>
    <n v="6380"/>
    <n v="45317"/>
    <x v="636"/>
    <x v="33"/>
    <s v="Low"/>
    <n v="36"/>
    <n v="1435.95"/>
    <n v="0.05"/>
    <s v="Regular Air"/>
    <n v="486.9"/>
    <n v="39.24"/>
    <n v="1.99"/>
    <x v="123"/>
    <x v="5"/>
    <x v="2"/>
    <x v="0"/>
    <x v="1"/>
    <x v="7"/>
    <x v="167"/>
    <s v="Small Pack"/>
    <n v="0.51"/>
    <d v="2012-03-08T00:00:00"/>
    <n v="0"/>
    <n v="0"/>
    <n v="0.5"/>
    <n v="0.5"/>
  </r>
  <r>
    <n v="6381"/>
    <n v="45317"/>
    <x v="636"/>
    <x v="33"/>
    <s v="Low"/>
    <n v="28"/>
    <n v="961.06"/>
    <n v="0.05"/>
    <s v="Regular Air"/>
    <n v="361.82"/>
    <n v="34.229999999999997"/>
    <n v="5.0199999999999996"/>
    <x v="123"/>
    <x v="5"/>
    <x v="2"/>
    <x v="0"/>
    <x v="2"/>
    <x v="4"/>
    <x v="671"/>
    <s v="Small Box"/>
    <n v="0.55000000000000004"/>
    <d v="2012-03-08T00:00:00"/>
    <n v="0"/>
    <n v="0"/>
    <n v="0.5"/>
    <n v="0.5"/>
  </r>
  <r>
    <n v="6432"/>
    <n v="45731"/>
    <x v="124"/>
    <x v="26"/>
    <s v="Critical"/>
    <n v="19"/>
    <n v="146.63"/>
    <n v="0.01"/>
    <s v="Express Air"/>
    <n v="-30.06"/>
    <n v="6.48"/>
    <n v="6.22"/>
    <x v="95"/>
    <x v="5"/>
    <x v="2"/>
    <x v="1"/>
    <x v="0"/>
    <x v="5"/>
    <x v="731"/>
    <s v="Small Box"/>
    <n v="0.37"/>
    <d v="2009-08-11T00:00:00"/>
    <n v="0"/>
    <n v="0"/>
    <n v="0.33333333333333331"/>
    <n v="0.5"/>
  </r>
  <r>
    <n v="6433"/>
    <n v="45731"/>
    <x v="124"/>
    <x v="26"/>
    <s v="Critical"/>
    <n v="35"/>
    <n v="2506.2674999999999"/>
    <n v="0.03"/>
    <s v="Regular Air"/>
    <n v="1160.577"/>
    <n v="85.99"/>
    <n v="3.3"/>
    <x v="95"/>
    <x v="5"/>
    <x v="2"/>
    <x v="1"/>
    <x v="1"/>
    <x v="3"/>
    <x v="601"/>
    <s v="Small Pack"/>
    <n v="0.37"/>
    <d v="2009-08-12T00:00:00"/>
    <n v="0"/>
    <n v="0"/>
    <n v="0.33333333333333331"/>
    <n v="0.5"/>
  </r>
  <r>
    <n v="6578"/>
    <n v="46849"/>
    <x v="416"/>
    <x v="15"/>
    <s v="Not Specified"/>
    <n v="23"/>
    <n v="188.54"/>
    <n v="0.09"/>
    <s v="Regular Air"/>
    <n v="9.8200000000000056"/>
    <n v="8.33"/>
    <n v="1.99"/>
    <x v="137"/>
    <x v="5"/>
    <x v="2"/>
    <x v="2"/>
    <x v="1"/>
    <x v="7"/>
    <x v="206"/>
    <s v="Small Pack"/>
    <n v="0.52"/>
    <d v="2010-12-14T00:00:00"/>
    <n v="0"/>
    <n v="0"/>
    <n v="1"/>
    <n v="1"/>
  </r>
  <r>
    <n v="6621"/>
    <n v="47108"/>
    <x v="225"/>
    <x v="19"/>
    <s v="Not Specified"/>
    <n v="19"/>
    <n v="359.68"/>
    <n v="7.0000000000000007E-2"/>
    <s v="Regular Air"/>
    <n v="187.15"/>
    <n v="18.649999999999999"/>
    <n v="3.77"/>
    <x v="143"/>
    <x v="5"/>
    <x v="2"/>
    <x v="1"/>
    <x v="2"/>
    <x v="4"/>
    <x v="707"/>
    <s v="Small Pack"/>
    <n v="0.39"/>
    <d v="2009-10-16T00:00:00"/>
    <n v="0"/>
    <n v="0"/>
    <n v="0.25"/>
    <n v="0.25"/>
  </r>
  <r>
    <n v="6622"/>
    <n v="47108"/>
    <x v="225"/>
    <x v="19"/>
    <s v="Not Specified"/>
    <n v="7"/>
    <n v="131.55000000000001"/>
    <n v="0.06"/>
    <s v="Regular Air"/>
    <n v="-43.743600000000001"/>
    <n v="17.98"/>
    <n v="8.51"/>
    <x v="143"/>
    <x v="5"/>
    <x v="2"/>
    <x v="1"/>
    <x v="1"/>
    <x v="16"/>
    <x v="168"/>
    <s v="Medium Box"/>
    <n v="0.4"/>
    <d v="2009-10-17T00:00:00"/>
    <n v="0"/>
    <n v="0"/>
    <n v="0.25"/>
    <n v="0.25"/>
  </r>
  <r>
    <n v="6623"/>
    <n v="47108"/>
    <x v="225"/>
    <x v="19"/>
    <s v="Not Specified"/>
    <n v="26"/>
    <n v="258.11"/>
    <n v="0.1"/>
    <s v="Express Air"/>
    <n v="9.9499999999999993"/>
    <n v="9.99"/>
    <n v="4.78"/>
    <x v="143"/>
    <x v="5"/>
    <x v="2"/>
    <x v="1"/>
    <x v="0"/>
    <x v="5"/>
    <x v="756"/>
    <s v="Small Box"/>
    <n v="0.4"/>
    <d v="2009-10-18T00:00:00"/>
    <n v="0"/>
    <n v="0"/>
    <n v="0.25"/>
    <n v="0.25"/>
  </r>
  <r>
    <n v="6624"/>
    <n v="47108"/>
    <x v="225"/>
    <x v="19"/>
    <s v="Not Specified"/>
    <n v="9"/>
    <n v="1288.5150000000001"/>
    <n v="0.08"/>
    <s v="Express Air"/>
    <n v="-382.56900000000002"/>
    <n v="175.99"/>
    <n v="8.99"/>
    <x v="143"/>
    <x v="5"/>
    <x v="2"/>
    <x v="1"/>
    <x v="1"/>
    <x v="3"/>
    <x v="484"/>
    <s v="Small Box"/>
    <n v="0.56999999999999995"/>
    <d v="2009-10-16T00:00:00"/>
    <n v="0"/>
    <n v="0"/>
    <n v="0.25"/>
    <n v="0.25"/>
  </r>
  <r>
    <n v="6676"/>
    <n v="47520"/>
    <x v="637"/>
    <x v="19"/>
    <s v="Not Specified"/>
    <n v="36"/>
    <n v="277.88"/>
    <n v="0.09"/>
    <s v="Regular Air"/>
    <n v="-64.41149999999999"/>
    <n v="7.68"/>
    <n v="6.16"/>
    <x v="126"/>
    <x v="5"/>
    <x v="2"/>
    <x v="1"/>
    <x v="0"/>
    <x v="2"/>
    <x v="669"/>
    <s v="Small Box"/>
    <n v="0.35"/>
    <d v="2009-10-09T00:00:00"/>
    <n v="0"/>
    <n v="0"/>
    <n v="0.33333333333333331"/>
    <n v="0.33333333333333331"/>
  </r>
  <r>
    <n v="6677"/>
    <n v="47520"/>
    <x v="637"/>
    <x v="19"/>
    <s v="Not Specified"/>
    <n v="13"/>
    <n v="3939.89"/>
    <n v="0.05"/>
    <s v="Delivery Truck"/>
    <n v="598.24"/>
    <n v="291.73"/>
    <n v="48.8"/>
    <x v="126"/>
    <x v="5"/>
    <x v="2"/>
    <x v="1"/>
    <x v="2"/>
    <x v="14"/>
    <x v="250"/>
    <s v="Jumbo Drum"/>
    <n v="0.56000000000000005"/>
    <d v="2009-10-09T00:00:00"/>
    <n v="0"/>
    <n v="0"/>
    <n v="0.33333333333333331"/>
    <n v="0.33333333333333331"/>
  </r>
  <r>
    <n v="6678"/>
    <n v="47520"/>
    <x v="637"/>
    <x v="19"/>
    <s v="Not Specified"/>
    <n v="47"/>
    <n v="925.3"/>
    <n v="0.04"/>
    <s v="Regular Air"/>
    <n v="257.31"/>
    <n v="19.98"/>
    <n v="5.77"/>
    <x v="126"/>
    <x v="5"/>
    <x v="2"/>
    <x v="1"/>
    <x v="0"/>
    <x v="5"/>
    <x v="93"/>
    <s v="Small Box"/>
    <n v="0.38"/>
    <d v="2009-10-09T00:00:00"/>
    <n v="0"/>
    <n v="0"/>
    <n v="0.33333333333333331"/>
    <n v="0.33333333333333331"/>
  </r>
  <r>
    <n v="6683"/>
    <n v="47527"/>
    <x v="638"/>
    <x v="18"/>
    <s v="Medium"/>
    <n v="48"/>
    <n v="12072.9"/>
    <n v="0.04"/>
    <s v="Delivery Truck"/>
    <n v="3064.51"/>
    <n v="243.98"/>
    <n v="43.32"/>
    <x v="142"/>
    <x v="5"/>
    <x v="2"/>
    <x v="3"/>
    <x v="2"/>
    <x v="14"/>
    <x v="130"/>
    <s v="Jumbo Drum"/>
    <n v="0.55000000000000004"/>
    <d v="2010-09-18T00:00:00"/>
    <n v="0"/>
    <n v="0"/>
    <n v="1"/>
    <n v="1"/>
  </r>
  <r>
    <n v="6699"/>
    <n v="47713"/>
    <x v="346"/>
    <x v="36"/>
    <s v="High"/>
    <n v="34"/>
    <n v="3419.1505000000002"/>
    <n v="0"/>
    <s v="Regular Air"/>
    <n v="858.58199999999999"/>
    <n v="115.99"/>
    <n v="5.92"/>
    <x v="125"/>
    <x v="5"/>
    <x v="2"/>
    <x v="3"/>
    <x v="1"/>
    <x v="3"/>
    <x v="757"/>
    <s v="Small Box"/>
    <n v="0.57999999999999996"/>
    <d v="2009-07-03T00:00:00"/>
    <n v="0"/>
    <n v="0"/>
    <n v="1"/>
    <n v="1"/>
  </r>
  <r>
    <n v="6707"/>
    <n v="47750"/>
    <x v="481"/>
    <x v="30"/>
    <s v="Low"/>
    <n v="1"/>
    <n v="195.04"/>
    <n v="0.08"/>
    <s v="Regular Air"/>
    <n v="-149.41"/>
    <n v="167.27"/>
    <n v="35"/>
    <x v="96"/>
    <x v="5"/>
    <x v="2"/>
    <x v="2"/>
    <x v="0"/>
    <x v="0"/>
    <x v="758"/>
    <s v="Large Box"/>
    <n v="0.85"/>
    <d v="2010-06-15T00:00:00"/>
    <n v="0"/>
    <n v="0"/>
    <n v="0.33333333333333331"/>
    <n v="0.33333333333333331"/>
  </r>
  <r>
    <n v="6797"/>
    <n v="48452"/>
    <x v="639"/>
    <x v="0"/>
    <s v="High"/>
    <n v="32"/>
    <n v="1859.01"/>
    <n v="0.09"/>
    <s v="Delivery Truck"/>
    <n v="-588.9"/>
    <n v="60.98"/>
    <n v="30"/>
    <x v="119"/>
    <x v="5"/>
    <x v="2"/>
    <x v="2"/>
    <x v="2"/>
    <x v="14"/>
    <x v="759"/>
    <s v="Jumbo Drum"/>
    <n v="0.7"/>
    <d v="2010-10-11T00:00:00"/>
    <n v="0"/>
    <n v="0"/>
    <n v="0.2"/>
    <n v="0.2"/>
  </r>
  <r>
    <n v="6798"/>
    <n v="48452"/>
    <x v="639"/>
    <x v="0"/>
    <s v="High"/>
    <n v="19"/>
    <n v="1781.11"/>
    <n v="0.1"/>
    <s v="Regular Air"/>
    <n v="51.44"/>
    <n v="99.99"/>
    <n v="19.989999999999998"/>
    <x v="119"/>
    <x v="5"/>
    <x v="2"/>
    <x v="2"/>
    <x v="1"/>
    <x v="7"/>
    <x v="190"/>
    <s v="Small Box"/>
    <n v="0.5"/>
    <d v="2010-10-09T00:00:00"/>
    <n v="0"/>
    <n v="0"/>
    <n v="0.2"/>
    <n v="0.2"/>
  </r>
  <r>
    <n v="6799"/>
    <n v="48452"/>
    <x v="639"/>
    <x v="0"/>
    <s v="High"/>
    <n v="44"/>
    <n v="185.32"/>
    <n v="0.03"/>
    <s v="Regular Air"/>
    <n v="-192.56"/>
    <n v="4.18"/>
    <n v="6.92"/>
    <x v="119"/>
    <x v="5"/>
    <x v="2"/>
    <x v="2"/>
    <x v="2"/>
    <x v="4"/>
    <x v="760"/>
    <s v="Small Box"/>
    <n v="0.49"/>
    <d v="2010-10-10T00:00:00"/>
    <n v="0"/>
    <n v="0"/>
    <n v="0.2"/>
    <n v="0.2"/>
  </r>
  <r>
    <n v="6800"/>
    <n v="48452"/>
    <x v="639"/>
    <x v="0"/>
    <s v="High"/>
    <n v="15"/>
    <n v="73.41"/>
    <n v="0.08"/>
    <s v="Regular Air"/>
    <n v="-44.792499999999997"/>
    <n v="4.91"/>
    <n v="4.97"/>
    <x v="119"/>
    <x v="5"/>
    <x v="2"/>
    <x v="2"/>
    <x v="0"/>
    <x v="2"/>
    <x v="479"/>
    <s v="Small Box"/>
    <n v="0.38"/>
    <d v="2010-10-11T00:00:00"/>
    <n v="0"/>
    <n v="0"/>
    <n v="0.2"/>
    <n v="0.2"/>
  </r>
  <r>
    <n v="6801"/>
    <n v="48452"/>
    <x v="639"/>
    <x v="0"/>
    <s v="High"/>
    <n v="28"/>
    <n v="43.66"/>
    <n v="0.04"/>
    <s v="Regular Air"/>
    <n v="5.77"/>
    <n v="1.48"/>
    <n v="0.7"/>
    <x v="119"/>
    <x v="5"/>
    <x v="2"/>
    <x v="2"/>
    <x v="0"/>
    <x v="6"/>
    <x v="476"/>
    <s v="Wrap Bag"/>
    <n v="0.37"/>
    <d v="2010-10-11T00:00:00"/>
    <n v="0"/>
    <n v="0"/>
    <n v="0.2"/>
    <n v="0.2"/>
  </r>
  <r>
    <n v="6885"/>
    <n v="49088"/>
    <x v="640"/>
    <x v="35"/>
    <s v="Critical"/>
    <n v="16"/>
    <n v="130.11000000000001"/>
    <n v="0.03"/>
    <s v="Regular Air"/>
    <n v="-47.69"/>
    <n v="8.1199999999999992"/>
    <n v="2.83"/>
    <x v="131"/>
    <x v="5"/>
    <x v="2"/>
    <x v="1"/>
    <x v="1"/>
    <x v="7"/>
    <x v="483"/>
    <s v="Small Pack"/>
    <n v="0.77"/>
    <d v="2009-09-24T00:00:00"/>
    <n v="0"/>
    <n v="0"/>
    <n v="0.33333333333333331"/>
    <n v="0.33333333333333331"/>
  </r>
  <r>
    <n v="6886"/>
    <n v="49088"/>
    <x v="640"/>
    <x v="35"/>
    <s v="Critical"/>
    <n v="15"/>
    <n v="4012.58"/>
    <n v="0.05"/>
    <s v="Express Air"/>
    <n v="-425.14"/>
    <n v="279.48"/>
    <n v="35"/>
    <x v="131"/>
    <x v="5"/>
    <x v="2"/>
    <x v="1"/>
    <x v="0"/>
    <x v="0"/>
    <x v="80"/>
    <s v="Large Box"/>
    <n v="0.8"/>
    <d v="2009-09-24T00:00:00"/>
    <n v="0"/>
    <n v="0"/>
    <n v="0.33333333333333331"/>
    <n v="0.33333333333333331"/>
  </r>
  <r>
    <n v="6887"/>
    <n v="49088"/>
    <x v="640"/>
    <x v="35"/>
    <s v="Critical"/>
    <n v="31"/>
    <n v="1295.54"/>
    <n v="0.06"/>
    <s v="Regular Air"/>
    <n v="214.23"/>
    <n v="40.99"/>
    <n v="17.48"/>
    <x v="131"/>
    <x v="5"/>
    <x v="2"/>
    <x v="1"/>
    <x v="0"/>
    <x v="5"/>
    <x v="129"/>
    <s v="Small Box"/>
    <n v="0.36"/>
    <d v="2009-09-25T00:00:00"/>
    <n v="0"/>
    <n v="0"/>
    <n v="0.33333333333333331"/>
    <n v="0.33333333333333331"/>
  </r>
  <r>
    <n v="6906"/>
    <n v="49223"/>
    <x v="641"/>
    <x v="17"/>
    <s v="Medium"/>
    <n v="24"/>
    <n v="238.25"/>
    <n v="0.05"/>
    <s v="Regular Air"/>
    <n v="-83.55"/>
    <n v="9.3800000000000008"/>
    <n v="7.28"/>
    <x v="148"/>
    <x v="5"/>
    <x v="2"/>
    <x v="2"/>
    <x v="0"/>
    <x v="0"/>
    <x v="761"/>
    <s v="Small Box"/>
    <n v="0.56999999999999995"/>
    <d v="2011-10-02T00:00:00"/>
    <n v="0"/>
    <n v="0"/>
    <n v="1"/>
    <n v="1"/>
  </r>
  <r>
    <n v="6947"/>
    <n v="49634"/>
    <x v="75"/>
    <x v="33"/>
    <s v="Not Specified"/>
    <n v="39"/>
    <n v="403.73"/>
    <n v="0.06"/>
    <s v="Regular Air"/>
    <n v="-44.13"/>
    <n v="10.89"/>
    <n v="4.5"/>
    <x v="96"/>
    <x v="5"/>
    <x v="2"/>
    <x v="1"/>
    <x v="0"/>
    <x v="1"/>
    <x v="225"/>
    <s v="Small Box"/>
    <n v="0.59"/>
    <d v="2012-03-24T00:00:00"/>
    <n v="0"/>
    <n v="0"/>
    <n v="0.33333333333333331"/>
    <n v="0.33333333333333331"/>
  </r>
  <r>
    <n v="6948"/>
    <n v="49634"/>
    <x v="75"/>
    <x v="33"/>
    <s v="Not Specified"/>
    <n v="3"/>
    <n v="86.85"/>
    <n v="0.05"/>
    <s v="Regular Air"/>
    <n v="-67.22"/>
    <n v="28.48"/>
    <n v="1.99"/>
    <x v="96"/>
    <x v="5"/>
    <x v="2"/>
    <x v="1"/>
    <x v="1"/>
    <x v="7"/>
    <x v="395"/>
    <s v="Small Pack"/>
    <n v="0.4"/>
    <d v="2012-03-25T00:00:00"/>
    <n v="0"/>
    <n v="0"/>
    <n v="0.33333333333333331"/>
    <n v="0.33333333333333331"/>
  </r>
  <r>
    <n v="6999"/>
    <n v="49987"/>
    <x v="642"/>
    <x v="16"/>
    <s v="High"/>
    <n v="15"/>
    <n v="1795.49"/>
    <n v="0.05"/>
    <s v="Delivery Truck"/>
    <n v="-626.04"/>
    <n v="114.98"/>
    <n v="58.72"/>
    <x v="151"/>
    <x v="5"/>
    <x v="2"/>
    <x v="1"/>
    <x v="2"/>
    <x v="9"/>
    <x v="762"/>
    <s v="Jumbo Box"/>
    <n v="0.76"/>
    <d v="2011-01-22T00:00:00"/>
    <n v="0"/>
    <n v="0"/>
    <n v="0.33333333333333331"/>
    <n v="0.33333333333333331"/>
  </r>
  <r>
    <n v="7000"/>
    <n v="49987"/>
    <x v="642"/>
    <x v="16"/>
    <s v="High"/>
    <n v="4"/>
    <n v="926.58"/>
    <n v="0.03"/>
    <s v="Delivery Truck"/>
    <n v="-226.512"/>
    <n v="212.6"/>
    <n v="52.2"/>
    <x v="151"/>
    <x v="5"/>
    <x v="2"/>
    <x v="1"/>
    <x v="2"/>
    <x v="10"/>
    <x v="763"/>
    <s v="Jumbo Box"/>
    <n v="0.64"/>
    <d v="2011-01-22T00:00:00"/>
    <n v="0"/>
    <n v="0"/>
    <n v="0.33333333333333331"/>
    <n v="0.33333333333333331"/>
  </r>
  <r>
    <n v="7032"/>
    <n v="50208"/>
    <x v="432"/>
    <x v="16"/>
    <s v="Medium"/>
    <n v="4"/>
    <n v="38.76"/>
    <n v="0.1"/>
    <s v="Express Air"/>
    <n v="-12.1325"/>
    <n v="6.23"/>
    <n v="6.97"/>
    <x v="137"/>
    <x v="5"/>
    <x v="2"/>
    <x v="2"/>
    <x v="0"/>
    <x v="2"/>
    <x v="764"/>
    <s v="Small Box"/>
    <n v="0.36"/>
    <d v="2011-01-23T00:00:00"/>
    <n v="0"/>
    <n v="0"/>
    <n v="1"/>
    <n v="1"/>
  </r>
  <r>
    <n v="7057"/>
    <n v="50338"/>
    <x v="643"/>
    <x v="28"/>
    <s v="Not Specified"/>
    <n v="36"/>
    <n v="551.44000000000005"/>
    <n v="0"/>
    <s v="Regular Air"/>
    <n v="28.7"/>
    <n v="13.99"/>
    <n v="7.51"/>
    <x v="126"/>
    <x v="5"/>
    <x v="2"/>
    <x v="2"/>
    <x v="1"/>
    <x v="16"/>
    <x v="535"/>
    <s v="Medium Box"/>
    <n v="0.39"/>
    <d v="2009-03-25T00:00:00"/>
    <n v="0"/>
    <n v="0"/>
    <n v="1"/>
    <n v="1"/>
  </r>
  <r>
    <n v="7138"/>
    <n v="50945"/>
    <x v="644"/>
    <x v="16"/>
    <s v="Critical"/>
    <n v="27"/>
    <n v="834.0625"/>
    <n v="0.01"/>
    <s v="Regular Air"/>
    <n v="192.29399999999998"/>
    <n v="35.99"/>
    <n v="1.25"/>
    <x v="135"/>
    <x v="5"/>
    <x v="2"/>
    <x v="3"/>
    <x v="1"/>
    <x v="3"/>
    <x v="542"/>
    <s v="Small Pack"/>
    <n v="0.56999999999999995"/>
    <d v="2011-01-09T00:00:00"/>
    <n v="0"/>
    <n v="0"/>
    <n v="1"/>
    <n v="1"/>
  </r>
  <r>
    <n v="7210"/>
    <n v="51462"/>
    <x v="645"/>
    <x v="4"/>
    <s v="Medium"/>
    <n v="15"/>
    <n v="417.88"/>
    <n v="0.08"/>
    <s v="Express Air"/>
    <n v="-13.95"/>
    <n v="28.15"/>
    <n v="8.99"/>
    <x v="145"/>
    <x v="5"/>
    <x v="2"/>
    <x v="0"/>
    <x v="0"/>
    <x v="12"/>
    <x v="60"/>
    <s v="Small Pack"/>
    <n v="0.56999999999999995"/>
    <d v="2011-06-24T00:00:00"/>
    <n v="0"/>
    <n v="0"/>
    <n v="1"/>
    <n v="1"/>
  </r>
  <r>
    <n v="7218"/>
    <n v="51494"/>
    <x v="646"/>
    <x v="21"/>
    <s v="Critical"/>
    <n v="42"/>
    <n v="493.56"/>
    <n v="0.06"/>
    <s v="Regular Air"/>
    <n v="12.73"/>
    <n v="11.99"/>
    <n v="5.99"/>
    <x v="143"/>
    <x v="5"/>
    <x v="2"/>
    <x v="1"/>
    <x v="1"/>
    <x v="16"/>
    <x v="765"/>
    <s v="Medium Box"/>
    <n v="0.36"/>
    <d v="2011-08-05T00:00:00"/>
    <n v="0"/>
    <n v="0"/>
    <n v="1"/>
    <n v="1"/>
  </r>
  <r>
    <n v="7221"/>
    <n v="51525"/>
    <x v="647"/>
    <x v="27"/>
    <s v="Critical"/>
    <n v="18"/>
    <n v="360.24"/>
    <n v="0.04"/>
    <s v="Express Air"/>
    <n v="-36.24"/>
    <n v="19.98"/>
    <n v="4"/>
    <x v="133"/>
    <x v="5"/>
    <x v="2"/>
    <x v="3"/>
    <x v="1"/>
    <x v="7"/>
    <x v="507"/>
    <s v="Small Box"/>
    <n v="0.68"/>
    <d v="2011-11-09T00:00:00"/>
    <n v="0"/>
    <n v="0"/>
    <n v="0.5"/>
    <n v="0.5"/>
  </r>
  <r>
    <n v="7222"/>
    <n v="51525"/>
    <x v="647"/>
    <x v="27"/>
    <s v="Critical"/>
    <n v="46"/>
    <n v="1463.27"/>
    <n v="0.09"/>
    <s v="Regular Air"/>
    <n v="104.22"/>
    <n v="34.76"/>
    <n v="8.2200000000000006"/>
    <x v="133"/>
    <x v="5"/>
    <x v="2"/>
    <x v="3"/>
    <x v="0"/>
    <x v="0"/>
    <x v="139"/>
    <s v="Small Box"/>
    <n v="0.56999999999999995"/>
    <d v="2011-11-09T00:00:00"/>
    <n v="0"/>
    <n v="0"/>
    <n v="0.5"/>
    <n v="0.5"/>
  </r>
  <r>
    <n v="7428"/>
    <n v="52933"/>
    <x v="134"/>
    <x v="3"/>
    <s v="Low"/>
    <n v="44"/>
    <n v="210.46"/>
    <n v="0.03"/>
    <s v="Express Air"/>
    <n v="50.039499999999997"/>
    <n v="4.49"/>
    <n v="1.49"/>
    <x v="126"/>
    <x v="5"/>
    <x v="2"/>
    <x v="1"/>
    <x v="0"/>
    <x v="2"/>
    <x v="766"/>
    <s v="Small Box"/>
    <n v="0.39"/>
    <d v="2010-09-02T00:00:00"/>
    <n v="0"/>
    <n v="0"/>
    <n v="1"/>
    <n v="1"/>
  </r>
  <r>
    <n v="7437"/>
    <n v="53025"/>
    <x v="648"/>
    <x v="14"/>
    <s v="Critical"/>
    <n v="32"/>
    <n v="195.57"/>
    <n v="0.09"/>
    <s v="Regular Air"/>
    <n v="-132.93"/>
    <n v="5.98"/>
    <n v="7.5"/>
    <x v="143"/>
    <x v="5"/>
    <x v="2"/>
    <x v="1"/>
    <x v="0"/>
    <x v="5"/>
    <x v="437"/>
    <s v="Small Box"/>
    <n v="0.4"/>
    <d v="2010-03-18T00:00:00"/>
    <n v="0"/>
    <n v="0"/>
    <n v="1"/>
    <n v="0.5"/>
  </r>
  <r>
    <n v="7539"/>
    <n v="53894"/>
    <x v="227"/>
    <x v="36"/>
    <s v="Critical"/>
    <n v="47"/>
    <n v="691.52"/>
    <n v="0.03"/>
    <s v="Regular Air"/>
    <n v="107.02"/>
    <n v="14.2"/>
    <n v="5.3"/>
    <x v="147"/>
    <x v="5"/>
    <x v="2"/>
    <x v="1"/>
    <x v="2"/>
    <x v="4"/>
    <x v="457"/>
    <s v="Wrap Bag"/>
    <n v="0.46"/>
    <d v="2009-07-08T00:00:00"/>
    <n v="0"/>
    <n v="0"/>
    <n v="0.33333333333333331"/>
    <n v="0.33333333333333331"/>
  </r>
  <r>
    <n v="7540"/>
    <n v="53894"/>
    <x v="227"/>
    <x v="36"/>
    <s v="Critical"/>
    <n v="37"/>
    <n v="2756.17"/>
    <n v="0.04"/>
    <s v="Regular Air"/>
    <n v="-1561.7160000000001"/>
    <n v="71.37"/>
    <n v="69"/>
    <x v="147"/>
    <x v="5"/>
    <x v="2"/>
    <x v="1"/>
    <x v="2"/>
    <x v="10"/>
    <x v="17"/>
    <s v="Large Box"/>
    <n v="0.68"/>
    <d v="2009-07-08T00:00:00"/>
    <n v="0"/>
    <n v="0"/>
    <n v="0.33333333333333331"/>
    <n v="0.33333333333333331"/>
  </r>
  <r>
    <n v="7541"/>
    <n v="53894"/>
    <x v="227"/>
    <x v="36"/>
    <s v="Critical"/>
    <n v="29"/>
    <n v="5159.3725000000004"/>
    <n v="0.02"/>
    <s v="Express Air"/>
    <n v="1252.4760000000001"/>
    <n v="200.99"/>
    <n v="8.08"/>
    <x v="147"/>
    <x v="5"/>
    <x v="2"/>
    <x v="1"/>
    <x v="1"/>
    <x v="3"/>
    <x v="103"/>
    <s v="Small Box"/>
    <n v="0.59"/>
    <d v="2009-07-07T00:00:00"/>
    <n v="0"/>
    <n v="0"/>
    <n v="0.33333333333333331"/>
    <n v="0.33333333333333331"/>
  </r>
  <r>
    <n v="7544"/>
    <n v="53953"/>
    <x v="369"/>
    <x v="28"/>
    <s v="Not Specified"/>
    <n v="36"/>
    <n v="307.64999999999998"/>
    <n v="7.0000000000000007E-2"/>
    <s v="Regular Air"/>
    <n v="91.73"/>
    <n v="8.9499999999999993"/>
    <n v="2.0099999999999998"/>
    <x v="144"/>
    <x v="5"/>
    <x v="2"/>
    <x v="2"/>
    <x v="0"/>
    <x v="5"/>
    <x v="493"/>
    <s v="Wrap Bag"/>
    <n v="0.39"/>
    <d v="2009-03-28T00:00:00"/>
    <n v="0"/>
    <n v="0"/>
    <n v="1"/>
    <n v="1"/>
  </r>
  <r>
    <n v="7587"/>
    <n v="54304"/>
    <x v="649"/>
    <x v="6"/>
    <s v="High"/>
    <n v="11"/>
    <n v="558.62"/>
    <n v="0.03"/>
    <s v="Regular Air"/>
    <n v="118.32"/>
    <n v="48.58"/>
    <n v="3.99"/>
    <x v="143"/>
    <x v="5"/>
    <x v="2"/>
    <x v="1"/>
    <x v="0"/>
    <x v="1"/>
    <x v="767"/>
    <s v="Small Box"/>
    <n v="0.56000000000000005"/>
    <d v="2010-02-19T00:00:00"/>
    <n v="0"/>
    <n v="0"/>
    <n v="1"/>
    <n v="1"/>
  </r>
  <r>
    <n v="7685"/>
    <n v="55075"/>
    <x v="650"/>
    <x v="44"/>
    <s v="Critical"/>
    <n v="21"/>
    <n v="556.45000000000005"/>
    <n v="0.08"/>
    <s v="Delivery Truck"/>
    <n v="-124.42"/>
    <n v="25.98"/>
    <n v="14.36"/>
    <x v="141"/>
    <x v="5"/>
    <x v="2"/>
    <x v="3"/>
    <x v="2"/>
    <x v="14"/>
    <x v="170"/>
    <s v="Jumbo Drum"/>
    <n v="0.6"/>
    <d v="2011-02-04T00:00:00"/>
    <n v="0"/>
    <n v="0"/>
    <n v="1"/>
    <n v="1"/>
  </r>
  <r>
    <n v="7710"/>
    <n v="55268"/>
    <x v="67"/>
    <x v="33"/>
    <s v="High"/>
    <n v="11"/>
    <n v="61.46"/>
    <n v="0.08"/>
    <s v="Express Air"/>
    <n v="-47.83"/>
    <n v="4.8899999999999997"/>
    <n v="4.93"/>
    <x v="133"/>
    <x v="5"/>
    <x v="2"/>
    <x v="3"/>
    <x v="1"/>
    <x v="7"/>
    <x v="23"/>
    <s v="Small Pack"/>
    <n v="0.66"/>
    <d v="2012-03-18T00:00:00"/>
    <n v="0"/>
    <n v="0"/>
    <n v="1"/>
    <n v="1"/>
  </r>
  <r>
    <n v="7731"/>
    <n v="55367"/>
    <x v="651"/>
    <x v="22"/>
    <s v="Critical"/>
    <n v="31"/>
    <n v="2137.1"/>
    <n v="0.05"/>
    <s v="Delivery Truck"/>
    <n v="-686.01"/>
    <n v="70.98"/>
    <n v="46.74"/>
    <x v="131"/>
    <x v="5"/>
    <x v="2"/>
    <x v="1"/>
    <x v="2"/>
    <x v="9"/>
    <x v="768"/>
    <s v="Jumbo Box"/>
    <n v="0.56000000000000005"/>
    <d v="2009-01-11T00:00:00"/>
    <n v="0"/>
    <n v="1"/>
    <n v="0.5"/>
    <n v="0.5"/>
  </r>
  <r>
    <n v="7732"/>
    <n v="55367"/>
    <x v="651"/>
    <x v="22"/>
    <s v="Critical"/>
    <n v="48"/>
    <n v="571.16999999999996"/>
    <n v="0.05"/>
    <s v="Regular Air"/>
    <n v="129.87"/>
    <n v="11.55"/>
    <n v="2.36"/>
    <x v="131"/>
    <x v="5"/>
    <x v="2"/>
    <x v="1"/>
    <x v="0"/>
    <x v="12"/>
    <x v="769"/>
    <s v="Wrap Bag"/>
    <n v="0.55000000000000004"/>
    <d v="2009-01-12T00:00:00"/>
    <n v="0"/>
    <n v="1"/>
    <n v="0.5"/>
    <n v="0.5"/>
  </r>
  <r>
    <n v="7875"/>
    <n v="56321"/>
    <x v="652"/>
    <x v="24"/>
    <s v="Critical"/>
    <n v="24"/>
    <n v="135.88"/>
    <n v="0.1"/>
    <s v="Regular Air"/>
    <n v="-75.394000000000005"/>
    <n v="5.8"/>
    <n v="5.59"/>
    <x v="122"/>
    <x v="5"/>
    <x v="2"/>
    <x v="1"/>
    <x v="0"/>
    <x v="2"/>
    <x v="770"/>
    <s v="Small Box"/>
    <n v="0.4"/>
    <d v="2010-04-18T00:00:00"/>
    <n v="0"/>
    <n v="0"/>
    <n v="1"/>
    <n v="1"/>
  </r>
  <r>
    <n v="7919"/>
    <n v="56610"/>
    <x v="239"/>
    <x v="14"/>
    <s v="Medium"/>
    <n v="20"/>
    <n v="857.95"/>
    <n v="0.08"/>
    <s v="Express Air"/>
    <n v="51.85"/>
    <n v="43.22"/>
    <n v="4"/>
    <x v="143"/>
    <x v="5"/>
    <x v="2"/>
    <x v="1"/>
    <x v="1"/>
    <x v="7"/>
    <x v="710"/>
    <s v="Small Box"/>
    <n v="0.64"/>
    <d v="2010-03-07T00:00:00"/>
    <n v="0"/>
    <n v="0"/>
    <n v="1"/>
    <n v="0.5"/>
  </r>
  <r>
    <n v="7943"/>
    <n v="56740"/>
    <x v="653"/>
    <x v="1"/>
    <s v="Critical"/>
    <n v="33"/>
    <n v="662.21"/>
    <n v="0.01"/>
    <s v="Regular Air"/>
    <n v="256.57"/>
    <n v="18.84"/>
    <n v="3.62"/>
    <x v="129"/>
    <x v="5"/>
    <x v="2"/>
    <x v="1"/>
    <x v="2"/>
    <x v="4"/>
    <x v="771"/>
    <s v="Wrap Bag"/>
    <n v="0.43"/>
    <d v="2012-10-23T00:00:00"/>
    <n v="0"/>
    <n v="0"/>
    <n v="0.33333333333333331"/>
    <n v="1"/>
  </r>
  <r>
    <n v="7962"/>
    <n v="56901"/>
    <x v="82"/>
    <x v="35"/>
    <s v="Critical"/>
    <n v="36"/>
    <n v="100.68"/>
    <n v="0"/>
    <s v="Regular Air"/>
    <n v="-45.21"/>
    <n v="2.6"/>
    <n v="2.4"/>
    <x v="152"/>
    <x v="5"/>
    <x v="2"/>
    <x v="2"/>
    <x v="0"/>
    <x v="12"/>
    <x v="269"/>
    <s v="Wrap Bag"/>
    <n v="0.57999999999999996"/>
    <d v="2009-09-13T00:00:00"/>
    <n v="0"/>
    <n v="0"/>
    <n v="1"/>
    <n v="1"/>
  </r>
  <r>
    <n v="8020"/>
    <n v="57314"/>
    <x v="620"/>
    <x v="0"/>
    <s v="Low"/>
    <n v="22"/>
    <n v="846.35"/>
    <n v="0.04"/>
    <s v="Express Air"/>
    <n v="341.53"/>
    <n v="37.94"/>
    <n v="5.08"/>
    <x v="133"/>
    <x v="5"/>
    <x v="2"/>
    <x v="3"/>
    <x v="0"/>
    <x v="5"/>
    <x v="532"/>
    <s v="Wrap Bag"/>
    <n v="0.38"/>
    <d v="2010-10-16T00:00:00"/>
    <n v="0"/>
    <n v="0"/>
    <n v="0.5"/>
    <n v="0.5"/>
  </r>
  <r>
    <n v="8021"/>
    <n v="57314"/>
    <x v="620"/>
    <x v="0"/>
    <s v="Low"/>
    <n v="26"/>
    <n v="1976.3945000000001"/>
    <n v="0"/>
    <s v="Regular Air"/>
    <n v="473.35500000000002"/>
    <n v="85.99"/>
    <n v="2.79"/>
    <x v="133"/>
    <x v="5"/>
    <x v="2"/>
    <x v="3"/>
    <x v="1"/>
    <x v="3"/>
    <x v="700"/>
    <s v="Small Box"/>
    <n v="0.57999999999999996"/>
    <d v="2010-10-19T00:00:00"/>
    <n v="0"/>
    <n v="0"/>
    <n v="0.5"/>
    <n v="0.5"/>
  </r>
  <r>
    <n v="8027"/>
    <n v="57376"/>
    <x v="654"/>
    <x v="4"/>
    <s v="Critical"/>
    <n v="44"/>
    <n v="442.72"/>
    <n v="7.0000000000000007E-2"/>
    <s v="Regular Air"/>
    <n v="-168.38"/>
    <n v="10.52"/>
    <n v="7.94"/>
    <x v="120"/>
    <x v="5"/>
    <x v="2"/>
    <x v="0"/>
    <x v="2"/>
    <x v="4"/>
    <x v="717"/>
    <s v="Small Pack"/>
    <n v="0.52"/>
    <d v="2011-06-21T00:00:00"/>
    <n v="0"/>
    <n v="0"/>
    <n v="0.5"/>
    <n v="0.5"/>
  </r>
  <r>
    <n v="8028"/>
    <n v="57376"/>
    <x v="654"/>
    <x v="4"/>
    <s v="Critical"/>
    <n v="6"/>
    <n v="326.89299999999997"/>
    <n v="7.0000000000000007E-2"/>
    <s v="Regular Air"/>
    <n v="-223.21199999999999"/>
    <n v="65.989999999999995"/>
    <n v="5.31"/>
    <x v="120"/>
    <x v="5"/>
    <x v="2"/>
    <x v="0"/>
    <x v="1"/>
    <x v="3"/>
    <x v="305"/>
    <s v="Small Box"/>
    <n v="0.56999999999999995"/>
    <d v="2011-06-19T00:00:00"/>
    <n v="0"/>
    <n v="0"/>
    <n v="0.5"/>
    <n v="0.5"/>
  </r>
  <r>
    <n v="8086"/>
    <n v="57671"/>
    <x v="655"/>
    <x v="32"/>
    <s v="Not Specified"/>
    <n v="6"/>
    <n v="22.78"/>
    <n v="0.01"/>
    <s v="Regular Air"/>
    <n v="3.96"/>
    <n v="3.75"/>
    <n v="0.5"/>
    <x v="126"/>
    <x v="5"/>
    <x v="2"/>
    <x v="1"/>
    <x v="0"/>
    <x v="11"/>
    <x v="45"/>
    <s v="Small Box"/>
    <n v="0.37"/>
    <d v="2012-11-08T00:00:00"/>
    <n v="0"/>
    <n v="0"/>
    <n v="1"/>
    <n v="1"/>
  </r>
  <r>
    <n v="8092"/>
    <n v="57700"/>
    <x v="39"/>
    <x v="27"/>
    <s v="Medium"/>
    <n v="38"/>
    <n v="1806.43"/>
    <n v="0.04"/>
    <s v="Regular Air"/>
    <n v="134.85"/>
    <n v="47.98"/>
    <n v="3.61"/>
    <x v="152"/>
    <x v="5"/>
    <x v="2"/>
    <x v="2"/>
    <x v="1"/>
    <x v="7"/>
    <x v="12"/>
    <s v="Small Pack"/>
    <n v="0.71"/>
    <d v="2011-11-12T00:00:00"/>
    <n v="0"/>
    <n v="0"/>
    <n v="1"/>
    <n v="1"/>
  </r>
  <r>
    <n v="8172"/>
    <n v="58407"/>
    <x v="16"/>
    <x v="10"/>
    <s v="High"/>
    <n v="29"/>
    <n v="1669.88"/>
    <n v="0.02"/>
    <s v="Regular Air"/>
    <n v="548.91999999999996"/>
    <n v="55.48"/>
    <n v="14.3"/>
    <x v="150"/>
    <x v="5"/>
    <x v="2"/>
    <x v="2"/>
    <x v="0"/>
    <x v="5"/>
    <x v="381"/>
    <s v="Small Box"/>
    <n v="0.37"/>
    <d v="2011-05-09T00:00:00"/>
    <n v="0"/>
    <n v="0"/>
    <n v="1"/>
    <n v="1"/>
  </r>
  <r>
    <n v="8191"/>
    <n v="58593"/>
    <x v="656"/>
    <x v="31"/>
    <s v="Critical"/>
    <n v="29"/>
    <n v="2018.45"/>
    <n v="0.08"/>
    <s v="Regular Air"/>
    <n v="-812.25"/>
    <n v="70.709999999999994"/>
    <n v="37.58"/>
    <x v="132"/>
    <x v="5"/>
    <x v="2"/>
    <x v="2"/>
    <x v="2"/>
    <x v="4"/>
    <x v="563"/>
    <s v="Wrap Bag"/>
    <n v="0.78"/>
    <d v="2011-09-09T00:00:00"/>
    <n v="0"/>
    <n v="0"/>
    <n v="1"/>
    <n v="1"/>
  </r>
  <r>
    <n v="8238"/>
    <n v="58884"/>
    <x v="657"/>
    <x v="5"/>
    <s v="Low"/>
    <n v="29"/>
    <n v="87.68"/>
    <n v="0.03"/>
    <s v="Regular Air"/>
    <n v="23.14"/>
    <n v="2.88"/>
    <n v="0.99"/>
    <x v="148"/>
    <x v="5"/>
    <x v="2"/>
    <x v="2"/>
    <x v="0"/>
    <x v="11"/>
    <x v="184"/>
    <s v="Small Box"/>
    <n v="0.36"/>
    <d v="2011-03-26T00:00:00"/>
    <n v="0"/>
    <n v="0"/>
    <n v="0.5"/>
    <n v="0.5"/>
  </r>
  <r>
    <n v="8239"/>
    <n v="58884"/>
    <x v="657"/>
    <x v="5"/>
    <s v="Low"/>
    <n v="46"/>
    <n v="3732.25"/>
    <n v="0.1"/>
    <s v="Delivery Truck"/>
    <n v="-1255.8600000000001"/>
    <n v="85.29"/>
    <n v="60"/>
    <x v="148"/>
    <x v="5"/>
    <x v="2"/>
    <x v="2"/>
    <x v="2"/>
    <x v="10"/>
    <x v="527"/>
    <s v="Jumbo Drum"/>
    <n v="0.56000000000000005"/>
    <d v="2011-03-26T00:00:00"/>
    <n v="0"/>
    <n v="0"/>
    <n v="0.5"/>
    <n v="0.5"/>
  </r>
  <r>
    <n v="8240"/>
    <n v="58913"/>
    <x v="658"/>
    <x v="39"/>
    <s v="Medium"/>
    <n v="23"/>
    <n v="144.55000000000001"/>
    <n v="7.0000000000000007E-2"/>
    <s v="Regular Air"/>
    <n v="-60.17"/>
    <n v="6.48"/>
    <n v="5.94"/>
    <x v="137"/>
    <x v="5"/>
    <x v="2"/>
    <x v="2"/>
    <x v="0"/>
    <x v="5"/>
    <x v="772"/>
    <s v="Small Box"/>
    <n v="0.37"/>
    <d v="2010-05-13T00:00:00"/>
    <n v="0"/>
    <n v="0"/>
    <n v="1"/>
    <n v="1"/>
  </r>
  <r>
    <n v="8248"/>
    <n v="58978"/>
    <x v="659"/>
    <x v="12"/>
    <s v="Low"/>
    <n v="13"/>
    <n v="75.89"/>
    <n v="0.09"/>
    <s v="Regular Air"/>
    <n v="-31.01"/>
    <n v="5.98"/>
    <n v="5.15"/>
    <x v="131"/>
    <x v="5"/>
    <x v="2"/>
    <x v="1"/>
    <x v="0"/>
    <x v="5"/>
    <x v="773"/>
    <s v="Small Box"/>
    <n v="0.36"/>
    <d v="2012-02-13T00:00:00"/>
    <n v="0"/>
    <n v="0"/>
    <n v="1"/>
    <n v="1"/>
  </r>
  <r>
    <n v="37"/>
    <n v="229"/>
    <x v="282"/>
    <x v="15"/>
    <s v="Critical"/>
    <n v="43"/>
    <n v="586.11"/>
    <n v="0.11"/>
    <s v="Regular Air"/>
    <n v="98.44"/>
    <n v="12.64"/>
    <n v="4.9800000000000004"/>
    <x v="153"/>
    <x v="5"/>
    <x v="2"/>
    <x v="1"/>
    <x v="2"/>
    <x v="4"/>
    <x v="774"/>
    <s v="Small Pack"/>
    <n v="0.48"/>
    <d v="2010-12-30T00:00:00"/>
    <n v="0"/>
    <n v="0"/>
    <n v="0.5"/>
    <n v="1"/>
  </r>
  <r>
    <n v="108"/>
    <n v="706"/>
    <x v="656"/>
    <x v="31"/>
    <s v="Critical"/>
    <n v="42"/>
    <n v="75.14"/>
    <n v="0.05"/>
    <s v="Regular Air"/>
    <n v="0.82"/>
    <n v="1.76"/>
    <n v="0.7"/>
    <x v="154"/>
    <x v="5"/>
    <x v="2"/>
    <x v="1"/>
    <x v="0"/>
    <x v="12"/>
    <x v="91"/>
    <s v="Wrap Bag"/>
    <n v="0.56000000000000005"/>
    <d v="2011-09-10T00:00:00"/>
    <n v="0"/>
    <n v="0"/>
    <n v="1"/>
    <n v="1"/>
  </r>
  <r>
    <n v="193"/>
    <n v="1285"/>
    <x v="660"/>
    <x v="20"/>
    <s v="Critical"/>
    <n v="27"/>
    <n v="3874.12"/>
    <n v="0"/>
    <s v="Delivery Truck"/>
    <n v="-305.98"/>
    <n v="130.97999999999999"/>
    <n v="54.74"/>
    <x v="155"/>
    <x v="5"/>
    <x v="2"/>
    <x v="2"/>
    <x v="2"/>
    <x v="9"/>
    <x v="631"/>
    <s v="Jumbo Box"/>
    <n v="0.69"/>
    <d v="2012-05-31T00:00:00"/>
    <n v="0"/>
    <n v="0"/>
    <n v="0.5"/>
    <n v="0.5"/>
  </r>
  <r>
    <n v="194"/>
    <n v="1285"/>
    <x v="660"/>
    <x v="20"/>
    <s v="Critical"/>
    <n v="8"/>
    <n v="1452.2160000000001"/>
    <n v="0.05"/>
    <s v="Delivery Truck"/>
    <n v="-277.29000000000002"/>
    <n v="218.75"/>
    <n v="69.64"/>
    <x v="155"/>
    <x v="5"/>
    <x v="2"/>
    <x v="2"/>
    <x v="2"/>
    <x v="10"/>
    <x v="146"/>
    <s v="Jumbo Box"/>
    <n v="0.77"/>
    <d v="2012-06-01T00:00:00"/>
    <n v="0"/>
    <n v="0"/>
    <n v="0.5"/>
    <n v="0.5"/>
  </r>
  <r>
    <n v="198"/>
    <n v="1313"/>
    <x v="661"/>
    <x v="35"/>
    <s v="Critical"/>
    <n v="34"/>
    <n v="840.07"/>
    <n v="0"/>
    <s v="Regular Air"/>
    <n v="-83.75"/>
    <n v="22.84"/>
    <n v="16.920000000000002"/>
    <x v="155"/>
    <x v="5"/>
    <x v="2"/>
    <x v="3"/>
    <x v="0"/>
    <x v="5"/>
    <x v="775"/>
    <s v="Small Box"/>
    <n v="0.39"/>
    <d v="2009-09-14T00:00:00"/>
    <n v="0"/>
    <n v="0"/>
    <n v="1"/>
    <n v="1"/>
  </r>
  <r>
    <n v="206"/>
    <n v="1346"/>
    <x v="610"/>
    <x v="8"/>
    <s v="High"/>
    <n v="48"/>
    <n v="4789.8900000000003"/>
    <n v="0.09"/>
    <s v="Delivery Truck"/>
    <n v="421.15"/>
    <n v="100.98"/>
    <n v="26.22"/>
    <x v="156"/>
    <x v="5"/>
    <x v="2"/>
    <x v="2"/>
    <x v="2"/>
    <x v="9"/>
    <x v="16"/>
    <s v="Jumbo Box"/>
    <n v="0.6"/>
    <d v="2012-06-19T00:00:00"/>
    <n v="0"/>
    <n v="0"/>
    <n v="1"/>
    <n v="1"/>
  </r>
  <r>
    <n v="246"/>
    <n v="1699"/>
    <x v="662"/>
    <x v="15"/>
    <s v="Critical"/>
    <n v="40"/>
    <n v="430.88"/>
    <n v="0.05"/>
    <s v="Regular Air"/>
    <n v="39"/>
    <n v="11.09"/>
    <n v="5.25"/>
    <x v="157"/>
    <x v="5"/>
    <x v="2"/>
    <x v="2"/>
    <x v="0"/>
    <x v="8"/>
    <x v="621"/>
    <s v="Small Box"/>
    <n v="0.36"/>
    <d v="2011-03-23T00:00:00"/>
    <n v="0"/>
    <n v="0"/>
    <n v="1"/>
    <n v="1"/>
  </r>
  <r>
    <n v="314"/>
    <n v="2208"/>
    <x v="663"/>
    <x v="37"/>
    <s v="Not Specified"/>
    <n v="7"/>
    <n v="82.06"/>
    <n v="7.0000000000000007E-2"/>
    <s v="Regular Air"/>
    <n v="-26.990499999999997"/>
    <n v="11.5"/>
    <n v="7.19"/>
    <x v="158"/>
    <x v="5"/>
    <x v="2"/>
    <x v="3"/>
    <x v="0"/>
    <x v="2"/>
    <x v="274"/>
    <s v="Small Box"/>
    <n v="0.4"/>
    <d v="2011-05-02T00:00:00"/>
    <n v="0"/>
    <n v="0"/>
    <n v="0.5"/>
    <n v="0.14285714285714285"/>
  </r>
  <r>
    <n v="315"/>
    <n v="2208"/>
    <x v="663"/>
    <x v="37"/>
    <s v="Not Specified"/>
    <n v="41"/>
    <n v="23281.05"/>
    <n v="0.09"/>
    <s v="Regular Air"/>
    <n v="9097.6450000000004"/>
    <n v="599.99"/>
    <n v="24.49"/>
    <x v="158"/>
    <x v="5"/>
    <x v="2"/>
    <x v="3"/>
    <x v="1"/>
    <x v="13"/>
    <x v="776"/>
    <s v="Large Box"/>
    <n v="0.37"/>
    <d v="2011-05-01T00:00:00"/>
    <n v="0"/>
    <n v="0"/>
    <n v="0.5"/>
    <n v="0.14285714285714285"/>
  </r>
  <r>
    <n v="382"/>
    <n v="2656"/>
    <x v="314"/>
    <x v="39"/>
    <s v="Critical"/>
    <n v="3"/>
    <n v="523.11"/>
    <n v="0.05"/>
    <s v="Delivery Truck"/>
    <n v="-214.53300000000002"/>
    <n v="159.31"/>
    <n v="60"/>
    <x v="159"/>
    <x v="5"/>
    <x v="2"/>
    <x v="1"/>
    <x v="2"/>
    <x v="10"/>
    <x v="740"/>
    <s v="Jumbo Drum"/>
    <n v="0.55000000000000004"/>
    <d v="2010-05-04T00:00:00"/>
    <n v="0"/>
    <n v="0"/>
    <n v="0.5"/>
    <n v="0.5"/>
  </r>
  <r>
    <n v="383"/>
    <n v="2656"/>
    <x v="314"/>
    <x v="39"/>
    <s v="Critical"/>
    <n v="29"/>
    <n v="913.41"/>
    <n v="0.01"/>
    <s v="Regular Air"/>
    <n v="237.14100000000002"/>
    <n v="35.99"/>
    <n v="1.25"/>
    <x v="159"/>
    <x v="5"/>
    <x v="2"/>
    <x v="1"/>
    <x v="1"/>
    <x v="3"/>
    <x v="542"/>
    <s v="Small Pack"/>
    <n v="0.56999999999999995"/>
    <d v="2010-05-05T00:00:00"/>
    <n v="0"/>
    <n v="0"/>
    <n v="0.5"/>
    <n v="0.5"/>
  </r>
  <r>
    <n v="483"/>
    <n v="3361"/>
    <x v="348"/>
    <x v="9"/>
    <s v="Not Specified"/>
    <n v="49"/>
    <n v="213.71"/>
    <n v="0.06"/>
    <s v="Regular Air"/>
    <n v="-208.02"/>
    <n v="4.28"/>
    <n v="6.72"/>
    <x v="160"/>
    <x v="5"/>
    <x v="2"/>
    <x v="2"/>
    <x v="0"/>
    <x v="5"/>
    <x v="777"/>
    <s v="Small Box"/>
    <n v="0.4"/>
    <d v="2012-08-22T00:00:00"/>
    <n v="0"/>
    <n v="0"/>
    <n v="0.5"/>
    <n v="0.5"/>
  </r>
  <r>
    <n v="484"/>
    <n v="3361"/>
    <x v="348"/>
    <x v="9"/>
    <s v="Not Specified"/>
    <n v="23"/>
    <n v="133.66"/>
    <n v="7.0000000000000007E-2"/>
    <s v="Regular Air"/>
    <n v="-5.6"/>
    <n v="5.85"/>
    <n v="2.27"/>
    <x v="160"/>
    <x v="5"/>
    <x v="2"/>
    <x v="2"/>
    <x v="0"/>
    <x v="12"/>
    <x v="338"/>
    <s v="Wrap Bag"/>
    <n v="0.56000000000000005"/>
    <d v="2012-08-23T00:00:00"/>
    <n v="0"/>
    <n v="0"/>
    <n v="0.5"/>
    <n v="0.5"/>
  </r>
  <r>
    <n v="488"/>
    <n v="3393"/>
    <x v="609"/>
    <x v="2"/>
    <s v="High"/>
    <n v="7"/>
    <n v="127.74"/>
    <n v="0.04"/>
    <s v="Express Air"/>
    <n v="-5.57"/>
    <n v="15.98"/>
    <n v="4"/>
    <x v="161"/>
    <x v="5"/>
    <x v="2"/>
    <x v="1"/>
    <x v="1"/>
    <x v="7"/>
    <x v="404"/>
    <s v="Small Box"/>
    <n v="0.37"/>
    <d v="2011-07-04T00:00:00"/>
    <n v="0"/>
    <n v="0"/>
    <n v="0.5"/>
    <n v="0.5"/>
  </r>
  <r>
    <n v="489"/>
    <n v="3393"/>
    <x v="609"/>
    <x v="2"/>
    <s v="High"/>
    <n v="33"/>
    <n v="325.92"/>
    <n v="0.03"/>
    <s v="Regular Air"/>
    <n v="-36.47"/>
    <n v="9.48"/>
    <n v="7.29"/>
    <x v="161"/>
    <x v="5"/>
    <x v="2"/>
    <x v="1"/>
    <x v="2"/>
    <x v="4"/>
    <x v="722"/>
    <s v="Small Pack"/>
    <n v="0.45"/>
    <d v="2011-07-03T00:00:00"/>
    <n v="0"/>
    <n v="0"/>
    <n v="0.5"/>
    <n v="0.5"/>
  </r>
  <r>
    <n v="638"/>
    <n v="4487"/>
    <x v="430"/>
    <x v="6"/>
    <s v="Medium"/>
    <n v="50"/>
    <n v="325.24"/>
    <n v="0.05"/>
    <s v="Regular Air"/>
    <n v="-79.418999999999997"/>
    <n v="6.54"/>
    <n v="5.27"/>
    <x v="162"/>
    <x v="5"/>
    <x v="2"/>
    <x v="0"/>
    <x v="0"/>
    <x v="2"/>
    <x v="578"/>
    <s v="Small Box"/>
    <n v="0.36"/>
    <d v="2010-02-23T00:00:00"/>
    <n v="0"/>
    <n v="0"/>
    <n v="1"/>
    <n v="1"/>
  </r>
  <r>
    <n v="649"/>
    <n v="4579"/>
    <x v="664"/>
    <x v="27"/>
    <s v="High"/>
    <n v="40"/>
    <n v="1765.05"/>
    <n v="0.05"/>
    <s v="Regular Air"/>
    <n v="749.21550000000002"/>
    <n v="43.41"/>
    <n v="2.99"/>
    <x v="112"/>
    <x v="5"/>
    <x v="2"/>
    <x v="0"/>
    <x v="0"/>
    <x v="2"/>
    <x v="96"/>
    <s v="Small Box"/>
    <n v="0.39"/>
    <d v="2011-12-01T00:00:00"/>
    <n v="0"/>
    <n v="0"/>
    <n v="1"/>
    <n v="1"/>
  </r>
  <r>
    <n v="713"/>
    <n v="5061"/>
    <x v="665"/>
    <x v="3"/>
    <s v="Critical"/>
    <n v="4"/>
    <n v="12.8"/>
    <n v="0"/>
    <s v="Regular Air"/>
    <n v="-2.21"/>
    <n v="2.88"/>
    <n v="0.7"/>
    <x v="163"/>
    <x v="5"/>
    <x v="2"/>
    <x v="2"/>
    <x v="0"/>
    <x v="12"/>
    <x v="705"/>
    <s v="Wrap Bag"/>
    <n v="0.56000000000000005"/>
    <d v="2010-08-15T00:00:00"/>
    <n v="0"/>
    <n v="0"/>
    <n v="1"/>
    <n v="0.5"/>
  </r>
  <r>
    <n v="714"/>
    <n v="5092"/>
    <x v="595"/>
    <x v="17"/>
    <s v="Low"/>
    <n v="3"/>
    <n v="709.04"/>
    <n v="0.1"/>
    <s v="Delivery Truck"/>
    <n v="-337.92"/>
    <n v="220.98"/>
    <n v="64.66"/>
    <x v="164"/>
    <x v="5"/>
    <x v="2"/>
    <x v="1"/>
    <x v="2"/>
    <x v="9"/>
    <x v="778"/>
    <s v="Jumbo Box"/>
    <n v="0.62"/>
    <d v="2011-10-29T00:00:00"/>
    <n v="0"/>
    <n v="0"/>
    <n v="0.5"/>
    <n v="0.5"/>
  </r>
  <r>
    <n v="715"/>
    <n v="5092"/>
    <x v="595"/>
    <x v="17"/>
    <s v="Low"/>
    <n v="25"/>
    <n v="978.77"/>
    <n v="0.06"/>
    <s v="Regular Air"/>
    <n v="220.91"/>
    <n v="38.76"/>
    <n v="13.26"/>
    <x v="164"/>
    <x v="5"/>
    <x v="2"/>
    <x v="1"/>
    <x v="0"/>
    <x v="5"/>
    <x v="203"/>
    <s v="Small Box"/>
    <n v="0.36"/>
    <d v="2011-11-03T00:00:00"/>
    <n v="0"/>
    <n v="0"/>
    <n v="0.5"/>
    <n v="0.5"/>
  </r>
  <r>
    <n v="773"/>
    <n v="5511"/>
    <x v="666"/>
    <x v="11"/>
    <s v="Critical"/>
    <n v="46"/>
    <n v="129.44"/>
    <n v="0.02"/>
    <s v="Express Air"/>
    <n v="-5.54"/>
    <n v="2.58"/>
    <n v="1.3"/>
    <x v="157"/>
    <x v="5"/>
    <x v="2"/>
    <x v="2"/>
    <x v="0"/>
    <x v="12"/>
    <x v="611"/>
    <s v="Wrap Bag"/>
    <n v="0.59"/>
    <d v="2009-11-29T00:00:00"/>
    <n v="0"/>
    <n v="0"/>
    <n v="0.5"/>
    <n v="0.5"/>
  </r>
  <r>
    <n v="774"/>
    <n v="5511"/>
    <x v="666"/>
    <x v="11"/>
    <s v="Critical"/>
    <n v="32"/>
    <n v="1829.3869999999997"/>
    <n v="0.02"/>
    <s v="Regular Air"/>
    <n v="482.44499999999999"/>
    <n v="65.989999999999995"/>
    <n v="3.9"/>
    <x v="157"/>
    <x v="5"/>
    <x v="2"/>
    <x v="2"/>
    <x v="1"/>
    <x v="3"/>
    <x v="247"/>
    <s v="Small Box"/>
    <n v="0.55000000000000004"/>
    <d v="2009-11-29T00:00:00"/>
    <n v="0"/>
    <n v="0"/>
    <n v="0.5"/>
    <n v="0.5"/>
  </r>
  <r>
    <n v="807"/>
    <n v="5799"/>
    <x v="453"/>
    <x v="21"/>
    <s v="Critical"/>
    <n v="34"/>
    <n v="9626.86"/>
    <n v="0.08"/>
    <s v="Delivery Truck"/>
    <n v="1882.2"/>
    <n v="294.62"/>
    <n v="42.52"/>
    <x v="158"/>
    <x v="5"/>
    <x v="2"/>
    <x v="0"/>
    <x v="0"/>
    <x v="1"/>
    <x v="779"/>
    <s v="Jumbo Drum"/>
    <n v="0.56999999999999995"/>
    <d v="2011-08-04T00:00:00"/>
    <n v="0"/>
    <n v="0"/>
    <n v="1"/>
    <n v="1"/>
  </r>
  <r>
    <n v="815"/>
    <n v="5890"/>
    <x v="667"/>
    <x v="32"/>
    <s v="High"/>
    <n v="42"/>
    <n v="813.53499999999997"/>
    <n v="0"/>
    <s v="Express Air"/>
    <n v="435.95099999999996"/>
    <n v="20.99"/>
    <n v="0.99"/>
    <x v="165"/>
    <x v="5"/>
    <x v="2"/>
    <x v="1"/>
    <x v="1"/>
    <x v="3"/>
    <x v="163"/>
    <s v="Wrap Bag"/>
    <n v="0.37"/>
    <d v="2012-11-04T00:00:00"/>
    <n v="0"/>
    <n v="0"/>
    <n v="1"/>
    <n v="1"/>
  </r>
  <r>
    <n v="919"/>
    <n v="6596"/>
    <x v="231"/>
    <x v="2"/>
    <s v="Low"/>
    <n v="36"/>
    <n v="18028.07"/>
    <n v="0.02"/>
    <s v="Delivery Truck"/>
    <n v="8157.7"/>
    <n v="500.98"/>
    <n v="28.14"/>
    <x v="166"/>
    <x v="5"/>
    <x v="2"/>
    <x v="2"/>
    <x v="1"/>
    <x v="16"/>
    <x v="780"/>
    <s v="Jumbo Drum"/>
    <n v="0.38"/>
    <d v="2011-07-26T00:00:00"/>
    <n v="0"/>
    <n v="0"/>
    <n v="1"/>
    <n v="1"/>
  </r>
  <r>
    <n v="967"/>
    <n v="7015"/>
    <x v="620"/>
    <x v="0"/>
    <s v="Not Specified"/>
    <n v="47"/>
    <n v="1880.8"/>
    <n v="7.0000000000000007E-2"/>
    <s v="Regular Air"/>
    <n v="775.88"/>
    <n v="40.98"/>
    <n v="1.99"/>
    <x v="153"/>
    <x v="5"/>
    <x v="2"/>
    <x v="3"/>
    <x v="1"/>
    <x v="7"/>
    <x v="559"/>
    <s v="Small Pack"/>
    <n v="0.44"/>
    <d v="2010-10-14T00:00:00"/>
    <n v="0"/>
    <n v="0"/>
    <n v="0.5"/>
    <n v="0.5"/>
  </r>
  <r>
    <n v="968"/>
    <n v="7015"/>
    <x v="620"/>
    <x v="0"/>
    <s v="Not Specified"/>
    <n v="42"/>
    <n v="7143.9270000000006"/>
    <n v="0.02"/>
    <s v="Express Air"/>
    <n v="2374.7310000000002"/>
    <n v="195.99"/>
    <n v="4.2"/>
    <x v="153"/>
    <x v="5"/>
    <x v="2"/>
    <x v="3"/>
    <x v="1"/>
    <x v="3"/>
    <x v="781"/>
    <s v="Small Box"/>
    <n v="0.56000000000000005"/>
    <d v="2010-10-13T00:00:00"/>
    <n v="0"/>
    <n v="0"/>
    <n v="0.5"/>
    <n v="0.5"/>
  </r>
  <r>
    <n v="982"/>
    <n v="7106"/>
    <x v="559"/>
    <x v="20"/>
    <s v="Low"/>
    <n v="8"/>
    <n v="118.98"/>
    <n v="0.05"/>
    <s v="Regular Air"/>
    <n v="-12.765000000000001"/>
    <n v="14.27"/>
    <n v="7.27"/>
    <x v="167"/>
    <x v="5"/>
    <x v="2"/>
    <x v="3"/>
    <x v="0"/>
    <x v="2"/>
    <x v="509"/>
    <s v="Small Box"/>
    <n v="0.38"/>
    <d v="2012-05-12T00:00:00"/>
    <n v="0"/>
    <n v="0"/>
    <n v="0.33333333333333331"/>
    <n v="0.33333333333333331"/>
  </r>
  <r>
    <n v="983"/>
    <n v="7106"/>
    <x v="559"/>
    <x v="20"/>
    <s v="Low"/>
    <n v="31"/>
    <n v="4910.09"/>
    <n v="0.01"/>
    <s v="Regular Air"/>
    <n v="1669.38"/>
    <n v="159.99"/>
    <n v="5.5"/>
    <x v="167"/>
    <x v="5"/>
    <x v="2"/>
    <x v="3"/>
    <x v="1"/>
    <x v="7"/>
    <x v="782"/>
    <s v="Small Box"/>
    <n v="0.49"/>
    <d v="2012-05-12T00:00:00"/>
    <n v="0"/>
    <n v="0"/>
    <n v="0.33333333333333331"/>
    <n v="0.33333333333333331"/>
  </r>
  <r>
    <n v="984"/>
    <n v="7106"/>
    <x v="559"/>
    <x v="20"/>
    <s v="Low"/>
    <n v="36"/>
    <n v="1058.45"/>
    <n v="0.01"/>
    <s v="Regular Air"/>
    <n v="-386.02"/>
    <n v="27.75"/>
    <n v="19.989999999999998"/>
    <x v="167"/>
    <x v="5"/>
    <x v="2"/>
    <x v="3"/>
    <x v="0"/>
    <x v="0"/>
    <x v="422"/>
    <s v="Small Box"/>
    <n v="0.67"/>
    <d v="2012-05-12T00:00:00"/>
    <n v="0"/>
    <n v="0"/>
    <n v="0.33333333333333331"/>
    <n v="0.33333333333333331"/>
  </r>
  <r>
    <n v="1090"/>
    <n v="8007"/>
    <x v="668"/>
    <x v="12"/>
    <s v="Low"/>
    <n v="5"/>
    <n v="820.56449999999995"/>
    <n v="0.09"/>
    <s v="Regular Air"/>
    <n v="-800.25"/>
    <n v="205.99"/>
    <n v="8.99"/>
    <x v="168"/>
    <x v="5"/>
    <x v="2"/>
    <x v="2"/>
    <x v="1"/>
    <x v="3"/>
    <x v="783"/>
    <s v="Small Box"/>
    <n v="0.6"/>
    <d v="2012-02-11T00:00:00"/>
    <n v="0"/>
    <n v="0"/>
    <n v="0.5"/>
    <n v="0.33333333333333331"/>
  </r>
  <r>
    <n v="1127"/>
    <n v="8257"/>
    <x v="436"/>
    <x v="28"/>
    <s v="Low"/>
    <n v="5"/>
    <n v="7486.09"/>
    <n v="0.05"/>
    <s v="Delivery Truck"/>
    <n v="-2561.3235"/>
    <n v="1500.97"/>
    <n v="29.7"/>
    <x v="165"/>
    <x v="5"/>
    <x v="2"/>
    <x v="1"/>
    <x v="1"/>
    <x v="16"/>
    <x v="200"/>
    <s v="Jumbo Drum"/>
    <n v="0.56999999999999995"/>
    <d v="2009-03-22T00:00:00"/>
    <n v="0"/>
    <n v="0"/>
    <n v="0.33333333333333331"/>
    <n v="0.33333333333333331"/>
  </r>
  <r>
    <n v="1128"/>
    <n v="8257"/>
    <x v="436"/>
    <x v="28"/>
    <s v="Low"/>
    <n v="18"/>
    <n v="881.32"/>
    <n v="0.02"/>
    <s v="Regular Air"/>
    <n v="373.67"/>
    <n v="48.04"/>
    <n v="5.09"/>
    <x v="165"/>
    <x v="5"/>
    <x v="2"/>
    <x v="1"/>
    <x v="0"/>
    <x v="5"/>
    <x v="784"/>
    <s v="Small Box"/>
    <n v="0.37"/>
    <d v="2009-03-26T00:00:00"/>
    <n v="0"/>
    <n v="0"/>
    <n v="0.33333333333333331"/>
    <n v="0.33333333333333331"/>
  </r>
  <r>
    <n v="1129"/>
    <n v="8257"/>
    <x v="436"/>
    <x v="28"/>
    <s v="Low"/>
    <n v="5"/>
    <n v="22.77"/>
    <n v="0.03"/>
    <s v="Regular Air"/>
    <n v="-6.2"/>
    <n v="4.28"/>
    <n v="1.6"/>
    <x v="165"/>
    <x v="5"/>
    <x v="2"/>
    <x v="1"/>
    <x v="0"/>
    <x v="12"/>
    <x v="785"/>
    <s v="Wrap Bag"/>
    <n v="0.57999999999999996"/>
    <d v="2009-03-29T00:00:00"/>
    <n v="0"/>
    <n v="0"/>
    <n v="0.33333333333333331"/>
    <n v="0.33333333333333331"/>
  </r>
  <r>
    <n v="1196"/>
    <n v="8773"/>
    <x v="120"/>
    <x v="17"/>
    <s v="Critical"/>
    <n v="5"/>
    <n v="220.78749999999999"/>
    <n v="0.09"/>
    <s v="Regular Air"/>
    <n v="-305.31600000000003"/>
    <n v="55.99"/>
    <n v="5"/>
    <x v="155"/>
    <x v="5"/>
    <x v="2"/>
    <x v="3"/>
    <x v="1"/>
    <x v="3"/>
    <x v="140"/>
    <s v="Small Pack"/>
    <n v="0.83"/>
    <d v="2011-10-22T00:00:00"/>
    <n v="0"/>
    <n v="0"/>
    <n v="1"/>
    <n v="1"/>
  </r>
  <r>
    <n v="1243"/>
    <n v="9057"/>
    <x v="669"/>
    <x v="11"/>
    <s v="Critical"/>
    <n v="20"/>
    <n v="160.29"/>
    <n v="0.01"/>
    <s v="Regular Air"/>
    <n v="1.35"/>
    <n v="7.59"/>
    <n v="4"/>
    <x v="160"/>
    <x v="5"/>
    <x v="2"/>
    <x v="3"/>
    <x v="2"/>
    <x v="4"/>
    <x v="378"/>
    <s v="Wrap Bag"/>
    <n v="0.42"/>
    <d v="2009-11-04T00:00:00"/>
    <n v="0"/>
    <n v="0"/>
    <n v="1"/>
    <n v="1"/>
  </r>
  <r>
    <n v="1279"/>
    <n v="9285"/>
    <x v="670"/>
    <x v="22"/>
    <s v="Critical"/>
    <n v="3"/>
    <n v="124.81"/>
    <n v="0.06"/>
    <s v="Regular Air"/>
    <n v="-11.937000000000001"/>
    <n v="40.98"/>
    <n v="2.99"/>
    <x v="165"/>
    <x v="5"/>
    <x v="2"/>
    <x v="1"/>
    <x v="0"/>
    <x v="2"/>
    <x v="326"/>
    <s v="Small Box"/>
    <n v="0.36"/>
    <d v="2009-01-04T00:00:00"/>
    <n v="0"/>
    <n v="1"/>
    <n v="1"/>
    <n v="1"/>
  </r>
  <r>
    <n v="1353"/>
    <n v="9861"/>
    <x v="671"/>
    <x v="1"/>
    <s v="Low"/>
    <n v="47"/>
    <n v="706.68"/>
    <n v="0.1"/>
    <s v="Regular Air"/>
    <n v="6.6"/>
    <n v="15.94"/>
    <n v="5.45"/>
    <x v="166"/>
    <x v="5"/>
    <x v="2"/>
    <x v="2"/>
    <x v="0"/>
    <x v="12"/>
    <x v="344"/>
    <s v="Small Pack"/>
    <n v="0.55000000000000004"/>
    <d v="2012-11-01T00:00:00"/>
    <n v="0"/>
    <n v="0"/>
    <n v="1"/>
    <n v="1"/>
  </r>
  <r>
    <n v="1363"/>
    <n v="9922"/>
    <x v="479"/>
    <x v="37"/>
    <s v="Not Specified"/>
    <n v="24"/>
    <n v="6408.3"/>
    <n v="0.1"/>
    <s v="Delivery Truck"/>
    <n v="539.54"/>
    <n v="280.98"/>
    <n v="35.67"/>
    <x v="158"/>
    <x v="5"/>
    <x v="2"/>
    <x v="1"/>
    <x v="2"/>
    <x v="10"/>
    <x v="398"/>
    <s v="Jumbo Box"/>
    <n v="0.66"/>
    <d v="2011-04-04T00:00:00"/>
    <n v="0"/>
    <n v="0"/>
    <n v="0.33333333333333331"/>
    <n v="0.14285714285714285"/>
  </r>
  <r>
    <n v="1364"/>
    <n v="9923"/>
    <x v="672"/>
    <x v="19"/>
    <s v="High"/>
    <n v="27"/>
    <n v="63.71"/>
    <n v="0.01"/>
    <s v="Regular Air"/>
    <n v="-96.03"/>
    <n v="2.08"/>
    <n v="5.33"/>
    <x v="166"/>
    <x v="5"/>
    <x v="2"/>
    <x v="2"/>
    <x v="2"/>
    <x v="4"/>
    <x v="109"/>
    <s v="Small Box"/>
    <n v="0.43"/>
    <d v="2009-10-05T00:00:00"/>
    <n v="0"/>
    <n v="0"/>
    <n v="0.5"/>
    <n v="0.5"/>
  </r>
  <r>
    <n v="1365"/>
    <n v="9923"/>
    <x v="672"/>
    <x v="19"/>
    <s v="High"/>
    <n v="14"/>
    <n v="5388.8"/>
    <n v="0.03"/>
    <s v="Delivery Truck"/>
    <n v="-115.08"/>
    <n v="370.98"/>
    <n v="99"/>
    <x v="166"/>
    <x v="5"/>
    <x v="2"/>
    <x v="2"/>
    <x v="0"/>
    <x v="0"/>
    <x v="222"/>
    <s v="Jumbo Drum"/>
    <n v="0.65"/>
    <d v="2009-10-06T00:00:00"/>
    <n v="0"/>
    <n v="0"/>
    <n v="0.5"/>
    <n v="0.5"/>
  </r>
  <r>
    <n v="1366"/>
    <n v="9925"/>
    <x v="673"/>
    <x v="23"/>
    <s v="Critical"/>
    <n v="43"/>
    <n v="1751.68"/>
    <n v="0.1"/>
    <s v="Express Air"/>
    <n v="771.82549999999992"/>
    <n v="41.94"/>
    <n v="2.99"/>
    <x v="166"/>
    <x v="5"/>
    <x v="2"/>
    <x v="2"/>
    <x v="0"/>
    <x v="2"/>
    <x v="246"/>
    <s v="Small Box"/>
    <n v="0.35"/>
    <d v="2012-02-02T00:00:00"/>
    <n v="0"/>
    <n v="0"/>
    <n v="0.33333333333333331"/>
    <n v="0.33333333333333331"/>
  </r>
  <r>
    <n v="1367"/>
    <n v="9925"/>
    <x v="673"/>
    <x v="23"/>
    <s v="Critical"/>
    <n v="17"/>
    <n v="86.47"/>
    <n v="7.0000000000000007E-2"/>
    <s v="Regular Air"/>
    <n v="-9.3495000000000008"/>
    <n v="5.28"/>
    <n v="2.99"/>
    <x v="166"/>
    <x v="5"/>
    <x v="2"/>
    <x v="2"/>
    <x v="0"/>
    <x v="2"/>
    <x v="13"/>
    <s v="Small Box"/>
    <n v="0.37"/>
    <d v="2012-02-01T00:00:00"/>
    <n v="0"/>
    <n v="0"/>
    <n v="0.33333333333333331"/>
    <n v="0.33333333333333331"/>
  </r>
  <r>
    <n v="1368"/>
    <n v="9925"/>
    <x v="673"/>
    <x v="23"/>
    <s v="Critical"/>
    <n v="31"/>
    <n v="684.5"/>
    <n v="0.02"/>
    <s v="Regular Air"/>
    <n v="-27.99"/>
    <n v="21.38"/>
    <n v="8.99"/>
    <x v="166"/>
    <x v="5"/>
    <x v="2"/>
    <x v="2"/>
    <x v="0"/>
    <x v="12"/>
    <x v="311"/>
    <s v="Small Pack"/>
    <n v="0.59"/>
    <d v="2012-02-01T00:00:00"/>
    <n v="0"/>
    <n v="0"/>
    <n v="0.33333333333333331"/>
    <n v="0.33333333333333331"/>
  </r>
  <r>
    <n v="1468"/>
    <n v="10593"/>
    <x v="674"/>
    <x v="12"/>
    <s v="High"/>
    <n v="27"/>
    <n v="435.27"/>
    <n v="0.05"/>
    <s v="Regular Air"/>
    <n v="-147.51"/>
    <n v="15.98"/>
    <n v="8.99"/>
    <x v="155"/>
    <x v="5"/>
    <x v="2"/>
    <x v="3"/>
    <x v="1"/>
    <x v="7"/>
    <x v="289"/>
    <s v="Small Pack"/>
    <n v="0.64"/>
    <d v="2012-02-13T00:00:00"/>
    <n v="0"/>
    <n v="0"/>
    <n v="0.5"/>
    <n v="0.5"/>
  </r>
  <r>
    <n v="1469"/>
    <n v="10593"/>
    <x v="674"/>
    <x v="12"/>
    <s v="High"/>
    <n v="26"/>
    <n v="723.82"/>
    <n v="0.05"/>
    <s v="Regular Air"/>
    <n v="-40.98"/>
    <n v="27.42"/>
    <n v="19.46"/>
    <x v="155"/>
    <x v="5"/>
    <x v="2"/>
    <x v="3"/>
    <x v="2"/>
    <x v="4"/>
    <x v="786"/>
    <s v="Small Box"/>
    <n v="0.44"/>
    <d v="2012-02-14T00:00:00"/>
    <n v="0"/>
    <n v="0"/>
    <n v="0.5"/>
    <n v="0.5"/>
  </r>
  <r>
    <n v="1660"/>
    <n v="11969"/>
    <x v="675"/>
    <x v="23"/>
    <s v="Not Specified"/>
    <n v="16"/>
    <n v="1684.96"/>
    <n v="0.08"/>
    <s v="Regular Air"/>
    <n v="-553.05999999999995"/>
    <n v="110.98"/>
    <n v="35"/>
    <x v="169"/>
    <x v="5"/>
    <x v="2"/>
    <x v="1"/>
    <x v="0"/>
    <x v="0"/>
    <x v="787"/>
    <s v="Large Box"/>
    <n v="0.82"/>
    <d v="2012-01-20T00:00:00"/>
    <n v="0"/>
    <n v="0"/>
    <n v="0.33333333333333331"/>
    <n v="0.33333333333333331"/>
  </r>
  <r>
    <n v="1661"/>
    <n v="11969"/>
    <x v="675"/>
    <x v="23"/>
    <s v="Not Specified"/>
    <n v="9"/>
    <n v="1662.048"/>
    <n v="0.03"/>
    <s v="Delivery Truck"/>
    <n v="-471.25800000000004"/>
    <n v="212.6"/>
    <n v="110.2"/>
    <x v="169"/>
    <x v="5"/>
    <x v="2"/>
    <x v="1"/>
    <x v="2"/>
    <x v="10"/>
    <x v="763"/>
    <s v="Jumbo Box"/>
    <n v="0.73"/>
    <d v="2012-01-21T00:00:00"/>
    <n v="0"/>
    <n v="0"/>
    <n v="0.33333333333333331"/>
    <n v="0.33333333333333331"/>
  </r>
  <r>
    <n v="1662"/>
    <n v="11969"/>
    <x v="675"/>
    <x v="23"/>
    <s v="Not Specified"/>
    <n v="42"/>
    <n v="11460.76"/>
    <n v="0.1"/>
    <s v="Delivery Truck"/>
    <n v="4264.82"/>
    <n v="349.45"/>
    <n v="60"/>
    <x v="169"/>
    <x v="5"/>
    <x v="2"/>
    <x v="1"/>
    <x v="2"/>
    <x v="10"/>
    <x v="195"/>
    <s v="Jumbo Drum"/>
    <m/>
    <d v="2012-01-21T00:00:00"/>
    <n v="0"/>
    <n v="0"/>
    <n v="0.33333333333333331"/>
    <n v="0.33333333333333331"/>
  </r>
  <r>
    <n v="1694"/>
    <n v="12228"/>
    <x v="615"/>
    <x v="41"/>
    <s v="Not Specified"/>
    <n v="1"/>
    <n v="159.51"/>
    <n v="0.04"/>
    <s v="Delivery Truck"/>
    <n v="-103.63"/>
    <n v="130.97999999999999"/>
    <n v="30"/>
    <x v="170"/>
    <x v="5"/>
    <x v="2"/>
    <x v="2"/>
    <x v="2"/>
    <x v="14"/>
    <x v="156"/>
    <s v="Jumbo Drum"/>
    <n v="0.78"/>
    <d v="2009-06-28T00:00:00"/>
    <n v="0"/>
    <n v="0"/>
    <n v="0.5"/>
    <n v="0.5"/>
  </r>
  <r>
    <n v="1695"/>
    <n v="12228"/>
    <x v="615"/>
    <x v="41"/>
    <s v="Not Specified"/>
    <n v="30"/>
    <n v="5015.0510000000004"/>
    <n v="0.05"/>
    <s v="Regular Air"/>
    <n v="1090.431"/>
    <n v="200.99"/>
    <n v="4.2"/>
    <x v="170"/>
    <x v="5"/>
    <x v="2"/>
    <x v="2"/>
    <x v="1"/>
    <x v="3"/>
    <x v="332"/>
    <s v="Small Box"/>
    <n v="0.59"/>
    <d v="2009-06-25T00:00:00"/>
    <n v="0"/>
    <n v="0"/>
    <n v="0.5"/>
    <n v="0.5"/>
  </r>
  <r>
    <n v="1721"/>
    <n v="12355"/>
    <x v="29"/>
    <x v="10"/>
    <s v="Not Specified"/>
    <n v="45"/>
    <n v="168.66"/>
    <n v="0.08"/>
    <s v="Regular Air"/>
    <n v="-167.06"/>
    <n v="3.95"/>
    <n v="5.13"/>
    <x v="171"/>
    <x v="5"/>
    <x v="2"/>
    <x v="2"/>
    <x v="0"/>
    <x v="1"/>
    <x v="788"/>
    <s v="Small Box"/>
    <n v="0.59"/>
    <d v="2011-05-30T00:00:00"/>
    <n v="0"/>
    <n v="0"/>
    <n v="0.33333333333333331"/>
    <n v="0.33333333333333331"/>
  </r>
  <r>
    <n v="1723"/>
    <n v="12389"/>
    <x v="334"/>
    <x v="26"/>
    <s v="Medium"/>
    <n v="34"/>
    <n v="2560.59"/>
    <n v="7.0000000000000007E-2"/>
    <s v="Regular Air"/>
    <n v="670.96"/>
    <n v="80.98"/>
    <n v="7.18"/>
    <x v="160"/>
    <x v="5"/>
    <x v="2"/>
    <x v="2"/>
    <x v="1"/>
    <x v="7"/>
    <x v="534"/>
    <s v="Small Box"/>
    <n v="0.48"/>
    <d v="2009-08-06T00:00:00"/>
    <n v="0"/>
    <n v="0"/>
    <n v="0.5"/>
    <n v="0.5"/>
  </r>
  <r>
    <n v="1724"/>
    <n v="12389"/>
    <x v="334"/>
    <x v="26"/>
    <s v="Medium"/>
    <n v="16"/>
    <n v="189.04"/>
    <n v="0.08"/>
    <s v="Regular Air"/>
    <n v="-74.77"/>
    <n v="11.35"/>
    <n v="8.6"/>
    <x v="160"/>
    <x v="5"/>
    <x v="2"/>
    <x v="2"/>
    <x v="0"/>
    <x v="0"/>
    <x v="789"/>
    <s v="Small Box"/>
    <n v="0.56999999999999995"/>
    <d v="2009-08-05T00:00:00"/>
    <n v="0"/>
    <n v="0"/>
    <n v="0.5"/>
    <n v="0.5"/>
  </r>
  <r>
    <n v="1775"/>
    <n v="12710"/>
    <x v="107"/>
    <x v="3"/>
    <s v="Critical"/>
    <n v="37"/>
    <n v="2116.62"/>
    <n v="0.06"/>
    <s v="Regular Air"/>
    <n v="745.45"/>
    <n v="55.98"/>
    <n v="13.88"/>
    <x v="164"/>
    <x v="5"/>
    <x v="2"/>
    <x v="0"/>
    <x v="0"/>
    <x v="5"/>
    <x v="296"/>
    <s v="Small Box"/>
    <n v="0.36"/>
    <d v="2010-08-17T00:00:00"/>
    <n v="0"/>
    <n v="0"/>
    <n v="1"/>
    <n v="1"/>
  </r>
  <r>
    <n v="1909"/>
    <n v="13636"/>
    <x v="605"/>
    <x v="22"/>
    <s v="Low"/>
    <n v="32"/>
    <n v="28180.080000000002"/>
    <n v="0.02"/>
    <s v="Delivery Truck"/>
    <n v="7513.88"/>
    <n v="880.98"/>
    <n v="44.55"/>
    <x v="155"/>
    <x v="5"/>
    <x v="2"/>
    <x v="3"/>
    <x v="2"/>
    <x v="9"/>
    <x v="185"/>
    <s v="Jumbo Box"/>
    <n v="0.62"/>
    <d v="2009-01-26T00:00:00"/>
    <n v="0"/>
    <n v="1"/>
    <n v="1"/>
    <n v="1"/>
  </r>
  <r>
    <n v="1961"/>
    <n v="14021"/>
    <x v="332"/>
    <x v="5"/>
    <s v="High"/>
    <n v="12"/>
    <n v="27.05"/>
    <n v="0"/>
    <s v="Express Air"/>
    <n v="0.99999999999999933"/>
    <n v="1.82"/>
    <n v="0.83"/>
    <x v="171"/>
    <x v="5"/>
    <x v="2"/>
    <x v="2"/>
    <x v="0"/>
    <x v="12"/>
    <x v="790"/>
    <s v="Wrap Bag"/>
    <n v="0.56999999999999995"/>
    <d v="2011-03-08T00:00:00"/>
    <n v="0"/>
    <n v="0"/>
    <n v="1"/>
    <n v="1"/>
  </r>
  <r>
    <n v="2009"/>
    <n v="14338"/>
    <x v="509"/>
    <x v="38"/>
    <s v="Low"/>
    <n v="34"/>
    <n v="6580.16"/>
    <n v="0.1"/>
    <s v="Delivery Truck"/>
    <n v="2786.35"/>
    <n v="200.97"/>
    <n v="15.59"/>
    <x v="172"/>
    <x v="5"/>
    <x v="2"/>
    <x v="0"/>
    <x v="1"/>
    <x v="16"/>
    <x v="186"/>
    <s v="Jumbo Drum"/>
    <n v="0.36"/>
    <d v="2010-02-07T00:00:00"/>
    <n v="1"/>
    <n v="0"/>
    <n v="1"/>
    <n v="0.5"/>
  </r>
  <r>
    <n v="2021"/>
    <n v="14406"/>
    <x v="28"/>
    <x v="14"/>
    <s v="Medium"/>
    <n v="37"/>
    <n v="5610.84"/>
    <n v="7.0000000000000007E-2"/>
    <s v="Regular Air"/>
    <n v="2366.5100000000002"/>
    <n v="150.97999999999999"/>
    <n v="13.99"/>
    <x v="173"/>
    <x v="5"/>
    <x v="2"/>
    <x v="2"/>
    <x v="1"/>
    <x v="16"/>
    <x v="221"/>
    <s v="Medium Box"/>
    <n v="0.38"/>
    <d v="2010-03-10T00:00:00"/>
    <n v="0"/>
    <n v="0"/>
    <n v="0.33333333333333331"/>
    <n v="0.33333333333333331"/>
  </r>
  <r>
    <n v="2022"/>
    <n v="14406"/>
    <x v="28"/>
    <x v="14"/>
    <s v="Medium"/>
    <n v="20"/>
    <n v="455.34"/>
    <n v="0.06"/>
    <s v="Delivery Truck"/>
    <n v="-932.55"/>
    <n v="20.98"/>
    <n v="53.03"/>
    <x v="173"/>
    <x v="5"/>
    <x v="2"/>
    <x v="2"/>
    <x v="0"/>
    <x v="0"/>
    <x v="111"/>
    <s v="Jumbo Drum"/>
    <n v="0.78"/>
    <d v="2010-03-10T00:00:00"/>
    <n v="0"/>
    <n v="0"/>
    <n v="0.33333333333333331"/>
    <n v="0.33333333333333331"/>
  </r>
  <r>
    <n v="2023"/>
    <n v="14406"/>
    <x v="28"/>
    <x v="14"/>
    <s v="Medium"/>
    <n v="35"/>
    <n v="2329.6460000000002"/>
    <n v="0.1"/>
    <s v="Express Air"/>
    <n v="-310.24400000000003"/>
    <n v="85.99"/>
    <n v="0.99"/>
    <x v="173"/>
    <x v="5"/>
    <x v="2"/>
    <x v="2"/>
    <x v="1"/>
    <x v="3"/>
    <x v="55"/>
    <s v="Wrap Bag"/>
    <n v="0.85"/>
    <d v="2010-03-10T00:00:00"/>
    <n v="0"/>
    <n v="0"/>
    <n v="0.33333333333333331"/>
    <n v="0.33333333333333331"/>
  </r>
  <r>
    <n v="2202"/>
    <n v="15878"/>
    <x v="463"/>
    <x v="7"/>
    <s v="High"/>
    <n v="36"/>
    <n v="275.06"/>
    <n v="0.05"/>
    <s v="Regular Air"/>
    <n v="-237.87"/>
    <n v="7.28"/>
    <n v="11.15"/>
    <x v="172"/>
    <x v="5"/>
    <x v="2"/>
    <x v="2"/>
    <x v="0"/>
    <x v="5"/>
    <x v="517"/>
    <s v="Small Box"/>
    <n v="0.37"/>
    <d v="2010-11-06T00:00:00"/>
    <n v="0"/>
    <n v="0"/>
    <n v="1"/>
    <n v="1"/>
  </r>
  <r>
    <n v="2234"/>
    <n v="16133"/>
    <x v="167"/>
    <x v="35"/>
    <s v="Critical"/>
    <n v="1"/>
    <n v="27.96"/>
    <n v="0.17"/>
    <s v="Regular Air"/>
    <n v="-9.1300000000000008"/>
    <n v="14.89"/>
    <n v="13.56"/>
    <x v="153"/>
    <x v="5"/>
    <x v="2"/>
    <x v="0"/>
    <x v="2"/>
    <x v="4"/>
    <x v="791"/>
    <s v="Large Box"/>
    <n v="0.57999999999999996"/>
    <d v="2009-09-27T00:00:00"/>
    <n v="0"/>
    <n v="0"/>
    <n v="0.5"/>
    <n v="1"/>
  </r>
  <r>
    <n v="2304"/>
    <n v="16612"/>
    <x v="594"/>
    <x v="40"/>
    <s v="High"/>
    <n v="45"/>
    <n v="3699.22"/>
    <n v="0.05"/>
    <s v="Delivery Truck"/>
    <n v="565.17999999999995"/>
    <n v="80.97"/>
    <n v="30.06"/>
    <x v="155"/>
    <x v="5"/>
    <x v="2"/>
    <x v="3"/>
    <x v="1"/>
    <x v="16"/>
    <x v="792"/>
    <s v="Jumbo Box"/>
    <n v="0.4"/>
    <d v="2009-02-14T00:00:00"/>
    <n v="0"/>
    <n v="0"/>
    <n v="0.5"/>
    <n v="0.5"/>
  </r>
  <r>
    <n v="2305"/>
    <n v="16612"/>
    <x v="594"/>
    <x v="40"/>
    <s v="High"/>
    <n v="6"/>
    <n v="48.93"/>
    <n v="0"/>
    <s v="Regular Air"/>
    <n v="-38.72"/>
    <n v="6.48"/>
    <n v="10.050000000000001"/>
    <x v="155"/>
    <x v="5"/>
    <x v="2"/>
    <x v="3"/>
    <x v="0"/>
    <x v="5"/>
    <x v="680"/>
    <s v="Small Box"/>
    <n v="0.37"/>
    <d v="2009-02-15T00:00:00"/>
    <n v="0"/>
    <n v="0"/>
    <n v="0.5"/>
    <n v="0.5"/>
  </r>
  <r>
    <n v="2352"/>
    <n v="16967"/>
    <x v="64"/>
    <x v="21"/>
    <s v="Low"/>
    <n v="5"/>
    <n v="397.55"/>
    <n v="0.08"/>
    <s v="Regular Air"/>
    <n v="-152.47"/>
    <n v="83.1"/>
    <n v="6.13"/>
    <x v="170"/>
    <x v="5"/>
    <x v="2"/>
    <x v="2"/>
    <x v="1"/>
    <x v="7"/>
    <x v="432"/>
    <s v="Small Box"/>
    <n v="0.45"/>
    <d v="2011-08-21T00:00:00"/>
    <n v="0"/>
    <n v="0"/>
    <n v="0.5"/>
    <n v="0.5"/>
  </r>
  <r>
    <n v="2353"/>
    <n v="16967"/>
    <x v="64"/>
    <x v="21"/>
    <s v="Low"/>
    <n v="34"/>
    <n v="676.26"/>
    <n v="0.06"/>
    <s v="Regular Air"/>
    <n v="181.98"/>
    <n v="19.98"/>
    <n v="5.77"/>
    <x v="170"/>
    <x v="5"/>
    <x v="2"/>
    <x v="2"/>
    <x v="0"/>
    <x v="5"/>
    <x v="93"/>
    <s v="Small Box"/>
    <n v="0.38"/>
    <d v="2011-08-19T00:00:00"/>
    <n v="0"/>
    <n v="0"/>
    <n v="0.5"/>
    <n v="0.5"/>
  </r>
  <r>
    <n v="2540"/>
    <n v="18432"/>
    <x v="676"/>
    <x v="5"/>
    <s v="High"/>
    <n v="42"/>
    <n v="451.32"/>
    <n v="0.04"/>
    <s v="Regular Air"/>
    <n v="1.1599999999999999"/>
    <n v="10.64"/>
    <n v="5.16"/>
    <x v="157"/>
    <x v="5"/>
    <x v="2"/>
    <x v="2"/>
    <x v="2"/>
    <x v="4"/>
    <x v="448"/>
    <s v="Small Box"/>
    <n v="0.56999999999999995"/>
    <d v="2011-03-12T00:00:00"/>
    <n v="0"/>
    <n v="0"/>
    <n v="0.25"/>
    <n v="0.2"/>
  </r>
  <r>
    <n v="2541"/>
    <n v="18432"/>
    <x v="676"/>
    <x v="5"/>
    <s v="High"/>
    <n v="15"/>
    <n v="217.66"/>
    <n v="0.1"/>
    <s v="Express Air"/>
    <n v="-24.91"/>
    <n v="14.42"/>
    <n v="6.75"/>
    <x v="157"/>
    <x v="5"/>
    <x v="2"/>
    <x v="2"/>
    <x v="0"/>
    <x v="1"/>
    <x v="793"/>
    <s v="Medium Box"/>
    <n v="0.52"/>
    <d v="2011-03-12T00:00:00"/>
    <n v="0"/>
    <n v="0"/>
    <n v="0.25"/>
    <n v="0.2"/>
  </r>
  <r>
    <n v="2542"/>
    <n v="18432"/>
    <x v="676"/>
    <x v="5"/>
    <s v="High"/>
    <n v="5"/>
    <n v="1374.67"/>
    <n v="0.08"/>
    <s v="Delivery Truck"/>
    <n v="-126.34"/>
    <n v="279.81"/>
    <n v="23.19"/>
    <x v="157"/>
    <x v="5"/>
    <x v="2"/>
    <x v="2"/>
    <x v="0"/>
    <x v="1"/>
    <x v="369"/>
    <s v="Jumbo Drum"/>
    <n v="0.59"/>
    <d v="2011-03-14T00:00:00"/>
    <n v="0"/>
    <n v="0"/>
    <n v="0.25"/>
    <n v="0.2"/>
  </r>
  <r>
    <n v="2543"/>
    <n v="18432"/>
    <x v="676"/>
    <x v="5"/>
    <s v="High"/>
    <n v="12"/>
    <n v="76.42"/>
    <n v="0.02"/>
    <s v="Express Air"/>
    <n v="20.440000000000001"/>
    <n v="5.84"/>
    <n v="0.83"/>
    <x v="157"/>
    <x v="5"/>
    <x v="2"/>
    <x v="2"/>
    <x v="0"/>
    <x v="12"/>
    <x v="794"/>
    <s v="Wrap Bag"/>
    <n v="0.49"/>
    <d v="2011-03-14T00:00:00"/>
    <n v="0"/>
    <n v="0"/>
    <n v="0.25"/>
    <n v="0.2"/>
  </r>
  <r>
    <n v="2544"/>
    <n v="18464"/>
    <x v="677"/>
    <x v="33"/>
    <s v="High"/>
    <n v="27"/>
    <n v="4891.8599999999997"/>
    <n v="0.02"/>
    <s v="Delivery Truck"/>
    <n v="253.14"/>
    <n v="180.98"/>
    <n v="55.24"/>
    <x v="174"/>
    <x v="5"/>
    <x v="2"/>
    <x v="0"/>
    <x v="0"/>
    <x v="1"/>
    <x v="414"/>
    <s v="Jumbo Drum"/>
    <n v="0.56999999999999995"/>
    <d v="2012-03-30T00:00:00"/>
    <n v="0"/>
    <n v="0"/>
    <n v="0.25"/>
    <n v="0.25"/>
  </r>
  <r>
    <n v="2545"/>
    <n v="18464"/>
    <x v="677"/>
    <x v="33"/>
    <s v="High"/>
    <n v="37"/>
    <n v="6039.1"/>
    <n v="0.01"/>
    <s v="Delivery Truck"/>
    <n v="-345.92"/>
    <n v="150.97999999999999"/>
    <n v="66.27"/>
    <x v="174"/>
    <x v="5"/>
    <x v="2"/>
    <x v="0"/>
    <x v="2"/>
    <x v="9"/>
    <x v="207"/>
    <s v="Jumbo Box"/>
    <n v="0.65"/>
    <d v="2012-03-28T00:00:00"/>
    <n v="0"/>
    <n v="0"/>
    <n v="0.25"/>
    <n v="0.25"/>
  </r>
  <r>
    <n v="2546"/>
    <n v="18464"/>
    <x v="677"/>
    <x v="33"/>
    <s v="High"/>
    <n v="31"/>
    <n v="206.49"/>
    <n v="0.05"/>
    <s v="Regular Air"/>
    <n v="80.069999999999993"/>
    <n v="6.45"/>
    <n v="1.34"/>
    <x v="174"/>
    <x v="5"/>
    <x v="2"/>
    <x v="0"/>
    <x v="0"/>
    <x v="5"/>
    <x v="795"/>
    <s v="Wrap Bag"/>
    <n v="0.36"/>
    <d v="2012-03-30T00:00:00"/>
    <n v="0"/>
    <n v="0"/>
    <n v="0.25"/>
    <n v="0.25"/>
  </r>
  <r>
    <n v="2547"/>
    <n v="18464"/>
    <x v="677"/>
    <x v="33"/>
    <s v="High"/>
    <n v="41"/>
    <n v="80.540000000000006"/>
    <n v="0.01"/>
    <s v="Regular Air"/>
    <n v="-18.72"/>
    <n v="1.89"/>
    <n v="0.76"/>
    <x v="174"/>
    <x v="5"/>
    <x v="2"/>
    <x v="0"/>
    <x v="0"/>
    <x v="6"/>
    <x v="78"/>
    <s v="Wrap Bag"/>
    <n v="0.83"/>
    <d v="2012-03-30T00:00:00"/>
    <n v="0"/>
    <n v="0"/>
    <n v="0.25"/>
    <n v="0.25"/>
  </r>
  <r>
    <n v="2594"/>
    <n v="18754"/>
    <x v="167"/>
    <x v="35"/>
    <s v="Not Specified"/>
    <n v="8"/>
    <n v="1217.6199999999999"/>
    <n v="0.03"/>
    <s v="Delivery Truck"/>
    <n v="-221.5"/>
    <n v="140.97999999999999"/>
    <n v="36.090000000000003"/>
    <x v="175"/>
    <x v="5"/>
    <x v="2"/>
    <x v="0"/>
    <x v="2"/>
    <x v="9"/>
    <x v="228"/>
    <s v="Jumbo Box"/>
    <n v="0.77"/>
    <d v="2009-09-27T00:00:00"/>
    <n v="0"/>
    <n v="0"/>
    <n v="0.5"/>
    <n v="0.5"/>
  </r>
  <r>
    <n v="2595"/>
    <n v="18754"/>
    <x v="167"/>
    <x v="35"/>
    <s v="Not Specified"/>
    <n v="32"/>
    <n v="1725.0325"/>
    <n v="0.08"/>
    <s v="Regular Air"/>
    <n v="206.352"/>
    <n v="65.989999999999995"/>
    <n v="8.99"/>
    <x v="175"/>
    <x v="5"/>
    <x v="2"/>
    <x v="0"/>
    <x v="1"/>
    <x v="3"/>
    <x v="403"/>
    <s v="Small Box"/>
    <n v="0.56000000000000005"/>
    <d v="2009-09-26T00:00:00"/>
    <n v="0"/>
    <n v="0"/>
    <n v="0.5"/>
    <n v="0.5"/>
  </r>
  <r>
    <n v="2753"/>
    <n v="19905"/>
    <x v="678"/>
    <x v="9"/>
    <s v="Critical"/>
    <n v="20"/>
    <n v="82.97"/>
    <n v="0.04"/>
    <s v="Regular Air"/>
    <n v="32.5"/>
    <n v="4.13"/>
    <n v="0.5"/>
    <x v="153"/>
    <x v="5"/>
    <x v="2"/>
    <x v="3"/>
    <x v="0"/>
    <x v="11"/>
    <x v="84"/>
    <s v="Small Box"/>
    <n v="0.39"/>
    <d v="2012-08-14T00:00:00"/>
    <n v="0"/>
    <n v="0"/>
    <n v="0.5"/>
    <n v="0.5"/>
  </r>
  <r>
    <n v="2754"/>
    <n v="19905"/>
    <x v="678"/>
    <x v="9"/>
    <s v="Critical"/>
    <n v="25"/>
    <n v="13701.35"/>
    <n v="0.01"/>
    <s v="Delivery Truck"/>
    <n v="-3687.6510000000003"/>
    <n v="550.98"/>
    <n v="64.59"/>
    <x v="153"/>
    <x v="5"/>
    <x v="2"/>
    <x v="3"/>
    <x v="2"/>
    <x v="10"/>
    <x v="481"/>
    <s v="Jumbo Box"/>
    <n v="0.66"/>
    <d v="2012-08-14T00:00:00"/>
    <n v="0"/>
    <n v="0"/>
    <n v="0.5"/>
    <n v="0.5"/>
  </r>
  <r>
    <n v="2805"/>
    <n v="20256"/>
    <x v="679"/>
    <x v="23"/>
    <s v="Low"/>
    <n v="24"/>
    <n v="512.83000000000004"/>
    <n v="0.01"/>
    <s v="Regular Air"/>
    <n v="-221.56"/>
    <n v="20.89"/>
    <n v="11.52"/>
    <x v="175"/>
    <x v="5"/>
    <x v="2"/>
    <x v="0"/>
    <x v="0"/>
    <x v="0"/>
    <x v="796"/>
    <s v="Small Box"/>
    <n v="0.83"/>
    <d v="2012-02-05T00:00:00"/>
    <n v="0"/>
    <n v="0"/>
    <n v="1"/>
    <n v="1"/>
  </r>
  <r>
    <n v="2823"/>
    <n v="20386"/>
    <x v="203"/>
    <x v="6"/>
    <s v="Critical"/>
    <n v="35"/>
    <n v="41.23"/>
    <n v="0.09"/>
    <s v="Regular Air"/>
    <n v="-21.51"/>
    <n v="1.26"/>
    <n v="0.7"/>
    <x v="172"/>
    <x v="5"/>
    <x v="2"/>
    <x v="2"/>
    <x v="0"/>
    <x v="6"/>
    <x v="230"/>
    <s v="Wrap Bag"/>
    <n v="0.81"/>
    <d v="2010-02-27T00:00:00"/>
    <n v="0"/>
    <n v="0"/>
    <n v="1"/>
    <n v="1"/>
  </r>
  <r>
    <n v="2839"/>
    <n v="20455"/>
    <x v="494"/>
    <x v="30"/>
    <s v="Critical"/>
    <n v="7"/>
    <n v="381.1995"/>
    <n v="0.08"/>
    <s v="Express Air"/>
    <n v="-233.56300000000002"/>
    <n v="65.989999999999995"/>
    <n v="8.99"/>
    <x v="176"/>
    <x v="5"/>
    <x v="2"/>
    <x v="2"/>
    <x v="1"/>
    <x v="3"/>
    <x v="451"/>
    <s v="Small Box"/>
    <n v="0.57999999999999996"/>
    <d v="2010-06-29T00:00:00"/>
    <n v="0"/>
    <n v="0"/>
    <n v="1"/>
    <n v="1"/>
  </r>
  <r>
    <n v="2860"/>
    <n v="20642"/>
    <x v="680"/>
    <x v="20"/>
    <s v="High"/>
    <n v="32"/>
    <n v="135.19999999999999"/>
    <n v="0.02"/>
    <s v="Regular Air"/>
    <n v="59.4"/>
    <n v="4.13"/>
    <n v="0.5"/>
    <x v="177"/>
    <x v="5"/>
    <x v="2"/>
    <x v="1"/>
    <x v="0"/>
    <x v="11"/>
    <x v="84"/>
    <s v="Small Box"/>
    <n v="0.39"/>
    <d v="2012-05-20T00:00:00"/>
    <n v="0"/>
    <n v="0"/>
    <n v="0.5"/>
    <n v="0.5"/>
  </r>
  <r>
    <n v="2952"/>
    <n v="21379"/>
    <x v="681"/>
    <x v="16"/>
    <s v="High"/>
    <n v="35"/>
    <n v="5428.49"/>
    <n v="0.05"/>
    <s v="Delivery Truck"/>
    <n v="-1046.78"/>
    <n v="150.88999999999999"/>
    <n v="60.2"/>
    <x v="173"/>
    <x v="5"/>
    <x v="2"/>
    <x v="2"/>
    <x v="2"/>
    <x v="14"/>
    <x v="721"/>
    <s v="Jumbo Drum"/>
    <n v="0.77"/>
    <d v="2011-01-16T00:00:00"/>
    <n v="0"/>
    <n v="0"/>
    <n v="1"/>
    <n v="1"/>
  </r>
  <r>
    <n v="3027"/>
    <n v="21766"/>
    <x v="682"/>
    <x v="41"/>
    <s v="High"/>
    <n v="41"/>
    <n v="5178.17"/>
    <n v="0.03"/>
    <s v="Delivery Truck"/>
    <n v="531.69000000000005"/>
    <n v="120.98"/>
    <n v="30"/>
    <x v="161"/>
    <x v="5"/>
    <x v="2"/>
    <x v="1"/>
    <x v="2"/>
    <x v="14"/>
    <x v="36"/>
    <s v="Jumbo Drum"/>
    <n v="0.64"/>
    <d v="2009-06-03T00:00:00"/>
    <n v="0"/>
    <n v="0"/>
    <n v="0.5"/>
    <n v="0.5"/>
  </r>
  <r>
    <n v="3028"/>
    <n v="21766"/>
    <x v="682"/>
    <x v="41"/>
    <s v="High"/>
    <n v="32"/>
    <n v="535.24"/>
    <n v="0.01"/>
    <s v="Regular Air"/>
    <n v="216.43"/>
    <n v="15.68"/>
    <n v="3.73"/>
    <x v="161"/>
    <x v="5"/>
    <x v="2"/>
    <x v="1"/>
    <x v="2"/>
    <x v="4"/>
    <x v="797"/>
    <s v="Small Pack"/>
    <n v="0.46"/>
    <d v="2009-06-03T00:00:00"/>
    <n v="0"/>
    <n v="0"/>
    <n v="0.5"/>
    <n v="0.5"/>
  </r>
  <r>
    <n v="3074"/>
    <n v="22053"/>
    <x v="522"/>
    <x v="3"/>
    <s v="Critical"/>
    <n v="32"/>
    <n v="563.08000000000004"/>
    <n v="0.1"/>
    <s v="Regular Air"/>
    <n v="112.965"/>
    <n v="18.989999999999998"/>
    <n v="5.23"/>
    <x v="163"/>
    <x v="5"/>
    <x v="2"/>
    <x v="2"/>
    <x v="0"/>
    <x v="2"/>
    <x v="232"/>
    <s v="Small Box"/>
    <n v="0.37"/>
    <d v="2010-08-23T00:00:00"/>
    <n v="0"/>
    <n v="0"/>
    <n v="1"/>
    <n v="0.5"/>
  </r>
  <r>
    <n v="3111"/>
    <n v="22368"/>
    <x v="683"/>
    <x v="6"/>
    <s v="Medium"/>
    <n v="5"/>
    <n v="192.12"/>
    <n v="0.04"/>
    <s v="Regular Air"/>
    <n v="-74.849999999999994"/>
    <n v="39.24"/>
    <n v="1.99"/>
    <x v="154"/>
    <x v="5"/>
    <x v="2"/>
    <x v="1"/>
    <x v="1"/>
    <x v="7"/>
    <x v="167"/>
    <s v="Small Pack"/>
    <n v="0.51"/>
    <d v="2010-02-20T00:00:00"/>
    <n v="0"/>
    <n v="0"/>
    <n v="0.33333333333333331"/>
    <n v="0.33333333333333331"/>
  </r>
  <r>
    <n v="3112"/>
    <n v="22368"/>
    <x v="683"/>
    <x v="6"/>
    <s v="Medium"/>
    <n v="33"/>
    <n v="3917.61"/>
    <n v="0.08"/>
    <s v="Delivery Truck"/>
    <n v="40.76"/>
    <n v="119.99"/>
    <n v="56.14"/>
    <x v="154"/>
    <x v="5"/>
    <x v="2"/>
    <x v="1"/>
    <x v="1"/>
    <x v="16"/>
    <x v="735"/>
    <s v="Jumbo Box"/>
    <n v="0.39"/>
    <d v="2010-02-21T00:00:00"/>
    <n v="0"/>
    <n v="0"/>
    <n v="0.33333333333333331"/>
    <n v="0.33333333333333331"/>
  </r>
  <r>
    <n v="3113"/>
    <n v="22368"/>
    <x v="683"/>
    <x v="6"/>
    <s v="Medium"/>
    <n v="34"/>
    <n v="2788.04"/>
    <n v="0.01"/>
    <s v="Regular Air"/>
    <n v="-849.18"/>
    <n v="80.98"/>
    <n v="35"/>
    <x v="154"/>
    <x v="5"/>
    <x v="2"/>
    <x v="1"/>
    <x v="0"/>
    <x v="0"/>
    <x v="798"/>
    <s v="Large Box"/>
    <n v="0.83"/>
    <d v="2010-02-20T00:00:00"/>
    <n v="0"/>
    <n v="0"/>
    <n v="0.33333333333333331"/>
    <n v="0.33333333333333331"/>
  </r>
  <r>
    <n v="3190"/>
    <n v="22885"/>
    <x v="257"/>
    <x v="11"/>
    <s v="Medium"/>
    <n v="4"/>
    <n v="56.47"/>
    <n v="0.05"/>
    <s v="Regular Air"/>
    <n v="-29.9"/>
    <n v="12.88"/>
    <n v="4.59"/>
    <x v="178"/>
    <x v="5"/>
    <x v="2"/>
    <x v="3"/>
    <x v="0"/>
    <x v="15"/>
    <x v="418"/>
    <s v="Wrap Bag"/>
    <n v="0.82"/>
    <d v="2009-11-25T00:00:00"/>
    <n v="0"/>
    <n v="0"/>
    <n v="1"/>
    <n v="1"/>
  </r>
  <r>
    <n v="3200"/>
    <n v="22947"/>
    <x v="684"/>
    <x v="47"/>
    <s v="Low"/>
    <n v="19"/>
    <n v="216.25"/>
    <n v="0.09"/>
    <s v="Regular Air"/>
    <n v="58.84"/>
    <n v="12.22"/>
    <n v="2.85"/>
    <x v="154"/>
    <x v="5"/>
    <x v="2"/>
    <x v="1"/>
    <x v="2"/>
    <x v="4"/>
    <x v="137"/>
    <s v="Small Pack"/>
    <n v="0.55000000000000004"/>
    <d v="2009-12-25T00:00:00"/>
    <n v="0"/>
    <n v="0"/>
    <n v="1"/>
    <n v="1"/>
  </r>
  <r>
    <n v="3334"/>
    <n v="23844"/>
    <x v="457"/>
    <x v="36"/>
    <s v="Not Specified"/>
    <n v="40"/>
    <n v="1861.36"/>
    <n v="0"/>
    <s v="Regular Air"/>
    <n v="627.85"/>
    <n v="42.98"/>
    <n v="4.62"/>
    <x v="160"/>
    <x v="5"/>
    <x v="2"/>
    <x v="3"/>
    <x v="0"/>
    <x v="1"/>
    <x v="667"/>
    <s v="Small Box"/>
    <n v="0.56000000000000005"/>
    <d v="2009-07-08T00:00:00"/>
    <n v="0"/>
    <n v="0"/>
    <n v="0.33333333333333331"/>
    <n v="0.33333333333333331"/>
  </r>
  <r>
    <n v="3335"/>
    <n v="23844"/>
    <x v="457"/>
    <x v="36"/>
    <s v="Not Specified"/>
    <n v="42"/>
    <n v="937.62"/>
    <n v="0.03"/>
    <s v="Regular Air"/>
    <n v="187.2"/>
    <n v="21.78"/>
    <n v="5.94"/>
    <x v="160"/>
    <x v="5"/>
    <x v="2"/>
    <x v="3"/>
    <x v="0"/>
    <x v="1"/>
    <x v="4"/>
    <s v="Medium Box"/>
    <n v="0.5"/>
    <d v="2009-07-08T00:00:00"/>
    <n v="0"/>
    <n v="0"/>
    <n v="0.33333333333333331"/>
    <n v="0.33333333333333331"/>
  </r>
  <r>
    <n v="3336"/>
    <n v="23844"/>
    <x v="457"/>
    <x v="36"/>
    <s v="Not Specified"/>
    <n v="11"/>
    <n v="33.020000000000003"/>
    <n v="0.08"/>
    <s v="Regular Air"/>
    <n v="8.4"/>
    <n v="3.15"/>
    <n v="0.5"/>
    <x v="160"/>
    <x v="5"/>
    <x v="2"/>
    <x v="3"/>
    <x v="0"/>
    <x v="11"/>
    <x v="605"/>
    <s v="Small Box"/>
    <n v="0.37"/>
    <d v="2009-07-07T00:00:00"/>
    <n v="0"/>
    <n v="0"/>
    <n v="0.33333333333333331"/>
    <n v="0.33333333333333331"/>
  </r>
  <r>
    <n v="3361"/>
    <n v="24039"/>
    <x v="685"/>
    <x v="29"/>
    <s v="Not Specified"/>
    <n v="5"/>
    <n v="199.16"/>
    <n v="0.1"/>
    <s v="Regular Air"/>
    <n v="-64.87"/>
    <n v="40.98"/>
    <n v="1.99"/>
    <x v="163"/>
    <x v="5"/>
    <x v="2"/>
    <x v="2"/>
    <x v="1"/>
    <x v="7"/>
    <x v="559"/>
    <s v="Small Pack"/>
    <n v="0.44"/>
    <d v="2012-07-19T00:00:00"/>
    <n v="0"/>
    <n v="0"/>
    <n v="1"/>
    <n v="1"/>
  </r>
  <r>
    <n v="3554"/>
    <n v="25347"/>
    <x v="686"/>
    <x v="41"/>
    <s v="Low"/>
    <n v="28"/>
    <n v="967.27"/>
    <n v="7.0000000000000007E-2"/>
    <s v="Regular Air"/>
    <n v="309.31"/>
    <n v="35.44"/>
    <n v="7.5"/>
    <x v="156"/>
    <x v="5"/>
    <x v="2"/>
    <x v="2"/>
    <x v="0"/>
    <x v="5"/>
    <x v="118"/>
    <s v="Small Box"/>
    <n v="0.38"/>
    <d v="2009-06-19T00:00:00"/>
    <n v="0"/>
    <n v="0"/>
    <n v="1"/>
    <n v="1"/>
  </r>
  <r>
    <n v="3613"/>
    <n v="25825"/>
    <x v="572"/>
    <x v="29"/>
    <s v="Not Specified"/>
    <n v="45"/>
    <n v="483.74"/>
    <n v="0.02"/>
    <s v="Regular Air"/>
    <n v="206.27"/>
    <n v="10.31"/>
    <n v="1.79"/>
    <x v="160"/>
    <x v="5"/>
    <x v="2"/>
    <x v="2"/>
    <x v="0"/>
    <x v="5"/>
    <x v="171"/>
    <s v="Wrap Bag"/>
    <n v="0.38"/>
    <d v="2012-07-22T00:00:00"/>
    <n v="0"/>
    <n v="0"/>
    <n v="0.5"/>
    <n v="0.5"/>
  </r>
  <r>
    <n v="3614"/>
    <n v="25825"/>
    <x v="572"/>
    <x v="29"/>
    <s v="Not Specified"/>
    <n v="27"/>
    <n v="159.65"/>
    <n v="0.06"/>
    <s v="Regular Air"/>
    <n v="-1.79"/>
    <n v="5.85"/>
    <n v="2.27"/>
    <x v="160"/>
    <x v="5"/>
    <x v="2"/>
    <x v="2"/>
    <x v="0"/>
    <x v="12"/>
    <x v="338"/>
    <s v="Wrap Bag"/>
    <n v="0.56000000000000005"/>
    <d v="2012-07-19T00:00:00"/>
    <n v="0"/>
    <n v="0"/>
    <n v="0.5"/>
    <n v="0.5"/>
  </r>
  <r>
    <n v="3672"/>
    <n v="26304"/>
    <x v="165"/>
    <x v="5"/>
    <s v="Medium"/>
    <n v="43"/>
    <n v="7452.1369999999988"/>
    <n v="0.02"/>
    <s v="Regular Air"/>
    <n v="2028.357"/>
    <n v="205.99"/>
    <n v="5.99"/>
    <x v="157"/>
    <x v="5"/>
    <x v="2"/>
    <x v="2"/>
    <x v="1"/>
    <x v="3"/>
    <x v="556"/>
    <s v="Small Box"/>
    <n v="0.59"/>
    <d v="2011-03-20T00:00:00"/>
    <n v="0"/>
    <n v="0"/>
    <n v="1"/>
    <n v="0.2"/>
  </r>
  <r>
    <n v="3740"/>
    <n v="26726"/>
    <x v="687"/>
    <x v="45"/>
    <s v="High"/>
    <n v="37"/>
    <n v="173.11"/>
    <n v="0.02"/>
    <s v="Regular Air"/>
    <n v="-121.58"/>
    <n v="4.37"/>
    <n v="5.15"/>
    <x v="175"/>
    <x v="5"/>
    <x v="2"/>
    <x v="0"/>
    <x v="0"/>
    <x v="1"/>
    <x v="537"/>
    <s v="Small Box"/>
    <n v="0.59"/>
    <d v="2012-12-27T00:00:00"/>
    <n v="0"/>
    <n v="0"/>
    <n v="0.33333333333333331"/>
    <n v="0.33333333333333331"/>
  </r>
  <r>
    <n v="3741"/>
    <n v="26726"/>
    <x v="687"/>
    <x v="45"/>
    <s v="High"/>
    <n v="11"/>
    <n v="86.68"/>
    <n v="0.08"/>
    <s v="Regular Air"/>
    <n v="-474.91"/>
    <n v="3.48"/>
    <n v="49"/>
    <x v="175"/>
    <x v="5"/>
    <x v="2"/>
    <x v="0"/>
    <x v="0"/>
    <x v="1"/>
    <x v="499"/>
    <s v="Large Box"/>
    <n v="0.59"/>
    <d v="2012-12-29T00:00:00"/>
    <n v="0"/>
    <n v="0"/>
    <n v="0.33333333333333331"/>
    <n v="0.33333333333333331"/>
  </r>
  <r>
    <n v="3742"/>
    <n v="26726"/>
    <x v="687"/>
    <x v="45"/>
    <s v="High"/>
    <n v="41"/>
    <n v="833.51"/>
    <n v="0.05"/>
    <s v="Regular Air"/>
    <n v="364.99"/>
    <n v="20.98"/>
    <n v="1.49"/>
    <x v="175"/>
    <x v="5"/>
    <x v="2"/>
    <x v="0"/>
    <x v="0"/>
    <x v="2"/>
    <x v="498"/>
    <s v="Small Box"/>
    <n v="0.35"/>
    <d v="2012-12-28T00:00:00"/>
    <n v="0"/>
    <n v="0"/>
    <n v="0.33333333333333331"/>
    <n v="0.33333333333333331"/>
  </r>
  <r>
    <n v="3825"/>
    <n v="27266"/>
    <x v="656"/>
    <x v="31"/>
    <s v="Critical"/>
    <n v="9"/>
    <n v="1031.06"/>
    <n v="0.03"/>
    <s v="Regular Air"/>
    <n v="39.359999999999914"/>
    <n v="115.79"/>
    <n v="1.99"/>
    <x v="157"/>
    <x v="5"/>
    <x v="2"/>
    <x v="2"/>
    <x v="1"/>
    <x v="7"/>
    <x v="799"/>
    <s v="Small Pack"/>
    <n v="0.49"/>
    <d v="2011-09-11T00:00:00"/>
    <n v="0"/>
    <n v="0"/>
    <n v="1"/>
    <n v="1"/>
  </r>
  <r>
    <n v="3842"/>
    <n v="27396"/>
    <x v="688"/>
    <x v="15"/>
    <s v="Critical"/>
    <n v="14"/>
    <n v="138.31"/>
    <n v="7.0000000000000007E-2"/>
    <s v="Regular Air"/>
    <n v="-31.16"/>
    <n v="9.77"/>
    <n v="6.02"/>
    <x v="163"/>
    <x v="4"/>
    <x v="4"/>
    <x v="2"/>
    <x v="2"/>
    <x v="4"/>
    <x v="321"/>
    <s v="Medium Box"/>
    <n v="0.48"/>
    <d v="2010-12-10T00:00:00"/>
    <n v="0"/>
    <n v="0"/>
    <n v="1"/>
    <n v="1"/>
  </r>
  <r>
    <n v="3988"/>
    <n v="28480"/>
    <x v="689"/>
    <x v="28"/>
    <s v="Medium"/>
    <n v="17"/>
    <n v="30.62"/>
    <n v="0.01"/>
    <s v="Regular Air"/>
    <n v="-1.56"/>
    <n v="1.76"/>
    <n v="0.7"/>
    <x v="172"/>
    <x v="4"/>
    <x v="4"/>
    <x v="2"/>
    <x v="0"/>
    <x v="12"/>
    <x v="263"/>
    <s v="Wrap Bag"/>
    <n v="0.56000000000000005"/>
    <d v="2009-03-16T00:00:00"/>
    <n v="0"/>
    <n v="0"/>
    <n v="1"/>
    <n v="1"/>
  </r>
  <r>
    <n v="4090"/>
    <n v="29158"/>
    <x v="333"/>
    <x v="17"/>
    <s v="High"/>
    <n v="12"/>
    <n v="2266.6999999999998"/>
    <n v="7.0000000000000007E-2"/>
    <s v="Delivery Truck"/>
    <n v="180.8"/>
    <n v="200.98"/>
    <n v="23.76"/>
    <x v="153"/>
    <x v="4"/>
    <x v="4"/>
    <x v="3"/>
    <x v="2"/>
    <x v="14"/>
    <x v="316"/>
    <s v="Jumbo Drum"/>
    <n v="0.57999999999999996"/>
    <d v="2011-10-21T00:00:00"/>
    <n v="0"/>
    <n v="0"/>
    <n v="1"/>
    <n v="1"/>
  </r>
  <r>
    <n v="4144"/>
    <n v="29409"/>
    <x v="690"/>
    <x v="16"/>
    <s v="High"/>
    <n v="23"/>
    <n v="38.99"/>
    <n v="0.09"/>
    <s v="Regular Air"/>
    <n v="-33.520000000000003"/>
    <n v="1.7"/>
    <n v="1.99"/>
    <x v="155"/>
    <x v="4"/>
    <x v="4"/>
    <x v="3"/>
    <x v="1"/>
    <x v="7"/>
    <x v="732"/>
    <s v="Small Pack"/>
    <n v="0.51"/>
    <d v="2011-01-15T00:00:00"/>
    <n v="0"/>
    <n v="0"/>
    <n v="1"/>
    <n v="1"/>
  </r>
  <r>
    <n v="4213"/>
    <n v="29956"/>
    <x v="691"/>
    <x v="26"/>
    <s v="Critical"/>
    <n v="48"/>
    <n v="80.33"/>
    <n v="0.09"/>
    <s v="Regular Air"/>
    <n v="-12.95"/>
    <n v="1.82"/>
    <n v="0.83"/>
    <x v="161"/>
    <x v="4"/>
    <x v="4"/>
    <x v="1"/>
    <x v="0"/>
    <x v="12"/>
    <x v="790"/>
    <s v="Wrap Bag"/>
    <n v="0.56999999999999995"/>
    <d v="2009-08-15T00:00:00"/>
    <n v="0"/>
    <n v="0"/>
    <n v="1"/>
    <n v="1"/>
  </r>
  <r>
    <n v="4259"/>
    <n v="30341"/>
    <x v="692"/>
    <x v="22"/>
    <s v="Low"/>
    <n v="42"/>
    <n v="6244.18"/>
    <n v="0.09"/>
    <s v="Delivery Truck"/>
    <n v="470.3"/>
    <n v="160.97999999999999"/>
    <n v="30"/>
    <x v="153"/>
    <x v="4"/>
    <x v="4"/>
    <x v="3"/>
    <x v="2"/>
    <x v="14"/>
    <x v="580"/>
    <s v="Jumbo Drum"/>
    <n v="0.62"/>
    <d v="2009-01-31T00:00:00"/>
    <n v="0"/>
    <n v="1"/>
    <n v="0.33333333333333331"/>
    <n v="0.33333333333333331"/>
  </r>
  <r>
    <n v="4260"/>
    <n v="30341"/>
    <x v="692"/>
    <x v="22"/>
    <s v="Low"/>
    <n v="41"/>
    <n v="239.75"/>
    <n v="0.09"/>
    <s v="Regular Air"/>
    <n v="105.91"/>
    <n v="6.3"/>
    <n v="0.5"/>
    <x v="153"/>
    <x v="4"/>
    <x v="4"/>
    <x v="3"/>
    <x v="0"/>
    <x v="11"/>
    <x v="336"/>
    <s v="Small Box"/>
    <n v="0.39"/>
    <d v="2009-01-31T00:00:00"/>
    <n v="0"/>
    <n v="1"/>
    <n v="0.33333333333333331"/>
    <n v="0.33333333333333331"/>
  </r>
  <r>
    <n v="4261"/>
    <n v="30341"/>
    <x v="692"/>
    <x v="22"/>
    <s v="Low"/>
    <n v="30"/>
    <n v="150.19999999999999"/>
    <n v="0"/>
    <s v="Regular Air"/>
    <n v="62.46"/>
    <n v="4.9800000000000004"/>
    <n v="0.8"/>
    <x v="153"/>
    <x v="4"/>
    <x v="4"/>
    <x v="3"/>
    <x v="0"/>
    <x v="5"/>
    <x v="657"/>
    <s v="Wrap Bag"/>
    <n v="0.36"/>
    <d v="2009-02-07T00:00:00"/>
    <n v="0"/>
    <n v="1"/>
    <n v="0.33333333333333331"/>
    <n v="0.33333333333333331"/>
  </r>
  <r>
    <n v="4278"/>
    <n v="30467"/>
    <x v="204"/>
    <x v="26"/>
    <s v="Critical"/>
    <n v="5"/>
    <n v="2019.65"/>
    <n v="0.05"/>
    <s v="Regular Air"/>
    <n v="289.87549999999999"/>
    <n v="420.98"/>
    <n v="19.989999999999998"/>
    <x v="164"/>
    <x v="4"/>
    <x v="4"/>
    <x v="1"/>
    <x v="0"/>
    <x v="2"/>
    <x v="461"/>
    <s v="Small Box"/>
    <n v="0.35"/>
    <d v="2009-08-16T00:00:00"/>
    <n v="0"/>
    <n v="0"/>
    <n v="1"/>
    <n v="1"/>
  </r>
  <r>
    <n v="4321"/>
    <n v="30785"/>
    <x v="346"/>
    <x v="36"/>
    <s v="High"/>
    <n v="7"/>
    <n v="55.81"/>
    <n v="0.03"/>
    <s v="Regular Air"/>
    <n v="-35.04"/>
    <n v="6.48"/>
    <n v="8.73"/>
    <x v="178"/>
    <x v="4"/>
    <x v="4"/>
    <x v="3"/>
    <x v="0"/>
    <x v="5"/>
    <x v="645"/>
    <s v="Small Box"/>
    <n v="0.37"/>
    <d v="2009-07-05T00:00:00"/>
    <n v="0"/>
    <n v="0"/>
    <n v="0.5"/>
    <n v="0.5"/>
  </r>
  <r>
    <n v="4322"/>
    <n v="30785"/>
    <x v="346"/>
    <x v="36"/>
    <s v="High"/>
    <n v="38"/>
    <n v="373.07"/>
    <n v="7.0000000000000007E-2"/>
    <s v="Regular Air"/>
    <n v="149.53"/>
    <n v="9.93"/>
    <n v="1.0900000000000001"/>
    <x v="178"/>
    <x v="4"/>
    <x v="4"/>
    <x v="3"/>
    <x v="0"/>
    <x v="12"/>
    <x v="800"/>
    <s v="Wrap Bag"/>
    <n v="0.43"/>
    <d v="2009-07-06T00:00:00"/>
    <n v="0"/>
    <n v="0"/>
    <n v="0.5"/>
    <n v="0.5"/>
  </r>
  <r>
    <n v="4374"/>
    <n v="31171"/>
    <x v="693"/>
    <x v="46"/>
    <s v="Not Specified"/>
    <n v="37"/>
    <n v="161.02000000000001"/>
    <n v="0.08"/>
    <s v="Regular Air"/>
    <n v="32.189499999999995"/>
    <n v="4.55"/>
    <n v="1.49"/>
    <x v="179"/>
    <x v="4"/>
    <x v="4"/>
    <x v="3"/>
    <x v="0"/>
    <x v="2"/>
    <x v="394"/>
    <s v="Small Box"/>
    <n v="0.35"/>
    <d v="2009-04-09T00:00:00"/>
    <n v="0"/>
    <n v="0"/>
    <n v="1"/>
    <n v="1"/>
  </r>
  <r>
    <n v="4394"/>
    <n v="31297"/>
    <x v="554"/>
    <x v="9"/>
    <s v="Low"/>
    <n v="39"/>
    <n v="679.95"/>
    <n v="0.08"/>
    <s v="Regular Air"/>
    <n v="-93.3"/>
    <n v="17.989999999999998"/>
    <n v="8.65"/>
    <x v="172"/>
    <x v="4"/>
    <x v="4"/>
    <x v="2"/>
    <x v="0"/>
    <x v="12"/>
    <x v="801"/>
    <s v="Small Box"/>
    <n v="0.56999999999999995"/>
    <d v="2012-08-25T00:00:00"/>
    <n v="0"/>
    <n v="0"/>
    <n v="0.5"/>
    <n v="0.5"/>
  </r>
  <r>
    <n v="4395"/>
    <n v="31297"/>
    <x v="554"/>
    <x v="9"/>
    <s v="Low"/>
    <n v="44"/>
    <n v="1579.56"/>
    <n v="0.01"/>
    <s v="Regular Air"/>
    <n v="699.64"/>
    <n v="35.44"/>
    <n v="4.92"/>
    <x v="172"/>
    <x v="4"/>
    <x v="4"/>
    <x v="2"/>
    <x v="0"/>
    <x v="5"/>
    <x v="371"/>
    <s v="Small Box"/>
    <n v="0.38"/>
    <d v="2012-08-27T00:00:00"/>
    <n v="0"/>
    <n v="0"/>
    <n v="0.5"/>
    <n v="0.5"/>
  </r>
  <r>
    <n v="4425"/>
    <n v="31553"/>
    <x v="651"/>
    <x v="22"/>
    <s v="Critical"/>
    <n v="32"/>
    <n v="4906.8500000000004"/>
    <n v="0.09"/>
    <s v="Regular Air"/>
    <n v="1907.94"/>
    <n v="162.93"/>
    <n v="19.989999999999998"/>
    <x v="163"/>
    <x v="4"/>
    <x v="4"/>
    <x v="2"/>
    <x v="0"/>
    <x v="8"/>
    <x v="324"/>
    <s v="Small Box"/>
    <n v="0.39"/>
    <d v="2009-01-12T00:00:00"/>
    <n v="0"/>
    <n v="1"/>
    <n v="1"/>
    <n v="1"/>
  </r>
  <r>
    <n v="4595"/>
    <n v="32706"/>
    <x v="694"/>
    <x v="36"/>
    <s v="Critical"/>
    <n v="5"/>
    <n v="2017.5"/>
    <n v="0.03"/>
    <s v="Delivery Truck"/>
    <n v="-663.51419999999996"/>
    <n v="399.98"/>
    <n v="12.06"/>
    <x v="153"/>
    <x v="4"/>
    <x v="4"/>
    <x v="3"/>
    <x v="1"/>
    <x v="16"/>
    <x v="802"/>
    <s v="Jumbo Box"/>
    <n v="0.56000000000000005"/>
    <d v="2009-07-06T00:00:00"/>
    <n v="0"/>
    <n v="0"/>
    <n v="1"/>
    <n v="1"/>
  </r>
  <r>
    <n v="4650"/>
    <n v="33122"/>
    <x v="695"/>
    <x v="30"/>
    <s v="Low"/>
    <n v="21"/>
    <n v="8468.6299999999992"/>
    <n v="0"/>
    <s v="Delivery Truck"/>
    <n v="2819.96"/>
    <n v="400.97"/>
    <n v="48.26"/>
    <x v="175"/>
    <x v="4"/>
    <x v="4"/>
    <x v="0"/>
    <x v="1"/>
    <x v="16"/>
    <x v="749"/>
    <s v="Jumbo Box"/>
    <n v="0.36"/>
    <d v="2010-06-26T00:00:00"/>
    <n v="0"/>
    <n v="0"/>
    <n v="1"/>
    <n v="1"/>
  </r>
  <r>
    <n v="4713"/>
    <n v="33570"/>
    <x v="696"/>
    <x v="45"/>
    <s v="Not Specified"/>
    <n v="46"/>
    <n v="265.88"/>
    <n v="0.05"/>
    <s v="Regular Air"/>
    <n v="-90.896000000000001"/>
    <n v="5.74"/>
    <n v="5.01"/>
    <x v="171"/>
    <x v="4"/>
    <x v="4"/>
    <x v="2"/>
    <x v="0"/>
    <x v="2"/>
    <x v="240"/>
    <s v="Small Box"/>
    <n v="0.39"/>
    <d v="2012-12-18T00:00:00"/>
    <n v="0"/>
    <n v="0"/>
    <n v="0.33333333333333331"/>
    <n v="0.25"/>
  </r>
  <r>
    <n v="4714"/>
    <n v="33570"/>
    <x v="696"/>
    <x v="45"/>
    <s v="Not Specified"/>
    <n v="1"/>
    <n v="1500.82"/>
    <n v="0.01"/>
    <s v="Delivery Truck"/>
    <n v="-3381.9857999999999"/>
    <n v="1500.97"/>
    <n v="29.7"/>
    <x v="171"/>
    <x v="4"/>
    <x v="4"/>
    <x v="2"/>
    <x v="1"/>
    <x v="16"/>
    <x v="200"/>
    <s v="Jumbo Drum"/>
    <n v="0.56999999999999995"/>
    <d v="2012-12-18T00:00:00"/>
    <n v="0"/>
    <n v="0"/>
    <n v="0.33333333333333331"/>
    <n v="0.25"/>
  </r>
  <r>
    <n v="4715"/>
    <n v="33570"/>
    <x v="696"/>
    <x v="45"/>
    <s v="Not Specified"/>
    <n v="19"/>
    <n v="3093.864"/>
    <n v="7.0000000000000007E-2"/>
    <s v="Regular Air"/>
    <n v="286.39800000000002"/>
    <n v="205.99"/>
    <n v="5.26"/>
    <x v="171"/>
    <x v="4"/>
    <x v="4"/>
    <x v="2"/>
    <x v="1"/>
    <x v="3"/>
    <x v="211"/>
    <s v="Small Box"/>
    <n v="0.56000000000000005"/>
    <d v="2012-12-16T00:00:00"/>
    <n v="0"/>
    <n v="0"/>
    <n v="0.33333333333333331"/>
    <n v="0.25"/>
  </r>
  <r>
    <n v="4770"/>
    <n v="33893"/>
    <x v="475"/>
    <x v="34"/>
    <s v="Not Specified"/>
    <n v="6"/>
    <n v="232.21"/>
    <n v="0"/>
    <s v="Regular Air"/>
    <n v="-14.03"/>
    <n v="35.89"/>
    <n v="14.72"/>
    <x v="154"/>
    <x v="4"/>
    <x v="4"/>
    <x v="1"/>
    <x v="0"/>
    <x v="8"/>
    <x v="635"/>
    <s v="Small Box"/>
    <n v="0.4"/>
    <d v="2012-09-22T00:00:00"/>
    <n v="0"/>
    <n v="0"/>
    <n v="0.5"/>
    <n v="0.5"/>
  </r>
  <r>
    <n v="4771"/>
    <n v="33893"/>
    <x v="475"/>
    <x v="34"/>
    <s v="Not Specified"/>
    <n v="16"/>
    <n v="88.3"/>
    <n v="0.09"/>
    <s v="Regular Air"/>
    <n v="-12.14"/>
    <n v="5.85"/>
    <n v="2.27"/>
    <x v="154"/>
    <x v="4"/>
    <x v="4"/>
    <x v="1"/>
    <x v="0"/>
    <x v="12"/>
    <x v="338"/>
    <s v="Wrap Bag"/>
    <n v="0.56000000000000005"/>
    <d v="2012-09-21T00:00:00"/>
    <n v="0"/>
    <n v="0"/>
    <n v="0.5"/>
    <n v="0.5"/>
  </r>
  <r>
    <n v="4862"/>
    <n v="34599"/>
    <x v="697"/>
    <x v="14"/>
    <s v="Low"/>
    <n v="26"/>
    <n v="191.55"/>
    <n v="0.08"/>
    <s v="Regular Air"/>
    <n v="7.17"/>
    <n v="7.7"/>
    <n v="3.68"/>
    <x v="164"/>
    <x v="4"/>
    <x v="4"/>
    <x v="0"/>
    <x v="2"/>
    <x v="4"/>
    <x v="803"/>
    <s v="Wrap Bag"/>
    <n v="0.52"/>
    <d v="2010-03-07T00:00:00"/>
    <n v="0"/>
    <n v="0"/>
    <n v="0.5"/>
    <n v="0.5"/>
  </r>
  <r>
    <n v="4863"/>
    <n v="34599"/>
    <x v="697"/>
    <x v="14"/>
    <s v="Low"/>
    <n v="29"/>
    <n v="938.86"/>
    <n v="0.05"/>
    <s v="Regular Air"/>
    <n v="22.21"/>
    <n v="30.98"/>
    <n v="17.079999999999998"/>
    <x v="164"/>
    <x v="4"/>
    <x v="4"/>
    <x v="0"/>
    <x v="0"/>
    <x v="5"/>
    <x v="385"/>
    <s v="Small Box"/>
    <n v="0.4"/>
    <d v="2010-03-07T00:00:00"/>
    <n v="0"/>
    <n v="0"/>
    <n v="0.5"/>
    <n v="0.5"/>
  </r>
  <r>
    <n v="4879"/>
    <n v="34721"/>
    <x v="698"/>
    <x v="7"/>
    <s v="Not Specified"/>
    <n v="46"/>
    <n v="503.17"/>
    <n v="0.01"/>
    <s v="Regular Air"/>
    <n v="-10.210000000000001"/>
    <n v="10.23"/>
    <n v="4.68"/>
    <x v="180"/>
    <x v="4"/>
    <x v="4"/>
    <x v="2"/>
    <x v="0"/>
    <x v="15"/>
    <x v="804"/>
    <s v="Small Pack"/>
    <n v="0.59"/>
    <d v="2010-11-02T00:00:00"/>
    <n v="0"/>
    <n v="0"/>
    <n v="1"/>
    <n v="1"/>
  </r>
  <r>
    <n v="4889"/>
    <n v="34787"/>
    <x v="699"/>
    <x v="6"/>
    <s v="Low"/>
    <n v="14"/>
    <n v="453.99"/>
    <n v="0.05"/>
    <s v="Regular Air"/>
    <n v="14.61"/>
    <n v="30.98"/>
    <n v="8.99"/>
    <x v="163"/>
    <x v="4"/>
    <x v="4"/>
    <x v="2"/>
    <x v="0"/>
    <x v="12"/>
    <x v="805"/>
    <s v="Small Pack"/>
    <n v="0.57999999999999996"/>
    <d v="2010-03-02T00:00:00"/>
    <n v="0"/>
    <n v="0"/>
    <n v="1"/>
    <n v="1"/>
  </r>
  <r>
    <n v="4891"/>
    <n v="34791"/>
    <x v="700"/>
    <x v="10"/>
    <s v="Medium"/>
    <n v="37"/>
    <n v="284.58"/>
    <n v="0.03"/>
    <s v="Regular Air"/>
    <n v="33.81"/>
    <n v="7.59"/>
    <n v="4"/>
    <x v="181"/>
    <x v="4"/>
    <x v="4"/>
    <x v="3"/>
    <x v="2"/>
    <x v="4"/>
    <x v="378"/>
    <s v="Wrap Bag"/>
    <n v="0.42"/>
    <d v="2011-05-09T00:00:00"/>
    <n v="0"/>
    <n v="0"/>
    <n v="0.5"/>
    <n v="0.5"/>
  </r>
  <r>
    <n v="4892"/>
    <n v="34791"/>
    <x v="700"/>
    <x v="10"/>
    <s v="Medium"/>
    <n v="9"/>
    <n v="1010.26"/>
    <n v="0.01"/>
    <s v="Regular Air"/>
    <n v="271.5"/>
    <n v="104.85"/>
    <n v="19.989999999999998"/>
    <x v="181"/>
    <x v="4"/>
    <x v="4"/>
    <x v="3"/>
    <x v="0"/>
    <x v="5"/>
    <x v="806"/>
    <s v="Small Box"/>
    <n v="0.37"/>
    <d v="2011-05-07T00:00:00"/>
    <n v="0"/>
    <n v="0"/>
    <n v="0.5"/>
    <n v="0.5"/>
  </r>
  <r>
    <n v="4895"/>
    <n v="34822"/>
    <x v="701"/>
    <x v="29"/>
    <s v="Not Specified"/>
    <n v="23"/>
    <n v="990.5"/>
    <n v="0.04"/>
    <s v="Regular Air"/>
    <n v="323.73"/>
    <n v="43.98"/>
    <n v="1.99"/>
    <x v="159"/>
    <x v="4"/>
    <x v="4"/>
    <x v="1"/>
    <x v="1"/>
    <x v="7"/>
    <x v="138"/>
    <s v="Small Pack"/>
    <n v="0.44"/>
    <d v="2012-07-11T00:00:00"/>
    <n v="0"/>
    <n v="0"/>
    <n v="1"/>
    <n v="1"/>
  </r>
  <r>
    <n v="4900"/>
    <n v="34853"/>
    <x v="52"/>
    <x v="31"/>
    <s v="Critical"/>
    <n v="49"/>
    <n v="651.9"/>
    <n v="0.16"/>
    <s v="Regular Air"/>
    <n v="-74.510000000000005"/>
    <n v="13.73"/>
    <n v="6.85"/>
    <x v="153"/>
    <x v="4"/>
    <x v="4"/>
    <x v="0"/>
    <x v="2"/>
    <x v="4"/>
    <x v="807"/>
    <s v="Wrap Bag"/>
    <n v="0.54"/>
    <d v="2011-10-02T00:00:00"/>
    <n v="0"/>
    <n v="0"/>
    <n v="1"/>
    <n v="1"/>
  </r>
  <r>
    <n v="4991"/>
    <n v="35522"/>
    <x v="702"/>
    <x v="0"/>
    <s v="Low"/>
    <n v="27"/>
    <n v="2575.0100000000002"/>
    <n v="0.09"/>
    <s v="Regular Air"/>
    <n v="231.46"/>
    <n v="99.99"/>
    <n v="19.989999999999998"/>
    <x v="160"/>
    <x v="4"/>
    <x v="4"/>
    <x v="3"/>
    <x v="1"/>
    <x v="7"/>
    <x v="218"/>
    <s v="Small Box"/>
    <n v="0.52"/>
    <d v="2010-11-01T00:00:00"/>
    <n v="0"/>
    <n v="0"/>
    <n v="1"/>
    <n v="1"/>
  </r>
  <r>
    <n v="5062"/>
    <n v="36099"/>
    <x v="638"/>
    <x v="18"/>
    <s v="Low"/>
    <n v="32"/>
    <n v="85.49"/>
    <n v="0.08"/>
    <s v="Regular Air"/>
    <n v="5.72"/>
    <n v="2.88"/>
    <n v="0.7"/>
    <x v="178"/>
    <x v="4"/>
    <x v="4"/>
    <x v="3"/>
    <x v="0"/>
    <x v="12"/>
    <x v="808"/>
    <s v="Wrap Bag"/>
    <n v="0.56000000000000005"/>
    <d v="2010-09-22T00:00:00"/>
    <n v="0"/>
    <n v="0"/>
    <n v="0.5"/>
    <n v="0.5"/>
  </r>
  <r>
    <n v="5063"/>
    <n v="36099"/>
    <x v="638"/>
    <x v="18"/>
    <s v="Low"/>
    <n v="15"/>
    <n v="926.3"/>
    <n v="0.09"/>
    <s v="Regular Air"/>
    <n v="-503.8"/>
    <n v="64.650000000000006"/>
    <n v="35"/>
    <x v="178"/>
    <x v="4"/>
    <x v="4"/>
    <x v="3"/>
    <x v="0"/>
    <x v="0"/>
    <x v="809"/>
    <s v="Large Box"/>
    <n v="0.8"/>
    <d v="2010-09-22T00:00:00"/>
    <n v="0"/>
    <n v="0"/>
    <n v="0.5"/>
    <n v="0.5"/>
  </r>
  <r>
    <n v="5106"/>
    <n v="36359"/>
    <x v="703"/>
    <x v="27"/>
    <s v="High"/>
    <n v="2"/>
    <n v="68.66"/>
    <n v="0.06"/>
    <s v="Regular Air"/>
    <n v="-29.6"/>
    <n v="30.98"/>
    <n v="5.76"/>
    <x v="171"/>
    <x v="4"/>
    <x v="4"/>
    <x v="2"/>
    <x v="0"/>
    <x v="5"/>
    <x v="37"/>
    <s v="Small Box"/>
    <n v="0.4"/>
    <d v="2011-11-24T00:00:00"/>
    <n v="0"/>
    <n v="0"/>
    <n v="1"/>
    <n v="1"/>
  </r>
  <r>
    <n v="5193"/>
    <n v="36901"/>
    <x v="558"/>
    <x v="34"/>
    <s v="Critical"/>
    <n v="30"/>
    <n v="201.09"/>
    <n v="0.08"/>
    <s v="Regular Air"/>
    <n v="-56.22"/>
    <n v="6.68"/>
    <n v="5.66"/>
    <x v="176"/>
    <x v="4"/>
    <x v="4"/>
    <x v="2"/>
    <x v="0"/>
    <x v="5"/>
    <x v="674"/>
    <s v="Small Box"/>
    <n v="0.37"/>
    <d v="2012-09-14T00:00:00"/>
    <n v="0"/>
    <n v="0"/>
    <n v="1"/>
    <n v="1"/>
  </r>
  <r>
    <n v="5256"/>
    <n v="37412"/>
    <x v="704"/>
    <x v="9"/>
    <s v="High"/>
    <n v="17"/>
    <n v="191.67"/>
    <n v="0.03"/>
    <s v="Regular Air"/>
    <n v="6.02"/>
    <n v="10.98"/>
    <n v="3.37"/>
    <x v="161"/>
    <x v="4"/>
    <x v="4"/>
    <x v="1"/>
    <x v="0"/>
    <x v="15"/>
    <x v="340"/>
    <s v="Small Pack"/>
    <n v="0.56999999999999995"/>
    <d v="2012-08-05T00:00:00"/>
    <n v="0"/>
    <n v="0"/>
    <n v="1"/>
    <n v="1"/>
  </r>
  <r>
    <n v="5437"/>
    <n v="38625"/>
    <x v="360"/>
    <x v="7"/>
    <s v="Not Specified"/>
    <n v="28"/>
    <n v="2752"/>
    <n v="0.06"/>
    <s v="Express Air"/>
    <n v="336.47"/>
    <n v="99.99"/>
    <n v="19.989999999999998"/>
    <x v="166"/>
    <x v="4"/>
    <x v="4"/>
    <x v="2"/>
    <x v="1"/>
    <x v="7"/>
    <x v="218"/>
    <s v="Small Box"/>
    <n v="0.52"/>
    <d v="2010-11-19T00:00:00"/>
    <n v="0"/>
    <n v="0"/>
    <n v="0.5"/>
    <n v="0.5"/>
  </r>
  <r>
    <n v="5438"/>
    <n v="38625"/>
    <x v="360"/>
    <x v="7"/>
    <s v="Not Specified"/>
    <n v="12"/>
    <n v="72.819999999999993"/>
    <n v="0.02"/>
    <s v="Regular Air"/>
    <n v="5.03"/>
    <n v="5.98"/>
    <n v="2.5"/>
    <x v="166"/>
    <x v="4"/>
    <x v="4"/>
    <x v="2"/>
    <x v="0"/>
    <x v="8"/>
    <x v="478"/>
    <s v="Small Box"/>
    <n v="0.36"/>
    <d v="2010-11-19T00:00:00"/>
    <n v="0"/>
    <n v="0"/>
    <n v="0.5"/>
    <n v="0.5"/>
  </r>
  <r>
    <n v="5443"/>
    <n v="38656"/>
    <x v="567"/>
    <x v="9"/>
    <s v="Low"/>
    <n v="13"/>
    <n v="64.459999999999994"/>
    <n v="0.01"/>
    <s v="Regular Air"/>
    <n v="25.16"/>
    <n v="4.91"/>
    <n v="0.5"/>
    <x v="164"/>
    <x v="4"/>
    <x v="4"/>
    <x v="1"/>
    <x v="0"/>
    <x v="11"/>
    <x v="343"/>
    <s v="Small Box"/>
    <n v="0.36"/>
    <d v="2012-08-10T00:00:00"/>
    <n v="0"/>
    <n v="0"/>
    <n v="0.33333333333333331"/>
    <n v="0.33333333333333331"/>
  </r>
  <r>
    <n v="5458"/>
    <n v="38784"/>
    <x v="634"/>
    <x v="44"/>
    <s v="Medium"/>
    <n v="50"/>
    <n v="298.12"/>
    <n v="0.09"/>
    <s v="Regular Air"/>
    <n v="137.66999999999999"/>
    <n v="6.3"/>
    <n v="0.5"/>
    <x v="138"/>
    <x v="4"/>
    <x v="4"/>
    <x v="3"/>
    <x v="0"/>
    <x v="11"/>
    <x v="336"/>
    <s v="Small Box"/>
    <n v="0.39"/>
    <d v="2011-02-05T00:00:00"/>
    <n v="0"/>
    <n v="0"/>
    <n v="1"/>
    <n v="1"/>
  </r>
  <r>
    <n v="5471"/>
    <n v="38882"/>
    <x v="327"/>
    <x v="47"/>
    <s v="Critical"/>
    <n v="37"/>
    <n v="4411.5"/>
    <n v="0.1"/>
    <s v="Delivery Truck"/>
    <n v="-1799.35"/>
    <n v="122.99"/>
    <n v="70.2"/>
    <x v="182"/>
    <x v="4"/>
    <x v="4"/>
    <x v="1"/>
    <x v="2"/>
    <x v="14"/>
    <x v="301"/>
    <s v="Jumbo Drum"/>
    <n v="0.74"/>
    <d v="2009-12-15T00:00:00"/>
    <n v="0"/>
    <n v="0"/>
    <n v="0.5"/>
    <n v="0.5"/>
  </r>
  <r>
    <n v="5579"/>
    <n v="39527"/>
    <x v="705"/>
    <x v="37"/>
    <s v="Low"/>
    <n v="29"/>
    <n v="213.35"/>
    <n v="0.01"/>
    <s v="Regular Air"/>
    <n v="63.78"/>
    <n v="6.88"/>
    <n v="2"/>
    <x v="183"/>
    <x v="4"/>
    <x v="4"/>
    <x v="2"/>
    <x v="0"/>
    <x v="5"/>
    <x v="810"/>
    <s v="Wrap Bag"/>
    <n v="0.39"/>
    <d v="2011-04-26T00:00:00"/>
    <n v="0"/>
    <n v="0"/>
    <n v="1"/>
    <n v="0.33333333333333331"/>
  </r>
  <r>
    <n v="5627"/>
    <n v="39845"/>
    <x v="706"/>
    <x v="35"/>
    <s v="Critical"/>
    <n v="44"/>
    <n v="447.42"/>
    <n v="0.05"/>
    <s v="Regular Air"/>
    <n v="41.3"/>
    <n v="9.99"/>
    <n v="4.78"/>
    <x v="167"/>
    <x v="4"/>
    <x v="4"/>
    <x v="3"/>
    <x v="0"/>
    <x v="5"/>
    <x v="756"/>
    <s v="Small Box"/>
    <n v="0.4"/>
    <d v="2009-09-07T00:00:00"/>
    <n v="0"/>
    <n v="0"/>
    <n v="1"/>
    <n v="1"/>
  </r>
  <r>
    <n v="5637"/>
    <n v="39877"/>
    <x v="707"/>
    <x v="9"/>
    <s v="Critical"/>
    <n v="41"/>
    <n v="90.88"/>
    <n v="0.04"/>
    <s v="Regular Air"/>
    <n v="8.06"/>
    <n v="2.1800000000000002"/>
    <n v="0.78"/>
    <x v="183"/>
    <x v="4"/>
    <x v="4"/>
    <x v="3"/>
    <x v="0"/>
    <x v="6"/>
    <x v="303"/>
    <s v="Wrap Bag"/>
    <n v="0.52"/>
    <d v="2012-08-18T00:00:00"/>
    <n v="0"/>
    <n v="0"/>
    <n v="1"/>
    <n v="0.5"/>
  </r>
  <r>
    <n v="5695"/>
    <n v="40259"/>
    <x v="620"/>
    <x v="0"/>
    <s v="Medium"/>
    <n v="4"/>
    <n v="29.05"/>
    <n v="0.08"/>
    <s v="Express Air"/>
    <n v="-20.9"/>
    <n v="4.9800000000000004"/>
    <n v="4.32"/>
    <x v="156"/>
    <x v="4"/>
    <x v="4"/>
    <x v="2"/>
    <x v="1"/>
    <x v="7"/>
    <x v="811"/>
    <s v="Small Pack"/>
    <n v="0.64"/>
    <d v="2010-10-13T00:00:00"/>
    <n v="0"/>
    <n v="0"/>
    <n v="1"/>
    <n v="1"/>
  </r>
  <r>
    <n v="5814"/>
    <n v="41217"/>
    <x v="708"/>
    <x v="2"/>
    <s v="High"/>
    <n v="23"/>
    <n v="1314.64"/>
    <n v="0.03"/>
    <s v="Express Air"/>
    <n v="575.38"/>
    <n v="55.48"/>
    <n v="6.79"/>
    <x v="159"/>
    <x v="4"/>
    <x v="4"/>
    <x v="1"/>
    <x v="0"/>
    <x v="5"/>
    <x v="812"/>
    <s v="Small Box"/>
    <n v="0.37"/>
    <d v="2011-07-15T00:00:00"/>
    <n v="0"/>
    <n v="0"/>
    <n v="1"/>
    <n v="1"/>
  </r>
  <r>
    <n v="5876"/>
    <n v="41671"/>
    <x v="350"/>
    <x v="45"/>
    <s v="Critical"/>
    <n v="49"/>
    <n v="638.91"/>
    <n v="0.02"/>
    <s v="Regular Air"/>
    <n v="77.48"/>
    <n v="12.98"/>
    <n v="3.14"/>
    <x v="180"/>
    <x v="4"/>
    <x v="4"/>
    <x v="2"/>
    <x v="0"/>
    <x v="15"/>
    <x v="234"/>
    <s v="Small Pack"/>
    <n v="0.6"/>
    <d v="2012-12-05T00:00:00"/>
    <n v="0"/>
    <n v="0"/>
    <n v="1"/>
    <n v="1"/>
  </r>
  <r>
    <n v="5915"/>
    <n v="41927"/>
    <x v="709"/>
    <x v="29"/>
    <s v="Not Specified"/>
    <n v="46"/>
    <n v="2332.23"/>
    <n v="0.02"/>
    <s v="Express Air"/>
    <n v="1085.93"/>
    <n v="48.04"/>
    <n v="7.23"/>
    <x v="153"/>
    <x v="4"/>
    <x v="4"/>
    <x v="3"/>
    <x v="0"/>
    <x v="5"/>
    <x v="399"/>
    <s v="Small Box"/>
    <n v="0.37"/>
    <d v="2012-07-16T00:00:00"/>
    <n v="0"/>
    <n v="0"/>
    <n v="1"/>
    <n v="1"/>
  </r>
  <r>
    <n v="5919"/>
    <n v="41988"/>
    <x v="391"/>
    <x v="40"/>
    <s v="Low"/>
    <n v="33"/>
    <n v="4610.3500000000004"/>
    <n v="0.08"/>
    <s v="Delivery Truck"/>
    <n v="751.58"/>
    <n v="145.44999999999999"/>
    <n v="17.850000000000001"/>
    <x v="153"/>
    <x v="4"/>
    <x v="4"/>
    <x v="3"/>
    <x v="1"/>
    <x v="16"/>
    <x v="127"/>
    <s v="Jumbo Drum"/>
    <n v="0.56000000000000005"/>
    <d v="2009-02-04T00:00:00"/>
    <n v="0"/>
    <n v="0"/>
    <n v="0.33333333333333331"/>
    <n v="0.33333333333333331"/>
  </r>
  <r>
    <n v="5920"/>
    <n v="41988"/>
    <x v="391"/>
    <x v="40"/>
    <s v="Low"/>
    <n v="18"/>
    <n v="610.07000000000005"/>
    <n v="7.0000000000000007E-2"/>
    <s v="Delivery Truck"/>
    <n v="-157.56"/>
    <n v="33.94"/>
    <n v="19.190000000000001"/>
    <x v="153"/>
    <x v="4"/>
    <x v="4"/>
    <x v="3"/>
    <x v="2"/>
    <x v="14"/>
    <x v="205"/>
    <s v="Jumbo Drum"/>
    <n v="0.57999999999999996"/>
    <d v="2009-02-08T00:00:00"/>
    <n v="0"/>
    <n v="0"/>
    <n v="0.33333333333333331"/>
    <n v="0.33333333333333331"/>
  </r>
  <r>
    <n v="5921"/>
    <n v="41988"/>
    <x v="391"/>
    <x v="40"/>
    <s v="Low"/>
    <n v="14"/>
    <n v="181.49"/>
    <n v="0.1"/>
    <s v="Regular Air"/>
    <n v="-29.54"/>
    <n v="13.43"/>
    <n v="5.5"/>
    <x v="153"/>
    <x v="4"/>
    <x v="4"/>
    <x v="3"/>
    <x v="0"/>
    <x v="0"/>
    <x v="813"/>
    <s v="Small Box"/>
    <n v="0.56999999999999995"/>
    <d v="2009-02-08T00:00:00"/>
    <n v="0"/>
    <n v="0"/>
    <n v="0.33333333333333331"/>
    <n v="0.33333333333333331"/>
  </r>
  <r>
    <n v="6026"/>
    <n v="42692"/>
    <x v="710"/>
    <x v="25"/>
    <s v="Medium"/>
    <n v="41"/>
    <n v="248.86"/>
    <n v="0.08"/>
    <s v="Regular Air"/>
    <n v="-168.67"/>
    <n v="5.98"/>
    <n v="7.5"/>
    <x v="162"/>
    <x v="4"/>
    <x v="4"/>
    <x v="0"/>
    <x v="0"/>
    <x v="5"/>
    <x v="437"/>
    <s v="Small Box"/>
    <n v="0.4"/>
    <d v="2011-12-22T00:00:00"/>
    <n v="0"/>
    <n v="0"/>
    <n v="0.5"/>
    <n v="0.5"/>
  </r>
  <r>
    <n v="6027"/>
    <n v="42692"/>
    <x v="710"/>
    <x v="25"/>
    <s v="Medium"/>
    <n v="42"/>
    <n v="278.01"/>
    <n v="0.03"/>
    <s v="Regular Air"/>
    <n v="-202.31"/>
    <n v="6.48"/>
    <n v="8.73"/>
    <x v="162"/>
    <x v="4"/>
    <x v="4"/>
    <x v="0"/>
    <x v="0"/>
    <x v="5"/>
    <x v="645"/>
    <s v="Small Box"/>
    <n v="0.37"/>
    <d v="2011-12-21T00:00:00"/>
    <n v="0"/>
    <n v="0"/>
    <n v="0.5"/>
    <n v="0.5"/>
  </r>
  <r>
    <n v="6216"/>
    <n v="44007"/>
    <x v="10"/>
    <x v="10"/>
    <s v="Medium"/>
    <n v="50"/>
    <n v="281.81"/>
    <n v="7.0000000000000007E-2"/>
    <s v="Regular Air"/>
    <n v="42.45"/>
    <n v="5.98"/>
    <n v="0.96"/>
    <x v="159"/>
    <x v="4"/>
    <x v="4"/>
    <x v="1"/>
    <x v="0"/>
    <x v="12"/>
    <x v="582"/>
    <s v="Wrap Bag"/>
    <n v="0.6"/>
    <d v="2011-05-30T00:00:00"/>
    <n v="0"/>
    <n v="0"/>
    <n v="1"/>
    <n v="1"/>
  </r>
  <r>
    <n v="6279"/>
    <n v="44450"/>
    <x v="639"/>
    <x v="0"/>
    <s v="Critical"/>
    <n v="14"/>
    <n v="243.23"/>
    <n v="7.0000000000000007E-2"/>
    <s v="Regular Air"/>
    <n v="35.33"/>
    <n v="17.48"/>
    <n v="1.99"/>
    <x v="163"/>
    <x v="4"/>
    <x v="4"/>
    <x v="2"/>
    <x v="1"/>
    <x v="7"/>
    <x v="814"/>
    <s v="Small Pack"/>
    <n v="0.45"/>
    <d v="2010-10-10T00:00:00"/>
    <n v="0"/>
    <n v="0"/>
    <n v="0.5"/>
    <n v="0.5"/>
  </r>
  <r>
    <n v="6280"/>
    <n v="44450"/>
    <x v="639"/>
    <x v="0"/>
    <s v="Critical"/>
    <n v="24"/>
    <n v="1326.51"/>
    <n v="0.03"/>
    <s v="Regular Air"/>
    <n v="58.166999999999994"/>
    <n v="65.989999999999995"/>
    <n v="8.99"/>
    <x v="163"/>
    <x v="4"/>
    <x v="4"/>
    <x v="2"/>
    <x v="1"/>
    <x v="3"/>
    <x v="815"/>
    <s v="Small Box"/>
    <n v="0.6"/>
    <d v="2010-10-09T00:00:00"/>
    <n v="0"/>
    <n v="0"/>
    <n v="0.5"/>
    <n v="0.5"/>
  </r>
  <r>
    <n v="6302"/>
    <n v="44610"/>
    <x v="396"/>
    <x v="5"/>
    <s v="High"/>
    <n v="31"/>
    <n v="127.9"/>
    <n v="7.0000000000000007E-2"/>
    <s v="Regular Air"/>
    <n v="54.21"/>
    <n v="4.13"/>
    <n v="0.5"/>
    <x v="182"/>
    <x v="4"/>
    <x v="4"/>
    <x v="1"/>
    <x v="0"/>
    <x v="11"/>
    <x v="84"/>
    <s v="Small Box"/>
    <n v="0.39"/>
    <d v="2011-03-10T00:00:00"/>
    <n v="0"/>
    <n v="0"/>
    <n v="1"/>
    <n v="1"/>
  </r>
  <r>
    <n v="6350"/>
    <n v="44999"/>
    <x v="529"/>
    <x v="38"/>
    <s v="Medium"/>
    <n v="17"/>
    <n v="110.74"/>
    <n v="0.09"/>
    <s v="Regular Air"/>
    <n v="-70.31"/>
    <n v="6.48"/>
    <n v="7.49"/>
    <x v="172"/>
    <x v="4"/>
    <x v="4"/>
    <x v="0"/>
    <x v="0"/>
    <x v="5"/>
    <x v="496"/>
    <s v="Small Box"/>
    <n v="0.37"/>
    <d v="2010-01-23T00:00:00"/>
    <n v="1"/>
    <n v="0"/>
    <n v="1"/>
    <n v="0.5"/>
  </r>
  <r>
    <n v="6351"/>
    <n v="45025"/>
    <x v="94"/>
    <x v="37"/>
    <s v="High"/>
    <n v="26"/>
    <n v="73.819999999999993"/>
    <n v="0.08"/>
    <s v="Regular Air"/>
    <n v="2.0059999999999998"/>
    <n v="2.88"/>
    <n v="1.49"/>
    <x v="172"/>
    <x v="3"/>
    <x v="3"/>
    <x v="2"/>
    <x v="0"/>
    <x v="2"/>
    <x v="612"/>
    <s v="Small Box"/>
    <n v="0.36"/>
    <d v="2011-04-14T00:00:00"/>
    <n v="0"/>
    <n v="0"/>
    <n v="1"/>
    <n v="1"/>
  </r>
  <r>
    <n v="6374"/>
    <n v="45248"/>
    <x v="480"/>
    <x v="37"/>
    <s v="Medium"/>
    <n v="38"/>
    <n v="154.85"/>
    <n v="0.05"/>
    <s v="Regular Air"/>
    <n v="-136.55000000000001"/>
    <n v="3.95"/>
    <n v="5.13"/>
    <x v="138"/>
    <x v="3"/>
    <x v="3"/>
    <x v="2"/>
    <x v="0"/>
    <x v="1"/>
    <x v="788"/>
    <s v="Small Box"/>
    <n v="0.59"/>
    <d v="2011-04-18T00:00:00"/>
    <n v="0"/>
    <n v="0"/>
    <n v="0.5"/>
    <n v="0.5"/>
  </r>
  <r>
    <n v="6375"/>
    <n v="45248"/>
    <x v="480"/>
    <x v="37"/>
    <s v="Medium"/>
    <n v="32"/>
    <n v="4941.7725"/>
    <n v="0.1"/>
    <s v="Regular Air"/>
    <n v="704.88900000000001"/>
    <n v="195.99"/>
    <n v="8.99"/>
    <x v="138"/>
    <x v="3"/>
    <x v="3"/>
    <x v="2"/>
    <x v="1"/>
    <x v="3"/>
    <x v="521"/>
    <s v="Small Box"/>
    <n v="0.6"/>
    <d v="2011-04-18T00:00:00"/>
    <n v="0"/>
    <n v="0"/>
    <n v="0.5"/>
    <n v="0.5"/>
  </r>
  <r>
    <n v="6376"/>
    <n v="45249"/>
    <x v="711"/>
    <x v="7"/>
    <s v="Low"/>
    <n v="24"/>
    <n v="1155.5835"/>
    <n v="0.04"/>
    <s v="Regular Air"/>
    <n v="-126.995"/>
    <n v="55.99"/>
    <n v="5"/>
    <x v="175"/>
    <x v="3"/>
    <x v="3"/>
    <x v="0"/>
    <x v="1"/>
    <x v="3"/>
    <x v="159"/>
    <s v="Small Pack"/>
    <n v="0.8"/>
    <d v="2010-12-02T00:00:00"/>
    <n v="0"/>
    <n v="0"/>
    <n v="1"/>
    <n v="1"/>
  </r>
  <r>
    <n v="6411"/>
    <n v="45570"/>
    <x v="712"/>
    <x v="3"/>
    <s v="Critical"/>
    <n v="19"/>
    <n v="77.569999999999993"/>
    <n v="0"/>
    <s v="Regular Air"/>
    <n v="-67.493499999999997"/>
    <n v="3.58"/>
    <n v="5.47"/>
    <x v="180"/>
    <x v="3"/>
    <x v="3"/>
    <x v="2"/>
    <x v="0"/>
    <x v="2"/>
    <x v="337"/>
    <s v="Small Box"/>
    <n v="0.37"/>
    <d v="2010-08-10T00:00:00"/>
    <n v="0"/>
    <n v="0"/>
    <n v="1"/>
    <n v="1"/>
  </r>
  <r>
    <n v="6434"/>
    <n v="45731"/>
    <x v="124"/>
    <x v="26"/>
    <s v="Critical"/>
    <n v="44"/>
    <n v="12689.87"/>
    <n v="0.04"/>
    <s v="Delivery Truck"/>
    <n v="-169.227"/>
    <n v="296.18"/>
    <n v="154.12"/>
    <x v="153"/>
    <x v="3"/>
    <x v="3"/>
    <x v="1"/>
    <x v="2"/>
    <x v="10"/>
    <x v="300"/>
    <s v="Jumbo Box"/>
    <n v="0.76"/>
    <d v="2009-08-11T00:00:00"/>
    <n v="0"/>
    <n v="0"/>
    <n v="0.33333333333333331"/>
    <n v="1"/>
  </r>
  <r>
    <n v="6517"/>
    <n v="46375"/>
    <x v="134"/>
    <x v="3"/>
    <s v="Medium"/>
    <n v="24"/>
    <n v="905.32"/>
    <n v="0.02"/>
    <s v="Regular Air"/>
    <n v="389.07"/>
    <n v="35.44"/>
    <n v="5.09"/>
    <x v="179"/>
    <x v="3"/>
    <x v="3"/>
    <x v="3"/>
    <x v="0"/>
    <x v="5"/>
    <x v="120"/>
    <s v="Small Box"/>
    <n v="0.38"/>
    <d v="2010-08-28T00:00:00"/>
    <n v="0"/>
    <n v="0"/>
    <n v="0.5"/>
    <n v="0.5"/>
  </r>
  <r>
    <n v="6518"/>
    <n v="46375"/>
    <x v="134"/>
    <x v="3"/>
    <s v="Medium"/>
    <n v="16"/>
    <n v="1702.499"/>
    <n v="0.08"/>
    <s v="Regular Air"/>
    <n v="162.108"/>
    <n v="125.99"/>
    <n v="5.26"/>
    <x v="179"/>
    <x v="3"/>
    <x v="3"/>
    <x v="3"/>
    <x v="1"/>
    <x v="3"/>
    <x v="816"/>
    <s v="Small Box"/>
    <n v="0.55000000000000004"/>
    <d v="2010-08-27T00:00:00"/>
    <n v="0"/>
    <n v="0"/>
    <n v="0.5"/>
    <n v="0.5"/>
  </r>
  <r>
    <n v="6588"/>
    <n v="46885"/>
    <x v="111"/>
    <x v="4"/>
    <s v="Low"/>
    <n v="27"/>
    <n v="632.54999999999995"/>
    <n v="0.05"/>
    <s v="Regular Air"/>
    <n v="165.35"/>
    <n v="22.72"/>
    <n v="8.99"/>
    <x v="172"/>
    <x v="3"/>
    <x v="3"/>
    <x v="2"/>
    <x v="2"/>
    <x v="4"/>
    <x v="199"/>
    <s v="Small Pack"/>
    <n v="0.44"/>
    <d v="2011-06-11T00:00:00"/>
    <n v="0"/>
    <n v="0"/>
    <n v="0.33333333333333331"/>
    <n v="0.33333333333333331"/>
  </r>
  <r>
    <n v="6589"/>
    <n v="46885"/>
    <x v="111"/>
    <x v="4"/>
    <s v="Low"/>
    <n v="48"/>
    <n v="90.96"/>
    <n v="0.02"/>
    <s v="Regular Air"/>
    <n v="-30.11"/>
    <n v="1.81"/>
    <n v="1.56"/>
    <x v="172"/>
    <x v="3"/>
    <x v="3"/>
    <x v="2"/>
    <x v="0"/>
    <x v="6"/>
    <x v="817"/>
    <s v="Wrap Bag"/>
    <n v="0.49"/>
    <d v="2011-06-11T00:00:00"/>
    <n v="0"/>
    <n v="0"/>
    <n v="0.33333333333333331"/>
    <n v="0.33333333333333331"/>
  </r>
  <r>
    <n v="6590"/>
    <n v="46885"/>
    <x v="111"/>
    <x v="4"/>
    <s v="Low"/>
    <n v="32"/>
    <n v="1997.13"/>
    <n v="0.05"/>
    <s v="Regular Air"/>
    <n v="720.45"/>
    <n v="63.94"/>
    <n v="14.48"/>
    <x v="172"/>
    <x v="3"/>
    <x v="3"/>
    <x v="2"/>
    <x v="2"/>
    <x v="4"/>
    <x v="308"/>
    <s v="Small Box"/>
    <n v="0.46"/>
    <d v="2011-06-12T00:00:00"/>
    <n v="0"/>
    <n v="0"/>
    <n v="0.33333333333333331"/>
    <n v="0.33333333333333331"/>
  </r>
  <r>
    <n v="6596"/>
    <n v="46948"/>
    <x v="304"/>
    <x v="39"/>
    <s v="Low"/>
    <n v="10"/>
    <n v="64.13"/>
    <n v="0.1"/>
    <s v="Regular Air"/>
    <n v="-28.968500000000002"/>
    <n v="6.54"/>
    <n v="5.27"/>
    <x v="172"/>
    <x v="3"/>
    <x v="3"/>
    <x v="2"/>
    <x v="0"/>
    <x v="2"/>
    <x v="578"/>
    <s v="Small Box"/>
    <n v="0.36"/>
    <d v="2010-05-24T00:00:00"/>
    <n v="0"/>
    <n v="0"/>
    <n v="1"/>
    <n v="1"/>
  </r>
  <r>
    <n v="6644"/>
    <n v="47267"/>
    <x v="662"/>
    <x v="15"/>
    <s v="Medium"/>
    <n v="24"/>
    <n v="492.71"/>
    <n v="0.02"/>
    <s v="Regular Air"/>
    <n v="67.010000000000005"/>
    <n v="19.98"/>
    <n v="8.68"/>
    <x v="156"/>
    <x v="3"/>
    <x v="3"/>
    <x v="2"/>
    <x v="0"/>
    <x v="5"/>
    <x v="471"/>
    <s v="Small Box"/>
    <n v="0.37"/>
    <d v="2010-12-30T00:00:00"/>
    <n v="0"/>
    <n v="0"/>
    <n v="0.5"/>
    <n v="0.5"/>
  </r>
  <r>
    <n v="6645"/>
    <n v="47267"/>
    <x v="662"/>
    <x v="15"/>
    <s v="Medium"/>
    <n v="14"/>
    <n v="1042.06"/>
    <n v="0.04"/>
    <s v="Delivery Truck"/>
    <n v="-931.24800000000005"/>
    <n v="70.89"/>
    <n v="89.3"/>
    <x v="156"/>
    <x v="3"/>
    <x v="3"/>
    <x v="2"/>
    <x v="2"/>
    <x v="10"/>
    <x v="818"/>
    <s v="Jumbo Box"/>
    <n v="0.69"/>
    <d v="2010-12-30T00:00:00"/>
    <n v="0"/>
    <n v="0"/>
    <n v="0.5"/>
    <n v="0.5"/>
  </r>
  <r>
    <n v="6656"/>
    <n v="47333"/>
    <x v="713"/>
    <x v="31"/>
    <s v="Critical"/>
    <n v="16"/>
    <n v="760.24849999999992"/>
    <n v="0.04"/>
    <s v="Regular Air"/>
    <n v="29.798999999999999"/>
    <n v="55.99"/>
    <n v="3.3"/>
    <x v="155"/>
    <x v="3"/>
    <x v="3"/>
    <x v="3"/>
    <x v="1"/>
    <x v="3"/>
    <x v="177"/>
    <s v="Small Pack"/>
    <n v="0.59"/>
    <d v="2011-09-07T00:00:00"/>
    <n v="0"/>
    <n v="0"/>
    <n v="1"/>
    <n v="1"/>
  </r>
  <r>
    <n v="6762"/>
    <n v="48167"/>
    <x v="706"/>
    <x v="35"/>
    <s v="Critical"/>
    <n v="43"/>
    <n v="5041.46"/>
    <n v="0.06"/>
    <s v="Delivery Truck"/>
    <n v="-2136.66"/>
    <n v="122.99"/>
    <n v="70.2"/>
    <x v="176"/>
    <x v="3"/>
    <x v="3"/>
    <x v="2"/>
    <x v="2"/>
    <x v="14"/>
    <x v="301"/>
    <s v="Jumbo Drum"/>
    <n v="0.74"/>
    <d v="2009-09-09T00:00:00"/>
    <n v="0"/>
    <n v="0"/>
    <n v="0.33333333333333331"/>
    <n v="0.33333333333333331"/>
  </r>
  <r>
    <n v="6763"/>
    <n v="48167"/>
    <x v="706"/>
    <x v="35"/>
    <s v="Critical"/>
    <n v="45"/>
    <n v="282.98"/>
    <n v="0.06"/>
    <s v="Regular Air"/>
    <n v="-237.47"/>
    <n v="6.48"/>
    <n v="8.8800000000000008"/>
    <x v="176"/>
    <x v="3"/>
    <x v="3"/>
    <x v="2"/>
    <x v="0"/>
    <x v="5"/>
    <x v="117"/>
    <s v="Small Box"/>
    <n v="0.37"/>
    <d v="2009-09-07T00:00:00"/>
    <n v="0"/>
    <n v="0"/>
    <n v="0.33333333333333331"/>
    <n v="0.33333333333333331"/>
  </r>
  <r>
    <n v="6764"/>
    <n v="48167"/>
    <x v="706"/>
    <x v="35"/>
    <s v="Critical"/>
    <n v="27"/>
    <n v="8817.7099999999991"/>
    <n v="0.09"/>
    <s v="Delivery Truck"/>
    <n v="-2946.0509999999999"/>
    <n v="349.45"/>
    <n v="60"/>
    <x v="176"/>
    <x v="3"/>
    <x v="3"/>
    <x v="2"/>
    <x v="2"/>
    <x v="10"/>
    <x v="195"/>
    <s v="Jumbo Drum"/>
    <m/>
    <d v="2009-09-07T00:00:00"/>
    <n v="0"/>
    <n v="0"/>
    <n v="0.33333333333333331"/>
    <n v="0.33333333333333331"/>
  </r>
  <r>
    <n v="6774"/>
    <n v="48230"/>
    <x v="714"/>
    <x v="40"/>
    <s v="Not Specified"/>
    <n v="39"/>
    <n v="1140.26"/>
    <n v="0.04"/>
    <s v="Express Air"/>
    <n v="387.2"/>
    <n v="29.18"/>
    <n v="8.5500000000000007"/>
    <x v="176"/>
    <x v="3"/>
    <x v="3"/>
    <x v="2"/>
    <x v="2"/>
    <x v="4"/>
    <x v="462"/>
    <s v="Small Box"/>
    <n v="0.42"/>
    <d v="2009-02-27T00:00:00"/>
    <n v="0"/>
    <n v="0"/>
    <n v="0.5"/>
    <n v="0.5"/>
  </r>
  <r>
    <n v="6775"/>
    <n v="48230"/>
    <x v="714"/>
    <x v="40"/>
    <s v="Not Specified"/>
    <n v="31"/>
    <n v="2645.8"/>
    <n v="0"/>
    <s v="Regular Air"/>
    <n v="-684.78"/>
    <n v="80.98"/>
    <n v="35"/>
    <x v="176"/>
    <x v="3"/>
    <x v="3"/>
    <x v="2"/>
    <x v="0"/>
    <x v="0"/>
    <x v="798"/>
    <s v="Large Box"/>
    <n v="0.83"/>
    <d v="2009-02-27T00:00:00"/>
    <n v="0"/>
    <n v="0"/>
    <n v="0.5"/>
    <n v="0.5"/>
  </r>
  <r>
    <n v="6806"/>
    <n v="48480"/>
    <x v="715"/>
    <x v="38"/>
    <s v="Critical"/>
    <n v="32"/>
    <n v="11103.75"/>
    <n v="0.1"/>
    <s v="Delivery Truck"/>
    <n v="-522.59"/>
    <n v="370.98"/>
    <n v="99"/>
    <x v="163"/>
    <x v="3"/>
    <x v="3"/>
    <x v="2"/>
    <x v="0"/>
    <x v="0"/>
    <x v="222"/>
    <s v="Jumbo Drum"/>
    <n v="0.65"/>
    <d v="2010-01-05T00:00:00"/>
    <n v="1"/>
    <n v="0"/>
    <n v="1"/>
    <n v="1"/>
  </r>
  <r>
    <n v="6825"/>
    <n v="48614"/>
    <x v="660"/>
    <x v="20"/>
    <s v="Critical"/>
    <n v="46"/>
    <n v="7965.9024999999992"/>
    <n v="0.01"/>
    <s v="Regular Air"/>
    <n v="2311.9560000000001"/>
    <n v="195.99"/>
    <n v="8.99"/>
    <x v="183"/>
    <x v="3"/>
    <x v="3"/>
    <x v="2"/>
    <x v="1"/>
    <x v="3"/>
    <x v="521"/>
    <s v="Small Box"/>
    <n v="0.6"/>
    <d v="2012-05-31T00:00:00"/>
    <n v="0"/>
    <n v="0"/>
    <n v="1"/>
    <n v="0.5"/>
  </r>
  <r>
    <n v="6844"/>
    <n v="48772"/>
    <x v="429"/>
    <x v="43"/>
    <s v="Medium"/>
    <n v="44"/>
    <n v="3202.25"/>
    <n v="0.09"/>
    <s v="Regular Air"/>
    <n v="991.26"/>
    <n v="78.69"/>
    <n v="19.989999999999998"/>
    <x v="184"/>
    <x v="3"/>
    <x v="3"/>
    <x v="0"/>
    <x v="2"/>
    <x v="4"/>
    <x v="618"/>
    <s v="Small Box"/>
    <n v="0.43"/>
    <d v="2009-05-14T00:00:00"/>
    <n v="0"/>
    <n v="0"/>
    <n v="0.2"/>
    <n v="0.16666666666666666"/>
  </r>
  <r>
    <n v="6845"/>
    <n v="48772"/>
    <x v="429"/>
    <x v="43"/>
    <s v="Medium"/>
    <n v="11"/>
    <n v="81.25"/>
    <n v="0.01"/>
    <s v="Regular Air"/>
    <n v="-44.54"/>
    <n v="6.48"/>
    <n v="7.86"/>
    <x v="184"/>
    <x v="3"/>
    <x v="3"/>
    <x v="0"/>
    <x v="0"/>
    <x v="5"/>
    <x v="59"/>
    <s v="Small Box"/>
    <n v="0.37"/>
    <d v="2009-05-13T00:00:00"/>
    <n v="0"/>
    <n v="0"/>
    <n v="0.2"/>
    <n v="0.16666666666666666"/>
  </r>
  <r>
    <n v="6846"/>
    <n v="48772"/>
    <x v="429"/>
    <x v="43"/>
    <s v="Medium"/>
    <n v="18"/>
    <n v="57.17"/>
    <n v="0.08"/>
    <s v="Regular Air"/>
    <n v="-24.03"/>
    <n v="3.28"/>
    <n v="2.31"/>
    <x v="184"/>
    <x v="3"/>
    <x v="3"/>
    <x v="0"/>
    <x v="0"/>
    <x v="12"/>
    <x v="819"/>
    <s v="Wrap Bag"/>
    <n v="0.56000000000000005"/>
    <d v="2009-05-13T00:00:00"/>
    <n v="0"/>
    <n v="0"/>
    <n v="0.2"/>
    <n v="0.16666666666666666"/>
  </r>
  <r>
    <n v="6847"/>
    <n v="48772"/>
    <x v="429"/>
    <x v="43"/>
    <s v="Medium"/>
    <n v="12"/>
    <n v="41.97"/>
    <n v="0.05"/>
    <s v="Regular Air"/>
    <n v="-37.03"/>
    <n v="3.28"/>
    <n v="4.2"/>
    <x v="184"/>
    <x v="3"/>
    <x v="3"/>
    <x v="0"/>
    <x v="0"/>
    <x v="12"/>
    <x v="820"/>
    <s v="Wrap Bag"/>
    <n v="0.56000000000000005"/>
    <d v="2009-05-13T00:00:00"/>
    <n v="0"/>
    <n v="0"/>
    <n v="0.2"/>
    <n v="0.16666666666666666"/>
  </r>
  <r>
    <n v="6848"/>
    <n v="48772"/>
    <x v="429"/>
    <x v="43"/>
    <s v="Medium"/>
    <n v="10"/>
    <n v="35.64"/>
    <n v="0.05"/>
    <s v="Regular Air"/>
    <n v="-0.71"/>
    <n v="3.58"/>
    <n v="1.63"/>
    <x v="184"/>
    <x v="3"/>
    <x v="3"/>
    <x v="0"/>
    <x v="0"/>
    <x v="6"/>
    <x v="821"/>
    <s v="Wrap Bag"/>
    <n v="0.36"/>
    <d v="2009-05-13T00:00:00"/>
    <n v="0"/>
    <n v="0"/>
    <n v="0.2"/>
    <n v="0.16666666666666666"/>
  </r>
  <r>
    <n v="6852"/>
    <n v="48800"/>
    <x v="596"/>
    <x v="0"/>
    <s v="Not Specified"/>
    <n v="8"/>
    <n v="28761.52"/>
    <n v="0.04"/>
    <s v="Regular Air"/>
    <n v="285.11300000000028"/>
    <n v="3499.99"/>
    <n v="24.49"/>
    <x v="179"/>
    <x v="3"/>
    <x v="3"/>
    <x v="3"/>
    <x v="1"/>
    <x v="13"/>
    <x v="480"/>
    <s v="Large Box"/>
    <n v="0.37"/>
    <d v="2010-10-23T00:00:00"/>
    <n v="0"/>
    <n v="0"/>
    <n v="1"/>
    <n v="1"/>
  </r>
  <r>
    <n v="6867"/>
    <n v="48931"/>
    <x v="501"/>
    <x v="41"/>
    <s v="Low"/>
    <n v="33"/>
    <n v="750.66"/>
    <n v="0"/>
    <s v="Regular Air"/>
    <n v="120.05"/>
    <n v="20.95"/>
    <n v="4"/>
    <x v="173"/>
    <x v="3"/>
    <x v="3"/>
    <x v="2"/>
    <x v="1"/>
    <x v="7"/>
    <x v="124"/>
    <s v="Small Box"/>
    <n v="0.6"/>
    <d v="2009-06-24T00:00:00"/>
    <n v="0"/>
    <n v="0"/>
    <n v="0.33333333333333331"/>
    <n v="0.33333333333333331"/>
  </r>
  <r>
    <n v="6868"/>
    <n v="48931"/>
    <x v="501"/>
    <x v="41"/>
    <s v="Low"/>
    <n v="8"/>
    <n v="254.32"/>
    <n v="0.01"/>
    <s v="Regular Air"/>
    <n v="-117.39"/>
    <n v="30.98"/>
    <n v="6.5"/>
    <x v="173"/>
    <x v="3"/>
    <x v="3"/>
    <x v="2"/>
    <x v="1"/>
    <x v="7"/>
    <x v="630"/>
    <s v="Small Box"/>
    <n v="0.79"/>
    <d v="2009-06-19T00:00:00"/>
    <n v="0"/>
    <n v="0"/>
    <n v="0.33333333333333331"/>
    <n v="0.33333333333333331"/>
  </r>
  <r>
    <n v="6869"/>
    <n v="48931"/>
    <x v="501"/>
    <x v="41"/>
    <s v="Low"/>
    <n v="42"/>
    <n v="2149.37"/>
    <n v="0.03"/>
    <s v="Regular Air"/>
    <n v="217.87"/>
    <n v="51.75"/>
    <n v="19.989999999999998"/>
    <x v="173"/>
    <x v="3"/>
    <x v="3"/>
    <x v="2"/>
    <x v="2"/>
    <x v="4"/>
    <x v="178"/>
    <s v="Small Box"/>
    <n v="0.55000000000000004"/>
    <d v="2009-06-22T00:00:00"/>
    <n v="0"/>
    <n v="0"/>
    <n v="0.33333333333333331"/>
    <n v="0.33333333333333331"/>
  </r>
  <r>
    <n v="6892"/>
    <n v="49126"/>
    <x v="2"/>
    <x v="2"/>
    <s v="Low"/>
    <n v="33"/>
    <n v="5661.08"/>
    <n v="0"/>
    <s v="Delivery Truck"/>
    <n v="1055.47"/>
    <n v="160.97999999999999"/>
    <n v="30"/>
    <x v="138"/>
    <x v="3"/>
    <x v="3"/>
    <x v="2"/>
    <x v="2"/>
    <x v="14"/>
    <x v="580"/>
    <s v="Jumbo Drum"/>
    <n v="0.62"/>
    <d v="2011-07-17T00:00:00"/>
    <n v="0"/>
    <n v="0"/>
    <n v="1"/>
    <n v="1"/>
  </r>
  <r>
    <n v="6908"/>
    <n v="49283"/>
    <x v="716"/>
    <x v="47"/>
    <s v="High"/>
    <n v="25"/>
    <n v="334.71"/>
    <n v="0.01"/>
    <s v="Regular Air"/>
    <n v="31.74"/>
    <n v="12.28"/>
    <n v="6.47"/>
    <x v="167"/>
    <x v="3"/>
    <x v="3"/>
    <x v="3"/>
    <x v="0"/>
    <x v="5"/>
    <x v="46"/>
    <s v="Small Box"/>
    <n v="0.38"/>
    <d v="2009-12-12T00:00:00"/>
    <n v="0"/>
    <n v="0"/>
    <n v="1"/>
    <n v="1"/>
  </r>
  <r>
    <n v="6927"/>
    <n v="49441"/>
    <x v="717"/>
    <x v="35"/>
    <s v="Medium"/>
    <n v="49"/>
    <n v="1981.26"/>
    <n v="7.0000000000000007E-2"/>
    <s v="Express Air"/>
    <n v="100.8"/>
    <n v="41.32"/>
    <n v="8.66"/>
    <x v="181"/>
    <x v="3"/>
    <x v="3"/>
    <x v="3"/>
    <x v="2"/>
    <x v="4"/>
    <x v="492"/>
    <s v="Medium Box"/>
    <n v="0.76"/>
    <d v="2009-09-28T00:00:00"/>
    <n v="0"/>
    <n v="0"/>
    <n v="1"/>
    <n v="1"/>
  </r>
  <r>
    <n v="6944"/>
    <n v="49601"/>
    <x v="349"/>
    <x v="16"/>
    <s v="Low"/>
    <n v="15"/>
    <n v="1756.46"/>
    <n v="0.01"/>
    <s v="Delivery Truck"/>
    <n v="-101.19"/>
    <n v="113.98"/>
    <n v="30"/>
    <x v="138"/>
    <x v="3"/>
    <x v="3"/>
    <x v="3"/>
    <x v="2"/>
    <x v="14"/>
    <x v="655"/>
    <s v="Jumbo Drum"/>
    <n v="0.69"/>
    <d v="2011-02-02T00:00:00"/>
    <n v="0"/>
    <n v="0"/>
    <n v="1"/>
    <n v="1"/>
  </r>
  <r>
    <n v="6960"/>
    <n v="49763"/>
    <x v="296"/>
    <x v="44"/>
    <s v="Critical"/>
    <n v="8"/>
    <n v="49.04"/>
    <n v="0.02"/>
    <s v="Regular Air"/>
    <n v="9.2899999999999991"/>
    <n v="5.68"/>
    <n v="1.39"/>
    <x v="170"/>
    <x v="3"/>
    <x v="3"/>
    <x v="2"/>
    <x v="0"/>
    <x v="8"/>
    <x v="474"/>
    <s v="Small Box"/>
    <n v="0.38"/>
    <d v="2011-02-14T00:00:00"/>
    <n v="0"/>
    <n v="0"/>
    <n v="0.5"/>
    <n v="0.5"/>
  </r>
  <r>
    <n v="6961"/>
    <n v="49763"/>
    <x v="296"/>
    <x v="44"/>
    <s v="Critical"/>
    <n v="6"/>
    <n v="2320.35"/>
    <n v="0"/>
    <s v="Delivery Truck"/>
    <n v="-237.61799999999999"/>
    <n v="348.21"/>
    <n v="84.84"/>
    <x v="170"/>
    <x v="3"/>
    <x v="3"/>
    <x v="2"/>
    <x v="2"/>
    <x v="10"/>
    <x v="453"/>
    <s v="Jumbo Box"/>
    <n v="0.66"/>
    <d v="2011-02-13T00:00:00"/>
    <n v="0"/>
    <n v="0"/>
    <n v="0.5"/>
    <n v="0.5"/>
  </r>
  <r>
    <n v="6988"/>
    <n v="49927"/>
    <x v="718"/>
    <x v="29"/>
    <s v="Not Specified"/>
    <n v="26"/>
    <n v="139.54"/>
    <n v="0.01"/>
    <s v="Regular Air"/>
    <n v="-54.084499999999998"/>
    <n v="4.9800000000000004"/>
    <n v="4.95"/>
    <x v="179"/>
    <x v="3"/>
    <x v="3"/>
    <x v="3"/>
    <x v="0"/>
    <x v="2"/>
    <x v="538"/>
    <s v="Small Box"/>
    <n v="0.37"/>
    <d v="2012-07-20T00:00:00"/>
    <n v="0"/>
    <n v="0"/>
    <n v="0.33333333333333331"/>
    <n v="0.33333333333333331"/>
  </r>
  <r>
    <n v="6989"/>
    <n v="49927"/>
    <x v="718"/>
    <x v="29"/>
    <s v="Not Specified"/>
    <n v="28"/>
    <n v="199.52"/>
    <n v="0.08"/>
    <s v="Regular Air"/>
    <n v="13.44"/>
    <n v="7.59"/>
    <n v="4"/>
    <x v="179"/>
    <x v="3"/>
    <x v="3"/>
    <x v="3"/>
    <x v="2"/>
    <x v="4"/>
    <x v="378"/>
    <s v="Wrap Bag"/>
    <n v="0.42"/>
    <d v="2012-07-22T00:00:00"/>
    <n v="0"/>
    <n v="0"/>
    <n v="0.33333333333333331"/>
    <n v="0.33333333333333331"/>
  </r>
  <r>
    <n v="6990"/>
    <n v="49927"/>
    <x v="718"/>
    <x v="29"/>
    <s v="Not Specified"/>
    <n v="39"/>
    <n v="85.66"/>
    <n v="0.04"/>
    <s v="Regular Air"/>
    <n v="6.67"/>
    <n v="2.1800000000000002"/>
    <n v="0.78"/>
    <x v="179"/>
    <x v="3"/>
    <x v="3"/>
    <x v="3"/>
    <x v="0"/>
    <x v="6"/>
    <x v="303"/>
    <s v="Wrap Bag"/>
    <n v="0.52"/>
    <d v="2012-07-21T00:00:00"/>
    <n v="0"/>
    <n v="0"/>
    <n v="0.33333333333333331"/>
    <n v="0.33333333333333331"/>
  </r>
  <r>
    <n v="7009"/>
    <n v="50048"/>
    <x v="528"/>
    <x v="38"/>
    <s v="High"/>
    <n v="14"/>
    <n v="35.479999999999997"/>
    <n v="0.09"/>
    <s v="Regular Air"/>
    <n v="-9.19"/>
    <n v="2.58"/>
    <n v="1.3"/>
    <x v="166"/>
    <x v="3"/>
    <x v="3"/>
    <x v="2"/>
    <x v="0"/>
    <x v="12"/>
    <x v="611"/>
    <s v="Wrap Bag"/>
    <n v="0.59"/>
    <d v="2010-01-20T00:00:00"/>
    <n v="1"/>
    <n v="0"/>
    <n v="0.5"/>
    <n v="0.5"/>
  </r>
  <r>
    <n v="7010"/>
    <n v="50048"/>
    <x v="528"/>
    <x v="38"/>
    <s v="High"/>
    <n v="1"/>
    <n v="15"/>
    <n v="0.05"/>
    <s v="Regular Air"/>
    <n v="-11.02"/>
    <n v="6.84"/>
    <n v="8.3699999999999992"/>
    <x v="166"/>
    <x v="3"/>
    <x v="3"/>
    <x v="2"/>
    <x v="0"/>
    <x v="15"/>
    <x v="277"/>
    <s v="Small Pack"/>
    <n v="0.57999999999999996"/>
    <d v="2010-01-20T00:00:00"/>
    <n v="1"/>
    <n v="0"/>
    <n v="0.5"/>
    <n v="0.5"/>
  </r>
  <r>
    <n v="7075"/>
    <n v="50499"/>
    <x v="719"/>
    <x v="17"/>
    <s v="Not Specified"/>
    <n v="18"/>
    <n v="1758.41"/>
    <n v="0.06"/>
    <s v="Delivery Truck"/>
    <n v="238.52"/>
    <n v="100.98"/>
    <n v="15.66"/>
    <x v="174"/>
    <x v="3"/>
    <x v="3"/>
    <x v="0"/>
    <x v="0"/>
    <x v="1"/>
    <x v="822"/>
    <s v="Jumbo Drum"/>
    <n v="0.56999999999999995"/>
    <d v="2011-10-13T00:00:00"/>
    <n v="0"/>
    <n v="0"/>
    <n v="1"/>
    <n v="1"/>
  </r>
  <r>
    <n v="7152"/>
    <n v="51041"/>
    <x v="144"/>
    <x v="42"/>
    <s v="High"/>
    <n v="47"/>
    <n v="2766.8179999999998"/>
    <n v="0.03"/>
    <s v="Regular Air"/>
    <n v="846.94500000000005"/>
    <n v="65.989999999999995"/>
    <n v="5.92"/>
    <x v="178"/>
    <x v="3"/>
    <x v="3"/>
    <x v="3"/>
    <x v="1"/>
    <x v="3"/>
    <x v="237"/>
    <s v="Small Box"/>
    <n v="0.55000000000000004"/>
    <d v="2010-07-30T00:00:00"/>
    <n v="0"/>
    <n v="0"/>
    <n v="1"/>
    <n v="1"/>
  </r>
  <r>
    <n v="7194"/>
    <n v="51328"/>
    <x v="320"/>
    <x v="0"/>
    <s v="Low"/>
    <n v="38"/>
    <n v="689.67"/>
    <n v="7.0000000000000007E-2"/>
    <s v="Regular Air"/>
    <n v="51.47"/>
    <n v="18.7"/>
    <n v="8.99"/>
    <x v="154"/>
    <x v="3"/>
    <x v="3"/>
    <x v="1"/>
    <x v="2"/>
    <x v="4"/>
    <x v="823"/>
    <s v="Small Pack"/>
    <n v="0.47"/>
    <d v="2010-10-31T00:00:00"/>
    <n v="0"/>
    <n v="0"/>
    <n v="1"/>
    <n v="1"/>
  </r>
  <r>
    <n v="7195"/>
    <n v="51333"/>
    <x v="720"/>
    <x v="1"/>
    <s v="Not Specified"/>
    <n v="30"/>
    <n v="2219.79"/>
    <n v="0.1"/>
    <s v="Delivery Truck"/>
    <n v="-9.4481999999999999"/>
    <n v="80.97"/>
    <n v="33.6"/>
    <x v="156"/>
    <x v="3"/>
    <x v="3"/>
    <x v="2"/>
    <x v="1"/>
    <x v="16"/>
    <x v="196"/>
    <s v="Jumbo Drum"/>
    <n v="0.37"/>
    <d v="2012-10-06T00:00:00"/>
    <n v="0"/>
    <n v="0"/>
    <n v="0.5"/>
    <n v="0.5"/>
  </r>
  <r>
    <n v="7196"/>
    <n v="51333"/>
    <x v="720"/>
    <x v="1"/>
    <s v="Not Specified"/>
    <n v="25"/>
    <n v="237.36"/>
    <n v="7.0000000000000007E-2"/>
    <s v="Regular Air"/>
    <n v="-117.86"/>
    <n v="9.06"/>
    <n v="9.86"/>
    <x v="156"/>
    <x v="3"/>
    <x v="3"/>
    <x v="2"/>
    <x v="0"/>
    <x v="5"/>
    <x v="718"/>
    <s v="Small Box"/>
    <n v="0.4"/>
    <d v="2012-10-06T00:00:00"/>
    <n v="0"/>
    <n v="0"/>
    <n v="0.5"/>
    <n v="0.5"/>
  </r>
  <r>
    <n v="7201"/>
    <n v="51365"/>
    <x v="367"/>
    <x v="9"/>
    <s v="High"/>
    <n v="35"/>
    <n v="195.23"/>
    <n v="0.08"/>
    <s v="Regular Air"/>
    <n v="-72.459999999999994"/>
    <n v="5.89"/>
    <n v="5.57"/>
    <x v="156"/>
    <x v="3"/>
    <x v="3"/>
    <x v="2"/>
    <x v="2"/>
    <x v="4"/>
    <x v="342"/>
    <s v="Small Box"/>
    <n v="0.41"/>
    <d v="2012-08-09T00:00:00"/>
    <n v="0"/>
    <n v="0"/>
    <n v="0.5"/>
    <n v="0.5"/>
  </r>
  <r>
    <n v="7202"/>
    <n v="51365"/>
    <x v="367"/>
    <x v="9"/>
    <s v="High"/>
    <n v="35"/>
    <n v="4051.8"/>
    <n v="0.1"/>
    <s v="Delivery Truck"/>
    <n v="-684.072"/>
    <n v="124.49"/>
    <n v="51.94"/>
    <x v="156"/>
    <x v="3"/>
    <x v="3"/>
    <x v="2"/>
    <x v="2"/>
    <x v="10"/>
    <x v="307"/>
    <s v="Jumbo Box"/>
    <n v="0.63"/>
    <d v="2012-08-08T00:00:00"/>
    <n v="0"/>
    <n v="0"/>
    <n v="0.5"/>
    <n v="0.5"/>
  </r>
  <r>
    <n v="7253"/>
    <n v="51777"/>
    <x v="721"/>
    <x v="44"/>
    <s v="Medium"/>
    <n v="4"/>
    <n v="3465.97"/>
    <n v="0.08"/>
    <s v="Regular Air"/>
    <n v="194.31850000000003"/>
    <n v="896.99"/>
    <n v="19.989999999999998"/>
    <x v="172"/>
    <x v="3"/>
    <x v="3"/>
    <x v="0"/>
    <x v="0"/>
    <x v="2"/>
    <x v="317"/>
    <s v="Small Box"/>
    <n v="0.38"/>
    <d v="2011-02-20T00:00:00"/>
    <n v="0"/>
    <n v="0"/>
    <n v="0.5"/>
    <n v="0.5"/>
  </r>
  <r>
    <n v="7254"/>
    <n v="51777"/>
    <x v="721"/>
    <x v="44"/>
    <s v="Medium"/>
    <n v="13"/>
    <n v="1307.8800000000001"/>
    <n v="0.06"/>
    <s v="Regular Air"/>
    <n v="206.86"/>
    <n v="100.97"/>
    <n v="7.18"/>
    <x v="172"/>
    <x v="3"/>
    <x v="3"/>
    <x v="0"/>
    <x v="1"/>
    <x v="7"/>
    <x v="824"/>
    <s v="Small Box"/>
    <n v="0.46"/>
    <d v="2011-02-21T00:00:00"/>
    <n v="0"/>
    <n v="0"/>
    <n v="0.5"/>
    <n v="0.5"/>
  </r>
  <r>
    <n v="7263"/>
    <n v="51814"/>
    <x v="287"/>
    <x v="18"/>
    <s v="Critical"/>
    <n v="13"/>
    <n v="104.51"/>
    <n v="0.04"/>
    <s v="Regular Air"/>
    <n v="-9.2805"/>
    <n v="7.84"/>
    <n v="4.71"/>
    <x v="160"/>
    <x v="3"/>
    <x v="3"/>
    <x v="3"/>
    <x v="0"/>
    <x v="2"/>
    <x v="39"/>
    <s v="Small Box"/>
    <n v="0.35"/>
    <d v="2010-09-26T00:00:00"/>
    <n v="0"/>
    <n v="0"/>
    <n v="1"/>
    <n v="1"/>
  </r>
  <r>
    <n v="7290"/>
    <n v="51975"/>
    <x v="684"/>
    <x v="47"/>
    <s v="Low"/>
    <n v="12"/>
    <n v="1064.7864999999999"/>
    <n v="0.1"/>
    <s v="Regular Air"/>
    <n v="-181.005"/>
    <n v="115.99"/>
    <n v="2.5"/>
    <x v="160"/>
    <x v="3"/>
    <x v="3"/>
    <x v="3"/>
    <x v="1"/>
    <x v="3"/>
    <x v="825"/>
    <s v="Small Box"/>
    <n v="0.57999999999999996"/>
    <d v="2009-12-22T00:00:00"/>
    <n v="0"/>
    <n v="0"/>
    <n v="1"/>
    <n v="1"/>
  </r>
  <r>
    <n v="7328"/>
    <n v="52225"/>
    <x v="722"/>
    <x v="13"/>
    <s v="Critical"/>
    <n v="10"/>
    <n v="131.09"/>
    <n v="0.01"/>
    <s v="Regular Air"/>
    <n v="10.94"/>
    <n v="12.22"/>
    <n v="2.85"/>
    <x v="176"/>
    <x v="3"/>
    <x v="3"/>
    <x v="2"/>
    <x v="2"/>
    <x v="4"/>
    <x v="137"/>
    <s v="Small Pack"/>
    <n v="0.55000000000000004"/>
    <d v="2012-04-13T00:00:00"/>
    <n v="0"/>
    <n v="0"/>
    <n v="0.5"/>
    <n v="0.5"/>
  </r>
  <r>
    <n v="7329"/>
    <n v="52225"/>
    <x v="722"/>
    <x v="13"/>
    <s v="Critical"/>
    <n v="33"/>
    <n v="1817.9"/>
    <n v="0.06"/>
    <s v="Regular Air"/>
    <n v="700.31"/>
    <n v="54.96"/>
    <n v="10.75"/>
    <x v="176"/>
    <x v="3"/>
    <x v="3"/>
    <x v="2"/>
    <x v="0"/>
    <x v="5"/>
    <x v="229"/>
    <s v="Small Box"/>
    <n v="0.36"/>
    <d v="2012-04-13T00:00:00"/>
    <n v="0"/>
    <n v="0"/>
    <n v="0.5"/>
    <n v="0.5"/>
  </r>
  <r>
    <n v="7366"/>
    <n v="52487"/>
    <x v="682"/>
    <x v="41"/>
    <s v="Critical"/>
    <n v="17"/>
    <n v="124.06"/>
    <n v="0.09"/>
    <s v="Regular Air"/>
    <n v="15.74"/>
    <n v="7.78"/>
    <n v="2.5"/>
    <x v="183"/>
    <x v="3"/>
    <x v="3"/>
    <x v="2"/>
    <x v="0"/>
    <x v="8"/>
    <x v="826"/>
    <s v="Small Box"/>
    <n v="0.38"/>
    <d v="2009-06-02T00:00:00"/>
    <n v="0"/>
    <n v="0"/>
    <n v="1"/>
    <n v="1"/>
  </r>
  <r>
    <n v="7410"/>
    <n v="52868"/>
    <x v="462"/>
    <x v="44"/>
    <s v="Low"/>
    <n v="19"/>
    <n v="138.05000000000001"/>
    <n v="0.09"/>
    <s v="Regular Air"/>
    <n v="-100.49"/>
    <n v="7.37"/>
    <n v="5.53"/>
    <x v="171"/>
    <x v="3"/>
    <x v="3"/>
    <x v="2"/>
    <x v="1"/>
    <x v="7"/>
    <x v="827"/>
    <s v="Small Pack"/>
    <n v="0.69"/>
    <d v="2011-02-18T00:00:00"/>
    <n v="0"/>
    <n v="0"/>
    <n v="1"/>
    <n v="1"/>
  </r>
  <r>
    <n v="7459"/>
    <n v="53221"/>
    <x v="723"/>
    <x v="12"/>
    <s v="Not Specified"/>
    <n v="29"/>
    <n v="433.44"/>
    <n v="0.1"/>
    <s v="Regular Air"/>
    <n v="147.46"/>
    <n v="15.68"/>
    <n v="3.73"/>
    <x v="157"/>
    <x v="3"/>
    <x v="3"/>
    <x v="2"/>
    <x v="2"/>
    <x v="4"/>
    <x v="797"/>
    <s v="Small Pack"/>
    <n v="0.46"/>
    <d v="2012-02-27T00:00:00"/>
    <n v="0"/>
    <n v="0"/>
    <n v="1"/>
    <n v="1"/>
  </r>
  <r>
    <n v="7509"/>
    <n v="53600"/>
    <x v="701"/>
    <x v="29"/>
    <s v="Medium"/>
    <n v="8"/>
    <n v="55.59"/>
    <n v="0.03"/>
    <s v="Express Air"/>
    <n v="-17.951499999999999"/>
    <n v="5.18"/>
    <n v="5.74"/>
    <x v="175"/>
    <x v="3"/>
    <x v="3"/>
    <x v="0"/>
    <x v="0"/>
    <x v="2"/>
    <x v="460"/>
    <s v="Small Box"/>
    <n v="0.36"/>
    <d v="2012-07-11T00:00:00"/>
    <n v="0"/>
    <n v="0"/>
    <n v="1"/>
    <n v="1"/>
  </r>
  <r>
    <n v="7515"/>
    <n v="53667"/>
    <x v="425"/>
    <x v="20"/>
    <s v="Medium"/>
    <n v="33"/>
    <n v="112.36"/>
    <n v="0.08"/>
    <s v="Regular Air"/>
    <n v="-159.73500000000001"/>
    <n v="3.36"/>
    <n v="6.27"/>
    <x v="161"/>
    <x v="3"/>
    <x v="3"/>
    <x v="1"/>
    <x v="0"/>
    <x v="2"/>
    <x v="285"/>
    <s v="Small Box"/>
    <n v="0.4"/>
    <d v="2012-05-19T00:00:00"/>
    <n v="0"/>
    <n v="0"/>
    <n v="0.5"/>
    <n v="0.5"/>
  </r>
  <r>
    <n v="7516"/>
    <n v="53667"/>
    <x v="425"/>
    <x v="20"/>
    <s v="Medium"/>
    <n v="16"/>
    <n v="481.04900000000004"/>
    <n v="0.09"/>
    <s v="Regular Air"/>
    <n v="46.512"/>
    <n v="35.99"/>
    <n v="1.1000000000000001"/>
    <x v="161"/>
    <x v="3"/>
    <x v="3"/>
    <x v="1"/>
    <x v="1"/>
    <x v="3"/>
    <x v="828"/>
    <s v="Small Box"/>
    <n v="0.55000000000000004"/>
    <d v="2012-05-19T00:00:00"/>
    <n v="0"/>
    <n v="0"/>
    <n v="0.5"/>
    <n v="0.5"/>
  </r>
  <r>
    <n v="7535"/>
    <n v="53891"/>
    <x v="605"/>
    <x v="22"/>
    <s v="High"/>
    <n v="36"/>
    <n v="562.79999999999995"/>
    <n v="0.02"/>
    <s v="Regular Air"/>
    <n v="-17.445499999999999"/>
    <n v="15.22"/>
    <n v="9.73"/>
    <x v="183"/>
    <x v="3"/>
    <x v="3"/>
    <x v="3"/>
    <x v="0"/>
    <x v="2"/>
    <x v="100"/>
    <s v="Small Box"/>
    <n v="0.36"/>
    <d v="2009-01-22T00:00:00"/>
    <n v="0"/>
    <n v="1"/>
    <n v="0.25"/>
    <n v="0.25"/>
  </r>
  <r>
    <n v="7545"/>
    <n v="53955"/>
    <x v="428"/>
    <x v="5"/>
    <s v="Critical"/>
    <n v="43"/>
    <n v="5544.99"/>
    <n v="0.04"/>
    <s v="Delivery Truck"/>
    <n v="-3404.24"/>
    <n v="130.97999999999999"/>
    <n v="130"/>
    <x v="153"/>
    <x v="3"/>
    <x v="3"/>
    <x v="3"/>
    <x v="2"/>
    <x v="14"/>
    <x v="156"/>
    <s v="Jumbo Drum"/>
    <n v="0.78"/>
    <d v="2011-03-06T00:00:00"/>
    <n v="0"/>
    <n v="0"/>
    <n v="1"/>
    <n v="1"/>
  </r>
  <r>
    <n v="7569"/>
    <n v="54150"/>
    <x v="645"/>
    <x v="4"/>
    <s v="Critical"/>
    <n v="12"/>
    <n v="2011.6355000000001"/>
    <n v="0.01"/>
    <s v="Express Air"/>
    <n v="-53.691000000000003"/>
    <n v="195.99"/>
    <n v="3.99"/>
    <x v="180"/>
    <x v="3"/>
    <x v="3"/>
    <x v="2"/>
    <x v="1"/>
    <x v="3"/>
    <x v="193"/>
    <s v="Small Box"/>
    <n v="0.59"/>
    <d v="2011-06-22T00:00:00"/>
    <n v="0"/>
    <n v="0"/>
    <n v="1"/>
    <n v="1"/>
  </r>
  <r>
    <n v="7742"/>
    <n v="55429"/>
    <x v="724"/>
    <x v="41"/>
    <s v="High"/>
    <n v="43"/>
    <n v="260.58999999999997"/>
    <n v="0.09"/>
    <s v="Regular Air"/>
    <n v="-157.76"/>
    <n v="6.48"/>
    <n v="7.03"/>
    <x v="159"/>
    <x v="3"/>
    <x v="3"/>
    <x v="1"/>
    <x v="0"/>
    <x v="5"/>
    <x v="72"/>
    <s v="Small Box"/>
    <n v="0.37"/>
    <d v="2009-07-01T00:00:00"/>
    <n v="0"/>
    <n v="0"/>
    <n v="1"/>
    <n v="1"/>
  </r>
  <r>
    <n v="7751"/>
    <n v="55462"/>
    <x v="725"/>
    <x v="33"/>
    <s v="Medium"/>
    <n v="13"/>
    <n v="75.27"/>
    <n v="0.06"/>
    <s v="Regular Air"/>
    <n v="-1.84"/>
    <n v="5.58"/>
    <n v="2.99"/>
    <x v="167"/>
    <x v="3"/>
    <x v="3"/>
    <x v="3"/>
    <x v="0"/>
    <x v="2"/>
    <x v="829"/>
    <s v="Small Box"/>
    <n v="0.37"/>
    <d v="2012-03-29T00:00:00"/>
    <n v="0"/>
    <n v="0"/>
    <n v="0.33333333333333331"/>
    <n v="0.33333333333333331"/>
  </r>
  <r>
    <n v="7752"/>
    <n v="55462"/>
    <x v="725"/>
    <x v="33"/>
    <s v="Medium"/>
    <n v="31"/>
    <n v="1184.53"/>
    <n v="0.05"/>
    <s v="Regular Air"/>
    <n v="-26.49"/>
    <n v="39.979999999999997"/>
    <n v="7.12"/>
    <x v="167"/>
    <x v="3"/>
    <x v="3"/>
    <x v="3"/>
    <x v="1"/>
    <x v="7"/>
    <x v="830"/>
    <s v="Small Box"/>
    <n v="0.67"/>
    <d v="2012-03-28T00:00:00"/>
    <n v="0"/>
    <n v="0"/>
    <n v="0.33333333333333331"/>
    <n v="0.33333333333333331"/>
  </r>
  <r>
    <n v="7753"/>
    <n v="55462"/>
    <x v="725"/>
    <x v="33"/>
    <s v="Medium"/>
    <n v="35"/>
    <n v="3683.73"/>
    <n v="0.09"/>
    <s v="Regular Air"/>
    <n v="708.75900000000001"/>
    <n v="125.99"/>
    <n v="8.99"/>
    <x v="167"/>
    <x v="3"/>
    <x v="3"/>
    <x v="3"/>
    <x v="1"/>
    <x v="3"/>
    <x v="713"/>
    <s v="Small Box"/>
    <n v="0.59"/>
    <d v="2012-03-28T00:00:00"/>
    <n v="0"/>
    <n v="0"/>
    <n v="0.33333333333333331"/>
    <n v="0.33333333333333331"/>
  </r>
  <r>
    <n v="7793"/>
    <n v="55749"/>
    <x v="726"/>
    <x v="20"/>
    <s v="Critical"/>
    <n v="42"/>
    <n v="364.8"/>
    <n v="0.01"/>
    <s v="Regular Air"/>
    <n v="149.44999999999999"/>
    <n v="8.74"/>
    <n v="1.39"/>
    <x v="170"/>
    <x v="3"/>
    <x v="3"/>
    <x v="2"/>
    <x v="0"/>
    <x v="8"/>
    <x v="427"/>
    <s v="Small Box"/>
    <n v="0.38"/>
    <d v="2012-05-04T00:00:00"/>
    <n v="0"/>
    <n v="0"/>
    <n v="1"/>
    <n v="1"/>
  </r>
  <r>
    <n v="7809"/>
    <n v="55873"/>
    <x v="142"/>
    <x v="27"/>
    <s v="Low"/>
    <n v="48"/>
    <n v="15602.93"/>
    <n v="0"/>
    <s v="Delivery Truck"/>
    <n v="4875.8900000000003"/>
    <n v="306.14"/>
    <n v="26.53"/>
    <x v="180"/>
    <x v="3"/>
    <x v="3"/>
    <x v="2"/>
    <x v="1"/>
    <x v="16"/>
    <x v="831"/>
    <s v="Jumbo Drum"/>
    <n v="0.56000000000000005"/>
    <d v="2011-11-26T00:00:00"/>
    <n v="0"/>
    <n v="0"/>
    <n v="1"/>
    <n v="1"/>
  </r>
  <r>
    <n v="7852"/>
    <n v="56135"/>
    <x v="255"/>
    <x v="7"/>
    <s v="Medium"/>
    <n v="8"/>
    <n v="1118.82"/>
    <n v="0.04"/>
    <s v="Delivery Truck"/>
    <n v="-320.3"/>
    <n v="140.97999999999999"/>
    <n v="36.090000000000003"/>
    <x v="156"/>
    <x v="3"/>
    <x v="3"/>
    <x v="2"/>
    <x v="2"/>
    <x v="9"/>
    <x v="228"/>
    <s v="Jumbo Box"/>
    <n v="0.77"/>
    <d v="2010-11-15T00:00:00"/>
    <n v="0"/>
    <n v="0"/>
    <n v="0.5"/>
    <n v="0.5"/>
  </r>
  <r>
    <n v="7853"/>
    <n v="56135"/>
    <x v="255"/>
    <x v="7"/>
    <s v="Medium"/>
    <n v="48"/>
    <n v="79.75"/>
    <n v="0.1"/>
    <s v="Regular Air"/>
    <n v="-41.32"/>
    <n v="1.81"/>
    <n v="1.56"/>
    <x v="156"/>
    <x v="3"/>
    <x v="3"/>
    <x v="2"/>
    <x v="0"/>
    <x v="6"/>
    <x v="817"/>
    <s v="Wrap Bag"/>
    <n v="0.49"/>
    <d v="2010-11-14T00:00:00"/>
    <n v="0"/>
    <n v="0"/>
    <n v="0.5"/>
    <n v="0.5"/>
  </r>
  <r>
    <n v="7934"/>
    <n v="56708"/>
    <x v="727"/>
    <x v="45"/>
    <s v="Not Specified"/>
    <n v="36"/>
    <n v="10006.280000000001"/>
    <n v="0.1"/>
    <s v="Delivery Truck"/>
    <n v="-760.97699999999998"/>
    <n v="286.85000000000002"/>
    <n v="61.76"/>
    <x v="157"/>
    <x v="3"/>
    <x v="3"/>
    <x v="2"/>
    <x v="2"/>
    <x v="10"/>
    <x v="832"/>
    <s v="Jumbo Box"/>
    <n v="0.78"/>
    <d v="2012-12-02T00:00:00"/>
    <n v="0"/>
    <n v="0"/>
    <n v="0.5"/>
    <n v="0.5"/>
  </r>
  <r>
    <n v="7935"/>
    <n v="56708"/>
    <x v="727"/>
    <x v="45"/>
    <s v="Not Specified"/>
    <n v="36"/>
    <n v="407.17"/>
    <n v="0.04"/>
    <s v="Regular Air"/>
    <n v="-12.82"/>
    <n v="11.58"/>
    <n v="6.97"/>
    <x v="157"/>
    <x v="3"/>
    <x v="3"/>
    <x v="2"/>
    <x v="0"/>
    <x v="8"/>
    <x v="188"/>
    <s v="Small Box"/>
    <n v="0.35"/>
    <d v="2012-12-05T00:00:00"/>
    <n v="0"/>
    <n v="0"/>
    <n v="0.5"/>
    <n v="0.5"/>
  </r>
  <r>
    <n v="8120"/>
    <n v="57986"/>
    <x v="576"/>
    <x v="0"/>
    <s v="High"/>
    <n v="14"/>
    <n v="199.93"/>
    <n v="0.1"/>
    <s v="Regular Air"/>
    <n v="-105.33"/>
    <n v="14.81"/>
    <n v="13.32"/>
    <x v="112"/>
    <x v="3"/>
    <x v="3"/>
    <x v="0"/>
    <x v="0"/>
    <x v="1"/>
    <x v="531"/>
    <s v="Small Box"/>
    <n v="0.43"/>
    <d v="2010-10-29T00:00:00"/>
    <n v="0"/>
    <n v="0"/>
    <n v="1"/>
    <n v="1"/>
  </r>
  <r>
    <n v="8155"/>
    <n v="58310"/>
    <x v="728"/>
    <x v="40"/>
    <s v="Critical"/>
    <n v="22"/>
    <n v="834.81"/>
    <n v="0.03"/>
    <s v="Regular Air"/>
    <n v="1.98"/>
    <n v="37.76"/>
    <n v="12.9"/>
    <x v="181"/>
    <x v="3"/>
    <x v="3"/>
    <x v="3"/>
    <x v="0"/>
    <x v="0"/>
    <x v="833"/>
    <s v="Small Box"/>
    <n v="0.56999999999999995"/>
    <d v="2009-02-24T00:00:00"/>
    <n v="0"/>
    <n v="0"/>
    <n v="1"/>
    <n v="1"/>
  </r>
  <r>
    <n v="8215"/>
    <n v="58725"/>
    <x v="304"/>
    <x v="39"/>
    <s v="Not Specified"/>
    <n v="39"/>
    <n v="335.35"/>
    <n v="0.05"/>
    <s v="Regular Air"/>
    <n v="-134.97"/>
    <n v="8.74"/>
    <n v="8.2899999999999991"/>
    <x v="185"/>
    <x v="3"/>
    <x v="3"/>
    <x v="2"/>
    <x v="0"/>
    <x v="8"/>
    <x v="427"/>
    <s v="Small Box"/>
    <n v="0.38"/>
    <d v="2010-05-21T00:00:00"/>
    <n v="0"/>
    <n v="0"/>
    <n v="0.5"/>
    <n v="0.5"/>
  </r>
  <r>
    <n v="142"/>
    <n v="902"/>
    <x v="442"/>
    <x v="36"/>
    <s v="Not Specified"/>
    <n v="10"/>
    <n v="1925.83"/>
    <n v="0.09"/>
    <s v="Regular Air"/>
    <n v="359.83"/>
    <n v="207.48"/>
    <n v="0.99"/>
    <x v="186"/>
    <x v="3"/>
    <x v="3"/>
    <x v="2"/>
    <x v="0"/>
    <x v="1"/>
    <x v="125"/>
    <s v="Small Box"/>
    <n v="0.55000000000000004"/>
    <d v="2009-07-29T00:00:00"/>
    <n v="0"/>
    <n v="0"/>
    <n v="1"/>
    <n v="0.33333333333333331"/>
  </r>
  <r>
    <n v="309"/>
    <n v="2147"/>
    <x v="406"/>
    <x v="34"/>
    <s v="Not Specified"/>
    <n v="15"/>
    <n v="605.1"/>
    <n v="0.04"/>
    <s v="Express Air"/>
    <n v="92.81"/>
    <n v="40.98"/>
    <n v="5.33"/>
    <x v="187"/>
    <x v="3"/>
    <x v="3"/>
    <x v="3"/>
    <x v="0"/>
    <x v="1"/>
    <x v="530"/>
    <s v="Small Box"/>
    <n v="0.56999999999999995"/>
    <d v="2012-09-07T00:00:00"/>
    <n v="0"/>
    <n v="0"/>
    <n v="1"/>
    <n v="1"/>
  </r>
  <r>
    <n v="338"/>
    <n v="2306"/>
    <x v="377"/>
    <x v="2"/>
    <s v="High"/>
    <n v="15"/>
    <n v="113.5"/>
    <n v="0.05"/>
    <s v="Regular Air"/>
    <n v="-46.344999999999999"/>
    <n v="7.45"/>
    <n v="6.28"/>
    <x v="188"/>
    <x v="3"/>
    <x v="3"/>
    <x v="2"/>
    <x v="0"/>
    <x v="2"/>
    <x v="834"/>
    <s v="Small Box"/>
    <n v="0.4"/>
    <d v="2011-07-27T00:00:00"/>
    <n v="0"/>
    <n v="0"/>
    <n v="1"/>
    <n v="1"/>
  </r>
  <r>
    <n v="422"/>
    <n v="2823"/>
    <x v="656"/>
    <x v="31"/>
    <s v="High"/>
    <n v="17"/>
    <n v="357.43"/>
    <n v="0.08"/>
    <s v="Regular Air"/>
    <n v="-135.97999999999999"/>
    <n v="20.97"/>
    <n v="6.5"/>
    <x v="189"/>
    <x v="3"/>
    <x v="3"/>
    <x v="3"/>
    <x v="1"/>
    <x v="7"/>
    <x v="154"/>
    <s v="Small Box"/>
    <n v="0.78"/>
    <d v="2011-09-09T00:00:00"/>
    <n v="0"/>
    <n v="0"/>
    <n v="0.5"/>
    <n v="0.5"/>
  </r>
  <r>
    <n v="423"/>
    <n v="2823"/>
    <x v="656"/>
    <x v="31"/>
    <s v="High"/>
    <n v="21"/>
    <n v="4754.08"/>
    <n v="0"/>
    <s v="Delivery Truck"/>
    <n v="299.88"/>
    <n v="225.02"/>
    <n v="28.66"/>
    <x v="189"/>
    <x v="3"/>
    <x v="3"/>
    <x v="3"/>
    <x v="0"/>
    <x v="0"/>
    <x v="275"/>
    <s v="Jumbo Drum"/>
    <n v="0.72"/>
    <d v="2011-09-09T00:00:00"/>
    <n v="0"/>
    <n v="0"/>
    <n v="0.5"/>
    <n v="0.5"/>
  </r>
  <r>
    <n v="460"/>
    <n v="3110"/>
    <x v="291"/>
    <x v="47"/>
    <s v="High"/>
    <n v="13"/>
    <n v="1601.32"/>
    <n v="0.04"/>
    <s v="Delivery Truck"/>
    <n v="377.81"/>
    <n v="119.99"/>
    <n v="14"/>
    <x v="190"/>
    <x v="3"/>
    <x v="3"/>
    <x v="2"/>
    <x v="1"/>
    <x v="16"/>
    <x v="835"/>
    <s v="Jumbo Drum"/>
    <n v="0.36"/>
    <d v="2009-12-18T00:00:00"/>
    <n v="0"/>
    <n v="0"/>
    <n v="1"/>
    <n v="1"/>
  </r>
  <r>
    <n v="503"/>
    <n v="3463"/>
    <x v="107"/>
    <x v="3"/>
    <s v="Critical"/>
    <n v="43"/>
    <n v="264.75"/>
    <n v="0.08"/>
    <s v="Regular Air"/>
    <n v="-212.51"/>
    <n v="6.48"/>
    <n v="8.4"/>
    <x v="191"/>
    <x v="3"/>
    <x v="3"/>
    <x v="1"/>
    <x v="0"/>
    <x v="5"/>
    <x v="836"/>
    <s v="Small Box"/>
    <n v="0.37"/>
    <d v="2010-08-18T00:00:00"/>
    <n v="0"/>
    <n v="0"/>
    <n v="1"/>
    <n v="1"/>
  </r>
  <r>
    <n v="591"/>
    <n v="4034"/>
    <x v="255"/>
    <x v="7"/>
    <s v="Not Specified"/>
    <n v="44"/>
    <n v="3367.24"/>
    <n v="7.0000000000000007E-2"/>
    <s v="Regular Air"/>
    <n v="-1183.69"/>
    <n v="79.52"/>
    <n v="48.2"/>
    <x v="192"/>
    <x v="3"/>
    <x v="3"/>
    <x v="0"/>
    <x v="2"/>
    <x v="4"/>
    <x v="699"/>
    <s v="Medium Box"/>
    <n v="0.74"/>
    <d v="2010-11-14T00:00:00"/>
    <n v="0"/>
    <n v="0"/>
    <n v="0.5"/>
    <n v="0.25"/>
  </r>
  <r>
    <n v="592"/>
    <n v="4034"/>
    <x v="255"/>
    <x v="7"/>
    <s v="Not Specified"/>
    <n v="37"/>
    <n v="5723.24"/>
    <n v="0"/>
    <s v="Delivery Truck"/>
    <n v="-194.96700000000001"/>
    <n v="145.97999999999999"/>
    <n v="51.92"/>
    <x v="192"/>
    <x v="3"/>
    <x v="3"/>
    <x v="0"/>
    <x v="2"/>
    <x v="10"/>
    <x v="726"/>
    <s v="Jumbo Box"/>
    <n v="0.69"/>
    <d v="2010-11-14T00:00:00"/>
    <n v="0"/>
    <n v="0"/>
    <n v="0.5"/>
    <n v="0.25"/>
  </r>
  <r>
    <n v="593"/>
    <n v="4037"/>
    <x v="729"/>
    <x v="14"/>
    <s v="High"/>
    <n v="27"/>
    <n v="188.07"/>
    <n v="0"/>
    <s v="Regular Air"/>
    <n v="-101.85"/>
    <n v="6.48"/>
    <n v="7.86"/>
    <x v="193"/>
    <x v="3"/>
    <x v="3"/>
    <x v="2"/>
    <x v="0"/>
    <x v="5"/>
    <x v="59"/>
    <s v="Small Box"/>
    <n v="0.37"/>
    <d v="2010-03-24T00:00:00"/>
    <n v="0"/>
    <n v="0"/>
    <n v="1"/>
    <n v="1"/>
  </r>
  <r>
    <n v="775"/>
    <n v="5538"/>
    <x v="267"/>
    <x v="15"/>
    <s v="Critical"/>
    <n v="43"/>
    <n v="1281.28"/>
    <n v="0.05"/>
    <s v="Regular Air"/>
    <n v="415.85400000000004"/>
    <n v="29.17"/>
    <n v="6.27"/>
    <x v="191"/>
    <x v="3"/>
    <x v="3"/>
    <x v="1"/>
    <x v="0"/>
    <x v="2"/>
    <x v="837"/>
    <s v="Small Box"/>
    <n v="0.37"/>
    <d v="2010-12-26T00:00:00"/>
    <n v="0"/>
    <n v="0"/>
    <n v="0.33333333333333331"/>
    <n v="0.33333333333333331"/>
  </r>
  <r>
    <n v="776"/>
    <n v="5538"/>
    <x v="267"/>
    <x v="15"/>
    <s v="Critical"/>
    <n v="13"/>
    <n v="1940.31"/>
    <n v="0.03"/>
    <s v="Delivery Truck"/>
    <n v="-668.18700000000001"/>
    <n v="146.05000000000001"/>
    <n v="80.2"/>
    <x v="191"/>
    <x v="3"/>
    <x v="3"/>
    <x v="1"/>
    <x v="2"/>
    <x v="10"/>
    <x v="838"/>
    <s v="Jumbo Box"/>
    <n v="0.71"/>
    <d v="2010-12-25T00:00:00"/>
    <n v="0"/>
    <n v="0"/>
    <n v="0.33333333333333331"/>
    <n v="0.33333333333333331"/>
  </r>
  <r>
    <n v="777"/>
    <n v="5538"/>
    <x v="267"/>
    <x v="15"/>
    <s v="Critical"/>
    <n v="4"/>
    <n v="430.84800000000001"/>
    <n v="0.06"/>
    <s v="Regular Air"/>
    <n v="-492.76700000000005"/>
    <n v="125.99"/>
    <n v="5.63"/>
    <x v="191"/>
    <x v="3"/>
    <x v="3"/>
    <x v="1"/>
    <x v="1"/>
    <x v="3"/>
    <x v="356"/>
    <s v="Small Box"/>
    <n v="0.6"/>
    <d v="2010-12-27T00:00:00"/>
    <n v="0"/>
    <n v="0"/>
    <n v="0.33333333333333331"/>
    <n v="0.33333333333333331"/>
  </r>
  <r>
    <n v="814"/>
    <n v="5863"/>
    <x v="435"/>
    <x v="7"/>
    <s v="Medium"/>
    <n v="40"/>
    <n v="933.21"/>
    <n v="0.05"/>
    <s v="Regular Air"/>
    <n v="207.18"/>
    <n v="22.98"/>
    <n v="7.58"/>
    <x v="194"/>
    <x v="3"/>
    <x v="3"/>
    <x v="2"/>
    <x v="2"/>
    <x v="4"/>
    <x v="619"/>
    <s v="Small Box"/>
    <n v="0.51"/>
    <d v="2010-11-22T00:00:00"/>
    <n v="0"/>
    <n v="0"/>
    <n v="1"/>
    <n v="1"/>
  </r>
  <r>
    <n v="997"/>
    <n v="7175"/>
    <x v="730"/>
    <x v="6"/>
    <s v="Critical"/>
    <n v="10"/>
    <n v="748.25"/>
    <n v="0.05"/>
    <s v="Delivery Truck"/>
    <n v="-86.99"/>
    <n v="70.98"/>
    <n v="26.74"/>
    <x v="190"/>
    <x v="3"/>
    <x v="3"/>
    <x v="2"/>
    <x v="2"/>
    <x v="9"/>
    <x v="523"/>
    <s v="Jumbo Box"/>
    <n v="0.6"/>
    <d v="2010-02-09T00:00:00"/>
    <n v="0"/>
    <n v="0"/>
    <n v="1"/>
    <n v="1"/>
  </r>
  <r>
    <n v="1008"/>
    <n v="7364"/>
    <x v="731"/>
    <x v="43"/>
    <s v="High"/>
    <n v="15"/>
    <n v="260.39"/>
    <n v="0.09"/>
    <s v="Regular Air"/>
    <n v="-48.57"/>
    <n v="16.98"/>
    <n v="12.39"/>
    <x v="195"/>
    <x v="3"/>
    <x v="3"/>
    <x v="2"/>
    <x v="0"/>
    <x v="8"/>
    <x v="353"/>
    <s v="Small Box"/>
    <n v="0.35"/>
    <d v="2009-05-10T00:00:00"/>
    <n v="0"/>
    <n v="0"/>
    <n v="1"/>
    <n v="1"/>
  </r>
  <r>
    <n v="1068"/>
    <n v="7878"/>
    <x v="732"/>
    <x v="10"/>
    <s v="Critical"/>
    <n v="50"/>
    <n v="3904.12"/>
    <n v="7.0000000000000007E-2"/>
    <s v="Delivery Truck"/>
    <n v="-1508.46"/>
    <n v="81.94"/>
    <n v="55.81"/>
    <x v="186"/>
    <x v="3"/>
    <x v="3"/>
    <x v="2"/>
    <x v="2"/>
    <x v="9"/>
    <x v="839"/>
    <s v="Jumbo Box"/>
    <n v="0.6"/>
    <d v="2011-05-06T00:00:00"/>
    <n v="0"/>
    <n v="0"/>
    <n v="0.33333333333333331"/>
    <n v="0.33333333333333331"/>
  </r>
  <r>
    <n v="1069"/>
    <n v="7878"/>
    <x v="732"/>
    <x v="10"/>
    <s v="Critical"/>
    <n v="41"/>
    <n v="343.64"/>
    <n v="0.06"/>
    <s v="Regular Air"/>
    <n v="13.29"/>
    <n v="8.57"/>
    <n v="3.44"/>
    <x v="186"/>
    <x v="3"/>
    <x v="3"/>
    <x v="2"/>
    <x v="2"/>
    <x v="4"/>
    <x v="840"/>
    <s v="Small Pack"/>
    <n v="0.49"/>
    <d v="2011-05-03T00:00:00"/>
    <n v="0"/>
    <n v="0"/>
    <n v="0.33333333333333331"/>
    <n v="0.33333333333333331"/>
  </r>
  <r>
    <n v="1070"/>
    <n v="7878"/>
    <x v="732"/>
    <x v="10"/>
    <s v="Low"/>
    <n v="42"/>
    <n v="256.64"/>
    <n v="0.03"/>
    <s v="Regular Air"/>
    <n v="-28.29"/>
    <n v="5.81"/>
    <n v="3.37"/>
    <x v="186"/>
    <x v="3"/>
    <x v="3"/>
    <x v="2"/>
    <x v="0"/>
    <x v="6"/>
    <x v="622"/>
    <s v="Wrap Bag"/>
    <n v="0.54"/>
    <d v="2011-05-08T00:00:00"/>
    <n v="0"/>
    <n v="0"/>
    <n v="0.33333333333333331"/>
    <n v="0.33333333333333331"/>
  </r>
  <r>
    <n v="1171"/>
    <n v="8551"/>
    <x v="733"/>
    <x v="36"/>
    <s v="Critical"/>
    <n v="25"/>
    <n v="185.64"/>
    <n v="0.1"/>
    <s v="Regular Air"/>
    <n v="-69.873999999999995"/>
    <n v="7.45"/>
    <n v="6.28"/>
    <x v="186"/>
    <x v="3"/>
    <x v="3"/>
    <x v="2"/>
    <x v="0"/>
    <x v="2"/>
    <x v="834"/>
    <s v="Small Box"/>
    <n v="0.4"/>
    <d v="2009-08-01T00:00:00"/>
    <n v="0"/>
    <n v="0"/>
    <n v="0.5"/>
    <n v="0.33333333333333331"/>
  </r>
  <r>
    <n v="1172"/>
    <n v="8551"/>
    <x v="733"/>
    <x v="36"/>
    <s v="Critical"/>
    <n v="34"/>
    <n v="225.98"/>
    <n v="0.01"/>
    <s v="Regular Air"/>
    <n v="-135.74"/>
    <n v="6.48"/>
    <n v="7.86"/>
    <x v="186"/>
    <x v="3"/>
    <x v="3"/>
    <x v="2"/>
    <x v="0"/>
    <x v="5"/>
    <x v="59"/>
    <s v="Small Box"/>
    <n v="0.37"/>
    <d v="2009-07-31T00:00:00"/>
    <n v="0"/>
    <n v="0"/>
    <n v="0.5"/>
    <n v="0.33333333333333331"/>
  </r>
  <r>
    <n v="1207"/>
    <n v="8834"/>
    <x v="18"/>
    <x v="7"/>
    <s v="High"/>
    <n v="1"/>
    <n v="16.73"/>
    <n v="0.08"/>
    <s v="Regular Air"/>
    <n v="-6.96"/>
    <n v="12.64"/>
    <n v="4.9800000000000004"/>
    <x v="196"/>
    <x v="3"/>
    <x v="3"/>
    <x v="1"/>
    <x v="2"/>
    <x v="4"/>
    <x v="774"/>
    <s v="Small Pack"/>
    <n v="0.48"/>
    <d v="2010-11-09T00:00:00"/>
    <n v="0"/>
    <n v="0"/>
    <n v="0.5"/>
    <n v="0.5"/>
  </r>
  <r>
    <n v="1261"/>
    <n v="9155"/>
    <x v="263"/>
    <x v="9"/>
    <s v="Critical"/>
    <n v="17"/>
    <n v="518.79999999999995"/>
    <n v="0.1"/>
    <s v="Regular Air"/>
    <n v="54.629499999999993"/>
    <n v="30.98"/>
    <n v="11.63"/>
    <x v="196"/>
    <x v="3"/>
    <x v="3"/>
    <x v="1"/>
    <x v="0"/>
    <x v="2"/>
    <x v="121"/>
    <s v="Small Box"/>
    <n v="0.37"/>
    <d v="2012-08-31T00:00:00"/>
    <n v="0"/>
    <n v="0"/>
    <n v="1"/>
    <n v="1"/>
  </r>
  <r>
    <n v="1325"/>
    <n v="9668"/>
    <x v="706"/>
    <x v="35"/>
    <s v="Low"/>
    <n v="10"/>
    <n v="42.67"/>
    <n v="0.06"/>
    <s v="Regular Air"/>
    <n v="-12.719000000000001"/>
    <n v="4.18"/>
    <n v="2.99"/>
    <x v="192"/>
    <x v="3"/>
    <x v="3"/>
    <x v="0"/>
    <x v="0"/>
    <x v="2"/>
    <x v="841"/>
    <s v="Small Box"/>
    <n v="0.37"/>
    <d v="2009-09-08T00:00:00"/>
    <n v="0"/>
    <n v="0"/>
    <n v="1"/>
    <n v="1"/>
  </r>
  <r>
    <n v="1408"/>
    <n v="10242"/>
    <x v="611"/>
    <x v="15"/>
    <s v="Medium"/>
    <n v="32"/>
    <n v="690.88"/>
    <n v="0.08"/>
    <s v="Regular Air"/>
    <n v="119.25"/>
    <n v="22.98"/>
    <n v="7.58"/>
    <x v="197"/>
    <x v="3"/>
    <x v="3"/>
    <x v="3"/>
    <x v="2"/>
    <x v="4"/>
    <x v="619"/>
    <s v="Small Box"/>
    <n v="0.51"/>
    <d v="2010-12-13T00:00:00"/>
    <n v="0"/>
    <n v="0"/>
    <n v="1"/>
    <n v="0.16666666666666666"/>
  </r>
  <r>
    <n v="1711"/>
    <n v="12292"/>
    <x v="734"/>
    <x v="8"/>
    <s v="Not Specified"/>
    <n v="32"/>
    <n v="824.24"/>
    <n v="0.1"/>
    <s v="Regular Air"/>
    <n v="-127.23"/>
    <n v="26.31"/>
    <n v="5.89"/>
    <x v="196"/>
    <x v="3"/>
    <x v="3"/>
    <x v="1"/>
    <x v="1"/>
    <x v="7"/>
    <x v="295"/>
    <s v="Small Box"/>
    <n v="0.75"/>
    <d v="2012-06-02T00:00:00"/>
    <n v="0"/>
    <n v="0"/>
    <n v="1"/>
    <n v="1"/>
  </r>
  <r>
    <n v="2035"/>
    <n v="14503"/>
    <x v="735"/>
    <x v="44"/>
    <s v="Not Specified"/>
    <n v="14"/>
    <n v="438.47"/>
    <n v="0.02"/>
    <s v="Express Air"/>
    <n v="157.88749999999999"/>
    <n v="30.56"/>
    <n v="2.99"/>
    <x v="193"/>
    <x v="3"/>
    <x v="3"/>
    <x v="2"/>
    <x v="0"/>
    <x v="2"/>
    <x v="142"/>
    <s v="Small Box"/>
    <n v="0.35"/>
    <d v="2011-02-06T00:00:00"/>
    <n v="0"/>
    <n v="0"/>
    <n v="1"/>
    <n v="1"/>
  </r>
  <r>
    <n v="2118"/>
    <n v="15109"/>
    <x v="309"/>
    <x v="15"/>
    <s v="Not Specified"/>
    <n v="11"/>
    <n v="230.72"/>
    <n v="0.08"/>
    <s v="Regular Air"/>
    <n v="-68.760000000000005"/>
    <n v="20.95"/>
    <n v="5.99"/>
    <x v="197"/>
    <x v="3"/>
    <x v="3"/>
    <x v="3"/>
    <x v="1"/>
    <x v="7"/>
    <x v="124"/>
    <s v="Small Box"/>
    <n v="0.65"/>
    <d v="2010-12-17T00:00:00"/>
    <n v="0"/>
    <n v="0"/>
    <n v="0.2"/>
    <n v="0.16666666666666666"/>
  </r>
  <r>
    <n v="2119"/>
    <n v="15109"/>
    <x v="309"/>
    <x v="15"/>
    <s v="Not Specified"/>
    <n v="45"/>
    <n v="293.47000000000003"/>
    <n v="0.06"/>
    <s v="Regular Air"/>
    <n v="-205.38"/>
    <n v="6.48"/>
    <n v="8.4"/>
    <x v="197"/>
    <x v="3"/>
    <x v="3"/>
    <x v="3"/>
    <x v="0"/>
    <x v="5"/>
    <x v="836"/>
    <s v="Small Box"/>
    <n v="0.37"/>
    <d v="2010-12-16T00:00:00"/>
    <n v="0"/>
    <n v="0"/>
    <n v="0.2"/>
    <n v="0.16666666666666666"/>
  </r>
  <r>
    <n v="2120"/>
    <n v="15109"/>
    <x v="309"/>
    <x v="15"/>
    <s v="Not Specified"/>
    <n v="33"/>
    <n v="88.7"/>
    <n v="0.06"/>
    <s v="Regular Air"/>
    <n v="-89.13"/>
    <n v="2.52"/>
    <n v="4.28"/>
    <x v="197"/>
    <x v="3"/>
    <x v="3"/>
    <x v="3"/>
    <x v="0"/>
    <x v="12"/>
    <x v="842"/>
    <s v="Wrap Bag"/>
    <n v="0.44"/>
    <d v="2010-12-16T00:00:00"/>
    <n v="0"/>
    <n v="0"/>
    <n v="0.2"/>
    <n v="0.16666666666666666"/>
  </r>
  <r>
    <n v="2121"/>
    <n v="15109"/>
    <x v="309"/>
    <x v="15"/>
    <s v="Not Specified"/>
    <n v="23"/>
    <n v="262.77999999999997"/>
    <n v="0.04"/>
    <s v="Regular Air"/>
    <n v="19.36"/>
    <n v="10.98"/>
    <n v="3.37"/>
    <x v="197"/>
    <x v="3"/>
    <x v="3"/>
    <x v="3"/>
    <x v="0"/>
    <x v="15"/>
    <x v="340"/>
    <s v="Small Pack"/>
    <n v="0.56999999999999995"/>
    <d v="2010-12-15T00:00:00"/>
    <n v="0"/>
    <n v="0"/>
    <n v="0.2"/>
    <n v="0.16666666666666666"/>
  </r>
  <r>
    <n v="2122"/>
    <n v="15109"/>
    <x v="309"/>
    <x v="15"/>
    <s v="Not Specified"/>
    <n v="10"/>
    <n v="142.15"/>
    <n v="0.09"/>
    <s v="Regular Air"/>
    <n v="-58.18"/>
    <n v="14.03"/>
    <n v="9.3699999999999992"/>
    <x v="197"/>
    <x v="3"/>
    <x v="3"/>
    <x v="3"/>
    <x v="0"/>
    <x v="0"/>
    <x v="569"/>
    <s v="Small Box"/>
    <n v="0.56000000000000005"/>
    <d v="2010-12-16T00:00:00"/>
    <n v="0"/>
    <n v="0"/>
    <n v="0.2"/>
    <n v="0.16666666666666666"/>
  </r>
  <r>
    <n v="2126"/>
    <n v="15142"/>
    <x v="736"/>
    <x v="13"/>
    <s v="Not Specified"/>
    <n v="21"/>
    <n v="330.22"/>
    <n v="7.0000000000000007E-2"/>
    <s v="Regular Air"/>
    <n v="-51.715499999999999"/>
    <n v="15.28"/>
    <n v="10.91"/>
    <x v="186"/>
    <x v="3"/>
    <x v="3"/>
    <x v="2"/>
    <x v="0"/>
    <x v="2"/>
    <x v="419"/>
    <s v="Small Box"/>
    <n v="0.36"/>
    <d v="2012-04-06T00:00:00"/>
    <n v="0"/>
    <n v="0"/>
    <n v="1"/>
    <n v="1"/>
  </r>
  <r>
    <n v="2146"/>
    <n v="15332"/>
    <x v="737"/>
    <x v="39"/>
    <s v="Not Specified"/>
    <n v="6"/>
    <n v="321.70999999999998"/>
    <n v="0.1"/>
    <s v="Regular Air"/>
    <n v="-2.7254999999999887"/>
    <n v="52.4"/>
    <n v="16.11"/>
    <x v="197"/>
    <x v="3"/>
    <x v="3"/>
    <x v="3"/>
    <x v="0"/>
    <x v="2"/>
    <x v="843"/>
    <s v="Small Box"/>
    <n v="0.39"/>
    <d v="2010-06-01T00:00:00"/>
    <n v="0"/>
    <n v="0"/>
    <n v="1"/>
    <n v="1"/>
  </r>
  <r>
    <n v="2199"/>
    <n v="15872"/>
    <x v="365"/>
    <x v="1"/>
    <s v="Not Specified"/>
    <n v="48"/>
    <n v="5198.12"/>
    <n v="0.01"/>
    <s v="Delivery Truck"/>
    <n v="1481.67"/>
    <n v="100.98"/>
    <n v="15.66"/>
    <x v="190"/>
    <x v="3"/>
    <x v="3"/>
    <x v="2"/>
    <x v="0"/>
    <x v="1"/>
    <x v="822"/>
    <s v="Jumbo Drum"/>
    <n v="0.56999999999999995"/>
    <d v="2012-10-30T00:00:00"/>
    <n v="0"/>
    <n v="0"/>
    <n v="0.33333333333333331"/>
    <n v="0.33333333333333331"/>
  </r>
  <r>
    <n v="2200"/>
    <n v="15872"/>
    <x v="365"/>
    <x v="1"/>
    <s v="Not Specified"/>
    <n v="23"/>
    <n v="188.53"/>
    <n v="0"/>
    <s v="Regular Air"/>
    <n v="-27.49"/>
    <n v="7.35"/>
    <n v="5.96"/>
    <x v="190"/>
    <x v="3"/>
    <x v="3"/>
    <x v="2"/>
    <x v="0"/>
    <x v="5"/>
    <x v="844"/>
    <s v="Small Box"/>
    <n v="0.38"/>
    <d v="2012-11-01T00:00:00"/>
    <n v="0"/>
    <n v="0"/>
    <n v="0.33333333333333331"/>
    <n v="0.33333333333333331"/>
  </r>
  <r>
    <n v="2201"/>
    <n v="15872"/>
    <x v="365"/>
    <x v="1"/>
    <s v="Not Specified"/>
    <n v="19"/>
    <n v="718.41"/>
    <n v="0.1"/>
    <s v="Regular Air"/>
    <n v="23.94"/>
    <n v="40.99"/>
    <n v="17.48"/>
    <x v="190"/>
    <x v="3"/>
    <x v="3"/>
    <x v="2"/>
    <x v="0"/>
    <x v="5"/>
    <x v="129"/>
    <s v="Small Box"/>
    <n v="0.36"/>
    <d v="2012-10-31T00:00:00"/>
    <n v="0"/>
    <n v="0"/>
    <n v="0.33333333333333331"/>
    <n v="0.33333333333333331"/>
  </r>
  <r>
    <n v="2216"/>
    <n v="16032"/>
    <x v="738"/>
    <x v="47"/>
    <s v="Low"/>
    <n v="35"/>
    <n v="436.98"/>
    <n v="7.0000000000000007E-2"/>
    <s v="Regular Air"/>
    <n v="75.61"/>
    <n v="12.64"/>
    <n v="4.9800000000000004"/>
    <x v="198"/>
    <x v="3"/>
    <x v="3"/>
    <x v="3"/>
    <x v="2"/>
    <x v="4"/>
    <x v="774"/>
    <s v="Small Pack"/>
    <n v="0.48"/>
    <d v="2009-12-12T00:00:00"/>
    <n v="0"/>
    <n v="0"/>
    <n v="1"/>
    <n v="1"/>
  </r>
  <r>
    <n v="2242"/>
    <n v="16165"/>
    <x v="517"/>
    <x v="42"/>
    <s v="Not Specified"/>
    <n v="4"/>
    <n v="136.68"/>
    <n v="0.01"/>
    <s v="Express Air"/>
    <n v="-125.16"/>
    <n v="30.73"/>
    <n v="4"/>
    <x v="187"/>
    <x v="3"/>
    <x v="3"/>
    <x v="0"/>
    <x v="1"/>
    <x v="7"/>
    <x v="161"/>
    <s v="Small Box"/>
    <n v="0.75"/>
    <d v="2010-07-24T00:00:00"/>
    <n v="0"/>
    <n v="0"/>
    <n v="0.33333333333333331"/>
    <n v="0.2"/>
  </r>
  <r>
    <n v="2243"/>
    <n v="16165"/>
    <x v="517"/>
    <x v="42"/>
    <s v="Not Specified"/>
    <n v="24"/>
    <n v="1452.48"/>
    <n v="7.0000000000000007E-2"/>
    <s v="Express Air"/>
    <n v="376.52"/>
    <n v="62.18"/>
    <n v="10.84"/>
    <x v="187"/>
    <x v="3"/>
    <x v="3"/>
    <x v="0"/>
    <x v="2"/>
    <x v="4"/>
    <x v="845"/>
    <s v="Medium Box"/>
    <n v="0.63"/>
    <d v="2010-07-23T00:00:00"/>
    <n v="0"/>
    <n v="0"/>
    <n v="0.33333333333333331"/>
    <n v="0.2"/>
  </r>
  <r>
    <n v="2244"/>
    <n v="16165"/>
    <x v="517"/>
    <x v="42"/>
    <s v="Not Specified"/>
    <n v="19"/>
    <n v="3555.29"/>
    <n v="0.09"/>
    <s v="Express Air"/>
    <n v="183.28"/>
    <n v="193.17"/>
    <n v="19.989999999999998"/>
    <x v="187"/>
    <x v="3"/>
    <x v="3"/>
    <x v="0"/>
    <x v="0"/>
    <x v="0"/>
    <x v="219"/>
    <s v="Small Box"/>
    <n v="0.71"/>
    <d v="2010-07-22T00:00:00"/>
    <n v="0"/>
    <n v="0"/>
    <n v="0.33333333333333331"/>
    <n v="0.2"/>
  </r>
  <r>
    <n v="2426"/>
    <n v="17632"/>
    <x v="153"/>
    <x v="6"/>
    <s v="Medium"/>
    <n v="38"/>
    <n v="71.12"/>
    <n v="0.1"/>
    <s v="Regular Air"/>
    <n v="-21.89"/>
    <n v="1.98"/>
    <n v="0.7"/>
    <x v="188"/>
    <x v="3"/>
    <x v="3"/>
    <x v="2"/>
    <x v="0"/>
    <x v="6"/>
    <x v="846"/>
    <s v="Wrap Bag"/>
    <n v="0.83"/>
    <d v="2010-02-22T00:00:00"/>
    <n v="0"/>
    <n v="0"/>
    <n v="1"/>
    <n v="1"/>
  </r>
  <r>
    <n v="2691"/>
    <n v="19492"/>
    <x v="611"/>
    <x v="15"/>
    <s v="High"/>
    <n v="9"/>
    <n v="691.09"/>
    <n v="0.08"/>
    <s v="Regular Air"/>
    <n v="364.03"/>
    <n v="78.69"/>
    <n v="19.989999999999998"/>
    <x v="199"/>
    <x v="3"/>
    <x v="3"/>
    <x v="0"/>
    <x v="2"/>
    <x v="4"/>
    <x v="618"/>
    <s v="Small Box"/>
    <n v="0.43"/>
    <d v="2010-12-14T00:00:00"/>
    <n v="0"/>
    <n v="0"/>
    <n v="0.5"/>
    <n v="0.5"/>
  </r>
  <r>
    <n v="2692"/>
    <n v="19492"/>
    <x v="611"/>
    <x v="15"/>
    <s v="High"/>
    <n v="33"/>
    <n v="713.7"/>
    <n v="0.02"/>
    <s v="Regular Air"/>
    <n v="176.09"/>
    <n v="21.98"/>
    <n v="2.87"/>
    <x v="199"/>
    <x v="3"/>
    <x v="3"/>
    <x v="0"/>
    <x v="0"/>
    <x v="12"/>
    <x v="363"/>
    <s v="Small Pack"/>
    <n v="0.55000000000000004"/>
    <d v="2010-12-13T00:00:00"/>
    <n v="0"/>
    <n v="0"/>
    <n v="0.5"/>
    <n v="0.5"/>
  </r>
  <r>
    <n v="2786"/>
    <n v="20102"/>
    <x v="739"/>
    <x v="4"/>
    <s v="High"/>
    <n v="15"/>
    <n v="333.3"/>
    <n v="0.03"/>
    <s v="Regular Air"/>
    <n v="71.040000000000006"/>
    <n v="22.24"/>
    <n v="1.99"/>
    <x v="192"/>
    <x v="3"/>
    <x v="3"/>
    <x v="0"/>
    <x v="1"/>
    <x v="7"/>
    <x v="847"/>
    <s v="Small Pack"/>
    <n v="0.43"/>
    <d v="2011-06-06T00:00:00"/>
    <n v="0"/>
    <n v="0"/>
    <n v="1"/>
    <n v="1"/>
  </r>
  <r>
    <n v="3050"/>
    <n v="21863"/>
    <x v="435"/>
    <x v="7"/>
    <s v="Not Specified"/>
    <n v="27"/>
    <n v="85.77"/>
    <n v="0.03"/>
    <s v="Regular Air"/>
    <n v="-102.01649999999999"/>
    <n v="2.84"/>
    <n v="5.44"/>
    <x v="192"/>
    <x v="3"/>
    <x v="3"/>
    <x v="0"/>
    <x v="0"/>
    <x v="2"/>
    <x v="848"/>
    <s v="Small Box"/>
    <n v="0.36"/>
    <d v="2010-11-22T00:00:00"/>
    <n v="0"/>
    <n v="0"/>
    <n v="0.5"/>
    <n v="0.25"/>
  </r>
  <r>
    <n v="3051"/>
    <n v="21863"/>
    <x v="435"/>
    <x v="7"/>
    <s v="Not Specified"/>
    <n v="13"/>
    <n v="149.31"/>
    <n v="0"/>
    <s v="Regular Air"/>
    <n v="7.7690000000000001"/>
    <n v="10.98"/>
    <n v="5.14"/>
    <x v="192"/>
    <x v="3"/>
    <x v="3"/>
    <x v="0"/>
    <x v="0"/>
    <x v="2"/>
    <x v="508"/>
    <s v="Small Box"/>
    <n v="0.36"/>
    <d v="2010-11-22T00:00:00"/>
    <n v="0"/>
    <n v="0"/>
    <n v="0.5"/>
    <n v="0.25"/>
  </r>
  <r>
    <n v="3058"/>
    <n v="21894"/>
    <x v="388"/>
    <x v="25"/>
    <s v="Critical"/>
    <n v="6"/>
    <n v="54.3"/>
    <n v="0.1"/>
    <s v="Regular Air"/>
    <n v="1.27"/>
    <n v="9.68"/>
    <n v="2.0299999999999998"/>
    <x v="200"/>
    <x v="3"/>
    <x v="3"/>
    <x v="1"/>
    <x v="0"/>
    <x v="5"/>
    <x v="849"/>
    <s v="Wrap Bag"/>
    <n v="0.37"/>
    <d v="2011-12-20T00:00:00"/>
    <n v="0"/>
    <n v="0"/>
    <n v="1"/>
    <n v="1"/>
  </r>
  <r>
    <n v="3072"/>
    <n v="22022"/>
    <x v="434"/>
    <x v="24"/>
    <s v="Critical"/>
    <n v="1"/>
    <n v="1409.86"/>
    <n v="7.0000000000000007E-2"/>
    <s v="Delivery Truck"/>
    <n v="-3461.1210000000001"/>
    <n v="1500.97"/>
    <n v="29.7"/>
    <x v="187"/>
    <x v="3"/>
    <x v="3"/>
    <x v="0"/>
    <x v="1"/>
    <x v="16"/>
    <x v="200"/>
    <s v="Jumbo Drum"/>
    <n v="0.56999999999999995"/>
    <d v="2010-04-04T00:00:00"/>
    <n v="0"/>
    <n v="0"/>
    <n v="1"/>
    <n v="1"/>
  </r>
  <r>
    <n v="3159"/>
    <n v="22663"/>
    <x v="268"/>
    <x v="23"/>
    <s v="Low"/>
    <n v="35"/>
    <n v="9843.11"/>
    <n v="7.0000000000000007E-2"/>
    <s v="Delivery Truck"/>
    <n v="-384.6"/>
    <n v="280.98"/>
    <n v="57"/>
    <x v="197"/>
    <x v="3"/>
    <x v="3"/>
    <x v="2"/>
    <x v="2"/>
    <x v="14"/>
    <x v="544"/>
    <s v="Jumbo Drum"/>
    <n v="0.78"/>
    <d v="2012-01-11T00:00:00"/>
    <n v="0"/>
    <n v="0"/>
    <n v="0.5"/>
    <n v="0.14285714285714285"/>
  </r>
  <r>
    <n v="3160"/>
    <n v="22663"/>
    <x v="268"/>
    <x v="23"/>
    <s v="Low"/>
    <n v="15"/>
    <n v="7190.06"/>
    <n v="0.08"/>
    <s v="Delivery Truck"/>
    <n v="1908.45"/>
    <n v="500.98"/>
    <n v="28.14"/>
    <x v="197"/>
    <x v="3"/>
    <x v="3"/>
    <x v="2"/>
    <x v="1"/>
    <x v="16"/>
    <x v="780"/>
    <s v="Jumbo Drum"/>
    <n v="0.38"/>
    <d v="2012-01-16T00:00:00"/>
    <n v="0"/>
    <n v="0"/>
    <n v="0.5"/>
    <n v="0.14285714285714285"/>
  </r>
  <r>
    <n v="3317"/>
    <n v="23713"/>
    <x v="740"/>
    <x v="32"/>
    <s v="Not Specified"/>
    <n v="38"/>
    <n v="3701.5204999999996"/>
    <n v="0.05"/>
    <s v="Regular Air"/>
    <n v="894.06"/>
    <n v="115.99"/>
    <n v="5.92"/>
    <x v="200"/>
    <x v="3"/>
    <x v="3"/>
    <x v="1"/>
    <x v="1"/>
    <x v="3"/>
    <x v="757"/>
    <s v="Small Box"/>
    <n v="0.57999999999999996"/>
    <d v="2012-12-01T00:00:00"/>
    <n v="0"/>
    <n v="0"/>
    <n v="1"/>
    <n v="1"/>
  </r>
  <r>
    <n v="3411"/>
    <n v="24358"/>
    <x v="741"/>
    <x v="43"/>
    <s v="Critical"/>
    <n v="27"/>
    <n v="7333.45"/>
    <n v="7.0000000000000007E-2"/>
    <s v="Regular Air"/>
    <n v="-207.28"/>
    <n v="279.48"/>
    <n v="35"/>
    <x v="192"/>
    <x v="3"/>
    <x v="3"/>
    <x v="0"/>
    <x v="0"/>
    <x v="0"/>
    <x v="80"/>
    <s v="Large Box"/>
    <n v="0.8"/>
    <d v="2009-05-16T00:00:00"/>
    <n v="0"/>
    <n v="0"/>
    <n v="1"/>
    <n v="1"/>
  </r>
  <r>
    <n v="3415"/>
    <n v="24386"/>
    <x v="253"/>
    <x v="8"/>
    <s v="High"/>
    <n v="41"/>
    <n v="4256.51"/>
    <n v="0.03"/>
    <s v="Regular Air"/>
    <n v="1653.96"/>
    <n v="100.97"/>
    <n v="7.18"/>
    <x v="193"/>
    <x v="3"/>
    <x v="3"/>
    <x v="2"/>
    <x v="1"/>
    <x v="7"/>
    <x v="824"/>
    <s v="Small Box"/>
    <n v="0.46"/>
    <d v="2012-06-28T00:00:00"/>
    <n v="0"/>
    <n v="0"/>
    <n v="0.33333333333333331"/>
    <n v="0.33333333333333331"/>
  </r>
  <r>
    <n v="3416"/>
    <n v="24386"/>
    <x v="253"/>
    <x v="8"/>
    <s v="High"/>
    <n v="12"/>
    <n v="503.08"/>
    <n v="0.01"/>
    <s v="Regular Air"/>
    <n v="-102.74"/>
    <n v="40.98"/>
    <n v="6.5"/>
    <x v="193"/>
    <x v="3"/>
    <x v="3"/>
    <x v="2"/>
    <x v="1"/>
    <x v="7"/>
    <x v="850"/>
    <s v="Small Box"/>
    <n v="0.74"/>
    <d v="2012-06-28T00:00:00"/>
    <n v="0"/>
    <n v="0"/>
    <n v="0.33333333333333331"/>
    <n v="0.33333333333333331"/>
  </r>
  <r>
    <n v="3417"/>
    <n v="24386"/>
    <x v="253"/>
    <x v="8"/>
    <s v="High"/>
    <n v="15"/>
    <n v="76.94"/>
    <n v="0"/>
    <s v="Express Air"/>
    <n v="29.67"/>
    <n v="4.13"/>
    <n v="0.99"/>
    <x v="193"/>
    <x v="3"/>
    <x v="3"/>
    <x v="2"/>
    <x v="0"/>
    <x v="11"/>
    <x v="367"/>
    <s v="Small Box"/>
    <n v="0.39"/>
    <d v="2012-06-27T00:00:00"/>
    <n v="0"/>
    <n v="0"/>
    <n v="0.33333333333333331"/>
    <n v="0.33333333333333331"/>
  </r>
  <r>
    <n v="3494"/>
    <n v="24899"/>
    <x v="742"/>
    <x v="21"/>
    <s v="Not Specified"/>
    <n v="37"/>
    <n v="252.99"/>
    <n v="0.08"/>
    <s v="Regular Air"/>
    <n v="28.76"/>
    <n v="7.08"/>
    <n v="2.35"/>
    <x v="197"/>
    <x v="3"/>
    <x v="3"/>
    <x v="3"/>
    <x v="0"/>
    <x v="12"/>
    <x v="174"/>
    <s v="Wrap Bag"/>
    <n v="0.47"/>
    <d v="2011-08-22T00:00:00"/>
    <n v="0"/>
    <n v="0"/>
    <n v="1"/>
    <n v="0.5"/>
  </r>
  <r>
    <n v="3571"/>
    <n v="25473"/>
    <x v="743"/>
    <x v="1"/>
    <s v="High"/>
    <n v="36"/>
    <n v="17304.849999999999"/>
    <n v="0.05"/>
    <s v="Delivery Truck"/>
    <n v="7434.48"/>
    <n v="500.98"/>
    <n v="28.14"/>
    <x v="195"/>
    <x v="3"/>
    <x v="3"/>
    <x v="2"/>
    <x v="1"/>
    <x v="16"/>
    <x v="780"/>
    <s v="Jumbo Drum"/>
    <n v="0.38"/>
    <d v="2012-10-16T00:00:00"/>
    <n v="0"/>
    <n v="0"/>
    <n v="0.5"/>
    <n v="0.5"/>
  </r>
  <r>
    <n v="3572"/>
    <n v="25473"/>
    <x v="743"/>
    <x v="1"/>
    <s v="High"/>
    <n v="20"/>
    <n v="794.32"/>
    <n v="0.08"/>
    <s v="Regular Air"/>
    <n v="67.61"/>
    <n v="40.99"/>
    <n v="17.48"/>
    <x v="195"/>
    <x v="3"/>
    <x v="3"/>
    <x v="2"/>
    <x v="0"/>
    <x v="5"/>
    <x v="129"/>
    <s v="Small Box"/>
    <n v="0.36"/>
    <d v="2012-10-17T00:00:00"/>
    <n v="0"/>
    <n v="0"/>
    <n v="0.5"/>
    <n v="0.5"/>
  </r>
  <r>
    <n v="3596"/>
    <n v="25638"/>
    <x v="465"/>
    <x v="26"/>
    <s v="High"/>
    <n v="31"/>
    <n v="163.89"/>
    <n v="0.02"/>
    <s v="Regular Air"/>
    <n v="-108.55"/>
    <n v="4.8899999999999997"/>
    <n v="4.93"/>
    <x v="201"/>
    <x v="3"/>
    <x v="3"/>
    <x v="2"/>
    <x v="1"/>
    <x v="7"/>
    <x v="23"/>
    <s v="Small Pack"/>
    <n v="0.66"/>
    <d v="2009-08-07T00:00:00"/>
    <n v="0"/>
    <n v="0"/>
    <n v="0.5"/>
    <n v="0.5"/>
  </r>
  <r>
    <n v="3597"/>
    <n v="25638"/>
    <x v="465"/>
    <x v="26"/>
    <s v="High"/>
    <n v="12"/>
    <n v="115.45"/>
    <n v="7.0000000000000007E-2"/>
    <s v="Regular Air"/>
    <n v="23.53"/>
    <n v="10.06"/>
    <n v="2.06"/>
    <x v="201"/>
    <x v="3"/>
    <x v="3"/>
    <x v="2"/>
    <x v="0"/>
    <x v="5"/>
    <x v="456"/>
    <s v="Wrap Bag"/>
    <n v="0.39"/>
    <d v="2009-08-07T00:00:00"/>
    <n v="0"/>
    <n v="0"/>
    <n v="0.5"/>
    <n v="0.5"/>
  </r>
  <r>
    <n v="3638"/>
    <n v="26016"/>
    <x v="637"/>
    <x v="19"/>
    <s v="High"/>
    <n v="2"/>
    <n v="154.94"/>
    <n v="0.09"/>
    <s v="Regular Air"/>
    <n v="-358.43"/>
    <n v="77.510000000000005"/>
    <n v="4"/>
    <x v="196"/>
    <x v="3"/>
    <x v="3"/>
    <x v="1"/>
    <x v="1"/>
    <x v="7"/>
    <x v="851"/>
    <s v="Small Box"/>
    <n v="0.76"/>
    <d v="2009-10-09T00:00:00"/>
    <n v="0"/>
    <n v="0"/>
    <n v="0.5"/>
    <n v="0.5"/>
  </r>
  <r>
    <n v="3639"/>
    <n v="26016"/>
    <x v="637"/>
    <x v="19"/>
    <s v="High"/>
    <n v="44"/>
    <n v="1642.6420000000001"/>
    <n v="0.08"/>
    <s v="Express Air"/>
    <n v="314.83799999999997"/>
    <n v="45.99"/>
    <n v="4.99"/>
    <x v="196"/>
    <x v="3"/>
    <x v="3"/>
    <x v="1"/>
    <x v="1"/>
    <x v="3"/>
    <x v="482"/>
    <s v="Small Box"/>
    <n v="0.56000000000000005"/>
    <d v="2009-10-09T00:00:00"/>
    <n v="0"/>
    <n v="0"/>
    <n v="0.5"/>
    <n v="0.5"/>
  </r>
  <r>
    <n v="3659"/>
    <n v="26182"/>
    <x v="150"/>
    <x v="38"/>
    <s v="Not Specified"/>
    <n v="4"/>
    <n v="770.76"/>
    <n v="0.08"/>
    <s v="Delivery Truck"/>
    <n v="-192.51"/>
    <n v="200.98"/>
    <n v="23.76"/>
    <x v="40"/>
    <x v="6"/>
    <x v="5"/>
    <x v="2"/>
    <x v="2"/>
    <x v="14"/>
    <x v="316"/>
    <s v="Jumbo Drum"/>
    <n v="0.57999999999999996"/>
    <d v="2010-01-16T00:00:00"/>
    <n v="1"/>
    <n v="0"/>
    <n v="0.5"/>
    <n v="0.5"/>
  </r>
  <r>
    <n v="3735"/>
    <n v="26691"/>
    <x v="704"/>
    <x v="9"/>
    <s v="Not Specified"/>
    <n v="37"/>
    <n v="270.43"/>
    <n v="7.0000000000000007E-2"/>
    <s v="Regular Air"/>
    <n v="-83.156500000000008"/>
    <n v="7.68"/>
    <n v="6.16"/>
    <x v="188"/>
    <x v="6"/>
    <x v="5"/>
    <x v="2"/>
    <x v="0"/>
    <x v="2"/>
    <x v="669"/>
    <s v="Small Box"/>
    <n v="0.35"/>
    <d v="2012-08-04T00:00:00"/>
    <n v="0"/>
    <n v="0"/>
    <n v="1"/>
    <n v="0.5"/>
  </r>
  <r>
    <n v="3793"/>
    <n v="27015"/>
    <x v="37"/>
    <x v="25"/>
    <s v="Low"/>
    <n v="24"/>
    <n v="1339.25"/>
    <n v="0.03"/>
    <s v="Regular Air"/>
    <n v="142.51"/>
    <n v="56.96"/>
    <n v="13.22"/>
    <x v="197"/>
    <x v="6"/>
    <x v="5"/>
    <x v="3"/>
    <x v="0"/>
    <x v="1"/>
    <x v="407"/>
    <s v="Small Box"/>
    <n v="0.56000000000000005"/>
    <d v="2011-12-31T00:00:00"/>
    <n v="0"/>
    <n v="0"/>
    <n v="1"/>
    <n v="0.33333333333333331"/>
  </r>
  <r>
    <n v="3902"/>
    <n v="27840"/>
    <x v="346"/>
    <x v="36"/>
    <s v="High"/>
    <n v="8"/>
    <n v="1209.3699999999999"/>
    <n v="0.09"/>
    <s v="Delivery Truck"/>
    <n v="-407.85"/>
    <n v="150.97999999999999"/>
    <n v="66.27"/>
    <x v="197"/>
    <x v="6"/>
    <x v="5"/>
    <x v="3"/>
    <x v="2"/>
    <x v="9"/>
    <x v="207"/>
    <s v="Jumbo Box"/>
    <n v="0.65"/>
    <d v="2009-07-04T00:00:00"/>
    <n v="0"/>
    <n v="0"/>
    <n v="1"/>
    <n v="1"/>
  </r>
  <r>
    <n v="3945"/>
    <n v="28130"/>
    <x v="744"/>
    <x v="36"/>
    <s v="Low"/>
    <n v="23"/>
    <n v="404.24"/>
    <n v="0.02"/>
    <s v="Express Air"/>
    <n v="-76.992500000000007"/>
    <n v="15.99"/>
    <n v="13.18"/>
    <x v="194"/>
    <x v="6"/>
    <x v="5"/>
    <x v="2"/>
    <x v="0"/>
    <x v="2"/>
    <x v="22"/>
    <s v="Small Box"/>
    <n v="0.37"/>
    <d v="2009-08-03T00:00:00"/>
    <n v="0"/>
    <n v="0"/>
    <n v="0.5"/>
    <n v="0.5"/>
  </r>
  <r>
    <n v="3946"/>
    <n v="28130"/>
    <x v="744"/>
    <x v="36"/>
    <s v="Low"/>
    <n v="32"/>
    <n v="1381.88"/>
    <n v="0.09"/>
    <s v="Express Air"/>
    <n v="598.20000000000005"/>
    <n v="46.94"/>
    <n v="6.77"/>
    <x v="194"/>
    <x v="6"/>
    <x v="5"/>
    <x v="2"/>
    <x v="2"/>
    <x v="4"/>
    <x v="852"/>
    <s v="Small Box"/>
    <n v="0.44"/>
    <d v="2009-07-30T00:00:00"/>
    <n v="0"/>
    <n v="0"/>
    <n v="0.5"/>
    <n v="0.5"/>
  </r>
  <r>
    <n v="3964"/>
    <n v="28290"/>
    <x v="651"/>
    <x v="22"/>
    <s v="Low"/>
    <n v="43"/>
    <n v="1307.3499999999999"/>
    <n v="0.05"/>
    <s v="Express Air"/>
    <n v="-154.24"/>
    <n v="30.42"/>
    <n v="8.65"/>
    <x v="197"/>
    <x v="6"/>
    <x v="5"/>
    <x v="3"/>
    <x v="1"/>
    <x v="7"/>
    <x v="251"/>
    <s v="Small Box"/>
    <n v="0.74"/>
    <d v="2009-01-14T00:00:00"/>
    <n v="0"/>
    <n v="1"/>
    <n v="0.5"/>
    <n v="0.5"/>
  </r>
  <r>
    <n v="3965"/>
    <n v="28290"/>
    <x v="651"/>
    <x v="22"/>
    <s v="Low"/>
    <n v="3"/>
    <n v="523.58000000000004"/>
    <n v="0.01"/>
    <s v="Express Air"/>
    <n v="-179.36"/>
    <n v="161.55000000000001"/>
    <n v="19.989999999999998"/>
    <x v="197"/>
    <x v="6"/>
    <x v="5"/>
    <x v="3"/>
    <x v="0"/>
    <x v="0"/>
    <x v="533"/>
    <s v="Small Box"/>
    <n v="0.66"/>
    <d v="2009-01-12T00:00:00"/>
    <n v="0"/>
    <n v="1"/>
    <n v="0.5"/>
    <n v="0.5"/>
  </r>
  <r>
    <n v="4211"/>
    <n v="29927"/>
    <x v="655"/>
    <x v="32"/>
    <s v="High"/>
    <n v="19"/>
    <n v="257.97000000000003"/>
    <n v="0.03"/>
    <s v="Regular Air"/>
    <n v="33.1755"/>
    <n v="12.95"/>
    <n v="4.9800000000000004"/>
    <x v="193"/>
    <x v="6"/>
    <x v="5"/>
    <x v="2"/>
    <x v="0"/>
    <x v="2"/>
    <x v="169"/>
    <s v="Small Box"/>
    <n v="0.4"/>
    <d v="2012-11-08T00:00:00"/>
    <n v="0"/>
    <n v="0"/>
    <n v="1"/>
    <n v="1"/>
  </r>
  <r>
    <n v="4212"/>
    <n v="29953"/>
    <x v="745"/>
    <x v="44"/>
    <s v="Critical"/>
    <n v="42"/>
    <n v="619.77"/>
    <n v="0.02"/>
    <s v="Regular Air"/>
    <n v="50.243499999999997"/>
    <n v="14.45"/>
    <n v="7.17"/>
    <x v="198"/>
    <x v="6"/>
    <x v="5"/>
    <x v="3"/>
    <x v="0"/>
    <x v="2"/>
    <x v="853"/>
    <s v="Small Box"/>
    <n v="0.38"/>
    <d v="2011-02-10T00:00:00"/>
    <n v="0"/>
    <n v="0"/>
    <n v="1"/>
    <n v="1"/>
  </r>
  <r>
    <n v="4387"/>
    <n v="31238"/>
    <x v="618"/>
    <x v="3"/>
    <s v="Medium"/>
    <n v="21"/>
    <n v="7512.03"/>
    <n v="0.09"/>
    <s v="Express Air"/>
    <n v="2017.64"/>
    <n v="363.25"/>
    <n v="19.989999999999998"/>
    <x v="202"/>
    <x v="6"/>
    <x v="5"/>
    <x v="2"/>
    <x v="0"/>
    <x v="1"/>
    <x v="445"/>
    <s v="Small Box"/>
    <n v="0.56999999999999995"/>
    <d v="2010-08-24T00:00:00"/>
    <n v="0"/>
    <n v="0"/>
    <n v="1"/>
    <n v="1"/>
  </r>
  <r>
    <n v="4505"/>
    <n v="32067"/>
    <x v="133"/>
    <x v="33"/>
    <s v="High"/>
    <n v="27"/>
    <n v="2853.8834999999999"/>
    <n v="0.06"/>
    <s v="Regular Air"/>
    <n v="492.23699999999997"/>
    <n v="125.99"/>
    <n v="7.69"/>
    <x v="92"/>
    <x v="6"/>
    <x v="5"/>
    <x v="0"/>
    <x v="1"/>
    <x v="3"/>
    <x v="44"/>
    <s v="Small Box"/>
    <n v="0.57999999999999996"/>
    <d v="2012-03-13T00:00:00"/>
    <n v="0"/>
    <n v="0"/>
    <n v="1"/>
    <n v="1"/>
  </r>
  <r>
    <n v="4527"/>
    <n v="32198"/>
    <x v="441"/>
    <x v="27"/>
    <s v="Medium"/>
    <n v="31"/>
    <n v="240.63"/>
    <n v="0.02"/>
    <s v="Regular Air"/>
    <n v="-117.92"/>
    <n v="7.37"/>
    <n v="5.53"/>
    <x v="202"/>
    <x v="6"/>
    <x v="5"/>
    <x v="1"/>
    <x v="1"/>
    <x v="7"/>
    <x v="827"/>
    <s v="Small Pack"/>
    <n v="0.69"/>
    <d v="2011-11-09T00:00:00"/>
    <n v="0"/>
    <n v="0"/>
    <n v="1"/>
    <n v="0.5"/>
  </r>
  <r>
    <n v="4535"/>
    <n v="32231"/>
    <x v="279"/>
    <x v="32"/>
    <s v="Low"/>
    <n v="44"/>
    <n v="192.33"/>
    <n v="0.01"/>
    <s v="Regular Air"/>
    <n v="48.54"/>
    <n v="4.26"/>
    <n v="1.2"/>
    <x v="196"/>
    <x v="6"/>
    <x v="5"/>
    <x v="1"/>
    <x v="0"/>
    <x v="12"/>
    <x v="678"/>
    <s v="Wrap Bag"/>
    <n v="0.44"/>
    <d v="2012-11-05T00:00:00"/>
    <n v="0"/>
    <n v="0"/>
    <n v="1"/>
    <n v="1"/>
  </r>
  <r>
    <n v="4563"/>
    <n v="32452"/>
    <x v="514"/>
    <x v="2"/>
    <s v="Medium"/>
    <n v="3"/>
    <n v="8.6"/>
    <n v="0.09"/>
    <s v="Regular Air"/>
    <n v="-2.0299999999999998"/>
    <n v="2.88"/>
    <n v="0.5"/>
    <x v="202"/>
    <x v="6"/>
    <x v="5"/>
    <x v="1"/>
    <x v="0"/>
    <x v="11"/>
    <x v="210"/>
    <s v="Small Box"/>
    <n v="0.39"/>
    <d v="2011-07-19T00:00:00"/>
    <n v="0"/>
    <n v="0"/>
    <n v="1"/>
    <n v="1"/>
  </r>
  <r>
    <n v="4637"/>
    <n v="32998"/>
    <x v="361"/>
    <x v="18"/>
    <s v="Not Specified"/>
    <n v="13"/>
    <n v="1663.83"/>
    <n v="0.1"/>
    <s v="Delivery Truck"/>
    <n v="-484.64"/>
    <n v="130.97999999999999"/>
    <n v="54.74"/>
    <x v="194"/>
    <x v="6"/>
    <x v="5"/>
    <x v="2"/>
    <x v="2"/>
    <x v="9"/>
    <x v="631"/>
    <s v="Jumbo Box"/>
    <n v="0.69"/>
    <d v="2010-09-30T00:00:00"/>
    <n v="0"/>
    <n v="0"/>
    <n v="1"/>
    <n v="1"/>
  </r>
  <r>
    <n v="4647"/>
    <n v="33091"/>
    <x v="746"/>
    <x v="16"/>
    <s v="High"/>
    <n v="24"/>
    <n v="265.35000000000002"/>
    <n v="0.02"/>
    <s v="Regular Air"/>
    <n v="-128.69"/>
    <n v="9.99"/>
    <n v="11.59"/>
    <x v="189"/>
    <x v="6"/>
    <x v="5"/>
    <x v="3"/>
    <x v="0"/>
    <x v="5"/>
    <x v="545"/>
    <s v="Small Box"/>
    <n v="0.4"/>
    <d v="2011-01-27T00:00:00"/>
    <n v="0"/>
    <n v="0"/>
    <n v="1"/>
    <n v="1"/>
  </r>
  <r>
    <n v="4672"/>
    <n v="33250"/>
    <x v="615"/>
    <x v="41"/>
    <s v="Not Specified"/>
    <n v="40"/>
    <n v="7381.19"/>
    <n v="0.04"/>
    <s v="Regular Air"/>
    <n v="2998.88"/>
    <n v="177.98"/>
    <n v="0.99"/>
    <x v="194"/>
    <x v="6"/>
    <x v="5"/>
    <x v="2"/>
    <x v="0"/>
    <x v="1"/>
    <x v="264"/>
    <s v="Small Box"/>
    <n v="0.56000000000000005"/>
    <d v="2009-06-27T00:00:00"/>
    <n v="0"/>
    <n v="0"/>
    <n v="1"/>
    <n v="1"/>
  </r>
  <r>
    <n v="4689"/>
    <n v="33378"/>
    <x v="196"/>
    <x v="13"/>
    <s v="High"/>
    <n v="25"/>
    <n v="945.36"/>
    <n v="0.1"/>
    <s v="Regular Air"/>
    <n v="219.85"/>
    <n v="39.979999999999997"/>
    <n v="9.83"/>
    <x v="202"/>
    <x v="6"/>
    <x v="5"/>
    <x v="1"/>
    <x v="0"/>
    <x v="8"/>
    <x v="854"/>
    <s v="Small Box"/>
    <n v="0.4"/>
    <d v="2012-04-28T00:00:00"/>
    <n v="0"/>
    <n v="0"/>
    <n v="1"/>
    <n v="1"/>
  </r>
  <r>
    <n v="4766"/>
    <n v="33889"/>
    <x v="747"/>
    <x v="7"/>
    <s v="Low"/>
    <n v="46"/>
    <n v="9046.33"/>
    <n v="0"/>
    <s v="Delivery Truck"/>
    <n v="1398.03"/>
    <n v="180.98"/>
    <n v="55.24"/>
    <x v="92"/>
    <x v="6"/>
    <x v="5"/>
    <x v="0"/>
    <x v="0"/>
    <x v="1"/>
    <x v="414"/>
    <s v="Jumbo Drum"/>
    <n v="0.56999999999999995"/>
    <d v="2010-11-11T00:00:00"/>
    <n v="0"/>
    <n v="0"/>
    <n v="0.25"/>
    <n v="0.25"/>
  </r>
  <r>
    <n v="4767"/>
    <n v="33889"/>
    <x v="747"/>
    <x v="7"/>
    <s v="Low"/>
    <n v="43"/>
    <n v="367.96"/>
    <n v="0.06"/>
    <s v="Regular Air"/>
    <n v="-16.11"/>
    <n v="8.67"/>
    <n v="3.5"/>
    <x v="92"/>
    <x v="6"/>
    <x v="5"/>
    <x v="0"/>
    <x v="0"/>
    <x v="1"/>
    <x v="855"/>
    <s v="Small Box"/>
    <n v="0.57999999999999996"/>
    <d v="2010-11-13T00:00:00"/>
    <n v="0"/>
    <n v="0"/>
    <n v="0.25"/>
    <n v="0.25"/>
  </r>
  <r>
    <n v="4768"/>
    <n v="33889"/>
    <x v="747"/>
    <x v="7"/>
    <s v="Low"/>
    <n v="27"/>
    <n v="159.05000000000001"/>
    <n v="0.04"/>
    <s v="Regular Air"/>
    <n v="21.46"/>
    <n v="5.98"/>
    <n v="2.5"/>
    <x v="92"/>
    <x v="6"/>
    <x v="5"/>
    <x v="0"/>
    <x v="0"/>
    <x v="8"/>
    <x v="478"/>
    <s v="Small Box"/>
    <n v="0.36"/>
    <d v="2010-11-10T00:00:00"/>
    <n v="0"/>
    <n v="0"/>
    <n v="0.25"/>
    <n v="0.25"/>
  </r>
  <r>
    <n v="4769"/>
    <n v="33889"/>
    <x v="747"/>
    <x v="7"/>
    <s v="Low"/>
    <n v="39"/>
    <n v="116.14"/>
    <n v="0.01"/>
    <s v="Regular Air"/>
    <n v="50.44"/>
    <n v="2.88"/>
    <n v="0.5"/>
    <x v="92"/>
    <x v="6"/>
    <x v="5"/>
    <x v="0"/>
    <x v="0"/>
    <x v="11"/>
    <x v="42"/>
    <s v="Small Box"/>
    <n v="0.36"/>
    <d v="2010-11-08T00:00:00"/>
    <n v="0"/>
    <n v="0"/>
    <n v="0.25"/>
    <n v="0.25"/>
  </r>
  <r>
    <n v="4858"/>
    <n v="34567"/>
    <x v="577"/>
    <x v="46"/>
    <s v="Low"/>
    <n v="18"/>
    <n v="3344.11"/>
    <n v="0.03"/>
    <s v="Delivery Truck"/>
    <n v="588.54"/>
    <n v="180.98"/>
    <n v="26.2"/>
    <x v="200"/>
    <x v="6"/>
    <x v="5"/>
    <x v="1"/>
    <x v="2"/>
    <x v="14"/>
    <x v="155"/>
    <s v="Jumbo Drum"/>
    <n v="0.59"/>
    <d v="2009-04-30T00:00:00"/>
    <n v="0"/>
    <n v="0"/>
    <n v="1"/>
    <n v="1"/>
  </r>
  <r>
    <n v="5078"/>
    <n v="36163"/>
    <x v="748"/>
    <x v="32"/>
    <s v="Low"/>
    <n v="32"/>
    <n v="463"/>
    <n v="7.0000000000000007E-2"/>
    <s v="Regular Air"/>
    <n v="24.607500000000002"/>
    <n v="14.45"/>
    <n v="7.17"/>
    <x v="186"/>
    <x v="6"/>
    <x v="5"/>
    <x v="0"/>
    <x v="0"/>
    <x v="2"/>
    <x v="853"/>
    <s v="Small Box"/>
    <n v="0.38"/>
    <d v="2012-11-05T00:00:00"/>
    <n v="0"/>
    <n v="0"/>
    <n v="1"/>
    <n v="1"/>
  </r>
  <r>
    <n v="5114"/>
    <n v="36449"/>
    <x v="749"/>
    <x v="18"/>
    <s v="Not Specified"/>
    <n v="6"/>
    <n v="90.75"/>
    <n v="0.02"/>
    <s v="Regular Air"/>
    <n v="-26.39"/>
    <n v="12.99"/>
    <n v="14.37"/>
    <x v="193"/>
    <x v="6"/>
    <x v="5"/>
    <x v="2"/>
    <x v="2"/>
    <x v="4"/>
    <x v="856"/>
    <s v="Large Box"/>
    <n v="0.73"/>
    <d v="2010-09-05T00:00:00"/>
    <n v="0"/>
    <n v="0"/>
    <n v="0.33333333333333331"/>
    <n v="0.33333333333333331"/>
  </r>
  <r>
    <n v="5144"/>
    <n v="36675"/>
    <x v="609"/>
    <x v="2"/>
    <s v="High"/>
    <n v="39"/>
    <n v="113.09"/>
    <n v="0.04"/>
    <s v="Regular Air"/>
    <n v="29.76"/>
    <n v="2.94"/>
    <n v="0.81"/>
    <x v="192"/>
    <x v="6"/>
    <x v="5"/>
    <x v="0"/>
    <x v="0"/>
    <x v="12"/>
    <x v="857"/>
    <s v="Wrap Bag"/>
    <n v="0.4"/>
    <d v="2011-07-06T00:00:00"/>
    <n v="0"/>
    <n v="0"/>
    <n v="1"/>
    <n v="1"/>
  </r>
  <r>
    <n v="5327"/>
    <n v="37862"/>
    <x v="750"/>
    <x v="22"/>
    <s v="Not Specified"/>
    <n v="27"/>
    <n v="1603.27"/>
    <n v="0.01"/>
    <s v="Regular Air"/>
    <n v="452.49"/>
    <n v="59.98"/>
    <n v="3.99"/>
    <x v="194"/>
    <x v="6"/>
    <x v="5"/>
    <x v="2"/>
    <x v="0"/>
    <x v="1"/>
    <x v="323"/>
    <s v="Small Box"/>
    <n v="0.56999999999999995"/>
    <d v="2009-01-15T00:00:00"/>
    <n v="0"/>
    <n v="1"/>
    <n v="1"/>
    <n v="1"/>
  </r>
  <r>
    <n v="5379"/>
    <n v="38240"/>
    <x v="354"/>
    <x v="47"/>
    <s v="High"/>
    <n v="4"/>
    <n v="41.53"/>
    <n v="0.04"/>
    <s v="Regular Air"/>
    <n v="-15.525"/>
    <n v="8.6"/>
    <n v="6.19"/>
    <x v="196"/>
    <x v="6"/>
    <x v="5"/>
    <x v="1"/>
    <x v="0"/>
    <x v="2"/>
    <x v="682"/>
    <s v="Small Box"/>
    <n v="0.38"/>
    <d v="2009-12-19T00:00:00"/>
    <n v="0"/>
    <n v="0"/>
    <n v="0.5"/>
    <n v="0.33333333333333331"/>
  </r>
  <r>
    <n v="5450"/>
    <n v="38693"/>
    <x v="751"/>
    <x v="4"/>
    <s v="Low"/>
    <n v="3"/>
    <n v="2222.61"/>
    <n v="0.02"/>
    <s v="Regular Air"/>
    <n v="196.08"/>
    <n v="699.99"/>
    <n v="24.49"/>
    <x v="203"/>
    <x v="6"/>
    <x v="5"/>
    <x v="3"/>
    <x v="1"/>
    <x v="13"/>
    <x v="286"/>
    <s v="Large Box"/>
    <n v="0.41"/>
    <d v="2011-06-21T00:00:00"/>
    <n v="0"/>
    <n v="0"/>
    <n v="1"/>
    <n v="0.33333333333333331"/>
  </r>
  <r>
    <n v="5483"/>
    <n v="38917"/>
    <x v="435"/>
    <x v="7"/>
    <s v="Low"/>
    <n v="11"/>
    <n v="618.1964999999999"/>
    <n v="0.02"/>
    <s v="Regular Air"/>
    <n v="-132.52800000000002"/>
    <n v="65.989999999999995"/>
    <n v="8.8000000000000007"/>
    <x v="202"/>
    <x v="6"/>
    <x v="5"/>
    <x v="1"/>
    <x v="1"/>
    <x v="3"/>
    <x v="858"/>
    <s v="Small Box"/>
    <n v="0.57999999999999996"/>
    <d v="2010-11-28T00:00:00"/>
    <n v="0"/>
    <n v="0"/>
    <n v="1"/>
    <n v="1"/>
  </r>
  <r>
    <n v="5501"/>
    <n v="39015"/>
    <x v="516"/>
    <x v="47"/>
    <s v="Medium"/>
    <n v="13"/>
    <n v="5236.1400000000003"/>
    <n v="0.05"/>
    <s v="Delivery Truck"/>
    <n v="567.59"/>
    <n v="399.98"/>
    <n v="12.06"/>
    <x v="203"/>
    <x v="6"/>
    <x v="5"/>
    <x v="2"/>
    <x v="1"/>
    <x v="16"/>
    <x v="802"/>
    <s v="Jumbo Box"/>
    <n v="0.56000000000000005"/>
    <d v="2009-12-06T00:00:00"/>
    <n v="0"/>
    <n v="0"/>
    <n v="0.5"/>
    <n v="0.5"/>
  </r>
  <r>
    <n v="5502"/>
    <n v="39015"/>
    <x v="516"/>
    <x v="47"/>
    <s v="Medium"/>
    <n v="11"/>
    <n v="74.02"/>
    <n v="7.0000000000000007E-2"/>
    <s v="Regular Air"/>
    <n v="-28.45"/>
    <n v="6.48"/>
    <n v="5.74"/>
    <x v="203"/>
    <x v="6"/>
    <x v="5"/>
    <x v="2"/>
    <x v="0"/>
    <x v="5"/>
    <x v="552"/>
    <s v="Small Box"/>
    <n v="0.37"/>
    <d v="2009-12-06T00:00:00"/>
    <n v="0"/>
    <n v="0"/>
    <n v="0.5"/>
    <n v="0.5"/>
  </r>
  <r>
    <n v="5539"/>
    <n v="39265"/>
    <x v="193"/>
    <x v="39"/>
    <s v="Critical"/>
    <n v="47"/>
    <n v="198.08"/>
    <n v="0.02"/>
    <s v="Regular Air"/>
    <n v="32.69"/>
    <n v="4.28"/>
    <n v="0.94"/>
    <x v="204"/>
    <x v="6"/>
    <x v="5"/>
    <x v="2"/>
    <x v="0"/>
    <x v="12"/>
    <x v="406"/>
    <s v="Wrap Bag"/>
    <n v="0.56000000000000005"/>
    <d v="2010-05-08T00:00:00"/>
    <n v="0"/>
    <n v="0"/>
    <n v="1"/>
    <n v="1"/>
  </r>
  <r>
    <n v="5770"/>
    <n v="40962"/>
    <x v="422"/>
    <x v="44"/>
    <s v="Critical"/>
    <n v="28"/>
    <n v="1553.66"/>
    <n v="0.03"/>
    <s v="Regular Air"/>
    <n v="547.48"/>
    <n v="54.48"/>
    <n v="0.99"/>
    <x v="195"/>
    <x v="6"/>
    <x v="5"/>
    <x v="2"/>
    <x v="0"/>
    <x v="1"/>
    <x v="859"/>
    <s v="Small Box"/>
    <n v="0.56999999999999995"/>
    <d v="2011-02-21T00:00:00"/>
    <n v="0"/>
    <n v="0"/>
    <n v="0.5"/>
    <n v="0.5"/>
  </r>
  <r>
    <n v="5771"/>
    <n v="40962"/>
    <x v="422"/>
    <x v="44"/>
    <s v="Critical"/>
    <n v="30"/>
    <n v="3276.9964999999997"/>
    <n v="0"/>
    <s v="Regular Air"/>
    <n v="653.05799999999999"/>
    <n v="125.99"/>
    <n v="8.99"/>
    <x v="195"/>
    <x v="6"/>
    <x v="5"/>
    <x v="2"/>
    <x v="1"/>
    <x v="3"/>
    <x v="713"/>
    <s v="Small Box"/>
    <n v="0.59"/>
    <d v="2011-02-21T00:00:00"/>
    <n v="0"/>
    <n v="0"/>
    <n v="0.5"/>
    <n v="0.5"/>
  </r>
  <r>
    <n v="5786"/>
    <n v="41059"/>
    <x v="752"/>
    <x v="18"/>
    <s v="Medium"/>
    <n v="26"/>
    <n v="363.16"/>
    <n v="0.08"/>
    <s v="Express Air"/>
    <n v="3.9185000000000003"/>
    <n v="14.27"/>
    <n v="7.27"/>
    <x v="203"/>
    <x v="6"/>
    <x v="5"/>
    <x v="2"/>
    <x v="0"/>
    <x v="2"/>
    <x v="509"/>
    <s v="Small Box"/>
    <n v="0.38"/>
    <d v="2010-09-14T00:00:00"/>
    <n v="0"/>
    <n v="0"/>
    <n v="0.25"/>
    <n v="0.2"/>
  </r>
  <r>
    <n v="5787"/>
    <n v="41059"/>
    <x v="752"/>
    <x v="18"/>
    <s v="Medium"/>
    <n v="45"/>
    <n v="12571.63"/>
    <n v="0.09"/>
    <s v="Regular Air"/>
    <n v="5455.96"/>
    <n v="300.98"/>
    <n v="13.99"/>
    <x v="203"/>
    <x v="6"/>
    <x v="5"/>
    <x v="2"/>
    <x v="1"/>
    <x v="16"/>
    <x v="860"/>
    <s v="Medium Box"/>
    <n v="0.39"/>
    <d v="2010-09-15T00:00:00"/>
    <n v="0"/>
    <n v="0"/>
    <n v="0.25"/>
    <n v="0.2"/>
  </r>
  <r>
    <n v="5788"/>
    <n v="41059"/>
    <x v="752"/>
    <x v="18"/>
    <s v="Medium"/>
    <n v="21"/>
    <n v="128.86000000000001"/>
    <n v="0"/>
    <s v="Express Air"/>
    <n v="24.53"/>
    <n v="5.84"/>
    <n v="1.2"/>
    <x v="203"/>
    <x v="6"/>
    <x v="5"/>
    <x v="2"/>
    <x v="0"/>
    <x v="12"/>
    <x v="288"/>
    <s v="Wrap Bag"/>
    <n v="0.55000000000000004"/>
    <d v="2010-09-16T00:00:00"/>
    <n v="0"/>
    <n v="0"/>
    <n v="0.25"/>
    <n v="0.2"/>
  </r>
  <r>
    <n v="5789"/>
    <n v="41059"/>
    <x v="752"/>
    <x v="18"/>
    <s v="Medium"/>
    <n v="45"/>
    <n v="17884.53"/>
    <n v="0.04"/>
    <s v="Delivery Truck"/>
    <n v="2357.86"/>
    <n v="400.98"/>
    <n v="42.52"/>
    <x v="203"/>
    <x v="6"/>
    <x v="5"/>
    <x v="2"/>
    <x v="2"/>
    <x v="10"/>
    <x v="861"/>
    <s v="Jumbo Box"/>
    <n v="0.71"/>
    <d v="2010-09-15T00:00:00"/>
    <n v="0"/>
    <n v="0"/>
    <n v="0.25"/>
    <n v="0.2"/>
  </r>
  <r>
    <n v="5872"/>
    <n v="41664"/>
    <x v="337"/>
    <x v="25"/>
    <s v="Critical"/>
    <n v="5"/>
    <n v="54.8"/>
    <n v="0"/>
    <s v="Regular Air"/>
    <n v="-15.3"/>
    <n v="9.7799999999999994"/>
    <n v="1.99"/>
    <x v="205"/>
    <x v="6"/>
    <x v="5"/>
    <x v="2"/>
    <x v="1"/>
    <x v="7"/>
    <x v="136"/>
    <s v="Small Pack"/>
    <n v="0.43"/>
    <d v="2011-12-04T00:00:00"/>
    <n v="0"/>
    <n v="0"/>
    <n v="0.5"/>
    <n v="0.5"/>
  </r>
  <r>
    <n v="5873"/>
    <n v="41664"/>
    <x v="337"/>
    <x v="25"/>
    <s v="Critical"/>
    <n v="40"/>
    <n v="1038.19"/>
    <n v="7.0000000000000007E-2"/>
    <s v="Regular Air"/>
    <n v="230.69"/>
    <n v="25.98"/>
    <n v="4.08"/>
    <x v="205"/>
    <x v="6"/>
    <x v="5"/>
    <x v="2"/>
    <x v="0"/>
    <x v="12"/>
    <x v="862"/>
    <s v="Small Pack"/>
    <n v="0.56999999999999995"/>
    <d v="2011-12-06T00:00:00"/>
    <n v="0"/>
    <n v="0"/>
    <n v="0.5"/>
    <n v="0.5"/>
  </r>
  <r>
    <n v="6012"/>
    <n v="42596"/>
    <x v="556"/>
    <x v="9"/>
    <s v="Medium"/>
    <n v="9"/>
    <n v="51.75"/>
    <n v="0.05"/>
    <s v="Regular Air"/>
    <n v="4.16"/>
    <n v="5.58"/>
    <n v="0.7"/>
    <x v="188"/>
    <x v="6"/>
    <x v="5"/>
    <x v="2"/>
    <x v="0"/>
    <x v="12"/>
    <x v="641"/>
    <s v="Wrap Bag"/>
    <n v="0.6"/>
    <d v="2012-08-16T00:00:00"/>
    <n v="0"/>
    <n v="0"/>
    <n v="1"/>
    <n v="0.5"/>
  </r>
  <r>
    <n v="6135"/>
    <n v="43424"/>
    <x v="753"/>
    <x v="21"/>
    <s v="Not Specified"/>
    <n v="34"/>
    <n v="772.56"/>
    <n v="0.04"/>
    <s v="Express Air"/>
    <n v="143.87"/>
    <n v="22.98"/>
    <n v="4.5"/>
    <x v="197"/>
    <x v="6"/>
    <x v="5"/>
    <x v="3"/>
    <x v="0"/>
    <x v="1"/>
    <x v="863"/>
    <s v="Small Box"/>
    <n v="0.55000000000000004"/>
    <d v="2011-08-20T00:00:00"/>
    <n v="0"/>
    <n v="0"/>
    <n v="1"/>
    <n v="0.5"/>
  </r>
  <r>
    <n v="6179"/>
    <n v="43808"/>
    <x v="754"/>
    <x v="16"/>
    <s v="Low"/>
    <n v="16"/>
    <n v="108.73"/>
    <n v="0.04"/>
    <s v="Regular Air"/>
    <n v="-22.21"/>
    <n v="6.24"/>
    <n v="5.22"/>
    <x v="192"/>
    <x v="6"/>
    <x v="5"/>
    <x v="0"/>
    <x v="2"/>
    <x v="4"/>
    <x v="864"/>
    <s v="Small Box"/>
    <n v="0.6"/>
    <d v="2011-01-13T00:00:00"/>
    <n v="0"/>
    <n v="0"/>
    <n v="1"/>
    <n v="1"/>
  </r>
  <r>
    <n v="6373"/>
    <n v="45218"/>
    <x v="755"/>
    <x v="43"/>
    <s v="Low"/>
    <n v="49"/>
    <n v="309.45999999999998"/>
    <n v="0.08"/>
    <s v="Regular Air"/>
    <n v="-82.64"/>
    <n v="6.48"/>
    <n v="2.74"/>
    <x v="189"/>
    <x v="6"/>
    <x v="5"/>
    <x v="3"/>
    <x v="1"/>
    <x v="7"/>
    <x v="865"/>
    <s v="Small Pack"/>
    <n v="0.71"/>
    <d v="2009-05-12T00:00:00"/>
    <n v="0"/>
    <n v="0"/>
    <n v="1"/>
    <n v="1"/>
  </r>
  <r>
    <n v="6470"/>
    <n v="46050"/>
    <x v="756"/>
    <x v="38"/>
    <s v="High"/>
    <n v="3"/>
    <n v="876.75"/>
    <n v="0.02"/>
    <s v="Regular Air"/>
    <n v="-248.69"/>
    <n v="289.52999999999997"/>
    <n v="19.989999999999998"/>
    <x v="206"/>
    <x v="6"/>
    <x v="5"/>
    <x v="3"/>
    <x v="0"/>
    <x v="1"/>
    <x v="866"/>
    <s v="Small Box"/>
    <n v="0.56000000000000005"/>
    <d v="2010-01-07T00:00:00"/>
    <n v="1"/>
    <n v="0"/>
    <n v="0.33333333333333331"/>
    <n v="0.33333333333333331"/>
  </r>
  <r>
    <n v="6479"/>
    <n v="46117"/>
    <x v="389"/>
    <x v="10"/>
    <s v="Low"/>
    <n v="22"/>
    <n v="1168.28"/>
    <n v="0.02"/>
    <s v="Delivery Truck"/>
    <n v="126.07"/>
    <n v="50.98"/>
    <n v="14.19"/>
    <x v="197"/>
    <x v="6"/>
    <x v="5"/>
    <x v="3"/>
    <x v="2"/>
    <x v="14"/>
    <x v="306"/>
    <s v="Jumbo Drum"/>
    <n v="0.56000000000000005"/>
    <d v="2011-05-26T00:00:00"/>
    <n v="0"/>
    <n v="0"/>
    <n v="1"/>
    <n v="1"/>
  </r>
  <r>
    <n v="6494"/>
    <n v="46243"/>
    <x v="757"/>
    <x v="23"/>
    <s v="Low"/>
    <n v="31"/>
    <n v="614.35"/>
    <n v="0.02"/>
    <s v="Express Air"/>
    <n v="78.89"/>
    <n v="18.97"/>
    <n v="9.0299999999999994"/>
    <x v="197"/>
    <x v="6"/>
    <x v="5"/>
    <x v="2"/>
    <x v="0"/>
    <x v="5"/>
    <x v="40"/>
    <s v="Small Box"/>
    <n v="0.37"/>
    <d v="2012-01-26T00:00:00"/>
    <n v="0"/>
    <n v="0"/>
    <n v="0.33333333333333331"/>
    <n v="0.14285714285714285"/>
  </r>
  <r>
    <n v="6495"/>
    <n v="46243"/>
    <x v="757"/>
    <x v="23"/>
    <s v="Low"/>
    <n v="1"/>
    <n v="3.63"/>
    <n v="0.03"/>
    <s v="Regular Air"/>
    <n v="-1.56"/>
    <n v="2.88"/>
    <n v="0.7"/>
    <x v="197"/>
    <x v="6"/>
    <x v="5"/>
    <x v="2"/>
    <x v="0"/>
    <x v="12"/>
    <x v="24"/>
    <s v="Wrap Bag"/>
    <n v="0.56000000000000005"/>
    <d v="2012-01-29T00:00:00"/>
    <n v="0"/>
    <n v="0"/>
    <n v="0.33333333333333331"/>
    <n v="0.14285714285714285"/>
  </r>
  <r>
    <n v="6496"/>
    <n v="46243"/>
    <x v="757"/>
    <x v="23"/>
    <s v="Low"/>
    <n v="31"/>
    <n v="172.99"/>
    <n v="0.05"/>
    <s v="Regular Air"/>
    <n v="61.51"/>
    <n v="5.84"/>
    <n v="1"/>
    <x v="197"/>
    <x v="6"/>
    <x v="5"/>
    <x v="2"/>
    <x v="0"/>
    <x v="12"/>
    <x v="867"/>
    <s v="Wrap Bag"/>
    <n v="0.38"/>
    <d v="2012-01-31T00:00:00"/>
    <n v="0"/>
    <n v="0"/>
    <n v="0.33333333333333331"/>
    <n v="0.14285714285714285"/>
  </r>
  <r>
    <n v="6504"/>
    <n v="46310"/>
    <x v="569"/>
    <x v="42"/>
    <s v="High"/>
    <n v="29"/>
    <n v="1935.25"/>
    <n v="0.04"/>
    <s v="Regular Air"/>
    <n v="652.18799999999999"/>
    <n v="63.98"/>
    <n v="11.55"/>
    <x v="207"/>
    <x v="6"/>
    <x v="5"/>
    <x v="3"/>
    <x v="0"/>
    <x v="2"/>
    <x v="868"/>
    <s v="Small Box"/>
    <n v="0.38"/>
    <d v="2010-07-22T00:00:00"/>
    <n v="0"/>
    <n v="0"/>
    <n v="0.33333333333333331"/>
    <n v="0.33333333333333331"/>
  </r>
  <r>
    <n v="6505"/>
    <n v="46310"/>
    <x v="569"/>
    <x v="42"/>
    <s v="High"/>
    <n v="13"/>
    <n v="278.5"/>
    <n v="0.1"/>
    <s v="Regular Air"/>
    <n v="-6.23"/>
    <n v="22.01"/>
    <n v="5.53"/>
    <x v="207"/>
    <x v="6"/>
    <x v="5"/>
    <x v="3"/>
    <x v="0"/>
    <x v="12"/>
    <x v="869"/>
    <s v="Small Pack"/>
    <n v="0.59"/>
    <d v="2010-07-22T00:00:00"/>
    <n v="0"/>
    <n v="0"/>
    <n v="0.33333333333333331"/>
    <n v="0.33333333333333331"/>
  </r>
  <r>
    <n v="6506"/>
    <n v="46310"/>
    <x v="569"/>
    <x v="42"/>
    <s v="High"/>
    <n v="42"/>
    <n v="5423.58"/>
    <n v="0.01"/>
    <s v="Regular Air"/>
    <n v="1361.56"/>
    <n v="120.33"/>
    <n v="19.989999999999998"/>
    <x v="207"/>
    <x v="6"/>
    <x v="5"/>
    <x v="3"/>
    <x v="0"/>
    <x v="0"/>
    <x v="870"/>
    <s v="Small Box"/>
    <n v="0.59"/>
    <d v="2010-07-21T00:00:00"/>
    <n v="0"/>
    <n v="0"/>
    <n v="0.33333333333333331"/>
    <n v="0.33333333333333331"/>
  </r>
  <r>
    <n v="6537"/>
    <n v="46503"/>
    <x v="758"/>
    <x v="27"/>
    <s v="Not Specified"/>
    <n v="26"/>
    <n v="1196.7915"/>
    <n v="7.0000000000000007E-2"/>
    <s v="Regular Air"/>
    <n v="265.392"/>
    <n v="55.99"/>
    <n v="1.25"/>
    <x v="186"/>
    <x v="6"/>
    <x v="5"/>
    <x v="0"/>
    <x v="1"/>
    <x v="3"/>
    <x v="512"/>
    <s v="Small Pack"/>
    <n v="0.55000000000000004"/>
    <d v="2011-11-09T00:00:00"/>
    <n v="0"/>
    <n v="0"/>
    <n v="1"/>
    <n v="1"/>
  </r>
  <r>
    <n v="6572"/>
    <n v="46726"/>
    <x v="759"/>
    <x v="29"/>
    <s v="Not Specified"/>
    <n v="46"/>
    <n v="325.97000000000003"/>
    <n v="0.02"/>
    <s v="Regular Air"/>
    <n v="-255.22"/>
    <n v="6.84"/>
    <n v="8.3699999999999992"/>
    <x v="186"/>
    <x v="6"/>
    <x v="5"/>
    <x v="0"/>
    <x v="0"/>
    <x v="15"/>
    <x v="277"/>
    <s v="Small Pack"/>
    <n v="0.57999999999999996"/>
    <d v="2012-07-05T00:00:00"/>
    <n v="0"/>
    <n v="0"/>
    <n v="0.5"/>
    <n v="0.5"/>
  </r>
  <r>
    <n v="6573"/>
    <n v="46726"/>
    <x v="759"/>
    <x v="29"/>
    <s v="Not Specified"/>
    <n v="10"/>
    <n v="49.65"/>
    <n v="0.02"/>
    <s v="Regular Air"/>
    <n v="8.2705000000000002"/>
    <n v="4.55"/>
    <n v="1.49"/>
    <x v="186"/>
    <x v="6"/>
    <x v="5"/>
    <x v="0"/>
    <x v="0"/>
    <x v="2"/>
    <x v="394"/>
    <s v="Small Box"/>
    <n v="0.35"/>
    <d v="2012-07-07T00:00:00"/>
    <n v="0"/>
    <n v="0"/>
    <n v="0.5"/>
    <n v="0.5"/>
  </r>
  <r>
    <n v="6613"/>
    <n v="47042"/>
    <x v="159"/>
    <x v="33"/>
    <s v="Critical"/>
    <n v="45"/>
    <n v="1375.3764999999999"/>
    <n v="0.03"/>
    <s v="Regular Air"/>
    <n v="592.21799999999996"/>
    <n v="35.99"/>
    <n v="3.3"/>
    <x v="197"/>
    <x v="6"/>
    <x v="5"/>
    <x v="3"/>
    <x v="1"/>
    <x v="3"/>
    <x v="292"/>
    <s v="Small Pack"/>
    <n v="0.39"/>
    <d v="2012-03-03T00:00:00"/>
    <n v="0"/>
    <n v="0"/>
    <n v="1"/>
    <n v="1"/>
  </r>
  <r>
    <n v="6635"/>
    <n v="47174"/>
    <x v="760"/>
    <x v="31"/>
    <s v="Critical"/>
    <n v="42"/>
    <n v="642.1"/>
    <n v="0"/>
    <s v="Regular Air"/>
    <n v="41.56"/>
    <n v="13.99"/>
    <n v="7.51"/>
    <x v="197"/>
    <x v="6"/>
    <x v="5"/>
    <x v="2"/>
    <x v="1"/>
    <x v="16"/>
    <x v="535"/>
    <s v="Medium Box"/>
    <n v="0.39"/>
    <d v="2011-09-16T00:00:00"/>
    <n v="0"/>
    <n v="0"/>
    <n v="1"/>
    <n v="1"/>
  </r>
  <r>
    <n v="6746"/>
    <n v="48034"/>
    <x v="761"/>
    <x v="36"/>
    <s v="Not Specified"/>
    <n v="47"/>
    <n v="945.86"/>
    <n v="0.1"/>
    <s v="Regular Air"/>
    <n v="31.59"/>
    <n v="22.01"/>
    <n v="5.53"/>
    <x v="189"/>
    <x v="6"/>
    <x v="5"/>
    <x v="3"/>
    <x v="0"/>
    <x v="12"/>
    <x v="869"/>
    <s v="Small Pack"/>
    <n v="0.59"/>
    <d v="2009-07-15T00:00:00"/>
    <n v="0"/>
    <n v="0"/>
    <n v="0.5"/>
    <n v="0.5"/>
  </r>
  <r>
    <n v="6747"/>
    <n v="48034"/>
    <x v="761"/>
    <x v="36"/>
    <s v="Not Specified"/>
    <n v="12"/>
    <n v="2340.5040000000004"/>
    <n v="0.04"/>
    <s v="Delivery Truck"/>
    <n v="243.16"/>
    <n v="236.97"/>
    <n v="59.24"/>
    <x v="189"/>
    <x v="6"/>
    <x v="5"/>
    <x v="3"/>
    <x v="2"/>
    <x v="10"/>
    <x v="871"/>
    <s v="Jumbo Box"/>
    <n v="0.61"/>
    <d v="2009-07-14T00:00:00"/>
    <n v="0"/>
    <n v="0"/>
    <n v="0.5"/>
    <n v="0.5"/>
  </r>
  <r>
    <n v="6760"/>
    <n v="48164"/>
    <x v="595"/>
    <x v="17"/>
    <s v="High"/>
    <n v="33"/>
    <n v="94.39"/>
    <n v="7.0000000000000007E-2"/>
    <s v="Regular Air"/>
    <n v="12.31"/>
    <n v="2.88"/>
    <n v="0.7"/>
    <x v="192"/>
    <x v="6"/>
    <x v="5"/>
    <x v="0"/>
    <x v="0"/>
    <x v="12"/>
    <x v="808"/>
    <s v="Wrap Bag"/>
    <n v="0.56000000000000005"/>
    <d v="2011-10-31T00:00:00"/>
    <n v="0"/>
    <n v="0"/>
    <n v="1"/>
    <n v="1"/>
  </r>
  <r>
    <n v="6896"/>
    <n v="49189"/>
    <x v="762"/>
    <x v="16"/>
    <s v="Critical"/>
    <n v="32"/>
    <n v="249.59"/>
    <n v="0.06"/>
    <s v="Regular Air"/>
    <n v="101.82"/>
    <n v="7.64"/>
    <n v="1.39"/>
    <x v="198"/>
    <x v="6"/>
    <x v="5"/>
    <x v="3"/>
    <x v="0"/>
    <x v="8"/>
    <x v="872"/>
    <s v="Small Box"/>
    <n v="0.36"/>
    <d v="2011-01-18T00:00:00"/>
    <n v="0"/>
    <n v="0"/>
    <n v="1"/>
    <n v="1"/>
  </r>
  <r>
    <n v="6997"/>
    <n v="49986"/>
    <x v="763"/>
    <x v="0"/>
    <s v="Critical"/>
    <n v="39"/>
    <n v="110.36"/>
    <n v="0.05"/>
    <s v="Regular Air"/>
    <n v="8.6"/>
    <n v="2.84"/>
    <n v="0.93"/>
    <x v="202"/>
    <x v="6"/>
    <x v="5"/>
    <x v="1"/>
    <x v="0"/>
    <x v="12"/>
    <x v="25"/>
    <s v="Wrap Bag"/>
    <n v="0.54"/>
    <d v="2010-10-16T00:00:00"/>
    <n v="0"/>
    <n v="0"/>
    <n v="1"/>
    <n v="1"/>
  </r>
  <r>
    <n v="7054"/>
    <n v="50336"/>
    <x v="669"/>
    <x v="11"/>
    <s v="Not Specified"/>
    <n v="9"/>
    <n v="58.98"/>
    <n v="0"/>
    <s v="Regular Air"/>
    <n v="-17.790500000000002"/>
    <n v="5.77"/>
    <n v="4.97"/>
    <x v="202"/>
    <x v="6"/>
    <x v="5"/>
    <x v="1"/>
    <x v="0"/>
    <x v="2"/>
    <x v="873"/>
    <s v="Small Box"/>
    <n v="0.35"/>
    <d v="2009-11-05T00:00:00"/>
    <n v="0"/>
    <n v="0"/>
    <n v="1"/>
    <n v="1"/>
  </r>
  <r>
    <n v="7059"/>
    <n v="50373"/>
    <x v="175"/>
    <x v="36"/>
    <s v="Critical"/>
    <n v="9"/>
    <n v="1455.04"/>
    <n v="0.06"/>
    <s v="Regular Air"/>
    <n v="-7.5800000000000409"/>
    <n v="161.55000000000001"/>
    <n v="19.989999999999998"/>
    <x v="92"/>
    <x v="6"/>
    <x v="5"/>
    <x v="0"/>
    <x v="0"/>
    <x v="0"/>
    <x v="533"/>
    <s v="Small Box"/>
    <n v="0.66"/>
    <d v="2009-07-03T00:00:00"/>
    <n v="0"/>
    <n v="0"/>
    <n v="1"/>
    <n v="1"/>
  </r>
  <r>
    <n v="7086"/>
    <n v="50564"/>
    <x v="159"/>
    <x v="33"/>
    <s v="High"/>
    <n v="30"/>
    <n v="11041.42"/>
    <n v="7.0000000000000007E-2"/>
    <s v="Regular Air"/>
    <n v="4456.2524999999996"/>
    <n v="387.99"/>
    <n v="19.989999999999998"/>
    <x v="206"/>
    <x v="6"/>
    <x v="5"/>
    <x v="3"/>
    <x v="0"/>
    <x v="2"/>
    <x v="243"/>
    <s v="Small Box"/>
    <n v="0.38"/>
    <d v="2012-03-04T00:00:00"/>
    <n v="0"/>
    <n v="0"/>
    <n v="1"/>
    <n v="1"/>
  </r>
  <r>
    <n v="7139"/>
    <n v="50949"/>
    <x v="372"/>
    <x v="44"/>
    <s v="Medium"/>
    <n v="32"/>
    <n v="73.55"/>
    <n v="0.09"/>
    <s v="Express Air"/>
    <n v="7.95"/>
    <n v="2.1800000000000002"/>
    <n v="0.78"/>
    <x v="194"/>
    <x v="6"/>
    <x v="5"/>
    <x v="2"/>
    <x v="0"/>
    <x v="6"/>
    <x v="303"/>
    <s v="Wrap Bag"/>
    <n v="0.52"/>
    <d v="2011-02-05T00:00:00"/>
    <n v="0"/>
    <n v="0"/>
    <n v="0.5"/>
    <n v="0.5"/>
  </r>
  <r>
    <n v="7140"/>
    <n v="50949"/>
    <x v="372"/>
    <x v="44"/>
    <s v="Medium"/>
    <n v="46"/>
    <n v="4804.0385000000006"/>
    <n v="0.08"/>
    <s v="Regular Air"/>
    <n v="1077.921"/>
    <n v="125.99"/>
    <n v="8.8000000000000007"/>
    <x v="194"/>
    <x v="6"/>
    <x v="5"/>
    <x v="2"/>
    <x v="1"/>
    <x v="3"/>
    <x v="626"/>
    <s v="Small Box"/>
    <n v="0.59"/>
    <d v="2011-02-06T00:00:00"/>
    <n v="0"/>
    <n v="0"/>
    <n v="0.5"/>
    <n v="0.5"/>
  </r>
  <r>
    <n v="7198"/>
    <n v="51361"/>
    <x v="764"/>
    <x v="5"/>
    <s v="Low"/>
    <n v="14"/>
    <n v="76.06"/>
    <n v="0.02"/>
    <s v="Express Air"/>
    <n v="-35.99"/>
    <n v="4.28"/>
    <n v="5.68"/>
    <x v="186"/>
    <x v="6"/>
    <x v="5"/>
    <x v="2"/>
    <x v="0"/>
    <x v="5"/>
    <x v="653"/>
    <s v="Small Box"/>
    <n v="0.4"/>
    <d v="2011-03-20T00:00:00"/>
    <n v="0"/>
    <n v="0"/>
    <n v="0.5"/>
    <n v="0.5"/>
  </r>
  <r>
    <n v="7199"/>
    <n v="51361"/>
    <x v="764"/>
    <x v="5"/>
    <s v="Critical"/>
    <n v="50"/>
    <n v="18056.68"/>
    <n v="0"/>
    <s v="Delivery Truck"/>
    <n v="-6474.6540000000005"/>
    <n v="349.45"/>
    <n v="60"/>
    <x v="186"/>
    <x v="6"/>
    <x v="5"/>
    <x v="2"/>
    <x v="2"/>
    <x v="10"/>
    <x v="195"/>
    <s v="Jumbo Drum"/>
    <m/>
    <d v="2011-03-22T00:00:00"/>
    <n v="0"/>
    <n v="0"/>
    <n v="0.5"/>
    <n v="0.5"/>
  </r>
  <r>
    <n v="7258"/>
    <n v="51780"/>
    <x v="331"/>
    <x v="42"/>
    <s v="Low"/>
    <n v="42"/>
    <n v="372.69"/>
    <n v="0.01"/>
    <s v="Express Air"/>
    <n v="-177.03100000000001"/>
    <n v="8.0399999999999991"/>
    <n v="8.94"/>
    <x v="208"/>
    <x v="6"/>
    <x v="5"/>
    <x v="1"/>
    <x v="0"/>
    <x v="2"/>
    <x v="401"/>
    <s v="Small Box"/>
    <n v="0.4"/>
    <d v="2010-07-31T00:00:00"/>
    <n v="0"/>
    <n v="0"/>
    <n v="0.25"/>
    <n v="0.25"/>
  </r>
  <r>
    <n v="7278"/>
    <n v="51940"/>
    <x v="765"/>
    <x v="1"/>
    <s v="High"/>
    <n v="11"/>
    <n v="65.5"/>
    <n v="0.08"/>
    <s v="Regular Air"/>
    <n v="-55.94"/>
    <n v="5.98"/>
    <n v="4.38"/>
    <x v="201"/>
    <x v="6"/>
    <x v="5"/>
    <x v="2"/>
    <x v="1"/>
    <x v="7"/>
    <x v="29"/>
    <s v="Small Pack"/>
    <n v="0.75"/>
    <d v="2012-10-18T00:00:00"/>
    <n v="0"/>
    <n v="0"/>
    <n v="1"/>
    <n v="1"/>
  </r>
  <r>
    <n v="7305"/>
    <n v="52071"/>
    <x v="766"/>
    <x v="27"/>
    <s v="Not Specified"/>
    <n v="14"/>
    <n v="136.85"/>
    <n v="0.01"/>
    <s v="Regular Air"/>
    <n v="-4.4275000000000002"/>
    <n v="8.85"/>
    <n v="5.6"/>
    <x v="207"/>
    <x v="6"/>
    <x v="5"/>
    <x v="1"/>
    <x v="0"/>
    <x v="2"/>
    <x v="182"/>
    <s v="Small Box"/>
    <n v="0.36"/>
    <d v="2011-11-29T00:00:00"/>
    <n v="0"/>
    <n v="0"/>
    <n v="0.5"/>
    <n v="0.5"/>
  </r>
  <r>
    <n v="7306"/>
    <n v="52071"/>
    <x v="766"/>
    <x v="27"/>
    <s v="Not Specified"/>
    <n v="1"/>
    <n v="12.74"/>
    <n v="0.05"/>
    <s v="Regular Air"/>
    <n v="-11.39"/>
    <n v="7.96"/>
    <n v="4.95"/>
    <x v="207"/>
    <x v="6"/>
    <x v="5"/>
    <x v="1"/>
    <x v="2"/>
    <x v="4"/>
    <x v="736"/>
    <s v="Small Box"/>
    <n v="0.41"/>
    <d v="2011-11-29T00:00:00"/>
    <n v="0"/>
    <n v="0"/>
    <n v="0.5"/>
    <n v="0.5"/>
  </r>
  <r>
    <n v="7449"/>
    <n v="53152"/>
    <x v="326"/>
    <x v="28"/>
    <s v="Medium"/>
    <n v="5"/>
    <n v="185.79"/>
    <n v="0.02"/>
    <s v="Regular Air"/>
    <n v="-159.68"/>
    <n v="34.979999999999997"/>
    <n v="7.53"/>
    <x v="149"/>
    <x v="6"/>
    <x v="5"/>
    <x v="2"/>
    <x v="1"/>
    <x v="7"/>
    <x v="874"/>
    <s v="Small Box"/>
    <n v="0.76"/>
    <d v="2009-03-07T00:00:00"/>
    <n v="0"/>
    <n v="0"/>
    <n v="0.25"/>
    <n v="0.25"/>
  </r>
  <r>
    <n v="7450"/>
    <n v="53152"/>
    <x v="326"/>
    <x v="28"/>
    <s v="Medium"/>
    <n v="9"/>
    <n v="196.41"/>
    <n v="0.01"/>
    <s v="Regular Air"/>
    <n v="27.91"/>
    <n v="19.989999999999998"/>
    <n v="11.17"/>
    <x v="149"/>
    <x v="6"/>
    <x v="5"/>
    <x v="2"/>
    <x v="2"/>
    <x v="4"/>
    <x v="220"/>
    <s v="Large Box"/>
    <n v="0.6"/>
    <d v="2009-03-08T00:00:00"/>
    <n v="0"/>
    <n v="0"/>
    <n v="0.25"/>
    <n v="0.25"/>
  </r>
  <r>
    <n v="7451"/>
    <n v="53152"/>
    <x v="326"/>
    <x v="28"/>
    <s v="Medium"/>
    <n v="9"/>
    <n v="186.67"/>
    <n v="0.02"/>
    <s v="Regular Air"/>
    <n v="2.06"/>
    <n v="19.98"/>
    <n v="8.68"/>
    <x v="149"/>
    <x v="6"/>
    <x v="5"/>
    <x v="2"/>
    <x v="0"/>
    <x v="5"/>
    <x v="471"/>
    <s v="Small Box"/>
    <n v="0.37"/>
    <d v="2009-03-07T00:00:00"/>
    <n v="0"/>
    <n v="0"/>
    <n v="0.25"/>
    <n v="0.25"/>
  </r>
  <r>
    <n v="7573"/>
    <n v="54177"/>
    <x v="767"/>
    <x v="23"/>
    <s v="Critical"/>
    <n v="12"/>
    <n v="480.73"/>
    <n v="0.1"/>
    <s v="Regular Air"/>
    <n v="148.19749999999999"/>
    <n v="42.8"/>
    <n v="2.99"/>
    <x v="197"/>
    <x v="6"/>
    <x v="5"/>
    <x v="3"/>
    <x v="0"/>
    <x v="2"/>
    <x v="875"/>
    <s v="Small Box"/>
    <n v="0.36"/>
    <d v="2012-01-25T00:00:00"/>
    <n v="0"/>
    <n v="0"/>
    <n v="0.5"/>
    <n v="0.14285714285714285"/>
  </r>
  <r>
    <n v="7574"/>
    <n v="54177"/>
    <x v="767"/>
    <x v="23"/>
    <s v="Critical"/>
    <n v="25"/>
    <n v="159"/>
    <n v="0.1"/>
    <s v="Regular Air"/>
    <n v="-98.15"/>
    <n v="6.48"/>
    <n v="7.37"/>
    <x v="197"/>
    <x v="6"/>
    <x v="5"/>
    <x v="3"/>
    <x v="0"/>
    <x v="5"/>
    <x v="673"/>
    <s v="Small Box"/>
    <n v="0.37"/>
    <d v="2012-01-27T00:00:00"/>
    <n v="0"/>
    <n v="0"/>
    <n v="0.5"/>
    <n v="0.14285714285714285"/>
  </r>
  <r>
    <n v="7688"/>
    <n v="55107"/>
    <x v="768"/>
    <x v="39"/>
    <s v="Low"/>
    <n v="32"/>
    <n v="171.52"/>
    <n v="0.1"/>
    <s v="Regular Air"/>
    <n v="46.61"/>
    <n v="5.68"/>
    <n v="1.39"/>
    <x v="206"/>
    <x v="6"/>
    <x v="5"/>
    <x v="3"/>
    <x v="0"/>
    <x v="8"/>
    <x v="474"/>
    <s v="Small Box"/>
    <n v="0.38"/>
    <d v="2010-05-13T00:00:00"/>
    <n v="0"/>
    <n v="0"/>
    <n v="1"/>
    <n v="1"/>
  </r>
  <r>
    <n v="7750"/>
    <n v="55461"/>
    <x v="769"/>
    <x v="35"/>
    <s v="Medium"/>
    <n v="16"/>
    <n v="84.01"/>
    <n v="0.06"/>
    <s v="Regular Air"/>
    <n v="-34.119999999999997"/>
    <n v="4.82"/>
    <n v="5.72"/>
    <x v="186"/>
    <x v="6"/>
    <x v="5"/>
    <x v="0"/>
    <x v="2"/>
    <x v="4"/>
    <x v="441"/>
    <s v="Small Pack"/>
    <n v="0.47"/>
    <d v="2009-09-29T00:00:00"/>
    <n v="0"/>
    <n v="0"/>
    <n v="1"/>
    <n v="1"/>
  </r>
  <r>
    <n v="7760"/>
    <n v="55526"/>
    <x v="770"/>
    <x v="29"/>
    <s v="High"/>
    <n v="23"/>
    <n v="445.17"/>
    <n v="0.02"/>
    <s v="Regular Air"/>
    <n v="38.11"/>
    <n v="18.97"/>
    <n v="9.0299999999999994"/>
    <x v="194"/>
    <x v="6"/>
    <x v="5"/>
    <x v="2"/>
    <x v="0"/>
    <x v="5"/>
    <x v="40"/>
    <s v="Small Box"/>
    <n v="0.37"/>
    <d v="2012-07-03T00:00:00"/>
    <n v="0"/>
    <n v="0"/>
    <n v="1"/>
    <n v="1"/>
  </r>
  <r>
    <n v="7829"/>
    <n v="55969"/>
    <x v="771"/>
    <x v="0"/>
    <s v="Medium"/>
    <n v="37"/>
    <n v="2329.4"/>
    <n v="0.08"/>
    <s v="Regular Air"/>
    <n v="189.77"/>
    <n v="64.98"/>
    <n v="6.88"/>
    <x v="186"/>
    <x v="6"/>
    <x v="5"/>
    <x v="0"/>
    <x v="0"/>
    <x v="0"/>
    <x v="391"/>
    <s v="Small Box"/>
    <n v="0.73"/>
    <d v="2010-10-07T00:00:00"/>
    <n v="0"/>
    <n v="0"/>
    <n v="1"/>
    <n v="1"/>
  </r>
  <r>
    <n v="7996"/>
    <n v="57153"/>
    <x v="772"/>
    <x v="43"/>
    <s v="Critical"/>
    <n v="9"/>
    <n v="106.05"/>
    <n v="0.02"/>
    <s v="Regular Air"/>
    <n v="-14.52"/>
    <n v="11.33"/>
    <n v="6.12"/>
    <x v="186"/>
    <x v="6"/>
    <x v="5"/>
    <x v="2"/>
    <x v="0"/>
    <x v="1"/>
    <x v="876"/>
    <s v="Medium Box"/>
    <n v="0.42"/>
    <d v="2009-05-28T00:00:00"/>
    <n v="0"/>
    <n v="0"/>
    <n v="0.5"/>
    <n v="0.5"/>
  </r>
  <r>
    <n v="7997"/>
    <n v="57153"/>
    <x v="772"/>
    <x v="43"/>
    <s v="Critical"/>
    <n v="45"/>
    <n v="698.1"/>
    <n v="0.01"/>
    <s v="Regular Air"/>
    <n v="336.25"/>
    <n v="15.67"/>
    <n v="1.39"/>
    <x v="186"/>
    <x v="6"/>
    <x v="5"/>
    <x v="2"/>
    <x v="0"/>
    <x v="8"/>
    <x v="68"/>
    <s v="Small Box"/>
    <n v="0.38"/>
    <d v="2009-05-27T00:00:00"/>
    <n v="0"/>
    <n v="0"/>
    <n v="0.5"/>
    <n v="0.5"/>
  </r>
  <r>
    <n v="8065"/>
    <n v="57538"/>
    <x v="773"/>
    <x v="6"/>
    <s v="Critical"/>
    <n v="40"/>
    <n v="1370.49"/>
    <n v="0.08"/>
    <s v="Regular Air"/>
    <n v="-244.63"/>
    <n v="33.979999999999997"/>
    <n v="19.989999999999998"/>
    <x v="92"/>
    <x v="6"/>
    <x v="5"/>
    <x v="0"/>
    <x v="2"/>
    <x v="4"/>
    <x v="90"/>
    <s v="Small Box"/>
    <n v="0.55000000000000004"/>
    <d v="2010-02-22T00:00:00"/>
    <n v="0"/>
    <n v="0"/>
    <n v="1"/>
    <n v="1"/>
  </r>
  <r>
    <n v="8201"/>
    <n v="58656"/>
    <x v="384"/>
    <x v="15"/>
    <s v="High"/>
    <n v="5"/>
    <n v="39.44"/>
    <n v="0"/>
    <s v="Regular Air"/>
    <n v="-0.94299999999999995"/>
    <n v="6.75"/>
    <n v="2.99"/>
    <x v="209"/>
    <x v="6"/>
    <x v="5"/>
    <x v="0"/>
    <x v="0"/>
    <x v="2"/>
    <x v="239"/>
    <s v="Small Box"/>
    <n v="0.35"/>
    <d v="2010-12-06T00:00:00"/>
    <n v="0"/>
    <n v="0"/>
    <n v="0.5"/>
    <n v="0.5"/>
  </r>
  <r>
    <n v="8202"/>
    <n v="58656"/>
    <x v="384"/>
    <x v="15"/>
    <s v="High"/>
    <n v="3"/>
    <n v="11.01"/>
    <n v="0.09"/>
    <s v="Regular Air"/>
    <n v="-1.42"/>
    <n v="2.08"/>
    <n v="5.33"/>
    <x v="209"/>
    <x v="6"/>
    <x v="5"/>
    <x v="0"/>
    <x v="2"/>
    <x v="4"/>
    <x v="109"/>
    <s v="Small Box"/>
    <n v="0.43"/>
    <d v="2010-12-06T00:00:00"/>
    <n v="0"/>
    <n v="0"/>
    <n v="0.5"/>
    <n v="0.5"/>
  </r>
  <r>
    <n v="8226"/>
    <n v="58789"/>
    <x v="774"/>
    <x v="3"/>
    <s v="Low"/>
    <n v="26"/>
    <n v="195.51"/>
    <n v="0.03"/>
    <s v="Regular Air"/>
    <n v="-105.71950000000001"/>
    <n v="7.3"/>
    <n v="7.72"/>
    <x v="92"/>
    <x v="6"/>
    <x v="5"/>
    <x v="0"/>
    <x v="0"/>
    <x v="2"/>
    <x v="6"/>
    <s v="Small Box"/>
    <n v="0.38"/>
    <d v="2010-08-09T00:00:00"/>
    <n v="0"/>
    <n v="0"/>
    <n v="0.5"/>
    <n v="0.5"/>
  </r>
  <r>
    <n v="8227"/>
    <n v="58789"/>
    <x v="774"/>
    <x v="3"/>
    <s v="Low"/>
    <n v="38"/>
    <n v="377.13"/>
    <n v="0.02"/>
    <s v="Regular Air"/>
    <n v="-10.29"/>
    <n v="9.77"/>
    <n v="6.02"/>
    <x v="92"/>
    <x v="6"/>
    <x v="5"/>
    <x v="0"/>
    <x v="2"/>
    <x v="4"/>
    <x v="321"/>
    <s v="Medium Box"/>
    <n v="0.48"/>
    <d v="2010-08-10T00:00:00"/>
    <n v="0"/>
    <n v="0"/>
    <n v="0.5"/>
    <n v="0.5"/>
  </r>
  <r>
    <n v="8280"/>
    <n v="59200"/>
    <x v="775"/>
    <x v="25"/>
    <s v="Medium"/>
    <n v="4"/>
    <n v="170.45"/>
    <n v="0.09"/>
    <s v="Regular Air"/>
    <n v="-30.27"/>
    <n v="42.98"/>
    <n v="4.62"/>
    <x v="197"/>
    <x v="6"/>
    <x v="5"/>
    <x v="3"/>
    <x v="0"/>
    <x v="1"/>
    <x v="667"/>
    <s v="Small Box"/>
    <n v="0.56000000000000005"/>
    <d v="2011-12-09T00:00:00"/>
    <n v="0"/>
    <n v="0"/>
    <n v="0.5"/>
    <n v="0.33333333333333331"/>
  </r>
  <r>
    <n v="8281"/>
    <n v="59200"/>
    <x v="775"/>
    <x v="25"/>
    <s v="Medium"/>
    <n v="28"/>
    <n v="350.42"/>
    <n v="0.03"/>
    <s v="Regular Air"/>
    <n v="-37.299999999999997"/>
    <n v="11.97"/>
    <n v="5.81"/>
    <x v="197"/>
    <x v="6"/>
    <x v="5"/>
    <x v="3"/>
    <x v="0"/>
    <x v="12"/>
    <x v="393"/>
    <s v="Small Pack"/>
    <n v="0.6"/>
    <d v="2011-12-11T00:00:00"/>
    <n v="0"/>
    <n v="0"/>
    <n v="0.5"/>
    <n v="0.33333333333333331"/>
  </r>
  <r>
    <n v="8321"/>
    <n v="59459"/>
    <x v="391"/>
    <x v="40"/>
    <s v="Medium"/>
    <n v="40"/>
    <n v="69.66"/>
    <n v="7.0000000000000007E-2"/>
    <s v="Regular Air"/>
    <n v="-51.42"/>
    <n v="1.7"/>
    <n v="1.99"/>
    <x v="192"/>
    <x v="6"/>
    <x v="5"/>
    <x v="0"/>
    <x v="1"/>
    <x v="7"/>
    <x v="732"/>
    <s v="Small Pack"/>
    <n v="0.51"/>
    <d v="2009-02-05T00:00:00"/>
    <n v="0"/>
    <n v="0"/>
    <n v="1"/>
    <n v="1"/>
  </r>
  <r>
    <n v="8379"/>
    <n v="59878"/>
    <x v="776"/>
    <x v="20"/>
    <s v="High"/>
    <n v="6"/>
    <n v="112.4"/>
    <n v="0.1"/>
    <s v="Regular Air"/>
    <n v="-46.745099999999994"/>
    <n v="17.98"/>
    <n v="8.51"/>
    <x v="201"/>
    <x v="6"/>
    <x v="5"/>
    <x v="2"/>
    <x v="1"/>
    <x v="16"/>
    <x v="168"/>
    <s v="Medium Box"/>
    <n v="0.4"/>
    <d v="2012-05-29T00:00:00"/>
    <n v="0"/>
    <n v="0"/>
    <n v="0.5"/>
    <n v="0.5"/>
  </r>
  <r>
    <n v="8380"/>
    <n v="59878"/>
    <x v="776"/>
    <x v="20"/>
    <s v="High"/>
    <n v="23"/>
    <n v="249.64"/>
    <n v="0.08"/>
    <s v="Regular Air"/>
    <n v="-91.65"/>
    <n v="10.9"/>
    <n v="7.46"/>
    <x v="201"/>
    <x v="6"/>
    <x v="5"/>
    <x v="2"/>
    <x v="0"/>
    <x v="0"/>
    <x v="63"/>
    <s v="Small Box"/>
    <n v="0.59"/>
    <d v="2012-05-29T00:00:00"/>
    <n v="0"/>
    <n v="0"/>
    <n v="0.5"/>
    <n v="0.5"/>
  </r>
  <r>
    <n v="8386"/>
    <n v="59909"/>
    <x v="98"/>
    <x v="9"/>
    <s v="Low"/>
    <n v="11"/>
    <n v="1255.48"/>
    <n v="0.06"/>
    <s v="Delivery Truck"/>
    <n v="-292.6506"/>
    <n v="115.99"/>
    <n v="56.14"/>
    <x v="92"/>
    <x v="6"/>
    <x v="5"/>
    <x v="0"/>
    <x v="1"/>
    <x v="16"/>
    <x v="357"/>
    <s v="Jumbo Drum"/>
    <n v="0.4"/>
    <d v="2012-08-07T00:00:00"/>
    <n v="0"/>
    <n v="0"/>
    <n v="0.5"/>
    <n v="0.5"/>
  </r>
  <r>
    <n v="8387"/>
    <n v="59909"/>
    <x v="98"/>
    <x v="9"/>
    <s v="Low"/>
    <n v="46"/>
    <n v="411.56"/>
    <n v="0.09"/>
    <s v="Express Air"/>
    <n v="-188.02"/>
    <n v="9.3800000000000008"/>
    <n v="7.28"/>
    <x v="92"/>
    <x v="6"/>
    <x v="5"/>
    <x v="0"/>
    <x v="0"/>
    <x v="0"/>
    <x v="761"/>
    <s v="Small Box"/>
    <n v="0.56999999999999995"/>
    <d v="2012-08-12T00:00:00"/>
    <n v="0"/>
    <n v="0"/>
    <n v="0.5"/>
    <n v="0.5"/>
  </r>
  <r>
    <n v="184"/>
    <n v="1218"/>
    <x v="777"/>
    <x v="41"/>
    <s v="Not Specified"/>
    <n v="3"/>
    <n v="46.46"/>
    <n v="0.1"/>
    <s v="Regular Air"/>
    <n v="-25.13"/>
    <n v="14.42"/>
    <n v="6.75"/>
    <x v="210"/>
    <x v="6"/>
    <x v="5"/>
    <x v="2"/>
    <x v="0"/>
    <x v="1"/>
    <x v="793"/>
    <s v="Medium Box"/>
    <n v="0.52"/>
    <d v="2009-06-22T00:00:00"/>
    <n v="0"/>
    <n v="0"/>
    <n v="1"/>
    <n v="0.33333333333333331"/>
  </r>
  <r>
    <n v="237"/>
    <n v="1600"/>
    <x v="374"/>
    <x v="14"/>
    <s v="Medium"/>
    <n v="32"/>
    <n v="303.58999999999997"/>
    <n v="0.1"/>
    <s v="Regular Air"/>
    <n v="-45.99"/>
    <n v="9.65"/>
    <n v="6.22"/>
    <x v="211"/>
    <x v="6"/>
    <x v="5"/>
    <x v="2"/>
    <x v="2"/>
    <x v="4"/>
    <x v="50"/>
    <s v="Small Box"/>
    <n v="0.55000000000000004"/>
    <d v="2010-03-04T00:00:00"/>
    <n v="0"/>
    <n v="0"/>
    <n v="0.5"/>
    <n v="0.5"/>
  </r>
  <r>
    <n v="238"/>
    <n v="1600"/>
    <x v="374"/>
    <x v="14"/>
    <s v="Medium"/>
    <n v="36"/>
    <n v="191.6"/>
    <n v="0.04"/>
    <s v="Regular Air"/>
    <n v="-150.74"/>
    <n v="4.9800000000000004"/>
    <n v="7.44"/>
    <x v="211"/>
    <x v="6"/>
    <x v="5"/>
    <x v="2"/>
    <x v="0"/>
    <x v="5"/>
    <x v="877"/>
    <s v="Small Box"/>
    <n v="0.36"/>
    <d v="2010-03-03T00:00:00"/>
    <n v="0"/>
    <n v="0"/>
    <n v="0.5"/>
    <n v="0.5"/>
  </r>
  <r>
    <n v="347"/>
    <n v="2373"/>
    <x v="157"/>
    <x v="28"/>
    <s v="Not Specified"/>
    <n v="36"/>
    <n v="317.58999999999997"/>
    <n v="0.06"/>
    <s v="Regular Air"/>
    <n v="-46.115000000000002"/>
    <n v="8.6"/>
    <n v="6.19"/>
    <x v="210"/>
    <x v="6"/>
    <x v="5"/>
    <x v="2"/>
    <x v="0"/>
    <x v="2"/>
    <x v="682"/>
    <s v="Small Box"/>
    <n v="0.38"/>
    <d v="2009-03-12T00:00:00"/>
    <n v="0"/>
    <n v="0"/>
    <n v="1"/>
    <n v="1"/>
  </r>
  <r>
    <n v="377"/>
    <n v="2626"/>
    <x v="713"/>
    <x v="31"/>
    <s v="Not Specified"/>
    <n v="16"/>
    <n v="48.37"/>
    <n v="0.02"/>
    <s v="Regular Air"/>
    <n v="18.02"/>
    <n v="2.88"/>
    <n v="0.5"/>
    <x v="212"/>
    <x v="6"/>
    <x v="5"/>
    <x v="0"/>
    <x v="0"/>
    <x v="11"/>
    <x v="878"/>
    <s v="Small Box"/>
    <n v="0.36"/>
    <d v="2011-09-09T00:00:00"/>
    <n v="0"/>
    <n v="0"/>
    <n v="1"/>
    <n v="1"/>
  </r>
  <r>
    <n v="458"/>
    <n v="3109"/>
    <x v="778"/>
    <x v="42"/>
    <s v="Low"/>
    <n v="47"/>
    <n v="1005.74"/>
    <n v="0.1"/>
    <s v="Regular Air"/>
    <n v="199.3"/>
    <n v="22.23"/>
    <n v="8.99"/>
    <x v="211"/>
    <x v="6"/>
    <x v="5"/>
    <x v="2"/>
    <x v="2"/>
    <x v="4"/>
    <x v="744"/>
    <s v="Small Pack"/>
    <n v="0.41"/>
    <d v="2010-07-30T00:00:00"/>
    <n v="0"/>
    <n v="0"/>
    <n v="0.5"/>
    <n v="0.5"/>
  </r>
  <r>
    <n v="459"/>
    <n v="3109"/>
    <x v="778"/>
    <x v="42"/>
    <s v="Low"/>
    <n v="37"/>
    <n v="6477.7394999999997"/>
    <n v="0.01"/>
    <s v="Regular Air"/>
    <n v="1653.9659999999999"/>
    <n v="205.99"/>
    <n v="8.99"/>
    <x v="211"/>
    <x v="6"/>
    <x v="5"/>
    <x v="2"/>
    <x v="1"/>
    <x v="3"/>
    <x v="879"/>
    <s v="Small Box"/>
    <n v="0.57999999999999996"/>
    <d v="2010-07-30T00:00:00"/>
    <n v="0"/>
    <n v="0"/>
    <n v="0.5"/>
    <n v="0.5"/>
  </r>
  <r>
    <n v="555"/>
    <n v="3777"/>
    <x v="315"/>
    <x v="46"/>
    <s v="Medium"/>
    <n v="14"/>
    <n v="244.85"/>
    <n v="0.06"/>
    <s v="Express Air"/>
    <n v="38.06"/>
    <n v="17.670000000000002"/>
    <n v="8.99"/>
    <x v="212"/>
    <x v="6"/>
    <x v="5"/>
    <x v="0"/>
    <x v="2"/>
    <x v="4"/>
    <x v="594"/>
    <s v="Small Pack"/>
    <n v="0.47"/>
    <d v="2009-04-08T00:00:00"/>
    <n v="0"/>
    <n v="0"/>
    <n v="1"/>
    <n v="1"/>
  </r>
  <r>
    <n v="583"/>
    <n v="3973"/>
    <x v="75"/>
    <x v="33"/>
    <s v="Not Specified"/>
    <n v="21"/>
    <n v="316.35000000000002"/>
    <n v="0.06"/>
    <s v="Regular Air"/>
    <n v="117.91"/>
    <n v="15.68"/>
    <n v="3.73"/>
    <x v="213"/>
    <x v="6"/>
    <x v="5"/>
    <x v="2"/>
    <x v="2"/>
    <x v="4"/>
    <x v="797"/>
    <s v="Small Pack"/>
    <n v="0.46"/>
    <d v="2012-03-25T00:00:00"/>
    <n v="0"/>
    <n v="0"/>
    <n v="1"/>
    <n v="1"/>
  </r>
  <r>
    <n v="704"/>
    <n v="4932"/>
    <x v="712"/>
    <x v="3"/>
    <s v="Critical"/>
    <n v="11"/>
    <n v="109.37"/>
    <n v="7.0000000000000007E-2"/>
    <s v="Regular Air"/>
    <n v="25.96"/>
    <n v="10.31"/>
    <n v="1.79"/>
    <x v="213"/>
    <x v="6"/>
    <x v="5"/>
    <x v="2"/>
    <x v="0"/>
    <x v="5"/>
    <x v="171"/>
    <s v="Wrap Bag"/>
    <n v="0.38"/>
    <d v="2010-08-11T00:00:00"/>
    <n v="0"/>
    <n v="0"/>
    <n v="1"/>
    <n v="1"/>
  </r>
  <r>
    <n v="999"/>
    <n v="7239"/>
    <x v="779"/>
    <x v="4"/>
    <s v="Medium"/>
    <n v="50"/>
    <n v="6206.16"/>
    <n v="0.03"/>
    <s v="Regular Air"/>
    <n v="1416.27"/>
    <n v="120.33"/>
    <n v="19.989999999999998"/>
    <x v="210"/>
    <x v="6"/>
    <x v="5"/>
    <x v="0"/>
    <x v="0"/>
    <x v="0"/>
    <x v="870"/>
    <s v="Small Box"/>
    <n v="0.59"/>
    <d v="2011-07-01T00:00:00"/>
    <n v="0"/>
    <n v="0"/>
    <n v="1"/>
    <n v="1"/>
  </r>
  <r>
    <n v="1246"/>
    <n v="9088"/>
    <x v="109"/>
    <x v="41"/>
    <s v="Critical"/>
    <n v="50"/>
    <n v="15383.7"/>
    <n v="0.03"/>
    <s v="Regular Air"/>
    <n v="6523.2569999999996"/>
    <n v="304.99"/>
    <n v="19.989999999999998"/>
    <x v="214"/>
    <x v="6"/>
    <x v="5"/>
    <x v="3"/>
    <x v="0"/>
    <x v="2"/>
    <x v="880"/>
    <s v="Small Box"/>
    <n v="0.4"/>
    <d v="2009-06-24T00:00:00"/>
    <n v="0"/>
    <n v="0"/>
    <n v="0.5"/>
    <n v="0.5"/>
  </r>
  <r>
    <n v="1247"/>
    <n v="9088"/>
    <x v="109"/>
    <x v="41"/>
    <s v="Critical"/>
    <n v="31"/>
    <n v="1637.4570000000001"/>
    <n v="0.09"/>
    <s v="Regular Air"/>
    <n v="118.152"/>
    <n v="65.989999999999995"/>
    <n v="8.99"/>
    <x v="214"/>
    <x v="6"/>
    <x v="5"/>
    <x v="3"/>
    <x v="1"/>
    <x v="3"/>
    <x v="451"/>
    <s v="Small Box"/>
    <n v="0.57999999999999996"/>
    <d v="2009-06-24T00:00:00"/>
    <n v="0"/>
    <n v="0"/>
    <n v="0.5"/>
    <n v="0.5"/>
  </r>
  <r>
    <n v="1584"/>
    <n v="11428"/>
    <x v="417"/>
    <x v="23"/>
    <s v="Medium"/>
    <n v="16"/>
    <n v="1554.53"/>
    <n v="0"/>
    <s v="Regular Air"/>
    <n v="474.66"/>
    <n v="90.48"/>
    <n v="19.989999999999998"/>
    <x v="215"/>
    <x v="6"/>
    <x v="5"/>
    <x v="0"/>
    <x v="0"/>
    <x v="8"/>
    <x v="881"/>
    <s v="Small Box"/>
    <n v="0.4"/>
    <d v="2012-01-21T00:00:00"/>
    <n v="0"/>
    <n v="0"/>
    <n v="1"/>
    <n v="1"/>
  </r>
  <r>
    <n v="1736"/>
    <n v="12452"/>
    <x v="131"/>
    <x v="15"/>
    <s v="Medium"/>
    <n v="1"/>
    <n v="356.95"/>
    <n v="0.08"/>
    <s v="Regular Air"/>
    <n v="-228.2405"/>
    <n v="387.99"/>
    <n v="19.989999999999998"/>
    <x v="215"/>
    <x v="6"/>
    <x v="5"/>
    <x v="2"/>
    <x v="0"/>
    <x v="2"/>
    <x v="243"/>
    <s v="Small Box"/>
    <n v="0.38"/>
    <d v="2010-12-08T00:00:00"/>
    <n v="0"/>
    <n v="0"/>
    <n v="0.33333333333333331"/>
    <n v="0.14285714285714285"/>
  </r>
  <r>
    <n v="1737"/>
    <n v="12452"/>
    <x v="131"/>
    <x v="15"/>
    <s v="Medium"/>
    <n v="17"/>
    <n v="112.86"/>
    <n v="0.04"/>
    <s v="Regular Air"/>
    <n v="-56.78"/>
    <n v="6.6"/>
    <n v="4.07"/>
    <x v="215"/>
    <x v="6"/>
    <x v="5"/>
    <x v="2"/>
    <x v="1"/>
    <x v="7"/>
    <x v="882"/>
    <s v="Small Pack"/>
    <n v="0.66"/>
    <d v="2010-12-09T00:00:00"/>
    <n v="0"/>
    <n v="0"/>
    <n v="0.33333333333333331"/>
    <n v="0.14285714285714285"/>
  </r>
  <r>
    <n v="1738"/>
    <n v="12452"/>
    <x v="131"/>
    <x v="15"/>
    <s v="Medium"/>
    <n v="38"/>
    <n v="2063.42"/>
    <n v="0.03"/>
    <s v="Regular Air"/>
    <n v="989.95"/>
    <n v="55.98"/>
    <n v="5.15"/>
    <x v="215"/>
    <x v="6"/>
    <x v="5"/>
    <x v="2"/>
    <x v="0"/>
    <x v="5"/>
    <x v="883"/>
    <s v="Small Box"/>
    <n v="0.36"/>
    <d v="2010-12-09T00:00:00"/>
    <n v="0"/>
    <n v="0"/>
    <n v="0.33333333333333331"/>
    <n v="0.14285714285714285"/>
  </r>
  <r>
    <n v="1853"/>
    <n v="13345"/>
    <x v="780"/>
    <x v="34"/>
    <s v="Not Specified"/>
    <n v="24"/>
    <n v="116.82"/>
    <n v="0.02"/>
    <s v="Regular Air"/>
    <n v="-42.05"/>
    <n v="4.7699999999999996"/>
    <n v="2.39"/>
    <x v="215"/>
    <x v="6"/>
    <x v="5"/>
    <x v="2"/>
    <x v="1"/>
    <x v="7"/>
    <x v="568"/>
    <s v="Small Pack"/>
    <n v="0.72"/>
    <d v="2012-09-03T00:00:00"/>
    <n v="0"/>
    <n v="0"/>
    <n v="0.5"/>
    <n v="0.5"/>
  </r>
  <r>
    <n v="1854"/>
    <n v="13345"/>
    <x v="780"/>
    <x v="34"/>
    <s v="Not Specified"/>
    <n v="45"/>
    <n v="483.64"/>
    <n v="0.1"/>
    <s v="Regular Air"/>
    <n v="28.39"/>
    <n v="10.98"/>
    <n v="3.37"/>
    <x v="215"/>
    <x v="6"/>
    <x v="5"/>
    <x v="2"/>
    <x v="0"/>
    <x v="15"/>
    <x v="340"/>
    <s v="Small Pack"/>
    <n v="0.56999999999999995"/>
    <d v="2012-09-02T00:00:00"/>
    <n v="0"/>
    <n v="0"/>
    <n v="0.5"/>
    <n v="0.5"/>
  </r>
  <r>
    <n v="1864"/>
    <n v="13410"/>
    <x v="781"/>
    <x v="30"/>
    <s v="Not Specified"/>
    <n v="4"/>
    <n v="33.64"/>
    <n v="7.0000000000000007E-2"/>
    <s v="Regular Air"/>
    <n v="-35.17"/>
    <n v="8.1199999999999992"/>
    <n v="2.83"/>
    <x v="213"/>
    <x v="6"/>
    <x v="5"/>
    <x v="2"/>
    <x v="1"/>
    <x v="7"/>
    <x v="483"/>
    <s v="Small Pack"/>
    <n v="0.77"/>
    <d v="2010-06-08T00:00:00"/>
    <n v="0"/>
    <n v="0"/>
    <n v="0.5"/>
    <n v="0.5"/>
  </r>
  <r>
    <n v="1865"/>
    <n v="13410"/>
    <x v="781"/>
    <x v="30"/>
    <s v="Not Specified"/>
    <n v="29"/>
    <n v="701.94"/>
    <n v="0.01"/>
    <s v="Regular Air"/>
    <n v="158.91"/>
    <n v="23.99"/>
    <n v="6.3"/>
    <x v="213"/>
    <x v="6"/>
    <x v="5"/>
    <x v="2"/>
    <x v="1"/>
    <x v="16"/>
    <x v="450"/>
    <s v="Medium Box"/>
    <n v="0.38"/>
    <d v="2010-06-07T00:00:00"/>
    <n v="0"/>
    <n v="0"/>
    <n v="0.5"/>
    <n v="0.5"/>
  </r>
  <r>
    <n v="2193"/>
    <n v="15808"/>
    <x v="309"/>
    <x v="15"/>
    <s v="Critical"/>
    <n v="33"/>
    <n v="126.88"/>
    <n v="0.05"/>
    <s v="Regular Air"/>
    <n v="12.63"/>
    <n v="3.7"/>
    <n v="1.61"/>
    <x v="215"/>
    <x v="6"/>
    <x v="5"/>
    <x v="2"/>
    <x v="2"/>
    <x v="4"/>
    <x v="467"/>
    <s v="Wrap Bag"/>
    <n v="0.44"/>
    <d v="2010-12-14T00:00:00"/>
    <n v="0"/>
    <n v="0"/>
    <n v="0.25"/>
    <n v="0.14285714285714285"/>
  </r>
  <r>
    <n v="2194"/>
    <n v="15808"/>
    <x v="309"/>
    <x v="15"/>
    <s v="Critical"/>
    <n v="42"/>
    <n v="906.64"/>
    <n v="7.0000000000000007E-2"/>
    <s v="Express Air"/>
    <n v="-148.92500000000001"/>
    <n v="22.38"/>
    <n v="15.1"/>
    <x v="215"/>
    <x v="6"/>
    <x v="5"/>
    <x v="2"/>
    <x v="0"/>
    <x v="2"/>
    <x v="290"/>
    <s v="Small Box"/>
    <n v="0.38"/>
    <d v="2010-12-14T00:00:00"/>
    <n v="0"/>
    <n v="0"/>
    <n v="0.25"/>
    <n v="0.14285714285714285"/>
  </r>
  <r>
    <n v="2195"/>
    <n v="15808"/>
    <x v="309"/>
    <x v="15"/>
    <s v="Critical"/>
    <n v="45"/>
    <n v="882.96"/>
    <n v="0.06"/>
    <s v="Regular Air"/>
    <n v="11.65"/>
    <n v="19.98"/>
    <n v="4"/>
    <x v="215"/>
    <x v="6"/>
    <x v="5"/>
    <x v="2"/>
    <x v="1"/>
    <x v="7"/>
    <x v="507"/>
    <s v="Small Box"/>
    <n v="0.68"/>
    <d v="2010-12-16T00:00:00"/>
    <n v="0"/>
    <n v="0"/>
    <n v="0.25"/>
    <n v="0.14285714285714285"/>
  </r>
  <r>
    <n v="2196"/>
    <n v="15808"/>
    <x v="309"/>
    <x v="15"/>
    <s v="Critical"/>
    <n v="3"/>
    <n v="58.14"/>
    <n v="0.01"/>
    <s v="Regular Air"/>
    <n v="-96.25"/>
    <n v="20.99"/>
    <n v="4.8099999999999996"/>
    <x v="215"/>
    <x v="6"/>
    <x v="5"/>
    <x v="2"/>
    <x v="1"/>
    <x v="3"/>
    <x v="591"/>
    <s v="Medium Box"/>
    <n v="0.57999999999999996"/>
    <d v="2010-12-15T00:00:00"/>
    <n v="0"/>
    <n v="0"/>
    <n v="0.25"/>
    <n v="0.14285714285714285"/>
  </r>
  <r>
    <n v="2271"/>
    <n v="16326"/>
    <x v="782"/>
    <x v="39"/>
    <s v="High"/>
    <n v="39"/>
    <n v="1538.33"/>
    <n v="0.03"/>
    <s v="Regular Air"/>
    <n v="471.35"/>
    <n v="39.479999999999997"/>
    <n v="1.99"/>
    <x v="215"/>
    <x v="6"/>
    <x v="5"/>
    <x v="2"/>
    <x v="1"/>
    <x v="7"/>
    <x v="64"/>
    <s v="Small Pack"/>
    <n v="0.54"/>
    <d v="2010-05-12T00:00:00"/>
    <n v="0"/>
    <n v="0"/>
    <n v="0.5"/>
    <n v="0.5"/>
  </r>
  <r>
    <n v="2272"/>
    <n v="16326"/>
    <x v="782"/>
    <x v="39"/>
    <s v="High"/>
    <n v="39"/>
    <n v="147.46"/>
    <n v="0.06"/>
    <s v="Regular Air"/>
    <n v="14.13"/>
    <n v="3.71"/>
    <n v="1.93"/>
    <x v="215"/>
    <x v="6"/>
    <x v="5"/>
    <x v="2"/>
    <x v="0"/>
    <x v="5"/>
    <x v="884"/>
    <s v="Wrap Bag"/>
    <n v="0.35"/>
    <d v="2010-05-10T00:00:00"/>
    <n v="0"/>
    <n v="0"/>
    <n v="0.5"/>
    <n v="0.5"/>
  </r>
  <r>
    <n v="2474"/>
    <n v="17985"/>
    <x v="783"/>
    <x v="37"/>
    <s v="Medium"/>
    <n v="4"/>
    <n v="473.88"/>
    <n v="0.01"/>
    <s v="Delivery Truck"/>
    <n v="-183.26"/>
    <n v="110.98"/>
    <n v="30"/>
    <x v="216"/>
    <x v="6"/>
    <x v="5"/>
    <x v="3"/>
    <x v="2"/>
    <x v="14"/>
    <x v="503"/>
    <s v="Jumbo Drum"/>
    <n v="0.71"/>
    <d v="2011-04-13T00:00:00"/>
    <n v="0"/>
    <n v="0"/>
    <n v="0.5"/>
    <n v="0.25"/>
  </r>
  <r>
    <n v="2475"/>
    <n v="17985"/>
    <x v="783"/>
    <x v="37"/>
    <s v="Medium"/>
    <n v="50"/>
    <n v="849.03099999999995"/>
    <n v="7.0000000000000007E-2"/>
    <s v="Regular Air"/>
    <n v="-133.309"/>
    <n v="20.99"/>
    <n v="3.3"/>
    <x v="216"/>
    <x v="6"/>
    <x v="5"/>
    <x v="3"/>
    <x v="1"/>
    <x v="3"/>
    <x v="180"/>
    <s v="Small Pack"/>
    <n v="0.81"/>
    <d v="2011-04-14T00:00:00"/>
    <n v="0"/>
    <n v="0"/>
    <n v="0.5"/>
    <n v="0.25"/>
  </r>
  <r>
    <n v="2841"/>
    <n v="20480"/>
    <x v="784"/>
    <x v="22"/>
    <s v="Medium"/>
    <n v="4"/>
    <n v="1042.6300000000001"/>
    <n v="0.02"/>
    <s v="Delivery Truck"/>
    <n v="-219.93"/>
    <n v="240.98"/>
    <n v="60.2"/>
    <x v="211"/>
    <x v="6"/>
    <x v="5"/>
    <x v="2"/>
    <x v="2"/>
    <x v="9"/>
    <x v="885"/>
    <s v="Jumbo Box"/>
    <n v="0.56000000000000005"/>
    <d v="2009-01-31T00:00:00"/>
    <n v="0"/>
    <n v="1"/>
    <n v="0.5"/>
    <n v="0.5"/>
  </r>
  <r>
    <n v="2919"/>
    <n v="21091"/>
    <x v="521"/>
    <x v="47"/>
    <s v="High"/>
    <n v="32"/>
    <n v="270.73"/>
    <n v="0.1"/>
    <s v="Express Air"/>
    <n v="-54.567500000000003"/>
    <n v="8.8800000000000008"/>
    <n v="6.28"/>
    <x v="215"/>
    <x v="6"/>
    <x v="5"/>
    <x v="2"/>
    <x v="0"/>
    <x v="2"/>
    <x v="886"/>
    <s v="Small Box"/>
    <n v="0.35"/>
    <d v="2009-12-14T00:00:00"/>
    <n v="0"/>
    <n v="0"/>
    <n v="1"/>
    <n v="1"/>
  </r>
  <r>
    <n v="3748"/>
    <n v="26759"/>
    <x v="767"/>
    <x v="23"/>
    <s v="Not Specified"/>
    <n v="30"/>
    <n v="251.11"/>
    <n v="0.03"/>
    <s v="Regular Air"/>
    <n v="10.038500000000001"/>
    <n v="7.84"/>
    <n v="4.71"/>
    <x v="213"/>
    <x v="6"/>
    <x v="5"/>
    <x v="1"/>
    <x v="0"/>
    <x v="2"/>
    <x v="39"/>
    <s v="Small Box"/>
    <n v="0.35"/>
    <d v="2012-01-27T00:00:00"/>
    <n v="0"/>
    <n v="0"/>
    <n v="1"/>
    <n v="1"/>
  </r>
  <r>
    <n v="3759"/>
    <n v="26853"/>
    <x v="43"/>
    <x v="8"/>
    <s v="Low"/>
    <n v="21"/>
    <n v="64.44"/>
    <n v="0"/>
    <s v="Regular Air"/>
    <n v="-89.02"/>
    <n v="2.66"/>
    <n v="6.35"/>
    <x v="214"/>
    <x v="6"/>
    <x v="5"/>
    <x v="0"/>
    <x v="0"/>
    <x v="8"/>
    <x v="887"/>
    <s v="Small Box"/>
    <n v="0.36"/>
    <d v="2012-06-16T00:00:00"/>
    <n v="0"/>
    <n v="0"/>
    <n v="1"/>
    <n v="1"/>
  </r>
  <r>
    <n v="3768"/>
    <n v="26918"/>
    <x v="319"/>
    <x v="46"/>
    <s v="Low"/>
    <n v="16"/>
    <n v="77.959999999999994"/>
    <n v="0.05"/>
    <s v="Regular Air"/>
    <n v="16.649999999999999"/>
    <n v="4.84"/>
    <n v="0.71"/>
    <x v="214"/>
    <x v="6"/>
    <x v="5"/>
    <x v="3"/>
    <x v="0"/>
    <x v="12"/>
    <x v="486"/>
    <s v="Wrap Bag"/>
    <n v="0.52"/>
    <d v="2009-04-15T00:00:00"/>
    <n v="0"/>
    <n v="0"/>
    <n v="1"/>
    <n v="1"/>
  </r>
  <r>
    <n v="3847"/>
    <n v="27456"/>
    <x v="591"/>
    <x v="46"/>
    <s v="Not Specified"/>
    <n v="29"/>
    <n v="9492.92"/>
    <n v="0.05"/>
    <s v="Delivery Truck"/>
    <n v="772.04"/>
    <n v="328.14"/>
    <n v="91.05"/>
    <x v="216"/>
    <x v="6"/>
    <x v="5"/>
    <x v="3"/>
    <x v="0"/>
    <x v="1"/>
    <x v="888"/>
    <s v="Jumbo Drum"/>
    <n v="0.56999999999999995"/>
    <d v="2009-04-11T00:00:00"/>
    <n v="0"/>
    <n v="0"/>
    <n v="1"/>
    <n v="1"/>
  </r>
  <r>
    <n v="3980"/>
    <n v="28420"/>
    <x v="414"/>
    <x v="35"/>
    <s v="Low"/>
    <n v="2"/>
    <n v="45.64"/>
    <n v="0.08"/>
    <s v="Express Air"/>
    <n v="-0.10999999999999943"/>
    <n v="15.57"/>
    <n v="1.39"/>
    <x v="215"/>
    <x v="6"/>
    <x v="5"/>
    <x v="2"/>
    <x v="0"/>
    <x v="8"/>
    <x v="889"/>
    <s v="Small Box"/>
    <n v="0.38"/>
    <d v="2009-09-24T00:00:00"/>
    <n v="0"/>
    <n v="0"/>
    <n v="1"/>
    <n v="1"/>
  </r>
  <r>
    <n v="4123"/>
    <n v="29318"/>
    <x v="785"/>
    <x v="4"/>
    <s v="Not Specified"/>
    <n v="21"/>
    <n v="2954.14"/>
    <n v="0.04"/>
    <s v="Express Air"/>
    <n v="-522.94000000000005"/>
    <n v="138.13999999999999"/>
    <n v="35"/>
    <x v="213"/>
    <x v="6"/>
    <x v="5"/>
    <x v="2"/>
    <x v="0"/>
    <x v="0"/>
    <x v="8"/>
    <s v="Large Box"/>
    <m/>
    <d v="2011-07-01T00:00:00"/>
    <n v="0"/>
    <n v="0"/>
    <n v="0.5"/>
    <n v="0.5"/>
  </r>
  <r>
    <n v="4124"/>
    <n v="29318"/>
    <x v="785"/>
    <x v="4"/>
    <s v="Not Specified"/>
    <n v="34"/>
    <n v="3375.3074999999999"/>
    <n v="0.1"/>
    <s v="Regular Air"/>
    <n v="562.13100000000009"/>
    <n v="125.99"/>
    <n v="8.08"/>
    <x v="213"/>
    <x v="6"/>
    <x v="5"/>
    <x v="2"/>
    <x v="1"/>
    <x v="3"/>
    <x v="162"/>
    <s v="Small Box"/>
    <n v="0.56999999999999995"/>
    <d v="2011-07-01T00:00:00"/>
    <n v="0"/>
    <n v="0"/>
    <n v="0.5"/>
    <n v="0.5"/>
  </r>
  <r>
    <n v="4223"/>
    <n v="30016"/>
    <x v="786"/>
    <x v="22"/>
    <s v="Critical"/>
    <n v="15"/>
    <n v="85.56"/>
    <n v="0.03"/>
    <s v="Regular Air"/>
    <n v="-41.58"/>
    <n v="5.28"/>
    <n v="5.66"/>
    <x v="215"/>
    <x v="6"/>
    <x v="5"/>
    <x v="2"/>
    <x v="0"/>
    <x v="5"/>
    <x v="299"/>
    <s v="Small Box"/>
    <n v="0.4"/>
    <d v="2009-01-05T00:00:00"/>
    <n v="0"/>
    <n v="1"/>
    <n v="0.5"/>
    <n v="0.5"/>
  </r>
  <r>
    <n v="4224"/>
    <n v="30016"/>
    <x v="786"/>
    <x v="22"/>
    <s v="Critical"/>
    <n v="8"/>
    <n v="754.65549999999996"/>
    <n v="0.01"/>
    <s v="Regular Air"/>
    <n v="-212.553"/>
    <n v="110.99"/>
    <n v="2.5"/>
    <x v="215"/>
    <x v="6"/>
    <x v="5"/>
    <x v="2"/>
    <x v="1"/>
    <x v="3"/>
    <x v="368"/>
    <s v="Small Box"/>
    <n v="0.56999999999999995"/>
    <d v="2009-01-06T00:00:00"/>
    <n v="0"/>
    <n v="1"/>
    <n v="0.5"/>
    <n v="0.5"/>
  </r>
  <r>
    <n v="4676"/>
    <n v="33255"/>
    <x v="72"/>
    <x v="30"/>
    <s v="Critical"/>
    <n v="19"/>
    <n v="108.21"/>
    <n v="0.08"/>
    <s v="Express Air"/>
    <n v="-50.02"/>
    <n v="5.28"/>
    <n v="5.66"/>
    <x v="214"/>
    <x v="6"/>
    <x v="5"/>
    <x v="3"/>
    <x v="0"/>
    <x v="5"/>
    <x v="299"/>
    <s v="Small Box"/>
    <n v="0.4"/>
    <d v="2010-06-25T00:00:00"/>
    <n v="0"/>
    <n v="0"/>
    <n v="1"/>
    <n v="1"/>
  </r>
  <r>
    <n v="4933"/>
    <n v="35104"/>
    <x v="301"/>
    <x v="13"/>
    <s v="High"/>
    <n v="1"/>
    <n v="36.31"/>
    <n v="0.04"/>
    <s v="Regular Air"/>
    <n v="-74.45"/>
    <n v="29.99"/>
    <n v="5.5"/>
    <x v="215"/>
    <x v="6"/>
    <x v="5"/>
    <x v="0"/>
    <x v="1"/>
    <x v="7"/>
    <x v="890"/>
    <s v="Small Box"/>
    <n v="0.51"/>
    <d v="2012-04-25T00:00:00"/>
    <n v="0"/>
    <n v="0"/>
    <n v="0.5"/>
    <n v="0.5"/>
  </r>
  <r>
    <n v="4934"/>
    <n v="35104"/>
    <x v="301"/>
    <x v="13"/>
    <s v="High"/>
    <n v="18"/>
    <n v="388.15"/>
    <n v="0"/>
    <s v="Regular Air"/>
    <n v="-44.21"/>
    <n v="19.940000000000001"/>
    <n v="14.87"/>
    <x v="215"/>
    <x v="6"/>
    <x v="5"/>
    <x v="0"/>
    <x v="2"/>
    <x v="4"/>
    <x v="252"/>
    <s v="Large Box"/>
    <n v="0.56999999999999995"/>
    <d v="2012-04-24T00:00:00"/>
    <n v="0"/>
    <n v="0"/>
    <n v="0.5"/>
    <n v="0.5"/>
  </r>
  <r>
    <n v="4946"/>
    <n v="35142"/>
    <x v="787"/>
    <x v="24"/>
    <s v="Low"/>
    <n v="11"/>
    <n v="231.27"/>
    <n v="0.03"/>
    <s v="Regular Air"/>
    <n v="89.29"/>
    <n v="20.239999999999998"/>
    <n v="6.67"/>
    <x v="185"/>
    <x v="6"/>
    <x v="5"/>
    <x v="2"/>
    <x v="2"/>
    <x v="4"/>
    <x v="302"/>
    <s v="Small Pack"/>
    <n v="0.49"/>
    <d v="2010-04-24T00:00:00"/>
    <n v="0"/>
    <n v="0"/>
    <n v="1"/>
    <n v="1"/>
  </r>
  <r>
    <n v="4997"/>
    <n v="35584"/>
    <x v="788"/>
    <x v="10"/>
    <s v="Medium"/>
    <n v="15"/>
    <n v="150.33000000000001"/>
    <n v="0.08"/>
    <s v="Express Air"/>
    <n v="-98.23"/>
    <n v="9.7100000000000009"/>
    <n v="9.4499999999999993"/>
    <x v="185"/>
    <x v="6"/>
    <x v="5"/>
    <x v="2"/>
    <x v="0"/>
    <x v="0"/>
    <x v="716"/>
    <s v="Small Box"/>
    <n v="0.6"/>
    <d v="2011-05-03T00:00:00"/>
    <n v="0"/>
    <n v="0"/>
    <n v="1"/>
    <n v="1"/>
  </r>
  <r>
    <n v="5037"/>
    <n v="35908"/>
    <x v="611"/>
    <x v="15"/>
    <s v="Not Specified"/>
    <n v="40"/>
    <n v="240.18"/>
    <n v="0.06"/>
    <s v="Regular Air"/>
    <n v="-160.21"/>
    <n v="5.78"/>
    <n v="7.64"/>
    <x v="22"/>
    <x v="6"/>
    <x v="5"/>
    <x v="0"/>
    <x v="0"/>
    <x v="5"/>
    <x v="629"/>
    <s v="Small Box"/>
    <n v="0.36"/>
    <d v="2010-12-14T00:00:00"/>
    <n v="0"/>
    <n v="0"/>
    <n v="0.5"/>
    <n v="0.5"/>
  </r>
  <r>
    <n v="5038"/>
    <n v="35908"/>
    <x v="611"/>
    <x v="15"/>
    <s v="Not Specified"/>
    <n v="45"/>
    <n v="529.28"/>
    <n v="0.1"/>
    <s v="Express Air"/>
    <n v="-30.27"/>
    <n v="12.21"/>
    <n v="4.8099999999999996"/>
    <x v="22"/>
    <x v="6"/>
    <x v="5"/>
    <x v="0"/>
    <x v="0"/>
    <x v="0"/>
    <x v="272"/>
    <s v="Small Box"/>
    <n v="0.57999999999999996"/>
    <d v="2010-12-13T00:00:00"/>
    <n v="0"/>
    <n v="0"/>
    <n v="0.5"/>
    <n v="0.5"/>
  </r>
  <r>
    <n v="5152"/>
    <n v="36706"/>
    <x v="789"/>
    <x v="46"/>
    <s v="Not Specified"/>
    <n v="47"/>
    <n v="887.45"/>
    <n v="0.1"/>
    <s v="Regular Air"/>
    <n v="365.78899999999999"/>
    <n v="20.98"/>
    <n v="1.49"/>
    <x v="22"/>
    <x v="6"/>
    <x v="5"/>
    <x v="0"/>
    <x v="0"/>
    <x v="2"/>
    <x v="498"/>
    <s v="Small Box"/>
    <n v="0.35"/>
    <d v="2009-04-13T00:00:00"/>
    <n v="0"/>
    <n v="0"/>
    <n v="0.5"/>
    <n v="0.5"/>
  </r>
  <r>
    <n v="5153"/>
    <n v="36706"/>
    <x v="789"/>
    <x v="46"/>
    <s v="Not Specified"/>
    <n v="7"/>
    <n v="355.97"/>
    <n v="0.03"/>
    <s v="Regular Air"/>
    <n v="-4.4599999999999937"/>
    <n v="48.04"/>
    <n v="19.989999999999998"/>
    <x v="22"/>
    <x v="6"/>
    <x v="5"/>
    <x v="0"/>
    <x v="0"/>
    <x v="5"/>
    <x v="891"/>
    <s v="Small Box"/>
    <n v="0.37"/>
    <d v="2009-04-13T00:00:00"/>
    <n v="0"/>
    <n v="0"/>
    <n v="0.5"/>
    <n v="0.5"/>
  </r>
  <r>
    <n v="5214"/>
    <n v="37121"/>
    <x v="515"/>
    <x v="5"/>
    <s v="Not Specified"/>
    <n v="44"/>
    <n v="9499.2999999999993"/>
    <n v="0.01"/>
    <s v="Delivery Truck"/>
    <n v="618.36"/>
    <n v="216.6"/>
    <n v="64.2"/>
    <x v="215"/>
    <x v="6"/>
    <x v="5"/>
    <x v="2"/>
    <x v="2"/>
    <x v="14"/>
    <x v="197"/>
    <s v="Jumbo Drum"/>
    <n v="0.59"/>
    <d v="2011-03-16T00:00:00"/>
    <n v="0"/>
    <n v="0"/>
    <n v="1"/>
    <n v="0.5"/>
  </r>
  <r>
    <n v="5420"/>
    <n v="38528"/>
    <x v="710"/>
    <x v="25"/>
    <s v="Critical"/>
    <n v="36"/>
    <n v="2544.9850000000001"/>
    <n v="7.0000000000000007E-2"/>
    <s v="Regular Air"/>
    <n v="-113.05800000000001"/>
    <n v="85.99"/>
    <n v="0.99"/>
    <x v="214"/>
    <x v="6"/>
    <x v="5"/>
    <x v="0"/>
    <x v="1"/>
    <x v="3"/>
    <x v="55"/>
    <s v="Wrap Bag"/>
    <n v="0.85"/>
    <d v="2011-12-21T00:00:00"/>
    <n v="0"/>
    <n v="0"/>
    <n v="0.5"/>
    <n v="0.25"/>
  </r>
  <r>
    <n v="5469"/>
    <n v="38853"/>
    <x v="75"/>
    <x v="33"/>
    <s v="Low"/>
    <n v="13"/>
    <n v="728.02499999999998"/>
    <n v="0.04"/>
    <s v="Regular Air"/>
    <n v="19.997999999999998"/>
    <n v="65.989999999999995"/>
    <n v="2.5"/>
    <x v="216"/>
    <x v="6"/>
    <x v="5"/>
    <x v="3"/>
    <x v="1"/>
    <x v="3"/>
    <x v="892"/>
    <s v="Small Box"/>
    <n v="0.55000000000000004"/>
    <d v="2012-03-27T00:00:00"/>
    <n v="0"/>
    <n v="0"/>
    <n v="1"/>
    <n v="1"/>
  </r>
  <r>
    <n v="5585"/>
    <n v="39590"/>
    <x v="205"/>
    <x v="10"/>
    <s v="Low"/>
    <n v="9"/>
    <n v="79.25"/>
    <n v="0"/>
    <s v="Express Air"/>
    <n v="-13.25"/>
    <n v="7.64"/>
    <n v="5.83"/>
    <x v="199"/>
    <x v="6"/>
    <x v="5"/>
    <x v="0"/>
    <x v="0"/>
    <x v="5"/>
    <x v="248"/>
    <s v="Wrap Bag"/>
    <n v="0.36"/>
    <d v="2011-05-21T00:00:00"/>
    <n v="0"/>
    <n v="0"/>
    <n v="1"/>
    <n v="1"/>
  </r>
  <r>
    <n v="5735"/>
    <n v="40707"/>
    <x v="790"/>
    <x v="41"/>
    <s v="High"/>
    <n v="26"/>
    <n v="1495.184"/>
    <n v="0"/>
    <s v="Regular Air"/>
    <n v="211.08599999999998"/>
    <n v="65.989999999999995"/>
    <n v="8.99"/>
    <x v="217"/>
    <x v="6"/>
    <x v="5"/>
    <x v="0"/>
    <x v="1"/>
    <x v="3"/>
    <x v="893"/>
    <s v="Small Box"/>
    <n v="0.56000000000000005"/>
    <d v="2009-06-13T00:00:00"/>
    <n v="0"/>
    <n v="0"/>
    <n v="1"/>
    <n v="0.25"/>
  </r>
  <r>
    <n v="5769"/>
    <n v="40961"/>
    <x v="791"/>
    <x v="5"/>
    <s v="Medium"/>
    <n v="7"/>
    <n v="23.84"/>
    <n v="0.02"/>
    <s v="Regular Air"/>
    <n v="5.88"/>
    <n v="3.15"/>
    <n v="0.5"/>
    <x v="215"/>
    <x v="6"/>
    <x v="5"/>
    <x v="2"/>
    <x v="0"/>
    <x v="11"/>
    <x v="605"/>
    <s v="Small Box"/>
    <n v="0.37"/>
    <d v="2011-03-31T00:00:00"/>
    <n v="0"/>
    <n v="0"/>
    <n v="1"/>
    <n v="0.5"/>
  </r>
  <r>
    <n v="5783"/>
    <n v="41026"/>
    <x v="792"/>
    <x v="37"/>
    <s v="Medium"/>
    <n v="8"/>
    <n v="709.37"/>
    <n v="0.1"/>
    <s v="Delivery Truck"/>
    <n v="-281.76"/>
    <n v="89.99"/>
    <n v="42"/>
    <x v="216"/>
    <x v="6"/>
    <x v="5"/>
    <x v="3"/>
    <x v="2"/>
    <x v="14"/>
    <x v="668"/>
    <s v="Jumbo Drum"/>
    <n v="0.66"/>
    <d v="2011-04-20T00:00:00"/>
    <n v="0"/>
    <n v="0"/>
    <n v="0.5"/>
    <n v="0.25"/>
  </r>
  <r>
    <n v="5784"/>
    <n v="41026"/>
    <x v="792"/>
    <x v="37"/>
    <s v="Medium"/>
    <n v="19"/>
    <n v="59.76"/>
    <n v="0.1"/>
    <s v="Express Air"/>
    <n v="-33.11"/>
    <n v="3.14"/>
    <n v="1.92"/>
    <x v="216"/>
    <x v="6"/>
    <x v="5"/>
    <x v="3"/>
    <x v="0"/>
    <x v="15"/>
    <x v="546"/>
    <s v="Wrap Bag"/>
    <n v="0.84"/>
    <d v="2011-04-19T00:00:00"/>
    <n v="0"/>
    <n v="0"/>
    <n v="0.5"/>
    <n v="0.25"/>
  </r>
  <r>
    <n v="5853"/>
    <n v="41543"/>
    <x v="793"/>
    <x v="40"/>
    <s v="Low"/>
    <n v="45"/>
    <n v="7548.65"/>
    <n v="0.03"/>
    <s v="Delivery Truck"/>
    <n v="1385.35"/>
    <n v="160.97999999999999"/>
    <n v="30"/>
    <x v="215"/>
    <x v="6"/>
    <x v="5"/>
    <x v="2"/>
    <x v="2"/>
    <x v="14"/>
    <x v="580"/>
    <s v="Jumbo Drum"/>
    <n v="0.62"/>
    <d v="2009-02-10T00:00:00"/>
    <n v="0"/>
    <n v="0"/>
    <n v="0.5"/>
    <n v="0.5"/>
  </r>
  <r>
    <n v="5854"/>
    <n v="41543"/>
    <x v="793"/>
    <x v="40"/>
    <s v="Low"/>
    <n v="24"/>
    <n v="1318.8684999999998"/>
    <n v="0.03"/>
    <s v="Regular Air"/>
    <n v="172.33199999999999"/>
    <n v="65.989999999999995"/>
    <n v="3.99"/>
    <x v="215"/>
    <x v="6"/>
    <x v="5"/>
    <x v="2"/>
    <x v="1"/>
    <x v="3"/>
    <x v="440"/>
    <s v="Small Box"/>
    <n v="0.59"/>
    <d v="2009-02-10T00:00:00"/>
    <n v="0"/>
    <n v="0"/>
    <n v="0.5"/>
    <n v="0.5"/>
  </r>
  <r>
    <n v="5862"/>
    <n v="41606"/>
    <x v="794"/>
    <x v="41"/>
    <s v="High"/>
    <n v="23"/>
    <n v="4514.8599999999997"/>
    <n v="0.09"/>
    <s v="Delivery Truck"/>
    <n v="-641.09"/>
    <n v="200.98"/>
    <n v="55.96"/>
    <x v="22"/>
    <x v="6"/>
    <x v="5"/>
    <x v="0"/>
    <x v="2"/>
    <x v="9"/>
    <x v="894"/>
    <s v="Jumbo Box"/>
    <n v="0.75"/>
    <d v="2009-06-24T00:00:00"/>
    <n v="0"/>
    <n v="0"/>
    <n v="0.5"/>
    <n v="0.5"/>
  </r>
  <r>
    <n v="5863"/>
    <n v="41606"/>
    <x v="794"/>
    <x v="41"/>
    <s v="High"/>
    <n v="30"/>
    <n v="79.14"/>
    <n v="0.09"/>
    <s v="Regular Air"/>
    <n v="-4.7300000000000004"/>
    <n v="2.78"/>
    <n v="0.97"/>
    <x v="22"/>
    <x v="6"/>
    <x v="5"/>
    <x v="0"/>
    <x v="0"/>
    <x v="12"/>
    <x v="895"/>
    <s v="Wrap Bag"/>
    <n v="0.59"/>
    <d v="2009-06-24T00:00:00"/>
    <n v="0"/>
    <n v="0"/>
    <n v="0.5"/>
    <n v="0.5"/>
  </r>
  <r>
    <n v="5913"/>
    <n v="41926"/>
    <x v="735"/>
    <x v="44"/>
    <s v="High"/>
    <n v="17"/>
    <n v="112.57"/>
    <n v="0.08"/>
    <s v="Regular Air"/>
    <n v="-28.53"/>
    <n v="6.48"/>
    <n v="5.14"/>
    <x v="217"/>
    <x v="6"/>
    <x v="5"/>
    <x v="0"/>
    <x v="0"/>
    <x v="5"/>
    <x v="896"/>
    <s v="Small Box"/>
    <n v="0.37"/>
    <d v="2011-02-06T00:00:00"/>
    <n v="0"/>
    <n v="0"/>
    <n v="0.5"/>
    <n v="0.5"/>
  </r>
  <r>
    <n v="5914"/>
    <n v="41926"/>
    <x v="735"/>
    <x v="44"/>
    <s v="High"/>
    <n v="43"/>
    <n v="1562.69"/>
    <n v="0"/>
    <s v="Regular Air"/>
    <n v="287.74"/>
    <n v="34.76"/>
    <n v="8.2200000000000006"/>
    <x v="217"/>
    <x v="6"/>
    <x v="5"/>
    <x v="0"/>
    <x v="0"/>
    <x v="0"/>
    <x v="139"/>
    <s v="Small Box"/>
    <n v="0.56999999999999995"/>
    <d v="2011-02-05T00:00:00"/>
    <n v="0"/>
    <n v="0"/>
    <n v="0.5"/>
    <n v="0.5"/>
  </r>
  <r>
    <n v="7082"/>
    <n v="50533"/>
    <x v="795"/>
    <x v="10"/>
    <s v="Not Specified"/>
    <n v="32"/>
    <n v="1974.66"/>
    <n v="0.06"/>
    <s v="Express Air"/>
    <n v="-929.68"/>
    <n v="64.650000000000006"/>
    <n v="35"/>
    <x v="218"/>
    <x v="6"/>
    <x v="5"/>
    <x v="0"/>
    <x v="0"/>
    <x v="0"/>
    <x v="809"/>
    <s v="Large Box"/>
    <n v="0.8"/>
    <d v="2011-06-02T00:00:00"/>
    <n v="0"/>
    <n v="0"/>
    <n v="0.5"/>
    <n v="0.25"/>
  </r>
  <r>
    <n v="7083"/>
    <n v="50533"/>
    <x v="795"/>
    <x v="10"/>
    <s v="Not Specified"/>
    <n v="3"/>
    <n v="73.44"/>
    <n v="0"/>
    <s v="Delivery Truck"/>
    <n v="-53.783999999999999"/>
    <n v="15.23"/>
    <n v="27.75"/>
    <x v="218"/>
    <x v="6"/>
    <x v="5"/>
    <x v="0"/>
    <x v="2"/>
    <x v="10"/>
    <x v="897"/>
    <s v="Jumbo Box"/>
    <n v="0.76"/>
    <d v="2011-06-01T00:00:00"/>
    <n v="0"/>
    <n v="0"/>
    <n v="0.5"/>
    <n v="0.25"/>
  </r>
  <r>
    <n v="7252"/>
    <n v="51747"/>
    <x v="759"/>
    <x v="29"/>
    <s v="Medium"/>
    <n v="3"/>
    <n v="12.11"/>
    <n v="0.02"/>
    <s v="Regular Air"/>
    <n v="-0.98"/>
    <n v="3.69"/>
    <n v="0.5"/>
    <x v="217"/>
    <x v="6"/>
    <x v="5"/>
    <x v="0"/>
    <x v="0"/>
    <x v="11"/>
    <x v="20"/>
    <s v="Small Box"/>
    <n v="0.38"/>
    <d v="2012-07-06T00:00:00"/>
    <n v="0"/>
    <n v="0"/>
    <n v="1"/>
    <n v="1"/>
  </r>
  <r>
    <n v="7469"/>
    <n v="53314"/>
    <x v="30"/>
    <x v="18"/>
    <s v="High"/>
    <n v="33"/>
    <n v="2667.92"/>
    <n v="0.01"/>
    <s v="Regular Air"/>
    <n v="1049.02"/>
    <n v="78.69"/>
    <n v="19.989999999999998"/>
    <x v="219"/>
    <x v="6"/>
    <x v="5"/>
    <x v="3"/>
    <x v="2"/>
    <x v="4"/>
    <x v="618"/>
    <s v="Small Box"/>
    <n v="0.43"/>
    <d v="2010-09-19T00:00:00"/>
    <n v="0"/>
    <n v="0"/>
    <n v="0.5"/>
    <n v="0.5"/>
  </r>
  <r>
    <n v="7470"/>
    <n v="53314"/>
    <x v="30"/>
    <x v="18"/>
    <s v="High"/>
    <n v="15"/>
    <n v="2236.15"/>
    <n v="0.05"/>
    <s v="Delivery Truck"/>
    <n v="-310.95"/>
    <n v="145.97999999999999"/>
    <n v="51.92"/>
    <x v="219"/>
    <x v="6"/>
    <x v="5"/>
    <x v="3"/>
    <x v="2"/>
    <x v="10"/>
    <x v="726"/>
    <s v="Jumbo Box"/>
    <n v="0.69"/>
    <d v="2010-09-21T00:00:00"/>
    <n v="0"/>
    <n v="0"/>
    <n v="0.5"/>
    <n v="0.5"/>
  </r>
  <r>
    <n v="7648"/>
    <n v="54791"/>
    <x v="796"/>
    <x v="45"/>
    <s v="High"/>
    <n v="45"/>
    <n v="4165.04"/>
    <n v="0"/>
    <s v="Delivery Truck"/>
    <n v="135.68"/>
    <n v="90.98"/>
    <n v="30"/>
    <x v="116"/>
    <x v="6"/>
    <x v="5"/>
    <x v="2"/>
    <x v="2"/>
    <x v="14"/>
    <x v="557"/>
    <s v="Jumbo Drum"/>
    <n v="0.61"/>
    <d v="2012-12-22T00:00:00"/>
    <n v="0"/>
    <n v="0"/>
    <n v="0.33333333333333331"/>
    <n v="0.33333333333333331"/>
  </r>
  <r>
    <n v="7657"/>
    <n v="54912"/>
    <x v="231"/>
    <x v="2"/>
    <s v="Low"/>
    <n v="17"/>
    <n v="117.33"/>
    <n v="7.0000000000000007E-2"/>
    <s v="Regular Air"/>
    <n v="10.31"/>
    <n v="6.69"/>
    <n v="3.1"/>
    <x v="217"/>
    <x v="6"/>
    <x v="5"/>
    <x v="0"/>
    <x v="0"/>
    <x v="5"/>
    <x v="898"/>
    <s v="Wrap Bag"/>
    <n v="0.36"/>
    <d v="2011-07-28T00:00:00"/>
    <n v="0"/>
    <n v="0"/>
    <n v="1"/>
    <n v="0.5"/>
  </r>
  <r>
    <n v="7711"/>
    <n v="55269"/>
    <x v="239"/>
    <x v="14"/>
    <s v="Medium"/>
    <n v="1"/>
    <n v="49.61"/>
    <n v="0"/>
    <s v="Regular Air"/>
    <n v="-41.82"/>
    <n v="30.98"/>
    <n v="17.079999999999998"/>
    <x v="218"/>
    <x v="6"/>
    <x v="5"/>
    <x v="0"/>
    <x v="0"/>
    <x v="5"/>
    <x v="385"/>
    <s v="Small Box"/>
    <n v="0.4"/>
    <d v="2010-03-08T00:00:00"/>
    <n v="0"/>
    <n v="0"/>
    <n v="1"/>
    <n v="1"/>
  </r>
  <r>
    <n v="7845"/>
    <n v="56101"/>
    <x v="485"/>
    <x v="42"/>
    <s v="Not Specified"/>
    <n v="1"/>
    <n v="21.45"/>
    <n v="0.01"/>
    <s v="Regular Air"/>
    <n v="-7.22"/>
    <n v="14.42"/>
    <n v="6.75"/>
    <x v="215"/>
    <x v="6"/>
    <x v="5"/>
    <x v="2"/>
    <x v="0"/>
    <x v="1"/>
    <x v="793"/>
    <s v="Medium Box"/>
    <n v="0.52"/>
    <d v="2010-07-21T00:00:00"/>
    <n v="0"/>
    <n v="0"/>
    <n v="0.5"/>
    <n v="0.5"/>
  </r>
  <r>
    <n v="7846"/>
    <n v="56101"/>
    <x v="485"/>
    <x v="42"/>
    <s v="Not Specified"/>
    <n v="44"/>
    <n v="5347.13"/>
    <n v="0.08"/>
    <s v="Regular Air"/>
    <n v="1886.4134999999999"/>
    <n v="122.99"/>
    <n v="19.989999999999998"/>
    <x v="215"/>
    <x v="6"/>
    <x v="5"/>
    <x v="2"/>
    <x v="0"/>
    <x v="2"/>
    <x v="681"/>
    <s v="Small Box"/>
    <n v="0.37"/>
    <d v="2010-07-22T00:00:00"/>
    <n v="0"/>
    <n v="0"/>
    <n v="0.5"/>
    <n v="0.5"/>
  </r>
  <r>
    <n v="7917"/>
    <n v="56582"/>
    <x v="686"/>
    <x v="41"/>
    <s v="Low"/>
    <n v="36"/>
    <n v="4581.41"/>
    <n v="0.04"/>
    <s v="Delivery Truck"/>
    <n v="-904.73"/>
    <n v="130.97999999999999"/>
    <n v="54.74"/>
    <x v="217"/>
    <x v="6"/>
    <x v="5"/>
    <x v="0"/>
    <x v="2"/>
    <x v="9"/>
    <x v="631"/>
    <s v="Jumbo Box"/>
    <n v="0.69"/>
    <d v="2009-06-12T00:00:00"/>
    <n v="0"/>
    <n v="0"/>
    <n v="0.33333333333333331"/>
    <n v="0.25"/>
  </r>
  <r>
    <n v="7932"/>
    <n v="56677"/>
    <x v="789"/>
    <x v="46"/>
    <s v="High"/>
    <n v="35"/>
    <n v="430.55"/>
    <n v="0"/>
    <s v="Regular Air"/>
    <n v="120.01"/>
    <n v="12.22"/>
    <n v="2.85"/>
    <x v="58"/>
    <x v="6"/>
    <x v="5"/>
    <x v="2"/>
    <x v="2"/>
    <x v="4"/>
    <x v="137"/>
    <s v="Small Pack"/>
    <n v="0.55000000000000004"/>
    <d v="2009-04-12T00:00:00"/>
    <n v="0"/>
    <n v="0"/>
    <n v="1"/>
    <n v="1"/>
  </r>
  <r>
    <n v="8214"/>
    <n v="58725"/>
    <x v="304"/>
    <x v="39"/>
    <s v="Not Specified"/>
    <n v="20"/>
    <n v="148.31"/>
    <n v="0.03"/>
    <s v="Regular Air"/>
    <n v="37.33"/>
    <n v="7.04"/>
    <n v="2.17"/>
    <x v="185"/>
    <x v="6"/>
    <x v="5"/>
    <x v="2"/>
    <x v="0"/>
    <x v="5"/>
    <x v="135"/>
    <s v="Wrap Bag"/>
    <n v="0.38"/>
    <d v="2010-05-21T00:00:00"/>
    <n v="0"/>
    <n v="0"/>
    <n v="0.5"/>
    <n v="0.5"/>
  </r>
  <r>
    <n v="8349"/>
    <n v="59683"/>
    <x v="797"/>
    <x v="1"/>
    <s v="Not Specified"/>
    <n v="37"/>
    <n v="191.36"/>
    <n v="0.05"/>
    <s v="Regular Air"/>
    <n v="-82.086999999999989"/>
    <n v="4.91"/>
    <n v="4.97"/>
    <x v="215"/>
    <x v="6"/>
    <x v="5"/>
    <x v="0"/>
    <x v="0"/>
    <x v="2"/>
    <x v="479"/>
    <s v="Small Box"/>
    <n v="0.38"/>
    <d v="2012-10-14T00:00:00"/>
    <n v="0"/>
    <n v="0"/>
    <n v="1"/>
    <n v="1"/>
  </r>
  <r>
    <n v="133"/>
    <n v="837"/>
    <x v="798"/>
    <x v="41"/>
    <s v="Not Specified"/>
    <n v="11"/>
    <n v="65.7"/>
    <n v="0.01"/>
    <s v="Regular Air"/>
    <n v="13.41"/>
    <n v="5.84"/>
    <n v="0.83"/>
    <x v="220"/>
    <x v="6"/>
    <x v="5"/>
    <x v="2"/>
    <x v="0"/>
    <x v="12"/>
    <x v="794"/>
    <s v="Wrap Bag"/>
    <n v="0.49"/>
    <d v="2009-06-16T00:00:00"/>
    <n v="0"/>
    <n v="0"/>
    <n v="1"/>
    <n v="1"/>
  </r>
  <r>
    <n v="169"/>
    <n v="1059"/>
    <x v="799"/>
    <x v="40"/>
    <s v="Critical"/>
    <n v="22"/>
    <n v="127.33"/>
    <n v="0.02"/>
    <s v="Regular Air"/>
    <n v="5.2955000000000005"/>
    <n v="5.34"/>
    <n v="2.99"/>
    <x v="220"/>
    <x v="6"/>
    <x v="5"/>
    <x v="2"/>
    <x v="0"/>
    <x v="2"/>
    <x v="282"/>
    <s v="Small Box"/>
    <n v="0.38"/>
    <d v="2009-02-28T00:00:00"/>
    <n v="0"/>
    <n v="0"/>
    <n v="0.5"/>
    <n v="0.5"/>
  </r>
  <r>
    <n v="170"/>
    <n v="1059"/>
    <x v="799"/>
    <x v="40"/>
    <s v="Critical"/>
    <n v="24"/>
    <n v="990.1"/>
    <n v="0.03"/>
    <s v="Regular Air"/>
    <n v="310.21600000000001"/>
    <n v="40.98"/>
    <n v="7.47"/>
    <x v="220"/>
    <x v="6"/>
    <x v="5"/>
    <x v="2"/>
    <x v="0"/>
    <x v="2"/>
    <x v="447"/>
    <s v="Small Box"/>
    <n v="0.37"/>
    <d v="2009-02-27T00:00:00"/>
    <n v="0"/>
    <n v="0"/>
    <n v="0.5"/>
    <n v="0.5"/>
  </r>
  <r>
    <n v="264"/>
    <n v="1826"/>
    <x v="13"/>
    <x v="13"/>
    <s v="Not Specified"/>
    <n v="5"/>
    <n v="28.32"/>
    <n v="0.09"/>
    <s v="Regular Air"/>
    <n v="-14.35"/>
    <n v="4.9800000000000004"/>
    <n v="4.75"/>
    <x v="61"/>
    <x v="6"/>
    <x v="5"/>
    <x v="2"/>
    <x v="0"/>
    <x v="5"/>
    <x v="61"/>
    <s v="Small Box"/>
    <n v="0.36"/>
    <d v="2012-04-16T00:00:00"/>
    <n v="0"/>
    <n v="0"/>
    <n v="1"/>
    <n v="0.5"/>
  </r>
  <r>
    <n v="288"/>
    <n v="2020"/>
    <x v="800"/>
    <x v="30"/>
    <s v="Medium"/>
    <n v="42"/>
    <n v="213.75"/>
    <n v="0.03"/>
    <s v="Regular Air"/>
    <n v="-188.77"/>
    <n v="5.0199999999999996"/>
    <n v="5.14"/>
    <x v="221"/>
    <x v="6"/>
    <x v="5"/>
    <x v="3"/>
    <x v="1"/>
    <x v="7"/>
    <x v="238"/>
    <s v="Small Pack"/>
    <n v="0.79"/>
    <d v="2010-06-22T00:00:00"/>
    <n v="0"/>
    <n v="0"/>
    <n v="1"/>
    <n v="1"/>
  </r>
  <r>
    <n v="1428"/>
    <n v="10340"/>
    <x v="645"/>
    <x v="4"/>
    <s v="High"/>
    <n v="24"/>
    <n v="7547.14"/>
    <n v="0.03"/>
    <s v="Regular Air"/>
    <n v="2080.48"/>
    <n v="320.98"/>
    <n v="24.49"/>
    <x v="221"/>
    <x v="6"/>
    <x v="5"/>
    <x v="3"/>
    <x v="2"/>
    <x v="14"/>
    <x v="899"/>
    <s v="Large Box"/>
    <n v="0.55000000000000004"/>
    <d v="2011-06-23T00:00:00"/>
    <n v="0"/>
    <n v="0"/>
    <n v="0.33333333333333331"/>
    <n v="0.33333333333333331"/>
  </r>
  <r>
    <n v="1429"/>
    <n v="10340"/>
    <x v="645"/>
    <x v="4"/>
    <s v="High"/>
    <n v="2"/>
    <n v="224.32"/>
    <n v="0.08"/>
    <s v="Regular Air"/>
    <n v="-178.77"/>
    <n v="110.98"/>
    <n v="13.99"/>
    <x v="221"/>
    <x v="6"/>
    <x v="5"/>
    <x v="3"/>
    <x v="2"/>
    <x v="4"/>
    <x v="423"/>
    <s v="Medium Box"/>
    <n v="0.69"/>
    <d v="2011-06-23T00:00:00"/>
    <n v="0"/>
    <n v="0"/>
    <n v="0.33333333333333331"/>
    <n v="0.33333333333333331"/>
  </r>
  <r>
    <n v="1430"/>
    <n v="10340"/>
    <x v="645"/>
    <x v="4"/>
    <s v="High"/>
    <n v="15"/>
    <n v="311.98"/>
    <n v="0.09"/>
    <s v="Regular Air"/>
    <n v="-9.7799999999999994"/>
    <n v="22.01"/>
    <n v="5.53"/>
    <x v="221"/>
    <x v="6"/>
    <x v="5"/>
    <x v="3"/>
    <x v="0"/>
    <x v="12"/>
    <x v="869"/>
    <s v="Small Pack"/>
    <n v="0.59"/>
    <d v="2011-06-25T00:00:00"/>
    <n v="0"/>
    <n v="0"/>
    <n v="0.33333333333333331"/>
    <n v="0.33333333333333331"/>
  </r>
  <r>
    <n v="1533"/>
    <n v="11044"/>
    <x v="801"/>
    <x v="8"/>
    <s v="Medium"/>
    <n v="3"/>
    <n v="14.49"/>
    <n v="0.09"/>
    <s v="Regular Air"/>
    <n v="-12.58"/>
    <n v="3.28"/>
    <n v="5"/>
    <x v="221"/>
    <x v="6"/>
    <x v="5"/>
    <x v="3"/>
    <x v="0"/>
    <x v="12"/>
    <x v="685"/>
    <s v="Wrap Bag"/>
    <n v="0.56000000000000005"/>
    <d v="2012-06-25T00:00:00"/>
    <n v="0"/>
    <n v="0"/>
    <n v="1"/>
    <n v="1"/>
  </r>
  <r>
    <n v="1849"/>
    <n v="13313"/>
    <x v="83"/>
    <x v="36"/>
    <s v="Not Specified"/>
    <n v="18"/>
    <n v="243.51"/>
    <n v="0.02"/>
    <s v="Regular Air"/>
    <n v="-159.86000000000001"/>
    <n v="12.99"/>
    <n v="14.37"/>
    <x v="32"/>
    <x v="6"/>
    <x v="5"/>
    <x v="3"/>
    <x v="2"/>
    <x v="4"/>
    <x v="856"/>
    <s v="Large Box"/>
    <n v="0.73"/>
    <d v="2009-07-18T00:00:00"/>
    <n v="0"/>
    <n v="0"/>
    <n v="0.25"/>
    <n v="0.25"/>
  </r>
  <r>
    <n v="1850"/>
    <n v="13313"/>
    <x v="83"/>
    <x v="36"/>
    <s v="Not Specified"/>
    <n v="22"/>
    <n v="755.6"/>
    <n v="0.05"/>
    <s v="Regular Air"/>
    <n v="223.44"/>
    <n v="35.44"/>
    <n v="7.5"/>
    <x v="32"/>
    <x v="6"/>
    <x v="5"/>
    <x v="3"/>
    <x v="0"/>
    <x v="5"/>
    <x v="118"/>
    <s v="Small Box"/>
    <n v="0.38"/>
    <d v="2009-07-18T00:00:00"/>
    <n v="0"/>
    <n v="0"/>
    <n v="0.25"/>
    <n v="0.25"/>
  </r>
  <r>
    <n v="1851"/>
    <n v="13313"/>
    <x v="83"/>
    <x v="36"/>
    <s v="Not Specified"/>
    <n v="45"/>
    <n v="592.73"/>
    <n v="0.02"/>
    <s v="Regular Air"/>
    <n v="75.010000000000005"/>
    <n v="12.98"/>
    <n v="3.14"/>
    <x v="32"/>
    <x v="6"/>
    <x v="5"/>
    <x v="3"/>
    <x v="0"/>
    <x v="15"/>
    <x v="234"/>
    <s v="Small Pack"/>
    <n v="0.6"/>
    <d v="2009-07-19T00:00:00"/>
    <n v="0"/>
    <n v="0"/>
    <n v="0.25"/>
    <n v="0.25"/>
  </r>
  <r>
    <n v="2182"/>
    <n v="15718"/>
    <x v="802"/>
    <x v="22"/>
    <s v="Critical"/>
    <n v="36"/>
    <n v="100.87"/>
    <n v="0.09"/>
    <s v="Regular Air"/>
    <n v="8.4"/>
    <n v="2.94"/>
    <n v="0.7"/>
    <x v="220"/>
    <x v="6"/>
    <x v="5"/>
    <x v="2"/>
    <x v="0"/>
    <x v="12"/>
    <x v="900"/>
    <s v="Wrap Bag"/>
    <n v="0.57999999999999996"/>
    <d v="2009-01-28T00:00:00"/>
    <n v="0"/>
    <n v="1"/>
    <n v="0.33333333333333331"/>
    <n v="0.33333333333333331"/>
  </r>
  <r>
    <n v="2410"/>
    <n v="17506"/>
    <x v="699"/>
    <x v="6"/>
    <s v="Low"/>
    <n v="33"/>
    <n v="9473.31"/>
    <n v="0.03"/>
    <s v="Delivery Truck"/>
    <n v="1939.11"/>
    <n v="294.62"/>
    <n v="42.52"/>
    <x v="61"/>
    <x v="6"/>
    <x v="5"/>
    <x v="3"/>
    <x v="0"/>
    <x v="1"/>
    <x v="779"/>
    <s v="Jumbo Drum"/>
    <n v="0.56999999999999995"/>
    <d v="2010-03-04T00:00:00"/>
    <n v="0"/>
    <n v="0"/>
    <n v="1"/>
    <n v="1"/>
  </r>
  <r>
    <n v="2766"/>
    <n v="20003"/>
    <x v="673"/>
    <x v="23"/>
    <s v="Medium"/>
    <n v="39"/>
    <n v="796.08"/>
    <n v="0.05"/>
    <s v="Regular Air"/>
    <n v="30.29"/>
    <n v="19.98"/>
    <n v="4"/>
    <x v="222"/>
    <x v="6"/>
    <x v="5"/>
    <x v="2"/>
    <x v="1"/>
    <x v="7"/>
    <x v="507"/>
    <s v="Small Box"/>
    <n v="0.68"/>
    <d v="2012-01-31T00:00:00"/>
    <n v="0"/>
    <n v="0"/>
    <n v="0.5"/>
    <n v="0.5"/>
  </r>
  <r>
    <n v="2882"/>
    <n v="20805"/>
    <x v="209"/>
    <x v="16"/>
    <s v="High"/>
    <n v="12"/>
    <n v="69.98"/>
    <n v="0.06"/>
    <s v="Regular Air"/>
    <n v="-58.327999999999996"/>
    <n v="5.53"/>
    <n v="6.98"/>
    <x v="221"/>
    <x v="6"/>
    <x v="5"/>
    <x v="3"/>
    <x v="0"/>
    <x v="2"/>
    <x v="518"/>
    <s v="Small Box"/>
    <n v="0.39"/>
    <d v="2011-01-13T00:00:00"/>
    <n v="0"/>
    <n v="0"/>
    <n v="0.25"/>
    <n v="0.25"/>
  </r>
  <r>
    <n v="2883"/>
    <n v="20805"/>
    <x v="209"/>
    <x v="16"/>
    <s v="High"/>
    <n v="35"/>
    <n v="418.34"/>
    <n v="0.08"/>
    <s v="Regular Air"/>
    <n v="73.569999999999993"/>
    <n v="12.58"/>
    <n v="5.16"/>
    <x v="221"/>
    <x v="6"/>
    <x v="5"/>
    <x v="3"/>
    <x v="2"/>
    <x v="4"/>
    <x v="132"/>
    <s v="Small Box"/>
    <n v="0.43"/>
    <d v="2011-01-12T00:00:00"/>
    <n v="0"/>
    <n v="0"/>
    <n v="0.25"/>
    <n v="0.25"/>
  </r>
  <r>
    <n v="2884"/>
    <n v="20805"/>
    <x v="209"/>
    <x v="16"/>
    <s v="High"/>
    <n v="3"/>
    <n v="17.7"/>
    <n v="0.06"/>
    <s v="Regular Air"/>
    <n v="-10.37"/>
    <n v="4.28"/>
    <n v="4.79"/>
    <x v="221"/>
    <x v="6"/>
    <x v="5"/>
    <x v="3"/>
    <x v="0"/>
    <x v="5"/>
    <x v="647"/>
    <s v="Small Box"/>
    <n v="0.4"/>
    <d v="2011-01-11T00:00:00"/>
    <n v="0"/>
    <n v="0"/>
    <n v="0.25"/>
    <n v="0.25"/>
  </r>
  <r>
    <n v="2885"/>
    <n v="20805"/>
    <x v="209"/>
    <x v="16"/>
    <s v="High"/>
    <n v="12"/>
    <n v="45.61"/>
    <n v="0.1"/>
    <s v="Regular Air"/>
    <n v="9.18"/>
    <n v="3.85"/>
    <n v="0.7"/>
    <x v="221"/>
    <x v="6"/>
    <x v="5"/>
    <x v="3"/>
    <x v="0"/>
    <x v="12"/>
    <x v="901"/>
    <s v="Wrap Bag"/>
    <n v="0.44"/>
    <d v="2011-01-11T00:00:00"/>
    <n v="0"/>
    <n v="0"/>
    <n v="0.25"/>
    <n v="0.25"/>
  </r>
  <r>
    <n v="3290"/>
    <n v="23524"/>
    <x v="464"/>
    <x v="46"/>
    <s v="High"/>
    <n v="28"/>
    <n v="129.33000000000001"/>
    <n v="0.04"/>
    <s v="Express Air"/>
    <n v="48.25"/>
    <n v="4.13"/>
    <n v="0.99"/>
    <x v="221"/>
    <x v="6"/>
    <x v="5"/>
    <x v="3"/>
    <x v="0"/>
    <x v="11"/>
    <x v="367"/>
    <s v="Small Box"/>
    <n v="0.39"/>
    <d v="2009-04-30T00:00:00"/>
    <n v="0"/>
    <n v="0"/>
    <n v="0.5"/>
    <n v="0.5"/>
  </r>
  <r>
    <n v="3291"/>
    <n v="23524"/>
    <x v="464"/>
    <x v="46"/>
    <s v="High"/>
    <n v="46"/>
    <n v="2461.23"/>
    <n v="0.06"/>
    <s v="Regular Air"/>
    <n v="748.2"/>
    <n v="55.48"/>
    <n v="14.3"/>
    <x v="221"/>
    <x v="6"/>
    <x v="5"/>
    <x v="3"/>
    <x v="0"/>
    <x v="5"/>
    <x v="381"/>
    <s v="Small Box"/>
    <n v="0.37"/>
    <d v="2009-04-30T00:00:00"/>
    <n v="0"/>
    <n v="0"/>
    <n v="0.5"/>
    <n v="0.5"/>
  </r>
  <r>
    <n v="4201"/>
    <n v="29860"/>
    <x v="803"/>
    <x v="35"/>
    <s v="Critical"/>
    <n v="48"/>
    <n v="8295.2900000000009"/>
    <n v="0.08"/>
    <s v="Regular Air"/>
    <n v="2267.2199999999998"/>
    <n v="178.47"/>
    <n v="19.989999999999998"/>
    <x v="32"/>
    <x v="6"/>
    <x v="5"/>
    <x v="3"/>
    <x v="0"/>
    <x v="0"/>
    <x v="902"/>
    <s v="Small Box"/>
    <n v="0.55000000000000004"/>
    <d v="2009-09-16T00:00:00"/>
    <n v="0"/>
    <n v="0"/>
    <n v="1"/>
    <n v="1"/>
  </r>
  <r>
    <n v="4325"/>
    <n v="30787"/>
    <x v="804"/>
    <x v="31"/>
    <s v="High"/>
    <n v="43"/>
    <n v="6477.4589999999998"/>
    <n v="0.05"/>
    <s v="Regular Air"/>
    <n v="1836.4590000000001"/>
    <n v="175.99"/>
    <n v="8.99"/>
    <x v="221"/>
    <x v="6"/>
    <x v="5"/>
    <x v="3"/>
    <x v="1"/>
    <x v="3"/>
    <x v="484"/>
    <s v="Small Box"/>
    <n v="0.56999999999999995"/>
    <d v="2011-09-28T00:00:00"/>
    <n v="0"/>
    <n v="0"/>
    <n v="1"/>
    <n v="1"/>
  </r>
  <r>
    <n v="5258"/>
    <n v="37440"/>
    <x v="539"/>
    <x v="30"/>
    <s v="Not Specified"/>
    <n v="31"/>
    <n v="295.45"/>
    <n v="0.03"/>
    <s v="Regular Air"/>
    <n v="-4.3600000000000003"/>
    <n v="9.3800000000000008"/>
    <n v="4.93"/>
    <x v="223"/>
    <x v="6"/>
    <x v="5"/>
    <x v="2"/>
    <x v="2"/>
    <x v="4"/>
    <x v="903"/>
    <s v="Small Box"/>
    <n v="0.56999999999999995"/>
    <d v="2010-06-25T00:00:00"/>
    <n v="0"/>
    <n v="0"/>
    <n v="0.5"/>
    <n v="0.5"/>
  </r>
  <r>
    <n v="5633"/>
    <n v="39872"/>
    <x v="430"/>
    <x v="6"/>
    <s v="Critical"/>
    <n v="5"/>
    <n v="16.239999999999998"/>
    <n v="0.01"/>
    <s v="Regular Air"/>
    <n v="0.35000000000000053"/>
    <n v="2.88"/>
    <n v="0.99"/>
    <x v="221"/>
    <x v="6"/>
    <x v="5"/>
    <x v="3"/>
    <x v="0"/>
    <x v="11"/>
    <x v="746"/>
    <s v="Small Box"/>
    <n v="0.36"/>
    <d v="2010-02-23T00:00:00"/>
    <n v="0"/>
    <n v="0"/>
    <n v="1"/>
    <n v="1"/>
  </r>
  <r>
    <n v="5646"/>
    <n v="39943"/>
    <x v="805"/>
    <x v="8"/>
    <s v="High"/>
    <n v="16"/>
    <n v="28.65"/>
    <n v="0.02"/>
    <s v="Regular Air"/>
    <n v="-23.86"/>
    <n v="1.7"/>
    <n v="1.99"/>
    <x v="223"/>
    <x v="6"/>
    <x v="5"/>
    <x v="1"/>
    <x v="1"/>
    <x v="7"/>
    <x v="732"/>
    <s v="Small Pack"/>
    <n v="0.51"/>
    <d v="2012-06-08T00:00:00"/>
    <n v="0"/>
    <n v="0"/>
    <n v="0.5"/>
    <n v="0.5"/>
  </r>
  <r>
    <n v="5647"/>
    <n v="39943"/>
    <x v="805"/>
    <x v="8"/>
    <s v="High"/>
    <n v="12"/>
    <n v="201.535"/>
    <n v="0.09"/>
    <s v="Regular Air"/>
    <n v="-122.617"/>
    <n v="20.99"/>
    <n v="3.3"/>
    <x v="223"/>
    <x v="6"/>
    <x v="5"/>
    <x v="1"/>
    <x v="1"/>
    <x v="3"/>
    <x v="180"/>
    <s v="Small Pack"/>
    <n v="0.81"/>
    <d v="2012-06-09T00:00:00"/>
    <n v="0"/>
    <n v="0"/>
    <n v="0.5"/>
    <n v="0.5"/>
  </r>
  <r>
    <n v="5985"/>
    <n v="42405"/>
    <x v="806"/>
    <x v="38"/>
    <s v="High"/>
    <n v="13"/>
    <n v="81.680000000000007"/>
    <n v="0.08"/>
    <s v="Regular Air"/>
    <n v="-25.22"/>
    <n v="5.98"/>
    <n v="5.15"/>
    <x v="32"/>
    <x v="6"/>
    <x v="5"/>
    <x v="3"/>
    <x v="0"/>
    <x v="5"/>
    <x v="773"/>
    <s v="Small Box"/>
    <n v="0.36"/>
    <d v="2010-01-23T00:00:00"/>
    <n v="1"/>
    <n v="0"/>
    <n v="1"/>
    <n v="1"/>
  </r>
  <r>
    <n v="6631"/>
    <n v="47171"/>
    <x v="807"/>
    <x v="38"/>
    <s v="Medium"/>
    <n v="21"/>
    <n v="147.16"/>
    <n v="0.01"/>
    <s v="Regular Air"/>
    <n v="-92.55"/>
    <n v="6.48"/>
    <n v="8.4"/>
    <x v="221"/>
    <x v="6"/>
    <x v="5"/>
    <x v="3"/>
    <x v="0"/>
    <x v="5"/>
    <x v="836"/>
    <s v="Small Box"/>
    <n v="0.37"/>
    <d v="2010-01-08T00:00:00"/>
    <n v="1"/>
    <n v="0"/>
    <n v="0.33333333333333331"/>
    <n v="0.33333333333333331"/>
  </r>
  <r>
    <n v="6632"/>
    <n v="47171"/>
    <x v="807"/>
    <x v="38"/>
    <s v="Medium"/>
    <n v="19"/>
    <n v="50.07"/>
    <n v="0.03"/>
    <s v="Regular Air"/>
    <n v="-0.53"/>
    <n v="2.67"/>
    <n v="0.86"/>
    <x v="221"/>
    <x v="6"/>
    <x v="5"/>
    <x v="3"/>
    <x v="0"/>
    <x v="12"/>
    <x v="904"/>
    <s v="Wrap Bag"/>
    <n v="0.56999999999999995"/>
    <d v="2010-01-08T00:00:00"/>
    <n v="1"/>
    <n v="0"/>
    <n v="0.33333333333333331"/>
    <n v="0.33333333333333331"/>
  </r>
  <r>
    <n v="6633"/>
    <n v="47171"/>
    <x v="807"/>
    <x v="38"/>
    <s v="Medium"/>
    <n v="32"/>
    <n v="6982.87"/>
    <n v="0.05"/>
    <s v="Delivery Truck"/>
    <n v="875.55"/>
    <n v="217.85"/>
    <n v="29.1"/>
    <x v="221"/>
    <x v="6"/>
    <x v="5"/>
    <x v="3"/>
    <x v="2"/>
    <x v="10"/>
    <x v="905"/>
    <s v="Jumbo Box"/>
    <n v="0.68"/>
    <d v="2010-01-07T00:00:00"/>
    <n v="1"/>
    <n v="0"/>
    <n v="0.33333333333333331"/>
    <n v="0.33333333333333331"/>
  </r>
  <r>
    <n v="6820"/>
    <n v="48576"/>
    <x v="808"/>
    <x v="45"/>
    <s v="Not Specified"/>
    <n v="17"/>
    <n v="464.59"/>
    <n v="7.0000000000000007E-2"/>
    <s v="Regular Air"/>
    <n v="168.215"/>
    <n v="28.53"/>
    <n v="1.49"/>
    <x v="221"/>
    <x v="6"/>
    <x v="5"/>
    <x v="3"/>
    <x v="0"/>
    <x v="2"/>
    <x v="257"/>
    <s v="Small Box"/>
    <n v="0.38"/>
    <d v="2012-12-02T00:00:00"/>
    <n v="0"/>
    <n v="0"/>
    <n v="0.5"/>
    <n v="0.5"/>
  </r>
  <r>
    <n v="6821"/>
    <n v="48576"/>
    <x v="808"/>
    <x v="45"/>
    <s v="Not Specified"/>
    <n v="47"/>
    <n v="316.68"/>
    <n v="0.06"/>
    <s v="Regular Air"/>
    <n v="-161"/>
    <n v="6.48"/>
    <n v="7.49"/>
    <x v="221"/>
    <x v="6"/>
    <x v="5"/>
    <x v="3"/>
    <x v="0"/>
    <x v="5"/>
    <x v="496"/>
    <s v="Small Box"/>
    <n v="0.37"/>
    <d v="2012-12-03T00:00:00"/>
    <n v="0"/>
    <n v="0"/>
    <n v="0.5"/>
    <n v="0.5"/>
  </r>
  <r>
    <n v="7547"/>
    <n v="53984"/>
    <x v="468"/>
    <x v="45"/>
    <s v="Medium"/>
    <n v="23"/>
    <n v="172.9"/>
    <n v="0"/>
    <s v="Regular Air"/>
    <n v="51.43"/>
    <n v="6.88"/>
    <n v="2"/>
    <x v="223"/>
    <x v="6"/>
    <x v="5"/>
    <x v="2"/>
    <x v="0"/>
    <x v="5"/>
    <x v="810"/>
    <s v="Wrap Bag"/>
    <n v="0.39"/>
    <d v="2012-12-11T00:00:00"/>
    <n v="0"/>
    <n v="0"/>
    <n v="1"/>
    <n v="1"/>
  </r>
  <r>
    <n v="18"/>
    <n v="129"/>
    <x v="390"/>
    <x v="32"/>
    <s v="Low"/>
    <n v="4"/>
    <n v="32.72"/>
    <n v="0.09"/>
    <s v="Regular Air"/>
    <n v="-22.59"/>
    <n v="6.48"/>
    <n v="8.19"/>
    <x v="224"/>
    <x v="6"/>
    <x v="5"/>
    <x v="2"/>
    <x v="0"/>
    <x v="5"/>
    <x v="77"/>
    <s v="Small Box"/>
    <n v="0.37"/>
    <d v="2012-11-27T00:00:00"/>
    <n v="0"/>
    <n v="0"/>
    <n v="1"/>
    <n v="1"/>
  </r>
  <r>
    <n v="68"/>
    <n v="388"/>
    <x v="564"/>
    <x v="45"/>
    <s v="Not Specified"/>
    <n v="46"/>
    <n v="517.92999999999995"/>
    <n v="0.06"/>
    <s v="Regular Air"/>
    <n v="-94.73"/>
    <n v="11.7"/>
    <n v="6.96"/>
    <x v="225"/>
    <x v="6"/>
    <x v="5"/>
    <x v="3"/>
    <x v="0"/>
    <x v="1"/>
    <x v="906"/>
    <s v="Medium Box"/>
    <n v="0.5"/>
    <d v="2012-12-18T00:00:00"/>
    <n v="0"/>
    <n v="0"/>
    <n v="1"/>
    <n v="1"/>
  </r>
  <r>
    <n v="205"/>
    <n v="1345"/>
    <x v="809"/>
    <x v="1"/>
    <s v="Low"/>
    <n v="24"/>
    <n v="2443.85"/>
    <n v="0.08"/>
    <s v="Delivery Truck"/>
    <n v="-120.85"/>
    <n v="100.98"/>
    <n v="35.840000000000003"/>
    <x v="226"/>
    <x v="6"/>
    <x v="5"/>
    <x v="2"/>
    <x v="2"/>
    <x v="9"/>
    <x v="550"/>
    <s v="Jumbo Box"/>
    <n v="0.62"/>
    <d v="2012-10-31T00:00:00"/>
    <n v="0"/>
    <n v="0"/>
    <n v="1"/>
    <n v="1"/>
  </r>
  <r>
    <n v="257"/>
    <n v="1793"/>
    <x v="608"/>
    <x v="29"/>
    <s v="Not Specified"/>
    <n v="36"/>
    <n v="233.43"/>
    <n v="0.03"/>
    <s v="Regular Air"/>
    <n v="-71.897999999999996"/>
    <n v="6.28"/>
    <n v="5.36"/>
    <x v="227"/>
    <x v="6"/>
    <x v="5"/>
    <x v="3"/>
    <x v="0"/>
    <x v="2"/>
    <x v="907"/>
    <s v="Small Box"/>
    <n v="0.4"/>
    <d v="2012-07-11T00:00:00"/>
    <n v="0"/>
    <n v="0"/>
    <n v="1"/>
    <n v="1"/>
  </r>
  <r>
    <n v="316"/>
    <n v="2209"/>
    <x v="168"/>
    <x v="29"/>
    <s v="High"/>
    <n v="27"/>
    <n v="9418.73"/>
    <n v="0"/>
    <s v="Delivery Truck"/>
    <n v="2245.2399999999998"/>
    <n v="320.98"/>
    <n v="58.95"/>
    <x v="228"/>
    <x v="6"/>
    <x v="5"/>
    <x v="1"/>
    <x v="2"/>
    <x v="14"/>
    <x v="81"/>
    <s v="Jumbo Drum"/>
    <n v="0.56999999999999995"/>
    <d v="2012-07-11T00:00:00"/>
    <n v="0"/>
    <n v="0"/>
    <n v="0.25"/>
    <n v="0.25"/>
  </r>
  <r>
    <n v="317"/>
    <n v="2209"/>
    <x v="168"/>
    <x v="29"/>
    <s v="High"/>
    <n v="1"/>
    <n v="5.68"/>
    <n v="0.02"/>
    <s v="Regular Air"/>
    <n v="-1.82"/>
    <n v="4.76"/>
    <n v="0.88"/>
    <x v="228"/>
    <x v="6"/>
    <x v="5"/>
    <x v="1"/>
    <x v="0"/>
    <x v="5"/>
    <x v="565"/>
    <s v="Wrap Bag"/>
    <n v="0.39"/>
    <d v="2012-07-10T00:00:00"/>
    <n v="0"/>
    <n v="0"/>
    <n v="0.25"/>
    <n v="0.25"/>
  </r>
  <r>
    <n v="318"/>
    <n v="2209"/>
    <x v="168"/>
    <x v="29"/>
    <s v="High"/>
    <n v="42"/>
    <n v="174.59"/>
    <n v="0.08"/>
    <s v="Regular Air"/>
    <n v="25.88"/>
    <n v="4.28"/>
    <n v="0.94"/>
    <x v="228"/>
    <x v="6"/>
    <x v="5"/>
    <x v="1"/>
    <x v="0"/>
    <x v="12"/>
    <x v="406"/>
    <s v="Wrap Bag"/>
    <n v="0.56000000000000005"/>
    <d v="2012-07-09T00:00:00"/>
    <n v="0"/>
    <n v="0"/>
    <n v="0.25"/>
    <n v="0.25"/>
  </r>
  <r>
    <n v="319"/>
    <n v="2209"/>
    <x v="168"/>
    <x v="29"/>
    <s v="High"/>
    <n v="13"/>
    <n v="1265.4969999999998"/>
    <n v="0.1"/>
    <s v="Regular Air"/>
    <n v="-161.11699999999999"/>
    <n v="125.99"/>
    <n v="3"/>
    <x v="228"/>
    <x v="6"/>
    <x v="5"/>
    <x v="1"/>
    <x v="1"/>
    <x v="3"/>
    <x v="520"/>
    <s v="Small Box"/>
    <n v="0.59"/>
    <d v="2012-07-10T00:00:00"/>
    <n v="0"/>
    <n v="0"/>
    <n v="0.25"/>
    <n v="0.25"/>
  </r>
  <r>
    <n v="439"/>
    <n v="2947"/>
    <x v="810"/>
    <x v="37"/>
    <s v="Critical"/>
    <n v="8"/>
    <n v="57.04"/>
    <n v="0.05"/>
    <s v="Regular Air"/>
    <n v="-29.06"/>
    <n v="6.48"/>
    <n v="6.81"/>
    <x v="228"/>
    <x v="6"/>
    <x v="5"/>
    <x v="1"/>
    <x v="0"/>
    <x v="5"/>
    <x v="183"/>
    <s v="Small Box"/>
    <n v="0.36"/>
    <d v="2011-04-27T00:00:00"/>
    <n v="0"/>
    <n v="0"/>
    <n v="1"/>
    <n v="0.33333333333333331"/>
  </r>
  <r>
    <n v="474"/>
    <n v="3271"/>
    <x v="37"/>
    <x v="25"/>
    <s v="Critical"/>
    <n v="45"/>
    <n v="11532.99"/>
    <n v="7.0000000000000007E-2"/>
    <s v="Delivery Truck"/>
    <n v="2753.39"/>
    <n v="264.98"/>
    <n v="17.86"/>
    <x v="227"/>
    <x v="6"/>
    <x v="5"/>
    <x v="3"/>
    <x v="1"/>
    <x v="16"/>
    <x v="908"/>
    <s v="Jumbo Drum"/>
    <n v="0.57999999999999996"/>
    <d v="2011-12-31T00:00:00"/>
    <n v="0"/>
    <n v="0"/>
    <n v="0.5"/>
    <n v="0.5"/>
  </r>
  <r>
    <n v="475"/>
    <n v="3271"/>
    <x v="37"/>
    <x v="25"/>
    <s v="Critical"/>
    <n v="18"/>
    <n v="146.1"/>
    <n v="0.06"/>
    <s v="Express Air"/>
    <n v="51.14"/>
    <n v="8.34"/>
    <n v="1.43"/>
    <x v="227"/>
    <x v="6"/>
    <x v="5"/>
    <x v="3"/>
    <x v="0"/>
    <x v="5"/>
    <x v="909"/>
    <s v="Wrap Bag"/>
    <n v="0.35"/>
    <d v="2012-01-01T00:00:00"/>
    <n v="0"/>
    <n v="0"/>
    <n v="0.5"/>
    <n v="0.5"/>
  </r>
  <r>
    <n v="623"/>
    <n v="4321"/>
    <x v="811"/>
    <x v="36"/>
    <s v="Medium"/>
    <n v="47"/>
    <n v="1505.57"/>
    <n v="0.02"/>
    <s v="Express Air"/>
    <n v="-54.63"/>
    <n v="30.53"/>
    <n v="19.989999999999998"/>
    <x v="224"/>
    <x v="6"/>
    <x v="5"/>
    <x v="2"/>
    <x v="0"/>
    <x v="11"/>
    <x v="112"/>
    <s v="Small Box"/>
    <n v="0.39"/>
    <d v="2009-07-19T00:00:00"/>
    <n v="0"/>
    <n v="0"/>
    <n v="1"/>
    <n v="1"/>
  </r>
  <r>
    <n v="643"/>
    <n v="4545"/>
    <x v="150"/>
    <x v="38"/>
    <s v="Not Specified"/>
    <n v="33"/>
    <n v="126.38"/>
    <n v="0.08"/>
    <s v="Regular Air"/>
    <n v="26.64"/>
    <n v="4"/>
    <n v="1.3"/>
    <x v="224"/>
    <x v="6"/>
    <x v="5"/>
    <x v="0"/>
    <x v="0"/>
    <x v="5"/>
    <x v="910"/>
    <s v="Wrap Bag"/>
    <n v="0.37"/>
    <d v="2010-01-18T00:00:00"/>
    <n v="1"/>
    <n v="0"/>
    <n v="0.5"/>
    <n v="0.5"/>
  </r>
  <r>
    <n v="644"/>
    <n v="4545"/>
    <x v="150"/>
    <x v="38"/>
    <s v="Not Specified"/>
    <n v="4"/>
    <n v="33.1"/>
    <n v="0.06"/>
    <s v="Regular Air"/>
    <n v="-24.15"/>
    <n v="6.48"/>
    <n v="8.74"/>
    <x v="224"/>
    <x v="6"/>
    <x v="5"/>
    <x v="0"/>
    <x v="0"/>
    <x v="5"/>
    <x v="911"/>
    <s v="Small Box"/>
    <n v="0.36"/>
    <d v="2010-01-17T00:00:00"/>
    <n v="1"/>
    <n v="0"/>
    <n v="0.5"/>
    <n v="0.5"/>
  </r>
  <r>
    <n v="783"/>
    <n v="5572"/>
    <x v="83"/>
    <x v="36"/>
    <s v="High"/>
    <n v="37"/>
    <n v="288.55"/>
    <n v="0.03"/>
    <s v="Regular Air"/>
    <n v="-133.69999999999999"/>
    <n v="7.37"/>
    <n v="5.53"/>
    <x v="229"/>
    <x v="6"/>
    <x v="5"/>
    <x v="2"/>
    <x v="1"/>
    <x v="7"/>
    <x v="827"/>
    <s v="Small Pack"/>
    <n v="0.69"/>
    <d v="2009-07-18T00:00:00"/>
    <n v="0"/>
    <n v="0"/>
    <n v="1"/>
    <n v="1"/>
  </r>
  <r>
    <n v="800"/>
    <n v="5703"/>
    <x v="812"/>
    <x v="39"/>
    <s v="Medium"/>
    <n v="29"/>
    <n v="357.96"/>
    <n v="0.06"/>
    <s v="Regular Air"/>
    <n v="10.44"/>
    <n v="12.28"/>
    <n v="6.47"/>
    <x v="227"/>
    <x v="6"/>
    <x v="5"/>
    <x v="1"/>
    <x v="0"/>
    <x v="5"/>
    <x v="46"/>
    <s v="Small Box"/>
    <n v="0.38"/>
    <d v="2010-05-16T00:00:00"/>
    <n v="0"/>
    <n v="0"/>
    <n v="1"/>
    <n v="1"/>
  </r>
  <r>
    <n v="819"/>
    <n v="5920"/>
    <x v="330"/>
    <x v="11"/>
    <s v="High"/>
    <n v="4"/>
    <n v="582.59"/>
    <n v="7.0000000000000007E-2"/>
    <s v="Regular Air"/>
    <n v="-121.75"/>
    <n v="155.06"/>
    <n v="7.07"/>
    <x v="230"/>
    <x v="6"/>
    <x v="5"/>
    <x v="1"/>
    <x v="0"/>
    <x v="0"/>
    <x v="376"/>
    <s v="Small Box"/>
    <n v="0.59"/>
    <d v="2009-11-19T00:00:00"/>
    <n v="0"/>
    <n v="0"/>
    <n v="1"/>
    <n v="1"/>
  </r>
  <r>
    <n v="880"/>
    <n v="6311"/>
    <x v="813"/>
    <x v="6"/>
    <s v="Medium"/>
    <n v="18"/>
    <n v="1297.4485"/>
    <n v="0.04"/>
    <s v="Regular Air"/>
    <n v="4.212000000000006"/>
    <n v="85.99"/>
    <n v="10.78"/>
    <x v="229"/>
    <x v="6"/>
    <x v="5"/>
    <x v="2"/>
    <x v="1"/>
    <x v="3"/>
    <x v="912"/>
    <s v="Small Box"/>
    <n v="0.57999999999999996"/>
    <d v="2010-02-13T00:00:00"/>
    <n v="0"/>
    <n v="0"/>
    <n v="1"/>
    <n v="1"/>
  </r>
  <r>
    <n v="1125"/>
    <n v="8231"/>
    <x v="814"/>
    <x v="1"/>
    <s v="Critical"/>
    <n v="27"/>
    <n v="79.44"/>
    <n v="0.06"/>
    <s v="Regular Air"/>
    <n v="29.85"/>
    <n v="2.88"/>
    <n v="0.5"/>
    <x v="224"/>
    <x v="6"/>
    <x v="5"/>
    <x v="2"/>
    <x v="0"/>
    <x v="11"/>
    <x v="360"/>
    <s v="Small Box"/>
    <n v="0.39"/>
    <d v="2012-10-20T00:00:00"/>
    <n v="0"/>
    <n v="0"/>
    <n v="0.5"/>
    <n v="0.2"/>
  </r>
  <r>
    <n v="1126"/>
    <n v="8231"/>
    <x v="814"/>
    <x v="1"/>
    <s v="Critical"/>
    <n v="5"/>
    <n v="110.03"/>
    <n v="0.06"/>
    <s v="Regular Air"/>
    <n v="-31.33"/>
    <n v="19.98"/>
    <n v="10.49"/>
    <x v="224"/>
    <x v="6"/>
    <x v="5"/>
    <x v="2"/>
    <x v="2"/>
    <x v="4"/>
    <x v="66"/>
    <s v="Small Box"/>
    <n v="0.49"/>
    <d v="2012-10-19T00:00:00"/>
    <n v="0"/>
    <n v="0"/>
    <n v="0.5"/>
    <n v="0.2"/>
  </r>
  <r>
    <n v="1191"/>
    <n v="8709"/>
    <x v="815"/>
    <x v="28"/>
    <s v="High"/>
    <n v="50"/>
    <n v="2451.41"/>
    <n v="7.0000000000000007E-2"/>
    <s v="Regular Air"/>
    <n v="773.36"/>
    <n v="51.98"/>
    <n v="10.17"/>
    <x v="231"/>
    <x v="6"/>
    <x v="5"/>
    <x v="3"/>
    <x v="1"/>
    <x v="16"/>
    <x v="913"/>
    <s v="Medium Box"/>
    <n v="0.37"/>
    <d v="2009-03-10T00:00:00"/>
    <n v="0"/>
    <n v="0"/>
    <n v="0.5"/>
    <n v="0.5"/>
  </r>
  <r>
    <n v="1192"/>
    <n v="8709"/>
    <x v="815"/>
    <x v="28"/>
    <s v="High"/>
    <n v="11"/>
    <n v="851.24"/>
    <n v="0.1"/>
    <s v="Delivery Truck"/>
    <n v="-149.4573"/>
    <n v="80.97"/>
    <n v="33.6"/>
    <x v="231"/>
    <x v="6"/>
    <x v="5"/>
    <x v="3"/>
    <x v="1"/>
    <x v="16"/>
    <x v="196"/>
    <s v="Jumbo Drum"/>
    <n v="0.37"/>
    <d v="2009-03-11T00:00:00"/>
    <n v="0"/>
    <n v="0"/>
    <n v="0.5"/>
    <n v="0.5"/>
  </r>
  <r>
    <n v="1338"/>
    <n v="9765"/>
    <x v="816"/>
    <x v="1"/>
    <s v="Low"/>
    <n v="26"/>
    <n v="3505.6"/>
    <n v="0.03"/>
    <s v="Regular Air"/>
    <n v="1019.7"/>
    <n v="128.24"/>
    <n v="12.65"/>
    <x v="231"/>
    <x v="6"/>
    <x v="5"/>
    <x v="3"/>
    <x v="2"/>
    <x v="14"/>
    <x v="410"/>
    <s v="Medium Box"/>
    <m/>
    <d v="2012-10-19T00:00:00"/>
    <n v="0"/>
    <n v="0"/>
    <n v="1"/>
    <n v="1"/>
  </r>
  <r>
    <n v="1399"/>
    <n v="10147"/>
    <x v="639"/>
    <x v="0"/>
    <s v="High"/>
    <n v="22"/>
    <n v="96.75"/>
    <n v="0.04"/>
    <s v="Regular Air"/>
    <n v="-72.91"/>
    <n v="4.24"/>
    <n v="5.41"/>
    <x v="225"/>
    <x v="6"/>
    <x v="5"/>
    <x v="3"/>
    <x v="0"/>
    <x v="2"/>
    <x v="683"/>
    <s v="Small Box"/>
    <n v="0.35"/>
    <d v="2010-10-10T00:00:00"/>
    <n v="0"/>
    <n v="0"/>
    <n v="1"/>
    <n v="1"/>
  </r>
  <r>
    <n v="1645"/>
    <n v="11876"/>
    <x v="609"/>
    <x v="2"/>
    <s v="High"/>
    <n v="47"/>
    <n v="5051.8900000000003"/>
    <n v="0.02"/>
    <s v="Regular Air"/>
    <n v="1708.84"/>
    <n v="107.53"/>
    <n v="5.81"/>
    <x v="227"/>
    <x v="6"/>
    <x v="5"/>
    <x v="3"/>
    <x v="2"/>
    <x v="4"/>
    <x v="348"/>
    <s v="Medium Box"/>
    <n v="0.65"/>
    <d v="2011-07-06T00:00:00"/>
    <n v="0"/>
    <n v="0"/>
    <n v="1"/>
    <n v="1"/>
  </r>
  <r>
    <n v="1692"/>
    <n v="12224"/>
    <x v="521"/>
    <x v="47"/>
    <s v="High"/>
    <n v="2"/>
    <n v="302.91000000000003"/>
    <n v="0.04"/>
    <s v="Delivery Truck"/>
    <n v="-186.12900000000002"/>
    <n v="124.49"/>
    <n v="51.94"/>
    <x v="227"/>
    <x v="6"/>
    <x v="5"/>
    <x v="1"/>
    <x v="2"/>
    <x v="10"/>
    <x v="307"/>
    <s v="Jumbo Box"/>
    <n v="0.63"/>
    <d v="2009-12-14T00:00:00"/>
    <n v="0"/>
    <n v="0"/>
    <n v="0.5"/>
    <n v="0.5"/>
  </r>
  <r>
    <n v="1693"/>
    <n v="12224"/>
    <x v="521"/>
    <x v="47"/>
    <s v="High"/>
    <n v="29"/>
    <n v="842.61349999999993"/>
    <n v="0.1"/>
    <s v="Regular Air"/>
    <n v="-208.428"/>
    <n v="35.99"/>
    <n v="5"/>
    <x v="227"/>
    <x v="6"/>
    <x v="5"/>
    <x v="1"/>
    <x v="1"/>
    <x v="3"/>
    <x v="525"/>
    <s v="Wrap Bag"/>
    <n v="0.82"/>
    <d v="2009-12-12T00:00:00"/>
    <n v="0"/>
    <n v="0"/>
    <n v="0.5"/>
    <n v="0.5"/>
  </r>
  <r>
    <n v="1696"/>
    <n v="12256"/>
    <x v="817"/>
    <x v="45"/>
    <s v="Medium"/>
    <n v="44"/>
    <n v="117.97"/>
    <n v="0.1"/>
    <s v="Regular Air"/>
    <n v="44.59"/>
    <n v="2.88"/>
    <n v="0.5"/>
    <x v="227"/>
    <x v="6"/>
    <x v="5"/>
    <x v="3"/>
    <x v="0"/>
    <x v="11"/>
    <x v="42"/>
    <s v="Small Box"/>
    <n v="0.36"/>
    <d v="2012-12-20T00:00:00"/>
    <n v="0"/>
    <n v="0"/>
    <n v="1"/>
    <n v="1"/>
  </r>
  <r>
    <n v="1703"/>
    <n v="12261"/>
    <x v="181"/>
    <x v="0"/>
    <s v="Low"/>
    <n v="12"/>
    <n v="2237.7600000000002"/>
    <n v="0.1"/>
    <s v="Delivery Truck"/>
    <n v="151.86000000000001"/>
    <n v="200.98"/>
    <n v="23.76"/>
    <x v="226"/>
    <x v="6"/>
    <x v="5"/>
    <x v="2"/>
    <x v="2"/>
    <x v="14"/>
    <x v="316"/>
    <s v="Jumbo Drum"/>
    <n v="0.57999999999999996"/>
    <d v="2010-10-28T00:00:00"/>
    <n v="0"/>
    <n v="0"/>
    <n v="0.2"/>
    <n v="0.2"/>
  </r>
  <r>
    <n v="1704"/>
    <n v="12261"/>
    <x v="181"/>
    <x v="0"/>
    <s v="Low"/>
    <n v="4"/>
    <n v="20.59"/>
    <n v="0.02"/>
    <s v="Express Air"/>
    <n v="1.19"/>
    <n v="3.98"/>
    <n v="0.83"/>
    <x v="226"/>
    <x v="6"/>
    <x v="5"/>
    <x v="2"/>
    <x v="0"/>
    <x v="12"/>
    <x v="914"/>
    <s v="Wrap Bag"/>
    <n v="0.51"/>
    <d v="2010-10-27T00:00:00"/>
    <n v="0"/>
    <n v="0"/>
    <n v="0.2"/>
    <n v="0.2"/>
  </r>
  <r>
    <n v="1705"/>
    <n v="12261"/>
    <x v="181"/>
    <x v="0"/>
    <s v="Low"/>
    <n v="19"/>
    <n v="281.74"/>
    <n v="0.06"/>
    <s v="Regular Air"/>
    <n v="25.67"/>
    <n v="14.56"/>
    <n v="3.5"/>
    <x v="226"/>
    <x v="6"/>
    <x v="5"/>
    <x v="2"/>
    <x v="0"/>
    <x v="1"/>
    <x v="714"/>
    <s v="Small Box"/>
    <n v="0.57999999999999996"/>
    <d v="2010-10-28T00:00:00"/>
    <n v="0"/>
    <n v="0"/>
    <n v="0.2"/>
    <n v="0.2"/>
  </r>
  <r>
    <n v="1706"/>
    <n v="12261"/>
    <x v="181"/>
    <x v="0"/>
    <s v="Low"/>
    <n v="23"/>
    <n v="217.35"/>
    <n v="0"/>
    <s v="Regular Air"/>
    <n v="-67.19"/>
    <n v="8.74"/>
    <n v="8.2899999999999991"/>
    <x v="226"/>
    <x v="6"/>
    <x v="5"/>
    <x v="2"/>
    <x v="0"/>
    <x v="8"/>
    <x v="427"/>
    <s v="Small Box"/>
    <n v="0.38"/>
    <d v="2010-10-30T00:00:00"/>
    <n v="0"/>
    <n v="0"/>
    <n v="0.2"/>
    <n v="0.2"/>
  </r>
  <r>
    <n v="1707"/>
    <n v="12261"/>
    <x v="181"/>
    <x v="0"/>
    <s v="Low"/>
    <n v="15"/>
    <n v="2746.57"/>
    <n v="0.03"/>
    <s v="Regular Air"/>
    <n v="617.4"/>
    <n v="178.47"/>
    <n v="19.989999999999998"/>
    <x v="226"/>
    <x v="6"/>
    <x v="5"/>
    <x v="2"/>
    <x v="0"/>
    <x v="0"/>
    <x v="902"/>
    <s v="Small Box"/>
    <n v="0.55000000000000004"/>
    <d v="2010-10-28T00:00:00"/>
    <n v="0"/>
    <n v="0"/>
    <n v="0.2"/>
    <n v="0.2"/>
  </r>
  <r>
    <n v="1863"/>
    <n v="13408"/>
    <x v="818"/>
    <x v="40"/>
    <s v="Low"/>
    <n v="4"/>
    <n v="256.77"/>
    <n v="0.04"/>
    <s v="Regular Air"/>
    <n v="173.89"/>
    <n v="60.65"/>
    <n v="12.23"/>
    <x v="227"/>
    <x v="6"/>
    <x v="5"/>
    <x v="3"/>
    <x v="2"/>
    <x v="4"/>
    <x v="915"/>
    <s v="Medium Box"/>
    <n v="0.64"/>
    <d v="2009-02-16T00:00:00"/>
    <n v="0"/>
    <n v="0"/>
    <n v="1"/>
    <n v="1"/>
  </r>
  <r>
    <n v="1868"/>
    <n v="13444"/>
    <x v="505"/>
    <x v="23"/>
    <s v="High"/>
    <n v="33"/>
    <n v="154.44"/>
    <n v="0.06"/>
    <s v="Regular Air"/>
    <n v="54.62"/>
    <n v="4.76"/>
    <n v="0.88"/>
    <x v="228"/>
    <x v="6"/>
    <x v="5"/>
    <x v="1"/>
    <x v="0"/>
    <x v="5"/>
    <x v="565"/>
    <s v="Wrap Bag"/>
    <n v="0.39"/>
    <d v="2012-01-08T00:00:00"/>
    <n v="0"/>
    <n v="0"/>
    <n v="1"/>
    <n v="1"/>
  </r>
  <r>
    <n v="1893"/>
    <n v="13601"/>
    <x v="707"/>
    <x v="9"/>
    <s v="Low"/>
    <n v="17"/>
    <n v="822.91"/>
    <n v="0.09"/>
    <s v="Regular Air"/>
    <n v="-94.76"/>
    <n v="49.43"/>
    <n v="19.989999999999998"/>
    <x v="227"/>
    <x v="6"/>
    <x v="5"/>
    <x v="1"/>
    <x v="0"/>
    <x v="1"/>
    <x v="638"/>
    <s v="Small Box"/>
    <n v="0.56999999999999995"/>
    <d v="2012-08-20T00:00:00"/>
    <n v="0"/>
    <n v="0"/>
    <n v="1"/>
    <n v="1"/>
  </r>
  <r>
    <n v="1938"/>
    <n v="13894"/>
    <x v="819"/>
    <x v="13"/>
    <s v="Medium"/>
    <n v="31"/>
    <n v="89.18"/>
    <n v="0.04"/>
    <s v="Regular Air"/>
    <n v="21.73"/>
    <n v="2.94"/>
    <n v="0.81"/>
    <x v="231"/>
    <x v="6"/>
    <x v="5"/>
    <x v="3"/>
    <x v="0"/>
    <x v="12"/>
    <x v="857"/>
    <s v="Wrap Bag"/>
    <n v="0.4"/>
    <d v="2012-04-11T00:00:00"/>
    <n v="0"/>
    <n v="0"/>
    <n v="0.5"/>
    <n v="0.5"/>
  </r>
  <r>
    <n v="1939"/>
    <n v="13894"/>
    <x v="819"/>
    <x v="13"/>
    <s v="Medium"/>
    <n v="50"/>
    <n v="1540.2850000000001"/>
    <n v="0.05"/>
    <s v="Regular Air"/>
    <n v="829.64700000000005"/>
    <n v="35.99"/>
    <n v="1.25"/>
    <x v="231"/>
    <x v="6"/>
    <x v="5"/>
    <x v="3"/>
    <x v="1"/>
    <x v="3"/>
    <x v="916"/>
    <s v="Small Pack"/>
    <n v="0.36"/>
    <d v="2012-04-11T00:00:00"/>
    <n v="0"/>
    <n v="0"/>
    <n v="0.5"/>
    <n v="0.5"/>
  </r>
  <r>
    <n v="2286"/>
    <n v="16480"/>
    <x v="516"/>
    <x v="47"/>
    <s v="Not Specified"/>
    <n v="14"/>
    <n v="87.23"/>
    <n v="0.09"/>
    <s v="Express Air"/>
    <n v="-69.528999999999996"/>
    <n v="5.4"/>
    <n v="7.78"/>
    <x v="230"/>
    <x v="6"/>
    <x v="5"/>
    <x v="1"/>
    <x v="0"/>
    <x v="2"/>
    <x v="212"/>
    <s v="Small Box"/>
    <n v="0.37"/>
    <d v="2009-12-08T00:00:00"/>
    <n v="0"/>
    <n v="0"/>
    <n v="1"/>
    <n v="1"/>
  </r>
  <r>
    <n v="2455"/>
    <n v="17858"/>
    <x v="307"/>
    <x v="18"/>
    <s v="Medium"/>
    <n v="21"/>
    <n v="187.14"/>
    <n v="0.02"/>
    <s v="Regular Air"/>
    <n v="21.07"/>
    <n v="8.33"/>
    <n v="1.99"/>
    <x v="46"/>
    <x v="6"/>
    <x v="5"/>
    <x v="1"/>
    <x v="1"/>
    <x v="7"/>
    <x v="206"/>
    <s v="Small Pack"/>
    <n v="0.52"/>
    <d v="2010-09-27T00:00:00"/>
    <n v="0"/>
    <n v="0"/>
    <n v="0.33333333333333331"/>
    <n v="0.33333333333333331"/>
  </r>
  <r>
    <n v="2456"/>
    <n v="17858"/>
    <x v="307"/>
    <x v="18"/>
    <s v="Medium"/>
    <n v="12"/>
    <n v="385.7"/>
    <n v="0"/>
    <s v="Regular Air"/>
    <n v="-109.91"/>
    <n v="30.98"/>
    <n v="6.5"/>
    <x v="46"/>
    <x v="6"/>
    <x v="5"/>
    <x v="1"/>
    <x v="1"/>
    <x v="7"/>
    <x v="630"/>
    <s v="Small Box"/>
    <n v="0.79"/>
    <d v="2010-09-26T00:00:00"/>
    <n v="0"/>
    <n v="0"/>
    <n v="0.33333333333333331"/>
    <n v="0.33333333333333331"/>
  </r>
  <r>
    <n v="2457"/>
    <n v="17858"/>
    <x v="307"/>
    <x v="18"/>
    <s v="Medium"/>
    <n v="46"/>
    <n v="1048.3900000000001"/>
    <n v="0.06"/>
    <s v="Express Air"/>
    <n v="206.56"/>
    <n v="22.98"/>
    <n v="7.58"/>
    <x v="46"/>
    <x v="6"/>
    <x v="5"/>
    <x v="1"/>
    <x v="2"/>
    <x v="4"/>
    <x v="619"/>
    <s v="Small Box"/>
    <n v="0.51"/>
    <d v="2010-09-26T00:00:00"/>
    <n v="0"/>
    <n v="0"/>
    <n v="0.33333333333333331"/>
    <n v="0.33333333333333331"/>
  </r>
  <r>
    <n v="2571"/>
    <n v="18561"/>
    <x v="820"/>
    <x v="22"/>
    <s v="Not Specified"/>
    <n v="9"/>
    <n v="45.87"/>
    <n v="0.02"/>
    <s v="Regular Air"/>
    <n v="-38.9"/>
    <n v="4.13"/>
    <n v="6.89"/>
    <x v="227"/>
    <x v="6"/>
    <x v="5"/>
    <x v="3"/>
    <x v="0"/>
    <x v="11"/>
    <x v="917"/>
    <s v="Small Box"/>
    <n v="0.39"/>
    <d v="2009-01-10T00:00:00"/>
    <n v="0"/>
    <n v="1"/>
    <n v="1"/>
    <n v="1"/>
  </r>
  <r>
    <n v="2739"/>
    <n v="19777"/>
    <x v="821"/>
    <x v="1"/>
    <s v="Not Specified"/>
    <n v="22"/>
    <n v="321.91000000000003"/>
    <n v="0.06"/>
    <s v="Regular Air"/>
    <n v="-24.954999999999998"/>
    <n v="15.01"/>
    <n v="8.4"/>
    <x v="224"/>
    <x v="6"/>
    <x v="5"/>
    <x v="2"/>
    <x v="0"/>
    <x v="2"/>
    <x v="318"/>
    <s v="Small Box"/>
    <n v="0.39"/>
    <d v="2012-10-19T00:00:00"/>
    <n v="0"/>
    <n v="0"/>
    <n v="0.33333333333333331"/>
    <n v="0.2"/>
  </r>
  <r>
    <n v="2740"/>
    <n v="19777"/>
    <x v="821"/>
    <x v="1"/>
    <s v="Not Specified"/>
    <n v="2"/>
    <n v="132.96"/>
    <n v="0.05"/>
    <s v="Regular Air"/>
    <n v="-61.881500000000003"/>
    <n v="59.78"/>
    <n v="10.29"/>
    <x v="224"/>
    <x v="6"/>
    <x v="5"/>
    <x v="2"/>
    <x v="0"/>
    <x v="2"/>
    <x v="172"/>
    <s v="Small Box"/>
    <n v="0.39"/>
    <d v="2012-10-21T00:00:00"/>
    <n v="0"/>
    <n v="0"/>
    <n v="0.33333333333333331"/>
    <n v="0.2"/>
  </r>
  <r>
    <n v="2741"/>
    <n v="19777"/>
    <x v="821"/>
    <x v="1"/>
    <s v="Not Specified"/>
    <n v="24"/>
    <n v="3268.7514999999999"/>
    <n v="0.04"/>
    <s v="Regular Air"/>
    <n v="562.91399999999999"/>
    <n v="155.99"/>
    <n v="8.08"/>
    <x v="224"/>
    <x v="6"/>
    <x v="5"/>
    <x v="2"/>
    <x v="1"/>
    <x v="3"/>
    <x v="215"/>
    <s v="Small Box"/>
    <n v="0.6"/>
    <d v="2012-10-21T00:00:00"/>
    <n v="0"/>
    <n v="0"/>
    <n v="0.33333333333333331"/>
    <n v="0.2"/>
  </r>
  <r>
    <n v="2992"/>
    <n v="21601"/>
    <x v="822"/>
    <x v="37"/>
    <s v="Low"/>
    <n v="20"/>
    <n v="2227.34"/>
    <n v="0.09"/>
    <s v="Regular Air"/>
    <n v="-609.09"/>
    <n v="113.64"/>
    <n v="35"/>
    <x v="230"/>
    <x v="6"/>
    <x v="5"/>
    <x v="1"/>
    <x v="0"/>
    <x v="0"/>
    <x v="918"/>
    <s v="Large Box"/>
    <m/>
    <d v="2011-04-06T00:00:00"/>
    <n v="0"/>
    <n v="0"/>
    <n v="1"/>
    <n v="1"/>
  </r>
  <r>
    <n v="3013"/>
    <n v="21670"/>
    <x v="325"/>
    <x v="16"/>
    <s v="High"/>
    <n v="24"/>
    <n v="1965.21"/>
    <n v="0"/>
    <s v="Regular Air"/>
    <n v="830.75"/>
    <n v="78.69"/>
    <n v="19.989999999999998"/>
    <x v="227"/>
    <x v="6"/>
    <x v="5"/>
    <x v="3"/>
    <x v="2"/>
    <x v="4"/>
    <x v="618"/>
    <s v="Small Box"/>
    <n v="0.43"/>
    <d v="2011-01-12T00:00:00"/>
    <n v="0"/>
    <n v="0"/>
    <n v="1"/>
    <n v="1"/>
  </r>
  <r>
    <n v="3285"/>
    <n v="23489"/>
    <x v="110"/>
    <x v="9"/>
    <s v="High"/>
    <n v="42"/>
    <n v="2004.6"/>
    <n v="0.02"/>
    <s v="Express Air"/>
    <n v="230.3"/>
    <n v="47.98"/>
    <n v="3.61"/>
    <x v="226"/>
    <x v="6"/>
    <x v="5"/>
    <x v="2"/>
    <x v="1"/>
    <x v="7"/>
    <x v="12"/>
    <s v="Small Pack"/>
    <n v="0.71"/>
    <d v="2012-08-28T00:00:00"/>
    <n v="0"/>
    <n v="0"/>
    <n v="1"/>
    <n v="1"/>
  </r>
  <r>
    <n v="3432"/>
    <n v="24486"/>
    <x v="617"/>
    <x v="37"/>
    <s v="Medium"/>
    <n v="3"/>
    <n v="28.11"/>
    <n v="0.03"/>
    <s v="Regular Air"/>
    <n v="-31.62"/>
    <n v="8.1199999999999992"/>
    <n v="2.83"/>
    <x v="228"/>
    <x v="6"/>
    <x v="5"/>
    <x v="1"/>
    <x v="1"/>
    <x v="7"/>
    <x v="483"/>
    <s v="Small Pack"/>
    <n v="0.77"/>
    <d v="2011-04-23T00:00:00"/>
    <n v="0"/>
    <n v="0"/>
    <n v="0.5"/>
    <n v="0.33333333333333331"/>
  </r>
  <r>
    <n v="3433"/>
    <n v="24486"/>
    <x v="617"/>
    <x v="37"/>
    <s v="Medium"/>
    <n v="14"/>
    <n v="27.06"/>
    <n v="0"/>
    <s v="Regular Air"/>
    <n v="-6.0000000000000053E-2"/>
    <n v="1.76"/>
    <n v="0.7"/>
    <x v="228"/>
    <x v="6"/>
    <x v="5"/>
    <x v="1"/>
    <x v="0"/>
    <x v="12"/>
    <x v="263"/>
    <s v="Wrap Bag"/>
    <n v="0.56000000000000005"/>
    <d v="2011-04-23T00:00:00"/>
    <n v="0"/>
    <n v="0"/>
    <n v="0.5"/>
    <n v="0.33333333333333331"/>
  </r>
  <r>
    <n v="3490"/>
    <n v="24869"/>
    <x v="823"/>
    <x v="41"/>
    <s v="Not Specified"/>
    <n v="14"/>
    <n v="132.72"/>
    <n v="0.05"/>
    <s v="Regular Air"/>
    <n v="-9.1769999999999996"/>
    <n v="8.85"/>
    <n v="5.6"/>
    <x v="230"/>
    <x v="6"/>
    <x v="5"/>
    <x v="1"/>
    <x v="0"/>
    <x v="2"/>
    <x v="182"/>
    <s v="Small Box"/>
    <n v="0.36"/>
    <d v="2009-06-11T00:00:00"/>
    <n v="0"/>
    <n v="0"/>
    <n v="1"/>
    <n v="1"/>
  </r>
  <r>
    <n v="3601"/>
    <n v="25697"/>
    <x v="824"/>
    <x v="37"/>
    <s v="Low"/>
    <n v="46"/>
    <n v="400.25"/>
    <n v="0.02"/>
    <s v="Regular Air"/>
    <n v="-37.5"/>
    <n v="8.4600000000000009"/>
    <n v="3.62"/>
    <x v="227"/>
    <x v="6"/>
    <x v="5"/>
    <x v="1"/>
    <x v="1"/>
    <x v="7"/>
    <x v="919"/>
    <s v="Small Pack"/>
    <n v="0.61"/>
    <d v="2011-04-26T00:00:00"/>
    <n v="0"/>
    <n v="0"/>
    <n v="1"/>
    <n v="1"/>
  </r>
  <r>
    <n v="3854"/>
    <n v="27490"/>
    <x v="825"/>
    <x v="33"/>
    <s v="Not Specified"/>
    <n v="18"/>
    <n v="611.71"/>
    <n v="0.02"/>
    <s v="Regular Air"/>
    <n v="93.228000000000009"/>
    <n v="31.74"/>
    <n v="12.62"/>
    <x v="232"/>
    <x v="6"/>
    <x v="5"/>
    <x v="2"/>
    <x v="0"/>
    <x v="2"/>
    <x v="920"/>
    <s v="Small Box"/>
    <n v="0.37"/>
    <d v="2012-03-16T00:00:00"/>
    <n v="0"/>
    <n v="0"/>
    <n v="1"/>
    <n v="1"/>
  </r>
  <r>
    <n v="3906"/>
    <n v="27844"/>
    <x v="779"/>
    <x v="4"/>
    <s v="Low"/>
    <n v="27"/>
    <n v="135.86000000000001"/>
    <n v="0.04"/>
    <s v="Regular Air"/>
    <n v="-73.42"/>
    <n v="4.9800000000000004"/>
    <n v="5.49"/>
    <x v="231"/>
    <x v="6"/>
    <x v="5"/>
    <x v="3"/>
    <x v="0"/>
    <x v="5"/>
    <x v="921"/>
    <s v="Small Box"/>
    <n v="0.38"/>
    <d v="2011-07-01T00:00:00"/>
    <n v="0"/>
    <n v="0"/>
    <n v="0.5"/>
    <n v="0.5"/>
  </r>
  <r>
    <n v="3981"/>
    <n v="28451"/>
    <x v="272"/>
    <x v="22"/>
    <s v="Critical"/>
    <n v="21"/>
    <n v="4201.08"/>
    <n v="0.01"/>
    <s v="Regular Air"/>
    <n v="1162.76"/>
    <n v="194.3"/>
    <n v="11.54"/>
    <x v="224"/>
    <x v="6"/>
    <x v="5"/>
    <x v="0"/>
    <x v="2"/>
    <x v="4"/>
    <x v="104"/>
    <s v="Large Box"/>
    <n v="0.59"/>
    <d v="2009-01-07T00:00:00"/>
    <n v="0"/>
    <n v="1"/>
    <n v="0.33333333333333331"/>
    <n v="0.25"/>
  </r>
  <r>
    <n v="3982"/>
    <n v="28451"/>
    <x v="272"/>
    <x v="22"/>
    <s v="Critical"/>
    <n v="41"/>
    <n v="8958.4599999999991"/>
    <n v="0.02"/>
    <s v="Regular Air"/>
    <n v="2593.14"/>
    <n v="209.84"/>
    <n v="21.21"/>
    <x v="224"/>
    <x v="6"/>
    <x v="5"/>
    <x v="0"/>
    <x v="2"/>
    <x v="4"/>
    <x v="922"/>
    <s v="Large Box"/>
    <n v="0.59"/>
    <d v="2009-01-06T00:00:00"/>
    <n v="0"/>
    <n v="1"/>
    <n v="0.33333333333333331"/>
    <n v="0.25"/>
  </r>
  <r>
    <n v="3983"/>
    <n v="28451"/>
    <x v="272"/>
    <x v="22"/>
    <s v="Critical"/>
    <n v="33"/>
    <n v="4913.7"/>
    <n v="0"/>
    <s v="Delivery Truck"/>
    <n v="1054.93"/>
    <n v="145.44999999999999"/>
    <n v="17.850000000000001"/>
    <x v="224"/>
    <x v="6"/>
    <x v="5"/>
    <x v="0"/>
    <x v="1"/>
    <x v="16"/>
    <x v="127"/>
    <s v="Jumbo Drum"/>
    <n v="0.56000000000000005"/>
    <d v="2009-01-07T00:00:00"/>
    <n v="0"/>
    <n v="1"/>
    <n v="0.33333333333333331"/>
    <n v="0.25"/>
  </r>
  <r>
    <n v="3989"/>
    <n v="28482"/>
    <x v="28"/>
    <x v="14"/>
    <s v="Critical"/>
    <n v="22"/>
    <n v="119.63"/>
    <n v="0.03"/>
    <s v="Regular Air"/>
    <n v="-27.39"/>
    <n v="5.08"/>
    <n v="3.63"/>
    <x v="225"/>
    <x v="6"/>
    <x v="5"/>
    <x v="3"/>
    <x v="2"/>
    <x v="4"/>
    <x v="727"/>
    <s v="Wrap Bag"/>
    <n v="0.51"/>
    <d v="2010-03-10T00:00:00"/>
    <n v="0"/>
    <n v="0"/>
    <n v="0.5"/>
    <n v="0.5"/>
  </r>
  <r>
    <n v="3990"/>
    <n v="28482"/>
    <x v="28"/>
    <x v="14"/>
    <s v="Critical"/>
    <n v="40"/>
    <n v="177.92"/>
    <n v="0"/>
    <s v="Regular Air"/>
    <n v="-167.92"/>
    <n v="4.28"/>
    <n v="6.72"/>
    <x v="225"/>
    <x v="6"/>
    <x v="5"/>
    <x v="3"/>
    <x v="0"/>
    <x v="5"/>
    <x v="777"/>
    <s v="Small Box"/>
    <n v="0.4"/>
    <d v="2010-03-08T00:00:00"/>
    <n v="0"/>
    <n v="0"/>
    <n v="0.5"/>
    <n v="0.5"/>
  </r>
  <r>
    <n v="4012"/>
    <n v="28642"/>
    <x v="826"/>
    <x v="16"/>
    <s v="High"/>
    <n v="41"/>
    <n v="230.29"/>
    <n v="0"/>
    <s v="Regular Air"/>
    <n v="14.484"/>
    <n v="5.28"/>
    <n v="2.99"/>
    <x v="224"/>
    <x v="6"/>
    <x v="5"/>
    <x v="2"/>
    <x v="0"/>
    <x v="2"/>
    <x v="13"/>
    <s v="Small Box"/>
    <n v="0.37"/>
    <d v="2011-01-20T00:00:00"/>
    <n v="0"/>
    <n v="0"/>
    <n v="0.5"/>
    <n v="0.5"/>
  </r>
  <r>
    <n v="4013"/>
    <n v="28642"/>
    <x v="826"/>
    <x v="16"/>
    <s v="High"/>
    <n v="27"/>
    <n v="1592.0415"/>
    <n v="0"/>
    <s v="Regular Air"/>
    <n v="-52.700999999999993"/>
    <n v="65.989999999999995"/>
    <n v="19.989999999999998"/>
    <x v="224"/>
    <x v="6"/>
    <x v="5"/>
    <x v="2"/>
    <x v="1"/>
    <x v="3"/>
    <x v="711"/>
    <s v="Small Box"/>
    <n v="0.59"/>
    <d v="2011-01-20T00:00:00"/>
    <n v="0"/>
    <n v="0"/>
    <n v="0.5"/>
    <n v="0.5"/>
  </r>
  <r>
    <n v="4136"/>
    <n v="29380"/>
    <x v="240"/>
    <x v="46"/>
    <s v="Not Specified"/>
    <n v="13"/>
    <n v="150.13"/>
    <n v="0.09"/>
    <s v="Regular Air"/>
    <n v="1.73"/>
    <n v="12.28"/>
    <n v="4.8600000000000003"/>
    <x v="229"/>
    <x v="6"/>
    <x v="5"/>
    <x v="2"/>
    <x v="0"/>
    <x v="5"/>
    <x v="923"/>
    <s v="Small Box"/>
    <n v="0.38"/>
    <d v="2009-04-28T00:00:00"/>
    <n v="0"/>
    <n v="0"/>
    <n v="1"/>
    <n v="1"/>
  </r>
  <r>
    <n v="4499"/>
    <n v="32036"/>
    <x v="827"/>
    <x v="17"/>
    <s v="Medium"/>
    <n v="6"/>
    <n v="338.89"/>
    <n v="7.0000000000000007E-2"/>
    <s v="Regular Air"/>
    <n v="45.76"/>
    <n v="54.96"/>
    <n v="10.75"/>
    <x v="224"/>
    <x v="6"/>
    <x v="5"/>
    <x v="2"/>
    <x v="0"/>
    <x v="5"/>
    <x v="229"/>
    <s v="Small Box"/>
    <n v="0.36"/>
    <d v="2011-10-07T00:00:00"/>
    <n v="0"/>
    <n v="0"/>
    <n v="0.5"/>
    <n v="0.5"/>
  </r>
  <r>
    <n v="4500"/>
    <n v="32036"/>
    <x v="827"/>
    <x v="17"/>
    <s v="Medium"/>
    <n v="25"/>
    <n v="362.52"/>
    <n v="7.0000000000000007E-2"/>
    <s v="Regular Air"/>
    <n v="-68.489999999999995"/>
    <n v="14.97"/>
    <n v="7.51"/>
    <x v="224"/>
    <x v="6"/>
    <x v="5"/>
    <x v="2"/>
    <x v="0"/>
    <x v="0"/>
    <x v="270"/>
    <s v="Small Box"/>
    <n v="0.56999999999999995"/>
    <d v="2011-10-06T00:00:00"/>
    <n v="0"/>
    <n v="0"/>
    <n v="0.5"/>
    <n v="0.5"/>
  </r>
  <r>
    <n v="4540"/>
    <n v="32295"/>
    <x v="828"/>
    <x v="22"/>
    <s v="High"/>
    <n v="11"/>
    <n v="607.59699999999998"/>
    <n v="7.0000000000000007E-2"/>
    <s v="Regular Air"/>
    <n v="-112.244"/>
    <n v="65.989999999999995"/>
    <n v="5.99"/>
    <x v="224"/>
    <x v="6"/>
    <x v="5"/>
    <x v="0"/>
    <x v="1"/>
    <x v="3"/>
    <x v="421"/>
    <s v="Small Box"/>
    <n v="0.57999999999999996"/>
    <d v="2009-01-08T00:00:00"/>
    <n v="0"/>
    <n v="1"/>
    <n v="1"/>
    <n v="0.25"/>
  </r>
  <r>
    <n v="4702"/>
    <n v="33505"/>
    <x v="307"/>
    <x v="18"/>
    <s v="Low"/>
    <n v="32"/>
    <n v="117.78"/>
    <n v="0.09"/>
    <s v="Regular Air"/>
    <n v="20.82"/>
    <n v="4"/>
    <n v="1.3"/>
    <x v="228"/>
    <x v="6"/>
    <x v="5"/>
    <x v="1"/>
    <x v="0"/>
    <x v="5"/>
    <x v="910"/>
    <s v="Wrap Bag"/>
    <n v="0.37"/>
    <d v="2010-09-29T00:00:00"/>
    <n v="0"/>
    <n v="0"/>
    <n v="0.5"/>
    <n v="0.5"/>
  </r>
  <r>
    <n v="4703"/>
    <n v="33505"/>
    <x v="307"/>
    <x v="18"/>
    <s v="Low"/>
    <n v="35"/>
    <n v="2463.2404999999999"/>
    <n v="7.0000000000000007E-2"/>
    <s v="Express Air"/>
    <n v="310.572"/>
    <n v="85.99"/>
    <n v="10.78"/>
    <x v="228"/>
    <x v="6"/>
    <x v="5"/>
    <x v="1"/>
    <x v="1"/>
    <x v="3"/>
    <x v="912"/>
    <s v="Small Box"/>
    <n v="0.57999999999999996"/>
    <d v="2010-09-25T00:00:00"/>
    <n v="0"/>
    <n v="0"/>
    <n v="0.5"/>
    <n v="0.5"/>
  </r>
  <r>
    <n v="4797"/>
    <n v="34086"/>
    <x v="829"/>
    <x v="13"/>
    <s v="High"/>
    <n v="41"/>
    <n v="2251.9135000000001"/>
    <n v="0.04"/>
    <s v="Regular Air"/>
    <n v="655.91099999999994"/>
    <n v="65.989999999999995"/>
    <n v="2.5"/>
    <x v="230"/>
    <x v="6"/>
    <x v="5"/>
    <x v="1"/>
    <x v="1"/>
    <x v="3"/>
    <x v="588"/>
    <s v="Small Box"/>
    <n v="0.55000000000000004"/>
    <d v="2012-05-01T00:00:00"/>
    <n v="0"/>
    <n v="0"/>
    <n v="1"/>
    <n v="1"/>
  </r>
  <r>
    <n v="4809"/>
    <n v="34209"/>
    <x v="69"/>
    <x v="3"/>
    <s v="High"/>
    <n v="48"/>
    <n v="705.44"/>
    <n v="0.04"/>
    <s v="Regular Air"/>
    <n v="165.9"/>
    <n v="14.2"/>
    <n v="5.3"/>
    <x v="226"/>
    <x v="6"/>
    <x v="5"/>
    <x v="2"/>
    <x v="2"/>
    <x v="4"/>
    <x v="457"/>
    <s v="Wrap Bag"/>
    <n v="0.46"/>
    <d v="2010-08-26T00:00:00"/>
    <n v="0"/>
    <n v="0"/>
    <n v="0.5"/>
    <n v="0.5"/>
  </r>
  <r>
    <n v="4810"/>
    <n v="34209"/>
    <x v="69"/>
    <x v="3"/>
    <s v="High"/>
    <n v="29"/>
    <n v="1041.72"/>
    <n v="0.03"/>
    <s v="Regular Air"/>
    <n v="437.61"/>
    <n v="35.44"/>
    <n v="4.92"/>
    <x v="226"/>
    <x v="6"/>
    <x v="5"/>
    <x v="2"/>
    <x v="0"/>
    <x v="5"/>
    <x v="371"/>
    <s v="Small Box"/>
    <n v="0.38"/>
    <d v="2010-08-26T00:00:00"/>
    <n v="0"/>
    <n v="0"/>
    <n v="0.5"/>
    <n v="0.5"/>
  </r>
  <r>
    <n v="5176"/>
    <n v="36807"/>
    <x v="830"/>
    <x v="28"/>
    <s v="Medium"/>
    <n v="14"/>
    <n v="211.88"/>
    <n v="0.1"/>
    <s v="Regular Air"/>
    <n v="78.45"/>
    <n v="15.57"/>
    <n v="1.39"/>
    <x v="232"/>
    <x v="6"/>
    <x v="5"/>
    <x v="2"/>
    <x v="0"/>
    <x v="8"/>
    <x v="889"/>
    <s v="Small Box"/>
    <n v="0.38"/>
    <d v="2009-03-17T00:00:00"/>
    <n v="0"/>
    <n v="0"/>
    <n v="1"/>
    <n v="1"/>
  </r>
  <r>
    <n v="5247"/>
    <n v="37318"/>
    <x v="104"/>
    <x v="24"/>
    <s v="Medium"/>
    <n v="32"/>
    <n v="1031.23"/>
    <n v="7.0000000000000007E-2"/>
    <s v="Regular Air"/>
    <n v="-138.54"/>
    <n v="33.979999999999997"/>
    <n v="19.989999999999998"/>
    <x v="230"/>
    <x v="6"/>
    <x v="5"/>
    <x v="1"/>
    <x v="2"/>
    <x v="4"/>
    <x v="90"/>
    <s v="Small Box"/>
    <n v="0.55000000000000004"/>
    <d v="2010-04-17T00:00:00"/>
    <n v="0"/>
    <n v="0"/>
    <n v="1"/>
    <n v="1"/>
  </r>
  <r>
    <n v="5412"/>
    <n v="38496"/>
    <x v="773"/>
    <x v="6"/>
    <s v="Critical"/>
    <n v="23"/>
    <n v="116.57"/>
    <n v="7.0000000000000007E-2"/>
    <s v="Regular Air"/>
    <n v="-43.18"/>
    <n v="4.9800000000000004"/>
    <n v="4.72"/>
    <x v="224"/>
    <x v="6"/>
    <x v="5"/>
    <x v="2"/>
    <x v="0"/>
    <x v="5"/>
    <x v="751"/>
    <s v="Small Box"/>
    <n v="0.36"/>
    <d v="2010-02-22T00:00:00"/>
    <n v="0"/>
    <n v="0"/>
    <n v="1"/>
    <n v="1"/>
  </r>
  <r>
    <n v="5878"/>
    <n v="41702"/>
    <x v="235"/>
    <x v="15"/>
    <s v="Not Specified"/>
    <n v="21"/>
    <n v="3323.44"/>
    <n v="0.03"/>
    <s v="Regular Air"/>
    <n v="99.879999999999939"/>
    <n v="152.47999999999999"/>
    <n v="4"/>
    <x v="233"/>
    <x v="6"/>
    <x v="5"/>
    <x v="2"/>
    <x v="1"/>
    <x v="7"/>
    <x v="659"/>
    <s v="Small Box"/>
    <n v="0.79"/>
    <d v="2010-12-23T00:00:00"/>
    <n v="0"/>
    <n v="0"/>
    <n v="0.5"/>
    <n v="0.5"/>
  </r>
  <r>
    <n v="5879"/>
    <n v="41702"/>
    <x v="235"/>
    <x v="15"/>
    <s v="Not Specified"/>
    <n v="5"/>
    <n v="27.9"/>
    <n v="0.02"/>
    <s v="Regular Air"/>
    <n v="-22.82"/>
    <n v="4.28"/>
    <n v="6.72"/>
    <x v="233"/>
    <x v="6"/>
    <x v="5"/>
    <x v="2"/>
    <x v="0"/>
    <x v="5"/>
    <x v="777"/>
    <s v="Small Box"/>
    <n v="0.4"/>
    <d v="2010-12-24T00:00:00"/>
    <n v="0"/>
    <n v="0"/>
    <n v="0.5"/>
    <n v="0.5"/>
  </r>
  <r>
    <n v="6317"/>
    <n v="44706"/>
    <x v="831"/>
    <x v="14"/>
    <s v="Low"/>
    <n v="18"/>
    <n v="7556.61"/>
    <n v="0.08"/>
    <s v="Delivery Truck"/>
    <n v="-352.24200000000002"/>
    <n v="424.21"/>
    <n v="110.2"/>
    <x v="226"/>
    <x v="6"/>
    <x v="5"/>
    <x v="2"/>
    <x v="2"/>
    <x v="10"/>
    <x v="654"/>
    <s v="Jumbo Box"/>
    <n v="0.67"/>
    <d v="2010-04-01T00:00:00"/>
    <n v="0"/>
    <n v="0"/>
    <n v="0.5"/>
    <n v="0.5"/>
  </r>
  <r>
    <n v="6318"/>
    <n v="44706"/>
    <x v="831"/>
    <x v="14"/>
    <s v="Low"/>
    <n v="33"/>
    <n v="47.48"/>
    <n v="7.0000000000000007E-2"/>
    <s v="Regular Air"/>
    <n v="3.35"/>
    <n v="1.48"/>
    <n v="0.7"/>
    <x v="226"/>
    <x v="6"/>
    <x v="5"/>
    <x v="2"/>
    <x v="0"/>
    <x v="6"/>
    <x v="476"/>
    <s v="Wrap Bag"/>
    <n v="0.37"/>
    <d v="2010-04-04T00:00:00"/>
    <n v="0"/>
    <n v="0"/>
    <n v="0.5"/>
    <n v="0.5"/>
  </r>
  <r>
    <n v="6383"/>
    <n v="45347"/>
    <x v="361"/>
    <x v="18"/>
    <s v="Medium"/>
    <n v="10"/>
    <n v="8704.08"/>
    <n v="0.05"/>
    <s v="Delivery Truck"/>
    <n v="1034.54"/>
    <n v="880.98"/>
    <n v="44.55"/>
    <x v="226"/>
    <x v="6"/>
    <x v="5"/>
    <x v="2"/>
    <x v="2"/>
    <x v="9"/>
    <x v="185"/>
    <s v="Jumbo Box"/>
    <n v="0.62"/>
    <d v="2010-09-30T00:00:00"/>
    <n v="0"/>
    <n v="0"/>
    <n v="0.5"/>
    <n v="0.5"/>
  </r>
  <r>
    <n v="6384"/>
    <n v="45347"/>
    <x v="361"/>
    <x v="18"/>
    <s v="Medium"/>
    <n v="41"/>
    <n v="24051.49"/>
    <n v="7.0000000000000007E-2"/>
    <s v="Express Air"/>
    <n v="9791.0410000000011"/>
    <n v="599.99"/>
    <n v="24.49"/>
    <x v="226"/>
    <x v="6"/>
    <x v="5"/>
    <x v="2"/>
    <x v="1"/>
    <x v="13"/>
    <x v="776"/>
    <s v="Large Box"/>
    <n v="0.37"/>
    <d v="2010-10-01T00:00:00"/>
    <n v="0"/>
    <n v="0"/>
    <n v="0.5"/>
    <n v="0.5"/>
  </r>
  <r>
    <n v="6559"/>
    <n v="46627"/>
    <x v="790"/>
    <x v="41"/>
    <s v="Critical"/>
    <n v="3"/>
    <n v="21.46"/>
    <n v="0.05"/>
    <s v="Regular Air"/>
    <n v="-14.22"/>
    <n v="5.28"/>
    <n v="6.26"/>
    <x v="234"/>
    <x v="6"/>
    <x v="5"/>
    <x v="3"/>
    <x v="0"/>
    <x v="5"/>
    <x v="438"/>
    <s v="Small Box"/>
    <n v="0.4"/>
    <d v="2009-06-12T00:00:00"/>
    <n v="0"/>
    <n v="0"/>
    <n v="0.5"/>
    <n v="0.5"/>
  </r>
  <r>
    <n v="6560"/>
    <n v="46627"/>
    <x v="790"/>
    <x v="41"/>
    <s v="Critical"/>
    <n v="24"/>
    <n v="1388.6279999999999"/>
    <n v="0.03"/>
    <s v="Regular Air"/>
    <n v="261.52199999999999"/>
    <n v="65.989999999999995"/>
    <n v="5.26"/>
    <x v="234"/>
    <x v="6"/>
    <x v="5"/>
    <x v="3"/>
    <x v="1"/>
    <x v="3"/>
    <x v="266"/>
    <s v="Small Box"/>
    <n v="0.56000000000000005"/>
    <d v="2009-06-12T00:00:00"/>
    <n v="0"/>
    <n v="0"/>
    <n v="0.5"/>
    <n v="0.5"/>
  </r>
  <r>
    <n v="6628"/>
    <n v="47168"/>
    <x v="155"/>
    <x v="41"/>
    <s v="Not Specified"/>
    <n v="24"/>
    <n v="2920.83"/>
    <n v="0.02"/>
    <s v="Delivery Truck"/>
    <n v="1068.1600000000001"/>
    <n v="119.99"/>
    <n v="14"/>
    <x v="233"/>
    <x v="6"/>
    <x v="5"/>
    <x v="2"/>
    <x v="1"/>
    <x v="16"/>
    <x v="835"/>
    <s v="Jumbo Drum"/>
    <n v="0.36"/>
    <d v="2009-06-22T00:00:00"/>
    <n v="0"/>
    <n v="0"/>
    <n v="0.5"/>
    <n v="0.5"/>
  </r>
  <r>
    <n v="6629"/>
    <n v="47168"/>
    <x v="155"/>
    <x v="41"/>
    <s v="Not Specified"/>
    <n v="42"/>
    <n v="262.3"/>
    <n v="0.09"/>
    <s v="Regular Air"/>
    <n v="-255.2"/>
    <n v="6.48"/>
    <n v="9.68"/>
    <x v="233"/>
    <x v="6"/>
    <x v="5"/>
    <x v="2"/>
    <x v="0"/>
    <x v="5"/>
    <x v="597"/>
    <s v="Small Box"/>
    <n v="0.36"/>
    <d v="2009-06-22T00:00:00"/>
    <n v="0"/>
    <n v="0"/>
    <n v="0.5"/>
    <n v="0.5"/>
  </r>
  <r>
    <n v="7011"/>
    <n v="50051"/>
    <x v="832"/>
    <x v="19"/>
    <s v="Medium"/>
    <n v="17"/>
    <n v="103.72"/>
    <n v="0.02"/>
    <s v="Regular Air"/>
    <n v="-72.058999999999997"/>
    <n v="5.53"/>
    <n v="6.98"/>
    <x v="235"/>
    <x v="6"/>
    <x v="5"/>
    <x v="2"/>
    <x v="0"/>
    <x v="2"/>
    <x v="518"/>
    <s v="Small Box"/>
    <n v="0.39"/>
    <d v="2009-10-06T00:00:00"/>
    <n v="0"/>
    <n v="0"/>
    <n v="0.33333333333333331"/>
    <n v="0.33333333333333331"/>
  </r>
  <r>
    <n v="7012"/>
    <n v="50051"/>
    <x v="832"/>
    <x v="19"/>
    <s v="Medium"/>
    <n v="4"/>
    <n v="185.15"/>
    <n v="0.09"/>
    <s v="Regular Air"/>
    <n v="10.199999999999999"/>
    <n v="41.47"/>
    <n v="34.200000000000003"/>
    <x v="235"/>
    <x v="6"/>
    <x v="5"/>
    <x v="2"/>
    <x v="2"/>
    <x v="4"/>
    <x v="147"/>
    <s v="Wrap Bag"/>
    <n v="0.73"/>
    <d v="2009-10-06T00:00:00"/>
    <n v="0"/>
    <n v="0"/>
    <n v="0.33333333333333331"/>
    <n v="0.33333333333333331"/>
  </r>
  <r>
    <n v="7068"/>
    <n v="50433"/>
    <x v="675"/>
    <x v="23"/>
    <s v="Critical"/>
    <n v="50"/>
    <n v="6628.55"/>
    <n v="0.1"/>
    <s v="Delivery Truck"/>
    <n v="1081.6500000000001"/>
    <n v="145.44999999999999"/>
    <n v="17.850000000000001"/>
    <x v="225"/>
    <x v="6"/>
    <x v="5"/>
    <x v="3"/>
    <x v="1"/>
    <x v="16"/>
    <x v="127"/>
    <s v="Jumbo Drum"/>
    <n v="0.56000000000000005"/>
    <d v="2012-01-21T00:00:00"/>
    <n v="0"/>
    <n v="0"/>
    <n v="1"/>
    <n v="1"/>
  </r>
  <r>
    <n v="7106"/>
    <n v="50721"/>
    <x v="496"/>
    <x v="12"/>
    <s v="High"/>
    <n v="33"/>
    <n v="9758.7000000000007"/>
    <n v="0.04"/>
    <s v="Regular Air"/>
    <n v="3793.7030000000004"/>
    <n v="304.99"/>
    <n v="19.989999999999998"/>
    <x v="225"/>
    <x v="6"/>
    <x v="5"/>
    <x v="3"/>
    <x v="0"/>
    <x v="2"/>
    <x v="880"/>
    <s v="Small Box"/>
    <n v="0.4"/>
    <d v="2012-02-29T00:00:00"/>
    <n v="0"/>
    <n v="0"/>
    <n v="1"/>
    <n v="1"/>
  </r>
  <r>
    <n v="7114"/>
    <n v="50758"/>
    <x v="833"/>
    <x v="29"/>
    <s v="Medium"/>
    <n v="17"/>
    <n v="128.5"/>
    <n v="0.02"/>
    <s v="Express Air"/>
    <n v="-44.69"/>
    <n v="6.68"/>
    <n v="6.93"/>
    <x v="226"/>
    <x v="6"/>
    <x v="5"/>
    <x v="2"/>
    <x v="0"/>
    <x v="5"/>
    <x v="261"/>
    <s v="Small Box"/>
    <n v="0.37"/>
    <d v="2012-07-14T00:00:00"/>
    <n v="0"/>
    <n v="0"/>
    <n v="1"/>
    <n v="1"/>
  </r>
  <r>
    <n v="7135"/>
    <n v="50883"/>
    <x v="834"/>
    <x v="8"/>
    <s v="Low"/>
    <n v="35"/>
    <n v="6739.92"/>
    <n v="0.01"/>
    <s v="Delivery Truck"/>
    <n v="957.29"/>
    <n v="180.98"/>
    <n v="30"/>
    <x v="224"/>
    <x v="6"/>
    <x v="5"/>
    <x v="2"/>
    <x v="2"/>
    <x v="14"/>
    <x v="741"/>
    <s v="Jumbo Drum"/>
    <n v="0.69"/>
    <d v="2012-06-01T00:00:00"/>
    <n v="0"/>
    <n v="0"/>
    <n v="1"/>
    <n v="1"/>
  </r>
  <r>
    <n v="7219"/>
    <n v="51524"/>
    <x v="835"/>
    <x v="14"/>
    <s v="Medium"/>
    <n v="16"/>
    <n v="2723.1"/>
    <n v="7.0000000000000007E-2"/>
    <s v="Regular Air"/>
    <n v="-446.31"/>
    <n v="167.27"/>
    <n v="35"/>
    <x v="224"/>
    <x v="6"/>
    <x v="5"/>
    <x v="0"/>
    <x v="0"/>
    <x v="0"/>
    <x v="758"/>
    <s v="Large Box"/>
    <n v="0.85"/>
    <d v="2010-03-15T00:00:00"/>
    <n v="0"/>
    <n v="0"/>
    <n v="0.5"/>
    <n v="0.5"/>
  </r>
  <r>
    <n v="7220"/>
    <n v="51524"/>
    <x v="835"/>
    <x v="14"/>
    <s v="Medium"/>
    <n v="20"/>
    <n v="347.26749999999998"/>
    <n v="0.06"/>
    <s v="Express Air"/>
    <n v="-71.092999999999989"/>
    <n v="20.99"/>
    <n v="0.99"/>
    <x v="224"/>
    <x v="6"/>
    <x v="5"/>
    <x v="0"/>
    <x v="1"/>
    <x v="3"/>
    <x v="924"/>
    <s v="Small Pack"/>
    <n v="0.83"/>
    <d v="2010-03-16T00:00:00"/>
    <n v="0"/>
    <n v="0"/>
    <n v="0.5"/>
    <n v="0.5"/>
  </r>
  <r>
    <n v="7345"/>
    <n v="52322"/>
    <x v="243"/>
    <x v="6"/>
    <s v="Low"/>
    <n v="1"/>
    <n v="5.7"/>
    <n v="0.1"/>
    <s v="Regular Air"/>
    <n v="-2.34"/>
    <n v="3.95"/>
    <n v="2"/>
    <x v="227"/>
    <x v="6"/>
    <x v="5"/>
    <x v="1"/>
    <x v="0"/>
    <x v="6"/>
    <x v="11"/>
    <s v="Wrap Bag"/>
    <n v="0.53"/>
    <d v="2010-02-09T00:00:00"/>
    <n v="0"/>
    <n v="0"/>
    <n v="1"/>
    <n v="1"/>
  </r>
  <r>
    <n v="7427"/>
    <n v="52932"/>
    <x v="145"/>
    <x v="20"/>
    <s v="Low"/>
    <n v="3"/>
    <n v="26.23"/>
    <n v="0"/>
    <s v="Regular Air"/>
    <n v="-13.72"/>
    <n v="6.48"/>
    <n v="6.6"/>
    <x v="227"/>
    <x v="6"/>
    <x v="5"/>
    <x v="3"/>
    <x v="0"/>
    <x v="5"/>
    <x v="226"/>
    <s v="Small Box"/>
    <n v="0.37"/>
    <d v="2012-05-17T00:00:00"/>
    <n v="0"/>
    <n v="0"/>
    <n v="1"/>
    <n v="1"/>
  </r>
  <r>
    <n v="7431"/>
    <n v="52995"/>
    <x v="123"/>
    <x v="33"/>
    <s v="Not Specified"/>
    <n v="8"/>
    <n v="33.39"/>
    <n v="0.03"/>
    <s v="Regular Air"/>
    <n v="-35.512"/>
    <n v="3.36"/>
    <n v="6.27"/>
    <x v="230"/>
    <x v="6"/>
    <x v="5"/>
    <x v="1"/>
    <x v="0"/>
    <x v="2"/>
    <x v="285"/>
    <s v="Small Box"/>
    <n v="0.4"/>
    <d v="2012-03-15T00:00:00"/>
    <n v="0"/>
    <n v="0"/>
    <n v="1"/>
    <n v="1"/>
  </r>
  <r>
    <n v="7435"/>
    <n v="53024"/>
    <x v="145"/>
    <x v="20"/>
    <s v="Not Specified"/>
    <n v="9"/>
    <n v="187.13"/>
    <n v="0.09"/>
    <s v="Regular Air"/>
    <n v="12.4"/>
    <n v="20.28"/>
    <n v="14.39"/>
    <x v="226"/>
    <x v="6"/>
    <x v="5"/>
    <x v="2"/>
    <x v="2"/>
    <x v="4"/>
    <x v="693"/>
    <s v="Small Box"/>
    <n v="0.47"/>
    <d v="2012-05-13T00:00:00"/>
    <n v="0"/>
    <n v="0"/>
    <n v="0.5"/>
    <n v="0.5"/>
  </r>
  <r>
    <n v="7436"/>
    <n v="53024"/>
    <x v="145"/>
    <x v="20"/>
    <s v="Not Specified"/>
    <n v="46"/>
    <n v="2255.1945000000001"/>
    <n v="0.03"/>
    <s v="Regular Air"/>
    <n v="74.51100000000001"/>
    <n v="55.99"/>
    <n v="5"/>
    <x v="226"/>
    <x v="6"/>
    <x v="5"/>
    <x v="2"/>
    <x v="1"/>
    <x v="3"/>
    <x v="159"/>
    <s v="Small Pack"/>
    <n v="0.8"/>
    <d v="2012-05-13T00:00:00"/>
    <n v="0"/>
    <n v="0"/>
    <n v="0.5"/>
    <n v="0.5"/>
  </r>
  <r>
    <n v="7567"/>
    <n v="54145"/>
    <x v="715"/>
    <x v="38"/>
    <s v="Low"/>
    <n v="34"/>
    <n v="70.25"/>
    <n v="0.1"/>
    <s v="Regular Air"/>
    <n v="-133.06"/>
    <n v="2.08"/>
    <n v="5.33"/>
    <x v="227"/>
    <x v="6"/>
    <x v="5"/>
    <x v="3"/>
    <x v="2"/>
    <x v="4"/>
    <x v="109"/>
    <s v="Small Box"/>
    <n v="0.43"/>
    <d v="2010-01-02T00:00:00"/>
    <n v="1"/>
    <n v="0"/>
    <n v="1"/>
    <n v="1"/>
  </r>
  <r>
    <n v="7804"/>
    <n v="55840"/>
    <x v="836"/>
    <x v="26"/>
    <s v="Medium"/>
    <n v="11"/>
    <n v="59.03"/>
    <n v="0.04"/>
    <s v="Regular Air"/>
    <n v="-25.21"/>
    <n v="4.9800000000000004"/>
    <n v="4.8600000000000003"/>
    <x v="235"/>
    <x v="6"/>
    <x v="5"/>
    <x v="3"/>
    <x v="0"/>
    <x v="5"/>
    <x v="191"/>
    <s v="Small Box"/>
    <n v="0.38"/>
    <d v="2009-08-17T00:00:00"/>
    <n v="0"/>
    <n v="0"/>
    <n v="1"/>
    <n v="1"/>
  </r>
  <r>
    <n v="7964"/>
    <n v="56930"/>
    <x v="218"/>
    <x v="9"/>
    <s v="Low"/>
    <n v="10"/>
    <n v="987.54"/>
    <n v="7.0000000000000007E-2"/>
    <s v="Regular Air"/>
    <n v="-396.84"/>
    <n v="101.41"/>
    <n v="35"/>
    <x v="234"/>
    <x v="6"/>
    <x v="5"/>
    <x v="3"/>
    <x v="0"/>
    <x v="0"/>
    <x v="925"/>
    <s v="Large Box"/>
    <n v="0.82"/>
    <d v="2012-08-17T00:00:00"/>
    <n v="0"/>
    <n v="0"/>
    <n v="0.5"/>
    <n v="0.5"/>
  </r>
  <r>
    <n v="8068"/>
    <n v="57570"/>
    <x v="837"/>
    <x v="34"/>
    <s v="High"/>
    <n v="27"/>
    <n v="1823.04"/>
    <n v="0.09"/>
    <s v="Delivery Truck"/>
    <n v="-190.78"/>
    <n v="70.98"/>
    <n v="26.74"/>
    <x v="232"/>
    <x v="6"/>
    <x v="5"/>
    <x v="2"/>
    <x v="2"/>
    <x v="9"/>
    <x v="523"/>
    <s v="Jumbo Box"/>
    <n v="0.6"/>
    <d v="2012-09-30T00:00:00"/>
    <n v="0"/>
    <n v="0"/>
    <n v="0.5"/>
    <n v="0.5"/>
  </r>
  <r>
    <n v="8121"/>
    <n v="58051"/>
    <x v="484"/>
    <x v="33"/>
    <s v="High"/>
    <n v="6"/>
    <n v="256.60000000000002"/>
    <n v="0"/>
    <s v="Regular Air"/>
    <n v="-106.76"/>
    <n v="39.979999999999997"/>
    <n v="7.12"/>
    <x v="224"/>
    <x v="6"/>
    <x v="5"/>
    <x v="2"/>
    <x v="1"/>
    <x v="7"/>
    <x v="830"/>
    <s v="Small Box"/>
    <n v="0.67"/>
    <d v="2012-03-22T00:00:00"/>
    <n v="0"/>
    <n v="0"/>
    <n v="1"/>
    <n v="1"/>
  </r>
  <r>
    <n v="8311"/>
    <n v="59392"/>
    <x v="439"/>
    <x v="30"/>
    <s v="Medium"/>
    <n v="19"/>
    <n v="39.42"/>
    <n v="0.08"/>
    <s v="Regular Air"/>
    <n v="-29.02"/>
    <n v="2.12"/>
    <n v="1.99"/>
    <x v="224"/>
    <x v="6"/>
    <x v="5"/>
    <x v="2"/>
    <x v="1"/>
    <x v="7"/>
    <x v="926"/>
    <s v="Small Pack"/>
    <n v="0.55000000000000004"/>
    <d v="2010-06-27T00:00:00"/>
    <n v="0"/>
    <n v="0"/>
    <n v="0.5"/>
    <n v="0.5"/>
  </r>
  <r>
    <n v="8312"/>
    <n v="59392"/>
    <x v="439"/>
    <x v="30"/>
    <s v="Medium"/>
    <n v="45"/>
    <n v="1305.31"/>
    <n v="0.03"/>
    <s v="Regular Air"/>
    <n v="589.20000000000005"/>
    <n v="28.48"/>
    <n v="1.99"/>
    <x v="224"/>
    <x v="6"/>
    <x v="5"/>
    <x v="2"/>
    <x v="1"/>
    <x v="7"/>
    <x v="395"/>
    <s v="Small Pack"/>
    <n v="0.4"/>
    <d v="2010-06-28T00:00:00"/>
    <n v="0"/>
    <n v="0"/>
    <n v="0.5"/>
    <n v="0.5"/>
  </r>
  <r>
    <n v="461"/>
    <n v="3136"/>
    <x v="482"/>
    <x v="26"/>
    <s v="Not Specified"/>
    <n v="8"/>
    <n v="238.74"/>
    <n v="0.1"/>
    <s v="Regular Air"/>
    <n v="-38.89"/>
    <n v="30.98"/>
    <n v="8.99"/>
    <x v="236"/>
    <x v="6"/>
    <x v="5"/>
    <x v="2"/>
    <x v="0"/>
    <x v="12"/>
    <x v="805"/>
    <s v="Small Pack"/>
    <n v="0.57999999999999996"/>
    <d v="2009-08-11T00:00:00"/>
    <n v="0"/>
    <n v="0"/>
    <n v="1"/>
    <n v="1"/>
  </r>
  <r>
    <n v="534"/>
    <n v="3648"/>
    <x v="838"/>
    <x v="30"/>
    <s v="Low"/>
    <n v="46"/>
    <n v="134.81"/>
    <n v="0.1"/>
    <s v="Regular Air"/>
    <n v="52.36"/>
    <n v="3.15"/>
    <n v="0.49"/>
    <x v="82"/>
    <x v="6"/>
    <x v="5"/>
    <x v="3"/>
    <x v="0"/>
    <x v="11"/>
    <x v="927"/>
    <s v="Small Box"/>
    <n v="0.37"/>
    <d v="2010-06-18T00:00:00"/>
    <n v="0"/>
    <n v="0"/>
    <n v="0.5"/>
    <n v="0.5"/>
  </r>
  <r>
    <n v="535"/>
    <n v="3648"/>
    <x v="838"/>
    <x v="30"/>
    <s v="Low"/>
    <n v="34"/>
    <n v="5488.5264999999999"/>
    <n v="0.05"/>
    <s v="Regular Air"/>
    <n v="1382.4449999999999"/>
    <n v="195.99"/>
    <n v="4.2"/>
    <x v="82"/>
    <x v="6"/>
    <x v="5"/>
    <x v="3"/>
    <x v="1"/>
    <x v="3"/>
    <x v="928"/>
    <s v="Small Box"/>
    <n v="0.56999999999999995"/>
    <d v="2010-06-23T00:00:00"/>
    <n v="0"/>
    <n v="0"/>
    <n v="0.5"/>
    <n v="0.5"/>
  </r>
  <r>
    <n v="870"/>
    <n v="6246"/>
    <x v="839"/>
    <x v="19"/>
    <s v="Not Specified"/>
    <n v="13"/>
    <n v="52.38"/>
    <n v="0.06"/>
    <s v="Regular Air"/>
    <n v="11.72"/>
    <n v="3.93"/>
    <n v="0.99"/>
    <x v="82"/>
    <x v="6"/>
    <x v="5"/>
    <x v="3"/>
    <x v="0"/>
    <x v="6"/>
    <x v="262"/>
    <s v="Wrap Bag"/>
    <n v="0.39"/>
    <d v="2009-10-23T00:00:00"/>
    <n v="0"/>
    <n v="0"/>
    <n v="1"/>
    <n v="1"/>
  </r>
  <r>
    <n v="1242"/>
    <n v="9028"/>
    <x v="566"/>
    <x v="15"/>
    <s v="Low"/>
    <n v="48"/>
    <n v="14556.67"/>
    <n v="0.04"/>
    <s v="Delivery Truck"/>
    <n v="3829.63"/>
    <n v="306.14"/>
    <n v="26.53"/>
    <x v="237"/>
    <x v="6"/>
    <x v="5"/>
    <x v="0"/>
    <x v="1"/>
    <x v="16"/>
    <x v="831"/>
    <s v="Jumbo Drum"/>
    <n v="0.56000000000000005"/>
    <d v="2010-12-25T00:00:00"/>
    <n v="0"/>
    <n v="0"/>
    <n v="1"/>
    <n v="1"/>
  </r>
  <r>
    <n v="1294"/>
    <n v="9478"/>
    <x v="840"/>
    <x v="28"/>
    <s v="High"/>
    <n v="48"/>
    <n v="522.97"/>
    <n v="0.04"/>
    <s v="Regular Air"/>
    <n v="29.98"/>
    <n v="10.4"/>
    <n v="5.4"/>
    <x v="82"/>
    <x v="6"/>
    <x v="5"/>
    <x v="2"/>
    <x v="2"/>
    <x v="4"/>
    <x v="592"/>
    <s v="Small Pack"/>
    <n v="0.51"/>
    <d v="2009-03-29T00:00:00"/>
    <n v="0"/>
    <n v="0"/>
    <n v="0.5"/>
    <n v="0.5"/>
  </r>
  <r>
    <n v="1295"/>
    <n v="9478"/>
    <x v="840"/>
    <x v="28"/>
    <s v="High"/>
    <n v="48"/>
    <n v="199.46"/>
    <n v="0.08"/>
    <s v="Regular Air"/>
    <n v="-121.2"/>
    <n v="4.28"/>
    <n v="4.79"/>
    <x v="82"/>
    <x v="6"/>
    <x v="5"/>
    <x v="2"/>
    <x v="0"/>
    <x v="5"/>
    <x v="647"/>
    <s v="Small Box"/>
    <n v="0.4"/>
    <d v="2009-03-30T00:00:00"/>
    <n v="0"/>
    <n v="0"/>
    <n v="0.5"/>
    <n v="0.5"/>
  </r>
  <r>
    <n v="1715"/>
    <n v="12323"/>
    <x v="284"/>
    <x v="37"/>
    <s v="Not Specified"/>
    <n v="32"/>
    <n v="513.74"/>
    <n v="0.02"/>
    <s v="Regular Air"/>
    <n v="-28.681000000000001"/>
    <n v="15.15"/>
    <n v="10.130000000000001"/>
    <x v="116"/>
    <x v="6"/>
    <x v="5"/>
    <x v="2"/>
    <x v="0"/>
    <x v="2"/>
    <x v="929"/>
    <s v="Small Box"/>
    <n v="0.38"/>
    <d v="2011-04-03T00:00:00"/>
    <n v="0"/>
    <n v="0"/>
    <n v="0.5"/>
    <n v="0.5"/>
  </r>
  <r>
    <n v="1716"/>
    <n v="12323"/>
    <x v="284"/>
    <x v="37"/>
    <s v="Not Specified"/>
    <n v="4"/>
    <n v="36.799999999999997"/>
    <n v="0"/>
    <s v="Regular Air"/>
    <n v="14.19"/>
    <n v="7.38"/>
    <n v="5.21"/>
    <x v="116"/>
    <x v="6"/>
    <x v="5"/>
    <x v="2"/>
    <x v="2"/>
    <x v="4"/>
    <x v="386"/>
    <s v="Small Box"/>
    <n v="0.56000000000000005"/>
    <d v="2011-04-04T00:00:00"/>
    <n v="0"/>
    <n v="0"/>
    <n v="0.5"/>
    <n v="0.5"/>
  </r>
  <r>
    <n v="1934"/>
    <n v="13830"/>
    <x v="841"/>
    <x v="47"/>
    <s v="High"/>
    <n v="27"/>
    <n v="2609.5300000000002"/>
    <n v="0"/>
    <s v="Regular Air"/>
    <n v="911.66"/>
    <n v="90.48"/>
    <n v="19.989999999999998"/>
    <x v="237"/>
    <x v="6"/>
    <x v="5"/>
    <x v="0"/>
    <x v="0"/>
    <x v="8"/>
    <x v="881"/>
    <s v="Small Box"/>
    <n v="0.4"/>
    <d v="2009-12-24T00:00:00"/>
    <n v="0"/>
    <n v="0"/>
    <n v="1"/>
    <n v="1"/>
  </r>
  <r>
    <n v="2069"/>
    <n v="14791"/>
    <x v="842"/>
    <x v="6"/>
    <s v="Medium"/>
    <n v="29"/>
    <n v="1576.223"/>
    <n v="0.05"/>
    <s v="Regular Air"/>
    <n v="286.11900000000003"/>
    <n v="65.989999999999995"/>
    <n v="3.99"/>
    <x v="116"/>
    <x v="6"/>
    <x v="5"/>
    <x v="1"/>
    <x v="1"/>
    <x v="3"/>
    <x v="930"/>
    <s v="Small Box"/>
    <n v="0.56999999999999995"/>
    <d v="2010-02-15T00:00:00"/>
    <n v="0"/>
    <n v="0"/>
    <n v="1"/>
    <n v="1"/>
  </r>
  <r>
    <n v="2484"/>
    <n v="18085"/>
    <x v="843"/>
    <x v="31"/>
    <s v="High"/>
    <n v="23"/>
    <n v="8127.51"/>
    <n v="0.01"/>
    <s v="Delivery Truck"/>
    <n v="1541.25"/>
    <n v="348.21"/>
    <n v="40.19"/>
    <x v="116"/>
    <x v="6"/>
    <x v="5"/>
    <x v="2"/>
    <x v="2"/>
    <x v="10"/>
    <x v="453"/>
    <s v="Jumbo Box"/>
    <n v="0.62"/>
    <d v="2011-09-27T00:00:00"/>
    <n v="0"/>
    <n v="0"/>
    <n v="0.5"/>
    <n v="0.2"/>
  </r>
  <r>
    <n v="2485"/>
    <n v="18085"/>
    <x v="843"/>
    <x v="31"/>
    <s v="High"/>
    <n v="33"/>
    <n v="5352.9344999999994"/>
    <n v="0.09"/>
    <s v="Regular Air"/>
    <n v="1343.2049999999999"/>
    <n v="195.99"/>
    <n v="4.2"/>
    <x v="116"/>
    <x v="6"/>
    <x v="5"/>
    <x v="2"/>
    <x v="1"/>
    <x v="3"/>
    <x v="928"/>
    <s v="Small Box"/>
    <n v="0.56999999999999995"/>
    <d v="2011-09-26T00:00:00"/>
    <n v="0"/>
    <n v="0"/>
    <n v="0.5"/>
    <n v="0.2"/>
  </r>
  <r>
    <n v="2863"/>
    <n v="20674"/>
    <x v="688"/>
    <x v="15"/>
    <s v="High"/>
    <n v="37"/>
    <n v="17717.34"/>
    <n v="0"/>
    <s v="Delivery Truck"/>
    <n v="8291.08"/>
    <n v="500.97"/>
    <n v="69.3"/>
    <x v="82"/>
    <x v="6"/>
    <x v="5"/>
    <x v="2"/>
    <x v="1"/>
    <x v="16"/>
    <x v="280"/>
    <s v="Jumbo Drum"/>
    <n v="0.37"/>
    <d v="2010-12-09T00:00:00"/>
    <n v="0"/>
    <n v="0"/>
    <n v="1"/>
    <n v="1"/>
  </r>
  <r>
    <n v="3496"/>
    <n v="24903"/>
    <x v="844"/>
    <x v="0"/>
    <s v="Low"/>
    <n v="33"/>
    <n v="1646.47"/>
    <n v="0.05"/>
    <s v="Regular Air"/>
    <n v="743.59"/>
    <n v="48.91"/>
    <n v="5.81"/>
    <x v="236"/>
    <x v="6"/>
    <x v="5"/>
    <x v="2"/>
    <x v="0"/>
    <x v="5"/>
    <x v="83"/>
    <s v="Small Box"/>
    <n v="0.38"/>
    <d v="2010-10-26T00:00:00"/>
    <n v="0"/>
    <n v="0"/>
    <n v="1"/>
    <n v="1"/>
  </r>
  <r>
    <n v="3603"/>
    <n v="25735"/>
    <x v="376"/>
    <x v="15"/>
    <s v="Not Specified"/>
    <n v="45"/>
    <n v="260.37"/>
    <n v="0.02"/>
    <s v="Regular Air"/>
    <n v="44.15"/>
    <n v="5.58"/>
    <n v="1.99"/>
    <x v="116"/>
    <x v="6"/>
    <x v="5"/>
    <x v="1"/>
    <x v="0"/>
    <x v="12"/>
    <x v="931"/>
    <s v="Wrap Bag"/>
    <n v="0.46"/>
    <d v="2011-01-13T00:00:00"/>
    <n v="0"/>
    <n v="0"/>
    <n v="1"/>
    <n v="1"/>
  </r>
  <r>
    <n v="4188"/>
    <n v="29762"/>
    <x v="362"/>
    <x v="3"/>
    <s v="Critical"/>
    <n v="33"/>
    <n v="3268.56"/>
    <n v="0.03"/>
    <s v="Delivery Truck"/>
    <n v="-1181.71"/>
    <n v="95.95"/>
    <n v="74.349999999999994"/>
    <x v="82"/>
    <x v="6"/>
    <x v="5"/>
    <x v="3"/>
    <x v="2"/>
    <x v="14"/>
    <x v="34"/>
    <s v="Jumbo Drum"/>
    <n v="0.56999999999999995"/>
    <d v="2010-08-04T00:00:00"/>
    <n v="0"/>
    <n v="0"/>
    <n v="0.5"/>
    <n v="0.5"/>
  </r>
  <r>
    <n v="4199"/>
    <n v="29856"/>
    <x v="8"/>
    <x v="8"/>
    <s v="Medium"/>
    <n v="24"/>
    <n v="115.54"/>
    <n v="0.04"/>
    <s v="Regular Air"/>
    <n v="43.35"/>
    <n v="4.9800000000000004"/>
    <n v="0.8"/>
    <x v="116"/>
    <x v="6"/>
    <x v="5"/>
    <x v="1"/>
    <x v="0"/>
    <x v="5"/>
    <x v="657"/>
    <s v="Wrap Bag"/>
    <n v="0.36"/>
    <d v="2012-06-11T00:00:00"/>
    <n v="0"/>
    <n v="0"/>
    <n v="1"/>
    <n v="1"/>
  </r>
  <r>
    <n v="4574"/>
    <n v="32580"/>
    <x v="339"/>
    <x v="31"/>
    <s v="High"/>
    <n v="23"/>
    <n v="166.8"/>
    <n v="0.03"/>
    <s v="Regular Air"/>
    <n v="44.59"/>
    <n v="7.4"/>
    <n v="1.71"/>
    <x v="152"/>
    <x v="6"/>
    <x v="5"/>
    <x v="2"/>
    <x v="0"/>
    <x v="5"/>
    <x v="677"/>
    <s v="Wrap Bag"/>
    <n v="0.4"/>
    <d v="2011-09-15T00:00:00"/>
    <n v="0"/>
    <n v="0"/>
    <n v="0.5"/>
    <n v="0.5"/>
  </r>
  <r>
    <n v="4575"/>
    <n v="32580"/>
    <x v="339"/>
    <x v="31"/>
    <s v="High"/>
    <n v="38"/>
    <n v="261.38"/>
    <n v="0.05"/>
    <s v="Regular Air"/>
    <n v="-172.35"/>
    <n v="6.48"/>
    <n v="8.74"/>
    <x v="152"/>
    <x v="6"/>
    <x v="5"/>
    <x v="2"/>
    <x v="0"/>
    <x v="5"/>
    <x v="911"/>
    <s v="Small Box"/>
    <n v="0.36"/>
    <d v="2011-09-17T00:00:00"/>
    <n v="0"/>
    <n v="0"/>
    <n v="0.5"/>
    <n v="0.5"/>
  </r>
  <r>
    <n v="4788"/>
    <n v="34017"/>
    <x v="643"/>
    <x v="28"/>
    <s v="High"/>
    <n v="20"/>
    <n v="103.39"/>
    <n v="0.05"/>
    <s v="Express Air"/>
    <n v="29.17"/>
    <n v="4.84"/>
    <n v="0.71"/>
    <x v="236"/>
    <x v="6"/>
    <x v="5"/>
    <x v="2"/>
    <x v="0"/>
    <x v="12"/>
    <x v="486"/>
    <s v="Wrap Bag"/>
    <n v="0.52"/>
    <d v="2009-03-23T00:00:00"/>
    <n v="0"/>
    <n v="0"/>
    <n v="0.5"/>
    <n v="0.5"/>
  </r>
  <r>
    <n v="4789"/>
    <n v="34017"/>
    <x v="643"/>
    <x v="28"/>
    <s v="High"/>
    <n v="28"/>
    <n v="435.39"/>
    <n v="0.01"/>
    <s v="Regular Air"/>
    <n v="-48.97"/>
    <n v="14.98"/>
    <n v="7.69"/>
    <x v="236"/>
    <x v="6"/>
    <x v="5"/>
    <x v="2"/>
    <x v="0"/>
    <x v="0"/>
    <x v="932"/>
    <s v="Small Box"/>
    <n v="0.56999999999999995"/>
    <d v="2009-03-25T00:00:00"/>
    <n v="0"/>
    <n v="0"/>
    <n v="0.5"/>
    <n v="0.5"/>
  </r>
  <r>
    <n v="6013"/>
    <n v="42597"/>
    <x v="845"/>
    <x v="14"/>
    <s v="Medium"/>
    <n v="5"/>
    <n v="29.66"/>
    <n v="0.04"/>
    <s v="Regular Air"/>
    <n v="-32.78"/>
    <n v="4.9800000000000004"/>
    <n v="4.32"/>
    <x v="236"/>
    <x v="6"/>
    <x v="5"/>
    <x v="2"/>
    <x v="1"/>
    <x v="7"/>
    <x v="811"/>
    <s v="Small Pack"/>
    <n v="0.64"/>
    <d v="2010-03-27T00:00:00"/>
    <n v="0"/>
    <n v="0"/>
    <n v="1"/>
    <n v="1"/>
  </r>
  <r>
    <n v="6587"/>
    <n v="46884"/>
    <x v="80"/>
    <x v="22"/>
    <s v="Medium"/>
    <n v="25"/>
    <n v="280.43"/>
    <n v="0.1"/>
    <s v="Regular Air"/>
    <n v="39.520000000000003"/>
    <n v="11.55"/>
    <n v="2.36"/>
    <x v="236"/>
    <x v="6"/>
    <x v="5"/>
    <x v="2"/>
    <x v="0"/>
    <x v="12"/>
    <x v="769"/>
    <s v="Wrap Bag"/>
    <n v="0.55000000000000004"/>
    <d v="2009-01-18T00:00:00"/>
    <n v="0"/>
    <n v="1"/>
    <n v="0.33333333333333331"/>
    <n v="0.33333333333333331"/>
  </r>
  <r>
    <n v="7347"/>
    <n v="52325"/>
    <x v="846"/>
    <x v="29"/>
    <s v="Not Specified"/>
    <n v="23"/>
    <n v="5126.3"/>
    <n v="7.0000000000000007E-2"/>
    <s v="Regular Air"/>
    <n v="2019.192"/>
    <n v="223.98"/>
    <n v="15.01"/>
    <x v="152"/>
    <x v="6"/>
    <x v="5"/>
    <x v="2"/>
    <x v="0"/>
    <x v="2"/>
    <x v="227"/>
    <s v="Small Box"/>
    <n v="0.38"/>
    <d v="2012-07-14T00:00:00"/>
    <n v="0"/>
    <n v="0"/>
    <n v="1"/>
    <n v="1"/>
  </r>
  <r>
    <n v="7478"/>
    <n v="53382"/>
    <x v="847"/>
    <x v="47"/>
    <s v="Not Specified"/>
    <n v="13"/>
    <n v="88.17"/>
    <n v="0.1"/>
    <s v="Regular Air"/>
    <n v="-572.49"/>
    <n v="3.25"/>
    <n v="49"/>
    <x v="152"/>
    <x v="6"/>
    <x v="5"/>
    <x v="2"/>
    <x v="0"/>
    <x v="1"/>
    <x v="933"/>
    <s v="Large Box"/>
    <n v="0.56000000000000005"/>
    <d v="2009-12-28T00:00:00"/>
    <n v="0"/>
    <n v="0"/>
    <n v="0.5"/>
    <n v="0.5"/>
  </r>
  <r>
    <n v="7479"/>
    <n v="53382"/>
    <x v="847"/>
    <x v="47"/>
    <s v="Not Specified"/>
    <n v="15"/>
    <n v="4760.0200000000004"/>
    <n v="0"/>
    <s v="Delivery Truck"/>
    <n v="658.88"/>
    <n v="300.98"/>
    <n v="64.73"/>
    <x v="152"/>
    <x v="6"/>
    <x v="5"/>
    <x v="2"/>
    <x v="2"/>
    <x v="14"/>
    <x v="70"/>
    <s v="Jumbo Drum"/>
    <n v="0.56000000000000005"/>
    <d v="2009-12-28T00:00:00"/>
    <n v="0"/>
    <n v="0"/>
    <n v="0.5"/>
    <n v="0.5"/>
  </r>
  <r>
    <n v="7523"/>
    <n v="53728"/>
    <x v="120"/>
    <x v="17"/>
    <s v="High"/>
    <n v="27"/>
    <n v="1502.66"/>
    <n v="7.0000000000000007E-2"/>
    <s v="Regular Air"/>
    <n v="637.60199999999998"/>
    <n v="58.1"/>
    <n v="1.49"/>
    <x v="152"/>
    <x v="6"/>
    <x v="5"/>
    <x v="2"/>
    <x v="0"/>
    <x v="2"/>
    <x v="52"/>
    <s v="Small Box"/>
    <n v="0.38"/>
    <d v="2011-10-23T00:00:00"/>
    <n v="0"/>
    <n v="0"/>
    <n v="1"/>
    <n v="1"/>
  </r>
  <r>
    <n v="10"/>
    <n v="65"/>
    <x v="92"/>
    <x v="5"/>
    <s v="Critical"/>
    <n v="32"/>
    <n v="3812.73"/>
    <n v="0.02"/>
    <s v="Regular Air"/>
    <n v="1470.3"/>
    <n v="115.79"/>
    <n v="1.99"/>
    <x v="238"/>
    <x v="6"/>
    <x v="5"/>
    <x v="2"/>
    <x v="1"/>
    <x v="7"/>
    <x v="799"/>
    <s v="Small Pack"/>
    <n v="0.49"/>
    <d v="2011-03-18T00:00:00"/>
    <n v="0"/>
    <n v="0"/>
    <n v="1"/>
    <n v="1"/>
  </r>
  <r>
    <n v="39"/>
    <n v="230"/>
    <x v="320"/>
    <x v="0"/>
    <s v="Critical"/>
    <n v="47"/>
    <n v="2029.75"/>
    <n v="0.06"/>
    <s v="Regular Air"/>
    <n v="320.37"/>
    <n v="43.98"/>
    <n v="8.99"/>
    <x v="239"/>
    <x v="6"/>
    <x v="5"/>
    <x v="2"/>
    <x v="0"/>
    <x v="12"/>
    <x v="672"/>
    <s v="Small Pack"/>
    <n v="0.57999999999999996"/>
    <d v="2010-10-28T00:00:00"/>
    <n v="0"/>
    <n v="0"/>
    <n v="0.5"/>
    <n v="0.5"/>
  </r>
  <r>
    <n v="40"/>
    <n v="230"/>
    <x v="320"/>
    <x v="0"/>
    <s v="Critical"/>
    <n v="11"/>
    <n v="1118.396"/>
    <n v="0.06"/>
    <s v="Regular Air"/>
    <n v="-212.333"/>
    <n v="125.99"/>
    <n v="8.08"/>
    <x v="239"/>
    <x v="6"/>
    <x v="5"/>
    <x v="2"/>
    <x v="1"/>
    <x v="3"/>
    <x v="162"/>
    <s v="Small Box"/>
    <n v="0.56999999999999995"/>
    <d v="2010-10-28T00:00:00"/>
    <n v="0"/>
    <n v="0"/>
    <n v="0.5"/>
    <n v="0.5"/>
  </r>
  <r>
    <n v="61"/>
    <n v="355"/>
    <x v="848"/>
    <x v="41"/>
    <s v="Low"/>
    <n v="16"/>
    <n v="1239.6315"/>
    <n v="0"/>
    <s v="Regular Air"/>
    <n v="-172.54600000000002"/>
    <n v="85.99"/>
    <n v="0.99"/>
    <x v="240"/>
    <x v="6"/>
    <x v="5"/>
    <x v="0"/>
    <x v="1"/>
    <x v="3"/>
    <x v="55"/>
    <s v="Wrap Bag"/>
    <n v="0.85"/>
    <d v="2009-06-18T00:00:00"/>
    <n v="0"/>
    <n v="0"/>
    <n v="1"/>
    <n v="1"/>
  </r>
  <r>
    <n v="75"/>
    <n v="449"/>
    <x v="23"/>
    <x v="2"/>
    <s v="High"/>
    <n v="45"/>
    <n v="356.7"/>
    <n v="0.02"/>
    <s v="Regular Air"/>
    <n v="-48.97"/>
    <n v="7.38"/>
    <n v="5.21"/>
    <x v="241"/>
    <x v="6"/>
    <x v="5"/>
    <x v="2"/>
    <x v="2"/>
    <x v="4"/>
    <x v="386"/>
    <s v="Small Box"/>
    <n v="0.56000000000000005"/>
    <d v="2011-07-21T00:00:00"/>
    <n v="0"/>
    <n v="0"/>
    <n v="1"/>
    <n v="1"/>
  </r>
  <r>
    <n v="101"/>
    <n v="640"/>
    <x v="529"/>
    <x v="38"/>
    <s v="High"/>
    <n v="39"/>
    <n v="4913.6899999999996"/>
    <n v="0.02"/>
    <s v="Delivery Truck"/>
    <n v="-1153.9000000000001"/>
    <n v="120.98"/>
    <n v="58.64"/>
    <x v="242"/>
    <x v="6"/>
    <x v="5"/>
    <x v="1"/>
    <x v="2"/>
    <x v="9"/>
    <x v="934"/>
    <s v="Jumbo Box"/>
    <n v="0.75"/>
    <d v="2010-01-23T00:00:00"/>
    <n v="1"/>
    <n v="0"/>
    <n v="0.5"/>
    <n v="0.5"/>
  </r>
  <r>
    <n v="102"/>
    <n v="640"/>
    <x v="529"/>
    <x v="38"/>
    <s v="High"/>
    <n v="24"/>
    <n v="464.77"/>
    <n v="0.01"/>
    <s v="Regular Air"/>
    <n v="29.42"/>
    <n v="18.97"/>
    <n v="9.5399999999999991"/>
    <x v="242"/>
    <x v="6"/>
    <x v="5"/>
    <x v="1"/>
    <x v="0"/>
    <x v="5"/>
    <x v="439"/>
    <s v="Small Box"/>
    <n v="0.37"/>
    <d v="2010-01-23T00:00:00"/>
    <n v="1"/>
    <n v="0"/>
    <n v="0.5"/>
    <n v="0.5"/>
  </r>
  <r>
    <n v="106"/>
    <n v="646"/>
    <x v="849"/>
    <x v="11"/>
    <s v="High"/>
    <n v="18"/>
    <n v="173.2"/>
    <n v="0.01"/>
    <s v="Regular Air"/>
    <n v="-10.9"/>
    <n v="9.31"/>
    <n v="3.98"/>
    <x v="243"/>
    <x v="6"/>
    <x v="5"/>
    <x v="0"/>
    <x v="0"/>
    <x v="15"/>
    <x v="935"/>
    <s v="Small Pack"/>
    <n v="0.56000000000000005"/>
    <d v="2009-11-22T00:00:00"/>
    <n v="0"/>
    <n v="0"/>
    <n v="1"/>
    <n v="1"/>
  </r>
  <r>
    <n v="132"/>
    <n v="835"/>
    <x v="850"/>
    <x v="17"/>
    <s v="Not Specified"/>
    <n v="18"/>
    <n v="125.16"/>
    <n v="0.02"/>
    <s v="Regular Air"/>
    <n v="-23.48"/>
    <n v="6.48"/>
    <n v="5.14"/>
    <x v="243"/>
    <x v="6"/>
    <x v="5"/>
    <x v="0"/>
    <x v="0"/>
    <x v="5"/>
    <x v="896"/>
    <s v="Small Box"/>
    <n v="0.37"/>
    <d v="2011-10-08T00:00:00"/>
    <n v="0"/>
    <n v="0"/>
    <n v="1"/>
    <n v="1"/>
  </r>
  <r>
    <n v="138"/>
    <n v="896"/>
    <x v="28"/>
    <x v="14"/>
    <s v="Critical"/>
    <n v="50"/>
    <n v="1246.52"/>
    <n v="0.01"/>
    <s v="Regular Air"/>
    <n v="52.478999999999999"/>
    <n v="24.92"/>
    <n v="12.98"/>
    <x v="244"/>
    <x v="6"/>
    <x v="5"/>
    <x v="3"/>
    <x v="0"/>
    <x v="2"/>
    <x v="202"/>
    <s v="Small Box"/>
    <n v="0.39"/>
    <d v="2010-03-08T00:00:00"/>
    <n v="0"/>
    <n v="0"/>
    <n v="1"/>
    <n v="1"/>
  </r>
  <r>
    <n v="159"/>
    <n v="994"/>
    <x v="851"/>
    <x v="46"/>
    <s v="Low"/>
    <n v="38"/>
    <n v="132.07"/>
    <n v="0.06"/>
    <s v="Regular Air"/>
    <n v="14"/>
    <n v="3.58"/>
    <n v="1.63"/>
    <x v="245"/>
    <x v="6"/>
    <x v="5"/>
    <x v="2"/>
    <x v="0"/>
    <x v="6"/>
    <x v="821"/>
    <s v="Wrap Bag"/>
    <n v="0.36"/>
    <d v="2009-04-23T00:00:00"/>
    <n v="0"/>
    <n v="0"/>
    <n v="1"/>
    <n v="0.5"/>
  </r>
  <r>
    <n v="167"/>
    <n v="1057"/>
    <x v="852"/>
    <x v="12"/>
    <s v="Critical"/>
    <n v="41"/>
    <n v="341.36"/>
    <n v="0.09"/>
    <s v="Regular Air"/>
    <n v="-52.48"/>
    <n v="8.4600000000000009"/>
    <n v="3.62"/>
    <x v="246"/>
    <x v="6"/>
    <x v="5"/>
    <x v="2"/>
    <x v="1"/>
    <x v="7"/>
    <x v="919"/>
    <s v="Small Pack"/>
    <n v="0.61"/>
    <d v="2012-02-21T00:00:00"/>
    <n v="0"/>
    <n v="0"/>
    <n v="1"/>
    <n v="1"/>
  </r>
  <r>
    <n v="228"/>
    <n v="1538"/>
    <x v="4"/>
    <x v="4"/>
    <s v="Not Specified"/>
    <n v="15"/>
    <n v="1297.3040000000001"/>
    <n v="0"/>
    <s v="Regular Air"/>
    <n v="149.82300000000001"/>
    <n v="95.99"/>
    <n v="4.9000000000000004"/>
    <x v="247"/>
    <x v="6"/>
    <x v="5"/>
    <x v="2"/>
    <x v="1"/>
    <x v="3"/>
    <x v="936"/>
    <s v="Small Box"/>
    <n v="0.56000000000000005"/>
    <d v="2011-06-18T00:00:00"/>
    <n v="0"/>
    <n v="0"/>
    <n v="1"/>
    <n v="1"/>
  </r>
  <r>
    <n v="247"/>
    <n v="1701"/>
    <x v="853"/>
    <x v="20"/>
    <s v="High"/>
    <n v="49"/>
    <n v="2047.58"/>
    <n v="0.01"/>
    <s v="Regular Air"/>
    <n v="902.62"/>
    <n v="40.98"/>
    <n v="1.99"/>
    <x v="248"/>
    <x v="6"/>
    <x v="5"/>
    <x v="1"/>
    <x v="1"/>
    <x v="7"/>
    <x v="559"/>
    <s v="Small Pack"/>
    <n v="0.44"/>
    <d v="2012-05-20T00:00:00"/>
    <n v="0"/>
    <n v="0"/>
    <n v="0.5"/>
    <n v="0.5"/>
  </r>
  <r>
    <n v="248"/>
    <n v="1701"/>
    <x v="853"/>
    <x v="20"/>
    <s v="High"/>
    <n v="1"/>
    <n v="56.61"/>
    <n v="0.02"/>
    <s v="Regular Air"/>
    <n v="-22.16"/>
    <n v="40.97"/>
    <n v="14.45"/>
    <x v="248"/>
    <x v="6"/>
    <x v="5"/>
    <x v="1"/>
    <x v="2"/>
    <x v="4"/>
    <x v="194"/>
    <s v="Large Box"/>
    <n v="0.56999999999999995"/>
    <d v="2012-05-20T00:00:00"/>
    <n v="0"/>
    <n v="0"/>
    <n v="0.5"/>
    <n v="0.5"/>
  </r>
  <r>
    <n v="274"/>
    <n v="1891"/>
    <x v="327"/>
    <x v="47"/>
    <s v="Low"/>
    <n v="3"/>
    <n v="302.36"/>
    <n v="0.09"/>
    <s v="Regular Air"/>
    <n v="290.31"/>
    <n v="107.53"/>
    <n v="5.81"/>
    <x v="249"/>
    <x v="6"/>
    <x v="5"/>
    <x v="0"/>
    <x v="2"/>
    <x v="4"/>
    <x v="348"/>
    <s v="Medium Box"/>
    <n v="0.65"/>
    <d v="2009-12-16T00:00:00"/>
    <n v="0"/>
    <n v="0"/>
    <n v="1"/>
    <n v="1"/>
  </r>
  <r>
    <n v="289"/>
    <n v="2022"/>
    <x v="825"/>
    <x v="33"/>
    <s v="Critical"/>
    <n v="45"/>
    <n v="186.44"/>
    <n v="0"/>
    <s v="Regular Air"/>
    <n v="-157.18"/>
    <n v="3.95"/>
    <n v="5.13"/>
    <x v="250"/>
    <x v="6"/>
    <x v="5"/>
    <x v="2"/>
    <x v="0"/>
    <x v="1"/>
    <x v="788"/>
    <s v="Small Box"/>
    <n v="0.59"/>
    <d v="2012-03-15T00:00:00"/>
    <n v="0"/>
    <n v="0"/>
    <n v="1"/>
    <n v="0.33333333333333331"/>
  </r>
  <r>
    <n v="312"/>
    <n v="2181"/>
    <x v="256"/>
    <x v="31"/>
    <s v="Medium"/>
    <n v="40"/>
    <n v="102.56"/>
    <n v="0.06"/>
    <s v="Regular Air"/>
    <n v="36.619999999999997"/>
    <n v="2.61"/>
    <n v="0.5"/>
    <x v="245"/>
    <x v="6"/>
    <x v="5"/>
    <x v="3"/>
    <x v="0"/>
    <x v="11"/>
    <x v="281"/>
    <s v="Small Box"/>
    <n v="0.39"/>
    <d v="2011-09-12T00:00:00"/>
    <n v="0"/>
    <n v="0"/>
    <n v="0.5"/>
    <n v="0.5"/>
  </r>
  <r>
    <n v="313"/>
    <n v="2181"/>
    <x v="256"/>
    <x v="31"/>
    <s v="Medium"/>
    <n v="3"/>
    <n v="15.87"/>
    <n v="0.01"/>
    <s v="Express Air"/>
    <n v="2.5299999999999998"/>
    <n v="3.49"/>
    <n v="0.76"/>
    <x v="245"/>
    <x v="6"/>
    <x v="5"/>
    <x v="3"/>
    <x v="0"/>
    <x v="6"/>
    <x v="937"/>
    <s v="Wrap Bag"/>
    <n v="0.39"/>
    <d v="2011-09-14T00:00:00"/>
    <n v="0"/>
    <n v="0"/>
    <n v="0.5"/>
    <n v="0.5"/>
  </r>
  <r>
    <n v="378"/>
    <n v="2628"/>
    <x v="854"/>
    <x v="0"/>
    <s v="Low"/>
    <n v="14"/>
    <n v="34.590000000000003"/>
    <n v="0.04"/>
    <s v="Regular Air"/>
    <n v="-60.13"/>
    <n v="2.1800000000000002"/>
    <n v="5"/>
    <x v="251"/>
    <x v="6"/>
    <x v="5"/>
    <x v="1"/>
    <x v="0"/>
    <x v="15"/>
    <x v="424"/>
    <s v="Wrap Bag"/>
    <n v="0.81"/>
    <d v="2010-10-26T00:00:00"/>
    <n v="0"/>
    <n v="0"/>
    <n v="0.5"/>
    <n v="0.5"/>
  </r>
  <r>
    <n v="379"/>
    <n v="2628"/>
    <x v="854"/>
    <x v="0"/>
    <s v="Low"/>
    <n v="29"/>
    <n v="5029.2160000000003"/>
    <n v="0.02"/>
    <s v="Delivery Truck"/>
    <n v="-752.83199999999999"/>
    <n v="218.75"/>
    <n v="69.64"/>
    <x v="251"/>
    <x v="6"/>
    <x v="5"/>
    <x v="1"/>
    <x v="2"/>
    <x v="10"/>
    <x v="146"/>
    <s v="Jumbo Box"/>
    <n v="0.77"/>
    <d v="2010-10-30T00:00:00"/>
    <n v="0"/>
    <n v="0"/>
    <n v="0.5"/>
    <n v="0.5"/>
  </r>
  <r>
    <n v="392"/>
    <n v="2691"/>
    <x v="829"/>
    <x v="13"/>
    <s v="Low"/>
    <n v="14"/>
    <n v="3363.14"/>
    <n v="0.1"/>
    <s v="Delivery Truck"/>
    <n v="98.75"/>
    <n v="260.98"/>
    <n v="41.91"/>
    <x v="247"/>
    <x v="6"/>
    <x v="5"/>
    <x v="2"/>
    <x v="2"/>
    <x v="9"/>
    <x v="242"/>
    <s v="Jumbo Box"/>
    <n v="0.59"/>
    <d v="2012-05-08T00:00:00"/>
    <n v="0"/>
    <n v="0"/>
    <n v="1"/>
    <n v="0.33333333333333331"/>
  </r>
  <r>
    <n v="434"/>
    <n v="2912"/>
    <x v="855"/>
    <x v="33"/>
    <s v="Low"/>
    <n v="7"/>
    <n v="16587.13"/>
    <n v="0.08"/>
    <s v="Delivery Truck"/>
    <n v="-3476.8593000000001"/>
    <n v="2550.14"/>
    <n v="29.7"/>
    <x v="238"/>
    <x v="6"/>
    <x v="5"/>
    <x v="2"/>
    <x v="1"/>
    <x v="16"/>
    <x v="380"/>
    <s v="Jumbo Drum"/>
    <n v="0.56999999999999995"/>
    <d v="2012-03-13T00:00:00"/>
    <n v="0"/>
    <n v="0"/>
    <n v="0.5"/>
    <n v="0.5"/>
  </r>
  <r>
    <n v="435"/>
    <n v="2912"/>
    <x v="855"/>
    <x v="33"/>
    <s v="Low"/>
    <n v="9"/>
    <n v="507.98"/>
    <n v="0.05"/>
    <s v="Express Air"/>
    <n v="170.9"/>
    <n v="55.98"/>
    <n v="4.8600000000000003"/>
    <x v="238"/>
    <x v="6"/>
    <x v="5"/>
    <x v="2"/>
    <x v="0"/>
    <x v="5"/>
    <x v="938"/>
    <s v="Small Box"/>
    <n v="0.36"/>
    <d v="2012-03-18T00:00:00"/>
    <n v="0"/>
    <n v="0"/>
    <n v="0.5"/>
    <n v="0.5"/>
  </r>
  <r>
    <n v="472"/>
    <n v="3235"/>
    <x v="856"/>
    <x v="27"/>
    <s v="Low"/>
    <n v="31"/>
    <n v="142.97"/>
    <n v="0.1"/>
    <s v="Express Air"/>
    <n v="-12.26"/>
    <n v="4.71"/>
    <n v="0.7"/>
    <x v="252"/>
    <x v="6"/>
    <x v="5"/>
    <x v="2"/>
    <x v="0"/>
    <x v="6"/>
    <x v="287"/>
    <s v="Wrap Bag"/>
    <n v="0.85"/>
    <d v="2011-11-16T00:00:00"/>
    <n v="0"/>
    <n v="0"/>
    <n v="1"/>
    <n v="1"/>
  </r>
  <r>
    <n v="473"/>
    <n v="3266"/>
    <x v="323"/>
    <x v="5"/>
    <s v="Low"/>
    <n v="4"/>
    <n v="17.12"/>
    <n v="0.03"/>
    <s v="Regular Air"/>
    <n v="-2.5530000000000004"/>
    <n v="3.8"/>
    <n v="1.49"/>
    <x v="253"/>
    <x v="6"/>
    <x v="5"/>
    <x v="2"/>
    <x v="0"/>
    <x v="2"/>
    <x v="160"/>
    <s v="Small Box"/>
    <n v="0.38"/>
    <d v="2011-03-20T00:00:00"/>
    <n v="0"/>
    <n v="0"/>
    <n v="1"/>
    <n v="1"/>
  </r>
  <r>
    <n v="487"/>
    <n v="3363"/>
    <x v="230"/>
    <x v="31"/>
    <s v="High"/>
    <n v="21"/>
    <n v="8185.89"/>
    <n v="0.09"/>
    <s v="Regular Air"/>
    <n v="2137.2800000000002"/>
    <n v="415.88"/>
    <n v="11.37"/>
    <x v="254"/>
    <x v="6"/>
    <x v="5"/>
    <x v="3"/>
    <x v="0"/>
    <x v="0"/>
    <x v="236"/>
    <s v="Small Box"/>
    <n v="0.56999999999999995"/>
    <d v="2011-09-22T00:00:00"/>
    <n v="0"/>
    <n v="0"/>
    <n v="1"/>
    <n v="1"/>
  </r>
  <r>
    <n v="521"/>
    <n v="3585"/>
    <x v="857"/>
    <x v="11"/>
    <s v="High"/>
    <n v="27"/>
    <n v="259.72000000000003"/>
    <n v="7.0000000000000007E-2"/>
    <s v="Regular Air"/>
    <n v="78.05"/>
    <n v="10.06"/>
    <n v="2.06"/>
    <x v="255"/>
    <x v="6"/>
    <x v="5"/>
    <x v="2"/>
    <x v="0"/>
    <x v="5"/>
    <x v="456"/>
    <s v="Wrap Bag"/>
    <n v="0.39"/>
    <d v="2009-11-22T00:00:00"/>
    <n v="0"/>
    <n v="0"/>
    <n v="0.5"/>
    <n v="0.5"/>
  </r>
  <r>
    <n v="522"/>
    <n v="3585"/>
    <x v="857"/>
    <x v="11"/>
    <s v="High"/>
    <n v="34"/>
    <n v="54.69"/>
    <n v="7.0000000000000007E-2"/>
    <s v="Regular Air"/>
    <n v="-35.75"/>
    <n v="1.68"/>
    <n v="1.57"/>
    <x v="255"/>
    <x v="6"/>
    <x v="5"/>
    <x v="2"/>
    <x v="0"/>
    <x v="12"/>
    <x v="113"/>
    <s v="Wrap Bag"/>
    <n v="0.59"/>
    <d v="2009-11-23T00:00:00"/>
    <n v="0"/>
    <n v="0"/>
    <n v="0.5"/>
    <n v="0.5"/>
  </r>
  <r>
    <n v="550"/>
    <n v="3745"/>
    <x v="858"/>
    <x v="18"/>
    <s v="Low"/>
    <n v="38"/>
    <n v="1143.3499999999999"/>
    <n v="0.04"/>
    <s v="Express Air"/>
    <n v="411.1"/>
    <n v="29.18"/>
    <n v="8.5500000000000007"/>
    <x v="256"/>
    <x v="6"/>
    <x v="5"/>
    <x v="3"/>
    <x v="2"/>
    <x v="4"/>
    <x v="462"/>
    <s v="Small Box"/>
    <n v="0.42"/>
    <d v="2010-09-30T00:00:00"/>
    <n v="0"/>
    <n v="0"/>
    <n v="1"/>
    <n v="1"/>
  </r>
  <r>
    <n v="605"/>
    <n v="4128"/>
    <x v="859"/>
    <x v="17"/>
    <s v="Not Specified"/>
    <n v="38"/>
    <n v="391.42"/>
    <n v="0.04"/>
    <s v="Regular Air"/>
    <n v="25.03"/>
    <n v="9.99"/>
    <n v="5.12"/>
    <x v="257"/>
    <x v="6"/>
    <x v="5"/>
    <x v="1"/>
    <x v="0"/>
    <x v="5"/>
    <x v="939"/>
    <s v="Small Box"/>
    <n v="0.4"/>
    <d v="2011-10-08T00:00:00"/>
    <n v="0"/>
    <n v="0"/>
    <n v="1"/>
    <n v="1"/>
  </r>
  <r>
    <n v="625"/>
    <n v="4354"/>
    <x v="860"/>
    <x v="35"/>
    <s v="Not Specified"/>
    <n v="6"/>
    <n v="49.04"/>
    <n v="0.02"/>
    <s v="Regular Air"/>
    <n v="7.74"/>
    <n v="7.38"/>
    <n v="5.21"/>
    <x v="239"/>
    <x v="6"/>
    <x v="5"/>
    <x v="2"/>
    <x v="2"/>
    <x v="4"/>
    <x v="386"/>
    <s v="Small Box"/>
    <n v="0.56000000000000005"/>
    <d v="2009-09-30T00:00:00"/>
    <n v="0"/>
    <n v="0"/>
    <n v="1"/>
    <n v="1"/>
  </r>
  <r>
    <n v="645"/>
    <n v="4550"/>
    <x v="861"/>
    <x v="47"/>
    <s v="High"/>
    <n v="32"/>
    <n v="3730.54"/>
    <n v="7.0000000000000007E-2"/>
    <s v="Delivery Truck"/>
    <n v="1369.09"/>
    <n v="119.99"/>
    <n v="16.8"/>
    <x v="254"/>
    <x v="6"/>
    <x v="5"/>
    <x v="3"/>
    <x v="1"/>
    <x v="16"/>
    <x v="940"/>
    <s v="Jumbo Box"/>
    <n v="0.35"/>
    <d v="2009-12-30T00:00:00"/>
    <n v="0"/>
    <n v="0"/>
    <n v="1"/>
    <n v="1"/>
  </r>
  <r>
    <n v="680"/>
    <n v="4743"/>
    <x v="831"/>
    <x v="14"/>
    <s v="Low"/>
    <n v="29"/>
    <n v="352.55"/>
    <n v="0.09"/>
    <s v="Regular Air"/>
    <n v="128.98750000000001"/>
    <n v="12.97"/>
    <n v="1.49"/>
    <x v="254"/>
    <x v="6"/>
    <x v="5"/>
    <x v="3"/>
    <x v="0"/>
    <x v="2"/>
    <x v="941"/>
    <s v="Small Box"/>
    <n v="0.35"/>
    <d v="2010-04-03T00:00:00"/>
    <n v="0"/>
    <n v="0"/>
    <n v="0.5"/>
    <n v="0.5"/>
  </r>
  <r>
    <n v="681"/>
    <n v="4743"/>
    <x v="831"/>
    <x v="14"/>
    <s v="Low"/>
    <n v="32"/>
    <n v="719.64"/>
    <n v="0.01"/>
    <s v="Regular Air"/>
    <n v="-245.62"/>
    <n v="20.89"/>
    <n v="11.52"/>
    <x v="254"/>
    <x v="6"/>
    <x v="5"/>
    <x v="3"/>
    <x v="0"/>
    <x v="0"/>
    <x v="796"/>
    <s v="Small Box"/>
    <n v="0.83"/>
    <d v="2010-04-06T00:00:00"/>
    <n v="0"/>
    <n v="0"/>
    <n v="0.5"/>
    <n v="0.5"/>
  </r>
  <r>
    <n v="729"/>
    <n v="5251"/>
    <x v="94"/>
    <x v="37"/>
    <s v="Medium"/>
    <n v="38"/>
    <n v="3821.0390000000002"/>
    <n v="0.05"/>
    <s v="Express Air"/>
    <n v="1057.8870000000002"/>
    <n v="115.99"/>
    <n v="5.99"/>
    <x v="238"/>
    <x v="6"/>
    <x v="5"/>
    <x v="2"/>
    <x v="1"/>
    <x v="3"/>
    <x v="942"/>
    <s v="Small Box"/>
    <n v="0.56999999999999995"/>
    <d v="2011-04-13T00:00:00"/>
    <n v="0"/>
    <n v="0"/>
    <n v="1"/>
    <n v="1"/>
  </r>
  <r>
    <n v="733"/>
    <n v="5283"/>
    <x v="862"/>
    <x v="41"/>
    <s v="Medium"/>
    <n v="23"/>
    <n v="2508.6730000000002"/>
    <n v="0.03"/>
    <s v="Regular Air"/>
    <n v="417.46499999999997"/>
    <n v="125.99"/>
    <n v="7.69"/>
    <x v="254"/>
    <x v="6"/>
    <x v="5"/>
    <x v="3"/>
    <x v="1"/>
    <x v="3"/>
    <x v="44"/>
    <s v="Small Box"/>
    <n v="0.57999999999999996"/>
    <d v="2009-06-05T00:00:00"/>
    <n v="0"/>
    <n v="0"/>
    <n v="1"/>
    <n v="1"/>
  </r>
  <r>
    <n v="750"/>
    <n v="5381"/>
    <x v="863"/>
    <x v="38"/>
    <s v="Low"/>
    <n v="47"/>
    <n v="4888.1400000000003"/>
    <n v="7.0000000000000007E-2"/>
    <s v="Regular Air"/>
    <n v="1545.09"/>
    <n v="107.53"/>
    <n v="5.81"/>
    <x v="244"/>
    <x v="6"/>
    <x v="5"/>
    <x v="3"/>
    <x v="2"/>
    <x v="4"/>
    <x v="348"/>
    <s v="Medium Box"/>
    <n v="0.65"/>
    <d v="2010-02-04T00:00:00"/>
    <n v="1"/>
    <n v="0"/>
    <n v="0.5"/>
    <n v="0.33333333333333331"/>
  </r>
  <r>
    <n v="751"/>
    <n v="5381"/>
    <x v="863"/>
    <x v="38"/>
    <s v="Low"/>
    <n v="27"/>
    <n v="63.87"/>
    <n v="0.09"/>
    <s v="Regular Air"/>
    <n v="-149.93"/>
    <n v="2.1800000000000002"/>
    <n v="7.09"/>
    <x v="244"/>
    <x v="6"/>
    <x v="5"/>
    <x v="3"/>
    <x v="0"/>
    <x v="5"/>
    <x v="943"/>
    <s v="Wrap Bag"/>
    <n v="0.38"/>
    <d v="2010-02-04T00:00:00"/>
    <n v="1"/>
    <n v="0"/>
    <n v="0.5"/>
    <n v="0.33333333333333331"/>
  </r>
  <r>
    <n v="759"/>
    <n v="5444"/>
    <x v="92"/>
    <x v="5"/>
    <s v="Critical"/>
    <n v="2"/>
    <n v="885.94"/>
    <n v="0.08"/>
    <s v="Regular Air"/>
    <n v="-2024.079"/>
    <n v="449.99"/>
    <n v="24.49"/>
    <x v="258"/>
    <x v="6"/>
    <x v="5"/>
    <x v="0"/>
    <x v="1"/>
    <x v="13"/>
    <x v="26"/>
    <s v="Large Box"/>
    <n v="0.52"/>
    <d v="2011-03-19T00:00:00"/>
    <n v="0"/>
    <n v="0"/>
    <n v="1"/>
    <n v="1"/>
  </r>
  <r>
    <n v="785"/>
    <n v="5601"/>
    <x v="505"/>
    <x v="23"/>
    <s v="High"/>
    <n v="10"/>
    <n v="120.53"/>
    <n v="0.1"/>
    <s v="Regular Air"/>
    <n v="49.26"/>
    <n v="12.22"/>
    <n v="2.85"/>
    <x v="259"/>
    <x v="6"/>
    <x v="5"/>
    <x v="1"/>
    <x v="2"/>
    <x v="4"/>
    <x v="137"/>
    <s v="Small Pack"/>
    <n v="0.55000000000000004"/>
    <d v="2012-01-06T00:00:00"/>
    <n v="0"/>
    <n v="0"/>
    <n v="1"/>
    <n v="1"/>
  </r>
  <r>
    <n v="802"/>
    <n v="5760"/>
    <x v="864"/>
    <x v="43"/>
    <s v="Not Specified"/>
    <n v="34"/>
    <n v="5261.73"/>
    <n v="0.05"/>
    <s v="Delivery Truck"/>
    <n v="650.29999999999995"/>
    <n v="150.97999999999999"/>
    <n v="43.71"/>
    <x v="260"/>
    <x v="6"/>
    <x v="5"/>
    <x v="3"/>
    <x v="2"/>
    <x v="14"/>
    <x v="944"/>
    <s v="Jumbo Drum"/>
    <n v="0.55000000000000004"/>
    <d v="2009-05-25T00:00:00"/>
    <n v="0"/>
    <n v="0"/>
    <n v="1"/>
    <n v="1"/>
  </r>
  <r>
    <n v="896"/>
    <n v="6438"/>
    <x v="865"/>
    <x v="39"/>
    <s v="Not Specified"/>
    <n v="7"/>
    <n v="75.72"/>
    <n v="0.02"/>
    <s v="Regular Air"/>
    <n v="20.29"/>
    <n v="9.77"/>
    <n v="6.02"/>
    <x v="261"/>
    <x v="6"/>
    <x v="5"/>
    <x v="2"/>
    <x v="2"/>
    <x v="4"/>
    <x v="321"/>
    <s v="Medium Box"/>
    <n v="0.48"/>
    <d v="2010-05-16T00:00:00"/>
    <n v="0"/>
    <n v="0"/>
    <n v="0.5"/>
    <n v="0.5"/>
  </r>
  <r>
    <n v="897"/>
    <n v="6438"/>
    <x v="865"/>
    <x v="39"/>
    <s v="Not Specified"/>
    <n v="38"/>
    <n v="225.21"/>
    <n v="0.06"/>
    <s v="Regular Air"/>
    <n v="-66.16"/>
    <n v="5.98"/>
    <n v="5.2"/>
    <x v="261"/>
    <x v="6"/>
    <x v="5"/>
    <x v="2"/>
    <x v="0"/>
    <x v="5"/>
    <x v="449"/>
    <s v="Small Box"/>
    <n v="0.36"/>
    <d v="2010-05-17T00:00:00"/>
    <n v="0"/>
    <n v="0"/>
    <n v="0.5"/>
    <n v="0.5"/>
  </r>
  <r>
    <n v="917"/>
    <n v="6592"/>
    <x v="866"/>
    <x v="47"/>
    <s v="Low"/>
    <n v="29"/>
    <n v="194.29"/>
    <n v="0.09"/>
    <s v="Regular Air"/>
    <n v="-177.17"/>
    <n v="6.84"/>
    <n v="8.3699999999999992"/>
    <x v="242"/>
    <x v="6"/>
    <x v="5"/>
    <x v="1"/>
    <x v="0"/>
    <x v="15"/>
    <x v="277"/>
    <s v="Small Pack"/>
    <n v="0.57999999999999996"/>
    <d v="2009-12-08T00:00:00"/>
    <n v="0"/>
    <n v="0"/>
    <n v="0.5"/>
    <n v="0.5"/>
  </r>
  <r>
    <n v="918"/>
    <n v="6592"/>
    <x v="866"/>
    <x v="47"/>
    <s v="Low"/>
    <n v="33"/>
    <n v="1621.1"/>
    <n v="7.0000000000000007E-2"/>
    <s v="Express Air"/>
    <n v="-971.36"/>
    <n v="48.91"/>
    <n v="35"/>
    <x v="242"/>
    <x v="6"/>
    <x v="5"/>
    <x v="1"/>
    <x v="0"/>
    <x v="0"/>
    <x v="293"/>
    <s v="Large Box"/>
    <n v="0.83"/>
    <d v="2009-12-03T00:00:00"/>
    <n v="0"/>
    <n v="0"/>
    <n v="0.5"/>
    <n v="0.5"/>
  </r>
  <r>
    <n v="933"/>
    <n v="6755"/>
    <x v="732"/>
    <x v="10"/>
    <s v="High"/>
    <n v="20"/>
    <n v="156.47"/>
    <n v="0.01"/>
    <s v="Regular Air"/>
    <n v="-39.226500000000001"/>
    <n v="7.1"/>
    <n v="6.05"/>
    <x v="245"/>
    <x v="6"/>
    <x v="5"/>
    <x v="3"/>
    <x v="0"/>
    <x v="2"/>
    <x v="310"/>
    <s v="Small Box"/>
    <n v="0.39"/>
    <d v="2011-05-03T00:00:00"/>
    <n v="0"/>
    <n v="0"/>
    <n v="1"/>
    <n v="1"/>
  </r>
  <r>
    <n v="957"/>
    <n v="6918"/>
    <x v="867"/>
    <x v="2"/>
    <s v="Critical"/>
    <n v="38"/>
    <n v="1559.5"/>
    <n v="0.01"/>
    <s v="Regular Air"/>
    <n v="515.83000000000004"/>
    <n v="39.479999999999997"/>
    <n v="1.99"/>
    <x v="262"/>
    <x v="6"/>
    <x v="5"/>
    <x v="1"/>
    <x v="1"/>
    <x v="7"/>
    <x v="64"/>
    <s v="Small Pack"/>
    <n v="0.54"/>
    <d v="2011-07-03T00:00:00"/>
    <n v="0"/>
    <n v="0"/>
    <n v="1"/>
    <n v="1"/>
  </r>
  <r>
    <n v="1060"/>
    <n v="7841"/>
    <x v="399"/>
    <x v="20"/>
    <s v="Not Specified"/>
    <n v="21"/>
    <n v="1002.77"/>
    <n v="7.0000000000000007E-2"/>
    <s v="Regular Air"/>
    <n v="295.60000000000002"/>
    <n v="49.34"/>
    <n v="10.25"/>
    <x v="263"/>
    <x v="6"/>
    <x v="5"/>
    <x v="1"/>
    <x v="2"/>
    <x v="4"/>
    <x v="945"/>
    <s v="Large Box"/>
    <n v="0.56999999999999995"/>
    <d v="2012-05-22T00:00:00"/>
    <n v="0"/>
    <n v="0"/>
    <n v="0.5"/>
    <n v="0.33333333333333331"/>
  </r>
  <r>
    <n v="1061"/>
    <n v="7841"/>
    <x v="399"/>
    <x v="20"/>
    <s v="Not Specified"/>
    <n v="17"/>
    <n v="178.14"/>
    <n v="0.01"/>
    <s v="Regular Air"/>
    <n v="56.3"/>
    <n v="10.06"/>
    <n v="2.06"/>
    <x v="263"/>
    <x v="6"/>
    <x v="5"/>
    <x v="1"/>
    <x v="2"/>
    <x v="4"/>
    <x v="457"/>
    <s v="Wrap Bag"/>
    <n v="0.46"/>
    <d v="2012-05-22T00:00:00"/>
    <n v="0"/>
    <n v="0"/>
    <n v="0.5"/>
    <n v="0.33333333333333331"/>
  </r>
  <r>
    <n v="1104"/>
    <n v="8103"/>
    <x v="868"/>
    <x v="11"/>
    <s v="Low"/>
    <n v="16"/>
    <n v="457.68"/>
    <n v="7.0000000000000007E-2"/>
    <s v="Regular Air"/>
    <n v="107.3805"/>
    <n v="29.17"/>
    <n v="6.27"/>
    <x v="264"/>
    <x v="6"/>
    <x v="5"/>
    <x v="2"/>
    <x v="0"/>
    <x v="2"/>
    <x v="837"/>
    <s v="Small Box"/>
    <n v="0.37"/>
    <d v="2009-11-06T00:00:00"/>
    <n v="0"/>
    <n v="0"/>
    <n v="1"/>
    <n v="1"/>
  </r>
  <r>
    <n v="1130"/>
    <n v="8258"/>
    <x v="341"/>
    <x v="28"/>
    <s v="High"/>
    <n v="37"/>
    <n v="434.77"/>
    <n v="0.02"/>
    <s v="Regular Air"/>
    <n v="-155.21"/>
    <n v="11.34"/>
    <n v="11.25"/>
    <x v="252"/>
    <x v="6"/>
    <x v="5"/>
    <x v="2"/>
    <x v="0"/>
    <x v="5"/>
    <x v="946"/>
    <s v="Small Box"/>
    <n v="0.36"/>
    <d v="2009-03-02T00:00:00"/>
    <n v="0"/>
    <n v="0"/>
    <n v="1"/>
    <n v="1"/>
  </r>
  <r>
    <n v="1162"/>
    <n v="8454"/>
    <x v="869"/>
    <x v="9"/>
    <s v="Medium"/>
    <n v="38"/>
    <n v="218.77"/>
    <n v="0.03"/>
    <s v="Regular Air"/>
    <n v="-188.1285"/>
    <n v="5.4"/>
    <n v="7.78"/>
    <x v="265"/>
    <x v="6"/>
    <x v="5"/>
    <x v="0"/>
    <x v="0"/>
    <x v="2"/>
    <x v="212"/>
    <s v="Small Box"/>
    <n v="0.37"/>
    <d v="2012-08-18T00:00:00"/>
    <n v="0"/>
    <n v="0"/>
    <n v="1"/>
    <n v="1"/>
  </r>
  <r>
    <n v="1193"/>
    <n v="8710"/>
    <x v="870"/>
    <x v="22"/>
    <s v="Critical"/>
    <n v="17"/>
    <n v="63.34"/>
    <n v="0.03"/>
    <s v="Regular Air"/>
    <n v="-76.015000000000001"/>
    <n v="3.36"/>
    <n v="6.27"/>
    <x v="238"/>
    <x v="6"/>
    <x v="5"/>
    <x v="2"/>
    <x v="0"/>
    <x v="2"/>
    <x v="285"/>
    <s v="Small Box"/>
    <n v="0.4"/>
    <d v="2009-01-05T00:00:00"/>
    <n v="0"/>
    <n v="1"/>
    <n v="0.5"/>
    <n v="0.5"/>
  </r>
  <r>
    <n v="1194"/>
    <n v="8710"/>
    <x v="870"/>
    <x v="22"/>
    <s v="Critical"/>
    <n v="42"/>
    <n v="151.35"/>
    <n v="7.0000000000000007E-2"/>
    <s v="Express Air"/>
    <n v="8.33"/>
    <n v="3.71"/>
    <n v="1.93"/>
    <x v="238"/>
    <x v="6"/>
    <x v="5"/>
    <x v="2"/>
    <x v="0"/>
    <x v="5"/>
    <x v="884"/>
    <s v="Wrap Bag"/>
    <n v="0.35"/>
    <d v="2009-01-06T00:00:00"/>
    <n v="0"/>
    <n v="1"/>
    <n v="0.5"/>
    <n v="0.5"/>
  </r>
  <r>
    <n v="1208"/>
    <n v="8835"/>
    <x v="871"/>
    <x v="19"/>
    <s v="Critical"/>
    <n v="12"/>
    <n v="153.44"/>
    <n v="0.05"/>
    <s v="Regular Air"/>
    <n v="-6.15"/>
    <n v="12.2"/>
    <n v="6.02"/>
    <x v="252"/>
    <x v="6"/>
    <x v="5"/>
    <x v="2"/>
    <x v="2"/>
    <x v="4"/>
    <x v="947"/>
    <s v="Small Pack"/>
    <n v="0.43"/>
    <d v="2009-10-14T00:00:00"/>
    <n v="0"/>
    <n v="0"/>
    <n v="1"/>
    <n v="1"/>
  </r>
  <r>
    <n v="1217"/>
    <n v="8960"/>
    <x v="281"/>
    <x v="30"/>
    <s v="Medium"/>
    <n v="46"/>
    <n v="4335.34"/>
    <n v="7.0000000000000007E-2"/>
    <s v="Express Air"/>
    <n v="524.09"/>
    <n v="99.99"/>
    <n v="19.989999999999998"/>
    <x v="265"/>
    <x v="6"/>
    <x v="5"/>
    <x v="0"/>
    <x v="1"/>
    <x v="7"/>
    <x v="218"/>
    <s v="Small Box"/>
    <n v="0.52"/>
    <d v="2010-06-07T00:00:00"/>
    <n v="0"/>
    <n v="0"/>
    <n v="0.5"/>
    <n v="0.5"/>
  </r>
  <r>
    <n v="1218"/>
    <n v="8960"/>
    <x v="281"/>
    <x v="30"/>
    <s v="Medium"/>
    <n v="15"/>
    <n v="1150.5345"/>
    <n v="0.01"/>
    <s v="Regular Air"/>
    <n v="361.64699999999999"/>
    <n v="85.99"/>
    <n v="1.25"/>
    <x v="265"/>
    <x v="6"/>
    <x v="5"/>
    <x v="0"/>
    <x v="1"/>
    <x v="3"/>
    <x v="313"/>
    <s v="Small Pack"/>
    <n v="0.39"/>
    <d v="2010-06-07T00:00:00"/>
    <n v="0"/>
    <n v="0"/>
    <n v="0.5"/>
    <n v="0.5"/>
  </r>
  <r>
    <n v="1277"/>
    <n v="9281"/>
    <x v="224"/>
    <x v="12"/>
    <s v="Critical"/>
    <n v="31"/>
    <n v="199.8"/>
    <n v="0.08"/>
    <s v="Express Air"/>
    <n v="-96.59"/>
    <n v="6.48"/>
    <n v="6.81"/>
    <x v="250"/>
    <x v="6"/>
    <x v="5"/>
    <x v="0"/>
    <x v="0"/>
    <x v="5"/>
    <x v="183"/>
    <s v="Small Box"/>
    <n v="0.36"/>
    <d v="2012-02-25T00:00:00"/>
    <n v="0"/>
    <n v="0"/>
    <n v="0.5"/>
    <n v="0.33333333333333331"/>
  </r>
  <r>
    <n v="1278"/>
    <n v="9281"/>
    <x v="224"/>
    <x v="12"/>
    <s v="Critical"/>
    <n v="24"/>
    <n v="68.97"/>
    <n v="0.02"/>
    <s v="Regular Air"/>
    <n v="0.77"/>
    <n v="2.78"/>
    <n v="0.97"/>
    <x v="250"/>
    <x v="6"/>
    <x v="5"/>
    <x v="0"/>
    <x v="0"/>
    <x v="12"/>
    <x v="948"/>
    <s v="Wrap Bag"/>
    <n v="0.59"/>
    <d v="2012-02-25T00:00:00"/>
    <n v="0"/>
    <n v="0"/>
    <n v="0.5"/>
    <n v="0.33333333333333331"/>
  </r>
  <r>
    <n v="1285"/>
    <n v="9350"/>
    <x v="379"/>
    <x v="1"/>
    <s v="Critical"/>
    <n v="13"/>
    <n v="1735.94"/>
    <n v="0.1"/>
    <s v="Delivery Truck"/>
    <n v="-432.54"/>
    <n v="140.97999999999999"/>
    <n v="53.48"/>
    <x v="263"/>
    <x v="6"/>
    <x v="5"/>
    <x v="2"/>
    <x v="2"/>
    <x v="9"/>
    <x v="85"/>
    <s v="Jumbo Box"/>
    <n v="0.65"/>
    <d v="2012-11-01T00:00:00"/>
    <n v="0"/>
    <n v="0"/>
    <n v="0.5"/>
    <n v="0.33333333333333331"/>
  </r>
  <r>
    <n v="1286"/>
    <n v="9350"/>
    <x v="379"/>
    <x v="1"/>
    <s v="Critical"/>
    <n v="2"/>
    <n v="337.6"/>
    <n v="0.1"/>
    <s v="Regular Air"/>
    <n v="-210.7835"/>
    <n v="172.99"/>
    <n v="19.989999999999998"/>
    <x v="263"/>
    <x v="6"/>
    <x v="5"/>
    <x v="2"/>
    <x v="2"/>
    <x v="4"/>
    <x v="915"/>
    <s v="Medium Box"/>
    <n v="0.64"/>
    <d v="2012-11-02T00:00:00"/>
    <n v="0"/>
    <n v="0"/>
    <n v="0.5"/>
    <n v="0.33333333333333331"/>
  </r>
  <r>
    <n v="1322"/>
    <n v="9665"/>
    <x v="872"/>
    <x v="46"/>
    <s v="Low"/>
    <n v="50"/>
    <n v="2348.66"/>
    <n v="0.02"/>
    <s v="Regular Air"/>
    <n v="921.41"/>
    <n v="46.89"/>
    <n v="5.0999999999999996"/>
    <x v="266"/>
    <x v="6"/>
    <x v="5"/>
    <x v="3"/>
    <x v="0"/>
    <x v="1"/>
    <x v="233"/>
    <s v="Medium Box"/>
    <n v="0.46"/>
    <d v="2009-04-23T00:00:00"/>
    <n v="0"/>
    <n v="0"/>
    <n v="0.33333333333333331"/>
    <n v="0.33333333333333331"/>
  </r>
  <r>
    <n v="1323"/>
    <n v="9665"/>
    <x v="872"/>
    <x v="46"/>
    <s v="Low"/>
    <n v="19"/>
    <n v="2657.12"/>
    <n v="0.05"/>
    <s v="Delivery Truck"/>
    <n v="-373.09"/>
    <n v="140.97999999999999"/>
    <n v="36.090000000000003"/>
    <x v="266"/>
    <x v="6"/>
    <x v="5"/>
    <x v="3"/>
    <x v="2"/>
    <x v="9"/>
    <x v="228"/>
    <s v="Jumbo Box"/>
    <n v="0.77"/>
    <d v="2009-04-25T00:00:00"/>
    <n v="0"/>
    <n v="0"/>
    <n v="0.33333333333333331"/>
    <n v="0.33333333333333331"/>
  </r>
  <r>
    <n v="1324"/>
    <n v="9665"/>
    <x v="872"/>
    <x v="46"/>
    <s v="Low"/>
    <n v="49"/>
    <n v="9579.6200000000008"/>
    <n v="0.1"/>
    <s v="Delivery Truck"/>
    <n v="-3465.0720000000001"/>
    <n v="212.6"/>
    <n v="110.2"/>
    <x v="266"/>
    <x v="6"/>
    <x v="5"/>
    <x v="3"/>
    <x v="2"/>
    <x v="10"/>
    <x v="763"/>
    <s v="Jumbo Box"/>
    <n v="0.73"/>
    <d v="2009-04-25T00:00:00"/>
    <n v="0"/>
    <n v="0"/>
    <n v="0.33333333333333331"/>
    <n v="0.33333333333333331"/>
  </r>
  <r>
    <n v="1357"/>
    <n v="9893"/>
    <x v="873"/>
    <x v="26"/>
    <s v="Medium"/>
    <n v="1"/>
    <n v="192.49"/>
    <n v="0.02"/>
    <s v="Delivery Truck"/>
    <n v="-98.3"/>
    <n v="160.97999999999999"/>
    <n v="30"/>
    <x v="244"/>
    <x v="6"/>
    <x v="5"/>
    <x v="3"/>
    <x v="2"/>
    <x v="14"/>
    <x v="580"/>
    <s v="Jumbo Drum"/>
    <n v="0.62"/>
    <d v="2009-08-19T00:00:00"/>
    <n v="0"/>
    <n v="0"/>
    <n v="1"/>
    <n v="1"/>
  </r>
  <r>
    <n v="1401"/>
    <n v="10183"/>
    <x v="385"/>
    <x v="11"/>
    <s v="Critical"/>
    <n v="48"/>
    <n v="1210.02"/>
    <n v="0.06"/>
    <s v="Delivery Truck"/>
    <n v="-279.44"/>
    <n v="25.98"/>
    <n v="14.36"/>
    <x v="263"/>
    <x v="6"/>
    <x v="5"/>
    <x v="2"/>
    <x v="2"/>
    <x v="14"/>
    <x v="170"/>
    <s v="Jumbo Drum"/>
    <n v="0.6"/>
    <d v="2009-11-25T00:00:00"/>
    <n v="0"/>
    <n v="0"/>
    <n v="1"/>
    <n v="1"/>
  </r>
  <r>
    <n v="1413"/>
    <n v="10247"/>
    <x v="438"/>
    <x v="38"/>
    <s v="Medium"/>
    <n v="21"/>
    <n v="111.66"/>
    <n v="0.06"/>
    <s v="Regular Air"/>
    <n v="-53.33"/>
    <n v="4.9800000000000004"/>
    <n v="5.49"/>
    <x v="253"/>
    <x v="6"/>
    <x v="5"/>
    <x v="3"/>
    <x v="0"/>
    <x v="5"/>
    <x v="921"/>
    <s v="Small Box"/>
    <n v="0.38"/>
    <d v="2010-01-11T00:00:00"/>
    <n v="1"/>
    <n v="0"/>
    <n v="0.5"/>
    <n v="0.5"/>
  </r>
  <r>
    <n v="1414"/>
    <n v="10247"/>
    <x v="438"/>
    <x v="38"/>
    <s v="Medium"/>
    <n v="24"/>
    <n v="231.95"/>
    <n v="0.03"/>
    <s v="Regular Air"/>
    <n v="44.14"/>
    <n v="9.7799999999999994"/>
    <n v="1.99"/>
    <x v="253"/>
    <x v="6"/>
    <x v="5"/>
    <x v="3"/>
    <x v="1"/>
    <x v="7"/>
    <x v="136"/>
    <s v="Small Pack"/>
    <n v="0.43"/>
    <d v="2010-01-12T00:00:00"/>
    <n v="1"/>
    <n v="0"/>
    <n v="0.5"/>
    <n v="0.5"/>
  </r>
  <r>
    <n v="1438"/>
    <n v="10371"/>
    <x v="108"/>
    <x v="35"/>
    <s v="High"/>
    <n v="10"/>
    <n v="156.15"/>
    <n v="0.08"/>
    <s v="Express Air"/>
    <n v="-37.6"/>
    <n v="15.73"/>
    <n v="7.42"/>
    <x v="267"/>
    <x v="6"/>
    <x v="5"/>
    <x v="2"/>
    <x v="0"/>
    <x v="15"/>
    <x v="949"/>
    <s v="Small Pack"/>
    <n v="0.56000000000000005"/>
    <d v="2009-09-18T00:00:00"/>
    <n v="0"/>
    <n v="0"/>
    <n v="1"/>
    <n v="1"/>
  </r>
  <r>
    <n v="1456"/>
    <n v="10498"/>
    <x v="181"/>
    <x v="0"/>
    <s v="Low"/>
    <n v="47"/>
    <n v="1968.47"/>
    <n v="0.04"/>
    <s v="Regular Air"/>
    <n v="327.9"/>
    <n v="40.97"/>
    <n v="8.99"/>
    <x v="268"/>
    <x v="6"/>
    <x v="5"/>
    <x v="0"/>
    <x v="0"/>
    <x v="12"/>
    <x v="608"/>
    <s v="Small Pack"/>
    <n v="0.59"/>
    <d v="2010-10-30T00:00:00"/>
    <n v="0"/>
    <n v="0"/>
    <n v="1"/>
    <n v="1"/>
  </r>
  <r>
    <n v="1470"/>
    <n v="10624"/>
    <x v="874"/>
    <x v="47"/>
    <s v="Critical"/>
    <n v="23"/>
    <n v="1082.43"/>
    <n v="0.06"/>
    <s v="Regular Air"/>
    <n v="23.97"/>
    <n v="47.98"/>
    <n v="3.61"/>
    <x v="269"/>
    <x v="6"/>
    <x v="5"/>
    <x v="2"/>
    <x v="1"/>
    <x v="7"/>
    <x v="12"/>
    <s v="Small Pack"/>
    <n v="0.71"/>
    <d v="2009-12-22T00:00:00"/>
    <n v="0"/>
    <n v="0"/>
    <n v="1"/>
    <n v="1"/>
  </r>
  <r>
    <n v="1579"/>
    <n v="11425"/>
    <x v="645"/>
    <x v="4"/>
    <s v="Critical"/>
    <n v="29"/>
    <n v="482.91"/>
    <n v="0.1"/>
    <s v="Regular Air"/>
    <n v="-16.59"/>
    <n v="16.91"/>
    <n v="6.25"/>
    <x v="270"/>
    <x v="6"/>
    <x v="5"/>
    <x v="1"/>
    <x v="0"/>
    <x v="0"/>
    <x v="624"/>
    <s v="Small Box"/>
    <n v="0.57999999999999996"/>
    <d v="2011-06-23T00:00:00"/>
    <n v="0"/>
    <n v="0"/>
    <n v="0.5"/>
    <n v="0.5"/>
  </r>
  <r>
    <n v="1580"/>
    <n v="11425"/>
    <x v="645"/>
    <x v="4"/>
    <s v="Critical"/>
    <n v="23"/>
    <n v="2969.6365000000001"/>
    <n v="0.04"/>
    <s v="Express Air"/>
    <n v="383.45400000000001"/>
    <n v="155.99"/>
    <n v="8.99"/>
    <x v="270"/>
    <x v="6"/>
    <x v="5"/>
    <x v="1"/>
    <x v="1"/>
    <x v="3"/>
    <x v="554"/>
    <s v="Small Box"/>
    <n v="0.57999999999999996"/>
    <d v="2011-06-24T00:00:00"/>
    <n v="0"/>
    <n v="0"/>
    <n v="0.5"/>
    <n v="0.5"/>
  </r>
  <r>
    <n v="1591"/>
    <n v="11491"/>
    <x v="107"/>
    <x v="3"/>
    <s v="Low"/>
    <n v="26"/>
    <n v="165.37"/>
    <n v="0.06"/>
    <s v="Regular Air"/>
    <n v="-80.11"/>
    <n v="6.6"/>
    <n v="4.07"/>
    <x v="263"/>
    <x v="6"/>
    <x v="5"/>
    <x v="3"/>
    <x v="1"/>
    <x v="7"/>
    <x v="882"/>
    <s v="Small Pack"/>
    <n v="0.66"/>
    <d v="2010-08-26T00:00:00"/>
    <n v="0"/>
    <n v="0"/>
    <n v="0.5"/>
    <n v="0.25"/>
  </r>
  <r>
    <n v="1592"/>
    <n v="11491"/>
    <x v="107"/>
    <x v="3"/>
    <s v="Low"/>
    <n v="38"/>
    <n v="1785.74"/>
    <n v="0.03"/>
    <s v="Express Air"/>
    <n v="739.48"/>
    <n v="48.04"/>
    <n v="7.23"/>
    <x v="263"/>
    <x v="6"/>
    <x v="5"/>
    <x v="3"/>
    <x v="2"/>
    <x v="4"/>
    <x v="736"/>
    <s v="Small Box"/>
    <n v="0.41"/>
    <d v="2010-08-19T00:00:00"/>
    <n v="0"/>
    <n v="0"/>
    <n v="0.5"/>
    <n v="0.25"/>
  </r>
  <r>
    <n v="1636"/>
    <n v="11841"/>
    <x v="875"/>
    <x v="24"/>
    <s v="Medium"/>
    <n v="44"/>
    <n v="2339.52"/>
    <n v="0.1"/>
    <s v="Regular Air"/>
    <n v="886.03"/>
    <n v="54.96"/>
    <n v="10.75"/>
    <x v="267"/>
    <x v="6"/>
    <x v="5"/>
    <x v="2"/>
    <x v="0"/>
    <x v="5"/>
    <x v="229"/>
    <s v="Small Box"/>
    <n v="0.36"/>
    <d v="2010-04-22T00:00:00"/>
    <n v="0"/>
    <n v="0"/>
    <n v="0.5"/>
    <n v="0.33333333333333331"/>
  </r>
  <r>
    <n v="1637"/>
    <n v="11841"/>
    <x v="875"/>
    <x v="24"/>
    <s v="Medium"/>
    <n v="46"/>
    <n v="533.25"/>
    <n v="7.0000000000000007E-2"/>
    <s v="Regular Air"/>
    <n v="-88.32"/>
    <n v="11.97"/>
    <n v="5.81"/>
    <x v="267"/>
    <x v="6"/>
    <x v="5"/>
    <x v="2"/>
    <x v="0"/>
    <x v="12"/>
    <x v="393"/>
    <s v="Small Pack"/>
    <n v="0.6"/>
    <d v="2010-04-20T00:00:00"/>
    <n v="0"/>
    <n v="0"/>
    <n v="0.5"/>
    <n v="0.33333333333333331"/>
  </r>
  <r>
    <n v="1648"/>
    <n v="11878"/>
    <x v="876"/>
    <x v="6"/>
    <s v="Not Specified"/>
    <n v="18"/>
    <n v="102.06"/>
    <n v="0.1"/>
    <s v="Regular Air"/>
    <n v="36.229999999999997"/>
    <n v="6.3"/>
    <n v="0.5"/>
    <x v="268"/>
    <x v="6"/>
    <x v="5"/>
    <x v="0"/>
    <x v="0"/>
    <x v="11"/>
    <x v="698"/>
    <s v="Small Box"/>
    <n v="0.39"/>
    <d v="2010-02-25T00:00:00"/>
    <n v="0"/>
    <n v="0"/>
    <n v="0.5"/>
    <n v="0.5"/>
  </r>
  <r>
    <n v="1649"/>
    <n v="11878"/>
    <x v="876"/>
    <x v="6"/>
    <s v="Not Specified"/>
    <n v="15"/>
    <n v="101.82"/>
    <n v="0.08"/>
    <s v="Regular Air"/>
    <n v="-52.55"/>
    <n v="6.48"/>
    <n v="7.03"/>
    <x v="268"/>
    <x v="6"/>
    <x v="5"/>
    <x v="0"/>
    <x v="0"/>
    <x v="5"/>
    <x v="72"/>
    <s v="Small Box"/>
    <n v="0.37"/>
    <d v="2010-02-25T00:00:00"/>
    <n v="0"/>
    <n v="0"/>
    <n v="0.5"/>
    <n v="0.5"/>
  </r>
  <r>
    <n v="1682"/>
    <n v="12130"/>
    <x v="775"/>
    <x v="25"/>
    <s v="Not Specified"/>
    <n v="37"/>
    <n v="686.2"/>
    <n v="0.04"/>
    <s v="Regular Air"/>
    <n v="290.2"/>
    <n v="18.84"/>
    <n v="3.62"/>
    <x v="271"/>
    <x v="6"/>
    <x v="5"/>
    <x v="1"/>
    <x v="2"/>
    <x v="4"/>
    <x v="771"/>
    <s v="Wrap Bag"/>
    <n v="0.43"/>
    <d v="2011-12-12T00:00:00"/>
    <n v="0"/>
    <n v="0"/>
    <n v="0.5"/>
    <n v="0.5"/>
  </r>
  <r>
    <n v="1683"/>
    <n v="12130"/>
    <x v="775"/>
    <x v="25"/>
    <s v="Not Specified"/>
    <n v="42"/>
    <n v="1274.5155"/>
    <n v="0.05"/>
    <s v="Regular Air"/>
    <n v="444.15"/>
    <n v="35.99"/>
    <n v="5.99"/>
    <x v="271"/>
    <x v="6"/>
    <x v="5"/>
    <x v="1"/>
    <x v="1"/>
    <x v="3"/>
    <x v="702"/>
    <s v="Wrap Bag"/>
    <n v="0.38"/>
    <d v="2011-12-12T00:00:00"/>
    <n v="0"/>
    <n v="0"/>
    <n v="0.5"/>
    <n v="0.5"/>
  </r>
  <r>
    <n v="1684"/>
    <n v="12160"/>
    <x v="611"/>
    <x v="15"/>
    <s v="Low"/>
    <n v="48"/>
    <n v="10341.469999999999"/>
    <n v="0.03"/>
    <s v="Delivery Truck"/>
    <n v="865.02"/>
    <n v="208.16"/>
    <n v="68.02"/>
    <x v="263"/>
    <x v="6"/>
    <x v="5"/>
    <x v="2"/>
    <x v="2"/>
    <x v="14"/>
    <x v="34"/>
    <s v="Jumbo Drum"/>
    <n v="0.56999999999999995"/>
    <d v="2010-12-17T00:00:00"/>
    <n v="0"/>
    <n v="0"/>
    <n v="0.33333333333333331"/>
    <n v="0.33333333333333331"/>
  </r>
  <r>
    <n v="1685"/>
    <n v="12160"/>
    <x v="611"/>
    <x v="15"/>
    <s v="Low"/>
    <n v="2"/>
    <n v="55.21"/>
    <n v="0.08"/>
    <s v="Regular Air"/>
    <n v="-45.3"/>
    <n v="24.98"/>
    <n v="8.7899999999999991"/>
    <x v="263"/>
    <x v="6"/>
    <x v="5"/>
    <x v="2"/>
    <x v="2"/>
    <x v="14"/>
    <x v="306"/>
    <s v="Jumbo Drum"/>
    <n v="0.56000000000000005"/>
    <d v="2010-12-16T00:00:00"/>
    <n v="0"/>
    <n v="0"/>
    <n v="0.33333333333333331"/>
    <n v="0.33333333333333331"/>
  </r>
  <r>
    <n v="1686"/>
    <n v="12160"/>
    <x v="611"/>
    <x v="15"/>
    <s v="Low"/>
    <n v="9"/>
    <n v="38.299999999999997"/>
    <n v="0.01"/>
    <s v="Regular Air"/>
    <n v="-42.4925"/>
    <n v="3.36"/>
    <n v="6.27"/>
    <x v="263"/>
    <x v="6"/>
    <x v="5"/>
    <x v="2"/>
    <x v="2"/>
    <x v="4"/>
    <x v="950"/>
    <s v="Large Box"/>
    <n v="0.55000000000000004"/>
    <d v="2010-12-17T00:00:00"/>
    <n v="0"/>
    <n v="0"/>
    <n v="0.33333333333333331"/>
    <n v="0.33333333333333331"/>
  </r>
  <r>
    <n v="1697"/>
    <n v="12258"/>
    <x v="877"/>
    <x v="11"/>
    <s v="Low"/>
    <n v="3"/>
    <n v="561.65"/>
    <n v="0.04"/>
    <s v="Delivery Truck"/>
    <n v="-264.94"/>
    <n v="180.98"/>
    <n v="30"/>
    <x v="245"/>
    <x v="6"/>
    <x v="5"/>
    <x v="3"/>
    <x v="2"/>
    <x v="14"/>
    <x v="741"/>
    <s v="Jumbo Drum"/>
    <n v="0.69"/>
    <d v="2009-11-30T00:00:00"/>
    <n v="0"/>
    <n v="0"/>
    <n v="0.25"/>
    <n v="0.25"/>
  </r>
  <r>
    <n v="1698"/>
    <n v="12258"/>
    <x v="877"/>
    <x v="11"/>
    <s v="Low"/>
    <n v="2"/>
    <n v="55.6"/>
    <n v="0.06"/>
    <s v="Regular Air"/>
    <n v="-52.54"/>
    <n v="3.25"/>
    <n v="49"/>
    <x v="245"/>
    <x v="6"/>
    <x v="5"/>
    <x v="3"/>
    <x v="0"/>
    <x v="1"/>
    <x v="933"/>
    <s v="Large Box"/>
    <n v="0.56000000000000005"/>
    <d v="2009-12-05T00:00:00"/>
    <n v="0"/>
    <n v="0"/>
    <n v="0.25"/>
    <n v="0.25"/>
  </r>
  <r>
    <n v="1699"/>
    <n v="12258"/>
    <x v="877"/>
    <x v="11"/>
    <s v="Low"/>
    <n v="22"/>
    <n v="2431.13"/>
    <n v="0.01"/>
    <s v="Regular Air"/>
    <n v="660.63"/>
    <n v="110.98"/>
    <n v="13.99"/>
    <x v="245"/>
    <x v="6"/>
    <x v="5"/>
    <x v="3"/>
    <x v="2"/>
    <x v="4"/>
    <x v="423"/>
    <s v="Medium Box"/>
    <n v="0.69"/>
    <d v="2009-12-04T00:00:00"/>
    <n v="0"/>
    <n v="0"/>
    <n v="0.25"/>
    <n v="0.25"/>
  </r>
  <r>
    <n v="1700"/>
    <n v="12258"/>
    <x v="877"/>
    <x v="11"/>
    <s v="Low"/>
    <n v="27"/>
    <n v="113.4"/>
    <n v="0.05"/>
    <s v="Express Air"/>
    <n v="-5.0199999999999996"/>
    <n v="3.95"/>
    <n v="2"/>
    <x v="245"/>
    <x v="6"/>
    <x v="5"/>
    <x v="3"/>
    <x v="0"/>
    <x v="6"/>
    <x v="11"/>
    <s v="Wrap Bag"/>
    <n v="0.53"/>
    <d v="2009-12-07T00:00:00"/>
    <n v="0"/>
    <n v="0"/>
    <n v="0.25"/>
    <n v="0.25"/>
  </r>
  <r>
    <n v="1709"/>
    <n v="12263"/>
    <x v="878"/>
    <x v="2"/>
    <s v="High"/>
    <n v="12"/>
    <n v="515.65"/>
    <n v="0"/>
    <s v="Regular Air"/>
    <n v="123.5"/>
    <n v="39.479999999999997"/>
    <n v="3.99"/>
    <x v="272"/>
    <x v="6"/>
    <x v="5"/>
    <x v="2"/>
    <x v="0"/>
    <x v="1"/>
    <x v="951"/>
    <s v="Small Box"/>
    <n v="0.56000000000000005"/>
    <d v="2011-07-06T00:00:00"/>
    <n v="0"/>
    <n v="0"/>
    <n v="1"/>
    <n v="1"/>
  </r>
  <r>
    <n v="1752"/>
    <n v="12551"/>
    <x v="246"/>
    <x v="8"/>
    <s v="Low"/>
    <n v="46"/>
    <n v="5023.2534999999998"/>
    <n v="0.01"/>
    <s v="Regular Air"/>
    <n v="1665.2249999999999"/>
    <n v="125.99"/>
    <n v="5.26"/>
    <x v="273"/>
    <x v="6"/>
    <x v="5"/>
    <x v="0"/>
    <x v="1"/>
    <x v="3"/>
    <x v="816"/>
    <s v="Small Box"/>
    <n v="0.55000000000000004"/>
    <d v="2012-06-18T00:00:00"/>
    <n v="0"/>
    <n v="0"/>
    <n v="1"/>
    <n v="1"/>
  </r>
  <r>
    <n v="1778"/>
    <n v="12736"/>
    <x v="28"/>
    <x v="14"/>
    <s v="Low"/>
    <n v="2"/>
    <n v="25.52"/>
    <n v="0.01"/>
    <s v="Regular Air"/>
    <n v="21.77"/>
    <n v="9.65"/>
    <n v="6.22"/>
    <x v="240"/>
    <x v="6"/>
    <x v="5"/>
    <x v="0"/>
    <x v="2"/>
    <x v="4"/>
    <x v="50"/>
    <s v="Small Box"/>
    <n v="0.55000000000000004"/>
    <d v="2010-03-15T00:00:00"/>
    <n v="0"/>
    <n v="0"/>
    <n v="1"/>
    <n v="1"/>
  </r>
  <r>
    <n v="1780"/>
    <n v="12768"/>
    <x v="693"/>
    <x v="46"/>
    <s v="Critical"/>
    <n v="34"/>
    <n v="1562.97"/>
    <n v="0.01"/>
    <s v="Express Air"/>
    <n v="501.59"/>
    <n v="42.98"/>
    <n v="4.62"/>
    <x v="245"/>
    <x v="6"/>
    <x v="5"/>
    <x v="2"/>
    <x v="0"/>
    <x v="1"/>
    <x v="667"/>
    <s v="Small Box"/>
    <n v="0.56000000000000005"/>
    <d v="2009-04-10T00:00:00"/>
    <n v="0"/>
    <n v="0"/>
    <n v="1"/>
    <n v="0.5"/>
  </r>
  <r>
    <n v="1792"/>
    <n v="12837"/>
    <x v="727"/>
    <x v="45"/>
    <s v="Medium"/>
    <n v="22"/>
    <n v="66.19"/>
    <n v="0.02"/>
    <s v="Regular Air"/>
    <n v="15.84"/>
    <n v="2.88"/>
    <n v="0.99"/>
    <x v="274"/>
    <x v="6"/>
    <x v="5"/>
    <x v="3"/>
    <x v="0"/>
    <x v="11"/>
    <x v="184"/>
    <s v="Small Box"/>
    <n v="0.36"/>
    <d v="2012-12-03T00:00:00"/>
    <n v="0"/>
    <n v="0"/>
    <n v="0.5"/>
    <n v="0.5"/>
  </r>
  <r>
    <n v="1799"/>
    <n v="12897"/>
    <x v="514"/>
    <x v="2"/>
    <s v="Not Specified"/>
    <n v="39"/>
    <n v="141.49"/>
    <n v="0.03"/>
    <s v="Regular Air"/>
    <n v="59.92"/>
    <n v="3.69"/>
    <n v="0.5"/>
    <x v="253"/>
    <x v="6"/>
    <x v="5"/>
    <x v="2"/>
    <x v="0"/>
    <x v="11"/>
    <x v="98"/>
    <s v="Small Box"/>
    <n v="0.38"/>
    <d v="2011-07-19T00:00:00"/>
    <n v="0"/>
    <n v="0"/>
    <n v="0.5"/>
    <n v="0.5"/>
  </r>
  <r>
    <n v="1800"/>
    <n v="12897"/>
    <x v="514"/>
    <x v="2"/>
    <s v="Not Specified"/>
    <n v="31"/>
    <n v="211.55"/>
    <n v="0.05"/>
    <s v="Express Air"/>
    <n v="-120.95"/>
    <n v="6.48"/>
    <n v="7.91"/>
    <x v="253"/>
    <x v="6"/>
    <x v="5"/>
    <x v="2"/>
    <x v="0"/>
    <x v="5"/>
    <x v="952"/>
    <s v="Small Box"/>
    <n v="0.37"/>
    <d v="2011-07-19T00:00:00"/>
    <n v="0"/>
    <n v="0"/>
    <n v="0.5"/>
    <n v="0.5"/>
  </r>
  <r>
    <n v="1817"/>
    <n v="13030"/>
    <x v="99"/>
    <x v="36"/>
    <s v="Medium"/>
    <n v="32"/>
    <n v="136.19999999999999"/>
    <n v="0.09"/>
    <s v="Express Air"/>
    <n v="-154.30700000000002"/>
    <n v="3.89"/>
    <n v="7.01"/>
    <x v="260"/>
    <x v="6"/>
    <x v="5"/>
    <x v="3"/>
    <x v="0"/>
    <x v="2"/>
    <x v="35"/>
    <s v="Small Box"/>
    <n v="0.37"/>
    <d v="2009-07-24T00:00:00"/>
    <n v="0"/>
    <n v="0"/>
    <n v="1"/>
    <n v="0.5"/>
  </r>
  <r>
    <n v="1823"/>
    <n v="13091"/>
    <x v="879"/>
    <x v="11"/>
    <s v="Medium"/>
    <n v="12"/>
    <n v="81.430000000000007"/>
    <n v="0.08"/>
    <s v="Regular Air"/>
    <n v="-44.66"/>
    <n v="6.48"/>
    <n v="7.03"/>
    <x v="275"/>
    <x v="6"/>
    <x v="5"/>
    <x v="2"/>
    <x v="0"/>
    <x v="5"/>
    <x v="72"/>
    <s v="Small Box"/>
    <n v="0.37"/>
    <d v="2009-11-16T00:00:00"/>
    <n v="0"/>
    <n v="0"/>
    <n v="0.5"/>
    <n v="0.5"/>
  </r>
  <r>
    <n v="1824"/>
    <n v="13091"/>
    <x v="879"/>
    <x v="11"/>
    <s v="Medium"/>
    <n v="39"/>
    <n v="883.15"/>
    <n v="0.01"/>
    <s v="Regular Air"/>
    <n v="-1148.19"/>
    <n v="20.34"/>
    <n v="35"/>
    <x v="275"/>
    <x v="6"/>
    <x v="5"/>
    <x v="2"/>
    <x v="0"/>
    <x v="0"/>
    <x v="540"/>
    <s v="Large Box"/>
    <n v="0.84"/>
    <d v="2009-11-16T00:00:00"/>
    <n v="0"/>
    <n v="0"/>
    <n v="0.5"/>
    <n v="0.5"/>
  </r>
  <r>
    <n v="1862"/>
    <n v="13383"/>
    <x v="880"/>
    <x v="8"/>
    <s v="Not Specified"/>
    <n v="35"/>
    <n v="750.03"/>
    <n v="7.0000000000000007E-2"/>
    <s v="Regular Air"/>
    <n v="-1072.97"/>
    <n v="20.34"/>
    <n v="35"/>
    <x v="243"/>
    <x v="6"/>
    <x v="5"/>
    <x v="1"/>
    <x v="0"/>
    <x v="0"/>
    <x v="540"/>
    <s v="Large Box"/>
    <n v="0.84"/>
    <d v="2012-06-17T00:00:00"/>
    <n v="0"/>
    <n v="0"/>
    <n v="1"/>
    <n v="1"/>
  </r>
  <r>
    <n v="1867"/>
    <n v="13440"/>
    <x v="0"/>
    <x v="0"/>
    <s v="Not Specified"/>
    <n v="22"/>
    <n v="971.82"/>
    <n v="7.0000000000000007E-2"/>
    <s v="Regular Air"/>
    <n v="326.39"/>
    <n v="43.98"/>
    <n v="1.99"/>
    <x v="276"/>
    <x v="6"/>
    <x v="5"/>
    <x v="1"/>
    <x v="1"/>
    <x v="7"/>
    <x v="138"/>
    <s v="Small Pack"/>
    <n v="0.44"/>
    <d v="2010-10-15T00:00:00"/>
    <n v="0"/>
    <n v="0"/>
    <n v="1"/>
    <n v="1"/>
  </r>
  <r>
    <n v="1874"/>
    <n v="13479"/>
    <x v="881"/>
    <x v="47"/>
    <s v="High"/>
    <n v="3"/>
    <n v="292.95999999999998"/>
    <n v="0.09"/>
    <s v="Regular Air"/>
    <n v="-322.95"/>
    <n v="99.99"/>
    <n v="19.989999999999998"/>
    <x v="262"/>
    <x v="6"/>
    <x v="5"/>
    <x v="1"/>
    <x v="1"/>
    <x v="7"/>
    <x v="218"/>
    <s v="Small Box"/>
    <n v="0.52"/>
    <d v="2009-12-06T00:00:00"/>
    <n v="0"/>
    <n v="0"/>
    <n v="0.5"/>
    <n v="0.5"/>
  </r>
  <r>
    <n v="1875"/>
    <n v="13479"/>
    <x v="881"/>
    <x v="47"/>
    <s v="High"/>
    <n v="13"/>
    <n v="2206.991"/>
    <n v="0.04"/>
    <s v="Regular Air"/>
    <n v="-1.6280000000000201"/>
    <n v="205.99"/>
    <n v="5.26"/>
    <x v="262"/>
    <x v="6"/>
    <x v="5"/>
    <x v="1"/>
    <x v="1"/>
    <x v="3"/>
    <x v="211"/>
    <s v="Small Box"/>
    <n v="0.56000000000000005"/>
    <d v="2009-12-05T00:00:00"/>
    <n v="0"/>
    <n v="0"/>
    <n v="0.5"/>
    <n v="0.5"/>
  </r>
  <r>
    <n v="1903"/>
    <n v="13633"/>
    <x v="882"/>
    <x v="13"/>
    <s v="Not Specified"/>
    <n v="18"/>
    <n v="2703.37"/>
    <n v="0.09"/>
    <s v="Delivery Truck"/>
    <n v="-231.6"/>
    <n v="150.97999999999999"/>
    <n v="57.2"/>
    <x v="250"/>
    <x v="6"/>
    <x v="5"/>
    <x v="2"/>
    <x v="2"/>
    <x v="14"/>
    <x v="953"/>
    <s v="Jumbo Drum"/>
    <n v="0.59"/>
    <d v="2012-04-04T00:00:00"/>
    <n v="0"/>
    <n v="0"/>
    <n v="0.5"/>
    <n v="0.5"/>
  </r>
  <r>
    <n v="1904"/>
    <n v="13633"/>
    <x v="882"/>
    <x v="13"/>
    <s v="Not Specified"/>
    <n v="39"/>
    <n v="1538.17"/>
    <n v="0.02"/>
    <s v="Regular Air"/>
    <n v="-1119.6400000000001"/>
    <n v="38.94"/>
    <n v="35"/>
    <x v="250"/>
    <x v="6"/>
    <x v="5"/>
    <x v="2"/>
    <x v="0"/>
    <x v="0"/>
    <x v="0"/>
    <s v="Large Box"/>
    <n v="0.8"/>
    <d v="2012-04-04T00:00:00"/>
    <n v="0"/>
    <n v="0"/>
    <n v="0.5"/>
    <n v="0.5"/>
  </r>
  <r>
    <n v="1917"/>
    <n v="13735"/>
    <x v="883"/>
    <x v="43"/>
    <s v="Medium"/>
    <n v="36"/>
    <n v="281.70999999999998"/>
    <n v="0.02"/>
    <s v="Regular Air"/>
    <n v="117.38"/>
    <n v="7.64"/>
    <n v="1.39"/>
    <x v="253"/>
    <x v="6"/>
    <x v="5"/>
    <x v="3"/>
    <x v="0"/>
    <x v="8"/>
    <x v="181"/>
    <s v="Small Box"/>
    <n v="0.36"/>
    <d v="2009-05-23T00:00:00"/>
    <n v="0"/>
    <n v="0"/>
    <n v="1"/>
    <n v="1"/>
  </r>
  <r>
    <n v="1935"/>
    <n v="13861"/>
    <x v="884"/>
    <x v="3"/>
    <s v="High"/>
    <n v="7"/>
    <n v="37.299999999999997"/>
    <n v="0"/>
    <s v="Regular Air"/>
    <n v="5.03"/>
    <n v="4.84"/>
    <n v="0.71"/>
    <x v="277"/>
    <x v="6"/>
    <x v="5"/>
    <x v="2"/>
    <x v="0"/>
    <x v="12"/>
    <x v="486"/>
    <s v="Wrap Bag"/>
    <n v="0.52"/>
    <d v="2010-08-11T00:00:00"/>
    <n v="0"/>
    <n v="0"/>
    <n v="1"/>
    <n v="1"/>
  </r>
  <r>
    <n v="1937"/>
    <n v="13892"/>
    <x v="196"/>
    <x v="13"/>
    <s v="High"/>
    <n v="47"/>
    <n v="1446.97"/>
    <n v="0"/>
    <s v="Regular Air"/>
    <n v="531.47"/>
    <n v="29.89"/>
    <n v="1.99"/>
    <x v="278"/>
    <x v="6"/>
    <x v="5"/>
    <x v="3"/>
    <x v="1"/>
    <x v="7"/>
    <x v="412"/>
    <s v="Small Pack"/>
    <n v="0.5"/>
    <d v="2012-04-28T00:00:00"/>
    <n v="0"/>
    <n v="0"/>
    <n v="1"/>
    <n v="1"/>
  </r>
  <r>
    <n v="1962"/>
    <n v="14023"/>
    <x v="773"/>
    <x v="6"/>
    <s v="Not Specified"/>
    <n v="36"/>
    <n v="711.1"/>
    <n v="0.08"/>
    <s v="Regular Air"/>
    <n v="241.077"/>
    <n v="21.38"/>
    <n v="2.99"/>
    <x v="253"/>
    <x v="6"/>
    <x v="5"/>
    <x v="2"/>
    <x v="0"/>
    <x v="2"/>
    <x v="954"/>
    <s v="Small Box"/>
    <n v="0.36"/>
    <d v="2010-02-22T00:00:00"/>
    <n v="0"/>
    <n v="0"/>
    <n v="0.5"/>
    <n v="0.5"/>
  </r>
  <r>
    <n v="1963"/>
    <n v="14023"/>
    <x v="773"/>
    <x v="6"/>
    <s v="Not Specified"/>
    <n v="48"/>
    <n v="498.16"/>
    <n v="0.03"/>
    <s v="Regular Air"/>
    <n v="40.61"/>
    <n v="9.99"/>
    <n v="5.12"/>
    <x v="253"/>
    <x v="6"/>
    <x v="5"/>
    <x v="2"/>
    <x v="0"/>
    <x v="5"/>
    <x v="939"/>
    <s v="Small Box"/>
    <n v="0.4"/>
    <d v="2010-02-21T00:00:00"/>
    <n v="0"/>
    <n v="0"/>
    <n v="0.5"/>
    <n v="0.5"/>
  </r>
  <r>
    <n v="1976"/>
    <n v="14115"/>
    <x v="691"/>
    <x v="26"/>
    <s v="Not Specified"/>
    <n v="24"/>
    <n v="158.78"/>
    <n v="0.04"/>
    <s v="Regular Air"/>
    <n v="-38.380000000000003"/>
    <n v="6.28"/>
    <n v="5.41"/>
    <x v="276"/>
    <x v="6"/>
    <x v="5"/>
    <x v="1"/>
    <x v="2"/>
    <x v="4"/>
    <x v="374"/>
    <s v="Small Box"/>
    <n v="0.53"/>
    <d v="2009-08-16T00:00:00"/>
    <n v="0"/>
    <n v="0"/>
    <n v="0.5"/>
    <n v="0.5"/>
  </r>
  <r>
    <n v="1977"/>
    <n v="14115"/>
    <x v="691"/>
    <x v="26"/>
    <s v="Not Specified"/>
    <n v="46"/>
    <n v="3296.0619999999999"/>
    <n v="0.06"/>
    <s v="Regular Air"/>
    <n v="591.91199999999992"/>
    <n v="85.99"/>
    <n v="10.78"/>
    <x v="276"/>
    <x v="6"/>
    <x v="5"/>
    <x v="1"/>
    <x v="1"/>
    <x v="3"/>
    <x v="912"/>
    <s v="Small Box"/>
    <n v="0.57999999999999996"/>
    <d v="2009-08-16T00:00:00"/>
    <n v="0"/>
    <n v="0"/>
    <n v="0.5"/>
    <n v="0.5"/>
  </r>
  <r>
    <n v="1984"/>
    <n v="14147"/>
    <x v="239"/>
    <x v="14"/>
    <s v="Not Specified"/>
    <n v="8"/>
    <n v="351.49"/>
    <n v="0.03"/>
    <s v="Regular Air"/>
    <n v="107.321"/>
    <n v="41.94"/>
    <n v="2.99"/>
    <x v="279"/>
    <x v="6"/>
    <x v="5"/>
    <x v="3"/>
    <x v="0"/>
    <x v="2"/>
    <x v="246"/>
    <s v="Small Box"/>
    <n v="0.35"/>
    <d v="2010-03-10T00:00:00"/>
    <n v="0"/>
    <n v="0"/>
    <n v="0.33333333333333331"/>
    <n v="0.33333333333333331"/>
  </r>
  <r>
    <n v="1985"/>
    <n v="14147"/>
    <x v="239"/>
    <x v="14"/>
    <s v="Not Specified"/>
    <n v="16"/>
    <n v="74.13"/>
    <n v="0.08"/>
    <s v="Regular Air"/>
    <n v="-69.34"/>
    <n v="4.28"/>
    <n v="6.72"/>
    <x v="279"/>
    <x v="6"/>
    <x v="5"/>
    <x v="3"/>
    <x v="0"/>
    <x v="5"/>
    <x v="777"/>
    <s v="Small Box"/>
    <n v="0.4"/>
    <d v="2010-03-08T00:00:00"/>
    <n v="0"/>
    <n v="0"/>
    <n v="0.33333333333333331"/>
    <n v="0.33333333333333331"/>
  </r>
  <r>
    <n v="1986"/>
    <n v="14147"/>
    <x v="239"/>
    <x v="14"/>
    <s v="Not Specified"/>
    <n v="45"/>
    <n v="195.03"/>
    <n v="0.09"/>
    <s v="Regular Air"/>
    <n v="-148.87"/>
    <n v="4.28"/>
    <n v="5.74"/>
    <x v="279"/>
    <x v="6"/>
    <x v="5"/>
    <x v="3"/>
    <x v="0"/>
    <x v="5"/>
    <x v="501"/>
    <s v="Small Box"/>
    <n v="0.4"/>
    <d v="2010-03-09T00:00:00"/>
    <n v="0"/>
    <n v="0"/>
    <n v="0.33333333333333331"/>
    <n v="0.33333333333333331"/>
  </r>
  <r>
    <n v="1990"/>
    <n v="14211"/>
    <x v="630"/>
    <x v="40"/>
    <s v="Not Specified"/>
    <n v="22"/>
    <n v="3220.58"/>
    <n v="0.04"/>
    <s v="Regular Air"/>
    <n v="1046.69"/>
    <n v="150.97999999999999"/>
    <n v="13.99"/>
    <x v="278"/>
    <x v="6"/>
    <x v="5"/>
    <x v="3"/>
    <x v="1"/>
    <x v="16"/>
    <x v="221"/>
    <s v="Medium Box"/>
    <n v="0.38"/>
    <d v="2009-02-15T00:00:00"/>
    <n v="0"/>
    <n v="0"/>
    <n v="0.5"/>
    <n v="0.5"/>
  </r>
  <r>
    <n v="1991"/>
    <n v="14211"/>
    <x v="630"/>
    <x v="40"/>
    <s v="Not Specified"/>
    <n v="14"/>
    <n v="2367.9899999999998"/>
    <n v="0.04"/>
    <s v="Regular Air"/>
    <n v="320.10000000000002"/>
    <n v="176.19"/>
    <n v="11.87"/>
    <x v="278"/>
    <x v="6"/>
    <x v="5"/>
    <x v="3"/>
    <x v="0"/>
    <x v="0"/>
    <x v="955"/>
    <s v="Small Box"/>
    <n v="0.62"/>
    <d v="2009-02-14T00:00:00"/>
    <n v="0"/>
    <n v="0"/>
    <n v="0.5"/>
    <n v="0.5"/>
  </r>
  <r>
    <n v="2011"/>
    <n v="14368"/>
    <x v="85"/>
    <x v="31"/>
    <s v="High"/>
    <n v="5"/>
    <n v="522.05999999999995"/>
    <n v="0.06"/>
    <s v="Regular Air"/>
    <n v="319.64"/>
    <n v="105.98"/>
    <n v="13.99"/>
    <x v="169"/>
    <x v="6"/>
    <x v="5"/>
    <x v="1"/>
    <x v="2"/>
    <x v="4"/>
    <x v="134"/>
    <s v="Medium Box"/>
    <n v="0.65"/>
    <d v="2011-09-11T00:00:00"/>
    <n v="0"/>
    <n v="0"/>
    <n v="0.5"/>
    <n v="0.25"/>
  </r>
  <r>
    <n v="2012"/>
    <n v="14368"/>
    <x v="85"/>
    <x v="31"/>
    <s v="High"/>
    <n v="37"/>
    <n v="1218.08"/>
    <n v="0.1"/>
    <s v="Regular Air"/>
    <n v="99.79"/>
    <n v="34.58"/>
    <n v="8.99"/>
    <x v="169"/>
    <x v="6"/>
    <x v="5"/>
    <x v="1"/>
    <x v="0"/>
    <x v="12"/>
    <x v="555"/>
    <s v="Small Pack"/>
    <n v="0.56000000000000005"/>
    <d v="2011-09-12T00:00:00"/>
    <n v="0"/>
    <n v="0"/>
    <n v="0.5"/>
    <n v="0.25"/>
  </r>
  <r>
    <n v="2045"/>
    <n v="14596"/>
    <x v="651"/>
    <x v="22"/>
    <s v="Critical"/>
    <n v="24"/>
    <n v="199.12"/>
    <n v="0.01"/>
    <s v="Regular Air"/>
    <n v="73.33"/>
    <n v="8.34"/>
    <n v="0.96"/>
    <x v="269"/>
    <x v="6"/>
    <x v="5"/>
    <x v="2"/>
    <x v="2"/>
    <x v="4"/>
    <x v="956"/>
    <s v="Wrap Bag"/>
    <n v="0.43"/>
    <d v="2009-01-12T00:00:00"/>
    <n v="0"/>
    <n v="1"/>
    <n v="0.5"/>
    <n v="0.5"/>
  </r>
  <r>
    <n v="2046"/>
    <n v="14596"/>
    <x v="651"/>
    <x v="22"/>
    <s v="Critical"/>
    <n v="19"/>
    <n v="63.14"/>
    <n v="0.06"/>
    <s v="Regular Air"/>
    <n v="-53.75"/>
    <n v="3.28"/>
    <n v="3.97"/>
    <x v="269"/>
    <x v="6"/>
    <x v="5"/>
    <x v="2"/>
    <x v="0"/>
    <x v="12"/>
    <x v="431"/>
    <s v="Wrap Bag"/>
    <n v="0.56000000000000005"/>
    <d v="2009-01-11T00:00:00"/>
    <n v="0"/>
    <n v="1"/>
    <n v="0.5"/>
    <n v="0.5"/>
  </r>
  <r>
    <n v="2055"/>
    <n v="14693"/>
    <x v="552"/>
    <x v="16"/>
    <s v="Critical"/>
    <n v="39"/>
    <n v="268.94"/>
    <n v="0.02"/>
    <s v="Regular Air"/>
    <n v="-87.52"/>
    <n v="6.48"/>
    <n v="6.41"/>
    <x v="269"/>
    <x v="6"/>
    <x v="5"/>
    <x v="2"/>
    <x v="0"/>
    <x v="5"/>
    <x v="957"/>
    <s v="Small Box"/>
    <n v="0.37"/>
    <d v="2011-01-11T00:00:00"/>
    <n v="0"/>
    <n v="0"/>
    <n v="0.5"/>
    <n v="0.5"/>
  </r>
  <r>
    <n v="2056"/>
    <n v="14693"/>
    <x v="552"/>
    <x v="16"/>
    <s v="Critical"/>
    <n v="38"/>
    <n v="847.82"/>
    <n v="0.05"/>
    <s v="Delivery Truck"/>
    <n v="-1348.5"/>
    <n v="20.98"/>
    <n v="45"/>
    <x v="269"/>
    <x v="6"/>
    <x v="5"/>
    <x v="2"/>
    <x v="0"/>
    <x v="0"/>
    <x v="436"/>
    <s v="Jumbo Drum"/>
    <n v="0.61"/>
    <d v="2011-01-11T00:00:00"/>
    <n v="0"/>
    <n v="0"/>
    <n v="0.5"/>
    <n v="0.5"/>
  </r>
  <r>
    <n v="2057"/>
    <n v="14695"/>
    <x v="406"/>
    <x v="34"/>
    <s v="High"/>
    <n v="40"/>
    <n v="1992.45"/>
    <n v="0.05"/>
    <s v="Delivery Truck"/>
    <n v="-1609.92"/>
    <n v="48.58"/>
    <n v="54.11"/>
    <x v="246"/>
    <x v="6"/>
    <x v="5"/>
    <x v="2"/>
    <x v="2"/>
    <x v="9"/>
    <x v="133"/>
    <s v="Jumbo Box"/>
    <n v="0.69"/>
    <d v="2012-09-06T00:00:00"/>
    <n v="0"/>
    <n v="0"/>
    <n v="1"/>
    <n v="1"/>
  </r>
  <r>
    <n v="2073"/>
    <n v="14823"/>
    <x v="630"/>
    <x v="40"/>
    <s v="Low"/>
    <n v="15"/>
    <n v="103.62"/>
    <n v="0.1"/>
    <s v="Regular Air"/>
    <n v="39.979999999999997"/>
    <n v="7.31"/>
    <n v="0.49"/>
    <x v="280"/>
    <x v="6"/>
    <x v="5"/>
    <x v="0"/>
    <x v="0"/>
    <x v="11"/>
    <x v="31"/>
    <s v="Small Box"/>
    <n v="0.38"/>
    <d v="2009-02-21T00:00:00"/>
    <n v="0"/>
    <n v="0"/>
    <n v="0.5"/>
    <n v="0.5"/>
  </r>
  <r>
    <n v="2074"/>
    <n v="14823"/>
    <x v="630"/>
    <x v="40"/>
    <s v="Low"/>
    <n v="20"/>
    <n v="124.84"/>
    <n v="0.08"/>
    <s v="Regular Air"/>
    <n v="10.56"/>
    <n v="6.7"/>
    <n v="1.56"/>
    <x v="280"/>
    <x v="6"/>
    <x v="5"/>
    <x v="0"/>
    <x v="0"/>
    <x v="12"/>
    <x v="152"/>
    <s v="Wrap Bag"/>
    <n v="0.52"/>
    <d v="2009-02-12T00:00:00"/>
    <n v="0"/>
    <n v="0"/>
    <n v="0.5"/>
    <n v="0.5"/>
  </r>
  <r>
    <n v="2101"/>
    <n v="15014"/>
    <x v="813"/>
    <x v="6"/>
    <s v="Medium"/>
    <n v="10"/>
    <n v="633.13"/>
    <n v="0.05"/>
    <s v="Delivery Truck"/>
    <n v="-203.9"/>
    <n v="58.14"/>
    <n v="36.61"/>
    <x v="247"/>
    <x v="6"/>
    <x v="5"/>
    <x v="2"/>
    <x v="2"/>
    <x v="9"/>
    <x v="126"/>
    <s v="Jumbo Box"/>
    <n v="0.61"/>
    <d v="2010-02-13T00:00:00"/>
    <n v="0"/>
    <n v="0"/>
    <n v="1"/>
    <n v="0.5"/>
  </r>
  <r>
    <n v="2213"/>
    <n v="15972"/>
    <x v="885"/>
    <x v="21"/>
    <s v="Not Specified"/>
    <n v="3"/>
    <n v="10.33"/>
    <n v="0.04"/>
    <s v="Regular Air"/>
    <n v="-3.86"/>
    <n v="2.98"/>
    <n v="1.58"/>
    <x v="281"/>
    <x v="6"/>
    <x v="5"/>
    <x v="0"/>
    <x v="0"/>
    <x v="6"/>
    <x v="958"/>
    <s v="Wrap Bag"/>
    <n v="0.39"/>
    <d v="2011-08-09T00:00:00"/>
    <n v="0"/>
    <n v="0"/>
    <n v="0.5"/>
    <n v="0.5"/>
  </r>
  <r>
    <n v="2214"/>
    <n v="15972"/>
    <x v="885"/>
    <x v="21"/>
    <s v="Not Specified"/>
    <n v="2"/>
    <n v="14.39"/>
    <n v="7.0000000000000007E-2"/>
    <s v="Regular Air"/>
    <n v="-10.24"/>
    <n v="5.81"/>
    <n v="3.37"/>
    <x v="281"/>
    <x v="6"/>
    <x v="5"/>
    <x v="0"/>
    <x v="0"/>
    <x v="6"/>
    <x v="622"/>
    <s v="Wrap Bag"/>
    <n v="0.54"/>
    <d v="2011-08-10T00:00:00"/>
    <n v="0"/>
    <n v="0"/>
    <n v="0.5"/>
    <n v="0.5"/>
  </r>
  <r>
    <n v="2222"/>
    <n v="16065"/>
    <x v="533"/>
    <x v="42"/>
    <s v="High"/>
    <n v="15"/>
    <n v="6933.45"/>
    <n v="0.04"/>
    <s v="Delivery Truck"/>
    <n v="1200.2049999999999"/>
    <n v="449.99"/>
    <n v="49"/>
    <x v="282"/>
    <x v="6"/>
    <x v="5"/>
    <x v="2"/>
    <x v="1"/>
    <x v="13"/>
    <x v="26"/>
    <s v="Jumbo Drum"/>
    <n v="0.38"/>
    <d v="2010-07-20T00:00:00"/>
    <n v="0"/>
    <n v="0"/>
    <n v="0.5"/>
    <n v="0.5"/>
  </r>
  <r>
    <n v="2223"/>
    <n v="16065"/>
    <x v="533"/>
    <x v="42"/>
    <s v="High"/>
    <n v="14"/>
    <n v="54.99"/>
    <n v="0.06"/>
    <s v="Regular Air"/>
    <n v="8.07"/>
    <n v="4"/>
    <n v="1.3"/>
    <x v="282"/>
    <x v="6"/>
    <x v="5"/>
    <x v="2"/>
    <x v="0"/>
    <x v="5"/>
    <x v="910"/>
    <s v="Wrap Bag"/>
    <n v="0.37"/>
    <d v="2010-07-21T00:00:00"/>
    <n v="0"/>
    <n v="0"/>
    <n v="0.5"/>
    <n v="0.5"/>
  </r>
  <r>
    <n v="2224"/>
    <n v="16096"/>
    <x v="642"/>
    <x v="16"/>
    <s v="High"/>
    <n v="9"/>
    <n v="42.21"/>
    <n v="0"/>
    <s v="Express Air"/>
    <n v="18.21"/>
    <n v="2.88"/>
    <n v="0.99"/>
    <x v="65"/>
    <x v="6"/>
    <x v="5"/>
    <x v="1"/>
    <x v="0"/>
    <x v="11"/>
    <x v="184"/>
    <s v="Small Box"/>
    <n v="0.36"/>
    <d v="2011-01-20T00:00:00"/>
    <n v="0"/>
    <n v="0"/>
    <n v="1"/>
    <n v="1"/>
  </r>
  <r>
    <n v="2236"/>
    <n v="16160"/>
    <x v="188"/>
    <x v="2"/>
    <s v="Critical"/>
    <n v="50"/>
    <n v="514.86"/>
    <n v="0.09"/>
    <s v="Regular Air"/>
    <n v="-53.18"/>
    <n v="10.89"/>
    <n v="4.5"/>
    <x v="283"/>
    <x v="6"/>
    <x v="5"/>
    <x v="3"/>
    <x v="0"/>
    <x v="1"/>
    <x v="225"/>
    <s v="Small Box"/>
    <n v="0.59"/>
    <d v="2011-07-24T00:00:00"/>
    <n v="0"/>
    <n v="0"/>
    <n v="1"/>
    <n v="1"/>
  </r>
  <r>
    <n v="2249"/>
    <n v="16196"/>
    <x v="886"/>
    <x v="19"/>
    <s v="High"/>
    <n v="44"/>
    <n v="14521.39"/>
    <n v="0.03"/>
    <s v="Regular Air"/>
    <n v="5034.1499999999996"/>
    <n v="320.98"/>
    <n v="24.49"/>
    <x v="284"/>
    <x v="6"/>
    <x v="5"/>
    <x v="3"/>
    <x v="2"/>
    <x v="14"/>
    <x v="899"/>
    <s v="Large Box"/>
    <n v="0.55000000000000004"/>
    <d v="2009-10-22T00:00:00"/>
    <n v="0"/>
    <n v="0"/>
    <n v="0.5"/>
    <n v="0.5"/>
  </r>
  <r>
    <n v="2250"/>
    <n v="16196"/>
    <x v="886"/>
    <x v="19"/>
    <s v="High"/>
    <n v="39"/>
    <n v="3925.9714999999997"/>
    <n v="0.06"/>
    <s v="Regular Air"/>
    <n v="671.94900000000007"/>
    <n v="125.99"/>
    <n v="8.8000000000000007"/>
    <x v="284"/>
    <x v="6"/>
    <x v="5"/>
    <x v="3"/>
    <x v="1"/>
    <x v="3"/>
    <x v="626"/>
    <s v="Small Box"/>
    <n v="0.59"/>
    <d v="2009-10-21T00:00:00"/>
    <n v="0"/>
    <n v="0"/>
    <n v="0.5"/>
    <n v="0.5"/>
  </r>
  <r>
    <n v="2268"/>
    <n v="16291"/>
    <x v="274"/>
    <x v="37"/>
    <s v="Not Specified"/>
    <n v="31"/>
    <n v="894.64"/>
    <n v="0.01"/>
    <s v="Regular Air"/>
    <n v="-27.79"/>
    <n v="27.42"/>
    <n v="19.46"/>
    <x v="259"/>
    <x v="6"/>
    <x v="5"/>
    <x v="1"/>
    <x v="2"/>
    <x v="4"/>
    <x v="786"/>
    <s v="Small Box"/>
    <n v="0.44"/>
    <d v="2011-04-09T00:00:00"/>
    <n v="0"/>
    <n v="0"/>
    <n v="1"/>
    <n v="1"/>
  </r>
  <r>
    <n v="2292"/>
    <n v="16519"/>
    <x v="887"/>
    <x v="4"/>
    <s v="Medium"/>
    <n v="39"/>
    <n v="158.97"/>
    <n v="0.08"/>
    <s v="Regular Air"/>
    <n v="-30.268000000000001"/>
    <n v="4.18"/>
    <n v="2.99"/>
    <x v="250"/>
    <x v="6"/>
    <x v="5"/>
    <x v="0"/>
    <x v="0"/>
    <x v="2"/>
    <x v="841"/>
    <s v="Small Box"/>
    <n v="0.37"/>
    <d v="2011-06-12T00:00:00"/>
    <n v="0"/>
    <n v="0"/>
    <n v="0.5"/>
    <n v="0.5"/>
  </r>
  <r>
    <n v="2293"/>
    <n v="16519"/>
    <x v="887"/>
    <x v="4"/>
    <s v="Medium"/>
    <n v="49"/>
    <n v="138.96"/>
    <n v="0.03"/>
    <s v="Regular Air"/>
    <n v="19.87"/>
    <n v="2.88"/>
    <n v="0.7"/>
    <x v="250"/>
    <x v="6"/>
    <x v="5"/>
    <x v="0"/>
    <x v="0"/>
    <x v="12"/>
    <x v="808"/>
    <s v="Wrap Bag"/>
    <n v="0.56000000000000005"/>
    <d v="2011-06-12T00:00:00"/>
    <n v="0"/>
    <n v="0"/>
    <n v="0.5"/>
    <n v="0.5"/>
  </r>
  <r>
    <n v="2298"/>
    <n v="16548"/>
    <x v="888"/>
    <x v="12"/>
    <s v="Not Specified"/>
    <n v="22"/>
    <n v="75.19"/>
    <n v="0.06"/>
    <s v="Regular Air"/>
    <n v="-59.12"/>
    <n v="3.28"/>
    <n v="3.97"/>
    <x v="263"/>
    <x v="6"/>
    <x v="5"/>
    <x v="1"/>
    <x v="2"/>
    <x v="4"/>
    <x v="791"/>
    <s v="Large Box"/>
    <n v="0.57999999999999996"/>
    <d v="2012-02-07T00:00:00"/>
    <n v="0"/>
    <n v="0"/>
    <n v="0.5"/>
    <n v="1"/>
  </r>
  <r>
    <n v="2306"/>
    <n v="16613"/>
    <x v="267"/>
    <x v="15"/>
    <s v="High"/>
    <n v="28"/>
    <n v="51.14"/>
    <n v="0.08"/>
    <s v="Regular Air"/>
    <n v="-81.96"/>
    <n v="1.74"/>
    <n v="4.08"/>
    <x v="260"/>
    <x v="6"/>
    <x v="5"/>
    <x v="3"/>
    <x v="2"/>
    <x v="4"/>
    <x v="331"/>
    <s v="Small Pack"/>
    <n v="0.53"/>
    <d v="2010-12-26T00:00:00"/>
    <n v="0"/>
    <n v="0"/>
    <n v="1"/>
    <n v="1"/>
  </r>
  <r>
    <n v="2326"/>
    <n v="16771"/>
    <x v="769"/>
    <x v="35"/>
    <s v="High"/>
    <n v="42"/>
    <n v="1737.06"/>
    <n v="0.02"/>
    <s v="Regular Air"/>
    <n v="339.17"/>
    <n v="39.979999999999997"/>
    <n v="9.1999999999999993"/>
    <x v="272"/>
    <x v="6"/>
    <x v="5"/>
    <x v="2"/>
    <x v="2"/>
    <x v="4"/>
    <x v="131"/>
    <s v="Wrap Bag"/>
    <n v="0.65"/>
    <d v="2009-09-30T00:00:00"/>
    <n v="0"/>
    <n v="0"/>
    <n v="1"/>
    <n v="1"/>
  </r>
  <r>
    <n v="2331"/>
    <n v="16804"/>
    <x v="276"/>
    <x v="33"/>
    <s v="High"/>
    <n v="46"/>
    <n v="2430.34"/>
    <n v="0.08"/>
    <s v="Regular Air"/>
    <n v="752.87"/>
    <n v="55.98"/>
    <n v="13.88"/>
    <x v="248"/>
    <x v="6"/>
    <x v="5"/>
    <x v="1"/>
    <x v="0"/>
    <x v="5"/>
    <x v="296"/>
    <s v="Small Box"/>
    <n v="0.36"/>
    <d v="2012-03-12T00:00:00"/>
    <n v="0"/>
    <n v="0"/>
    <n v="0.5"/>
    <n v="0.5"/>
  </r>
  <r>
    <n v="2332"/>
    <n v="16804"/>
    <x v="276"/>
    <x v="33"/>
    <s v="High"/>
    <n v="36"/>
    <n v="218.6"/>
    <n v="0.05"/>
    <s v="Express Air"/>
    <n v="-46.43"/>
    <n v="5.78"/>
    <n v="4.96"/>
    <x v="248"/>
    <x v="6"/>
    <x v="5"/>
    <x v="1"/>
    <x v="0"/>
    <x v="5"/>
    <x v="572"/>
    <s v="Small Box"/>
    <n v="0.36"/>
    <d v="2012-03-11T00:00:00"/>
    <n v="0"/>
    <n v="0"/>
    <n v="0.5"/>
    <n v="0.5"/>
  </r>
  <r>
    <n v="2358"/>
    <n v="17024"/>
    <x v="871"/>
    <x v="19"/>
    <s v="Medium"/>
    <n v="31"/>
    <n v="1401.75"/>
    <n v="0.02"/>
    <s v="Regular Air"/>
    <n v="426.44"/>
    <n v="42.98"/>
    <n v="4.62"/>
    <x v="238"/>
    <x v="6"/>
    <x v="5"/>
    <x v="2"/>
    <x v="0"/>
    <x v="1"/>
    <x v="667"/>
    <s v="Small Box"/>
    <n v="0.56000000000000005"/>
    <d v="2009-10-15T00:00:00"/>
    <n v="0"/>
    <n v="0"/>
    <n v="1"/>
    <n v="1"/>
  </r>
  <r>
    <n v="2361"/>
    <n v="17061"/>
    <x v="365"/>
    <x v="1"/>
    <s v="Critical"/>
    <n v="28"/>
    <n v="80.53"/>
    <n v="0.01"/>
    <s v="Regular Air"/>
    <n v="10.01"/>
    <n v="2.88"/>
    <n v="0.7"/>
    <x v="169"/>
    <x v="6"/>
    <x v="5"/>
    <x v="1"/>
    <x v="0"/>
    <x v="12"/>
    <x v="808"/>
    <s v="Wrap Bag"/>
    <n v="0.56000000000000005"/>
    <d v="2012-11-01T00:00:00"/>
    <n v="0"/>
    <n v="0"/>
    <n v="1"/>
    <n v="0.5"/>
  </r>
  <r>
    <n v="2367"/>
    <n v="17152"/>
    <x v="133"/>
    <x v="33"/>
    <s v="High"/>
    <n v="32"/>
    <n v="236.45"/>
    <n v="0.06"/>
    <s v="Regular Air"/>
    <n v="-259.02"/>
    <n v="6.98"/>
    <n v="9.69"/>
    <x v="274"/>
    <x v="6"/>
    <x v="5"/>
    <x v="3"/>
    <x v="0"/>
    <x v="0"/>
    <x v="959"/>
    <s v="Small Box"/>
    <n v="0.83"/>
    <d v="2012-03-13T00:00:00"/>
    <n v="0"/>
    <n v="0"/>
    <n v="1"/>
    <n v="1"/>
  </r>
  <r>
    <n v="2373"/>
    <n v="17187"/>
    <x v="889"/>
    <x v="34"/>
    <s v="High"/>
    <n v="4"/>
    <n v="2951.97"/>
    <n v="0.09"/>
    <s v="Delivery Truck"/>
    <n v="-1890.3272999999999"/>
    <n v="810.98"/>
    <n v="16.059999999999999"/>
    <x v="264"/>
    <x v="6"/>
    <x v="5"/>
    <x v="2"/>
    <x v="1"/>
    <x v="16"/>
    <x v="960"/>
    <s v="Jumbo Drum"/>
    <n v="0.56000000000000005"/>
    <d v="2012-09-25T00:00:00"/>
    <n v="0"/>
    <n v="0"/>
    <n v="1"/>
    <n v="1"/>
  </r>
  <r>
    <n v="2378"/>
    <n v="17252"/>
    <x v="355"/>
    <x v="37"/>
    <s v="Not Specified"/>
    <n v="48"/>
    <n v="2283.2199999999998"/>
    <n v="0.03"/>
    <s v="Regular Air"/>
    <n v="1006.72"/>
    <n v="48.91"/>
    <n v="5.97"/>
    <x v="169"/>
    <x v="6"/>
    <x v="5"/>
    <x v="1"/>
    <x v="0"/>
    <x v="5"/>
    <x v="961"/>
    <s v="Small Box"/>
    <n v="0.38"/>
    <d v="2011-04-30T00:00:00"/>
    <n v="0"/>
    <n v="0"/>
    <n v="0.5"/>
    <n v="0.5"/>
  </r>
  <r>
    <n v="2379"/>
    <n v="17252"/>
    <x v="355"/>
    <x v="37"/>
    <s v="Not Specified"/>
    <n v="49"/>
    <n v="11365.616000000002"/>
    <n v="0.08"/>
    <s v="Delivery Truck"/>
    <n v="229.22"/>
    <n v="296.18"/>
    <n v="54.12"/>
    <x v="169"/>
    <x v="6"/>
    <x v="5"/>
    <x v="1"/>
    <x v="2"/>
    <x v="10"/>
    <x v="300"/>
    <s v="Jumbo Box"/>
    <n v="0.76"/>
    <d v="2011-05-01T00:00:00"/>
    <n v="0"/>
    <n v="0"/>
    <n v="0.5"/>
    <n v="0.5"/>
  </r>
  <r>
    <n v="2388"/>
    <n v="17312"/>
    <x v="890"/>
    <x v="10"/>
    <s v="Not Specified"/>
    <n v="37"/>
    <n v="258.54000000000002"/>
    <n v="0.05"/>
    <s v="Regular Air"/>
    <n v="-116.37"/>
    <n v="6.68"/>
    <n v="7.3"/>
    <x v="260"/>
    <x v="6"/>
    <x v="5"/>
    <x v="3"/>
    <x v="0"/>
    <x v="5"/>
    <x v="962"/>
    <s v="Small Box"/>
    <n v="0.37"/>
    <d v="2011-05-21T00:00:00"/>
    <n v="0"/>
    <n v="0"/>
    <n v="0.5"/>
    <n v="0.5"/>
  </r>
  <r>
    <n v="2389"/>
    <n v="17312"/>
    <x v="890"/>
    <x v="10"/>
    <s v="Not Specified"/>
    <n v="41"/>
    <n v="4610.2894999999999"/>
    <n v="0"/>
    <s v="Regular Air"/>
    <n v="1432.8629999999998"/>
    <n v="125.99"/>
    <n v="2.5"/>
    <x v="260"/>
    <x v="6"/>
    <x v="5"/>
    <x v="3"/>
    <x v="1"/>
    <x v="3"/>
    <x v="738"/>
    <s v="Small Box"/>
    <n v="0.6"/>
    <d v="2011-05-21T00:00:00"/>
    <n v="0"/>
    <n v="0"/>
    <n v="0.5"/>
    <n v="0.5"/>
  </r>
  <r>
    <n v="2396"/>
    <n v="17377"/>
    <x v="891"/>
    <x v="17"/>
    <s v="Low"/>
    <n v="39"/>
    <n v="110.38"/>
    <n v="0.05"/>
    <s v="Regular Air"/>
    <n v="-4.8600000000000003"/>
    <n v="2.78"/>
    <n v="1.2"/>
    <x v="239"/>
    <x v="6"/>
    <x v="5"/>
    <x v="2"/>
    <x v="0"/>
    <x v="12"/>
    <x v="148"/>
    <s v="Wrap Bag"/>
    <n v="0.57999999999999996"/>
    <d v="2011-10-30T00:00:00"/>
    <n v="0"/>
    <n v="0"/>
    <n v="1"/>
    <n v="1"/>
  </r>
  <r>
    <n v="2427"/>
    <n v="17634"/>
    <x v="42"/>
    <x v="29"/>
    <s v="High"/>
    <n v="5"/>
    <n v="489.07"/>
    <n v="0.08"/>
    <s v="Delivery Truck"/>
    <n v="-197.88"/>
    <n v="89.99"/>
    <n v="42"/>
    <x v="250"/>
    <x v="6"/>
    <x v="5"/>
    <x v="2"/>
    <x v="2"/>
    <x v="14"/>
    <x v="668"/>
    <s v="Jumbo Drum"/>
    <n v="0.66"/>
    <d v="2012-07-21T00:00:00"/>
    <n v="0"/>
    <n v="0"/>
    <n v="1"/>
    <n v="1"/>
  </r>
  <r>
    <n v="2431"/>
    <n v="17668"/>
    <x v="11"/>
    <x v="11"/>
    <s v="Medium"/>
    <n v="49"/>
    <n v="848.92"/>
    <n v="0.04"/>
    <s v="Regular Air"/>
    <n v="296.06"/>
    <n v="17.48"/>
    <n v="1.99"/>
    <x v="239"/>
    <x v="6"/>
    <x v="5"/>
    <x v="2"/>
    <x v="1"/>
    <x v="7"/>
    <x v="814"/>
    <s v="Small Pack"/>
    <n v="0.45"/>
    <d v="2009-11-27T00:00:00"/>
    <n v="0"/>
    <n v="0"/>
    <n v="0.33333333333333331"/>
    <n v="0.33333333333333331"/>
  </r>
  <r>
    <n v="2432"/>
    <n v="17668"/>
    <x v="11"/>
    <x v="11"/>
    <s v="Medium"/>
    <n v="24"/>
    <n v="6930.97"/>
    <n v="0.05"/>
    <s v="Regular Air"/>
    <n v="2574.12"/>
    <n v="300.98"/>
    <n v="13.99"/>
    <x v="239"/>
    <x v="6"/>
    <x v="5"/>
    <x v="2"/>
    <x v="1"/>
    <x v="16"/>
    <x v="860"/>
    <s v="Medium Box"/>
    <n v="0.39"/>
    <d v="2009-11-26T00:00:00"/>
    <n v="0"/>
    <n v="0"/>
    <n v="0.33333333333333331"/>
    <n v="0.33333333333333331"/>
  </r>
  <r>
    <n v="2433"/>
    <n v="17668"/>
    <x v="11"/>
    <x v="11"/>
    <s v="Medium"/>
    <n v="13"/>
    <n v="2219.7324999999996"/>
    <n v="0.04"/>
    <s v="Express Air"/>
    <n v="-69.783999999999992"/>
    <n v="205.99"/>
    <n v="5"/>
    <x v="239"/>
    <x v="6"/>
    <x v="5"/>
    <x v="2"/>
    <x v="1"/>
    <x v="3"/>
    <x v="963"/>
    <s v="Small Box"/>
    <n v="0.59"/>
    <d v="2009-11-26T00:00:00"/>
    <n v="0"/>
    <n v="0"/>
    <n v="0.33333333333333331"/>
    <n v="0.33333333333333331"/>
  </r>
  <r>
    <n v="2443"/>
    <n v="17735"/>
    <x v="833"/>
    <x v="29"/>
    <s v="Low"/>
    <n v="45"/>
    <n v="311.64999999999998"/>
    <n v="0.03"/>
    <s v="Regular Air"/>
    <n v="-71.254000000000005"/>
    <n v="6.81"/>
    <n v="5.48"/>
    <x v="248"/>
    <x v="6"/>
    <x v="5"/>
    <x v="1"/>
    <x v="0"/>
    <x v="2"/>
    <x v="964"/>
    <s v="Small Box"/>
    <n v="0.37"/>
    <d v="2012-07-17T00:00:00"/>
    <n v="0"/>
    <n v="0"/>
    <n v="0.5"/>
    <n v="0.5"/>
  </r>
  <r>
    <n v="2444"/>
    <n v="17735"/>
    <x v="833"/>
    <x v="29"/>
    <s v="Low"/>
    <n v="28"/>
    <n v="101.19"/>
    <n v="0.06"/>
    <s v="Regular Air"/>
    <n v="32.47"/>
    <n v="3.78"/>
    <n v="0.71"/>
    <x v="248"/>
    <x v="6"/>
    <x v="5"/>
    <x v="1"/>
    <x v="0"/>
    <x v="6"/>
    <x v="294"/>
    <s v="Wrap Bag"/>
    <n v="0.39"/>
    <d v="2012-07-17T00:00:00"/>
    <n v="0"/>
    <n v="0"/>
    <n v="0.5"/>
    <n v="0.5"/>
  </r>
  <r>
    <n v="2451"/>
    <n v="17825"/>
    <x v="892"/>
    <x v="38"/>
    <s v="Not Specified"/>
    <n v="26"/>
    <n v="981.9"/>
    <n v="0.06"/>
    <s v="Regular Air"/>
    <n v="11.38"/>
    <n v="37.76"/>
    <n v="12.9"/>
    <x v="283"/>
    <x v="6"/>
    <x v="5"/>
    <x v="3"/>
    <x v="0"/>
    <x v="0"/>
    <x v="833"/>
    <s v="Small Box"/>
    <n v="0.56999999999999995"/>
    <d v="2010-01-16T00:00:00"/>
    <n v="1"/>
    <n v="0"/>
    <n v="1"/>
    <n v="1"/>
  </r>
  <r>
    <n v="2469"/>
    <n v="17956"/>
    <x v="774"/>
    <x v="3"/>
    <s v="Critical"/>
    <n v="40"/>
    <n v="1567.51"/>
    <n v="0.01"/>
    <s v="Express Air"/>
    <n v="711.74"/>
    <n v="37.94"/>
    <n v="5.08"/>
    <x v="245"/>
    <x v="6"/>
    <x v="5"/>
    <x v="2"/>
    <x v="0"/>
    <x v="5"/>
    <x v="532"/>
    <s v="Wrap Bag"/>
    <n v="0.38"/>
    <d v="2010-08-08T00:00:00"/>
    <n v="0"/>
    <n v="0"/>
    <n v="0.5"/>
    <n v="0.5"/>
  </r>
  <r>
    <n v="2470"/>
    <n v="17956"/>
    <x v="774"/>
    <x v="3"/>
    <s v="Critical"/>
    <n v="17"/>
    <n v="1914.65"/>
    <n v="0.01"/>
    <s v="Regular Air"/>
    <n v="73.45"/>
    <n v="111.03"/>
    <n v="8.64"/>
    <x v="245"/>
    <x v="6"/>
    <x v="5"/>
    <x v="2"/>
    <x v="0"/>
    <x v="0"/>
    <x v="95"/>
    <s v="Small Box"/>
    <n v="0.78"/>
    <d v="2010-08-06T00:00:00"/>
    <n v="0"/>
    <n v="0"/>
    <n v="0.5"/>
    <n v="0.5"/>
  </r>
  <r>
    <n v="2476"/>
    <n v="17986"/>
    <x v="512"/>
    <x v="13"/>
    <s v="Not Specified"/>
    <n v="43"/>
    <n v="87.31"/>
    <n v="0.05"/>
    <s v="Regular Air"/>
    <n v="-15.087999999999999"/>
    <n v="2.08"/>
    <n v="1.49"/>
    <x v="273"/>
    <x v="6"/>
    <x v="5"/>
    <x v="0"/>
    <x v="0"/>
    <x v="2"/>
    <x v="579"/>
    <s v="Small Box"/>
    <n v="0.36"/>
    <d v="2012-04-07T00:00:00"/>
    <n v="0"/>
    <n v="0"/>
    <n v="1"/>
    <n v="1"/>
  </r>
  <r>
    <n v="2486"/>
    <n v="18112"/>
    <x v="893"/>
    <x v="33"/>
    <s v="Not Specified"/>
    <n v="13"/>
    <n v="83.31"/>
    <n v="0.06"/>
    <s v="Regular Air"/>
    <n v="22.8"/>
    <n v="6.45"/>
    <n v="1.34"/>
    <x v="240"/>
    <x v="6"/>
    <x v="5"/>
    <x v="0"/>
    <x v="0"/>
    <x v="5"/>
    <x v="795"/>
    <s v="Wrap Bag"/>
    <n v="0.36"/>
    <d v="2012-03-17T00:00:00"/>
    <n v="0"/>
    <n v="0"/>
    <n v="1"/>
    <n v="1"/>
  </r>
  <r>
    <n v="2496"/>
    <n v="18178"/>
    <x v="868"/>
    <x v="11"/>
    <s v="Low"/>
    <n v="43"/>
    <n v="235.09"/>
    <n v="0.08"/>
    <s v="Regular Air"/>
    <n v="-1987.49"/>
    <n v="4.4800000000000004"/>
    <n v="49"/>
    <x v="281"/>
    <x v="6"/>
    <x v="5"/>
    <x v="0"/>
    <x v="0"/>
    <x v="1"/>
    <x v="43"/>
    <s v="Large Box"/>
    <n v="0.6"/>
    <d v="2009-11-02T00:00:00"/>
    <n v="0"/>
    <n v="0"/>
    <n v="0.5"/>
    <n v="0.5"/>
  </r>
  <r>
    <n v="2497"/>
    <n v="18178"/>
    <x v="868"/>
    <x v="11"/>
    <s v="Low"/>
    <n v="10"/>
    <n v="187.46"/>
    <n v="0"/>
    <s v="Regular Air"/>
    <n v="49.85"/>
    <n v="17.670000000000002"/>
    <n v="8.99"/>
    <x v="281"/>
    <x v="6"/>
    <x v="5"/>
    <x v="0"/>
    <x v="2"/>
    <x v="4"/>
    <x v="594"/>
    <s v="Small Pack"/>
    <n v="0.47"/>
    <d v="2009-11-09T00:00:00"/>
    <n v="0"/>
    <n v="0"/>
    <n v="0.5"/>
    <n v="0.5"/>
  </r>
  <r>
    <n v="2501"/>
    <n v="18182"/>
    <x v="86"/>
    <x v="37"/>
    <s v="Medium"/>
    <n v="45"/>
    <n v="4598.7299999999996"/>
    <n v="0.04"/>
    <s v="Regular Air"/>
    <n v="1049.45"/>
    <n v="99.99"/>
    <n v="19.989999999999998"/>
    <x v="261"/>
    <x v="6"/>
    <x v="5"/>
    <x v="2"/>
    <x v="1"/>
    <x v="7"/>
    <x v="190"/>
    <s v="Small Box"/>
    <n v="0.5"/>
    <d v="2011-04-12T00:00:00"/>
    <n v="0"/>
    <n v="0"/>
    <n v="0.33333333333333331"/>
    <n v="0.33333333333333331"/>
  </r>
  <r>
    <n v="2502"/>
    <n v="18182"/>
    <x v="86"/>
    <x v="37"/>
    <s v="Medium"/>
    <n v="45"/>
    <n v="2673.08"/>
    <n v="0.01"/>
    <s v="Regular Air"/>
    <n v="-1363.12"/>
    <n v="55.5"/>
    <n v="52.2"/>
    <x v="261"/>
    <x v="6"/>
    <x v="5"/>
    <x v="2"/>
    <x v="2"/>
    <x v="4"/>
    <x v="298"/>
    <s v="Medium Box"/>
    <n v="0.72"/>
    <d v="2011-04-11T00:00:00"/>
    <n v="0"/>
    <n v="0"/>
    <n v="0.33333333333333331"/>
    <n v="0.33333333333333331"/>
  </r>
  <r>
    <n v="2503"/>
    <n v="18182"/>
    <x v="86"/>
    <x v="37"/>
    <s v="Medium"/>
    <n v="12"/>
    <n v="396.69"/>
    <n v="0.09"/>
    <s v="Express Air"/>
    <n v="-18.45"/>
    <n v="33.29"/>
    <n v="8.74"/>
    <x v="261"/>
    <x v="6"/>
    <x v="5"/>
    <x v="2"/>
    <x v="0"/>
    <x v="0"/>
    <x v="965"/>
    <s v="Small Box"/>
    <n v="0.61"/>
    <d v="2011-04-12T00:00:00"/>
    <n v="0"/>
    <n v="0"/>
    <n v="0.33333333333333331"/>
    <n v="0.33333333333333331"/>
  </r>
  <r>
    <n v="2538"/>
    <n v="18405"/>
    <x v="828"/>
    <x v="22"/>
    <s v="Medium"/>
    <n v="30"/>
    <n v="610.65"/>
    <n v="0.09"/>
    <s v="Express Air"/>
    <n v="60.273499999999999"/>
    <n v="20.98"/>
    <n v="8.83"/>
    <x v="273"/>
    <x v="6"/>
    <x v="5"/>
    <x v="1"/>
    <x v="0"/>
    <x v="2"/>
    <x v="350"/>
    <s v="Small Box"/>
    <n v="0.37"/>
    <d v="2009-01-09T00:00:00"/>
    <n v="0"/>
    <n v="1"/>
    <n v="0.5"/>
    <n v="0.5"/>
  </r>
  <r>
    <n v="2539"/>
    <n v="18405"/>
    <x v="828"/>
    <x v="22"/>
    <s v="Medium"/>
    <n v="2"/>
    <n v="158.04"/>
    <n v="0.03"/>
    <s v="Regular Air"/>
    <n v="-263.08999999999997"/>
    <n v="73.98"/>
    <n v="14.52"/>
    <x v="273"/>
    <x v="6"/>
    <x v="5"/>
    <x v="1"/>
    <x v="1"/>
    <x v="7"/>
    <x v="640"/>
    <s v="Small Box"/>
    <n v="0.65"/>
    <d v="2009-01-10T00:00:00"/>
    <n v="0"/>
    <n v="1"/>
    <n v="0.5"/>
    <n v="0.5"/>
  </r>
  <r>
    <n v="2565"/>
    <n v="18531"/>
    <x v="149"/>
    <x v="1"/>
    <s v="Critical"/>
    <n v="50"/>
    <n v="1298.81"/>
    <n v="0.04"/>
    <s v="Delivery Truck"/>
    <n v="-250.55"/>
    <n v="25.98"/>
    <n v="14.36"/>
    <x v="249"/>
    <x v="6"/>
    <x v="5"/>
    <x v="0"/>
    <x v="2"/>
    <x v="14"/>
    <x v="170"/>
    <s v="Jumbo Drum"/>
    <n v="0.6"/>
    <d v="2012-10-31T00:00:00"/>
    <n v="0"/>
    <n v="0"/>
    <n v="1"/>
    <n v="1"/>
  </r>
  <r>
    <n v="2568"/>
    <n v="18533"/>
    <x v="894"/>
    <x v="11"/>
    <s v="Not Specified"/>
    <n v="27"/>
    <n v="442.57"/>
    <n v="0.01"/>
    <s v="Regular Air"/>
    <n v="-60.73"/>
    <n v="15.31"/>
    <n v="8.7799999999999994"/>
    <x v="283"/>
    <x v="6"/>
    <x v="5"/>
    <x v="3"/>
    <x v="0"/>
    <x v="0"/>
    <x v="581"/>
    <s v="Small Box"/>
    <n v="0.56999999999999995"/>
    <d v="2009-11-07T00:00:00"/>
    <n v="0"/>
    <n v="0"/>
    <n v="0.5"/>
    <n v="0.5"/>
  </r>
  <r>
    <n v="2569"/>
    <n v="18533"/>
    <x v="894"/>
    <x v="11"/>
    <s v="Not Specified"/>
    <n v="5"/>
    <n v="53.736999999999995"/>
    <n v="0.05"/>
    <s v="Express Air"/>
    <n v="-28.434999999999999"/>
    <n v="7.99"/>
    <n v="5.03"/>
    <x v="283"/>
    <x v="6"/>
    <x v="5"/>
    <x v="3"/>
    <x v="1"/>
    <x v="3"/>
    <x v="51"/>
    <s v="Medium Box"/>
    <n v="0.6"/>
    <d v="2009-11-08T00:00:00"/>
    <n v="0"/>
    <n v="0"/>
    <n v="0.5"/>
    <n v="0.5"/>
  </r>
  <r>
    <n v="2584"/>
    <n v="18661"/>
    <x v="298"/>
    <x v="34"/>
    <s v="Low"/>
    <n v="12"/>
    <n v="1207.08"/>
    <n v="0.05"/>
    <s v="Delivery Truck"/>
    <n v="-351.3"/>
    <n v="95.98"/>
    <n v="58.2"/>
    <x v="239"/>
    <x v="6"/>
    <x v="5"/>
    <x v="2"/>
    <x v="2"/>
    <x v="14"/>
    <x v="966"/>
    <s v="Jumbo Drum"/>
    <n v="0.57999999999999996"/>
    <d v="2012-09-12T00:00:00"/>
    <n v="0"/>
    <n v="0"/>
    <n v="0.5"/>
    <n v="0.5"/>
  </r>
  <r>
    <n v="2585"/>
    <n v="18661"/>
    <x v="298"/>
    <x v="34"/>
    <s v="Low"/>
    <n v="11"/>
    <n v="2618.1120000000001"/>
    <n v="0.04"/>
    <s v="Delivery Truck"/>
    <n v="-139.26600000000002"/>
    <n v="286.85000000000002"/>
    <n v="61.76"/>
    <x v="239"/>
    <x v="6"/>
    <x v="5"/>
    <x v="2"/>
    <x v="2"/>
    <x v="10"/>
    <x v="832"/>
    <s v="Jumbo Box"/>
    <n v="0.78"/>
    <d v="2012-09-10T00:00:00"/>
    <n v="0"/>
    <n v="0"/>
    <n v="0.5"/>
    <n v="0.5"/>
  </r>
  <r>
    <n v="2591"/>
    <n v="18723"/>
    <x v="38"/>
    <x v="26"/>
    <s v="Medium"/>
    <n v="1"/>
    <n v="52.096499999999999"/>
    <n v="0"/>
    <s v="Regular Air"/>
    <n v="-232.80399999999997"/>
    <n v="55.99"/>
    <n v="2.5"/>
    <x v="285"/>
    <x v="6"/>
    <x v="5"/>
    <x v="1"/>
    <x v="1"/>
    <x v="3"/>
    <x v="967"/>
    <s v="Small Pack"/>
    <n v="0.83"/>
    <d v="2009-08-14T00:00:00"/>
    <n v="0"/>
    <n v="0"/>
    <n v="1"/>
    <n v="1"/>
  </r>
  <r>
    <n v="2592"/>
    <n v="18753"/>
    <x v="895"/>
    <x v="36"/>
    <s v="Medium"/>
    <n v="31"/>
    <n v="3945.95"/>
    <n v="0.03"/>
    <s v="Regular Air"/>
    <n v="1031.32"/>
    <n v="128.24"/>
    <n v="12.65"/>
    <x v="239"/>
    <x v="6"/>
    <x v="5"/>
    <x v="2"/>
    <x v="2"/>
    <x v="14"/>
    <x v="410"/>
    <s v="Medium Box"/>
    <m/>
    <d v="2009-08-02T00:00:00"/>
    <n v="0"/>
    <n v="0"/>
    <n v="0.5"/>
    <n v="0.5"/>
  </r>
  <r>
    <n v="2593"/>
    <n v="18753"/>
    <x v="895"/>
    <x v="36"/>
    <s v="Medium"/>
    <n v="33"/>
    <n v="5394.4"/>
    <n v="0.01"/>
    <s v="Delivery Truck"/>
    <n v="788.79"/>
    <n v="160.97999999999999"/>
    <n v="30"/>
    <x v="239"/>
    <x v="6"/>
    <x v="5"/>
    <x v="2"/>
    <x v="2"/>
    <x v="14"/>
    <x v="580"/>
    <s v="Jumbo Drum"/>
    <n v="0.62"/>
    <d v="2009-08-02T00:00:00"/>
    <n v="0"/>
    <n v="0"/>
    <n v="0.5"/>
    <n v="0.5"/>
  </r>
  <r>
    <n v="2653"/>
    <n v="19204"/>
    <x v="896"/>
    <x v="35"/>
    <s v="Medium"/>
    <n v="27"/>
    <n v="233.92"/>
    <n v="0.1"/>
    <s v="Regular Air"/>
    <n v="-80.75"/>
    <n v="8.75"/>
    <n v="8.5399999999999991"/>
    <x v="286"/>
    <x v="6"/>
    <x v="5"/>
    <x v="2"/>
    <x v="2"/>
    <x v="4"/>
    <x v="514"/>
    <s v="Small Pack"/>
    <n v="0.43"/>
    <d v="2009-09-19T00:00:00"/>
    <n v="0"/>
    <n v="0"/>
    <n v="0.5"/>
    <n v="0.25"/>
  </r>
  <r>
    <n v="2654"/>
    <n v="19204"/>
    <x v="896"/>
    <x v="35"/>
    <s v="Medium"/>
    <n v="28"/>
    <n v="1642.05"/>
    <n v="0.03"/>
    <s v="Regular Air"/>
    <n v="829.73"/>
    <n v="55.98"/>
    <n v="4.8600000000000003"/>
    <x v="286"/>
    <x v="6"/>
    <x v="5"/>
    <x v="2"/>
    <x v="0"/>
    <x v="5"/>
    <x v="938"/>
    <s v="Small Box"/>
    <n v="0.36"/>
    <d v="2009-09-20T00:00:00"/>
    <n v="0"/>
    <n v="0"/>
    <n v="0.5"/>
    <n v="0.25"/>
  </r>
  <r>
    <n v="2680"/>
    <n v="19394"/>
    <x v="574"/>
    <x v="45"/>
    <s v="Medium"/>
    <n v="16"/>
    <n v="279.327"/>
    <n v="0.05"/>
    <s v="Regular Air"/>
    <n v="75.212999999999994"/>
    <n v="20.99"/>
    <n v="0.99"/>
    <x v="269"/>
    <x v="6"/>
    <x v="5"/>
    <x v="2"/>
    <x v="1"/>
    <x v="3"/>
    <x v="163"/>
    <s v="Wrap Bag"/>
    <n v="0.37"/>
    <d v="2012-12-26T00:00:00"/>
    <n v="0"/>
    <n v="0"/>
    <n v="0.5"/>
    <n v="0.5"/>
  </r>
  <r>
    <n v="2681"/>
    <n v="19394"/>
    <x v="574"/>
    <x v="45"/>
    <s v="Medium"/>
    <n v="5"/>
    <n v="539.20600000000002"/>
    <n v="0.05"/>
    <s v="Regular Air"/>
    <n v="-452.38599999999997"/>
    <n v="125.99"/>
    <n v="8.8000000000000007"/>
    <x v="269"/>
    <x v="6"/>
    <x v="5"/>
    <x v="2"/>
    <x v="1"/>
    <x v="3"/>
    <x v="626"/>
    <s v="Small Box"/>
    <n v="0.59"/>
    <d v="2012-12-28T00:00:00"/>
    <n v="0"/>
    <n v="0"/>
    <n v="0.5"/>
    <n v="0.5"/>
  </r>
  <r>
    <n v="2724"/>
    <n v="19653"/>
    <x v="897"/>
    <x v="34"/>
    <s v="Not Specified"/>
    <n v="34"/>
    <n v="125.46"/>
    <n v="7.0000000000000007E-2"/>
    <s v="Regular Air"/>
    <n v="-129.62799999999999"/>
    <n v="3.58"/>
    <n v="5.47"/>
    <x v="244"/>
    <x v="6"/>
    <x v="5"/>
    <x v="3"/>
    <x v="0"/>
    <x v="2"/>
    <x v="337"/>
    <s v="Small Box"/>
    <n v="0.37"/>
    <d v="2012-09-11T00:00:00"/>
    <n v="0"/>
    <n v="0"/>
    <n v="1"/>
    <n v="1"/>
  </r>
  <r>
    <n v="2729"/>
    <n v="19687"/>
    <x v="665"/>
    <x v="3"/>
    <s v="Medium"/>
    <n v="33"/>
    <n v="47.99"/>
    <n v="0.06"/>
    <s v="Regular Air"/>
    <n v="3.86"/>
    <n v="1.48"/>
    <n v="0.7"/>
    <x v="273"/>
    <x v="6"/>
    <x v="5"/>
    <x v="1"/>
    <x v="0"/>
    <x v="6"/>
    <x v="476"/>
    <s v="Wrap Bag"/>
    <n v="0.37"/>
    <d v="2010-08-14T00:00:00"/>
    <n v="0"/>
    <n v="0"/>
    <n v="0.5"/>
    <n v="0.5"/>
  </r>
  <r>
    <n v="2730"/>
    <n v="19687"/>
    <x v="665"/>
    <x v="3"/>
    <s v="Medium"/>
    <n v="23"/>
    <n v="829.61699999999996"/>
    <n v="0.1"/>
    <s v="Regular Air"/>
    <n v="25.533000000000001"/>
    <n v="45.99"/>
    <n v="4.99"/>
    <x v="273"/>
    <x v="6"/>
    <x v="5"/>
    <x v="1"/>
    <x v="1"/>
    <x v="3"/>
    <x v="968"/>
    <s v="Small Box"/>
    <n v="0.56999999999999995"/>
    <d v="2010-08-15T00:00:00"/>
    <n v="0"/>
    <n v="0"/>
    <n v="0.5"/>
    <n v="0.5"/>
  </r>
  <r>
    <n v="2731"/>
    <n v="19716"/>
    <x v="860"/>
    <x v="35"/>
    <s v="Low"/>
    <n v="5"/>
    <n v="616.10550000000001"/>
    <n v="0.03"/>
    <s v="Regular Air"/>
    <n v="-458.74400000000003"/>
    <n v="140.99"/>
    <n v="4.2"/>
    <x v="287"/>
    <x v="6"/>
    <x v="5"/>
    <x v="3"/>
    <x v="1"/>
    <x v="3"/>
    <x v="625"/>
    <s v="Small Box"/>
    <n v="0.59"/>
    <d v="2009-10-06T00:00:00"/>
    <n v="0"/>
    <n v="0"/>
    <n v="1"/>
    <n v="1"/>
  </r>
  <r>
    <n v="2742"/>
    <n v="19782"/>
    <x v="814"/>
    <x v="1"/>
    <s v="Low"/>
    <n v="18"/>
    <n v="33.21"/>
    <n v="0.06"/>
    <s v="Regular Air"/>
    <n v="-0.85"/>
    <n v="1.81"/>
    <n v="0.75"/>
    <x v="262"/>
    <x v="6"/>
    <x v="5"/>
    <x v="1"/>
    <x v="0"/>
    <x v="6"/>
    <x v="260"/>
    <s v="Wrap Bag"/>
    <n v="0.52"/>
    <d v="2012-10-22T00:00:00"/>
    <n v="0"/>
    <n v="0"/>
    <n v="1"/>
    <n v="1"/>
  </r>
  <r>
    <n v="2792"/>
    <n v="20134"/>
    <x v="676"/>
    <x v="5"/>
    <s v="Low"/>
    <n v="26"/>
    <n v="583.55999999999995"/>
    <n v="0.02"/>
    <s v="Regular Air"/>
    <n v="-94.59"/>
    <n v="20.97"/>
    <n v="6.5"/>
    <x v="252"/>
    <x v="6"/>
    <x v="5"/>
    <x v="2"/>
    <x v="1"/>
    <x v="7"/>
    <x v="154"/>
    <s v="Small Box"/>
    <n v="0.78"/>
    <d v="2011-03-16T00:00:00"/>
    <n v="0"/>
    <n v="0"/>
    <n v="0.5"/>
    <n v="0.2"/>
  </r>
  <r>
    <n v="2793"/>
    <n v="20134"/>
    <x v="676"/>
    <x v="5"/>
    <s v="Low"/>
    <n v="47"/>
    <n v="281.47000000000003"/>
    <n v="0.1"/>
    <s v="Regular Air"/>
    <n v="-190.57"/>
    <n v="6.48"/>
    <n v="7.37"/>
    <x v="252"/>
    <x v="6"/>
    <x v="5"/>
    <x v="2"/>
    <x v="0"/>
    <x v="5"/>
    <x v="673"/>
    <s v="Small Box"/>
    <n v="0.37"/>
    <d v="2011-03-19T00:00:00"/>
    <n v="0"/>
    <n v="0"/>
    <n v="0.5"/>
    <n v="0.2"/>
  </r>
  <r>
    <n v="2806"/>
    <n v="20259"/>
    <x v="898"/>
    <x v="10"/>
    <s v="Critical"/>
    <n v="42"/>
    <n v="539.05999999999995"/>
    <n v="0.05"/>
    <s v="Regular Air"/>
    <n v="-123.07"/>
    <n v="12.88"/>
    <n v="4.59"/>
    <x v="261"/>
    <x v="6"/>
    <x v="5"/>
    <x v="2"/>
    <x v="0"/>
    <x v="15"/>
    <x v="418"/>
    <s v="Wrap Bag"/>
    <n v="0.82"/>
    <d v="2011-05-25T00:00:00"/>
    <n v="0"/>
    <n v="0"/>
    <n v="1"/>
    <n v="1"/>
  </r>
  <r>
    <n v="2807"/>
    <n v="20261"/>
    <x v="562"/>
    <x v="43"/>
    <s v="Medium"/>
    <n v="25"/>
    <n v="751.52"/>
    <n v="0.09"/>
    <s v="Express Air"/>
    <n v="67.107500000000002"/>
    <n v="31.74"/>
    <n v="12.62"/>
    <x v="243"/>
    <x v="6"/>
    <x v="5"/>
    <x v="0"/>
    <x v="0"/>
    <x v="2"/>
    <x v="920"/>
    <s v="Small Box"/>
    <n v="0.37"/>
    <d v="2009-05-20T00:00:00"/>
    <n v="0"/>
    <n v="0"/>
    <n v="0.33333333333333331"/>
    <n v="0.33333333333333331"/>
  </r>
  <r>
    <n v="2808"/>
    <n v="20261"/>
    <x v="562"/>
    <x v="43"/>
    <s v="Medium"/>
    <n v="36"/>
    <n v="220.48"/>
    <n v="0.04"/>
    <s v="Regular Air"/>
    <n v="81.91"/>
    <n v="6.35"/>
    <n v="1.02"/>
    <x v="243"/>
    <x v="6"/>
    <x v="5"/>
    <x v="0"/>
    <x v="0"/>
    <x v="5"/>
    <x v="62"/>
    <s v="Wrap Bag"/>
    <n v="0.39"/>
    <d v="2009-05-23T00:00:00"/>
    <n v="0"/>
    <n v="0"/>
    <n v="0.33333333333333331"/>
    <n v="0.33333333333333331"/>
  </r>
  <r>
    <n v="2809"/>
    <n v="20261"/>
    <x v="562"/>
    <x v="43"/>
    <s v="Medium"/>
    <n v="21"/>
    <n v="1259.4535000000001"/>
    <n v="0.02"/>
    <s v="Express Air"/>
    <n v="168.23699999999999"/>
    <n v="65.989999999999995"/>
    <n v="8.99"/>
    <x v="243"/>
    <x v="6"/>
    <x v="5"/>
    <x v="0"/>
    <x v="1"/>
    <x v="3"/>
    <x v="403"/>
    <s v="Small Box"/>
    <n v="0.56000000000000005"/>
    <d v="2009-05-21T00:00:00"/>
    <n v="0"/>
    <n v="0"/>
    <n v="0.33333333333333331"/>
    <n v="0.33333333333333331"/>
  </r>
  <r>
    <n v="2837"/>
    <n v="20453"/>
    <x v="396"/>
    <x v="5"/>
    <s v="Medium"/>
    <n v="23"/>
    <n v="450.39"/>
    <n v="7.0000000000000007E-2"/>
    <s v="Regular Air"/>
    <n v="152.79"/>
    <n v="19.23"/>
    <n v="6.15"/>
    <x v="284"/>
    <x v="6"/>
    <x v="5"/>
    <x v="3"/>
    <x v="2"/>
    <x v="4"/>
    <x v="392"/>
    <s v="Small Pack"/>
    <n v="0.44"/>
    <d v="2011-03-12T00:00:00"/>
    <n v="0"/>
    <n v="0"/>
    <n v="0.5"/>
    <n v="0.5"/>
  </r>
  <r>
    <n v="2838"/>
    <n v="20453"/>
    <x v="396"/>
    <x v="5"/>
    <s v="Medium"/>
    <n v="17"/>
    <n v="1193.1195"/>
    <n v="0.08"/>
    <s v="Express Air"/>
    <n v="137.59199999999998"/>
    <n v="85.99"/>
    <n v="0.99"/>
    <x v="284"/>
    <x v="6"/>
    <x v="5"/>
    <x v="3"/>
    <x v="1"/>
    <x v="3"/>
    <x v="576"/>
    <s v="Wrap Bag"/>
    <n v="0.55000000000000004"/>
    <d v="2011-03-12T00:00:00"/>
    <n v="0"/>
    <n v="0"/>
    <n v="0.5"/>
    <n v="0.5"/>
  </r>
  <r>
    <n v="2858"/>
    <n v="20614"/>
    <x v="299"/>
    <x v="43"/>
    <s v="Not Specified"/>
    <n v="47"/>
    <n v="3596.36"/>
    <n v="0"/>
    <s v="Express Air"/>
    <n v="326.25"/>
    <n v="73.98"/>
    <n v="12.14"/>
    <x v="275"/>
    <x v="6"/>
    <x v="5"/>
    <x v="2"/>
    <x v="1"/>
    <x v="7"/>
    <x v="633"/>
    <s v="Small Box"/>
    <n v="0.67"/>
    <d v="2009-05-20T00:00:00"/>
    <n v="0"/>
    <n v="0"/>
    <n v="1"/>
    <n v="1"/>
  </r>
  <r>
    <n v="2870"/>
    <n v="20709"/>
    <x v="589"/>
    <x v="26"/>
    <s v="High"/>
    <n v="4"/>
    <n v="16.600000000000001"/>
    <n v="0.1"/>
    <s v="Regular Air"/>
    <n v="-2.06"/>
    <n v="4.13"/>
    <n v="0.99"/>
    <x v="288"/>
    <x v="6"/>
    <x v="5"/>
    <x v="1"/>
    <x v="0"/>
    <x v="11"/>
    <x v="367"/>
    <s v="Small Box"/>
    <n v="0.39"/>
    <d v="2009-08-11T00:00:00"/>
    <n v="0"/>
    <n v="0"/>
    <n v="0.5"/>
    <n v="0.5"/>
  </r>
  <r>
    <n v="2871"/>
    <n v="20709"/>
    <x v="589"/>
    <x v="26"/>
    <s v="High"/>
    <n v="5"/>
    <n v="25.1"/>
    <n v="0.04"/>
    <s v="Regular Air"/>
    <n v="2.98"/>
    <n v="4.9800000000000004"/>
    <n v="0.49"/>
    <x v="288"/>
    <x v="6"/>
    <x v="5"/>
    <x v="1"/>
    <x v="0"/>
    <x v="11"/>
    <x v="651"/>
    <s v="Small Box"/>
    <n v="0.39"/>
    <d v="2009-08-13T00:00:00"/>
    <n v="0"/>
    <n v="0"/>
    <n v="0.5"/>
    <n v="0.5"/>
  </r>
  <r>
    <n v="2913"/>
    <n v="21025"/>
    <x v="373"/>
    <x v="18"/>
    <s v="Not Specified"/>
    <n v="38"/>
    <n v="553.02"/>
    <n v="0.1"/>
    <s v="Regular Air"/>
    <n v="-49.38"/>
    <n v="15.98"/>
    <n v="6.5"/>
    <x v="273"/>
    <x v="6"/>
    <x v="5"/>
    <x v="0"/>
    <x v="1"/>
    <x v="7"/>
    <x v="404"/>
    <s v="Small Box"/>
    <n v="0.48"/>
    <d v="2010-09-13T00:00:00"/>
    <n v="0"/>
    <n v="0"/>
    <n v="1"/>
    <n v="1"/>
  </r>
  <r>
    <n v="2914"/>
    <n v="21028"/>
    <x v="805"/>
    <x v="8"/>
    <s v="Critical"/>
    <n v="38"/>
    <n v="437.86"/>
    <n v="0.04"/>
    <s v="Regular Air"/>
    <n v="-4.17"/>
    <n v="11.58"/>
    <n v="6.97"/>
    <x v="288"/>
    <x v="6"/>
    <x v="5"/>
    <x v="1"/>
    <x v="0"/>
    <x v="8"/>
    <x v="188"/>
    <s v="Small Box"/>
    <n v="0.35"/>
    <d v="2012-06-09T00:00:00"/>
    <n v="0"/>
    <n v="0"/>
    <n v="1"/>
    <n v="1"/>
  </r>
  <r>
    <n v="2921"/>
    <n v="21125"/>
    <x v="557"/>
    <x v="44"/>
    <s v="Not Specified"/>
    <n v="17"/>
    <n v="155.16999999999999"/>
    <n v="0.08"/>
    <s v="Regular Air"/>
    <n v="2.12"/>
    <n v="9.27"/>
    <n v="4.3899999999999997"/>
    <x v="289"/>
    <x v="6"/>
    <x v="5"/>
    <x v="3"/>
    <x v="0"/>
    <x v="5"/>
    <x v="276"/>
    <s v="Wrap Bag"/>
    <n v="0.38"/>
    <d v="2011-02-27T00:00:00"/>
    <n v="0"/>
    <n v="0"/>
    <n v="1"/>
    <n v="1"/>
  </r>
  <r>
    <n v="2955"/>
    <n v="21382"/>
    <x v="899"/>
    <x v="23"/>
    <s v="Critical"/>
    <n v="27"/>
    <n v="145.93"/>
    <n v="0"/>
    <s v="Regular Air"/>
    <n v="-113.32"/>
    <n v="4.9800000000000004"/>
    <n v="7.44"/>
    <x v="290"/>
    <x v="6"/>
    <x v="5"/>
    <x v="2"/>
    <x v="0"/>
    <x v="5"/>
    <x v="877"/>
    <s v="Small Box"/>
    <n v="0.36"/>
    <d v="2012-01-15T00:00:00"/>
    <n v="0"/>
    <n v="0"/>
    <n v="0.33333333333333331"/>
    <n v="0.33333333333333331"/>
  </r>
  <r>
    <n v="2994"/>
    <n v="21604"/>
    <x v="900"/>
    <x v="13"/>
    <s v="Medium"/>
    <n v="6"/>
    <n v="2478.88"/>
    <n v="0.02"/>
    <s v="Express Air"/>
    <n v="593.58900000000006"/>
    <n v="387.99"/>
    <n v="19.989999999999998"/>
    <x v="284"/>
    <x v="6"/>
    <x v="5"/>
    <x v="3"/>
    <x v="0"/>
    <x v="2"/>
    <x v="243"/>
    <s v="Small Box"/>
    <n v="0.38"/>
    <d v="2012-04-03T00:00:00"/>
    <n v="0"/>
    <n v="0"/>
    <n v="1"/>
    <n v="0.5"/>
  </r>
  <r>
    <n v="3037"/>
    <n v="21824"/>
    <x v="745"/>
    <x v="44"/>
    <s v="Low"/>
    <n v="37"/>
    <n v="3351.55"/>
    <n v="0.04"/>
    <s v="Express Air"/>
    <n v="-1036.92"/>
    <n v="90.98"/>
    <n v="56.2"/>
    <x v="274"/>
    <x v="6"/>
    <x v="5"/>
    <x v="3"/>
    <x v="2"/>
    <x v="4"/>
    <x v="433"/>
    <s v="Medium Box"/>
    <n v="0.74"/>
    <d v="2011-02-14T00:00:00"/>
    <n v="0"/>
    <n v="0"/>
    <n v="1"/>
    <n v="1"/>
  </r>
  <r>
    <n v="3057"/>
    <n v="21893"/>
    <x v="901"/>
    <x v="17"/>
    <s v="Critical"/>
    <n v="30"/>
    <n v="532.11"/>
    <n v="0.01"/>
    <s v="Express Air"/>
    <n v="59.47"/>
    <n v="17.07"/>
    <n v="8.1300000000000008"/>
    <x v="254"/>
    <x v="6"/>
    <x v="5"/>
    <x v="3"/>
    <x v="0"/>
    <x v="8"/>
    <x v="969"/>
    <s v="Small Box"/>
    <n v="0.38"/>
    <d v="2011-10-25T00:00:00"/>
    <n v="0"/>
    <n v="0"/>
    <n v="1"/>
    <n v="1"/>
  </r>
  <r>
    <n v="3075"/>
    <n v="22054"/>
    <x v="144"/>
    <x v="42"/>
    <s v="Medium"/>
    <n v="32"/>
    <n v="216.79"/>
    <n v="7.0000000000000007E-2"/>
    <s v="Regular Air"/>
    <n v="57.55"/>
    <n v="6.98"/>
    <n v="2.83"/>
    <x v="241"/>
    <x v="6"/>
    <x v="5"/>
    <x v="2"/>
    <x v="2"/>
    <x v="4"/>
    <x v="715"/>
    <s v="Small Pack"/>
    <n v="0.37"/>
    <d v="2010-07-31T00:00:00"/>
    <n v="0"/>
    <n v="0"/>
    <n v="1"/>
    <n v="0.5"/>
  </r>
  <r>
    <n v="3091"/>
    <n v="22181"/>
    <x v="850"/>
    <x v="17"/>
    <s v="Low"/>
    <n v="41"/>
    <n v="258.13"/>
    <n v="0.03"/>
    <s v="Regular Air"/>
    <n v="84.1"/>
    <n v="6.08"/>
    <n v="1.82"/>
    <x v="250"/>
    <x v="6"/>
    <x v="5"/>
    <x v="2"/>
    <x v="0"/>
    <x v="6"/>
    <x v="970"/>
    <s v="Wrap Bag"/>
    <n v="0.35"/>
    <d v="2011-10-16T00:00:00"/>
    <n v="0"/>
    <n v="0"/>
    <n v="1"/>
    <n v="1"/>
  </r>
  <r>
    <n v="3104"/>
    <n v="22272"/>
    <x v="902"/>
    <x v="20"/>
    <s v="High"/>
    <n v="37"/>
    <n v="5382.24"/>
    <n v="0.1"/>
    <s v="Regular Air"/>
    <n v="14.85"/>
    <n v="152.47999999999999"/>
    <n v="4"/>
    <x v="244"/>
    <x v="6"/>
    <x v="5"/>
    <x v="3"/>
    <x v="1"/>
    <x v="7"/>
    <x v="659"/>
    <s v="Small Box"/>
    <n v="0.79"/>
    <d v="2012-05-08T00:00:00"/>
    <n v="0"/>
    <n v="0"/>
    <n v="0.5"/>
    <n v="0.5"/>
  </r>
  <r>
    <n v="3105"/>
    <n v="22272"/>
    <x v="902"/>
    <x v="20"/>
    <s v="High"/>
    <n v="30"/>
    <n v="1035.95"/>
    <n v="0.08"/>
    <s v="Regular Air"/>
    <n v="342.41"/>
    <n v="35.409999999999997"/>
    <n v="1.99"/>
    <x v="244"/>
    <x v="6"/>
    <x v="5"/>
    <x v="3"/>
    <x v="1"/>
    <x v="7"/>
    <x v="753"/>
    <s v="Small Pack"/>
    <n v="0.43"/>
    <d v="2012-05-08T00:00:00"/>
    <n v="0"/>
    <n v="0"/>
    <n v="0.5"/>
    <n v="0.5"/>
  </r>
  <r>
    <n v="3115"/>
    <n v="22373"/>
    <x v="677"/>
    <x v="33"/>
    <s v="High"/>
    <n v="26"/>
    <n v="233.03"/>
    <n v="0.05"/>
    <s v="Express Air"/>
    <n v="-86.34"/>
    <n v="8.74"/>
    <n v="8.2899999999999991"/>
    <x v="241"/>
    <x v="6"/>
    <x v="5"/>
    <x v="2"/>
    <x v="0"/>
    <x v="8"/>
    <x v="427"/>
    <s v="Small Box"/>
    <n v="0.38"/>
    <d v="2012-03-29T00:00:00"/>
    <n v="0"/>
    <n v="0"/>
    <n v="1"/>
    <n v="0.5"/>
  </r>
  <r>
    <n v="3125"/>
    <n v="22434"/>
    <x v="903"/>
    <x v="9"/>
    <s v="Critical"/>
    <n v="3"/>
    <n v="18.7"/>
    <n v="0.1"/>
    <s v="Regular Air"/>
    <n v="-14.685499999999999"/>
    <n v="4.54"/>
    <n v="5.83"/>
    <x v="257"/>
    <x v="6"/>
    <x v="5"/>
    <x v="1"/>
    <x v="0"/>
    <x v="2"/>
    <x v="971"/>
    <s v="Small Box"/>
    <n v="0.36"/>
    <d v="2012-08-31T00:00:00"/>
    <n v="0"/>
    <n v="0"/>
    <n v="0.5"/>
    <n v="0.5"/>
  </r>
  <r>
    <n v="3126"/>
    <n v="22434"/>
    <x v="903"/>
    <x v="9"/>
    <s v="Critical"/>
    <n v="39"/>
    <n v="140.74"/>
    <n v="0.01"/>
    <s v="Regular Air"/>
    <n v="-92.29"/>
    <n v="3.28"/>
    <n v="3.97"/>
    <x v="257"/>
    <x v="6"/>
    <x v="5"/>
    <x v="1"/>
    <x v="0"/>
    <x v="12"/>
    <x v="431"/>
    <s v="Wrap Bag"/>
    <n v="0.56000000000000005"/>
    <d v="2012-08-31T00:00:00"/>
    <n v="0"/>
    <n v="0"/>
    <n v="0.5"/>
    <n v="0.5"/>
  </r>
  <r>
    <n v="3179"/>
    <n v="22849"/>
    <x v="492"/>
    <x v="44"/>
    <s v="Not Specified"/>
    <n v="27"/>
    <n v="304.98"/>
    <n v="0.08"/>
    <s v="Regular Air"/>
    <n v="2.7284999999999999"/>
    <n v="11.7"/>
    <n v="5.63"/>
    <x v="239"/>
    <x v="6"/>
    <x v="5"/>
    <x v="2"/>
    <x v="0"/>
    <x v="2"/>
    <x v="972"/>
    <s v="Small Box"/>
    <n v="0.4"/>
    <d v="2011-02-15T00:00:00"/>
    <n v="0"/>
    <n v="0"/>
    <n v="0.25"/>
    <n v="0.16666666666666666"/>
  </r>
  <r>
    <n v="3180"/>
    <n v="22849"/>
    <x v="492"/>
    <x v="44"/>
    <s v="Not Specified"/>
    <n v="34"/>
    <n v="104.24"/>
    <n v="0"/>
    <s v="Express Air"/>
    <n v="10.59"/>
    <n v="2.78"/>
    <n v="1.34"/>
    <x v="239"/>
    <x v="6"/>
    <x v="5"/>
    <x v="2"/>
    <x v="0"/>
    <x v="12"/>
    <x v="148"/>
    <s v="Wrap Bag"/>
    <n v="0.45"/>
    <d v="2011-02-16T00:00:00"/>
    <n v="0"/>
    <n v="0"/>
    <n v="0.25"/>
    <n v="0.16666666666666666"/>
  </r>
  <r>
    <n v="3181"/>
    <n v="22849"/>
    <x v="492"/>
    <x v="44"/>
    <s v="Not Specified"/>
    <n v="27"/>
    <n v="198.13"/>
    <n v="0.01"/>
    <s v="Regular Air"/>
    <n v="-219.92"/>
    <n v="6.98"/>
    <n v="9.69"/>
    <x v="239"/>
    <x v="6"/>
    <x v="5"/>
    <x v="2"/>
    <x v="0"/>
    <x v="0"/>
    <x v="959"/>
    <s v="Small Box"/>
    <n v="0.83"/>
    <d v="2011-02-16T00:00:00"/>
    <n v="0"/>
    <n v="0"/>
    <n v="0.25"/>
    <n v="0.16666666666666666"/>
  </r>
  <r>
    <n v="3182"/>
    <n v="22849"/>
    <x v="492"/>
    <x v="44"/>
    <s v="Not Specified"/>
    <n v="25"/>
    <n v="4366.348"/>
    <n v="0.05"/>
    <s v="Regular Air"/>
    <n v="940.57199999999989"/>
    <n v="205.99"/>
    <n v="3"/>
    <x v="239"/>
    <x v="6"/>
    <x v="5"/>
    <x v="2"/>
    <x v="1"/>
    <x v="3"/>
    <x v="595"/>
    <s v="Small Box"/>
    <n v="0.57999999999999996"/>
    <d v="2011-02-16T00:00:00"/>
    <n v="0"/>
    <n v="0"/>
    <n v="0.25"/>
    <n v="0.16666666666666666"/>
  </r>
  <r>
    <n v="3188"/>
    <n v="22881"/>
    <x v="904"/>
    <x v="24"/>
    <s v="Medium"/>
    <n v="33"/>
    <n v="476.06"/>
    <n v="0.04"/>
    <s v="Regular Air"/>
    <n v="-120.48"/>
    <n v="14.03"/>
    <n v="9.3699999999999992"/>
    <x v="267"/>
    <x v="6"/>
    <x v="5"/>
    <x v="2"/>
    <x v="0"/>
    <x v="0"/>
    <x v="569"/>
    <s v="Small Box"/>
    <n v="0.56000000000000005"/>
    <d v="2010-04-07T00:00:00"/>
    <n v="0"/>
    <n v="0"/>
    <n v="1"/>
    <n v="0.33333333333333331"/>
  </r>
  <r>
    <n v="3201"/>
    <n v="22950"/>
    <x v="905"/>
    <x v="25"/>
    <s v="Low"/>
    <n v="29"/>
    <n v="1756.11"/>
    <n v="0.1"/>
    <s v="Regular Air"/>
    <n v="-888.07"/>
    <n v="64.650000000000006"/>
    <n v="35"/>
    <x v="291"/>
    <x v="6"/>
    <x v="5"/>
    <x v="2"/>
    <x v="0"/>
    <x v="0"/>
    <x v="809"/>
    <s v="Large Box"/>
    <n v="0.8"/>
    <d v="2011-12-28T00:00:00"/>
    <n v="0"/>
    <n v="0"/>
    <n v="1"/>
    <n v="1"/>
  </r>
  <r>
    <n v="3206"/>
    <n v="23008"/>
    <x v="24"/>
    <x v="19"/>
    <s v="Critical"/>
    <n v="10"/>
    <n v="1136.47"/>
    <n v="0.1"/>
    <s v="Express Air"/>
    <n v="323.32299999999998"/>
    <n v="120.98"/>
    <n v="9.07"/>
    <x v="262"/>
    <x v="6"/>
    <x v="5"/>
    <x v="1"/>
    <x v="0"/>
    <x v="2"/>
    <x v="352"/>
    <s v="Small Box"/>
    <n v="0.35"/>
    <d v="2009-10-11T00:00:00"/>
    <n v="0"/>
    <n v="0"/>
    <n v="0.5"/>
    <n v="0.5"/>
  </r>
  <r>
    <n v="3207"/>
    <n v="23008"/>
    <x v="24"/>
    <x v="19"/>
    <s v="Critical"/>
    <n v="2"/>
    <n v="325.81"/>
    <n v="0.02"/>
    <s v="Express Air"/>
    <n v="-522.78"/>
    <n v="152.47999999999999"/>
    <n v="6.5"/>
    <x v="262"/>
    <x v="6"/>
    <x v="5"/>
    <x v="1"/>
    <x v="1"/>
    <x v="7"/>
    <x v="659"/>
    <s v="Small Box"/>
    <n v="0.74"/>
    <d v="2009-10-11T00:00:00"/>
    <n v="0"/>
    <n v="0"/>
    <n v="0.5"/>
    <n v="0.5"/>
  </r>
  <r>
    <n v="3233"/>
    <n v="23202"/>
    <x v="317"/>
    <x v="2"/>
    <s v="High"/>
    <n v="39"/>
    <n v="307.42"/>
    <n v="0.05"/>
    <s v="Regular Air"/>
    <n v="104.09"/>
    <n v="8.17"/>
    <n v="1.69"/>
    <x v="281"/>
    <x v="6"/>
    <x v="5"/>
    <x v="0"/>
    <x v="0"/>
    <x v="5"/>
    <x v="973"/>
    <s v="Wrap Bag"/>
    <n v="0.38"/>
    <d v="2011-08-01T00:00:00"/>
    <n v="0"/>
    <n v="0"/>
    <n v="0.5"/>
    <n v="0.5"/>
  </r>
  <r>
    <n v="3234"/>
    <n v="23202"/>
    <x v="317"/>
    <x v="2"/>
    <s v="High"/>
    <n v="48"/>
    <n v="608.29"/>
    <n v="0.02"/>
    <s v="Regular Air"/>
    <n v="-39.270000000000003"/>
    <n v="11.97"/>
    <n v="5.81"/>
    <x v="281"/>
    <x v="6"/>
    <x v="5"/>
    <x v="0"/>
    <x v="0"/>
    <x v="12"/>
    <x v="393"/>
    <s v="Small Pack"/>
    <n v="0.6"/>
    <d v="2011-08-01T00:00:00"/>
    <n v="0"/>
    <n v="0"/>
    <n v="0.5"/>
    <n v="0.5"/>
  </r>
  <r>
    <n v="3276"/>
    <n v="23426"/>
    <x v="462"/>
    <x v="44"/>
    <s v="Critical"/>
    <n v="45"/>
    <n v="1009.8"/>
    <n v="7.0000000000000007E-2"/>
    <s v="Regular Air"/>
    <n v="352.64"/>
    <n v="22.98"/>
    <n v="1.99"/>
    <x v="262"/>
    <x v="6"/>
    <x v="5"/>
    <x v="1"/>
    <x v="1"/>
    <x v="7"/>
    <x v="375"/>
    <s v="Small Pack"/>
    <n v="0.46"/>
    <d v="2011-02-18T00:00:00"/>
    <n v="0"/>
    <n v="0"/>
    <n v="0.5"/>
    <n v="0.5"/>
  </r>
  <r>
    <n v="3277"/>
    <n v="23426"/>
    <x v="462"/>
    <x v="44"/>
    <s v="Critical"/>
    <n v="12"/>
    <n v="29.71"/>
    <n v="0.09"/>
    <s v="Regular Air"/>
    <n v="-23.17"/>
    <n v="2.52"/>
    <n v="1.92"/>
    <x v="262"/>
    <x v="6"/>
    <x v="5"/>
    <x v="1"/>
    <x v="0"/>
    <x v="15"/>
    <x v="974"/>
    <s v="Wrap Bag"/>
    <n v="0.82"/>
    <d v="2011-02-17T00:00:00"/>
    <n v="0"/>
    <n v="0"/>
    <n v="0.5"/>
    <n v="0.5"/>
  </r>
  <r>
    <n v="3311"/>
    <n v="23649"/>
    <x v="406"/>
    <x v="34"/>
    <s v="Not Specified"/>
    <n v="30"/>
    <n v="4587.9260000000004"/>
    <n v="0.1"/>
    <s v="Regular Air"/>
    <n v="687.41099999999994"/>
    <n v="195.99"/>
    <n v="4.2"/>
    <x v="275"/>
    <x v="6"/>
    <x v="5"/>
    <x v="2"/>
    <x v="1"/>
    <x v="3"/>
    <x v="469"/>
    <s v="Small Box"/>
    <n v="0.6"/>
    <d v="2012-09-08T00:00:00"/>
    <n v="0"/>
    <n v="0"/>
    <n v="0.5"/>
    <n v="0.5"/>
  </r>
  <r>
    <n v="3312"/>
    <n v="23649"/>
    <x v="406"/>
    <x v="34"/>
    <s v="Not Specified"/>
    <n v="42"/>
    <n v="4541.924"/>
    <n v="0.01"/>
    <s v="Regular Air"/>
    <n v="1222.1370000000002"/>
    <n v="125.99"/>
    <n v="8.08"/>
    <x v="275"/>
    <x v="6"/>
    <x v="5"/>
    <x v="2"/>
    <x v="1"/>
    <x v="3"/>
    <x v="442"/>
    <s v="Small Box"/>
    <n v="0.56999999999999995"/>
    <d v="2012-09-06T00:00:00"/>
    <n v="0"/>
    <n v="0"/>
    <n v="0.5"/>
    <n v="0.5"/>
  </r>
  <r>
    <n v="3322"/>
    <n v="23748"/>
    <x v="567"/>
    <x v="9"/>
    <s v="High"/>
    <n v="26"/>
    <n v="6163.52"/>
    <n v="0.02"/>
    <s v="Delivery Truck"/>
    <n v="755.95"/>
    <n v="225.02"/>
    <n v="28.66"/>
    <x v="281"/>
    <x v="6"/>
    <x v="5"/>
    <x v="0"/>
    <x v="0"/>
    <x v="0"/>
    <x v="275"/>
    <s v="Jumbo Drum"/>
    <n v="0.72"/>
    <d v="2012-08-12T00:00:00"/>
    <n v="0"/>
    <n v="0"/>
    <n v="1"/>
    <n v="1"/>
  </r>
  <r>
    <n v="3337"/>
    <n v="23847"/>
    <x v="219"/>
    <x v="32"/>
    <s v="Not Specified"/>
    <n v="7"/>
    <n v="1278.6464999999998"/>
    <n v="0.01"/>
    <s v="Regular Air"/>
    <n v="-396.16500000000002"/>
    <n v="200.99"/>
    <n v="4.2"/>
    <x v="263"/>
    <x v="6"/>
    <x v="5"/>
    <x v="3"/>
    <x v="1"/>
    <x v="3"/>
    <x v="332"/>
    <s v="Small Box"/>
    <n v="0.59"/>
    <d v="2012-11-11T00:00:00"/>
    <n v="0"/>
    <n v="0"/>
    <n v="1"/>
    <n v="0.5"/>
  </r>
  <r>
    <n v="3350"/>
    <n v="23971"/>
    <x v="849"/>
    <x v="11"/>
    <s v="Critical"/>
    <n v="5"/>
    <n v="66.63"/>
    <n v="0"/>
    <s v="Regular Air"/>
    <n v="-16.920000000000002"/>
    <n v="11.97"/>
    <n v="4.9800000000000004"/>
    <x v="292"/>
    <x v="6"/>
    <x v="5"/>
    <x v="3"/>
    <x v="0"/>
    <x v="1"/>
    <x v="165"/>
    <s v="Small Box"/>
    <n v="0.57999999999999996"/>
    <d v="2009-11-24T00:00:00"/>
    <n v="0"/>
    <n v="0"/>
    <n v="1"/>
    <n v="0.5"/>
  </r>
  <r>
    <n v="3388"/>
    <n v="24135"/>
    <x v="529"/>
    <x v="38"/>
    <s v="Low"/>
    <n v="12"/>
    <n v="345.19"/>
    <n v="0.1"/>
    <s v="Regular Air"/>
    <n v="111.58799999999999"/>
    <n v="30.44"/>
    <n v="1.49"/>
    <x v="248"/>
    <x v="6"/>
    <x v="5"/>
    <x v="1"/>
    <x v="0"/>
    <x v="2"/>
    <x v="604"/>
    <s v="Small Box"/>
    <n v="0.37"/>
    <d v="2010-01-24T00:00:00"/>
    <n v="1"/>
    <n v="0"/>
    <n v="1"/>
    <n v="1"/>
  </r>
  <r>
    <n v="3395"/>
    <n v="24196"/>
    <x v="906"/>
    <x v="42"/>
    <s v="High"/>
    <n v="2"/>
    <n v="13.44"/>
    <n v="0.08"/>
    <s v="Regular Air"/>
    <n v="-8.8800000000000008"/>
    <n v="4.28"/>
    <n v="5.17"/>
    <x v="287"/>
    <x v="6"/>
    <x v="5"/>
    <x v="3"/>
    <x v="0"/>
    <x v="5"/>
    <x v="157"/>
    <s v="Small Box"/>
    <n v="0.4"/>
    <d v="2010-07-31T00:00:00"/>
    <n v="0"/>
    <n v="0"/>
    <n v="0.5"/>
    <n v="0.5"/>
  </r>
  <r>
    <n v="3396"/>
    <n v="24196"/>
    <x v="906"/>
    <x v="42"/>
    <s v="High"/>
    <n v="24"/>
    <n v="1049.49"/>
    <n v="0.05"/>
    <s v="Regular Air"/>
    <n v="-5.41"/>
    <n v="43.57"/>
    <n v="16.36"/>
    <x v="287"/>
    <x v="6"/>
    <x v="5"/>
    <x v="3"/>
    <x v="0"/>
    <x v="0"/>
    <x v="975"/>
    <s v="Small Box"/>
    <n v="0.55000000000000004"/>
    <d v="2010-08-01T00:00:00"/>
    <n v="0"/>
    <n v="0"/>
    <n v="0.5"/>
    <n v="0.5"/>
  </r>
  <r>
    <n v="3397"/>
    <n v="24197"/>
    <x v="907"/>
    <x v="6"/>
    <s v="Low"/>
    <n v="41"/>
    <n v="2354.4"/>
    <n v="0"/>
    <s v="Express Air"/>
    <n v="246.54"/>
    <n v="55.94"/>
    <n v="6.55"/>
    <x v="280"/>
    <x v="6"/>
    <x v="5"/>
    <x v="0"/>
    <x v="1"/>
    <x v="7"/>
    <x v="377"/>
    <s v="Small Box"/>
    <n v="0.68"/>
    <d v="2010-02-10T00:00:00"/>
    <n v="0"/>
    <n v="0"/>
    <n v="0.5"/>
    <n v="0.5"/>
  </r>
  <r>
    <n v="3398"/>
    <n v="24197"/>
    <x v="907"/>
    <x v="6"/>
    <s v="Low"/>
    <n v="2"/>
    <n v="35.640499999999996"/>
    <n v="0.05"/>
    <s v="Regular Air"/>
    <n v="-110.396"/>
    <n v="20.99"/>
    <n v="1.25"/>
    <x v="280"/>
    <x v="6"/>
    <x v="5"/>
    <x v="0"/>
    <x v="1"/>
    <x v="3"/>
    <x v="173"/>
    <s v="Small Pack"/>
    <n v="0.83"/>
    <d v="2010-02-10T00:00:00"/>
    <n v="0"/>
    <n v="0"/>
    <n v="0.5"/>
    <n v="0.5"/>
  </r>
  <r>
    <n v="3435"/>
    <n v="24519"/>
    <x v="908"/>
    <x v="4"/>
    <s v="Critical"/>
    <n v="22"/>
    <n v="127.56"/>
    <n v="0.03"/>
    <s v="Regular Air"/>
    <n v="-60.72"/>
    <n v="5.34"/>
    <n v="5.63"/>
    <x v="243"/>
    <x v="6"/>
    <x v="5"/>
    <x v="1"/>
    <x v="0"/>
    <x v="2"/>
    <x v="976"/>
    <s v="Small Box"/>
    <n v="0.39"/>
    <d v="2011-06-12T00:00:00"/>
    <n v="0"/>
    <n v="0"/>
    <n v="1"/>
    <n v="1"/>
  </r>
  <r>
    <n v="3439"/>
    <n v="24546"/>
    <x v="909"/>
    <x v="33"/>
    <s v="Critical"/>
    <n v="7"/>
    <n v="81.58"/>
    <n v="0.04"/>
    <s v="Regular Air"/>
    <n v="-7.78"/>
    <n v="10.98"/>
    <n v="3.37"/>
    <x v="244"/>
    <x v="6"/>
    <x v="5"/>
    <x v="3"/>
    <x v="0"/>
    <x v="15"/>
    <x v="340"/>
    <s v="Small Pack"/>
    <n v="0.56999999999999995"/>
    <d v="2012-03-27T00:00:00"/>
    <n v="0"/>
    <n v="0"/>
    <n v="1"/>
    <n v="1"/>
  </r>
  <r>
    <n v="3444"/>
    <n v="24579"/>
    <x v="390"/>
    <x v="32"/>
    <s v="High"/>
    <n v="45"/>
    <n v="13921.6"/>
    <n v="0.02"/>
    <s v="Regular Air"/>
    <n v="5183.04"/>
    <n v="300.64999999999998"/>
    <n v="24.49"/>
    <x v="244"/>
    <x v="6"/>
    <x v="5"/>
    <x v="0"/>
    <x v="0"/>
    <x v="1"/>
    <x v="255"/>
    <s v="Large Box"/>
    <n v="0.52"/>
    <d v="2012-11-19T00:00:00"/>
    <n v="0"/>
    <n v="0"/>
    <n v="0.5"/>
    <n v="0.5"/>
  </r>
  <r>
    <n v="3445"/>
    <n v="24579"/>
    <x v="390"/>
    <x v="32"/>
    <s v="High"/>
    <n v="40"/>
    <n v="467.5"/>
    <n v="0.08"/>
    <s v="Regular Air"/>
    <n v="-33.340000000000003"/>
    <n v="11.97"/>
    <n v="4.9800000000000004"/>
    <x v="244"/>
    <x v="6"/>
    <x v="5"/>
    <x v="0"/>
    <x v="0"/>
    <x v="1"/>
    <x v="165"/>
    <s v="Small Box"/>
    <n v="0.57999999999999996"/>
    <d v="2012-11-20T00:00:00"/>
    <n v="0"/>
    <n v="0"/>
    <n v="0.5"/>
    <n v="0.5"/>
  </r>
  <r>
    <n v="3448"/>
    <n v="24581"/>
    <x v="910"/>
    <x v="24"/>
    <s v="High"/>
    <n v="8"/>
    <n v="38.56"/>
    <n v="0.03"/>
    <s v="Regular Air"/>
    <n v="4.08"/>
    <n v="4.55"/>
    <n v="1.49"/>
    <x v="273"/>
    <x v="6"/>
    <x v="5"/>
    <x v="1"/>
    <x v="0"/>
    <x v="2"/>
    <x v="394"/>
    <s v="Small Box"/>
    <n v="0.35"/>
    <d v="2010-04-10T00:00:00"/>
    <n v="0"/>
    <n v="0"/>
    <n v="1"/>
    <n v="1"/>
  </r>
  <r>
    <n v="3473"/>
    <n v="24710"/>
    <x v="103"/>
    <x v="18"/>
    <s v="Low"/>
    <n v="3"/>
    <n v="22.06"/>
    <n v="0.05"/>
    <s v="Regular Air"/>
    <n v="-15.6"/>
    <n v="4.9800000000000004"/>
    <n v="7.44"/>
    <x v="285"/>
    <x v="6"/>
    <x v="5"/>
    <x v="1"/>
    <x v="0"/>
    <x v="5"/>
    <x v="877"/>
    <s v="Small Box"/>
    <n v="0.36"/>
    <d v="2010-10-04T00:00:00"/>
    <n v="0"/>
    <n v="0"/>
    <n v="1"/>
    <n v="1"/>
  </r>
  <r>
    <n v="3500"/>
    <n v="24960"/>
    <x v="90"/>
    <x v="16"/>
    <s v="High"/>
    <n v="48"/>
    <n v="1760.35"/>
    <n v="0.01"/>
    <s v="Express Air"/>
    <n v="-17.079999999999998"/>
    <n v="34.979999999999997"/>
    <n v="7.53"/>
    <x v="292"/>
    <x v="6"/>
    <x v="5"/>
    <x v="0"/>
    <x v="1"/>
    <x v="7"/>
    <x v="874"/>
    <s v="Small Box"/>
    <n v="0.76"/>
    <d v="2011-01-28T00:00:00"/>
    <n v="0"/>
    <n v="0"/>
    <n v="0.25"/>
    <n v="0.25"/>
  </r>
  <r>
    <n v="3501"/>
    <n v="24960"/>
    <x v="90"/>
    <x v="16"/>
    <s v="High"/>
    <n v="37"/>
    <n v="1436.94"/>
    <n v="0"/>
    <s v="Regular Air"/>
    <n v="639.66"/>
    <n v="37.94"/>
    <n v="5.08"/>
    <x v="292"/>
    <x v="6"/>
    <x v="5"/>
    <x v="0"/>
    <x v="0"/>
    <x v="5"/>
    <x v="532"/>
    <s v="Wrap Bag"/>
    <n v="0.38"/>
    <d v="2011-01-28T00:00:00"/>
    <n v="0"/>
    <n v="0"/>
    <n v="0.25"/>
    <n v="0.25"/>
  </r>
  <r>
    <n v="3502"/>
    <n v="24960"/>
    <x v="90"/>
    <x v="16"/>
    <s v="High"/>
    <n v="18"/>
    <n v="125.8"/>
    <n v="0.03"/>
    <s v="Regular Air"/>
    <n v="-35.979999999999997"/>
    <n v="6.48"/>
    <n v="5.87"/>
    <x v="292"/>
    <x v="6"/>
    <x v="5"/>
    <x v="0"/>
    <x v="0"/>
    <x v="5"/>
    <x v="977"/>
    <s v="Small Box"/>
    <n v="0.37"/>
    <d v="2011-01-29T00:00:00"/>
    <n v="0"/>
    <n v="0"/>
    <n v="0.25"/>
    <n v="0.25"/>
  </r>
  <r>
    <n v="3503"/>
    <n v="24960"/>
    <x v="90"/>
    <x v="16"/>
    <s v="High"/>
    <n v="35"/>
    <n v="5797.68"/>
    <n v="0.04"/>
    <s v="Regular Air"/>
    <n v="1366.569"/>
    <n v="200.99"/>
    <n v="4.2"/>
    <x v="292"/>
    <x v="6"/>
    <x v="5"/>
    <x v="0"/>
    <x v="1"/>
    <x v="3"/>
    <x v="332"/>
    <s v="Small Box"/>
    <n v="0.59"/>
    <d v="2011-01-28T00:00:00"/>
    <n v="0"/>
    <n v="0"/>
    <n v="0.25"/>
    <n v="0.25"/>
  </r>
  <r>
    <n v="3519"/>
    <n v="25061"/>
    <x v="388"/>
    <x v="25"/>
    <s v="Medium"/>
    <n v="20"/>
    <n v="941.13"/>
    <n v="0.1"/>
    <s v="Regular Air"/>
    <n v="344.95"/>
    <n v="48.04"/>
    <n v="7.23"/>
    <x v="85"/>
    <x v="6"/>
    <x v="5"/>
    <x v="3"/>
    <x v="0"/>
    <x v="5"/>
    <x v="399"/>
    <s v="Small Box"/>
    <n v="0.37"/>
    <d v="2011-12-20T00:00:00"/>
    <n v="0"/>
    <n v="0"/>
    <n v="1"/>
    <n v="1"/>
  </r>
  <r>
    <n v="3527"/>
    <n v="25095"/>
    <x v="746"/>
    <x v="16"/>
    <s v="Low"/>
    <n v="18"/>
    <n v="693.06"/>
    <n v="0.06"/>
    <s v="Regular Air"/>
    <n v="148.30000000000001"/>
    <n v="39.979999999999997"/>
    <n v="9.83"/>
    <x v="293"/>
    <x v="6"/>
    <x v="5"/>
    <x v="1"/>
    <x v="0"/>
    <x v="8"/>
    <x v="854"/>
    <s v="Small Box"/>
    <n v="0.4"/>
    <d v="2011-01-30T00:00:00"/>
    <n v="0"/>
    <n v="0"/>
    <n v="0.5"/>
    <n v="0.5"/>
  </r>
  <r>
    <n v="3528"/>
    <n v="25095"/>
    <x v="746"/>
    <x v="16"/>
    <s v="Low"/>
    <n v="41"/>
    <n v="4475.03"/>
    <n v="0.08"/>
    <s v="Delivery Truck"/>
    <n v="-167.83169999999998"/>
    <n v="115.99"/>
    <n v="56.14"/>
    <x v="293"/>
    <x v="6"/>
    <x v="5"/>
    <x v="1"/>
    <x v="1"/>
    <x v="16"/>
    <x v="357"/>
    <s v="Jumbo Drum"/>
    <n v="0.4"/>
    <d v="2011-01-25T00:00:00"/>
    <n v="0"/>
    <n v="0"/>
    <n v="0.5"/>
    <n v="0.5"/>
  </r>
  <r>
    <n v="3544"/>
    <n v="25254"/>
    <x v="638"/>
    <x v="18"/>
    <s v="Critical"/>
    <n v="35"/>
    <n v="299.68"/>
    <n v="0.06"/>
    <s v="Regular Air"/>
    <n v="-29.359500000000001"/>
    <n v="8.85"/>
    <n v="5.6"/>
    <x v="265"/>
    <x v="6"/>
    <x v="5"/>
    <x v="0"/>
    <x v="0"/>
    <x v="2"/>
    <x v="182"/>
    <s v="Small Box"/>
    <n v="0.36"/>
    <d v="2010-09-19T00:00:00"/>
    <n v="0"/>
    <n v="0"/>
    <n v="1"/>
    <n v="1"/>
  </r>
  <r>
    <n v="3583"/>
    <n v="25542"/>
    <x v="911"/>
    <x v="45"/>
    <s v="Low"/>
    <n v="37"/>
    <n v="257.45999999999998"/>
    <n v="0.09"/>
    <s v="Express Air"/>
    <n v="-18.66"/>
    <n v="7.28"/>
    <n v="4.2300000000000004"/>
    <x v="289"/>
    <x v="6"/>
    <x v="5"/>
    <x v="3"/>
    <x v="0"/>
    <x v="5"/>
    <x v="978"/>
    <s v="Wrap Bag"/>
    <n v="0.39"/>
    <d v="2012-12-30T00:00:00"/>
    <n v="0"/>
    <n v="0"/>
    <n v="1"/>
    <n v="1"/>
  </r>
  <r>
    <n v="3584"/>
    <n v="25569"/>
    <x v="168"/>
    <x v="29"/>
    <s v="High"/>
    <n v="27"/>
    <n v="311.20999999999998"/>
    <n v="0.09"/>
    <s v="Regular Air"/>
    <n v="-14.03"/>
    <n v="12.28"/>
    <n v="6.47"/>
    <x v="258"/>
    <x v="6"/>
    <x v="5"/>
    <x v="0"/>
    <x v="0"/>
    <x v="5"/>
    <x v="46"/>
    <s v="Small Box"/>
    <n v="0.38"/>
    <d v="2012-07-11T00:00:00"/>
    <n v="0"/>
    <n v="0"/>
    <n v="1"/>
    <n v="1"/>
  </r>
  <r>
    <n v="3624"/>
    <n v="25863"/>
    <x v="617"/>
    <x v="37"/>
    <s v="Not Specified"/>
    <n v="18"/>
    <n v="340.68849999999998"/>
    <n v="0"/>
    <s v="Express Air"/>
    <n v="-10.846"/>
    <n v="20.99"/>
    <n v="4.8099999999999996"/>
    <x v="294"/>
    <x v="6"/>
    <x v="5"/>
    <x v="2"/>
    <x v="1"/>
    <x v="3"/>
    <x v="591"/>
    <s v="Medium Box"/>
    <n v="0.57999999999999996"/>
    <d v="2011-04-24T00:00:00"/>
    <n v="0"/>
    <n v="0"/>
    <n v="1"/>
    <n v="1"/>
  </r>
  <r>
    <n v="3626"/>
    <n v="25895"/>
    <x v="912"/>
    <x v="13"/>
    <s v="Medium"/>
    <n v="37"/>
    <n v="709.91"/>
    <n v="0.09"/>
    <s v="Regular Air"/>
    <n v="-93.425999999999988"/>
    <n v="19.350000000000001"/>
    <n v="12.79"/>
    <x v="241"/>
    <x v="6"/>
    <x v="5"/>
    <x v="2"/>
    <x v="0"/>
    <x v="2"/>
    <x v="979"/>
    <s v="Small Box"/>
    <n v="0.39"/>
    <d v="2012-04-20T00:00:00"/>
    <n v="0"/>
    <n v="0"/>
    <n v="1"/>
    <n v="1"/>
  </r>
  <r>
    <n v="3642"/>
    <n v="26050"/>
    <x v="575"/>
    <x v="4"/>
    <s v="High"/>
    <n v="44"/>
    <n v="365.24"/>
    <n v="0.09"/>
    <s v="Regular Air"/>
    <n v="-163.13"/>
    <n v="8.74"/>
    <n v="8.2899999999999991"/>
    <x v="244"/>
    <x v="6"/>
    <x v="5"/>
    <x v="3"/>
    <x v="0"/>
    <x v="8"/>
    <x v="427"/>
    <s v="Small Box"/>
    <n v="0.38"/>
    <d v="2011-06-17T00:00:00"/>
    <n v="0"/>
    <n v="0"/>
    <n v="1"/>
    <n v="1"/>
  </r>
  <r>
    <n v="3651"/>
    <n v="26145"/>
    <x v="70"/>
    <x v="2"/>
    <s v="Low"/>
    <n v="18"/>
    <n v="99.36"/>
    <n v="0"/>
    <s v="Regular Air"/>
    <n v="-51.198"/>
    <n v="4.91"/>
    <n v="5.68"/>
    <x v="294"/>
    <x v="6"/>
    <x v="5"/>
    <x v="2"/>
    <x v="0"/>
    <x v="2"/>
    <x v="980"/>
    <s v="Small Box"/>
    <n v="0.36"/>
    <d v="2011-07-08T00:00:00"/>
    <n v="0"/>
    <n v="0"/>
    <n v="0.33333333333333331"/>
    <n v="0.33333333333333331"/>
  </r>
  <r>
    <n v="3652"/>
    <n v="26145"/>
    <x v="70"/>
    <x v="2"/>
    <s v="Low"/>
    <n v="49"/>
    <n v="510.15"/>
    <n v="0.04"/>
    <s v="Regular Air"/>
    <n v="-362.11"/>
    <n v="9.98"/>
    <n v="12.52"/>
    <x v="294"/>
    <x v="6"/>
    <x v="5"/>
    <x v="2"/>
    <x v="2"/>
    <x v="4"/>
    <x v="981"/>
    <s v="Small Box"/>
    <n v="0.56999999999999995"/>
    <d v="2011-07-04T00:00:00"/>
    <n v="0"/>
    <n v="0"/>
    <n v="0.33333333333333331"/>
    <n v="0.33333333333333331"/>
  </r>
  <r>
    <n v="3653"/>
    <n v="26145"/>
    <x v="70"/>
    <x v="2"/>
    <s v="Low"/>
    <n v="27"/>
    <n v="735.09"/>
    <n v="0.1"/>
    <s v="Regular Air"/>
    <n v="153.5"/>
    <n v="29.34"/>
    <n v="7.87"/>
    <x v="294"/>
    <x v="6"/>
    <x v="5"/>
    <x v="2"/>
    <x v="2"/>
    <x v="4"/>
    <x v="982"/>
    <s v="Small Box"/>
    <n v="0.54"/>
    <d v="2011-07-06T00:00:00"/>
    <n v="0"/>
    <n v="0"/>
    <n v="0.33333333333333331"/>
    <n v="0.33333333333333331"/>
  </r>
  <r>
    <n v="3671"/>
    <n v="26279"/>
    <x v="744"/>
    <x v="36"/>
    <s v="Not Specified"/>
    <n v="7"/>
    <n v="211.74350000000001"/>
    <n v="0.04"/>
    <s v="Regular Air"/>
    <n v="-33.308"/>
    <n v="35.99"/>
    <n v="1.25"/>
    <x v="244"/>
    <x v="6"/>
    <x v="5"/>
    <x v="3"/>
    <x v="1"/>
    <x v="3"/>
    <x v="916"/>
    <s v="Small Pack"/>
    <n v="0.36"/>
    <d v="2009-08-01T00:00:00"/>
    <n v="0"/>
    <n v="0"/>
    <n v="1"/>
    <n v="0.33333333333333331"/>
  </r>
  <r>
    <n v="3694"/>
    <n v="26406"/>
    <x v="783"/>
    <x v="37"/>
    <s v="Not Specified"/>
    <n v="40"/>
    <n v="167.46"/>
    <n v="0.09"/>
    <s v="Regular Air"/>
    <n v="-134.297"/>
    <n v="4.24"/>
    <n v="5.41"/>
    <x v="253"/>
    <x v="6"/>
    <x v="5"/>
    <x v="3"/>
    <x v="0"/>
    <x v="2"/>
    <x v="683"/>
    <s v="Small Box"/>
    <n v="0.35"/>
    <d v="2011-04-15T00:00:00"/>
    <n v="0"/>
    <n v="0"/>
    <n v="1"/>
    <n v="1"/>
  </r>
  <r>
    <n v="3717"/>
    <n v="26535"/>
    <x v="484"/>
    <x v="33"/>
    <s v="Not Specified"/>
    <n v="33"/>
    <n v="141.69999999999999"/>
    <n v="0.02"/>
    <s v="Regular Air"/>
    <n v="-103.21250000000001"/>
    <n v="3.98"/>
    <n v="5.26"/>
    <x v="241"/>
    <x v="6"/>
    <x v="5"/>
    <x v="2"/>
    <x v="0"/>
    <x v="2"/>
    <x v="983"/>
    <s v="Small Box"/>
    <n v="0.38"/>
    <d v="2012-03-22T00:00:00"/>
    <n v="0"/>
    <n v="0"/>
    <n v="1"/>
    <n v="0.5"/>
  </r>
  <r>
    <n v="3731"/>
    <n v="26661"/>
    <x v="913"/>
    <x v="45"/>
    <s v="Medium"/>
    <n v="31"/>
    <n v="1772.2244999999998"/>
    <n v="0.02"/>
    <s v="Regular Air"/>
    <n v="390.86099999999999"/>
    <n v="65.989999999999995"/>
    <n v="4.99"/>
    <x v="282"/>
    <x v="6"/>
    <x v="5"/>
    <x v="2"/>
    <x v="1"/>
    <x v="3"/>
    <x v="539"/>
    <s v="Small Box"/>
    <n v="0.56999999999999995"/>
    <d v="2012-12-20T00:00:00"/>
    <n v="0"/>
    <n v="0"/>
    <n v="1"/>
    <n v="1"/>
  </r>
  <r>
    <n v="3761"/>
    <n v="26855"/>
    <x v="689"/>
    <x v="28"/>
    <s v="High"/>
    <n v="13"/>
    <n v="396.04"/>
    <n v="0.08"/>
    <s v="Regular Air"/>
    <n v="230.02"/>
    <n v="30.93"/>
    <n v="3.92"/>
    <x v="281"/>
    <x v="6"/>
    <x v="5"/>
    <x v="0"/>
    <x v="2"/>
    <x v="4"/>
    <x v="616"/>
    <s v="Small Pack"/>
    <n v="0.44"/>
    <d v="2009-03-16T00:00:00"/>
    <n v="0"/>
    <n v="0"/>
    <n v="1"/>
    <n v="1"/>
  </r>
  <r>
    <n v="3794"/>
    <n v="27047"/>
    <x v="211"/>
    <x v="7"/>
    <s v="High"/>
    <n v="25"/>
    <n v="14240.76"/>
    <n v="0.06"/>
    <s v="Regular Air"/>
    <n v="3128.69"/>
    <n v="599.99"/>
    <n v="24.49"/>
    <x v="270"/>
    <x v="6"/>
    <x v="5"/>
    <x v="1"/>
    <x v="1"/>
    <x v="13"/>
    <x v="984"/>
    <s v="Large Box"/>
    <n v="0.5"/>
    <d v="2010-11-23T00:00:00"/>
    <n v="0"/>
    <n v="0"/>
    <n v="0.5"/>
    <n v="0.5"/>
  </r>
  <r>
    <n v="3795"/>
    <n v="27047"/>
    <x v="211"/>
    <x v="7"/>
    <s v="High"/>
    <n v="38"/>
    <n v="167.41"/>
    <n v="0.05"/>
    <s v="Regular Air"/>
    <n v="-161.57"/>
    <n v="4.28"/>
    <n v="6.72"/>
    <x v="270"/>
    <x v="6"/>
    <x v="5"/>
    <x v="1"/>
    <x v="0"/>
    <x v="5"/>
    <x v="777"/>
    <s v="Small Box"/>
    <n v="0.4"/>
    <d v="2010-11-23T00:00:00"/>
    <n v="0"/>
    <n v="0"/>
    <n v="0.5"/>
    <n v="0.5"/>
  </r>
  <r>
    <n v="3796"/>
    <n v="27077"/>
    <x v="914"/>
    <x v="14"/>
    <s v="Critical"/>
    <n v="11"/>
    <n v="1612.93"/>
    <n v="0"/>
    <s v="Regular Air"/>
    <n v="321.25"/>
    <n v="140.99"/>
    <n v="13.99"/>
    <x v="258"/>
    <x v="6"/>
    <x v="5"/>
    <x v="0"/>
    <x v="1"/>
    <x v="16"/>
    <x v="334"/>
    <s v="Medium Box"/>
    <n v="0.37"/>
    <d v="2010-03-17T00:00:00"/>
    <n v="0"/>
    <n v="0"/>
    <n v="1"/>
    <n v="1"/>
  </r>
  <r>
    <n v="3820"/>
    <n v="27236"/>
    <x v="374"/>
    <x v="14"/>
    <s v="High"/>
    <n v="20"/>
    <n v="393.31"/>
    <n v="0.04"/>
    <s v="Regular Air"/>
    <n v="84.3"/>
    <n v="19.98"/>
    <n v="5.86"/>
    <x v="250"/>
    <x v="6"/>
    <x v="5"/>
    <x v="0"/>
    <x v="0"/>
    <x v="5"/>
    <x v="985"/>
    <s v="Small Box"/>
    <n v="0.38"/>
    <d v="2010-03-03T00:00:00"/>
    <n v="0"/>
    <n v="0"/>
    <n v="1"/>
    <n v="1"/>
  </r>
  <r>
    <n v="3867"/>
    <n v="27589"/>
    <x v="339"/>
    <x v="31"/>
    <s v="Medium"/>
    <n v="20"/>
    <n v="845.7"/>
    <n v="0.02"/>
    <s v="Express Air"/>
    <n v="221.6"/>
    <n v="39.479999999999997"/>
    <n v="1.99"/>
    <x v="263"/>
    <x v="6"/>
    <x v="5"/>
    <x v="2"/>
    <x v="1"/>
    <x v="7"/>
    <x v="64"/>
    <s v="Small Pack"/>
    <n v="0.54"/>
    <d v="2011-09-17T00:00:00"/>
    <n v="0"/>
    <n v="0"/>
    <n v="0.33333333333333331"/>
    <n v="0.33333333333333331"/>
  </r>
  <r>
    <n v="3868"/>
    <n v="27589"/>
    <x v="339"/>
    <x v="31"/>
    <s v="Medium"/>
    <n v="25"/>
    <n v="467"/>
    <n v="0.04"/>
    <s v="Regular Air"/>
    <n v="69.97"/>
    <n v="17.670000000000002"/>
    <n v="8.99"/>
    <x v="263"/>
    <x v="6"/>
    <x v="5"/>
    <x v="2"/>
    <x v="2"/>
    <x v="4"/>
    <x v="594"/>
    <s v="Small Pack"/>
    <n v="0.47"/>
    <d v="2011-09-16T00:00:00"/>
    <n v="0"/>
    <n v="0"/>
    <n v="0.33333333333333331"/>
    <n v="0.33333333333333331"/>
  </r>
  <r>
    <n v="3869"/>
    <n v="27589"/>
    <x v="339"/>
    <x v="31"/>
    <s v="Medium"/>
    <n v="36"/>
    <n v="64.430000000000007"/>
    <n v="7.0000000000000007E-2"/>
    <s v="Regular Air"/>
    <n v="-18.640350000000002"/>
    <n v="1.88"/>
    <n v="1.49"/>
    <x v="263"/>
    <x v="6"/>
    <x v="5"/>
    <x v="2"/>
    <x v="2"/>
    <x v="10"/>
    <x v="398"/>
    <s v="Jumbo Box"/>
    <n v="0.66"/>
    <d v="2011-09-16T00:00:00"/>
    <n v="0"/>
    <n v="0"/>
    <n v="0.33333333333333331"/>
    <n v="0.33333333333333331"/>
  </r>
  <r>
    <n v="3875"/>
    <n v="27681"/>
    <x v="195"/>
    <x v="7"/>
    <s v="Medium"/>
    <n v="7"/>
    <n v="37.799999999999997"/>
    <n v="0.06"/>
    <s v="Regular Air"/>
    <n v="-18.309999999999999"/>
    <n v="4.9800000000000004"/>
    <n v="4.7"/>
    <x v="274"/>
    <x v="6"/>
    <x v="5"/>
    <x v="3"/>
    <x v="0"/>
    <x v="5"/>
    <x v="725"/>
    <s v="Small Box"/>
    <n v="0.38"/>
    <d v="2010-11-25T00:00:00"/>
    <n v="0"/>
    <n v="0"/>
    <n v="0.5"/>
    <n v="0.5"/>
  </r>
  <r>
    <n v="3876"/>
    <n v="27681"/>
    <x v="195"/>
    <x v="7"/>
    <s v="Medium"/>
    <n v="30"/>
    <n v="183.28"/>
    <n v="0.04"/>
    <s v="Regular Air"/>
    <n v="33.880000000000003"/>
    <n v="6.08"/>
    <n v="1.17"/>
    <x v="274"/>
    <x v="6"/>
    <x v="5"/>
    <x v="3"/>
    <x v="0"/>
    <x v="12"/>
    <x v="28"/>
    <s v="Wrap Bag"/>
    <n v="0.56000000000000005"/>
    <d v="2010-11-26T00:00:00"/>
    <n v="0"/>
    <n v="0"/>
    <n v="0.5"/>
    <n v="0.5"/>
  </r>
  <r>
    <n v="3933"/>
    <n v="28033"/>
    <x v="752"/>
    <x v="18"/>
    <s v="High"/>
    <n v="16"/>
    <n v="2826.9"/>
    <n v="7.0000000000000007E-2"/>
    <s v="Delivery Truck"/>
    <n v="337.29"/>
    <n v="180.98"/>
    <n v="26.2"/>
    <x v="272"/>
    <x v="6"/>
    <x v="5"/>
    <x v="2"/>
    <x v="2"/>
    <x v="14"/>
    <x v="155"/>
    <s v="Jumbo Drum"/>
    <n v="0.59"/>
    <d v="2010-09-16T00:00:00"/>
    <n v="0"/>
    <n v="0"/>
    <n v="0.33333333333333331"/>
    <n v="0.33333333333333331"/>
  </r>
  <r>
    <n v="3934"/>
    <n v="28033"/>
    <x v="752"/>
    <x v="18"/>
    <s v="High"/>
    <n v="37"/>
    <n v="7834.77"/>
    <n v="0.04"/>
    <s v="Delivery Truck"/>
    <n v="297.79000000000002"/>
    <n v="216.6"/>
    <n v="64.2"/>
    <x v="272"/>
    <x v="6"/>
    <x v="5"/>
    <x v="2"/>
    <x v="2"/>
    <x v="14"/>
    <x v="197"/>
    <s v="Jumbo Drum"/>
    <n v="0.59"/>
    <d v="2010-09-16T00:00:00"/>
    <n v="0"/>
    <n v="0"/>
    <n v="0.33333333333333331"/>
    <n v="0.33333333333333331"/>
  </r>
  <r>
    <n v="3935"/>
    <n v="28033"/>
    <x v="752"/>
    <x v="18"/>
    <s v="High"/>
    <n v="18"/>
    <n v="127.56"/>
    <n v="0.01"/>
    <s v="Regular Air"/>
    <n v="-57.11"/>
    <n v="6.6"/>
    <n v="4.07"/>
    <x v="272"/>
    <x v="6"/>
    <x v="5"/>
    <x v="2"/>
    <x v="1"/>
    <x v="7"/>
    <x v="882"/>
    <s v="Small Pack"/>
    <n v="0.66"/>
    <d v="2010-09-17T00:00:00"/>
    <n v="0"/>
    <n v="0"/>
    <n v="0.33333333333333331"/>
    <n v="0.33333333333333331"/>
  </r>
  <r>
    <n v="3969"/>
    <n v="28324"/>
    <x v="48"/>
    <x v="21"/>
    <s v="High"/>
    <n v="48"/>
    <n v="385.99"/>
    <n v="0.09"/>
    <s v="Regular Air"/>
    <n v="-40.72"/>
    <n v="8.67"/>
    <n v="3.5"/>
    <x v="244"/>
    <x v="6"/>
    <x v="5"/>
    <x v="0"/>
    <x v="0"/>
    <x v="1"/>
    <x v="855"/>
    <s v="Small Box"/>
    <n v="0.57999999999999996"/>
    <d v="2011-08-09T00:00:00"/>
    <n v="0"/>
    <n v="0"/>
    <n v="1"/>
    <n v="0.33333333333333331"/>
  </r>
  <r>
    <n v="4035"/>
    <n v="28805"/>
    <x v="284"/>
    <x v="37"/>
    <s v="Medium"/>
    <n v="14"/>
    <n v="97.93"/>
    <n v="7.0000000000000007E-2"/>
    <s v="Regular Air"/>
    <n v="-616.80999999999995"/>
    <n v="3.48"/>
    <n v="49"/>
    <x v="264"/>
    <x v="6"/>
    <x v="5"/>
    <x v="2"/>
    <x v="0"/>
    <x v="1"/>
    <x v="499"/>
    <s v="Large Box"/>
    <n v="0.59"/>
    <d v="2011-04-04T00:00:00"/>
    <n v="0"/>
    <n v="0"/>
    <n v="0.33333333333333331"/>
    <n v="0.33333333333333331"/>
  </r>
  <r>
    <n v="4036"/>
    <n v="28805"/>
    <x v="284"/>
    <x v="37"/>
    <s v="Medium"/>
    <n v="4"/>
    <n v="25.52"/>
    <n v="7.0000000000000007E-2"/>
    <s v="Regular Air"/>
    <n v="-1.9895"/>
    <n v="5.98"/>
    <n v="1.49"/>
    <x v="264"/>
    <x v="6"/>
    <x v="5"/>
    <x v="2"/>
    <x v="0"/>
    <x v="2"/>
    <x v="986"/>
    <s v="Small Box"/>
    <n v="0.39"/>
    <d v="2011-04-04T00:00:00"/>
    <n v="0"/>
    <n v="0"/>
    <n v="0.33333333333333331"/>
    <n v="0.33333333333333331"/>
  </r>
  <r>
    <n v="4037"/>
    <n v="28805"/>
    <x v="284"/>
    <x v="37"/>
    <s v="Medium"/>
    <n v="46"/>
    <n v="487.5"/>
    <n v="0.05"/>
    <s v="Regular Air"/>
    <n v="-25.88"/>
    <n v="10.23"/>
    <n v="4.68"/>
    <x v="264"/>
    <x v="6"/>
    <x v="5"/>
    <x v="2"/>
    <x v="0"/>
    <x v="15"/>
    <x v="804"/>
    <s v="Small Pack"/>
    <n v="0.59"/>
    <d v="2011-04-04T00:00:00"/>
    <n v="0"/>
    <n v="0"/>
    <n v="0.33333333333333331"/>
    <n v="0.33333333333333331"/>
  </r>
  <r>
    <n v="4052"/>
    <n v="28897"/>
    <x v="182"/>
    <x v="26"/>
    <s v="Medium"/>
    <n v="35"/>
    <n v="146.15"/>
    <n v="0.02"/>
    <s v="Regular Air"/>
    <n v="-180.26"/>
    <n v="4.0599999999999996"/>
    <n v="6.89"/>
    <x v="248"/>
    <x v="6"/>
    <x v="5"/>
    <x v="1"/>
    <x v="0"/>
    <x v="1"/>
    <x v="283"/>
    <s v="Small Box"/>
    <n v="0.6"/>
    <d v="2009-08-26T00:00:00"/>
    <n v="0"/>
    <n v="0"/>
    <n v="0.5"/>
    <n v="0.5"/>
  </r>
  <r>
    <n v="4053"/>
    <n v="28897"/>
    <x v="182"/>
    <x v="26"/>
    <s v="Medium"/>
    <n v="14"/>
    <n v="877.47"/>
    <n v="7.0000000000000007E-2"/>
    <s v="Regular Air"/>
    <n v="151.24"/>
    <n v="60.98"/>
    <n v="19.989999999999998"/>
    <x v="248"/>
    <x v="6"/>
    <x v="5"/>
    <x v="1"/>
    <x v="0"/>
    <x v="8"/>
    <x v="600"/>
    <s v="Small Box"/>
    <n v="0.38"/>
    <d v="2009-08-26T00:00:00"/>
    <n v="0"/>
    <n v="0"/>
    <n v="0.5"/>
    <n v="0.5"/>
  </r>
  <r>
    <n v="4062"/>
    <n v="28932"/>
    <x v="569"/>
    <x v="42"/>
    <s v="Low"/>
    <n v="24"/>
    <n v="269.57"/>
    <n v="0"/>
    <s v="Express Air"/>
    <n v="33.47"/>
    <n v="10.4"/>
    <n v="5.4"/>
    <x v="288"/>
    <x v="6"/>
    <x v="5"/>
    <x v="1"/>
    <x v="2"/>
    <x v="4"/>
    <x v="592"/>
    <s v="Small Pack"/>
    <n v="0.51"/>
    <d v="2010-07-21T00:00:00"/>
    <n v="0"/>
    <n v="0"/>
    <n v="0.5"/>
    <n v="0.5"/>
  </r>
  <r>
    <n v="4063"/>
    <n v="28932"/>
    <x v="569"/>
    <x v="42"/>
    <s v="Low"/>
    <n v="18"/>
    <n v="98.94"/>
    <n v="0.1"/>
    <s v="Regular Air"/>
    <n v="-12.59"/>
    <n v="5.85"/>
    <n v="2.27"/>
    <x v="288"/>
    <x v="6"/>
    <x v="5"/>
    <x v="1"/>
    <x v="0"/>
    <x v="12"/>
    <x v="338"/>
    <s v="Wrap Bag"/>
    <n v="0.56000000000000005"/>
    <d v="2010-07-28T00:00:00"/>
    <n v="0"/>
    <n v="0"/>
    <n v="0.5"/>
    <n v="0.5"/>
  </r>
  <r>
    <n v="4105"/>
    <n v="29219"/>
    <x v="591"/>
    <x v="46"/>
    <s v="Not Specified"/>
    <n v="29"/>
    <n v="203.4"/>
    <n v="0.04"/>
    <s v="Regular Air"/>
    <n v="24.59"/>
    <n v="7.08"/>
    <n v="2.35"/>
    <x v="287"/>
    <x v="6"/>
    <x v="5"/>
    <x v="3"/>
    <x v="0"/>
    <x v="12"/>
    <x v="174"/>
    <s v="Wrap Bag"/>
    <n v="0.47"/>
    <d v="2009-04-11T00:00:00"/>
    <n v="0"/>
    <n v="0"/>
    <n v="1"/>
    <n v="1"/>
  </r>
  <r>
    <n v="4145"/>
    <n v="29410"/>
    <x v="627"/>
    <x v="35"/>
    <s v="Critical"/>
    <n v="35"/>
    <n v="4186.53"/>
    <n v="0.04"/>
    <s v="Regular Air"/>
    <n v="1929.58"/>
    <n v="120.97"/>
    <n v="7.11"/>
    <x v="286"/>
    <x v="6"/>
    <x v="5"/>
    <x v="2"/>
    <x v="1"/>
    <x v="16"/>
    <x v="105"/>
    <s v="Medium Box"/>
    <n v="0.36"/>
    <d v="2009-09-17T00:00:00"/>
    <n v="0"/>
    <n v="0"/>
    <n v="0.5"/>
    <n v="0.25"/>
  </r>
  <r>
    <n v="4146"/>
    <n v="29410"/>
    <x v="627"/>
    <x v="35"/>
    <s v="Critical"/>
    <n v="36"/>
    <n v="6057.27"/>
    <n v="0"/>
    <s v="Regular Air"/>
    <n v="1585.5030000000002"/>
    <n v="195.99"/>
    <n v="4.2"/>
    <x v="286"/>
    <x v="6"/>
    <x v="5"/>
    <x v="2"/>
    <x v="1"/>
    <x v="3"/>
    <x v="469"/>
    <s v="Small Box"/>
    <n v="0.6"/>
    <d v="2009-09-19T00:00:00"/>
    <n v="0"/>
    <n v="0"/>
    <n v="0.5"/>
    <n v="0.25"/>
  </r>
  <r>
    <n v="4147"/>
    <n v="29411"/>
    <x v="915"/>
    <x v="13"/>
    <s v="High"/>
    <n v="29"/>
    <n v="67.87"/>
    <n v="7.0000000000000007E-2"/>
    <s v="Regular Air"/>
    <n v="-112.54"/>
    <n v="2.2200000000000002"/>
    <n v="5"/>
    <x v="281"/>
    <x v="6"/>
    <x v="5"/>
    <x v="2"/>
    <x v="0"/>
    <x v="1"/>
    <x v="987"/>
    <s v="Small Box"/>
    <n v="0.55000000000000004"/>
    <d v="2012-04-07T00:00:00"/>
    <n v="0"/>
    <n v="0"/>
    <n v="0.25"/>
    <n v="0.25"/>
  </r>
  <r>
    <n v="4148"/>
    <n v="29411"/>
    <x v="915"/>
    <x v="13"/>
    <s v="High"/>
    <n v="33"/>
    <n v="542.24"/>
    <n v="0.02"/>
    <s v="Regular Air"/>
    <n v="268.52999999999997"/>
    <n v="15.67"/>
    <n v="1.39"/>
    <x v="281"/>
    <x v="6"/>
    <x v="5"/>
    <x v="2"/>
    <x v="0"/>
    <x v="8"/>
    <x v="68"/>
    <s v="Small Box"/>
    <n v="0.38"/>
    <d v="2012-04-07T00:00:00"/>
    <n v="0"/>
    <n v="0"/>
    <n v="0.25"/>
    <n v="0.25"/>
  </r>
  <r>
    <n v="4149"/>
    <n v="29411"/>
    <x v="915"/>
    <x v="13"/>
    <s v="High"/>
    <n v="38"/>
    <n v="15174.95"/>
    <n v="0.02"/>
    <s v="Delivery Truck"/>
    <n v="7251.92"/>
    <n v="400.97"/>
    <n v="48.26"/>
    <x v="281"/>
    <x v="6"/>
    <x v="5"/>
    <x v="2"/>
    <x v="1"/>
    <x v="16"/>
    <x v="749"/>
    <s v="Jumbo Box"/>
    <n v="0.36"/>
    <d v="2012-04-06T00:00:00"/>
    <n v="0"/>
    <n v="0"/>
    <n v="0.25"/>
    <n v="0.25"/>
  </r>
  <r>
    <n v="4150"/>
    <n v="29411"/>
    <x v="915"/>
    <x v="13"/>
    <s v="High"/>
    <n v="45"/>
    <n v="1084.1199999999999"/>
    <n v="0.04"/>
    <s v="Regular Air"/>
    <n v="294.43"/>
    <n v="23.99"/>
    <n v="6.3"/>
    <x v="281"/>
    <x v="6"/>
    <x v="5"/>
    <x v="2"/>
    <x v="1"/>
    <x v="16"/>
    <x v="450"/>
    <s v="Medium Box"/>
    <n v="0.38"/>
    <d v="2012-04-06T00:00:00"/>
    <n v="0"/>
    <n v="0"/>
    <n v="0.25"/>
    <n v="0.25"/>
  </r>
  <r>
    <n v="4154"/>
    <n v="29475"/>
    <x v="430"/>
    <x v="6"/>
    <s v="High"/>
    <n v="49"/>
    <n v="235.12"/>
    <n v="0.09"/>
    <s v="Regular Air"/>
    <n v="-29.62"/>
    <n v="4.91"/>
    <n v="3.05"/>
    <x v="254"/>
    <x v="6"/>
    <x v="5"/>
    <x v="3"/>
    <x v="2"/>
    <x v="4"/>
    <x v="988"/>
    <s v="Small Pack"/>
    <n v="0.52"/>
    <d v="2010-02-24T00:00:00"/>
    <n v="0"/>
    <n v="0"/>
    <n v="0.5"/>
    <n v="0.5"/>
  </r>
  <r>
    <n v="4155"/>
    <n v="29475"/>
    <x v="430"/>
    <x v="6"/>
    <s v="High"/>
    <n v="2"/>
    <n v="1814.82"/>
    <n v="0"/>
    <s v="Delivery Truck"/>
    <n v="-1128.6600000000001"/>
    <n v="880.98"/>
    <n v="44.55"/>
    <x v="254"/>
    <x v="6"/>
    <x v="5"/>
    <x v="3"/>
    <x v="2"/>
    <x v="9"/>
    <x v="185"/>
    <s v="Jumbo Box"/>
    <n v="0.62"/>
    <d v="2010-02-25T00:00:00"/>
    <n v="0"/>
    <n v="0"/>
    <n v="0.5"/>
    <n v="0.5"/>
  </r>
  <r>
    <n v="4168"/>
    <n v="29537"/>
    <x v="73"/>
    <x v="34"/>
    <s v="Low"/>
    <n v="30"/>
    <n v="318.56"/>
    <n v="0.08"/>
    <s v="Express Air"/>
    <n v="-30.97"/>
    <n v="10.89"/>
    <n v="4.5"/>
    <x v="295"/>
    <x v="6"/>
    <x v="5"/>
    <x v="3"/>
    <x v="0"/>
    <x v="1"/>
    <x v="225"/>
    <s v="Small Box"/>
    <n v="0.59"/>
    <d v="2012-09-28T00:00:00"/>
    <n v="0"/>
    <n v="0"/>
    <n v="1"/>
    <n v="1"/>
  </r>
  <r>
    <n v="4181"/>
    <n v="29671"/>
    <x v="916"/>
    <x v="14"/>
    <s v="Critical"/>
    <n v="43"/>
    <n v="1511.7"/>
    <n v="0.02"/>
    <s v="Regular Air"/>
    <n v="221.63"/>
    <n v="34.99"/>
    <n v="7.73"/>
    <x v="243"/>
    <x v="6"/>
    <x v="5"/>
    <x v="1"/>
    <x v="0"/>
    <x v="12"/>
    <x v="989"/>
    <s v="Small Box"/>
    <n v="0.59"/>
    <d v="2010-03-23T00:00:00"/>
    <n v="0"/>
    <n v="0"/>
    <n v="1"/>
    <n v="1"/>
  </r>
  <r>
    <n v="4208"/>
    <n v="29895"/>
    <x v="192"/>
    <x v="0"/>
    <s v="Medium"/>
    <n v="43"/>
    <n v="7286.65"/>
    <n v="0.03"/>
    <s v="Delivery Truck"/>
    <n v="474.89"/>
    <n v="160.97999999999999"/>
    <n v="35.020000000000003"/>
    <x v="279"/>
    <x v="6"/>
    <x v="5"/>
    <x v="3"/>
    <x v="2"/>
    <x v="9"/>
    <x v="244"/>
    <s v="Jumbo Box"/>
    <n v="0.72"/>
    <d v="2010-10-21T00:00:00"/>
    <n v="0"/>
    <n v="0"/>
    <n v="1"/>
    <n v="1"/>
  </r>
  <r>
    <n v="4256"/>
    <n v="30308"/>
    <x v="917"/>
    <x v="14"/>
    <s v="Medium"/>
    <n v="15"/>
    <n v="30.38"/>
    <n v="0.08"/>
    <s v="Regular Air"/>
    <n v="-59.179000000000002"/>
    <n v="1.8"/>
    <n v="4.79"/>
    <x v="294"/>
    <x v="6"/>
    <x v="5"/>
    <x v="2"/>
    <x v="0"/>
    <x v="2"/>
    <x v="650"/>
    <s v="Small Box"/>
    <n v="0.37"/>
    <d v="2010-03-22T00:00:00"/>
    <n v="0"/>
    <n v="0"/>
    <n v="1"/>
    <n v="1"/>
  </r>
  <r>
    <n v="4277"/>
    <n v="30436"/>
    <x v="368"/>
    <x v="29"/>
    <s v="Low"/>
    <n v="30"/>
    <n v="121.19"/>
    <n v="0.09"/>
    <s v="Express Air"/>
    <n v="-152.1335"/>
    <n v="3.89"/>
    <n v="7.01"/>
    <x v="274"/>
    <x v="6"/>
    <x v="5"/>
    <x v="2"/>
    <x v="0"/>
    <x v="2"/>
    <x v="35"/>
    <s v="Small Box"/>
    <n v="0.37"/>
    <d v="2012-07-12T00:00:00"/>
    <n v="0"/>
    <n v="0"/>
    <n v="1"/>
    <n v="1"/>
  </r>
  <r>
    <n v="4326"/>
    <n v="30820"/>
    <x v="488"/>
    <x v="37"/>
    <s v="Critical"/>
    <n v="21"/>
    <n v="48.01"/>
    <n v="0.1"/>
    <s v="Express Air"/>
    <n v="-6.85"/>
    <n v="2.21"/>
    <n v="1.1200000000000001"/>
    <x v="292"/>
    <x v="6"/>
    <x v="5"/>
    <x v="0"/>
    <x v="0"/>
    <x v="12"/>
    <x v="128"/>
    <s v="Wrap Bag"/>
    <n v="0.57999999999999996"/>
    <d v="2011-04-10T00:00:00"/>
    <n v="0"/>
    <n v="0"/>
    <n v="1"/>
    <n v="1"/>
  </r>
  <r>
    <n v="4357"/>
    <n v="31046"/>
    <x v="745"/>
    <x v="44"/>
    <s v="Critical"/>
    <n v="42"/>
    <n v="3900.5309999999995"/>
    <n v="0.08"/>
    <s v="Regular Air"/>
    <n v="1144.6289999999999"/>
    <n v="110.99"/>
    <n v="2.5"/>
    <x v="239"/>
    <x v="6"/>
    <x v="5"/>
    <x v="2"/>
    <x v="1"/>
    <x v="3"/>
    <x v="368"/>
    <s v="Small Box"/>
    <n v="0.56999999999999995"/>
    <d v="2011-02-08T00:00:00"/>
    <n v="0"/>
    <n v="0"/>
    <n v="0.5"/>
    <n v="0.16666666666666666"/>
  </r>
  <r>
    <n v="4358"/>
    <n v="31046"/>
    <x v="745"/>
    <x v="44"/>
    <s v="Critical"/>
    <n v="35"/>
    <n v="248.42"/>
    <n v="0.02"/>
    <s v="Regular Air"/>
    <n v="-58.81"/>
    <n v="6.84"/>
    <n v="4.42"/>
    <x v="239"/>
    <x v="6"/>
    <x v="5"/>
    <x v="2"/>
    <x v="0"/>
    <x v="15"/>
    <x v="990"/>
    <s v="Small Pack"/>
    <n v="0.57999999999999996"/>
    <d v="2011-02-10T00:00:00"/>
    <n v="0"/>
    <n v="0"/>
    <n v="0.5"/>
    <n v="0.16666666666666666"/>
  </r>
  <r>
    <n v="4396"/>
    <n v="31301"/>
    <x v="918"/>
    <x v="0"/>
    <s v="Low"/>
    <n v="31"/>
    <n v="109.78"/>
    <n v="0.06"/>
    <s v="Regular Air"/>
    <n v="43.77"/>
    <n v="3.75"/>
    <n v="0.5"/>
    <x v="243"/>
    <x v="6"/>
    <x v="5"/>
    <x v="1"/>
    <x v="0"/>
    <x v="11"/>
    <x v="45"/>
    <s v="Small Box"/>
    <n v="0.37"/>
    <d v="2010-10-20T00:00:00"/>
    <n v="0"/>
    <n v="0"/>
    <n v="1"/>
    <n v="1"/>
  </r>
  <r>
    <n v="4415"/>
    <n v="31495"/>
    <x v="136"/>
    <x v="3"/>
    <s v="Low"/>
    <n v="20"/>
    <n v="191.43"/>
    <n v="0.06"/>
    <s v="Express Air"/>
    <n v="39.499499999999998"/>
    <n v="8.69"/>
    <n v="2.99"/>
    <x v="259"/>
    <x v="6"/>
    <x v="5"/>
    <x v="1"/>
    <x v="0"/>
    <x v="2"/>
    <x v="2"/>
    <s v="Small Box"/>
    <n v="0.39"/>
    <d v="2010-08-08T00:00:00"/>
    <n v="0"/>
    <n v="0"/>
    <n v="0.5"/>
    <n v="0.5"/>
  </r>
  <r>
    <n v="4416"/>
    <n v="31495"/>
    <x v="136"/>
    <x v="3"/>
    <s v="Low"/>
    <n v="34"/>
    <n v="1234.8499999999999"/>
    <n v="0.03"/>
    <s v="Regular Air"/>
    <n v="212.2"/>
    <n v="34.76"/>
    <n v="8.2200000000000006"/>
    <x v="259"/>
    <x v="6"/>
    <x v="5"/>
    <x v="1"/>
    <x v="0"/>
    <x v="0"/>
    <x v="139"/>
    <s v="Small Box"/>
    <n v="0.56999999999999995"/>
    <d v="2010-08-11T00:00:00"/>
    <n v="0"/>
    <n v="0"/>
    <n v="0.5"/>
    <n v="0.5"/>
  </r>
  <r>
    <n v="4420"/>
    <n v="31523"/>
    <x v="919"/>
    <x v="33"/>
    <s v="Low"/>
    <n v="17"/>
    <n v="105.85"/>
    <n v="0.1"/>
    <s v="Regular Air"/>
    <n v="-44.86"/>
    <n v="6.48"/>
    <n v="2.74"/>
    <x v="295"/>
    <x v="6"/>
    <x v="5"/>
    <x v="3"/>
    <x v="1"/>
    <x v="7"/>
    <x v="865"/>
    <s v="Small Pack"/>
    <n v="0.71"/>
    <d v="2012-03-10T00:00:00"/>
    <n v="0"/>
    <n v="0"/>
    <n v="0.5"/>
    <n v="0.5"/>
  </r>
  <r>
    <n v="4421"/>
    <n v="31523"/>
    <x v="919"/>
    <x v="33"/>
    <s v="Low"/>
    <n v="19"/>
    <n v="179.33"/>
    <n v="0"/>
    <s v="Regular Air"/>
    <n v="-58.76"/>
    <n v="8.74"/>
    <n v="8.2899999999999991"/>
    <x v="295"/>
    <x v="6"/>
    <x v="5"/>
    <x v="3"/>
    <x v="0"/>
    <x v="8"/>
    <x v="427"/>
    <s v="Small Box"/>
    <n v="0.38"/>
    <d v="2012-03-13T00:00:00"/>
    <n v="0"/>
    <n v="0"/>
    <n v="0.5"/>
    <n v="0.5"/>
  </r>
  <r>
    <n v="4423"/>
    <n v="31552"/>
    <x v="289"/>
    <x v="32"/>
    <s v="High"/>
    <n v="17"/>
    <n v="378.08"/>
    <n v="0"/>
    <s v="Regular Air"/>
    <n v="70.48"/>
    <n v="22.24"/>
    <n v="1.99"/>
    <x v="250"/>
    <x v="6"/>
    <x v="5"/>
    <x v="2"/>
    <x v="1"/>
    <x v="7"/>
    <x v="847"/>
    <s v="Small Pack"/>
    <n v="0.43"/>
    <d v="2012-11-14T00:00:00"/>
    <n v="0"/>
    <n v="0"/>
    <n v="0.5"/>
    <n v="0.5"/>
  </r>
  <r>
    <n v="4424"/>
    <n v="31552"/>
    <x v="289"/>
    <x v="32"/>
    <s v="High"/>
    <n v="24"/>
    <n v="731.71"/>
    <n v="0"/>
    <s v="Regular Air"/>
    <n v="175.82"/>
    <n v="29.89"/>
    <n v="1.99"/>
    <x v="250"/>
    <x v="6"/>
    <x v="5"/>
    <x v="2"/>
    <x v="1"/>
    <x v="7"/>
    <x v="412"/>
    <s v="Small Pack"/>
    <n v="0.5"/>
    <d v="2012-11-12T00:00:00"/>
    <n v="0"/>
    <n v="0"/>
    <n v="0.5"/>
    <n v="0.5"/>
  </r>
  <r>
    <n v="4480"/>
    <n v="31877"/>
    <x v="724"/>
    <x v="41"/>
    <s v="Medium"/>
    <n v="34"/>
    <n v="285.06"/>
    <n v="0.08"/>
    <s v="Regular Air"/>
    <n v="-211.54"/>
    <n v="8.3699999999999992"/>
    <n v="10.16"/>
    <x v="243"/>
    <x v="6"/>
    <x v="5"/>
    <x v="1"/>
    <x v="2"/>
    <x v="4"/>
    <x v="734"/>
    <s v="Large Box"/>
    <n v="0.59"/>
    <d v="2009-06-29T00:00:00"/>
    <n v="0"/>
    <n v="0"/>
    <n v="1"/>
    <n v="1"/>
  </r>
  <r>
    <n v="4501"/>
    <n v="32037"/>
    <x v="920"/>
    <x v="40"/>
    <s v="Low"/>
    <n v="37"/>
    <n v="311.66000000000003"/>
    <n v="0.04"/>
    <s v="Regular Air"/>
    <n v="-63.813500000000005"/>
    <n v="8.6"/>
    <n v="6.19"/>
    <x v="253"/>
    <x v="6"/>
    <x v="5"/>
    <x v="3"/>
    <x v="0"/>
    <x v="2"/>
    <x v="682"/>
    <s v="Small Box"/>
    <n v="0.38"/>
    <d v="2009-02-23T00:00:00"/>
    <n v="0"/>
    <n v="0"/>
    <n v="0.5"/>
    <n v="0.33333333333333331"/>
  </r>
  <r>
    <n v="4502"/>
    <n v="32037"/>
    <x v="920"/>
    <x v="40"/>
    <s v="Low"/>
    <n v="15"/>
    <n v="9862.51"/>
    <n v="7.0000000000000007E-2"/>
    <s v="Regular Air"/>
    <n v="325.29000000000002"/>
    <n v="699.99"/>
    <n v="24.49"/>
    <x v="253"/>
    <x v="6"/>
    <x v="5"/>
    <x v="3"/>
    <x v="1"/>
    <x v="13"/>
    <x v="991"/>
    <s v="Large Box"/>
    <n v="0.54"/>
    <d v="2009-02-20T00:00:00"/>
    <n v="0"/>
    <n v="0"/>
    <n v="0.5"/>
    <n v="0.33333333333333331"/>
  </r>
  <r>
    <n v="4515"/>
    <n v="32131"/>
    <x v="921"/>
    <x v="15"/>
    <s v="Critical"/>
    <n v="34"/>
    <n v="126.62"/>
    <n v="0.03"/>
    <s v="Regular Air"/>
    <n v="44.8"/>
    <n v="3.78"/>
    <n v="0.71"/>
    <x v="280"/>
    <x v="6"/>
    <x v="5"/>
    <x v="0"/>
    <x v="0"/>
    <x v="6"/>
    <x v="294"/>
    <s v="Wrap Bag"/>
    <n v="0.39"/>
    <d v="2010-12-29T00:00:00"/>
    <n v="0"/>
    <n v="0"/>
    <n v="1"/>
    <n v="1"/>
  </r>
  <r>
    <n v="4516"/>
    <n v="32135"/>
    <x v="273"/>
    <x v="7"/>
    <s v="High"/>
    <n v="37"/>
    <n v="1575.14"/>
    <n v="0"/>
    <s v="Regular Air"/>
    <n v="160.68"/>
    <n v="39.979999999999997"/>
    <n v="7.12"/>
    <x v="284"/>
    <x v="6"/>
    <x v="5"/>
    <x v="3"/>
    <x v="1"/>
    <x v="7"/>
    <x v="830"/>
    <s v="Small Box"/>
    <n v="0.67"/>
    <d v="2010-11-27T00:00:00"/>
    <n v="0"/>
    <n v="0"/>
    <n v="0.5"/>
    <n v="0.5"/>
  </r>
  <r>
    <n v="4517"/>
    <n v="32135"/>
    <x v="273"/>
    <x v="7"/>
    <s v="High"/>
    <n v="16"/>
    <n v="187.78"/>
    <n v="0.08"/>
    <s v="Regular Air"/>
    <n v="-21.819599999999998"/>
    <n v="11.99"/>
    <n v="5.99"/>
    <x v="284"/>
    <x v="6"/>
    <x v="5"/>
    <x v="3"/>
    <x v="1"/>
    <x v="16"/>
    <x v="765"/>
    <s v="Medium Box"/>
    <n v="0.36"/>
    <d v="2010-11-27T00:00:00"/>
    <n v="0"/>
    <n v="0"/>
    <n v="0.5"/>
    <n v="0.5"/>
  </r>
  <r>
    <n v="4526"/>
    <n v="32195"/>
    <x v="11"/>
    <x v="11"/>
    <s v="Medium"/>
    <n v="7"/>
    <n v="86.29"/>
    <n v="0.05"/>
    <s v="Regular Air"/>
    <n v="-14.03"/>
    <n v="11.58"/>
    <n v="6.97"/>
    <x v="296"/>
    <x v="6"/>
    <x v="5"/>
    <x v="3"/>
    <x v="0"/>
    <x v="8"/>
    <x v="188"/>
    <s v="Small Box"/>
    <n v="0.35"/>
    <d v="2009-11-28T00:00:00"/>
    <n v="0"/>
    <n v="0"/>
    <n v="1"/>
    <n v="1"/>
  </r>
  <r>
    <n v="4534"/>
    <n v="32230"/>
    <x v="624"/>
    <x v="9"/>
    <s v="High"/>
    <n v="46"/>
    <n v="1753.75"/>
    <n v="7.0000000000000007E-2"/>
    <s v="Regular Air"/>
    <n v="215.11"/>
    <n v="39.979999999999997"/>
    <n v="9.1999999999999993"/>
    <x v="165"/>
    <x v="6"/>
    <x v="5"/>
    <x v="1"/>
    <x v="2"/>
    <x v="4"/>
    <x v="131"/>
    <s v="Wrap Bag"/>
    <n v="0.65"/>
    <d v="2012-08-20T00:00:00"/>
    <n v="0"/>
    <n v="0"/>
    <n v="1"/>
    <n v="1"/>
  </r>
  <r>
    <n v="4562"/>
    <n v="32451"/>
    <x v="922"/>
    <x v="28"/>
    <s v="Not Specified"/>
    <n v="42"/>
    <n v="580.55999999999995"/>
    <n v="0.1"/>
    <s v="Regular Air"/>
    <n v="163.6335"/>
    <n v="14.28"/>
    <n v="2.99"/>
    <x v="287"/>
    <x v="6"/>
    <x v="5"/>
    <x v="3"/>
    <x v="0"/>
    <x v="2"/>
    <x v="992"/>
    <s v="Small Box"/>
    <n v="0.39"/>
    <d v="2009-03-25T00:00:00"/>
    <n v="0"/>
    <n v="0"/>
    <n v="1"/>
    <n v="1"/>
  </r>
  <r>
    <n v="4590"/>
    <n v="32642"/>
    <x v="923"/>
    <x v="33"/>
    <s v="Medium"/>
    <n v="50"/>
    <n v="1507.16"/>
    <n v="0.02"/>
    <s v="Regular Air"/>
    <n v="724.14"/>
    <n v="28.48"/>
    <n v="1.99"/>
    <x v="263"/>
    <x v="6"/>
    <x v="5"/>
    <x v="2"/>
    <x v="1"/>
    <x v="7"/>
    <x v="395"/>
    <s v="Small Pack"/>
    <n v="0.4"/>
    <d v="2012-03-31T00:00:00"/>
    <n v="0"/>
    <n v="0"/>
    <n v="1"/>
    <n v="1"/>
  </r>
  <r>
    <n v="4603"/>
    <n v="32803"/>
    <x v="264"/>
    <x v="25"/>
    <s v="Medium"/>
    <n v="49"/>
    <n v="371.95"/>
    <n v="0.08"/>
    <s v="Express Air"/>
    <n v="-10.327"/>
    <n v="7.84"/>
    <n v="4.71"/>
    <x v="252"/>
    <x v="6"/>
    <x v="5"/>
    <x v="2"/>
    <x v="0"/>
    <x v="2"/>
    <x v="39"/>
    <s v="Small Box"/>
    <n v="0.35"/>
    <d v="2011-12-17T00:00:00"/>
    <n v="0"/>
    <n v="0"/>
    <n v="0.5"/>
    <n v="0.5"/>
  </r>
  <r>
    <n v="4604"/>
    <n v="32803"/>
    <x v="264"/>
    <x v="25"/>
    <s v="Medium"/>
    <n v="22"/>
    <n v="96.07"/>
    <n v="0.06"/>
    <s v="Regular Air"/>
    <n v="-4.3600000000000003"/>
    <n v="4.4800000000000004"/>
    <n v="2.5"/>
    <x v="252"/>
    <x v="6"/>
    <x v="5"/>
    <x v="2"/>
    <x v="0"/>
    <x v="8"/>
    <x v="660"/>
    <s v="Small Box"/>
    <n v="0.37"/>
    <d v="2011-12-18T00:00:00"/>
    <n v="0"/>
    <n v="0"/>
    <n v="0.5"/>
    <n v="0.5"/>
  </r>
  <r>
    <n v="4610"/>
    <n v="32834"/>
    <x v="217"/>
    <x v="3"/>
    <s v="Critical"/>
    <n v="39"/>
    <n v="3460.5625"/>
    <n v="0.1"/>
    <s v="Regular Air"/>
    <n v="573.05700000000002"/>
    <n v="115.99"/>
    <n v="5.92"/>
    <x v="85"/>
    <x v="6"/>
    <x v="5"/>
    <x v="3"/>
    <x v="1"/>
    <x v="3"/>
    <x v="757"/>
    <s v="Small Box"/>
    <n v="0.57999999999999996"/>
    <d v="2010-08-28T00:00:00"/>
    <n v="0"/>
    <n v="0"/>
    <n v="1"/>
    <n v="1"/>
  </r>
  <r>
    <n v="4666"/>
    <n v="33219"/>
    <x v="924"/>
    <x v="25"/>
    <s v="High"/>
    <n v="32"/>
    <n v="7341.96"/>
    <n v="0"/>
    <s v="Delivery Truck"/>
    <n v="764.95"/>
    <n v="216.6"/>
    <n v="64.2"/>
    <x v="243"/>
    <x v="6"/>
    <x v="5"/>
    <x v="1"/>
    <x v="2"/>
    <x v="14"/>
    <x v="197"/>
    <s v="Jumbo Drum"/>
    <n v="0.59"/>
    <d v="2011-12-11T00:00:00"/>
    <n v="0"/>
    <n v="0"/>
    <n v="1"/>
    <n v="1"/>
  </r>
  <r>
    <n v="4697"/>
    <n v="33477"/>
    <x v="821"/>
    <x v="1"/>
    <s v="High"/>
    <n v="28"/>
    <n v="269.27999999999997"/>
    <n v="0.08"/>
    <s v="Regular Air"/>
    <n v="113.63"/>
    <n v="10.35"/>
    <n v="0.99"/>
    <x v="243"/>
    <x v="6"/>
    <x v="5"/>
    <x v="0"/>
    <x v="0"/>
    <x v="11"/>
    <x v="993"/>
    <s v="Small Box"/>
    <n v="0.37"/>
    <d v="2012-10-21T00:00:00"/>
    <n v="0"/>
    <n v="0"/>
    <n v="1"/>
    <n v="1"/>
  </r>
  <r>
    <n v="4793"/>
    <n v="34082"/>
    <x v="891"/>
    <x v="17"/>
    <s v="Not Specified"/>
    <n v="19"/>
    <n v="2536.1799999999998"/>
    <n v="0.1"/>
    <s v="Regular Air"/>
    <n v="350.62"/>
    <n v="142.86000000000001"/>
    <n v="19.989999999999998"/>
    <x v="272"/>
    <x v="6"/>
    <x v="5"/>
    <x v="2"/>
    <x v="0"/>
    <x v="0"/>
    <x v="690"/>
    <s v="Small Box"/>
    <n v="0.56000000000000005"/>
    <d v="2011-10-29T00:00:00"/>
    <n v="0"/>
    <n v="0"/>
    <n v="0.33333333333333331"/>
    <n v="0.33333333333333331"/>
  </r>
  <r>
    <n v="4794"/>
    <n v="34082"/>
    <x v="891"/>
    <x v="17"/>
    <s v="Not Specified"/>
    <n v="20"/>
    <n v="38.56"/>
    <n v="7.0000000000000007E-2"/>
    <s v="Regular Air"/>
    <n v="-10.246500000000001"/>
    <n v="1.88"/>
    <n v="1.49"/>
    <x v="272"/>
    <x v="6"/>
    <x v="5"/>
    <x v="2"/>
    <x v="0"/>
    <x v="2"/>
    <x v="74"/>
    <s v="Small Box"/>
    <n v="0.37"/>
    <d v="2011-10-29T00:00:00"/>
    <n v="0"/>
    <n v="0"/>
    <n v="0.33333333333333331"/>
    <n v="0.33333333333333331"/>
  </r>
  <r>
    <n v="4795"/>
    <n v="34082"/>
    <x v="891"/>
    <x v="17"/>
    <s v="Not Specified"/>
    <n v="35"/>
    <n v="764.32"/>
    <n v="0.02"/>
    <s v="Regular Air"/>
    <n v="-34.590000000000003"/>
    <n v="21.38"/>
    <n v="8.99"/>
    <x v="272"/>
    <x v="6"/>
    <x v="5"/>
    <x v="2"/>
    <x v="0"/>
    <x v="12"/>
    <x v="311"/>
    <s v="Small Pack"/>
    <n v="0.59"/>
    <d v="2011-10-30T00:00:00"/>
    <n v="0"/>
    <n v="0"/>
    <n v="0.33333333333333331"/>
    <n v="0.33333333333333331"/>
  </r>
  <r>
    <n v="4811"/>
    <n v="34211"/>
    <x v="925"/>
    <x v="12"/>
    <s v="Not Specified"/>
    <n v="15"/>
    <n v="136.49"/>
    <n v="0.1"/>
    <s v="Regular Air"/>
    <n v="36.229999999999997"/>
    <n v="9.93"/>
    <n v="1.0900000000000001"/>
    <x v="250"/>
    <x v="6"/>
    <x v="5"/>
    <x v="0"/>
    <x v="0"/>
    <x v="12"/>
    <x v="800"/>
    <s v="Wrap Bag"/>
    <n v="0.43"/>
    <d v="2012-02-16T00:00:00"/>
    <n v="0"/>
    <n v="0"/>
    <n v="1"/>
    <n v="0.33333333333333331"/>
  </r>
  <r>
    <n v="4817"/>
    <n v="34244"/>
    <x v="361"/>
    <x v="18"/>
    <s v="Low"/>
    <n v="25"/>
    <n v="205.3"/>
    <n v="0"/>
    <s v="Express Air"/>
    <n v="-89.56"/>
    <n v="7.37"/>
    <n v="5.53"/>
    <x v="243"/>
    <x v="6"/>
    <x v="5"/>
    <x v="1"/>
    <x v="1"/>
    <x v="7"/>
    <x v="827"/>
    <s v="Small Pack"/>
    <n v="0.69"/>
    <d v="2010-10-08T00:00:00"/>
    <n v="0"/>
    <n v="0"/>
    <n v="0.5"/>
    <n v="0.5"/>
  </r>
  <r>
    <n v="4818"/>
    <n v="34244"/>
    <x v="361"/>
    <x v="18"/>
    <s v="Low"/>
    <n v="4"/>
    <n v="125.7"/>
    <n v="0.04"/>
    <s v="Regular Air"/>
    <n v="-62.77"/>
    <n v="31.78"/>
    <n v="1.99"/>
    <x v="243"/>
    <x v="6"/>
    <x v="5"/>
    <x v="1"/>
    <x v="1"/>
    <x v="7"/>
    <x v="47"/>
    <s v="Small Pack"/>
    <n v="0.42"/>
    <d v="2010-10-01T00:00:00"/>
    <n v="0"/>
    <n v="0"/>
    <n v="0.5"/>
    <n v="0.5"/>
  </r>
  <r>
    <n v="4867"/>
    <n v="34658"/>
    <x v="926"/>
    <x v="7"/>
    <s v="Medium"/>
    <n v="33"/>
    <n v="2701.69"/>
    <n v="0.05"/>
    <s v="Delivery Truck"/>
    <n v="-926.33"/>
    <n v="81.94"/>
    <n v="55.81"/>
    <x v="250"/>
    <x v="6"/>
    <x v="5"/>
    <x v="0"/>
    <x v="2"/>
    <x v="9"/>
    <x v="839"/>
    <s v="Jumbo Box"/>
    <n v="0.6"/>
    <d v="2010-11-18T00:00:00"/>
    <n v="0"/>
    <n v="0"/>
    <n v="1"/>
    <n v="1"/>
  </r>
  <r>
    <n v="4890"/>
    <n v="34788"/>
    <x v="927"/>
    <x v="11"/>
    <s v="High"/>
    <n v="4"/>
    <n v="30.47"/>
    <n v="0.02"/>
    <s v="Regular Air"/>
    <n v="-10.7"/>
    <n v="5.98"/>
    <n v="5.15"/>
    <x v="250"/>
    <x v="6"/>
    <x v="5"/>
    <x v="2"/>
    <x v="0"/>
    <x v="5"/>
    <x v="773"/>
    <s v="Small Box"/>
    <n v="0.36"/>
    <d v="2009-11-11T00:00:00"/>
    <n v="0"/>
    <n v="0"/>
    <n v="1"/>
    <n v="1"/>
  </r>
  <r>
    <n v="4907"/>
    <n v="34918"/>
    <x v="207"/>
    <x v="19"/>
    <s v="Medium"/>
    <n v="12"/>
    <n v="2230.9699999999998"/>
    <n v="0.06"/>
    <s v="Delivery Truck"/>
    <n v="273.27"/>
    <n v="180.98"/>
    <n v="26.2"/>
    <x v="297"/>
    <x v="6"/>
    <x v="5"/>
    <x v="2"/>
    <x v="2"/>
    <x v="14"/>
    <x v="155"/>
    <s v="Jumbo Drum"/>
    <n v="0.59"/>
    <d v="2009-10-24T00:00:00"/>
    <n v="0"/>
    <n v="0"/>
    <n v="0.5"/>
    <n v="0.5"/>
  </r>
  <r>
    <n v="4908"/>
    <n v="34918"/>
    <x v="207"/>
    <x v="19"/>
    <s v="Medium"/>
    <n v="25"/>
    <n v="200.77"/>
    <n v="0.01"/>
    <s v="Regular Air"/>
    <n v="-60.61"/>
    <n v="7.28"/>
    <n v="7.98"/>
    <x v="297"/>
    <x v="6"/>
    <x v="5"/>
    <x v="2"/>
    <x v="2"/>
    <x v="4"/>
    <x v="994"/>
    <s v="Wrap Bag"/>
    <n v="0.42"/>
    <d v="2009-10-25T00:00:00"/>
    <n v="0"/>
    <n v="0"/>
    <n v="0.5"/>
    <n v="0.5"/>
  </r>
  <r>
    <n v="4931"/>
    <n v="35079"/>
    <x v="928"/>
    <x v="3"/>
    <s v="High"/>
    <n v="13"/>
    <n v="71.569999999999993"/>
    <n v="0.02"/>
    <s v="Regular Air"/>
    <n v="-30.6935"/>
    <n v="4.9800000000000004"/>
    <n v="4.95"/>
    <x v="263"/>
    <x v="6"/>
    <x v="5"/>
    <x v="1"/>
    <x v="2"/>
    <x v="9"/>
    <x v="207"/>
    <s v="Jumbo Box"/>
    <n v="0.65"/>
    <d v="2010-08-16T00:00:00"/>
    <n v="0"/>
    <n v="0"/>
    <n v="0.5"/>
    <n v="0.25"/>
  </r>
  <r>
    <n v="4932"/>
    <n v="35079"/>
    <x v="928"/>
    <x v="3"/>
    <s v="High"/>
    <n v="32"/>
    <n v="2062.75"/>
    <n v="0.01"/>
    <s v="Express Air"/>
    <n v="559.59"/>
    <n v="60.98"/>
    <n v="19.989999999999998"/>
    <x v="263"/>
    <x v="6"/>
    <x v="5"/>
    <x v="1"/>
    <x v="2"/>
    <x v="10"/>
    <x v="995"/>
    <s v="Large Box"/>
    <n v="0.63"/>
    <d v="2010-08-16T00:00:00"/>
    <n v="0"/>
    <n v="0"/>
    <n v="0.5"/>
    <n v="0.25"/>
  </r>
  <r>
    <n v="4935"/>
    <n v="35110"/>
    <x v="929"/>
    <x v="17"/>
    <s v="High"/>
    <n v="14"/>
    <n v="12805.25"/>
    <n v="0.01"/>
    <s v="Regular Air"/>
    <n v="5065.5069999999996"/>
    <n v="896.99"/>
    <n v="19.989999999999998"/>
    <x v="291"/>
    <x v="6"/>
    <x v="5"/>
    <x v="2"/>
    <x v="0"/>
    <x v="2"/>
    <x v="317"/>
    <s v="Small Box"/>
    <n v="0.38"/>
    <d v="2011-10-19T00:00:00"/>
    <n v="0"/>
    <n v="0"/>
    <n v="0.5"/>
    <n v="0.5"/>
  </r>
  <r>
    <n v="4936"/>
    <n v="35110"/>
    <x v="929"/>
    <x v="17"/>
    <s v="High"/>
    <n v="49"/>
    <n v="1435.32"/>
    <n v="0.02"/>
    <s v="Regular Air"/>
    <n v="485.95"/>
    <n v="29.89"/>
    <n v="1.99"/>
    <x v="291"/>
    <x v="6"/>
    <x v="5"/>
    <x v="2"/>
    <x v="1"/>
    <x v="7"/>
    <x v="412"/>
    <s v="Small Pack"/>
    <n v="0.5"/>
    <d v="2011-10-20T00:00:00"/>
    <n v="0"/>
    <n v="0"/>
    <n v="0.5"/>
    <n v="0.5"/>
  </r>
  <r>
    <n v="4992"/>
    <n v="35554"/>
    <x v="579"/>
    <x v="34"/>
    <s v="Not Specified"/>
    <n v="34"/>
    <n v="4581.54"/>
    <n v="0.05"/>
    <s v="Delivery Truck"/>
    <n v="-614.37"/>
    <n v="130.97999999999999"/>
    <n v="54.74"/>
    <x v="263"/>
    <x v="6"/>
    <x v="5"/>
    <x v="1"/>
    <x v="2"/>
    <x v="9"/>
    <x v="631"/>
    <s v="Jumbo Box"/>
    <n v="0.69"/>
    <d v="2012-09-26T00:00:00"/>
    <n v="0"/>
    <n v="0"/>
    <n v="1"/>
    <n v="0.5"/>
  </r>
  <r>
    <n v="4993"/>
    <n v="35555"/>
    <x v="428"/>
    <x v="5"/>
    <s v="Medium"/>
    <n v="50"/>
    <n v="11266.4"/>
    <n v="0.08"/>
    <s v="Delivery Truck"/>
    <n v="1902.99"/>
    <n v="243.98"/>
    <n v="43.32"/>
    <x v="252"/>
    <x v="6"/>
    <x v="5"/>
    <x v="2"/>
    <x v="2"/>
    <x v="14"/>
    <x v="130"/>
    <s v="Jumbo Drum"/>
    <n v="0.55000000000000004"/>
    <d v="2011-03-05T00:00:00"/>
    <n v="0"/>
    <n v="0"/>
    <n v="0.33333333333333331"/>
    <n v="0.2"/>
  </r>
  <r>
    <n v="4994"/>
    <n v="35555"/>
    <x v="428"/>
    <x v="5"/>
    <s v="Medium"/>
    <n v="15"/>
    <n v="71.61"/>
    <n v="0.1"/>
    <s v="Regular Air"/>
    <n v="-70.31"/>
    <n v="4.8899999999999997"/>
    <n v="4.93"/>
    <x v="252"/>
    <x v="6"/>
    <x v="5"/>
    <x v="2"/>
    <x v="1"/>
    <x v="7"/>
    <x v="23"/>
    <s v="Small Pack"/>
    <n v="0.66"/>
    <d v="2011-03-06T00:00:00"/>
    <n v="0"/>
    <n v="0"/>
    <n v="0.33333333333333331"/>
    <n v="0.2"/>
  </r>
  <r>
    <n v="4995"/>
    <n v="35555"/>
    <x v="428"/>
    <x v="5"/>
    <s v="Medium"/>
    <n v="2"/>
    <n v="10.43"/>
    <n v="7.0000000000000007E-2"/>
    <s v="Regular Air"/>
    <n v="-4.72"/>
    <n v="4.9800000000000004"/>
    <n v="0.8"/>
    <x v="252"/>
    <x v="6"/>
    <x v="5"/>
    <x v="2"/>
    <x v="0"/>
    <x v="5"/>
    <x v="657"/>
    <s v="Wrap Bag"/>
    <n v="0.36"/>
    <d v="2011-03-04T00:00:00"/>
    <n v="0"/>
    <n v="0"/>
    <n v="0.33333333333333331"/>
    <n v="0.2"/>
  </r>
  <r>
    <n v="5033"/>
    <n v="35877"/>
    <x v="262"/>
    <x v="39"/>
    <s v="High"/>
    <n v="30"/>
    <n v="129.71"/>
    <n v="0.08"/>
    <s v="Regular Air"/>
    <n v="-100.61"/>
    <n v="4.28"/>
    <n v="5.68"/>
    <x v="239"/>
    <x v="6"/>
    <x v="5"/>
    <x v="2"/>
    <x v="0"/>
    <x v="5"/>
    <x v="653"/>
    <s v="Small Box"/>
    <n v="0.4"/>
    <d v="2010-05-28T00:00:00"/>
    <n v="0"/>
    <n v="0"/>
    <n v="1"/>
    <n v="1"/>
  </r>
  <r>
    <n v="5035"/>
    <n v="35878"/>
    <x v="665"/>
    <x v="3"/>
    <s v="Medium"/>
    <n v="45"/>
    <n v="161.66999999999999"/>
    <n v="0.08"/>
    <s v="Regular Air"/>
    <n v="-7.71"/>
    <n v="3.6"/>
    <n v="2.2000000000000002"/>
    <x v="298"/>
    <x v="6"/>
    <x v="5"/>
    <x v="2"/>
    <x v="0"/>
    <x v="5"/>
    <x v="996"/>
    <s v="Wrap Bag"/>
    <n v="0.39"/>
    <d v="2010-08-15T00:00:00"/>
    <n v="0"/>
    <n v="0"/>
    <n v="0.5"/>
    <n v="0.5"/>
  </r>
  <r>
    <n v="5112"/>
    <n v="36448"/>
    <x v="930"/>
    <x v="18"/>
    <s v="Medium"/>
    <n v="6"/>
    <n v="36.65"/>
    <n v="0.03"/>
    <s v="Regular Air"/>
    <n v="0.43"/>
    <n v="6.08"/>
    <n v="0.91"/>
    <x v="257"/>
    <x v="6"/>
    <x v="5"/>
    <x v="1"/>
    <x v="0"/>
    <x v="12"/>
    <x v="997"/>
    <s v="Wrap Bag"/>
    <n v="0.51"/>
    <d v="2010-09-10T00:00:00"/>
    <n v="0"/>
    <n v="0"/>
    <n v="0.5"/>
    <n v="0.5"/>
  </r>
  <r>
    <n v="5113"/>
    <n v="36448"/>
    <x v="930"/>
    <x v="18"/>
    <s v="Medium"/>
    <n v="44"/>
    <n v="964.09"/>
    <n v="0.02"/>
    <s v="Regular Air"/>
    <n v="105.37"/>
    <n v="22.01"/>
    <n v="5.53"/>
    <x v="257"/>
    <x v="6"/>
    <x v="5"/>
    <x v="1"/>
    <x v="0"/>
    <x v="12"/>
    <x v="869"/>
    <s v="Small Pack"/>
    <n v="0.59"/>
    <d v="2010-09-11T00:00:00"/>
    <n v="0"/>
    <n v="0"/>
    <n v="0.5"/>
    <n v="0.5"/>
  </r>
  <r>
    <n v="5117"/>
    <n v="36452"/>
    <x v="931"/>
    <x v="46"/>
    <s v="High"/>
    <n v="26"/>
    <n v="564.98"/>
    <n v="0.1"/>
    <s v="Regular Air"/>
    <n v="-107.51349999999999"/>
    <n v="22.38"/>
    <n v="15.1"/>
    <x v="299"/>
    <x v="6"/>
    <x v="5"/>
    <x v="3"/>
    <x v="0"/>
    <x v="2"/>
    <x v="290"/>
    <s v="Small Box"/>
    <n v="0.38"/>
    <d v="2009-04-06T00:00:00"/>
    <n v="0"/>
    <n v="0"/>
    <n v="0.5"/>
    <n v="0.5"/>
  </r>
  <r>
    <n v="5118"/>
    <n v="36452"/>
    <x v="931"/>
    <x v="46"/>
    <s v="High"/>
    <n v="18"/>
    <n v="129.47999999999999"/>
    <n v="0.04"/>
    <s v="Regular Air"/>
    <n v="46.01"/>
    <n v="6.98"/>
    <n v="2.83"/>
    <x v="299"/>
    <x v="6"/>
    <x v="5"/>
    <x v="3"/>
    <x v="2"/>
    <x v="4"/>
    <x v="715"/>
    <s v="Small Pack"/>
    <n v="0.37"/>
    <d v="2009-04-07T00:00:00"/>
    <n v="0"/>
    <n v="0"/>
    <n v="0.5"/>
    <n v="0.5"/>
  </r>
  <r>
    <n v="5125"/>
    <n v="36484"/>
    <x v="932"/>
    <x v="23"/>
    <s v="Critical"/>
    <n v="41"/>
    <n v="2380.5695000000001"/>
    <n v="0.01"/>
    <s v="Express Air"/>
    <n v="740.47500000000002"/>
    <n v="65.989999999999995"/>
    <n v="3.9"/>
    <x v="298"/>
    <x v="6"/>
    <x v="5"/>
    <x v="2"/>
    <x v="1"/>
    <x v="3"/>
    <x v="247"/>
    <s v="Small Box"/>
    <n v="0.55000000000000004"/>
    <d v="2012-01-29T00:00:00"/>
    <n v="0"/>
    <n v="0"/>
    <n v="1"/>
    <n v="1"/>
  </r>
  <r>
    <n v="5136"/>
    <n v="36643"/>
    <x v="728"/>
    <x v="40"/>
    <s v="Critical"/>
    <n v="17"/>
    <n v="240.87"/>
    <n v="0.01"/>
    <s v="Regular Air"/>
    <n v="-36.770000000000003"/>
    <n v="13.79"/>
    <n v="8.7799999999999994"/>
    <x v="282"/>
    <x v="6"/>
    <x v="5"/>
    <x v="2"/>
    <x v="2"/>
    <x v="4"/>
    <x v="494"/>
    <s v="Small Box"/>
    <n v="0.43"/>
    <d v="2009-02-25T00:00:00"/>
    <n v="0"/>
    <n v="0"/>
    <n v="0.5"/>
    <n v="0.5"/>
  </r>
  <r>
    <n v="5137"/>
    <n v="36643"/>
    <x v="728"/>
    <x v="40"/>
    <s v="Critical"/>
    <n v="30"/>
    <n v="1025.02"/>
    <n v="0.04"/>
    <s v="Regular Air"/>
    <n v="87.03"/>
    <n v="33.29"/>
    <n v="8.74"/>
    <x v="282"/>
    <x v="6"/>
    <x v="5"/>
    <x v="2"/>
    <x v="0"/>
    <x v="0"/>
    <x v="965"/>
    <s v="Small Box"/>
    <n v="0.61"/>
    <d v="2009-02-24T00:00:00"/>
    <n v="0"/>
    <n v="0"/>
    <n v="0.5"/>
    <n v="0.5"/>
  </r>
  <r>
    <n v="5148"/>
    <n v="36679"/>
    <x v="933"/>
    <x v="21"/>
    <s v="Critical"/>
    <n v="28"/>
    <n v="1491.8264999999999"/>
    <n v="0.1"/>
    <s v="Regular Air"/>
    <n v="124.83"/>
    <n v="65.989999999999995"/>
    <n v="8.99"/>
    <x v="261"/>
    <x v="6"/>
    <x v="5"/>
    <x v="2"/>
    <x v="1"/>
    <x v="3"/>
    <x v="403"/>
    <s v="Small Box"/>
    <n v="0.56000000000000005"/>
    <d v="2011-09-02T00:00:00"/>
    <n v="0"/>
    <n v="0"/>
    <n v="1"/>
    <n v="1"/>
  </r>
  <r>
    <n v="5163"/>
    <n v="36741"/>
    <x v="412"/>
    <x v="15"/>
    <s v="Critical"/>
    <n v="26"/>
    <n v="141.4"/>
    <n v="0.08"/>
    <s v="Regular Air"/>
    <n v="34.479999999999997"/>
    <n v="5.68"/>
    <n v="1.46"/>
    <x v="300"/>
    <x v="6"/>
    <x v="5"/>
    <x v="3"/>
    <x v="0"/>
    <x v="5"/>
    <x v="258"/>
    <s v="Wrap Bag"/>
    <n v="0.39"/>
    <d v="2010-12-22T00:00:00"/>
    <n v="0"/>
    <n v="0"/>
    <n v="0.5"/>
    <n v="0.5"/>
  </r>
  <r>
    <n v="5164"/>
    <n v="36741"/>
    <x v="412"/>
    <x v="15"/>
    <s v="Critical"/>
    <n v="6"/>
    <n v="303.90899999999999"/>
    <n v="0.01"/>
    <s v="Regular Air"/>
    <n v="-254.364"/>
    <n v="55.99"/>
    <n v="5"/>
    <x v="300"/>
    <x v="6"/>
    <x v="5"/>
    <x v="3"/>
    <x v="1"/>
    <x v="3"/>
    <x v="140"/>
    <s v="Small Pack"/>
    <n v="0.83"/>
    <d v="2010-12-21T00:00:00"/>
    <n v="0"/>
    <n v="0"/>
    <n v="0.5"/>
    <n v="0.5"/>
  </r>
  <r>
    <n v="5187"/>
    <n v="36866"/>
    <x v="934"/>
    <x v="14"/>
    <s v="Low"/>
    <n v="32"/>
    <n v="6245.76"/>
    <n v="0.1"/>
    <s v="Regular Air"/>
    <n v="1462.42"/>
    <n v="210.55"/>
    <n v="9.99"/>
    <x v="293"/>
    <x v="6"/>
    <x v="5"/>
    <x v="1"/>
    <x v="0"/>
    <x v="0"/>
    <x v="524"/>
    <s v="Small Box"/>
    <n v="0.6"/>
    <d v="2010-03-26T00:00:00"/>
    <n v="0"/>
    <n v="0"/>
    <n v="1"/>
    <n v="1"/>
  </r>
  <r>
    <n v="5194"/>
    <n v="36929"/>
    <x v="935"/>
    <x v="20"/>
    <s v="Low"/>
    <n v="45"/>
    <n v="3638.27"/>
    <n v="0.04"/>
    <s v="Regular Air"/>
    <n v="1123.79"/>
    <n v="80.98"/>
    <n v="4.5"/>
    <x v="297"/>
    <x v="6"/>
    <x v="5"/>
    <x v="0"/>
    <x v="0"/>
    <x v="1"/>
    <x v="998"/>
    <s v="Small Box"/>
    <n v="0.59"/>
    <d v="2012-05-25T00:00:00"/>
    <n v="0"/>
    <n v="0"/>
    <n v="0.5"/>
    <n v="0.5"/>
  </r>
  <r>
    <n v="5195"/>
    <n v="36929"/>
    <x v="935"/>
    <x v="20"/>
    <s v="Low"/>
    <n v="37"/>
    <n v="1326.69"/>
    <n v="0"/>
    <s v="Regular Air"/>
    <n v="185.37"/>
    <n v="33.29"/>
    <n v="8.74"/>
    <x v="297"/>
    <x v="6"/>
    <x v="5"/>
    <x v="0"/>
    <x v="0"/>
    <x v="0"/>
    <x v="965"/>
    <s v="Small Box"/>
    <n v="0.61"/>
    <d v="2012-05-29T00:00:00"/>
    <n v="0"/>
    <n v="0"/>
    <n v="0.5"/>
    <n v="0.5"/>
  </r>
  <r>
    <n v="5209"/>
    <n v="36999"/>
    <x v="521"/>
    <x v="47"/>
    <s v="Medium"/>
    <n v="28"/>
    <n v="14475.74"/>
    <n v="0.06"/>
    <s v="Delivery Truck"/>
    <n v="4963.8900000000003"/>
    <n v="549.99"/>
    <n v="49"/>
    <x v="298"/>
    <x v="6"/>
    <x v="5"/>
    <x v="2"/>
    <x v="1"/>
    <x v="13"/>
    <x v="458"/>
    <s v="Jumbo Drum"/>
    <n v="0.35"/>
    <d v="2009-12-13T00:00:00"/>
    <n v="0"/>
    <n v="0"/>
    <n v="0.5"/>
    <n v="0.5"/>
  </r>
  <r>
    <n v="5210"/>
    <n v="36999"/>
    <x v="521"/>
    <x v="47"/>
    <s v="Medium"/>
    <n v="3"/>
    <n v="306.62049999999999"/>
    <n v="0.08"/>
    <s v="Express Air"/>
    <n v="-479.08299999999997"/>
    <n v="115.99"/>
    <n v="5.99"/>
    <x v="298"/>
    <x v="6"/>
    <x v="5"/>
    <x v="2"/>
    <x v="1"/>
    <x v="3"/>
    <x v="942"/>
    <s v="Small Box"/>
    <n v="0.56999999999999995"/>
    <d v="2009-12-13T00:00:00"/>
    <n v="0"/>
    <n v="0"/>
    <n v="0.5"/>
    <n v="0.5"/>
  </r>
  <r>
    <n v="5225"/>
    <n v="37216"/>
    <x v="936"/>
    <x v="7"/>
    <s v="High"/>
    <n v="24"/>
    <n v="527.25"/>
    <n v="0.01"/>
    <s v="Regular Air"/>
    <n v="74.009499999999989"/>
    <n v="20.98"/>
    <n v="8.83"/>
    <x v="299"/>
    <x v="6"/>
    <x v="5"/>
    <x v="3"/>
    <x v="0"/>
    <x v="2"/>
    <x v="350"/>
    <s v="Small Box"/>
    <n v="0.37"/>
    <d v="2010-12-01T00:00:00"/>
    <n v="0"/>
    <n v="0"/>
    <n v="1"/>
    <n v="1"/>
  </r>
  <r>
    <n v="5244"/>
    <n v="37314"/>
    <x v="622"/>
    <x v="10"/>
    <s v="Medium"/>
    <n v="21"/>
    <n v="210.86"/>
    <n v="0.04"/>
    <s v="Regular Air"/>
    <n v="5.5"/>
    <n v="9.77"/>
    <n v="6.02"/>
    <x v="296"/>
    <x v="6"/>
    <x v="5"/>
    <x v="3"/>
    <x v="2"/>
    <x v="4"/>
    <x v="321"/>
    <s v="Medium Box"/>
    <n v="0.48"/>
    <d v="2011-05-05T00:00:00"/>
    <n v="0"/>
    <n v="0"/>
    <n v="1"/>
    <n v="0.5"/>
  </r>
  <r>
    <n v="5250"/>
    <n v="37349"/>
    <x v="937"/>
    <x v="6"/>
    <s v="Critical"/>
    <n v="8"/>
    <n v="631.73"/>
    <n v="0.03"/>
    <s v="Express Air"/>
    <n v="122.43"/>
    <n v="78.69"/>
    <n v="19.989999999999998"/>
    <x v="264"/>
    <x v="6"/>
    <x v="5"/>
    <x v="2"/>
    <x v="2"/>
    <x v="4"/>
    <x v="618"/>
    <s v="Small Box"/>
    <n v="0.43"/>
    <d v="2010-02-17T00:00:00"/>
    <n v="0"/>
    <n v="0"/>
    <n v="1"/>
    <n v="1"/>
  </r>
  <r>
    <n v="5319"/>
    <n v="37828"/>
    <x v="938"/>
    <x v="37"/>
    <s v="Low"/>
    <n v="23"/>
    <n v="490.17"/>
    <n v="0.04"/>
    <s v="Regular Air"/>
    <n v="-57.09"/>
    <n v="20.97"/>
    <n v="4"/>
    <x v="291"/>
    <x v="6"/>
    <x v="5"/>
    <x v="2"/>
    <x v="1"/>
    <x v="7"/>
    <x v="154"/>
    <s v="Small Box"/>
    <n v="0.77"/>
    <d v="2011-04-25T00:00:00"/>
    <n v="0"/>
    <n v="0"/>
    <n v="0.5"/>
    <n v="0.5"/>
  </r>
  <r>
    <n v="5320"/>
    <n v="37828"/>
    <x v="938"/>
    <x v="37"/>
    <s v="Low"/>
    <n v="42"/>
    <n v="206.2"/>
    <n v="0.01"/>
    <s v="Regular Air"/>
    <n v="101.14"/>
    <n v="4.91"/>
    <n v="0.5"/>
    <x v="291"/>
    <x v="6"/>
    <x v="5"/>
    <x v="2"/>
    <x v="0"/>
    <x v="11"/>
    <x v="999"/>
    <s v="Small Box"/>
    <n v="0.36"/>
    <d v="2011-04-22T00:00:00"/>
    <n v="0"/>
    <n v="0"/>
    <n v="0.5"/>
    <n v="0.5"/>
  </r>
  <r>
    <n v="5336"/>
    <n v="37920"/>
    <x v="180"/>
    <x v="42"/>
    <s v="Critical"/>
    <n v="48"/>
    <n v="414.42"/>
    <n v="0.04"/>
    <s v="Regular Air"/>
    <n v="-380.2"/>
    <n v="8.4600000000000009"/>
    <n v="8.99"/>
    <x v="290"/>
    <x v="6"/>
    <x v="5"/>
    <x v="2"/>
    <x v="1"/>
    <x v="7"/>
    <x v="213"/>
    <s v="Small Pack"/>
    <n v="0.79"/>
    <d v="2010-07-16T00:00:00"/>
    <n v="0"/>
    <n v="0"/>
    <n v="1"/>
    <n v="1"/>
  </r>
  <r>
    <n v="5357"/>
    <n v="38052"/>
    <x v="939"/>
    <x v="12"/>
    <s v="Low"/>
    <n v="13"/>
    <n v="542.6"/>
    <n v="0.03"/>
    <s v="Regular Air"/>
    <n v="118.4"/>
    <n v="40.98"/>
    <n v="1.99"/>
    <x v="262"/>
    <x v="6"/>
    <x v="5"/>
    <x v="1"/>
    <x v="1"/>
    <x v="7"/>
    <x v="559"/>
    <s v="Small Pack"/>
    <n v="0.44"/>
    <d v="2012-02-15T00:00:00"/>
    <n v="0"/>
    <n v="0"/>
    <n v="1"/>
    <n v="1"/>
  </r>
  <r>
    <n v="5358"/>
    <n v="38080"/>
    <x v="940"/>
    <x v="35"/>
    <s v="Not Specified"/>
    <n v="26"/>
    <n v="125.01"/>
    <n v="0.08"/>
    <s v="Regular Air"/>
    <n v="-56.35"/>
    <n v="4.9800000000000004"/>
    <n v="4.7"/>
    <x v="276"/>
    <x v="6"/>
    <x v="5"/>
    <x v="1"/>
    <x v="0"/>
    <x v="5"/>
    <x v="725"/>
    <s v="Small Box"/>
    <n v="0.38"/>
    <d v="2009-09-15T00:00:00"/>
    <n v="0"/>
    <n v="0"/>
    <n v="1"/>
    <n v="1"/>
  </r>
  <r>
    <n v="5364"/>
    <n v="38145"/>
    <x v="661"/>
    <x v="35"/>
    <s v="Not Specified"/>
    <n v="33"/>
    <n v="60.92"/>
    <n v="7.0000000000000007E-2"/>
    <s v="Regular Air"/>
    <n v="-17.204000000000001"/>
    <n v="1.88"/>
    <n v="1.49"/>
    <x v="297"/>
    <x v="6"/>
    <x v="5"/>
    <x v="0"/>
    <x v="0"/>
    <x v="2"/>
    <x v="74"/>
    <s v="Small Box"/>
    <n v="0.37"/>
    <d v="2009-09-14T00:00:00"/>
    <n v="0"/>
    <n v="0"/>
    <n v="0.5"/>
    <n v="0.2"/>
  </r>
  <r>
    <n v="5365"/>
    <n v="38145"/>
    <x v="661"/>
    <x v="35"/>
    <s v="Not Specified"/>
    <n v="8"/>
    <n v="387.17"/>
    <n v="0.01"/>
    <s v="Regular Air"/>
    <n v="190.6"/>
    <n v="45.98"/>
    <n v="4.8"/>
    <x v="297"/>
    <x v="6"/>
    <x v="5"/>
    <x v="0"/>
    <x v="2"/>
    <x v="4"/>
    <x v="506"/>
    <s v="Wrap Bag"/>
    <n v="0.68"/>
    <d v="2009-09-13T00:00:00"/>
    <n v="0"/>
    <n v="0"/>
    <n v="0.5"/>
    <n v="0.2"/>
  </r>
  <r>
    <n v="5405"/>
    <n v="38437"/>
    <x v="941"/>
    <x v="20"/>
    <s v="Critical"/>
    <n v="19"/>
    <n v="4201.47"/>
    <n v="0.04"/>
    <s v="Delivery Truck"/>
    <n v="199.25"/>
    <n v="212.6"/>
    <n v="52.2"/>
    <x v="292"/>
    <x v="6"/>
    <x v="5"/>
    <x v="0"/>
    <x v="2"/>
    <x v="10"/>
    <x v="763"/>
    <s v="Jumbo Box"/>
    <n v="0.64"/>
    <d v="2012-05-09T00:00:00"/>
    <n v="0"/>
    <n v="0"/>
    <n v="0.5"/>
    <n v="0.33333333333333331"/>
  </r>
  <r>
    <n v="5406"/>
    <n v="38437"/>
    <x v="941"/>
    <x v="20"/>
    <s v="Critical"/>
    <n v="17"/>
    <n v="55.66"/>
    <n v="0.08"/>
    <s v="Regular Air"/>
    <n v="-21.4"/>
    <n v="3.28"/>
    <n v="2.31"/>
    <x v="292"/>
    <x v="6"/>
    <x v="5"/>
    <x v="0"/>
    <x v="0"/>
    <x v="12"/>
    <x v="819"/>
    <s v="Wrap Bag"/>
    <n v="0.56000000000000005"/>
    <d v="2012-05-09T00:00:00"/>
    <n v="0"/>
    <n v="0"/>
    <n v="0.5"/>
    <n v="0.33333333333333331"/>
  </r>
  <r>
    <n v="5416"/>
    <n v="38503"/>
    <x v="550"/>
    <x v="43"/>
    <s v="Low"/>
    <n v="47"/>
    <n v="5567.79"/>
    <n v="0.04"/>
    <s v="Regular Air"/>
    <n v="1726.66"/>
    <n v="120.98"/>
    <n v="3.99"/>
    <x v="267"/>
    <x v="6"/>
    <x v="5"/>
    <x v="2"/>
    <x v="0"/>
    <x v="1"/>
    <x v="1000"/>
    <s v="Small Box"/>
    <n v="0.6"/>
    <d v="2009-05-05T00:00:00"/>
    <n v="0"/>
    <n v="0"/>
    <n v="0.33333333333333331"/>
    <n v="0.33333333333333331"/>
  </r>
  <r>
    <n v="5417"/>
    <n v="38503"/>
    <x v="550"/>
    <x v="43"/>
    <s v="Low"/>
    <n v="10"/>
    <n v="503.29349999999999"/>
    <n v="0.02"/>
    <s v="Regular Air"/>
    <n v="-222.816"/>
    <n v="55.99"/>
    <n v="5"/>
    <x v="267"/>
    <x v="6"/>
    <x v="5"/>
    <x v="2"/>
    <x v="1"/>
    <x v="3"/>
    <x v="140"/>
    <s v="Small Pack"/>
    <n v="0.83"/>
    <d v="2009-05-05T00:00:00"/>
    <n v="0"/>
    <n v="0"/>
    <n v="0.33333333333333331"/>
    <n v="0.33333333333333331"/>
  </r>
  <r>
    <n v="5418"/>
    <n v="38503"/>
    <x v="550"/>
    <x v="43"/>
    <s v="Low"/>
    <n v="32"/>
    <n v="796.03"/>
    <n v="0.05"/>
    <s v="Delivery Truck"/>
    <n v="-133.71"/>
    <n v="23.99"/>
    <n v="15.68"/>
    <x v="267"/>
    <x v="6"/>
    <x v="5"/>
    <x v="2"/>
    <x v="2"/>
    <x v="4"/>
    <x v="1001"/>
    <s v="Jumbo Drum"/>
    <n v="0.62"/>
    <d v="2009-05-09T00:00:00"/>
    <n v="0"/>
    <n v="0"/>
    <n v="0.33333333333333331"/>
    <n v="0.33333333333333331"/>
  </r>
  <r>
    <n v="5422"/>
    <n v="38530"/>
    <x v="705"/>
    <x v="37"/>
    <s v="Critical"/>
    <n v="47"/>
    <n v="1980.37"/>
    <n v="0.03"/>
    <s v="Regular Air"/>
    <n v="904.82500000000005"/>
    <n v="40.98"/>
    <n v="2.99"/>
    <x v="274"/>
    <x v="6"/>
    <x v="5"/>
    <x v="3"/>
    <x v="0"/>
    <x v="2"/>
    <x v="326"/>
    <s v="Small Box"/>
    <n v="0.36"/>
    <d v="2011-04-17T00:00:00"/>
    <n v="0"/>
    <n v="0"/>
    <n v="0.5"/>
    <n v="0.5"/>
  </r>
  <r>
    <n v="5423"/>
    <n v="38530"/>
    <x v="705"/>
    <x v="37"/>
    <s v="Critical"/>
    <n v="13"/>
    <n v="642.66"/>
    <n v="0.05"/>
    <s v="Regular Air"/>
    <n v="-82.35"/>
    <n v="49.43"/>
    <n v="19.989999999999998"/>
    <x v="274"/>
    <x v="6"/>
    <x v="5"/>
    <x v="3"/>
    <x v="0"/>
    <x v="1"/>
    <x v="638"/>
    <s v="Small Box"/>
    <n v="0.56999999999999995"/>
    <d v="2011-04-17T00:00:00"/>
    <n v="0"/>
    <n v="0"/>
    <n v="0.5"/>
    <n v="0.5"/>
  </r>
  <r>
    <n v="5455"/>
    <n v="38726"/>
    <x v="883"/>
    <x v="43"/>
    <s v="Medium"/>
    <n v="44"/>
    <n v="92.86"/>
    <n v="0.04"/>
    <s v="Regular Air"/>
    <n v="-11.281500000000001"/>
    <n v="2.08"/>
    <n v="1.49"/>
    <x v="266"/>
    <x v="6"/>
    <x v="5"/>
    <x v="3"/>
    <x v="0"/>
    <x v="2"/>
    <x v="579"/>
    <s v="Small Box"/>
    <n v="0.36"/>
    <d v="2009-05-23T00:00:00"/>
    <n v="0"/>
    <n v="0"/>
    <n v="1"/>
    <n v="1"/>
  </r>
  <r>
    <n v="5531"/>
    <n v="39172"/>
    <x v="461"/>
    <x v="30"/>
    <s v="Low"/>
    <n v="38"/>
    <n v="9013.58"/>
    <n v="0.04"/>
    <s v="Regular Air"/>
    <n v="2574.36"/>
    <n v="232.58"/>
    <n v="19.989999999999998"/>
    <x v="260"/>
    <x v="6"/>
    <x v="5"/>
    <x v="3"/>
    <x v="0"/>
    <x v="1"/>
    <x v="1002"/>
    <s v="Small Box"/>
    <n v="0.59"/>
    <d v="2010-07-02T00:00:00"/>
    <n v="0"/>
    <n v="0"/>
    <n v="0.5"/>
    <n v="0.5"/>
  </r>
  <r>
    <n v="5532"/>
    <n v="39172"/>
    <x v="461"/>
    <x v="30"/>
    <s v="Low"/>
    <n v="26"/>
    <n v="175.42"/>
    <n v="0"/>
    <s v="Regular Air"/>
    <n v="-93.73"/>
    <n v="5.98"/>
    <n v="7.5"/>
    <x v="260"/>
    <x v="6"/>
    <x v="5"/>
    <x v="3"/>
    <x v="0"/>
    <x v="5"/>
    <x v="437"/>
    <s v="Small Box"/>
    <n v="0.4"/>
    <d v="2010-07-02T00:00:00"/>
    <n v="0"/>
    <n v="0"/>
    <n v="0.5"/>
    <n v="0.5"/>
  </r>
  <r>
    <n v="5547"/>
    <n v="39269"/>
    <x v="523"/>
    <x v="1"/>
    <s v="Low"/>
    <n v="16"/>
    <n v="464.69499999999999"/>
    <n v="0.06"/>
    <s v="Regular Air"/>
    <n v="107.505"/>
    <n v="35.99"/>
    <n v="2.5"/>
    <x v="254"/>
    <x v="6"/>
    <x v="5"/>
    <x v="3"/>
    <x v="1"/>
    <x v="3"/>
    <x v="1003"/>
    <s v="Small Pack"/>
    <n v="0.36"/>
    <d v="2012-11-02T00:00:00"/>
    <n v="0"/>
    <n v="0"/>
    <n v="1"/>
    <n v="1"/>
  </r>
  <r>
    <n v="5552"/>
    <n v="39330"/>
    <x v="942"/>
    <x v="42"/>
    <s v="Critical"/>
    <n v="29"/>
    <n v="184.77"/>
    <n v="0"/>
    <s v="Express Air"/>
    <n v="-71.959999999999994"/>
    <n v="5.74"/>
    <n v="5.3"/>
    <x v="277"/>
    <x v="6"/>
    <x v="5"/>
    <x v="2"/>
    <x v="0"/>
    <x v="15"/>
    <x v="1004"/>
    <s v="Small Pack"/>
    <n v="0.55000000000000004"/>
    <d v="2010-07-18T00:00:00"/>
    <n v="0"/>
    <n v="0"/>
    <n v="1"/>
    <n v="1"/>
  </r>
  <r>
    <n v="5561"/>
    <n v="39365"/>
    <x v="943"/>
    <x v="20"/>
    <s v="High"/>
    <n v="32"/>
    <n v="931.08"/>
    <n v="0.1"/>
    <s v="Express Air"/>
    <n v="269.60000000000002"/>
    <n v="29.89"/>
    <n v="1.99"/>
    <x v="292"/>
    <x v="6"/>
    <x v="5"/>
    <x v="0"/>
    <x v="1"/>
    <x v="7"/>
    <x v="412"/>
    <s v="Small Pack"/>
    <n v="0.5"/>
    <d v="2012-05-17T00:00:00"/>
    <n v="0"/>
    <n v="0"/>
    <n v="1"/>
    <n v="0.33333333333333331"/>
  </r>
  <r>
    <n v="5568"/>
    <n v="39430"/>
    <x v="848"/>
    <x v="41"/>
    <s v="Low"/>
    <n v="29"/>
    <n v="877.97"/>
    <n v="0.03"/>
    <s v="Regular Air"/>
    <n v="-144.19999999999999"/>
    <n v="30.98"/>
    <n v="6.5"/>
    <x v="253"/>
    <x v="6"/>
    <x v="5"/>
    <x v="2"/>
    <x v="1"/>
    <x v="7"/>
    <x v="630"/>
    <s v="Small Box"/>
    <n v="0.79"/>
    <d v="2009-06-17T00:00:00"/>
    <n v="0"/>
    <n v="0"/>
    <n v="1"/>
    <n v="1"/>
  </r>
  <r>
    <n v="5580"/>
    <n v="39555"/>
    <x v="944"/>
    <x v="34"/>
    <s v="Low"/>
    <n v="38"/>
    <n v="1112.54"/>
    <n v="0.01"/>
    <s v="Regular Air"/>
    <n v="352.96"/>
    <n v="27.18"/>
    <n v="8.23"/>
    <x v="281"/>
    <x v="6"/>
    <x v="5"/>
    <x v="2"/>
    <x v="0"/>
    <x v="8"/>
    <x v="632"/>
    <s v="Small Box"/>
    <n v="0.38"/>
    <d v="2012-09-09T00:00:00"/>
    <n v="0"/>
    <n v="0"/>
    <n v="1"/>
    <n v="1"/>
  </r>
  <r>
    <n v="5609"/>
    <n v="39749"/>
    <x v="148"/>
    <x v="30"/>
    <s v="High"/>
    <n v="14"/>
    <n v="125.31"/>
    <n v="0"/>
    <s v="Regular Air"/>
    <n v="26.24"/>
    <n v="7.96"/>
    <n v="4.95"/>
    <x v="248"/>
    <x v="6"/>
    <x v="5"/>
    <x v="1"/>
    <x v="2"/>
    <x v="4"/>
    <x v="736"/>
    <s v="Small Box"/>
    <n v="0.41"/>
    <d v="2010-06-29T00:00:00"/>
    <n v="0"/>
    <n v="0"/>
    <n v="0.33333333333333331"/>
    <n v="0.33333333333333331"/>
  </r>
  <r>
    <n v="5610"/>
    <n v="39749"/>
    <x v="148"/>
    <x v="30"/>
    <s v="High"/>
    <n v="45"/>
    <n v="11277.05"/>
    <n v="0.01"/>
    <s v="Delivery Truck"/>
    <n v="3497.45"/>
    <n v="264.98"/>
    <n v="17.86"/>
    <x v="248"/>
    <x v="6"/>
    <x v="5"/>
    <x v="1"/>
    <x v="1"/>
    <x v="16"/>
    <x v="908"/>
    <s v="Jumbo Drum"/>
    <n v="0.57999999999999996"/>
    <d v="2010-06-29T00:00:00"/>
    <n v="0"/>
    <n v="0"/>
    <n v="0.33333333333333331"/>
    <n v="0.33333333333333331"/>
  </r>
  <r>
    <n v="5611"/>
    <n v="39749"/>
    <x v="148"/>
    <x v="30"/>
    <s v="High"/>
    <n v="43"/>
    <n v="110.64"/>
    <n v="0.06"/>
    <s v="Regular Air"/>
    <n v="-62.6"/>
    <n v="2.6"/>
    <n v="2.4"/>
    <x v="248"/>
    <x v="6"/>
    <x v="5"/>
    <x v="1"/>
    <x v="0"/>
    <x v="12"/>
    <x v="269"/>
    <s v="Wrap Bag"/>
    <n v="0.57999999999999996"/>
    <d v="2010-06-29T00:00:00"/>
    <n v="0"/>
    <n v="0"/>
    <n v="0.33333333333333331"/>
    <n v="0.33333333333333331"/>
  </r>
  <r>
    <n v="5622"/>
    <n v="39815"/>
    <x v="945"/>
    <x v="46"/>
    <s v="Low"/>
    <n v="43"/>
    <n v="4075.3760000000002"/>
    <n v="0.05"/>
    <s v="Regular Air"/>
    <n v="841.72500000000002"/>
    <n v="115.99"/>
    <n v="8.99"/>
    <x v="65"/>
    <x v="6"/>
    <x v="5"/>
    <x v="1"/>
    <x v="1"/>
    <x v="3"/>
    <x v="662"/>
    <s v="Small Box"/>
    <n v="0.57999999999999996"/>
    <d v="2009-04-13T00:00:00"/>
    <n v="0"/>
    <n v="0"/>
    <n v="1"/>
    <n v="1"/>
  </r>
  <r>
    <n v="5651"/>
    <n v="40001"/>
    <x v="593"/>
    <x v="44"/>
    <s v="Medium"/>
    <n v="46"/>
    <n v="1736.53"/>
    <n v="0.1"/>
    <s v="Regular Air"/>
    <n v="457.03"/>
    <n v="39.479999999999997"/>
    <n v="3.99"/>
    <x v="301"/>
    <x v="6"/>
    <x v="5"/>
    <x v="3"/>
    <x v="0"/>
    <x v="1"/>
    <x v="951"/>
    <s v="Small Box"/>
    <n v="0.56000000000000005"/>
    <d v="2011-02-26T00:00:00"/>
    <n v="0"/>
    <n v="0"/>
    <n v="1"/>
    <n v="1"/>
  </r>
  <r>
    <n v="5708"/>
    <n v="40386"/>
    <x v="946"/>
    <x v="44"/>
    <s v="High"/>
    <n v="28"/>
    <n v="2905.3"/>
    <n v="0"/>
    <s v="Express Air"/>
    <n v="1704"/>
    <n v="98.31"/>
    <n v="0.49"/>
    <x v="268"/>
    <x v="6"/>
    <x v="5"/>
    <x v="0"/>
    <x v="0"/>
    <x v="11"/>
    <x v="346"/>
    <s v="Small Box"/>
    <n v="0.36"/>
    <d v="2011-02-20T00:00:00"/>
    <n v="0"/>
    <n v="0"/>
    <n v="1"/>
    <n v="1"/>
  </r>
  <r>
    <n v="5729"/>
    <n v="40647"/>
    <x v="836"/>
    <x v="26"/>
    <s v="High"/>
    <n v="47"/>
    <n v="1982.16"/>
    <n v="0.03"/>
    <s v="Regular Air"/>
    <n v="267.10000000000002"/>
    <n v="40.99"/>
    <n v="19.989999999999998"/>
    <x v="281"/>
    <x v="6"/>
    <x v="5"/>
    <x v="2"/>
    <x v="0"/>
    <x v="5"/>
    <x v="30"/>
    <s v="Small Box"/>
    <n v="0.36"/>
    <d v="2009-08-18T00:00:00"/>
    <n v="0"/>
    <n v="0"/>
    <n v="1"/>
    <n v="1"/>
  </r>
  <r>
    <n v="5796"/>
    <n v="41120"/>
    <x v="368"/>
    <x v="29"/>
    <s v="Low"/>
    <n v="35"/>
    <n v="870.75"/>
    <n v="0.09"/>
    <s v="Regular Air"/>
    <n v="100.5"/>
    <n v="26.64"/>
    <n v="5.3"/>
    <x v="263"/>
    <x v="6"/>
    <x v="5"/>
    <x v="1"/>
    <x v="2"/>
    <x v="14"/>
    <x v="1005"/>
    <s v="Medium Box"/>
    <m/>
    <d v="2012-07-09T00:00:00"/>
    <n v="0"/>
    <n v="0"/>
    <n v="0.5"/>
    <n v="0.5"/>
  </r>
  <r>
    <n v="5797"/>
    <n v="41120"/>
    <x v="368"/>
    <x v="29"/>
    <s v="Low"/>
    <n v="13"/>
    <n v="43.37"/>
    <n v="0.02"/>
    <s v="Regular Air"/>
    <n v="9.5299999999999994"/>
    <n v="3.08"/>
    <n v="0.99"/>
    <x v="263"/>
    <x v="6"/>
    <x v="5"/>
    <x v="1"/>
    <x v="2"/>
    <x v="4"/>
    <x v="321"/>
    <s v="Medium Box"/>
    <n v="0.48"/>
    <d v="2012-07-09T00:00:00"/>
    <n v="0"/>
    <n v="0"/>
    <n v="0.5"/>
    <n v="0.5"/>
  </r>
  <r>
    <n v="5798"/>
    <n v="41122"/>
    <x v="153"/>
    <x v="6"/>
    <s v="Not Specified"/>
    <n v="29"/>
    <n v="61.22"/>
    <n v="0.06"/>
    <s v="Express Air"/>
    <n v="-76.88"/>
    <n v="1.74"/>
    <n v="4.08"/>
    <x v="263"/>
    <x v="6"/>
    <x v="5"/>
    <x v="3"/>
    <x v="2"/>
    <x v="4"/>
    <x v="331"/>
    <s v="Small Pack"/>
    <n v="0.53"/>
    <d v="2010-02-23T00:00:00"/>
    <n v="0"/>
    <n v="0"/>
    <n v="1"/>
    <n v="1"/>
  </r>
  <r>
    <n v="5809"/>
    <n v="41187"/>
    <x v="103"/>
    <x v="18"/>
    <s v="Low"/>
    <n v="9"/>
    <n v="52.93"/>
    <n v="0"/>
    <s v="Regular Air"/>
    <n v="5.34"/>
    <n v="5.58"/>
    <n v="0.7"/>
    <x v="244"/>
    <x v="6"/>
    <x v="5"/>
    <x v="0"/>
    <x v="0"/>
    <x v="12"/>
    <x v="641"/>
    <s v="Wrap Bag"/>
    <n v="0.6"/>
    <d v="2010-09-30T00:00:00"/>
    <n v="0"/>
    <n v="0"/>
    <n v="0.5"/>
    <n v="0.5"/>
  </r>
  <r>
    <n v="5810"/>
    <n v="41187"/>
    <x v="103"/>
    <x v="18"/>
    <s v="Low"/>
    <n v="25"/>
    <n v="145.13"/>
    <n v="0.03"/>
    <s v="Regular Air"/>
    <n v="-42.45"/>
    <n v="5.78"/>
    <n v="4.96"/>
    <x v="244"/>
    <x v="6"/>
    <x v="5"/>
    <x v="0"/>
    <x v="0"/>
    <x v="5"/>
    <x v="572"/>
    <s v="Small Box"/>
    <n v="0.36"/>
    <d v="2010-10-04T00:00:00"/>
    <n v="0"/>
    <n v="0"/>
    <n v="0.5"/>
    <n v="0.5"/>
  </r>
  <r>
    <n v="5815"/>
    <n v="41221"/>
    <x v="661"/>
    <x v="35"/>
    <s v="Critical"/>
    <n v="4"/>
    <n v="345.57"/>
    <n v="0.06"/>
    <s v="Regular Air"/>
    <n v="-218.77"/>
    <n v="80.98"/>
    <n v="35"/>
    <x v="266"/>
    <x v="6"/>
    <x v="5"/>
    <x v="3"/>
    <x v="0"/>
    <x v="0"/>
    <x v="73"/>
    <s v="Large Box"/>
    <n v="0.81"/>
    <d v="2009-09-13T00:00:00"/>
    <n v="0"/>
    <n v="0"/>
    <n v="1"/>
    <n v="0.33333333333333331"/>
  </r>
  <r>
    <n v="5819"/>
    <n v="41282"/>
    <x v="694"/>
    <x v="36"/>
    <s v="Medium"/>
    <n v="39"/>
    <n v="916.05"/>
    <n v="0.08"/>
    <s v="Regular Air"/>
    <n v="-21.896000000000001"/>
    <n v="24.92"/>
    <n v="12.98"/>
    <x v="251"/>
    <x v="6"/>
    <x v="5"/>
    <x v="1"/>
    <x v="0"/>
    <x v="2"/>
    <x v="202"/>
    <s v="Small Box"/>
    <n v="0.39"/>
    <d v="2009-07-06T00:00:00"/>
    <n v="0"/>
    <n v="0"/>
    <n v="1"/>
    <n v="1"/>
  </r>
  <r>
    <n v="5821"/>
    <n v="41312"/>
    <x v="679"/>
    <x v="23"/>
    <s v="Not Specified"/>
    <n v="21"/>
    <n v="787.63"/>
    <n v="0.05"/>
    <s v="Regular Air"/>
    <n v="140.22"/>
    <n v="39.479999999999997"/>
    <n v="1.99"/>
    <x v="285"/>
    <x v="6"/>
    <x v="5"/>
    <x v="1"/>
    <x v="1"/>
    <x v="7"/>
    <x v="64"/>
    <s v="Small Pack"/>
    <n v="0.54"/>
    <d v="2012-02-01T00:00:00"/>
    <n v="0"/>
    <n v="0"/>
    <n v="1"/>
    <n v="1"/>
  </r>
  <r>
    <n v="5824"/>
    <n v="41318"/>
    <x v="87"/>
    <x v="17"/>
    <s v="Low"/>
    <n v="21"/>
    <n v="1223.1099999999999"/>
    <n v="0"/>
    <s v="Express Air"/>
    <n v="161.72"/>
    <n v="56.96"/>
    <n v="13.22"/>
    <x v="293"/>
    <x v="6"/>
    <x v="5"/>
    <x v="1"/>
    <x v="0"/>
    <x v="1"/>
    <x v="407"/>
    <s v="Small Box"/>
    <n v="0.56000000000000005"/>
    <d v="2011-10-18T00:00:00"/>
    <n v="0"/>
    <n v="0"/>
    <n v="1"/>
    <n v="1"/>
  </r>
  <r>
    <n v="5825"/>
    <n v="41345"/>
    <x v="947"/>
    <x v="12"/>
    <s v="Medium"/>
    <n v="36"/>
    <n v="66.41"/>
    <n v="0.04"/>
    <s v="Regular Air"/>
    <n v="0.37"/>
    <n v="1.88"/>
    <n v="0.79"/>
    <x v="284"/>
    <x v="6"/>
    <x v="5"/>
    <x v="3"/>
    <x v="0"/>
    <x v="6"/>
    <x v="1006"/>
    <s v="Wrap Bag"/>
    <n v="0.5"/>
    <d v="2012-02-02T00:00:00"/>
    <n v="0"/>
    <n v="0"/>
    <n v="1"/>
    <n v="1"/>
  </r>
  <r>
    <n v="5860"/>
    <n v="41604"/>
    <x v="948"/>
    <x v="40"/>
    <s v="Medium"/>
    <n v="22"/>
    <n v="138.24"/>
    <n v="0.06"/>
    <s v="Regular Air"/>
    <n v="-48.219499999999996"/>
    <n v="6.37"/>
    <n v="5.19"/>
    <x v="253"/>
    <x v="6"/>
    <x v="5"/>
    <x v="2"/>
    <x v="0"/>
    <x v="2"/>
    <x v="1007"/>
    <s v="Small Box"/>
    <n v="0.38"/>
    <d v="2009-02-11T00:00:00"/>
    <n v="0"/>
    <n v="0"/>
    <n v="1"/>
    <n v="0.33333333333333331"/>
  </r>
  <r>
    <n v="5909"/>
    <n v="41891"/>
    <x v="389"/>
    <x v="10"/>
    <s v="High"/>
    <n v="22"/>
    <n v="846.59"/>
    <n v="0.08"/>
    <s v="Regular Air"/>
    <n v="-1.9499999999999886"/>
    <n v="40.89"/>
    <n v="18.98"/>
    <x v="238"/>
    <x v="6"/>
    <x v="5"/>
    <x v="2"/>
    <x v="2"/>
    <x v="4"/>
    <x v="529"/>
    <s v="Small Box"/>
    <n v="0.56999999999999995"/>
    <d v="2011-05-23T00:00:00"/>
    <n v="0"/>
    <n v="0"/>
    <n v="1"/>
    <n v="1"/>
  </r>
  <r>
    <n v="5925"/>
    <n v="42022"/>
    <x v="414"/>
    <x v="35"/>
    <s v="Medium"/>
    <n v="45"/>
    <n v="338.85"/>
    <n v="0.04"/>
    <s v="Regular Air"/>
    <n v="-170.17699999999999"/>
    <n v="7.3"/>
    <n v="7.72"/>
    <x v="266"/>
    <x v="6"/>
    <x v="5"/>
    <x v="3"/>
    <x v="0"/>
    <x v="2"/>
    <x v="6"/>
    <s v="Small Box"/>
    <n v="0.38"/>
    <d v="2009-09-25T00:00:00"/>
    <n v="0"/>
    <n v="0"/>
    <n v="0.5"/>
    <n v="0.33333333333333331"/>
  </r>
  <r>
    <n v="5926"/>
    <n v="42022"/>
    <x v="414"/>
    <x v="35"/>
    <s v="Medium"/>
    <n v="11"/>
    <n v="43.25"/>
    <n v="0.06"/>
    <s v="Regular Air"/>
    <n v="-9.68"/>
    <n v="3.95"/>
    <n v="2"/>
    <x v="266"/>
    <x v="6"/>
    <x v="5"/>
    <x v="3"/>
    <x v="0"/>
    <x v="6"/>
    <x v="11"/>
    <s v="Wrap Bag"/>
    <n v="0.53"/>
    <d v="2009-09-25T00:00:00"/>
    <n v="0"/>
    <n v="0"/>
    <n v="0.5"/>
    <n v="0.33333333333333331"/>
  </r>
  <r>
    <n v="5928"/>
    <n v="42081"/>
    <x v="209"/>
    <x v="16"/>
    <s v="Low"/>
    <n v="36"/>
    <n v="188.34"/>
    <n v="0.04"/>
    <s v="Regular Air"/>
    <n v="-110.1585"/>
    <n v="5.18"/>
    <n v="5.74"/>
    <x v="265"/>
    <x v="6"/>
    <x v="5"/>
    <x v="0"/>
    <x v="0"/>
    <x v="2"/>
    <x v="460"/>
    <s v="Small Box"/>
    <n v="0.36"/>
    <d v="2011-01-15T00:00:00"/>
    <n v="0"/>
    <n v="0"/>
    <n v="0.33333333333333331"/>
    <n v="0.33333333333333331"/>
  </r>
  <r>
    <n v="5929"/>
    <n v="42081"/>
    <x v="209"/>
    <x v="16"/>
    <s v="Low"/>
    <n v="3"/>
    <n v="32.49"/>
    <n v="0.08"/>
    <s v="Regular Air"/>
    <n v="-5.05"/>
    <n v="10.94"/>
    <n v="1.39"/>
    <x v="265"/>
    <x v="6"/>
    <x v="5"/>
    <x v="0"/>
    <x v="0"/>
    <x v="8"/>
    <x v="325"/>
    <s v="Small Box"/>
    <n v="0.35"/>
    <d v="2011-01-12T00:00:00"/>
    <n v="0"/>
    <n v="0"/>
    <n v="0.33333333333333331"/>
    <n v="0.33333333333333331"/>
  </r>
  <r>
    <n v="5930"/>
    <n v="42081"/>
    <x v="209"/>
    <x v="16"/>
    <s v="Low"/>
    <n v="26"/>
    <n v="1493.8579999999999"/>
    <n v="0.02"/>
    <s v="Regular Air"/>
    <n v="183.24"/>
    <n v="65.989999999999995"/>
    <n v="8.8000000000000007"/>
    <x v="265"/>
    <x v="6"/>
    <x v="5"/>
    <x v="0"/>
    <x v="1"/>
    <x v="3"/>
    <x v="858"/>
    <s v="Small Box"/>
    <n v="0.57999999999999996"/>
    <d v="2011-01-15T00:00:00"/>
    <n v="0"/>
    <n v="0"/>
    <n v="0.33333333333333331"/>
    <n v="0.33333333333333331"/>
  </r>
  <r>
    <n v="5935"/>
    <n v="42086"/>
    <x v="517"/>
    <x v="42"/>
    <s v="High"/>
    <n v="18"/>
    <n v="50.15"/>
    <n v="0.09"/>
    <s v="Regular Air"/>
    <n v="-2.39"/>
    <n v="2.78"/>
    <n v="0.97"/>
    <x v="256"/>
    <x v="6"/>
    <x v="5"/>
    <x v="3"/>
    <x v="0"/>
    <x v="12"/>
    <x v="948"/>
    <s v="Wrap Bag"/>
    <n v="0.59"/>
    <d v="2010-07-23T00:00:00"/>
    <n v="0"/>
    <n v="0"/>
    <n v="1"/>
    <n v="1"/>
  </r>
  <r>
    <n v="5954"/>
    <n v="42246"/>
    <x v="612"/>
    <x v="13"/>
    <s v="Not Specified"/>
    <n v="40"/>
    <n v="3060.37"/>
    <n v="7.0000000000000007E-2"/>
    <s v="Regular Air"/>
    <n v="234.03"/>
    <n v="77.510000000000005"/>
    <n v="4"/>
    <x v="247"/>
    <x v="6"/>
    <x v="5"/>
    <x v="2"/>
    <x v="1"/>
    <x v="7"/>
    <x v="851"/>
    <s v="Small Box"/>
    <n v="0.76"/>
    <d v="2012-04-27T00:00:00"/>
    <n v="0"/>
    <n v="0"/>
    <n v="0.5"/>
    <n v="0.33333333333333331"/>
  </r>
  <r>
    <n v="5955"/>
    <n v="42246"/>
    <x v="612"/>
    <x v="13"/>
    <s v="Not Specified"/>
    <n v="5"/>
    <n v="25.31"/>
    <n v="0.05"/>
    <s v="Regular Air"/>
    <n v="-0.5"/>
    <n v="4.84"/>
    <n v="0.71"/>
    <x v="247"/>
    <x v="6"/>
    <x v="5"/>
    <x v="2"/>
    <x v="0"/>
    <x v="12"/>
    <x v="486"/>
    <s v="Wrap Bag"/>
    <n v="0.52"/>
    <d v="2012-04-28T00:00:00"/>
    <n v="0"/>
    <n v="0"/>
    <n v="0.5"/>
    <n v="0.33333333333333331"/>
  </r>
  <r>
    <n v="5990"/>
    <n v="42465"/>
    <x v="566"/>
    <x v="15"/>
    <s v="Medium"/>
    <n v="15"/>
    <n v="102.32"/>
    <n v="0.08"/>
    <s v="Regular Air"/>
    <n v="-32.700000000000003"/>
    <n v="6.48"/>
    <n v="5.74"/>
    <x v="238"/>
    <x v="6"/>
    <x v="5"/>
    <x v="2"/>
    <x v="0"/>
    <x v="5"/>
    <x v="552"/>
    <s v="Small Box"/>
    <n v="0.37"/>
    <d v="2010-12-22T00:00:00"/>
    <n v="0"/>
    <n v="0"/>
    <n v="1"/>
    <n v="1"/>
  </r>
  <r>
    <n v="6020"/>
    <n v="42657"/>
    <x v="269"/>
    <x v="17"/>
    <s v="Low"/>
    <n v="48"/>
    <n v="945.54"/>
    <n v="0.03"/>
    <s v="Regular Air"/>
    <n v="254.58"/>
    <n v="19.98"/>
    <n v="5.97"/>
    <x v="251"/>
    <x v="6"/>
    <x v="5"/>
    <x v="1"/>
    <x v="0"/>
    <x v="5"/>
    <x v="71"/>
    <s v="Small Box"/>
    <n v="0.38"/>
    <d v="2011-10-05T00:00:00"/>
    <n v="0"/>
    <n v="0"/>
    <n v="1"/>
    <n v="1"/>
  </r>
  <r>
    <n v="6040"/>
    <n v="42820"/>
    <x v="286"/>
    <x v="6"/>
    <s v="Low"/>
    <n v="27"/>
    <n v="141.56"/>
    <n v="0.1"/>
    <s v="Regular Air"/>
    <n v="-2.8519999999999999"/>
    <n v="5.28"/>
    <n v="2.99"/>
    <x v="247"/>
    <x v="6"/>
    <x v="5"/>
    <x v="2"/>
    <x v="0"/>
    <x v="2"/>
    <x v="13"/>
    <s v="Small Box"/>
    <n v="0.37"/>
    <d v="2010-02-23T00:00:00"/>
    <n v="0"/>
    <n v="0"/>
    <n v="1"/>
    <n v="0.5"/>
  </r>
  <r>
    <n v="6042"/>
    <n v="42848"/>
    <x v="198"/>
    <x v="1"/>
    <s v="Not Specified"/>
    <n v="50"/>
    <n v="387.79"/>
    <n v="0.01"/>
    <s v="Regular Air"/>
    <n v="-56.51"/>
    <n v="7.64"/>
    <n v="5.83"/>
    <x v="165"/>
    <x v="6"/>
    <x v="5"/>
    <x v="1"/>
    <x v="0"/>
    <x v="5"/>
    <x v="248"/>
    <s v="Wrap Bag"/>
    <n v="0.36"/>
    <d v="2012-10-08T00:00:00"/>
    <n v="0"/>
    <n v="0"/>
    <n v="1"/>
    <n v="1"/>
  </r>
  <r>
    <n v="6106"/>
    <n v="43269"/>
    <x v="591"/>
    <x v="46"/>
    <s v="Critical"/>
    <n v="16"/>
    <n v="843.15"/>
    <n v="0"/>
    <s v="Regular Air"/>
    <n v="355"/>
    <n v="48.91"/>
    <n v="5.81"/>
    <x v="252"/>
    <x v="6"/>
    <x v="5"/>
    <x v="2"/>
    <x v="0"/>
    <x v="5"/>
    <x v="83"/>
    <s v="Small Box"/>
    <n v="0.38"/>
    <d v="2009-04-12T00:00:00"/>
    <n v="0"/>
    <n v="0"/>
    <n v="0.5"/>
    <n v="0.5"/>
  </r>
  <r>
    <n v="6107"/>
    <n v="43269"/>
    <x v="591"/>
    <x v="46"/>
    <s v="Critical"/>
    <n v="24"/>
    <n v="3978.02"/>
    <n v="0.08"/>
    <s v="Regular Air"/>
    <n v="1336.9565"/>
    <n v="165.98"/>
    <n v="19.989999999999998"/>
    <x v="252"/>
    <x v="6"/>
    <x v="5"/>
    <x v="2"/>
    <x v="0"/>
    <x v="2"/>
    <x v="408"/>
    <s v="Small Box"/>
    <n v="0.4"/>
    <d v="2009-04-12T00:00:00"/>
    <n v="0"/>
    <n v="0"/>
    <n v="0.5"/>
    <n v="0.5"/>
  </r>
  <r>
    <n v="6126"/>
    <n v="43367"/>
    <x v="949"/>
    <x v="14"/>
    <s v="Critical"/>
    <n v="3"/>
    <n v="23.38"/>
    <n v="0.08"/>
    <s v="Regular Air"/>
    <n v="-12.19"/>
    <n v="6.48"/>
    <n v="5.14"/>
    <x v="302"/>
    <x v="6"/>
    <x v="5"/>
    <x v="0"/>
    <x v="0"/>
    <x v="5"/>
    <x v="896"/>
    <s v="Small Box"/>
    <n v="0.37"/>
    <d v="2010-03-12T00:00:00"/>
    <n v="0"/>
    <n v="0"/>
    <n v="0.33333333333333331"/>
    <n v="0.33333333333333331"/>
  </r>
  <r>
    <n v="6127"/>
    <n v="43367"/>
    <x v="949"/>
    <x v="14"/>
    <s v="Critical"/>
    <n v="16"/>
    <n v="139.37"/>
    <n v="0.04"/>
    <s v="Express Air"/>
    <n v="1.72"/>
    <n v="8.34"/>
    <n v="2.64"/>
    <x v="302"/>
    <x v="6"/>
    <x v="5"/>
    <x v="0"/>
    <x v="0"/>
    <x v="15"/>
    <x v="1008"/>
    <s v="Small Pack"/>
    <n v="0.59"/>
    <d v="2010-03-10T00:00:00"/>
    <n v="0"/>
    <n v="0"/>
    <n v="0.33333333333333331"/>
    <n v="0.33333333333333331"/>
  </r>
  <r>
    <n v="6128"/>
    <n v="43367"/>
    <x v="949"/>
    <x v="14"/>
    <s v="Critical"/>
    <n v="18"/>
    <n v="1221.6199999999999"/>
    <n v="0.01"/>
    <s v="Regular Air"/>
    <n v="-468.64"/>
    <n v="64.650000000000006"/>
    <n v="35"/>
    <x v="302"/>
    <x v="6"/>
    <x v="5"/>
    <x v="0"/>
    <x v="0"/>
    <x v="0"/>
    <x v="809"/>
    <s v="Large Box"/>
    <n v="0.8"/>
    <d v="2010-03-09T00:00:00"/>
    <n v="0"/>
    <n v="0"/>
    <n v="0.33333333333333331"/>
    <n v="0.33333333333333331"/>
  </r>
  <r>
    <n v="6132"/>
    <n v="43399"/>
    <x v="744"/>
    <x v="36"/>
    <s v="High"/>
    <n v="35"/>
    <n v="59.66"/>
    <n v="0.05"/>
    <s v="Regular Air"/>
    <n v="-33.340000000000003"/>
    <n v="1.68"/>
    <n v="1.57"/>
    <x v="298"/>
    <x v="6"/>
    <x v="5"/>
    <x v="2"/>
    <x v="0"/>
    <x v="12"/>
    <x v="113"/>
    <s v="Wrap Bag"/>
    <n v="0.59"/>
    <d v="2009-07-31T00:00:00"/>
    <n v="0"/>
    <n v="0"/>
    <n v="0.33333333333333331"/>
    <n v="0.25"/>
  </r>
  <r>
    <n v="6133"/>
    <n v="43399"/>
    <x v="744"/>
    <x v="36"/>
    <s v="High"/>
    <n v="2"/>
    <n v="377.01600000000002"/>
    <n v="0.1"/>
    <s v="Delivery Truck"/>
    <n v="-201.27599999999998"/>
    <n v="218.75"/>
    <n v="69.64"/>
    <x v="298"/>
    <x v="6"/>
    <x v="5"/>
    <x v="2"/>
    <x v="2"/>
    <x v="10"/>
    <x v="146"/>
    <s v="Jumbo Box"/>
    <n v="0.77"/>
    <d v="2009-08-01T00:00:00"/>
    <n v="0"/>
    <n v="0"/>
    <n v="0.33333333333333331"/>
    <n v="0.25"/>
  </r>
  <r>
    <n v="6134"/>
    <n v="43399"/>
    <x v="744"/>
    <x v="36"/>
    <s v="High"/>
    <n v="8"/>
    <n v="124.7"/>
    <n v="0"/>
    <s v="Regular Air"/>
    <n v="31.94"/>
    <n v="15.04"/>
    <n v="1.97"/>
    <x v="298"/>
    <x v="6"/>
    <x v="5"/>
    <x v="2"/>
    <x v="0"/>
    <x v="5"/>
    <x v="536"/>
    <s v="Wrap Bag"/>
    <n v="0.39"/>
    <d v="2009-08-01T00:00:00"/>
    <n v="0"/>
    <n v="0"/>
    <n v="0.33333333333333331"/>
    <n v="0.25"/>
  </r>
  <r>
    <n v="6189"/>
    <n v="43875"/>
    <x v="383"/>
    <x v="25"/>
    <s v="Critical"/>
    <n v="24"/>
    <n v="382.19"/>
    <n v="0.03"/>
    <s v="Express Air"/>
    <n v="11.39"/>
    <n v="14.42"/>
    <n v="6.75"/>
    <x v="267"/>
    <x v="6"/>
    <x v="5"/>
    <x v="2"/>
    <x v="0"/>
    <x v="1"/>
    <x v="793"/>
    <s v="Medium Box"/>
    <n v="0.52"/>
    <d v="2011-12-10T00:00:00"/>
    <n v="0"/>
    <n v="0"/>
    <n v="0.2"/>
    <n v="0.2"/>
  </r>
  <r>
    <n v="6190"/>
    <n v="43875"/>
    <x v="383"/>
    <x v="25"/>
    <s v="Critical"/>
    <n v="17"/>
    <n v="2573.92"/>
    <n v="7.0000000000000007E-2"/>
    <s v="Delivery Truck"/>
    <n v="117.23"/>
    <n v="150.97999999999999"/>
    <n v="143.71"/>
    <x v="267"/>
    <x v="6"/>
    <x v="5"/>
    <x v="2"/>
    <x v="2"/>
    <x v="14"/>
    <x v="944"/>
    <s v="Jumbo Drum"/>
    <n v="0.55000000000000004"/>
    <d v="2011-12-09T00:00:00"/>
    <n v="0"/>
    <n v="0"/>
    <n v="0.2"/>
    <n v="0.2"/>
  </r>
  <r>
    <n v="6191"/>
    <n v="43875"/>
    <x v="383"/>
    <x v="25"/>
    <s v="Critical"/>
    <n v="40"/>
    <n v="727.64"/>
    <n v="0.01"/>
    <s v="Regular Air"/>
    <n v="27.64"/>
    <n v="17.98"/>
    <n v="8.51"/>
    <x v="267"/>
    <x v="6"/>
    <x v="5"/>
    <x v="2"/>
    <x v="1"/>
    <x v="16"/>
    <x v="168"/>
    <s v="Medium Box"/>
    <n v="0.4"/>
    <d v="2011-12-09T00:00:00"/>
    <n v="0"/>
    <n v="0"/>
    <n v="0.2"/>
    <n v="0.2"/>
  </r>
  <r>
    <n v="6192"/>
    <n v="43875"/>
    <x v="383"/>
    <x v="25"/>
    <s v="Critical"/>
    <n v="16"/>
    <n v="2795.0039999999999"/>
    <n v="0.02"/>
    <s v="Regular Air"/>
    <n v="311.09400000000005"/>
    <n v="195.99"/>
    <n v="8.99"/>
    <x v="267"/>
    <x v="6"/>
    <x v="5"/>
    <x v="2"/>
    <x v="1"/>
    <x v="3"/>
    <x v="354"/>
    <s v="Small Box"/>
    <n v="0.57999999999999996"/>
    <d v="2011-12-08T00:00:00"/>
    <n v="0"/>
    <n v="0"/>
    <n v="0.2"/>
    <n v="0.2"/>
  </r>
  <r>
    <n v="6193"/>
    <n v="43875"/>
    <x v="383"/>
    <x v="25"/>
    <s v="Critical"/>
    <n v="25"/>
    <n v="2564.5774999999999"/>
    <n v="7.0000000000000007E-2"/>
    <s v="Regular Air"/>
    <n v="331.29"/>
    <n v="125.99"/>
    <n v="7.69"/>
    <x v="267"/>
    <x v="6"/>
    <x v="5"/>
    <x v="2"/>
    <x v="1"/>
    <x v="3"/>
    <x v="44"/>
    <s v="Small Box"/>
    <n v="0.57999999999999996"/>
    <d v="2011-12-09T00:00:00"/>
    <n v="0"/>
    <n v="0"/>
    <n v="0.2"/>
    <n v="0.2"/>
  </r>
  <r>
    <n v="6237"/>
    <n v="44197"/>
    <x v="950"/>
    <x v="22"/>
    <s v="High"/>
    <n v="27"/>
    <n v="3970.33"/>
    <n v="0.02"/>
    <s v="Delivery Truck"/>
    <n v="-229.79"/>
    <n v="140.97999999999999"/>
    <n v="53.48"/>
    <x v="292"/>
    <x v="6"/>
    <x v="5"/>
    <x v="0"/>
    <x v="2"/>
    <x v="9"/>
    <x v="85"/>
    <s v="Jumbo Box"/>
    <n v="0.65"/>
    <d v="2009-01-23T00:00:00"/>
    <n v="0"/>
    <n v="1"/>
    <n v="1"/>
    <n v="1"/>
  </r>
  <r>
    <n v="6242"/>
    <n v="44229"/>
    <x v="486"/>
    <x v="39"/>
    <s v="Medium"/>
    <n v="39"/>
    <n v="185.69"/>
    <n v="0.02"/>
    <s v="Regular Air"/>
    <n v="50.16"/>
    <n v="4.84"/>
    <n v="0.71"/>
    <x v="256"/>
    <x v="6"/>
    <x v="5"/>
    <x v="3"/>
    <x v="0"/>
    <x v="12"/>
    <x v="486"/>
    <s v="Wrap Bag"/>
    <n v="0.52"/>
    <d v="2010-05-14T00:00:00"/>
    <n v="0"/>
    <n v="0"/>
    <n v="1"/>
    <n v="1"/>
  </r>
  <r>
    <n v="6268"/>
    <n v="44386"/>
    <x v="97"/>
    <x v="13"/>
    <s v="Medium"/>
    <n v="27"/>
    <n v="129.06"/>
    <n v="0.1"/>
    <s v="Regular Air"/>
    <n v="-75.129499999999993"/>
    <n v="4.91"/>
    <n v="4.97"/>
    <x v="303"/>
    <x v="6"/>
    <x v="5"/>
    <x v="3"/>
    <x v="0"/>
    <x v="2"/>
    <x v="479"/>
    <s v="Small Box"/>
    <n v="0.38"/>
    <d v="2012-04-11T00:00:00"/>
    <n v="0"/>
    <n v="0"/>
    <n v="0.5"/>
    <n v="0.5"/>
  </r>
  <r>
    <n v="6269"/>
    <n v="44386"/>
    <x v="97"/>
    <x v="13"/>
    <s v="Medium"/>
    <n v="43"/>
    <n v="1236.6400000000001"/>
    <n v="0.01"/>
    <s v="Regular Air"/>
    <n v="518.80999999999995"/>
    <n v="28.48"/>
    <n v="1.99"/>
    <x v="303"/>
    <x v="6"/>
    <x v="5"/>
    <x v="3"/>
    <x v="1"/>
    <x v="7"/>
    <x v="395"/>
    <s v="Small Pack"/>
    <n v="0.4"/>
    <d v="2012-04-11T00:00:00"/>
    <n v="0"/>
    <n v="0"/>
    <n v="0.5"/>
    <n v="0.5"/>
  </r>
  <r>
    <n v="6272"/>
    <n v="44390"/>
    <x v="387"/>
    <x v="15"/>
    <s v="Not Specified"/>
    <n v="32"/>
    <n v="3234.1"/>
    <n v="0.03"/>
    <s v="Regular Air"/>
    <n v="2033.5"/>
    <n v="99.23"/>
    <n v="8.99"/>
    <x v="304"/>
    <x v="6"/>
    <x v="5"/>
    <x v="3"/>
    <x v="2"/>
    <x v="4"/>
    <x v="547"/>
    <s v="Small Pack"/>
    <n v="0.35"/>
    <d v="2010-12-05T00:00:00"/>
    <n v="0"/>
    <n v="0"/>
    <n v="1"/>
    <n v="1"/>
  </r>
  <r>
    <n v="6303"/>
    <n v="44612"/>
    <x v="951"/>
    <x v="5"/>
    <s v="High"/>
    <n v="6"/>
    <n v="428.72300000000001"/>
    <n v="0.06"/>
    <s v="Regular Air"/>
    <n v="-147.71899999999999"/>
    <n v="85.99"/>
    <n v="1.25"/>
    <x v="305"/>
    <x v="6"/>
    <x v="5"/>
    <x v="2"/>
    <x v="1"/>
    <x v="3"/>
    <x v="313"/>
    <s v="Small Pack"/>
    <n v="0.39"/>
    <d v="2011-03-15T00:00:00"/>
    <n v="0"/>
    <n v="0"/>
    <n v="1"/>
    <n v="1"/>
  </r>
  <r>
    <n v="6307"/>
    <n v="44614"/>
    <x v="202"/>
    <x v="30"/>
    <s v="Low"/>
    <n v="18"/>
    <n v="55.35"/>
    <n v="0"/>
    <s v="Express Air"/>
    <n v="-56.63"/>
    <n v="2.2200000000000002"/>
    <n v="5"/>
    <x v="294"/>
    <x v="6"/>
    <x v="5"/>
    <x v="2"/>
    <x v="0"/>
    <x v="1"/>
    <x v="987"/>
    <s v="Small Box"/>
    <n v="0.55000000000000004"/>
    <d v="2010-06-18T00:00:00"/>
    <n v="0"/>
    <n v="0"/>
    <n v="0.5"/>
    <n v="0.5"/>
  </r>
  <r>
    <n v="6308"/>
    <n v="44614"/>
    <x v="202"/>
    <x v="30"/>
    <s v="Low"/>
    <n v="27"/>
    <n v="700.35"/>
    <n v="0.06"/>
    <s v="Regular Air"/>
    <n v="-123.01"/>
    <n v="26.31"/>
    <n v="5.89"/>
    <x v="294"/>
    <x v="6"/>
    <x v="5"/>
    <x v="2"/>
    <x v="1"/>
    <x v="7"/>
    <x v="295"/>
    <s v="Small Box"/>
    <n v="0.75"/>
    <d v="2010-06-23T00:00:00"/>
    <n v="0"/>
    <n v="0"/>
    <n v="0.5"/>
    <n v="0.5"/>
  </r>
  <r>
    <n v="6309"/>
    <n v="44615"/>
    <x v="100"/>
    <x v="39"/>
    <s v="Medium"/>
    <n v="19"/>
    <n v="36.369999999999997"/>
    <n v="7.0000000000000007E-2"/>
    <s v="Regular Air"/>
    <n v="-10.257999999999999"/>
    <n v="1.88"/>
    <n v="1.49"/>
    <x v="253"/>
    <x v="6"/>
    <x v="5"/>
    <x v="3"/>
    <x v="0"/>
    <x v="2"/>
    <x v="74"/>
    <s v="Small Box"/>
    <n v="0.37"/>
    <d v="2010-05-10T00:00:00"/>
    <n v="0"/>
    <n v="0"/>
    <n v="1"/>
    <n v="1"/>
  </r>
  <r>
    <n v="6331"/>
    <n v="44864"/>
    <x v="311"/>
    <x v="30"/>
    <s v="Low"/>
    <n v="25"/>
    <n v="187.55"/>
    <n v="0.1"/>
    <s v="Regular Air"/>
    <n v="-171.41"/>
    <n v="7.77"/>
    <n v="9.23"/>
    <x v="306"/>
    <x v="6"/>
    <x v="5"/>
    <x v="2"/>
    <x v="0"/>
    <x v="1"/>
    <x v="1009"/>
    <s v="Small Box"/>
    <n v="0.57999999999999996"/>
    <d v="2010-06-24T00:00:00"/>
    <n v="0"/>
    <n v="0"/>
    <n v="1"/>
    <n v="0.33333333333333331"/>
  </r>
  <r>
    <n v="6336"/>
    <n v="44900"/>
    <x v="79"/>
    <x v="6"/>
    <s v="Medium"/>
    <n v="4"/>
    <n v="47.03"/>
    <n v="0.08"/>
    <s v="Regular Air"/>
    <n v="-12.03"/>
    <n v="11.19"/>
    <n v="5.03"/>
    <x v="295"/>
    <x v="6"/>
    <x v="5"/>
    <x v="3"/>
    <x v="0"/>
    <x v="5"/>
    <x v="1010"/>
    <s v="Small Box"/>
    <n v="0.37"/>
    <d v="2010-02-10T00:00:00"/>
    <n v="0"/>
    <n v="0"/>
    <n v="1"/>
    <n v="1"/>
  </r>
  <r>
    <n v="6340"/>
    <n v="44960"/>
    <x v="788"/>
    <x v="10"/>
    <s v="Low"/>
    <n v="16"/>
    <n v="112.91"/>
    <n v="0.04"/>
    <s v="Regular Air"/>
    <n v="-72.81"/>
    <n v="6.48"/>
    <n v="8.4"/>
    <x v="242"/>
    <x v="6"/>
    <x v="5"/>
    <x v="1"/>
    <x v="0"/>
    <x v="5"/>
    <x v="836"/>
    <s v="Small Box"/>
    <n v="0.37"/>
    <d v="2011-05-05T00:00:00"/>
    <n v="0"/>
    <n v="0"/>
    <n v="0.33333333333333331"/>
    <n v="0.33333333333333331"/>
  </r>
  <r>
    <n v="6341"/>
    <n v="44960"/>
    <x v="788"/>
    <x v="10"/>
    <s v="Low"/>
    <n v="22"/>
    <n v="180.92"/>
    <n v="0.1"/>
    <s v="Regular Air"/>
    <n v="-82.54"/>
    <n v="8.57"/>
    <n v="6.14"/>
    <x v="242"/>
    <x v="6"/>
    <x v="5"/>
    <x v="1"/>
    <x v="0"/>
    <x v="15"/>
    <x v="1011"/>
    <s v="Small Pack"/>
    <n v="0.59"/>
    <d v="2011-05-03T00:00:00"/>
    <n v="0"/>
    <n v="0"/>
    <n v="0.33333333333333331"/>
    <n v="0.33333333333333331"/>
  </r>
  <r>
    <n v="6342"/>
    <n v="44960"/>
    <x v="788"/>
    <x v="10"/>
    <s v="Low"/>
    <n v="17"/>
    <n v="31.68"/>
    <n v="0.04"/>
    <s v="Regular Air"/>
    <n v="-23.69"/>
    <n v="1.7"/>
    <n v="1.99"/>
    <x v="242"/>
    <x v="6"/>
    <x v="5"/>
    <x v="1"/>
    <x v="1"/>
    <x v="7"/>
    <x v="732"/>
    <s v="Small Pack"/>
    <n v="0.51"/>
    <d v="2011-05-07T00:00:00"/>
    <n v="0"/>
    <n v="0"/>
    <n v="0.33333333333333331"/>
    <n v="0.33333333333333331"/>
  </r>
  <r>
    <n v="6346"/>
    <n v="44992"/>
    <x v="952"/>
    <x v="45"/>
    <s v="Critical"/>
    <n v="32"/>
    <n v="1673.53"/>
    <n v="0"/>
    <s v="Regular Air"/>
    <n v="524.73"/>
    <n v="51.98"/>
    <n v="10.17"/>
    <x v="246"/>
    <x v="6"/>
    <x v="5"/>
    <x v="2"/>
    <x v="1"/>
    <x v="16"/>
    <x v="913"/>
    <s v="Medium Box"/>
    <n v="0.37"/>
    <d v="2012-12-26T00:00:00"/>
    <n v="0"/>
    <n v="0"/>
    <n v="0.5"/>
    <n v="0.5"/>
  </r>
  <r>
    <n v="6347"/>
    <n v="44992"/>
    <x v="952"/>
    <x v="45"/>
    <s v="Critical"/>
    <n v="32"/>
    <n v="7110.24"/>
    <n v="0.06"/>
    <s v="Delivery Truck"/>
    <n v="-536.16600000000005"/>
    <n v="218.75"/>
    <n v="69.64"/>
    <x v="246"/>
    <x v="6"/>
    <x v="5"/>
    <x v="2"/>
    <x v="2"/>
    <x v="10"/>
    <x v="146"/>
    <s v="Jumbo Box"/>
    <n v="0.72"/>
    <d v="2012-12-26T00:00:00"/>
    <n v="0"/>
    <n v="0"/>
    <n v="0.5"/>
    <n v="0.5"/>
  </r>
  <r>
    <n v="6359"/>
    <n v="45125"/>
    <x v="776"/>
    <x v="20"/>
    <s v="Critical"/>
    <n v="6"/>
    <n v="975.5"/>
    <n v="0.09"/>
    <s v="Delivery Truck"/>
    <n v="-252.01"/>
    <n v="160.97999999999999"/>
    <n v="35.020000000000003"/>
    <x v="256"/>
    <x v="6"/>
    <x v="5"/>
    <x v="3"/>
    <x v="2"/>
    <x v="9"/>
    <x v="244"/>
    <s v="Jumbo Box"/>
    <n v="0.72"/>
    <d v="2012-05-29T00:00:00"/>
    <n v="0"/>
    <n v="0"/>
    <n v="0.5"/>
    <n v="0.5"/>
  </r>
  <r>
    <n v="6360"/>
    <n v="45125"/>
    <x v="776"/>
    <x v="20"/>
    <s v="Critical"/>
    <n v="32"/>
    <n v="4834.8"/>
    <n v="0"/>
    <s v="Regular Air"/>
    <n v="1193.1120000000001"/>
    <n v="175.99"/>
    <n v="4.99"/>
    <x v="256"/>
    <x v="6"/>
    <x v="5"/>
    <x v="3"/>
    <x v="1"/>
    <x v="3"/>
    <x v="602"/>
    <s v="Small Box"/>
    <n v="0.59"/>
    <d v="2012-05-29T00:00:00"/>
    <n v="0"/>
    <n v="0"/>
    <n v="0.5"/>
    <n v="0.5"/>
  </r>
  <r>
    <n v="6371"/>
    <n v="45190"/>
    <x v="953"/>
    <x v="7"/>
    <s v="High"/>
    <n v="13"/>
    <n v="2084.96"/>
    <n v="0"/>
    <s v="Delivery Truck"/>
    <n v="135.26"/>
    <n v="150.97999999999999"/>
    <n v="43.71"/>
    <x v="273"/>
    <x v="6"/>
    <x v="5"/>
    <x v="0"/>
    <x v="2"/>
    <x v="14"/>
    <x v="944"/>
    <s v="Jumbo Drum"/>
    <n v="0.55000000000000004"/>
    <d v="2010-11-19T00:00:00"/>
    <n v="0"/>
    <n v="0"/>
    <n v="1"/>
    <n v="1"/>
  </r>
  <r>
    <n v="6401"/>
    <n v="45414"/>
    <x v="954"/>
    <x v="40"/>
    <s v="Critical"/>
    <n v="17"/>
    <n v="1002.73"/>
    <n v="0.08"/>
    <s v="Regular Air"/>
    <n v="-563.86"/>
    <n v="60.98"/>
    <n v="49"/>
    <x v="273"/>
    <x v="6"/>
    <x v="5"/>
    <x v="1"/>
    <x v="0"/>
    <x v="1"/>
    <x v="347"/>
    <s v="Large Box"/>
    <n v="0.59"/>
    <d v="2009-02-12T00:00:00"/>
    <n v="0"/>
    <n v="0"/>
    <n v="1"/>
    <n v="1"/>
  </r>
  <r>
    <n v="6429"/>
    <n v="45700"/>
    <x v="587"/>
    <x v="32"/>
    <s v="High"/>
    <n v="43"/>
    <n v="1704.58"/>
    <n v="0.02"/>
    <s v="Regular Air"/>
    <n v="518.48"/>
    <n v="38.06"/>
    <n v="4.5"/>
    <x v="287"/>
    <x v="6"/>
    <x v="5"/>
    <x v="3"/>
    <x v="0"/>
    <x v="1"/>
    <x v="1012"/>
    <s v="Small Box"/>
    <n v="0.56000000000000005"/>
    <d v="2012-11-13T00:00:00"/>
    <n v="0"/>
    <n v="0"/>
    <n v="1"/>
    <n v="1"/>
  </r>
  <r>
    <n v="6443"/>
    <n v="45824"/>
    <x v="516"/>
    <x v="47"/>
    <s v="Not Specified"/>
    <n v="44"/>
    <n v="6123.48"/>
    <n v="0.08"/>
    <s v="Regular Air"/>
    <n v="1232.79"/>
    <n v="140.81"/>
    <n v="24.49"/>
    <x v="243"/>
    <x v="6"/>
    <x v="5"/>
    <x v="1"/>
    <x v="2"/>
    <x v="14"/>
    <x v="198"/>
    <s v="Large Box"/>
    <n v="0.56999999999999995"/>
    <d v="2009-12-08T00:00:00"/>
    <n v="0"/>
    <n v="0"/>
    <n v="1"/>
    <n v="1"/>
  </r>
  <r>
    <n v="6461"/>
    <n v="45991"/>
    <x v="492"/>
    <x v="44"/>
    <s v="Low"/>
    <n v="1"/>
    <n v="131.27000000000001"/>
    <n v="0.1"/>
    <s v="Delivery Truck"/>
    <n v="-68.16"/>
    <n v="100.98"/>
    <n v="35.840000000000003"/>
    <x v="273"/>
    <x v="6"/>
    <x v="5"/>
    <x v="1"/>
    <x v="2"/>
    <x v="9"/>
    <x v="550"/>
    <s v="Jumbo Box"/>
    <n v="0.62"/>
    <d v="2011-02-16T00:00:00"/>
    <n v="0"/>
    <n v="0"/>
    <n v="0.5"/>
    <n v="0.5"/>
  </r>
  <r>
    <n v="6462"/>
    <n v="45991"/>
    <x v="492"/>
    <x v="44"/>
    <s v="Low"/>
    <n v="50"/>
    <n v="196.39"/>
    <n v="7.0000000000000007E-2"/>
    <s v="Regular Air"/>
    <n v="82.6"/>
    <n v="4.13"/>
    <n v="0.5"/>
    <x v="273"/>
    <x v="6"/>
    <x v="5"/>
    <x v="1"/>
    <x v="0"/>
    <x v="11"/>
    <x v="84"/>
    <s v="Small Box"/>
    <n v="0.39"/>
    <d v="2011-02-18T00:00:00"/>
    <n v="0"/>
    <n v="0"/>
    <n v="0.5"/>
    <n v="0.5"/>
  </r>
  <r>
    <n v="6502"/>
    <n v="46307"/>
    <x v="955"/>
    <x v="44"/>
    <s v="Medium"/>
    <n v="32"/>
    <n v="643.53"/>
    <n v="0.05"/>
    <s v="Regular Air"/>
    <n v="175.97"/>
    <n v="19.98"/>
    <n v="5.77"/>
    <x v="285"/>
    <x v="6"/>
    <x v="5"/>
    <x v="1"/>
    <x v="0"/>
    <x v="5"/>
    <x v="93"/>
    <s v="Small Box"/>
    <n v="0.38"/>
    <d v="2011-02-06T00:00:00"/>
    <n v="0"/>
    <n v="0"/>
    <n v="0.5"/>
    <n v="0.5"/>
  </r>
  <r>
    <n v="6503"/>
    <n v="46307"/>
    <x v="955"/>
    <x v="44"/>
    <s v="Medium"/>
    <n v="27"/>
    <n v="1217.77"/>
    <n v="0.01"/>
    <s v="Regular Air"/>
    <n v="283.14"/>
    <n v="42.76"/>
    <n v="6.22"/>
    <x v="285"/>
    <x v="6"/>
    <x v="5"/>
    <x v="1"/>
    <x v="0"/>
    <x v="0"/>
    <x v="7"/>
    <s v="Small Box"/>
    <m/>
    <d v="2011-02-09T00:00:00"/>
    <n v="0"/>
    <n v="0"/>
    <n v="0.5"/>
    <n v="0.5"/>
  </r>
  <r>
    <n v="6524"/>
    <n v="46434"/>
    <x v="125"/>
    <x v="24"/>
    <s v="Critical"/>
    <n v="34"/>
    <n v="800.39"/>
    <n v="0.06"/>
    <s v="Regular Air"/>
    <n v="270.29149999999998"/>
    <n v="24.95"/>
    <n v="2.99"/>
    <x v="165"/>
    <x v="6"/>
    <x v="5"/>
    <x v="1"/>
    <x v="0"/>
    <x v="2"/>
    <x v="1013"/>
    <s v="Small Box"/>
    <n v="0.39"/>
    <d v="2010-04-02T00:00:00"/>
    <n v="0"/>
    <n v="0"/>
    <n v="1"/>
    <n v="1"/>
  </r>
  <r>
    <n v="6527"/>
    <n v="46466"/>
    <x v="956"/>
    <x v="12"/>
    <s v="Medium"/>
    <n v="7"/>
    <n v="271.27"/>
    <n v="0.05"/>
    <s v="Regular Air"/>
    <n v="71.31"/>
    <n v="37.93"/>
    <n v="13.99"/>
    <x v="289"/>
    <x v="6"/>
    <x v="5"/>
    <x v="3"/>
    <x v="2"/>
    <x v="4"/>
    <x v="1014"/>
    <s v="Wrap Bag"/>
    <n v="0.67"/>
    <d v="2012-02-22T00:00:00"/>
    <n v="0"/>
    <n v="0"/>
    <n v="1"/>
    <n v="1"/>
  </r>
  <r>
    <n v="6538"/>
    <n v="46528"/>
    <x v="516"/>
    <x v="47"/>
    <s v="Medium"/>
    <n v="43"/>
    <n v="2980.15"/>
    <n v="0.05"/>
    <s v="Express Air"/>
    <n v="-865.98"/>
    <n v="70.709999999999994"/>
    <n v="37.58"/>
    <x v="244"/>
    <x v="6"/>
    <x v="5"/>
    <x v="3"/>
    <x v="2"/>
    <x v="4"/>
    <x v="563"/>
    <s v="Wrap Bag"/>
    <n v="0.78"/>
    <d v="2009-12-08T00:00:00"/>
    <n v="0"/>
    <n v="0"/>
    <n v="0.5"/>
    <n v="0.5"/>
  </r>
  <r>
    <n v="6539"/>
    <n v="46528"/>
    <x v="516"/>
    <x v="47"/>
    <s v="Medium"/>
    <n v="23"/>
    <n v="476.04"/>
    <n v="0.01"/>
    <s v="Regular Air"/>
    <n v="57.25"/>
    <n v="18.97"/>
    <n v="9.5399999999999991"/>
    <x v="244"/>
    <x v="6"/>
    <x v="5"/>
    <x v="3"/>
    <x v="0"/>
    <x v="5"/>
    <x v="439"/>
    <s v="Small Box"/>
    <n v="0.37"/>
    <d v="2009-12-09T00:00:00"/>
    <n v="0"/>
    <n v="0"/>
    <n v="0.5"/>
    <n v="0.5"/>
  </r>
  <r>
    <n v="6558"/>
    <n v="46626"/>
    <x v="102"/>
    <x v="8"/>
    <s v="Low"/>
    <n v="8"/>
    <n v="825.96"/>
    <n v="0.01"/>
    <s v="Delivery Truck"/>
    <n v="-276.95"/>
    <n v="95.98"/>
    <n v="58.2"/>
    <x v="284"/>
    <x v="6"/>
    <x v="5"/>
    <x v="3"/>
    <x v="2"/>
    <x v="14"/>
    <x v="966"/>
    <s v="Jumbo Drum"/>
    <n v="0.57999999999999996"/>
    <d v="2012-07-01T00:00:00"/>
    <n v="0"/>
    <n v="0"/>
    <n v="1"/>
    <n v="1"/>
  </r>
  <r>
    <n v="6581"/>
    <n v="46853"/>
    <x v="957"/>
    <x v="43"/>
    <s v="Low"/>
    <n v="22"/>
    <n v="5648.69"/>
    <n v="0.03"/>
    <s v="Regular Air"/>
    <n v="1489.8"/>
    <n v="256.99"/>
    <n v="11.25"/>
    <x v="299"/>
    <x v="6"/>
    <x v="5"/>
    <x v="3"/>
    <x v="1"/>
    <x v="7"/>
    <x v="719"/>
    <s v="Small Box"/>
    <n v="0.51"/>
    <d v="2009-05-22T00:00:00"/>
    <n v="0"/>
    <n v="0"/>
    <n v="1"/>
    <n v="1"/>
  </r>
  <r>
    <n v="6582"/>
    <n v="46855"/>
    <x v="270"/>
    <x v="14"/>
    <s v="High"/>
    <n v="32"/>
    <n v="53.34"/>
    <n v="0.04"/>
    <s v="Regular Air"/>
    <n v="-4.68"/>
    <n v="1.68"/>
    <n v="0.7"/>
    <x v="263"/>
    <x v="6"/>
    <x v="5"/>
    <x v="2"/>
    <x v="2"/>
    <x v="4"/>
    <x v="506"/>
    <s v="Wrap Bag"/>
    <n v="0.68"/>
    <d v="2010-03-06T00:00:00"/>
    <n v="0"/>
    <n v="0"/>
    <n v="1"/>
    <n v="0.33333333333333331"/>
  </r>
  <r>
    <n v="6595"/>
    <n v="46919"/>
    <x v="581"/>
    <x v="41"/>
    <s v="Low"/>
    <n v="31"/>
    <n v="4483.92"/>
    <n v="7.0000000000000007E-2"/>
    <s v="Regular Air"/>
    <n v="174.61"/>
    <n v="152.47999999999999"/>
    <n v="6.5"/>
    <x v="268"/>
    <x v="6"/>
    <x v="5"/>
    <x v="0"/>
    <x v="1"/>
    <x v="7"/>
    <x v="659"/>
    <s v="Small Box"/>
    <n v="0.74"/>
    <d v="2009-06-20T00:00:00"/>
    <n v="0"/>
    <n v="0"/>
    <n v="1"/>
    <n v="1"/>
  </r>
  <r>
    <n v="6599"/>
    <n v="46977"/>
    <x v="958"/>
    <x v="20"/>
    <s v="Medium"/>
    <n v="10"/>
    <n v="50.42"/>
    <n v="0.06"/>
    <s v="Regular Air"/>
    <n v="7.2504999999999997"/>
    <n v="4.82"/>
    <n v="1.49"/>
    <x v="257"/>
    <x v="6"/>
    <x v="5"/>
    <x v="1"/>
    <x v="0"/>
    <x v="2"/>
    <x v="745"/>
    <s v="Small Box"/>
    <n v="0.36"/>
    <d v="2012-05-09T00:00:00"/>
    <n v="0"/>
    <n v="0"/>
    <n v="0.5"/>
    <n v="0.5"/>
  </r>
  <r>
    <n v="6600"/>
    <n v="46977"/>
    <x v="958"/>
    <x v="20"/>
    <s v="Medium"/>
    <n v="19"/>
    <n v="2980.3719999999998"/>
    <n v="0.02"/>
    <s v="Regular Air"/>
    <n v="494.63100000000003"/>
    <n v="175.99"/>
    <n v="8.99"/>
    <x v="257"/>
    <x v="6"/>
    <x v="5"/>
    <x v="1"/>
    <x v="1"/>
    <x v="3"/>
    <x v="484"/>
    <s v="Small Box"/>
    <n v="0.56999999999999995"/>
    <d v="2012-05-09T00:00:00"/>
    <n v="0"/>
    <n v="0"/>
    <n v="0.5"/>
    <n v="0.5"/>
  </r>
  <r>
    <n v="6612"/>
    <n v="47041"/>
    <x v="900"/>
    <x v="13"/>
    <s v="Not Specified"/>
    <n v="35"/>
    <n v="154"/>
    <n v="0.08"/>
    <s v="Regular Air"/>
    <n v="-7.08"/>
    <n v="4.63"/>
    <n v="1.93"/>
    <x v="292"/>
    <x v="6"/>
    <x v="5"/>
    <x v="3"/>
    <x v="0"/>
    <x v="12"/>
    <x v="1015"/>
    <s v="Wrap Bag"/>
    <n v="0.52"/>
    <d v="2012-04-03T00:00:00"/>
    <n v="0"/>
    <n v="0"/>
    <n v="1"/>
    <n v="1"/>
  </r>
  <r>
    <n v="6650"/>
    <n v="47301"/>
    <x v="959"/>
    <x v="2"/>
    <s v="Low"/>
    <n v="6"/>
    <n v="460.71"/>
    <n v="0.02"/>
    <s v="Regular Air"/>
    <n v="-231.95"/>
    <n v="70.98"/>
    <n v="35"/>
    <x v="251"/>
    <x v="6"/>
    <x v="5"/>
    <x v="1"/>
    <x v="0"/>
    <x v="0"/>
    <x v="1016"/>
    <s v="Large Box"/>
    <n v="0.8"/>
    <d v="2011-07-22T00:00:00"/>
    <n v="0"/>
    <n v="0"/>
    <n v="1"/>
    <n v="1"/>
  </r>
  <r>
    <n v="6701"/>
    <n v="47714"/>
    <x v="396"/>
    <x v="5"/>
    <s v="Medium"/>
    <n v="29"/>
    <n v="2946.05"/>
    <n v="0.06"/>
    <s v="Delivery Truck"/>
    <n v="-690.21"/>
    <n v="105.49"/>
    <n v="41.64"/>
    <x v="82"/>
    <x v="6"/>
    <x v="5"/>
    <x v="2"/>
    <x v="2"/>
    <x v="10"/>
    <x v="1017"/>
    <s v="Jumbo Box"/>
    <n v="0.75"/>
    <d v="2011-03-11T00:00:00"/>
    <n v="0"/>
    <n v="0"/>
    <n v="0.5"/>
    <n v="0.5"/>
  </r>
  <r>
    <n v="6742"/>
    <n v="48003"/>
    <x v="960"/>
    <x v="23"/>
    <s v="Medium"/>
    <n v="30"/>
    <n v="183.33"/>
    <n v="0.05"/>
    <s v="Regular Air"/>
    <n v="-106.54"/>
    <n v="5.98"/>
    <n v="4.38"/>
    <x v="263"/>
    <x v="6"/>
    <x v="5"/>
    <x v="1"/>
    <x v="1"/>
    <x v="7"/>
    <x v="29"/>
    <s v="Small Pack"/>
    <n v="0.75"/>
    <d v="2012-01-28T00:00:00"/>
    <n v="0"/>
    <n v="0"/>
    <n v="0.5"/>
    <n v="0.5"/>
  </r>
  <r>
    <n v="6743"/>
    <n v="48003"/>
    <x v="960"/>
    <x v="23"/>
    <s v="Medium"/>
    <n v="12"/>
    <n v="88.06"/>
    <n v="0.04"/>
    <s v="Regular Air"/>
    <n v="-69.05"/>
    <n v="6.48"/>
    <n v="9.68"/>
    <x v="263"/>
    <x v="6"/>
    <x v="5"/>
    <x v="1"/>
    <x v="2"/>
    <x v="4"/>
    <x v="199"/>
    <s v="Small Pack"/>
    <n v="0.44"/>
    <d v="2012-01-28T00:00:00"/>
    <n v="0"/>
    <n v="0"/>
    <n v="0.5"/>
    <n v="0.5"/>
  </r>
  <r>
    <n v="6766"/>
    <n v="48195"/>
    <x v="711"/>
    <x v="7"/>
    <s v="Not Specified"/>
    <n v="35"/>
    <n v="3337.5164999999997"/>
    <n v="7.0000000000000007E-2"/>
    <s v="Regular Air"/>
    <n v="850.53599999999994"/>
    <n v="115.99"/>
    <n v="2.5"/>
    <x v="282"/>
    <x v="6"/>
    <x v="5"/>
    <x v="2"/>
    <x v="1"/>
    <x v="3"/>
    <x v="1018"/>
    <s v="Small Box"/>
    <n v="0.56999999999999995"/>
    <d v="2010-11-28T00:00:00"/>
    <n v="0"/>
    <n v="0"/>
    <n v="0.33333333333333331"/>
    <n v="0.33333333333333331"/>
  </r>
  <r>
    <n v="6767"/>
    <n v="48195"/>
    <x v="711"/>
    <x v="7"/>
    <s v="Not Specified"/>
    <n v="35"/>
    <n v="1018.4019999999999"/>
    <n v="0.09"/>
    <s v="Regular Air"/>
    <n v="296.86500000000001"/>
    <n v="35.99"/>
    <n v="5.99"/>
    <x v="282"/>
    <x v="6"/>
    <x v="5"/>
    <x v="2"/>
    <x v="1"/>
    <x v="3"/>
    <x v="702"/>
    <s v="Wrap Bag"/>
    <n v="0.38"/>
    <d v="2010-11-27T00:00:00"/>
    <n v="0"/>
    <n v="0"/>
    <n v="0.33333333333333331"/>
    <n v="0.33333333333333331"/>
  </r>
  <r>
    <n v="6768"/>
    <n v="48195"/>
    <x v="711"/>
    <x v="7"/>
    <s v="Not Specified"/>
    <n v="47"/>
    <n v="2679.1234999999997"/>
    <n v="0.01"/>
    <s v="Regular Air"/>
    <n v="47.277000000000001"/>
    <n v="65.989999999999995"/>
    <n v="19.989999999999998"/>
    <x v="282"/>
    <x v="6"/>
    <x v="5"/>
    <x v="2"/>
    <x v="1"/>
    <x v="3"/>
    <x v="711"/>
    <s v="Small Box"/>
    <n v="0.59"/>
    <d v="2010-11-28T00:00:00"/>
    <n v="0"/>
    <n v="0"/>
    <n v="0.33333333333333331"/>
    <n v="0.33333333333333331"/>
  </r>
  <r>
    <n v="6789"/>
    <n v="48357"/>
    <x v="840"/>
    <x v="28"/>
    <s v="Not Specified"/>
    <n v="16"/>
    <n v="2365.4299999999998"/>
    <n v="0.04"/>
    <s v="Regular Air"/>
    <n v="619.71"/>
    <n v="150.97999999999999"/>
    <n v="13.99"/>
    <x v="251"/>
    <x v="6"/>
    <x v="5"/>
    <x v="1"/>
    <x v="1"/>
    <x v="16"/>
    <x v="221"/>
    <s v="Medium Box"/>
    <n v="0.38"/>
    <d v="2009-03-28T00:00:00"/>
    <n v="0"/>
    <n v="0"/>
    <n v="1"/>
    <n v="1"/>
  </r>
  <r>
    <n v="6826"/>
    <n v="48615"/>
    <x v="350"/>
    <x v="45"/>
    <s v="Low"/>
    <n v="4"/>
    <n v="16.91"/>
    <n v="0.08"/>
    <s v="Regular Air"/>
    <n v="0.21000000000000085"/>
    <n v="4.13"/>
    <n v="0.5"/>
    <x v="294"/>
    <x v="6"/>
    <x v="5"/>
    <x v="2"/>
    <x v="0"/>
    <x v="11"/>
    <x v="84"/>
    <s v="Small Box"/>
    <n v="0.39"/>
    <d v="2012-12-07T00:00:00"/>
    <n v="0"/>
    <n v="0"/>
    <n v="0.5"/>
    <n v="0.5"/>
  </r>
  <r>
    <n v="6827"/>
    <n v="48615"/>
    <x v="350"/>
    <x v="45"/>
    <s v="Low"/>
    <n v="8"/>
    <n v="464.66"/>
    <n v="0.04"/>
    <s v="Regular Air"/>
    <n v="219.02"/>
    <n v="54.74"/>
    <n v="14.83"/>
    <x v="294"/>
    <x v="6"/>
    <x v="5"/>
    <x v="2"/>
    <x v="2"/>
    <x v="4"/>
    <x v="335"/>
    <s v="Small Box"/>
    <n v="0.54"/>
    <d v="2012-12-08T00:00:00"/>
    <n v="0"/>
    <n v="0"/>
    <n v="0.5"/>
    <n v="0.5"/>
  </r>
  <r>
    <n v="6831"/>
    <n v="48642"/>
    <x v="423"/>
    <x v="6"/>
    <s v="High"/>
    <n v="4"/>
    <n v="37.729999999999997"/>
    <n v="0.06"/>
    <s v="Regular Air"/>
    <n v="-13.72"/>
    <n v="8.67"/>
    <n v="3.5"/>
    <x v="307"/>
    <x v="6"/>
    <x v="5"/>
    <x v="3"/>
    <x v="0"/>
    <x v="1"/>
    <x v="855"/>
    <s v="Small Box"/>
    <n v="0.57999999999999996"/>
    <d v="2010-02-03T00:00:00"/>
    <n v="0"/>
    <n v="0"/>
    <n v="0.25"/>
    <n v="0.2"/>
  </r>
  <r>
    <n v="6832"/>
    <n v="48642"/>
    <x v="423"/>
    <x v="6"/>
    <s v="High"/>
    <n v="5"/>
    <n v="519.69000000000005"/>
    <n v="0.02"/>
    <s v="Express Air"/>
    <n v="-122.09"/>
    <n v="100.98"/>
    <n v="7.18"/>
    <x v="307"/>
    <x v="6"/>
    <x v="5"/>
    <x v="3"/>
    <x v="1"/>
    <x v="7"/>
    <x v="495"/>
    <s v="Small Box"/>
    <n v="0.4"/>
    <d v="2010-02-02T00:00:00"/>
    <n v="0"/>
    <n v="0"/>
    <n v="0.25"/>
    <n v="0.2"/>
  </r>
  <r>
    <n v="6842"/>
    <n v="48710"/>
    <x v="11"/>
    <x v="11"/>
    <s v="Medium"/>
    <n v="4"/>
    <n v="29.24"/>
    <n v="0.01"/>
    <s v="Regular Air"/>
    <n v="-1.73"/>
    <n v="6.98"/>
    <n v="1.6"/>
    <x v="292"/>
    <x v="6"/>
    <x v="5"/>
    <x v="3"/>
    <x v="0"/>
    <x v="5"/>
    <x v="646"/>
    <s v="Wrap Bag"/>
    <n v="0.38"/>
    <d v="2009-11-26T00:00:00"/>
    <n v="0"/>
    <n v="0"/>
    <n v="1"/>
    <n v="0.5"/>
  </r>
  <r>
    <n v="6888"/>
    <n v="49094"/>
    <x v="961"/>
    <x v="34"/>
    <s v="Critical"/>
    <n v="31"/>
    <n v="846.85"/>
    <n v="0.03"/>
    <s v="Regular Air"/>
    <n v="-25.98"/>
    <n v="27.48"/>
    <n v="4"/>
    <x v="293"/>
    <x v="6"/>
    <x v="5"/>
    <x v="1"/>
    <x v="1"/>
    <x v="7"/>
    <x v="593"/>
    <s v="Small Box"/>
    <n v="0.75"/>
    <d v="2012-09-05T00:00:00"/>
    <n v="0"/>
    <n v="0"/>
    <n v="1"/>
    <n v="1"/>
  </r>
  <r>
    <n v="6891"/>
    <n v="49125"/>
    <x v="295"/>
    <x v="28"/>
    <s v="Not Specified"/>
    <n v="29"/>
    <n v="177.41"/>
    <n v="0.05"/>
    <s v="Express Air"/>
    <n v="-116.05"/>
    <n v="5.78"/>
    <n v="7.64"/>
    <x v="253"/>
    <x v="6"/>
    <x v="5"/>
    <x v="2"/>
    <x v="0"/>
    <x v="5"/>
    <x v="629"/>
    <s v="Small Box"/>
    <n v="0.36"/>
    <d v="2009-03-31T00:00:00"/>
    <n v="0"/>
    <n v="0"/>
    <n v="1"/>
    <n v="1"/>
  </r>
  <r>
    <n v="6898"/>
    <n v="49216"/>
    <x v="400"/>
    <x v="28"/>
    <s v="High"/>
    <n v="28"/>
    <n v="96.71"/>
    <n v="0.01"/>
    <s v="Regular Air"/>
    <n v="-72.44"/>
    <n v="3.28"/>
    <n v="3.97"/>
    <x v="85"/>
    <x v="6"/>
    <x v="5"/>
    <x v="3"/>
    <x v="0"/>
    <x v="12"/>
    <x v="429"/>
    <s v="Wrap Bag"/>
    <n v="0.56000000000000005"/>
    <d v="2009-03-19T00:00:00"/>
    <n v="0"/>
    <n v="0"/>
    <n v="0.25"/>
    <n v="0.25"/>
  </r>
  <r>
    <n v="6940"/>
    <n v="49538"/>
    <x v="648"/>
    <x v="14"/>
    <s v="Low"/>
    <n v="29"/>
    <n v="730.51"/>
    <n v="0.08"/>
    <s v="Regular Air"/>
    <n v="217.57"/>
    <n v="26.38"/>
    <n v="5.58"/>
    <x v="263"/>
    <x v="6"/>
    <x v="5"/>
    <x v="1"/>
    <x v="2"/>
    <x v="4"/>
    <x v="1001"/>
    <s v="Jumbo Drum"/>
    <n v="0.62"/>
    <d v="2010-03-21T00:00:00"/>
    <n v="0"/>
    <n v="0"/>
    <n v="1"/>
    <n v="0.33333333333333331"/>
  </r>
  <r>
    <n v="6953"/>
    <n v="49730"/>
    <x v="870"/>
    <x v="22"/>
    <s v="High"/>
    <n v="3"/>
    <n v="1039.56"/>
    <n v="0.06"/>
    <s v="Delivery Truck"/>
    <n v="-394.69"/>
    <n v="350.98"/>
    <n v="30"/>
    <x v="274"/>
    <x v="6"/>
    <x v="5"/>
    <x v="3"/>
    <x v="2"/>
    <x v="14"/>
    <x v="1019"/>
    <s v="Jumbo Drum"/>
    <n v="0.61"/>
    <d v="2009-01-05T00:00:00"/>
    <n v="0"/>
    <n v="1"/>
    <n v="1"/>
    <n v="1"/>
  </r>
  <r>
    <n v="6985"/>
    <n v="49924"/>
    <x v="526"/>
    <x v="10"/>
    <s v="Critical"/>
    <n v="48"/>
    <n v="204.15"/>
    <n v="7.0000000000000007E-2"/>
    <s v="Regular Air"/>
    <n v="-155.52600000000001"/>
    <n v="4.24"/>
    <n v="5.41"/>
    <x v="244"/>
    <x v="6"/>
    <x v="5"/>
    <x v="3"/>
    <x v="0"/>
    <x v="2"/>
    <x v="683"/>
    <s v="Small Box"/>
    <n v="0.35"/>
    <d v="2011-05-27T00:00:00"/>
    <n v="0"/>
    <n v="0"/>
    <n v="0.5"/>
    <n v="0.5"/>
  </r>
  <r>
    <n v="6986"/>
    <n v="49924"/>
    <x v="526"/>
    <x v="10"/>
    <s v="Critical"/>
    <n v="13"/>
    <n v="33.11"/>
    <n v="0.08"/>
    <s v="Regular Air"/>
    <n v="-35.96"/>
    <n v="2.23"/>
    <n v="4.57"/>
    <x v="244"/>
    <x v="6"/>
    <x v="5"/>
    <x v="3"/>
    <x v="2"/>
    <x v="4"/>
    <x v="402"/>
    <s v="Small Pack"/>
    <n v="0.41"/>
    <d v="2011-05-27T00:00:00"/>
    <n v="0"/>
    <n v="0"/>
    <n v="0.5"/>
    <n v="0.5"/>
  </r>
  <r>
    <n v="7046"/>
    <n v="50306"/>
    <x v="890"/>
    <x v="10"/>
    <s v="Medium"/>
    <n v="34"/>
    <n v="2010.89"/>
    <n v="0.09"/>
    <s v="Regular Air"/>
    <n v="564.06849999999997"/>
    <n v="63.98"/>
    <n v="11.55"/>
    <x v="302"/>
    <x v="6"/>
    <x v="5"/>
    <x v="0"/>
    <x v="0"/>
    <x v="2"/>
    <x v="868"/>
    <s v="Small Box"/>
    <n v="0.38"/>
    <d v="2011-05-22T00:00:00"/>
    <n v="0"/>
    <n v="0"/>
    <n v="1"/>
    <n v="1"/>
  </r>
  <r>
    <n v="7088"/>
    <n v="50566"/>
    <x v="713"/>
    <x v="31"/>
    <s v="Not Specified"/>
    <n v="48"/>
    <n v="389.28"/>
    <n v="0.1"/>
    <s v="Regular Air"/>
    <n v="-37.43"/>
    <n v="8.67"/>
    <n v="3.5"/>
    <x v="272"/>
    <x v="6"/>
    <x v="5"/>
    <x v="2"/>
    <x v="0"/>
    <x v="1"/>
    <x v="855"/>
    <s v="Small Box"/>
    <n v="0.57999999999999996"/>
    <d v="2011-09-09T00:00:00"/>
    <n v="0"/>
    <n v="0"/>
    <n v="1"/>
    <n v="1"/>
  </r>
  <r>
    <n v="7126"/>
    <n v="50823"/>
    <x v="631"/>
    <x v="36"/>
    <s v="Low"/>
    <n v="12"/>
    <n v="1244.72"/>
    <n v="0.04"/>
    <s v="Regular Air"/>
    <n v="269.94"/>
    <n v="100.98"/>
    <n v="7.18"/>
    <x v="260"/>
    <x v="6"/>
    <x v="5"/>
    <x v="3"/>
    <x v="1"/>
    <x v="7"/>
    <x v="495"/>
    <s v="Small Box"/>
    <n v="0.4"/>
    <d v="2009-07-26T00:00:00"/>
    <n v="0"/>
    <n v="0"/>
    <n v="1"/>
    <n v="0.5"/>
  </r>
  <r>
    <n v="7131"/>
    <n v="50854"/>
    <x v="962"/>
    <x v="25"/>
    <s v="Critical"/>
    <n v="27"/>
    <n v="137.5"/>
    <n v="7.0000000000000007E-2"/>
    <s v="Regular Air"/>
    <n v="-64.239000000000004"/>
    <n v="4.9800000000000004"/>
    <n v="4.95"/>
    <x v="272"/>
    <x v="6"/>
    <x v="5"/>
    <x v="2"/>
    <x v="0"/>
    <x v="2"/>
    <x v="538"/>
    <s v="Small Box"/>
    <n v="0.37"/>
    <d v="2011-12-17T00:00:00"/>
    <n v="0"/>
    <n v="0"/>
    <n v="0.33333333333333331"/>
    <n v="0.33333333333333331"/>
  </r>
  <r>
    <n v="7132"/>
    <n v="50854"/>
    <x v="962"/>
    <x v="25"/>
    <s v="Critical"/>
    <n v="12"/>
    <n v="5744.24"/>
    <n v="0.09"/>
    <s v="Delivery Truck"/>
    <n v="1118.17"/>
    <n v="500.98"/>
    <n v="28.14"/>
    <x v="272"/>
    <x v="6"/>
    <x v="5"/>
    <x v="2"/>
    <x v="1"/>
    <x v="16"/>
    <x v="780"/>
    <s v="Jumbo Drum"/>
    <n v="0.38"/>
    <d v="2011-12-19T00:00:00"/>
    <n v="0"/>
    <n v="0"/>
    <n v="0.33333333333333331"/>
    <n v="0.33333333333333331"/>
  </r>
  <r>
    <n v="7133"/>
    <n v="50854"/>
    <x v="962"/>
    <x v="25"/>
    <s v="Critical"/>
    <n v="42"/>
    <n v="452.15"/>
    <n v="0.06"/>
    <s v="Express Air"/>
    <n v="25.79"/>
    <n v="10.98"/>
    <n v="3.37"/>
    <x v="272"/>
    <x v="6"/>
    <x v="5"/>
    <x v="2"/>
    <x v="0"/>
    <x v="15"/>
    <x v="340"/>
    <s v="Small Pack"/>
    <n v="0.56999999999999995"/>
    <d v="2011-12-17T00:00:00"/>
    <n v="0"/>
    <n v="0"/>
    <n v="0.33333333333333331"/>
    <n v="0.33333333333333331"/>
  </r>
  <r>
    <n v="7163"/>
    <n v="51109"/>
    <x v="963"/>
    <x v="32"/>
    <s v="High"/>
    <n v="28"/>
    <n v="112.05"/>
    <n v="0.04"/>
    <s v="Regular Air"/>
    <n v="26.21"/>
    <n v="4"/>
    <n v="1.3"/>
    <x v="279"/>
    <x v="6"/>
    <x v="5"/>
    <x v="3"/>
    <x v="0"/>
    <x v="5"/>
    <x v="910"/>
    <s v="Wrap Bag"/>
    <n v="0.37"/>
    <d v="2012-11-10T00:00:00"/>
    <n v="0"/>
    <n v="0"/>
    <n v="1"/>
    <n v="1"/>
  </r>
  <r>
    <n v="7204"/>
    <n v="51395"/>
    <x v="208"/>
    <x v="30"/>
    <s v="Low"/>
    <n v="26"/>
    <n v="78.22"/>
    <n v="0.03"/>
    <s v="Regular Air"/>
    <n v="32.5"/>
    <n v="2.88"/>
    <n v="0.5"/>
    <x v="306"/>
    <x v="6"/>
    <x v="5"/>
    <x v="2"/>
    <x v="0"/>
    <x v="11"/>
    <x v="1020"/>
    <s v="Small Box"/>
    <n v="0.36"/>
    <d v="2010-06-14T00:00:00"/>
    <n v="0"/>
    <n v="0"/>
    <n v="0.5"/>
    <n v="0.33333333333333331"/>
  </r>
  <r>
    <n v="7205"/>
    <n v="51395"/>
    <x v="208"/>
    <x v="30"/>
    <s v="Low"/>
    <n v="10"/>
    <n v="51.65"/>
    <n v="0.1"/>
    <s v="Regular Air"/>
    <n v="-32.130000000000003"/>
    <n v="4.9800000000000004"/>
    <n v="5.49"/>
    <x v="306"/>
    <x v="6"/>
    <x v="5"/>
    <x v="2"/>
    <x v="0"/>
    <x v="5"/>
    <x v="921"/>
    <s v="Small Box"/>
    <n v="0.38"/>
    <d v="2010-06-13T00:00:00"/>
    <n v="0"/>
    <n v="0"/>
    <n v="0.5"/>
    <n v="0.33333333333333331"/>
  </r>
  <r>
    <n v="7234"/>
    <n v="51559"/>
    <x v="498"/>
    <x v="33"/>
    <s v="Low"/>
    <n v="34"/>
    <n v="823.98"/>
    <n v="0.09"/>
    <s v="Regular Air"/>
    <n v="129.81"/>
    <n v="25.98"/>
    <n v="4.08"/>
    <x v="165"/>
    <x v="6"/>
    <x v="5"/>
    <x v="1"/>
    <x v="0"/>
    <x v="12"/>
    <x v="862"/>
    <s v="Small Pack"/>
    <n v="0.56999999999999995"/>
    <d v="2012-03-13T00:00:00"/>
    <n v="0"/>
    <n v="0"/>
    <n v="1"/>
    <n v="1"/>
  </r>
  <r>
    <n v="7262"/>
    <n v="51813"/>
    <x v="237"/>
    <x v="45"/>
    <s v="Not Specified"/>
    <n v="13"/>
    <n v="1390.17"/>
    <n v="7.0000000000000007E-2"/>
    <s v="Regular Air"/>
    <n v="-469.84"/>
    <n v="110.98"/>
    <n v="35"/>
    <x v="306"/>
    <x v="6"/>
    <x v="5"/>
    <x v="2"/>
    <x v="0"/>
    <x v="0"/>
    <x v="787"/>
    <s v="Large Box"/>
    <n v="0.82"/>
    <d v="2012-12-23T00:00:00"/>
    <n v="0"/>
    <n v="0"/>
    <n v="1"/>
    <n v="1"/>
  </r>
  <r>
    <n v="7276"/>
    <n v="51937"/>
    <x v="221"/>
    <x v="40"/>
    <s v="High"/>
    <n v="39"/>
    <n v="11613.13"/>
    <n v="0.05"/>
    <s v="Delivery Truck"/>
    <n v="2816.21"/>
    <n v="294.62"/>
    <n v="42.52"/>
    <x v="252"/>
    <x v="6"/>
    <x v="5"/>
    <x v="2"/>
    <x v="0"/>
    <x v="1"/>
    <x v="779"/>
    <s v="Jumbo Drum"/>
    <n v="0.56999999999999995"/>
    <d v="2009-02-27T00:00:00"/>
    <n v="0"/>
    <n v="0"/>
    <n v="1"/>
    <n v="1"/>
  </r>
  <r>
    <n v="7307"/>
    <n v="52098"/>
    <x v="964"/>
    <x v="14"/>
    <s v="Medium"/>
    <n v="19"/>
    <n v="812.06"/>
    <n v="0"/>
    <s v="Regular Air"/>
    <n v="220.065"/>
    <n v="39.06"/>
    <n v="10.55"/>
    <x v="263"/>
    <x v="6"/>
    <x v="5"/>
    <x v="2"/>
    <x v="2"/>
    <x v="14"/>
    <x v="1019"/>
    <s v="Jumbo Drum"/>
    <n v="0.61"/>
    <d v="2010-03-10T00:00:00"/>
    <n v="0"/>
    <n v="0"/>
    <n v="1"/>
    <n v="0.33333333333333331"/>
  </r>
  <r>
    <n v="7308"/>
    <n v="52102"/>
    <x v="965"/>
    <x v="18"/>
    <s v="Medium"/>
    <n v="8"/>
    <n v="104.27"/>
    <n v="0.03"/>
    <s v="Regular Air"/>
    <n v="-23.61"/>
    <n v="11.97"/>
    <n v="5.81"/>
    <x v="82"/>
    <x v="6"/>
    <x v="5"/>
    <x v="2"/>
    <x v="0"/>
    <x v="12"/>
    <x v="393"/>
    <s v="Small Pack"/>
    <n v="0.6"/>
    <d v="2010-09-12T00:00:00"/>
    <n v="0"/>
    <n v="0"/>
    <n v="1"/>
    <n v="1"/>
  </r>
  <r>
    <n v="7312"/>
    <n v="52135"/>
    <x v="934"/>
    <x v="14"/>
    <s v="Low"/>
    <n v="38"/>
    <n v="3922.96"/>
    <n v="0.04"/>
    <s v="Regular Air"/>
    <n v="863.57"/>
    <n v="99.99"/>
    <n v="19.989999999999998"/>
    <x v="249"/>
    <x v="6"/>
    <x v="5"/>
    <x v="0"/>
    <x v="1"/>
    <x v="7"/>
    <x v="190"/>
    <s v="Small Box"/>
    <n v="0.5"/>
    <d v="2010-03-26T00:00:00"/>
    <n v="0"/>
    <n v="0"/>
    <n v="1"/>
    <n v="1"/>
  </r>
  <r>
    <n v="7315"/>
    <n v="52162"/>
    <x v="966"/>
    <x v="27"/>
    <s v="Not Specified"/>
    <n v="39"/>
    <n v="261.16000000000003"/>
    <n v="7.0000000000000007E-2"/>
    <s v="Regular Air"/>
    <n v="-220.3"/>
    <n v="6.48"/>
    <n v="9.68"/>
    <x v="263"/>
    <x v="6"/>
    <x v="5"/>
    <x v="3"/>
    <x v="2"/>
    <x v="9"/>
    <x v="768"/>
    <s v="Jumbo Box"/>
    <n v="0.56000000000000005"/>
    <d v="2011-11-01T00:00:00"/>
    <n v="0"/>
    <n v="0"/>
    <n v="0.5"/>
    <n v="0.5"/>
  </r>
  <r>
    <n v="7316"/>
    <n v="52162"/>
    <x v="966"/>
    <x v="27"/>
    <s v="Not Specified"/>
    <n v="47"/>
    <n v="155.22"/>
    <n v="7.0000000000000007E-2"/>
    <s v="Regular Air"/>
    <n v="23.34"/>
    <n v="3.29"/>
    <n v="1.35"/>
    <x v="263"/>
    <x v="6"/>
    <x v="5"/>
    <x v="3"/>
    <x v="2"/>
    <x v="14"/>
    <x v="706"/>
    <s v="Jumbo Drum"/>
    <n v="0.55000000000000004"/>
    <d v="2011-11-02T00:00:00"/>
    <n v="0"/>
    <n v="0"/>
    <n v="0.5"/>
    <n v="0.5"/>
  </r>
  <r>
    <n v="7332"/>
    <n v="52256"/>
    <x v="463"/>
    <x v="7"/>
    <s v="Not Specified"/>
    <n v="23"/>
    <n v="1236.954"/>
    <n v="0.06"/>
    <s v="Regular Air"/>
    <n v="119.88900000000001"/>
    <n v="65.989999999999995"/>
    <n v="4.2"/>
    <x v="298"/>
    <x v="6"/>
    <x v="5"/>
    <x v="2"/>
    <x v="1"/>
    <x v="3"/>
    <x v="1021"/>
    <s v="Small Box"/>
    <n v="0.59"/>
    <d v="2010-11-06T00:00:00"/>
    <n v="0"/>
    <n v="0"/>
    <n v="1"/>
    <n v="1"/>
  </r>
  <r>
    <n v="7354"/>
    <n v="52391"/>
    <x v="521"/>
    <x v="47"/>
    <s v="High"/>
    <n v="36"/>
    <n v="1072.3599999999999"/>
    <n v="0.04"/>
    <s v="Regular Air"/>
    <n v="440.48"/>
    <n v="29.14"/>
    <n v="4.8600000000000003"/>
    <x v="250"/>
    <x v="6"/>
    <x v="5"/>
    <x v="2"/>
    <x v="0"/>
    <x v="5"/>
    <x v="273"/>
    <s v="Wrap Bag"/>
    <n v="0.38"/>
    <d v="2009-12-14T00:00:00"/>
    <n v="0"/>
    <n v="0"/>
    <n v="0.5"/>
    <n v="0.5"/>
  </r>
  <r>
    <n v="7355"/>
    <n v="52391"/>
    <x v="521"/>
    <x v="47"/>
    <s v="High"/>
    <n v="39"/>
    <n v="857.84"/>
    <n v="0.02"/>
    <s v="Regular Air"/>
    <n v="-309.43"/>
    <n v="20.89"/>
    <n v="11.52"/>
    <x v="250"/>
    <x v="6"/>
    <x v="5"/>
    <x v="2"/>
    <x v="0"/>
    <x v="0"/>
    <x v="796"/>
    <s v="Small Box"/>
    <n v="0.83"/>
    <d v="2009-12-14T00:00:00"/>
    <n v="0"/>
    <n v="0"/>
    <n v="0.5"/>
    <n v="0.5"/>
  </r>
  <r>
    <n v="7384"/>
    <n v="52642"/>
    <x v="751"/>
    <x v="4"/>
    <s v="Low"/>
    <n v="9"/>
    <n v="742.84"/>
    <n v="0.01"/>
    <s v="Delivery Truck"/>
    <n v="-320.7"/>
    <n v="70.98"/>
    <n v="59.81"/>
    <x v="284"/>
    <x v="6"/>
    <x v="5"/>
    <x v="3"/>
    <x v="2"/>
    <x v="14"/>
    <x v="1022"/>
    <s v="Jumbo Drum"/>
    <n v="0.6"/>
    <d v="2011-06-18T00:00:00"/>
    <n v="0"/>
    <n v="0"/>
    <n v="0.33333333333333331"/>
    <n v="0.33333333333333331"/>
  </r>
  <r>
    <n v="7385"/>
    <n v="52642"/>
    <x v="751"/>
    <x v="4"/>
    <s v="Low"/>
    <n v="14"/>
    <n v="2070.6799999999998"/>
    <n v="0.03"/>
    <s v="Regular Air"/>
    <n v="-281.67"/>
    <n v="152.47999999999999"/>
    <n v="4"/>
    <x v="284"/>
    <x v="6"/>
    <x v="5"/>
    <x v="3"/>
    <x v="1"/>
    <x v="7"/>
    <x v="659"/>
    <s v="Small Box"/>
    <n v="0.79"/>
    <d v="2011-06-21T00:00:00"/>
    <n v="0"/>
    <n v="0"/>
    <n v="0.33333333333333331"/>
    <n v="0.33333333333333331"/>
  </r>
  <r>
    <n v="7386"/>
    <n v="52642"/>
    <x v="751"/>
    <x v="4"/>
    <s v="Low"/>
    <n v="15"/>
    <n v="764.13"/>
    <n v="0.09"/>
    <s v="Regular Air"/>
    <n v="276.98"/>
    <n v="55.98"/>
    <n v="4.8600000000000003"/>
    <x v="284"/>
    <x v="6"/>
    <x v="5"/>
    <x v="3"/>
    <x v="0"/>
    <x v="5"/>
    <x v="938"/>
    <s v="Small Box"/>
    <n v="0.36"/>
    <d v="2011-06-21T00:00:00"/>
    <n v="0"/>
    <n v="0"/>
    <n v="0.33333333333333331"/>
    <n v="0.33333333333333331"/>
  </r>
  <r>
    <n v="7387"/>
    <n v="52645"/>
    <x v="967"/>
    <x v="33"/>
    <s v="Low"/>
    <n v="11"/>
    <n v="64.34"/>
    <n v="0.09"/>
    <s v="Regular Air"/>
    <n v="-8.3699999999999992"/>
    <n v="5.85"/>
    <n v="2.27"/>
    <x v="250"/>
    <x v="6"/>
    <x v="5"/>
    <x v="2"/>
    <x v="0"/>
    <x v="12"/>
    <x v="338"/>
    <s v="Wrap Bag"/>
    <n v="0.56000000000000005"/>
    <d v="2012-03-12T00:00:00"/>
    <n v="0"/>
    <n v="0"/>
    <n v="0.5"/>
    <n v="0.33333333333333331"/>
  </r>
  <r>
    <n v="7388"/>
    <n v="52645"/>
    <x v="967"/>
    <x v="33"/>
    <s v="Low"/>
    <n v="10"/>
    <n v="693.02"/>
    <n v="7.0000000000000007E-2"/>
    <s v="Regular Air"/>
    <n v="97.36"/>
    <n v="70.97"/>
    <n v="3.5"/>
    <x v="250"/>
    <x v="6"/>
    <x v="5"/>
    <x v="2"/>
    <x v="0"/>
    <x v="1"/>
    <x v="1023"/>
    <s v="Small Box"/>
    <n v="0.59"/>
    <d v="2012-03-16T00:00:00"/>
    <n v="0"/>
    <n v="0"/>
    <n v="0.5"/>
    <n v="0.33333333333333331"/>
  </r>
  <r>
    <n v="7399"/>
    <n v="52711"/>
    <x v="968"/>
    <x v="31"/>
    <s v="Not Specified"/>
    <n v="37"/>
    <n v="201.14"/>
    <n v="0.08"/>
    <s v="Regular Air"/>
    <n v="-51.25"/>
    <n v="5.81"/>
    <n v="3.37"/>
    <x v="301"/>
    <x v="6"/>
    <x v="5"/>
    <x v="3"/>
    <x v="0"/>
    <x v="6"/>
    <x v="622"/>
    <s v="Wrap Bag"/>
    <n v="0.54"/>
    <d v="2011-09-23T00:00:00"/>
    <n v="0"/>
    <n v="0"/>
    <n v="0.33333333333333331"/>
    <n v="0.33333333333333331"/>
  </r>
  <r>
    <n v="7412"/>
    <n v="52896"/>
    <x v="596"/>
    <x v="0"/>
    <s v="High"/>
    <n v="9"/>
    <n v="48.26"/>
    <n v="0.09"/>
    <s v="Express Air"/>
    <n v="2.76"/>
    <n v="5.18"/>
    <n v="2.04"/>
    <x v="306"/>
    <x v="6"/>
    <x v="5"/>
    <x v="3"/>
    <x v="0"/>
    <x v="5"/>
    <x v="267"/>
    <s v="Wrap Bag"/>
    <n v="0.36"/>
    <d v="2010-10-24T00:00:00"/>
    <n v="0"/>
    <n v="0"/>
    <n v="0.2"/>
    <n v="0.2"/>
  </r>
  <r>
    <n v="7413"/>
    <n v="52896"/>
    <x v="596"/>
    <x v="0"/>
    <s v="High"/>
    <n v="6"/>
    <n v="1718.43"/>
    <n v="0"/>
    <s v="Delivery Truck"/>
    <n v="-192.49199999999999"/>
    <n v="259.70999999999998"/>
    <n v="66.67"/>
    <x v="306"/>
    <x v="6"/>
    <x v="5"/>
    <x v="3"/>
    <x v="2"/>
    <x v="10"/>
    <x v="384"/>
    <s v="Jumbo Box"/>
    <n v="0.65"/>
    <d v="2010-10-23T00:00:00"/>
    <n v="0"/>
    <n v="0"/>
    <n v="0.2"/>
    <n v="0.2"/>
  </r>
  <r>
    <n v="7432"/>
    <n v="52999"/>
    <x v="178"/>
    <x v="13"/>
    <s v="Not Specified"/>
    <n v="5"/>
    <n v="43.61"/>
    <n v="0.04"/>
    <s v="Express Air"/>
    <n v="22.85"/>
    <n v="7.59"/>
    <n v="4"/>
    <x v="266"/>
    <x v="6"/>
    <x v="5"/>
    <x v="3"/>
    <x v="2"/>
    <x v="4"/>
    <x v="378"/>
    <s v="Wrap Bag"/>
    <n v="0.42"/>
    <d v="2012-04-27T00:00:00"/>
    <n v="0"/>
    <n v="0"/>
    <n v="0.33333333333333331"/>
    <n v="0.33333333333333331"/>
  </r>
  <r>
    <n v="7433"/>
    <n v="52999"/>
    <x v="178"/>
    <x v="13"/>
    <s v="Not Specified"/>
    <n v="39"/>
    <n v="343.05"/>
    <n v="0.05"/>
    <s v="Regular Air"/>
    <n v="98.86"/>
    <n v="9.11"/>
    <n v="2.15"/>
    <x v="266"/>
    <x v="6"/>
    <x v="5"/>
    <x v="3"/>
    <x v="0"/>
    <x v="5"/>
    <x v="1024"/>
    <s v="Wrap Bag"/>
    <n v="0.4"/>
    <d v="2012-04-27T00:00:00"/>
    <n v="0"/>
    <n v="0"/>
    <n v="0.33333333333333331"/>
    <n v="0.33333333333333331"/>
  </r>
  <r>
    <n v="7434"/>
    <n v="52999"/>
    <x v="178"/>
    <x v="13"/>
    <s v="Not Specified"/>
    <n v="7"/>
    <n v="44.63"/>
    <n v="0.1"/>
    <s v="Regular Air"/>
    <n v="-21.19"/>
    <n v="5.78"/>
    <n v="5.67"/>
    <x v="266"/>
    <x v="6"/>
    <x v="5"/>
    <x v="3"/>
    <x v="0"/>
    <x v="5"/>
    <x v="443"/>
    <s v="Small Box"/>
    <n v="0.36"/>
    <d v="2012-04-25T00:00:00"/>
    <n v="0"/>
    <n v="0"/>
    <n v="0.33333333333333331"/>
    <n v="0.33333333333333331"/>
  </r>
  <r>
    <n v="7463"/>
    <n v="53254"/>
    <x v="60"/>
    <x v="26"/>
    <s v="Medium"/>
    <n v="34"/>
    <n v="5442.1419999999998"/>
    <n v="0"/>
    <s v="Regular Air"/>
    <n v="1640.2950000000001"/>
    <n v="175.99"/>
    <n v="4.99"/>
    <x v="304"/>
    <x v="6"/>
    <x v="5"/>
    <x v="3"/>
    <x v="1"/>
    <x v="3"/>
    <x v="602"/>
    <s v="Small Box"/>
    <n v="0.59"/>
    <d v="2009-08-21T00:00:00"/>
    <n v="0"/>
    <n v="0"/>
    <n v="1"/>
    <n v="1"/>
  </r>
  <r>
    <n v="7464"/>
    <n v="53281"/>
    <x v="969"/>
    <x v="46"/>
    <s v="Critical"/>
    <n v="40"/>
    <n v="14075.99"/>
    <n v="0.08"/>
    <s v="Delivery Truck"/>
    <n v="1894.14"/>
    <n v="355.98"/>
    <n v="58.92"/>
    <x v="82"/>
    <x v="6"/>
    <x v="5"/>
    <x v="2"/>
    <x v="2"/>
    <x v="14"/>
    <x v="145"/>
    <s v="Jumbo Drum"/>
    <n v="0.64"/>
    <d v="2009-04-04T00:00:00"/>
    <n v="0"/>
    <n v="0"/>
    <n v="1"/>
    <n v="0.33333333333333331"/>
  </r>
  <r>
    <n v="7466"/>
    <n v="53285"/>
    <x v="970"/>
    <x v="20"/>
    <s v="Critical"/>
    <n v="6"/>
    <n v="1042.96"/>
    <n v="0.04"/>
    <s v="Regular Air"/>
    <n v="163.80350000000001"/>
    <n v="165.98"/>
    <n v="19.989999999999998"/>
    <x v="299"/>
    <x v="6"/>
    <x v="5"/>
    <x v="3"/>
    <x v="0"/>
    <x v="2"/>
    <x v="408"/>
    <s v="Small Box"/>
    <n v="0.4"/>
    <d v="2012-05-26T00:00:00"/>
    <n v="0"/>
    <n v="0"/>
    <n v="1"/>
    <n v="1"/>
  </r>
  <r>
    <n v="7467"/>
    <n v="53312"/>
    <x v="694"/>
    <x v="36"/>
    <s v="Medium"/>
    <n v="23"/>
    <n v="8413.23"/>
    <n v="0.05"/>
    <s v="Regular Air"/>
    <n v="2464.75"/>
    <n v="363.25"/>
    <n v="19.989999999999998"/>
    <x v="244"/>
    <x v="6"/>
    <x v="5"/>
    <x v="3"/>
    <x v="0"/>
    <x v="1"/>
    <x v="445"/>
    <s v="Small Box"/>
    <n v="0.56999999999999995"/>
    <d v="2009-07-06T00:00:00"/>
    <n v="0"/>
    <n v="0"/>
    <n v="0.5"/>
    <n v="0.33333333333333331"/>
  </r>
  <r>
    <n v="7468"/>
    <n v="53312"/>
    <x v="694"/>
    <x v="36"/>
    <s v="Medium"/>
    <n v="30"/>
    <n v="105.45"/>
    <n v="0.06"/>
    <s v="Regular Air"/>
    <n v="-173.36"/>
    <n v="3.34"/>
    <n v="7.49"/>
    <x v="244"/>
    <x v="6"/>
    <x v="5"/>
    <x v="3"/>
    <x v="0"/>
    <x v="12"/>
    <x v="596"/>
    <s v="Wrap Bag"/>
    <n v="0.54"/>
    <d v="2009-07-05T00:00:00"/>
    <n v="0"/>
    <n v="0"/>
    <n v="0.5"/>
    <n v="0.33333333333333331"/>
  </r>
  <r>
    <n v="7514"/>
    <n v="53637"/>
    <x v="92"/>
    <x v="5"/>
    <s v="High"/>
    <n v="12"/>
    <n v="451.09"/>
    <n v="0.1"/>
    <s v="Express Air"/>
    <n v="61.27"/>
    <n v="39.979999999999997"/>
    <n v="9.83"/>
    <x v="262"/>
    <x v="6"/>
    <x v="5"/>
    <x v="1"/>
    <x v="0"/>
    <x v="8"/>
    <x v="854"/>
    <s v="Small Box"/>
    <n v="0.4"/>
    <d v="2011-03-18T00:00:00"/>
    <n v="0"/>
    <n v="0"/>
    <n v="1"/>
    <n v="1"/>
  </r>
  <r>
    <n v="7521"/>
    <n v="53698"/>
    <x v="588"/>
    <x v="8"/>
    <s v="Medium"/>
    <n v="10"/>
    <n v="55.33"/>
    <n v="0"/>
    <s v="Express Air"/>
    <n v="13.38"/>
    <n v="4.84"/>
    <n v="0.71"/>
    <x v="242"/>
    <x v="6"/>
    <x v="5"/>
    <x v="1"/>
    <x v="0"/>
    <x v="12"/>
    <x v="486"/>
    <s v="Wrap Bag"/>
    <n v="0.52"/>
    <d v="2012-06-17T00:00:00"/>
    <n v="0"/>
    <n v="0"/>
    <n v="1"/>
    <n v="1"/>
  </r>
  <r>
    <n v="7577"/>
    <n v="54183"/>
    <x v="13"/>
    <x v="13"/>
    <s v="Critical"/>
    <n v="32"/>
    <n v="2773.71"/>
    <n v="0.02"/>
    <s v="Express Air"/>
    <n v="1097.25"/>
    <n v="82.99"/>
    <n v="5.5"/>
    <x v="291"/>
    <x v="6"/>
    <x v="5"/>
    <x v="2"/>
    <x v="1"/>
    <x v="7"/>
    <x v="432"/>
    <s v="Small Box"/>
    <n v="0.44"/>
    <d v="2012-04-17T00:00:00"/>
    <n v="0"/>
    <n v="0"/>
    <n v="0.5"/>
    <n v="0.5"/>
  </r>
  <r>
    <n v="7578"/>
    <n v="54183"/>
    <x v="13"/>
    <x v="13"/>
    <s v="Critical"/>
    <n v="9"/>
    <n v="113.89"/>
    <n v="0.02"/>
    <s v="Regular Air"/>
    <n v="-52.25"/>
    <n v="11.66"/>
    <n v="8.99"/>
    <x v="291"/>
    <x v="6"/>
    <x v="5"/>
    <x v="2"/>
    <x v="0"/>
    <x v="12"/>
    <x v="372"/>
    <s v="Small Pack"/>
    <n v="0.59"/>
    <d v="2012-04-16T00:00:00"/>
    <n v="0"/>
    <n v="0"/>
    <n v="0.5"/>
    <n v="0.5"/>
  </r>
  <r>
    <n v="7583"/>
    <n v="54245"/>
    <x v="5"/>
    <x v="5"/>
    <s v="Medium"/>
    <n v="5"/>
    <n v="83.3"/>
    <n v="0.09"/>
    <s v="Regular Air"/>
    <n v="-114.90599999999999"/>
    <n v="20.99"/>
    <n v="2.5"/>
    <x v="298"/>
    <x v="6"/>
    <x v="5"/>
    <x v="2"/>
    <x v="1"/>
    <x v="3"/>
    <x v="32"/>
    <s v="Wrap Bag"/>
    <n v="0.81"/>
    <d v="2011-03-25T00:00:00"/>
    <n v="0"/>
    <n v="0"/>
    <n v="1"/>
    <n v="1"/>
  </r>
  <r>
    <n v="7592"/>
    <n v="54339"/>
    <x v="27"/>
    <x v="20"/>
    <s v="Low"/>
    <n v="48"/>
    <n v="3005.74"/>
    <n v="0.02"/>
    <s v="Express Air"/>
    <n v="1053.21"/>
    <n v="59.98"/>
    <n v="3.99"/>
    <x v="250"/>
    <x v="6"/>
    <x v="5"/>
    <x v="2"/>
    <x v="0"/>
    <x v="1"/>
    <x v="323"/>
    <s v="Small Box"/>
    <n v="0.56999999999999995"/>
    <d v="2012-05-09T00:00:00"/>
    <n v="0"/>
    <n v="0"/>
    <n v="0.5"/>
    <n v="0.5"/>
  </r>
  <r>
    <n v="7593"/>
    <n v="54339"/>
    <x v="27"/>
    <x v="20"/>
    <s v="Low"/>
    <n v="41"/>
    <n v="2209.5155"/>
    <n v="0.06"/>
    <s v="Regular Air"/>
    <n v="458.62199999999996"/>
    <n v="65.989999999999995"/>
    <n v="5.31"/>
    <x v="250"/>
    <x v="6"/>
    <x v="5"/>
    <x v="2"/>
    <x v="1"/>
    <x v="3"/>
    <x v="305"/>
    <s v="Small Box"/>
    <n v="0.56999999999999995"/>
    <d v="2012-05-07T00:00:00"/>
    <n v="0"/>
    <n v="0"/>
    <n v="0.5"/>
    <n v="0.5"/>
  </r>
  <r>
    <n v="7603"/>
    <n v="54401"/>
    <x v="337"/>
    <x v="25"/>
    <s v="High"/>
    <n v="34"/>
    <n v="670.02"/>
    <n v="7.0000000000000007E-2"/>
    <s v="Regular Air"/>
    <n v="278.57900000000001"/>
    <n v="20.98"/>
    <n v="1.49"/>
    <x v="274"/>
    <x v="6"/>
    <x v="5"/>
    <x v="3"/>
    <x v="0"/>
    <x v="2"/>
    <x v="498"/>
    <s v="Small Box"/>
    <n v="0.35"/>
    <d v="2011-12-06T00:00:00"/>
    <n v="0"/>
    <n v="0"/>
    <n v="1"/>
    <n v="1"/>
  </r>
  <r>
    <n v="7626"/>
    <n v="54563"/>
    <x v="771"/>
    <x v="0"/>
    <s v="Critical"/>
    <n v="24"/>
    <n v="523.55999999999995"/>
    <n v="0.01"/>
    <s v="Regular Air"/>
    <n v="43.87"/>
    <n v="20.239999999999998"/>
    <n v="8.99"/>
    <x v="300"/>
    <x v="6"/>
    <x v="5"/>
    <x v="3"/>
    <x v="2"/>
    <x v="4"/>
    <x v="265"/>
    <s v="Small Pack"/>
    <n v="0.46"/>
    <d v="2010-10-06T00:00:00"/>
    <n v="0"/>
    <n v="0"/>
    <n v="1"/>
    <n v="1"/>
  </r>
  <r>
    <n v="7639"/>
    <n v="54694"/>
    <x v="971"/>
    <x v="35"/>
    <s v="Critical"/>
    <n v="43"/>
    <n v="112.63"/>
    <n v="0.08"/>
    <s v="Regular Air"/>
    <n v="-201.6"/>
    <n v="2.66"/>
    <n v="6.35"/>
    <x v="285"/>
    <x v="6"/>
    <x v="5"/>
    <x v="1"/>
    <x v="0"/>
    <x v="8"/>
    <x v="887"/>
    <s v="Small Box"/>
    <n v="0.36"/>
    <d v="2009-09-19T00:00:00"/>
    <n v="0"/>
    <n v="0"/>
    <n v="1"/>
    <n v="1"/>
  </r>
  <r>
    <n v="7643"/>
    <n v="54755"/>
    <x v="565"/>
    <x v="47"/>
    <s v="Critical"/>
    <n v="44"/>
    <n v="3421.88"/>
    <n v="0"/>
    <s v="Regular Air"/>
    <n v="443.52"/>
    <n v="73.98"/>
    <n v="4"/>
    <x v="307"/>
    <x v="6"/>
    <x v="5"/>
    <x v="3"/>
    <x v="1"/>
    <x v="7"/>
    <x v="633"/>
    <s v="Small Box"/>
    <n v="0.77"/>
    <d v="2009-12-10T00:00:00"/>
    <n v="0"/>
    <n v="0"/>
    <n v="1"/>
    <n v="1"/>
  </r>
  <r>
    <n v="7659"/>
    <n v="54914"/>
    <x v="51"/>
    <x v="21"/>
    <s v="Critical"/>
    <n v="32"/>
    <n v="197.93"/>
    <n v="0.06"/>
    <s v="Regular Air"/>
    <n v="-57.64"/>
    <n v="5.98"/>
    <n v="5.46"/>
    <x v="243"/>
    <x v="6"/>
    <x v="5"/>
    <x v="0"/>
    <x v="0"/>
    <x v="5"/>
    <x v="584"/>
    <s v="Small Box"/>
    <n v="0.36"/>
    <d v="2011-08-29T00:00:00"/>
    <n v="0"/>
    <n v="0"/>
    <n v="0.5"/>
    <n v="0.5"/>
  </r>
  <r>
    <n v="7660"/>
    <n v="54914"/>
    <x v="51"/>
    <x v="21"/>
    <s v="Critical"/>
    <n v="7"/>
    <n v="90.58"/>
    <n v="0.06"/>
    <s v="Regular Air"/>
    <n v="-27.83"/>
    <n v="12.44"/>
    <n v="6.27"/>
    <x v="243"/>
    <x v="6"/>
    <x v="5"/>
    <x v="0"/>
    <x v="0"/>
    <x v="0"/>
    <x v="587"/>
    <s v="Medium Box"/>
    <n v="0.56999999999999995"/>
    <d v="2011-08-30T00:00:00"/>
    <n v="0"/>
    <n v="0"/>
    <n v="0.5"/>
    <n v="0.5"/>
  </r>
  <r>
    <n v="7684"/>
    <n v="55073"/>
    <x v="484"/>
    <x v="33"/>
    <s v="Low"/>
    <n v="40"/>
    <n v="2376.7105000000001"/>
    <n v="0.01"/>
    <s v="Regular Air"/>
    <n v="721.80899999999997"/>
    <n v="65.989999999999995"/>
    <n v="3.99"/>
    <x v="245"/>
    <x v="6"/>
    <x v="5"/>
    <x v="2"/>
    <x v="1"/>
    <x v="3"/>
    <x v="930"/>
    <s v="Small Box"/>
    <n v="0.56999999999999995"/>
    <d v="2012-03-20T00:00:00"/>
    <n v="0"/>
    <n v="0"/>
    <n v="1"/>
    <n v="1"/>
  </r>
  <r>
    <n v="7712"/>
    <n v="55270"/>
    <x v="529"/>
    <x v="38"/>
    <s v="Medium"/>
    <n v="1"/>
    <n v="35.14"/>
    <n v="0.02"/>
    <s v="Regular Air"/>
    <n v="-12.753499999999999"/>
    <n v="29.17"/>
    <n v="6.27"/>
    <x v="244"/>
    <x v="6"/>
    <x v="5"/>
    <x v="3"/>
    <x v="0"/>
    <x v="2"/>
    <x v="837"/>
    <s v="Small Box"/>
    <n v="0.37"/>
    <d v="2010-01-23T00:00:00"/>
    <n v="1"/>
    <n v="0"/>
    <n v="1"/>
    <n v="0.33333333333333331"/>
  </r>
  <r>
    <n v="7788"/>
    <n v="55716"/>
    <x v="972"/>
    <x v="1"/>
    <s v="High"/>
    <n v="9"/>
    <n v="14665.55"/>
    <n v="7.0000000000000007E-2"/>
    <s v="Regular Air"/>
    <n v="-767.51"/>
    <n v="1637.53"/>
    <n v="24.49"/>
    <x v="82"/>
    <x v="6"/>
    <x v="5"/>
    <x v="3"/>
    <x v="0"/>
    <x v="15"/>
    <x v="57"/>
    <s v="Medium Box"/>
    <n v="0.81"/>
    <d v="2012-10-23T00:00:00"/>
    <n v="0"/>
    <n v="0"/>
    <n v="1"/>
    <n v="1"/>
  </r>
  <r>
    <n v="7795"/>
    <n v="55776"/>
    <x v="436"/>
    <x v="28"/>
    <s v="Not Specified"/>
    <n v="32"/>
    <n v="4856.1000000000004"/>
    <n v="0.01"/>
    <s v="Delivery Truck"/>
    <n v="1096.6400000000001"/>
    <n v="145.44999999999999"/>
    <n v="17.850000000000001"/>
    <x v="305"/>
    <x v="6"/>
    <x v="5"/>
    <x v="2"/>
    <x v="1"/>
    <x v="16"/>
    <x v="127"/>
    <s v="Jumbo Drum"/>
    <n v="0.56000000000000005"/>
    <d v="2009-03-23T00:00:00"/>
    <n v="0"/>
    <n v="0"/>
    <n v="1"/>
    <n v="1"/>
  </r>
  <r>
    <n v="7810"/>
    <n v="55874"/>
    <x v="920"/>
    <x v="40"/>
    <s v="Medium"/>
    <n v="28"/>
    <n v="208.83"/>
    <n v="0"/>
    <s v="Regular Air"/>
    <n v="-60.145000000000003"/>
    <n v="7.1"/>
    <n v="6.05"/>
    <x v="308"/>
    <x v="6"/>
    <x v="5"/>
    <x v="0"/>
    <x v="0"/>
    <x v="2"/>
    <x v="310"/>
    <s v="Small Box"/>
    <n v="0.39"/>
    <d v="2009-02-17T00:00:00"/>
    <n v="0"/>
    <n v="0"/>
    <n v="0.33333333333333331"/>
    <n v="0.33333333333333331"/>
  </r>
  <r>
    <n v="7811"/>
    <n v="55874"/>
    <x v="920"/>
    <x v="40"/>
    <s v="Medium"/>
    <n v="41"/>
    <n v="228.3"/>
    <n v="0.01"/>
    <s v="Express Air"/>
    <n v="-111.72"/>
    <n v="4.9800000000000004"/>
    <n v="4.62"/>
    <x v="308"/>
    <x v="6"/>
    <x v="5"/>
    <x v="0"/>
    <x v="1"/>
    <x v="7"/>
    <x v="278"/>
    <s v="Small Pack"/>
    <n v="0.64"/>
    <d v="2009-02-18T00:00:00"/>
    <n v="0"/>
    <n v="0"/>
    <n v="0.33333333333333331"/>
    <n v="0.33333333333333331"/>
  </r>
  <r>
    <n v="7831"/>
    <n v="56002"/>
    <x v="694"/>
    <x v="36"/>
    <s v="Low"/>
    <n v="21"/>
    <n v="514.53"/>
    <n v="0.04"/>
    <s v="Regular Air"/>
    <n v="149.31"/>
    <n v="23.99"/>
    <n v="6.71"/>
    <x v="274"/>
    <x v="6"/>
    <x v="5"/>
    <x v="2"/>
    <x v="0"/>
    <x v="8"/>
    <x v="201"/>
    <s v="Small Box"/>
    <n v="0.35"/>
    <d v="2009-07-06T00:00:00"/>
    <n v="0"/>
    <n v="0"/>
    <n v="0.25"/>
    <n v="0.25"/>
  </r>
  <r>
    <n v="7832"/>
    <n v="56002"/>
    <x v="694"/>
    <x v="36"/>
    <s v="Low"/>
    <n v="14"/>
    <n v="748.84"/>
    <n v="0.09"/>
    <s v="Regular Air"/>
    <n v="286.7"/>
    <n v="55.98"/>
    <n v="4.8600000000000003"/>
    <x v="274"/>
    <x v="6"/>
    <x v="5"/>
    <x v="2"/>
    <x v="0"/>
    <x v="5"/>
    <x v="938"/>
    <s v="Small Box"/>
    <n v="0.36"/>
    <d v="2009-07-08T00:00:00"/>
    <n v="0"/>
    <n v="0"/>
    <n v="0.25"/>
    <n v="0.25"/>
  </r>
  <r>
    <n v="7833"/>
    <n v="56002"/>
    <x v="694"/>
    <x v="36"/>
    <s v="Low"/>
    <n v="9"/>
    <n v="1497.93"/>
    <n v="0.05"/>
    <s v="Regular Air"/>
    <n v="35.31"/>
    <n v="161.55000000000001"/>
    <n v="19.989999999999998"/>
    <x v="274"/>
    <x v="6"/>
    <x v="5"/>
    <x v="2"/>
    <x v="0"/>
    <x v="0"/>
    <x v="533"/>
    <s v="Small Box"/>
    <n v="0.66"/>
    <d v="2009-07-11T00:00:00"/>
    <n v="0"/>
    <n v="0"/>
    <n v="0.25"/>
    <n v="0.25"/>
  </r>
  <r>
    <n v="7834"/>
    <n v="56002"/>
    <x v="694"/>
    <x v="36"/>
    <s v="Low"/>
    <n v="14"/>
    <n v="3857.56"/>
    <n v="7.0000000000000007E-2"/>
    <s v="Regular Air"/>
    <n v="-377.81100000000004"/>
    <n v="290.98"/>
    <n v="69"/>
    <x v="274"/>
    <x v="6"/>
    <x v="5"/>
    <x v="2"/>
    <x v="2"/>
    <x v="10"/>
    <x v="454"/>
    <s v="Large Box"/>
    <n v="0.67"/>
    <d v="2009-07-06T00:00:00"/>
    <n v="0"/>
    <n v="0"/>
    <n v="0.25"/>
    <n v="0.25"/>
  </r>
  <r>
    <n v="7840"/>
    <n v="56039"/>
    <x v="177"/>
    <x v="27"/>
    <s v="Low"/>
    <n v="23"/>
    <n v="156.66"/>
    <n v="7.0000000000000007E-2"/>
    <s v="Regular Air"/>
    <n v="-33.15"/>
    <n v="6.68"/>
    <n v="5.2"/>
    <x v="308"/>
    <x v="6"/>
    <x v="5"/>
    <x v="0"/>
    <x v="0"/>
    <x v="5"/>
    <x v="320"/>
    <s v="Small Box"/>
    <n v="0.37"/>
    <d v="2011-11-30T00:00:00"/>
    <n v="0"/>
    <n v="0"/>
    <n v="1"/>
    <n v="1"/>
  </r>
  <r>
    <n v="7936"/>
    <n v="56710"/>
    <x v="658"/>
    <x v="39"/>
    <s v="Not Specified"/>
    <n v="34"/>
    <n v="479.84"/>
    <n v="0.02"/>
    <s v="Regular Air"/>
    <n v="5.71"/>
    <n v="13.43"/>
    <n v="5.5"/>
    <x v="276"/>
    <x v="6"/>
    <x v="5"/>
    <x v="1"/>
    <x v="0"/>
    <x v="0"/>
    <x v="813"/>
    <s v="Small Box"/>
    <n v="0.56999999999999995"/>
    <d v="2010-05-12T00:00:00"/>
    <n v="0"/>
    <n v="0"/>
    <n v="0.25"/>
    <n v="0.25"/>
  </r>
  <r>
    <n v="7937"/>
    <n v="56710"/>
    <x v="658"/>
    <x v="39"/>
    <s v="Not Specified"/>
    <n v="16"/>
    <n v="833.92650000000003"/>
    <n v="0.08"/>
    <s v="Regular Air"/>
    <n v="-39.215000000000003"/>
    <n v="65.989999999999995"/>
    <n v="3.99"/>
    <x v="276"/>
    <x v="6"/>
    <x v="5"/>
    <x v="1"/>
    <x v="1"/>
    <x v="3"/>
    <x v="440"/>
    <s v="Small Box"/>
    <n v="0.59"/>
    <d v="2010-05-12T00:00:00"/>
    <n v="0"/>
    <n v="0"/>
    <n v="0.25"/>
    <n v="0.25"/>
  </r>
  <r>
    <n v="7938"/>
    <n v="56710"/>
    <x v="658"/>
    <x v="39"/>
    <s v="Not Specified"/>
    <n v="6"/>
    <n v="182.64"/>
    <n v="0.08"/>
    <s v="Regular Air"/>
    <n v="-99.24"/>
    <n v="30.98"/>
    <n v="6.5"/>
    <x v="276"/>
    <x v="6"/>
    <x v="5"/>
    <x v="1"/>
    <x v="1"/>
    <x v="7"/>
    <x v="455"/>
    <s v="Small Box"/>
    <n v="0.64"/>
    <d v="2010-05-13T00:00:00"/>
    <n v="0"/>
    <n v="0"/>
    <n v="0.25"/>
    <n v="0.25"/>
  </r>
  <r>
    <n v="7939"/>
    <n v="56710"/>
    <x v="658"/>
    <x v="39"/>
    <s v="Not Specified"/>
    <n v="21"/>
    <n v="736.17"/>
    <n v="0.01"/>
    <s v="Regular Air"/>
    <n v="232.99"/>
    <n v="35.409999999999997"/>
    <n v="1.99"/>
    <x v="276"/>
    <x v="6"/>
    <x v="5"/>
    <x v="1"/>
    <x v="1"/>
    <x v="7"/>
    <x v="753"/>
    <s v="Small Pack"/>
    <n v="0.43"/>
    <d v="2010-05-13T00:00:00"/>
    <n v="0"/>
    <n v="0"/>
    <n v="0.25"/>
    <n v="0.25"/>
  </r>
  <r>
    <n v="7985"/>
    <n v="57092"/>
    <x v="973"/>
    <x v="39"/>
    <s v="Critical"/>
    <n v="29"/>
    <n v="2820.6994999999997"/>
    <n v="0.03"/>
    <s v="Regular Air"/>
    <n v="601.33500000000004"/>
    <n v="110.99"/>
    <n v="8.99"/>
    <x v="165"/>
    <x v="6"/>
    <x v="5"/>
    <x v="1"/>
    <x v="1"/>
    <x v="3"/>
    <x v="425"/>
    <s v="Small Box"/>
    <n v="0.56999999999999995"/>
    <d v="2010-05-02T00:00:00"/>
    <n v="0"/>
    <n v="0"/>
    <n v="1"/>
    <n v="1"/>
  </r>
  <r>
    <n v="8011"/>
    <n v="57253"/>
    <x v="272"/>
    <x v="22"/>
    <s v="Critical"/>
    <n v="43"/>
    <n v="78.08"/>
    <n v="0.08"/>
    <s v="Regular Air"/>
    <n v="1.74"/>
    <n v="1.81"/>
    <n v="0.75"/>
    <x v="263"/>
    <x v="6"/>
    <x v="5"/>
    <x v="1"/>
    <x v="2"/>
    <x v="14"/>
    <x v="205"/>
    <s v="Jumbo Drum"/>
    <n v="0.57999999999999996"/>
    <d v="2009-01-06T00:00:00"/>
    <n v="0"/>
    <n v="1"/>
    <n v="0.2"/>
    <n v="0.2"/>
  </r>
  <r>
    <n v="8012"/>
    <n v="57253"/>
    <x v="272"/>
    <x v="22"/>
    <s v="Critical"/>
    <n v="29"/>
    <n v="653.54"/>
    <n v="0.06"/>
    <s v="Delivery Truck"/>
    <n v="-1358.9"/>
    <n v="20.98"/>
    <n v="53.03"/>
    <x v="263"/>
    <x v="6"/>
    <x v="5"/>
    <x v="1"/>
    <x v="2"/>
    <x v="14"/>
    <x v="145"/>
    <s v="Jumbo Drum"/>
    <n v="0.64"/>
    <d v="2009-01-07T00:00:00"/>
    <n v="0"/>
    <n v="1"/>
    <n v="0.2"/>
    <n v="0.2"/>
  </r>
  <r>
    <n v="8013"/>
    <n v="57253"/>
    <x v="272"/>
    <x v="22"/>
    <s v="Critical"/>
    <n v="48"/>
    <n v="12635.75"/>
    <n v="7.0000000000000007E-2"/>
    <s v="Regular Air"/>
    <n v="-335.24"/>
    <n v="279.48"/>
    <n v="35"/>
    <x v="263"/>
    <x v="6"/>
    <x v="5"/>
    <x v="1"/>
    <x v="2"/>
    <x v="4"/>
    <x v="220"/>
    <s v="Large Box"/>
    <n v="0.6"/>
    <d v="2009-01-05T00:00:00"/>
    <n v="0"/>
    <n v="1"/>
    <n v="0.2"/>
    <n v="0.2"/>
  </r>
  <r>
    <n v="8014"/>
    <n v="57253"/>
    <x v="272"/>
    <x v="22"/>
    <s v="Critical"/>
    <n v="49"/>
    <n v="240.3"/>
    <n v="0.08"/>
    <s v="Regular Air"/>
    <n v="-139.15575000000001"/>
    <n v="4.91"/>
    <n v="5.68"/>
    <x v="263"/>
    <x v="6"/>
    <x v="5"/>
    <x v="1"/>
    <x v="2"/>
    <x v="10"/>
    <x v="1025"/>
    <s v="Jumbo Box"/>
    <n v="0.7"/>
    <d v="2009-01-06T00:00:00"/>
    <n v="0"/>
    <n v="1"/>
    <n v="0.2"/>
    <n v="0.2"/>
  </r>
  <r>
    <n v="8015"/>
    <n v="57253"/>
    <x v="272"/>
    <x v="22"/>
    <s v="Critical"/>
    <n v="25"/>
    <n v="2750.107"/>
    <n v="0.04"/>
    <s v="Regular Air"/>
    <n v="667.44900000000007"/>
    <n v="125.99"/>
    <n v="5.26"/>
    <x v="263"/>
    <x v="6"/>
    <x v="5"/>
    <x v="1"/>
    <x v="1"/>
    <x v="3"/>
    <x v="816"/>
    <s v="Small Box"/>
    <n v="0.55000000000000004"/>
    <d v="2009-01-05T00:00:00"/>
    <n v="0"/>
    <n v="1"/>
    <n v="0.2"/>
    <n v="0.2"/>
  </r>
  <r>
    <n v="8034"/>
    <n v="57382"/>
    <x v="643"/>
    <x v="28"/>
    <s v="Medium"/>
    <n v="25"/>
    <n v="106.04"/>
    <n v="0.09"/>
    <s v="Regular Air"/>
    <n v="16.898"/>
    <n v="4.55"/>
    <n v="1.49"/>
    <x v="273"/>
    <x v="6"/>
    <x v="5"/>
    <x v="1"/>
    <x v="0"/>
    <x v="2"/>
    <x v="394"/>
    <s v="Small Box"/>
    <n v="0.35"/>
    <d v="2009-03-25T00:00:00"/>
    <n v="0"/>
    <n v="0"/>
    <n v="0.5"/>
    <n v="0.5"/>
  </r>
  <r>
    <n v="8035"/>
    <n v="57382"/>
    <x v="643"/>
    <x v="28"/>
    <s v="Medium"/>
    <n v="45"/>
    <n v="452.93"/>
    <n v="7.0000000000000007E-2"/>
    <s v="Express Air"/>
    <n v="20.14"/>
    <n v="9.7799999999999994"/>
    <n v="5.76"/>
    <x v="273"/>
    <x v="6"/>
    <x v="5"/>
    <x v="1"/>
    <x v="0"/>
    <x v="8"/>
    <x v="430"/>
    <s v="Small Box"/>
    <n v="0.35"/>
    <d v="2009-03-25T00:00:00"/>
    <n v="0"/>
    <n v="0"/>
    <n v="0.5"/>
    <n v="0.5"/>
  </r>
  <r>
    <n v="8039"/>
    <n v="57415"/>
    <x v="922"/>
    <x v="28"/>
    <s v="Medium"/>
    <n v="6"/>
    <n v="101.52"/>
    <n v="0.02"/>
    <s v="Regular Air"/>
    <n v="-16.37"/>
    <n v="15.42"/>
    <n v="5.41"/>
    <x v="242"/>
    <x v="6"/>
    <x v="5"/>
    <x v="1"/>
    <x v="0"/>
    <x v="0"/>
    <x v="1026"/>
    <s v="Small Box"/>
    <n v="0.59"/>
    <d v="2009-03-25T00:00:00"/>
    <n v="0"/>
    <n v="0"/>
    <n v="1"/>
    <n v="1"/>
  </r>
  <r>
    <n v="8077"/>
    <n v="57606"/>
    <x v="974"/>
    <x v="38"/>
    <s v="Not Specified"/>
    <n v="37"/>
    <n v="294.48"/>
    <n v="0.08"/>
    <s v="Regular Air"/>
    <n v="-64.239999999999995"/>
    <n v="8.4600000000000009"/>
    <n v="3.62"/>
    <x v="263"/>
    <x v="6"/>
    <x v="5"/>
    <x v="1"/>
    <x v="1"/>
    <x v="7"/>
    <x v="919"/>
    <s v="Small Pack"/>
    <n v="0.61"/>
    <d v="2010-01-04T00:00:00"/>
    <n v="1"/>
    <n v="0"/>
    <n v="1"/>
    <n v="1"/>
  </r>
  <r>
    <n v="8099"/>
    <n v="57794"/>
    <x v="442"/>
    <x v="36"/>
    <s v="Low"/>
    <n v="16"/>
    <n v="88.84"/>
    <n v="0.02"/>
    <s v="Regular Air"/>
    <n v="-46.92"/>
    <n v="4.9800000000000004"/>
    <n v="6.07"/>
    <x v="253"/>
    <x v="6"/>
    <x v="5"/>
    <x v="3"/>
    <x v="0"/>
    <x v="5"/>
    <x v="231"/>
    <s v="Small Box"/>
    <n v="0.36"/>
    <d v="2009-07-28T00:00:00"/>
    <n v="0"/>
    <n v="0"/>
    <n v="1"/>
    <n v="1"/>
  </r>
  <r>
    <n v="8123"/>
    <n v="58054"/>
    <x v="280"/>
    <x v="16"/>
    <s v="High"/>
    <n v="26"/>
    <n v="61.4"/>
    <n v="0.04"/>
    <s v="Regular Air"/>
    <n v="-92.11"/>
    <n v="2.08"/>
    <n v="5.33"/>
    <x v="165"/>
    <x v="6"/>
    <x v="5"/>
    <x v="1"/>
    <x v="2"/>
    <x v="4"/>
    <x v="109"/>
    <s v="Small Box"/>
    <n v="0.43"/>
    <d v="2011-01-04T00:00:00"/>
    <n v="0"/>
    <n v="0"/>
    <n v="1"/>
    <n v="1"/>
  </r>
  <r>
    <n v="8129"/>
    <n v="58113"/>
    <x v="975"/>
    <x v="12"/>
    <s v="High"/>
    <n v="48"/>
    <n v="362.71"/>
    <n v="7.0000000000000007E-2"/>
    <s v="Regular Air"/>
    <n v="-88.952500000000001"/>
    <n v="7.68"/>
    <n v="6.16"/>
    <x v="302"/>
    <x v="6"/>
    <x v="5"/>
    <x v="0"/>
    <x v="0"/>
    <x v="2"/>
    <x v="669"/>
    <s v="Small Box"/>
    <n v="0.35"/>
    <d v="2012-02-03T00:00:00"/>
    <n v="0"/>
    <n v="0"/>
    <n v="0.5"/>
    <n v="0.5"/>
  </r>
  <r>
    <n v="8130"/>
    <n v="58113"/>
    <x v="975"/>
    <x v="12"/>
    <s v="High"/>
    <n v="12"/>
    <n v="2077.1875"/>
    <n v="0.05"/>
    <s v="Express Air"/>
    <n v="-38.070999999999998"/>
    <n v="200.99"/>
    <n v="4.2"/>
    <x v="302"/>
    <x v="6"/>
    <x v="5"/>
    <x v="0"/>
    <x v="1"/>
    <x v="3"/>
    <x v="332"/>
    <s v="Small Box"/>
    <n v="0.59"/>
    <d v="2012-02-03T00:00:00"/>
    <n v="0"/>
    <n v="0"/>
    <n v="0.5"/>
    <n v="0.5"/>
  </r>
  <r>
    <n v="8186"/>
    <n v="58528"/>
    <x v="976"/>
    <x v="0"/>
    <s v="Medium"/>
    <n v="14"/>
    <n v="700.95"/>
    <n v="0"/>
    <s v="Regular Air"/>
    <n v="233.8"/>
    <n v="46.89"/>
    <n v="5.0999999999999996"/>
    <x v="309"/>
    <x v="6"/>
    <x v="5"/>
    <x v="2"/>
    <x v="0"/>
    <x v="1"/>
    <x v="233"/>
    <s v="Medium Box"/>
    <n v="0.46"/>
    <d v="2010-10-28T00:00:00"/>
    <n v="0"/>
    <n v="0"/>
    <n v="0.5"/>
    <n v="0.5"/>
  </r>
  <r>
    <n v="8187"/>
    <n v="58528"/>
    <x v="976"/>
    <x v="0"/>
    <s v="Medium"/>
    <n v="41"/>
    <n v="159.74"/>
    <n v="0.08"/>
    <s v="Express Air"/>
    <n v="-9.14"/>
    <n v="3.69"/>
    <n v="2.5"/>
    <x v="309"/>
    <x v="6"/>
    <x v="5"/>
    <x v="2"/>
    <x v="0"/>
    <x v="8"/>
    <x v="500"/>
    <s v="Small Box"/>
    <n v="0.39"/>
    <d v="2010-10-28T00:00:00"/>
    <n v="0"/>
    <n v="0"/>
    <n v="0.5"/>
    <n v="0.5"/>
  </r>
  <r>
    <n v="8193"/>
    <n v="58598"/>
    <x v="977"/>
    <x v="21"/>
    <s v="Medium"/>
    <n v="50"/>
    <n v="13608.83"/>
    <n v="0.1"/>
    <s v="Delivery Truck"/>
    <n v="1342.93"/>
    <n v="300.98"/>
    <n v="64.73"/>
    <x v="244"/>
    <x v="6"/>
    <x v="5"/>
    <x v="3"/>
    <x v="2"/>
    <x v="14"/>
    <x v="70"/>
    <s v="Jumbo Drum"/>
    <n v="0.56000000000000005"/>
    <d v="2011-08-23T00:00:00"/>
    <n v="0"/>
    <n v="0"/>
    <n v="0.5"/>
    <n v="0.33333333333333331"/>
  </r>
  <r>
    <n v="8194"/>
    <n v="58598"/>
    <x v="977"/>
    <x v="21"/>
    <s v="Medium"/>
    <n v="25"/>
    <n v="89.32"/>
    <n v="0.01"/>
    <s v="Regular Air"/>
    <n v="33.46"/>
    <n v="3.41"/>
    <n v="0.7"/>
    <x v="244"/>
    <x v="6"/>
    <x v="5"/>
    <x v="3"/>
    <x v="0"/>
    <x v="6"/>
    <x v="1027"/>
    <s v="Wrap Bag"/>
    <n v="0.37"/>
    <d v="2011-08-23T00:00:00"/>
    <n v="0"/>
    <n v="0"/>
    <n v="0.5"/>
    <n v="0.33333333333333331"/>
  </r>
  <r>
    <n v="8231"/>
    <n v="58851"/>
    <x v="222"/>
    <x v="30"/>
    <s v="Low"/>
    <n v="3"/>
    <n v="23.93"/>
    <n v="0.1"/>
    <s v="Regular Air"/>
    <n v="-6.39"/>
    <n v="8.34"/>
    <n v="0.96"/>
    <x v="250"/>
    <x v="6"/>
    <x v="5"/>
    <x v="2"/>
    <x v="2"/>
    <x v="4"/>
    <x v="956"/>
    <s v="Wrap Bag"/>
    <n v="0.43"/>
    <d v="2010-06-11T00:00:00"/>
    <n v="0"/>
    <n v="0"/>
    <n v="0.5"/>
    <n v="0.5"/>
  </r>
  <r>
    <n v="8232"/>
    <n v="58851"/>
    <x v="222"/>
    <x v="30"/>
    <s v="Low"/>
    <n v="14"/>
    <n v="2027.55"/>
    <n v="0.04"/>
    <s v="Regular Air"/>
    <n v="537.4"/>
    <n v="140.99"/>
    <n v="13.99"/>
    <x v="250"/>
    <x v="6"/>
    <x v="5"/>
    <x v="2"/>
    <x v="1"/>
    <x v="16"/>
    <x v="334"/>
    <s v="Medium Box"/>
    <n v="0.37"/>
    <d v="2010-06-14T00:00:00"/>
    <n v="0"/>
    <n v="0"/>
    <n v="0.5"/>
    <n v="0.5"/>
  </r>
  <r>
    <n v="8233"/>
    <n v="58853"/>
    <x v="212"/>
    <x v="20"/>
    <s v="Critical"/>
    <n v="27"/>
    <n v="5307.5"/>
    <n v="0.09"/>
    <s v="Delivery Truck"/>
    <n v="1116.67"/>
    <n v="200.98"/>
    <n v="23.76"/>
    <x v="266"/>
    <x v="6"/>
    <x v="5"/>
    <x v="3"/>
    <x v="2"/>
    <x v="14"/>
    <x v="316"/>
    <s v="Jumbo Drum"/>
    <n v="0.57999999999999996"/>
    <d v="2012-05-14T00:00:00"/>
    <n v="0"/>
    <n v="0"/>
    <n v="1"/>
    <n v="1"/>
  </r>
  <r>
    <n v="8252"/>
    <n v="59015"/>
    <x v="321"/>
    <x v="20"/>
    <s v="Medium"/>
    <n v="32"/>
    <n v="254.46"/>
    <n v="0.09"/>
    <s v="Regular Air"/>
    <n v="23.5"/>
    <n v="8.5"/>
    <n v="1.99"/>
    <x v="310"/>
    <x v="6"/>
    <x v="5"/>
    <x v="0"/>
    <x v="1"/>
    <x v="7"/>
    <x v="676"/>
    <s v="Small Pack"/>
    <n v="0.49"/>
    <d v="2012-05-27T00:00:00"/>
    <n v="0"/>
    <n v="0"/>
    <n v="0.33333333333333331"/>
    <n v="0.16666666666666666"/>
  </r>
  <r>
    <n v="8253"/>
    <n v="59015"/>
    <x v="321"/>
    <x v="20"/>
    <s v="Medium"/>
    <n v="32"/>
    <n v="278.19"/>
    <n v="0.02"/>
    <s v="Regular Air"/>
    <n v="149.38999999999999"/>
    <n v="8.34"/>
    <n v="0.96"/>
    <x v="310"/>
    <x v="6"/>
    <x v="5"/>
    <x v="0"/>
    <x v="2"/>
    <x v="4"/>
    <x v="956"/>
    <s v="Wrap Bag"/>
    <n v="0.43"/>
    <d v="2012-05-27T00:00:00"/>
    <n v="0"/>
    <n v="0"/>
    <n v="0.33333333333333331"/>
    <n v="0.16666666666666666"/>
  </r>
  <r>
    <n v="8254"/>
    <n v="59015"/>
    <x v="321"/>
    <x v="20"/>
    <s v="Medium"/>
    <n v="32"/>
    <n v="1662.33"/>
    <n v="0.02"/>
    <s v="Regular Air"/>
    <n v="783.84"/>
    <n v="48.91"/>
    <n v="5.81"/>
    <x v="310"/>
    <x v="6"/>
    <x v="5"/>
    <x v="0"/>
    <x v="0"/>
    <x v="5"/>
    <x v="83"/>
    <s v="Small Box"/>
    <n v="0.38"/>
    <d v="2012-05-28T00:00:00"/>
    <n v="0"/>
    <n v="0"/>
    <n v="0.33333333333333331"/>
    <n v="0.16666666666666666"/>
  </r>
  <r>
    <n v="8264"/>
    <n v="59075"/>
    <x v="723"/>
    <x v="12"/>
    <s v="Low"/>
    <n v="38"/>
    <n v="425.91"/>
    <n v="0.02"/>
    <s v="Regular Air"/>
    <n v="55.06"/>
    <n v="11.19"/>
    <n v="5.03"/>
    <x v="280"/>
    <x v="6"/>
    <x v="5"/>
    <x v="0"/>
    <x v="0"/>
    <x v="5"/>
    <x v="1010"/>
    <s v="Small Box"/>
    <n v="0.37"/>
    <d v="2012-02-29T00:00:00"/>
    <n v="0"/>
    <n v="0"/>
    <n v="0.5"/>
    <n v="0.5"/>
  </r>
  <r>
    <n v="8269"/>
    <n v="59108"/>
    <x v="850"/>
    <x v="17"/>
    <s v="Low"/>
    <n v="21"/>
    <n v="68.53"/>
    <n v="0.09"/>
    <s v="Regular Air"/>
    <n v="-59.97"/>
    <n v="3.28"/>
    <n v="3.97"/>
    <x v="253"/>
    <x v="6"/>
    <x v="5"/>
    <x v="2"/>
    <x v="0"/>
    <x v="12"/>
    <x v="429"/>
    <s v="Wrap Bag"/>
    <n v="0.56000000000000005"/>
    <d v="2011-10-12T00:00:00"/>
    <n v="0"/>
    <n v="0"/>
    <n v="0.5"/>
    <n v="0.5"/>
  </r>
  <r>
    <n v="8270"/>
    <n v="59108"/>
    <x v="850"/>
    <x v="17"/>
    <s v="Low"/>
    <n v="39"/>
    <n v="4215.83"/>
    <n v="0.02"/>
    <s v="Regular Air"/>
    <n v="972.18900000000008"/>
    <n v="125.99"/>
    <n v="8.99"/>
    <x v="253"/>
    <x v="6"/>
    <x v="5"/>
    <x v="2"/>
    <x v="1"/>
    <x v="3"/>
    <x v="713"/>
    <s v="Small Box"/>
    <n v="0.59"/>
    <d v="2011-10-16T00:00:00"/>
    <n v="0"/>
    <n v="0"/>
    <n v="0.5"/>
    <n v="0.5"/>
  </r>
  <r>
    <n v="8339"/>
    <n v="59589"/>
    <x v="285"/>
    <x v="13"/>
    <s v="Medium"/>
    <n v="25"/>
    <n v="1610.26"/>
    <n v="0.06"/>
    <s v="Regular Air"/>
    <n v="122.42"/>
    <n v="64.98"/>
    <n v="6.88"/>
    <x v="284"/>
    <x v="6"/>
    <x v="5"/>
    <x v="3"/>
    <x v="0"/>
    <x v="0"/>
    <x v="391"/>
    <s v="Small Box"/>
    <n v="0.73"/>
    <d v="2012-04-11T00:00:00"/>
    <n v="0"/>
    <n v="0"/>
    <n v="1"/>
    <n v="0.5"/>
  </r>
  <r>
    <n v="8354"/>
    <n v="59685"/>
    <x v="468"/>
    <x v="45"/>
    <s v="Critical"/>
    <n v="12"/>
    <n v="505.2"/>
    <n v="0.05"/>
    <s v="Regular Air"/>
    <n v="78.98"/>
    <n v="40.98"/>
    <n v="5.33"/>
    <x v="276"/>
    <x v="6"/>
    <x v="5"/>
    <x v="1"/>
    <x v="0"/>
    <x v="1"/>
    <x v="530"/>
    <s v="Small Box"/>
    <n v="0.56999999999999995"/>
    <d v="2012-12-12T00:00:00"/>
    <n v="0"/>
    <n v="0"/>
    <n v="0.5"/>
    <n v="0.5"/>
  </r>
  <r>
    <n v="8355"/>
    <n v="59685"/>
    <x v="468"/>
    <x v="45"/>
    <s v="Critical"/>
    <n v="46"/>
    <n v="562.91"/>
    <n v="0.1"/>
    <s v="Regular Air"/>
    <n v="-560.29"/>
    <n v="12.99"/>
    <n v="14.37"/>
    <x v="276"/>
    <x v="6"/>
    <x v="5"/>
    <x v="1"/>
    <x v="2"/>
    <x v="4"/>
    <x v="856"/>
    <s v="Large Box"/>
    <n v="0.73"/>
    <d v="2012-12-11T00:00:00"/>
    <n v="0"/>
    <n v="0"/>
    <n v="0.5"/>
    <n v="0.5"/>
  </r>
  <r>
    <n v="8377"/>
    <n v="59845"/>
    <x v="380"/>
    <x v="47"/>
    <s v="Low"/>
    <n v="42"/>
    <n v="200.1"/>
    <n v="0.04"/>
    <s v="Regular Air"/>
    <n v="3.02"/>
    <n v="4.71"/>
    <n v="0.7"/>
    <x v="248"/>
    <x v="6"/>
    <x v="5"/>
    <x v="1"/>
    <x v="0"/>
    <x v="6"/>
    <x v="21"/>
    <s v="Wrap Bag"/>
    <n v="0.8"/>
    <d v="2009-12-26T00:00:00"/>
    <n v="0"/>
    <n v="0"/>
    <n v="0.5"/>
    <n v="0.5"/>
  </r>
  <r>
    <n v="8378"/>
    <n v="59845"/>
    <x v="380"/>
    <x v="47"/>
    <s v="Low"/>
    <n v="28"/>
    <n v="120.54"/>
    <n v="0.06"/>
    <s v="Regular Air"/>
    <n v="6.52"/>
    <n v="4.2"/>
    <n v="2.2599999999999998"/>
    <x v="248"/>
    <x v="6"/>
    <x v="5"/>
    <x v="1"/>
    <x v="0"/>
    <x v="5"/>
    <x v="1028"/>
    <s v="Wrap Bag"/>
    <n v="0.36"/>
    <d v="2009-12-27T00:00:00"/>
    <n v="0"/>
    <n v="0"/>
    <n v="0.5"/>
    <n v="0.5"/>
  </r>
  <r>
    <n v="24"/>
    <n v="134"/>
    <x v="978"/>
    <x v="13"/>
    <s v="Not Specified"/>
    <n v="11"/>
    <n v="1132.5999999999999"/>
    <n v="0.01"/>
    <s v="Regular Air"/>
    <n v="-310.20999999999998"/>
    <n v="95.99"/>
    <n v="35"/>
    <x v="311"/>
    <x v="6"/>
    <x v="5"/>
    <x v="3"/>
    <x v="0"/>
    <x v="0"/>
    <x v="1029"/>
    <s v="Large Box"/>
    <m/>
    <d v="2012-05-02T00:00:00"/>
    <n v="0"/>
    <n v="0"/>
    <n v="1"/>
    <n v="1"/>
  </r>
  <r>
    <n v="114"/>
    <n v="740"/>
    <x v="979"/>
    <x v="2"/>
    <s v="Medium"/>
    <n v="6"/>
    <n v="28.01"/>
    <n v="0.09"/>
    <s v="Regular Air"/>
    <n v="3.46"/>
    <n v="4.9800000000000004"/>
    <n v="0.49"/>
    <x v="312"/>
    <x v="6"/>
    <x v="5"/>
    <x v="2"/>
    <x v="0"/>
    <x v="11"/>
    <x v="651"/>
    <s v="Small Box"/>
    <n v="0.39"/>
    <d v="2011-07-15T00:00:00"/>
    <n v="0"/>
    <n v="0"/>
    <n v="1"/>
    <n v="1"/>
  </r>
  <r>
    <n v="130"/>
    <n v="833"/>
    <x v="630"/>
    <x v="40"/>
    <s v="Medium"/>
    <n v="1"/>
    <n v="19.32"/>
    <n v="0.03"/>
    <s v="Regular Air"/>
    <n v="-20.320500000000003"/>
    <n v="12.53"/>
    <n v="7.17"/>
    <x v="313"/>
    <x v="6"/>
    <x v="5"/>
    <x v="3"/>
    <x v="0"/>
    <x v="2"/>
    <x v="1030"/>
    <s v="Small Box"/>
    <n v="0.38"/>
    <d v="2009-02-13T00:00:00"/>
    <n v="0"/>
    <n v="0"/>
    <n v="1"/>
    <n v="1"/>
  </r>
  <r>
    <n v="234"/>
    <n v="1573"/>
    <x v="687"/>
    <x v="45"/>
    <s v="High"/>
    <n v="13"/>
    <n v="759.94"/>
    <n v="0.09"/>
    <s v="Delivery Truck"/>
    <n v="-226.45"/>
    <n v="60.89"/>
    <n v="32.409999999999997"/>
    <x v="314"/>
    <x v="6"/>
    <x v="5"/>
    <x v="0"/>
    <x v="2"/>
    <x v="14"/>
    <x v="1031"/>
    <s v="Jumbo Drum"/>
    <n v="0.56000000000000005"/>
    <d v="2012-12-29T00:00:00"/>
    <n v="0"/>
    <n v="0"/>
    <n v="1"/>
    <n v="1"/>
  </r>
  <r>
    <n v="243"/>
    <n v="1639"/>
    <x v="64"/>
    <x v="21"/>
    <s v="Not Specified"/>
    <n v="24"/>
    <n v="163.13999999999999"/>
    <n v="0.09"/>
    <s v="Regular Air"/>
    <n v="-62.2"/>
    <n v="6.78"/>
    <n v="6.18"/>
    <x v="315"/>
    <x v="6"/>
    <x v="5"/>
    <x v="3"/>
    <x v="0"/>
    <x v="5"/>
    <x v="636"/>
    <s v="Small Box"/>
    <n v="0.39"/>
    <d v="2011-08-20T00:00:00"/>
    <n v="0"/>
    <n v="0"/>
    <n v="1"/>
    <n v="1"/>
  </r>
  <r>
    <n v="297"/>
    <n v="2053"/>
    <x v="955"/>
    <x v="44"/>
    <s v="Critical"/>
    <n v="39"/>
    <n v="19342.84"/>
    <n v="0.01"/>
    <s v="Delivery Truck"/>
    <n v="5603.95"/>
    <n v="500.98"/>
    <n v="126"/>
    <x v="316"/>
    <x v="6"/>
    <x v="5"/>
    <x v="1"/>
    <x v="2"/>
    <x v="14"/>
    <x v="38"/>
    <s v="Jumbo Drum"/>
    <n v="0.6"/>
    <d v="2011-02-07T00:00:00"/>
    <n v="0"/>
    <n v="0"/>
    <n v="0.5"/>
    <n v="0.5"/>
  </r>
  <r>
    <n v="298"/>
    <n v="2053"/>
    <x v="955"/>
    <x v="44"/>
    <s v="Critical"/>
    <n v="7"/>
    <n v="771.78300000000002"/>
    <n v="0.08"/>
    <s v="Regular Air"/>
    <n v="-449.52600000000001"/>
    <n v="140.99"/>
    <n v="4.2"/>
    <x v="316"/>
    <x v="6"/>
    <x v="5"/>
    <x v="1"/>
    <x v="1"/>
    <x v="3"/>
    <x v="625"/>
    <s v="Small Box"/>
    <n v="0.59"/>
    <d v="2011-02-08T00:00:00"/>
    <n v="0"/>
    <n v="0"/>
    <n v="0.5"/>
    <n v="0.5"/>
  </r>
  <r>
    <n v="307"/>
    <n v="2146"/>
    <x v="558"/>
    <x v="34"/>
    <s v="Not Specified"/>
    <n v="41"/>
    <n v="6111.1684999999998"/>
    <n v="0.06"/>
    <s v="Regular Air"/>
    <n v="1663.0829999999999"/>
    <n v="175.99"/>
    <n v="4.99"/>
    <x v="316"/>
    <x v="6"/>
    <x v="5"/>
    <x v="0"/>
    <x v="1"/>
    <x v="3"/>
    <x v="602"/>
    <s v="Small Box"/>
    <n v="0.59"/>
    <d v="2012-09-14T00:00:00"/>
    <n v="0"/>
    <n v="0"/>
    <n v="0.5"/>
    <n v="0.5"/>
  </r>
  <r>
    <n v="308"/>
    <n v="2146"/>
    <x v="558"/>
    <x v="34"/>
    <s v="Not Specified"/>
    <n v="44"/>
    <n v="113.71"/>
    <n v="7.0000000000000007E-2"/>
    <s v="Regular Air"/>
    <n v="41.7"/>
    <n v="2.61"/>
    <n v="0.5"/>
    <x v="316"/>
    <x v="6"/>
    <x v="5"/>
    <x v="0"/>
    <x v="0"/>
    <x v="11"/>
    <x v="400"/>
    <s v="Small Box"/>
    <n v="0.39"/>
    <d v="2012-09-15T00:00:00"/>
    <n v="0"/>
    <n v="0"/>
    <n v="0.5"/>
    <n v="0.5"/>
  </r>
  <r>
    <n v="396"/>
    <n v="2752"/>
    <x v="926"/>
    <x v="7"/>
    <s v="High"/>
    <n v="30"/>
    <n v="695.47"/>
    <n v="0.03"/>
    <s v="Regular Air"/>
    <n v="226.73"/>
    <n v="22.98"/>
    <n v="1.99"/>
    <x v="316"/>
    <x v="6"/>
    <x v="5"/>
    <x v="0"/>
    <x v="1"/>
    <x v="7"/>
    <x v="375"/>
    <s v="Small Pack"/>
    <n v="0.46"/>
    <d v="2010-11-20T00:00:00"/>
    <n v="0"/>
    <n v="0"/>
    <n v="0.25"/>
    <n v="0.25"/>
  </r>
  <r>
    <n v="397"/>
    <n v="2752"/>
    <x v="926"/>
    <x v="7"/>
    <s v="High"/>
    <n v="41"/>
    <n v="152.59"/>
    <n v="0.02"/>
    <s v="Regular Air"/>
    <n v="55.48"/>
    <n v="3.78"/>
    <n v="0.71"/>
    <x v="316"/>
    <x v="6"/>
    <x v="5"/>
    <x v="0"/>
    <x v="0"/>
    <x v="6"/>
    <x v="294"/>
    <s v="Wrap Bag"/>
    <n v="0.39"/>
    <d v="2010-11-20T00:00:00"/>
    <n v="0"/>
    <n v="0"/>
    <n v="0.25"/>
    <n v="0.25"/>
  </r>
  <r>
    <n v="398"/>
    <n v="2752"/>
    <x v="926"/>
    <x v="7"/>
    <s v="High"/>
    <n v="10"/>
    <n v="365.62"/>
    <n v="0.03"/>
    <s v="Regular Air"/>
    <n v="15.77"/>
    <n v="34.76"/>
    <n v="8.2200000000000006"/>
    <x v="316"/>
    <x v="6"/>
    <x v="5"/>
    <x v="0"/>
    <x v="0"/>
    <x v="0"/>
    <x v="139"/>
    <s v="Small Box"/>
    <n v="0.56999999999999995"/>
    <d v="2010-11-18T00:00:00"/>
    <n v="0"/>
    <n v="0"/>
    <n v="0.25"/>
    <n v="0.25"/>
  </r>
  <r>
    <n v="399"/>
    <n v="2752"/>
    <x v="926"/>
    <x v="7"/>
    <s v="High"/>
    <n v="10"/>
    <n v="575.56899999999996"/>
    <n v="0.04"/>
    <s v="Regular Air"/>
    <n v="-86.515000000000001"/>
    <n v="65.989999999999995"/>
    <n v="5.63"/>
    <x v="316"/>
    <x v="6"/>
    <x v="5"/>
    <x v="0"/>
    <x v="1"/>
    <x v="3"/>
    <x v="1032"/>
    <s v="Small Box"/>
    <n v="0.56000000000000005"/>
    <d v="2010-11-20T00:00:00"/>
    <n v="0"/>
    <n v="0"/>
    <n v="0.25"/>
    <n v="0.25"/>
  </r>
  <r>
    <n v="760"/>
    <n v="5445"/>
    <x v="456"/>
    <x v="42"/>
    <s v="Low"/>
    <n v="4"/>
    <n v="29.42"/>
    <n v="0.06"/>
    <s v="Express Air"/>
    <n v="14.43"/>
    <n v="3.69"/>
    <n v="0.5"/>
    <x v="311"/>
    <x v="6"/>
    <x v="5"/>
    <x v="3"/>
    <x v="0"/>
    <x v="11"/>
    <x v="20"/>
    <s v="Small Box"/>
    <n v="0.38"/>
    <d v="2010-07-30T00:00:00"/>
    <n v="0"/>
    <n v="0"/>
    <n v="0.5"/>
    <n v="0.5"/>
  </r>
  <r>
    <n v="761"/>
    <n v="5445"/>
    <x v="456"/>
    <x v="42"/>
    <s v="Low"/>
    <n v="9"/>
    <n v="46.48"/>
    <n v="0.01"/>
    <s v="Regular Air"/>
    <n v="-1.82"/>
    <n v="4.63"/>
    <n v="1.93"/>
    <x v="311"/>
    <x v="6"/>
    <x v="5"/>
    <x v="3"/>
    <x v="0"/>
    <x v="12"/>
    <x v="1015"/>
    <s v="Wrap Bag"/>
    <n v="0.52"/>
    <d v="2010-08-01T00:00:00"/>
    <n v="0"/>
    <n v="0"/>
    <n v="0.5"/>
    <n v="0.5"/>
  </r>
  <r>
    <n v="797"/>
    <n v="5699"/>
    <x v="300"/>
    <x v="29"/>
    <s v="Low"/>
    <n v="2"/>
    <n v="9.25"/>
    <n v="0.01"/>
    <s v="Regular Air"/>
    <n v="-4.21"/>
    <n v="4.13"/>
    <n v="0.99"/>
    <x v="317"/>
    <x v="6"/>
    <x v="5"/>
    <x v="0"/>
    <x v="0"/>
    <x v="11"/>
    <x v="367"/>
    <s v="Small Box"/>
    <n v="0.39"/>
    <d v="2012-08-03T00:00:00"/>
    <n v="0"/>
    <n v="0"/>
    <n v="0.5"/>
    <n v="0.33333333333333331"/>
  </r>
  <r>
    <n v="798"/>
    <n v="5699"/>
    <x v="300"/>
    <x v="29"/>
    <s v="Low"/>
    <n v="41"/>
    <n v="573.89"/>
    <n v="0.09"/>
    <s v="Express Air"/>
    <n v="-121.44"/>
    <n v="14.98"/>
    <n v="7.69"/>
    <x v="317"/>
    <x v="6"/>
    <x v="5"/>
    <x v="0"/>
    <x v="0"/>
    <x v="0"/>
    <x v="932"/>
    <s v="Small Box"/>
    <n v="0.56999999999999995"/>
    <d v="2012-08-03T00:00:00"/>
    <n v="0"/>
    <n v="0"/>
    <n v="0.5"/>
    <n v="0.33333333333333331"/>
  </r>
  <r>
    <n v="940"/>
    <n v="6823"/>
    <x v="631"/>
    <x v="36"/>
    <s v="Not Specified"/>
    <n v="50"/>
    <n v="1262.72"/>
    <n v="0.01"/>
    <s v="Regular Air"/>
    <n v="490.28"/>
    <n v="24.95"/>
    <n v="2.99"/>
    <x v="316"/>
    <x v="6"/>
    <x v="5"/>
    <x v="0"/>
    <x v="0"/>
    <x v="2"/>
    <x v="1013"/>
    <s v="Small Box"/>
    <n v="0.39"/>
    <d v="2009-07-22T00:00:00"/>
    <n v="0"/>
    <n v="0"/>
    <n v="0.5"/>
    <n v="0.5"/>
  </r>
  <r>
    <n v="941"/>
    <n v="6823"/>
    <x v="631"/>
    <x v="36"/>
    <s v="Not Specified"/>
    <n v="31"/>
    <n v="524.19000000000005"/>
    <n v="0"/>
    <s v="Regular Air"/>
    <n v="-135.46"/>
    <n v="15.98"/>
    <n v="8.99"/>
    <x v="316"/>
    <x v="6"/>
    <x v="5"/>
    <x v="0"/>
    <x v="1"/>
    <x v="7"/>
    <x v="289"/>
    <s v="Small Pack"/>
    <n v="0.64"/>
    <d v="2009-07-23T00:00:00"/>
    <n v="0"/>
    <n v="0"/>
    <n v="0.5"/>
    <n v="0.5"/>
  </r>
  <r>
    <n v="959"/>
    <n v="6948"/>
    <x v="25"/>
    <x v="15"/>
    <s v="Not Specified"/>
    <n v="15"/>
    <n v="1143.8800000000001"/>
    <n v="0.04"/>
    <s v="Regular Air"/>
    <n v="-88.7"/>
    <n v="73.98"/>
    <n v="4"/>
    <x v="318"/>
    <x v="6"/>
    <x v="5"/>
    <x v="2"/>
    <x v="1"/>
    <x v="7"/>
    <x v="640"/>
    <s v="Small Box"/>
    <n v="0.79"/>
    <d v="2010-12-10T00:00:00"/>
    <n v="0"/>
    <n v="0"/>
    <n v="1"/>
    <n v="1"/>
  </r>
  <r>
    <n v="1027"/>
    <n v="7462"/>
    <x v="422"/>
    <x v="44"/>
    <s v="High"/>
    <n v="3"/>
    <n v="72.63"/>
    <n v="7.0000000000000007E-2"/>
    <s v="Express Air"/>
    <n v="-26.94"/>
    <n v="22.01"/>
    <n v="5.53"/>
    <x v="314"/>
    <x v="6"/>
    <x v="5"/>
    <x v="0"/>
    <x v="0"/>
    <x v="12"/>
    <x v="869"/>
    <s v="Small Pack"/>
    <n v="0.59"/>
    <d v="2011-02-21T00:00:00"/>
    <n v="0"/>
    <n v="0"/>
    <n v="1"/>
    <n v="1"/>
  </r>
  <r>
    <n v="1062"/>
    <n v="7845"/>
    <x v="980"/>
    <x v="47"/>
    <s v="Critical"/>
    <n v="22"/>
    <n v="118.56"/>
    <n v="0.06"/>
    <s v="Express Air"/>
    <n v="-63.3765"/>
    <n v="4.91"/>
    <n v="5.68"/>
    <x v="316"/>
    <x v="6"/>
    <x v="5"/>
    <x v="0"/>
    <x v="0"/>
    <x v="2"/>
    <x v="980"/>
    <s v="Small Box"/>
    <n v="0.36"/>
    <d v="2009-12-13T00:00:00"/>
    <n v="0"/>
    <n v="0"/>
    <n v="0.5"/>
    <n v="0.5"/>
  </r>
  <r>
    <n v="1063"/>
    <n v="7845"/>
    <x v="980"/>
    <x v="47"/>
    <s v="Critical"/>
    <n v="45"/>
    <n v="2145.0500000000002"/>
    <n v="7.0000000000000007E-2"/>
    <s v="Express Air"/>
    <n v="1012.67"/>
    <n v="48.94"/>
    <n v="5.86"/>
    <x v="316"/>
    <x v="6"/>
    <x v="5"/>
    <x v="0"/>
    <x v="0"/>
    <x v="5"/>
    <x v="1033"/>
    <s v="Small Box"/>
    <n v="0.35"/>
    <d v="2009-12-14T00:00:00"/>
    <n v="0"/>
    <n v="0"/>
    <n v="0.5"/>
    <n v="0.5"/>
  </r>
  <r>
    <n v="1092"/>
    <n v="8033"/>
    <x v="981"/>
    <x v="13"/>
    <s v="High"/>
    <n v="27"/>
    <n v="118.18"/>
    <n v="0.06"/>
    <s v="Regular Air"/>
    <n v="-133.62"/>
    <n v="4.0599999999999996"/>
    <n v="6.89"/>
    <x v="319"/>
    <x v="6"/>
    <x v="5"/>
    <x v="0"/>
    <x v="0"/>
    <x v="1"/>
    <x v="283"/>
    <s v="Small Box"/>
    <n v="0.6"/>
    <d v="2012-04-25T00:00:00"/>
    <n v="0"/>
    <n v="0"/>
    <n v="1"/>
    <n v="1"/>
  </r>
  <r>
    <n v="1150"/>
    <n v="8388"/>
    <x v="224"/>
    <x v="12"/>
    <s v="Low"/>
    <n v="39"/>
    <n v="290.3"/>
    <n v="7.0000000000000007E-2"/>
    <s v="Regular Air"/>
    <n v="25.16"/>
    <n v="7.59"/>
    <n v="4"/>
    <x v="313"/>
    <x v="6"/>
    <x v="5"/>
    <x v="3"/>
    <x v="2"/>
    <x v="4"/>
    <x v="378"/>
    <s v="Wrap Bag"/>
    <n v="0.42"/>
    <d v="2012-02-25T00:00:00"/>
    <n v="0"/>
    <n v="0"/>
    <n v="0.33333333333333331"/>
    <n v="0.33333333333333331"/>
  </r>
  <r>
    <n v="1151"/>
    <n v="8388"/>
    <x v="224"/>
    <x v="12"/>
    <s v="Low"/>
    <n v="37"/>
    <n v="434.11"/>
    <n v="0.02"/>
    <s v="Regular Air"/>
    <n v="24.853999999999999"/>
    <n v="11.7"/>
    <n v="5.63"/>
    <x v="313"/>
    <x v="6"/>
    <x v="5"/>
    <x v="3"/>
    <x v="0"/>
    <x v="2"/>
    <x v="972"/>
    <s v="Small Box"/>
    <n v="0.4"/>
    <d v="2012-02-25T00:00:00"/>
    <n v="0"/>
    <n v="0"/>
    <n v="0.33333333333333331"/>
    <n v="0.33333333333333331"/>
  </r>
  <r>
    <n v="1152"/>
    <n v="8388"/>
    <x v="224"/>
    <x v="12"/>
    <s v="Low"/>
    <n v="42"/>
    <n v="288.89999999999998"/>
    <n v="0.02"/>
    <s v="Regular Air"/>
    <n v="96.34"/>
    <n v="6.98"/>
    <n v="1.6"/>
    <x v="313"/>
    <x v="6"/>
    <x v="5"/>
    <x v="3"/>
    <x v="0"/>
    <x v="5"/>
    <x v="646"/>
    <s v="Wrap Bag"/>
    <n v="0.38"/>
    <d v="2012-02-25T00:00:00"/>
    <n v="0"/>
    <n v="0"/>
    <n v="0.33333333333333331"/>
    <n v="0.33333333333333331"/>
  </r>
  <r>
    <n v="1334"/>
    <n v="9761"/>
    <x v="520"/>
    <x v="23"/>
    <s v="Not Specified"/>
    <n v="2"/>
    <n v="202.64"/>
    <n v="0.04"/>
    <s v="Delivery Truck"/>
    <n v="-221.62380000000002"/>
    <n v="90.97"/>
    <n v="14"/>
    <x v="316"/>
    <x v="6"/>
    <x v="5"/>
    <x v="0"/>
    <x v="1"/>
    <x v="16"/>
    <x v="603"/>
    <s v="Jumbo Drum"/>
    <n v="0.36"/>
    <d v="2012-01-23T00:00:00"/>
    <n v="0"/>
    <n v="0"/>
    <n v="0.5"/>
    <n v="0.5"/>
  </r>
  <r>
    <n v="1335"/>
    <n v="9761"/>
    <x v="520"/>
    <x v="23"/>
    <s v="Not Specified"/>
    <n v="23"/>
    <n v="133.69"/>
    <n v="0.08"/>
    <s v="Regular Air"/>
    <n v="-92.23"/>
    <n v="5.98"/>
    <n v="7.15"/>
    <x v="316"/>
    <x v="6"/>
    <x v="5"/>
    <x v="0"/>
    <x v="0"/>
    <x v="5"/>
    <x v="1034"/>
    <s v="Small Box"/>
    <n v="0.36"/>
    <d v="2012-01-24T00:00:00"/>
    <n v="0"/>
    <n v="0"/>
    <n v="0.5"/>
    <n v="0.5"/>
  </r>
  <r>
    <n v="1354"/>
    <n v="9863"/>
    <x v="578"/>
    <x v="31"/>
    <s v="Critical"/>
    <n v="18"/>
    <n v="33.96"/>
    <n v="0"/>
    <s v="Regular Air"/>
    <n v="0.1"/>
    <n v="1.76"/>
    <n v="0.7"/>
    <x v="315"/>
    <x v="6"/>
    <x v="5"/>
    <x v="3"/>
    <x v="0"/>
    <x v="12"/>
    <x v="263"/>
    <s v="Wrap Bag"/>
    <n v="0.56000000000000005"/>
    <d v="2011-09-06T00:00:00"/>
    <n v="0"/>
    <n v="0"/>
    <n v="1"/>
    <n v="1"/>
  </r>
  <r>
    <n v="1432"/>
    <n v="10342"/>
    <x v="982"/>
    <x v="27"/>
    <s v="Medium"/>
    <n v="45"/>
    <n v="5181.08"/>
    <n v="0.01"/>
    <s v="Delivery Truck"/>
    <n v="-1623.6"/>
    <n v="114.98"/>
    <n v="58.72"/>
    <x v="319"/>
    <x v="6"/>
    <x v="5"/>
    <x v="1"/>
    <x v="2"/>
    <x v="9"/>
    <x v="762"/>
    <s v="Jumbo Box"/>
    <n v="0.76"/>
    <d v="2011-11-24T00:00:00"/>
    <n v="0"/>
    <n v="0"/>
    <n v="0.25"/>
    <n v="0.25"/>
  </r>
  <r>
    <n v="1433"/>
    <n v="10342"/>
    <x v="982"/>
    <x v="27"/>
    <s v="Medium"/>
    <n v="38"/>
    <n v="10567.45"/>
    <n v="0.1"/>
    <s v="Regular Air"/>
    <n v="2925.37"/>
    <n v="299.99"/>
    <n v="11.64"/>
    <x v="319"/>
    <x v="6"/>
    <x v="5"/>
    <x v="1"/>
    <x v="1"/>
    <x v="13"/>
    <x v="1035"/>
    <s v="Large Box"/>
    <n v="0.5"/>
    <d v="2011-11-23T00:00:00"/>
    <n v="0"/>
    <n v="0"/>
    <n v="0.25"/>
    <n v="0.25"/>
  </r>
  <r>
    <n v="1434"/>
    <n v="10342"/>
    <x v="982"/>
    <x v="27"/>
    <s v="Medium"/>
    <n v="38"/>
    <n v="1679.04"/>
    <n v="0.01"/>
    <s v="Regular Air"/>
    <n v="324.47000000000003"/>
    <n v="40.97"/>
    <n v="14.45"/>
    <x v="319"/>
    <x v="6"/>
    <x v="5"/>
    <x v="1"/>
    <x v="2"/>
    <x v="4"/>
    <x v="194"/>
    <s v="Large Box"/>
    <n v="0.56999999999999995"/>
    <d v="2011-11-24T00:00:00"/>
    <n v="0"/>
    <n v="0"/>
    <n v="0.25"/>
    <n v="0.25"/>
  </r>
  <r>
    <n v="1435"/>
    <n v="10342"/>
    <x v="982"/>
    <x v="27"/>
    <s v="Medium"/>
    <n v="2"/>
    <n v="2055.9699999999998"/>
    <n v="0.05"/>
    <s v="Express Air"/>
    <n v="-2342.0052000000001"/>
    <n v="999.99"/>
    <n v="13.99"/>
    <x v="319"/>
    <x v="6"/>
    <x v="5"/>
    <x v="1"/>
    <x v="1"/>
    <x v="16"/>
    <x v="1036"/>
    <s v="Medium Box"/>
    <n v="0.36"/>
    <d v="2011-11-24T00:00:00"/>
    <n v="0"/>
    <n v="0"/>
    <n v="0.25"/>
    <n v="0.25"/>
  </r>
  <r>
    <n v="1441"/>
    <n v="10434"/>
    <x v="378"/>
    <x v="47"/>
    <s v="High"/>
    <n v="2"/>
    <n v="383.45"/>
    <n v="0.06"/>
    <s v="Delivery Truck"/>
    <n v="-244.47"/>
    <n v="180.98"/>
    <n v="26.2"/>
    <x v="319"/>
    <x v="6"/>
    <x v="5"/>
    <x v="0"/>
    <x v="2"/>
    <x v="14"/>
    <x v="155"/>
    <s v="Jumbo Drum"/>
    <n v="0.59"/>
    <d v="2009-12-24T00:00:00"/>
    <n v="0"/>
    <n v="0"/>
    <n v="1"/>
    <n v="0.5"/>
  </r>
  <r>
    <n v="1532"/>
    <n v="11040"/>
    <x v="983"/>
    <x v="17"/>
    <s v="Not Specified"/>
    <n v="44"/>
    <n v="1102.28"/>
    <n v="0.03"/>
    <s v="Regular Air"/>
    <n v="389.61"/>
    <n v="23.99"/>
    <n v="6.71"/>
    <x v="320"/>
    <x v="6"/>
    <x v="5"/>
    <x v="2"/>
    <x v="0"/>
    <x v="8"/>
    <x v="201"/>
    <s v="Small Box"/>
    <n v="0.35"/>
    <d v="2011-10-23T00:00:00"/>
    <n v="0"/>
    <n v="0"/>
    <n v="1"/>
    <n v="1"/>
  </r>
  <r>
    <n v="1566"/>
    <n v="11302"/>
    <x v="341"/>
    <x v="28"/>
    <s v="Low"/>
    <n v="10"/>
    <n v="866.66"/>
    <n v="0.09"/>
    <s v="Delivery Truck"/>
    <n v="35.290000000000049"/>
    <n v="90.97"/>
    <n v="14"/>
    <x v="321"/>
    <x v="6"/>
    <x v="5"/>
    <x v="3"/>
    <x v="1"/>
    <x v="16"/>
    <x v="603"/>
    <s v="Jumbo Drum"/>
    <n v="0.36"/>
    <d v="2009-03-03T00:00:00"/>
    <n v="0"/>
    <n v="0"/>
    <n v="1"/>
    <n v="1"/>
  </r>
  <r>
    <n v="1577"/>
    <n v="11398"/>
    <x v="984"/>
    <x v="9"/>
    <s v="High"/>
    <n v="16"/>
    <n v="109.7"/>
    <n v="0.03"/>
    <s v="Regular Air"/>
    <n v="-106.77"/>
    <n v="5.98"/>
    <n v="10.39"/>
    <x v="322"/>
    <x v="6"/>
    <x v="5"/>
    <x v="3"/>
    <x v="0"/>
    <x v="5"/>
    <x v="1037"/>
    <s v="Small Box"/>
    <n v="0.4"/>
    <d v="2012-08-07T00:00:00"/>
    <n v="0"/>
    <n v="0"/>
    <n v="0.5"/>
    <n v="0.5"/>
  </r>
  <r>
    <n v="1578"/>
    <n v="11398"/>
    <x v="984"/>
    <x v="9"/>
    <s v="High"/>
    <n v="26"/>
    <n v="80.89"/>
    <n v="0.03"/>
    <s v="Regular Air"/>
    <n v="23.37"/>
    <n v="2.94"/>
    <n v="0.81"/>
    <x v="322"/>
    <x v="6"/>
    <x v="5"/>
    <x v="3"/>
    <x v="0"/>
    <x v="12"/>
    <x v="857"/>
    <s v="Wrap Bag"/>
    <n v="0.4"/>
    <d v="2012-08-08T00:00:00"/>
    <n v="0"/>
    <n v="0"/>
    <n v="0.5"/>
    <n v="0.5"/>
  </r>
  <r>
    <n v="1599"/>
    <n v="11584"/>
    <x v="857"/>
    <x v="11"/>
    <s v="Medium"/>
    <n v="48"/>
    <n v="1497.3174999999999"/>
    <n v="0.01"/>
    <s v="Regular Air"/>
    <n v="836.505"/>
    <n v="35.99"/>
    <n v="0.99"/>
    <x v="317"/>
    <x v="6"/>
    <x v="5"/>
    <x v="0"/>
    <x v="1"/>
    <x v="3"/>
    <x v="312"/>
    <s v="Small Pack"/>
    <n v="0.35"/>
    <d v="2009-11-23T00:00:00"/>
    <n v="0"/>
    <n v="0"/>
    <n v="1"/>
    <n v="1"/>
  </r>
  <r>
    <n v="1607"/>
    <n v="11652"/>
    <x v="172"/>
    <x v="27"/>
    <s v="Not Specified"/>
    <n v="35"/>
    <n v="1154.1400000000001"/>
    <n v="7.0000000000000007E-2"/>
    <s v="Regular Air"/>
    <n v="-36"/>
    <n v="32.979999999999997"/>
    <n v="5.5"/>
    <x v="313"/>
    <x v="6"/>
    <x v="5"/>
    <x v="3"/>
    <x v="1"/>
    <x v="7"/>
    <x v="279"/>
    <s v="Small Box"/>
    <n v="0.75"/>
    <d v="2011-11-11T00:00:00"/>
    <n v="0"/>
    <n v="0"/>
    <n v="0.25"/>
    <n v="0.25"/>
  </r>
  <r>
    <n v="1608"/>
    <n v="11652"/>
    <x v="172"/>
    <x v="27"/>
    <s v="Not Specified"/>
    <n v="37"/>
    <n v="223.82"/>
    <n v="0.09"/>
    <s v="Regular Air"/>
    <n v="-249.11"/>
    <n v="5.98"/>
    <n v="10.39"/>
    <x v="313"/>
    <x v="6"/>
    <x v="5"/>
    <x v="3"/>
    <x v="0"/>
    <x v="5"/>
    <x v="1037"/>
    <s v="Small Box"/>
    <n v="0.4"/>
    <d v="2011-11-11T00:00:00"/>
    <n v="0"/>
    <n v="0"/>
    <n v="0.25"/>
    <n v="0.25"/>
  </r>
  <r>
    <n v="1609"/>
    <n v="11652"/>
    <x v="172"/>
    <x v="27"/>
    <s v="Not Specified"/>
    <n v="1"/>
    <n v="61.463500000000003"/>
    <n v="0.05"/>
    <s v="Regular Air"/>
    <n v="-261.34899999999999"/>
    <n v="65.989999999999995"/>
    <n v="8.99"/>
    <x v="313"/>
    <x v="6"/>
    <x v="5"/>
    <x v="3"/>
    <x v="1"/>
    <x v="3"/>
    <x v="403"/>
    <s v="Small Box"/>
    <n v="0.56000000000000005"/>
    <d v="2011-11-12T00:00:00"/>
    <n v="0"/>
    <n v="0"/>
    <n v="0.25"/>
    <n v="0.25"/>
  </r>
  <r>
    <n v="1610"/>
    <n v="11652"/>
    <x v="172"/>
    <x v="27"/>
    <s v="Not Specified"/>
    <n v="25"/>
    <n v="122.09"/>
    <n v="0.1"/>
    <s v="Regular Air"/>
    <n v="14.11"/>
    <n v="5.18"/>
    <n v="2.04"/>
    <x v="313"/>
    <x v="6"/>
    <x v="5"/>
    <x v="3"/>
    <x v="0"/>
    <x v="5"/>
    <x v="267"/>
    <s v="Wrap Bag"/>
    <n v="0.36"/>
    <d v="2011-11-12T00:00:00"/>
    <n v="0"/>
    <n v="0"/>
    <n v="0.25"/>
    <n v="0.25"/>
  </r>
  <r>
    <n v="1615"/>
    <n v="11686"/>
    <x v="802"/>
    <x v="22"/>
    <s v="Not Specified"/>
    <n v="38"/>
    <n v="6121.1984999999995"/>
    <n v="0.08"/>
    <s v="Regular Air"/>
    <n v="1312.3440000000001"/>
    <n v="205.99"/>
    <n v="2.5"/>
    <x v="311"/>
    <x v="6"/>
    <x v="5"/>
    <x v="3"/>
    <x v="1"/>
    <x v="3"/>
    <x v="1038"/>
    <s v="Small Box"/>
    <n v="0.59"/>
    <d v="2009-01-28T00:00:00"/>
    <n v="0"/>
    <n v="1"/>
    <n v="1"/>
    <n v="0.5"/>
  </r>
  <r>
    <n v="1940"/>
    <n v="13895"/>
    <x v="548"/>
    <x v="7"/>
    <s v="High"/>
    <n v="44"/>
    <n v="614.34"/>
    <n v="0.02"/>
    <s v="Regular Air"/>
    <n v="-171.7"/>
    <n v="14.03"/>
    <n v="9.3699999999999992"/>
    <x v="319"/>
    <x v="6"/>
    <x v="5"/>
    <x v="0"/>
    <x v="0"/>
    <x v="0"/>
    <x v="569"/>
    <s v="Small Box"/>
    <n v="0.56000000000000005"/>
    <d v="2010-11-20T00:00:00"/>
    <n v="0"/>
    <n v="0"/>
    <n v="1"/>
    <n v="1"/>
  </r>
  <r>
    <n v="2072"/>
    <n v="14820"/>
    <x v="985"/>
    <x v="23"/>
    <s v="High"/>
    <n v="39"/>
    <n v="278.90199999999999"/>
    <n v="0.04"/>
    <s v="Express Air"/>
    <n v="-104.467"/>
    <n v="7.99"/>
    <n v="5.03"/>
    <x v="311"/>
    <x v="6"/>
    <x v="5"/>
    <x v="3"/>
    <x v="1"/>
    <x v="3"/>
    <x v="51"/>
    <s v="Medium Box"/>
    <n v="0.6"/>
    <d v="2012-01-11T00:00:00"/>
    <n v="0"/>
    <n v="0"/>
    <n v="1"/>
    <n v="0.5"/>
  </r>
  <r>
    <n v="2127"/>
    <n v="15170"/>
    <x v="466"/>
    <x v="28"/>
    <s v="Critical"/>
    <n v="19"/>
    <n v="356.46449999999999"/>
    <n v="0.01"/>
    <s v="Regular Air"/>
    <n v="-9.1079999999999988"/>
    <n v="20.99"/>
    <n v="4.8099999999999996"/>
    <x v="312"/>
    <x v="6"/>
    <x v="5"/>
    <x v="2"/>
    <x v="1"/>
    <x v="3"/>
    <x v="591"/>
    <s v="Medium Box"/>
    <n v="0.57999999999999996"/>
    <d v="2009-03-18T00:00:00"/>
    <n v="0"/>
    <n v="0"/>
    <n v="1"/>
    <n v="1"/>
  </r>
  <r>
    <n v="2190"/>
    <n v="15780"/>
    <x v="535"/>
    <x v="37"/>
    <s v="Critical"/>
    <n v="19"/>
    <n v="71.77"/>
    <n v="0.03"/>
    <s v="Regular Air"/>
    <n v="22.71"/>
    <n v="3.78"/>
    <n v="0.71"/>
    <x v="312"/>
    <x v="6"/>
    <x v="5"/>
    <x v="2"/>
    <x v="0"/>
    <x v="6"/>
    <x v="294"/>
    <s v="Wrap Bag"/>
    <n v="0.39"/>
    <d v="2011-04-15T00:00:00"/>
    <n v="0"/>
    <n v="0"/>
    <n v="1"/>
    <n v="1"/>
  </r>
  <r>
    <n v="2225"/>
    <n v="16098"/>
    <x v="42"/>
    <x v="29"/>
    <s v="Low"/>
    <n v="31"/>
    <n v="480.43"/>
    <n v="0.06"/>
    <s v="Regular Air"/>
    <n v="50.59"/>
    <n v="14.98"/>
    <n v="8.99"/>
    <x v="323"/>
    <x v="6"/>
    <x v="5"/>
    <x v="3"/>
    <x v="2"/>
    <x v="4"/>
    <x v="214"/>
    <s v="Small Pack"/>
    <n v="0.39"/>
    <d v="2012-07-25T00:00:00"/>
    <n v="0"/>
    <n v="0"/>
    <n v="0.5"/>
    <n v="0.5"/>
  </r>
  <r>
    <n v="2229"/>
    <n v="16103"/>
    <x v="986"/>
    <x v="29"/>
    <s v="Not Specified"/>
    <n v="31"/>
    <n v="217.14"/>
    <n v="0"/>
    <s v="Regular Air"/>
    <n v="-62.97"/>
    <n v="6.48"/>
    <n v="6.22"/>
    <x v="324"/>
    <x v="6"/>
    <x v="5"/>
    <x v="2"/>
    <x v="0"/>
    <x v="5"/>
    <x v="731"/>
    <s v="Small Box"/>
    <n v="0.37"/>
    <d v="2012-07-17T00:00:00"/>
    <n v="0"/>
    <n v="0"/>
    <n v="0.5"/>
    <n v="0.5"/>
  </r>
  <r>
    <n v="2303"/>
    <n v="16610"/>
    <x v="987"/>
    <x v="19"/>
    <s v="High"/>
    <n v="19"/>
    <n v="659.13"/>
    <n v="0.09"/>
    <s v="Regular Air"/>
    <n v="187.57"/>
    <n v="35.94"/>
    <n v="6.66"/>
    <x v="312"/>
    <x v="6"/>
    <x v="5"/>
    <x v="2"/>
    <x v="0"/>
    <x v="8"/>
    <x v="1039"/>
    <s v="Small Box"/>
    <n v="0.4"/>
    <d v="2009-10-12T00:00:00"/>
    <n v="0"/>
    <n v="0"/>
    <n v="1"/>
    <n v="1"/>
  </r>
  <r>
    <n v="2596"/>
    <n v="18757"/>
    <x v="988"/>
    <x v="20"/>
    <s v="Low"/>
    <n v="9"/>
    <n v="222.2"/>
    <n v="0.03"/>
    <s v="Regular Air"/>
    <n v="-40.25"/>
    <n v="22.38"/>
    <n v="15.1"/>
    <x v="325"/>
    <x v="6"/>
    <x v="5"/>
    <x v="1"/>
    <x v="0"/>
    <x v="2"/>
    <x v="290"/>
    <s v="Small Box"/>
    <n v="0.38"/>
    <d v="2012-05-24T00:00:00"/>
    <n v="0"/>
    <n v="0"/>
    <n v="0.33333333333333331"/>
    <n v="0.33333333333333331"/>
  </r>
  <r>
    <n v="2597"/>
    <n v="18757"/>
    <x v="988"/>
    <x v="20"/>
    <s v="Low"/>
    <n v="5"/>
    <n v="39.9"/>
    <n v="0.02"/>
    <s v="Regular Air"/>
    <n v="-37.8005"/>
    <n v="5.94"/>
    <n v="9.92"/>
    <x v="325"/>
    <x v="6"/>
    <x v="5"/>
    <x v="1"/>
    <x v="0"/>
    <x v="2"/>
    <x v="1040"/>
    <s v="Small Box"/>
    <n v="0.38"/>
    <d v="2012-05-27T00:00:00"/>
    <n v="0"/>
    <n v="0"/>
    <n v="0.33333333333333331"/>
    <n v="0.33333333333333331"/>
  </r>
  <r>
    <n v="2687"/>
    <n v="19431"/>
    <x v="989"/>
    <x v="43"/>
    <s v="Not Specified"/>
    <n v="4"/>
    <n v="16.82"/>
    <n v="0.08"/>
    <s v="Regular Air"/>
    <n v="-5.54"/>
    <n v="4.13"/>
    <n v="1.17"/>
    <x v="322"/>
    <x v="6"/>
    <x v="5"/>
    <x v="3"/>
    <x v="0"/>
    <x v="12"/>
    <x v="1041"/>
    <s v="Wrap Bag"/>
    <n v="0.56999999999999995"/>
    <d v="2009-05-25T00:00:00"/>
    <n v="0"/>
    <n v="0"/>
    <n v="1"/>
    <n v="1"/>
  </r>
  <r>
    <n v="2712"/>
    <n v="19584"/>
    <x v="990"/>
    <x v="46"/>
    <s v="Critical"/>
    <n v="6"/>
    <n v="14535.8"/>
    <n v="0.05"/>
    <s v="Delivery Truck"/>
    <n v="-3971.0627999999997"/>
    <n v="2550.14"/>
    <n v="29.7"/>
    <x v="324"/>
    <x v="6"/>
    <x v="5"/>
    <x v="2"/>
    <x v="1"/>
    <x v="16"/>
    <x v="380"/>
    <s v="Jumbo Drum"/>
    <n v="0.56999999999999995"/>
    <d v="2009-04-17T00:00:00"/>
    <n v="0"/>
    <n v="0"/>
    <n v="1"/>
    <n v="1"/>
  </r>
  <r>
    <n v="2810"/>
    <n v="20262"/>
    <x v="991"/>
    <x v="47"/>
    <s v="Not Specified"/>
    <n v="27"/>
    <n v="652.24"/>
    <n v="0.02"/>
    <s v="Regular Air"/>
    <n v="185.04"/>
    <n v="22.72"/>
    <n v="8.99"/>
    <x v="326"/>
    <x v="6"/>
    <x v="5"/>
    <x v="3"/>
    <x v="2"/>
    <x v="4"/>
    <x v="199"/>
    <s v="Small Pack"/>
    <n v="0.44"/>
    <d v="2009-12-26T00:00:00"/>
    <n v="0"/>
    <n v="0"/>
    <n v="1"/>
    <n v="1"/>
  </r>
  <r>
    <n v="2852"/>
    <n v="20545"/>
    <x v="639"/>
    <x v="0"/>
    <s v="Not Specified"/>
    <n v="1"/>
    <n v="361.94"/>
    <n v="0.05"/>
    <s v="Delivery Truck"/>
    <n v="-163.58000000000001"/>
    <n v="284.98"/>
    <n v="69.55"/>
    <x v="317"/>
    <x v="6"/>
    <x v="5"/>
    <x v="0"/>
    <x v="2"/>
    <x v="14"/>
    <x v="649"/>
    <s v="Jumbo Drum"/>
    <n v="0.6"/>
    <d v="2010-10-10T00:00:00"/>
    <n v="0"/>
    <n v="0"/>
    <n v="0.33333333333333331"/>
    <n v="0.33333333333333331"/>
  </r>
  <r>
    <n v="2853"/>
    <n v="20545"/>
    <x v="639"/>
    <x v="0"/>
    <s v="Not Specified"/>
    <n v="31"/>
    <n v="1276.04"/>
    <n v="0.02"/>
    <s v="Regular Air"/>
    <n v="554.95000000000005"/>
    <n v="40.99"/>
    <n v="5.86"/>
    <x v="317"/>
    <x v="6"/>
    <x v="5"/>
    <x v="0"/>
    <x v="0"/>
    <x v="5"/>
    <x v="642"/>
    <s v="Small Box"/>
    <n v="0.36"/>
    <d v="2010-10-11T00:00:00"/>
    <n v="0"/>
    <n v="0"/>
    <n v="0.33333333333333331"/>
    <n v="0.33333333333333331"/>
  </r>
  <r>
    <n v="2854"/>
    <n v="20545"/>
    <x v="639"/>
    <x v="0"/>
    <s v="Not Specified"/>
    <n v="40"/>
    <n v="2894.68"/>
    <n v="0.02"/>
    <s v="Regular Air"/>
    <n v="-1754.3879999999999"/>
    <n v="71.37"/>
    <n v="69"/>
    <x v="317"/>
    <x v="6"/>
    <x v="5"/>
    <x v="0"/>
    <x v="2"/>
    <x v="10"/>
    <x v="17"/>
    <s v="Large Box"/>
    <n v="0.68"/>
    <d v="2010-10-11T00:00:00"/>
    <n v="0"/>
    <n v="0"/>
    <n v="0.33333333333333331"/>
    <n v="0.33333333333333331"/>
  </r>
  <r>
    <n v="2856"/>
    <n v="20577"/>
    <x v="79"/>
    <x v="6"/>
    <s v="Critical"/>
    <n v="15"/>
    <n v="611.67999999999995"/>
    <n v="0.05"/>
    <s v="Regular Air"/>
    <n v="134.75049999999999"/>
    <n v="39.06"/>
    <n v="10.55"/>
    <x v="326"/>
    <x v="6"/>
    <x v="5"/>
    <x v="3"/>
    <x v="0"/>
    <x v="2"/>
    <x v="590"/>
    <s v="Small Box"/>
    <n v="0.37"/>
    <d v="2010-02-11T00:00:00"/>
    <n v="0"/>
    <n v="0"/>
    <n v="1"/>
    <n v="1"/>
  </r>
  <r>
    <n v="2881"/>
    <n v="20804"/>
    <x v="992"/>
    <x v="27"/>
    <s v="Low"/>
    <n v="13"/>
    <n v="4393.75"/>
    <n v="0.08"/>
    <s v="Delivery Truck"/>
    <n v="215.31"/>
    <n v="442.14"/>
    <n v="14.7"/>
    <x v="317"/>
    <x v="6"/>
    <x v="5"/>
    <x v="0"/>
    <x v="1"/>
    <x v="16"/>
    <x v="330"/>
    <s v="Jumbo Drum"/>
    <n v="0.56000000000000005"/>
    <d v="2011-12-03T00:00:00"/>
    <n v="0"/>
    <n v="0"/>
    <n v="1"/>
    <n v="1"/>
  </r>
  <r>
    <n v="2960"/>
    <n v="21414"/>
    <x v="622"/>
    <x v="10"/>
    <s v="Critical"/>
    <n v="34"/>
    <n v="117.91"/>
    <n v="0.05"/>
    <s v="Regular Air"/>
    <n v="29.27"/>
    <n v="3.38"/>
    <n v="1.0900000000000001"/>
    <x v="327"/>
    <x v="6"/>
    <x v="5"/>
    <x v="1"/>
    <x v="0"/>
    <x v="5"/>
    <x v="1042"/>
    <s v="Wrap Bag"/>
    <n v="0.39"/>
    <d v="2011-05-06T00:00:00"/>
    <n v="0"/>
    <n v="0"/>
    <n v="0.25"/>
    <n v="0.25"/>
  </r>
  <r>
    <n v="2961"/>
    <n v="21414"/>
    <x v="622"/>
    <x v="10"/>
    <s v="Critical"/>
    <n v="46"/>
    <n v="3644.6"/>
    <n v="0.05"/>
    <s v="Regular Air"/>
    <n v="-1144.67"/>
    <n v="80.98"/>
    <n v="35"/>
    <x v="327"/>
    <x v="6"/>
    <x v="5"/>
    <x v="1"/>
    <x v="0"/>
    <x v="0"/>
    <x v="73"/>
    <s v="Large Box"/>
    <n v="0.81"/>
    <d v="2011-05-06T00:00:00"/>
    <n v="0"/>
    <n v="0"/>
    <n v="0.25"/>
    <n v="0.25"/>
  </r>
  <r>
    <n v="2962"/>
    <n v="21414"/>
    <x v="622"/>
    <x v="10"/>
    <s v="Critical"/>
    <n v="33"/>
    <n v="3491.6129999999998"/>
    <n v="0.05"/>
    <s v="Regular Air"/>
    <n v="717.69600000000003"/>
    <n v="125.99"/>
    <n v="5.63"/>
    <x v="327"/>
    <x v="6"/>
    <x v="5"/>
    <x v="1"/>
    <x v="1"/>
    <x v="3"/>
    <x v="356"/>
    <s v="Small Box"/>
    <n v="0.6"/>
    <d v="2011-05-05T00:00:00"/>
    <n v="0"/>
    <n v="0"/>
    <n v="0.25"/>
    <n v="0.25"/>
  </r>
  <r>
    <n v="2969"/>
    <n v="21447"/>
    <x v="489"/>
    <x v="30"/>
    <s v="Not Specified"/>
    <n v="15"/>
    <n v="176.24"/>
    <n v="0.02"/>
    <s v="Express Air"/>
    <n v="9.85"/>
    <n v="10.98"/>
    <n v="3.37"/>
    <x v="315"/>
    <x v="6"/>
    <x v="5"/>
    <x v="3"/>
    <x v="0"/>
    <x v="15"/>
    <x v="340"/>
    <s v="Small Pack"/>
    <n v="0.56999999999999995"/>
    <d v="2010-06-05T00:00:00"/>
    <n v="0"/>
    <n v="0"/>
    <n v="1"/>
    <n v="1"/>
  </r>
  <r>
    <n v="2976"/>
    <n v="21479"/>
    <x v="531"/>
    <x v="26"/>
    <s v="Medium"/>
    <n v="41"/>
    <n v="291.16000000000003"/>
    <n v="0.01"/>
    <s v="Express Air"/>
    <n v="-89.47"/>
    <n v="6.48"/>
    <n v="6.57"/>
    <x v="326"/>
    <x v="6"/>
    <x v="5"/>
    <x v="3"/>
    <x v="0"/>
    <x v="5"/>
    <x v="141"/>
    <s v="Small Box"/>
    <n v="0.37"/>
    <d v="2009-08-29T00:00:00"/>
    <n v="0"/>
    <n v="0"/>
    <n v="1"/>
    <n v="1"/>
  </r>
  <r>
    <n v="3096"/>
    <n v="22208"/>
    <x v="871"/>
    <x v="19"/>
    <s v="High"/>
    <n v="37"/>
    <n v="1138.43"/>
    <n v="0.01"/>
    <s v="Regular Air"/>
    <n v="18.59"/>
    <n v="30.97"/>
    <n v="4"/>
    <x v="315"/>
    <x v="6"/>
    <x v="5"/>
    <x v="3"/>
    <x v="1"/>
    <x v="7"/>
    <x v="730"/>
    <s v="Small Box"/>
    <n v="0.74"/>
    <d v="2009-10-15T00:00:00"/>
    <n v="0"/>
    <n v="0"/>
    <n v="0.5"/>
    <n v="0.5"/>
  </r>
  <r>
    <n v="3097"/>
    <n v="22208"/>
    <x v="871"/>
    <x v="19"/>
    <s v="High"/>
    <n v="50"/>
    <n v="5271.0454999999993"/>
    <n v="0.08"/>
    <s v="Regular Air"/>
    <n v="1379.7629999999999"/>
    <n v="125.99"/>
    <n v="7.69"/>
    <x v="315"/>
    <x v="6"/>
    <x v="5"/>
    <x v="3"/>
    <x v="1"/>
    <x v="3"/>
    <x v="44"/>
    <s v="Small Box"/>
    <n v="0.57999999999999996"/>
    <d v="2009-10-15T00:00:00"/>
    <n v="0"/>
    <n v="0"/>
    <n v="0.5"/>
    <n v="0.5"/>
  </r>
  <r>
    <n v="3106"/>
    <n v="22279"/>
    <x v="380"/>
    <x v="47"/>
    <s v="Not Specified"/>
    <n v="43"/>
    <n v="2463.6"/>
    <n v="0.03"/>
    <s v="Regular Air"/>
    <n v="1040.6500000000001"/>
    <n v="54.96"/>
    <n v="10.75"/>
    <x v="314"/>
    <x v="6"/>
    <x v="5"/>
    <x v="0"/>
    <x v="0"/>
    <x v="5"/>
    <x v="229"/>
    <s v="Small Box"/>
    <n v="0.36"/>
    <d v="2009-12-25T00:00:00"/>
    <n v="0"/>
    <n v="0"/>
    <n v="1"/>
    <n v="1"/>
  </r>
  <r>
    <n v="3231"/>
    <n v="23174"/>
    <x v="993"/>
    <x v="29"/>
    <s v="Low"/>
    <n v="16"/>
    <n v="3549.9"/>
    <n v="0.06"/>
    <s v="Delivery Truck"/>
    <n v="44.8"/>
    <n v="216.6"/>
    <n v="64.2"/>
    <x v="327"/>
    <x v="6"/>
    <x v="5"/>
    <x v="1"/>
    <x v="2"/>
    <x v="14"/>
    <x v="197"/>
    <s v="Jumbo Drum"/>
    <n v="0.59"/>
    <d v="2012-07-28T00:00:00"/>
    <n v="0"/>
    <n v="0"/>
    <n v="0.5"/>
    <n v="0.5"/>
  </r>
  <r>
    <n v="3232"/>
    <n v="23174"/>
    <x v="993"/>
    <x v="29"/>
    <s v="Low"/>
    <n v="8"/>
    <n v="138.24"/>
    <n v="0.03"/>
    <s v="Regular Air"/>
    <n v="-60.04"/>
    <n v="16.739999999999998"/>
    <n v="7.04"/>
    <x v="327"/>
    <x v="6"/>
    <x v="5"/>
    <x v="1"/>
    <x v="0"/>
    <x v="0"/>
    <x v="1043"/>
    <s v="Small Box"/>
    <n v="0.81"/>
    <d v="2012-08-02T00:00:00"/>
    <n v="0"/>
    <n v="0"/>
    <n v="0.5"/>
    <n v="0.5"/>
  </r>
  <r>
    <n v="3259"/>
    <n v="23333"/>
    <x v="118"/>
    <x v="26"/>
    <s v="Medium"/>
    <n v="44"/>
    <n v="634.12"/>
    <n v="0.04"/>
    <s v="Regular Air"/>
    <n v="-21.65"/>
    <n v="14.42"/>
    <n v="6.75"/>
    <x v="311"/>
    <x v="6"/>
    <x v="5"/>
    <x v="3"/>
    <x v="0"/>
    <x v="1"/>
    <x v="793"/>
    <s v="Medium Box"/>
    <n v="0.52"/>
    <d v="2009-08-06T00:00:00"/>
    <n v="0"/>
    <n v="0"/>
    <n v="0.33333333333333331"/>
    <n v="0.33333333333333331"/>
  </r>
  <r>
    <n v="3260"/>
    <n v="23333"/>
    <x v="118"/>
    <x v="26"/>
    <s v="Medium"/>
    <n v="32"/>
    <n v="196.84"/>
    <n v="0.04"/>
    <s v="Regular Air"/>
    <n v="-69.290000000000006"/>
    <n v="5.98"/>
    <n v="5.79"/>
    <x v="311"/>
    <x v="6"/>
    <x v="5"/>
    <x v="3"/>
    <x v="0"/>
    <x v="5"/>
    <x v="723"/>
    <s v="Small Box"/>
    <n v="0.36"/>
    <d v="2009-08-07T00:00:00"/>
    <n v="0"/>
    <n v="0"/>
    <n v="0.33333333333333331"/>
    <n v="0.33333333333333331"/>
  </r>
  <r>
    <n v="3261"/>
    <n v="23333"/>
    <x v="118"/>
    <x v="26"/>
    <s v="Medium"/>
    <n v="16"/>
    <n v="886.89"/>
    <n v="0.03"/>
    <s v="Regular Air"/>
    <n v="-23.826000000000001"/>
    <n v="65.989999999999995"/>
    <n v="8.99"/>
    <x v="311"/>
    <x v="6"/>
    <x v="5"/>
    <x v="3"/>
    <x v="1"/>
    <x v="3"/>
    <x v="403"/>
    <s v="Small Box"/>
    <n v="0.56000000000000005"/>
    <d v="2009-08-06T00:00:00"/>
    <n v="0"/>
    <n v="0"/>
    <n v="0.33333333333333331"/>
    <n v="0.33333333333333331"/>
  </r>
  <r>
    <n v="3456"/>
    <n v="24640"/>
    <x v="994"/>
    <x v="16"/>
    <s v="Medium"/>
    <n v="12"/>
    <n v="1379.98"/>
    <n v="0.06"/>
    <s v="Delivery Truck"/>
    <n v="-151.72999999999999"/>
    <n v="113.98"/>
    <n v="30"/>
    <x v="326"/>
    <x v="6"/>
    <x v="5"/>
    <x v="3"/>
    <x v="2"/>
    <x v="14"/>
    <x v="655"/>
    <s v="Jumbo Drum"/>
    <n v="0.69"/>
    <d v="2011-01-30T00:00:00"/>
    <n v="0"/>
    <n v="0"/>
    <n v="1"/>
    <n v="1"/>
  </r>
  <r>
    <n v="3516"/>
    <n v="25056"/>
    <x v="106"/>
    <x v="18"/>
    <s v="Not Specified"/>
    <n v="41"/>
    <n v="295.12"/>
    <n v="0"/>
    <s v="Regular Air"/>
    <n v="-151.93"/>
    <n v="6.48"/>
    <n v="8.19"/>
    <x v="318"/>
    <x v="6"/>
    <x v="5"/>
    <x v="2"/>
    <x v="0"/>
    <x v="5"/>
    <x v="77"/>
    <s v="Small Box"/>
    <n v="0.37"/>
    <d v="2010-09-23T00:00:00"/>
    <n v="0"/>
    <n v="0"/>
    <n v="1"/>
    <n v="1"/>
  </r>
  <r>
    <n v="3665"/>
    <n v="26244"/>
    <x v="362"/>
    <x v="3"/>
    <s v="High"/>
    <n v="16"/>
    <n v="131.72"/>
    <n v="0.09"/>
    <s v="Regular Air"/>
    <n v="-42.61"/>
    <n v="8.4600000000000009"/>
    <n v="3.62"/>
    <x v="311"/>
    <x v="6"/>
    <x v="5"/>
    <x v="3"/>
    <x v="1"/>
    <x v="7"/>
    <x v="919"/>
    <s v="Small Pack"/>
    <n v="0.61"/>
    <d v="2010-08-05T00:00:00"/>
    <n v="0"/>
    <n v="0"/>
    <n v="1"/>
    <n v="1"/>
  </r>
  <r>
    <n v="3816"/>
    <n v="27201"/>
    <x v="995"/>
    <x v="29"/>
    <s v="High"/>
    <n v="10"/>
    <n v="5056.8900000000003"/>
    <n v="0.02"/>
    <s v="Delivery Truck"/>
    <n v="789.05"/>
    <n v="500.98"/>
    <n v="26"/>
    <x v="320"/>
    <x v="6"/>
    <x v="5"/>
    <x v="2"/>
    <x v="2"/>
    <x v="14"/>
    <x v="38"/>
    <s v="Jumbo Drum"/>
    <n v="0.6"/>
    <d v="2012-07-25T00:00:00"/>
    <n v="0"/>
    <n v="0"/>
    <n v="0.5"/>
    <n v="0.5"/>
  </r>
  <r>
    <n v="3817"/>
    <n v="27201"/>
    <x v="995"/>
    <x v="29"/>
    <s v="High"/>
    <n v="45"/>
    <n v="3500.1"/>
    <n v="0.01"/>
    <s v="Delivery Truck"/>
    <n v="-2661.3180000000002"/>
    <n v="70.89"/>
    <n v="89.3"/>
    <x v="320"/>
    <x v="6"/>
    <x v="5"/>
    <x v="2"/>
    <x v="2"/>
    <x v="10"/>
    <x v="818"/>
    <s v="Jumbo Box"/>
    <n v="0.72"/>
    <d v="2012-07-25T00:00:00"/>
    <n v="0"/>
    <n v="0"/>
    <n v="0.5"/>
    <n v="0.5"/>
  </r>
  <r>
    <n v="3897"/>
    <n v="27808"/>
    <x v="162"/>
    <x v="38"/>
    <s v="Low"/>
    <n v="9"/>
    <n v="196.12"/>
    <n v="0.01"/>
    <s v="Express Air"/>
    <n v="4.41"/>
    <n v="20.89"/>
    <n v="1.99"/>
    <x v="319"/>
    <x v="6"/>
    <x v="5"/>
    <x v="1"/>
    <x v="1"/>
    <x v="7"/>
    <x v="187"/>
    <s v="Small Pack"/>
    <n v="0.48"/>
    <d v="2010-02-02T00:00:00"/>
    <n v="1"/>
    <n v="0"/>
    <n v="1"/>
    <n v="1"/>
  </r>
  <r>
    <n v="4173"/>
    <n v="29573"/>
    <x v="553"/>
    <x v="23"/>
    <s v="Critical"/>
    <n v="43"/>
    <n v="792.21"/>
    <n v="0.05"/>
    <s v="Regular Air"/>
    <n v="42.24"/>
    <n v="18.97"/>
    <n v="9.5399999999999991"/>
    <x v="311"/>
    <x v="6"/>
    <x v="5"/>
    <x v="3"/>
    <x v="0"/>
    <x v="5"/>
    <x v="439"/>
    <s v="Small Box"/>
    <n v="0.37"/>
    <d v="2012-01-18T00:00:00"/>
    <n v="0"/>
    <n v="0"/>
    <n v="1"/>
    <n v="0.5"/>
  </r>
  <r>
    <n v="4203"/>
    <n v="29862"/>
    <x v="654"/>
    <x v="4"/>
    <s v="Medium"/>
    <n v="34"/>
    <n v="214.64"/>
    <n v="0.08"/>
    <s v="Regular Air"/>
    <n v="-76.88"/>
    <n v="6.48"/>
    <n v="5.86"/>
    <x v="324"/>
    <x v="6"/>
    <x v="5"/>
    <x v="2"/>
    <x v="0"/>
    <x v="5"/>
    <x v="75"/>
    <s v="Small Box"/>
    <n v="0.36"/>
    <d v="2011-06-21T00:00:00"/>
    <n v="0"/>
    <n v="0"/>
    <n v="1"/>
    <n v="1"/>
  </r>
  <r>
    <n v="4276"/>
    <n v="30433"/>
    <x v="208"/>
    <x v="30"/>
    <s v="Medium"/>
    <n v="17"/>
    <n v="253.38"/>
    <n v="0"/>
    <s v="Express Air"/>
    <n v="-35.78"/>
    <n v="13.9"/>
    <n v="7.59"/>
    <x v="322"/>
    <x v="6"/>
    <x v="5"/>
    <x v="3"/>
    <x v="0"/>
    <x v="15"/>
    <x v="297"/>
    <s v="Small Pack"/>
    <n v="0.56000000000000005"/>
    <d v="2010-06-09T00:00:00"/>
    <n v="0"/>
    <n v="0"/>
    <n v="1"/>
    <n v="1"/>
  </r>
  <r>
    <n v="4284"/>
    <n v="30532"/>
    <x v="992"/>
    <x v="27"/>
    <s v="High"/>
    <n v="28"/>
    <n v="431.37"/>
    <n v="0.03"/>
    <s v="Regular Air"/>
    <n v="-28.669499999999999"/>
    <n v="15.22"/>
    <n v="9.73"/>
    <x v="328"/>
    <x v="6"/>
    <x v="5"/>
    <x v="3"/>
    <x v="0"/>
    <x v="2"/>
    <x v="100"/>
    <s v="Small Box"/>
    <n v="0.36"/>
    <d v="2011-11-27T00:00:00"/>
    <n v="0"/>
    <n v="0"/>
    <n v="0.25"/>
    <n v="0.14285714285714285"/>
  </r>
  <r>
    <n v="4285"/>
    <n v="30532"/>
    <x v="992"/>
    <x v="27"/>
    <s v="High"/>
    <n v="23"/>
    <n v="262.31"/>
    <n v="0.04"/>
    <s v="Express Air"/>
    <n v="27.55"/>
    <n v="11.09"/>
    <n v="5.25"/>
    <x v="328"/>
    <x v="6"/>
    <x v="5"/>
    <x v="3"/>
    <x v="0"/>
    <x v="8"/>
    <x v="621"/>
    <s v="Small Box"/>
    <n v="0.36"/>
    <d v="2011-11-27T00:00:00"/>
    <n v="0"/>
    <n v="0"/>
    <n v="0.25"/>
    <n v="0.14285714285714285"/>
  </r>
  <r>
    <n v="4286"/>
    <n v="30532"/>
    <x v="992"/>
    <x v="27"/>
    <s v="High"/>
    <n v="45"/>
    <n v="514.03"/>
    <n v="0.05"/>
    <s v="Regular Air"/>
    <n v="82.19"/>
    <n v="11.34"/>
    <n v="5.01"/>
    <x v="328"/>
    <x v="6"/>
    <x v="5"/>
    <x v="3"/>
    <x v="0"/>
    <x v="5"/>
    <x v="119"/>
    <s v="Small Box"/>
    <n v="0.36"/>
    <d v="2011-11-28T00:00:00"/>
    <n v="0"/>
    <n v="0"/>
    <n v="0.25"/>
    <n v="0.14285714285714285"/>
  </r>
  <r>
    <n v="4287"/>
    <n v="30532"/>
    <x v="992"/>
    <x v="27"/>
    <s v="High"/>
    <n v="9"/>
    <n v="1696.7"/>
    <n v="0.04"/>
    <s v="Delivery Truck"/>
    <n v="-82.81"/>
    <n v="180.98"/>
    <n v="23.58"/>
    <x v="328"/>
    <x v="6"/>
    <x v="5"/>
    <x v="3"/>
    <x v="2"/>
    <x v="9"/>
    <x v="566"/>
    <s v="Jumbo Box"/>
    <n v="0.74"/>
    <d v="2011-11-28T00:00:00"/>
    <n v="0"/>
    <n v="0"/>
    <n v="0.25"/>
    <n v="0.14285714285714285"/>
  </r>
  <r>
    <n v="4297"/>
    <n v="30597"/>
    <x v="98"/>
    <x v="9"/>
    <s v="High"/>
    <n v="18"/>
    <n v="93.02"/>
    <n v="7.0000000000000007E-2"/>
    <s v="Regular Air"/>
    <n v="20.010000000000002"/>
    <n v="5.08"/>
    <n v="2.0299999999999998"/>
    <x v="319"/>
    <x v="6"/>
    <x v="5"/>
    <x v="1"/>
    <x v="2"/>
    <x v="4"/>
    <x v="708"/>
    <s v="Wrap Bag"/>
    <n v="0.51"/>
    <d v="2012-08-07T00:00:00"/>
    <n v="0"/>
    <n v="0"/>
    <n v="0.5"/>
    <n v="0.5"/>
  </r>
  <r>
    <n v="4298"/>
    <n v="30597"/>
    <x v="98"/>
    <x v="9"/>
    <s v="High"/>
    <n v="42"/>
    <n v="639.84"/>
    <n v="0.03"/>
    <s v="Regular Air"/>
    <n v="-95.76"/>
    <n v="15.14"/>
    <n v="4.53"/>
    <x v="319"/>
    <x v="6"/>
    <x v="5"/>
    <x v="1"/>
    <x v="0"/>
    <x v="0"/>
    <x v="560"/>
    <s v="Small Box"/>
    <n v="0.81"/>
    <d v="2012-08-06T00:00:00"/>
    <n v="0"/>
    <n v="0"/>
    <n v="0.5"/>
    <n v="0.5"/>
  </r>
  <r>
    <n v="4349"/>
    <n v="30981"/>
    <x v="635"/>
    <x v="44"/>
    <s v="Low"/>
    <n v="29"/>
    <n v="7837.44"/>
    <n v="0.1"/>
    <s v="Delivery Truck"/>
    <n v="1817.76"/>
    <n v="279.81"/>
    <n v="23.19"/>
    <x v="322"/>
    <x v="6"/>
    <x v="5"/>
    <x v="3"/>
    <x v="0"/>
    <x v="1"/>
    <x v="369"/>
    <s v="Jumbo Drum"/>
    <n v="0.59"/>
    <d v="2011-02-19T00:00:00"/>
    <n v="0"/>
    <n v="0"/>
    <n v="0.5"/>
    <n v="0.5"/>
  </r>
  <r>
    <n v="4350"/>
    <n v="30981"/>
    <x v="635"/>
    <x v="44"/>
    <s v="Low"/>
    <n v="22"/>
    <n v="3653.22"/>
    <n v="0.09"/>
    <s v="Delivery Truck"/>
    <n v="-116.02"/>
    <n v="180.98"/>
    <n v="30"/>
    <x v="322"/>
    <x v="6"/>
    <x v="5"/>
    <x v="3"/>
    <x v="2"/>
    <x v="14"/>
    <x v="741"/>
    <s v="Jumbo Drum"/>
    <n v="0.69"/>
    <d v="2011-02-17T00:00:00"/>
    <n v="0"/>
    <n v="0"/>
    <n v="0.5"/>
    <n v="0.5"/>
  </r>
  <r>
    <n v="4455"/>
    <n v="31751"/>
    <x v="582"/>
    <x v="10"/>
    <s v="High"/>
    <n v="31"/>
    <n v="413.12"/>
    <n v="0.1"/>
    <s v="Express Air"/>
    <n v="-10.223500000000001"/>
    <n v="14.27"/>
    <n v="7.27"/>
    <x v="316"/>
    <x v="6"/>
    <x v="5"/>
    <x v="0"/>
    <x v="0"/>
    <x v="2"/>
    <x v="509"/>
    <s v="Small Box"/>
    <n v="0.38"/>
    <d v="2011-05-28T00:00:00"/>
    <n v="0"/>
    <n v="0"/>
    <n v="1"/>
    <n v="1"/>
  </r>
  <r>
    <n v="4473"/>
    <n v="31873"/>
    <x v="216"/>
    <x v="11"/>
    <s v="Low"/>
    <n v="2"/>
    <n v="141.59"/>
    <n v="0.05"/>
    <s v="Regular Air"/>
    <n v="-91.09"/>
    <n v="70.97"/>
    <n v="3.5"/>
    <x v="329"/>
    <x v="6"/>
    <x v="5"/>
    <x v="3"/>
    <x v="0"/>
    <x v="1"/>
    <x v="1023"/>
    <s v="Small Box"/>
    <n v="0.59"/>
    <d v="2009-11-13T00:00:00"/>
    <n v="0"/>
    <n v="0"/>
    <n v="0.25"/>
    <n v="0.25"/>
  </r>
  <r>
    <n v="4474"/>
    <n v="31873"/>
    <x v="216"/>
    <x v="11"/>
    <s v="Low"/>
    <n v="14"/>
    <n v="2465.5014999999999"/>
    <n v="0.06"/>
    <s v="Regular Air"/>
    <n v="13.014000000000001"/>
    <n v="205.99"/>
    <n v="8.99"/>
    <x v="329"/>
    <x v="6"/>
    <x v="5"/>
    <x v="3"/>
    <x v="1"/>
    <x v="3"/>
    <x v="783"/>
    <s v="Small Box"/>
    <n v="0.6"/>
    <d v="2009-11-15T00:00:00"/>
    <n v="0"/>
    <n v="0"/>
    <n v="0.25"/>
    <n v="0.25"/>
  </r>
  <r>
    <n v="4475"/>
    <n v="31873"/>
    <x v="216"/>
    <x v="11"/>
    <s v="Low"/>
    <n v="50"/>
    <n v="8558.4714999999997"/>
    <n v="0.06"/>
    <s v="Regular Air"/>
    <n v="2539.4580000000001"/>
    <n v="205.99"/>
    <n v="8.99"/>
    <x v="329"/>
    <x v="6"/>
    <x v="5"/>
    <x v="3"/>
    <x v="1"/>
    <x v="3"/>
    <x v="1044"/>
    <s v="Small Box"/>
    <n v="0.56000000000000005"/>
    <d v="2009-11-15T00:00:00"/>
    <n v="0"/>
    <n v="0"/>
    <n v="0.25"/>
    <n v="0.25"/>
  </r>
  <r>
    <n v="4476"/>
    <n v="31873"/>
    <x v="216"/>
    <x v="11"/>
    <s v="Low"/>
    <n v="42"/>
    <n v="236.89"/>
    <n v="0"/>
    <s v="Regular Air"/>
    <n v="-125.29"/>
    <n v="5.28"/>
    <n v="6.26"/>
    <x v="329"/>
    <x v="6"/>
    <x v="5"/>
    <x v="3"/>
    <x v="0"/>
    <x v="5"/>
    <x v="438"/>
    <s v="Small Box"/>
    <n v="0.4"/>
    <d v="2009-11-15T00:00:00"/>
    <n v="0"/>
    <n v="0"/>
    <n v="0.25"/>
    <n v="0.25"/>
  </r>
  <r>
    <n v="4492"/>
    <n v="32000"/>
    <x v="558"/>
    <x v="34"/>
    <s v="Low"/>
    <n v="49"/>
    <n v="162.16"/>
    <n v="0.05"/>
    <s v="Regular Air"/>
    <n v="24.95"/>
    <n v="3.29"/>
    <n v="1.35"/>
    <x v="328"/>
    <x v="6"/>
    <x v="5"/>
    <x v="3"/>
    <x v="0"/>
    <x v="6"/>
    <x v="339"/>
    <s v="Wrap Bag"/>
    <n v="0.4"/>
    <d v="2012-09-15T00:00:00"/>
    <n v="0"/>
    <n v="0"/>
    <n v="0.5"/>
    <n v="0.5"/>
  </r>
  <r>
    <n v="4493"/>
    <n v="32000"/>
    <x v="558"/>
    <x v="34"/>
    <s v="Low"/>
    <n v="26"/>
    <n v="15168.82"/>
    <n v="0.02"/>
    <s v="Delivery Truck"/>
    <n v="-1096.7760000000001"/>
    <n v="550.98"/>
    <n v="147.12"/>
    <x v="328"/>
    <x v="6"/>
    <x v="5"/>
    <x v="3"/>
    <x v="2"/>
    <x v="10"/>
    <x v="481"/>
    <s v="Jumbo Box"/>
    <n v="0.8"/>
    <d v="2012-09-20T00:00:00"/>
    <n v="0"/>
    <n v="0"/>
    <n v="0.5"/>
    <n v="0.5"/>
  </r>
  <r>
    <n v="4597"/>
    <n v="32737"/>
    <x v="996"/>
    <x v="19"/>
    <s v="High"/>
    <n v="14"/>
    <n v="367.11"/>
    <n v="0.09"/>
    <s v="Regular Air"/>
    <n v="116.79849999999999"/>
    <n v="28.53"/>
    <n v="1.49"/>
    <x v="328"/>
    <x v="6"/>
    <x v="5"/>
    <x v="3"/>
    <x v="0"/>
    <x v="2"/>
    <x v="257"/>
    <s v="Small Box"/>
    <n v="0.38"/>
    <d v="2009-10-30T00:00:00"/>
    <n v="0"/>
    <n v="0"/>
    <n v="1"/>
    <n v="1"/>
  </r>
  <r>
    <n v="4918"/>
    <n v="35012"/>
    <x v="8"/>
    <x v="8"/>
    <s v="Medium"/>
    <n v="10"/>
    <n v="126.79"/>
    <n v="0.04"/>
    <s v="Regular Air"/>
    <n v="-16.38"/>
    <n v="11.97"/>
    <n v="4.9800000000000004"/>
    <x v="312"/>
    <x v="6"/>
    <x v="5"/>
    <x v="2"/>
    <x v="0"/>
    <x v="1"/>
    <x v="165"/>
    <s v="Small Box"/>
    <n v="0.57999999999999996"/>
    <d v="2012-06-08T00:00:00"/>
    <n v="0"/>
    <n v="0"/>
    <n v="0.5"/>
    <n v="0.5"/>
  </r>
  <r>
    <n v="4919"/>
    <n v="35012"/>
    <x v="8"/>
    <x v="8"/>
    <s v="Medium"/>
    <n v="11"/>
    <n v="1770.2015000000001"/>
    <n v="0.08"/>
    <s v="Regular Air"/>
    <n v="-165.94600000000003"/>
    <n v="195.99"/>
    <n v="4.2"/>
    <x v="312"/>
    <x v="6"/>
    <x v="5"/>
    <x v="2"/>
    <x v="1"/>
    <x v="3"/>
    <x v="781"/>
    <s v="Small Box"/>
    <n v="0.56000000000000005"/>
    <d v="2012-06-09T00:00:00"/>
    <n v="0"/>
    <n v="0"/>
    <n v="0.5"/>
    <n v="0.5"/>
  </r>
  <r>
    <n v="4922"/>
    <n v="35042"/>
    <x v="353"/>
    <x v="15"/>
    <s v="Not Specified"/>
    <n v="23"/>
    <n v="1196.8599999999999"/>
    <n v="0.06"/>
    <s v="Regular Air"/>
    <n v="-12.51"/>
    <n v="50.98"/>
    <n v="6.5"/>
    <x v="311"/>
    <x v="6"/>
    <x v="5"/>
    <x v="3"/>
    <x v="1"/>
    <x v="7"/>
    <x v="87"/>
    <s v="Small Box"/>
    <n v="0.73"/>
    <d v="2010-12-03T00:00:00"/>
    <n v="0"/>
    <n v="0"/>
    <n v="1"/>
    <n v="1"/>
  </r>
  <r>
    <n v="5009"/>
    <n v="35713"/>
    <x v="765"/>
    <x v="1"/>
    <s v="Medium"/>
    <n v="49"/>
    <n v="1355.47"/>
    <n v="0.04"/>
    <s v="Regular Air"/>
    <n v="590.04449999999997"/>
    <n v="28.53"/>
    <n v="1.49"/>
    <x v="318"/>
    <x v="6"/>
    <x v="5"/>
    <x v="2"/>
    <x v="0"/>
    <x v="2"/>
    <x v="257"/>
    <s v="Small Box"/>
    <n v="0.38"/>
    <d v="2012-10-17T00:00:00"/>
    <n v="0"/>
    <n v="0"/>
    <n v="1"/>
    <n v="1"/>
  </r>
  <r>
    <n v="5082"/>
    <n v="36229"/>
    <x v="546"/>
    <x v="34"/>
    <s v="Not Specified"/>
    <n v="12"/>
    <n v="1465.29"/>
    <n v="0.02"/>
    <s v="Regular Air"/>
    <n v="373.5"/>
    <n v="120.97"/>
    <n v="7.11"/>
    <x v="326"/>
    <x v="6"/>
    <x v="5"/>
    <x v="3"/>
    <x v="1"/>
    <x v="16"/>
    <x v="105"/>
    <s v="Medium Box"/>
    <n v="0.36"/>
    <d v="2012-09-24T00:00:00"/>
    <n v="0"/>
    <n v="0"/>
    <n v="0.5"/>
    <n v="0.5"/>
  </r>
  <r>
    <n v="5083"/>
    <n v="36229"/>
    <x v="546"/>
    <x v="34"/>
    <s v="Not Specified"/>
    <n v="24"/>
    <n v="3590.33"/>
    <n v="0.01"/>
    <s v="Delivery Truck"/>
    <n v="-31.725000000000001"/>
    <n v="146.34"/>
    <n v="43.75"/>
    <x v="326"/>
    <x v="6"/>
    <x v="5"/>
    <x v="3"/>
    <x v="2"/>
    <x v="10"/>
    <x v="99"/>
    <s v="Jumbo Box"/>
    <n v="0.65"/>
    <d v="2012-09-23T00:00:00"/>
    <n v="0"/>
    <n v="0"/>
    <n v="0.5"/>
    <n v="0.5"/>
  </r>
  <r>
    <n v="5199"/>
    <n v="36933"/>
    <x v="997"/>
    <x v="2"/>
    <s v="High"/>
    <n v="32"/>
    <n v="115.81"/>
    <n v="7.0000000000000007E-2"/>
    <s v="Regular Air"/>
    <n v="47.56"/>
    <n v="3.69"/>
    <n v="0.5"/>
    <x v="316"/>
    <x v="6"/>
    <x v="5"/>
    <x v="0"/>
    <x v="0"/>
    <x v="11"/>
    <x v="1045"/>
    <s v="Small Box"/>
    <n v="0.38"/>
    <d v="2011-07-13T00:00:00"/>
    <n v="0"/>
    <n v="0"/>
    <n v="1"/>
    <n v="1"/>
  </r>
  <r>
    <n v="5219"/>
    <n v="37152"/>
    <x v="389"/>
    <x v="10"/>
    <s v="Medium"/>
    <n v="39"/>
    <n v="4647.6899999999996"/>
    <n v="0.02"/>
    <s v="Delivery Truck"/>
    <n v="182.53"/>
    <n v="113.98"/>
    <n v="30"/>
    <x v="312"/>
    <x v="6"/>
    <x v="5"/>
    <x v="2"/>
    <x v="2"/>
    <x v="14"/>
    <x v="655"/>
    <s v="Jumbo Drum"/>
    <n v="0.69"/>
    <d v="2011-05-24T00:00:00"/>
    <n v="0"/>
    <n v="0"/>
    <n v="0.5"/>
    <n v="0.5"/>
  </r>
  <r>
    <n v="5220"/>
    <n v="37152"/>
    <x v="389"/>
    <x v="10"/>
    <s v="Medium"/>
    <n v="45"/>
    <n v="2503.3265000000001"/>
    <n v="0.04"/>
    <s v="Regular Air"/>
    <n v="447.12"/>
    <n v="65.989999999999995"/>
    <n v="8.8000000000000007"/>
    <x v="312"/>
    <x v="6"/>
    <x v="5"/>
    <x v="2"/>
    <x v="1"/>
    <x v="3"/>
    <x v="858"/>
    <s v="Small Box"/>
    <n v="0.57999999999999996"/>
    <d v="2011-05-24T00:00:00"/>
    <n v="0"/>
    <n v="0"/>
    <n v="0.5"/>
    <n v="0.5"/>
  </r>
  <r>
    <n v="5228"/>
    <n v="37223"/>
    <x v="172"/>
    <x v="27"/>
    <s v="Low"/>
    <n v="21"/>
    <n v="2731.73"/>
    <n v="7.0000000000000007E-2"/>
    <s v="Express Air"/>
    <n v="310.58999999999997"/>
    <n v="155.99"/>
    <n v="8.99"/>
    <x v="328"/>
    <x v="6"/>
    <x v="5"/>
    <x v="3"/>
    <x v="1"/>
    <x v="3"/>
    <x v="19"/>
    <s v="Small Box"/>
    <n v="0.57999999999999996"/>
    <d v="2011-11-14T00:00:00"/>
    <n v="0"/>
    <n v="0"/>
    <n v="0.33333333333333331"/>
    <n v="0.14285714285714285"/>
  </r>
  <r>
    <n v="5229"/>
    <n v="37223"/>
    <x v="172"/>
    <x v="27"/>
    <s v="Low"/>
    <n v="40"/>
    <n v="679.52"/>
    <n v="0.09"/>
    <s v="Regular Air"/>
    <n v="-152.4"/>
    <n v="17.7"/>
    <n v="9.4700000000000006"/>
    <x v="328"/>
    <x v="6"/>
    <x v="5"/>
    <x v="3"/>
    <x v="0"/>
    <x v="0"/>
    <x v="1046"/>
    <s v="Small Box"/>
    <n v="0.59"/>
    <d v="2011-11-17T00:00:00"/>
    <n v="0"/>
    <n v="0"/>
    <n v="0.33333333333333331"/>
    <n v="0.14285714285714285"/>
  </r>
  <r>
    <n v="5230"/>
    <n v="37223"/>
    <x v="172"/>
    <x v="27"/>
    <s v="Low"/>
    <n v="38"/>
    <n v="5176.2700000000004"/>
    <n v="0.01"/>
    <s v="Regular Air"/>
    <n v="-743.45"/>
    <n v="135.31"/>
    <n v="35"/>
    <x v="328"/>
    <x v="6"/>
    <x v="5"/>
    <x v="3"/>
    <x v="0"/>
    <x v="0"/>
    <x v="1047"/>
    <s v="Large Box"/>
    <n v="0.84"/>
    <d v="2011-11-15T00:00:00"/>
    <n v="0"/>
    <n v="0"/>
    <n v="0.33333333333333331"/>
    <n v="0.14285714285714285"/>
  </r>
  <r>
    <n v="5237"/>
    <n v="37254"/>
    <x v="896"/>
    <x v="35"/>
    <s v="High"/>
    <n v="28"/>
    <n v="739.94"/>
    <n v="0.01"/>
    <s v="Regular Air"/>
    <n v="370.23"/>
    <n v="26.17"/>
    <n v="1.39"/>
    <x v="200"/>
    <x v="6"/>
    <x v="5"/>
    <x v="1"/>
    <x v="0"/>
    <x v="8"/>
    <x v="1048"/>
    <s v="Small Box"/>
    <n v="0.38"/>
    <d v="2009-09-19T00:00:00"/>
    <n v="0"/>
    <n v="0"/>
    <n v="1"/>
    <n v="1"/>
  </r>
  <r>
    <n v="5260"/>
    <n v="37441"/>
    <x v="998"/>
    <x v="40"/>
    <s v="Critical"/>
    <n v="46"/>
    <n v="14740.51"/>
    <n v="0"/>
    <s v="Delivery Truck"/>
    <n v="3407.73"/>
    <n v="300.98"/>
    <n v="164.73"/>
    <x v="200"/>
    <x v="6"/>
    <x v="5"/>
    <x v="3"/>
    <x v="2"/>
    <x v="14"/>
    <x v="70"/>
    <s v="Jumbo Drum"/>
    <n v="0.56000000000000005"/>
    <d v="2009-02-25T00:00:00"/>
    <n v="0"/>
    <n v="0"/>
    <n v="0.5"/>
    <n v="0.5"/>
  </r>
  <r>
    <n v="5261"/>
    <n v="37441"/>
    <x v="998"/>
    <x v="40"/>
    <s v="Critical"/>
    <n v="1"/>
    <n v="3.77"/>
    <n v="0.09"/>
    <s v="Regular Air"/>
    <n v="-1.84"/>
    <n v="2.94"/>
    <n v="0.96"/>
    <x v="200"/>
    <x v="6"/>
    <x v="5"/>
    <x v="3"/>
    <x v="0"/>
    <x v="12"/>
    <x v="361"/>
    <s v="Wrap Bag"/>
    <n v="0.57999999999999996"/>
    <d v="2009-02-26T00:00:00"/>
    <n v="0"/>
    <n v="0"/>
    <n v="0.5"/>
    <n v="0.5"/>
  </r>
  <r>
    <n v="5359"/>
    <n v="38084"/>
    <x v="41"/>
    <x v="28"/>
    <s v="Not Specified"/>
    <n v="11"/>
    <n v="100.36"/>
    <n v="0.02"/>
    <s v="Regular Air"/>
    <n v="18.41"/>
    <n v="9.11"/>
    <n v="2.15"/>
    <x v="328"/>
    <x v="6"/>
    <x v="5"/>
    <x v="3"/>
    <x v="0"/>
    <x v="5"/>
    <x v="1024"/>
    <s v="Wrap Bag"/>
    <n v="0.4"/>
    <d v="2009-03-22T00:00:00"/>
    <n v="0"/>
    <n v="0"/>
    <n v="0.5"/>
    <n v="0.5"/>
  </r>
  <r>
    <n v="5360"/>
    <n v="38084"/>
    <x v="41"/>
    <x v="28"/>
    <s v="Not Specified"/>
    <n v="33"/>
    <n v="404.91"/>
    <n v="0.06"/>
    <s v="Regular Air"/>
    <n v="65.63"/>
    <n v="12.64"/>
    <n v="4.9800000000000004"/>
    <x v="328"/>
    <x v="6"/>
    <x v="5"/>
    <x v="3"/>
    <x v="2"/>
    <x v="4"/>
    <x v="774"/>
    <s v="Small Pack"/>
    <n v="0.48"/>
    <d v="2009-03-22T00:00:00"/>
    <n v="0"/>
    <n v="0"/>
    <n v="0.5"/>
    <n v="0.5"/>
  </r>
  <r>
    <n v="5527"/>
    <n v="39168"/>
    <x v="425"/>
    <x v="20"/>
    <s v="High"/>
    <n v="22"/>
    <n v="809.91"/>
    <n v="7.0000000000000007E-2"/>
    <s v="Regular Air"/>
    <n v="321.67399999999998"/>
    <n v="37.700000000000003"/>
    <n v="2.99"/>
    <x v="321"/>
    <x v="6"/>
    <x v="5"/>
    <x v="3"/>
    <x v="0"/>
    <x v="2"/>
    <x v="737"/>
    <s v="Small Box"/>
    <n v="0.35"/>
    <d v="2012-05-20T00:00:00"/>
    <n v="0"/>
    <n v="0"/>
    <n v="0.33333333333333331"/>
    <n v="0.33333333333333331"/>
  </r>
  <r>
    <n v="5528"/>
    <n v="39168"/>
    <x v="425"/>
    <x v="20"/>
    <s v="High"/>
    <n v="50"/>
    <n v="1027.6600000000001"/>
    <n v="0"/>
    <s v="Regular Air"/>
    <n v="184.07"/>
    <n v="19.98"/>
    <n v="8.68"/>
    <x v="321"/>
    <x v="6"/>
    <x v="5"/>
    <x v="3"/>
    <x v="0"/>
    <x v="5"/>
    <x v="471"/>
    <s v="Small Box"/>
    <n v="0.37"/>
    <d v="2012-05-19T00:00:00"/>
    <n v="0"/>
    <n v="0"/>
    <n v="0.33333333333333331"/>
    <n v="0.33333333333333331"/>
  </r>
  <r>
    <n v="5529"/>
    <n v="39168"/>
    <x v="425"/>
    <x v="20"/>
    <s v="High"/>
    <n v="30"/>
    <n v="301.38"/>
    <n v="0.06"/>
    <s v="Regular Air"/>
    <n v="5.08"/>
    <n v="10.48"/>
    <n v="2.89"/>
    <x v="321"/>
    <x v="6"/>
    <x v="5"/>
    <x v="3"/>
    <x v="0"/>
    <x v="12"/>
    <x v="373"/>
    <s v="Small Pack"/>
    <n v="0.6"/>
    <d v="2012-05-19T00:00:00"/>
    <n v="0"/>
    <n v="0"/>
    <n v="0.33333333333333331"/>
    <n v="0.33333333333333331"/>
  </r>
  <r>
    <n v="5555"/>
    <n v="39333"/>
    <x v="649"/>
    <x v="6"/>
    <s v="Critical"/>
    <n v="31"/>
    <n v="8955.34"/>
    <n v="0.1"/>
    <s v="Regular Air"/>
    <n v="2081.48"/>
    <n v="320.98"/>
    <n v="24.49"/>
    <x v="319"/>
    <x v="6"/>
    <x v="5"/>
    <x v="1"/>
    <x v="2"/>
    <x v="14"/>
    <x v="899"/>
    <s v="Large Box"/>
    <n v="0.55000000000000004"/>
    <d v="2010-02-19T00:00:00"/>
    <n v="0"/>
    <n v="0"/>
    <n v="0.5"/>
    <n v="0.5"/>
  </r>
  <r>
    <n v="5556"/>
    <n v="39333"/>
    <x v="649"/>
    <x v="6"/>
    <s v="Critical"/>
    <n v="18"/>
    <n v="95.22"/>
    <n v="0.01"/>
    <s v="Regular Air"/>
    <n v="-33.4"/>
    <n v="4.9800000000000004"/>
    <n v="4.7"/>
    <x v="319"/>
    <x v="6"/>
    <x v="5"/>
    <x v="1"/>
    <x v="0"/>
    <x v="5"/>
    <x v="725"/>
    <s v="Small Box"/>
    <n v="0.38"/>
    <d v="2010-02-17T00:00:00"/>
    <n v="0"/>
    <n v="0"/>
    <n v="0.5"/>
    <n v="0.5"/>
  </r>
  <r>
    <n v="5583"/>
    <n v="39589"/>
    <x v="137"/>
    <x v="26"/>
    <s v="Critical"/>
    <n v="42"/>
    <n v="577.41999999999996"/>
    <n v="0"/>
    <s v="Regular Air"/>
    <n v="253.50400000000002"/>
    <n v="12.97"/>
    <n v="1.49"/>
    <x v="313"/>
    <x v="6"/>
    <x v="5"/>
    <x v="3"/>
    <x v="0"/>
    <x v="2"/>
    <x v="941"/>
    <s v="Small Box"/>
    <n v="0.35"/>
    <d v="2009-08-03T00:00:00"/>
    <n v="0"/>
    <n v="0"/>
    <n v="0.5"/>
    <n v="0.5"/>
  </r>
  <r>
    <n v="5584"/>
    <n v="39589"/>
    <x v="137"/>
    <x v="26"/>
    <s v="Critical"/>
    <n v="20"/>
    <n v="95.08"/>
    <n v="0.06"/>
    <s v="Regular Air"/>
    <n v="39.909999999999997"/>
    <n v="4.91"/>
    <n v="0.5"/>
    <x v="313"/>
    <x v="6"/>
    <x v="5"/>
    <x v="3"/>
    <x v="0"/>
    <x v="11"/>
    <x v="999"/>
    <s v="Small Box"/>
    <n v="0.36"/>
    <d v="2009-08-02T00:00:00"/>
    <n v="0"/>
    <n v="0"/>
    <n v="0.5"/>
    <n v="0.5"/>
  </r>
  <r>
    <n v="5640"/>
    <n v="39906"/>
    <x v="999"/>
    <x v="28"/>
    <s v="Medium"/>
    <n v="25"/>
    <n v="82.21"/>
    <n v="0.04"/>
    <s v="Regular Air"/>
    <n v="15.25"/>
    <n v="3.38"/>
    <n v="1.0900000000000001"/>
    <x v="315"/>
    <x v="6"/>
    <x v="5"/>
    <x v="3"/>
    <x v="0"/>
    <x v="5"/>
    <x v="1042"/>
    <s v="Wrap Bag"/>
    <n v="0.39"/>
    <d v="2009-03-19T00:00:00"/>
    <n v="0"/>
    <n v="0"/>
    <n v="1"/>
    <n v="1"/>
  </r>
  <r>
    <n v="5666"/>
    <n v="40097"/>
    <x v="820"/>
    <x v="22"/>
    <s v="Low"/>
    <n v="47"/>
    <n v="117.88"/>
    <n v="0.1"/>
    <s v="Regular Air"/>
    <n v="-71"/>
    <n v="2.6"/>
    <n v="2.4"/>
    <x v="313"/>
    <x v="6"/>
    <x v="5"/>
    <x v="3"/>
    <x v="0"/>
    <x v="12"/>
    <x v="269"/>
    <s v="Wrap Bag"/>
    <n v="0.57999999999999996"/>
    <d v="2009-01-14T00:00:00"/>
    <n v="0"/>
    <n v="1"/>
    <n v="1"/>
    <n v="1"/>
  </r>
  <r>
    <n v="5685"/>
    <n v="40193"/>
    <x v="780"/>
    <x v="34"/>
    <s v="High"/>
    <n v="34"/>
    <n v="3130.2015000000001"/>
    <n v="7.0000000000000007E-2"/>
    <s v="Express Air"/>
    <n v="692.77499999999998"/>
    <n v="115.99"/>
    <n v="2.5"/>
    <x v="324"/>
    <x v="6"/>
    <x v="5"/>
    <x v="2"/>
    <x v="1"/>
    <x v="3"/>
    <x v="1018"/>
    <s v="Small Box"/>
    <n v="0.56999999999999995"/>
    <d v="2012-09-02T00:00:00"/>
    <n v="0"/>
    <n v="0"/>
    <n v="1"/>
    <n v="1"/>
  </r>
  <r>
    <n v="5693"/>
    <n v="40258"/>
    <x v="945"/>
    <x v="46"/>
    <s v="Not Specified"/>
    <n v="31"/>
    <n v="449.47"/>
    <n v="0.05"/>
    <s v="Regular Air"/>
    <n v="-190.49"/>
    <n v="14.81"/>
    <n v="13.32"/>
    <x v="319"/>
    <x v="6"/>
    <x v="5"/>
    <x v="0"/>
    <x v="0"/>
    <x v="1"/>
    <x v="531"/>
    <s v="Small Box"/>
    <n v="0.43"/>
    <d v="2009-04-11T00:00:00"/>
    <n v="0"/>
    <n v="0"/>
    <n v="0.5"/>
    <n v="0.33333333333333331"/>
  </r>
  <r>
    <n v="5694"/>
    <n v="40258"/>
    <x v="945"/>
    <x v="46"/>
    <s v="Not Specified"/>
    <n v="29"/>
    <n v="80.61"/>
    <n v="0.08"/>
    <s v="Regular Air"/>
    <n v="-8.77"/>
    <n v="2.78"/>
    <n v="1.25"/>
    <x v="319"/>
    <x v="6"/>
    <x v="5"/>
    <x v="0"/>
    <x v="0"/>
    <x v="12"/>
    <x v="365"/>
    <s v="Wrap Bag"/>
    <n v="0.59"/>
    <d v="2009-04-10T00:00:00"/>
    <n v="0"/>
    <n v="0"/>
    <n v="0.5"/>
    <n v="0.33333333333333331"/>
  </r>
  <r>
    <n v="5721"/>
    <n v="40544"/>
    <x v="319"/>
    <x v="46"/>
    <s v="Low"/>
    <n v="39"/>
    <n v="2413.5300000000002"/>
    <n v="0.06"/>
    <s v="Regular Air"/>
    <n v="544.04"/>
    <n v="60.65"/>
    <n v="12.23"/>
    <x v="319"/>
    <x v="6"/>
    <x v="5"/>
    <x v="1"/>
    <x v="2"/>
    <x v="4"/>
    <x v="915"/>
    <s v="Medium Box"/>
    <n v="0.64"/>
    <d v="2009-04-08T00:00:00"/>
    <n v="0"/>
    <n v="0"/>
    <n v="1"/>
    <n v="0.33333333333333331"/>
  </r>
  <r>
    <n v="5887"/>
    <n v="41765"/>
    <x v="265"/>
    <x v="47"/>
    <s v="Medium"/>
    <n v="41"/>
    <n v="204.99"/>
    <n v="0.03"/>
    <s v="Regular Air"/>
    <n v="-95.990499999999997"/>
    <n v="4.9800000000000004"/>
    <n v="4.95"/>
    <x v="328"/>
    <x v="6"/>
    <x v="5"/>
    <x v="3"/>
    <x v="0"/>
    <x v="2"/>
    <x v="538"/>
    <s v="Small Box"/>
    <n v="0.37"/>
    <d v="2009-12-11T00:00:00"/>
    <n v="0"/>
    <n v="0"/>
    <n v="1"/>
    <n v="1"/>
  </r>
  <r>
    <n v="5949"/>
    <n v="42242"/>
    <x v="1000"/>
    <x v="46"/>
    <s v="Not Specified"/>
    <n v="23"/>
    <n v="265.31"/>
    <n v="0.09"/>
    <s v="Express Air"/>
    <n v="-33.189"/>
    <n v="11.5"/>
    <n v="7.19"/>
    <x v="312"/>
    <x v="6"/>
    <x v="5"/>
    <x v="2"/>
    <x v="0"/>
    <x v="2"/>
    <x v="274"/>
    <s v="Small Box"/>
    <n v="0.4"/>
    <d v="2009-04-02T00:00:00"/>
    <n v="0"/>
    <n v="0"/>
    <n v="0.33333333333333331"/>
    <n v="0.33333333333333331"/>
  </r>
  <r>
    <n v="5950"/>
    <n v="42242"/>
    <x v="1000"/>
    <x v="46"/>
    <s v="Not Specified"/>
    <n v="15"/>
    <n v="1444.88"/>
    <n v="0.1"/>
    <s v="Regular Air"/>
    <n v="236.61"/>
    <n v="100.97"/>
    <n v="7.18"/>
    <x v="312"/>
    <x v="6"/>
    <x v="5"/>
    <x v="2"/>
    <x v="1"/>
    <x v="7"/>
    <x v="824"/>
    <s v="Small Box"/>
    <n v="0.46"/>
    <d v="2009-04-02T00:00:00"/>
    <n v="0"/>
    <n v="0"/>
    <n v="0.33333333333333331"/>
    <n v="0.33333333333333331"/>
  </r>
  <r>
    <n v="5951"/>
    <n v="42242"/>
    <x v="1000"/>
    <x v="46"/>
    <s v="Not Specified"/>
    <n v="23"/>
    <n v="2287.1"/>
    <n v="7.0000000000000007E-2"/>
    <s v="Regular Air"/>
    <n v="231.49"/>
    <n v="99.99"/>
    <n v="19.989999999999998"/>
    <x v="312"/>
    <x v="6"/>
    <x v="5"/>
    <x v="2"/>
    <x v="1"/>
    <x v="16"/>
    <x v="284"/>
    <s v="Small Box"/>
    <n v="0.52"/>
    <d v="2009-04-02T00:00:00"/>
    <n v="0"/>
    <n v="0"/>
    <n v="0.33333333333333331"/>
    <n v="0.33333333333333331"/>
  </r>
  <r>
    <n v="5974"/>
    <n v="42369"/>
    <x v="774"/>
    <x v="3"/>
    <s v="Critical"/>
    <n v="44"/>
    <n v="786.26"/>
    <n v="0.01"/>
    <s v="Regular Air"/>
    <n v="274.98"/>
    <n v="17.48"/>
    <n v="1.99"/>
    <x v="323"/>
    <x v="6"/>
    <x v="5"/>
    <x v="3"/>
    <x v="1"/>
    <x v="7"/>
    <x v="1049"/>
    <s v="Small Pack"/>
    <n v="0.46"/>
    <d v="2010-08-06T00:00:00"/>
    <n v="0"/>
    <n v="0"/>
    <n v="1"/>
    <n v="1"/>
  </r>
  <r>
    <n v="6022"/>
    <n v="42690"/>
    <x v="858"/>
    <x v="18"/>
    <s v="Low"/>
    <n v="44"/>
    <n v="18697.240000000002"/>
    <n v="0.02"/>
    <s v="Regular Air"/>
    <n v="8918.7354999999989"/>
    <n v="420.98"/>
    <n v="19.989999999999998"/>
    <x v="313"/>
    <x v="6"/>
    <x v="5"/>
    <x v="3"/>
    <x v="0"/>
    <x v="2"/>
    <x v="461"/>
    <s v="Small Box"/>
    <n v="0.35"/>
    <d v="2010-10-02T00:00:00"/>
    <n v="0"/>
    <n v="0"/>
    <n v="0.5"/>
    <n v="0.5"/>
  </r>
  <r>
    <n v="6023"/>
    <n v="42690"/>
    <x v="858"/>
    <x v="18"/>
    <s v="Low"/>
    <n v="48"/>
    <n v="786.13"/>
    <n v="0.04"/>
    <s v="Regular Air"/>
    <n v="-236.12"/>
    <n v="16.739999999999998"/>
    <n v="7.04"/>
    <x v="313"/>
    <x v="6"/>
    <x v="5"/>
    <x v="3"/>
    <x v="0"/>
    <x v="0"/>
    <x v="1043"/>
    <s v="Small Box"/>
    <n v="0.81"/>
    <d v="2010-10-02T00:00:00"/>
    <n v="0"/>
    <n v="0"/>
    <n v="0.5"/>
    <n v="0.5"/>
  </r>
  <r>
    <n v="6369"/>
    <n v="45184"/>
    <x v="311"/>
    <x v="30"/>
    <s v="Low"/>
    <n v="25"/>
    <n v="14647.26"/>
    <n v="7.0000000000000007E-2"/>
    <s v="Regular Air"/>
    <n v="5485.15"/>
    <n v="599.99"/>
    <n v="24.49"/>
    <x v="328"/>
    <x v="6"/>
    <x v="5"/>
    <x v="3"/>
    <x v="1"/>
    <x v="13"/>
    <x v="776"/>
    <s v="Large Box"/>
    <n v="0.37"/>
    <d v="2010-06-26T00:00:00"/>
    <n v="0"/>
    <n v="0"/>
    <n v="0.5"/>
    <n v="0.5"/>
  </r>
  <r>
    <n v="6370"/>
    <n v="45184"/>
    <x v="311"/>
    <x v="30"/>
    <s v="Low"/>
    <n v="10"/>
    <n v="26.11"/>
    <n v="0.08"/>
    <s v="Regular Air"/>
    <n v="2.65"/>
    <n v="2.62"/>
    <n v="0.8"/>
    <x v="328"/>
    <x v="6"/>
    <x v="5"/>
    <x v="3"/>
    <x v="0"/>
    <x v="6"/>
    <x v="675"/>
    <s v="Wrap Bag"/>
    <n v="0.39"/>
    <d v="2010-06-24T00:00:00"/>
    <n v="0"/>
    <n v="0"/>
    <n v="0.5"/>
    <n v="0.5"/>
  </r>
  <r>
    <n v="6421"/>
    <n v="45632"/>
    <x v="782"/>
    <x v="39"/>
    <s v="Not Specified"/>
    <n v="50"/>
    <n v="442.31"/>
    <n v="0.02"/>
    <s v="Regular Air"/>
    <n v="231.68"/>
    <n v="8.34"/>
    <n v="0.96"/>
    <x v="319"/>
    <x v="6"/>
    <x v="5"/>
    <x v="0"/>
    <x v="2"/>
    <x v="4"/>
    <x v="956"/>
    <s v="Wrap Bag"/>
    <n v="0.43"/>
    <d v="2010-05-11T00:00:00"/>
    <n v="0"/>
    <n v="0"/>
    <n v="1"/>
    <n v="1"/>
  </r>
  <r>
    <n v="6499"/>
    <n v="46276"/>
    <x v="530"/>
    <x v="45"/>
    <s v="Critical"/>
    <n v="4"/>
    <n v="114.83"/>
    <n v="0.04"/>
    <s v="Regular Air"/>
    <n v="-52.62"/>
    <n v="28.48"/>
    <n v="1.99"/>
    <x v="317"/>
    <x v="6"/>
    <x v="5"/>
    <x v="0"/>
    <x v="1"/>
    <x v="7"/>
    <x v="395"/>
    <s v="Small Pack"/>
    <n v="0.4"/>
    <d v="2012-12-10T00:00:00"/>
    <n v="0"/>
    <n v="0"/>
    <n v="0.5"/>
    <n v="0.5"/>
  </r>
  <r>
    <n v="6500"/>
    <n v="46276"/>
    <x v="530"/>
    <x v="45"/>
    <s v="Critical"/>
    <n v="23"/>
    <n v="16743.759999999998"/>
    <n v="0"/>
    <s v="Regular Air"/>
    <n v="6079.63"/>
    <n v="699.99"/>
    <n v="24.49"/>
    <x v="317"/>
    <x v="6"/>
    <x v="5"/>
    <x v="0"/>
    <x v="1"/>
    <x v="13"/>
    <x v="286"/>
    <s v="Large Box"/>
    <n v="0.41"/>
    <d v="2012-12-11T00:00:00"/>
    <n v="0"/>
    <n v="0"/>
    <n v="0.5"/>
    <n v="0.5"/>
  </r>
  <r>
    <n v="6551"/>
    <n v="46566"/>
    <x v="97"/>
    <x v="13"/>
    <s v="Medium"/>
    <n v="49"/>
    <n v="1534.7"/>
    <n v="7.0000000000000007E-2"/>
    <s v="Regular Air"/>
    <n v="258.25"/>
    <n v="31.11"/>
    <n v="3.6"/>
    <x v="326"/>
    <x v="6"/>
    <x v="5"/>
    <x v="3"/>
    <x v="1"/>
    <x v="7"/>
    <x v="692"/>
    <s v="Small Pack"/>
    <n v="0.64"/>
    <d v="2012-04-10T00:00:00"/>
    <n v="0"/>
    <n v="0"/>
    <n v="1"/>
    <n v="1"/>
  </r>
  <r>
    <n v="6770"/>
    <n v="48198"/>
    <x v="626"/>
    <x v="11"/>
    <s v="Critical"/>
    <n v="7"/>
    <n v="2813.34"/>
    <n v="0.1"/>
    <s v="Delivery Truck"/>
    <n v="-688.4396999999999"/>
    <n v="442.14"/>
    <n v="14.7"/>
    <x v="315"/>
    <x v="6"/>
    <x v="5"/>
    <x v="3"/>
    <x v="1"/>
    <x v="16"/>
    <x v="330"/>
    <s v="Jumbo Drum"/>
    <n v="0.56000000000000005"/>
    <d v="2009-11-21T00:00:00"/>
    <n v="0"/>
    <n v="0"/>
    <n v="0.5"/>
    <n v="0.5"/>
  </r>
  <r>
    <n v="6771"/>
    <n v="48198"/>
    <x v="626"/>
    <x v="11"/>
    <s v="Critical"/>
    <n v="45"/>
    <n v="2682.8"/>
    <n v="0.01"/>
    <s v="Regular Air"/>
    <n v="860.22"/>
    <n v="60.22"/>
    <n v="3.5"/>
    <x v="315"/>
    <x v="6"/>
    <x v="5"/>
    <x v="3"/>
    <x v="0"/>
    <x v="1"/>
    <x v="477"/>
    <s v="Small Box"/>
    <n v="0.56999999999999995"/>
    <d v="2009-11-22T00:00:00"/>
    <n v="0"/>
    <n v="0"/>
    <n v="0.5"/>
    <n v="0.5"/>
  </r>
  <r>
    <n v="6802"/>
    <n v="48453"/>
    <x v="442"/>
    <x v="36"/>
    <s v="Medium"/>
    <n v="50"/>
    <n v="387.03"/>
    <n v="0.04"/>
    <s v="Regular Air"/>
    <n v="-7.73"/>
    <n v="7.96"/>
    <n v="4.95"/>
    <x v="328"/>
    <x v="6"/>
    <x v="5"/>
    <x v="3"/>
    <x v="2"/>
    <x v="4"/>
    <x v="736"/>
    <s v="Small Box"/>
    <n v="0.41"/>
    <d v="2009-07-26T00:00:00"/>
    <n v="0"/>
    <n v="0"/>
    <n v="1"/>
    <n v="1"/>
  </r>
  <r>
    <n v="6817"/>
    <n v="48518"/>
    <x v="969"/>
    <x v="46"/>
    <s v="Medium"/>
    <n v="17"/>
    <n v="585.47"/>
    <n v="0.1"/>
    <s v="Express Air"/>
    <n v="178.14"/>
    <n v="37.94"/>
    <n v="5.08"/>
    <x v="320"/>
    <x v="6"/>
    <x v="5"/>
    <x v="2"/>
    <x v="0"/>
    <x v="5"/>
    <x v="532"/>
    <s v="Wrap Bag"/>
    <n v="0.38"/>
    <d v="2009-04-04T00:00:00"/>
    <n v="0"/>
    <n v="0"/>
    <n v="1"/>
    <n v="1"/>
  </r>
  <r>
    <n v="6919"/>
    <n v="49349"/>
    <x v="1001"/>
    <x v="4"/>
    <s v="High"/>
    <n v="11"/>
    <n v="123.34"/>
    <n v="7.0000000000000007E-2"/>
    <s v="Regular Air"/>
    <n v="0.64000000000000057"/>
    <n v="11.34"/>
    <n v="5.01"/>
    <x v="313"/>
    <x v="6"/>
    <x v="5"/>
    <x v="3"/>
    <x v="0"/>
    <x v="5"/>
    <x v="119"/>
    <s v="Small Box"/>
    <n v="0.36"/>
    <d v="2011-06-01T00:00:00"/>
    <n v="0"/>
    <n v="0"/>
    <n v="0.5"/>
    <n v="0.5"/>
  </r>
  <r>
    <n v="6920"/>
    <n v="49349"/>
    <x v="1001"/>
    <x v="4"/>
    <s v="High"/>
    <n v="23"/>
    <n v="1642.47"/>
    <n v="0.01"/>
    <s v="Delivery Truck"/>
    <n v="-524.03"/>
    <n v="68.81"/>
    <n v="60"/>
    <x v="313"/>
    <x v="6"/>
    <x v="5"/>
    <x v="3"/>
    <x v="0"/>
    <x v="1"/>
    <x v="459"/>
    <s v="Jumbo Drum"/>
    <n v="0.41"/>
    <d v="2011-06-03T00:00:00"/>
    <n v="0"/>
    <n v="0"/>
    <n v="0.5"/>
    <n v="0.5"/>
  </r>
  <r>
    <n v="6952"/>
    <n v="49668"/>
    <x v="305"/>
    <x v="47"/>
    <s v="Low"/>
    <n v="25"/>
    <n v="93.22"/>
    <n v="0.06"/>
    <s v="Regular Air"/>
    <n v="-15.37"/>
    <n v="3.74"/>
    <n v="0.94"/>
    <x v="319"/>
    <x v="6"/>
    <x v="5"/>
    <x v="3"/>
    <x v="0"/>
    <x v="6"/>
    <x v="1050"/>
    <s v="Wrap Bag"/>
    <n v="0.83"/>
    <d v="2009-12-09T00:00:00"/>
    <n v="0"/>
    <n v="0"/>
    <n v="1"/>
    <n v="0.5"/>
  </r>
  <r>
    <n v="7050"/>
    <n v="50309"/>
    <x v="515"/>
    <x v="5"/>
    <s v="Low"/>
    <n v="36"/>
    <n v="243.18"/>
    <n v="0.08"/>
    <s v="Regular Air"/>
    <n v="-314.22000000000003"/>
    <n v="6.98"/>
    <n v="9.69"/>
    <x v="237"/>
    <x v="6"/>
    <x v="5"/>
    <x v="0"/>
    <x v="0"/>
    <x v="0"/>
    <x v="959"/>
    <s v="Small Box"/>
    <n v="0.83"/>
    <d v="2011-03-22T00:00:00"/>
    <n v="0"/>
    <n v="0"/>
    <n v="1"/>
    <n v="1"/>
  </r>
  <r>
    <n v="7349"/>
    <n v="52327"/>
    <x v="710"/>
    <x v="25"/>
    <s v="Medium"/>
    <n v="27"/>
    <n v="3853.47"/>
    <n v="0.1"/>
    <s v="Regular Air"/>
    <n v="21.499999999999943"/>
    <n v="152.47999999999999"/>
    <n v="6.5"/>
    <x v="326"/>
    <x v="6"/>
    <x v="5"/>
    <x v="3"/>
    <x v="1"/>
    <x v="7"/>
    <x v="659"/>
    <s v="Small Box"/>
    <n v="0.74"/>
    <d v="2011-12-21T00:00:00"/>
    <n v="0"/>
    <n v="0"/>
    <n v="0.5"/>
    <n v="0.5"/>
  </r>
  <r>
    <n v="7350"/>
    <n v="52327"/>
    <x v="710"/>
    <x v="25"/>
    <s v="Medium"/>
    <n v="5"/>
    <n v="28.23"/>
    <n v="0.1"/>
    <s v="Regular Air"/>
    <n v="-14.69"/>
    <n v="4.9800000000000004"/>
    <n v="4.7"/>
    <x v="326"/>
    <x v="6"/>
    <x v="5"/>
    <x v="3"/>
    <x v="0"/>
    <x v="5"/>
    <x v="725"/>
    <s v="Small Box"/>
    <n v="0.38"/>
    <d v="2011-12-22T00:00:00"/>
    <n v="0"/>
    <n v="0"/>
    <n v="0.5"/>
    <n v="0.5"/>
  </r>
  <r>
    <n v="7369"/>
    <n v="52516"/>
    <x v="505"/>
    <x v="23"/>
    <s v="High"/>
    <n v="50"/>
    <n v="4962.05"/>
    <n v="0.08"/>
    <s v="Delivery Truck"/>
    <n v="335.29"/>
    <n v="119.99"/>
    <n v="56.14"/>
    <x v="320"/>
    <x v="6"/>
    <x v="5"/>
    <x v="2"/>
    <x v="1"/>
    <x v="16"/>
    <x v="735"/>
    <s v="Jumbo Box"/>
    <n v="0.39"/>
    <d v="2012-01-05T00:00:00"/>
    <n v="0"/>
    <n v="0"/>
    <n v="0.5"/>
    <n v="0.5"/>
  </r>
  <r>
    <n v="7370"/>
    <n v="52516"/>
    <x v="505"/>
    <x v="23"/>
    <s v="High"/>
    <n v="19"/>
    <n v="192.39"/>
    <n v="0.08"/>
    <s v="Express Air"/>
    <n v="-31.67"/>
    <n v="10.23"/>
    <n v="4.68"/>
    <x v="320"/>
    <x v="6"/>
    <x v="5"/>
    <x v="2"/>
    <x v="0"/>
    <x v="15"/>
    <x v="804"/>
    <s v="Small Pack"/>
    <n v="0.59"/>
    <d v="2012-01-08T00:00:00"/>
    <n v="0"/>
    <n v="0"/>
    <n v="0.5"/>
    <n v="0.5"/>
  </r>
  <r>
    <n v="7402"/>
    <n v="52800"/>
    <x v="252"/>
    <x v="0"/>
    <s v="Not Specified"/>
    <n v="13"/>
    <n v="26.08"/>
    <n v="0.1"/>
    <s v="Regular Air"/>
    <n v="-27.29"/>
    <n v="1.86"/>
    <n v="2.58"/>
    <x v="316"/>
    <x v="6"/>
    <x v="5"/>
    <x v="0"/>
    <x v="0"/>
    <x v="6"/>
    <x v="613"/>
    <s v="Wrap Bag"/>
    <n v="0.82"/>
    <d v="2010-10-11T00:00:00"/>
    <n v="0"/>
    <n v="0"/>
    <n v="1"/>
    <n v="1"/>
  </r>
  <r>
    <n v="7508"/>
    <n v="53574"/>
    <x v="97"/>
    <x v="13"/>
    <s v="Medium"/>
    <n v="8"/>
    <n v="669.69"/>
    <n v="0.03"/>
    <s v="Regular Air"/>
    <n v="-297.02"/>
    <n v="80.98"/>
    <n v="35"/>
    <x v="320"/>
    <x v="6"/>
    <x v="5"/>
    <x v="2"/>
    <x v="0"/>
    <x v="0"/>
    <x v="73"/>
    <s v="Large Box"/>
    <n v="0.81"/>
    <d v="2012-04-10T00:00:00"/>
    <n v="0"/>
    <n v="0"/>
    <n v="1"/>
    <n v="1"/>
  </r>
  <r>
    <n v="7552"/>
    <n v="54023"/>
    <x v="1002"/>
    <x v="29"/>
    <s v="Not Specified"/>
    <n v="45"/>
    <n v="405.6"/>
    <n v="7.0000000000000007E-2"/>
    <s v="Regular Air"/>
    <n v="-8.5904999999999987"/>
    <n v="8.85"/>
    <n v="5.6"/>
    <x v="317"/>
    <x v="6"/>
    <x v="5"/>
    <x v="0"/>
    <x v="0"/>
    <x v="2"/>
    <x v="182"/>
    <s v="Small Box"/>
    <n v="0.36"/>
    <d v="2012-07-23T00:00:00"/>
    <n v="0"/>
    <n v="0"/>
    <n v="1"/>
    <n v="0.33333333333333331"/>
  </r>
  <r>
    <n v="7709"/>
    <n v="55265"/>
    <x v="640"/>
    <x v="35"/>
    <s v="Low"/>
    <n v="39"/>
    <n v="706.39250000000004"/>
    <n v="0.06"/>
    <s v="Regular Air"/>
    <n v="346.14"/>
    <n v="20.99"/>
    <n v="0.99"/>
    <x v="320"/>
    <x v="6"/>
    <x v="5"/>
    <x v="2"/>
    <x v="1"/>
    <x v="3"/>
    <x v="163"/>
    <s v="Wrap Bag"/>
    <n v="0.37"/>
    <d v="2009-09-28T00:00:00"/>
    <n v="0"/>
    <n v="0"/>
    <n v="1"/>
    <n v="1"/>
  </r>
  <r>
    <n v="7737"/>
    <n v="55398"/>
    <x v="606"/>
    <x v="38"/>
    <s v="Medium"/>
    <n v="24"/>
    <n v="154.99"/>
    <n v="7.0000000000000007E-2"/>
    <s v="Regular Air"/>
    <n v="-1085.52"/>
    <n v="4.4800000000000004"/>
    <n v="49"/>
    <x v="314"/>
    <x v="6"/>
    <x v="5"/>
    <x v="0"/>
    <x v="0"/>
    <x v="1"/>
    <x v="43"/>
    <s v="Large Box"/>
    <n v="0.6"/>
    <d v="2010-01-22T00:00:00"/>
    <n v="1"/>
    <n v="0"/>
    <n v="0.5"/>
    <n v="0.5"/>
  </r>
  <r>
    <n v="7745"/>
    <n v="55458"/>
    <x v="893"/>
    <x v="33"/>
    <s v="High"/>
    <n v="32"/>
    <n v="115.78"/>
    <n v="7.0000000000000007E-2"/>
    <s v="Regular Air"/>
    <n v="-167.417"/>
    <n v="3.52"/>
    <n v="6.83"/>
    <x v="329"/>
    <x v="6"/>
    <x v="5"/>
    <x v="3"/>
    <x v="0"/>
    <x v="2"/>
    <x v="489"/>
    <s v="Small Box"/>
    <n v="0.38"/>
    <d v="2012-03-18T00:00:00"/>
    <n v="0"/>
    <n v="0"/>
    <n v="0.5"/>
    <n v="0.5"/>
  </r>
  <r>
    <n v="7746"/>
    <n v="55458"/>
    <x v="893"/>
    <x v="33"/>
    <s v="High"/>
    <n v="13"/>
    <n v="210.22"/>
    <n v="0"/>
    <s v="Regular Air"/>
    <n v="-30.71"/>
    <n v="14.98"/>
    <n v="7.69"/>
    <x v="329"/>
    <x v="6"/>
    <x v="5"/>
    <x v="3"/>
    <x v="0"/>
    <x v="0"/>
    <x v="932"/>
    <s v="Small Box"/>
    <n v="0.56999999999999995"/>
    <d v="2012-03-18T00:00:00"/>
    <n v="0"/>
    <n v="0"/>
    <n v="0.5"/>
    <n v="0.5"/>
  </r>
  <r>
    <n v="7801"/>
    <n v="55809"/>
    <x v="85"/>
    <x v="31"/>
    <s v="Critical"/>
    <n v="2"/>
    <n v="250.7"/>
    <n v="0.03"/>
    <s v="Delivery Truck"/>
    <n v="-180.61"/>
    <n v="100.98"/>
    <n v="45"/>
    <x v="319"/>
    <x v="6"/>
    <x v="5"/>
    <x v="1"/>
    <x v="2"/>
    <x v="14"/>
    <x v="1051"/>
    <s v="Jumbo Drum"/>
    <n v="0.69"/>
    <d v="2011-09-12T00:00:00"/>
    <n v="0"/>
    <n v="0"/>
    <n v="1"/>
    <n v="1"/>
  </r>
  <r>
    <n v="7969"/>
    <n v="56992"/>
    <x v="1003"/>
    <x v="24"/>
    <s v="Not Specified"/>
    <n v="10"/>
    <n v="315.42"/>
    <n v="0.1"/>
    <s v="Regular Air"/>
    <n v="-41.26"/>
    <n v="30.98"/>
    <n v="17.079999999999998"/>
    <x v="324"/>
    <x v="6"/>
    <x v="5"/>
    <x v="2"/>
    <x v="0"/>
    <x v="5"/>
    <x v="385"/>
    <s v="Small Box"/>
    <n v="0.4"/>
    <d v="2010-04-18T00:00:00"/>
    <n v="0"/>
    <n v="0"/>
    <n v="1"/>
    <n v="1"/>
  </r>
  <r>
    <n v="8142"/>
    <n v="58210"/>
    <x v="1004"/>
    <x v="45"/>
    <s v="Medium"/>
    <n v="38"/>
    <n v="144.03"/>
    <n v="0.03"/>
    <s v="Regular Air"/>
    <n v="-139.518"/>
    <n v="3.58"/>
    <n v="5.47"/>
    <x v="326"/>
    <x v="6"/>
    <x v="5"/>
    <x v="3"/>
    <x v="0"/>
    <x v="2"/>
    <x v="337"/>
    <s v="Small Box"/>
    <n v="0.37"/>
    <d v="2012-12-07T00:00:00"/>
    <n v="0"/>
    <n v="0"/>
    <n v="1"/>
    <n v="1"/>
  </r>
  <r>
    <n v="8148"/>
    <n v="58277"/>
    <x v="359"/>
    <x v="22"/>
    <s v="Medium"/>
    <n v="23"/>
    <n v="294.68"/>
    <n v="0.01"/>
    <s v="Regular Air"/>
    <n v="-23.35"/>
    <n v="11.7"/>
    <n v="6.96"/>
    <x v="311"/>
    <x v="6"/>
    <x v="5"/>
    <x v="3"/>
    <x v="0"/>
    <x v="1"/>
    <x v="906"/>
    <s v="Medium Box"/>
    <n v="0.5"/>
    <d v="2009-01-26T00:00:00"/>
    <n v="0"/>
    <n v="1"/>
    <n v="1"/>
    <n v="0.5"/>
  </r>
  <r>
    <n v="8211"/>
    <n v="58720"/>
    <x v="239"/>
    <x v="14"/>
    <s v="Not Specified"/>
    <n v="43"/>
    <n v="2378.8200000000002"/>
    <n v="0.02"/>
    <s v="Regular Air"/>
    <n v="597.15899999999999"/>
    <n v="52.4"/>
    <n v="16.11"/>
    <x v="322"/>
    <x v="6"/>
    <x v="5"/>
    <x v="3"/>
    <x v="0"/>
    <x v="2"/>
    <x v="843"/>
    <s v="Small Box"/>
    <n v="0.39"/>
    <d v="2010-03-07T00:00:00"/>
    <n v="0"/>
    <n v="0"/>
    <n v="0.5"/>
    <n v="0.5"/>
  </r>
  <r>
    <n v="8212"/>
    <n v="58720"/>
    <x v="239"/>
    <x v="14"/>
    <s v="Not Specified"/>
    <n v="6"/>
    <n v="202.62"/>
    <n v="0.02"/>
    <s v="Express Air"/>
    <n v="13.87"/>
    <n v="30.98"/>
    <n v="8.74"/>
    <x v="322"/>
    <x v="6"/>
    <x v="5"/>
    <x v="3"/>
    <x v="0"/>
    <x v="5"/>
    <x v="720"/>
    <s v="Small Box"/>
    <n v="0.4"/>
    <d v="2010-03-08T00:00:00"/>
    <n v="0"/>
    <n v="0"/>
    <n v="0.5"/>
    <n v="0.5"/>
  </r>
  <r>
    <n v="8230"/>
    <n v="58820"/>
    <x v="203"/>
    <x v="6"/>
    <s v="Low"/>
    <n v="24"/>
    <n v="307.49"/>
    <n v="0.01"/>
    <s v="Regular Air"/>
    <n v="61.51"/>
    <n v="12.2"/>
    <n v="6.02"/>
    <x v="323"/>
    <x v="6"/>
    <x v="5"/>
    <x v="3"/>
    <x v="2"/>
    <x v="4"/>
    <x v="947"/>
    <s v="Small Pack"/>
    <n v="0.43"/>
    <d v="2010-03-04T00:00:00"/>
    <n v="0"/>
    <n v="0"/>
    <n v="1"/>
    <n v="1"/>
  </r>
  <r>
    <n v="178"/>
    <n v="1154"/>
    <x v="12"/>
    <x v="12"/>
    <s v="Critical"/>
    <n v="7"/>
    <n v="516.65"/>
    <n v="0.01"/>
    <s v="Express Air"/>
    <n v="57.1"/>
    <n v="70.97"/>
    <n v="3.5"/>
    <x v="330"/>
    <x v="7"/>
    <x v="2"/>
    <x v="3"/>
    <x v="0"/>
    <x v="1"/>
    <x v="1023"/>
    <s v="Small Box"/>
    <n v="0.59"/>
    <d v="2012-02-15T00:00:00"/>
    <n v="0"/>
    <n v="0"/>
    <n v="0.25"/>
    <n v="0.5"/>
  </r>
  <r>
    <n v="207"/>
    <n v="1382"/>
    <x v="1005"/>
    <x v="3"/>
    <s v="Low"/>
    <n v="5"/>
    <n v="89.334999999999994"/>
    <n v="0.06"/>
    <s v="Regular Air"/>
    <n v="-107.096"/>
    <n v="20.99"/>
    <n v="2.5"/>
    <x v="331"/>
    <x v="7"/>
    <x v="2"/>
    <x v="3"/>
    <x v="1"/>
    <x v="3"/>
    <x v="32"/>
    <s v="Wrap Bag"/>
    <n v="0.81"/>
    <d v="2010-08-20T00:00:00"/>
    <n v="0"/>
    <n v="0"/>
    <n v="0.33333333333333331"/>
    <n v="0.33333333333333331"/>
  </r>
  <r>
    <n v="208"/>
    <n v="1382"/>
    <x v="1005"/>
    <x v="3"/>
    <s v="Low"/>
    <n v="39"/>
    <n v="158.46"/>
    <n v="0.06"/>
    <s v="Regular Air"/>
    <n v="-130.66300000000001"/>
    <n v="3.98"/>
    <n v="5.26"/>
    <x v="331"/>
    <x v="7"/>
    <x v="2"/>
    <x v="3"/>
    <x v="0"/>
    <x v="2"/>
    <x v="983"/>
    <s v="Small Box"/>
    <n v="0.38"/>
    <d v="2010-08-23T00:00:00"/>
    <n v="0"/>
    <n v="0"/>
    <n v="0.33333333333333331"/>
    <n v="0.33333333333333331"/>
  </r>
  <r>
    <n v="209"/>
    <n v="1382"/>
    <x v="1005"/>
    <x v="3"/>
    <s v="Low"/>
    <n v="31"/>
    <n v="7180.83"/>
    <n v="0.02"/>
    <s v="Delivery Truck"/>
    <n v="487.17"/>
    <n v="220.98"/>
    <n v="64.66"/>
    <x v="331"/>
    <x v="7"/>
    <x v="2"/>
    <x v="3"/>
    <x v="2"/>
    <x v="9"/>
    <x v="778"/>
    <s v="Jumbo Box"/>
    <n v="0.62"/>
    <d v="2010-08-23T00:00:00"/>
    <n v="0"/>
    <n v="0"/>
    <n v="0.33333333333333331"/>
    <n v="0.33333333333333331"/>
  </r>
  <r>
    <n v="211"/>
    <n v="1411"/>
    <x v="874"/>
    <x v="47"/>
    <s v="High"/>
    <n v="39"/>
    <n v="5748.2"/>
    <n v="0.09"/>
    <s v="Delivery Truck"/>
    <n v="-459.86"/>
    <n v="160.97999999999999"/>
    <n v="35.020000000000003"/>
    <x v="332"/>
    <x v="7"/>
    <x v="2"/>
    <x v="0"/>
    <x v="2"/>
    <x v="9"/>
    <x v="244"/>
    <s v="Jumbo Box"/>
    <n v="0.72"/>
    <d v="2009-12-21T00:00:00"/>
    <n v="0"/>
    <n v="0"/>
    <n v="0.5"/>
    <n v="0.5"/>
  </r>
  <r>
    <n v="219"/>
    <n v="1444"/>
    <x v="738"/>
    <x v="47"/>
    <s v="Medium"/>
    <n v="2"/>
    <n v="21.44"/>
    <n v="0.02"/>
    <s v="Regular Air"/>
    <n v="-13.67"/>
    <n v="6.48"/>
    <n v="8.74"/>
    <x v="304"/>
    <x v="7"/>
    <x v="2"/>
    <x v="3"/>
    <x v="0"/>
    <x v="5"/>
    <x v="911"/>
    <s v="Small Box"/>
    <n v="0.36"/>
    <d v="2009-12-07T00:00:00"/>
    <n v="0"/>
    <n v="0"/>
    <n v="0.2"/>
    <n v="0.2"/>
  </r>
  <r>
    <n v="580"/>
    <n v="3942"/>
    <x v="148"/>
    <x v="30"/>
    <s v="Not Specified"/>
    <n v="22"/>
    <n v="1559.7755"/>
    <n v="0.03"/>
    <s v="Regular Air"/>
    <n v="-247.18100000000001"/>
    <n v="85.99"/>
    <n v="0.99"/>
    <x v="333"/>
    <x v="7"/>
    <x v="2"/>
    <x v="0"/>
    <x v="1"/>
    <x v="3"/>
    <x v="55"/>
    <s v="Wrap Bag"/>
    <n v="0.85"/>
    <d v="2010-06-28T00:00:00"/>
    <n v="0"/>
    <n v="0"/>
    <n v="0.5"/>
    <n v="0.25"/>
  </r>
  <r>
    <n v="664"/>
    <n v="4647"/>
    <x v="1006"/>
    <x v="43"/>
    <s v="Medium"/>
    <n v="7"/>
    <n v="1203.73"/>
    <n v="0.03"/>
    <s v="Regular Air"/>
    <n v="293.14"/>
    <n v="162.93"/>
    <n v="19.989999999999998"/>
    <x v="334"/>
    <x v="7"/>
    <x v="2"/>
    <x v="2"/>
    <x v="0"/>
    <x v="8"/>
    <x v="324"/>
    <s v="Small Box"/>
    <n v="0.39"/>
    <d v="2009-05-14T00:00:00"/>
    <n v="0"/>
    <n v="0"/>
    <n v="0.25"/>
    <n v="0.25"/>
  </r>
  <r>
    <n v="665"/>
    <n v="4647"/>
    <x v="1006"/>
    <x v="43"/>
    <s v="Medium"/>
    <n v="6"/>
    <n v="75.19"/>
    <n v="0.01"/>
    <s v="Regular Air"/>
    <n v="-6.61"/>
    <n v="11.58"/>
    <n v="5.72"/>
    <x v="334"/>
    <x v="7"/>
    <x v="2"/>
    <x v="2"/>
    <x v="0"/>
    <x v="8"/>
    <x v="188"/>
    <s v="Small Box"/>
    <n v="0.35"/>
    <d v="2009-05-15T00:00:00"/>
    <n v="0"/>
    <n v="0"/>
    <n v="0.25"/>
    <n v="0.25"/>
  </r>
  <r>
    <n v="707"/>
    <n v="4960"/>
    <x v="1007"/>
    <x v="44"/>
    <s v="Low"/>
    <n v="30"/>
    <n v="8363.65"/>
    <n v="0.09"/>
    <s v="Delivery Truck"/>
    <n v="763.33"/>
    <n v="300.98"/>
    <n v="64.73"/>
    <x v="233"/>
    <x v="7"/>
    <x v="2"/>
    <x v="2"/>
    <x v="2"/>
    <x v="14"/>
    <x v="70"/>
    <s v="Jumbo Drum"/>
    <n v="0.56000000000000005"/>
    <d v="2011-03-01T00:00:00"/>
    <n v="0"/>
    <n v="0"/>
    <n v="0.5"/>
    <n v="0.5"/>
  </r>
  <r>
    <n v="1010"/>
    <n v="7367"/>
    <x v="739"/>
    <x v="4"/>
    <s v="Low"/>
    <n v="46"/>
    <n v="303.62"/>
    <n v="0.02"/>
    <s v="Regular Air"/>
    <n v="-59.98"/>
    <n v="6.48"/>
    <n v="2.74"/>
    <x v="335"/>
    <x v="7"/>
    <x v="2"/>
    <x v="0"/>
    <x v="1"/>
    <x v="7"/>
    <x v="865"/>
    <s v="Small Pack"/>
    <n v="0.71"/>
    <d v="2011-06-12T00:00:00"/>
    <n v="0"/>
    <n v="0"/>
    <n v="0.5"/>
    <n v="0.5"/>
  </r>
  <r>
    <n v="1079"/>
    <n v="7938"/>
    <x v="525"/>
    <x v="14"/>
    <s v="Medium"/>
    <n v="34"/>
    <n v="334.66"/>
    <n v="0.05"/>
    <s v="Regular Air"/>
    <n v="132.56"/>
    <n v="9.93"/>
    <n v="1.0900000000000001"/>
    <x v="334"/>
    <x v="7"/>
    <x v="2"/>
    <x v="2"/>
    <x v="0"/>
    <x v="12"/>
    <x v="800"/>
    <s v="Wrap Bag"/>
    <n v="0.43"/>
    <d v="2010-03-14T00:00:00"/>
    <n v="0"/>
    <n v="0"/>
    <n v="0.33333333333333331"/>
    <n v="0.25"/>
  </r>
  <r>
    <n v="1142"/>
    <n v="8320"/>
    <x v="971"/>
    <x v="35"/>
    <s v="Not Specified"/>
    <n v="35"/>
    <n v="1142.3599999999999"/>
    <n v="0.02"/>
    <s v="Regular Air"/>
    <n v="72.78"/>
    <n v="30.73"/>
    <n v="4"/>
    <x v="336"/>
    <x v="7"/>
    <x v="2"/>
    <x v="3"/>
    <x v="1"/>
    <x v="7"/>
    <x v="161"/>
    <s v="Small Box"/>
    <n v="0.75"/>
    <d v="2009-09-22T00:00:00"/>
    <n v="0"/>
    <n v="0"/>
    <n v="0.5"/>
    <n v="0.5"/>
  </r>
  <r>
    <n v="1203"/>
    <n v="8807"/>
    <x v="1008"/>
    <x v="6"/>
    <s v="Low"/>
    <n v="14"/>
    <n v="1379.3374999999999"/>
    <n v="0.08"/>
    <s v="Regular Air"/>
    <n v="-78.540000000000063"/>
    <n v="125.99"/>
    <n v="4.2"/>
    <x v="337"/>
    <x v="7"/>
    <x v="2"/>
    <x v="1"/>
    <x v="1"/>
    <x v="3"/>
    <x v="1052"/>
    <s v="Small Box"/>
    <n v="0.56999999999999995"/>
    <d v="2010-03-04T00:00:00"/>
    <n v="0"/>
    <n v="0"/>
    <n v="0.5"/>
    <n v="0.5"/>
  </r>
  <r>
    <n v="1245"/>
    <n v="9062"/>
    <x v="1009"/>
    <x v="5"/>
    <s v="High"/>
    <n v="19"/>
    <n v="1825.42"/>
    <n v="0.06"/>
    <s v="Regular Air"/>
    <n v="1193.19"/>
    <n v="99.23"/>
    <n v="8.99"/>
    <x v="338"/>
    <x v="7"/>
    <x v="2"/>
    <x v="1"/>
    <x v="2"/>
    <x v="4"/>
    <x v="547"/>
    <s v="Small Pack"/>
    <n v="0.35"/>
    <d v="2011-03-23T00:00:00"/>
    <n v="0"/>
    <n v="0"/>
    <n v="0.5"/>
    <n v="0.5"/>
  </r>
  <r>
    <n v="1308"/>
    <n v="9602"/>
    <x v="547"/>
    <x v="32"/>
    <s v="Critical"/>
    <n v="27"/>
    <n v="2654.16"/>
    <n v="0.01"/>
    <s v="Delivery Truck"/>
    <n v="600.92999999999995"/>
    <n v="90.97"/>
    <n v="28"/>
    <x v="182"/>
    <x v="7"/>
    <x v="2"/>
    <x v="1"/>
    <x v="1"/>
    <x v="16"/>
    <x v="475"/>
    <s v="Jumbo Drum"/>
    <n v="0.38"/>
    <d v="2012-11-12T00:00:00"/>
    <n v="0"/>
    <n v="0"/>
    <n v="0.33333333333333331"/>
    <n v="0.33333333333333331"/>
  </r>
  <r>
    <n v="1310"/>
    <n v="9602"/>
    <x v="547"/>
    <x v="32"/>
    <s v="Critical"/>
    <n v="15"/>
    <n v="1722.65"/>
    <n v="0.05"/>
    <s v="Delivery Truck"/>
    <n v="-399.67"/>
    <n v="114.98"/>
    <n v="51.42"/>
    <x v="182"/>
    <x v="7"/>
    <x v="2"/>
    <x v="1"/>
    <x v="2"/>
    <x v="9"/>
    <x v="1053"/>
    <s v="Jumbo Box"/>
    <n v="0.65"/>
    <d v="2012-11-11T00:00:00"/>
    <n v="0"/>
    <n v="0"/>
    <n v="0.33333333333333331"/>
    <n v="0.33333333333333331"/>
  </r>
  <r>
    <n v="1402"/>
    <n v="10209"/>
    <x v="1010"/>
    <x v="7"/>
    <s v="Medium"/>
    <n v="14"/>
    <n v="461.55"/>
    <n v="0.09"/>
    <s v="Regular Air"/>
    <n v="-12"/>
    <n v="33.979999999999997"/>
    <n v="19.989999999999998"/>
    <x v="339"/>
    <x v="7"/>
    <x v="2"/>
    <x v="2"/>
    <x v="2"/>
    <x v="4"/>
    <x v="90"/>
    <s v="Small Box"/>
    <n v="0.55000000000000004"/>
    <d v="2010-11-29T00:00:00"/>
    <n v="0"/>
    <n v="0"/>
    <n v="0.5"/>
    <n v="0.5"/>
  </r>
  <r>
    <n v="1425"/>
    <n v="10338"/>
    <x v="455"/>
    <x v="2"/>
    <s v="Not Specified"/>
    <n v="9"/>
    <n v="799.98"/>
    <n v="0.04"/>
    <s v="Delivery Truck"/>
    <n v="15.36"/>
    <n v="90.97"/>
    <n v="14"/>
    <x v="339"/>
    <x v="7"/>
    <x v="2"/>
    <x v="2"/>
    <x v="1"/>
    <x v="16"/>
    <x v="603"/>
    <s v="Jumbo Drum"/>
    <n v="0.36"/>
    <d v="2011-07-16T00:00:00"/>
    <n v="0"/>
    <n v="0"/>
    <n v="0.5"/>
    <n v="0.5"/>
  </r>
  <r>
    <n v="1485"/>
    <n v="10688"/>
    <x v="145"/>
    <x v="20"/>
    <s v="Medium"/>
    <n v="14"/>
    <n v="618.84"/>
    <n v="0.05"/>
    <s v="Regular Air"/>
    <n v="-200.84"/>
    <n v="41.47"/>
    <n v="34.200000000000003"/>
    <x v="340"/>
    <x v="7"/>
    <x v="2"/>
    <x v="2"/>
    <x v="2"/>
    <x v="4"/>
    <x v="147"/>
    <s v="Wrap Bag"/>
    <n v="0.73"/>
    <d v="2012-05-13T00:00:00"/>
    <n v="0"/>
    <n v="0"/>
    <n v="1"/>
    <n v="1"/>
  </r>
  <r>
    <n v="1553"/>
    <n v="11206"/>
    <x v="861"/>
    <x v="47"/>
    <s v="Low"/>
    <n v="6"/>
    <n v="177.67"/>
    <n v="0.03"/>
    <s v="Regular Air"/>
    <n v="39.626999999999995"/>
    <n v="28.53"/>
    <n v="1.49"/>
    <x v="338"/>
    <x v="7"/>
    <x v="2"/>
    <x v="0"/>
    <x v="0"/>
    <x v="2"/>
    <x v="257"/>
    <s v="Small Box"/>
    <n v="0.38"/>
    <d v="2010-01-01T00:00:00"/>
    <n v="0"/>
    <n v="0"/>
    <n v="0.5"/>
    <n v="0.5"/>
  </r>
  <r>
    <n v="1601"/>
    <n v="11585"/>
    <x v="689"/>
    <x v="28"/>
    <s v="Medium"/>
    <n v="2"/>
    <n v="200.75300000000001"/>
    <n v="0.09"/>
    <s v="Regular Air"/>
    <n v="-605.37400000000002"/>
    <n v="125.99"/>
    <n v="8.99"/>
    <x v="341"/>
    <x v="7"/>
    <x v="2"/>
    <x v="1"/>
    <x v="1"/>
    <x v="3"/>
    <x v="628"/>
    <s v="Small Box"/>
    <n v="0.55000000000000004"/>
    <d v="2009-03-16T00:00:00"/>
    <n v="0"/>
    <n v="0"/>
    <n v="0.5"/>
    <n v="0.5"/>
  </r>
  <r>
    <n v="1796"/>
    <n v="12868"/>
    <x v="495"/>
    <x v="5"/>
    <s v="Critical"/>
    <n v="2"/>
    <n v="9.3699999999999992"/>
    <n v="0.09"/>
    <s v="Regular Air"/>
    <n v="-5.26"/>
    <n v="4.4800000000000004"/>
    <n v="1.22"/>
    <x v="342"/>
    <x v="7"/>
    <x v="2"/>
    <x v="1"/>
    <x v="0"/>
    <x v="5"/>
    <x v="115"/>
    <s v="Wrap Bag"/>
    <n v="0.36"/>
    <d v="2011-03-03T00:00:00"/>
    <n v="0"/>
    <n v="0"/>
    <n v="0.5"/>
    <n v="0.5"/>
  </r>
  <r>
    <n v="1994"/>
    <n v="14215"/>
    <x v="709"/>
    <x v="29"/>
    <s v="Medium"/>
    <n v="44"/>
    <n v="2277.0300000000002"/>
    <n v="7.0000000000000007E-2"/>
    <s v="Regular Air"/>
    <n v="964.1"/>
    <n v="55.48"/>
    <n v="6.79"/>
    <x v="336"/>
    <x v="7"/>
    <x v="2"/>
    <x v="3"/>
    <x v="0"/>
    <x v="5"/>
    <x v="812"/>
    <s v="Small Box"/>
    <n v="0.37"/>
    <d v="2012-07-14T00:00:00"/>
    <n v="0"/>
    <n v="0"/>
    <n v="1"/>
    <n v="1"/>
  </r>
  <r>
    <n v="2053"/>
    <n v="14662"/>
    <x v="47"/>
    <x v="27"/>
    <s v="High"/>
    <n v="24"/>
    <n v="39.69"/>
    <n v="0.05"/>
    <s v="Regular Air"/>
    <n v="-1.78"/>
    <n v="1.68"/>
    <n v="1"/>
    <x v="336"/>
    <x v="7"/>
    <x v="2"/>
    <x v="2"/>
    <x v="0"/>
    <x v="12"/>
    <x v="1054"/>
    <s v="Wrap Bag"/>
    <n v="0.35"/>
    <d v="2011-11-17T00:00:00"/>
    <n v="0"/>
    <n v="0"/>
    <n v="0.33333333333333331"/>
    <n v="0.25"/>
  </r>
  <r>
    <n v="2059"/>
    <n v="14727"/>
    <x v="572"/>
    <x v="29"/>
    <s v="Medium"/>
    <n v="50"/>
    <n v="8532.152"/>
    <n v="0.04"/>
    <s v="Delivery Truck"/>
    <n v="-513.79042000000004"/>
    <n v="212.6"/>
    <n v="52.2"/>
    <x v="343"/>
    <x v="7"/>
    <x v="2"/>
    <x v="0"/>
    <x v="2"/>
    <x v="10"/>
    <x v="763"/>
    <s v="Jumbo Box"/>
    <n v="0.64"/>
    <d v="2012-07-22T00:00:00"/>
    <n v="0"/>
    <n v="0"/>
    <n v="0.5"/>
    <n v="0.5"/>
  </r>
  <r>
    <n v="2191"/>
    <n v="15781"/>
    <x v="961"/>
    <x v="34"/>
    <s v="High"/>
    <n v="29"/>
    <n v="824.51"/>
    <n v="0.01"/>
    <s v="Regular Air"/>
    <n v="0.89999999999998437"/>
    <n v="27.48"/>
    <n v="4"/>
    <x v="344"/>
    <x v="7"/>
    <x v="2"/>
    <x v="3"/>
    <x v="1"/>
    <x v="7"/>
    <x v="593"/>
    <s v="Small Box"/>
    <n v="0.75"/>
    <d v="2012-09-04T00:00:00"/>
    <n v="0"/>
    <n v="0"/>
    <n v="1"/>
    <n v="1"/>
  </r>
  <r>
    <n v="2370"/>
    <n v="17157"/>
    <x v="73"/>
    <x v="34"/>
    <s v="Low"/>
    <n v="31"/>
    <n v="3081.471"/>
    <n v="0.09"/>
    <s v="Regular Air"/>
    <n v="574.98299999999995"/>
    <n v="125.99"/>
    <n v="4.2"/>
    <x v="110"/>
    <x v="7"/>
    <x v="2"/>
    <x v="2"/>
    <x v="1"/>
    <x v="3"/>
    <x v="1052"/>
    <s v="Small Box"/>
    <n v="0.56999999999999995"/>
    <d v="2012-09-23T00:00:00"/>
    <n v="0"/>
    <n v="0"/>
    <n v="1"/>
    <n v="1"/>
  </r>
  <r>
    <n v="2447"/>
    <n v="17795"/>
    <x v="1000"/>
    <x v="46"/>
    <s v="Medium"/>
    <n v="1"/>
    <n v="17.62"/>
    <n v="0.06"/>
    <s v="Regular Air"/>
    <n v="-15.92"/>
    <n v="11.33"/>
    <n v="6.12"/>
    <x v="345"/>
    <x v="7"/>
    <x v="2"/>
    <x v="0"/>
    <x v="0"/>
    <x v="1"/>
    <x v="876"/>
    <s v="Medium Box"/>
    <n v="0.42"/>
    <d v="2009-04-03T00:00:00"/>
    <n v="0"/>
    <n v="0"/>
    <n v="1"/>
    <n v="1"/>
  </r>
  <r>
    <n v="2832"/>
    <n v="20449"/>
    <x v="974"/>
    <x v="38"/>
    <s v="Medium"/>
    <n v="19"/>
    <n v="1216.5"/>
    <n v="0.1"/>
    <s v="Regular Air"/>
    <n v="162.18"/>
    <n v="67.28"/>
    <n v="19.989999999999998"/>
    <x v="346"/>
    <x v="7"/>
    <x v="2"/>
    <x v="0"/>
    <x v="0"/>
    <x v="2"/>
    <x v="490"/>
    <s v="Small Box"/>
    <n v="0.4"/>
    <d v="2010-01-04T00:00:00"/>
    <n v="1"/>
    <n v="0"/>
    <n v="1"/>
    <n v="1"/>
  </r>
  <r>
    <n v="3054"/>
    <n v="21890"/>
    <x v="541"/>
    <x v="16"/>
    <s v="Not Specified"/>
    <n v="27"/>
    <n v="81.900000000000006"/>
    <n v="0.01"/>
    <s v="Regular Air"/>
    <n v="4.0599999999999996"/>
    <n v="2.94"/>
    <n v="0.96"/>
    <x v="297"/>
    <x v="7"/>
    <x v="2"/>
    <x v="0"/>
    <x v="0"/>
    <x v="12"/>
    <x v="361"/>
    <s v="Wrap Bag"/>
    <n v="0.57999999999999996"/>
    <d v="2011-01-26T00:00:00"/>
    <n v="0"/>
    <n v="0"/>
    <n v="0.5"/>
    <n v="0.5"/>
  </r>
  <r>
    <n v="3071"/>
    <n v="22020"/>
    <x v="1011"/>
    <x v="39"/>
    <s v="Critical"/>
    <n v="37"/>
    <n v="498.28"/>
    <n v="0.01"/>
    <s v="Regular Air"/>
    <n v="10.18"/>
    <n v="13.48"/>
    <n v="4.51"/>
    <x v="347"/>
    <x v="7"/>
    <x v="2"/>
    <x v="2"/>
    <x v="0"/>
    <x v="0"/>
    <x v="27"/>
    <s v="Small Box"/>
    <n v="0.59"/>
    <d v="2010-05-18T00:00:00"/>
    <n v="0"/>
    <n v="0"/>
    <n v="1"/>
    <n v="1"/>
  </r>
  <r>
    <n v="3087"/>
    <n v="22149"/>
    <x v="968"/>
    <x v="31"/>
    <s v="Low"/>
    <n v="47"/>
    <n v="191.13"/>
    <n v="7.0000000000000007E-2"/>
    <s v="Regular Air"/>
    <n v="38.11"/>
    <n v="4.26"/>
    <n v="1.2"/>
    <x v="343"/>
    <x v="7"/>
    <x v="2"/>
    <x v="0"/>
    <x v="0"/>
    <x v="12"/>
    <x v="678"/>
    <s v="Wrap Bag"/>
    <n v="0.44"/>
    <d v="2011-09-25T00:00:00"/>
    <n v="0"/>
    <n v="0"/>
    <n v="0.5"/>
    <n v="0.25"/>
  </r>
  <r>
    <n v="3216"/>
    <n v="23078"/>
    <x v="339"/>
    <x v="31"/>
    <s v="Medium"/>
    <n v="18"/>
    <n v="168.95"/>
    <n v="0.1"/>
    <s v="Regular Air"/>
    <n v="-15.9"/>
    <n v="9.7799999999999994"/>
    <n v="5.76"/>
    <x v="348"/>
    <x v="7"/>
    <x v="2"/>
    <x v="1"/>
    <x v="0"/>
    <x v="8"/>
    <x v="430"/>
    <s v="Small Box"/>
    <n v="0.35"/>
    <d v="2011-09-15T00:00:00"/>
    <n v="0"/>
    <n v="0"/>
    <n v="0.33333333333333331"/>
    <n v="0.33333333333333331"/>
  </r>
  <r>
    <n v="3306"/>
    <n v="23619"/>
    <x v="237"/>
    <x v="45"/>
    <s v="Medium"/>
    <n v="7"/>
    <n v="1043.1199999999999"/>
    <n v="0.06"/>
    <s v="Regular Air"/>
    <n v="-52.495799999999953"/>
    <n v="150.97999999999999"/>
    <n v="13.99"/>
    <x v="346"/>
    <x v="7"/>
    <x v="2"/>
    <x v="0"/>
    <x v="1"/>
    <x v="16"/>
    <x v="221"/>
    <s v="Medium Box"/>
    <n v="0.38"/>
    <d v="2012-12-22T00:00:00"/>
    <n v="0"/>
    <n v="0"/>
    <n v="0.33333333333333331"/>
    <n v="0.25"/>
  </r>
  <r>
    <n v="3351"/>
    <n v="24003"/>
    <x v="1012"/>
    <x v="19"/>
    <s v="Critical"/>
    <n v="49"/>
    <n v="87.44"/>
    <n v="0.06"/>
    <s v="Regular Air"/>
    <n v="1.33"/>
    <n v="1.76"/>
    <n v="0.7"/>
    <x v="349"/>
    <x v="7"/>
    <x v="2"/>
    <x v="2"/>
    <x v="0"/>
    <x v="12"/>
    <x v="263"/>
    <s v="Wrap Bag"/>
    <n v="0.56000000000000005"/>
    <d v="2009-11-02T00:00:00"/>
    <n v="0"/>
    <n v="0"/>
    <n v="0.25"/>
    <n v="0.25"/>
  </r>
  <r>
    <n v="3352"/>
    <n v="24003"/>
    <x v="1012"/>
    <x v="19"/>
    <s v="Critical"/>
    <n v="50"/>
    <n v="1318.49"/>
    <n v="0.02"/>
    <s v="Regular Air"/>
    <n v="4.6900000000000004"/>
    <n v="24.98"/>
    <n v="8.7899999999999991"/>
    <x v="349"/>
    <x v="7"/>
    <x v="2"/>
    <x v="2"/>
    <x v="0"/>
    <x v="0"/>
    <x v="1055"/>
    <s v="Small Box"/>
    <n v="0.66"/>
    <d v="2009-11-01T00:00:00"/>
    <n v="0"/>
    <n v="0"/>
    <n v="0.25"/>
    <n v="0.25"/>
  </r>
  <r>
    <n v="3564"/>
    <n v="25442"/>
    <x v="505"/>
    <x v="23"/>
    <s v="High"/>
    <n v="32"/>
    <n v="1666"/>
    <n v="0.08"/>
    <s v="Regular Air"/>
    <n v="742.96"/>
    <n v="55.48"/>
    <n v="4.8499999999999996"/>
    <x v="350"/>
    <x v="7"/>
    <x v="2"/>
    <x v="3"/>
    <x v="0"/>
    <x v="5"/>
    <x v="1056"/>
    <s v="Small Box"/>
    <n v="0.37"/>
    <d v="2012-01-07T00:00:00"/>
    <n v="0"/>
    <n v="0"/>
    <n v="0.5"/>
    <n v="0.5"/>
  </r>
  <r>
    <n v="3630"/>
    <n v="25927"/>
    <x v="336"/>
    <x v="46"/>
    <s v="Medium"/>
    <n v="43"/>
    <n v="945.9"/>
    <n v="0.08"/>
    <s v="Regular Air"/>
    <n v="105.7"/>
    <n v="22.01"/>
    <n v="5.53"/>
    <x v="110"/>
    <x v="7"/>
    <x v="2"/>
    <x v="2"/>
    <x v="0"/>
    <x v="12"/>
    <x v="869"/>
    <s v="Small Pack"/>
    <n v="0.59"/>
    <d v="2009-04-24T00:00:00"/>
    <n v="0"/>
    <n v="0"/>
    <n v="0.5"/>
    <n v="0.5"/>
  </r>
  <r>
    <n v="3664"/>
    <n v="26243"/>
    <x v="1013"/>
    <x v="2"/>
    <s v="Low"/>
    <n v="42"/>
    <n v="71.319999999999993"/>
    <n v="0.08"/>
    <s v="Regular Air"/>
    <n v="-4.9000000000000004"/>
    <n v="1.82"/>
    <n v="1"/>
    <x v="351"/>
    <x v="7"/>
    <x v="2"/>
    <x v="2"/>
    <x v="0"/>
    <x v="12"/>
    <x v="1057"/>
    <s v="Wrap Bag"/>
    <n v="0.4"/>
    <d v="2011-07-20T00:00:00"/>
    <n v="0"/>
    <n v="0"/>
    <n v="1"/>
    <n v="1"/>
  </r>
  <r>
    <n v="3997"/>
    <n v="28515"/>
    <x v="1014"/>
    <x v="30"/>
    <s v="High"/>
    <n v="33"/>
    <n v="750.86"/>
    <n v="0"/>
    <s v="Regular Air"/>
    <n v="302.12400000000002"/>
    <n v="21.38"/>
    <n v="2.99"/>
    <x v="81"/>
    <x v="7"/>
    <x v="2"/>
    <x v="2"/>
    <x v="0"/>
    <x v="2"/>
    <x v="954"/>
    <s v="Small Box"/>
    <n v="0.36"/>
    <d v="2010-07-01T00:00:00"/>
    <n v="0"/>
    <n v="0"/>
    <n v="0.5"/>
    <n v="0.5"/>
  </r>
  <r>
    <n v="4180"/>
    <n v="29667"/>
    <x v="513"/>
    <x v="36"/>
    <s v="Not Specified"/>
    <n v="14"/>
    <n v="215.31"/>
    <n v="0.09"/>
    <s v="Regular Air"/>
    <n v="-51.75"/>
    <n v="15.28"/>
    <n v="10.91"/>
    <x v="352"/>
    <x v="7"/>
    <x v="2"/>
    <x v="2"/>
    <x v="0"/>
    <x v="2"/>
    <x v="419"/>
    <s v="Small Box"/>
    <n v="0.36"/>
    <d v="2009-07-25T00:00:00"/>
    <n v="0"/>
    <n v="0"/>
    <n v="1"/>
    <n v="1"/>
  </r>
  <r>
    <n v="4226"/>
    <n v="30023"/>
    <x v="187"/>
    <x v="0"/>
    <s v="Low"/>
    <n v="14"/>
    <n v="157.33000000000001"/>
    <n v="0.1"/>
    <s v="Regular Air"/>
    <n v="-76.34"/>
    <n v="11.35"/>
    <n v="8.6"/>
    <x v="353"/>
    <x v="7"/>
    <x v="2"/>
    <x v="1"/>
    <x v="0"/>
    <x v="0"/>
    <x v="789"/>
    <s v="Small Box"/>
    <n v="0.56999999999999995"/>
    <d v="2010-10-24T00:00:00"/>
    <n v="0"/>
    <n v="0"/>
    <n v="0.25"/>
    <n v="0.25"/>
  </r>
  <r>
    <n v="4248"/>
    <n v="30215"/>
    <x v="799"/>
    <x v="40"/>
    <s v="Medium"/>
    <n v="20"/>
    <n v="125.84"/>
    <n v="0.1"/>
    <s v="Regular Air"/>
    <n v="18.420000000000002"/>
    <n v="6.88"/>
    <n v="2"/>
    <x v="354"/>
    <x v="7"/>
    <x v="2"/>
    <x v="3"/>
    <x v="0"/>
    <x v="5"/>
    <x v="810"/>
    <s v="Wrap Bag"/>
    <n v="0.39"/>
    <d v="2009-02-27T00:00:00"/>
    <n v="0"/>
    <n v="0"/>
    <n v="0.5"/>
    <n v="0.5"/>
  </r>
  <r>
    <n v="4468"/>
    <n v="31845"/>
    <x v="972"/>
    <x v="1"/>
    <s v="Low"/>
    <n v="11"/>
    <n v="114.55"/>
    <n v="0.05"/>
    <s v="Regular Air"/>
    <n v="28.61"/>
    <n v="10.06"/>
    <n v="2.06"/>
    <x v="355"/>
    <x v="7"/>
    <x v="2"/>
    <x v="2"/>
    <x v="0"/>
    <x v="5"/>
    <x v="456"/>
    <s v="Wrap Bag"/>
    <n v="0.39"/>
    <d v="2012-10-29T00:00:00"/>
    <n v="0"/>
    <n v="0"/>
    <n v="0.5"/>
    <n v="0.5"/>
  </r>
  <r>
    <n v="4638"/>
    <n v="32999"/>
    <x v="1015"/>
    <x v="46"/>
    <s v="Low"/>
    <n v="14"/>
    <n v="1386.65"/>
    <n v="0.09"/>
    <s v="Delivery Truck"/>
    <n v="-193.58"/>
    <n v="100.98"/>
    <n v="35.840000000000003"/>
    <x v="344"/>
    <x v="7"/>
    <x v="2"/>
    <x v="3"/>
    <x v="2"/>
    <x v="9"/>
    <x v="550"/>
    <s v="Jumbo Box"/>
    <n v="0.62"/>
    <d v="2009-04-19T00:00:00"/>
    <n v="0"/>
    <n v="0"/>
    <n v="1"/>
    <n v="1"/>
  </r>
  <r>
    <n v="5013"/>
    <n v="35777"/>
    <x v="1016"/>
    <x v="18"/>
    <s v="Critical"/>
    <n v="35"/>
    <n v="136.72"/>
    <n v="0.09"/>
    <s v="Regular Air"/>
    <n v="5.91"/>
    <n v="4.13"/>
    <n v="1.23"/>
    <x v="356"/>
    <x v="7"/>
    <x v="2"/>
    <x v="3"/>
    <x v="0"/>
    <x v="12"/>
    <x v="1058"/>
    <s v="Wrap Bag"/>
    <n v="0.55000000000000004"/>
    <d v="2010-09-10T00:00:00"/>
    <n v="0"/>
    <n v="0"/>
    <n v="1"/>
    <n v="1"/>
  </r>
  <r>
    <n v="5052"/>
    <n v="36005"/>
    <x v="638"/>
    <x v="18"/>
    <s v="Low"/>
    <n v="1"/>
    <n v="29.65"/>
    <n v="0.05"/>
    <s v="Express Air"/>
    <n v="-16.54"/>
    <n v="14.98"/>
    <n v="7.69"/>
    <x v="357"/>
    <x v="7"/>
    <x v="2"/>
    <x v="0"/>
    <x v="0"/>
    <x v="0"/>
    <x v="932"/>
    <s v="Small Box"/>
    <n v="0.56999999999999995"/>
    <d v="2010-09-21T00:00:00"/>
    <n v="0"/>
    <n v="0"/>
    <n v="1"/>
    <n v="1"/>
  </r>
  <r>
    <n v="5080"/>
    <n v="36196"/>
    <x v="1017"/>
    <x v="21"/>
    <s v="Not Specified"/>
    <n v="6"/>
    <n v="62.03"/>
    <n v="0.09"/>
    <s v="Regular Air"/>
    <n v="17.309999999999999"/>
    <n v="9.77"/>
    <n v="6.02"/>
    <x v="358"/>
    <x v="7"/>
    <x v="2"/>
    <x v="1"/>
    <x v="2"/>
    <x v="4"/>
    <x v="321"/>
    <s v="Medium Box"/>
    <n v="0.48"/>
    <d v="2011-08-07T00:00:00"/>
    <n v="0"/>
    <n v="0"/>
    <n v="0.5"/>
    <n v="0.5"/>
  </r>
  <r>
    <n v="5084"/>
    <n v="36230"/>
    <x v="823"/>
    <x v="41"/>
    <s v="High"/>
    <n v="7"/>
    <n v="57.03"/>
    <n v="0"/>
    <s v="Regular Air"/>
    <n v="-31.38"/>
    <n v="7.28"/>
    <n v="3.52"/>
    <x v="359"/>
    <x v="7"/>
    <x v="2"/>
    <x v="0"/>
    <x v="1"/>
    <x v="7"/>
    <x v="570"/>
    <s v="Small Pack"/>
    <n v="0.68"/>
    <d v="2009-06-10T00:00:00"/>
    <n v="0"/>
    <n v="0"/>
    <n v="1"/>
    <n v="1"/>
  </r>
  <r>
    <n v="5093"/>
    <n v="36294"/>
    <x v="573"/>
    <x v="9"/>
    <s v="Medium"/>
    <n v="46"/>
    <n v="611.16"/>
    <n v="0.04"/>
    <s v="Regular Air"/>
    <n v="100.215"/>
    <n v="12.95"/>
    <n v="4.9800000000000004"/>
    <x v="360"/>
    <x v="7"/>
    <x v="2"/>
    <x v="2"/>
    <x v="0"/>
    <x v="2"/>
    <x v="169"/>
    <s v="Small Box"/>
    <n v="0.4"/>
    <d v="2012-08-22T00:00:00"/>
    <n v="0"/>
    <n v="0"/>
    <n v="1"/>
    <n v="1"/>
  </r>
  <r>
    <n v="5158"/>
    <n v="36737"/>
    <x v="914"/>
    <x v="14"/>
    <s v="Not Specified"/>
    <n v="26"/>
    <n v="1462.1614999999999"/>
    <n v="0.03"/>
    <s v="Regular Air"/>
    <n v="215.43299999999999"/>
    <n v="65.989999999999995"/>
    <n v="5.99"/>
    <x v="347"/>
    <x v="7"/>
    <x v="2"/>
    <x v="1"/>
    <x v="1"/>
    <x v="3"/>
    <x v="421"/>
    <s v="Small Box"/>
    <n v="0.57999999999999996"/>
    <d v="2010-03-16T00:00:00"/>
    <n v="0"/>
    <n v="0"/>
    <n v="0.33333333333333331"/>
    <n v="0.33333333333333331"/>
  </r>
  <r>
    <n v="5241"/>
    <n v="37287"/>
    <x v="279"/>
    <x v="32"/>
    <s v="Low"/>
    <n v="45"/>
    <n v="130.25"/>
    <n v="0.05"/>
    <s v="Regular Air"/>
    <n v="0.89"/>
    <n v="2.98"/>
    <n v="1.58"/>
    <x v="361"/>
    <x v="7"/>
    <x v="2"/>
    <x v="2"/>
    <x v="0"/>
    <x v="6"/>
    <x v="958"/>
    <s v="Wrap Bag"/>
    <n v="0.39"/>
    <d v="2012-11-06T00:00:00"/>
    <n v="0"/>
    <n v="0"/>
    <n v="0.33333333333333331"/>
    <n v="0.33333333333333331"/>
  </r>
  <r>
    <n v="5323"/>
    <n v="37831"/>
    <x v="993"/>
    <x v="29"/>
    <s v="Not Specified"/>
    <n v="30"/>
    <n v="453.87"/>
    <n v="0.08"/>
    <s v="Regular Air"/>
    <n v="76.59"/>
    <n v="15.98"/>
    <n v="4"/>
    <x v="362"/>
    <x v="7"/>
    <x v="2"/>
    <x v="2"/>
    <x v="1"/>
    <x v="7"/>
    <x v="404"/>
    <s v="Small Box"/>
    <n v="0.37"/>
    <d v="2012-07-28T00:00:00"/>
    <n v="0"/>
    <n v="0"/>
    <n v="1"/>
    <n v="1"/>
  </r>
  <r>
    <n v="5400"/>
    <n v="38372"/>
    <x v="812"/>
    <x v="39"/>
    <s v="High"/>
    <n v="33"/>
    <n v="310.99"/>
    <n v="7.0000000000000007E-2"/>
    <s v="Regular Air"/>
    <n v="106.45"/>
    <n v="9.68"/>
    <n v="2.0299999999999998"/>
    <x v="363"/>
    <x v="7"/>
    <x v="2"/>
    <x v="1"/>
    <x v="0"/>
    <x v="5"/>
    <x v="849"/>
    <s v="Wrap Bag"/>
    <n v="0.37"/>
    <d v="2010-05-16T00:00:00"/>
    <n v="0"/>
    <n v="0"/>
    <n v="0.5"/>
    <n v="0.5"/>
  </r>
  <r>
    <n v="5478"/>
    <n v="38912"/>
    <x v="671"/>
    <x v="1"/>
    <s v="Low"/>
    <n v="26"/>
    <n v="1514.9634999999998"/>
    <n v="0.02"/>
    <s v="Regular Air"/>
    <n v="310.185"/>
    <n v="65.989999999999995"/>
    <n v="4.99"/>
    <x v="364"/>
    <x v="7"/>
    <x v="2"/>
    <x v="2"/>
    <x v="1"/>
    <x v="3"/>
    <x v="539"/>
    <s v="Small Box"/>
    <n v="0.56999999999999995"/>
    <d v="2012-11-04T00:00:00"/>
    <n v="0"/>
    <n v="0"/>
    <n v="0.5"/>
    <n v="0.5"/>
  </r>
  <r>
    <n v="5504"/>
    <n v="39040"/>
    <x v="883"/>
    <x v="43"/>
    <s v="Critical"/>
    <n v="7"/>
    <n v="19.36"/>
    <n v="0.04"/>
    <s v="Express Air"/>
    <n v="-1"/>
    <n v="1.98"/>
    <n v="0.7"/>
    <x v="352"/>
    <x v="7"/>
    <x v="2"/>
    <x v="2"/>
    <x v="0"/>
    <x v="6"/>
    <x v="846"/>
    <s v="Wrap Bag"/>
    <n v="0.83"/>
    <d v="2009-05-22T00:00:00"/>
    <n v="0"/>
    <n v="0"/>
    <n v="0.5"/>
    <n v="0.5"/>
  </r>
  <r>
    <n v="5761"/>
    <n v="40896"/>
    <x v="163"/>
    <x v="31"/>
    <s v="Not Specified"/>
    <n v="21"/>
    <n v="155.72999999999999"/>
    <n v="0.03"/>
    <s v="Express Air"/>
    <n v="42.86"/>
    <n v="7.4"/>
    <n v="1.71"/>
    <x v="365"/>
    <x v="7"/>
    <x v="2"/>
    <x v="2"/>
    <x v="0"/>
    <x v="5"/>
    <x v="677"/>
    <s v="Wrap Bag"/>
    <n v="0.4"/>
    <d v="2011-09-03T00:00:00"/>
    <n v="0"/>
    <n v="0"/>
    <n v="1"/>
    <n v="1"/>
  </r>
  <r>
    <n v="5776"/>
    <n v="40994"/>
    <x v="1018"/>
    <x v="1"/>
    <s v="High"/>
    <n v="42"/>
    <n v="793.04"/>
    <n v="0.1"/>
    <s v="Regular Air"/>
    <n v="323.07650000000001"/>
    <n v="20.98"/>
    <n v="1.49"/>
    <x v="366"/>
    <x v="7"/>
    <x v="2"/>
    <x v="0"/>
    <x v="0"/>
    <x v="2"/>
    <x v="498"/>
    <s v="Small Box"/>
    <n v="0.35"/>
    <d v="2012-10-11T00:00:00"/>
    <n v="0"/>
    <n v="0"/>
    <n v="1"/>
    <n v="1"/>
  </r>
  <r>
    <n v="5864"/>
    <n v="41607"/>
    <x v="354"/>
    <x v="47"/>
    <s v="Medium"/>
    <n v="36"/>
    <n v="4115.74"/>
    <n v="0.1"/>
    <s v="Regular Air"/>
    <n v="1719.4735000000001"/>
    <n v="120.98"/>
    <n v="9.07"/>
    <x v="339"/>
    <x v="7"/>
    <x v="2"/>
    <x v="2"/>
    <x v="0"/>
    <x v="2"/>
    <x v="352"/>
    <s v="Small Box"/>
    <n v="0.35"/>
    <d v="2009-12-21T00:00:00"/>
    <n v="0"/>
    <n v="0"/>
    <n v="1"/>
    <n v="1"/>
  </r>
  <r>
    <n v="5874"/>
    <n v="41666"/>
    <x v="146"/>
    <x v="33"/>
    <s v="Medium"/>
    <n v="26"/>
    <n v="596.15599999999995"/>
    <n v="0.1"/>
    <s v="Express Air"/>
    <n v="-97.921999999999997"/>
    <n v="28.99"/>
    <n v="8.59"/>
    <x v="367"/>
    <x v="7"/>
    <x v="2"/>
    <x v="0"/>
    <x v="1"/>
    <x v="3"/>
    <x v="382"/>
    <s v="Medium Box"/>
    <n v="0.56000000000000005"/>
    <d v="2012-03-04T00:00:00"/>
    <n v="0"/>
    <n v="0"/>
    <n v="1"/>
    <n v="1"/>
  </r>
  <r>
    <n v="5961"/>
    <n v="42306"/>
    <x v="1019"/>
    <x v="34"/>
    <s v="High"/>
    <n v="18"/>
    <n v="47.4"/>
    <n v="0.03"/>
    <s v="Regular Air"/>
    <n v="-63.03"/>
    <n v="2.2799999999999998"/>
    <n v="5.2"/>
    <x v="368"/>
    <x v="7"/>
    <x v="2"/>
    <x v="1"/>
    <x v="0"/>
    <x v="12"/>
    <x v="1059"/>
    <s v="Wrap Bag"/>
    <n v="0.41"/>
    <d v="2012-09-16T00:00:00"/>
    <n v="0"/>
    <n v="0"/>
    <n v="0.33333333333333331"/>
    <n v="0.33333333333333331"/>
  </r>
  <r>
    <n v="5994"/>
    <n v="42469"/>
    <x v="963"/>
    <x v="32"/>
    <s v="Not Specified"/>
    <n v="31"/>
    <n v="934.87"/>
    <n v="0.09"/>
    <s v="Regular Air"/>
    <n v="98.6935"/>
    <n v="31.74"/>
    <n v="12.62"/>
    <x v="369"/>
    <x v="7"/>
    <x v="2"/>
    <x v="1"/>
    <x v="0"/>
    <x v="2"/>
    <x v="920"/>
    <s v="Small Box"/>
    <n v="0.37"/>
    <d v="2012-11-09T00:00:00"/>
    <n v="0"/>
    <n v="0"/>
    <n v="0.5"/>
    <n v="0.25"/>
  </r>
  <r>
    <n v="6002"/>
    <n v="42528"/>
    <x v="1020"/>
    <x v="6"/>
    <s v="Medium"/>
    <n v="46"/>
    <n v="161.28"/>
    <n v="0.01"/>
    <s v="Regular Air"/>
    <n v="56.73"/>
    <n v="3.49"/>
    <n v="0.76"/>
    <x v="370"/>
    <x v="7"/>
    <x v="2"/>
    <x v="1"/>
    <x v="0"/>
    <x v="6"/>
    <x v="937"/>
    <s v="Wrap Bag"/>
    <n v="0.39"/>
    <d v="2010-02-25T00:00:00"/>
    <n v="0"/>
    <n v="0"/>
    <n v="0.2"/>
    <n v="0.2"/>
  </r>
  <r>
    <n v="6049"/>
    <n v="42884"/>
    <x v="14"/>
    <x v="14"/>
    <s v="Not Specified"/>
    <n v="29"/>
    <n v="12098.87"/>
    <n v="0.04"/>
    <s v="Delivery Truck"/>
    <n v="-969.0483660000001"/>
    <n v="400.98"/>
    <n v="42.52"/>
    <x v="369"/>
    <x v="7"/>
    <x v="2"/>
    <x v="1"/>
    <x v="2"/>
    <x v="10"/>
    <x v="861"/>
    <s v="Jumbo Box"/>
    <n v="0.71"/>
    <d v="2010-03-12T00:00:00"/>
    <n v="0"/>
    <n v="0"/>
    <n v="1"/>
    <n v="0.5"/>
  </r>
  <r>
    <n v="6116"/>
    <n v="43302"/>
    <x v="1021"/>
    <x v="21"/>
    <s v="Low"/>
    <n v="4"/>
    <n v="8.8699999999999992"/>
    <n v="0.09"/>
    <s v="Regular Air"/>
    <n v="-5.14"/>
    <n v="1.95"/>
    <n v="1.63"/>
    <x v="355"/>
    <x v="7"/>
    <x v="2"/>
    <x v="2"/>
    <x v="0"/>
    <x v="12"/>
    <x v="1060"/>
    <s v="Wrap Bag"/>
    <n v="0.46"/>
    <d v="2011-09-01T00:00:00"/>
    <n v="0"/>
    <n v="0"/>
    <n v="0.33333333333333331"/>
    <n v="0.33333333333333331"/>
  </r>
  <r>
    <n v="6137"/>
    <n v="43460"/>
    <x v="246"/>
    <x v="8"/>
    <s v="Medium"/>
    <n v="2"/>
    <n v="25.09"/>
    <n v="7.0000000000000007E-2"/>
    <s v="Regular Air"/>
    <n v="-17.594999999999999"/>
    <n v="8.0399999999999991"/>
    <n v="8.94"/>
    <x v="352"/>
    <x v="7"/>
    <x v="2"/>
    <x v="2"/>
    <x v="0"/>
    <x v="2"/>
    <x v="401"/>
    <s v="Small Box"/>
    <n v="0.4"/>
    <d v="2012-06-12T00:00:00"/>
    <n v="0"/>
    <n v="0"/>
    <n v="1"/>
    <n v="1"/>
  </r>
  <r>
    <n v="6206"/>
    <n v="43972"/>
    <x v="254"/>
    <x v="14"/>
    <s v="Low"/>
    <n v="12"/>
    <n v="714.39099999999996"/>
    <n v="0"/>
    <s v="Regular Air"/>
    <n v="-62.325999999999993"/>
    <n v="65.989999999999995"/>
    <n v="8.99"/>
    <x v="371"/>
    <x v="7"/>
    <x v="2"/>
    <x v="1"/>
    <x v="1"/>
    <x v="3"/>
    <x v="304"/>
    <s v="Small Box"/>
    <n v="0.57999999999999996"/>
    <d v="2010-03-18T00:00:00"/>
    <n v="0"/>
    <n v="0"/>
    <n v="1"/>
    <n v="1"/>
  </r>
  <r>
    <n v="6211"/>
    <n v="44000"/>
    <x v="720"/>
    <x v="1"/>
    <s v="Not Specified"/>
    <n v="15"/>
    <n v="502.8"/>
    <n v="0"/>
    <s v="Regular Air"/>
    <n v="-19.100000000000001"/>
    <n v="30.98"/>
    <n v="19.510000000000002"/>
    <x v="349"/>
    <x v="7"/>
    <x v="2"/>
    <x v="0"/>
    <x v="0"/>
    <x v="8"/>
    <x v="1061"/>
    <s v="Small Box"/>
    <n v="0.36"/>
    <d v="2012-10-04T00:00:00"/>
    <n v="0"/>
    <n v="0"/>
    <n v="0.25"/>
    <n v="0.25"/>
  </r>
  <r>
    <n v="6488"/>
    <n v="46177"/>
    <x v="112"/>
    <x v="15"/>
    <s v="Low"/>
    <n v="33"/>
    <n v="468.46"/>
    <n v="0.01"/>
    <s v="Regular Air"/>
    <n v="-292.7"/>
    <n v="12.99"/>
    <n v="14.37"/>
    <x v="110"/>
    <x v="7"/>
    <x v="2"/>
    <x v="2"/>
    <x v="2"/>
    <x v="4"/>
    <x v="856"/>
    <s v="Large Box"/>
    <n v="0.73"/>
    <d v="2010-12-05T00:00:00"/>
    <n v="0"/>
    <n v="0"/>
    <n v="0.33333333333333331"/>
    <n v="0.33333333333333331"/>
  </r>
  <r>
    <n v="6773"/>
    <n v="48226"/>
    <x v="132"/>
    <x v="22"/>
    <s v="Low"/>
    <n v="23"/>
    <n v="2357.4499999999998"/>
    <n v="0.02"/>
    <s v="Delivery Truck"/>
    <n v="-108.8"/>
    <n v="100.98"/>
    <n v="35.840000000000003"/>
    <x v="367"/>
    <x v="7"/>
    <x v="2"/>
    <x v="0"/>
    <x v="2"/>
    <x v="9"/>
    <x v="550"/>
    <s v="Jumbo Box"/>
    <n v="0.62"/>
    <d v="2009-01-06T00:00:00"/>
    <n v="0"/>
    <n v="1"/>
    <n v="1"/>
    <n v="1"/>
  </r>
  <r>
    <n v="6803"/>
    <n v="48455"/>
    <x v="1022"/>
    <x v="41"/>
    <s v="Critical"/>
    <n v="34"/>
    <n v="817.53"/>
    <n v="0.03"/>
    <s v="Regular Air"/>
    <n v="76.63"/>
    <n v="22.84"/>
    <n v="11.54"/>
    <x v="297"/>
    <x v="7"/>
    <x v="2"/>
    <x v="0"/>
    <x v="0"/>
    <x v="5"/>
    <x v="1062"/>
    <s v="Small Box"/>
    <n v="0.39"/>
    <d v="2009-06-03T00:00:00"/>
    <n v="0"/>
    <n v="0"/>
    <n v="0.33333333333333331"/>
    <n v="0.33333333333333331"/>
  </r>
  <r>
    <n v="6866"/>
    <n v="48929"/>
    <x v="1023"/>
    <x v="19"/>
    <s v="High"/>
    <n v="1"/>
    <n v="55.43"/>
    <n v="0.01"/>
    <s v="Regular Air"/>
    <n v="-48.91"/>
    <n v="35.44"/>
    <n v="19.989999999999998"/>
    <x v="372"/>
    <x v="7"/>
    <x v="2"/>
    <x v="0"/>
    <x v="0"/>
    <x v="5"/>
    <x v="1063"/>
    <s v="Small Box"/>
    <n v="0.38"/>
    <d v="2009-10-23T00:00:00"/>
    <n v="0"/>
    <n v="0"/>
    <n v="0.5"/>
    <n v="0.5"/>
  </r>
  <r>
    <n v="6875"/>
    <n v="48994"/>
    <x v="596"/>
    <x v="0"/>
    <s v="Not Specified"/>
    <n v="6"/>
    <n v="1086.3900000000001"/>
    <n v="0.03"/>
    <s v="Regular Air"/>
    <n v="-311.23"/>
    <n v="167.27"/>
    <n v="35"/>
    <x v="358"/>
    <x v="7"/>
    <x v="2"/>
    <x v="1"/>
    <x v="0"/>
    <x v="0"/>
    <x v="758"/>
    <s v="Large Box"/>
    <n v="0.85"/>
    <d v="2010-10-24T00:00:00"/>
    <n v="0"/>
    <n v="0"/>
    <n v="1"/>
    <n v="1"/>
  </r>
  <r>
    <n v="7164"/>
    <n v="51111"/>
    <x v="1024"/>
    <x v="12"/>
    <s v="Not Specified"/>
    <n v="1"/>
    <n v="61.097999999999992"/>
    <n v="0.02"/>
    <s v="Regular Air"/>
    <n v="-257.71899999999999"/>
    <n v="65.989999999999995"/>
    <n v="5.92"/>
    <x v="373"/>
    <x v="7"/>
    <x v="2"/>
    <x v="3"/>
    <x v="1"/>
    <x v="3"/>
    <x v="237"/>
    <s v="Small Box"/>
    <n v="0.55000000000000004"/>
    <d v="2012-02-11T00:00:00"/>
    <n v="0"/>
    <n v="0"/>
    <n v="1"/>
    <n v="1"/>
  </r>
  <r>
    <n v="7740"/>
    <n v="55425"/>
    <x v="966"/>
    <x v="27"/>
    <s v="Critical"/>
    <n v="42"/>
    <n v="4373.8535000000002"/>
    <n v="0.04"/>
    <s v="Express Air"/>
    <n v="963.67499999999995"/>
    <n v="125.99"/>
    <n v="7.69"/>
    <x v="374"/>
    <x v="7"/>
    <x v="2"/>
    <x v="2"/>
    <x v="1"/>
    <x v="3"/>
    <x v="658"/>
    <s v="Small Box"/>
    <n v="0.59"/>
    <d v="2011-11-02T00:00:00"/>
    <n v="0"/>
    <n v="0"/>
    <n v="0.33333333333333331"/>
    <n v="0.33333333333333331"/>
  </r>
  <r>
    <n v="7803"/>
    <n v="55815"/>
    <x v="690"/>
    <x v="16"/>
    <s v="High"/>
    <n v="28"/>
    <n v="2860.19"/>
    <n v="0.04"/>
    <s v="Express Air"/>
    <n v="458.4"/>
    <n v="105.29"/>
    <n v="10.119999999999999"/>
    <x v="362"/>
    <x v="7"/>
    <x v="2"/>
    <x v="2"/>
    <x v="2"/>
    <x v="4"/>
    <x v="1064"/>
    <s v="Large Box"/>
    <n v="0.79"/>
    <d v="2011-01-14T00:00:00"/>
    <n v="0"/>
    <n v="0"/>
    <n v="1"/>
    <n v="1"/>
  </r>
  <r>
    <n v="7827"/>
    <n v="55940"/>
    <x v="478"/>
    <x v="46"/>
    <s v="Not Specified"/>
    <n v="29"/>
    <n v="2925.78"/>
    <n v="0.03"/>
    <s v="Regular Air"/>
    <n v="1041.29"/>
    <n v="100.98"/>
    <n v="7.18"/>
    <x v="309"/>
    <x v="7"/>
    <x v="2"/>
    <x v="2"/>
    <x v="1"/>
    <x v="7"/>
    <x v="495"/>
    <s v="Small Box"/>
    <n v="0.4"/>
    <d v="2009-04-30T00:00:00"/>
    <n v="0"/>
    <n v="0"/>
    <n v="1"/>
    <n v="1"/>
  </r>
  <r>
    <n v="7858"/>
    <n v="56166"/>
    <x v="136"/>
    <x v="3"/>
    <s v="Critical"/>
    <n v="1"/>
    <n v="142.24"/>
    <n v="0.08"/>
    <s v="Delivery Truck"/>
    <n v="-62.19"/>
    <n v="100.89"/>
    <n v="42"/>
    <x v="375"/>
    <x v="7"/>
    <x v="2"/>
    <x v="1"/>
    <x v="2"/>
    <x v="14"/>
    <x v="541"/>
    <s v="Jumbo Drum"/>
    <n v="0.61"/>
    <d v="2010-08-05T00:00:00"/>
    <n v="0"/>
    <n v="0"/>
    <n v="0.5"/>
    <n v="0.5"/>
  </r>
  <r>
    <n v="8080"/>
    <n v="57638"/>
    <x v="301"/>
    <x v="13"/>
    <s v="Low"/>
    <n v="49"/>
    <n v="570.42999999999995"/>
    <n v="7.0000000000000007E-2"/>
    <s v="Regular Air"/>
    <n v="78.89"/>
    <n v="11.48"/>
    <n v="5.43"/>
    <x v="358"/>
    <x v="7"/>
    <x v="2"/>
    <x v="1"/>
    <x v="0"/>
    <x v="5"/>
    <x v="56"/>
    <s v="Small Box"/>
    <n v="0.36"/>
    <d v="2012-04-24T00:00:00"/>
    <n v="0"/>
    <n v="0"/>
    <n v="0.33333333333333331"/>
    <n v="0.33333333333333331"/>
  </r>
  <r>
    <n v="8081"/>
    <n v="57638"/>
    <x v="301"/>
    <x v="13"/>
    <s v="Low"/>
    <n v="49"/>
    <n v="100.08"/>
    <n v="0.08"/>
    <s v="Regular Air"/>
    <n v="-85.58"/>
    <n v="2.08"/>
    <n v="2.56"/>
    <x v="358"/>
    <x v="7"/>
    <x v="2"/>
    <x v="1"/>
    <x v="0"/>
    <x v="15"/>
    <x v="583"/>
    <s v="Small Pack"/>
    <n v="0.55000000000000004"/>
    <d v="2012-04-24T00:00:00"/>
    <n v="0"/>
    <n v="0"/>
    <n v="0.33333333333333331"/>
    <n v="0.33333333333333331"/>
  </r>
  <r>
    <n v="8109"/>
    <n v="57890"/>
    <x v="799"/>
    <x v="40"/>
    <s v="Critical"/>
    <n v="15"/>
    <n v="803.04"/>
    <n v="0.08"/>
    <s v="Regular Air"/>
    <n v="282.32"/>
    <n v="55.48"/>
    <n v="6.79"/>
    <x v="376"/>
    <x v="7"/>
    <x v="2"/>
    <x v="3"/>
    <x v="0"/>
    <x v="5"/>
    <x v="812"/>
    <s v="Small Box"/>
    <n v="0.37"/>
    <d v="2009-02-28T00:00:00"/>
    <n v="0"/>
    <n v="0"/>
    <n v="1"/>
    <n v="1"/>
  </r>
  <r>
    <n v="327"/>
    <n v="2244"/>
    <x v="1025"/>
    <x v="38"/>
    <s v="Critical"/>
    <n v="19"/>
    <n v="88.61"/>
    <n v="0.01"/>
    <s v="Express Air"/>
    <n v="21.471"/>
    <n v="3.8"/>
    <n v="1.49"/>
    <x v="377"/>
    <x v="5"/>
    <x v="2"/>
    <x v="1"/>
    <x v="0"/>
    <x v="2"/>
    <x v="160"/>
    <s v="Small Box"/>
    <n v="0.38"/>
    <d v="2010-01-10T00:00:00"/>
    <n v="1"/>
    <n v="0"/>
    <n v="1"/>
    <n v="0.33333333333333331"/>
  </r>
  <r>
    <n v="455"/>
    <n v="3104"/>
    <x v="437"/>
    <x v="18"/>
    <s v="Medium"/>
    <n v="50"/>
    <n v="336.06"/>
    <n v="0.01"/>
    <s v="Regular Air"/>
    <n v="-240.78"/>
    <n v="6.48"/>
    <n v="8.8800000000000008"/>
    <x v="378"/>
    <x v="5"/>
    <x v="2"/>
    <x v="1"/>
    <x v="0"/>
    <x v="5"/>
    <x v="117"/>
    <s v="Small Box"/>
    <n v="0.37"/>
    <d v="2010-09-17T00:00:00"/>
    <n v="0"/>
    <n v="0"/>
    <n v="0.5"/>
    <n v="0.5"/>
  </r>
  <r>
    <n v="456"/>
    <n v="3104"/>
    <x v="437"/>
    <x v="18"/>
    <s v="Medium"/>
    <n v="24"/>
    <n v="380.38"/>
    <n v="0.06"/>
    <s v="Express Air"/>
    <n v="7.29"/>
    <n v="15.94"/>
    <n v="5.45"/>
    <x v="378"/>
    <x v="5"/>
    <x v="2"/>
    <x v="1"/>
    <x v="0"/>
    <x v="12"/>
    <x v="344"/>
    <s v="Small Pack"/>
    <n v="0.55000000000000004"/>
    <d v="2010-09-15T00:00:00"/>
    <n v="0"/>
    <n v="0"/>
    <n v="0.5"/>
    <n v="0.5"/>
  </r>
  <r>
    <n v="860"/>
    <n v="6179"/>
    <x v="1022"/>
    <x v="41"/>
    <s v="Not Specified"/>
    <n v="50"/>
    <n v="477.53"/>
    <n v="0.09"/>
    <s v="Regular Air"/>
    <n v="197.76"/>
    <n v="9.7799999999999994"/>
    <n v="1.39"/>
    <x v="377"/>
    <x v="5"/>
    <x v="2"/>
    <x v="1"/>
    <x v="0"/>
    <x v="8"/>
    <x v="430"/>
    <s v="Small Box"/>
    <n v="0.39"/>
    <d v="2009-06-03T00:00:00"/>
    <n v="0"/>
    <n v="0"/>
    <n v="0.5"/>
    <n v="0.5"/>
  </r>
  <r>
    <n v="861"/>
    <n v="6179"/>
    <x v="1022"/>
    <x v="41"/>
    <s v="Not Specified"/>
    <n v="15"/>
    <n v="2690.7514999999999"/>
    <n v="0"/>
    <s v="Regular Air"/>
    <n v="234.61199999999999"/>
    <n v="200.99"/>
    <n v="8.08"/>
    <x v="377"/>
    <x v="5"/>
    <x v="2"/>
    <x v="1"/>
    <x v="1"/>
    <x v="3"/>
    <x v="103"/>
    <s v="Small Box"/>
    <n v="0.59"/>
    <d v="2009-06-04T00:00:00"/>
    <n v="0"/>
    <n v="0"/>
    <n v="0.5"/>
    <n v="0.5"/>
  </r>
  <r>
    <n v="1624"/>
    <n v="11747"/>
    <x v="1008"/>
    <x v="6"/>
    <s v="Medium"/>
    <n v="3"/>
    <n v="315.27999999999997"/>
    <n v="0.08"/>
    <s v="Regular Air"/>
    <n v="-261.54809999999998"/>
    <n v="99.99"/>
    <n v="19.989999999999998"/>
    <x v="378"/>
    <x v="5"/>
    <x v="2"/>
    <x v="1"/>
    <x v="1"/>
    <x v="16"/>
    <x v="284"/>
    <s v="Small Box"/>
    <n v="0.52"/>
    <d v="2010-02-25T00:00:00"/>
    <n v="0"/>
    <n v="0"/>
    <n v="1"/>
    <n v="1"/>
  </r>
  <r>
    <n v="1646"/>
    <n v="11877"/>
    <x v="1026"/>
    <x v="39"/>
    <s v="Not Specified"/>
    <n v="19"/>
    <n v="796.14"/>
    <n v="0.03"/>
    <s v="Regular Air"/>
    <n v="320.0675"/>
    <n v="41.94"/>
    <n v="2.99"/>
    <x v="378"/>
    <x v="5"/>
    <x v="2"/>
    <x v="1"/>
    <x v="0"/>
    <x v="2"/>
    <x v="246"/>
    <s v="Small Box"/>
    <n v="0.35"/>
    <d v="2010-05-24T00:00:00"/>
    <n v="0"/>
    <n v="0"/>
    <n v="0.5"/>
    <n v="0.5"/>
  </r>
  <r>
    <n v="1647"/>
    <n v="11877"/>
    <x v="1026"/>
    <x v="39"/>
    <s v="Not Specified"/>
    <n v="31"/>
    <n v="142.96"/>
    <n v="0.09"/>
    <s v="Regular Air"/>
    <n v="33.590000000000003"/>
    <n v="4.7300000000000004"/>
    <n v="1.52"/>
    <x v="378"/>
    <x v="5"/>
    <x v="2"/>
    <x v="1"/>
    <x v="0"/>
    <x v="5"/>
    <x v="1065"/>
    <s v="Wrap Bag"/>
    <n v="0.36"/>
    <d v="2010-05-25T00:00:00"/>
    <n v="0"/>
    <n v="0"/>
    <n v="0.5"/>
    <n v="0.5"/>
  </r>
  <r>
    <n v="2139"/>
    <n v="15271"/>
    <x v="456"/>
    <x v="42"/>
    <s v="Critical"/>
    <n v="18"/>
    <n v="2389.3000000000002"/>
    <n v="0.01"/>
    <s v="Regular Air"/>
    <n v="589.38"/>
    <n v="128.24"/>
    <n v="12.65"/>
    <x v="377"/>
    <x v="5"/>
    <x v="2"/>
    <x v="1"/>
    <x v="2"/>
    <x v="14"/>
    <x v="410"/>
    <s v="Medium Box"/>
    <m/>
    <d v="2010-07-25T00:00:00"/>
    <n v="0"/>
    <n v="0"/>
    <n v="0.5"/>
    <n v="0.5"/>
  </r>
  <r>
    <n v="2140"/>
    <n v="15271"/>
    <x v="456"/>
    <x v="42"/>
    <s v="Critical"/>
    <n v="7"/>
    <n v="222.25800000000001"/>
    <n v="0.03"/>
    <s v="Regular Air"/>
    <n v="-77.901999999999987"/>
    <n v="35.99"/>
    <n v="1.25"/>
    <x v="377"/>
    <x v="5"/>
    <x v="2"/>
    <x v="1"/>
    <x v="1"/>
    <x v="3"/>
    <x v="542"/>
    <s v="Small Pack"/>
    <n v="0.56999999999999995"/>
    <d v="2010-07-25T00:00:00"/>
    <n v="0"/>
    <n v="0"/>
    <n v="0.5"/>
    <n v="0.5"/>
  </r>
  <r>
    <n v="3142"/>
    <n v="22561"/>
    <x v="1027"/>
    <x v="16"/>
    <s v="Critical"/>
    <n v="7"/>
    <n v="128.62"/>
    <n v="7.0000000000000007E-2"/>
    <s v="Regular Air"/>
    <n v="-27.78"/>
    <n v="17.670000000000002"/>
    <n v="8.99"/>
    <x v="378"/>
    <x v="5"/>
    <x v="2"/>
    <x v="1"/>
    <x v="2"/>
    <x v="4"/>
    <x v="594"/>
    <s v="Small Pack"/>
    <n v="0.47"/>
    <d v="2011-01-22T00:00:00"/>
    <n v="0"/>
    <n v="0"/>
    <n v="0.33333333333333331"/>
    <n v="0.33333333333333331"/>
  </r>
  <r>
    <n v="3143"/>
    <n v="22561"/>
    <x v="1027"/>
    <x v="16"/>
    <s v="Critical"/>
    <n v="50"/>
    <n v="424"/>
    <n v="0.03"/>
    <s v="Regular Air"/>
    <n v="-19.77"/>
    <n v="8.67"/>
    <n v="3.5"/>
    <x v="378"/>
    <x v="5"/>
    <x v="2"/>
    <x v="1"/>
    <x v="0"/>
    <x v="1"/>
    <x v="855"/>
    <s v="Small Box"/>
    <n v="0.57999999999999996"/>
    <d v="2011-01-22T00:00:00"/>
    <n v="0"/>
    <n v="0"/>
    <n v="0.33333333333333331"/>
    <n v="0.33333333333333331"/>
  </r>
  <r>
    <n v="3144"/>
    <n v="22561"/>
    <x v="1027"/>
    <x v="16"/>
    <s v="Critical"/>
    <n v="5"/>
    <n v="504.79"/>
    <n v="0.03"/>
    <s v="Express Air"/>
    <n v="-245.09"/>
    <n v="99.99"/>
    <n v="19.989999999999998"/>
    <x v="378"/>
    <x v="5"/>
    <x v="2"/>
    <x v="1"/>
    <x v="1"/>
    <x v="7"/>
    <x v="190"/>
    <s v="Small Box"/>
    <n v="0.5"/>
    <d v="2011-01-22T00:00:00"/>
    <n v="0"/>
    <n v="0"/>
    <n v="0.33333333333333331"/>
    <n v="0.33333333333333331"/>
  </r>
  <r>
    <n v="3621"/>
    <n v="25860"/>
    <x v="715"/>
    <x v="38"/>
    <s v="Low"/>
    <n v="9"/>
    <n v="740.2"/>
    <n v="0.05"/>
    <s v="Express Air"/>
    <n v="239.94"/>
    <n v="83.98"/>
    <n v="5.01"/>
    <x v="377"/>
    <x v="5"/>
    <x v="2"/>
    <x v="1"/>
    <x v="0"/>
    <x v="8"/>
    <x v="739"/>
    <s v="Small Box"/>
    <n v="0.38"/>
    <d v="2010-01-04T00:00:00"/>
    <n v="1"/>
    <n v="0"/>
    <n v="0.5"/>
    <n v="0.33333333333333331"/>
  </r>
  <r>
    <n v="3622"/>
    <n v="25860"/>
    <x v="715"/>
    <x v="38"/>
    <s v="Low"/>
    <n v="23"/>
    <n v="1288.7784999999999"/>
    <n v="7.0000000000000007E-2"/>
    <s v="Regular Air"/>
    <n v="-185.88900000000001"/>
    <n v="65.989999999999995"/>
    <n v="19.989999999999998"/>
    <x v="377"/>
    <x v="5"/>
    <x v="2"/>
    <x v="1"/>
    <x v="1"/>
    <x v="3"/>
    <x v="614"/>
    <s v="Small Box"/>
    <n v="0.59"/>
    <d v="2010-01-11T00:00:00"/>
    <n v="1"/>
    <n v="0"/>
    <n v="0.5"/>
    <n v="0.33333333333333331"/>
  </r>
  <r>
    <n v="121"/>
    <n v="775"/>
    <x v="92"/>
    <x v="5"/>
    <s v="Critical"/>
    <n v="35"/>
    <n v="43.57"/>
    <n v="0.1"/>
    <s v="Regular Air"/>
    <n v="-19.170000000000002"/>
    <n v="1.26"/>
    <n v="0.7"/>
    <x v="379"/>
    <x v="5"/>
    <x v="2"/>
    <x v="0"/>
    <x v="0"/>
    <x v="6"/>
    <x v="230"/>
    <s v="Wrap Bag"/>
    <n v="0.81"/>
    <d v="2011-03-18T00:00:00"/>
    <n v="0"/>
    <n v="0"/>
    <n v="0.5"/>
    <n v="0.5"/>
  </r>
  <r>
    <n v="122"/>
    <n v="775"/>
    <x v="92"/>
    <x v="5"/>
    <s v="Critical"/>
    <n v="8"/>
    <n v="31.87"/>
    <n v="0.1"/>
    <s v="Regular Air"/>
    <n v="-1.25"/>
    <n v="4.26"/>
    <n v="1.2"/>
    <x v="379"/>
    <x v="5"/>
    <x v="2"/>
    <x v="0"/>
    <x v="0"/>
    <x v="12"/>
    <x v="678"/>
    <s v="Wrap Bag"/>
    <n v="0.44"/>
    <d v="2011-03-19T00:00:00"/>
    <n v="0"/>
    <n v="0"/>
    <n v="0.5"/>
    <n v="0.5"/>
  </r>
  <r>
    <n v="141"/>
    <n v="900"/>
    <x v="1028"/>
    <x v="35"/>
    <s v="Not Specified"/>
    <n v="29"/>
    <n v="1193.6500000000001"/>
    <n v="7.0000000000000007E-2"/>
    <s v="Regular Air"/>
    <n v="507.57749999999999"/>
    <n v="40.98"/>
    <n v="2.99"/>
    <x v="380"/>
    <x v="5"/>
    <x v="2"/>
    <x v="3"/>
    <x v="0"/>
    <x v="2"/>
    <x v="326"/>
    <s v="Small Box"/>
    <n v="0.36"/>
    <d v="2009-10-01T00:00:00"/>
    <n v="0"/>
    <n v="0"/>
    <n v="1"/>
    <n v="1"/>
  </r>
  <r>
    <n v="154"/>
    <n v="964"/>
    <x v="1029"/>
    <x v="10"/>
    <s v="Medium"/>
    <n v="4"/>
    <n v="40.020000000000003"/>
    <n v="0.02"/>
    <s v="Regular Air"/>
    <n v="-1.28"/>
    <n v="9.93"/>
    <n v="1.0900000000000001"/>
    <x v="381"/>
    <x v="5"/>
    <x v="2"/>
    <x v="2"/>
    <x v="0"/>
    <x v="12"/>
    <x v="800"/>
    <s v="Wrap Bag"/>
    <n v="0.43"/>
    <d v="2011-05-21T00:00:00"/>
    <n v="0"/>
    <n v="0"/>
    <n v="0.5"/>
    <n v="0.25"/>
  </r>
  <r>
    <n v="394"/>
    <n v="2722"/>
    <x v="693"/>
    <x v="46"/>
    <s v="Low"/>
    <n v="46"/>
    <n v="1895.55"/>
    <n v="0.06"/>
    <s v="Regular Air"/>
    <n v="807.62"/>
    <n v="40.97"/>
    <n v="1.99"/>
    <x v="348"/>
    <x v="5"/>
    <x v="2"/>
    <x v="1"/>
    <x v="1"/>
    <x v="7"/>
    <x v="1066"/>
    <s v="Small Pack"/>
    <n v="0.42"/>
    <d v="2009-04-12T00:00:00"/>
    <n v="0"/>
    <n v="0"/>
    <n v="1"/>
    <n v="1"/>
  </r>
  <r>
    <n v="454"/>
    <n v="3078"/>
    <x v="1030"/>
    <x v="6"/>
    <s v="High"/>
    <n v="1"/>
    <n v="316.61"/>
    <n v="0.1"/>
    <s v="Delivery Truck"/>
    <n v="-187.29"/>
    <n v="291.73"/>
    <n v="48.8"/>
    <x v="382"/>
    <x v="5"/>
    <x v="2"/>
    <x v="2"/>
    <x v="2"/>
    <x v="14"/>
    <x v="250"/>
    <s v="Jumbo Drum"/>
    <n v="0.56000000000000005"/>
    <d v="2010-02-13T00:00:00"/>
    <n v="0"/>
    <n v="0"/>
    <n v="0.5"/>
    <n v="0.5"/>
  </r>
  <r>
    <n v="496"/>
    <n v="3456"/>
    <x v="1031"/>
    <x v="39"/>
    <s v="Low"/>
    <n v="20"/>
    <n v="5418.68"/>
    <n v="7.0000000000000007E-2"/>
    <s v="Delivery Truck"/>
    <n v="332.30070000000001"/>
    <n v="280.98"/>
    <n v="35.67"/>
    <x v="350"/>
    <x v="5"/>
    <x v="2"/>
    <x v="0"/>
    <x v="2"/>
    <x v="10"/>
    <x v="398"/>
    <s v="Jumbo Box"/>
    <n v="0.66"/>
    <d v="2010-06-04T00:00:00"/>
    <n v="0"/>
    <n v="0"/>
    <n v="1"/>
    <n v="0.33333333333333331"/>
  </r>
  <r>
    <n v="518"/>
    <n v="3556"/>
    <x v="303"/>
    <x v="34"/>
    <s v="Not Specified"/>
    <n v="48"/>
    <n v="269.37"/>
    <n v="0.05"/>
    <s v="Regular Air"/>
    <n v="-103.54600000000001"/>
    <n v="5.74"/>
    <n v="5.01"/>
    <x v="350"/>
    <x v="5"/>
    <x v="2"/>
    <x v="3"/>
    <x v="0"/>
    <x v="2"/>
    <x v="240"/>
    <s v="Small Box"/>
    <n v="0.39"/>
    <d v="2012-09-25T00:00:00"/>
    <n v="0"/>
    <n v="0"/>
    <n v="0.5"/>
    <n v="0.5"/>
  </r>
  <r>
    <n v="542"/>
    <n v="3654"/>
    <x v="734"/>
    <x v="8"/>
    <s v="Low"/>
    <n v="39"/>
    <n v="7338.79"/>
    <n v="0.03"/>
    <s v="Regular Air"/>
    <n v="4031.62"/>
    <n v="204.1"/>
    <n v="13.99"/>
    <x v="336"/>
    <x v="5"/>
    <x v="2"/>
    <x v="2"/>
    <x v="1"/>
    <x v="16"/>
    <x v="345"/>
    <s v="Medium Box"/>
    <n v="0.37"/>
    <d v="2012-06-07T00:00:00"/>
    <n v="0"/>
    <n v="0"/>
    <n v="0.33333333333333331"/>
    <n v="0.33333333333333331"/>
  </r>
  <r>
    <n v="543"/>
    <n v="3654"/>
    <x v="734"/>
    <x v="8"/>
    <s v="Low"/>
    <n v="47"/>
    <n v="12569.31"/>
    <n v="0.1"/>
    <s v="Delivery Truck"/>
    <n v="3160.63"/>
    <n v="279.81"/>
    <n v="23.19"/>
    <x v="336"/>
    <x v="5"/>
    <x v="2"/>
    <x v="2"/>
    <x v="0"/>
    <x v="1"/>
    <x v="369"/>
    <s v="Jumbo Drum"/>
    <n v="0.59"/>
    <d v="2012-06-02T00:00:00"/>
    <n v="0"/>
    <n v="0"/>
    <n v="0.33333333333333331"/>
    <n v="0.33333333333333331"/>
  </r>
  <r>
    <n v="546"/>
    <n v="3680"/>
    <x v="530"/>
    <x v="45"/>
    <s v="Not Specified"/>
    <n v="27"/>
    <n v="177.95"/>
    <n v="0.09"/>
    <s v="Regular Air"/>
    <n v="-61.75"/>
    <n v="6.48"/>
    <n v="6"/>
    <x v="383"/>
    <x v="5"/>
    <x v="2"/>
    <x v="2"/>
    <x v="0"/>
    <x v="5"/>
    <x v="1067"/>
    <s v="Small Box"/>
    <n v="0.37"/>
    <d v="2012-12-11T00:00:00"/>
    <n v="0"/>
    <n v="0"/>
    <n v="0.5"/>
    <n v="0.25"/>
  </r>
  <r>
    <n v="579"/>
    <n v="3942"/>
    <x v="148"/>
    <x v="30"/>
    <s v="Not Specified"/>
    <n v="11"/>
    <n v="225.14"/>
    <n v="0.08"/>
    <s v="Regular Air"/>
    <n v="-42.61"/>
    <n v="20.149999999999999"/>
    <n v="8.99"/>
    <x v="333"/>
    <x v="5"/>
    <x v="2"/>
    <x v="0"/>
    <x v="0"/>
    <x v="12"/>
    <x v="487"/>
    <s v="Small Pack"/>
    <n v="0.57999999999999996"/>
    <d v="2010-06-28T00:00:00"/>
    <n v="0"/>
    <n v="0"/>
    <n v="0.5"/>
    <n v="0.25"/>
  </r>
  <r>
    <n v="609"/>
    <n v="4162"/>
    <x v="1024"/>
    <x v="12"/>
    <s v="Low"/>
    <n v="2"/>
    <n v="381.6"/>
    <n v="0.1"/>
    <s v="Regular Air"/>
    <n v="-319.02"/>
    <n v="193.17"/>
    <n v="19.989999999999998"/>
    <x v="384"/>
    <x v="5"/>
    <x v="2"/>
    <x v="0"/>
    <x v="0"/>
    <x v="0"/>
    <x v="219"/>
    <s v="Small Box"/>
    <n v="0.71"/>
    <d v="2012-02-13T00:00:00"/>
    <n v="0"/>
    <n v="0"/>
    <n v="1"/>
    <n v="1"/>
  </r>
  <r>
    <n v="699"/>
    <n v="4896"/>
    <x v="1032"/>
    <x v="9"/>
    <s v="Critical"/>
    <n v="25"/>
    <n v="831.52"/>
    <n v="7.0000000000000007E-2"/>
    <s v="Regular Air"/>
    <n v="259.47000000000003"/>
    <n v="35.409999999999997"/>
    <n v="1.99"/>
    <x v="385"/>
    <x v="5"/>
    <x v="2"/>
    <x v="0"/>
    <x v="1"/>
    <x v="7"/>
    <x v="753"/>
    <s v="Small Pack"/>
    <n v="0.43"/>
    <d v="2012-08-21T00:00:00"/>
    <n v="0"/>
    <n v="0"/>
    <n v="0.33333333333333331"/>
    <n v="0.33333333333333331"/>
  </r>
  <r>
    <n v="700"/>
    <n v="4896"/>
    <x v="1032"/>
    <x v="9"/>
    <s v="Critical"/>
    <n v="10"/>
    <n v="1089.8699999999999"/>
    <n v="0.06"/>
    <s v="Express Air"/>
    <n v="-124.509"/>
    <n v="125.99"/>
    <n v="5.99"/>
    <x v="385"/>
    <x v="5"/>
    <x v="2"/>
    <x v="0"/>
    <x v="1"/>
    <x v="3"/>
    <x v="1068"/>
    <s v="Small Box"/>
    <n v="0.56000000000000005"/>
    <d v="2012-08-23T00:00:00"/>
    <n v="0"/>
    <n v="0"/>
    <n v="0.33333333333333331"/>
    <n v="0.33333333333333331"/>
  </r>
  <r>
    <n v="708"/>
    <n v="4965"/>
    <x v="192"/>
    <x v="0"/>
    <s v="Low"/>
    <n v="14"/>
    <n v="1068.79"/>
    <n v="7.0000000000000007E-2"/>
    <s v="Regular Air"/>
    <n v="56.05"/>
    <n v="76.72"/>
    <n v="19.95"/>
    <x v="382"/>
    <x v="5"/>
    <x v="2"/>
    <x v="2"/>
    <x v="0"/>
    <x v="1"/>
    <x v="322"/>
    <s v="Large Box"/>
    <n v="0.54"/>
    <d v="2010-10-20T00:00:00"/>
    <n v="0"/>
    <n v="0"/>
    <n v="0.5"/>
    <n v="0.5"/>
  </r>
  <r>
    <n v="809"/>
    <n v="5830"/>
    <x v="934"/>
    <x v="14"/>
    <s v="Medium"/>
    <n v="49"/>
    <n v="2012.14"/>
    <n v="7.0000000000000007E-2"/>
    <s v="Regular Air"/>
    <n v="241.74"/>
    <n v="40.97"/>
    <n v="14.45"/>
    <x v="386"/>
    <x v="5"/>
    <x v="2"/>
    <x v="2"/>
    <x v="2"/>
    <x v="4"/>
    <x v="194"/>
    <s v="Large Box"/>
    <n v="0.56999999999999995"/>
    <d v="2010-03-25T00:00:00"/>
    <n v="0"/>
    <n v="0"/>
    <n v="1"/>
    <n v="1"/>
  </r>
  <r>
    <n v="852"/>
    <n v="6116"/>
    <x v="41"/>
    <x v="28"/>
    <s v="Medium"/>
    <n v="7"/>
    <n v="150.77000000000001"/>
    <n v="0.01"/>
    <s v="Regular Air"/>
    <n v="-72.23"/>
    <n v="19.98"/>
    <n v="4"/>
    <x v="33"/>
    <x v="5"/>
    <x v="2"/>
    <x v="2"/>
    <x v="1"/>
    <x v="7"/>
    <x v="507"/>
    <s v="Small Box"/>
    <n v="0.68"/>
    <d v="2009-03-20T00:00:00"/>
    <n v="0"/>
    <n v="0"/>
    <n v="0.5"/>
    <n v="0.5"/>
  </r>
  <r>
    <n v="926"/>
    <n v="6695"/>
    <x v="102"/>
    <x v="8"/>
    <s v="Low"/>
    <n v="49"/>
    <n v="295.24"/>
    <n v="0.08"/>
    <s v="Express Air"/>
    <n v="-279.93299999999999"/>
    <n v="5.81"/>
    <n v="8.49"/>
    <x v="337"/>
    <x v="5"/>
    <x v="2"/>
    <x v="2"/>
    <x v="0"/>
    <x v="2"/>
    <x v="106"/>
    <s v="Small Box"/>
    <n v="0.39"/>
    <d v="2012-06-27T00:00:00"/>
    <n v="0"/>
    <n v="0"/>
    <n v="1"/>
    <n v="1"/>
  </r>
  <r>
    <n v="952"/>
    <n v="6885"/>
    <x v="1033"/>
    <x v="8"/>
    <s v="Low"/>
    <n v="4"/>
    <n v="481.27"/>
    <n v="0.02"/>
    <s v="Delivery Truck"/>
    <n v="-181.27"/>
    <n v="113.98"/>
    <n v="30"/>
    <x v="355"/>
    <x v="5"/>
    <x v="2"/>
    <x v="2"/>
    <x v="2"/>
    <x v="14"/>
    <x v="655"/>
    <s v="Jumbo Drum"/>
    <n v="0.69"/>
    <d v="2012-06-21T00:00:00"/>
    <n v="0"/>
    <n v="0"/>
    <n v="0.5"/>
    <n v="0.5"/>
  </r>
  <r>
    <n v="1021"/>
    <n v="7458"/>
    <x v="736"/>
    <x v="13"/>
    <s v="Critical"/>
    <n v="16"/>
    <n v="226.81"/>
    <n v="0.05"/>
    <s v="Regular Air"/>
    <n v="-5.3704999999999998"/>
    <n v="14.45"/>
    <n v="7.17"/>
    <x v="380"/>
    <x v="5"/>
    <x v="2"/>
    <x v="2"/>
    <x v="0"/>
    <x v="2"/>
    <x v="853"/>
    <s v="Small Box"/>
    <n v="0.38"/>
    <d v="2012-04-06T00:00:00"/>
    <n v="0"/>
    <n v="0"/>
    <n v="0.33333333333333331"/>
    <n v="0.33333333333333331"/>
  </r>
  <r>
    <n v="1022"/>
    <n v="7458"/>
    <x v="736"/>
    <x v="13"/>
    <s v="Critical"/>
    <n v="46"/>
    <n v="511.07"/>
    <n v="0.01"/>
    <s v="Regular Air"/>
    <n v="-165.74"/>
    <n v="10.97"/>
    <n v="6.5"/>
    <x v="380"/>
    <x v="5"/>
    <x v="2"/>
    <x v="2"/>
    <x v="1"/>
    <x v="7"/>
    <x v="217"/>
    <s v="Small Box"/>
    <n v="0.64"/>
    <d v="2012-04-05T00:00:00"/>
    <n v="0"/>
    <n v="0"/>
    <n v="0.33333333333333331"/>
    <n v="0.33333333333333331"/>
  </r>
  <r>
    <n v="1202"/>
    <n v="8807"/>
    <x v="1008"/>
    <x v="6"/>
    <s v="Low"/>
    <n v="19"/>
    <n v="428.14"/>
    <n v="0.04"/>
    <s v="Regular Air"/>
    <n v="-6.04"/>
    <n v="22.84"/>
    <n v="11.54"/>
    <x v="337"/>
    <x v="5"/>
    <x v="2"/>
    <x v="1"/>
    <x v="0"/>
    <x v="5"/>
    <x v="1062"/>
    <s v="Small Box"/>
    <n v="0.39"/>
    <d v="2010-02-27T00:00:00"/>
    <n v="0"/>
    <n v="0"/>
    <n v="0.5"/>
    <n v="0.5"/>
  </r>
  <r>
    <n v="1239"/>
    <n v="9024"/>
    <x v="734"/>
    <x v="8"/>
    <s v="Medium"/>
    <n v="44"/>
    <n v="2318.2134999999998"/>
    <n v="7.0000000000000007E-2"/>
    <s v="Regular Air"/>
    <n v="583.74900000000002"/>
    <n v="65.989999999999995"/>
    <n v="2.79"/>
    <x v="387"/>
    <x v="5"/>
    <x v="2"/>
    <x v="3"/>
    <x v="1"/>
    <x v="3"/>
    <x v="694"/>
    <s v="Small Box"/>
    <n v="0.56000000000000005"/>
    <d v="2012-06-02T00:00:00"/>
    <n v="0"/>
    <n v="0"/>
    <n v="0.33333333333333331"/>
    <n v="0.33333333333333331"/>
  </r>
  <r>
    <n v="1309"/>
    <n v="9602"/>
    <x v="547"/>
    <x v="32"/>
    <s v="Critical"/>
    <n v="16"/>
    <n v="36.229999999999997"/>
    <n v="0.02"/>
    <s v="Regular Air"/>
    <n v="-24.87"/>
    <n v="2.12"/>
    <n v="1.99"/>
    <x v="182"/>
    <x v="5"/>
    <x v="2"/>
    <x v="1"/>
    <x v="1"/>
    <x v="7"/>
    <x v="926"/>
    <s v="Small Pack"/>
    <n v="0.55000000000000004"/>
    <d v="2012-11-12T00:00:00"/>
    <n v="0"/>
    <n v="0"/>
    <n v="0.33333333333333331"/>
    <n v="0.33333333333333331"/>
  </r>
  <r>
    <n v="1358"/>
    <n v="9894"/>
    <x v="466"/>
    <x v="28"/>
    <s v="High"/>
    <n v="16"/>
    <n v="5403.75"/>
    <n v="0.08"/>
    <s v="Delivery Truck"/>
    <n v="103.83"/>
    <n v="355.98"/>
    <n v="58.92"/>
    <x v="338"/>
    <x v="5"/>
    <x v="2"/>
    <x v="0"/>
    <x v="2"/>
    <x v="14"/>
    <x v="145"/>
    <s v="Jumbo Drum"/>
    <n v="0.64"/>
    <d v="2009-03-20T00:00:00"/>
    <n v="0"/>
    <n v="0"/>
    <n v="1"/>
    <n v="1"/>
  </r>
  <r>
    <n v="1426"/>
    <n v="10338"/>
    <x v="455"/>
    <x v="2"/>
    <s v="Not Specified"/>
    <n v="7"/>
    <n v="363.57"/>
    <n v="0.02"/>
    <s v="Delivery Truck"/>
    <n v="33.988949999999996"/>
    <n v="44.43"/>
    <n v="46.59"/>
    <x v="339"/>
    <x v="5"/>
    <x v="2"/>
    <x v="2"/>
    <x v="2"/>
    <x v="10"/>
    <x v="1069"/>
    <s v="Jumbo Box"/>
    <n v="0.67"/>
    <d v="2011-07-16T00:00:00"/>
    <n v="0"/>
    <n v="0"/>
    <n v="0.5"/>
    <n v="0.5"/>
  </r>
  <r>
    <n v="1528"/>
    <n v="11011"/>
    <x v="212"/>
    <x v="20"/>
    <s v="High"/>
    <n v="36"/>
    <n v="305.62"/>
    <n v="0.1"/>
    <s v="Regular Air"/>
    <n v="-129.86000000000001"/>
    <n v="8.74"/>
    <n v="8.2899999999999991"/>
    <x v="357"/>
    <x v="5"/>
    <x v="2"/>
    <x v="0"/>
    <x v="0"/>
    <x v="8"/>
    <x v="427"/>
    <s v="Small Box"/>
    <n v="0.38"/>
    <d v="2012-05-14T00:00:00"/>
    <n v="0"/>
    <n v="0"/>
    <n v="0.33333333333333331"/>
    <n v="0.33333333333333331"/>
  </r>
  <r>
    <n v="1564"/>
    <n v="11271"/>
    <x v="929"/>
    <x v="17"/>
    <s v="High"/>
    <n v="46"/>
    <n v="157.87"/>
    <n v="0"/>
    <s v="Regular Air"/>
    <n v="-115.8"/>
    <n v="3.28"/>
    <n v="3.97"/>
    <x v="388"/>
    <x v="5"/>
    <x v="2"/>
    <x v="2"/>
    <x v="0"/>
    <x v="12"/>
    <x v="431"/>
    <s v="Wrap Bag"/>
    <n v="0.56000000000000005"/>
    <d v="2011-10-20T00:00:00"/>
    <n v="0"/>
    <n v="0"/>
    <n v="1"/>
    <n v="1"/>
  </r>
  <r>
    <n v="1665"/>
    <n v="12005"/>
    <x v="801"/>
    <x v="8"/>
    <s v="Not Specified"/>
    <n v="4"/>
    <n v="1660.86"/>
    <n v="0.04"/>
    <s v="Regular Air"/>
    <n v="-164.59"/>
    <n v="415.88"/>
    <n v="11.37"/>
    <x v="363"/>
    <x v="5"/>
    <x v="2"/>
    <x v="3"/>
    <x v="0"/>
    <x v="0"/>
    <x v="236"/>
    <s v="Small Box"/>
    <n v="0.56999999999999995"/>
    <d v="2012-06-26T00:00:00"/>
    <n v="0"/>
    <n v="0"/>
    <n v="1"/>
    <n v="1"/>
  </r>
  <r>
    <n v="1846"/>
    <n v="13284"/>
    <x v="678"/>
    <x v="9"/>
    <s v="High"/>
    <n v="22"/>
    <n v="9062.44"/>
    <n v="0.05"/>
    <s v="Regular Air"/>
    <n v="3858.2774999999997"/>
    <n v="420.98"/>
    <n v="19.989999999999998"/>
    <x v="342"/>
    <x v="5"/>
    <x v="2"/>
    <x v="1"/>
    <x v="0"/>
    <x v="2"/>
    <x v="461"/>
    <s v="Small Box"/>
    <n v="0.35"/>
    <d v="2012-08-13T00:00:00"/>
    <n v="0"/>
    <n v="0"/>
    <n v="0.5"/>
    <n v="0.5"/>
  </r>
  <r>
    <n v="1847"/>
    <n v="13284"/>
    <x v="678"/>
    <x v="9"/>
    <s v="High"/>
    <n v="49"/>
    <n v="1662.57"/>
    <n v="0.1"/>
    <s v="Regular Air"/>
    <n v="674.99350000000004"/>
    <n v="37.700000000000003"/>
    <n v="2.99"/>
    <x v="342"/>
    <x v="5"/>
    <x v="2"/>
    <x v="1"/>
    <x v="0"/>
    <x v="2"/>
    <x v="737"/>
    <s v="Small Box"/>
    <n v="0.35"/>
    <d v="2012-08-13T00:00:00"/>
    <n v="0"/>
    <n v="0"/>
    <n v="0.5"/>
    <n v="0.5"/>
  </r>
  <r>
    <n v="1871"/>
    <n v="13476"/>
    <x v="1034"/>
    <x v="0"/>
    <s v="Not Specified"/>
    <n v="3"/>
    <n v="173.33"/>
    <n v="0.09"/>
    <s v="Regular Air"/>
    <n v="-121.39"/>
    <n v="52.99"/>
    <n v="19.989999999999998"/>
    <x v="304"/>
    <x v="5"/>
    <x v="2"/>
    <x v="3"/>
    <x v="0"/>
    <x v="0"/>
    <x v="575"/>
    <s v="Small Box"/>
    <n v="0.81"/>
    <d v="2010-10-17T00:00:00"/>
    <n v="0"/>
    <n v="0"/>
    <n v="0.33333333333333331"/>
    <n v="0.33333333333333331"/>
  </r>
  <r>
    <n v="1988"/>
    <n v="14182"/>
    <x v="109"/>
    <x v="41"/>
    <s v="Low"/>
    <n v="23"/>
    <n v="2433.5500000000002"/>
    <n v="0.05"/>
    <s v="Regular Air"/>
    <n v="355.93200000000002"/>
    <n v="125.99"/>
    <n v="8.08"/>
    <x v="343"/>
    <x v="5"/>
    <x v="2"/>
    <x v="0"/>
    <x v="1"/>
    <x v="3"/>
    <x v="162"/>
    <s v="Small Box"/>
    <n v="0.56999999999999995"/>
    <d v="2009-06-27T00:00:00"/>
    <n v="0"/>
    <n v="0"/>
    <n v="1"/>
    <n v="1"/>
  </r>
  <r>
    <n v="2015"/>
    <n v="14375"/>
    <x v="509"/>
    <x v="38"/>
    <s v="Medium"/>
    <n v="50"/>
    <n v="3872.38"/>
    <n v="0.1"/>
    <s v="Regular Air"/>
    <n v="1110.3499999999999"/>
    <n v="83.93"/>
    <n v="19.989999999999998"/>
    <x v="110"/>
    <x v="5"/>
    <x v="2"/>
    <x v="2"/>
    <x v="0"/>
    <x v="8"/>
    <x v="639"/>
    <s v="Small Box"/>
    <n v="0.38"/>
    <d v="2010-02-01T00:00:00"/>
    <n v="1"/>
    <n v="0"/>
    <n v="0.5"/>
    <n v="0.5"/>
  </r>
  <r>
    <n v="2036"/>
    <n v="14528"/>
    <x v="1035"/>
    <x v="41"/>
    <s v="Critical"/>
    <n v="14"/>
    <n v="78.44"/>
    <n v="0.09"/>
    <s v="Regular Air"/>
    <n v="11.0245"/>
    <n v="5.98"/>
    <n v="1.49"/>
    <x v="336"/>
    <x v="5"/>
    <x v="2"/>
    <x v="3"/>
    <x v="0"/>
    <x v="2"/>
    <x v="986"/>
    <s v="Small Box"/>
    <n v="0.39"/>
    <d v="2009-06-17T00:00:00"/>
    <n v="0"/>
    <n v="0"/>
    <n v="1"/>
    <n v="1"/>
  </r>
  <r>
    <n v="2052"/>
    <n v="14662"/>
    <x v="47"/>
    <x v="27"/>
    <s v="High"/>
    <n v="48"/>
    <n v="257.75"/>
    <n v="0.02"/>
    <s v="Regular Air"/>
    <n v="-66.260000000000005"/>
    <n v="4.9800000000000004"/>
    <n v="4.75"/>
    <x v="336"/>
    <x v="5"/>
    <x v="2"/>
    <x v="2"/>
    <x v="0"/>
    <x v="5"/>
    <x v="61"/>
    <s v="Small Box"/>
    <n v="0.36"/>
    <d v="2011-11-17T00:00:00"/>
    <n v="0"/>
    <n v="0"/>
    <n v="0.33333333333333331"/>
    <n v="0.25"/>
  </r>
  <r>
    <n v="2054"/>
    <n v="14662"/>
    <x v="47"/>
    <x v="27"/>
    <s v="High"/>
    <n v="48"/>
    <n v="5139.8819999999996"/>
    <n v="0.01"/>
    <s v="Regular Air"/>
    <n v="1275.6690000000001"/>
    <n v="125.99"/>
    <n v="8.99"/>
    <x v="336"/>
    <x v="5"/>
    <x v="2"/>
    <x v="2"/>
    <x v="1"/>
    <x v="3"/>
    <x v="713"/>
    <s v="Small Box"/>
    <n v="0.59"/>
    <d v="2011-11-17T00:00:00"/>
    <n v="0"/>
    <n v="0"/>
    <n v="0.33333333333333331"/>
    <n v="0.25"/>
  </r>
  <r>
    <n v="2100"/>
    <n v="15009"/>
    <x v="905"/>
    <x v="25"/>
    <s v="Not Specified"/>
    <n v="28"/>
    <n v="229.43"/>
    <n v="0.08"/>
    <s v="Express Air"/>
    <n v="61.09"/>
    <n v="7.78"/>
    <n v="2.5"/>
    <x v="389"/>
    <x v="5"/>
    <x v="2"/>
    <x v="0"/>
    <x v="0"/>
    <x v="8"/>
    <x v="826"/>
    <s v="Small Box"/>
    <n v="0.38"/>
    <d v="2011-12-22T00:00:00"/>
    <n v="0"/>
    <n v="0"/>
    <n v="0.5"/>
    <n v="0.5"/>
  </r>
  <r>
    <n v="2167"/>
    <n v="15619"/>
    <x v="1036"/>
    <x v="4"/>
    <s v="Low"/>
    <n v="36"/>
    <n v="123.13"/>
    <n v="0.05"/>
    <s v="Express Air"/>
    <n v="20.57"/>
    <n v="3.29"/>
    <n v="1.35"/>
    <x v="390"/>
    <x v="5"/>
    <x v="2"/>
    <x v="2"/>
    <x v="0"/>
    <x v="6"/>
    <x v="339"/>
    <s v="Wrap Bag"/>
    <n v="0.4"/>
    <d v="2011-07-02T00:00:00"/>
    <n v="0"/>
    <n v="0"/>
    <n v="0.5"/>
    <n v="0.5"/>
  </r>
  <r>
    <n v="2212"/>
    <n v="15971"/>
    <x v="691"/>
    <x v="26"/>
    <s v="High"/>
    <n v="15"/>
    <n v="2172.5149999999999"/>
    <n v="0.06"/>
    <s v="Regular Air"/>
    <n v="32.750999999999998"/>
    <n v="175.99"/>
    <n v="8.99"/>
    <x v="391"/>
    <x v="5"/>
    <x v="2"/>
    <x v="1"/>
    <x v="1"/>
    <x v="3"/>
    <x v="484"/>
    <s v="Small Box"/>
    <n v="0.56999999999999995"/>
    <d v="2009-08-15T00:00:00"/>
    <n v="0"/>
    <n v="0"/>
    <n v="1"/>
    <n v="1"/>
  </r>
  <r>
    <n v="2217"/>
    <n v="16036"/>
    <x v="505"/>
    <x v="23"/>
    <s v="Medium"/>
    <n v="28"/>
    <n v="2160.27"/>
    <n v="0.09"/>
    <s v="Regular Air"/>
    <n v="-818.32"/>
    <n v="80.98"/>
    <n v="35"/>
    <x v="347"/>
    <x v="5"/>
    <x v="2"/>
    <x v="2"/>
    <x v="0"/>
    <x v="0"/>
    <x v="73"/>
    <s v="Large Box"/>
    <n v="0.81"/>
    <d v="2012-01-06T00:00:00"/>
    <n v="0"/>
    <n v="0"/>
    <n v="0.25"/>
    <n v="0.25"/>
  </r>
  <r>
    <n v="2284"/>
    <n v="16452"/>
    <x v="1037"/>
    <x v="9"/>
    <s v="Medium"/>
    <n v="46"/>
    <n v="134.41999999999999"/>
    <n v="0.05"/>
    <s v="Regular Air"/>
    <n v="9.34"/>
    <n v="2.88"/>
    <n v="1.01"/>
    <x v="344"/>
    <x v="5"/>
    <x v="2"/>
    <x v="3"/>
    <x v="0"/>
    <x v="12"/>
    <x v="571"/>
    <s v="Wrap Bag"/>
    <n v="0.55000000000000004"/>
    <d v="2012-08-24T00:00:00"/>
    <n v="0"/>
    <n v="0"/>
    <n v="1"/>
    <n v="1"/>
  </r>
  <r>
    <n v="2299"/>
    <n v="16548"/>
    <x v="888"/>
    <x v="12"/>
    <s v="Not Specified"/>
    <n v="40"/>
    <n v="3028.86"/>
    <n v="0.04"/>
    <s v="Regular Air"/>
    <n v="-2595.6502000000005"/>
    <n v="71.37"/>
    <n v="69"/>
    <x v="344"/>
    <x v="5"/>
    <x v="2"/>
    <x v="1"/>
    <x v="2"/>
    <x v="10"/>
    <x v="17"/>
    <s v="Large Box"/>
    <n v="0.68"/>
    <d v="2012-02-07T00:00:00"/>
    <n v="0"/>
    <n v="0"/>
    <n v="0.5"/>
    <n v="1"/>
  </r>
  <r>
    <n v="2400"/>
    <n v="17408"/>
    <x v="347"/>
    <x v="43"/>
    <s v="Not Specified"/>
    <n v="26"/>
    <n v="149.69999999999999"/>
    <n v="0.05"/>
    <s v="Express Air"/>
    <n v="-132.62950000000001"/>
    <n v="5.4"/>
    <n v="7.78"/>
    <x v="388"/>
    <x v="5"/>
    <x v="2"/>
    <x v="2"/>
    <x v="0"/>
    <x v="2"/>
    <x v="212"/>
    <s v="Small Box"/>
    <n v="0.37"/>
    <d v="2009-05-29T00:00:00"/>
    <n v="0"/>
    <n v="0"/>
    <n v="0.5"/>
    <n v="0.5"/>
  </r>
  <r>
    <n v="2403"/>
    <n v="17410"/>
    <x v="247"/>
    <x v="18"/>
    <s v="Low"/>
    <n v="5"/>
    <n v="284.67349999999999"/>
    <n v="0.04"/>
    <s v="Express Air"/>
    <n v="-247.23599999999999"/>
    <n v="65.989999999999995"/>
    <n v="8.99"/>
    <x v="304"/>
    <x v="5"/>
    <x v="2"/>
    <x v="3"/>
    <x v="1"/>
    <x v="3"/>
    <x v="893"/>
    <s v="Small Box"/>
    <n v="0.56000000000000005"/>
    <d v="2010-09-06T00:00:00"/>
    <n v="0"/>
    <n v="0"/>
    <n v="0.5"/>
    <n v="0.5"/>
  </r>
  <r>
    <n v="2606"/>
    <n v="18849"/>
    <x v="98"/>
    <x v="9"/>
    <s v="High"/>
    <n v="6"/>
    <n v="751.71"/>
    <n v="0.09"/>
    <s v="Regular Air"/>
    <n v="50.83"/>
    <n v="131.12"/>
    <n v="0.99"/>
    <x v="392"/>
    <x v="5"/>
    <x v="2"/>
    <x v="2"/>
    <x v="0"/>
    <x v="1"/>
    <x v="561"/>
    <s v="Small Box"/>
    <n v="0.55000000000000004"/>
    <d v="2012-08-05T00:00:00"/>
    <n v="0"/>
    <n v="0"/>
    <n v="0.33333333333333331"/>
    <n v="0.33333333333333331"/>
  </r>
  <r>
    <n v="2649"/>
    <n v="19174"/>
    <x v="598"/>
    <x v="42"/>
    <s v="Medium"/>
    <n v="35"/>
    <n v="5311.973"/>
    <n v="0.02"/>
    <s v="Regular Air"/>
    <n v="1142.0820000000001"/>
    <n v="179.99"/>
    <n v="13.99"/>
    <x v="357"/>
    <x v="5"/>
    <x v="2"/>
    <x v="0"/>
    <x v="1"/>
    <x v="3"/>
    <x v="223"/>
    <s v="Medium Box"/>
    <n v="0.56999999999999995"/>
    <d v="2010-07-18T00:00:00"/>
    <n v="0"/>
    <n v="0"/>
    <n v="0.25"/>
    <n v="0.25"/>
  </r>
  <r>
    <n v="2650"/>
    <n v="19174"/>
    <x v="598"/>
    <x v="42"/>
    <s v="Medium"/>
    <n v="19"/>
    <n v="1061.905"/>
    <n v="0.06"/>
    <s v="Regular Air"/>
    <n v="152.74799999999999"/>
    <n v="65.989999999999995"/>
    <n v="2.5"/>
    <x v="357"/>
    <x v="5"/>
    <x v="2"/>
    <x v="0"/>
    <x v="1"/>
    <x v="3"/>
    <x v="747"/>
    <s v="Small Box"/>
    <n v="0.56000000000000005"/>
    <d v="2010-07-17T00:00:00"/>
    <n v="0"/>
    <n v="0"/>
    <n v="0.25"/>
    <n v="0.25"/>
  </r>
  <r>
    <n v="2651"/>
    <n v="19174"/>
    <x v="598"/>
    <x v="42"/>
    <s v="Medium"/>
    <n v="48"/>
    <n v="1631.04"/>
    <n v="0"/>
    <s v="Regular Air"/>
    <n v="665.63"/>
    <n v="33.979999999999997"/>
    <n v="1.99"/>
    <x v="357"/>
    <x v="5"/>
    <x v="2"/>
    <x v="0"/>
    <x v="1"/>
    <x v="7"/>
    <x v="1070"/>
    <s v="Small Pack"/>
    <n v="0.45"/>
    <d v="2010-07-18T00:00:00"/>
    <n v="0"/>
    <n v="0"/>
    <n v="0.25"/>
    <n v="0.25"/>
  </r>
  <r>
    <n v="2784"/>
    <n v="20098"/>
    <x v="1038"/>
    <x v="25"/>
    <s v="Medium"/>
    <n v="11"/>
    <n v="183.32"/>
    <n v="0.04"/>
    <s v="Regular Air"/>
    <n v="-61.100100000000005"/>
    <n v="15.99"/>
    <n v="9.4"/>
    <x v="341"/>
    <x v="5"/>
    <x v="2"/>
    <x v="1"/>
    <x v="1"/>
    <x v="16"/>
    <x v="364"/>
    <s v="Small Box"/>
    <n v="0.49"/>
    <d v="2011-12-10T00:00:00"/>
    <n v="0"/>
    <n v="0"/>
    <n v="0.5"/>
    <n v="0.5"/>
  </r>
  <r>
    <n v="2874"/>
    <n v="20711"/>
    <x v="1039"/>
    <x v="22"/>
    <s v="Critical"/>
    <n v="5"/>
    <n v="98.66"/>
    <n v="0.1"/>
    <s v="Regular Air"/>
    <n v="-19.52"/>
    <n v="18.97"/>
    <n v="9.0299999999999994"/>
    <x v="371"/>
    <x v="5"/>
    <x v="2"/>
    <x v="1"/>
    <x v="0"/>
    <x v="5"/>
    <x v="40"/>
    <s v="Small Box"/>
    <n v="0.37"/>
    <d v="2009-01-21T00:00:00"/>
    <n v="0"/>
    <n v="1"/>
    <n v="0.5"/>
    <n v="0.5"/>
  </r>
  <r>
    <n v="2898"/>
    <n v="20932"/>
    <x v="300"/>
    <x v="29"/>
    <s v="High"/>
    <n v="38"/>
    <n v="123.26"/>
    <n v="0.02"/>
    <s v="Regular Air"/>
    <n v="-4.7300000000000004"/>
    <n v="3.26"/>
    <n v="1.86"/>
    <x v="335"/>
    <x v="5"/>
    <x v="2"/>
    <x v="0"/>
    <x v="0"/>
    <x v="12"/>
    <x v="1071"/>
    <s v="Wrap Bag"/>
    <n v="0.41"/>
    <d v="2012-07-31T00:00:00"/>
    <n v="0"/>
    <n v="0"/>
    <n v="1"/>
    <n v="0.5"/>
  </r>
  <r>
    <n v="2943"/>
    <n v="21319"/>
    <x v="36"/>
    <x v="24"/>
    <s v="Medium"/>
    <n v="5"/>
    <n v="2361.1"/>
    <n v="0.01"/>
    <s v="Delivery Truck"/>
    <n v="-1042.7139999999999"/>
    <n v="449.99"/>
    <n v="49"/>
    <x v="341"/>
    <x v="5"/>
    <x v="2"/>
    <x v="1"/>
    <x v="1"/>
    <x v="13"/>
    <x v="26"/>
    <s v="Jumbo Drum"/>
    <n v="0.38"/>
    <d v="2010-04-30T00:00:00"/>
    <n v="0"/>
    <n v="0"/>
    <n v="0.33333333333333331"/>
    <n v="0.33333333333333331"/>
  </r>
  <r>
    <n v="2947"/>
    <n v="21344"/>
    <x v="530"/>
    <x v="45"/>
    <s v="Low"/>
    <n v="48"/>
    <n v="2011.46"/>
    <n v="0.01"/>
    <s v="Regular Air"/>
    <n v="171.07"/>
    <n v="41.32"/>
    <n v="8.66"/>
    <x v="343"/>
    <x v="5"/>
    <x v="2"/>
    <x v="2"/>
    <x v="2"/>
    <x v="4"/>
    <x v="492"/>
    <s v="Medium Box"/>
    <n v="0.76"/>
    <d v="2012-12-16T00:00:00"/>
    <n v="0"/>
    <n v="0"/>
    <n v="0.33333333333333331"/>
    <n v="0.33333333333333331"/>
  </r>
  <r>
    <n v="2980"/>
    <n v="21538"/>
    <x v="114"/>
    <x v="36"/>
    <s v="Medium"/>
    <n v="31"/>
    <n v="87.32"/>
    <n v="0.08"/>
    <s v="Regular Air"/>
    <n v="-1.18"/>
    <n v="2.94"/>
    <n v="0.96"/>
    <x v="393"/>
    <x v="5"/>
    <x v="2"/>
    <x v="0"/>
    <x v="0"/>
    <x v="12"/>
    <x v="361"/>
    <s v="Wrap Bag"/>
    <n v="0.57999999999999996"/>
    <d v="2009-07-29T00:00:00"/>
    <n v="0"/>
    <n v="0"/>
    <n v="1"/>
    <n v="1"/>
  </r>
  <r>
    <n v="2990"/>
    <n v="21574"/>
    <x v="1040"/>
    <x v="38"/>
    <s v="Critical"/>
    <n v="33"/>
    <n v="77.55"/>
    <n v="0"/>
    <s v="Regular Air"/>
    <n v="-37.200000000000003"/>
    <n v="2.12"/>
    <n v="1.99"/>
    <x v="338"/>
    <x v="5"/>
    <x v="2"/>
    <x v="0"/>
    <x v="1"/>
    <x v="7"/>
    <x v="926"/>
    <s v="Small Pack"/>
    <n v="0.55000000000000004"/>
    <d v="2010-01-16T00:00:00"/>
    <n v="1"/>
    <n v="0"/>
    <n v="1"/>
    <n v="0.25"/>
  </r>
  <r>
    <n v="3102"/>
    <n v="22242"/>
    <x v="1035"/>
    <x v="41"/>
    <s v="Not Specified"/>
    <n v="50"/>
    <n v="329.91"/>
    <n v="0.04"/>
    <s v="Regular Air"/>
    <n v="-279.93"/>
    <n v="6.48"/>
    <n v="9.5399999999999991"/>
    <x v="304"/>
    <x v="5"/>
    <x v="2"/>
    <x v="3"/>
    <x v="0"/>
    <x v="5"/>
    <x v="390"/>
    <s v="Small Box"/>
    <n v="0.37"/>
    <d v="2009-06-17T00:00:00"/>
    <n v="0"/>
    <n v="0"/>
    <n v="1"/>
    <n v="1"/>
  </r>
  <r>
    <n v="3215"/>
    <n v="23078"/>
    <x v="339"/>
    <x v="31"/>
    <s v="Medium"/>
    <n v="8"/>
    <n v="342.27"/>
    <n v="0.09"/>
    <s v="Regular Air"/>
    <n v="-17.68"/>
    <n v="40.99"/>
    <n v="19.989999999999998"/>
    <x v="348"/>
    <x v="5"/>
    <x v="2"/>
    <x v="1"/>
    <x v="0"/>
    <x v="5"/>
    <x v="30"/>
    <s v="Small Box"/>
    <n v="0.36"/>
    <d v="2011-09-17T00:00:00"/>
    <n v="0"/>
    <n v="0"/>
    <n v="0.33333333333333331"/>
    <n v="0.33333333333333331"/>
  </r>
  <r>
    <n v="3250"/>
    <n v="23271"/>
    <x v="1041"/>
    <x v="7"/>
    <s v="High"/>
    <n v="1"/>
    <n v="794.58"/>
    <n v="0.09"/>
    <s v="Delivery Truck"/>
    <n v="-1748.3433"/>
    <n v="808.49"/>
    <n v="55.3"/>
    <x v="255"/>
    <x v="5"/>
    <x v="2"/>
    <x v="0"/>
    <x v="1"/>
    <x v="16"/>
    <x v="1072"/>
    <s v="Jumbo Drum"/>
    <n v="0.4"/>
    <d v="2010-11-04T00:00:00"/>
    <n v="0"/>
    <n v="0"/>
    <n v="1"/>
    <n v="1"/>
  </r>
  <r>
    <n v="3280"/>
    <n v="23428"/>
    <x v="671"/>
    <x v="1"/>
    <s v="High"/>
    <n v="41"/>
    <n v="980.95"/>
    <n v="0.02"/>
    <s v="Regular Air"/>
    <n v="234.68"/>
    <n v="22.84"/>
    <n v="8.18"/>
    <x v="394"/>
    <x v="5"/>
    <x v="2"/>
    <x v="0"/>
    <x v="0"/>
    <x v="5"/>
    <x v="1073"/>
    <s v="Small Box"/>
    <n v="0.39"/>
    <d v="2012-10-30T00:00:00"/>
    <n v="0"/>
    <n v="0"/>
    <n v="1"/>
    <n v="1"/>
  </r>
  <r>
    <n v="3307"/>
    <n v="23619"/>
    <x v="237"/>
    <x v="45"/>
    <s v="Medium"/>
    <n v="45"/>
    <n v="285.91000000000003"/>
    <n v="0.02"/>
    <s v="Regular Air"/>
    <n v="-104.99"/>
    <n v="6.24"/>
    <n v="5.22"/>
    <x v="346"/>
    <x v="5"/>
    <x v="2"/>
    <x v="0"/>
    <x v="2"/>
    <x v="4"/>
    <x v="864"/>
    <s v="Small Box"/>
    <n v="0.6"/>
    <d v="2012-12-23T00:00:00"/>
    <n v="0"/>
    <n v="0"/>
    <n v="0.33333333333333331"/>
    <n v="0.25"/>
  </r>
  <r>
    <n v="3308"/>
    <n v="23619"/>
    <x v="237"/>
    <x v="45"/>
    <s v="Medium"/>
    <n v="48"/>
    <n v="2611.8035"/>
    <n v="0.06"/>
    <s v="Regular Air"/>
    <n v="644.81400000000008"/>
    <n v="65.989999999999995"/>
    <n v="5.92"/>
    <x v="346"/>
    <x v="5"/>
    <x v="2"/>
    <x v="0"/>
    <x v="1"/>
    <x v="3"/>
    <x v="237"/>
    <s v="Small Box"/>
    <n v="0.55000000000000004"/>
    <d v="2012-12-24T00:00:00"/>
    <n v="0"/>
    <n v="0"/>
    <n v="0.33333333333333331"/>
    <n v="0.25"/>
  </r>
  <r>
    <n v="3364"/>
    <n v="24067"/>
    <x v="348"/>
    <x v="9"/>
    <s v="High"/>
    <n v="30"/>
    <n v="128.25"/>
    <n v="7.0000000000000007E-2"/>
    <s v="Express Air"/>
    <n v="-95.311999999999998"/>
    <n v="3.98"/>
    <n v="5.26"/>
    <x v="81"/>
    <x v="5"/>
    <x v="2"/>
    <x v="2"/>
    <x v="0"/>
    <x v="2"/>
    <x v="983"/>
    <s v="Small Box"/>
    <n v="0.38"/>
    <d v="2012-08-24T00:00:00"/>
    <n v="0"/>
    <n v="0"/>
    <n v="0.33333333333333331"/>
    <n v="0.33333333333333331"/>
  </r>
  <r>
    <n v="3524"/>
    <n v="25092"/>
    <x v="1042"/>
    <x v="15"/>
    <s v="High"/>
    <n v="6"/>
    <n v="141.27000000000001"/>
    <n v="0.08"/>
    <s v="Express Air"/>
    <n v="28.1435"/>
    <n v="21.38"/>
    <n v="2.99"/>
    <x v="395"/>
    <x v="5"/>
    <x v="2"/>
    <x v="1"/>
    <x v="0"/>
    <x v="2"/>
    <x v="1074"/>
    <s v="Small Box"/>
    <n v="0.37"/>
    <d v="2010-12-03T00:00:00"/>
    <n v="0"/>
    <n v="0"/>
    <n v="0.33333333333333331"/>
    <n v="0.33333333333333331"/>
  </r>
  <r>
    <n v="3525"/>
    <n v="25092"/>
    <x v="1042"/>
    <x v="15"/>
    <s v="High"/>
    <n v="9"/>
    <n v="16.02"/>
    <n v="0.09"/>
    <s v="Regular Air"/>
    <n v="-2.82"/>
    <n v="1.81"/>
    <n v="0.75"/>
    <x v="395"/>
    <x v="5"/>
    <x v="2"/>
    <x v="1"/>
    <x v="0"/>
    <x v="6"/>
    <x v="260"/>
    <s v="Wrap Bag"/>
    <n v="0.52"/>
    <d v="2010-12-03T00:00:00"/>
    <n v="0"/>
    <n v="0"/>
    <n v="0.33333333333333331"/>
    <n v="0.33333333333333331"/>
  </r>
  <r>
    <n v="3546"/>
    <n v="25280"/>
    <x v="345"/>
    <x v="10"/>
    <s v="Not Specified"/>
    <n v="47"/>
    <n v="202.64"/>
    <n v="0.03"/>
    <s v="Regular Air"/>
    <n v="28.75"/>
    <n v="4.13"/>
    <n v="1.17"/>
    <x v="381"/>
    <x v="5"/>
    <x v="2"/>
    <x v="2"/>
    <x v="0"/>
    <x v="12"/>
    <x v="1041"/>
    <s v="Wrap Bag"/>
    <n v="0.56999999999999995"/>
    <d v="2011-05-22T00:00:00"/>
    <n v="0"/>
    <n v="0"/>
    <n v="0.5"/>
    <n v="0.25"/>
  </r>
  <r>
    <n v="3565"/>
    <n v="25442"/>
    <x v="505"/>
    <x v="23"/>
    <s v="High"/>
    <n v="40"/>
    <n v="453.98"/>
    <n v="0.02"/>
    <s v="Regular Air"/>
    <n v="67.599999999999994"/>
    <n v="11.34"/>
    <n v="5.01"/>
    <x v="350"/>
    <x v="5"/>
    <x v="2"/>
    <x v="3"/>
    <x v="0"/>
    <x v="5"/>
    <x v="119"/>
    <s v="Small Box"/>
    <n v="0.36"/>
    <d v="2012-01-07T00:00:00"/>
    <n v="0"/>
    <n v="0"/>
    <n v="0.5"/>
    <n v="0.5"/>
  </r>
  <r>
    <n v="3599"/>
    <n v="25666"/>
    <x v="780"/>
    <x v="34"/>
    <s v="Critical"/>
    <n v="36"/>
    <n v="5072.34"/>
    <n v="0.06"/>
    <s v="Regular Air"/>
    <n v="369.46"/>
    <n v="140.85"/>
    <n v="19.989999999999998"/>
    <x v="182"/>
    <x v="5"/>
    <x v="2"/>
    <x v="1"/>
    <x v="0"/>
    <x v="0"/>
    <x v="405"/>
    <s v="Small Box"/>
    <n v="0.73"/>
    <d v="2012-09-03T00:00:00"/>
    <n v="0"/>
    <n v="0"/>
    <n v="0.5"/>
    <n v="0.5"/>
  </r>
  <r>
    <n v="3600"/>
    <n v="25669"/>
    <x v="343"/>
    <x v="16"/>
    <s v="Critical"/>
    <n v="12"/>
    <n v="45.63"/>
    <n v="0.02"/>
    <s v="Regular Air"/>
    <n v="15.42"/>
    <n v="3.69"/>
    <n v="0.5"/>
    <x v="255"/>
    <x v="5"/>
    <x v="2"/>
    <x v="0"/>
    <x v="0"/>
    <x v="11"/>
    <x v="98"/>
    <s v="Small Box"/>
    <n v="0.38"/>
    <d v="2011-01-16T00:00:00"/>
    <n v="0"/>
    <n v="0"/>
    <n v="1"/>
    <n v="1"/>
  </r>
  <r>
    <n v="3669"/>
    <n v="26276"/>
    <x v="965"/>
    <x v="18"/>
    <s v="Low"/>
    <n v="21"/>
    <n v="3685.38"/>
    <n v="0"/>
    <s v="Express Air"/>
    <n v="1040.6199999999999"/>
    <n v="170.98"/>
    <n v="13.99"/>
    <x v="309"/>
    <x v="5"/>
    <x v="2"/>
    <x v="2"/>
    <x v="2"/>
    <x v="4"/>
    <x v="1075"/>
    <s v="Medium Box"/>
    <n v="0.75"/>
    <d v="2010-09-19T00:00:00"/>
    <n v="0"/>
    <n v="0"/>
    <n v="0.5"/>
    <n v="0.5"/>
  </r>
  <r>
    <n v="3766"/>
    <n v="26912"/>
    <x v="196"/>
    <x v="13"/>
    <s v="Low"/>
    <n v="21"/>
    <n v="1090.1099999999999"/>
    <n v="0.08"/>
    <s v="Regular Air"/>
    <n v="55.870000000000054"/>
    <n v="53.98"/>
    <n v="5.5"/>
    <x v="304"/>
    <x v="5"/>
    <x v="2"/>
    <x v="3"/>
    <x v="1"/>
    <x v="7"/>
    <x v="742"/>
    <s v="Small Box"/>
    <n v="0.62"/>
    <d v="2012-05-06T00:00:00"/>
    <n v="0"/>
    <n v="0"/>
    <n v="0.5"/>
    <n v="0.5"/>
  </r>
  <r>
    <n v="3809"/>
    <n v="27137"/>
    <x v="37"/>
    <x v="25"/>
    <s v="High"/>
    <n v="2"/>
    <n v="60.5625"/>
    <n v="0.02"/>
    <s v="Regular Air"/>
    <n v="-165.53900000000002"/>
    <n v="35.99"/>
    <n v="1.1000000000000001"/>
    <x v="384"/>
    <x v="5"/>
    <x v="2"/>
    <x v="0"/>
    <x v="1"/>
    <x v="3"/>
    <x v="828"/>
    <s v="Small Box"/>
    <n v="0.55000000000000004"/>
    <d v="2012-01-02T00:00:00"/>
    <n v="0"/>
    <n v="0"/>
    <n v="1"/>
    <n v="1"/>
  </r>
  <r>
    <n v="3836"/>
    <n v="27335"/>
    <x v="747"/>
    <x v="7"/>
    <s v="Low"/>
    <n v="23"/>
    <n v="67.47"/>
    <n v="0.03"/>
    <s v="Regular Air"/>
    <n v="-100.6"/>
    <n v="2.66"/>
    <n v="6.35"/>
    <x v="336"/>
    <x v="5"/>
    <x v="2"/>
    <x v="2"/>
    <x v="0"/>
    <x v="8"/>
    <x v="887"/>
    <s v="Small Box"/>
    <n v="0.36"/>
    <d v="2010-11-06T00:00:00"/>
    <n v="0"/>
    <n v="0"/>
    <n v="1"/>
    <n v="1"/>
  </r>
  <r>
    <n v="3846"/>
    <n v="27430"/>
    <x v="407"/>
    <x v="16"/>
    <s v="High"/>
    <n v="3"/>
    <n v="315.27"/>
    <n v="0.08"/>
    <s v="Regular Air"/>
    <n v="278.60000000000002"/>
    <n v="105.98"/>
    <n v="13.99"/>
    <x v="396"/>
    <x v="5"/>
    <x v="2"/>
    <x v="0"/>
    <x v="2"/>
    <x v="4"/>
    <x v="134"/>
    <s v="Medium Box"/>
    <n v="0.65"/>
    <d v="2011-02-01T00:00:00"/>
    <n v="0"/>
    <n v="0"/>
    <n v="0.5"/>
    <n v="0.25"/>
  </r>
  <r>
    <n v="3866"/>
    <n v="27559"/>
    <x v="1043"/>
    <x v="17"/>
    <s v="High"/>
    <n v="38"/>
    <n v="465.9"/>
    <n v="0.05"/>
    <s v="Regular Air"/>
    <n v="79.34"/>
    <n v="12.28"/>
    <n v="4.8600000000000003"/>
    <x v="397"/>
    <x v="5"/>
    <x v="2"/>
    <x v="3"/>
    <x v="0"/>
    <x v="5"/>
    <x v="923"/>
    <s v="Small Box"/>
    <n v="0.38"/>
    <d v="2011-10-31T00:00:00"/>
    <n v="0"/>
    <n v="0"/>
    <n v="1"/>
    <n v="1"/>
  </r>
  <r>
    <n v="4195"/>
    <n v="29797"/>
    <x v="439"/>
    <x v="30"/>
    <s v="High"/>
    <n v="50"/>
    <n v="742.05"/>
    <n v="0.05"/>
    <s v="Regular Air"/>
    <n v="-337.98"/>
    <n v="14.89"/>
    <n v="13.56"/>
    <x v="393"/>
    <x v="5"/>
    <x v="2"/>
    <x v="0"/>
    <x v="2"/>
    <x v="4"/>
    <x v="791"/>
    <s v="Large Box"/>
    <n v="0.57999999999999996"/>
    <d v="2010-06-28T00:00:00"/>
    <n v="0"/>
    <n v="0"/>
    <n v="1"/>
    <n v="0.5"/>
  </r>
  <r>
    <n v="4227"/>
    <n v="30023"/>
    <x v="187"/>
    <x v="0"/>
    <s v="Low"/>
    <n v="28"/>
    <n v="10253.75"/>
    <n v="0.1"/>
    <s v="Delivery Truck"/>
    <n v="3256.81"/>
    <n v="400.97"/>
    <n v="48.26"/>
    <x v="353"/>
    <x v="5"/>
    <x v="2"/>
    <x v="1"/>
    <x v="1"/>
    <x v="16"/>
    <x v="749"/>
    <s v="Jumbo Box"/>
    <n v="0.36"/>
    <d v="2010-10-17T00:00:00"/>
    <n v="0"/>
    <n v="0"/>
    <n v="0.25"/>
    <n v="0.25"/>
  </r>
  <r>
    <n v="4445"/>
    <n v="31682"/>
    <x v="949"/>
    <x v="14"/>
    <s v="Low"/>
    <n v="42"/>
    <n v="3186.77"/>
    <n v="0.09"/>
    <s v="Regular Air"/>
    <n v="455.42"/>
    <n v="76.72"/>
    <n v="19.95"/>
    <x v="334"/>
    <x v="5"/>
    <x v="2"/>
    <x v="2"/>
    <x v="0"/>
    <x v="1"/>
    <x v="322"/>
    <s v="Large Box"/>
    <n v="0.54"/>
    <d v="2010-03-18T00:00:00"/>
    <n v="0"/>
    <n v="0"/>
    <n v="1"/>
    <n v="0.25"/>
  </r>
  <r>
    <n v="4467"/>
    <n v="31845"/>
    <x v="972"/>
    <x v="1"/>
    <s v="Low"/>
    <n v="36"/>
    <n v="3645.12"/>
    <n v="0.04"/>
    <s v="Delivery Truck"/>
    <n v="807.29"/>
    <n v="100.98"/>
    <n v="15.66"/>
    <x v="355"/>
    <x v="5"/>
    <x v="2"/>
    <x v="2"/>
    <x v="0"/>
    <x v="1"/>
    <x v="822"/>
    <s v="Jumbo Drum"/>
    <n v="0.56999999999999995"/>
    <d v="2012-10-22T00:00:00"/>
    <n v="0"/>
    <n v="0"/>
    <n v="0.5"/>
    <n v="0.5"/>
  </r>
  <r>
    <n v="4553"/>
    <n v="32389"/>
    <x v="1044"/>
    <x v="0"/>
    <s v="Medium"/>
    <n v="23"/>
    <n v="934.07"/>
    <n v="7.0000000000000007E-2"/>
    <s v="Regular Air"/>
    <n v="-7.5"/>
    <n v="39.99"/>
    <n v="10.25"/>
    <x v="398"/>
    <x v="5"/>
    <x v="2"/>
    <x v="0"/>
    <x v="1"/>
    <x v="7"/>
    <x v="435"/>
    <s v="Small Box"/>
    <n v="0.55000000000000004"/>
    <d v="2010-11-02T00:00:00"/>
    <n v="0"/>
    <n v="0"/>
    <n v="0.33333333333333331"/>
    <n v="0.25"/>
  </r>
  <r>
    <n v="4556"/>
    <n v="32420"/>
    <x v="733"/>
    <x v="36"/>
    <s v="Medium"/>
    <n v="35"/>
    <n v="175.08"/>
    <n v="7.0000000000000007E-2"/>
    <s v="Regular Air"/>
    <n v="-168.72"/>
    <n v="5.0199999999999996"/>
    <n v="5.14"/>
    <x v="358"/>
    <x v="5"/>
    <x v="2"/>
    <x v="1"/>
    <x v="1"/>
    <x v="7"/>
    <x v="238"/>
    <s v="Small Pack"/>
    <n v="0.79"/>
    <d v="2009-07-31T00:00:00"/>
    <n v="0"/>
    <n v="0"/>
    <n v="0.5"/>
    <n v="0.5"/>
  </r>
  <r>
    <n v="4732"/>
    <n v="33699"/>
    <x v="442"/>
    <x v="36"/>
    <s v="Low"/>
    <n v="18"/>
    <n v="290.07"/>
    <n v="7.0000000000000007E-2"/>
    <s v="Regular Air"/>
    <n v="-114.2"/>
    <n v="16.739999999999998"/>
    <n v="7.04"/>
    <x v="345"/>
    <x v="5"/>
    <x v="2"/>
    <x v="0"/>
    <x v="0"/>
    <x v="0"/>
    <x v="1043"/>
    <s v="Small Box"/>
    <n v="0.81"/>
    <d v="2009-08-02T00:00:00"/>
    <n v="0"/>
    <n v="0"/>
    <n v="0.33333333333333331"/>
    <n v="0.33333333333333331"/>
  </r>
  <r>
    <n v="4734"/>
    <n v="33699"/>
    <x v="442"/>
    <x v="36"/>
    <s v="Low"/>
    <n v="31"/>
    <n v="196.81"/>
    <n v="0.06"/>
    <s v="Regular Air"/>
    <n v="70.39"/>
    <n v="6.45"/>
    <n v="1.34"/>
    <x v="345"/>
    <x v="5"/>
    <x v="2"/>
    <x v="0"/>
    <x v="0"/>
    <x v="5"/>
    <x v="795"/>
    <s v="Wrap Bag"/>
    <n v="0.36"/>
    <d v="2009-07-31T00:00:00"/>
    <n v="0"/>
    <n v="0"/>
    <n v="0.33333333333333331"/>
    <n v="0.33333333333333331"/>
  </r>
  <r>
    <n v="4754"/>
    <n v="33797"/>
    <x v="116"/>
    <x v="22"/>
    <s v="Not Specified"/>
    <n v="20"/>
    <n v="4531.34"/>
    <n v="0.08"/>
    <s v="Delivery Truck"/>
    <n v="653.67999999999995"/>
    <n v="297.64"/>
    <n v="14.7"/>
    <x v="399"/>
    <x v="5"/>
    <x v="2"/>
    <x v="0"/>
    <x v="1"/>
    <x v="16"/>
    <x v="589"/>
    <s v="Jumbo Drum"/>
    <n v="0.56999999999999995"/>
    <d v="2009-01-11T00:00:00"/>
    <n v="0"/>
    <n v="1"/>
    <n v="0.2"/>
    <n v="0.2"/>
  </r>
  <r>
    <n v="4755"/>
    <n v="33797"/>
    <x v="116"/>
    <x v="22"/>
    <s v="Not Specified"/>
    <n v="44"/>
    <n v="574.5"/>
    <n v="0.02"/>
    <s v="Regular Air"/>
    <n v="-449.04"/>
    <n v="12.99"/>
    <n v="14.37"/>
    <x v="399"/>
    <x v="5"/>
    <x v="2"/>
    <x v="0"/>
    <x v="2"/>
    <x v="4"/>
    <x v="856"/>
    <s v="Large Box"/>
    <n v="0.73"/>
    <d v="2009-01-12T00:00:00"/>
    <n v="0"/>
    <n v="1"/>
    <n v="0.2"/>
    <n v="0.2"/>
  </r>
  <r>
    <n v="4756"/>
    <n v="33797"/>
    <x v="116"/>
    <x v="22"/>
    <s v="Not Specified"/>
    <n v="18"/>
    <n v="262.94"/>
    <n v="0.06"/>
    <s v="Regular Air"/>
    <n v="-22.37"/>
    <n v="14.42"/>
    <n v="6.75"/>
    <x v="399"/>
    <x v="5"/>
    <x v="2"/>
    <x v="0"/>
    <x v="0"/>
    <x v="1"/>
    <x v="793"/>
    <s v="Medium Box"/>
    <n v="0.52"/>
    <d v="2009-01-12T00:00:00"/>
    <n v="0"/>
    <n v="1"/>
    <n v="0.2"/>
    <n v="0.2"/>
  </r>
  <r>
    <n v="4782"/>
    <n v="33958"/>
    <x v="1045"/>
    <x v="44"/>
    <s v="Critical"/>
    <n v="27"/>
    <n v="462.36600000000004"/>
    <n v="0.1"/>
    <s v="Regular Air"/>
    <n v="-120.054"/>
    <n v="20.99"/>
    <n v="3.3"/>
    <x v="400"/>
    <x v="5"/>
    <x v="2"/>
    <x v="0"/>
    <x v="1"/>
    <x v="3"/>
    <x v="180"/>
    <s v="Small Pack"/>
    <n v="0.81"/>
    <d v="2011-02-04T00:00:00"/>
    <n v="0"/>
    <n v="0"/>
    <n v="0.5"/>
    <n v="0.5"/>
  </r>
  <r>
    <n v="4783"/>
    <n v="33958"/>
    <x v="1045"/>
    <x v="44"/>
    <s v="Critical"/>
    <n v="14"/>
    <n v="336.48"/>
    <n v="0.09"/>
    <s v="Regular Air"/>
    <n v="5.56"/>
    <n v="25.99"/>
    <n v="5.37"/>
    <x v="400"/>
    <x v="5"/>
    <x v="2"/>
    <x v="0"/>
    <x v="0"/>
    <x v="12"/>
    <x v="1076"/>
    <s v="Small Box"/>
    <n v="0.56000000000000005"/>
    <d v="2011-02-04T00:00:00"/>
    <n v="0"/>
    <n v="0"/>
    <n v="0.5"/>
    <n v="0.5"/>
  </r>
  <r>
    <n v="5119"/>
    <n v="36454"/>
    <x v="946"/>
    <x v="44"/>
    <s v="Critical"/>
    <n v="8"/>
    <n v="69.569999999999993"/>
    <n v="0.05"/>
    <s v="Regular Air"/>
    <n v="-36.06"/>
    <n v="7.98"/>
    <n v="6.5"/>
    <x v="396"/>
    <x v="5"/>
    <x v="2"/>
    <x v="0"/>
    <x v="0"/>
    <x v="0"/>
    <x v="1077"/>
    <s v="Medium Box"/>
    <n v="0.59"/>
    <d v="2011-02-21T00:00:00"/>
    <n v="0"/>
    <n v="0"/>
    <n v="1"/>
    <n v="1"/>
  </r>
  <r>
    <n v="5134"/>
    <n v="36609"/>
    <x v="1046"/>
    <x v="43"/>
    <s v="Not Specified"/>
    <n v="8"/>
    <n v="45.73"/>
    <n v="0"/>
    <s v="Regular Air"/>
    <n v="-23.29"/>
    <n v="4.9800000000000004"/>
    <n v="5.49"/>
    <x v="361"/>
    <x v="5"/>
    <x v="2"/>
    <x v="3"/>
    <x v="0"/>
    <x v="5"/>
    <x v="921"/>
    <s v="Small Box"/>
    <n v="0.38"/>
    <d v="2009-05-16T00:00:00"/>
    <n v="0"/>
    <n v="0"/>
    <n v="1"/>
    <n v="0.25"/>
  </r>
  <r>
    <n v="5170"/>
    <n v="36800"/>
    <x v="930"/>
    <x v="18"/>
    <s v="High"/>
    <n v="4"/>
    <n v="58.44"/>
    <n v="0.05"/>
    <s v="Express Air"/>
    <n v="-7.04"/>
    <n v="10.89"/>
    <n v="4.5"/>
    <x v="339"/>
    <x v="5"/>
    <x v="2"/>
    <x v="2"/>
    <x v="0"/>
    <x v="1"/>
    <x v="225"/>
    <s v="Small Box"/>
    <n v="0.59"/>
    <d v="2010-09-11T00:00:00"/>
    <n v="0"/>
    <n v="0"/>
    <n v="1"/>
    <n v="1"/>
  </r>
  <r>
    <n v="5239"/>
    <n v="37287"/>
    <x v="279"/>
    <x v="32"/>
    <s v="Low"/>
    <n v="18"/>
    <n v="122.41"/>
    <n v="0.09"/>
    <s v="Regular Air"/>
    <n v="2.37"/>
    <n v="6.64"/>
    <n v="4.95"/>
    <x v="361"/>
    <x v="5"/>
    <x v="2"/>
    <x v="2"/>
    <x v="2"/>
    <x v="4"/>
    <x v="5"/>
    <s v="Small Pack"/>
    <n v="0.37"/>
    <d v="2012-11-05T00:00:00"/>
    <n v="0"/>
    <n v="0"/>
    <n v="0.33333333333333331"/>
    <n v="0.33333333333333331"/>
  </r>
  <r>
    <n v="5262"/>
    <n v="37443"/>
    <x v="104"/>
    <x v="24"/>
    <s v="Not Specified"/>
    <n v="50"/>
    <n v="2869.44"/>
    <n v="0.08"/>
    <s v="Regular Air"/>
    <n v="840.55"/>
    <n v="59.98"/>
    <n v="3.99"/>
    <x v="393"/>
    <x v="5"/>
    <x v="2"/>
    <x v="0"/>
    <x v="0"/>
    <x v="1"/>
    <x v="323"/>
    <s v="Small Box"/>
    <n v="0.56999999999999995"/>
    <d v="2010-04-15T00:00:00"/>
    <n v="0"/>
    <n v="0"/>
    <n v="0.5"/>
    <n v="0.5"/>
  </r>
  <r>
    <n v="5311"/>
    <n v="37792"/>
    <x v="1047"/>
    <x v="25"/>
    <s v="High"/>
    <n v="49"/>
    <n v="183.08"/>
    <n v="0.01"/>
    <s v="Regular Air"/>
    <n v="82.49"/>
    <n v="3.69"/>
    <n v="0.5"/>
    <x v="351"/>
    <x v="5"/>
    <x v="2"/>
    <x v="2"/>
    <x v="0"/>
    <x v="11"/>
    <x v="1045"/>
    <s v="Small Box"/>
    <n v="0.38"/>
    <d v="2011-12-31T00:00:00"/>
    <n v="0"/>
    <n v="0"/>
    <n v="0.5"/>
    <n v="0.33333333333333331"/>
  </r>
  <r>
    <n v="5321"/>
    <n v="37829"/>
    <x v="361"/>
    <x v="18"/>
    <s v="Not Specified"/>
    <n v="28"/>
    <n v="257.89999999999998"/>
    <n v="0"/>
    <s v="Regular Air"/>
    <n v="-84.69"/>
    <n v="8.74"/>
    <n v="8.2899999999999991"/>
    <x v="351"/>
    <x v="5"/>
    <x v="2"/>
    <x v="2"/>
    <x v="0"/>
    <x v="8"/>
    <x v="427"/>
    <s v="Small Box"/>
    <n v="0.38"/>
    <d v="2010-10-01T00:00:00"/>
    <n v="0"/>
    <n v="0"/>
    <n v="1"/>
    <n v="1"/>
  </r>
  <r>
    <n v="5361"/>
    <n v="38087"/>
    <x v="288"/>
    <x v="40"/>
    <s v="Critical"/>
    <n v="18"/>
    <n v="901.81"/>
    <n v="0.02"/>
    <s v="Regular Air"/>
    <n v="-76.89"/>
    <n v="49.99"/>
    <n v="19.989999999999998"/>
    <x v="255"/>
    <x v="5"/>
    <x v="2"/>
    <x v="0"/>
    <x v="1"/>
    <x v="7"/>
    <x v="446"/>
    <s v="Small Box"/>
    <n v="0.41"/>
    <d v="2009-02-21T00:00:00"/>
    <n v="0"/>
    <n v="0"/>
    <n v="1"/>
    <n v="1"/>
  </r>
  <r>
    <n v="5393"/>
    <n v="38341"/>
    <x v="299"/>
    <x v="43"/>
    <s v="Medium"/>
    <n v="38"/>
    <n v="623.12649999999996"/>
    <n v="0.09"/>
    <s v="Regular Air"/>
    <n v="122.292"/>
    <n v="20.99"/>
    <n v="0.99"/>
    <x v="401"/>
    <x v="5"/>
    <x v="2"/>
    <x v="2"/>
    <x v="1"/>
    <x v="3"/>
    <x v="652"/>
    <s v="Wrap Bag"/>
    <n v="0.56999999999999995"/>
    <d v="2009-05-18T00:00:00"/>
    <n v="0"/>
    <n v="0"/>
    <n v="0.33333333333333331"/>
    <n v="0.33333333333333331"/>
  </r>
  <r>
    <n v="5436"/>
    <n v="38599"/>
    <x v="1048"/>
    <x v="19"/>
    <s v="High"/>
    <n v="27"/>
    <n v="2651.23"/>
    <n v="0.09"/>
    <s v="Regular Air"/>
    <n v="-741.81"/>
    <n v="101.41"/>
    <n v="35"/>
    <x v="341"/>
    <x v="5"/>
    <x v="2"/>
    <x v="1"/>
    <x v="0"/>
    <x v="0"/>
    <x v="925"/>
    <s v="Large Box"/>
    <n v="0.82"/>
    <d v="2009-10-27T00:00:00"/>
    <n v="0"/>
    <n v="0"/>
    <n v="1"/>
    <n v="1"/>
  </r>
  <r>
    <n v="5451"/>
    <n v="38721"/>
    <x v="922"/>
    <x v="28"/>
    <s v="Critical"/>
    <n v="17"/>
    <n v="107.56"/>
    <n v="0.1"/>
    <s v="Regular Air"/>
    <n v="-25"/>
    <n v="6.64"/>
    <n v="54.95"/>
    <x v="345"/>
    <x v="5"/>
    <x v="2"/>
    <x v="0"/>
    <x v="2"/>
    <x v="4"/>
    <x v="5"/>
    <s v="Small Pack"/>
    <n v="0.37"/>
    <d v="2009-03-26T00:00:00"/>
    <n v="0"/>
    <n v="0"/>
    <n v="0.5"/>
    <n v="0.5"/>
  </r>
  <r>
    <n v="5452"/>
    <n v="38721"/>
    <x v="922"/>
    <x v="28"/>
    <s v="Critical"/>
    <n v="15"/>
    <n v="1386.69"/>
    <n v="0.05"/>
    <s v="Regular Air"/>
    <n v="363"/>
    <n v="90.48"/>
    <n v="19.989999999999998"/>
    <x v="345"/>
    <x v="5"/>
    <x v="2"/>
    <x v="0"/>
    <x v="0"/>
    <x v="8"/>
    <x v="881"/>
    <s v="Small Box"/>
    <n v="0.4"/>
    <d v="2009-03-25T00:00:00"/>
    <n v="0"/>
    <n v="0"/>
    <n v="0.5"/>
    <n v="0.5"/>
  </r>
  <r>
    <n v="5494"/>
    <n v="38976"/>
    <x v="560"/>
    <x v="15"/>
    <s v="Critical"/>
    <n v="16"/>
    <n v="6813.93"/>
    <n v="0.09"/>
    <s v="Delivery Truck"/>
    <n v="358.19"/>
    <n v="449.99"/>
    <n v="49"/>
    <x v="374"/>
    <x v="5"/>
    <x v="2"/>
    <x v="2"/>
    <x v="1"/>
    <x v="13"/>
    <x v="26"/>
    <s v="Jumbo Drum"/>
    <n v="0.38"/>
    <d v="2010-12-26T00:00:00"/>
    <n v="0"/>
    <n v="0"/>
    <n v="0.5"/>
    <n v="0.5"/>
  </r>
  <r>
    <n v="5549"/>
    <n v="39300"/>
    <x v="301"/>
    <x v="13"/>
    <s v="High"/>
    <n v="9"/>
    <n v="44.51"/>
    <n v="0.01"/>
    <s v="Regular Air"/>
    <n v="-43.48"/>
    <n v="4.0599999999999996"/>
    <n v="6.89"/>
    <x v="402"/>
    <x v="5"/>
    <x v="2"/>
    <x v="3"/>
    <x v="0"/>
    <x v="1"/>
    <x v="283"/>
    <s v="Small Box"/>
    <n v="0.6"/>
    <d v="2012-04-24T00:00:00"/>
    <n v="0"/>
    <n v="0"/>
    <n v="1"/>
    <n v="1"/>
  </r>
  <r>
    <n v="5564"/>
    <n v="39393"/>
    <x v="360"/>
    <x v="7"/>
    <s v="Not Specified"/>
    <n v="23"/>
    <n v="218.29"/>
    <n v="0.09"/>
    <s v="Regular Air"/>
    <n v="-32.433599999999998"/>
    <n v="9.49"/>
    <n v="5.76"/>
    <x v="345"/>
    <x v="5"/>
    <x v="2"/>
    <x v="0"/>
    <x v="1"/>
    <x v="16"/>
    <x v="510"/>
    <s v="Medium Box"/>
    <n v="0.39"/>
    <d v="2010-11-19T00:00:00"/>
    <n v="0"/>
    <n v="0"/>
    <n v="1"/>
    <n v="1"/>
  </r>
  <r>
    <n v="5624"/>
    <n v="39842"/>
    <x v="412"/>
    <x v="15"/>
    <s v="Medium"/>
    <n v="38"/>
    <n v="1554.21"/>
    <n v="0.08"/>
    <s v="Express Air"/>
    <n v="114.45"/>
    <n v="41.32"/>
    <n v="8.66"/>
    <x v="371"/>
    <x v="5"/>
    <x v="2"/>
    <x v="1"/>
    <x v="2"/>
    <x v="4"/>
    <x v="492"/>
    <s v="Medium Box"/>
    <n v="0.76"/>
    <d v="2010-12-19T00:00:00"/>
    <n v="0"/>
    <n v="0"/>
    <n v="0.5"/>
    <n v="0.5"/>
  </r>
  <r>
    <n v="5888"/>
    <n v="41766"/>
    <x v="897"/>
    <x v="34"/>
    <s v="Critical"/>
    <n v="7"/>
    <n v="273.42"/>
    <n v="0"/>
    <s v="Regular Air"/>
    <n v="10.064"/>
    <n v="34.54"/>
    <n v="14.72"/>
    <x v="381"/>
    <x v="5"/>
    <x v="2"/>
    <x v="2"/>
    <x v="0"/>
    <x v="2"/>
    <x v="122"/>
    <s v="Small Box"/>
    <n v="0.37"/>
    <d v="2012-09-12T00:00:00"/>
    <n v="0"/>
    <n v="0"/>
    <n v="0.5"/>
    <n v="0.5"/>
  </r>
  <r>
    <n v="5960"/>
    <n v="42306"/>
    <x v="1019"/>
    <x v="34"/>
    <s v="High"/>
    <n v="19"/>
    <n v="773.83"/>
    <n v="0.06"/>
    <s v="Regular Air"/>
    <n v="146.79"/>
    <n v="40.98"/>
    <n v="5.33"/>
    <x v="368"/>
    <x v="5"/>
    <x v="2"/>
    <x v="1"/>
    <x v="0"/>
    <x v="1"/>
    <x v="530"/>
    <s v="Small Box"/>
    <n v="0.56999999999999995"/>
    <d v="2012-09-16T00:00:00"/>
    <n v="0"/>
    <n v="0"/>
    <n v="0.33333333333333331"/>
    <n v="0.33333333333333331"/>
  </r>
  <r>
    <n v="5999"/>
    <n v="42528"/>
    <x v="1020"/>
    <x v="6"/>
    <s v="Medium"/>
    <n v="37"/>
    <n v="1356.45"/>
    <n v="0.02"/>
    <s v="Regular Air"/>
    <n v="47.65"/>
    <n v="35.44"/>
    <n v="19.989999999999998"/>
    <x v="370"/>
    <x v="5"/>
    <x v="2"/>
    <x v="1"/>
    <x v="0"/>
    <x v="5"/>
    <x v="1063"/>
    <s v="Small Box"/>
    <n v="0.38"/>
    <d v="2010-02-25T00:00:00"/>
    <n v="0"/>
    <n v="0"/>
    <n v="0.2"/>
    <n v="0.2"/>
  </r>
  <r>
    <n v="6000"/>
    <n v="42528"/>
    <x v="1020"/>
    <x v="6"/>
    <s v="Medium"/>
    <n v="13"/>
    <n v="250.75"/>
    <n v="0.02"/>
    <s v="Regular Air"/>
    <n v="-43.52"/>
    <n v="17.7"/>
    <n v="9.4700000000000006"/>
    <x v="370"/>
    <x v="5"/>
    <x v="2"/>
    <x v="1"/>
    <x v="0"/>
    <x v="0"/>
    <x v="1046"/>
    <s v="Small Box"/>
    <n v="0.59"/>
    <d v="2010-02-24T00:00:00"/>
    <n v="0"/>
    <n v="0"/>
    <n v="0.2"/>
    <n v="0.2"/>
  </r>
  <r>
    <n v="6001"/>
    <n v="42528"/>
    <x v="1020"/>
    <x v="6"/>
    <s v="Medium"/>
    <n v="31"/>
    <n v="313.05"/>
    <n v="0.02"/>
    <s v="Express Air"/>
    <n v="81.87"/>
    <n v="9.7799999999999994"/>
    <n v="1.99"/>
    <x v="370"/>
    <x v="5"/>
    <x v="2"/>
    <x v="1"/>
    <x v="1"/>
    <x v="7"/>
    <x v="136"/>
    <s v="Small Pack"/>
    <n v="0.43"/>
    <d v="2010-02-24T00:00:00"/>
    <n v="0"/>
    <n v="0"/>
    <n v="0.2"/>
    <n v="0.2"/>
  </r>
  <r>
    <n v="6115"/>
    <n v="43302"/>
    <x v="1021"/>
    <x v="21"/>
    <s v="Low"/>
    <n v="39"/>
    <n v="6888.6635000000006"/>
    <n v="0.03"/>
    <s v="Regular Air"/>
    <n v="1925.5770000000002"/>
    <n v="205.99"/>
    <n v="5"/>
    <x v="355"/>
    <x v="5"/>
    <x v="2"/>
    <x v="2"/>
    <x v="1"/>
    <x v="3"/>
    <x v="963"/>
    <s v="Small Box"/>
    <n v="0.59"/>
    <d v="2011-08-30T00:00:00"/>
    <n v="0"/>
    <n v="0"/>
    <n v="0.33333333333333331"/>
    <n v="0.33333333333333331"/>
  </r>
  <r>
    <n v="6180"/>
    <n v="43813"/>
    <x v="631"/>
    <x v="36"/>
    <s v="Not Specified"/>
    <n v="23"/>
    <n v="384.21"/>
    <n v="0.04"/>
    <s v="Regular Air"/>
    <n v="-266.22000000000003"/>
    <n v="15.51"/>
    <n v="17.78"/>
    <x v="334"/>
    <x v="5"/>
    <x v="2"/>
    <x v="2"/>
    <x v="0"/>
    <x v="0"/>
    <x v="259"/>
    <s v="Small Box"/>
    <n v="0.59"/>
    <d v="2009-07-23T00:00:00"/>
    <n v="0"/>
    <n v="0"/>
    <n v="1"/>
    <n v="0.5"/>
  </r>
  <r>
    <n v="6256"/>
    <n v="44292"/>
    <x v="751"/>
    <x v="4"/>
    <s v="Not Specified"/>
    <n v="1"/>
    <n v="10.48"/>
    <n v="0"/>
    <s v="Express Air"/>
    <n v="-3.78"/>
    <n v="5.18"/>
    <n v="2.04"/>
    <x v="81"/>
    <x v="5"/>
    <x v="2"/>
    <x v="2"/>
    <x v="0"/>
    <x v="5"/>
    <x v="267"/>
    <s v="Wrap Bag"/>
    <n v="0.36"/>
    <d v="2011-06-15T00:00:00"/>
    <n v="0"/>
    <n v="0"/>
    <n v="1"/>
    <n v="1"/>
  </r>
  <r>
    <n v="6298"/>
    <n v="44583"/>
    <x v="832"/>
    <x v="19"/>
    <s v="Low"/>
    <n v="6"/>
    <n v="17.59"/>
    <n v="0.1"/>
    <s v="Regular Air"/>
    <n v="-19.739999999999998"/>
    <n v="2.2200000000000002"/>
    <n v="5"/>
    <x v="392"/>
    <x v="5"/>
    <x v="2"/>
    <x v="2"/>
    <x v="0"/>
    <x v="1"/>
    <x v="987"/>
    <s v="Small Box"/>
    <n v="0.55000000000000004"/>
    <d v="2009-10-09T00:00:00"/>
    <n v="0"/>
    <n v="0"/>
    <n v="0.5"/>
    <n v="0.5"/>
  </r>
  <r>
    <n v="6391"/>
    <n v="45381"/>
    <x v="1049"/>
    <x v="21"/>
    <s v="Medium"/>
    <n v="1"/>
    <n v="11.81"/>
    <n v="0.01"/>
    <s v="Regular Air"/>
    <n v="-7.95"/>
    <n v="5.89"/>
    <n v="5.57"/>
    <x v="403"/>
    <x v="5"/>
    <x v="2"/>
    <x v="0"/>
    <x v="2"/>
    <x v="4"/>
    <x v="342"/>
    <s v="Small Box"/>
    <n v="0.41"/>
    <d v="2011-08-23T00:00:00"/>
    <n v="0"/>
    <n v="0"/>
    <n v="0.33333333333333331"/>
    <n v="0.33333333333333331"/>
  </r>
  <r>
    <n v="6543"/>
    <n v="46531"/>
    <x v="1049"/>
    <x v="21"/>
    <s v="Low"/>
    <n v="39"/>
    <n v="4211"/>
    <n v="7.0000000000000007E-2"/>
    <s v="Regular Air"/>
    <n v="-270.57373200000001"/>
    <n v="111.96"/>
    <n v="69"/>
    <x v="341"/>
    <x v="5"/>
    <x v="2"/>
    <x v="1"/>
    <x v="2"/>
    <x v="10"/>
    <x v="995"/>
    <s v="Large Box"/>
    <n v="0.63"/>
    <d v="2011-08-28T00:00:00"/>
    <n v="0"/>
    <n v="0"/>
    <n v="0.25"/>
    <n v="0.25"/>
  </r>
  <r>
    <n v="6626"/>
    <n v="47136"/>
    <x v="541"/>
    <x v="16"/>
    <s v="Medium"/>
    <n v="18"/>
    <n v="89.99"/>
    <n v="0"/>
    <s v="Regular Air"/>
    <n v="18.954999999999998"/>
    <n v="4.82"/>
    <n v="1.49"/>
    <x v="404"/>
    <x v="5"/>
    <x v="2"/>
    <x v="0"/>
    <x v="0"/>
    <x v="2"/>
    <x v="745"/>
    <s v="Small Box"/>
    <n v="0.36"/>
    <d v="2011-01-26T00:00:00"/>
    <n v="0"/>
    <n v="0"/>
    <n v="1"/>
    <n v="1"/>
  </r>
  <r>
    <n v="6711"/>
    <n v="47813"/>
    <x v="91"/>
    <x v="26"/>
    <s v="High"/>
    <n v="50"/>
    <n v="343"/>
    <n v="0"/>
    <s v="Regular Air"/>
    <n v="-76.94"/>
    <n v="6.68"/>
    <n v="5.66"/>
    <x v="356"/>
    <x v="5"/>
    <x v="2"/>
    <x v="3"/>
    <x v="0"/>
    <x v="5"/>
    <x v="674"/>
    <s v="Small Box"/>
    <n v="0.37"/>
    <d v="2009-08-29T00:00:00"/>
    <n v="0"/>
    <n v="0"/>
    <n v="1"/>
    <n v="1"/>
  </r>
  <r>
    <n v="6778"/>
    <n v="48263"/>
    <x v="949"/>
    <x v="14"/>
    <s v="Medium"/>
    <n v="28"/>
    <n v="164.22"/>
    <n v="0.1"/>
    <s v="Regular Air"/>
    <n v="-124.72"/>
    <n v="5.98"/>
    <n v="7.5"/>
    <x v="370"/>
    <x v="5"/>
    <x v="2"/>
    <x v="1"/>
    <x v="0"/>
    <x v="5"/>
    <x v="437"/>
    <s v="Small Box"/>
    <n v="0.4"/>
    <d v="2010-03-10T00:00:00"/>
    <n v="0"/>
    <n v="0"/>
    <n v="0.5"/>
    <n v="0.5"/>
  </r>
  <r>
    <n v="6805"/>
    <n v="48455"/>
    <x v="1022"/>
    <x v="41"/>
    <s v="Critical"/>
    <n v="17"/>
    <n v="182.47"/>
    <n v="0.05"/>
    <s v="Regular Air"/>
    <n v="-3.18"/>
    <n v="10.98"/>
    <n v="3.37"/>
    <x v="297"/>
    <x v="5"/>
    <x v="2"/>
    <x v="0"/>
    <x v="0"/>
    <x v="15"/>
    <x v="340"/>
    <s v="Small Pack"/>
    <n v="0.56999999999999995"/>
    <d v="2009-06-03T00:00:00"/>
    <n v="0"/>
    <n v="0"/>
    <n v="0.33333333333333331"/>
    <n v="0.33333333333333331"/>
  </r>
  <r>
    <n v="6840"/>
    <n v="48706"/>
    <x v="365"/>
    <x v="1"/>
    <s v="Low"/>
    <n v="18"/>
    <n v="132.78"/>
    <n v="0.09"/>
    <s v="Regular Air"/>
    <n v="-130.96"/>
    <n v="7.28"/>
    <n v="11.15"/>
    <x v="389"/>
    <x v="5"/>
    <x v="2"/>
    <x v="0"/>
    <x v="0"/>
    <x v="5"/>
    <x v="517"/>
    <s v="Small Box"/>
    <n v="0.37"/>
    <d v="2012-11-06T00:00:00"/>
    <n v="0"/>
    <n v="0"/>
    <n v="0.5"/>
    <n v="0.5"/>
  </r>
  <r>
    <n v="6865"/>
    <n v="48929"/>
    <x v="1023"/>
    <x v="19"/>
    <s v="High"/>
    <n v="45"/>
    <n v="2096.6999999999998"/>
    <n v="0.03"/>
    <s v="Regular Air"/>
    <n v="939.67"/>
    <n v="47.9"/>
    <n v="5.86"/>
    <x v="372"/>
    <x v="5"/>
    <x v="2"/>
    <x v="0"/>
    <x v="0"/>
    <x v="5"/>
    <x v="656"/>
    <s v="Small Box"/>
    <n v="0.37"/>
    <d v="2009-10-25T00:00:00"/>
    <n v="0"/>
    <n v="0"/>
    <n v="0.5"/>
    <n v="0.5"/>
  </r>
  <r>
    <n v="6873"/>
    <n v="48963"/>
    <x v="844"/>
    <x v="0"/>
    <s v="Not Specified"/>
    <n v="12"/>
    <n v="81.87"/>
    <n v="7.0000000000000007E-2"/>
    <s v="Regular Air"/>
    <n v="-31.14"/>
    <n v="6.48"/>
    <n v="5.94"/>
    <x v="344"/>
    <x v="5"/>
    <x v="2"/>
    <x v="3"/>
    <x v="0"/>
    <x v="5"/>
    <x v="772"/>
    <s v="Small Box"/>
    <n v="0.37"/>
    <d v="2010-10-21T00:00:00"/>
    <n v="0"/>
    <n v="0"/>
    <n v="1"/>
    <n v="1"/>
  </r>
  <r>
    <n v="6909"/>
    <n v="49312"/>
    <x v="1050"/>
    <x v="44"/>
    <s v="Critical"/>
    <n v="30"/>
    <n v="164.41"/>
    <n v="0"/>
    <s v="Regular Air"/>
    <n v="-128.52000000000001"/>
    <n v="4.9800000000000004"/>
    <n v="7.54"/>
    <x v="392"/>
    <x v="5"/>
    <x v="2"/>
    <x v="2"/>
    <x v="0"/>
    <x v="5"/>
    <x v="1078"/>
    <s v="Small Box"/>
    <n v="0.38"/>
    <d v="2011-02-22T00:00:00"/>
    <n v="0"/>
    <n v="0"/>
    <n v="0.5"/>
    <n v="0.5"/>
  </r>
  <r>
    <n v="6931"/>
    <n v="49472"/>
    <x v="598"/>
    <x v="42"/>
    <s v="Low"/>
    <n v="15"/>
    <n v="144.13999999999999"/>
    <n v="0.05"/>
    <s v="Regular Air"/>
    <n v="12.09"/>
    <n v="9.7799999999999994"/>
    <n v="1.99"/>
    <x v="405"/>
    <x v="5"/>
    <x v="2"/>
    <x v="0"/>
    <x v="1"/>
    <x v="7"/>
    <x v="136"/>
    <s v="Small Pack"/>
    <n v="0.43"/>
    <d v="2010-07-21T00:00:00"/>
    <n v="0"/>
    <n v="0"/>
    <n v="0.33333333333333331"/>
    <n v="0.33333333333333331"/>
  </r>
  <r>
    <n v="6932"/>
    <n v="49472"/>
    <x v="598"/>
    <x v="42"/>
    <s v="Low"/>
    <n v="9"/>
    <n v="30.65"/>
    <n v="0.03"/>
    <s v="Regular Air"/>
    <n v="8.0000000000000071E-2"/>
    <n v="3.29"/>
    <n v="1.35"/>
    <x v="405"/>
    <x v="5"/>
    <x v="2"/>
    <x v="0"/>
    <x v="0"/>
    <x v="6"/>
    <x v="339"/>
    <s v="Wrap Bag"/>
    <n v="0.4"/>
    <d v="2010-07-20T00:00:00"/>
    <n v="0"/>
    <n v="0"/>
    <n v="0.33333333333333331"/>
    <n v="0.33333333333333331"/>
  </r>
  <r>
    <n v="6981"/>
    <n v="49891"/>
    <x v="661"/>
    <x v="35"/>
    <s v="Not Specified"/>
    <n v="40"/>
    <n v="259.83"/>
    <n v="0"/>
    <s v="Regular Air"/>
    <n v="80.733000000000004"/>
    <n v="5.98"/>
    <n v="1.49"/>
    <x v="406"/>
    <x v="5"/>
    <x v="2"/>
    <x v="1"/>
    <x v="0"/>
    <x v="2"/>
    <x v="986"/>
    <s v="Small Box"/>
    <n v="0.39"/>
    <d v="2009-09-14T00:00:00"/>
    <n v="0"/>
    <n v="0"/>
    <n v="0.5"/>
    <n v="0.5"/>
  </r>
  <r>
    <n v="6995"/>
    <n v="49984"/>
    <x v="1051"/>
    <x v="43"/>
    <s v="Low"/>
    <n v="14"/>
    <n v="57.28"/>
    <n v="0.02"/>
    <s v="Regular Air"/>
    <n v="7.31"/>
    <n v="3.8"/>
    <n v="1.49"/>
    <x v="372"/>
    <x v="5"/>
    <x v="2"/>
    <x v="0"/>
    <x v="0"/>
    <x v="2"/>
    <x v="160"/>
    <s v="Small Box"/>
    <n v="0.38"/>
    <d v="2009-05-15T00:00:00"/>
    <n v="0"/>
    <n v="0"/>
    <n v="0.5"/>
    <n v="0.33333333333333331"/>
  </r>
  <r>
    <n v="6996"/>
    <n v="49984"/>
    <x v="1051"/>
    <x v="43"/>
    <s v="Low"/>
    <n v="32"/>
    <n v="227.87"/>
    <n v="0.02"/>
    <s v="Regular Air"/>
    <n v="-130.61000000000001"/>
    <n v="6.48"/>
    <n v="8.4"/>
    <x v="372"/>
    <x v="5"/>
    <x v="2"/>
    <x v="0"/>
    <x v="0"/>
    <x v="5"/>
    <x v="836"/>
    <s v="Small Box"/>
    <n v="0.37"/>
    <d v="2009-05-11T00:00:00"/>
    <n v="0"/>
    <n v="0"/>
    <n v="0.5"/>
    <n v="0.33333333333333331"/>
  </r>
  <r>
    <n v="7074"/>
    <n v="50471"/>
    <x v="65"/>
    <x v="23"/>
    <s v="Low"/>
    <n v="25"/>
    <n v="5859.25"/>
    <n v="0.02"/>
    <s v="Delivery Truck"/>
    <n v="1358.53"/>
    <n v="226.67"/>
    <n v="28.16"/>
    <x v="404"/>
    <x v="5"/>
    <x v="2"/>
    <x v="2"/>
    <x v="2"/>
    <x v="14"/>
    <x v="108"/>
    <s v="Jumbo Drum"/>
    <n v="0.59"/>
    <d v="2012-01-05T00:00:00"/>
    <n v="0"/>
    <n v="0"/>
    <n v="1"/>
    <n v="1"/>
  </r>
  <r>
    <n v="7176"/>
    <n v="51203"/>
    <x v="905"/>
    <x v="25"/>
    <s v="High"/>
    <n v="49"/>
    <n v="26622.55"/>
    <n v="0.08"/>
    <s v="Delivery Truck"/>
    <n v="3146.2154999999998"/>
    <n v="550.98"/>
    <n v="45.7"/>
    <x v="351"/>
    <x v="5"/>
    <x v="2"/>
    <x v="3"/>
    <x v="2"/>
    <x v="10"/>
    <x v="1079"/>
    <s v="Jumbo Box"/>
    <n v="0.71"/>
    <d v="2011-12-22T00:00:00"/>
    <n v="0"/>
    <n v="0"/>
    <n v="1"/>
    <n v="0.33333333333333331"/>
  </r>
  <r>
    <n v="7179"/>
    <n v="51233"/>
    <x v="265"/>
    <x v="47"/>
    <s v="Low"/>
    <n v="3"/>
    <n v="26.5"/>
    <n v="0.05"/>
    <s v="Regular Air"/>
    <n v="20.12"/>
    <n v="7.59"/>
    <n v="4"/>
    <x v="351"/>
    <x v="5"/>
    <x v="2"/>
    <x v="2"/>
    <x v="2"/>
    <x v="4"/>
    <x v="378"/>
    <s v="Wrap Bag"/>
    <n v="0.42"/>
    <d v="2009-12-09T00:00:00"/>
    <n v="0"/>
    <n v="0"/>
    <n v="1"/>
    <n v="1"/>
  </r>
  <r>
    <n v="7322"/>
    <n v="52195"/>
    <x v="1052"/>
    <x v="17"/>
    <s v="Not Specified"/>
    <n v="19"/>
    <n v="267"/>
    <n v="0.09"/>
    <s v="Regular Air"/>
    <n v="-2.8289999999999997"/>
    <n v="14.45"/>
    <n v="7.17"/>
    <x v="384"/>
    <x v="5"/>
    <x v="2"/>
    <x v="0"/>
    <x v="0"/>
    <x v="2"/>
    <x v="853"/>
    <s v="Small Box"/>
    <n v="0.38"/>
    <d v="2011-10-27T00:00:00"/>
    <n v="0"/>
    <n v="0"/>
    <n v="1"/>
    <n v="1"/>
  </r>
  <r>
    <n v="7445"/>
    <n v="53123"/>
    <x v="1053"/>
    <x v="26"/>
    <s v="Not Specified"/>
    <n v="25"/>
    <n v="265.75"/>
    <n v="0.06"/>
    <s v="Regular Air"/>
    <n v="13.999499999999999"/>
    <n v="10.98"/>
    <n v="5.14"/>
    <x v="407"/>
    <x v="5"/>
    <x v="2"/>
    <x v="2"/>
    <x v="0"/>
    <x v="2"/>
    <x v="508"/>
    <s v="Small Box"/>
    <n v="0.36"/>
    <d v="2009-09-02T00:00:00"/>
    <n v="0"/>
    <n v="0"/>
    <n v="1"/>
    <n v="1"/>
  </r>
  <r>
    <n v="7622"/>
    <n v="54533"/>
    <x v="388"/>
    <x v="25"/>
    <s v="Medium"/>
    <n v="21"/>
    <n v="162.25"/>
    <n v="0.03"/>
    <s v="Regular Air"/>
    <n v="-42.722499999999997"/>
    <n v="7.1"/>
    <n v="6.05"/>
    <x v="408"/>
    <x v="5"/>
    <x v="2"/>
    <x v="2"/>
    <x v="0"/>
    <x v="2"/>
    <x v="310"/>
    <s v="Small Box"/>
    <n v="0.39"/>
    <d v="2011-12-19T00:00:00"/>
    <n v="0"/>
    <n v="0"/>
    <n v="1"/>
    <n v="1"/>
  </r>
  <r>
    <n v="7691"/>
    <n v="55139"/>
    <x v="1054"/>
    <x v="38"/>
    <s v="Not Specified"/>
    <n v="26"/>
    <n v="85.71"/>
    <n v="0.08"/>
    <s v="Regular Air"/>
    <n v="9.32"/>
    <n v="3.28"/>
    <n v="0.98"/>
    <x v="409"/>
    <x v="5"/>
    <x v="2"/>
    <x v="0"/>
    <x v="0"/>
    <x v="12"/>
    <x v="1080"/>
    <s v="Wrap Bag"/>
    <n v="0.52"/>
    <d v="2010-01-18T00:00:00"/>
    <n v="1"/>
    <n v="0"/>
    <n v="0.5"/>
    <n v="0.5"/>
  </r>
  <r>
    <n v="7734"/>
    <n v="55392"/>
    <x v="1055"/>
    <x v="41"/>
    <s v="Critical"/>
    <n v="39"/>
    <n v="104.97"/>
    <n v="7.0000000000000007E-2"/>
    <s v="Regular Air"/>
    <n v="3.21"/>
    <n v="2.84"/>
    <n v="0.93"/>
    <x v="358"/>
    <x v="5"/>
    <x v="2"/>
    <x v="1"/>
    <x v="0"/>
    <x v="12"/>
    <x v="25"/>
    <s v="Wrap Bag"/>
    <n v="0.54"/>
    <d v="2009-06-08T00:00:00"/>
    <n v="0"/>
    <n v="0"/>
    <n v="0.5"/>
    <n v="0.2"/>
  </r>
  <r>
    <n v="7768"/>
    <n v="55616"/>
    <x v="166"/>
    <x v="10"/>
    <s v="High"/>
    <n v="29"/>
    <n v="184.74"/>
    <n v="0"/>
    <s v="Regular Air"/>
    <n v="-102.25"/>
    <n v="5.98"/>
    <n v="4.38"/>
    <x v="410"/>
    <x v="5"/>
    <x v="2"/>
    <x v="1"/>
    <x v="1"/>
    <x v="7"/>
    <x v="29"/>
    <s v="Small Pack"/>
    <n v="0.75"/>
    <d v="2011-05-09T00:00:00"/>
    <n v="0"/>
    <n v="0"/>
    <n v="0.5"/>
    <n v="0.5"/>
  </r>
  <r>
    <n v="7822"/>
    <n v="55909"/>
    <x v="1056"/>
    <x v="43"/>
    <s v="Low"/>
    <n v="3"/>
    <n v="526.76"/>
    <n v="7.0000000000000007E-2"/>
    <s v="Regular Air"/>
    <n v="-93.828500000000005"/>
    <n v="172.99"/>
    <n v="19.989999999999998"/>
    <x v="411"/>
    <x v="5"/>
    <x v="2"/>
    <x v="3"/>
    <x v="0"/>
    <x v="2"/>
    <x v="470"/>
    <s v="Small Box"/>
    <n v="0.39"/>
    <d v="2009-05-23T00:00:00"/>
    <n v="0"/>
    <n v="0"/>
    <n v="0.5"/>
    <n v="0.5"/>
  </r>
  <r>
    <n v="7826"/>
    <n v="55938"/>
    <x v="770"/>
    <x v="29"/>
    <s v="Not Specified"/>
    <n v="18"/>
    <n v="1769.9"/>
    <n v="0.05"/>
    <s v="Express Air"/>
    <n v="-468.89"/>
    <n v="95.99"/>
    <n v="35"/>
    <x v="400"/>
    <x v="5"/>
    <x v="2"/>
    <x v="0"/>
    <x v="0"/>
    <x v="0"/>
    <x v="1029"/>
    <s v="Large Box"/>
    <m/>
    <d v="2012-07-03T00:00:00"/>
    <n v="0"/>
    <n v="0"/>
    <n v="0.5"/>
    <n v="0.5"/>
  </r>
  <r>
    <n v="7857"/>
    <n v="56166"/>
    <x v="136"/>
    <x v="3"/>
    <s v="Critical"/>
    <n v="45"/>
    <n v="615.67999999999995"/>
    <n v="0.08"/>
    <s v="Regular Air"/>
    <n v="-54.34"/>
    <n v="14.42"/>
    <n v="6.75"/>
    <x v="375"/>
    <x v="5"/>
    <x v="2"/>
    <x v="1"/>
    <x v="0"/>
    <x v="1"/>
    <x v="793"/>
    <s v="Medium Box"/>
    <n v="0.52"/>
    <d v="2010-08-06T00:00:00"/>
    <n v="0"/>
    <n v="0"/>
    <n v="0.5"/>
    <n v="0.5"/>
  </r>
  <r>
    <n v="7902"/>
    <n v="56515"/>
    <x v="62"/>
    <x v="10"/>
    <s v="Medium"/>
    <n v="18"/>
    <n v="126.62"/>
    <n v="0.08"/>
    <s v="Express Air"/>
    <n v="60.79"/>
    <n v="6.3"/>
    <n v="0.5"/>
    <x v="372"/>
    <x v="5"/>
    <x v="2"/>
    <x v="0"/>
    <x v="0"/>
    <x v="11"/>
    <x v="336"/>
    <s v="Small Box"/>
    <n v="0.39"/>
    <d v="2011-05-28T00:00:00"/>
    <n v="0"/>
    <n v="0"/>
    <n v="0.5"/>
    <n v="0.5"/>
  </r>
  <r>
    <n v="7945"/>
    <n v="56768"/>
    <x v="614"/>
    <x v="2"/>
    <s v="Critical"/>
    <n v="37"/>
    <n v="111.39"/>
    <n v="0.02"/>
    <s v="Regular Air"/>
    <n v="20.059999999999999"/>
    <n v="2.88"/>
    <n v="0.7"/>
    <x v="353"/>
    <x v="5"/>
    <x v="2"/>
    <x v="2"/>
    <x v="0"/>
    <x v="12"/>
    <x v="24"/>
    <s v="Wrap Bag"/>
    <n v="0.56000000000000005"/>
    <d v="2011-07-29T00:00:00"/>
    <n v="0"/>
    <n v="0"/>
    <n v="0.5"/>
    <n v="0.5"/>
  </r>
  <r>
    <n v="7961"/>
    <n v="56900"/>
    <x v="992"/>
    <x v="27"/>
    <s v="Not Specified"/>
    <n v="16"/>
    <n v="54.32"/>
    <n v="0.09"/>
    <s v="Regular Air"/>
    <n v="16.11"/>
    <n v="3.41"/>
    <n v="0.7"/>
    <x v="412"/>
    <x v="5"/>
    <x v="2"/>
    <x v="0"/>
    <x v="0"/>
    <x v="6"/>
    <x v="1027"/>
    <s v="Wrap Bag"/>
    <n v="0.37"/>
    <d v="2011-11-28T00:00:00"/>
    <n v="0"/>
    <n v="0"/>
    <n v="1"/>
    <n v="1"/>
  </r>
  <r>
    <n v="7974"/>
    <n v="57056"/>
    <x v="963"/>
    <x v="32"/>
    <s v="Low"/>
    <n v="29"/>
    <n v="2185.61"/>
    <n v="0.01"/>
    <s v="Delivery Truck"/>
    <n v="-2897.2515000000003"/>
    <n v="70.89"/>
    <n v="89.3"/>
    <x v="412"/>
    <x v="5"/>
    <x v="2"/>
    <x v="2"/>
    <x v="2"/>
    <x v="10"/>
    <x v="818"/>
    <s v="Jumbo Box"/>
    <n v="0.72"/>
    <d v="2012-11-15T00:00:00"/>
    <n v="0"/>
    <n v="0"/>
    <n v="1"/>
    <n v="1"/>
  </r>
  <r>
    <n v="8170"/>
    <n v="58372"/>
    <x v="284"/>
    <x v="37"/>
    <s v="Low"/>
    <n v="48"/>
    <n v="184.1"/>
    <n v="0.04"/>
    <s v="Regular Air"/>
    <n v="43.2"/>
    <n v="3.98"/>
    <n v="0.7"/>
    <x v="293"/>
    <x v="5"/>
    <x v="2"/>
    <x v="2"/>
    <x v="0"/>
    <x v="12"/>
    <x v="1081"/>
    <s v="Wrap Bag"/>
    <n v="0.52"/>
    <d v="2011-04-07T00:00:00"/>
    <n v="0"/>
    <n v="0"/>
    <n v="0.5"/>
    <n v="0.5"/>
  </r>
  <r>
    <n v="8297"/>
    <n v="59270"/>
    <x v="1057"/>
    <x v="38"/>
    <s v="High"/>
    <n v="48"/>
    <n v="25312"/>
    <n v="0.01"/>
    <s v="Delivery Truck"/>
    <n v="8788.81"/>
    <n v="517.48"/>
    <n v="16.63"/>
    <x v="404"/>
    <x v="5"/>
    <x v="2"/>
    <x v="0"/>
    <x v="1"/>
    <x v="16"/>
    <x v="666"/>
    <s v="Jumbo Box"/>
    <n v="0.59"/>
    <d v="2010-01-13T00:00:00"/>
    <n v="1"/>
    <n v="0"/>
    <n v="0.25"/>
    <n v="0.25"/>
  </r>
  <r>
    <n v="8298"/>
    <n v="59270"/>
    <x v="1057"/>
    <x v="38"/>
    <s v="High"/>
    <n v="14"/>
    <n v="2138.63"/>
    <n v="0.01"/>
    <s v="Regular Air"/>
    <n v="453.03"/>
    <n v="142.86000000000001"/>
    <n v="19.989999999999998"/>
    <x v="404"/>
    <x v="5"/>
    <x v="2"/>
    <x v="0"/>
    <x v="0"/>
    <x v="0"/>
    <x v="690"/>
    <s v="Small Box"/>
    <n v="0.56000000000000005"/>
    <d v="2010-01-12T00:00:00"/>
    <n v="1"/>
    <n v="0"/>
    <n v="0.25"/>
    <n v="0.25"/>
  </r>
  <r>
    <n v="8343"/>
    <n v="59619"/>
    <x v="1058"/>
    <x v="6"/>
    <s v="Not Specified"/>
    <n v="12"/>
    <n v="76.040000000000006"/>
    <n v="0.04"/>
    <s v="Regular Air"/>
    <n v="-47.55"/>
    <n v="5.98"/>
    <n v="7.15"/>
    <x v="368"/>
    <x v="5"/>
    <x v="2"/>
    <x v="1"/>
    <x v="0"/>
    <x v="5"/>
    <x v="1034"/>
    <s v="Small Box"/>
    <n v="0.36"/>
    <d v="2010-02-15T00:00:00"/>
    <n v="0"/>
    <n v="0"/>
    <n v="0.5"/>
    <n v="0.5"/>
  </r>
  <r>
    <n v="8367"/>
    <n v="59781"/>
    <x v="1059"/>
    <x v="45"/>
    <s v="Not Specified"/>
    <n v="24"/>
    <n v="4408.2700000000004"/>
    <n v="0.04"/>
    <s v="Delivery Truck"/>
    <n v="329.28"/>
    <n v="180.98"/>
    <n v="30"/>
    <x v="413"/>
    <x v="5"/>
    <x v="2"/>
    <x v="2"/>
    <x v="2"/>
    <x v="14"/>
    <x v="741"/>
    <s v="Jumbo Drum"/>
    <n v="0.69"/>
    <d v="2012-12-13T00:00:00"/>
    <n v="0"/>
    <n v="0"/>
    <n v="0.2"/>
    <n v="0.2"/>
  </r>
  <r>
    <n v="23"/>
    <n v="132"/>
    <x v="1060"/>
    <x v="30"/>
    <s v="Medium"/>
    <n v="30"/>
    <n v="4011.65"/>
    <n v="0.05"/>
    <s v="Delivery Truck"/>
    <n v="-603.79999999999995"/>
    <n v="130.97999999999999"/>
    <n v="54.74"/>
    <x v="414"/>
    <x v="5"/>
    <x v="2"/>
    <x v="1"/>
    <x v="2"/>
    <x v="9"/>
    <x v="631"/>
    <s v="Jumbo Box"/>
    <n v="0.69"/>
    <d v="2010-06-13T00:00:00"/>
    <n v="0"/>
    <n v="0"/>
    <n v="0.5"/>
    <n v="0.5"/>
  </r>
  <r>
    <n v="42"/>
    <n v="258"/>
    <x v="282"/>
    <x v="15"/>
    <s v="Critical"/>
    <n v="21"/>
    <n v="154.35"/>
    <n v="0"/>
    <s v="Regular Air"/>
    <n v="-91.14"/>
    <n v="6.48"/>
    <n v="8.74"/>
    <x v="415"/>
    <x v="5"/>
    <x v="2"/>
    <x v="3"/>
    <x v="0"/>
    <x v="5"/>
    <x v="911"/>
    <s v="Small Box"/>
    <n v="0.36"/>
    <d v="2010-12-30T00:00:00"/>
    <n v="0"/>
    <n v="0"/>
    <n v="0.33333333333333331"/>
    <n v="0.33333333333333331"/>
  </r>
  <r>
    <n v="43"/>
    <n v="258"/>
    <x v="282"/>
    <x v="15"/>
    <s v="Critical"/>
    <n v="7"/>
    <n v="201.36"/>
    <n v="0"/>
    <s v="Delivery Truck"/>
    <n v="-284.39999999999998"/>
    <n v="20.98"/>
    <n v="53.03"/>
    <x v="415"/>
    <x v="5"/>
    <x v="2"/>
    <x v="3"/>
    <x v="0"/>
    <x v="0"/>
    <x v="111"/>
    <s v="Jumbo Drum"/>
    <n v="0.78"/>
    <d v="2010-12-29T00:00:00"/>
    <n v="0"/>
    <n v="0"/>
    <n v="0.33333333333333331"/>
    <n v="0.33333333333333331"/>
  </r>
  <r>
    <n v="57"/>
    <n v="325"/>
    <x v="1034"/>
    <x v="0"/>
    <s v="Low"/>
    <n v="9"/>
    <n v="884.12750000000005"/>
    <n v="0.06"/>
    <s v="Regular Air"/>
    <n v="-178.70600000000002"/>
    <n v="115.99"/>
    <n v="4.2300000000000004"/>
    <x v="340"/>
    <x v="5"/>
    <x v="2"/>
    <x v="2"/>
    <x v="1"/>
    <x v="3"/>
    <x v="1082"/>
    <s v="Small Box"/>
    <n v="0.56000000000000005"/>
    <d v="2010-10-20T00:00:00"/>
    <n v="0"/>
    <n v="0"/>
    <n v="1"/>
    <n v="1"/>
  </r>
  <r>
    <n v="217"/>
    <n v="1444"/>
    <x v="738"/>
    <x v="47"/>
    <s v="Medium"/>
    <n v="32"/>
    <n v="21717.360000000001"/>
    <n v="0.06"/>
    <s v="Express Air"/>
    <n v="8249.86"/>
    <n v="699.99"/>
    <n v="24.49"/>
    <x v="304"/>
    <x v="5"/>
    <x v="2"/>
    <x v="3"/>
    <x v="1"/>
    <x v="13"/>
    <x v="286"/>
    <s v="Large Box"/>
    <n v="0.41"/>
    <d v="2009-12-07T00:00:00"/>
    <n v="0"/>
    <n v="0"/>
    <n v="0.2"/>
    <n v="0.2"/>
  </r>
  <r>
    <n v="302"/>
    <n v="2084"/>
    <x v="254"/>
    <x v="14"/>
    <s v="High"/>
    <n v="16"/>
    <n v="692.73"/>
    <n v="0.01"/>
    <s v="Regular Air"/>
    <n v="94.97"/>
    <n v="40.99"/>
    <n v="17.48"/>
    <x v="290"/>
    <x v="5"/>
    <x v="2"/>
    <x v="2"/>
    <x v="0"/>
    <x v="5"/>
    <x v="129"/>
    <s v="Small Box"/>
    <n v="0.36"/>
    <d v="2010-03-18T00:00:00"/>
    <n v="0"/>
    <n v="0"/>
    <n v="1"/>
    <n v="1"/>
  </r>
  <r>
    <n v="480"/>
    <n v="3332"/>
    <x v="669"/>
    <x v="11"/>
    <s v="Critical"/>
    <n v="6"/>
    <n v="22.19"/>
    <n v="0.01"/>
    <s v="Regular Air"/>
    <n v="-3.51"/>
    <n v="3.26"/>
    <n v="1.86"/>
    <x v="364"/>
    <x v="5"/>
    <x v="2"/>
    <x v="2"/>
    <x v="0"/>
    <x v="12"/>
    <x v="1071"/>
    <s v="Wrap Bag"/>
    <n v="0.41"/>
    <d v="2009-11-06T00:00:00"/>
    <n v="0"/>
    <n v="0"/>
    <n v="1"/>
    <n v="1"/>
  </r>
  <r>
    <n v="494"/>
    <n v="3397"/>
    <x v="109"/>
    <x v="41"/>
    <s v="Medium"/>
    <n v="43"/>
    <n v="815.89"/>
    <n v="0.1"/>
    <s v="Regular Air"/>
    <n v="-20.25"/>
    <n v="19.98"/>
    <n v="4"/>
    <x v="370"/>
    <x v="5"/>
    <x v="2"/>
    <x v="1"/>
    <x v="1"/>
    <x v="7"/>
    <x v="507"/>
    <s v="Small Box"/>
    <n v="0.68"/>
    <d v="2009-06-24T00:00:00"/>
    <n v="0"/>
    <n v="0"/>
    <n v="0.5"/>
    <n v="0.5"/>
  </r>
  <r>
    <n v="519"/>
    <n v="3556"/>
    <x v="303"/>
    <x v="34"/>
    <s v="Not Specified"/>
    <n v="41"/>
    <n v="4933.99"/>
    <n v="0.1"/>
    <s v="Regular Air"/>
    <n v="1161.8900000000001"/>
    <n v="128.24"/>
    <n v="12.65"/>
    <x v="350"/>
    <x v="5"/>
    <x v="2"/>
    <x v="3"/>
    <x v="2"/>
    <x v="14"/>
    <x v="410"/>
    <s v="Medium Box"/>
    <m/>
    <d v="2012-09-22T00:00:00"/>
    <n v="0"/>
    <n v="0"/>
    <n v="0.5"/>
    <n v="0.5"/>
  </r>
  <r>
    <n v="529"/>
    <n v="3589"/>
    <x v="1061"/>
    <x v="43"/>
    <s v="High"/>
    <n v="23"/>
    <n v="72.930000000000007"/>
    <n v="0.01"/>
    <s v="Regular Air"/>
    <n v="28.55"/>
    <n v="3.15"/>
    <n v="0.49"/>
    <x v="416"/>
    <x v="5"/>
    <x v="2"/>
    <x v="3"/>
    <x v="0"/>
    <x v="11"/>
    <x v="927"/>
    <s v="Small Box"/>
    <n v="0.37"/>
    <d v="2009-05-27T00:00:00"/>
    <n v="0"/>
    <n v="0"/>
    <n v="1"/>
    <n v="1"/>
  </r>
  <r>
    <n v="573"/>
    <n v="3905"/>
    <x v="1062"/>
    <x v="15"/>
    <s v="Not Specified"/>
    <n v="42"/>
    <n v="2537.88"/>
    <n v="0.03"/>
    <s v="Delivery Truck"/>
    <n v="-377.25"/>
    <n v="60.89"/>
    <n v="32.409999999999997"/>
    <x v="342"/>
    <x v="5"/>
    <x v="2"/>
    <x v="1"/>
    <x v="2"/>
    <x v="14"/>
    <x v="1031"/>
    <s v="Jumbo Drum"/>
    <n v="0.56000000000000005"/>
    <d v="2010-12-21T00:00:00"/>
    <n v="0"/>
    <n v="0"/>
    <n v="1"/>
    <n v="1"/>
  </r>
  <r>
    <n v="590"/>
    <n v="4033"/>
    <x v="306"/>
    <x v="30"/>
    <s v="Low"/>
    <n v="38"/>
    <n v="19269.05"/>
    <n v="0"/>
    <s v="Delivery Truck"/>
    <n v="4127.79"/>
    <n v="500.98"/>
    <n v="41.44"/>
    <x v="417"/>
    <x v="5"/>
    <x v="2"/>
    <x v="1"/>
    <x v="2"/>
    <x v="9"/>
    <x v="1083"/>
    <s v="Jumbo Box"/>
    <n v="0.66"/>
    <d v="2010-06-08T00:00:00"/>
    <n v="0"/>
    <n v="0"/>
    <n v="0.5"/>
    <n v="0.5"/>
  </r>
  <r>
    <n v="662"/>
    <n v="4647"/>
    <x v="1006"/>
    <x v="43"/>
    <s v="Medium"/>
    <n v="33"/>
    <n v="1590.163"/>
    <n v="0.01"/>
    <s v="Regular Air"/>
    <n v="-57.541000000000004"/>
    <n v="55.99"/>
    <n v="5"/>
    <x v="334"/>
    <x v="5"/>
    <x v="2"/>
    <x v="2"/>
    <x v="1"/>
    <x v="3"/>
    <x v="159"/>
    <s v="Small Pack"/>
    <n v="0.8"/>
    <d v="2009-05-14T00:00:00"/>
    <n v="0"/>
    <n v="0"/>
    <n v="0.25"/>
    <n v="0.25"/>
  </r>
  <r>
    <n v="686"/>
    <n v="4773"/>
    <x v="1063"/>
    <x v="25"/>
    <s v="Critical"/>
    <n v="26"/>
    <n v="311.38"/>
    <n v="0.06"/>
    <s v="Regular Air"/>
    <n v="34.119999999999997"/>
    <n v="11.58"/>
    <n v="5.72"/>
    <x v="415"/>
    <x v="5"/>
    <x v="2"/>
    <x v="3"/>
    <x v="0"/>
    <x v="8"/>
    <x v="188"/>
    <s v="Small Box"/>
    <n v="0.35"/>
    <d v="2011-12-23T00:00:00"/>
    <n v="0"/>
    <n v="0"/>
    <n v="0.5"/>
    <n v="0.25"/>
  </r>
  <r>
    <n v="724"/>
    <n v="5189"/>
    <x v="273"/>
    <x v="7"/>
    <s v="Low"/>
    <n v="8"/>
    <n v="24.72"/>
    <n v="0.06"/>
    <s v="Regular Air"/>
    <n v="-21.47"/>
    <n v="2.74"/>
    <n v="3.5"/>
    <x v="383"/>
    <x v="5"/>
    <x v="2"/>
    <x v="2"/>
    <x v="0"/>
    <x v="12"/>
    <x v="1084"/>
    <s v="Small Pack"/>
    <n v="0.57999999999999996"/>
    <d v="2010-11-27T00:00:00"/>
    <n v="0"/>
    <n v="0"/>
    <n v="0.33333333333333331"/>
    <n v="0.33333333333333331"/>
  </r>
  <r>
    <n v="772"/>
    <n v="5510"/>
    <x v="807"/>
    <x v="38"/>
    <s v="Medium"/>
    <n v="12"/>
    <n v="116.38"/>
    <n v="0.08"/>
    <s v="Regular Air"/>
    <n v="29.68"/>
    <n v="9.68"/>
    <n v="2.0299999999999998"/>
    <x v="416"/>
    <x v="5"/>
    <x v="2"/>
    <x v="3"/>
    <x v="0"/>
    <x v="5"/>
    <x v="849"/>
    <s v="Wrap Bag"/>
    <n v="0.37"/>
    <d v="2010-01-10T00:00:00"/>
    <n v="1"/>
    <n v="0"/>
    <n v="1"/>
    <n v="1"/>
  </r>
  <r>
    <n v="886"/>
    <n v="6369"/>
    <x v="354"/>
    <x v="47"/>
    <s v="High"/>
    <n v="30"/>
    <n v="14922.16"/>
    <n v="0.1"/>
    <s v="Delivery Truck"/>
    <n v="545.69745"/>
    <n v="550.98"/>
    <n v="45.7"/>
    <x v="416"/>
    <x v="5"/>
    <x v="2"/>
    <x v="2"/>
    <x v="2"/>
    <x v="10"/>
    <x v="1079"/>
    <s v="Jumbo Box"/>
    <n v="0.71"/>
    <d v="2009-12-21T00:00:00"/>
    <n v="0"/>
    <n v="0"/>
    <n v="1"/>
    <n v="1"/>
  </r>
  <r>
    <n v="887"/>
    <n v="6373"/>
    <x v="1064"/>
    <x v="23"/>
    <s v="Not Specified"/>
    <n v="1"/>
    <n v="62.77"/>
    <n v="0.01"/>
    <s v="Regular Air"/>
    <n v="-36.840000000000003"/>
    <n v="60.97"/>
    <n v="4.5"/>
    <x v="416"/>
    <x v="5"/>
    <x v="2"/>
    <x v="3"/>
    <x v="0"/>
    <x v="1"/>
    <x v="1085"/>
    <s v="Small Box"/>
    <n v="0.56000000000000005"/>
    <d v="2012-01-24T00:00:00"/>
    <n v="0"/>
    <n v="0"/>
    <n v="1"/>
    <n v="1"/>
  </r>
  <r>
    <n v="900"/>
    <n v="6465"/>
    <x v="160"/>
    <x v="21"/>
    <s v="Low"/>
    <n v="36"/>
    <n v="240.14"/>
    <n v="0.06"/>
    <s v="Express Air"/>
    <n v="57.78"/>
    <n v="6.88"/>
    <n v="2"/>
    <x v="394"/>
    <x v="5"/>
    <x v="2"/>
    <x v="0"/>
    <x v="0"/>
    <x v="5"/>
    <x v="810"/>
    <s v="Wrap Bag"/>
    <n v="0.39"/>
    <d v="2011-08-19T00:00:00"/>
    <n v="0"/>
    <n v="0"/>
    <n v="1"/>
    <n v="1"/>
  </r>
  <r>
    <n v="953"/>
    <n v="6885"/>
    <x v="1033"/>
    <x v="8"/>
    <s v="Low"/>
    <n v="40"/>
    <n v="879.54"/>
    <n v="0.09"/>
    <s v="Regular Air"/>
    <n v="166.93"/>
    <n v="23.99"/>
    <n v="6.3"/>
    <x v="355"/>
    <x v="5"/>
    <x v="2"/>
    <x v="2"/>
    <x v="1"/>
    <x v="16"/>
    <x v="450"/>
    <s v="Medium Box"/>
    <n v="0.38"/>
    <d v="2012-06-19T00:00:00"/>
    <n v="0"/>
    <n v="0"/>
    <n v="0.5"/>
    <n v="0.5"/>
  </r>
  <r>
    <n v="1004"/>
    <n v="7297"/>
    <x v="940"/>
    <x v="35"/>
    <s v="High"/>
    <n v="4"/>
    <n v="1620.94"/>
    <n v="0.1"/>
    <s v="Delivery Truck"/>
    <n v="-969.0483660000001"/>
    <n v="400.98"/>
    <n v="76.37"/>
    <x v="418"/>
    <x v="5"/>
    <x v="2"/>
    <x v="0"/>
    <x v="2"/>
    <x v="10"/>
    <x v="861"/>
    <s v="Jumbo Box"/>
    <n v="0.6"/>
    <d v="2009-09-15T00:00:00"/>
    <n v="0"/>
    <n v="0"/>
    <n v="0.33333333333333331"/>
    <n v="0.33333333333333331"/>
  </r>
  <r>
    <n v="1009"/>
    <n v="7367"/>
    <x v="739"/>
    <x v="4"/>
    <s v="Low"/>
    <n v="48"/>
    <n v="269.93"/>
    <n v="0.05"/>
    <s v="Express Air"/>
    <n v="119.64"/>
    <n v="5.43"/>
    <n v="0.95"/>
    <x v="335"/>
    <x v="5"/>
    <x v="2"/>
    <x v="0"/>
    <x v="0"/>
    <x v="5"/>
    <x v="444"/>
    <s v="Wrap Bag"/>
    <n v="0.36"/>
    <d v="2011-06-10T00:00:00"/>
    <n v="0"/>
    <n v="0"/>
    <n v="0.5"/>
    <n v="0.5"/>
  </r>
  <r>
    <n v="1051"/>
    <n v="7751"/>
    <x v="1065"/>
    <x v="45"/>
    <s v="Not Specified"/>
    <n v="45"/>
    <n v="4547.8999999999996"/>
    <n v="0.01"/>
    <s v="Delivery Truck"/>
    <n v="-768.14"/>
    <n v="95.98"/>
    <n v="58.2"/>
    <x v="255"/>
    <x v="5"/>
    <x v="2"/>
    <x v="2"/>
    <x v="2"/>
    <x v="14"/>
    <x v="966"/>
    <s v="Jumbo Drum"/>
    <n v="0.57999999999999996"/>
    <d v="2012-12-24T00:00:00"/>
    <n v="0"/>
    <n v="0"/>
    <n v="1"/>
    <n v="1"/>
  </r>
  <r>
    <n v="1159"/>
    <n v="8422"/>
    <x v="1015"/>
    <x v="46"/>
    <s v="Medium"/>
    <n v="18"/>
    <n v="4212.7519999999995"/>
    <n v="0.06"/>
    <s v="Delivery Truck"/>
    <n v="-715.7782060000003"/>
    <n v="296.18"/>
    <n v="54.12"/>
    <x v="419"/>
    <x v="5"/>
    <x v="2"/>
    <x v="3"/>
    <x v="2"/>
    <x v="10"/>
    <x v="300"/>
    <s v="Jumbo Box"/>
    <n v="0.76"/>
    <d v="2009-04-15T00:00:00"/>
    <n v="0"/>
    <n v="0"/>
    <n v="0.5"/>
    <n v="0.5"/>
  </r>
  <r>
    <n v="1244"/>
    <n v="9062"/>
    <x v="1009"/>
    <x v="5"/>
    <s v="High"/>
    <n v="32"/>
    <n v="119.2"/>
    <n v="0.06"/>
    <s v="Regular Air"/>
    <n v="30.61"/>
    <n v="3.93"/>
    <n v="0.99"/>
    <x v="338"/>
    <x v="5"/>
    <x v="2"/>
    <x v="1"/>
    <x v="0"/>
    <x v="6"/>
    <x v="262"/>
    <s v="Wrap Bag"/>
    <n v="0.39"/>
    <d v="2011-03-21T00:00:00"/>
    <n v="0"/>
    <n v="0"/>
    <n v="0.5"/>
    <n v="0.5"/>
  </r>
  <r>
    <n v="1403"/>
    <n v="10209"/>
    <x v="1010"/>
    <x v="7"/>
    <s v="Medium"/>
    <n v="48"/>
    <n v="418.82"/>
    <n v="0.02"/>
    <s v="Regular Air"/>
    <n v="-60.213999999999999"/>
    <n v="8.6"/>
    <n v="6.19"/>
    <x v="339"/>
    <x v="5"/>
    <x v="2"/>
    <x v="2"/>
    <x v="0"/>
    <x v="2"/>
    <x v="682"/>
    <s v="Small Box"/>
    <n v="0.38"/>
    <d v="2010-12-01T00:00:00"/>
    <n v="0"/>
    <n v="0"/>
    <n v="0.5"/>
    <n v="0.5"/>
  </r>
  <r>
    <n v="1412"/>
    <n v="10245"/>
    <x v="296"/>
    <x v="44"/>
    <s v="Medium"/>
    <n v="23"/>
    <n v="127.17"/>
    <n v="0.1"/>
    <s v="Regular Air"/>
    <n v="-108.1345"/>
    <n v="5.53"/>
    <n v="6.98"/>
    <x v="352"/>
    <x v="5"/>
    <x v="2"/>
    <x v="2"/>
    <x v="0"/>
    <x v="2"/>
    <x v="518"/>
    <s v="Small Box"/>
    <n v="0.39"/>
    <d v="2011-02-15T00:00:00"/>
    <n v="0"/>
    <n v="0"/>
    <n v="0.33333333333333331"/>
    <n v="0.33333333333333331"/>
  </r>
  <r>
    <n v="1525"/>
    <n v="11008"/>
    <x v="998"/>
    <x v="40"/>
    <s v="Critical"/>
    <n v="17"/>
    <n v="2545.89"/>
    <n v="0.01"/>
    <s v="Regular Air"/>
    <n v="-321.51"/>
    <n v="138.13999999999999"/>
    <n v="35"/>
    <x v="379"/>
    <x v="5"/>
    <x v="2"/>
    <x v="0"/>
    <x v="0"/>
    <x v="0"/>
    <x v="8"/>
    <s v="Large Box"/>
    <m/>
    <d v="2009-02-26T00:00:00"/>
    <n v="0"/>
    <n v="0"/>
    <n v="1"/>
    <n v="1"/>
  </r>
  <r>
    <n v="1600"/>
    <n v="11585"/>
    <x v="689"/>
    <x v="28"/>
    <s v="Medium"/>
    <n v="17"/>
    <n v="281.83999999999997"/>
    <n v="0.1"/>
    <s v="Regular Air"/>
    <n v="-99.55"/>
    <n v="17.98"/>
    <n v="4"/>
    <x v="341"/>
    <x v="5"/>
    <x v="2"/>
    <x v="1"/>
    <x v="1"/>
    <x v="7"/>
    <x v="661"/>
    <s v="Small Box"/>
    <n v="0.79"/>
    <d v="2009-03-16T00:00:00"/>
    <n v="0"/>
    <n v="0"/>
    <n v="0.5"/>
    <n v="0.5"/>
  </r>
  <r>
    <n v="1870"/>
    <n v="13472"/>
    <x v="1052"/>
    <x v="17"/>
    <s v="Critical"/>
    <n v="26"/>
    <n v="106.03"/>
    <n v="0.09"/>
    <s v="Regular Air"/>
    <n v="42.89"/>
    <n v="4.13"/>
    <n v="0.5"/>
    <x v="331"/>
    <x v="5"/>
    <x v="2"/>
    <x v="3"/>
    <x v="0"/>
    <x v="11"/>
    <x v="84"/>
    <s v="Small Box"/>
    <n v="0.39"/>
    <d v="2011-10-27T00:00:00"/>
    <n v="0"/>
    <n v="0"/>
    <n v="1"/>
    <n v="1"/>
  </r>
  <r>
    <n v="1973"/>
    <n v="14114"/>
    <x v="319"/>
    <x v="46"/>
    <s v="Critical"/>
    <n v="29"/>
    <n v="65.16"/>
    <n v="0.03"/>
    <s v="Regular Air"/>
    <n v="-7.04"/>
    <n v="2.1800000000000002"/>
    <n v="1.38"/>
    <x v="398"/>
    <x v="5"/>
    <x v="2"/>
    <x v="0"/>
    <x v="0"/>
    <x v="6"/>
    <x v="1086"/>
    <s v="Wrap Bag"/>
    <n v="0.44"/>
    <d v="2009-04-06T00:00:00"/>
    <n v="0"/>
    <n v="0"/>
    <n v="0.33333333333333331"/>
    <n v="0.33333333333333331"/>
  </r>
  <r>
    <n v="2060"/>
    <n v="14727"/>
    <x v="572"/>
    <x v="29"/>
    <s v="Medium"/>
    <n v="33"/>
    <n v="2269.41"/>
    <n v="0.05"/>
    <s v="Regular Air"/>
    <n v="630.17999999999995"/>
    <n v="70.97"/>
    <n v="3.5"/>
    <x v="343"/>
    <x v="5"/>
    <x v="2"/>
    <x v="0"/>
    <x v="0"/>
    <x v="1"/>
    <x v="1023"/>
    <s v="Small Box"/>
    <n v="0.59"/>
    <d v="2012-07-20T00:00:00"/>
    <n v="0"/>
    <n v="0"/>
    <n v="0.5"/>
    <n v="0.5"/>
  </r>
  <r>
    <n v="2153"/>
    <n v="15399"/>
    <x v="212"/>
    <x v="20"/>
    <s v="Critical"/>
    <n v="46"/>
    <n v="2514.5124999999998"/>
    <n v="0.04"/>
    <s v="Express Air"/>
    <n v="601.65"/>
    <n v="65.989999999999995"/>
    <n v="4.99"/>
    <x v="420"/>
    <x v="5"/>
    <x v="2"/>
    <x v="0"/>
    <x v="1"/>
    <x v="3"/>
    <x v="539"/>
    <s v="Small Box"/>
    <n v="0.56999999999999995"/>
    <d v="2012-05-14T00:00:00"/>
    <n v="0"/>
    <n v="0"/>
    <n v="0.33333333333333331"/>
    <n v="0.33333333333333331"/>
  </r>
  <r>
    <n v="2168"/>
    <n v="15619"/>
    <x v="1036"/>
    <x v="4"/>
    <s v="Low"/>
    <n v="9"/>
    <n v="1425.21"/>
    <n v="0.1"/>
    <s v="Delivery Truck"/>
    <n v="-65.02"/>
    <n v="160.97999999999999"/>
    <n v="30"/>
    <x v="390"/>
    <x v="5"/>
    <x v="2"/>
    <x v="2"/>
    <x v="2"/>
    <x v="14"/>
    <x v="580"/>
    <s v="Jumbo Drum"/>
    <n v="0.62"/>
    <d v="2011-07-05T00:00:00"/>
    <n v="0"/>
    <n v="0"/>
    <n v="0.5"/>
    <n v="0.5"/>
  </r>
  <r>
    <n v="2248"/>
    <n v="16194"/>
    <x v="206"/>
    <x v="0"/>
    <s v="Not Specified"/>
    <n v="24"/>
    <n v="2435.5135"/>
    <n v="0.08"/>
    <s v="Regular Air"/>
    <n v="315.48599999999999"/>
    <n v="125.99"/>
    <n v="4.2"/>
    <x v="420"/>
    <x v="5"/>
    <x v="2"/>
    <x v="0"/>
    <x v="1"/>
    <x v="3"/>
    <x v="1087"/>
    <s v="Small Box"/>
    <n v="0.59"/>
    <d v="2010-10-09T00:00:00"/>
    <n v="0"/>
    <n v="0"/>
    <n v="1"/>
    <n v="1"/>
  </r>
  <r>
    <n v="2255"/>
    <n v="16229"/>
    <x v="295"/>
    <x v="28"/>
    <s v="High"/>
    <n v="19"/>
    <n v="568.74350000000004"/>
    <n v="0.05"/>
    <s v="Regular Air"/>
    <n v="143.79300000000001"/>
    <n v="35.99"/>
    <n v="3.3"/>
    <x v="346"/>
    <x v="5"/>
    <x v="2"/>
    <x v="0"/>
    <x v="1"/>
    <x v="3"/>
    <x v="292"/>
    <s v="Small Pack"/>
    <n v="0.39"/>
    <d v="2009-03-31T00:00:00"/>
    <n v="0"/>
    <n v="0"/>
    <n v="0.5"/>
    <n v="0.5"/>
  </r>
  <r>
    <n v="2260"/>
    <n v="16231"/>
    <x v="944"/>
    <x v="34"/>
    <s v="Low"/>
    <n v="20"/>
    <n v="2506.38"/>
    <n v="7.0000000000000007E-2"/>
    <s v="Delivery Truck"/>
    <n v="-500.45710000000014"/>
    <n v="124.49"/>
    <n v="51.94"/>
    <x v="346"/>
    <x v="5"/>
    <x v="2"/>
    <x v="1"/>
    <x v="2"/>
    <x v="10"/>
    <x v="307"/>
    <s v="Jumbo Box"/>
    <n v="0.63"/>
    <d v="2012-09-09T00:00:00"/>
    <n v="0"/>
    <n v="0"/>
    <n v="1"/>
    <n v="1"/>
  </r>
  <r>
    <n v="2312"/>
    <n v="16674"/>
    <x v="355"/>
    <x v="37"/>
    <s v="Low"/>
    <n v="49"/>
    <n v="1959.43"/>
    <n v="0.09"/>
    <s v="Regular Air"/>
    <n v="467.72"/>
    <n v="42.98"/>
    <n v="4.62"/>
    <x v="405"/>
    <x v="5"/>
    <x v="2"/>
    <x v="0"/>
    <x v="0"/>
    <x v="1"/>
    <x v="667"/>
    <s v="Small Box"/>
    <n v="0.56000000000000005"/>
    <d v="2011-05-06T00:00:00"/>
    <n v="0"/>
    <n v="0"/>
    <n v="0.5"/>
    <n v="0.5"/>
  </r>
  <r>
    <n v="2313"/>
    <n v="16674"/>
    <x v="355"/>
    <x v="37"/>
    <s v="Low"/>
    <n v="39"/>
    <n v="14072.64"/>
    <n v="0.02"/>
    <s v="Delivery Truck"/>
    <n v="2177.54"/>
    <n v="355.98"/>
    <n v="58.92"/>
    <x v="405"/>
    <x v="5"/>
    <x v="2"/>
    <x v="0"/>
    <x v="2"/>
    <x v="14"/>
    <x v="145"/>
    <s v="Jumbo Drum"/>
    <n v="0.64"/>
    <d v="2011-05-08T00:00:00"/>
    <n v="0"/>
    <n v="0"/>
    <n v="0.5"/>
    <n v="0.5"/>
  </r>
  <r>
    <n v="2320"/>
    <n v="16710"/>
    <x v="1066"/>
    <x v="37"/>
    <s v="High"/>
    <n v="47"/>
    <n v="5549.79"/>
    <n v="0.09"/>
    <s v="Delivery Truck"/>
    <n v="1300.8"/>
    <n v="145.44999999999999"/>
    <n v="17.850000000000001"/>
    <x v="370"/>
    <x v="5"/>
    <x v="2"/>
    <x v="1"/>
    <x v="1"/>
    <x v="16"/>
    <x v="127"/>
    <s v="Jumbo Drum"/>
    <n v="0.56000000000000005"/>
    <d v="2011-04-26T00:00:00"/>
    <n v="0"/>
    <n v="0"/>
    <n v="1"/>
    <n v="1"/>
  </r>
  <r>
    <n v="2401"/>
    <n v="17408"/>
    <x v="347"/>
    <x v="43"/>
    <s v="Not Specified"/>
    <n v="41"/>
    <n v="728.12699999999995"/>
    <n v="0.02"/>
    <s v="Regular Air"/>
    <n v="49.787999999999997"/>
    <n v="20.99"/>
    <n v="4.8099999999999996"/>
    <x v="388"/>
    <x v="5"/>
    <x v="2"/>
    <x v="2"/>
    <x v="1"/>
    <x v="3"/>
    <x v="591"/>
    <s v="Medium Box"/>
    <n v="0.57999999999999996"/>
    <d v="2009-05-29T00:00:00"/>
    <n v="0"/>
    <n v="0"/>
    <n v="0.5"/>
    <n v="0.5"/>
  </r>
  <r>
    <n v="2437"/>
    <n v="17698"/>
    <x v="212"/>
    <x v="20"/>
    <s v="High"/>
    <n v="22"/>
    <n v="1118.2514999999999"/>
    <n v="0.1"/>
    <s v="Regular Air"/>
    <n v="-59.587000000000003"/>
    <n v="65.989999999999995"/>
    <n v="8.99"/>
    <x v="407"/>
    <x v="5"/>
    <x v="2"/>
    <x v="2"/>
    <x v="1"/>
    <x v="3"/>
    <x v="304"/>
    <s v="Small Box"/>
    <n v="0.57999999999999996"/>
    <d v="2012-05-15T00:00:00"/>
    <n v="0"/>
    <n v="0"/>
    <n v="0.33333333333333331"/>
    <n v="0.33333333333333331"/>
  </r>
  <r>
    <n v="2438"/>
    <n v="17698"/>
    <x v="212"/>
    <x v="20"/>
    <s v="High"/>
    <n v="40"/>
    <n v="609.4"/>
    <n v="0.04"/>
    <s v="Regular Air"/>
    <n v="-89.228499999999997"/>
    <n v="15.28"/>
    <n v="10.91"/>
    <x v="407"/>
    <x v="5"/>
    <x v="2"/>
    <x v="2"/>
    <x v="0"/>
    <x v="2"/>
    <x v="419"/>
    <s v="Small Box"/>
    <n v="0.36"/>
    <d v="2012-05-14T00:00:00"/>
    <n v="0"/>
    <n v="0"/>
    <n v="0.33333333333333331"/>
    <n v="0.33333333333333331"/>
  </r>
  <r>
    <n v="2570"/>
    <n v="18534"/>
    <x v="294"/>
    <x v="25"/>
    <s v="Low"/>
    <n v="36"/>
    <n v="282.58"/>
    <n v="0.1"/>
    <s v="Express Air"/>
    <n v="21.68"/>
    <n v="8.33"/>
    <n v="1.99"/>
    <x v="365"/>
    <x v="5"/>
    <x v="2"/>
    <x v="2"/>
    <x v="1"/>
    <x v="7"/>
    <x v="206"/>
    <s v="Small Pack"/>
    <n v="0.52"/>
    <d v="2011-12-30T00:00:00"/>
    <n v="0"/>
    <n v="0"/>
    <n v="1"/>
    <n v="0.5"/>
  </r>
  <r>
    <n v="2622"/>
    <n v="18951"/>
    <x v="779"/>
    <x v="4"/>
    <s v="Critical"/>
    <n v="16"/>
    <n v="61.5"/>
    <n v="0.09"/>
    <s v="Regular Air"/>
    <n v="-16.27"/>
    <n v="3.98"/>
    <n v="2.97"/>
    <x v="352"/>
    <x v="5"/>
    <x v="2"/>
    <x v="2"/>
    <x v="0"/>
    <x v="5"/>
    <x v="48"/>
    <s v="Wrap Bag"/>
    <n v="0.35"/>
    <d v="2011-06-30T00:00:00"/>
    <n v="0"/>
    <n v="0"/>
    <n v="0.5"/>
    <n v="0.5"/>
  </r>
  <r>
    <n v="2623"/>
    <n v="18951"/>
    <x v="779"/>
    <x v="4"/>
    <s v="Critical"/>
    <n v="10"/>
    <n v="324.3175"/>
    <n v="0.03"/>
    <s v="Express Air"/>
    <n v="-169.74100000000001"/>
    <n v="35.99"/>
    <n v="5"/>
    <x v="352"/>
    <x v="5"/>
    <x v="2"/>
    <x v="2"/>
    <x v="1"/>
    <x v="3"/>
    <x v="643"/>
    <s v="Small Box"/>
    <n v="0.85"/>
    <d v="2011-07-01T00:00:00"/>
    <n v="0"/>
    <n v="0"/>
    <n v="0.5"/>
    <n v="0.5"/>
  </r>
  <r>
    <n v="2648"/>
    <n v="19174"/>
    <x v="598"/>
    <x v="42"/>
    <s v="Medium"/>
    <n v="49"/>
    <n v="214.62"/>
    <n v="0.05"/>
    <s v="Regular Air"/>
    <n v="-151.42049999999998"/>
    <n v="4.24"/>
    <n v="5.41"/>
    <x v="357"/>
    <x v="5"/>
    <x v="2"/>
    <x v="0"/>
    <x v="0"/>
    <x v="2"/>
    <x v="683"/>
    <s v="Small Box"/>
    <n v="0.35"/>
    <d v="2010-07-18T00:00:00"/>
    <n v="0"/>
    <n v="0"/>
    <n v="0.25"/>
    <n v="0.25"/>
  </r>
  <r>
    <n v="2785"/>
    <n v="20098"/>
    <x v="1038"/>
    <x v="25"/>
    <s v="Medium"/>
    <n v="8"/>
    <n v="194.11"/>
    <n v="0.03"/>
    <s v="Regular Air"/>
    <n v="87.66"/>
    <n v="22.72"/>
    <n v="8.99"/>
    <x v="341"/>
    <x v="5"/>
    <x v="2"/>
    <x v="1"/>
    <x v="2"/>
    <x v="4"/>
    <x v="199"/>
    <s v="Small Pack"/>
    <n v="0.44"/>
    <d v="2011-12-08T00:00:00"/>
    <n v="0"/>
    <n v="0"/>
    <n v="0.5"/>
    <n v="0.5"/>
  </r>
  <r>
    <n v="2942"/>
    <n v="21319"/>
    <x v="36"/>
    <x v="24"/>
    <s v="Medium"/>
    <n v="11"/>
    <n v="167.53"/>
    <n v="0.03"/>
    <s v="Regular Air"/>
    <n v="-40.94"/>
    <n v="14.98"/>
    <n v="7.69"/>
    <x v="341"/>
    <x v="5"/>
    <x v="2"/>
    <x v="1"/>
    <x v="0"/>
    <x v="0"/>
    <x v="932"/>
    <s v="Small Box"/>
    <n v="0.56999999999999995"/>
    <d v="2010-05-02T00:00:00"/>
    <n v="0"/>
    <n v="0"/>
    <n v="0.33333333333333331"/>
    <n v="0.33333333333333331"/>
  </r>
  <r>
    <n v="2944"/>
    <n v="21319"/>
    <x v="36"/>
    <x v="24"/>
    <s v="Medium"/>
    <n v="42"/>
    <n v="1060.3399999999999"/>
    <n v="0.04"/>
    <s v="Delivery Truck"/>
    <n v="-174.94"/>
    <n v="23.99"/>
    <n v="15.68"/>
    <x v="341"/>
    <x v="5"/>
    <x v="2"/>
    <x v="1"/>
    <x v="2"/>
    <x v="4"/>
    <x v="1001"/>
    <s v="Jumbo Drum"/>
    <n v="0.62"/>
    <d v="2010-04-30T00:00:00"/>
    <n v="0"/>
    <n v="0"/>
    <n v="0.33333333333333331"/>
    <n v="0.33333333333333331"/>
  </r>
  <r>
    <n v="3081"/>
    <n v="22115"/>
    <x v="481"/>
    <x v="30"/>
    <s v="Low"/>
    <n v="5"/>
    <n v="751.94"/>
    <n v="0.02"/>
    <s v="Delivery Truck"/>
    <n v="-283.94189999999998"/>
    <n v="145.44999999999999"/>
    <n v="17.850000000000001"/>
    <x v="338"/>
    <x v="5"/>
    <x v="2"/>
    <x v="1"/>
    <x v="1"/>
    <x v="16"/>
    <x v="127"/>
    <s v="Jumbo Drum"/>
    <n v="0.56000000000000005"/>
    <d v="2010-06-15T00:00:00"/>
    <n v="0"/>
    <n v="0"/>
    <n v="1"/>
    <n v="0.25"/>
  </r>
  <r>
    <n v="3088"/>
    <n v="22149"/>
    <x v="968"/>
    <x v="31"/>
    <s v="Low"/>
    <n v="17"/>
    <n v="48.24"/>
    <n v="0.09"/>
    <s v="Regular Air"/>
    <n v="-1.62"/>
    <n v="2.88"/>
    <n v="1.01"/>
    <x v="343"/>
    <x v="5"/>
    <x v="2"/>
    <x v="0"/>
    <x v="0"/>
    <x v="12"/>
    <x v="571"/>
    <s v="Wrap Bag"/>
    <n v="0.55000000000000004"/>
    <d v="2011-09-28T00:00:00"/>
    <n v="0"/>
    <n v="0"/>
    <n v="0.5"/>
    <n v="0.25"/>
  </r>
  <r>
    <n v="3108"/>
    <n v="22338"/>
    <x v="486"/>
    <x v="39"/>
    <s v="Medium"/>
    <n v="36"/>
    <n v="200.08"/>
    <n v="0.05"/>
    <s v="Regular Air"/>
    <n v="-62.97"/>
    <n v="5.28"/>
    <n v="5.0599999999999996"/>
    <x v="417"/>
    <x v="5"/>
    <x v="2"/>
    <x v="1"/>
    <x v="0"/>
    <x v="5"/>
    <x v="1088"/>
    <s v="Small Box"/>
    <n v="0.37"/>
    <d v="2010-05-15T00:00:00"/>
    <n v="0"/>
    <n v="0"/>
    <n v="0.5"/>
    <n v="0.5"/>
  </r>
  <r>
    <n v="3151"/>
    <n v="22627"/>
    <x v="434"/>
    <x v="24"/>
    <s v="Low"/>
    <n v="33"/>
    <n v="1934.6"/>
    <n v="0.09"/>
    <s v="Regular Air"/>
    <n v="614.03"/>
    <n v="63.94"/>
    <n v="14.48"/>
    <x v="421"/>
    <x v="5"/>
    <x v="2"/>
    <x v="0"/>
    <x v="2"/>
    <x v="4"/>
    <x v="308"/>
    <s v="Small Box"/>
    <n v="0.46"/>
    <d v="2010-04-08T00:00:00"/>
    <n v="0"/>
    <n v="0"/>
    <n v="0.5"/>
    <n v="0.5"/>
  </r>
  <r>
    <n v="3175"/>
    <n v="22820"/>
    <x v="107"/>
    <x v="3"/>
    <s v="High"/>
    <n v="18"/>
    <n v="144.84"/>
    <n v="0"/>
    <s v="Regular Air"/>
    <n v="21.49"/>
    <n v="7.89"/>
    <n v="2.82"/>
    <x v="340"/>
    <x v="5"/>
    <x v="2"/>
    <x v="1"/>
    <x v="0"/>
    <x v="6"/>
    <x v="623"/>
    <s v="Wrap Bag"/>
    <n v="0.4"/>
    <d v="2010-08-20T00:00:00"/>
    <n v="0"/>
    <n v="0"/>
    <n v="0.5"/>
    <n v="0.5"/>
  </r>
  <r>
    <n v="3187"/>
    <n v="22880"/>
    <x v="737"/>
    <x v="39"/>
    <s v="Medium"/>
    <n v="13"/>
    <n v="24.96"/>
    <n v="0.01"/>
    <s v="Regular Air"/>
    <n v="-20.68"/>
    <n v="1.7"/>
    <n v="1.99"/>
    <x v="412"/>
    <x v="5"/>
    <x v="2"/>
    <x v="0"/>
    <x v="1"/>
    <x v="7"/>
    <x v="732"/>
    <s v="Small Pack"/>
    <n v="0.51"/>
    <d v="2010-06-02T00:00:00"/>
    <n v="0"/>
    <n v="0"/>
    <n v="1"/>
    <n v="1"/>
  </r>
  <r>
    <n v="3217"/>
    <n v="23078"/>
    <x v="339"/>
    <x v="31"/>
    <s v="Medium"/>
    <n v="39"/>
    <n v="577.95000000000005"/>
    <n v="7.0000000000000007E-2"/>
    <s v="Regular Air"/>
    <n v="-86.43"/>
    <n v="15.73"/>
    <n v="7.42"/>
    <x v="348"/>
    <x v="5"/>
    <x v="2"/>
    <x v="1"/>
    <x v="0"/>
    <x v="15"/>
    <x v="949"/>
    <s v="Small Pack"/>
    <n v="0.56000000000000005"/>
    <d v="2011-09-17T00:00:00"/>
    <n v="0"/>
    <n v="0"/>
    <n v="0.33333333333333331"/>
    <n v="0.33333333333333331"/>
  </r>
  <r>
    <n v="3246"/>
    <n v="23268"/>
    <x v="553"/>
    <x v="23"/>
    <s v="High"/>
    <n v="5"/>
    <n v="255.31"/>
    <n v="0.02"/>
    <s v="Regular Air"/>
    <n v="41.41"/>
    <n v="48.04"/>
    <n v="5.79"/>
    <x v="422"/>
    <x v="5"/>
    <x v="2"/>
    <x v="3"/>
    <x v="0"/>
    <x v="5"/>
    <x v="728"/>
    <s v="Small Box"/>
    <n v="0.37"/>
    <d v="2012-01-18T00:00:00"/>
    <n v="0"/>
    <n v="0"/>
    <n v="0.5"/>
    <n v="0.5"/>
  </r>
  <r>
    <n v="3354"/>
    <n v="24003"/>
    <x v="1012"/>
    <x v="19"/>
    <s v="Critical"/>
    <n v="4"/>
    <n v="129.78649999999999"/>
    <n v="0.05"/>
    <s v="Express Air"/>
    <n v="-116.512"/>
    <n v="35.99"/>
    <n v="5.99"/>
    <x v="349"/>
    <x v="5"/>
    <x v="2"/>
    <x v="2"/>
    <x v="1"/>
    <x v="3"/>
    <x v="702"/>
    <s v="Wrap Bag"/>
    <n v="0.38"/>
    <d v="2009-11-02T00:00:00"/>
    <n v="0"/>
    <n v="0"/>
    <n v="0.25"/>
    <n v="0.25"/>
  </r>
  <r>
    <n v="3379"/>
    <n v="24102"/>
    <x v="936"/>
    <x v="7"/>
    <s v="Critical"/>
    <n v="50"/>
    <n v="1844.26"/>
    <n v="0.03"/>
    <s v="Regular Air"/>
    <n v="47.58"/>
    <n v="37.76"/>
    <n v="12.9"/>
    <x v="357"/>
    <x v="5"/>
    <x v="2"/>
    <x v="0"/>
    <x v="0"/>
    <x v="0"/>
    <x v="833"/>
    <s v="Small Box"/>
    <n v="0.56999999999999995"/>
    <d v="2010-12-01T00:00:00"/>
    <n v="0"/>
    <n v="0"/>
    <n v="1"/>
    <n v="1"/>
  </r>
  <r>
    <n v="3423"/>
    <n v="24422"/>
    <x v="1047"/>
    <x v="25"/>
    <s v="Critical"/>
    <n v="20"/>
    <n v="3467.28"/>
    <n v="0.06"/>
    <s v="Delivery Truck"/>
    <n v="-433.29014300000011"/>
    <n v="179.29"/>
    <n v="29.21"/>
    <x v="340"/>
    <x v="5"/>
    <x v="2"/>
    <x v="2"/>
    <x v="2"/>
    <x v="10"/>
    <x v="102"/>
    <s v="Jumbo Box"/>
    <n v="0.76"/>
    <d v="2011-12-31T00:00:00"/>
    <n v="0"/>
    <n v="0"/>
    <n v="1"/>
    <n v="1"/>
  </r>
  <r>
    <n v="3459"/>
    <n v="24644"/>
    <x v="1067"/>
    <x v="36"/>
    <s v="Critical"/>
    <n v="46"/>
    <n v="5897.47"/>
    <n v="0"/>
    <s v="Delivery Truck"/>
    <n v="-1764.29"/>
    <n v="122.99"/>
    <n v="70.2"/>
    <x v="390"/>
    <x v="5"/>
    <x v="2"/>
    <x v="2"/>
    <x v="2"/>
    <x v="14"/>
    <x v="301"/>
    <s v="Jumbo Drum"/>
    <n v="0.74"/>
    <d v="2009-07-29T00:00:00"/>
    <n v="0"/>
    <n v="0"/>
    <n v="0.5"/>
    <n v="0.5"/>
  </r>
  <r>
    <n v="3693"/>
    <n v="26401"/>
    <x v="0"/>
    <x v="0"/>
    <s v="Medium"/>
    <n v="1"/>
    <n v="415"/>
    <n v="7.0000000000000007E-2"/>
    <s v="Regular Air"/>
    <n v="-199.3065"/>
    <n v="420.98"/>
    <n v="19.989999999999998"/>
    <x v="398"/>
    <x v="5"/>
    <x v="2"/>
    <x v="0"/>
    <x v="0"/>
    <x v="2"/>
    <x v="461"/>
    <s v="Small Box"/>
    <n v="0.35"/>
    <d v="2010-10-15T00:00:00"/>
    <n v="0"/>
    <n v="0"/>
    <n v="1"/>
    <n v="0.25"/>
  </r>
  <r>
    <n v="3918"/>
    <n v="27938"/>
    <x v="550"/>
    <x v="43"/>
    <s v="Medium"/>
    <n v="40"/>
    <n v="1233.51"/>
    <n v="0.05"/>
    <s v="Regular Air"/>
    <n v="308.67"/>
    <n v="30.98"/>
    <n v="9.18"/>
    <x v="304"/>
    <x v="5"/>
    <x v="2"/>
    <x v="3"/>
    <x v="0"/>
    <x v="5"/>
    <x v="1089"/>
    <s v="Small Box"/>
    <n v="0.4"/>
    <d v="2009-05-05T00:00:00"/>
    <n v="0"/>
    <n v="0"/>
    <n v="1"/>
    <n v="1"/>
  </r>
  <r>
    <n v="3996"/>
    <n v="28515"/>
    <x v="1014"/>
    <x v="30"/>
    <s v="High"/>
    <n v="48"/>
    <n v="379.78"/>
    <n v="0.1"/>
    <s v="Regular Air"/>
    <n v="-71.59"/>
    <n v="8.32"/>
    <n v="2.38"/>
    <x v="81"/>
    <x v="5"/>
    <x v="2"/>
    <x v="2"/>
    <x v="1"/>
    <x v="7"/>
    <x v="1090"/>
    <s v="Small Pack"/>
    <n v="0.74"/>
    <d v="2010-07-02T00:00:00"/>
    <n v="0"/>
    <n v="0"/>
    <n v="0.5"/>
    <n v="0.5"/>
  </r>
  <r>
    <n v="4114"/>
    <n v="29280"/>
    <x v="677"/>
    <x v="33"/>
    <s v="Medium"/>
    <n v="30"/>
    <n v="856.34"/>
    <n v="0.06"/>
    <s v="Regular Air"/>
    <n v="248.91"/>
    <n v="28.38"/>
    <n v="1.99"/>
    <x v="421"/>
    <x v="5"/>
    <x v="2"/>
    <x v="0"/>
    <x v="1"/>
    <x v="7"/>
    <x v="1091"/>
    <s v="Small Pack"/>
    <n v="0.51"/>
    <d v="2012-03-29T00:00:00"/>
    <n v="0"/>
    <n v="0"/>
    <n v="0.5"/>
    <n v="0.5"/>
  </r>
  <r>
    <n v="4127"/>
    <n v="29346"/>
    <x v="873"/>
    <x v="26"/>
    <s v="Low"/>
    <n v="2"/>
    <n v="29.06"/>
    <n v="0.1"/>
    <s v="Regular Air"/>
    <n v="-16.149999999999999"/>
    <n v="11.58"/>
    <n v="6.97"/>
    <x v="309"/>
    <x v="5"/>
    <x v="2"/>
    <x v="2"/>
    <x v="0"/>
    <x v="8"/>
    <x v="188"/>
    <s v="Small Box"/>
    <n v="0.35"/>
    <d v="2009-08-20T00:00:00"/>
    <n v="0"/>
    <n v="0"/>
    <n v="1"/>
    <n v="1"/>
  </r>
  <r>
    <n v="4129"/>
    <n v="29349"/>
    <x v="1060"/>
    <x v="30"/>
    <s v="High"/>
    <n v="46"/>
    <n v="2526.54"/>
    <n v="0.04"/>
    <s v="Regular Air"/>
    <n v="772.11"/>
    <n v="65.989999999999995"/>
    <n v="2.5"/>
    <x v="343"/>
    <x v="5"/>
    <x v="2"/>
    <x v="0"/>
    <x v="1"/>
    <x v="3"/>
    <x v="892"/>
    <s v="Small Box"/>
    <n v="0.55000000000000004"/>
    <d v="2010-06-12T00:00:00"/>
    <n v="0"/>
    <n v="0"/>
    <n v="0.5"/>
    <n v="0.5"/>
  </r>
  <r>
    <n v="4153"/>
    <n v="29473"/>
    <x v="939"/>
    <x v="12"/>
    <s v="Medium"/>
    <n v="31"/>
    <n v="206.28649999999999"/>
    <n v="0.05"/>
    <s v="Regular Air"/>
    <n v="-111.98"/>
    <n v="7.99"/>
    <n v="5.03"/>
    <x v="395"/>
    <x v="5"/>
    <x v="2"/>
    <x v="1"/>
    <x v="1"/>
    <x v="3"/>
    <x v="51"/>
    <s v="Medium Box"/>
    <n v="0.6"/>
    <d v="2012-02-17T00:00:00"/>
    <n v="0"/>
    <n v="0"/>
    <n v="0.5"/>
    <n v="0.5"/>
  </r>
  <r>
    <n v="4205"/>
    <n v="29893"/>
    <x v="588"/>
    <x v="8"/>
    <s v="Medium"/>
    <n v="24"/>
    <n v="5452.9"/>
    <n v="7.0000000000000007E-2"/>
    <s v="Delivery Truck"/>
    <n v="426.67"/>
    <n v="225.02"/>
    <n v="28.66"/>
    <x v="366"/>
    <x v="5"/>
    <x v="2"/>
    <x v="0"/>
    <x v="0"/>
    <x v="0"/>
    <x v="275"/>
    <s v="Jumbo Drum"/>
    <n v="0.72"/>
    <d v="2012-06-17T00:00:00"/>
    <n v="0"/>
    <n v="0"/>
    <n v="1"/>
    <n v="1"/>
  </r>
  <r>
    <n v="4228"/>
    <n v="30023"/>
    <x v="187"/>
    <x v="0"/>
    <s v="Low"/>
    <n v="36"/>
    <n v="840.24"/>
    <n v="0"/>
    <s v="Regular Air"/>
    <n v="19.73"/>
    <n v="21.38"/>
    <n v="8.99"/>
    <x v="353"/>
    <x v="5"/>
    <x v="2"/>
    <x v="1"/>
    <x v="0"/>
    <x v="12"/>
    <x v="311"/>
    <s v="Small Pack"/>
    <n v="0.59"/>
    <d v="2010-10-15T00:00:00"/>
    <n v="0"/>
    <n v="0"/>
    <n v="0.25"/>
    <n v="0.25"/>
  </r>
  <r>
    <n v="4247"/>
    <n v="30215"/>
    <x v="799"/>
    <x v="40"/>
    <s v="Medium"/>
    <n v="23"/>
    <n v="3637.7280000000001"/>
    <n v="0.06"/>
    <s v="Regular Air"/>
    <n v="349.47"/>
    <n v="195.99"/>
    <n v="8.99"/>
    <x v="354"/>
    <x v="5"/>
    <x v="2"/>
    <x v="3"/>
    <x v="1"/>
    <x v="3"/>
    <x v="521"/>
    <s v="Small Box"/>
    <n v="0.6"/>
    <d v="2009-02-28T00:00:00"/>
    <n v="0"/>
    <n v="0"/>
    <n v="0.5"/>
    <n v="0.5"/>
  </r>
  <r>
    <n v="4311"/>
    <n v="30720"/>
    <x v="1068"/>
    <x v="34"/>
    <s v="Low"/>
    <n v="27"/>
    <n v="2398.9"/>
    <n v="0.09"/>
    <s v="Express Air"/>
    <n v="656.95"/>
    <n v="95.46"/>
    <n v="18.13"/>
    <x v="421"/>
    <x v="5"/>
    <x v="2"/>
    <x v="0"/>
    <x v="2"/>
    <x v="4"/>
    <x v="1092"/>
    <s v="Large Box"/>
    <n v="0.56000000000000005"/>
    <d v="2012-10-02T00:00:00"/>
    <n v="0"/>
    <n v="0"/>
    <n v="0.33333333333333331"/>
    <n v="0.33333333333333331"/>
  </r>
  <r>
    <n v="4333"/>
    <n v="30884"/>
    <x v="471"/>
    <x v="18"/>
    <s v="Low"/>
    <n v="6"/>
    <n v="763.44799999999998"/>
    <n v="0.05"/>
    <s v="Delivery Truck"/>
    <n v="-352.95903500000009"/>
    <n v="146.05000000000001"/>
    <n v="80.2"/>
    <x v="334"/>
    <x v="5"/>
    <x v="2"/>
    <x v="2"/>
    <x v="2"/>
    <x v="10"/>
    <x v="838"/>
    <s v="Jumbo Box"/>
    <n v="0.71"/>
    <d v="2010-10-01T00:00:00"/>
    <n v="0"/>
    <n v="0"/>
    <n v="1"/>
    <n v="1"/>
  </r>
  <r>
    <n v="4398"/>
    <n v="31303"/>
    <x v="1009"/>
    <x v="5"/>
    <s v="Low"/>
    <n v="50"/>
    <n v="306.13"/>
    <n v="0.09"/>
    <s v="Express Air"/>
    <n v="87.600999999999999"/>
    <n v="5.98"/>
    <n v="1.49"/>
    <x v="356"/>
    <x v="5"/>
    <x v="2"/>
    <x v="3"/>
    <x v="0"/>
    <x v="2"/>
    <x v="986"/>
    <s v="Small Box"/>
    <n v="0.39"/>
    <d v="2011-03-22T00:00:00"/>
    <n v="0"/>
    <n v="0"/>
    <n v="1"/>
    <n v="1"/>
  </r>
  <r>
    <n v="4402"/>
    <n v="31392"/>
    <x v="139"/>
    <x v="39"/>
    <s v="Low"/>
    <n v="21"/>
    <n v="128.86000000000001"/>
    <n v="0.1"/>
    <s v="Regular Air"/>
    <n v="-42.81"/>
    <n v="6.48"/>
    <n v="5.16"/>
    <x v="350"/>
    <x v="5"/>
    <x v="2"/>
    <x v="3"/>
    <x v="0"/>
    <x v="5"/>
    <x v="434"/>
    <s v="Small Box"/>
    <n v="0.37"/>
    <d v="2010-05-13T00:00:00"/>
    <n v="0"/>
    <n v="0"/>
    <n v="0.5"/>
    <n v="0.33333333333333331"/>
  </r>
  <r>
    <n v="4449"/>
    <n v="31715"/>
    <x v="820"/>
    <x v="22"/>
    <s v="Not Specified"/>
    <n v="24"/>
    <n v="64.11"/>
    <n v="0.09"/>
    <s v="Regular Air"/>
    <n v="-4.09"/>
    <n v="2.78"/>
    <n v="0.97"/>
    <x v="400"/>
    <x v="5"/>
    <x v="2"/>
    <x v="0"/>
    <x v="0"/>
    <x v="12"/>
    <x v="948"/>
    <s v="Wrap Bag"/>
    <n v="0.59"/>
    <d v="2009-01-11T00:00:00"/>
    <n v="0"/>
    <n v="1"/>
    <n v="0.33333333333333331"/>
    <n v="0.33333333333333331"/>
  </r>
  <r>
    <n v="4557"/>
    <n v="32420"/>
    <x v="733"/>
    <x v="36"/>
    <s v="Medium"/>
    <n v="19"/>
    <n v="5369.46"/>
    <n v="7.0000000000000007E-2"/>
    <s v="Delivery Truck"/>
    <n v="-439.62"/>
    <n v="280.98"/>
    <n v="57"/>
    <x v="358"/>
    <x v="5"/>
    <x v="2"/>
    <x v="1"/>
    <x v="2"/>
    <x v="14"/>
    <x v="544"/>
    <s v="Jumbo Drum"/>
    <n v="0.78"/>
    <d v="2009-07-31T00:00:00"/>
    <n v="0"/>
    <n v="0"/>
    <n v="0.5"/>
    <n v="0.5"/>
  </r>
  <r>
    <n v="4630"/>
    <n v="32965"/>
    <x v="593"/>
    <x v="44"/>
    <s v="High"/>
    <n v="2"/>
    <n v="11.15"/>
    <n v="0.04"/>
    <s v="Regular Air"/>
    <n v="-5.54"/>
    <n v="3.98"/>
    <n v="2.97"/>
    <x v="366"/>
    <x v="5"/>
    <x v="2"/>
    <x v="0"/>
    <x v="0"/>
    <x v="5"/>
    <x v="48"/>
    <s v="Wrap Bag"/>
    <n v="0.35"/>
    <d v="2011-02-25T00:00:00"/>
    <n v="0"/>
    <n v="0"/>
    <n v="0.5"/>
    <n v="0.5"/>
  </r>
  <r>
    <n v="4674"/>
    <n v="33253"/>
    <x v="664"/>
    <x v="27"/>
    <s v="Not Specified"/>
    <n v="17"/>
    <n v="524.21199999999999"/>
    <n v="0.04"/>
    <s v="Regular Air"/>
    <n v="127.854"/>
    <n v="35.99"/>
    <n v="3.3"/>
    <x v="387"/>
    <x v="5"/>
    <x v="2"/>
    <x v="3"/>
    <x v="1"/>
    <x v="3"/>
    <x v="292"/>
    <s v="Small Pack"/>
    <n v="0.39"/>
    <d v="2011-12-02T00:00:00"/>
    <n v="0"/>
    <n v="0"/>
    <n v="0.5"/>
    <n v="0.5"/>
  </r>
  <r>
    <n v="4784"/>
    <n v="33959"/>
    <x v="895"/>
    <x v="36"/>
    <s v="Critical"/>
    <n v="23"/>
    <n v="367.53"/>
    <n v="0.03"/>
    <s v="Delivery Truck"/>
    <n v="11.650950000000002"/>
    <n v="15.23"/>
    <n v="27.75"/>
    <x v="364"/>
    <x v="5"/>
    <x v="2"/>
    <x v="2"/>
    <x v="2"/>
    <x v="10"/>
    <x v="897"/>
    <s v="Jumbo Box"/>
    <n v="0.76"/>
    <d v="2009-08-01T00:00:00"/>
    <n v="0"/>
    <n v="0"/>
    <n v="1"/>
    <n v="1"/>
  </r>
  <r>
    <n v="4959"/>
    <n v="35271"/>
    <x v="1069"/>
    <x v="42"/>
    <s v="High"/>
    <n v="19"/>
    <n v="1083.4014999999999"/>
    <n v="0.02"/>
    <s v="Regular Air"/>
    <n v="64.53"/>
    <n v="65.989999999999995"/>
    <n v="8.99"/>
    <x v="363"/>
    <x v="5"/>
    <x v="2"/>
    <x v="3"/>
    <x v="1"/>
    <x v="3"/>
    <x v="893"/>
    <s v="Small Box"/>
    <n v="0.56000000000000005"/>
    <d v="2010-07-27T00:00:00"/>
    <n v="0"/>
    <n v="0"/>
    <n v="1"/>
    <n v="1"/>
  </r>
  <r>
    <n v="5108"/>
    <n v="36390"/>
    <x v="816"/>
    <x v="1"/>
    <s v="High"/>
    <n v="3"/>
    <n v="329.63"/>
    <n v="0.05"/>
    <s v="Regular Air"/>
    <n v="-541.33199999999999"/>
    <n v="125.99"/>
    <n v="8.99"/>
    <x v="11"/>
    <x v="5"/>
    <x v="2"/>
    <x v="2"/>
    <x v="1"/>
    <x v="3"/>
    <x v="713"/>
    <s v="Small Box"/>
    <n v="0.59"/>
    <d v="2012-10-14T00:00:00"/>
    <n v="0"/>
    <n v="0"/>
    <n v="1"/>
    <n v="1"/>
  </r>
  <r>
    <n v="5265"/>
    <n v="37447"/>
    <x v="1070"/>
    <x v="36"/>
    <s v="Low"/>
    <n v="23"/>
    <n v="139.44999999999999"/>
    <n v="0.02"/>
    <s v="Regular Air"/>
    <n v="-137.494"/>
    <n v="5.81"/>
    <n v="8.49"/>
    <x v="304"/>
    <x v="5"/>
    <x v="2"/>
    <x v="3"/>
    <x v="0"/>
    <x v="2"/>
    <x v="106"/>
    <s v="Small Box"/>
    <n v="0.39"/>
    <d v="2009-07-12T00:00:00"/>
    <n v="0"/>
    <n v="0"/>
    <n v="1"/>
    <n v="1"/>
  </r>
  <r>
    <n v="5394"/>
    <n v="38341"/>
    <x v="299"/>
    <x v="43"/>
    <s v="Medium"/>
    <n v="15"/>
    <n v="62.62"/>
    <n v="0.1"/>
    <s v="Express Air"/>
    <n v="-67.0565"/>
    <n v="3.36"/>
    <n v="6.27"/>
    <x v="401"/>
    <x v="5"/>
    <x v="2"/>
    <x v="2"/>
    <x v="0"/>
    <x v="2"/>
    <x v="285"/>
    <s v="Small Box"/>
    <n v="0.4"/>
    <d v="2009-05-19T00:00:00"/>
    <n v="0"/>
    <n v="0"/>
    <n v="0.33333333333333331"/>
    <n v="0.33333333333333331"/>
  </r>
  <r>
    <n v="5395"/>
    <n v="38341"/>
    <x v="299"/>
    <x v="43"/>
    <s v="Medium"/>
    <n v="5"/>
    <n v="64.25"/>
    <n v="7.0000000000000007E-2"/>
    <s v="Regular Air"/>
    <n v="-7.94"/>
    <n v="12.28"/>
    <n v="4.8600000000000003"/>
    <x v="401"/>
    <x v="5"/>
    <x v="2"/>
    <x v="2"/>
    <x v="0"/>
    <x v="5"/>
    <x v="923"/>
    <s v="Small Box"/>
    <n v="0.38"/>
    <d v="2009-05-20T00:00:00"/>
    <n v="0"/>
    <n v="0"/>
    <n v="0.33333333333333331"/>
    <n v="0.33333333333333331"/>
  </r>
  <r>
    <n v="5453"/>
    <n v="38723"/>
    <x v="475"/>
    <x v="34"/>
    <s v="Critical"/>
    <n v="39"/>
    <n v="2617.13"/>
    <n v="0"/>
    <s v="Regular Air"/>
    <n v="368.87"/>
    <n v="64.98"/>
    <n v="6.88"/>
    <x v="422"/>
    <x v="5"/>
    <x v="2"/>
    <x v="3"/>
    <x v="0"/>
    <x v="0"/>
    <x v="391"/>
    <s v="Small Box"/>
    <n v="0.73"/>
    <d v="2012-09-22T00:00:00"/>
    <n v="0"/>
    <n v="0"/>
    <n v="0.5"/>
    <n v="0.5"/>
  </r>
  <r>
    <n v="5467"/>
    <n v="38851"/>
    <x v="1071"/>
    <x v="8"/>
    <s v="Critical"/>
    <n v="1"/>
    <n v="8.49"/>
    <n v="0.06"/>
    <s v="Regular Air"/>
    <n v="-5.7385000000000002"/>
    <n v="3.74"/>
    <n v="4.6900000000000004"/>
    <x v="361"/>
    <x v="5"/>
    <x v="2"/>
    <x v="2"/>
    <x v="0"/>
    <x v="2"/>
    <x v="1093"/>
    <s v="Small Box"/>
    <n v="0.35"/>
    <d v="2012-06-11T00:00:00"/>
    <n v="0"/>
    <n v="0"/>
    <n v="1"/>
    <n v="1"/>
  </r>
  <r>
    <n v="5470"/>
    <n v="38882"/>
    <x v="327"/>
    <x v="47"/>
    <s v="Critical"/>
    <n v="40"/>
    <n v="2169.4899999999998"/>
    <n v="0.06"/>
    <s v="Regular Air"/>
    <n v="1043.43"/>
    <n v="55.48"/>
    <n v="4.8499999999999996"/>
    <x v="182"/>
    <x v="5"/>
    <x v="2"/>
    <x v="1"/>
    <x v="0"/>
    <x v="5"/>
    <x v="1056"/>
    <s v="Small Box"/>
    <n v="0.37"/>
    <d v="2009-12-14T00:00:00"/>
    <n v="0"/>
    <n v="0"/>
    <n v="0.5"/>
    <n v="0.5"/>
  </r>
  <r>
    <n v="5540"/>
    <n v="39266"/>
    <x v="1072"/>
    <x v="9"/>
    <s v="High"/>
    <n v="4"/>
    <n v="64.09"/>
    <n v="0.02"/>
    <s v="Regular Air"/>
    <n v="3.72"/>
    <n v="15.57"/>
    <n v="1.39"/>
    <x v="349"/>
    <x v="5"/>
    <x v="2"/>
    <x v="0"/>
    <x v="0"/>
    <x v="8"/>
    <x v="889"/>
    <s v="Small Box"/>
    <n v="0.38"/>
    <d v="2012-08-28T00:00:00"/>
    <n v="0"/>
    <n v="0"/>
    <n v="0.33333333333333331"/>
    <n v="0.25"/>
  </r>
  <r>
    <n v="5614"/>
    <n v="39780"/>
    <x v="113"/>
    <x v="41"/>
    <s v="Low"/>
    <n v="48"/>
    <n v="2208.31"/>
    <n v="0.04"/>
    <s v="Regular Air"/>
    <n v="569.08000000000004"/>
    <n v="45.98"/>
    <n v="4.8"/>
    <x v="341"/>
    <x v="5"/>
    <x v="2"/>
    <x v="1"/>
    <x v="2"/>
    <x v="4"/>
    <x v="506"/>
    <s v="Wrap Bag"/>
    <n v="0.68"/>
    <d v="2009-06-09T00:00:00"/>
    <n v="0"/>
    <n v="0"/>
    <n v="0.5"/>
    <n v="0.2"/>
  </r>
  <r>
    <n v="5625"/>
    <n v="39842"/>
    <x v="412"/>
    <x v="15"/>
    <s v="Medium"/>
    <n v="22"/>
    <n v="1295.502"/>
    <n v="0.01"/>
    <s v="Express Air"/>
    <n v="224.85599999999999"/>
    <n v="65.989999999999995"/>
    <n v="3.99"/>
    <x v="371"/>
    <x v="5"/>
    <x v="2"/>
    <x v="1"/>
    <x v="1"/>
    <x v="3"/>
    <x v="440"/>
    <s v="Small Box"/>
    <n v="0.59"/>
    <d v="2010-12-20T00:00:00"/>
    <n v="0"/>
    <n v="0"/>
    <n v="0.5"/>
    <n v="0.5"/>
  </r>
  <r>
    <n v="5652"/>
    <n v="40005"/>
    <x v="456"/>
    <x v="42"/>
    <s v="High"/>
    <n v="20"/>
    <n v="873.82"/>
    <n v="0.1"/>
    <s v="Regular Air"/>
    <n v="244.45"/>
    <n v="45.98"/>
    <n v="4.8"/>
    <x v="393"/>
    <x v="5"/>
    <x v="2"/>
    <x v="0"/>
    <x v="2"/>
    <x v="4"/>
    <x v="506"/>
    <s v="Wrap Bag"/>
    <n v="0.68"/>
    <d v="2010-07-28T00:00:00"/>
    <n v="0"/>
    <n v="0"/>
    <n v="0.5"/>
    <n v="0.5"/>
  </r>
  <r>
    <n v="5733"/>
    <n v="40704"/>
    <x v="828"/>
    <x v="22"/>
    <s v="Low"/>
    <n v="6"/>
    <n v="11.57"/>
    <n v="0.01"/>
    <s v="Regular Air"/>
    <n v="-2.06"/>
    <n v="1.76"/>
    <n v="0.7"/>
    <x v="423"/>
    <x v="5"/>
    <x v="2"/>
    <x v="2"/>
    <x v="0"/>
    <x v="12"/>
    <x v="263"/>
    <s v="Wrap Bag"/>
    <n v="0.56000000000000005"/>
    <d v="2009-01-12T00:00:00"/>
    <n v="0"/>
    <n v="1"/>
    <n v="1"/>
    <n v="1"/>
  </r>
  <r>
    <n v="5833"/>
    <n v="41383"/>
    <x v="357"/>
    <x v="39"/>
    <s v="Low"/>
    <n v="36"/>
    <n v="1449.45"/>
    <n v="0.04"/>
    <s v="Regular Air"/>
    <n v="620.06650000000002"/>
    <n v="41.94"/>
    <n v="2.99"/>
    <x v="357"/>
    <x v="5"/>
    <x v="2"/>
    <x v="0"/>
    <x v="0"/>
    <x v="2"/>
    <x v="246"/>
    <s v="Small Box"/>
    <n v="0.35"/>
    <d v="2010-05-19T00:00:00"/>
    <n v="0"/>
    <n v="0"/>
    <n v="0.5"/>
    <n v="0.5"/>
  </r>
  <r>
    <n v="5840"/>
    <n v="41415"/>
    <x v="410"/>
    <x v="11"/>
    <s v="Low"/>
    <n v="10"/>
    <n v="80.92"/>
    <n v="0.09"/>
    <s v="Regular Air"/>
    <n v="-20.16"/>
    <n v="7.64"/>
    <n v="5.83"/>
    <x v="418"/>
    <x v="5"/>
    <x v="2"/>
    <x v="0"/>
    <x v="0"/>
    <x v="5"/>
    <x v="248"/>
    <s v="Wrap Bag"/>
    <n v="0.36"/>
    <d v="2009-11-15T00:00:00"/>
    <n v="0"/>
    <n v="0"/>
    <n v="1"/>
    <n v="1"/>
  </r>
  <r>
    <n v="5898"/>
    <n v="41825"/>
    <x v="1073"/>
    <x v="26"/>
    <s v="Critical"/>
    <n v="50"/>
    <n v="7817.45"/>
    <n v="0.03"/>
    <s v="Delivery Truck"/>
    <n v="-1303.5999999999999"/>
    <n v="150.88999999999999"/>
    <n v="60.2"/>
    <x v="11"/>
    <x v="5"/>
    <x v="2"/>
    <x v="1"/>
    <x v="2"/>
    <x v="14"/>
    <x v="721"/>
    <s v="Jumbo Drum"/>
    <n v="0.77"/>
    <d v="2009-08-22T00:00:00"/>
    <n v="0"/>
    <n v="0"/>
    <n v="0.5"/>
    <n v="1"/>
  </r>
  <r>
    <n v="5899"/>
    <n v="41826"/>
    <x v="1034"/>
    <x v="0"/>
    <s v="Medium"/>
    <n v="4"/>
    <n v="63.93"/>
    <n v="0.03"/>
    <s v="Express Air"/>
    <n v="40.630000000000003"/>
    <n v="9.77"/>
    <n v="6.02"/>
    <x v="341"/>
    <x v="5"/>
    <x v="2"/>
    <x v="1"/>
    <x v="2"/>
    <x v="4"/>
    <x v="321"/>
    <s v="Medium Box"/>
    <n v="0.48"/>
    <d v="2010-10-18T00:00:00"/>
    <n v="0"/>
    <n v="0"/>
    <n v="0.5"/>
    <n v="0.5"/>
  </r>
  <r>
    <n v="5946"/>
    <n v="42213"/>
    <x v="657"/>
    <x v="5"/>
    <s v="Critical"/>
    <n v="46"/>
    <n v="110.96"/>
    <n v="0.08"/>
    <s v="Regular Air"/>
    <n v="35.92"/>
    <n v="2.61"/>
    <n v="0.5"/>
    <x v="255"/>
    <x v="5"/>
    <x v="2"/>
    <x v="0"/>
    <x v="0"/>
    <x v="11"/>
    <x v="281"/>
    <s v="Small Box"/>
    <n v="0.39"/>
    <d v="2011-03-23T00:00:00"/>
    <n v="0"/>
    <n v="0"/>
    <n v="1"/>
    <n v="1"/>
  </r>
  <r>
    <n v="5995"/>
    <n v="42469"/>
    <x v="963"/>
    <x v="32"/>
    <s v="Not Specified"/>
    <n v="18"/>
    <n v="2130.8200000000002"/>
    <n v="0.05"/>
    <s v="Regular Air"/>
    <n v="818.91549999999995"/>
    <n v="120.98"/>
    <n v="9.07"/>
    <x v="369"/>
    <x v="5"/>
    <x v="2"/>
    <x v="1"/>
    <x v="0"/>
    <x v="2"/>
    <x v="352"/>
    <s v="Small Box"/>
    <n v="0.35"/>
    <d v="2012-11-09T00:00:00"/>
    <n v="0"/>
    <n v="0"/>
    <n v="0.5"/>
    <n v="0.25"/>
  </r>
  <r>
    <n v="6117"/>
    <n v="43302"/>
    <x v="1021"/>
    <x v="21"/>
    <s v="Low"/>
    <n v="43"/>
    <n v="720.61299999999994"/>
    <n v="7.0000000000000007E-2"/>
    <s v="Regular Air"/>
    <n v="329.67899999999997"/>
    <n v="20.99"/>
    <n v="0.99"/>
    <x v="355"/>
    <x v="5"/>
    <x v="2"/>
    <x v="2"/>
    <x v="1"/>
    <x v="3"/>
    <x v="163"/>
    <s v="Wrap Bag"/>
    <n v="0.37"/>
    <d v="2011-09-01T00:00:00"/>
    <n v="0"/>
    <n v="0"/>
    <n v="0.33333333333333331"/>
    <n v="0.33333333333333331"/>
  </r>
  <r>
    <n v="6156"/>
    <n v="43588"/>
    <x v="214"/>
    <x v="34"/>
    <s v="Medium"/>
    <n v="16"/>
    <n v="3075.7520000000004"/>
    <n v="0.04"/>
    <s v="Delivery Truck"/>
    <n v="-572.68539900000019"/>
    <n v="236.97"/>
    <n v="59.24"/>
    <x v="376"/>
    <x v="5"/>
    <x v="2"/>
    <x v="3"/>
    <x v="2"/>
    <x v="10"/>
    <x v="871"/>
    <s v="Jumbo Box"/>
    <n v="0.61"/>
    <d v="2012-09-04T00:00:00"/>
    <n v="0"/>
    <n v="0"/>
    <n v="0.5"/>
    <n v="0.5"/>
  </r>
  <r>
    <n v="6208"/>
    <n v="44000"/>
    <x v="720"/>
    <x v="1"/>
    <s v="Not Specified"/>
    <n v="18"/>
    <n v="85.03"/>
    <n v="0.05"/>
    <s v="Regular Air"/>
    <n v="-75.31"/>
    <n v="4.28"/>
    <n v="6.72"/>
    <x v="349"/>
    <x v="5"/>
    <x v="2"/>
    <x v="0"/>
    <x v="0"/>
    <x v="5"/>
    <x v="777"/>
    <s v="Small Box"/>
    <n v="0.4"/>
    <d v="2012-10-04T00:00:00"/>
    <n v="0"/>
    <n v="0"/>
    <n v="0.25"/>
    <n v="0.25"/>
  </r>
  <r>
    <n v="6389"/>
    <n v="45381"/>
    <x v="1049"/>
    <x v="21"/>
    <s v="Medium"/>
    <n v="26"/>
    <n v="164.1"/>
    <n v="0.03"/>
    <s v="Express Air"/>
    <n v="-41.216000000000001"/>
    <n v="5.74"/>
    <n v="5.01"/>
    <x v="403"/>
    <x v="5"/>
    <x v="2"/>
    <x v="0"/>
    <x v="0"/>
    <x v="2"/>
    <x v="240"/>
    <s v="Small Box"/>
    <n v="0.39"/>
    <d v="2011-08-22T00:00:00"/>
    <n v="0"/>
    <n v="0"/>
    <n v="0.33333333333333331"/>
    <n v="0.33333333333333331"/>
  </r>
  <r>
    <n v="6390"/>
    <n v="45381"/>
    <x v="1049"/>
    <x v="21"/>
    <s v="Medium"/>
    <n v="23"/>
    <n v="1316.87"/>
    <n v="0.02"/>
    <s v="Express Air"/>
    <n v="204.7"/>
    <n v="53.98"/>
    <n v="5.5"/>
    <x v="403"/>
    <x v="5"/>
    <x v="2"/>
    <x v="0"/>
    <x v="1"/>
    <x v="7"/>
    <x v="742"/>
    <s v="Small Box"/>
    <n v="0.62"/>
    <d v="2011-08-23T00:00:00"/>
    <n v="0"/>
    <n v="0"/>
    <n v="0.33333333333333331"/>
    <n v="0.33333333333333331"/>
  </r>
  <r>
    <n v="6431"/>
    <n v="45728"/>
    <x v="1074"/>
    <x v="30"/>
    <s v="High"/>
    <n v="11"/>
    <n v="38.24"/>
    <n v="0.02"/>
    <s v="Regular Air"/>
    <n v="-37.549999999999997"/>
    <n v="2.88"/>
    <n v="5.33"/>
    <x v="333"/>
    <x v="5"/>
    <x v="2"/>
    <x v="0"/>
    <x v="0"/>
    <x v="11"/>
    <x v="1094"/>
    <s v="Small Box"/>
    <n v="0.36"/>
    <d v="2010-06-22T00:00:00"/>
    <n v="0"/>
    <n v="0"/>
    <n v="0.5"/>
    <n v="0.25"/>
  </r>
  <r>
    <n v="6456"/>
    <n v="45984"/>
    <x v="1075"/>
    <x v="23"/>
    <s v="Medium"/>
    <n v="27"/>
    <n v="80.33"/>
    <n v="0.01"/>
    <s v="Regular Air"/>
    <n v="2.4900000000000002"/>
    <n v="2.94"/>
    <n v="0.96"/>
    <x v="309"/>
    <x v="5"/>
    <x v="2"/>
    <x v="2"/>
    <x v="0"/>
    <x v="12"/>
    <x v="361"/>
    <s v="Wrap Bag"/>
    <n v="0.57999999999999996"/>
    <d v="2012-01-29T00:00:00"/>
    <n v="0"/>
    <n v="0"/>
    <n v="1"/>
    <n v="1"/>
  </r>
  <r>
    <n v="6459"/>
    <n v="45988"/>
    <x v="161"/>
    <x v="35"/>
    <s v="Critical"/>
    <n v="43"/>
    <n v="3832.24"/>
    <n v="0.09"/>
    <s v="Express Air"/>
    <n v="-1570.32"/>
    <n v="90.98"/>
    <n v="56.2"/>
    <x v="424"/>
    <x v="5"/>
    <x v="2"/>
    <x v="3"/>
    <x v="2"/>
    <x v="4"/>
    <x v="433"/>
    <s v="Medium Box"/>
    <n v="0.74"/>
    <d v="2009-09-02T00:00:00"/>
    <n v="0"/>
    <n v="0"/>
    <n v="1"/>
    <n v="0.5"/>
  </r>
  <r>
    <n v="6489"/>
    <n v="46177"/>
    <x v="112"/>
    <x v="15"/>
    <s v="Low"/>
    <n v="48"/>
    <n v="9708.64"/>
    <n v="0.1"/>
    <s v="Delivery Truck"/>
    <n v="-528.65312500000005"/>
    <n v="218.75"/>
    <n v="69.64"/>
    <x v="110"/>
    <x v="5"/>
    <x v="2"/>
    <x v="2"/>
    <x v="2"/>
    <x v="10"/>
    <x v="146"/>
    <s v="Jumbo Box"/>
    <n v="0.77"/>
    <d v="2010-12-07T00:00:00"/>
    <n v="0"/>
    <n v="0"/>
    <n v="0.33333333333333331"/>
    <n v="0.33333333333333331"/>
  </r>
  <r>
    <n v="6620"/>
    <n v="47106"/>
    <x v="1076"/>
    <x v="17"/>
    <s v="Medium"/>
    <n v="40"/>
    <n v="6618.4570000000003"/>
    <n v="0.1"/>
    <s v="Regular Air"/>
    <n v="1489.9590000000001"/>
    <n v="205.99"/>
    <n v="5.99"/>
    <x v="419"/>
    <x v="5"/>
    <x v="2"/>
    <x v="3"/>
    <x v="1"/>
    <x v="3"/>
    <x v="556"/>
    <s v="Small Box"/>
    <n v="0.59"/>
    <d v="2011-10-27T00:00:00"/>
    <n v="0"/>
    <n v="0"/>
    <n v="0.5"/>
    <n v="0.5"/>
  </r>
  <r>
    <n v="6630"/>
    <n v="47169"/>
    <x v="697"/>
    <x v="14"/>
    <s v="Medium"/>
    <n v="15"/>
    <n v="803.26699999999994"/>
    <n v="0.06"/>
    <s v="Regular Air"/>
    <n v="-19.965"/>
    <n v="65.989999999999995"/>
    <n v="5.26"/>
    <x v="425"/>
    <x v="5"/>
    <x v="2"/>
    <x v="3"/>
    <x v="1"/>
    <x v="3"/>
    <x v="266"/>
    <s v="Small Box"/>
    <n v="0.56000000000000005"/>
    <d v="2010-03-04T00:00:00"/>
    <n v="0"/>
    <n v="0"/>
    <n v="1"/>
    <n v="1"/>
  </r>
  <r>
    <n v="6751"/>
    <n v="48071"/>
    <x v="1077"/>
    <x v="5"/>
    <s v="Low"/>
    <n v="1"/>
    <n v="22.74"/>
    <n v="0.03"/>
    <s v="Express Air"/>
    <n v="-13.59"/>
    <n v="12.64"/>
    <n v="4.9800000000000004"/>
    <x v="402"/>
    <x v="5"/>
    <x v="2"/>
    <x v="3"/>
    <x v="2"/>
    <x v="4"/>
    <x v="774"/>
    <s v="Small Pack"/>
    <n v="0.48"/>
    <d v="2011-03-12T00:00:00"/>
    <n v="0"/>
    <n v="0"/>
    <n v="1"/>
    <n v="1"/>
  </r>
  <r>
    <n v="6910"/>
    <n v="49312"/>
    <x v="1050"/>
    <x v="44"/>
    <s v="Critical"/>
    <n v="19"/>
    <n v="1882.18"/>
    <n v="0.09"/>
    <s v="Express Air"/>
    <n v="336.26"/>
    <n v="107.53"/>
    <n v="5.81"/>
    <x v="392"/>
    <x v="5"/>
    <x v="2"/>
    <x v="2"/>
    <x v="2"/>
    <x v="4"/>
    <x v="348"/>
    <s v="Medium Box"/>
    <n v="0.65"/>
    <d v="2011-02-23T00:00:00"/>
    <n v="0"/>
    <n v="0"/>
    <n v="0.5"/>
    <n v="0.5"/>
  </r>
  <r>
    <n v="6930"/>
    <n v="49472"/>
    <x v="598"/>
    <x v="42"/>
    <s v="Low"/>
    <n v="23"/>
    <n v="103.2"/>
    <n v="0.02"/>
    <s v="Regular Air"/>
    <n v="17.89"/>
    <n v="4.28"/>
    <n v="0.94"/>
    <x v="405"/>
    <x v="5"/>
    <x v="2"/>
    <x v="0"/>
    <x v="0"/>
    <x v="12"/>
    <x v="406"/>
    <s v="Wrap Bag"/>
    <n v="0.56000000000000005"/>
    <d v="2010-07-21T00:00:00"/>
    <n v="0"/>
    <n v="0"/>
    <n v="0.33333333333333331"/>
    <n v="0.33333333333333331"/>
  </r>
  <r>
    <n v="6980"/>
    <n v="49891"/>
    <x v="661"/>
    <x v="35"/>
    <s v="Not Specified"/>
    <n v="19"/>
    <n v="88.4"/>
    <n v="0.08"/>
    <s v="Regular Air"/>
    <n v="35.5"/>
    <n v="4.91"/>
    <n v="0.5"/>
    <x v="406"/>
    <x v="5"/>
    <x v="2"/>
    <x v="1"/>
    <x v="0"/>
    <x v="11"/>
    <x v="999"/>
    <s v="Small Box"/>
    <n v="0.36"/>
    <d v="2009-09-12T00:00:00"/>
    <n v="0"/>
    <n v="0"/>
    <n v="0.5"/>
    <n v="0.5"/>
  </r>
  <r>
    <n v="7041"/>
    <n v="50276"/>
    <x v="492"/>
    <x v="44"/>
    <s v="Not Specified"/>
    <n v="34"/>
    <n v="390.35"/>
    <n v="0.05"/>
    <s v="Regular Air"/>
    <n v="71.03"/>
    <n v="11.55"/>
    <n v="2.36"/>
    <x v="412"/>
    <x v="5"/>
    <x v="2"/>
    <x v="0"/>
    <x v="0"/>
    <x v="12"/>
    <x v="769"/>
    <s v="Wrap Bag"/>
    <n v="0.55000000000000004"/>
    <d v="2011-02-15T00:00:00"/>
    <n v="0"/>
    <n v="0"/>
    <n v="1"/>
    <n v="1"/>
  </r>
  <r>
    <n v="7162"/>
    <n v="51107"/>
    <x v="1078"/>
    <x v="34"/>
    <s v="Not Specified"/>
    <n v="36"/>
    <n v="772.67"/>
    <n v="0"/>
    <s v="Regular Air"/>
    <n v="286.86650000000003"/>
    <n v="21.38"/>
    <n v="2.99"/>
    <x v="426"/>
    <x v="5"/>
    <x v="2"/>
    <x v="2"/>
    <x v="0"/>
    <x v="2"/>
    <x v="1074"/>
    <s v="Small Box"/>
    <n v="0.37"/>
    <d v="2012-09-26T00:00:00"/>
    <n v="0"/>
    <n v="0"/>
    <n v="1"/>
    <n v="1"/>
  </r>
  <r>
    <n v="7260"/>
    <n v="51783"/>
    <x v="1079"/>
    <x v="27"/>
    <s v="Medium"/>
    <n v="10"/>
    <n v="1875.18"/>
    <n v="0.01"/>
    <s v="Delivery Truck"/>
    <n v="-433.29014300000011"/>
    <n v="179.29"/>
    <n v="29.21"/>
    <x v="293"/>
    <x v="5"/>
    <x v="2"/>
    <x v="1"/>
    <x v="2"/>
    <x v="10"/>
    <x v="102"/>
    <s v="Jumbo Box"/>
    <n v="0.74"/>
    <d v="2011-11-13T00:00:00"/>
    <n v="0"/>
    <n v="0"/>
    <n v="0.33333333333333331"/>
    <n v="0.33333333333333331"/>
  </r>
  <r>
    <n v="7295"/>
    <n v="52006"/>
    <x v="342"/>
    <x v="41"/>
    <s v="Medium"/>
    <n v="42"/>
    <n v="375.76"/>
    <n v="0"/>
    <s v="Regular Air"/>
    <n v="-241.63"/>
    <n v="8.3699999999999992"/>
    <n v="10.16"/>
    <x v="334"/>
    <x v="5"/>
    <x v="2"/>
    <x v="2"/>
    <x v="2"/>
    <x v="4"/>
    <x v="734"/>
    <s v="Large Box"/>
    <n v="0.59"/>
    <d v="2009-06-26T00:00:00"/>
    <n v="0"/>
    <n v="0"/>
    <n v="0.5"/>
    <n v="0.5"/>
  </r>
  <r>
    <n v="7429"/>
    <n v="52934"/>
    <x v="614"/>
    <x v="2"/>
    <s v="Critical"/>
    <n v="20"/>
    <n v="92.15"/>
    <n v="0.08"/>
    <s v="Regular Air"/>
    <n v="36.979999999999997"/>
    <n v="4.91"/>
    <n v="0.5"/>
    <x v="372"/>
    <x v="5"/>
    <x v="2"/>
    <x v="2"/>
    <x v="0"/>
    <x v="11"/>
    <x v="999"/>
    <s v="Small Box"/>
    <n v="0.36"/>
    <d v="2011-07-28T00:00:00"/>
    <n v="0"/>
    <n v="0"/>
    <n v="1"/>
    <n v="1"/>
  </r>
  <r>
    <n v="7555"/>
    <n v="54053"/>
    <x v="12"/>
    <x v="12"/>
    <s v="High"/>
    <n v="18"/>
    <n v="821.78849999999989"/>
    <n v="0.06"/>
    <s v="Express Air"/>
    <n v="-230.34"/>
    <n v="55.99"/>
    <n v="5"/>
    <x v="370"/>
    <x v="5"/>
    <x v="2"/>
    <x v="1"/>
    <x v="1"/>
    <x v="3"/>
    <x v="159"/>
    <s v="Small Pack"/>
    <n v="0.8"/>
    <d v="2012-02-15T00:00:00"/>
    <n v="0"/>
    <n v="0"/>
    <n v="0.5"/>
    <n v="0.5"/>
  </r>
  <r>
    <n v="7708"/>
    <n v="55239"/>
    <x v="350"/>
    <x v="45"/>
    <s v="Critical"/>
    <n v="13"/>
    <n v="95.68"/>
    <n v="7.0000000000000007E-2"/>
    <s v="Express Air"/>
    <n v="-15.27"/>
    <n v="6.48"/>
    <n v="5.14"/>
    <x v="410"/>
    <x v="5"/>
    <x v="2"/>
    <x v="1"/>
    <x v="0"/>
    <x v="5"/>
    <x v="896"/>
    <s v="Small Box"/>
    <n v="0.37"/>
    <d v="2012-12-04T00:00:00"/>
    <n v="0"/>
    <n v="0"/>
    <n v="0.5"/>
    <n v="0.5"/>
  </r>
  <r>
    <n v="7739"/>
    <n v="55425"/>
    <x v="966"/>
    <x v="27"/>
    <s v="Critical"/>
    <n v="7"/>
    <n v="73.86"/>
    <n v="0.08"/>
    <s v="Regular Air"/>
    <n v="-52.49"/>
    <n v="9.7100000000000009"/>
    <n v="9.4499999999999993"/>
    <x v="374"/>
    <x v="5"/>
    <x v="2"/>
    <x v="2"/>
    <x v="0"/>
    <x v="0"/>
    <x v="716"/>
    <s v="Small Box"/>
    <n v="0.6"/>
    <d v="2011-11-02T00:00:00"/>
    <n v="0"/>
    <n v="0"/>
    <n v="0.33333333333333331"/>
    <n v="0.33333333333333331"/>
  </r>
  <r>
    <n v="7901"/>
    <n v="56515"/>
    <x v="62"/>
    <x v="10"/>
    <s v="Medium"/>
    <n v="17"/>
    <n v="979.52"/>
    <n v="0.1"/>
    <s v="Delivery Truck"/>
    <n v="-362.04"/>
    <n v="58.14"/>
    <n v="36.61"/>
    <x v="372"/>
    <x v="5"/>
    <x v="2"/>
    <x v="0"/>
    <x v="2"/>
    <x v="9"/>
    <x v="126"/>
    <s v="Jumbo Box"/>
    <n v="0.61"/>
    <d v="2011-05-29T00:00:00"/>
    <n v="0"/>
    <n v="0"/>
    <n v="0.5"/>
    <n v="0.5"/>
  </r>
  <r>
    <n v="8079"/>
    <n v="57638"/>
    <x v="301"/>
    <x v="13"/>
    <s v="Low"/>
    <n v="35"/>
    <n v="5740.6239999999998"/>
    <n v="0.09"/>
    <s v="Delivery Truck"/>
    <n v="-526.47809500000005"/>
    <n v="217.85"/>
    <n v="29.1"/>
    <x v="358"/>
    <x v="5"/>
    <x v="2"/>
    <x v="1"/>
    <x v="2"/>
    <x v="10"/>
    <x v="905"/>
    <s v="Jumbo Box"/>
    <n v="0.68"/>
    <d v="2012-04-27T00:00:00"/>
    <n v="0"/>
    <n v="0"/>
    <n v="0.33333333333333331"/>
    <n v="0.33333333333333331"/>
  </r>
  <r>
    <n v="8195"/>
    <n v="58599"/>
    <x v="169"/>
    <x v="38"/>
    <s v="Critical"/>
    <n v="49"/>
    <n v="5332.42"/>
    <n v="0.06"/>
    <s v="Delivery Truck"/>
    <n v="-219.2"/>
    <n v="113.98"/>
    <n v="30"/>
    <x v="427"/>
    <x v="5"/>
    <x v="2"/>
    <x v="0"/>
    <x v="2"/>
    <x v="14"/>
    <x v="655"/>
    <s v="Jumbo Drum"/>
    <n v="0.69"/>
    <d v="2010-01-15T00:00:00"/>
    <n v="1"/>
    <n v="0"/>
    <n v="0.5"/>
    <n v="0.5"/>
  </r>
  <r>
    <n v="8265"/>
    <n v="59075"/>
    <x v="723"/>
    <x v="12"/>
    <s v="Low"/>
    <n v="4"/>
    <n v="21.84"/>
    <n v="0.02"/>
    <s v="Regular Air"/>
    <n v="-25.31"/>
    <n v="4.7699999999999996"/>
    <n v="2.39"/>
    <x v="280"/>
    <x v="5"/>
    <x v="2"/>
    <x v="0"/>
    <x v="1"/>
    <x v="7"/>
    <x v="568"/>
    <s v="Small Pack"/>
    <n v="0.72"/>
    <d v="2012-03-05T00:00:00"/>
    <n v="0"/>
    <n v="0"/>
    <n v="0.5"/>
    <n v="0.5"/>
  </r>
  <r>
    <n v="8300"/>
    <n v="59270"/>
    <x v="1057"/>
    <x v="38"/>
    <s v="High"/>
    <n v="47"/>
    <n v="1597.02"/>
    <n v="0.01"/>
    <s v="Regular Air"/>
    <n v="749.03"/>
    <n v="31.78"/>
    <n v="1.99"/>
    <x v="404"/>
    <x v="5"/>
    <x v="2"/>
    <x v="0"/>
    <x v="1"/>
    <x v="7"/>
    <x v="47"/>
    <s v="Small Pack"/>
    <n v="0.42"/>
    <d v="2010-01-13T00:00:00"/>
    <n v="1"/>
    <n v="0"/>
    <n v="0.25"/>
    <n v="0.25"/>
  </r>
  <r>
    <n v="58"/>
    <n v="326"/>
    <x v="261"/>
    <x v="4"/>
    <s v="High"/>
    <n v="34"/>
    <n v="218.27"/>
    <n v="0.03"/>
    <s v="Regular Air"/>
    <n v="-44.137"/>
    <n v="5.99"/>
    <n v="4.92"/>
    <x v="428"/>
    <x v="8"/>
    <x v="6"/>
    <x v="1"/>
    <x v="0"/>
    <x v="2"/>
    <x v="327"/>
    <s v="Small Box"/>
    <n v="0.38"/>
    <d v="2011-06-04T00:00:00"/>
    <n v="0"/>
    <n v="0"/>
    <n v="0.5"/>
    <n v="0.5"/>
  </r>
  <r>
    <n v="59"/>
    <n v="326"/>
    <x v="261"/>
    <x v="4"/>
    <s v="High"/>
    <n v="17"/>
    <n v="100.95"/>
    <n v="0.05"/>
    <s v="Regular Air"/>
    <n v="-21.3"/>
    <n v="5.81"/>
    <n v="3.37"/>
    <x v="428"/>
    <x v="8"/>
    <x v="6"/>
    <x v="1"/>
    <x v="0"/>
    <x v="6"/>
    <x v="622"/>
    <s v="Wrap Bag"/>
    <n v="0.54"/>
    <d v="2011-06-04T00:00:00"/>
    <n v="0"/>
    <n v="0"/>
    <n v="0.5"/>
    <n v="0.5"/>
  </r>
  <r>
    <n v="99"/>
    <n v="614"/>
    <x v="1080"/>
    <x v="32"/>
    <s v="High"/>
    <n v="41"/>
    <n v="628.22"/>
    <n v="0"/>
    <s v="Regular Air"/>
    <n v="163.81"/>
    <n v="14.34"/>
    <n v="5"/>
    <x v="274"/>
    <x v="8"/>
    <x v="6"/>
    <x v="2"/>
    <x v="2"/>
    <x v="4"/>
    <x v="551"/>
    <s v="Small Pack"/>
    <n v="0.49"/>
    <d v="2012-12-02T00:00:00"/>
    <n v="0"/>
    <n v="0"/>
    <n v="0.5"/>
    <n v="0.5"/>
  </r>
  <r>
    <n v="100"/>
    <n v="614"/>
    <x v="1080"/>
    <x v="32"/>
    <s v="High"/>
    <n v="24"/>
    <n v="3366.1"/>
    <n v="7.0000000000000007E-2"/>
    <s v="Delivery Truck"/>
    <n v="-335.31712500000003"/>
    <n v="138.75"/>
    <n v="52.42"/>
    <x v="274"/>
    <x v="8"/>
    <x v="6"/>
    <x v="2"/>
    <x v="2"/>
    <x v="10"/>
    <x v="1095"/>
    <s v="Jumbo Box"/>
    <n v="0.74"/>
    <d v="2012-12-01T00:00:00"/>
    <n v="0"/>
    <n v="0"/>
    <n v="0.5"/>
    <n v="0.5"/>
  </r>
  <r>
    <n v="139"/>
    <n v="898"/>
    <x v="1081"/>
    <x v="30"/>
    <s v="High"/>
    <n v="40"/>
    <n v="676.13"/>
    <n v="0.03"/>
    <s v="Regular Air"/>
    <n v="45.39"/>
    <n v="15.98"/>
    <n v="6.5"/>
    <x v="429"/>
    <x v="8"/>
    <x v="6"/>
    <x v="1"/>
    <x v="1"/>
    <x v="7"/>
    <x v="404"/>
    <s v="Small Box"/>
    <n v="0.48"/>
    <d v="2010-06-04T00:00:00"/>
    <n v="0"/>
    <n v="0"/>
    <n v="0.5"/>
    <n v="0.5"/>
  </r>
  <r>
    <n v="140"/>
    <n v="898"/>
    <x v="1081"/>
    <x v="30"/>
    <s v="High"/>
    <n v="26"/>
    <n v="7668.55"/>
    <n v="0.04"/>
    <s v="Delivery Truck"/>
    <n v="-715.7782060000003"/>
    <n v="296.18"/>
    <n v="54.12"/>
    <x v="429"/>
    <x v="8"/>
    <x v="6"/>
    <x v="1"/>
    <x v="2"/>
    <x v="10"/>
    <x v="300"/>
    <s v="Jumbo Box"/>
    <n v="0.76"/>
    <d v="2010-06-02T00:00:00"/>
    <n v="0"/>
    <n v="0"/>
    <n v="0.5"/>
    <n v="0.5"/>
  </r>
  <r>
    <n v="166"/>
    <n v="1031"/>
    <x v="1053"/>
    <x v="26"/>
    <s v="Medium"/>
    <n v="34"/>
    <n v="226.1"/>
    <n v="0"/>
    <s v="Regular Air"/>
    <n v="-52.21"/>
    <n v="6.37"/>
    <n v="5.19"/>
    <x v="429"/>
    <x v="8"/>
    <x v="6"/>
    <x v="1"/>
    <x v="0"/>
    <x v="2"/>
    <x v="1007"/>
    <s v="Small Box"/>
    <n v="0.38"/>
    <d v="2009-09-02T00:00:00"/>
    <n v="0"/>
    <n v="0"/>
    <n v="1"/>
    <n v="1"/>
  </r>
  <r>
    <n v="224"/>
    <n v="1447"/>
    <x v="743"/>
    <x v="1"/>
    <s v="High"/>
    <n v="40"/>
    <n v="2135.9734999999996"/>
    <n v="7.0000000000000007E-2"/>
    <s v="Regular Air"/>
    <n v="239.4"/>
    <n v="65.989999999999995"/>
    <n v="8.99"/>
    <x v="430"/>
    <x v="8"/>
    <x v="6"/>
    <x v="1"/>
    <x v="1"/>
    <x v="3"/>
    <x v="1096"/>
    <s v="Small Box"/>
    <n v="0.59"/>
    <d v="2012-10-17T00:00:00"/>
    <n v="0"/>
    <n v="0"/>
    <n v="1"/>
    <n v="0.5"/>
  </r>
  <r>
    <n v="311"/>
    <n v="2150"/>
    <x v="1022"/>
    <x v="41"/>
    <s v="Medium"/>
    <n v="21"/>
    <n v="3905.75"/>
    <n v="0.01"/>
    <s v="Delivery Truck"/>
    <n v="55.301850000000002"/>
    <n v="179.29"/>
    <n v="29.21"/>
    <x v="431"/>
    <x v="8"/>
    <x v="6"/>
    <x v="2"/>
    <x v="2"/>
    <x v="10"/>
    <x v="102"/>
    <s v="Jumbo Box"/>
    <n v="0.76"/>
    <d v="2009-06-04T00:00:00"/>
    <n v="0"/>
    <n v="0"/>
    <n v="1"/>
    <n v="0.25"/>
  </r>
  <r>
    <n v="320"/>
    <n v="2211"/>
    <x v="724"/>
    <x v="41"/>
    <s v="High"/>
    <n v="22"/>
    <n v="1651.09"/>
    <n v="0.05"/>
    <s v="Regular Air"/>
    <n v="-2.3800000000000239"/>
    <n v="73.98"/>
    <n v="12.14"/>
    <x v="431"/>
    <x v="8"/>
    <x v="6"/>
    <x v="3"/>
    <x v="1"/>
    <x v="7"/>
    <x v="633"/>
    <s v="Small Box"/>
    <n v="0.67"/>
    <d v="2009-06-30T00:00:00"/>
    <n v="0"/>
    <n v="0"/>
    <n v="0.33333333333333331"/>
    <n v="0.25"/>
  </r>
  <r>
    <n v="321"/>
    <n v="2211"/>
    <x v="724"/>
    <x v="41"/>
    <s v="High"/>
    <n v="14"/>
    <n v="95.89"/>
    <n v="0"/>
    <s v="Regular Air"/>
    <n v="-46.31"/>
    <n v="5.98"/>
    <n v="7.15"/>
    <x v="431"/>
    <x v="8"/>
    <x v="6"/>
    <x v="3"/>
    <x v="0"/>
    <x v="5"/>
    <x v="1034"/>
    <s v="Small Box"/>
    <n v="0.36"/>
    <d v="2009-07-01T00:00:00"/>
    <n v="0"/>
    <n v="0"/>
    <n v="0.33333333333333331"/>
    <n v="0.25"/>
  </r>
  <r>
    <n v="322"/>
    <n v="2211"/>
    <x v="724"/>
    <x v="41"/>
    <s v="High"/>
    <n v="23"/>
    <n v="80.38"/>
    <n v="0.09"/>
    <s v="Regular Air"/>
    <n v="-71.11"/>
    <n v="3.57"/>
    <n v="4.17"/>
    <x v="431"/>
    <x v="8"/>
    <x v="6"/>
    <x v="3"/>
    <x v="0"/>
    <x v="12"/>
    <x v="574"/>
    <s v="Small Pack"/>
    <n v="0.59"/>
    <d v="2009-07-01T00:00:00"/>
    <n v="0"/>
    <n v="0"/>
    <n v="0.33333333333333331"/>
    <n v="0.25"/>
  </r>
  <r>
    <n v="339"/>
    <n v="2307"/>
    <x v="494"/>
    <x v="30"/>
    <s v="Low"/>
    <n v="32"/>
    <n v="182.33"/>
    <n v="0.1"/>
    <s v="Regular Air"/>
    <n v="40.850999999999999"/>
    <n v="5.98"/>
    <n v="1.49"/>
    <x v="432"/>
    <x v="8"/>
    <x v="6"/>
    <x v="2"/>
    <x v="0"/>
    <x v="2"/>
    <x v="986"/>
    <s v="Small Box"/>
    <n v="0.39"/>
    <d v="2010-06-28T00:00:00"/>
    <n v="0"/>
    <n v="0"/>
    <n v="1"/>
    <n v="1"/>
  </r>
  <r>
    <n v="345"/>
    <n v="2370"/>
    <x v="191"/>
    <x v="22"/>
    <s v="Critical"/>
    <n v="6"/>
    <n v="679.6"/>
    <n v="0.02"/>
    <s v="Regular Air"/>
    <n v="-85.76"/>
    <n v="110.98"/>
    <n v="13.99"/>
    <x v="429"/>
    <x v="8"/>
    <x v="6"/>
    <x v="1"/>
    <x v="2"/>
    <x v="4"/>
    <x v="423"/>
    <s v="Medium Box"/>
    <n v="0.69"/>
    <d v="2009-01-18T00:00:00"/>
    <n v="0"/>
    <n v="1"/>
    <n v="0.5"/>
    <n v="0.5"/>
  </r>
  <r>
    <n v="346"/>
    <n v="2370"/>
    <x v="191"/>
    <x v="22"/>
    <s v="Critical"/>
    <n v="30"/>
    <n v="257.42"/>
    <n v="0.01"/>
    <s v="Regular Air"/>
    <n v="59.18"/>
    <n v="8.01"/>
    <n v="2.87"/>
    <x v="429"/>
    <x v="8"/>
    <x v="6"/>
    <x v="1"/>
    <x v="0"/>
    <x v="5"/>
    <x v="548"/>
    <s v="Wrap Bag"/>
    <n v="0.4"/>
    <d v="2009-01-18T00:00:00"/>
    <n v="0"/>
    <n v="1"/>
    <n v="0.5"/>
    <n v="0.5"/>
  </r>
  <r>
    <n v="348"/>
    <n v="2374"/>
    <x v="1082"/>
    <x v="0"/>
    <s v="Not Specified"/>
    <n v="21"/>
    <n v="78.17"/>
    <n v="0.01"/>
    <s v="Express Air"/>
    <n v="-72.703000000000003"/>
    <n v="2.84"/>
    <n v="5.44"/>
    <x v="433"/>
    <x v="8"/>
    <x v="6"/>
    <x v="1"/>
    <x v="0"/>
    <x v="2"/>
    <x v="848"/>
    <s v="Small Box"/>
    <n v="0.36"/>
    <d v="2010-10-30T00:00:00"/>
    <n v="0"/>
    <n v="0"/>
    <n v="1"/>
    <n v="1"/>
  </r>
  <r>
    <n v="462"/>
    <n v="3138"/>
    <x v="1083"/>
    <x v="40"/>
    <s v="Not Specified"/>
    <n v="4"/>
    <n v="718.03"/>
    <n v="7.0000000000000007E-2"/>
    <s v="Express Air"/>
    <n v="-427.47"/>
    <n v="179.99"/>
    <n v="19.989999999999998"/>
    <x v="434"/>
    <x v="8"/>
    <x v="6"/>
    <x v="1"/>
    <x v="1"/>
    <x v="7"/>
    <x v="634"/>
    <s v="Small Box"/>
    <n v="0.48"/>
    <d v="2009-02-08T00:00:00"/>
    <n v="0"/>
    <n v="0"/>
    <n v="1"/>
    <n v="1"/>
  </r>
  <r>
    <n v="463"/>
    <n v="3141"/>
    <x v="441"/>
    <x v="27"/>
    <s v="Critical"/>
    <n v="30"/>
    <n v="534.96"/>
    <n v="0.08"/>
    <s v="Regular Air"/>
    <n v="-26.72"/>
    <n v="18.89"/>
    <n v="3.17"/>
    <x v="307"/>
    <x v="8"/>
    <x v="6"/>
    <x v="3"/>
    <x v="1"/>
    <x v="7"/>
    <x v="1097"/>
    <s v="Small Pack"/>
    <n v="0.69"/>
    <d v="2011-11-11T00:00:00"/>
    <n v="0"/>
    <n v="0"/>
    <n v="1"/>
    <n v="0.25"/>
  </r>
  <r>
    <n v="641"/>
    <n v="4515"/>
    <x v="893"/>
    <x v="33"/>
    <s v="Critical"/>
    <n v="7"/>
    <n v="887.94"/>
    <n v="0.02"/>
    <s v="Regular Air"/>
    <n v="49.45"/>
    <n v="120.97"/>
    <n v="7.11"/>
    <x v="431"/>
    <x v="8"/>
    <x v="6"/>
    <x v="1"/>
    <x v="1"/>
    <x v="16"/>
    <x v="105"/>
    <s v="Medium Box"/>
    <n v="0.36"/>
    <d v="2012-03-17T00:00:00"/>
    <n v="0"/>
    <n v="0"/>
    <n v="1"/>
    <n v="1"/>
  </r>
  <r>
    <n v="675"/>
    <n v="4708"/>
    <x v="1028"/>
    <x v="35"/>
    <s v="Critical"/>
    <n v="29"/>
    <n v="180.38"/>
    <n v="0.08"/>
    <s v="Regular Air"/>
    <n v="-119.32"/>
    <n v="6.48"/>
    <n v="7.49"/>
    <x v="428"/>
    <x v="8"/>
    <x v="6"/>
    <x v="2"/>
    <x v="0"/>
    <x v="5"/>
    <x v="496"/>
    <s v="Small Box"/>
    <n v="0.37"/>
    <d v="2009-10-02T00:00:00"/>
    <n v="0"/>
    <n v="0"/>
    <n v="1"/>
    <n v="1"/>
  </r>
  <r>
    <n v="720"/>
    <n v="5155"/>
    <x v="790"/>
    <x v="41"/>
    <s v="High"/>
    <n v="14"/>
    <n v="569.21"/>
    <n v="0.01"/>
    <s v="Regular Air"/>
    <n v="-38.51"/>
    <n v="39.979999999999997"/>
    <n v="4"/>
    <x v="435"/>
    <x v="8"/>
    <x v="6"/>
    <x v="2"/>
    <x v="1"/>
    <x v="7"/>
    <x v="701"/>
    <s v="Small Box"/>
    <n v="0.7"/>
    <d v="2009-06-12T00:00:00"/>
    <n v="0"/>
    <n v="0"/>
    <n v="1"/>
    <n v="1"/>
  </r>
  <r>
    <n v="752"/>
    <n v="5382"/>
    <x v="899"/>
    <x v="23"/>
    <s v="Low"/>
    <n v="30"/>
    <n v="260.12"/>
    <n v="0.05"/>
    <s v="Regular Air"/>
    <n v="36.54"/>
    <n v="8.98"/>
    <n v="4.1900000000000004"/>
    <x v="428"/>
    <x v="8"/>
    <x v="6"/>
    <x v="1"/>
    <x v="2"/>
    <x v="4"/>
    <x v="1098"/>
    <s v="Small Pack"/>
    <n v="0.43"/>
    <d v="2012-01-19T00:00:00"/>
    <n v="0"/>
    <n v="0"/>
    <n v="1"/>
    <n v="1"/>
  </r>
  <r>
    <n v="756"/>
    <n v="5414"/>
    <x v="934"/>
    <x v="14"/>
    <s v="Not Specified"/>
    <n v="14"/>
    <n v="284.62"/>
    <n v="0.1"/>
    <s v="Express Air"/>
    <n v="-27.08"/>
    <n v="20.98"/>
    <n v="5.42"/>
    <x v="428"/>
    <x v="8"/>
    <x v="6"/>
    <x v="2"/>
    <x v="0"/>
    <x v="0"/>
    <x v="558"/>
    <s v="Small Box"/>
    <n v="0.66"/>
    <d v="2010-03-25T00:00:00"/>
    <n v="0"/>
    <n v="0"/>
    <n v="1"/>
    <n v="1"/>
  </r>
  <r>
    <n v="894"/>
    <n v="6433"/>
    <x v="982"/>
    <x v="27"/>
    <s v="Medium"/>
    <n v="41"/>
    <n v="159.26"/>
    <n v="0.01"/>
    <s v="Regular Air"/>
    <n v="73.89"/>
    <n v="3.69"/>
    <n v="0.5"/>
    <x v="307"/>
    <x v="8"/>
    <x v="6"/>
    <x v="3"/>
    <x v="0"/>
    <x v="11"/>
    <x v="98"/>
    <s v="Small Box"/>
    <n v="0.38"/>
    <d v="2011-11-23T00:00:00"/>
    <n v="0"/>
    <n v="0"/>
    <n v="1"/>
    <n v="0.25"/>
  </r>
  <r>
    <n v="898"/>
    <n v="6464"/>
    <x v="1084"/>
    <x v="43"/>
    <s v="Medium"/>
    <n v="1"/>
    <n v="57.84"/>
    <n v="7.0000000000000007E-2"/>
    <s v="Regular Air"/>
    <n v="-41.77"/>
    <n v="60.97"/>
    <n v="4.5"/>
    <x v="63"/>
    <x v="8"/>
    <x v="6"/>
    <x v="1"/>
    <x v="0"/>
    <x v="1"/>
    <x v="1085"/>
    <s v="Small Box"/>
    <n v="0.56000000000000005"/>
    <d v="2009-05-30T00:00:00"/>
    <n v="0"/>
    <n v="0"/>
    <n v="0.5"/>
    <n v="0.5"/>
  </r>
  <r>
    <n v="899"/>
    <n v="6464"/>
    <x v="1084"/>
    <x v="43"/>
    <s v="Medium"/>
    <n v="42"/>
    <n v="3991.99"/>
    <n v="0"/>
    <s v="Regular Air"/>
    <n v="-1014.11"/>
    <n v="90.98"/>
    <n v="56.2"/>
    <x v="63"/>
    <x v="8"/>
    <x v="6"/>
    <x v="1"/>
    <x v="2"/>
    <x v="4"/>
    <x v="433"/>
    <s v="Medium Box"/>
    <n v="0.74"/>
    <d v="2009-05-30T00:00:00"/>
    <n v="0"/>
    <n v="0"/>
    <n v="0.5"/>
    <n v="0.5"/>
  </r>
  <r>
    <n v="1064"/>
    <n v="7846"/>
    <x v="1085"/>
    <x v="4"/>
    <s v="Low"/>
    <n v="47"/>
    <n v="2926.33"/>
    <n v="0.09"/>
    <s v="Regular Air"/>
    <n v="499.27300000000002"/>
    <n v="67.28"/>
    <n v="19.989999999999998"/>
    <x v="274"/>
    <x v="8"/>
    <x v="6"/>
    <x v="2"/>
    <x v="0"/>
    <x v="2"/>
    <x v="490"/>
    <s v="Small Box"/>
    <n v="0.4"/>
    <d v="2011-06-30T00:00:00"/>
    <n v="0"/>
    <n v="0"/>
    <n v="0.25"/>
    <n v="0.25"/>
  </r>
  <r>
    <n v="1065"/>
    <n v="7846"/>
    <x v="1085"/>
    <x v="4"/>
    <s v="Low"/>
    <n v="20"/>
    <n v="40.049999999999997"/>
    <n v="0.1"/>
    <s v="Regular Air"/>
    <n v="-10.223500000000001"/>
    <n v="2.08"/>
    <n v="1.49"/>
    <x v="274"/>
    <x v="8"/>
    <x v="6"/>
    <x v="2"/>
    <x v="0"/>
    <x v="2"/>
    <x v="579"/>
    <s v="Small Box"/>
    <n v="0.36"/>
    <d v="2011-06-30T00:00:00"/>
    <n v="0"/>
    <n v="0"/>
    <n v="0.25"/>
    <n v="0.25"/>
  </r>
  <r>
    <n v="1066"/>
    <n v="7846"/>
    <x v="1085"/>
    <x v="4"/>
    <s v="Low"/>
    <n v="20"/>
    <n v="552.87"/>
    <n v="0.01"/>
    <s v="Regular Air"/>
    <n v="-64.819999999999993"/>
    <n v="26.31"/>
    <n v="5.89"/>
    <x v="274"/>
    <x v="8"/>
    <x v="6"/>
    <x v="2"/>
    <x v="1"/>
    <x v="7"/>
    <x v="295"/>
    <s v="Small Box"/>
    <n v="0.75"/>
    <d v="2011-07-02T00:00:00"/>
    <n v="0"/>
    <n v="0"/>
    <n v="0.25"/>
    <n v="0.25"/>
  </r>
  <r>
    <n v="1067"/>
    <n v="7846"/>
    <x v="1085"/>
    <x v="4"/>
    <s v="Low"/>
    <n v="12"/>
    <n v="26.33"/>
    <n v="0.05"/>
    <s v="Regular Air"/>
    <n v="-33.61"/>
    <n v="1.76"/>
    <n v="4.8600000000000003"/>
    <x v="274"/>
    <x v="8"/>
    <x v="6"/>
    <x v="2"/>
    <x v="2"/>
    <x v="4"/>
    <x v="1099"/>
    <s v="Small Box"/>
    <n v="0.41"/>
    <d v="2011-06-25T00:00:00"/>
    <n v="0"/>
    <n v="0"/>
    <n v="0.25"/>
    <n v="0.25"/>
  </r>
  <r>
    <n v="1077"/>
    <n v="7936"/>
    <x v="1086"/>
    <x v="24"/>
    <s v="Low"/>
    <n v="50"/>
    <n v="2851.17"/>
    <n v="0.06"/>
    <s v="Delivery Truck"/>
    <n v="-868.88"/>
    <n v="58.14"/>
    <n v="36.61"/>
    <x v="435"/>
    <x v="8"/>
    <x v="6"/>
    <x v="2"/>
    <x v="2"/>
    <x v="9"/>
    <x v="126"/>
    <s v="Jumbo Box"/>
    <n v="0.61"/>
    <d v="2010-04-05T00:00:00"/>
    <n v="0"/>
    <n v="0"/>
    <n v="0.5"/>
    <n v="0.5"/>
  </r>
  <r>
    <n v="1078"/>
    <n v="7936"/>
    <x v="1086"/>
    <x v="24"/>
    <s v="Low"/>
    <n v="15"/>
    <n v="183.43"/>
    <n v="0.06"/>
    <s v="Regular Air"/>
    <n v="-41.86"/>
    <n v="12.44"/>
    <n v="6.27"/>
    <x v="435"/>
    <x v="8"/>
    <x v="6"/>
    <x v="2"/>
    <x v="0"/>
    <x v="0"/>
    <x v="587"/>
    <s v="Medium Box"/>
    <n v="0.56999999999999995"/>
    <d v="2010-04-10T00:00:00"/>
    <n v="0"/>
    <n v="0"/>
    <n v="0.5"/>
    <n v="0.5"/>
  </r>
  <r>
    <n v="1118"/>
    <n v="8195"/>
    <x v="754"/>
    <x v="16"/>
    <s v="Medium"/>
    <n v="5"/>
    <n v="51.3"/>
    <n v="0.05"/>
    <s v="Express Air"/>
    <n v="-32.479999999999997"/>
    <n v="7.28"/>
    <n v="11.15"/>
    <x v="63"/>
    <x v="8"/>
    <x v="6"/>
    <x v="1"/>
    <x v="0"/>
    <x v="5"/>
    <x v="517"/>
    <s v="Small Box"/>
    <n v="0.37"/>
    <d v="2011-01-07T00:00:00"/>
    <n v="0"/>
    <n v="0"/>
    <n v="0.33333333333333331"/>
    <n v="0.16666666666666666"/>
  </r>
  <r>
    <n v="1119"/>
    <n v="8195"/>
    <x v="754"/>
    <x v="16"/>
    <s v="Medium"/>
    <n v="1"/>
    <n v="8.48"/>
    <n v="0.1"/>
    <s v="Regular Air"/>
    <n v="-7.9"/>
    <n v="5.08"/>
    <n v="3.63"/>
    <x v="63"/>
    <x v="8"/>
    <x v="6"/>
    <x v="1"/>
    <x v="2"/>
    <x v="4"/>
    <x v="727"/>
    <s v="Wrap Bag"/>
    <n v="0.51"/>
    <d v="2011-01-08T00:00:00"/>
    <n v="0"/>
    <n v="0"/>
    <n v="0.33333333333333331"/>
    <n v="0.16666666666666666"/>
  </r>
  <r>
    <n v="1120"/>
    <n v="8195"/>
    <x v="754"/>
    <x v="16"/>
    <s v="Medium"/>
    <n v="26"/>
    <n v="87.52"/>
    <n v="0.03"/>
    <s v="Regular Air"/>
    <n v="-70.02"/>
    <n v="3.28"/>
    <n v="3.97"/>
    <x v="63"/>
    <x v="8"/>
    <x v="6"/>
    <x v="1"/>
    <x v="0"/>
    <x v="12"/>
    <x v="431"/>
    <s v="Wrap Bag"/>
    <n v="0.56000000000000005"/>
    <d v="2011-01-07T00:00:00"/>
    <n v="0"/>
    <n v="0"/>
    <n v="0.33333333333333331"/>
    <n v="0.16666666666666666"/>
  </r>
  <r>
    <n v="1137"/>
    <n v="8293"/>
    <x v="567"/>
    <x v="9"/>
    <s v="Low"/>
    <n v="50"/>
    <n v="1497.7594999999999"/>
    <n v="0.04"/>
    <s v="Regular Air"/>
    <n v="483.66"/>
    <n v="35.99"/>
    <n v="1.1000000000000001"/>
    <x v="436"/>
    <x v="8"/>
    <x v="6"/>
    <x v="0"/>
    <x v="1"/>
    <x v="3"/>
    <x v="828"/>
    <s v="Small Box"/>
    <n v="0.55000000000000004"/>
    <d v="2012-08-15T00:00:00"/>
    <n v="0"/>
    <n v="0"/>
    <n v="0.5"/>
    <n v="0.5"/>
  </r>
  <r>
    <n v="1270"/>
    <n v="9248"/>
    <x v="378"/>
    <x v="47"/>
    <s v="Not Specified"/>
    <n v="41"/>
    <n v="2811.7"/>
    <n v="0.09"/>
    <s v="Regular Air"/>
    <n v="-3074.2712000000006"/>
    <n v="71.37"/>
    <n v="69"/>
    <x v="428"/>
    <x v="8"/>
    <x v="6"/>
    <x v="3"/>
    <x v="2"/>
    <x v="10"/>
    <x v="17"/>
    <s v="Large Box"/>
    <n v="0.68"/>
    <d v="2009-12-24T00:00:00"/>
    <n v="0"/>
    <n v="0"/>
    <n v="1"/>
    <n v="0.33333333333333331"/>
  </r>
  <r>
    <n v="1284"/>
    <n v="9347"/>
    <x v="248"/>
    <x v="9"/>
    <s v="Low"/>
    <n v="31"/>
    <n v="131.19999999999999"/>
    <n v="0.01"/>
    <s v="Regular Air"/>
    <n v="-107.98"/>
    <n v="3.95"/>
    <n v="5.13"/>
    <x v="428"/>
    <x v="8"/>
    <x v="6"/>
    <x v="2"/>
    <x v="0"/>
    <x v="1"/>
    <x v="788"/>
    <s v="Small Box"/>
    <n v="0.59"/>
    <d v="2012-08-18T00:00:00"/>
    <n v="0"/>
    <n v="0"/>
    <n v="1"/>
    <n v="1"/>
  </r>
  <r>
    <n v="1289"/>
    <n v="9472"/>
    <x v="575"/>
    <x v="4"/>
    <s v="Critical"/>
    <n v="17"/>
    <n v="53.91"/>
    <n v="0.05"/>
    <s v="Regular Air"/>
    <n v="19.47"/>
    <n v="3.15"/>
    <n v="0.49"/>
    <x v="437"/>
    <x v="8"/>
    <x v="6"/>
    <x v="3"/>
    <x v="0"/>
    <x v="11"/>
    <x v="927"/>
    <s v="Small Box"/>
    <n v="0.37"/>
    <d v="2011-06-19T00:00:00"/>
    <n v="0"/>
    <n v="0"/>
    <n v="1"/>
    <n v="1"/>
  </r>
  <r>
    <n v="1333"/>
    <n v="9733"/>
    <x v="999"/>
    <x v="28"/>
    <s v="Not Specified"/>
    <n v="39"/>
    <n v="223.64"/>
    <n v="0.1"/>
    <s v="Regular Air"/>
    <n v="-90.26"/>
    <n v="5.98"/>
    <n v="5.35"/>
    <x v="438"/>
    <x v="8"/>
    <x v="6"/>
    <x v="3"/>
    <x v="0"/>
    <x v="5"/>
    <x v="687"/>
    <s v="Small Box"/>
    <n v="0.4"/>
    <d v="2009-03-17T00:00:00"/>
    <n v="0"/>
    <n v="0"/>
    <n v="1"/>
    <n v="1"/>
  </r>
  <r>
    <n v="1388"/>
    <n v="10054"/>
    <x v="1087"/>
    <x v="37"/>
    <s v="High"/>
    <n v="2"/>
    <n v="203.3"/>
    <n v="0.08"/>
    <s v="Regular Air"/>
    <n v="148.25"/>
    <n v="79.52"/>
    <n v="48.2"/>
    <x v="439"/>
    <x v="8"/>
    <x v="6"/>
    <x v="3"/>
    <x v="2"/>
    <x v="4"/>
    <x v="699"/>
    <s v="Medium Box"/>
    <n v="0.74"/>
    <d v="2011-04-30T00:00:00"/>
    <n v="0"/>
    <n v="0"/>
    <n v="0.5"/>
    <n v="0.5"/>
  </r>
  <r>
    <n v="1389"/>
    <n v="10054"/>
    <x v="1087"/>
    <x v="37"/>
    <s v="High"/>
    <n v="2"/>
    <n v="196.85149999999999"/>
    <n v="0.09"/>
    <s v="Regular Air"/>
    <n v="-606.59500000000003"/>
    <n v="125.99"/>
    <n v="5.99"/>
    <x v="439"/>
    <x v="8"/>
    <x v="6"/>
    <x v="3"/>
    <x v="1"/>
    <x v="3"/>
    <x v="1068"/>
    <s v="Small Box"/>
    <n v="0.56000000000000005"/>
    <d v="2011-04-28T00:00:00"/>
    <n v="0"/>
    <n v="0"/>
    <n v="0.5"/>
    <n v="0.5"/>
  </r>
  <r>
    <n v="1471"/>
    <n v="10627"/>
    <x v="876"/>
    <x v="6"/>
    <s v="Low"/>
    <n v="4"/>
    <n v="40.229999999999997"/>
    <n v="0.05"/>
    <s v="Regular Air"/>
    <n v="-30.26"/>
    <n v="7.77"/>
    <n v="9.23"/>
    <x v="307"/>
    <x v="8"/>
    <x v="6"/>
    <x v="3"/>
    <x v="0"/>
    <x v="1"/>
    <x v="1009"/>
    <s v="Small Box"/>
    <n v="0.57999999999999996"/>
    <d v="2010-03-01T00:00:00"/>
    <n v="0"/>
    <n v="0"/>
    <n v="1"/>
    <n v="0.2"/>
  </r>
  <r>
    <n v="1472"/>
    <n v="10629"/>
    <x v="82"/>
    <x v="35"/>
    <s v="Critical"/>
    <n v="39"/>
    <n v="341.55"/>
    <n v="0.06"/>
    <s v="Regular Air"/>
    <n v="-255.65"/>
    <n v="8.3699999999999992"/>
    <n v="10.16"/>
    <x v="439"/>
    <x v="8"/>
    <x v="6"/>
    <x v="2"/>
    <x v="2"/>
    <x v="4"/>
    <x v="734"/>
    <s v="Large Box"/>
    <n v="0.59"/>
    <d v="2009-09-13T00:00:00"/>
    <n v="0"/>
    <n v="0"/>
    <n v="0.5"/>
    <n v="0.25"/>
  </r>
  <r>
    <n v="1473"/>
    <n v="10629"/>
    <x v="82"/>
    <x v="35"/>
    <s v="Critical"/>
    <n v="14"/>
    <n v="98.37"/>
    <n v="0.09"/>
    <s v="Express Air"/>
    <n v="-76.540000000000006"/>
    <n v="6.48"/>
    <n v="9.17"/>
    <x v="439"/>
    <x v="8"/>
    <x v="6"/>
    <x v="2"/>
    <x v="0"/>
    <x v="5"/>
    <x v="1100"/>
    <s v="Small Box"/>
    <n v="0.37"/>
    <d v="2009-09-13T00:00:00"/>
    <n v="0"/>
    <n v="0"/>
    <n v="0.5"/>
    <n v="0.25"/>
  </r>
  <r>
    <n v="1493"/>
    <n v="10784"/>
    <x v="1088"/>
    <x v="42"/>
    <s v="Not Specified"/>
    <n v="2"/>
    <n v="19.36"/>
    <n v="0.1"/>
    <s v="Regular Air"/>
    <n v="-11.85"/>
    <n v="6.78"/>
    <n v="6.18"/>
    <x v="431"/>
    <x v="8"/>
    <x v="6"/>
    <x v="3"/>
    <x v="0"/>
    <x v="5"/>
    <x v="636"/>
    <s v="Small Box"/>
    <n v="0.39"/>
    <d v="2010-07-06T00:00:00"/>
    <n v="0"/>
    <n v="0"/>
    <n v="0.5"/>
    <n v="0.5"/>
  </r>
  <r>
    <n v="1494"/>
    <n v="10784"/>
    <x v="1088"/>
    <x v="42"/>
    <s v="Not Specified"/>
    <n v="30"/>
    <n v="206.27"/>
    <n v="0.09"/>
    <s v="Regular Air"/>
    <n v="-54.441000000000003"/>
    <n v="6.81"/>
    <n v="5.48"/>
    <x v="431"/>
    <x v="8"/>
    <x v="6"/>
    <x v="3"/>
    <x v="0"/>
    <x v="2"/>
    <x v="964"/>
    <s v="Small Box"/>
    <n v="0.37"/>
    <d v="2010-07-07T00:00:00"/>
    <n v="0"/>
    <n v="0"/>
    <n v="0.5"/>
    <n v="0.5"/>
  </r>
  <r>
    <n v="1500"/>
    <n v="10823"/>
    <x v="43"/>
    <x v="8"/>
    <s v="Low"/>
    <n v="3"/>
    <n v="133.9"/>
    <n v="0.03"/>
    <s v="Regular Air"/>
    <n v="-14.581999999999999"/>
    <n v="43.41"/>
    <n v="2.99"/>
    <x v="439"/>
    <x v="8"/>
    <x v="6"/>
    <x v="3"/>
    <x v="0"/>
    <x v="2"/>
    <x v="96"/>
    <s v="Small Box"/>
    <n v="0.39"/>
    <d v="2012-06-12T00:00:00"/>
    <n v="0"/>
    <n v="0"/>
    <n v="1"/>
    <n v="0.5"/>
  </r>
  <r>
    <n v="1511"/>
    <n v="10919"/>
    <x v="1089"/>
    <x v="14"/>
    <s v="High"/>
    <n v="42"/>
    <n v="2040.95"/>
    <n v="7.0000000000000007E-2"/>
    <s v="Regular Air"/>
    <n v="-1231.8699999999999"/>
    <n v="48.91"/>
    <n v="35"/>
    <x v="440"/>
    <x v="8"/>
    <x v="6"/>
    <x v="2"/>
    <x v="0"/>
    <x v="0"/>
    <x v="293"/>
    <s v="Large Box"/>
    <n v="0.83"/>
    <d v="2010-03-27T00:00:00"/>
    <n v="0"/>
    <n v="0"/>
    <n v="1"/>
    <n v="1"/>
  </r>
  <r>
    <n v="1585"/>
    <n v="11429"/>
    <x v="697"/>
    <x v="14"/>
    <s v="Low"/>
    <n v="39"/>
    <n v="446.04"/>
    <n v="0.01"/>
    <s v="Regular Air"/>
    <n v="59.040999999999997"/>
    <n v="10.98"/>
    <n v="5.14"/>
    <x v="436"/>
    <x v="8"/>
    <x v="6"/>
    <x v="3"/>
    <x v="0"/>
    <x v="2"/>
    <x v="508"/>
    <s v="Small Box"/>
    <n v="0.36"/>
    <d v="2010-03-07T00:00:00"/>
    <n v="0"/>
    <n v="0"/>
    <n v="0.5"/>
    <n v="0.5"/>
  </r>
  <r>
    <n v="1586"/>
    <n v="11429"/>
    <x v="697"/>
    <x v="14"/>
    <s v="Low"/>
    <n v="46"/>
    <n v="18421.2"/>
    <n v="0.06"/>
    <s v="Delivery Truck"/>
    <n v="-969.0483660000001"/>
    <n v="400.98"/>
    <n v="42.52"/>
    <x v="436"/>
    <x v="8"/>
    <x v="6"/>
    <x v="3"/>
    <x v="2"/>
    <x v="10"/>
    <x v="861"/>
    <s v="Jumbo Box"/>
    <n v="0.71"/>
    <d v="2010-03-05T00:00:00"/>
    <n v="0"/>
    <n v="0"/>
    <n v="0.5"/>
    <n v="0.5"/>
  </r>
  <r>
    <n v="1605"/>
    <n v="11650"/>
    <x v="579"/>
    <x v="34"/>
    <s v="Not Specified"/>
    <n v="26"/>
    <n v="1090.4000000000001"/>
    <n v="0.06"/>
    <s v="Regular Air"/>
    <n v="146.24"/>
    <n v="40.97"/>
    <n v="8.99"/>
    <x v="441"/>
    <x v="8"/>
    <x v="6"/>
    <x v="3"/>
    <x v="0"/>
    <x v="12"/>
    <x v="608"/>
    <s v="Small Pack"/>
    <n v="0.59"/>
    <d v="2012-09-26T00:00:00"/>
    <n v="0"/>
    <n v="0"/>
    <n v="0.5"/>
    <n v="0.5"/>
  </r>
  <r>
    <n v="1793"/>
    <n v="12837"/>
    <x v="727"/>
    <x v="45"/>
    <s v="Medium"/>
    <n v="50"/>
    <n v="1100.21"/>
    <n v="0.03"/>
    <s v="Regular Air"/>
    <n v="433.59"/>
    <n v="22.24"/>
    <n v="1.99"/>
    <x v="274"/>
    <x v="8"/>
    <x v="6"/>
    <x v="3"/>
    <x v="1"/>
    <x v="7"/>
    <x v="847"/>
    <s v="Small Pack"/>
    <n v="0.43"/>
    <d v="2012-12-02T00:00:00"/>
    <n v="0"/>
    <n v="0"/>
    <n v="0.5"/>
    <n v="0.5"/>
  </r>
  <r>
    <n v="1856"/>
    <n v="13347"/>
    <x v="1090"/>
    <x v="24"/>
    <s v="Not Specified"/>
    <n v="24"/>
    <n v="104.89"/>
    <n v="7.0000000000000007E-2"/>
    <s v="Express Air"/>
    <n v="22.839500000000001"/>
    <n v="3.8"/>
    <n v="1.49"/>
    <x v="433"/>
    <x v="8"/>
    <x v="6"/>
    <x v="1"/>
    <x v="0"/>
    <x v="2"/>
    <x v="160"/>
    <s v="Small Box"/>
    <n v="0.38"/>
    <d v="2010-04-24T00:00:00"/>
    <n v="0"/>
    <n v="0"/>
    <n v="1"/>
    <n v="1"/>
  </r>
  <r>
    <n v="1861"/>
    <n v="13381"/>
    <x v="1091"/>
    <x v="21"/>
    <s v="Medium"/>
    <n v="41"/>
    <n v="10714.78"/>
    <n v="0"/>
    <s v="Delivery Truck"/>
    <n v="-627.64115700000002"/>
    <n v="259.70999999999998"/>
    <n v="66.67"/>
    <x v="431"/>
    <x v="8"/>
    <x v="6"/>
    <x v="1"/>
    <x v="2"/>
    <x v="10"/>
    <x v="384"/>
    <s v="Jumbo Box"/>
    <n v="0.65"/>
    <d v="2011-08-17T00:00:00"/>
    <n v="0"/>
    <n v="0"/>
    <n v="1"/>
    <n v="1"/>
  </r>
  <r>
    <n v="1905"/>
    <n v="13634"/>
    <x v="1092"/>
    <x v="37"/>
    <s v="High"/>
    <n v="46"/>
    <n v="1824.13"/>
    <n v="0.05"/>
    <s v="Regular Air"/>
    <n v="104.51"/>
    <n v="39.979999999999997"/>
    <n v="7.12"/>
    <x v="434"/>
    <x v="8"/>
    <x v="6"/>
    <x v="1"/>
    <x v="1"/>
    <x v="7"/>
    <x v="830"/>
    <s v="Small Box"/>
    <n v="0.67"/>
    <d v="2011-04-18T00:00:00"/>
    <n v="0"/>
    <n v="0"/>
    <n v="0.5"/>
    <n v="0.5"/>
  </r>
  <r>
    <n v="1906"/>
    <n v="13634"/>
    <x v="1092"/>
    <x v="37"/>
    <s v="High"/>
    <n v="27"/>
    <n v="151.38"/>
    <n v="0.04"/>
    <s v="Regular Air"/>
    <n v="-55.61"/>
    <n v="5.58"/>
    <n v="5.3"/>
    <x v="434"/>
    <x v="8"/>
    <x v="6"/>
    <x v="1"/>
    <x v="0"/>
    <x v="8"/>
    <x v="686"/>
    <s v="Small Box"/>
    <n v="0.35"/>
    <d v="2011-04-19T00:00:00"/>
    <n v="0"/>
    <n v="0"/>
    <n v="0.5"/>
    <n v="0.5"/>
  </r>
  <r>
    <n v="1914"/>
    <n v="13729"/>
    <x v="1093"/>
    <x v="22"/>
    <s v="Not Specified"/>
    <n v="9"/>
    <n v="872.48"/>
    <n v="0.08"/>
    <s v="Express Air"/>
    <n v="-342.91"/>
    <n v="95.99"/>
    <n v="35"/>
    <x v="307"/>
    <x v="8"/>
    <x v="6"/>
    <x v="3"/>
    <x v="0"/>
    <x v="0"/>
    <x v="1029"/>
    <s v="Large Box"/>
    <m/>
    <d v="2009-01-03T00:00:00"/>
    <n v="0"/>
    <n v="1"/>
    <n v="1"/>
    <n v="1"/>
  </r>
  <r>
    <n v="1915"/>
    <n v="13730"/>
    <x v="527"/>
    <x v="10"/>
    <s v="High"/>
    <n v="26"/>
    <n v="3617.64"/>
    <n v="7.0000000000000007E-2"/>
    <s v="Delivery Truck"/>
    <n v="-354.12520000000006"/>
    <n v="146.34"/>
    <n v="43.75"/>
    <x v="434"/>
    <x v="8"/>
    <x v="6"/>
    <x v="2"/>
    <x v="2"/>
    <x v="10"/>
    <x v="99"/>
    <s v="Jumbo Box"/>
    <n v="0.64"/>
    <d v="2011-05-11T00:00:00"/>
    <n v="0"/>
    <n v="0"/>
    <n v="1"/>
    <n v="1"/>
  </r>
  <r>
    <n v="1972"/>
    <n v="14113"/>
    <x v="1094"/>
    <x v="21"/>
    <s v="High"/>
    <n v="22"/>
    <n v="8218.16"/>
    <n v="0.09"/>
    <s v="Delivery Truck"/>
    <n v="-774.14480000000015"/>
    <n v="376.13"/>
    <n v="85.63"/>
    <x v="439"/>
    <x v="8"/>
    <x v="6"/>
    <x v="3"/>
    <x v="2"/>
    <x v="10"/>
    <x v="564"/>
    <s v="Jumbo Box"/>
    <n v="0.74"/>
    <d v="2011-08-06T00:00:00"/>
    <n v="0"/>
    <n v="0"/>
    <n v="1"/>
    <n v="1"/>
  </r>
  <r>
    <n v="1989"/>
    <n v="14210"/>
    <x v="253"/>
    <x v="8"/>
    <s v="Not Specified"/>
    <n v="19"/>
    <n v="676.79"/>
    <n v="0"/>
    <s v="Regular Air"/>
    <n v="213.2"/>
    <n v="33.29"/>
    <n v="1.99"/>
    <x v="439"/>
    <x v="8"/>
    <x v="6"/>
    <x v="3"/>
    <x v="1"/>
    <x v="7"/>
    <x v="1101"/>
    <s v="Small Pack"/>
    <n v="0.41"/>
    <d v="2012-06-28T00:00:00"/>
    <n v="0"/>
    <n v="0"/>
    <n v="1"/>
    <n v="0.5"/>
  </r>
  <r>
    <n v="2000"/>
    <n v="14272"/>
    <x v="674"/>
    <x v="12"/>
    <s v="Medium"/>
    <n v="32"/>
    <n v="2409.96"/>
    <n v="7.0000000000000007E-2"/>
    <s v="Regular Air"/>
    <n v="575.1"/>
    <n v="80.98"/>
    <n v="4.5"/>
    <x v="431"/>
    <x v="8"/>
    <x v="6"/>
    <x v="3"/>
    <x v="0"/>
    <x v="1"/>
    <x v="998"/>
    <s v="Small Box"/>
    <n v="0.59"/>
    <d v="2012-02-14T00:00:00"/>
    <n v="0"/>
    <n v="0"/>
    <n v="1"/>
    <n v="1"/>
  </r>
  <r>
    <n v="2019"/>
    <n v="14401"/>
    <x v="1094"/>
    <x v="21"/>
    <s v="Not Specified"/>
    <n v="10"/>
    <n v="931.14949999999999"/>
    <n v="0.06"/>
    <s v="Regular Air"/>
    <n v="-128.83199999999999"/>
    <n v="110.99"/>
    <n v="2.5"/>
    <x v="436"/>
    <x v="8"/>
    <x v="6"/>
    <x v="0"/>
    <x v="1"/>
    <x v="3"/>
    <x v="368"/>
    <s v="Small Box"/>
    <n v="0.56999999999999995"/>
    <d v="2011-08-06T00:00:00"/>
    <n v="0"/>
    <n v="0"/>
    <n v="1"/>
    <n v="1"/>
  </r>
  <r>
    <n v="2211"/>
    <n v="15941"/>
    <x v="924"/>
    <x v="25"/>
    <s v="Not Specified"/>
    <n v="15"/>
    <n v="951.09"/>
    <n v="0.02"/>
    <s v="Delivery Truck"/>
    <n v="-246.32"/>
    <n v="58.14"/>
    <n v="36.61"/>
    <x v="428"/>
    <x v="8"/>
    <x v="6"/>
    <x v="1"/>
    <x v="2"/>
    <x v="9"/>
    <x v="126"/>
    <s v="Jumbo Box"/>
    <n v="0.61"/>
    <d v="2011-12-12T00:00:00"/>
    <n v="0"/>
    <n v="0"/>
    <n v="1"/>
    <n v="1"/>
  </r>
  <r>
    <n v="2479"/>
    <n v="18023"/>
    <x v="593"/>
    <x v="44"/>
    <s v="Medium"/>
    <n v="38"/>
    <n v="4502.26"/>
    <n v="0.09"/>
    <s v="Delivery Truck"/>
    <n v="1272.17"/>
    <n v="120.97"/>
    <n v="26.3"/>
    <x v="441"/>
    <x v="8"/>
    <x v="6"/>
    <x v="3"/>
    <x v="1"/>
    <x v="16"/>
    <x v="362"/>
    <s v="Jumbo Drum"/>
    <n v="0.38"/>
    <d v="2011-02-25T00:00:00"/>
    <n v="0"/>
    <n v="0"/>
    <n v="0.5"/>
    <n v="0.5"/>
  </r>
  <r>
    <n v="2480"/>
    <n v="18023"/>
    <x v="593"/>
    <x v="44"/>
    <s v="Medium"/>
    <n v="34"/>
    <n v="192.23"/>
    <n v="7.0000000000000007E-2"/>
    <s v="Regular Air"/>
    <n v="-149.84"/>
    <n v="5.78"/>
    <n v="7.64"/>
    <x v="441"/>
    <x v="8"/>
    <x v="6"/>
    <x v="3"/>
    <x v="0"/>
    <x v="5"/>
    <x v="629"/>
    <s v="Small Box"/>
    <n v="0.36"/>
    <d v="2011-02-25T00:00:00"/>
    <n v="0"/>
    <n v="0"/>
    <n v="0.5"/>
    <n v="0.5"/>
  </r>
  <r>
    <n v="2526"/>
    <n v="18341"/>
    <x v="1095"/>
    <x v="42"/>
    <s v="Critical"/>
    <n v="39"/>
    <n v="237.89"/>
    <n v="0"/>
    <s v="Regular Air"/>
    <n v="-165.26"/>
    <n v="5.78"/>
    <n v="7.96"/>
    <x v="434"/>
    <x v="8"/>
    <x v="6"/>
    <x v="1"/>
    <x v="0"/>
    <x v="5"/>
    <x v="586"/>
    <s v="Small Box"/>
    <n v="0.36"/>
    <d v="2010-07-18T00:00:00"/>
    <n v="0"/>
    <n v="0"/>
    <n v="1"/>
    <n v="1"/>
  </r>
  <r>
    <n v="2535"/>
    <n v="18400"/>
    <x v="1096"/>
    <x v="25"/>
    <s v="Not Specified"/>
    <n v="29"/>
    <n v="598.49"/>
    <n v="0.05"/>
    <s v="Regular Air"/>
    <n v="34.159999999999997"/>
    <n v="20.95"/>
    <n v="4"/>
    <x v="63"/>
    <x v="8"/>
    <x v="6"/>
    <x v="1"/>
    <x v="1"/>
    <x v="7"/>
    <x v="124"/>
    <s v="Small Box"/>
    <n v="0.6"/>
    <d v="2011-12-07T00:00:00"/>
    <n v="0"/>
    <n v="0"/>
    <n v="1"/>
    <n v="1"/>
  </r>
  <r>
    <n v="2621"/>
    <n v="18950"/>
    <x v="496"/>
    <x v="12"/>
    <s v="Low"/>
    <n v="33"/>
    <n v="3008.5"/>
    <n v="0.05"/>
    <s v="Delivery Truck"/>
    <n v="1101.9000000000001"/>
    <n v="90.97"/>
    <n v="14"/>
    <x v="430"/>
    <x v="8"/>
    <x v="6"/>
    <x v="0"/>
    <x v="1"/>
    <x v="16"/>
    <x v="603"/>
    <s v="Jumbo Drum"/>
    <n v="0.36"/>
    <d v="2012-03-04T00:00:00"/>
    <n v="0"/>
    <n v="0"/>
    <n v="1"/>
    <n v="0.5"/>
  </r>
  <r>
    <n v="2641"/>
    <n v="19111"/>
    <x v="832"/>
    <x v="19"/>
    <s v="Low"/>
    <n v="24"/>
    <n v="195.83"/>
    <n v="0.04"/>
    <s v="Regular Air"/>
    <n v="10.79"/>
    <n v="8.33"/>
    <n v="1.99"/>
    <x v="442"/>
    <x v="8"/>
    <x v="6"/>
    <x v="1"/>
    <x v="1"/>
    <x v="7"/>
    <x v="206"/>
    <s v="Small Pack"/>
    <n v="0.52"/>
    <d v="2009-10-09T00:00:00"/>
    <n v="0"/>
    <n v="0"/>
    <n v="1"/>
    <n v="1"/>
  </r>
  <r>
    <n v="2644"/>
    <n v="19139"/>
    <x v="387"/>
    <x v="15"/>
    <s v="Not Specified"/>
    <n v="15"/>
    <n v="94.84"/>
    <n v="0.01"/>
    <s v="Regular Air"/>
    <n v="-26.66"/>
    <n v="5.98"/>
    <n v="5.15"/>
    <x v="439"/>
    <x v="8"/>
    <x v="6"/>
    <x v="2"/>
    <x v="0"/>
    <x v="5"/>
    <x v="773"/>
    <s v="Small Box"/>
    <n v="0.36"/>
    <d v="2010-12-04T00:00:00"/>
    <n v="0"/>
    <n v="0"/>
    <n v="1"/>
    <n v="0.16666666666666666"/>
  </r>
  <r>
    <n v="2672"/>
    <n v="19332"/>
    <x v="496"/>
    <x v="12"/>
    <s v="High"/>
    <n v="46"/>
    <n v="8246.86"/>
    <n v="0.06"/>
    <s v="Delivery Truck"/>
    <n v="-433.29014300000011"/>
    <n v="179.29"/>
    <n v="29.21"/>
    <x v="430"/>
    <x v="8"/>
    <x v="6"/>
    <x v="1"/>
    <x v="2"/>
    <x v="10"/>
    <x v="102"/>
    <s v="Jumbo Box"/>
    <n v="0.74"/>
    <d v="2012-02-29T00:00:00"/>
    <n v="0"/>
    <n v="0"/>
    <n v="1"/>
    <n v="0.5"/>
  </r>
  <r>
    <n v="2904"/>
    <n v="20965"/>
    <x v="874"/>
    <x v="47"/>
    <s v="Critical"/>
    <n v="38"/>
    <n v="2315.11"/>
    <n v="0.06"/>
    <s v="Regular Air"/>
    <n v="532.21"/>
    <n v="59.76"/>
    <n v="9.7100000000000009"/>
    <x v="428"/>
    <x v="8"/>
    <x v="6"/>
    <x v="1"/>
    <x v="0"/>
    <x v="0"/>
    <x v="1102"/>
    <s v="Small Box"/>
    <n v="0.56999999999999995"/>
    <d v="2009-12-23T00:00:00"/>
    <n v="0"/>
    <n v="0"/>
    <n v="0.5"/>
    <n v="0.33333333333333331"/>
  </r>
  <r>
    <n v="2905"/>
    <n v="20965"/>
    <x v="874"/>
    <x v="47"/>
    <s v="Critical"/>
    <n v="8"/>
    <n v="1264.2304999999999"/>
    <n v="7.0000000000000007E-2"/>
    <s v="Regular Air"/>
    <n v="-444.68599999999998"/>
    <n v="195.99"/>
    <n v="4.2"/>
    <x v="428"/>
    <x v="8"/>
    <x v="6"/>
    <x v="1"/>
    <x v="1"/>
    <x v="3"/>
    <x v="781"/>
    <s v="Small Box"/>
    <n v="0.56000000000000005"/>
    <d v="2009-12-23T00:00:00"/>
    <n v="0"/>
    <n v="0"/>
    <n v="0.5"/>
    <n v="0.33333333333333331"/>
  </r>
  <r>
    <n v="2932"/>
    <n v="21249"/>
    <x v="30"/>
    <x v="18"/>
    <s v="Low"/>
    <n v="22"/>
    <n v="1082.8"/>
    <n v="0.02"/>
    <s v="Regular Air"/>
    <n v="299.35000000000002"/>
    <n v="48.58"/>
    <n v="3.99"/>
    <x v="430"/>
    <x v="8"/>
    <x v="6"/>
    <x v="0"/>
    <x v="0"/>
    <x v="1"/>
    <x v="767"/>
    <s v="Small Box"/>
    <n v="0.56000000000000005"/>
    <d v="2010-09-21T00:00:00"/>
    <n v="0"/>
    <n v="0"/>
    <n v="0.5"/>
    <n v="0.5"/>
  </r>
  <r>
    <n v="2933"/>
    <n v="21249"/>
    <x v="30"/>
    <x v="18"/>
    <s v="Low"/>
    <n v="7"/>
    <n v="1260.2014999999999"/>
    <n v="0.03"/>
    <s v="Regular Air"/>
    <n v="-522.995"/>
    <n v="205.99"/>
    <n v="8.99"/>
    <x v="430"/>
    <x v="8"/>
    <x v="6"/>
    <x v="0"/>
    <x v="1"/>
    <x v="3"/>
    <x v="783"/>
    <s v="Small Box"/>
    <n v="0.6"/>
    <d v="2010-09-21T00:00:00"/>
    <n v="0"/>
    <n v="0"/>
    <n v="0.5"/>
    <n v="0.5"/>
  </r>
  <r>
    <n v="3139"/>
    <n v="22529"/>
    <x v="193"/>
    <x v="39"/>
    <s v="Medium"/>
    <n v="28"/>
    <n v="1623.09"/>
    <n v="0.02"/>
    <s v="Regular Air"/>
    <n v="245.88"/>
    <n v="56.96"/>
    <n v="13.22"/>
    <x v="431"/>
    <x v="8"/>
    <x v="6"/>
    <x v="3"/>
    <x v="0"/>
    <x v="1"/>
    <x v="407"/>
    <s v="Small Box"/>
    <n v="0.56000000000000005"/>
    <d v="2010-05-07T00:00:00"/>
    <n v="0"/>
    <n v="0"/>
    <n v="1"/>
    <n v="1"/>
  </r>
  <r>
    <n v="3255"/>
    <n v="23303"/>
    <x v="313"/>
    <x v="41"/>
    <s v="Not Specified"/>
    <n v="39"/>
    <n v="238.49"/>
    <n v="0.09"/>
    <s v="Regular Air"/>
    <n v="-110.56"/>
    <n v="6.48"/>
    <n v="6.22"/>
    <x v="63"/>
    <x v="8"/>
    <x v="6"/>
    <x v="1"/>
    <x v="0"/>
    <x v="5"/>
    <x v="731"/>
    <s v="Small Box"/>
    <n v="0.37"/>
    <d v="2009-06-22T00:00:00"/>
    <n v="0"/>
    <n v="0"/>
    <n v="1"/>
    <n v="1"/>
  </r>
  <r>
    <n v="3274"/>
    <n v="23398"/>
    <x v="226"/>
    <x v="28"/>
    <s v="Medium"/>
    <n v="19"/>
    <n v="123.1"/>
    <n v="0.06"/>
    <s v="Regular Air"/>
    <n v="-75.44"/>
    <n v="6.48"/>
    <n v="7.37"/>
    <x v="432"/>
    <x v="8"/>
    <x v="6"/>
    <x v="2"/>
    <x v="0"/>
    <x v="5"/>
    <x v="673"/>
    <s v="Small Box"/>
    <n v="0.37"/>
    <d v="2009-03-14T00:00:00"/>
    <n v="0"/>
    <n v="0"/>
    <n v="1"/>
    <n v="1"/>
  </r>
  <r>
    <n v="3410"/>
    <n v="24356"/>
    <x v="658"/>
    <x v="39"/>
    <s v="Medium"/>
    <n v="37"/>
    <n v="12612.66"/>
    <n v="0.06"/>
    <s v="Delivery Truck"/>
    <n v="3325.03"/>
    <n v="350.99"/>
    <n v="39"/>
    <x v="430"/>
    <x v="8"/>
    <x v="6"/>
    <x v="1"/>
    <x v="2"/>
    <x v="14"/>
    <x v="1103"/>
    <s v="Jumbo Drum"/>
    <n v="0.55000000000000004"/>
    <d v="2010-05-13T00:00:00"/>
    <n v="0"/>
    <n v="0"/>
    <n v="1"/>
    <n v="0.33333333333333331"/>
  </r>
  <r>
    <n v="3539"/>
    <n v="25188"/>
    <x v="1097"/>
    <x v="16"/>
    <s v="Medium"/>
    <n v="20"/>
    <n v="1564.1614999999999"/>
    <n v="0"/>
    <s v="Regular Air"/>
    <n v="682.47899999999993"/>
    <n v="85.99"/>
    <n v="2.5"/>
    <x v="441"/>
    <x v="8"/>
    <x v="6"/>
    <x v="3"/>
    <x v="1"/>
    <x v="3"/>
    <x v="315"/>
    <s v="Small Box"/>
    <n v="0.35"/>
    <d v="2011-01-05T00:00:00"/>
    <n v="0"/>
    <n v="0"/>
    <n v="1"/>
    <n v="1"/>
  </r>
  <r>
    <n v="3543"/>
    <n v="25249"/>
    <x v="95"/>
    <x v="32"/>
    <s v="Medium"/>
    <n v="34"/>
    <n v="926.85"/>
    <n v="0.09"/>
    <s v="Regular Air"/>
    <n v="382.94200000000001"/>
    <n v="28.53"/>
    <n v="1.49"/>
    <x v="431"/>
    <x v="8"/>
    <x v="6"/>
    <x v="1"/>
    <x v="0"/>
    <x v="2"/>
    <x v="257"/>
    <s v="Small Box"/>
    <n v="0.38"/>
    <d v="2012-11-08T00:00:00"/>
    <n v="0"/>
    <n v="0"/>
    <n v="1"/>
    <n v="1"/>
  </r>
  <r>
    <n v="3774"/>
    <n v="26948"/>
    <x v="982"/>
    <x v="27"/>
    <s v="High"/>
    <n v="21"/>
    <n v="203.55"/>
    <n v="0.03"/>
    <s v="Express Air"/>
    <n v="38.6"/>
    <n v="9.11"/>
    <n v="2.25"/>
    <x v="307"/>
    <x v="8"/>
    <x v="6"/>
    <x v="3"/>
    <x v="0"/>
    <x v="12"/>
    <x v="553"/>
    <s v="Wrap Bag"/>
    <n v="0.52"/>
    <d v="2011-11-23T00:00:00"/>
    <n v="0"/>
    <n v="0"/>
    <n v="0.5"/>
    <n v="0.25"/>
  </r>
  <r>
    <n v="3819"/>
    <n v="27232"/>
    <x v="1098"/>
    <x v="3"/>
    <s v="Not Specified"/>
    <n v="19"/>
    <n v="639.29999999999995"/>
    <n v="0.05"/>
    <s v="Regular Air"/>
    <n v="30.21"/>
    <n v="34.99"/>
    <n v="7.73"/>
    <x v="63"/>
    <x v="8"/>
    <x v="6"/>
    <x v="1"/>
    <x v="0"/>
    <x v="12"/>
    <x v="989"/>
    <s v="Small Box"/>
    <n v="0.59"/>
    <d v="2010-08-20T00:00:00"/>
    <n v="0"/>
    <n v="0"/>
    <n v="1"/>
    <n v="1"/>
  </r>
  <r>
    <n v="3871"/>
    <n v="27622"/>
    <x v="955"/>
    <x v="44"/>
    <s v="Medium"/>
    <n v="4"/>
    <n v="1280.73"/>
    <n v="0.09"/>
    <s v="Delivery Truck"/>
    <n v="-774.89068800000007"/>
    <n v="320.64"/>
    <n v="43.57"/>
    <x v="428"/>
    <x v="8"/>
    <x v="6"/>
    <x v="1"/>
    <x v="2"/>
    <x v="10"/>
    <x v="1104"/>
    <s v="Jumbo Box"/>
    <n v="0.63"/>
    <d v="2011-02-07T00:00:00"/>
    <n v="0"/>
    <n v="0"/>
    <n v="1"/>
    <n v="1"/>
  </r>
  <r>
    <n v="3928"/>
    <n v="28002"/>
    <x v="987"/>
    <x v="19"/>
    <s v="Critical"/>
    <n v="5"/>
    <n v="43.55"/>
    <n v="0.1"/>
    <s v="Regular Air"/>
    <n v="-3.64"/>
    <n v="9.11"/>
    <n v="2.15"/>
    <x v="436"/>
    <x v="8"/>
    <x v="6"/>
    <x v="3"/>
    <x v="0"/>
    <x v="5"/>
    <x v="1024"/>
    <s v="Wrap Bag"/>
    <n v="0.4"/>
    <d v="2009-10-12T00:00:00"/>
    <n v="0"/>
    <n v="0"/>
    <n v="1"/>
    <n v="1"/>
  </r>
  <r>
    <n v="3978"/>
    <n v="28390"/>
    <x v="164"/>
    <x v="12"/>
    <s v="High"/>
    <n v="44"/>
    <n v="809.77"/>
    <n v="0.1"/>
    <s v="Regular Air"/>
    <n v="83.48"/>
    <n v="20.28"/>
    <n v="6.68"/>
    <x v="443"/>
    <x v="8"/>
    <x v="6"/>
    <x v="0"/>
    <x v="2"/>
    <x v="4"/>
    <x v="1105"/>
    <s v="Small Box"/>
    <n v="0.53"/>
    <d v="2012-02-09T00:00:00"/>
    <n v="0"/>
    <n v="0"/>
    <n v="1"/>
    <n v="1"/>
  </r>
  <r>
    <n v="4108"/>
    <n v="29223"/>
    <x v="40"/>
    <x v="23"/>
    <s v="High"/>
    <n v="48"/>
    <n v="24701.119999999999"/>
    <n v="0.04"/>
    <s v="Delivery Truck"/>
    <n v="8022.94"/>
    <n v="500.98"/>
    <n v="26"/>
    <x v="437"/>
    <x v="8"/>
    <x v="6"/>
    <x v="3"/>
    <x v="2"/>
    <x v="14"/>
    <x v="38"/>
    <s v="Jumbo Drum"/>
    <n v="0.6"/>
    <d v="2012-01-22T00:00:00"/>
    <n v="0"/>
    <n v="0"/>
    <n v="1"/>
    <n v="1"/>
  </r>
  <r>
    <n v="4134"/>
    <n v="29351"/>
    <x v="269"/>
    <x v="17"/>
    <s v="Medium"/>
    <n v="17"/>
    <n v="5122.6099999999997"/>
    <n v="0.05"/>
    <s v="Regular Air"/>
    <n v="1784.0394999999999"/>
    <n v="304.99"/>
    <n v="19.989999999999998"/>
    <x v="429"/>
    <x v="8"/>
    <x v="6"/>
    <x v="1"/>
    <x v="0"/>
    <x v="2"/>
    <x v="880"/>
    <s v="Small Box"/>
    <n v="0.4"/>
    <d v="2011-10-05T00:00:00"/>
    <n v="0"/>
    <n v="0"/>
    <n v="1"/>
    <n v="1"/>
  </r>
  <r>
    <n v="4160"/>
    <n v="29506"/>
    <x v="751"/>
    <x v="4"/>
    <s v="Critical"/>
    <n v="46"/>
    <n v="221.13"/>
    <n v="0.01"/>
    <s v="Regular Air"/>
    <n v="59.703999999999994"/>
    <n v="4.55"/>
    <n v="1.49"/>
    <x v="444"/>
    <x v="8"/>
    <x v="6"/>
    <x v="1"/>
    <x v="0"/>
    <x v="2"/>
    <x v="394"/>
    <s v="Small Box"/>
    <n v="0.35"/>
    <d v="2011-06-16T00:00:00"/>
    <n v="0"/>
    <n v="0"/>
    <n v="0.5"/>
    <n v="0.5"/>
  </r>
  <r>
    <n v="4161"/>
    <n v="29506"/>
    <x v="751"/>
    <x v="4"/>
    <s v="Critical"/>
    <n v="8"/>
    <n v="16.350000000000001"/>
    <n v="0.05"/>
    <s v="Regular Air"/>
    <n v="-5.6234999999999999"/>
    <n v="1.88"/>
    <n v="1.49"/>
    <x v="444"/>
    <x v="8"/>
    <x v="6"/>
    <x v="1"/>
    <x v="0"/>
    <x v="2"/>
    <x v="74"/>
    <s v="Small Box"/>
    <n v="0.37"/>
    <d v="2011-06-15T00:00:00"/>
    <n v="0"/>
    <n v="0"/>
    <n v="0.5"/>
    <n v="0.5"/>
  </r>
  <r>
    <n v="4175"/>
    <n v="29633"/>
    <x v="109"/>
    <x v="41"/>
    <s v="Critical"/>
    <n v="11"/>
    <n v="96.01"/>
    <n v="0.01"/>
    <s v="Regular Air"/>
    <n v="-43.24"/>
    <n v="7.98"/>
    <n v="6.5"/>
    <x v="444"/>
    <x v="8"/>
    <x v="6"/>
    <x v="1"/>
    <x v="0"/>
    <x v="0"/>
    <x v="1077"/>
    <s v="Medium Box"/>
    <n v="0.59"/>
    <d v="2009-06-23T00:00:00"/>
    <n v="0"/>
    <n v="0"/>
    <n v="1"/>
    <n v="1"/>
  </r>
  <r>
    <n v="4189"/>
    <n v="29764"/>
    <x v="1002"/>
    <x v="29"/>
    <s v="Critical"/>
    <n v="10"/>
    <n v="165.09"/>
    <n v="0"/>
    <s v="Express Air"/>
    <n v="-8.5904999999999987"/>
    <n v="15.01"/>
    <n v="8.4"/>
    <x v="430"/>
    <x v="8"/>
    <x v="6"/>
    <x v="0"/>
    <x v="0"/>
    <x v="2"/>
    <x v="318"/>
    <s v="Small Box"/>
    <n v="0.39"/>
    <d v="2012-07-23T00:00:00"/>
    <n v="0"/>
    <n v="0"/>
    <n v="1"/>
    <n v="1"/>
  </r>
  <r>
    <n v="4216"/>
    <n v="29958"/>
    <x v="754"/>
    <x v="16"/>
    <s v="High"/>
    <n v="47"/>
    <n v="307.57"/>
    <n v="0"/>
    <s v="Regular Air"/>
    <n v="-72.3005"/>
    <n v="6.37"/>
    <n v="5.19"/>
    <x v="430"/>
    <x v="8"/>
    <x v="6"/>
    <x v="1"/>
    <x v="0"/>
    <x v="2"/>
    <x v="1007"/>
    <s v="Small Box"/>
    <n v="0.38"/>
    <d v="2011-01-07T00:00:00"/>
    <n v="0"/>
    <n v="0"/>
    <n v="0.5"/>
    <n v="0.5"/>
  </r>
  <r>
    <n v="4217"/>
    <n v="29958"/>
    <x v="754"/>
    <x v="16"/>
    <s v="High"/>
    <n v="32"/>
    <n v="14861.07"/>
    <n v="0.1"/>
    <s v="Delivery Truck"/>
    <n v="3408.29"/>
    <n v="500.98"/>
    <n v="26"/>
    <x v="430"/>
    <x v="8"/>
    <x v="6"/>
    <x v="1"/>
    <x v="2"/>
    <x v="14"/>
    <x v="38"/>
    <s v="Jumbo Drum"/>
    <n v="0.6"/>
    <d v="2011-01-08T00:00:00"/>
    <n v="0"/>
    <n v="0"/>
    <n v="0.5"/>
    <n v="0.5"/>
  </r>
  <r>
    <n v="4435"/>
    <n v="31616"/>
    <x v="3"/>
    <x v="3"/>
    <s v="Critical"/>
    <n v="45"/>
    <n v="182.7"/>
    <n v="0.08"/>
    <s v="Regular Air"/>
    <n v="-156.41149999999999"/>
    <n v="4.24"/>
    <n v="5.41"/>
    <x v="429"/>
    <x v="8"/>
    <x v="6"/>
    <x v="1"/>
    <x v="0"/>
    <x v="2"/>
    <x v="683"/>
    <s v="Small Box"/>
    <n v="0.35"/>
    <d v="2010-08-29T00:00:00"/>
    <n v="0"/>
    <n v="0"/>
    <n v="0.5"/>
    <n v="0.5"/>
  </r>
  <r>
    <n v="4436"/>
    <n v="31616"/>
    <x v="3"/>
    <x v="3"/>
    <s v="Critical"/>
    <n v="46"/>
    <n v="141.08000000000001"/>
    <n v="0.04"/>
    <s v="Regular Air"/>
    <n v="36.96"/>
    <n v="3.08"/>
    <n v="0.99"/>
    <x v="429"/>
    <x v="8"/>
    <x v="6"/>
    <x v="1"/>
    <x v="0"/>
    <x v="11"/>
    <x v="245"/>
    <s v="Small Box"/>
    <n v="0.37"/>
    <d v="2010-08-29T00:00:00"/>
    <n v="0"/>
    <n v="0"/>
    <n v="0.5"/>
    <n v="0.5"/>
  </r>
  <r>
    <n v="4483"/>
    <n v="31907"/>
    <x v="129"/>
    <x v="39"/>
    <s v="Low"/>
    <n v="38"/>
    <n v="331.53"/>
    <n v="0"/>
    <s v="Regular Air"/>
    <n v="-35.97"/>
    <n v="8.4600000000000009"/>
    <n v="3.62"/>
    <x v="429"/>
    <x v="8"/>
    <x v="6"/>
    <x v="1"/>
    <x v="1"/>
    <x v="7"/>
    <x v="919"/>
    <s v="Small Pack"/>
    <n v="0.61"/>
    <d v="2010-05-23T00:00:00"/>
    <n v="0"/>
    <n v="0"/>
    <n v="1"/>
    <n v="1"/>
  </r>
  <r>
    <n v="4494"/>
    <n v="32001"/>
    <x v="891"/>
    <x v="17"/>
    <s v="Low"/>
    <n v="22"/>
    <n v="494.84"/>
    <n v="7.0000000000000007E-2"/>
    <s v="Regular Air"/>
    <n v="205.13"/>
    <n v="22.23"/>
    <n v="3.63"/>
    <x v="443"/>
    <x v="8"/>
    <x v="6"/>
    <x v="0"/>
    <x v="2"/>
    <x v="4"/>
    <x v="485"/>
    <s v="Small Pack"/>
    <n v="0.52"/>
    <d v="2011-11-02T00:00:00"/>
    <n v="0"/>
    <n v="0"/>
    <n v="0.5"/>
    <n v="0.5"/>
  </r>
  <r>
    <n v="4495"/>
    <n v="32001"/>
    <x v="891"/>
    <x v="17"/>
    <s v="Low"/>
    <n v="11"/>
    <n v="3443.21"/>
    <n v="0"/>
    <s v="Regular Air"/>
    <n v="794.2"/>
    <n v="300.98"/>
    <n v="13.99"/>
    <x v="443"/>
    <x v="8"/>
    <x v="6"/>
    <x v="0"/>
    <x v="1"/>
    <x v="16"/>
    <x v="860"/>
    <s v="Medium Box"/>
    <n v="0.39"/>
    <d v="2011-10-30T00:00:00"/>
    <n v="0"/>
    <n v="0"/>
    <n v="0.5"/>
    <n v="0.5"/>
  </r>
  <r>
    <n v="4506"/>
    <n v="32069"/>
    <x v="142"/>
    <x v="27"/>
    <s v="Not Specified"/>
    <n v="8"/>
    <n v="1100"/>
    <n v="7.0000000000000007E-2"/>
    <s v="Delivery Truck"/>
    <n v="-240.31140000000002"/>
    <n v="145.44999999999999"/>
    <n v="17.850000000000001"/>
    <x v="438"/>
    <x v="8"/>
    <x v="6"/>
    <x v="1"/>
    <x v="1"/>
    <x v="16"/>
    <x v="127"/>
    <s v="Jumbo Drum"/>
    <n v="0.56000000000000005"/>
    <d v="2011-11-19T00:00:00"/>
    <n v="0"/>
    <n v="0"/>
    <n v="0.5"/>
    <n v="0.5"/>
  </r>
  <r>
    <n v="4512"/>
    <n v="32102"/>
    <x v="1099"/>
    <x v="45"/>
    <s v="Medium"/>
    <n v="2"/>
    <n v="19.809999999999999"/>
    <n v="0.02"/>
    <s v="Regular Air"/>
    <n v="-10.39"/>
    <n v="6.48"/>
    <n v="6.22"/>
    <x v="445"/>
    <x v="8"/>
    <x v="6"/>
    <x v="3"/>
    <x v="0"/>
    <x v="5"/>
    <x v="731"/>
    <s v="Small Box"/>
    <n v="0.37"/>
    <d v="2012-12-16T00:00:00"/>
    <n v="0"/>
    <n v="0"/>
    <n v="1"/>
    <n v="1"/>
  </r>
  <r>
    <n v="4561"/>
    <n v="32450"/>
    <x v="1100"/>
    <x v="25"/>
    <s v="Medium"/>
    <n v="37"/>
    <n v="2638.79"/>
    <n v="0.1"/>
    <s v="Delivery Truck"/>
    <n v="54.230849999999997"/>
    <n v="70.89"/>
    <n v="89.3"/>
    <x v="430"/>
    <x v="8"/>
    <x v="6"/>
    <x v="0"/>
    <x v="2"/>
    <x v="10"/>
    <x v="818"/>
    <s v="Jumbo Box"/>
    <n v="0.69"/>
    <d v="2011-12-19T00:00:00"/>
    <n v="0"/>
    <n v="0"/>
    <n v="1"/>
    <n v="0.5"/>
  </r>
  <r>
    <n v="4572"/>
    <n v="32546"/>
    <x v="764"/>
    <x v="5"/>
    <s v="Critical"/>
    <n v="6"/>
    <n v="156.09"/>
    <n v="0"/>
    <s v="Regular Air"/>
    <n v="-34.844999999999999"/>
    <n v="22.38"/>
    <n v="15.1"/>
    <x v="437"/>
    <x v="8"/>
    <x v="6"/>
    <x v="3"/>
    <x v="0"/>
    <x v="2"/>
    <x v="290"/>
    <s v="Small Box"/>
    <n v="0.38"/>
    <d v="2011-03-20T00:00:00"/>
    <n v="0"/>
    <n v="0"/>
    <n v="0.5"/>
    <n v="0.5"/>
  </r>
  <r>
    <n v="4573"/>
    <n v="32546"/>
    <x v="764"/>
    <x v="5"/>
    <s v="Critical"/>
    <n v="47"/>
    <n v="1294.0230000000001"/>
    <n v="0.1"/>
    <s v="Regular Air"/>
    <n v="607.25700000000006"/>
    <n v="35.99"/>
    <n v="1.25"/>
    <x v="437"/>
    <x v="8"/>
    <x v="6"/>
    <x v="3"/>
    <x v="1"/>
    <x v="3"/>
    <x v="916"/>
    <s v="Small Pack"/>
    <n v="0.36"/>
    <d v="2011-03-19T00:00:00"/>
    <n v="0"/>
    <n v="0"/>
    <n v="0.5"/>
    <n v="0.5"/>
  </r>
  <r>
    <n v="4640"/>
    <n v="33029"/>
    <x v="660"/>
    <x v="20"/>
    <s v="High"/>
    <n v="39"/>
    <n v="16028.26"/>
    <n v="0.02"/>
    <s v="Delivery Truck"/>
    <n v="-1008.7305800000001"/>
    <n v="417.4"/>
    <n v="75.23"/>
    <x v="444"/>
    <x v="8"/>
    <x v="6"/>
    <x v="1"/>
    <x v="2"/>
    <x v="10"/>
    <x v="516"/>
    <s v="Jumbo Box"/>
    <n v="0.79"/>
    <d v="2012-06-02T00:00:00"/>
    <n v="0"/>
    <n v="0"/>
    <n v="0.5"/>
    <n v="0.5"/>
  </r>
  <r>
    <n v="4641"/>
    <n v="33029"/>
    <x v="660"/>
    <x v="20"/>
    <s v="High"/>
    <n v="8"/>
    <n v="738.25049999999999"/>
    <n v="0.1"/>
    <s v="Regular Air"/>
    <n v="-286.363"/>
    <n v="115.99"/>
    <n v="2.5"/>
    <x v="444"/>
    <x v="8"/>
    <x v="6"/>
    <x v="1"/>
    <x v="1"/>
    <x v="3"/>
    <x v="41"/>
    <s v="Small Box"/>
    <n v="0.56999999999999995"/>
    <d v="2012-06-01T00:00:00"/>
    <n v="0"/>
    <n v="0"/>
    <n v="0.5"/>
    <n v="0.5"/>
  </r>
  <r>
    <n v="4645"/>
    <n v="33061"/>
    <x v="979"/>
    <x v="2"/>
    <s v="High"/>
    <n v="48"/>
    <n v="5318.89"/>
    <n v="0.06"/>
    <s v="Regular Air"/>
    <n v="525.15"/>
    <n v="111.03"/>
    <n v="8.64"/>
    <x v="441"/>
    <x v="8"/>
    <x v="6"/>
    <x v="3"/>
    <x v="0"/>
    <x v="0"/>
    <x v="95"/>
    <s v="Small Box"/>
    <n v="0.78"/>
    <d v="2011-07-17T00:00:00"/>
    <n v="0"/>
    <n v="0"/>
    <n v="1"/>
    <n v="1"/>
  </r>
  <r>
    <n v="4698"/>
    <n v="33478"/>
    <x v="202"/>
    <x v="30"/>
    <s v="High"/>
    <n v="21"/>
    <n v="125.9"/>
    <n v="0.04"/>
    <s v="Express Air"/>
    <n v="5.85"/>
    <n v="5.88"/>
    <n v="3.04"/>
    <x v="446"/>
    <x v="8"/>
    <x v="6"/>
    <x v="1"/>
    <x v="0"/>
    <x v="5"/>
    <x v="49"/>
    <s v="Wrap Bag"/>
    <n v="0.36"/>
    <d v="2010-06-16T00:00:00"/>
    <n v="0"/>
    <n v="0"/>
    <n v="1"/>
    <n v="1"/>
  </r>
  <r>
    <n v="4708"/>
    <n v="33540"/>
    <x v="1101"/>
    <x v="4"/>
    <s v="Low"/>
    <n v="21"/>
    <n v="190.99"/>
    <n v="0.1"/>
    <s v="Regular Air"/>
    <n v="-27.15"/>
    <n v="9.85"/>
    <n v="4.82"/>
    <x v="430"/>
    <x v="8"/>
    <x v="6"/>
    <x v="1"/>
    <x v="0"/>
    <x v="12"/>
    <x v="1106"/>
    <s v="Wrap Bag"/>
    <n v="0.47"/>
    <d v="2011-06-10T00:00:00"/>
    <n v="0"/>
    <n v="0"/>
    <n v="1"/>
    <n v="1"/>
  </r>
  <r>
    <n v="4762"/>
    <n v="33862"/>
    <x v="1102"/>
    <x v="30"/>
    <s v="Not Specified"/>
    <n v="22"/>
    <n v="125.57"/>
    <n v="0.03"/>
    <s v="Regular Air"/>
    <n v="-45.16"/>
    <n v="5.58"/>
    <n v="5.3"/>
    <x v="433"/>
    <x v="8"/>
    <x v="6"/>
    <x v="1"/>
    <x v="0"/>
    <x v="8"/>
    <x v="686"/>
    <s v="Small Box"/>
    <n v="0.35"/>
    <d v="2010-06-23T00:00:00"/>
    <n v="0"/>
    <n v="0"/>
    <n v="1"/>
    <n v="1"/>
  </r>
  <r>
    <n v="4845"/>
    <n v="34470"/>
    <x v="975"/>
    <x v="12"/>
    <s v="Critical"/>
    <n v="31"/>
    <n v="2966.13"/>
    <n v="0.08"/>
    <s v="Delivery Truck"/>
    <n v="-1456.31"/>
    <n v="100.98"/>
    <n v="57.38"/>
    <x v="445"/>
    <x v="8"/>
    <x v="6"/>
    <x v="3"/>
    <x v="2"/>
    <x v="9"/>
    <x v="65"/>
    <s v="Jumbo Box"/>
    <n v="0.78"/>
    <d v="2012-02-02T00:00:00"/>
    <n v="0"/>
    <n v="0"/>
    <n v="1"/>
    <n v="0.5"/>
  </r>
  <r>
    <n v="5077"/>
    <n v="36161"/>
    <x v="150"/>
    <x v="38"/>
    <s v="Critical"/>
    <n v="6"/>
    <n v="29.19"/>
    <n v="0.03"/>
    <s v="Regular Air"/>
    <n v="0.64600000000000002"/>
    <n v="4.49"/>
    <n v="1.49"/>
    <x v="443"/>
    <x v="8"/>
    <x v="6"/>
    <x v="0"/>
    <x v="0"/>
    <x v="2"/>
    <x v="766"/>
    <s v="Small Box"/>
    <n v="0.39"/>
    <d v="2010-01-17T00:00:00"/>
    <n v="1"/>
    <n v="0"/>
    <n v="1"/>
    <n v="1"/>
  </r>
  <r>
    <n v="5302"/>
    <n v="37760"/>
    <x v="691"/>
    <x v="26"/>
    <s v="High"/>
    <n v="18"/>
    <n v="157.85"/>
    <n v="0.01"/>
    <s v="Regular Air"/>
    <n v="10.74"/>
    <n v="8.33"/>
    <n v="1.99"/>
    <x v="430"/>
    <x v="8"/>
    <x v="6"/>
    <x v="0"/>
    <x v="1"/>
    <x v="7"/>
    <x v="206"/>
    <s v="Small Pack"/>
    <n v="0.52"/>
    <d v="2009-08-15T00:00:00"/>
    <n v="0"/>
    <n v="0"/>
    <n v="0.5"/>
    <n v="0.5"/>
  </r>
  <r>
    <n v="5303"/>
    <n v="37760"/>
    <x v="691"/>
    <x v="26"/>
    <s v="High"/>
    <n v="38"/>
    <n v="2773.0314999999996"/>
    <n v="0.04"/>
    <s v="Regular Air"/>
    <n v="897.86699999999996"/>
    <n v="85.99"/>
    <n v="0.99"/>
    <x v="430"/>
    <x v="8"/>
    <x v="6"/>
    <x v="0"/>
    <x v="1"/>
    <x v="3"/>
    <x v="576"/>
    <s v="Wrap Bag"/>
    <n v="0.55000000000000004"/>
    <d v="2009-08-16T00:00:00"/>
    <n v="0"/>
    <n v="0"/>
    <n v="0.5"/>
    <n v="0.5"/>
  </r>
  <r>
    <n v="5335"/>
    <n v="37895"/>
    <x v="1103"/>
    <x v="33"/>
    <s v="Critical"/>
    <n v="14"/>
    <n v="304.64999999999998"/>
    <n v="0.1"/>
    <s v="Regular Air"/>
    <n v="24.2"/>
    <n v="21.98"/>
    <n v="8.32"/>
    <x v="430"/>
    <x v="8"/>
    <x v="6"/>
    <x v="0"/>
    <x v="0"/>
    <x v="5"/>
    <x v="192"/>
    <s v="Wrap Bag"/>
    <n v="0.39"/>
    <d v="2012-04-02T00:00:00"/>
    <n v="0"/>
    <n v="0"/>
    <n v="1"/>
    <n v="1"/>
  </r>
  <r>
    <n v="5402"/>
    <n v="38403"/>
    <x v="345"/>
    <x v="10"/>
    <s v="Low"/>
    <n v="49"/>
    <n v="142.1"/>
    <n v="0.01"/>
    <s v="Regular Air"/>
    <n v="37.03"/>
    <n v="2.88"/>
    <n v="0.99"/>
    <x v="296"/>
    <x v="8"/>
    <x v="6"/>
    <x v="3"/>
    <x v="0"/>
    <x v="11"/>
    <x v="184"/>
    <s v="Small Box"/>
    <n v="0.36"/>
    <d v="2011-05-25T00:00:00"/>
    <n v="0"/>
    <n v="0"/>
    <n v="1"/>
    <n v="0.5"/>
  </r>
  <r>
    <n v="5440"/>
    <n v="38630"/>
    <x v="1104"/>
    <x v="24"/>
    <s v="Medium"/>
    <n v="13"/>
    <n v="2175.2179999999998"/>
    <n v="7.0000000000000007E-2"/>
    <s v="Regular Air"/>
    <n v="44.55"/>
    <n v="195.99"/>
    <n v="3.99"/>
    <x v="445"/>
    <x v="8"/>
    <x v="6"/>
    <x v="3"/>
    <x v="1"/>
    <x v="3"/>
    <x v="3"/>
    <s v="Small Box"/>
    <n v="0.57999999999999996"/>
    <d v="2010-04-18T00:00:00"/>
    <n v="0"/>
    <n v="0"/>
    <n v="1"/>
    <n v="1"/>
  </r>
  <r>
    <n v="5684"/>
    <n v="40165"/>
    <x v="1105"/>
    <x v="5"/>
    <s v="High"/>
    <n v="50"/>
    <n v="421.36"/>
    <n v="7.0000000000000007E-2"/>
    <s v="Regular Air"/>
    <n v="-75.17"/>
    <n v="8.6199999999999992"/>
    <n v="4.5"/>
    <x v="434"/>
    <x v="8"/>
    <x v="6"/>
    <x v="1"/>
    <x v="0"/>
    <x v="1"/>
    <x v="1107"/>
    <s v="Small Box"/>
    <n v="0.59"/>
    <d v="2011-03-05T00:00:00"/>
    <n v="0"/>
    <n v="0"/>
    <n v="1"/>
    <n v="1"/>
  </r>
  <r>
    <n v="5686"/>
    <n v="40194"/>
    <x v="524"/>
    <x v="0"/>
    <s v="Not Specified"/>
    <n v="30"/>
    <n v="4506.8500000000004"/>
    <n v="0.1"/>
    <s v="Delivery Truck"/>
    <n v="290.66000000000003"/>
    <n v="160.97999999999999"/>
    <n v="30"/>
    <x v="430"/>
    <x v="8"/>
    <x v="6"/>
    <x v="1"/>
    <x v="2"/>
    <x v="14"/>
    <x v="580"/>
    <s v="Jumbo Drum"/>
    <n v="0.62"/>
    <d v="2010-10-07T00:00:00"/>
    <n v="0"/>
    <n v="0"/>
    <n v="0.33333333333333331"/>
    <n v="0.33333333333333331"/>
  </r>
  <r>
    <n v="5687"/>
    <n v="40194"/>
    <x v="524"/>
    <x v="0"/>
    <s v="Not Specified"/>
    <n v="16"/>
    <n v="2110.37"/>
    <n v="0"/>
    <s v="Delivery Truck"/>
    <n v="-14.415900000000001"/>
    <n v="119.99"/>
    <n v="56.14"/>
    <x v="430"/>
    <x v="8"/>
    <x v="6"/>
    <x v="1"/>
    <x v="1"/>
    <x v="16"/>
    <x v="735"/>
    <s v="Jumbo Box"/>
    <n v="0.39"/>
    <d v="2010-10-08T00:00:00"/>
    <n v="0"/>
    <n v="0"/>
    <n v="0.33333333333333331"/>
    <n v="0.33333333333333331"/>
  </r>
  <r>
    <n v="5688"/>
    <n v="40194"/>
    <x v="524"/>
    <x v="0"/>
    <s v="Not Specified"/>
    <n v="34"/>
    <n v="1094.9105"/>
    <n v="0.02"/>
    <s v="Regular Air"/>
    <n v="-112.123"/>
    <n v="35.99"/>
    <n v="5"/>
    <x v="430"/>
    <x v="8"/>
    <x v="6"/>
    <x v="1"/>
    <x v="1"/>
    <x v="3"/>
    <x v="643"/>
    <s v="Small Box"/>
    <n v="0.85"/>
    <d v="2010-10-08T00:00:00"/>
    <n v="0"/>
    <n v="0"/>
    <n v="0.33333333333333331"/>
    <n v="0.33333333333333331"/>
  </r>
  <r>
    <n v="5713"/>
    <n v="40454"/>
    <x v="1106"/>
    <x v="37"/>
    <s v="Not Specified"/>
    <n v="43"/>
    <n v="1243.8800000000001"/>
    <n v="0.1"/>
    <s v="Regular Air"/>
    <n v="22.71"/>
    <n v="30.98"/>
    <n v="8.99"/>
    <x v="447"/>
    <x v="8"/>
    <x v="6"/>
    <x v="2"/>
    <x v="0"/>
    <x v="12"/>
    <x v="805"/>
    <s v="Small Pack"/>
    <n v="0.57999999999999996"/>
    <d v="2011-04-24T00:00:00"/>
    <n v="0"/>
    <n v="0"/>
    <n v="1"/>
    <n v="1"/>
  </r>
  <r>
    <n v="5730"/>
    <n v="40672"/>
    <x v="149"/>
    <x v="1"/>
    <s v="Low"/>
    <n v="16"/>
    <n v="1617.91"/>
    <n v="0.04"/>
    <s v="Delivery Truck"/>
    <n v="-159.21"/>
    <n v="100.98"/>
    <n v="35.840000000000003"/>
    <x v="430"/>
    <x v="8"/>
    <x v="6"/>
    <x v="1"/>
    <x v="2"/>
    <x v="9"/>
    <x v="550"/>
    <s v="Jumbo Box"/>
    <n v="0.62"/>
    <d v="2012-10-31T00:00:00"/>
    <n v="0"/>
    <n v="0"/>
    <n v="1"/>
    <n v="0.5"/>
  </r>
  <r>
    <n v="5749"/>
    <n v="40833"/>
    <x v="427"/>
    <x v="42"/>
    <s v="Low"/>
    <n v="48"/>
    <n v="2688.0825"/>
    <n v="0.04"/>
    <s v="Regular Air"/>
    <n v="844.82100000000003"/>
    <n v="65.989999999999995"/>
    <n v="2.5"/>
    <x v="296"/>
    <x v="8"/>
    <x v="6"/>
    <x v="3"/>
    <x v="1"/>
    <x v="3"/>
    <x v="747"/>
    <s v="Small Box"/>
    <n v="0.56000000000000005"/>
    <d v="2010-07-24T00:00:00"/>
    <n v="0"/>
    <n v="0"/>
    <n v="1"/>
    <n v="1"/>
  </r>
  <r>
    <n v="5843"/>
    <n v="41441"/>
    <x v="1064"/>
    <x v="23"/>
    <s v="Medium"/>
    <n v="41"/>
    <n v="221.08"/>
    <n v="0"/>
    <s v="Regular Air"/>
    <n v="-108.20350000000001"/>
    <n v="4.91"/>
    <n v="5.68"/>
    <x v="448"/>
    <x v="8"/>
    <x v="6"/>
    <x v="2"/>
    <x v="0"/>
    <x v="2"/>
    <x v="980"/>
    <s v="Small Box"/>
    <n v="0.36"/>
    <d v="2012-01-24T00:00:00"/>
    <n v="0"/>
    <n v="0"/>
    <n v="1"/>
    <n v="1"/>
  </r>
  <r>
    <n v="6079"/>
    <n v="43076"/>
    <x v="838"/>
    <x v="30"/>
    <s v="Not Specified"/>
    <n v="33"/>
    <n v="3636.37"/>
    <n v="0.06"/>
    <s v="Delivery Truck"/>
    <n v="-176.91"/>
    <n v="113.98"/>
    <n v="30"/>
    <x v="445"/>
    <x v="8"/>
    <x v="6"/>
    <x v="3"/>
    <x v="2"/>
    <x v="14"/>
    <x v="655"/>
    <s v="Jumbo Drum"/>
    <n v="0.69"/>
    <d v="2010-06-16T00:00:00"/>
    <n v="0"/>
    <n v="0"/>
    <n v="1"/>
    <n v="1"/>
  </r>
  <r>
    <n v="6102"/>
    <n v="43233"/>
    <x v="695"/>
    <x v="30"/>
    <s v="Critical"/>
    <n v="30"/>
    <n v="203.48"/>
    <n v="0.04"/>
    <s v="Express Air"/>
    <n v="-71.91"/>
    <n v="6.48"/>
    <n v="6.35"/>
    <x v="431"/>
    <x v="8"/>
    <x v="6"/>
    <x v="3"/>
    <x v="0"/>
    <x v="5"/>
    <x v="1108"/>
    <s v="Small Box"/>
    <n v="0.37"/>
    <d v="2010-06-21T00:00:00"/>
    <n v="0"/>
    <n v="0"/>
    <n v="1"/>
    <n v="1"/>
  </r>
  <r>
    <n v="6120"/>
    <n v="43332"/>
    <x v="322"/>
    <x v="34"/>
    <s v="High"/>
    <n v="31"/>
    <n v="1750"/>
    <n v="0.03"/>
    <s v="Express Air"/>
    <n v="559.38"/>
    <n v="55.48"/>
    <n v="14.3"/>
    <x v="437"/>
    <x v="8"/>
    <x v="6"/>
    <x v="3"/>
    <x v="0"/>
    <x v="5"/>
    <x v="381"/>
    <s v="Small Box"/>
    <n v="0.37"/>
    <d v="2012-09-10T00:00:00"/>
    <n v="0"/>
    <n v="0"/>
    <n v="1"/>
    <n v="1"/>
  </r>
  <r>
    <n v="6122"/>
    <n v="43362"/>
    <x v="750"/>
    <x v="22"/>
    <s v="Critical"/>
    <n v="45"/>
    <n v="15963.09"/>
    <n v="0.03"/>
    <s v="Delivery Truck"/>
    <n v="4276.7299999999996"/>
    <n v="350.98"/>
    <n v="30"/>
    <x v="50"/>
    <x v="8"/>
    <x v="6"/>
    <x v="1"/>
    <x v="2"/>
    <x v="14"/>
    <x v="1019"/>
    <s v="Jumbo Drum"/>
    <n v="0.61"/>
    <d v="2009-01-15T00:00:00"/>
    <n v="0"/>
    <n v="1"/>
    <n v="0.5"/>
    <n v="0.33333333333333331"/>
  </r>
  <r>
    <n v="6123"/>
    <n v="43362"/>
    <x v="750"/>
    <x v="22"/>
    <s v="Critical"/>
    <n v="33"/>
    <n v="58.48"/>
    <n v="0.04"/>
    <s v="Regular Air"/>
    <n v="2.72"/>
    <n v="1.68"/>
    <n v="1"/>
    <x v="50"/>
    <x v="8"/>
    <x v="6"/>
    <x v="1"/>
    <x v="0"/>
    <x v="12"/>
    <x v="1054"/>
    <s v="Wrap Bag"/>
    <n v="0.35"/>
    <d v="2009-01-14T00:00:00"/>
    <n v="0"/>
    <n v="1"/>
    <n v="0.5"/>
    <n v="0.33333333333333331"/>
  </r>
  <r>
    <n v="6138"/>
    <n v="43488"/>
    <x v="1107"/>
    <x v="8"/>
    <s v="Critical"/>
    <n v="46"/>
    <n v="2116.1999999999998"/>
    <n v="0.08"/>
    <s v="Regular Air"/>
    <n v="483.67"/>
    <n v="48.92"/>
    <n v="4.5"/>
    <x v="296"/>
    <x v="8"/>
    <x v="6"/>
    <x v="3"/>
    <x v="0"/>
    <x v="1"/>
    <x v="606"/>
    <s v="Small Box"/>
    <n v="0.59"/>
    <d v="2012-06-19T00:00:00"/>
    <n v="0"/>
    <n v="0"/>
    <n v="0.2"/>
    <n v="0.2"/>
  </r>
  <r>
    <n v="6139"/>
    <n v="43488"/>
    <x v="1107"/>
    <x v="8"/>
    <s v="Critical"/>
    <n v="46"/>
    <n v="766.36"/>
    <n v="0"/>
    <s v="Regular Air"/>
    <n v="399.12"/>
    <n v="15.57"/>
    <n v="1.39"/>
    <x v="296"/>
    <x v="8"/>
    <x v="6"/>
    <x v="3"/>
    <x v="0"/>
    <x v="8"/>
    <x v="889"/>
    <s v="Small Box"/>
    <n v="0.38"/>
    <d v="2012-06-19T00:00:00"/>
    <n v="0"/>
    <n v="0"/>
    <n v="0.2"/>
    <n v="0.2"/>
  </r>
  <r>
    <n v="6140"/>
    <n v="43488"/>
    <x v="1107"/>
    <x v="8"/>
    <s v="Critical"/>
    <n v="28"/>
    <n v="547.32000000000005"/>
    <n v="0.1"/>
    <s v="Regular Air"/>
    <n v="42.39"/>
    <n v="20.239999999999998"/>
    <n v="6.67"/>
    <x v="296"/>
    <x v="8"/>
    <x v="6"/>
    <x v="3"/>
    <x v="2"/>
    <x v="4"/>
    <x v="302"/>
    <s v="Small Pack"/>
    <n v="0.49"/>
    <d v="2012-06-19T00:00:00"/>
    <n v="0"/>
    <n v="0"/>
    <n v="0.2"/>
    <n v="0.2"/>
  </r>
  <r>
    <n v="6141"/>
    <n v="43488"/>
    <x v="1107"/>
    <x v="8"/>
    <s v="Critical"/>
    <n v="13"/>
    <n v="192.44"/>
    <n v="0.05"/>
    <s v="Regular Air"/>
    <n v="6.7744999999999997"/>
    <n v="14.48"/>
    <n v="6.46"/>
    <x v="296"/>
    <x v="8"/>
    <x v="6"/>
    <x v="3"/>
    <x v="0"/>
    <x v="2"/>
    <x v="637"/>
    <s v="Small Box"/>
    <n v="0.38"/>
    <d v="2012-06-20T00:00:00"/>
    <n v="0"/>
    <n v="0"/>
    <n v="0.2"/>
    <n v="0.2"/>
  </r>
  <r>
    <n v="6142"/>
    <n v="43488"/>
    <x v="1107"/>
    <x v="8"/>
    <s v="Critical"/>
    <n v="3"/>
    <n v="1294.3499999999999"/>
    <n v="0.06"/>
    <s v="Regular Air"/>
    <n v="-1569.06"/>
    <n v="449.99"/>
    <n v="24.49"/>
    <x v="296"/>
    <x v="8"/>
    <x v="6"/>
    <x v="3"/>
    <x v="1"/>
    <x v="13"/>
    <x v="1109"/>
    <s v="Large Box"/>
    <n v="0.4"/>
    <d v="2012-06-20T00:00:00"/>
    <n v="0"/>
    <n v="0"/>
    <n v="0.2"/>
    <n v="0.2"/>
  </r>
  <r>
    <n v="6148"/>
    <n v="43526"/>
    <x v="1108"/>
    <x v="39"/>
    <s v="High"/>
    <n v="49"/>
    <n v="561.05999999999995"/>
    <n v="7.0000000000000007E-2"/>
    <s v="Regular Air"/>
    <n v="-2.23"/>
    <n v="11.58"/>
    <n v="6.97"/>
    <x v="430"/>
    <x v="8"/>
    <x v="6"/>
    <x v="1"/>
    <x v="0"/>
    <x v="8"/>
    <x v="188"/>
    <s v="Small Box"/>
    <n v="0.35"/>
    <d v="2010-05-26T00:00:00"/>
    <n v="0"/>
    <n v="0"/>
    <n v="0.5"/>
    <n v="0.33333333333333331"/>
  </r>
  <r>
    <n v="6149"/>
    <n v="43526"/>
    <x v="1108"/>
    <x v="39"/>
    <s v="High"/>
    <n v="19"/>
    <n v="320.02999999999997"/>
    <n v="0"/>
    <s v="Regular Air"/>
    <n v="-43.22"/>
    <n v="15.31"/>
    <n v="8.7799999999999994"/>
    <x v="430"/>
    <x v="8"/>
    <x v="6"/>
    <x v="1"/>
    <x v="0"/>
    <x v="0"/>
    <x v="581"/>
    <s v="Small Box"/>
    <n v="0.56999999999999995"/>
    <d v="2010-05-27T00:00:00"/>
    <n v="0"/>
    <n v="0"/>
    <n v="0.5"/>
    <n v="0.33333333333333331"/>
  </r>
  <r>
    <n v="6232"/>
    <n v="44134"/>
    <x v="1109"/>
    <x v="19"/>
    <s v="High"/>
    <n v="35"/>
    <n v="620.02"/>
    <n v="0.05"/>
    <s v="Regular Air"/>
    <n v="50.04"/>
    <n v="17.670000000000002"/>
    <n v="8.99"/>
    <x v="449"/>
    <x v="8"/>
    <x v="6"/>
    <x v="3"/>
    <x v="2"/>
    <x v="4"/>
    <x v="594"/>
    <s v="Small Pack"/>
    <n v="0.47"/>
    <d v="2009-11-01T00:00:00"/>
    <n v="0"/>
    <n v="0"/>
    <n v="1"/>
    <n v="0.5"/>
  </r>
  <r>
    <n v="6235"/>
    <n v="44196"/>
    <x v="1073"/>
    <x v="26"/>
    <s v="Not Specified"/>
    <n v="12"/>
    <n v="653.78599999999994"/>
    <n v="0.09"/>
    <s v="Regular Air"/>
    <n v="-83.467999999999989"/>
    <n v="65.989999999999995"/>
    <n v="5.31"/>
    <x v="447"/>
    <x v="8"/>
    <x v="6"/>
    <x v="2"/>
    <x v="1"/>
    <x v="3"/>
    <x v="305"/>
    <s v="Small Box"/>
    <n v="0.56999999999999995"/>
    <d v="2009-08-23T00:00:00"/>
    <n v="0"/>
    <n v="0"/>
    <n v="0.5"/>
    <n v="0.5"/>
  </r>
  <r>
    <n v="6266"/>
    <n v="44358"/>
    <x v="125"/>
    <x v="24"/>
    <s v="High"/>
    <n v="22"/>
    <n v="5288.89"/>
    <n v="0"/>
    <s v="Delivery Truck"/>
    <n v="547.03620000000001"/>
    <n v="227.55"/>
    <n v="32.479999999999997"/>
    <x v="447"/>
    <x v="8"/>
    <x v="6"/>
    <x v="3"/>
    <x v="2"/>
    <x v="10"/>
    <x v="1110"/>
    <s v="Jumbo Box"/>
    <n v="0.68"/>
    <d v="2010-04-03T00:00:00"/>
    <n v="0"/>
    <n v="0"/>
    <n v="1"/>
    <n v="1"/>
  </r>
  <r>
    <n v="6284"/>
    <n v="44480"/>
    <x v="357"/>
    <x v="39"/>
    <s v="Medium"/>
    <n v="25"/>
    <n v="1321.55"/>
    <n v="0.1"/>
    <s v="Regular Air"/>
    <n v="448.24"/>
    <n v="54.96"/>
    <n v="10.75"/>
    <x v="445"/>
    <x v="8"/>
    <x v="6"/>
    <x v="3"/>
    <x v="0"/>
    <x v="5"/>
    <x v="229"/>
    <s v="Small Box"/>
    <n v="0.36"/>
    <d v="2010-05-14T00:00:00"/>
    <n v="0"/>
    <n v="0"/>
    <n v="1"/>
    <n v="1"/>
  </r>
  <r>
    <n v="6293"/>
    <n v="44546"/>
    <x v="934"/>
    <x v="14"/>
    <s v="Critical"/>
    <n v="15"/>
    <n v="55.2"/>
    <n v="0.05"/>
    <s v="Regular Air"/>
    <n v="4.26"/>
    <n v="3.58"/>
    <n v="1.63"/>
    <x v="445"/>
    <x v="8"/>
    <x v="6"/>
    <x v="3"/>
    <x v="0"/>
    <x v="6"/>
    <x v="821"/>
    <s v="Wrap Bag"/>
    <n v="0.36"/>
    <d v="2010-03-25T00:00:00"/>
    <n v="0"/>
    <n v="0"/>
    <n v="1"/>
    <n v="1"/>
  </r>
  <r>
    <n v="6311"/>
    <n v="44647"/>
    <x v="757"/>
    <x v="23"/>
    <s v="Low"/>
    <n v="47"/>
    <n v="23239.96"/>
    <n v="0.06"/>
    <s v="Delivery Truck"/>
    <n v="6888.36"/>
    <n v="500.98"/>
    <n v="26"/>
    <x v="440"/>
    <x v="8"/>
    <x v="6"/>
    <x v="2"/>
    <x v="2"/>
    <x v="14"/>
    <x v="38"/>
    <s v="Jumbo Drum"/>
    <n v="0.6"/>
    <d v="2012-01-24T00:00:00"/>
    <n v="0"/>
    <n v="0"/>
    <n v="0.5"/>
    <n v="0.5"/>
  </r>
  <r>
    <n v="6312"/>
    <n v="44647"/>
    <x v="757"/>
    <x v="23"/>
    <s v="Low"/>
    <n v="24"/>
    <n v="302.91000000000003"/>
    <n v="0.05"/>
    <s v="Regular Air"/>
    <n v="-36.76"/>
    <n v="12.28"/>
    <n v="6.13"/>
    <x v="440"/>
    <x v="8"/>
    <x v="6"/>
    <x v="2"/>
    <x v="0"/>
    <x v="0"/>
    <x v="166"/>
    <s v="Small Box"/>
    <n v="0.56999999999999995"/>
    <d v="2012-01-28T00:00:00"/>
    <n v="0"/>
    <n v="0"/>
    <n v="0.5"/>
    <n v="0.5"/>
  </r>
  <r>
    <n v="6385"/>
    <n v="45376"/>
    <x v="1110"/>
    <x v="25"/>
    <s v="Critical"/>
    <n v="19"/>
    <n v="6648.58"/>
    <n v="0.08"/>
    <s v="Delivery Truck"/>
    <n v="-555.98"/>
    <n v="370.98"/>
    <n v="99"/>
    <x v="433"/>
    <x v="8"/>
    <x v="6"/>
    <x v="1"/>
    <x v="0"/>
    <x v="0"/>
    <x v="222"/>
    <s v="Jumbo Drum"/>
    <n v="0.65"/>
    <d v="2011-12-03T00:00:00"/>
    <n v="0"/>
    <n v="0"/>
    <n v="1"/>
    <n v="1"/>
  </r>
  <r>
    <n v="6477"/>
    <n v="46115"/>
    <x v="1105"/>
    <x v="5"/>
    <s v="Critical"/>
    <n v="35"/>
    <n v="677.43"/>
    <n v="0.1"/>
    <s v="Regular Air"/>
    <n v="-37.99"/>
    <n v="19.98"/>
    <n v="4"/>
    <x v="448"/>
    <x v="8"/>
    <x v="6"/>
    <x v="0"/>
    <x v="1"/>
    <x v="7"/>
    <x v="507"/>
    <s v="Small Box"/>
    <n v="0.68"/>
    <d v="2011-03-04T00:00:00"/>
    <n v="0"/>
    <n v="0"/>
    <n v="0.5"/>
    <n v="0.5"/>
  </r>
  <r>
    <n v="6478"/>
    <n v="46115"/>
    <x v="1105"/>
    <x v="5"/>
    <s v="Critical"/>
    <n v="38"/>
    <n v="491.78"/>
    <n v="0"/>
    <s v="Regular Air"/>
    <n v="44.04"/>
    <n v="12.28"/>
    <n v="6.47"/>
    <x v="448"/>
    <x v="8"/>
    <x v="6"/>
    <x v="0"/>
    <x v="0"/>
    <x v="5"/>
    <x v="46"/>
    <s v="Small Box"/>
    <n v="0.38"/>
    <d v="2011-03-02T00:00:00"/>
    <n v="0"/>
    <n v="0"/>
    <n v="0.5"/>
    <n v="0.5"/>
  </r>
  <r>
    <n v="6625"/>
    <n v="47109"/>
    <x v="633"/>
    <x v="31"/>
    <s v="High"/>
    <n v="47"/>
    <n v="6131.54"/>
    <n v="0.06"/>
    <s v="Regular Air"/>
    <n v="1844.96"/>
    <n v="128.24"/>
    <n v="12.65"/>
    <x v="448"/>
    <x v="8"/>
    <x v="6"/>
    <x v="0"/>
    <x v="2"/>
    <x v="14"/>
    <x v="410"/>
    <s v="Medium Box"/>
    <m/>
    <d v="2011-09-13T00:00:00"/>
    <n v="0"/>
    <n v="0"/>
    <n v="1"/>
    <n v="1"/>
  </r>
  <r>
    <n v="6687"/>
    <n v="47556"/>
    <x v="456"/>
    <x v="42"/>
    <s v="Low"/>
    <n v="29"/>
    <n v="475.58"/>
    <n v="0.04"/>
    <s v="Regular Air"/>
    <n v="108.21"/>
    <n v="15.98"/>
    <n v="4"/>
    <x v="445"/>
    <x v="8"/>
    <x v="6"/>
    <x v="3"/>
    <x v="1"/>
    <x v="7"/>
    <x v="404"/>
    <s v="Small Box"/>
    <n v="0.37"/>
    <d v="2010-07-27T00:00:00"/>
    <n v="0"/>
    <n v="0"/>
    <n v="1"/>
    <n v="1"/>
  </r>
  <r>
    <n v="6698"/>
    <n v="47712"/>
    <x v="1111"/>
    <x v="42"/>
    <s v="Low"/>
    <n v="50"/>
    <n v="274.04000000000002"/>
    <n v="0.1"/>
    <s v="Express Air"/>
    <n v="-243.869"/>
    <n v="5.38"/>
    <n v="7.57"/>
    <x v="449"/>
    <x v="8"/>
    <x v="6"/>
    <x v="3"/>
    <x v="0"/>
    <x v="2"/>
    <x v="1111"/>
    <s v="Small Box"/>
    <n v="0.36"/>
    <d v="2010-07-18T00:00:00"/>
    <n v="0"/>
    <n v="0"/>
    <n v="1"/>
    <n v="1"/>
  </r>
  <r>
    <n v="6756"/>
    <n v="48135"/>
    <x v="851"/>
    <x v="46"/>
    <s v="High"/>
    <n v="20"/>
    <n v="3960.99"/>
    <n v="0.09"/>
    <s v="Express Air"/>
    <n v="631.33000000000004"/>
    <n v="199.99"/>
    <n v="24.49"/>
    <x v="307"/>
    <x v="8"/>
    <x v="6"/>
    <x v="3"/>
    <x v="1"/>
    <x v="13"/>
    <x v="473"/>
    <s v="Large Box"/>
    <n v="0.46"/>
    <d v="2009-04-21T00:00:00"/>
    <n v="0"/>
    <n v="0"/>
    <n v="0.5"/>
    <n v="0.5"/>
  </r>
  <r>
    <n v="6758"/>
    <n v="48161"/>
    <x v="1112"/>
    <x v="10"/>
    <s v="Not Specified"/>
    <n v="16"/>
    <n v="139.69"/>
    <n v="0.01"/>
    <s v="Regular Air"/>
    <n v="-95.64"/>
    <n v="7.77"/>
    <n v="9.23"/>
    <x v="431"/>
    <x v="8"/>
    <x v="6"/>
    <x v="3"/>
    <x v="0"/>
    <x v="1"/>
    <x v="1009"/>
    <s v="Small Box"/>
    <n v="0.57999999999999996"/>
    <d v="2011-05-25T00:00:00"/>
    <n v="0"/>
    <n v="0"/>
    <n v="0.5"/>
    <n v="0.5"/>
  </r>
  <r>
    <n v="6759"/>
    <n v="48161"/>
    <x v="1112"/>
    <x v="10"/>
    <s v="Not Specified"/>
    <n v="39"/>
    <n v="6030.58"/>
    <n v="0.09"/>
    <s v="Regular Air"/>
    <n v="1197.855"/>
    <n v="195.99"/>
    <n v="8.99"/>
    <x v="431"/>
    <x v="8"/>
    <x v="6"/>
    <x v="3"/>
    <x v="1"/>
    <x v="3"/>
    <x v="354"/>
    <s v="Small Box"/>
    <n v="0.57999999999999996"/>
    <d v="2011-05-24T00:00:00"/>
    <n v="0"/>
    <n v="0"/>
    <n v="0.5"/>
    <n v="0.5"/>
  </r>
  <r>
    <n v="6816"/>
    <n v="48515"/>
    <x v="710"/>
    <x v="25"/>
    <s v="Critical"/>
    <n v="47"/>
    <n v="725.8"/>
    <n v="0.01"/>
    <s v="Express Air"/>
    <n v="327.45"/>
    <n v="15.04"/>
    <n v="1.97"/>
    <x v="430"/>
    <x v="8"/>
    <x v="6"/>
    <x v="1"/>
    <x v="0"/>
    <x v="5"/>
    <x v="536"/>
    <s v="Wrap Bag"/>
    <n v="0.39"/>
    <d v="2011-12-20T00:00:00"/>
    <n v="0"/>
    <n v="0"/>
    <n v="1"/>
    <n v="0.5"/>
  </r>
  <r>
    <n v="6829"/>
    <n v="48642"/>
    <x v="423"/>
    <x v="6"/>
    <s v="High"/>
    <n v="36"/>
    <n v="111.83"/>
    <n v="0"/>
    <s v="Regular Air"/>
    <n v="19.36"/>
    <n v="2.94"/>
    <n v="0.7"/>
    <x v="307"/>
    <x v="8"/>
    <x v="6"/>
    <x v="3"/>
    <x v="0"/>
    <x v="12"/>
    <x v="900"/>
    <s v="Wrap Bag"/>
    <n v="0.57999999999999996"/>
    <d v="2010-02-01T00:00:00"/>
    <n v="0"/>
    <n v="0"/>
    <n v="0.25"/>
    <n v="0.2"/>
  </r>
  <r>
    <n v="6830"/>
    <n v="48642"/>
    <x v="423"/>
    <x v="6"/>
    <s v="High"/>
    <n v="50"/>
    <n v="4159.6279999999997"/>
    <n v="0.05"/>
    <s v="Express Air"/>
    <n v="1332.9090000000001"/>
    <n v="95.99"/>
    <n v="4.9000000000000004"/>
    <x v="307"/>
    <x v="8"/>
    <x v="6"/>
    <x v="3"/>
    <x v="1"/>
    <x v="3"/>
    <x v="936"/>
    <s v="Small Box"/>
    <n v="0.56000000000000005"/>
    <d v="2010-02-01T00:00:00"/>
    <n v="0"/>
    <n v="0"/>
    <n v="0.25"/>
    <n v="0.2"/>
  </r>
  <r>
    <n v="7089"/>
    <n v="50567"/>
    <x v="888"/>
    <x v="12"/>
    <s v="Medium"/>
    <n v="22"/>
    <n v="1505.67"/>
    <n v="0.1"/>
    <s v="Delivery Truck"/>
    <n v="-436.23"/>
    <n v="70.98"/>
    <n v="30"/>
    <x v="445"/>
    <x v="8"/>
    <x v="6"/>
    <x v="3"/>
    <x v="2"/>
    <x v="14"/>
    <x v="665"/>
    <s v="Jumbo Drum"/>
    <n v="0.73"/>
    <d v="2012-02-06T00:00:00"/>
    <n v="0"/>
    <n v="0"/>
    <n v="1"/>
    <n v="0.5"/>
  </r>
  <r>
    <n v="7241"/>
    <n v="51623"/>
    <x v="1113"/>
    <x v="22"/>
    <s v="Critical"/>
    <n v="17"/>
    <n v="39.229999999999997"/>
    <n v="0.06"/>
    <s v="Regular Air"/>
    <n v="-66.58"/>
    <n v="2.08"/>
    <n v="5.33"/>
    <x v="296"/>
    <x v="8"/>
    <x v="6"/>
    <x v="3"/>
    <x v="2"/>
    <x v="4"/>
    <x v="109"/>
    <s v="Small Box"/>
    <n v="0.43"/>
    <d v="2009-01-13T00:00:00"/>
    <n v="0"/>
    <n v="1"/>
    <n v="1"/>
    <n v="1"/>
  </r>
  <r>
    <n v="7320"/>
    <n v="52194"/>
    <x v="371"/>
    <x v="15"/>
    <s v="Critical"/>
    <n v="25"/>
    <n v="612.92999999999995"/>
    <n v="0.1"/>
    <s v="Regular Air"/>
    <n v="-5.0369999999999999"/>
    <n v="24.92"/>
    <n v="12.98"/>
    <x v="437"/>
    <x v="8"/>
    <x v="6"/>
    <x v="3"/>
    <x v="0"/>
    <x v="2"/>
    <x v="202"/>
    <s v="Small Box"/>
    <n v="0.39"/>
    <d v="2010-12-12T00:00:00"/>
    <n v="0"/>
    <n v="0"/>
    <n v="0.5"/>
    <n v="0.5"/>
  </r>
  <r>
    <n v="7321"/>
    <n v="52194"/>
    <x v="371"/>
    <x v="15"/>
    <s v="Critical"/>
    <n v="12"/>
    <n v="1551.34"/>
    <n v="0.03"/>
    <s v="Delivery Truck"/>
    <n v="-483.12"/>
    <n v="120.98"/>
    <n v="78.64"/>
    <x v="437"/>
    <x v="8"/>
    <x v="6"/>
    <x v="3"/>
    <x v="2"/>
    <x v="9"/>
    <x v="934"/>
    <s v="Jumbo Box"/>
    <n v="0.75"/>
    <d v="2010-12-12T00:00:00"/>
    <n v="0"/>
    <n v="0"/>
    <n v="0.5"/>
    <n v="0.5"/>
  </r>
  <r>
    <n v="7338"/>
    <n v="52291"/>
    <x v="1114"/>
    <x v="19"/>
    <s v="Critical"/>
    <n v="48"/>
    <n v="287.54000000000002"/>
    <n v="0.04"/>
    <s v="Regular Air"/>
    <n v="57.28"/>
    <n v="5.98"/>
    <n v="0.96"/>
    <x v="428"/>
    <x v="8"/>
    <x v="6"/>
    <x v="2"/>
    <x v="0"/>
    <x v="12"/>
    <x v="582"/>
    <s v="Wrap Bag"/>
    <n v="0.6"/>
    <d v="2009-10-31T00:00:00"/>
    <n v="0"/>
    <n v="0"/>
    <n v="0.5"/>
    <n v="0.5"/>
  </r>
  <r>
    <n v="7339"/>
    <n v="52291"/>
    <x v="1114"/>
    <x v="19"/>
    <s v="Critical"/>
    <n v="5"/>
    <n v="88.314999999999998"/>
    <n v="0.01"/>
    <s v="Regular Air"/>
    <n v="-72.401999999999987"/>
    <n v="20.99"/>
    <n v="0.99"/>
    <x v="428"/>
    <x v="8"/>
    <x v="6"/>
    <x v="2"/>
    <x v="1"/>
    <x v="3"/>
    <x v="652"/>
    <s v="Wrap Bag"/>
    <n v="0.56999999999999995"/>
    <d v="2009-10-30T00:00:00"/>
    <n v="0"/>
    <n v="0"/>
    <n v="0.5"/>
    <n v="0.5"/>
  </r>
  <r>
    <n v="7600"/>
    <n v="54370"/>
    <x v="1115"/>
    <x v="13"/>
    <s v="Not Specified"/>
    <n v="49"/>
    <n v="4968.5"/>
    <n v="0"/>
    <s v="Regular Air"/>
    <n v="1041.28"/>
    <n v="99.99"/>
    <n v="19.989999999999998"/>
    <x v="432"/>
    <x v="8"/>
    <x v="6"/>
    <x v="2"/>
    <x v="1"/>
    <x v="7"/>
    <x v="218"/>
    <s v="Small Box"/>
    <n v="0.52"/>
    <d v="2012-04-08T00:00:00"/>
    <n v="0"/>
    <n v="0"/>
    <n v="1"/>
    <n v="1"/>
  </r>
  <r>
    <n v="7619"/>
    <n v="54528"/>
    <x v="280"/>
    <x v="16"/>
    <s v="Medium"/>
    <n v="15"/>
    <n v="92.03"/>
    <n v="0.03"/>
    <s v="Regular Air"/>
    <n v="19.71"/>
    <n v="6.08"/>
    <n v="0.91"/>
    <x v="63"/>
    <x v="8"/>
    <x v="6"/>
    <x v="1"/>
    <x v="0"/>
    <x v="12"/>
    <x v="997"/>
    <s v="Wrap Bag"/>
    <n v="0.51"/>
    <d v="2011-01-05T00:00:00"/>
    <n v="0"/>
    <n v="0"/>
    <n v="0.33333333333333331"/>
    <n v="0.16666666666666666"/>
  </r>
  <r>
    <n v="7636"/>
    <n v="54659"/>
    <x v="1116"/>
    <x v="21"/>
    <s v="High"/>
    <n v="38"/>
    <n v="262.89999999999998"/>
    <n v="0.06"/>
    <s v="Regular Air"/>
    <n v="-41.98"/>
    <n v="6.68"/>
    <n v="5.2"/>
    <x v="432"/>
    <x v="8"/>
    <x v="6"/>
    <x v="2"/>
    <x v="0"/>
    <x v="5"/>
    <x v="320"/>
    <s v="Small Box"/>
    <n v="0.37"/>
    <d v="2011-08-15T00:00:00"/>
    <n v="0"/>
    <n v="0"/>
    <n v="1"/>
    <n v="1"/>
  </r>
  <r>
    <n v="7670"/>
    <n v="54981"/>
    <x v="668"/>
    <x v="12"/>
    <s v="High"/>
    <n v="31"/>
    <n v="1024.31"/>
    <n v="0.03"/>
    <s v="Regular Air"/>
    <n v="174.7175"/>
    <n v="31.74"/>
    <n v="12.62"/>
    <x v="442"/>
    <x v="8"/>
    <x v="6"/>
    <x v="3"/>
    <x v="0"/>
    <x v="2"/>
    <x v="920"/>
    <s v="Small Box"/>
    <n v="0.37"/>
    <d v="2012-02-12T00:00:00"/>
    <n v="0"/>
    <n v="0"/>
    <n v="1"/>
    <n v="1"/>
  </r>
  <r>
    <n v="7726"/>
    <n v="55361"/>
    <x v="141"/>
    <x v="5"/>
    <s v="Not Specified"/>
    <n v="22"/>
    <n v="51.39"/>
    <n v="0.06"/>
    <s v="Express Air"/>
    <n v="-64.37"/>
    <n v="1.76"/>
    <n v="4.8600000000000003"/>
    <x v="443"/>
    <x v="8"/>
    <x v="6"/>
    <x v="0"/>
    <x v="2"/>
    <x v="4"/>
    <x v="1099"/>
    <s v="Small Box"/>
    <n v="0.41"/>
    <d v="2011-03-24T00:00:00"/>
    <n v="0"/>
    <n v="0"/>
    <n v="0.5"/>
    <n v="0.5"/>
  </r>
  <r>
    <n v="7727"/>
    <n v="55361"/>
    <x v="141"/>
    <x v="5"/>
    <s v="Not Specified"/>
    <n v="31"/>
    <n v="293.52"/>
    <n v="0.08"/>
    <s v="Regular Air"/>
    <n v="-116.66"/>
    <n v="9.3800000000000008"/>
    <n v="7.28"/>
    <x v="443"/>
    <x v="8"/>
    <x v="6"/>
    <x v="0"/>
    <x v="0"/>
    <x v="0"/>
    <x v="761"/>
    <s v="Small Box"/>
    <n v="0.56999999999999995"/>
    <d v="2011-03-24T00:00:00"/>
    <n v="0"/>
    <n v="0"/>
    <n v="0.5"/>
    <n v="0.5"/>
  </r>
  <r>
    <n v="7820"/>
    <n v="55908"/>
    <x v="989"/>
    <x v="43"/>
    <s v="High"/>
    <n v="44"/>
    <n v="1844.97"/>
    <n v="0.03"/>
    <s v="Regular Air"/>
    <n v="807.38100000000009"/>
    <n v="42.8"/>
    <n v="2.99"/>
    <x v="448"/>
    <x v="8"/>
    <x v="6"/>
    <x v="2"/>
    <x v="0"/>
    <x v="2"/>
    <x v="875"/>
    <s v="Small Box"/>
    <n v="0.36"/>
    <d v="2009-05-24T00:00:00"/>
    <n v="0"/>
    <n v="0"/>
    <n v="1"/>
    <n v="0.5"/>
  </r>
  <r>
    <n v="7865"/>
    <n v="56257"/>
    <x v="1117"/>
    <x v="31"/>
    <s v="Medium"/>
    <n v="49"/>
    <n v="266.3"/>
    <n v="0.03"/>
    <s v="Express Air"/>
    <n v="-135.06"/>
    <n v="4.97"/>
    <n v="5.71"/>
    <x v="449"/>
    <x v="8"/>
    <x v="6"/>
    <x v="3"/>
    <x v="2"/>
    <x v="4"/>
    <x v="1112"/>
    <s v="Medium Box"/>
    <n v="0.54"/>
    <d v="2011-09-10T00:00:00"/>
    <n v="0"/>
    <n v="0"/>
    <n v="1"/>
    <n v="1"/>
  </r>
  <r>
    <n v="7972"/>
    <n v="57029"/>
    <x v="174"/>
    <x v="5"/>
    <s v="Critical"/>
    <n v="17"/>
    <n v="74.25"/>
    <n v="0.01"/>
    <s v="Regular Air"/>
    <n v="-56.166000000000004"/>
    <n v="3.98"/>
    <n v="5.26"/>
    <x v="433"/>
    <x v="8"/>
    <x v="6"/>
    <x v="1"/>
    <x v="0"/>
    <x v="2"/>
    <x v="983"/>
    <s v="Small Box"/>
    <n v="0.38"/>
    <d v="2011-03-09T00:00:00"/>
    <n v="0"/>
    <n v="0"/>
    <n v="0.5"/>
    <n v="0.5"/>
  </r>
  <r>
    <n v="7973"/>
    <n v="57029"/>
    <x v="174"/>
    <x v="5"/>
    <s v="Critical"/>
    <n v="4"/>
    <n v="23.23"/>
    <n v="0.09"/>
    <s v="Regular Air"/>
    <n v="-19.059999999999999"/>
    <n v="4.28"/>
    <n v="6.72"/>
    <x v="433"/>
    <x v="8"/>
    <x v="6"/>
    <x v="1"/>
    <x v="0"/>
    <x v="5"/>
    <x v="777"/>
    <s v="Small Box"/>
    <n v="0.4"/>
    <d v="2011-03-09T00:00:00"/>
    <n v="0"/>
    <n v="0"/>
    <n v="0.5"/>
    <n v="0.5"/>
  </r>
  <r>
    <n v="8134"/>
    <n v="58145"/>
    <x v="96"/>
    <x v="20"/>
    <s v="Medium"/>
    <n v="33"/>
    <n v="203.49"/>
    <n v="0"/>
    <s v="Express Air"/>
    <n v="46.21"/>
    <n v="5.84"/>
    <n v="1.2"/>
    <x v="263"/>
    <x v="8"/>
    <x v="6"/>
    <x v="2"/>
    <x v="2"/>
    <x v="4"/>
    <x v="433"/>
    <s v="Medium Box"/>
    <n v="0.74"/>
    <d v="2012-05-16T00:00:00"/>
    <n v="0"/>
    <n v="0"/>
    <n v="1"/>
    <n v="0.33333333333333331"/>
  </r>
  <r>
    <n v="8137"/>
    <n v="58151"/>
    <x v="860"/>
    <x v="35"/>
    <s v="High"/>
    <n v="33"/>
    <n v="211.48"/>
    <n v="0.1"/>
    <s v="Regular Air"/>
    <n v="18.147500000000001"/>
    <n v="6.75"/>
    <n v="2.99"/>
    <x v="296"/>
    <x v="8"/>
    <x v="6"/>
    <x v="3"/>
    <x v="0"/>
    <x v="2"/>
    <x v="239"/>
    <s v="Small Box"/>
    <n v="0.35"/>
    <d v="2009-09-29T00:00:00"/>
    <n v="0"/>
    <n v="0"/>
    <n v="0.5"/>
    <n v="0.5"/>
  </r>
  <r>
    <n v="8138"/>
    <n v="58151"/>
    <x v="860"/>
    <x v="35"/>
    <s v="High"/>
    <n v="38"/>
    <n v="5601.1"/>
    <n v="0.02"/>
    <s v="Express Air"/>
    <n v="1515.7"/>
    <n v="142.86000000000001"/>
    <n v="19.989999999999998"/>
    <x v="296"/>
    <x v="8"/>
    <x v="6"/>
    <x v="3"/>
    <x v="0"/>
    <x v="0"/>
    <x v="690"/>
    <s v="Small Box"/>
    <n v="0.56000000000000005"/>
    <d v="2009-09-29T00:00:00"/>
    <n v="0"/>
    <n v="0"/>
    <n v="0.5"/>
    <n v="0.5"/>
  </r>
  <r>
    <n v="8207"/>
    <n v="58659"/>
    <x v="356"/>
    <x v="0"/>
    <s v="High"/>
    <n v="2"/>
    <n v="21.01"/>
    <n v="0.03"/>
    <s v="Regular Air"/>
    <n v="-13.13"/>
    <n v="6.48"/>
    <n v="8.19"/>
    <x v="448"/>
    <x v="8"/>
    <x v="6"/>
    <x v="0"/>
    <x v="0"/>
    <x v="5"/>
    <x v="77"/>
    <s v="Small Box"/>
    <n v="0.37"/>
    <d v="2010-10-26T00:00:00"/>
    <n v="0"/>
    <n v="0"/>
    <n v="1"/>
    <n v="1"/>
  </r>
  <r>
    <n v="8216"/>
    <n v="58727"/>
    <x v="457"/>
    <x v="36"/>
    <s v="Medium"/>
    <n v="20"/>
    <n v="525.78"/>
    <n v="0.03"/>
    <s v="Regular Air"/>
    <n v="180.64"/>
    <n v="26.48"/>
    <n v="6.93"/>
    <x v="431"/>
    <x v="8"/>
    <x v="6"/>
    <x v="3"/>
    <x v="2"/>
    <x v="4"/>
    <x v="502"/>
    <s v="Small Box"/>
    <n v="0.49"/>
    <d v="2009-07-07T00:00:00"/>
    <n v="0"/>
    <n v="0"/>
    <n v="1"/>
    <n v="1"/>
  </r>
  <r>
    <n v="44"/>
    <n v="258"/>
    <x v="282"/>
    <x v="15"/>
    <s v="Critical"/>
    <n v="33"/>
    <n v="216.77"/>
    <n v="0.02"/>
    <s v="Regular Air"/>
    <n v="-55.108000000000004"/>
    <n v="6.54"/>
    <n v="5.27"/>
    <x v="415"/>
    <x v="8"/>
    <x v="6"/>
    <x v="3"/>
    <x v="0"/>
    <x v="2"/>
    <x v="578"/>
    <s v="Small Box"/>
    <n v="0.36"/>
    <d v="2010-12-30T00:00:00"/>
    <n v="0"/>
    <n v="0"/>
    <n v="0.33333333333333331"/>
    <n v="0.33333333333333331"/>
  </r>
  <r>
    <n v="153"/>
    <n v="964"/>
    <x v="1029"/>
    <x v="10"/>
    <s v="Medium"/>
    <n v="50"/>
    <n v="315.02"/>
    <n v="0.02"/>
    <s v="Regular Air"/>
    <n v="95.157499999999999"/>
    <n v="5.98"/>
    <n v="1.49"/>
    <x v="381"/>
    <x v="8"/>
    <x v="6"/>
    <x v="2"/>
    <x v="0"/>
    <x v="2"/>
    <x v="986"/>
    <s v="Small Box"/>
    <n v="0.39"/>
    <d v="2011-05-21T00:00:00"/>
    <n v="0"/>
    <n v="0"/>
    <n v="0.5"/>
    <n v="0.25"/>
  </r>
  <r>
    <n v="177"/>
    <n v="1154"/>
    <x v="12"/>
    <x v="12"/>
    <s v="Critical"/>
    <n v="23"/>
    <n v="115.1"/>
    <n v="0.02"/>
    <s v="Regular Air"/>
    <n v="53.13"/>
    <n v="4.91"/>
    <n v="0.5"/>
    <x v="330"/>
    <x v="8"/>
    <x v="6"/>
    <x v="3"/>
    <x v="0"/>
    <x v="11"/>
    <x v="383"/>
    <s v="Small Box"/>
    <n v="0.36"/>
    <d v="2012-02-16T00:00:00"/>
    <n v="0"/>
    <n v="0"/>
    <n v="0.25"/>
    <n v="0.5"/>
  </r>
  <r>
    <n v="227"/>
    <n v="1537"/>
    <x v="12"/>
    <x v="12"/>
    <s v="Not Specified"/>
    <n v="5"/>
    <n v="16.600000000000001"/>
    <n v="7.0000000000000007E-2"/>
    <s v="Regular Air"/>
    <n v="-20.297499999999999"/>
    <n v="2.16"/>
    <n v="6.05"/>
    <x v="450"/>
    <x v="8"/>
    <x v="6"/>
    <x v="2"/>
    <x v="0"/>
    <x v="2"/>
    <x v="388"/>
    <s v="Small Box"/>
    <n v="0.37"/>
    <d v="2012-02-14T00:00:00"/>
    <n v="0"/>
    <n v="0"/>
    <n v="1"/>
    <n v="1"/>
  </r>
  <r>
    <n v="650"/>
    <n v="4580"/>
    <x v="1118"/>
    <x v="7"/>
    <s v="Not Specified"/>
    <n v="28"/>
    <n v="7384.54"/>
    <n v="0.09"/>
    <s v="Delivery Truck"/>
    <n v="-2301.5278000000003"/>
    <n v="280.98"/>
    <n v="81.98"/>
    <x v="334"/>
    <x v="8"/>
    <x v="6"/>
    <x v="1"/>
    <x v="2"/>
    <x v="10"/>
    <x v="398"/>
    <s v="Jumbo Box"/>
    <n v="0.78"/>
    <d v="2010-11-15T00:00:00"/>
    <n v="0"/>
    <n v="0"/>
    <n v="1"/>
    <n v="1"/>
  </r>
  <r>
    <n v="663"/>
    <n v="4647"/>
    <x v="1006"/>
    <x v="43"/>
    <s v="Medium"/>
    <n v="34"/>
    <n v="482.93"/>
    <n v="0.06"/>
    <s v="Regular Air"/>
    <n v="-67.59"/>
    <n v="13.9"/>
    <n v="7.59"/>
    <x v="334"/>
    <x v="8"/>
    <x v="6"/>
    <x v="2"/>
    <x v="0"/>
    <x v="15"/>
    <x v="297"/>
    <s v="Small Pack"/>
    <n v="0.56000000000000005"/>
    <d v="2009-05-14T00:00:00"/>
    <n v="0"/>
    <n v="0"/>
    <n v="0.25"/>
    <n v="0.25"/>
  </r>
  <r>
    <n v="1101"/>
    <n v="8097"/>
    <x v="25"/>
    <x v="15"/>
    <s v="Medium"/>
    <n v="48"/>
    <n v="7522.8"/>
    <n v="0.04"/>
    <s v="Express Air"/>
    <n v="3187.37"/>
    <n v="162.93"/>
    <n v="19.989999999999998"/>
    <x v="425"/>
    <x v="8"/>
    <x v="6"/>
    <x v="3"/>
    <x v="0"/>
    <x v="8"/>
    <x v="324"/>
    <s v="Small Box"/>
    <n v="0.39"/>
    <d v="2010-12-11T00:00:00"/>
    <n v="0"/>
    <n v="0"/>
    <n v="1"/>
    <n v="1"/>
  </r>
  <r>
    <n v="1158"/>
    <n v="8422"/>
    <x v="1015"/>
    <x v="46"/>
    <s v="Medium"/>
    <n v="33"/>
    <n v="1003.71"/>
    <n v="0.01"/>
    <s v="Express Air"/>
    <n v="-22.82"/>
    <n v="29.1"/>
    <n v="4"/>
    <x v="419"/>
    <x v="8"/>
    <x v="6"/>
    <x v="3"/>
    <x v="1"/>
    <x v="7"/>
    <x v="1113"/>
    <s v="Small Box"/>
    <n v="0.78"/>
    <d v="2009-04-16T00:00:00"/>
    <n v="0"/>
    <n v="0"/>
    <n v="0.5"/>
    <n v="0.5"/>
  </r>
  <r>
    <n v="1186"/>
    <n v="8677"/>
    <x v="56"/>
    <x v="1"/>
    <s v="High"/>
    <n v="38"/>
    <n v="1610.76"/>
    <n v="0.1"/>
    <s v="Regular Air"/>
    <n v="-8.67"/>
    <n v="43.57"/>
    <n v="16.36"/>
    <x v="451"/>
    <x v="8"/>
    <x v="6"/>
    <x v="2"/>
    <x v="0"/>
    <x v="0"/>
    <x v="975"/>
    <s v="Small Box"/>
    <n v="0.55000000000000004"/>
    <d v="2012-10-09T00:00:00"/>
    <n v="0"/>
    <n v="0"/>
    <n v="1"/>
    <n v="1"/>
  </r>
  <r>
    <n v="1238"/>
    <n v="9024"/>
    <x v="734"/>
    <x v="8"/>
    <s v="Medium"/>
    <n v="2"/>
    <n v="12.12"/>
    <n v="0.03"/>
    <s v="Regular Air"/>
    <n v="-4.55"/>
    <n v="5.43"/>
    <n v="0.95"/>
    <x v="387"/>
    <x v="8"/>
    <x v="6"/>
    <x v="3"/>
    <x v="0"/>
    <x v="5"/>
    <x v="444"/>
    <s v="Wrap Bag"/>
    <n v="0.36"/>
    <d v="2012-06-03T00:00:00"/>
    <n v="0"/>
    <n v="0"/>
    <n v="0.33333333333333331"/>
    <n v="0.33333333333333331"/>
  </r>
  <r>
    <n v="1392"/>
    <n v="10114"/>
    <x v="1119"/>
    <x v="6"/>
    <s v="Critical"/>
    <n v="39"/>
    <n v="147.88"/>
    <n v="0"/>
    <s v="Regular Air"/>
    <n v="-142.91049999999998"/>
    <n v="3.58"/>
    <n v="5.47"/>
    <x v="366"/>
    <x v="8"/>
    <x v="6"/>
    <x v="0"/>
    <x v="0"/>
    <x v="2"/>
    <x v="337"/>
    <s v="Small Box"/>
    <n v="0.37"/>
    <d v="2010-02-10T00:00:00"/>
    <n v="0"/>
    <n v="0"/>
    <n v="1"/>
    <n v="1"/>
  </r>
  <r>
    <n v="1557"/>
    <n v="11236"/>
    <x v="1120"/>
    <x v="0"/>
    <s v="High"/>
    <n v="4"/>
    <n v="1629.75"/>
    <n v="0.03"/>
    <s v="Regular Air"/>
    <n v="-195.7"/>
    <n v="415.88"/>
    <n v="11.37"/>
    <x v="405"/>
    <x v="8"/>
    <x v="6"/>
    <x v="0"/>
    <x v="0"/>
    <x v="0"/>
    <x v="236"/>
    <s v="Small Box"/>
    <n v="0.56999999999999995"/>
    <d v="2010-11-01T00:00:00"/>
    <n v="0"/>
    <n v="0"/>
    <n v="0.25"/>
    <n v="0.25"/>
  </r>
  <r>
    <n v="1616"/>
    <n v="11687"/>
    <x v="1121"/>
    <x v="25"/>
    <s v="High"/>
    <n v="26"/>
    <n v="188.93"/>
    <n v="0.04"/>
    <s v="Regular Air"/>
    <n v="58.32"/>
    <n v="7.28"/>
    <n v="1.77"/>
    <x v="363"/>
    <x v="8"/>
    <x v="6"/>
    <x v="3"/>
    <x v="0"/>
    <x v="5"/>
    <x v="1114"/>
    <s v="Wrap Bag"/>
    <n v="0.37"/>
    <d v="2011-12-25T00:00:00"/>
    <n v="0"/>
    <n v="0"/>
    <n v="1"/>
    <n v="1"/>
  </r>
  <r>
    <n v="1768"/>
    <n v="12643"/>
    <x v="477"/>
    <x v="14"/>
    <s v="Low"/>
    <n v="22"/>
    <n v="345.69"/>
    <n v="0.02"/>
    <s v="Regular Air"/>
    <n v="143.22999999999999"/>
    <n v="15.04"/>
    <n v="1.97"/>
    <x v="255"/>
    <x v="8"/>
    <x v="6"/>
    <x v="0"/>
    <x v="0"/>
    <x v="5"/>
    <x v="536"/>
    <s v="Wrap Bag"/>
    <n v="0.39"/>
    <d v="2010-03-21T00:00:00"/>
    <n v="0"/>
    <n v="0"/>
    <n v="1"/>
    <n v="1"/>
  </r>
  <r>
    <n v="1821"/>
    <n v="13089"/>
    <x v="445"/>
    <x v="25"/>
    <s v="Not Specified"/>
    <n v="34"/>
    <n v="3577.11"/>
    <n v="0.1"/>
    <s v="Delivery Truck"/>
    <n v="-1620.41"/>
    <n v="114.98"/>
    <n v="58.72"/>
    <x v="355"/>
    <x v="8"/>
    <x v="6"/>
    <x v="2"/>
    <x v="2"/>
    <x v="9"/>
    <x v="762"/>
    <s v="Jumbo Box"/>
    <n v="0.76"/>
    <d v="2011-12-17T00:00:00"/>
    <n v="0"/>
    <n v="0"/>
    <n v="1"/>
    <n v="1"/>
  </r>
  <r>
    <n v="1859"/>
    <n v="13378"/>
    <x v="1122"/>
    <x v="35"/>
    <s v="Low"/>
    <n v="16"/>
    <n v="96.04"/>
    <n v="0.05"/>
    <s v="Regular Air"/>
    <n v="-50.75"/>
    <n v="5.74"/>
    <n v="5.3"/>
    <x v="374"/>
    <x v="8"/>
    <x v="6"/>
    <x v="2"/>
    <x v="0"/>
    <x v="15"/>
    <x v="1004"/>
    <s v="Small Pack"/>
    <n v="0.55000000000000004"/>
    <d v="2009-09-26T00:00:00"/>
    <n v="0"/>
    <n v="0"/>
    <n v="1"/>
    <n v="1"/>
  </r>
  <r>
    <n v="1932"/>
    <n v="13824"/>
    <x v="847"/>
    <x v="47"/>
    <s v="Low"/>
    <n v="19"/>
    <n v="55.27"/>
    <n v="0.05"/>
    <s v="Regular Air"/>
    <n v="19.12"/>
    <n v="2.89"/>
    <n v="0.5"/>
    <x v="350"/>
    <x v="8"/>
    <x v="6"/>
    <x v="3"/>
    <x v="0"/>
    <x v="11"/>
    <x v="349"/>
    <s v="Small Box"/>
    <n v="0.38"/>
    <d v="2010-01-03T00:00:00"/>
    <n v="0"/>
    <n v="0"/>
    <n v="1"/>
    <n v="1"/>
  </r>
  <r>
    <n v="2572"/>
    <n v="18562"/>
    <x v="710"/>
    <x v="25"/>
    <s v="Critical"/>
    <n v="41"/>
    <n v="160.11000000000001"/>
    <n v="0.1"/>
    <s v="Regular Air"/>
    <n v="-26.73"/>
    <n v="3.98"/>
    <n v="2.97"/>
    <x v="304"/>
    <x v="8"/>
    <x v="6"/>
    <x v="3"/>
    <x v="0"/>
    <x v="5"/>
    <x v="48"/>
    <s v="Wrap Bag"/>
    <n v="0.35"/>
    <d v="2011-12-22T00:00:00"/>
    <n v="0"/>
    <n v="0"/>
    <n v="1"/>
    <n v="1"/>
  </r>
  <r>
    <n v="2876"/>
    <n v="20737"/>
    <x v="1121"/>
    <x v="25"/>
    <s v="Medium"/>
    <n v="10"/>
    <n v="1410.93"/>
    <n v="0.08"/>
    <s v="Delivery Truck"/>
    <n v="-317.48"/>
    <n v="140.97999999999999"/>
    <n v="36.090000000000003"/>
    <x v="397"/>
    <x v="8"/>
    <x v="6"/>
    <x v="3"/>
    <x v="2"/>
    <x v="9"/>
    <x v="228"/>
    <s v="Jumbo Box"/>
    <n v="0.77"/>
    <d v="2011-12-26T00:00:00"/>
    <n v="0"/>
    <n v="0"/>
    <n v="0.5"/>
    <n v="0.2"/>
  </r>
  <r>
    <n v="2896"/>
    <n v="20900"/>
    <x v="195"/>
    <x v="7"/>
    <s v="Low"/>
    <n v="50"/>
    <n v="1978.3664999999999"/>
    <n v="0"/>
    <s v="Regular Air"/>
    <n v="483.59700000000004"/>
    <n v="45.99"/>
    <n v="4.99"/>
    <x v="452"/>
    <x v="8"/>
    <x v="6"/>
    <x v="2"/>
    <x v="1"/>
    <x v="3"/>
    <x v="968"/>
    <s v="Small Box"/>
    <n v="0.56999999999999995"/>
    <d v="2010-11-26T00:00:00"/>
    <n v="0"/>
    <n v="0"/>
    <n v="1"/>
    <n v="1"/>
  </r>
  <r>
    <n v="3729"/>
    <n v="26658"/>
    <x v="1063"/>
    <x v="25"/>
    <s v="High"/>
    <n v="17"/>
    <n v="72.75"/>
    <n v="0.05"/>
    <s v="Regular Air"/>
    <n v="-57.891000000000005"/>
    <n v="3.98"/>
    <n v="5.26"/>
    <x v="359"/>
    <x v="8"/>
    <x v="6"/>
    <x v="0"/>
    <x v="0"/>
    <x v="2"/>
    <x v="983"/>
    <s v="Small Box"/>
    <n v="0.38"/>
    <d v="2011-12-22T00:00:00"/>
    <n v="0"/>
    <n v="0"/>
    <n v="1"/>
    <n v="1"/>
  </r>
  <r>
    <n v="3826"/>
    <n v="27271"/>
    <x v="105"/>
    <x v="31"/>
    <s v="Not Specified"/>
    <n v="8"/>
    <n v="301.57"/>
    <n v="0"/>
    <s v="Delivery Truck"/>
    <n v="-77.31"/>
    <n v="33.94"/>
    <n v="19.190000000000001"/>
    <x v="451"/>
    <x v="8"/>
    <x v="6"/>
    <x v="2"/>
    <x v="2"/>
    <x v="14"/>
    <x v="205"/>
    <s v="Jumbo Drum"/>
    <n v="0.57999999999999996"/>
    <d v="2011-09-15T00:00:00"/>
    <n v="0"/>
    <n v="0"/>
    <n v="1"/>
    <n v="1"/>
  </r>
  <r>
    <n v="3927"/>
    <n v="28001"/>
    <x v="798"/>
    <x v="41"/>
    <s v="Critical"/>
    <n v="21"/>
    <n v="4201.08"/>
    <n v="0.01"/>
    <s v="Regular Air"/>
    <n v="1162.76"/>
    <n v="194.3"/>
    <n v="11.54"/>
    <x v="356"/>
    <x v="8"/>
    <x v="6"/>
    <x v="3"/>
    <x v="2"/>
    <x v="4"/>
    <x v="104"/>
    <s v="Large Box"/>
    <n v="0.59"/>
    <d v="2009-06-16T00:00:00"/>
    <n v="0"/>
    <n v="0"/>
    <n v="0.5"/>
    <n v="0.5"/>
  </r>
  <r>
    <n v="3950"/>
    <n v="28161"/>
    <x v="1035"/>
    <x v="41"/>
    <s v="Not Specified"/>
    <n v="15"/>
    <n v="5028.3100000000004"/>
    <n v="0.06"/>
    <s v="Delivery Truck"/>
    <n v="664.88"/>
    <n v="350.98"/>
    <n v="30"/>
    <x v="341"/>
    <x v="8"/>
    <x v="6"/>
    <x v="1"/>
    <x v="2"/>
    <x v="14"/>
    <x v="1019"/>
    <s v="Jumbo Drum"/>
    <n v="0.61"/>
    <d v="2009-06-17T00:00:00"/>
    <n v="0"/>
    <n v="0"/>
    <n v="0.33333333333333331"/>
    <n v="0.2"/>
  </r>
  <r>
    <n v="4113"/>
    <n v="29280"/>
    <x v="677"/>
    <x v="33"/>
    <s v="Medium"/>
    <n v="19"/>
    <n v="238.35"/>
    <n v="0"/>
    <s v="Regular Air"/>
    <n v="-64.510000000000005"/>
    <n v="11.66"/>
    <n v="7.95"/>
    <x v="421"/>
    <x v="8"/>
    <x v="6"/>
    <x v="0"/>
    <x v="0"/>
    <x v="12"/>
    <x v="417"/>
    <s v="Small Pack"/>
    <n v="0.57999999999999996"/>
    <d v="2012-03-29T00:00:00"/>
    <n v="0"/>
    <n v="0"/>
    <n v="0.5"/>
    <n v="0.5"/>
  </r>
  <r>
    <n v="4132"/>
    <n v="29350"/>
    <x v="1123"/>
    <x v="26"/>
    <s v="High"/>
    <n v="10"/>
    <n v="150.33000000000001"/>
    <n v="0.1"/>
    <s v="Regular Air"/>
    <n v="-47.88"/>
    <n v="15.14"/>
    <n v="4.53"/>
    <x v="338"/>
    <x v="8"/>
    <x v="6"/>
    <x v="1"/>
    <x v="0"/>
    <x v="0"/>
    <x v="560"/>
    <s v="Small Box"/>
    <n v="0.81"/>
    <d v="2009-08-28T00:00:00"/>
    <n v="0"/>
    <n v="0"/>
    <n v="0.33333333333333331"/>
    <n v="0.33333333333333331"/>
  </r>
  <r>
    <n v="4179"/>
    <n v="29666"/>
    <x v="294"/>
    <x v="25"/>
    <s v="Not Specified"/>
    <n v="29"/>
    <n v="155.86000000000001"/>
    <n v="0.09"/>
    <s v="Regular Air"/>
    <n v="-152.59"/>
    <n v="5.28"/>
    <n v="8.16"/>
    <x v="398"/>
    <x v="8"/>
    <x v="6"/>
    <x v="0"/>
    <x v="0"/>
    <x v="5"/>
    <x v="1115"/>
    <s v="Small Box"/>
    <n v="0.4"/>
    <d v="2011-12-31T00:00:00"/>
    <n v="0"/>
    <n v="0"/>
    <n v="0.5"/>
    <n v="0.5"/>
  </r>
  <r>
    <n v="4182"/>
    <n v="29700"/>
    <x v="904"/>
    <x v="24"/>
    <s v="Medium"/>
    <n v="9"/>
    <n v="30.35"/>
    <n v="0.01"/>
    <s v="Regular Air"/>
    <n v="5.0199999999999996"/>
    <n v="3.08"/>
    <n v="0.99"/>
    <x v="338"/>
    <x v="8"/>
    <x v="6"/>
    <x v="1"/>
    <x v="0"/>
    <x v="11"/>
    <x v="245"/>
    <s v="Small Box"/>
    <n v="0.37"/>
    <d v="2010-04-07T00:00:00"/>
    <n v="0"/>
    <n v="0"/>
    <n v="1"/>
    <n v="1"/>
  </r>
  <r>
    <n v="4315"/>
    <n v="30754"/>
    <x v="273"/>
    <x v="7"/>
    <s v="Low"/>
    <n v="20"/>
    <n v="4108.17"/>
    <n v="0.09"/>
    <s v="Regular Air"/>
    <n v="-505.98447900000014"/>
    <n v="209.37"/>
    <n v="69"/>
    <x v="344"/>
    <x v="8"/>
    <x v="6"/>
    <x v="3"/>
    <x v="2"/>
    <x v="10"/>
    <x v="724"/>
    <s v="Large Box"/>
    <n v="0.79"/>
    <d v="2010-11-29T00:00:00"/>
    <n v="0"/>
    <n v="0"/>
    <n v="1"/>
    <n v="1"/>
  </r>
  <r>
    <n v="4443"/>
    <n v="31650"/>
    <x v="884"/>
    <x v="3"/>
    <s v="Not Specified"/>
    <n v="19"/>
    <n v="1504.97"/>
    <n v="0.02"/>
    <s v="Regular Air"/>
    <n v="-0.30999999999997385"/>
    <n v="77.510000000000005"/>
    <n v="4"/>
    <x v="391"/>
    <x v="8"/>
    <x v="6"/>
    <x v="1"/>
    <x v="1"/>
    <x v="7"/>
    <x v="851"/>
    <s v="Small Box"/>
    <n v="0.76"/>
    <d v="2010-08-12T00:00:00"/>
    <n v="0"/>
    <n v="0"/>
    <n v="1"/>
    <n v="1"/>
  </r>
  <r>
    <n v="4538"/>
    <n v="32292"/>
    <x v="939"/>
    <x v="12"/>
    <s v="Low"/>
    <n v="49"/>
    <n v="5008.7609999999995"/>
    <n v="0.04"/>
    <s v="Regular Air"/>
    <n v="1601.64"/>
    <n v="115.99"/>
    <n v="5.99"/>
    <x v="364"/>
    <x v="8"/>
    <x v="6"/>
    <x v="2"/>
    <x v="1"/>
    <x v="3"/>
    <x v="942"/>
    <s v="Small Box"/>
    <n v="0.56999999999999995"/>
    <d v="2012-02-22T00:00:00"/>
    <n v="0"/>
    <n v="0"/>
    <n v="0.5"/>
    <n v="0.5"/>
  </r>
  <r>
    <n v="4950"/>
    <n v="35201"/>
    <x v="45"/>
    <x v="30"/>
    <s v="Low"/>
    <n v="18"/>
    <n v="211.44"/>
    <n v="0.03"/>
    <s v="Regular Air"/>
    <n v="-75.81"/>
    <n v="10.97"/>
    <n v="6.5"/>
    <x v="361"/>
    <x v="8"/>
    <x v="6"/>
    <x v="3"/>
    <x v="1"/>
    <x v="7"/>
    <x v="217"/>
    <s v="Small Box"/>
    <n v="0.64"/>
    <d v="2010-06-11T00:00:00"/>
    <n v="0"/>
    <n v="0"/>
    <n v="1"/>
    <n v="1"/>
  </r>
  <r>
    <n v="4967"/>
    <n v="35360"/>
    <x v="1092"/>
    <x v="37"/>
    <s v="Critical"/>
    <n v="4"/>
    <n v="41.06"/>
    <n v="0.04"/>
    <s v="Regular Air"/>
    <n v="-16.387499999999999"/>
    <n v="8.8800000000000008"/>
    <n v="6.28"/>
    <x v="360"/>
    <x v="8"/>
    <x v="6"/>
    <x v="2"/>
    <x v="0"/>
    <x v="2"/>
    <x v="886"/>
    <s v="Small Box"/>
    <n v="0.35"/>
    <d v="2011-04-20T00:00:00"/>
    <n v="0"/>
    <n v="0"/>
    <n v="1"/>
    <n v="1"/>
  </r>
  <r>
    <n v="4989"/>
    <n v="35492"/>
    <x v="403"/>
    <x v="12"/>
    <s v="Medium"/>
    <n v="36"/>
    <n v="455.93"/>
    <n v="0.02"/>
    <s v="Express Air"/>
    <n v="83.51"/>
    <n v="12.64"/>
    <n v="4.9800000000000004"/>
    <x v="309"/>
    <x v="8"/>
    <x v="6"/>
    <x v="2"/>
    <x v="2"/>
    <x v="4"/>
    <x v="774"/>
    <s v="Small Pack"/>
    <n v="0.48"/>
    <d v="2012-02-12T00:00:00"/>
    <n v="0"/>
    <n v="0"/>
    <n v="1"/>
    <n v="0.5"/>
  </r>
  <r>
    <n v="5267"/>
    <n v="37473"/>
    <x v="278"/>
    <x v="19"/>
    <s v="Low"/>
    <n v="8"/>
    <n v="43.72"/>
    <n v="0.06"/>
    <s v="Regular Air"/>
    <n v="2.12"/>
    <n v="5.18"/>
    <n v="2.04"/>
    <x v="359"/>
    <x v="8"/>
    <x v="6"/>
    <x v="0"/>
    <x v="0"/>
    <x v="5"/>
    <x v="267"/>
    <s v="Wrap Bag"/>
    <n v="0.36"/>
    <d v="2009-10-01T00:00:00"/>
    <n v="0"/>
    <n v="0"/>
    <n v="0.5"/>
    <n v="0.5"/>
  </r>
  <r>
    <n v="5515"/>
    <n v="39079"/>
    <x v="713"/>
    <x v="31"/>
    <s v="High"/>
    <n v="46"/>
    <n v="75.599999999999994"/>
    <n v="0.09"/>
    <s v="Regular Air"/>
    <n v="-225.25049999999999"/>
    <n v="1.68"/>
    <n v="5.28"/>
    <x v="418"/>
    <x v="8"/>
    <x v="6"/>
    <x v="0"/>
    <x v="0"/>
    <x v="2"/>
    <x v="1116"/>
    <s v="Small Box"/>
    <n v="0.37"/>
    <d v="2011-09-07T00:00:00"/>
    <n v="0"/>
    <n v="0"/>
    <n v="1"/>
    <n v="1"/>
  </r>
  <r>
    <n v="5541"/>
    <n v="39266"/>
    <x v="1072"/>
    <x v="9"/>
    <s v="High"/>
    <n v="14"/>
    <n v="36.409999999999997"/>
    <n v="0.09"/>
    <s v="Regular Air"/>
    <n v="9.94"/>
    <n v="2.61"/>
    <n v="0.5"/>
    <x v="349"/>
    <x v="8"/>
    <x v="6"/>
    <x v="0"/>
    <x v="0"/>
    <x v="11"/>
    <x v="281"/>
    <s v="Small Box"/>
    <n v="0.39"/>
    <d v="2012-08-29T00:00:00"/>
    <n v="0"/>
    <n v="0"/>
    <n v="0.33333333333333331"/>
    <n v="0.25"/>
  </r>
  <r>
    <n v="5706"/>
    <n v="40356"/>
    <x v="354"/>
    <x v="47"/>
    <s v="Not Specified"/>
    <n v="48"/>
    <n v="201.98"/>
    <n v="0.05"/>
    <s v="Express Air"/>
    <n v="-245.67"/>
    <n v="4.0599999999999996"/>
    <n v="6.89"/>
    <x v="11"/>
    <x v="8"/>
    <x v="6"/>
    <x v="2"/>
    <x v="0"/>
    <x v="1"/>
    <x v="283"/>
    <s v="Small Box"/>
    <n v="0.6"/>
    <d v="2009-12-21T00:00:00"/>
    <n v="0"/>
    <n v="0"/>
    <n v="1"/>
    <n v="0.5"/>
  </r>
  <r>
    <n v="6014"/>
    <n v="42599"/>
    <x v="319"/>
    <x v="46"/>
    <s v="Medium"/>
    <n v="31"/>
    <n v="9459.94"/>
    <n v="0.04"/>
    <s v="Delivery Truck"/>
    <n v="2023.75"/>
    <n v="300.98"/>
    <n v="54.92"/>
    <x v="370"/>
    <x v="8"/>
    <x v="6"/>
    <x v="1"/>
    <x v="2"/>
    <x v="9"/>
    <x v="420"/>
    <s v="Jumbo Box"/>
    <n v="0.55000000000000004"/>
    <d v="2009-04-07T00:00:00"/>
    <n v="0"/>
    <n v="0"/>
    <n v="1"/>
    <n v="1"/>
  </r>
  <r>
    <n v="6425"/>
    <n v="45670"/>
    <x v="367"/>
    <x v="9"/>
    <s v="Low"/>
    <n v="2"/>
    <n v="20.16"/>
    <n v="0.06"/>
    <s v="Regular Air"/>
    <n v="-13.32"/>
    <n v="6.48"/>
    <n v="7.86"/>
    <x v="339"/>
    <x v="8"/>
    <x v="6"/>
    <x v="2"/>
    <x v="0"/>
    <x v="5"/>
    <x v="59"/>
    <s v="Small Box"/>
    <n v="0.37"/>
    <d v="2012-08-11T00:00:00"/>
    <n v="0"/>
    <n v="0"/>
    <n v="1"/>
    <n v="1"/>
  </r>
  <r>
    <n v="6542"/>
    <n v="46531"/>
    <x v="1049"/>
    <x v="21"/>
    <s v="Low"/>
    <n v="23"/>
    <n v="84.47"/>
    <n v="0.06"/>
    <s v="Regular Air"/>
    <n v="7.9815000000000005"/>
    <n v="3.8"/>
    <n v="1.49"/>
    <x v="341"/>
    <x v="8"/>
    <x v="6"/>
    <x v="1"/>
    <x v="0"/>
    <x v="2"/>
    <x v="160"/>
    <s v="Small Box"/>
    <n v="0.38"/>
    <d v="2011-08-21T00:00:00"/>
    <n v="0"/>
    <n v="0"/>
    <n v="0.25"/>
    <n v="0.25"/>
  </r>
  <r>
    <n v="6691"/>
    <n v="47617"/>
    <x v="1124"/>
    <x v="47"/>
    <s v="Not Specified"/>
    <n v="17"/>
    <n v="5001.29"/>
    <n v="0.09"/>
    <s v="Regular Air"/>
    <n v="1680.9175"/>
    <n v="304.99"/>
    <n v="19.989999999999998"/>
    <x v="11"/>
    <x v="8"/>
    <x v="6"/>
    <x v="2"/>
    <x v="0"/>
    <x v="2"/>
    <x v="880"/>
    <s v="Small Box"/>
    <n v="0.4"/>
    <d v="2009-12-09T00:00:00"/>
    <n v="0"/>
    <n v="0"/>
    <n v="1"/>
    <n v="0.5"/>
  </r>
  <r>
    <n v="6713"/>
    <n v="47842"/>
    <x v="357"/>
    <x v="39"/>
    <s v="Medium"/>
    <n v="50"/>
    <n v="230.23"/>
    <n v="0.06"/>
    <s v="Express Air"/>
    <n v="-150.93"/>
    <n v="4.28"/>
    <n v="5.74"/>
    <x v="396"/>
    <x v="8"/>
    <x v="6"/>
    <x v="0"/>
    <x v="0"/>
    <x v="5"/>
    <x v="501"/>
    <s v="Small Box"/>
    <n v="0.4"/>
    <d v="2010-05-12T00:00:00"/>
    <n v="0"/>
    <n v="0"/>
    <n v="1"/>
    <n v="1"/>
  </r>
  <r>
    <n v="6819"/>
    <n v="48548"/>
    <x v="179"/>
    <x v="5"/>
    <s v="Critical"/>
    <n v="3"/>
    <n v="13.71"/>
    <n v="0.03"/>
    <s v="Regular Air"/>
    <n v="-10.27"/>
    <n v="3.28"/>
    <n v="3.97"/>
    <x v="352"/>
    <x v="8"/>
    <x v="6"/>
    <x v="2"/>
    <x v="0"/>
    <x v="12"/>
    <x v="431"/>
    <s v="Wrap Bag"/>
    <n v="0.56000000000000005"/>
    <d v="2011-03-27T00:00:00"/>
    <n v="0"/>
    <n v="0"/>
    <n v="1"/>
    <n v="1"/>
  </r>
  <r>
    <n v="6880"/>
    <n v="49056"/>
    <x v="278"/>
    <x v="19"/>
    <s v="High"/>
    <n v="46"/>
    <n v="300.07"/>
    <n v="0.05"/>
    <s v="Regular Air"/>
    <n v="-209.58"/>
    <n v="6.48"/>
    <n v="8.4"/>
    <x v="354"/>
    <x v="8"/>
    <x v="6"/>
    <x v="3"/>
    <x v="0"/>
    <x v="5"/>
    <x v="836"/>
    <s v="Small Box"/>
    <n v="0.37"/>
    <d v="2009-10-03T00:00:00"/>
    <n v="0"/>
    <n v="0"/>
    <n v="0.5"/>
    <n v="0.5"/>
  </r>
  <r>
    <n v="7115"/>
    <n v="50759"/>
    <x v="477"/>
    <x v="14"/>
    <s v="Low"/>
    <n v="46"/>
    <n v="2422.721"/>
    <n v="0.1"/>
    <s v="Regular Air"/>
    <n v="366.18299999999999"/>
    <n v="65.989999999999995"/>
    <n v="8.99"/>
    <x v="404"/>
    <x v="8"/>
    <x v="6"/>
    <x v="2"/>
    <x v="1"/>
    <x v="3"/>
    <x v="403"/>
    <s v="Small Box"/>
    <n v="0.56000000000000005"/>
    <d v="2010-03-24T00:00:00"/>
    <n v="0"/>
    <n v="0"/>
    <n v="1"/>
    <n v="1"/>
  </r>
  <r>
    <n v="7229"/>
    <n v="51556"/>
    <x v="809"/>
    <x v="1"/>
    <s v="High"/>
    <n v="10"/>
    <n v="45.69"/>
    <n v="0.01"/>
    <s v="Express Air"/>
    <n v="-24.21"/>
    <n v="3.57"/>
    <n v="4.17"/>
    <x v="81"/>
    <x v="8"/>
    <x v="6"/>
    <x v="2"/>
    <x v="0"/>
    <x v="12"/>
    <x v="574"/>
    <s v="Small Pack"/>
    <n v="0.59"/>
    <d v="2012-10-29T00:00:00"/>
    <n v="0"/>
    <n v="0"/>
    <n v="1"/>
    <n v="1"/>
  </r>
  <r>
    <n v="7240"/>
    <n v="51620"/>
    <x v="919"/>
    <x v="33"/>
    <s v="Medium"/>
    <n v="12"/>
    <n v="173.97"/>
    <n v="0.03"/>
    <s v="Regular Air"/>
    <n v="-2.5499999999999998"/>
    <n v="13.48"/>
    <n v="4.51"/>
    <x v="364"/>
    <x v="8"/>
    <x v="6"/>
    <x v="2"/>
    <x v="0"/>
    <x v="0"/>
    <x v="27"/>
    <s v="Small Box"/>
    <n v="0.59"/>
    <d v="2012-03-09T00:00:00"/>
    <n v="0"/>
    <n v="0"/>
    <n v="1"/>
    <n v="1"/>
  </r>
  <r>
    <n v="7406"/>
    <n v="52837"/>
    <x v="1125"/>
    <x v="23"/>
    <s v="Critical"/>
    <n v="32"/>
    <n v="5934.39"/>
    <n v="0.08"/>
    <s v="Regular Air"/>
    <n v="519.54999999999995"/>
    <n v="193.17"/>
    <n v="19.989999999999998"/>
    <x v="423"/>
    <x v="8"/>
    <x v="6"/>
    <x v="2"/>
    <x v="0"/>
    <x v="0"/>
    <x v="219"/>
    <s v="Small Box"/>
    <n v="0.71"/>
    <d v="2012-01-20T00:00:00"/>
    <n v="0"/>
    <n v="0"/>
    <n v="1"/>
    <n v="1"/>
  </r>
  <r>
    <n v="7629"/>
    <n v="54592"/>
    <x v="1126"/>
    <x v="4"/>
    <s v="Low"/>
    <n v="28"/>
    <n v="1971.56"/>
    <n v="0.05"/>
    <s v="Delivery Truck"/>
    <n v="-15.29"/>
    <n v="70.98"/>
    <n v="26.85"/>
    <x v="389"/>
    <x v="8"/>
    <x v="6"/>
    <x v="0"/>
    <x v="2"/>
    <x v="9"/>
    <x v="1117"/>
    <s v="Jumbo Box"/>
    <m/>
    <d v="2011-06-16T00:00:00"/>
    <n v="0"/>
    <n v="0"/>
    <n v="0.5"/>
    <n v="0.5"/>
  </r>
  <r>
    <n v="7700"/>
    <n v="55202"/>
    <x v="1127"/>
    <x v="21"/>
    <s v="Low"/>
    <n v="33"/>
    <n v="3093.76"/>
    <n v="7.0000000000000007E-2"/>
    <s v="Express Air"/>
    <n v="-850.71"/>
    <n v="95.99"/>
    <n v="35"/>
    <x v="409"/>
    <x v="8"/>
    <x v="6"/>
    <x v="0"/>
    <x v="0"/>
    <x v="0"/>
    <x v="1029"/>
    <s v="Large Box"/>
    <m/>
    <d v="2011-08-26T00:00:00"/>
    <n v="0"/>
    <n v="0"/>
    <n v="0.5"/>
    <n v="0.25"/>
  </r>
  <r>
    <n v="7707"/>
    <n v="55239"/>
    <x v="350"/>
    <x v="45"/>
    <s v="Critical"/>
    <n v="6"/>
    <n v="1008.872"/>
    <n v="0.02"/>
    <s v="Express Air"/>
    <n v="-505.98447900000014"/>
    <n v="209.37"/>
    <n v="69"/>
    <x v="410"/>
    <x v="8"/>
    <x v="6"/>
    <x v="1"/>
    <x v="2"/>
    <x v="10"/>
    <x v="724"/>
    <s v="Large Box"/>
    <n v="0.79"/>
    <d v="2012-12-03T00:00:00"/>
    <n v="0"/>
    <n v="0"/>
    <n v="0.5"/>
    <n v="0.5"/>
  </r>
  <r>
    <n v="8111"/>
    <n v="57894"/>
    <x v="882"/>
    <x v="13"/>
    <s v="Low"/>
    <n v="47"/>
    <n v="13382.01"/>
    <n v="0.09"/>
    <s v="Delivery Truck"/>
    <n v="2852.94"/>
    <n v="306.14"/>
    <n v="26.53"/>
    <x v="376"/>
    <x v="8"/>
    <x v="6"/>
    <x v="3"/>
    <x v="1"/>
    <x v="16"/>
    <x v="831"/>
    <s v="Jumbo Drum"/>
    <n v="0.56000000000000005"/>
    <d v="2012-04-05T00:00:00"/>
    <n v="0"/>
    <n v="0"/>
    <n v="1"/>
    <n v="1"/>
  </r>
  <r>
    <n v="8196"/>
    <n v="58599"/>
    <x v="169"/>
    <x v="38"/>
    <s v="Critical"/>
    <n v="19"/>
    <n v="2328.62"/>
    <n v="0"/>
    <s v="Delivery Truck"/>
    <n v="45.54"/>
    <n v="120.98"/>
    <n v="30"/>
    <x v="427"/>
    <x v="8"/>
    <x v="6"/>
    <x v="0"/>
    <x v="2"/>
    <x v="14"/>
    <x v="36"/>
    <s v="Jumbo Drum"/>
    <n v="0.64"/>
    <d v="2010-01-15T00:00:00"/>
    <n v="1"/>
    <n v="0"/>
    <n v="0.5"/>
    <n v="0.5"/>
  </r>
  <r>
    <n v="22"/>
    <n v="132"/>
    <x v="1060"/>
    <x v="30"/>
    <s v="Medium"/>
    <n v="27"/>
    <n v="192.81399999999999"/>
    <n v="0.03"/>
    <s v="Regular Air"/>
    <n v="-86.195999999999998"/>
    <n v="7.99"/>
    <n v="5.03"/>
    <x v="414"/>
    <x v="8"/>
    <x v="6"/>
    <x v="1"/>
    <x v="1"/>
    <x v="3"/>
    <x v="51"/>
    <s v="Medium Box"/>
    <n v="0.6"/>
    <d v="2010-06-11T00:00:00"/>
    <n v="0"/>
    <n v="0"/>
    <n v="0.5"/>
    <n v="0.5"/>
  </r>
  <r>
    <n v="182"/>
    <n v="1191"/>
    <x v="758"/>
    <x v="27"/>
    <s v="Medium"/>
    <n v="35"/>
    <n v="3532.96"/>
    <n v="0.08"/>
    <s v="Delivery Truck"/>
    <n v="-243.60336000000004"/>
    <n v="100.8"/>
    <n v="60"/>
    <x v="336"/>
    <x v="8"/>
    <x v="6"/>
    <x v="3"/>
    <x v="2"/>
    <x v="10"/>
    <x v="351"/>
    <s v="Jumbo Drum"/>
    <n v="0.59"/>
    <d v="2011-11-07T00:00:00"/>
    <n v="0"/>
    <n v="0"/>
    <n v="1"/>
    <n v="0.25"/>
  </r>
  <r>
    <n v="220"/>
    <n v="1444"/>
    <x v="738"/>
    <x v="47"/>
    <s v="Medium"/>
    <n v="24"/>
    <n v="416.4"/>
    <n v="0.02"/>
    <s v="Regular Air"/>
    <n v="24.33"/>
    <n v="17.149999999999999"/>
    <n v="4.96"/>
    <x v="304"/>
    <x v="8"/>
    <x v="6"/>
    <x v="3"/>
    <x v="0"/>
    <x v="0"/>
    <x v="1118"/>
    <s v="Small Box"/>
    <n v="0.57999999999999996"/>
    <d v="2009-12-07T00:00:00"/>
    <n v="0"/>
    <n v="0"/>
    <n v="0.2"/>
    <n v="0.2"/>
  </r>
  <r>
    <n v="284"/>
    <n v="1985"/>
    <x v="161"/>
    <x v="35"/>
    <s v="Not Specified"/>
    <n v="1"/>
    <n v="11.35"/>
    <n v="0.09"/>
    <s v="Regular Air"/>
    <n v="-7.96"/>
    <n v="5.78"/>
    <n v="5.67"/>
    <x v="387"/>
    <x v="8"/>
    <x v="6"/>
    <x v="3"/>
    <x v="0"/>
    <x v="5"/>
    <x v="443"/>
    <s v="Small Box"/>
    <n v="0.36"/>
    <d v="2009-09-03T00:00:00"/>
    <n v="0"/>
    <n v="0"/>
    <n v="0.5"/>
    <n v="0.5"/>
  </r>
  <r>
    <n v="285"/>
    <n v="1988"/>
    <x v="827"/>
    <x v="17"/>
    <s v="Not Specified"/>
    <n v="9"/>
    <n v="122.14"/>
    <n v="0.04"/>
    <s v="Regular Air"/>
    <n v="-16.989999999999998"/>
    <n v="13.48"/>
    <n v="4.51"/>
    <x v="374"/>
    <x v="8"/>
    <x v="6"/>
    <x v="2"/>
    <x v="0"/>
    <x v="0"/>
    <x v="27"/>
    <s v="Small Box"/>
    <n v="0.59"/>
    <d v="2011-10-07T00:00:00"/>
    <n v="0"/>
    <n v="0"/>
    <n v="1"/>
    <n v="1"/>
  </r>
  <r>
    <n v="337"/>
    <n v="2305"/>
    <x v="89"/>
    <x v="38"/>
    <s v="High"/>
    <n v="11"/>
    <n v="1382.8"/>
    <n v="0.01"/>
    <s v="Regular Air"/>
    <n v="141.31"/>
    <n v="120.33"/>
    <n v="19.989999999999998"/>
    <x v="453"/>
    <x v="8"/>
    <x v="6"/>
    <x v="3"/>
    <x v="0"/>
    <x v="0"/>
    <x v="870"/>
    <s v="Small Box"/>
    <n v="0.59"/>
    <d v="2010-01-25T00:00:00"/>
    <n v="1"/>
    <n v="0"/>
    <n v="0.33333333333333331"/>
    <n v="0.33333333333333331"/>
  </r>
  <r>
    <n v="495"/>
    <n v="3397"/>
    <x v="109"/>
    <x v="41"/>
    <s v="Medium"/>
    <n v="11"/>
    <n v="30.61"/>
    <n v="0.09"/>
    <s v="Regular Air"/>
    <n v="-3.3809999999999998"/>
    <n v="2.88"/>
    <n v="1.49"/>
    <x v="370"/>
    <x v="8"/>
    <x v="6"/>
    <x v="1"/>
    <x v="0"/>
    <x v="2"/>
    <x v="612"/>
    <s v="Small Box"/>
    <n v="0.36"/>
    <d v="2009-06-23T00:00:00"/>
    <n v="0"/>
    <n v="0"/>
    <n v="0.5"/>
    <n v="0.5"/>
  </r>
  <r>
    <n v="547"/>
    <n v="3680"/>
    <x v="530"/>
    <x v="45"/>
    <s v="Not Specified"/>
    <n v="24"/>
    <n v="99.53"/>
    <n v="0.1"/>
    <s v="Express Air"/>
    <n v="18.2835"/>
    <n v="3.8"/>
    <n v="1.49"/>
    <x v="383"/>
    <x v="8"/>
    <x v="6"/>
    <x v="2"/>
    <x v="0"/>
    <x v="2"/>
    <x v="160"/>
    <s v="Small Box"/>
    <n v="0.38"/>
    <d v="2012-12-11T00:00:00"/>
    <n v="0"/>
    <n v="0"/>
    <n v="0.5"/>
    <n v="0.25"/>
  </r>
  <r>
    <n v="572"/>
    <n v="3877"/>
    <x v="304"/>
    <x v="39"/>
    <s v="Low"/>
    <n v="14"/>
    <n v="700.46"/>
    <n v="0.02"/>
    <s v="Express Air"/>
    <n v="254.31"/>
    <n v="48.04"/>
    <n v="7.23"/>
    <x v="374"/>
    <x v="8"/>
    <x v="6"/>
    <x v="2"/>
    <x v="0"/>
    <x v="5"/>
    <x v="399"/>
    <s v="Small Box"/>
    <n v="0.37"/>
    <d v="2010-05-20T00:00:00"/>
    <n v="0"/>
    <n v="0"/>
    <n v="1"/>
    <n v="1"/>
  </r>
  <r>
    <n v="589"/>
    <n v="4033"/>
    <x v="306"/>
    <x v="30"/>
    <s v="Low"/>
    <n v="21"/>
    <n v="763.12"/>
    <n v="0.03"/>
    <s v="Regular Air"/>
    <n v="140.33000000000001"/>
    <n v="34.76"/>
    <n v="5.49"/>
    <x v="417"/>
    <x v="8"/>
    <x v="6"/>
    <x v="1"/>
    <x v="0"/>
    <x v="0"/>
    <x v="209"/>
    <s v="Small Box"/>
    <n v="0.6"/>
    <d v="2010-06-03T00:00:00"/>
    <n v="0"/>
    <n v="0"/>
    <n v="0.5"/>
    <n v="0.5"/>
  </r>
  <r>
    <n v="604"/>
    <n v="4103"/>
    <x v="770"/>
    <x v="29"/>
    <s v="Low"/>
    <n v="3"/>
    <n v="42.5"/>
    <n v="7.0000000000000007E-2"/>
    <s v="Regular Air"/>
    <n v="-28.43"/>
    <n v="11.66"/>
    <n v="8.99"/>
    <x v="416"/>
    <x v="8"/>
    <x v="6"/>
    <x v="3"/>
    <x v="0"/>
    <x v="12"/>
    <x v="372"/>
    <s v="Small Pack"/>
    <n v="0.59"/>
    <d v="2012-07-06T00:00:00"/>
    <n v="0"/>
    <n v="0"/>
    <n v="1"/>
    <n v="1"/>
  </r>
  <r>
    <n v="637"/>
    <n v="4455"/>
    <x v="252"/>
    <x v="0"/>
    <s v="Medium"/>
    <n v="39"/>
    <n v="279.29000000000002"/>
    <n v="7.0000000000000007E-2"/>
    <s v="Regular Air"/>
    <n v="14.15"/>
    <n v="7.59"/>
    <n v="4"/>
    <x v="366"/>
    <x v="8"/>
    <x v="6"/>
    <x v="0"/>
    <x v="2"/>
    <x v="4"/>
    <x v="378"/>
    <s v="Wrap Bag"/>
    <n v="0.42"/>
    <d v="2010-10-12T00:00:00"/>
    <n v="0"/>
    <n v="0"/>
    <n v="1"/>
    <n v="1"/>
  </r>
  <r>
    <n v="701"/>
    <n v="4896"/>
    <x v="1032"/>
    <x v="9"/>
    <s v="Critical"/>
    <n v="21"/>
    <n v="121.3"/>
    <n v="0.05"/>
    <s v="Regular Air"/>
    <n v="-64.871499999999997"/>
    <n v="5.8"/>
    <n v="5.59"/>
    <x v="385"/>
    <x v="8"/>
    <x v="6"/>
    <x v="0"/>
    <x v="0"/>
    <x v="2"/>
    <x v="770"/>
    <s v="Small Box"/>
    <n v="0.4"/>
    <d v="2012-08-23T00:00:00"/>
    <n v="0"/>
    <n v="0"/>
    <n v="0.33333333333333331"/>
    <n v="0.33333333333333331"/>
  </r>
  <r>
    <n v="706"/>
    <n v="4960"/>
    <x v="1007"/>
    <x v="44"/>
    <s v="Low"/>
    <n v="4"/>
    <n v="40.869999999999997"/>
    <n v="0.04"/>
    <s v="Express Air"/>
    <n v="-16.38"/>
    <n v="6.48"/>
    <n v="8.74"/>
    <x v="233"/>
    <x v="8"/>
    <x v="6"/>
    <x v="2"/>
    <x v="0"/>
    <x v="5"/>
    <x v="911"/>
    <s v="Small Box"/>
    <n v="0.36"/>
    <d v="2011-02-27T00:00:00"/>
    <n v="0"/>
    <n v="0"/>
    <n v="0.5"/>
    <n v="0.5"/>
  </r>
  <r>
    <n v="723"/>
    <n v="5189"/>
    <x v="273"/>
    <x v="7"/>
    <s v="Low"/>
    <n v="14"/>
    <n v="2066.63"/>
    <n v="0.03"/>
    <s v="Regular Air"/>
    <n v="65.58"/>
    <n v="140.85"/>
    <n v="19.989999999999998"/>
    <x v="383"/>
    <x v="8"/>
    <x v="6"/>
    <x v="2"/>
    <x v="0"/>
    <x v="0"/>
    <x v="405"/>
    <s v="Small Box"/>
    <n v="0.73"/>
    <d v="2010-11-27T00:00:00"/>
    <n v="0"/>
    <n v="0"/>
    <n v="0.33333333333333331"/>
    <n v="0.33333333333333331"/>
  </r>
  <r>
    <n v="848"/>
    <n v="6086"/>
    <x v="230"/>
    <x v="31"/>
    <s v="Critical"/>
    <n v="48"/>
    <n v="1734.72"/>
    <n v="0.04"/>
    <s v="Regular Air"/>
    <n v="57.89"/>
    <n v="35.44"/>
    <n v="19.989999999999998"/>
    <x v="407"/>
    <x v="8"/>
    <x v="6"/>
    <x v="2"/>
    <x v="0"/>
    <x v="5"/>
    <x v="1063"/>
    <s v="Small Box"/>
    <n v="0.38"/>
    <d v="2011-09-24T00:00:00"/>
    <n v="0"/>
    <n v="0"/>
    <n v="1"/>
    <n v="1"/>
  </r>
  <r>
    <n v="955"/>
    <n v="6912"/>
    <x v="924"/>
    <x v="25"/>
    <s v="Not Specified"/>
    <n v="14"/>
    <n v="294.52"/>
    <n v="0.09"/>
    <s v="Regular Air"/>
    <n v="15.34"/>
    <n v="21.78"/>
    <n v="5.94"/>
    <x v="394"/>
    <x v="8"/>
    <x v="6"/>
    <x v="0"/>
    <x v="0"/>
    <x v="1"/>
    <x v="4"/>
    <s v="Medium Box"/>
    <n v="0.5"/>
    <d v="2011-12-12T00:00:00"/>
    <n v="0"/>
    <n v="0"/>
    <n v="1"/>
    <n v="1"/>
  </r>
  <r>
    <n v="960"/>
    <n v="6950"/>
    <x v="909"/>
    <x v="33"/>
    <s v="Low"/>
    <n v="4"/>
    <n v="187.39949999999999"/>
    <n v="0.08"/>
    <s v="Regular Air"/>
    <n v="-225.30199999999999"/>
    <n v="55.99"/>
    <n v="3.3"/>
    <x v="356"/>
    <x v="8"/>
    <x v="6"/>
    <x v="3"/>
    <x v="1"/>
    <x v="3"/>
    <x v="177"/>
    <s v="Small Pack"/>
    <n v="0.59"/>
    <d v="2012-03-28T00:00:00"/>
    <n v="0"/>
    <n v="0"/>
    <n v="1"/>
    <n v="1"/>
  </r>
  <r>
    <n v="972"/>
    <n v="7075"/>
    <x v="21"/>
    <x v="17"/>
    <s v="Low"/>
    <n v="15"/>
    <n v="241.89"/>
    <n v="0.02"/>
    <s v="Regular Air"/>
    <n v="-83.3"/>
    <n v="15.42"/>
    <n v="10.68"/>
    <x v="386"/>
    <x v="8"/>
    <x v="6"/>
    <x v="2"/>
    <x v="0"/>
    <x v="0"/>
    <x v="1119"/>
    <s v="Small Box"/>
    <n v="0.57999999999999996"/>
    <d v="2011-10-12T00:00:00"/>
    <n v="0"/>
    <n v="0"/>
    <n v="0.5"/>
    <n v="0.5"/>
  </r>
  <r>
    <n v="973"/>
    <n v="7075"/>
    <x v="21"/>
    <x v="17"/>
    <s v="Low"/>
    <n v="43"/>
    <n v="83.34"/>
    <n v="0.01"/>
    <s v="Regular Air"/>
    <n v="-93.18"/>
    <n v="1.86"/>
    <n v="2.58"/>
    <x v="386"/>
    <x v="8"/>
    <x v="6"/>
    <x v="2"/>
    <x v="0"/>
    <x v="6"/>
    <x v="613"/>
    <s v="Wrap Bag"/>
    <n v="0.82"/>
    <d v="2011-10-14T00:00:00"/>
    <n v="0"/>
    <n v="0"/>
    <n v="0.5"/>
    <n v="0.5"/>
  </r>
  <r>
    <n v="1003"/>
    <n v="7297"/>
    <x v="940"/>
    <x v="35"/>
    <s v="High"/>
    <n v="7"/>
    <n v="296.83999999999997"/>
    <n v="0.08"/>
    <s v="Regular Air"/>
    <n v="-71.83"/>
    <n v="45.19"/>
    <n v="1.99"/>
    <x v="418"/>
    <x v="8"/>
    <x v="6"/>
    <x v="0"/>
    <x v="1"/>
    <x v="7"/>
    <x v="256"/>
    <s v="Small Pack"/>
    <n v="0.55000000000000004"/>
    <d v="2009-09-15T00:00:00"/>
    <n v="0"/>
    <n v="0"/>
    <n v="0.33333333333333331"/>
    <n v="0.33333333333333331"/>
  </r>
  <r>
    <n v="1080"/>
    <n v="7938"/>
    <x v="525"/>
    <x v="14"/>
    <s v="Medium"/>
    <n v="23"/>
    <n v="139.19"/>
    <n v="0.04"/>
    <s v="Regular Air"/>
    <n v="-86.73"/>
    <n v="5.98"/>
    <n v="7.15"/>
    <x v="334"/>
    <x v="8"/>
    <x v="6"/>
    <x v="2"/>
    <x v="0"/>
    <x v="5"/>
    <x v="1034"/>
    <s v="Small Box"/>
    <n v="0.36"/>
    <d v="2010-03-15T00:00:00"/>
    <n v="0"/>
    <n v="0"/>
    <n v="0.33333333333333331"/>
    <n v="0.25"/>
  </r>
  <r>
    <n v="1099"/>
    <n v="8065"/>
    <x v="19"/>
    <x v="1"/>
    <s v="Medium"/>
    <n v="17"/>
    <n v="1125.76"/>
    <n v="0"/>
    <s v="Regular Air"/>
    <n v="379.28"/>
    <n v="60.65"/>
    <n v="12.23"/>
    <x v="418"/>
    <x v="8"/>
    <x v="6"/>
    <x v="0"/>
    <x v="2"/>
    <x v="4"/>
    <x v="915"/>
    <s v="Medium Box"/>
    <n v="0.64"/>
    <d v="2012-10-23T00:00:00"/>
    <n v="0"/>
    <n v="0"/>
    <n v="1"/>
    <n v="1"/>
  </r>
  <r>
    <n v="1135"/>
    <n v="8292"/>
    <x v="423"/>
    <x v="6"/>
    <s v="Not Specified"/>
    <n v="18"/>
    <n v="299.87"/>
    <n v="0.02"/>
    <s v="Regular Air"/>
    <n v="130.04"/>
    <n v="15.74"/>
    <n v="1.39"/>
    <x v="452"/>
    <x v="8"/>
    <x v="6"/>
    <x v="2"/>
    <x v="0"/>
    <x v="8"/>
    <x v="15"/>
    <s v="Small Box"/>
    <n v="0.4"/>
    <d v="2010-02-02T00:00:00"/>
    <n v="0"/>
    <n v="0"/>
    <n v="1"/>
    <n v="1"/>
  </r>
  <r>
    <n v="1166"/>
    <n v="8513"/>
    <x v="979"/>
    <x v="2"/>
    <s v="Low"/>
    <n v="8"/>
    <n v="84.64"/>
    <n v="0"/>
    <s v="Express Air"/>
    <n v="-9.2899999999999991"/>
    <n v="8.6199999999999992"/>
    <n v="4.5"/>
    <x v="357"/>
    <x v="8"/>
    <x v="6"/>
    <x v="0"/>
    <x v="0"/>
    <x v="1"/>
    <x v="1107"/>
    <s v="Small Box"/>
    <n v="0.59"/>
    <d v="2011-07-22T00:00:00"/>
    <n v="0"/>
    <n v="0"/>
    <n v="0.5"/>
    <n v="0.33333333333333331"/>
  </r>
  <r>
    <n v="1240"/>
    <n v="9024"/>
    <x v="734"/>
    <x v="8"/>
    <s v="Medium"/>
    <n v="30"/>
    <n v="1136.44"/>
    <n v="0.09"/>
    <s v="Regular Air"/>
    <n v="-9.2999999999999687"/>
    <n v="40.98"/>
    <n v="6.5"/>
    <x v="387"/>
    <x v="8"/>
    <x v="6"/>
    <x v="3"/>
    <x v="1"/>
    <x v="7"/>
    <x v="1120"/>
    <s v="Small Box"/>
    <n v="0.64"/>
    <d v="2012-06-04T00:00:00"/>
    <n v="0"/>
    <n v="0"/>
    <n v="0.33333333333333331"/>
    <n v="0.33333333333333331"/>
  </r>
  <r>
    <n v="1314"/>
    <n v="9635"/>
    <x v="1128"/>
    <x v="46"/>
    <s v="Critical"/>
    <n v="1"/>
    <n v="3.42"/>
    <n v="0.05"/>
    <s v="Regular Air"/>
    <n v="-2.9094999999999995"/>
    <n v="1.88"/>
    <n v="1.49"/>
    <x v="290"/>
    <x v="8"/>
    <x v="6"/>
    <x v="2"/>
    <x v="0"/>
    <x v="2"/>
    <x v="74"/>
    <s v="Small Box"/>
    <n v="0.37"/>
    <d v="2009-04-15T00:00:00"/>
    <n v="0"/>
    <n v="0"/>
    <n v="1"/>
    <n v="1"/>
  </r>
  <r>
    <n v="1444"/>
    <n v="10436"/>
    <x v="504"/>
    <x v="16"/>
    <s v="Low"/>
    <n v="24"/>
    <n v="138.75"/>
    <n v="0.09"/>
    <s v="Regular Air"/>
    <n v="49.81"/>
    <n v="5.84"/>
    <n v="1"/>
    <x v="336"/>
    <x v="8"/>
    <x v="6"/>
    <x v="2"/>
    <x v="0"/>
    <x v="12"/>
    <x v="867"/>
    <s v="Wrap Bag"/>
    <n v="0.38"/>
    <d v="2011-01-09T00:00:00"/>
    <n v="0"/>
    <n v="0"/>
    <n v="1"/>
    <n v="0.5"/>
  </r>
  <r>
    <n v="1491"/>
    <n v="10752"/>
    <x v="85"/>
    <x v="31"/>
    <s v="Critical"/>
    <n v="5"/>
    <n v="95.38"/>
    <n v="0.03"/>
    <s v="Regular Air"/>
    <n v="-36.891999999999996"/>
    <n v="15.99"/>
    <n v="13.18"/>
    <x v="427"/>
    <x v="8"/>
    <x v="6"/>
    <x v="0"/>
    <x v="0"/>
    <x v="2"/>
    <x v="22"/>
    <s v="Small Box"/>
    <n v="0.37"/>
    <d v="2011-09-11T00:00:00"/>
    <n v="0"/>
    <n v="0"/>
    <n v="1"/>
    <n v="1"/>
  </r>
  <r>
    <n v="1527"/>
    <n v="11011"/>
    <x v="212"/>
    <x v="20"/>
    <s v="High"/>
    <n v="36"/>
    <n v="251.05"/>
    <n v="0.1"/>
    <s v="Regular Air"/>
    <n v="118.79"/>
    <n v="7.31"/>
    <n v="0.49"/>
    <x v="357"/>
    <x v="8"/>
    <x v="6"/>
    <x v="0"/>
    <x v="0"/>
    <x v="11"/>
    <x v="31"/>
    <s v="Small Box"/>
    <n v="0.38"/>
    <d v="2012-05-14T00:00:00"/>
    <n v="0"/>
    <n v="0"/>
    <n v="0.33333333333333331"/>
    <n v="0.33333333333333331"/>
  </r>
  <r>
    <n v="1558"/>
    <n v="11236"/>
    <x v="1120"/>
    <x v="0"/>
    <s v="High"/>
    <n v="49"/>
    <n v="261.02"/>
    <n v="0.01"/>
    <s v="Regular Air"/>
    <n v="-94.046999999999997"/>
    <n v="4.9800000000000004"/>
    <n v="4.95"/>
    <x v="405"/>
    <x v="8"/>
    <x v="6"/>
    <x v="0"/>
    <x v="0"/>
    <x v="2"/>
    <x v="538"/>
    <s v="Small Box"/>
    <n v="0.37"/>
    <d v="2010-10-31T00:00:00"/>
    <n v="0"/>
    <n v="0"/>
    <n v="0.25"/>
    <n v="0.25"/>
  </r>
  <r>
    <n v="1604"/>
    <n v="11650"/>
    <x v="579"/>
    <x v="34"/>
    <s v="Not Specified"/>
    <n v="30"/>
    <n v="243.49"/>
    <n v="0.08"/>
    <s v="Regular Air"/>
    <n v="-45.89"/>
    <n v="8.32"/>
    <n v="2.38"/>
    <x v="441"/>
    <x v="8"/>
    <x v="6"/>
    <x v="3"/>
    <x v="1"/>
    <x v="7"/>
    <x v="1090"/>
    <s v="Small Pack"/>
    <n v="0.74"/>
    <d v="2012-09-25T00:00:00"/>
    <n v="0"/>
    <n v="0"/>
    <n v="0.5"/>
    <n v="0.5"/>
  </r>
  <r>
    <n v="1628"/>
    <n v="11779"/>
    <x v="1129"/>
    <x v="30"/>
    <s v="Not Specified"/>
    <n v="45"/>
    <n v="311.10000000000002"/>
    <n v="0.04"/>
    <s v="Regular Air"/>
    <n v="86.6"/>
    <n v="6.88"/>
    <n v="2"/>
    <x v="370"/>
    <x v="8"/>
    <x v="6"/>
    <x v="1"/>
    <x v="0"/>
    <x v="5"/>
    <x v="810"/>
    <s v="Wrap Bag"/>
    <n v="0.39"/>
    <d v="2010-07-01T00:00:00"/>
    <n v="0"/>
    <n v="0"/>
    <n v="0.5"/>
    <n v="0.5"/>
  </r>
  <r>
    <n v="1629"/>
    <n v="11779"/>
    <x v="1129"/>
    <x v="30"/>
    <s v="Not Specified"/>
    <n v="43"/>
    <n v="452.93"/>
    <n v="0.09"/>
    <s v="Regular Air"/>
    <n v="-172.34"/>
    <n v="10.97"/>
    <n v="6.5"/>
    <x v="370"/>
    <x v="8"/>
    <x v="6"/>
    <x v="1"/>
    <x v="1"/>
    <x v="7"/>
    <x v="217"/>
    <s v="Small Box"/>
    <n v="0.64"/>
    <d v="2010-06-30T00:00:00"/>
    <n v="0"/>
    <n v="0"/>
    <n v="0.5"/>
    <n v="0.5"/>
  </r>
  <r>
    <n v="1748"/>
    <n v="12515"/>
    <x v="1130"/>
    <x v="39"/>
    <s v="Medium"/>
    <n v="16"/>
    <n v="1702.499"/>
    <n v="0.08"/>
    <s v="Regular Air"/>
    <n v="133.452"/>
    <n v="125.99"/>
    <n v="5.99"/>
    <x v="385"/>
    <x v="8"/>
    <x v="6"/>
    <x v="0"/>
    <x v="1"/>
    <x v="3"/>
    <x v="1068"/>
    <s v="Small Box"/>
    <n v="0.56000000000000005"/>
    <d v="2010-05-16T00:00:00"/>
    <n v="0"/>
    <n v="0"/>
    <n v="1"/>
    <n v="1"/>
  </r>
  <r>
    <n v="1754"/>
    <n v="12580"/>
    <x v="892"/>
    <x v="38"/>
    <s v="Low"/>
    <n v="43"/>
    <n v="140.72"/>
    <n v="0.04"/>
    <s v="Regular Air"/>
    <n v="-115.53"/>
    <n v="3.28"/>
    <n v="3.97"/>
    <x v="398"/>
    <x v="8"/>
    <x v="6"/>
    <x v="0"/>
    <x v="0"/>
    <x v="12"/>
    <x v="429"/>
    <s v="Wrap Bag"/>
    <n v="0.56000000000000005"/>
    <d v="2010-01-15T00:00:00"/>
    <n v="1"/>
    <n v="0"/>
    <n v="0.5"/>
    <n v="0.5"/>
  </r>
  <r>
    <n v="1795"/>
    <n v="12868"/>
    <x v="495"/>
    <x v="5"/>
    <s v="Critical"/>
    <n v="31"/>
    <n v="53.33"/>
    <n v="0.09"/>
    <s v="Regular Air"/>
    <n v="-2.44"/>
    <n v="1.76"/>
    <n v="0.7"/>
    <x v="342"/>
    <x v="8"/>
    <x v="6"/>
    <x v="1"/>
    <x v="0"/>
    <x v="12"/>
    <x v="263"/>
    <s v="Wrap Bag"/>
    <n v="0.56000000000000005"/>
    <d v="2011-03-02T00:00:00"/>
    <n v="0"/>
    <n v="0"/>
    <n v="0.5"/>
    <n v="0.5"/>
  </r>
  <r>
    <n v="1809"/>
    <n v="12931"/>
    <x v="981"/>
    <x v="13"/>
    <s v="Medium"/>
    <n v="11"/>
    <n v="653.91999999999996"/>
    <n v="0.02"/>
    <s v="Regular Air"/>
    <n v="52.89"/>
    <n v="59.76"/>
    <n v="9.7100000000000009"/>
    <x v="425"/>
    <x v="8"/>
    <x v="6"/>
    <x v="3"/>
    <x v="0"/>
    <x v="0"/>
    <x v="1102"/>
    <s v="Small Box"/>
    <n v="0.56999999999999995"/>
    <d v="2012-04-25T00:00:00"/>
    <n v="0"/>
    <n v="0"/>
    <n v="1"/>
    <n v="1"/>
  </r>
  <r>
    <n v="1815"/>
    <n v="13027"/>
    <x v="1131"/>
    <x v="23"/>
    <s v="Critical"/>
    <n v="42"/>
    <n v="290.68"/>
    <n v="0.03"/>
    <s v="Regular Air"/>
    <n v="-93.5"/>
    <n v="6.78"/>
    <n v="6.18"/>
    <x v="357"/>
    <x v="8"/>
    <x v="6"/>
    <x v="0"/>
    <x v="0"/>
    <x v="5"/>
    <x v="636"/>
    <s v="Small Box"/>
    <n v="0.39"/>
    <d v="2012-01-17T00:00:00"/>
    <n v="0"/>
    <n v="0"/>
    <n v="1"/>
    <n v="1"/>
  </r>
  <r>
    <n v="1873"/>
    <n v="13476"/>
    <x v="1034"/>
    <x v="0"/>
    <s v="Not Specified"/>
    <n v="47"/>
    <n v="231.29"/>
    <n v="0.09"/>
    <s v="Express Air"/>
    <n v="-147.85550000000001"/>
    <n v="4.91"/>
    <n v="5.68"/>
    <x v="304"/>
    <x v="8"/>
    <x v="6"/>
    <x v="3"/>
    <x v="0"/>
    <x v="2"/>
    <x v="980"/>
    <s v="Small Box"/>
    <n v="0.36"/>
    <d v="2010-10-18T00:00:00"/>
    <n v="0"/>
    <n v="0"/>
    <n v="0.33333333333333331"/>
    <n v="0.33333333333333331"/>
  </r>
  <r>
    <n v="1891"/>
    <n v="13572"/>
    <x v="425"/>
    <x v="20"/>
    <s v="Critical"/>
    <n v="7"/>
    <n v="40.11"/>
    <n v="7.0000000000000007E-2"/>
    <s v="Regular Air"/>
    <n v="-43.71"/>
    <n v="5.0199999999999996"/>
    <n v="5.14"/>
    <x v="422"/>
    <x v="8"/>
    <x v="6"/>
    <x v="3"/>
    <x v="1"/>
    <x v="7"/>
    <x v="238"/>
    <s v="Small Pack"/>
    <n v="0.79"/>
    <d v="2012-05-18T00:00:00"/>
    <n v="0"/>
    <n v="0"/>
    <n v="1"/>
    <n v="1"/>
  </r>
  <r>
    <n v="1916"/>
    <n v="13731"/>
    <x v="100"/>
    <x v="39"/>
    <s v="Not Specified"/>
    <n v="10"/>
    <n v="44.08"/>
    <n v="0.08"/>
    <s v="Regular Air"/>
    <n v="6.79"/>
    <n v="4.4800000000000004"/>
    <n v="1.22"/>
    <x v="359"/>
    <x v="8"/>
    <x v="6"/>
    <x v="0"/>
    <x v="0"/>
    <x v="5"/>
    <x v="115"/>
    <s v="Wrap Bag"/>
    <n v="0.36"/>
    <d v="2010-05-12T00:00:00"/>
    <n v="0"/>
    <n v="0"/>
    <n v="1"/>
    <n v="1"/>
  </r>
  <r>
    <n v="1971"/>
    <n v="14112"/>
    <x v="513"/>
    <x v="36"/>
    <s v="Low"/>
    <n v="1"/>
    <n v="68.45"/>
    <n v="0.02"/>
    <s v="Express Air"/>
    <n v="-25.76"/>
    <n v="50.98"/>
    <n v="13.66"/>
    <x v="382"/>
    <x v="8"/>
    <x v="6"/>
    <x v="2"/>
    <x v="0"/>
    <x v="1"/>
    <x v="389"/>
    <s v="Small Box"/>
    <n v="0.57999999999999996"/>
    <d v="2009-07-24T00:00:00"/>
    <n v="0"/>
    <n v="0"/>
    <n v="1"/>
    <n v="1"/>
  </r>
  <r>
    <n v="1974"/>
    <n v="14114"/>
    <x v="319"/>
    <x v="46"/>
    <s v="Critical"/>
    <n v="38"/>
    <n v="6532.48"/>
    <n v="0.01"/>
    <s v="Delivery Truck"/>
    <n v="538.52"/>
    <n v="170.98"/>
    <n v="35.89"/>
    <x v="398"/>
    <x v="8"/>
    <x v="6"/>
    <x v="0"/>
    <x v="2"/>
    <x v="9"/>
    <x v="748"/>
    <s v="Jumbo Box"/>
    <n v="0.66"/>
    <d v="2009-04-08T00:00:00"/>
    <n v="0"/>
    <n v="0"/>
    <n v="0.33333333333333331"/>
    <n v="0.33333333333333331"/>
  </r>
  <r>
    <n v="1975"/>
    <n v="14114"/>
    <x v="319"/>
    <x v="46"/>
    <s v="Critical"/>
    <n v="41"/>
    <n v="241.9"/>
    <n v="0.05"/>
    <s v="Regular Air"/>
    <n v="-136.69999999999999"/>
    <n v="5.77"/>
    <n v="5.92"/>
    <x v="398"/>
    <x v="8"/>
    <x v="6"/>
    <x v="0"/>
    <x v="2"/>
    <x v="4"/>
    <x v="1121"/>
    <s v="Medium Box"/>
    <n v="0.55000000000000004"/>
    <d v="2009-04-06T00:00:00"/>
    <n v="0"/>
    <n v="0"/>
    <n v="0.33333333333333331"/>
    <n v="0.33333333333333331"/>
  </r>
  <r>
    <n v="2099"/>
    <n v="15009"/>
    <x v="905"/>
    <x v="25"/>
    <s v="Not Specified"/>
    <n v="46"/>
    <n v="1200.1300000000001"/>
    <n v="0.09"/>
    <s v="Express Air"/>
    <n v="-7.8"/>
    <n v="28.15"/>
    <n v="8.99"/>
    <x v="389"/>
    <x v="8"/>
    <x v="6"/>
    <x v="0"/>
    <x v="0"/>
    <x v="12"/>
    <x v="60"/>
    <s v="Small Pack"/>
    <n v="0.56999999999999995"/>
    <d v="2011-12-23T00:00:00"/>
    <n v="0"/>
    <n v="0"/>
    <n v="0.5"/>
    <n v="0.5"/>
  </r>
  <r>
    <n v="2152"/>
    <n v="15399"/>
    <x v="212"/>
    <x v="20"/>
    <s v="Critical"/>
    <n v="7"/>
    <n v="2202.4499999999998"/>
    <n v="0.01"/>
    <s v="Delivery Truck"/>
    <n v="-51.280000000000086"/>
    <n v="284.98"/>
    <n v="69.55"/>
    <x v="420"/>
    <x v="8"/>
    <x v="6"/>
    <x v="0"/>
    <x v="2"/>
    <x v="14"/>
    <x v="649"/>
    <s v="Jumbo Drum"/>
    <n v="0.6"/>
    <d v="2012-05-15T00:00:00"/>
    <n v="0"/>
    <n v="0"/>
    <n v="0.33333333333333331"/>
    <n v="0.33333333333333331"/>
  </r>
  <r>
    <n v="2218"/>
    <n v="16036"/>
    <x v="505"/>
    <x v="23"/>
    <s v="Medium"/>
    <n v="28"/>
    <n v="169.22"/>
    <n v="0.05"/>
    <s v="Regular Air"/>
    <n v="-165.10550000000001"/>
    <n v="5.81"/>
    <n v="8.49"/>
    <x v="347"/>
    <x v="8"/>
    <x v="6"/>
    <x v="2"/>
    <x v="0"/>
    <x v="2"/>
    <x v="106"/>
    <s v="Small Box"/>
    <n v="0.39"/>
    <d v="2012-01-07T00:00:00"/>
    <n v="0"/>
    <n v="0"/>
    <n v="0.25"/>
    <n v="0.25"/>
  </r>
  <r>
    <n v="2219"/>
    <n v="16036"/>
    <x v="505"/>
    <x v="23"/>
    <s v="Medium"/>
    <n v="10"/>
    <n v="1319.421"/>
    <n v="7.0000000000000007E-2"/>
    <s v="Regular Air"/>
    <n v="-268.87299999999999"/>
    <n v="155.99"/>
    <n v="8.08"/>
    <x v="347"/>
    <x v="8"/>
    <x v="6"/>
    <x v="2"/>
    <x v="1"/>
    <x v="3"/>
    <x v="679"/>
    <s v="Small Box"/>
    <n v="0.6"/>
    <d v="2012-01-06T00:00:00"/>
    <n v="0"/>
    <n v="0"/>
    <n v="0.25"/>
    <n v="0.25"/>
  </r>
  <r>
    <n v="2220"/>
    <n v="16036"/>
    <x v="505"/>
    <x v="23"/>
    <s v="Medium"/>
    <n v="33"/>
    <n v="550.92999999999995"/>
    <n v="0.1"/>
    <s v="Regular Air"/>
    <n v="-141.6"/>
    <n v="17.7"/>
    <n v="9.4700000000000006"/>
    <x v="347"/>
    <x v="8"/>
    <x v="6"/>
    <x v="2"/>
    <x v="0"/>
    <x v="0"/>
    <x v="1046"/>
    <s v="Small Box"/>
    <n v="0.59"/>
    <d v="2012-01-06T00:00:00"/>
    <n v="0"/>
    <n v="0"/>
    <n v="0.25"/>
    <n v="0.25"/>
  </r>
  <r>
    <n v="2374"/>
    <n v="17216"/>
    <x v="1132"/>
    <x v="20"/>
    <s v="Medium"/>
    <n v="7"/>
    <n v="2236.16"/>
    <n v="0.05"/>
    <s v="Delivery Truck"/>
    <n v="-99.160000000000082"/>
    <n v="320.98"/>
    <n v="58.95"/>
    <x v="338"/>
    <x v="8"/>
    <x v="6"/>
    <x v="0"/>
    <x v="2"/>
    <x v="14"/>
    <x v="81"/>
    <s v="Jumbo Drum"/>
    <n v="0.56999999999999995"/>
    <d v="2012-05-28T00:00:00"/>
    <n v="0"/>
    <n v="0"/>
    <n v="1"/>
    <n v="1"/>
  </r>
  <r>
    <n v="2436"/>
    <n v="17698"/>
    <x v="212"/>
    <x v="20"/>
    <s v="High"/>
    <n v="43"/>
    <n v="1883.82"/>
    <n v="0.08"/>
    <s v="Regular Air"/>
    <n v="528.77"/>
    <n v="44.01"/>
    <n v="3.5"/>
    <x v="407"/>
    <x v="8"/>
    <x v="6"/>
    <x v="2"/>
    <x v="0"/>
    <x v="1"/>
    <x v="1122"/>
    <s v="Small Box"/>
    <n v="0.59"/>
    <d v="2012-05-15T00:00:00"/>
    <n v="0"/>
    <n v="0"/>
    <n v="0.33333333333333331"/>
    <n v="0.33333333333333331"/>
  </r>
  <r>
    <n v="2467"/>
    <n v="17953"/>
    <x v="573"/>
    <x v="9"/>
    <s v="High"/>
    <n v="21"/>
    <n v="1490.56"/>
    <n v="0.01"/>
    <s v="Delivery Truck"/>
    <n v="-499.51"/>
    <n v="68.81"/>
    <n v="60"/>
    <x v="345"/>
    <x v="8"/>
    <x v="6"/>
    <x v="0"/>
    <x v="0"/>
    <x v="1"/>
    <x v="459"/>
    <s v="Jumbo Drum"/>
    <n v="0.41"/>
    <d v="2012-08-22T00:00:00"/>
    <n v="0"/>
    <n v="0"/>
    <n v="0.33333333333333331"/>
    <n v="0.33333333333333331"/>
  </r>
  <r>
    <n v="2468"/>
    <n v="17953"/>
    <x v="573"/>
    <x v="9"/>
    <s v="High"/>
    <n v="17"/>
    <n v="105.44"/>
    <n v="0"/>
    <s v="Regular Air"/>
    <n v="18.760000000000002"/>
    <n v="5.84"/>
    <n v="1.2"/>
    <x v="345"/>
    <x v="8"/>
    <x v="6"/>
    <x v="0"/>
    <x v="0"/>
    <x v="12"/>
    <x v="288"/>
    <s v="Wrap Bag"/>
    <n v="0.55000000000000004"/>
    <d v="2012-08-22T00:00:00"/>
    <n v="0"/>
    <n v="0"/>
    <n v="0.33333333333333331"/>
    <n v="0.33333333333333331"/>
  </r>
  <r>
    <n v="2472"/>
    <n v="17959"/>
    <x v="1133"/>
    <x v="34"/>
    <s v="Medium"/>
    <n v="28"/>
    <n v="1201.68"/>
    <n v="0.01"/>
    <s v="Regular Air"/>
    <n v="146.80000000000001"/>
    <n v="40.99"/>
    <n v="19.989999999999998"/>
    <x v="425"/>
    <x v="8"/>
    <x v="6"/>
    <x v="3"/>
    <x v="0"/>
    <x v="5"/>
    <x v="30"/>
    <s v="Small Box"/>
    <n v="0.36"/>
    <d v="2012-09-12T00:00:00"/>
    <n v="0"/>
    <n v="0"/>
    <n v="0.5"/>
    <n v="0.5"/>
  </r>
  <r>
    <n v="2473"/>
    <n v="17959"/>
    <x v="1133"/>
    <x v="34"/>
    <s v="Medium"/>
    <n v="21"/>
    <n v="2784.57"/>
    <n v="0.05"/>
    <s v="Regular Air"/>
    <n v="847.06"/>
    <n v="136.97999999999999"/>
    <n v="24.49"/>
    <x v="425"/>
    <x v="8"/>
    <x v="6"/>
    <x v="3"/>
    <x v="2"/>
    <x v="4"/>
    <x v="355"/>
    <s v="Large Box"/>
    <n v="0.59"/>
    <d v="2012-09-12T00:00:00"/>
    <n v="0"/>
    <n v="0"/>
    <n v="0.5"/>
    <n v="0.5"/>
  </r>
  <r>
    <n v="2478"/>
    <n v="18017"/>
    <x v="845"/>
    <x v="14"/>
    <s v="Critical"/>
    <n v="22"/>
    <n v="5202.8960000000006"/>
    <n v="0.02"/>
    <s v="Delivery Truck"/>
    <n v="-715.7782060000003"/>
    <n v="296.18"/>
    <n v="54.12"/>
    <x v="420"/>
    <x v="8"/>
    <x v="6"/>
    <x v="0"/>
    <x v="2"/>
    <x v="10"/>
    <x v="300"/>
    <s v="Jumbo Box"/>
    <n v="0.76"/>
    <d v="2010-03-27T00:00:00"/>
    <n v="0"/>
    <n v="0"/>
    <n v="1"/>
    <n v="1"/>
  </r>
  <r>
    <n v="2532"/>
    <n v="18373"/>
    <x v="722"/>
    <x v="13"/>
    <s v="Critical"/>
    <n v="35"/>
    <n v="6608.24"/>
    <n v="0.09"/>
    <s v="Regular Air"/>
    <n v="2164.64"/>
    <n v="207.48"/>
    <n v="0.99"/>
    <x v="365"/>
    <x v="8"/>
    <x v="6"/>
    <x v="2"/>
    <x v="0"/>
    <x v="1"/>
    <x v="125"/>
    <s v="Small Box"/>
    <n v="0.55000000000000004"/>
    <d v="2012-04-12T00:00:00"/>
    <n v="0"/>
    <n v="0"/>
    <n v="1"/>
    <n v="1"/>
  </r>
  <r>
    <n v="2708"/>
    <n v="19558"/>
    <x v="1007"/>
    <x v="44"/>
    <s v="Low"/>
    <n v="2"/>
    <n v="7.98"/>
    <n v="0.04"/>
    <s v="Regular Air"/>
    <n v="-3.93"/>
    <n v="3.29"/>
    <n v="1.35"/>
    <x v="452"/>
    <x v="8"/>
    <x v="6"/>
    <x v="2"/>
    <x v="0"/>
    <x v="6"/>
    <x v="339"/>
    <s v="Wrap Bag"/>
    <n v="0.4"/>
    <d v="2011-02-28T00:00:00"/>
    <n v="0"/>
    <n v="0"/>
    <n v="1"/>
    <n v="1"/>
  </r>
  <r>
    <n v="2849"/>
    <n v="20518"/>
    <x v="672"/>
    <x v="19"/>
    <s v="Critical"/>
    <n v="49"/>
    <n v="8252.360999999999"/>
    <n v="7.0000000000000007E-2"/>
    <s v="Regular Air"/>
    <n v="2418.5610000000001"/>
    <n v="200.99"/>
    <n v="4.2"/>
    <x v="374"/>
    <x v="8"/>
    <x v="6"/>
    <x v="2"/>
    <x v="1"/>
    <x v="3"/>
    <x v="332"/>
    <s v="Small Box"/>
    <n v="0.59"/>
    <d v="2009-10-06T00:00:00"/>
    <n v="0"/>
    <n v="0"/>
    <n v="0.5"/>
    <n v="0.5"/>
  </r>
  <r>
    <n v="2850"/>
    <n v="20518"/>
    <x v="672"/>
    <x v="19"/>
    <s v="Critical"/>
    <n v="7"/>
    <n v="2205.84"/>
    <n v="0.01"/>
    <s v="Delivery Truck"/>
    <n v="-313.13040000000001"/>
    <n v="297.48"/>
    <n v="18.059999999999999"/>
    <x v="374"/>
    <x v="8"/>
    <x v="6"/>
    <x v="2"/>
    <x v="1"/>
    <x v="16"/>
    <x v="589"/>
    <s v="Jumbo Drum"/>
    <n v="0.6"/>
    <d v="2009-10-06T00:00:00"/>
    <n v="0"/>
    <n v="0"/>
    <n v="0.5"/>
    <n v="0.5"/>
  </r>
  <r>
    <n v="2877"/>
    <n v="20737"/>
    <x v="1121"/>
    <x v="25"/>
    <s v="Medium"/>
    <n v="15"/>
    <n v="3364.2480000000005"/>
    <n v="0.1"/>
    <s v="Delivery Truck"/>
    <n v="-693.23039500000016"/>
    <n v="286.85000000000002"/>
    <n v="61.76"/>
    <x v="397"/>
    <x v="8"/>
    <x v="6"/>
    <x v="3"/>
    <x v="2"/>
    <x v="10"/>
    <x v="832"/>
    <s v="Jumbo Box"/>
    <n v="0.78"/>
    <d v="2011-12-27T00:00:00"/>
    <n v="0"/>
    <n v="0"/>
    <n v="0.5"/>
    <n v="0.2"/>
  </r>
  <r>
    <n v="2897"/>
    <n v="20903"/>
    <x v="562"/>
    <x v="43"/>
    <s v="High"/>
    <n v="4"/>
    <n v="442.99"/>
    <n v="0.04"/>
    <s v="Delivery Truck"/>
    <n v="-152.76"/>
    <n v="100.98"/>
    <n v="35.840000000000003"/>
    <x v="391"/>
    <x v="8"/>
    <x v="6"/>
    <x v="1"/>
    <x v="2"/>
    <x v="9"/>
    <x v="550"/>
    <s v="Jumbo Box"/>
    <n v="0.62"/>
    <d v="2009-05-21T00:00:00"/>
    <n v="0"/>
    <n v="0"/>
    <n v="1"/>
    <n v="1"/>
  </r>
  <r>
    <n v="2945"/>
    <n v="21344"/>
    <x v="530"/>
    <x v="45"/>
    <s v="Low"/>
    <n v="29"/>
    <n v="587.20000000000005"/>
    <n v="0.08"/>
    <s v="Regular Air"/>
    <n v="134.25"/>
    <n v="20.89"/>
    <n v="1.99"/>
    <x v="343"/>
    <x v="8"/>
    <x v="6"/>
    <x v="2"/>
    <x v="1"/>
    <x v="7"/>
    <x v="187"/>
    <s v="Small Pack"/>
    <n v="0.48"/>
    <d v="2012-12-13T00:00:00"/>
    <n v="0"/>
    <n v="0"/>
    <n v="0.33333333333333331"/>
    <n v="0.33333333333333331"/>
  </r>
  <r>
    <n v="2946"/>
    <n v="21344"/>
    <x v="530"/>
    <x v="45"/>
    <s v="Low"/>
    <n v="39"/>
    <n v="110.79"/>
    <n v="0.05"/>
    <s v="Regular Air"/>
    <n v="42.68"/>
    <n v="2.89"/>
    <n v="0.5"/>
    <x v="343"/>
    <x v="8"/>
    <x v="6"/>
    <x v="2"/>
    <x v="0"/>
    <x v="11"/>
    <x v="349"/>
    <s v="Small Box"/>
    <n v="0.38"/>
    <d v="2012-12-18T00:00:00"/>
    <n v="0"/>
    <n v="0"/>
    <n v="0.33333333333333331"/>
    <n v="0.33333333333333331"/>
  </r>
  <r>
    <n v="2998"/>
    <n v="21606"/>
    <x v="432"/>
    <x v="16"/>
    <s v="Not Specified"/>
    <n v="29"/>
    <n v="516.62"/>
    <n v="0.06"/>
    <s v="Regular Air"/>
    <n v="138.33000000000001"/>
    <n v="17.48"/>
    <n v="1.99"/>
    <x v="345"/>
    <x v="8"/>
    <x v="6"/>
    <x v="0"/>
    <x v="1"/>
    <x v="7"/>
    <x v="1049"/>
    <s v="Small Pack"/>
    <n v="0.46"/>
    <d v="2011-01-23T00:00:00"/>
    <n v="0"/>
    <n v="0"/>
    <n v="0.5"/>
    <n v="0.5"/>
  </r>
  <r>
    <n v="3095"/>
    <n v="22183"/>
    <x v="1134"/>
    <x v="13"/>
    <s v="Medium"/>
    <n v="30"/>
    <n v="177.22"/>
    <n v="0.06"/>
    <s v="Regular Air"/>
    <n v="68.959999999999994"/>
    <n v="5.84"/>
    <n v="1"/>
    <x v="451"/>
    <x v="8"/>
    <x v="6"/>
    <x v="2"/>
    <x v="0"/>
    <x v="12"/>
    <x v="867"/>
    <s v="Wrap Bag"/>
    <n v="0.38"/>
    <d v="2012-04-24T00:00:00"/>
    <n v="0"/>
    <n v="0"/>
    <n v="1"/>
    <n v="1"/>
  </r>
  <r>
    <n v="3109"/>
    <n v="22338"/>
    <x v="486"/>
    <x v="39"/>
    <s v="Medium"/>
    <n v="24"/>
    <n v="790.24"/>
    <n v="0.09"/>
    <s v="Regular Air"/>
    <n v="-213.18"/>
    <n v="35.770000000000003"/>
    <n v="9.02"/>
    <x v="417"/>
    <x v="8"/>
    <x v="6"/>
    <x v="1"/>
    <x v="1"/>
    <x v="7"/>
    <x v="1123"/>
    <s v="Small Box"/>
    <n v="0.75"/>
    <d v="2010-05-15T00:00:00"/>
    <n v="0"/>
    <n v="0"/>
    <n v="0.5"/>
    <n v="0.5"/>
  </r>
  <r>
    <n v="3247"/>
    <n v="23268"/>
    <x v="553"/>
    <x v="23"/>
    <s v="High"/>
    <n v="14"/>
    <n v="50.85"/>
    <n v="0.09"/>
    <s v="Express Air"/>
    <n v="-6.81"/>
    <n v="3.6"/>
    <n v="2.2000000000000002"/>
    <x v="422"/>
    <x v="8"/>
    <x v="6"/>
    <x v="3"/>
    <x v="0"/>
    <x v="5"/>
    <x v="996"/>
    <s v="Wrap Bag"/>
    <n v="0.39"/>
    <d v="2012-01-18T00:00:00"/>
    <n v="0"/>
    <n v="0"/>
    <n v="0.5"/>
    <n v="0.5"/>
  </r>
  <r>
    <n v="3287"/>
    <n v="23522"/>
    <x v="94"/>
    <x v="37"/>
    <s v="Critical"/>
    <n v="20"/>
    <n v="1077.8084999999999"/>
    <n v="0.06"/>
    <s v="Express Air"/>
    <n v="17.253"/>
    <n v="65.989999999999995"/>
    <n v="8.99"/>
    <x v="394"/>
    <x v="8"/>
    <x v="6"/>
    <x v="0"/>
    <x v="1"/>
    <x v="3"/>
    <x v="893"/>
    <s v="Small Box"/>
    <n v="0.56000000000000005"/>
    <d v="2011-04-13T00:00:00"/>
    <n v="0"/>
    <n v="0"/>
    <n v="0.25"/>
    <n v="0.25"/>
  </r>
  <r>
    <n v="3288"/>
    <n v="23522"/>
    <x v="94"/>
    <x v="37"/>
    <s v="Critical"/>
    <n v="19"/>
    <n v="2899.98"/>
    <n v="0.1"/>
    <s v="Regular Air"/>
    <n v="666.01"/>
    <n v="159.99"/>
    <n v="5.5"/>
    <x v="394"/>
    <x v="8"/>
    <x v="6"/>
    <x v="0"/>
    <x v="1"/>
    <x v="7"/>
    <x v="782"/>
    <s v="Small Box"/>
    <n v="0.49"/>
    <d v="2011-04-12T00:00:00"/>
    <n v="0"/>
    <n v="0"/>
    <n v="0.25"/>
    <n v="0.25"/>
  </r>
  <r>
    <n v="3289"/>
    <n v="23522"/>
    <x v="94"/>
    <x v="37"/>
    <s v="Critical"/>
    <n v="36"/>
    <n v="233.38"/>
    <n v="0.1"/>
    <s v="Regular Air"/>
    <n v="-180.17"/>
    <n v="6.48"/>
    <n v="8.73"/>
    <x v="394"/>
    <x v="8"/>
    <x v="6"/>
    <x v="0"/>
    <x v="0"/>
    <x v="5"/>
    <x v="645"/>
    <s v="Small Box"/>
    <n v="0.37"/>
    <d v="2011-04-13T00:00:00"/>
    <n v="0"/>
    <n v="0"/>
    <n v="0.25"/>
    <n v="0.25"/>
  </r>
  <r>
    <n v="3349"/>
    <n v="23968"/>
    <x v="428"/>
    <x v="5"/>
    <s v="Critical"/>
    <n v="19"/>
    <n v="127.48"/>
    <n v="0.05"/>
    <s v="Regular Air"/>
    <n v="-41.99"/>
    <n v="6.48"/>
    <n v="5.84"/>
    <x v="365"/>
    <x v="8"/>
    <x v="6"/>
    <x v="2"/>
    <x v="0"/>
    <x v="5"/>
    <x v="607"/>
    <s v="Small Box"/>
    <n v="0.37"/>
    <d v="2011-03-07T00:00:00"/>
    <n v="0"/>
    <n v="0"/>
    <n v="1"/>
    <n v="1"/>
  </r>
  <r>
    <n v="3458"/>
    <n v="24644"/>
    <x v="1067"/>
    <x v="36"/>
    <s v="Critical"/>
    <n v="40"/>
    <n v="2550.12"/>
    <n v="0.01"/>
    <s v="Express Air"/>
    <n v="882.45"/>
    <n v="60.97"/>
    <n v="4.5"/>
    <x v="390"/>
    <x v="8"/>
    <x v="6"/>
    <x v="2"/>
    <x v="0"/>
    <x v="1"/>
    <x v="1085"/>
    <s v="Small Box"/>
    <n v="0.56000000000000005"/>
    <d v="2009-07-30T00:00:00"/>
    <n v="0"/>
    <n v="0"/>
    <n v="0.5"/>
    <n v="0.5"/>
  </r>
  <r>
    <n v="3570"/>
    <n v="25472"/>
    <x v="883"/>
    <x v="43"/>
    <s v="High"/>
    <n v="40"/>
    <n v="194.02"/>
    <n v="0.03"/>
    <s v="Regular Air"/>
    <n v="80.349999999999994"/>
    <n v="4.9800000000000004"/>
    <n v="0.8"/>
    <x v="421"/>
    <x v="8"/>
    <x v="6"/>
    <x v="0"/>
    <x v="0"/>
    <x v="5"/>
    <x v="657"/>
    <s v="Wrap Bag"/>
    <n v="0.36"/>
    <d v="2009-05-22T00:00:00"/>
    <n v="0"/>
    <n v="0"/>
    <n v="1"/>
    <n v="1"/>
  </r>
  <r>
    <n v="3629"/>
    <n v="25927"/>
    <x v="336"/>
    <x v="46"/>
    <s v="Medium"/>
    <n v="14"/>
    <n v="422.83"/>
    <n v="0.02"/>
    <s v="Regular Air"/>
    <n v="-21.06"/>
    <n v="29.74"/>
    <n v="6.64"/>
    <x v="110"/>
    <x v="8"/>
    <x v="6"/>
    <x v="2"/>
    <x v="0"/>
    <x v="0"/>
    <x v="253"/>
    <s v="Small Box"/>
    <n v="0.7"/>
    <d v="2009-04-22T00:00:00"/>
    <n v="0"/>
    <n v="0"/>
    <n v="0.5"/>
    <n v="0.5"/>
  </r>
  <r>
    <n v="3634"/>
    <n v="25955"/>
    <x v="622"/>
    <x v="10"/>
    <s v="Not Specified"/>
    <n v="10"/>
    <n v="170.35"/>
    <n v="0.03"/>
    <s v="Regular Air"/>
    <n v="-39.92"/>
    <n v="16.059999999999999"/>
    <n v="8.34"/>
    <x v="309"/>
    <x v="8"/>
    <x v="6"/>
    <x v="2"/>
    <x v="0"/>
    <x v="0"/>
    <x v="750"/>
    <s v="Small Box"/>
    <n v="0.59"/>
    <d v="2011-05-06T00:00:00"/>
    <n v="0"/>
    <n v="0"/>
    <n v="1"/>
    <n v="1"/>
  </r>
  <r>
    <n v="3668"/>
    <n v="26276"/>
    <x v="965"/>
    <x v="18"/>
    <s v="Low"/>
    <n v="19"/>
    <n v="20329.8"/>
    <n v="0"/>
    <s v="Regular Air"/>
    <n v="9224.1"/>
    <n v="999.99"/>
    <n v="13.99"/>
    <x v="309"/>
    <x v="8"/>
    <x v="6"/>
    <x v="2"/>
    <x v="1"/>
    <x v="16"/>
    <x v="1036"/>
    <s v="Medium Box"/>
    <n v="0.36"/>
    <d v="2010-09-16T00:00:00"/>
    <n v="0"/>
    <n v="0"/>
    <n v="0.5"/>
    <n v="0.5"/>
  </r>
  <r>
    <n v="3676"/>
    <n v="26306"/>
    <x v="365"/>
    <x v="1"/>
    <s v="Low"/>
    <n v="15"/>
    <n v="2567.64"/>
    <n v="0"/>
    <s v="Regular Air"/>
    <n v="-505.98447900000014"/>
    <n v="209.37"/>
    <n v="69"/>
    <x v="401"/>
    <x v="8"/>
    <x v="6"/>
    <x v="2"/>
    <x v="2"/>
    <x v="10"/>
    <x v="724"/>
    <s v="Large Box"/>
    <n v="0.79"/>
    <d v="2012-11-04T00:00:00"/>
    <n v="0"/>
    <n v="0"/>
    <n v="0.5"/>
    <n v="0.5"/>
  </r>
  <r>
    <n v="3739"/>
    <n v="26724"/>
    <x v="793"/>
    <x v="40"/>
    <s v="Critical"/>
    <n v="2"/>
    <n v="1838.18"/>
    <n v="0.09"/>
    <s v="Regular Air"/>
    <n v="-2531.4825000000001"/>
    <n v="999.99"/>
    <n v="13.99"/>
    <x v="409"/>
    <x v="8"/>
    <x v="6"/>
    <x v="0"/>
    <x v="1"/>
    <x v="16"/>
    <x v="1036"/>
    <s v="Medium Box"/>
    <n v="0.36"/>
    <d v="2009-02-08T00:00:00"/>
    <n v="0"/>
    <n v="0"/>
    <n v="1"/>
    <n v="1"/>
  </r>
  <r>
    <n v="3749"/>
    <n v="26784"/>
    <x v="778"/>
    <x v="42"/>
    <s v="Critical"/>
    <n v="12"/>
    <n v="1466.95"/>
    <n v="0.02"/>
    <s v="Delivery Truck"/>
    <n v="-64.14"/>
    <n v="120.98"/>
    <n v="30"/>
    <x v="358"/>
    <x v="8"/>
    <x v="6"/>
    <x v="1"/>
    <x v="2"/>
    <x v="14"/>
    <x v="36"/>
    <s v="Jumbo Drum"/>
    <n v="0.64"/>
    <d v="2010-07-24T00:00:00"/>
    <n v="0"/>
    <n v="0"/>
    <n v="0.5"/>
    <n v="0.25"/>
  </r>
  <r>
    <n v="3750"/>
    <n v="26784"/>
    <x v="778"/>
    <x v="42"/>
    <s v="Critical"/>
    <n v="33"/>
    <n v="440.23"/>
    <n v="0.09"/>
    <s v="Regular Air"/>
    <n v="-37.9407"/>
    <n v="13.99"/>
    <n v="7.51"/>
    <x v="358"/>
    <x v="8"/>
    <x v="6"/>
    <x v="1"/>
    <x v="1"/>
    <x v="16"/>
    <x v="535"/>
    <s v="Medium Box"/>
    <n v="0.39"/>
    <d v="2010-07-24T00:00:00"/>
    <n v="0"/>
    <n v="0"/>
    <n v="0.5"/>
    <n v="0.25"/>
  </r>
  <r>
    <n v="3765"/>
    <n v="26912"/>
    <x v="196"/>
    <x v="13"/>
    <s v="Low"/>
    <n v="18"/>
    <n v="3136.2024999999999"/>
    <n v="7.0000000000000007E-2"/>
    <s v="Regular Air"/>
    <n v="439.77599999999995"/>
    <n v="205.99"/>
    <n v="5.26"/>
    <x v="304"/>
    <x v="8"/>
    <x v="6"/>
    <x v="3"/>
    <x v="1"/>
    <x v="3"/>
    <x v="211"/>
    <s v="Small Box"/>
    <n v="0.56000000000000005"/>
    <d v="2012-05-01T00:00:00"/>
    <n v="0"/>
    <n v="0"/>
    <n v="0.5"/>
    <n v="0.5"/>
  </r>
  <r>
    <n v="3776"/>
    <n v="26949"/>
    <x v="204"/>
    <x v="26"/>
    <s v="Critical"/>
    <n v="48"/>
    <n v="460.69"/>
    <n v="0.06"/>
    <s v="Regular Air"/>
    <n v="-103.48"/>
    <n v="9.48"/>
    <n v="7.29"/>
    <x v="397"/>
    <x v="8"/>
    <x v="6"/>
    <x v="3"/>
    <x v="2"/>
    <x v="4"/>
    <x v="722"/>
    <s v="Small Pack"/>
    <n v="0.45"/>
    <d v="2009-08-17T00:00:00"/>
    <n v="0"/>
    <n v="0"/>
    <n v="1"/>
    <n v="1"/>
  </r>
  <r>
    <n v="3845"/>
    <n v="27430"/>
    <x v="407"/>
    <x v="16"/>
    <s v="High"/>
    <n v="12"/>
    <n v="82.64"/>
    <n v="0.1"/>
    <s v="Regular Air"/>
    <n v="0.35"/>
    <n v="7.08"/>
    <n v="2.35"/>
    <x v="396"/>
    <x v="8"/>
    <x v="6"/>
    <x v="0"/>
    <x v="0"/>
    <x v="12"/>
    <x v="174"/>
    <s v="Wrap Bag"/>
    <n v="0.47"/>
    <d v="2011-02-01T00:00:00"/>
    <n v="0"/>
    <n v="0"/>
    <n v="0.5"/>
    <n v="0.25"/>
  </r>
  <r>
    <n v="3949"/>
    <n v="28161"/>
    <x v="1035"/>
    <x v="41"/>
    <s v="Not Specified"/>
    <n v="10"/>
    <n v="784.08"/>
    <n v="0.02"/>
    <s v="Delivery Truck"/>
    <n v="-222.77"/>
    <n v="70.98"/>
    <n v="46.74"/>
    <x v="341"/>
    <x v="8"/>
    <x v="6"/>
    <x v="1"/>
    <x v="2"/>
    <x v="9"/>
    <x v="768"/>
    <s v="Jumbo Box"/>
    <n v="0.56000000000000005"/>
    <d v="2009-06-16T00:00:00"/>
    <n v="0"/>
    <n v="0"/>
    <n v="0.33333333333333331"/>
    <n v="0.2"/>
  </r>
  <r>
    <n v="3951"/>
    <n v="28161"/>
    <x v="1035"/>
    <x v="41"/>
    <s v="Not Specified"/>
    <n v="41"/>
    <n v="1085.6099999999999"/>
    <n v="0.04"/>
    <s v="Regular Air"/>
    <n v="-33.32"/>
    <n v="27.48"/>
    <n v="4"/>
    <x v="341"/>
    <x v="8"/>
    <x v="6"/>
    <x v="1"/>
    <x v="1"/>
    <x v="7"/>
    <x v="593"/>
    <s v="Small Box"/>
    <n v="0.75"/>
    <d v="2009-06-17T00:00:00"/>
    <n v="0"/>
    <n v="0"/>
    <n v="0.33333333333333331"/>
    <n v="0.2"/>
  </r>
  <r>
    <n v="4070"/>
    <n v="28992"/>
    <x v="1135"/>
    <x v="31"/>
    <s v="Critical"/>
    <n v="41"/>
    <n v="6863.95"/>
    <n v="0.1"/>
    <s v="Express Air"/>
    <n v="1662.92"/>
    <n v="178.47"/>
    <n v="19.989999999999998"/>
    <x v="340"/>
    <x v="8"/>
    <x v="6"/>
    <x v="1"/>
    <x v="0"/>
    <x v="0"/>
    <x v="902"/>
    <s v="Small Box"/>
    <n v="0.55000000000000004"/>
    <d v="2011-09-20T00:00:00"/>
    <n v="0"/>
    <n v="0"/>
    <n v="1"/>
    <n v="0.5"/>
  </r>
  <r>
    <n v="4130"/>
    <n v="29349"/>
    <x v="1060"/>
    <x v="30"/>
    <s v="High"/>
    <n v="33"/>
    <n v="162.38999999999999"/>
    <n v="0.1"/>
    <s v="Regular Air"/>
    <n v="-101.68"/>
    <n v="5.28"/>
    <n v="5.57"/>
    <x v="343"/>
    <x v="8"/>
    <x v="6"/>
    <x v="0"/>
    <x v="0"/>
    <x v="5"/>
    <x v="1124"/>
    <s v="Small Box"/>
    <n v="0.4"/>
    <d v="2010-06-12T00:00:00"/>
    <n v="0"/>
    <n v="0"/>
    <n v="0.5"/>
    <n v="0.5"/>
  </r>
  <r>
    <n v="4131"/>
    <n v="29350"/>
    <x v="1123"/>
    <x v="26"/>
    <s v="High"/>
    <n v="47"/>
    <n v="2519.5500000000002"/>
    <n v="0.05"/>
    <s v="Regular Air"/>
    <n v="592.52650000000006"/>
    <n v="52.4"/>
    <n v="16.11"/>
    <x v="338"/>
    <x v="8"/>
    <x v="6"/>
    <x v="1"/>
    <x v="0"/>
    <x v="2"/>
    <x v="843"/>
    <s v="Small Box"/>
    <n v="0.39"/>
    <d v="2009-08-27T00:00:00"/>
    <n v="0"/>
    <n v="0"/>
    <n v="0.33333333333333331"/>
    <n v="0.33333333333333331"/>
  </r>
  <r>
    <n v="4133"/>
    <n v="29350"/>
    <x v="1123"/>
    <x v="26"/>
    <s v="High"/>
    <n v="46"/>
    <n v="1634.17"/>
    <n v="0.05"/>
    <s v="Express Air"/>
    <n v="232.8"/>
    <n v="36.549999999999997"/>
    <n v="13.89"/>
    <x v="338"/>
    <x v="8"/>
    <x v="6"/>
    <x v="1"/>
    <x v="0"/>
    <x v="12"/>
    <x v="176"/>
    <s v="Wrap Bag"/>
    <n v="0.41"/>
    <d v="2009-08-26T00:00:00"/>
    <n v="0"/>
    <n v="0"/>
    <n v="0.33333333333333331"/>
    <n v="0.33333333333333331"/>
  </r>
  <r>
    <n v="4152"/>
    <n v="29473"/>
    <x v="939"/>
    <x v="12"/>
    <s v="Medium"/>
    <n v="40"/>
    <n v="13367.82"/>
    <n v="0"/>
    <s v="Delivery Truck"/>
    <n v="-774.89068800000007"/>
    <n v="320.64"/>
    <n v="29.2"/>
    <x v="395"/>
    <x v="8"/>
    <x v="6"/>
    <x v="1"/>
    <x v="2"/>
    <x v="10"/>
    <x v="1104"/>
    <s v="Jumbo Box"/>
    <n v="0.66"/>
    <d v="2012-02-16T00:00:00"/>
    <n v="0"/>
    <n v="0"/>
    <n v="0.5"/>
    <n v="0.5"/>
  </r>
  <r>
    <n v="4225"/>
    <n v="30023"/>
    <x v="187"/>
    <x v="0"/>
    <s v="Low"/>
    <n v="34"/>
    <n v="16193.16"/>
    <n v="0.02"/>
    <s v="Delivery Truck"/>
    <n v="6463.34"/>
    <n v="449.99"/>
    <n v="49"/>
    <x v="353"/>
    <x v="8"/>
    <x v="6"/>
    <x v="1"/>
    <x v="1"/>
    <x v="13"/>
    <x v="26"/>
    <s v="Jumbo Drum"/>
    <n v="0.38"/>
    <d v="2010-10-19T00:00:00"/>
    <n v="0"/>
    <n v="0"/>
    <n v="0.25"/>
    <n v="0.25"/>
  </r>
  <r>
    <n v="4241"/>
    <n v="30150"/>
    <x v="771"/>
    <x v="0"/>
    <s v="Critical"/>
    <n v="30"/>
    <n v="443.46"/>
    <n v="0.06"/>
    <s v="Regular Air"/>
    <n v="193.12"/>
    <n v="15.57"/>
    <n v="1.39"/>
    <x v="397"/>
    <x v="8"/>
    <x v="6"/>
    <x v="3"/>
    <x v="0"/>
    <x v="8"/>
    <x v="889"/>
    <s v="Small Box"/>
    <n v="0.38"/>
    <d v="2010-10-05T00:00:00"/>
    <n v="0"/>
    <n v="0"/>
    <n v="1"/>
    <n v="1"/>
  </r>
  <r>
    <n v="4242"/>
    <n v="30151"/>
    <x v="994"/>
    <x v="16"/>
    <s v="Not Specified"/>
    <n v="31"/>
    <n v="792.76"/>
    <n v="0.02"/>
    <s v="Regular Air"/>
    <n v="33.370999999999995"/>
    <n v="24.92"/>
    <n v="12.98"/>
    <x v="336"/>
    <x v="8"/>
    <x v="6"/>
    <x v="3"/>
    <x v="0"/>
    <x v="2"/>
    <x v="202"/>
    <s v="Small Box"/>
    <n v="0.39"/>
    <d v="2011-01-31T00:00:00"/>
    <n v="0"/>
    <n v="0"/>
    <n v="1"/>
    <n v="0.5"/>
  </r>
  <r>
    <n v="4251"/>
    <n v="30276"/>
    <x v="1136"/>
    <x v="21"/>
    <s v="Low"/>
    <n v="44"/>
    <n v="1453.704"/>
    <n v="0"/>
    <s v="Regular Air"/>
    <n v="549.83699999999999"/>
    <n v="35.99"/>
    <n v="1.1000000000000001"/>
    <x v="334"/>
    <x v="8"/>
    <x v="6"/>
    <x v="2"/>
    <x v="1"/>
    <x v="3"/>
    <x v="828"/>
    <s v="Small Box"/>
    <n v="0.55000000000000004"/>
    <d v="2011-08-30T00:00:00"/>
    <n v="0"/>
    <n v="0"/>
    <n v="0.5"/>
    <n v="0.5"/>
  </r>
  <r>
    <n v="4252"/>
    <n v="30276"/>
    <x v="1136"/>
    <x v="21"/>
    <s v="Low"/>
    <n v="34"/>
    <n v="7656.3040000000001"/>
    <n v="0.1"/>
    <s v="Delivery Truck"/>
    <n v="-715.7782060000003"/>
    <n v="296.18"/>
    <n v="54.12"/>
    <x v="334"/>
    <x v="8"/>
    <x v="6"/>
    <x v="2"/>
    <x v="2"/>
    <x v="10"/>
    <x v="300"/>
    <s v="Jumbo Box"/>
    <n v="0.76"/>
    <d v="2011-08-30T00:00:00"/>
    <n v="0"/>
    <n v="0"/>
    <n v="0.5"/>
    <n v="0.5"/>
  </r>
  <r>
    <n v="4254"/>
    <n v="30279"/>
    <x v="383"/>
    <x v="25"/>
    <s v="Critical"/>
    <n v="25"/>
    <n v="1412.98"/>
    <n v="0.1"/>
    <s v="Regular Air"/>
    <n v="324.95999999999998"/>
    <n v="60.97"/>
    <n v="4.5"/>
    <x v="452"/>
    <x v="8"/>
    <x v="6"/>
    <x v="2"/>
    <x v="0"/>
    <x v="1"/>
    <x v="1085"/>
    <s v="Small Box"/>
    <n v="0.56000000000000005"/>
    <d v="2011-12-07T00:00:00"/>
    <n v="0"/>
    <n v="0"/>
    <n v="0.5"/>
    <n v="0.5"/>
  </r>
  <r>
    <n v="4255"/>
    <n v="30279"/>
    <x v="383"/>
    <x v="25"/>
    <s v="Critical"/>
    <n v="39"/>
    <n v="19539.939999999999"/>
    <n v="0.06"/>
    <s v="Delivery Truck"/>
    <n v="4914.24"/>
    <n v="517.48"/>
    <n v="16.63"/>
    <x v="452"/>
    <x v="8"/>
    <x v="6"/>
    <x v="2"/>
    <x v="1"/>
    <x v="16"/>
    <x v="666"/>
    <s v="Jumbo Box"/>
    <n v="0.59"/>
    <d v="2011-12-08T00:00:00"/>
    <n v="0"/>
    <n v="0"/>
    <n v="0.5"/>
    <n v="0.5"/>
  </r>
  <r>
    <n v="4587"/>
    <n v="32640"/>
    <x v="613"/>
    <x v="34"/>
    <s v="High"/>
    <n v="18"/>
    <n v="126.69"/>
    <n v="0.04"/>
    <s v="Regular Air"/>
    <n v="-35.558"/>
    <n v="6.81"/>
    <n v="5.48"/>
    <x v="379"/>
    <x v="8"/>
    <x v="6"/>
    <x v="0"/>
    <x v="0"/>
    <x v="2"/>
    <x v="964"/>
    <s v="Small Box"/>
    <n v="0.37"/>
    <d v="2012-09-17T00:00:00"/>
    <n v="0"/>
    <n v="0"/>
    <n v="0.5"/>
    <n v="0.5"/>
  </r>
  <r>
    <n v="4588"/>
    <n v="32640"/>
    <x v="613"/>
    <x v="34"/>
    <s v="High"/>
    <n v="12"/>
    <n v="162.11000000000001"/>
    <n v="0.04"/>
    <s v="Express Air"/>
    <n v="3.91"/>
    <n v="12.28"/>
    <n v="6.47"/>
    <x v="379"/>
    <x v="8"/>
    <x v="6"/>
    <x v="0"/>
    <x v="0"/>
    <x v="5"/>
    <x v="46"/>
    <s v="Small Box"/>
    <n v="0.38"/>
    <d v="2012-09-17T00:00:00"/>
    <n v="0"/>
    <n v="0"/>
    <n v="0.5"/>
    <n v="0.5"/>
  </r>
  <r>
    <n v="4621"/>
    <n v="32902"/>
    <x v="146"/>
    <x v="33"/>
    <s v="High"/>
    <n v="34"/>
    <n v="145.47999999999999"/>
    <n v="0.03"/>
    <s v="Express Air"/>
    <n v="32.43"/>
    <n v="4.26"/>
    <n v="1.2"/>
    <x v="454"/>
    <x v="8"/>
    <x v="6"/>
    <x v="3"/>
    <x v="0"/>
    <x v="12"/>
    <x v="678"/>
    <s v="Wrap Bag"/>
    <n v="0.44"/>
    <d v="2012-03-04T00:00:00"/>
    <n v="0"/>
    <n v="0"/>
    <n v="0.33333333333333331"/>
    <n v="0.33333333333333331"/>
  </r>
  <r>
    <n v="4631"/>
    <n v="32965"/>
    <x v="593"/>
    <x v="44"/>
    <s v="High"/>
    <n v="25"/>
    <n v="2427.25"/>
    <n v="0.1"/>
    <s v="Regular Air"/>
    <n v="227.67"/>
    <n v="99.99"/>
    <n v="19.989999999999998"/>
    <x v="366"/>
    <x v="8"/>
    <x v="6"/>
    <x v="0"/>
    <x v="1"/>
    <x v="7"/>
    <x v="218"/>
    <s v="Small Box"/>
    <n v="0.52"/>
    <d v="2011-02-25T00:00:00"/>
    <n v="0"/>
    <n v="0"/>
    <n v="0.5"/>
    <n v="0.5"/>
  </r>
  <r>
    <n v="4639"/>
    <n v="33025"/>
    <x v="359"/>
    <x v="22"/>
    <s v="Low"/>
    <n v="5"/>
    <n v="318.31"/>
    <n v="0.08"/>
    <s v="Regular Air"/>
    <n v="-19.059999999999999"/>
    <n v="67.84"/>
    <n v="0.99"/>
    <x v="418"/>
    <x v="8"/>
    <x v="6"/>
    <x v="0"/>
    <x v="0"/>
    <x v="1"/>
    <x v="314"/>
    <s v="Small Box"/>
    <n v="0.57999999999999996"/>
    <d v="2009-01-29T00:00:00"/>
    <n v="0"/>
    <n v="1"/>
    <n v="1"/>
    <n v="1"/>
  </r>
  <r>
    <n v="4655"/>
    <n v="33154"/>
    <x v="362"/>
    <x v="3"/>
    <s v="Critical"/>
    <n v="7"/>
    <n v="368.02449999999999"/>
    <n v="0.09"/>
    <s v="Regular Air"/>
    <n v="-218.81199999999998"/>
    <n v="65.989999999999995"/>
    <n v="4.2"/>
    <x v="347"/>
    <x v="8"/>
    <x v="6"/>
    <x v="2"/>
    <x v="1"/>
    <x v="3"/>
    <x v="1021"/>
    <s v="Small Box"/>
    <n v="0.59"/>
    <d v="2010-08-06T00:00:00"/>
    <n v="0"/>
    <n v="0"/>
    <n v="1"/>
    <n v="1"/>
  </r>
  <r>
    <n v="4673"/>
    <n v="33253"/>
    <x v="664"/>
    <x v="27"/>
    <s v="Not Specified"/>
    <n v="6"/>
    <n v="24.2"/>
    <n v="0.08"/>
    <s v="Regular Air"/>
    <n v="-5.2"/>
    <n v="4.13"/>
    <n v="1.17"/>
    <x v="387"/>
    <x v="8"/>
    <x v="6"/>
    <x v="3"/>
    <x v="0"/>
    <x v="12"/>
    <x v="1041"/>
    <s v="Wrap Bag"/>
    <n v="0.56999999999999995"/>
    <d v="2011-12-02T00:00:00"/>
    <n v="0"/>
    <n v="0"/>
    <n v="0.5"/>
    <n v="0.5"/>
  </r>
  <r>
    <n v="4733"/>
    <n v="33699"/>
    <x v="442"/>
    <x v="36"/>
    <s v="Low"/>
    <n v="13"/>
    <n v="1619.51"/>
    <n v="0.05"/>
    <s v="Delivery Truck"/>
    <n v="-722.23"/>
    <n v="122.99"/>
    <n v="70.2"/>
    <x v="345"/>
    <x v="8"/>
    <x v="6"/>
    <x v="0"/>
    <x v="2"/>
    <x v="14"/>
    <x v="301"/>
    <s v="Jumbo Drum"/>
    <n v="0.74"/>
    <d v="2009-07-30T00:00:00"/>
    <n v="0"/>
    <n v="0"/>
    <n v="0.33333333333333331"/>
    <n v="0.33333333333333331"/>
  </r>
  <r>
    <n v="4747"/>
    <n v="33761"/>
    <x v="9"/>
    <x v="9"/>
    <s v="High"/>
    <n v="45"/>
    <n v="463.93"/>
    <n v="0.06"/>
    <s v="Regular Air"/>
    <n v="29.96"/>
    <n v="10.48"/>
    <n v="2.89"/>
    <x v="422"/>
    <x v="8"/>
    <x v="6"/>
    <x v="3"/>
    <x v="0"/>
    <x v="12"/>
    <x v="373"/>
    <s v="Small Pack"/>
    <n v="0.6"/>
    <d v="2012-08-05T00:00:00"/>
    <n v="0"/>
    <n v="0"/>
    <n v="1"/>
    <n v="1"/>
  </r>
  <r>
    <n v="4757"/>
    <n v="33797"/>
    <x v="116"/>
    <x v="22"/>
    <s v="Not Specified"/>
    <n v="29"/>
    <n v="138.16999999999999"/>
    <n v="0.05"/>
    <s v="Express Air"/>
    <n v="-103.78"/>
    <n v="4.1399999999999997"/>
    <n v="6.6"/>
    <x v="399"/>
    <x v="8"/>
    <x v="6"/>
    <x v="0"/>
    <x v="2"/>
    <x v="4"/>
    <x v="396"/>
    <s v="Small Box"/>
    <n v="0.49"/>
    <d v="2009-01-13T00:00:00"/>
    <n v="0"/>
    <n v="1"/>
    <n v="0.2"/>
    <n v="0.2"/>
  </r>
  <r>
    <n v="4758"/>
    <n v="33797"/>
    <x v="116"/>
    <x v="22"/>
    <s v="Not Specified"/>
    <n v="18"/>
    <n v="216.87"/>
    <n v="0.03"/>
    <s v="Regular Air"/>
    <n v="30.53"/>
    <n v="11.34"/>
    <n v="5.01"/>
    <x v="399"/>
    <x v="8"/>
    <x v="6"/>
    <x v="0"/>
    <x v="0"/>
    <x v="5"/>
    <x v="119"/>
    <s v="Small Box"/>
    <n v="0.36"/>
    <d v="2009-01-11T00:00:00"/>
    <n v="0"/>
    <n v="1"/>
    <n v="0.2"/>
    <n v="0.2"/>
  </r>
  <r>
    <n v="4826"/>
    <n v="34309"/>
    <x v="1137"/>
    <x v="34"/>
    <s v="High"/>
    <n v="16"/>
    <n v="75.77"/>
    <n v="0"/>
    <s v="Regular Air"/>
    <n v="-56.62"/>
    <n v="4.37"/>
    <n v="5.15"/>
    <x v="357"/>
    <x v="8"/>
    <x v="6"/>
    <x v="0"/>
    <x v="0"/>
    <x v="1"/>
    <x v="537"/>
    <s v="Small Box"/>
    <n v="0.59"/>
    <d v="2012-09-08T00:00:00"/>
    <n v="0"/>
    <n v="0"/>
    <n v="1"/>
    <n v="1"/>
  </r>
  <r>
    <n v="4859"/>
    <n v="34595"/>
    <x v="572"/>
    <x v="29"/>
    <s v="Medium"/>
    <n v="12"/>
    <n v="488.65"/>
    <n v="7.0000000000000007E-2"/>
    <s v="Regular Air"/>
    <n v="19.829999999999998"/>
    <n v="40.99"/>
    <n v="17.48"/>
    <x v="398"/>
    <x v="8"/>
    <x v="6"/>
    <x v="0"/>
    <x v="0"/>
    <x v="5"/>
    <x v="129"/>
    <s v="Small Box"/>
    <n v="0.36"/>
    <d v="2012-07-20T00:00:00"/>
    <n v="0"/>
    <n v="0"/>
    <n v="1"/>
    <n v="1"/>
  </r>
  <r>
    <n v="4872"/>
    <n v="34662"/>
    <x v="1138"/>
    <x v="23"/>
    <s v="Critical"/>
    <n v="35"/>
    <n v="12741.81"/>
    <n v="0.09"/>
    <s v="Delivery Truck"/>
    <n v="95.059999999999945"/>
    <n v="370.98"/>
    <n v="99"/>
    <x v="406"/>
    <x v="8"/>
    <x v="6"/>
    <x v="1"/>
    <x v="0"/>
    <x v="0"/>
    <x v="222"/>
    <s v="Jumbo Drum"/>
    <n v="0.65"/>
    <d v="2012-01-12T00:00:00"/>
    <n v="0"/>
    <n v="0"/>
    <n v="1"/>
    <n v="1"/>
  </r>
  <r>
    <n v="4874"/>
    <n v="34689"/>
    <x v="257"/>
    <x v="11"/>
    <s v="Low"/>
    <n v="36"/>
    <n v="572.4"/>
    <n v="7.0000000000000007E-2"/>
    <s v="Regular Air"/>
    <n v="-39.5"/>
    <n v="16.91"/>
    <n v="6.25"/>
    <x v="361"/>
    <x v="8"/>
    <x v="6"/>
    <x v="3"/>
    <x v="0"/>
    <x v="0"/>
    <x v="624"/>
    <s v="Small Box"/>
    <n v="0.57999999999999996"/>
    <d v="2009-11-30T00:00:00"/>
    <n v="0"/>
    <n v="0"/>
    <n v="1"/>
    <n v="1"/>
  </r>
  <r>
    <n v="4878"/>
    <n v="34694"/>
    <x v="1087"/>
    <x v="37"/>
    <s v="Low"/>
    <n v="11"/>
    <n v="55.49"/>
    <n v="0.04"/>
    <s v="Regular Air"/>
    <n v="-37.32"/>
    <n v="4.4800000000000004"/>
    <n v="7.24"/>
    <x v="391"/>
    <x v="8"/>
    <x v="6"/>
    <x v="1"/>
    <x v="2"/>
    <x v="4"/>
    <x v="1125"/>
    <s v="Small Box"/>
    <n v="0.54"/>
    <d v="2011-04-28T00:00:00"/>
    <n v="0"/>
    <n v="0"/>
    <n v="1"/>
    <n v="1"/>
  </r>
  <r>
    <n v="4883"/>
    <n v="34725"/>
    <x v="614"/>
    <x v="2"/>
    <s v="Low"/>
    <n v="14"/>
    <n v="1885.41"/>
    <n v="0.08"/>
    <s v="Regular Air"/>
    <n v="-524.74"/>
    <n v="138.13999999999999"/>
    <n v="35"/>
    <x v="357"/>
    <x v="8"/>
    <x v="6"/>
    <x v="0"/>
    <x v="0"/>
    <x v="0"/>
    <x v="8"/>
    <s v="Large Box"/>
    <m/>
    <d v="2011-07-29T00:00:00"/>
    <n v="0"/>
    <n v="0"/>
    <n v="1"/>
    <n v="0.33333333333333331"/>
  </r>
  <r>
    <n v="4960"/>
    <n v="35296"/>
    <x v="657"/>
    <x v="5"/>
    <s v="Low"/>
    <n v="7"/>
    <n v="407.8725"/>
    <n v="0.02"/>
    <s v="Regular Air"/>
    <n v="-165.62699999999998"/>
    <n v="65.989999999999995"/>
    <n v="3.99"/>
    <x v="383"/>
    <x v="8"/>
    <x v="6"/>
    <x v="2"/>
    <x v="1"/>
    <x v="3"/>
    <x v="440"/>
    <s v="Small Box"/>
    <n v="0.59"/>
    <d v="2011-03-23T00:00:00"/>
    <n v="0"/>
    <n v="0"/>
    <n v="1"/>
    <n v="1"/>
  </r>
  <r>
    <n v="4990"/>
    <n v="35494"/>
    <x v="492"/>
    <x v="44"/>
    <s v="Medium"/>
    <n v="18"/>
    <n v="1731.1040000000003"/>
    <n v="0.01"/>
    <s v="Regular Air"/>
    <n v="-270.57373200000001"/>
    <n v="111.96"/>
    <n v="69"/>
    <x v="410"/>
    <x v="8"/>
    <x v="6"/>
    <x v="1"/>
    <x v="2"/>
    <x v="10"/>
    <x v="995"/>
    <s v="Large Box"/>
    <n v="0.63"/>
    <d v="2011-02-15T00:00:00"/>
    <n v="0"/>
    <n v="0"/>
    <n v="1"/>
    <n v="1"/>
  </r>
  <r>
    <n v="5030"/>
    <n v="35845"/>
    <x v="754"/>
    <x v="16"/>
    <s v="High"/>
    <n v="15"/>
    <n v="5713.48"/>
    <n v="0.05"/>
    <s v="Delivery Truck"/>
    <n v="-712.52610000000004"/>
    <n v="376.13"/>
    <n v="85.63"/>
    <x v="392"/>
    <x v="8"/>
    <x v="6"/>
    <x v="2"/>
    <x v="2"/>
    <x v="10"/>
    <x v="564"/>
    <s v="Jumbo Box"/>
    <n v="0.74"/>
    <d v="2011-01-08T00:00:00"/>
    <n v="0"/>
    <n v="0"/>
    <n v="1"/>
    <n v="1"/>
  </r>
  <r>
    <n v="5036"/>
    <n v="35905"/>
    <x v="852"/>
    <x v="12"/>
    <s v="Low"/>
    <n v="20"/>
    <n v="37.4"/>
    <n v="0.09"/>
    <s v="Express Air"/>
    <n v="-17.18"/>
    <n v="1.68"/>
    <n v="1.57"/>
    <x v="392"/>
    <x v="8"/>
    <x v="6"/>
    <x v="2"/>
    <x v="0"/>
    <x v="12"/>
    <x v="113"/>
    <s v="Wrap Bag"/>
    <n v="0.59"/>
    <d v="2012-02-24T00:00:00"/>
    <n v="0"/>
    <n v="0"/>
    <n v="1"/>
    <n v="0.5"/>
  </r>
  <r>
    <n v="5240"/>
    <n v="37287"/>
    <x v="279"/>
    <x v="32"/>
    <s v="Low"/>
    <n v="22"/>
    <n v="2052.2655"/>
    <n v="0.04"/>
    <s v="Regular Air"/>
    <n v="371.40300000000002"/>
    <n v="110.99"/>
    <n v="2.5"/>
    <x v="361"/>
    <x v="8"/>
    <x v="6"/>
    <x v="2"/>
    <x v="1"/>
    <x v="3"/>
    <x v="368"/>
    <s v="Small Box"/>
    <n v="0.56999999999999995"/>
    <d v="2012-11-05T00:00:00"/>
    <n v="0"/>
    <n v="0"/>
    <n v="0.33333333333333331"/>
    <n v="0.33333333333333331"/>
  </r>
  <r>
    <n v="5263"/>
    <n v="37443"/>
    <x v="104"/>
    <x v="24"/>
    <s v="Not Specified"/>
    <n v="21"/>
    <n v="2172.7019999999998"/>
    <n v="0.01"/>
    <s v="Regular Air"/>
    <n v="481.74299999999999"/>
    <n v="115.99"/>
    <n v="2.5"/>
    <x v="393"/>
    <x v="8"/>
    <x v="6"/>
    <x v="0"/>
    <x v="1"/>
    <x v="3"/>
    <x v="41"/>
    <s v="Small Box"/>
    <n v="0.56999999999999995"/>
    <d v="2010-04-17T00:00:00"/>
    <n v="0"/>
    <n v="0"/>
    <n v="0.5"/>
    <n v="0.5"/>
  </r>
  <r>
    <n v="5299"/>
    <n v="37731"/>
    <x v="669"/>
    <x v="11"/>
    <s v="Critical"/>
    <n v="25"/>
    <n v="88.37"/>
    <n v="0.09"/>
    <s v="Regular Air"/>
    <n v="33.68"/>
    <n v="3.75"/>
    <n v="0.5"/>
    <x v="422"/>
    <x v="8"/>
    <x v="6"/>
    <x v="3"/>
    <x v="0"/>
    <x v="11"/>
    <x v="743"/>
    <s v="Small Box"/>
    <n v="0.37"/>
    <d v="2009-11-06T00:00:00"/>
    <n v="0"/>
    <n v="0"/>
    <n v="0.5"/>
    <n v="0.5"/>
  </r>
  <r>
    <n v="5310"/>
    <n v="37792"/>
    <x v="1047"/>
    <x v="25"/>
    <s v="High"/>
    <n v="14"/>
    <n v="36.74"/>
    <n v="0.09"/>
    <s v="Regular Air"/>
    <n v="-5.36"/>
    <n v="2.78"/>
    <n v="0.97"/>
    <x v="351"/>
    <x v="8"/>
    <x v="6"/>
    <x v="2"/>
    <x v="0"/>
    <x v="12"/>
    <x v="948"/>
    <s v="Wrap Bag"/>
    <n v="0.59"/>
    <d v="2011-12-30T00:00:00"/>
    <n v="0"/>
    <n v="0"/>
    <n v="0.5"/>
    <n v="0.33333333333333331"/>
  </r>
  <r>
    <n v="5334"/>
    <n v="37893"/>
    <x v="1139"/>
    <x v="27"/>
    <s v="Not Specified"/>
    <n v="14"/>
    <n v="436.78"/>
    <n v="0.04"/>
    <s v="Regular Air"/>
    <n v="25.69"/>
    <n v="29.99"/>
    <n v="5.5"/>
    <x v="455"/>
    <x v="8"/>
    <x v="6"/>
    <x v="2"/>
    <x v="1"/>
    <x v="7"/>
    <x v="890"/>
    <s v="Small Box"/>
    <n v="0.51"/>
    <d v="2011-11-25T00:00:00"/>
    <n v="0"/>
    <n v="0"/>
    <n v="1"/>
    <n v="1"/>
  </r>
  <r>
    <n v="5399"/>
    <n v="38372"/>
    <x v="812"/>
    <x v="39"/>
    <s v="High"/>
    <n v="46"/>
    <n v="1053.8399999999999"/>
    <n v="0"/>
    <s v="Regular Air"/>
    <n v="-632.16"/>
    <n v="20.98"/>
    <n v="21.2"/>
    <x v="363"/>
    <x v="8"/>
    <x v="6"/>
    <x v="1"/>
    <x v="2"/>
    <x v="4"/>
    <x v="1126"/>
    <s v="Medium Box"/>
    <n v="0.78"/>
    <d v="2010-05-15T00:00:00"/>
    <n v="0"/>
    <n v="0"/>
    <n v="0.5"/>
    <n v="0.5"/>
  </r>
  <r>
    <n v="5427"/>
    <n v="38564"/>
    <x v="868"/>
    <x v="11"/>
    <s v="Critical"/>
    <n v="37"/>
    <n v="9517.6"/>
    <n v="0.09"/>
    <s v="Delivery Truck"/>
    <n v="-1262.44"/>
    <n v="280.98"/>
    <n v="57"/>
    <x v="11"/>
    <x v="8"/>
    <x v="6"/>
    <x v="3"/>
    <x v="2"/>
    <x v="14"/>
    <x v="544"/>
    <s v="Jumbo Drum"/>
    <n v="0.78"/>
    <d v="2009-11-05T00:00:00"/>
    <n v="0"/>
    <n v="0"/>
    <n v="0.33333333333333331"/>
    <n v="0.5"/>
  </r>
  <r>
    <n v="5477"/>
    <n v="38912"/>
    <x v="671"/>
    <x v="1"/>
    <s v="Low"/>
    <n v="46"/>
    <n v="6943.94"/>
    <n v="0.01"/>
    <s v="Regular Air"/>
    <n v="608.9"/>
    <n v="152.47999999999999"/>
    <n v="4"/>
    <x v="364"/>
    <x v="8"/>
    <x v="6"/>
    <x v="2"/>
    <x v="1"/>
    <x v="7"/>
    <x v="659"/>
    <s v="Small Box"/>
    <n v="0.79"/>
    <d v="2012-10-30T00:00:00"/>
    <n v="0"/>
    <n v="0"/>
    <n v="0.5"/>
    <n v="0.5"/>
  </r>
  <r>
    <n v="5493"/>
    <n v="38976"/>
    <x v="560"/>
    <x v="15"/>
    <s v="Critical"/>
    <n v="46"/>
    <n v="944.76"/>
    <n v="0.03"/>
    <s v="Regular Air"/>
    <n v="165.46"/>
    <n v="19.98"/>
    <n v="8.68"/>
    <x v="374"/>
    <x v="8"/>
    <x v="6"/>
    <x v="2"/>
    <x v="0"/>
    <x v="5"/>
    <x v="471"/>
    <s v="Small Box"/>
    <n v="0.37"/>
    <d v="2010-12-27T00:00:00"/>
    <n v="0"/>
    <n v="0"/>
    <n v="0.5"/>
    <n v="0.5"/>
  </r>
  <r>
    <n v="5503"/>
    <n v="39040"/>
    <x v="883"/>
    <x v="43"/>
    <s v="Critical"/>
    <n v="26"/>
    <n v="1204.5094999999999"/>
    <n v="0.03"/>
    <s v="Regular Air"/>
    <n v="-221.25399999999999"/>
    <n v="55.99"/>
    <n v="5"/>
    <x v="352"/>
    <x v="8"/>
    <x v="6"/>
    <x v="2"/>
    <x v="1"/>
    <x v="3"/>
    <x v="140"/>
    <s v="Small Pack"/>
    <n v="0.83"/>
    <d v="2009-05-22T00:00:00"/>
    <n v="0"/>
    <n v="0"/>
    <n v="0.5"/>
    <n v="0.5"/>
  </r>
  <r>
    <n v="5530"/>
    <n v="39169"/>
    <x v="1136"/>
    <x v="21"/>
    <s v="Medium"/>
    <n v="5"/>
    <n v="24.91"/>
    <n v="0"/>
    <s v="Regular Air"/>
    <n v="-0.9"/>
    <n v="4.84"/>
    <n v="0.71"/>
    <x v="304"/>
    <x v="8"/>
    <x v="6"/>
    <x v="3"/>
    <x v="0"/>
    <x v="12"/>
    <x v="486"/>
    <s v="Wrap Bag"/>
    <n v="0.52"/>
    <d v="2011-08-27T00:00:00"/>
    <n v="0"/>
    <n v="0"/>
    <n v="1"/>
    <n v="1"/>
  </r>
  <r>
    <n v="5538"/>
    <n v="39238"/>
    <x v="471"/>
    <x v="18"/>
    <s v="Critical"/>
    <n v="9"/>
    <n v="373.48"/>
    <n v="0.1"/>
    <s v="Express Air"/>
    <n v="112.05550000000001"/>
    <n v="40.98"/>
    <n v="2.99"/>
    <x v="365"/>
    <x v="8"/>
    <x v="6"/>
    <x v="2"/>
    <x v="0"/>
    <x v="2"/>
    <x v="326"/>
    <s v="Small Box"/>
    <n v="0.36"/>
    <d v="2010-09-27T00:00:00"/>
    <n v="0"/>
    <n v="0"/>
    <n v="1"/>
    <n v="1"/>
  </r>
  <r>
    <n v="5567"/>
    <n v="39426"/>
    <x v="772"/>
    <x v="43"/>
    <s v="Critical"/>
    <n v="21"/>
    <n v="56.21"/>
    <n v="0.05"/>
    <s v="Regular Air"/>
    <n v="12.71"/>
    <n v="2.62"/>
    <n v="0.8"/>
    <x v="372"/>
    <x v="8"/>
    <x v="6"/>
    <x v="0"/>
    <x v="0"/>
    <x v="6"/>
    <x v="675"/>
    <s v="Wrap Bag"/>
    <n v="0.39"/>
    <d v="2009-05-27T00:00:00"/>
    <n v="0"/>
    <n v="0"/>
    <n v="1"/>
    <n v="0.33333333333333331"/>
  </r>
  <r>
    <n v="5613"/>
    <n v="39780"/>
    <x v="113"/>
    <x v="41"/>
    <s v="Low"/>
    <n v="33"/>
    <n v="1683.69"/>
    <n v="0.02"/>
    <s v="Regular Air"/>
    <n v="809.97"/>
    <n v="48.04"/>
    <n v="5.79"/>
    <x v="341"/>
    <x v="8"/>
    <x v="6"/>
    <x v="1"/>
    <x v="0"/>
    <x v="5"/>
    <x v="728"/>
    <s v="Small Box"/>
    <n v="0.37"/>
    <d v="2009-06-14T00:00:00"/>
    <n v="0"/>
    <n v="0"/>
    <n v="0.5"/>
    <n v="0.2"/>
  </r>
  <r>
    <n v="5653"/>
    <n v="40005"/>
    <x v="456"/>
    <x v="42"/>
    <s v="High"/>
    <n v="9"/>
    <n v="130.43"/>
    <n v="0.03"/>
    <s v="Regular Air"/>
    <n v="-8.6999999999999993"/>
    <n v="13.48"/>
    <n v="4.51"/>
    <x v="393"/>
    <x v="8"/>
    <x v="6"/>
    <x v="0"/>
    <x v="0"/>
    <x v="0"/>
    <x v="27"/>
    <s v="Small Box"/>
    <n v="0.59"/>
    <d v="2010-07-25T00:00:00"/>
    <n v="0"/>
    <n v="0"/>
    <n v="0.5"/>
    <n v="0.5"/>
  </r>
  <r>
    <n v="5829"/>
    <n v="41350"/>
    <x v="768"/>
    <x v="39"/>
    <s v="Medium"/>
    <n v="1"/>
    <n v="423.3"/>
    <n v="0.01"/>
    <s v="Regular Air"/>
    <n v="-259.01"/>
    <n v="419.19"/>
    <n v="19.989999999999998"/>
    <x v="389"/>
    <x v="8"/>
    <x v="6"/>
    <x v="0"/>
    <x v="0"/>
    <x v="0"/>
    <x v="1127"/>
    <s v="Small Box"/>
    <n v="0.57999999999999996"/>
    <d v="2010-05-09T00:00:00"/>
    <n v="0"/>
    <n v="0"/>
    <n v="1"/>
    <n v="1"/>
  </r>
  <r>
    <n v="5834"/>
    <n v="41383"/>
    <x v="357"/>
    <x v="39"/>
    <s v="Low"/>
    <n v="38"/>
    <n v="2702.3"/>
    <n v="0.03"/>
    <s v="Delivery Truck"/>
    <n v="-1330.78"/>
    <n v="70.98"/>
    <n v="59.81"/>
    <x v="357"/>
    <x v="8"/>
    <x v="6"/>
    <x v="0"/>
    <x v="2"/>
    <x v="14"/>
    <x v="1022"/>
    <s v="Jumbo Drum"/>
    <n v="0.6"/>
    <d v="2010-05-16T00:00:00"/>
    <n v="0"/>
    <n v="0"/>
    <n v="0.5"/>
    <n v="0.5"/>
  </r>
  <r>
    <n v="5900"/>
    <n v="41826"/>
    <x v="1034"/>
    <x v="0"/>
    <s v="Medium"/>
    <n v="2"/>
    <n v="570.98"/>
    <n v="0.05"/>
    <s v="Delivery Truck"/>
    <n v="-340.48"/>
    <n v="258.98"/>
    <n v="54.31"/>
    <x v="341"/>
    <x v="8"/>
    <x v="6"/>
    <x v="1"/>
    <x v="2"/>
    <x v="14"/>
    <x v="706"/>
    <s v="Jumbo Drum"/>
    <n v="0.55000000000000004"/>
    <d v="2010-10-18T00:00:00"/>
    <n v="0"/>
    <n v="0"/>
    <n v="0.5"/>
    <n v="0.5"/>
  </r>
  <r>
    <n v="5996"/>
    <n v="42471"/>
    <x v="499"/>
    <x v="33"/>
    <s v="Low"/>
    <n v="23"/>
    <n v="44.89"/>
    <n v="0.09"/>
    <s v="Regular Air"/>
    <n v="-17.13"/>
    <n v="1.95"/>
    <n v="1.63"/>
    <x v="406"/>
    <x v="8"/>
    <x v="6"/>
    <x v="1"/>
    <x v="0"/>
    <x v="12"/>
    <x v="1060"/>
    <s v="Wrap Bag"/>
    <n v="0.46"/>
    <d v="2012-03-11T00:00:00"/>
    <n v="0"/>
    <n v="0"/>
    <n v="1"/>
    <n v="1"/>
  </r>
  <r>
    <n v="6003"/>
    <n v="42528"/>
    <x v="1020"/>
    <x v="6"/>
    <s v="Medium"/>
    <n v="29"/>
    <n v="200.7"/>
    <n v="0.02"/>
    <s v="Regular Air"/>
    <n v="-147.72"/>
    <n v="6.48"/>
    <n v="9.17"/>
    <x v="370"/>
    <x v="8"/>
    <x v="6"/>
    <x v="1"/>
    <x v="0"/>
    <x v="5"/>
    <x v="1100"/>
    <s v="Small Box"/>
    <n v="0.37"/>
    <d v="2010-02-24T00:00:00"/>
    <n v="0"/>
    <n v="0"/>
    <n v="0.2"/>
    <n v="0.2"/>
  </r>
  <r>
    <n v="6004"/>
    <n v="42529"/>
    <x v="252"/>
    <x v="0"/>
    <s v="Low"/>
    <n v="2"/>
    <n v="6.34"/>
    <n v="0.08"/>
    <s v="Regular Air"/>
    <n v="-4.4400000000000004"/>
    <n v="2.78"/>
    <n v="0.97"/>
    <x v="409"/>
    <x v="8"/>
    <x v="6"/>
    <x v="0"/>
    <x v="0"/>
    <x v="12"/>
    <x v="948"/>
    <s v="Wrap Bag"/>
    <n v="0.59"/>
    <d v="2010-10-14T00:00:00"/>
    <n v="0"/>
    <n v="0"/>
    <n v="0.33333333333333331"/>
    <n v="0.33333333333333331"/>
  </r>
  <r>
    <n v="6006"/>
    <n v="42529"/>
    <x v="252"/>
    <x v="0"/>
    <s v="Low"/>
    <n v="48"/>
    <n v="2996.93"/>
    <n v="0.04"/>
    <s v="Regular Air"/>
    <n v="1060.8699999999999"/>
    <n v="60.22"/>
    <n v="3.5"/>
    <x v="409"/>
    <x v="8"/>
    <x v="6"/>
    <x v="0"/>
    <x v="0"/>
    <x v="1"/>
    <x v="477"/>
    <s v="Small Box"/>
    <n v="0.56999999999999995"/>
    <d v="2010-10-14T00:00:00"/>
    <n v="0"/>
    <n v="0"/>
    <n v="0.33333333333333331"/>
    <n v="0.33333333333333331"/>
  </r>
  <r>
    <n v="6095"/>
    <n v="43200"/>
    <x v="126"/>
    <x v="42"/>
    <s v="Not Specified"/>
    <n v="3"/>
    <n v="554.32000000000005"/>
    <n v="0.01"/>
    <s v="Regular Air"/>
    <n v="-62.134500000000003"/>
    <n v="172.99"/>
    <n v="19.989999999999998"/>
    <x v="372"/>
    <x v="8"/>
    <x v="6"/>
    <x v="0"/>
    <x v="0"/>
    <x v="2"/>
    <x v="470"/>
    <s v="Small Box"/>
    <n v="0.39"/>
    <d v="2010-08-01T00:00:00"/>
    <n v="0"/>
    <n v="0"/>
    <n v="0.5"/>
    <n v="0.25"/>
  </r>
  <r>
    <n v="6096"/>
    <n v="43200"/>
    <x v="126"/>
    <x v="42"/>
    <s v="Not Specified"/>
    <n v="15"/>
    <n v="1073.567"/>
    <n v="0.04"/>
    <s v="Regular Air"/>
    <n v="-305.96499999999997"/>
    <n v="85.99"/>
    <n v="0.99"/>
    <x v="372"/>
    <x v="8"/>
    <x v="6"/>
    <x v="0"/>
    <x v="1"/>
    <x v="3"/>
    <x v="55"/>
    <s v="Wrap Bag"/>
    <n v="0.85"/>
    <d v="2010-08-01T00:00:00"/>
    <n v="0"/>
    <n v="0"/>
    <n v="0.5"/>
    <n v="0.25"/>
  </r>
  <r>
    <n v="6150"/>
    <n v="43553"/>
    <x v="1046"/>
    <x v="43"/>
    <s v="Not Specified"/>
    <n v="29"/>
    <n v="143.29"/>
    <n v="0.05"/>
    <s v="Regular Air"/>
    <n v="-55.54"/>
    <n v="4.9800000000000004"/>
    <n v="4.72"/>
    <x v="455"/>
    <x v="8"/>
    <x v="6"/>
    <x v="2"/>
    <x v="0"/>
    <x v="5"/>
    <x v="751"/>
    <s v="Small Box"/>
    <n v="0.36"/>
    <d v="2009-05-15T00:00:00"/>
    <n v="0"/>
    <n v="0"/>
    <n v="1"/>
    <n v="1"/>
  </r>
  <r>
    <n v="6217"/>
    <n v="44033"/>
    <x v="1138"/>
    <x v="23"/>
    <s v="Critical"/>
    <n v="45"/>
    <n v="5811.97"/>
    <n v="0.03"/>
    <s v="Delivery Truck"/>
    <n v="-434.14800000000008"/>
    <n v="124.49"/>
    <n v="51.94"/>
    <x v="333"/>
    <x v="8"/>
    <x v="6"/>
    <x v="2"/>
    <x v="2"/>
    <x v="10"/>
    <x v="307"/>
    <s v="Jumbo Box"/>
    <n v="0.63"/>
    <d v="2012-01-12T00:00:00"/>
    <n v="0"/>
    <n v="0"/>
    <n v="1"/>
    <n v="1"/>
  </r>
  <r>
    <n v="6223"/>
    <n v="44065"/>
    <x v="122"/>
    <x v="42"/>
    <s v="Low"/>
    <n v="23"/>
    <n v="1914.16"/>
    <n v="0.01"/>
    <s v="Delivery Truck"/>
    <n v="128.43"/>
    <n v="80.97"/>
    <n v="33.6"/>
    <x v="333"/>
    <x v="8"/>
    <x v="6"/>
    <x v="0"/>
    <x v="1"/>
    <x v="16"/>
    <x v="196"/>
    <s v="Jumbo Drum"/>
    <n v="0.37"/>
    <d v="2010-07-10T00:00:00"/>
    <n v="0"/>
    <n v="0"/>
    <n v="1"/>
    <n v="1"/>
  </r>
  <r>
    <n v="6299"/>
    <n v="44583"/>
    <x v="832"/>
    <x v="19"/>
    <s v="Low"/>
    <n v="21"/>
    <n v="315.07"/>
    <n v="0.02"/>
    <s v="Regular Air"/>
    <n v="95"/>
    <n v="14.2"/>
    <n v="5.3"/>
    <x v="392"/>
    <x v="8"/>
    <x v="6"/>
    <x v="2"/>
    <x v="2"/>
    <x v="4"/>
    <x v="457"/>
    <s v="Wrap Bag"/>
    <n v="0.46"/>
    <d v="2009-10-06T00:00:00"/>
    <n v="0"/>
    <n v="0"/>
    <n v="0.5"/>
    <n v="0.5"/>
  </r>
  <r>
    <n v="6353"/>
    <n v="45030"/>
    <x v="331"/>
    <x v="42"/>
    <s v="High"/>
    <n v="1"/>
    <n v="18.16"/>
    <n v="0.03"/>
    <s v="Regular Air"/>
    <n v="-7.25"/>
    <n v="12.28"/>
    <n v="6.13"/>
    <x v="353"/>
    <x v="8"/>
    <x v="6"/>
    <x v="1"/>
    <x v="0"/>
    <x v="0"/>
    <x v="166"/>
    <s v="Small Box"/>
    <n v="0.56999999999999995"/>
    <d v="2010-07-26T00:00:00"/>
    <n v="0"/>
    <n v="0"/>
    <n v="1"/>
    <n v="1"/>
  </r>
  <r>
    <n v="6487"/>
    <n v="46177"/>
    <x v="112"/>
    <x v="15"/>
    <s v="Low"/>
    <n v="13"/>
    <n v="11169.95"/>
    <n v="7.0000000000000007E-2"/>
    <s v="Regular Air"/>
    <n v="3982.2245000000003"/>
    <n v="896.99"/>
    <n v="19.989999999999998"/>
    <x v="110"/>
    <x v="8"/>
    <x v="6"/>
    <x v="2"/>
    <x v="0"/>
    <x v="2"/>
    <x v="317"/>
    <s v="Small Box"/>
    <n v="0.38"/>
    <d v="2010-12-05T00:00:00"/>
    <n v="0"/>
    <n v="0"/>
    <n v="0.33333333333333331"/>
    <n v="0.33333333333333331"/>
  </r>
  <r>
    <n v="6512"/>
    <n v="46341"/>
    <x v="1140"/>
    <x v="47"/>
    <s v="High"/>
    <n v="23"/>
    <n v="39.130000000000003"/>
    <n v="0.1"/>
    <s v="Regular Air"/>
    <n v="-23.14"/>
    <n v="1.68"/>
    <n v="1.57"/>
    <x v="352"/>
    <x v="8"/>
    <x v="6"/>
    <x v="2"/>
    <x v="0"/>
    <x v="12"/>
    <x v="113"/>
    <s v="Wrap Bag"/>
    <n v="0.59"/>
    <d v="2009-12-18T00:00:00"/>
    <n v="0"/>
    <n v="0"/>
    <n v="1"/>
    <n v="1"/>
  </r>
  <r>
    <n v="6513"/>
    <n v="46368"/>
    <x v="981"/>
    <x v="13"/>
    <s v="High"/>
    <n v="48"/>
    <n v="166.13"/>
    <n v="0"/>
    <s v="Regular Air"/>
    <n v="-119.16"/>
    <n v="3.28"/>
    <n v="3.97"/>
    <x v="362"/>
    <x v="8"/>
    <x v="6"/>
    <x v="2"/>
    <x v="0"/>
    <x v="12"/>
    <x v="431"/>
    <s v="Wrap Bag"/>
    <n v="0.56000000000000005"/>
    <d v="2012-04-26T00:00:00"/>
    <n v="0"/>
    <n v="0"/>
    <n v="1"/>
    <n v="1"/>
  </r>
  <r>
    <n v="6541"/>
    <n v="46531"/>
    <x v="1049"/>
    <x v="21"/>
    <s v="Low"/>
    <n v="17"/>
    <n v="3064.6579999999999"/>
    <n v="0.01"/>
    <s v="Regular Air"/>
    <n v="447.33600000000001"/>
    <n v="205.99"/>
    <n v="2.79"/>
    <x v="341"/>
    <x v="8"/>
    <x v="6"/>
    <x v="1"/>
    <x v="1"/>
    <x v="3"/>
    <x v="1128"/>
    <s v="Small Box"/>
    <n v="0.57999999999999996"/>
    <d v="2011-08-26T00:00:00"/>
    <n v="0"/>
    <n v="0"/>
    <n v="0.25"/>
    <n v="0.25"/>
  </r>
  <r>
    <n v="6608"/>
    <n v="47012"/>
    <x v="1130"/>
    <x v="39"/>
    <s v="Low"/>
    <n v="35"/>
    <n v="584.41999999999996"/>
    <n v="0.08"/>
    <s v="Express Air"/>
    <n v="-97.21"/>
    <n v="16.989999999999998"/>
    <n v="8.99"/>
    <x v="403"/>
    <x v="8"/>
    <x v="6"/>
    <x v="0"/>
    <x v="0"/>
    <x v="12"/>
    <x v="644"/>
    <s v="Small Pack"/>
    <n v="0.56000000000000005"/>
    <d v="2010-05-17T00:00:00"/>
    <n v="0"/>
    <n v="0"/>
    <n v="1"/>
    <n v="0.33333333333333331"/>
  </r>
  <r>
    <n v="6619"/>
    <n v="47106"/>
    <x v="1076"/>
    <x v="17"/>
    <s v="Medium"/>
    <n v="37"/>
    <n v="2192.63"/>
    <n v="0.05"/>
    <s v="Regular Air"/>
    <n v="660.06"/>
    <n v="59.98"/>
    <n v="3.99"/>
    <x v="419"/>
    <x v="8"/>
    <x v="6"/>
    <x v="3"/>
    <x v="0"/>
    <x v="1"/>
    <x v="323"/>
    <s v="Small Box"/>
    <n v="0.56999999999999995"/>
    <d v="2011-10-27T00:00:00"/>
    <n v="0"/>
    <n v="0"/>
    <n v="0.5"/>
    <n v="0.5"/>
  </r>
  <r>
    <n v="6693"/>
    <n v="47621"/>
    <x v="1141"/>
    <x v="36"/>
    <s v="Critical"/>
    <n v="16"/>
    <n v="230.74"/>
    <n v="0.08"/>
    <s v="Express Air"/>
    <n v="27.23"/>
    <n v="14.2"/>
    <n v="5.3"/>
    <x v="424"/>
    <x v="8"/>
    <x v="6"/>
    <x v="3"/>
    <x v="2"/>
    <x v="4"/>
    <x v="457"/>
    <s v="Wrap Bag"/>
    <n v="0.46"/>
    <d v="2009-07-13T00:00:00"/>
    <n v="0"/>
    <n v="0"/>
    <n v="1"/>
    <n v="1"/>
  </r>
  <r>
    <n v="6839"/>
    <n v="48706"/>
    <x v="365"/>
    <x v="1"/>
    <s v="Low"/>
    <n v="28"/>
    <n v="31.2"/>
    <n v="0.09"/>
    <s v="Regular Air"/>
    <n v="-2.81"/>
    <n v="1.1399999999999999"/>
    <n v="0.7"/>
    <x v="389"/>
    <x v="8"/>
    <x v="6"/>
    <x v="0"/>
    <x v="0"/>
    <x v="6"/>
    <x v="1129"/>
    <s v="Wrap Bag"/>
    <n v="0.38"/>
    <d v="2012-11-03T00:00:00"/>
    <n v="0"/>
    <n v="0"/>
    <n v="0.5"/>
    <n v="0.5"/>
  </r>
  <r>
    <n v="6929"/>
    <n v="49443"/>
    <x v="1142"/>
    <x v="16"/>
    <s v="High"/>
    <n v="41"/>
    <n v="396.15"/>
    <n v="0.05"/>
    <s v="Regular Air"/>
    <n v="-10.98"/>
    <n v="9.85"/>
    <n v="4.82"/>
    <x v="375"/>
    <x v="8"/>
    <x v="6"/>
    <x v="3"/>
    <x v="0"/>
    <x v="12"/>
    <x v="1106"/>
    <s v="Wrap Bag"/>
    <n v="0.47"/>
    <d v="2011-01-24T00:00:00"/>
    <n v="0"/>
    <n v="0"/>
    <n v="1"/>
    <n v="0.5"/>
  </r>
  <r>
    <n v="6972"/>
    <n v="49824"/>
    <x v="1143"/>
    <x v="5"/>
    <s v="High"/>
    <n v="33"/>
    <n v="1900.2259999999999"/>
    <n v="0.01"/>
    <s v="Express Air"/>
    <n v="440.19900000000001"/>
    <n v="65.989999999999995"/>
    <n v="5.31"/>
    <x v="389"/>
    <x v="8"/>
    <x v="6"/>
    <x v="0"/>
    <x v="1"/>
    <x v="3"/>
    <x v="305"/>
    <s v="Small Box"/>
    <n v="0.56999999999999995"/>
    <d v="2011-03-23T00:00:00"/>
    <n v="0"/>
    <n v="0"/>
    <n v="1"/>
    <n v="1"/>
  </r>
  <r>
    <n v="7156"/>
    <n v="51047"/>
    <x v="591"/>
    <x v="46"/>
    <s v="Medium"/>
    <n v="28"/>
    <n v="65.7"/>
    <n v="0.02"/>
    <s v="Express Air"/>
    <n v="-83.54"/>
    <n v="1.76"/>
    <n v="4.8600000000000003"/>
    <x v="452"/>
    <x v="8"/>
    <x v="6"/>
    <x v="2"/>
    <x v="2"/>
    <x v="4"/>
    <x v="1099"/>
    <s v="Small Box"/>
    <n v="0.41"/>
    <d v="2009-04-11T00:00:00"/>
    <n v="0"/>
    <n v="0"/>
    <n v="0.5"/>
    <n v="0.5"/>
  </r>
  <r>
    <n v="7157"/>
    <n v="51047"/>
    <x v="591"/>
    <x v="46"/>
    <s v="Medium"/>
    <n v="38"/>
    <n v="1685.07"/>
    <n v="0.03"/>
    <s v="Regular Air"/>
    <n v="-681.97"/>
    <n v="41.47"/>
    <n v="34.200000000000003"/>
    <x v="452"/>
    <x v="8"/>
    <x v="6"/>
    <x v="2"/>
    <x v="2"/>
    <x v="4"/>
    <x v="147"/>
    <s v="Wrap Bag"/>
    <n v="0.73"/>
    <d v="2009-04-11T00:00:00"/>
    <n v="0"/>
    <n v="0"/>
    <n v="0.5"/>
    <n v="0.5"/>
  </r>
  <r>
    <n v="7261"/>
    <n v="51783"/>
    <x v="1079"/>
    <x v="27"/>
    <s v="Medium"/>
    <n v="47"/>
    <n v="3587.72"/>
    <n v="0"/>
    <s v="Delivery Truck"/>
    <n v="54.230849999999997"/>
    <n v="70.89"/>
    <n v="89.3"/>
    <x v="293"/>
    <x v="8"/>
    <x v="6"/>
    <x v="1"/>
    <x v="2"/>
    <x v="10"/>
    <x v="818"/>
    <s v="Jumbo Box"/>
    <n v="0.69"/>
    <d v="2011-11-13T00:00:00"/>
    <n v="0"/>
    <n v="0"/>
    <n v="0.33333333333333331"/>
    <n v="0.33333333333333331"/>
  </r>
  <r>
    <n v="7556"/>
    <n v="54053"/>
    <x v="12"/>
    <x v="12"/>
    <s v="High"/>
    <n v="34"/>
    <n v="5634.3525"/>
    <n v="0.03"/>
    <s v="Regular Air"/>
    <n v="1185.4079999999999"/>
    <n v="200.99"/>
    <n v="8.08"/>
    <x v="370"/>
    <x v="8"/>
    <x v="6"/>
    <x v="1"/>
    <x v="1"/>
    <x v="3"/>
    <x v="103"/>
    <s v="Small Box"/>
    <n v="0.59"/>
    <d v="2012-02-15T00:00:00"/>
    <n v="0"/>
    <n v="0"/>
    <n v="0.5"/>
    <n v="0.5"/>
  </r>
  <r>
    <n v="7630"/>
    <n v="54592"/>
    <x v="1126"/>
    <x v="4"/>
    <s v="Low"/>
    <n v="34"/>
    <n v="154.43"/>
    <n v="0.03"/>
    <s v="Regular Air"/>
    <n v="-133.77000000000001"/>
    <n v="4.18"/>
    <n v="6.92"/>
    <x v="389"/>
    <x v="8"/>
    <x v="6"/>
    <x v="0"/>
    <x v="2"/>
    <x v="4"/>
    <x v="760"/>
    <s v="Small Box"/>
    <n v="0.49"/>
    <d v="2011-06-14T00:00:00"/>
    <n v="0"/>
    <n v="0"/>
    <n v="0.5"/>
    <n v="0.5"/>
  </r>
  <r>
    <n v="7741"/>
    <n v="55425"/>
    <x v="966"/>
    <x v="27"/>
    <s v="Critical"/>
    <n v="8"/>
    <n v="2302.36"/>
    <n v="0.05"/>
    <s v="Express Air"/>
    <n v="-114.68"/>
    <n v="300.97000000000003"/>
    <n v="7.18"/>
    <x v="374"/>
    <x v="8"/>
    <x v="6"/>
    <x v="2"/>
    <x v="1"/>
    <x v="7"/>
    <x v="1130"/>
    <s v="Small Box"/>
    <n v="0.48"/>
    <d v="2011-11-03T00:00:00"/>
    <n v="0"/>
    <n v="0"/>
    <n v="0.33333333333333331"/>
    <n v="0.33333333333333331"/>
  </r>
  <r>
    <n v="7767"/>
    <n v="55616"/>
    <x v="166"/>
    <x v="10"/>
    <s v="High"/>
    <n v="24"/>
    <n v="437.47799999999995"/>
    <n v="0.02"/>
    <s v="Regular Air"/>
    <n v="-42.228999999999999"/>
    <n v="20.99"/>
    <n v="1.25"/>
    <x v="410"/>
    <x v="8"/>
    <x v="6"/>
    <x v="1"/>
    <x v="1"/>
    <x v="3"/>
    <x v="173"/>
    <s v="Small Pack"/>
    <n v="0.83"/>
    <d v="2011-05-09T00:00:00"/>
    <n v="0"/>
    <n v="0"/>
    <n v="0.5"/>
    <n v="0.5"/>
  </r>
  <r>
    <n v="7821"/>
    <n v="55909"/>
    <x v="1056"/>
    <x v="43"/>
    <s v="Low"/>
    <n v="2"/>
    <n v="32.6"/>
    <n v="0.03"/>
    <s v="Regular Air"/>
    <n v="-20.57"/>
    <n v="13.43"/>
    <n v="5.5"/>
    <x v="411"/>
    <x v="8"/>
    <x v="6"/>
    <x v="3"/>
    <x v="0"/>
    <x v="0"/>
    <x v="813"/>
    <s v="Small Box"/>
    <n v="0.56999999999999995"/>
    <d v="2009-05-26T00:00:00"/>
    <n v="0"/>
    <n v="0"/>
    <n v="0.5"/>
    <n v="0.5"/>
  </r>
  <r>
    <n v="7825"/>
    <n v="55938"/>
    <x v="770"/>
    <x v="29"/>
    <s v="Not Specified"/>
    <n v="42"/>
    <n v="802.46"/>
    <n v="0.08"/>
    <s v="Express Air"/>
    <n v="192.88"/>
    <n v="19.98"/>
    <n v="5.97"/>
    <x v="400"/>
    <x v="8"/>
    <x v="6"/>
    <x v="0"/>
    <x v="0"/>
    <x v="5"/>
    <x v="71"/>
    <s v="Small Box"/>
    <n v="0.38"/>
    <d v="2012-07-03T00:00:00"/>
    <n v="0"/>
    <n v="0"/>
    <n v="0.5"/>
    <n v="0.5"/>
  </r>
  <r>
    <n v="7866"/>
    <n v="56260"/>
    <x v="204"/>
    <x v="26"/>
    <s v="Not Specified"/>
    <n v="34"/>
    <n v="223.76"/>
    <n v="0.03"/>
    <s v="Regular Air"/>
    <n v="-139.66"/>
    <n v="6.48"/>
    <n v="7.91"/>
    <x v="423"/>
    <x v="8"/>
    <x v="6"/>
    <x v="2"/>
    <x v="0"/>
    <x v="5"/>
    <x v="952"/>
    <s v="Small Box"/>
    <n v="0.37"/>
    <d v="2009-08-16T00:00:00"/>
    <n v="0"/>
    <n v="0"/>
    <n v="1"/>
    <n v="1"/>
  </r>
  <r>
    <n v="7946"/>
    <n v="56768"/>
    <x v="614"/>
    <x v="2"/>
    <s v="Critical"/>
    <n v="13"/>
    <n v="1207.02"/>
    <n v="0.03"/>
    <s v="Delivery Truck"/>
    <n v="235.4"/>
    <n v="90.97"/>
    <n v="14"/>
    <x v="353"/>
    <x v="8"/>
    <x v="6"/>
    <x v="2"/>
    <x v="1"/>
    <x v="16"/>
    <x v="603"/>
    <s v="Jumbo Drum"/>
    <n v="0.36"/>
    <d v="2011-07-28T00:00:00"/>
    <n v="0"/>
    <n v="0"/>
    <n v="0.5"/>
    <n v="0.5"/>
  </r>
  <r>
    <n v="8156"/>
    <n v="58337"/>
    <x v="1084"/>
    <x v="43"/>
    <s v="Low"/>
    <n v="18"/>
    <n v="106.45"/>
    <n v="0.03"/>
    <s v="Regular Air"/>
    <n v="-5.08"/>
    <n v="5.85"/>
    <n v="2.27"/>
    <x v="110"/>
    <x v="8"/>
    <x v="6"/>
    <x v="2"/>
    <x v="0"/>
    <x v="12"/>
    <x v="338"/>
    <s v="Wrap Bag"/>
    <n v="0.56000000000000005"/>
    <d v="2009-05-30T00:00:00"/>
    <n v="0"/>
    <n v="0"/>
    <n v="1"/>
    <n v="1"/>
  </r>
  <r>
    <n v="8161"/>
    <n v="58343"/>
    <x v="820"/>
    <x v="22"/>
    <s v="Not Specified"/>
    <n v="39"/>
    <n v="121.87"/>
    <n v="7.0000000000000007E-2"/>
    <s v="Regular Air"/>
    <n v="11.32"/>
    <n v="3.29"/>
    <n v="1.35"/>
    <x v="360"/>
    <x v="8"/>
    <x v="6"/>
    <x v="2"/>
    <x v="0"/>
    <x v="6"/>
    <x v="339"/>
    <s v="Wrap Bag"/>
    <n v="0.4"/>
    <d v="2009-01-11T00:00:00"/>
    <n v="0"/>
    <n v="1"/>
    <n v="1"/>
    <n v="1"/>
  </r>
  <r>
    <n v="8299"/>
    <n v="59270"/>
    <x v="1057"/>
    <x v="38"/>
    <s v="High"/>
    <n v="5"/>
    <n v="647.27"/>
    <n v="0.08"/>
    <s v="Delivery Truck"/>
    <n v="-404.77"/>
    <n v="122.99"/>
    <n v="70.2"/>
    <x v="404"/>
    <x v="8"/>
    <x v="6"/>
    <x v="0"/>
    <x v="2"/>
    <x v="14"/>
    <x v="301"/>
    <s v="Jumbo Drum"/>
    <n v="0.74"/>
    <d v="2010-01-11T00:00:00"/>
    <n v="1"/>
    <n v="0"/>
    <n v="0.25"/>
    <n v="0.25"/>
  </r>
  <r>
    <n v="8342"/>
    <n v="59619"/>
    <x v="1058"/>
    <x v="6"/>
    <s v="Not Specified"/>
    <n v="35"/>
    <n v="225.4"/>
    <n v="0.08"/>
    <s v="Regular Air"/>
    <n v="-165.48"/>
    <n v="6.48"/>
    <n v="8.4"/>
    <x v="368"/>
    <x v="8"/>
    <x v="6"/>
    <x v="1"/>
    <x v="0"/>
    <x v="5"/>
    <x v="836"/>
    <s v="Small Box"/>
    <n v="0.37"/>
    <d v="2010-02-15T00:00:00"/>
    <n v="0"/>
    <n v="0"/>
    <n v="0.5"/>
    <n v="0.5"/>
  </r>
  <r>
    <n v="8358"/>
    <n v="59714"/>
    <x v="416"/>
    <x v="15"/>
    <s v="Critical"/>
    <n v="26"/>
    <n v="9225.65"/>
    <n v="0.03"/>
    <s v="Delivery Truck"/>
    <n v="1656.4621499999998"/>
    <n v="349.45"/>
    <n v="60"/>
    <x v="413"/>
    <x v="8"/>
    <x v="6"/>
    <x v="2"/>
    <x v="2"/>
    <x v="10"/>
    <x v="195"/>
    <s v="Jumbo Drum"/>
    <m/>
    <d v="2010-12-15T00:00:00"/>
    <n v="0"/>
    <n v="0"/>
    <n v="1"/>
    <n v="0.33333333333333331"/>
  </r>
  <r>
    <n v="8366"/>
    <n v="59781"/>
    <x v="1059"/>
    <x v="45"/>
    <s v="Not Specified"/>
    <n v="18"/>
    <n v="1837.94"/>
    <n v="0.02"/>
    <s v="Regular Air"/>
    <n v="1249.43"/>
    <n v="99.23"/>
    <n v="8.99"/>
    <x v="413"/>
    <x v="8"/>
    <x v="6"/>
    <x v="2"/>
    <x v="2"/>
    <x v="4"/>
    <x v="547"/>
    <s v="Small Pack"/>
    <n v="0.35"/>
    <d v="2012-12-14T00:00:00"/>
    <n v="0"/>
    <n v="0"/>
    <n v="0.2"/>
    <n v="0.2"/>
  </r>
  <r>
    <n v="8368"/>
    <n v="59781"/>
    <x v="1059"/>
    <x v="45"/>
    <s v="Not Specified"/>
    <n v="28"/>
    <n v="24391.16"/>
    <n v="0.04"/>
    <s v="Delivery Truck"/>
    <n v="-9611.91"/>
    <n v="880.98"/>
    <n v="44.55"/>
    <x v="413"/>
    <x v="8"/>
    <x v="6"/>
    <x v="2"/>
    <x v="2"/>
    <x v="9"/>
    <x v="185"/>
    <s v="Jumbo Box"/>
    <n v="0.62"/>
    <d v="2012-12-13T00:00:00"/>
    <n v="0"/>
    <n v="0"/>
    <n v="0.2"/>
    <n v="0.2"/>
  </r>
  <r>
    <n v="14"/>
    <n v="70"/>
    <x v="1144"/>
    <x v="15"/>
    <s v="Low"/>
    <n v="48"/>
    <n v="90.05"/>
    <n v="0.03"/>
    <s v="Regular Air"/>
    <n v="-107"/>
    <n v="1.86"/>
    <n v="2.58"/>
    <x v="439"/>
    <x v="8"/>
    <x v="6"/>
    <x v="3"/>
    <x v="0"/>
    <x v="6"/>
    <x v="613"/>
    <s v="Wrap Bag"/>
    <n v="0.82"/>
    <d v="2010-12-22T00:00:00"/>
    <n v="0"/>
    <n v="0"/>
    <n v="0.5"/>
    <n v="0.16666666666666666"/>
  </r>
  <r>
    <n v="15"/>
    <n v="70"/>
    <x v="1144"/>
    <x v="15"/>
    <s v="Low"/>
    <n v="46"/>
    <n v="7804.53"/>
    <n v="0.05"/>
    <s v="Regular Air"/>
    <n v="2057.1659999999997"/>
    <n v="205.99"/>
    <n v="5.99"/>
    <x v="439"/>
    <x v="8"/>
    <x v="6"/>
    <x v="3"/>
    <x v="1"/>
    <x v="3"/>
    <x v="556"/>
    <s v="Small Box"/>
    <n v="0.59"/>
    <d v="2010-12-22T00:00:00"/>
    <n v="0"/>
    <n v="0"/>
    <n v="0.5"/>
    <n v="0.16666666666666666"/>
  </r>
  <r>
    <n v="25"/>
    <n v="135"/>
    <x v="333"/>
    <x v="17"/>
    <s v="Not Specified"/>
    <n v="25"/>
    <n v="125.85"/>
    <n v="0.09"/>
    <s v="Regular Air"/>
    <n v="-89.25"/>
    <n v="4.9800000000000004"/>
    <n v="4.62"/>
    <x v="456"/>
    <x v="8"/>
    <x v="6"/>
    <x v="1"/>
    <x v="1"/>
    <x v="7"/>
    <x v="278"/>
    <s v="Small Pack"/>
    <n v="0.64"/>
    <d v="2011-10-22T00:00:00"/>
    <n v="0"/>
    <n v="0"/>
    <n v="1"/>
    <n v="1"/>
  </r>
  <r>
    <n v="27"/>
    <n v="193"/>
    <x v="77"/>
    <x v="3"/>
    <s v="Critical"/>
    <n v="14"/>
    <n v="174.89"/>
    <n v="0.06"/>
    <s v="Regular Air"/>
    <n v="-37.04"/>
    <n v="12.44"/>
    <n v="6.27"/>
    <x v="143"/>
    <x v="8"/>
    <x v="6"/>
    <x v="1"/>
    <x v="0"/>
    <x v="0"/>
    <x v="587"/>
    <s v="Medium Box"/>
    <n v="0.56999999999999995"/>
    <d v="2010-08-09T00:00:00"/>
    <n v="0"/>
    <n v="0"/>
    <n v="1"/>
    <n v="1"/>
  </r>
  <r>
    <n v="35"/>
    <n v="225"/>
    <x v="898"/>
    <x v="10"/>
    <s v="Critical"/>
    <n v="24"/>
    <n v="126.58"/>
    <n v="0.06"/>
    <s v="Regular Air"/>
    <n v="18.27"/>
    <n v="5.58"/>
    <n v="0.7"/>
    <x v="411"/>
    <x v="8"/>
    <x v="6"/>
    <x v="3"/>
    <x v="0"/>
    <x v="12"/>
    <x v="641"/>
    <s v="Wrap Bag"/>
    <n v="0.6"/>
    <d v="2011-05-25T00:00:00"/>
    <n v="0"/>
    <n v="0"/>
    <n v="0.5"/>
    <n v="0.5"/>
  </r>
  <r>
    <n v="36"/>
    <n v="225"/>
    <x v="898"/>
    <x v="10"/>
    <s v="Critical"/>
    <n v="1"/>
    <n v="23.7"/>
    <n v="0.05"/>
    <s v="Regular Air"/>
    <n v="-8.9700000000000006"/>
    <n v="19.84"/>
    <n v="4.0999999999999996"/>
    <x v="411"/>
    <x v="8"/>
    <x v="6"/>
    <x v="3"/>
    <x v="0"/>
    <x v="12"/>
    <x v="92"/>
    <s v="Wrap Bag"/>
    <n v="0.44"/>
    <d v="2011-05-26T00:00:00"/>
    <n v="0"/>
    <n v="0"/>
    <n v="0.5"/>
    <n v="0.5"/>
  </r>
  <r>
    <n v="47"/>
    <n v="290"/>
    <x v="272"/>
    <x v="22"/>
    <s v="Not Specified"/>
    <n v="24"/>
    <n v="188.73"/>
    <n v="0.05"/>
    <s v="Regular Air"/>
    <n v="-32.479999999999997"/>
    <n v="7.64"/>
    <n v="5.83"/>
    <x v="457"/>
    <x v="8"/>
    <x v="6"/>
    <x v="3"/>
    <x v="0"/>
    <x v="5"/>
    <x v="248"/>
    <s v="Wrap Bag"/>
    <n v="0.36"/>
    <d v="2009-01-06T00:00:00"/>
    <n v="0"/>
    <n v="1"/>
    <n v="1"/>
    <n v="1"/>
  </r>
  <r>
    <n v="104"/>
    <n v="644"/>
    <x v="978"/>
    <x v="13"/>
    <s v="Critical"/>
    <n v="5"/>
    <n v="1679.58"/>
    <n v="0.01"/>
    <s v="Delivery Truck"/>
    <n v="-171.92"/>
    <n v="320.98"/>
    <n v="58.95"/>
    <x v="149"/>
    <x v="8"/>
    <x v="6"/>
    <x v="2"/>
    <x v="2"/>
    <x v="14"/>
    <x v="81"/>
    <s v="Jumbo Drum"/>
    <n v="0.56999999999999995"/>
    <d v="2012-05-01T00:00:00"/>
    <n v="0"/>
    <n v="0"/>
    <n v="1"/>
    <n v="0.5"/>
  </r>
  <r>
    <n v="112"/>
    <n v="738"/>
    <x v="1145"/>
    <x v="14"/>
    <s v="Not Specified"/>
    <n v="7"/>
    <n v="560.51"/>
    <n v="0.04"/>
    <s v="Regular Air"/>
    <n v="32.6"/>
    <n v="80.98"/>
    <n v="4.5"/>
    <x v="458"/>
    <x v="8"/>
    <x v="6"/>
    <x v="2"/>
    <x v="0"/>
    <x v="1"/>
    <x v="998"/>
    <s v="Small Box"/>
    <n v="0.59"/>
    <d v="2010-03-03T00:00:00"/>
    <n v="0"/>
    <n v="0"/>
    <n v="0.5"/>
    <n v="0.5"/>
  </r>
  <r>
    <n v="113"/>
    <n v="738"/>
    <x v="1145"/>
    <x v="14"/>
    <s v="Not Specified"/>
    <n v="31"/>
    <n v="189.95"/>
    <n v="0.08"/>
    <s v="Regular Air"/>
    <n v="-56.68"/>
    <n v="6.48"/>
    <n v="5.14"/>
    <x v="458"/>
    <x v="8"/>
    <x v="6"/>
    <x v="2"/>
    <x v="0"/>
    <x v="5"/>
    <x v="896"/>
    <s v="Small Box"/>
    <n v="0.37"/>
    <d v="2010-03-02T00:00:00"/>
    <n v="0"/>
    <n v="0"/>
    <n v="0.5"/>
    <n v="0.5"/>
  </r>
  <r>
    <n v="117"/>
    <n v="772"/>
    <x v="652"/>
    <x v="24"/>
    <s v="High"/>
    <n v="35"/>
    <n v="589.24"/>
    <n v="0.08"/>
    <s v="Regular Air"/>
    <n v="-38.35"/>
    <n v="17.52"/>
    <n v="8.17"/>
    <x v="459"/>
    <x v="8"/>
    <x v="6"/>
    <x v="1"/>
    <x v="0"/>
    <x v="1"/>
    <x v="1131"/>
    <s v="Medium Box"/>
    <n v="0.5"/>
    <d v="2010-04-18T00:00:00"/>
    <n v="0"/>
    <n v="0"/>
    <n v="0.5"/>
    <n v="0.5"/>
  </r>
  <r>
    <n v="118"/>
    <n v="772"/>
    <x v="652"/>
    <x v="24"/>
    <s v="High"/>
    <n v="25"/>
    <n v="233.05"/>
    <n v="0.1"/>
    <s v="Regular Air"/>
    <n v="86.93"/>
    <n v="9.9"/>
    <n v="1.39"/>
    <x v="459"/>
    <x v="8"/>
    <x v="6"/>
    <x v="1"/>
    <x v="0"/>
    <x v="8"/>
    <x v="1132"/>
    <s v="Small Box"/>
    <n v="0.37"/>
    <d v="2010-04-18T00:00:00"/>
    <n v="0"/>
    <n v="0"/>
    <n v="0.5"/>
    <n v="0.5"/>
  </r>
  <r>
    <n v="181"/>
    <n v="1189"/>
    <x v="693"/>
    <x v="46"/>
    <s v="Critical"/>
    <n v="27"/>
    <n v="129.1"/>
    <n v="0"/>
    <s v="Regular Air"/>
    <n v="-59.82"/>
    <n v="4.42"/>
    <n v="4.99"/>
    <x v="184"/>
    <x v="8"/>
    <x v="6"/>
    <x v="0"/>
    <x v="0"/>
    <x v="8"/>
    <x v="1133"/>
    <s v="Small Box"/>
    <n v="0.38"/>
    <d v="2009-04-09T00:00:00"/>
    <n v="0"/>
    <n v="0"/>
    <n v="1"/>
    <n v="1"/>
  </r>
  <r>
    <n v="263"/>
    <n v="1825"/>
    <x v="384"/>
    <x v="15"/>
    <s v="Medium"/>
    <n v="22"/>
    <n v="38.26"/>
    <n v="0.03"/>
    <s v="Regular Air"/>
    <n v="-2.34"/>
    <n v="1.76"/>
    <n v="0.7"/>
    <x v="184"/>
    <x v="8"/>
    <x v="6"/>
    <x v="0"/>
    <x v="0"/>
    <x v="12"/>
    <x v="263"/>
    <s v="Wrap Bag"/>
    <n v="0.56000000000000005"/>
    <d v="2010-12-06T00:00:00"/>
    <n v="0"/>
    <n v="0"/>
    <n v="1"/>
    <n v="1"/>
  </r>
  <r>
    <n v="355"/>
    <n v="2467"/>
    <x v="979"/>
    <x v="2"/>
    <s v="Not Specified"/>
    <n v="30"/>
    <n v="4147.47"/>
    <n v="0.09"/>
    <s v="Delivery Truck"/>
    <n v="586.61"/>
    <n v="145.44999999999999"/>
    <n v="17.850000000000001"/>
    <x v="458"/>
    <x v="8"/>
    <x v="6"/>
    <x v="2"/>
    <x v="1"/>
    <x v="16"/>
    <x v="127"/>
    <s v="Jumbo Drum"/>
    <n v="0.56000000000000005"/>
    <d v="2011-07-16T00:00:00"/>
    <n v="0"/>
    <n v="0"/>
    <n v="1"/>
    <n v="1"/>
  </r>
  <r>
    <n v="446"/>
    <n v="3014"/>
    <x v="149"/>
    <x v="1"/>
    <s v="Not Specified"/>
    <n v="13"/>
    <n v="4002.14"/>
    <n v="0.02"/>
    <s v="Regular Air"/>
    <n v="1314.3889999999999"/>
    <n v="304.99"/>
    <n v="19.989999999999998"/>
    <x v="459"/>
    <x v="8"/>
    <x v="6"/>
    <x v="1"/>
    <x v="0"/>
    <x v="2"/>
    <x v="880"/>
    <s v="Small Box"/>
    <n v="0.4"/>
    <d v="2012-10-31T00:00:00"/>
    <n v="0"/>
    <n v="0"/>
    <n v="1"/>
    <n v="1"/>
  </r>
  <r>
    <n v="450"/>
    <n v="3073"/>
    <x v="828"/>
    <x v="22"/>
    <s v="Medium"/>
    <n v="3"/>
    <n v="10.58"/>
    <n v="0.05"/>
    <s v="Regular Air"/>
    <n v="-11.580500000000001"/>
    <n v="1.98"/>
    <n v="4.7699999999999996"/>
    <x v="460"/>
    <x v="8"/>
    <x v="6"/>
    <x v="3"/>
    <x v="0"/>
    <x v="2"/>
    <x v="1134"/>
    <s v="Small Box"/>
    <n v="0.4"/>
    <d v="2009-01-08T00:00:00"/>
    <n v="0"/>
    <n v="1"/>
    <n v="0.33333333333333331"/>
    <n v="0.33333333333333331"/>
  </r>
  <r>
    <n v="451"/>
    <n v="3073"/>
    <x v="828"/>
    <x v="22"/>
    <s v="Medium"/>
    <n v="3"/>
    <n v="2119.67"/>
    <n v="7.0000000000000007E-2"/>
    <s v="Express Air"/>
    <n v="-2314.7399999999998"/>
    <n v="699.99"/>
    <n v="24.49"/>
    <x v="460"/>
    <x v="8"/>
    <x v="6"/>
    <x v="3"/>
    <x v="1"/>
    <x v="13"/>
    <x v="286"/>
    <s v="Large Box"/>
    <n v="0.41"/>
    <d v="2009-01-08T00:00:00"/>
    <n v="0"/>
    <n v="1"/>
    <n v="0.33333333333333331"/>
    <n v="0.33333333333333331"/>
  </r>
  <r>
    <n v="452"/>
    <n v="3073"/>
    <x v="828"/>
    <x v="22"/>
    <s v="Medium"/>
    <n v="7"/>
    <n v="45923.76"/>
    <n v="7.0000000000000007E-2"/>
    <s v="Regular Air"/>
    <n v="102.60999999999694"/>
    <n v="6783.02"/>
    <n v="24.49"/>
    <x v="460"/>
    <x v="8"/>
    <x v="6"/>
    <x v="3"/>
    <x v="1"/>
    <x v="16"/>
    <x v="1135"/>
    <s v="Large Box"/>
    <n v="0.39"/>
    <d v="2009-01-08T00:00:00"/>
    <n v="0"/>
    <n v="1"/>
    <n v="0.33333333333333331"/>
    <n v="0.33333333333333331"/>
  </r>
  <r>
    <n v="464"/>
    <n v="3168"/>
    <x v="1146"/>
    <x v="23"/>
    <s v="Low"/>
    <n v="14"/>
    <n v="80.599999999999994"/>
    <n v="0.04"/>
    <s v="Regular Air"/>
    <n v="-4.2"/>
    <n v="5.28"/>
    <n v="3.96"/>
    <x v="460"/>
    <x v="8"/>
    <x v="6"/>
    <x v="3"/>
    <x v="2"/>
    <x v="4"/>
    <x v="1136"/>
    <s v="Wrap Bag"/>
    <n v="0.54"/>
    <d v="2012-02-03T00:00:00"/>
    <n v="0"/>
    <n v="0"/>
    <n v="1"/>
    <n v="1"/>
  </r>
  <r>
    <n v="469"/>
    <n v="3205"/>
    <x v="819"/>
    <x v="13"/>
    <s v="Low"/>
    <n v="8"/>
    <n v="136.61000000000001"/>
    <n v="0.01"/>
    <s v="Regular Air"/>
    <n v="80.430000000000007"/>
    <n v="15.68"/>
    <n v="3.73"/>
    <x v="461"/>
    <x v="8"/>
    <x v="6"/>
    <x v="1"/>
    <x v="2"/>
    <x v="4"/>
    <x v="797"/>
    <s v="Small Pack"/>
    <n v="0.46"/>
    <d v="2012-04-10T00:00:00"/>
    <n v="0"/>
    <n v="0"/>
    <n v="0.5"/>
    <n v="0.5"/>
  </r>
  <r>
    <n v="470"/>
    <n v="3205"/>
    <x v="819"/>
    <x v="13"/>
    <s v="Low"/>
    <n v="42"/>
    <n v="2907.63"/>
    <n v="0.04"/>
    <s v="Express Air"/>
    <n v="54.598050000000008"/>
    <n v="71.37"/>
    <n v="69"/>
    <x v="461"/>
    <x v="8"/>
    <x v="6"/>
    <x v="1"/>
    <x v="2"/>
    <x v="10"/>
    <x v="17"/>
    <s v="Large Box"/>
    <n v="0.68"/>
    <d v="2012-04-14T00:00:00"/>
    <n v="0"/>
    <n v="0"/>
    <n v="0.5"/>
    <n v="0.5"/>
  </r>
  <r>
    <n v="520"/>
    <n v="3559"/>
    <x v="88"/>
    <x v="1"/>
    <s v="Medium"/>
    <n v="34"/>
    <n v="136.66999999999999"/>
    <n v="7.0000000000000007E-2"/>
    <s v="Express Air"/>
    <n v="-117.92100000000001"/>
    <n v="3.81"/>
    <n v="5.44"/>
    <x v="84"/>
    <x v="8"/>
    <x v="6"/>
    <x v="2"/>
    <x v="0"/>
    <x v="2"/>
    <x v="415"/>
    <s v="Small Box"/>
    <n v="0.36"/>
    <d v="2012-10-24T00:00:00"/>
    <n v="0"/>
    <n v="0"/>
    <n v="1"/>
    <n v="1"/>
  </r>
  <r>
    <n v="523"/>
    <n v="3586"/>
    <x v="384"/>
    <x v="15"/>
    <s v="High"/>
    <n v="32"/>
    <n v="383.57"/>
    <n v="0.06"/>
    <s v="Regular Air"/>
    <n v="70.510000000000005"/>
    <n v="12.58"/>
    <n v="5.16"/>
    <x v="93"/>
    <x v="8"/>
    <x v="6"/>
    <x v="3"/>
    <x v="2"/>
    <x v="4"/>
    <x v="132"/>
    <s v="Small Box"/>
    <n v="0.43"/>
    <d v="2010-12-05T00:00:00"/>
    <n v="0"/>
    <n v="0"/>
    <n v="0.5"/>
    <n v="0.5"/>
  </r>
  <r>
    <n v="524"/>
    <n v="3586"/>
    <x v="384"/>
    <x v="15"/>
    <s v="High"/>
    <n v="31"/>
    <n v="461.1"/>
    <n v="0.05"/>
    <s v="Regular Air"/>
    <n v="116.96"/>
    <n v="14.34"/>
    <n v="5"/>
    <x v="93"/>
    <x v="8"/>
    <x v="6"/>
    <x v="3"/>
    <x v="2"/>
    <x v="4"/>
    <x v="551"/>
    <s v="Small Pack"/>
    <n v="0.49"/>
    <d v="2010-12-06T00:00:00"/>
    <n v="0"/>
    <n v="0"/>
    <n v="0.5"/>
    <n v="0.5"/>
  </r>
  <r>
    <n v="554"/>
    <n v="3750"/>
    <x v="355"/>
    <x v="37"/>
    <s v="Medium"/>
    <n v="12"/>
    <n v="76.16"/>
    <n v="0.04"/>
    <s v="Regular Air"/>
    <n v="-24.03"/>
    <n v="5.98"/>
    <n v="5.2"/>
    <x v="184"/>
    <x v="8"/>
    <x v="6"/>
    <x v="0"/>
    <x v="0"/>
    <x v="5"/>
    <x v="449"/>
    <s v="Small Box"/>
    <n v="0.36"/>
    <d v="2011-05-01T00:00:00"/>
    <n v="0"/>
    <n v="0"/>
    <n v="1"/>
    <n v="1"/>
  </r>
  <r>
    <n v="556"/>
    <n v="3778"/>
    <x v="262"/>
    <x v="39"/>
    <s v="Critical"/>
    <n v="34"/>
    <n v="268.08999999999997"/>
    <n v="7.0000000000000007E-2"/>
    <s v="Regular Air"/>
    <n v="-63.76"/>
    <n v="8.32"/>
    <n v="2.38"/>
    <x v="462"/>
    <x v="8"/>
    <x v="6"/>
    <x v="3"/>
    <x v="1"/>
    <x v="7"/>
    <x v="1090"/>
    <s v="Small Pack"/>
    <n v="0.74"/>
    <d v="2010-05-27T00:00:00"/>
    <n v="0"/>
    <n v="0"/>
    <n v="0.25"/>
    <n v="0.25"/>
  </r>
  <r>
    <n v="557"/>
    <n v="3778"/>
    <x v="262"/>
    <x v="39"/>
    <s v="Critical"/>
    <n v="12"/>
    <n v="557.03"/>
    <n v="0.04"/>
    <s v="Regular Air"/>
    <n v="8.9499999999999993"/>
    <n v="45.19"/>
    <n v="1.99"/>
    <x v="462"/>
    <x v="8"/>
    <x v="6"/>
    <x v="3"/>
    <x v="1"/>
    <x v="7"/>
    <x v="256"/>
    <s v="Small Pack"/>
    <n v="0.55000000000000004"/>
    <d v="2010-05-26T00:00:00"/>
    <n v="0"/>
    <n v="0"/>
    <n v="0.25"/>
    <n v="0.25"/>
  </r>
  <r>
    <n v="558"/>
    <n v="3778"/>
    <x v="262"/>
    <x v="39"/>
    <s v="Critical"/>
    <n v="3"/>
    <n v="26.53"/>
    <n v="0.05"/>
    <s v="Regular Air"/>
    <n v="-15"/>
    <n v="6.68"/>
    <n v="6.92"/>
    <x v="462"/>
    <x v="8"/>
    <x v="6"/>
    <x v="3"/>
    <x v="0"/>
    <x v="5"/>
    <x v="526"/>
    <s v="Small Box"/>
    <n v="0.37"/>
    <d v="2010-05-26T00:00:00"/>
    <n v="0"/>
    <n v="0"/>
    <n v="0.25"/>
    <n v="0.25"/>
  </r>
  <r>
    <n v="559"/>
    <n v="3778"/>
    <x v="262"/>
    <x v="39"/>
    <s v="Critical"/>
    <n v="34"/>
    <n v="5133.9234999999999"/>
    <n v="0.02"/>
    <s v="Regular Air"/>
    <n v="1313.9460000000001"/>
    <n v="175.99"/>
    <n v="4.99"/>
    <x v="462"/>
    <x v="8"/>
    <x v="6"/>
    <x v="3"/>
    <x v="1"/>
    <x v="3"/>
    <x v="602"/>
    <s v="Small Box"/>
    <n v="0.59"/>
    <d v="2010-05-26T00:00:00"/>
    <n v="0"/>
    <n v="0"/>
    <n v="0.25"/>
    <n v="0.25"/>
  </r>
  <r>
    <n v="566"/>
    <n v="3841"/>
    <x v="832"/>
    <x v="19"/>
    <s v="Not Specified"/>
    <n v="19"/>
    <n v="1184.45"/>
    <n v="0.02"/>
    <s v="Regular Air"/>
    <n v="-552.1"/>
    <n v="60.98"/>
    <n v="49"/>
    <x v="463"/>
    <x v="8"/>
    <x v="6"/>
    <x v="0"/>
    <x v="0"/>
    <x v="1"/>
    <x v="347"/>
    <s v="Large Box"/>
    <n v="0.59"/>
    <d v="2009-10-06T00:00:00"/>
    <n v="0"/>
    <n v="0"/>
    <n v="0.33333333333333331"/>
    <n v="0.33333333333333331"/>
  </r>
  <r>
    <n v="567"/>
    <n v="3841"/>
    <x v="832"/>
    <x v="19"/>
    <s v="Not Specified"/>
    <n v="20"/>
    <n v="25409.63"/>
    <n v="0.02"/>
    <s v="Regular Air"/>
    <n v="11535.281999999999"/>
    <n v="1270.99"/>
    <n v="19.989999999999998"/>
    <x v="463"/>
    <x v="8"/>
    <x v="6"/>
    <x v="0"/>
    <x v="0"/>
    <x v="2"/>
    <x v="164"/>
    <s v="Small Box"/>
    <n v="0.35"/>
    <d v="2009-10-06T00:00:00"/>
    <n v="0"/>
    <n v="0"/>
    <n v="0.33333333333333331"/>
    <n v="0.33333333333333331"/>
  </r>
  <r>
    <n v="568"/>
    <n v="3841"/>
    <x v="832"/>
    <x v="19"/>
    <s v="Not Specified"/>
    <n v="43"/>
    <n v="7308.2829999999994"/>
    <n v="0.05"/>
    <s v="Express Air"/>
    <n v="1680.2280000000001"/>
    <n v="205.99"/>
    <n v="8.99"/>
    <x v="463"/>
    <x v="8"/>
    <x v="6"/>
    <x v="0"/>
    <x v="1"/>
    <x v="3"/>
    <x v="783"/>
    <s v="Small Box"/>
    <n v="0.6"/>
    <d v="2009-10-06T00:00:00"/>
    <n v="0"/>
    <n v="0"/>
    <n v="0.33333333333333331"/>
    <n v="0.33333333333333331"/>
  </r>
  <r>
    <n v="584"/>
    <n v="4004"/>
    <x v="139"/>
    <x v="39"/>
    <s v="Medium"/>
    <n v="14"/>
    <n v="63.52"/>
    <n v="0.1"/>
    <s v="Regular Air"/>
    <n v="8.66"/>
    <n v="4.84"/>
    <n v="0.71"/>
    <x v="464"/>
    <x v="8"/>
    <x v="6"/>
    <x v="2"/>
    <x v="0"/>
    <x v="12"/>
    <x v="486"/>
    <s v="Wrap Bag"/>
    <n v="0.52"/>
    <d v="2010-05-09T00:00:00"/>
    <n v="0"/>
    <n v="0"/>
    <n v="0.5"/>
    <n v="0.5"/>
  </r>
  <r>
    <n v="585"/>
    <n v="4004"/>
    <x v="139"/>
    <x v="39"/>
    <s v="Medium"/>
    <n v="44"/>
    <n v="1512.25"/>
    <n v="0.05"/>
    <s v="Regular Air"/>
    <n v="195.48"/>
    <n v="34.58"/>
    <n v="8.99"/>
    <x v="464"/>
    <x v="8"/>
    <x v="6"/>
    <x v="2"/>
    <x v="0"/>
    <x v="12"/>
    <x v="555"/>
    <s v="Small Pack"/>
    <n v="0.56000000000000005"/>
    <d v="2010-05-07T00:00:00"/>
    <n v="0"/>
    <n v="0"/>
    <n v="0.5"/>
    <n v="0.5"/>
  </r>
  <r>
    <n v="599"/>
    <n v="4096"/>
    <x v="770"/>
    <x v="29"/>
    <s v="Not Specified"/>
    <n v="21"/>
    <n v="128.28"/>
    <n v="0.04"/>
    <s v="Regular Air"/>
    <n v="53.58"/>
    <n v="6.3"/>
    <n v="0.5"/>
    <x v="149"/>
    <x v="8"/>
    <x v="6"/>
    <x v="2"/>
    <x v="0"/>
    <x v="11"/>
    <x v="336"/>
    <s v="Small Box"/>
    <n v="0.39"/>
    <d v="2012-07-03T00:00:00"/>
    <n v="0"/>
    <n v="0"/>
    <n v="1"/>
    <n v="1"/>
  </r>
  <r>
    <n v="682"/>
    <n v="4769"/>
    <x v="535"/>
    <x v="37"/>
    <s v="Not Specified"/>
    <n v="41"/>
    <n v="117.4"/>
    <n v="0.01"/>
    <s v="Regular Air"/>
    <n v="48.63"/>
    <n v="2.88"/>
    <n v="0.5"/>
    <x v="465"/>
    <x v="8"/>
    <x v="6"/>
    <x v="3"/>
    <x v="0"/>
    <x v="11"/>
    <x v="42"/>
    <s v="Small Box"/>
    <n v="0.36"/>
    <d v="2011-04-14T00:00:00"/>
    <n v="0"/>
    <n v="0"/>
    <n v="1"/>
    <n v="0.5"/>
  </r>
  <r>
    <n v="688"/>
    <n v="4800"/>
    <x v="505"/>
    <x v="23"/>
    <s v="Low"/>
    <n v="4"/>
    <n v="41.94"/>
    <n v="0.05"/>
    <s v="Regular Air"/>
    <n v="-26.174000000000003"/>
    <n v="8.0399999999999991"/>
    <n v="8.94"/>
    <x v="466"/>
    <x v="8"/>
    <x v="6"/>
    <x v="2"/>
    <x v="0"/>
    <x v="2"/>
    <x v="401"/>
    <s v="Small Box"/>
    <n v="0.4"/>
    <d v="2012-01-12T00:00:00"/>
    <n v="0"/>
    <n v="0"/>
    <n v="0.33333333333333331"/>
    <n v="0.33333333333333331"/>
  </r>
  <r>
    <n v="689"/>
    <n v="4800"/>
    <x v="505"/>
    <x v="23"/>
    <s v="Low"/>
    <n v="17"/>
    <n v="89.25"/>
    <n v="0.01"/>
    <s v="Regular Air"/>
    <n v="40.880000000000003"/>
    <n v="4.91"/>
    <n v="0.5"/>
    <x v="466"/>
    <x v="8"/>
    <x v="6"/>
    <x v="2"/>
    <x v="0"/>
    <x v="11"/>
    <x v="383"/>
    <s v="Small Box"/>
    <n v="0.36"/>
    <d v="2012-01-12T00:00:00"/>
    <n v="0"/>
    <n v="0"/>
    <n v="0.33333333333333331"/>
    <n v="0.33333333333333331"/>
  </r>
  <r>
    <n v="690"/>
    <n v="4800"/>
    <x v="505"/>
    <x v="23"/>
    <s v="Low"/>
    <n v="7"/>
    <n v="79.81"/>
    <n v="7.0000000000000007E-2"/>
    <s v="Regular Air"/>
    <n v="-4.28"/>
    <n v="11.55"/>
    <n v="2.36"/>
    <x v="466"/>
    <x v="8"/>
    <x v="6"/>
    <x v="2"/>
    <x v="0"/>
    <x v="12"/>
    <x v="769"/>
    <s v="Wrap Bag"/>
    <n v="0.55000000000000004"/>
    <d v="2012-01-10T00:00:00"/>
    <n v="0"/>
    <n v="0"/>
    <n v="0.33333333333333331"/>
    <n v="0.33333333333333331"/>
  </r>
  <r>
    <n v="778"/>
    <n v="5543"/>
    <x v="287"/>
    <x v="18"/>
    <s v="Medium"/>
    <n v="15"/>
    <n v="703.54"/>
    <n v="0.04"/>
    <s v="Regular Air"/>
    <n v="138.46"/>
    <n v="48.58"/>
    <n v="3.99"/>
    <x v="467"/>
    <x v="8"/>
    <x v="6"/>
    <x v="2"/>
    <x v="0"/>
    <x v="1"/>
    <x v="767"/>
    <s v="Small Box"/>
    <n v="0.56000000000000005"/>
    <d v="2010-09-26T00:00:00"/>
    <n v="0"/>
    <n v="0"/>
    <n v="0.33333333333333331"/>
    <n v="0.33333333333333331"/>
  </r>
  <r>
    <n v="779"/>
    <n v="5543"/>
    <x v="287"/>
    <x v="18"/>
    <s v="Medium"/>
    <n v="6"/>
    <n v="65.930000000000007"/>
    <n v="0.04"/>
    <s v="Regular Air"/>
    <n v="11.06"/>
    <n v="10.31"/>
    <n v="1.79"/>
    <x v="467"/>
    <x v="8"/>
    <x v="6"/>
    <x v="2"/>
    <x v="0"/>
    <x v="5"/>
    <x v="171"/>
    <s v="Wrap Bag"/>
    <n v="0.38"/>
    <d v="2010-09-27T00:00:00"/>
    <n v="0"/>
    <n v="0"/>
    <n v="0.33333333333333331"/>
    <n v="0.33333333333333331"/>
  </r>
  <r>
    <n v="780"/>
    <n v="5543"/>
    <x v="287"/>
    <x v="18"/>
    <s v="Medium"/>
    <n v="27"/>
    <n v="67.3"/>
    <n v="0.02"/>
    <s v="Regular Air"/>
    <n v="-115.38"/>
    <n v="2.1800000000000002"/>
    <n v="5"/>
    <x v="467"/>
    <x v="8"/>
    <x v="6"/>
    <x v="2"/>
    <x v="0"/>
    <x v="15"/>
    <x v="424"/>
    <s v="Wrap Bag"/>
    <n v="0.81"/>
    <d v="2010-09-26T00:00:00"/>
    <n v="0"/>
    <n v="0"/>
    <n v="0.33333333333333331"/>
    <n v="0.33333333333333331"/>
  </r>
  <r>
    <n v="789"/>
    <n v="5636"/>
    <x v="635"/>
    <x v="44"/>
    <s v="Medium"/>
    <n v="23"/>
    <n v="138.16999999999999"/>
    <n v="0"/>
    <s v="Regular Air"/>
    <n v="-1.0900000000000001"/>
    <n v="5.85"/>
    <n v="2.27"/>
    <x v="468"/>
    <x v="8"/>
    <x v="6"/>
    <x v="0"/>
    <x v="0"/>
    <x v="12"/>
    <x v="338"/>
    <s v="Wrap Bag"/>
    <n v="0.56000000000000005"/>
    <d v="2011-02-17T00:00:00"/>
    <n v="0"/>
    <n v="0"/>
    <n v="1"/>
    <n v="1"/>
  </r>
  <r>
    <n v="843"/>
    <n v="6050"/>
    <x v="1147"/>
    <x v="14"/>
    <s v="Low"/>
    <n v="3"/>
    <n v="261.94"/>
    <n v="0.06"/>
    <s v="Delivery Truck"/>
    <n v="-219.77940000000001"/>
    <n v="80.97"/>
    <n v="33.6"/>
    <x v="469"/>
    <x v="8"/>
    <x v="6"/>
    <x v="0"/>
    <x v="1"/>
    <x v="16"/>
    <x v="196"/>
    <s v="Jumbo Drum"/>
    <n v="0.37"/>
    <d v="2010-04-04T00:00:00"/>
    <n v="0"/>
    <n v="0"/>
    <n v="0.5"/>
    <n v="0.5"/>
  </r>
  <r>
    <n v="844"/>
    <n v="6050"/>
    <x v="1147"/>
    <x v="14"/>
    <s v="Low"/>
    <n v="47"/>
    <n v="9574.82"/>
    <n v="0.08"/>
    <s v="Regular Air"/>
    <n v="-505.98447900000014"/>
    <n v="209.37"/>
    <n v="69"/>
    <x v="469"/>
    <x v="8"/>
    <x v="6"/>
    <x v="0"/>
    <x v="2"/>
    <x v="10"/>
    <x v="724"/>
    <s v="Large Box"/>
    <n v="0.79"/>
    <d v="2010-04-02T00:00:00"/>
    <n v="0"/>
    <n v="0"/>
    <n v="0.5"/>
    <n v="0.5"/>
  </r>
  <r>
    <n v="857"/>
    <n v="6148"/>
    <x v="74"/>
    <x v="25"/>
    <s v="Medium"/>
    <n v="50"/>
    <n v="510.56"/>
    <n v="0.05"/>
    <s v="Regular Air"/>
    <n v="-29.4"/>
    <n v="10.64"/>
    <n v="5.16"/>
    <x v="470"/>
    <x v="8"/>
    <x v="6"/>
    <x v="0"/>
    <x v="2"/>
    <x v="4"/>
    <x v="448"/>
    <s v="Small Box"/>
    <n v="0.56999999999999995"/>
    <d v="2011-12-25T00:00:00"/>
    <n v="0"/>
    <n v="0"/>
    <n v="0.5"/>
    <n v="0.5"/>
  </r>
  <r>
    <n v="858"/>
    <n v="6148"/>
    <x v="74"/>
    <x v="25"/>
    <s v="Medium"/>
    <n v="18"/>
    <n v="389.52"/>
    <n v="0.05"/>
    <s v="Express Air"/>
    <n v="116.37"/>
    <n v="20.28"/>
    <n v="6.68"/>
    <x v="470"/>
    <x v="8"/>
    <x v="6"/>
    <x v="0"/>
    <x v="2"/>
    <x v="4"/>
    <x v="1105"/>
    <s v="Small Box"/>
    <n v="0.53"/>
    <d v="2011-12-25T00:00:00"/>
    <n v="0"/>
    <n v="0"/>
    <n v="0.5"/>
    <n v="0.5"/>
  </r>
  <r>
    <n v="930"/>
    <n v="6727"/>
    <x v="1148"/>
    <x v="26"/>
    <s v="Low"/>
    <n v="12"/>
    <n v="33.43"/>
    <n v="0.06"/>
    <s v="Regular Air"/>
    <n v="8.4700000000000006"/>
    <n v="2.89"/>
    <n v="0.5"/>
    <x v="471"/>
    <x v="8"/>
    <x v="6"/>
    <x v="1"/>
    <x v="0"/>
    <x v="11"/>
    <x v="349"/>
    <s v="Small Box"/>
    <n v="0.38"/>
    <d v="2009-08-29T00:00:00"/>
    <n v="0"/>
    <n v="0"/>
    <n v="1"/>
    <n v="1"/>
  </r>
  <r>
    <n v="979"/>
    <n v="7079"/>
    <x v="1119"/>
    <x v="6"/>
    <s v="Medium"/>
    <n v="44"/>
    <n v="12296.49"/>
    <n v="0.01"/>
    <s v="Delivery Truck"/>
    <n v="-416.7"/>
    <n v="280.98"/>
    <n v="57"/>
    <x v="472"/>
    <x v="8"/>
    <x v="6"/>
    <x v="0"/>
    <x v="2"/>
    <x v="14"/>
    <x v="544"/>
    <s v="Jumbo Drum"/>
    <n v="0.78"/>
    <d v="2010-02-09T00:00:00"/>
    <n v="0"/>
    <n v="0"/>
    <n v="0.5"/>
    <n v="0.5"/>
  </r>
  <r>
    <n v="980"/>
    <n v="7079"/>
    <x v="1119"/>
    <x v="6"/>
    <s v="Medium"/>
    <n v="18"/>
    <n v="128.13"/>
    <n v="0.03"/>
    <s v="Regular Air"/>
    <n v="-34.909999999999997"/>
    <n v="6.48"/>
    <n v="5.94"/>
    <x v="472"/>
    <x v="8"/>
    <x v="6"/>
    <x v="0"/>
    <x v="0"/>
    <x v="5"/>
    <x v="772"/>
    <s v="Small Box"/>
    <n v="0.37"/>
    <d v="2010-02-10T00:00:00"/>
    <n v="0"/>
    <n v="0"/>
    <n v="0.5"/>
    <n v="0.5"/>
  </r>
  <r>
    <n v="1005"/>
    <n v="7301"/>
    <x v="282"/>
    <x v="15"/>
    <s v="Low"/>
    <n v="17"/>
    <n v="959.08899999999994"/>
    <n v="0.06"/>
    <s v="Regular Air"/>
    <n v="124.99199999999999"/>
    <n v="65.989999999999995"/>
    <n v="2.5"/>
    <x v="84"/>
    <x v="8"/>
    <x v="6"/>
    <x v="2"/>
    <x v="1"/>
    <x v="3"/>
    <x v="892"/>
    <s v="Small Box"/>
    <n v="0.55000000000000004"/>
    <d v="2011-01-14T00:00:00"/>
    <n v="0"/>
    <n v="0"/>
    <n v="1"/>
    <n v="0.5"/>
  </r>
  <r>
    <n v="1041"/>
    <n v="7623"/>
    <x v="996"/>
    <x v="19"/>
    <s v="Critical"/>
    <n v="18"/>
    <n v="5459.32"/>
    <n v="0.03"/>
    <s v="Regular Air"/>
    <n v="1603.12"/>
    <n v="300.64999999999998"/>
    <n v="24.49"/>
    <x v="464"/>
    <x v="8"/>
    <x v="6"/>
    <x v="2"/>
    <x v="0"/>
    <x v="1"/>
    <x v="255"/>
    <s v="Large Box"/>
    <n v="0.52"/>
    <d v="2009-10-30T00:00:00"/>
    <n v="0"/>
    <n v="0"/>
    <n v="0.33333333333333331"/>
    <n v="0.33333333333333331"/>
  </r>
  <r>
    <n v="1042"/>
    <n v="7623"/>
    <x v="996"/>
    <x v="19"/>
    <s v="Critical"/>
    <n v="37"/>
    <n v="1793.42"/>
    <n v="0.06"/>
    <s v="Regular Air"/>
    <n v="21.5"/>
    <n v="49.99"/>
    <n v="19.989999999999998"/>
    <x v="464"/>
    <x v="8"/>
    <x v="6"/>
    <x v="2"/>
    <x v="1"/>
    <x v="7"/>
    <x v="1137"/>
    <s v="Small Box"/>
    <n v="0.45"/>
    <d v="2009-10-30T00:00:00"/>
    <n v="0"/>
    <n v="0"/>
    <n v="0.33333333333333331"/>
    <n v="0.33333333333333331"/>
  </r>
  <r>
    <n v="1043"/>
    <n v="7623"/>
    <x v="996"/>
    <x v="19"/>
    <s v="Critical"/>
    <n v="32"/>
    <n v="3080.07"/>
    <n v="0.1"/>
    <s v="Regular Air"/>
    <n v="1480.15"/>
    <n v="104.85"/>
    <n v="4.6500000000000004"/>
    <x v="464"/>
    <x v="8"/>
    <x v="6"/>
    <x v="2"/>
    <x v="0"/>
    <x v="5"/>
    <x v="504"/>
    <s v="Small Box"/>
    <n v="0.37"/>
    <d v="2009-10-29T00:00:00"/>
    <n v="0"/>
    <n v="0"/>
    <n v="0.33333333333333331"/>
    <n v="0.33333333333333331"/>
  </r>
  <r>
    <n v="1084"/>
    <n v="8000"/>
    <x v="30"/>
    <x v="18"/>
    <s v="Low"/>
    <n v="10"/>
    <n v="149.25"/>
    <n v="0.08"/>
    <s v="Regular Air"/>
    <n v="-26.8065"/>
    <n v="15.01"/>
    <n v="8.4"/>
    <x v="463"/>
    <x v="8"/>
    <x v="6"/>
    <x v="0"/>
    <x v="0"/>
    <x v="2"/>
    <x v="318"/>
    <s v="Small Box"/>
    <n v="0.39"/>
    <d v="2010-09-21T00:00:00"/>
    <n v="0"/>
    <n v="0"/>
    <n v="0.5"/>
    <n v="0.5"/>
  </r>
  <r>
    <n v="1085"/>
    <n v="8000"/>
    <x v="30"/>
    <x v="18"/>
    <s v="Low"/>
    <n v="1"/>
    <n v="10.14"/>
    <n v="0.04"/>
    <s v="Regular Air"/>
    <n v="-7.6130000000000004"/>
    <n v="4.82"/>
    <n v="5.24"/>
    <x v="463"/>
    <x v="8"/>
    <x v="6"/>
    <x v="0"/>
    <x v="0"/>
    <x v="2"/>
    <x v="1138"/>
    <s v="Small Box"/>
    <n v="0.39"/>
    <d v="2010-09-21T00:00:00"/>
    <n v="0"/>
    <n v="0"/>
    <n v="0.5"/>
    <n v="0.5"/>
  </r>
  <r>
    <n v="1097"/>
    <n v="8039"/>
    <x v="1037"/>
    <x v="9"/>
    <s v="Medium"/>
    <n v="37"/>
    <n v="1199.7"/>
    <n v="0.01"/>
    <s v="Regular Air"/>
    <n v="3.22"/>
    <n v="30.98"/>
    <n v="19.510000000000002"/>
    <x v="469"/>
    <x v="8"/>
    <x v="6"/>
    <x v="0"/>
    <x v="0"/>
    <x v="8"/>
    <x v="1061"/>
    <s v="Small Box"/>
    <n v="0.36"/>
    <d v="2012-08-24T00:00:00"/>
    <n v="0"/>
    <n v="0"/>
    <n v="1"/>
    <n v="1"/>
  </r>
  <r>
    <n v="1112"/>
    <n v="8162"/>
    <x v="637"/>
    <x v="19"/>
    <s v="Medium"/>
    <n v="25"/>
    <n v="670.39"/>
    <n v="0.03"/>
    <s v="Regular Air"/>
    <n v="-82.26"/>
    <n v="27.48"/>
    <n v="4"/>
    <x v="470"/>
    <x v="8"/>
    <x v="6"/>
    <x v="0"/>
    <x v="1"/>
    <x v="7"/>
    <x v="593"/>
    <s v="Small Box"/>
    <n v="0.75"/>
    <d v="2009-10-08T00:00:00"/>
    <n v="0"/>
    <n v="0"/>
    <n v="0.33333333333333331"/>
    <n v="0.33333333333333331"/>
  </r>
  <r>
    <n v="1113"/>
    <n v="8162"/>
    <x v="637"/>
    <x v="19"/>
    <s v="Medium"/>
    <n v="32"/>
    <n v="5618.4"/>
    <n v="0.1"/>
    <s v="Regular Air"/>
    <n v="1314.12"/>
    <n v="179.99"/>
    <n v="19.989999999999998"/>
    <x v="470"/>
    <x v="8"/>
    <x v="6"/>
    <x v="0"/>
    <x v="1"/>
    <x v="7"/>
    <x v="634"/>
    <s v="Small Box"/>
    <n v="0.48"/>
    <d v="2009-10-08T00:00:00"/>
    <n v="0"/>
    <n v="0"/>
    <n v="0.33333333333333331"/>
    <n v="0.33333333333333331"/>
  </r>
  <r>
    <n v="1114"/>
    <n v="8162"/>
    <x v="637"/>
    <x v="19"/>
    <s v="Medium"/>
    <n v="42"/>
    <n v="5450.6"/>
    <n v="0.1"/>
    <s v="Regular Air"/>
    <n v="10.86"/>
    <n v="140.85"/>
    <n v="19.989999999999998"/>
    <x v="470"/>
    <x v="8"/>
    <x v="6"/>
    <x v="0"/>
    <x v="0"/>
    <x v="0"/>
    <x v="405"/>
    <s v="Small Box"/>
    <n v="0.73"/>
    <d v="2009-10-09T00:00:00"/>
    <n v="0"/>
    <n v="0"/>
    <n v="0.33333333333333331"/>
    <n v="0.33333333333333331"/>
  </r>
  <r>
    <n v="1211"/>
    <n v="8870"/>
    <x v="270"/>
    <x v="14"/>
    <s v="Not Specified"/>
    <n v="15"/>
    <n v="441.58"/>
    <n v="7.0000000000000007E-2"/>
    <s v="Regular Air"/>
    <n v="117.39"/>
    <n v="30.98"/>
    <n v="5.09"/>
    <x v="470"/>
    <x v="8"/>
    <x v="6"/>
    <x v="0"/>
    <x v="0"/>
    <x v="5"/>
    <x v="1139"/>
    <s v="Small Box"/>
    <n v="0.4"/>
    <d v="2010-03-06T00:00:00"/>
    <n v="0"/>
    <n v="0"/>
    <n v="1"/>
    <n v="1"/>
  </r>
  <r>
    <n v="1275"/>
    <n v="9253"/>
    <x v="673"/>
    <x v="23"/>
    <s v="Critical"/>
    <n v="36"/>
    <n v="1644.22"/>
    <n v="0.05"/>
    <s v="Regular Air"/>
    <n v="563.09"/>
    <n v="46.94"/>
    <n v="6.77"/>
    <x v="118"/>
    <x v="8"/>
    <x v="6"/>
    <x v="0"/>
    <x v="2"/>
    <x v="4"/>
    <x v="852"/>
    <s v="Small Box"/>
    <n v="0.44"/>
    <d v="2012-02-01T00:00:00"/>
    <n v="0"/>
    <n v="0"/>
    <n v="1"/>
    <n v="1"/>
  </r>
  <r>
    <n v="1490"/>
    <n v="10722"/>
    <x v="642"/>
    <x v="16"/>
    <s v="Not Specified"/>
    <n v="8"/>
    <n v="40.26"/>
    <n v="0.01"/>
    <s v="Regular Air"/>
    <n v="-27.44"/>
    <n v="4.28"/>
    <n v="5.68"/>
    <x v="457"/>
    <x v="8"/>
    <x v="6"/>
    <x v="3"/>
    <x v="0"/>
    <x v="5"/>
    <x v="653"/>
    <s v="Small Box"/>
    <n v="0.4"/>
    <d v="2011-01-21T00:00:00"/>
    <n v="0"/>
    <n v="0"/>
    <n v="1"/>
    <n v="0.5"/>
  </r>
  <r>
    <n v="1595"/>
    <n v="11527"/>
    <x v="175"/>
    <x v="36"/>
    <s v="Medium"/>
    <n v="45"/>
    <n v="4629.67"/>
    <n v="0.04"/>
    <s v="Regular Air"/>
    <n v="2860.71"/>
    <n v="99.23"/>
    <n v="8.99"/>
    <x v="465"/>
    <x v="8"/>
    <x v="6"/>
    <x v="3"/>
    <x v="2"/>
    <x v="4"/>
    <x v="547"/>
    <s v="Small Pack"/>
    <n v="0.35"/>
    <d v="2009-07-04T00:00:00"/>
    <n v="0"/>
    <n v="0"/>
    <n v="1"/>
    <n v="1"/>
  </r>
  <r>
    <n v="1613"/>
    <n v="11683"/>
    <x v="164"/>
    <x v="12"/>
    <s v="Not Specified"/>
    <n v="28"/>
    <n v="1650.4110000000001"/>
    <n v="0.03"/>
    <s v="Regular Air"/>
    <n v="335.07900000000001"/>
    <n v="65.989999999999995"/>
    <n v="5.99"/>
    <x v="467"/>
    <x v="8"/>
    <x v="6"/>
    <x v="2"/>
    <x v="1"/>
    <x v="3"/>
    <x v="421"/>
    <s v="Small Box"/>
    <n v="0.57999999999999996"/>
    <d v="2012-02-07T00:00:00"/>
    <n v="0"/>
    <n v="0"/>
    <n v="1"/>
    <n v="1"/>
  </r>
  <r>
    <n v="1730"/>
    <n v="12448"/>
    <x v="1149"/>
    <x v="27"/>
    <s v="Critical"/>
    <n v="33"/>
    <n v="240.27"/>
    <n v="7.0000000000000007E-2"/>
    <s v="Regular Air"/>
    <n v="-269.80150000000003"/>
    <n v="7.38"/>
    <n v="11.51"/>
    <x v="468"/>
    <x v="8"/>
    <x v="6"/>
    <x v="0"/>
    <x v="0"/>
    <x v="2"/>
    <x v="1140"/>
    <s v="Small Box"/>
    <n v="0.36"/>
    <d v="2011-11-11T00:00:00"/>
    <n v="0"/>
    <n v="0"/>
    <n v="0.5"/>
    <n v="0.5"/>
  </r>
  <r>
    <n v="1731"/>
    <n v="12448"/>
    <x v="1149"/>
    <x v="27"/>
    <s v="Critical"/>
    <n v="24"/>
    <n v="6802.37"/>
    <n v="0.08"/>
    <s v="Delivery Truck"/>
    <n v="459.5"/>
    <n v="284.98"/>
    <n v="69.55"/>
    <x v="468"/>
    <x v="8"/>
    <x v="6"/>
    <x v="0"/>
    <x v="2"/>
    <x v="14"/>
    <x v="649"/>
    <s v="Jumbo Drum"/>
    <n v="0.6"/>
    <d v="2011-11-09T00:00:00"/>
    <n v="0"/>
    <n v="0"/>
    <n v="0.5"/>
    <n v="0.5"/>
  </r>
  <r>
    <n v="1816"/>
    <n v="13028"/>
    <x v="693"/>
    <x v="46"/>
    <s v="Critical"/>
    <n v="39"/>
    <n v="1357.53"/>
    <n v="0.05"/>
    <s v="Regular Air"/>
    <n v="562.91999999999996"/>
    <n v="35.44"/>
    <n v="5.09"/>
    <x v="471"/>
    <x v="8"/>
    <x v="6"/>
    <x v="1"/>
    <x v="0"/>
    <x v="5"/>
    <x v="120"/>
    <s v="Small Box"/>
    <n v="0.38"/>
    <d v="2009-04-09T00:00:00"/>
    <n v="0"/>
    <n v="0"/>
    <n v="1"/>
    <n v="1"/>
  </r>
  <r>
    <n v="1835"/>
    <n v="13156"/>
    <x v="827"/>
    <x v="17"/>
    <s v="Low"/>
    <n v="12"/>
    <n v="502.01"/>
    <n v="0.04"/>
    <s v="Regular Air"/>
    <n v="159.72999999999999"/>
    <n v="39.979999999999997"/>
    <n v="9.1999999999999993"/>
    <x v="473"/>
    <x v="8"/>
    <x v="6"/>
    <x v="2"/>
    <x v="2"/>
    <x v="4"/>
    <x v="131"/>
    <s v="Wrap Bag"/>
    <n v="0.65"/>
    <d v="2011-10-10T00:00:00"/>
    <n v="0"/>
    <n v="0"/>
    <n v="1"/>
    <n v="1"/>
  </r>
  <r>
    <n v="1840"/>
    <n v="13252"/>
    <x v="436"/>
    <x v="28"/>
    <s v="Not Specified"/>
    <n v="44"/>
    <n v="7312.86"/>
    <n v="0.03"/>
    <s v="Delivery Truck"/>
    <n v="1279.3699999999999"/>
    <n v="160.97999999999999"/>
    <n v="30"/>
    <x v="459"/>
    <x v="8"/>
    <x v="6"/>
    <x v="1"/>
    <x v="2"/>
    <x v="14"/>
    <x v="580"/>
    <s v="Jumbo Drum"/>
    <n v="0.62"/>
    <d v="2009-03-25T00:00:00"/>
    <n v="0"/>
    <n v="0"/>
    <n v="0.5"/>
    <n v="0.5"/>
  </r>
  <r>
    <n v="1841"/>
    <n v="13252"/>
    <x v="436"/>
    <x v="28"/>
    <s v="Not Specified"/>
    <n v="39"/>
    <n v="605.16"/>
    <n v="0.09"/>
    <s v="Regular Air"/>
    <n v="154.65"/>
    <n v="15.98"/>
    <n v="4"/>
    <x v="459"/>
    <x v="8"/>
    <x v="6"/>
    <x v="1"/>
    <x v="1"/>
    <x v="7"/>
    <x v="404"/>
    <s v="Small Box"/>
    <n v="0.37"/>
    <d v="2009-03-24T00:00:00"/>
    <n v="0"/>
    <n v="0"/>
    <n v="0.5"/>
    <n v="0.5"/>
  </r>
  <r>
    <n v="1879"/>
    <n v="13540"/>
    <x v="1026"/>
    <x v="39"/>
    <s v="High"/>
    <n v="33"/>
    <n v="121"/>
    <n v="0.09"/>
    <s v="Regular Air"/>
    <n v="51.21"/>
    <n v="3.75"/>
    <n v="0.5"/>
    <x v="474"/>
    <x v="8"/>
    <x v="6"/>
    <x v="1"/>
    <x v="0"/>
    <x v="11"/>
    <x v="45"/>
    <s v="Small Box"/>
    <n v="0.37"/>
    <d v="2010-05-25T00:00:00"/>
    <n v="0"/>
    <n v="0"/>
    <n v="0.2"/>
    <n v="0.2"/>
  </r>
  <r>
    <n v="1880"/>
    <n v="13540"/>
    <x v="1026"/>
    <x v="39"/>
    <s v="High"/>
    <n v="27"/>
    <n v="1484.1849999999999"/>
    <n v="0.02"/>
    <s v="Regular Air"/>
    <n v="239.24699999999999"/>
    <n v="65.989999999999995"/>
    <n v="4.99"/>
    <x v="474"/>
    <x v="8"/>
    <x v="6"/>
    <x v="1"/>
    <x v="1"/>
    <x v="3"/>
    <x v="539"/>
    <s v="Small Box"/>
    <n v="0.56999999999999995"/>
    <d v="2010-05-25T00:00:00"/>
    <n v="0"/>
    <n v="0"/>
    <n v="0.2"/>
    <n v="0.2"/>
  </r>
  <r>
    <n v="1968"/>
    <n v="14081"/>
    <x v="524"/>
    <x v="0"/>
    <s v="High"/>
    <n v="31"/>
    <n v="1476.12"/>
    <n v="0.03"/>
    <s v="Delivery Truck"/>
    <n v="-1401.1712000000002"/>
    <n v="44.43"/>
    <n v="46.59"/>
    <x v="461"/>
    <x v="8"/>
    <x v="6"/>
    <x v="3"/>
    <x v="2"/>
    <x v="10"/>
    <x v="1069"/>
    <s v="Jumbo Box"/>
    <n v="0.67"/>
    <d v="2010-10-07T00:00:00"/>
    <n v="0"/>
    <n v="0"/>
    <n v="1"/>
    <n v="0.33333333333333331"/>
  </r>
  <r>
    <n v="1969"/>
    <n v="14086"/>
    <x v="192"/>
    <x v="0"/>
    <s v="Low"/>
    <n v="13"/>
    <n v="1764.97"/>
    <n v="7.0000000000000007E-2"/>
    <s v="Delivery Truck"/>
    <n v="-383.5"/>
    <n v="130.97999999999999"/>
    <n v="54.74"/>
    <x v="461"/>
    <x v="8"/>
    <x v="6"/>
    <x v="1"/>
    <x v="2"/>
    <x v="9"/>
    <x v="631"/>
    <s v="Jumbo Box"/>
    <n v="0.69"/>
    <d v="2010-10-25T00:00:00"/>
    <n v="0"/>
    <n v="0"/>
    <n v="0.5"/>
    <n v="0.33333333333333331"/>
  </r>
  <r>
    <n v="1970"/>
    <n v="14086"/>
    <x v="192"/>
    <x v="0"/>
    <s v="Low"/>
    <n v="50"/>
    <n v="238.34"/>
    <n v="0.04"/>
    <s v="Regular Air"/>
    <n v="-7.36"/>
    <n v="4.76"/>
    <n v="3.01"/>
    <x v="461"/>
    <x v="8"/>
    <x v="6"/>
    <x v="1"/>
    <x v="0"/>
    <x v="5"/>
    <x v="697"/>
    <s v="Wrap Bag"/>
    <n v="0.36"/>
    <d v="2010-10-27T00:00:00"/>
    <n v="0"/>
    <n v="0"/>
    <n v="0.5"/>
    <n v="0.33333333333333331"/>
  </r>
  <r>
    <n v="2025"/>
    <n v="14435"/>
    <x v="808"/>
    <x v="45"/>
    <s v="Not Specified"/>
    <n v="41"/>
    <n v="3731.59"/>
    <n v="0"/>
    <s v="Delivery Truck"/>
    <n v="-605.52"/>
    <n v="89.99"/>
    <n v="42"/>
    <x v="468"/>
    <x v="8"/>
    <x v="6"/>
    <x v="0"/>
    <x v="2"/>
    <x v="14"/>
    <x v="668"/>
    <s v="Jumbo Drum"/>
    <n v="0.66"/>
    <d v="2012-12-02T00:00:00"/>
    <n v="0"/>
    <n v="0"/>
    <n v="0.33333333333333331"/>
    <n v="0.33333333333333331"/>
  </r>
  <r>
    <n v="2026"/>
    <n v="14435"/>
    <x v="808"/>
    <x v="45"/>
    <s v="Not Specified"/>
    <n v="9"/>
    <n v="33367.85"/>
    <n v="0.01"/>
    <s v="Regular Air"/>
    <n v="3992.52"/>
    <n v="3499.99"/>
    <n v="24.49"/>
    <x v="468"/>
    <x v="8"/>
    <x v="6"/>
    <x v="0"/>
    <x v="1"/>
    <x v="13"/>
    <x v="480"/>
    <s v="Large Box"/>
    <n v="0.37"/>
    <d v="2012-12-04T00:00:00"/>
    <n v="0"/>
    <n v="0"/>
    <n v="0.33333333333333331"/>
    <n v="0.33333333333333331"/>
  </r>
  <r>
    <n v="2027"/>
    <n v="14435"/>
    <x v="808"/>
    <x v="45"/>
    <s v="Not Specified"/>
    <n v="44"/>
    <n v="1299.9100000000001"/>
    <n v="0.06"/>
    <s v="Regular Air"/>
    <n v="439.26"/>
    <n v="30.98"/>
    <n v="5.76"/>
    <x v="468"/>
    <x v="8"/>
    <x v="6"/>
    <x v="0"/>
    <x v="0"/>
    <x v="5"/>
    <x v="37"/>
    <s v="Small Box"/>
    <n v="0.4"/>
    <d v="2012-12-01T00:00:00"/>
    <n v="0"/>
    <n v="0"/>
    <n v="0.33333333333333331"/>
    <n v="0.33333333333333331"/>
  </r>
  <r>
    <n v="2064"/>
    <n v="14784"/>
    <x v="825"/>
    <x v="33"/>
    <s v="Medium"/>
    <n v="43"/>
    <n v="2009.05"/>
    <n v="0.04"/>
    <s v="Delivery Truck"/>
    <n v="33.988949999999996"/>
    <n v="44.43"/>
    <n v="46.59"/>
    <x v="472"/>
    <x v="8"/>
    <x v="6"/>
    <x v="0"/>
    <x v="2"/>
    <x v="10"/>
    <x v="1069"/>
    <s v="Jumbo Box"/>
    <n v="0.67"/>
    <d v="2012-03-15T00:00:00"/>
    <n v="0"/>
    <n v="0"/>
    <n v="1"/>
    <n v="1"/>
  </r>
  <r>
    <n v="2136"/>
    <n v="15264"/>
    <x v="1150"/>
    <x v="27"/>
    <s v="Medium"/>
    <n v="3"/>
    <n v="3581.52"/>
    <n v="7.0000000000000007E-2"/>
    <s v="Regular Air"/>
    <n v="-408.21550000000002"/>
    <n v="1270.99"/>
    <n v="19.989999999999998"/>
    <x v="465"/>
    <x v="8"/>
    <x v="6"/>
    <x v="3"/>
    <x v="0"/>
    <x v="2"/>
    <x v="164"/>
    <s v="Small Box"/>
    <n v="0.35"/>
    <d v="2011-11-19T00:00:00"/>
    <n v="0"/>
    <n v="0"/>
    <n v="0.5"/>
    <n v="0.5"/>
  </r>
  <r>
    <n v="2137"/>
    <n v="15264"/>
    <x v="1150"/>
    <x v="27"/>
    <s v="Medium"/>
    <n v="13"/>
    <n v="90.15"/>
    <n v="7.0000000000000007E-2"/>
    <s v="Regular Air"/>
    <n v="33.049999999999997"/>
    <n v="7.31"/>
    <n v="0.49"/>
    <x v="465"/>
    <x v="8"/>
    <x v="6"/>
    <x v="3"/>
    <x v="0"/>
    <x v="11"/>
    <x v="31"/>
    <s v="Small Box"/>
    <n v="0.38"/>
    <d v="2011-11-17T00:00:00"/>
    <n v="0"/>
    <n v="0"/>
    <n v="0.5"/>
    <n v="0.5"/>
  </r>
  <r>
    <n v="2273"/>
    <n v="16352"/>
    <x v="1151"/>
    <x v="29"/>
    <s v="Medium"/>
    <n v="16"/>
    <n v="113.25"/>
    <n v="0.03"/>
    <s v="Regular Air"/>
    <n v="-43.43"/>
    <n v="6.48"/>
    <n v="6.65"/>
    <x v="84"/>
    <x v="8"/>
    <x v="6"/>
    <x v="2"/>
    <x v="0"/>
    <x v="5"/>
    <x v="58"/>
    <s v="Small Box"/>
    <n v="0.36"/>
    <d v="2012-08-01T00:00:00"/>
    <n v="0"/>
    <n v="0"/>
    <n v="1"/>
    <n v="1"/>
  </r>
  <r>
    <n v="2289"/>
    <n v="16513"/>
    <x v="1152"/>
    <x v="18"/>
    <s v="Critical"/>
    <n v="10"/>
    <n v="1642.43"/>
    <n v="0.02"/>
    <s v="Delivery Truck"/>
    <n v="-423.2"/>
    <n v="150.88999999999999"/>
    <n v="60.2"/>
    <x v="468"/>
    <x v="8"/>
    <x v="6"/>
    <x v="0"/>
    <x v="2"/>
    <x v="14"/>
    <x v="721"/>
    <s v="Jumbo Drum"/>
    <n v="0.77"/>
    <d v="2010-09-04T00:00:00"/>
    <n v="0"/>
    <n v="0"/>
    <n v="1"/>
    <n v="1"/>
  </r>
  <r>
    <n v="2302"/>
    <n v="16582"/>
    <x v="1153"/>
    <x v="17"/>
    <s v="Critical"/>
    <n v="26"/>
    <n v="6766.8559999999998"/>
    <n v="0.02"/>
    <s v="Delivery Truck"/>
    <n v="-774.89068800000007"/>
    <n v="320.64"/>
    <n v="43.57"/>
    <x v="475"/>
    <x v="8"/>
    <x v="6"/>
    <x v="3"/>
    <x v="2"/>
    <x v="10"/>
    <x v="1104"/>
    <s v="Jumbo Box"/>
    <n v="0.63"/>
    <d v="2011-10-03T00:00:00"/>
    <n v="0"/>
    <n v="0"/>
    <n v="1"/>
    <n v="1"/>
  </r>
  <r>
    <n v="2307"/>
    <n v="16640"/>
    <x v="1154"/>
    <x v="42"/>
    <s v="Low"/>
    <n v="6"/>
    <n v="652.33000000000004"/>
    <n v="0.09"/>
    <s v="Delivery Truck"/>
    <n v="-227.51"/>
    <n v="113.98"/>
    <n v="30"/>
    <x v="476"/>
    <x v="8"/>
    <x v="6"/>
    <x v="2"/>
    <x v="2"/>
    <x v="14"/>
    <x v="655"/>
    <s v="Jumbo Drum"/>
    <n v="0.69"/>
    <d v="2010-07-29T00:00:00"/>
    <n v="0"/>
    <n v="0"/>
    <n v="1"/>
    <n v="1"/>
  </r>
  <r>
    <n v="2321"/>
    <n v="16711"/>
    <x v="178"/>
    <x v="13"/>
    <s v="Not Specified"/>
    <n v="3"/>
    <n v="3.96"/>
    <n v="0.1"/>
    <s v="Regular Air"/>
    <n v="-1.72"/>
    <n v="1.1399999999999999"/>
    <n v="0.7"/>
    <x v="477"/>
    <x v="8"/>
    <x v="6"/>
    <x v="0"/>
    <x v="0"/>
    <x v="6"/>
    <x v="1129"/>
    <s v="Wrap Bag"/>
    <n v="0.38"/>
    <d v="2012-04-27T00:00:00"/>
    <n v="0"/>
    <n v="0"/>
    <n v="1"/>
    <n v="1"/>
  </r>
  <r>
    <n v="2375"/>
    <n v="17218"/>
    <x v="1155"/>
    <x v="29"/>
    <s v="Critical"/>
    <n v="32"/>
    <n v="157.85"/>
    <n v="0.06"/>
    <s v="Regular Air"/>
    <n v="22.54"/>
    <n v="5.18"/>
    <n v="2.04"/>
    <x v="478"/>
    <x v="8"/>
    <x v="6"/>
    <x v="1"/>
    <x v="0"/>
    <x v="5"/>
    <x v="267"/>
    <s v="Wrap Bag"/>
    <n v="0.36"/>
    <d v="2012-07-25T00:00:00"/>
    <n v="0"/>
    <n v="0"/>
    <n v="1"/>
    <n v="1"/>
  </r>
  <r>
    <n v="2381"/>
    <n v="17255"/>
    <x v="180"/>
    <x v="42"/>
    <s v="Not Specified"/>
    <n v="17"/>
    <n v="158.19"/>
    <n v="0.09"/>
    <s v="Regular Air"/>
    <n v="-75.22"/>
    <n v="9.3800000000000008"/>
    <n v="7.28"/>
    <x v="457"/>
    <x v="8"/>
    <x v="6"/>
    <x v="3"/>
    <x v="0"/>
    <x v="0"/>
    <x v="761"/>
    <s v="Small Box"/>
    <n v="0.56999999999999995"/>
    <d v="2010-07-15T00:00:00"/>
    <n v="0"/>
    <n v="0"/>
    <n v="1"/>
    <n v="1"/>
  </r>
  <r>
    <n v="2392"/>
    <n v="17317"/>
    <x v="1156"/>
    <x v="47"/>
    <s v="Not Specified"/>
    <n v="7"/>
    <n v="34.659999999999997"/>
    <n v="0.06"/>
    <s v="Regular Air"/>
    <n v="-20.87"/>
    <n v="4.42"/>
    <n v="4.99"/>
    <x v="479"/>
    <x v="8"/>
    <x v="6"/>
    <x v="2"/>
    <x v="0"/>
    <x v="8"/>
    <x v="1133"/>
    <s v="Small Box"/>
    <n v="0.38"/>
    <d v="2009-12-05T00:00:00"/>
    <n v="0"/>
    <n v="0"/>
    <n v="1"/>
    <n v="1"/>
  </r>
  <r>
    <n v="2405"/>
    <n v="17414"/>
    <x v="151"/>
    <x v="8"/>
    <s v="High"/>
    <n v="39"/>
    <n v="3755.43"/>
    <n v="7.0000000000000007E-2"/>
    <s v="Regular Air"/>
    <n v="448.07"/>
    <n v="99.99"/>
    <n v="19.989999999999998"/>
    <x v="475"/>
    <x v="8"/>
    <x v="6"/>
    <x v="2"/>
    <x v="1"/>
    <x v="7"/>
    <x v="218"/>
    <s v="Small Box"/>
    <n v="0.52"/>
    <d v="2012-07-01T00:00:00"/>
    <n v="0"/>
    <n v="0"/>
    <n v="0.5"/>
    <n v="0.33333333333333331"/>
  </r>
  <r>
    <n v="2406"/>
    <n v="17414"/>
    <x v="151"/>
    <x v="8"/>
    <s v="High"/>
    <n v="32"/>
    <n v="347.93"/>
    <n v="0.1"/>
    <s v="Regular Air"/>
    <n v="34.29"/>
    <n v="11.34"/>
    <n v="5.01"/>
    <x v="475"/>
    <x v="8"/>
    <x v="6"/>
    <x v="2"/>
    <x v="0"/>
    <x v="5"/>
    <x v="119"/>
    <s v="Small Box"/>
    <n v="0.36"/>
    <d v="2012-07-01T00:00:00"/>
    <n v="0"/>
    <n v="0"/>
    <n v="0.5"/>
    <n v="0.33333333333333331"/>
  </r>
  <r>
    <n v="2408"/>
    <n v="17446"/>
    <x v="1157"/>
    <x v="41"/>
    <s v="Critical"/>
    <n v="15"/>
    <n v="138.84"/>
    <n v="0"/>
    <s v="Express Air"/>
    <n v="8.75"/>
    <n v="8.34"/>
    <n v="2.64"/>
    <x v="465"/>
    <x v="8"/>
    <x v="6"/>
    <x v="3"/>
    <x v="0"/>
    <x v="15"/>
    <x v="1008"/>
    <s v="Small Pack"/>
    <n v="0.59"/>
    <d v="2009-06-11T00:00:00"/>
    <n v="0"/>
    <n v="0"/>
    <n v="1"/>
    <n v="1"/>
  </r>
  <r>
    <n v="2446"/>
    <n v="17765"/>
    <x v="339"/>
    <x v="31"/>
    <s v="Not Specified"/>
    <n v="36"/>
    <n v="79.02"/>
    <n v="0.08"/>
    <s v="Regular Air"/>
    <n v="-192.6825"/>
    <n v="2.16"/>
    <n v="6.05"/>
    <x v="468"/>
    <x v="8"/>
    <x v="6"/>
    <x v="0"/>
    <x v="0"/>
    <x v="2"/>
    <x v="388"/>
    <s v="Small Box"/>
    <n v="0.37"/>
    <d v="2011-09-15T00:00:00"/>
    <n v="0"/>
    <n v="0"/>
    <n v="1"/>
    <n v="1"/>
  </r>
  <r>
    <n v="2471"/>
    <n v="17958"/>
    <x v="1158"/>
    <x v="21"/>
    <s v="Low"/>
    <n v="33"/>
    <n v="1053.74"/>
    <n v="7.0000000000000007E-2"/>
    <s v="Regular Air"/>
    <n v="359.53"/>
    <n v="32.479999999999997"/>
    <n v="7.09"/>
    <x v="460"/>
    <x v="8"/>
    <x v="6"/>
    <x v="3"/>
    <x v="2"/>
    <x v="4"/>
    <x v="1141"/>
    <s v="Small Box"/>
    <n v="0.49"/>
    <d v="2011-08-15T00:00:00"/>
    <n v="0"/>
    <n v="0"/>
    <n v="1"/>
    <n v="1"/>
  </r>
  <r>
    <n v="2534"/>
    <n v="18375"/>
    <x v="230"/>
    <x v="31"/>
    <s v="Low"/>
    <n v="20"/>
    <n v="76.89"/>
    <n v="0.03"/>
    <s v="Regular Air"/>
    <n v="31.64"/>
    <n v="3.75"/>
    <n v="0.5"/>
    <x v="474"/>
    <x v="8"/>
    <x v="6"/>
    <x v="0"/>
    <x v="0"/>
    <x v="11"/>
    <x v="45"/>
    <s v="Small Box"/>
    <n v="0.37"/>
    <d v="2011-09-26T00:00:00"/>
    <n v="0"/>
    <n v="0"/>
    <n v="1"/>
    <n v="0.5"/>
  </r>
  <r>
    <n v="2566"/>
    <n v="18532"/>
    <x v="333"/>
    <x v="17"/>
    <s v="Not Specified"/>
    <n v="29"/>
    <n v="230.77"/>
    <n v="0.09"/>
    <s v="Regular Air"/>
    <n v="-146.24"/>
    <n v="8.4499999999999993"/>
    <n v="7.77"/>
    <x v="460"/>
    <x v="8"/>
    <x v="6"/>
    <x v="3"/>
    <x v="0"/>
    <x v="15"/>
    <x v="341"/>
    <s v="Small Pack"/>
    <n v="0.55000000000000004"/>
    <d v="2011-10-21T00:00:00"/>
    <n v="0"/>
    <n v="0"/>
    <n v="0.5"/>
    <n v="0.5"/>
  </r>
  <r>
    <n v="2567"/>
    <n v="18532"/>
    <x v="333"/>
    <x v="17"/>
    <s v="Not Specified"/>
    <n v="31"/>
    <n v="507.58"/>
    <n v="0.01"/>
    <s v="Regular Air"/>
    <n v="-131.59"/>
    <n v="15.42"/>
    <n v="10.68"/>
    <x v="460"/>
    <x v="8"/>
    <x v="6"/>
    <x v="3"/>
    <x v="0"/>
    <x v="0"/>
    <x v="1119"/>
    <s v="Small Box"/>
    <n v="0.57999999999999996"/>
    <d v="2011-10-22T00:00:00"/>
    <n v="0"/>
    <n v="0"/>
    <n v="0.5"/>
    <n v="0.5"/>
  </r>
  <r>
    <n v="2583"/>
    <n v="18627"/>
    <x v="1062"/>
    <x v="15"/>
    <s v="Medium"/>
    <n v="4"/>
    <n v="15.7"/>
    <n v="0.01"/>
    <s v="Regular Air"/>
    <n v="0.71"/>
    <n v="3.69"/>
    <n v="0.5"/>
    <x v="469"/>
    <x v="8"/>
    <x v="6"/>
    <x v="0"/>
    <x v="0"/>
    <x v="11"/>
    <x v="98"/>
    <s v="Small Box"/>
    <n v="0.38"/>
    <d v="2010-12-21T00:00:00"/>
    <n v="0"/>
    <n v="0"/>
    <n v="1"/>
    <n v="1"/>
  </r>
  <r>
    <n v="2603"/>
    <n v="18816"/>
    <x v="998"/>
    <x v="40"/>
    <s v="Critical"/>
    <n v="12"/>
    <n v="580.46"/>
    <n v="0.03"/>
    <s v="Express Air"/>
    <n v="108.96"/>
    <n v="48.58"/>
    <n v="3.99"/>
    <x v="59"/>
    <x v="8"/>
    <x v="6"/>
    <x v="2"/>
    <x v="0"/>
    <x v="1"/>
    <x v="767"/>
    <s v="Small Box"/>
    <n v="0.56000000000000005"/>
    <d v="2009-02-26T00:00:00"/>
    <n v="0"/>
    <n v="0"/>
    <n v="1"/>
    <n v="1"/>
  </r>
  <r>
    <n v="2610"/>
    <n v="18852"/>
    <x v="1135"/>
    <x v="31"/>
    <s v="High"/>
    <n v="17"/>
    <n v="351.25"/>
    <n v="0.01"/>
    <s v="Express Air"/>
    <n v="80.73"/>
    <n v="19.98"/>
    <n v="5.97"/>
    <x v="474"/>
    <x v="8"/>
    <x v="6"/>
    <x v="0"/>
    <x v="0"/>
    <x v="5"/>
    <x v="71"/>
    <s v="Small Box"/>
    <n v="0.38"/>
    <d v="2011-09-21T00:00:00"/>
    <n v="0"/>
    <n v="0"/>
    <n v="1"/>
    <n v="0.5"/>
  </r>
  <r>
    <n v="2670"/>
    <n v="19329"/>
    <x v="239"/>
    <x v="14"/>
    <s v="Not Specified"/>
    <n v="37"/>
    <n v="281.58999999999997"/>
    <n v="7.0000000000000007E-2"/>
    <s v="Regular Air"/>
    <n v="-6.39"/>
    <n v="7.96"/>
    <n v="4.95"/>
    <x v="466"/>
    <x v="8"/>
    <x v="6"/>
    <x v="2"/>
    <x v="2"/>
    <x v="4"/>
    <x v="736"/>
    <s v="Small Box"/>
    <n v="0.41"/>
    <d v="2010-03-09T00:00:00"/>
    <n v="0"/>
    <n v="0"/>
    <n v="0.5"/>
    <n v="0.5"/>
  </r>
  <r>
    <n v="2671"/>
    <n v="19329"/>
    <x v="239"/>
    <x v="14"/>
    <s v="Not Specified"/>
    <n v="6"/>
    <n v="231.7525"/>
    <n v="0.03"/>
    <s v="Regular Air"/>
    <n v="-155.947"/>
    <n v="45.99"/>
    <n v="4.99"/>
    <x v="466"/>
    <x v="8"/>
    <x v="6"/>
    <x v="2"/>
    <x v="1"/>
    <x v="3"/>
    <x v="482"/>
    <s v="Small Box"/>
    <n v="0.56000000000000005"/>
    <d v="2010-03-08T00:00:00"/>
    <n v="0"/>
    <n v="0"/>
    <n v="0.5"/>
    <n v="0.5"/>
  </r>
  <r>
    <n v="2697"/>
    <n v="19522"/>
    <x v="886"/>
    <x v="19"/>
    <s v="Medium"/>
    <n v="44"/>
    <n v="161.80000000000001"/>
    <n v="0.06"/>
    <s v="Regular Air"/>
    <n v="21.335000000000001"/>
    <n v="3.8"/>
    <n v="1.49"/>
    <x v="461"/>
    <x v="8"/>
    <x v="6"/>
    <x v="1"/>
    <x v="0"/>
    <x v="2"/>
    <x v="160"/>
    <s v="Small Box"/>
    <n v="0.38"/>
    <d v="2009-10-21T00:00:00"/>
    <n v="0"/>
    <n v="0"/>
    <n v="0.5"/>
    <n v="0.5"/>
  </r>
  <r>
    <n v="2698"/>
    <n v="19522"/>
    <x v="886"/>
    <x v="19"/>
    <s v="Medium"/>
    <n v="37"/>
    <n v="64.36"/>
    <n v="0.06"/>
    <s v="Regular Air"/>
    <n v="-1.53"/>
    <n v="1.76"/>
    <n v="0.7"/>
    <x v="461"/>
    <x v="8"/>
    <x v="6"/>
    <x v="1"/>
    <x v="0"/>
    <x v="12"/>
    <x v="263"/>
    <s v="Wrap Bag"/>
    <n v="0.56000000000000005"/>
    <d v="2009-10-21T00:00:00"/>
    <n v="0"/>
    <n v="0"/>
    <n v="0.5"/>
    <n v="0.5"/>
  </r>
  <r>
    <n v="2743"/>
    <n v="19811"/>
    <x v="152"/>
    <x v="21"/>
    <s v="Low"/>
    <n v="49"/>
    <n v="450.66"/>
    <n v="0.01"/>
    <s v="Express Air"/>
    <n v="-115.1"/>
    <n v="8.57"/>
    <n v="6.14"/>
    <x v="480"/>
    <x v="8"/>
    <x v="6"/>
    <x v="2"/>
    <x v="0"/>
    <x v="15"/>
    <x v="1011"/>
    <s v="Small Pack"/>
    <n v="0.59"/>
    <d v="2011-08-13T00:00:00"/>
    <n v="0"/>
    <n v="0"/>
    <n v="1"/>
    <n v="1"/>
  </r>
  <r>
    <n v="2748"/>
    <n v="19841"/>
    <x v="1159"/>
    <x v="15"/>
    <s v="Low"/>
    <n v="17"/>
    <n v="213.06"/>
    <n v="0.03"/>
    <s v="Regular Air"/>
    <n v="-31.74"/>
    <n v="11.97"/>
    <n v="5.81"/>
    <x v="448"/>
    <x v="8"/>
    <x v="6"/>
    <x v="2"/>
    <x v="0"/>
    <x v="12"/>
    <x v="393"/>
    <s v="Small Pack"/>
    <n v="0.6"/>
    <d v="2011-01-22T00:00:00"/>
    <n v="0"/>
    <n v="0"/>
    <n v="0.33333333333333331"/>
    <n v="0.33333333333333331"/>
  </r>
  <r>
    <n v="2749"/>
    <n v="19841"/>
    <x v="1159"/>
    <x v="15"/>
    <s v="Low"/>
    <n v="7"/>
    <n v="1126.4880000000001"/>
    <n v="0.08"/>
    <s v="Regular Air"/>
    <n v="-557.95299999999997"/>
    <n v="195.99"/>
    <n v="4.2"/>
    <x v="448"/>
    <x v="8"/>
    <x v="6"/>
    <x v="2"/>
    <x v="1"/>
    <x v="3"/>
    <x v="469"/>
    <s v="Small Box"/>
    <n v="0.6"/>
    <d v="2011-01-26T00:00:00"/>
    <n v="0"/>
    <n v="0"/>
    <n v="0.33333333333333331"/>
    <n v="0.33333333333333331"/>
  </r>
  <r>
    <n v="2752"/>
    <n v="19874"/>
    <x v="8"/>
    <x v="8"/>
    <s v="High"/>
    <n v="31"/>
    <n v="310.45999999999998"/>
    <n v="0"/>
    <s v="Regular Air"/>
    <n v="-182.52"/>
    <n v="9.7100000000000009"/>
    <n v="9.4499999999999993"/>
    <x v="470"/>
    <x v="8"/>
    <x v="6"/>
    <x v="0"/>
    <x v="0"/>
    <x v="0"/>
    <x v="716"/>
    <s v="Small Box"/>
    <n v="0.6"/>
    <d v="2012-06-09T00:00:00"/>
    <n v="0"/>
    <n v="0"/>
    <n v="1"/>
    <n v="1"/>
  </r>
  <r>
    <n v="2767"/>
    <n v="20003"/>
    <x v="673"/>
    <x v="23"/>
    <s v="Medium"/>
    <n v="5"/>
    <n v="141.97550000000001"/>
    <n v="0.09"/>
    <s v="Regular Air"/>
    <n v="-88.935000000000002"/>
    <n v="35.99"/>
    <n v="0.99"/>
    <x v="222"/>
    <x v="8"/>
    <x v="6"/>
    <x v="2"/>
    <x v="1"/>
    <x v="3"/>
    <x v="312"/>
    <s v="Small Pack"/>
    <n v="0.35"/>
    <d v="2012-02-01T00:00:00"/>
    <n v="0"/>
    <n v="0"/>
    <n v="0.5"/>
    <n v="0.5"/>
  </r>
  <r>
    <n v="2780"/>
    <n v="20068"/>
    <x v="1160"/>
    <x v="44"/>
    <s v="Critical"/>
    <n v="9"/>
    <n v="53.18"/>
    <n v="0.09"/>
    <s v="Regular Air"/>
    <n v="-46.1265"/>
    <n v="5.53"/>
    <n v="6.98"/>
    <x v="481"/>
    <x v="8"/>
    <x v="6"/>
    <x v="3"/>
    <x v="0"/>
    <x v="2"/>
    <x v="518"/>
    <s v="Small Box"/>
    <n v="0.39"/>
    <d v="2011-03-01T00:00:00"/>
    <n v="0"/>
    <n v="0"/>
    <n v="1"/>
    <n v="1"/>
  </r>
  <r>
    <n v="2797"/>
    <n v="20162"/>
    <x v="1083"/>
    <x v="40"/>
    <s v="Medium"/>
    <n v="38"/>
    <n v="607.41999999999996"/>
    <n v="0.03"/>
    <s v="Regular Air"/>
    <n v="-254.13850000000002"/>
    <n v="15.16"/>
    <n v="15.09"/>
    <x v="439"/>
    <x v="8"/>
    <x v="6"/>
    <x v="3"/>
    <x v="0"/>
    <x v="2"/>
    <x v="1142"/>
    <s v="Small Box"/>
    <n v="0.39"/>
    <d v="2009-02-09T00:00:00"/>
    <n v="0"/>
    <n v="0"/>
    <n v="1"/>
    <n v="1"/>
  </r>
  <r>
    <n v="2820"/>
    <n v="20354"/>
    <x v="73"/>
    <x v="34"/>
    <s v="Critical"/>
    <n v="24"/>
    <n v="76.06"/>
    <n v="0.02"/>
    <s v="Regular Air"/>
    <n v="30.03"/>
    <n v="3.15"/>
    <n v="0.49"/>
    <x v="84"/>
    <x v="8"/>
    <x v="6"/>
    <x v="2"/>
    <x v="0"/>
    <x v="11"/>
    <x v="927"/>
    <s v="Small Box"/>
    <n v="0.37"/>
    <d v="2012-09-21T00:00:00"/>
    <n v="0"/>
    <n v="0"/>
    <n v="1"/>
    <n v="0.33333333333333331"/>
  </r>
  <r>
    <n v="2821"/>
    <n v="20384"/>
    <x v="1076"/>
    <x v="17"/>
    <s v="Low"/>
    <n v="30"/>
    <n v="396.6"/>
    <n v="0.08"/>
    <s v="Regular Air"/>
    <n v="-148.26"/>
    <n v="14.03"/>
    <n v="9.3699999999999992"/>
    <x v="480"/>
    <x v="8"/>
    <x v="6"/>
    <x v="2"/>
    <x v="0"/>
    <x v="0"/>
    <x v="569"/>
    <s v="Small Box"/>
    <n v="0.56000000000000005"/>
    <d v="2011-11-01T00:00:00"/>
    <n v="0"/>
    <n v="0"/>
    <n v="0.5"/>
    <n v="0.5"/>
  </r>
  <r>
    <n v="2822"/>
    <n v="20384"/>
    <x v="1076"/>
    <x v="17"/>
    <s v="Low"/>
    <n v="32"/>
    <n v="6902.51"/>
    <n v="0.04"/>
    <s v="Delivery Truck"/>
    <n v="-513.79042000000004"/>
    <n v="212.6"/>
    <n v="110.2"/>
    <x v="480"/>
    <x v="8"/>
    <x v="6"/>
    <x v="2"/>
    <x v="2"/>
    <x v="10"/>
    <x v="763"/>
    <s v="Jumbo Box"/>
    <n v="0.73"/>
    <d v="2011-10-29T00:00:00"/>
    <n v="0"/>
    <n v="0"/>
    <n v="0.5"/>
    <n v="0.5"/>
  </r>
  <r>
    <n v="2872"/>
    <n v="20710"/>
    <x v="213"/>
    <x v="11"/>
    <s v="High"/>
    <n v="31"/>
    <n v="180.7"/>
    <n v="0.1"/>
    <s v="Regular Air"/>
    <n v="-94.61"/>
    <n v="5.98"/>
    <n v="3.85"/>
    <x v="468"/>
    <x v="8"/>
    <x v="6"/>
    <x v="0"/>
    <x v="1"/>
    <x v="7"/>
    <x v="1143"/>
    <s v="Small Pack"/>
    <n v="0.68"/>
    <d v="2009-11-30T00:00:00"/>
    <n v="0"/>
    <n v="0"/>
    <n v="0.5"/>
    <n v="0.33333333333333331"/>
  </r>
  <r>
    <n v="2873"/>
    <n v="20710"/>
    <x v="213"/>
    <x v="11"/>
    <s v="High"/>
    <n v="26"/>
    <n v="67.400000000000006"/>
    <n v="7.0000000000000007E-2"/>
    <s v="Regular Air"/>
    <n v="22.71"/>
    <n v="2.61"/>
    <n v="0.5"/>
    <x v="468"/>
    <x v="8"/>
    <x v="6"/>
    <x v="0"/>
    <x v="0"/>
    <x v="11"/>
    <x v="281"/>
    <s v="Small Box"/>
    <n v="0.39"/>
    <d v="2009-12-01T00:00:00"/>
    <n v="0"/>
    <n v="0"/>
    <n v="0.5"/>
    <n v="0.33333333333333331"/>
  </r>
  <r>
    <n v="2886"/>
    <n v="20807"/>
    <x v="42"/>
    <x v="29"/>
    <s v="Not Specified"/>
    <n v="16"/>
    <n v="466.94749999999999"/>
    <n v="0.1"/>
    <s v="Regular Air"/>
    <n v="82.817999999999998"/>
    <n v="35.99"/>
    <n v="3.3"/>
    <x v="143"/>
    <x v="8"/>
    <x v="6"/>
    <x v="1"/>
    <x v="1"/>
    <x v="3"/>
    <x v="292"/>
    <s v="Small Pack"/>
    <n v="0.39"/>
    <d v="2012-07-22T00:00:00"/>
    <n v="0"/>
    <n v="0"/>
    <n v="0.5"/>
    <n v="0.5"/>
  </r>
  <r>
    <n v="2900"/>
    <n v="20934"/>
    <x v="606"/>
    <x v="38"/>
    <s v="Critical"/>
    <n v="5"/>
    <n v="1253.8900000000001"/>
    <n v="0.09"/>
    <s v="Delivery Truck"/>
    <n v="-577.47989999999993"/>
    <n v="264.98"/>
    <n v="17.86"/>
    <x v="149"/>
    <x v="8"/>
    <x v="6"/>
    <x v="2"/>
    <x v="1"/>
    <x v="16"/>
    <x v="908"/>
    <s v="Jumbo Drum"/>
    <n v="0.57999999999999996"/>
    <d v="2010-01-21T00:00:00"/>
    <n v="1"/>
    <n v="0"/>
    <n v="1"/>
    <n v="1"/>
  </r>
  <r>
    <n v="2915"/>
    <n v="21057"/>
    <x v="634"/>
    <x v="44"/>
    <s v="Low"/>
    <n v="28"/>
    <n v="1103.67"/>
    <n v="0.04"/>
    <s v="Regular Air"/>
    <n v="253.61"/>
    <n v="39.479999999999997"/>
    <n v="1.99"/>
    <x v="482"/>
    <x v="8"/>
    <x v="6"/>
    <x v="2"/>
    <x v="1"/>
    <x v="7"/>
    <x v="64"/>
    <s v="Small Pack"/>
    <n v="0.54"/>
    <d v="2011-02-10T00:00:00"/>
    <n v="0"/>
    <n v="0"/>
    <n v="1"/>
    <n v="1"/>
  </r>
  <r>
    <n v="2925"/>
    <n v="21190"/>
    <x v="1084"/>
    <x v="43"/>
    <s v="Medium"/>
    <n v="28"/>
    <n v="1062.69"/>
    <n v="0.01"/>
    <s v="Regular Air"/>
    <n v="401.8"/>
    <n v="35.94"/>
    <n v="6.66"/>
    <x v="184"/>
    <x v="8"/>
    <x v="6"/>
    <x v="0"/>
    <x v="0"/>
    <x v="8"/>
    <x v="1039"/>
    <s v="Small Box"/>
    <n v="0.4"/>
    <d v="2009-05-28T00:00:00"/>
    <n v="0"/>
    <n v="0"/>
    <n v="1"/>
    <n v="0.16666666666666666"/>
  </r>
  <r>
    <n v="2977"/>
    <n v="21505"/>
    <x v="350"/>
    <x v="45"/>
    <s v="Low"/>
    <n v="3"/>
    <n v="912.35"/>
    <n v="7.0000000000000007E-2"/>
    <s v="Delivery Truck"/>
    <n v="-379.22"/>
    <n v="284.98"/>
    <n v="69.55"/>
    <x v="473"/>
    <x v="8"/>
    <x v="6"/>
    <x v="3"/>
    <x v="2"/>
    <x v="14"/>
    <x v="649"/>
    <s v="Jumbo Drum"/>
    <n v="0.6"/>
    <d v="2012-12-03T00:00:00"/>
    <n v="0"/>
    <n v="0"/>
    <n v="1"/>
    <n v="1"/>
  </r>
  <r>
    <n v="3076"/>
    <n v="22055"/>
    <x v="889"/>
    <x v="34"/>
    <s v="Medium"/>
    <n v="40"/>
    <n v="6147.24"/>
    <n v="0.05"/>
    <s v="Delivery Truck"/>
    <n v="632.98"/>
    <n v="160.97999999999999"/>
    <n v="30"/>
    <x v="476"/>
    <x v="8"/>
    <x v="6"/>
    <x v="2"/>
    <x v="2"/>
    <x v="14"/>
    <x v="580"/>
    <s v="Jumbo Drum"/>
    <n v="0.62"/>
    <d v="2012-09-25T00:00:00"/>
    <n v="0"/>
    <n v="0"/>
    <n v="1"/>
    <n v="1"/>
  </r>
  <r>
    <n v="3114"/>
    <n v="22371"/>
    <x v="460"/>
    <x v="46"/>
    <s v="High"/>
    <n v="8"/>
    <n v="70.55"/>
    <n v="0"/>
    <s v="Regular Air"/>
    <n v="-66.170999999999992"/>
    <n v="7.38"/>
    <n v="11.51"/>
    <x v="469"/>
    <x v="8"/>
    <x v="6"/>
    <x v="0"/>
    <x v="0"/>
    <x v="2"/>
    <x v="1140"/>
    <s v="Small Box"/>
    <n v="0.36"/>
    <d v="2009-04-05T00:00:00"/>
    <n v="0"/>
    <n v="0"/>
    <n v="1"/>
    <n v="1"/>
  </r>
  <r>
    <n v="3137"/>
    <n v="22498"/>
    <x v="628"/>
    <x v="7"/>
    <s v="Critical"/>
    <n v="20"/>
    <n v="34.94"/>
    <n v="0.05"/>
    <s v="Regular Air"/>
    <n v="-30.7"/>
    <n v="1.7"/>
    <n v="1.99"/>
    <x v="483"/>
    <x v="8"/>
    <x v="6"/>
    <x v="1"/>
    <x v="1"/>
    <x v="7"/>
    <x v="732"/>
    <s v="Small Pack"/>
    <n v="0.51"/>
    <d v="2010-11-10T00:00:00"/>
    <n v="0"/>
    <n v="0"/>
    <n v="1"/>
    <n v="0.33333333333333331"/>
  </r>
  <r>
    <n v="3145"/>
    <n v="22562"/>
    <x v="369"/>
    <x v="28"/>
    <s v="Medium"/>
    <n v="46"/>
    <n v="9304.2000000000007"/>
    <n v="0.08"/>
    <s v="Delivery Truck"/>
    <n v="1981.17"/>
    <n v="213.45"/>
    <n v="14.7"/>
    <x v="473"/>
    <x v="8"/>
    <x v="6"/>
    <x v="3"/>
    <x v="1"/>
    <x v="16"/>
    <x v="1144"/>
    <s v="Jumbo Drum"/>
    <n v="0.59"/>
    <d v="2009-03-29T00:00:00"/>
    <n v="0"/>
    <n v="0"/>
    <n v="0.33333333333333331"/>
    <n v="0.33333333333333331"/>
  </r>
  <r>
    <n v="3146"/>
    <n v="22562"/>
    <x v="369"/>
    <x v="28"/>
    <s v="Medium"/>
    <n v="31"/>
    <n v="1685.05"/>
    <n v="0.1"/>
    <s v="Regular Air"/>
    <n v="518.07000000000005"/>
    <n v="55.98"/>
    <n v="13.88"/>
    <x v="473"/>
    <x v="8"/>
    <x v="6"/>
    <x v="3"/>
    <x v="0"/>
    <x v="5"/>
    <x v="296"/>
    <s v="Small Box"/>
    <n v="0.36"/>
    <d v="2009-03-29T00:00:00"/>
    <n v="0"/>
    <n v="0"/>
    <n v="0.33333333333333331"/>
    <n v="0.33333333333333331"/>
  </r>
  <r>
    <n v="3147"/>
    <n v="22562"/>
    <x v="369"/>
    <x v="28"/>
    <s v="Medium"/>
    <n v="3"/>
    <n v="57.48"/>
    <n v="0"/>
    <s v="Regular Air"/>
    <n v="-28.09"/>
    <n v="16.059999999999999"/>
    <n v="8.34"/>
    <x v="473"/>
    <x v="8"/>
    <x v="6"/>
    <x v="3"/>
    <x v="0"/>
    <x v="0"/>
    <x v="750"/>
    <s v="Small Box"/>
    <n v="0.59"/>
    <d v="2009-03-28T00:00:00"/>
    <n v="0"/>
    <n v="0"/>
    <n v="0.33333333333333331"/>
    <n v="0.33333333333333331"/>
  </r>
  <r>
    <n v="3270"/>
    <n v="23392"/>
    <x v="873"/>
    <x v="26"/>
    <s v="Medium"/>
    <n v="24"/>
    <n v="4276.0960000000005"/>
    <n v="0"/>
    <s v="Regular Air"/>
    <n v="-505.98447900000014"/>
    <n v="209.37"/>
    <n v="69"/>
    <x v="473"/>
    <x v="8"/>
    <x v="6"/>
    <x v="3"/>
    <x v="2"/>
    <x v="10"/>
    <x v="724"/>
    <s v="Large Box"/>
    <n v="0.79"/>
    <d v="2009-08-18T00:00:00"/>
    <n v="0"/>
    <n v="0"/>
    <n v="1"/>
    <n v="1"/>
  </r>
  <r>
    <n v="3327"/>
    <n v="23782"/>
    <x v="438"/>
    <x v="38"/>
    <s v="Low"/>
    <n v="46"/>
    <n v="21390.44"/>
    <n v="0.09"/>
    <s v="Delivery Truck"/>
    <n v="5365.43"/>
    <n v="500.98"/>
    <n v="26"/>
    <x v="482"/>
    <x v="8"/>
    <x v="6"/>
    <x v="2"/>
    <x v="2"/>
    <x v="14"/>
    <x v="38"/>
    <s v="Jumbo Drum"/>
    <n v="0.6"/>
    <d v="2010-01-10T00:00:00"/>
    <n v="1"/>
    <n v="0"/>
    <n v="0.5"/>
    <n v="0.5"/>
  </r>
  <r>
    <n v="3328"/>
    <n v="23782"/>
    <x v="438"/>
    <x v="38"/>
    <s v="Low"/>
    <n v="7"/>
    <n v="169.75"/>
    <n v="0.09"/>
    <s v="Regular Air"/>
    <n v="-194.85"/>
    <n v="20.34"/>
    <n v="35"/>
    <x v="482"/>
    <x v="8"/>
    <x v="6"/>
    <x v="2"/>
    <x v="0"/>
    <x v="0"/>
    <x v="540"/>
    <s v="Large Box"/>
    <n v="0.84"/>
    <d v="2010-01-15T00:00:00"/>
    <n v="1"/>
    <n v="0"/>
    <n v="0.5"/>
    <n v="0.5"/>
  </r>
  <r>
    <n v="3367"/>
    <n v="24069"/>
    <x v="598"/>
    <x v="42"/>
    <s v="Low"/>
    <n v="21"/>
    <n v="7981.2"/>
    <n v="0.02"/>
    <s v="Delivery Truck"/>
    <n v="-592.5205000000002"/>
    <n v="376.13"/>
    <n v="85.63"/>
    <x v="456"/>
    <x v="8"/>
    <x v="6"/>
    <x v="3"/>
    <x v="2"/>
    <x v="10"/>
    <x v="564"/>
    <s v="Jumbo Box"/>
    <n v="0.74"/>
    <d v="2010-07-23T00:00:00"/>
    <n v="0"/>
    <n v="0"/>
    <n v="1"/>
    <n v="0.5"/>
  </r>
  <r>
    <n v="3377"/>
    <n v="24099"/>
    <x v="890"/>
    <x v="10"/>
    <s v="Not Specified"/>
    <n v="6"/>
    <n v="205.24"/>
    <n v="0.01"/>
    <s v="Regular Air"/>
    <n v="-135.51"/>
    <n v="30.98"/>
    <n v="6.5"/>
    <x v="466"/>
    <x v="8"/>
    <x v="6"/>
    <x v="2"/>
    <x v="1"/>
    <x v="7"/>
    <x v="630"/>
    <s v="Small Box"/>
    <n v="0.79"/>
    <d v="2011-05-21T00:00:00"/>
    <n v="0"/>
    <n v="0"/>
    <n v="0.5"/>
    <n v="0.5"/>
  </r>
  <r>
    <n v="3378"/>
    <n v="24099"/>
    <x v="890"/>
    <x v="10"/>
    <s v="Not Specified"/>
    <n v="36"/>
    <n v="825.82"/>
    <n v="0"/>
    <s v="Regular Air"/>
    <n v="-1049.26"/>
    <n v="20.34"/>
    <n v="35"/>
    <x v="466"/>
    <x v="8"/>
    <x v="6"/>
    <x v="2"/>
    <x v="0"/>
    <x v="0"/>
    <x v="540"/>
    <s v="Large Box"/>
    <n v="0.84"/>
    <d v="2011-05-21T00:00:00"/>
    <n v="0"/>
    <n v="0"/>
    <n v="0.5"/>
    <n v="0.5"/>
  </r>
  <r>
    <n v="3401"/>
    <n v="24228"/>
    <x v="811"/>
    <x v="36"/>
    <s v="Low"/>
    <n v="31"/>
    <n v="60.64"/>
    <n v="0.05"/>
    <s v="Regular Air"/>
    <n v="-66.62"/>
    <n v="1.86"/>
    <n v="2.58"/>
    <x v="456"/>
    <x v="8"/>
    <x v="6"/>
    <x v="3"/>
    <x v="0"/>
    <x v="6"/>
    <x v="613"/>
    <s v="Wrap Bag"/>
    <n v="0.82"/>
    <d v="2009-07-21T00:00:00"/>
    <n v="0"/>
    <n v="0"/>
    <n v="1"/>
    <n v="0.25"/>
  </r>
  <r>
    <n v="3402"/>
    <n v="24231"/>
    <x v="408"/>
    <x v="26"/>
    <s v="Not Specified"/>
    <n v="48"/>
    <n v="2482.0340000000001"/>
    <n v="0.08"/>
    <s v="Regular Air"/>
    <n v="421.89299999999997"/>
    <n v="65.989999999999995"/>
    <n v="5.92"/>
    <x v="468"/>
    <x v="8"/>
    <x v="6"/>
    <x v="0"/>
    <x v="1"/>
    <x v="3"/>
    <x v="703"/>
    <s v="Small Box"/>
    <n v="0.57999999999999996"/>
    <d v="2009-08-07T00:00:00"/>
    <n v="0"/>
    <n v="0"/>
    <n v="1"/>
    <n v="1"/>
  </r>
  <r>
    <n v="3452"/>
    <n v="24613"/>
    <x v="302"/>
    <x v="29"/>
    <s v="Low"/>
    <n v="16"/>
    <n v="9695.84"/>
    <n v="0"/>
    <s v="Regular Air"/>
    <n v="2752.11"/>
    <n v="599.99"/>
    <n v="24.49"/>
    <x v="460"/>
    <x v="8"/>
    <x v="6"/>
    <x v="3"/>
    <x v="1"/>
    <x v="13"/>
    <x v="776"/>
    <s v="Large Box"/>
    <n v="0.37"/>
    <d v="2012-07-25T00:00:00"/>
    <n v="0"/>
    <n v="0"/>
    <n v="0.33333333333333331"/>
    <n v="0.33333333333333331"/>
  </r>
  <r>
    <n v="3453"/>
    <n v="24613"/>
    <x v="302"/>
    <x v="29"/>
    <s v="Low"/>
    <n v="36"/>
    <n v="246.79"/>
    <n v="0.01"/>
    <s v="Regular Air"/>
    <n v="-90.08"/>
    <n v="6.48"/>
    <n v="6.6"/>
    <x v="460"/>
    <x v="8"/>
    <x v="6"/>
    <x v="3"/>
    <x v="0"/>
    <x v="5"/>
    <x v="226"/>
    <s v="Small Box"/>
    <n v="0.37"/>
    <d v="2012-07-25T00:00:00"/>
    <n v="0"/>
    <n v="0"/>
    <n v="0.33333333333333331"/>
    <n v="0.33333333333333331"/>
  </r>
  <r>
    <n v="3454"/>
    <n v="24613"/>
    <x v="302"/>
    <x v="29"/>
    <s v="Low"/>
    <n v="39"/>
    <n v="777.78"/>
    <n v="0.01"/>
    <s v="Regular Air"/>
    <n v="237.75"/>
    <n v="19.84"/>
    <n v="4.0999999999999996"/>
    <x v="460"/>
    <x v="8"/>
    <x v="6"/>
    <x v="3"/>
    <x v="0"/>
    <x v="12"/>
    <x v="92"/>
    <s v="Wrap Bag"/>
    <n v="0.44"/>
    <d v="2012-07-25T00:00:00"/>
    <n v="0"/>
    <n v="0"/>
    <n v="0.33333333333333331"/>
    <n v="0.33333333333333331"/>
  </r>
  <r>
    <n v="3462"/>
    <n v="24647"/>
    <x v="1161"/>
    <x v="41"/>
    <s v="Not Specified"/>
    <n v="3"/>
    <n v="3029.97"/>
    <n v="0"/>
    <s v="Regular Air"/>
    <n v="-1819.9964999999997"/>
    <n v="999.99"/>
    <n v="13.99"/>
    <x v="480"/>
    <x v="8"/>
    <x v="6"/>
    <x v="2"/>
    <x v="1"/>
    <x v="16"/>
    <x v="1036"/>
    <s v="Medium Box"/>
    <n v="0.36"/>
    <d v="2009-06-06T00:00:00"/>
    <n v="0"/>
    <n v="0"/>
    <n v="0.5"/>
    <n v="0.5"/>
  </r>
  <r>
    <n v="3463"/>
    <n v="24647"/>
    <x v="1161"/>
    <x v="41"/>
    <s v="Not Specified"/>
    <n v="34"/>
    <n v="241.04"/>
    <n v="0.05"/>
    <s v="Express Air"/>
    <n v="-28.2"/>
    <n v="6.48"/>
    <n v="5.14"/>
    <x v="480"/>
    <x v="8"/>
    <x v="6"/>
    <x v="2"/>
    <x v="0"/>
    <x v="5"/>
    <x v="896"/>
    <s v="Small Box"/>
    <n v="0.37"/>
    <d v="2009-06-05T00:00:00"/>
    <n v="0"/>
    <n v="0"/>
    <n v="0.5"/>
    <n v="0.5"/>
  </r>
  <r>
    <n v="3464"/>
    <n v="24672"/>
    <x v="67"/>
    <x v="33"/>
    <s v="Medium"/>
    <n v="5"/>
    <n v="44.17"/>
    <n v="0.02"/>
    <s v="Regular Air"/>
    <n v="23.41"/>
    <n v="7.59"/>
    <n v="4"/>
    <x v="471"/>
    <x v="8"/>
    <x v="6"/>
    <x v="1"/>
    <x v="2"/>
    <x v="4"/>
    <x v="378"/>
    <s v="Wrap Bag"/>
    <n v="0.42"/>
    <d v="2012-03-20T00:00:00"/>
    <n v="0"/>
    <n v="0"/>
    <n v="0.33333333333333331"/>
    <n v="0.33333333333333331"/>
  </r>
  <r>
    <n v="3465"/>
    <n v="24672"/>
    <x v="67"/>
    <x v="33"/>
    <s v="Medium"/>
    <n v="37"/>
    <n v="192.92"/>
    <n v="0.09"/>
    <s v="Regular Air"/>
    <n v="74.58"/>
    <n v="5.43"/>
    <n v="0.95"/>
    <x v="471"/>
    <x v="8"/>
    <x v="6"/>
    <x v="1"/>
    <x v="0"/>
    <x v="5"/>
    <x v="444"/>
    <s v="Wrap Bag"/>
    <n v="0.36"/>
    <d v="2012-03-19T00:00:00"/>
    <n v="0"/>
    <n v="0"/>
    <n v="0.33333333333333331"/>
    <n v="0.33333333333333331"/>
  </r>
  <r>
    <n v="3466"/>
    <n v="24672"/>
    <x v="67"/>
    <x v="33"/>
    <s v="Medium"/>
    <n v="37"/>
    <n v="10532.94"/>
    <n v="0.06"/>
    <s v="Regular Air"/>
    <n v="406.37"/>
    <n v="279.48"/>
    <n v="35"/>
    <x v="471"/>
    <x v="8"/>
    <x v="6"/>
    <x v="1"/>
    <x v="0"/>
    <x v="0"/>
    <x v="80"/>
    <s v="Large Box"/>
    <n v="0.8"/>
    <d v="2012-03-19T00:00:00"/>
    <n v="0"/>
    <n v="0"/>
    <n v="0.33333333333333331"/>
    <n v="0.33333333333333331"/>
  </r>
  <r>
    <n v="3476"/>
    <n v="24740"/>
    <x v="438"/>
    <x v="38"/>
    <s v="Medium"/>
    <n v="11"/>
    <n v="1091.47"/>
    <n v="0.04"/>
    <s v="Regular Air"/>
    <n v="160.47999999999999"/>
    <n v="92.23"/>
    <n v="39.61"/>
    <x v="84"/>
    <x v="8"/>
    <x v="6"/>
    <x v="2"/>
    <x v="2"/>
    <x v="4"/>
    <x v="54"/>
    <s v="Medium Box"/>
    <n v="0.67"/>
    <d v="2010-01-11T00:00:00"/>
    <n v="1"/>
    <n v="0"/>
    <n v="0.5"/>
    <n v="0.5"/>
  </r>
  <r>
    <n v="3477"/>
    <n v="24740"/>
    <x v="438"/>
    <x v="38"/>
    <s v="Medium"/>
    <n v="35"/>
    <n v="112.59"/>
    <n v="0.09"/>
    <s v="Express Air"/>
    <n v="-126.7"/>
    <n v="3.28"/>
    <n v="5"/>
    <x v="84"/>
    <x v="8"/>
    <x v="6"/>
    <x v="2"/>
    <x v="0"/>
    <x v="12"/>
    <x v="685"/>
    <s v="Wrap Bag"/>
    <n v="0.56000000000000005"/>
    <d v="2010-01-10T00:00:00"/>
    <n v="1"/>
    <n v="0"/>
    <n v="0.5"/>
    <n v="0.5"/>
  </r>
  <r>
    <n v="3578"/>
    <n v="25479"/>
    <x v="1087"/>
    <x v="37"/>
    <s v="Critical"/>
    <n v="3"/>
    <n v="210.5025"/>
    <n v="0.04"/>
    <s v="Regular Air"/>
    <n v="-315.32600000000002"/>
    <n v="85.99"/>
    <n v="1.25"/>
    <x v="149"/>
    <x v="8"/>
    <x v="6"/>
    <x v="2"/>
    <x v="1"/>
    <x v="3"/>
    <x v="313"/>
    <s v="Small Pack"/>
    <n v="0.39"/>
    <d v="2011-04-28T00:00:00"/>
    <n v="0"/>
    <n v="0"/>
    <n v="1"/>
    <n v="1"/>
  </r>
  <r>
    <n v="3635"/>
    <n v="25985"/>
    <x v="780"/>
    <x v="34"/>
    <s v="Low"/>
    <n v="50"/>
    <n v="230.63"/>
    <n v="0.1"/>
    <s v="Regular Air"/>
    <n v="-39.71"/>
    <n v="4.91"/>
    <n v="3.05"/>
    <x v="484"/>
    <x v="8"/>
    <x v="6"/>
    <x v="0"/>
    <x v="2"/>
    <x v="4"/>
    <x v="988"/>
    <s v="Small Pack"/>
    <n v="0.52"/>
    <d v="2012-09-04T00:00:00"/>
    <n v="0"/>
    <n v="0"/>
    <n v="0.5"/>
    <n v="0.5"/>
  </r>
  <r>
    <n v="3636"/>
    <n v="25985"/>
    <x v="780"/>
    <x v="34"/>
    <s v="Low"/>
    <n v="22"/>
    <n v="80.790000000000006"/>
    <n v="0.1"/>
    <s v="Regular Air"/>
    <n v="25.18"/>
    <n v="3.78"/>
    <n v="0.71"/>
    <x v="484"/>
    <x v="8"/>
    <x v="6"/>
    <x v="0"/>
    <x v="0"/>
    <x v="6"/>
    <x v="294"/>
    <s v="Wrap Bag"/>
    <n v="0.39"/>
    <d v="2012-09-06T00:00:00"/>
    <n v="0"/>
    <n v="0"/>
    <n v="0.5"/>
    <n v="0.5"/>
  </r>
  <r>
    <n v="3683"/>
    <n v="26341"/>
    <x v="1162"/>
    <x v="42"/>
    <s v="Critical"/>
    <n v="8"/>
    <n v="1095.27"/>
    <n v="0.03"/>
    <s v="Delivery Truck"/>
    <n v="-281.22380000000004"/>
    <n v="124.49"/>
    <n v="51.94"/>
    <x v="411"/>
    <x v="8"/>
    <x v="6"/>
    <x v="2"/>
    <x v="2"/>
    <x v="10"/>
    <x v="307"/>
    <s v="Jumbo Box"/>
    <n v="0.63"/>
    <d v="2010-07-30T00:00:00"/>
    <n v="0"/>
    <n v="0"/>
    <n v="1"/>
    <n v="1"/>
  </r>
  <r>
    <n v="3695"/>
    <n v="26407"/>
    <x v="1033"/>
    <x v="8"/>
    <s v="Critical"/>
    <n v="34"/>
    <n v="9522.1200000000008"/>
    <n v="0.04"/>
    <s v="Regular Air"/>
    <n v="171.3"/>
    <n v="279.48"/>
    <n v="35"/>
    <x v="411"/>
    <x v="8"/>
    <x v="6"/>
    <x v="3"/>
    <x v="0"/>
    <x v="0"/>
    <x v="80"/>
    <s v="Large Box"/>
    <n v="0.8"/>
    <d v="2012-06-21T00:00:00"/>
    <n v="0"/>
    <n v="0"/>
    <n v="0.5"/>
    <n v="0.5"/>
  </r>
  <r>
    <n v="3696"/>
    <n v="26407"/>
    <x v="1033"/>
    <x v="8"/>
    <s v="Critical"/>
    <n v="16"/>
    <n v="1985.6935000000001"/>
    <n v="0.1"/>
    <s v="Regular Air"/>
    <n v="35.649000000000001"/>
    <n v="155.99"/>
    <n v="8.99"/>
    <x v="411"/>
    <x v="8"/>
    <x v="6"/>
    <x v="3"/>
    <x v="1"/>
    <x v="3"/>
    <x v="291"/>
    <s v="Small Box"/>
    <n v="0.55000000000000004"/>
    <d v="2012-06-20T00:00:00"/>
    <n v="0"/>
    <n v="0"/>
    <n v="0.5"/>
    <n v="0.5"/>
  </r>
  <r>
    <n v="3697"/>
    <n v="26432"/>
    <x v="1163"/>
    <x v="47"/>
    <s v="Low"/>
    <n v="37"/>
    <n v="1420.89"/>
    <n v="0.06"/>
    <s v="Regular Air"/>
    <n v="389.67"/>
    <n v="38.06"/>
    <n v="4.5"/>
    <x v="84"/>
    <x v="8"/>
    <x v="6"/>
    <x v="2"/>
    <x v="0"/>
    <x v="1"/>
    <x v="1012"/>
    <s v="Small Box"/>
    <n v="0.56000000000000005"/>
    <d v="2010-01-06T00:00:00"/>
    <n v="0"/>
    <n v="0"/>
    <n v="0.33333333333333331"/>
    <n v="0.33333333333333331"/>
  </r>
  <r>
    <n v="3698"/>
    <n v="26432"/>
    <x v="1163"/>
    <x v="47"/>
    <s v="Low"/>
    <n v="48"/>
    <n v="27820.34"/>
    <n v="0.08"/>
    <s v="Regular Air"/>
    <n v="11630.146000000001"/>
    <n v="599.99"/>
    <n v="24.49"/>
    <x v="84"/>
    <x v="8"/>
    <x v="6"/>
    <x v="2"/>
    <x v="1"/>
    <x v="13"/>
    <x v="776"/>
    <s v="Large Box"/>
    <n v="0.37"/>
    <d v="2010-01-08T00:00:00"/>
    <n v="0"/>
    <n v="0"/>
    <n v="0.33333333333333331"/>
    <n v="0.33333333333333331"/>
  </r>
  <r>
    <n v="3699"/>
    <n v="26432"/>
    <x v="1163"/>
    <x v="47"/>
    <s v="Low"/>
    <n v="11"/>
    <n v="45.18"/>
    <n v="0.1"/>
    <s v="Express Air"/>
    <n v="-10.77"/>
    <n v="3.98"/>
    <n v="2.97"/>
    <x v="84"/>
    <x v="8"/>
    <x v="6"/>
    <x v="2"/>
    <x v="0"/>
    <x v="5"/>
    <x v="48"/>
    <s v="Wrap Bag"/>
    <n v="0.35"/>
    <d v="2010-01-04T00:00:00"/>
    <n v="0"/>
    <n v="0"/>
    <n v="0.33333333333333331"/>
    <n v="0.33333333333333331"/>
  </r>
  <r>
    <n v="3726"/>
    <n v="26630"/>
    <x v="711"/>
    <x v="7"/>
    <s v="High"/>
    <n v="9"/>
    <n v="65.67"/>
    <n v="0.02"/>
    <s v="Regular Air"/>
    <n v="-35.200000000000003"/>
    <n v="6.48"/>
    <n v="7.37"/>
    <x v="84"/>
    <x v="8"/>
    <x v="6"/>
    <x v="2"/>
    <x v="0"/>
    <x v="5"/>
    <x v="673"/>
    <s v="Small Box"/>
    <n v="0.37"/>
    <d v="2010-11-29T00:00:00"/>
    <n v="0"/>
    <n v="0"/>
    <n v="1"/>
    <n v="1"/>
  </r>
  <r>
    <n v="3730"/>
    <n v="26660"/>
    <x v="549"/>
    <x v="33"/>
    <s v="Medium"/>
    <n v="1"/>
    <n v="10.23"/>
    <n v="0.1"/>
    <s v="Regular Air"/>
    <n v="-4.22"/>
    <n v="8.9499999999999993"/>
    <n v="2.0099999999999998"/>
    <x v="481"/>
    <x v="8"/>
    <x v="6"/>
    <x v="3"/>
    <x v="0"/>
    <x v="5"/>
    <x v="493"/>
    <s v="Wrap Bag"/>
    <n v="0.39"/>
    <d v="2012-03-18T00:00:00"/>
    <n v="0"/>
    <n v="0"/>
    <n v="1"/>
    <n v="0.5"/>
  </r>
  <r>
    <n v="3754"/>
    <n v="26818"/>
    <x v="34"/>
    <x v="23"/>
    <s v="Not Specified"/>
    <n v="23"/>
    <n v="202.84"/>
    <n v="0.05"/>
    <s v="Regular Air"/>
    <n v="-19.481000000000002"/>
    <n v="8.85"/>
    <n v="5.6"/>
    <x v="485"/>
    <x v="8"/>
    <x v="6"/>
    <x v="0"/>
    <x v="0"/>
    <x v="2"/>
    <x v="182"/>
    <s v="Small Box"/>
    <n v="0.36"/>
    <d v="2012-01-09T00:00:00"/>
    <n v="0"/>
    <n v="0"/>
    <n v="0.33333333333333331"/>
    <n v="0.33333333333333331"/>
  </r>
  <r>
    <n v="3755"/>
    <n v="26818"/>
    <x v="34"/>
    <x v="23"/>
    <s v="Not Specified"/>
    <n v="5"/>
    <n v="78.39"/>
    <n v="0.01"/>
    <s v="Express Air"/>
    <n v="-5.16"/>
    <n v="11.97"/>
    <n v="4.9800000000000004"/>
    <x v="485"/>
    <x v="8"/>
    <x v="6"/>
    <x v="0"/>
    <x v="0"/>
    <x v="1"/>
    <x v="165"/>
    <s v="Small Box"/>
    <n v="0.57999999999999996"/>
    <d v="2012-01-10T00:00:00"/>
    <n v="0"/>
    <n v="0"/>
    <n v="0.33333333333333331"/>
    <n v="0.33333333333333331"/>
  </r>
  <r>
    <n v="3756"/>
    <n v="26818"/>
    <x v="34"/>
    <x v="23"/>
    <s v="Not Specified"/>
    <n v="36"/>
    <n v="251.34"/>
    <n v="0.1"/>
    <s v="Regular Air"/>
    <n v="-162.196"/>
    <n v="7.3"/>
    <n v="7.72"/>
    <x v="485"/>
    <x v="8"/>
    <x v="6"/>
    <x v="0"/>
    <x v="0"/>
    <x v="2"/>
    <x v="6"/>
    <s v="Small Box"/>
    <n v="0.38"/>
    <d v="2012-01-09T00:00:00"/>
    <n v="0"/>
    <n v="0"/>
    <n v="0.33333333333333331"/>
    <n v="0.33333333333333331"/>
  </r>
  <r>
    <n v="3790"/>
    <n v="27011"/>
    <x v="376"/>
    <x v="15"/>
    <s v="Medium"/>
    <n v="5"/>
    <n v="53.66"/>
    <n v="0.09"/>
    <s v="Regular Air"/>
    <n v="5.69"/>
    <n v="10.94"/>
    <n v="1.39"/>
    <x v="456"/>
    <x v="8"/>
    <x v="6"/>
    <x v="3"/>
    <x v="0"/>
    <x v="8"/>
    <x v="325"/>
    <s v="Small Box"/>
    <n v="0.35"/>
    <d v="2010-12-30T00:00:00"/>
    <n v="0"/>
    <n v="0"/>
    <n v="1"/>
    <n v="1"/>
  </r>
  <r>
    <n v="3903"/>
    <n v="27841"/>
    <x v="190"/>
    <x v="34"/>
    <s v="High"/>
    <n v="33"/>
    <n v="67.849999999999994"/>
    <n v="0.05"/>
    <s v="Regular Air"/>
    <n v="1.05"/>
    <n v="2.1"/>
    <n v="0.7"/>
    <x v="458"/>
    <x v="8"/>
    <x v="6"/>
    <x v="2"/>
    <x v="0"/>
    <x v="12"/>
    <x v="1145"/>
    <s v="Wrap Bag"/>
    <n v="0.56999999999999995"/>
    <d v="2012-09-18T00:00:00"/>
    <n v="0"/>
    <n v="0"/>
    <n v="1"/>
    <n v="1"/>
  </r>
  <r>
    <n v="4003"/>
    <n v="28581"/>
    <x v="383"/>
    <x v="25"/>
    <s v="Medium"/>
    <n v="1"/>
    <n v="36.4"/>
    <n v="0.06"/>
    <s v="Regular Air"/>
    <n v="-41.561"/>
    <n v="24.92"/>
    <n v="12.98"/>
    <x v="481"/>
    <x v="8"/>
    <x v="6"/>
    <x v="3"/>
    <x v="0"/>
    <x v="2"/>
    <x v="202"/>
    <s v="Small Box"/>
    <n v="0.39"/>
    <d v="2011-12-09T00:00:00"/>
    <n v="0"/>
    <n v="0"/>
    <n v="0.5"/>
    <n v="0.5"/>
  </r>
  <r>
    <n v="4004"/>
    <n v="28581"/>
    <x v="383"/>
    <x v="25"/>
    <s v="Medium"/>
    <n v="36"/>
    <n v="176.35"/>
    <n v="0.04"/>
    <s v="Regular Air"/>
    <n v="73.05"/>
    <n v="4.9800000000000004"/>
    <n v="0.8"/>
    <x v="481"/>
    <x v="8"/>
    <x v="6"/>
    <x v="3"/>
    <x v="0"/>
    <x v="5"/>
    <x v="657"/>
    <s v="Wrap Bag"/>
    <n v="0.36"/>
    <d v="2011-12-09T00:00:00"/>
    <n v="0"/>
    <n v="0"/>
    <n v="0.5"/>
    <n v="0.5"/>
  </r>
  <r>
    <n v="4008"/>
    <n v="28611"/>
    <x v="687"/>
    <x v="45"/>
    <s v="Low"/>
    <n v="30"/>
    <n v="15337.58"/>
    <n v="0.1"/>
    <s v="Regular Air"/>
    <n v="6670.4089999999997"/>
    <n v="525.98"/>
    <n v="19.989999999999998"/>
    <x v="461"/>
    <x v="8"/>
    <x v="6"/>
    <x v="1"/>
    <x v="0"/>
    <x v="2"/>
    <x v="1146"/>
    <s v="Small Box"/>
    <n v="0.37"/>
    <d v="2012-12-30T00:00:00"/>
    <n v="0"/>
    <n v="0"/>
    <n v="0.5"/>
    <n v="0.5"/>
  </r>
  <r>
    <n v="4009"/>
    <n v="28611"/>
    <x v="687"/>
    <x v="45"/>
    <s v="Low"/>
    <n v="42"/>
    <n v="3883.4714999999997"/>
    <n v="0.1"/>
    <s v="Regular Air"/>
    <n v="707.16599999999994"/>
    <n v="115.99"/>
    <n v="8.99"/>
    <x v="461"/>
    <x v="8"/>
    <x v="6"/>
    <x v="1"/>
    <x v="1"/>
    <x v="3"/>
    <x v="662"/>
    <s v="Small Box"/>
    <n v="0.57999999999999996"/>
    <d v="2012-12-29T00:00:00"/>
    <n v="0"/>
    <n v="0"/>
    <n v="0.5"/>
    <n v="0.5"/>
  </r>
  <r>
    <n v="4015"/>
    <n v="28647"/>
    <x v="1164"/>
    <x v="28"/>
    <s v="Critical"/>
    <n v="38"/>
    <n v="5679.59"/>
    <n v="0.09"/>
    <s v="Express Air"/>
    <n v="-1763.7477000000003"/>
    <n v="154.13"/>
    <n v="69"/>
    <x v="481"/>
    <x v="8"/>
    <x v="6"/>
    <x v="2"/>
    <x v="2"/>
    <x v="10"/>
    <x v="609"/>
    <s v="Large Box"/>
    <n v="0.68"/>
    <d v="2009-03-15T00:00:00"/>
    <n v="0"/>
    <n v="0"/>
    <n v="1"/>
    <n v="1"/>
  </r>
  <r>
    <n v="4018"/>
    <n v="28736"/>
    <x v="1165"/>
    <x v="46"/>
    <s v="High"/>
    <n v="26"/>
    <n v="1029.29"/>
    <n v="0.06"/>
    <s v="Regular Air"/>
    <n v="109.16"/>
    <n v="40.99"/>
    <n v="17.48"/>
    <x v="486"/>
    <x v="8"/>
    <x v="6"/>
    <x v="0"/>
    <x v="0"/>
    <x v="5"/>
    <x v="129"/>
    <s v="Small Box"/>
    <n v="0.36"/>
    <d v="2009-04-21T00:00:00"/>
    <n v="0"/>
    <n v="0"/>
    <n v="1"/>
    <n v="1"/>
  </r>
  <r>
    <n v="4041"/>
    <n v="28835"/>
    <x v="616"/>
    <x v="33"/>
    <s v="Not Specified"/>
    <n v="1"/>
    <n v="184.18"/>
    <n v="0.08"/>
    <s v="Regular Air"/>
    <n v="-112.44"/>
    <n v="178.47"/>
    <n v="19.989999999999998"/>
    <x v="469"/>
    <x v="8"/>
    <x v="6"/>
    <x v="0"/>
    <x v="0"/>
    <x v="0"/>
    <x v="902"/>
    <s v="Small Box"/>
    <n v="0.55000000000000004"/>
    <d v="2012-04-02T00:00:00"/>
    <n v="0"/>
    <n v="0"/>
    <n v="1"/>
    <n v="0.33333333333333331"/>
  </r>
  <r>
    <n v="4106"/>
    <n v="29220"/>
    <x v="508"/>
    <x v="45"/>
    <s v="Medium"/>
    <n v="36"/>
    <n v="12690.33"/>
    <n v="0.08"/>
    <s v="Express Air"/>
    <n v="5045.3024999999998"/>
    <n v="367.99"/>
    <n v="19.989999999999998"/>
    <x v="84"/>
    <x v="8"/>
    <x v="6"/>
    <x v="2"/>
    <x v="0"/>
    <x v="2"/>
    <x v="1147"/>
    <s v="Small Box"/>
    <n v="0.4"/>
    <d v="2012-12-29T00:00:00"/>
    <n v="0"/>
    <n v="0"/>
    <n v="1"/>
    <n v="1"/>
  </r>
  <r>
    <n v="4235"/>
    <n v="30114"/>
    <x v="1005"/>
    <x v="3"/>
    <s v="Low"/>
    <n v="7"/>
    <n v="4667.28"/>
    <n v="0.09"/>
    <s v="Express Air"/>
    <n v="-362.88"/>
    <n v="699.99"/>
    <n v="24.49"/>
    <x v="458"/>
    <x v="8"/>
    <x v="6"/>
    <x v="2"/>
    <x v="1"/>
    <x v="13"/>
    <x v="286"/>
    <s v="Large Box"/>
    <n v="0.41"/>
    <d v="2010-08-23T00:00:00"/>
    <n v="0"/>
    <n v="0"/>
    <n v="1"/>
    <n v="1"/>
  </r>
  <r>
    <n v="4258"/>
    <n v="30336"/>
    <x v="1166"/>
    <x v="38"/>
    <s v="Medium"/>
    <n v="28"/>
    <n v="5155.07"/>
    <n v="0.06"/>
    <s v="Regular Air"/>
    <n v="368.79"/>
    <n v="193.17"/>
    <n v="19.989999999999998"/>
    <x v="458"/>
    <x v="8"/>
    <x v="6"/>
    <x v="2"/>
    <x v="0"/>
    <x v="0"/>
    <x v="219"/>
    <s v="Small Box"/>
    <n v="0.71"/>
    <d v="2010-01-31T00:00:00"/>
    <n v="1"/>
    <n v="0"/>
    <n v="1"/>
    <n v="1"/>
  </r>
  <r>
    <n v="4312"/>
    <n v="30725"/>
    <x v="861"/>
    <x v="47"/>
    <s v="Medium"/>
    <n v="39"/>
    <n v="16468.55"/>
    <n v="0.08"/>
    <s v="Delivery Truck"/>
    <n v="5638.75"/>
    <n v="449.99"/>
    <n v="49"/>
    <x v="468"/>
    <x v="8"/>
    <x v="6"/>
    <x v="0"/>
    <x v="1"/>
    <x v="13"/>
    <x v="26"/>
    <s v="Jumbo Drum"/>
    <n v="0.38"/>
    <d v="2009-12-29T00:00:00"/>
    <n v="0"/>
    <n v="0"/>
    <n v="1"/>
    <n v="1"/>
  </r>
  <r>
    <n v="4319"/>
    <n v="30784"/>
    <x v="958"/>
    <x v="20"/>
    <s v="Medium"/>
    <n v="10"/>
    <n v="707.3"/>
    <n v="0.06"/>
    <s v="Delivery Truck"/>
    <n v="-127.94"/>
    <n v="70.98"/>
    <n v="26.74"/>
    <x v="448"/>
    <x v="8"/>
    <x v="6"/>
    <x v="0"/>
    <x v="2"/>
    <x v="9"/>
    <x v="523"/>
    <s v="Jumbo Box"/>
    <n v="0.6"/>
    <d v="2012-05-09T00:00:00"/>
    <n v="0"/>
    <n v="0"/>
    <n v="0.5"/>
    <n v="0.5"/>
  </r>
  <r>
    <n v="4320"/>
    <n v="30784"/>
    <x v="958"/>
    <x v="20"/>
    <s v="Medium"/>
    <n v="48"/>
    <n v="335.64"/>
    <n v="0.02"/>
    <s v="Regular Air"/>
    <n v="80.13"/>
    <n v="6.7"/>
    <n v="1.56"/>
    <x v="448"/>
    <x v="8"/>
    <x v="6"/>
    <x v="0"/>
    <x v="0"/>
    <x v="12"/>
    <x v="152"/>
    <s v="Wrap Bag"/>
    <n v="0.52"/>
    <d v="2012-05-08T00:00:00"/>
    <n v="0"/>
    <n v="0"/>
    <n v="0.5"/>
    <n v="0.5"/>
  </r>
  <r>
    <n v="4351"/>
    <n v="31040"/>
    <x v="752"/>
    <x v="18"/>
    <s v="Not Specified"/>
    <n v="23"/>
    <n v="872.97"/>
    <n v="0.1"/>
    <s v="Regular Air"/>
    <n v="-22.63"/>
    <n v="39.979999999999997"/>
    <n v="4"/>
    <x v="458"/>
    <x v="8"/>
    <x v="6"/>
    <x v="2"/>
    <x v="1"/>
    <x v="7"/>
    <x v="701"/>
    <s v="Small Box"/>
    <n v="0.7"/>
    <d v="2010-09-16T00:00:00"/>
    <n v="0"/>
    <n v="0"/>
    <n v="0.5"/>
    <n v="0.5"/>
  </r>
  <r>
    <n v="4352"/>
    <n v="31040"/>
    <x v="752"/>
    <x v="18"/>
    <s v="Not Specified"/>
    <n v="19"/>
    <n v="545.71"/>
    <n v="0.1"/>
    <s v="Regular Air"/>
    <n v="-35.47"/>
    <n v="29.74"/>
    <n v="6.64"/>
    <x v="458"/>
    <x v="8"/>
    <x v="6"/>
    <x v="2"/>
    <x v="0"/>
    <x v="0"/>
    <x v="253"/>
    <s v="Small Box"/>
    <n v="0.7"/>
    <d v="2010-09-16T00:00:00"/>
    <n v="0"/>
    <n v="0"/>
    <n v="0.5"/>
    <n v="0.5"/>
  </r>
  <r>
    <n v="4469"/>
    <n v="31846"/>
    <x v="57"/>
    <x v="21"/>
    <s v="Critical"/>
    <n v="7"/>
    <n v="261.17"/>
    <n v="0.03"/>
    <s v="Delivery Truck"/>
    <n v="-78.84"/>
    <n v="33.94"/>
    <n v="19.190000000000001"/>
    <x v="473"/>
    <x v="8"/>
    <x v="6"/>
    <x v="3"/>
    <x v="2"/>
    <x v="14"/>
    <x v="205"/>
    <s v="Jumbo Drum"/>
    <n v="0.57999999999999996"/>
    <d v="2011-08-15T00:00:00"/>
    <n v="0"/>
    <n v="0"/>
    <n v="1"/>
    <n v="1"/>
  </r>
  <r>
    <n v="4503"/>
    <n v="32038"/>
    <x v="501"/>
    <x v="41"/>
    <s v="Low"/>
    <n v="26"/>
    <n v="342.4"/>
    <n v="0"/>
    <s v="Express Air"/>
    <n v="-14.06"/>
    <n v="11.7"/>
    <n v="6.96"/>
    <x v="471"/>
    <x v="8"/>
    <x v="6"/>
    <x v="1"/>
    <x v="0"/>
    <x v="1"/>
    <x v="906"/>
    <s v="Medium Box"/>
    <n v="0.5"/>
    <d v="2009-06-19T00:00:00"/>
    <n v="0"/>
    <n v="0"/>
    <n v="1"/>
    <n v="1"/>
  </r>
  <r>
    <n v="4504"/>
    <n v="32065"/>
    <x v="1110"/>
    <x v="25"/>
    <s v="Medium"/>
    <n v="25"/>
    <n v="450.28"/>
    <n v="0.09"/>
    <s v="Regular Air"/>
    <n v="-12.3453"/>
    <n v="17.98"/>
    <n v="8.51"/>
    <x v="479"/>
    <x v="8"/>
    <x v="6"/>
    <x v="2"/>
    <x v="1"/>
    <x v="16"/>
    <x v="168"/>
    <s v="Medium Box"/>
    <n v="0.4"/>
    <d v="2011-12-03T00:00:00"/>
    <n v="0"/>
    <n v="0"/>
    <n v="1"/>
    <n v="1"/>
  </r>
  <r>
    <n v="4545"/>
    <n v="32326"/>
    <x v="1044"/>
    <x v="0"/>
    <s v="High"/>
    <n v="50"/>
    <n v="929.81"/>
    <n v="0.09"/>
    <s v="Regular Air"/>
    <n v="-188.41"/>
    <n v="19.989999999999998"/>
    <n v="11.17"/>
    <x v="436"/>
    <x v="8"/>
    <x v="6"/>
    <x v="0"/>
    <x v="2"/>
    <x v="4"/>
    <x v="220"/>
    <s v="Large Box"/>
    <n v="0.6"/>
    <d v="2010-11-01T00:00:00"/>
    <n v="0"/>
    <n v="0"/>
    <n v="1"/>
    <n v="1"/>
  </r>
  <r>
    <n v="4584"/>
    <n v="32613"/>
    <x v="264"/>
    <x v="25"/>
    <s v="Low"/>
    <n v="31"/>
    <n v="1359.74"/>
    <n v="0.01"/>
    <s v="Express Air"/>
    <n v="202.33"/>
    <n v="43.98"/>
    <n v="8.99"/>
    <x v="487"/>
    <x v="8"/>
    <x v="6"/>
    <x v="1"/>
    <x v="0"/>
    <x v="12"/>
    <x v="672"/>
    <s v="Small Pack"/>
    <n v="0.57999999999999996"/>
    <d v="2011-12-23T00:00:00"/>
    <n v="0"/>
    <n v="0"/>
    <n v="0.33333333333333331"/>
    <n v="0.33333333333333331"/>
  </r>
  <r>
    <n v="4585"/>
    <n v="32613"/>
    <x v="264"/>
    <x v="25"/>
    <s v="Low"/>
    <n v="38"/>
    <n v="5228.2"/>
    <n v="0"/>
    <s v="Regular Air"/>
    <n v="-691.52"/>
    <n v="135.31"/>
    <n v="35"/>
    <x v="487"/>
    <x v="8"/>
    <x v="6"/>
    <x v="1"/>
    <x v="0"/>
    <x v="0"/>
    <x v="1047"/>
    <s v="Large Box"/>
    <n v="0.84"/>
    <d v="2011-12-18T00:00:00"/>
    <n v="0"/>
    <n v="0"/>
    <n v="0.33333333333333331"/>
    <n v="0.33333333333333331"/>
  </r>
  <r>
    <n v="4586"/>
    <n v="32613"/>
    <x v="264"/>
    <x v="25"/>
    <s v="Low"/>
    <n v="41"/>
    <n v="7174.9435000000003"/>
    <n v="0.02"/>
    <s v="Express Air"/>
    <n v="2373.2370000000001"/>
    <n v="195.99"/>
    <n v="3.99"/>
    <x v="487"/>
    <x v="8"/>
    <x v="6"/>
    <x v="1"/>
    <x v="1"/>
    <x v="3"/>
    <x v="3"/>
    <s v="Small Box"/>
    <n v="0.57999999999999996"/>
    <d v="2011-12-18T00:00:00"/>
    <n v="0"/>
    <n v="0"/>
    <n v="0.33333333333333331"/>
    <n v="0.33333333333333331"/>
  </r>
  <r>
    <n v="4598"/>
    <n v="32741"/>
    <x v="394"/>
    <x v="40"/>
    <s v="Low"/>
    <n v="13"/>
    <n v="136.24"/>
    <n v="7.0000000000000007E-2"/>
    <s v="Regular Air"/>
    <n v="-81.77"/>
    <n v="9.7100000000000009"/>
    <n v="9.4499999999999993"/>
    <x v="149"/>
    <x v="8"/>
    <x v="6"/>
    <x v="2"/>
    <x v="0"/>
    <x v="0"/>
    <x v="716"/>
    <s v="Small Box"/>
    <n v="0.6"/>
    <d v="2009-02-22T00:00:00"/>
    <n v="0"/>
    <n v="0"/>
    <n v="1"/>
    <n v="1"/>
  </r>
  <r>
    <n v="4624"/>
    <n v="32903"/>
    <x v="993"/>
    <x v="29"/>
    <s v="Low"/>
    <n v="31"/>
    <n v="454.58"/>
    <n v="7.0000000000000007E-2"/>
    <s v="Regular Air"/>
    <n v="-118.75"/>
    <n v="15.31"/>
    <n v="8.7799999999999994"/>
    <x v="118"/>
    <x v="8"/>
    <x v="6"/>
    <x v="0"/>
    <x v="0"/>
    <x v="0"/>
    <x v="581"/>
    <s v="Small Box"/>
    <n v="0.56999999999999995"/>
    <d v="2012-08-02T00:00:00"/>
    <n v="0"/>
    <n v="0"/>
    <n v="1"/>
    <n v="1"/>
  </r>
  <r>
    <n v="4642"/>
    <n v="33031"/>
    <x v="1167"/>
    <x v="9"/>
    <s v="High"/>
    <n v="24"/>
    <n v="550.67999999999995"/>
    <n v="0.08"/>
    <s v="Delivery Truck"/>
    <n v="-134.63"/>
    <n v="23.99"/>
    <n v="15.68"/>
    <x v="484"/>
    <x v="8"/>
    <x v="6"/>
    <x v="3"/>
    <x v="2"/>
    <x v="4"/>
    <x v="1001"/>
    <s v="Jumbo Drum"/>
    <n v="0.62"/>
    <d v="2012-08-26T00:00:00"/>
    <n v="0"/>
    <n v="0"/>
    <n v="0.5"/>
    <n v="0.5"/>
  </r>
  <r>
    <n v="4643"/>
    <n v="33031"/>
    <x v="1167"/>
    <x v="9"/>
    <s v="High"/>
    <n v="18"/>
    <n v="120.96"/>
    <n v="0.02"/>
    <s v="Regular Air"/>
    <n v="-53.69"/>
    <n v="6.48"/>
    <n v="6.65"/>
    <x v="484"/>
    <x v="8"/>
    <x v="6"/>
    <x v="3"/>
    <x v="0"/>
    <x v="5"/>
    <x v="58"/>
    <s v="Small Box"/>
    <n v="0.36"/>
    <d v="2012-08-25T00:00:00"/>
    <n v="0"/>
    <n v="0"/>
    <n v="0.5"/>
    <n v="0.5"/>
  </r>
  <r>
    <n v="4654"/>
    <n v="33152"/>
    <x v="435"/>
    <x v="7"/>
    <s v="Critical"/>
    <n v="19"/>
    <n v="2569.6264999999999"/>
    <n v="0"/>
    <s v="Regular Air"/>
    <n v="398.00700000000001"/>
    <n v="155.99"/>
    <n v="8.99"/>
    <x v="458"/>
    <x v="8"/>
    <x v="6"/>
    <x v="2"/>
    <x v="1"/>
    <x v="3"/>
    <x v="291"/>
    <s v="Small Box"/>
    <n v="0.55000000000000004"/>
    <d v="2010-11-23T00:00:00"/>
    <n v="0"/>
    <n v="0"/>
    <n v="1"/>
    <n v="1"/>
  </r>
  <r>
    <n v="4662"/>
    <n v="33217"/>
    <x v="1168"/>
    <x v="28"/>
    <s v="High"/>
    <n v="20"/>
    <n v="1388.91"/>
    <n v="0.1"/>
    <s v="Regular Air"/>
    <n v="-229.87"/>
    <n v="73.98"/>
    <n v="4"/>
    <x v="468"/>
    <x v="8"/>
    <x v="6"/>
    <x v="0"/>
    <x v="1"/>
    <x v="7"/>
    <x v="640"/>
    <s v="Small Box"/>
    <n v="0.79"/>
    <d v="2009-03-13T00:00:00"/>
    <n v="0"/>
    <n v="0"/>
    <n v="0.5"/>
    <n v="0.5"/>
  </r>
  <r>
    <n v="4663"/>
    <n v="33217"/>
    <x v="1168"/>
    <x v="28"/>
    <s v="High"/>
    <n v="34"/>
    <n v="1806.65"/>
    <n v="0.05"/>
    <s v="Regular Air"/>
    <n v="599.04"/>
    <n v="51.98"/>
    <n v="10.17"/>
    <x v="468"/>
    <x v="8"/>
    <x v="6"/>
    <x v="0"/>
    <x v="1"/>
    <x v="16"/>
    <x v="913"/>
    <s v="Medium Box"/>
    <n v="0.37"/>
    <d v="2009-03-13T00:00:00"/>
    <n v="0"/>
    <n v="0"/>
    <n v="0.5"/>
    <n v="0.5"/>
  </r>
  <r>
    <n v="4721"/>
    <n v="33606"/>
    <x v="636"/>
    <x v="33"/>
    <s v="High"/>
    <n v="46"/>
    <n v="410.03"/>
    <n v="0.05"/>
    <s v="Regular Air"/>
    <n v="-138.38999999999999"/>
    <n v="8.75"/>
    <n v="8.5399999999999991"/>
    <x v="474"/>
    <x v="8"/>
    <x v="6"/>
    <x v="0"/>
    <x v="2"/>
    <x v="4"/>
    <x v="514"/>
    <s v="Small Pack"/>
    <n v="0.43"/>
    <d v="2012-03-03T00:00:00"/>
    <n v="0"/>
    <n v="0"/>
    <n v="1"/>
    <n v="1"/>
  </r>
  <r>
    <n v="4728"/>
    <n v="33666"/>
    <x v="302"/>
    <x v="29"/>
    <s v="Not Specified"/>
    <n v="17"/>
    <n v="3801.27"/>
    <n v="0.02"/>
    <s v="Regular Air"/>
    <n v="-861.30330000000004"/>
    <n v="209.37"/>
    <n v="69"/>
    <x v="474"/>
    <x v="8"/>
    <x v="6"/>
    <x v="3"/>
    <x v="2"/>
    <x v="10"/>
    <x v="724"/>
    <s v="Large Box"/>
    <n v="0.79"/>
    <d v="2012-07-18T00:00:00"/>
    <n v="0"/>
    <n v="0"/>
    <n v="1"/>
    <n v="1"/>
  </r>
  <r>
    <n v="4749"/>
    <n v="33764"/>
    <x v="405"/>
    <x v="44"/>
    <s v="Critical"/>
    <n v="31"/>
    <n v="226.15"/>
    <n v="0.01"/>
    <s v="Regular Air"/>
    <n v="35.979999999999997"/>
    <n v="7.08"/>
    <n v="2.35"/>
    <x v="484"/>
    <x v="8"/>
    <x v="6"/>
    <x v="0"/>
    <x v="0"/>
    <x v="12"/>
    <x v="174"/>
    <s v="Wrap Bag"/>
    <n v="0.47"/>
    <d v="2011-02-11T00:00:00"/>
    <n v="0"/>
    <n v="0"/>
    <n v="0.33333333333333331"/>
    <n v="0.33333333333333331"/>
  </r>
  <r>
    <n v="4776"/>
    <n v="33921"/>
    <x v="831"/>
    <x v="14"/>
    <s v="Low"/>
    <n v="35"/>
    <n v="1794.03"/>
    <n v="0.05"/>
    <s v="Delivery Truck"/>
    <n v="196.21"/>
    <n v="50.98"/>
    <n v="14.19"/>
    <x v="118"/>
    <x v="8"/>
    <x v="6"/>
    <x v="0"/>
    <x v="2"/>
    <x v="14"/>
    <x v="306"/>
    <s v="Jumbo Drum"/>
    <n v="0.56000000000000005"/>
    <d v="2010-04-08T00:00:00"/>
    <n v="0"/>
    <n v="0"/>
    <n v="1"/>
    <n v="1"/>
  </r>
  <r>
    <n v="4781"/>
    <n v="33956"/>
    <x v="675"/>
    <x v="23"/>
    <s v="Low"/>
    <n v="13"/>
    <n v="109.58"/>
    <n v="0"/>
    <s v="Regular Air"/>
    <n v="31.32"/>
    <n v="7.59"/>
    <n v="4"/>
    <x v="184"/>
    <x v="8"/>
    <x v="6"/>
    <x v="0"/>
    <x v="2"/>
    <x v="4"/>
    <x v="378"/>
    <s v="Wrap Bag"/>
    <n v="0.42"/>
    <d v="2012-01-21T00:00:00"/>
    <n v="0"/>
    <n v="0"/>
    <n v="1"/>
    <n v="1"/>
  </r>
  <r>
    <n v="4790"/>
    <n v="34022"/>
    <x v="667"/>
    <x v="32"/>
    <s v="Not Specified"/>
    <n v="6"/>
    <n v="43.9"/>
    <n v="0.06"/>
    <s v="Regular Air"/>
    <n v="12.74"/>
    <n v="6.64"/>
    <n v="4.95"/>
    <x v="436"/>
    <x v="8"/>
    <x v="6"/>
    <x v="0"/>
    <x v="2"/>
    <x v="4"/>
    <x v="5"/>
    <s v="Small Pack"/>
    <n v="0.37"/>
    <d v="2012-11-05T00:00:00"/>
    <n v="0"/>
    <n v="0"/>
    <n v="0.5"/>
    <n v="0.5"/>
  </r>
  <r>
    <n v="4791"/>
    <n v="34022"/>
    <x v="667"/>
    <x v="32"/>
    <s v="Not Specified"/>
    <n v="50"/>
    <n v="236.28"/>
    <n v="0.05"/>
    <s v="Regular Air"/>
    <n v="-34.06"/>
    <n v="4.91"/>
    <n v="3.05"/>
    <x v="436"/>
    <x v="8"/>
    <x v="6"/>
    <x v="0"/>
    <x v="2"/>
    <x v="4"/>
    <x v="988"/>
    <s v="Small Pack"/>
    <n v="0.52"/>
    <d v="2012-11-03T00:00:00"/>
    <n v="0"/>
    <n v="0"/>
    <n v="0.5"/>
    <n v="0.5"/>
  </r>
  <r>
    <n v="4801"/>
    <n v="34148"/>
    <x v="1032"/>
    <x v="9"/>
    <s v="Critical"/>
    <n v="33"/>
    <n v="136.79"/>
    <n v="0.06"/>
    <s v="Regular Air"/>
    <n v="42.71"/>
    <n v="4.13"/>
    <n v="0.99"/>
    <x v="474"/>
    <x v="8"/>
    <x v="6"/>
    <x v="0"/>
    <x v="0"/>
    <x v="11"/>
    <x v="367"/>
    <s v="Small Box"/>
    <n v="0.39"/>
    <d v="2012-08-22T00:00:00"/>
    <n v="0"/>
    <n v="0"/>
    <n v="1"/>
    <n v="1"/>
  </r>
  <r>
    <n v="4808"/>
    <n v="34182"/>
    <x v="765"/>
    <x v="1"/>
    <s v="Critical"/>
    <n v="31"/>
    <n v="336.34"/>
    <n v="0.05"/>
    <s v="Regular Air"/>
    <n v="-89.9"/>
    <n v="10.52"/>
    <n v="7.94"/>
    <x v="411"/>
    <x v="8"/>
    <x v="6"/>
    <x v="3"/>
    <x v="2"/>
    <x v="4"/>
    <x v="717"/>
    <s v="Small Pack"/>
    <n v="0.52"/>
    <d v="2012-10-19T00:00:00"/>
    <n v="0"/>
    <n v="0"/>
    <n v="1"/>
    <n v="1"/>
  </r>
  <r>
    <n v="4829"/>
    <n v="34337"/>
    <x v="486"/>
    <x v="39"/>
    <s v="Medium"/>
    <n v="36"/>
    <n v="3610.85"/>
    <n v="0.04"/>
    <s v="Express Air"/>
    <n v="2235.37"/>
    <n v="99.23"/>
    <n v="8.99"/>
    <x v="149"/>
    <x v="8"/>
    <x v="6"/>
    <x v="2"/>
    <x v="2"/>
    <x v="4"/>
    <x v="547"/>
    <s v="Small Pack"/>
    <n v="0.35"/>
    <d v="2010-05-15T00:00:00"/>
    <n v="0"/>
    <n v="0"/>
    <n v="1"/>
    <n v="1"/>
  </r>
  <r>
    <n v="4866"/>
    <n v="34657"/>
    <x v="364"/>
    <x v="39"/>
    <s v="Low"/>
    <n v="46"/>
    <n v="1396.75"/>
    <n v="0.04"/>
    <s v="Express Air"/>
    <n v="-75.7"/>
    <n v="30.98"/>
    <n v="19.510000000000002"/>
    <x v="467"/>
    <x v="8"/>
    <x v="6"/>
    <x v="2"/>
    <x v="0"/>
    <x v="8"/>
    <x v="1061"/>
    <s v="Small Box"/>
    <n v="0.36"/>
    <d v="2010-05-14T00:00:00"/>
    <n v="0"/>
    <n v="0"/>
    <n v="1"/>
    <n v="1"/>
  </r>
  <r>
    <n v="4884"/>
    <n v="34727"/>
    <x v="951"/>
    <x v="5"/>
    <s v="Low"/>
    <n v="20"/>
    <n v="159.71"/>
    <n v="0.1"/>
    <s v="Express Air"/>
    <n v="-114.4135"/>
    <n v="8.0399999999999991"/>
    <n v="8.94"/>
    <x v="457"/>
    <x v="8"/>
    <x v="6"/>
    <x v="2"/>
    <x v="0"/>
    <x v="2"/>
    <x v="401"/>
    <s v="Small Box"/>
    <n v="0.4"/>
    <d v="2011-03-17T00:00:00"/>
    <n v="0"/>
    <n v="0"/>
    <n v="1"/>
    <n v="1"/>
  </r>
  <r>
    <n v="4902"/>
    <n v="34881"/>
    <x v="745"/>
    <x v="44"/>
    <s v="Medium"/>
    <n v="37"/>
    <n v="187.37"/>
    <n v="0.01"/>
    <s v="Regular Air"/>
    <n v="-85.007999999999996"/>
    <n v="4.9800000000000004"/>
    <n v="4.95"/>
    <x v="458"/>
    <x v="8"/>
    <x v="6"/>
    <x v="2"/>
    <x v="0"/>
    <x v="2"/>
    <x v="538"/>
    <s v="Small Box"/>
    <n v="0.37"/>
    <d v="2011-02-09T00:00:00"/>
    <n v="0"/>
    <n v="0"/>
    <n v="1"/>
    <n v="1"/>
  </r>
  <r>
    <n v="4903"/>
    <n v="34882"/>
    <x v="513"/>
    <x v="36"/>
    <s v="Critical"/>
    <n v="43"/>
    <n v="84.61"/>
    <n v="0.03"/>
    <s v="Regular Air"/>
    <n v="-15.099500000000001"/>
    <n v="1.88"/>
    <n v="1.49"/>
    <x v="481"/>
    <x v="8"/>
    <x v="6"/>
    <x v="3"/>
    <x v="0"/>
    <x v="2"/>
    <x v="74"/>
    <s v="Small Box"/>
    <n v="0.37"/>
    <d v="2009-07-25T00:00:00"/>
    <n v="0"/>
    <n v="0"/>
    <n v="1"/>
    <n v="1"/>
  </r>
  <r>
    <n v="4906"/>
    <n v="34916"/>
    <x v="712"/>
    <x v="3"/>
    <s v="High"/>
    <n v="3"/>
    <n v="24.36"/>
    <n v="0.08"/>
    <s v="Express Air"/>
    <n v="10.039999999999999"/>
    <n v="4.82"/>
    <n v="5.72"/>
    <x v="474"/>
    <x v="8"/>
    <x v="6"/>
    <x v="1"/>
    <x v="2"/>
    <x v="4"/>
    <x v="441"/>
    <s v="Small Pack"/>
    <n v="0.47"/>
    <d v="2010-08-11T00:00:00"/>
    <n v="0"/>
    <n v="0"/>
    <n v="1"/>
    <n v="0.5"/>
  </r>
  <r>
    <n v="4921"/>
    <n v="35041"/>
    <x v="1169"/>
    <x v="46"/>
    <s v="Not Specified"/>
    <n v="28"/>
    <n v="443.73"/>
    <n v="0.01"/>
    <s v="Regular Air"/>
    <n v="-200.85899999999998"/>
    <n v="15.16"/>
    <n v="15.09"/>
    <x v="460"/>
    <x v="8"/>
    <x v="6"/>
    <x v="3"/>
    <x v="0"/>
    <x v="2"/>
    <x v="1142"/>
    <s v="Small Box"/>
    <n v="0.39"/>
    <d v="2009-04-15T00:00:00"/>
    <n v="0"/>
    <n v="0"/>
    <n v="1"/>
    <n v="1"/>
  </r>
  <r>
    <n v="4965"/>
    <n v="35302"/>
    <x v="222"/>
    <x v="30"/>
    <s v="Medium"/>
    <n v="6"/>
    <n v="188.44"/>
    <n v="0.09"/>
    <s v="Regular Air"/>
    <n v="17.57"/>
    <n v="30.98"/>
    <n v="5.76"/>
    <x v="468"/>
    <x v="8"/>
    <x v="6"/>
    <x v="0"/>
    <x v="0"/>
    <x v="5"/>
    <x v="37"/>
    <s v="Small Box"/>
    <n v="0.4"/>
    <d v="2010-06-07T00:00:00"/>
    <n v="0"/>
    <n v="0"/>
    <n v="0.5"/>
    <n v="0.5"/>
  </r>
  <r>
    <n v="4966"/>
    <n v="35302"/>
    <x v="222"/>
    <x v="30"/>
    <s v="Medium"/>
    <n v="13"/>
    <n v="1265.4969999999998"/>
    <n v="0.1"/>
    <s v="Regular Air"/>
    <n v="-228.184"/>
    <n v="125.99"/>
    <n v="7.69"/>
    <x v="468"/>
    <x v="8"/>
    <x v="6"/>
    <x v="0"/>
    <x v="1"/>
    <x v="3"/>
    <x v="658"/>
    <s v="Small Box"/>
    <n v="0.59"/>
    <d v="2010-06-08T00:00:00"/>
    <n v="0"/>
    <n v="0"/>
    <n v="0.5"/>
    <n v="0.5"/>
  </r>
  <r>
    <n v="5027"/>
    <n v="35841"/>
    <x v="166"/>
    <x v="10"/>
    <s v="Medium"/>
    <n v="23"/>
    <n v="230.41"/>
    <n v="0.06"/>
    <s v="Regular Air"/>
    <n v="94.39"/>
    <n v="9.9"/>
    <n v="1.39"/>
    <x v="470"/>
    <x v="8"/>
    <x v="6"/>
    <x v="0"/>
    <x v="0"/>
    <x v="8"/>
    <x v="1132"/>
    <s v="Small Box"/>
    <n v="0.37"/>
    <d v="2011-05-09T00:00:00"/>
    <n v="0"/>
    <n v="0"/>
    <n v="0.5"/>
    <n v="0.5"/>
  </r>
  <r>
    <n v="5028"/>
    <n v="35841"/>
    <x v="166"/>
    <x v="10"/>
    <s v="Medium"/>
    <n v="48"/>
    <n v="5163.0105000000003"/>
    <n v="7.0000000000000007E-2"/>
    <s v="Regular Air"/>
    <n v="1448.325"/>
    <n v="125.99"/>
    <n v="8.08"/>
    <x v="470"/>
    <x v="8"/>
    <x v="6"/>
    <x v="0"/>
    <x v="1"/>
    <x v="3"/>
    <x v="442"/>
    <s v="Small Box"/>
    <n v="0.56999999999999995"/>
    <d v="2011-05-09T00:00:00"/>
    <n v="0"/>
    <n v="0"/>
    <n v="0.5"/>
    <n v="0.5"/>
  </r>
  <r>
    <n v="5054"/>
    <n v="36034"/>
    <x v="653"/>
    <x v="1"/>
    <s v="High"/>
    <n v="10"/>
    <n v="19.36"/>
    <n v="0"/>
    <s v="Regular Air"/>
    <n v="-1.02"/>
    <n v="1.76"/>
    <n v="0.7"/>
    <x v="478"/>
    <x v="8"/>
    <x v="6"/>
    <x v="1"/>
    <x v="0"/>
    <x v="12"/>
    <x v="91"/>
    <s v="Wrap Bag"/>
    <n v="0.56000000000000005"/>
    <d v="2012-10-18T00:00:00"/>
    <n v="0"/>
    <n v="0"/>
    <n v="1"/>
    <n v="1"/>
  </r>
  <r>
    <n v="5056"/>
    <n v="36065"/>
    <x v="649"/>
    <x v="6"/>
    <s v="High"/>
    <n v="31"/>
    <n v="538.29999999999995"/>
    <n v="0.03"/>
    <s v="Regular Air"/>
    <n v="-63.98"/>
    <n v="16.98"/>
    <n v="12.39"/>
    <x v="485"/>
    <x v="8"/>
    <x v="6"/>
    <x v="0"/>
    <x v="0"/>
    <x v="8"/>
    <x v="353"/>
    <s v="Small Box"/>
    <n v="0.35"/>
    <d v="2010-02-17T00:00:00"/>
    <n v="0"/>
    <n v="0"/>
    <n v="1"/>
    <n v="0.5"/>
  </r>
  <r>
    <n v="5097"/>
    <n v="36355"/>
    <x v="305"/>
    <x v="47"/>
    <s v="Medium"/>
    <n v="9"/>
    <n v="61.43"/>
    <n v="0.09"/>
    <s v="Express Air"/>
    <n v="-42.975499999999997"/>
    <n v="5.4"/>
    <n v="7.78"/>
    <x v="456"/>
    <x v="8"/>
    <x v="6"/>
    <x v="3"/>
    <x v="0"/>
    <x v="2"/>
    <x v="212"/>
    <s v="Small Box"/>
    <n v="0.37"/>
    <d v="2009-12-02T00:00:00"/>
    <n v="0"/>
    <n v="0"/>
    <n v="0.25"/>
    <n v="0.25"/>
  </r>
  <r>
    <n v="5098"/>
    <n v="36355"/>
    <x v="305"/>
    <x v="47"/>
    <s v="Medium"/>
    <n v="6"/>
    <n v="129.5"/>
    <n v="0.02"/>
    <s v="Regular Air"/>
    <n v="65.489999999999995"/>
    <n v="20.28"/>
    <n v="6.68"/>
    <x v="456"/>
    <x v="8"/>
    <x v="6"/>
    <x v="3"/>
    <x v="2"/>
    <x v="4"/>
    <x v="1105"/>
    <s v="Small Box"/>
    <n v="0.53"/>
    <d v="2009-12-02T00:00:00"/>
    <n v="0"/>
    <n v="0"/>
    <n v="0.25"/>
    <n v="0.25"/>
  </r>
  <r>
    <n v="5099"/>
    <n v="36355"/>
    <x v="305"/>
    <x v="47"/>
    <s v="Medium"/>
    <n v="10"/>
    <n v="125.95"/>
    <n v="0"/>
    <s v="Regular Air"/>
    <n v="15.73"/>
    <n v="11.55"/>
    <n v="2.36"/>
    <x v="456"/>
    <x v="8"/>
    <x v="6"/>
    <x v="3"/>
    <x v="0"/>
    <x v="12"/>
    <x v="769"/>
    <s v="Wrap Bag"/>
    <n v="0.55000000000000004"/>
    <d v="2009-12-03T00:00:00"/>
    <n v="0"/>
    <n v="0"/>
    <n v="0.25"/>
    <n v="0.25"/>
  </r>
  <r>
    <n v="5100"/>
    <n v="36355"/>
    <x v="305"/>
    <x v="47"/>
    <s v="Medium"/>
    <n v="43"/>
    <n v="90.93"/>
    <n v="0.05"/>
    <s v="Regular Air"/>
    <n v="-72.5"/>
    <n v="2.08"/>
    <n v="2.56"/>
    <x v="456"/>
    <x v="8"/>
    <x v="6"/>
    <x v="3"/>
    <x v="0"/>
    <x v="15"/>
    <x v="583"/>
    <s v="Small Pack"/>
    <n v="0.55000000000000004"/>
    <d v="2009-12-03T00:00:00"/>
    <n v="0"/>
    <n v="0"/>
    <n v="0.25"/>
    <n v="0.25"/>
  </r>
  <r>
    <n v="5104"/>
    <n v="36358"/>
    <x v="1006"/>
    <x v="43"/>
    <s v="Not Specified"/>
    <n v="28"/>
    <n v="865.35"/>
    <n v="0.06"/>
    <s v="Regular Air"/>
    <n v="-159.25"/>
    <n v="30.42"/>
    <n v="8.65"/>
    <x v="457"/>
    <x v="8"/>
    <x v="6"/>
    <x v="2"/>
    <x v="1"/>
    <x v="7"/>
    <x v="251"/>
    <s v="Small Box"/>
    <n v="0.74"/>
    <d v="2009-05-15T00:00:00"/>
    <n v="0"/>
    <n v="0"/>
    <n v="0.5"/>
    <n v="0.5"/>
  </r>
  <r>
    <n v="5105"/>
    <n v="36358"/>
    <x v="1006"/>
    <x v="43"/>
    <s v="Not Specified"/>
    <n v="22"/>
    <n v="823.07"/>
    <n v="0.02"/>
    <s v="Regular Air"/>
    <n v="318.25"/>
    <n v="37.94"/>
    <n v="5.08"/>
    <x v="457"/>
    <x v="8"/>
    <x v="6"/>
    <x v="2"/>
    <x v="0"/>
    <x v="5"/>
    <x v="532"/>
    <s v="Wrap Bag"/>
    <n v="0.38"/>
    <d v="2009-05-14T00:00:00"/>
    <n v="0"/>
    <n v="0"/>
    <n v="0.5"/>
    <n v="0.5"/>
  </r>
  <r>
    <n v="5161"/>
    <n v="36739"/>
    <x v="171"/>
    <x v="19"/>
    <s v="Not Specified"/>
    <n v="16"/>
    <n v="68.040000000000006"/>
    <n v="7.0000000000000007E-2"/>
    <s v="Regular Air"/>
    <n v="-55.521999999999998"/>
    <n v="3.98"/>
    <n v="5.26"/>
    <x v="459"/>
    <x v="8"/>
    <x v="6"/>
    <x v="1"/>
    <x v="0"/>
    <x v="2"/>
    <x v="983"/>
    <s v="Small Box"/>
    <n v="0.38"/>
    <d v="2009-10-10T00:00:00"/>
    <n v="0"/>
    <n v="0"/>
    <n v="0.5"/>
    <n v="0.5"/>
  </r>
  <r>
    <n v="5162"/>
    <n v="36739"/>
    <x v="171"/>
    <x v="19"/>
    <s v="Not Specified"/>
    <n v="27"/>
    <n v="331.17"/>
    <n v="7.0000000000000007E-2"/>
    <s v="Regular Air"/>
    <n v="97.19"/>
    <n v="12.22"/>
    <n v="2.85"/>
    <x v="459"/>
    <x v="8"/>
    <x v="6"/>
    <x v="1"/>
    <x v="2"/>
    <x v="4"/>
    <x v="137"/>
    <s v="Small Pack"/>
    <n v="0.55000000000000004"/>
    <d v="2009-10-08T00:00:00"/>
    <n v="0"/>
    <n v="0"/>
    <n v="0.5"/>
    <n v="0.5"/>
  </r>
  <r>
    <n v="5165"/>
    <n v="36743"/>
    <x v="298"/>
    <x v="34"/>
    <s v="Critical"/>
    <n v="3"/>
    <n v="26.13"/>
    <n v="0.1"/>
    <s v="Regular Air"/>
    <n v="-10.61"/>
    <n v="7.59"/>
    <n v="4"/>
    <x v="479"/>
    <x v="8"/>
    <x v="6"/>
    <x v="3"/>
    <x v="2"/>
    <x v="4"/>
    <x v="378"/>
    <s v="Wrap Bag"/>
    <n v="0.42"/>
    <d v="2012-09-09T00:00:00"/>
    <n v="0"/>
    <n v="0"/>
    <n v="1"/>
    <n v="1"/>
  </r>
  <r>
    <n v="5186"/>
    <n v="36864"/>
    <x v="300"/>
    <x v="29"/>
    <s v="Low"/>
    <n v="9"/>
    <n v="55.49"/>
    <n v="0.05"/>
    <s v="Regular Air"/>
    <n v="7.23"/>
    <n v="6.08"/>
    <n v="0.91"/>
    <x v="488"/>
    <x v="8"/>
    <x v="6"/>
    <x v="3"/>
    <x v="0"/>
    <x v="12"/>
    <x v="997"/>
    <s v="Wrap Bag"/>
    <n v="0.51"/>
    <d v="2012-07-31T00:00:00"/>
    <n v="0"/>
    <n v="0"/>
    <n v="1"/>
    <n v="1"/>
  </r>
  <r>
    <n v="5224"/>
    <n v="37188"/>
    <x v="498"/>
    <x v="33"/>
    <s v="Critical"/>
    <n v="24"/>
    <n v="132.02000000000001"/>
    <n v="0.04"/>
    <s v="Express Air"/>
    <n v="-123.28"/>
    <n v="4.9800000000000004"/>
    <n v="8.33"/>
    <x v="481"/>
    <x v="8"/>
    <x v="6"/>
    <x v="3"/>
    <x v="0"/>
    <x v="5"/>
    <x v="9"/>
    <s v="Small Box"/>
    <n v="0.38"/>
    <d v="2012-03-05T00:00:00"/>
    <n v="0"/>
    <n v="0"/>
    <n v="1"/>
    <n v="0.5"/>
  </r>
  <r>
    <n v="5257"/>
    <n v="37414"/>
    <x v="1117"/>
    <x v="31"/>
    <s v="Low"/>
    <n v="39"/>
    <n v="20596.580000000002"/>
    <n v="0.09"/>
    <s v="Delivery Truck"/>
    <n v="-1331.5533660000001"/>
    <n v="550.98"/>
    <n v="64.59"/>
    <x v="465"/>
    <x v="8"/>
    <x v="6"/>
    <x v="3"/>
    <x v="2"/>
    <x v="10"/>
    <x v="481"/>
    <s v="Jumbo Box"/>
    <n v="0.66"/>
    <d v="2011-09-11T00:00:00"/>
    <n v="0"/>
    <n v="0"/>
    <n v="1"/>
    <n v="1"/>
  </r>
  <r>
    <n v="5287"/>
    <n v="37638"/>
    <x v="472"/>
    <x v="22"/>
    <s v="Low"/>
    <n v="33"/>
    <n v="139.97999999999999"/>
    <n v="7.0000000000000007E-2"/>
    <s v="Regular Air"/>
    <n v="-140.54"/>
    <n v="4.13"/>
    <n v="6.89"/>
    <x v="184"/>
    <x v="8"/>
    <x v="6"/>
    <x v="0"/>
    <x v="0"/>
    <x v="11"/>
    <x v="917"/>
    <s v="Small Box"/>
    <n v="0.39"/>
    <d v="2009-01-23T00:00:00"/>
    <n v="0"/>
    <n v="1"/>
    <n v="1"/>
    <n v="1"/>
  </r>
  <r>
    <n v="5300"/>
    <n v="37734"/>
    <x v="991"/>
    <x v="47"/>
    <s v="Critical"/>
    <n v="15"/>
    <n v="1393.39"/>
    <n v="0.08"/>
    <s v="Regular Air"/>
    <n v="84.15"/>
    <n v="100.97"/>
    <n v="7.18"/>
    <x v="470"/>
    <x v="8"/>
    <x v="6"/>
    <x v="0"/>
    <x v="1"/>
    <x v="7"/>
    <x v="824"/>
    <s v="Small Box"/>
    <n v="0.46"/>
    <d v="2009-12-27T00:00:00"/>
    <n v="0"/>
    <n v="0"/>
    <n v="0.5"/>
    <n v="0.5"/>
  </r>
  <r>
    <n v="5301"/>
    <n v="37734"/>
    <x v="991"/>
    <x v="47"/>
    <s v="Critical"/>
    <n v="42"/>
    <n v="601.52"/>
    <n v="0"/>
    <s v="Regular Air"/>
    <n v="171.98"/>
    <n v="13.4"/>
    <n v="4.95"/>
    <x v="470"/>
    <x v="8"/>
    <x v="6"/>
    <x v="0"/>
    <x v="2"/>
    <x v="4"/>
    <x v="1148"/>
    <s v="Small Pack"/>
    <n v="0.37"/>
    <d v="2009-12-27T00:00:00"/>
    <n v="0"/>
    <n v="0"/>
    <n v="0.5"/>
    <n v="0.5"/>
  </r>
  <r>
    <n v="5305"/>
    <n v="37763"/>
    <x v="156"/>
    <x v="12"/>
    <s v="Not Specified"/>
    <n v="29"/>
    <n v="169.61"/>
    <n v="0.1"/>
    <s v="Regular Air"/>
    <n v="-211.05950000000001"/>
    <n v="5.94"/>
    <n v="9.92"/>
    <x v="461"/>
    <x v="8"/>
    <x v="6"/>
    <x v="1"/>
    <x v="0"/>
    <x v="2"/>
    <x v="1040"/>
    <s v="Small Box"/>
    <n v="0.38"/>
    <d v="2012-02-09T00:00:00"/>
    <n v="0"/>
    <n v="0"/>
    <n v="0.5"/>
    <n v="0.5"/>
  </r>
  <r>
    <n v="5306"/>
    <n v="37763"/>
    <x v="156"/>
    <x v="12"/>
    <s v="Not Specified"/>
    <n v="24"/>
    <n v="1247.9275"/>
    <n v="0.1"/>
    <s v="Regular Air"/>
    <n v="186.417"/>
    <n v="65.989999999999995"/>
    <n v="2.5"/>
    <x v="461"/>
    <x v="8"/>
    <x v="6"/>
    <x v="1"/>
    <x v="1"/>
    <x v="3"/>
    <x v="588"/>
    <s v="Small Box"/>
    <n v="0.55000000000000004"/>
    <d v="2012-02-09T00:00:00"/>
    <n v="0"/>
    <n v="0"/>
    <n v="0.5"/>
    <n v="0.5"/>
  </r>
  <r>
    <n v="5324"/>
    <n v="37859"/>
    <x v="1170"/>
    <x v="28"/>
    <s v="Critical"/>
    <n v="2"/>
    <n v="29.03"/>
    <n v="0.01"/>
    <s v="Regular Air"/>
    <n v="-11.83"/>
    <n v="11.34"/>
    <n v="5.01"/>
    <x v="448"/>
    <x v="8"/>
    <x v="6"/>
    <x v="0"/>
    <x v="0"/>
    <x v="5"/>
    <x v="119"/>
    <s v="Small Box"/>
    <n v="0.36"/>
    <d v="2009-04-01T00:00:00"/>
    <n v="0"/>
    <n v="0"/>
    <n v="1"/>
    <n v="1"/>
  </r>
  <r>
    <n v="5352"/>
    <n v="38048"/>
    <x v="1171"/>
    <x v="38"/>
    <s v="High"/>
    <n v="42"/>
    <n v="2252.2619999999997"/>
    <n v="0.1"/>
    <s v="Regular Air"/>
    <n v="478.10700000000003"/>
    <n v="65.989999999999995"/>
    <n v="5.63"/>
    <x v="489"/>
    <x v="8"/>
    <x v="6"/>
    <x v="2"/>
    <x v="1"/>
    <x v="3"/>
    <x v="1032"/>
    <s v="Small Box"/>
    <n v="0.56000000000000005"/>
    <d v="2010-01-24T00:00:00"/>
    <n v="1"/>
    <n v="0"/>
    <n v="0.5"/>
    <n v="0.5"/>
  </r>
  <r>
    <n v="5353"/>
    <n v="38048"/>
    <x v="1171"/>
    <x v="38"/>
    <s v="High"/>
    <n v="47"/>
    <n v="279.01"/>
    <n v="0.05"/>
    <s v="Regular Air"/>
    <n v="-136.84"/>
    <n v="5.77"/>
    <n v="5.92"/>
    <x v="489"/>
    <x v="8"/>
    <x v="6"/>
    <x v="2"/>
    <x v="2"/>
    <x v="4"/>
    <x v="1121"/>
    <s v="Medium Box"/>
    <n v="0.55000000000000004"/>
    <d v="2010-01-25T00:00:00"/>
    <n v="1"/>
    <n v="0"/>
    <n v="0.5"/>
    <n v="0.5"/>
  </r>
  <r>
    <n v="5386"/>
    <n v="38305"/>
    <x v="663"/>
    <x v="37"/>
    <s v="Critical"/>
    <n v="21"/>
    <n v="2561.6705000000002"/>
    <n v="0.08"/>
    <s v="Regular Air"/>
    <n v="88.766999999999996"/>
    <n v="155.99"/>
    <n v="8.08"/>
    <x v="487"/>
    <x v="8"/>
    <x v="6"/>
    <x v="1"/>
    <x v="1"/>
    <x v="3"/>
    <x v="215"/>
    <s v="Small Box"/>
    <n v="0.6"/>
    <d v="2011-05-02T00:00:00"/>
    <n v="0"/>
    <n v="0"/>
    <n v="1"/>
    <n v="1"/>
  </r>
  <r>
    <n v="5398"/>
    <n v="38371"/>
    <x v="216"/>
    <x v="11"/>
    <s v="Not Specified"/>
    <n v="24"/>
    <n v="2004.4"/>
    <n v="0.05"/>
    <s v="Express Air"/>
    <n v="544.29999999999995"/>
    <n v="83.1"/>
    <n v="6.13"/>
    <x v="468"/>
    <x v="8"/>
    <x v="6"/>
    <x v="0"/>
    <x v="1"/>
    <x v="7"/>
    <x v="432"/>
    <s v="Small Box"/>
    <n v="0.45"/>
    <d v="2009-11-09T00:00:00"/>
    <n v="0"/>
    <n v="0"/>
    <n v="1"/>
    <n v="0.33333333333333331"/>
  </r>
  <r>
    <n v="5461"/>
    <n v="38789"/>
    <x v="1118"/>
    <x v="7"/>
    <s v="High"/>
    <n v="9"/>
    <n v="96.52"/>
    <n v="0.1"/>
    <s v="Regular Air"/>
    <n v="16.78"/>
    <n v="10.64"/>
    <n v="5.16"/>
    <x v="470"/>
    <x v="8"/>
    <x v="6"/>
    <x v="0"/>
    <x v="2"/>
    <x v="4"/>
    <x v="448"/>
    <s v="Small Box"/>
    <n v="0.56999999999999995"/>
    <d v="2010-11-15T00:00:00"/>
    <n v="0"/>
    <n v="0"/>
    <n v="0.5"/>
    <n v="0.5"/>
  </r>
  <r>
    <n v="5462"/>
    <n v="38789"/>
    <x v="1118"/>
    <x v="7"/>
    <s v="High"/>
    <n v="4"/>
    <n v="115.17"/>
    <n v="0.04"/>
    <s v="Delivery Truck"/>
    <n v="40.93"/>
    <n v="23.99"/>
    <n v="15.68"/>
    <x v="470"/>
    <x v="8"/>
    <x v="6"/>
    <x v="0"/>
    <x v="2"/>
    <x v="4"/>
    <x v="1001"/>
    <s v="Jumbo Drum"/>
    <n v="0.62"/>
    <d v="2010-11-15T00:00:00"/>
    <n v="0"/>
    <n v="0"/>
    <n v="0.5"/>
    <n v="0.5"/>
  </r>
  <r>
    <n v="5511"/>
    <n v="39076"/>
    <x v="716"/>
    <x v="47"/>
    <s v="Critical"/>
    <n v="41"/>
    <n v="222.65"/>
    <n v="0.02"/>
    <s v="Regular Air"/>
    <n v="-131.16"/>
    <n v="5.28"/>
    <n v="6.26"/>
    <x v="448"/>
    <x v="8"/>
    <x v="6"/>
    <x v="2"/>
    <x v="0"/>
    <x v="5"/>
    <x v="438"/>
    <s v="Small Box"/>
    <n v="0.4"/>
    <d v="2009-12-12T00:00:00"/>
    <n v="0"/>
    <n v="0"/>
    <n v="1"/>
    <n v="1"/>
  </r>
  <r>
    <n v="5533"/>
    <n v="39173"/>
    <x v="191"/>
    <x v="22"/>
    <s v="Critical"/>
    <n v="36"/>
    <n v="76.48"/>
    <n v="0.09"/>
    <s v="Regular Air"/>
    <n v="3.23"/>
    <n v="2.1800000000000002"/>
    <n v="0.78"/>
    <x v="436"/>
    <x v="8"/>
    <x v="6"/>
    <x v="0"/>
    <x v="0"/>
    <x v="6"/>
    <x v="303"/>
    <s v="Wrap Bag"/>
    <n v="0.52"/>
    <d v="2009-01-18T00:00:00"/>
    <n v="0"/>
    <n v="1"/>
    <n v="0.5"/>
    <n v="0.5"/>
  </r>
  <r>
    <n v="5534"/>
    <n v="39173"/>
    <x v="191"/>
    <x v="22"/>
    <s v="Critical"/>
    <n v="2"/>
    <n v="373.27"/>
    <n v="0.05"/>
    <s v="Delivery Truck"/>
    <n v="-433.29014300000011"/>
    <n v="179.29"/>
    <n v="29.21"/>
    <x v="436"/>
    <x v="8"/>
    <x v="6"/>
    <x v="0"/>
    <x v="2"/>
    <x v="10"/>
    <x v="102"/>
    <s v="Jumbo Box"/>
    <n v="0.76"/>
    <d v="2009-01-18T00:00:00"/>
    <n v="0"/>
    <n v="1"/>
    <n v="0.5"/>
    <n v="0.5"/>
  </r>
  <r>
    <n v="5557"/>
    <n v="39335"/>
    <x v="1061"/>
    <x v="43"/>
    <s v="Not Specified"/>
    <n v="24"/>
    <n v="113.23"/>
    <n v="0.06"/>
    <s v="Regular Air"/>
    <n v="-45.64"/>
    <n v="4.7699999999999996"/>
    <n v="2.39"/>
    <x v="480"/>
    <x v="8"/>
    <x v="6"/>
    <x v="2"/>
    <x v="1"/>
    <x v="7"/>
    <x v="568"/>
    <s v="Small Pack"/>
    <n v="0.72"/>
    <d v="2009-05-26T00:00:00"/>
    <n v="0"/>
    <n v="0"/>
    <n v="0.5"/>
    <n v="0.5"/>
  </r>
  <r>
    <n v="5558"/>
    <n v="39335"/>
    <x v="1061"/>
    <x v="43"/>
    <s v="Not Specified"/>
    <n v="34"/>
    <n v="889.84"/>
    <n v="0.1"/>
    <s v="Regular Air"/>
    <n v="204.49"/>
    <n v="27.18"/>
    <n v="8.23"/>
    <x v="480"/>
    <x v="8"/>
    <x v="6"/>
    <x v="2"/>
    <x v="0"/>
    <x v="8"/>
    <x v="632"/>
    <s v="Small Box"/>
    <n v="0.38"/>
    <d v="2009-05-27T00:00:00"/>
    <n v="0"/>
    <n v="0"/>
    <n v="0.5"/>
    <n v="0.5"/>
  </r>
  <r>
    <n v="5605"/>
    <n v="39744"/>
    <x v="457"/>
    <x v="36"/>
    <s v="Medium"/>
    <n v="6"/>
    <n v="63.61"/>
    <n v="0.01"/>
    <s v="Regular Air"/>
    <n v="7.59"/>
    <n v="10.06"/>
    <n v="2.06"/>
    <x v="456"/>
    <x v="8"/>
    <x v="6"/>
    <x v="1"/>
    <x v="0"/>
    <x v="5"/>
    <x v="456"/>
    <s v="Wrap Bag"/>
    <n v="0.39"/>
    <d v="2009-07-08T00:00:00"/>
    <n v="0"/>
    <n v="0"/>
    <n v="0.33333333333333331"/>
    <n v="0.25"/>
  </r>
  <r>
    <n v="5606"/>
    <n v="39744"/>
    <x v="457"/>
    <x v="36"/>
    <s v="Medium"/>
    <n v="9"/>
    <n v="519.95349999999996"/>
    <n v="0"/>
    <s v="Regular Air"/>
    <n v="-107.98699999999999"/>
    <n v="65.989999999999995"/>
    <n v="5.92"/>
    <x v="456"/>
    <x v="8"/>
    <x v="6"/>
    <x v="1"/>
    <x v="1"/>
    <x v="3"/>
    <x v="237"/>
    <s v="Small Box"/>
    <n v="0.55000000000000004"/>
    <d v="2009-07-08T00:00:00"/>
    <n v="0"/>
    <n v="0"/>
    <n v="0.33333333333333331"/>
    <n v="0.25"/>
  </r>
  <r>
    <n v="5607"/>
    <n v="39744"/>
    <x v="457"/>
    <x v="36"/>
    <s v="Medium"/>
    <n v="41"/>
    <n v="5636.3074999999999"/>
    <n v="0.04"/>
    <s v="Regular Air"/>
    <n v="1595.673"/>
    <n v="155.99"/>
    <n v="8.99"/>
    <x v="456"/>
    <x v="8"/>
    <x v="6"/>
    <x v="1"/>
    <x v="1"/>
    <x v="3"/>
    <x v="554"/>
    <s v="Small Box"/>
    <n v="0.57999999999999996"/>
    <d v="2009-07-07T00:00:00"/>
    <n v="0"/>
    <n v="0"/>
    <n v="0.33333333333333331"/>
    <n v="0.25"/>
  </r>
  <r>
    <n v="5638"/>
    <n v="39878"/>
    <x v="1172"/>
    <x v="5"/>
    <s v="Not Specified"/>
    <n v="50"/>
    <n v="7663.74"/>
    <n v="0"/>
    <s v="Delivery Truck"/>
    <n v="-375.33210000000008"/>
    <n v="150.97999999999999"/>
    <n v="39.25"/>
    <x v="464"/>
    <x v="8"/>
    <x v="6"/>
    <x v="2"/>
    <x v="2"/>
    <x v="10"/>
    <x v="1025"/>
    <s v="Jumbo Box"/>
    <n v="0.75"/>
    <d v="2011-03-07T00:00:00"/>
    <n v="0"/>
    <n v="0"/>
    <n v="1"/>
    <n v="1"/>
  </r>
  <r>
    <n v="5648"/>
    <n v="39972"/>
    <x v="1078"/>
    <x v="34"/>
    <s v="Not Specified"/>
    <n v="35"/>
    <n v="224.58"/>
    <n v="0.03"/>
    <s v="Regular Air"/>
    <n v="108.49"/>
    <n v="6.3"/>
    <n v="0.5"/>
    <x v="464"/>
    <x v="8"/>
    <x v="6"/>
    <x v="2"/>
    <x v="0"/>
    <x v="11"/>
    <x v="698"/>
    <s v="Small Box"/>
    <n v="0.39"/>
    <d v="2012-09-26T00:00:00"/>
    <n v="0"/>
    <n v="0"/>
    <n v="0.33333333333333331"/>
    <n v="0.33333333333333331"/>
  </r>
  <r>
    <n v="5649"/>
    <n v="39972"/>
    <x v="1078"/>
    <x v="34"/>
    <s v="Not Specified"/>
    <n v="36"/>
    <n v="138.59"/>
    <n v="0.01"/>
    <s v="Regular Air"/>
    <n v="62.73"/>
    <n v="3.69"/>
    <n v="0.5"/>
    <x v="464"/>
    <x v="8"/>
    <x v="6"/>
    <x v="2"/>
    <x v="0"/>
    <x v="11"/>
    <x v="1045"/>
    <s v="Small Box"/>
    <n v="0.38"/>
    <d v="2012-09-27T00:00:00"/>
    <n v="0"/>
    <n v="0"/>
    <n v="0.33333333333333331"/>
    <n v="0.33333333333333331"/>
  </r>
  <r>
    <n v="5650"/>
    <n v="39972"/>
    <x v="1078"/>
    <x v="34"/>
    <s v="Not Specified"/>
    <n v="19"/>
    <n v="97.06"/>
    <n v="0.05"/>
    <s v="Regular Air"/>
    <n v="-7.36"/>
    <n v="5.0599999999999996"/>
    <n v="2.99"/>
    <x v="464"/>
    <x v="8"/>
    <x v="6"/>
    <x v="2"/>
    <x v="0"/>
    <x v="2"/>
    <x v="1149"/>
    <s v="Small Box"/>
    <n v="0.38"/>
    <d v="2012-09-28T00:00:00"/>
    <n v="0"/>
    <n v="0"/>
    <n v="0.33333333333333331"/>
    <n v="0.33333333333333331"/>
  </r>
  <r>
    <n v="5728"/>
    <n v="40643"/>
    <x v="621"/>
    <x v="37"/>
    <s v="Critical"/>
    <n v="23"/>
    <n v="258.74"/>
    <n v="0.05"/>
    <s v="Regular Air"/>
    <n v="10.8"/>
    <n v="11.58"/>
    <n v="5.72"/>
    <x v="465"/>
    <x v="8"/>
    <x v="6"/>
    <x v="3"/>
    <x v="0"/>
    <x v="8"/>
    <x v="188"/>
    <s v="Small Box"/>
    <n v="0.35"/>
    <d v="2011-04-07T00:00:00"/>
    <n v="0"/>
    <n v="0"/>
    <n v="1"/>
    <n v="0.5"/>
  </r>
  <r>
    <n v="5757"/>
    <n v="40870"/>
    <x v="1173"/>
    <x v="25"/>
    <s v="Critical"/>
    <n v="43"/>
    <n v="12858.88"/>
    <n v="0.08"/>
    <s v="Regular Air"/>
    <n v="4833.2700000000004"/>
    <n v="300.97000000000003"/>
    <n v="7.18"/>
    <x v="482"/>
    <x v="8"/>
    <x v="6"/>
    <x v="2"/>
    <x v="1"/>
    <x v="7"/>
    <x v="1130"/>
    <s v="Small Box"/>
    <n v="0.48"/>
    <d v="2011-12-11T00:00:00"/>
    <n v="0"/>
    <n v="0"/>
    <n v="0.5"/>
    <n v="0.5"/>
  </r>
  <r>
    <n v="5758"/>
    <n v="40870"/>
    <x v="1173"/>
    <x v="25"/>
    <s v="Critical"/>
    <n v="28"/>
    <n v="146.69"/>
    <n v="0"/>
    <s v="Regular Air"/>
    <n v="-64.05"/>
    <n v="4.95"/>
    <n v="5.32"/>
    <x v="482"/>
    <x v="8"/>
    <x v="6"/>
    <x v="2"/>
    <x v="2"/>
    <x v="4"/>
    <x v="1150"/>
    <s v="Small Box"/>
    <n v="0.41"/>
    <d v="2011-12-13T00:00:00"/>
    <n v="0"/>
    <n v="0"/>
    <n v="0.5"/>
    <n v="0.5"/>
  </r>
  <r>
    <n v="5767"/>
    <n v="40934"/>
    <x v="1174"/>
    <x v="27"/>
    <s v="Not Specified"/>
    <n v="28"/>
    <n v="49.49"/>
    <n v="0.01"/>
    <s v="Regular Air"/>
    <n v="-1.23"/>
    <n v="1.76"/>
    <n v="0.7"/>
    <x v="481"/>
    <x v="8"/>
    <x v="6"/>
    <x v="3"/>
    <x v="0"/>
    <x v="12"/>
    <x v="91"/>
    <s v="Wrap Bag"/>
    <n v="0.56000000000000005"/>
    <d v="2011-11-14T00:00:00"/>
    <n v="0"/>
    <n v="0"/>
    <n v="0.5"/>
    <n v="0.5"/>
  </r>
  <r>
    <n v="5768"/>
    <n v="40934"/>
    <x v="1174"/>
    <x v="27"/>
    <s v="Not Specified"/>
    <n v="11"/>
    <n v="404.14949999999999"/>
    <n v="7.0000000000000007E-2"/>
    <s v="Regular Air"/>
    <n v="-107.503"/>
    <n v="45.99"/>
    <n v="4.99"/>
    <x v="481"/>
    <x v="8"/>
    <x v="6"/>
    <x v="3"/>
    <x v="1"/>
    <x v="3"/>
    <x v="968"/>
    <s v="Small Box"/>
    <n v="0.56999999999999995"/>
    <d v="2011-11-15T00:00:00"/>
    <n v="0"/>
    <n v="0"/>
    <n v="0.5"/>
    <n v="0.5"/>
  </r>
  <r>
    <n v="5817"/>
    <n v="41254"/>
    <x v="209"/>
    <x v="16"/>
    <s v="Critical"/>
    <n v="17"/>
    <n v="1782.68"/>
    <n v="0.08"/>
    <s v="Regular Air"/>
    <n v="280.64"/>
    <n v="107.53"/>
    <n v="5.81"/>
    <x v="480"/>
    <x v="8"/>
    <x v="6"/>
    <x v="2"/>
    <x v="2"/>
    <x v="4"/>
    <x v="348"/>
    <s v="Medium Box"/>
    <n v="0.65"/>
    <d v="2011-01-12T00:00:00"/>
    <n v="0"/>
    <n v="0"/>
    <n v="1"/>
    <n v="1"/>
  </r>
  <r>
    <n v="5844"/>
    <n v="41472"/>
    <x v="1175"/>
    <x v="38"/>
    <s v="Low"/>
    <n v="48"/>
    <n v="280.87"/>
    <n v="0.01"/>
    <s v="Express Air"/>
    <n v="-214.15299999999999"/>
    <n v="5.38"/>
    <n v="7.57"/>
    <x v="439"/>
    <x v="8"/>
    <x v="6"/>
    <x v="3"/>
    <x v="0"/>
    <x v="2"/>
    <x v="1111"/>
    <s v="Small Box"/>
    <n v="0.36"/>
    <d v="2010-01-30T00:00:00"/>
    <n v="1"/>
    <n v="0"/>
    <n v="1"/>
    <n v="1"/>
  </r>
  <r>
    <n v="5901"/>
    <n v="41830"/>
    <x v="223"/>
    <x v="12"/>
    <s v="Low"/>
    <n v="42"/>
    <n v="5361.08"/>
    <n v="0"/>
    <s v="Delivery Truck"/>
    <n v="1841.92"/>
    <n v="120.97"/>
    <n v="26.3"/>
    <x v="462"/>
    <x v="8"/>
    <x v="6"/>
    <x v="3"/>
    <x v="1"/>
    <x v="16"/>
    <x v="362"/>
    <s v="Jumbo Drum"/>
    <n v="0.38"/>
    <d v="2012-02-24T00:00:00"/>
    <n v="0"/>
    <n v="0"/>
    <n v="1"/>
    <n v="1"/>
  </r>
  <r>
    <n v="5939"/>
    <n v="42144"/>
    <x v="1176"/>
    <x v="11"/>
    <s v="Medium"/>
    <n v="10"/>
    <n v="670.03"/>
    <n v="0.01"/>
    <s v="Express Air"/>
    <n v="-326.47000000000003"/>
    <n v="64.650000000000006"/>
    <n v="35"/>
    <x v="456"/>
    <x v="8"/>
    <x v="6"/>
    <x v="1"/>
    <x v="0"/>
    <x v="0"/>
    <x v="809"/>
    <s v="Large Box"/>
    <n v="0.8"/>
    <d v="2009-11-14T00:00:00"/>
    <n v="0"/>
    <n v="0"/>
    <n v="1"/>
    <n v="1"/>
  </r>
  <r>
    <n v="5989"/>
    <n v="42439"/>
    <x v="695"/>
    <x v="30"/>
    <s v="Not Specified"/>
    <n v="28"/>
    <n v="164.5"/>
    <n v="0.01"/>
    <s v="Regular Air"/>
    <n v="62.68"/>
    <n v="5.84"/>
    <n v="1"/>
    <x v="459"/>
    <x v="8"/>
    <x v="6"/>
    <x v="1"/>
    <x v="0"/>
    <x v="12"/>
    <x v="867"/>
    <s v="Wrap Bag"/>
    <n v="0.38"/>
    <d v="2010-06-20T00:00:00"/>
    <n v="0"/>
    <n v="0"/>
    <n v="1"/>
    <n v="1"/>
  </r>
  <r>
    <n v="6037"/>
    <n v="42758"/>
    <x v="547"/>
    <x v="32"/>
    <s v="Critical"/>
    <n v="12"/>
    <n v="1769.74"/>
    <n v="7.0000000000000007E-2"/>
    <s v="Regular Air"/>
    <n v="-333.69"/>
    <n v="152.47999999999999"/>
    <n v="4"/>
    <x v="490"/>
    <x v="8"/>
    <x v="6"/>
    <x v="3"/>
    <x v="1"/>
    <x v="7"/>
    <x v="659"/>
    <s v="Small Box"/>
    <n v="0.79"/>
    <d v="2012-11-12T00:00:00"/>
    <n v="0"/>
    <n v="0"/>
    <n v="0.5"/>
    <n v="0.5"/>
  </r>
  <r>
    <n v="6038"/>
    <n v="42758"/>
    <x v="547"/>
    <x v="32"/>
    <s v="Critical"/>
    <n v="42"/>
    <n v="638.07000000000005"/>
    <n v="0.05"/>
    <s v="Regular Air"/>
    <n v="278.89"/>
    <n v="15.04"/>
    <n v="1.97"/>
    <x v="490"/>
    <x v="8"/>
    <x v="6"/>
    <x v="3"/>
    <x v="0"/>
    <x v="5"/>
    <x v="536"/>
    <s v="Wrap Bag"/>
    <n v="0.39"/>
    <d v="2012-11-11T00:00:00"/>
    <n v="0"/>
    <n v="0"/>
    <n v="0.5"/>
    <n v="0.5"/>
  </r>
  <r>
    <n v="6057"/>
    <n v="42918"/>
    <x v="389"/>
    <x v="10"/>
    <s v="High"/>
    <n v="38"/>
    <n v="468.95"/>
    <n v="0.02"/>
    <s v="Express Air"/>
    <n v="-2.3804999999999996"/>
    <n v="11.5"/>
    <n v="7.19"/>
    <x v="84"/>
    <x v="8"/>
    <x v="6"/>
    <x v="2"/>
    <x v="0"/>
    <x v="2"/>
    <x v="274"/>
    <s v="Small Box"/>
    <n v="0.4"/>
    <d v="2011-05-24T00:00:00"/>
    <n v="0"/>
    <n v="0"/>
    <n v="0.33333333333333331"/>
    <n v="0.33333333333333331"/>
  </r>
  <r>
    <n v="6064"/>
    <n v="42950"/>
    <x v="618"/>
    <x v="3"/>
    <s v="High"/>
    <n v="38"/>
    <n v="1142.4849999999999"/>
    <n v="0.09"/>
    <s v="Regular Air"/>
    <n v="303.399"/>
    <n v="35.99"/>
    <n v="1.25"/>
    <x v="474"/>
    <x v="8"/>
    <x v="6"/>
    <x v="0"/>
    <x v="1"/>
    <x v="3"/>
    <x v="542"/>
    <s v="Small Pack"/>
    <n v="0.56999999999999995"/>
    <d v="2010-08-23T00:00:00"/>
    <n v="0"/>
    <n v="0"/>
    <n v="1"/>
    <n v="0.5"/>
  </r>
  <r>
    <n v="6065"/>
    <n v="42951"/>
    <x v="190"/>
    <x v="34"/>
    <s v="Critical"/>
    <n v="20"/>
    <n v="2104.991"/>
    <n v="0.09"/>
    <s v="Regular Air"/>
    <n v="165.447"/>
    <n v="125.99"/>
    <n v="8.8000000000000007"/>
    <x v="488"/>
    <x v="8"/>
    <x v="6"/>
    <x v="3"/>
    <x v="1"/>
    <x v="3"/>
    <x v="626"/>
    <s v="Small Box"/>
    <n v="0.59"/>
    <d v="2012-09-18T00:00:00"/>
    <n v="0"/>
    <n v="0"/>
    <n v="1"/>
    <n v="1"/>
  </r>
  <r>
    <n v="6094"/>
    <n v="43172"/>
    <x v="346"/>
    <x v="36"/>
    <s v="Low"/>
    <n v="19"/>
    <n v="28.34"/>
    <n v="0.09"/>
    <s v="Regular Air"/>
    <n v="1.68"/>
    <n v="1.48"/>
    <n v="0.7"/>
    <x v="415"/>
    <x v="8"/>
    <x v="6"/>
    <x v="2"/>
    <x v="0"/>
    <x v="6"/>
    <x v="476"/>
    <s v="Wrap Bag"/>
    <n v="0.37"/>
    <d v="2009-07-05T00:00:00"/>
    <n v="0"/>
    <n v="0"/>
    <n v="1"/>
    <n v="1"/>
  </r>
  <r>
    <n v="6108"/>
    <n v="43270"/>
    <x v="214"/>
    <x v="34"/>
    <s v="Critical"/>
    <n v="35"/>
    <n v="343.92"/>
    <n v="0.06"/>
    <s v="Regular Air"/>
    <n v="154.54"/>
    <n v="10.35"/>
    <n v="0.99"/>
    <x v="483"/>
    <x v="8"/>
    <x v="6"/>
    <x v="1"/>
    <x v="0"/>
    <x v="11"/>
    <x v="993"/>
    <s v="Small Box"/>
    <n v="0.37"/>
    <d v="2012-09-03T00:00:00"/>
    <n v="0"/>
    <n v="0"/>
    <n v="1"/>
    <n v="1"/>
  </r>
  <r>
    <n v="6109"/>
    <n v="43271"/>
    <x v="697"/>
    <x v="14"/>
    <s v="Medium"/>
    <n v="2"/>
    <n v="7.75"/>
    <n v="0.03"/>
    <s v="Regular Air"/>
    <n v="-5.27"/>
    <n v="2.6"/>
    <n v="2.4"/>
    <x v="472"/>
    <x v="8"/>
    <x v="6"/>
    <x v="0"/>
    <x v="0"/>
    <x v="12"/>
    <x v="269"/>
    <s v="Wrap Bag"/>
    <n v="0.57999999999999996"/>
    <d v="2010-03-04T00:00:00"/>
    <n v="0"/>
    <n v="0"/>
    <n v="1"/>
    <n v="1"/>
  </r>
  <r>
    <n v="6168"/>
    <n v="43745"/>
    <x v="698"/>
    <x v="7"/>
    <s v="Low"/>
    <n v="43"/>
    <n v="2433.5300000000002"/>
    <n v="0.02"/>
    <s v="Regular Air"/>
    <n v="946.7"/>
    <n v="54.48"/>
    <n v="0.99"/>
    <x v="479"/>
    <x v="8"/>
    <x v="6"/>
    <x v="2"/>
    <x v="0"/>
    <x v="1"/>
    <x v="859"/>
    <s v="Small Box"/>
    <n v="0.56999999999999995"/>
    <d v="2010-11-01T00:00:00"/>
    <n v="0"/>
    <n v="0"/>
    <n v="0.16666666666666666"/>
    <n v="0.16666666666666666"/>
  </r>
  <r>
    <n v="6169"/>
    <n v="43745"/>
    <x v="698"/>
    <x v="7"/>
    <s v="Low"/>
    <n v="26"/>
    <n v="1368.03"/>
    <n v="0.04"/>
    <s v="Regular Air"/>
    <n v="27.51"/>
    <n v="50.98"/>
    <n v="6.5"/>
    <x v="479"/>
    <x v="8"/>
    <x v="6"/>
    <x v="2"/>
    <x v="1"/>
    <x v="7"/>
    <x v="87"/>
    <s v="Small Box"/>
    <n v="0.73"/>
    <d v="2010-11-03T00:00:00"/>
    <n v="0"/>
    <n v="0"/>
    <n v="0.16666666666666666"/>
    <n v="0.16666666666666666"/>
  </r>
  <r>
    <n v="6170"/>
    <n v="43745"/>
    <x v="698"/>
    <x v="7"/>
    <s v="Low"/>
    <n v="41"/>
    <n v="260.64"/>
    <n v="0.08"/>
    <s v="Regular Air"/>
    <n v="-106.21"/>
    <n v="6.68"/>
    <n v="6.15"/>
    <x v="479"/>
    <x v="8"/>
    <x v="6"/>
    <x v="2"/>
    <x v="0"/>
    <x v="5"/>
    <x v="1151"/>
    <s v="Small Box"/>
    <n v="0.37"/>
    <d v="2010-11-03T00:00:00"/>
    <n v="0"/>
    <n v="0"/>
    <n v="0.16666666666666666"/>
    <n v="0.16666666666666666"/>
  </r>
  <r>
    <n v="6171"/>
    <n v="43745"/>
    <x v="698"/>
    <x v="7"/>
    <s v="Low"/>
    <n v="32"/>
    <n v="1250.4264999999998"/>
    <n v="0.02"/>
    <s v="Regular Air"/>
    <n v="303.3"/>
    <n v="45.99"/>
    <n v="2.5"/>
    <x v="479"/>
    <x v="8"/>
    <x v="6"/>
    <x v="2"/>
    <x v="1"/>
    <x v="3"/>
    <x v="585"/>
    <s v="Small Box"/>
    <n v="0.56000000000000005"/>
    <d v="2010-11-01T00:00:00"/>
    <n v="0"/>
    <n v="0"/>
    <n v="0.16666666666666666"/>
    <n v="0.16666666666666666"/>
  </r>
  <r>
    <n v="6175"/>
    <n v="43779"/>
    <x v="1177"/>
    <x v="26"/>
    <s v="High"/>
    <n v="20"/>
    <n v="3878.49"/>
    <n v="0.09"/>
    <s v="Regular Air"/>
    <n v="1397.86"/>
    <n v="209.84"/>
    <n v="21.21"/>
    <x v="486"/>
    <x v="8"/>
    <x v="6"/>
    <x v="2"/>
    <x v="2"/>
    <x v="4"/>
    <x v="922"/>
    <s v="Large Box"/>
    <n v="0.59"/>
    <d v="2009-08-24T00:00:00"/>
    <n v="0"/>
    <n v="0"/>
    <n v="1"/>
    <n v="1"/>
  </r>
  <r>
    <n v="6194"/>
    <n v="43877"/>
    <x v="914"/>
    <x v="14"/>
    <s v="Low"/>
    <n v="36"/>
    <n v="580.04"/>
    <n v="0.09"/>
    <s v="Express Air"/>
    <n v="-31.86"/>
    <n v="16.91"/>
    <n v="6.25"/>
    <x v="457"/>
    <x v="8"/>
    <x v="6"/>
    <x v="2"/>
    <x v="0"/>
    <x v="0"/>
    <x v="624"/>
    <s v="Small Box"/>
    <n v="0.57999999999999996"/>
    <d v="2010-03-15T00:00:00"/>
    <n v="0"/>
    <n v="0"/>
    <n v="1"/>
    <n v="0.5"/>
  </r>
  <r>
    <n v="6198"/>
    <n v="43907"/>
    <x v="1178"/>
    <x v="29"/>
    <s v="Critical"/>
    <n v="42"/>
    <n v="1392.77"/>
    <n v="0"/>
    <s v="Delivery Truck"/>
    <n v="-1981.5510000000002"/>
    <n v="31.76"/>
    <n v="45.51"/>
    <x v="456"/>
    <x v="8"/>
    <x v="6"/>
    <x v="2"/>
    <x v="2"/>
    <x v="10"/>
    <x v="465"/>
    <s v="Jumbo Box"/>
    <n v="0.65"/>
    <d v="2012-07-20T00:00:00"/>
    <n v="0"/>
    <n v="0"/>
    <n v="1"/>
    <n v="1"/>
  </r>
  <r>
    <n v="6204"/>
    <n v="43940"/>
    <x v="153"/>
    <x v="6"/>
    <s v="Critical"/>
    <n v="12"/>
    <n v="1940.21"/>
    <n v="0.09"/>
    <s v="Regular Air"/>
    <n v="-215.33599999999998"/>
    <n v="200.99"/>
    <n v="4.2"/>
    <x v="456"/>
    <x v="8"/>
    <x v="6"/>
    <x v="1"/>
    <x v="1"/>
    <x v="3"/>
    <x v="332"/>
    <s v="Small Box"/>
    <n v="0.59"/>
    <d v="2010-02-22T00:00:00"/>
    <n v="0"/>
    <n v="0"/>
    <n v="0.5"/>
    <n v="0.5"/>
  </r>
  <r>
    <n v="6205"/>
    <n v="43940"/>
    <x v="153"/>
    <x v="6"/>
    <s v="Critical"/>
    <n v="44"/>
    <n v="1717.21"/>
    <n v="0.08"/>
    <s v="Regular Air"/>
    <n v="176.13"/>
    <n v="40.97"/>
    <n v="8.99"/>
    <x v="456"/>
    <x v="8"/>
    <x v="6"/>
    <x v="1"/>
    <x v="0"/>
    <x v="12"/>
    <x v="608"/>
    <s v="Small Pack"/>
    <n v="0.59"/>
    <d v="2010-02-22T00:00:00"/>
    <n v="0"/>
    <n v="0"/>
    <n v="0.5"/>
    <n v="0.5"/>
  </r>
  <r>
    <n v="6218"/>
    <n v="44036"/>
    <x v="268"/>
    <x v="23"/>
    <s v="High"/>
    <n v="40"/>
    <n v="250.13"/>
    <n v="0.01"/>
    <s v="Express Air"/>
    <n v="61.97"/>
    <n v="5.84"/>
    <n v="1.2"/>
    <x v="461"/>
    <x v="8"/>
    <x v="6"/>
    <x v="1"/>
    <x v="0"/>
    <x v="12"/>
    <x v="288"/>
    <s v="Wrap Bag"/>
    <n v="0.55000000000000004"/>
    <d v="2012-01-13T00:00:00"/>
    <n v="0"/>
    <n v="0"/>
    <n v="1"/>
    <n v="1"/>
  </r>
  <r>
    <n v="6241"/>
    <n v="44225"/>
    <x v="1179"/>
    <x v="46"/>
    <s v="High"/>
    <n v="29"/>
    <n v="1958.32"/>
    <n v="0"/>
    <s v="Regular Air"/>
    <n v="632.29"/>
    <n v="62.18"/>
    <n v="10.84"/>
    <x v="490"/>
    <x v="8"/>
    <x v="6"/>
    <x v="0"/>
    <x v="2"/>
    <x v="4"/>
    <x v="845"/>
    <s v="Medium Box"/>
    <n v="0.63"/>
    <d v="2009-04-05T00:00:00"/>
    <n v="0"/>
    <n v="0"/>
    <n v="1"/>
    <n v="1"/>
  </r>
  <r>
    <n v="6265"/>
    <n v="44352"/>
    <x v="375"/>
    <x v="35"/>
    <s v="Not Specified"/>
    <n v="25"/>
    <n v="81.760000000000005"/>
    <n v="0.06"/>
    <s v="Regular Air"/>
    <n v="8.5299999999999994"/>
    <n v="3.29"/>
    <n v="1.35"/>
    <x v="477"/>
    <x v="8"/>
    <x v="6"/>
    <x v="0"/>
    <x v="0"/>
    <x v="6"/>
    <x v="339"/>
    <s v="Wrap Bag"/>
    <n v="0.4"/>
    <d v="2009-09-17T00:00:00"/>
    <n v="0"/>
    <n v="0"/>
    <n v="1"/>
    <n v="1"/>
  </r>
  <r>
    <n v="6286"/>
    <n v="44487"/>
    <x v="82"/>
    <x v="35"/>
    <s v="Critical"/>
    <n v="4"/>
    <n v="28.15"/>
    <n v="0.09"/>
    <s v="Regular Air"/>
    <n v="-10.09"/>
    <n v="6.28"/>
    <n v="5.29"/>
    <x v="439"/>
    <x v="8"/>
    <x v="6"/>
    <x v="2"/>
    <x v="2"/>
    <x v="4"/>
    <x v="466"/>
    <s v="Small Box"/>
    <n v="0.43"/>
    <d v="2009-09-12T00:00:00"/>
    <n v="0"/>
    <n v="0"/>
    <n v="0.5"/>
    <n v="0.25"/>
  </r>
  <r>
    <n v="6287"/>
    <n v="44487"/>
    <x v="82"/>
    <x v="35"/>
    <s v="Critical"/>
    <n v="37"/>
    <n v="558.77"/>
    <n v="0.03"/>
    <s v="Regular Air"/>
    <n v="-92.87"/>
    <n v="15.14"/>
    <n v="4.53"/>
    <x v="439"/>
    <x v="8"/>
    <x v="6"/>
    <x v="2"/>
    <x v="0"/>
    <x v="0"/>
    <x v="560"/>
    <s v="Small Box"/>
    <n v="0.81"/>
    <d v="2009-09-13T00:00:00"/>
    <n v="0"/>
    <n v="0"/>
    <n v="0.5"/>
    <n v="0.25"/>
  </r>
  <r>
    <n v="6325"/>
    <n v="44775"/>
    <x v="860"/>
    <x v="35"/>
    <s v="Medium"/>
    <n v="29"/>
    <n v="209.3"/>
    <n v="7.0000000000000007E-2"/>
    <s v="Express Air"/>
    <n v="30.49"/>
    <n v="7.08"/>
    <n v="2.35"/>
    <x v="468"/>
    <x v="8"/>
    <x v="6"/>
    <x v="0"/>
    <x v="0"/>
    <x v="12"/>
    <x v="174"/>
    <s v="Wrap Bag"/>
    <n v="0.47"/>
    <d v="2009-09-30T00:00:00"/>
    <n v="0"/>
    <n v="0"/>
    <n v="1"/>
    <n v="1"/>
  </r>
  <r>
    <n v="6511"/>
    <n v="46337"/>
    <x v="196"/>
    <x v="13"/>
    <s v="Low"/>
    <n v="34"/>
    <n v="61.45"/>
    <n v="0.06"/>
    <s v="Regular Air"/>
    <n v="0.62"/>
    <n v="1.76"/>
    <n v="0.7"/>
    <x v="415"/>
    <x v="8"/>
    <x v="6"/>
    <x v="2"/>
    <x v="0"/>
    <x v="12"/>
    <x v="91"/>
    <s v="Wrap Bag"/>
    <n v="0.56000000000000005"/>
    <d v="2012-05-02T00:00:00"/>
    <n v="0"/>
    <n v="0"/>
    <n v="1"/>
    <n v="1"/>
  </r>
  <r>
    <n v="6547"/>
    <n v="46562"/>
    <x v="1180"/>
    <x v="44"/>
    <s v="Not Specified"/>
    <n v="35"/>
    <n v="5407.9"/>
    <n v="0.01"/>
    <s v="Delivery Truck"/>
    <n v="-352.78986600000002"/>
    <n v="145.97999999999999"/>
    <n v="46.2"/>
    <x v="456"/>
    <x v="8"/>
    <x v="6"/>
    <x v="3"/>
    <x v="2"/>
    <x v="10"/>
    <x v="726"/>
    <s v="Jumbo Box"/>
    <n v="0.69"/>
    <d v="2011-02-14T00:00:00"/>
    <n v="0"/>
    <n v="0"/>
    <n v="1"/>
    <n v="1"/>
  </r>
  <r>
    <n v="6552"/>
    <n v="46597"/>
    <x v="1181"/>
    <x v="47"/>
    <s v="Not Specified"/>
    <n v="47"/>
    <n v="8216.5929999999989"/>
    <n v="0.01"/>
    <s v="Regular Air"/>
    <n v="2463.462"/>
    <n v="195.99"/>
    <n v="8.99"/>
    <x v="487"/>
    <x v="8"/>
    <x v="6"/>
    <x v="1"/>
    <x v="1"/>
    <x v="3"/>
    <x v="521"/>
    <s v="Small Box"/>
    <n v="0.6"/>
    <d v="2009-12-31T00:00:00"/>
    <n v="0"/>
    <n v="0"/>
    <n v="0.33333333333333331"/>
    <n v="0.33333333333333331"/>
  </r>
  <r>
    <n v="6553"/>
    <n v="46597"/>
    <x v="1181"/>
    <x v="47"/>
    <s v="Not Specified"/>
    <n v="10"/>
    <n v="130.36000000000001"/>
    <n v="0.06"/>
    <s v="Regular Air"/>
    <n v="2.431"/>
    <n v="12.95"/>
    <n v="4.9800000000000004"/>
    <x v="487"/>
    <x v="8"/>
    <x v="6"/>
    <x v="1"/>
    <x v="0"/>
    <x v="2"/>
    <x v="169"/>
    <s v="Small Box"/>
    <n v="0.4"/>
    <d v="2010-01-02T00:00:00"/>
    <n v="0"/>
    <n v="0"/>
    <n v="0.33333333333333331"/>
    <n v="0.33333333333333331"/>
  </r>
  <r>
    <n v="6554"/>
    <n v="46597"/>
    <x v="1181"/>
    <x v="47"/>
    <s v="Not Specified"/>
    <n v="1"/>
    <n v="200.57"/>
    <n v="0"/>
    <s v="Delivery Truck"/>
    <n v="-83.63"/>
    <n v="122.99"/>
    <n v="70.2"/>
    <x v="487"/>
    <x v="8"/>
    <x v="6"/>
    <x v="1"/>
    <x v="2"/>
    <x v="14"/>
    <x v="301"/>
    <s v="Jumbo Drum"/>
    <n v="0.74"/>
    <d v="2010-01-02T00:00:00"/>
    <n v="0"/>
    <n v="0"/>
    <n v="0.33333333333333331"/>
    <n v="0.33333333333333331"/>
  </r>
  <r>
    <n v="6570"/>
    <n v="46725"/>
    <x v="583"/>
    <x v="18"/>
    <s v="Not Specified"/>
    <n v="13"/>
    <n v="80"/>
    <n v="0.03"/>
    <s v="Regular Air"/>
    <n v="10.96"/>
    <n v="5.84"/>
    <n v="1.2"/>
    <x v="456"/>
    <x v="8"/>
    <x v="6"/>
    <x v="1"/>
    <x v="0"/>
    <x v="12"/>
    <x v="288"/>
    <s v="Wrap Bag"/>
    <n v="0.55000000000000004"/>
    <d v="2010-09-22T00:00:00"/>
    <n v="0"/>
    <n v="0"/>
    <n v="0.5"/>
    <n v="0.5"/>
  </r>
  <r>
    <n v="6571"/>
    <n v="46725"/>
    <x v="583"/>
    <x v="18"/>
    <s v="Not Specified"/>
    <n v="8"/>
    <n v="137.41999999999999"/>
    <n v="0.04"/>
    <s v="Regular Air"/>
    <n v="-24.86"/>
    <n v="16.91"/>
    <n v="6.25"/>
    <x v="456"/>
    <x v="8"/>
    <x v="6"/>
    <x v="1"/>
    <x v="0"/>
    <x v="0"/>
    <x v="624"/>
    <s v="Small Box"/>
    <n v="0.57999999999999996"/>
    <d v="2010-09-21T00:00:00"/>
    <n v="0"/>
    <n v="0"/>
    <n v="0.5"/>
    <n v="0.5"/>
  </r>
  <r>
    <n v="6575"/>
    <n v="46787"/>
    <x v="923"/>
    <x v="33"/>
    <s v="Medium"/>
    <n v="28"/>
    <n v="174.1"/>
    <n v="0.1"/>
    <s v="Regular Air"/>
    <n v="-162.75"/>
    <n v="6.48"/>
    <n v="9.17"/>
    <x v="458"/>
    <x v="8"/>
    <x v="6"/>
    <x v="2"/>
    <x v="0"/>
    <x v="5"/>
    <x v="1100"/>
    <s v="Small Box"/>
    <n v="0.37"/>
    <d v="2012-03-31T00:00:00"/>
    <n v="0"/>
    <n v="0"/>
    <n v="0.5"/>
    <n v="0.5"/>
  </r>
  <r>
    <n v="6576"/>
    <n v="46787"/>
    <x v="923"/>
    <x v="33"/>
    <s v="Medium"/>
    <n v="32"/>
    <n v="693.17"/>
    <n v="7.0000000000000007E-2"/>
    <s v="Regular Air"/>
    <n v="-59.83"/>
    <n v="22.99"/>
    <n v="8.99"/>
    <x v="458"/>
    <x v="8"/>
    <x v="6"/>
    <x v="2"/>
    <x v="0"/>
    <x v="12"/>
    <x v="416"/>
    <s v="Small Pack"/>
    <n v="0.56999999999999995"/>
    <d v="2012-03-31T00:00:00"/>
    <n v="0"/>
    <n v="0"/>
    <n v="0.5"/>
    <n v="0.5"/>
  </r>
  <r>
    <n v="6592"/>
    <n v="46916"/>
    <x v="269"/>
    <x v="17"/>
    <s v="High"/>
    <n v="40"/>
    <n v="115.51"/>
    <n v="0"/>
    <s v="Regular Air"/>
    <n v="5.54"/>
    <n v="2.78"/>
    <n v="0.97"/>
    <x v="490"/>
    <x v="8"/>
    <x v="6"/>
    <x v="3"/>
    <x v="0"/>
    <x v="12"/>
    <x v="948"/>
    <s v="Wrap Bag"/>
    <n v="0.59"/>
    <d v="2011-10-05T00:00:00"/>
    <n v="0"/>
    <n v="0"/>
    <n v="0.33333333333333331"/>
    <n v="0.25"/>
  </r>
  <r>
    <n v="6643"/>
    <n v="47265"/>
    <x v="924"/>
    <x v="25"/>
    <s v="Critical"/>
    <n v="31"/>
    <n v="187.13"/>
    <n v="0.02"/>
    <s v="Regular Air"/>
    <n v="-60.83"/>
    <n v="5.98"/>
    <n v="5.46"/>
    <x v="465"/>
    <x v="8"/>
    <x v="6"/>
    <x v="3"/>
    <x v="0"/>
    <x v="5"/>
    <x v="584"/>
    <s v="Small Box"/>
    <n v="0.36"/>
    <d v="2011-12-11T00:00:00"/>
    <n v="0"/>
    <n v="0"/>
    <n v="1"/>
    <n v="1"/>
  </r>
  <r>
    <n v="6813"/>
    <n v="48487"/>
    <x v="1057"/>
    <x v="38"/>
    <s v="Low"/>
    <n v="27"/>
    <n v="360.7"/>
    <n v="0"/>
    <s v="Regular Air"/>
    <n v="146.166"/>
    <n v="12.97"/>
    <n v="1.49"/>
    <x v="481"/>
    <x v="8"/>
    <x v="6"/>
    <x v="3"/>
    <x v="0"/>
    <x v="2"/>
    <x v="941"/>
    <s v="Small Box"/>
    <n v="0.35"/>
    <d v="2010-01-13T00:00:00"/>
    <n v="1"/>
    <n v="0"/>
    <n v="1"/>
    <n v="1"/>
  </r>
  <r>
    <n v="6850"/>
    <n v="48774"/>
    <x v="248"/>
    <x v="9"/>
    <s v="High"/>
    <n v="31"/>
    <n v="7323.78"/>
    <n v="0.04"/>
    <s v="Delivery Truck"/>
    <n v="573.54999999999995"/>
    <n v="243.98"/>
    <n v="62.94"/>
    <x v="485"/>
    <x v="8"/>
    <x v="6"/>
    <x v="0"/>
    <x v="2"/>
    <x v="14"/>
    <x v="1152"/>
    <s v="Jumbo Drum"/>
    <n v="0.56999999999999995"/>
    <d v="2012-08-11T00:00:00"/>
    <n v="0"/>
    <n v="0"/>
    <n v="1"/>
    <n v="1"/>
  </r>
  <r>
    <n v="6924"/>
    <n v="49381"/>
    <x v="1182"/>
    <x v="45"/>
    <s v="Not Specified"/>
    <n v="21"/>
    <n v="1537.5"/>
    <n v="0.04"/>
    <s v="Regular Air"/>
    <n v="-531.91999999999996"/>
    <n v="70.98"/>
    <n v="35"/>
    <x v="471"/>
    <x v="8"/>
    <x v="6"/>
    <x v="1"/>
    <x v="0"/>
    <x v="0"/>
    <x v="1016"/>
    <s v="Large Box"/>
    <n v="0.8"/>
    <d v="2012-12-14T00:00:00"/>
    <n v="0"/>
    <n v="0"/>
    <n v="1"/>
    <n v="1"/>
  </r>
  <r>
    <n v="6951"/>
    <n v="49666"/>
    <x v="465"/>
    <x v="26"/>
    <s v="Low"/>
    <n v="46"/>
    <n v="259.25"/>
    <n v="0.1"/>
    <s v="Express Air"/>
    <n v="-64.03"/>
    <n v="5.68"/>
    <n v="3.6"/>
    <x v="460"/>
    <x v="8"/>
    <x v="6"/>
    <x v="3"/>
    <x v="0"/>
    <x v="15"/>
    <x v="1153"/>
    <s v="Small Pack"/>
    <n v="0.56000000000000005"/>
    <d v="2009-08-10T00:00:00"/>
    <n v="0"/>
    <n v="0"/>
    <n v="1"/>
    <n v="1"/>
  </r>
  <r>
    <n v="6959"/>
    <n v="49762"/>
    <x v="1183"/>
    <x v="4"/>
    <s v="High"/>
    <n v="35"/>
    <n v="99.13"/>
    <n v="0.09"/>
    <s v="Regular Air"/>
    <n v="23.74"/>
    <n v="2.94"/>
    <n v="0.81"/>
    <x v="467"/>
    <x v="8"/>
    <x v="6"/>
    <x v="2"/>
    <x v="0"/>
    <x v="12"/>
    <x v="857"/>
    <s v="Wrap Bag"/>
    <n v="0.4"/>
    <d v="2011-06-17T00:00:00"/>
    <n v="0"/>
    <n v="0"/>
    <n v="1"/>
    <n v="1"/>
  </r>
  <r>
    <n v="6976"/>
    <n v="49831"/>
    <x v="63"/>
    <x v="3"/>
    <s v="Critical"/>
    <n v="18"/>
    <n v="274.32"/>
    <n v="0.01"/>
    <s v="Regular Air"/>
    <n v="-58.24"/>
    <n v="15.14"/>
    <n v="4.53"/>
    <x v="472"/>
    <x v="8"/>
    <x v="6"/>
    <x v="0"/>
    <x v="0"/>
    <x v="0"/>
    <x v="560"/>
    <s v="Small Box"/>
    <n v="0.81"/>
    <d v="2010-08-25T00:00:00"/>
    <n v="0"/>
    <n v="0"/>
    <n v="1"/>
    <n v="1"/>
  </r>
  <r>
    <n v="6982"/>
    <n v="49892"/>
    <x v="405"/>
    <x v="44"/>
    <s v="Low"/>
    <n v="26"/>
    <n v="171.14"/>
    <n v="0.02"/>
    <s v="Regular Air"/>
    <n v="-1172.75"/>
    <n v="4.4800000000000004"/>
    <n v="49"/>
    <x v="149"/>
    <x v="8"/>
    <x v="6"/>
    <x v="2"/>
    <x v="0"/>
    <x v="1"/>
    <x v="43"/>
    <s v="Large Box"/>
    <n v="0.6"/>
    <d v="2011-02-10T00:00:00"/>
    <n v="0"/>
    <n v="0"/>
    <n v="1"/>
    <n v="1"/>
  </r>
  <r>
    <n v="7001"/>
    <n v="49988"/>
    <x v="1062"/>
    <x v="15"/>
    <s v="High"/>
    <n v="43"/>
    <n v="7731.09"/>
    <n v="0"/>
    <s v="Regular Air"/>
    <n v="-222.17"/>
    <n v="167.27"/>
    <n v="35"/>
    <x v="439"/>
    <x v="8"/>
    <x v="6"/>
    <x v="3"/>
    <x v="0"/>
    <x v="0"/>
    <x v="758"/>
    <s v="Large Box"/>
    <n v="0.85"/>
    <d v="2010-12-23T00:00:00"/>
    <n v="0"/>
    <n v="0"/>
    <n v="0.33333333333333331"/>
    <n v="0.16666666666666666"/>
  </r>
  <r>
    <n v="7002"/>
    <n v="49988"/>
    <x v="1062"/>
    <x v="15"/>
    <s v="High"/>
    <n v="33"/>
    <n v="10162.576000000001"/>
    <n v="0.08"/>
    <s v="Delivery Truck"/>
    <n v="-969.0483660000001"/>
    <n v="400.98"/>
    <n v="42.52"/>
    <x v="439"/>
    <x v="8"/>
    <x v="6"/>
    <x v="3"/>
    <x v="2"/>
    <x v="10"/>
    <x v="861"/>
    <s v="Jumbo Box"/>
    <n v="0.71"/>
    <d v="2010-12-22T00:00:00"/>
    <n v="0"/>
    <n v="0"/>
    <n v="0.33333333333333331"/>
    <n v="0.16666666666666666"/>
  </r>
  <r>
    <n v="7003"/>
    <n v="49988"/>
    <x v="1062"/>
    <x v="15"/>
    <s v="High"/>
    <n v="33"/>
    <n v="5834.6464999999998"/>
    <n v="0.01"/>
    <s v="Regular Air"/>
    <n v="1619.6579999999999"/>
    <n v="205.99"/>
    <n v="2.79"/>
    <x v="439"/>
    <x v="8"/>
    <x v="6"/>
    <x v="3"/>
    <x v="1"/>
    <x v="3"/>
    <x v="1128"/>
    <s v="Small Box"/>
    <n v="0.57999999999999996"/>
    <d v="2010-12-23T00:00:00"/>
    <n v="0"/>
    <n v="0"/>
    <n v="0.33333333333333331"/>
    <n v="0.16666666666666666"/>
  </r>
  <r>
    <n v="7049"/>
    <n v="50308"/>
    <x v="814"/>
    <x v="1"/>
    <s v="Low"/>
    <n v="19"/>
    <n v="86.48"/>
    <n v="0.1"/>
    <s v="Regular Air"/>
    <n v="33.58"/>
    <n v="4.91"/>
    <n v="0.5"/>
    <x v="415"/>
    <x v="8"/>
    <x v="6"/>
    <x v="3"/>
    <x v="0"/>
    <x v="11"/>
    <x v="999"/>
    <s v="Small Box"/>
    <n v="0.36"/>
    <d v="2012-10-25T00:00:00"/>
    <n v="0"/>
    <n v="0"/>
    <n v="1"/>
    <n v="0.5"/>
  </r>
  <r>
    <n v="7104"/>
    <n v="50692"/>
    <x v="638"/>
    <x v="18"/>
    <s v="High"/>
    <n v="28"/>
    <n v="327.95"/>
    <n v="0"/>
    <s v="Regular Air"/>
    <n v="43.6815"/>
    <n v="10.98"/>
    <n v="5.14"/>
    <x v="222"/>
    <x v="8"/>
    <x v="6"/>
    <x v="2"/>
    <x v="0"/>
    <x v="2"/>
    <x v="508"/>
    <s v="Small Box"/>
    <n v="0.36"/>
    <d v="2010-09-19T00:00:00"/>
    <n v="0"/>
    <n v="0"/>
    <n v="0.5"/>
    <n v="0.5"/>
  </r>
  <r>
    <n v="7105"/>
    <n v="50692"/>
    <x v="638"/>
    <x v="18"/>
    <s v="High"/>
    <n v="47"/>
    <n v="5606.91"/>
    <n v="0.06"/>
    <s v="Delivery Truck"/>
    <n v="-300.854983"/>
    <n v="124.49"/>
    <n v="51.94"/>
    <x v="222"/>
    <x v="8"/>
    <x v="6"/>
    <x v="2"/>
    <x v="2"/>
    <x v="10"/>
    <x v="307"/>
    <s v="Jumbo Box"/>
    <n v="0.63"/>
    <d v="2010-09-19T00:00:00"/>
    <n v="0"/>
    <n v="0"/>
    <n v="0.5"/>
    <n v="0.5"/>
  </r>
  <r>
    <n v="7107"/>
    <n v="50725"/>
    <x v="7"/>
    <x v="7"/>
    <s v="Medium"/>
    <n v="1"/>
    <n v="129.88"/>
    <n v="0.1"/>
    <s v="Delivery Truck"/>
    <n v="-89.9"/>
    <n v="110.98"/>
    <n v="30"/>
    <x v="369"/>
    <x v="8"/>
    <x v="6"/>
    <x v="1"/>
    <x v="2"/>
    <x v="14"/>
    <x v="503"/>
    <s v="Jumbo Drum"/>
    <n v="0.71"/>
    <d v="2010-11-24T00:00:00"/>
    <n v="0"/>
    <n v="0"/>
    <n v="0.5"/>
    <n v="0.5"/>
  </r>
  <r>
    <n v="7146"/>
    <n v="50982"/>
    <x v="1184"/>
    <x v="13"/>
    <s v="High"/>
    <n v="23"/>
    <n v="86.53"/>
    <n v="0.05"/>
    <s v="Regular Air"/>
    <n v="35.619999999999997"/>
    <n v="3.75"/>
    <n v="0.5"/>
    <x v="478"/>
    <x v="8"/>
    <x v="6"/>
    <x v="1"/>
    <x v="0"/>
    <x v="11"/>
    <x v="45"/>
    <s v="Small Box"/>
    <n v="0.37"/>
    <d v="2012-04-17T00:00:00"/>
    <n v="0"/>
    <n v="0"/>
    <n v="1"/>
    <n v="1"/>
  </r>
  <r>
    <n v="7149"/>
    <n v="51008"/>
    <x v="742"/>
    <x v="21"/>
    <s v="High"/>
    <n v="20"/>
    <n v="269.66000000000003"/>
    <n v="0.02"/>
    <s v="Regular Air"/>
    <n v="-59.13"/>
    <n v="12.88"/>
    <n v="4.59"/>
    <x v="487"/>
    <x v="8"/>
    <x v="6"/>
    <x v="1"/>
    <x v="0"/>
    <x v="15"/>
    <x v="418"/>
    <s v="Wrap Bag"/>
    <n v="0.82"/>
    <d v="2011-08-22T00:00:00"/>
    <n v="0"/>
    <n v="0"/>
    <n v="1"/>
    <n v="1"/>
  </r>
  <r>
    <n v="7211"/>
    <n v="51463"/>
    <x v="962"/>
    <x v="25"/>
    <s v="Low"/>
    <n v="4"/>
    <n v="28.34"/>
    <n v="0.01"/>
    <s v="Regular Air"/>
    <n v="-18.55"/>
    <n v="4.9800000000000004"/>
    <n v="7.44"/>
    <x v="415"/>
    <x v="8"/>
    <x v="6"/>
    <x v="2"/>
    <x v="0"/>
    <x v="5"/>
    <x v="877"/>
    <s v="Small Box"/>
    <n v="0.36"/>
    <d v="2011-12-26T00:00:00"/>
    <n v="0"/>
    <n v="0"/>
    <n v="0.5"/>
    <n v="0.25"/>
  </r>
  <r>
    <n v="7212"/>
    <n v="51463"/>
    <x v="962"/>
    <x v="25"/>
    <s v="Low"/>
    <n v="7"/>
    <n v="405.33949999999999"/>
    <n v="0.01"/>
    <s v="Express Air"/>
    <n v="-147.88399999999999"/>
    <n v="65.989999999999995"/>
    <n v="3.9"/>
    <x v="415"/>
    <x v="8"/>
    <x v="6"/>
    <x v="2"/>
    <x v="1"/>
    <x v="3"/>
    <x v="247"/>
    <s v="Small Box"/>
    <n v="0.55000000000000004"/>
    <d v="2011-12-17T00:00:00"/>
    <n v="0"/>
    <n v="0"/>
    <n v="0.5"/>
    <n v="0.25"/>
  </r>
  <r>
    <n v="7279"/>
    <n v="51943"/>
    <x v="1185"/>
    <x v="46"/>
    <s v="High"/>
    <n v="11"/>
    <n v="113.19"/>
    <n v="0.04"/>
    <s v="Regular Air"/>
    <n v="-53.25"/>
    <n v="9.06"/>
    <n v="9.86"/>
    <x v="457"/>
    <x v="8"/>
    <x v="6"/>
    <x v="3"/>
    <x v="0"/>
    <x v="5"/>
    <x v="718"/>
    <s v="Small Box"/>
    <n v="0.4"/>
    <d v="2009-04-25T00:00:00"/>
    <n v="0"/>
    <n v="0"/>
    <n v="0.33333333333333331"/>
    <n v="0.33333333333333331"/>
  </r>
  <r>
    <n v="7280"/>
    <n v="51943"/>
    <x v="1185"/>
    <x v="46"/>
    <s v="High"/>
    <n v="13"/>
    <n v="196.04"/>
    <n v="0.04"/>
    <s v="Regular Air"/>
    <n v="2.125"/>
    <n v="14.27"/>
    <n v="7.27"/>
    <x v="457"/>
    <x v="8"/>
    <x v="6"/>
    <x v="3"/>
    <x v="0"/>
    <x v="2"/>
    <x v="509"/>
    <s v="Small Box"/>
    <n v="0.38"/>
    <d v="2009-04-25T00:00:00"/>
    <n v="0"/>
    <n v="0"/>
    <n v="0.33333333333333331"/>
    <n v="0.33333333333333331"/>
  </r>
  <r>
    <n v="7281"/>
    <n v="51943"/>
    <x v="1185"/>
    <x v="46"/>
    <s v="High"/>
    <n v="28"/>
    <n v="140.02000000000001"/>
    <n v="0.03"/>
    <s v="Regular Air"/>
    <n v="66.709999999999994"/>
    <n v="4.91"/>
    <n v="0.5"/>
    <x v="457"/>
    <x v="8"/>
    <x v="6"/>
    <x v="3"/>
    <x v="0"/>
    <x v="11"/>
    <x v="999"/>
    <s v="Small Box"/>
    <n v="0.36"/>
    <d v="2009-04-27T00:00:00"/>
    <n v="0"/>
    <n v="0"/>
    <n v="0.33333333333333331"/>
    <n v="0.33333333333333331"/>
  </r>
  <r>
    <n v="7299"/>
    <n v="52039"/>
    <x v="1186"/>
    <x v="9"/>
    <s v="Critical"/>
    <n v="48"/>
    <n v="2006.38"/>
    <n v="0"/>
    <s v="Regular Air"/>
    <n v="840.46"/>
    <n v="40.98"/>
    <n v="1.99"/>
    <x v="482"/>
    <x v="8"/>
    <x v="6"/>
    <x v="2"/>
    <x v="1"/>
    <x v="7"/>
    <x v="559"/>
    <s v="Small Pack"/>
    <n v="0.44"/>
    <d v="2012-08-04T00:00:00"/>
    <n v="0"/>
    <n v="0"/>
    <n v="1"/>
    <n v="1"/>
  </r>
  <r>
    <n v="7336"/>
    <n v="52290"/>
    <x v="215"/>
    <x v="20"/>
    <s v="Low"/>
    <n v="7"/>
    <n v="1134.05"/>
    <n v="0.08"/>
    <s v="Regular Air"/>
    <n v="149.49799999999999"/>
    <n v="172.99"/>
    <n v="19.989999999999998"/>
    <x v="468"/>
    <x v="8"/>
    <x v="6"/>
    <x v="0"/>
    <x v="0"/>
    <x v="2"/>
    <x v="470"/>
    <s v="Small Box"/>
    <n v="0.39"/>
    <d v="2012-05-25T00:00:00"/>
    <n v="0"/>
    <n v="0"/>
    <n v="0.5"/>
    <n v="0.5"/>
  </r>
  <r>
    <n v="7337"/>
    <n v="52290"/>
    <x v="215"/>
    <x v="20"/>
    <s v="Low"/>
    <n v="28"/>
    <n v="1470.0495000000001"/>
    <n v="0.1"/>
    <s v="Regular Air"/>
    <n v="185.94"/>
    <n v="65.989999999999995"/>
    <n v="4.99"/>
    <x v="468"/>
    <x v="8"/>
    <x v="6"/>
    <x v="0"/>
    <x v="1"/>
    <x v="3"/>
    <x v="539"/>
    <s v="Small Box"/>
    <n v="0.56999999999999995"/>
    <d v="2012-05-30T00:00:00"/>
    <n v="0"/>
    <n v="0"/>
    <n v="0.5"/>
    <n v="0.5"/>
  </r>
  <r>
    <n v="7362"/>
    <n v="52480"/>
    <x v="1154"/>
    <x v="42"/>
    <s v="Not Specified"/>
    <n v="47"/>
    <n v="1020.88"/>
    <n v="0.08"/>
    <s v="Regular Air"/>
    <n v="173.94"/>
    <n v="22.72"/>
    <n v="8.99"/>
    <x v="456"/>
    <x v="8"/>
    <x v="6"/>
    <x v="3"/>
    <x v="2"/>
    <x v="4"/>
    <x v="199"/>
    <s v="Small Pack"/>
    <n v="0.44"/>
    <d v="2010-07-29T00:00:00"/>
    <n v="0"/>
    <n v="0"/>
    <n v="1"/>
    <n v="0.5"/>
  </r>
  <r>
    <n v="7365"/>
    <n v="52486"/>
    <x v="280"/>
    <x v="16"/>
    <s v="Not Specified"/>
    <n v="41"/>
    <n v="11883.2"/>
    <n v="0.1"/>
    <s v="Regular Air"/>
    <n v="4160.88"/>
    <n v="300.97000000000003"/>
    <n v="7.18"/>
    <x v="457"/>
    <x v="8"/>
    <x v="6"/>
    <x v="3"/>
    <x v="1"/>
    <x v="7"/>
    <x v="1130"/>
    <s v="Small Box"/>
    <n v="0.48"/>
    <d v="2011-01-05T00:00:00"/>
    <n v="0"/>
    <n v="0"/>
    <n v="1"/>
    <n v="0.5"/>
  </r>
  <r>
    <n v="7372"/>
    <n v="52519"/>
    <x v="829"/>
    <x v="13"/>
    <s v="High"/>
    <n v="6"/>
    <n v="120.38"/>
    <n v="0.09"/>
    <s v="Regular Air"/>
    <n v="-29.77"/>
    <n v="20.48"/>
    <n v="6.32"/>
    <x v="149"/>
    <x v="8"/>
    <x v="6"/>
    <x v="2"/>
    <x v="0"/>
    <x v="1"/>
    <x v="691"/>
    <s v="Small Box"/>
    <n v="0.57999999999999996"/>
    <d v="2012-05-01T00:00:00"/>
    <n v="0"/>
    <n v="0"/>
    <n v="1"/>
    <n v="0.5"/>
  </r>
  <r>
    <n v="7448"/>
    <n v="53152"/>
    <x v="326"/>
    <x v="28"/>
    <s v="Medium"/>
    <n v="36"/>
    <n v="2051.8235"/>
    <n v="0.01"/>
    <s v="Express Air"/>
    <n v="350.36099999999999"/>
    <n v="65.989999999999995"/>
    <n v="8.8000000000000007"/>
    <x v="149"/>
    <x v="8"/>
    <x v="6"/>
    <x v="2"/>
    <x v="1"/>
    <x v="3"/>
    <x v="858"/>
    <s v="Small Box"/>
    <n v="0.57999999999999996"/>
    <d v="2009-03-05T00:00:00"/>
    <n v="0"/>
    <n v="0"/>
    <n v="0.25"/>
    <n v="0.25"/>
  </r>
  <r>
    <n v="7454"/>
    <n v="53188"/>
    <x v="748"/>
    <x v="32"/>
    <s v="High"/>
    <n v="22"/>
    <n v="621.21"/>
    <n v="7.0000000000000007E-2"/>
    <s v="Regular Air"/>
    <n v="-42.35"/>
    <n v="29.74"/>
    <n v="6.64"/>
    <x v="457"/>
    <x v="8"/>
    <x v="6"/>
    <x v="3"/>
    <x v="0"/>
    <x v="0"/>
    <x v="253"/>
    <s v="Small Box"/>
    <n v="0.7"/>
    <d v="2012-11-06T00:00:00"/>
    <n v="0"/>
    <n v="0"/>
    <n v="1"/>
    <n v="1"/>
  </r>
  <r>
    <n v="7461"/>
    <n v="53223"/>
    <x v="846"/>
    <x v="29"/>
    <s v="Low"/>
    <n v="2"/>
    <n v="13.29"/>
    <n v="0.08"/>
    <s v="Regular Air"/>
    <n v="-10.327"/>
    <n v="4.24"/>
    <n v="5.41"/>
    <x v="476"/>
    <x v="8"/>
    <x v="6"/>
    <x v="2"/>
    <x v="0"/>
    <x v="2"/>
    <x v="683"/>
    <s v="Small Box"/>
    <n v="0.35"/>
    <d v="2012-07-21T00:00:00"/>
    <n v="0"/>
    <n v="0"/>
    <n v="1"/>
    <n v="1"/>
  </r>
  <r>
    <n v="7462"/>
    <n v="53248"/>
    <x v="576"/>
    <x v="0"/>
    <s v="Critical"/>
    <n v="7"/>
    <n v="2423.06"/>
    <n v="0.06"/>
    <s v="Delivery Truck"/>
    <n v="-94.26560000000002"/>
    <n v="348.21"/>
    <n v="40.19"/>
    <x v="472"/>
    <x v="8"/>
    <x v="6"/>
    <x v="3"/>
    <x v="2"/>
    <x v="10"/>
    <x v="453"/>
    <s v="Jumbo Box"/>
    <n v="0.62"/>
    <d v="2010-10-30T00:00:00"/>
    <n v="0"/>
    <n v="0"/>
    <n v="1"/>
    <n v="1"/>
  </r>
  <r>
    <n v="7481"/>
    <n v="53411"/>
    <x v="1187"/>
    <x v="27"/>
    <s v="Critical"/>
    <n v="25"/>
    <n v="667.64"/>
    <n v="0.08"/>
    <s v="Regular Air"/>
    <n v="-57.53"/>
    <n v="27.48"/>
    <n v="4"/>
    <x v="472"/>
    <x v="8"/>
    <x v="6"/>
    <x v="0"/>
    <x v="1"/>
    <x v="7"/>
    <x v="593"/>
    <s v="Small Box"/>
    <n v="0.75"/>
    <d v="2011-11-30T00:00:00"/>
    <n v="0"/>
    <n v="0"/>
    <n v="1"/>
    <n v="1"/>
  </r>
  <r>
    <n v="7517"/>
    <n v="53668"/>
    <x v="275"/>
    <x v="14"/>
    <s v="Not Specified"/>
    <n v="9"/>
    <n v="98.24"/>
    <n v="0.04"/>
    <s v="Regular Air"/>
    <n v="-10.38"/>
    <n v="10.98"/>
    <n v="3.37"/>
    <x v="457"/>
    <x v="8"/>
    <x v="6"/>
    <x v="2"/>
    <x v="0"/>
    <x v="15"/>
    <x v="340"/>
    <s v="Small Pack"/>
    <n v="0.56999999999999995"/>
    <d v="2010-04-01T00:00:00"/>
    <n v="0"/>
    <n v="0"/>
    <n v="1"/>
    <n v="0.5"/>
  </r>
  <r>
    <n v="7524"/>
    <n v="53730"/>
    <x v="508"/>
    <x v="45"/>
    <s v="High"/>
    <n v="40"/>
    <n v="181.8"/>
    <n v="0.05"/>
    <s v="Regular Air"/>
    <n v="-144.739"/>
    <n v="4.54"/>
    <n v="5.83"/>
    <x v="222"/>
    <x v="8"/>
    <x v="6"/>
    <x v="2"/>
    <x v="0"/>
    <x v="2"/>
    <x v="971"/>
    <s v="Small Box"/>
    <n v="0.36"/>
    <d v="2012-12-30T00:00:00"/>
    <n v="0"/>
    <n v="0"/>
    <n v="1"/>
    <n v="1"/>
  </r>
  <r>
    <n v="7550"/>
    <n v="54020"/>
    <x v="679"/>
    <x v="23"/>
    <s v="Low"/>
    <n v="35"/>
    <n v="648.58000000000004"/>
    <n v="0.05"/>
    <s v="Regular Air"/>
    <n v="182.63"/>
    <n v="18.97"/>
    <n v="5.21"/>
    <x v="473"/>
    <x v="8"/>
    <x v="6"/>
    <x v="2"/>
    <x v="0"/>
    <x v="5"/>
    <x v="82"/>
    <s v="Small Box"/>
    <n v="0.37"/>
    <d v="2012-02-04T00:00:00"/>
    <n v="0"/>
    <n v="0"/>
    <n v="0.5"/>
    <n v="0.5"/>
  </r>
  <r>
    <n v="7551"/>
    <n v="54020"/>
    <x v="679"/>
    <x v="23"/>
    <s v="Low"/>
    <n v="43"/>
    <n v="270.56"/>
    <n v="0.09"/>
    <s v="Regular Air"/>
    <n v="-140.47999999999999"/>
    <n v="6.48"/>
    <n v="6.86"/>
    <x v="473"/>
    <x v="8"/>
    <x v="6"/>
    <x v="2"/>
    <x v="0"/>
    <x v="5"/>
    <x v="684"/>
    <s v="Small Box"/>
    <n v="0.37"/>
    <d v="2012-02-05T00:00:00"/>
    <n v="0"/>
    <n v="0"/>
    <n v="0.5"/>
    <n v="0.5"/>
  </r>
  <r>
    <n v="7596"/>
    <n v="54368"/>
    <x v="966"/>
    <x v="27"/>
    <s v="Not Specified"/>
    <n v="31"/>
    <n v="233.2"/>
    <n v="0.04"/>
    <s v="Regular Air"/>
    <n v="-48.07"/>
    <n v="7.64"/>
    <n v="5.83"/>
    <x v="94"/>
    <x v="8"/>
    <x v="6"/>
    <x v="0"/>
    <x v="0"/>
    <x v="5"/>
    <x v="248"/>
    <s v="Wrap Bag"/>
    <n v="0.36"/>
    <d v="2011-11-03T00:00:00"/>
    <n v="0"/>
    <n v="0"/>
    <n v="0.33333333333333331"/>
    <n v="0.16666666666666666"/>
  </r>
  <r>
    <n v="7597"/>
    <n v="54368"/>
    <x v="966"/>
    <x v="27"/>
    <s v="Not Specified"/>
    <n v="16"/>
    <n v="79.53"/>
    <n v="0.08"/>
    <s v="Regular Air"/>
    <n v="-48.55"/>
    <n v="4.9800000000000004"/>
    <n v="5.49"/>
    <x v="94"/>
    <x v="8"/>
    <x v="6"/>
    <x v="0"/>
    <x v="0"/>
    <x v="5"/>
    <x v="921"/>
    <s v="Small Box"/>
    <n v="0.38"/>
    <d v="2011-11-02T00:00:00"/>
    <n v="0"/>
    <n v="0"/>
    <n v="0.33333333333333331"/>
    <n v="0.16666666666666666"/>
  </r>
  <r>
    <n v="7598"/>
    <n v="54368"/>
    <x v="966"/>
    <x v="27"/>
    <s v="Not Specified"/>
    <n v="43"/>
    <n v="1680.9769999999999"/>
    <n v="0.05"/>
    <s v="Regular Air"/>
    <n v="383.09400000000005"/>
    <n v="45.99"/>
    <n v="4.99"/>
    <x v="94"/>
    <x v="8"/>
    <x v="6"/>
    <x v="0"/>
    <x v="1"/>
    <x v="3"/>
    <x v="482"/>
    <s v="Small Box"/>
    <n v="0.56000000000000005"/>
    <d v="2011-11-02T00:00:00"/>
    <n v="0"/>
    <n v="0"/>
    <n v="0.33333333333333331"/>
    <n v="0.16666666666666666"/>
  </r>
  <r>
    <n v="7640"/>
    <n v="54721"/>
    <x v="814"/>
    <x v="1"/>
    <s v="Not Specified"/>
    <n v="19"/>
    <n v="2002.4"/>
    <n v="0"/>
    <s v="Delivery Truck"/>
    <n v="151.09"/>
    <n v="100.98"/>
    <n v="26.22"/>
    <x v="415"/>
    <x v="8"/>
    <x v="6"/>
    <x v="2"/>
    <x v="2"/>
    <x v="9"/>
    <x v="16"/>
    <s v="Jumbo Box"/>
    <n v="0.6"/>
    <d v="2012-10-19T00:00:00"/>
    <n v="0"/>
    <n v="0"/>
    <n v="1"/>
    <n v="0.5"/>
  </r>
  <r>
    <n v="7673"/>
    <n v="55013"/>
    <x v="997"/>
    <x v="2"/>
    <s v="Low"/>
    <n v="5"/>
    <n v="24.3"/>
    <n v="0.02"/>
    <s v="Regular Air"/>
    <n v="3.14"/>
    <n v="4.91"/>
    <n v="0.5"/>
    <x v="198"/>
    <x v="8"/>
    <x v="6"/>
    <x v="3"/>
    <x v="0"/>
    <x v="11"/>
    <x v="999"/>
    <s v="Small Box"/>
    <n v="0.36"/>
    <d v="2011-07-19T00:00:00"/>
    <n v="0"/>
    <n v="0"/>
    <n v="0.5"/>
    <n v="0.5"/>
  </r>
  <r>
    <n v="7674"/>
    <n v="55013"/>
    <x v="997"/>
    <x v="2"/>
    <s v="Low"/>
    <n v="14"/>
    <n v="322.61"/>
    <n v="0.02"/>
    <s v="Regular Air"/>
    <n v="19.37"/>
    <n v="22.01"/>
    <n v="5.53"/>
    <x v="198"/>
    <x v="8"/>
    <x v="6"/>
    <x v="3"/>
    <x v="0"/>
    <x v="12"/>
    <x v="869"/>
    <s v="Small Pack"/>
    <n v="0.59"/>
    <d v="2011-07-17T00:00:00"/>
    <n v="0"/>
    <n v="0"/>
    <n v="0.5"/>
    <n v="0.5"/>
  </r>
  <r>
    <n v="7686"/>
    <n v="55077"/>
    <x v="1188"/>
    <x v="17"/>
    <s v="Critical"/>
    <n v="2"/>
    <n v="31.7"/>
    <n v="0.05"/>
    <s v="Regular Air"/>
    <n v="-44.39"/>
    <n v="14.48"/>
    <n v="1.99"/>
    <x v="476"/>
    <x v="8"/>
    <x v="6"/>
    <x v="2"/>
    <x v="1"/>
    <x v="7"/>
    <x v="189"/>
    <s v="Small Pack"/>
    <n v="0.49"/>
    <d v="2011-10-06T00:00:00"/>
    <n v="0"/>
    <n v="0"/>
    <n v="0.5"/>
    <n v="0.5"/>
  </r>
  <r>
    <n v="7687"/>
    <n v="55077"/>
    <x v="1188"/>
    <x v="17"/>
    <s v="Critical"/>
    <n v="3"/>
    <n v="143.98149999999998"/>
    <n v="0.08"/>
    <s v="Regular Air"/>
    <n v="-283.22800000000001"/>
    <n v="55.99"/>
    <n v="2.5"/>
    <x v="476"/>
    <x v="8"/>
    <x v="6"/>
    <x v="2"/>
    <x v="1"/>
    <x v="3"/>
    <x v="967"/>
    <s v="Small Pack"/>
    <n v="0.83"/>
    <d v="2011-10-06T00:00:00"/>
    <n v="0"/>
    <n v="0"/>
    <n v="0.5"/>
    <n v="0.5"/>
  </r>
  <r>
    <n v="7703"/>
    <n v="55206"/>
    <x v="1189"/>
    <x v="27"/>
    <s v="Medium"/>
    <n v="20"/>
    <n v="52.7"/>
    <n v="0.03"/>
    <s v="Express Air"/>
    <n v="-64.882999999999996"/>
    <n v="1.8"/>
    <n v="4.79"/>
    <x v="94"/>
    <x v="8"/>
    <x v="6"/>
    <x v="3"/>
    <x v="0"/>
    <x v="2"/>
    <x v="650"/>
    <s v="Small Box"/>
    <n v="0.37"/>
    <d v="2011-11-03T00:00:00"/>
    <n v="0"/>
    <n v="0"/>
    <n v="1"/>
    <n v="0.16666666666666666"/>
  </r>
  <r>
    <n v="7755"/>
    <n v="55492"/>
    <x v="1135"/>
    <x v="31"/>
    <s v="Critical"/>
    <n v="10"/>
    <n v="1124.2440000000001"/>
    <n v="0.03"/>
    <s v="Express Air"/>
    <n v="-126.44499999999999"/>
    <n v="125.99"/>
    <n v="7.69"/>
    <x v="476"/>
    <x v="8"/>
    <x v="6"/>
    <x v="2"/>
    <x v="1"/>
    <x v="3"/>
    <x v="44"/>
    <s v="Small Box"/>
    <n v="0.57999999999999996"/>
    <d v="2011-09-21T00:00:00"/>
    <n v="0"/>
    <n v="0"/>
    <n v="1"/>
    <n v="1"/>
  </r>
  <r>
    <n v="7789"/>
    <n v="55744"/>
    <x v="333"/>
    <x v="17"/>
    <s v="Critical"/>
    <n v="23"/>
    <n v="415.05500000000001"/>
    <n v="0.02"/>
    <s v="Regular Air"/>
    <n v="-44.131999999999998"/>
    <n v="20.99"/>
    <n v="0.99"/>
    <x v="483"/>
    <x v="8"/>
    <x v="6"/>
    <x v="1"/>
    <x v="1"/>
    <x v="3"/>
    <x v="924"/>
    <s v="Small Pack"/>
    <n v="0.83"/>
    <d v="2011-10-21T00:00:00"/>
    <n v="0"/>
    <n v="0"/>
    <n v="1"/>
    <n v="1"/>
  </r>
  <r>
    <n v="7828"/>
    <n v="55968"/>
    <x v="1190"/>
    <x v="34"/>
    <s v="Low"/>
    <n v="40"/>
    <n v="73.62"/>
    <n v="0.05"/>
    <s v="Regular Air"/>
    <n v="0.86"/>
    <n v="1.82"/>
    <n v="1"/>
    <x v="481"/>
    <x v="8"/>
    <x v="6"/>
    <x v="3"/>
    <x v="0"/>
    <x v="12"/>
    <x v="1057"/>
    <s v="Wrap Bag"/>
    <n v="0.4"/>
    <d v="2012-10-02T00:00:00"/>
    <n v="0"/>
    <n v="0"/>
    <n v="1"/>
    <n v="1"/>
  </r>
  <r>
    <n v="7868"/>
    <n v="56288"/>
    <x v="1014"/>
    <x v="30"/>
    <s v="Not Specified"/>
    <n v="37"/>
    <n v="1287.94"/>
    <n v="0.06"/>
    <s v="Regular Air"/>
    <n v="140.35"/>
    <n v="35.89"/>
    <n v="14.72"/>
    <x v="470"/>
    <x v="8"/>
    <x v="6"/>
    <x v="0"/>
    <x v="0"/>
    <x v="8"/>
    <x v="635"/>
    <s v="Small Box"/>
    <n v="0.4"/>
    <d v="2010-06-30T00:00:00"/>
    <n v="0"/>
    <n v="0"/>
    <n v="0.5"/>
    <n v="0.5"/>
  </r>
  <r>
    <n v="7869"/>
    <n v="56288"/>
    <x v="1014"/>
    <x v="30"/>
    <s v="Not Specified"/>
    <n v="39"/>
    <n v="585.36"/>
    <n v="7.0000000000000007E-2"/>
    <s v="Express Air"/>
    <n v="269.26"/>
    <n v="15.57"/>
    <n v="1.39"/>
    <x v="470"/>
    <x v="8"/>
    <x v="6"/>
    <x v="0"/>
    <x v="0"/>
    <x v="8"/>
    <x v="889"/>
    <s v="Small Box"/>
    <n v="0.38"/>
    <d v="2010-07-02T00:00:00"/>
    <n v="0"/>
    <n v="0"/>
    <n v="0.5"/>
    <n v="0.5"/>
  </r>
  <r>
    <n v="7870"/>
    <n v="56291"/>
    <x v="1191"/>
    <x v="34"/>
    <s v="Not Specified"/>
    <n v="22"/>
    <n v="11022.53"/>
    <n v="0.06"/>
    <s v="Delivery Truck"/>
    <n v="1869.86"/>
    <n v="517.48"/>
    <n v="16.63"/>
    <x v="491"/>
    <x v="8"/>
    <x v="6"/>
    <x v="2"/>
    <x v="1"/>
    <x v="16"/>
    <x v="666"/>
    <s v="Jumbo Box"/>
    <n v="0.59"/>
    <d v="2012-09-19T00:00:00"/>
    <n v="0"/>
    <n v="0"/>
    <n v="0.33333333333333331"/>
    <n v="0.33333333333333331"/>
  </r>
  <r>
    <n v="7871"/>
    <n v="56291"/>
    <x v="1191"/>
    <x v="34"/>
    <s v="Not Specified"/>
    <n v="25"/>
    <n v="377.37"/>
    <n v="0.04"/>
    <s v="Regular Air"/>
    <n v="151.4"/>
    <n v="15.04"/>
    <n v="1.97"/>
    <x v="491"/>
    <x v="8"/>
    <x v="6"/>
    <x v="2"/>
    <x v="0"/>
    <x v="5"/>
    <x v="536"/>
    <s v="Wrap Bag"/>
    <n v="0.39"/>
    <d v="2012-09-17T00:00:00"/>
    <n v="0"/>
    <n v="0"/>
    <n v="0.33333333333333331"/>
    <n v="0.33333333333333331"/>
  </r>
  <r>
    <n v="7872"/>
    <n v="56291"/>
    <x v="1191"/>
    <x v="34"/>
    <s v="Not Specified"/>
    <n v="47"/>
    <n v="1200.7"/>
    <n v="0.06"/>
    <s v="Regular Air"/>
    <n v="-37.270000000000003"/>
    <n v="24.98"/>
    <n v="8.7899999999999991"/>
    <x v="491"/>
    <x v="8"/>
    <x v="6"/>
    <x v="2"/>
    <x v="0"/>
    <x v="0"/>
    <x v="1055"/>
    <s v="Small Box"/>
    <n v="0.66"/>
    <d v="2012-09-18T00:00:00"/>
    <n v="0"/>
    <n v="0"/>
    <n v="0.33333333333333331"/>
    <n v="0.33333333333333331"/>
  </r>
  <r>
    <n v="7898"/>
    <n v="56486"/>
    <x v="1084"/>
    <x v="43"/>
    <s v="Critical"/>
    <n v="11"/>
    <n v="73.62"/>
    <n v="0.03"/>
    <s v="Regular Air"/>
    <n v="-23.5"/>
    <n v="5.98"/>
    <n v="5.35"/>
    <x v="464"/>
    <x v="8"/>
    <x v="6"/>
    <x v="2"/>
    <x v="0"/>
    <x v="5"/>
    <x v="687"/>
    <s v="Small Box"/>
    <n v="0.4"/>
    <d v="2009-05-29T00:00:00"/>
    <n v="0"/>
    <n v="0"/>
    <n v="1"/>
    <n v="1"/>
  </r>
  <r>
    <n v="7899"/>
    <n v="56514"/>
    <x v="668"/>
    <x v="12"/>
    <s v="Low"/>
    <n v="3"/>
    <n v="110"/>
    <n v="0.02"/>
    <s v="Regular Air"/>
    <n v="-24.425999999999998"/>
    <n v="30.98"/>
    <n v="11.63"/>
    <x v="491"/>
    <x v="8"/>
    <x v="6"/>
    <x v="2"/>
    <x v="0"/>
    <x v="2"/>
    <x v="121"/>
    <s v="Small Box"/>
    <n v="0.37"/>
    <d v="2012-02-18T00:00:00"/>
    <n v="0"/>
    <n v="0"/>
    <n v="0.5"/>
    <n v="0.5"/>
  </r>
  <r>
    <n v="7900"/>
    <n v="56514"/>
    <x v="668"/>
    <x v="12"/>
    <s v="Low"/>
    <n v="35"/>
    <n v="186.89"/>
    <n v="0.02"/>
    <s v="Regular Air"/>
    <n v="-153.19999999999999"/>
    <n v="4.9800000000000004"/>
    <n v="7.54"/>
    <x v="491"/>
    <x v="8"/>
    <x v="6"/>
    <x v="2"/>
    <x v="0"/>
    <x v="5"/>
    <x v="1078"/>
    <s v="Small Box"/>
    <n v="0.38"/>
    <d v="2012-02-18T00:00:00"/>
    <n v="0"/>
    <n v="0"/>
    <n v="0.5"/>
    <n v="0.5"/>
  </r>
  <r>
    <n v="7928"/>
    <n v="56672"/>
    <x v="145"/>
    <x v="20"/>
    <s v="High"/>
    <n v="34"/>
    <n v="1132.32"/>
    <n v="0.1"/>
    <s v="Regular Air"/>
    <n v="77.45"/>
    <n v="36.549999999999997"/>
    <n v="13.89"/>
    <x v="478"/>
    <x v="8"/>
    <x v="6"/>
    <x v="1"/>
    <x v="0"/>
    <x v="12"/>
    <x v="176"/>
    <s v="Wrap Bag"/>
    <n v="0.41"/>
    <d v="2012-05-13T00:00:00"/>
    <n v="0"/>
    <n v="0"/>
    <n v="0.33333333333333331"/>
    <n v="0.33333333333333331"/>
  </r>
  <r>
    <n v="7929"/>
    <n v="56672"/>
    <x v="145"/>
    <x v="20"/>
    <s v="High"/>
    <n v="8"/>
    <n v="593.64"/>
    <n v="0.02"/>
    <s v="Delivery Truck"/>
    <n v="65.246849999999995"/>
    <n v="85.29"/>
    <n v="60"/>
    <x v="478"/>
    <x v="8"/>
    <x v="6"/>
    <x v="1"/>
    <x v="2"/>
    <x v="10"/>
    <x v="527"/>
    <s v="Jumbo Drum"/>
    <n v="0.56000000000000005"/>
    <d v="2012-05-14T00:00:00"/>
    <n v="0"/>
    <n v="0"/>
    <n v="0.33333333333333331"/>
    <n v="0.33333333333333331"/>
  </r>
  <r>
    <n v="7930"/>
    <n v="56672"/>
    <x v="145"/>
    <x v="20"/>
    <s v="High"/>
    <n v="45"/>
    <n v="2438.3694999999998"/>
    <n v="0.1"/>
    <s v="Regular Air"/>
    <n v="317.19600000000003"/>
    <n v="65.989999999999995"/>
    <n v="8.99"/>
    <x v="478"/>
    <x v="8"/>
    <x v="6"/>
    <x v="1"/>
    <x v="1"/>
    <x v="3"/>
    <x v="815"/>
    <s v="Small Box"/>
    <n v="0.6"/>
    <d v="2012-05-14T00:00:00"/>
    <n v="0"/>
    <n v="0"/>
    <n v="0.33333333333333331"/>
    <n v="0.33333333333333331"/>
  </r>
  <r>
    <n v="7966"/>
    <n v="56931"/>
    <x v="907"/>
    <x v="6"/>
    <s v="High"/>
    <n v="34"/>
    <n v="232.41550000000001"/>
    <n v="0.05"/>
    <s v="Regular Air"/>
    <n v="-110.59400000000001"/>
    <n v="7.99"/>
    <n v="5.03"/>
    <x v="485"/>
    <x v="8"/>
    <x v="6"/>
    <x v="0"/>
    <x v="1"/>
    <x v="3"/>
    <x v="51"/>
    <s v="Medium Box"/>
    <n v="0.6"/>
    <d v="2010-02-05T00:00:00"/>
    <n v="0"/>
    <n v="0"/>
    <n v="1"/>
    <n v="0.5"/>
  </r>
  <r>
    <n v="7971"/>
    <n v="57025"/>
    <x v="253"/>
    <x v="8"/>
    <s v="Medium"/>
    <n v="8"/>
    <n v="71.099999999999994"/>
    <n v="0.03"/>
    <s v="Regular Air"/>
    <n v="2.2865000000000002"/>
    <n v="8.69"/>
    <n v="2.99"/>
    <x v="467"/>
    <x v="8"/>
    <x v="6"/>
    <x v="2"/>
    <x v="0"/>
    <x v="2"/>
    <x v="2"/>
    <s v="Small Box"/>
    <n v="0.39"/>
    <d v="2012-06-28T00:00:00"/>
    <n v="0"/>
    <n v="0"/>
    <n v="1"/>
    <n v="1"/>
  </r>
  <r>
    <n v="7979"/>
    <n v="57061"/>
    <x v="877"/>
    <x v="11"/>
    <s v="Low"/>
    <n v="21"/>
    <n v="470.79"/>
    <n v="0.04"/>
    <s v="Regular Air"/>
    <n v="-80.108999999999995"/>
    <n v="22.38"/>
    <n v="15.1"/>
    <x v="485"/>
    <x v="8"/>
    <x v="6"/>
    <x v="0"/>
    <x v="0"/>
    <x v="2"/>
    <x v="290"/>
    <s v="Small Box"/>
    <n v="0.38"/>
    <d v="2009-12-07T00:00:00"/>
    <n v="0"/>
    <n v="0"/>
    <n v="0.33333333333333331"/>
    <n v="0.33333333333333331"/>
  </r>
  <r>
    <n v="7980"/>
    <n v="57061"/>
    <x v="877"/>
    <x v="11"/>
    <s v="Low"/>
    <n v="6"/>
    <n v="36.56"/>
    <n v="7.0000000000000007E-2"/>
    <s v="Regular Air"/>
    <n v="6.22"/>
    <n v="6.3"/>
    <n v="0.5"/>
    <x v="485"/>
    <x v="8"/>
    <x v="6"/>
    <x v="0"/>
    <x v="0"/>
    <x v="11"/>
    <x v="336"/>
    <s v="Small Box"/>
    <n v="0.39"/>
    <d v="2009-11-30T00:00:00"/>
    <n v="0"/>
    <n v="0"/>
    <n v="0.33333333333333331"/>
    <n v="0.33333333333333331"/>
  </r>
  <r>
    <n v="7981"/>
    <n v="57061"/>
    <x v="877"/>
    <x v="11"/>
    <s v="Low"/>
    <n v="3"/>
    <n v="55.17"/>
    <n v="0.06"/>
    <s v="Regular Air"/>
    <n v="46.84"/>
    <n v="17.78"/>
    <n v="5.03"/>
    <x v="485"/>
    <x v="8"/>
    <x v="6"/>
    <x v="0"/>
    <x v="2"/>
    <x v="4"/>
    <x v="562"/>
    <s v="Small Box"/>
    <n v="0.54"/>
    <d v="2009-12-02T00:00:00"/>
    <n v="0"/>
    <n v="0"/>
    <n v="0.33333333333333331"/>
    <n v="0.33333333333333331"/>
  </r>
  <r>
    <n v="8008"/>
    <n v="57217"/>
    <x v="1192"/>
    <x v="16"/>
    <s v="Medium"/>
    <n v="35"/>
    <n v="422.25"/>
    <n v="0.06"/>
    <s v="Regular Air"/>
    <n v="-116.02"/>
    <n v="11.66"/>
    <n v="7.95"/>
    <x v="461"/>
    <x v="8"/>
    <x v="6"/>
    <x v="1"/>
    <x v="0"/>
    <x v="12"/>
    <x v="417"/>
    <s v="Small Pack"/>
    <n v="0.57999999999999996"/>
    <d v="2011-01-23T00:00:00"/>
    <n v="0"/>
    <n v="0"/>
    <n v="1"/>
    <n v="1"/>
  </r>
  <r>
    <n v="8054"/>
    <n v="57504"/>
    <x v="334"/>
    <x v="26"/>
    <s v="Not Specified"/>
    <n v="44"/>
    <n v="357.48"/>
    <n v="0.01"/>
    <s v="Regular Air"/>
    <n v="160.02000000000001"/>
    <n v="7.64"/>
    <n v="1.39"/>
    <x v="483"/>
    <x v="8"/>
    <x v="6"/>
    <x v="1"/>
    <x v="0"/>
    <x v="8"/>
    <x v="872"/>
    <s v="Small Box"/>
    <n v="0.36"/>
    <d v="2009-08-07T00:00:00"/>
    <n v="0"/>
    <n v="0"/>
    <n v="1"/>
    <n v="1"/>
  </r>
  <r>
    <n v="8083"/>
    <n v="57666"/>
    <x v="957"/>
    <x v="43"/>
    <s v="Not Specified"/>
    <n v="45"/>
    <n v="1206.1500000000001"/>
    <n v="0.03"/>
    <s v="Regular Air"/>
    <n v="304.2"/>
    <n v="25.98"/>
    <n v="4.08"/>
    <x v="470"/>
    <x v="8"/>
    <x v="6"/>
    <x v="0"/>
    <x v="0"/>
    <x v="12"/>
    <x v="862"/>
    <s v="Small Pack"/>
    <n v="0.56999999999999995"/>
    <d v="2009-05-25T00:00:00"/>
    <n v="0"/>
    <n v="0"/>
    <n v="0.5"/>
    <n v="0.5"/>
  </r>
  <r>
    <n v="8084"/>
    <n v="57666"/>
    <x v="957"/>
    <x v="43"/>
    <s v="Not Specified"/>
    <n v="44"/>
    <n v="941.99"/>
    <n v="0.1"/>
    <s v="Delivery Truck"/>
    <n v="-2111.36"/>
    <n v="20.98"/>
    <n v="53.03"/>
    <x v="470"/>
    <x v="8"/>
    <x v="6"/>
    <x v="0"/>
    <x v="0"/>
    <x v="0"/>
    <x v="111"/>
    <s v="Jumbo Drum"/>
    <n v="0.78"/>
    <d v="2009-05-22T00:00:00"/>
    <n v="0"/>
    <n v="0"/>
    <n v="0.5"/>
    <n v="0.5"/>
  </r>
  <r>
    <n v="8183"/>
    <n v="58496"/>
    <x v="908"/>
    <x v="4"/>
    <s v="Not Specified"/>
    <n v="20"/>
    <n v="137.97"/>
    <n v="0.06"/>
    <s v="Regular Air"/>
    <n v="-123.94"/>
    <n v="6.48"/>
    <n v="10.050000000000001"/>
    <x v="485"/>
    <x v="8"/>
    <x v="6"/>
    <x v="0"/>
    <x v="0"/>
    <x v="5"/>
    <x v="680"/>
    <s v="Small Box"/>
    <n v="0.37"/>
    <d v="2011-06-13T00:00:00"/>
    <n v="0"/>
    <n v="0"/>
    <n v="1"/>
    <n v="1"/>
  </r>
  <r>
    <n v="8200"/>
    <n v="58628"/>
    <x v="922"/>
    <x v="28"/>
    <s v="Medium"/>
    <n v="23"/>
    <n v="2527.7919999999999"/>
    <n v="0.09"/>
    <s v="Delivery Truck"/>
    <n v="-335.31712500000003"/>
    <n v="138.75"/>
    <n v="52.42"/>
    <x v="485"/>
    <x v="8"/>
    <x v="6"/>
    <x v="0"/>
    <x v="2"/>
    <x v="10"/>
    <x v="1095"/>
    <s v="Jumbo Box"/>
    <n v="0.74"/>
    <d v="2009-03-25T00:00:00"/>
    <n v="0"/>
    <n v="0"/>
    <n v="1"/>
    <n v="1"/>
  </r>
  <r>
    <n v="8234"/>
    <n v="58854"/>
    <x v="1193"/>
    <x v="24"/>
    <s v="Critical"/>
    <n v="35"/>
    <n v="6130.9"/>
    <n v="0.03"/>
    <s v="Delivery Truck"/>
    <n v="583.15"/>
    <n v="170.98"/>
    <n v="35.89"/>
    <x v="492"/>
    <x v="8"/>
    <x v="6"/>
    <x v="2"/>
    <x v="2"/>
    <x v="9"/>
    <x v="748"/>
    <s v="Jumbo Box"/>
    <n v="0.66"/>
    <d v="2010-04-25T00:00:00"/>
    <n v="0"/>
    <n v="0"/>
    <n v="0.5"/>
    <n v="0.5"/>
  </r>
  <r>
    <n v="8235"/>
    <n v="58854"/>
    <x v="1193"/>
    <x v="24"/>
    <s v="Critical"/>
    <n v="10"/>
    <n v="193.20500000000001"/>
    <n v="0"/>
    <s v="Regular Air"/>
    <n v="-52.239000000000004"/>
    <n v="20.99"/>
    <n v="4.8099999999999996"/>
    <x v="492"/>
    <x v="8"/>
    <x v="6"/>
    <x v="2"/>
    <x v="1"/>
    <x v="3"/>
    <x v="591"/>
    <s v="Medium Box"/>
    <n v="0.57999999999999996"/>
    <d v="2010-04-26T00:00:00"/>
    <n v="0"/>
    <n v="0"/>
    <n v="0.5"/>
    <n v="0.5"/>
  </r>
  <r>
    <n v="8243"/>
    <n v="58917"/>
    <x v="159"/>
    <x v="33"/>
    <s v="High"/>
    <n v="27"/>
    <n v="14300.26"/>
    <n v="0.01"/>
    <s v="Regular Air"/>
    <n v="6279.18"/>
    <n v="499.99"/>
    <n v="24.49"/>
    <x v="463"/>
    <x v="8"/>
    <x v="6"/>
    <x v="0"/>
    <x v="1"/>
    <x v="13"/>
    <x v="110"/>
    <s v="Large Box"/>
    <n v="0.36"/>
    <d v="2012-03-03T00:00:00"/>
    <n v="0"/>
    <n v="0"/>
    <n v="0.5"/>
    <n v="0.5"/>
  </r>
  <r>
    <n v="8244"/>
    <n v="58917"/>
    <x v="159"/>
    <x v="33"/>
    <s v="High"/>
    <n v="3"/>
    <n v="62.88"/>
    <n v="0.09"/>
    <s v="Regular Air"/>
    <n v="-25.96"/>
    <n v="21.98"/>
    <n v="2.87"/>
    <x v="463"/>
    <x v="8"/>
    <x v="6"/>
    <x v="0"/>
    <x v="0"/>
    <x v="12"/>
    <x v="363"/>
    <s v="Small Pack"/>
    <n v="0.55000000000000004"/>
    <d v="2012-03-02T00:00:00"/>
    <n v="0"/>
    <n v="0"/>
    <n v="0.5"/>
    <n v="0.5"/>
  </r>
  <r>
    <n v="8266"/>
    <n v="59104"/>
    <x v="630"/>
    <x v="40"/>
    <s v="High"/>
    <n v="13"/>
    <n v="197.61"/>
    <n v="0.08"/>
    <s v="Express Air"/>
    <n v="3.4595000000000002"/>
    <n v="14.27"/>
    <n v="7.27"/>
    <x v="184"/>
    <x v="8"/>
    <x v="6"/>
    <x v="0"/>
    <x v="0"/>
    <x v="2"/>
    <x v="509"/>
    <s v="Small Box"/>
    <n v="0.38"/>
    <d v="2009-02-15T00:00:00"/>
    <n v="0"/>
    <n v="0"/>
    <n v="0.33333333333333331"/>
    <n v="0.33333333333333331"/>
  </r>
  <r>
    <n v="8267"/>
    <n v="59104"/>
    <x v="630"/>
    <x v="40"/>
    <s v="High"/>
    <n v="22"/>
    <n v="68.92"/>
    <n v="0.04"/>
    <s v="Regular Air"/>
    <n v="2.63"/>
    <n v="2.98"/>
    <n v="1.58"/>
    <x v="184"/>
    <x v="8"/>
    <x v="6"/>
    <x v="0"/>
    <x v="0"/>
    <x v="6"/>
    <x v="958"/>
    <s v="Wrap Bag"/>
    <n v="0.39"/>
    <d v="2009-02-15T00:00:00"/>
    <n v="0"/>
    <n v="0"/>
    <n v="0.33333333333333331"/>
    <n v="0.33333333333333331"/>
  </r>
  <r>
    <n v="8268"/>
    <n v="59104"/>
    <x v="630"/>
    <x v="40"/>
    <s v="High"/>
    <n v="38"/>
    <n v="3594.7434999999996"/>
    <n v="0.05"/>
    <s v="Regular Air"/>
    <n v="1016.973"/>
    <n v="115.99"/>
    <n v="2.5"/>
    <x v="184"/>
    <x v="8"/>
    <x v="6"/>
    <x v="0"/>
    <x v="1"/>
    <x v="3"/>
    <x v="1154"/>
    <s v="Small Box"/>
    <n v="0.55000000000000004"/>
    <d v="2009-02-14T00:00:00"/>
    <n v="0"/>
    <n v="0"/>
    <n v="0.33333333333333331"/>
    <n v="0.33333333333333331"/>
  </r>
  <r>
    <n v="8389"/>
    <n v="59937"/>
    <x v="861"/>
    <x v="47"/>
    <s v="High"/>
    <n v="7"/>
    <n v="235.98"/>
    <n v="0.02"/>
    <s v="Regular Air"/>
    <n v="-32.28"/>
    <n v="30.98"/>
    <n v="17.079999999999998"/>
    <x v="463"/>
    <x v="8"/>
    <x v="6"/>
    <x v="0"/>
    <x v="0"/>
    <x v="5"/>
    <x v="385"/>
    <s v="Small Box"/>
    <n v="0.4"/>
    <d v="2009-12-29T00:00:00"/>
    <n v="0"/>
    <n v="0"/>
    <n v="1"/>
    <n v="1"/>
  </r>
  <r>
    <n v="66"/>
    <n v="386"/>
    <x v="541"/>
    <x v="16"/>
    <s v="High"/>
    <n v="4"/>
    <n v="14.96"/>
    <n v="0.02"/>
    <s v="Regular Air"/>
    <n v="-3.0000000000000249E-2"/>
    <n v="3.69"/>
    <n v="0.5"/>
    <x v="365"/>
    <x v="6"/>
    <x v="5"/>
    <x v="2"/>
    <x v="0"/>
    <x v="11"/>
    <x v="1045"/>
    <s v="Small Box"/>
    <n v="0.38"/>
    <d v="2011-01-26T00:00:00"/>
    <n v="0"/>
    <n v="0"/>
    <n v="0.5"/>
    <n v="0.5"/>
  </r>
  <r>
    <n v="67"/>
    <n v="386"/>
    <x v="541"/>
    <x v="16"/>
    <s v="High"/>
    <n v="4"/>
    <n v="15.69"/>
    <n v="0.09"/>
    <s v="Regular Air"/>
    <n v="-1.59"/>
    <n v="3.85"/>
    <n v="0.7"/>
    <x v="365"/>
    <x v="6"/>
    <x v="5"/>
    <x v="2"/>
    <x v="0"/>
    <x v="12"/>
    <x v="901"/>
    <s v="Wrap Bag"/>
    <n v="0.44"/>
    <d v="2011-01-26T00:00:00"/>
    <n v="0"/>
    <n v="0"/>
    <n v="0.5"/>
    <n v="0.5"/>
  </r>
  <r>
    <n v="69"/>
    <n v="416"/>
    <x v="471"/>
    <x v="18"/>
    <s v="Low"/>
    <n v="20"/>
    <n v="1156.6714999999999"/>
    <n v="0.01"/>
    <s v="Express Air"/>
    <n v="88.524000000000001"/>
    <n v="65.989999999999995"/>
    <n v="7.69"/>
    <x v="493"/>
    <x v="6"/>
    <x v="5"/>
    <x v="1"/>
    <x v="1"/>
    <x v="3"/>
    <x v="712"/>
    <s v="Small Box"/>
    <n v="0.59"/>
    <d v="2010-10-01T00:00:00"/>
    <n v="0"/>
    <n v="0"/>
    <n v="1"/>
    <n v="1"/>
  </r>
  <r>
    <n v="84"/>
    <n v="513"/>
    <x v="663"/>
    <x v="37"/>
    <s v="High"/>
    <n v="33"/>
    <n v="5437.92"/>
    <n v="0"/>
    <s v="Delivery Truck"/>
    <n v="-684.57"/>
    <n v="150.88999999999999"/>
    <n v="60.2"/>
    <x v="494"/>
    <x v="6"/>
    <x v="5"/>
    <x v="3"/>
    <x v="2"/>
    <x v="14"/>
    <x v="721"/>
    <s v="Jumbo Drum"/>
    <n v="0.77"/>
    <d v="2011-04-30T00:00:00"/>
    <n v="0"/>
    <n v="0"/>
    <n v="1"/>
    <n v="1"/>
  </r>
  <r>
    <n v="94"/>
    <n v="611"/>
    <x v="162"/>
    <x v="38"/>
    <s v="Critical"/>
    <n v="47"/>
    <n v="840.04"/>
    <n v="0.04"/>
    <s v="Regular Air"/>
    <n v="-131.27000000000001"/>
    <n v="17.7"/>
    <n v="9.4700000000000006"/>
    <x v="494"/>
    <x v="6"/>
    <x v="5"/>
    <x v="3"/>
    <x v="0"/>
    <x v="0"/>
    <x v="1046"/>
    <s v="Small Box"/>
    <n v="0.59"/>
    <d v="2010-01-28T00:00:00"/>
    <n v="1"/>
    <n v="0"/>
    <n v="1"/>
    <n v="1"/>
  </r>
  <r>
    <n v="124"/>
    <n v="802"/>
    <x v="280"/>
    <x v="16"/>
    <s v="Critical"/>
    <n v="33"/>
    <n v="378.6"/>
    <n v="0.08"/>
    <s v="Regular Air"/>
    <n v="12.724500000000001"/>
    <n v="11.7"/>
    <n v="5.63"/>
    <x v="495"/>
    <x v="6"/>
    <x v="5"/>
    <x v="2"/>
    <x v="0"/>
    <x v="2"/>
    <x v="972"/>
    <s v="Small Box"/>
    <n v="0.4"/>
    <d v="2011-01-06T00:00:00"/>
    <n v="0"/>
    <n v="0"/>
    <n v="0.5"/>
    <n v="0.5"/>
  </r>
  <r>
    <n v="125"/>
    <n v="802"/>
    <x v="280"/>
    <x v="16"/>
    <s v="Critical"/>
    <n v="2"/>
    <n v="38.5"/>
    <n v="0.09"/>
    <s v="Regular Air"/>
    <n v="-52.139099999999999"/>
    <n v="15.99"/>
    <n v="9.4"/>
    <x v="495"/>
    <x v="6"/>
    <x v="5"/>
    <x v="2"/>
    <x v="1"/>
    <x v="16"/>
    <x v="364"/>
    <s v="Small Box"/>
    <n v="0.49"/>
    <d v="2011-01-04T00:00:00"/>
    <n v="0"/>
    <n v="0"/>
    <n v="0.5"/>
    <n v="0.5"/>
  </r>
  <r>
    <n v="150"/>
    <n v="960"/>
    <x v="483"/>
    <x v="35"/>
    <s v="Medium"/>
    <n v="46"/>
    <n v="605.97"/>
    <n v="7.0000000000000007E-2"/>
    <s v="Regular Air"/>
    <n v="-22.72"/>
    <n v="13.73"/>
    <n v="6.85"/>
    <x v="496"/>
    <x v="6"/>
    <x v="5"/>
    <x v="1"/>
    <x v="2"/>
    <x v="4"/>
    <x v="807"/>
    <s v="Wrap Bag"/>
    <n v="0.54"/>
    <d v="2009-09-21T00:00:00"/>
    <n v="0"/>
    <n v="0"/>
    <n v="1"/>
    <n v="1"/>
  </r>
  <r>
    <n v="155"/>
    <n v="965"/>
    <x v="205"/>
    <x v="10"/>
    <s v="Low"/>
    <n v="42"/>
    <n v="11230.25"/>
    <n v="7.0000000000000007E-2"/>
    <s v="Delivery Truck"/>
    <n v="-679.0443660000002"/>
    <n v="280.98"/>
    <n v="35.67"/>
    <x v="235"/>
    <x v="6"/>
    <x v="5"/>
    <x v="2"/>
    <x v="2"/>
    <x v="10"/>
    <x v="398"/>
    <s v="Jumbo Box"/>
    <n v="0.66"/>
    <d v="2011-05-21T00:00:00"/>
    <n v="0"/>
    <n v="0"/>
    <n v="1"/>
    <n v="1"/>
  </r>
  <r>
    <n v="174"/>
    <n v="1127"/>
    <x v="1194"/>
    <x v="31"/>
    <s v="Not Specified"/>
    <n v="48"/>
    <n v="5340.5"/>
    <n v="0.01"/>
    <s v="Regular Air"/>
    <n v="1215.28"/>
    <n v="110.98"/>
    <n v="13.99"/>
    <x v="493"/>
    <x v="6"/>
    <x v="5"/>
    <x v="1"/>
    <x v="2"/>
    <x v="4"/>
    <x v="423"/>
    <s v="Medium Box"/>
    <n v="0.69"/>
    <d v="2011-09-19T00:00:00"/>
    <n v="0"/>
    <n v="0"/>
    <n v="1"/>
    <n v="1"/>
  </r>
  <r>
    <n v="226"/>
    <n v="1507"/>
    <x v="0"/>
    <x v="0"/>
    <s v="Medium"/>
    <n v="29"/>
    <n v="4345.8599999999997"/>
    <n v="0.09"/>
    <s v="Regular Air"/>
    <n v="126.62"/>
    <n v="152.47999999999999"/>
    <n v="4"/>
    <x v="497"/>
    <x v="6"/>
    <x v="5"/>
    <x v="3"/>
    <x v="1"/>
    <x v="7"/>
    <x v="659"/>
    <s v="Small Box"/>
    <n v="0.79"/>
    <d v="2010-10-15T00:00:00"/>
    <n v="0"/>
    <n v="0"/>
    <n v="1"/>
    <n v="1"/>
  </r>
  <r>
    <n v="244"/>
    <n v="1665"/>
    <x v="1195"/>
    <x v="43"/>
    <s v="High"/>
    <n v="26"/>
    <n v="755.60749999999996"/>
    <n v="0.05"/>
    <s v="Regular Air"/>
    <n v="149.166"/>
    <n v="35.99"/>
    <n v="1.1000000000000001"/>
    <x v="498"/>
    <x v="6"/>
    <x v="5"/>
    <x v="2"/>
    <x v="1"/>
    <x v="3"/>
    <x v="828"/>
    <s v="Small Box"/>
    <n v="0.55000000000000004"/>
    <d v="2009-05-09T00:00:00"/>
    <n v="0"/>
    <n v="0"/>
    <n v="1"/>
    <n v="1"/>
  </r>
  <r>
    <n v="281"/>
    <n v="1952"/>
    <x v="689"/>
    <x v="28"/>
    <s v="High"/>
    <n v="24"/>
    <n v="7287.55"/>
    <n v="0.04"/>
    <s v="Delivery Truck"/>
    <n v="-715.7782060000003"/>
    <n v="296.18"/>
    <n v="54.12"/>
    <x v="499"/>
    <x v="6"/>
    <x v="5"/>
    <x v="2"/>
    <x v="2"/>
    <x v="10"/>
    <x v="300"/>
    <s v="Jumbo Box"/>
    <n v="0.76"/>
    <d v="2009-03-15T00:00:00"/>
    <n v="0"/>
    <n v="0"/>
    <n v="1"/>
    <n v="1"/>
  </r>
  <r>
    <n v="282"/>
    <n v="1953"/>
    <x v="1010"/>
    <x v="7"/>
    <s v="Medium"/>
    <n v="13"/>
    <n v="137.63999999999999"/>
    <n v="0.06"/>
    <s v="Regular Air"/>
    <n v="19.592500000000001"/>
    <n v="10.91"/>
    <n v="2.99"/>
    <x v="500"/>
    <x v="6"/>
    <x v="5"/>
    <x v="0"/>
    <x v="0"/>
    <x v="2"/>
    <x v="235"/>
    <s v="Small Box"/>
    <n v="0.38"/>
    <d v="2010-11-29T00:00:00"/>
    <n v="0"/>
    <n v="0"/>
    <n v="1"/>
    <n v="1"/>
  </r>
  <r>
    <n v="323"/>
    <n v="2213"/>
    <x v="169"/>
    <x v="38"/>
    <s v="Not Specified"/>
    <n v="6"/>
    <n v="40.31"/>
    <n v="0.08"/>
    <s v="Regular Air"/>
    <n v="-32.270000000000003"/>
    <n v="5.78"/>
    <n v="8.09"/>
    <x v="500"/>
    <x v="6"/>
    <x v="5"/>
    <x v="0"/>
    <x v="0"/>
    <x v="5"/>
    <x v="151"/>
    <s v="Small Box"/>
    <n v="0.36"/>
    <d v="2010-01-15T00:00:00"/>
    <n v="1"/>
    <n v="0"/>
    <n v="1"/>
    <n v="1"/>
  </r>
  <r>
    <n v="344"/>
    <n v="2368"/>
    <x v="1196"/>
    <x v="3"/>
    <s v="Critical"/>
    <n v="36"/>
    <n v="508.73"/>
    <n v="0.08"/>
    <s v="Regular Air"/>
    <n v="-229.67"/>
    <n v="14.81"/>
    <n v="13.32"/>
    <x v="501"/>
    <x v="6"/>
    <x v="5"/>
    <x v="1"/>
    <x v="0"/>
    <x v="1"/>
    <x v="531"/>
    <s v="Small Box"/>
    <n v="0.43"/>
    <d v="2010-08-21T00:00:00"/>
    <n v="0"/>
    <n v="0"/>
    <n v="1"/>
    <n v="1"/>
  </r>
  <r>
    <n v="365"/>
    <n v="2560"/>
    <x v="944"/>
    <x v="34"/>
    <s v="Critical"/>
    <n v="32"/>
    <n v="731.22"/>
    <n v="0"/>
    <s v="Regular Air"/>
    <n v="-84.07"/>
    <n v="20.97"/>
    <n v="6.5"/>
    <x v="497"/>
    <x v="6"/>
    <x v="5"/>
    <x v="3"/>
    <x v="1"/>
    <x v="7"/>
    <x v="154"/>
    <s v="Small Box"/>
    <n v="0.78"/>
    <d v="2012-09-05T00:00:00"/>
    <n v="0"/>
    <n v="0"/>
    <n v="0.5"/>
    <n v="0.5"/>
  </r>
  <r>
    <n v="366"/>
    <n v="2560"/>
    <x v="944"/>
    <x v="34"/>
    <s v="Critical"/>
    <n v="23"/>
    <n v="114.14"/>
    <n v="7.0000000000000007E-2"/>
    <s v="Regular Air"/>
    <n v="-65.62"/>
    <n v="4.9800000000000004"/>
    <n v="5.49"/>
    <x v="497"/>
    <x v="6"/>
    <x v="5"/>
    <x v="3"/>
    <x v="0"/>
    <x v="5"/>
    <x v="921"/>
    <s v="Small Box"/>
    <n v="0.38"/>
    <d v="2012-09-06T00:00:00"/>
    <n v="0"/>
    <n v="0"/>
    <n v="0.5"/>
    <n v="0.5"/>
  </r>
  <r>
    <n v="400"/>
    <n v="2754"/>
    <x v="969"/>
    <x v="46"/>
    <s v="High"/>
    <n v="16"/>
    <n v="1427.67"/>
    <n v="0.04"/>
    <s v="Regular Air"/>
    <n v="422.8"/>
    <n v="90.24"/>
    <n v="0.99"/>
    <x v="82"/>
    <x v="6"/>
    <x v="5"/>
    <x v="3"/>
    <x v="0"/>
    <x v="1"/>
    <x v="1155"/>
    <s v="Small Box"/>
    <n v="0.56000000000000005"/>
    <d v="2009-04-04T00:00:00"/>
    <n v="0"/>
    <n v="0"/>
    <n v="0.5"/>
    <n v="0.33333333333333331"/>
  </r>
  <r>
    <n v="401"/>
    <n v="2754"/>
    <x v="969"/>
    <x v="46"/>
    <s v="High"/>
    <n v="11"/>
    <n v="499.26"/>
    <n v="0.09"/>
    <s v="Express Air"/>
    <n v="144.05000000000001"/>
    <n v="47.9"/>
    <n v="5.86"/>
    <x v="82"/>
    <x v="6"/>
    <x v="5"/>
    <x v="3"/>
    <x v="0"/>
    <x v="5"/>
    <x v="656"/>
    <s v="Small Box"/>
    <n v="0.37"/>
    <d v="2009-04-04T00:00:00"/>
    <n v="0"/>
    <n v="0"/>
    <n v="0.5"/>
    <n v="0.33333333333333331"/>
  </r>
  <r>
    <n v="402"/>
    <n v="2755"/>
    <x v="659"/>
    <x v="12"/>
    <s v="Not Specified"/>
    <n v="30"/>
    <n v="736.3"/>
    <n v="0.03"/>
    <s v="Regular Air"/>
    <n v="259.07150000000001"/>
    <n v="24.95"/>
    <n v="2.99"/>
    <x v="502"/>
    <x v="6"/>
    <x v="5"/>
    <x v="2"/>
    <x v="0"/>
    <x v="2"/>
    <x v="1013"/>
    <s v="Small Box"/>
    <n v="0.39"/>
    <d v="2012-02-06T00:00:00"/>
    <n v="0"/>
    <n v="0"/>
    <n v="0.5"/>
    <n v="0.5"/>
  </r>
  <r>
    <n v="403"/>
    <n v="2755"/>
    <x v="659"/>
    <x v="12"/>
    <s v="Not Specified"/>
    <n v="50"/>
    <n v="346.06"/>
    <n v="0"/>
    <s v="Regular Air"/>
    <n v="-76.540000000000006"/>
    <n v="6.48"/>
    <n v="5.86"/>
    <x v="502"/>
    <x v="6"/>
    <x v="5"/>
    <x v="2"/>
    <x v="0"/>
    <x v="5"/>
    <x v="75"/>
    <s v="Small Box"/>
    <n v="0.36"/>
    <d v="2012-02-06T00:00:00"/>
    <n v="0"/>
    <n v="0"/>
    <n v="0.5"/>
    <n v="0.5"/>
  </r>
  <r>
    <n v="481"/>
    <n v="3333"/>
    <x v="613"/>
    <x v="34"/>
    <s v="Not Specified"/>
    <n v="42"/>
    <n v="927.97"/>
    <n v="0.08"/>
    <s v="Regular Air"/>
    <n v="162.16999999999999"/>
    <n v="22.98"/>
    <n v="4.5"/>
    <x v="503"/>
    <x v="6"/>
    <x v="5"/>
    <x v="3"/>
    <x v="0"/>
    <x v="1"/>
    <x v="863"/>
    <s v="Small Box"/>
    <n v="0.55000000000000004"/>
    <d v="2012-09-17T00:00:00"/>
    <n v="0"/>
    <n v="0"/>
    <n v="0.5"/>
    <n v="0.5"/>
  </r>
  <r>
    <n v="482"/>
    <n v="3333"/>
    <x v="613"/>
    <x v="34"/>
    <s v="Not Specified"/>
    <n v="9"/>
    <n v="59.05"/>
    <n v="0.08"/>
    <s v="Regular Air"/>
    <n v="-24.09"/>
    <n v="6.48"/>
    <n v="5.4"/>
    <x v="503"/>
    <x v="6"/>
    <x v="5"/>
    <x v="3"/>
    <x v="0"/>
    <x v="5"/>
    <x v="1156"/>
    <s v="Small Box"/>
    <n v="0.37"/>
    <d v="2012-09-15T00:00:00"/>
    <n v="0"/>
    <n v="0"/>
    <n v="0.5"/>
    <n v="0.5"/>
  </r>
  <r>
    <n v="500"/>
    <n v="3460"/>
    <x v="641"/>
    <x v="17"/>
    <s v="High"/>
    <n v="27"/>
    <n v="153.22999999999999"/>
    <n v="0.08"/>
    <s v="Regular Air"/>
    <n v="-95.15"/>
    <n v="5.98"/>
    <n v="4.6900000000000004"/>
    <x v="504"/>
    <x v="6"/>
    <x v="5"/>
    <x v="1"/>
    <x v="0"/>
    <x v="0"/>
    <x v="379"/>
    <s v="Small Box"/>
    <n v="0.68"/>
    <d v="2011-10-04T00:00:00"/>
    <n v="0"/>
    <n v="0"/>
    <n v="1"/>
    <n v="1"/>
  </r>
  <r>
    <n v="530"/>
    <n v="3591"/>
    <x v="131"/>
    <x v="15"/>
    <s v="Medium"/>
    <n v="3"/>
    <n v="321.57"/>
    <n v="0.01"/>
    <s v="Delivery Truck"/>
    <n v="-100.05"/>
    <n v="100.98"/>
    <n v="15.66"/>
    <x v="505"/>
    <x v="6"/>
    <x v="5"/>
    <x v="0"/>
    <x v="0"/>
    <x v="1"/>
    <x v="822"/>
    <s v="Jumbo Drum"/>
    <n v="0.56999999999999995"/>
    <d v="2010-12-09T00:00:00"/>
    <n v="0"/>
    <n v="0"/>
    <n v="0.5"/>
    <n v="0.5"/>
  </r>
  <r>
    <n v="531"/>
    <n v="3591"/>
    <x v="131"/>
    <x v="15"/>
    <s v="Medium"/>
    <n v="12"/>
    <n v="1085.1600000000001"/>
    <n v="0.08"/>
    <s v="Delivery Truck"/>
    <n v="-311.54000000000002"/>
    <n v="89.99"/>
    <n v="42"/>
    <x v="505"/>
    <x v="6"/>
    <x v="5"/>
    <x v="0"/>
    <x v="2"/>
    <x v="14"/>
    <x v="668"/>
    <s v="Jumbo Drum"/>
    <n v="0.66"/>
    <d v="2010-12-08T00:00:00"/>
    <n v="0"/>
    <n v="0"/>
    <n v="0.5"/>
    <n v="0.5"/>
  </r>
  <r>
    <n v="586"/>
    <n v="4006"/>
    <x v="1097"/>
    <x v="16"/>
    <s v="Medium"/>
    <n v="38"/>
    <n v="1441.61"/>
    <n v="0.06"/>
    <s v="Regular Air"/>
    <n v="624.84"/>
    <n v="37.94"/>
    <n v="5.08"/>
    <x v="235"/>
    <x v="6"/>
    <x v="5"/>
    <x v="2"/>
    <x v="0"/>
    <x v="5"/>
    <x v="532"/>
    <s v="Wrap Bag"/>
    <n v="0.38"/>
    <d v="2011-01-04T00:00:00"/>
    <n v="0"/>
    <n v="0"/>
    <n v="1"/>
    <n v="1"/>
  </r>
  <r>
    <n v="611"/>
    <n v="4193"/>
    <x v="1197"/>
    <x v="22"/>
    <s v="High"/>
    <n v="16"/>
    <n v="64.290000000000006"/>
    <n v="7.0000000000000007E-2"/>
    <s v="Regular Air"/>
    <n v="14.42"/>
    <n v="4.13"/>
    <n v="0.99"/>
    <x v="503"/>
    <x v="6"/>
    <x v="5"/>
    <x v="3"/>
    <x v="0"/>
    <x v="11"/>
    <x v="367"/>
    <s v="Small Box"/>
    <n v="0.39"/>
    <d v="2009-01-08T00:00:00"/>
    <n v="0"/>
    <n v="1"/>
    <n v="0.5"/>
    <n v="0.5"/>
  </r>
  <r>
    <n v="612"/>
    <n v="4193"/>
    <x v="1197"/>
    <x v="22"/>
    <s v="High"/>
    <n v="3"/>
    <n v="75.77"/>
    <n v="0.03"/>
    <s v="Regular Air"/>
    <n v="64.25"/>
    <n v="22.72"/>
    <n v="8.99"/>
    <x v="503"/>
    <x v="6"/>
    <x v="5"/>
    <x v="3"/>
    <x v="2"/>
    <x v="4"/>
    <x v="199"/>
    <s v="Small Pack"/>
    <n v="0.44"/>
    <d v="2009-01-08T00:00:00"/>
    <n v="0"/>
    <n v="1"/>
    <n v="0.5"/>
    <n v="0.5"/>
  </r>
  <r>
    <n v="627"/>
    <n v="4387"/>
    <x v="120"/>
    <x v="17"/>
    <s v="Critical"/>
    <n v="4"/>
    <n v="640.21"/>
    <n v="7.0000000000000007E-2"/>
    <s v="Delivery Truck"/>
    <n v="-388.51670000000001"/>
    <n v="150.97999999999999"/>
    <n v="39.25"/>
    <x v="503"/>
    <x v="6"/>
    <x v="5"/>
    <x v="2"/>
    <x v="2"/>
    <x v="10"/>
    <x v="1025"/>
    <s v="Jumbo Box"/>
    <n v="0.75"/>
    <d v="2011-10-23T00:00:00"/>
    <n v="0"/>
    <n v="0"/>
    <n v="1"/>
    <n v="0.5"/>
  </r>
  <r>
    <n v="639"/>
    <n v="4512"/>
    <x v="901"/>
    <x v="17"/>
    <s v="Low"/>
    <n v="43"/>
    <n v="6077.11"/>
    <n v="0.06"/>
    <s v="Delivery Truck"/>
    <n v="-353.65987800000011"/>
    <n v="146.34"/>
    <n v="43.75"/>
    <x v="503"/>
    <x v="6"/>
    <x v="5"/>
    <x v="3"/>
    <x v="2"/>
    <x v="10"/>
    <x v="99"/>
    <s v="Jumbo Box"/>
    <n v="0.64"/>
    <d v="2011-10-29T00:00:00"/>
    <n v="0"/>
    <n v="0"/>
    <n v="1"/>
    <n v="0.5"/>
  </r>
  <r>
    <n v="685"/>
    <n v="4773"/>
    <x v="1063"/>
    <x v="25"/>
    <s v="Critical"/>
    <n v="48"/>
    <n v="6746.3119999999999"/>
    <n v="7.0000000000000007E-2"/>
    <s v="Delivery Truck"/>
    <n v="-433.29014300000011"/>
    <n v="179.29"/>
    <n v="29.21"/>
    <x v="415"/>
    <x v="6"/>
    <x v="5"/>
    <x v="3"/>
    <x v="2"/>
    <x v="10"/>
    <x v="102"/>
    <s v="Jumbo Box"/>
    <n v="0.76"/>
    <d v="2011-12-24T00:00:00"/>
    <n v="0"/>
    <n v="0"/>
    <n v="0.5"/>
    <n v="0.25"/>
  </r>
  <r>
    <n v="694"/>
    <n v="4839"/>
    <x v="1198"/>
    <x v="43"/>
    <s v="Critical"/>
    <n v="24"/>
    <n v="159.43"/>
    <n v="0.05"/>
    <s v="Regular Air"/>
    <n v="-120.59"/>
    <n v="6.48"/>
    <n v="8.73"/>
    <x v="501"/>
    <x v="6"/>
    <x v="5"/>
    <x v="1"/>
    <x v="0"/>
    <x v="5"/>
    <x v="645"/>
    <s v="Small Box"/>
    <n v="0.37"/>
    <d v="2009-05-09T00:00:00"/>
    <n v="0"/>
    <n v="0"/>
    <n v="1"/>
    <n v="1"/>
  </r>
  <r>
    <n v="705"/>
    <n v="4935"/>
    <x v="1199"/>
    <x v="39"/>
    <s v="Not Specified"/>
    <n v="30"/>
    <n v="106.64"/>
    <n v="0.1"/>
    <s v="Regular Air"/>
    <n v="-31.95"/>
    <n v="3.68"/>
    <n v="1.32"/>
    <x v="506"/>
    <x v="6"/>
    <x v="5"/>
    <x v="2"/>
    <x v="0"/>
    <x v="15"/>
    <x v="144"/>
    <s v="Wrap Bag"/>
    <n v="0.83"/>
    <d v="2010-05-27T00:00:00"/>
    <n v="0"/>
    <n v="0"/>
    <n v="1"/>
    <n v="1"/>
  </r>
  <r>
    <n v="891"/>
    <n v="6403"/>
    <x v="1200"/>
    <x v="44"/>
    <s v="Low"/>
    <n v="41"/>
    <n v="17874.259999999998"/>
    <n v="0"/>
    <s v="Regular Air"/>
    <n v="6247.95"/>
    <n v="419.19"/>
    <n v="19.989999999999998"/>
    <x v="498"/>
    <x v="6"/>
    <x v="5"/>
    <x v="0"/>
    <x v="0"/>
    <x v="0"/>
    <x v="1127"/>
    <s v="Small Box"/>
    <n v="0.57999999999999996"/>
    <d v="2011-02-13T00:00:00"/>
    <n v="0"/>
    <n v="0"/>
    <n v="1"/>
    <n v="1"/>
  </r>
  <r>
    <n v="932"/>
    <n v="6754"/>
    <x v="1158"/>
    <x v="21"/>
    <s v="High"/>
    <n v="13"/>
    <n v="2388.636"/>
    <n v="0.01"/>
    <s v="Regular Air"/>
    <n v="190.99799999999999"/>
    <n v="205.99"/>
    <n v="5.26"/>
    <x v="507"/>
    <x v="6"/>
    <x v="5"/>
    <x v="2"/>
    <x v="1"/>
    <x v="3"/>
    <x v="211"/>
    <s v="Small Box"/>
    <n v="0.56000000000000005"/>
    <d v="2011-08-13T00:00:00"/>
    <n v="0"/>
    <n v="0"/>
    <n v="1"/>
    <n v="1"/>
  </r>
  <r>
    <n v="1040"/>
    <n v="7619"/>
    <x v="1201"/>
    <x v="0"/>
    <s v="Not Specified"/>
    <n v="8"/>
    <n v="141.77000000000001"/>
    <n v="0.02"/>
    <s v="Regular Air"/>
    <n v="-24.48"/>
    <n v="17.48"/>
    <n v="1.99"/>
    <x v="501"/>
    <x v="6"/>
    <x v="5"/>
    <x v="1"/>
    <x v="1"/>
    <x v="7"/>
    <x v="814"/>
    <s v="Small Pack"/>
    <n v="0.45"/>
    <d v="2010-10-09T00:00:00"/>
    <n v="0"/>
    <n v="0"/>
    <n v="1"/>
    <n v="0.33333333333333331"/>
  </r>
  <r>
    <n v="1048"/>
    <n v="7744"/>
    <x v="55"/>
    <x v="11"/>
    <s v="Low"/>
    <n v="26"/>
    <n v="4286.55"/>
    <n v="7.0000000000000007E-2"/>
    <s v="Regular Air"/>
    <n v="1416.7035000000001"/>
    <n v="172.99"/>
    <n v="19.989999999999998"/>
    <x v="495"/>
    <x v="6"/>
    <x v="5"/>
    <x v="2"/>
    <x v="0"/>
    <x v="2"/>
    <x v="470"/>
    <s v="Small Box"/>
    <n v="0.39"/>
    <d v="2009-11-17T00:00:00"/>
    <n v="0"/>
    <n v="0"/>
    <n v="0.5"/>
    <n v="0.5"/>
  </r>
  <r>
    <n v="1049"/>
    <n v="7744"/>
    <x v="55"/>
    <x v="11"/>
    <s v="Low"/>
    <n v="1"/>
    <n v="8.34"/>
    <n v="0.09"/>
    <s v="Regular Air"/>
    <n v="-3.44"/>
    <n v="7.64"/>
    <n v="1.39"/>
    <x v="495"/>
    <x v="6"/>
    <x v="5"/>
    <x v="2"/>
    <x v="0"/>
    <x v="8"/>
    <x v="181"/>
    <s v="Small Box"/>
    <n v="0.36"/>
    <d v="2009-11-26T00:00:00"/>
    <n v="0"/>
    <n v="0"/>
    <n v="0.5"/>
    <n v="0.5"/>
  </r>
  <r>
    <n v="1089"/>
    <n v="8006"/>
    <x v="261"/>
    <x v="4"/>
    <s v="Medium"/>
    <n v="27"/>
    <n v="197.15"/>
    <n v="0"/>
    <s v="Express Air"/>
    <n v="-23.34"/>
    <n v="6.68"/>
    <n v="5.2"/>
    <x v="493"/>
    <x v="6"/>
    <x v="5"/>
    <x v="1"/>
    <x v="0"/>
    <x v="5"/>
    <x v="320"/>
    <s v="Small Box"/>
    <n v="0.37"/>
    <d v="2011-06-05T00:00:00"/>
    <n v="0"/>
    <n v="0"/>
    <n v="1"/>
    <n v="1"/>
  </r>
  <r>
    <n v="1121"/>
    <n v="8224"/>
    <x v="164"/>
    <x v="12"/>
    <s v="Not Specified"/>
    <n v="41"/>
    <n v="89.77"/>
    <n v="0.03"/>
    <s v="Regular Air"/>
    <n v="9.92"/>
    <n v="2.21"/>
    <n v="1"/>
    <x v="150"/>
    <x v="6"/>
    <x v="5"/>
    <x v="2"/>
    <x v="0"/>
    <x v="12"/>
    <x v="1157"/>
    <s v="Wrap Bag"/>
    <n v="0.38"/>
    <d v="2012-02-09T00:00:00"/>
    <n v="0"/>
    <n v="0"/>
    <n v="1"/>
    <n v="1"/>
  </r>
  <r>
    <n v="1143"/>
    <n v="8323"/>
    <x v="536"/>
    <x v="31"/>
    <s v="High"/>
    <n v="45"/>
    <n v="766.96349999999995"/>
    <n v="0.05"/>
    <s v="Express Air"/>
    <n v="-88.253"/>
    <n v="20.99"/>
    <n v="2.5"/>
    <x v="235"/>
    <x v="6"/>
    <x v="5"/>
    <x v="3"/>
    <x v="1"/>
    <x v="3"/>
    <x v="32"/>
    <s v="Wrap Bag"/>
    <n v="0.81"/>
    <d v="2011-09-07T00:00:00"/>
    <n v="0"/>
    <n v="0"/>
    <n v="1"/>
    <n v="1"/>
  </r>
  <r>
    <n v="1163"/>
    <n v="8480"/>
    <x v="994"/>
    <x v="16"/>
    <s v="High"/>
    <n v="11"/>
    <n v="76.36"/>
    <n v="7.0000000000000007E-2"/>
    <s v="Regular Air"/>
    <n v="-58.4"/>
    <n v="6.48"/>
    <n v="8.74"/>
    <x v="508"/>
    <x v="6"/>
    <x v="5"/>
    <x v="2"/>
    <x v="0"/>
    <x v="5"/>
    <x v="911"/>
    <s v="Small Box"/>
    <n v="0.36"/>
    <d v="2011-01-31T00:00:00"/>
    <n v="0"/>
    <n v="0"/>
    <n v="0.5"/>
    <n v="0.5"/>
  </r>
  <r>
    <n v="1164"/>
    <n v="8480"/>
    <x v="994"/>
    <x v="16"/>
    <s v="High"/>
    <n v="3"/>
    <n v="309.9015"/>
    <n v="0.09"/>
    <s v="Regular Air"/>
    <n v="-558.41499999999996"/>
    <n v="125.99"/>
    <n v="7.69"/>
    <x v="508"/>
    <x v="6"/>
    <x v="5"/>
    <x v="2"/>
    <x v="1"/>
    <x v="3"/>
    <x v="44"/>
    <s v="Small Box"/>
    <n v="0.57999999999999996"/>
    <d v="2011-01-31T00:00:00"/>
    <n v="0"/>
    <n v="0"/>
    <n v="0.5"/>
    <n v="0.5"/>
  </r>
  <r>
    <n v="1304"/>
    <n v="9568"/>
    <x v="239"/>
    <x v="14"/>
    <s v="Not Specified"/>
    <n v="46"/>
    <n v="3725.53"/>
    <n v="0"/>
    <s v="Regular Air"/>
    <n v="748.67"/>
    <n v="76.72"/>
    <n v="19.95"/>
    <x v="498"/>
    <x v="6"/>
    <x v="5"/>
    <x v="2"/>
    <x v="0"/>
    <x v="1"/>
    <x v="322"/>
    <s v="Large Box"/>
    <n v="0.54"/>
    <d v="2010-03-09T00:00:00"/>
    <n v="0"/>
    <n v="0"/>
    <n v="1"/>
    <n v="1"/>
  </r>
  <r>
    <n v="1331"/>
    <n v="9701"/>
    <x v="203"/>
    <x v="6"/>
    <s v="Low"/>
    <n v="8"/>
    <n v="103.75"/>
    <n v="0.01"/>
    <s v="Regular Air"/>
    <n v="25.134499999999999"/>
    <n v="12.97"/>
    <n v="1.49"/>
    <x v="505"/>
    <x v="6"/>
    <x v="5"/>
    <x v="0"/>
    <x v="0"/>
    <x v="2"/>
    <x v="941"/>
    <s v="Small Box"/>
    <n v="0.35"/>
    <d v="2010-03-04T00:00:00"/>
    <n v="0"/>
    <n v="0"/>
    <n v="0.5"/>
    <n v="0.5"/>
  </r>
  <r>
    <n v="1332"/>
    <n v="9701"/>
    <x v="203"/>
    <x v="6"/>
    <s v="Low"/>
    <n v="9"/>
    <n v="855.86500000000001"/>
    <n v="0.04"/>
    <s v="Regular Air"/>
    <n v="-153.923"/>
    <n v="110.99"/>
    <n v="2.5"/>
    <x v="505"/>
    <x v="6"/>
    <x v="5"/>
    <x v="0"/>
    <x v="1"/>
    <x v="3"/>
    <x v="368"/>
    <s v="Small Box"/>
    <n v="0.56999999999999995"/>
    <d v="2010-03-03T00:00:00"/>
    <n v="0"/>
    <n v="0"/>
    <n v="0.5"/>
    <n v="0.5"/>
  </r>
  <r>
    <n v="1369"/>
    <n v="9926"/>
    <x v="395"/>
    <x v="19"/>
    <s v="High"/>
    <n v="25"/>
    <n v="158.83000000000001"/>
    <n v="0"/>
    <s v="Regular Air"/>
    <n v="-56.97"/>
    <n v="5.77"/>
    <n v="5.92"/>
    <x v="509"/>
    <x v="6"/>
    <x v="5"/>
    <x v="3"/>
    <x v="2"/>
    <x v="4"/>
    <x v="1121"/>
    <s v="Medium Box"/>
    <n v="0.55000000000000004"/>
    <d v="2009-10-13T00:00:00"/>
    <n v="0"/>
    <n v="0"/>
    <n v="1"/>
    <n v="1"/>
  </r>
  <r>
    <n v="1439"/>
    <n v="10373"/>
    <x v="461"/>
    <x v="30"/>
    <s v="Critical"/>
    <n v="28"/>
    <n v="193.16"/>
    <n v="0.03"/>
    <s v="Regular Air"/>
    <n v="-71.73"/>
    <n v="6.48"/>
    <n v="6.6"/>
    <x v="501"/>
    <x v="6"/>
    <x v="5"/>
    <x v="1"/>
    <x v="0"/>
    <x v="5"/>
    <x v="226"/>
    <s v="Small Box"/>
    <n v="0.37"/>
    <d v="2010-06-27T00:00:00"/>
    <n v="0"/>
    <n v="0"/>
    <n v="1"/>
    <n v="0.5"/>
  </r>
  <r>
    <n v="1452"/>
    <n v="10470"/>
    <x v="53"/>
    <x v="20"/>
    <s v="Low"/>
    <n v="40"/>
    <n v="1757.43"/>
    <n v="0.02"/>
    <s v="Express Air"/>
    <n v="490.77"/>
    <n v="44.01"/>
    <n v="3.5"/>
    <x v="510"/>
    <x v="6"/>
    <x v="5"/>
    <x v="2"/>
    <x v="0"/>
    <x v="1"/>
    <x v="1122"/>
    <s v="Small Box"/>
    <n v="0.59"/>
    <d v="2012-05-06T00:00:00"/>
    <n v="0"/>
    <n v="0"/>
    <n v="0.25"/>
    <n v="0.33333333333333331"/>
  </r>
  <r>
    <n v="1453"/>
    <n v="10470"/>
    <x v="53"/>
    <x v="20"/>
    <s v="Low"/>
    <n v="8"/>
    <n v="137.26"/>
    <n v="0.03"/>
    <s v="Regular Air"/>
    <n v="-54.613500000000002"/>
    <n v="15.99"/>
    <n v="13.18"/>
    <x v="510"/>
    <x v="6"/>
    <x v="5"/>
    <x v="2"/>
    <x v="0"/>
    <x v="2"/>
    <x v="22"/>
    <s v="Small Box"/>
    <n v="0.37"/>
    <d v="2012-05-11T00:00:00"/>
    <n v="0"/>
    <n v="0"/>
    <n v="0.25"/>
    <n v="0.33333333333333331"/>
  </r>
  <r>
    <n v="1454"/>
    <n v="10470"/>
    <x v="53"/>
    <x v="20"/>
    <s v="Low"/>
    <n v="20"/>
    <n v="2913.1455000000001"/>
    <n v="0.09"/>
    <s v="Regular Air"/>
    <n v="333.72"/>
    <n v="175.99"/>
    <n v="4.99"/>
    <x v="510"/>
    <x v="6"/>
    <x v="5"/>
    <x v="2"/>
    <x v="1"/>
    <x v="3"/>
    <x v="602"/>
    <s v="Small Box"/>
    <n v="0.59"/>
    <d v="2012-05-06T00:00:00"/>
    <n v="0"/>
    <n v="0"/>
    <n v="0.25"/>
    <n v="0.33333333333333331"/>
  </r>
  <r>
    <n v="1542"/>
    <n v="11111"/>
    <x v="251"/>
    <x v="16"/>
    <s v="Medium"/>
    <n v="7"/>
    <n v="308.52"/>
    <n v="0.1"/>
    <s v="Regular Air"/>
    <n v="-59.85"/>
    <n v="41.47"/>
    <n v="34.200000000000003"/>
    <x v="510"/>
    <x v="6"/>
    <x v="5"/>
    <x v="2"/>
    <x v="2"/>
    <x v="4"/>
    <x v="147"/>
    <s v="Wrap Bag"/>
    <n v="0.73"/>
    <d v="2011-01-19T00:00:00"/>
    <n v="0"/>
    <n v="0"/>
    <n v="0.5"/>
    <n v="0.5"/>
  </r>
  <r>
    <n v="1543"/>
    <n v="11111"/>
    <x v="251"/>
    <x v="16"/>
    <s v="Medium"/>
    <n v="29"/>
    <n v="176.5"/>
    <n v="0.1"/>
    <s v="Regular Air"/>
    <n v="-119.72"/>
    <n v="6.48"/>
    <n v="7.37"/>
    <x v="510"/>
    <x v="6"/>
    <x v="5"/>
    <x v="2"/>
    <x v="0"/>
    <x v="5"/>
    <x v="673"/>
    <s v="Small Box"/>
    <n v="0.37"/>
    <d v="2011-01-19T00:00:00"/>
    <n v="0"/>
    <n v="0"/>
    <n v="0.5"/>
    <n v="0.5"/>
  </r>
  <r>
    <n v="1549"/>
    <n v="11173"/>
    <x v="1103"/>
    <x v="33"/>
    <s v="Critical"/>
    <n v="37"/>
    <n v="221.66"/>
    <n v="0.08"/>
    <s v="Regular Air"/>
    <n v="-95.17"/>
    <n v="5.98"/>
    <n v="3.85"/>
    <x v="205"/>
    <x v="6"/>
    <x v="5"/>
    <x v="2"/>
    <x v="1"/>
    <x v="7"/>
    <x v="1143"/>
    <s v="Small Pack"/>
    <n v="0.68"/>
    <d v="2012-04-01T00:00:00"/>
    <n v="0"/>
    <n v="0"/>
    <n v="1"/>
    <n v="1"/>
  </r>
  <r>
    <n v="1559"/>
    <n v="11239"/>
    <x v="1024"/>
    <x v="12"/>
    <s v="Critical"/>
    <n v="33"/>
    <n v="6170.02"/>
    <n v="0.03"/>
    <s v="Delivery Truck"/>
    <n v="-433.29014300000011"/>
    <n v="179.29"/>
    <n v="29.21"/>
    <x v="511"/>
    <x v="6"/>
    <x v="5"/>
    <x v="0"/>
    <x v="2"/>
    <x v="10"/>
    <x v="102"/>
    <s v="Jumbo Box"/>
    <n v="0.74"/>
    <d v="2012-02-11T00:00:00"/>
    <n v="0"/>
    <n v="0"/>
    <n v="1"/>
    <n v="1"/>
  </r>
  <r>
    <n v="1576"/>
    <n v="11396"/>
    <x v="42"/>
    <x v="29"/>
    <s v="Critical"/>
    <n v="42"/>
    <n v="12270.3"/>
    <n v="7.0000000000000007E-2"/>
    <s v="Regular Air"/>
    <n v="4842.3734999999997"/>
    <n v="304.99"/>
    <n v="19.989999999999998"/>
    <x v="512"/>
    <x v="6"/>
    <x v="5"/>
    <x v="2"/>
    <x v="0"/>
    <x v="2"/>
    <x v="880"/>
    <s v="Small Box"/>
    <n v="0.4"/>
    <d v="2012-07-22T00:00:00"/>
    <n v="0"/>
    <n v="0"/>
    <n v="1"/>
    <n v="1"/>
  </r>
  <r>
    <n v="1633"/>
    <n v="11808"/>
    <x v="1202"/>
    <x v="29"/>
    <s v="Not Specified"/>
    <n v="1"/>
    <n v="148.34400000000002"/>
    <n v="0.06"/>
    <s v="Delivery Truck"/>
    <n v="25.20675"/>
    <n v="150.97999999999999"/>
    <n v="39.25"/>
    <x v="365"/>
    <x v="6"/>
    <x v="5"/>
    <x v="2"/>
    <x v="2"/>
    <x v="10"/>
    <x v="1025"/>
    <s v="Jumbo Box"/>
    <n v="0.75"/>
    <d v="2012-08-01T00:00:00"/>
    <n v="0"/>
    <n v="0"/>
    <n v="1"/>
    <n v="1"/>
  </r>
  <r>
    <n v="1642"/>
    <n v="11874"/>
    <x v="1133"/>
    <x v="34"/>
    <s v="Medium"/>
    <n v="1"/>
    <n v="40.29"/>
    <n v="0"/>
    <s v="Regular Air"/>
    <n v="-82.13"/>
    <n v="30.42"/>
    <n v="8.65"/>
    <x v="365"/>
    <x v="6"/>
    <x v="5"/>
    <x v="2"/>
    <x v="1"/>
    <x v="7"/>
    <x v="251"/>
    <s v="Small Box"/>
    <n v="0.74"/>
    <d v="2012-09-11T00:00:00"/>
    <n v="0"/>
    <n v="0"/>
    <n v="0.5"/>
    <n v="0.5"/>
  </r>
  <r>
    <n v="1643"/>
    <n v="11874"/>
    <x v="1133"/>
    <x v="34"/>
    <s v="Medium"/>
    <n v="20"/>
    <n v="775.77"/>
    <n v="7.0000000000000007E-2"/>
    <s v="Regular Air"/>
    <n v="179.37"/>
    <n v="39.979999999999997"/>
    <n v="9.83"/>
    <x v="365"/>
    <x v="6"/>
    <x v="5"/>
    <x v="2"/>
    <x v="0"/>
    <x v="8"/>
    <x v="854"/>
    <s v="Small Box"/>
    <n v="0.4"/>
    <d v="2012-09-09T00:00:00"/>
    <n v="0"/>
    <n v="0"/>
    <n v="0.5"/>
    <n v="0.5"/>
  </r>
  <r>
    <n v="1714"/>
    <n v="12322"/>
    <x v="1203"/>
    <x v="10"/>
    <s v="Critical"/>
    <n v="36"/>
    <n v="3436.9"/>
    <n v="0.03"/>
    <s v="Express Air"/>
    <n v="-398.11"/>
    <n v="92.23"/>
    <n v="39.61"/>
    <x v="511"/>
    <x v="6"/>
    <x v="5"/>
    <x v="0"/>
    <x v="2"/>
    <x v="4"/>
    <x v="54"/>
    <s v="Medium Box"/>
    <n v="0.67"/>
    <d v="2011-05-13T00:00:00"/>
    <n v="0"/>
    <n v="0"/>
    <n v="1"/>
    <n v="1"/>
  </r>
  <r>
    <n v="1739"/>
    <n v="12480"/>
    <x v="227"/>
    <x v="36"/>
    <s v="Medium"/>
    <n v="8"/>
    <n v="1187.01"/>
    <n v="0"/>
    <s v="Delivery Truck"/>
    <n v="-203.27"/>
    <n v="137.47999999999999"/>
    <n v="32.18"/>
    <x v="504"/>
    <x v="6"/>
    <x v="5"/>
    <x v="0"/>
    <x v="2"/>
    <x v="9"/>
    <x v="1158"/>
    <s v="Jumbo Box"/>
    <n v="0.78"/>
    <d v="2009-07-08T00:00:00"/>
    <n v="0"/>
    <n v="0"/>
    <n v="1"/>
    <n v="1"/>
  </r>
  <r>
    <n v="1749"/>
    <n v="12516"/>
    <x v="864"/>
    <x v="43"/>
    <s v="Low"/>
    <n v="31"/>
    <n v="2360.4299999999998"/>
    <n v="0.1"/>
    <s v="Delivery Truck"/>
    <n v="66.22"/>
    <n v="80.97"/>
    <n v="33.6"/>
    <x v="513"/>
    <x v="6"/>
    <x v="5"/>
    <x v="3"/>
    <x v="1"/>
    <x v="16"/>
    <x v="196"/>
    <s v="Jumbo Drum"/>
    <n v="0.37"/>
    <d v="2009-05-29T00:00:00"/>
    <n v="0"/>
    <n v="0"/>
    <n v="0.5"/>
    <n v="0.5"/>
  </r>
  <r>
    <n v="1750"/>
    <n v="12516"/>
    <x v="864"/>
    <x v="43"/>
    <s v="Low"/>
    <n v="22"/>
    <n v="154.6"/>
    <n v="0.02"/>
    <s v="Regular Air"/>
    <n v="-23.53"/>
    <n v="6.48"/>
    <n v="5.1100000000000003"/>
    <x v="513"/>
    <x v="6"/>
    <x v="5"/>
    <x v="3"/>
    <x v="0"/>
    <x v="5"/>
    <x v="1159"/>
    <s v="Small Box"/>
    <n v="0.37"/>
    <d v="2009-05-28T00:00:00"/>
    <n v="0"/>
    <n v="0"/>
    <n v="0.5"/>
    <n v="0.5"/>
  </r>
  <r>
    <n v="1820"/>
    <n v="13088"/>
    <x v="787"/>
    <x v="24"/>
    <s v="Not Specified"/>
    <n v="46"/>
    <n v="187.92"/>
    <n v="0.08"/>
    <s v="Regular Air"/>
    <n v="-2149.8000000000002"/>
    <n v="3.25"/>
    <n v="49"/>
    <x v="514"/>
    <x v="6"/>
    <x v="5"/>
    <x v="2"/>
    <x v="0"/>
    <x v="1"/>
    <x v="933"/>
    <s v="Large Box"/>
    <n v="0.56000000000000005"/>
    <d v="2010-04-24T00:00:00"/>
    <n v="0"/>
    <n v="0"/>
    <n v="1"/>
    <n v="1"/>
  </r>
  <r>
    <n v="1828"/>
    <n v="13121"/>
    <x v="239"/>
    <x v="14"/>
    <s v="High"/>
    <n v="36"/>
    <n v="1211"/>
    <n v="0"/>
    <s v="Regular Air"/>
    <n v="-27.99"/>
    <n v="30.98"/>
    <n v="6.5"/>
    <x v="506"/>
    <x v="6"/>
    <x v="5"/>
    <x v="2"/>
    <x v="1"/>
    <x v="7"/>
    <x v="630"/>
    <s v="Small Box"/>
    <n v="0.79"/>
    <d v="2010-03-08T00:00:00"/>
    <n v="0"/>
    <n v="0"/>
    <n v="0.5"/>
    <n v="0.5"/>
  </r>
  <r>
    <n v="1829"/>
    <n v="13121"/>
    <x v="239"/>
    <x v="14"/>
    <s v="High"/>
    <n v="28"/>
    <n v="4924.1350000000002"/>
    <n v="7.0000000000000007E-2"/>
    <s v="Regular Air"/>
    <n v="1049.5350000000001"/>
    <n v="205.99"/>
    <n v="8.99"/>
    <x v="506"/>
    <x v="6"/>
    <x v="5"/>
    <x v="2"/>
    <x v="1"/>
    <x v="3"/>
    <x v="879"/>
    <s v="Small Box"/>
    <n v="0.57999999999999996"/>
    <d v="2010-03-10T00:00:00"/>
    <n v="0"/>
    <n v="0"/>
    <n v="0.5"/>
    <n v="0.5"/>
  </r>
  <r>
    <n v="1857"/>
    <n v="13348"/>
    <x v="35"/>
    <x v="7"/>
    <s v="Medium"/>
    <n v="35"/>
    <n v="4890.58"/>
    <n v="0.05"/>
    <s v="Regular Air"/>
    <n v="310.51"/>
    <n v="140.85"/>
    <n v="19.989999999999998"/>
    <x v="496"/>
    <x v="6"/>
    <x v="5"/>
    <x v="1"/>
    <x v="0"/>
    <x v="0"/>
    <x v="405"/>
    <s v="Small Box"/>
    <n v="0.73"/>
    <d v="2010-11-08T00:00:00"/>
    <n v="0"/>
    <n v="0"/>
    <n v="1"/>
    <n v="0.5"/>
  </r>
  <r>
    <n v="1866"/>
    <n v="13413"/>
    <x v="1166"/>
    <x v="38"/>
    <s v="Critical"/>
    <n v="29"/>
    <n v="150.28"/>
    <n v="0.04"/>
    <s v="Regular Air"/>
    <n v="-50.86"/>
    <n v="4.9800000000000004"/>
    <n v="4.7"/>
    <x v="515"/>
    <x v="6"/>
    <x v="5"/>
    <x v="1"/>
    <x v="0"/>
    <x v="5"/>
    <x v="725"/>
    <s v="Small Box"/>
    <n v="0.38"/>
    <d v="2010-01-31T00:00:00"/>
    <n v="1"/>
    <n v="0"/>
    <n v="1"/>
    <n v="1"/>
  </r>
  <r>
    <n v="1869"/>
    <n v="13447"/>
    <x v="1025"/>
    <x v="38"/>
    <s v="High"/>
    <n v="24"/>
    <n v="436.48349999999999"/>
    <n v="0.01"/>
    <s v="Regular Air"/>
    <n v="0.8460000000000012"/>
    <n v="20.99"/>
    <n v="4.8099999999999996"/>
    <x v="516"/>
    <x v="6"/>
    <x v="5"/>
    <x v="2"/>
    <x v="1"/>
    <x v="3"/>
    <x v="591"/>
    <s v="Medium Box"/>
    <n v="0.57999999999999996"/>
    <d v="2010-01-10T00:00:00"/>
    <n v="1"/>
    <n v="0"/>
    <n v="1"/>
    <n v="1"/>
  </r>
  <r>
    <n v="1910"/>
    <n v="13638"/>
    <x v="1204"/>
    <x v="31"/>
    <s v="High"/>
    <n v="49"/>
    <n v="682.77"/>
    <n v="0.05"/>
    <s v="Regular Air"/>
    <n v="165.2"/>
    <n v="14.48"/>
    <n v="1.99"/>
    <x v="504"/>
    <x v="6"/>
    <x v="5"/>
    <x v="1"/>
    <x v="1"/>
    <x v="7"/>
    <x v="189"/>
    <s v="Small Pack"/>
    <n v="0.49"/>
    <d v="2011-10-02T00:00:00"/>
    <n v="0"/>
    <n v="0"/>
    <n v="1"/>
    <n v="1"/>
  </r>
  <r>
    <n v="1918"/>
    <n v="13761"/>
    <x v="50"/>
    <x v="19"/>
    <s v="Low"/>
    <n v="32"/>
    <n v="2421.44"/>
    <n v="0.09"/>
    <s v="Regular Air"/>
    <n v="-949.09"/>
    <n v="78.8"/>
    <n v="35"/>
    <x v="475"/>
    <x v="6"/>
    <x v="5"/>
    <x v="3"/>
    <x v="0"/>
    <x v="0"/>
    <x v="1160"/>
    <s v="Large Box"/>
    <n v="0.83"/>
    <d v="2009-10-21T00:00:00"/>
    <n v="0"/>
    <n v="0"/>
    <n v="1"/>
    <n v="0.5"/>
  </r>
  <r>
    <n v="1999"/>
    <n v="14247"/>
    <x v="58"/>
    <x v="21"/>
    <s v="Critical"/>
    <n v="4"/>
    <n v="14.75"/>
    <n v="0.03"/>
    <s v="Regular Air"/>
    <n v="-2.4900000000000002"/>
    <n v="3.29"/>
    <n v="1.35"/>
    <x v="517"/>
    <x v="6"/>
    <x v="5"/>
    <x v="3"/>
    <x v="0"/>
    <x v="6"/>
    <x v="339"/>
    <s v="Wrap Bag"/>
    <n v="0.4"/>
    <d v="2011-08-18T00:00:00"/>
    <n v="0"/>
    <n v="0"/>
    <n v="1"/>
    <n v="1"/>
  </r>
  <r>
    <n v="2061"/>
    <n v="14755"/>
    <x v="491"/>
    <x v="38"/>
    <s v="High"/>
    <n v="31"/>
    <n v="111.48"/>
    <n v="0.09"/>
    <s v="Regular Air"/>
    <n v="29.57"/>
    <n v="3.85"/>
    <n v="0.7"/>
    <x v="504"/>
    <x v="6"/>
    <x v="5"/>
    <x v="1"/>
    <x v="0"/>
    <x v="12"/>
    <x v="901"/>
    <s v="Wrap Bag"/>
    <n v="0.44"/>
    <d v="2010-01-05T00:00:00"/>
    <n v="1"/>
    <n v="0"/>
    <n v="0.5"/>
    <n v="0.5"/>
  </r>
  <r>
    <n v="2062"/>
    <n v="14755"/>
    <x v="491"/>
    <x v="38"/>
    <s v="High"/>
    <n v="44"/>
    <n v="2322.8119999999999"/>
    <n v="0.1"/>
    <s v="Express Air"/>
    <n v="454.38299999999998"/>
    <n v="65.989999999999995"/>
    <n v="4.2"/>
    <x v="504"/>
    <x v="6"/>
    <x v="5"/>
    <x v="1"/>
    <x v="1"/>
    <x v="3"/>
    <x v="1021"/>
    <s v="Small Box"/>
    <n v="0.59"/>
    <d v="2010-01-07T00:00:00"/>
    <n v="1"/>
    <n v="0"/>
    <n v="0.5"/>
    <n v="0.5"/>
  </r>
  <r>
    <n v="2078"/>
    <n v="14854"/>
    <x v="335"/>
    <x v="24"/>
    <s v="Low"/>
    <n v="24"/>
    <n v="391.23"/>
    <n v="7.0000000000000007E-2"/>
    <s v="Regular Air"/>
    <n v="-27.98"/>
    <n v="16.91"/>
    <n v="6.25"/>
    <x v="508"/>
    <x v="6"/>
    <x v="5"/>
    <x v="2"/>
    <x v="0"/>
    <x v="0"/>
    <x v="624"/>
    <s v="Small Box"/>
    <n v="0.57999999999999996"/>
    <d v="2010-05-02T00:00:00"/>
    <n v="0"/>
    <n v="0"/>
    <n v="1"/>
    <n v="1"/>
  </r>
  <r>
    <n v="2109"/>
    <n v="15078"/>
    <x v="628"/>
    <x v="7"/>
    <s v="High"/>
    <n v="33"/>
    <n v="207.01"/>
    <n v="0.01"/>
    <s v="Regular Air"/>
    <n v="-36.9"/>
    <n v="5.78"/>
    <n v="4.96"/>
    <x v="475"/>
    <x v="6"/>
    <x v="5"/>
    <x v="2"/>
    <x v="0"/>
    <x v="5"/>
    <x v="572"/>
    <s v="Small Box"/>
    <n v="0.36"/>
    <d v="2010-11-10T00:00:00"/>
    <n v="0"/>
    <n v="0"/>
    <n v="1"/>
    <n v="1"/>
  </r>
  <r>
    <n v="2183"/>
    <n v="15718"/>
    <x v="802"/>
    <x v="22"/>
    <s v="Critical"/>
    <n v="41"/>
    <n v="1863.02"/>
    <n v="0.03"/>
    <s v="Regular Air"/>
    <n v="360.63"/>
    <n v="43.98"/>
    <n v="8.99"/>
    <x v="220"/>
    <x v="6"/>
    <x v="5"/>
    <x v="2"/>
    <x v="0"/>
    <x v="12"/>
    <x v="672"/>
    <s v="Small Pack"/>
    <n v="0.57999999999999996"/>
    <d v="2009-01-29T00:00:00"/>
    <n v="0"/>
    <n v="1"/>
    <n v="0.33333333333333331"/>
    <n v="0.33333333333333331"/>
  </r>
  <r>
    <n v="2184"/>
    <n v="15718"/>
    <x v="802"/>
    <x v="22"/>
    <s v="Critical"/>
    <n v="50"/>
    <n v="55.89"/>
    <n v="0.06"/>
    <s v="Regular Air"/>
    <n v="-3.05"/>
    <n v="1.1399999999999999"/>
    <n v="0.7"/>
    <x v="220"/>
    <x v="6"/>
    <x v="5"/>
    <x v="2"/>
    <x v="0"/>
    <x v="6"/>
    <x v="1129"/>
    <s v="Wrap Bag"/>
    <n v="0.38"/>
    <d v="2009-01-30T00:00:00"/>
    <n v="0"/>
    <n v="1"/>
    <n v="0.33333333333333331"/>
    <n v="0.33333333333333331"/>
  </r>
  <r>
    <n v="2186"/>
    <n v="15744"/>
    <x v="917"/>
    <x v="14"/>
    <s v="Critical"/>
    <n v="16"/>
    <n v="838.81"/>
    <n v="0.09"/>
    <s v="Regular Air"/>
    <n v="290.77"/>
    <n v="55.48"/>
    <n v="6.79"/>
    <x v="235"/>
    <x v="6"/>
    <x v="5"/>
    <x v="2"/>
    <x v="0"/>
    <x v="5"/>
    <x v="812"/>
    <s v="Small Box"/>
    <n v="0.37"/>
    <d v="2010-03-22T00:00:00"/>
    <n v="0"/>
    <n v="0"/>
    <n v="1"/>
    <n v="1"/>
  </r>
  <r>
    <n v="2285"/>
    <n v="16454"/>
    <x v="186"/>
    <x v="20"/>
    <s v="Medium"/>
    <n v="12"/>
    <n v="94.39"/>
    <n v="0.04"/>
    <s v="Regular Air"/>
    <n v="-29.486000000000001"/>
    <n v="7.1"/>
    <n v="6.05"/>
    <x v="303"/>
    <x v="6"/>
    <x v="5"/>
    <x v="3"/>
    <x v="0"/>
    <x v="2"/>
    <x v="310"/>
    <s v="Small Box"/>
    <n v="0.39"/>
    <d v="2012-05-11T00:00:00"/>
    <n v="0"/>
    <n v="0"/>
    <n v="1"/>
    <n v="1"/>
  </r>
  <r>
    <n v="2314"/>
    <n v="16676"/>
    <x v="400"/>
    <x v="28"/>
    <s v="High"/>
    <n v="39"/>
    <n v="936.80199999999991"/>
    <n v="7.0000000000000007E-2"/>
    <s v="Regular Air"/>
    <n v="-12.078000000000001"/>
    <n v="28.99"/>
    <n v="8.59"/>
    <x v="501"/>
    <x v="6"/>
    <x v="5"/>
    <x v="1"/>
    <x v="1"/>
    <x v="3"/>
    <x v="382"/>
    <s v="Medium Box"/>
    <n v="0.56000000000000005"/>
    <d v="2009-03-19T00:00:00"/>
    <n v="0"/>
    <n v="0"/>
    <n v="1"/>
    <n v="1"/>
  </r>
  <r>
    <n v="2344"/>
    <n v="16897"/>
    <x v="880"/>
    <x v="8"/>
    <s v="Not Specified"/>
    <n v="1"/>
    <n v="379.8"/>
    <n v="0.02"/>
    <s v="Delivery Truck"/>
    <n v="-183.09"/>
    <n v="320.98"/>
    <n v="58.95"/>
    <x v="501"/>
    <x v="6"/>
    <x v="5"/>
    <x v="1"/>
    <x v="2"/>
    <x v="14"/>
    <x v="81"/>
    <s v="Jumbo Drum"/>
    <n v="0.56999999999999995"/>
    <d v="2012-06-17T00:00:00"/>
    <n v="0"/>
    <n v="0"/>
    <n v="0.5"/>
    <n v="0.5"/>
  </r>
  <r>
    <n v="2345"/>
    <n v="16897"/>
    <x v="880"/>
    <x v="8"/>
    <s v="Not Specified"/>
    <n v="48"/>
    <n v="107.7"/>
    <n v="0.06"/>
    <s v="Regular Air"/>
    <n v="14.97"/>
    <n v="2.21"/>
    <n v="1"/>
    <x v="501"/>
    <x v="6"/>
    <x v="5"/>
    <x v="1"/>
    <x v="0"/>
    <x v="12"/>
    <x v="1157"/>
    <s v="Wrap Bag"/>
    <n v="0.38"/>
    <d v="2012-06-17T00:00:00"/>
    <n v="0"/>
    <n v="0"/>
    <n v="0.5"/>
    <n v="0.5"/>
  </r>
  <r>
    <n v="2357"/>
    <n v="16999"/>
    <x v="1039"/>
    <x v="22"/>
    <s v="Critical"/>
    <n v="18"/>
    <n v="3568.45"/>
    <n v="0.09"/>
    <s v="Regular Air"/>
    <n v="1081.6199999999999"/>
    <n v="207.48"/>
    <n v="0.99"/>
    <x v="493"/>
    <x v="6"/>
    <x v="5"/>
    <x v="1"/>
    <x v="0"/>
    <x v="1"/>
    <x v="125"/>
    <s v="Small Box"/>
    <n v="0.55000000000000004"/>
    <d v="2009-01-21T00:00:00"/>
    <n v="0"/>
    <n v="1"/>
    <n v="1"/>
    <n v="1"/>
  </r>
  <r>
    <n v="2364"/>
    <n v="17091"/>
    <x v="42"/>
    <x v="29"/>
    <s v="Medium"/>
    <n v="45"/>
    <n v="2604.3150000000001"/>
    <n v="0"/>
    <s v="Regular Air"/>
    <n v="750.87"/>
    <n v="65.989999999999995"/>
    <n v="5.26"/>
    <x v="495"/>
    <x v="6"/>
    <x v="5"/>
    <x v="0"/>
    <x v="1"/>
    <x v="3"/>
    <x v="266"/>
    <s v="Small Box"/>
    <n v="0.56000000000000005"/>
    <d v="2012-07-22T00:00:00"/>
    <n v="0"/>
    <n v="0"/>
    <n v="1"/>
    <n v="0.5"/>
  </r>
  <r>
    <n v="2376"/>
    <n v="17249"/>
    <x v="307"/>
    <x v="18"/>
    <s v="Low"/>
    <n v="37"/>
    <n v="2911.64"/>
    <n v="0.02"/>
    <s v="Regular Air"/>
    <n v="225.28"/>
    <n v="73.98"/>
    <n v="14.52"/>
    <x v="512"/>
    <x v="6"/>
    <x v="5"/>
    <x v="2"/>
    <x v="1"/>
    <x v="7"/>
    <x v="640"/>
    <s v="Small Box"/>
    <n v="0.65"/>
    <d v="2010-09-27T00:00:00"/>
    <n v="0"/>
    <n v="0"/>
    <n v="1"/>
    <n v="0.33333333333333331"/>
  </r>
  <r>
    <n v="2435"/>
    <n v="17670"/>
    <x v="1123"/>
    <x v="26"/>
    <s v="Medium"/>
    <n v="14"/>
    <n v="36.520000000000003"/>
    <n v="7.0000000000000007E-2"/>
    <s v="Regular Air"/>
    <n v="10.050000000000001"/>
    <n v="2.61"/>
    <n v="0.5"/>
    <x v="220"/>
    <x v="6"/>
    <x v="5"/>
    <x v="2"/>
    <x v="0"/>
    <x v="11"/>
    <x v="281"/>
    <s v="Small Box"/>
    <n v="0.39"/>
    <d v="2009-08-27T00:00:00"/>
    <n v="0"/>
    <n v="0"/>
    <n v="1"/>
    <n v="0.5"/>
  </r>
  <r>
    <n v="2448"/>
    <n v="17797"/>
    <x v="701"/>
    <x v="29"/>
    <s v="Low"/>
    <n v="10"/>
    <n v="1077.28"/>
    <n v="0"/>
    <s v="Delivery Truck"/>
    <n v="-486.12"/>
    <n v="100.98"/>
    <n v="57.38"/>
    <x v="513"/>
    <x v="6"/>
    <x v="5"/>
    <x v="3"/>
    <x v="2"/>
    <x v="9"/>
    <x v="65"/>
    <s v="Jumbo Box"/>
    <n v="0.78"/>
    <d v="2012-07-12T00:00:00"/>
    <n v="0"/>
    <n v="0"/>
    <n v="0.5"/>
    <n v="0.5"/>
  </r>
  <r>
    <n v="2449"/>
    <n v="17797"/>
    <x v="701"/>
    <x v="29"/>
    <s v="Low"/>
    <n v="16"/>
    <n v="61.52"/>
    <n v="0.02"/>
    <s v="Regular Air"/>
    <n v="-8.89"/>
    <n v="3.69"/>
    <n v="2.5"/>
    <x v="513"/>
    <x v="6"/>
    <x v="5"/>
    <x v="3"/>
    <x v="0"/>
    <x v="8"/>
    <x v="500"/>
    <s v="Small Box"/>
    <n v="0.39"/>
    <d v="2012-07-14T00:00:00"/>
    <n v="0"/>
    <n v="0"/>
    <n v="0.5"/>
    <n v="0.5"/>
  </r>
  <r>
    <n v="2508"/>
    <n v="18213"/>
    <x v="930"/>
    <x v="18"/>
    <s v="Medium"/>
    <n v="29"/>
    <n v="1111.23"/>
    <n v="0.1"/>
    <s v="Regular Air"/>
    <n v="21.6"/>
    <n v="40.99"/>
    <n v="19.989999999999998"/>
    <x v="510"/>
    <x v="6"/>
    <x v="5"/>
    <x v="2"/>
    <x v="0"/>
    <x v="5"/>
    <x v="30"/>
    <s v="Small Box"/>
    <n v="0.36"/>
    <d v="2010-09-12T00:00:00"/>
    <n v="0"/>
    <n v="0"/>
    <n v="1"/>
    <n v="1"/>
  </r>
  <r>
    <n v="2510"/>
    <n v="18241"/>
    <x v="1154"/>
    <x v="42"/>
    <s v="Low"/>
    <n v="3"/>
    <n v="64.5"/>
    <n v="0.05"/>
    <s v="Regular Air"/>
    <n v="-55.11"/>
    <n v="20.89"/>
    <n v="1.99"/>
    <x v="517"/>
    <x v="6"/>
    <x v="5"/>
    <x v="3"/>
    <x v="1"/>
    <x v="7"/>
    <x v="187"/>
    <s v="Small Pack"/>
    <n v="0.48"/>
    <d v="2010-07-29T00:00:00"/>
    <n v="0"/>
    <n v="0"/>
    <n v="0.5"/>
    <n v="0.5"/>
  </r>
  <r>
    <n v="2511"/>
    <n v="18241"/>
    <x v="1154"/>
    <x v="42"/>
    <s v="Low"/>
    <n v="25"/>
    <n v="9944.49"/>
    <n v="0.08"/>
    <s v="Delivery Truck"/>
    <n v="-969.0483660000001"/>
    <n v="400.98"/>
    <n v="76.37"/>
    <x v="517"/>
    <x v="6"/>
    <x v="5"/>
    <x v="3"/>
    <x v="2"/>
    <x v="10"/>
    <x v="861"/>
    <s v="Jumbo Box"/>
    <n v="0.6"/>
    <d v="2010-07-29T00:00:00"/>
    <n v="0"/>
    <n v="0"/>
    <n v="0.5"/>
    <n v="0.5"/>
  </r>
  <r>
    <n v="2512"/>
    <n v="18244"/>
    <x v="1200"/>
    <x v="44"/>
    <s v="Critical"/>
    <n v="1"/>
    <n v="172.34"/>
    <n v="0"/>
    <s v="Regular Air"/>
    <n v="-73.22"/>
    <n v="140.81"/>
    <n v="24.49"/>
    <x v="303"/>
    <x v="6"/>
    <x v="5"/>
    <x v="3"/>
    <x v="2"/>
    <x v="14"/>
    <x v="198"/>
    <s v="Large Box"/>
    <n v="0.56999999999999995"/>
    <d v="2011-02-13T00:00:00"/>
    <n v="0"/>
    <n v="0"/>
    <n v="1"/>
    <n v="0.5"/>
  </r>
  <r>
    <n v="2548"/>
    <n v="18465"/>
    <x v="104"/>
    <x v="24"/>
    <s v="High"/>
    <n v="12"/>
    <n v="816.23"/>
    <n v="0.05"/>
    <s v="Regular Air"/>
    <n v="-353.71"/>
    <n v="64.650000000000006"/>
    <n v="35"/>
    <x v="518"/>
    <x v="6"/>
    <x v="5"/>
    <x v="0"/>
    <x v="0"/>
    <x v="0"/>
    <x v="809"/>
    <s v="Large Box"/>
    <n v="0.8"/>
    <d v="2010-04-17T00:00:00"/>
    <n v="0"/>
    <n v="0"/>
    <n v="1"/>
    <n v="1"/>
  </r>
  <r>
    <n v="2561"/>
    <n v="18528"/>
    <x v="663"/>
    <x v="37"/>
    <s v="Critical"/>
    <n v="33"/>
    <n v="340.97"/>
    <n v="7.0000000000000007E-2"/>
    <s v="Regular Air"/>
    <n v="-22.82"/>
    <n v="10.98"/>
    <n v="3.99"/>
    <x v="235"/>
    <x v="6"/>
    <x v="5"/>
    <x v="2"/>
    <x v="0"/>
    <x v="1"/>
    <x v="1161"/>
    <s v="Small Box"/>
    <n v="0.57999999999999996"/>
    <d v="2011-05-01T00:00:00"/>
    <n v="0"/>
    <n v="0"/>
    <n v="0.5"/>
    <n v="0.5"/>
  </r>
  <r>
    <n v="2562"/>
    <n v="18528"/>
    <x v="663"/>
    <x v="37"/>
    <s v="Critical"/>
    <n v="22"/>
    <n v="136.24"/>
    <n v="0.03"/>
    <s v="Regular Air"/>
    <n v="-96.22"/>
    <n v="5.78"/>
    <n v="7.96"/>
    <x v="235"/>
    <x v="6"/>
    <x v="5"/>
    <x v="2"/>
    <x v="0"/>
    <x v="5"/>
    <x v="586"/>
    <s v="Small Box"/>
    <n v="0.36"/>
    <d v="2011-05-02T00:00:00"/>
    <n v="0"/>
    <n v="0"/>
    <n v="0.5"/>
    <n v="0.5"/>
  </r>
  <r>
    <n v="2616"/>
    <n v="18917"/>
    <x v="726"/>
    <x v="20"/>
    <s v="Critical"/>
    <n v="14"/>
    <n v="28.82"/>
    <n v="0.08"/>
    <s v="Regular Air"/>
    <n v="-8.3605"/>
    <n v="2.08"/>
    <n v="1.49"/>
    <x v="504"/>
    <x v="6"/>
    <x v="5"/>
    <x v="0"/>
    <x v="0"/>
    <x v="2"/>
    <x v="610"/>
    <s v="Small Box"/>
    <n v="0.38"/>
    <d v="2012-05-05T00:00:00"/>
    <n v="0"/>
    <n v="0"/>
    <n v="1"/>
    <n v="1"/>
  </r>
  <r>
    <n v="2693"/>
    <n v="19493"/>
    <x v="328"/>
    <x v="40"/>
    <s v="Critical"/>
    <n v="31"/>
    <n v="4713.25"/>
    <n v="0.1"/>
    <s v="Regular Air"/>
    <n v="-372.48597100000006"/>
    <n v="154.13"/>
    <n v="69"/>
    <x v="507"/>
    <x v="6"/>
    <x v="5"/>
    <x v="2"/>
    <x v="2"/>
    <x v="10"/>
    <x v="609"/>
    <s v="Large Box"/>
    <n v="0.68"/>
    <d v="2009-02-03T00:00:00"/>
    <n v="0"/>
    <n v="0"/>
    <n v="1"/>
    <n v="1"/>
  </r>
  <r>
    <n v="2714"/>
    <n v="19616"/>
    <x v="1063"/>
    <x v="25"/>
    <s v="High"/>
    <n v="3"/>
    <n v="92.31"/>
    <n v="0"/>
    <s v="Regular Air"/>
    <n v="-28.95"/>
    <n v="28.15"/>
    <n v="6.17"/>
    <x v="475"/>
    <x v="6"/>
    <x v="5"/>
    <x v="2"/>
    <x v="0"/>
    <x v="12"/>
    <x v="1162"/>
    <s v="Small Pack"/>
    <n v="0.55000000000000004"/>
    <d v="2011-12-23T00:00:00"/>
    <n v="0"/>
    <n v="0"/>
    <n v="0.5"/>
    <n v="0.5"/>
  </r>
  <r>
    <n v="2715"/>
    <n v="19616"/>
    <x v="1063"/>
    <x v="25"/>
    <s v="High"/>
    <n v="42"/>
    <n v="116.94"/>
    <n v="0.06"/>
    <s v="Express Air"/>
    <n v="-10.01"/>
    <n v="2.78"/>
    <n v="1.25"/>
    <x v="475"/>
    <x v="6"/>
    <x v="5"/>
    <x v="2"/>
    <x v="0"/>
    <x v="12"/>
    <x v="365"/>
    <s v="Wrap Bag"/>
    <n v="0.59"/>
    <d v="2011-12-23T00:00:00"/>
    <n v="0"/>
    <n v="0"/>
    <n v="0.5"/>
    <n v="0.5"/>
  </r>
  <r>
    <n v="2827"/>
    <n v="20390"/>
    <x v="1053"/>
    <x v="26"/>
    <s v="Not Specified"/>
    <n v="35"/>
    <n v="1271.1199999999999"/>
    <n v="0.05"/>
    <s v="Express Air"/>
    <n v="-62.82"/>
    <n v="34.979999999999997"/>
    <n v="7.53"/>
    <x v="503"/>
    <x v="6"/>
    <x v="5"/>
    <x v="3"/>
    <x v="1"/>
    <x v="7"/>
    <x v="874"/>
    <s v="Small Box"/>
    <n v="0.76"/>
    <d v="2009-09-03T00:00:00"/>
    <n v="0"/>
    <n v="0"/>
    <n v="0.5"/>
    <n v="0.5"/>
  </r>
  <r>
    <n v="2828"/>
    <n v="20390"/>
    <x v="1053"/>
    <x v="26"/>
    <s v="Not Specified"/>
    <n v="17"/>
    <n v="58.5"/>
    <n v="0"/>
    <s v="Regular Air"/>
    <n v="-25.26"/>
    <n v="3.14"/>
    <n v="1.92"/>
    <x v="503"/>
    <x v="6"/>
    <x v="5"/>
    <x v="3"/>
    <x v="0"/>
    <x v="15"/>
    <x v="546"/>
    <s v="Wrap Bag"/>
    <n v="0.84"/>
    <d v="2009-09-02T00:00:00"/>
    <n v="0"/>
    <n v="0"/>
    <n v="0.5"/>
    <n v="0.5"/>
  </r>
  <r>
    <n v="2834"/>
    <n v="20451"/>
    <x v="935"/>
    <x v="20"/>
    <s v="Critical"/>
    <n v="6"/>
    <n v="53.72"/>
    <n v="0.1"/>
    <s v="Regular Air"/>
    <n v="2.82"/>
    <n v="8.9499999999999993"/>
    <n v="2.0099999999999998"/>
    <x v="507"/>
    <x v="6"/>
    <x v="5"/>
    <x v="2"/>
    <x v="0"/>
    <x v="5"/>
    <x v="493"/>
    <s v="Wrap Bag"/>
    <n v="0.39"/>
    <d v="2012-05-27T00:00:00"/>
    <n v="0"/>
    <n v="0"/>
    <n v="0.33333333333333331"/>
    <n v="0.33333333333333331"/>
  </r>
  <r>
    <n v="2835"/>
    <n v="20451"/>
    <x v="935"/>
    <x v="20"/>
    <s v="Critical"/>
    <n v="33"/>
    <n v="1809.21"/>
    <n v="0.04"/>
    <s v="Regular Air"/>
    <n v="454.49"/>
    <n v="55.29"/>
    <n v="5.08"/>
    <x v="507"/>
    <x v="6"/>
    <x v="5"/>
    <x v="2"/>
    <x v="0"/>
    <x v="0"/>
    <x v="179"/>
    <s v="Small Box"/>
    <n v="0.59"/>
    <d v="2012-05-27T00:00:00"/>
    <n v="0"/>
    <n v="0"/>
    <n v="0.33333333333333331"/>
    <n v="0.33333333333333331"/>
  </r>
  <r>
    <n v="2836"/>
    <n v="20451"/>
    <x v="935"/>
    <x v="20"/>
    <s v="Critical"/>
    <n v="17"/>
    <n v="9150.09"/>
    <n v="0.1"/>
    <s v="Delivery Truck"/>
    <n v="-1331.5533660000001"/>
    <n v="550.98"/>
    <n v="45.7"/>
    <x v="507"/>
    <x v="6"/>
    <x v="5"/>
    <x v="2"/>
    <x v="2"/>
    <x v="10"/>
    <x v="1079"/>
    <s v="Jumbo Box"/>
    <n v="0.71"/>
    <d v="2012-05-27T00:00:00"/>
    <n v="0"/>
    <n v="0"/>
    <n v="0.33333333333333331"/>
    <n v="0.33333333333333331"/>
  </r>
  <r>
    <n v="2845"/>
    <n v="20486"/>
    <x v="1172"/>
    <x v="5"/>
    <s v="High"/>
    <n v="34"/>
    <n v="306.3"/>
    <n v="7.0000000000000007E-2"/>
    <s v="Regular Air"/>
    <n v="18.73"/>
    <n v="9.27"/>
    <n v="4.3899999999999997"/>
    <x v="499"/>
    <x v="6"/>
    <x v="5"/>
    <x v="2"/>
    <x v="0"/>
    <x v="5"/>
    <x v="276"/>
    <s v="Wrap Bag"/>
    <n v="0.38"/>
    <d v="2011-03-06T00:00:00"/>
    <n v="0"/>
    <n v="0"/>
    <n v="0.5"/>
    <n v="0.5"/>
  </r>
  <r>
    <n v="2846"/>
    <n v="20486"/>
    <x v="1172"/>
    <x v="5"/>
    <s v="High"/>
    <n v="42"/>
    <n v="163.98"/>
    <n v="0.01"/>
    <s v="Regular Air"/>
    <n v="55.73"/>
    <n v="3.85"/>
    <n v="0.7"/>
    <x v="499"/>
    <x v="6"/>
    <x v="5"/>
    <x v="2"/>
    <x v="0"/>
    <x v="12"/>
    <x v="901"/>
    <s v="Wrap Bag"/>
    <n v="0.44"/>
    <d v="2011-03-06T00:00:00"/>
    <n v="0"/>
    <n v="0"/>
    <n v="0.5"/>
    <n v="0.5"/>
  </r>
  <r>
    <n v="2895"/>
    <n v="20899"/>
    <x v="68"/>
    <x v="24"/>
    <s v="Low"/>
    <n v="9"/>
    <n v="495.1"/>
    <n v="0.04"/>
    <s v="Regular Air"/>
    <n v="110.36"/>
    <n v="54.96"/>
    <n v="10.75"/>
    <x v="494"/>
    <x v="6"/>
    <x v="5"/>
    <x v="3"/>
    <x v="0"/>
    <x v="5"/>
    <x v="229"/>
    <s v="Small Box"/>
    <n v="0.36"/>
    <d v="2010-04-21T00:00:00"/>
    <n v="0"/>
    <n v="0"/>
    <n v="1"/>
    <n v="1"/>
  </r>
  <r>
    <n v="2918"/>
    <n v="21089"/>
    <x v="433"/>
    <x v="2"/>
    <s v="Medium"/>
    <n v="4"/>
    <n v="559.75"/>
    <n v="7.0000000000000007E-2"/>
    <s v="Delivery Truck"/>
    <n v="-331.08"/>
    <n v="122.99"/>
    <n v="70.2"/>
    <x v="513"/>
    <x v="6"/>
    <x v="5"/>
    <x v="2"/>
    <x v="2"/>
    <x v="14"/>
    <x v="301"/>
    <s v="Jumbo Drum"/>
    <n v="0.74"/>
    <d v="2011-07-30T00:00:00"/>
    <n v="0"/>
    <n v="0"/>
    <n v="1"/>
    <n v="1"/>
  </r>
  <r>
    <n v="3001"/>
    <n v="21634"/>
    <x v="671"/>
    <x v="1"/>
    <s v="Not Specified"/>
    <n v="8"/>
    <n v="1611.73"/>
    <n v="0.1"/>
    <s v="Delivery Truck"/>
    <n v="-314.61"/>
    <n v="208.16"/>
    <n v="68.02"/>
    <x v="519"/>
    <x v="6"/>
    <x v="5"/>
    <x v="3"/>
    <x v="0"/>
    <x v="1"/>
    <x v="1"/>
    <s v="Jumbo Drum"/>
    <n v="0.57999999999999996"/>
    <d v="2012-10-29T00:00:00"/>
    <n v="0"/>
    <n v="0"/>
    <n v="0.5"/>
    <n v="0.5"/>
  </r>
  <r>
    <n v="3002"/>
    <n v="21634"/>
    <x v="671"/>
    <x v="1"/>
    <s v="Not Specified"/>
    <n v="1"/>
    <n v="1946.55"/>
    <n v="7.0000000000000007E-2"/>
    <s v="Regular Air"/>
    <n v="-4017.6164999999996"/>
    <n v="1938.02"/>
    <n v="13.99"/>
    <x v="519"/>
    <x v="6"/>
    <x v="5"/>
    <x v="3"/>
    <x v="1"/>
    <x v="16"/>
    <x v="107"/>
    <s v="Medium Box"/>
    <n v="0.38"/>
    <d v="2012-10-31T00:00:00"/>
    <n v="0"/>
    <n v="0"/>
    <n v="0.5"/>
    <n v="0.5"/>
  </r>
  <r>
    <n v="3012"/>
    <n v="21665"/>
    <x v="1205"/>
    <x v="1"/>
    <s v="High"/>
    <n v="5"/>
    <n v="474.79300000000001"/>
    <n v="0.09"/>
    <s v="Express Air"/>
    <n v="-407.26400000000001"/>
    <n v="115.99"/>
    <n v="2.5"/>
    <x v="494"/>
    <x v="6"/>
    <x v="5"/>
    <x v="3"/>
    <x v="1"/>
    <x v="3"/>
    <x v="825"/>
    <s v="Small Box"/>
    <n v="0.57999999999999996"/>
    <d v="2012-10-16T00:00:00"/>
    <n v="0"/>
    <n v="0"/>
    <n v="1"/>
    <n v="1"/>
  </r>
  <r>
    <n v="3020"/>
    <n v="21729"/>
    <x v="1004"/>
    <x v="45"/>
    <s v="Low"/>
    <n v="28"/>
    <n v="120.98"/>
    <n v="0"/>
    <s v="Regular Air"/>
    <n v="-92.850999999999999"/>
    <n v="4.13"/>
    <n v="5.34"/>
    <x v="506"/>
    <x v="6"/>
    <x v="5"/>
    <x v="2"/>
    <x v="0"/>
    <x v="2"/>
    <x v="528"/>
    <s v="Small Box"/>
    <n v="0.38"/>
    <d v="2012-12-10T00:00:00"/>
    <n v="0"/>
    <n v="0"/>
    <n v="0.5"/>
    <n v="0.5"/>
  </r>
  <r>
    <n v="3021"/>
    <n v="21729"/>
    <x v="1004"/>
    <x v="45"/>
    <s v="Low"/>
    <n v="14"/>
    <n v="1082.6600000000001"/>
    <n v="0.08"/>
    <s v="Regular Air"/>
    <n v="-256.93"/>
    <n v="79.52"/>
    <n v="48.2"/>
    <x v="506"/>
    <x v="6"/>
    <x v="5"/>
    <x v="2"/>
    <x v="2"/>
    <x v="4"/>
    <x v="699"/>
    <s v="Medium Box"/>
    <n v="0.74"/>
    <d v="2012-12-13T00:00:00"/>
    <n v="0"/>
    <n v="0"/>
    <n v="0.5"/>
    <n v="0.5"/>
  </r>
  <r>
    <n v="3032"/>
    <n v="21796"/>
    <x v="902"/>
    <x v="20"/>
    <s v="Low"/>
    <n v="46"/>
    <n v="4744.6400000000003"/>
    <n v="0.04"/>
    <s v="Regular Air"/>
    <n v="1033.3800000000001"/>
    <n v="99.99"/>
    <n v="19.989999999999998"/>
    <x v="513"/>
    <x v="6"/>
    <x v="5"/>
    <x v="3"/>
    <x v="1"/>
    <x v="7"/>
    <x v="218"/>
    <s v="Small Box"/>
    <n v="0.52"/>
    <d v="2012-05-10T00:00:00"/>
    <n v="0"/>
    <n v="0"/>
    <n v="0.25"/>
    <n v="0.25"/>
  </r>
  <r>
    <n v="3033"/>
    <n v="21796"/>
    <x v="902"/>
    <x v="20"/>
    <s v="Low"/>
    <n v="2"/>
    <n v="40.825499999999998"/>
    <n v="0.01"/>
    <s v="Regular Air"/>
    <n v="-99.978999999999999"/>
    <n v="20.99"/>
    <n v="4.8099999999999996"/>
    <x v="513"/>
    <x v="6"/>
    <x v="5"/>
    <x v="3"/>
    <x v="1"/>
    <x v="3"/>
    <x v="591"/>
    <s v="Medium Box"/>
    <n v="0.57999999999999996"/>
    <d v="2012-05-06T00:00:00"/>
    <n v="0"/>
    <n v="0"/>
    <n v="0.25"/>
    <n v="0.25"/>
  </r>
  <r>
    <n v="3034"/>
    <n v="21796"/>
    <x v="902"/>
    <x v="20"/>
    <s v="Low"/>
    <n v="41"/>
    <n v="607.13"/>
    <n v="0.1"/>
    <s v="Regular Air"/>
    <n v="274.66000000000003"/>
    <n v="15.67"/>
    <n v="1.39"/>
    <x v="513"/>
    <x v="6"/>
    <x v="5"/>
    <x v="3"/>
    <x v="0"/>
    <x v="8"/>
    <x v="68"/>
    <s v="Small Box"/>
    <n v="0.38"/>
    <d v="2012-05-13T00:00:00"/>
    <n v="0"/>
    <n v="0"/>
    <n v="0.25"/>
    <n v="0.25"/>
  </r>
  <r>
    <n v="3035"/>
    <n v="21796"/>
    <x v="902"/>
    <x v="20"/>
    <s v="Low"/>
    <n v="31"/>
    <n v="34.22"/>
    <n v="7.0000000000000007E-2"/>
    <s v="Regular Air"/>
    <n v="-3.19"/>
    <n v="1.1399999999999999"/>
    <n v="0.7"/>
    <x v="513"/>
    <x v="6"/>
    <x v="5"/>
    <x v="3"/>
    <x v="0"/>
    <x v="6"/>
    <x v="1129"/>
    <s v="Wrap Bag"/>
    <n v="0.38"/>
    <d v="2012-05-11T00:00:00"/>
    <n v="0"/>
    <n v="0"/>
    <n v="0.25"/>
    <n v="0.25"/>
  </r>
  <r>
    <n v="3065"/>
    <n v="21958"/>
    <x v="1206"/>
    <x v="41"/>
    <s v="High"/>
    <n v="14"/>
    <n v="4998.03"/>
    <n v="0.09"/>
    <s v="Regular Air"/>
    <n v="1092.94"/>
    <n v="363.25"/>
    <n v="19.989999999999998"/>
    <x v="501"/>
    <x v="6"/>
    <x v="5"/>
    <x v="1"/>
    <x v="0"/>
    <x v="1"/>
    <x v="445"/>
    <s v="Small Box"/>
    <n v="0.56999999999999995"/>
    <d v="2009-06-06T00:00:00"/>
    <n v="0"/>
    <n v="0"/>
    <n v="1"/>
    <n v="0.5"/>
  </r>
  <r>
    <n v="3130"/>
    <n v="22468"/>
    <x v="1060"/>
    <x v="30"/>
    <s v="Not Specified"/>
    <n v="14"/>
    <n v="323.11"/>
    <n v="0"/>
    <s v="Regular Air"/>
    <n v="41.522500000000001"/>
    <n v="20.98"/>
    <n v="8.83"/>
    <x v="504"/>
    <x v="6"/>
    <x v="5"/>
    <x v="0"/>
    <x v="0"/>
    <x v="2"/>
    <x v="350"/>
    <s v="Small Box"/>
    <n v="0.37"/>
    <d v="2010-06-10T00:00:00"/>
    <n v="0"/>
    <n v="0"/>
    <n v="0.33333333333333331"/>
    <n v="0.33333333333333331"/>
  </r>
  <r>
    <n v="3131"/>
    <n v="22468"/>
    <x v="1060"/>
    <x v="30"/>
    <s v="Not Specified"/>
    <n v="11"/>
    <n v="65.099999999999994"/>
    <n v="0.03"/>
    <s v="Regular Air"/>
    <n v="13.31"/>
    <n v="5.68"/>
    <n v="1.46"/>
    <x v="504"/>
    <x v="6"/>
    <x v="5"/>
    <x v="0"/>
    <x v="0"/>
    <x v="5"/>
    <x v="258"/>
    <s v="Wrap Bag"/>
    <n v="0.39"/>
    <d v="2010-06-11T00:00:00"/>
    <n v="0"/>
    <n v="0"/>
    <n v="0.33333333333333331"/>
    <n v="0.33333333333333331"/>
  </r>
  <r>
    <n v="3132"/>
    <n v="22468"/>
    <x v="1060"/>
    <x v="30"/>
    <s v="Not Specified"/>
    <n v="19"/>
    <n v="163.75"/>
    <n v="0"/>
    <s v="Regular Air"/>
    <n v="23.61"/>
    <n v="7.96"/>
    <n v="4.95"/>
    <x v="504"/>
    <x v="6"/>
    <x v="5"/>
    <x v="0"/>
    <x v="2"/>
    <x v="4"/>
    <x v="736"/>
    <s v="Small Box"/>
    <n v="0.41"/>
    <d v="2010-06-12T00:00:00"/>
    <n v="0"/>
    <n v="0"/>
    <n v="0.33333333333333331"/>
    <n v="0.33333333333333331"/>
  </r>
  <r>
    <n v="3149"/>
    <n v="22626"/>
    <x v="1129"/>
    <x v="30"/>
    <s v="Critical"/>
    <n v="17"/>
    <n v="90.93"/>
    <n v="0.02"/>
    <s v="Regular Air"/>
    <n v="14.19"/>
    <n v="5.18"/>
    <n v="2.04"/>
    <x v="498"/>
    <x v="6"/>
    <x v="5"/>
    <x v="0"/>
    <x v="0"/>
    <x v="5"/>
    <x v="267"/>
    <s v="Wrap Bag"/>
    <n v="0.36"/>
    <d v="2010-07-01T00:00:00"/>
    <n v="0"/>
    <n v="0"/>
    <n v="0.5"/>
    <n v="0.5"/>
  </r>
  <r>
    <n v="3150"/>
    <n v="22626"/>
    <x v="1129"/>
    <x v="30"/>
    <s v="Critical"/>
    <n v="35"/>
    <n v="6170.9120000000003"/>
    <n v="0.04"/>
    <s v="Delivery Truck"/>
    <n v="-528.65312500000005"/>
    <n v="218.75"/>
    <n v="69.64"/>
    <x v="498"/>
    <x v="6"/>
    <x v="5"/>
    <x v="0"/>
    <x v="2"/>
    <x v="10"/>
    <x v="146"/>
    <s v="Jumbo Box"/>
    <n v="0.77"/>
    <d v="2010-07-01T00:00:00"/>
    <n v="0"/>
    <n v="0"/>
    <n v="0.5"/>
    <n v="0.5"/>
  </r>
  <r>
    <n v="3235"/>
    <n v="23205"/>
    <x v="864"/>
    <x v="43"/>
    <s v="High"/>
    <n v="8"/>
    <n v="319.62"/>
    <n v="0.08"/>
    <s v="Express Air"/>
    <n v="-16.64"/>
    <n v="40.98"/>
    <n v="7.2"/>
    <x v="493"/>
    <x v="6"/>
    <x v="5"/>
    <x v="1"/>
    <x v="0"/>
    <x v="1"/>
    <x v="1163"/>
    <s v="Small Box"/>
    <n v="0.6"/>
    <d v="2009-05-25T00:00:00"/>
    <n v="0"/>
    <n v="0"/>
    <n v="0.33333333333333331"/>
    <n v="0.33333333333333331"/>
  </r>
  <r>
    <n v="3236"/>
    <n v="23205"/>
    <x v="864"/>
    <x v="43"/>
    <s v="High"/>
    <n v="32"/>
    <n v="263.39"/>
    <n v="0.08"/>
    <s v="Express Air"/>
    <n v="-59.73"/>
    <n v="8.1199999999999992"/>
    <n v="2.83"/>
    <x v="493"/>
    <x v="6"/>
    <x v="5"/>
    <x v="1"/>
    <x v="1"/>
    <x v="7"/>
    <x v="483"/>
    <s v="Small Pack"/>
    <n v="0.77"/>
    <d v="2009-05-25T00:00:00"/>
    <n v="0"/>
    <n v="0"/>
    <n v="0.33333333333333331"/>
    <n v="0.33333333333333331"/>
  </r>
  <r>
    <n v="3237"/>
    <n v="23205"/>
    <x v="864"/>
    <x v="43"/>
    <s v="High"/>
    <n v="26"/>
    <n v="7208.8"/>
    <n v="0.02"/>
    <s v="Delivery Truck"/>
    <n v="-633.44123700000023"/>
    <n v="262.11"/>
    <n v="62.74"/>
    <x v="493"/>
    <x v="6"/>
    <x v="5"/>
    <x v="1"/>
    <x v="2"/>
    <x v="10"/>
    <x v="89"/>
    <s v="Jumbo Box"/>
    <n v="0.75"/>
    <d v="2009-05-25T00:00:00"/>
    <n v="0"/>
    <n v="0"/>
    <n v="0.33333333333333331"/>
    <n v="0.33333333333333331"/>
  </r>
  <r>
    <n v="3271"/>
    <n v="23394"/>
    <x v="36"/>
    <x v="24"/>
    <s v="High"/>
    <n v="45"/>
    <n v="101.57"/>
    <n v="0.01"/>
    <s v="Regular Air"/>
    <n v="-5.9915000000000003"/>
    <n v="2.08"/>
    <n v="1.49"/>
    <x v="495"/>
    <x v="6"/>
    <x v="5"/>
    <x v="0"/>
    <x v="0"/>
    <x v="2"/>
    <x v="610"/>
    <s v="Small Box"/>
    <n v="0.38"/>
    <d v="2010-04-30T00:00:00"/>
    <n v="0"/>
    <n v="0"/>
    <n v="1"/>
    <n v="1"/>
  </r>
  <r>
    <n v="3421"/>
    <n v="24390"/>
    <x v="93"/>
    <x v="8"/>
    <s v="Low"/>
    <n v="2"/>
    <n v="107.67"/>
    <n v="0.1"/>
    <s v="Express Air"/>
    <n v="-234.66"/>
    <n v="50.98"/>
    <n v="6.5"/>
    <x v="475"/>
    <x v="6"/>
    <x v="5"/>
    <x v="3"/>
    <x v="1"/>
    <x v="7"/>
    <x v="87"/>
    <s v="Small Box"/>
    <n v="0.73"/>
    <d v="2012-06-08T00:00:00"/>
    <n v="0"/>
    <n v="0"/>
    <n v="1"/>
    <n v="0.33333333333333331"/>
  </r>
  <r>
    <n v="3457"/>
    <n v="24643"/>
    <x v="829"/>
    <x v="13"/>
    <s v="Medium"/>
    <n v="30"/>
    <n v="2368.1679999999997"/>
    <n v="0"/>
    <s v="Regular Air"/>
    <n v="1181.2950000000001"/>
    <n v="85.99"/>
    <n v="1.25"/>
    <x v="514"/>
    <x v="6"/>
    <x v="5"/>
    <x v="2"/>
    <x v="1"/>
    <x v="3"/>
    <x v="313"/>
    <s v="Small Pack"/>
    <n v="0.39"/>
    <d v="2012-05-01T00:00:00"/>
    <n v="0"/>
    <n v="0"/>
    <n v="1"/>
    <n v="1"/>
  </r>
  <r>
    <n v="3468"/>
    <n v="24679"/>
    <x v="700"/>
    <x v="10"/>
    <s v="Not Specified"/>
    <n v="7"/>
    <n v="33.99"/>
    <n v="0.09"/>
    <s v="Regular Air"/>
    <n v="-25.86"/>
    <n v="4.7699999999999996"/>
    <n v="2.39"/>
    <x v="205"/>
    <x v="6"/>
    <x v="5"/>
    <x v="2"/>
    <x v="1"/>
    <x v="7"/>
    <x v="568"/>
    <s v="Small Pack"/>
    <n v="0.72"/>
    <d v="2011-05-08T00:00:00"/>
    <n v="0"/>
    <n v="0"/>
    <n v="1"/>
    <n v="1"/>
  </r>
  <r>
    <n v="3520"/>
    <n v="25062"/>
    <x v="1120"/>
    <x v="0"/>
    <s v="Critical"/>
    <n v="5"/>
    <n v="78.790000000000006"/>
    <n v="0.03"/>
    <s v="Regular Air"/>
    <n v="-21.29"/>
    <n v="14.42"/>
    <n v="6.75"/>
    <x v="501"/>
    <x v="6"/>
    <x v="5"/>
    <x v="1"/>
    <x v="0"/>
    <x v="1"/>
    <x v="793"/>
    <s v="Medium Box"/>
    <n v="0.52"/>
    <d v="2010-11-01T00:00:00"/>
    <n v="0"/>
    <n v="0"/>
    <n v="0.5"/>
    <n v="0.33333333333333331"/>
  </r>
  <r>
    <n v="3521"/>
    <n v="25062"/>
    <x v="1120"/>
    <x v="0"/>
    <s v="Critical"/>
    <n v="9"/>
    <n v="3928.25"/>
    <n v="0.04"/>
    <s v="Regular Air"/>
    <n v="1343.2465"/>
    <n v="420.98"/>
    <n v="19.989999999999998"/>
    <x v="501"/>
    <x v="6"/>
    <x v="5"/>
    <x v="1"/>
    <x v="0"/>
    <x v="2"/>
    <x v="461"/>
    <s v="Small Box"/>
    <n v="0.35"/>
    <d v="2010-11-01T00:00:00"/>
    <n v="0"/>
    <n v="0"/>
    <n v="0.5"/>
    <n v="0.33333333333333331"/>
  </r>
  <r>
    <n v="3532"/>
    <n v="25152"/>
    <x v="1205"/>
    <x v="1"/>
    <s v="Critical"/>
    <n v="29"/>
    <n v="195.21"/>
    <n v="7.0000000000000007E-2"/>
    <s v="Regular Air"/>
    <n v="16.399999999999999"/>
    <n v="7.08"/>
    <n v="2.35"/>
    <x v="512"/>
    <x v="6"/>
    <x v="5"/>
    <x v="2"/>
    <x v="0"/>
    <x v="12"/>
    <x v="174"/>
    <s v="Wrap Bag"/>
    <n v="0.47"/>
    <d v="2012-10-17T00:00:00"/>
    <n v="0"/>
    <n v="0"/>
    <n v="1"/>
    <n v="1"/>
  </r>
  <r>
    <n v="3576"/>
    <n v="25478"/>
    <x v="981"/>
    <x v="13"/>
    <s v="Critical"/>
    <n v="47"/>
    <n v="4725.0905000000002"/>
    <n v="0.01"/>
    <s v="Regular Air"/>
    <n v="1578.6989999999998"/>
    <n v="115.99"/>
    <n v="2.5"/>
    <x v="496"/>
    <x v="6"/>
    <x v="5"/>
    <x v="1"/>
    <x v="1"/>
    <x v="3"/>
    <x v="1018"/>
    <s v="Small Box"/>
    <n v="0.56999999999999995"/>
    <d v="2012-04-24T00:00:00"/>
    <n v="0"/>
    <n v="0"/>
    <n v="0.5"/>
    <n v="0.5"/>
  </r>
  <r>
    <n v="3577"/>
    <n v="25478"/>
    <x v="981"/>
    <x v="13"/>
    <s v="Critical"/>
    <n v="50"/>
    <n v="286.76"/>
    <n v="0.09"/>
    <s v="Regular Air"/>
    <n v="77.2"/>
    <n v="6.08"/>
    <n v="1.82"/>
    <x v="496"/>
    <x v="6"/>
    <x v="5"/>
    <x v="1"/>
    <x v="0"/>
    <x v="6"/>
    <x v="970"/>
    <s v="Wrap Bag"/>
    <n v="0.35"/>
    <d v="2012-04-26T00:00:00"/>
    <n v="0"/>
    <n v="0"/>
    <n v="0.5"/>
    <n v="0.5"/>
  </r>
  <r>
    <n v="3708"/>
    <n v="26469"/>
    <x v="1151"/>
    <x v="29"/>
    <s v="Medium"/>
    <n v="4"/>
    <n v="7406.49"/>
    <n v="0.03"/>
    <s v="Regular Air"/>
    <n v="701.21600000000001"/>
    <n v="1889.99"/>
    <n v="19.989999999999998"/>
    <x v="494"/>
    <x v="6"/>
    <x v="5"/>
    <x v="3"/>
    <x v="0"/>
    <x v="2"/>
    <x v="1164"/>
    <s v="Small Box"/>
    <n v="0.36"/>
    <d v="2012-08-01T00:00:00"/>
    <n v="0"/>
    <n v="0"/>
    <n v="0.5"/>
    <n v="0.5"/>
  </r>
  <r>
    <n v="3709"/>
    <n v="26469"/>
    <x v="1151"/>
    <x v="29"/>
    <s v="Medium"/>
    <n v="50"/>
    <n v="350.01"/>
    <n v="0.04"/>
    <s v="Regular Air"/>
    <n v="-133.43"/>
    <n v="6.68"/>
    <n v="6.93"/>
    <x v="494"/>
    <x v="6"/>
    <x v="5"/>
    <x v="3"/>
    <x v="0"/>
    <x v="5"/>
    <x v="261"/>
    <s v="Small Box"/>
    <n v="0.37"/>
    <d v="2012-07-31T00:00:00"/>
    <n v="0"/>
    <n v="0"/>
    <n v="0.5"/>
    <n v="0.5"/>
  </r>
  <r>
    <n v="3710"/>
    <n v="26470"/>
    <x v="1207"/>
    <x v="28"/>
    <s v="High"/>
    <n v="41"/>
    <n v="18081.759999999998"/>
    <n v="0.03"/>
    <s v="Regular Air"/>
    <n v="8822.2775000000001"/>
    <n v="420.98"/>
    <n v="19.989999999999998"/>
    <x v="497"/>
    <x v="6"/>
    <x v="5"/>
    <x v="3"/>
    <x v="0"/>
    <x v="2"/>
    <x v="461"/>
    <s v="Small Box"/>
    <n v="0.35"/>
    <d v="2009-03-22T00:00:00"/>
    <n v="0"/>
    <n v="0"/>
    <n v="1"/>
    <n v="1"/>
  </r>
  <r>
    <n v="3718"/>
    <n v="26565"/>
    <x v="839"/>
    <x v="19"/>
    <s v="Medium"/>
    <n v="49"/>
    <n v="21337.27"/>
    <n v="0.02"/>
    <s v="Regular Air"/>
    <n v="7606"/>
    <n v="419.19"/>
    <n v="19.989999999999998"/>
    <x v="520"/>
    <x v="6"/>
    <x v="5"/>
    <x v="2"/>
    <x v="0"/>
    <x v="0"/>
    <x v="1127"/>
    <s v="Small Box"/>
    <n v="0.57999999999999996"/>
    <d v="2009-10-22T00:00:00"/>
    <n v="0"/>
    <n v="0"/>
    <n v="1"/>
    <n v="1"/>
  </r>
  <r>
    <n v="3758"/>
    <n v="26852"/>
    <x v="1208"/>
    <x v="14"/>
    <s v="Critical"/>
    <n v="2"/>
    <n v="15.81"/>
    <n v="0.06"/>
    <s v="Regular Air"/>
    <n v="-9.8800000000000008"/>
    <n v="4.9800000000000004"/>
    <n v="6.07"/>
    <x v="496"/>
    <x v="6"/>
    <x v="5"/>
    <x v="1"/>
    <x v="0"/>
    <x v="5"/>
    <x v="231"/>
    <s v="Small Box"/>
    <n v="0.36"/>
    <d v="2010-03-08T00:00:00"/>
    <n v="0"/>
    <n v="0"/>
    <n v="1"/>
    <n v="1"/>
  </r>
  <r>
    <n v="3829"/>
    <n v="27299"/>
    <x v="98"/>
    <x v="9"/>
    <s v="Critical"/>
    <n v="41"/>
    <n v="802.16"/>
    <n v="0.1"/>
    <s v="Regular Air"/>
    <n v="-293.45"/>
    <n v="19.940000000000001"/>
    <n v="14.87"/>
    <x v="415"/>
    <x v="6"/>
    <x v="5"/>
    <x v="2"/>
    <x v="2"/>
    <x v="4"/>
    <x v="252"/>
    <s v="Large Box"/>
    <n v="0.56999999999999995"/>
    <d v="2012-08-07T00:00:00"/>
    <n v="0"/>
    <n v="0"/>
    <n v="1"/>
    <n v="1"/>
  </r>
  <r>
    <n v="3830"/>
    <n v="27300"/>
    <x v="1190"/>
    <x v="34"/>
    <s v="Not Specified"/>
    <n v="50"/>
    <n v="3333.1"/>
    <n v="0.1"/>
    <s v="Regular Air"/>
    <n v="-85.03"/>
    <n v="73.98"/>
    <n v="4"/>
    <x v="521"/>
    <x v="6"/>
    <x v="5"/>
    <x v="1"/>
    <x v="1"/>
    <x v="7"/>
    <x v="640"/>
    <s v="Small Box"/>
    <n v="0.79"/>
    <d v="2012-10-01T00:00:00"/>
    <n v="0"/>
    <n v="0"/>
    <n v="0.5"/>
    <n v="0.5"/>
  </r>
  <r>
    <n v="3831"/>
    <n v="27300"/>
    <x v="1190"/>
    <x v="34"/>
    <s v="Not Specified"/>
    <n v="27"/>
    <n v="55.68"/>
    <n v="0.04"/>
    <s v="Regular Air"/>
    <n v="0.26"/>
    <n v="2.1"/>
    <n v="0.7"/>
    <x v="521"/>
    <x v="6"/>
    <x v="5"/>
    <x v="1"/>
    <x v="0"/>
    <x v="12"/>
    <x v="1145"/>
    <s v="Wrap Bag"/>
    <n v="0.56999999999999995"/>
    <d v="2012-09-30T00:00:00"/>
    <n v="0"/>
    <n v="0"/>
    <n v="0.5"/>
    <n v="0.5"/>
  </r>
  <r>
    <n v="3864"/>
    <n v="27557"/>
    <x v="156"/>
    <x v="12"/>
    <s v="Low"/>
    <n v="18"/>
    <n v="56.13"/>
    <n v="0.02"/>
    <s v="Regular Air"/>
    <n v="-58.47"/>
    <n v="2.88"/>
    <n v="5.33"/>
    <x v="508"/>
    <x v="6"/>
    <x v="5"/>
    <x v="2"/>
    <x v="0"/>
    <x v="11"/>
    <x v="1094"/>
    <s v="Small Box"/>
    <n v="0.36"/>
    <d v="2012-02-13T00:00:00"/>
    <n v="0"/>
    <n v="0"/>
    <n v="1"/>
    <n v="1"/>
  </r>
  <r>
    <n v="3872"/>
    <n v="27654"/>
    <x v="287"/>
    <x v="18"/>
    <s v="High"/>
    <n v="12"/>
    <n v="94.83"/>
    <n v="0.02"/>
    <s v="Regular Air"/>
    <n v="29.87"/>
    <n v="7.64"/>
    <n v="1.39"/>
    <x v="519"/>
    <x v="6"/>
    <x v="5"/>
    <x v="3"/>
    <x v="0"/>
    <x v="8"/>
    <x v="872"/>
    <s v="Small Box"/>
    <n v="0.36"/>
    <d v="2010-09-26T00:00:00"/>
    <n v="0"/>
    <n v="0"/>
    <n v="1"/>
    <n v="1"/>
  </r>
  <r>
    <n v="3877"/>
    <n v="27684"/>
    <x v="115"/>
    <x v="31"/>
    <s v="Low"/>
    <n v="1"/>
    <n v="13.04"/>
    <n v="0.06"/>
    <s v="Regular Air"/>
    <n v="-6.62"/>
    <n v="10.48"/>
    <n v="2.89"/>
    <x v="498"/>
    <x v="6"/>
    <x v="5"/>
    <x v="2"/>
    <x v="0"/>
    <x v="12"/>
    <x v="373"/>
    <s v="Small Pack"/>
    <n v="0.6"/>
    <d v="2011-09-07T00:00:00"/>
    <n v="0"/>
    <n v="0"/>
    <n v="1"/>
    <n v="1"/>
  </r>
  <r>
    <n v="3899"/>
    <n v="27811"/>
    <x v="428"/>
    <x v="5"/>
    <s v="Not Specified"/>
    <n v="31"/>
    <n v="197.59"/>
    <n v="0.09"/>
    <s v="Regular Air"/>
    <n v="-73.62299999999999"/>
    <n v="6.81"/>
    <n v="5.48"/>
    <x v="522"/>
    <x v="6"/>
    <x v="5"/>
    <x v="0"/>
    <x v="0"/>
    <x v="2"/>
    <x v="964"/>
    <s v="Small Box"/>
    <n v="0.37"/>
    <d v="2011-03-06T00:00:00"/>
    <n v="0"/>
    <n v="0"/>
    <n v="0.5"/>
    <n v="0.5"/>
  </r>
  <r>
    <n v="3938"/>
    <n v="28064"/>
    <x v="1209"/>
    <x v="18"/>
    <s v="Medium"/>
    <n v="43"/>
    <n v="856.45"/>
    <n v="0.03"/>
    <s v="Regular Air"/>
    <n v="265.10000000000002"/>
    <n v="19.84"/>
    <n v="4.0999999999999996"/>
    <x v="494"/>
    <x v="6"/>
    <x v="5"/>
    <x v="3"/>
    <x v="0"/>
    <x v="12"/>
    <x v="92"/>
    <s v="Wrap Bag"/>
    <n v="0.44"/>
    <d v="2010-09-02T00:00:00"/>
    <n v="0"/>
    <n v="0"/>
    <n v="0.5"/>
    <n v="0.5"/>
  </r>
  <r>
    <n v="3939"/>
    <n v="28064"/>
    <x v="1209"/>
    <x v="18"/>
    <s v="Medium"/>
    <n v="1"/>
    <n v="6.75"/>
    <n v="0.08"/>
    <s v="Regular Air"/>
    <n v="-2.31"/>
    <n v="5.84"/>
    <n v="1"/>
    <x v="494"/>
    <x v="6"/>
    <x v="5"/>
    <x v="3"/>
    <x v="0"/>
    <x v="12"/>
    <x v="867"/>
    <s v="Wrap Bag"/>
    <n v="0.38"/>
    <d v="2010-09-02T00:00:00"/>
    <n v="0"/>
    <n v="0"/>
    <n v="0.5"/>
    <n v="0.5"/>
  </r>
  <r>
    <n v="3955"/>
    <n v="28225"/>
    <x v="605"/>
    <x v="22"/>
    <s v="Critical"/>
    <n v="13"/>
    <n v="1160.5899999999999"/>
    <n v="0.01"/>
    <s v="Regular Air"/>
    <n v="-330.14"/>
    <n v="80.98"/>
    <n v="35"/>
    <x v="510"/>
    <x v="6"/>
    <x v="5"/>
    <x v="2"/>
    <x v="0"/>
    <x v="0"/>
    <x v="798"/>
    <s v="Large Box"/>
    <n v="0.83"/>
    <d v="2009-01-24T00:00:00"/>
    <n v="0"/>
    <n v="1"/>
    <n v="0.5"/>
    <n v="1"/>
  </r>
  <r>
    <n v="3959"/>
    <n v="28258"/>
    <x v="226"/>
    <x v="28"/>
    <s v="Critical"/>
    <n v="2"/>
    <n v="201.178"/>
    <n v="7.0000000000000007E-2"/>
    <s v="Regular Air"/>
    <n v="-604.40600000000006"/>
    <n v="125.99"/>
    <n v="2.5"/>
    <x v="517"/>
    <x v="6"/>
    <x v="5"/>
    <x v="3"/>
    <x v="1"/>
    <x v="3"/>
    <x v="738"/>
    <s v="Small Box"/>
    <n v="0.6"/>
    <d v="2009-03-13T00:00:00"/>
    <n v="0"/>
    <n v="0"/>
    <n v="0.5"/>
    <n v="0.5"/>
  </r>
  <r>
    <n v="3960"/>
    <n v="28258"/>
    <x v="226"/>
    <x v="28"/>
    <s v="Critical"/>
    <n v="25"/>
    <n v="2493.2399999999998"/>
    <n v="0.03"/>
    <s v="Regular Air"/>
    <n v="293.66000000000003"/>
    <n v="99.99"/>
    <n v="19.989999999999998"/>
    <x v="517"/>
    <x v="6"/>
    <x v="5"/>
    <x v="3"/>
    <x v="1"/>
    <x v="7"/>
    <x v="218"/>
    <s v="Small Box"/>
    <n v="0.52"/>
    <d v="2009-03-14T00:00:00"/>
    <n v="0"/>
    <n v="0"/>
    <n v="0.5"/>
    <n v="0.5"/>
  </r>
  <r>
    <n v="3968"/>
    <n v="28321"/>
    <x v="1210"/>
    <x v="3"/>
    <s v="Medium"/>
    <n v="28"/>
    <n v="90.5"/>
    <n v="0.03"/>
    <s v="Regular Air"/>
    <n v="24.71"/>
    <n v="3.08"/>
    <n v="0.99"/>
    <x v="504"/>
    <x v="6"/>
    <x v="5"/>
    <x v="1"/>
    <x v="0"/>
    <x v="11"/>
    <x v="1165"/>
    <s v="Small Box"/>
    <n v="0.37"/>
    <d v="2010-08-01T00:00:00"/>
    <n v="0"/>
    <n v="0"/>
    <n v="1"/>
    <n v="1"/>
  </r>
  <r>
    <n v="3985"/>
    <n v="28454"/>
    <x v="984"/>
    <x v="9"/>
    <s v="Medium"/>
    <n v="25"/>
    <n v="157.4"/>
    <n v="7.0000000000000007E-2"/>
    <s v="Regular Air"/>
    <n v="-84"/>
    <n v="6.48"/>
    <n v="6.74"/>
    <x v="220"/>
    <x v="6"/>
    <x v="5"/>
    <x v="2"/>
    <x v="0"/>
    <x v="5"/>
    <x v="1166"/>
    <s v="Small Box"/>
    <n v="0.37"/>
    <d v="2012-08-07T00:00:00"/>
    <n v="0"/>
    <n v="0"/>
    <n v="1"/>
    <n v="1"/>
  </r>
  <r>
    <n v="4112"/>
    <n v="29255"/>
    <x v="1211"/>
    <x v="25"/>
    <s v="Low"/>
    <n v="11"/>
    <n v="617.21899999999994"/>
    <n v="0.03"/>
    <s v="Express Air"/>
    <n v="-136.09199999999998"/>
    <n v="65.989999999999995"/>
    <n v="8.99"/>
    <x v="501"/>
    <x v="6"/>
    <x v="5"/>
    <x v="1"/>
    <x v="1"/>
    <x v="3"/>
    <x v="304"/>
    <s v="Small Box"/>
    <n v="0.57999999999999996"/>
    <d v="2011-12-07T00:00:00"/>
    <n v="0"/>
    <n v="0"/>
    <n v="1"/>
    <n v="1"/>
  </r>
  <r>
    <n v="4139"/>
    <n v="29383"/>
    <x v="592"/>
    <x v="27"/>
    <s v="Medium"/>
    <n v="20"/>
    <n v="157.13"/>
    <n v="7.0000000000000007E-2"/>
    <s v="Regular Air"/>
    <n v="-46.89"/>
    <n v="8.32"/>
    <n v="2.38"/>
    <x v="235"/>
    <x v="6"/>
    <x v="5"/>
    <x v="2"/>
    <x v="1"/>
    <x v="7"/>
    <x v="1090"/>
    <s v="Small Pack"/>
    <n v="0.74"/>
    <d v="2011-11-20T00:00:00"/>
    <n v="0"/>
    <n v="0"/>
    <n v="0.25"/>
    <n v="0.25"/>
  </r>
  <r>
    <n v="4140"/>
    <n v="29383"/>
    <x v="592"/>
    <x v="27"/>
    <s v="Medium"/>
    <n v="28"/>
    <n v="195.11"/>
    <n v="0.04"/>
    <s v="Regular Air"/>
    <n v="-129.41999999999999"/>
    <n v="6.48"/>
    <n v="8.73"/>
    <x v="235"/>
    <x v="6"/>
    <x v="5"/>
    <x v="2"/>
    <x v="0"/>
    <x v="5"/>
    <x v="645"/>
    <s v="Small Box"/>
    <n v="0.37"/>
    <d v="2011-11-19T00:00:00"/>
    <n v="0"/>
    <n v="0"/>
    <n v="0.25"/>
    <n v="0.25"/>
  </r>
  <r>
    <n v="4141"/>
    <n v="29383"/>
    <x v="592"/>
    <x v="27"/>
    <s v="Medium"/>
    <n v="29"/>
    <n v="2738.7849999999999"/>
    <n v="7.0000000000000007E-2"/>
    <s v="Regular Air"/>
    <n v="556.83000000000004"/>
    <n v="115.99"/>
    <n v="2.5"/>
    <x v="235"/>
    <x v="6"/>
    <x v="5"/>
    <x v="2"/>
    <x v="1"/>
    <x v="3"/>
    <x v="825"/>
    <s v="Small Box"/>
    <n v="0.57999999999999996"/>
    <d v="2011-11-20T00:00:00"/>
    <n v="0"/>
    <n v="0"/>
    <n v="0.25"/>
    <n v="0.25"/>
  </r>
  <r>
    <n v="4142"/>
    <n v="29383"/>
    <x v="592"/>
    <x v="27"/>
    <s v="Medium"/>
    <n v="30"/>
    <n v="217.42"/>
    <n v="0.09"/>
    <s v="Regular Air"/>
    <n v="16.97"/>
    <n v="7.59"/>
    <n v="4"/>
    <x v="235"/>
    <x v="6"/>
    <x v="5"/>
    <x v="2"/>
    <x v="2"/>
    <x v="4"/>
    <x v="378"/>
    <s v="Wrap Bag"/>
    <n v="0.42"/>
    <d v="2011-11-19T00:00:00"/>
    <n v="0"/>
    <n v="0"/>
    <n v="0.25"/>
    <n v="0.25"/>
  </r>
  <r>
    <n v="4162"/>
    <n v="29507"/>
    <x v="1024"/>
    <x v="12"/>
    <s v="Low"/>
    <n v="14"/>
    <n v="3049.6320000000001"/>
    <n v="0.04"/>
    <s v="Delivery Truck"/>
    <n v="-679.0443660000002"/>
    <n v="280.98"/>
    <n v="35.67"/>
    <x v="501"/>
    <x v="6"/>
    <x v="5"/>
    <x v="1"/>
    <x v="2"/>
    <x v="10"/>
    <x v="398"/>
    <s v="Jumbo Box"/>
    <n v="0.66"/>
    <d v="2012-02-11T00:00:00"/>
    <n v="0"/>
    <n v="0"/>
    <n v="0.5"/>
    <n v="0.5"/>
  </r>
  <r>
    <n v="4163"/>
    <n v="29507"/>
    <x v="1024"/>
    <x v="12"/>
    <s v="Low"/>
    <n v="41"/>
    <n v="1274.9490000000001"/>
    <n v="0.05"/>
    <s v="Regular Air"/>
    <n v="416.988"/>
    <n v="35.99"/>
    <n v="1.1000000000000001"/>
    <x v="501"/>
    <x v="6"/>
    <x v="5"/>
    <x v="1"/>
    <x v="1"/>
    <x v="3"/>
    <x v="828"/>
    <s v="Small Box"/>
    <n v="0.55000000000000004"/>
    <d v="2012-02-14T00:00:00"/>
    <n v="0"/>
    <n v="0"/>
    <n v="0.5"/>
    <n v="0.5"/>
  </r>
  <r>
    <n v="4172"/>
    <n v="29572"/>
    <x v="489"/>
    <x v="30"/>
    <s v="Not Specified"/>
    <n v="18"/>
    <n v="2657.56"/>
    <n v="0.1"/>
    <s v="Delivery Truck"/>
    <n v="126.27855"/>
    <n v="150.97999999999999"/>
    <n v="16.010000000000002"/>
    <x v="501"/>
    <x v="6"/>
    <x v="5"/>
    <x v="3"/>
    <x v="2"/>
    <x v="10"/>
    <x v="1025"/>
    <s v="Jumbo Box"/>
    <n v="0.7"/>
    <d v="2010-06-04T00:00:00"/>
    <n v="0"/>
    <n v="0"/>
    <n v="1"/>
    <n v="0.5"/>
  </r>
  <r>
    <n v="4204"/>
    <n v="29889"/>
    <x v="881"/>
    <x v="47"/>
    <s v="Not Specified"/>
    <n v="44"/>
    <n v="243.5"/>
    <n v="0.09"/>
    <s v="Regular Air"/>
    <n v="23.87"/>
    <n v="5.98"/>
    <n v="1.67"/>
    <x v="522"/>
    <x v="6"/>
    <x v="5"/>
    <x v="0"/>
    <x v="0"/>
    <x v="12"/>
    <x v="1167"/>
    <s v="Wrap Bag"/>
    <n v="0.51"/>
    <d v="2009-12-07T00:00:00"/>
    <n v="0"/>
    <n v="0"/>
    <n v="1"/>
    <n v="1"/>
  </r>
  <r>
    <n v="4206"/>
    <n v="29894"/>
    <x v="519"/>
    <x v="18"/>
    <s v="Low"/>
    <n v="43"/>
    <n v="606.98"/>
    <n v="0.05"/>
    <s v="Regular Air"/>
    <n v="21.08"/>
    <n v="13.73"/>
    <n v="6.85"/>
    <x v="512"/>
    <x v="6"/>
    <x v="5"/>
    <x v="2"/>
    <x v="2"/>
    <x v="4"/>
    <x v="807"/>
    <s v="Wrap Bag"/>
    <n v="0.54"/>
    <d v="2010-09-16T00:00:00"/>
    <n v="0"/>
    <n v="0"/>
    <n v="0.5"/>
    <n v="0.33333333333333331"/>
  </r>
  <r>
    <n v="4207"/>
    <n v="29894"/>
    <x v="519"/>
    <x v="18"/>
    <s v="Low"/>
    <n v="48"/>
    <n v="301.62"/>
    <n v="0.09"/>
    <s v="Regular Air"/>
    <n v="-162.54"/>
    <n v="6.68"/>
    <n v="6.92"/>
    <x v="512"/>
    <x v="6"/>
    <x v="5"/>
    <x v="2"/>
    <x v="0"/>
    <x v="5"/>
    <x v="526"/>
    <s v="Small Box"/>
    <n v="0.37"/>
    <d v="2010-09-16T00:00:00"/>
    <n v="0"/>
    <n v="0"/>
    <n v="0.5"/>
    <n v="0.33333333333333331"/>
  </r>
  <r>
    <n v="4218"/>
    <n v="29985"/>
    <x v="608"/>
    <x v="29"/>
    <s v="Critical"/>
    <n v="2"/>
    <n v="24.51"/>
    <n v="0.06"/>
    <s v="Regular Air"/>
    <n v="-18.262"/>
    <n v="8.0399999999999991"/>
    <n v="8.94"/>
    <x v="510"/>
    <x v="6"/>
    <x v="5"/>
    <x v="2"/>
    <x v="0"/>
    <x v="2"/>
    <x v="401"/>
    <s v="Small Box"/>
    <n v="0.4"/>
    <d v="2012-07-13T00:00:00"/>
    <n v="0"/>
    <n v="0"/>
    <n v="0.5"/>
    <n v="1"/>
  </r>
  <r>
    <n v="4232"/>
    <n v="30054"/>
    <x v="214"/>
    <x v="34"/>
    <s v="Not Specified"/>
    <n v="33"/>
    <n v="311.19"/>
    <n v="0.03"/>
    <s v="Regular Air"/>
    <n v="-9.18"/>
    <n v="9.3800000000000008"/>
    <n v="4.93"/>
    <x v="499"/>
    <x v="6"/>
    <x v="5"/>
    <x v="2"/>
    <x v="2"/>
    <x v="4"/>
    <x v="903"/>
    <s v="Small Box"/>
    <n v="0.56999999999999995"/>
    <d v="2012-09-03T00:00:00"/>
    <n v="0"/>
    <n v="0"/>
    <n v="1"/>
    <n v="1"/>
  </r>
  <r>
    <n v="4244"/>
    <n v="30208"/>
    <x v="302"/>
    <x v="29"/>
    <s v="Low"/>
    <n v="46"/>
    <n v="1752.0964999999999"/>
    <n v="0.1"/>
    <s v="Regular Air"/>
    <n v="356.346"/>
    <n v="45.99"/>
    <n v="4.99"/>
    <x v="519"/>
    <x v="6"/>
    <x v="5"/>
    <x v="3"/>
    <x v="1"/>
    <x v="3"/>
    <x v="968"/>
    <s v="Small Box"/>
    <n v="0.56999999999999995"/>
    <d v="2012-07-16T00:00:00"/>
    <n v="0"/>
    <n v="0"/>
    <n v="1"/>
    <n v="1"/>
  </r>
  <r>
    <n v="4265"/>
    <n v="30369"/>
    <x v="5"/>
    <x v="5"/>
    <s v="Critical"/>
    <n v="13"/>
    <n v="76.81"/>
    <n v="0"/>
    <s v="Regular Air"/>
    <n v="-55.77"/>
    <n v="4.9800000000000004"/>
    <n v="7.54"/>
    <x v="517"/>
    <x v="6"/>
    <x v="5"/>
    <x v="3"/>
    <x v="0"/>
    <x v="5"/>
    <x v="1078"/>
    <s v="Small Box"/>
    <n v="0.38"/>
    <d v="2011-03-25T00:00:00"/>
    <n v="0"/>
    <n v="0"/>
    <n v="0.5"/>
    <n v="0.5"/>
  </r>
  <r>
    <n v="4266"/>
    <n v="30369"/>
    <x v="5"/>
    <x v="5"/>
    <s v="Critical"/>
    <n v="21"/>
    <n v="174.22"/>
    <n v="0.03"/>
    <s v="Regular Air"/>
    <n v="-1.23"/>
    <n v="8.34"/>
    <n v="2.64"/>
    <x v="517"/>
    <x v="6"/>
    <x v="5"/>
    <x v="3"/>
    <x v="0"/>
    <x v="15"/>
    <x v="1008"/>
    <s v="Small Pack"/>
    <n v="0.59"/>
    <d v="2011-03-25T00:00:00"/>
    <n v="0"/>
    <n v="0"/>
    <n v="0.5"/>
    <n v="0.5"/>
  </r>
  <r>
    <n v="4313"/>
    <n v="30726"/>
    <x v="11"/>
    <x v="11"/>
    <s v="Medium"/>
    <n v="35"/>
    <n v="725.15"/>
    <n v="0.05"/>
    <s v="Regular Air"/>
    <n v="140.57"/>
    <n v="20.27"/>
    <n v="3.99"/>
    <x v="497"/>
    <x v="6"/>
    <x v="5"/>
    <x v="3"/>
    <x v="0"/>
    <x v="1"/>
    <x v="1168"/>
    <s v="Small Box"/>
    <n v="0.56999999999999995"/>
    <d v="2009-11-26T00:00:00"/>
    <n v="0"/>
    <n v="0"/>
    <n v="1"/>
    <n v="1"/>
  </r>
  <r>
    <n v="4314"/>
    <n v="30727"/>
    <x v="995"/>
    <x v="29"/>
    <s v="Medium"/>
    <n v="28"/>
    <n v="1166.29"/>
    <n v="7.0000000000000007E-2"/>
    <s v="Express Air"/>
    <n v="302.86"/>
    <n v="41.71"/>
    <n v="4.5"/>
    <x v="495"/>
    <x v="6"/>
    <x v="5"/>
    <x v="0"/>
    <x v="0"/>
    <x v="1"/>
    <x v="599"/>
    <s v="Small Box"/>
    <n v="0.56000000000000005"/>
    <d v="2012-07-27T00:00:00"/>
    <n v="0"/>
    <n v="0"/>
    <n v="1"/>
    <n v="0.5"/>
  </r>
  <r>
    <n v="4341"/>
    <n v="30915"/>
    <x v="191"/>
    <x v="22"/>
    <s v="Low"/>
    <n v="20"/>
    <n v="62.78"/>
    <n v="0.04"/>
    <s v="Express Air"/>
    <n v="-17.75"/>
    <n v="2.98"/>
    <n v="2.0299999999999998"/>
    <x v="506"/>
    <x v="6"/>
    <x v="5"/>
    <x v="2"/>
    <x v="0"/>
    <x v="12"/>
    <x v="1169"/>
    <s v="Wrap Bag"/>
    <n v="0.56999999999999995"/>
    <d v="2009-01-16T00:00:00"/>
    <n v="0"/>
    <n v="1"/>
    <n v="0.5"/>
    <n v="0.5"/>
  </r>
  <r>
    <n v="4342"/>
    <n v="30915"/>
    <x v="191"/>
    <x v="22"/>
    <s v="Low"/>
    <n v="25"/>
    <n v="2836.0505000000003"/>
    <n v="0.01"/>
    <s v="Regular Air"/>
    <n v="561.13200000000006"/>
    <n v="125.99"/>
    <n v="8.99"/>
    <x v="506"/>
    <x v="6"/>
    <x v="5"/>
    <x v="2"/>
    <x v="1"/>
    <x v="3"/>
    <x v="713"/>
    <s v="Small Box"/>
    <n v="0.59"/>
    <d v="2009-01-21T00:00:00"/>
    <n v="0"/>
    <n v="1"/>
    <n v="0.5"/>
    <n v="0.5"/>
  </r>
  <r>
    <n v="4359"/>
    <n v="31072"/>
    <x v="1010"/>
    <x v="7"/>
    <s v="Low"/>
    <n v="4"/>
    <n v="701.16"/>
    <n v="0.08"/>
    <s v="Regular Air"/>
    <n v="4.5559999999999636"/>
    <n v="172.99"/>
    <n v="19.989999999999998"/>
    <x v="220"/>
    <x v="6"/>
    <x v="5"/>
    <x v="2"/>
    <x v="0"/>
    <x v="2"/>
    <x v="470"/>
    <s v="Small Box"/>
    <n v="0.39"/>
    <d v="2010-12-04T00:00:00"/>
    <n v="0"/>
    <n v="0"/>
    <n v="1"/>
    <n v="1"/>
  </r>
  <r>
    <n v="4360"/>
    <n v="31073"/>
    <x v="456"/>
    <x v="42"/>
    <s v="Medium"/>
    <n v="39"/>
    <n v="1818.76"/>
    <n v="0.02"/>
    <s v="Regular Air"/>
    <n v="843.12"/>
    <n v="46.94"/>
    <n v="6.77"/>
    <x v="494"/>
    <x v="6"/>
    <x v="5"/>
    <x v="3"/>
    <x v="2"/>
    <x v="4"/>
    <x v="852"/>
    <s v="Small Box"/>
    <n v="0.44"/>
    <d v="2010-07-28T00:00:00"/>
    <n v="0"/>
    <n v="0"/>
    <n v="0.5"/>
    <n v="0.5"/>
  </r>
  <r>
    <n v="4361"/>
    <n v="31073"/>
    <x v="456"/>
    <x v="42"/>
    <s v="Medium"/>
    <n v="26"/>
    <n v="4322.26"/>
    <n v="7.0000000000000007E-2"/>
    <s v="Regular Air"/>
    <n v="-618.95000000000005"/>
    <n v="167.27"/>
    <n v="35"/>
    <x v="494"/>
    <x v="6"/>
    <x v="5"/>
    <x v="3"/>
    <x v="0"/>
    <x v="0"/>
    <x v="758"/>
    <s v="Large Box"/>
    <n v="0.85"/>
    <d v="2010-07-25T00:00:00"/>
    <n v="0"/>
    <n v="0"/>
    <n v="0.5"/>
    <n v="0.5"/>
  </r>
  <r>
    <n v="4370"/>
    <n v="31138"/>
    <x v="472"/>
    <x v="22"/>
    <s v="High"/>
    <n v="37"/>
    <n v="1251.18"/>
    <n v="0.05"/>
    <s v="Delivery Truck"/>
    <n v="-1756.4404000000002"/>
    <n v="31.76"/>
    <n v="45.51"/>
    <x v="494"/>
    <x v="6"/>
    <x v="5"/>
    <x v="0"/>
    <x v="2"/>
    <x v="10"/>
    <x v="465"/>
    <s v="Jumbo Box"/>
    <n v="0.65"/>
    <d v="2009-01-23T00:00:00"/>
    <n v="0"/>
    <n v="1"/>
    <n v="1"/>
    <n v="1"/>
  </r>
  <r>
    <n v="4375"/>
    <n v="31173"/>
    <x v="554"/>
    <x v="9"/>
    <s v="Low"/>
    <n v="24"/>
    <n v="169.35400000000001"/>
    <n v="0.09"/>
    <s v="Express Air"/>
    <n v="-84.138999999999996"/>
    <n v="7.99"/>
    <n v="5.03"/>
    <x v="501"/>
    <x v="6"/>
    <x v="5"/>
    <x v="1"/>
    <x v="1"/>
    <x v="3"/>
    <x v="51"/>
    <s v="Medium Box"/>
    <n v="0.6"/>
    <d v="2012-08-25T00:00:00"/>
    <n v="0"/>
    <n v="0"/>
    <n v="1"/>
    <n v="1"/>
  </r>
  <r>
    <n v="4463"/>
    <n v="31812"/>
    <x v="197"/>
    <x v="2"/>
    <s v="High"/>
    <n v="14"/>
    <n v="593.62"/>
    <n v="0.02"/>
    <s v="Regular Air"/>
    <n v="25.19"/>
    <n v="40.99"/>
    <n v="19.989999999999998"/>
    <x v="518"/>
    <x v="6"/>
    <x v="5"/>
    <x v="0"/>
    <x v="0"/>
    <x v="5"/>
    <x v="30"/>
    <s v="Small Box"/>
    <n v="0.36"/>
    <d v="2011-08-02T00:00:00"/>
    <n v="0"/>
    <n v="0"/>
    <n v="0.5"/>
    <n v="0.5"/>
  </r>
  <r>
    <n v="4464"/>
    <n v="31812"/>
    <x v="197"/>
    <x v="2"/>
    <s v="High"/>
    <n v="31"/>
    <n v="38.520000000000003"/>
    <n v="0.06"/>
    <s v="Regular Air"/>
    <n v="-17.34"/>
    <n v="1.26"/>
    <n v="0.7"/>
    <x v="518"/>
    <x v="6"/>
    <x v="5"/>
    <x v="0"/>
    <x v="0"/>
    <x v="6"/>
    <x v="230"/>
    <s v="Wrap Bag"/>
    <n v="0.81"/>
    <d v="2011-08-02T00:00:00"/>
    <n v="0"/>
    <n v="0"/>
    <n v="0.5"/>
    <n v="0.5"/>
  </r>
  <r>
    <n v="4496"/>
    <n v="32002"/>
    <x v="533"/>
    <x v="42"/>
    <s v="Low"/>
    <n v="37"/>
    <n v="1196.2"/>
    <n v="0.03"/>
    <s v="Regular Air"/>
    <n v="-73.77"/>
    <n v="30.98"/>
    <n v="6.5"/>
    <x v="496"/>
    <x v="6"/>
    <x v="5"/>
    <x v="1"/>
    <x v="1"/>
    <x v="7"/>
    <x v="630"/>
    <s v="Small Box"/>
    <n v="0.79"/>
    <d v="2010-07-24T00:00:00"/>
    <n v="0"/>
    <n v="0"/>
    <n v="0.5"/>
    <n v="0.5"/>
  </r>
  <r>
    <n v="4497"/>
    <n v="32002"/>
    <x v="533"/>
    <x v="42"/>
    <s v="Low"/>
    <n v="7"/>
    <n v="98.55"/>
    <n v="7.0000000000000007E-2"/>
    <s v="Regular Air"/>
    <n v="23.16"/>
    <n v="13.79"/>
    <n v="8.7799999999999994"/>
    <x v="496"/>
    <x v="6"/>
    <x v="5"/>
    <x v="1"/>
    <x v="2"/>
    <x v="4"/>
    <x v="494"/>
    <s v="Small Box"/>
    <n v="0.43"/>
    <d v="2010-07-20T00:00:00"/>
    <n v="0"/>
    <n v="0"/>
    <n v="0.5"/>
    <n v="0.5"/>
  </r>
  <r>
    <n v="4541"/>
    <n v="32323"/>
    <x v="778"/>
    <x v="42"/>
    <s v="High"/>
    <n v="3"/>
    <n v="28.75"/>
    <n v="0.01"/>
    <s v="Regular Air"/>
    <n v="-31.43"/>
    <n v="8.4600000000000009"/>
    <n v="3.62"/>
    <x v="314"/>
    <x v="6"/>
    <x v="5"/>
    <x v="0"/>
    <x v="1"/>
    <x v="7"/>
    <x v="919"/>
    <s v="Small Pack"/>
    <n v="0.61"/>
    <d v="2010-07-24T00:00:00"/>
    <n v="0"/>
    <n v="0"/>
    <n v="0.33333333333333331"/>
    <n v="0.33333333333333331"/>
  </r>
  <r>
    <n v="4542"/>
    <n v="32323"/>
    <x v="778"/>
    <x v="42"/>
    <s v="High"/>
    <n v="3"/>
    <n v="75.81"/>
    <n v="0.06"/>
    <s v="Regular Air"/>
    <n v="-21.13"/>
    <n v="22.84"/>
    <n v="8.18"/>
    <x v="314"/>
    <x v="6"/>
    <x v="5"/>
    <x v="0"/>
    <x v="0"/>
    <x v="5"/>
    <x v="1073"/>
    <s v="Small Box"/>
    <n v="0.39"/>
    <d v="2010-07-23T00:00:00"/>
    <n v="0"/>
    <n v="0"/>
    <n v="0.33333333333333331"/>
    <n v="0.33333333333333331"/>
  </r>
  <r>
    <n v="4543"/>
    <n v="32323"/>
    <x v="778"/>
    <x v="42"/>
    <s v="High"/>
    <n v="38"/>
    <n v="259.71749999999997"/>
    <n v="0.02"/>
    <s v="Regular Air"/>
    <n v="-118.48099999999999"/>
    <n v="7.99"/>
    <n v="5.03"/>
    <x v="314"/>
    <x v="6"/>
    <x v="5"/>
    <x v="0"/>
    <x v="1"/>
    <x v="3"/>
    <x v="51"/>
    <s v="Medium Box"/>
    <n v="0.6"/>
    <d v="2010-07-25T00:00:00"/>
    <n v="0"/>
    <n v="0"/>
    <n v="0.33333333333333331"/>
    <n v="0.33333333333333331"/>
  </r>
  <r>
    <n v="4564"/>
    <n v="32454"/>
    <x v="1212"/>
    <x v="5"/>
    <s v="Critical"/>
    <n v="12"/>
    <n v="83.89"/>
    <n v="0.05"/>
    <s v="Regular Air"/>
    <n v="-29.589500000000001"/>
    <n v="6.81"/>
    <n v="5.48"/>
    <x v="523"/>
    <x v="6"/>
    <x v="5"/>
    <x v="1"/>
    <x v="0"/>
    <x v="2"/>
    <x v="964"/>
    <s v="Small Box"/>
    <n v="0.37"/>
    <d v="2011-04-01T00:00:00"/>
    <n v="0"/>
    <n v="0"/>
    <n v="1"/>
    <n v="1"/>
  </r>
  <r>
    <n v="4569"/>
    <n v="32516"/>
    <x v="356"/>
    <x v="0"/>
    <s v="Critical"/>
    <n v="15"/>
    <n v="43.96"/>
    <n v="0.03"/>
    <s v="Regular Air"/>
    <n v="-0.24149999999999999"/>
    <n v="2.78"/>
    <n v="1.49"/>
    <x v="508"/>
    <x v="6"/>
    <x v="5"/>
    <x v="2"/>
    <x v="0"/>
    <x v="2"/>
    <x v="428"/>
    <s v="Small Box"/>
    <n v="0.39"/>
    <d v="2010-10-26T00:00:00"/>
    <n v="0"/>
    <n v="0"/>
    <n v="0.5"/>
    <n v="0.5"/>
  </r>
  <r>
    <n v="4570"/>
    <n v="32516"/>
    <x v="356"/>
    <x v="0"/>
    <s v="Critical"/>
    <n v="7"/>
    <n v="60.19"/>
    <n v="0.01"/>
    <s v="Regular Air"/>
    <n v="6.44"/>
    <n v="7.78"/>
    <n v="2.5"/>
    <x v="508"/>
    <x v="6"/>
    <x v="5"/>
    <x v="2"/>
    <x v="0"/>
    <x v="8"/>
    <x v="826"/>
    <s v="Small Box"/>
    <n v="0.38"/>
    <d v="2010-10-26T00:00:00"/>
    <n v="0"/>
    <n v="0"/>
    <n v="0.5"/>
    <n v="0.5"/>
  </r>
  <r>
    <n v="4577"/>
    <n v="32608"/>
    <x v="988"/>
    <x v="20"/>
    <s v="High"/>
    <n v="20"/>
    <n v="1361.91"/>
    <n v="0.05"/>
    <s v="Regular Air"/>
    <n v="312.52"/>
    <n v="70.97"/>
    <n v="3.5"/>
    <x v="506"/>
    <x v="6"/>
    <x v="5"/>
    <x v="2"/>
    <x v="0"/>
    <x v="1"/>
    <x v="1023"/>
    <s v="Small Box"/>
    <n v="0.59"/>
    <d v="2012-05-24T00:00:00"/>
    <n v="0"/>
    <n v="0"/>
    <n v="1"/>
    <n v="1"/>
  </r>
  <r>
    <n v="4704"/>
    <n v="33510"/>
    <x v="1110"/>
    <x v="25"/>
    <s v="High"/>
    <n v="42"/>
    <n v="267.06"/>
    <n v="0.03"/>
    <s v="Regular Air"/>
    <n v="-96.95"/>
    <n v="6.24"/>
    <n v="5.22"/>
    <x v="513"/>
    <x v="6"/>
    <x v="5"/>
    <x v="2"/>
    <x v="2"/>
    <x v="4"/>
    <x v="864"/>
    <s v="Small Box"/>
    <n v="0.6"/>
    <d v="2011-12-03T00:00:00"/>
    <n v="0"/>
    <n v="0"/>
    <n v="0.5"/>
    <n v="0.5"/>
  </r>
  <r>
    <n v="4705"/>
    <n v="33510"/>
    <x v="1110"/>
    <x v="25"/>
    <s v="High"/>
    <n v="11"/>
    <n v="449.79"/>
    <n v="0.06"/>
    <s v="Regular Air"/>
    <n v="13.21"/>
    <n v="40.99"/>
    <n v="17.48"/>
    <x v="513"/>
    <x v="6"/>
    <x v="5"/>
    <x v="2"/>
    <x v="0"/>
    <x v="5"/>
    <x v="129"/>
    <s v="Small Box"/>
    <n v="0.36"/>
    <d v="2011-12-02T00:00:00"/>
    <n v="0"/>
    <n v="0"/>
    <n v="0.5"/>
    <n v="0.5"/>
  </r>
  <r>
    <n v="4709"/>
    <n v="33541"/>
    <x v="1033"/>
    <x v="8"/>
    <s v="Critical"/>
    <n v="43"/>
    <n v="512.78"/>
    <n v="0.08"/>
    <s v="Regular Air"/>
    <n v="16.14"/>
    <n v="12.2"/>
    <n v="6.02"/>
    <x v="498"/>
    <x v="6"/>
    <x v="5"/>
    <x v="0"/>
    <x v="2"/>
    <x v="4"/>
    <x v="947"/>
    <s v="Small Pack"/>
    <n v="0.43"/>
    <d v="2012-06-19T00:00:00"/>
    <n v="0"/>
    <n v="0"/>
    <n v="1"/>
    <n v="1"/>
  </r>
  <r>
    <n v="4717"/>
    <n v="33573"/>
    <x v="771"/>
    <x v="0"/>
    <s v="Critical"/>
    <n v="15"/>
    <n v="2272.56"/>
    <n v="0.06"/>
    <s v="Delivery Truck"/>
    <n v="111.0474"/>
    <n v="150.97999999999999"/>
    <n v="16.010000000000002"/>
    <x v="513"/>
    <x v="6"/>
    <x v="5"/>
    <x v="2"/>
    <x v="2"/>
    <x v="10"/>
    <x v="1025"/>
    <s v="Jumbo Box"/>
    <n v="0.7"/>
    <d v="2010-10-04T00:00:00"/>
    <n v="0"/>
    <n v="0"/>
    <n v="1"/>
    <n v="1"/>
  </r>
  <r>
    <n v="4831"/>
    <n v="34371"/>
    <x v="125"/>
    <x v="24"/>
    <s v="Medium"/>
    <n v="18"/>
    <n v="8334.0300000000007"/>
    <n v="0.05"/>
    <s v="Delivery Truck"/>
    <n v="1886.66"/>
    <n v="510.14"/>
    <n v="14.7"/>
    <x v="444"/>
    <x v="6"/>
    <x v="5"/>
    <x v="1"/>
    <x v="1"/>
    <x v="16"/>
    <x v="696"/>
    <s v="Jumbo Drum"/>
    <n v="0.56000000000000005"/>
    <d v="2010-04-03T00:00:00"/>
    <n v="0"/>
    <n v="0"/>
    <n v="1"/>
    <n v="1"/>
  </r>
  <r>
    <n v="4851"/>
    <n v="34530"/>
    <x v="81"/>
    <x v="3"/>
    <s v="Low"/>
    <n v="22"/>
    <n v="1516.13"/>
    <n v="0.06"/>
    <s v="Express Air"/>
    <n v="493.03"/>
    <n v="67.84"/>
    <n v="0.99"/>
    <x v="515"/>
    <x v="6"/>
    <x v="5"/>
    <x v="1"/>
    <x v="0"/>
    <x v="1"/>
    <x v="314"/>
    <s v="Small Box"/>
    <n v="0.57999999999999996"/>
    <d v="2010-09-01T00:00:00"/>
    <n v="0"/>
    <n v="0"/>
    <n v="0.33333333333333331"/>
    <n v="0.33333333333333331"/>
  </r>
  <r>
    <n v="4852"/>
    <n v="34530"/>
    <x v="81"/>
    <x v="3"/>
    <s v="Low"/>
    <n v="38"/>
    <n v="612.49"/>
    <n v="0.09"/>
    <s v="Regular Air"/>
    <n v="168.04"/>
    <n v="17.48"/>
    <n v="1.99"/>
    <x v="515"/>
    <x v="6"/>
    <x v="5"/>
    <x v="1"/>
    <x v="1"/>
    <x v="7"/>
    <x v="814"/>
    <s v="Small Pack"/>
    <n v="0.45"/>
    <d v="2010-09-04T00:00:00"/>
    <n v="0"/>
    <n v="0"/>
    <n v="0.33333333333333331"/>
    <n v="0.33333333333333331"/>
  </r>
  <r>
    <n v="4853"/>
    <n v="34530"/>
    <x v="81"/>
    <x v="3"/>
    <s v="Low"/>
    <n v="7"/>
    <n v="1092.42"/>
    <n v="0.03"/>
    <s v="Delivery Truck"/>
    <n v="-364.87336600000009"/>
    <n v="150.97999999999999"/>
    <n v="16.010000000000002"/>
    <x v="515"/>
    <x v="6"/>
    <x v="5"/>
    <x v="1"/>
    <x v="2"/>
    <x v="10"/>
    <x v="1025"/>
    <s v="Jumbo Box"/>
    <n v="0.7"/>
    <d v="2010-09-04T00:00:00"/>
    <n v="0"/>
    <n v="0"/>
    <n v="0.33333333333333331"/>
    <n v="0.33333333333333331"/>
  </r>
  <r>
    <n v="4855"/>
    <n v="34562"/>
    <x v="69"/>
    <x v="3"/>
    <s v="Low"/>
    <n v="22"/>
    <n v="561.91999999999996"/>
    <n v="0.1"/>
    <s v="Regular Air"/>
    <n v="57.82"/>
    <n v="28.38"/>
    <n v="1.99"/>
    <x v="498"/>
    <x v="6"/>
    <x v="5"/>
    <x v="0"/>
    <x v="1"/>
    <x v="7"/>
    <x v="1091"/>
    <s v="Small Pack"/>
    <n v="0.51"/>
    <d v="2010-08-26T00:00:00"/>
    <n v="0"/>
    <n v="0"/>
    <n v="0.5"/>
    <n v="0.5"/>
  </r>
  <r>
    <n v="4856"/>
    <n v="34562"/>
    <x v="69"/>
    <x v="3"/>
    <s v="Low"/>
    <n v="19"/>
    <n v="365.64"/>
    <n v="0.03"/>
    <s v="Regular Air"/>
    <n v="22.77"/>
    <n v="18.97"/>
    <n v="9.0299999999999994"/>
    <x v="498"/>
    <x v="6"/>
    <x v="5"/>
    <x v="0"/>
    <x v="0"/>
    <x v="5"/>
    <x v="40"/>
    <s v="Small Box"/>
    <n v="0.37"/>
    <d v="2010-08-28T00:00:00"/>
    <n v="0"/>
    <n v="0"/>
    <n v="0.5"/>
    <n v="0.5"/>
  </r>
  <r>
    <n v="4980"/>
    <n v="35430"/>
    <x v="845"/>
    <x v="14"/>
    <s v="Low"/>
    <n v="16"/>
    <n v="1835.84"/>
    <n v="0.05"/>
    <s v="Regular Air"/>
    <n v="608.74"/>
    <n v="110.98"/>
    <n v="13.99"/>
    <x v="415"/>
    <x v="6"/>
    <x v="5"/>
    <x v="3"/>
    <x v="2"/>
    <x v="4"/>
    <x v="423"/>
    <s v="Medium Box"/>
    <n v="0.69"/>
    <d v="2010-04-01T00:00:00"/>
    <n v="0"/>
    <n v="0"/>
    <n v="0.33333333333333331"/>
    <n v="0.33333333333333331"/>
  </r>
  <r>
    <n v="4981"/>
    <n v="35430"/>
    <x v="845"/>
    <x v="14"/>
    <s v="Low"/>
    <n v="48"/>
    <n v="133.43"/>
    <n v="0.1"/>
    <s v="Regular Air"/>
    <n v="9.5"/>
    <n v="2.84"/>
    <n v="0.93"/>
    <x v="415"/>
    <x v="6"/>
    <x v="5"/>
    <x v="3"/>
    <x v="0"/>
    <x v="12"/>
    <x v="25"/>
    <s v="Wrap Bag"/>
    <n v="0.54"/>
    <d v="2010-03-29T00:00:00"/>
    <n v="0"/>
    <n v="0"/>
    <n v="0.33333333333333331"/>
    <n v="0.33333333333333331"/>
  </r>
  <r>
    <n v="4982"/>
    <n v="35430"/>
    <x v="845"/>
    <x v="14"/>
    <s v="Low"/>
    <n v="31"/>
    <n v="1655.3664999999999"/>
    <n v="0.08"/>
    <s v="Regular Air"/>
    <n v="173.934"/>
    <n v="65.989999999999995"/>
    <n v="8.99"/>
    <x v="415"/>
    <x v="6"/>
    <x v="5"/>
    <x v="3"/>
    <x v="1"/>
    <x v="3"/>
    <x v="893"/>
    <s v="Small Box"/>
    <n v="0.56000000000000005"/>
    <d v="2010-03-27T00:00:00"/>
    <n v="0"/>
    <n v="0"/>
    <n v="0.33333333333333331"/>
    <n v="0.33333333333333331"/>
  </r>
  <r>
    <n v="4999"/>
    <n v="35588"/>
    <x v="446"/>
    <x v="30"/>
    <s v="Low"/>
    <n v="32"/>
    <n v="1727.79"/>
    <n v="0.1"/>
    <s v="Delivery Truck"/>
    <n v="-694.9"/>
    <n v="58.14"/>
    <n v="36.61"/>
    <x v="520"/>
    <x v="6"/>
    <x v="5"/>
    <x v="2"/>
    <x v="2"/>
    <x v="9"/>
    <x v="126"/>
    <s v="Jumbo Box"/>
    <n v="0.61"/>
    <d v="2010-06-15T00:00:00"/>
    <n v="0"/>
    <n v="0"/>
    <n v="1"/>
    <n v="1"/>
  </r>
  <r>
    <n v="5007"/>
    <n v="35712"/>
    <x v="88"/>
    <x v="1"/>
    <s v="High"/>
    <n v="42"/>
    <n v="3931.17"/>
    <n v="0.1"/>
    <s v="Regular Air"/>
    <n v="1174.02"/>
    <n v="100.97"/>
    <n v="7.18"/>
    <x v="504"/>
    <x v="6"/>
    <x v="5"/>
    <x v="1"/>
    <x v="1"/>
    <x v="7"/>
    <x v="824"/>
    <s v="Small Box"/>
    <n v="0.46"/>
    <d v="2012-10-24T00:00:00"/>
    <n v="0"/>
    <n v="0"/>
    <n v="0.5"/>
    <n v="0.5"/>
  </r>
  <r>
    <n v="5008"/>
    <n v="35712"/>
    <x v="88"/>
    <x v="1"/>
    <s v="High"/>
    <n v="24"/>
    <n v="134.88"/>
    <n v="0"/>
    <s v="Regular Air"/>
    <n v="-122.21"/>
    <n v="5.28"/>
    <n v="8.16"/>
    <x v="504"/>
    <x v="6"/>
    <x v="5"/>
    <x v="1"/>
    <x v="0"/>
    <x v="5"/>
    <x v="1115"/>
    <s v="Small Box"/>
    <n v="0.4"/>
    <d v="2012-10-23T00:00:00"/>
    <n v="0"/>
    <n v="0"/>
    <n v="0.5"/>
    <n v="0.5"/>
  </r>
  <r>
    <n v="5068"/>
    <n v="36130"/>
    <x v="558"/>
    <x v="34"/>
    <s v="Critical"/>
    <n v="23"/>
    <n v="394.8"/>
    <n v="0.1"/>
    <s v="Regular Air"/>
    <n v="-113.8"/>
    <n v="17.98"/>
    <n v="4"/>
    <x v="519"/>
    <x v="6"/>
    <x v="5"/>
    <x v="3"/>
    <x v="1"/>
    <x v="7"/>
    <x v="661"/>
    <s v="Small Box"/>
    <n v="0.79"/>
    <d v="2012-09-14T00:00:00"/>
    <n v="0"/>
    <n v="0"/>
    <n v="1"/>
    <n v="1"/>
  </r>
  <r>
    <n v="5109"/>
    <n v="36416"/>
    <x v="877"/>
    <x v="11"/>
    <s v="Low"/>
    <n v="44"/>
    <n v="276"/>
    <n v="0.08"/>
    <s v="Regular Air"/>
    <n v="-98.53"/>
    <n v="6.48"/>
    <n v="5.82"/>
    <x v="220"/>
    <x v="6"/>
    <x v="5"/>
    <x v="2"/>
    <x v="0"/>
    <x v="5"/>
    <x v="1170"/>
    <s v="Small Box"/>
    <n v="0.37"/>
    <d v="2009-12-04T00:00:00"/>
    <n v="0"/>
    <n v="0"/>
    <n v="0.5"/>
    <n v="0.5"/>
  </r>
  <r>
    <n v="5110"/>
    <n v="36416"/>
    <x v="877"/>
    <x v="11"/>
    <s v="Low"/>
    <n v="46"/>
    <n v="132.01"/>
    <n v="0.04"/>
    <s v="Regular Air"/>
    <n v="6.93"/>
    <n v="2.88"/>
    <n v="1.01"/>
    <x v="220"/>
    <x v="6"/>
    <x v="5"/>
    <x v="2"/>
    <x v="0"/>
    <x v="12"/>
    <x v="571"/>
    <s v="Wrap Bag"/>
    <n v="0.55000000000000004"/>
    <d v="2009-12-04T00:00:00"/>
    <n v="0"/>
    <n v="0"/>
    <n v="0.5"/>
    <n v="0.5"/>
  </r>
  <r>
    <n v="5111"/>
    <n v="36418"/>
    <x v="1075"/>
    <x v="23"/>
    <s v="Not Specified"/>
    <n v="33"/>
    <n v="207.92"/>
    <n v="0.08"/>
    <s v="Express Air"/>
    <n v="-124.84399999999999"/>
    <n v="6.23"/>
    <n v="6.97"/>
    <x v="508"/>
    <x v="6"/>
    <x v="5"/>
    <x v="2"/>
    <x v="0"/>
    <x v="2"/>
    <x v="764"/>
    <s v="Small Box"/>
    <n v="0.36"/>
    <d v="2012-01-28T00:00:00"/>
    <n v="0"/>
    <n v="0"/>
    <n v="1"/>
    <n v="1"/>
  </r>
  <r>
    <n v="5129"/>
    <n v="36517"/>
    <x v="1145"/>
    <x v="14"/>
    <s v="Not Specified"/>
    <n v="18"/>
    <n v="877.64"/>
    <n v="0.03"/>
    <s v="Regular Air"/>
    <n v="218.97"/>
    <n v="48.58"/>
    <n v="3.99"/>
    <x v="475"/>
    <x v="6"/>
    <x v="5"/>
    <x v="2"/>
    <x v="0"/>
    <x v="1"/>
    <x v="767"/>
    <s v="Small Box"/>
    <n v="0.56000000000000005"/>
    <d v="2010-03-02T00:00:00"/>
    <n v="0"/>
    <n v="0"/>
    <n v="0.5"/>
    <n v="0.5"/>
  </r>
  <r>
    <n v="5130"/>
    <n v="36517"/>
    <x v="1145"/>
    <x v="14"/>
    <s v="Not Specified"/>
    <n v="9"/>
    <n v="190.1"/>
    <n v="0.06"/>
    <s v="Regular Air"/>
    <n v="-63.78"/>
    <n v="20.95"/>
    <n v="4"/>
    <x v="475"/>
    <x v="6"/>
    <x v="5"/>
    <x v="2"/>
    <x v="1"/>
    <x v="7"/>
    <x v="124"/>
    <s v="Small Box"/>
    <n v="0.6"/>
    <d v="2010-03-03T00:00:00"/>
    <n v="0"/>
    <n v="0"/>
    <n v="0.5"/>
    <n v="0.5"/>
  </r>
  <r>
    <n v="5151"/>
    <n v="36705"/>
    <x v="615"/>
    <x v="41"/>
    <s v="Not Specified"/>
    <n v="17"/>
    <n v="1032.0719999999999"/>
    <n v="0.06"/>
    <s v="Delivery Truck"/>
    <n v="54.230849999999997"/>
    <n v="70.89"/>
    <n v="89.3"/>
    <x v="500"/>
    <x v="6"/>
    <x v="5"/>
    <x v="0"/>
    <x v="2"/>
    <x v="10"/>
    <x v="818"/>
    <s v="Jumbo Box"/>
    <n v="0.72"/>
    <d v="2009-06-25T00:00:00"/>
    <n v="0"/>
    <n v="0"/>
    <n v="1"/>
    <n v="0.5"/>
  </r>
  <r>
    <n v="5179"/>
    <n v="36833"/>
    <x v="608"/>
    <x v="29"/>
    <s v="Low"/>
    <n v="25"/>
    <n v="184.32"/>
    <n v="0"/>
    <s v="Regular Air"/>
    <n v="-73.33"/>
    <n v="6.68"/>
    <n v="7.3"/>
    <x v="497"/>
    <x v="6"/>
    <x v="5"/>
    <x v="3"/>
    <x v="0"/>
    <x v="5"/>
    <x v="962"/>
    <s v="Small Box"/>
    <n v="0.37"/>
    <d v="2012-07-18T00:00:00"/>
    <n v="0"/>
    <n v="0"/>
    <n v="1"/>
    <n v="1"/>
  </r>
  <r>
    <n v="5190"/>
    <n v="36896"/>
    <x v="402"/>
    <x v="11"/>
    <s v="Critical"/>
    <n v="12"/>
    <n v="34.01"/>
    <n v="0"/>
    <s v="Regular Air"/>
    <n v="10.58"/>
    <n v="2.61"/>
    <n v="0.5"/>
    <x v="506"/>
    <x v="6"/>
    <x v="5"/>
    <x v="2"/>
    <x v="0"/>
    <x v="11"/>
    <x v="281"/>
    <s v="Small Box"/>
    <n v="0.39"/>
    <d v="2009-11-05T00:00:00"/>
    <n v="0"/>
    <n v="0"/>
    <n v="0.33333333333333331"/>
    <n v="0.33333333333333331"/>
  </r>
  <r>
    <n v="5191"/>
    <n v="36896"/>
    <x v="402"/>
    <x v="11"/>
    <s v="Critical"/>
    <n v="41"/>
    <n v="1008.95"/>
    <n v="0.04"/>
    <s v="Express Air"/>
    <n v="69.31"/>
    <n v="25.38"/>
    <n v="8.99"/>
    <x v="506"/>
    <x v="6"/>
    <x v="5"/>
    <x v="2"/>
    <x v="2"/>
    <x v="4"/>
    <x v="216"/>
    <s v="Small Pack"/>
    <n v="0.5"/>
    <d v="2009-11-06T00:00:00"/>
    <n v="0"/>
    <n v="0"/>
    <n v="0.33333333333333331"/>
    <n v="0.33333333333333331"/>
  </r>
  <r>
    <n v="5192"/>
    <n v="36896"/>
    <x v="402"/>
    <x v="11"/>
    <s v="Critical"/>
    <n v="21"/>
    <n v="3508.33"/>
    <n v="0.04"/>
    <s v="Regular Air"/>
    <n v="-546.98"/>
    <n v="167.27"/>
    <n v="35"/>
    <x v="506"/>
    <x v="6"/>
    <x v="5"/>
    <x v="2"/>
    <x v="0"/>
    <x v="0"/>
    <x v="758"/>
    <s v="Large Box"/>
    <n v="0.85"/>
    <d v="2009-11-03T00:00:00"/>
    <n v="0"/>
    <n v="0"/>
    <n v="0.33333333333333331"/>
    <n v="0.33333333333333331"/>
  </r>
  <r>
    <n v="5215"/>
    <n v="37123"/>
    <x v="1213"/>
    <x v="12"/>
    <s v="High"/>
    <n v="50"/>
    <n v="794.58"/>
    <n v="0.05"/>
    <s v="Delivery Truck"/>
    <n v="11.650950000000002"/>
    <n v="15.23"/>
    <n v="27.75"/>
    <x v="314"/>
    <x v="6"/>
    <x v="5"/>
    <x v="0"/>
    <x v="2"/>
    <x v="10"/>
    <x v="897"/>
    <s v="Jumbo Box"/>
    <n v="0.76"/>
    <d v="2012-02-19T00:00:00"/>
    <n v="0"/>
    <n v="0"/>
    <n v="1"/>
    <n v="1"/>
  </r>
  <r>
    <n v="5280"/>
    <n v="37572"/>
    <x v="362"/>
    <x v="3"/>
    <s v="High"/>
    <n v="22"/>
    <n v="123.95"/>
    <n v="0.01"/>
    <s v="Regular Air"/>
    <n v="2.4224999999999999"/>
    <n v="5.34"/>
    <n v="2.99"/>
    <x v="235"/>
    <x v="6"/>
    <x v="5"/>
    <x v="2"/>
    <x v="0"/>
    <x v="2"/>
    <x v="282"/>
    <s v="Small Box"/>
    <n v="0.38"/>
    <d v="2010-08-05T00:00:00"/>
    <n v="0"/>
    <n v="0"/>
    <n v="1"/>
    <n v="1"/>
  </r>
  <r>
    <n v="5290"/>
    <n v="37669"/>
    <x v="576"/>
    <x v="0"/>
    <s v="Not Specified"/>
    <n v="39"/>
    <n v="9081.98"/>
    <n v="0.02"/>
    <s v="Express Air"/>
    <n v="2485.54"/>
    <n v="232.58"/>
    <n v="19.989999999999998"/>
    <x v="499"/>
    <x v="6"/>
    <x v="5"/>
    <x v="2"/>
    <x v="0"/>
    <x v="1"/>
    <x v="1002"/>
    <s v="Small Box"/>
    <n v="0.59"/>
    <d v="2010-10-31T00:00:00"/>
    <n v="0"/>
    <n v="0"/>
    <n v="0.33333333333333331"/>
    <n v="0.33333333333333331"/>
  </r>
  <r>
    <n v="5291"/>
    <n v="37669"/>
    <x v="576"/>
    <x v="0"/>
    <s v="Not Specified"/>
    <n v="31"/>
    <n v="806.08"/>
    <n v="0.08"/>
    <s v="Regular Air"/>
    <n v="402.37"/>
    <n v="26.17"/>
    <n v="1.39"/>
    <x v="499"/>
    <x v="6"/>
    <x v="5"/>
    <x v="2"/>
    <x v="0"/>
    <x v="8"/>
    <x v="1048"/>
    <s v="Small Box"/>
    <n v="0.38"/>
    <d v="2010-10-31T00:00:00"/>
    <n v="0"/>
    <n v="0"/>
    <n v="0.33333333333333331"/>
    <n v="0.33333333333333331"/>
  </r>
  <r>
    <n v="5292"/>
    <n v="37669"/>
    <x v="576"/>
    <x v="0"/>
    <s v="Not Specified"/>
    <n v="4"/>
    <n v="70.02"/>
    <n v="0"/>
    <s v="Regular Air"/>
    <n v="-30.63"/>
    <n v="15.31"/>
    <n v="8.7799999999999994"/>
    <x v="499"/>
    <x v="6"/>
    <x v="5"/>
    <x v="2"/>
    <x v="0"/>
    <x v="0"/>
    <x v="581"/>
    <s v="Small Box"/>
    <n v="0.56999999999999995"/>
    <d v="2010-11-01T00:00:00"/>
    <n v="0"/>
    <n v="0"/>
    <n v="0.33333333333333331"/>
    <n v="0.33333333333333331"/>
  </r>
  <r>
    <n v="5362"/>
    <n v="38117"/>
    <x v="875"/>
    <x v="24"/>
    <s v="Low"/>
    <n v="28"/>
    <n v="481.27"/>
    <n v="0.01"/>
    <s v="Regular Air"/>
    <n v="-128.88999999999999"/>
    <n v="15.7"/>
    <n v="11.25"/>
    <x v="509"/>
    <x v="6"/>
    <x v="5"/>
    <x v="3"/>
    <x v="0"/>
    <x v="0"/>
    <x v="101"/>
    <s v="Small Box"/>
    <n v="0.6"/>
    <d v="2010-04-25T00:00:00"/>
    <n v="0"/>
    <n v="0"/>
    <n v="1"/>
    <n v="1"/>
  </r>
  <r>
    <n v="5372"/>
    <n v="38210"/>
    <x v="611"/>
    <x v="15"/>
    <s v="Low"/>
    <n v="10"/>
    <n v="52.76"/>
    <n v="0.09"/>
    <s v="Regular Air"/>
    <n v="-49.53"/>
    <n v="4.9800000000000004"/>
    <n v="7.44"/>
    <x v="514"/>
    <x v="6"/>
    <x v="5"/>
    <x v="2"/>
    <x v="0"/>
    <x v="5"/>
    <x v="877"/>
    <s v="Small Box"/>
    <n v="0.36"/>
    <d v="2010-12-12T00:00:00"/>
    <n v="0"/>
    <n v="0"/>
    <n v="1"/>
    <n v="1"/>
  </r>
  <r>
    <n v="5381"/>
    <n v="38274"/>
    <x v="887"/>
    <x v="4"/>
    <s v="High"/>
    <n v="9"/>
    <n v="1225.3699999999999"/>
    <n v="0.08"/>
    <s v="Regular Air"/>
    <n v="0.98000000000001819"/>
    <n v="140.81"/>
    <n v="24.49"/>
    <x v="524"/>
    <x v="6"/>
    <x v="5"/>
    <x v="1"/>
    <x v="2"/>
    <x v="14"/>
    <x v="198"/>
    <s v="Large Box"/>
    <n v="0.56999999999999995"/>
    <d v="2011-06-12T00:00:00"/>
    <n v="0"/>
    <n v="0"/>
    <n v="0.33333333333333331"/>
    <n v="0.33333333333333331"/>
  </r>
  <r>
    <n v="5382"/>
    <n v="38274"/>
    <x v="887"/>
    <x v="4"/>
    <s v="High"/>
    <n v="27"/>
    <n v="1199.57"/>
    <n v="0.06"/>
    <s v="Regular Air"/>
    <n v="23.7"/>
    <n v="43.57"/>
    <n v="16.36"/>
    <x v="524"/>
    <x v="6"/>
    <x v="5"/>
    <x v="1"/>
    <x v="0"/>
    <x v="0"/>
    <x v="975"/>
    <s v="Small Box"/>
    <n v="0.55000000000000004"/>
    <d v="2011-06-12T00:00:00"/>
    <n v="0"/>
    <n v="0"/>
    <n v="0.33333333333333331"/>
    <n v="0.33333333333333331"/>
  </r>
  <r>
    <n v="5383"/>
    <n v="38274"/>
    <x v="887"/>
    <x v="4"/>
    <s v="High"/>
    <n v="10"/>
    <n v="484.21949999999993"/>
    <n v="0.02"/>
    <s v="Express Air"/>
    <n v="-33.792000000000002"/>
    <n v="55.99"/>
    <n v="1.25"/>
    <x v="524"/>
    <x v="6"/>
    <x v="5"/>
    <x v="1"/>
    <x v="1"/>
    <x v="3"/>
    <x v="512"/>
    <s v="Small Pack"/>
    <n v="0.55000000000000004"/>
    <d v="2011-06-11T00:00:00"/>
    <n v="0"/>
    <n v="0"/>
    <n v="0.33333333333333331"/>
    <n v="0.33333333333333331"/>
  </r>
  <r>
    <n v="5397"/>
    <n v="38370"/>
    <x v="479"/>
    <x v="37"/>
    <s v="High"/>
    <n v="50"/>
    <n v="169.13"/>
    <n v="0"/>
    <s v="Regular Air"/>
    <n v="43.05"/>
    <n v="3.14"/>
    <n v="1.1399999999999999"/>
    <x v="220"/>
    <x v="6"/>
    <x v="5"/>
    <x v="2"/>
    <x v="0"/>
    <x v="5"/>
    <x v="1171"/>
    <s v="Wrap Bag"/>
    <n v="0.4"/>
    <d v="2011-04-05T00:00:00"/>
    <n v="0"/>
    <n v="0"/>
    <n v="1"/>
    <n v="1"/>
  </r>
  <r>
    <n v="5403"/>
    <n v="38405"/>
    <x v="427"/>
    <x v="42"/>
    <s v="Medium"/>
    <n v="29"/>
    <n v="208.04"/>
    <n v="0.1"/>
    <s v="Regular Air"/>
    <n v="14.77"/>
    <n v="7.59"/>
    <n v="4"/>
    <x v="518"/>
    <x v="6"/>
    <x v="5"/>
    <x v="0"/>
    <x v="2"/>
    <x v="4"/>
    <x v="378"/>
    <s v="Wrap Bag"/>
    <n v="0.42"/>
    <d v="2010-07-18T00:00:00"/>
    <n v="0"/>
    <n v="0"/>
    <n v="1"/>
    <n v="1"/>
  </r>
  <r>
    <n v="5409"/>
    <n v="38466"/>
    <x v="1091"/>
    <x v="21"/>
    <s v="Critical"/>
    <n v="22"/>
    <n v="136.18"/>
    <n v="0.08"/>
    <s v="Regular Air"/>
    <n v="-43.26"/>
    <n v="5.98"/>
    <n v="5.46"/>
    <x v="502"/>
    <x v="6"/>
    <x v="5"/>
    <x v="2"/>
    <x v="0"/>
    <x v="5"/>
    <x v="584"/>
    <s v="Small Box"/>
    <n v="0.36"/>
    <d v="2011-08-18T00:00:00"/>
    <n v="0"/>
    <n v="0"/>
    <n v="0.33333333333333331"/>
    <n v="0.33333333333333331"/>
  </r>
  <r>
    <n v="5410"/>
    <n v="38466"/>
    <x v="1091"/>
    <x v="21"/>
    <s v="Critical"/>
    <n v="37"/>
    <n v="111.37"/>
    <n v="0.04"/>
    <s v="Regular Air"/>
    <n v="46.46"/>
    <n v="2.89"/>
    <n v="0.5"/>
    <x v="502"/>
    <x v="6"/>
    <x v="5"/>
    <x v="2"/>
    <x v="0"/>
    <x v="11"/>
    <x v="349"/>
    <s v="Small Box"/>
    <n v="0.38"/>
    <d v="2011-08-19T00:00:00"/>
    <n v="0"/>
    <n v="0"/>
    <n v="0.33333333333333331"/>
    <n v="0.33333333333333331"/>
  </r>
  <r>
    <n v="5411"/>
    <n v="38466"/>
    <x v="1091"/>
    <x v="21"/>
    <s v="Critical"/>
    <n v="15"/>
    <n v="105.48"/>
    <n v="0.02"/>
    <s v="Regular Air"/>
    <n v="-53.99"/>
    <n v="6.48"/>
    <n v="7.37"/>
    <x v="502"/>
    <x v="6"/>
    <x v="5"/>
    <x v="2"/>
    <x v="0"/>
    <x v="5"/>
    <x v="673"/>
    <s v="Small Box"/>
    <n v="0.37"/>
    <d v="2011-08-18T00:00:00"/>
    <n v="0"/>
    <n v="0"/>
    <n v="0.33333333333333331"/>
    <n v="0.33333333333333331"/>
  </r>
  <r>
    <n v="5415"/>
    <n v="38501"/>
    <x v="464"/>
    <x v="46"/>
    <s v="Critical"/>
    <n v="11"/>
    <n v="78.680000000000007"/>
    <n v="0.05"/>
    <s v="Regular Air"/>
    <n v="-29.07"/>
    <n v="6.48"/>
    <n v="6.22"/>
    <x v="510"/>
    <x v="6"/>
    <x v="5"/>
    <x v="2"/>
    <x v="0"/>
    <x v="5"/>
    <x v="731"/>
    <s v="Small Box"/>
    <n v="0.37"/>
    <d v="2009-04-29T00:00:00"/>
    <n v="0"/>
    <n v="0"/>
    <n v="1"/>
    <n v="1"/>
  </r>
  <r>
    <n v="5425"/>
    <n v="38532"/>
    <x v="685"/>
    <x v="29"/>
    <s v="High"/>
    <n v="44"/>
    <n v="128.22"/>
    <n v="7.0000000000000007E-2"/>
    <s v="Regular Air"/>
    <n v="16.510000000000002"/>
    <n v="2.94"/>
    <n v="0.7"/>
    <x v="516"/>
    <x v="6"/>
    <x v="5"/>
    <x v="2"/>
    <x v="0"/>
    <x v="12"/>
    <x v="900"/>
    <s v="Wrap Bag"/>
    <n v="0.57999999999999996"/>
    <d v="2012-07-19T00:00:00"/>
    <n v="0"/>
    <n v="0"/>
    <n v="1"/>
    <n v="1"/>
  </r>
  <r>
    <n v="5428"/>
    <n v="38564"/>
    <x v="868"/>
    <x v="11"/>
    <s v="Critical"/>
    <n v="31"/>
    <n v="904.93"/>
    <n v="0.08"/>
    <s v="Regular Air"/>
    <n v="-53.4"/>
    <n v="30.97"/>
    <n v="4"/>
    <x v="513"/>
    <x v="6"/>
    <x v="5"/>
    <x v="3"/>
    <x v="1"/>
    <x v="7"/>
    <x v="730"/>
    <s v="Small Box"/>
    <n v="0.74"/>
    <d v="2009-11-03T00:00:00"/>
    <n v="0"/>
    <n v="0"/>
    <n v="0.33333333333333331"/>
    <n v="0.5"/>
  </r>
  <r>
    <n v="5429"/>
    <n v="38564"/>
    <x v="868"/>
    <x v="11"/>
    <s v="Critical"/>
    <n v="21"/>
    <n v="98.51"/>
    <n v="0.1"/>
    <s v="Express Air"/>
    <n v="45.93"/>
    <n v="4.13"/>
    <n v="0.5"/>
    <x v="513"/>
    <x v="6"/>
    <x v="5"/>
    <x v="3"/>
    <x v="0"/>
    <x v="11"/>
    <x v="84"/>
    <s v="Small Box"/>
    <n v="0.39"/>
    <d v="2009-11-04T00:00:00"/>
    <n v="0"/>
    <n v="0"/>
    <n v="0.33333333333333331"/>
    <n v="0.5"/>
  </r>
  <r>
    <n v="5481"/>
    <n v="38915"/>
    <x v="627"/>
    <x v="35"/>
    <s v="Medium"/>
    <n v="12"/>
    <n v="96.73"/>
    <n v="0.08"/>
    <s v="Regular Air"/>
    <n v="-83.65"/>
    <n v="7.77"/>
    <n v="9.23"/>
    <x v="514"/>
    <x v="6"/>
    <x v="5"/>
    <x v="2"/>
    <x v="0"/>
    <x v="1"/>
    <x v="1009"/>
    <s v="Small Box"/>
    <n v="0.57999999999999996"/>
    <d v="2009-09-18T00:00:00"/>
    <n v="0"/>
    <n v="0"/>
    <n v="0.5"/>
    <n v="0.5"/>
  </r>
  <r>
    <n v="5482"/>
    <n v="38915"/>
    <x v="627"/>
    <x v="35"/>
    <s v="Medium"/>
    <n v="34"/>
    <n v="253.6"/>
    <n v="7.0000000000000007E-2"/>
    <s v="Regular Air"/>
    <n v="24.39"/>
    <n v="7.59"/>
    <n v="4"/>
    <x v="514"/>
    <x v="6"/>
    <x v="5"/>
    <x v="2"/>
    <x v="2"/>
    <x v="4"/>
    <x v="378"/>
    <s v="Wrap Bag"/>
    <n v="0.42"/>
    <d v="2009-09-19T00:00:00"/>
    <n v="0"/>
    <n v="0"/>
    <n v="0.5"/>
    <n v="0.5"/>
  </r>
  <r>
    <n v="5487"/>
    <n v="38947"/>
    <x v="213"/>
    <x v="11"/>
    <s v="Critical"/>
    <n v="20"/>
    <n v="307.45999999999998"/>
    <n v="0.02"/>
    <s v="Regular Air"/>
    <n v="4.91"/>
    <n v="14.58"/>
    <n v="7.4"/>
    <x v="303"/>
    <x v="6"/>
    <x v="5"/>
    <x v="3"/>
    <x v="2"/>
    <x v="4"/>
    <x v="505"/>
    <s v="Small Box"/>
    <n v="0.48"/>
    <d v="2009-12-01T00:00:00"/>
    <n v="0"/>
    <n v="0"/>
    <n v="1"/>
    <n v="1"/>
  </r>
  <r>
    <n v="5512"/>
    <n v="39078"/>
    <x v="794"/>
    <x v="41"/>
    <s v="Low"/>
    <n v="10"/>
    <n v="36.909999999999997"/>
    <n v="7.0000000000000007E-2"/>
    <s v="Regular Air"/>
    <n v="-27.72"/>
    <n v="3.28"/>
    <n v="3.97"/>
    <x v="512"/>
    <x v="6"/>
    <x v="5"/>
    <x v="2"/>
    <x v="0"/>
    <x v="12"/>
    <x v="431"/>
    <s v="Wrap Bag"/>
    <n v="0.56000000000000005"/>
    <d v="2009-06-23T00:00:00"/>
    <n v="0"/>
    <n v="0"/>
    <n v="0.33333333333333331"/>
    <n v="0.33333333333333331"/>
  </r>
  <r>
    <n v="5513"/>
    <n v="39078"/>
    <x v="794"/>
    <x v="41"/>
    <s v="Low"/>
    <n v="8"/>
    <n v="2155.84"/>
    <n v="0.02"/>
    <s v="Regular Air"/>
    <n v="-267.63"/>
    <n v="256.99"/>
    <n v="11.25"/>
    <x v="512"/>
    <x v="6"/>
    <x v="5"/>
    <x v="2"/>
    <x v="1"/>
    <x v="7"/>
    <x v="719"/>
    <s v="Small Box"/>
    <n v="0.51"/>
    <d v="2009-06-30T00:00:00"/>
    <n v="0"/>
    <n v="0"/>
    <n v="0.33333333333333331"/>
    <n v="0.33333333333333331"/>
  </r>
  <r>
    <n v="5514"/>
    <n v="39078"/>
    <x v="794"/>
    <x v="41"/>
    <s v="Low"/>
    <n v="26"/>
    <n v="175.27"/>
    <n v="0.01"/>
    <s v="Regular Air"/>
    <n v="-33.67"/>
    <n v="6.48"/>
    <n v="5.14"/>
    <x v="512"/>
    <x v="6"/>
    <x v="5"/>
    <x v="2"/>
    <x v="0"/>
    <x v="5"/>
    <x v="896"/>
    <s v="Small Box"/>
    <n v="0.37"/>
    <d v="2009-06-25T00:00:00"/>
    <n v="0"/>
    <n v="0"/>
    <n v="0.33333333333333331"/>
    <n v="0.33333333333333331"/>
  </r>
  <r>
    <n v="5524"/>
    <n v="39141"/>
    <x v="1214"/>
    <x v="43"/>
    <s v="Low"/>
    <n v="49"/>
    <n v="1400.91"/>
    <n v="0.09"/>
    <s v="Regular Air"/>
    <n v="-163.53"/>
    <n v="30.98"/>
    <n v="19.510000000000002"/>
    <x v="496"/>
    <x v="6"/>
    <x v="5"/>
    <x v="1"/>
    <x v="0"/>
    <x v="8"/>
    <x v="1061"/>
    <s v="Small Box"/>
    <n v="0.36"/>
    <d v="2009-05-05T00:00:00"/>
    <n v="0"/>
    <n v="0"/>
    <n v="0.5"/>
    <n v="0.5"/>
  </r>
  <r>
    <n v="5525"/>
    <n v="39141"/>
    <x v="1214"/>
    <x v="43"/>
    <s v="Low"/>
    <n v="47"/>
    <n v="2259.66"/>
    <n v="0.03"/>
    <s v="Regular Air"/>
    <n v="554.77"/>
    <n v="49.34"/>
    <n v="10.25"/>
    <x v="496"/>
    <x v="6"/>
    <x v="5"/>
    <x v="1"/>
    <x v="2"/>
    <x v="4"/>
    <x v="945"/>
    <s v="Large Box"/>
    <n v="0.56999999999999995"/>
    <d v="2009-05-05T00:00:00"/>
    <n v="0"/>
    <n v="0"/>
    <n v="0.5"/>
    <n v="0.5"/>
  </r>
  <r>
    <n v="5570"/>
    <n v="39460"/>
    <x v="1215"/>
    <x v="43"/>
    <s v="Not Specified"/>
    <n v="25"/>
    <n v="172.42"/>
    <n v="0.09"/>
    <s v="Regular Air"/>
    <n v="-71.59899999999999"/>
    <n v="7.1"/>
    <n v="6.05"/>
    <x v="521"/>
    <x v="6"/>
    <x v="5"/>
    <x v="1"/>
    <x v="0"/>
    <x v="2"/>
    <x v="310"/>
    <s v="Small Box"/>
    <n v="0.39"/>
    <d v="2009-05-04T00:00:00"/>
    <n v="0"/>
    <n v="0"/>
    <n v="0.5"/>
    <n v="0.5"/>
  </r>
  <r>
    <n v="5571"/>
    <n v="39460"/>
    <x v="1215"/>
    <x v="43"/>
    <s v="Not Specified"/>
    <n v="19"/>
    <n v="2033.9224999999999"/>
    <n v="0.02"/>
    <s v="Regular Air"/>
    <n v="251.19900000000001"/>
    <n v="125.99"/>
    <n v="2.5"/>
    <x v="521"/>
    <x v="6"/>
    <x v="5"/>
    <x v="1"/>
    <x v="1"/>
    <x v="3"/>
    <x v="738"/>
    <s v="Small Box"/>
    <n v="0.6"/>
    <d v="2009-05-03T00:00:00"/>
    <n v="0"/>
    <n v="0"/>
    <n v="0.5"/>
    <n v="0.5"/>
  </r>
  <r>
    <n v="5639"/>
    <n v="39904"/>
    <x v="328"/>
    <x v="40"/>
    <s v="Not Specified"/>
    <n v="44"/>
    <n v="363.92"/>
    <n v="0"/>
    <s v="Regular Air"/>
    <n v="-144.56"/>
    <n v="8.09"/>
    <n v="7.96"/>
    <x v="499"/>
    <x v="6"/>
    <x v="5"/>
    <x v="1"/>
    <x v="2"/>
    <x v="4"/>
    <x v="1172"/>
    <s v="Small Box"/>
    <n v="0.49"/>
    <d v="2009-02-03T00:00:00"/>
    <n v="0"/>
    <n v="0"/>
    <n v="1"/>
    <n v="1"/>
  </r>
  <r>
    <n v="5643"/>
    <n v="39909"/>
    <x v="593"/>
    <x v="44"/>
    <s v="Low"/>
    <n v="50"/>
    <n v="7778.7579999999998"/>
    <n v="0"/>
    <s v="Regular Air"/>
    <n v="2547.297"/>
    <n v="175.99"/>
    <n v="4.99"/>
    <x v="303"/>
    <x v="6"/>
    <x v="5"/>
    <x v="3"/>
    <x v="1"/>
    <x v="3"/>
    <x v="602"/>
    <s v="Small Box"/>
    <n v="0.59"/>
    <d v="2011-03-04T00:00:00"/>
    <n v="0"/>
    <n v="0"/>
    <n v="1"/>
    <n v="0.5"/>
  </r>
  <r>
    <n v="5669"/>
    <n v="40100"/>
    <x v="1216"/>
    <x v="12"/>
    <s v="Low"/>
    <n v="47"/>
    <n v="1001.17"/>
    <n v="0"/>
    <s v="Regular Air"/>
    <n v="333.18"/>
    <n v="19.98"/>
    <n v="5.77"/>
    <x v="503"/>
    <x v="6"/>
    <x v="5"/>
    <x v="3"/>
    <x v="0"/>
    <x v="5"/>
    <x v="93"/>
    <s v="Small Box"/>
    <n v="0.38"/>
    <d v="2012-02-08T00:00:00"/>
    <n v="0"/>
    <n v="0"/>
    <n v="1"/>
    <n v="1"/>
  </r>
  <r>
    <n v="5689"/>
    <n v="40224"/>
    <x v="1217"/>
    <x v="41"/>
    <s v="Low"/>
    <n v="14"/>
    <n v="890.9"/>
    <n v="0.05"/>
    <s v="Express Air"/>
    <n v="404.29"/>
    <n v="63.94"/>
    <n v="14.48"/>
    <x v="501"/>
    <x v="6"/>
    <x v="5"/>
    <x v="1"/>
    <x v="2"/>
    <x v="4"/>
    <x v="308"/>
    <s v="Small Box"/>
    <n v="0.46"/>
    <d v="2009-07-07T00:00:00"/>
    <n v="0"/>
    <n v="0"/>
    <n v="1"/>
    <n v="0.5"/>
  </r>
  <r>
    <n v="5712"/>
    <n v="40422"/>
    <x v="514"/>
    <x v="2"/>
    <s v="Critical"/>
    <n v="39"/>
    <n v="2192.4389999999999"/>
    <n v="0.06"/>
    <s v="Express Air"/>
    <n v="517.81500000000005"/>
    <n v="65.989999999999995"/>
    <n v="3.99"/>
    <x v="496"/>
    <x v="6"/>
    <x v="5"/>
    <x v="1"/>
    <x v="1"/>
    <x v="3"/>
    <x v="440"/>
    <s v="Small Box"/>
    <n v="0.59"/>
    <d v="2011-07-20T00:00:00"/>
    <n v="0"/>
    <n v="0"/>
    <n v="1"/>
    <n v="0.33333333333333331"/>
  </r>
  <r>
    <n v="5743"/>
    <n v="40802"/>
    <x v="961"/>
    <x v="34"/>
    <s v="High"/>
    <n v="28"/>
    <n v="3361.02"/>
    <n v="0.04"/>
    <s v="Delivery Truck"/>
    <n v="26.05"/>
    <n v="115.99"/>
    <n v="56.14"/>
    <x v="444"/>
    <x v="6"/>
    <x v="5"/>
    <x v="1"/>
    <x v="1"/>
    <x v="16"/>
    <x v="357"/>
    <s v="Jumbo Drum"/>
    <n v="0.4"/>
    <d v="2012-09-04T00:00:00"/>
    <n v="0"/>
    <n v="0"/>
    <n v="1"/>
    <n v="1"/>
  </r>
  <r>
    <n v="5755"/>
    <n v="40839"/>
    <x v="616"/>
    <x v="33"/>
    <s v="Medium"/>
    <n v="23"/>
    <n v="2732.01"/>
    <n v="0.04"/>
    <s v="Delivery Truck"/>
    <n v="-100.4676"/>
    <n v="119.99"/>
    <n v="56.14"/>
    <x v="510"/>
    <x v="6"/>
    <x v="5"/>
    <x v="2"/>
    <x v="1"/>
    <x v="16"/>
    <x v="735"/>
    <s v="Jumbo Box"/>
    <n v="0.39"/>
    <d v="2012-04-01T00:00:00"/>
    <n v="0"/>
    <n v="0"/>
    <n v="1"/>
    <n v="1"/>
  </r>
  <r>
    <n v="5777"/>
    <n v="40997"/>
    <x v="1165"/>
    <x v="46"/>
    <s v="Low"/>
    <n v="12"/>
    <n v="382.29"/>
    <n v="0.05"/>
    <s v="Express Air"/>
    <n v="61.47"/>
    <n v="30.98"/>
    <n v="9.18"/>
    <x v="522"/>
    <x v="6"/>
    <x v="5"/>
    <x v="0"/>
    <x v="0"/>
    <x v="5"/>
    <x v="1089"/>
    <s v="Small Box"/>
    <n v="0.4"/>
    <d v="2009-04-21T00:00:00"/>
    <n v="0"/>
    <n v="0"/>
    <n v="0.25"/>
    <n v="0.2"/>
  </r>
  <r>
    <n v="5778"/>
    <n v="40997"/>
    <x v="1165"/>
    <x v="46"/>
    <s v="Low"/>
    <n v="37"/>
    <n v="881.74"/>
    <n v="0.05"/>
    <s v="Regular Air"/>
    <n v="18.27"/>
    <n v="22.99"/>
    <n v="8.99"/>
    <x v="522"/>
    <x v="6"/>
    <x v="5"/>
    <x v="0"/>
    <x v="0"/>
    <x v="12"/>
    <x v="416"/>
    <s v="Small Pack"/>
    <n v="0.56999999999999995"/>
    <d v="2009-04-28T00:00:00"/>
    <n v="0"/>
    <n v="0"/>
    <n v="0.25"/>
    <n v="0.2"/>
  </r>
  <r>
    <n v="5779"/>
    <n v="40997"/>
    <x v="1165"/>
    <x v="46"/>
    <s v="Low"/>
    <n v="1"/>
    <n v="22.61"/>
    <n v="0.03"/>
    <s v="Regular Air"/>
    <n v="-8.4"/>
    <n v="14.97"/>
    <n v="7.51"/>
    <x v="522"/>
    <x v="6"/>
    <x v="5"/>
    <x v="0"/>
    <x v="0"/>
    <x v="0"/>
    <x v="270"/>
    <s v="Small Box"/>
    <n v="0.56999999999999995"/>
    <d v="2009-04-23T00:00:00"/>
    <n v="0"/>
    <n v="0"/>
    <n v="0.25"/>
    <n v="0.2"/>
  </r>
  <r>
    <n v="5780"/>
    <n v="40997"/>
    <x v="1165"/>
    <x v="46"/>
    <s v="Low"/>
    <n v="33"/>
    <n v="7384.18"/>
    <n v="0.04"/>
    <s v="Delivery Truck"/>
    <n v="-513.79042000000004"/>
    <n v="212.6"/>
    <n v="110.2"/>
    <x v="522"/>
    <x v="6"/>
    <x v="5"/>
    <x v="0"/>
    <x v="2"/>
    <x v="10"/>
    <x v="763"/>
    <s v="Jumbo Box"/>
    <n v="0.73"/>
    <d v="2009-04-25T00:00:00"/>
    <n v="0"/>
    <n v="0"/>
    <n v="0.25"/>
    <n v="0.2"/>
  </r>
  <r>
    <n v="5806"/>
    <n v="41185"/>
    <x v="516"/>
    <x v="47"/>
    <s v="Critical"/>
    <n v="2"/>
    <n v="18.809999999999999"/>
    <n v="0.08"/>
    <s v="Regular Air"/>
    <n v="-12.83"/>
    <n v="5.78"/>
    <n v="7.96"/>
    <x v="514"/>
    <x v="6"/>
    <x v="5"/>
    <x v="2"/>
    <x v="0"/>
    <x v="5"/>
    <x v="586"/>
    <s v="Small Box"/>
    <n v="0.36"/>
    <d v="2009-12-07T00:00:00"/>
    <n v="0"/>
    <n v="0"/>
    <n v="1"/>
    <n v="1"/>
  </r>
  <r>
    <n v="5816"/>
    <n v="41253"/>
    <x v="1195"/>
    <x v="43"/>
    <s v="Medium"/>
    <n v="5"/>
    <n v="1455.49"/>
    <n v="7.0000000000000007E-2"/>
    <s v="Regular Air"/>
    <n v="-807.59"/>
    <n v="300.97000000000003"/>
    <n v="7.18"/>
    <x v="504"/>
    <x v="6"/>
    <x v="5"/>
    <x v="0"/>
    <x v="1"/>
    <x v="7"/>
    <x v="1130"/>
    <s v="Small Box"/>
    <n v="0.48"/>
    <d v="2009-05-09T00:00:00"/>
    <n v="0"/>
    <n v="0"/>
    <n v="1"/>
    <n v="1"/>
  </r>
  <r>
    <n v="5831"/>
    <n v="41378"/>
    <x v="149"/>
    <x v="1"/>
    <s v="Not Specified"/>
    <n v="30"/>
    <n v="5454.51"/>
    <n v="0.03"/>
    <s v="Delivery Truck"/>
    <n v="446.26"/>
    <n v="180.98"/>
    <n v="30"/>
    <x v="497"/>
    <x v="6"/>
    <x v="5"/>
    <x v="3"/>
    <x v="2"/>
    <x v="14"/>
    <x v="741"/>
    <s v="Jumbo Drum"/>
    <n v="0.69"/>
    <d v="2012-11-01T00:00:00"/>
    <n v="0"/>
    <n v="0"/>
    <n v="0.5"/>
    <n v="0.5"/>
  </r>
  <r>
    <n v="5832"/>
    <n v="41378"/>
    <x v="149"/>
    <x v="1"/>
    <s v="Not Specified"/>
    <n v="42"/>
    <n v="1264.17"/>
    <n v="0.05"/>
    <s v="Regular Air"/>
    <n v="433.34"/>
    <n v="29.89"/>
    <n v="1.99"/>
    <x v="497"/>
    <x v="6"/>
    <x v="5"/>
    <x v="3"/>
    <x v="1"/>
    <x v="7"/>
    <x v="412"/>
    <s v="Small Pack"/>
    <n v="0.5"/>
    <d v="2012-10-31T00:00:00"/>
    <n v="0"/>
    <n v="0"/>
    <n v="0.5"/>
    <n v="0.5"/>
  </r>
  <r>
    <n v="5845"/>
    <n v="41474"/>
    <x v="1218"/>
    <x v="46"/>
    <s v="Not Specified"/>
    <n v="35"/>
    <n v="3640.83"/>
    <n v="0"/>
    <s v="Delivery Truck"/>
    <n v="-6.8000000000000114"/>
    <n v="100.98"/>
    <n v="35.840000000000003"/>
    <x v="512"/>
    <x v="6"/>
    <x v="5"/>
    <x v="2"/>
    <x v="2"/>
    <x v="9"/>
    <x v="550"/>
    <s v="Jumbo Box"/>
    <n v="0.62"/>
    <d v="2009-04-22T00:00:00"/>
    <n v="0"/>
    <n v="0"/>
    <n v="0.5"/>
    <n v="0.5"/>
  </r>
  <r>
    <n v="5846"/>
    <n v="41474"/>
    <x v="1218"/>
    <x v="46"/>
    <s v="Not Specified"/>
    <n v="50"/>
    <n v="225.94"/>
    <n v="0.09"/>
    <s v="Regular Air"/>
    <n v="-89.13"/>
    <n v="4.7699999999999996"/>
    <n v="2.39"/>
    <x v="512"/>
    <x v="6"/>
    <x v="5"/>
    <x v="2"/>
    <x v="1"/>
    <x v="7"/>
    <x v="568"/>
    <s v="Small Pack"/>
    <n v="0.72"/>
    <d v="2009-04-22T00:00:00"/>
    <n v="0"/>
    <n v="0"/>
    <n v="0.5"/>
    <n v="0.5"/>
  </r>
  <r>
    <n v="5849"/>
    <n v="41508"/>
    <x v="287"/>
    <x v="18"/>
    <s v="High"/>
    <n v="39"/>
    <n v="18561.310000000001"/>
    <n v="0.05"/>
    <s v="Delivery Truck"/>
    <n v="4822.42"/>
    <n v="500.98"/>
    <n v="26"/>
    <x v="415"/>
    <x v="6"/>
    <x v="5"/>
    <x v="3"/>
    <x v="2"/>
    <x v="14"/>
    <x v="38"/>
    <s v="Jumbo Drum"/>
    <n v="0.6"/>
    <d v="2010-09-26T00:00:00"/>
    <n v="0"/>
    <n v="0"/>
    <n v="1"/>
    <n v="1"/>
  </r>
  <r>
    <n v="5855"/>
    <n v="41569"/>
    <x v="569"/>
    <x v="42"/>
    <s v="Critical"/>
    <n v="49"/>
    <n v="617.34"/>
    <n v="0.06"/>
    <s v="Regular Air"/>
    <n v="47.1"/>
    <n v="12.28"/>
    <n v="6.47"/>
    <x v="495"/>
    <x v="6"/>
    <x v="5"/>
    <x v="2"/>
    <x v="0"/>
    <x v="5"/>
    <x v="46"/>
    <s v="Small Box"/>
    <n v="0.38"/>
    <d v="2010-07-22T00:00:00"/>
    <n v="0"/>
    <n v="0"/>
    <n v="0.5"/>
    <n v="1"/>
  </r>
  <r>
    <n v="5858"/>
    <n v="41571"/>
    <x v="1101"/>
    <x v="4"/>
    <s v="Low"/>
    <n v="42"/>
    <n v="906.07"/>
    <n v="0"/>
    <s v="Regular Air"/>
    <n v="-2.66"/>
    <n v="20.149999999999999"/>
    <n v="8.99"/>
    <x v="475"/>
    <x v="6"/>
    <x v="5"/>
    <x v="2"/>
    <x v="0"/>
    <x v="12"/>
    <x v="487"/>
    <s v="Small Pack"/>
    <n v="0.57999999999999996"/>
    <d v="2011-06-15T00:00:00"/>
    <n v="0"/>
    <n v="0"/>
    <n v="1"/>
    <n v="1"/>
  </r>
  <r>
    <n v="5880"/>
    <n v="41728"/>
    <x v="1028"/>
    <x v="35"/>
    <s v="High"/>
    <n v="28"/>
    <n v="23106.46"/>
    <n v="0.08"/>
    <s v="Regular Air"/>
    <n v="9527.4715000000015"/>
    <n v="896.99"/>
    <n v="19.989999999999998"/>
    <x v="499"/>
    <x v="6"/>
    <x v="5"/>
    <x v="2"/>
    <x v="0"/>
    <x v="2"/>
    <x v="317"/>
    <s v="Small Box"/>
    <n v="0.38"/>
    <d v="2009-10-02T00:00:00"/>
    <n v="0"/>
    <n v="0"/>
    <n v="0.5"/>
    <n v="0.5"/>
  </r>
  <r>
    <n v="5881"/>
    <n v="41728"/>
    <x v="1028"/>
    <x v="35"/>
    <s v="High"/>
    <n v="10"/>
    <n v="2549.58"/>
    <n v="0.02"/>
    <s v="Delivery Truck"/>
    <n v="41.53"/>
    <n v="243.98"/>
    <n v="62.94"/>
    <x v="499"/>
    <x v="6"/>
    <x v="5"/>
    <x v="2"/>
    <x v="2"/>
    <x v="14"/>
    <x v="1152"/>
    <s v="Jumbo Drum"/>
    <n v="0.56999999999999995"/>
    <d v="2009-10-01T00:00:00"/>
    <n v="0"/>
    <n v="0"/>
    <n v="0.5"/>
    <n v="0.5"/>
  </r>
  <r>
    <n v="5886"/>
    <n v="41764"/>
    <x v="672"/>
    <x v="19"/>
    <s v="Not Specified"/>
    <n v="16"/>
    <n v="5105.0600000000004"/>
    <n v="0.03"/>
    <s v="Delivery Truck"/>
    <n v="467.12430000000006"/>
    <n v="320.64"/>
    <n v="29.2"/>
    <x v="475"/>
    <x v="6"/>
    <x v="5"/>
    <x v="3"/>
    <x v="2"/>
    <x v="10"/>
    <x v="1104"/>
    <s v="Jumbo Box"/>
    <n v="0.66"/>
    <d v="2009-10-07T00:00:00"/>
    <n v="0"/>
    <n v="0"/>
    <n v="1"/>
    <n v="0.5"/>
  </r>
  <r>
    <n v="5931"/>
    <n v="42082"/>
    <x v="388"/>
    <x v="25"/>
    <s v="Critical"/>
    <n v="15"/>
    <n v="76.42"/>
    <n v="0.03"/>
    <s v="Regular Air"/>
    <n v="-3.95"/>
    <n v="4.76"/>
    <n v="3.01"/>
    <x v="495"/>
    <x v="6"/>
    <x v="5"/>
    <x v="0"/>
    <x v="0"/>
    <x v="5"/>
    <x v="697"/>
    <s v="Wrap Bag"/>
    <n v="0.36"/>
    <d v="2011-12-20T00:00:00"/>
    <n v="0"/>
    <n v="0"/>
    <n v="1"/>
    <n v="1"/>
  </r>
  <r>
    <n v="5958"/>
    <n v="42279"/>
    <x v="1217"/>
    <x v="41"/>
    <s v="Not Specified"/>
    <n v="44"/>
    <n v="1431"/>
    <n v="0.02"/>
    <s v="Express Air"/>
    <n v="-55.78"/>
    <n v="30.98"/>
    <n v="6.5"/>
    <x v="497"/>
    <x v="6"/>
    <x v="5"/>
    <x v="3"/>
    <x v="1"/>
    <x v="7"/>
    <x v="630"/>
    <s v="Small Box"/>
    <n v="0.79"/>
    <d v="2009-07-01T00:00:00"/>
    <n v="0"/>
    <n v="0"/>
    <n v="1"/>
    <n v="1"/>
  </r>
  <r>
    <n v="5962"/>
    <n v="42308"/>
    <x v="686"/>
    <x v="41"/>
    <s v="Medium"/>
    <n v="16"/>
    <n v="79.98"/>
    <n v="0.09"/>
    <s v="Regular Air"/>
    <n v="-56.56"/>
    <n v="4.8600000000000003"/>
    <n v="7.1"/>
    <x v="500"/>
    <x v="6"/>
    <x v="5"/>
    <x v="0"/>
    <x v="2"/>
    <x v="4"/>
    <x v="1173"/>
    <s v="Small Box"/>
    <n v="0.42"/>
    <d v="2009-06-15T00:00:00"/>
    <n v="0"/>
    <n v="0"/>
    <n v="1"/>
    <n v="0.5"/>
  </r>
  <r>
    <n v="5980"/>
    <n v="42375"/>
    <x v="447"/>
    <x v="0"/>
    <s v="High"/>
    <n v="45"/>
    <n v="138.44999999999999"/>
    <n v="0.03"/>
    <s v="Express Air"/>
    <n v="24.34"/>
    <n v="2.94"/>
    <n v="0.7"/>
    <x v="235"/>
    <x v="6"/>
    <x v="5"/>
    <x v="3"/>
    <x v="0"/>
    <x v="12"/>
    <x v="900"/>
    <s v="Wrap Bag"/>
    <n v="0.57999999999999996"/>
    <d v="2010-10-02T00:00:00"/>
    <n v="0"/>
    <n v="0"/>
    <n v="1"/>
    <n v="1"/>
  </r>
  <r>
    <n v="6044"/>
    <n v="42851"/>
    <x v="682"/>
    <x v="41"/>
    <s v="High"/>
    <n v="4"/>
    <n v="24.32"/>
    <n v="0.05"/>
    <s v="Express Air"/>
    <n v="-2.97"/>
    <n v="4.71"/>
    <n v="0.7"/>
    <x v="508"/>
    <x v="6"/>
    <x v="5"/>
    <x v="2"/>
    <x v="0"/>
    <x v="6"/>
    <x v="21"/>
    <s v="Wrap Bag"/>
    <n v="0.8"/>
    <d v="2009-06-02T00:00:00"/>
    <n v="0"/>
    <n v="0"/>
    <n v="0.5"/>
    <n v="0.5"/>
  </r>
  <r>
    <n v="6045"/>
    <n v="42851"/>
    <x v="682"/>
    <x v="41"/>
    <s v="High"/>
    <n v="7"/>
    <n v="344.30099999999999"/>
    <n v="0.04"/>
    <s v="Express Air"/>
    <n v="-22.902000000000001"/>
    <n v="55.99"/>
    <n v="1.25"/>
    <x v="508"/>
    <x v="6"/>
    <x v="5"/>
    <x v="2"/>
    <x v="1"/>
    <x v="3"/>
    <x v="733"/>
    <s v="Small Pack"/>
    <n v="0.35"/>
    <d v="2009-06-02T00:00:00"/>
    <n v="0"/>
    <n v="0"/>
    <n v="0.5"/>
    <n v="0.5"/>
  </r>
  <r>
    <n v="6154"/>
    <n v="43585"/>
    <x v="71"/>
    <x v="7"/>
    <s v="Critical"/>
    <n v="19"/>
    <n v="1004.18"/>
    <n v="0.08"/>
    <s v="Express Air"/>
    <n v="374.19"/>
    <n v="55.48"/>
    <n v="6.79"/>
    <x v="521"/>
    <x v="6"/>
    <x v="5"/>
    <x v="1"/>
    <x v="0"/>
    <x v="5"/>
    <x v="812"/>
    <s v="Small Box"/>
    <n v="0.37"/>
    <d v="2010-11-12T00:00:00"/>
    <n v="0"/>
    <n v="0"/>
    <n v="1"/>
    <n v="1"/>
  </r>
  <r>
    <n v="6157"/>
    <n v="43590"/>
    <x v="1219"/>
    <x v="35"/>
    <s v="Critical"/>
    <n v="24"/>
    <n v="3118.6"/>
    <n v="0.06"/>
    <s v="Express Air"/>
    <n v="804.2"/>
    <n v="128.24"/>
    <n v="12.65"/>
    <x v="497"/>
    <x v="6"/>
    <x v="5"/>
    <x v="3"/>
    <x v="2"/>
    <x v="14"/>
    <x v="410"/>
    <s v="Medium Box"/>
    <m/>
    <d v="2009-09-12T00:00:00"/>
    <n v="0"/>
    <n v="0"/>
    <n v="1"/>
    <n v="1"/>
  </r>
  <r>
    <n v="6188"/>
    <n v="43874"/>
    <x v="1071"/>
    <x v="8"/>
    <s v="High"/>
    <n v="46"/>
    <n v="153.28"/>
    <n v="0.09"/>
    <s v="Regular Air"/>
    <n v="-161.21"/>
    <n v="3.28"/>
    <n v="5"/>
    <x v="509"/>
    <x v="6"/>
    <x v="5"/>
    <x v="3"/>
    <x v="0"/>
    <x v="12"/>
    <x v="685"/>
    <s v="Wrap Bag"/>
    <n v="0.56000000000000005"/>
    <d v="2012-06-11T00:00:00"/>
    <n v="0"/>
    <n v="0"/>
    <n v="1"/>
    <n v="1"/>
  </r>
  <r>
    <n v="6356"/>
    <n v="45059"/>
    <x v="634"/>
    <x v="44"/>
    <s v="Not Specified"/>
    <n v="4"/>
    <n v="130.13999999999999"/>
    <n v="0.04"/>
    <s v="Regular Air"/>
    <n v="-116.18"/>
    <n v="30.42"/>
    <n v="8.65"/>
    <x v="136"/>
    <x v="6"/>
    <x v="5"/>
    <x v="1"/>
    <x v="1"/>
    <x v="7"/>
    <x v="251"/>
    <s v="Small Box"/>
    <n v="0.74"/>
    <d v="2011-02-05T00:00:00"/>
    <n v="0"/>
    <n v="0"/>
    <n v="0.33333333333333331"/>
    <n v="0.33333333333333331"/>
  </r>
  <r>
    <n v="6408"/>
    <n v="45542"/>
    <x v="730"/>
    <x v="6"/>
    <s v="High"/>
    <n v="37"/>
    <n v="281.79000000000002"/>
    <n v="0.04"/>
    <s v="Express Air"/>
    <n v="-50.96"/>
    <n v="7.64"/>
    <n v="5.83"/>
    <x v="508"/>
    <x v="6"/>
    <x v="5"/>
    <x v="2"/>
    <x v="0"/>
    <x v="5"/>
    <x v="248"/>
    <s v="Wrap Bag"/>
    <n v="0.36"/>
    <d v="2010-02-10T00:00:00"/>
    <n v="0"/>
    <n v="0"/>
    <n v="0.5"/>
    <n v="0.5"/>
  </r>
  <r>
    <n v="6409"/>
    <n v="45542"/>
    <x v="730"/>
    <x v="6"/>
    <s v="High"/>
    <n v="40"/>
    <n v="4064.2720000000004"/>
    <n v="0.01"/>
    <s v="Delivery Truck"/>
    <n v="-300.854983"/>
    <n v="124.49"/>
    <n v="51.94"/>
    <x v="508"/>
    <x v="6"/>
    <x v="5"/>
    <x v="2"/>
    <x v="2"/>
    <x v="10"/>
    <x v="307"/>
    <s v="Jumbo Box"/>
    <n v="0.63"/>
    <d v="2010-02-08T00:00:00"/>
    <n v="0"/>
    <n v="0"/>
    <n v="0.5"/>
    <n v="0.5"/>
  </r>
  <r>
    <n v="6427"/>
    <n v="45698"/>
    <x v="1134"/>
    <x v="13"/>
    <s v="High"/>
    <n v="40"/>
    <n v="6559.01"/>
    <n v="0.1"/>
    <s v="Regular Air"/>
    <n v="2307.5715"/>
    <n v="172.99"/>
    <n v="19.989999999999998"/>
    <x v="511"/>
    <x v="6"/>
    <x v="5"/>
    <x v="0"/>
    <x v="0"/>
    <x v="2"/>
    <x v="470"/>
    <s v="Small Box"/>
    <n v="0.39"/>
    <d v="2012-04-25T00:00:00"/>
    <n v="0"/>
    <n v="0"/>
    <n v="0.5"/>
    <n v="0.5"/>
  </r>
  <r>
    <n v="6428"/>
    <n v="45698"/>
    <x v="1134"/>
    <x v="13"/>
    <s v="High"/>
    <n v="36"/>
    <n v="263.37"/>
    <n v="0.04"/>
    <s v="Regular Air"/>
    <n v="-5.68"/>
    <n v="7.28"/>
    <n v="4.2300000000000004"/>
    <x v="511"/>
    <x v="6"/>
    <x v="5"/>
    <x v="0"/>
    <x v="0"/>
    <x v="5"/>
    <x v="978"/>
    <s v="Wrap Bag"/>
    <n v="0.39"/>
    <d v="2012-04-26T00:00:00"/>
    <n v="0"/>
    <n v="0"/>
    <n v="0.5"/>
    <n v="0.5"/>
  </r>
  <r>
    <n v="6458"/>
    <n v="45987"/>
    <x v="1168"/>
    <x v="28"/>
    <s v="Not Specified"/>
    <n v="31"/>
    <n v="131.43"/>
    <n v="0.01"/>
    <s v="Regular Air"/>
    <n v="37.25"/>
    <n v="4"/>
    <n v="1.3"/>
    <x v="518"/>
    <x v="6"/>
    <x v="5"/>
    <x v="0"/>
    <x v="0"/>
    <x v="5"/>
    <x v="910"/>
    <s v="Wrap Bag"/>
    <n v="0.37"/>
    <d v="2009-03-14T00:00:00"/>
    <n v="0"/>
    <n v="0"/>
    <n v="1"/>
    <n v="1"/>
  </r>
  <r>
    <n v="6471"/>
    <n v="46052"/>
    <x v="257"/>
    <x v="11"/>
    <s v="Medium"/>
    <n v="37"/>
    <n v="2374.35"/>
    <n v="0.05"/>
    <s v="Regular Air"/>
    <n v="878.21"/>
    <n v="63.94"/>
    <n v="14.48"/>
    <x v="507"/>
    <x v="6"/>
    <x v="5"/>
    <x v="2"/>
    <x v="2"/>
    <x v="4"/>
    <x v="308"/>
    <s v="Small Box"/>
    <n v="0.46"/>
    <d v="2009-11-25T00:00:00"/>
    <n v="0"/>
    <n v="0"/>
    <n v="0.5"/>
    <n v="0.5"/>
  </r>
  <r>
    <n v="6472"/>
    <n v="46052"/>
    <x v="257"/>
    <x v="11"/>
    <s v="Medium"/>
    <n v="39"/>
    <n v="729.21"/>
    <n v="0"/>
    <s v="Express Air"/>
    <n v="194.15"/>
    <n v="17.78"/>
    <n v="5.03"/>
    <x v="507"/>
    <x v="6"/>
    <x v="5"/>
    <x v="2"/>
    <x v="2"/>
    <x v="4"/>
    <x v="562"/>
    <s v="Small Box"/>
    <n v="0.54"/>
    <d v="2009-11-25T00:00:00"/>
    <n v="0"/>
    <n v="0"/>
    <n v="0.5"/>
    <n v="0.5"/>
  </r>
  <r>
    <n v="6516"/>
    <n v="46374"/>
    <x v="538"/>
    <x v="42"/>
    <s v="High"/>
    <n v="7"/>
    <n v="1822.83"/>
    <n v="0.08"/>
    <s v="Delivery Truck"/>
    <n v="-627.64115700000002"/>
    <n v="259.70999999999998"/>
    <n v="66.67"/>
    <x v="505"/>
    <x v="6"/>
    <x v="5"/>
    <x v="0"/>
    <x v="2"/>
    <x v="10"/>
    <x v="384"/>
    <s v="Jumbo Box"/>
    <n v="0.65"/>
    <d v="2010-07-09T00:00:00"/>
    <n v="0"/>
    <n v="0"/>
    <n v="1"/>
    <n v="1"/>
  </r>
  <r>
    <n v="6519"/>
    <n v="46402"/>
    <x v="292"/>
    <x v="16"/>
    <s v="Medium"/>
    <n v="27"/>
    <n v="826.27"/>
    <n v="0.03"/>
    <s v="Regular Air"/>
    <n v="322.88"/>
    <n v="29.18"/>
    <n v="8.5500000000000007"/>
    <x v="523"/>
    <x v="6"/>
    <x v="5"/>
    <x v="1"/>
    <x v="2"/>
    <x v="4"/>
    <x v="462"/>
    <s v="Small Box"/>
    <n v="0.42"/>
    <d v="2011-01-10T00:00:00"/>
    <n v="0"/>
    <n v="0"/>
    <n v="0.33333333333333331"/>
    <n v="0.33333333333333331"/>
  </r>
  <r>
    <n v="6520"/>
    <n v="46402"/>
    <x v="292"/>
    <x v="16"/>
    <s v="Medium"/>
    <n v="29"/>
    <n v="1777.4689999999998"/>
    <n v="0.01"/>
    <s v="Regular Air"/>
    <n v="166.36500000000001"/>
    <n v="66.989999999999995"/>
    <n v="13.99"/>
    <x v="523"/>
    <x v="6"/>
    <x v="5"/>
    <x v="1"/>
    <x v="1"/>
    <x v="3"/>
    <x v="577"/>
    <s v="Medium Box"/>
    <n v="0.6"/>
    <d v="2011-01-09T00:00:00"/>
    <n v="0"/>
    <n v="0"/>
    <n v="0.33333333333333331"/>
    <n v="0.33333333333333331"/>
  </r>
  <r>
    <n v="6521"/>
    <n v="46402"/>
    <x v="292"/>
    <x v="16"/>
    <s v="Medium"/>
    <n v="12"/>
    <n v="1219.1464999999998"/>
    <n v="0.01"/>
    <s v="Express Air"/>
    <n v="52.929000000000002"/>
    <n v="115.99"/>
    <n v="2.5"/>
    <x v="523"/>
    <x v="6"/>
    <x v="5"/>
    <x v="1"/>
    <x v="1"/>
    <x v="3"/>
    <x v="1154"/>
    <s v="Small Box"/>
    <n v="0.55000000000000004"/>
    <d v="2011-01-09T00:00:00"/>
    <n v="0"/>
    <n v="0"/>
    <n v="0.33333333333333331"/>
    <n v="0.33333333333333331"/>
  </r>
  <r>
    <n v="6522"/>
    <n v="46404"/>
    <x v="498"/>
    <x v="33"/>
    <s v="Critical"/>
    <n v="50"/>
    <n v="1875.4144999999999"/>
    <n v="0.05"/>
    <s v="Regular Air"/>
    <n v="507.33"/>
    <n v="45.99"/>
    <n v="2.5"/>
    <x v="498"/>
    <x v="6"/>
    <x v="5"/>
    <x v="0"/>
    <x v="1"/>
    <x v="3"/>
    <x v="585"/>
    <s v="Small Box"/>
    <n v="0.56000000000000005"/>
    <d v="2012-03-05T00:00:00"/>
    <n v="0"/>
    <n v="0"/>
    <n v="1"/>
    <n v="0.5"/>
  </r>
  <r>
    <n v="6528"/>
    <n v="46468"/>
    <x v="325"/>
    <x v="16"/>
    <s v="Critical"/>
    <n v="46"/>
    <n v="7535.96"/>
    <n v="0.08"/>
    <s v="Regular Air"/>
    <n v="2745.8654999999999"/>
    <n v="165.98"/>
    <n v="19.989999999999998"/>
    <x v="513"/>
    <x v="6"/>
    <x v="5"/>
    <x v="3"/>
    <x v="0"/>
    <x v="2"/>
    <x v="408"/>
    <s v="Small Box"/>
    <n v="0.4"/>
    <d v="2011-01-12T00:00:00"/>
    <n v="0"/>
    <n v="0"/>
    <n v="0.33333333333333331"/>
    <n v="0.33333333333333331"/>
  </r>
  <r>
    <n v="6529"/>
    <n v="46468"/>
    <x v="325"/>
    <x v="16"/>
    <s v="Critical"/>
    <n v="41"/>
    <n v="1618.31"/>
    <n v="0.08"/>
    <s v="Express Air"/>
    <n v="504.71"/>
    <n v="39.479999999999997"/>
    <n v="1.99"/>
    <x v="513"/>
    <x v="6"/>
    <x v="5"/>
    <x v="3"/>
    <x v="1"/>
    <x v="7"/>
    <x v="64"/>
    <s v="Small Pack"/>
    <n v="0.54"/>
    <d v="2011-01-13T00:00:00"/>
    <n v="0"/>
    <n v="0"/>
    <n v="0.33333333333333331"/>
    <n v="0.33333333333333331"/>
  </r>
  <r>
    <n v="6530"/>
    <n v="46468"/>
    <x v="325"/>
    <x v="16"/>
    <s v="Critical"/>
    <n v="1"/>
    <n v="11.87"/>
    <n v="0.04"/>
    <s v="Regular Air"/>
    <n v="-8.89"/>
    <n v="6.48"/>
    <n v="5.4"/>
    <x v="513"/>
    <x v="6"/>
    <x v="5"/>
    <x v="3"/>
    <x v="0"/>
    <x v="5"/>
    <x v="1156"/>
    <s v="Small Box"/>
    <n v="0.37"/>
    <d v="2011-01-13T00:00:00"/>
    <n v="0"/>
    <n v="0"/>
    <n v="0.33333333333333331"/>
    <n v="0.33333333333333331"/>
  </r>
  <r>
    <n v="6533"/>
    <n v="46497"/>
    <x v="1033"/>
    <x v="8"/>
    <s v="High"/>
    <n v="30"/>
    <n v="630.54"/>
    <n v="0.03"/>
    <s v="Regular Air"/>
    <n v="-30.07"/>
    <n v="20.149999999999999"/>
    <n v="8.99"/>
    <x v="502"/>
    <x v="6"/>
    <x v="5"/>
    <x v="2"/>
    <x v="0"/>
    <x v="12"/>
    <x v="487"/>
    <s v="Small Pack"/>
    <n v="0.57999999999999996"/>
    <d v="2012-06-20T00:00:00"/>
    <n v="0"/>
    <n v="0"/>
    <n v="1"/>
    <n v="1"/>
  </r>
  <r>
    <n v="6651"/>
    <n v="47303"/>
    <x v="1220"/>
    <x v="25"/>
    <s v="Medium"/>
    <n v="47"/>
    <n v="1413.82"/>
    <n v="0.1"/>
    <s v="Regular Air"/>
    <n v="226.5335"/>
    <n v="30.98"/>
    <n v="11.63"/>
    <x v="506"/>
    <x v="6"/>
    <x v="5"/>
    <x v="2"/>
    <x v="0"/>
    <x v="2"/>
    <x v="121"/>
    <s v="Small Box"/>
    <n v="0.37"/>
    <d v="2011-12-06T00:00:00"/>
    <n v="0"/>
    <n v="0"/>
    <n v="0.33333333333333331"/>
    <n v="0.33333333333333331"/>
  </r>
  <r>
    <n v="6652"/>
    <n v="47303"/>
    <x v="1220"/>
    <x v="25"/>
    <s v="Medium"/>
    <n v="7"/>
    <n v="56.9"/>
    <n v="0.03"/>
    <s v="Regular Air"/>
    <n v="12.64"/>
    <n v="7.64"/>
    <n v="1.39"/>
    <x v="506"/>
    <x v="6"/>
    <x v="5"/>
    <x v="2"/>
    <x v="0"/>
    <x v="8"/>
    <x v="181"/>
    <s v="Small Box"/>
    <n v="0.36"/>
    <d v="2011-12-06T00:00:00"/>
    <n v="0"/>
    <n v="0"/>
    <n v="0.33333333333333331"/>
    <n v="0.33333333333333331"/>
  </r>
  <r>
    <n v="6653"/>
    <n v="47303"/>
    <x v="1220"/>
    <x v="25"/>
    <s v="Medium"/>
    <n v="45"/>
    <n v="308.92"/>
    <n v="0.04"/>
    <s v="Express Air"/>
    <n v="-143.58000000000001"/>
    <n v="6.48"/>
    <n v="7.37"/>
    <x v="506"/>
    <x v="6"/>
    <x v="5"/>
    <x v="2"/>
    <x v="0"/>
    <x v="5"/>
    <x v="673"/>
    <s v="Small Box"/>
    <n v="0.37"/>
    <d v="2011-12-07T00:00:00"/>
    <n v="0"/>
    <n v="0"/>
    <n v="0.33333333333333331"/>
    <n v="0.33333333333333331"/>
  </r>
  <r>
    <n v="6672"/>
    <n v="47492"/>
    <x v="188"/>
    <x v="2"/>
    <s v="High"/>
    <n v="22"/>
    <n v="649.71"/>
    <n v="7.0000000000000007E-2"/>
    <s v="Regular Air"/>
    <n v="-157.51"/>
    <n v="30.42"/>
    <n v="8.65"/>
    <x v="507"/>
    <x v="6"/>
    <x v="5"/>
    <x v="2"/>
    <x v="1"/>
    <x v="7"/>
    <x v="251"/>
    <s v="Small Box"/>
    <n v="0.74"/>
    <d v="2011-07-25T00:00:00"/>
    <n v="0"/>
    <n v="0"/>
    <n v="1"/>
    <n v="1"/>
  </r>
  <r>
    <n v="6695"/>
    <n v="47682"/>
    <x v="1221"/>
    <x v="32"/>
    <s v="Not Specified"/>
    <n v="38"/>
    <n v="3191.24"/>
    <n v="0"/>
    <s v="Regular Air"/>
    <n v="1620.23"/>
    <n v="83.98"/>
    <n v="5.01"/>
    <x v="504"/>
    <x v="6"/>
    <x v="5"/>
    <x v="0"/>
    <x v="0"/>
    <x v="8"/>
    <x v="739"/>
    <s v="Small Box"/>
    <n v="0.38"/>
    <d v="2012-11-17T00:00:00"/>
    <n v="0"/>
    <n v="0"/>
    <n v="1"/>
    <n v="1"/>
  </r>
  <r>
    <n v="6807"/>
    <n v="48483"/>
    <x v="419"/>
    <x v="47"/>
    <s v="Critical"/>
    <n v="18"/>
    <n v="47.55"/>
    <n v="0"/>
    <s v="Express Air"/>
    <n v="10.01"/>
    <n v="2.21"/>
    <n v="1"/>
    <x v="504"/>
    <x v="6"/>
    <x v="5"/>
    <x v="0"/>
    <x v="0"/>
    <x v="12"/>
    <x v="1157"/>
    <s v="Wrap Bag"/>
    <n v="0.38"/>
    <d v="2009-12-11T00:00:00"/>
    <n v="0"/>
    <n v="0"/>
    <n v="1"/>
    <n v="1"/>
  </r>
  <r>
    <n v="6871"/>
    <n v="48961"/>
    <x v="631"/>
    <x v="36"/>
    <s v="Not Specified"/>
    <n v="24"/>
    <n v="520.67999999999995"/>
    <n v="0.09"/>
    <s v="Regular Air"/>
    <n v="-143.66"/>
    <n v="22.84"/>
    <n v="16.87"/>
    <x v="498"/>
    <x v="6"/>
    <x v="5"/>
    <x v="0"/>
    <x v="0"/>
    <x v="5"/>
    <x v="150"/>
    <s v="Small Box"/>
    <n v="0.39"/>
    <d v="2009-07-23T00:00:00"/>
    <n v="0"/>
    <n v="0"/>
    <n v="0.5"/>
    <n v="0.5"/>
  </r>
  <r>
    <n v="6872"/>
    <n v="48961"/>
    <x v="631"/>
    <x v="36"/>
    <s v="Not Specified"/>
    <n v="25"/>
    <n v="358.78"/>
    <n v="0.1"/>
    <s v="Express Air"/>
    <n v="-76.900000000000006"/>
    <n v="14.98"/>
    <n v="7.69"/>
    <x v="498"/>
    <x v="6"/>
    <x v="5"/>
    <x v="0"/>
    <x v="0"/>
    <x v="0"/>
    <x v="932"/>
    <s v="Small Box"/>
    <n v="0.56999999999999995"/>
    <d v="2009-07-23T00:00:00"/>
    <n v="0"/>
    <n v="0"/>
    <n v="0.5"/>
    <n v="0.5"/>
  </r>
  <r>
    <n v="6921"/>
    <n v="49350"/>
    <x v="348"/>
    <x v="9"/>
    <s v="High"/>
    <n v="50"/>
    <n v="375.11"/>
    <n v="0.01"/>
    <s v="Regular Air"/>
    <n v="-331.63"/>
    <n v="7.28"/>
    <n v="11.15"/>
    <x v="518"/>
    <x v="6"/>
    <x v="5"/>
    <x v="0"/>
    <x v="0"/>
    <x v="5"/>
    <x v="517"/>
    <s v="Small Box"/>
    <n v="0.37"/>
    <d v="2012-08-24T00:00:00"/>
    <n v="0"/>
    <n v="0"/>
    <n v="1"/>
    <n v="1"/>
  </r>
  <r>
    <n v="6936"/>
    <n v="49505"/>
    <x v="472"/>
    <x v="22"/>
    <s v="Critical"/>
    <n v="12"/>
    <n v="97.74"/>
    <n v="0.04"/>
    <s v="Regular Air"/>
    <n v="-8.4984999999999999"/>
    <n v="7.84"/>
    <n v="4.71"/>
    <x v="497"/>
    <x v="6"/>
    <x v="5"/>
    <x v="3"/>
    <x v="0"/>
    <x v="2"/>
    <x v="39"/>
    <s v="Small Box"/>
    <n v="0.35"/>
    <d v="2009-01-23T00:00:00"/>
    <n v="0"/>
    <n v="1"/>
    <n v="0.5"/>
    <n v="0.5"/>
  </r>
  <r>
    <n v="6937"/>
    <n v="49505"/>
    <x v="472"/>
    <x v="22"/>
    <s v="Critical"/>
    <n v="34"/>
    <n v="335.59"/>
    <n v="0.04"/>
    <s v="Express Air"/>
    <n v="85.83"/>
    <n v="9.7799999999999994"/>
    <n v="1.99"/>
    <x v="497"/>
    <x v="6"/>
    <x v="5"/>
    <x v="3"/>
    <x v="1"/>
    <x v="7"/>
    <x v="136"/>
    <s v="Small Pack"/>
    <n v="0.43"/>
    <d v="2009-01-22T00:00:00"/>
    <n v="0"/>
    <n v="1"/>
    <n v="0.5"/>
    <n v="0.5"/>
  </r>
  <r>
    <n v="6966"/>
    <n v="49797"/>
    <x v="174"/>
    <x v="5"/>
    <s v="Not Specified"/>
    <n v="27"/>
    <n v="341.1"/>
    <n v="0"/>
    <s v="Regular Air"/>
    <n v="-4.75"/>
    <n v="11.97"/>
    <n v="4.9800000000000004"/>
    <x v="314"/>
    <x v="6"/>
    <x v="5"/>
    <x v="0"/>
    <x v="0"/>
    <x v="1"/>
    <x v="165"/>
    <s v="Small Box"/>
    <n v="0.57999999999999996"/>
    <d v="2011-03-09T00:00:00"/>
    <n v="0"/>
    <n v="0"/>
    <n v="0.5"/>
    <n v="0.5"/>
  </r>
  <r>
    <n v="6967"/>
    <n v="49797"/>
    <x v="174"/>
    <x v="5"/>
    <s v="Not Specified"/>
    <n v="26"/>
    <n v="171.68"/>
    <n v="7.0000000000000007E-2"/>
    <s v="Express Air"/>
    <n v="-116.56"/>
    <n v="6.48"/>
    <n v="8.19"/>
    <x v="314"/>
    <x v="6"/>
    <x v="5"/>
    <x v="0"/>
    <x v="0"/>
    <x v="5"/>
    <x v="77"/>
    <s v="Small Box"/>
    <n v="0.37"/>
    <d v="2011-03-09T00:00:00"/>
    <n v="0"/>
    <n v="0"/>
    <n v="0.5"/>
    <n v="0.5"/>
  </r>
  <r>
    <n v="7007"/>
    <n v="50017"/>
    <x v="507"/>
    <x v="32"/>
    <s v="Low"/>
    <n v="43"/>
    <n v="1502.47"/>
    <n v="7.0000000000000007E-2"/>
    <s v="Regular Air"/>
    <n v="214.05"/>
    <n v="34.58"/>
    <n v="8.99"/>
    <x v="513"/>
    <x v="6"/>
    <x v="5"/>
    <x v="3"/>
    <x v="0"/>
    <x v="12"/>
    <x v="555"/>
    <s v="Small Pack"/>
    <n v="0.56000000000000005"/>
    <d v="2012-11-22T00:00:00"/>
    <n v="0"/>
    <n v="0"/>
    <n v="0.5"/>
    <n v="0.5"/>
  </r>
  <r>
    <n v="7008"/>
    <n v="50017"/>
    <x v="507"/>
    <x v="32"/>
    <s v="Low"/>
    <n v="24"/>
    <n v="2014.13"/>
    <n v="0.1"/>
    <s v="Regular Air"/>
    <n v="-794.94"/>
    <n v="89.83"/>
    <n v="35"/>
    <x v="513"/>
    <x v="6"/>
    <x v="5"/>
    <x v="3"/>
    <x v="0"/>
    <x v="0"/>
    <x v="1174"/>
    <s v="Large Box"/>
    <n v="0.83"/>
    <d v="2012-11-20T00:00:00"/>
    <n v="0"/>
    <n v="0"/>
    <n v="0.5"/>
    <n v="0.5"/>
  </r>
  <r>
    <n v="7013"/>
    <n v="50051"/>
    <x v="832"/>
    <x v="19"/>
    <s v="Medium"/>
    <n v="15"/>
    <n v="308.64"/>
    <n v="0.03"/>
    <s v="Express Air"/>
    <n v="91.08"/>
    <n v="19.04"/>
    <n v="6.38"/>
    <x v="235"/>
    <x v="6"/>
    <x v="5"/>
    <x v="2"/>
    <x v="2"/>
    <x v="4"/>
    <x v="1175"/>
    <s v="Small Box"/>
    <n v="0.56000000000000005"/>
    <d v="2009-10-04T00:00:00"/>
    <n v="0"/>
    <n v="0"/>
    <n v="0.33333333333333331"/>
    <n v="0.33333333333333331"/>
  </r>
  <r>
    <n v="7019"/>
    <n v="50083"/>
    <x v="274"/>
    <x v="37"/>
    <s v="Not Specified"/>
    <n v="33"/>
    <n v="13671.94"/>
    <n v="0.01"/>
    <s v="Delivery Truck"/>
    <n v="5711.96"/>
    <n v="400.97"/>
    <n v="48.26"/>
    <x v="164"/>
    <x v="6"/>
    <x v="5"/>
    <x v="0"/>
    <x v="1"/>
    <x v="16"/>
    <x v="749"/>
    <s v="Jumbo Box"/>
    <n v="0.36"/>
    <d v="2011-04-10T00:00:00"/>
    <n v="0"/>
    <n v="0"/>
    <n v="1"/>
    <n v="1"/>
  </r>
  <r>
    <n v="7047"/>
    <n v="50307"/>
    <x v="187"/>
    <x v="0"/>
    <s v="Low"/>
    <n v="31"/>
    <n v="536.83000000000004"/>
    <n v="0.06"/>
    <s v="Regular Air"/>
    <n v="161.37"/>
    <n v="17.48"/>
    <n v="1.99"/>
    <x v="507"/>
    <x v="6"/>
    <x v="5"/>
    <x v="2"/>
    <x v="1"/>
    <x v="7"/>
    <x v="814"/>
    <s v="Small Pack"/>
    <n v="0.45"/>
    <d v="2010-10-15T00:00:00"/>
    <n v="0"/>
    <n v="0"/>
    <n v="0.5"/>
    <n v="0.5"/>
  </r>
  <r>
    <n v="7048"/>
    <n v="50307"/>
    <x v="187"/>
    <x v="0"/>
    <s v="Low"/>
    <n v="32"/>
    <n v="1734.31"/>
    <n v="0.06"/>
    <s v="Express Air"/>
    <n v="647.25"/>
    <n v="54.96"/>
    <n v="10.75"/>
    <x v="507"/>
    <x v="6"/>
    <x v="5"/>
    <x v="2"/>
    <x v="0"/>
    <x v="5"/>
    <x v="229"/>
    <s v="Small Box"/>
    <n v="0.36"/>
    <d v="2010-10-17T00:00:00"/>
    <n v="0"/>
    <n v="0"/>
    <n v="0.5"/>
    <n v="0.5"/>
  </r>
  <r>
    <n v="7102"/>
    <n v="50663"/>
    <x v="628"/>
    <x v="7"/>
    <s v="Critical"/>
    <n v="26"/>
    <n v="1614.84"/>
    <n v="0.02"/>
    <s v="Express Air"/>
    <n v="-716.55"/>
    <n v="60.98"/>
    <n v="49"/>
    <x v="496"/>
    <x v="6"/>
    <x v="5"/>
    <x v="1"/>
    <x v="0"/>
    <x v="1"/>
    <x v="347"/>
    <s v="Large Box"/>
    <n v="0.59"/>
    <d v="2010-11-10T00:00:00"/>
    <n v="0"/>
    <n v="0"/>
    <n v="1"/>
    <n v="0.5"/>
  </r>
  <r>
    <n v="7137"/>
    <n v="50917"/>
    <x v="631"/>
    <x v="36"/>
    <s v="Low"/>
    <n v="33"/>
    <n v="1422.31"/>
    <n v="0.02"/>
    <s v="Regular Air"/>
    <n v="498.15"/>
    <n v="43.98"/>
    <n v="1.99"/>
    <x v="501"/>
    <x v="6"/>
    <x v="5"/>
    <x v="1"/>
    <x v="1"/>
    <x v="7"/>
    <x v="138"/>
    <s v="Small Pack"/>
    <n v="0.44"/>
    <d v="2009-07-25T00:00:00"/>
    <n v="0"/>
    <n v="0"/>
    <n v="1"/>
    <n v="1"/>
  </r>
  <r>
    <n v="7145"/>
    <n v="50981"/>
    <x v="334"/>
    <x v="26"/>
    <s v="Critical"/>
    <n v="42"/>
    <n v="5678.5524999999998"/>
    <n v="0.01"/>
    <s v="Regular Air"/>
    <n v="1550.88"/>
    <n v="155.99"/>
    <n v="8.99"/>
    <x v="220"/>
    <x v="6"/>
    <x v="5"/>
    <x v="2"/>
    <x v="1"/>
    <x v="3"/>
    <x v="554"/>
    <s v="Small Box"/>
    <n v="0.57999999999999996"/>
    <d v="2009-08-04T00:00:00"/>
    <n v="0"/>
    <n v="0"/>
    <n v="1"/>
    <n v="0.5"/>
  </r>
  <r>
    <n v="7165"/>
    <n v="51140"/>
    <x v="1019"/>
    <x v="34"/>
    <s v="Low"/>
    <n v="28"/>
    <n v="132.01"/>
    <n v="0.04"/>
    <s v="Regular Air"/>
    <n v="-93.12"/>
    <n v="4.37"/>
    <n v="5.15"/>
    <x v="220"/>
    <x v="6"/>
    <x v="5"/>
    <x v="2"/>
    <x v="0"/>
    <x v="1"/>
    <x v="537"/>
    <s v="Small Box"/>
    <n v="0.59"/>
    <d v="2012-09-14T00:00:00"/>
    <n v="0"/>
    <n v="0"/>
    <n v="0.33333333333333331"/>
    <n v="0.33333333333333331"/>
  </r>
  <r>
    <n v="7166"/>
    <n v="51140"/>
    <x v="1019"/>
    <x v="34"/>
    <s v="Low"/>
    <n v="14"/>
    <n v="626.33000000000004"/>
    <n v="0.01"/>
    <s v="Regular Air"/>
    <n v="24.56"/>
    <n v="45.19"/>
    <n v="1.99"/>
    <x v="220"/>
    <x v="6"/>
    <x v="5"/>
    <x v="2"/>
    <x v="1"/>
    <x v="7"/>
    <x v="256"/>
    <s v="Small Pack"/>
    <n v="0.55000000000000004"/>
    <d v="2012-09-18T00:00:00"/>
    <n v="0"/>
    <n v="0"/>
    <n v="0.33333333333333331"/>
    <n v="0.33333333333333331"/>
  </r>
  <r>
    <n v="7167"/>
    <n v="51140"/>
    <x v="1019"/>
    <x v="34"/>
    <s v="Low"/>
    <n v="3"/>
    <n v="394.34"/>
    <n v="0.1"/>
    <s v="Regular Air"/>
    <n v="352.38"/>
    <n v="136.97999999999999"/>
    <n v="24.49"/>
    <x v="220"/>
    <x v="6"/>
    <x v="5"/>
    <x v="2"/>
    <x v="2"/>
    <x v="4"/>
    <x v="355"/>
    <s v="Large Box"/>
    <n v="0.59"/>
    <d v="2012-09-21T00:00:00"/>
    <n v="0"/>
    <n v="0"/>
    <n v="0.33333333333333331"/>
    <n v="0.33333333333333331"/>
  </r>
  <r>
    <n v="7177"/>
    <n v="51205"/>
    <x v="468"/>
    <x v="45"/>
    <s v="High"/>
    <n v="17"/>
    <n v="233.01"/>
    <n v="0.04"/>
    <s v="Express Air"/>
    <n v="88.884500000000003"/>
    <n v="12.97"/>
    <n v="1.49"/>
    <x v="287"/>
    <x v="6"/>
    <x v="5"/>
    <x v="3"/>
    <x v="0"/>
    <x v="2"/>
    <x v="941"/>
    <s v="Small Box"/>
    <n v="0.35"/>
    <d v="2012-12-11T00:00:00"/>
    <n v="0"/>
    <n v="0"/>
    <n v="0.5"/>
    <n v="0.5"/>
  </r>
  <r>
    <n v="7178"/>
    <n v="51205"/>
    <x v="468"/>
    <x v="45"/>
    <s v="High"/>
    <n v="5"/>
    <n v="225.72"/>
    <n v="0"/>
    <s v="Regular Air"/>
    <n v="16.649999999999999"/>
    <n v="39.979999999999997"/>
    <n v="9.83"/>
    <x v="287"/>
    <x v="6"/>
    <x v="5"/>
    <x v="3"/>
    <x v="0"/>
    <x v="8"/>
    <x v="854"/>
    <s v="Small Box"/>
    <n v="0.4"/>
    <d v="2012-12-11T00:00:00"/>
    <n v="0"/>
    <n v="0"/>
    <n v="0.5"/>
    <n v="0.5"/>
  </r>
  <r>
    <n v="7180"/>
    <n v="51237"/>
    <x v="276"/>
    <x v="33"/>
    <s v="Medium"/>
    <n v="26"/>
    <n v="4769.0694999999996"/>
    <n v="0.03"/>
    <s v="Regular Air"/>
    <n v="1138.5809999999999"/>
    <n v="205.99"/>
    <n v="5.99"/>
    <x v="498"/>
    <x v="6"/>
    <x v="5"/>
    <x v="0"/>
    <x v="1"/>
    <x v="3"/>
    <x v="556"/>
    <s v="Small Box"/>
    <n v="0.59"/>
    <d v="2012-03-12T00:00:00"/>
    <n v="0"/>
    <n v="0"/>
    <n v="1"/>
    <n v="0.5"/>
  </r>
  <r>
    <n v="7236"/>
    <n v="51619"/>
    <x v="1222"/>
    <x v="35"/>
    <s v="Not Specified"/>
    <n v="46"/>
    <n v="100.6"/>
    <n v="0.03"/>
    <s v="Regular Air"/>
    <n v="11.55"/>
    <n v="2.21"/>
    <n v="1"/>
    <x v="521"/>
    <x v="6"/>
    <x v="5"/>
    <x v="1"/>
    <x v="0"/>
    <x v="12"/>
    <x v="1157"/>
    <s v="Wrap Bag"/>
    <n v="0.38"/>
    <d v="2009-09-03T00:00:00"/>
    <n v="0"/>
    <n v="0"/>
    <n v="0.25"/>
    <n v="0.25"/>
  </r>
  <r>
    <n v="7237"/>
    <n v="51619"/>
    <x v="1222"/>
    <x v="35"/>
    <s v="Not Specified"/>
    <n v="6"/>
    <n v="958.06"/>
    <n v="0.09"/>
    <s v="Regular Air"/>
    <n v="-77.09"/>
    <n v="165.2"/>
    <n v="19.989999999999998"/>
    <x v="521"/>
    <x v="6"/>
    <x v="5"/>
    <x v="1"/>
    <x v="0"/>
    <x v="0"/>
    <x v="1176"/>
    <s v="Small Box"/>
    <n v="0.59"/>
    <d v="2009-09-03T00:00:00"/>
    <n v="0"/>
    <n v="0"/>
    <n v="0.25"/>
    <n v="0.25"/>
  </r>
  <r>
    <n v="7238"/>
    <n v="51619"/>
    <x v="1222"/>
    <x v="35"/>
    <s v="Not Specified"/>
    <n v="2"/>
    <n v="14.75"/>
    <n v="7.0000000000000007E-2"/>
    <s v="Regular Air"/>
    <n v="-11.419499999999999"/>
    <n v="3.89"/>
    <n v="7.01"/>
    <x v="521"/>
    <x v="6"/>
    <x v="5"/>
    <x v="1"/>
    <x v="0"/>
    <x v="2"/>
    <x v="35"/>
    <s v="Small Box"/>
    <n v="0.37"/>
    <d v="2009-09-04T00:00:00"/>
    <n v="0"/>
    <n v="0"/>
    <n v="0.25"/>
    <n v="0.25"/>
  </r>
  <r>
    <n v="7239"/>
    <n v="51619"/>
    <x v="1222"/>
    <x v="35"/>
    <s v="Not Specified"/>
    <n v="31"/>
    <n v="11262.04"/>
    <n v="0.06"/>
    <s v="Delivery Truck"/>
    <n v="1660.92"/>
    <n v="355.98"/>
    <n v="58.92"/>
    <x v="521"/>
    <x v="6"/>
    <x v="5"/>
    <x v="1"/>
    <x v="2"/>
    <x v="14"/>
    <x v="145"/>
    <s v="Jumbo Drum"/>
    <n v="0.64"/>
    <d v="2009-09-03T00:00:00"/>
    <n v="0"/>
    <n v="0"/>
    <n v="0.25"/>
    <n v="0.25"/>
  </r>
  <r>
    <n v="7250"/>
    <n v="51713"/>
    <x v="165"/>
    <x v="5"/>
    <s v="Not Specified"/>
    <n v="35"/>
    <n v="133.07"/>
    <n v="0.02"/>
    <s v="Regular Air"/>
    <n v="-15.96"/>
    <n v="3.74"/>
    <n v="0.94"/>
    <x v="507"/>
    <x v="6"/>
    <x v="5"/>
    <x v="2"/>
    <x v="0"/>
    <x v="6"/>
    <x v="1050"/>
    <s v="Wrap Bag"/>
    <n v="0.83"/>
    <d v="2011-03-20T00:00:00"/>
    <n v="0"/>
    <n v="0"/>
    <n v="1"/>
    <n v="1"/>
  </r>
  <r>
    <n v="7296"/>
    <n v="52007"/>
    <x v="381"/>
    <x v="13"/>
    <s v="Medium"/>
    <n v="25"/>
    <n v="68.540000000000006"/>
    <n v="0.1"/>
    <s v="Regular Air"/>
    <n v="22.2"/>
    <n v="2.88"/>
    <n v="0.5"/>
    <x v="499"/>
    <x v="6"/>
    <x v="5"/>
    <x v="1"/>
    <x v="0"/>
    <x v="11"/>
    <x v="210"/>
    <s v="Small Box"/>
    <n v="0.39"/>
    <d v="2012-04-14T00:00:00"/>
    <n v="0"/>
    <n v="0"/>
    <n v="0.5"/>
    <n v="0.5"/>
  </r>
  <r>
    <n v="7297"/>
    <n v="52007"/>
    <x v="381"/>
    <x v="13"/>
    <s v="Medium"/>
    <n v="19"/>
    <n v="10351.01"/>
    <n v="0.08"/>
    <s v="Delivery Truck"/>
    <n v="-1331.5533660000001"/>
    <n v="550.98"/>
    <n v="45.7"/>
    <x v="499"/>
    <x v="6"/>
    <x v="5"/>
    <x v="1"/>
    <x v="2"/>
    <x v="10"/>
    <x v="1079"/>
    <s v="Jumbo Box"/>
    <n v="0.71"/>
    <d v="2012-04-15T00:00:00"/>
    <n v="0"/>
    <n v="0"/>
    <n v="0.5"/>
    <n v="0.5"/>
  </r>
  <r>
    <n v="7317"/>
    <n v="52164"/>
    <x v="584"/>
    <x v="13"/>
    <s v="Not Specified"/>
    <n v="30"/>
    <n v="1824.848"/>
    <n v="0"/>
    <s v="Regular Air"/>
    <n v="364.23"/>
    <n v="65.989999999999995"/>
    <n v="8.8000000000000007"/>
    <x v="498"/>
    <x v="6"/>
    <x v="5"/>
    <x v="0"/>
    <x v="1"/>
    <x v="3"/>
    <x v="858"/>
    <s v="Small Box"/>
    <n v="0.57999999999999996"/>
    <d v="2012-04-15T00:00:00"/>
    <n v="0"/>
    <n v="0"/>
    <n v="1"/>
    <n v="0.5"/>
  </r>
  <r>
    <n v="7367"/>
    <n v="52512"/>
    <x v="1223"/>
    <x v="2"/>
    <s v="High"/>
    <n v="4"/>
    <n v="49.86"/>
    <n v="0.09"/>
    <s v="Regular Air"/>
    <n v="-21.77"/>
    <n v="11.97"/>
    <n v="4.9800000000000004"/>
    <x v="496"/>
    <x v="6"/>
    <x v="5"/>
    <x v="1"/>
    <x v="0"/>
    <x v="1"/>
    <x v="165"/>
    <s v="Small Box"/>
    <n v="0.57999999999999996"/>
    <d v="2011-07-09T00:00:00"/>
    <n v="0"/>
    <n v="0"/>
    <n v="0.5"/>
    <n v="0.33333333333333331"/>
  </r>
  <r>
    <n v="7368"/>
    <n v="52512"/>
    <x v="1223"/>
    <x v="2"/>
    <s v="High"/>
    <n v="32"/>
    <n v="197.49"/>
    <n v="0.08"/>
    <s v="Express Air"/>
    <n v="-52.842500000000001"/>
    <n v="5.74"/>
    <n v="5.01"/>
    <x v="496"/>
    <x v="6"/>
    <x v="5"/>
    <x v="1"/>
    <x v="0"/>
    <x v="2"/>
    <x v="240"/>
    <s v="Small Box"/>
    <n v="0.39"/>
    <d v="2011-07-09T00:00:00"/>
    <n v="0"/>
    <n v="0"/>
    <n v="0.5"/>
    <n v="0.33333333333333331"/>
  </r>
  <r>
    <n v="7379"/>
    <n v="52611"/>
    <x v="810"/>
    <x v="37"/>
    <s v="Medium"/>
    <n v="11"/>
    <n v="24.95"/>
    <n v="0.09"/>
    <s v="Regular Air"/>
    <n v="-5.14"/>
    <n v="2.1800000000000002"/>
    <n v="1.38"/>
    <x v="520"/>
    <x v="6"/>
    <x v="5"/>
    <x v="2"/>
    <x v="0"/>
    <x v="6"/>
    <x v="1086"/>
    <s v="Wrap Bag"/>
    <n v="0.44"/>
    <d v="2011-04-25T00:00:00"/>
    <n v="0"/>
    <n v="0"/>
    <n v="1"/>
    <n v="1"/>
  </r>
  <r>
    <n v="7403"/>
    <n v="52805"/>
    <x v="469"/>
    <x v="31"/>
    <s v="High"/>
    <n v="20"/>
    <n v="596.55999999999995"/>
    <n v="0.04"/>
    <s v="Express Air"/>
    <n v="60.7"/>
    <n v="29.99"/>
    <n v="5.5"/>
    <x v="513"/>
    <x v="6"/>
    <x v="5"/>
    <x v="2"/>
    <x v="1"/>
    <x v="7"/>
    <x v="890"/>
    <s v="Small Box"/>
    <n v="0.51"/>
    <d v="2011-09-28T00:00:00"/>
    <n v="0"/>
    <n v="0"/>
    <n v="1"/>
    <n v="1"/>
  </r>
  <r>
    <n v="7405"/>
    <n v="52833"/>
    <x v="74"/>
    <x v="25"/>
    <s v="Medium"/>
    <n v="8"/>
    <n v="317.82"/>
    <n v="0.02"/>
    <s v="Regular Air"/>
    <n v="-33.090000000000003"/>
    <n v="37.76"/>
    <n v="12.9"/>
    <x v="524"/>
    <x v="6"/>
    <x v="5"/>
    <x v="1"/>
    <x v="0"/>
    <x v="0"/>
    <x v="833"/>
    <s v="Small Box"/>
    <n v="0.56999999999999995"/>
    <d v="2011-12-25T00:00:00"/>
    <n v="0"/>
    <n v="0"/>
    <n v="1"/>
    <n v="1"/>
  </r>
  <r>
    <n v="7423"/>
    <n v="52930"/>
    <x v="1149"/>
    <x v="27"/>
    <s v="Low"/>
    <n v="16"/>
    <n v="136.97999999999999"/>
    <n v="0.04"/>
    <s v="Regular Air"/>
    <n v="44.12"/>
    <n v="8.74"/>
    <n v="1.39"/>
    <x v="114"/>
    <x v="6"/>
    <x v="5"/>
    <x v="2"/>
    <x v="0"/>
    <x v="8"/>
    <x v="427"/>
    <s v="Small Box"/>
    <n v="0.38"/>
    <d v="2011-11-12T00:00:00"/>
    <n v="0"/>
    <n v="0"/>
    <n v="0.25"/>
    <n v="0.2"/>
  </r>
  <r>
    <n v="7424"/>
    <n v="52930"/>
    <x v="1149"/>
    <x v="27"/>
    <s v="Low"/>
    <n v="39"/>
    <n v="225.17"/>
    <n v="0.1"/>
    <s v="Regular Air"/>
    <n v="-183.05"/>
    <n v="5.78"/>
    <n v="8.09"/>
    <x v="114"/>
    <x v="6"/>
    <x v="5"/>
    <x v="2"/>
    <x v="0"/>
    <x v="5"/>
    <x v="151"/>
    <s v="Small Box"/>
    <n v="0.36"/>
    <d v="2011-11-13T00:00:00"/>
    <n v="0"/>
    <n v="0"/>
    <n v="0.25"/>
    <n v="0.2"/>
  </r>
  <r>
    <n v="7425"/>
    <n v="52930"/>
    <x v="1149"/>
    <x v="27"/>
    <s v="Low"/>
    <n v="24"/>
    <n v="1112.1569999999999"/>
    <n v="0.09"/>
    <s v="Regular Air"/>
    <n v="140.80500000000001"/>
    <n v="55.99"/>
    <n v="3.3"/>
    <x v="114"/>
    <x v="6"/>
    <x v="5"/>
    <x v="2"/>
    <x v="1"/>
    <x v="3"/>
    <x v="177"/>
    <s v="Small Pack"/>
    <n v="0.59"/>
    <d v="2011-11-08T00:00:00"/>
    <n v="0"/>
    <n v="0"/>
    <n v="0.25"/>
    <n v="0.2"/>
  </r>
  <r>
    <n v="7426"/>
    <n v="52930"/>
    <x v="1149"/>
    <x v="27"/>
    <s v="Low"/>
    <n v="40"/>
    <n v="1865.5884999999998"/>
    <n v="0.02"/>
    <s v="Regular Air"/>
    <n v="972.9"/>
    <n v="55.99"/>
    <n v="1.25"/>
    <x v="114"/>
    <x v="6"/>
    <x v="5"/>
    <x v="2"/>
    <x v="1"/>
    <x v="3"/>
    <x v="733"/>
    <s v="Small Pack"/>
    <n v="0.35"/>
    <d v="2011-11-08T00:00:00"/>
    <n v="0"/>
    <n v="0"/>
    <n v="0.25"/>
    <n v="0.2"/>
  </r>
  <r>
    <n v="7446"/>
    <n v="53127"/>
    <x v="1203"/>
    <x v="10"/>
    <s v="High"/>
    <n v="50"/>
    <n v="1893.29"/>
    <n v="7.0000000000000007E-2"/>
    <s v="Regular Air"/>
    <n v="857.34400000000005"/>
    <n v="37.700000000000003"/>
    <n v="2.99"/>
    <x v="136"/>
    <x v="6"/>
    <x v="5"/>
    <x v="1"/>
    <x v="0"/>
    <x v="2"/>
    <x v="737"/>
    <s v="Small Box"/>
    <n v="0.35"/>
    <d v="2011-05-12T00:00:00"/>
    <n v="0"/>
    <n v="0"/>
    <n v="0.5"/>
    <n v="0.5"/>
  </r>
  <r>
    <n v="7447"/>
    <n v="53127"/>
    <x v="1203"/>
    <x v="10"/>
    <s v="High"/>
    <n v="49"/>
    <n v="2628.047"/>
    <n v="0.05"/>
    <s v="Regular Air"/>
    <n v="-137.95099999999999"/>
    <n v="65.989999999999995"/>
    <n v="19.989999999999998"/>
    <x v="136"/>
    <x v="6"/>
    <x v="5"/>
    <x v="1"/>
    <x v="1"/>
    <x v="3"/>
    <x v="614"/>
    <s v="Small Box"/>
    <n v="0.59"/>
    <d v="2011-05-13T00:00:00"/>
    <n v="0"/>
    <n v="0"/>
    <n v="0.5"/>
    <n v="0.5"/>
  </r>
  <r>
    <n v="7472"/>
    <n v="53349"/>
    <x v="623"/>
    <x v="24"/>
    <s v="Low"/>
    <n v="46"/>
    <n v="11002.66"/>
    <n v="7.0000000000000007E-2"/>
    <s v="Delivery Truck"/>
    <n v="2349.29"/>
    <n v="243.98"/>
    <n v="43.32"/>
    <x v="499"/>
    <x v="6"/>
    <x v="5"/>
    <x v="2"/>
    <x v="2"/>
    <x v="14"/>
    <x v="130"/>
    <s v="Jumbo Drum"/>
    <n v="0.55000000000000004"/>
    <d v="2010-04-19T00:00:00"/>
    <n v="0"/>
    <n v="0"/>
    <n v="1"/>
    <n v="1"/>
  </r>
  <r>
    <n v="7489"/>
    <n v="53476"/>
    <x v="790"/>
    <x v="41"/>
    <s v="Not Specified"/>
    <n v="14"/>
    <n v="481.4"/>
    <n v="0.04"/>
    <s v="Regular Air"/>
    <n v="150.72"/>
    <n v="35.44"/>
    <n v="5.09"/>
    <x v="504"/>
    <x v="6"/>
    <x v="5"/>
    <x v="0"/>
    <x v="0"/>
    <x v="5"/>
    <x v="120"/>
    <s v="Small Box"/>
    <n v="0.38"/>
    <d v="2009-06-11T00:00:00"/>
    <n v="0"/>
    <n v="0"/>
    <n v="0.25"/>
    <n v="0.25"/>
  </r>
  <r>
    <n v="7490"/>
    <n v="53476"/>
    <x v="790"/>
    <x v="41"/>
    <s v="Not Specified"/>
    <n v="24"/>
    <n v="93.85"/>
    <n v="0.08"/>
    <s v="Regular Air"/>
    <n v="19.420000000000002"/>
    <n v="3.98"/>
    <n v="0.7"/>
    <x v="504"/>
    <x v="6"/>
    <x v="5"/>
    <x v="0"/>
    <x v="0"/>
    <x v="12"/>
    <x v="1081"/>
    <s v="Wrap Bag"/>
    <n v="0.52"/>
    <d v="2009-06-14T00:00:00"/>
    <n v="0"/>
    <n v="0"/>
    <n v="0.25"/>
    <n v="0.25"/>
  </r>
  <r>
    <n v="7491"/>
    <n v="53476"/>
    <x v="790"/>
    <x v="41"/>
    <s v="Not Specified"/>
    <n v="47"/>
    <n v="85.87"/>
    <n v="0.01"/>
    <s v="Regular Air"/>
    <n v="3.13"/>
    <n v="1.76"/>
    <n v="0.7"/>
    <x v="504"/>
    <x v="6"/>
    <x v="5"/>
    <x v="0"/>
    <x v="0"/>
    <x v="12"/>
    <x v="263"/>
    <s v="Wrap Bag"/>
    <n v="0.56000000000000005"/>
    <d v="2009-06-12T00:00:00"/>
    <n v="0"/>
    <n v="0"/>
    <n v="0.25"/>
    <n v="0.25"/>
  </r>
  <r>
    <n v="7492"/>
    <n v="53476"/>
    <x v="790"/>
    <x v="41"/>
    <s v="Not Specified"/>
    <n v="42"/>
    <n v="8127.32"/>
    <n v="0.01"/>
    <s v="Express Air"/>
    <n v="1141.07"/>
    <n v="193.17"/>
    <n v="19.989999999999998"/>
    <x v="504"/>
    <x v="6"/>
    <x v="5"/>
    <x v="0"/>
    <x v="0"/>
    <x v="0"/>
    <x v="219"/>
    <s v="Small Box"/>
    <n v="0.71"/>
    <d v="2009-06-11T00:00:00"/>
    <n v="0"/>
    <n v="0"/>
    <n v="0.25"/>
    <n v="0.25"/>
  </r>
  <r>
    <n v="7518"/>
    <n v="53671"/>
    <x v="887"/>
    <x v="4"/>
    <s v="Medium"/>
    <n v="41"/>
    <n v="236.68"/>
    <n v="0.08"/>
    <s v="Regular Air"/>
    <n v="-82.788499999999999"/>
    <n v="5.74"/>
    <n v="5.01"/>
    <x v="518"/>
    <x v="6"/>
    <x v="5"/>
    <x v="0"/>
    <x v="0"/>
    <x v="2"/>
    <x v="240"/>
    <s v="Small Box"/>
    <n v="0.39"/>
    <d v="2011-06-11T00:00:00"/>
    <n v="0"/>
    <n v="0"/>
    <n v="0.33333333333333331"/>
    <n v="0.33333333333333331"/>
  </r>
  <r>
    <n v="7519"/>
    <n v="53671"/>
    <x v="887"/>
    <x v="4"/>
    <s v="Medium"/>
    <n v="43"/>
    <n v="6255.81"/>
    <n v="0.01"/>
    <s v="Regular Air"/>
    <n v="693.26"/>
    <n v="140.85"/>
    <n v="19.989999999999998"/>
    <x v="518"/>
    <x v="6"/>
    <x v="5"/>
    <x v="0"/>
    <x v="0"/>
    <x v="0"/>
    <x v="405"/>
    <s v="Small Box"/>
    <n v="0.73"/>
    <d v="2011-06-11T00:00:00"/>
    <n v="0"/>
    <n v="0"/>
    <n v="0.33333333333333331"/>
    <n v="0.33333333333333331"/>
  </r>
  <r>
    <n v="7520"/>
    <n v="53671"/>
    <x v="887"/>
    <x v="4"/>
    <s v="Medium"/>
    <n v="39"/>
    <n v="616.5"/>
    <n v="0.02"/>
    <s v="Regular Air"/>
    <n v="25.992999999999999"/>
    <n v="15.01"/>
    <n v="8.4"/>
    <x v="518"/>
    <x v="6"/>
    <x v="5"/>
    <x v="0"/>
    <x v="0"/>
    <x v="2"/>
    <x v="318"/>
    <s v="Small Box"/>
    <n v="0.39"/>
    <d v="2011-06-11T00:00:00"/>
    <n v="0"/>
    <n v="0"/>
    <n v="0.33333333333333331"/>
    <n v="0.33333333333333331"/>
  </r>
  <r>
    <n v="7526"/>
    <n v="53766"/>
    <x v="871"/>
    <x v="19"/>
    <s v="Not Specified"/>
    <n v="22"/>
    <n v="3122.55"/>
    <n v="7.0000000000000007E-2"/>
    <s v="Delivery Truck"/>
    <n v="-574.55970000000002"/>
    <n v="145.97999999999999"/>
    <n v="46.2"/>
    <x v="518"/>
    <x v="6"/>
    <x v="5"/>
    <x v="2"/>
    <x v="2"/>
    <x v="10"/>
    <x v="726"/>
    <s v="Jumbo Box"/>
    <n v="0.69"/>
    <d v="2009-10-14T00:00:00"/>
    <n v="0"/>
    <n v="0"/>
    <n v="1"/>
    <n v="1"/>
  </r>
  <r>
    <n v="7528"/>
    <n v="53795"/>
    <x v="673"/>
    <x v="23"/>
    <s v="High"/>
    <n v="40"/>
    <n v="264.60000000000002"/>
    <n v="0.1"/>
    <s v="Express Air"/>
    <n v="-93.06"/>
    <n v="6.48"/>
    <n v="6.22"/>
    <x v="503"/>
    <x v="6"/>
    <x v="5"/>
    <x v="3"/>
    <x v="0"/>
    <x v="5"/>
    <x v="731"/>
    <s v="Small Box"/>
    <n v="0.37"/>
    <d v="2012-01-31T00:00:00"/>
    <n v="0"/>
    <n v="0"/>
    <n v="0.5"/>
    <n v="0.5"/>
  </r>
  <r>
    <n v="7529"/>
    <n v="53795"/>
    <x v="673"/>
    <x v="23"/>
    <s v="High"/>
    <n v="21"/>
    <n v="3356.7349999999997"/>
    <n v="0.05"/>
    <s v="Regular Air"/>
    <n v="370.33199999999999"/>
    <n v="195.99"/>
    <n v="4.2"/>
    <x v="503"/>
    <x v="6"/>
    <x v="5"/>
    <x v="3"/>
    <x v="1"/>
    <x v="3"/>
    <x v="469"/>
    <s v="Small Box"/>
    <n v="0.6"/>
    <d v="2012-02-01T00:00:00"/>
    <n v="0"/>
    <n v="0"/>
    <n v="0.5"/>
    <n v="0.5"/>
  </r>
  <r>
    <n v="7579"/>
    <n v="54209"/>
    <x v="869"/>
    <x v="9"/>
    <s v="Medium"/>
    <n v="21"/>
    <n v="664.98900000000003"/>
    <n v="0.04"/>
    <s v="Regular Air"/>
    <n v="170.46"/>
    <n v="35.99"/>
    <n v="5.99"/>
    <x v="494"/>
    <x v="6"/>
    <x v="5"/>
    <x v="3"/>
    <x v="1"/>
    <x v="3"/>
    <x v="702"/>
    <s v="Wrap Bag"/>
    <n v="0.38"/>
    <d v="2012-08-17T00:00:00"/>
    <n v="0"/>
    <n v="0"/>
    <n v="1"/>
    <n v="1"/>
  </r>
  <r>
    <n v="7599"/>
    <n v="54369"/>
    <x v="229"/>
    <x v="28"/>
    <s v="Not Specified"/>
    <n v="47"/>
    <n v="421.08"/>
    <n v="0"/>
    <s v="Express Air"/>
    <n v="82.31"/>
    <n v="8.33"/>
    <n v="1.99"/>
    <x v="523"/>
    <x v="6"/>
    <x v="5"/>
    <x v="1"/>
    <x v="1"/>
    <x v="7"/>
    <x v="206"/>
    <s v="Small Pack"/>
    <n v="0.52"/>
    <d v="2009-03-04T00:00:00"/>
    <n v="0"/>
    <n v="0"/>
    <n v="1"/>
    <n v="1"/>
  </r>
  <r>
    <n v="7652"/>
    <n v="54850"/>
    <x v="267"/>
    <x v="15"/>
    <s v="Not Specified"/>
    <n v="16"/>
    <n v="2834.96"/>
    <n v="7.0000000000000007E-2"/>
    <s v="Regular Air"/>
    <n v="587.64"/>
    <n v="178.47"/>
    <n v="19.989999999999998"/>
    <x v="287"/>
    <x v="6"/>
    <x v="5"/>
    <x v="3"/>
    <x v="0"/>
    <x v="0"/>
    <x v="902"/>
    <s v="Small Box"/>
    <n v="0.55000000000000004"/>
    <d v="2010-12-24T00:00:00"/>
    <n v="0"/>
    <n v="0"/>
    <n v="0.5"/>
    <n v="0.5"/>
  </r>
  <r>
    <n v="7653"/>
    <n v="54850"/>
    <x v="267"/>
    <x v="15"/>
    <s v="Not Specified"/>
    <n v="9"/>
    <n v="953.98899999999992"/>
    <n v="0.02"/>
    <s v="Regular Air"/>
    <n v="-249.32599999999999"/>
    <n v="125.99"/>
    <n v="8.08"/>
    <x v="287"/>
    <x v="6"/>
    <x v="5"/>
    <x v="3"/>
    <x v="1"/>
    <x v="3"/>
    <x v="162"/>
    <s v="Small Box"/>
    <n v="0.56999999999999995"/>
    <d v="2010-12-25T00:00:00"/>
    <n v="0"/>
    <n v="0"/>
    <n v="0.5"/>
    <n v="0.5"/>
  </r>
  <r>
    <n v="7666"/>
    <n v="54950"/>
    <x v="112"/>
    <x v="15"/>
    <s v="High"/>
    <n v="26"/>
    <n v="174.58"/>
    <n v="0.08"/>
    <s v="Regular Air"/>
    <n v="-57.17"/>
    <n v="6.84"/>
    <n v="4.42"/>
    <x v="521"/>
    <x v="6"/>
    <x v="5"/>
    <x v="1"/>
    <x v="0"/>
    <x v="15"/>
    <x v="990"/>
    <s v="Small Pack"/>
    <n v="0.57999999999999996"/>
    <d v="2010-12-06T00:00:00"/>
    <n v="0"/>
    <n v="0"/>
    <n v="0.5"/>
    <n v="0.5"/>
  </r>
  <r>
    <n v="7667"/>
    <n v="54950"/>
    <x v="112"/>
    <x v="15"/>
    <s v="High"/>
    <n v="22"/>
    <n v="8789.5400000000009"/>
    <n v="7.0000000000000007E-2"/>
    <s v="Delivery Truck"/>
    <n v="-1025.1883070000001"/>
    <n v="424.21"/>
    <n v="110.2"/>
    <x v="521"/>
    <x v="6"/>
    <x v="5"/>
    <x v="1"/>
    <x v="2"/>
    <x v="10"/>
    <x v="654"/>
    <s v="Jumbo Box"/>
    <n v="0.67"/>
    <d v="2010-12-06T00:00:00"/>
    <n v="0"/>
    <n v="0"/>
    <n v="0.5"/>
    <n v="0.5"/>
  </r>
  <r>
    <n v="7697"/>
    <n v="55172"/>
    <x v="387"/>
    <x v="15"/>
    <s v="Not Specified"/>
    <n v="1"/>
    <n v="37.89"/>
    <n v="0"/>
    <s v="Regular Air"/>
    <n v="-120.97"/>
    <n v="35.409999999999997"/>
    <n v="1.99"/>
    <x v="475"/>
    <x v="6"/>
    <x v="5"/>
    <x v="2"/>
    <x v="1"/>
    <x v="7"/>
    <x v="753"/>
    <s v="Small Pack"/>
    <n v="0.43"/>
    <d v="2010-12-04T00:00:00"/>
    <n v="0"/>
    <n v="0"/>
    <n v="1"/>
    <n v="1"/>
  </r>
  <r>
    <n v="7706"/>
    <n v="55235"/>
    <x v="524"/>
    <x v="0"/>
    <s v="Low"/>
    <n v="33"/>
    <n v="2532.6175000000003"/>
    <n v="0"/>
    <s v="Regular Air"/>
    <n v="730.51199999999994"/>
    <n v="85.99"/>
    <n v="2.79"/>
    <x v="502"/>
    <x v="6"/>
    <x v="5"/>
    <x v="2"/>
    <x v="1"/>
    <x v="3"/>
    <x v="700"/>
    <s v="Small Box"/>
    <n v="0.57999999999999996"/>
    <d v="2010-10-08T00:00:00"/>
    <n v="0"/>
    <n v="0"/>
    <n v="1"/>
    <n v="1"/>
  </r>
  <r>
    <n v="7718"/>
    <n v="55300"/>
    <x v="277"/>
    <x v="40"/>
    <s v="High"/>
    <n v="37"/>
    <n v="159.88999999999999"/>
    <n v="0.03"/>
    <s v="Regular Air"/>
    <n v="-185.17"/>
    <n v="4.0599999999999996"/>
    <n v="6.89"/>
    <x v="501"/>
    <x v="6"/>
    <x v="5"/>
    <x v="1"/>
    <x v="0"/>
    <x v="1"/>
    <x v="283"/>
    <s v="Small Box"/>
    <n v="0.6"/>
    <d v="2009-02-22T00:00:00"/>
    <n v="0"/>
    <n v="0"/>
    <n v="0.33333333333333331"/>
    <n v="0.33333333333333331"/>
  </r>
  <r>
    <n v="7719"/>
    <n v="55300"/>
    <x v="277"/>
    <x v="40"/>
    <s v="High"/>
    <n v="48"/>
    <n v="180.48"/>
    <n v="0.01"/>
    <s v="Regular Air"/>
    <n v="82.38"/>
    <n v="3.75"/>
    <n v="0.5"/>
    <x v="501"/>
    <x v="6"/>
    <x v="5"/>
    <x v="1"/>
    <x v="0"/>
    <x v="11"/>
    <x v="45"/>
    <s v="Small Box"/>
    <n v="0.37"/>
    <d v="2009-02-21T00:00:00"/>
    <n v="0"/>
    <n v="0"/>
    <n v="0.33333333333333331"/>
    <n v="0.33333333333333331"/>
  </r>
  <r>
    <n v="7720"/>
    <n v="55300"/>
    <x v="277"/>
    <x v="40"/>
    <s v="High"/>
    <n v="31"/>
    <n v="350.48"/>
    <n v="0.02"/>
    <s v="Regular Air"/>
    <n v="-231.05"/>
    <n v="10.68"/>
    <n v="13.04"/>
    <x v="501"/>
    <x v="6"/>
    <x v="5"/>
    <x v="1"/>
    <x v="2"/>
    <x v="4"/>
    <x v="519"/>
    <s v="Large Box"/>
    <n v="0.6"/>
    <d v="2009-02-22T00:00:00"/>
    <n v="0"/>
    <n v="0"/>
    <n v="0.33333333333333331"/>
    <n v="0.33333333333333331"/>
  </r>
  <r>
    <n v="7736"/>
    <n v="55398"/>
    <x v="606"/>
    <x v="38"/>
    <s v="Medium"/>
    <n v="21"/>
    <n v="46.42"/>
    <n v="0.04"/>
    <s v="Regular Air"/>
    <n v="2.38"/>
    <n v="2.1"/>
    <n v="0.7"/>
    <x v="314"/>
    <x v="6"/>
    <x v="5"/>
    <x v="0"/>
    <x v="0"/>
    <x v="12"/>
    <x v="1145"/>
    <s v="Wrap Bag"/>
    <n v="0.56999999999999995"/>
    <d v="2010-01-21T00:00:00"/>
    <n v="1"/>
    <n v="0"/>
    <n v="0.5"/>
    <n v="0.5"/>
  </r>
  <r>
    <n v="7761"/>
    <n v="55553"/>
    <x v="811"/>
    <x v="36"/>
    <s v="Medium"/>
    <n v="32"/>
    <n v="177.52"/>
    <n v="0.05"/>
    <s v="Regular Air"/>
    <n v="52.61"/>
    <n v="5.68"/>
    <n v="1.39"/>
    <x v="164"/>
    <x v="6"/>
    <x v="5"/>
    <x v="0"/>
    <x v="0"/>
    <x v="8"/>
    <x v="474"/>
    <s v="Small Box"/>
    <n v="0.38"/>
    <d v="2009-07-18T00:00:00"/>
    <n v="0"/>
    <n v="0"/>
    <n v="1"/>
    <n v="0.33333333333333331"/>
  </r>
  <r>
    <n v="7791"/>
    <n v="55747"/>
    <x v="727"/>
    <x v="45"/>
    <s v="High"/>
    <n v="36"/>
    <n v="17560.95"/>
    <n v="0.09"/>
    <s v="Delivery Truck"/>
    <n v="4801.82"/>
    <n v="500.98"/>
    <n v="26"/>
    <x v="498"/>
    <x v="6"/>
    <x v="5"/>
    <x v="0"/>
    <x v="2"/>
    <x v="14"/>
    <x v="38"/>
    <s v="Jumbo Drum"/>
    <n v="0.6"/>
    <d v="2012-12-03T00:00:00"/>
    <n v="0"/>
    <n v="0"/>
    <n v="0.5"/>
    <n v="0.5"/>
  </r>
  <r>
    <n v="7792"/>
    <n v="55747"/>
    <x v="727"/>
    <x v="45"/>
    <s v="High"/>
    <n v="42"/>
    <n v="19845.696"/>
    <n v="0.01"/>
    <s v="Delivery Truck"/>
    <n v="-1331.5533660000001"/>
    <n v="550.98"/>
    <n v="64.59"/>
    <x v="498"/>
    <x v="6"/>
    <x v="5"/>
    <x v="0"/>
    <x v="2"/>
    <x v="10"/>
    <x v="481"/>
    <s v="Jumbo Box"/>
    <n v="0.66"/>
    <d v="2012-12-04T00:00:00"/>
    <n v="0"/>
    <n v="0"/>
    <n v="0.5"/>
    <n v="0.5"/>
  </r>
  <r>
    <n v="7798"/>
    <n v="55779"/>
    <x v="276"/>
    <x v="33"/>
    <s v="Critical"/>
    <n v="26"/>
    <n v="4073.17"/>
    <n v="0.08"/>
    <s v="Delivery Truck"/>
    <n v="376.21"/>
    <n v="160.97999999999999"/>
    <n v="30"/>
    <x v="475"/>
    <x v="6"/>
    <x v="5"/>
    <x v="3"/>
    <x v="2"/>
    <x v="14"/>
    <x v="580"/>
    <s v="Jumbo Drum"/>
    <n v="0.62"/>
    <d v="2012-03-11T00:00:00"/>
    <n v="0"/>
    <n v="0"/>
    <n v="1"/>
    <n v="1"/>
  </r>
  <r>
    <n v="7886"/>
    <n v="56418"/>
    <x v="722"/>
    <x v="13"/>
    <s v="Critical"/>
    <n v="47"/>
    <n v="1613.84"/>
    <n v="0.09"/>
    <s v="Regular Air"/>
    <n v="226.76"/>
    <n v="34.76"/>
    <n v="8.2200000000000006"/>
    <x v="498"/>
    <x v="6"/>
    <x v="5"/>
    <x v="2"/>
    <x v="0"/>
    <x v="0"/>
    <x v="139"/>
    <s v="Small Box"/>
    <n v="0.56999999999999995"/>
    <d v="2012-04-13T00:00:00"/>
    <n v="0"/>
    <n v="0"/>
    <n v="1"/>
    <n v="0.5"/>
  </r>
  <r>
    <n v="7911"/>
    <n v="56580"/>
    <x v="1224"/>
    <x v="21"/>
    <s v="Not Specified"/>
    <n v="9"/>
    <n v="73.05"/>
    <n v="0.1"/>
    <s v="Regular Air"/>
    <n v="-17.03"/>
    <n v="8.34"/>
    <n v="4.82"/>
    <x v="515"/>
    <x v="6"/>
    <x v="5"/>
    <x v="1"/>
    <x v="0"/>
    <x v="5"/>
    <x v="513"/>
    <s v="Small Box"/>
    <n v="0.4"/>
    <d v="2011-08-14T00:00:00"/>
    <n v="0"/>
    <n v="0"/>
    <n v="0.33333333333333331"/>
    <n v="0.33333333333333331"/>
  </r>
  <r>
    <n v="7912"/>
    <n v="56580"/>
    <x v="1224"/>
    <x v="21"/>
    <s v="Not Specified"/>
    <n v="44"/>
    <n v="950.3"/>
    <n v="0.1"/>
    <s v="Delivery Truck"/>
    <n v="-2103.0500000000002"/>
    <n v="20.98"/>
    <n v="53.03"/>
    <x v="515"/>
    <x v="6"/>
    <x v="5"/>
    <x v="1"/>
    <x v="0"/>
    <x v="0"/>
    <x v="111"/>
    <s v="Jumbo Drum"/>
    <n v="0.78"/>
    <d v="2011-08-16T00:00:00"/>
    <n v="0"/>
    <n v="0"/>
    <n v="0.33333333333333331"/>
    <n v="0.33333333333333331"/>
  </r>
  <r>
    <n v="7913"/>
    <n v="56580"/>
    <x v="1224"/>
    <x v="21"/>
    <s v="Not Specified"/>
    <n v="29"/>
    <n v="8122.53"/>
    <n v="0.05"/>
    <s v="Delivery Truck"/>
    <n v="-693.23039500000016"/>
    <n v="286.85000000000002"/>
    <n v="61.76"/>
    <x v="515"/>
    <x v="6"/>
    <x v="5"/>
    <x v="1"/>
    <x v="2"/>
    <x v="10"/>
    <x v="832"/>
    <s v="Jumbo Box"/>
    <n v="0.78"/>
    <d v="2011-08-16T00:00:00"/>
    <n v="0"/>
    <n v="0"/>
    <n v="0.33333333333333331"/>
    <n v="0.33333333333333331"/>
  </r>
  <r>
    <n v="7953"/>
    <n v="56807"/>
    <x v="1165"/>
    <x v="46"/>
    <s v="High"/>
    <n v="1"/>
    <n v="47.04"/>
    <n v="0.06"/>
    <s v="Regular Air"/>
    <n v="-24.63"/>
    <n v="42.98"/>
    <n v="4.62"/>
    <x v="444"/>
    <x v="6"/>
    <x v="5"/>
    <x v="1"/>
    <x v="0"/>
    <x v="1"/>
    <x v="667"/>
    <s v="Small Box"/>
    <n v="0.56000000000000005"/>
    <d v="2009-04-23T00:00:00"/>
    <n v="0"/>
    <n v="0"/>
    <n v="1"/>
    <n v="1"/>
  </r>
  <r>
    <n v="7957"/>
    <n v="56837"/>
    <x v="309"/>
    <x v="15"/>
    <s v="Low"/>
    <n v="10"/>
    <n v="965.46"/>
    <n v="0.03"/>
    <s v="Delivery Truck"/>
    <n v="-71.48"/>
    <n v="90.98"/>
    <n v="30"/>
    <x v="504"/>
    <x v="6"/>
    <x v="5"/>
    <x v="1"/>
    <x v="2"/>
    <x v="14"/>
    <x v="557"/>
    <s v="Jumbo Drum"/>
    <n v="0.61"/>
    <d v="2010-12-18T00:00:00"/>
    <n v="0"/>
    <n v="0"/>
    <n v="1"/>
    <n v="1"/>
  </r>
  <r>
    <n v="7970"/>
    <n v="56995"/>
    <x v="225"/>
    <x v="19"/>
    <s v="Medium"/>
    <n v="27"/>
    <n v="157.57"/>
    <n v="0.08"/>
    <s v="Express Air"/>
    <n v="-57.062999999999995"/>
    <n v="5.74"/>
    <n v="5.01"/>
    <x v="114"/>
    <x v="6"/>
    <x v="5"/>
    <x v="2"/>
    <x v="0"/>
    <x v="2"/>
    <x v="240"/>
    <s v="Small Box"/>
    <n v="0.39"/>
    <d v="2009-10-17T00:00:00"/>
    <n v="0"/>
    <n v="0"/>
    <n v="1"/>
    <n v="1"/>
  </r>
  <r>
    <n v="7984"/>
    <n v="57091"/>
    <x v="1225"/>
    <x v="17"/>
    <s v="Medium"/>
    <n v="6"/>
    <n v="14.85"/>
    <n v="0.05"/>
    <s v="Express Air"/>
    <n v="-2.79"/>
    <n v="1.68"/>
    <n v="1.02"/>
    <x v="513"/>
    <x v="6"/>
    <x v="5"/>
    <x v="3"/>
    <x v="0"/>
    <x v="6"/>
    <x v="1177"/>
    <s v="Wrap Bag"/>
    <n v="0.81"/>
    <d v="2011-11-01T00:00:00"/>
    <n v="0"/>
    <n v="0"/>
    <n v="1"/>
    <n v="1"/>
  </r>
  <r>
    <n v="7998"/>
    <n v="57155"/>
    <x v="501"/>
    <x v="41"/>
    <s v="Critical"/>
    <n v="23"/>
    <n v="155.52000000000001"/>
    <n v="0.05"/>
    <s v="Regular Air"/>
    <n v="-133.72999999999999"/>
    <n v="6.48"/>
    <n v="9.68"/>
    <x v="493"/>
    <x v="6"/>
    <x v="5"/>
    <x v="1"/>
    <x v="0"/>
    <x v="5"/>
    <x v="597"/>
    <s v="Small Box"/>
    <n v="0.36"/>
    <d v="2009-06-18T00:00:00"/>
    <n v="0"/>
    <n v="0"/>
    <n v="0.5"/>
    <n v="0.5"/>
  </r>
  <r>
    <n v="7999"/>
    <n v="57155"/>
    <x v="501"/>
    <x v="41"/>
    <s v="Critical"/>
    <n v="16"/>
    <n v="535.54"/>
    <n v="0.04"/>
    <s v="Express Air"/>
    <n v="60.82"/>
    <n v="33.89"/>
    <n v="5.0999999999999996"/>
    <x v="493"/>
    <x v="6"/>
    <x v="5"/>
    <x v="1"/>
    <x v="0"/>
    <x v="0"/>
    <x v="1178"/>
    <s v="Small Box"/>
    <n v="0.6"/>
    <d v="2009-06-18T00:00:00"/>
    <n v="0"/>
    <n v="0"/>
    <n v="0.5"/>
    <n v="0.5"/>
  </r>
  <r>
    <n v="8003"/>
    <n v="57185"/>
    <x v="1112"/>
    <x v="10"/>
    <s v="Medium"/>
    <n v="28"/>
    <n v="1360.82"/>
    <n v="0.06"/>
    <s v="Regular Air"/>
    <n v="385.03"/>
    <n v="49.34"/>
    <n v="10.25"/>
    <x v="512"/>
    <x v="6"/>
    <x v="5"/>
    <x v="2"/>
    <x v="2"/>
    <x v="4"/>
    <x v="945"/>
    <s v="Large Box"/>
    <n v="0.56999999999999995"/>
    <d v="2011-05-25T00:00:00"/>
    <n v="0"/>
    <n v="0"/>
    <n v="1"/>
    <n v="1"/>
  </r>
  <r>
    <n v="8036"/>
    <n v="57409"/>
    <x v="626"/>
    <x v="11"/>
    <s v="Not Specified"/>
    <n v="1"/>
    <n v="90.88"/>
    <n v="0.1"/>
    <s v="Regular Air"/>
    <n v="-259.63"/>
    <n v="100.98"/>
    <n v="7.18"/>
    <x v="164"/>
    <x v="6"/>
    <x v="5"/>
    <x v="0"/>
    <x v="1"/>
    <x v="7"/>
    <x v="495"/>
    <s v="Small Box"/>
    <n v="0.4"/>
    <d v="2009-11-21T00:00:00"/>
    <n v="0"/>
    <n v="0"/>
    <n v="0.5"/>
    <n v="0.33333333333333331"/>
  </r>
  <r>
    <n v="8037"/>
    <n v="57409"/>
    <x v="626"/>
    <x v="11"/>
    <s v="Not Specified"/>
    <n v="34"/>
    <n v="6236.4754999999996"/>
    <n v="0.03"/>
    <s v="Regular Air"/>
    <n v="1928.664"/>
    <n v="205.99"/>
    <n v="3"/>
    <x v="164"/>
    <x v="6"/>
    <x v="5"/>
    <x v="0"/>
    <x v="1"/>
    <x v="3"/>
    <x v="595"/>
    <s v="Small Box"/>
    <n v="0.57999999999999996"/>
    <d v="2009-11-21T00:00:00"/>
    <n v="0"/>
    <n v="0"/>
    <n v="0.5"/>
    <n v="0.33333333333333331"/>
  </r>
  <r>
    <n v="8066"/>
    <n v="57542"/>
    <x v="1073"/>
    <x v="26"/>
    <s v="High"/>
    <n v="23"/>
    <n v="1256.29"/>
    <n v="0.04"/>
    <s v="Regular Air"/>
    <n v="517.03"/>
    <n v="55.48"/>
    <n v="6.79"/>
    <x v="498"/>
    <x v="6"/>
    <x v="5"/>
    <x v="2"/>
    <x v="0"/>
    <x v="5"/>
    <x v="812"/>
    <s v="Small Box"/>
    <n v="0.37"/>
    <d v="2009-08-24T00:00:00"/>
    <n v="0"/>
    <n v="0"/>
    <n v="1"/>
    <n v="1"/>
  </r>
  <r>
    <n v="8082"/>
    <n v="57639"/>
    <x v="569"/>
    <x v="42"/>
    <s v="Critical"/>
    <n v="24"/>
    <n v="2239.52"/>
    <n v="0.04"/>
    <s v="Regular Air"/>
    <n v="330.5"/>
    <n v="95.46"/>
    <n v="18.13"/>
    <x v="164"/>
    <x v="6"/>
    <x v="5"/>
    <x v="1"/>
    <x v="2"/>
    <x v="4"/>
    <x v="1092"/>
    <s v="Large Box"/>
    <n v="0.56000000000000005"/>
    <d v="2010-07-21T00:00:00"/>
    <n v="0"/>
    <n v="0"/>
    <n v="1"/>
    <n v="1"/>
  </r>
  <r>
    <n v="8104"/>
    <n v="57856"/>
    <x v="630"/>
    <x v="40"/>
    <s v="Medium"/>
    <n v="17"/>
    <n v="127.45"/>
    <n v="0.06"/>
    <s v="Regular Air"/>
    <n v="-42.170500000000004"/>
    <n v="7.1"/>
    <n v="6.05"/>
    <x v="513"/>
    <x v="6"/>
    <x v="5"/>
    <x v="3"/>
    <x v="0"/>
    <x v="2"/>
    <x v="310"/>
    <s v="Small Box"/>
    <n v="0.39"/>
    <d v="2009-02-13T00:00:00"/>
    <n v="0"/>
    <n v="0"/>
    <n v="0.5"/>
    <n v="0.5"/>
  </r>
  <r>
    <n v="8105"/>
    <n v="57856"/>
    <x v="630"/>
    <x v="40"/>
    <s v="Medium"/>
    <n v="31"/>
    <n v="92.18"/>
    <n v="0.02"/>
    <s v="Regular Air"/>
    <n v="5.7"/>
    <n v="2.78"/>
    <n v="0.97"/>
    <x v="513"/>
    <x v="6"/>
    <x v="5"/>
    <x v="3"/>
    <x v="0"/>
    <x v="12"/>
    <x v="948"/>
    <s v="Wrap Bag"/>
    <n v="0.59"/>
    <d v="2009-02-13T00:00:00"/>
    <n v="0"/>
    <n v="0"/>
    <n v="0.5"/>
    <n v="0.5"/>
  </r>
  <r>
    <n v="8177"/>
    <n v="58435"/>
    <x v="958"/>
    <x v="20"/>
    <s v="Low"/>
    <n v="11"/>
    <n v="273.44"/>
    <n v="0.01"/>
    <s v="Regular Air"/>
    <n v="-35.615499999999997"/>
    <n v="22.38"/>
    <n v="15.1"/>
    <x v="494"/>
    <x v="6"/>
    <x v="5"/>
    <x v="3"/>
    <x v="0"/>
    <x v="2"/>
    <x v="290"/>
    <s v="Small Box"/>
    <n v="0.38"/>
    <d v="2012-05-09T00:00:00"/>
    <n v="0"/>
    <n v="0"/>
    <n v="1"/>
    <n v="1"/>
  </r>
  <r>
    <n v="8251"/>
    <n v="59009"/>
    <x v="592"/>
    <x v="27"/>
    <s v="Critical"/>
    <n v="19"/>
    <n v="614.91"/>
    <n v="0.02"/>
    <s v="Express Air"/>
    <n v="-7.02"/>
    <n v="30.98"/>
    <n v="17.079999999999998"/>
    <x v="501"/>
    <x v="6"/>
    <x v="5"/>
    <x v="1"/>
    <x v="0"/>
    <x v="5"/>
    <x v="385"/>
    <s v="Small Box"/>
    <n v="0.4"/>
    <d v="2011-11-20T00:00:00"/>
    <n v="0"/>
    <n v="0"/>
    <n v="1"/>
    <n v="1"/>
  </r>
  <r>
    <n v="8325"/>
    <n v="59491"/>
    <x v="561"/>
    <x v="33"/>
    <s v="High"/>
    <n v="31"/>
    <n v="12470.31"/>
    <n v="0.04"/>
    <s v="Regular Air"/>
    <n v="5528.5020000000004"/>
    <n v="387.99"/>
    <n v="19.989999999999998"/>
    <x v="525"/>
    <x v="6"/>
    <x v="5"/>
    <x v="3"/>
    <x v="0"/>
    <x v="2"/>
    <x v="243"/>
    <s v="Small Box"/>
    <n v="0.38"/>
    <d v="2012-03-27T00:00:00"/>
    <n v="0"/>
    <n v="0"/>
    <n v="0.25"/>
    <n v="0.25"/>
  </r>
  <r>
    <n v="8330"/>
    <n v="59554"/>
    <x v="534"/>
    <x v="27"/>
    <s v="Critical"/>
    <n v="40"/>
    <n v="718.6"/>
    <n v="0.08"/>
    <s v="Regular Air"/>
    <n v="-81.489999999999995"/>
    <n v="17.98"/>
    <n v="4"/>
    <x v="515"/>
    <x v="6"/>
    <x v="5"/>
    <x v="1"/>
    <x v="1"/>
    <x v="7"/>
    <x v="661"/>
    <s v="Small Box"/>
    <n v="0.79"/>
    <d v="2011-11-16T00:00:00"/>
    <n v="0"/>
    <n v="0"/>
    <n v="1"/>
    <n v="1"/>
  </r>
  <r>
    <n v="8334"/>
    <n v="59559"/>
    <x v="638"/>
    <x v="18"/>
    <s v="Critical"/>
    <n v="30"/>
    <n v="397.17"/>
    <n v="0.1"/>
    <s v="Express Air"/>
    <n v="7.69"/>
    <n v="14.34"/>
    <n v="5"/>
    <x v="525"/>
    <x v="6"/>
    <x v="5"/>
    <x v="3"/>
    <x v="2"/>
    <x v="4"/>
    <x v="551"/>
    <s v="Small Pack"/>
    <n v="0.49"/>
    <d v="2010-09-17T00:00:00"/>
    <n v="0"/>
    <n v="0"/>
    <n v="1"/>
    <n v="0.5"/>
  </r>
  <r>
    <n v="8359"/>
    <n v="59745"/>
    <x v="851"/>
    <x v="46"/>
    <s v="Not Specified"/>
    <n v="36"/>
    <n v="18092.66"/>
    <n v="0.09"/>
    <s v="Regular Air"/>
    <n v="7917.7584999999999"/>
    <n v="525.98"/>
    <n v="19.989999999999998"/>
    <x v="499"/>
    <x v="6"/>
    <x v="5"/>
    <x v="1"/>
    <x v="0"/>
    <x v="2"/>
    <x v="1146"/>
    <s v="Small Box"/>
    <n v="0.37"/>
    <d v="2009-04-21T00:00:00"/>
    <n v="0"/>
    <n v="0"/>
    <n v="1"/>
    <n v="1"/>
  </r>
  <r>
    <n v="8385"/>
    <n v="59906"/>
    <x v="304"/>
    <x v="39"/>
    <s v="High"/>
    <n v="32"/>
    <n v="284.92"/>
    <n v="0.03"/>
    <s v="Regular Air"/>
    <n v="81.290000000000006"/>
    <n v="9.11"/>
    <n v="2.15"/>
    <x v="519"/>
    <x v="6"/>
    <x v="5"/>
    <x v="3"/>
    <x v="0"/>
    <x v="5"/>
    <x v="1024"/>
    <s v="Wrap Bag"/>
    <n v="0.4"/>
    <d v="2010-05-22T00:00:00"/>
    <n v="0"/>
    <n v="0"/>
    <n v="1"/>
    <n v="1"/>
  </r>
  <r>
    <n v="78"/>
    <n v="454"/>
    <x v="1226"/>
    <x v="25"/>
    <s v="Low"/>
    <n v="42"/>
    <n v="234.2"/>
    <n v="0.09"/>
    <s v="Regular Air"/>
    <n v="56.22"/>
    <n v="6.08"/>
    <n v="1.82"/>
    <x v="526"/>
    <x v="6"/>
    <x v="5"/>
    <x v="0"/>
    <x v="0"/>
    <x v="6"/>
    <x v="970"/>
    <s v="Wrap Bag"/>
    <n v="0.35"/>
    <d v="2011-12-28T00:00:00"/>
    <n v="0"/>
    <n v="0"/>
    <n v="1"/>
    <n v="1"/>
  </r>
  <r>
    <n v="90"/>
    <n v="549"/>
    <x v="833"/>
    <x v="29"/>
    <s v="Critical"/>
    <n v="13"/>
    <n v="70.239999999999995"/>
    <n v="0.03"/>
    <s v="Regular Air"/>
    <n v="-59.75"/>
    <n v="4.9800000000000004"/>
    <n v="7.44"/>
    <x v="527"/>
    <x v="6"/>
    <x v="5"/>
    <x v="1"/>
    <x v="0"/>
    <x v="5"/>
    <x v="877"/>
    <s v="Small Box"/>
    <n v="0.36"/>
    <d v="2012-07-13T00:00:00"/>
    <n v="0"/>
    <n v="0"/>
    <n v="0.33333333333333331"/>
    <n v="0.33333333333333331"/>
  </r>
  <r>
    <n v="91"/>
    <n v="549"/>
    <x v="833"/>
    <x v="29"/>
    <s v="Critical"/>
    <n v="5"/>
    <n v="40.75"/>
    <n v="0.05"/>
    <s v="Regular Air"/>
    <n v="-27.57"/>
    <n v="6.48"/>
    <n v="8.74"/>
    <x v="527"/>
    <x v="6"/>
    <x v="5"/>
    <x v="1"/>
    <x v="0"/>
    <x v="5"/>
    <x v="911"/>
    <s v="Small Box"/>
    <n v="0.36"/>
    <d v="2012-07-13T00:00:00"/>
    <n v="0"/>
    <n v="0"/>
    <n v="0.33333333333333331"/>
    <n v="0.33333333333333331"/>
  </r>
  <r>
    <n v="92"/>
    <n v="549"/>
    <x v="833"/>
    <x v="29"/>
    <s v="Critical"/>
    <n v="30"/>
    <n v="1150.8800000000001"/>
    <n v="0.05"/>
    <s v="Express Air"/>
    <n v="-911.56"/>
    <n v="38.94"/>
    <n v="35"/>
    <x v="527"/>
    <x v="6"/>
    <x v="5"/>
    <x v="1"/>
    <x v="0"/>
    <x v="0"/>
    <x v="0"/>
    <s v="Large Box"/>
    <n v="0.8"/>
    <d v="2012-07-12T00:00:00"/>
    <n v="0"/>
    <n v="0"/>
    <n v="0.33333333333333331"/>
    <n v="0.33333333333333331"/>
  </r>
  <r>
    <n v="162"/>
    <n v="999"/>
    <x v="1227"/>
    <x v="18"/>
    <s v="Low"/>
    <n v="6"/>
    <n v="583.64"/>
    <n v="0.08"/>
    <s v="Regular Air"/>
    <n v="-179.5"/>
    <n v="95.43"/>
    <n v="19.989999999999998"/>
    <x v="528"/>
    <x v="6"/>
    <x v="5"/>
    <x v="3"/>
    <x v="0"/>
    <x v="0"/>
    <x v="254"/>
    <s v="Small Box"/>
    <n v="0.79"/>
    <d v="2010-09-11T00:00:00"/>
    <n v="0"/>
    <n v="0"/>
    <n v="1"/>
    <n v="1"/>
  </r>
  <r>
    <n v="195"/>
    <n v="1286"/>
    <x v="1130"/>
    <x v="39"/>
    <s v="Not Specified"/>
    <n v="46"/>
    <n v="234.37"/>
    <n v="0.05"/>
    <s v="Regular Air"/>
    <n v="-144.6815"/>
    <n v="5.18"/>
    <n v="5.74"/>
    <x v="306"/>
    <x v="6"/>
    <x v="5"/>
    <x v="3"/>
    <x v="0"/>
    <x v="2"/>
    <x v="460"/>
    <s v="Small Box"/>
    <n v="0.36"/>
    <d v="2010-05-14T00:00:00"/>
    <n v="0"/>
    <n v="0"/>
    <n v="0.5"/>
    <n v="0.33333333333333331"/>
  </r>
  <r>
    <n v="196"/>
    <n v="1286"/>
    <x v="1130"/>
    <x v="39"/>
    <s v="Not Specified"/>
    <n v="14"/>
    <n v="1000.3565000000001"/>
    <n v="0.06"/>
    <s v="Regular Air"/>
    <n v="229.779"/>
    <n v="85.99"/>
    <n v="3.3"/>
    <x v="306"/>
    <x v="6"/>
    <x v="5"/>
    <x v="3"/>
    <x v="1"/>
    <x v="3"/>
    <x v="601"/>
    <s v="Small Pack"/>
    <n v="0.37"/>
    <d v="2010-05-15T00:00:00"/>
    <n v="0"/>
    <n v="0"/>
    <n v="0.5"/>
    <n v="0.33333333333333331"/>
  </r>
  <r>
    <n v="266"/>
    <n v="1831"/>
    <x v="1042"/>
    <x v="15"/>
    <s v="Critical"/>
    <n v="33"/>
    <n v="12586.19"/>
    <n v="0"/>
    <s v="Delivery Truck"/>
    <n v="619.71"/>
    <n v="370.98"/>
    <n v="99"/>
    <x v="527"/>
    <x v="6"/>
    <x v="5"/>
    <x v="3"/>
    <x v="0"/>
    <x v="0"/>
    <x v="222"/>
    <s v="Jumbo Drum"/>
    <n v="0.65"/>
    <d v="2010-12-02T00:00:00"/>
    <n v="0"/>
    <n v="0"/>
    <n v="1"/>
    <n v="1"/>
  </r>
  <r>
    <n v="275"/>
    <n v="1892"/>
    <x v="474"/>
    <x v="28"/>
    <s v="Low"/>
    <n v="47"/>
    <n v="193.63"/>
    <n v="0.05"/>
    <s v="Regular Air"/>
    <n v="-152.52449999999999"/>
    <n v="3.98"/>
    <n v="5.26"/>
    <x v="529"/>
    <x v="6"/>
    <x v="5"/>
    <x v="0"/>
    <x v="0"/>
    <x v="2"/>
    <x v="983"/>
    <s v="Small Box"/>
    <n v="0.38"/>
    <d v="2009-03-29T00:00:00"/>
    <n v="0"/>
    <n v="0"/>
    <n v="0.5"/>
    <n v="0.5"/>
  </r>
  <r>
    <n v="276"/>
    <n v="1892"/>
    <x v="474"/>
    <x v="28"/>
    <s v="Low"/>
    <n v="9"/>
    <n v="64.290000000000006"/>
    <n v="0.01"/>
    <s v="Regular Air"/>
    <n v="-18.850000000000001"/>
    <n v="6.48"/>
    <n v="5.4"/>
    <x v="529"/>
    <x v="6"/>
    <x v="5"/>
    <x v="0"/>
    <x v="0"/>
    <x v="5"/>
    <x v="1156"/>
    <s v="Small Box"/>
    <n v="0.37"/>
    <d v="2009-03-25T00:00:00"/>
    <n v="0"/>
    <n v="0"/>
    <n v="0.5"/>
    <n v="0.5"/>
  </r>
  <r>
    <n v="286"/>
    <n v="1991"/>
    <x v="1137"/>
    <x v="34"/>
    <s v="Not Specified"/>
    <n v="27"/>
    <n v="3491.06"/>
    <n v="0.09"/>
    <s v="Regular Air"/>
    <n v="921.7"/>
    <n v="136.97999999999999"/>
    <n v="24.49"/>
    <x v="339"/>
    <x v="6"/>
    <x v="5"/>
    <x v="2"/>
    <x v="2"/>
    <x v="4"/>
    <x v="355"/>
    <s v="Large Box"/>
    <n v="0.59"/>
    <d v="2012-09-06T00:00:00"/>
    <n v="0"/>
    <n v="0"/>
    <n v="0.5"/>
    <n v="0.5"/>
  </r>
  <r>
    <n v="287"/>
    <n v="1991"/>
    <x v="1137"/>
    <x v="34"/>
    <s v="Not Specified"/>
    <n v="37"/>
    <n v="14383.83"/>
    <n v="0.01"/>
    <s v="Delivery Truck"/>
    <n v="5050.1000000000004"/>
    <n v="399.98"/>
    <n v="12.06"/>
    <x v="339"/>
    <x v="6"/>
    <x v="5"/>
    <x v="2"/>
    <x v="1"/>
    <x v="16"/>
    <x v="802"/>
    <s v="Jumbo Box"/>
    <n v="0.56000000000000005"/>
    <d v="2012-09-07T00:00:00"/>
    <n v="0"/>
    <n v="0"/>
    <n v="0.5"/>
    <n v="0.5"/>
  </r>
  <r>
    <n v="653"/>
    <n v="4610"/>
    <x v="311"/>
    <x v="30"/>
    <s v="Low"/>
    <n v="8"/>
    <n v="66.88"/>
    <n v="0.09"/>
    <s v="Regular Air"/>
    <n v="-17.010000000000002"/>
    <n v="8.33"/>
    <n v="1.99"/>
    <x v="522"/>
    <x v="6"/>
    <x v="5"/>
    <x v="0"/>
    <x v="1"/>
    <x v="7"/>
    <x v="206"/>
    <s v="Small Pack"/>
    <n v="0.52"/>
    <d v="2010-06-19T00:00:00"/>
    <n v="0"/>
    <n v="0"/>
    <n v="0.5"/>
    <n v="0.5"/>
  </r>
  <r>
    <n v="654"/>
    <n v="4610"/>
    <x v="311"/>
    <x v="30"/>
    <s v="Low"/>
    <n v="29"/>
    <n v="447.34"/>
    <n v="0.08"/>
    <s v="Regular Air"/>
    <n v="203.01"/>
    <n v="15.67"/>
    <n v="1.39"/>
    <x v="522"/>
    <x v="6"/>
    <x v="5"/>
    <x v="0"/>
    <x v="0"/>
    <x v="8"/>
    <x v="68"/>
    <s v="Small Box"/>
    <n v="0.38"/>
    <d v="2010-06-21T00:00:00"/>
    <n v="0"/>
    <n v="0"/>
    <n v="0.5"/>
    <n v="0.5"/>
  </r>
  <r>
    <n v="794"/>
    <n v="5697"/>
    <x v="720"/>
    <x v="1"/>
    <s v="Critical"/>
    <n v="31"/>
    <n v="371.68"/>
    <n v="0.03"/>
    <s v="Regular Air"/>
    <n v="-13.32"/>
    <n v="11.29"/>
    <n v="5.03"/>
    <x v="528"/>
    <x v="6"/>
    <x v="5"/>
    <x v="3"/>
    <x v="0"/>
    <x v="0"/>
    <x v="468"/>
    <s v="Small Box"/>
    <n v="0.59"/>
    <d v="2012-10-06T00:00:00"/>
    <n v="0"/>
    <n v="0"/>
    <n v="1"/>
    <n v="1"/>
  </r>
  <r>
    <n v="832"/>
    <n v="5986"/>
    <x v="500"/>
    <x v="13"/>
    <s v="High"/>
    <n v="48"/>
    <n v="5556.18"/>
    <n v="0.08"/>
    <s v="Regular Air"/>
    <n v="1638.48"/>
    <n v="120.98"/>
    <n v="3.99"/>
    <x v="79"/>
    <x v="6"/>
    <x v="5"/>
    <x v="0"/>
    <x v="0"/>
    <x v="1"/>
    <x v="1000"/>
    <s v="Small Box"/>
    <n v="0.6"/>
    <d v="2012-04-21T00:00:00"/>
    <n v="0"/>
    <n v="0"/>
    <n v="0.33333333333333331"/>
    <n v="0.33333333333333331"/>
  </r>
  <r>
    <n v="833"/>
    <n v="5986"/>
    <x v="500"/>
    <x v="13"/>
    <s v="High"/>
    <n v="20"/>
    <n v="1021.55"/>
    <n v="0.05"/>
    <s v="Delivery Truck"/>
    <n v="64.81"/>
    <n v="50.98"/>
    <n v="14.19"/>
    <x v="79"/>
    <x v="6"/>
    <x v="5"/>
    <x v="0"/>
    <x v="2"/>
    <x v="14"/>
    <x v="306"/>
    <s v="Jumbo Drum"/>
    <n v="0.56000000000000005"/>
    <d v="2012-04-22T00:00:00"/>
    <n v="0"/>
    <n v="0"/>
    <n v="0.33333333333333331"/>
    <n v="0.33333333333333331"/>
  </r>
  <r>
    <n v="834"/>
    <n v="5986"/>
    <x v="500"/>
    <x v="13"/>
    <s v="High"/>
    <n v="41"/>
    <n v="205.24"/>
    <n v="0.03"/>
    <s v="Regular Air"/>
    <n v="-148.77000000000001"/>
    <n v="4.8899999999999997"/>
    <n v="4.93"/>
    <x v="79"/>
    <x v="6"/>
    <x v="5"/>
    <x v="0"/>
    <x v="1"/>
    <x v="7"/>
    <x v="23"/>
    <s v="Small Pack"/>
    <n v="0.66"/>
    <d v="2012-04-22T00:00:00"/>
    <n v="0"/>
    <n v="0"/>
    <n v="0.33333333333333331"/>
    <n v="0.33333333333333331"/>
  </r>
  <r>
    <n v="845"/>
    <n v="6053"/>
    <x v="371"/>
    <x v="15"/>
    <s v="Medium"/>
    <n v="4"/>
    <n v="16.079999999999998"/>
    <n v="0.04"/>
    <s v="Regular Air"/>
    <n v="-3.7489999999999997"/>
    <n v="3.8"/>
    <n v="1.49"/>
    <x v="530"/>
    <x v="6"/>
    <x v="5"/>
    <x v="2"/>
    <x v="0"/>
    <x v="2"/>
    <x v="160"/>
    <s v="Small Box"/>
    <n v="0.38"/>
    <d v="2010-12-13T00:00:00"/>
    <n v="0"/>
    <n v="0"/>
    <n v="1"/>
    <n v="1"/>
  </r>
  <r>
    <n v="893"/>
    <n v="6432"/>
    <x v="172"/>
    <x v="27"/>
    <s v="Critical"/>
    <n v="30"/>
    <n v="311.08"/>
    <n v="0.08"/>
    <s v="Regular Air"/>
    <n v="-38.450000000000003"/>
    <n v="10.89"/>
    <n v="4.5"/>
    <x v="306"/>
    <x v="6"/>
    <x v="5"/>
    <x v="2"/>
    <x v="0"/>
    <x v="1"/>
    <x v="225"/>
    <s v="Small Box"/>
    <n v="0.59"/>
    <d v="2011-11-12T00:00:00"/>
    <n v="0"/>
    <n v="0"/>
    <n v="1"/>
    <n v="1"/>
  </r>
  <r>
    <n v="906"/>
    <n v="6502"/>
    <x v="742"/>
    <x v="21"/>
    <s v="Medium"/>
    <n v="16"/>
    <n v="116.11"/>
    <n v="0.1"/>
    <s v="Express Air"/>
    <n v="-36.46"/>
    <n v="7.64"/>
    <n v="5.83"/>
    <x v="528"/>
    <x v="6"/>
    <x v="5"/>
    <x v="3"/>
    <x v="0"/>
    <x v="5"/>
    <x v="248"/>
    <s v="Wrap Bag"/>
    <n v="0.36"/>
    <d v="2011-08-20T00:00:00"/>
    <n v="0"/>
    <n v="0"/>
    <n v="0.5"/>
    <n v="0.5"/>
  </r>
  <r>
    <n v="907"/>
    <n v="6502"/>
    <x v="742"/>
    <x v="21"/>
    <s v="Medium"/>
    <n v="30"/>
    <n v="306.92"/>
    <n v="0.05"/>
    <s v="Regular Air"/>
    <n v="13.46"/>
    <n v="9.99"/>
    <n v="5.12"/>
    <x v="528"/>
    <x v="6"/>
    <x v="5"/>
    <x v="3"/>
    <x v="0"/>
    <x v="5"/>
    <x v="939"/>
    <s v="Small Box"/>
    <n v="0.4"/>
    <d v="2011-08-23T00:00:00"/>
    <n v="0"/>
    <n v="0"/>
    <n v="0.5"/>
    <n v="0.5"/>
  </r>
  <r>
    <n v="921"/>
    <n v="6656"/>
    <x v="503"/>
    <x v="43"/>
    <s v="Critical"/>
    <n v="45"/>
    <n v="1802"/>
    <n v="0.02"/>
    <s v="Regular Air"/>
    <n v="508.96299999999997"/>
    <n v="39.06"/>
    <n v="10.55"/>
    <x v="112"/>
    <x v="6"/>
    <x v="5"/>
    <x v="0"/>
    <x v="0"/>
    <x v="2"/>
    <x v="590"/>
    <s v="Small Box"/>
    <n v="0.37"/>
    <d v="2009-05-15T00:00:00"/>
    <n v="0"/>
    <n v="0"/>
    <n v="0.5"/>
    <n v="0.5"/>
  </r>
  <r>
    <n v="922"/>
    <n v="6656"/>
    <x v="503"/>
    <x v="43"/>
    <s v="Critical"/>
    <n v="50"/>
    <n v="1832.22"/>
    <n v="0.1"/>
    <s v="Regular Air"/>
    <n v="805.43450000000007"/>
    <n v="37.700000000000003"/>
    <n v="2.99"/>
    <x v="112"/>
    <x v="6"/>
    <x v="5"/>
    <x v="0"/>
    <x v="0"/>
    <x v="2"/>
    <x v="737"/>
    <s v="Small Box"/>
    <n v="0.35"/>
    <d v="2009-05-16T00:00:00"/>
    <n v="0"/>
    <n v="0"/>
    <n v="0.5"/>
    <n v="0.5"/>
  </r>
  <r>
    <n v="971"/>
    <n v="7072"/>
    <x v="1216"/>
    <x v="12"/>
    <s v="Critical"/>
    <n v="29"/>
    <n v="258.61"/>
    <n v="7.0000000000000007E-2"/>
    <s v="Regular Air"/>
    <n v="-15.962"/>
    <n v="8.85"/>
    <n v="5.6"/>
    <x v="530"/>
    <x v="6"/>
    <x v="5"/>
    <x v="2"/>
    <x v="0"/>
    <x v="2"/>
    <x v="182"/>
    <s v="Small Box"/>
    <n v="0.36"/>
    <d v="2012-02-04T00:00:00"/>
    <n v="0"/>
    <n v="0"/>
    <n v="1"/>
    <n v="1"/>
  </r>
  <r>
    <n v="1015"/>
    <n v="7429"/>
    <x v="1108"/>
    <x v="39"/>
    <s v="Not Specified"/>
    <n v="33"/>
    <n v="1379.34"/>
    <n v="0.04"/>
    <s v="Regular Air"/>
    <n v="-470.85"/>
    <n v="40.479999999999997"/>
    <n v="19.989999999999998"/>
    <x v="531"/>
    <x v="6"/>
    <x v="5"/>
    <x v="3"/>
    <x v="1"/>
    <x v="7"/>
    <x v="413"/>
    <s v="Small Box"/>
    <n v="0.77"/>
    <d v="2010-05-27T00:00:00"/>
    <n v="0"/>
    <n v="0"/>
    <n v="0.5"/>
    <n v="0.5"/>
  </r>
  <r>
    <n v="1016"/>
    <n v="7429"/>
    <x v="1108"/>
    <x v="39"/>
    <s v="Not Specified"/>
    <n v="6"/>
    <n v="168.25"/>
    <n v="0.09"/>
    <s v="Express Air"/>
    <n v="101.78"/>
    <n v="26.48"/>
    <n v="6.93"/>
    <x v="531"/>
    <x v="6"/>
    <x v="5"/>
    <x v="3"/>
    <x v="2"/>
    <x v="4"/>
    <x v="502"/>
    <s v="Small Box"/>
    <n v="0.49"/>
    <d v="2010-05-27T00:00:00"/>
    <n v="0"/>
    <n v="0"/>
    <n v="0.5"/>
    <n v="0.5"/>
  </r>
  <r>
    <n v="1075"/>
    <n v="7910"/>
    <x v="875"/>
    <x v="24"/>
    <s v="Critical"/>
    <n v="41"/>
    <n v="1871.13"/>
    <n v="0.01"/>
    <s v="Regular Air"/>
    <n v="346.43"/>
    <n v="45.98"/>
    <n v="4.8"/>
    <x v="532"/>
    <x v="6"/>
    <x v="5"/>
    <x v="0"/>
    <x v="2"/>
    <x v="4"/>
    <x v="506"/>
    <s v="Wrap Bag"/>
    <n v="0.68"/>
    <d v="2010-04-23T00:00:00"/>
    <n v="0"/>
    <n v="0"/>
    <n v="0.5"/>
    <n v="0.5"/>
  </r>
  <r>
    <n v="1076"/>
    <n v="7910"/>
    <x v="875"/>
    <x v="24"/>
    <s v="Critical"/>
    <n v="22"/>
    <n v="729.57"/>
    <n v="0.08"/>
    <s v="Regular Air"/>
    <n v="250.43"/>
    <n v="35.44"/>
    <n v="5.09"/>
    <x v="532"/>
    <x v="6"/>
    <x v="5"/>
    <x v="0"/>
    <x v="0"/>
    <x v="5"/>
    <x v="120"/>
    <s v="Small Box"/>
    <n v="0.38"/>
    <d v="2010-04-20T00:00:00"/>
    <n v="0"/>
    <n v="0"/>
    <n v="0.5"/>
    <n v="0.5"/>
  </r>
  <r>
    <n v="1096"/>
    <n v="8035"/>
    <x v="636"/>
    <x v="33"/>
    <s v="Medium"/>
    <n v="7"/>
    <n v="104.38"/>
    <n v="7.0000000000000007E-2"/>
    <s v="Regular Air"/>
    <n v="-24.2"/>
    <n v="14.42"/>
    <n v="6.75"/>
    <x v="533"/>
    <x v="6"/>
    <x v="5"/>
    <x v="2"/>
    <x v="0"/>
    <x v="1"/>
    <x v="793"/>
    <s v="Medium Box"/>
    <n v="0.52"/>
    <d v="2012-03-03T00:00:00"/>
    <n v="0"/>
    <n v="0"/>
    <n v="1"/>
    <n v="0.33333333333333331"/>
  </r>
  <r>
    <n v="1220"/>
    <n v="8961"/>
    <x v="1036"/>
    <x v="4"/>
    <s v="Low"/>
    <n v="15"/>
    <n v="627.69000000000005"/>
    <n v="0"/>
    <s v="Regular Air"/>
    <n v="-12.02"/>
    <n v="39.979999999999997"/>
    <n v="4"/>
    <x v="534"/>
    <x v="6"/>
    <x v="5"/>
    <x v="0"/>
    <x v="1"/>
    <x v="7"/>
    <x v="701"/>
    <s v="Small Box"/>
    <n v="0.7"/>
    <d v="2011-07-03T00:00:00"/>
    <n v="0"/>
    <n v="0"/>
    <n v="0.5"/>
    <n v="0.5"/>
  </r>
  <r>
    <n v="1311"/>
    <n v="9606"/>
    <x v="114"/>
    <x v="36"/>
    <s v="Not Specified"/>
    <n v="39"/>
    <n v="493.26"/>
    <n v="0.02"/>
    <s v="Regular Air"/>
    <n v="263.39999999999998"/>
    <n v="12.53"/>
    <n v="0.49"/>
    <x v="526"/>
    <x v="6"/>
    <x v="5"/>
    <x v="0"/>
    <x v="0"/>
    <x v="11"/>
    <x v="1179"/>
    <s v="Small Box"/>
    <n v="0.38"/>
    <d v="2009-07-27T00:00:00"/>
    <n v="0"/>
    <n v="0"/>
    <n v="0.5"/>
    <n v="0.25"/>
  </r>
  <r>
    <n v="1312"/>
    <n v="9606"/>
    <x v="114"/>
    <x v="36"/>
    <s v="Not Specified"/>
    <n v="37"/>
    <n v="192.15"/>
    <n v="7.0000000000000007E-2"/>
    <s v="Express Air"/>
    <n v="37.31"/>
    <n v="5.18"/>
    <n v="2.04"/>
    <x v="526"/>
    <x v="6"/>
    <x v="5"/>
    <x v="0"/>
    <x v="0"/>
    <x v="5"/>
    <x v="267"/>
    <s v="Wrap Bag"/>
    <n v="0.36"/>
    <d v="2009-07-29T00:00:00"/>
    <n v="0"/>
    <n v="0"/>
    <n v="0.5"/>
    <n v="0.25"/>
  </r>
  <r>
    <n v="1348"/>
    <n v="9857"/>
    <x v="658"/>
    <x v="39"/>
    <s v="High"/>
    <n v="16"/>
    <n v="2366.1799999999998"/>
    <n v="0.1"/>
    <s v="Regular Air"/>
    <n v="703.8"/>
    <n v="162.93"/>
    <n v="19.989999999999998"/>
    <x v="535"/>
    <x v="6"/>
    <x v="5"/>
    <x v="3"/>
    <x v="0"/>
    <x v="8"/>
    <x v="324"/>
    <s v="Small Box"/>
    <n v="0.39"/>
    <d v="2010-05-13T00:00:00"/>
    <n v="0"/>
    <n v="0"/>
    <n v="0.25"/>
    <n v="0.25"/>
  </r>
  <r>
    <n v="1349"/>
    <n v="9857"/>
    <x v="658"/>
    <x v="39"/>
    <s v="High"/>
    <n v="49"/>
    <n v="675.71"/>
    <n v="0.06"/>
    <s v="Regular Air"/>
    <n v="-17.489999999999998"/>
    <n v="13.79"/>
    <n v="8.7799999999999994"/>
    <x v="535"/>
    <x v="6"/>
    <x v="5"/>
    <x v="3"/>
    <x v="2"/>
    <x v="4"/>
    <x v="494"/>
    <s v="Small Box"/>
    <n v="0.43"/>
    <d v="2010-05-11T00:00:00"/>
    <n v="0"/>
    <n v="0"/>
    <n v="0.25"/>
    <n v="0.25"/>
  </r>
  <r>
    <n v="1350"/>
    <n v="9857"/>
    <x v="658"/>
    <x v="39"/>
    <s v="High"/>
    <n v="16"/>
    <n v="292.97800000000001"/>
    <n v="0.05"/>
    <s v="Regular Air"/>
    <n v="-93.61"/>
    <n v="20.99"/>
    <n v="3.3"/>
    <x v="535"/>
    <x v="6"/>
    <x v="5"/>
    <x v="3"/>
    <x v="1"/>
    <x v="3"/>
    <x v="180"/>
    <s v="Small Pack"/>
    <n v="0.81"/>
    <d v="2010-05-13T00:00:00"/>
    <n v="0"/>
    <n v="0"/>
    <n v="0.25"/>
    <n v="0.25"/>
  </r>
  <r>
    <n v="1502"/>
    <n v="10851"/>
    <x v="319"/>
    <x v="46"/>
    <s v="High"/>
    <n v="14"/>
    <n v="570.52850000000001"/>
    <n v="0.02"/>
    <s v="Express Air"/>
    <n v="3.96"/>
    <n v="45.99"/>
    <n v="4.99"/>
    <x v="74"/>
    <x v="6"/>
    <x v="5"/>
    <x v="1"/>
    <x v="1"/>
    <x v="3"/>
    <x v="968"/>
    <s v="Small Box"/>
    <n v="0.56999999999999995"/>
    <d v="2009-04-07T00:00:00"/>
    <n v="0"/>
    <n v="0"/>
    <n v="0.5"/>
    <n v="0.5"/>
  </r>
  <r>
    <n v="1554"/>
    <n v="11233"/>
    <x v="933"/>
    <x v="21"/>
    <s v="Not Specified"/>
    <n v="25"/>
    <n v="276.5"/>
    <n v="0.02"/>
    <s v="Regular Air"/>
    <n v="35.72"/>
    <n v="10.98"/>
    <n v="4.8"/>
    <x v="536"/>
    <x v="6"/>
    <x v="5"/>
    <x v="2"/>
    <x v="0"/>
    <x v="8"/>
    <x v="411"/>
    <s v="Small Box"/>
    <n v="0.36"/>
    <d v="2011-09-01T00:00:00"/>
    <n v="0"/>
    <n v="0"/>
    <n v="1"/>
    <n v="1"/>
  </r>
  <r>
    <n v="1593"/>
    <n v="11493"/>
    <x v="333"/>
    <x v="17"/>
    <s v="Critical"/>
    <n v="16"/>
    <n v="111.9"/>
    <n v="0.01"/>
    <s v="Regular Air"/>
    <n v="38.03"/>
    <n v="6.47"/>
    <n v="1.22"/>
    <x v="112"/>
    <x v="6"/>
    <x v="5"/>
    <x v="0"/>
    <x v="0"/>
    <x v="12"/>
    <x v="366"/>
    <s v="Wrap Bag"/>
    <n v="0.4"/>
    <d v="2011-10-22T00:00:00"/>
    <n v="0"/>
    <n v="0"/>
    <n v="1"/>
    <n v="1"/>
  </r>
  <r>
    <n v="1614"/>
    <n v="11684"/>
    <x v="1228"/>
    <x v="29"/>
    <s v="High"/>
    <n v="8"/>
    <n v="1173.5"/>
    <n v="0"/>
    <s v="Regular Air"/>
    <n v="53.87"/>
    <n v="140.81"/>
    <n v="24.49"/>
    <x v="74"/>
    <x v="6"/>
    <x v="5"/>
    <x v="1"/>
    <x v="2"/>
    <x v="14"/>
    <x v="198"/>
    <s v="Large Box"/>
    <n v="0.56999999999999995"/>
    <d v="2012-07-29T00:00:00"/>
    <n v="0"/>
    <n v="0"/>
    <n v="1"/>
    <n v="1"/>
  </r>
  <r>
    <n v="1664"/>
    <n v="11975"/>
    <x v="535"/>
    <x v="37"/>
    <s v="Critical"/>
    <n v="43"/>
    <n v="210.66"/>
    <n v="0.08"/>
    <s v="Regular Air"/>
    <n v="-145.7165"/>
    <n v="5.18"/>
    <n v="5.74"/>
    <x v="528"/>
    <x v="6"/>
    <x v="5"/>
    <x v="3"/>
    <x v="0"/>
    <x v="2"/>
    <x v="460"/>
    <s v="Small Box"/>
    <n v="0.36"/>
    <d v="2011-04-15T00:00:00"/>
    <n v="0"/>
    <n v="0"/>
    <n v="1"/>
    <n v="1"/>
  </r>
  <r>
    <n v="1878"/>
    <n v="13537"/>
    <x v="737"/>
    <x v="39"/>
    <s v="Low"/>
    <n v="41"/>
    <n v="316.61"/>
    <n v="0.03"/>
    <s v="Regular Air"/>
    <n v="110.34"/>
    <n v="7.4"/>
    <n v="1.71"/>
    <x v="306"/>
    <x v="6"/>
    <x v="5"/>
    <x v="3"/>
    <x v="0"/>
    <x v="5"/>
    <x v="677"/>
    <s v="Wrap Bag"/>
    <n v="0.4"/>
    <d v="2010-06-01T00:00:00"/>
    <n v="0"/>
    <n v="0"/>
    <n v="1"/>
    <n v="0.33333333333333331"/>
  </r>
  <r>
    <n v="1912"/>
    <n v="13670"/>
    <x v="537"/>
    <x v="20"/>
    <s v="Critical"/>
    <n v="27"/>
    <n v="116.37"/>
    <n v="0.04"/>
    <s v="Express Air"/>
    <n v="57.63"/>
    <n v="3.69"/>
    <n v="0.5"/>
    <x v="531"/>
    <x v="6"/>
    <x v="5"/>
    <x v="3"/>
    <x v="0"/>
    <x v="11"/>
    <x v="1045"/>
    <s v="Small Box"/>
    <n v="0.38"/>
    <d v="2012-05-26T00:00:00"/>
    <n v="0"/>
    <n v="0"/>
    <n v="1"/>
    <n v="1"/>
  </r>
  <r>
    <n v="1922"/>
    <n v="13764"/>
    <x v="708"/>
    <x v="2"/>
    <s v="Medium"/>
    <n v="31"/>
    <n v="123.93"/>
    <n v="0.1"/>
    <s v="Regular Air"/>
    <n v="11.93"/>
    <n v="4.28"/>
    <n v="0.94"/>
    <x v="527"/>
    <x v="6"/>
    <x v="5"/>
    <x v="3"/>
    <x v="0"/>
    <x v="12"/>
    <x v="406"/>
    <s v="Wrap Bag"/>
    <n v="0.56000000000000005"/>
    <d v="2011-07-14T00:00:00"/>
    <n v="0"/>
    <n v="0"/>
    <n v="1"/>
    <n v="1"/>
  </r>
  <r>
    <n v="1948"/>
    <n v="13953"/>
    <x v="795"/>
    <x v="10"/>
    <s v="Critical"/>
    <n v="32"/>
    <n v="381.24"/>
    <n v="0.04"/>
    <s v="Regular Air"/>
    <n v="67.599999999999994"/>
    <n v="11.34"/>
    <n v="5.01"/>
    <x v="74"/>
    <x v="6"/>
    <x v="5"/>
    <x v="1"/>
    <x v="0"/>
    <x v="5"/>
    <x v="119"/>
    <s v="Small Box"/>
    <n v="0.36"/>
    <d v="2011-06-02T00:00:00"/>
    <n v="0"/>
    <n v="0"/>
    <n v="1"/>
    <n v="1"/>
  </r>
  <r>
    <n v="1981"/>
    <n v="14119"/>
    <x v="1031"/>
    <x v="39"/>
    <s v="Low"/>
    <n v="24"/>
    <n v="103.11"/>
    <n v="0.06"/>
    <s v="Regular Air"/>
    <n v="-95.41"/>
    <n v="4.18"/>
    <n v="6.92"/>
    <x v="537"/>
    <x v="6"/>
    <x v="5"/>
    <x v="3"/>
    <x v="2"/>
    <x v="4"/>
    <x v="760"/>
    <s v="Small Box"/>
    <n v="0.49"/>
    <d v="2010-06-04T00:00:00"/>
    <n v="0"/>
    <n v="0"/>
    <n v="0.33333333333333331"/>
    <n v="0.33333333333333331"/>
  </r>
  <r>
    <n v="1982"/>
    <n v="14119"/>
    <x v="1031"/>
    <x v="39"/>
    <s v="Low"/>
    <n v="35"/>
    <n v="1599.0709999999999"/>
    <n v="0.04"/>
    <s v="Regular Air"/>
    <n v="296.65800000000002"/>
    <n v="55.99"/>
    <n v="3.3"/>
    <x v="537"/>
    <x v="6"/>
    <x v="5"/>
    <x v="3"/>
    <x v="1"/>
    <x v="3"/>
    <x v="177"/>
    <s v="Small Pack"/>
    <n v="0.59"/>
    <d v="2010-06-05T00:00:00"/>
    <n v="0"/>
    <n v="0"/>
    <n v="0.33333333333333331"/>
    <n v="0.33333333333333331"/>
  </r>
  <r>
    <n v="1983"/>
    <n v="14119"/>
    <x v="1031"/>
    <x v="39"/>
    <s v="Low"/>
    <n v="31"/>
    <n v="968.23500000000001"/>
    <n v="0.05"/>
    <s v="Regular Air"/>
    <n v="-158.60900000000001"/>
    <n v="35.99"/>
    <n v="5"/>
    <x v="537"/>
    <x v="6"/>
    <x v="5"/>
    <x v="3"/>
    <x v="1"/>
    <x v="3"/>
    <x v="643"/>
    <s v="Small Box"/>
    <n v="0.85"/>
    <d v="2010-06-02T00:00:00"/>
    <n v="0"/>
    <n v="0"/>
    <n v="0.33333333333333331"/>
    <n v="0.33333333333333331"/>
  </r>
  <r>
    <n v="2020"/>
    <n v="14402"/>
    <x v="763"/>
    <x v="0"/>
    <s v="Medium"/>
    <n v="1"/>
    <n v="184.46"/>
    <n v="0.05"/>
    <s v="Delivery Truck"/>
    <n v="-106.33"/>
    <n v="160.97999999999999"/>
    <n v="30"/>
    <x v="534"/>
    <x v="6"/>
    <x v="5"/>
    <x v="0"/>
    <x v="2"/>
    <x v="14"/>
    <x v="580"/>
    <s v="Jumbo Drum"/>
    <n v="0.62"/>
    <d v="2010-10-16T00:00:00"/>
    <n v="0"/>
    <n v="0"/>
    <n v="1"/>
    <n v="1"/>
  </r>
  <r>
    <n v="2032"/>
    <n v="14499"/>
    <x v="1118"/>
    <x v="7"/>
    <s v="Low"/>
    <n v="28"/>
    <n v="574.99"/>
    <n v="0.06"/>
    <s v="Regular Air"/>
    <n v="-148.87"/>
    <n v="20.97"/>
    <n v="6.5"/>
    <x v="327"/>
    <x v="6"/>
    <x v="5"/>
    <x v="1"/>
    <x v="1"/>
    <x v="7"/>
    <x v="154"/>
    <s v="Small Box"/>
    <n v="0.78"/>
    <d v="2010-11-19T00:00:00"/>
    <n v="0"/>
    <n v="0"/>
    <n v="1"/>
    <n v="1"/>
  </r>
  <r>
    <n v="2110"/>
    <n v="15079"/>
    <x v="1040"/>
    <x v="38"/>
    <s v="Medium"/>
    <n v="45"/>
    <n v="3753.42"/>
    <n v="0"/>
    <s v="Regular Air"/>
    <n v="1276.25"/>
    <n v="80.98"/>
    <n v="7.18"/>
    <x v="532"/>
    <x v="6"/>
    <x v="5"/>
    <x v="0"/>
    <x v="1"/>
    <x v="7"/>
    <x v="534"/>
    <s v="Small Box"/>
    <n v="0.48"/>
    <d v="2010-01-18T00:00:00"/>
    <n v="1"/>
    <n v="0"/>
    <n v="0.5"/>
    <n v="0.5"/>
  </r>
  <r>
    <n v="2111"/>
    <n v="15079"/>
    <x v="1040"/>
    <x v="38"/>
    <s v="Medium"/>
    <n v="23"/>
    <n v="1130.79"/>
    <n v="0.01"/>
    <s v="Regular Air"/>
    <n v="468.19"/>
    <n v="48.91"/>
    <n v="5.97"/>
    <x v="532"/>
    <x v="6"/>
    <x v="5"/>
    <x v="0"/>
    <x v="0"/>
    <x v="5"/>
    <x v="961"/>
    <s v="Small Box"/>
    <n v="0.38"/>
    <d v="2010-01-16T00:00:00"/>
    <n v="1"/>
    <n v="0"/>
    <n v="0.5"/>
    <n v="0.5"/>
  </r>
  <r>
    <n v="2134"/>
    <n v="15236"/>
    <x v="97"/>
    <x v="13"/>
    <s v="Not Specified"/>
    <n v="33"/>
    <n v="341.42"/>
    <n v="0.06"/>
    <s v="Regular Air"/>
    <n v="71.50200000000001"/>
    <n v="10.91"/>
    <n v="2.99"/>
    <x v="306"/>
    <x v="6"/>
    <x v="5"/>
    <x v="3"/>
    <x v="0"/>
    <x v="2"/>
    <x v="235"/>
    <s v="Small Box"/>
    <n v="0.38"/>
    <d v="2012-04-10T00:00:00"/>
    <n v="0"/>
    <n v="0"/>
    <n v="0.5"/>
    <n v="0.5"/>
  </r>
  <r>
    <n v="2135"/>
    <n v="15236"/>
    <x v="97"/>
    <x v="13"/>
    <s v="Not Specified"/>
    <n v="30"/>
    <n v="381.39"/>
    <n v="0.01"/>
    <s v="Express Air"/>
    <n v="31.24"/>
    <n v="12.07"/>
    <n v="6.2"/>
    <x v="306"/>
    <x v="6"/>
    <x v="5"/>
    <x v="3"/>
    <x v="2"/>
    <x v="4"/>
    <x v="1180"/>
    <s v="Wrap Bag"/>
    <n v="0.52"/>
    <d v="2012-04-11T00:00:00"/>
    <n v="0"/>
    <n v="0"/>
    <n v="0.5"/>
    <n v="0.5"/>
  </r>
  <r>
    <n v="2148"/>
    <n v="15397"/>
    <x v="199"/>
    <x v="6"/>
    <s v="Critical"/>
    <n v="42"/>
    <n v="223.33"/>
    <n v="0"/>
    <s v="Express Air"/>
    <n v="-111.89"/>
    <n v="4.9800000000000004"/>
    <n v="4.32"/>
    <x v="537"/>
    <x v="6"/>
    <x v="5"/>
    <x v="3"/>
    <x v="1"/>
    <x v="7"/>
    <x v="811"/>
    <s v="Small Pack"/>
    <n v="0.64"/>
    <d v="2010-02-08T00:00:00"/>
    <n v="0"/>
    <n v="0"/>
    <n v="0.33333333333333331"/>
    <n v="0.33333333333333331"/>
  </r>
  <r>
    <n v="2149"/>
    <n v="15397"/>
    <x v="199"/>
    <x v="6"/>
    <s v="Critical"/>
    <n v="29"/>
    <n v="1178.04"/>
    <n v="7.0000000000000007E-2"/>
    <s v="Regular Air"/>
    <n v="-53.81"/>
    <n v="40.98"/>
    <n v="6.5"/>
    <x v="537"/>
    <x v="6"/>
    <x v="5"/>
    <x v="3"/>
    <x v="1"/>
    <x v="7"/>
    <x v="850"/>
    <s v="Small Box"/>
    <n v="0.74"/>
    <d v="2010-02-06T00:00:00"/>
    <n v="0"/>
    <n v="0"/>
    <n v="0.33333333333333331"/>
    <n v="0.33333333333333331"/>
  </r>
  <r>
    <n v="2150"/>
    <n v="15397"/>
    <x v="199"/>
    <x v="6"/>
    <s v="Critical"/>
    <n v="43"/>
    <n v="121.94"/>
    <n v="0.01"/>
    <s v="Regular Air"/>
    <n v="-51.3"/>
    <n v="2.6"/>
    <n v="2.4"/>
    <x v="537"/>
    <x v="6"/>
    <x v="5"/>
    <x v="3"/>
    <x v="0"/>
    <x v="12"/>
    <x v="269"/>
    <s v="Wrap Bag"/>
    <n v="0.57999999999999996"/>
    <d v="2010-02-07T00:00:00"/>
    <n v="0"/>
    <n v="0"/>
    <n v="0.33333333333333331"/>
    <n v="0.33333333333333331"/>
  </r>
  <r>
    <n v="2185"/>
    <n v="15719"/>
    <x v="826"/>
    <x v="16"/>
    <s v="Critical"/>
    <n v="18"/>
    <n v="5405.44"/>
    <n v="7.0000000000000007E-2"/>
    <s v="Delivery Truck"/>
    <n v="604.46"/>
    <n v="300.98"/>
    <n v="64.73"/>
    <x v="537"/>
    <x v="6"/>
    <x v="5"/>
    <x v="3"/>
    <x v="2"/>
    <x v="14"/>
    <x v="70"/>
    <s v="Jumbo Drum"/>
    <n v="0.56000000000000005"/>
    <d v="2011-01-19T00:00:00"/>
    <n v="0"/>
    <n v="0"/>
    <n v="1"/>
    <n v="1"/>
  </r>
  <r>
    <n v="2226"/>
    <n v="16098"/>
    <x v="42"/>
    <x v="29"/>
    <s v="Low"/>
    <n v="44"/>
    <n v="1001.99"/>
    <n v="0.09"/>
    <s v="Regular Air"/>
    <n v="333.53149999999999"/>
    <n v="24.95"/>
    <n v="2.99"/>
    <x v="323"/>
    <x v="6"/>
    <x v="5"/>
    <x v="3"/>
    <x v="0"/>
    <x v="2"/>
    <x v="1013"/>
    <s v="Small Box"/>
    <n v="0.39"/>
    <d v="2012-07-23T00:00:00"/>
    <n v="0"/>
    <n v="0"/>
    <n v="0.5"/>
    <n v="0.5"/>
  </r>
  <r>
    <n v="2282"/>
    <n v="16450"/>
    <x v="1229"/>
    <x v="10"/>
    <s v="Medium"/>
    <n v="12"/>
    <n v="73.5"/>
    <n v="0.03"/>
    <s v="Regular Air"/>
    <n v="5.71"/>
    <n v="5.98"/>
    <n v="2.5"/>
    <x v="112"/>
    <x v="6"/>
    <x v="5"/>
    <x v="0"/>
    <x v="0"/>
    <x v="8"/>
    <x v="478"/>
    <s v="Small Box"/>
    <n v="0.36"/>
    <d v="2011-05-15T00:00:00"/>
    <n v="0"/>
    <n v="0"/>
    <n v="1"/>
    <n v="1"/>
  </r>
  <r>
    <n v="2371"/>
    <n v="17186"/>
    <x v="452"/>
    <x v="22"/>
    <s v="Medium"/>
    <n v="49"/>
    <n v="4321.63"/>
    <n v="0.08"/>
    <s v="Regular Air"/>
    <n v="-1549.14"/>
    <n v="90.98"/>
    <n v="56.2"/>
    <x v="527"/>
    <x v="6"/>
    <x v="5"/>
    <x v="1"/>
    <x v="2"/>
    <x v="4"/>
    <x v="433"/>
    <s v="Medium Box"/>
    <n v="0.74"/>
    <d v="2009-01-28T00:00:00"/>
    <n v="0"/>
    <n v="1"/>
    <n v="0.5"/>
    <n v="0.5"/>
  </r>
  <r>
    <n v="2372"/>
    <n v="17186"/>
    <x v="452"/>
    <x v="22"/>
    <s v="Medium"/>
    <n v="11"/>
    <n v="67.14"/>
    <n v="7.0000000000000007E-2"/>
    <s v="Regular Air"/>
    <n v="-29.98"/>
    <n v="5.98"/>
    <n v="5.35"/>
    <x v="527"/>
    <x v="6"/>
    <x v="5"/>
    <x v="1"/>
    <x v="0"/>
    <x v="5"/>
    <x v="687"/>
    <s v="Small Box"/>
    <n v="0.4"/>
    <d v="2009-01-28T00:00:00"/>
    <n v="0"/>
    <n v="1"/>
    <n v="0.5"/>
    <n v="0.5"/>
  </r>
  <r>
    <n v="2397"/>
    <n v="17379"/>
    <x v="1224"/>
    <x v="21"/>
    <s v="Critical"/>
    <n v="29"/>
    <n v="3218.42"/>
    <n v="0.08"/>
    <s v="Delivery Truck"/>
    <n v="-1248.58"/>
    <n v="114.98"/>
    <n v="58.72"/>
    <x v="327"/>
    <x v="6"/>
    <x v="5"/>
    <x v="1"/>
    <x v="2"/>
    <x v="9"/>
    <x v="762"/>
    <s v="Jumbo Box"/>
    <n v="0.76"/>
    <d v="2011-08-16T00:00:00"/>
    <n v="0"/>
    <n v="0"/>
    <n v="1"/>
    <n v="1"/>
  </r>
  <r>
    <n v="2424"/>
    <n v="17573"/>
    <x v="578"/>
    <x v="31"/>
    <s v="Low"/>
    <n v="23"/>
    <n v="220.97"/>
    <n v="0.02"/>
    <s v="Regular Air"/>
    <n v="-25.86"/>
    <n v="9.48"/>
    <n v="7.29"/>
    <x v="538"/>
    <x v="6"/>
    <x v="5"/>
    <x v="0"/>
    <x v="2"/>
    <x v="4"/>
    <x v="722"/>
    <s v="Small Pack"/>
    <n v="0.45"/>
    <d v="2011-09-08T00:00:00"/>
    <n v="0"/>
    <n v="0"/>
    <n v="0.5"/>
    <n v="0.5"/>
  </r>
  <r>
    <n v="2441"/>
    <n v="17702"/>
    <x v="584"/>
    <x v="13"/>
    <s v="High"/>
    <n v="48"/>
    <n v="368.99"/>
    <n v="0.09"/>
    <s v="Regular Air"/>
    <n v="-305.91000000000003"/>
    <n v="7.77"/>
    <n v="9.23"/>
    <x v="138"/>
    <x v="6"/>
    <x v="5"/>
    <x v="3"/>
    <x v="0"/>
    <x v="1"/>
    <x v="1009"/>
    <s v="Small Box"/>
    <n v="0.57999999999999996"/>
    <d v="2012-04-14T00:00:00"/>
    <n v="0"/>
    <n v="0"/>
    <n v="0.5"/>
    <n v="0.5"/>
  </r>
  <r>
    <n v="2576"/>
    <n v="18595"/>
    <x v="692"/>
    <x v="22"/>
    <s v="Critical"/>
    <n v="6"/>
    <n v="451.44"/>
    <n v="0.1"/>
    <s v="Regular Air"/>
    <n v="-35.19"/>
    <n v="78.650000000000006"/>
    <n v="13.99"/>
    <x v="531"/>
    <x v="6"/>
    <x v="5"/>
    <x v="3"/>
    <x v="0"/>
    <x v="1"/>
    <x v="370"/>
    <s v="Medium Box"/>
    <n v="0.52"/>
    <d v="2009-02-02T00:00:00"/>
    <n v="0"/>
    <n v="1"/>
    <n v="0.5"/>
    <n v="0.5"/>
  </r>
  <r>
    <n v="2577"/>
    <n v="18595"/>
    <x v="692"/>
    <x v="22"/>
    <s v="Critical"/>
    <n v="16"/>
    <n v="138.55000000000001"/>
    <n v="0.03"/>
    <s v="Regular Air"/>
    <n v="0.89999999999999858"/>
    <n v="8.34"/>
    <n v="2.64"/>
    <x v="531"/>
    <x v="6"/>
    <x v="5"/>
    <x v="3"/>
    <x v="0"/>
    <x v="15"/>
    <x v="1008"/>
    <s v="Small Pack"/>
    <n v="0.59"/>
    <d v="2009-02-02T00:00:00"/>
    <n v="0"/>
    <n v="1"/>
    <n v="0.5"/>
    <n v="0.5"/>
  </r>
  <r>
    <n v="2655"/>
    <n v="19205"/>
    <x v="1069"/>
    <x v="42"/>
    <s v="Medium"/>
    <n v="47"/>
    <n v="1291.3499999999999"/>
    <n v="0.04"/>
    <s v="Regular Air"/>
    <n v="479.62"/>
    <n v="26.38"/>
    <n v="5.86"/>
    <x v="522"/>
    <x v="6"/>
    <x v="5"/>
    <x v="0"/>
    <x v="0"/>
    <x v="5"/>
    <x v="387"/>
    <s v="Small Box"/>
    <n v="0.39"/>
    <d v="2010-07-27T00:00:00"/>
    <n v="0"/>
    <n v="0"/>
    <n v="0.5"/>
    <n v="0.5"/>
  </r>
  <r>
    <n v="2656"/>
    <n v="19205"/>
    <x v="1069"/>
    <x v="42"/>
    <s v="Medium"/>
    <n v="31"/>
    <n v="107.97"/>
    <n v="0"/>
    <s v="Regular Air"/>
    <n v="2.36"/>
    <n v="3.26"/>
    <n v="1.86"/>
    <x v="522"/>
    <x v="6"/>
    <x v="5"/>
    <x v="0"/>
    <x v="0"/>
    <x v="12"/>
    <x v="1071"/>
    <s v="Wrap Bag"/>
    <n v="0.41"/>
    <d v="2010-07-28T00:00:00"/>
    <n v="0"/>
    <n v="0"/>
    <n v="0.5"/>
    <n v="0.5"/>
  </r>
  <r>
    <n v="2694"/>
    <n v="19494"/>
    <x v="1230"/>
    <x v="38"/>
    <s v="High"/>
    <n v="39"/>
    <n v="857.32"/>
    <n v="0.05"/>
    <s v="Regular Air"/>
    <n v="195.71"/>
    <n v="22.23"/>
    <n v="8.99"/>
    <x v="538"/>
    <x v="6"/>
    <x v="5"/>
    <x v="0"/>
    <x v="2"/>
    <x v="4"/>
    <x v="744"/>
    <s v="Small Pack"/>
    <n v="0.41"/>
    <d v="2010-01-14T00:00:00"/>
    <n v="1"/>
    <n v="0"/>
    <n v="0.5"/>
    <n v="0.5"/>
  </r>
  <r>
    <n v="2695"/>
    <n v="19494"/>
    <x v="1230"/>
    <x v="38"/>
    <s v="High"/>
    <n v="2"/>
    <n v="8.8699999999999992"/>
    <n v="0.03"/>
    <s v="Regular Air"/>
    <n v="-6.79"/>
    <n v="2.74"/>
    <n v="3.5"/>
    <x v="538"/>
    <x v="6"/>
    <x v="5"/>
    <x v="0"/>
    <x v="0"/>
    <x v="12"/>
    <x v="1084"/>
    <s v="Small Pack"/>
    <n v="0.57999999999999996"/>
    <d v="2010-01-15T00:00:00"/>
    <n v="1"/>
    <n v="0"/>
    <n v="0.5"/>
    <n v="0.5"/>
  </r>
  <r>
    <n v="2699"/>
    <n v="19523"/>
    <x v="664"/>
    <x v="27"/>
    <s v="High"/>
    <n v="44"/>
    <n v="155.78"/>
    <n v="0.04"/>
    <s v="Regular Air"/>
    <n v="-10"/>
    <n v="3.6"/>
    <n v="2.2000000000000002"/>
    <x v="83"/>
    <x v="6"/>
    <x v="5"/>
    <x v="2"/>
    <x v="0"/>
    <x v="5"/>
    <x v="996"/>
    <s v="Wrap Bag"/>
    <n v="0.39"/>
    <d v="2011-12-01T00:00:00"/>
    <n v="0"/>
    <n v="0"/>
    <n v="1"/>
    <n v="1"/>
  </r>
  <r>
    <n v="2842"/>
    <n v="20482"/>
    <x v="514"/>
    <x v="2"/>
    <s v="Medium"/>
    <n v="38"/>
    <n v="4650.07"/>
    <n v="0.04"/>
    <s v="Delivery Truck"/>
    <n v="-1143.1500000000001"/>
    <n v="120.98"/>
    <n v="60.19"/>
    <x v="539"/>
    <x v="6"/>
    <x v="5"/>
    <x v="0"/>
    <x v="2"/>
    <x v="9"/>
    <x v="1181"/>
    <s v="Jumbo Box"/>
    <n v="0.71"/>
    <d v="2011-07-18T00:00:00"/>
    <n v="0"/>
    <n v="0"/>
    <n v="0.5"/>
    <n v="0.5"/>
  </r>
  <r>
    <n v="2843"/>
    <n v="20482"/>
    <x v="514"/>
    <x v="2"/>
    <s v="Medium"/>
    <n v="39"/>
    <n v="497.52"/>
    <n v="0.03"/>
    <s v="Regular Air"/>
    <n v="92.46"/>
    <n v="12.28"/>
    <n v="5.09"/>
    <x v="539"/>
    <x v="6"/>
    <x v="5"/>
    <x v="0"/>
    <x v="0"/>
    <x v="5"/>
    <x v="752"/>
    <s v="Small Box"/>
    <n v="0.38"/>
    <d v="2011-07-20T00:00:00"/>
    <n v="0"/>
    <n v="0"/>
    <n v="0.5"/>
    <n v="0.5"/>
  </r>
  <r>
    <n v="2963"/>
    <n v="21414"/>
    <x v="622"/>
    <x v="10"/>
    <s v="Critical"/>
    <n v="43"/>
    <n v="103.6"/>
    <n v="0.09"/>
    <s v="Express Air"/>
    <n v="-72.86"/>
    <n v="2.52"/>
    <n v="1.92"/>
    <x v="327"/>
    <x v="6"/>
    <x v="5"/>
    <x v="1"/>
    <x v="0"/>
    <x v="15"/>
    <x v="974"/>
    <s v="Wrap Bag"/>
    <n v="0.82"/>
    <d v="2011-05-04T00:00:00"/>
    <n v="0"/>
    <n v="0"/>
    <n v="0.25"/>
    <n v="0.25"/>
  </r>
  <r>
    <n v="2967"/>
    <n v="21445"/>
    <x v="55"/>
    <x v="11"/>
    <s v="Low"/>
    <n v="14"/>
    <n v="75.150000000000006"/>
    <n v="0.02"/>
    <s v="Express Air"/>
    <n v="-63.53"/>
    <n v="4.0599999999999996"/>
    <n v="6.89"/>
    <x v="538"/>
    <x v="6"/>
    <x v="5"/>
    <x v="0"/>
    <x v="0"/>
    <x v="1"/>
    <x v="283"/>
    <s v="Small Box"/>
    <n v="0.6"/>
    <d v="2009-11-21T00:00:00"/>
    <n v="0"/>
    <n v="0"/>
    <n v="0.5"/>
    <n v="0.5"/>
  </r>
  <r>
    <n v="2968"/>
    <n v="21445"/>
    <x v="55"/>
    <x v="11"/>
    <s v="Low"/>
    <n v="43"/>
    <n v="400.45"/>
    <n v="7.0000000000000007E-2"/>
    <s v="Regular Air"/>
    <n v="-38.575800000000001"/>
    <n v="9.49"/>
    <n v="5.76"/>
    <x v="538"/>
    <x v="6"/>
    <x v="5"/>
    <x v="0"/>
    <x v="1"/>
    <x v="16"/>
    <x v="510"/>
    <s v="Medium Box"/>
    <n v="0.39"/>
    <d v="2009-11-21T00:00:00"/>
    <n v="0"/>
    <n v="0"/>
    <n v="0.5"/>
    <n v="0.5"/>
  </r>
  <r>
    <n v="2987"/>
    <n v="21573"/>
    <x v="178"/>
    <x v="13"/>
    <s v="Critical"/>
    <n v="31"/>
    <n v="96.23"/>
    <n v="0.05"/>
    <s v="Regular Air"/>
    <n v="24.05"/>
    <n v="3.08"/>
    <n v="0.99"/>
    <x v="533"/>
    <x v="6"/>
    <x v="5"/>
    <x v="2"/>
    <x v="0"/>
    <x v="11"/>
    <x v="1165"/>
    <s v="Small Box"/>
    <n v="0.37"/>
    <d v="2012-04-27T00:00:00"/>
    <n v="0"/>
    <n v="0"/>
    <n v="0.33333333333333331"/>
    <n v="0.33333333333333331"/>
  </r>
  <r>
    <n v="2988"/>
    <n v="21573"/>
    <x v="178"/>
    <x v="13"/>
    <s v="Critical"/>
    <n v="7"/>
    <n v="70.08"/>
    <n v="0"/>
    <s v="Regular Air"/>
    <n v="8.02"/>
    <n v="9.48"/>
    <n v="3.72"/>
    <x v="533"/>
    <x v="6"/>
    <x v="5"/>
    <x v="2"/>
    <x v="2"/>
    <x v="4"/>
    <x v="1182"/>
    <s v="Small Pack"/>
    <n v="0.4"/>
    <d v="2012-04-27T00:00:00"/>
    <n v="0"/>
    <n v="0"/>
    <n v="0.33333333333333331"/>
    <n v="0.33333333333333331"/>
  </r>
  <r>
    <n v="2989"/>
    <n v="21573"/>
    <x v="178"/>
    <x v="13"/>
    <s v="Critical"/>
    <n v="3"/>
    <n v="234.768"/>
    <n v="0.04"/>
    <s v="Delivery Truck"/>
    <n v="54.230849999999997"/>
    <n v="70.89"/>
    <n v="89.3"/>
    <x v="533"/>
    <x v="6"/>
    <x v="5"/>
    <x v="2"/>
    <x v="2"/>
    <x v="10"/>
    <x v="818"/>
    <s v="Jumbo Box"/>
    <n v="0.69"/>
    <d v="2012-04-27T00:00:00"/>
    <n v="0"/>
    <n v="0"/>
    <n v="0.33333333333333331"/>
    <n v="0.33333333333333331"/>
  </r>
  <r>
    <n v="3004"/>
    <n v="21636"/>
    <x v="124"/>
    <x v="26"/>
    <s v="Low"/>
    <n v="16"/>
    <n v="376.65"/>
    <n v="0"/>
    <s v="Express Air"/>
    <n v="-52.646999999999998"/>
    <n v="22.38"/>
    <n v="15.1"/>
    <x v="52"/>
    <x v="6"/>
    <x v="5"/>
    <x v="3"/>
    <x v="0"/>
    <x v="2"/>
    <x v="290"/>
    <s v="Small Box"/>
    <n v="0.38"/>
    <d v="2009-08-17T00:00:00"/>
    <n v="0"/>
    <n v="0"/>
    <n v="0.33333333333333331"/>
    <n v="0.33333333333333331"/>
  </r>
  <r>
    <n v="3005"/>
    <n v="21636"/>
    <x v="124"/>
    <x v="26"/>
    <s v="Low"/>
    <n v="6"/>
    <n v="40.06"/>
    <n v="7.0000000000000007E-2"/>
    <s v="Regular Air"/>
    <n v="-24.44"/>
    <n v="5.98"/>
    <n v="4.6900000000000004"/>
    <x v="52"/>
    <x v="6"/>
    <x v="5"/>
    <x v="3"/>
    <x v="0"/>
    <x v="0"/>
    <x v="379"/>
    <s v="Small Box"/>
    <n v="0.68"/>
    <d v="2009-08-15T00:00:00"/>
    <n v="0"/>
    <n v="0"/>
    <n v="0.33333333333333331"/>
    <n v="0.33333333333333331"/>
  </r>
  <r>
    <n v="3030"/>
    <n v="21795"/>
    <x v="446"/>
    <x v="30"/>
    <s v="Not Specified"/>
    <n v="10"/>
    <n v="278.66000000000003"/>
    <n v="0.05"/>
    <s v="Express Air"/>
    <n v="-77.36"/>
    <n v="27.48"/>
    <n v="4"/>
    <x v="534"/>
    <x v="6"/>
    <x v="5"/>
    <x v="0"/>
    <x v="1"/>
    <x v="7"/>
    <x v="593"/>
    <s v="Small Box"/>
    <n v="0.75"/>
    <d v="2010-06-14T00:00:00"/>
    <n v="0"/>
    <n v="0"/>
    <n v="0.5"/>
    <n v="0.5"/>
  </r>
  <r>
    <n v="3031"/>
    <n v="21795"/>
    <x v="446"/>
    <x v="30"/>
    <s v="Not Specified"/>
    <n v="28"/>
    <n v="491.85"/>
    <n v="0.1"/>
    <s v="Regular Air"/>
    <n v="4.54"/>
    <n v="18.97"/>
    <n v="9.0299999999999994"/>
    <x v="534"/>
    <x v="6"/>
    <x v="5"/>
    <x v="0"/>
    <x v="0"/>
    <x v="5"/>
    <x v="40"/>
    <s v="Small Box"/>
    <n v="0.37"/>
    <d v="2010-06-15T00:00:00"/>
    <n v="0"/>
    <n v="0"/>
    <n v="0.5"/>
    <n v="0.5"/>
  </r>
  <r>
    <n v="3044"/>
    <n v="21859"/>
    <x v="592"/>
    <x v="27"/>
    <s v="High"/>
    <n v="42"/>
    <n v="401.37"/>
    <n v="7.0000000000000007E-2"/>
    <s v="Regular Air"/>
    <n v="13.31"/>
    <n v="9.74"/>
    <n v="5.71"/>
    <x v="536"/>
    <x v="6"/>
    <x v="5"/>
    <x v="2"/>
    <x v="2"/>
    <x v="4"/>
    <x v="1183"/>
    <s v="Small Box"/>
    <n v="0.41"/>
    <d v="2011-11-19T00:00:00"/>
    <n v="0"/>
    <n v="0"/>
    <n v="1"/>
    <n v="1"/>
  </r>
  <r>
    <n v="3069"/>
    <n v="21989"/>
    <x v="405"/>
    <x v="44"/>
    <s v="Low"/>
    <n v="9"/>
    <n v="118.95"/>
    <n v="0.03"/>
    <s v="Regular Air"/>
    <n v="30.8"/>
    <n v="12.07"/>
    <n v="6.2"/>
    <x v="306"/>
    <x v="6"/>
    <x v="5"/>
    <x v="3"/>
    <x v="2"/>
    <x v="4"/>
    <x v="1180"/>
    <s v="Wrap Bag"/>
    <n v="0.52"/>
    <d v="2011-02-10T00:00:00"/>
    <n v="0"/>
    <n v="0"/>
    <n v="0.5"/>
    <n v="0.5"/>
  </r>
  <r>
    <n v="3070"/>
    <n v="21989"/>
    <x v="405"/>
    <x v="44"/>
    <s v="Low"/>
    <n v="35"/>
    <n v="3814.1710000000003"/>
    <n v="0.04"/>
    <s v="Regular Air"/>
    <n v="1077.1289999999999"/>
    <n v="125.99"/>
    <n v="4.2"/>
    <x v="306"/>
    <x v="6"/>
    <x v="5"/>
    <x v="3"/>
    <x v="1"/>
    <x v="3"/>
    <x v="1052"/>
    <s v="Small Box"/>
    <n v="0.56999999999999995"/>
    <d v="2011-02-10T00:00:00"/>
    <n v="0"/>
    <n v="0"/>
    <n v="0.5"/>
    <n v="0.5"/>
  </r>
  <r>
    <n v="3090"/>
    <n v="22151"/>
    <x v="126"/>
    <x v="42"/>
    <s v="High"/>
    <n v="20"/>
    <n v="515.37"/>
    <n v="0.04"/>
    <s v="Regular Air"/>
    <n v="9.8175000000000008"/>
    <n v="24.92"/>
    <n v="12.98"/>
    <x v="27"/>
    <x v="6"/>
    <x v="5"/>
    <x v="2"/>
    <x v="0"/>
    <x v="2"/>
    <x v="202"/>
    <s v="Small Box"/>
    <n v="0.39"/>
    <d v="2010-08-01T00:00:00"/>
    <n v="0"/>
    <n v="0"/>
    <n v="0.5"/>
    <n v="0.5"/>
  </r>
  <r>
    <n v="3161"/>
    <n v="22688"/>
    <x v="912"/>
    <x v="13"/>
    <s v="Medium"/>
    <n v="40"/>
    <n v="2044.2755000000002"/>
    <n v="0.1"/>
    <s v="Regular Air"/>
    <n v="334.53"/>
    <n v="65.989999999999995"/>
    <n v="5.63"/>
    <x v="530"/>
    <x v="6"/>
    <x v="5"/>
    <x v="2"/>
    <x v="1"/>
    <x v="3"/>
    <x v="1032"/>
    <s v="Small Box"/>
    <n v="0.56000000000000005"/>
    <d v="2012-04-18T00:00:00"/>
    <n v="0"/>
    <n v="0"/>
    <n v="1"/>
    <n v="1"/>
  </r>
  <r>
    <n v="3197"/>
    <n v="22916"/>
    <x v="947"/>
    <x v="12"/>
    <s v="Medium"/>
    <n v="18"/>
    <n v="122.02"/>
    <n v="0.04"/>
    <s v="Regular Air"/>
    <n v="-115"/>
    <n v="6.48"/>
    <n v="10.050000000000001"/>
    <x v="435"/>
    <x v="6"/>
    <x v="5"/>
    <x v="2"/>
    <x v="0"/>
    <x v="5"/>
    <x v="680"/>
    <s v="Small Box"/>
    <n v="0.37"/>
    <d v="2012-02-03T00:00:00"/>
    <n v="0"/>
    <n v="0"/>
    <n v="1"/>
    <n v="1"/>
  </r>
  <r>
    <n v="3202"/>
    <n v="22951"/>
    <x v="726"/>
    <x v="20"/>
    <s v="Medium"/>
    <n v="24"/>
    <n v="1304.0274999999999"/>
    <n v="0.1"/>
    <s v="Regular Air"/>
    <n v="34.362000000000002"/>
    <n v="65.989999999999995"/>
    <n v="8.99"/>
    <x v="306"/>
    <x v="6"/>
    <x v="5"/>
    <x v="2"/>
    <x v="1"/>
    <x v="3"/>
    <x v="815"/>
    <s v="Small Box"/>
    <n v="0.6"/>
    <d v="2012-05-03T00:00:00"/>
    <n v="0"/>
    <n v="0"/>
    <n v="1"/>
    <n v="1"/>
  </r>
  <r>
    <n v="3205"/>
    <n v="22980"/>
    <x v="1"/>
    <x v="1"/>
    <s v="Not Specified"/>
    <n v="10"/>
    <n v="56.05"/>
    <n v="0.06"/>
    <s v="Regular Air"/>
    <n v="-27.73"/>
    <n v="4.9800000000000004"/>
    <n v="5.49"/>
    <x v="91"/>
    <x v="6"/>
    <x v="5"/>
    <x v="1"/>
    <x v="0"/>
    <x v="5"/>
    <x v="921"/>
    <s v="Small Box"/>
    <n v="0.38"/>
    <d v="2012-10-02T00:00:00"/>
    <n v="0"/>
    <n v="0"/>
    <n v="0.5"/>
    <n v="0.33333333333333331"/>
  </r>
  <r>
    <n v="3281"/>
    <n v="23429"/>
    <x v="400"/>
    <x v="28"/>
    <s v="Critical"/>
    <n v="28"/>
    <n v="154.61000000000001"/>
    <n v="0.06"/>
    <s v="Regular Air"/>
    <n v="-82.822999999999993"/>
    <n v="5.34"/>
    <n v="5.63"/>
    <x v="27"/>
    <x v="6"/>
    <x v="5"/>
    <x v="2"/>
    <x v="0"/>
    <x v="2"/>
    <x v="976"/>
    <s v="Small Box"/>
    <n v="0.39"/>
    <d v="2009-03-19T00:00:00"/>
    <n v="0"/>
    <n v="0"/>
    <n v="0.5"/>
    <n v="0.5"/>
  </r>
  <r>
    <n v="3282"/>
    <n v="23429"/>
    <x v="400"/>
    <x v="28"/>
    <s v="Critical"/>
    <n v="19"/>
    <n v="1063.3499999999999"/>
    <n v="7.0000000000000007E-2"/>
    <s v="Express Air"/>
    <n v="107.08200000000001"/>
    <n v="65.989999999999995"/>
    <n v="5.26"/>
    <x v="27"/>
    <x v="6"/>
    <x v="5"/>
    <x v="2"/>
    <x v="1"/>
    <x v="3"/>
    <x v="266"/>
    <s v="Small Box"/>
    <n v="0.56000000000000005"/>
    <d v="2009-03-21T00:00:00"/>
    <n v="0"/>
    <n v="0"/>
    <n v="0.5"/>
    <n v="0.5"/>
  </r>
  <r>
    <n v="3315"/>
    <n v="23681"/>
    <x v="680"/>
    <x v="20"/>
    <s v="High"/>
    <n v="42"/>
    <n v="4182.5200000000004"/>
    <n v="0"/>
    <s v="Express Air"/>
    <n v="-785.36"/>
    <n v="95.99"/>
    <n v="35"/>
    <x v="74"/>
    <x v="6"/>
    <x v="5"/>
    <x v="1"/>
    <x v="0"/>
    <x v="0"/>
    <x v="1029"/>
    <s v="Large Box"/>
    <m/>
    <d v="2012-05-21T00:00:00"/>
    <n v="0"/>
    <n v="0"/>
    <n v="1"/>
    <n v="0.5"/>
  </r>
  <r>
    <n v="3405"/>
    <n v="24263"/>
    <x v="613"/>
    <x v="34"/>
    <s v="Low"/>
    <n v="16"/>
    <n v="512.80999999999995"/>
    <n v="0.1"/>
    <s v="Delivery Truck"/>
    <n v="-177.07"/>
    <n v="33.94"/>
    <n v="19.190000000000001"/>
    <x v="91"/>
    <x v="6"/>
    <x v="5"/>
    <x v="1"/>
    <x v="2"/>
    <x v="14"/>
    <x v="205"/>
    <s v="Jumbo Drum"/>
    <n v="0.57999999999999996"/>
    <d v="2012-09-22T00:00:00"/>
    <n v="0"/>
    <n v="0"/>
    <n v="1"/>
    <n v="1"/>
  </r>
  <r>
    <n v="3430"/>
    <n v="24455"/>
    <x v="516"/>
    <x v="47"/>
    <s v="Not Specified"/>
    <n v="8"/>
    <n v="169.11"/>
    <n v="0"/>
    <s v="Regular Air"/>
    <n v="-10.59"/>
    <n v="20.89"/>
    <n v="1.99"/>
    <x v="52"/>
    <x v="6"/>
    <x v="5"/>
    <x v="3"/>
    <x v="1"/>
    <x v="7"/>
    <x v="187"/>
    <s v="Small Pack"/>
    <n v="0.48"/>
    <d v="2009-12-08T00:00:00"/>
    <n v="0"/>
    <n v="0"/>
    <n v="0.5"/>
    <n v="0.5"/>
  </r>
  <r>
    <n v="3431"/>
    <n v="24455"/>
    <x v="516"/>
    <x v="47"/>
    <s v="Not Specified"/>
    <n v="41"/>
    <n v="152.59"/>
    <n v="7.0000000000000007E-2"/>
    <s v="Regular Air"/>
    <n v="27.38"/>
    <n v="3.98"/>
    <n v="0.83"/>
    <x v="52"/>
    <x v="6"/>
    <x v="5"/>
    <x v="3"/>
    <x v="0"/>
    <x v="12"/>
    <x v="914"/>
    <s v="Wrap Bag"/>
    <n v="0.51"/>
    <d v="2009-12-09T00:00:00"/>
    <n v="0"/>
    <n v="0"/>
    <n v="0.5"/>
    <n v="0.5"/>
  </r>
  <r>
    <n v="3471"/>
    <n v="24707"/>
    <x v="276"/>
    <x v="33"/>
    <s v="Medium"/>
    <n v="14"/>
    <n v="1961.39"/>
    <n v="0"/>
    <s v="Regular Air"/>
    <n v="761.04"/>
    <n v="136.97999999999999"/>
    <n v="24.49"/>
    <x v="533"/>
    <x v="6"/>
    <x v="5"/>
    <x v="2"/>
    <x v="2"/>
    <x v="4"/>
    <x v="355"/>
    <s v="Large Box"/>
    <n v="0.59"/>
    <d v="2012-03-11T00:00:00"/>
    <n v="0"/>
    <n v="0"/>
    <n v="0.5"/>
    <n v="0.33333333333333331"/>
  </r>
  <r>
    <n v="3472"/>
    <n v="24707"/>
    <x v="276"/>
    <x v="33"/>
    <s v="Medium"/>
    <n v="3"/>
    <n v="4.9400000000000004"/>
    <n v="0.1"/>
    <s v="Regular Air"/>
    <n v="-1.76"/>
    <n v="1.48"/>
    <n v="0.7"/>
    <x v="533"/>
    <x v="6"/>
    <x v="5"/>
    <x v="2"/>
    <x v="0"/>
    <x v="6"/>
    <x v="476"/>
    <s v="Wrap Bag"/>
    <n v="0.37"/>
    <d v="2012-03-12T00:00:00"/>
    <n v="0"/>
    <n v="0"/>
    <n v="0.5"/>
    <n v="0.33333333333333331"/>
  </r>
  <r>
    <n v="3523"/>
    <n v="25091"/>
    <x v="683"/>
    <x v="6"/>
    <s v="Medium"/>
    <n v="4"/>
    <n v="156.97"/>
    <n v="0.01"/>
    <s v="Regular Air"/>
    <n v="-25.426500000000001"/>
    <n v="34.54"/>
    <n v="14.72"/>
    <x v="306"/>
    <x v="6"/>
    <x v="5"/>
    <x v="2"/>
    <x v="0"/>
    <x v="2"/>
    <x v="122"/>
    <s v="Small Box"/>
    <n v="0.37"/>
    <d v="2010-02-22T00:00:00"/>
    <n v="0"/>
    <n v="0"/>
    <n v="1"/>
    <n v="1"/>
  </r>
  <r>
    <n v="3673"/>
    <n v="26305"/>
    <x v="353"/>
    <x v="15"/>
    <s v="Medium"/>
    <n v="50"/>
    <n v="1118.21"/>
    <n v="7.0000000000000007E-2"/>
    <s v="Regular Air"/>
    <n v="-122.7855"/>
    <n v="22.38"/>
    <n v="15.1"/>
    <x v="528"/>
    <x v="6"/>
    <x v="5"/>
    <x v="3"/>
    <x v="0"/>
    <x v="2"/>
    <x v="290"/>
    <s v="Small Box"/>
    <n v="0.38"/>
    <d v="2010-12-04T00:00:00"/>
    <n v="0"/>
    <n v="0"/>
    <n v="0.5"/>
    <n v="0.33333333333333331"/>
  </r>
  <r>
    <n v="3674"/>
    <n v="26305"/>
    <x v="353"/>
    <x v="15"/>
    <s v="Medium"/>
    <n v="13"/>
    <n v="3503.56"/>
    <n v="0.01"/>
    <s v="Delivery Truck"/>
    <n v="-633.44123700000023"/>
    <n v="262.11"/>
    <n v="62.74"/>
    <x v="528"/>
    <x v="6"/>
    <x v="5"/>
    <x v="3"/>
    <x v="2"/>
    <x v="10"/>
    <x v="89"/>
    <s v="Jumbo Box"/>
    <n v="0.75"/>
    <d v="2010-12-03T00:00:00"/>
    <n v="0"/>
    <n v="0"/>
    <n v="0.5"/>
    <n v="0.33333333333333331"/>
  </r>
  <r>
    <n v="3789"/>
    <n v="26982"/>
    <x v="1231"/>
    <x v="13"/>
    <s v="Not Specified"/>
    <n v="37"/>
    <n v="1984.61"/>
    <n v="0.05"/>
    <s v="Express Air"/>
    <n v="585.03"/>
    <n v="55.48"/>
    <n v="14.3"/>
    <x v="538"/>
    <x v="6"/>
    <x v="5"/>
    <x v="0"/>
    <x v="0"/>
    <x v="5"/>
    <x v="381"/>
    <s v="Small Box"/>
    <n v="0.37"/>
    <d v="2012-04-29T00:00:00"/>
    <n v="0"/>
    <n v="0"/>
    <n v="1"/>
    <n v="1"/>
  </r>
  <r>
    <n v="3800"/>
    <n v="27106"/>
    <x v="459"/>
    <x v="25"/>
    <s v="High"/>
    <n v="1"/>
    <n v="13.96"/>
    <n v="0.06"/>
    <s v="Regular Air"/>
    <n v="-4.7035"/>
    <n v="10.91"/>
    <n v="2.99"/>
    <x v="306"/>
    <x v="6"/>
    <x v="5"/>
    <x v="3"/>
    <x v="0"/>
    <x v="2"/>
    <x v="235"/>
    <s v="Small Box"/>
    <n v="0.38"/>
    <d v="2011-12-03T00:00:00"/>
    <n v="0"/>
    <n v="0"/>
    <n v="0.2"/>
    <n v="0.2"/>
  </r>
  <r>
    <n v="3801"/>
    <n v="27106"/>
    <x v="459"/>
    <x v="25"/>
    <s v="High"/>
    <n v="50"/>
    <n v="531.48"/>
    <n v="0.08"/>
    <s v="Regular Air"/>
    <n v="232.58"/>
    <n v="10.67"/>
    <n v="1.39"/>
    <x v="306"/>
    <x v="6"/>
    <x v="5"/>
    <x v="3"/>
    <x v="0"/>
    <x v="8"/>
    <x v="329"/>
    <s v="Small Box"/>
    <n v="0.39"/>
    <d v="2011-12-01T00:00:00"/>
    <n v="0"/>
    <n v="0"/>
    <n v="0.2"/>
    <n v="0.2"/>
  </r>
  <r>
    <n v="3802"/>
    <n v="27106"/>
    <x v="459"/>
    <x v="25"/>
    <s v="High"/>
    <n v="29"/>
    <n v="3524.55"/>
    <n v="0.08"/>
    <s v="Delivery Truck"/>
    <n v="-570.17999999999995"/>
    <n v="130.97999999999999"/>
    <n v="30"/>
    <x v="306"/>
    <x v="6"/>
    <x v="5"/>
    <x v="3"/>
    <x v="2"/>
    <x v="14"/>
    <x v="156"/>
    <s v="Jumbo Drum"/>
    <n v="0.78"/>
    <d v="2011-12-03T00:00:00"/>
    <n v="0"/>
    <n v="0"/>
    <n v="0.2"/>
    <n v="0.2"/>
  </r>
  <r>
    <n v="3803"/>
    <n v="27106"/>
    <x v="459"/>
    <x v="25"/>
    <s v="High"/>
    <n v="42"/>
    <n v="890.61"/>
    <n v="0.05"/>
    <s v="Regular Air"/>
    <n v="297.11"/>
    <n v="22.23"/>
    <n v="3.63"/>
    <x v="306"/>
    <x v="6"/>
    <x v="5"/>
    <x v="3"/>
    <x v="2"/>
    <x v="4"/>
    <x v="485"/>
    <s v="Small Pack"/>
    <n v="0.52"/>
    <d v="2011-12-03T00:00:00"/>
    <n v="0"/>
    <n v="0"/>
    <n v="0.2"/>
    <n v="0.2"/>
  </r>
  <r>
    <n v="3804"/>
    <n v="27106"/>
    <x v="459"/>
    <x v="25"/>
    <s v="High"/>
    <n v="10"/>
    <n v="64.19"/>
    <n v="0.08"/>
    <s v="Regular Air"/>
    <n v="3.77"/>
    <n v="6.68"/>
    <n v="1.5"/>
    <x v="306"/>
    <x v="6"/>
    <x v="5"/>
    <x v="3"/>
    <x v="0"/>
    <x v="12"/>
    <x v="463"/>
    <s v="Wrap Bag"/>
    <n v="0.48"/>
    <d v="2011-12-03T00:00:00"/>
    <n v="0"/>
    <n v="0"/>
    <n v="0.2"/>
    <n v="0.2"/>
  </r>
  <r>
    <n v="3859"/>
    <n v="27527"/>
    <x v="936"/>
    <x v="7"/>
    <s v="Medium"/>
    <n v="37"/>
    <n v="376.58"/>
    <n v="0.09"/>
    <s v="Regular Air"/>
    <n v="1.33"/>
    <n v="10.4"/>
    <n v="5.4"/>
    <x v="91"/>
    <x v="6"/>
    <x v="5"/>
    <x v="1"/>
    <x v="2"/>
    <x v="4"/>
    <x v="592"/>
    <s v="Small Pack"/>
    <n v="0.51"/>
    <d v="2010-12-03T00:00:00"/>
    <n v="0"/>
    <n v="0"/>
    <n v="1"/>
    <n v="1"/>
  </r>
  <r>
    <n v="3886"/>
    <n v="27746"/>
    <x v="384"/>
    <x v="15"/>
    <s v="Critical"/>
    <n v="3"/>
    <n v="1540.77"/>
    <n v="0.04"/>
    <s v="Regular Air"/>
    <n v="-1572.64"/>
    <n v="499.99"/>
    <n v="24.49"/>
    <x v="74"/>
    <x v="6"/>
    <x v="5"/>
    <x v="1"/>
    <x v="1"/>
    <x v="13"/>
    <x v="110"/>
    <s v="Large Box"/>
    <n v="0.36"/>
    <d v="2010-12-04T00:00:00"/>
    <n v="0"/>
    <n v="0"/>
    <n v="0.33333333333333331"/>
    <n v="0.33333333333333331"/>
  </r>
  <r>
    <n v="3900"/>
    <n v="27811"/>
    <x v="428"/>
    <x v="5"/>
    <s v="Not Specified"/>
    <n v="4"/>
    <n v="73.900000000000006"/>
    <n v="0.06"/>
    <s v="Regular Air"/>
    <n v="-39.640499999999996"/>
    <n v="15.99"/>
    <n v="13.18"/>
    <x v="522"/>
    <x v="6"/>
    <x v="5"/>
    <x v="0"/>
    <x v="0"/>
    <x v="2"/>
    <x v="22"/>
    <s v="Small Box"/>
    <n v="0.37"/>
    <d v="2011-03-05T00:00:00"/>
    <n v="0"/>
    <n v="0"/>
    <n v="0.5"/>
    <n v="0.5"/>
  </r>
  <r>
    <n v="3923"/>
    <n v="27974"/>
    <x v="206"/>
    <x v="0"/>
    <s v="High"/>
    <n v="35"/>
    <n v="897.42"/>
    <n v="0.08"/>
    <s v="Regular Air"/>
    <n v="127.17"/>
    <n v="26.64"/>
    <n v="5.3"/>
    <x v="531"/>
    <x v="6"/>
    <x v="5"/>
    <x v="3"/>
    <x v="2"/>
    <x v="14"/>
    <x v="1005"/>
    <s v="Medium Box"/>
    <m/>
    <d v="2010-10-08T00:00:00"/>
    <n v="0"/>
    <n v="0"/>
    <n v="0.33333333333333331"/>
    <n v="0.33333333333333331"/>
  </r>
  <r>
    <n v="3924"/>
    <n v="27974"/>
    <x v="206"/>
    <x v="0"/>
    <s v="High"/>
    <n v="27"/>
    <n v="306.02"/>
    <n v="0.08"/>
    <s v="Regular Air"/>
    <n v="-6.7"/>
    <n v="12.07"/>
    <n v="6.2"/>
    <x v="531"/>
    <x v="6"/>
    <x v="5"/>
    <x v="3"/>
    <x v="2"/>
    <x v="4"/>
    <x v="1180"/>
    <s v="Wrap Bag"/>
    <n v="0.52"/>
    <d v="2010-10-08T00:00:00"/>
    <n v="0"/>
    <n v="0"/>
    <n v="0.33333333333333331"/>
    <n v="0.33333333333333331"/>
  </r>
  <r>
    <n v="4031"/>
    <n v="28774"/>
    <x v="1093"/>
    <x v="22"/>
    <s v="High"/>
    <n v="32"/>
    <n v="180.36"/>
    <n v="0.1"/>
    <s v="Regular Air"/>
    <n v="-111.8"/>
    <n v="5.98"/>
    <n v="4.6900000000000004"/>
    <x v="534"/>
    <x v="6"/>
    <x v="5"/>
    <x v="0"/>
    <x v="0"/>
    <x v="0"/>
    <x v="379"/>
    <s v="Small Box"/>
    <n v="0.68"/>
    <d v="2009-01-02T00:00:00"/>
    <n v="0"/>
    <n v="1"/>
    <n v="1"/>
    <n v="1"/>
  </r>
  <r>
    <n v="4174"/>
    <n v="29607"/>
    <x v="511"/>
    <x v="33"/>
    <s v="Medium"/>
    <n v="20"/>
    <n v="240.74"/>
    <n v="0.05"/>
    <s v="Regular Air"/>
    <n v="21.05"/>
    <n v="12.28"/>
    <n v="5.09"/>
    <x v="527"/>
    <x v="6"/>
    <x v="5"/>
    <x v="3"/>
    <x v="0"/>
    <x v="5"/>
    <x v="752"/>
    <s v="Small Box"/>
    <n v="0.38"/>
    <d v="2012-03-15T00:00:00"/>
    <n v="0"/>
    <n v="0"/>
    <n v="1"/>
    <n v="0.5"/>
  </r>
  <r>
    <n v="4183"/>
    <n v="29730"/>
    <x v="838"/>
    <x v="30"/>
    <s v="Critical"/>
    <n v="21"/>
    <n v="3072.86"/>
    <n v="0.08"/>
    <s v="Delivery Truck"/>
    <n v="-364.87336600000009"/>
    <n v="150.97999999999999"/>
    <n v="39.25"/>
    <x v="527"/>
    <x v="6"/>
    <x v="5"/>
    <x v="1"/>
    <x v="2"/>
    <x v="10"/>
    <x v="1025"/>
    <s v="Jumbo Box"/>
    <n v="0.75"/>
    <d v="2010-06-18T00:00:00"/>
    <n v="0"/>
    <n v="0"/>
    <n v="1"/>
    <n v="1"/>
  </r>
  <r>
    <n v="4236"/>
    <n v="30144"/>
    <x v="1017"/>
    <x v="21"/>
    <s v="Low"/>
    <n v="25"/>
    <n v="5503.39"/>
    <n v="0.08"/>
    <s v="Delivery Truck"/>
    <n v="-528.65312500000005"/>
    <n v="218.75"/>
    <n v="69.64"/>
    <x v="529"/>
    <x v="6"/>
    <x v="5"/>
    <x v="0"/>
    <x v="2"/>
    <x v="10"/>
    <x v="146"/>
    <s v="Jumbo Box"/>
    <n v="0.77"/>
    <d v="2011-08-11T00:00:00"/>
    <n v="0"/>
    <n v="0"/>
    <n v="1"/>
    <n v="1"/>
  </r>
  <r>
    <n v="4389"/>
    <n v="31266"/>
    <x v="1232"/>
    <x v="1"/>
    <s v="High"/>
    <n v="16"/>
    <n v="6573.75"/>
    <n v="0.04"/>
    <s v="Delivery Truck"/>
    <n v="1197.05"/>
    <n v="399.98"/>
    <n v="12.06"/>
    <x v="91"/>
    <x v="6"/>
    <x v="5"/>
    <x v="2"/>
    <x v="1"/>
    <x v="16"/>
    <x v="802"/>
    <s v="Jumbo Box"/>
    <n v="0.56000000000000005"/>
    <d v="2012-10-04T00:00:00"/>
    <n v="0"/>
    <n v="0"/>
    <n v="1"/>
    <n v="0.33333333333333331"/>
  </r>
  <r>
    <n v="4408"/>
    <n v="31456"/>
    <x v="84"/>
    <x v="32"/>
    <s v="High"/>
    <n v="10"/>
    <n v="225.09"/>
    <n v="0.02"/>
    <s v="Regular Air"/>
    <n v="64.140999999999991"/>
    <n v="21.38"/>
    <n v="2.99"/>
    <x v="306"/>
    <x v="6"/>
    <x v="5"/>
    <x v="3"/>
    <x v="0"/>
    <x v="2"/>
    <x v="954"/>
    <s v="Small Box"/>
    <n v="0.36"/>
    <d v="2012-11-17T00:00:00"/>
    <n v="0"/>
    <n v="0"/>
    <n v="1"/>
    <n v="1"/>
  </r>
  <r>
    <n v="4418"/>
    <n v="31522"/>
    <x v="262"/>
    <x v="39"/>
    <s v="Medium"/>
    <n v="14"/>
    <n v="302.39999999999998"/>
    <n v="0.04"/>
    <s v="Regular Air"/>
    <n v="134.21"/>
    <n v="22.23"/>
    <n v="3.63"/>
    <x v="528"/>
    <x v="6"/>
    <x v="5"/>
    <x v="3"/>
    <x v="2"/>
    <x v="4"/>
    <x v="485"/>
    <s v="Small Pack"/>
    <n v="0.52"/>
    <d v="2010-05-27T00:00:00"/>
    <n v="0"/>
    <n v="0"/>
    <n v="0.5"/>
    <n v="0.5"/>
  </r>
  <r>
    <n v="4419"/>
    <n v="31522"/>
    <x v="262"/>
    <x v="39"/>
    <s v="Medium"/>
    <n v="42"/>
    <n v="1083.3699999999999"/>
    <n v="0.03"/>
    <s v="Delivery Truck"/>
    <n v="-226.41"/>
    <n v="25.98"/>
    <n v="14.36"/>
    <x v="528"/>
    <x v="6"/>
    <x v="5"/>
    <x v="3"/>
    <x v="2"/>
    <x v="14"/>
    <x v="170"/>
    <s v="Jumbo Drum"/>
    <n v="0.6"/>
    <d v="2010-05-27T00:00:00"/>
    <n v="0"/>
    <n v="0"/>
    <n v="0.5"/>
    <n v="0.5"/>
  </r>
  <r>
    <n v="4685"/>
    <n v="33319"/>
    <x v="369"/>
    <x v="28"/>
    <s v="Not Specified"/>
    <n v="11"/>
    <n v="1736.26"/>
    <n v="0.01"/>
    <s v="Delivery Truck"/>
    <n v="-505.76"/>
    <n v="150.88999999999999"/>
    <n v="60.2"/>
    <x v="533"/>
    <x v="6"/>
    <x v="5"/>
    <x v="2"/>
    <x v="2"/>
    <x v="14"/>
    <x v="721"/>
    <s v="Jumbo Drum"/>
    <n v="0.77"/>
    <d v="2009-03-30T00:00:00"/>
    <n v="0"/>
    <n v="0"/>
    <n v="1"/>
    <n v="1"/>
  </r>
  <r>
    <n v="4724"/>
    <n v="33635"/>
    <x v="603"/>
    <x v="36"/>
    <s v="High"/>
    <n v="5"/>
    <n v="477.76"/>
    <n v="0.04"/>
    <s v="Delivery Truck"/>
    <n v="-173.09520000000001"/>
    <n v="90.97"/>
    <n v="28"/>
    <x v="526"/>
    <x v="6"/>
    <x v="5"/>
    <x v="0"/>
    <x v="1"/>
    <x v="16"/>
    <x v="475"/>
    <s v="Jumbo Drum"/>
    <n v="0.38"/>
    <d v="2009-07-13T00:00:00"/>
    <n v="0"/>
    <n v="0"/>
    <n v="0.5"/>
    <n v="0.25"/>
  </r>
  <r>
    <n v="4725"/>
    <n v="33635"/>
    <x v="603"/>
    <x v="36"/>
    <s v="High"/>
    <n v="4"/>
    <n v="112.18"/>
    <n v="7.0000000000000007E-2"/>
    <s v="Regular Air"/>
    <n v="-96.16"/>
    <n v="20.34"/>
    <n v="35"/>
    <x v="526"/>
    <x v="6"/>
    <x v="5"/>
    <x v="0"/>
    <x v="0"/>
    <x v="0"/>
    <x v="540"/>
    <s v="Large Box"/>
    <n v="0.84"/>
    <d v="2009-07-13T00:00:00"/>
    <n v="0"/>
    <n v="0"/>
    <n v="0.5"/>
    <n v="0.25"/>
  </r>
  <r>
    <n v="4787"/>
    <n v="33988"/>
    <x v="651"/>
    <x v="22"/>
    <s v="Medium"/>
    <n v="30"/>
    <n v="164.78"/>
    <n v="0"/>
    <s v="Regular Air"/>
    <n v="-128.47"/>
    <n v="5.0199999999999996"/>
    <n v="5.14"/>
    <x v="91"/>
    <x v="6"/>
    <x v="5"/>
    <x v="1"/>
    <x v="1"/>
    <x v="7"/>
    <x v="238"/>
    <s v="Small Pack"/>
    <n v="0.79"/>
    <d v="2009-01-11T00:00:00"/>
    <n v="0"/>
    <n v="1"/>
    <n v="1"/>
    <n v="0.25"/>
  </r>
  <r>
    <n v="4798"/>
    <n v="34087"/>
    <x v="513"/>
    <x v="36"/>
    <s v="Low"/>
    <n v="31"/>
    <n v="3077.7310000000002"/>
    <n v="0.05"/>
    <s v="Regular Air"/>
    <n v="745.47899999999993"/>
    <n v="115.99"/>
    <n v="5.26"/>
    <x v="83"/>
    <x v="6"/>
    <x v="5"/>
    <x v="2"/>
    <x v="1"/>
    <x v="3"/>
    <x v="648"/>
    <s v="Small Box"/>
    <n v="0.56999999999999995"/>
    <d v="2009-07-28T00:00:00"/>
    <n v="0"/>
    <n v="0"/>
    <n v="1"/>
    <n v="1"/>
  </r>
  <r>
    <n v="4875"/>
    <n v="34691"/>
    <x v="1233"/>
    <x v="22"/>
    <s v="Critical"/>
    <n v="27"/>
    <n v="217.68"/>
    <n v="0.08"/>
    <s v="Regular Air"/>
    <n v="-168.75"/>
    <n v="7.77"/>
    <n v="9.23"/>
    <x v="538"/>
    <x v="6"/>
    <x v="5"/>
    <x v="0"/>
    <x v="0"/>
    <x v="1"/>
    <x v="1009"/>
    <s v="Small Box"/>
    <n v="0.57999999999999996"/>
    <d v="2009-01-16T00:00:00"/>
    <n v="0"/>
    <n v="1"/>
    <n v="0.33333333333333331"/>
    <n v="0.33333333333333331"/>
  </r>
  <r>
    <n v="4876"/>
    <n v="34691"/>
    <x v="1233"/>
    <x v="22"/>
    <s v="Critical"/>
    <n v="23"/>
    <n v="7202.94"/>
    <n v="0.02"/>
    <s v="Delivery Truck"/>
    <n v="1425.11"/>
    <n v="306.14"/>
    <n v="26.53"/>
    <x v="538"/>
    <x v="6"/>
    <x v="5"/>
    <x v="0"/>
    <x v="1"/>
    <x v="16"/>
    <x v="831"/>
    <s v="Jumbo Drum"/>
    <n v="0.56000000000000005"/>
    <d v="2009-01-14T00:00:00"/>
    <n v="0"/>
    <n v="1"/>
    <n v="0.33333333333333331"/>
    <n v="0.33333333333333331"/>
  </r>
  <r>
    <n v="4877"/>
    <n v="34691"/>
    <x v="1233"/>
    <x v="22"/>
    <s v="Critical"/>
    <n v="13"/>
    <n v="245.82"/>
    <n v="0.1"/>
    <s v="Express Air"/>
    <n v="-7.39"/>
    <n v="18.97"/>
    <n v="9.5399999999999991"/>
    <x v="538"/>
    <x v="6"/>
    <x v="5"/>
    <x v="0"/>
    <x v="0"/>
    <x v="5"/>
    <x v="439"/>
    <s v="Small Box"/>
    <n v="0.37"/>
    <d v="2009-01-16T00:00:00"/>
    <n v="0"/>
    <n v="1"/>
    <n v="0.33333333333333331"/>
    <n v="0.33333333333333331"/>
  </r>
  <r>
    <n v="4888"/>
    <n v="34785"/>
    <x v="89"/>
    <x v="38"/>
    <s v="Critical"/>
    <n v="45"/>
    <n v="15468.216"/>
    <n v="0.01"/>
    <s v="Delivery Truck"/>
    <n v="-969.0483660000001"/>
    <n v="400.98"/>
    <n v="42.52"/>
    <x v="83"/>
    <x v="6"/>
    <x v="5"/>
    <x v="2"/>
    <x v="2"/>
    <x v="10"/>
    <x v="861"/>
    <s v="Jumbo Box"/>
    <n v="0.71"/>
    <d v="2010-01-28T00:00:00"/>
    <n v="1"/>
    <n v="0"/>
    <n v="1"/>
    <n v="1"/>
  </r>
  <r>
    <n v="4904"/>
    <n v="34883"/>
    <x v="669"/>
    <x v="11"/>
    <s v="Critical"/>
    <n v="31"/>
    <n v="906.01499999999999"/>
    <n v="0.05"/>
    <s v="Regular Air"/>
    <n v="248.67"/>
    <n v="35.99"/>
    <n v="5.99"/>
    <x v="435"/>
    <x v="6"/>
    <x v="5"/>
    <x v="2"/>
    <x v="1"/>
    <x v="3"/>
    <x v="702"/>
    <s v="Wrap Bag"/>
    <n v="0.38"/>
    <d v="2009-11-05T00:00:00"/>
    <n v="0"/>
    <n v="0"/>
    <n v="1"/>
    <n v="1"/>
  </r>
  <r>
    <n v="4930"/>
    <n v="35077"/>
    <x v="850"/>
    <x v="17"/>
    <s v="High"/>
    <n v="29"/>
    <n v="81.099999999999994"/>
    <n v="0.06"/>
    <s v="Regular Air"/>
    <n v="-2.0699999999999998"/>
    <n v="2.94"/>
    <n v="0.96"/>
    <x v="311"/>
    <x v="6"/>
    <x v="5"/>
    <x v="3"/>
    <x v="0"/>
    <x v="12"/>
    <x v="361"/>
    <s v="Wrap Bag"/>
    <n v="0.57999999999999996"/>
    <d v="2011-10-08T00:00:00"/>
    <n v="0"/>
    <n v="0"/>
    <n v="1"/>
    <n v="0.5"/>
  </r>
  <r>
    <n v="5072"/>
    <n v="36132"/>
    <x v="97"/>
    <x v="13"/>
    <s v="Low"/>
    <n v="3"/>
    <n v="604.57600000000002"/>
    <n v="0.03"/>
    <s v="Delivery Truck"/>
    <n v="-572.68539900000019"/>
    <n v="236.97"/>
    <n v="59.24"/>
    <x v="187"/>
    <x v="6"/>
    <x v="5"/>
    <x v="3"/>
    <x v="2"/>
    <x v="10"/>
    <x v="871"/>
    <s v="Jumbo Box"/>
    <n v="0.61"/>
    <d v="2012-04-14T00:00:00"/>
    <n v="0"/>
    <n v="0"/>
    <n v="1"/>
    <n v="1"/>
  </r>
  <r>
    <n v="5073"/>
    <n v="36133"/>
    <x v="742"/>
    <x v="21"/>
    <s v="Medium"/>
    <n v="6"/>
    <n v="128.56"/>
    <n v="0"/>
    <s v="Regular Air"/>
    <n v="-7.84"/>
    <n v="19.98"/>
    <n v="8.68"/>
    <x v="395"/>
    <x v="6"/>
    <x v="5"/>
    <x v="1"/>
    <x v="0"/>
    <x v="5"/>
    <x v="471"/>
    <s v="Small Box"/>
    <n v="0.37"/>
    <d v="2011-08-21T00:00:00"/>
    <n v="0"/>
    <n v="0"/>
    <n v="1"/>
    <n v="1"/>
  </r>
  <r>
    <n v="5330"/>
    <n v="37891"/>
    <x v="333"/>
    <x v="17"/>
    <s v="High"/>
    <n v="24"/>
    <n v="163.36000000000001"/>
    <n v="0.04"/>
    <s v="Regular Air"/>
    <n v="-65.540000000000006"/>
    <n v="6.48"/>
    <n v="6.6"/>
    <x v="539"/>
    <x v="6"/>
    <x v="5"/>
    <x v="0"/>
    <x v="0"/>
    <x v="5"/>
    <x v="226"/>
    <s v="Small Box"/>
    <n v="0.37"/>
    <d v="2011-10-22T00:00:00"/>
    <n v="0"/>
    <n v="0"/>
    <n v="0.25"/>
    <n v="0.25"/>
  </r>
  <r>
    <n v="5331"/>
    <n v="37891"/>
    <x v="333"/>
    <x v="17"/>
    <s v="High"/>
    <n v="21"/>
    <n v="44.08"/>
    <n v="0.06"/>
    <s v="Express Air"/>
    <n v="-9.09"/>
    <n v="1.98"/>
    <n v="0.7"/>
    <x v="539"/>
    <x v="6"/>
    <x v="5"/>
    <x v="0"/>
    <x v="0"/>
    <x v="6"/>
    <x v="846"/>
    <s v="Wrap Bag"/>
    <n v="0.83"/>
    <d v="2011-10-22T00:00:00"/>
    <n v="0"/>
    <n v="0"/>
    <n v="0.25"/>
    <n v="0.25"/>
  </r>
  <r>
    <n v="5332"/>
    <n v="37891"/>
    <x v="333"/>
    <x v="17"/>
    <s v="High"/>
    <n v="4"/>
    <n v="1135.6400000000001"/>
    <n v="0.02"/>
    <s v="Delivery Truck"/>
    <n v="-627.64115700000002"/>
    <n v="259.70999999999998"/>
    <n v="66.67"/>
    <x v="539"/>
    <x v="6"/>
    <x v="5"/>
    <x v="0"/>
    <x v="2"/>
    <x v="10"/>
    <x v="384"/>
    <s v="Jumbo Box"/>
    <n v="0.61"/>
    <d v="2011-10-20T00:00:00"/>
    <n v="0"/>
    <n v="0"/>
    <n v="0.25"/>
    <n v="0.25"/>
  </r>
  <r>
    <n v="5333"/>
    <n v="37891"/>
    <x v="333"/>
    <x v="17"/>
    <s v="High"/>
    <n v="33"/>
    <n v="5154.009"/>
    <n v="0.03"/>
    <s v="Regular Air"/>
    <n v="1184.6789999999999"/>
    <n v="179.99"/>
    <n v="13.99"/>
    <x v="539"/>
    <x v="6"/>
    <x v="5"/>
    <x v="0"/>
    <x v="1"/>
    <x v="3"/>
    <x v="223"/>
    <s v="Medium Box"/>
    <n v="0.56999999999999995"/>
    <d v="2011-10-22T00:00:00"/>
    <n v="0"/>
    <n v="0"/>
    <n v="0.25"/>
    <n v="0.25"/>
  </r>
  <r>
    <n v="5349"/>
    <n v="38021"/>
    <x v="472"/>
    <x v="22"/>
    <s v="Medium"/>
    <n v="16"/>
    <n v="4407.03"/>
    <n v="0.04"/>
    <s v="Delivery Truck"/>
    <n v="834.96"/>
    <n v="279.81"/>
    <n v="23.19"/>
    <x v="91"/>
    <x v="6"/>
    <x v="5"/>
    <x v="2"/>
    <x v="0"/>
    <x v="1"/>
    <x v="369"/>
    <s v="Jumbo Drum"/>
    <n v="0.59"/>
    <d v="2009-01-22T00:00:00"/>
    <n v="0"/>
    <n v="1"/>
    <n v="0.33333333333333331"/>
    <n v="0.25"/>
  </r>
  <r>
    <n v="5350"/>
    <n v="38021"/>
    <x v="472"/>
    <x v="22"/>
    <s v="Medium"/>
    <n v="36"/>
    <n v="173.22"/>
    <n v="0.02"/>
    <s v="Regular Air"/>
    <n v="81.77"/>
    <n v="4.91"/>
    <n v="0.5"/>
    <x v="91"/>
    <x v="6"/>
    <x v="5"/>
    <x v="2"/>
    <x v="0"/>
    <x v="11"/>
    <x v="999"/>
    <s v="Small Box"/>
    <n v="0.36"/>
    <d v="2009-01-22T00:00:00"/>
    <n v="0"/>
    <n v="1"/>
    <n v="0.33333333333333331"/>
    <n v="0.25"/>
  </r>
  <r>
    <n v="5366"/>
    <n v="38146"/>
    <x v="383"/>
    <x v="25"/>
    <s v="Low"/>
    <n v="41"/>
    <n v="782.05"/>
    <n v="0.08"/>
    <s v="Regular Air"/>
    <n v="-253.74"/>
    <n v="19.940000000000001"/>
    <n v="14.87"/>
    <x v="532"/>
    <x v="6"/>
    <x v="5"/>
    <x v="0"/>
    <x v="2"/>
    <x v="4"/>
    <x v="252"/>
    <s v="Large Box"/>
    <n v="0.56999999999999995"/>
    <d v="2011-12-07T00:00:00"/>
    <n v="0"/>
    <n v="0"/>
    <n v="0.5"/>
    <n v="0.5"/>
  </r>
  <r>
    <n v="5441"/>
    <n v="38656"/>
    <x v="567"/>
    <x v="9"/>
    <s v="Low"/>
    <n v="41"/>
    <n v="162.51"/>
    <n v="0.09"/>
    <s v="Regular Air"/>
    <n v="-148.39599999999999"/>
    <n v="4.13"/>
    <n v="5.34"/>
    <x v="164"/>
    <x v="6"/>
    <x v="5"/>
    <x v="1"/>
    <x v="0"/>
    <x v="2"/>
    <x v="528"/>
    <s v="Small Box"/>
    <n v="0.38"/>
    <d v="2012-08-17T00:00:00"/>
    <n v="0"/>
    <n v="0"/>
    <n v="0.33333333333333331"/>
    <n v="0.33333333333333331"/>
  </r>
  <r>
    <n v="5442"/>
    <n v="38656"/>
    <x v="567"/>
    <x v="9"/>
    <s v="Low"/>
    <n v="3"/>
    <n v="561.42999999999995"/>
    <n v="7.0000000000000007E-2"/>
    <s v="Delivery Truck"/>
    <n v="-199.46"/>
    <n v="180.98"/>
    <n v="26.2"/>
    <x v="164"/>
    <x v="6"/>
    <x v="5"/>
    <x v="1"/>
    <x v="2"/>
    <x v="14"/>
    <x v="155"/>
    <s v="Jumbo Drum"/>
    <n v="0.59"/>
    <d v="2012-08-15T00:00:00"/>
    <n v="0"/>
    <n v="0"/>
    <n v="0.33333333333333331"/>
    <n v="0.33333333333333331"/>
  </r>
  <r>
    <n v="5456"/>
    <n v="38756"/>
    <x v="1195"/>
    <x v="43"/>
    <s v="Critical"/>
    <n v="43"/>
    <n v="2251.4970000000003"/>
    <n v="0.09"/>
    <s v="Express Air"/>
    <n v="308.93399999999997"/>
    <n v="65.989999999999995"/>
    <n v="8.99"/>
    <x v="540"/>
    <x v="6"/>
    <x v="5"/>
    <x v="2"/>
    <x v="1"/>
    <x v="3"/>
    <x v="403"/>
    <s v="Small Box"/>
    <n v="0.56000000000000005"/>
    <d v="2009-05-09T00:00:00"/>
    <n v="0"/>
    <n v="0"/>
    <n v="1"/>
    <n v="1"/>
  </r>
  <r>
    <n v="5545"/>
    <n v="39268"/>
    <x v="617"/>
    <x v="37"/>
    <s v="Not Specified"/>
    <n v="44"/>
    <n v="324.2"/>
    <n v="0.02"/>
    <s v="Express Air"/>
    <n v="-89.746000000000009"/>
    <n v="7.1"/>
    <n v="6.05"/>
    <x v="530"/>
    <x v="6"/>
    <x v="5"/>
    <x v="2"/>
    <x v="0"/>
    <x v="2"/>
    <x v="310"/>
    <s v="Small Box"/>
    <n v="0.39"/>
    <d v="2011-04-24T00:00:00"/>
    <n v="0"/>
    <n v="0"/>
    <n v="0.5"/>
    <n v="0.5"/>
  </r>
  <r>
    <n v="5546"/>
    <n v="39268"/>
    <x v="617"/>
    <x v="37"/>
    <s v="Not Specified"/>
    <n v="45"/>
    <n v="156.94999999999999"/>
    <n v="0.1"/>
    <s v="Regular Air"/>
    <n v="-32.520000000000003"/>
    <n v="3.74"/>
    <n v="0.94"/>
    <x v="530"/>
    <x v="6"/>
    <x v="5"/>
    <x v="2"/>
    <x v="0"/>
    <x v="6"/>
    <x v="1050"/>
    <s v="Wrap Bag"/>
    <n v="0.83"/>
    <d v="2011-04-25T00:00:00"/>
    <n v="0"/>
    <n v="0"/>
    <n v="0.5"/>
    <n v="0.5"/>
  </r>
  <r>
    <n v="5572"/>
    <n v="39488"/>
    <x v="109"/>
    <x v="41"/>
    <s v="Low"/>
    <n v="18"/>
    <n v="92.4"/>
    <n v="0.04"/>
    <s v="Express Air"/>
    <n v="8.6"/>
    <n v="4.4800000000000004"/>
    <n v="2.5"/>
    <x v="311"/>
    <x v="6"/>
    <x v="5"/>
    <x v="3"/>
    <x v="0"/>
    <x v="8"/>
    <x v="660"/>
    <s v="Small Box"/>
    <n v="0.37"/>
    <d v="2009-06-26T00:00:00"/>
    <n v="0"/>
    <n v="0"/>
    <n v="1"/>
    <n v="1"/>
  </r>
  <r>
    <n v="5591"/>
    <n v="39650"/>
    <x v="906"/>
    <x v="42"/>
    <s v="Not Specified"/>
    <n v="10"/>
    <n v="1004.89"/>
    <n v="0"/>
    <s v="Delivery Truck"/>
    <n v="-189.02"/>
    <n v="89.99"/>
    <n v="42"/>
    <x v="534"/>
    <x v="6"/>
    <x v="5"/>
    <x v="0"/>
    <x v="2"/>
    <x v="14"/>
    <x v="668"/>
    <s v="Jumbo Drum"/>
    <n v="0.66"/>
    <d v="2010-08-02T00:00:00"/>
    <n v="0"/>
    <n v="0"/>
    <n v="0.5"/>
    <n v="0.5"/>
  </r>
  <r>
    <n v="5592"/>
    <n v="39650"/>
    <x v="906"/>
    <x v="42"/>
    <s v="Not Specified"/>
    <n v="47"/>
    <n v="329.06"/>
    <n v="0.08"/>
    <s v="Regular Air"/>
    <n v="-175.15"/>
    <n v="7.28"/>
    <n v="7.98"/>
    <x v="534"/>
    <x v="6"/>
    <x v="5"/>
    <x v="0"/>
    <x v="2"/>
    <x v="4"/>
    <x v="994"/>
    <s v="Wrap Bag"/>
    <n v="0.42"/>
    <d v="2010-07-31T00:00:00"/>
    <n v="0"/>
    <n v="0"/>
    <n v="0.5"/>
    <n v="0.5"/>
  </r>
  <r>
    <n v="5626"/>
    <n v="39844"/>
    <x v="866"/>
    <x v="47"/>
    <s v="Not Specified"/>
    <n v="47"/>
    <n v="4387.24"/>
    <n v="0.09"/>
    <s v="Regular Air"/>
    <n v="-286.47000000000003"/>
    <n v="95.43"/>
    <n v="19.989999999999998"/>
    <x v="83"/>
    <x v="6"/>
    <x v="5"/>
    <x v="2"/>
    <x v="0"/>
    <x v="0"/>
    <x v="254"/>
    <s v="Small Box"/>
    <n v="0.79"/>
    <d v="2009-12-02T00:00:00"/>
    <n v="0"/>
    <n v="0"/>
    <n v="1"/>
    <n v="1"/>
  </r>
  <r>
    <n v="5740"/>
    <n v="40800"/>
    <x v="384"/>
    <x v="15"/>
    <s v="Not Specified"/>
    <n v="41"/>
    <n v="260.31"/>
    <n v="0.05"/>
    <s v="Regular Air"/>
    <n v="-175.26"/>
    <n v="6.48"/>
    <n v="7.91"/>
    <x v="83"/>
    <x v="6"/>
    <x v="5"/>
    <x v="2"/>
    <x v="0"/>
    <x v="5"/>
    <x v="952"/>
    <s v="Small Box"/>
    <n v="0.37"/>
    <d v="2010-12-04T00:00:00"/>
    <n v="0"/>
    <n v="0"/>
    <n v="0.5"/>
    <n v="0.5"/>
  </r>
  <r>
    <n v="5773"/>
    <n v="40965"/>
    <x v="626"/>
    <x v="11"/>
    <s v="Medium"/>
    <n v="48"/>
    <n v="7227.42"/>
    <n v="0.09"/>
    <s v="Delivery Truck"/>
    <n v="-385.00447700000007"/>
    <n v="159.31"/>
    <n v="60"/>
    <x v="138"/>
    <x v="6"/>
    <x v="5"/>
    <x v="2"/>
    <x v="2"/>
    <x v="10"/>
    <x v="740"/>
    <s v="Jumbo Drum"/>
    <n v="0.55000000000000004"/>
    <d v="2009-11-22T00:00:00"/>
    <n v="0"/>
    <n v="0"/>
    <n v="0.33333333333333331"/>
    <n v="0.16666666666666666"/>
  </r>
  <r>
    <n v="5774"/>
    <n v="40965"/>
    <x v="626"/>
    <x v="11"/>
    <s v="Medium"/>
    <n v="39"/>
    <n v="1836.1869999999997"/>
    <n v="0.06"/>
    <s v="Regular Air"/>
    <n v="-139.84299999999999"/>
    <n v="55.99"/>
    <n v="5"/>
    <x v="138"/>
    <x v="6"/>
    <x v="5"/>
    <x v="2"/>
    <x v="1"/>
    <x v="3"/>
    <x v="140"/>
    <s v="Small Pack"/>
    <n v="0.83"/>
    <d v="2009-11-22T00:00:00"/>
    <n v="0"/>
    <n v="0"/>
    <n v="0.33333333333333331"/>
    <n v="0.16666666666666666"/>
  </r>
  <r>
    <n v="5822"/>
    <n v="41316"/>
    <x v="631"/>
    <x v="36"/>
    <s v="Not Specified"/>
    <n v="8"/>
    <n v="121.74"/>
    <n v="0.01"/>
    <s v="Regular Air"/>
    <n v="21.003500000000003"/>
    <n v="14.28"/>
    <n v="2.99"/>
    <x v="164"/>
    <x v="6"/>
    <x v="5"/>
    <x v="1"/>
    <x v="0"/>
    <x v="2"/>
    <x v="992"/>
    <s v="Small Box"/>
    <n v="0.39"/>
    <d v="2009-07-22T00:00:00"/>
    <n v="0"/>
    <n v="0"/>
    <n v="0.5"/>
    <n v="0.33333333333333331"/>
  </r>
  <r>
    <n v="5823"/>
    <n v="41316"/>
    <x v="631"/>
    <x v="36"/>
    <s v="Not Specified"/>
    <n v="4"/>
    <n v="700.36599999999999"/>
    <n v="0"/>
    <s v="Regular Air"/>
    <n v="-787.69900000000007"/>
    <n v="205.99"/>
    <n v="5.99"/>
    <x v="164"/>
    <x v="6"/>
    <x v="5"/>
    <x v="1"/>
    <x v="1"/>
    <x v="3"/>
    <x v="556"/>
    <s v="Small Box"/>
    <n v="0.59"/>
    <d v="2009-07-24T00:00:00"/>
    <n v="0"/>
    <n v="0"/>
    <n v="0.5"/>
    <n v="0.33333333333333331"/>
  </r>
  <r>
    <n v="5847"/>
    <n v="41476"/>
    <x v="1031"/>
    <x v="39"/>
    <s v="High"/>
    <n v="48"/>
    <n v="92.25"/>
    <n v="7.0000000000000007E-2"/>
    <s v="Regular Air"/>
    <n v="-104.8"/>
    <n v="1.86"/>
    <n v="2.58"/>
    <x v="138"/>
    <x v="6"/>
    <x v="5"/>
    <x v="2"/>
    <x v="0"/>
    <x v="6"/>
    <x v="613"/>
    <s v="Wrap Bag"/>
    <n v="0.82"/>
    <d v="2010-06-01T00:00:00"/>
    <n v="0"/>
    <n v="0"/>
    <n v="1"/>
    <n v="1"/>
  </r>
  <r>
    <n v="5905"/>
    <n v="41861"/>
    <x v="1234"/>
    <x v="7"/>
    <s v="Low"/>
    <n v="24"/>
    <n v="475.9"/>
    <n v="0.02"/>
    <s v="Regular Air"/>
    <n v="110.44"/>
    <n v="19.98"/>
    <n v="5.97"/>
    <x v="536"/>
    <x v="6"/>
    <x v="5"/>
    <x v="2"/>
    <x v="0"/>
    <x v="5"/>
    <x v="71"/>
    <s v="Small Box"/>
    <n v="0.38"/>
    <d v="2010-11-28T00:00:00"/>
    <n v="0"/>
    <n v="0"/>
    <n v="1"/>
    <n v="1"/>
  </r>
  <r>
    <n v="5956"/>
    <n v="42274"/>
    <x v="1235"/>
    <x v="31"/>
    <s v="High"/>
    <n v="23"/>
    <n v="2296.7600000000002"/>
    <n v="0.01"/>
    <s v="Regular Air"/>
    <n v="241.15"/>
    <n v="99.99"/>
    <n v="19.989999999999998"/>
    <x v="306"/>
    <x v="6"/>
    <x v="5"/>
    <x v="3"/>
    <x v="1"/>
    <x v="7"/>
    <x v="218"/>
    <s v="Small Box"/>
    <n v="0.52"/>
    <d v="2011-09-05T00:00:00"/>
    <n v="0"/>
    <n v="0"/>
    <n v="0.5"/>
    <n v="0.5"/>
  </r>
  <r>
    <n v="5957"/>
    <n v="42274"/>
    <x v="1235"/>
    <x v="31"/>
    <s v="High"/>
    <n v="45"/>
    <n v="508.49"/>
    <n v="0.1"/>
    <s v="Express Air"/>
    <n v="-28.81"/>
    <n v="12.07"/>
    <n v="6.2"/>
    <x v="306"/>
    <x v="6"/>
    <x v="5"/>
    <x v="3"/>
    <x v="2"/>
    <x v="4"/>
    <x v="1180"/>
    <s v="Wrap Bag"/>
    <n v="0.52"/>
    <d v="2011-09-05T00:00:00"/>
    <n v="0"/>
    <n v="0"/>
    <n v="0.5"/>
    <n v="0.5"/>
  </r>
  <r>
    <n v="6048"/>
    <n v="42882"/>
    <x v="976"/>
    <x v="0"/>
    <s v="Low"/>
    <n v="17"/>
    <n v="204.07"/>
    <n v="0.08"/>
    <s v="Express Air"/>
    <n v="-22.55"/>
    <n v="11.97"/>
    <n v="4.9800000000000004"/>
    <x v="311"/>
    <x v="6"/>
    <x v="5"/>
    <x v="3"/>
    <x v="0"/>
    <x v="1"/>
    <x v="165"/>
    <s v="Small Box"/>
    <n v="0.57999999999999996"/>
    <d v="2010-10-29T00:00:00"/>
    <n v="0"/>
    <n v="0"/>
    <n v="1"/>
    <n v="1"/>
  </r>
  <r>
    <n v="6121"/>
    <n v="43360"/>
    <x v="871"/>
    <x v="19"/>
    <s v="Low"/>
    <n v="48"/>
    <n v="112.16"/>
    <n v="0"/>
    <s v="Regular Air"/>
    <n v="-178.29"/>
    <n v="2.08"/>
    <n v="5.33"/>
    <x v="528"/>
    <x v="6"/>
    <x v="5"/>
    <x v="3"/>
    <x v="2"/>
    <x v="4"/>
    <x v="109"/>
    <s v="Small Box"/>
    <n v="0.43"/>
    <d v="2009-10-20T00:00:00"/>
    <n v="0"/>
    <n v="0"/>
    <n v="1"/>
    <n v="1"/>
  </r>
  <r>
    <n v="6167"/>
    <n v="43713"/>
    <x v="1236"/>
    <x v="34"/>
    <s v="Medium"/>
    <n v="12"/>
    <n v="34.409999999999997"/>
    <n v="0.05"/>
    <s v="Regular Air"/>
    <n v="-17.690000000000001"/>
    <n v="2.6"/>
    <n v="2.4"/>
    <x v="522"/>
    <x v="6"/>
    <x v="5"/>
    <x v="0"/>
    <x v="0"/>
    <x v="12"/>
    <x v="269"/>
    <s v="Wrap Bag"/>
    <n v="0.57999999999999996"/>
    <d v="2012-09-09T00:00:00"/>
    <n v="0"/>
    <n v="0"/>
    <n v="1"/>
    <n v="1"/>
  </r>
  <r>
    <n v="6262"/>
    <n v="44322"/>
    <x v="719"/>
    <x v="17"/>
    <s v="Not Specified"/>
    <n v="15"/>
    <n v="600.79999999999995"/>
    <n v="0.1"/>
    <s v="Regular Air"/>
    <n v="43.55"/>
    <n v="42.76"/>
    <n v="6.22"/>
    <x v="528"/>
    <x v="6"/>
    <x v="5"/>
    <x v="3"/>
    <x v="0"/>
    <x v="0"/>
    <x v="7"/>
    <s v="Small Box"/>
    <m/>
    <d v="2011-10-14T00:00:00"/>
    <n v="0"/>
    <n v="0"/>
    <n v="1"/>
    <n v="1"/>
  </r>
  <r>
    <n v="6297"/>
    <n v="44579"/>
    <x v="261"/>
    <x v="4"/>
    <s v="Not Specified"/>
    <n v="19"/>
    <n v="3896.39"/>
    <n v="0.1"/>
    <s v="Regular Air"/>
    <n v="755.28"/>
    <n v="218.08"/>
    <n v="18.059999999999999"/>
    <x v="538"/>
    <x v="6"/>
    <x v="5"/>
    <x v="0"/>
    <x v="2"/>
    <x v="14"/>
    <x v="86"/>
    <s v="Large Box"/>
    <n v="0.56999999999999995"/>
    <d v="2011-06-04T00:00:00"/>
    <n v="0"/>
    <n v="0"/>
    <n v="1"/>
    <n v="1"/>
  </r>
  <r>
    <n v="6320"/>
    <n v="44737"/>
    <x v="308"/>
    <x v="32"/>
    <s v="Medium"/>
    <n v="11"/>
    <n v="773.74"/>
    <n v="0.02"/>
    <s v="Regular Air"/>
    <n v="-309.48"/>
    <n v="64.650000000000006"/>
    <n v="35"/>
    <x v="216"/>
    <x v="6"/>
    <x v="5"/>
    <x v="3"/>
    <x v="0"/>
    <x v="0"/>
    <x v="809"/>
    <s v="Large Box"/>
    <n v="0.8"/>
    <d v="2012-11-20T00:00:00"/>
    <n v="0"/>
    <n v="0"/>
    <n v="0.5"/>
    <n v="0.5"/>
  </r>
  <r>
    <n v="6321"/>
    <n v="44737"/>
    <x v="308"/>
    <x v="32"/>
    <s v="Medium"/>
    <n v="16"/>
    <n v="302.13249999999999"/>
    <n v="0.02"/>
    <s v="Regular Air"/>
    <n v="38.906999999999996"/>
    <n v="20.99"/>
    <n v="0.99"/>
    <x v="216"/>
    <x v="6"/>
    <x v="5"/>
    <x v="3"/>
    <x v="1"/>
    <x v="3"/>
    <x v="652"/>
    <s v="Wrap Bag"/>
    <n v="0.56999999999999995"/>
    <d v="2012-11-21T00:00:00"/>
    <n v="0"/>
    <n v="0"/>
    <n v="0.5"/>
    <n v="0.5"/>
  </r>
  <r>
    <n v="6322"/>
    <n v="44738"/>
    <x v="112"/>
    <x v="15"/>
    <s v="Not Specified"/>
    <n v="34"/>
    <n v="75.569999999999993"/>
    <n v="0.02"/>
    <s v="Regular Air"/>
    <n v="6.87"/>
    <n v="2.1"/>
    <n v="0.7"/>
    <x v="528"/>
    <x v="6"/>
    <x v="5"/>
    <x v="3"/>
    <x v="0"/>
    <x v="12"/>
    <x v="1145"/>
    <s v="Wrap Bag"/>
    <n v="0.56999999999999995"/>
    <d v="2010-12-07T00:00:00"/>
    <n v="0"/>
    <n v="0"/>
    <n v="1"/>
    <n v="0.33333333333333331"/>
  </r>
  <r>
    <n v="6323"/>
    <n v="44768"/>
    <x v="321"/>
    <x v="20"/>
    <s v="Not Specified"/>
    <n v="45"/>
    <n v="16699.560000000001"/>
    <n v="0.02"/>
    <s v="Delivery Truck"/>
    <n v="3083.98"/>
    <n v="355.98"/>
    <n v="58.92"/>
    <x v="138"/>
    <x v="6"/>
    <x v="5"/>
    <x v="2"/>
    <x v="2"/>
    <x v="14"/>
    <x v="145"/>
    <s v="Jumbo Drum"/>
    <n v="0.64"/>
    <d v="2012-05-27T00:00:00"/>
    <n v="0"/>
    <n v="0"/>
    <n v="1"/>
    <n v="1"/>
  </r>
  <r>
    <n v="6332"/>
    <n v="44867"/>
    <x v="442"/>
    <x v="36"/>
    <s v="High"/>
    <n v="40"/>
    <n v="21425.91"/>
    <n v="0.01"/>
    <s v="Delivery Truck"/>
    <n v="7360.43"/>
    <n v="500.98"/>
    <n v="26"/>
    <x v="528"/>
    <x v="6"/>
    <x v="5"/>
    <x v="3"/>
    <x v="2"/>
    <x v="14"/>
    <x v="38"/>
    <s v="Jumbo Drum"/>
    <n v="0.6"/>
    <d v="2009-07-28T00:00:00"/>
    <n v="0"/>
    <n v="0"/>
    <n v="1"/>
    <n v="1"/>
  </r>
  <r>
    <n v="6352"/>
    <n v="45029"/>
    <x v="122"/>
    <x v="42"/>
    <s v="High"/>
    <n v="20"/>
    <n v="5304.42"/>
    <n v="0.01"/>
    <s v="Delivery Truck"/>
    <n v="-633.44123700000023"/>
    <n v="262.11"/>
    <n v="62.74"/>
    <x v="438"/>
    <x v="6"/>
    <x v="5"/>
    <x v="1"/>
    <x v="2"/>
    <x v="10"/>
    <x v="89"/>
    <s v="Jumbo Box"/>
    <n v="0.75"/>
    <d v="2010-07-03T00:00:00"/>
    <n v="0"/>
    <n v="0"/>
    <n v="1"/>
    <n v="1"/>
  </r>
  <r>
    <n v="6410"/>
    <n v="45543"/>
    <x v="1045"/>
    <x v="44"/>
    <s v="Low"/>
    <n v="16"/>
    <n v="1223.43"/>
    <n v="0.01"/>
    <s v="Delivery Truck"/>
    <n v="-1615.5854000000002"/>
    <n v="70.89"/>
    <n v="89.3"/>
    <x v="541"/>
    <x v="6"/>
    <x v="5"/>
    <x v="2"/>
    <x v="2"/>
    <x v="10"/>
    <x v="818"/>
    <s v="Jumbo Box"/>
    <n v="0.69"/>
    <d v="2011-02-06T00:00:00"/>
    <n v="0"/>
    <n v="0"/>
    <n v="1"/>
    <n v="1"/>
  </r>
  <r>
    <n v="6422"/>
    <n v="45635"/>
    <x v="241"/>
    <x v="13"/>
    <s v="Low"/>
    <n v="50"/>
    <n v="2018.68"/>
    <n v="0.1"/>
    <s v="Regular Air"/>
    <n v="731.72"/>
    <n v="43.98"/>
    <n v="1.99"/>
    <x v="541"/>
    <x v="6"/>
    <x v="5"/>
    <x v="2"/>
    <x v="1"/>
    <x v="7"/>
    <x v="138"/>
    <s v="Small Pack"/>
    <n v="0.44"/>
    <d v="2012-04-16T00:00:00"/>
    <n v="0"/>
    <n v="0"/>
    <n v="1"/>
    <n v="1"/>
  </r>
  <r>
    <n v="6525"/>
    <n v="46436"/>
    <x v="460"/>
    <x v="46"/>
    <s v="Low"/>
    <n v="46"/>
    <n v="1477.5719999999999"/>
    <n v="0"/>
    <s v="Regular Air"/>
    <n v="840.05099999999993"/>
    <n v="35.99"/>
    <n v="0.99"/>
    <x v="522"/>
    <x v="6"/>
    <x v="5"/>
    <x v="0"/>
    <x v="1"/>
    <x v="3"/>
    <x v="312"/>
    <s v="Small Pack"/>
    <n v="0.35"/>
    <d v="2009-04-11T00:00:00"/>
    <n v="0"/>
    <n v="0"/>
    <n v="1"/>
    <n v="0.2"/>
  </r>
  <r>
    <n v="6577"/>
    <n v="46848"/>
    <x v="410"/>
    <x v="11"/>
    <s v="Medium"/>
    <n v="39"/>
    <n v="3842.99"/>
    <n v="0.04"/>
    <s v="Regular Air"/>
    <n v="-67.680000000000007"/>
    <n v="95.43"/>
    <n v="19.989999999999998"/>
    <x v="164"/>
    <x v="6"/>
    <x v="5"/>
    <x v="0"/>
    <x v="0"/>
    <x v="0"/>
    <x v="254"/>
    <s v="Small Box"/>
    <n v="0.79"/>
    <d v="2009-11-12T00:00:00"/>
    <n v="0"/>
    <n v="0"/>
    <n v="1"/>
    <n v="0.33333333333333331"/>
  </r>
  <r>
    <n v="6605"/>
    <n v="47009"/>
    <x v="1161"/>
    <x v="41"/>
    <s v="Critical"/>
    <n v="32"/>
    <n v="1587.16"/>
    <n v="0.09"/>
    <s v="Express Air"/>
    <n v="-22.33"/>
    <n v="49.99"/>
    <n v="19.989999999999998"/>
    <x v="538"/>
    <x v="6"/>
    <x v="5"/>
    <x v="0"/>
    <x v="1"/>
    <x v="7"/>
    <x v="1137"/>
    <s v="Small Box"/>
    <n v="0.45"/>
    <d v="2009-06-06T00:00:00"/>
    <n v="0"/>
    <n v="0"/>
    <n v="1"/>
    <n v="1"/>
  </r>
  <r>
    <n v="6627"/>
    <n v="47138"/>
    <x v="820"/>
    <x v="22"/>
    <s v="Low"/>
    <n v="1"/>
    <n v="107.95"/>
    <n v="0.04"/>
    <s v="Regular Air"/>
    <n v="-506.30799999999999"/>
    <n v="125.99"/>
    <n v="8.99"/>
    <x v="540"/>
    <x v="6"/>
    <x v="5"/>
    <x v="2"/>
    <x v="1"/>
    <x v="3"/>
    <x v="713"/>
    <s v="Small Box"/>
    <n v="0.59"/>
    <d v="2009-01-16T00:00:00"/>
    <n v="0"/>
    <n v="1"/>
    <n v="1"/>
    <n v="1"/>
  </r>
  <r>
    <n v="6642"/>
    <n v="47236"/>
    <x v="641"/>
    <x v="17"/>
    <s v="High"/>
    <n v="1"/>
    <n v="70.91"/>
    <n v="0.03"/>
    <s v="Regular Air"/>
    <n v="-45.43"/>
    <n v="70.97"/>
    <n v="3.5"/>
    <x v="311"/>
    <x v="6"/>
    <x v="5"/>
    <x v="3"/>
    <x v="0"/>
    <x v="1"/>
    <x v="1023"/>
    <s v="Small Box"/>
    <n v="0.59"/>
    <d v="2011-10-04T00:00:00"/>
    <n v="0"/>
    <n v="0"/>
    <n v="1"/>
    <n v="0.5"/>
  </r>
  <r>
    <n v="6697"/>
    <n v="47686"/>
    <x v="1237"/>
    <x v="1"/>
    <s v="Not Specified"/>
    <n v="48"/>
    <n v="179.65"/>
    <n v="0.1"/>
    <s v="Regular Air"/>
    <n v="3.32"/>
    <n v="4.13"/>
    <n v="1.23"/>
    <x v="311"/>
    <x v="6"/>
    <x v="5"/>
    <x v="3"/>
    <x v="0"/>
    <x v="12"/>
    <x v="1058"/>
    <s v="Wrap Bag"/>
    <n v="0.55000000000000004"/>
    <d v="2012-10-13T00:00:00"/>
    <n v="0"/>
    <n v="0"/>
    <n v="1"/>
    <n v="1"/>
  </r>
  <r>
    <n v="6738"/>
    <n v="47971"/>
    <x v="149"/>
    <x v="1"/>
    <s v="High"/>
    <n v="24"/>
    <n v="113.43"/>
    <n v="0.09"/>
    <s v="Regular Air"/>
    <n v="-53.06"/>
    <n v="4.95"/>
    <n v="5.32"/>
    <x v="216"/>
    <x v="6"/>
    <x v="5"/>
    <x v="3"/>
    <x v="2"/>
    <x v="4"/>
    <x v="1150"/>
    <s v="Small Box"/>
    <n v="0.41"/>
    <d v="2012-10-30T00:00:00"/>
    <n v="0"/>
    <n v="0"/>
    <n v="1"/>
    <n v="1"/>
  </r>
  <r>
    <n v="6777"/>
    <n v="48261"/>
    <x v="764"/>
    <x v="5"/>
    <s v="Medium"/>
    <n v="15"/>
    <n v="2130.66"/>
    <n v="0.01"/>
    <s v="Delivery Truck"/>
    <n v="-113.77"/>
    <n v="130.97999999999999"/>
    <n v="30"/>
    <x v="311"/>
    <x v="6"/>
    <x v="5"/>
    <x v="3"/>
    <x v="2"/>
    <x v="14"/>
    <x v="156"/>
    <s v="Jumbo Drum"/>
    <n v="0.78"/>
    <d v="2011-03-19T00:00:00"/>
    <n v="0"/>
    <n v="0"/>
    <n v="1"/>
    <n v="1"/>
  </r>
  <r>
    <n v="6849"/>
    <n v="48773"/>
    <x v="44"/>
    <x v="22"/>
    <s v="Medium"/>
    <n v="7"/>
    <n v="51.27"/>
    <n v="0.06"/>
    <s v="Regular Air"/>
    <n v="3.27"/>
    <n v="7.04"/>
    <n v="2.17"/>
    <x v="297"/>
    <x v="6"/>
    <x v="5"/>
    <x v="0"/>
    <x v="0"/>
    <x v="5"/>
    <x v="135"/>
    <s v="Wrap Bag"/>
    <n v="0.38"/>
    <d v="2009-01-17T00:00:00"/>
    <n v="0"/>
    <n v="1"/>
    <n v="1"/>
    <n v="1"/>
  </r>
  <r>
    <n v="6864"/>
    <n v="48902"/>
    <x v="88"/>
    <x v="1"/>
    <s v="Medium"/>
    <n v="7"/>
    <n v="53.29"/>
    <n v="0.01"/>
    <s v="Regular Air"/>
    <n v="-28.88"/>
    <n v="6.48"/>
    <n v="7.49"/>
    <x v="540"/>
    <x v="6"/>
    <x v="5"/>
    <x v="2"/>
    <x v="0"/>
    <x v="5"/>
    <x v="496"/>
    <s v="Small Box"/>
    <n v="0.37"/>
    <d v="2012-10-25T00:00:00"/>
    <n v="0"/>
    <n v="0"/>
    <n v="1"/>
    <n v="1"/>
  </r>
  <r>
    <n v="6904"/>
    <n v="49221"/>
    <x v="122"/>
    <x v="42"/>
    <s v="Not Specified"/>
    <n v="22"/>
    <n v="399.64"/>
    <n v="0.04"/>
    <s v="Regular Air"/>
    <n v="-15.416399999999999"/>
    <n v="17.98"/>
    <n v="8.51"/>
    <x v="530"/>
    <x v="6"/>
    <x v="5"/>
    <x v="2"/>
    <x v="1"/>
    <x v="16"/>
    <x v="168"/>
    <s v="Medium Box"/>
    <n v="0.4"/>
    <d v="2010-07-04T00:00:00"/>
    <n v="0"/>
    <n v="0"/>
    <n v="0.5"/>
    <n v="0.5"/>
  </r>
  <r>
    <n v="6905"/>
    <n v="49221"/>
    <x v="122"/>
    <x v="42"/>
    <s v="Not Specified"/>
    <n v="41"/>
    <n v="277.35000000000002"/>
    <n v="0.02"/>
    <s v="Regular Air"/>
    <n v="-103.28"/>
    <n v="6.48"/>
    <n v="6.57"/>
    <x v="530"/>
    <x v="6"/>
    <x v="5"/>
    <x v="2"/>
    <x v="0"/>
    <x v="5"/>
    <x v="141"/>
    <s v="Small Box"/>
    <n v="0.37"/>
    <d v="2010-07-04T00:00:00"/>
    <n v="0"/>
    <n v="0"/>
    <n v="0.5"/>
    <n v="0.5"/>
  </r>
  <r>
    <n v="6907"/>
    <n v="49255"/>
    <x v="1238"/>
    <x v="8"/>
    <s v="High"/>
    <n v="20"/>
    <n v="1357.44"/>
    <n v="0.09"/>
    <s v="Delivery Truck"/>
    <n v="-102.3"/>
    <n v="70.98"/>
    <n v="26.85"/>
    <x v="138"/>
    <x v="6"/>
    <x v="5"/>
    <x v="2"/>
    <x v="2"/>
    <x v="9"/>
    <x v="1117"/>
    <s v="Jumbo Box"/>
    <m/>
    <d v="2012-06-23T00:00:00"/>
    <n v="0"/>
    <n v="0"/>
    <n v="1"/>
    <n v="0.33333333333333331"/>
  </r>
  <r>
    <n v="6942"/>
    <n v="49575"/>
    <x v="1239"/>
    <x v="15"/>
    <s v="High"/>
    <n v="12"/>
    <n v="507.44"/>
    <n v="0.05"/>
    <s v="Regular Air"/>
    <n v="170.90100000000001"/>
    <n v="42.8"/>
    <n v="2.99"/>
    <x v="536"/>
    <x v="6"/>
    <x v="5"/>
    <x v="2"/>
    <x v="0"/>
    <x v="2"/>
    <x v="875"/>
    <s v="Small Box"/>
    <n v="0.36"/>
    <d v="2010-12-17T00:00:00"/>
    <n v="0"/>
    <n v="0"/>
    <n v="1"/>
    <n v="1"/>
  </r>
  <r>
    <n v="7023"/>
    <n v="50144"/>
    <x v="805"/>
    <x v="8"/>
    <s v="Critical"/>
    <n v="36"/>
    <n v="4169.93"/>
    <n v="0.1"/>
    <s v="Express Air"/>
    <n v="1765.5350000000001"/>
    <n v="120.98"/>
    <n v="9.07"/>
    <x v="311"/>
    <x v="6"/>
    <x v="5"/>
    <x v="3"/>
    <x v="0"/>
    <x v="2"/>
    <x v="352"/>
    <s v="Small Box"/>
    <n v="0.35"/>
    <d v="2012-06-07T00:00:00"/>
    <n v="0"/>
    <n v="0"/>
    <n v="1"/>
    <n v="1"/>
  </r>
  <r>
    <n v="7030"/>
    <n v="50181"/>
    <x v="629"/>
    <x v="20"/>
    <s v="High"/>
    <n v="2"/>
    <n v="289.73"/>
    <n v="0.04"/>
    <s v="Delivery Truck"/>
    <n v="-246.21"/>
    <n v="135.99"/>
    <n v="28.63"/>
    <x v="522"/>
    <x v="6"/>
    <x v="5"/>
    <x v="0"/>
    <x v="2"/>
    <x v="14"/>
    <x v="333"/>
    <s v="Jumbo Drum"/>
    <n v="0.76"/>
    <d v="2012-05-31T00:00:00"/>
    <n v="0"/>
    <n v="0"/>
    <n v="1"/>
    <n v="1"/>
  </r>
  <r>
    <n v="7346"/>
    <n v="52324"/>
    <x v="151"/>
    <x v="8"/>
    <s v="Not Specified"/>
    <n v="4"/>
    <n v="757.11"/>
    <n v="7.0000000000000007E-2"/>
    <s v="Delivery Truck"/>
    <n v="-224.35"/>
    <n v="180.98"/>
    <n v="30"/>
    <x v="187"/>
    <x v="6"/>
    <x v="5"/>
    <x v="0"/>
    <x v="2"/>
    <x v="14"/>
    <x v="741"/>
    <s v="Jumbo Drum"/>
    <n v="0.69"/>
    <d v="2012-06-30T00:00:00"/>
    <n v="0"/>
    <n v="0"/>
    <n v="1"/>
    <n v="0.5"/>
  </r>
  <r>
    <n v="7414"/>
    <n v="52896"/>
    <x v="596"/>
    <x v="0"/>
    <s v="High"/>
    <n v="24"/>
    <n v="8920.08"/>
    <n v="0"/>
    <s v="Regular Air"/>
    <n v="3545.8940000000002"/>
    <n v="367.99"/>
    <n v="19.989999999999998"/>
    <x v="306"/>
    <x v="6"/>
    <x v="5"/>
    <x v="3"/>
    <x v="0"/>
    <x v="2"/>
    <x v="1147"/>
    <s v="Small Box"/>
    <n v="0.4"/>
    <d v="2010-10-25T00:00:00"/>
    <n v="0"/>
    <n v="0"/>
    <n v="0.2"/>
    <n v="0.2"/>
  </r>
  <r>
    <n v="7415"/>
    <n v="52896"/>
    <x v="596"/>
    <x v="0"/>
    <s v="High"/>
    <n v="49"/>
    <n v="188.7"/>
    <n v="7.0000000000000007E-2"/>
    <s v="Regular Air"/>
    <n v="77.02"/>
    <n v="4.13"/>
    <n v="0.5"/>
    <x v="306"/>
    <x v="6"/>
    <x v="5"/>
    <x v="3"/>
    <x v="0"/>
    <x v="11"/>
    <x v="84"/>
    <s v="Small Box"/>
    <n v="0.39"/>
    <d v="2010-10-25T00:00:00"/>
    <n v="0"/>
    <n v="0"/>
    <n v="0.2"/>
    <n v="0.2"/>
  </r>
  <r>
    <n v="7416"/>
    <n v="52896"/>
    <x v="596"/>
    <x v="0"/>
    <s v="High"/>
    <n v="36"/>
    <n v="14358.64"/>
    <n v="0.03"/>
    <s v="Delivery Truck"/>
    <n v="-969.0483660000001"/>
    <n v="400.98"/>
    <n v="76.37"/>
    <x v="306"/>
    <x v="6"/>
    <x v="5"/>
    <x v="3"/>
    <x v="2"/>
    <x v="10"/>
    <x v="861"/>
    <s v="Jumbo Box"/>
    <n v="0.6"/>
    <d v="2010-10-24T00:00:00"/>
    <n v="0"/>
    <n v="0"/>
    <n v="0.2"/>
    <n v="0.2"/>
  </r>
  <r>
    <n v="7483"/>
    <n v="53441"/>
    <x v="182"/>
    <x v="26"/>
    <s v="Medium"/>
    <n v="7"/>
    <n v="345.37"/>
    <n v="0.01"/>
    <s v="Regular Air"/>
    <n v="84.34"/>
    <n v="48.04"/>
    <n v="5.79"/>
    <x v="538"/>
    <x v="6"/>
    <x v="5"/>
    <x v="0"/>
    <x v="0"/>
    <x v="5"/>
    <x v="728"/>
    <s v="Small Box"/>
    <n v="0.37"/>
    <d v="2009-08-25T00:00:00"/>
    <n v="0"/>
    <n v="0"/>
    <n v="1"/>
    <n v="1"/>
  </r>
  <r>
    <n v="7487"/>
    <n v="53445"/>
    <x v="1240"/>
    <x v="1"/>
    <s v="High"/>
    <n v="8"/>
    <n v="105.95"/>
    <n v="0.01"/>
    <s v="Regular Air"/>
    <n v="-44.33"/>
    <n v="11.66"/>
    <n v="8.99"/>
    <x v="522"/>
    <x v="6"/>
    <x v="5"/>
    <x v="0"/>
    <x v="0"/>
    <x v="12"/>
    <x v="372"/>
    <s v="Small Pack"/>
    <n v="0.59"/>
    <d v="2012-10-26T00:00:00"/>
    <n v="0"/>
    <n v="0"/>
    <n v="0.5"/>
    <n v="0.5"/>
  </r>
  <r>
    <n v="7488"/>
    <n v="53445"/>
    <x v="1240"/>
    <x v="1"/>
    <s v="High"/>
    <n v="21"/>
    <n v="73.8"/>
    <n v="0.02"/>
    <s v="Regular Air"/>
    <n v="11.23"/>
    <n v="3.29"/>
    <n v="1.35"/>
    <x v="522"/>
    <x v="6"/>
    <x v="5"/>
    <x v="0"/>
    <x v="0"/>
    <x v="6"/>
    <x v="339"/>
    <s v="Wrap Bag"/>
    <n v="0.4"/>
    <d v="2012-10-26T00:00:00"/>
    <n v="0"/>
    <n v="0"/>
    <n v="0.5"/>
    <n v="0.5"/>
  </r>
  <r>
    <n v="7557"/>
    <n v="54055"/>
    <x v="594"/>
    <x v="40"/>
    <s v="Critical"/>
    <n v="44"/>
    <n v="5483.96"/>
    <n v="0.02"/>
    <s v="Delivery Truck"/>
    <n v="-1330.5"/>
    <n v="120.98"/>
    <n v="58.64"/>
    <x v="306"/>
    <x v="6"/>
    <x v="5"/>
    <x v="3"/>
    <x v="2"/>
    <x v="9"/>
    <x v="934"/>
    <s v="Jumbo Box"/>
    <n v="0.75"/>
    <d v="2009-02-15T00:00:00"/>
    <n v="0"/>
    <n v="0"/>
    <n v="1"/>
    <n v="1"/>
  </r>
  <r>
    <n v="7570"/>
    <n v="54151"/>
    <x v="1222"/>
    <x v="35"/>
    <s v="Critical"/>
    <n v="35"/>
    <n v="205.87"/>
    <n v="0.03"/>
    <s v="Regular Air"/>
    <n v="65.88"/>
    <n v="5.68"/>
    <n v="1.46"/>
    <x v="297"/>
    <x v="6"/>
    <x v="5"/>
    <x v="0"/>
    <x v="0"/>
    <x v="5"/>
    <x v="258"/>
    <s v="Wrap Bag"/>
    <n v="0.39"/>
    <d v="2009-09-03T00:00:00"/>
    <n v="0"/>
    <n v="0"/>
    <n v="0.5"/>
    <n v="0.2"/>
  </r>
  <r>
    <n v="7571"/>
    <n v="54151"/>
    <x v="1222"/>
    <x v="35"/>
    <s v="Critical"/>
    <n v="38"/>
    <n v="65.12"/>
    <n v="7.0000000000000007E-2"/>
    <s v="Regular Air"/>
    <n v="1.42"/>
    <n v="1.68"/>
    <n v="1"/>
    <x v="297"/>
    <x v="6"/>
    <x v="5"/>
    <x v="0"/>
    <x v="0"/>
    <x v="12"/>
    <x v="1054"/>
    <s v="Wrap Bag"/>
    <n v="0.35"/>
    <d v="2009-09-03T00:00:00"/>
    <n v="0"/>
    <n v="0"/>
    <n v="0.5"/>
    <n v="0.2"/>
  </r>
  <r>
    <n v="7576"/>
    <n v="54181"/>
    <x v="853"/>
    <x v="20"/>
    <s v="High"/>
    <n v="12"/>
    <n v="2608.79"/>
    <n v="0.03"/>
    <s v="Delivery Truck"/>
    <n v="67.36000000000007"/>
    <n v="213.45"/>
    <n v="14.7"/>
    <x v="216"/>
    <x v="6"/>
    <x v="5"/>
    <x v="3"/>
    <x v="1"/>
    <x v="16"/>
    <x v="1144"/>
    <s v="Jumbo Drum"/>
    <n v="0.59"/>
    <d v="2012-05-20T00:00:00"/>
    <n v="0"/>
    <n v="0"/>
    <n v="1"/>
    <n v="1"/>
  </r>
  <r>
    <n v="7582"/>
    <n v="54243"/>
    <x v="108"/>
    <x v="35"/>
    <s v="Low"/>
    <n v="6"/>
    <n v="907.24"/>
    <n v="7.0000000000000007E-2"/>
    <s v="Express Air"/>
    <n v="-634.73410000000013"/>
    <n v="154.13"/>
    <n v="69"/>
    <x v="297"/>
    <x v="6"/>
    <x v="5"/>
    <x v="3"/>
    <x v="2"/>
    <x v="10"/>
    <x v="609"/>
    <s v="Large Box"/>
    <n v="0.68"/>
    <d v="2009-09-16T00:00:00"/>
    <n v="0"/>
    <n v="0"/>
    <n v="1"/>
    <n v="0.2"/>
  </r>
  <r>
    <n v="7604"/>
    <n v="54407"/>
    <x v="838"/>
    <x v="30"/>
    <s v="Medium"/>
    <n v="24"/>
    <n v="9396.27"/>
    <n v="7.0000000000000007E-2"/>
    <s v="Regular Air"/>
    <n v="3857.5719999999997"/>
    <n v="420.98"/>
    <n v="19.989999999999998"/>
    <x v="530"/>
    <x v="6"/>
    <x v="5"/>
    <x v="2"/>
    <x v="0"/>
    <x v="2"/>
    <x v="461"/>
    <s v="Small Box"/>
    <n v="0.35"/>
    <d v="2010-06-17T00:00:00"/>
    <n v="0"/>
    <n v="0"/>
    <n v="1"/>
    <n v="1"/>
  </r>
  <r>
    <n v="7735"/>
    <n v="55394"/>
    <x v="6"/>
    <x v="6"/>
    <s v="Critical"/>
    <n v="21"/>
    <n v="340.7"/>
    <n v="0.05"/>
    <s v="Delivery Truck"/>
    <n v="11.650950000000002"/>
    <n v="15.23"/>
    <n v="27.75"/>
    <x v="540"/>
    <x v="6"/>
    <x v="5"/>
    <x v="2"/>
    <x v="2"/>
    <x v="10"/>
    <x v="897"/>
    <s v="Jumbo Box"/>
    <n v="0.76"/>
    <d v="2010-02-28T00:00:00"/>
    <n v="0"/>
    <n v="0"/>
    <n v="1"/>
    <n v="1"/>
  </r>
  <r>
    <n v="7835"/>
    <n v="56003"/>
    <x v="904"/>
    <x v="24"/>
    <s v="Critical"/>
    <n v="13"/>
    <n v="1835.47"/>
    <n v="0.1"/>
    <s v="Delivery Truck"/>
    <n v="-364.87336600000009"/>
    <n v="150.97999999999999"/>
    <n v="16.010000000000002"/>
    <x v="395"/>
    <x v="6"/>
    <x v="5"/>
    <x v="1"/>
    <x v="2"/>
    <x v="10"/>
    <x v="1025"/>
    <s v="Jumbo Box"/>
    <n v="0.7"/>
    <d v="2010-04-07T00:00:00"/>
    <n v="0"/>
    <n v="0"/>
    <n v="1"/>
    <n v="1"/>
  </r>
  <r>
    <n v="7848"/>
    <n v="56128"/>
    <x v="906"/>
    <x v="42"/>
    <s v="Medium"/>
    <n v="41"/>
    <n v="902.19"/>
    <n v="0.08"/>
    <s v="Regular Air"/>
    <n v="-49.66"/>
    <n v="22.99"/>
    <n v="8.99"/>
    <x v="187"/>
    <x v="6"/>
    <x v="5"/>
    <x v="0"/>
    <x v="0"/>
    <x v="12"/>
    <x v="416"/>
    <s v="Small Pack"/>
    <n v="0.56999999999999995"/>
    <d v="2010-07-30T00:00:00"/>
    <n v="0"/>
    <n v="0"/>
    <n v="0.5"/>
    <n v="0.2"/>
  </r>
  <r>
    <n v="7849"/>
    <n v="56128"/>
    <x v="906"/>
    <x v="42"/>
    <s v="Medium"/>
    <n v="19"/>
    <n v="657.23199999999997"/>
    <n v="0.1"/>
    <s v="Delivery Truck"/>
    <n v="33.988949999999996"/>
    <n v="44.43"/>
    <n v="46.59"/>
    <x v="187"/>
    <x v="6"/>
    <x v="5"/>
    <x v="0"/>
    <x v="2"/>
    <x v="10"/>
    <x v="1069"/>
    <s v="Jumbo Box"/>
    <n v="0.67"/>
    <d v="2010-07-31T00:00:00"/>
    <n v="0"/>
    <n v="0"/>
    <n v="0.5"/>
    <n v="0.2"/>
  </r>
  <r>
    <n v="7882"/>
    <n v="56384"/>
    <x v="1202"/>
    <x v="29"/>
    <s v="Critical"/>
    <n v="47"/>
    <n v="257.2"/>
    <n v="0.04"/>
    <s v="Regular Air"/>
    <n v="-2172.14"/>
    <n v="4.4800000000000004"/>
    <n v="49"/>
    <x v="539"/>
    <x v="6"/>
    <x v="5"/>
    <x v="0"/>
    <x v="0"/>
    <x v="1"/>
    <x v="43"/>
    <s v="Large Box"/>
    <n v="0.6"/>
    <d v="2012-08-01T00:00:00"/>
    <n v="0"/>
    <n v="0"/>
    <n v="0.5"/>
    <n v="0.5"/>
  </r>
  <r>
    <n v="7883"/>
    <n v="56384"/>
    <x v="1202"/>
    <x v="29"/>
    <s v="Critical"/>
    <n v="29"/>
    <n v="6139.34"/>
    <n v="0.08"/>
    <s v="Delivery Truck"/>
    <n v="-528.65312500000005"/>
    <n v="218.75"/>
    <n v="69.64"/>
    <x v="539"/>
    <x v="6"/>
    <x v="5"/>
    <x v="0"/>
    <x v="2"/>
    <x v="10"/>
    <x v="146"/>
    <s v="Jumbo Box"/>
    <n v="0.77"/>
    <d v="2012-08-02T00:00:00"/>
    <n v="0"/>
    <n v="0"/>
    <n v="0.5"/>
    <n v="0.5"/>
  </r>
  <r>
    <n v="7926"/>
    <n v="56646"/>
    <x v="244"/>
    <x v="39"/>
    <s v="Critical"/>
    <n v="41"/>
    <n v="4257.2759999999998"/>
    <n v="0.04"/>
    <s v="Regular Air"/>
    <n v="1059.0840000000001"/>
    <n v="125.99"/>
    <n v="2.5"/>
    <x v="216"/>
    <x v="6"/>
    <x v="5"/>
    <x v="3"/>
    <x v="1"/>
    <x v="3"/>
    <x v="738"/>
    <s v="Small Box"/>
    <n v="0.6"/>
    <d v="2010-05-20T00:00:00"/>
    <n v="0"/>
    <n v="0"/>
    <n v="1"/>
    <n v="1"/>
  </r>
  <r>
    <n v="7968"/>
    <n v="56967"/>
    <x v="159"/>
    <x v="33"/>
    <s v="Low"/>
    <n v="17"/>
    <n v="1383.9"/>
    <n v="0.05"/>
    <s v="Express Air"/>
    <n v="311.58"/>
    <n v="83.1"/>
    <n v="6.13"/>
    <x v="527"/>
    <x v="6"/>
    <x v="5"/>
    <x v="3"/>
    <x v="1"/>
    <x v="7"/>
    <x v="432"/>
    <s v="Small Box"/>
    <n v="0.45"/>
    <d v="2012-03-09T00:00:00"/>
    <n v="0"/>
    <n v="0"/>
    <n v="1"/>
    <n v="0.5"/>
  </r>
  <r>
    <n v="8053"/>
    <n v="57479"/>
    <x v="515"/>
    <x v="5"/>
    <s v="High"/>
    <n v="37"/>
    <n v="132.12"/>
    <n v="7.0000000000000007E-2"/>
    <s v="Regular Air"/>
    <n v="54.78"/>
    <n v="3.75"/>
    <n v="0.5"/>
    <x v="297"/>
    <x v="6"/>
    <x v="5"/>
    <x v="2"/>
    <x v="0"/>
    <x v="11"/>
    <x v="743"/>
    <s v="Small Box"/>
    <n v="0.37"/>
    <d v="2011-03-16T00:00:00"/>
    <n v="0"/>
    <n v="0"/>
    <n v="1"/>
    <n v="1"/>
  </r>
  <r>
    <n v="8089"/>
    <n v="57699"/>
    <x v="547"/>
    <x v="32"/>
    <s v="Low"/>
    <n v="47"/>
    <n v="1857.88"/>
    <n v="0.09"/>
    <s v="Regular Air"/>
    <n v="752.96"/>
    <n v="40.98"/>
    <n v="1.99"/>
    <x v="435"/>
    <x v="6"/>
    <x v="5"/>
    <x v="2"/>
    <x v="1"/>
    <x v="7"/>
    <x v="559"/>
    <s v="Small Pack"/>
    <n v="0.44"/>
    <d v="2012-11-15T00:00:00"/>
    <n v="0"/>
    <n v="0"/>
    <n v="0.33333333333333331"/>
    <n v="0.33333333333333331"/>
  </r>
  <r>
    <n v="8090"/>
    <n v="57699"/>
    <x v="547"/>
    <x v="32"/>
    <s v="Low"/>
    <n v="36"/>
    <n v="2160.83"/>
    <n v="0.08"/>
    <s v="Regular Air"/>
    <n v="485.02"/>
    <n v="60.98"/>
    <n v="19.989999999999998"/>
    <x v="435"/>
    <x v="6"/>
    <x v="5"/>
    <x v="2"/>
    <x v="0"/>
    <x v="8"/>
    <x v="600"/>
    <s v="Small Box"/>
    <n v="0.38"/>
    <d v="2012-11-14T00:00:00"/>
    <n v="0"/>
    <n v="0"/>
    <n v="0.33333333333333331"/>
    <n v="0.33333333333333331"/>
  </r>
  <r>
    <n v="8091"/>
    <n v="57699"/>
    <x v="547"/>
    <x v="32"/>
    <s v="Low"/>
    <n v="20"/>
    <n v="43.94"/>
    <n v="0.09"/>
    <s v="Regular Air"/>
    <n v="-72.23"/>
    <n v="2.08"/>
    <n v="5.33"/>
    <x v="435"/>
    <x v="6"/>
    <x v="5"/>
    <x v="2"/>
    <x v="2"/>
    <x v="4"/>
    <x v="109"/>
    <s v="Small Box"/>
    <n v="0.43"/>
    <d v="2012-11-12T00:00:00"/>
    <n v="0"/>
    <n v="0"/>
    <n v="0.33333333333333331"/>
    <n v="0.33333333333333331"/>
  </r>
  <r>
    <n v="8209"/>
    <n v="58690"/>
    <x v="271"/>
    <x v="27"/>
    <s v="High"/>
    <n v="14"/>
    <n v="3023.73"/>
    <n v="0.09"/>
    <s v="Delivery Truck"/>
    <n v="-1068.0098"/>
    <n v="218.75"/>
    <n v="69.64"/>
    <x v="542"/>
    <x v="6"/>
    <x v="5"/>
    <x v="0"/>
    <x v="2"/>
    <x v="10"/>
    <x v="146"/>
    <s v="Jumbo Box"/>
    <n v="0.77"/>
    <d v="2011-11-06T00:00:00"/>
    <n v="0"/>
    <n v="0"/>
    <n v="1"/>
    <n v="1"/>
  </r>
  <r>
    <n v="8223"/>
    <n v="58784"/>
    <x v="398"/>
    <x v="22"/>
    <s v="Medium"/>
    <n v="25"/>
    <n v="8875.17"/>
    <n v="0.05"/>
    <s v="Delivery Truck"/>
    <n v="2372.08"/>
    <n v="350.99"/>
    <n v="39"/>
    <x v="542"/>
    <x v="6"/>
    <x v="5"/>
    <x v="2"/>
    <x v="2"/>
    <x v="14"/>
    <x v="1103"/>
    <s v="Jumbo Drum"/>
    <n v="0.55000000000000004"/>
    <d v="2009-01-20T00:00:00"/>
    <n v="0"/>
    <n v="1"/>
    <n v="0.2"/>
    <n v="0.2"/>
  </r>
  <r>
    <n v="8224"/>
    <n v="58784"/>
    <x v="398"/>
    <x v="22"/>
    <s v="Medium"/>
    <n v="20"/>
    <n v="331.21"/>
    <n v="0.04"/>
    <s v="Express Air"/>
    <n v="-67.381500000000003"/>
    <n v="15.99"/>
    <n v="9.4"/>
    <x v="542"/>
    <x v="6"/>
    <x v="5"/>
    <x v="2"/>
    <x v="1"/>
    <x v="16"/>
    <x v="364"/>
    <s v="Small Box"/>
    <n v="0.49"/>
    <d v="2009-01-20T00:00:00"/>
    <n v="0"/>
    <n v="1"/>
    <n v="0.2"/>
    <n v="0.2"/>
  </r>
  <r>
    <n v="8318"/>
    <n v="59428"/>
    <x v="1241"/>
    <x v="18"/>
    <s v="High"/>
    <n v="36"/>
    <n v="3602.12"/>
    <n v="0.05"/>
    <s v="Delivery Truck"/>
    <n v="-728.18"/>
    <n v="100.98"/>
    <n v="45"/>
    <x v="395"/>
    <x v="6"/>
    <x v="5"/>
    <x v="1"/>
    <x v="2"/>
    <x v="14"/>
    <x v="1051"/>
    <s v="Jumbo Drum"/>
    <n v="0.69"/>
    <d v="2010-09-10T00:00:00"/>
    <n v="0"/>
    <n v="0"/>
    <n v="0.5"/>
    <n v="0.5"/>
  </r>
  <r>
    <n v="8319"/>
    <n v="59428"/>
    <x v="1241"/>
    <x v="18"/>
    <s v="High"/>
    <n v="43"/>
    <n v="1174.94"/>
    <n v="0.02"/>
    <s v="Regular Air"/>
    <n v="-125.79"/>
    <n v="27.42"/>
    <n v="19.46"/>
    <x v="395"/>
    <x v="6"/>
    <x v="5"/>
    <x v="1"/>
    <x v="2"/>
    <x v="4"/>
    <x v="786"/>
    <s v="Small Box"/>
    <n v="0.44"/>
    <d v="2010-09-09T00:00:00"/>
    <n v="0"/>
    <n v="0"/>
    <n v="0.5"/>
    <n v="0.5"/>
  </r>
  <r>
    <n v="221"/>
    <n v="1444"/>
    <x v="738"/>
    <x v="47"/>
    <s v="Medium"/>
    <n v="25"/>
    <n v="772.24"/>
    <n v="7.0000000000000007E-2"/>
    <s v="Regular Air"/>
    <n v="181.98"/>
    <n v="30.98"/>
    <n v="8.74"/>
    <x v="304"/>
    <x v="6"/>
    <x v="5"/>
    <x v="3"/>
    <x v="0"/>
    <x v="5"/>
    <x v="720"/>
    <s v="Small Box"/>
    <n v="0.4"/>
    <d v="2009-12-06T00:00:00"/>
    <n v="0"/>
    <n v="0"/>
    <n v="0.2"/>
    <n v="0.2"/>
  </r>
  <r>
    <n v="278"/>
    <n v="1921"/>
    <x v="80"/>
    <x v="22"/>
    <s v="Medium"/>
    <n v="24"/>
    <n v="7871.91"/>
    <n v="0.05"/>
    <s v="Delivery Truck"/>
    <n v="541.47"/>
    <n v="328.14"/>
    <n v="91.05"/>
    <x v="420"/>
    <x v="6"/>
    <x v="5"/>
    <x v="0"/>
    <x v="0"/>
    <x v="1"/>
    <x v="888"/>
    <s v="Jumbo Drum"/>
    <n v="0.56999999999999995"/>
    <d v="2009-01-19T00:00:00"/>
    <n v="0"/>
    <n v="1"/>
    <n v="1"/>
    <n v="0.5"/>
  </r>
  <r>
    <n v="283"/>
    <n v="1985"/>
    <x v="161"/>
    <x v="35"/>
    <s v="Not Specified"/>
    <n v="33"/>
    <n v="15464.01"/>
    <n v="0.05"/>
    <s v="Delivery Truck"/>
    <n v="4407.4399999999996"/>
    <n v="535.64"/>
    <n v="14.7"/>
    <x v="387"/>
    <x v="6"/>
    <x v="5"/>
    <x v="3"/>
    <x v="1"/>
    <x v="16"/>
    <x v="1184"/>
    <s v="Jumbo Drum"/>
    <n v="0.59"/>
    <d v="2009-09-03T00:00:00"/>
    <n v="0"/>
    <n v="0"/>
    <n v="0.5"/>
    <n v="0.5"/>
  </r>
  <r>
    <n v="443"/>
    <n v="2978"/>
    <x v="1242"/>
    <x v="10"/>
    <s v="Critical"/>
    <n v="28"/>
    <n v="4671.1495000000004"/>
    <n v="7.0000000000000007E-2"/>
    <s v="Regular Air"/>
    <n v="947.31299999999987"/>
    <n v="200.99"/>
    <n v="4.2"/>
    <x v="543"/>
    <x v="6"/>
    <x v="5"/>
    <x v="2"/>
    <x v="1"/>
    <x v="3"/>
    <x v="332"/>
    <s v="Small Box"/>
    <n v="0.59"/>
    <d v="2011-05-03T00:00:00"/>
    <n v="0"/>
    <n v="0"/>
    <n v="0.33333333333333331"/>
    <n v="0.33333333333333331"/>
  </r>
  <r>
    <n v="1030"/>
    <n v="7521"/>
    <x v="1243"/>
    <x v="44"/>
    <s v="Low"/>
    <n v="19"/>
    <n v="1942.1734999999999"/>
    <n v="0"/>
    <s v="Express Air"/>
    <n v="400.82400000000001"/>
    <n v="115.99"/>
    <n v="2.5"/>
    <x v="393"/>
    <x v="6"/>
    <x v="5"/>
    <x v="0"/>
    <x v="1"/>
    <x v="3"/>
    <x v="1154"/>
    <s v="Small Box"/>
    <n v="0.55000000000000004"/>
    <d v="2011-03-05T00:00:00"/>
    <n v="0"/>
    <n v="0"/>
    <n v="1"/>
    <n v="1"/>
  </r>
  <r>
    <n v="1552"/>
    <n v="11206"/>
    <x v="861"/>
    <x v="47"/>
    <s v="Low"/>
    <n v="26"/>
    <n v="1285.55"/>
    <n v="0.09"/>
    <s v="Regular Air"/>
    <n v="-17.03"/>
    <n v="49.99"/>
    <n v="19.989999999999998"/>
    <x v="338"/>
    <x v="6"/>
    <x v="5"/>
    <x v="0"/>
    <x v="1"/>
    <x v="7"/>
    <x v="446"/>
    <s v="Small Box"/>
    <n v="0.41"/>
    <d v="2009-12-30T00:00:00"/>
    <n v="0"/>
    <n v="0"/>
    <n v="0.5"/>
    <n v="0.5"/>
  </r>
  <r>
    <n v="1858"/>
    <n v="13351"/>
    <x v="139"/>
    <x v="39"/>
    <s v="Medium"/>
    <n v="20"/>
    <n v="3331.81"/>
    <n v="0.08"/>
    <s v="Regular Air"/>
    <n v="484.15"/>
    <n v="179.99"/>
    <n v="19.989999999999998"/>
    <x v="336"/>
    <x v="6"/>
    <x v="5"/>
    <x v="2"/>
    <x v="1"/>
    <x v="7"/>
    <x v="634"/>
    <s v="Small Box"/>
    <n v="0.48"/>
    <d v="2010-05-07T00:00:00"/>
    <n v="0"/>
    <n v="0"/>
    <n v="1"/>
    <n v="1"/>
  </r>
  <r>
    <n v="1872"/>
    <n v="13476"/>
    <x v="1034"/>
    <x v="0"/>
    <s v="Not Specified"/>
    <n v="31"/>
    <n v="972.35"/>
    <n v="0.05"/>
    <s v="Regular Air"/>
    <n v="10.96"/>
    <n v="30.73"/>
    <n v="4"/>
    <x v="304"/>
    <x v="6"/>
    <x v="5"/>
    <x v="3"/>
    <x v="1"/>
    <x v="7"/>
    <x v="161"/>
    <s v="Small Box"/>
    <n v="0.75"/>
    <d v="2010-10-16T00:00:00"/>
    <n v="0"/>
    <n v="0"/>
    <n v="0.33333333333333331"/>
    <n v="0.33333333333333331"/>
  </r>
  <r>
    <n v="2151"/>
    <n v="15399"/>
    <x v="212"/>
    <x v="20"/>
    <s v="Critical"/>
    <n v="38"/>
    <n v="3988.0894999999996"/>
    <n v="0.02"/>
    <s v="Regular Air"/>
    <n v="969.85799999999995"/>
    <n v="125.99"/>
    <n v="4.2"/>
    <x v="420"/>
    <x v="6"/>
    <x v="5"/>
    <x v="0"/>
    <x v="1"/>
    <x v="3"/>
    <x v="1087"/>
    <s v="Small Box"/>
    <n v="0.59"/>
    <d v="2012-05-15T00:00:00"/>
    <n v="0"/>
    <n v="0"/>
    <n v="0.33333333333333331"/>
    <n v="0.33333333333333331"/>
  </r>
  <r>
    <n v="2178"/>
    <n v="15687"/>
    <x v="97"/>
    <x v="13"/>
    <s v="Critical"/>
    <n v="48"/>
    <n v="3400.63"/>
    <n v="0.08"/>
    <s v="Delivery Truck"/>
    <n v="-892.79"/>
    <n v="70.98"/>
    <n v="46.74"/>
    <x v="420"/>
    <x v="6"/>
    <x v="5"/>
    <x v="0"/>
    <x v="2"/>
    <x v="9"/>
    <x v="768"/>
    <s v="Jumbo Box"/>
    <n v="0.56000000000000005"/>
    <d v="2012-04-12T00:00:00"/>
    <n v="0"/>
    <n v="0"/>
    <n v="1"/>
    <n v="1"/>
  </r>
  <r>
    <n v="3228"/>
    <n v="23169"/>
    <x v="431"/>
    <x v="4"/>
    <s v="Critical"/>
    <n v="22"/>
    <n v="1683.57"/>
    <n v="0.1"/>
    <s v="Regular Air"/>
    <n v="346.54"/>
    <n v="80.98"/>
    <n v="7.18"/>
    <x v="336"/>
    <x v="6"/>
    <x v="5"/>
    <x v="3"/>
    <x v="1"/>
    <x v="7"/>
    <x v="534"/>
    <s v="Small Box"/>
    <n v="0.48"/>
    <d v="2011-06-25T00:00:00"/>
    <n v="0"/>
    <n v="0"/>
    <n v="0.5"/>
    <n v="0.5"/>
  </r>
  <r>
    <n v="4539"/>
    <n v="32292"/>
    <x v="939"/>
    <x v="12"/>
    <s v="Low"/>
    <n v="1"/>
    <n v="13.53"/>
    <n v="7.0000000000000007E-2"/>
    <s v="Regular Air"/>
    <n v="-6.73"/>
    <n v="11.55"/>
    <n v="2.36"/>
    <x v="364"/>
    <x v="6"/>
    <x v="5"/>
    <x v="2"/>
    <x v="0"/>
    <x v="12"/>
    <x v="769"/>
    <s v="Wrap Bag"/>
    <n v="0.55000000000000004"/>
    <d v="2012-02-17T00:00:00"/>
    <n v="0"/>
    <n v="0"/>
    <n v="0.5"/>
    <n v="0.5"/>
  </r>
  <r>
    <n v="4554"/>
    <n v="32389"/>
    <x v="1044"/>
    <x v="0"/>
    <s v="Medium"/>
    <n v="1"/>
    <n v="65.466999999999999"/>
    <n v="0.06"/>
    <s v="Express Air"/>
    <n v="-257.411"/>
    <n v="65.989999999999995"/>
    <n v="8.8000000000000007"/>
    <x v="398"/>
    <x v="6"/>
    <x v="5"/>
    <x v="0"/>
    <x v="1"/>
    <x v="3"/>
    <x v="858"/>
    <s v="Small Box"/>
    <n v="0.57999999999999996"/>
    <d v="2010-11-01T00:00:00"/>
    <n v="0"/>
    <n v="0"/>
    <n v="0.33333333333333331"/>
    <n v="0.25"/>
  </r>
  <r>
    <n v="5328"/>
    <n v="37863"/>
    <x v="593"/>
    <x v="44"/>
    <s v="High"/>
    <n v="27"/>
    <n v="305.05"/>
    <n v="0.04"/>
    <s v="Regular Air"/>
    <n v="23.12"/>
    <n v="10.98"/>
    <n v="3.37"/>
    <x v="397"/>
    <x v="6"/>
    <x v="5"/>
    <x v="3"/>
    <x v="0"/>
    <x v="15"/>
    <x v="340"/>
    <s v="Small Pack"/>
    <n v="0.56999999999999995"/>
    <d v="2011-02-26T00:00:00"/>
    <n v="0"/>
    <n v="0"/>
    <n v="1"/>
    <n v="1"/>
  </r>
  <r>
    <n v="5756"/>
    <n v="40866"/>
    <x v="1026"/>
    <x v="39"/>
    <s v="High"/>
    <n v="3"/>
    <n v="907.18"/>
    <n v="0.06"/>
    <s v="Regular Air"/>
    <n v="-236.6"/>
    <n v="300.64999999999998"/>
    <n v="24.49"/>
    <x v="110"/>
    <x v="6"/>
    <x v="5"/>
    <x v="2"/>
    <x v="0"/>
    <x v="1"/>
    <x v="255"/>
    <s v="Large Box"/>
    <n v="0.52"/>
    <d v="2010-05-24T00:00:00"/>
    <n v="0"/>
    <n v="0"/>
    <n v="1"/>
    <n v="1"/>
  </r>
  <r>
    <n v="6779"/>
    <n v="48263"/>
    <x v="949"/>
    <x v="14"/>
    <s v="Medium"/>
    <n v="25"/>
    <n v="135.91"/>
    <n v="7.0000000000000007E-2"/>
    <s v="Regular Air"/>
    <n v="37.5"/>
    <n v="5.68"/>
    <n v="1.21"/>
    <x v="370"/>
    <x v="6"/>
    <x v="5"/>
    <x v="1"/>
    <x v="0"/>
    <x v="5"/>
    <x v="1185"/>
    <s v="Wrap Bag"/>
    <n v="0.4"/>
    <d v="2010-03-10T00:00:00"/>
    <n v="0"/>
    <n v="0"/>
    <n v="0.5"/>
    <n v="0.5"/>
  </r>
  <r>
    <n v="7004"/>
    <n v="49989"/>
    <x v="1244"/>
    <x v="24"/>
    <s v="Not Specified"/>
    <n v="6"/>
    <n v="1854.94"/>
    <n v="0.04"/>
    <s v="Regular Air"/>
    <n v="-559.78"/>
    <n v="300.97000000000003"/>
    <n v="7.18"/>
    <x v="427"/>
    <x v="6"/>
    <x v="5"/>
    <x v="0"/>
    <x v="1"/>
    <x v="7"/>
    <x v="1130"/>
    <s v="Small Box"/>
    <n v="0.48"/>
    <d v="2010-04-27T00:00:00"/>
    <n v="0"/>
    <n v="0"/>
    <n v="1"/>
    <n v="1"/>
  </r>
  <r>
    <n v="7631"/>
    <n v="54595"/>
    <x v="464"/>
    <x v="46"/>
    <s v="Medium"/>
    <n v="30"/>
    <n v="250.29"/>
    <n v="0.02"/>
    <s v="Regular Air"/>
    <n v="6.79"/>
    <n v="8.34"/>
    <n v="2.64"/>
    <x v="389"/>
    <x v="6"/>
    <x v="5"/>
    <x v="0"/>
    <x v="0"/>
    <x v="15"/>
    <x v="1008"/>
    <s v="Small Pack"/>
    <n v="0.59"/>
    <d v="2009-04-30T00:00:00"/>
    <n v="0"/>
    <n v="0"/>
    <n v="0.5"/>
    <n v="0.5"/>
  </r>
  <r>
    <n v="7733"/>
    <n v="55392"/>
    <x v="1055"/>
    <x v="41"/>
    <s v="Critical"/>
    <n v="20"/>
    <n v="129.30000000000001"/>
    <n v="0.02"/>
    <s v="Regular Air"/>
    <n v="40.200000000000003"/>
    <n v="6.47"/>
    <n v="1.22"/>
    <x v="358"/>
    <x v="6"/>
    <x v="5"/>
    <x v="1"/>
    <x v="0"/>
    <x v="12"/>
    <x v="366"/>
    <s v="Wrap Bag"/>
    <n v="0.4"/>
    <d v="2009-06-07T00:00:00"/>
    <n v="0"/>
    <n v="0"/>
    <n v="0.5"/>
    <n v="0.2"/>
  </r>
  <r>
    <n v="8010"/>
    <n v="57249"/>
    <x v="533"/>
    <x v="42"/>
    <s v="High"/>
    <n v="30"/>
    <n v="1775.33"/>
    <n v="0.05"/>
    <s v="Regular Air"/>
    <n v="365.25"/>
    <n v="60.65"/>
    <n v="12.23"/>
    <x v="424"/>
    <x v="6"/>
    <x v="5"/>
    <x v="3"/>
    <x v="2"/>
    <x v="4"/>
    <x v="915"/>
    <s v="Medium Box"/>
    <n v="0.64"/>
    <d v="2010-07-21T00:00:00"/>
    <n v="0"/>
    <n v="0"/>
    <n v="1"/>
    <n v="1"/>
  </r>
  <r>
    <n v="218"/>
    <n v="1444"/>
    <x v="738"/>
    <x v="47"/>
    <s v="Medium"/>
    <n v="13"/>
    <n v="15823.27"/>
    <n v="0.04"/>
    <s v="Delivery Truck"/>
    <n v="1759.34"/>
    <n v="1360.14"/>
    <n v="14.7"/>
    <x v="304"/>
    <x v="6"/>
    <x v="5"/>
    <x v="3"/>
    <x v="1"/>
    <x v="16"/>
    <x v="153"/>
    <s v="Jumbo Drum"/>
    <n v="0.59"/>
    <d v="2009-12-08T00:00:00"/>
    <n v="0"/>
    <n v="0"/>
    <n v="0.2"/>
    <n v="0.2"/>
  </r>
  <r>
    <n v="709"/>
    <n v="4965"/>
    <x v="192"/>
    <x v="0"/>
    <s v="Low"/>
    <n v="46"/>
    <n v="287.13"/>
    <n v="0"/>
    <s v="Regular Air"/>
    <n v="-186.31"/>
    <n v="5.78"/>
    <n v="7.96"/>
    <x v="382"/>
    <x v="6"/>
    <x v="5"/>
    <x v="2"/>
    <x v="0"/>
    <x v="5"/>
    <x v="586"/>
    <s v="Small Box"/>
    <n v="0.36"/>
    <d v="2010-10-25T00:00:00"/>
    <n v="0"/>
    <n v="0"/>
    <n v="0.5"/>
    <n v="0.5"/>
  </r>
  <r>
    <n v="790"/>
    <n v="5639"/>
    <x v="682"/>
    <x v="41"/>
    <s v="Medium"/>
    <n v="31"/>
    <n v="501.38"/>
    <n v="0.03"/>
    <s v="Regular Air"/>
    <n v="-71.95"/>
    <n v="15.31"/>
    <n v="8.7799999999999994"/>
    <x v="335"/>
    <x v="6"/>
    <x v="5"/>
    <x v="0"/>
    <x v="0"/>
    <x v="0"/>
    <x v="581"/>
    <s v="Small Box"/>
    <n v="0.56999999999999995"/>
    <d v="2009-06-02T00:00:00"/>
    <n v="0"/>
    <n v="0"/>
    <n v="1"/>
    <n v="1"/>
  </r>
  <r>
    <n v="1002"/>
    <n v="7297"/>
    <x v="940"/>
    <x v="35"/>
    <s v="High"/>
    <n v="26"/>
    <n v="936.95"/>
    <n v="0.03"/>
    <s v="Regular Air"/>
    <n v="-0.74000000000000909"/>
    <n v="33.979999999999997"/>
    <n v="19.989999999999998"/>
    <x v="418"/>
    <x v="6"/>
    <x v="5"/>
    <x v="0"/>
    <x v="2"/>
    <x v="4"/>
    <x v="90"/>
    <s v="Small Box"/>
    <n v="0.55000000000000004"/>
    <d v="2009-09-15T00:00:00"/>
    <n v="0"/>
    <n v="0"/>
    <n v="0.33333333333333331"/>
    <n v="0.33333333333333331"/>
  </r>
  <r>
    <n v="1165"/>
    <n v="8513"/>
    <x v="979"/>
    <x v="2"/>
    <s v="Low"/>
    <n v="9"/>
    <n v="163.78"/>
    <n v="0.05"/>
    <s v="Regular Air"/>
    <n v="-43.030200000000001"/>
    <n v="17.98"/>
    <n v="8.51"/>
    <x v="357"/>
    <x v="6"/>
    <x v="5"/>
    <x v="0"/>
    <x v="1"/>
    <x v="16"/>
    <x v="168"/>
    <s v="Medium Box"/>
    <n v="0.4"/>
    <d v="2011-07-17T00:00:00"/>
    <n v="0"/>
    <n v="0"/>
    <n v="0.5"/>
    <n v="0.33333333333333331"/>
  </r>
  <r>
    <n v="1411"/>
    <n v="10245"/>
    <x v="296"/>
    <x v="44"/>
    <s v="Medium"/>
    <n v="20"/>
    <n v="2573.29"/>
    <n v="0.04"/>
    <s v="Delivery Truck"/>
    <n v="-896.94"/>
    <n v="122.99"/>
    <n v="70.2"/>
    <x v="352"/>
    <x v="6"/>
    <x v="5"/>
    <x v="2"/>
    <x v="2"/>
    <x v="14"/>
    <x v="301"/>
    <s v="Jumbo Drum"/>
    <n v="0.74"/>
    <d v="2011-02-14T00:00:00"/>
    <n v="0"/>
    <n v="0"/>
    <n v="0.33333333333333331"/>
    <n v="0.33333333333333331"/>
  </r>
  <r>
    <n v="1526"/>
    <n v="11011"/>
    <x v="212"/>
    <x v="20"/>
    <s v="High"/>
    <n v="33"/>
    <n v="8305.19"/>
    <n v="0.04"/>
    <s v="Delivery Truck"/>
    <n v="1383.32"/>
    <n v="240.98"/>
    <n v="60.2"/>
    <x v="357"/>
    <x v="6"/>
    <x v="5"/>
    <x v="0"/>
    <x v="2"/>
    <x v="9"/>
    <x v="885"/>
    <s v="Jumbo Box"/>
    <n v="0.56000000000000005"/>
    <d v="2012-05-15T00:00:00"/>
    <n v="0"/>
    <n v="0"/>
    <n v="0.33333333333333331"/>
    <n v="0.33333333333333331"/>
  </r>
  <r>
    <n v="1713"/>
    <n v="12320"/>
    <x v="710"/>
    <x v="25"/>
    <s v="Critical"/>
    <n v="35"/>
    <n v="539.21"/>
    <n v="0.05"/>
    <s v="Delivery Truck"/>
    <n v="11.650950000000002"/>
    <n v="15.23"/>
    <n v="27.75"/>
    <x v="365"/>
    <x v="6"/>
    <x v="5"/>
    <x v="2"/>
    <x v="2"/>
    <x v="10"/>
    <x v="897"/>
    <s v="Jumbo Box"/>
    <n v="0.76"/>
    <d v="2011-12-22T00:00:00"/>
    <n v="0"/>
    <n v="0"/>
    <n v="1"/>
    <n v="0.5"/>
  </r>
  <r>
    <n v="1717"/>
    <n v="12326"/>
    <x v="1045"/>
    <x v="44"/>
    <s v="Critical"/>
    <n v="4"/>
    <n v="123.82"/>
    <n v="0.05"/>
    <s v="Regular Air"/>
    <n v="-0.37000000000000099"/>
    <n v="29.34"/>
    <n v="57.87"/>
    <x v="345"/>
    <x v="6"/>
    <x v="5"/>
    <x v="0"/>
    <x v="2"/>
    <x v="4"/>
    <x v="982"/>
    <s v="Small Box"/>
    <n v="0.54"/>
    <d v="2011-02-04T00:00:00"/>
    <n v="0"/>
    <n v="0"/>
    <n v="1"/>
    <n v="1"/>
  </r>
  <r>
    <n v="1819"/>
    <n v="13056"/>
    <x v="336"/>
    <x v="46"/>
    <s v="Not Specified"/>
    <n v="33"/>
    <n v="3387.32"/>
    <n v="0.05"/>
    <s v="Regular Air"/>
    <n v="1413.52"/>
    <n v="100.98"/>
    <n v="7.18"/>
    <x v="335"/>
    <x v="6"/>
    <x v="5"/>
    <x v="0"/>
    <x v="1"/>
    <x v="7"/>
    <x v="495"/>
    <s v="Small Box"/>
    <n v="0.4"/>
    <d v="2009-04-24T00:00:00"/>
    <n v="0"/>
    <n v="0"/>
    <n v="1"/>
    <n v="0.5"/>
  </r>
  <r>
    <n v="1830"/>
    <n v="13125"/>
    <x v="416"/>
    <x v="15"/>
    <s v="Not Specified"/>
    <n v="30"/>
    <n v="990.73"/>
    <n v="0.02"/>
    <s v="Express Air"/>
    <n v="56.39"/>
    <n v="30.73"/>
    <n v="4"/>
    <x v="544"/>
    <x v="6"/>
    <x v="5"/>
    <x v="2"/>
    <x v="1"/>
    <x v="7"/>
    <x v="161"/>
    <s v="Small Box"/>
    <n v="0.75"/>
    <d v="2010-12-15T00:00:00"/>
    <n v="0"/>
    <n v="0"/>
    <n v="1"/>
    <n v="1"/>
  </r>
  <r>
    <n v="2404"/>
    <n v="17410"/>
    <x v="247"/>
    <x v="18"/>
    <s v="Low"/>
    <n v="45"/>
    <n v="372.01"/>
    <n v="7.0000000000000007E-2"/>
    <s v="Regular Air"/>
    <n v="-203.68"/>
    <n v="8.4499999999999993"/>
    <n v="7.77"/>
    <x v="304"/>
    <x v="6"/>
    <x v="5"/>
    <x v="3"/>
    <x v="0"/>
    <x v="15"/>
    <x v="341"/>
    <s v="Small Pack"/>
    <n v="0.55000000000000004"/>
    <d v="2010-09-06T00:00:00"/>
    <n v="0"/>
    <n v="0"/>
    <n v="0.5"/>
    <n v="0.5"/>
  </r>
  <r>
    <n v="2466"/>
    <n v="17953"/>
    <x v="573"/>
    <x v="9"/>
    <s v="High"/>
    <n v="30"/>
    <n v="975.12"/>
    <n v="0.03"/>
    <s v="Regular Air"/>
    <n v="-6.72"/>
    <n v="30.98"/>
    <n v="19.510000000000002"/>
    <x v="345"/>
    <x v="6"/>
    <x v="5"/>
    <x v="0"/>
    <x v="0"/>
    <x v="8"/>
    <x v="1061"/>
    <s v="Small Box"/>
    <n v="0.36"/>
    <d v="2012-08-22T00:00:00"/>
    <n v="0"/>
    <n v="0"/>
    <n v="0.33333333333333331"/>
    <n v="0.33333333333333331"/>
  </r>
  <r>
    <n v="2875"/>
    <n v="20711"/>
    <x v="1039"/>
    <x v="22"/>
    <s v="Critical"/>
    <n v="18"/>
    <n v="2215.96"/>
    <n v="0"/>
    <s v="Delivery Truck"/>
    <n v="-101.65949999999999"/>
    <n v="119.99"/>
    <n v="56.14"/>
    <x v="371"/>
    <x v="6"/>
    <x v="5"/>
    <x v="1"/>
    <x v="1"/>
    <x v="16"/>
    <x v="735"/>
    <s v="Jumbo Box"/>
    <n v="0.39"/>
    <d v="2009-01-20T00:00:00"/>
    <n v="0"/>
    <n v="1"/>
    <n v="0.5"/>
    <n v="0.5"/>
  </r>
  <r>
    <n v="2997"/>
    <n v="21606"/>
    <x v="432"/>
    <x v="16"/>
    <s v="Not Specified"/>
    <n v="43"/>
    <n v="1374.7"/>
    <n v="0.06"/>
    <s v="Express Air"/>
    <n v="-90.3"/>
    <n v="32.979999999999997"/>
    <n v="5.5"/>
    <x v="345"/>
    <x v="6"/>
    <x v="5"/>
    <x v="0"/>
    <x v="1"/>
    <x v="7"/>
    <x v="279"/>
    <s v="Small Box"/>
    <n v="0.75"/>
    <d v="2011-01-23T00:00:00"/>
    <n v="0"/>
    <n v="0"/>
    <n v="0.5"/>
    <n v="0.5"/>
  </r>
  <r>
    <n v="3174"/>
    <n v="22820"/>
    <x v="107"/>
    <x v="3"/>
    <s v="High"/>
    <n v="34"/>
    <n v="209.12"/>
    <n v="0.05"/>
    <s v="Regular Air"/>
    <n v="-116.21"/>
    <n v="5.98"/>
    <n v="4.38"/>
    <x v="340"/>
    <x v="6"/>
    <x v="5"/>
    <x v="1"/>
    <x v="1"/>
    <x v="7"/>
    <x v="29"/>
    <s v="Small Pack"/>
    <n v="0.75"/>
    <d v="2010-08-19T00:00:00"/>
    <n v="0"/>
    <n v="0"/>
    <n v="0.5"/>
    <n v="0.5"/>
  </r>
  <r>
    <n v="3227"/>
    <n v="23169"/>
    <x v="431"/>
    <x v="4"/>
    <s v="Critical"/>
    <n v="27"/>
    <n v="172.7"/>
    <n v="7.0000000000000007E-2"/>
    <s v="Regular Air"/>
    <n v="-42.97"/>
    <n v="6.48"/>
    <n v="5.1100000000000003"/>
    <x v="336"/>
    <x v="6"/>
    <x v="5"/>
    <x v="3"/>
    <x v="0"/>
    <x v="5"/>
    <x v="1159"/>
    <s v="Small Box"/>
    <n v="0.37"/>
    <d v="2011-06-25T00:00:00"/>
    <n v="0"/>
    <n v="0"/>
    <n v="0.5"/>
    <n v="0.5"/>
  </r>
  <r>
    <n v="3286"/>
    <n v="23522"/>
    <x v="94"/>
    <x v="37"/>
    <s v="Critical"/>
    <n v="8"/>
    <n v="180.43"/>
    <n v="0.02"/>
    <s v="Regular Air"/>
    <n v="-44.86"/>
    <n v="19.989999999999998"/>
    <n v="11.17"/>
    <x v="394"/>
    <x v="6"/>
    <x v="5"/>
    <x v="0"/>
    <x v="2"/>
    <x v="4"/>
    <x v="220"/>
    <s v="Large Box"/>
    <n v="0.6"/>
    <d v="2011-04-12T00:00:00"/>
    <n v="0"/>
    <n v="0"/>
    <n v="0.25"/>
    <n v="0.25"/>
  </r>
  <r>
    <n v="3303"/>
    <n v="23616"/>
    <x v="110"/>
    <x v="9"/>
    <s v="Not Specified"/>
    <n v="47"/>
    <n v="9262.35"/>
    <n v="0.09"/>
    <s v="Regular Air"/>
    <n v="2787.59"/>
    <n v="199.99"/>
    <n v="24.49"/>
    <x v="419"/>
    <x v="6"/>
    <x v="5"/>
    <x v="3"/>
    <x v="1"/>
    <x v="13"/>
    <x v="473"/>
    <s v="Large Box"/>
    <n v="0.46"/>
    <d v="2012-08-28T00:00:00"/>
    <n v="0"/>
    <n v="0"/>
    <n v="1"/>
    <n v="1"/>
  </r>
  <r>
    <n v="3526"/>
    <n v="25092"/>
    <x v="1042"/>
    <x v="15"/>
    <s v="High"/>
    <n v="42"/>
    <n v="242.8"/>
    <n v="7.0000000000000007E-2"/>
    <s v="Regular Air"/>
    <n v="95.91"/>
    <n v="5.84"/>
    <n v="1"/>
    <x v="395"/>
    <x v="6"/>
    <x v="5"/>
    <x v="1"/>
    <x v="0"/>
    <x v="12"/>
    <x v="867"/>
    <s v="Wrap Bag"/>
    <n v="0.38"/>
    <d v="2010-12-03T00:00:00"/>
    <n v="0"/>
    <n v="0"/>
    <n v="0.33333333333333331"/>
    <n v="0.33333333333333331"/>
  </r>
  <r>
    <n v="3538"/>
    <n v="25157"/>
    <x v="262"/>
    <x v="39"/>
    <s v="Not Specified"/>
    <n v="47"/>
    <n v="271.77999999999997"/>
    <n v="7.0000000000000007E-2"/>
    <s v="Regular Air"/>
    <n v="52.74"/>
    <n v="5.84"/>
    <n v="1.2"/>
    <x v="390"/>
    <x v="6"/>
    <x v="5"/>
    <x v="2"/>
    <x v="0"/>
    <x v="12"/>
    <x v="288"/>
    <s v="Wrap Bag"/>
    <n v="0.55000000000000004"/>
    <d v="2010-05-26T00:00:00"/>
    <n v="0"/>
    <n v="0"/>
    <n v="0.5"/>
    <n v="0.5"/>
  </r>
  <r>
    <n v="3545"/>
    <n v="25280"/>
    <x v="345"/>
    <x v="10"/>
    <s v="Not Specified"/>
    <n v="16"/>
    <n v="179.26"/>
    <n v="0.01"/>
    <s v="Regular Air"/>
    <n v="36.779500000000006"/>
    <n v="10.91"/>
    <n v="2.99"/>
    <x v="381"/>
    <x v="6"/>
    <x v="5"/>
    <x v="2"/>
    <x v="0"/>
    <x v="2"/>
    <x v="235"/>
    <s v="Small Box"/>
    <n v="0.38"/>
    <d v="2011-05-23T00:00:00"/>
    <n v="0"/>
    <n v="0"/>
    <n v="0.5"/>
    <n v="0.25"/>
  </r>
  <r>
    <n v="3547"/>
    <n v="25313"/>
    <x v="1032"/>
    <x v="9"/>
    <s v="Critical"/>
    <n v="19"/>
    <n v="418.7"/>
    <n v="0.05"/>
    <s v="Regular Air"/>
    <n v="22.88"/>
    <n v="22.01"/>
    <n v="5.53"/>
    <x v="336"/>
    <x v="6"/>
    <x v="5"/>
    <x v="2"/>
    <x v="0"/>
    <x v="12"/>
    <x v="869"/>
    <s v="Small Pack"/>
    <n v="0.59"/>
    <d v="2012-08-23T00:00:00"/>
    <n v="0"/>
    <n v="0"/>
    <n v="1"/>
    <n v="1"/>
  </r>
  <r>
    <n v="3581"/>
    <n v="25536"/>
    <x v="1245"/>
    <x v="2"/>
    <s v="Low"/>
    <n v="19"/>
    <n v="193.25"/>
    <n v="0.03"/>
    <s v="Regular Air"/>
    <n v="71.55"/>
    <n v="9.93"/>
    <n v="1.0900000000000001"/>
    <x v="297"/>
    <x v="6"/>
    <x v="5"/>
    <x v="0"/>
    <x v="0"/>
    <x v="12"/>
    <x v="800"/>
    <s v="Wrap Bag"/>
    <n v="0.43"/>
    <d v="2011-07-22T00:00:00"/>
    <n v="0"/>
    <n v="0"/>
    <n v="1"/>
    <n v="1"/>
  </r>
  <r>
    <n v="3598"/>
    <n v="25666"/>
    <x v="780"/>
    <x v="34"/>
    <s v="Critical"/>
    <n v="23"/>
    <n v="260.08"/>
    <n v="0.1"/>
    <s v="Regular Air"/>
    <n v="-37.85"/>
    <n v="12.21"/>
    <n v="4.8099999999999996"/>
    <x v="182"/>
    <x v="6"/>
    <x v="5"/>
    <x v="1"/>
    <x v="0"/>
    <x v="0"/>
    <x v="272"/>
    <s v="Small Box"/>
    <n v="0.57999999999999996"/>
    <d v="2012-09-02T00:00:00"/>
    <n v="0"/>
    <n v="0"/>
    <n v="0.5"/>
    <n v="0.5"/>
  </r>
  <r>
    <n v="3926"/>
    <n v="28001"/>
    <x v="798"/>
    <x v="41"/>
    <s v="Critical"/>
    <n v="41"/>
    <n v="8958.4599999999991"/>
    <n v="0.02"/>
    <s v="Regular Air"/>
    <n v="2593.14"/>
    <n v="209.84"/>
    <n v="21.21"/>
    <x v="356"/>
    <x v="6"/>
    <x v="5"/>
    <x v="3"/>
    <x v="2"/>
    <x v="4"/>
    <x v="922"/>
    <s v="Large Box"/>
    <n v="0.59"/>
    <d v="2009-06-14T00:00:00"/>
    <n v="0"/>
    <n v="0"/>
    <n v="0.5"/>
    <n v="0.5"/>
  </r>
  <r>
    <n v="4073"/>
    <n v="28999"/>
    <x v="651"/>
    <x v="22"/>
    <s v="High"/>
    <n v="34"/>
    <n v="1177.5"/>
    <n v="0.02"/>
    <s v="Regular Air"/>
    <n v="420.05"/>
    <n v="33.979999999999997"/>
    <n v="1.99"/>
    <x v="353"/>
    <x v="6"/>
    <x v="5"/>
    <x v="2"/>
    <x v="1"/>
    <x v="7"/>
    <x v="1070"/>
    <s v="Small Pack"/>
    <n v="0.45"/>
    <d v="2009-01-11T00:00:00"/>
    <n v="0"/>
    <n v="1"/>
    <n v="1"/>
    <n v="0.5"/>
  </r>
  <r>
    <n v="4178"/>
    <n v="29666"/>
    <x v="294"/>
    <x v="25"/>
    <s v="Not Specified"/>
    <n v="44"/>
    <n v="362.75"/>
    <n v="0.08"/>
    <s v="Regular Air"/>
    <n v="-54.47"/>
    <n v="8.32"/>
    <n v="2.38"/>
    <x v="398"/>
    <x v="6"/>
    <x v="5"/>
    <x v="0"/>
    <x v="1"/>
    <x v="7"/>
    <x v="1090"/>
    <s v="Small Pack"/>
    <n v="0.74"/>
    <d v="2012-01-01T00:00:00"/>
    <n v="0"/>
    <n v="0"/>
    <n v="0.5"/>
    <n v="0.5"/>
  </r>
  <r>
    <n v="4299"/>
    <n v="30599"/>
    <x v="403"/>
    <x v="12"/>
    <s v="Not Specified"/>
    <n v="23"/>
    <n v="105.93"/>
    <n v="0.05"/>
    <s v="Regular Air"/>
    <n v="33.47"/>
    <n v="4.76"/>
    <n v="0.88"/>
    <x v="407"/>
    <x v="6"/>
    <x v="5"/>
    <x v="2"/>
    <x v="0"/>
    <x v="5"/>
    <x v="565"/>
    <s v="Wrap Bag"/>
    <n v="0.39"/>
    <d v="2012-02-12T00:00:00"/>
    <n v="0"/>
    <n v="0"/>
    <n v="1"/>
    <n v="1"/>
  </r>
  <r>
    <n v="4381"/>
    <n v="31232"/>
    <x v="903"/>
    <x v="9"/>
    <s v="High"/>
    <n v="9"/>
    <n v="2643.15"/>
    <n v="0.01"/>
    <s v="Delivery Truck"/>
    <n v="-715.11440000000016"/>
    <n v="286.85000000000002"/>
    <n v="61.76"/>
    <x v="351"/>
    <x v="6"/>
    <x v="5"/>
    <x v="3"/>
    <x v="2"/>
    <x v="10"/>
    <x v="832"/>
    <s v="Jumbo Box"/>
    <n v="0.78"/>
    <d v="2012-09-01T00:00:00"/>
    <n v="0"/>
    <n v="0"/>
    <n v="1"/>
    <n v="1"/>
  </r>
  <r>
    <n v="4388"/>
    <n v="31239"/>
    <x v="3"/>
    <x v="3"/>
    <s v="Low"/>
    <n v="20"/>
    <n v="677.9"/>
    <n v="0.05"/>
    <s v="Regular Air"/>
    <n v="196.36"/>
    <n v="33.979999999999997"/>
    <n v="1.99"/>
    <x v="351"/>
    <x v="6"/>
    <x v="5"/>
    <x v="2"/>
    <x v="1"/>
    <x v="7"/>
    <x v="1070"/>
    <s v="Small Pack"/>
    <n v="0.45"/>
    <d v="2010-09-02T00:00:00"/>
    <n v="0"/>
    <n v="0"/>
    <n v="1"/>
    <n v="1"/>
  </r>
  <r>
    <n v="4403"/>
    <n v="31392"/>
    <x v="139"/>
    <x v="39"/>
    <s v="Low"/>
    <n v="44"/>
    <n v="3249.09"/>
    <n v="0.1"/>
    <s v="Regular Air"/>
    <n v="-1326.29"/>
    <n v="78.8"/>
    <n v="35"/>
    <x v="350"/>
    <x v="6"/>
    <x v="5"/>
    <x v="3"/>
    <x v="0"/>
    <x v="0"/>
    <x v="1160"/>
    <s v="Large Box"/>
    <n v="0.83"/>
    <d v="2010-05-10T00:00:00"/>
    <n v="0"/>
    <n v="0"/>
    <n v="0.5"/>
    <n v="0.33333333333333331"/>
  </r>
  <r>
    <n v="4552"/>
    <n v="32389"/>
    <x v="1044"/>
    <x v="0"/>
    <s v="Medium"/>
    <n v="8"/>
    <n v="121.62400000000001"/>
    <n v="0"/>
    <s v="Delivery Truck"/>
    <n v="11.650950000000002"/>
    <n v="15.23"/>
    <n v="27.75"/>
    <x v="398"/>
    <x v="6"/>
    <x v="5"/>
    <x v="0"/>
    <x v="2"/>
    <x v="10"/>
    <x v="897"/>
    <s v="Jumbo Box"/>
    <n v="0.76"/>
    <d v="2010-11-01T00:00:00"/>
    <n v="0"/>
    <n v="0"/>
    <n v="0.33333333333333331"/>
    <n v="0.25"/>
  </r>
  <r>
    <n v="4646"/>
    <n v="33090"/>
    <x v="118"/>
    <x v="26"/>
    <s v="Medium"/>
    <n v="26"/>
    <n v="1033.93"/>
    <n v="0"/>
    <s v="Regular Air"/>
    <n v="63.41"/>
    <n v="37.76"/>
    <n v="12.9"/>
    <x v="392"/>
    <x v="6"/>
    <x v="5"/>
    <x v="2"/>
    <x v="0"/>
    <x v="0"/>
    <x v="833"/>
    <s v="Small Box"/>
    <n v="0.56999999999999995"/>
    <d v="2009-08-06T00:00:00"/>
    <n v="0"/>
    <n v="0"/>
    <n v="1"/>
    <n v="0.33333333333333331"/>
  </r>
  <r>
    <n v="4785"/>
    <n v="33987"/>
    <x v="1076"/>
    <x v="17"/>
    <s v="High"/>
    <n v="19"/>
    <n v="1616.87"/>
    <n v="0.1"/>
    <s v="Delivery Truck"/>
    <n v="-189.55"/>
    <n v="90.98"/>
    <n v="30"/>
    <x v="372"/>
    <x v="6"/>
    <x v="5"/>
    <x v="0"/>
    <x v="2"/>
    <x v="14"/>
    <x v="557"/>
    <s v="Jumbo Drum"/>
    <n v="0.61"/>
    <d v="2011-10-26T00:00:00"/>
    <n v="0"/>
    <n v="0"/>
    <n v="0.5"/>
    <n v="0.5"/>
  </r>
  <r>
    <n v="5298"/>
    <n v="37731"/>
    <x v="669"/>
    <x v="11"/>
    <s v="Critical"/>
    <n v="24"/>
    <n v="752.63"/>
    <n v="0.01"/>
    <s v="Regular Air"/>
    <n v="172.94"/>
    <n v="30.98"/>
    <n v="9.18"/>
    <x v="422"/>
    <x v="6"/>
    <x v="5"/>
    <x v="3"/>
    <x v="0"/>
    <x v="5"/>
    <x v="1089"/>
    <s v="Small Box"/>
    <n v="0.4"/>
    <d v="2009-11-04T00:00:00"/>
    <n v="0"/>
    <n v="0"/>
    <n v="0.5"/>
    <n v="0.5"/>
  </r>
  <r>
    <n v="5391"/>
    <n v="38337"/>
    <x v="1044"/>
    <x v="0"/>
    <s v="Medium"/>
    <n v="46"/>
    <n v="130.9"/>
    <n v="0.09"/>
    <s v="Regular Air"/>
    <n v="18.75"/>
    <n v="2.88"/>
    <n v="0.7"/>
    <x v="365"/>
    <x v="6"/>
    <x v="5"/>
    <x v="2"/>
    <x v="0"/>
    <x v="12"/>
    <x v="808"/>
    <s v="Wrap Bag"/>
    <n v="0.56000000000000005"/>
    <d v="2010-11-02T00:00:00"/>
    <n v="0"/>
    <n v="0"/>
    <n v="1"/>
    <n v="1"/>
  </r>
  <r>
    <n v="5396"/>
    <n v="38369"/>
    <x v="1230"/>
    <x v="38"/>
    <s v="Not Specified"/>
    <n v="3"/>
    <n v="224.74400000000003"/>
    <n v="0.02"/>
    <s v="Regular Air"/>
    <n v="54.598050000000008"/>
    <n v="71.37"/>
    <n v="69"/>
    <x v="338"/>
    <x v="6"/>
    <x v="5"/>
    <x v="1"/>
    <x v="2"/>
    <x v="10"/>
    <x v="17"/>
    <s v="Large Box"/>
    <n v="0.68"/>
    <d v="2010-01-13T00:00:00"/>
    <n v="1"/>
    <n v="0"/>
    <n v="1"/>
    <n v="0.25"/>
  </r>
  <r>
    <n v="5454"/>
    <n v="38723"/>
    <x v="475"/>
    <x v="34"/>
    <s v="Critical"/>
    <n v="9"/>
    <n v="169.27"/>
    <n v="0.09"/>
    <s v="Regular Air"/>
    <n v="-68.930000000000007"/>
    <n v="19.98"/>
    <n v="4"/>
    <x v="422"/>
    <x v="6"/>
    <x v="5"/>
    <x v="3"/>
    <x v="1"/>
    <x v="7"/>
    <x v="507"/>
    <s v="Small Box"/>
    <n v="0.68"/>
    <d v="2012-09-21T00:00:00"/>
    <n v="0"/>
    <n v="0"/>
    <n v="0.5"/>
    <n v="0.5"/>
  </r>
  <r>
    <n v="5542"/>
    <n v="39266"/>
    <x v="1072"/>
    <x v="9"/>
    <s v="High"/>
    <n v="16"/>
    <n v="981.26"/>
    <n v="0.09"/>
    <s v="Regular Air"/>
    <n v="-500.35"/>
    <n v="60.98"/>
    <n v="49"/>
    <x v="349"/>
    <x v="6"/>
    <x v="5"/>
    <x v="0"/>
    <x v="0"/>
    <x v="1"/>
    <x v="347"/>
    <s v="Large Box"/>
    <n v="0.59"/>
    <d v="2012-08-29T00:00:00"/>
    <n v="0"/>
    <n v="0"/>
    <n v="0.33333333333333331"/>
    <n v="0.25"/>
  </r>
  <r>
    <n v="5672"/>
    <n v="40103"/>
    <x v="287"/>
    <x v="18"/>
    <s v="Not Specified"/>
    <n v="7"/>
    <n v="353.02"/>
    <n v="0"/>
    <s v="Regular Air"/>
    <n v="72.55"/>
    <n v="46.89"/>
    <n v="5.0999999999999996"/>
    <x v="297"/>
    <x v="6"/>
    <x v="5"/>
    <x v="0"/>
    <x v="0"/>
    <x v="1"/>
    <x v="233"/>
    <s v="Medium Box"/>
    <n v="0.46"/>
    <d v="2010-09-27T00:00:00"/>
    <n v="0"/>
    <n v="0"/>
    <n v="1"/>
    <n v="1"/>
  </r>
  <r>
    <n v="5674"/>
    <n v="40131"/>
    <x v="27"/>
    <x v="20"/>
    <s v="Low"/>
    <n v="24"/>
    <n v="222.43"/>
    <n v="0.06"/>
    <s v="Regular Air"/>
    <n v="-119.31"/>
    <n v="9.06"/>
    <n v="9.86"/>
    <x v="387"/>
    <x v="6"/>
    <x v="5"/>
    <x v="3"/>
    <x v="0"/>
    <x v="5"/>
    <x v="718"/>
    <s v="Small Box"/>
    <n v="0.4"/>
    <d v="2012-05-02T00:00:00"/>
    <n v="0"/>
    <n v="0"/>
    <n v="1"/>
    <n v="1"/>
  </r>
  <r>
    <n v="5848"/>
    <n v="41504"/>
    <x v="671"/>
    <x v="1"/>
    <s v="Critical"/>
    <n v="20"/>
    <n v="302.94"/>
    <n v="7.0000000000000007E-2"/>
    <s v="Regular Air"/>
    <n v="-30.2"/>
    <n v="15.51"/>
    <n v="5.8"/>
    <x v="374"/>
    <x v="6"/>
    <x v="5"/>
    <x v="2"/>
    <x v="0"/>
    <x v="0"/>
    <x v="1186"/>
    <s v="Small Box"/>
    <n v="0.6"/>
    <d v="2012-10-30T00:00:00"/>
    <n v="0"/>
    <n v="0"/>
    <n v="1"/>
    <n v="1"/>
  </r>
  <r>
    <n v="6155"/>
    <n v="43588"/>
    <x v="214"/>
    <x v="34"/>
    <s v="Medium"/>
    <n v="6"/>
    <n v="20.47"/>
    <n v="0.09"/>
    <s v="Regular Air"/>
    <n v="-0.74"/>
    <n v="3.38"/>
    <n v="1.0900000000000001"/>
    <x v="376"/>
    <x v="6"/>
    <x v="5"/>
    <x v="3"/>
    <x v="0"/>
    <x v="5"/>
    <x v="1042"/>
    <s v="Wrap Bag"/>
    <n v="0.39"/>
    <d v="2012-09-02T00:00:00"/>
    <n v="0"/>
    <n v="0"/>
    <n v="0.5"/>
    <n v="0.5"/>
  </r>
  <r>
    <n v="6174"/>
    <n v="43751"/>
    <x v="102"/>
    <x v="8"/>
    <s v="High"/>
    <n v="43"/>
    <n v="621.44000000000005"/>
    <n v="0.08"/>
    <s v="Regular Air"/>
    <n v="-130.96"/>
    <n v="15.14"/>
    <n v="4.53"/>
    <x v="407"/>
    <x v="6"/>
    <x v="5"/>
    <x v="2"/>
    <x v="0"/>
    <x v="0"/>
    <x v="560"/>
    <s v="Small Box"/>
    <n v="0.81"/>
    <d v="2012-06-29T00:00:00"/>
    <n v="0"/>
    <n v="0"/>
    <n v="1"/>
    <n v="1"/>
  </r>
  <r>
    <n v="6278"/>
    <n v="44448"/>
    <x v="1128"/>
    <x v="46"/>
    <s v="Critical"/>
    <n v="28"/>
    <n v="951.06"/>
    <n v="0.02"/>
    <s v="Regular Air"/>
    <n v="331.27"/>
    <n v="33.979999999999997"/>
    <n v="1.99"/>
    <x v="335"/>
    <x v="6"/>
    <x v="5"/>
    <x v="0"/>
    <x v="1"/>
    <x v="7"/>
    <x v="1070"/>
    <s v="Small Pack"/>
    <n v="0.45"/>
    <d v="2009-04-15T00:00:00"/>
    <n v="0"/>
    <n v="0"/>
    <n v="1"/>
    <n v="0.5"/>
  </r>
  <r>
    <n v="6540"/>
    <n v="46531"/>
    <x v="1049"/>
    <x v="21"/>
    <s v="Low"/>
    <n v="2"/>
    <n v="19.34"/>
    <n v="0.1"/>
    <s v="Regular Air"/>
    <n v="-14.375"/>
    <n v="7.1"/>
    <n v="6.05"/>
    <x v="341"/>
    <x v="6"/>
    <x v="5"/>
    <x v="1"/>
    <x v="0"/>
    <x v="2"/>
    <x v="310"/>
    <s v="Small Box"/>
    <n v="0.39"/>
    <d v="2011-08-30T00:00:00"/>
    <n v="0"/>
    <n v="0"/>
    <n v="0.25"/>
    <n v="0.25"/>
  </r>
  <r>
    <n v="6546"/>
    <n v="46534"/>
    <x v="1232"/>
    <x v="1"/>
    <s v="High"/>
    <n v="13"/>
    <n v="1341.31"/>
    <n v="0.05"/>
    <s v="Regular Air"/>
    <n v="5.5499999999999829"/>
    <n v="99.99"/>
    <n v="19.989999999999998"/>
    <x v="371"/>
    <x v="6"/>
    <x v="5"/>
    <x v="1"/>
    <x v="1"/>
    <x v="16"/>
    <x v="284"/>
    <s v="Small Box"/>
    <n v="0.52"/>
    <d v="2012-10-05T00:00:00"/>
    <n v="0"/>
    <n v="0"/>
    <n v="1"/>
    <n v="1"/>
  </r>
  <r>
    <n v="6664"/>
    <n v="47459"/>
    <x v="1091"/>
    <x v="21"/>
    <s v="Not Specified"/>
    <n v="10"/>
    <n v="197.21"/>
    <n v="0.06"/>
    <s v="Regular Air"/>
    <n v="56.882000000000005"/>
    <n v="20.98"/>
    <n v="1.49"/>
    <x v="416"/>
    <x v="6"/>
    <x v="5"/>
    <x v="3"/>
    <x v="0"/>
    <x v="2"/>
    <x v="498"/>
    <s v="Small Box"/>
    <n v="0.35"/>
    <d v="2011-08-18T00:00:00"/>
    <n v="0"/>
    <n v="0"/>
    <n v="1"/>
    <n v="1"/>
  </r>
  <r>
    <n v="6804"/>
    <n v="48455"/>
    <x v="1022"/>
    <x v="41"/>
    <s v="Critical"/>
    <n v="2"/>
    <n v="25.96"/>
    <n v="0.06"/>
    <s v="Regular Air"/>
    <n v="-29.292900000000003"/>
    <n v="9.99"/>
    <n v="6.24"/>
    <x v="297"/>
    <x v="6"/>
    <x v="5"/>
    <x v="0"/>
    <x v="1"/>
    <x v="16"/>
    <x v="1187"/>
    <s v="Medium Box"/>
    <n v="0.36"/>
    <d v="2009-06-03T00:00:00"/>
    <n v="0"/>
    <n v="0"/>
    <n v="0.33333333333333331"/>
    <n v="0.33333333333333331"/>
  </r>
  <r>
    <n v="6881"/>
    <n v="49056"/>
    <x v="278"/>
    <x v="19"/>
    <s v="High"/>
    <n v="5"/>
    <n v="248.3955"/>
    <n v="0.05"/>
    <s v="Regular Air"/>
    <n v="-260.34800000000001"/>
    <n v="55.99"/>
    <n v="5"/>
    <x v="354"/>
    <x v="6"/>
    <x v="5"/>
    <x v="3"/>
    <x v="1"/>
    <x v="3"/>
    <x v="159"/>
    <s v="Small Pack"/>
    <n v="0.8"/>
    <d v="2009-10-01T00:00:00"/>
    <n v="0"/>
    <n v="0"/>
    <n v="0.5"/>
    <n v="0.5"/>
  </r>
  <r>
    <n v="6897"/>
    <n v="49190"/>
    <x v="458"/>
    <x v="45"/>
    <s v="High"/>
    <n v="4"/>
    <n v="28.04"/>
    <n v="0.09"/>
    <s v="Regular Air"/>
    <n v="-4.45"/>
    <n v="6.88"/>
    <n v="2"/>
    <x v="383"/>
    <x v="6"/>
    <x v="5"/>
    <x v="2"/>
    <x v="0"/>
    <x v="5"/>
    <x v="810"/>
    <s v="Wrap Bag"/>
    <n v="0.39"/>
    <d v="2012-12-12T00:00:00"/>
    <n v="0"/>
    <n v="0"/>
    <n v="1"/>
    <n v="0.25"/>
  </r>
  <r>
    <n v="7259"/>
    <n v="51783"/>
    <x v="1079"/>
    <x v="27"/>
    <s v="Medium"/>
    <n v="13"/>
    <n v="646.54999999999995"/>
    <n v="0.05"/>
    <s v="Regular Air"/>
    <n v="244.13"/>
    <n v="48.04"/>
    <n v="5.79"/>
    <x v="293"/>
    <x v="6"/>
    <x v="5"/>
    <x v="1"/>
    <x v="0"/>
    <x v="5"/>
    <x v="728"/>
    <s v="Small Box"/>
    <n v="0.37"/>
    <d v="2011-11-13T00:00:00"/>
    <n v="0"/>
    <n v="0"/>
    <n v="0.33333333333333331"/>
    <n v="0.33333333333333331"/>
  </r>
  <r>
    <n v="7294"/>
    <n v="52006"/>
    <x v="342"/>
    <x v="41"/>
    <s v="Medium"/>
    <n v="39"/>
    <n v="392.81"/>
    <n v="0.1"/>
    <s v="Regular Air"/>
    <n v="13.91"/>
    <n v="10.48"/>
    <n v="2.89"/>
    <x v="334"/>
    <x v="6"/>
    <x v="5"/>
    <x v="2"/>
    <x v="0"/>
    <x v="12"/>
    <x v="373"/>
    <s v="Small Pack"/>
    <n v="0.6"/>
    <d v="2009-06-25T00:00:00"/>
    <n v="0"/>
    <n v="0"/>
    <n v="0.5"/>
    <n v="0.5"/>
  </r>
  <r>
    <n v="7632"/>
    <n v="54595"/>
    <x v="464"/>
    <x v="46"/>
    <s v="Medium"/>
    <n v="41"/>
    <n v="5258.94"/>
    <n v="0.09"/>
    <s v="Delivery Truck"/>
    <n v="-421.76"/>
    <n v="130.97999999999999"/>
    <n v="30"/>
    <x v="389"/>
    <x v="6"/>
    <x v="5"/>
    <x v="0"/>
    <x v="2"/>
    <x v="14"/>
    <x v="156"/>
    <s v="Jumbo Drum"/>
    <n v="0.78"/>
    <d v="2009-05-01T00:00:00"/>
    <n v="0"/>
    <n v="0"/>
    <n v="0.5"/>
    <n v="0.5"/>
  </r>
  <r>
    <n v="7701"/>
    <n v="55202"/>
    <x v="1127"/>
    <x v="21"/>
    <s v="Low"/>
    <n v="49"/>
    <n v="6335.8575000000001"/>
    <n v="0.08"/>
    <s v="Regular Air"/>
    <n v="1620.2249999999999"/>
    <n v="155.99"/>
    <n v="8.99"/>
    <x v="409"/>
    <x v="6"/>
    <x v="5"/>
    <x v="0"/>
    <x v="1"/>
    <x v="3"/>
    <x v="19"/>
    <s v="Small Box"/>
    <n v="0.57999999999999996"/>
    <d v="2011-08-31T00:00:00"/>
    <n v="0"/>
    <n v="0"/>
    <n v="0.5"/>
    <n v="0.25"/>
  </r>
  <r>
    <n v="7743"/>
    <n v="55431"/>
    <x v="8"/>
    <x v="8"/>
    <s v="Not Specified"/>
    <n v="13"/>
    <n v="3723.99"/>
    <n v="0.03"/>
    <s v="Regular Air"/>
    <n v="777.28"/>
    <n v="289.52999999999997"/>
    <n v="19.989999999999998"/>
    <x v="545"/>
    <x v="6"/>
    <x v="5"/>
    <x v="2"/>
    <x v="0"/>
    <x v="1"/>
    <x v="866"/>
    <s v="Small Box"/>
    <n v="0.56000000000000005"/>
    <d v="2012-06-09T00:00:00"/>
    <n v="0"/>
    <n v="0"/>
    <n v="0.5"/>
    <n v="0.5"/>
  </r>
  <r>
    <n v="7786"/>
    <n v="55713"/>
    <x v="328"/>
    <x v="40"/>
    <s v="High"/>
    <n v="49"/>
    <n v="5718.85"/>
    <n v="0.09"/>
    <s v="Delivery Truck"/>
    <n v="-2426.5500000000002"/>
    <n v="122.99"/>
    <n v="70.2"/>
    <x v="543"/>
    <x v="6"/>
    <x v="5"/>
    <x v="2"/>
    <x v="2"/>
    <x v="14"/>
    <x v="301"/>
    <s v="Jumbo Drum"/>
    <n v="0.74"/>
    <d v="2009-02-04T00:00:00"/>
    <n v="0"/>
    <n v="0"/>
    <n v="1"/>
    <n v="1"/>
  </r>
  <r>
    <n v="8069"/>
    <n v="57570"/>
    <x v="837"/>
    <x v="34"/>
    <s v="High"/>
    <n v="15"/>
    <n v="675.23"/>
    <n v="0.1"/>
    <s v="Regular Air"/>
    <n v="204.08"/>
    <n v="48.04"/>
    <n v="7.23"/>
    <x v="232"/>
    <x v="6"/>
    <x v="5"/>
    <x v="2"/>
    <x v="0"/>
    <x v="5"/>
    <x v="399"/>
    <s v="Small Box"/>
    <n v="0.37"/>
    <d v="2012-09-30T00:00:00"/>
    <n v="0"/>
    <n v="0"/>
    <n v="0.5"/>
    <n v="0.5"/>
  </r>
  <r>
    <n v="8171"/>
    <n v="58372"/>
    <x v="284"/>
    <x v="37"/>
    <s v="Low"/>
    <n v="16"/>
    <n v="38.200000000000003"/>
    <n v="7.0000000000000007E-2"/>
    <s v="Express Air"/>
    <n v="4.34"/>
    <n v="2.21"/>
    <n v="1"/>
    <x v="293"/>
    <x v="6"/>
    <x v="5"/>
    <x v="2"/>
    <x v="0"/>
    <x v="12"/>
    <x v="1157"/>
    <s v="Wrap Bag"/>
    <n v="0.38"/>
    <d v="2011-04-06T00:00:00"/>
    <n v="0"/>
    <n v="0"/>
    <n v="0.5"/>
    <n v="0.5"/>
  </r>
  <r>
    <n v="8327"/>
    <n v="59552"/>
    <x v="892"/>
    <x v="38"/>
    <s v="Not Specified"/>
    <n v="39"/>
    <n v="314.26"/>
    <n v="0"/>
    <s v="Regular Air"/>
    <n v="-71.046999999999997"/>
    <n v="7.45"/>
    <n v="6.28"/>
    <x v="422"/>
    <x v="6"/>
    <x v="5"/>
    <x v="3"/>
    <x v="0"/>
    <x v="2"/>
    <x v="834"/>
    <s v="Small Box"/>
    <n v="0.4"/>
    <d v="2010-01-14T00:00:00"/>
    <n v="1"/>
    <n v="0"/>
    <n v="1"/>
    <n v="1"/>
  </r>
  <r>
    <n v="329"/>
    <n v="2272"/>
    <x v="68"/>
    <x v="24"/>
    <s v="High"/>
    <n v="39"/>
    <n v="7680.29"/>
    <n v="0.08"/>
    <s v="Delivery Truck"/>
    <n v="-513.79042000000004"/>
    <n v="212.6"/>
    <n v="52.2"/>
    <x v="546"/>
    <x v="6"/>
    <x v="5"/>
    <x v="1"/>
    <x v="2"/>
    <x v="10"/>
    <x v="763"/>
    <s v="Jumbo Box"/>
    <n v="0.64"/>
    <d v="2010-04-12T00:00:00"/>
    <n v="0"/>
    <n v="0"/>
    <n v="1"/>
    <n v="1"/>
  </r>
  <r>
    <n v="901"/>
    <n v="6498"/>
    <x v="999"/>
    <x v="28"/>
    <s v="Medium"/>
    <n v="38"/>
    <n v="336.85"/>
    <n v="0.01"/>
    <s v="Express Air"/>
    <n v="-40.76"/>
    <n v="8.1199999999999992"/>
    <n v="2.83"/>
    <x v="206"/>
    <x v="6"/>
    <x v="5"/>
    <x v="3"/>
    <x v="1"/>
    <x v="7"/>
    <x v="483"/>
    <s v="Small Pack"/>
    <n v="0.77"/>
    <d v="2009-03-18T00:00:00"/>
    <n v="0"/>
    <n v="0"/>
    <n v="1"/>
    <n v="1"/>
  </r>
  <r>
    <n v="2264"/>
    <n v="16260"/>
    <x v="1174"/>
    <x v="27"/>
    <s v="High"/>
    <n v="47"/>
    <n v="14960.096"/>
    <n v="0.01"/>
    <s v="Delivery Truck"/>
    <n v="-969.0483660000001"/>
    <n v="400.98"/>
    <n v="42.52"/>
    <x v="298"/>
    <x v="6"/>
    <x v="5"/>
    <x v="2"/>
    <x v="2"/>
    <x v="10"/>
    <x v="861"/>
    <s v="Jumbo Box"/>
    <n v="0.71"/>
    <d v="2011-11-14T00:00:00"/>
    <n v="0"/>
    <n v="0"/>
    <n v="1"/>
    <n v="1"/>
  </r>
  <r>
    <n v="2275"/>
    <n v="16359"/>
    <x v="943"/>
    <x v="20"/>
    <s v="Critical"/>
    <n v="39"/>
    <n v="1343.6"/>
    <n v="0.06"/>
    <s v="Regular Air"/>
    <n v="137.86000000000001"/>
    <n v="35.89"/>
    <n v="14.72"/>
    <x v="546"/>
    <x v="6"/>
    <x v="5"/>
    <x v="1"/>
    <x v="0"/>
    <x v="8"/>
    <x v="635"/>
    <s v="Small Box"/>
    <n v="0.4"/>
    <d v="2012-05-15T00:00:00"/>
    <n v="0"/>
    <n v="0"/>
    <n v="0.5"/>
    <n v="0.5"/>
  </r>
  <r>
    <n v="2276"/>
    <n v="16359"/>
    <x v="943"/>
    <x v="20"/>
    <s v="Critical"/>
    <n v="8"/>
    <n v="35.28"/>
    <n v="0"/>
    <s v="Regular Air"/>
    <n v="-39.07"/>
    <n v="3.34"/>
    <n v="7.49"/>
    <x v="546"/>
    <x v="6"/>
    <x v="5"/>
    <x v="1"/>
    <x v="0"/>
    <x v="12"/>
    <x v="596"/>
    <s v="Wrap Bag"/>
    <n v="0.54"/>
    <d v="2012-05-14T00:00:00"/>
    <n v="0"/>
    <n v="0"/>
    <n v="0.5"/>
    <n v="0.5"/>
  </r>
  <r>
    <n v="3059"/>
    <n v="21922"/>
    <x v="1246"/>
    <x v="11"/>
    <s v="High"/>
    <n v="17"/>
    <n v="8937.3799999999992"/>
    <n v="0.01"/>
    <s v="Delivery Truck"/>
    <n v="2383.42"/>
    <n v="500.98"/>
    <n v="26"/>
    <x v="547"/>
    <x v="6"/>
    <x v="5"/>
    <x v="2"/>
    <x v="2"/>
    <x v="14"/>
    <x v="38"/>
    <s v="Jumbo Drum"/>
    <n v="0.6"/>
    <d v="2009-11-12T00:00:00"/>
    <n v="0"/>
    <n v="0"/>
    <n v="0.33333333333333331"/>
    <n v="0.33333333333333331"/>
  </r>
  <r>
    <n v="3060"/>
    <n v="21922"/>
    <x v="1246"/>
    <x v="11"/>
    <s v="High"/>
    <n v="11"/>
    <n v="108.85"/>
    <n v="0.08"/>
    <s v="Regular Air"/>
    <n v="10.58"/>
    <n v="9.77"/>
    <n v="6.02"/>
    <x v="547"/>
    <x v="6"/>
    <x v="5"/>
    <x v="2"/>
    <x v="2"/>
    <x v="4"/>
    <x v="321"/>
    <s v="Medium Box"/>
    <n v="0.48"/>
    <d v="2009-11-12T00:00:00"/>
    <n v="0"/>
    <n v="0"/>
    <n v="0.33333333333333331"/>
    <n v="0.33333333333333331"/>
  </r>
  <r>
    <n v="3061"/>
    <n v="21922"/>
    <x v="1246"/>
    <x v="11"/>
    <s v="High"/>
    <n v="49"/>
    <n v="157.47"/>
    <n v="0.09"/>
    <s v="Regular Air"/>
    <n v="8.07"/>
    <n v="3.28"/>
    <n v="0.98"/>
    <x v="547"/>
    <x v="6"/>
    <x v="5"/>
    <x v="2"/>
    <x v="0"/>
    <x v="12"/>
    <x v="1188"/>
    <s v="Wrap Bag"/>
    <n v="0.59"/>
    <d v="2009-11-13T00:00:00"/>
    <n v="0"/>
    <n v="0"/>
    <n v="0.33333333333333331"/>
    <n v="0.33333333333333331"/>
  </r>
  <r>
    <n v="3296"/>
    <n v="23558"/>
    <x v="885"/>
    <x v="21"/>
    <s v="Low"/>
    <n v="4"/>
    <n v="25.82"/>
    <n v="0.01"/>
    <s v="Regular Air"/>
    <n v="-10.19"/>
    <n v="4.9800000000000004"/>
    <n v="4.72"/>
    <x v="206"/>
    <x v="6"/>
    <x v="5"/>
    <x v="3"/>
    <x v="0"/>
    <x v="5"/>
    <x v="751"/>
    <s v="Small Box"/>
    <n v="0.36"/>
    <d v="2011-08-11T00:00:00"/>
    <n v="0"/>
    <n v="0"/>
    <n v="0.5"/>
    <n v="0.5"/>
  </r>
  <r>
    <n v="3297"/>
    <n v="23558"/>
    <x v="885"/>
    <x v="21"/>
    <s v="Low"/>
    <n v="17"/>
    <n v="579.71"/>
    <n v="0.03"/>
    <s v="Delivery Truck"/>
    <n v="24.296400000000002"/>
    <n v="31.76"/>
    <n v="45.51"/>
    <x v="206"/>
    <x v="6"/>
    <x v="5"/>
    <x v="3"/>
    <x v="2"/>
    <x v="10"/>
    <x v="465"/>
    <s v="Jumbo Box"/>
    <n v="0.65"/>
    <d v="2011-08-14T00:00:00"/>
    <n v="0"/>
    <n v="0"/>
    <n v="0.5"/>
    <n v="0.5"/>
  </r>
  <r>
    <n v="3818"/>
    <n v="27205"/>
    <x v="344"/>
    <x v="39"/>
    <s v="Not Specified"/>
    <n v="12"/>
    <n v="87.11"/>
    <n v="0.08"/>
    <s v="Regular Air"/>
    <n v="-43.65"/>
    <n v="7.28"/>
    <n v="3.52"/>
    <x v="547"/>
    <x v="6"/>
    <x v="5"/>
    <x v="2"/>
    <x v="1"/>
    <x v="7"/>
    <x v="570"/>
    <s v="Small Pack"/>
    <n v="0.68"/>
    <d v="2010-05-23T00:00:00"/>
    <n v="0"/>
    <n v="0"/>
    <n v="1"/>
    <n v="1"/>
  </r>
  <r>
    <n v="3850"/>
    <n v="27461"/>
    <x v="6"/>
    <x v="6"/>
    <s v="Critical"/>
    <n v="40"/>
    <n v="121.92"/>
    <n v="0.09"/>
    <s v="Express Air"/>
    <n v="51.23"/>
    <n v="2.88"/>
    <n v="0.5"/>
    <x v="241"/>
    <x v="6"/>
    <x v="5"/>
    <x v="2"/>
    <x v="0"/>
    <x v="11"/>
    <x v="210"/>
    <s v="Small Box"/>
    <n v="0.39"/>
    <d v="2010-02-26T00:00:00"/>
    <n v="0"/>
    <n v="0"/>
    <n v="0.5"/>
    <n v="0.5"/>
  </r>
  <r>
    <n v="3851"/>
    <n v="27461"/>
    <x v="6"/>
    <x v="6"/>
    <s v="Critical"/>
    <n v="26"/>
    <n v="1096.17"/>
    <n v="0.01"/>
    <s v="Regular Air"/>
    <n v="110.78"/>
    <n v="40.99"/>
    <n v="19.989999999999998"/>
    <x v="241"/>
    <x v="6"/>
    <x v="5"/>
    <x v="2"/>
    <x v="0"/>
    <x v="5"/>
    <x v="30"/>
    <s v="Small Box"/>
    <n v="0.36"/>
    <d v="2010-02-26T00:00:00"/>
    <n v="0"/>
    <n v="0"/>
    <n v="0.5"/>
    <n v="0.5"/>
  </r>
  <r>
    <n v="4215"/>
    <n v="29957"/>
    <x v="525"/>
    <x v="14"/>
    <s v="Critical"/>
    <n v="31"/>
    <n v="1447.62"/>
    <n v="7.0000000000000007E-2"/>
    <s v="Regular Air"/>
    <n v="576.39"/>
    <n v="48.04"/>
    <n v="7.23"/>
    <x v="548"/>
    <x v="6"/>
    <x v="5"/>
    <x v="2"/>
    <x v="0"/>
    <x v="5"/>
    <x v="399"/>
    <s v="Small Box"/>
    <n v="0.37"/>
    <d v="2010-03-14T00:00:00"/>
    <n v="0"/>
    <n v="0"/>
    <n v="0.5"/>
    <n v="0.5"/>
  </r>
  <r>
    <n v="4295"/>
    <n v="30593"/>
    <x v="377"/>
    <x v="2"/>
    <s v="Critical"/>
    <n v="20"/>
    <n v="97.65"/>
    <n v="0.04"/>
    <s v="Express Air"/>
    <n v="-90.07"/>
    <n v="4.18"/>
    <n v="6.92"/>
    <x v="115"/>
    <x v="6"/>
    <x v="5"/>
    <x v="0"/>
    <x v="2"/>
    <x v="4"/>
    <x v="760"/>
    <s v="Small Box"/>
    <n v="0.49"/>
    <d v="2011-07-27T00:00:00"/>
    <n v="0"/>
    <n v="0"/>
    <n v="0.5"/>
    <n v="0.5"/>
  </r>
  <r>
    <n v="4296"/>
    <n v="30593"/>
    <x v="377"/>
    <x v="2"/>
    <s v="Critical"/>
    <n v="41"/>
    <n v="1408.34"/>
    <n v="0.06"/>
    <s v="Regular Air"/>
    <n v="176.63"/>
    <n v="34.58"/>
    <n v="8.99"/>
    <x v="115"/>
    <x v="6"/>
    <x v="5"/>
    <x v="0"/>
    <x v="0"/>
    <x v="12"/>
    <x v="555"/>
    <s v="Small Pack"/>
    <n v="0.56000000000000005"/>
    <d v="2011-07-28T00:00:00"/>
    <n v="0"/>
    <n v="0"/>
    <n v="0.5"/>
    <n v="0.5"/>
  </r>
  <r>
    <n v="4617"/>
    <n v="32871"/>
    <x v="523"/>
    <x v="1"/>
    <s v="High"/>
    <n v="9"/>
    <n v="107.92"/>
    <n v="0.04"/>
    <s v="Regular Air"/>
    <n v="-57.65"/>
    <n v="10.97"/>
    <n v="6.5"/>
    <x v="115"/>
    <x v="6"/>
    <x v="5"/>
    <x v="0"/>
    <x v="1"/>
    <x v="7"/>
    <x v="217"/>
    <s v="Small Box"/>
    <n v="0.64"/>
    <d v="2012-10-28T00:00:00"/>
    <n v="0"/>
    <n v="0"/>
    <n v="0.33333333333333331"/>
    <n v="0.33333333333333331"/>
  </r>
  <r>
    <n v="4618"/>
    <n v="32871"/>
    <x v="523"/>
    <x v="1"/>
    <s v="High"/>
    <n v="14"/>
    <n v="2151.08"/>
    <n v="0.03"/>
    <s v="Delivery Truck"/>
    <n v="179.05"/>
    <n v="145.44999999999999"/>
    <n v="17.850000000000001"/>
    <x v="115"/>
    <x v="6"/>
    <x v="5"/>
    <x v="0"/>
    <x v="1"/>
    <x v="16"/>
    <x v="127"/>
    <s v="Jumbo Drum"/>
    <n v="0.56000000000000005"/>
    <d v="2012-10-28T00:00:00"/>
    <n v="0"/>
    <n v="0"/>
    <n v="0.33333333333333331"/>
    <n v="0.33333333333333331"/>
  </r>
  <r>
    <n v="5034"/>
    <n v="35878"/>
    <x v="665"/>
    <x v="3"/>
    <s v="Medium"/>
    <n v="11"/>
    <n v="485.46"/>
    <n v="0.03"/>
    <s v="Regular Air"/>
    <n v="48.88"/>
    <n v="40.99"/>
    <n v="17.48"/>
    <x v="298"/>
    <x v="6"/>
    <x v="5"/>
    <x v="2"/>
    <x v="0"/>
    <x v="5"/>
    <x v="129"/>
    <s v="Small Box"/>
    <n v="0.36"/>
    <d v="2010-08-14T00:00:00"/>
    <n v="0"/>
    <n v="0"/>
    <n v="0.5"/>
    <n v="0.5"/>
  </r>
  <r>
    <n v="5339"/>
    <n v="37924"/>
    <x v="213"/>
    <x v="11"/>
    <s v="High"/>
    <n v="21"/>
    <n v="352.44"/>
    <n v="0.09"/>
    <s v="Regular Air"/>
    <n v="-80.53"/>
    <n v="17.989999999999998"/>
    <n v="8.65"/>
    <x v="549"/>
    <x v="6"/>
    <x v="5"/>
    <x v="3"/>
    <x v="0"/>
    <x v="12"/>
    <x v="801"/>
    <s v="Small Box"/>
    <n v="0.56999999999999995"/>
    <d v="2009-11-29T00:00:00"/>
    <n v="0"/>
    <n v="0"/>
    <n v="0.5"/>
    <n v="0.5"/>
  </r>
  <r>
    <n v="5401"/>
    <n v="38400"/>
    <x v="327"/>
    <x v="47"/>
    <s v="Not Specified"/>
    <n v="8"/>
    <n v="114.73"/>
    <n v="0.03"/>
    <s v="Express Air"/>
    <n v="28.08"/>
    <n v="13.73"/>
    <n v="6.85"/>
    <x v="241"/>
    <x v="6"/>
    <x v="5"/>
    <x v="2"/>
    <x v="2"/>
    <x v="4"/>
    <x v="807"/>
    <s v="Wrap Bag"/>
    <n v="0.54"/>
    <d v="2009-12-15T00:00:00"/>
    <n v="0"/>
    <n v="0"/>
    <n v="1"/>
    <n v="1"/>
  </r>
  <r>
    <n v="5413"/>
    <n v="38498"/>
    <x v="196"/>
    <x v="13"/>
    <s v="Critical"/>
    <n v="30"/>
    <n v="3295.15"/>
    <n v="7.0000000000000007E-2"/>
    <s v="Regular Air"/>
    <n v="1070.18"/>
    <n v="115.79"/>
    <n v="1.99"/>
    <x v="16"/>
    <x v="6"/>
    <x v="5"/>
    <x v="2"/>
    <x v="1"/>
    <x v="7"/>
    <x v="799"/>
    <s v="Small Pack"/>
    <n v="0.49"/>
    <d v="2012-04-29T00:00:00"/>
    <n v="0"/>
    <n v="0"/>
    <n v="0.5"/>
    <n v="0.5"/>
  </r>
  <r>
    <n v="5414"/>
    <n v="38498"/>
    <x v="196"/>
    <x v="13"/>
    <s v="Critical"/>
    <n v="1"/>
    <n v="43.9"/>
    <n v="0.02"/>
    <s v="Regular Air"/>
    <n v="-15.03"/>
    <n v="37.44"/>
    <n v="4.2699999999999996"/>
    <x v="16"/>
    <x v="6"/>
    <x v="5"/>
    <x v="2"/>
    <x v="0"/>
    <x v="12"/>
    <x v="1189"/>
    <s v="Wrap Bag"/>
    <n v="0.46"/>
    <d v="2012-04-30T00:00:00"/>
    <n v="0"/>
    <n v="0"/>
    <n v="0.5"/>
    <n v="0.5"/>
  </r>
  <r>
    <n v="5575"/>
    <n v="39492"/>
    <x v="705"/>
    <x v="37"/>
    <s v="Not Specified"/>
    <n v="38"/>
    <n v="1541.92"/>
    <n v="0.03"/>
    <s v="Regular Air"/>
    <n v="-564.05999999999995"/>
    <n v="40.479999999999997"/>
    <n v="19.989999999999998"/>
    <x v="547"/>
    <x v="6"/>
    <x v="5"/>
    <x v="2"/>
    <x v="1"/>
    <x v="7"/>
    <x v="413"/>
    <s v="Small Box"/>
    <n v="0.77"/>
    <d v="2011-04-19T00:00:00"/>
    <n v="0"/>
    <n v="0"/>
    <n v="0.33333333333333331"/>
    <n v="0.33333333333333331"/>
  </r>
  <r>
    <n v="5576"/>
    <n v="39492"/>
    <x v="705"/>
    <x v="37"/>
    <s v="Not Specified"/>
    <n v="40"/>
    <n v="169.48"/>
    <n v="0.08"/>
    <s v="Regular Air"/>
    <n v="-134.76"/>
    <n v="4.28"/>
    <n v="5.68"/>
    <x v="547"/>
    <x v="6"/>
    <x v="5"/>
    <x v="2"/>
    <x v="0"/>
    <x v="5"/>
    <x v="653"/>
    <s v="Small Box"/>
    <n v="0.4"/>
    <d v="2011-04-19T00:00:00"/>
    <n v="0"/>
    <n v="0"/>
    <n v="0.33333333333333331"/>
    <n v="0.33333333333333331"/>
  </r>
  <r>
    <n v="5602"/>
    <n v="39686"/>
    <x v="8"/>
    <x v="8"/>
    <s v="Not Specified"/>
    <n v="2"/>
    <n v="738.8"/>
    <n v="0.06"/>
    <s v="Delivery Truck"/>
    <n v="-473.66"/>
    <n v="328.14"/>
    <n v="91.05"/>
    <x v="549"/>
    <x v="6"/>
    <x v="5"/>
    <x v="3"/>
    <x v="0"/>
    <x v="1"/>
    <x v="888"/>
    <s v="Jumbo Drum"/>
    <n v="0.56999999999999995"/>
    <d v="2012-06-09T00:00:00"/>
    <n v="0"/>
    <n v="0"/>
    <n v="0.5"/>
    <n v="0.5"/>
  </r>
  <r>
    <n v="5603"/>
    <n v="39686"/>
    <x v="8"/>
    <x v="8"/>
    <s v="Not Specified"/>
    <n v="48"/>
    <n v="2750.7105000000001"/>
    <n v="0"/>
    <s v="Regular Air"/>
    <n v="791.90099999999995"/>
    <n v="65.989999999999995"/>
    <n v="5.26"/>
    <x v="549"/>
    <x v="6"/>
    <x v="5"/>
    <x v="3"/>
    <x v="1"/>
    <x v="3"/>
    <x v="266"/>
    <s v="Small Box"/>
    <n v="0.56000000000000005"/>
    <d v="2012-06-09T00:00:00"/>
    <n v="0"/>
    <n v="0"/>
    <n v="0.5"/>
    <n v="0.5"/>
  </r>
  <r>
    <n v="6028"/>
    <n v="42693"/>
    <x v="460"/>
    <x v="46"/>
    <s v="High"/>
    <n v="33"/>
    <n v="2118.2600000000002"/>
    <n v="0.01"/>
    <s v="Regular Air"/>
    <n v="554.22"/>
    <n v="59.76"/>
    <n v="9.7100000000000009"/>
    <x v="548"/>
    <x v="6"/>
    <x v="5"/>
    <x v="2"/>
    <x v="0"/>
    <x v="0"/>
    <x v="1102"/>
    <s v="Small Box"/>
    <n v="0.56999999999999995"/>
    <d v="2009-04-06T00:00:00"/>
    <n v="0"/>
    <n v="0"/>
    <n v="1"/>
    <n v="1"/>
  </r>
  <r>
    <n v="6043"/>
    <n v="42850"/>
    <x v="194"/>
    <x v="4"/>
    <s v="Medium"/>
    <n v="27"/>
    <n v="822.7"/>
    <n v="0.05"/>
    <s v="Express Air"/>
    <n v="141.28"/>
    <n v="29.99"/>
    <n v="5.5"/>
    <x v="206"/>
    <x v="6"/>
    <x v="5"/>
    <x v="3"/>
    <x v="1"/>
    <x v="7"/>
    <x v="890"/>
    <s v="Small Box"/>
    <n v="0.51"/>
    <d v="2011-06-22T00:00:00"/>
    <n v="0"/>
    <n v="0"/>
    <n v="1"/>
    <n v="1"/>
  </r>
  <r>
    <n v="6468"/>
    <n v="46050"/>
    <x v="756"/>
    <x v="38"/>
    <s v="High"/>
    <n v="5"/>
    <n v="2249.0500000000002"/>
    <n v="0.02"/>
    <s v="Regular Air"/>
    <n v="-571.24"/>
    <n v="449.99"/>
    <n v="24.49"/>
    <x v="206"/>
    <x v="6"/>
    <x v="5"/>
    <x v="3"/>
    <x v="1"/>
    <x v="13"/>
    <x v="26"/>
    <s v="Large Box"/>
    <n v="0.52"/>
    <d v="2010-01-05T00:00:00"/>
    <n v="1"/>
    <n v="0"/>
    <n v="0.33333333333333331"/>
    <n v="0.33333333333333331"/>
  </r>
  <r>
    <n v="6469"/>
    <n v="46050"/>
    <x v="756"/>
    <x v="38"/>
    <s v="High"/>
    <n v="48"/>
    <n v="4813.67"/>
    <n v="0.03"/>
    <s v="Express Air"/>
    <n v="44.58"/>
    <n v="95.43"/>
    <n v="19.989999999999998"/>
    <x v="206"/>
    <x v="6"/>
    <x v="5"/>
    <x v="3"/>
    <x v="0"/>
    <x v="0"/>
    <x v="254"/>
    <s v="Small Box"/>
    <n v="0.79"/>
    <d v="2010-01-07T00:00:00"/>
    <n v="1"/>
    <n v="0"/>
    <n v="0.33333333333333331"/>
    <n v="0.33333333333333331"/>
  </r>
  <r>
    <n v="6491"/>
    <n v="46212"/>
    <x v="234"/>
    <x v="34"/>
    <s v="Not Specified"/>
    <n v="7"/>
    <n v="3877.88"/>
    <n v="0.08"/>
    <s v="Delivery Truck"/>
    <n v="-1331.5533660000001"/>
    <n v="550.98"/>
    <n v="45.7"/>
    <x v="546"/>
    <x v="6"/>
    <x v="5"/>
    <x v="1"/>
    <x v="2"/>
    <x v="10"/>
    <x v="1079"/>
    <s v="Jumbo Box"/>
    <n v="0.71"/>
    <d v="2012-09-14T00:00:00"/>
    <n v="0"/>
    <n v="0"/>
    <n v="0.5"/>
    <n v="0.5"/>
  </r>
  <r>
    <n v="6911"/>
    <n v="49313"/>
    <x v="832"/>
    <x v="19"/>
    <s v="Medium"/>
    <n v="34"/>
    <n v="307.76"/>
    <n v="0.1"/>
    <s v="Express Air"/>
    <n v="-22.88"/>
    <n v="9.3800000000000008"/>
    <n v="4.93"/>
    <x v="16"/>
    <x v="6"/>
    <x v="5"/>
    <x v="0"/>
    <x v="2"/>
    <x v="4"/>
    <x v="903"/>
    <s v="Small Box"/>
    <n v="0.56999999999999995"/>
    <d v="2009-10-04T00:00:00"/>
    <n v="0"/>
    <n v="0"/>
    <n v="0.5"/>
    <n v="0.5"/>
  </r>
  <r>
    <n v="6912"/>
    <n v="49313"/>
    <x v="832"/>
    <x v="19"/>
    <s v="Medium"/>
    <n v="36"/>
    <n v="1129.9304999999999"/>
    <n v="0.05"/>
    <s v="Regular Air"/>
    <n v="574.15499999999997"/>
    <n v="35.99"/>
    <n v="1.25"/>
    <x v="16"/>
    <x v="6"/>
    <x v="5"/>
    <x v="0"/>
    <x v="1"/>
    <x v="3"/>
    <x v="916"/>
    <s v="Small Pack"/>
    <n v="0.36"/>
    <d v="2009-10-05T00:00:00"/>
    <n v="0"/>
    <n v="0"/>
    <n v="0.5"/>
    <n v="0.5"/>
  </r>
  <r>
    <n v="6933"/>
    <n v="49477"/>
    <x v="1187"/>
    <x v="27"/>
    <s v="Medium"/>
    <n v="9"/>
    <n v="75.94"/>
    <n v="0.01"/>
    <s v="Regular Air"/>
    <n v="-16.559999999999999"/>
    <n v="7.64"/>
    <n v="5.83"/>
    <x v="16"/>
    <x v="6"/>
    <x v="5"/>
    <x v="2"/>
    <x v="0"/>
    <x v="5"/>
    <x v="248"/>
    <s v="Wrap Bag"/>
    <n v="0.36"/>
    <d v="2011-11-29T00:00:00"/>
    <n v="0"/>
    <n v="0"/>
    <n v="1"/>
    <n v="0.33333333333333331"/>
  </r>
  <r>
    <n v="6978"/>
    <n v="49889"/>
    <x v="1059"/>
    <x v="45"/>
    <s v="Critical"/>
    <n v="47"/>
    <n v="533.47"/>
    <n v="0.09"/>
    <s v="Regular Air"/>
    <n v="-50.208999999999996"/>
    <n v="11.5"/>
    <n v="7.19"/>
    <x v="549"/>
    <x v="6"/>
    <x v="5"/>
    <x v="3"/>
    <x v="0"/>
    <x v="2"/>
    <x v="274"/>
    <s v="Small Box"/>
    <n v="0.4"/>
    <d v="2012-12-14T00:00:00"/>
    <n v="0"/>
    <n v="0"/>
    <n v="0.5"/>
    <n v="0.5"/>
  </r>
  <r>
    <n v="6979"/>
    <n v="49889"/>
    <x v="1059"/>
    <x v="45"/>
    <s v="Critical"/>
    <n v="21"/>
    <n v="61.94"/>
    <n v="0.09"/>
    <s v="Express Air"/>
    <n v="-22.32"/>
    <n v="2.98"/>
    <n v="2.0299999999999998"/>
    <x v="549"/>
    <x v="6"/>
    <x v="5"/>
    <x v="3"/>
    <x v="0"/>
    <x v="12"/>
    <x v="1169"/>
    <s v="Wrap Bag"/>
    <n v="0.56999999999999995"/>
    <d v="2012-12-14T00:00:00"/>
    <n v="0"/>
    <n v="0"/>
    <n v="0.5"/>
    <n v="0.5"/>
  </r>
  <r>
    <n v="7356"/>
    <n v="52416"/>
    <x v="692"/>
    <x v="22"/>
    <s v="Not Specified"/>
    <n v="6"/>
    <n v="49.81"/>
    <n v="0.05"/>
    <s v="Regular Air"/>
    <n v="-16.95"/>
    <n v="7.64"/>
    <n v="5.83"/>
    <x v="548"/>
    <x v="6"/>
    <x v="5"/>
    <x v="2"/>
    <x v="0"/>
    <x v="5"/>
    <x v="248"/>
    <s v="Wrap Bag"/>
    <n v="0.36"/>
    <d v="2009-02-02T00:00:00"/>
    <n v="0"/>
    <n v="1"/>
    <n v="0.5"/>
    <n v="0.5"/>
  </r>
  <r>
    <n v="7357"/>
    <n v="52416"/>
    <x v="692"/>
    <x v="22"/>
    <s v="Not Specified"/>
    <n v="40"/>
    <n v="9141.64"/>
    <n v="0.04"/>
    <s v="Delivery Truck"/>
    <n v="-528.65312500000005"/>
    <n v="218.75"/>
    <n v="69.64"/>
    <x v="548"/>
    <x v="6"/>
    <x v="5"/>
    <x v="2"/>
    <x v="2"/>
    <x v="10"/>
    <x v="146"/>
    <s v="Jumbo Box"/>
    <n v="0.72"/>
    <d v="2009-02-01T00:00:00"/>
    <n v="0"/>
    <n v="1"/>
    <n v="0.5"/>
    <n v="0.5"/>
  </r>
  <r>
    <n v="7693"/>
    <n v="55140"/>
    <x v="454"/>
    <x v="42"/>
    <s v="Critical"/>
    <n v="39"/>
    <n v="438.8"/>
    <n v="0.09"/>
    <s v="Regular Air"/>
    <n v="-84.19"/>
    <n v="11.7"/>
    <n v="6.96"/>
    <x v="241"/>
    <x v="6"/>
    <x v="5"/>
    <x v="2"/>
    <x v="0"/>
    <x v="1"/>
    <x v="906"/>
    <s v="Medium Box"/>
    <n v="0.5"/>
    <d v="2010-07-06T00:00:00"/>
    <n v="0"/>
    <n v="0"/>
    <n v="1"/>
    <n v="0.5"/>
  </r>
  <r>
    <n v="7908"/>
    <n v="56550"/>
    <x v="274"/>
    <x v="37"/>
    <s v="Not Specified"/>
    <n v="33"/>
    <n v="647.77"/>
    <n v="0.09"/>
    <s v="Regular Air"/>
    <n v="166.85"/>
    <n v="19.98"/>
    <n v="5.77"/>
    <x v="278"/>
    <x v="6"/>
    <x v="5"/>
    <x v="3"/>
    <x v="0"/>
    <x v="5"/>
    <x v="93"/>
    <s v="Small Box"/>
    <n v="0.38"/>
    <d v="2011-04-11T00:00:00"/>
    <n v="0"/>
    <n v="0"/>
    <n v="0.33333333333333331"/>
    <n v="0.33333333333333331"/>
  </r>
  <r>
    <n v="8042"/>
    <n v="57447"/>
    <x v="70"/>
    <x v="2"/>
    <s v="Not Specified"/>
    <n v="39"/>
    <n v="315.88"/>
    <n v="0.09"/>
    <s v="Regular Air"/>
    <n v="-60.4"/>
    <n v="8.4600000000000009"/>
    <n v="3.62"/>
    <x v="16"/>
    <x v="6"/>
    <x v="5"/>
    <x v="2"/>
    <x v="1"/>
    <x v="7"/>
    <x v="919"/>
    <s v="Small Pack"/>
    <n v="0.61"/>
    <d v="2011-07-04T00:00:00"/>
    <n v="0"/>
    <n v="0"/>
    <n v="0.5"/>
    <n v="0.5"/>
  </r>
  <r>
    <n v="8043"/>
    <n v="57447"/>
    <x v="70"/>
    <x v="2"/>
    <s v="Not Specified"/>
    <n v="8"/>
    <n v="258.11"/>
    <n v="0.06"/>
    <s v="Regular Air"/>
    <n v="-113.6"/>
    <n v="30.98"/>
    <n v="6.5"/>
    <x v="16"/>
    <x v="6"/>
    <x v="5"/>
    <x v="2"/>
    <x v="1"/>
    <x v="7"/>
    <x v="630"/>
    <s v="Small Box"/>
    <n v="0.79"/>
    <d v="2011-07-07T00:00:00"/>
    <n v="0"/>
    <n v="0"/>
    <n v="0.5"/>
    <n v="0.5"/>
  </r>
  <r>
    <n v="179"/>
    <n v="1185"/>
    <x v="1037"/>
    <x v="9"/>
    <s v="Low"/>
    <n v="7"/>
    <n v="374.78"/>
    <n v="0.09"/>
    <s v="Regular Air"/>
    <n v="20.03"/>
    <n v="55.48"/>
    <n v="14.3"/>
    <x v="550"/>
    <x v="9"/>
    <x v="2"/>
    <x v="3"/>
    <x v="0"/>
    <x v="5"/>
    <x v="381"/>
    <s v="Small Box"/>
    <n v="0.37"/>
    <d v="2012-08-27T00:00:00"/>
    <n v="0"/>
    <n v="0"/>
    <n v="1"/>
    <n v="1"/>
  </r>
  <r>
    <n v="310"/>
    <n v="2149"/>
    <x v="14"/>
    <x v="14"/>
    <s v="Low"/>
    <n v="4"/>
    <n v="43.56"/>
    <n v="0.01"/>
    <s v="Regular Air"/>
    <n v="21.21"/>
    <n v="9.3800000000000008"/>
    <n v="4.93"/>
    <x v="551"/>
    <x v="9"/>
    <x v="2"/>
    <x v="1"/>
    <x v="2"/>
    <x v="4"/>
    <x v="903"/>
    <s v="Small Box"/>
    <n v="0.56999999999999995"/>
    <d v="2010-03-16T00:00:00"/>
    <n v="0"/>
    <n v="0"/>
    <n v="1"/>
    <n v="1"/>
  </r>
  <r>
    <n v="354"/>
    <n v="2466"/>
    <x v="326"/>
    <x v="28"/>
    <s v="Critical"/>
    <n v="25"/>
    <n v="2553.84"/>
    <n v="0.05"/>
    <s v="Regular Air"/>
    <n v="553.70000000000005"/>
    <n v="107.53"/>
    <n v="5.81"/>
    <x v="552"/>
    <x v="9"/>
    <x v="2"/>
    <x v="3"/>
    <x v="2"/>
    <x v="4"/>
    <x v="348"/>
    <s v="Medium Box"/>
    <n v="0.65"/>
    <d v="2009-03-06T00:00:00"/>
    <n v="0"/>
    <n v="0"/>
    <n v="1"/>
    <n v="1"/>
  </r>
  <r>
    <n v="509"/>
    <n v="3493"/>
    <x v="63"/>
    <x v="3"/>
    <s v="High"/>
    <n v="48"/>
    <n v="7518.12"/>
    <n v="0.04"/>
    <s v="Regular Air"/>
    <n v="1027.6300000000001"/>
    <n v="152.47999999999999"/>
    <n v="6.5"/>
    <x v="553"/>
    <x v="9"/>
    <x v="2"/>
    <x v="3"/>
    <x v="1"/>
    <x v="7"/>
    <x v="659"/>
    <s v="Small Box"/>
    <n v="0.74"/>
    <d v="2010-08-25T00:00:00"/>
    <n v="0"/>
    <n v="0"/>
    <n v="1"/>
    <n v="1"/>
  </r>
  <r>
    <n v="525"/>
    <n v="3588"/>
    <x v="764"/>
    <x v="5"/>
    <s v="Not Specified"/>
    <n v="42"/>
    <n v="374.38"/>
    <n v="0.03"/>
    <s v="Regular Air"/>
    <n v="-1.1599999999999999"/>
    <n v="8.67"/>
    <n v="3.5"/>
    <x v="553"/>
    <x v="9"/>
    <x v="2"/>
    <x v="3"/>
    <x v="0"/>
    <x v="1"/>
    <x v="855"/>
    <s v="Small Box"/>
    <n v="0.57999999999999996"/>
    <d v="2011-03-19T00:00:00"/>
    <n v="0"/>
    <n v="0"/>
    <n v="0.25"/>
    <n v="0.25"/>
  </r>
  <r>
    <n v="526"/>
    <n v="3588"/>
    <x v="764"/>
    <x v="5"/>
    <s v="Not Specified"/>
    <n v="21"/>
    <n v="1557.42"/>
    <n v="0.01"/>
    <s v="Regular Air"/>
    <n v="-123.81"/>
    <n v="73.98"/>
    <n v="4"/>
    <x v="553"/>
    <x v="9"/>
    <x v="2"/>
    <x v="3"/>
    <x v="1"/>
    <x v="7"/>
    <x v="640"/>
    <s v="Small Box"/>
    <n v="0.79"/>
    <d v="2011-03-20T00:00:00"/>
    <n v="0"/>
    <n v="0"/>
    <n v="0.25"/>
    <n v="0.25"/>
  </r>
  <r>
    <n v="527"/>
    <n v="3588"/>
    <x v="764"/>
    <x v="5"/>
    <s v="Not Specified"/>
    <n v="14"/>
    <n v="410.27"/>
    <n v="0.08"/>
    <s v="Regular Air"/>
    <n v="226.72"/>
    <n v="30.93"/>
    <n v="3.92"/>
    <x v="553"/>
    <x v="9"/>
    <x v="2"/>
    <x v="3"/>
    <x v="2"/>
    <x v="4"/>
    <x v="616"/>
    <s v="Small Pack"/>
    <n v="0.44"/>
    <d v="2011-03-20T00:00:00"/>
    <n v="0"/>
    <n v="0"/>
    <n v="0.25"/>
    <n v="0.25"/>
  </r>
  <r>
    <n v="528"/>
    <n v="3588"/>
    <x v="764"/>
    <x v="5"/>
    <s v="Not Specified"/>
    <n v="18"/>
    <n v="1531.93"/>
    <n v="0.1"/>
    <s v="Delivery Truck"/>
    <n v="326.56"/>
    <n v="90.97"/>
    <n v="14"/>
    <x v="553"/>
    <x v="9"/>
    <x v="2"/>
    <x v="3"/>
    <x v="1"/>
    <x v="16"/>
    <x v="603"/>
    <s v="Jumbo Drum"/>
    <n v="0.36"/>
    <d v="2011-03-18T00:00:00"/>
    <n v="0"/>
    <n v="0"/>
    <n v="0.25"/>
    <n v="0.25"/>
  </r>
  <r>
    <n v="824"/>
    <n v="5957"/>
    <x v="1159"/>
    <x v="15"/>
    <s v="High"/>
    <n v="15"/>
    <n v="68.319999999999993"/>
    <n v="0.05"/>
    <s v="Regular Air"/>
    <n v="-66.72"/>
    <n v="4.28"/>
    <n v="6.72"/>
    <x v="550"/>
    <x v="9"/>
    <x v="2"/>
    <x v="0"/>
    <x v="0"/>
    <x v="5"/>
    <x v="777"/>
    <s v="Small Box"/>
    <n v="0.4"/>
    <d v="2010-12-27T00:00:00"/>
    <n v="0"/>
    <n v="0"/>
    <n v="0.33333333333333331"/>
    <n v="0.2"/>
  </r>
  <r>
    <n v="825"/>
    <n v="5957"/>
    <x v="1159"/>
    <x v="15"/>
    <s v="High"/>
    <n v="3"/>
    <n v="536.38"/>
    <n v="0.03"/>
    <s v="Delivery Truck"/>
    <n v="-258.8"/>
    <n v="150.97999999999999"/>
    <n v="66.27"/>
    <x v="550"/>
    <x v="9"/>
    <x v="2"/>
    <x v="0"/>
    <x v="2"/>
    <x v="9"/>
    <x v="207"/>
    <s v="Jumbo Box"/>
    <n v="0.65"/>
    <d v="2010-12-28T00:00:00"/>
    <n v="0"/>
    <n v="0"/>
    <n v="0.33333333333333331"/>
    <n v="0.2"/>
  </r>
  <r>
    <n v="826"/>
    <n v="5957"/>
    <x v="1159"/>
    <x v="15"/>
    <s v="High"/>
    <n v="23"/>
    <n v="391.87549999999999"/>
    <n v="0.1"/>
    <s v="Regular Air"/>
    <n v="-38.016000000000005"/>
    <n v="20.99"/>
    <n v="4.8099999999999996"/>
    <x v="550"/>
    <x v="9"/>
    <x v="2"/>
    <x v="0"/>
    <x v="1"/>
    <x v="3"/>
    <x v="591"/>
    <s v="Medium Box"/>
    <n v="0.57999999999999996"/>
    <d v="2010-12-29T00:00:00"/>
    <n v="0"/>
    <n v="0"/>
    <n v="0.33333333333333331"/>
    <n v="0.2"/>
  </r>
  <r>
    <n v="865"/>
    <n v="6183"/>
    <x v="880"/>
    <x v="8"/>
    <s v="Medium"/>
    <n v="41"/>
    <n v="1991.93"/>
    <n v="0.02"/>
    <s v="Regular Air"/>
    <n v="951.5"/>
    <n v="48.94"/>
    <n v="5.86"/>
    <x v="550"/>
    <x v="9"/>
    <x v="2"/>
    <x v="0"/>
    <x v="0"/>
    <x v="5"/>
    <x v="1033"/>
    <s v="Small Box"/>
    <n v="0.35"/>
    <d v="2012-06-16T00:00:00"/>
    <n v="0"/>
    <n v="0"/>
    <n v="1"/>
    <n v="1"/>
  </r>
  <r>
    <n v="890"/>
    <n v="6402"/>
    <x v="1247"/>
    <x v="37"/>
    <s v="Low"/>
    <n v="35"/>
    <n v="373.33"/>
    <n v="0.01"/>
    <s v="Regular Air"/>
    <n v="-22.18"/>
    <n v="10.23"/>
    <n v="4.68"/>
    <x v="183"/>
    <x v="9"/>
    <x v="2"/>
    <x v="2"/>
    <x v="0"/>
    <x v="15"/>
    <x v="804"/>
    <s v="Small Pack"/>
    <n v="0.59"/>
    <d v="2011-04-28T00:00:00"/>
    <n v="0"/>
    <n v="0"/>
    <n v="1"/>
    <n v="0.33333333333333331"/>
  </r>
  <r>
    <n v="927"/>
    <n v="6720"/>
    <x v="1241"/>
    <x v="18"/>
    <s v="Not Specified"/>
    <n v="31"/>
    <n v="164.62"/>
    <n v="0.03"/>
    <s v="Regular Air"/>
    <n v="-93.713499999999996"/>
    <n v="5.18"/>
    <n v="5.74"/>
    <x v="553"/>
    <x v="9"/>
    <x v="2"/>
    <x v="3"/>
    <x v="0"/>
    <x v="2"/>
    <x v="460"/>
    <s v="Small Box"/>
    <n v="0.36"/>
    <d v="2010-09-10T00:00:00"/>
    <n v="0"/>
    <n v="0"/>
    <n v="0.33333333333333331"/>
    <n v="0.16666666666666666"/>
  </r>
  <r>
    <n v="928"/>
    <n v="6720"/>
    <x v="1241"/>
    <x v="18"/>
    <s v="Not Specified"/>
    <n v="36"/>
    <n v="4225.7700000000004"/>
    <n v="0.08"/>
    <s v="Delivery Truck"/>
    <n v="-1393.69"/>
    <n v="120.98"/>
    <n v="58.64"/>
    <x v="553"/>
    <x v="9"/>
    <x v="2"/>
    <x v="3"/>
    <x v="2"/>
    <x v="9"/>
    <x v="934"/>
    <s v="Jumbo Box"/>
    <n v="0.75"/>
    <d v="2010-09-12T00:00:00"/>
    <n v="0"/>
    <n v="0"/>
    <n v="0.33333333333333331"/>
    <n v="0.16666666666666666"/>
  </r>
  <r>
    <n v="929"/>
    <n v="6720"/>
    <x v="1241"/>
    <x v="18"/>
    <s v="Not Specified"/>
    <n v="8"/>
    <n v="53.89"/>
    <n v="0.01"/>
    <s v="Regular Air"/>
    <n v="17.63"/>
    <n v="6.3"/>
    <n v="0.5"/>
    <x v="553"/>
    <x v="9"/>
    <x v="2"/>
    <x v="3"/>
    <x v="0"/>
    <x v="11"/>
    <x v="698"/>
    <s v="Small Box"/>
    <n v="0.39"/>
    <d v="2010-09-11T00:00:00"/>
    <n v="0"/>
    <n v="0"/>
    <n v="0.33333333333333331"/>
    <n v="0.16666666666666666"/>
  </r>
  <r>
    <n v="936"/>
    <n v="6785"/>
    <x v="902"/>
    <x v="20"/>
    <s v="Medium"/>
    <n v="7"/>
    <n v="181.32"/>
    <n v="0.03"/>
    <s v="Regular Air"/>
    <n v="80.319999999999993"/>
    <n v="25.38"/>
    <n v="8.99"/>
    <x v="183"/>
    <x v="9"/>
    <x v="2"/>
    <x v="3"/>
    <x v="2"/>
    <x v="4"/>
    <x v="216"/>
    <s v="Small Pack"/>
    <n v="0.5"/>
    <d v="2012-05-08T00:00:00"/>
    <n v="0"/>
    <n v="0"/>
    <n v="1"/>
    <n v="0.5"/>
  </r>
  <r>
    <n v="1139"/>
    <n v="8295"/>
    <x v="1000"/>
    <x v="46"/>
    <s v="High"/>
    <n v="30"/>
    <n v="835.15049999999997"/>
    <n v="0.09"/>
    <s v="Regular Air"/>
    <n v="158.17500000000001"/>
    <n v="35.99"/>
    <n v="1.1000000000000001"/>
    <x v="554"/>
    <x v="9"/>
    <x v="2"/>
    <x v="1"/>
    <x v="1"/>
    <x v="3"/>
    <x v="828"/>
    <s v="Small Box"/>
    <n v="0.55000000000000004"/>
    <d v="2009-04-03T00:00:00"/>
    <n v="0"/>
    <n v="0"/>
    <n v="0.5"/>
    <n v="0.5"/>
  </r>
  <r>
    <n v="1140"/>
    <n v="8295"/>
    <x v="1000"/>
    <x v="46"/>
    <s v="High"/>
    <n v="7"/>
    <n v="771.83399999999995"/>
    <n v="0.01"/>
    <s v="Regular Air"/>
    <n v="-295.42700000000002"/>
    <n v="125.99"/>
    <n v="2.5"/>
    <x v="554"/>
    <x v="9"/>
    <x v="2"/>
    <x v="1"/>
    <x v="1"/>
    <x v="3"/>
    <x v="738"/>
    <s v="Small Box"/>
    <n v="0.6"/>
    <d v="2009-04-02T00:00:00"/>
    <n v="0"/>
    <n v="0"/>
    <n v="0.5"/>
    <n v="0.5"/>
  </r>
  <r>
    <n v="1189"/>
    <n v="8704"/>
    <x v="785"/>
    <x v="4"/>
    <s v="Medium"/>
    <n v="43"/>
    <n v="449.17"/>
    <n v="0.01"/>
    <s v="Regular Air"/>
    <n v="198.83"/>
    <n v="9.93"/>
    <n v="1.0900000000000001"/>
    <x v="552"/>
    <x v="9"/>
    <x v="2"/>
    <x v="3"/>
    <x v="0"/>
    <x v="12"/>
    <x v="800"/>
    <s v="Wrap Bag"/>
    <n v="0.43"/>
    <d v="2011-07-01T00:00:00"/>
    <n v="0"/>
    <n v="0"/>
    <n v="0.5"/>
    <n v="0.5"/>
  </r>
  <r>
    <n v="1190"/>
    <n v="8704"/>
    <x v="785"/>
    <x v="4"/>
    <s v="Medium"/>
    <n v="38"/>
    <n v="79.81"/>
    <n v="0.08"/>
    <s v="Regular Air"/>
    <n v="5.48"/>
    <n v="2.21"/>
    <n v="1"/>
    <x v="552"/>
    <x v="9"/>
    <x v="2"/>
    <x v="3"/>
    <x v="0"/>
    <x v="12"/>
    <x v="1157"/>
    <s v="Wrap Bag"/>
    <n v="0.38"/>
    <d v="2011-07-01T00:00:00"/>
    <n v="0"/>
    <n v="0"/>
    <n v="0.5"/>
    <n v="0.5"/>
  </r>
  <r>
    <n v="1206"/>
    <n v="8834"/>
    <x v="18"/>
    <x v="7"/>
    <s v="High"/>
    <n v="45"/>
    <n v="6688.11"/>
    <n v="0.08"/>
    <s v="Regular Air"/>
    <n v="2872.88"/>
    <n v="150.97999999999999"/>
    <n v="13.99"/>
    <x v="196"/>
    <x v="9"/>
    <x v="2"/>
    <x v="1"/>
    <x v="1"/>
    <x v="16"/>
    <x v="221"/>
    <s v="Medium Box"/>
    <n v="0.38"/>
    <d v="2010-11-09T00:00:00"/>
    <n v="0"/>
    <n v="0"/>
    <n v="0.5"/>
    <n v="0.5"/>
  </r>
  <r>
    <n v="1215"/>
    <n v="8933"/>
    <x v="206"/>
    <x v="0"/>
    <s v="High"/>
    <n v="37"/>
    <n v="1520.26"/>
    <n v="0.04"/>
    <s v="Regular Air"/>
    <n v="640.84050000000002"/>
    <n v="42.8"/>
    <n v="2.99"/>
    <x v="551"/>
    <x v="9"/>
    <x v="2"/>
    <x v="1"/>
    <x v="0"/>
    <x v="2"/>
    <x v="875"/>
    <s v="Small Box"/>
    <n v="0.36"/>
    <d v="2010-10-08T00:00:00"/>
    <n v="0"/>
    <n v="0"/>
    <n v="0.5"/>
    <n v="0.5"/>
  </r>
  <r>
    <n v="1216"/>
    <n v="8933"/>
    <x v="206"/>
    <x v="0"/>
    <s v="High"/>
    <n v="30"/>
    <n v="688.02"/>
    <n v="0.06"/>
    <s v="Regular Air"/>
    <n v="154.99"/>
    <n v="22.98"/>
    <n v="7.58"/>
    <x v="551"/>
    <x v="9"/>
    <x v="2"/>
    <x v="1"/>
    <x v="2"/>
    <x v="4"/>
    <x v="619"/>
    <s v="Small Box"/>
    <n v="0.51"/>
    <d v="2010-10-09T00:00:00"/>
    <n v="0"/>
    <n v="0"/>
    <n v="0.5"/>
    <n v="0.5"/>
  </r>
  <r>
    <n v="1269"/>
    <n v="9222"/>
    <x v="948"/>
    <x v="40"/>
    <s v="High"/>
    <n v="41"/>
    <n v="473.67"/>
    <n v="0.04"/>
    <s v="Regular Air"/>
    <n v="78.2"/>
    <n v="11.34"/>
    <n v="5.01"/>
    <x v="550"/>
    <x v="9"/>
    <x v="2"/>
    <x v="3"/>
    <x v="0"/>
    <x v="5"/>
    <x v="119"/>
    <s v="Small Box"/>
    <n v="0.36"/>
    <d v="2009-02-11T00:00:00"/>
    <n v="0"/>
    <n v="0"/>
    <n v="1"/>
    <n v="1"/>
  </r>
  <r>
    <n v="1409"/>
    <n v="10243"/>
    <x v="74"/>
    <x v="25"/>
    <s v="High"/>
    <n v="12"/>
    <n v="28.41"/>
    <n v="7.0000000000000007E-2"/>
    <s v="Regular Air"/>
    <n v="-44.079499999999996"/>
    <n v="1.98"/>
    <n v="4.7699999999999996"/>
    <x v="555"/>
    <x v="9"/>
    <x v="2"/>
    <x v="1"/>
    <x v="0"/>
    <x v="2"/>
    <x v="1134"/>
    <s v="Small Box"/>
    <n v="0.4"/>
    <d v="2011-12-25T00:00:00"/>
    <n v="0"/>
    <n v="0"/>
    <n v="1"/>
    <n v="1"/>
  </r>
  <r>
    <n v="1458"/>
    <n v="10502"/>
    <x v="486"/>
    <x v="39"/>
    <s v="Not Specified"/>
    <n v="33"/>
    <n v="7869.22"/>
    <n v="0.1"/>
    <s v="Delivery Truck"/>
    <n v="1523.46"/>
    <n v="243.98"/>
    <n v="43.32"/>
    <x v="554"/>
    <x v="9"/>
    <x v="2"/>
    <x v="1"/>
    <x v="2"/>
    <x v="14"/>
    <x v="130"/>
    <s v="Jumbo Drum"/>
    <n v="0.55000000000000004"/>
    <d v="2010-05-15T00:00:00"/>
    <n v="0"/>
    <n v="0"/>
    <n v="0.5"/>
    <n v="0.5"/>
  </r>
  <r>
    <n v="1459"/>
    <n v="10502"/>
    <x v="486"/>
    <x v="39"/>
    <s v="Not Specified"/>
    <n v="36"/>
    <n v="912.44"/>
    <n v="0.04"/>
    <s v="Regular Air"/>
    <n v="182.72"/>
    <n v="25.38"/>
    <n v="8.99"/>
    <x v="554"/>
    <x v="9"/>
    <x v="2"/>
    <x v="1"/>
    <x v="2"/>
    <x v="4"/>
    <x v="216"/>
    <s v="Small Pack"/>
    <n v="0.5"/>
    <d v="2010-05-16T00:00:00"/>
    <n v="0"/>
    <n v="0"/>
    <n v="0.5"/>
    <n v="0.5"/>
  </r>
  <r>
    <n v="1506"/>
    <n v="10886"/>
    <x v="599"/>
    <x v="26"/>
    <s v="Critical"/>
    <n v="36"/>
    <n v="65.42"/>
    <n v="0.04"/>
    <s v="Regular Air"/>
    <n v="-112.92"/>
    <n v="1.74"/>
    <n v="4.08"/>
    <x v="552"/>
    <x v="9"/>
    <x v="2"/>
    <x v="2"/>
    <x v="2"/>
    <x v="4"/>
    <x v="331"/>
    <s v="Small Pack"/>
    <n v="0.53"/>
    <d v="2009-08-25T00:00:00"/>
    <n v="0"/>
    <n v="0"/>
    <n v="0.5"/>
    <n v="0.5"/>
  </r>
  <r>
    <n v="1507"/>
    <n v="10886"/>
    <x v="599"/>
    <x v="26"/>
    <s v="Critical"/>
    <n v="47"/>
    <n v="5750.94"/>
    <n v="0.01"/>
    <s v="Delivery Truck"/>
    <n v="432.98"/>
    <n v="119.99"/>
    <n v="56.14"/>
    <x v="552"/>
    <x v="9"/>
    <x v="2"/>
    <x v="2"/>
    <x v="1"/>
    <x v="16"/>
    <x v="735"/>
    <s v="Jumbo Box"/>
    <n v="0.39"/>
    <d v="2009-08-24T00:00:00"/>
    <n v="0"/>
    <n v="0"/>
    <n v="0.5"/>
    <n v="0.5"/>
  </r>
  <r>
    <n v="1535"/>
    <n v="11047"/>
    <x v="1248"/>
    <x v="15"/>
    <s v="Low"/>
    <n v="27"/>
    <n v="1991.26"/>
    <n v="0.01"/>
    <s v="Delivery Truck"/>
    <n v="-528.09"/>
    <n v="68.81"/>
    <n v="60"/>
    <x v="550"/>
    <x v="9"/>
    <x v="2"/>
    <x v="3"/>
    <x v="0"/>
    <x v="1"/>
    <x v="459"/>
    <s v="Jumbo Drum"/>
    <n v="0.41"/>
    <d v="2010-12-17T00:00:00"/>
    <n v="0"/>
    <n v="0"/>
    <n v="0.5"/>
    <n v="0.2"/>
  </r>
  <r>
    <n v="1536"/>
    <n v="11047"/>
    <x v="1248"/>
    <x v="15"/>
    <s v="Low"/>
    <n v="24"/>
    <n v="10480.272000000001"/>
    <n v="7.0000000000000007E-2"/>
    <s v="Delivery Truck"/>
    <n v="2271.6799999999998"/>
    <n v="550.98"/>
    <n v="64.59"/>
    <x v="550"/>
    <x v="9"/>
    <x v="2"/>
    <x v="3"/>
    <x v="2"/>
    <x v="10"/>
    <x v="481"/>
    <s v="Jumbo Box"/>
    <n v="0.66"/>
    <d v="2010-12-12T00:00:00"/>
    <n v="0"/>
    <n v="0"/>
    <n v="0.5"/>
    <n v="0.2"/>
  </r>
  <r>
    <n v="1787"/>
    <n v="12803"/>
    <x v="1008"/>
    <x v="6"/>
    <s v="Not Specified"/>
    <n v="32"/>
    <n v="383.81"/>
    <n v="0.03"/>
    <s v="Regular Air"/>
    <n v="-21.15"/>
    <n v="12.21"/>
    <n v="4.8099999999999996"/>
    <x v="553"/>
    <x v="9"/>
    <x v="2"/>
    <x v="3"/>
    <x v="0"/>
    <x v="0"/>
    <x v="272"/>
    <s v="Small Box"/>
    <n v="0.57999999999999996"/>
    <d v="2010-02-27T00:00:00"/>
    <n v="0"/>
    <n v="0"/>
    <n v="1"/>
    <n v="1"/>
  </r>
  <r>
    <n v="1927"/>
    <n v="13767"/>
    <x v="134"/>
    <x v="3"/>
    <s v="High"/>
    <n v="12"/>
    <n v="2050.712"/>
    <n v="0.05"/>
    <s v="Delivery Truck"/>
    <n v="-381.04"/>
    <n v="218.75"/>
    <n v="69.64"/>
    <x v="556"/>
    <x v="9"/>
    <x v="2"/>
    <x v="2"/>
    <x v="2"/>
    <x v="10"/>
    <x v="146"/>
    <s v="Jumbo Box"/>
    <n v="0.72"/>
    <d v="2010-08-28T00:00:00"/>
    <n v="0"/>
    <n v="0"/>
    <n v="0.25"/>
    <n v="0.25"/>
  </r>
  <r>
    <n v="1980"/>
    <n v="14117"/>
    <x v="1249"/>
    <x v="3"/>
    <s v="Not Specified"/>
    <n v="4"/>
    <n v="5.31"/>
    <n v="0"/>
    <s v="Regular Air"/>
    <n v="-1.5"/>
    <n v="1.1399999999999999"/>
    <n v="0.7"/>
    <x v="183"/>
    <x v="9"/>
    <x v="2"/>
    <x v="2"/>
    <x v="0"/>
    <x v="6"/>
    <x v="1129"/>
    <s v="Wrap Bag"/>
    <n v="0.38"/>
    <d v="2010-08-27T00:00:00"/>
    <n v="0"/>
    <n v="0"/>
    <n v="1"/>
    <n v="0.33333333333333331"/>
  </r>
  <r>
    <n v="2091"/>
    <n v="14976"/>
    <x v="1245"/>
    <x v="2"/>
    <s v="High"/>
    <n v="46"/>
    <n v="231.35"/>
    <n v="0.03"/>
    <s v="Regular Air"/>
    <n v="-81.86"/>
    <n v="4.9800000000000004"/>
    <n v="4.7"/>
    <x v="552"/>
    <x v="9"/>
    <x v="2"/>
    <x v="2"/>
    <x v="0"/>
    <x v="5"/>
    <x v="725"/>
    <s v="Small Box"/>
    <n v="0.38"/>
    <d v="2011-07-24T00:00:00"/>
    <n v="0"/>
    <n v="0"/>
    <n v="1"/>
    <n v="1"/>
  </r>
  <r>
    <n v="2094"/>
    <n v="14980"/>
    <x v="846"/>
    <x v="29"/>
    <s v="Critical"/>
    <n v="27"/>
    <n v="898.9"/>
    <n v="0.03"/>
    <s v="Regular Air"/>
    <n v="325.88"/>
    <n v="31.78"/>
    <n v="1.99"/>
    <x v="551"/>
    <x v="9"/>
    <x v="2"/>
    <x v="1"/>
    <x v="1"/>
    <x v="7"/>
    <x v="47"/>
    <s v="Small Pack"/>
    <n v="0.42"/>
    <d v="2012-07-15T00:00:00"/>
    <n v="0"/>
    <n v="0"/>
    <n v="1"/>
    <n v="1"/>
  </r>
  <r>
    <n v="2233"/>
    <n v="16133"/>
    <x v="167"/>
    <x v="35"/>
    <s v="Critical"/>
    <n v="16"/>
    <n v="3083.04"/>
    <n v="0.06"/>
    <s v="Delivery Truck"/>
    <n v="872.13"/>
    <n v="200.97"/>
    <n v="15.59"/>
    <x v="557"/>
    <x v="9"/>
    <x v="2"/>
    <x v="0"/>
    <x v="1"/>
    <x v="16"/>
    <x v="186"/>
    <s v="Jumbo Drum"/>
    <n v="0.36"/>
    <d v="2009-09-25T00:00:00"/>
    <n v="0"/>
    <n v="0"/>
    <n v="0.5"/>
    <n v="0.5"/>
  </r>
  <r>
    <n v="2235"/>
    <n v="16134"/>
    <x v="308"/>
    <x v="32"/>
    <s v="High"/>
    <n v="43"/>
    <n v="21921.279999999999"/>
    <n v="0.04"/>
    <s v="Delivery Truck"/>
    <n v="10521.33"/>
    <n v="500.98"/>
    <n v="28.14"/>
    <x v="183"/>
    <x v="9"/>
    <x v="2"/>
    <x v="3"/>
    <x v="1"/>
    <x v="16"/>
    <x v="780"/>
    <s v="Jumbo Drum"/>
    <n v="0.38"/>
    <d v="2012-11-21T00:00:00"/>
    <n v="0"/>
    <n v="0"/>
    <n v="1"/>
    <n v="1"/>
  </r>
  <r>
    <n v="2262"/>
    <n v="16258"/>
    <x v="878"/>
    <x v="2"/>
    <s v="Medium"/>
    <n v="1"/>
    <n v="9.69"/>
    <n v="0.05"/>
    <s v="Regular Air"/>
    <n v="-6.78"/>
    <n v="4.9800000000000004"/>
    <n v="4.72"/>
    <x v="556"/>
    <x v="9"/>
    <x v="2"/>
    <x v="2"/>
    <x v="0"/>
    <x v="5"/>
    <x v="751"/>
    <s v="Small Box"/>
    <n v="0.36"/>
    <d v="2011-07-07T00:00:00"/>
    <n v="0"/>
    <n v="0"/>
    <n v="0.5"/>
    <n v="0.5"/>
  </r>
  <r>
    <n v="2263"/>
    <n v="16258"/>
    <x v="878"/>
    <x v="2"/>
    <s v="Medium"/>
    <n v="48"/>
    <n v="331.99"/>
    <n v="0.03"/>
    <s v="Regular Air"/>
    <n v="45.31"/>
    <n v="7.08"/>
    <n v="2.35"/>
    <x v="556"/>
    <x v="9"/>
    <x v="2"/>
    <x v="2"/>
    <x v="0"/>
    <x v="12"/>
    <x v="174"/>
    <s v="Wrap Bag"/>
    <n v="0.47"/>
    <d v="2011-07-08T00:00:00"/>
    <n v="0"/>
    <n v="0"/>
    <n v="0.5"/>
    <n v="0.5"/>
  </r>
  <r>
    <n v="2267"/>
    <n v="16289"/>
    <x v="942"/>
    <x v="42"/>
    <s v="High"/>
    <n v="37"/>
    <n v="426.64"/>
    <n v="0.09"/>
    <s v="Regular Air"/>
    <n v="96.95"/>
    <n v="12.22"/>
    <n v="2.85"/>
    <x v="558"/>
    <x v="9"/>
    <x v="2"/>
    <x v="2"/>
    <x v="2"/>
    <x v="4"/>
    <x v="137"/>
    <s v="Small Pack"/>
    <n v="0.55000000000000004"/>
    <d v="2010-07-19T00:00:00"/>
    <n v="0"/>
    <n v="0"/>
    <n v="0.5"/>
    <n v="0.5"/>
  </r>
  <r>
    <n v="2355"/>
    <n v="16993"/>
    <x v="47"/>
    <x v="27"/>
    <s v="Medium"/>
    <n v="8"/>
    <n v="1383.9190000000001"/>
    <n v="0.05"/>
    <s v="Regular Air"/>
    <n v="-433.488"/>
    <n v="205.99"/>
    <n v="2.5"/>
    <x v="557"/>
    <x v="9"/>
    <x v="2"/>
    <x v="0"/>
    <x v="1"/>
    <x v="3"/>
    <x v="1038"/>
    <s v="Small Box"/>
    <n v="0.59"/>
    <d v="2011-11-16T00:00:00"/>
    <n v="0"/>
    <n v="0"/>
    <n v="1"/>
    <n v="1"/>
  </r>
  <r>
    <n v="2619"/>
    <n v="18945"/>
    <x v="80"/>
    <x v="22"/>
    <s v="Medium"/>
    <n v="33"/>
    <n v="528.54"/>
    <n v="0.06"/>
    <s v="Regular Air"/>
    <n v="168.54"/>
    <n v="16.48"/>
    <n v="1.99"/>
    <x v="558"/>
    <x v="9"/>
    <x v="2"/>
    <x v="2"/>
    <x v="1"/>
    <x v="7"/>
    <x v="663"/>
    <s v="Small Pack"/>
    <n v="0.42"/>
    <d v="2009-01-19T00:00:00"/>
    <n v="0"/>
    <n v="1"/>
    <n v="1"/>
    <n v="0.5"/>
  </r>
  <r>
    <n v="2764"/>
    <n v="19975"/>
    <x v="591"/>
    <x v="46"/>
    <s v="Not Specified"/>
    <n v="33"/>
    <n v="362.17"/>
    <n v="0.08"/>
    <s v="Regular Air"/>
    <n v="-83.96"/>
    <n v="11.7"/>
    <n v="6.96"/>
    <x v="414"/>
    <x v="9"/>
    <x v="2"/>
    <x v="1"/>
    <x v="0"/>
    <x v="1"/>
    <x v="906"/>
    <s v="Medium Box"/>
    <n v="0.5"/>
    <d v="2009-04-13T00:00:00"/>
    <n v="0"/>
    <n v="0"/>
    <n v="1"/>
    <n v="0.33333333333333331"/>
  </r>
  <r>
    <n v="2773"/>
    <n v="20036"/>
    <x v="112"/>
    <x v="15"/>
    <s v="Not Specified"/>
    <n v="25"/>
    <n v="290.45999999999998"/>
    <n v="0.1"/>
    <s v="Regular Air"/>
    <n v="-31.55"/>
    <n v="11.97"/>
    <n v="4.9800000000000004"/>
    <x v="558"/>
    <x v="9"/>
    <x v="2"/>
    <x v="2"/>
    <x v="0"/>
    <x v="1"/>
    <x v="165"/>
    <s v="Small Box"/>
    <n v="0.57999999999999996"/>
    <d v="2010-12-05T00:00:00"/>
    <n v="0"/>
    <n v="0"/>
    <n v="0.25"/>
    <n v="0.25"/>
  </r>
  <r>
    <n v="2774"/>
    <n v="20036"/>
    <x v="112"/>
    <x v="15"/>
    <s v="Not Specified"/>
    <n v="44"/>
    <n v="1207.4000000000001"/>
    <n v="0.03"/>
    <s v="Regular Air"/>
    <n v="-25.23"/>
    <n v="26.31"/>
    <n v="5.89"/>
    <x v="558"/>
    <x v="9"/>
    <x v="2"/>
    <x v="2"/>
    <x v="1"/>
    <x v="7"/>
    <x v="295"/>
    <s v="Small Box"/>
    <n v="0.75"/>
    <d v="2010-12-07T00:00:00"/>
    <n v="0"/>
    <n v="0"/>
    <n v="0.25"/>
    <n v="0.25"/>
  </r>
  <r>
    <n v="2903"/>
    <n v="20964"/>
    <x v="1103"/>
    <x v="33"/>
    <s v="Critical"/>
    <n v="11"/>
    <n v="629.5865"/>
    <n v="0.04"/>
    <s v="Regular Air"/>
    <n v="-120.087"/>
    <n v="65.989999999999995"/>
    <n v="8.99"/>
    <x v="555"/>
    <x v="9"/>
    <x v="2"/>
    <x v="1"/>
    <x v="1"/>
    <x v="3"/>
    <x v="451"/>
    <s v="Small Box"/>
    <n v="0.57999999999999996"/>
    <d v="2012-04-01T00:00:00"/>
    <n v="0"/>
    <n v="0"/>
    <n v="1"/>
    <n v="1"/>
  </r>
  <r>
    <n v="2920"/>
    <n v="21121"/>
    <x v="108"/>
    <x v="35"/>
    <s v="Not Specified"/>
    <n v="50"/>
    <n v="20175.48"/>
    <n v="0"/>
    <s v="Regular Air"/>
    <n v="9373.9615000000013"/>
    <n v="387.99"/>
    <n v="19.989999999999998"/>
    <x v="557"/>
    <x v="9"/>
    <x v="2"/>
    <x v="2"/>
    <x v="0"/>
    <x v="2"/>
    <x v="243"/>
    <s v="Small Box"/>
    <n v="0.38"/>
    <d v="2009-09-17T00:00:00"/>
    <n v="0"/>
    <n v="0"/>
    <n v="1"/>
    <n v="0.5"/>
  </r>
  <r>
    <n v="2938"/>
    <n v="21314"/>
    <x v="868"/>
    <x v="11"/>
    <s v="Low"/>
    <n v="6"/>
    <n v="56.22"/>
    <n v="0.04"/>
    <s v="Regular Air"/>
    <n v="-20.389500000000002"/>
    <n v="8.6"/>
    <n v="6.19"/>
    <x v="553"/>
    <x v="9"/>
    <x v="2"/>
    <x v="3"/>
    <x v="0"/>
    <x v="2"/>
    <x v="682"/>
    <s v="Small Box"/>
    <n v="0.38"/>
    <d v="2009-11-04T00:00:00"/>
    <n v="0"/>
    <n v="0"/>
    <n v="0.33333333333333331"/>
    <n v="0.33333333333333331"/>
  </r>
  <r>
    <n v="2939"/>
    <n v="21314"/>
    <x v="868"/>
    <x v="11"/>
    <s v="Low"/>
    <n v="30"/>
    <n v="107.96"/>
    <n v="0.01"/>
    <s v="Regular Air"/>
    <n v="13.24"/>
    <n v="3.58"/>
    <n v="1.63"/>
    <x v="553"/>
    <x v="9"/>
    <x v="2"/>
    <x v="3"/>
    <x v="0"/>
    <x v="6"/>
    <x v="821"/>
    <s v="Wrap Bag"/>
    <n v="0.36"/>
    <d v="2009-11-06T00:00:00"/>
    <n v="0"/>
    <n v="0"/>
    <n v="0.33333333333333331"/>
    <n v="0.33333333333333331"/>
  </r>
  <r>
    <n v="2940"/>
    <n v="21314"/>
    <x v="868"/>
    <x v="11"/>
    <s v="Low"/>
    <n v="40"/>
    <n v="3169.9920000000002"/>
    <n v="0.08"/>
    <s v="Delivery Truck"/>
    <n v="-973.3"/>
    <n v="105.49"/>
    <n v="41.64"/>
    <x v="553"/>
    <x v="9"/>
    <x v="2"/>
    <x v="3"/>
    <x v="2"/>
    <x v="10"/>
    <x v="1017"/>
    <s v="Jumbo Box"/>
    <n v="0.75"/>
    <d v="2009-11-09T00:00:00"/>
    <n v="0"/>
    <n v="0"/>
    <n v="0.33333333333333331"/>
    <n v="0.33333333333333331"/>
  </r>
  <r>
    <n v="3016"/>
    <n v="21702"/>
    <x v="1144"/>
    <x v="15"/>
    <s v="Not Specified"/>
    <n v="40"/>
    <n v="5232.83"/>
    <n v="0.01"/>
    <s v="Delivery Truck"/>
    <n v="-1461.65"/>
    <n v="122.99"/>
    <n v="70.2"/>
    <x v="183"/>
    <x v="9"/>
    <x v="2"/>
    <x v="3"/>
    <x v="2"/>
    <x v="14"/>
    <x v="301"/>
    <s v="Jumbo Drum"/>
    <n v="0.74"/>
    <d v="2010-12-18T00:00:00"/>
    <n v="0"/>
    <n v="0"/>
    <n v="1"/>
    <n v="1"/>
  </r>
  <r>
    <n v="3062"/>
    <n v="21925"/>
    <x v="833"/>
    <x v="29"/>
    <s v="Not Specified"/>
    <n v="3"/>
    <n v="236.32"/>
    <n v="0.03"/>
    <s v="Regular Air"/>
    <n v="-339.95"/>
    <n v="77.510000000000005"/>
    <n v="4"/>
    <x v="553"/>
    <x v="9"/>
    <x v="2"/>
    <x v="3"/>
    <x v="1"/>
    <x v="7"/>
    <x v="851"/>
    <s v="Small Box"/>
    <n v="0.76"/>
    <d v="2012-07-14T00:00:00"/>
    <n v="0"/>
    <n v="0"/>
    <n v="1"/>
    <n v="1"/>
  </r>
  <r>
    <n v="3123"/>
    <n v="22432"/>
    <x v="740"/>
    <x v="32"/>
    <s v="Not Specified"/>
    <n v="45"/>
    <n v="2728.42"/>
    <n v="0.06"/>
    <s v="Regular Air"/>
    <n v="664.15"/>
    <n v="60.98"/>
    <n v="19.989999999999998"/>
    <x v="550"/>
    <x v="9"/>
    <x v="2"/>
    <x v="0"/>
    <x v="0"/>
    <x v="8"/>
    <x v="600"/>
    <s v="Small Box"/>
    <n v="0.38"/>
    <d v="2012-11-29T00:00:00"/>
    <n v="0"/>
    <n v="0"/>
    <n v="1"/>
    <n v="1"/>
  </r>
  <r>
    <n v="3173"/>
    <n v="22819"/>
    <x v="547"/>
    <x v="32"/>
    <s v="High"/>
    <n v="1"/>
    <n v="6.77"/>
    <n v="0.06"/>
    <s v="Regular Air"/>
    <n v="-3.66"/>
    <n v="2.52"/>
    <n v="4.28"/>
    <x v="553"/>
    <x v="9"/>
    <x v="2"/>
    <x v="3"/>
    <x v="0"/>
    <x v="12"/>
    <x v="842"/>
    <s v="Wrap Bag"/>
    <n v="0.44"/>
    <d v="2012-11-12T00:00:00"/>
    <n v="0"/>
    <n v="0"/>
    <n v="1"/>
    <n v="1"/>
  </r>
  <r>
    <n v="3198"/>
    <n v="22917"/>
    <x v="341"/>
    <x v="28"/>
    <s v="Medium"/>
    <n v="1"/>
    <n v="3550.28"/>
    <n v="0.06"/>
    <s v="Express Air"/>
    <n v="-11769.17"/>
    <n v="3499.99"/>
    <n v="24.49"/>
    <x v="183"/>
    <x v="9"/>
    <x v="2"/>
    <x v="2"/>
    <x v="1"/>
    <x v="13"/>
    <x v="480"/>
    <s v="Large Box"/>
    <n v="0.37"/>
    <d v="2009-03-04T00:00:00"/>
    <n v="0"/>
    <n v="0"/>
    <n v="1"/>
    <n v="1"/>
  </r>
  <r>
    <n v="3221"/>
    <n v="23107"/>
    <x v="908"/>
    <x v="4"/>
    <s v="Medium"/>
    <n v="7"/>
    <n v="43.29"/>
    <n v="7.0000000000000007E-2"/>
    <s v="Regular Air"/>
    <n v="-39.123000000000005"/>
    <n v="5.38"/>
    <n v="7.57"/>
    <x v="551"/>
    <x v="9"/>
    <x v="2"/>
    <x v="1"/>
    <x v="0"/>
    <x v="2"/>
    <x v="1111"/>
    <s v="Small Box"/>
    <n v="0.36"/>
    <d v="2011-06-14T00:00:00"/>
    <n v="0"/>
    <n v="0"/>
    <n v="1"/>
    <n v="1"/>
  </r>
  <r>
    <n v="3294"/>
    <n v="23556"/>
    <x v="552"/>
    <x v="16"/>
    <s v="Medium"/>
    <n v="34"/>
    <n v="11747.97"/>
    <n v="0.05"/>
    <s v="Express Air"/>
    <n v="3302.03"/>
    <n v="363.25"/>
    <n v="19.989999999999998"/>
    <x v="555"/>
    <x v="9"/>
    <x v="2"/>
    <x v="1"/>
    <x v="0"/>
    <x v="1"/>
    <x v="445"/>
    <s v="Small Box"/>
    <n v="0.56999999999999995"/>
    <d v="2011-01-10T00:00:00"/>
    <n v="0"/>
    <n v="0"/>
    <n v="1"/>
    <n v="1"/>
  </r>
  <r>
    <n v="3324"/>
    <n v="23777"/>
    <x v="143"/>
    <x v="32"/>
    <s v="Not Specified"/>
    <n v="16"/>
    <n v="487.7"/>
    <n v="0.06"/>
    <s v="Regular Air"/>
    <n v="-67.540000000000006"/>
    <n v="31.98"/>
    <n v="6.72"/>
    <x v="414"/>
    <x v="9"/>
    <x v="2"/>
    <x v="1"/>
    <x v="0"/>
    <x v="0"/>
    <x v="1190"/>
    <s v="Small Box"/>
    <n v="0.75"/>
    <d v="2012-11-27T00:00:00"/>
    <n v="0"/>
    <n v="0"/>
    <n v="1"/>
    <n v="1"/>
  </r>
  <r>
    <n v="3374"/>
    <n v="24098"/>
    <x v="912"/>
    <x v="13"/>
    <s v="Critical"/>
    <n v="42"/>
    <n v="199.58"/>
    <n v="0.05"/>
    <s v="Regular Air"/>
    <n v="46.308"/>
    <n v="4.82"/>
    <n v="1.49"/>
    <x v="557"/>
    <x v="9"/>
    <x v="2"/>
    <x v="0"/>
    <x v="0"/>
    <x v="2"/>
    <x v="745"/>
    <s v="Small Box"/>
    <n v="0.36"/>
    <d v="2012-04-18T00:00:00"/>
    <n v="0"/>
    <n v="0"/>
    <n v="0.33333333333333331"/>
    <n v="0.33333333333333331"/>
  </r>
  <r>
    <n v="3375"/>
    <n v="24098"/>
    <x v="912"/>
    <x v="13"/>
    <s v="Critical"/>
    <n v="10"/>
    <n v="80.59"/>
    <n v="0.05"/>
    <s v="Regular Air"/>
    <n v="-20.49"/>
    <n v="7.64"/>
    <n v="5.83"/>
    <x v="557"/>
    <x v="9"/>
    <x v="2"/>
    <x v="0"/>
    <x v="0"/>
    <x v="5"/>
    <x v="248"/>
    <s v="Wrap Bag"/>
    <n v="0.36"/>
    <d v="2012-04-19T00:00:00"/>
    <n v="0"/>
    <n v="0"/>
    <n v="0.33333333333333331"/>
    <n v="0.33333333333333331"/>
  </r>
  <r>
    <n v="3376"/>
    <n v="24098"/>
    <x v="912"/>
    <x v="13"/>
    <s v="Critical"/>
    <n v="32"/>
    <n v="4158.0725000000002"/>
    <n v="0.02"/>
    <s v="Regular Air"/>
    <n v="836.14499999999998"/>
    <n v="155.99"/>
    <n v="8.99"/>
    <x v="557"/>
    <x v="9"/>
    <x v="2"/>
    <x v="0"/>
    <x v="1"/>
    <x v="3"/>
    <x v="19"/>
    <s v="Small Box"/>
    <n v="0.57999999999999996"/>
    <d v="2012-04-18T00:00:00"/>
    <n v="0"/>
    <n v="0"/>
    <n v="0.33333333333333331"/>
    <n v="0.33333333333333331"/>
  </r>
  <r>
    <n v="3400"/>
    <n v="24227"/>
    <x v="1005"/>
    <x v="3"/>
    <s v="Medium"/>
    <n v="24"/>
    <n v="1840.8534999999999"/>
    <n v="0.01"/>
    <s v="Regular Air"/>
    <n v="424.63799999999998"/>
    <n v="85.99"/>
    <n v="2.79"/>
    <x v="554"/>
    <x v="9"/>
    <x v="2"/>
    <x v="1"/>
    <x v="1"/>
    <x v="3"/>
    <x v="700"/>
    <s v="Small Box"/>
    <n v="0.57999999999999996"/>
    <d v="2010-08-18T00:00:00"/>
    <n v="0"/>
    <n v="0"/>
    <n v="1"/>
    <n v="0.25"/>
  </r>
  <r>
    <n v="3455"/>
    <n v="24614"/>
    <x v="849"/>
    <x v="11"/>
    <s v="Low"/>
    <n v="33"/>
    <n v="1644.59"/>
    <n v="0.09"/>
    <s v="Regular Air"/>
    <n v="-52.92"/>
    <n v="50.98"/>
    <n v="6.5"/>
    <x v="550"/>
    <x v="9"/>
    <x v="2"/>
    <x v="3"/>
    <x v="1"/>
    <x v="7"/>
    <x v="87"/>
    <s v="Small Box"/>
    <n v="0.73"/>
    <d v="2009-11-28T00:00:00"/>
    <n v="0"/>
    <n v="0"/>
    <n v="1"/>
    <n v="1"/>
  </r>
  <r>
    <n v="3595"/>
    <n v="25637"/>
    <x v="1250"/>
    <x v="12"/>
    <s v="Not Specified"/>
    <n v="12"/>
    <n v="2409.4240000000004"/>
    <n v="0.1"/>
    <s v="Delivery Truck"/>
    <n v="50.95"/>
    <n v="259.70999999999998"/>
    <n v="66.67"/>
    <x v="557"/>
    <x v="9"/>
    <x v="2"/>
    <x v="0"/>
    <x v="2"/>
    <x v="10"/>
    <x v="384"/>
    <s v="Jumbo Box"/>
    <n v="0.61"/>
    <d v="2012-02-27T00:00:00"/>
    <n v="0"/>
    <n v="0"/>
    <n v="1"/>
    <n v="0.5"/>
  </r>
  <r>
    <n v="3737"/>
    <n v="26695"/>
    <x v="781"/>
    <x v="30"/>
    <s v="Not Specified"/>
    <n v="43"/>
    <n v="367.11"/>
    <n v="0.01"/>
    <s v="Regular Air"/>
    <n v="163.41999999999999"/>
    <n v="8.34"/>
    <n v="1.43"/>
    <x v="559"/>
    <x v="9"/>
    <x v="2"/>
    <x v="2"/>
    <x v="0"/>
    <x v="5"/>
    <x v="909"/>
    <s v="Wrap Bag"/>
    <n v="0.35"/>
    <d v="2010-06-08T00:00:00"/>
    <n v="0"/>
    <n v="0"/>
    <n v="1"/>
    <n v="1"/>
  </r>
  <r>
    <n v="3797"/>
    <n v="27078"/>
    <x v="678"/>
    <x v="9"/>
    <s v="Not Specified"/>
    <n v="22"/>
    <n v="152.44"/>
    <n v="0.03"/>
    <s v="Regular Air"/>
    <n v="-40.76"/>
    <n v="6.48"/>
    <n v="5.86"/>
    <x v="183"/>
    <x v="9"/>
    <x v="2"/>
    <x v="2"/>
    <x v="0"/>
    <x v="5"/>
    <x v="75"/>
    <s v="Small Box"/>
    <n v="0.36"/>
    <d v="2012-08-13T00:00:00"/>
    <n v="0"/>
    <n v="0"/>
    <n v="1"/>
    <n v="0.5"/>
  </r>
  <r>
    <n v="4135"/>
    <n v="29376"/>
    <x v="397"/>
    <x v="9"/>
    <s v="Critical"/>
    <n v="20"/>
    <n v="2850.31"/>
    <n v="0.09"/>
    <s v="Regular Air"/>
    <n v="569.08000000000004"/>
    <n v="155.06"/>
    <n v="7.07"/>
    <x v="554"/>
    <x v="9"/>
    <x v="2"/>
    <x v="1"/>
    <x v="0"/>
    <x v="0"/>
    <x v="376"/>
    <s v="Small Box"/>
    <n v="0.59"/>
    <d v="2012-08-13T00:00:00"/>
    <n v="0"/>
    <n v="0"/>
    <n v="1"/>
    <n v="1"/>
  </r>
  <r>
    <n v="4190"/>
    <n v="29766"/>
    <x v="1207"/>
    <x v="28"/>
    <s v="Medium"/>
    <n v="13"/>
    <n v="89061.05"/>
    <n v="0"/>
    <s v="Regular Air"/>
    <n v="27220.69"/>
    <n v="6783.02"/>
    <n v="24.49"/>
    <x v="414"/>
    <x v="9"/>
    <x v="2"/>
    <x v="1"/>
    <x v="1"/>
    <x v="16"/>
    <x v="1135"/>
    <s v="Large Box"/>
    <n v="0.39"/>
    <d v="2009-03-22T00:00:00"/>
    <n v="0"/>
    <n v="0"/>
    <n v="0.5"/>
    <n v="0.5"/>
  </r>
  <r>
    <n v="4191"/>
    <n v="29766"/>
    <x v="1207"/>
    <x v="28"/>
    <s v="Medium"/>
    <n v="40"/>
    <n v="6636.6639999999998"/>
    <n v="0.08"/>
    <s v="Regular Air"/>
    <n v="1623.6989999999998"/>
    <n v="205.99"/>
    <n v="8.99"/>
    <x v="414"/>
    <x v="9"/>
    <x v="2"/>
    <x v="1"/>
    <x v="1"/>
    <x v="3"/>
    <x v="1044"/>
    <s v="Small Box"/>
    <n v="0.56000000000000005"/>
    <d v="2009-03-21T00:00:00"/>
    <n v="0"/>
    <n v="0"/>
    <n v="0.5"/>
    <n v="0.5"/>
  </r>
  <r>
    <n v="4253"/>
    <n v="30278"/>
    <x v="1028"/>
    <x v="35"/>
    <s v="Low"/>
    <n v="50"/>
    <n v="2860.93"/>
    <n v="0.03"/>
    <s v="Regular Air"/>
    <n v="832.61699999999996"/>
    <n v="65.989999999999995"/>
    <n v="5.26"/>
    <x v="550"/>
    <x v="9"/>
    <x v="2"/>
    <x v="3"/>
    <x v="1"/>
    <x v="3"/>
    <x v="266"/>
    <s v="Small Box"/>
    <n v="0.56000000000000005"/>
    <d v="2009-10-09T00:00:00"/>
    <n v="0"/>
    <n v="0"/>
    <n v="1"/>
    <n v="1"/>
  </r>
  <r>
    <n v="4302"/>
    <n v="30626"/>
    <x v="810"/>
    <x v="37"/>
    <s v="Critical"/>
    <n v="23"/>
    <n v="220.82"/>
    <n v="0.1"/>
    <s v="Express Air"/>
    <n v="77.680000000000007"/>
    <n v="9.93"/>
    <n v="1.0900000000000001"/>
    <x v="183"/>
    <x v="9"/>
    <x v="2"/>
    <x v="2"/>
    <x v="0"/>
    <x v="12"/>
    <x v="800"/>
    <s v="Wrap Bag"/>
    <n v="0.43"/>
    <d v="2011-04-26T00:00:00"/>
    <n v="0"/>
    <n v="0"/>
    <n v="1"/>
    <n v="0.33333333333333331"/>
  </r>
  <r>
    <n v="4328"/>
    <n v="30851"/>
    <x v="106"/>
    <x v="18"/>
    <s v="Low"/>
    <n v="16"/>
    <n v="336.29"/>
    <n v="0.08"/>
    <s v="Regular Air"/>
    <n v="-52.14"/>
    <n v="21.38"/>
    <n v="8.99"/>
    <x v="414"/>
    <x v="9"/>
    <x v="2"/>
    <x v="1"/>
    <x v="0"/>
    <x v="12"/>
    <x v="311"/>
    <s v="Small Pack"/>
    <n v="0.59"/>
    <d v="2010-09-25T00:00:00"/>
    <n v="0"/>
    <n v="0"/>
    <n v="1"/>
    <n v="1"/>
  </r>
  <r>
    <n v="4452"/>
    <n v="31718"/>
    <x v="711"/>
    <x v="7"/>
    <s v="Low"/>
    <n v="24"/>
    <n v="1390.6934999999999"/>
    <n v="0.03"/>
    <s v="Regular Air"/>
    <n v="168.46200000000002"/>
    <n v="65.989999999999995"/>
    <n v="7.69"/>
    <x v="556"/>
    <x v="9"/>
    <x v="2"/>
    <x v="2"/>
    <x v="1"/>
    <x v="3"/>
    <x v="712"/>
    <s v="Small Box"/>
    <n v="0.59"/>
    <d v="2010-12-01T00:00:00"/>
    <n v="0"/>
    <n v="0"/>
    <n v="0.5"/>
    <n v="0.5"/>
  </r>
  <r>
    <n v="4453"/>
    <n v="31718"/>
    <x v="711"/>
    <x v="7"/>
    <s v="Low"/>
    <n v="20"/>
    <n v="1017.2884999999999"/>
    <n v="0.1"/>
    <s v="Regular Air"/>
    <n v="-115.30199999999999"/>
    <n v="65.989999999999995"/>
    <n v="8.99"/>
    <x v="556"/>
    <x v="9"/>
    <x v="2"/>
    <x v="2"/>
    <x v="1"/>
    <x v="3"/>
    <x v="815"/>
    <s v="Small Box"/>
    <n v="0.6"/>
    <d v="2010-12-04T00:00:00"/>
    <n v="0"/>
    <n v="0"/>
    <n v="0.5"/>
    <n v="0.5"/>
  </r>
  <r>
    <n v="4508"/>
    <n v="32070"/>
    <x v="811"/>
    <x v="36"/>
    <s v="Medium"/>
    <n v="50"/>
    <n v="86.7"/>
    <n v="7.0000000000000007E-2"/>
    <s v="Regular Air"/>
    <n v="-185.34"/>
    <n v="1.76"/>
    <n v="4.8600000000000003"/>
    <x v="553"/>
    <x v="9"/>
    <x v="2"/>
    <x v="3"/>
    <x v="2"/>
    <x v="4"/>
    <x v="1099"/>
    <s v="Small Box"/>
    <n v="0.41"/>
    <d v="2009-07-17T00:00:00"/>
    <n v="0"/>
    <n v="0"/>
    <n v="1"/>
    <n v="1"/>
  </r>
  <r>
    <n v="4871"/>
    <n v="34661"/>
    <x v="606"/>
    <x v="38"/>
    <s v="Critical"/>
    <n v="26"/>
    <n v="864.16"/>
    <n v="0.09"/>
    <s v="Regular Air"/>
    <n v="-175.47"/>
    <n v="33.979999999999997"/>
    <n v="19.989999999999998"/>
    <x v="183"/>
    <x v="9"/>
    <x v="2"/>
    <x v="2"/>
    <x v="2"/>
    <x v="4"/>
    <x v="90"/>
    <s v="Small Box"/>
    <n v="0.55000000000000004"/>
    <d v="2010-01-22T00:00:00"/>
    <n v="1"/>
    <n v="0"/>
    <n v="1"/>
    <n v="1"/>
  </r>
  <r>
    <n v="4886"/>
    <n v="34754"/>
    <x v="1251"/>
    <x v="8"/>
    <s v="Critical"/>
    <n v="16"/>
    <n v="623.35"/>
    <n v="0.03"/>
    <s v="Regular Air"/>
    <n v="235.51"/>
    <n v="37.94"/>
    <n v="5.08"/>
    <x v="553"/>
    <x v="9"/>
    <x v="2"/>
    <x v="3"/>
    <x v="0"/>
    <x v="5"/>
    <x v="532"/>
    <s v="Wrap Bag"/>
    <n v="0.38"/>
    <d v="2012-06-06T00:00:00"/>
    <n v="0"/>
    <n v="0"/>
    <n v="1"/>
    <n v="1"/>
  </r>
  <r>
    <n v="4975"/>
    <n v="35392"/>
    <x v="224"/>
    <x v="12"/>
    <s v="High"/>
    <n v="9"/>
    <n v="70.88"/>
    <n v="0.01"/>
    <s v="Regular Air"/>
    <n v="-50.2"/>
    <n v="6.48"/>
    <n v="9.68"/>
    <x v="557"/>
    <x v="9"/>
    <x v="2"/>
    <x v="0"/>
    <x v="0"/>
    <x v="5"/>
    <x v="597"/>
    <s v="Small Box"/>
    <n v="0.36"/>
    <d v="2012-02-23T00:00:00"/>
    <n v="0"/>
    <n v="0"/>
    <n v="1"/>
    <n v="0.5"/>
  </r>
  <r>
    <n v="5066"/>
    <n v="36103"/>
    <x v="829"/>
    <x v="13"/>
    <s v="Critical"/>
    <n v="10"/>
    <n v="55.82"/>
    <n v="0.01"/>
    <s v="Regular Air"/>
    <n v="-28.85"/>
    <n v="4.82"/>
    <n v="5.72"/>
    <x v="183"/>
    <x v="9"/>
    <x v="2"/>
    <x v="3"/>
    <x v="2"/>
    <x v="4"/>
    <x v="441"/>
    <s v="Small Pack"/>
    <n v="0.47"/>
    <d v="2012-05-01T00:00:00"/>
    <n v="0"/>
    <n v="0"/>
    <n v="0.5"/>
    <n v="0.5"/>
  </r>
  <r>
    <n v="5067"/>
    <n v="36103"/>
    <x v="829"/>
    <x v="13"/>
    <s v="Critical"/>
    <n v="45"/>
    <n v="1335.316"/>
    <n v="0.03"/>
    <s v="Regular Air"/>
    <n v="701.65800000000002"/>
    <n v="35.99"/>
    <n v="0.99"/>
    <x v="183"/>
    <x v="9"/>
    <x v="2"/>
    <x v="3"/>
    <x v="1"/>
    <x v="3"/>
    <x v="312"/>
    <s v="Small Pack"/>
    <n v="0.35"/>
    <d v="2012-05-01T00:00:00"/>
    <n v="0"/>
    <n v="0"/>
    <n v="0.5"/>
    <n v="0.5"/>
  </r>
  <r>
    <n v="5221"/>
    <n v="37157"/>
    <x v="773"/>
    <x v="6"/>
    <s v="High"/>
    <n v="39"/>
    <n v="213"/>
    <n v="0.01"/>
    <s v="Regular Air"/>
    <n v="-71.09"/>
    <n v="5.28"/>
    <n v="5.0599999999999996"/>
    <x v="183"/>
    <x v="9"/>
    <x v="2"/>
    <x v="3"/>
    <x v="0"/>
    <x v="5"/>
    <x v="1088"/>
    <s v="Small Box"/>
    <n v="0.37"/>
    <d v="2010-02-22T00:00:00"/>
    <n v="0"/>
    <n v="0"/>
    <n v="1"/>
    <n v="1"/>
  </r>
  <r>
    <n v="5368"/>
    <n v="38176"/>
    <x v="117"/>
    <x v="3"/>
    <s v="High"/>
    <n v="39"/>
    <n v="231.08"/>
    <n v="0.01"/>
    <s v="Express Air"/>
    <n v="-79.08"/>
    <n v="5.28"/>
    <n v="5.57"/>
    <x v="183"/>
    <x v="9"/>
    <x v="2"/>
    <x v="2"/>
    <x v="0"/>
    <x v="5"/>
    <x v="1124"/>
    <s v="Small Box"/>
    <n v="0.4"/>
    <d v="2010-08-16T00:00:00"/>
    <n v="0"/>
    <n v="0"/>
    <n v="0.5"/>
    <n v="0.33333333333333331"/>
  </r>
  <r>
    <n v="5369"/>
    <n v="38176"/>
    <x v="117"/>
    <x v="3"/>
    <s v="High"/>
    <n v="48"/>
    <n v="428.36"/>
    <n v="0.06"/>
    <s v="Express Air"/>
    <n v="74.75"/>
    <n v="9.11"/>
    <n v="2.25"/>
    <x v="183"/>
    <x v="9"/>
    <x v="2"/>
    <x v="2"/>
    <x v="0"/>
    <x v="12"/>
    <x v="553"/>
    <s v="Wrap Bag"/>
    <n v="0.52"/>
    <d v="2010-08-17T00:00:00"/>
    <n v="0"/>
    <n v="0"/>
    <n v="0.5"/>
    <n v="0.33333333333333331"/>
  </r>
  <r>
    <n v="5424"/>
    <n v="38531"/>
    <x v="1220"/>
    <x v="25"/>
    <s v="Low"/>
    <n v="26"/>
    <n v="118.43"/>
    <n v="0.02"/>
    <s v="Express Air"/>
    <n v="11.96"/>
    <n v="4.2"/>
    <n v="2.2599999999999998"/>
    <x v="550"/>
    <x v="9"/>
    <x v="2"/>
    <x v="3"/>
    <x v="0"/>
    <x v="5"/>
    <x v="1028"/>
    <s v="Wrap Bag"/>
    <n v="0.36"/>
    <d v="2011-12-12T00:00:00"/>
    <n v="0"/>
    <n v="0"/>
    <n v="1"/>
    <n v="1"/>
  </r>
  <r>
    <n v="5704"/>
    <n v="40354"/>
    <x v="786"/>
    <x v="22"/>
    <s v="High"/>
    <n v="29"/>
    <n v="172.51"/>
    <n v="0.03"/>
    <s v="Regular Air"/>
    <n v="12.554499999999999"/>
    <n v="5.58"/>
    <n v="2.99"/>
    <x v="553"/>
    <x v="9"/>
    <x v="2"/>
    <x v="3"/>
    <x v="0"/>
    <x v="2"/>
    <x v="829"/>
    <s v="Small Box"/>
    <n v="0.37"/>
    <d v="2009-01-04T00:00:00"/>
    <n v="0"/>
    <n v="1"/>
    <n v="0.5"/>
    <n v="0.5"/>
  </r>
  <r>
    <n v="5705"/>
    <n v="40354"/>
    <x v="786"/>
    <x v="22"/>
    <s v="High"/>
    <n v="4"/>
    <n v="698"/>
    <n v="0.09"/>
    <s v="Delivery Truck"/>
    <n v="-93.16"/>
    <n v="212.6"/>
    <n v="52.2"/>
    <x v="553"/>
    <x v="9"/>
    <x v="2"/>
    <x v="3"/>
    <x v="2"/>
    <x v="10"/>
    <x v="763"/>
    <s v="Jumbo Box"/>
    <n v="0.64"/>
    <d v="2009-01-04T00:00:00"/>
    <n v="0"/>
    <n v="1"/>
    <n v="0.5"/>
    <n v="0.5"/>
  </r>
  <r>
    <n v="5748"/>
    <n v="40832"/>
    <x v="233"/>
    <x v="14"/>
    <s v="High"/>
    <n v="22"/>
    <n v="447.23"/>
    <n v="0.03"/>
    <s v="Regular Air"/>
    <n v="122.78"/>
    <n v="20.239999999999998"/>
    <n v="6.67"/>
    <x v="557"/>
    <x v="9"/>
    <x v="2"/>
    <x v="0"/>
    <x v="2"/>
    <x v="4"/>
    <x v="302"/>
    <s v="Small Pack"/>
    <n v="0.49"/>
    <d v="2010-03-30T00:00:00"/>
    <n v="0"/>
    <n v="0"/>
    <n v="1"/>
    <n v="1"/>
  </r>
  <r>
    <n v="5865"/>
    <n v="41632"/>
    <x v="1042"/>
    <x v="15"/>
    <s v="Low"/>
    <n v="34"/>
    <n v="1541.4580000000001"/>
    <n v="0.05"/>
    <s v="Regular Air"/>
    <n v="-238.161"/>
    <n v="55.99"/>
    <n v="5"/>
    <x v="553"/>
    <x v="9"/>
    <x v="2"/>
    <x v="3"/>
    <x v="1"/>
    <x v="3"/>
    <x v="140"/>
    <s v="Small Pack"/>
    <n v="0.83"/>
    <d v="2010-12-08T00:00:00"/>
    <n v="0"/>
    <n v="0"/>
    <n v="1"/>
    <n v="1"/>
  </r>
  <r>
    <n v="5897"/>
    <n v="41825"/>
    <x v="1073"/>
    <x v="26"/>
    <s v="Critical"/>
    <n v="43"/>
    <n v="3277.39"/>
    <n v="0.02"/>
    <s v="Regular Air"/>
    <n v="286.01"/>
    <n v="73.98"/>
    <n v="4"/>
    <x v="555"/>
    <x v="9"/>
    <x v="2"/>
    <x v="1"/>
    <x v="1"/>
    <x v="7"/>
    <x v="633"/>
    <s v="Small Box"/>
    <n v="0.77"/>
    <d v="2009-08-23T00:00:00"/>
    <n v="0"/>
    <n v="0"/>
    <n v="0.5"/>
    <n v="1"/>
  </r>
  <r>
    <n v="5976"/>
    <n v="42373"/>
    <x v="1091"/>
    <x v="21"/>
    <s v="Not Specified"/>
    <n v="11"/>
    <n v="127.32"/>
    <n v="0.1"/>
    <s v="Express Air"/>
    <n v="22.958500000000001"/>
    <n v="10.91"/>
    <n v="2.99"/>
    <x v="414"/>
    <x v="9"/>
    <x v="2"/>
    <x v="1"/>
    <x v="0"/>
    <x v="2"/>
    <x v="235"/>
    <s v="Small Box"/>
    <n v="0.38"/>
    <d v="2011-08-18T00:00:00"/>
    <n v="0"/>
    <n v="0"/>
    <n v="1"/>
    <n v="1"/>
  </r>
  <r>
    <n v="6277"/>
    <n v="44423"/>
    <x v="300"/>
    <x v="29"/>
    <s v="Critical"/>
    <n v="39"/>
    <n v="248.64"/>
    <n v="0.08"/>
    <s v="Regular Air"/>
    <n v="-69.27"/>
    <n v="6.28"/>
    <n v="5.29"/>
    <x v="556"/>
    <x v="9"/>
    <x v="2"/>
    <x v="2"/>
    <x v="2"/>
    <x v="4"/>
    <x v="466"/>
    <s v="Small Box"/>
    <n v="0.43"/>
    <d v="2012-07-30T00:00:00"/>
    <n v="0"/>
    <n v="0"/>
    <n v="1"/>
    <n v="1"/>
  </r>
  <r>
    <n v="6447"/>
    <n v="45863"/>
    <x v="30"/>
    <x v="18"/>
    <s v="Low"/>
    <n v="5"/>
    <n v="845.61400000000003"/>
    <n v="0.01"/>
    <s v="Express Air"/>
    <n v="-653.48800000000006"/>
    <n v="195.99"/>
    <n v="4.2"/>
    <x v="553"/>
    <x v="9"/>
    <x v="2"/>
    <x v="3"/>
    <x v="1"/>
    <x v="3"/>
    <x v="469"/>
    <s v="Small Box"/>
    <n v="0.6"/>
    <d v="2010-09-23T00:00:00"/>
    <n v="0"/>
    <n v="0"/>
    <n v="1"/>
    <n v="0.16666666666666666"/>
  </r>
  <r>
    <n v="6615"/>
    <n v="47078"/>
    <x v="1252"/>
    <x v="24"/>
    <s v="Medium"/>
    <n v="18"/>
    <n v="84.74"/>
    <n v="0.06"/>
    <s v="Regular Air"/>
    <n v="34.1"/>
    <n v="4.91"/>
    <n v="0.5"/>
    <x v="554"/>
    <x v="9"/>
    <x v="2"/>
    <x v="1"/>
    <x v="0"/>
    <x v="11"/>
    <x v="383"/>
    <s v="Small Box"/>
    <n v="0.36"/>
    <d v="2010-04-19T00:00:00"/>
    <n v="0"/>
    <n v="0"/>
    <n v="0.33333333333333331"/>
    <n v="0.33333333333333331"/>
  </r>
  <r>
    <n v="6616"/>
    <n v="47078"/>
    <x v="1252"/>
    <x v="24"/>
    <s v="Medium"/>
    <n v="43"/>
    <n v="279.83"/>
    <n v="0.01"/>
    <s v="Regular Air"/>
    <n v="77.040000000000006"/>
    <n v="6.04"/>
    <n v="2.14"/>
    <x v="554"/>
    <x v="9"/>
    <x v="2"/>
    <x v="1"/>
    <x v="0"/>
    <x v="5"/>
    <x v="1191"/>
    <s v="Wrap Bag"/>
    <n v="0.38"/>
    <d v="2010-04-20T00:00:00"/>
    <n v="0"/>
    <n v="0"/>
    <n v="0.33333333333333331"/>
    <n v="0.33333333333333331"/>
  </r>
  <r>
    <n v="6617"/>
    <n v="47078"/>
    <x v="1252"/>
    <x v="24"/>
    <s v="Medium"/>
    <n v="20"/>
    <n v="98.57"/>
    <n v="7.0000000000000007E-2"/>
    <s v="Regular Air"/>
    <n v="-49.64"/>
    <n v="4.9800000000000004"/>
    <n v="5.0199999999999996"/>
    <x v="554"/>
    <x v="9"/>
    <x v="2"/>
    <x v="1"/>
    <x v="0"/>
    <x v="5"/>
    <x v="549"/>
    <s v="Small Box"/>
    <n v="0.38"/>
    <d v="2010-04-20T00:00:00"/>
    <n v="0"/>
    <n v="0"/>
    <n v="0.33333333333333331"/>
    <n v="0.33333333333333331"/>
  </r>
  <r>
    <n v="6703"/>
    <n v="47747"/>
    <x v="1253"/>
    <x v="27"/>
    <s v="High"/>
    <n v="40"/>
    <n v="102.15"/>
    <n v="0.03"/>
    <s v="Express Air"/>
    <n v="-138.51"/>
    <n v="2.08"/>
    <n v="5.33"/>
    <x v="555"/>
    <x v="9"/>
    <x v="2"/>
    <x v="1"/>
    <x v="2"/>
    <x v="4"/>
    <x v="109"/>
    <s v="Small Box"/>
    <n v="0.43"/>
    <d v="2011-11-23T00:00:00"/>
    <n v="0"/>
    <n v="0"/>
    <n v="1"/>
    <n v="1"/>
  </r>
  <r>
    <n v="6710"/>
    <n v="47810"/>
    <x v="1224"/>
    <x v="21"/>
    <s v="Critical"/>
    <n v="3"/>
    <n v="19.57"/>
    <n v="0.02"/>
    <s v="Regular Air"/>
    <n v="-5.35"/>
    <n v="5.84"/>
    <n v="1.2"/>
    <x v="550"/>
    <x v="9"/>
    <x v="2"/>
    <x v="3"/>
    <x v="0"/>
    <x v="12"/>
    <x v="288"/>
    <s v="Wrap Bag"/>
    <n v="0.55000000000000004"/>
    <d v="2011-08-15T00:00:00"/>
    <n v="0"/>
    <n v="0"/>
    <n v="1"/>
    <n v="1"/>
  </r>
  <r>
    <n v="6861"/>
    <n v="48896"/>
    <x v="996"/>
    <x v="19"/>
    <s v="Critical"/>
    <n v="43"/>
    <n v="856.9"/>
    <n v="0.02"/>
    <s v="Regular Air"/>
    <n v="106.93"/>
    <n v="18.97"/>
    <n v="9.5399999999999991"/>
    <x v="553"/>
    <x v="9"/>
    <x v="2"/>
    <x v="3"/>
    <x v="0"/>
    <x v="5"/>
    <x v="439"/>
    <s v="Small Box"/>
    <n v="0.37"/>
    <d v="2009-10-30T00:00:00"/>
    <n v="0"/>
    <n v="0"/>
    <n v="1"/>
    <n v="1"/>
  </r>
  <r>
    <n v="6974"/>
    <n v="49830"/>
    <x v="1254"/>
    <x v="36"/>
    <s v="Critical"/>
    <n v="16"/>
    <n v="519.65"/>
    <n v="0.03"/>
    <s v="Express Air"/>
    <n v="26.36"/>
    <n v="30.98"/>
    <n v="8.99"/>
    <x v="550"/>
    <x v="9"/>
    <x v="2"/>
    <x v="0"/>
    <x v="0"/>
    <x v="12"/>
    <x v="805"/>
    <s v="Small Pack"/>
    <n v="0.57999999999999996"/>
    <d v="2009-07-11T00:00:00"/>
    <n v="0"/>
    <n v="0"/>
    <n v="0.5"/>
    <n v="0.5"/>
  </r>
  <r>
    <n v="7353"/>
    <n v="52389"/>
    <x v="1255"/>
    <x v="17"/>
    <s v="Critical"/>
    <n v="31"/>
    <n v="655.33000000000004"/>
    <n v="0.08"/>
    <s v="Regular Air"/>
    <n v="-57.16"/>
    <n v="21.38"/>
    <n v="8.99"/>
    <x v="559"/>
    <x v="9"/>
    <x v="2"/>
    <x v="2"/>
    <x v="0"/>
    <x v="12"/>
    <x v="311"/>
    <s v="Small Pack"/>
    <n v="0.59"/>
    <d v="2011-10-21T00:00:00"/>
    <n v="0"/>
    <n v="0"/>
    <n v="1"/>
    <n v="1"/>
  </r>
  <r>
    <n v="7373"/>
    <n v="52576"/>
    <x v="840"/>
    <x v="28"/>
    <s v="Low"/>
    <n v="10"/>
    <n v="958.18"/>
    <n v="0.03"/>
    <s v="Delivery Truck"/>
    <n v="126.81"/>
    <n v="90.97"/>
    <n v="14"/>
    <x v="484"/>
    <x v="9"/>
    <x v="2"/>
    <x v="3"/>
    <x v="1"/>
    <x v="16"/>
    <x v="603"/>
    <s v="Jumbo Drum"/>
    <n v="0.36"/>
    <d v="2009-03-28T00:00:00"/>
    <n v="0"/>
    <n v="0"/>
    <n v="1"/>
    <n v="0.5"/>
  </r>
  <r>
    <n v="7510"/>
    <n v="53605"/>
    <x v="362"/>
    <x v="3"/>
    <s v="Medium"/>
    <n v="19"/>
    <n v="506.49"/>
    <n v="0.06"/>
    <s v="Regular Air"/>
    <n v="105.69"/>
    <n v="25.98"/>
    <n v="5.37"/>
    <x v="554"/>
    <x v="9"/>
    <x v="2"/>
    <x v="1"/>
    <x v="0"/>
    <x v="1"/>
    <x v="69"/>
    <s v="Medium Box"/>
    <n v="0.5"/>
    <d v="2010-08-05T00:00:00"/>
    <n v="0"/>
    <n v="0"/>
    <n v="0.33333333333333331"/>
    <n v="0.25"/>
  </r>
  <r>
    <n v="7511"/>
    <n v="53605"/>
    <x v="362"/>
    <x v="3"/>
    <s v="Medium"/>
    <n v="48"/>
    <n v="8367.68"/>
    <n v="0.06"/>
    <s v="Delivery Truck"/>
    <n v="886.35"/>
    <n v="170.98"/>
    <n v="35.89"/>
    <x v="554"/>
    <x v="9"/>
    <x v="2"/>
    <x v="1"/>
    <x v="2"/>
    <x v="9"/>
    <x v="748"/>
    <s v="Jumbo Box"/>
    <n v="0.66"/>
    <d v="2010-08-05T00:00:00"/>
    <n v="0"/>
    <n v="0"/>
    <n v="0.33333333333333331"/>
    <n v="0.25"/>
  </r>
  <r>
    <n v="7512"/>
    <n v="53605"/>
    <x v="362"/>
    <x v="3"/>
    <s v="Medium"/>
    <n v="1"/>
    <n v="74.31"/>
    <n v="7.0000000000000007E-2"/>
    <s v="Regular Air"/>
    <n v="-73.099999999999994"/>
    <n v="41.47"/>
    <n v="34.200000000000003"/>
    <x v="554"/>
    <x v="9"/>
    <x v="2"/>
    <x v="1"/>
    <x v="2"/>
    <x v="4"/>
    <x v="147"/>
    <s v="Wrap Bag"/>
    <n v="0.73"/>
    <d v="2010-08-05T00:00:00"/>
    <n v="0"/>
    <n v="0"/>
    <n v="0.33333333333333331"/>
    <n v="0.25"/>
  </r>
  <r>
    <n v="7536"/>
    <n v="53891"/>
    <x v="605"/>
    <x v="22"/>
    <s v="High"/>
    <n v="27"/>
    <n v="4584.7299999999996"/>
    <n v="7.0000000000000007E-2"/>
    <s v="Regular Air"/>
    <n v="812.38"/>
    <n v="179.99"/>
    <n v="19.989999999999998"/>
    <x v="183"/>
    <x v="9"/>
    <x v="2"/>
    <x v="3"/>
    <x v="1"/>
    <x v="7"/>
    <x v="634"/>
    <s v="Small Box"/>
    <n v="0.48"/>
    <d v="2009-01-23T00:00:00"/>
    <n v="0"/>
    <n v="1"/>
    <n v="0.25"/>
    <n v="0.25"/>
  </r>
  <r>
    <n v="7537"/>
    <n v="53891"/>
    <x v="605"/>
    <x v="22"/>
    <s v="High"/>
    <n v="44"/>
    <n v="4039.72"/>
    <n v="0.02"/>
    <s v="Express Air"/>
    <n v="-237.6"/>
    <n v="92.23"/>
    <n v="39.61"/>
    <x v="183"/>
    <x v="9"/>
    <x v="2"/>
    <x v="3"/>
    <x v="2"/>
    <x v="4"/>
    <x v="54"/>
    <s v="Medium Box"/>
    <n v="0.67"/>
    <d v="2009-01-23T00:00:00"/>
    <n v="0"/>
    <n v="1"/>
    <n v="0.25"/>
    <n v="0.25"/>
  </r>
  <r>
    <n v="7538"/>
    <n v="53891"/>
    <x v="605"/>
    <x v="22"/>
    <s v="High"/>
    <n v="25"/>
    <n v="2570.944"/>
    <n v="0.03"/>
    <s v="Express Air"/>
    <n v="553.35599999999999"/>
    <n v="115.99"/>
    <n v="5.92"/>
    <x v="183"/>
    <x v="9"/>
    <x v="2"/>
    <x v="3"/>
    <x v="1"/>
    <x v="3"/>
    <x v="757"/>
    <s v="Small Box"/>
    <n v="0.57999999999999996"/>
    <d v="2009-01-23T00:00:00"/>
    <n v="0"/>
    <n v="1"/>
    <n v="0.25"/>
    <n v="0.25"/>
  </r>
  <r>
    <n v="7748"/>
    <n v="55460"/>
    <x v="321"/>
    <x v="20"/>
    <s v="High"/>
    <n v="49"/>
    <n v="1944.87"/>
    <n v="0.06"/>
    <s v="Regular Air"/>
    <n v="496.43"/>
    <n v="41.71"/>
    <n v="4.5"/>
    <x v="553"/>
    <x v="9"/>
    <x v="2"/>
    <x v="3"/>
    <x v="0"/>
    <x v="1"/>
    <x v="599"/>
    <s v="Small Box"/>
    <n v="0.56000000000000005"/>
    <d v="2012-05-28T00:00:00"/>
    <n v="0"/>
    <n v="0"/>
    <n v="0.5"/>
    <n v="0.5"/>
  </r>
  <r>
    <n v="7749"/>
    <n v="55460"/>
    <x v="321"/>
    <x v="20"/>
    <s v="High"/>
    <n v="12"/>
    <n v="61.82"/>
    <n v="0.1"/>
    <s v="Regular Air"/>
    <n v="-10.4535"/>
    <n v="5.34"/>
    <n v="2.99"/>
    <x v="553"/>
    <x v="9"/>
    <x v="2"/>
    <x v="3"/>
    <x v="0"/>
    <x v="2"/>
    <x v="282"/>
    <s v="Small Box"/>
    <n v="0.38"/>
    <d v="2012-05-27T00:00:00"/>
    <n v="0"/>
    <n v="0"/>
    <n v="0.5"/>
    <n v="0.5"/>
  </r>
  <r>
    <n v="7815"/>
    <n v="55877"/>
    <x v="243"/>
    <x v="6"/>
    <s v="Not Specified"/>
    <n v="40"/>
    <n v="144.28"/>
    <n v="0.01"/>
    <s v="Express Air"/>
    <n v="52.94"/>
    <n v="3.08"/>
    <n v="0.99"/>
    <x v="557"/>
    <x v="9"/>
    <x v="2"/>
    <x v="2"/>
    <x v="0"/>
    <x v="11"/>
    <x v="1165"/>
    <s v="Small Box"/>
    <n v="0.37"/>
    <d v="2010-02-04T00:00:00"/>
    <n v="0"/>
    <n v="0"/>
    <n v="0.5"/>
    <n v="0.5"/>
  </r>
  <r>
    <n v="7816"/>
    <n v="55877"/>
    <x v="243"/>
    <x v="6"/>
    <s v="Not Specified"/>
    <n v="19"/>
    <n v="126.53"/>
    <n v="0.03"/>
    <s v="Regular Air"/>
    <n v="-73.38"/>
    <n v="5.98"/>
    <n v="7.5"/>
    <x v="557"/>
    <x v="9"/>
    <x v="2"/>
    <x v="2"/>
    <x v="0"/>
    <x v="5"/>
    <x v="437"/>
    <s v="Small Box"/>
    <n v="0.4"/>
    <d v="2010-02-03T00:00:00"/>
    <n v="0"/>
    <n v="0"/>
    <n v="0.5"/>
    <n v="0.5"/>
  </r>
  <r>
    <n v="7927"/>
    <n v="56647"/>
    <x v="646"/>
    <x v="21"/>
    <s v="Medium"/>
    <n v="41"/>
    <n v="417.53"/>
    <n v="0.02"/>
    <s v="Regular Air"/>
    <n v="-309.06"/>
    <n v="9.98"/>
    <n v="12.52"/>
    <x v="484"/>
    <x v="9"/>
    <x v="2"/>
    <x v="3"/>
    <x v="2"/>
    <x v="4"/>
    <x v="981"/>
    <s v="Small Box"/>
    <n v="0.56999999999999995"/>
    <d v="2011-08-04T00:00:00"/>
    <n v="0"/>
    <n v="0"/>
    <n v="1"/>
    <n v="1"/>
  </r>
  <r>
    <n v="8044"/>
    <n v="57475"/>
    <x v="771"/>
    <x v="0"/>
    <s v="Low"/>
    <n v="32"/>
    <n v="167.07"/>
    <n v="0.04"/>
    <s v="Regular Air"/>
    <n v="-93.230499999999992"/>
    <n v="4.91"/>
    <n v="5.68"/>
    <x v="484"/>
    <x v="9"/>
    <x v="2"/>
    <x v="3"/>
    <x v="0"/>
    <x v="2"/>
    <x v="980"/>
    <s v="Small Box"/>
    <n v="0.36"/>
    <d v="2010-10-11T00:00:00"/>
    <n v="0"/>
    <n v="0"/>
    <n v="0.25"/>
    <n v="0.25"/>
  </r>
  <r>
    <n v="8045"/>
    <n v="57475"/>
    <x v="771"/>
    <x v="0"/>
    <s v="Low"/>
    <n v="34"/>
    <n v="554.88"/>
    <n v="0.06"/>
    <s v="Regular Air"/>
    <n v="-145.32550000000001"/>
    <n v="15.99"/>
    <n v="13.18"/>
    <x v="484"/>
    <x v="9"/>
    <x v="2"/>
    <x v="3"/>
    <x v="0"/>
    <x v="2"/>
    <x v="22"/>
    <s v="Small Box"/>
    <n v="0.37"/>
    <d v="2010-10-04T00:00:00"/>
    <n v="0"/>
    <n v="0"/>
    <n v="0.25"/>
    <n v="0.25"/>
  </r>
  <r>
    <n v="8046"/>
    <n v="57475"/>
    <x v="771"/>
    <x v="0"/>
    <s v="Low"/>
    <n v="48"/>
    <n v="309.64999999999998"/>
    <n v="0.04"/>
    <s v="Regular Air"/>
    <n v="-79.81"/>
    <n v="6.54"/>
    <n v="5.27"/>
    <x v="484"/>
    <x v="9"/>
    <x v="2"/>
    <x v="3"/>
    <x v="0"/>
    <x v="2"/>
    <x v="578"/>
    <s v="Small Box"/>
    <n v="0.36"/>
    <d v="2010-10-04T00:00:00"/>
    <n v="0"/>
    <n v="0"/>
    <n v="0.25"/>
    <n v="0.25"/>
  </r>
  <r>
    <n v="8047"/>
    <n v="57475"/>
    <x v="771"/>
    <x v="0"/>
    <s v="Low"/>
    <n v="24"/>
    <n v="152.37"/>
    <n v="0.09"/>
    <s v="Regular Air"/>
    <n v="-76.53"/>
    <n v="6.48"/>
    <n v="6.6"/>
    <x v="484"/>
    <x v="9"/>
    <x v="2"/>
    <x v="3"/>
    <x v="0"/>
    <x v="5"/>
    <x v="226"/>
    <s v="Small Box"/>
    <n v="0.37"/>
    <d v="2010-10-06T00:00:00"/>
    <n v="0"/>
    <n v="0"/>
    <n v="0.25"/>
    <n v="0.25"/>
  </r>
  <r>
    <n v="8062"/>
    <n v="57537"/>
    <x v="1256"/>
    <x v="34"/>
    <s v="Medium"/>
    <n v="13"/>
    <n v="76.38"/>
    <n v="0.03"/>
    <s v="Express Air"/>
    <n v="-29.693000000000001"/>
    <n v="4.82"/>
    <n v="5.24"/>
    <x v="553"/>
    <x v="9"/>
    <x v="2"/>
    <x v="3"/>
    <x v="0"/>
    <x v="2"/>
    <x v="1138"/>
    <s v="Small Box"/>
    <n v="0.39"/>
    <d v="2012-09-19T00:00:00"/>
    <n v="0"/>
    <n v="0"/>
    <n v="0.33333333333333331"/>
    <n v="0.33333333333333331"/>
  </r>
  <r>
    <n v="8063"/>
    <n v="57537"/>
    <x v="1256"/>
    <x v="34"/>
    <s v="Medium"/>
    <n v="29"/>
    <n v="2948.63"/>
    <n v="0.05"/>
    <s v="Regular Air"/>
    <n v="888.62"/>
    <n v="100.97"/>
    <n v="7.18"/>
    <x v="553"/>
    <x v="9"/>
    <x v="2"/>
    <x v="3"/>
    <x v="1"/>
    <x v="7"/>
    <x v="824"/>
    <s v="Small Box"/>
    <n v="0.46"/>
    <d v="2012-09-19T00:00:00"/>
    <n v="0"/>
    <n v="0"/>
    <n v="0.33333333333333331"/>
    <n v="0.33333333333333331"/>
  </r>
  <r>
    <n v="8064"/>
    <n v="57537"/>
    <x v="1256"/>
    <x v="34"/>
    <s v="Medium"/>
    <n v="4"/>
    <n v="18.329999999999998"/>
    <n v="0.09"/>
    <s v="Regular Air"/>
    <n v="-7.08"/>
    <n v="3.98"/>
    <n v="2.97"/>
    <x v="553"/>
    <x v="9"/>
    <x v="2"/>
    <x v="3"/>
    <x v="0"/>
    <x v="5"/>
    <x v="48"/>
    <s v="Wrap Bag"/>
    <n v="0.35"/>
    <d v="2012-09-18T00:00:00"/>
    <n v="0"/>
    <n v="0"/>
    <n v="0.33333333333333331"/>
    <n v="0.33333333333333331"/>
  </r>
  <r>
    <n v="8087"/>
    <n v="57698"/>
    <x v="418"/>
    <x v="23"/>
    <s v="Critical"/>
    <n v="10"/>
    <n v="86"/>
    <n v="0.05"/>
    <s v="Regular Air"/>
    <n v="-66.91"/>
    <n v="7.77"/>
    <n v="9.23"/>
    <x v="553"/>
    <x v="9"/>
    <x v="2"/>
    <x v="3"/>
    <x v="0"/>
    <x v="1"/>
    <x v="1009"/>
    <s v="Small Box"/>
    <n v="0.57999999999999996"/>
    <d v="2012-01-07T00:00:00"/>
    <n v="0"/>
    <n v="0"/>
    <n v="0.5"/>
    <n v="0.5"/>
  </r>
  <r>
    <n v="8088"/>
    <n v="57698"/>
    <x v="418"/>
    <x v="23"/>
    <s v="Critical"/>
    <n v="13"/>
    <n v="4805.3599999999997"/>
    <n v="0.04"/>
    <s v="Regular Air"/>
    <n v="1127.31"/>
    <n v="363.25"/>
    <n v="19.989999999999998"/>
    <x v="553"/>
    <x v="9"/>
    <x v="2"/>
    <x v="3"/>
    <x v="0"/>
    <x v="1"/>
    <x v="445"/>
    <s v="Small Box"/>
    <n v="0.56999999999999995"/>
    <d v="2012-01-08T00:00:00"/>
    <n v="0"/>
    <n v="0"/>
    <n v="0.5"/>
    <n v="0.5"/>
  </r>
  <r>
    <n v="8143"/>
    <n v="58241"/>
    <x v="519"/>
    <x v="18"/>
    <s v="Critical"/>
    <n v="36"/>
    <n v="146.71"/>
    <n v="0.01"/>
    <s v="Regular Air"/>
    <n v="38.630000000000003"/>
    <n v="4"/>
    <n v="1.3"/>
    <x v="553"/>
    <x v="9"/>
    <x v="2"/>
    <x v="3"/>
    <x v="0"/>
    <x v="5"/>
    <x v="910"/>
    <s v="Wrap Bag"/>
    <n v="0.37"/>
    <d v="2010-09-08T00:00:00"/>
    <n v="0"/>
    <n v="0"/>
    <n v="0.5"/>
    <n v="0.16666666666666666"/>
  </r>
  <r>
    <n v="8144"/>
    <n v="58241"/>
    <x v="519"/>
    <x v="18"/>
    <s v="Critical"/>
    <n v="36"/>
    <n v="475.92"/>
    <n v="0.05"/>
    <s v="Regular Air"/>
    <n v="-95.3"/>
    <n v="12.88"/>
    <n v="4.59"/>
    <x v="553"/>
    <x v="9"/>
    <x v="2"/>
    <x v="3"/>
    <x v="0"/>
    <x v="15"/>
    <x v="418"/>
    <s v="Wrap Bag"/>
    <n v="0.82"/>
    <d v="2010-09-08T00:00:00"/>
    <n v="0"/>
    <n v="0"/>
    <n v="0.5"/>
    <n v="0.16666666666666666"/>
  </r>
  <r>
    <n v="16"/>
    <n v="96"/>
    <x v="990"/>
    <x v="46"/>
    <s v="High"/>
    <n v="37"/>
    <n v="4158.1234999999997"/>
    <n v="0.01"/>
    <s v="Regular Air"/>
    <n v="1228.8870000000002"/>
    <n v="125.99"/>
    <n v="8.99"/>
    <x v="560"/>
    <x v="3"/>
    <x v="3"/>
    <x v="3"/>
    <x v="1"/>
    <x v="3"/>
    <x v="628"/>
    <s v="Small Box"/>
    <n v="0.55000000000000004"/>
    <d v="2009-04-18T00:00:00"/>
    <n v="0"/>
    <n v="0"/>
    <n v="1"/>
    <n v="1"/>
  </r>
  <r>
    <n v="93"/>
    <n v="610"/>
    <x v="600"/>
    <x v="21"/>
    <s v="Critical"/>
    <n v="38"/>
    <n v="283.64999999999998"/>
    <n v="0.02"/>
    <s v="Express Air"/>
    <n v="-29.21"/>
    <n v="6.68"/>
    <n v="5.41"/>
    <x v="561"/>
    <x v="3"/>
    <x v="3"/>
    <x v="3"/>
    <x v="0"/>
    <x v="5"/>
    <x v="1192"/>
    <s v="Small Box"/>
    <n v="0.37"/>
    <d v="2011-08-03T00:00:00"/>
    <n v="0"/>
    <n v="0"/>
    <n v="1"/>
    <n v="1"/>
  </r>
  <r>
    <n v="95"/>
    <n v="612"/>
    <x v="1257"/>
    <x v="1"/>
    <s v="Medium"/>
    <n v="50"/>
    <n v="262.87"/>
    <n v="0.1"/>
    <s v="Regular Air"/>
    <n v="-166.29"/>
    <n v="5.28"/>
    <n v="6.26"/>
    <x v="464"/>
    <x v="3"/>
    <x v="3"/>
    <x v="2"/>
    <x v="0"/>
    <x v="5"/>
    <x v="438"/>
    <s v="Small Box"/>
    <n v="0.4"/>
    <d v="2012-10-22T00:00:00"/>
    <n v="0"/>
    <n v="0"/>
    <n v="0.5"/>
    <n v="0.5"/>
  </r>
  <r>
    <n v="96"/>
    <n v="612"/>
    <x v="1257"/>
    <x v="1"/>
    <s v="Medium"/>
    <n v="43"/>
    <n v="2531.0875000000001"/>
    <n v="0.01"/>
    <s v="Regular Air"/>
    <n v="881.67599999999993"/>
    <n v="65.989999999999995"/>
    <n v="2.5"/>
    <x v="464"/>
    <x v="3"/>
    <x v="3"/>
    <x v="2"/>
    <x v="1"/>
    <x v="3"/>
    <x v="588"/>
    <s v="Small Box"/>
    <n v="0.55000000000000004"/>
    <d v="2012-10-22T00:00:00"/>
    <n v="0"/>
    <n v="0"/>
    <n v="0.5"/>
    <n v="0.5"/>
  </r>
  <r>
    <n v="216"/>
    <n v="1440"/>
    <x v="885"/>
    <x v="21"/>
    <s v="Low"/>
    <n v="41"/>
    <n v="726.22"/>
    <n v="0.01"/>
    <s v="Regular Air"/>
    <n v="52.47"/>
    <n v="17.670000000000002"/>
    <n v="8.99"/>
    <x v="562"/>
    <x v="3"/>
    <x v="3"/>
    <x v="0"/>
    <x v="2"/>
    <x v="4"/>
    <x v="594"/>
    <s v="Small Pack"/>
    <n v="0.47"/>
    <d v="2011-08-11T00:00:00"/>
    <n v="0"/>
    <n v="0"/>
    <n v="1"/>
    <n v="1"/>
  </r>
  <r>
    <n v="553"/>
    <n v="3749"/>
    <x v="1258"/>
    <x v="44"/>
    <s v="Medium"/>
    <n v="27"/>
    <n v="353.62"/>
    <n v="0.01"/>
    <s v="Regular Air"/>
    <n v="140.148"/>
    <n v="12.97"/>
    <n v="1.49"/>
    <x v="563"/>
    <x v="3"/>
    <x v="3"/>
    <x v="1"/>
    <x v="0"/>
    <x v="2"/>
    <x v="941"/>
    <s v="Small Box"/>
    <n v="0.35"/>
    <d v="2011-02-25T00:00:00"/>
    <n v="0"/>
    <n v="0"/>
    <n v="1"/>
    <n v="1"/>
  </r>
  <r>
    <n v="598"/>
    <n v="4070"/>
    <x v="908"/>
    <x v="4"/>
    <s v="High"/>
    <n v="22"/>
    <n v="646.07000000000005"/>
    <n v="0.06"/>
    <s v="Express Air"/>
    <n v="237.75"/>
    <n v="28.48"/>
    <n v="1.99"/>
    <x v="561"/>
    <x v="3"/>
    <x v="3"/>
    <x v="3"/>
    <x v="1"/>
    <x v="7"/>
    <x v="395"/>
    <s v="Small Pack"/>
    <n v="0.4"/>
    <d v="2011-06-11T00:00:00"/>
    <n v="0"/>
    <n v="0"/>
    <n v="1"/>
    <n v="1"/>
  </r>
  <r>
    <n v="687"/>
    <n v="4774"/>
    <x v="1252"/>
    <x v="24"/>
    <s v="Medium"/>
    <n v="4"/>
    <n v="126.87"/>
    <n v="0.08"/>
    <s v="Regular Air"/>
    <n v="-125.99"/>
    <n v="32.979999999999997"/>
    <n v="5.5"/>
    <x v="564"/>
    <x v="3"/>
    <x v="3"/>
    <x v="2"/>
    <x v="1"/>
    <x v="7"/>
    <x v="279"/>
    <s v="Small Box"/>
    <n v="0.75"/>
    <d v="2010-04-20T00:00:00"/>
    <n v="0"/>
    <n v="0"/>
    <n v="1"/>
    <n v="1"/>
  </r>
  <r>
    <n v="958"/>
    <n v="6947"/>
    <x v="23"/>
    <x v="2"/>
    <s v="Critical"/>
    <n v="9"/>
    <n v="520.49"/>
    <n v="0"/>
    <s v="Regular Air"/>
    <n v="-51.01"/>
    <n v="51.65"/>
    <n v="18.45"/>
    <x v="565"/>
    <x v="3"/>
    <x v="3"/>
    <x v="0"/>
    <x v="2"/>
    <x v="4"/>
    <x v="452"/>
    <s v="Medium Box"/>
    <n v="0.65"/>
    <d v="2011-07-21T00:00:00"/>
    <n v="0"/>
    <n v="0"/>
    <n v="1"/>
    <n v="1"/>
  </r>
  <r>
    <n v="962"/>
    <n v="6979"/>
    <x v="221"/>
    <x v="40"/>
    <s v="Critical"/>
    <n v="28"/>
    <n v="334.89"/>
    <n v="0.03"/>
    <s v="Regular Air"/>
    <n v="-1.4355"/>
    <n v="11.99"/>
    <n v="5.99"/>
    <x v="560"/>
    <x v="3"/>
    <x v="3"/>
    <x v="3"/>
    <x v="1"/>
    <x v="16"/>
    <x v="765"/>
    <s v="Medium Box"/>
    <n v="0.36"/>
    <d v="2009-02-28T00:00:00"/>
    <n v="0"/>
    <n v="0"/>
    <n v="1"/>
    <n v="1"/>
  </r>
  <r>
    <n v="985"/>
    <n v="7107"/>
    <x v="1259"/>
    <x v="23"/>
    <s v="Not Specified"/>
    <n v="3"/>
    <n v="172.04"/>
    <n v="0.02"/>
    <s v="Regular Air"/>
    <n v="143.08000000000001"/>
    <n v="54.2"/>
    <n v="11.1"/>
    <x v="566"/>
    <x v="3"/>
    <x v="3"/>
    <x v="2"/>
    <x v="2"/>
    <x v="4"/>
    <x v="1193"/>
    <s v="Medium Box"/>
    <n v="0.64"/>
    <d v="2012-01-04T00:00:00"/>
    <n v="0"/>
    <n v="0"/>
    <n v="0.33333333333333331"/>
    <n v="0.33333333333333331"/>
  </r>
  <r>
    <n v="986"/>
    <n v="7107"/>
    <x v="1259"/>
    <x v="23"/>
    <s v="Not Specified"/>
    <n v="3"/>
    <n v="113.14"/>
    <n v="0.06"/>
    <s v="Regular Air"/>
    <n v="-21.23"/>
    <n v="37.94"/>
    <n v="5.08"/>
    <x v="566"/>
    <x v="3"/>
    <x v="3"/>
    <x v="2"/>
    <x v="0"/>
    <x v="5"/>
    <x v="532"/>
    <s v="Wrap Bag"/>
    <n v="0.38"/>
    <d v="2012-01-06T00:00:00"/>
    <n v="0"/>
    <n v="0"/>
    <n v="0.33333333333333331"/>
    <n v="0.33333333333333331"/>
  </r>
  <r>
    <n v="987"/>
    <n v="7107"/>
    <x v="1259"/>
    <x v="23"/>
    <s v="Not Specified"/>
    <n v="32"/>
    <n v="1724.82"/>
    <n v="0.1"/>
    <s v="Regular Air"/>
    <n v="407.8"/>
    <n v="55.29"/>
    <n v="5.08"/>
    <x v="566"/>
    <x v="3"/>
    <x v="3"/>
    <x v="2"/>
    <x v="0"/>
    <x v="0"/>
    <x v="179"/>
    <s v="Small Box"/>
    <n v="0.59"/>
    <d v="2012-01-05T00:00:00"/>
    <n v="0"/>
    <n v="0"/>
    <n v="0.33333333333333331"/>
    <n v="0.33333333333333331"/>
  </r>
  <r>
    <n v="1132"/>
    <n v="8288"/>
    <x v="527"/>
    <x v="10"/>
    <s v="Critical"/>
    <n v="22"/>
    <n v="1337.81"/>
    <n v="0.02"/>
    <s v="Regular Air"/>
    <n v="407.11599999999999"/>
    <n v="59.78"/>
    <n v="10.29"/>
    <x v="408"/>
    <x v="3"/>
    <x v="3"/>
    <x v="2"/>
    <x v="0"/>
    <x v="2"/>
    <x v="172"/>
    <s v="Small Box"/>
    <n v="0.39"/>
    <d v="2011-05-10T00:00:00"/>
    <n v="0"/>
    <n v="0"/>
    <n v="1"/>
    <n v="1"/>
  </r>
  <r>
    <n v="1187"/>
    <n v="8678"/>
    <x v="1190"/>
    <x v="34"/>
    <s v="Low"/>
    <n v="31"/>
    <n v="937.8"/>
    <n v="0"/>
    <s v="Regular Air"/>
    <n v="27.12"/>
    <n v="29.74"/>
    <n v="6.64"/>
    <x v="563"/>
    <x v="3"/>
    <x v="3"/>
    <x v="1"/>
    <x v="0"/>
    <x v="0"/>
    <x v="253"/>
    <s v="Small Box"/>
    <n v="0.7"/>
    <d v="2012-10-05T00:00:00"/>
    <n v="0"/>
    <n v="0"/>
    <n v="1"/>
    <n v="1"/>
  </r>
  <r>
    <n v="1480"/>
    <n v="10659"/>
    <x v="1046"/>
    <x v="43"/>
    <s v="Critical"/>
    <n v="40"/>
    <n v="227.37"/>
    <n v="0"/>
    <s v="Regular Air"/>
    <n v="-92.07"/>
    <n v="5.28"/>
    <n v="5.61"/>
    <x v="548"/>
    <x v="3"/>
    <x v="3"/>
    <x v="2"/>
    <x v="0"/>
    <x v="5"/>
    <x v="1194"/>
    <s v="Small Box"/>
    <n v="0.4"/>
    <d v="2009-05-14T00:00:00"/>
    <n v="0"/>
    <n v="0"/>
    <n v="1"/>
    <n v="1"/>
  </r>
  <r>
    <n v="1489"/>
    <n v="10695"/>
    <x v="1242"/>
    <x v="10"/>
    <s v="High"/>
    <n v="39"/>
    <n v="6330.0859999999993"/>
    <n v="0.1"/>
    <s v="Regular Air"/>
    <n v="1421.8920000000001"/>
    <n v="205.99"/>
    <n v="2.5"/>
    <x v="404"/>
    <x v="3"/>
    <x v="3"/>
    <x v="2"/>
    <x v="1"/>
    <x v="3"/>
    <x v="1038"/>
    <s v="Small Box"/>
    <n v="0.59"/>
    <d v="2011-05-03T00:00:00"/>
    <n v="0"/>
    <n v="0"/>
    <n v="1"/>
    <n v="1"/>
  </r>
  <r>
    <n v="1620"/>
    <n v="11719"/>
    <x v="735"/>
    <x v="44"/>
    <s v="Not Specified"/>
    <n v="3"/>
    <n v="1566.8"/>
    <n v="0.06"/>
    <s v="Delivery Truck"/>
    <n v="-1044.9222"/>
    <n v="500.97"/>
    <n v="69.3"/>
    <x v="560"/>
    <x v="3"/>
    <x v="3"/>
    <x v="3"/>
    <x v="1"/>
    <x v="16"/>
    <x v="280"/>
    <s v="Jumbo Drum"/>
    <n v="0.37"/>
    <d v="2011-02-06T00:00:00"/>
    <n v="0"/>
    <n v="0"/>
    <n v="0.33333333333333331"/>
    <n v="0.33333333333333331"/>
  </r>
  <r>
    <n v="1621"/>
    <n v="11719"/>
    <x v="735"/>
    <x v="44"/>
    <s v="Not Specified"/>
    <n v="30"/>
    <n v="616.01"/>
    <n v="0.09"/>
    <s v="Regular Air"/>
    <n v="-74.88"/>
    <n v="21.38"/>
    <n v="8.99"/>
    <x v="560"/>
    <x v="3"/>
    <x v="3"/>
    <x v="3"/>
    <x v="0"/>
    <x v="12"/>
    <x v="311"/>
    <s v="Small Pack"/>
    <n v="0.59"/>
    <d v="2011-02-05T00:00:00"/>
    <n v="0"/>
    <n v="0"/>
    <n v="0.33333333333333331"/>
    <n v="0.33333333333333331"/>
  </r>
  <r>
    <n v="1622"/>
    <n v="11719"/>
    <x v="735"/>
    <x v="44"/>
    <s v="Not Specified"/>
    <n v="17"/>
    <n v="438.60849999999999"/>
    <n v="0.01"/>
    <s v="Regular Air"/>
    <n v="-56.045000000000002"/>
    <n v="28.99"/>
    <n v="8.59"/>
    <x v="560"/>
    <x v="3"/>
    <x v="3"/>
    <x v="3"/>
    <x v="1"/>
    <x v="3"/>
    <x v="382"/>
    <s v="Medium Box"/>
    <n v="0.56000000000000005"/>
    <d v="2011-02-05T00:00:00"/>
    <n v="0"/>
    <n v="0"/>
    <n v="0.33333333333333331"/>
    <n v="0.33333333333333331"/>
  </r>
  <r>
    <n v="1651"/>
    <n v="11908"/>
    <x v="262"/>
    <x v="39"/>
    <s v="Not Specified"/>
    <n v="5"/>
    <n v="1386.6"/>
    <n v="0.09"/>
    <s v="Delivery Truck"/>
    <n v="-556.17999999999995"/>
    <n v="280.98"/>
    <n v="57"/>
    <x v="408"/>
    <x v="3"/>
    <x v="3"/>
    <x v="2"/>
    <x v="2"/>
    <x v="14"/>
    <x v="544"/>
    <s v="Jumbo Drum"/>
    <n v="0.78"/>
    <d v="2010-05-27T00:00:00"/>
    <n v="0"/>
    <n v="0"/>
    <n v="1"/>
    <n v="1"/>
  </r>
  <r>
    <n v="1923"/>
    <n v="13765"/>
    <x v="931"/>
    <x v="46"/>
    <s v="Not Specified"/>
    <n v="45"/>
    <n v="1553.38"/>
    <n v="0.1"/>
    <s v="Regular Air"/>
    <n v="180.88"/>
    <n v="36.549999999999997"/>
    <n v="13.89"/>
    <x v="567"/>
    <x v="3"/>
    <x v="3"/>
    <x v="2"/>
    <x v="0"/>
    <x v="12"/>
    <x v="176"/>
    <s v="Wrap Bag"/>
    <n v="0.41"/>
    <d v="2009-04-07T00:00:00"/>
    <n v="0"/>
    <n v="0"/>
    <n v="1"/>
    <n v="1"/>
  </r>
  <r>
    <n v="1967"/>
    <n v="14055"/>
    <x v="161"/>
    <x v="35"/>
    <s v="High"/>
    <n v="21"/>
    <n v="441.7"/>
    <n v="0.08"/>
    <s v="Regular Air"/>
    <n v="167.18"/>
    <n v="22.23"/>
    <n v="3.63"/>
    <x v="560"/>
    <x v="3"/>
    <x v="3"/>
    <x v="3"/>
    <x v="2"/>
    <x v="4"/>
    <x v="485"/>
    <s v="Small Pack"/>
    <n v="0.52"/>
    <d v="2009-09-03T00:00:00"/>
    <n v="0"/>
    <n v="0"/>
    <n v="1"/>
    <n v="1"/>
  </r>
  <r>
    <n v="2010"/>
    <n v="14342"/>
    <x v="240"/>
    <x v="46"/>
    <s v="Low"/>
    <n v="38"/>
    <n v="10823.84"/>
    <n v="0.09"/>
    <s v="Regular Air"/>
    <n v="3857.43"/>
    <n v="300.97000000000003"/>
    <n v="7.18"/>
    <x v="404"/>
    <x v="3"/>
    <x v="3"/>
    <x v="2"/>
    <x v="1"/>
    <x v="7"/>
    <x v="1130"/>
    <s v="Small Box"/>
    <n v="0.48"/>
    <d v="2009-04-27T00:00:00"/>
    <n v="0"/>
    <n v="0"/>
    <n v="1"/>
    <n v="1"/>
  </r>
  <r>
    <n v="2063"/>
    <n v="14756"/>
    <x v="1053"/>
    <x v="26"/>
    <s v="Low"/>
    <n v="2"/>
    <n v="42.3"/>
    <n v="0.06"/>
    <s v="Regular Air"/>
    <n v="-25.38"/>
    <n v="19.23"/>
    <n v="6.15"/>
    <x v="566"/>
    <x v="3"/>
    <x v="3"/>
    <x v="2"/>
    <x v="2"/>
    <x v="4"/>
    <x v="392"/>
    <s v="Small Pack"/>
    <n v="0.44"/>
    <d v="2009-08-31T00:00:00"/>
    <n v="0"/>
    <n v="0"/>
    <n v="1"/>
    <n v="1"/>
  </r>
  <r>
    <n v="2065"/>
    <n v="14785"/>
    <x v="24"/>
    <x v="19"/>
    <s v="High"/>
    <n v="20"/>
    <n v="94.86"/>
    <n v="0.08"/>
    <s v="Regular Air"/>
    <n v="39.69"/>
    <n v="4.91"/>
    <n v="0.5"/>
    <x v="375"/>
    <x v="3"/>
    <x v="3"/>
    <x v="1"/>
    <x v="0"/>
    <x v="11"/>
    <x v="383"/>
    <s v="Small Box"/>
    <n v="0.36"/>
    <d v="2009-10-09T00:00:00"/>
    <n v="0"/>
    <n v="0"/>
    <n v="0.5"/>
    <n v="0.5"/>
  </r>
  <r>
    <n v="2066"/>
    <n v="14785"/>
    <x v="24"/>
    <x v="19"/>
    <s v="High"/>
    <n v="25"/>
    <n v="744.12"/>
    <n v="0.02"/>
    <s v="Regular Air"/>
    <n v="146.51"/>
    <n v="28.15"/>
    <n v="6.17"/>
    <x v="375"/>
    <x v="3"/>
    <x v="3"/>
    <x v="1"/>
    <x v="0"/>
    <x v="12"/>
    <x v="1162"/>
    <s v="Small Pack"/>
    <n v="0.55000000000000004"/>
    <d v="2009-10-10T00:00:00"/>
    <n v="0"/>
    <n v="0"/>
    <n v="0.5"/>
    <n v="0.5"/>
  </r>
  <r>
    <n v="2079"/>
    <n v="14855"/>
    <x v="1260"/>
    <x v="24"/>
    <s v="Not Specified"/>
    <n v="44"/>
    <n v="174.9"/>
    <n v="0.06"/>
    <s v="Express Air"/>
    <n v="-150.90299999999999"/>
    <n v="3.58"/>
    <n v="5.47"/>
    <x v="558"/>
    <x v="3"/>
    <x v="3"/>
    <x v="2"/>
    <x v="0"/>
    <x v="2"/>
    <x v="337"/>
    <s v="Small Box"/>
    <n v="0.37"/>
    <d v="2010-05-02T00:00:00"/>
    <n v="0"/>
    <n v="0"/>
    <n v="0.33333333333333331"/>
    <n v="0.33333333333333331"/>
  </r>
  <r>
    <n v="2080"/>
    <n v="14855"/>
    <x v="1260"/>
    <x v="24"/>
    <s v="Not Specified"/>
    <n v="48"/>
    <n v="103.8"/>
    <n v="0.1"/>
    <s v="Regular Air"/>
    <n v="-150.53"/>
    <n v="2.23"/>
    <n v="4.57"/>
    <x v="558"/>
    <x v="3"/>
    <x v="3"/>
    <x v="2"/>
    <x v="2"/>
    <x v="4"/>
    <x v="402"/>
    <s v="Small Pack"/>
    <n v="0.41"/>
    <d v="2010-05-02T00:00:00"/>
    <n v="0"/>
    <n v="0"/>
    <n v="0.33333333333333331"/>
    <n v="0.33333333333333331"/>
  </r>
  <r>
    <n v="2081"/>
    <n v="14855"/>
    <x v="1260"/>
    <x v="24"/>
    <s v="Not Specified"/>
    <n v="19"/>
    <n v="2557.5100000000002"/>
    <n v="0.01"/>
    <s v="Delivery Truck"/>
    <n v="-168.48"/>
    <n v="124.49"/>
    <n v="51.94"/>
    <x v="558"/>
    <x v="3"/>
    <x v="3"/>
    <x v="2"/>
    <x v="2"/>
    <x v="10"/>
    <x v="307"/>
    <s v="Jumbo Box"/>
    <n v="0.63"/>
    <d v="2010-05-02T00:00:00"/>
    <n v="0"/>
    <n v="0"/>
    <n v="0.33333333333333331"/>
    <n v="0.33333333333333331"/>
  </r>
  <r>
    <n v="2105"/>
    <n v="15045"/>
    <x v="147"/>
    <x v="3"/>
    <s v="Not Specified"/>
    <n v="11"/>
    <n v="1378.72"/>
    <n v="7.0000000000000007E-2"/>
    <s v="Delivery Truck"/>
    <n v="-640.6"/>
    <n v="122.99"/>
    <n v="70.2"/>
    <x v="565"/>
    <x v="3"/>
    <x v="3"/>
    <x v="0"/>
    <x v="2"/>
    <x v="14"/>
    <x v="301"/>
    <s v="Jumbo Drum"/>
    <n v="0.74"/>
    <d v="2010-08-22T00:00:00"/>
    <n v="0"/>
    <n v="0"/>
    <n v="1"/>
    <n v="1"/>
  </r>
  <r>
    <n v="2266"/>
    <n v="16289"/>
    <x v="942"/>
    <x v="42"/>
    <s v="High"/>
    <n v="49"/>
    <n v="5610.6120000000001"/>
    <n v="0.01"/>
    <s v="Regular Air"/>
    <n v="2040.8670000000002"/>
    <n v="125.99"/>
    <n v="2.5"/>
    <x v="558"/>
    <x v="3"/>
    <x v="3"/>
    <x v="2"/>
    <x v="1"/>
    <x v="3"/>
    <x v="1195"/>
    <s v="Small Box"/>
    <n v="0.57999999999999996"/>
    <d v="2010-07-19T00:00:00"/>
    <n v="0"/>
    <n v="0"/>
    <n v="0.5"/>
    <n v="0.5"/>
  </r>
  <r>
    <n v="2718"/>
    <n v="19621"/>
    <x v="713"/>
    <x v="31"/>
    <s v="Critical"/>
    <n v="20"/>
    <n v="67.03"/>
    <n v="0.04"/>
    <s v="Regular Air"/>
    <n v="-30.4"/>
    <n v="3.14"/>
    <n v="1.92"/>
    <x v="408"/>
    <x v="3"/>
    <x v="3"/>
    <x v="2"/>
    <x v="0"/>
    <x v="15"/>
    <x v="546"/>
    <s v="Wrap Bag"/>
    <n v="0.84"/>
    <d v="2011-09-08T00:00:00"/>
    <n v="0"/>
    <n v="0"/>
    <n v="0.5"/>
    <n v="0.33333333333333331"/>
  </r>
  <r>
    <n v="2719"/>
    <n v="19621"/>
    <x v="713"/>
    <x v="31"/>
    <s v="Critical"/>
    <n v="15"/>
    <n v="140.82"/>
    <n v="0.08"/>
    <s v="Express Air"/>
    <n v="-43.26"/>
    <n v="7.98"/>
    <n v="6.5"/>
    <x v="408"/>
    <x v="3"/>
    <x v="3"/>
    <x v="2"/>
    <x v="0"/>
    <x v="0"/>
    <x v="1077"/>
    <s v="Medium Box"/>
    <n v="0.59"/>
    <d v="2011-09-08T00:00:00"/>
    <n v="0"/>
    <n v="0"/>
    <n v="0.5"/>
    <n v="0.33333333333333331"/>
  </r>
  <r>
    <n v="2771"/>
    <n v="20036"/>
    <x v="112"/>
    <x v="15"/>
    <s v="Not Specified"/>
    <n v="28"/>
    <n v="4371.92"/>
    <n v="0.03"/>
    <s v="Delivery Truck"/>
    <n v="-533.44000000000005"/>
    <n v="150.97999999999999"/>
    <n v="66.27"/>
    <x v="558"/>
    <x v="3"/>
    <x v="3"/>
    <x v="2"/>
    <x v="2"/>
    <x v="9"/>
    <x v="207"/>
    <s v="Jumbo Box"/>
    <n v="0.65"/>
    <d v="2010-12-08T00:00:00"/>
    <n v="0"/>
    <n v="0"/>
    <n v="0.25"/>
    <n v="0.25"/>
  </r>
  <r>
    <n v="2772"/>
    <n v="20036"/>
    <x v="112"/>
    <x v="15"/>
    <s v="Not Specified"/>
    <n v="21"/>
    <n v="1745.1179999999999"/>
    <n v="0.03"/>
    <s v="Regular Air"/>
    <n v="307.25099999999998"/>
    <n v="95.99"/>
    <n v="4.9000000000000004"/>
    <x v="558"/>
    <x v="3"/>
    <x v="3"/>
    <x v="2"/>
    <x v="1"/>
    <x v="3"/>
    <x v="936"/>
    <s v="Small Box"/>
    <n v="0.56000000000000005"/>
    <d v="2010-12-07T00:00:00"/>
    <n v="0"/>
    <n v="0"/>
    <n v="0.25"/>
    <n v="0.25"/>
  </r>
  <r>
    <n v="2880"/>
    <n v="20773"/>
    <x v="326"/>
    <x v="28"/>
    <s v="Not Specified"/>
    <n v="44"/>
    <n v="479.96"/>
    <n v="0.08"/>
    <s v="Regular Air"/>
    <n v="122.536"/>
    <n v="10.91"/>
    <n v="2.99"/>
    <x v="568"/>
    <x v="3"/>
    <x v="3"/>
    <x v="3"/>
    <x v="0"/>
    <x v="2"/>
    <x v="235"/>
    <s v="Small Box"/>
    <n v="0.38"/>
    <d v="2009-03-06T00:00:00"/>
    <n v="0"/>
    <n v="0"/>
    <n v="1"/>
    <n v="0.25"/>
  </r>
  <r>
    <n v="2909"/>
    <n v="20967"/>
    <x v="515"/>
    <x v="5"/>
    <s v="High"/>
    <n v="50"/>
    <n v="28664.52"/>
    <n v="0.09"/>
    <s v="Regular Air"/>
    <n v="13340.26"/>
    <n v="599.99"/>
    <n v="24.49"/>
    <x v="404"/>
    <x v="3"/>
    <x v="3"/>
    <x v="0"/>
    <x v="1"/>
    <x v="13"/>
    <x v="776"/>
    <s v="Large Box"/>
    <n v="0.37"/>
    <d v="2011-03-15T00:00:00"/>
    <n v="0"/>
    <n v="0"/>
    <n v="0.5"/>
    <n v="0.5"/>
  </r>
  <r>
    <n v="2910"/>
    <n v="20967"/>
    <x v="515"/>
    <x v="5"/>
    <s v="High"/>
    <n v="6"/>
    <n v="635.7405"/>
    <n v="0.03"/>
    <s v="Regular Air"/>
    <n v="-397.529"/>
    <n v="125.99"/>
    <n v="8.08"/>
    <x v="404"/>
    <x v="3"/>
    <x v="3"/>
    <x v="0"/>
    <x v="1"/>
    <x v="3"/>
    <x v="442"/>
    <s v="Small Box"/>
    <n v="0.56999999999999995"/>
    <d v="2011-03-16T00:00:00"/>
    <n v="0"/>
    <n v="0"/>
    <n v="0.5"/>
    <n v="0.5"/>
  </r>
  <r>
    <n v="2974"/>
    <n v="21478"/>
    <x v="159"/>
    <x v="33"/>
    <s v="Low"/>
    <n v="16"/>
    <n v="423.07"/>
    <n v="0.01"/>
    <s v="Regular Air"/>
    <n v="126.95"/>
    <n v="25.38"/>
    <n v="8.99"/>
    <x v="560"/>
    <x v="3"/>
    <x v="3"/>
    <x v="3"/>
    <x v="2"/>
    <x v="4"/>
    <x v="216"/>
    <s v="Small Pack"/>
    <n v="0.5"/>
    <d v="2012-03-04T00:00:00"/>
    <n v="0"/>
    <n v="0"/>
    <n v="0.5"/>
    <n v="0.5"/>
  </r>
  <r>
    <n v="2975"/>
    <n v="21478"/>
    <x v="159"/>
    <x v="33"/>
    <s v="Low"/>
    <n v="33"/>
    <n v="1602.21"/>
    <n v="0.05"/>
    <s v="Regular Air"/>
    <n v="728.49"/>
    <n v="48.04"/>
    <n v="5.79"/>
    <x v="560"/>
    <x v="3"/>
    <x v="3"/>
    <x v="3"/>
    <x v="0"/>
    <x v="5"/>
    <x v="728"/>
    <s v="Small Box"/>
    <n v="0.37"/>
    <d v="2012-03-06T00:00:00"/>
    <n v="0"/>
    <n v="0"/>
    <n v="0.5"/>
    <n v="0.5"/>
  </r>
  <r>
    <n v="3000"/>
    <n v="21633"/>
    <x v="369"/>
    <x v="28"/>
    <s v="Medium"/>
    <n v="29"/>
    <n v="547.82000000000005"/>
    <n v="0.08"/>
    <s v="Regular Air"/>
    <n v="69.63"/>
    <n v="18.7"/>
    <n v="8.99"/>
    <x v="560"/>
    <x v="3"/>
    <x v="3"/>
    <x v="3"/>
    <x v="2"/>
    <x v="4"/>
    <x v="823"/>
    <s v="Small Pack"/>
    <n v="0.47"/>
    <d v="2009-03-28T00:00:00"/>
    <n v="0"/>
    <n v="0"/>
    <n v="1"/>
    <n v="1"/>
  </r>
  <r>
    <n v="3015"/>
    <n v="21696"/>
    <x v="854"/>
    <x v="0"/>
    <s v="Medium"/>
    <n v="14"/>
    <n v="278.27"/>
    <n v="0.02"/>
    <s v="Regular Air"/>
    <n v="-51.911000000000001"/>
    <n v="19.350000000000001"/>
    <n v="12.79"/>
    <x v="408"/>
    <x v="3"/>
    <x v="3"/>
    <x v="1"/>
    <x v="0"/>
    <x v="2"/>
    <x v="979"/>
    <s v="Small Box"/>
    <n v="0.39"/>
    <d v="2010-10-22T00:00:00"/>
    <n v="0"/>
    <n v="0"/>
    <n v="1"/>
    <n v="1"/>
  </r>
  <r>
    <n v="3184"/>
    <n v="22851"/>
    <x v="341"/>
    <x v="28"/>
    <s v="Critical"/>
    <n v="25"/>
    <n v="667.36"/>
    <n v="0.09"/>
    <s v="Regular Air"/>
    <n v="218.89"/>
    <n v="28.48"/>
    <n v="1.99"/>
    <x v="568"/>
    <x v="3"/>
    <x v="3"/>
    <x v="3"/>
    <x v="1"/>
    <x v="7"/>
    <x v="395"/>
    <s v="Small Pack"/>
    <n v="0.4"/>
    <d v="2009-03-02T00:00:00"/>
    <n v="0"/>
    <n v="0"/>
    <n v="0.33333333333333331"/>
    <n v="0.25"/>
  </r>
  <r>
    <n v="3185"/>
    <n v="22851"/>
    <x v="341"/>
    <x v="28"/>
    <s v="Critical"/>
    <n v="13"/>
    <n v="32.369999999999997"/>
    <n v="0"/>
    <s v="Regular Air"/>
    <n v="-48.55"/>
    <n v="2.08"/>
    <n v="5.33"/>
    <x v="568"/>
    <x v="3"/>
    <x v="3"/>
    <x v="3"/>
    <x v="2"/>
    <x v="4"/>
    <x v="109"/>
    <s v="Small Box"/>
    <n v="0.43"/>
    <d v="2009-03-03T00:00:00"/>
    <n v="0"/>
    <n v="0"/>
    <n v="0.33333333333333331"/>
    <n v="0.25"/>
  </r>
  <r>
    <n v="3186"/>
    <n v="22851"/>
    <x v="341"/>
    <x v="28"/>
    <s v="Critical"/>
    <n v="38"/>
    <n v="1409.0874999999999"/>
    <n v="0.06"/>
    <s v="Express Air"/>
    <n v="233.559"/>
    <n v="45.99"/>
    <n v="4.99"/>
    <x v="568"/>
    <x v="3"/>
    <x v="3"/>
    <x v="3"/>
    <x v="1"/>
    <x v="3"/>
    <x v="482"/>
    <s v="Small Box"/>
    <n v="0.56000000000000005"/>
    <d v="2009-03-02T00:00:00"/>
    <n v="0"/>
    <n v="0"/>
    <n v="0.33333333333333331"/>
    <n v="0.25"/>
  </r>
  <r>
    <n v="3295"/>
    <n v="23557"/>
    <x v="795"/>
    <x v="10"/>
    <s v="Not Specified"/>
    <n v="7"/>
    <n v="1011.16"/>
    <n v="0.02"/>
    <s v="Regular Air"/>
    <n v="547.96"/>
    <n v="136.97999999999999"/>
    <n v="24.49"/>
    <x v="560"/>
    <x v="3"/>
    <x v="3"/>
    <x v="3"/>
    <x v="2"/>
    <x v="4"/>
    <x v="355"/>
    <s v="Large Box"/>
    <n v="0.59"/>
    <d v="2011-06-01T00:00:00"/>
    <n v="0"/>
    <n v="0"/>
    <n v="1"/>
    <n v="1"/>
  </r>
  <r>
    <n v="3443"/>
    <n v="24577"/>
    <x v="1145"/>
    <x v="14"/>
    <s v="Medium"/>
    <n v="8"/>
    <n v="180.79"/>
    <n v="0.05"/>
    <s v="Regular Air"/>
    <n v="20.09"/>
    <n v="22.84"/>
    <n v="5.47"/>
    <x v="566"/>
    <x v="3"/>
    <x v="3"/>
    <x v="2"/>
    <x v="0"/>
    <x v="5"/>
    <x v="208"/>
    <s v="Small Box"/>
    <n v="0.39"/>
    <d v="2010-03-02T00:00:00"/>
    <n v="0"/>
    <n v="0"/>
    <n v="1"/>
    <n v="1"/>
  </r>
  <r>
    <n v="3504"/>
    <n v="24961"/>
    <x v="162"/>
    <x v="38"/>
    <s v="Low"/>
    <n v="8"/>
    <n v="487.59"/>
    <n v="0.04"/>
    <s v="Delivery Truck"/>
    <n v="-205.29"/>
    <n v="58.14"/>
    <n v="36.61"/>
    <x v="563"/>
    <x v="3"/>
    <x v="3"/>
    <x v="1"/>
    <x v="2"/>
    <x v="9"/>
    <x v="126"/>
    <s v="Jumbo Box"/>
    <n v="0.61"/>
    <d v="2010-02-02T00:00:00"/>
    <n v="1"/>
    <n v="0"/>
    <n v="1"/>
    <n v="1"/>
  </r>
  <r>
    <n v="3507"/>
    <n v="24966"/>
    <x v="962"/>
    <x v="25"/>
    <s v="Medium"/>
    <n v="34"/>
    <n v="4152.12"/>
    <n v="0"/>
    <s v="Regular Air"/>
    <n v="817.98"/>
    <n v="120.33"/>
    <n v="19.989999999999998"/>
    <x v="404"/>
    <x v="3"/>
    <x v="3"/>
    <x v="2"/>
    <x v="0"/>
    <x v="0"/>
    <x v="870"/>
    <s v="Small Box"/>
    <n v="0.59"/>
    <d v="2011-12-18T00:00:00"/>
    <n v="0"/>
    <n v="0"/>
    <n v="1"/>
    <n v="1"/>
  </r>
  <r>
    <n v="3838"/>
    <n v="27363"/>
    <x v="929"/>
    <x v="17"/>
    <s v="Medium"/>
    <n v="16"/>
    <n v="323.26"/>
    <n v="0.06"/>
    <s v="Regular Air"/>
    <n v="98.34"/>
    <n v="20.239999999999998"/>
    <n v="6.67"/>
    <x v="404"/>
    <x v="3"/>
    <x v="3"/>
    <x v="0"/>
    <x v="2"/>
    <x v="4"/>
    <x v="302"/>
    <s v="Small Pack"/>
    <n v="0.49"/>
    <d v="2011-10-19T00:00:00"/>
    <n v="0"/>
    <n v="0"/>
    <n v="0.5"/>
    <n v="0.5"/>
  </r>
  <r>
    <n v="4074"/>
    <n v="29028"/>
    <x v="735"/>
    <x v="44"/>
    <s v="Critical"/>
    <n v="43"/>
    <n v="17131.36"/>
    <n v="0.08"/>
    <s v="Delivery Truck"/>
    <n v="4722.7700000000004"/>
    <n v="400.97"/>
    <n v="14.7"/>
    <x v="408"/>
    <x v="3"/>
    <x v="3"/>
    <x v="2"/>
    <x v="1"/>
    <x v="16"/>
    <x v="1196"/>
    <s v="Jumbo Drum"/>
    <n v="0.59"/>
    <d v="2011-02-07T00:00:00"/>
    <n v="0"/>
    <n v="0"/>
    <n v="1"/>
    <n v="1"/>
  </r>
  <r>
    <n v="4089"/>
    <n v="29156"/>
    <x v="876"/>
    <x v="6"/>
    <s v="Low"/>
    <n v="10"/>
    <n v="208.77"/>
    <n v="7.0000000000000007E-2"/>
    <s v="Regular Air"/>
    <n v="-76.58"/>
    <n v="20.97"/>
    <n v="4"/>
    <x v="568"/>
    <x v="3"/>
    <x v="3"/>
    <x v="3"/>
    <x v="1"/>
    <x v="7"/>
    <x v="154"/>
    <s v="Small Box"/>
    <n v="0.77"/>
    <d v="2010-03-01T00:00:00"/>
    <n v="0"/>
    <n v="0"/>
    <n v="1"/>
    <n v="1"/>
  </r>
  <r>
    <n v="4115"/>
    <n v="29282"/>
    <x v="740"/>
    <x v="32"/>
    <s v="Medium"/>
    <n v="4"/>
    <n v="34.270000000000003"/>
    <n v="0.1"/>
    <s v="Regular Air"/>
    <n v="-26.44"/>
    <n v="6.48"/>
    <n v="9.5399999999999991"/>
    <x v="567"/>
    <x v="3"/>
    <x v="3"/>
    <x v="2"/>
    <x v="0"/>
    <x v="5"/>
    <x v="390"/>
    <s v="Small Box"/>
    <n v="0.37"/>
    <d v="2012-11-30T00:00:00"/>
    <n v="0"/>
    <n v="0"/>
    <n v="1"/>
    <n v="1"/>
  </r>
  <r>
    <n v="4214"/>
    <n v="29957"/>
    <x v="525"/>
    <x v="14"/>
    <s v="Critical"/>
    <n v="28"/>
    <n v="2555.37"/>
    <n v="0.08"/>
    <s v="Delivery Truck"/>
    <n v="-824.91"/>
    <n v="95.98"/>
    <n v="58.2"/>
    <x v="548"/>
    <x v="3"/>
    <x v="3"/>
    <x v="2"/>
    <x v="2"/>
    <x v="14"/>
    <x v="966"/>
    <s v="Jumbo Drum"/>
    <n v="0.57999999999999996"/>
    <d v="2010-03-14T00:00:00"/>
    <n v="0"/>
    <n v="0"/>
    <n v="0.5"/>
    <n v="0.5"/>
  </r>
  <r>
    <n v="4231"/>
    <n v="30053"/>
    <x v="312"/>
    <x v="40"/>
    <s v="Critical"/>
    <n v="41"/>
    <n v="3279.01"/>
    <n v="0.06"/>
    <s v="Delivery Truck"/>
    <n v="349.22"/>
    <n v="80.97"/>
    <n v="33.6"/>
    <x v="408"/>
    <x v="3"/>
    <x v="3"/>
    <x v="1"/>
    <x v="1"/>
    <x v="16"/>
    <x v="196"/>
    <s v="Jumbo Drum"/>
    <n v="0.37"/>
    <d v="2009-02-03T00:00:00"/>
    <n v="0"/>
    <n v="0"/>
    <n v="1"/>
    <n v="1"/>
  </r>
  <r>
    <n v="4233"/>
    <n v="30081"/>
    <x v="962"/>
    <x v="25"/>
    <s v="High"/>
    <n v="26"/>
    <n v="213.49"/>
    <n v="0.05"/>
    <s v="Regular Air"/>
    <n v="-136.44749999999999"/>
    <n v="8.0399999999999991"/>
    <n v="8.94"/>
    <x v="568"/>
    <x v="3"/>
    <x v="3"/>
    <x v="3"/>
    <x v="0"/>
    <x v="2"/>
    <x v="401"/>
    <s v="Small Box"/>
    <n v="0.4"/>
    <d v="2011-12-19T00:00:00"/>
    <n v="0"/>
    <n v="0"/>
    <n v="1"/>
    <n v="0.33333333333333331"/>
  </r>
  <r>
    <n v="4246"/>
    <n v="30214"/>
    <x v="832"/>
    <x v="19"/>
    <s v="Low"/>
    <n v="38"/>
    <n v="375.61"/>
    <n v="0.1"/>
    <s v="Express Air"/>
    <n v="-21.263499999999997"/>
    <n v="10.44"/>
    <n v="5.75"/>
    <x v="560"/>
    <x v="3"/>
    <x v="3"/>
    <x v="3"/>
    <x v="0"/>
    <x v="2"/>
    <x v="1197"/>
    <s v="Small Box"/>
    <n v="0.39"/>
    <d v="2009-10-11T00:00:00"/>
    <n v="0"/>
    <n v="0"/>
    <n v="1"/>
    <n v="1"/>
  </r>
  <r>
    <n v="4280"/>
    <n v="30497"/>
    <x v="955"/>
    <x v="44"/>
    <s v="Critical"/>
    <n v="34"/>
    <n v="706.91"/>
    <n v="0.03"/>
    <s v="Express Air"/>
    <n v="85.68"/>
    <n v="20.98"/>
    <n v="8.83"/>
    <x v="566"/>
    <x v="3"/>
    <x v="3"/>
    <x v="2"/>
    <x v="0"/>
    <x v="2"/>
    <x v="350"/>
    <s v="Small Box"/>
    <n v="0.37"/>
    <d v="2011-02-08T00:00:00"/>
    <n v="0"/>
    <n v="0"/>
    <n v="0.5"/>
    <n v="0.5"/>
  </r>
  <r>
    <n v="4281"/>
    <n v="30497"/>
    <x v="955"/>
    <x v="44"/>
    <s v="Critical"/>
    <n v="31"/>
    <n v="190.06"/>
    <n v="0.06"/>
    <s v="Regular Air"/>
    <n v="-61.9"/>
    <n v="5.98"/>
    <n v="5.35"/>
    <x v="566"/>
    <x v="3"/>
    <x v="3"/>
    <x v="2"/>
    <x v="0"/>
    <x v="5"/>
    <x v="687"/>
    <s v="Small Box"/>
    <n v="0.4"/>
    <d v="2011-02-08T00:00:00"/>
    <n v="0"/>
    <n v="0"/>
    <n v="0.5"/>
    <n v="0.5"/>
  </r>
  <r>
    <n v="4343"/>
    <n v="30917"/>
    <x v="698"/>
    <x v="7"/>
    <s v="Low"/>
    <n v="11"/>
    <n v="86.79"/>
    <n v="0.06"/>
    <s v="Regular Air"/>
    <n v="-45.6"/>
    <n v="8.1199999999999992"/>
    <n v="2.83"/>
    <x v="408"/>
    <x v="3"/>
    <x v="3"/>
    <x v="2"/>
    <x v="1"/>
    <x v="7"/>
    <x v="483"/>
    <s v="Small Pack"/>
    <n v="0.77"/>
    <d v="2010-11-03T00:00:00"/>
    <n v="0"/>
    <n v="0"/>
    <n v="0.5"/>
    <n v="0.5"/>
  </r>
  <r>
    <n v="4344"/>
    <n v="30917"/>
    <x v="698"/>
    <x v="7"/>
    <s v="Low"/>
    <n v="8"/>
    <n v="753.8"/>
    <n v="0.06"/>
    <s v="Regular Air"/>
    <n v="-32.303100000000001"/>
    <n v="96.45"/>
    <n v="13.99"/>
    <x v="408"/>
    <x v="3"/>
    <x v="3"/>
    <x v="2"/>
    <x v="1"/>
    <x v="16"/>
    <x v="1198"/>
    <s v="Medium Box"/>
    <n v="0.38"/>
    <d v="2010-11-05T00:00:00"/>
    <n v="0"/>
    <n v="0"/>
    <n v="0.5"/>
    <n v="0.5"/>
  </r>
  <r>
    <n v="4444"/>
    <n v="31681"/>
    <x v="655"/>
    <x v="32"/>
    <s v="Not Specified"/>
    <n v="38"/>
    <n v="212.12"/>
    <n v="0.02"/>
    <s v="Regular Air"/>
    <n v="-93.78"/>
    <n v="5.28"/>
    <n v="5.66"/>
    <x v="566"/>
    <x v="3"/>
    <x v="3"/>
    <x v="2"/>
    <x v="0"/>
    <x v="5"/>
    <x v="299"/>
    <s v="Small Box"/>
    <n v="0.4"/>
    <d v="2012-11-08T00:00:00"/>
    <n v="0"/>
    <n v="0"/>
    <n v="1"/>
    <n v="1"/>
  </r>
  <r>
    <n v="4456"/>
    <n v="31777"/>
    <x v="1261"/>
    <x v="17"/>
    <s v="Not Specified"/>
    <n v="32"/>
    <n v="6483.42"/>
    <n v="7.0000000000000007E-2"/>
    <s v="Delivery Truck"/>
    <n v="1590.95"/>
    <n v="200.98"/>
    <n v="23.76"/>
    <x v="565"/>
    <x v="3"/>
    <x v="3"/>
    <x v="0"/>
    <x v="2"/>
    <x v="14"/>
    <x v="316"/>
    <s v="Jumbo Drum"/>
    <n v="0.57999999999999996"/>
    <d v="2011-10-21T00:00:00"/>
    <n v="0"/>
    <n v="0"/>
    <n v="0.5"/>
    <n v="0.5"/>
  </r>
  <r>
    <n v="4457"/>
    <n v="31777"/>
    <x v="1261"/>
    <x v="17"/>
    <s v="Not Specified"/>
    <n v="10"/>
    <n v="137.77000000000001"/>
    <n v="0.01"/>
    <s v="Regular Air"/>
    <n v="1.85"/>
    <n v="12.28"/>
    <n v="6.47"/>
    <x v="565"/>
    <x v="3"/>
    <x v="3"/>
    <x v="0"/>
    <x v="0"/>
    <x v="5"/>
    <x v="46"/>
    <s v="Small Box"/>
    <n v="0.38"/>
    <d v="2011-10-19T00:00:00"/>
    <n v="0"/>
    <n v="0"/>
    <n v="0.5"/>
    <n v="0.5"/>
  </r>
  <r>
    <n v="4596"/>
    <n v="32710"/>
    <x v="571"/>
    <x v="11"/>
    <s v="High"/>
    <n v="43"/>
    <n v="540.33000000000004"/>
    <n v="0.04"/>
    <s v="Regular Air"/>
    <n v="-59.06"/>
    <n v="12.44"/>
    <n v="6.27"/>
    <x v="558"/>
    <x v="3"/>
    <x v="3"/>
    <x v="2"/>
    <x v="0"/>
    <x v="0"/>
    <x v="587"/>
    <s v="Medium Box"/>
    <n v="0.56999999999999995"/>
    <d v="2009-11-17T00:00:00"/>
    <n v="0"/>
    <n v="0"/>
    <n v="1"/>
    <n v="1"/>
  </r>
  <r>
    <n v="4644"/>
    <n v="33060"/>
    <x v="683"/>
    <x v="6"/>
    <s v="High"/>
    <n v="3"/>
    <n v="15.88"/>
    <n v="0.05"/>
    <s v="Regular Air"/>
    <n v="-11.04"/>
    <n v="3.74"/>
    <n v="4.6900000000000004"/>
    <x v="560"/>
    <x v="3"/>
    <x v="3"/>
    <x v="3"/>
    <x v="0"/>
    <x v="2"/>
    <x v="1093"/>
    <s v="Small Box"/>
    <n v="0.35"/>
    <d v="2010-02-20T00:00:00"/>
    <n v="0"/>
    <n v="0"/>
    <n v="1"/>
    <n v="1"/>
  </r>
  <r>
    <n v="4675"/>
    <n v="33254"/>
    <x v="1262"/>
    <x v="27"/>
    <s v="Not Specified"/>
    <n v="11"/>
    <n v="466.35"/>
    <n v="0.01"/>
    <s v="Regular Air"/>
    <n v="159.25"/>
    <n v="39.979999999999997"/>
    <n v="9.1999999999999993"/>
    <x v="560"/>
    <x v="3"/>
    <x v="3"/>
    <x v="3"/>
    <x v="2"/>
    <x v="4"/>
    <x v="131"/>
    <s v="Wrap Bag"/>
    <n v="0.65"/>
    <d v="2011-11-05T00:00:00"/>
    <n v="0"/>
    <n v="0"/>
    <n v="1"/>
    <n v="1"/>
  </r>
  <r>
    <n v="4720"/>
    <n v="33605"/>
    <x v="882"/>
    <x v="13"/>
    <s v="Critical"/>
    <n v="42"/>
    <n v="153.01"/>
    <n v="0.04"/>
    <s v="Regular Air"/>
    <n v="-218.53450000000001"/>
    <n v="3.52"/>
    <n v="6.83"/>
    <x v="558"/>
    <x v="3"/>
    <x v="3"/>
    <x v="2"/>
    <x v="0"/>
    <x v="2"/>
    <x v="489"/>
    <s v="Small Box"/>
    <n v="0.38"/>
    <d v="2012-04-05T00:00:00"/>
    <n v="0"/>
    <n v="0"/>
    <n v="1"/>
    <n v="1"/>
  </r>
  <r>
    <n v="4807"/>
    <n v="34180"/>
    <x v="1235"/>
    <x v="31"/>
    <s v="High"/>
    <n v="2"/>
    <n v="27"/>
    <n v="0.02"/>
    <s v="Express Air"/>
    <n v="-4.9000000000000004"/>
    <n v="5.78"/>
    <n v="8.09"/>
    <x v="408"/>
    <x v="3"/>
    <x v="3"/>
    <x v="2"/>
    <x v="0"/>
    <x v="5"/>
    <x v="151"/>
    <s v="Small Box"/>
    <n v="0.36"/>
    <d v="2011-09-03T00:00:00"/>
    <n v="0"/>
    <n v="0"/>
    <n v="1"/>
    <n v="0.33333333333333331"/>
  </r>
  <r>
    <n v="4939"/>
    <n v="35137"/>
    <x v="942"/>
    <x v="42"/>
    <s v="High"/>
    <n v="41"/>
    <n v="225.06"/>
    <n v="0.05"/>
    <s v="Express Air"/>
    <n v="7.3014999999999999"/>
    <n v="5.34"/>
    <n v="2.99"/>
    <x v="561"/>
    <x v="3"/>
    <x v="3"/>
    <x v="3"/>
    <x v="0"/>
    <x v="2"/>
    <x v="282"/>
    <s v="Small Box"/>
    <n v="0.38"/>
    <d v="2010-07-19T00:00:00"/>
    <n v="0"/>
    <n v="0"/>
    <n v="0.5"/>
    <n v="0.5"/>
  </r>
  <r>
    <n v="4940"/>
    <n v="35137"/>
    <x v="942"/>
    <x v="42"/>
    <s v="High"/>
    <n v="47"/>
    <n v="1041.78"/>
    <n v="0.1"/>
    <s v="Regular Air"/>
    <n v="283.79000000000002"/>
    <n v="23.99"/>
    <n v="6.71"/>
    <x v="561"/>
    <x v="3"/>
    <x v="3"/>
    <x v="3"/>
    <x v="0"/>
    <x v="8"/>
    <x v="201"/>
    <s v="Small Box"/>
    <n v="0.35"/>
    <d v="2010-07-20T00:00:00"/>
    <n v="0"/>
    <n v="0"/>
    <n v="0.5"/>
    <n v="0.5"/>
  </r>
  <r>
    <n v="5185"/>
    <n v="36838"/>
    <x v="693"/>
    <x v="46"/>
    <s v="Low"/>
    <n v="3"/>
    <n v="32.76"/>
    <n v="0.06"/>
    <s v="Express Air"/>
    <n v="11.29"/>
    <n v="6.3"/>
    <n v="0.5"/>
    <x v="408"/>
    <x v="3"/>
    <x v="3"/>
    <x v="2"/>
    <x v="0"/>
    <x v="11"/>
    <x v="336"/>
    <s v="Small Box"/>
    <n v="0.39"/>
    <d v="2009-04-17T00:00:00"/>
    <n v="0"/>
    <n v="0"/>
    <n v="1"/>
    <n v="1"/>
  </r>
  <r>
    <n v="5232"/>
    <n v="37252"/>
    <x v="142"/>
    <x v="27"/>
    <s v="Low"/>
    <n v="21"/>
    <n v="1503.49"/>
    <n v="0.03"/>
    <s v="Regular Air"/>
    <n v="408.73"/>
    <n v="70.97"/>
    <n v="3.5"/>
    <x v="566"/>
    <x v="3"/>
    <x v="3"/>
    <x v="2"/>
    <x v="0"/>
    <x v="1"/>
    <x v="1023"/>
    <s v="Small Box"/>
    <n v="0.59"/>
    <d v="2011-11-21T00:00:00"/>
    <n v="0"/>
    <n v="0"/>
    <n v="0.25"/>
    <n v="0.25"/>
  </r>
  <r>
    <n v="5233"/>
    <n v="37252"/>
    <x v="142"/>
    <x v="27"/>
    <s v="Low"/>
    <n v="1"/>
    <n v="10.62"/>
    <n v="0.02"/>
    <s v="Regular Air"/>
    <n v="-31.2"/>
    <n v="8.32"/>
    <n v="2.38"/>
    <x v="566"/>
    <x v="3"/>
    <x v="3"/>
    <x v="2"/>
    <x v="1"/>
    <x v="7"/>
    <x v="1090"/>
    <s v="Small Pack"/>
    <n v="0.74"/>
    <d v="2011-11-23T00:00:00"/>
    <n v="0"/>
    <n v="0"/>
    <n v="0.25"/>
    <n v="0.25"/>
  </r>
  <r>
    <n v="5234"/>
    <n v="37252"/>
    <x v="142"/>
    <x v="27"/>
    <s v="Low"/>
    <n v="50"/>
    <n v="2337.0300000000002"/>
    <n v="0.1"/>
    <s v="Regular Air"/>
    <n v="-37.19"/>
    <n v="49.99"/>
    <n v="19.989999999999998"/>
    <x v="566"/>
    <x v="3"/>
    <x v="3"/>
    <x v="2"/>
    <x v="1"/>
    <x v="7"/>
    <x v="1137"/>
    <s v="Small Box"/>
    <n v="0.45"/>
    <d v="2011-11-21T00:00:00"/>
    <n v="0"/>
    <n v="0"/>
    <n v="0.25"/>
    <n v="0.25"/>
  </r>
  <r>
    <n v="5235"/>
    <n v="37252"/>
    <x v="142"/>
    <x v="27"/>
    <s v="Low"/>
    <n v="34"/>
    <n v="29345.27"/>
    <n v="0.03"/>
    <s v="Delivery Truck"/>
    <n v="7497.55"/>
    <n v="880.98"/>
    <n v="44.55"/>
    <x v="566"/>
    <x v="3"/>
    <x v="3"/>
    <x v="2"/>
    <x v="2"/>
    <x v="9"/>
    <x v="185"/>
    <s v="Jumbo Box"/>
    <n v="0.62"/>
    <d v="2011-11-24T00:00:00"/>
    <n v="0"/>
    <n v="0"/>
    <n v="0.25"/>
    <n v="0.25"/>
  </r>
  <r>
    <n v="5496"/>
    <n v="38979"/>
    <x v="6"/>
    <x v="6"/>
    <s v="Low"/>
    <n v="48"/>
    <n v="3355.1"/>
    <n v="7.0000000000000007E-2"/>
    <s v="Delivery Truck"/>
    <n v="-1701.96"/>
    <n v="70.98"/>
    <n v="59.81"/>
    <x v="566"/>
    <x v="3"/>
    <x v="3"/>
    <x v="2"/>
    <x v="2"/>
    <x v="14"/>
    <x v="1022"/>
    <s v="Jumbo Drum"/>
    <n v="0.6"/>
    <d v="2010-02-26T00:00:00"/>
    <n v="0"/>
    <n v="0"/>
    <n v="0.33333333333333331"/>
    <n v="0.33333333333333331"/>
  </r>
  <r>
    <n v="5497"/>
    <n v="38979"/>
    <x v="6"/>
    <x v="6"/>
    <s v="Low"/>
    <n v="34"/>
    <n v="2864.55"/>
    <n v="0.06"/>
    <s v="Regular Air"/>
    <n v="1021.07"/>
    <n v="82.99"/>
    <n v="5.5"/>
    <x v="566"/>
    <x v="3"/>
    <x v="3"/>
    <x v="2"/>
    <x v="1"/>
    <x v="7"/>
    <x v="432"/>
    <s v="Small Box"/>
    <n v="0.44"/>
    <d v="2010-03-03T00:00:00"/>
    <n v="0"/>
    <n v="0"/>
    <n v="0.33333333333333331"/>
    <n v="0.33333333333333331"/>
  </r>
  <r>
    <n v="5498"/>
    <n v="38979"/>
    <x v="6"/>
    <x v="6"/>
    <s v="Low"/>
    <n v="31"/>
    <n v="65.61"/>
    <n v="0.02"/>
    <s v="Regular Air"/>
    <n v="-16.63"/>
    <n v="1.95"/>
    <n v="1.63"/>
    <x v="566"/>
    <x v="3"/>
    <x v="3"/>
    <x v="2"/>
    <x v="0"/>
    <x v="12"/>
    <x v="1060"/>
    <s v="Wrap Bag"/>
    <n v="0.46"/>
    <d v="2010-03-03T00:00:00"/>
    <n v="0"/>
    <n v="0"/>
    <n v="0.33333333333333331"/>
    <n v="0.33333333333333331"/>
  </r>
  <r>
    <n v="5588"/>
    <n v="39619"/>
    <x v="1259"/>
    <x v="23"/>
    <s v="Low"/>
    <n v="15"/>
    <n v="742.8"/>
    <n v="0.02"/>
    <s v="Regular Air"/>
    <n v="265.87"/>
    <n v="49.34"/>
    <n v="10.25"/>
    <x v="563"/>
    <x v="3"/>
    <x v="3"/>
    <x v="1"/>
    <x v="2"/>
    <x v="4"/>
    <x v="945"/>
    <s v="Large Box"/>
    <n v="0.56999999999999995"/>
    <d v="2012-01-08T00:00:00"/>
    <n v="0"/>
    <n v="0"/>
    <n v="1"/>
    <n v="1"/>
  </r>
  <r>
    <n v="5670"/>
    <n v="40101"/>
    <x v="692"/>
    <x v="22"/>
    <s v="Low"/>
    <n v="46"/>
    <n v="2188.06"/>
    <n v="0.1"/>
    <s v="Express Air"/>
    <n v="33.770000000000003"/>
    <n v="49.99"/>
    <n v="19.989999999999998"/>
    <x v="558"/>
    <x v="3"/>
    <x v="3"/>
    <x v="2"/>
    <x v="1"/>
    <x v="7"/>
    <x v="1137"/>
    <s v="Small Box"/>
    <n v="0.45"/>
    <d v="2009-02-05T00:00:00"/>
    <n v="0"/>
    <n v="1"/>
    <n v="1"/>
    <n v="0.5"/>
  </r>
  <r>
    <n v="5852"/>
    <n v="41542"/>
    <x v="1263"/>
    <x v="35"/>
    <s v="High"/>
    <n v="47"/>
    <n v="6181.48"/>
    <n v="0.03"/>
    <s v="Delivery Truck"/>
    <n v="-194.83"/>
    <n v="124.49"/>
    <n v="51.94"/>
    <x v="408"/>
    <x v="3"/>
    <x v="3"/>
    <x v="2"/>
    <x v="2"/>
    <x v="10"/>
    <x v="307"/>
    <s v="Jumbo Box"/>
    <n v="0.63"/>
    <d v="2009-09-27T00:00:00"/>
    <n v="0"/>
    <n v="0"/>
    <n v="1"/>
    <n v="1"/>
  </r>
  <r>
    <n v="6010"/>
    <n v="42565"/>
    <x v="1264"/>
    <x v="18"/>
    <s v="Low"/>
    <n v="33"/>
    <n v="283.8"/>
    <n v="0.04"/>
    <s v="Regular Air"/>
    <n v="47.523499999999999"/>
    <n v="8.69"/>
    <n v="2.99"/>
    <x v="561"/>
    <x v="3"/>
    <x v="3"/>
    <x v="3"/>
    <x v="0"/>
    <x v="2"/>
    <x v="2"/>
    <s v="Small Box"/>
    <n v="0.39"/>
    <d v="2010-09-29T00:00:00"/>
    <n v="0"/>
    <n v="0"/>
    <n v="1"/>
    <n v="1"/>
  </r>
  <r>
    <n v="6041"/>
    <n v="42823"/>
    <x v="461"/>
    <x v="30"/>
    <s v="Medium"/>
    <n v="8"/>
    <n v="49.14"/>
    <n v="0.05"/>
    <s v="Express Air"/>
    <n v="-22.56"/>
    <n v="4.28"/>
    <n v="6.18"/>
    <x v="566"/>
    <x v="3"/>
    <x v="3"/>
    <x v="2"/>
    <x v="0"/>
    <x v="5"/>
    <x v="10"/>
    <s v="Small Box"/>
    <n v="0.4"/>
    <d v="2010-06-27T00:00:00"/>
    <n v="0"/>
    <n v="0"/>
    <n v="1"/>
    <n v="1"/>
  </r>
  <r>
    <n v="6131"/>
    <n v="43398"/>
    <x v="1066"/>
    <x v="37"/>
    <s v="Not Specified"/>
    <n v="10"/>
    <n v="1600.85"/>
    <n v="7.0000000000000007E-2"/>
    <s v="Delivery Truck"/>
    <n v="-193.97"/>
    <n v="159.31"/>
    <n v="60"/>
    <x v="558"/>
    <x v="3"/>
    <x v="3"/>
    <x v="2"/>
    <x v="2"/>
    <x v="10"/>
    <x v="740"/>
    <s v="Jumbo Drum"/>
    <n v="0.55000000000000004"/>
    <d v="2011-04-25T00:00:00"/>
    <n v="0"/>
    <n v="0"/>
    <n v="1"/>
    <n v="1"/>
  </r>
  <r>
    <n v="6212"/>
    <n v="44002"/>
    <x v="1265"/>
    <x v="40"/>
    <s v="Medium"/>
    <n v="46"/>
    <n v="320.93"/>
    <n v="0.05"/>
    <s v="Regular Air"/>
    <n v="-66.48"/>
    <n v="6.68"/>
    <n v="5.66"/>
    <x v="558"/>
    <x v="3"/>
    <x v="3"/>
    <x v="2"/>
    <x v="0"/>
    <x v="5"/>
    <x v="674"/>
    <s v="Small Box"/>
    <n v="0.37"/>
    <d v="2009-02-09T00:00:00"/>
    <n v="0"/>
    <n v="0"/>
    <n v="0.5"/>
    <n v="0.5"/>
  </r>
  <r>
    <n v="6213"/>
    <n v="44002"/>
    <x v="1265"/>
    <x v="40"/>
    <s v="Medium"/>
    <n v="14"/>
    <n v="261.85000000000002"/>
    <n v="0.03"/>
    <s v="Regular Air"/>
    <n v="-52.33"/>
    <n v="17.7"/>
    <n v="9.4700000000000006"/>
    <x v="558"/>
    <x v="3"/>
    <x v="3"/>
    <x v="2"/>
    <x v="0"/>
    <x v="0"/>
    <x v="1046"/>
    <s v="Small Box"/>
    <n v="0.59"/>
    <d v="2009-02-07T00:00:00"/>
    <n v="0"/>
    <n v="0"/>
    <n v="0.5"/>
    <n v="0.5"/>
  </r>
  <r>
    <n v="6236"/>
    <n v="44196"/>
    <x v="1073"/>
    <x v="26"/>
    <s v="Not Specified"/>
    <n v="10"/>
    <n v="56.91"/>
    <n v="0.01"/>
    <s v="Regular Air"/>
    <n v="7.5"/>
    <n v="5.18"/>
    <n v="2.04"/>
    <x v="447"/>
    <x v="3"/>
    <x v="3"/>
    <x v="2"/>
    <x v="0"/>
    <x v="5"/>
    <x v="267"/>
    <s v="Wrap Bag"/>
    <n v="0.36"/>
    <d v="2009-08-24T00:00:00"/>
    <n v="0"/>
    <n v="0"/>
    <n v="0.5"/>
    <n v="0.5"/>
  </r>
  <r>
    <n v="6267"/>
    <n v="44359"/>
    <x v="1010"/>
    <x v="7"/>
    <s v="High"/>
    <n v="19"/>
    <n v="113.2"/>
    <n v="0.1"/>
    <s v="Regular Air"/>
    <n v="24.83"/>
    <n v="6.08"/>
    <n v="0.91"/>
    <x v="560"/>
    <x v="3"/>
    <x v="3"/>
    <x v="3"/>
    <x v="0"/>
    <x v="12"/>
    <x v="997"/>
    <s v="Wrap Bag"/>
    <n v="0.51"/>
    <d v="2010-12-01T00:00:00"/>
    <n v="0"/>
    <n v="0"/>
    <n v="1"/>
    <n v="1"/>
  </r>
  <r>
    <n v="6334"/>
    <n v="44871"/>
    <x v="788"/>
    <x v="10"/>
    <s v="Critical"/>
    <n v="27"/>
    <n v="94.46"/>
    <n v="0.02"/>
    <s v="Regular Air"/>
    <n v="-75.09"/>
    <n v="3.28"/>
    <n v="4.2"/>
    <x v="568"/>
    <x v="3"/>
    <x v="3"/>
    <x v="3"/>
    <x v="0"/>
    <x v="12"/>
    <x v="820"/>
    <s v="Wrap Bag"/>
    <n v="0.56000000000000005"/>
    <d v="2011-05-05T00:00:00"/>
    <n v="0"/>
    <n v="0"/>
    <n v="1"/>
    <n v="0.33333333333333331"/>
  </r>
  <r>
    <n v="6475"/>
    <n v="46055"/>
    <x v="734"/>
    <x v="8"/>
    <s v="Medium"/>
    <n v="25"/>
    <n v="1291.2"/>
    <n v="0.04"/>
    <s v="Regular Air"/>
    <n v="-5.5999999999999801"/>
    <n v="50.98"/>
    <n v="6.5"/>
    <x v="408"/>
    <x v="3"/>
    <x v="3"/>
    <x v="1"/>
    <x v="1"/>
    <x v="7"/>
    <x v="87"/>
    <s v="Small Box"/>
    <n v="0.73"/>
    <d v="2012-06-04T00:00:00"/>
    <n v="0"/>
    <n v="0"/>
    <n v="1"/>
    <n v="1"/>
  </r>
  <r>
    <n v="6556"/>
    <n v="46624"/>
    <x v="1244"/>
    <x v="24"/>
    <s v="Not Specified"/>
    <n v="28"/>
    <n v="110.2"/>
    <n v="7.0000000000000007E-2"/>
    <s v="Regular Air"/>
    <n v="42.84"/>
    <n v="4.13"/>
    <n v="0.5"/>
    <x v="560"/>
    <x v="3"/>
    <x v="3"/>
    <x v="3"/>
    <x v="0"/>
    <x v="11"/>
    <x v="84"/>
    <s v="Small Box"/>
    <n v="0.39"/>
    <d v="2010-04-27T00:00:00"/>
    <n v="0"/>
    <n v="0"/>
    <n v="0.5"/>
    <n v="0.5"/>
  </r>
  <r>
    <n v="6557"/>
    <n v="46624"/>
    <x v="1244"/>
    <x v="24"/>
    <s v="Not Specified"/>
    <n v="12"/>
    <n v="54.86"/>
    <n v="0.09"/>
    <s v="Regular Air"/>
    <n v="-50.6"/>
    <n v="4.28"/>
    <n v="6.72"/>
    <x v="560"/>
    <x v="3"/>
    <x v="3"/>
    <x v="3"/>
    <x v="0"/>
    <x v="5"/>
    <x v="777"/>
    <s v="Small Box"/>
    <n v="0.4"/>
    <d v="2010-04-28T00:00:00"/>
    <n v="0"/>
    <n v="0"/>
    <n v="0.5"/>
    <n v="0.5"/>
  </r>
  <r>
    <n v="6618"/>
    <n v="47079"/>
    <x v="264"/>
    <x v="25"/>
    <s v="Critical"/>
    <n v="34"/>
    <n v="1069.8499999999999"/>
    <n v="7.0000000000000007E-2"/>
    <s v="Delivery Truck"/>
    <n v="-1179.3900000000001"/>
    <n v="31.76"/>
    <n v="45.51"/>
    <x v="569"/>
    <x v="3"/>
    <x v="3"/>
    <x v="3"/>
    <x v="2"/>
    <x v="10"/>
    <x v="465"/>
    <s v="Jumbo Box"/>
    <n v="0.65"/>
    <d v="2011-12-18T00:00:00"/>
    <n v="0"/>
    <n v="0"/>
    <n v="1"/>
    <n v="0.5"/>
  </r>
  <r>
    <n v="6674"/>
    <n v="47494"/>
    <x v="370"/>
    <x v="36"/>
    <s v="High"/>
    <n v="42"/>
    <n v="1967.83"/>
    <n v="0.04"/>
    <s v="Regular Air"/>
    <n v="659.6"/>
    <n v="45.19"/>
    <n v="1.99"/>
    <x v="408"/>
    <x v="3"/>
    <x v="3"/>
    <x v="1"/>
    <x v="1"/>
    <x v="7"/>
    <x v="256"/>
    <s v="Small Pack"/>
    <n v="0.55000000000000004"/>
    <d v="2009-07-02T00:00:00"/>
    <n v="0"/>
    <n v="0"/>
    <n v="0.5"/>
    <n v="0.5"/>
  </r>
  <r>
    <n v="6675"/>
    <n v="47494"/>
    <x v="370"/>
    <x v="36"/>
    <s v="High"/>
    <n v="9"/>
    <n v="52.59"/>
    <n v="0.03"/>
    <s v="Regular Air"/>
    <n v="-28.14"/>
    <n v="4.9800000000000004"/>
    <n v="6.07"/>
    <x v="408"/>
    <x v="3"/>
    <x v="3"/>
    <x v="1"/>
    <x v="0"/>
    <x v="5"/>
    <x v="231"/>
    <s v="Small Box"/>
    <n v="0.36"/>
    <d v="2009-07-01T00:00:00"/>
    <n v="0"/>
    <n v="0"/>
    <n v="0.5"/>
    <n v="0.5"/>
  </r>
  <r>
    <n v="6694"/>
    <n v="47622"/>
    <x v="234"/>
    <x v="34"/>
    <s v="Not Specified"/>
    <n v="41"/>
    <n v="8188.19"/>
    <n v="0.05"/>
    <s v="Regular Air"/>
    <n v="3702"/>
    <n v="204.1"/>
    <n v="13.99"/>
    <x v="564"/>
    <x v="3"/>
    <x v="3"/>
    <x v="2"/>
    <x v="1"/>
    <x v="16"/>
    <x v="345"/>
    <s v="Medium Box"/>
    <n v="0.37"/>
    <d v="2012-09-13T00:00:00"/>
    <n v="0"/>
    <n v="0"/>
    <n v="1"/>
    <n v="1"/>
  </r>
  <r>
    <n v="6731"/>
    <n v="47938"/>
    <x v="342"/>
    <x v="41"/>
    <s v="Low"/>
    <n v="17"/>
    <n v="283.65349999999995"/>
    <n v="0.09"/>
    <s v="Regular Air"/>
    <n v="-113.047"/>
    <n v="20.99"/>
    <n v="2.5"/>
    <x v="564"/>
    <x v="3"/>
    <x v="3"/>
    <x v="2"/>
    <x v="1"/>
    <x v="3"/>
    <x v="32"/>
    <s v="Wrap Bag"/>
    <n v="0.81"/>
    <d v="2009-07-01T00:00:00"/>
    <n v="0"/>
    <n v="0"/>
    <n v="1"/>
    <n v="1"/>
  </r>
  <r>
    <n v="6744"/>
    <n v="48032"/>
    <x v="134"/>
    <x v="3"/>
    <s v="High"/>
    <n v="42"/>
    <n v="309.17"/>
    <n v="0.09"/>
    <s v="Regular Air"/>
    <n v="-283.31"/>
    <n v="7.77"/>
    <n v="9.23"/>
    <x v="558"/>
    <x v="3"/>
    <x v="3"/>
    <x v="2"/>
    <x v="0"/>
    <x v="1"/>
    <x v="1009"/>
    <s v="Small Box"/>
    <n v="0.57999999999999996"/>
    <d v="2010-08-27T00:00:00"/>
    <n v="0"/>
    <n v="0"/>
    <n v="0.5"/>
    <n v="0.5"/>
  </r>
  <r>
    <n v="6745"/>
    <n v="48032"/>
    <x v="134"/>
    <x v="3"/>
    <s v="High"/>
    <n v="29"/>
    <n v="412.86"/>
    <n v="7.0000000000000007E-2"/>
    <s v="Regular Air"/>
    <n v="-104.43"/>
    <n v="15.14"/>
    <n v="4.53"/>
    <x v="558"/>
    <x v="3"/>
    <x v="3"/>
    <x v="2"/>
    <x v="0"/>
    <x v="0"/>
    <x v="560"/>
    <s v="Small Box"/>
    <n v="0.81"/>
    <d v="2010-08-27T00:00:00"/>
    <n v="0"/>
    <n v="0"/>
    <n v="0.5"/>
    <n v="0.5"/>
  </r>
  <r>
    <n v="6884"/>
    <n v="49062"/>
    <x v="285"/>
    <x v="13"/>
    <s v="Low"/>
    <n v="33"/>
    <n v="103.32"/>
    <n v="0"/>
    <s v="Regular Air"/>
    <n v="-25.68"/>
    <n v="2.98"/>
    <n v="2.0299999999999998"/>
    <x v="569"/>
    <x v="3"/>
    <x v="3"/>
    <x v="3"/>
    <x v="0"/>
    <x v="12"/>
    <x v="1169"/>
    <s v="Wrap Bag"/>
    <n v="0.56999999999999995"/>
    <d v="2012-04-18T00:00:00"/>
    <n v="0"/>
    <n v="0"/>
    <n v="1"/>
    <n v="0.5"/>
  </r>
  <r>
    <n v="6941"/>
    <n v="49541"/>
    <x v="191"/>
    <x v="22"/>
    <s v="Medium"/>
    <n v="35"/>
    <n v="503.75"/>
    <n v="0"/>
    <s v="Regular Air"/>
    <n v="16.46"/>
    <n v="13.43"/>
    <n v="5.5"/>
    <x v="561"/>
    <x v="3"/>
    <x v="3"/>
    <x v="3"/>
    <x v="0"/>
    <x v="0"/>
    <x v="813"/>
    <s v="Small Box"/>
    <n v="0.56999999999999995"/>
    <d v="2009-01-17T00:00:00"/>
    <n v="0"/>
    <n v="1"/>
    <n v="1"/>
    <n v="1"/>
  </r>
  <r>
    <n v="6970"/>
    <n v="49799"/>
    <x v="182"/>
    <x v="26"/>
    <s v="High"/>
    <n v="4"/>
    <n v="1614.97"/>
    <n v="0.05"/>
    <s v="Delivery Truck"/>
    <n v="-593.15"/>
    <n v="376.13"/>
    <n v="85.63"/>
    <x v="560"/>
    <x v="3"/>
    <x v="3"/>
    <x v="3"/>
    <x v="2"/>
    <x v="10"/>
    <x v="564"/>
    <s v="Jumbo Box"/>
    <n v="0.74"/>
    <d v="2009-08-26T00:00:00"/>
    <n v="0"/>
    <n v="0"/>
    <n v="0.5"/>
    <n v="0.5"/>
  </r>
  <r>
    <n v="6971"/>
    <n v="49799"/>
    <x v="182"/>
    <x v="26"/>
    <s v="High"/>
    <n v="12"/>
    <n v="2119.0414999999998"/>
    <n v="0"/>
    <s v="Regular Air"/>
    <n v="-6.5670000000000002"/>
    <n v="195.99"/>
    <n v="8.99"/>
    <x v="560"/>
    <x v="3"/>
    <x v="3"/>
    <x v="3"/>
    <x v="1"/>
    <x v="3"/>
    <x v="521"/>
    <s v="Small Box"/>
    <n v="0.6"/>
    <d v="2009-08-25T00:00:00"/>
    <n v="0"/>
    <n v="0"/>
    <n v="0.5"/>
    <n v="0.5"/>
  </r>
  <r>
    <n v="6973"/>
    <n v="49828"/>
    <x v="933"/>
    <x v="21"/>
    <s v="Medium"/>
    <n v="39"/>
    <n v="272.39"/>
    <n v="0.03"/>
    <s v="Express Air"/>
    <n v="-91.48"/>
    <n v="6.48"/>
    <n v="6.6"/>
    <x v="569"/>
    <x v="3"/>
    <x v="3"/>
    <x v="1"/>
    <x v="0"/>
    <x v="5"/>
    <x v="226"/>
    <s v="Small Box"/>
    <n v="0.37"/>
    <d v="2011-08-31T00:00:00"/>
    <n v="0"/>
    <n v="0"/>
    <n v="1"/>
    <n v="0.5"/>
  </r>
  <r>
    <n v="7014"/>
    <n v="50054"/>
    <x v="351"/>
    <x v="18"/>
    <s v="Not Specified"/>
    <n v="50"/>
    <n v="5369.46"/>
    <n v="0"/>
    <s v="Regular Air"/>
    <n v="1370.26"/>
    <n v="99.99"/>
    <n v="19.989999999999998"/>
    <x v="447"/>
    <x v="3"/>
    <x v="3"/>
    <x v="2"/>
    <x v="1"/>
    <x v="16"/>
    <x v="284"/>
    <s v="Small Box"/>
    <n v="0.52"/>
    <d v="2010-09-08T00:00:00"/>
    <n v="0"/>
    <n v="0"/>
    <n v="0.5"/>
    <n v="0.5"/>
  </r>
  <r>
    <n v="7015"/>
    <n v="50054"/>
    <x v="351"/>
    <x v="18"/>
    <s v="Not Specified"/>
    <n v="41"/>
    <n v="1439.96"/>
    <n v="0.02"/>
    <s v="Regular Air"/>
    <n v="182.46"/>
    <n v="33.29"/>
    <n v="8.74"/>
    <x v="447"/>
    <x v="3"/>
    <x v="3"/>
    <x v="2"/>
    <x v="0"/>
    <x v="0"/>
    <x v="965"/>
    <s v="Small Box"/>
    <n v="0.61"/>
    <d v="2010-09-08T00:00:00"/>
    <n v="0"/>
    <n v="0"/>
    <n v="0.5"/>
    <n v="0.5"/>
  </r>
  <r>
    <n v="7058"/>
    <n v="50370"/>
    <x v="95"/>
    <x v="32"/>
    <s v="Critical"/>
    <n v="25"/>
    <n v="122.05"/>
    <n v="0"/>
    <s v="Express Air"/>
    <n v="-67.597000000000008"/>
    <n v="4.24"/>
    <n v="5.41"/>
    <x v="408"/>
    <x v="3"/>
    <x v="3"/>
    <x v="2"/>
    <x v="0"/>
    <x v="2"/>
    <x v="683"/>
    <s v="Small Box"/>
    <n v="0.35"/>
    <d v="2012-11-07T00:00:00"/>
    <n v="0"/>
    <n v="0"/>
    <n v="1"/>
    <n v="1"/>
  </r>
  <r>
    <n v="7150"/>
    <n v="51009"/>
    <x v="271"/>
    <x v="27"/>
    <s v="Not Specified"/>
    <n v="10"/>
    <n v="48"/>
    <n v="0.09"/>
    <s v="Regular Air"/>
    <n v="-29.14"/>
    <n v="4.18"/>
    <n v="6.92"/>
    <x v="567"/>
    <x v="3"/>
    <x v="3"/>
    <x v="2"/>
    <x v="2"/>
    <x v="4"/>
    <x v="760"/>
    <s v="Small Box"/>
    <n v="0.49"/>
    <d v="2011-11-07T00:00:00"/>
    <n v="0"/>
    <n v="0"/>
    <n v="1"/>
    <n v="1"/>
  </r>
  <r>
    <n v="7698"/>
    <n v="55200"/>
    <x v="3"/>
    <x v="3"/>
    <s v="Medium"/>
    <n v="33"/>
    <n v="505.08"/>
    <n v="0.01"/>
    <s v="Regular Air"/>
    <n v="-56.913499999999999"/>
    <n v="15.15"/>
    <n v="10.130000000000001"/>
    <x v="561"/>
    <x v="3"/>
    <x v="3"/>
    <x v="3"/>
    <x v="0"/>
    <x v="2"/>
    <x v="929"/>
    <s v="Small Box"/>
    <n v="0.38"/>
    <d v="2010-08-30T00:00:00"/>
    <n v="0"/>
    <n v="0"/>
    <n v="0.5"/>
    <n v="0.5"/>
  </r>
  <r>
    <n v="7699"/>
    <n v="55200"/>
    <x v="3"/>
    <x v="3"/>
    <s v="Medium"/>
    <n v="4"/>
    <n v="649.23849999999993"/>
    <n v="0.1"/>
    <s v="Regular Air"/>
    <n v="-830.72"/>
    <n v="205.99"/>
    <n v="2.79"/>
    <x v="561"/>
    <x v="3"/>
    <x v="3"/>
    <x v="3"/>
    <x v="1"/>
    <x v="3"/>
    <x v="1128"/>
    <s v="Small Box"/>
    <n v="0.57999999999999996"/>
    <d v="2010-08-30T00:00:00"/>
    <n v="0"/>
    <n v="0"/>
    <n v="0.5"/>
    <n v="0.5"/>
  </r>
  <r>
    <n v="7799"/>
    <n v="55808"/>
    <x v="492"/>
    <x v="44"/>
    <s v="Not Specified"/>
    <n v="6"/>
    <n v="830.28"/>
    <n v="0"/>
    <s v="Delivery Truck"/>
    <n v="-382.98"/>
    <n v="122.99"/>
    <n v="70.2"/>
    <x v="569"/>
    <x v="3"/>
    <x v="3"/>
    <x v="3"/>
    <x v="2"/>
    <x v="14"/>
    <x v="301"/>
    <s v="Jumbo Drum"/>
    <n v="0.74"/>
    <d v="2011-02-16T00:00:00"/>
    <n v="0"/>
    <n v="0"/>
    <n v="0.5"/>
    <n v="0.5"/>
  </r>
  <r>
    <n v="7800"/>
    <n v="55808"/>
    <x v="492"/>
    <x v="44"/>
    <s v="Not Specified"/>
    <n v="45"/>
    <n v="837.38599999999997"/>
    <n v="0.03"/>
    <s v="Regular Air"/>
    <n v="104.328"/>
    <n v="20.99"/>
    <n v="4.8099999999999996"/>
    <x v="569"/>
    <x v="3"/>
    <x v="3"/>
    <x v="3"/>
    <x v="1"/>
    <x v="3"/>
    <x v="591"/>
    <s v="Medium Box"/>
    <n v="0.57999999999999996"/>
    <d v="2011-02-16T00:00:00"/>
    <n v="0"/>
    <n v="0"/>
    <n v="0.5"/>
    <n v="0.5"/>
  </r>
  <r>
    <n v="7823"/>
    <n v="55937"/>
    <x v="452"/>
    <x v="22"/>
    <s v="Medium"/>
    <n v="10"/>
    <n v="392.77"/>
    <n v="0.09"/>
    <s v="Regular Air"/>
    <n v="-146.19999999999999"/>
    <n v="39.979999999999997"/>
    <n v="7.12"/>
    <x v="562"/>
    <x v="3"/>
    <x v="3"/>
    <x v="0"/>
    <x v="1"/>
    <x v="7"/>
    <x v="830"/>
    <s v="Small Box"/>
    <n v="0.67"/>
    <d v="2009-01-28T00:00:00"/>
    <n v="0"/>
    <n v="1"/>
    <n v="0.5"/>
    <n v="0.5"/>
  </r>
  <r>
    <n v="7824"/>
    <n v="55937"/>
    <x v="452"/>
    <x v="22"/>
    <s v="Medium"/>
    <n v="24"/>
    <n v="7332.0880000000006"/>
    <n v="0.06"/>
    <s v="Delivery Truck"/>
    <n v="53.79"/>
    <n v="376.13"/>
    <n v="85.63"/>
    <x v="562"/>
    <x v="3"/>
    <x v="3"/>
    <x v="0"/>
    <x v="2"/>
    <x v="10"/>
    <x v="564"/>
    <s v="Jumbo Box"/>
    <n v="0.74"/>
    <d v="2009-01-28T00:00:00"/>
    <n v="0"/>
    <n v="1"/>
    <n v="0.5"/>
    <n v="0.5"/>
  </r>
  <r>
    <n v="7854"/>
    <n v="56161"/>
    <x v="381"/>
    <x v="13"/>
    <s v="High"/>
    <n v="38"/>
    <n v="1504.22"/>
    <n v="0.02"/>
    <s v="Express Air"/>
    <n v="118.97"/>
    <n v="39.99"/>
    <n v="10.25"/>
    <x v="569"/>
    <x v="3"/>
    <x v="3"/>
    <x v="3"/>
    <x v="1"/>
    <x v="7"/>
    <x v="435"/>
    <s v="Small Box"/>
    <n v="0.55000000000000004"/>
    <d v="2012-04-16T00:00:00"/>
    <n v="0"/>
    <n v="0"/>
    <n v="1"/>
    <n v="0.5"/>
  </r>
  <r>
    <n v="8050"/>
    <n v="57477"/>
    <x v="471"/>
    <x v="18"/>
    <s v="High"/>
    <n v="50"/>
    <n v="745.48"/>
    <n v="0.02"/>
    <s v="Regular Air"/>
    <n v="119.12"/>
    <n v="14.56"/>
    <n v="3.5"/>
    <x v="569"/>
    <x v="3"/>
    <x v="3"/>
    <x v="3"/>
    <x v="0"/>
    <x v="1"/>
    <x v="714"/>
    <s v="Small Box"/>
    <n v="0.57999999999999996"/>
    <d v="2010-09-28T00:00:00"/>
    <n v="0"/>
    <n v="0"/>
    <n v="0.5"/>
    <n v="0.33333333333333331"/>
  </r>
  <r>
    <n v="8051"/>
    <n v="57477"/>
    <x v="471"/>
    <x v="18"/>
    <s v="High"/>
    <n v="45"/>
    <n v="3086.5115000000001"/>
    <n v="0.08"/>
    <s v="Regular Air"/>
    <n v="1560.96"/>
    <n v="85.99"/>
    <n v="2.5"/>
    <x v="569"/>
    <x v="3"/>
    <x v="3"/>
    <x v="3"/>
    <x v="1"/>
    <x v="3"/>
    <x v="315"/>
    <s v="Small Box"/>
    <n v="0.35"/>
    <d v="2010-09-27T00:00:00"/>
    <n v="0"/>
    <n v="0"/>
    <n v="0.5"/>
    <n v="0.33333333333333331"/>
  </r>
  <r>
    <n v="8255"/>
    <n v="59044"/>
    <x v="1266"/>
    <x v="2"/>
    <s v="Critical"/>
    <n v="6"/>
    <n v="20.190000000000001"/>
    <n v="0.02"/>
    <s v="Regular Air"/>
    <n v="1.25"/>
    <n v="3.08"/>
    <n v="0.99"/>
    <x v="469"/>
    <x v="3"/>
    <x v="3"/>
    <x v="0"/>
    <x v="0"/>
    <x v="11"/>
    <x v="245"/>
    <s v="Small Box"/>
    <n v="0.37"/>
    <d v="2011-07-22T00:00:00"/>
    <n v="0"/>
    <n v="0"/>
    <n v="1"/>
    <n v="1"/>
  </r>
  <r>
    <n v="8286"/>
    <n v="59204"/>
    <x v="1267"/>
    <x v="12"/>
    <s v="Medium"/>
    <n v="25"/>
    <n v="151.75"/>
    <n v="0.04"/>
    <s v="Regular Air"/>
    <n v="-66.239999999999995"/>
    <n v="5.8"/>
    <n v="5.59"/>
    <x v="331"/>
    <x v="3"/>
    <x v="3"/>
    <x v="3"/>
    <x v="0"/>
    <x v="2"/>
    <x v="770"/>
    <s v="Small Box"/>
    <n v="0.4"/>
    <d v="2012-03-01T00:00:00"/>
    <n v="0"/>
    <n v="0"/>
    <n v="0.33333333333333331"/>
    <n v="0.33333333333333331"/>
  </r>
  <r>
    <n v="8393"/>
    <n v="59969"/>
    <x v="268"/>
    <x v="23"/>
    <s v="High"/>
    <n v="42"/>
    <n v="437.73"/>
    <n v="0.01"/>
    <s v="Regular Air"/>
    <n v="205.7"/>
    <n v="9.9"/>
    <n v="1.39"/>
    <x v="569"/>
    <x v="3"/>
    <x v="3"/>
    <x v="3"/>
    <x v="0"/>
    <x v="8"/>
    <x v="1132"/>
    <s v="Small Box"/>
    <n v="0.37"/>
    <d v="2012-01-13T00:00:00"/>
    <n v="0"/>
    <n v="0"/>
    <n v="0.5"/>
    <n v="0.5"/>
  </r>
  <r>
    <n v="8394"/>
    <n v="59969"/>
    <x v="268"/>
    <x v="23"/>
    <s v="High"/>
    <n v="16"/>
    <n v="275.01"/>
    <n v="0"/>
    <s v="Regular Air"/>
    <n v="-87.11"/>
    <n v="15.7"/>
    <n v="11.25"/>
    <x v="569"/>
    <x v="3"/>
    <x v="3"/>
    <x v="3"/>
    <x v="0"/>
    <x v="0"/>
    <x v="101"/>
    <s v="Small Box"/>
    <n v="0.6"/>
    <d v="2012-01-12T00:00:00"/>
    <n v="0"/>
    <n v="0"/>
    <n v="0.5"/>
    <n v="0.5"/>
  </r>
  <r>
    <n v="26"/>
    <n v="166"/>
    <x v="633"/>
    <x v="31"/>
    <s v="High"/>
    <n v="10"/>
    <n v="567.93599999999992"/>
    <n v="0.02"/>
    <s v="Express Air"/>
    <n v="-126.09299999999999"/>
    <n v="65.989999999999995"/>
    <n v="8.99"/>
    <x v="570"/>
    <x v="3"/>
    <x v="3"/>
    <x v="1"/>
    <x v="1"/>
    <x v="3"/>
    <x v="1199"/>
    <s v="Small Box"/>
    <n v="0.55000000000000004"/>
    <d v="2011-09-13T00:00:00"/>
    <n v="0"/>
    <n v="0"/>
    <n v="1"/>
    <n v="1"/>
  </r>
  <r>
    <n v="31"/>
    <n v="197"/>
    <x v="822"/>
    <x v="37"/>
    <s v="High"/>
    <n v="23"/>
    <n v="310.52"/>
    <n v="0.01"/>
    <s v="Regular Air"/>
    <n v="33.22"/>
    <n v="12.98"/>
    <n v="3.14"/>
    <x v="571"/>
    <x v="3"/>
    <x v="3"/>
    <x v="3"/>
    <x v="0"/>
    <x v="15"/>
    <x v="234"/>
    <s v="Small Pack"/>
    <n v="0.6"/>
    <d v="2011-04-08T00:00:00"/>
    <n v="0"/>
    <n v="0"/>
    <n v="1"/>
    <n v="1"/>
  </r>
  <r>
    <n v="41"/>
    <n v="231"/>
    <x v="769"/>
    <x v="35"/>
    <s v="High"/>
    <n v="2"/>
    <n v="689.74"/>
    <n v="0.06"/>
    <s v="Regular Air"/>
    <n v="-490.84"/>
    <n v="363.25"/>
    <n v="19.989999999999998"/>
    <x v="572"/>
    <x v="3"/>
    <x v="3"/>
    <x v="0"/>
    <x v="0"/>
    <x v="1"/>
    <x v="445"/>
    <s v="Small Box"/>
    <n v="0.56999999999999995"/>
    <d v="2009-09-30T00:00:00"/>
    <n v="0"/>
    <n v="0"/>
    <n v="1"/>
    <n v="1"/>
  </r>
  <r>
    <n v="81"/>
    <n v="487"/>
    <x v="218"/>
    <x v="9"/>
    <s v="Critical"/>
    <n v="19"/>
    <n v="210.4"/>
    <n v="7.0000000000000007E-2"/>
    <s v="Regular Air"/>
    <n v="-18.96"/>
    <n v="10.89"/>
    <n v="4.5"/>
    <x v="573"/>
    <x v="3"/>
    <x v="3"/>
    <x v="2"/>
    <x v="0"/>
    <x v="1"/>
    <x v="225"/>
    <s v="Small Box"/>
    <n v="0.59"/>
    <d v="2012-08-18T00:00:00"/>
    <n v="0"/>
    <n v="0"/>
    <n v="1"/>
    <n v="1"/>
  </r>
  <r>
    <n v="109"/>
    <n v="710"/>
    <x v="1268"/>
    <x v="38"/>
    <s v="Low"/>
    <n v="42"/>
    <n v="161.77000000000001"/>
    <n v="0.01"/>
    <s v="Regular Air"/>
    <n v="-150.374"/>
    <n v="3.58"/>
    <n v="5.47"/>
    <x v="574"/>
    <x v="3"/>
    <x v="3"/>
    <x v="2"/>
    <x v="0"/>
    <x v="2"/>
    <x v="337"/>
    <s v="Small Box"/>
    <n v="0.37"/>
    <d v="2010-01-05T00:00:00"/>
    <n v="1"/>
    <n v="0"/>
    <n v="0.33333333333333331"/>
    <n v="0.33333333333333331"/>
  </r>
  <r>
    <n v="110"/>
    <n v="710"/>
    <x v="1268"/>
    <x v="38"/>
    <s v="Low"/>
    <n v="11"/>
    <n v="447.09"/>
    <n v="0.09"/>
    <s v="Regular Air"/>
    <n v="89.03"/>
    <n v="41.32"/>
    <n v="8.66"/>
    <x v="574"/>
    <x v="3"/>
    <x v="3"/>
    <x v="2"/>
    <x v="2"/>
    <x v="4"/>
    <x v="492"/>
    <s v="Medium Box"/>
    <n v="0.76"/>
    <d v="2010-01-03T00:00:00"/>
    <n v="1"/>
    <n v="0"/>
    <n v="0.33333333333333331"/>
    <n v="0.33333333333333331"/>
  </r>
  <r>
    <n v="111"/>
    <n v="710"/>
    <x v="1268"/>
    <x v="38"/>
    <s v="Low"/>
    <n v="29"/>
    <n v="4192.88"/>
    <n v="0.02"/>
    <s v="Delivery Truck"/>
    <n v="731.32"/>
    <n v="145.44999999999999"/>
    <n v="17.850000000000001"/>
    <x v="574"/>
    <x v="3"/>
    <x v="3"/>
    <x v="2"/>
    <x v="1"/>
    <x v="16"/>
    <x v="127"/>
    <s v="Jumbo Drum"/>
    <n v="0.56000000000000005"/>
    <d v="2010-01-05T00:00:00"/>
    <n v="1"/>
    <n v="0"/>
    <n v="0.33333333333333331"/>
    <n v="0.33333333333333331"/>
  </r>
  <r>
    <n v="123"/>
    <n v="801"/>
    <x v="223"/>
    <x v="12"/>
    <s v="Critical"/>
    <n v="20"/>
    <n v="59.85"/>
    <n v="0.03"/>
    <s v="Regular Air"/>
    <n v="-47.41"/>
    <n v="2.74"/>
    <n v="3.5"/>
    <x v="575"/>
    <x v="3"/>
    <x v="3"/>
    <x v="2"/>
    <x v="0"/>
    <x v="12"/>
    <x v="1084"/>
    <s v="Small Pack"/>
    <n v="0.57999999999999996"/>
    <d v="2012-02-20T00:00:00"/>
    <n v="0"/>
    <n v="0"/>
    <n v="1"/>
    <n v="1"/>
  </r>
  <r>
    <n v="136"/>
    <n v="870"/>
    <x v="695"/>
    <x v="30"/>
    <s v="Not Specified"/>
    <n v="23"/>
    <n v="1661.04"/>
    <n v="0.04"/>
    <s v="Regular Air"/>
    <n v="475.54"/>
    <n v="70.97"/>
    <n v="3.5"/>
    <x v="573"/>
    <x v="3"/>
    <x v="3"/>
    <x v="2"/>
    <x v="0"/>
    <x v="1"/>
    <x v="1023"/>
    <s v="Small Box"/>
    <n v="0.59"/>
    <d v="2010-06-19T00:00:00"/>
    <n v="0"/>
    <n v="0"/>
    <n v="1"/>
    <n v="1"/>
  </r>
  <r>
    <n v="189"/>
    <n v="1253"/>
    <x v="89"/>
    <x v="38"/>
    <s v="Critical"/>
    <n v="15"/>
    <n v="494.34"/>
    <n v="0.05"/>
    <s v="Regular Air"/>
    <n v="-30.19"/>
    <n v="31.98"/>
    <n v="6.72"/>
    <x v="151"/>
    <x v="3"/>
    <x v="3"/>
    <x v="1"/>
    <x v="0"/>
    <x v="0"/>
    <x v="1190"/>
    <s v="Small Box"/>
    <n v="0.75"/>
    <d v="2010-01-25T00:00:00"/>
    <n v="1"/>
    <n v="0"/>
    <n v="1"/>
    <n v="1"/>
  </r>
  <r>
    <n v="232"/>
    <n v="1542"/>
    <x v="752"/>
    <x v="18"/>
    <s v="Medium"/>
    <n v="47"/>
    <n v="2150.25"/>
    <n v="0.06"/>
    <s v="Regular Air"/>
    <n v="586.92999999999995"/>
    <n v="48.58"/>
    <n v="3.99"/>
    <x v="576"/>
    <x v="3"/>
    <x v="3"/>
    <x v="1"/>
    <x v="0"/>
    <x v="1"/>
    <x v="767"/>
    <s v="Small Box"/>
    <n v="0.56000000000000005"/>
    <d v="2010-09-16T00:00:00"/>
    <n v="0"/>
    <n v="0"/>
    <n v="0.5"/>
    <n v="0.5"/>
  </r>
  <r>
    <n v="233"/>
    <n v="1542"/>
    <x v="752"/>
    <x v="18"/>
    <s v="Medium"/>
    <n v="13"/>
    <n v="448"/>
    <n v="0.08"/>
    <s v="Regular Air"/>
    <n v="27.2"/>
    <n v="35.51"/>
    <n v="6.31"/>
    <x v="576"/>
    <x v="3"/>
    <x v="3"/>
    <x v="1"/>
    <x v="0"/>
    <x v="0"/>
    <x v="1200"/>
    <s v="Small Box"/>
    <n v="0.57999999999999996"/>
    <d v="2010-09-16T00:00:00"/>
    <n v="0"/>
    <n v="0"/>
    <n v="0.5"/>
    <n v="0.5"/>
  </r>
  <r>
    <n v="356"/>
    <n v="2497"/>
    <x v="1269"/>
    <x v="9"/>
    <s v="Critical"/>
    <n v="21"/>
    <n v="3629.1174999999998"/>
    <n v="0.06"/>
    <s v="Regular Air"/>
    <n v="636.03"/>
    <n v="205.99"/>
    <n v="5.26"/>
    <x v="577"/>
    <x v="3"/>
    <x v="3"/>
    <x v="2"/>
    <x v="1"/>
    <x v="3"/>
    <x v="211"/>
    <s v="Small Box"/>
    <n v="0.56000000000000005"/>
    <d v="2012-08-28T00:00:00"/>
    <n v="0"/>
    <n v="0"/>
    <n v="1"/>
    <n v="1"/>
  </r>
  <r>
    <n v="380"/>
    <n v="2630"/>
    <x v="88"/>
    <x v="1"/>
    <s v="Low"/>
    <n v="31"/>
    <n v="146.51"/>
    <n v="0.04"/>
    <s v="Regular Air"/>
    <n v="37.14"/>
    <n v="4.7300000000000004"/>
    <n v="1.52"/>
    <x v="578"/>
    <x v="3"/>
    <x v="3"/>
    <x v="2"/>
    <x v="0"/>
    <x v="5"/>
    <x v="1065"/>
    <s v="Wrap Bag"/>
    <n v="0.36"/>
    <d v="2012-10-23T00:00:00"/>
    <n v="0"/>
    <n v="0"/>
    <n v="1"/>
    <n v="0.5"/>
  </r>
  <r>
    <n v="384"/>
    <n v="2657"/>
    <x v="1270"/>
    <x v="17"/>
    <s v="High"/>
    <n v="30"/>
    <n v="8316.76"/>
    <n v="0.05"/>
    <s v="Delivery Truck"/>
    <n v="2108.8000000000002"/>
    <n v="279.81"/>
    <n v="23.19"/>
    <x v="537"/>
    <x v="3"/>
    <x v="3"/>
    <x v="3"/>
    <x v="0"/>
    <x v="1"/>
    <x v="369"/>
    <s v="Jumbo Drum"/>
    <n v="0.59"/>
    <d v="2011-10-18T00:00:00"/>
    <n v="0"/>
    <n v="0"/>
    <n v="0.5"/>
    <n v="0.5"/>
  </r>
  <r>
    <n v="385"/>
    <n v="2657"/>
    <x v="1270"/>
    <x v="17"/>
    <s v="High"/>
    <n v="37"/>
    <n v="2143.2154999999998"/>
    <n v="0.02"/>
    <s v="Regular Air"/>
    <n v="464.35500000000002"/>
    <n v="65.989999999999995"/>
    <n v="8.99"/>
    <x v="537"/>
    <x v="3"/>
    <x v="3"/>
    <x v="3"/>
    <x v="1"/>
    <x v="3"/>
    <x v="1199"/>
    <s v="Small Box"/>
    <n v="0.55000000000000004"/>
    <d v="2011-10-17T00:00:00"/>
    <n v="0"/>
    <n v="0"/>
    <n v="0.5"/>
    <n v="0.5"/>
  </r>
  <r>
    <n v="389"/>
    <n v="2688"/>
    <x v="1064"/>
    <x v="23"/>
    <s v="High"/>
    <n v="31"/>
    <n v="2080.0349999999999"/>
    <n v="0.1"/>
    <s v="Regular Air"/>
    <n v="844.90199999999993"/>
    <n v="85.99"/>
    <n v="1.25"/>
    <x v="575"/>
    <x v="3"/>
    <x v="3"/>
    <x v="0"/>
    <x v="1"/>
    <x v="3"/>
    <x v="313"/>
    <s v="Small Pack"/>
    <n v="0.39"/>
    <d v="2012-01-24T00:00:00"/>
    <n v="0"/>
    <n v="0"/>
    <n v="0.33333333333333331"/>
    <n v="0.33333333333333331"/>
  </r>
  <r>
    <n v="390"/>
    <n v="2688"/>
    <x v="1064"/>
    <x v="23"/>
    <s v="High"/>
    <n v="7"/>
    <n v="145.41999999999999"/>
    <n v="0.09"/>
    <s v="Regular Air"/>
    <n v="-98.46"/>
    <n v="20.97"/>
    <n v="6.5"/>
    <x v="575"/>
    <x v="3"/>
    <x v="3"/>
    <x v="0"/>
    <x v="1"/>
    <x v="7"/>
    <x v="154"/>
    <s v="Small Box"/>
    <n v="0.78"/>
    <d v="2012-01-24T00:00:00"/>
    <n v="0"/>
    <n v="0"/>
    <n v="0.33333333333333331"/>
    <n v="0.33333333333333331"/>
  </r>
  <r>
    <n v="391"/>
    <n v="2688"/>
    <x v="1064"/>
    <x v="23"/>
    <s v="High"/>
    <n v="11"/>
    <n v="1559.4355"/>
    <n v="0.01"/>
    <s v="Regular Air"/>
    <n v="61.236000000000004"/>
    <n v="155.99"/>
    <n v="3.9"/>
    <x v="575"/>
    <x v="3"/>
    <x v="3"/>
    <x v="0"/>
    <x v="1"/>
    <x v="3"/>
    <x v="149"/>
    <s v="Small Box"/>
    <n v="0.55000000000000004"/>
    <d v="2012-01-25T00:00:00"/>
    <n v="0"/>
    <n v="0"/>
    <n v="0.33333333333333331"/>
    <n v="0.33333333333333331"/>
  </r>
  <r>
    <n v="416"/>
    <n v="2816"/>
    <x v="971"/>
    <x v="35"/>
    <s v="High"/>
    <n v="35"/>
    <n v="787.56"/>
    <n v="0"/>
    <s v="Regular Air"/>
    <n v="220.04"/>
    <n v="21.98"/>
    <n v="2.87"/>
    <x v="579"/>
    <x v="3"/>
    <x v="3"/>
    <x v="2"/>
    <x v="0"/>
    <x v="12"/>
    <x v="363"/>
    <s v="Small Pack"/>
    <n v="0.55000000000000004"/>
    <d v="2009-09-20T00:00:00"/>
    <n v="0"/>
    <n v="0"/>
    <n v="1"/>
    <n v="1"/>
  </r>
  <r>
    <n v="419"/>
    <n v="2818"/>
    <x v="716"/>
    <x v="47"/>
    <s v="Medium"/>
    <n v="37"/>
    <n v="565.91"/>
    <n v="0.05"/>
    <s v="Regular Air"/>
    <n v="192.39"/>
    <n v="15.68"/>
    <n v="3.73"/>
    <x v="579"/>
    <x v="3"/>
    <x v="3"/>
    <x v="2"/>
    <x v="2"/>
    <x v="4"/>
    <x v="797"/>
    <s v="Small Pack"/>
    <n v="0.46"/>
    <d v="2009-12-13T00:00:00"/>
    <n v="0"/>
    <n v="0"/>
    <n v="0.33333333333333331"/>
    <n v="0.33333333333333331"/>
  </r>
  <r>
    <n v="420"/>
    <n v="2818"/>
    <x v="716"/>
    <x v="47"/>
    <s v="Medium"/>
    <n v="39"/>
    <n v="593.21"/>
    <n v="0"/>
    <s v="Regular Air"/>
    <n v="44.71"/>
    <n v="14.98"/>
    <n v="8.99"/>
    <x v="579"/>
    <x v="3"/>
    <x v="3"/>
    <x v="2"/>
    <x v="2"/>
    <x v="4"/>
    <x v="214"/>
    <s v="Small Pack"/>
    <n v="0.39"/>
    <d v="2009-12-12T00:00:00"/>
    <n v="0"/>
    <n v="0"/>
    <n v="0.33333333333333331"/>
    <n v="0.33333333333333331"/>
  </r>
  <r>
    <n v="421"/>
    <n v="2818"/>
    <x v="716"/>
    <x v="47"/>
    <s v="Medium"/>
    <n v="2"/>
    <n v="89.23"/>
    <n v="0.02"/>
    <s v="Regular Air"/>
    <n v="-42.72"/>
    <n v="38.76"/>
    <n v="13.26"/>
    <x v="579"/>
    <x v="3"/>
    <x v="3"/>
    <x v="2"/>
    <x v="0"/>
    <x v="5"/>
    <x v="203"/>
    <s v="Small Box"/>
    <n v="0.36"/>
    <d v="2009-12-12T00:00:00"/>
    <n v="0"/>
    <n v="0"/>
    <n v="0.33333333333333331"/>
    <n v="0.33333333333333331"/>
  </r>
  <r>
    <n v="447"/>
    <n v="3040"/>
    <x v="358"/>
    <x v="24"/>
    <s v="Medium"/>
    <n v="13"/>
    <n v="98.39"/>
    <n v="0.01"/>
    <s v="Express Air"/>
    <n v="-31.54"/>
    <n v="6.48"/>
    <n v="6.6"/>
    <x v="580"/>
    <x v="3"/>
    <x v="3"/>
    <x v="1"/>
    <x v="0"/>
    <x v="5"/>
    <x v="226"/>
    <s v="Small Box"/>
    <n v="0.37"/>
    <d v="2010-04-12T00:00:00"/>
    <n v="0"/>
    <n v="0"/>
    <n v="1"/>
    <n v="1"/>
  </r>
  <r>
    <n v="457"/>
    <n v="3108"/>
    <x v="136"/>
    <x v="3"/>
    <s v="Critical"/>
    <n v="36"/>
    <n v="65.39"/>
    <n v="0.09"/>
    <s v="Regular Air"/>
    <n v="-0.46"/>
    <n v="1.82"/>
    <n v="1"/>
    <x v="18"/>
    <x v="3"/>
    <x v="3"/>
    <x v="2"/>
    <x v="0"/>
    <x v="12"/>
    <x v="1057"/>
    <s v="Wrap Bag"/>
    <n v="0.4"/>
    <d v="2010-08-05T00:00:00"/>
    <n v="0"/>
    <n v="0"/>
    <n v="1"/>
    <n v="1"/>
  </r>
  <r>
    <n v="499"/>
    <n v="3459"/>
    <x v="114"/>
    <x v="36"/>
    <s v="Not Specified"/>
    <n v="24"/>
    <n v="2152.4039999999995"/>
    <n v="0.1"/>
    <s v="Express Air"/>
    <n v="218.87099999999998"/>
    <n v="110.99"/>
    <n v="8.99"/>
    <x v="449"/>
    <x v="3"/>
    <x v="3"/>
    <x v="3"/>
    <x v="1"/>
    <x v="3"/>
    <x v="425"/>
    <s v="Small Box"/>
    <n v="0.56999999999999995"/>
    <d v="2009-07-29T00:00:00"/>
    <n v="0"/>
    <n v="0"/>
    <n v="1"/>
    <n v="1"/>
  </r>
  <r>
    <n v="504"/>
    <n v="3488"/>
    <x v="644"/>
    <x v="16"/>
    <s v="Medium"/>
    <n v="39"/>
    <n v="4669.1899999999996"/>
    <n v="0.06"/>
    <s v="Delivery Truck"/>
    <n v="-1864.08"/>
    <n v="122.99"/>
    <n v="70.2"/>
    <x v="581"/>
    <x v="3"/>
    <x v="3"/>
    <x v="3"/>
    <x v="2"/>
    <x v="14"/>
    <x v="301"/>
    <s v="Jumbo Drum"/>
    <n v="0.74"/>
    <d v="2011-01-10T00:00:00"/>
    <n v="0"/>
    <n v="0"/>
    <n v="0.5"/>
    <n v="0.2"/>
  </r>
  <r>
    <n v="505"/>
    <n v="3488"/>
    <x v="644"/>
    <x v="16"/>
    <s v="Medium"/>
    <n v="6"/>
    <n v="133.4"/>
    <n v="0.02"/>
    <s v="Regular Air"/>
    <n v="-0.31000000000000227"/>
    <n v="21.98"/>
    <n v="2.87"/>
    <x v="581"/>
    <x v="3"/>
    <x v="3"/>
    <x v="3"/>
    <x v="0"/>
    <x v="12"/>
    <x v="363"/>
    <s v="Small Pack"/>
    <n v="0.55000000000000004"/>
    <d v="2011-01-08T00:00:00"/>
    <n v="0"/>
    <n v="0"/>
    <n v="0.5"/>
    <n v="0.2"/>
  </r>
  <r>
    <n v="506"/>
    <n v="3492"/>
    <x v="257"/>
    <x v="11"/>
    <s v="Low"/>
    <n v="35"/>
    <n v="2393.63"/>
    <n v="0.04"/>
    <s v="Regular Air"/>
    <n v="524.875"/>
    <n v="67.28"/>
    <n v="19.989999999999998"/>
    <x v="58"/>
    <x v="3"/>
    <x v="3"/>
    <x v="2"/>
    <x v="0"/>
    <x v="2"/>
    <x v="490"/>
    <s v="Small Box"/>
    <n v="0.4"/>
    <d v="2009-11-28T00:00:00"/>
    <n v="0"/>
    <n v="0"/>
    <n v="0.33333333333333331"/>
    <n v="0.25"/>
  </r>
  <r>
    <n v="507"/>
    <n v="3492"/>
    <x v="257"/>
    <x v="11"/>
    <s v="Low"/>
    <n v="49"/>
    <n v="6177.53"/>
    <n v="0.1"/>
    <s v="Delivery Truck"/>
    <n v="-1195.1199999999999"/>
    <n v="130.97999999999999"/>
    <n v="54.74"/>
    <x v="58"/>
    <x v="3"/>
    <x v="3"/>
    <x v="2"/>
    <x v="2"/>
    <x v="9"/>
    <x v="631"/>
    <s v="Jumbo Box"/>
    <n v="0.69"/>
    <d v="2009-11-23T00:00:00"/>
    <n v="0"/>
    <n v="0"/>
    <n v="0.33333333333333331"/>
    <n v="0.25"/>
  </r>
  <r>
    <n v="508"/>
    <n v="3492"/>
    <x v="257"/>
    <x v="11"/>
    <s v="Low"/>
    <n v="33"/>
    <n v="94.6"/>
    <n v="0.04"/>
    <s v="Regular Air"/>
    <n v="-6.34"/>
    <n v="2.78"/>
    <n v="1.25"/>
    <x v="58"/>
    <x v="3"/>
    <x v="3"/>
    <x v="2"/>
    <x v="0"/>
    <x v="12"/>
    <x v="365"/>
    <s v="Wrap Bag"/>
    <n v="0.59"/>
    <d v="2009-11-23T00:00:00"/>
    <n v="0"/>
    <n v="0"/>
    <n v="0.33333333333333331"/>
    <n v="0.25"/>
  </r>
  <r>
    <n v="516"/>
    <n v="3553"/>
    <x v="1271"/>
    <x v="43"/>
    <s v="Medium"/>
    <n v="7"/>
    <n v="20.5"/>
    <n v="0.06"/>
    <s v="Regular Air"/>
    <n v="-4.04"/>
    <n v="2.94"/>
    <n v="0.96"/>
    <x v="58"/>
    <x v="3"/>
    <x v="3"/>
    <x v="2"/>
    <x v="0"/>
    <x v="12"/>
    <x v="361"/>
    <s v="Wrap Bag"/>
    <n v="0.57999999999999996"/>
    <d v="2009-05-18T00:00:00"/>
    <n v="0"/>
    <n v="0"/>
    <n v="1"/>
    <n v="1"/>
  </r>
  <r>
    <n v="533"/>
    <n v="3622"/>
    <x v="992"/>
    <x v="27"/>
    <s v="Low"/>
    <n v="16"/>
    <n v="76.599999999999994"/>
    <n v="0.01"/>
    <s v="Regular Air"/>
    <n v="-48.506999999999998"/>
    <n v="4.24"/>
    <n v="5.41"/>
    <x v="582"/>
    <x v="3"/>
    <x v="3"/>
    <x v="1"/>
    <x v="0"/>
    <x v="2"/>
    <x v="683"/>
    <s v="Small Box"/>
    <n v="0.35"/>
    <d v="2011-12-01T00:00:00"/>
    <n v="0"/>
    <n v="0"/>
    <n v="1"/>
    <n v="1"/>
  </r>
  <r>
    <n v="563"/>
    <n v="3810"/>
    <x v="190"/>
    <x v="34"/>
    <s v="Critical"/>
    <n v="40"/>
    <n v="221.86"/>
    <n v="0.09"/>
    <s v="Regular Air"/>
    <n v="-1845.66"/>
    <n v="4.4800000000000004"/>
    <n v="49"/>
    <x v="151"/>
    <x v="3"/>
    <x v="3"/>
    <x v="2"/>
    <x v="0"/>
    <x v="1"/>
    <x v="43"/>
    <s v="Large Box"/>
    <n v="0.6"/>
    <d v="2012-09-18T00:00:00"/>
    <n v="0"/>
    <n v="0"/>
    <n v="0.5"/>
    <n v="0.5"/>
  </r>
  <r>
    <n v="564"/>
    <n v="3810"/>
    <x v="190"/>
    <x v="34"/>
    <s v="Critical"/>
    <n v="25"/>
    <n v="78.260000000000005"/>
    <n v="0.04"/>
    <s v="Express Air"/>
    <n v="35.090000000000003"/>
    <n v="2.61"/>
    <n v="0.5"/>
    <x v="151"/>
    <x v="3"/>
    <x v="3"/>
    <x v="2"/>
    <x v="0"/>
    <x v="11"/>
    <x v="400"/>
    <s v="Small Box"/>
    <n v="0.39"/>
    <d v="2012-09-18T00:00:00"/>
    <n v="0"/>
    <n v="0"/>
    <n v="0.5"/>
    <n v="0.5"/>
  </r>
  <r>
    <n v="635"/>
    <n v="4451"/>
    <x v="1028"/>
    <x v="35"/>
    <s v="Critical"/>
    <n v="47"/>
    <n v="992.95"/>
    <n v="0.04"/>
    <s v="Regular Air"/>
    <n v="-65.209999999999994"/>
    <n v="21.38"/>
    <n v="8.99"/>
    <x v="151"/>
    <x v="3"/>
    <x v="3"/>
    <x v="2"/>
    <x v="0"/>
    <x v="12"/>
    <x v="311"/>
    <s v="Small Pack"/>
    <n v="0.59"/>
    <d v="2009-09-30T00:00:00"/>
    <n v="0"/>
    <n v="0"/>
    <n v="1"/>
    <n v="1"/>
  </r>
  <r>
    <n v="642"/>
    <n v="4516"/>
    <x v="840"/>
    <x v="28"/>
    <s v="Medium"/>
    <n v="42"/>
    <n v="294.77999999999997"/>
    <n v="0.05"/>
    <s v="Regular Air"/>
    <n v="-113.45"/>
    <n v="6.68"/>
    <n v="6.93"/>
    <x v="583"/>
    <x v="3"/>
    <x v="3"/>
    <x v="0"/>
    <x v="0"/>
    <x v="5"/>
    <x v="261"/>
    <s v="Small Box"/>
    <n v="0.37"/>
    <d v="2009-03-29T00:00:00"/>
    <n v="0"/>
    <n v="0"/>
    <n v="1"/>
    <n v="1"/>
  </r>
  <r>
    <n v="646"/>
    <n v="4578"/>
    <x v="234"/>
    <x v="34"/>
    <s v="Low"/>
    <n v="45"/>
    <n v="282.70999999999998"/>
    <n v="0.09"/>
    <s v="Regular Air"/>
    <n v="-141.44"/>
    <n v="6.48"/>
    <n v="6.74"/>
    <x v="58"/>
    <x v="3"/>
    <x v="3"/>
    <x v="2"/>
    <x v="0"/>
    <x v="5"/>
    <x v="1166"/>
    <s v="Small Box"/>
    <n v="0.37"/>
    <d v="2012-09-17T00:00:00"/>
    <n v="0"/>
    <n v="0"/>
    <n v="0.33333333333333331"/>
    <n v="0.33333333333333331"/>
  </r>
  <r>
    <n v="647"/>
    <n v="4578"/>
    <x v="234"/>
    <x v="34"/>
    <s v="Low"/>
    <n v="48"/>
    <n v="724.13"/>
    <n v="0.01"/>
    <s v="Regular Air"/>
    <n v="-250.53"/>
    <n v="14.81"/>
    <n v="13.32"/>
    <x v="58"/>
    <x v="3"/>
    <x v="3"/>
    <x v="2"/>
    <x v="0"/>
    <x v="1"/>
    <x v="531"/>
    <s v="Small Box"/>
    <n v="0.43"/>
    <d v="2012-09-19T00:00:00"/>
    <n v="0"/>
    <n v="0"/>
    <n v="0.33333333333333331"/>
    <n v="0.33333333333333331"/>
  </r>
  <r>
    <n v="648"/>
    <n v="4578"/>
    <x v="234"/>
    <x v="34"/>
    <s v="Low"/>
    <n v="15"/>
    <n v="294.66000000000003"/>
    <n v="7.0000000000000007E-2"/>
    <s v="Regular Air"/>
    <n v="86.33"/>
    <n v="20.239999999999998"/>
    <n v="6.67"/>
    <x v="58"/>
    <x v="3"/>
    <x v="3"/>
    <x v="2"/>
    <x v="2"/>
    <x v="4"/>
    <x v="302"/>
    <s v="Small Pack"/>
    <n v="0.49"/>
    <d v="2012-09-19T00:00:00"/>
    <n v="0"/>
    <n v="0"/>
    <n v="0.33333333333333331"/>
    <n v="0.33333333333333331"/>
  </r>
  <r>
    <n v="655"/>
    <n v="4611"/>
    <x v="1272"/>
    <x v="38"/>
    <s v="High"/>
    <n v="32"/>
    <n v="16172.44"/>
    <n v="0.03"/>
    <s v="Delivery Truck"/>
    <n v="7176.12"/>
    <n v="500.98"/>
    <n v="28.14"/>
    <x v="582"/>
    <x v="3"/>
    <x v="3"/>
    <x v="1"/>
    <x v="1"/>
    <x v="16"/>
    <x v="780"/>
    <s v="Jumbo Drum"/>
    <n v="0.38"/>
    <d v="2010-01-09T00:00:00"/>
    <n v="1"/>
    <n v="0"/>
    <n v="1"/>
    <n v="1"/>
  </r>
  <r>
    <n v="731"/>
    <n v="5281"/>
    <x v="966"/>
    <x v="27"/>
    <s v="High"/>
    <n v="36"/>
    <n v="4733.7"/>
    <n v="0"/>
    <s v="Delivery Truck"/>
    <n v="624.36"/>
    <n v="120.98"/>
    <n v="30"/>
    <x v="584"/>
    <x v="3"/>
    <x v="3"/>
    <x v="1"/>
    <x v="2"/>
    <x v="14"/>
    <x v="36"/>
    <s v="Jumbo Drum"/>
    <n v="0.64"/>
    <d v="2011-11-02T00:00:00"/>
    <n v="0"/>
    <n v="0"/>
    <n v="0.5"/>
    <n v="0.5"/>
  </r>
  <r>
    <n v="732"/>
    <n v="5281"/>
    <x v="966"/>
    <x v="27"/>
    <s v="High"/>
    <n v="14"/>
    <n v="2718.07"/>
    <n v="0.1"/>
    <s v="Regular Air"/>
    <n v="1107.53"/>
    <n v="209.84"/>
    <n v="21.21"/>
    <x v="584"/>
    <x v="3"/>
    <x v="3"/>
    <x v="1"/>
    <x v="2"/>
    <x v="4"/>
    <x v="922"/>
    <s v="Large Box"/>
    <n v="0.59"/>
    <d v="2011-11-02T00:00:00"/>
    <n v="0"/>
    <n v="0"/>
    <n v="0.5"/>
    <n v="0.5"/>
  </r>
  <r>
    <n v="787"/>
    <n v="5635"/>
    <x v="869"/>
    <x v="9"/>
    <s v="Medium"/>
    <n v="17"/>
    <n v="198.78"/>
    <n v="0.02"/>
    <s v="Regular Air"/>
    <n v="-28.3475"/>
    <n v="11.5"/>
    <n v="7.19"/>
    <x v="585"/>
    <x v="3"/>
    <x v="3"/>
    <x v="2"/>
    <x v="0"/>
    <x v="2"/>
    <x v="274"/>
    <s v="Small Box"/>
    <n v="0.4"/>
    <d v="2012-08-17T00:00:00"/>
    <n v="0"/>
    <n v="0"/>
    <n v="0.5"/>
    <n v="0.33333333333333331"/>
  </r>
  <r>
    <n v="788"/>
    <n v="5635"/>
    <x v="869"/>
    <x v="9"/>
    <s v="Medium"/>
    <n v="50"/>
    <n v="281.58"/>
    <n v="0.09"/>
    <s v="Regular Air"/>
    <n v="-161.56"/>
    <n v="5.77"/>
    <n v="5.92"/>
    <x v="585"/>
    <x v="3"/>
    <x v="3"/>
    <x v="2"/>
    <x v="2"/>
    <x v="4"/>
    <x v="1121"/>
    <s v="Medium Box"/>
    <n v="0.55000000000000004"/>
    <d v="2012-08-17T00:00:00"/>
    <n v="0"/>
    <n v="0"/>
    <n v="0.5"/>
    <n v="0.33333333333333331"/>
  </r>
  <r>
    <n v="791"/>
    <n v="5696"/>
    <x v="788"/>
    <x v="10"/>
    <s v="Critical"/>
    <n v="4"/>
    <n v="2206.17"/>
    <n v="0.02"/>
    <s v="Regular Air"/>
    <n v="251.43"/>
    <n v="525.98"/>
    <n v="19.989999999999998"/>
    <x v="474"/>
    <x v="3"/>
    <x v="3"/>
    <x v="1"/>
    <x v="0"/>
    <x v="2"/>
    <x v="1146"/>
    <s v="Small Box"/>
    <n v="0.37"/>
    <d v="2011-05-05T00:00:00"/>
    <n v="0"/>
    <n v="0"/>
    <n v="0.33333333333333331"/>
    <n v="0.33333333333333331"/>
  </r>
  <r>
    <n v="792"/>
    <n v="5696"/>
    <x v="788"/>
    <x v="10"/>
    <s v="Critical"/>
    <n v="40"/>
    <n v="621.12"/>
    <n v="0.1"/>
    <s v="Regular Air"/>
    <n v="190.5275"/>
    <n v="16.510000000000002"/>
    <n v="2.99"/>
    <x v="474"/>
    <x v="3"/>
    <x v="3"/>
    <x v="1"/>
    <x v="0"/>
    <x v="2"/>
    <x v="1201"/>
    <s v="Small Box"/>
    <n v="0.37"/>
    <d v="2011-05-05T00:00:00"/>
    <n v="0"/>
    <n v="0"/>
    <n v="0.33333333333333331"/>
    <n v="0.33333333333333331"/>
  </r>
  <r>
    <n v="793"/>
    <n v="5696"/>
    <x v="788"/>
    <x v="10"/>
    <s v="Critical"/>
    <n v="31"/>
    <n v="175.92"/>
    <n v="0.09"/>
    <s v="Regular Air"/>
    <n v="-93.41"/>
    <n v="5.98"/>
    <n v="3.85"/>
    <x v="474"/>
    <x v="3"/>
    <x v="3"/>
    <x v="1"/>
    <x v="1"/>
    <x v="7"/>
    <x v="1143"/>
    <s v="Small Pack"/>
    <n v="0.68"/>
    <d v="2011-05-05T00:00:00"/>
    <n v="0"/>
    <n v="0"/>
    <n v="0.33333333333333331"/>
    <n v="0.33333333333333331"/>
  </r>
  <r>
    <n v="820"/>
    <n v="5921"/>
    <x v="319"/>
    <x v="46"/>
    <s v="Low"/>
    <n v="27"/>
    <n v="384.74"/>
    <n v="0.01"/>
    <s v="Express Air"/>
    <n v="2.69"/>
    <n v="13.43"/>
    <n v="5.5"/>
    <x v="586"/>
    <x v="3"/>
    <x v="3"/>
    <x v="2"/>
    <x v="0"/>
    <x v="0"/>
    <x v="813"/>
    <s v="Small Box"/>
    <n v="0.56999999999999995"/>
    <d v="2009-04-13T00:00:00"/>
    <n v="0"/>
    <n v="0"/>
    <n v="1"/>
    <n v="1"/>
  </r>
  <r>
    <n v="868"/>
    <n v="6241"/>
    <x v="1273"/>
    <x v="47"/>
    <s v="Low"/>
    <n v="24"/>
    <n v="133.94"/>
    <n v="0.08"/>
    <s v="Express Air"/>
    <n v="45"/>
    <n v="5.84"/>
    <n v="1"/>
    <x v="57"/>
    <x v="3"/>
    <x v="3"/>
    <x v="0"/>
    <x v="0"/>
    <x v="12"/>
    <x v="867"/>
    <s v="Wrap Bag"/>
    <n v="0.38"/>
    <d v="2010-01-03T00:00:00"/>
    <n v="0"/>
    <n v="0"/>
    <n v="0.5"/>
    <n v="0.5"/>
  </r>
  <r>
    <n v="869"/>
    <n v="6241"/>
    <x v="1273"/>
    <x v="47"/>
    <s v="Low"/>
    <n v="29"/>
    <n v="5433.0895"/>
    <n v="0"/>
    <s v="Regular Air"/>
    <n v="1365.2819999999999"/>
    <n v="205.99"/>
    <n v="8.99"/>
    <x v="57"/>
    <x v="3"/>
    <x v="3"/>
    <x v="0"/>
    <x v="1"/>
    <x v="3"/>
    <x v="783"/>
    <s v="Small Box"/>
    <n v="0.6"/>
    <d v="2010-01-02T00:00:00"/>
    <n v="0"/>
    <n v="0"/>
    <n v="0.5"/>
    <n v="0.5"/>
  </r>
  <r>
    <n v="892"/>
    <n v="6406"/>
    <x v="691"/>
    <x v="26"/>
    <s v="Critical"/>
    <n v="43"/>
    <n v="92.63"/>
    <n v="0.05"/>
    <s v="Regular Air"/>
    <n v="-70.8"/>
    <n v="2.08"/>
    <n v="2.56"/>
    <x v="581"/>
    <x v="3"/>
    <x v="3"/>
    <x v="3"/>
    <x v="0"/>
    <x v="15"/>
    <x v="583"/>
    <s v="Small Pack"/>
    <n v="0.55000000000000004"/>
    <d v="2009-08-16T00:00:00"/>
    <n v="0"/>
    <n v="0"/>
    <n v="1"/>
    <n v="1"/>
  </r>
  <r>
    <n v="920"/>
    <n v="6625"/>
    <x v="117"/>
    <x v="3"/>
    <s v="High"/>
    <n v="23"/>
    <n v="21062.91"/>
    <n v="0.01"/>
    <s v="Delivery Truck"/>
    <n v="5713.53"/>
    <n v="880.98"/>
    <n v="44.55"/>
    <x v="58"/>
    <x v="3"/>
    <x v="3"/>
    <x v="2"/>
    <x v="2"/>
    <x v="9"/>
    <x v="185"/>
    <s v="Jumbo Box"/>
    <n v="0.62"/>
    <d v="2010-08-17T00:00:00"/>
    <n v="0"/>
    <n v="0"/>
    <n v="1"/>
    <n v="1"/>
  </r>
  <r>
    <n v="947"/>
    <n v="6854"/>
    <x v="132"/>
    <x v="22"/>
    <s v="Medium"/>
    <n v="1"/>
    <n v="22.13"/>
    <n v="7.0000000000000007E-2"/>
    <s v="Express Air"/>
    <n v="-2.3919999999999999"/>
    <n v="7.68"/>
    <n v="6.16"/>
    <x v="587"/>
    <x v="3"/>
    <x v="3"/>
    <x v="1"/>
    <x v="0"/>
    <x v="2"/>
    <x v="669"/>
    <s v="Small Box"/>
    <n v="0.35"/>
    <d v="2009-01-08T00:00:00"/>
    <n v="0"/>
    <n v="1"/>
    <n v="0.5"/>
    <n v="0.33333333333333331"/>
  </r>
  <r>
    <n v="948"/>
    <n v="6854"/>
    <x v="132"/>
    <x v="22"/>
    <s v="Medium"/>
    <n v="19"/>
    <n v="129.84"/>
    <n v="0.05"/>
    <s v="Express Air"/>
    <n v="2.39"/>
    <n v="6.64"/>
    <n v="4.95"/>
    <x v="587"/>
    <x v="3"/>
    <x v="3"/>
    <x v="1"/>
    <x v="2"/>
    <x v="4"/>
    <x v="5"/>
    <s v="Small Pack"/>
    <n v="0.37"/>
    <d v="2009-01-08T00:00:00"/>
    <n v="0"/>
    <n v="1"/>
    <n v="0.5"/>
    <n v="0.33333333333333331"/>
  </r>
  <r>
    <n v="1006"/>
    <n v="7335"/>
    <x v="1274"/>
    <x v="39"/>
    <s v="Low"/>
    <n v="43"/>
    <n v="3681.7494999999999"/>
    <n v="0.01"/>
    <s v="Regular Air"/>
    <n v="1196.442"/>
    <n v="95.99"/>
    <n v="4.9000000000000004"/>
    <x v="588"/>
    <x v="3"/>
    <x v="3"/>
    <x v="2"/>
    <x v="1"/>
    <x v="3"/>
    <x v="936"/>
    <s v="Small Box"/>
    <n v="0.56000000000000005"/>
    <d v="2010-06-03T00:00:00"/>
    <n v="0"/>
    <n v="0"/>
    <n v="1"/>
    <n v="1"/>
  </r>
  <r>
    <n v="1019"/>
    <n v="7457"/>
    <x v="103"/>
    <x v="18"/>
    <s v="Not Specified"/>
    <n v="36"/>
    <n v="2300.4499999999998"/>
    <n v="0.02"/>
    <s v="Regular Air"/>
    <n v="624.64"/>
    <n v="60.98"/>
    <n v="19.989999999999998"/>
    <x v="589"/>
    <x v="3"/>
    <x v="3"/>
    <x v="0"/>
    <x v="0"/>
    <x v="8"/>
    <x v="600"/>
    <s v="Small Box"/>
    <n v="0.38"/>
    <d v="2010-10-03T00:00:00"/>
    <n v="0"/>
    <n v="0"/>
    <n v="0.5"/>
    <n v="0.5"/>
  </r>
  <r>
    <n v="1020"/>
    <n v="7457"/>
    <x v="103"/>
    <x v="18"/>
    <s v="Not Specified"/>
    <n v="46"/>
    <n v="548.11"/>
    <n v="0.04"/>
    <s v="Regular Air"/>
    <n v="124.24"/>
    <n v="11.55"/>
    <n v="2.36"/>
    <x v="589"/>
    <x v="3"/>
    <x v="3"/>
    <x v="0"/>
    <x v="0"/>
    <x v="12"/>
    <x v="769"/>
    <s v="Wrap Bag"/>
    <n v="0.55000000000000004"/>
    <d v="2010-10-02T00:00:00"/>
    <n v="0"/>
    <n v="0"/>
    <n v="0.5"/>
    <n v="0.5"/>
  </r>
  <r>
    <n v="1044"/>
    <n v="7653"/>
    <x v="496"/>
    <x v="12"/>
    <s v="Medium"/>
    <n v="32"/>
    <n v="1425.06"/>
    <n v="0.1"/>
    <s v="Regular Air"/>
    <n v="597.30999999999995"/>
    <n v="48.04"/>
    <n v="5.09"/>
    <x v="590"/>
    <x v="3"/>
    <x v="3"/>
    <x v="1"/>
    <x v="0"/>
    <x v="5"/>
    <x v="784"/>
    <s v="Small Box"/>
    <n v="0.37"/>
    <d v="2012-03-01T00:00:00"/>
    <n v="0"/>
    <n v="0"/>
    <n v="1"/>
    <n v="1"/>
  </r>
  <r>
    <n v="1055"/>
    <n v="7783"/>
    <x v="899"/>
    <x v="23"/>
    <s v="Medium"/>
    <n v="3"/>
    <n v="31.35"/>
    <n v="0.03"/>
    <s v="Regular Air"/>
    <n v="-14.6165"/>
    <n v="8.85"/>
    <n v="5.6"/>
    <x v="591"/>
    <x v="3"/>
    <x v="3"/>
    <x v="2"/>
    <x v="0"/>
    <x v="2"/>
    <x v="182"/>
    <s v="Small Box"/>
    <n v="0.36"/>
    <d v="2012-01-13T00:00:00"/>
    <n v="0"/>
    <n v="0"/>
    <n v="1"/>
    <n v="1"/>
  </r>
  <r>
    <n v="1072"/>
    <n v="7905"/>
    <x v="862"/>
    <x v="41"/>
    <s v="Low"/>
    <n v="46"/>
    <n v="11057.6"/>
    <n v="0.08"/>
    <s v="Delivery Truck"/>
    <n v="183.9"/>
    <n v="259.70999999999998"/>
    <n v="66.67"/>
    <x v="592"/>
    <x v="3"/>
    <x v="3"/>
    <x v="0"/>
    <x v="2"/>
    <x v="10"/>
    <x v="384"/>
    <s v="Jumbo Box"/>
    <n v="0.61"/>
    <d v="2009-06-07T00:00:00"/>
    <n v="0"/>
    <n v="0"/>
    <n v="1"/>
    <n v="1"/>
  </r>
  <r>
    <n v="1098"/>
    <n v="8064"/>
    <x v="1275"/>
    <x v="10"/>
    <s v="High"/>
    <n v="44"/>
    <n v="10445.950000000001"/>
    <n v="7.0000000000000007E-2"/>
    <s v="Delivery Truck"/>
    <n v="1069.6099999999999"/>
    <n v="243.98"/>
    <n v="62.94"/>
    <x v="449"/>
    <x v="3"/>
    <x v="3"/>
    <x v="3"/>
    <x v="2"/>
    <x v="14"/>
    <x v="1152"/>
    <s v="Jumbo Drum"/>
    <n v="0.56999999999999995"/>
    <d v="2011-05-13T00:00:00"/>
    <n v="0"/>
    <n v="0"/>
    <n v="1"/>
    <n v="1"/>
  </r>
  <r>
    <n v="1105"/>
    <n v="8130"/>
    <x v="212"/>
    <x v="20"/>
    <s v="Critical"/>
    <n v="15"/>
    <n v="66.33"/>
    <n v="0.03"/>
    <s v="Regular Air"/>
    <n v="-47.230499999999999"/>
    <n v="4.13"/>
    <n v="5.04"/>
    <x v="593"/>
    <x v="3"/>
    <x v="3"/>
    <x v="1"/>
    <x v="0"/>
    <x v="2"/>
    <x v="309"/>
    <s v="Small Box"/>
    <n v="0.38"/>
    <d v="2012-05-15T00:00:00"/>
    <n v="0"/>
    <n v="0"/>
    <n v="1"/>
    <n v="0.5"/>
  </r>
  <r>
    <n v="1138"/>
    <n v="8294"/>
    <x v="1276"/>
    <x v="8"/>
    <s v="Medium"/>
    <n v="28"/>
    <n v="197.57399999999998"/>
    <n v="0.05"/>
    <s v="Regular Air"/>
    <n v="-90.837999999999994"/>
    <n v="7.99"/>
    <n v="5.03"/>
    <x v="594"/>
    <x v="3"/>
    <x v="3"/>
    <x v="3"/>
    <x v="1"/>
    <x v="3"/>
    <x v="51"/>
    <s v="Medium Box"/>
    <n v="0.6"/>
    <d v="2012-06-21T00:00:00"/>
    <n v="0"/>
    <n v="0"/>
    <n v="1"/>
    <n v="1"/>
  </r>
  <r>
    <n v="1148"/>
    <n v="8384"/>
    <x v="364"/>
    <x v="39"/>
    <s v="High"/>
    <n v="37"/>
    <n v="4935.72"/>
    <n v="7.0000000000000007E-2"/>
    <s v="Delivery Truck"/>
    <n v="-698.09"/>
    <n v="140.97999999999999"/>
    <n v="36.090000000000003"/>
    <x v="592"/>
    <x v="3"/>
    <x v="3"/>
    <x v="0"/>
    <x v="2"/>
    <x v="9"/>
    <x v="228"/>
    <s v="Jumbo Box"/>
    <n v="0.77"/>
    <d v="2010-05-06T00:00:00"/>
    <n v="0"/>
    <n v="0"/>
    <n v="1"/>
    <n v="1"/>
  </r>
  <r>
    <n v="1175"/>
    <n v="8580"/>
    <x v="1143"/>
    <x v="5"/>
    <s v="High"/>
    <n v="12"/>
    <n v="151.49"/>
    <n v="0"/>
    <s v="Regular Air"/>
    <n v="-3.95"/>
    <n v="11.58"/>
    <n v="6.97"/>
    <x v="202"/>
    <x v="3"/>
    <x v="3"/>
    <x v="1"/>
    <x v="0"/>
    <x v="8"/>
    <x v="188"/>
    <s v="Small Box"/>
    <n v="0.35"/>
    <d v="2011-03-22T00:00:00"/>
    <n v="0"/>
    <n v="0"/>
    <n v="0.5"/>
    <n v="0.5"/>
  </r>
  <r>
    <n v="1176"/>
    <n v="8580"/>
    <x v="1143"/>
    <x v="5"/>
    <s v="High"/>
    <n v="37"/>
    <n v="308.22000000000003"/>
    <n v="0"/>
    <s v="Regular Air"/>
    <n v="-215.57"/>
    <n v="7.77"/>
    <n v="9.23"/>
    <x v="202"/>
    <x v="3"/>
    <x v="3"/>
    <x v="1"/>
    <x v="0"/>
    <x v="1"/>
    <x v="1009"/>
    <s v="Small Box"/>
    <n v="0.57999999999999996"/>
    <d v="2011-03-23T00:00:00"/>
    <n v="0"/>
    <n v="0"/>
    <n v="0.5"/>
    <n v="0.5"/>
  </r>
  <r>
    <n v="1182"/>
    <n v="8646"/>
    <x v="945"/>
    <x v="46"/>
    <s v="High"/>
    <n v="8"/>
    <n v="85.85"/>
    <n v="0.03"/>
    <s v="Regular Air"/>
    <n v="-327.64999999999998"/>
    <n v="4.4800000000000004"/>
    <n v="49"/>
    <x v="595"/>
    <x v="3"/>
    <x v="3"/>
    <x v="1"/>
    <x v="0"/>
    <x v="1"/>
    <x v="43"/>
    <s v="Large Box"/>
    <n v="0.6"/>
    <d v="2009-04-11T00:00:00"/>
    <n v="0"/>
    <n v="0"/>
    <n v="0.25"/>
    <n v="0.25"/>
  </r>
  <r>
    <n v="1183"/>
    <n v="8646"/>
    <x v="945"/>
    <x v="46"/>
    <s v="High"/>
    <n v="41"/>
    <n v="14377.78"/>
    <n v="0.06"/>
    <s v="Delivery Truck"/>
    <n v="4161.9799999999996"/>
    <n v="350.99"/>
    <n v="39"/>
    <x v="595"/>
    <x v="3"/>
    <x v="3"/>
    <x v="1"/>
    <x v="2"/>
    <x v="14"/>
    <x v="1103"/>
    <s v="Jumbo Drum"/>
    <n v="0.55000000000000004"/>
    <d v="2009-04-11T00:00:00"/>
    <n v="0"/>
    <n v="0"/>
    <n v="0.25"/>
    <n v="0.25"/>
  </r>
  <r>
    <n v="1184"/>
    <n v="8646"/>
    <x v="945"/>
    <x v="46"/>
    <s v="High"/>
    <n v="26"/>
    <n v="994.27"/>
    <n v="0.09"/>
    <s v="Express Air"/>
    <n v="-127.11"/>
    <n v="40.98"/>
    <n v="6.5"/>
    <x v="595"/>
    <x v="3"/>
    <x v="3"/>
    <x v="1"/>
    <x v="1"/>
    <x v="7"/>
    <x v="850"/>
    <s v="Small Box"/>
    <n v="0.74"/>
    <d v="2009-04-11T00:00:00"/>
    <n v="0"/>
    <n v="0"/>
    <n v="0.25"/>
    <n v="0.25"/>
  </r>
  <r>
    <n v="1185"/>
    <n v="8646"/>
    <x v="945"/>
    <x v="46"/>
    <s v="High"/>
    <n v="29"/>
    <n v="9558.65"/>
    <n v="0.09"/>
    <s v="Delivery Truck"/>
    <n v="2154.0700000000002"/>
    <n v="349.45"/>
    <n v="60"/>
    <x v="595"/>
    <x v="3"/>
    <x v="3"/>
    <x v="1"/>
    <x v="2"/>
    <x v="10"/>
    <x v="195"/>
    <s v="Jumbo Drum"/>
    <m/>
    <d v="2009-04-10T00:00:00"/>
    <n v="0"/>
    <n v="0"/>
    <n v="0.25"/>
    <n v="0.25"/>
  </r>
  <r>
    <n v="1224"/>
    <n v="8993"/>
    <x v="29"/>
    <x v="10"/>
    <s v="Medium"/>
    <n v="41"/>
    <n v="172.15"/>
    <n v="0.02"/>
    <s v="Express Air"/>
    <n v="86.78"/>
    <n v="3.69"/>
    <n v="0.5"/>
    <x v="476"/>
    <x v="3"/>
    <x v="3"/>
    <x v="2"/>
    <x v="0"/>
    <x v="11"/>
    <x v="20"/>
    <s v="Small Box"/>
    <n v="0.38"/>
    <d v="2011-05-30T00:00:00"/>
    <n v="0"/>
    <n v="0"/>
    <n v="1"/>
    <n v="1"/>
  </r>
  <r>
    <n v="1231"/>
    <n v="8996"/>
    <x v="220"/>
    <x v="4"/>
    <s v="Low"/>
    <n v="13"/>
    <n v="772.26750000000004"/>
    <n v="0.02"/>
    <s v="Regular Air"/>
    <n v="-48.850999999999999"/>
    <n v="65.989999999999995"/>
    <n v="8.99"/>
    <x v="151"/>
    <x v="3"/>
    <x v="3"/>
    <x v="2"/>
    <x v="1"/>
    <x v="3"/>
    <x v="1096"/>
    <s v="Small Box"/>
    <n v="0.59"/>
    <d v="2011-06-06T00:00:00"/>
    <n v="0"/>
    <n v="0"/>
    <n v="1"/>
    <n v="0.5"/>
  </r>
  <r>
    <n v="1234"/>
    <n v="8998"/>
    <x v="974"/>
    <x v="38"/>
    <s v="Low"/>
    <n v="37"/>
    <n v="1767.88"/>
    <n v="7.0000000000000007E-2"/>
    <s v="Regular Air"/>
    <n v="66.47"/>
    <n v="50.98"/>
    <n v="13.66"/>
    <x v="576"/>
    <x v="3"/>
    <x v="3"/>
    <x v="1"/>
    <x v="0"/>
    <x v="1"/>
    <x v="389"/>
    <s v="Small Box"/>
    <n v="0.57999999999999996"/>
    <d v="2010-01-07T00:00:00"/>
    <n v="1"/>
    <n v="0"/>
    <n v="0.33333333333333331"/>
    <n v="0.33333333333333331"/>
  </r>
  <r>
    <n v="1235"/>
    <n v="8998"/>
    <x v="974"/>
    <x v="38"/>
    <s v="Low"/>
    <n v="12"/>
    <n v="277.42"/>
    <n v="0.01"/>
    <s v="Regular Air"/>
    <n v="49.82"/>
    <n v="22.24"/>
    <n v="1.99"/>
    <x v="576"/>
    <x v="3"/>
    <x v="3"/>
    <x v="1"/>
    <x v="1"/>
    <x v="7"/>
    <x v="847"/>
    <s v="Small Pack"/>
    <n v="0.43"/>
    <d v="2010-01-05T00:00:00"/>
    <n v="1"/>
    <n v="0"/>
    <n v="0.33333333333333331"/>
    <n v="0.33333333333333331"/>
  </r>
  <r>
    <n v="1236"/>
    <n v="8998"/>
    <x v="974"/>
    <x v="38"/>
    <s v="Low"/>
    <n v="13"/>
    <n v="178.13"/>
    <n v="0.04"/>
    <s v="Regular Air"/>
    <n v="-19.75"/>
    <n v="13.43"/>
    <n v="5.5"/>
    <x v="576"/>
    <x v="3"/>
    <x v="3"/>
    <x v="1"/>
    <x v="0"/>
    <x v="0"/>
    <x v="813"/>
    <s v="Small Box"/>
    <n v="0.56999999999999995"/>
    <d v="2010-01-08T00:00:00"/>
    <n v="1"/>
    <n v="0"/>
    <n v="0.33333333333333331"/>
    <n v="0.33333333333333331"/>
  </r>
  <r>
    <n v="1256"/>
    <n v="9124"/>
    <x v="1270"/>
    <x v="17"/>
    <s v="Low"/>
    <n v="17"/>
    <n v="2637.78"/>
    <n v="0.04"/>
    <s v="Regular Air"/>
    <n v="-0.83999999999997499"/>
    <n v="152.47999999999999"/>
    <n v="6.5"/>
    <x v="57"/>
    <x v="3"/>
    <x v="3"/>
    <x v="0"/>
    <x v="1"/>
    <x v="7"/>
    <x v="659"/>
    <s v="Small Box"/>
    <n v="0.74"/>
    <d v="2011-10-16T00:00:00"/>
    <n v="0"/>
    <n v="0"/>
    <n v="0.5"/>
    <n v="0.5"/>
  </r>
  <r>
    <n v="1257"/>
    <n v="9124"/>
    <x v="1270"/>
    <x v="17"/>
    <s v="Low"/>
    <n v="29"/>
    <n v="157.4"/>
    <n v="0.01"/>
    <s v="Regular Air"/>
    <n v="-118.56"/>
    <n v="4.9800000000000004"/>
    <n v="7.28"/>
    <x v="57"/>
    <x v="3"/>
    <x v="3"/>
    <x v="0"/>
    <x v="0"/>
    <x v="5"/>
    <x v="1202"/>
    <s v="Small Box"/>
    <n v="0.38"/>
    <d v="2011-10-21T00:00:00"/>
    <n v="0"/>
    <n v="0"/>
    <n v="0.5"/>
    <n v="0.5"/>
  </r>
  <r>
    <n v="1260"/>
    <n v="9152"/>
    <x v="147"/>
    <x v="3"/>
    <s v="Not Specified"/>
    <n v="43"/>
    <n v="292.80799999999999"/>
    <n v="0.05"/>
    <s v="Regular Air"/>
    <n v="-129.69"/>
    <n v="7.99"/>
    <n v="5.03"/>
    <x v="596"/>
    <x v="3"/>
    <x v="3"/>
    <x v="3"/>
    <x v="1"/>
    <x v="3"/>
    <x v="51"/>
    <s v="Medium Box"/>
    <n v="0.6"/>
    <d v="2010-08-20T00:00:00"/>
    <n v="0"/>
    <n v="0"/>
    <n v="1"/>
    <n v="1"/>
  </r>
  <r>
    <n v="1281"/>
    <n v="9312"/>
    <x v="853"/>
    <x v="20"/>
    <s v="Not Specified"/>
    <n v="43"/>
    <n v="1160.55"/>
    <n v="0.05"/>
    <s v="Delivery Truck"/>
    <n v="-179.17"/>
    <n v="25.98"/>
    <n v="14.36"/>
    <x v="596"/>
    <x v="3"/>
    <x v="3"/>
    <x v="3"/>
    <x v="2"/>
    <x v="14"/>
    <x v="170"/>
    <s v="Jumbo Drum"/>
    <n v="0.6"/>
    <d v="2012-05-19T00:00:00"/>
    <n v="0"/>
    <n v="0"/>
    <n v="1"/>
    <n v="1"/>
  </r>
  <r>
    <n v="1330"/>
    <n v="9700"/>
    <x v="152"/>
    <x v="21"/>
    <s v="Critical"/>
    <n v="35"/>
    <n v="106.06"/>
    <n v="0.08"/>
    <s v="Regular Air"/>
    <n v="-59.74"/>
    <n v="3.14"/>
    <n v="1.92"/>
    <x v="597"/>
    <x v="3"/>
    <x v="3"/>
    <x v="1"/>
    <x v="0"/>
    <x v="15"/>
    <x v="546"/>
    <s v="Wrap Bag"/>
    <n v="0.84"/>
    <d v="2011-08-09T00:00:00"/>
    <n v="0"/>
    <n v="0"/>
    <n v="1"/>
    <n v="1"/>
  </r>
  <r>
    <n v="1345"/>
    <n v="9826"/>
    <x v="570"/>
    <x v="33"/>
    <s v="Medium"/>
    <n v="7"/>
    <n v="131.61000000000001"/>
    <n v="0.01"/>
    <s v="Regular Air"/>
    <n v="-7.3"/>
    <n v="17.48"/>
    <n v="1.99"/>
    <x v="584"/>
    <x v="3"/>
    <x v="3"/>
    <x v="1"/>
    <x v="1"/>
    <x v="7"/>
    <x v="814"/>
    <s v="Small Pack"/>
    <n v="0.45"/>
    <d v="2012-03-24T00:00:00"/>
    <n v="0"/>
    <n v="0"/>
    <n v="1"/>
    <n v="1"/>
  </r>
  <r>
    <n v="1374"/>
    <n v="9954"/>
    <x v="777"/>
    <x v="41"/>
    <s v="Not Specified"/>
    <n v="36"/>
    <n v="10122.719999999999"/>
    <n v="7.0000000000000007E-2"/>
    <s v="Delivery Truck"/>
    <n v="-381.16"/>
    <n v="280.98"/>
    <n v="57"/>
    <x v="575"/>
    <x v="3"/>
    <x v="3"/>
    <x v="2"/>
    <x v="2"/>
    <x v="14"/>
    <x v="544"/>
    <s v="Jumbo Drum"/>
    <n v="0.78"/>
    <d v="2009-06-20T00:00:00"/>
    <n v="0"/>
    <n v="0"/>
    <n v="0.33333333333333331"/>
    <n v="0.33333333333333331"/>
  </r>
  <r>
    <n v="1375"/>
    <n v="9954"/>
    <x v="777"/>
    <x v="41"/>
    <s v="Not Specified"/>
    <n v="39"/>
    <n v="203.6"/>
    <n v="0"/>
    <s v="Regular Air"/>
    <n v="-166.44"/>
    <n v="4.9800000000000004"/>
    <n v="7.44"/>
    <x v="575"/>
    <x v="3"/>
    <x v="3"/>
    <x v="2"/>
    <x v="0"/>
    <x v="5"/>
    <x v="877"/>
    <s v="Small Box"/>
    <n v="0.36"/>
    <d v="2009-06-21T00:00:00"/>
    <n v="0"/>
    <n v="0"/>
    <n v="0.33333333333333331"/>
    <n v="0.33333333333333331"/>
  </r>
  <r>
    <n v="1376"/>
    <n v="9954"/>
    <x v="777"/>
    <x v="41"/>
    <s v="Not Specified"/>
    <n v="30"/>
    <n v="115.81"/>
    <n v="0.1"/>
    <s v="Regular Air"/>
    <n v="22.06"/>
    <n v="3.98"/>
    <n v="0.83"/>
    <x v="575"/>
    <x v="3"/>
    <x v="3"/>
    <x v="2"/>
    <x v="0"/>
    <x v="12"/>
    <x v="914"/>
    <s v="Wrap Bag"/>
    <n v="0.51"/>
    <d v="2009-06-21T00:00:00"/>
    <n v="0"/>
    <n v="0"/>
    <n v="0.33333333333333331"/>
    <n v="0.33333333333333331"/>
  </r>
  <r>
    <n v="1391"/>
    <n v="10081"/>
    <x v="77"/>
    <x v="3"/>
    <s v="Not Specified"/>
    <n v="49"/>
    <n v="1058.43"/>
    <n v="0.02"/>
    <s v="Regular Air"/>
    <n v="245"/>
    <n v="20.28"/>
    <n v="6.68"/>
    <x v="598"/>
    <x v="3"/>
    <x v="3"/>
    <x v="3"/>
    <x v="2"/>
    <x v="4"/>
    <x v="1105"/>
    <s v="Small Box"/>
    <n v="0.53"/>
    <d v="2010-08-08T00:00:00"/>
    <n v="0"/>
    <n v="0"/>
    <n v="1"/>
    <n v="1"/>
  </r>
  <r>
    <n v="1415"/>
    <n v="10272"/>
    <x v="80"/>
    <x v="22"/>
    <s v="Medium"/>
    <n v="3"/>
    <n v="299.08"/>
    <n v="0.03"/>
    <s v="Regular Air"/>
    <n v="-50.43"/>
    <n v="90.48"/>
    <n v="19.989999999999998"/>
    <x v="599"/>
    <x v="3"/>
    <x v="3"/>
    <x v="2"/>
    <x v="0"/>
    <x v="8"/>
    <x v="881"/>
    <s v="Small Box"/>
    <n v="0.4"/>
    <d v="2009-01-19T00:00:00"/>
    <n v="0"/>
    <n v="1"/>
    <n v="0.5"/>
    <n v="0.5"/>
  </r>
  <r>
    <n v="1416"/>
    <n v="10272"/>
    <x v="80"/>
    <x v="22"/>
    <s v="Medium"/>
    <n v="26"/>
    <n v="566.39"/>
    <n v="0.06"/>
    <s v="Regular Air"/>
    <n v="76.430000000000007"/>
    <n v="22.84"/>
    <n v="8.18"/>
    <x v="599"/>
    <x v="3"/>
    <x v="3"/>
    <x v="2"/>
    <x v="0"/>
    <x v="5"/>
    <x v="1073"/>
    <s v="Small Box"/>
    <n v="0.39"/>
    <d v="2009-01-17T00:00:00"/>
    <n v="0"/>
    <n v="1"/>
    <n v="0.5"/>
    <n v="0.5"/>
  </r>
  <r>
    <n v="1461"/>
    <n v="10530"/>
    <x v="802"/>
    <x v="22"/>
    <s v="Medium"/>
    <n v="4"/>
    <n v="377.21299999999997"/>
    <n v="0.02"/>
    <s v="Regular Air"/>
    <n v="-411.65300000000002"/>
    <n v="110.99"/>
    <n v="2.5"/>
    <x v="587"/>
    <x v="3"/>
    <x v="3"/>
    <x v="1"/>
    <x v="1"/>
    <x v="3"/>
    <x v="368"/>
    <s v="Small Box"/>
    <n v="0.56999999999999995"/>
    <d v="2009-01-29T00:00:00"/>
    <n v="0"/>
    <n v="1"/>
    <n v="1"/>
    <n v="0.33333333333333331"/>
  </r>
  <r>
    <n v="1563"/>
    <n v="11270"/>
    <x v="785"/>
    <x v="4"/>
    <s v="High"/>
    <n v="15"/>
    <n v="140.07"/>
    <n v="0.04"/>
    <s v="Express Air"/>
    <n v="-21.85"/>
    <n v="8.6"/>
    <n v="6.19"/>
    <x v="151"/>
    <x v="3"/>
    <x v="3"/>
    <x v="2"/>
    <x v="0"/>
    <x v="2"/>
    <x v="682"/>
    <s v="Small Box"/>
    <n v="0.38"/>
    <d v="2011-07-01T00:00:00"/>
    <n v="0"/>
    <n v="0"/>
    <n v="1"/>
    <n v="0.5"/>
  </r>
  <r>
    <n v="1587"/>
    <n v="11431"/>
    <x v="1277"/>
    <x v="9"/>
    <s v="High"/>
    <n v="5"/>
    <n v="39.68"/>
    <n v="0.09"/>
    <s v="Regular Air"/>
    <n v="-6.71"/>
    <n v="8.01"/>
    <n v="2.87"/>
    <x v="589"/>
    <x v="3"/>
    <x v="3"/>
    <x v="0"/>
    <x v="0"/>
    <x v="5"/>
    <x v="548"/>
    <s v="Wrap Bag"/>
    <n v="0.4"/>
    <d v="2012-08-03T00:00:00"/>
    <n v="0"/>
    <n v="0"/>
    <n v="0.5"/>
    <n v="0.5"/>
  </r>
  <r>
    <n v="1588"/>
    <n v="11431"/>
    <x v="1277"/>
    <x v="9"/>
    <s v="High"/>
    <n v="8"/>
    <n v="1273.2660000000001"/>
    <n v="0.1"/>
    <s v="Regular Air"/>
    <n v="-615.66999999999996"/>
    <n v="205.99"/>
    <n v="8.99"/>
    <x v="589"/>
    <x v="3"/>
    <x v="3"/>
    <x v="0"/>
    <x v="1"/>
    <x v="3"/>
    <x v="879"/>
    <s v="Small Box"/>
    <n v="0.57999999999999996"/>
    <d v="2012-08-02T00:00:00"/>
    <n v="0"/>
    <n v="0"/>
    <n v="0.5"/>
    <n v="0.5"/>
  </r>
  <r>
    <n v="1634"/>
    <n v="11815"/>
    <x v="256"/>
    <x v="31"/>
    <s v="Low"/>
    <n v="22"/>
    <n v="351.27"/>
    <n v="0.08"/>
    <s v="Regular Air"/>
    <n v="-37.22"/>
    <n v="15.73"/>
    <n v="7.42"/>
    <x v="600"/>
    <x v="3"/>
    <x v="3"/>
    <x v="1"/>
    <x v="0"/>
    <x v="15"/>
    <x v="949"/>
    <s v="Small Pack"/>
    <n v="0.56000000000000005"/>
    <d v="2011-09-14T00:00:00"/>
    <n v="0"/>
    <n v="0"/>
    <n v="1"/>
    <n v="1"/>
  </r>
  <r>
    <n v="1677"/>
    <n v="12097"/>
    <x v="628"/>
    <x v="7"/>
    <s v="Critical"/>
    <n v="9"/>
    <n v="49.89"/>
    <n v="0.06"/>
    <s v="Regular Air"/>
    <n v="-30.84"/>
    <n v="4.9800000000000004"/>
    <n v="6.07"/>
    <x v="151"/>
    <x v="3"/>
    <x v="3"/>
    <x v="1"/>
    <x v="0"/>
    <x v="5"/>
    <x v="231"/>
    <s v="Small Box"/>
    <n v="0.36"/>
    <d v="2010-11-11T00:00:00"/>
    <n v="0"/>
    <n v="0"/>
    <n v="0.5"/>
    <n v="0.5"/>
  </r>
  <r>
    <n v="1678"/>
    <n v="12097"/>
    <x v="628"/>
    <x v="7"/>
    <s v="Critical"/>
    <n v="25"/>
    <n v="1831.5289999999998"/>
    <n v="0"/>
    <s v="Express Air"/>
    <n v="-139.97499999999999"/>
    <n v="85.99"/>
    <n v="0.99"/>
    <x v="151"/>
    <x v="3"/>
    <x v="3"/>
    <x v="1"/>
    <x v="1"/>
    <x v="3"/>
    <x v="55"/>
    <s v="Wrap Bag"/>
    <n v="0.85"/>
    <d v="2010-11-09T00:00:00"/>
    <n v="0"/>
    <n v="0"/>
    <n v="0.5"/>
    <n v="0.5"/>
  </r>
  <r>
    <n v="1688"/>
    <n v="12196"/>
    <x v="1081"/>
    <x v="30"/>
    <s v="Not Specified"/>
    <n v="32"/>
    <n v="599.52"/>
    <n v="0.04"/>
    <s v="Regular Air"/>
    <n v="25.14"/>
    <n v="17.98"/>
    <n v="8.51"/>
    <x v="580"/>
    <x v="3"/>
    <x v="3"/>
    <x v="1"/>
    <x v="1"/>
    <x v="16"/>
    <x v="168"/>
    <s v="Medium Box"/>
    <n v="0.4"/>
    <d v="2010-06-03T00:00:00"/>
    <n v="0"/>
    <n v="0"/>
    <n v="0.5"/>
    <n v="0.5"/>
  </r>
  <r>
    <n v="1689"/>
    <n v="12196"/>
    <x v="1081"/>
    <x v="30"/>
    <s v="Not Specified"/>
    <n v="25"/>
    <n v="10330.94"/>
    <n v="7.0000000000000007E-2"/>
    <s v="Regular Air"/>
    <n v="2914.56"/>
    <n v="419.19"/>
    <n v="19.989999999999998"/>
    <x v="580"/>
    <x v="3"/>
    <x v="3"/>
    <x v="1"/>
    <x v="0"/>
    <x v="0"/>
    <x v="1127"/>
    <s v="Small Box"/>
    <n v="0.57999999999999996"/>
    <d v="2010-06-02T00:00:00"/>
    <n v="0"/>
    <n v="0"/>
    <n v="0.5"/>
    <n v="0.5"/>
  </r>
  <r>
    <n v="1734"/>
    <n v="12451"/>
    <x v="1252"/>
    <x v="24"/>
    <s v="Low"/>
    <n v="26"/>
    <n v="3662.16"/>
    <n v="0.01"/>
    <s v="Delivery Truck"/>
    <n v="-372.82"/>
    <n v="130.97999999999999"/>
    <n v="54.74"/>
    <x v="575"/>
    <x v="3"/>
    <x v="3"/>
    <x v="0"/>
    <x v="2"/>
    <x v="9"/>
    <x v="631"/>
    <s v="Jumbo Box"/>
    <n v="0.69"/>
    <d v="2010-04-21T00:00:00"/>
    <n v="0"/>
    <n v="0"/>
    <n v="0.5"/>
    <n v="0.5"/>
  </r>
  <r>
    <n v="1735"/>
    <n v="12451"/>
    <x v="1252"/>
    <x v="24"/>
    <s v="Low"/>
    <n v="21"/>
    <n v="329.37"/>
    <n v="0.04"/>
    <s v="Express Air"/>
    <n v="-53.57"/>
    <n v="15.14"/>
    <n v="4.53"/>
    <x v="575"/>
    <x v="3"/>
    <x v="3"/>
    <x v="0"/>
    <x v="0"/>
    <x v="0"/>
    <x v="560"/>
    <s v="Small Box"/>
    <n v="0.81"/>
    <d v="2010-04-21T00:00:00"/>
    <n v="0"/>
    <n v="0"/>
    <n v="0.5"/>
    <n v="0.5"/>
  </r>
  <r>
    <n v="1742"/>
    <n v="12483"/>
    <x v="136"/>
    <x v="3"/>
    <s v="Critical"/>
    <n v="14"/>
    <n v="1676.44"/>
    <n v="0.02"/>
    <s v="Regular Air"/>
    <n v="607.495"/>
    <n v="120.98"/>
    <n v="9.07"/>
    <x v="601"/>
    <x v="3"/>
    <x v="3"/>
    <x v="3"/>
    <x v="0"/>
    <x v="2"/>
    <x v="352"/>
    <s v="Small Box"/>
    <n v="0.35"/>
    <d v="2010-08-04T00:00:00"/>
    <n v="0"/>
    <n v="0"/>
    <n v="0.33333333333333331"/>
    <n v="0.33333333333333331"/>
  </r>
  <r>
    <n v="1743"/>
    <n v="12483"/>
    <x v="136"/>
    <x v="3"/>
    <s v="Critical"/>
    <n v="14"/>
    <n v="1406.07"/>
    <n v="0.1"/>
    <s v="Delivery Truck"/>
    <n v="-701.91"/>
    <n v="100.98"/>
    <n v="57.38"/>
    <x v="601"/>
    <x v="3"/>
    <x v="3"/>
    <x v="3"/>
    <x v="2"/>
    <x v="9"/>
    <x v="65"/>
    <s v="Jumbo Box"/>
    <n v="0.78"/>
    <d v="2010-08-06T00:00:00"/>
    <n v="0"/>
    <n v="0"/>
    <n v="0.33333333333333331"/>
    <n v="0.33333333333333331"/>
  </r>
  <r>
    <n v="1744"/>
    <n v="12483"/>
    <x v="136"/>
    <x v="3"/>
    <s v="Critical"/>
    <n v="30"/>
    <n v="1771.67"/>
    <n v="0.09"/>
    <s v="Regular Air"/>
    <n v="338.95"/>
    <n v="59.76"/>
    <n v="9.7100000000000009"/>
    <x v="601"/>
    <x v="3"/>
    <x v="3"/>
    <x v="3"/>
    <x v="0"/>
    <x v="0"/>
    <x v="1102"/>
    <s v="Small Box"/>
    <n v="0.56999999999999995"/>
    <d v="2010-08-05T00:00:00"/>
    <n v="0"/>
    <n v="0"/>
    <n v="0.33333333333333331"/>
    <n v="0.33333333333333331"/>
  </r>
  <r>
    <n v="1794"/>
    <n v="12867"/>
    <x v="415"/>
    <x v="5"/>
    <s v="Not Specified"/>
    <n v="6"/>
    <n v="127.49"/>
    <n v="0.08"/>
    <s v="Express Air"/>
    <n v="-57.95"/>
    <n v="19.98"/>
    <n v="4"/>
    <x v="575"/>
    <x v="3"/>
    <x v="3"/>
    <x v="2"/>
    <x v="1"/>
    <x v="7"/>
    <x v="507"/>
    <s v="Small Box"/>
    <n v="0.68"/>
    <d v="2011-03-11T00:00:00"/>
    <n v="0"/>
    <n v="0"/>
    <n v="1"/>
    <n v="0.5"/>
  </r>
  <r>
    <n v="1805"/>
    <n v="12903"/>
    <x v="167"/>
    <x v="35"/>
    <s v="Critical"/>
    <n v="2"/>
    <n v="63.427"/>
    <n v="7.0000000000000007E-2"/>
    <s v="Regular Air"/>
    <n v="-191.785"/>
    <n v="35.99"/>
    <n v="5"/>
    <x v="597"/>
    <x v="3"/>
    <x v="3"/>
    <x v="1"/>
    <x v="1"/>
    <x v="3"/>
    <x v="525"/>
    <s v="Wrap Bag"/>
    <n v="0.82"/>
    <d v="2009-09-27T00:00:00"/>
    <n v="0"/>
    <n v="0"/>
    <n v="1"/>
    <n v="1"/>
  </r>
  <r>
    <n v="1881"/>
    <n v="13540"/>
    <x v="1026"/>
    <x v="39"/>
    <s v="High"/>
    <n v="31"/>
    <n v="259.58999999999997"/>
    <n v="0.06"/>
    <s v="Regular Air"/>
    <n v="34.79"/>
    <n v="8.5"/>
    <n v="1.99"/>
    <x v="474"/>
    <x v="3"/>
    <x v="3"/>
    <x v="1"/>
    <x v="1"/>
    <x v="7"/>
    <x v="676"/>
    <s v="Small Pack"/>
    <n v="0.49"/>
    <d v="2010-05-23T00:00:00"/>
    <n v="0"/>
    <n v="0"/>
    <n v="0.2"/>
    <n v="0.2"/>
  </r>
  <r>
    <n v="1882"/>
    <n v="13540"/>
    <x v="1026"/>
    <x v="39"/>
    <s v="High"/>
    <n v="16"/>
    <n v="34.93"/>
    <n v="0.04"/>
    <s v="Regular Air"/>
    <n v="-5.0000000000000711E-2"/>
    <n v="2.1800000000000002"/>
    <n v="0.78"/>
    <x v="474"/>
    <x v="3"/>
    <x v="3"/>
    <x v="1"/>
    <x v="0"/>
    <x v="6"/>
    <x v="303"/>
    <s v="Wrap Bag"/>
    <n v="0.52"/>
    <d v="2010-05-23T00:00:00"/>
    <n v="0"/>
    <n v="0"/>
    <n v="0.2"/>
    <n v="0.2"/>
  </r>
  <r>
    <n v="1883"/>
    <n v="13540"/>
    <x v="1026"/>
    <x v="39"/>
    <s v="High"/>
    <n v="33"/>
    <n v="431.06"/>
    <n v="0.02"/>
    <s v="Regular Air"/>
    <n v="-26.78"/>
    <n v="12.28"/>
    <n v="6.13"/>
    <x v="474"/>
    <x v="3"/>
    <x v="3"/>
    <x v="1"/>
    <x v="0"/>
    <x v="0"/>
    <x v="166"/>
    <s v="Small Box"/>
    <n v="0.56999999999999995"/>
    <d v="2010-05-23T00:00:00"/>
    <n v="0"/>
    <n v="0"/>
    <n v="0.2"/>
    <n v="0.2"/>
  </r>
  <r>
    <n v="1919"/>
    <n v="13762"/>
    <x v="1074"/>
    <x v="30"/>
    <s v="Medium"/>
    <n v="8"/>
    <n v="55"/>
    <n v="0.05"/>
    <s v="Regular Air"/>
    <n v="-23.620999999999999"/>
    <n v="6.28"/>
    <n v="5.36"/>
    <x v="541"/>
    <x v="3"/>
    <x v="3"/>
    <x v="2"/>
    <x v="0"/>
    <x v="2"/>
    <x v="907"/>
    <s v="Small Box"/>
    <n v="0.4"/>
    <d v="2010-06-24T00:00:00"/>
    <n v="0"/>
    <n v="0"/>
    <n v="0.33333333333333331"/>
    <n v="0.33333333333333331"/>
  </r>
  <r>
    <n v="1920"/>
    <n v="13762"/>
    <x v="1074"/>
    <x v="30"/>
    <s v="Medium"/>
    <n v="7"/>
    <n v="51.66"/>
    <n v="0.06"/>
    <s v="Regular Air"/>
    <n v="7.4"/>
    <n v="7.64"/>
    <n v="1.39"/>
    <x v="541"/>
    <x v="3"/>
    <x v="3"/>
    <x v="2"/>
    <x v="0"/>
    <x v="8"/>
    <x v="872"/>
    <s v="Small Box"/>
    <n v="0.36"/>
    <d v="2010-06-23T00:00:00"/>
    <n v="0"/>
    <n v="0"/>
    <n v="0.33333333333333331"/>
    <n v="0.33333333333333331"/>
  </r>
  <r>
    <n v="1921"/>
    <n v="13762"/>
    <x v="1074"/>
    <x v="30"/>
    <s v="Medium"/>
    <n v="37"/>
    <n v="107.73"/>
    <n v="0.08"/>
    <s v="Regular Air"/>
    <n v="39.81"/>
    <n v="3.15"/>
    <n v="0.5"/>
    <x v="541"/>
    <x v="3"/>
    <x v="3"/>
    <x v="2"/>
    <x v="0"/>
    <x v="11"/>
    <x v="605"/>
    <s v="Small Box"/>
    <n v="0.37"/>
    <d v="2010-06-23T00:00:00"/>
    <n v="0"/>
    <n v="0"/>
    <n v="0.33333333333333331"/>
    <n v="0.33333333333333331"/>
  </r>
  <r>
    <n v="2008"/>
    <n v="14336"/>
    <x v="1278"/>
    <x v="11"/>
    <s v="High"/>
    <n v="4"/>
    <n v="174.55"/>
    <n v="0.05"/>
    <s v="Express Air"/>
    <n v="-114.39"/>
    <n v="39.99"/>
    <n v="10.25"/>
    <x v="582"/>
    <x v="3"/>
    <x v="3"/>
    <x v="1"/>
    <x v="1"/>
    <x v="7"/>
    <x v="435"/>
    <s v="Small Box"/>
    <n v="0.55000000000000004"/>
    <d v="2009-11-19T00:00:00"/>
    <n v="0"/>
    <n v="0"/>
    <n v="1"/>
    <n v="1"/>
  </r>
  <r>
    <n v="2016"/>
    <n v="14400"/>
    <x v="391"/>
    <x v="40"/>
    <s v="Medium"/>
    <n v="32"/>
    <n v="74.34"/>
    <n v="0.05"/>
    <s v="Regular Air"/>
    <n v="-166.55450000000002"/>
    <n v="2.16"/>
    <n v="6.05"/>
    <x v="602"/>
    <x v="3"/>
    <x v="3"/>
    <x v="3"/>
    <x v="0"/>
    <x v="2"/>
    <x v="388"/>
    <s v="Small Box"/>
    <n v="0.37"/>
    <d v="2009-02-05T00:00:00"/>
    <n v="0"/>
    <n v="0"/>
    <n v="0.33333333333333331"/>
    <n v="0.33333333333333331"/>
  </r>
  <r>
    <n v="2017"/>
    <n v="14400"/>
    <x v="391"/>
    <x v="40"/>
    <s v="Medium"/>
    <n v="35"/>
    <n v="228.8"/>
    <n v="0.03"/>
    <s v="Regular Air"/>
    <n v="-99.08"/>
    <n v="6.48"/>
    <n v="6.6"/>
    <x v="602"/>
    <x v="3"/>
    <x v="3"/>
    <x v="3"/>
    <x v="0"/>
    <x v="5"/>
    <x v="226"/>
    <s v="Small Box"/>
    <n v="0.37"/>
    <d v="2009-02-05T00:00:00"/>
    <n v="0"/>
    <n v="0"/>
    <n v="0.33333333333333331"/>
    <n v="0.33333333333333331"/>
  </r>
  <r>
    <n v="2018"/>
    <n v="14400"/>
    <x v="391"/>
    <x v="40"/>
    <s v="Medium"/>
    <n v="43"/>
    <n v="6089.05"/>
    <n v="0.08"/>
    <s v="Delivery Truck"/>
    <n v="-2110.56"/>
    <n v="146.05000000000001"/>
    <n v="80.2"/>
    <x v="602"/>
    <x v="3"/>
    <x v="3"/>
    <x v="3"/>
    <x v="2"/>
    <x v="10"/>
    <x v="838"/>
    <s v="Jumbo Box"/>
    <n v="0.71"/>
    <d v="2009-02-05T00:00:00"/>
    <n v="0"/>
    <n v="0"/>
    <n v="0.33333333333333331"/>
    <n v="0.33333333333333331"/>
  </r>
  <r>
    <n v="2033"/>
    <n v="14500"/>
    <x v="1279"/>
    <x v="4"/>
    <s v="Not Specified"/>
    <n v="44"/>
    <n v="839.7"/>
    <n v="7.0000000000000007E-2"/>
    <s v="Regular Air"/>
    <n v="211.79"/>
    <n v="19.98"/>
    <n v="5.77"/>
    <x v="603"/>
    <x v="3"/>
    <x v="3"/>
    <x v="1"/>
    <x v="0"/>
    <x v="5"/>
    <x v="93"/>
    <s v="Small Box"/>
    <n v="0.38"/>
    <d v="2011-06-26T00:00:00"/>
    <n v="0"/>
    <n v="0"/>
    <n v="0.5"/>
    <n v="0.5"/>
  </r>
  <r>
    <n v="2034"/>
    <n v="14500"/>
    <x v="1279"/>
    <x v="4"/>
    <s v="Not Specified"/>
    <n v="46"/>
    <n v="1662.5"/>
    <n v="0.01"/>
    <s v="Regular Air"/>
    <n v="289.02"/>
    <n v="34.58"/>
    <n v="8.99"/>
    <x v="603"/>
    <x v="3"/>
    <x v="3"/>
    <x v="1"/>
    <x v="0"/>
    <x v="12"/>
    <x v="555"/>
    <s v="Small Pack"/>
    <n v="0.56000000000000005"/>
    <d v="2011-06-25T00:00:00"/>
    <n v="0"/>
    <n v="0"/>
    <n v="0.5"/>
    <n v="0.5"/>
  </r>
  <r>
    <n v="2042"/>
    <n v="14534"/>
    <x v="1095"/>
    <x v="42"/>
    <s v="Medium"/>
    <n v="46"/>
    <n v="745.99"/>
    <n v="0.02"/>
    <s v="Regular Air"/>
    <n v="226.09"/>
    <n v="15.98"/>
    <n v="4"/>
    <x v="573"/>
    <x v="3"/>
    <x v="3"/>
    <x v="2"/>
    <x v="1"/>
    <x v="7"/>
    <x v="404"/>
    <s v="Small Box"/>
    <n v="0.37"/>
    <d v="2010-07-18T00:00:00"/>
    <n v="0"/>
    <n v="0"/>
    <n v="1"/>
    <n v="1"/>
  </r>
  <r>
    <n v="2084"/>
    <n v="14884"/>
    <x v="804"/>
    <x v="31"/>
    <s v="High"/>
    <n v="6"/>
    <n v="473.9855"/>
    <n v="0.06"/>
    <s v="Regular Air"/>
    <n v="-301.67500000000001"/>
    <n v="95.99"/>
    <n v="4.9000000000000004"/>
    <x v="577"/>
    <x v="3"/>
    <x v="3"/>
    <x v="2"/>
    <x v="1"/>
    <x v="3"/>
    <x v="936"/>
    <s v="Small Box"/>
    <n v="0.56000000000000005"/>
    <d v="2011-09-29T00:00:00"/>
    <n v="0"/>
    <n v="0"/>
    <n v="1"/>
    <n v="1"/>
  </r>
  <r>
    <n v="2107"/>
    <n v="15075"/>
    <x v="832"/>
    <x v="19"/>
    <s v="Medium"/>
    <n v="24"/>
    <n v="1548.43"/>
    <n v="0.02"/>
    <s v="Regular Air"/>
    <n v="622.89"/>
    <n v="63.94"/>
    <n v="14.48"/>
    <x v="337"/>
    <x v="3"/>
    <x v="3"/>
    <x v="1"/>
    <x v="2"/>
    <x v="4"/>
    <x v="308"/>
    <s v="Small Box"/>
    <n v="0.46"/>
    <d v="2009-10-04T00:00:00"/>
    <n v="0"/>
    <n v="0"/>
    <n v="0.5"/>
    <n v="0.5"/>
  </r>
  <r>
    <n v="2108"/>
    <n v="15075"/>
    <x v="832"/>
    <x v="19"/>
    <s v="Medium"/>
    <n v="10"/>
    <n v="54.84"/>
    <n v="0.01"/>
    <s v="Regular Air"/>
    <n v="-56.3"/>
    <n v="5.0199999999999996"/>
    <n v="5.14"/>
    <x v="337"/>
    <x v="3"/>
    <x v="3"/>
    <x v="1"/>
    <x v="1"/>
    <x v="7"/>
    <x v="238"/>
    <s v="Small Pack"/>
    <n v="0.79"/>
    <d v="2009-10-06T00:00:00"/>
    <n v="0"/>
    <n v="0"/>
    <n v="0.5"/>
    <n v="0.5"/>
  </r>
  <r>
    <n v="2132"/>
    <n v="15234"/>
    <x v="14"/>
    <x v="14"/>
    <s v="Not Specified"/>
    <n v="21"/>
    <n v="2185.9535000000001"/>
    <n v="0.1"/>
    <s v="Regular Air"/>
    <n v="268.01100000000002"/>
    <n v="125.99"/>
    <n v="8.99"/>
    <x v="604"/>
    <x v="3"/>
    <x v="3"/>
    <x v="1"/>
    <x v="1"/>
    <x v="3"/>
    <x v="664"/>
    <s v="Small Box"/>
    <n v="0.55000000000000004"/>
    <d v="2010-03-13T00:00:00"/>
    <n v="0"/>
    <n v="0"/>
    <n v="0.5"/>
    <n v="0.5"/>
  </r>
  <r>
    <n v="2133"/>
    <n v="15234"/>
    <x v="14"/>
    <x v="14"/>
    <s v="Not Specified"/>
    <n v="12"/>
    <n v="1323.5434999999998"/>
    <n v="0"/>
    <s v="Express Air"/>
    <n v="-34.727000000000004"/>
    <n v="125.99"/>
    <n v="8.08"/>
    <x v="604"/>
    <x v="3"/>
    <x v="3"/>
    <x v="1"/>
    <x v="1"/>
    <x v="3"/>
    <x v="442"/>
    <s v="Small Box"/>
    <n v="0.56999999999999995"/>
    <d v="2010-03-13T00:00:00"/>
    <n v="0"/>
    <n v="0"/>
    <n v="0.5"/>
    <n v="0.5"/>
  </r>
  <r>
    <n v="2138"/>
    <n v="15270"/>
    <x v="692"/>
    <x v="22"/>
    <s v="Not Specified"/>
    <n v="36"/>
    <n v="257.91000000000003"/>
    <n v="0"/>
    <s v="Regular Air"/>
    <n v="90.86"/>
    <n v="6.98"/>
    <n v="1.6"/>
    <x v="324"/>
    <x v="3"/>
    <x v="3"/>
    <x v="2"/>
    <x v="0"/>
    <x v="5"/>
    <x v="646"/>
    <s v="Wrap Bag"/>
    <n v="0.38"/>
    <d v="2009-02-02T00:00:00"/>
    <n v="0"/>
    <n v="1"/>
    <n v="1"/>
    <n v="1"/>
  </r>
  <r>
    <n v="2141"/>
    <n v="15296"/>
    <x v="367"/>
    <x v="9"/>
    <s v="Not Specified"/>
    <n v="38"/>
    <n v="6216.6"/>
    <n v="0.02"/>
    <s v="Regular Air"/>
    <n v="1082.21"/>
    <n v="161.55000000000001"/>
    <n v="19.989999999999998"/>
    <x v="585"/>
    <x v="3"/>
    <x v="3"/>
    <x v="2"/>
    <x v="0"/>
    <x v="0"/>
    <x v="533"/>
    <s v="Small Box"/>
    <n v="0.66"/>
    <d v="2012-08-09T00:00:00"/>
    <n v="0"/>
    <n v="0"/>
    <n v="1"/>
    <n v="0.33333333333333331"/>
  </r>
  <r>
    <n v="2147"/>
    <n v="15335"/>
    <x v="638"/>
    <x v="18"/>
    <s v="Medium"/>
    <n v="26"/>
    <n v="765.96"/>
    <n v="0.1"/>
    <s v="Regular Air"/>
    <n v="240.06"/>
    <n v="31.78"/>
    <n v="1.99"/>
    <x v="605"/>
    <x v="3"/>
    <x v="3"/>
    <x v="1"/>
    <x v="1"/>
    <x v="7"/>
    <x v="47"/>
    <s v="Small Pack"/>
    <n v="0.42"/>
    <d v="2010-09-19T00:00:00"/>
    <n v="0"/>
    <n v="0"/>
    <n v="1"/>
    <n v="1"/>
  </r>
  <r>
    <n v="2179"/>
    <n v="15712"/>
    <x v="544"/>
    <x v="45"/>
    <s v="High"/>
    <n v="1"/>
    <n v="102.9"/>
    <n v="7.0000000000000007E-2"/>
    <s v="Delivery Truck"/>
    <n v="-81.89"/>
    <n v="48.58"/>
    <n v="54.11"/>
    <x v="337"/>
    <x v="3"/>
    <x v="3"/>
    <x v="2"/>
    <x v="2"/>
    <x v="9"/>
    <x v="133"/>
    <s v="Jumbo Box"/>
    <n v="0.69"/>
    <d v="2012-12-06T00:00:00"/>
    <n v="0"/>
    <n v="0"/>
    <n v="1"/>
    <n v="1"/>
  </r>
  <r>
    <n v="2205"/>
    <n v="15906"/>
    <x v="1280"/>
    <x v="18"/>
    <s v="Low"/>
    <n v="8"/>
    <n v="2174.96"/>
    <n v="0.05"/>
    <s v="Delivery Truck"/>
    <n v="-223.89450000000002"/>
    <n v="264.98"/>
    <n v="17.86"/>
    <x v="579"/>
    <x v="3"/>
    <x v="3"/>
    <x v="2"/>
    <x v="1"/>
    <x v="16"/>
    <x v="908"/>
    <s v="Jumbo Drum"/>
    <n v="0.57999999999999996"/>
    <d v="2010-09-29T00:00:00"/>
    <n v="0"/>
    <n v="0"/>
    <n v="1"/>
    <n v="1"/>
  </r>
  <r>
    <n v="2215"/>
    <n v="16005"/>
    <x v="952"/>
    <x v="45"/>
    <s v="Not Specified"/>
    <n v="7"/>
    <n v="51.03"/>
    <n v="0.09"/>
    <s v="Regular Air"/>
    <n v="-21.378499999999999"/>
    <n v="6.81"/>
    <n v="5.48"/>
    <x v="586"/>
    <x v="3"/>
    <x v="3"/>
    <x v="2"/>
    <x v="0"/>
    <x v="2"/>
    <x v="964"/>
    <s v="Small Box"/>
    <n v="0.37"/>
    <d v="2012-12-26T00:00:00"/>
    <n v="0"/>
    <n v="0"/>
    <n v="1"/>
    <n v="1"/>
  </r>
  <r>
    <n v="2230"/>
    <n v="16103"/>
    <x v="986"/>
    <x v="29"/>
    <s v="Not Specified"/>
    <n v="22"/>
    <n v="426.7"/>
    <n v="0.06"/>
    <s v="Regular Air"/>
    <n v="104.77"/>
    <n v="19.84"/>
    <n v="4.0999999999999996"/>
    <x v="324"/>
    <x v="3"/>
    <x v="3"/>
    <x v="2"/>
    <x v="0"/>
    <x v="12"/>
    <x v="92"/>
    <s v="Wrap Bag"/>
    <n v="0.44"/>
    <d v="2012-07-17T00:00:00"/>
    <n v="0"/>
    <n v="0"/>
    <n v="0.5"/>
    <n v="0.5"/>
  </r>
  <r>
    <n v="2253"/>
    <n v="16225"/>
    <x v="1084"/>
    <x v="43"/>
    <s v="Critical"/>
    <n v="30"/>
    <n v="550.29"/>
    <n v="0.03"/>
    <s v="Regular Air"/>
    <n v="-82.5"/>
    <n v="17.7"/>
    <n v="9.4700000000000006"/>
    <x v="151"/>
    <x v="3"/>
    <x v="3"/>
    <x v="1"/>
    <x v="0"/>
    <x v="0"/>
    <x v="1046"/>
    <s v="Small Box"/>
    <n v="0.59"/>
    <d v="2009-05-30T00:00:00"/>
    <n v="0"/>
    <n v="0"/>
    <n v="1"/>
    <n v="1"/>
  </r>
  <r>
    <n v="2265"/>
    <n v="16262"/>
    <x v="20"/>
    <x v="16"/>
    <s v="Low"/>
    <n v="11"/>
    <n v="62.84"/>
    <n v="0.06"/>
    <s v="Express Air"/>
    <n v="9.5299999999999994"/>
    <n v="5.18"/>
    <n v="2.04"/>
    <x v="576"/>
    <x v="3"/>
    <x v="3"/>
    <x v="1"/>
    <x v="0"/>
    <x v="5"/>
    <x v="267"/>
    <s v="Wrap Bag"/>
    <n v="0.36"/>
    <d v="2011-01-08T00:00:00"/>
    <n v="0"/>
    <n v="0"/>
    <n v="1"/>
    <n v="1"/>
  </r>
  <r>
    <n v="2270"/>
    <n v="16321"/>
    <x v="278"/>
    <x v="19"/>
    <s v="Not Specified"/>
    <n v="50"/>
    <n v="7156.56"/>
    <n v="0.03"/>
    <s v="Regular Air"/>
    <n v="1871.26"/>
    <n v="142.86000000000001"/>
    <n v="19.989999999999998"/>
    <x v="58"/>
    <x v="3"/>
    <x v="3"/>
    <x v="2"/>
    <x v="0"/>
    <x v="0"/>
    <x v="690"/>
    <s v="Small Box"/>
    <n v="0.56000000000000005"/>
    <d v="2009-10-03T00:00:00"/>
    <n v="0"/>
    <n v="0"/>
    <n v="1"/>
    <n v="1"/>
  </r>
  <r>
    <n v="2315"/>
    <n v="16679"/>
    <x v="216"/>
    <x v="11"/>
    <s v="Low"/>
    <n v="29"/>
    <n v="6481.95"/>
    <n v="0.09"/>
    <s v="Delivery Truck"/>
    <n v="846.23"/>
    <n v="243.98"/>
    <n v="43.32"/>
    <x v="583"/>
    <x v="3"/>
    <x v="3"/>
    <x v="0"/>
    <x v="2"/>
    <x v="14"/>
    <x v="130"/>
    <s v="Jumbo Drum"/>
    <n v="0.55000000000000004"/>
    <d v="2009-11-13T00:00:00"/>
    <n v="0"/>
    <n v="0"/>
    <n v="1"/>
    <n v="1"/>
  </r>
  <r>
    <n v="2328"/>
    <n v="16775"/>
    <x v="590"/>
    <x v="32"/>
    <s v="Low"/>
    <n v="49"/>
    <n v="2469.15"/>
    <n v="0.04"/>
    <s v="Regular Air"/>
    <n v="1244.81"/>
    <n v="48.94"/>
    <n v="5.86"/>
    <x v="337"/>
    <x v="3"/>
    <x v="3"/>
    <x v="2"/>
    <x v="0"/>
    <x v="5"/>
    <x v="1033"/>
    <s v="Small Box"/>
    <n v="0.35"/>
    <d v="2012-11-26T00:00:00"/>
    <n v="0"/>
    <n v="0"/>
    <n v="1"/>
    <n v="1"/>
  </r>
  <r>
    <n v="2340"/>
    <n v="16834"/>
    <x v="181"/>
    <x v="0"/>
    <s v="Low"/>
    <n v="33"/>
    <n v="463.42"/>
    <n v="0.08"/>
    <s v="Regular Air"/>
    <n v="14.203500000000002"/>
    <n v="14.45"/>
    <n v="7.17"/>
    <x v="597"/>
    <x v="3"/>
    <x v="3"/>
    <x v="1"/>
    <x v="0"/>
    <x v="2"/>
    <x v="853"/>
    <s v="Small Box"/>
    <n v="0.38"/>
    <d v="2010-10-25T00:00:00"/>
    <n v="0"/>
    <n v="0"/>
    <n v="0.5"/>
    <n v="0.5"/>
  </r>
  <r>
    <n v="2341"/>
    <n v="16837"/>
    <x v="1192"/>
    <x v="16"/>
    <s v="Not Specified"/>
    <n v="4"/>
    <n v="997"/>
    <n v="0.09"/>
    <s v="Delivery Truck"/>
    <n v="-307.95999999999998"/>
    <n v="258.98"/>
    <n v="54.31"/>
    <x v="590"/>
    <x v="3"/>
    <x v="3"/>
    <x v="1"/>
    <x v="2"/>
    <x v="14"/>
    <x v="706"/>
    <s v="Jumbo Drum"/>
    <n v="0.55000000000000004"/>
    <d v="2011-01-22T00:00:00"/>
    <n v="0"/>
    <n v="0"/>
    <n v="1"/>
    <n v="1"/>
  </r>
  <r>
    <n v="2343"/>
    <n v="16866"/>
    <x v="659"/>
    <x v="12"/>
    <s v="Not Specified"/>
    <n v="43"/>
    <n v="2357.9085"/>
    <n v="0.06"/>
    <s v="Regular Air"/>
    <n v="538.48800000000006"/>
    <n v="65.989999999999995"/>
    <n v="3.99"/>
    <x v="571"/>
    <x v="3"/>
    <x v="3"/>
    <x v="3"/>
    <x v="1"/>
    <x v="3"/>
    <x v="440"/>
    <s v="Small Box"/>
    <n v="0.59"/>
    <d v="2012-02-07T00:00:00"/>
    <n v="0"/>
    <n v="0"/>
    <n v="1"/>
    <n v="1"/>
  </r>
  <r>
    <n v="2360"/>
    <n v="17058"/>
    <x v="20"/>
    <x v="16"/>
    <s v="High"/>
    <n v="15"/>
    <n v="72.67"/>
    <n v="0.04"/>
    <s v="Regular Air"/>
    <n v="-62.37"/>
    <n v="4.28"/>
    <n v="6.72"/>
    <x v="594"/>
    <x v="3"/>
    <x v="3"/>
    <x v="3"/>
    <x v="0"/>
    <x v="5"/>
    <x v="777"/>
    <s v="Small Box"/>
    <n v="0.4"/>
    <d v="2011-01-02T00:00:00"/>
    <n v="0"/>
    <n v="0"/>
    <n v="1"/>
    <n v="1"/>
  </r>
  <r>
    <n v="2413"/>
    <n v="17508"/>
    <x v="102"/>
    <x v="8"/>
    <s v="Low"/>
    <n v="50"/>
    <n v="99.08"/>
    <n v="0.01"/>
    <s v="Express Air"/>
    <n v="11.28"/>
    <n v="1.76"/>
    <n v="0.7"/>
    <x v="58"/>
    <x v="3"/>
    <x v="3"/>
    <x v="2"/>
    <x v="0"/>
    <x v="12"/>
    <x v="263"/>
    <s v="Wrap Bag"/>
    <n v="0.56000000000000005"/>
    <d v="2012-06-29T00:00:00"/>
    <n v="0"/>
    <n v="0"/>
    <n v="1"/>
    <n v="1"/>
  </r>
  <r>
    <n v="2573"/>
    <n v="18592"/>
    <x v="1190"/>
    <x v="34"/>
    <s v="Critical"/>
    <n v="2"/>
    <n v="25.72"/>
    <n v="0.04"/>
    <s v="Regular Air"/>
    <n v="-15.5"/>
    <n v="10.98"/>
    <n v="3.37"/>
    <x v="606"/>
    <x v="3"/>
    <x v="3"/>
    <x v="2"/>
    <x v="0"/>
    <x v="15"/>
    <x v="340"/>
    <s v="Small Pack"/>
    <n v="0.56999999999999995"/>
    <d v="2012-10-01T00:00:00"/>
    <n v="0"/>
    <n v="0"/>
    <n v="1"/>
    <n v="1"/>
  </r>
  <r>
    <n v="2598"/>
    <n v="18757"/>
    <x v="988"/>
    <x v="20"/>
    <s v="Low"/>
    <n v="43"/>
    <n v="319.95999999999998"/>
    <n v="0.01"/>
    <s v="Express Air"/>
    <n v="123.15"/>
    <n v="6.98"/>
    <n v="1.6"/>
    <x v="325"/>
    <x v="3"/>
    <x v="3"/>
    <x v="1"/>
    <x v="0"/>
    <x v="5"/>
    <x v="646"/>
    <s v="Wrap Bag"/>
    <n v="0.38"/>
    <d v="2012-05-29T00:00:00"/>
    <n v="0"/>
    <n v="0"/>
    <n v="0.33333333333333331"/>
    <n v="0.33333333333333331"/>
  </r>
  <r>
    <n v="2609"/>
    <n v="18851"/>
    <x v="696"/>
    <x v="45"/>
    <s v="Critical"/>
    <n v="32"/>
    <n v="204.21"/>
    <n v="0.04"/>
    <s v="Express Air"/>
    <n v="-204.81"/>
    <n v="5.98"/>
    <n v="10.39"/>
    <x v="605"/>
    <x v="3"/>
    <x v="3"/>
    <x v="1"/>
    <x v="0"/>
    <x v="5"/>
    <x v="1037"/>
    <s v="Small Box"/>
    <n v="0.4"/>
    <d v="2012-12-17T00:00:00"/>
    <n v="0"/>
    <n v="0"/>
    <n v="1"/>
    <n v="1"/>
  </r>
  <r>
    <n v="2611"/>
    <n v="18853"/>
    <x v="1054"/>
    <x v="38"/>
    <s v="Critical"/>
    <n v="33"/>
    <n v="223.88"/>
    <n v="0.03"/>
    <s v="Regular Air"/>
    <n v="55.21"/>
    <n v="6.68"/>
    <n v="1.5"/>
    <x v="594"/>
    <x v="3"/>
    <x v="3"/>
    <x v="3"/>
    <x v="0"/>
    <x v="12"/>
    <x v="463"/>
    <s v="Wrap Bag"/>
    <n v="0.48"/>
    <d v="2010-01-19T00:00:00"/>
    <n v="1"/>
    <n v="0"/>
    <n v="1"/>
    <n v="1"/>
  </r>
  <r>
    <n v="2613"/>
    <n v="18884"/>
    <x v="1279"/>
    <x v="4"/>
    <s v="Not Specified"/>
    <n v="5"/>
    <n v="131.27000000000001"/>
    <n v="0.1"/>
    <s v="Delivery Truck"/>
    <n v="-70.430000000000007"/>
    <n v="25.98"/>
    <n v="14.36"/>
    <x v="606"/>
    <x v="3"/>
    <x v="3"/>
    <x v="3"/>
    <x v="2"/>
    <x v="14"/>
    <x v="170"/>
    <s v="Jumbo Drum"/>
    <n v="0.6"/>
    <d v="2011-06-25T00:00:00"/>
    <n v="0"/>
    <n v="0"/>
    <n v="0.5"/>
    <n v="0.5"/>
  </r>
  <r>
    <n v="2614"/>
    <n v="18884"/>
    <x v="1279"/>
    <x v="4"/>
    <s v="Not Specified"/>
    <n v="29"/>
    <n v="13571.7"/>
    <n v="0"/>
    <s v="Regular Air"/>
    <n v="3825.69"/>
    <n v="449.99"/>
    <n v="24.49"/>
    <x v="606"/>
    <x v="3"/>
    <x v="3"/>
    <x v="3"/>
    <x v="1"/>
    <x v="13"/>
    <x v="26"/>
    <s v="Large Box"/>
    <n v="0.52"/>
    <d v="2011-06-26T00:00:00"/>
    <n v="0"/>
    <n v="0"/>
    <n v="0.5"/>
    <n v="0.5"/>
  </r>
  <r>
    <n v="2669"/>
    <n v="19300"/>
    <x v="291"/>
    <x v="47"/>
    <s v="Critical"/>
    <n v="10"/>
    <n v="78.72"/>
    <n v="0.1"/>
    <s v="Regular Air"/>
    <n v="-22.36"/>
    <n v="7.64"/>
    <n v="5.83"/>
    <x v="541"/>
    <x v="3"/>
    <x v="3"/>
    <x v="2"/>
    <x v="0"/>
    <x v="5"/>
    <x v="248"/>
    <s v="Wrap Bag"/>
    <n v="0.36"/>
    <d v="2009-12-17T00:00:00"/>
    <n v="0"/>
    <n v="0"/>
    <n v="1"/>
    <n v="1"/>
  </r>
  <r>
    <n v="2673"/>
    <n v="19361"/>
    <x v="889"/>
    <x v="34"/>
    <s v="Low"/>
    <n v="21"/>
    <n v="788.85"/>
    <n v="0.06"/>
    <s v="Regular Air"/>
    <n v="317.53449999999998"/>
    <n v="37.700000000000003"/>
    <n v="2.99"/>
    <x v="570"/>
    <x v="3"/>
    <x v="3"/>
    <x v="1"/>
    <x v="0"/>
    <x v="2"/>
    <x v="737"/>
    <s v="Small Box"/>
    <n v="0.35"/>
    <d v="2012-10-02T00:00:00"/>
    <n v="0"/>
    <n v="0"/>
    <n v="0.33333333333333331"/>
    <n v="0.33333333333333331"/>
  </r>
  <r>
    <n v="2674"/>
    <n v="19361"/>
    <x v="889"/>
    <x v="34"/>
    <s v="Low"/>
    <n v="43"/>
    <n v="364.59"/>
    <n v="7.0000000000000007E-2"/>
    <s v="Regular Air"/>
    <n v="-14.28"/>
    <n v="8.56"/>
    <n v="5.16"/>
    <x v="570"/>
    <x v="3"/>
    <x v="3"/>
    <x v="1"/>
    <x v="0"/>
    <x v="5"/>
    <x v="1203"/>
    <s v="Wrap Bag"/>
    <n v="0.38"/>
    <d v="2012-09-30T00:00:00"/>
    <n v="0"/>
    <n v="0"/>
    <n v="0.33333333333333331"/>
    <n v="0.33333333333333331"/>
  </r>
  <r>
    <n v="2706"/>
    <n v="19557"/>
    <x v="1043"/>
    <x v="17"/>
    <s v="Low"/>
    <n v="26"/>
    <n v="66.599999999999994"/>
    <n v="0.08"/>
    <s v="Regular Air"/>
    <n v="13.99"/>
    <n v="2.62"/>
    <n v="0.8"/>
    <x v="573"/>
    <x v="3"/>
    <x v="3"/>
    <x v="2"/>
    <x v="0"/>
    <x v="6"/>
    <x v="675"/>
    <s v="Wrap Bag"/>
    <n v="0.39"/>
    <d v="2011-11-03T00:00:00"/>
    <n v="0"/>
    <n v="0"/>
    <n v="0.5"/>
    <n v="0.5"/>
  </r>
  <r>
    <n v="2707"/>
    <n v="19557"/>
    <x v="1043"/>
    <x v="17"/>
    <s v="Low"/>
    <n v="9"/>
    <n v="312.25"/>
    <n v="0.05"/>
    <s v="Regular Air"/>
    <n v="15.56"/>
    <n v="33.89"/>
    <n v="5.0999999999999996"/>
    <x v="573"/>
    <x v="3"/>
    <x v="3"/>
    <x v="2"/>
    <x v="0"/>
    <x v="0"/>
    <x v="1178"/>
    <s v="Small Box"/>
    <n v="0.6"/>
    <d v="2011-10-30T00:00:00"/>
    <n v="0"/>
    <n v="0"/>
    <n v="0.5"/>
    <n v="0.5"/>
  </r>
  <r>
    <n v="2713"/>
    <n v="19586"/>
    <x v="279"/>
    <x v="32"/>
    <s v="Not Specified"/>
    <n v="36"/>
    <n v="70.63"/>
    <n v="0.1"/>
    <s v="Regular Air"/>
    <n v="-66.87"/>
    <n v="2.08"/>
    <n v="2.56"/>
    <x v="594"/>
    <x v="3"/>
    <x v="3"/>
    <x v="3"/>
    <x v="0"/>
    <x v="15"/>
    <x v="583"/>
    <s v="Small Pack"/>
    <n v="0.55000000000000004"/>
    <d v="2012-11-03T00:00:00"/>
    <n v="0"/>
    <n v="0"/>
    <n v="1"/>
    <n v="1"/>
  </r>
  <r>
    <n v="2732"/>
    <n v="19718"/>
    <x v="801"/>
    <x v="8"/>
    <s v="Low"/>
    <n v="6"/>
    <n v="89.75"/>
    <n v="0.03"/>
    <s v="Regular Air"/>
    <n v="-38.288699999999999"/>
    <n v="13.99"/>
    <n v="7.51"/>
    <x v="587"/>
    <x v="3"/>
    <x v="3"/>
    <x v="1"/>
    <x v="1"/>
    <x v="16"/>
    <x v="535"/>
    <s v="Medium Box"/>
    <n v="0.39"/>
    <d v="2012-06-29T00:00:00"/>
    <n v="0"/>
    <n v="0"/>
    <n v="1"/>
    <n v="1"/>
  </r>
  <r>
    <n v="2733"/>
    <n v="19744"/>
    <x v="835"/>
    <x v="14"/>
    <s v="Medium"/>
    <n v="41"/>
    <n v="478.38"/>
    <n v="0.09"/>
    <s v="Regular Air"/>
    <n v="-34.39"/>
    <n v="11.97"/>
    <n v="4.9800000000000004"/>
    <x v="337"/>
    <x v="3"/>
    <x v="3"/>
    <x v="1"/>
    <x v="0"/>
    <x v="1"/>
    <x v="165"/>
    <s v="Small Box"/>
    <n v="0.57999999999999996"/>
    <d v="2010-03-16T00:00:00"/>
    <n v="0"/>
    <n v="0"/>
    <n v="1"/>
    <n v="1"/>
  </r>
  <r>
    <n v="2781"/>
    <n v="20069"/>
    <x v="1263"/>
    <x v="35"/>
    <s v="Critical"/>
    <n v="6"/>
    <n v="247.15"/>
    <n v="7.0000000000000007E-2"/>
    <s v="Regular Air"/>
    <n v="-88.35"/>
    <n v="40.89"/>
    <n v="18.98"/>
    <x v="18"/>
    <x v="3"/>
    <x v="3"/>
    <x v="2"/>
    <x v="2"/>
    <x v="4"/>
    <x v="529"/>
    <s v="Small Box"/>
    <n v="0.56999999999999995"/>
    <d v="2009-09-28T00:00:00"/>
    <n v="0"/>
    <n v="0"/>
    <n v="1"/>
    <n v="1"/>
  </r>
  <r>
    <n v="2787"/>
    <n v="20103"/>
    <x v="1030"/>
    <x v="6"/>
    <s v="Medium"/>
    <n v="30"/>
    <n v="314.93"/>
    <n v="0"/>
    <s v="Regular Air"/>
    <n v="-17.5044"/>
    <n v="9.99"/>
    <n v="6.24"/>
    <x v="575"/>
    <x v="3"/>
    <x v="3"/>
    <x v="0"/>
    <x v="1"/>
    <x v="16"/>
    <x v="1187"/>
    <s v="Medium Box"/>
    <n v="0.36"/>
    <d v="2010-02-12T00:00:00"/>
    <n v="0"/>
    <n v="0"/>
    <n v="0.5"/>
    <n v="0.5"/>
  </r>
  <r>
    <n v="2788"/>
    <n v="20103"/>
    <x v="1030"/>
    <x v="6"/>
    <s v="Medium"/>
    <n v="25"/>
    <n v="726.82"/>
    <n v="0.1"/>
    <s v="Express Air"/>
    <n v="-173.88"/>
    <n v="30.42"/>
    <n v="8.65"/>
    <x v="575"/>
    <x v="3"/>
    <x v="3"/>
    <x v="0"/>
    <x v="1"/>
    <x v="7"/>
    <x v="251"/>
    <s v="Small Box"/>
    <n v="0.74"/>
    <d v="2010-02-13T00:00:00"/>
    <n v="0"/>
    <n v="0"/>
    <n v="0.5"/>
    <n v="0.5"/>
  </r>
  <r>
    <n v="2794"/>
    <n v="20135"/>
    <x v="1217"/>
    <x v="41"/>
    <s v="Critical"/>
    <n v="44"/>
    <n v="115.24"/>
    <n v="0.03"/>
    <s v="Regular Air"/>
    <n v="43.23"/>
    <n v="2.61"/>
    <n v="0.5"/>
    <x v="574"/>
    <x v="3"/>
    <x v="3"/>
    <x v="2"/>
    <x v="0"/>
    <x v="11"/>
    <x v="281"/>
    <s v="Small Box"/>
    <n v="0.39"/>
    <d v="2009-06-30T00:00:00"/>
    <n v="0"/>
    <n v="0"/>
    <n v="0.5"/>
    <n v="0.5"/>
  </r>
  <r>
    <n v="2795"/>
    <n v="20135"/>
    <x v="1217"/>
    <x v="41"/>
    <s v="Critical"/>
    <n v="28"/>
    <n v="9601.94"/>
    <n v="0.08"/>
    <s v="Delivery Truck"/>
    <n v="2428.59"/>
    <n v="349.45"/>
    <n v="60"/>
    <x v="574"/>
    <x v="3"/>
    <x v="3"/>
    <x v="2"/>
    <x v="2"/>
    <x v="10"/>
    <x v="195"/>
    <s v="Jumbo Drum"/>
    <m/>
    <d v="2009-07-02T00:00:00"/>
    <n v="0"/>
    <n v="0"/>
    <n v="0.5"/>
    <n v="0.5"/>
  </r>
  <r>
    <n v="2798"/>
    <n v="20166"/>
    <x v="59"/>
    <x v="28"/>
    <s v="Low"/>
    <n v="6"/>
    <n v="973.86199999999997"/>
    <n v="0.1"/>
    <s v="Regular Air"/>
    <n v="-693.33"/>
    <n v="205.99"/>
    <n v="8.99"/>
    <x v="581"/>
    <x v="3"/>
    <x v="3"/>
    <x v="2"/>
    <x v="1"/>
    <x v="3"/>
    <x v="1044"/>
    <s v="Small Box"/>
    <n v="0.56000000000000005"/>
    <d v="2009-03-08T00:00:00"/>
    <n v="0"/>
    <n v="0"/>
    <n v="1"/>
    <n v="1"/>
  </r>
  <r>
    <n v="2799"/>
    <n v="20192"/>
    <x v="524"/>
    <x v="0"/>
    <s v="Low"/>
    <n v="35"/>
    <n v="1624.67"/>
    <n v="0.04"/>
    <s v="Regular Air"/>
    <n v="504.35"/>
    <n v="45.19"/>
    <n v="1.99"/>
    <x v="602"/>
    <x v="3"/>
    <x v="3"/>
    <x v="3"/>
    <x v="1"/>
    <x v="7"/>
    <x v="256"/>
    <s v="Small Pack"/>
    <n v="0.55000000000000004"/>
    <d v="2010-10-13T00:00:00"/>
    <n v="0"/>
    <n v="0"/>
    <n v="1"/>
    <n v="1"/>
  </r>
  <r>
    <n v="2804"/>
    <n v="20229"/>
    <x v="1109"/>
    <x v="19"/>
    <s v="Low"/>
    <n v="47"/>
    <n v="116.06"/>
    <n v="0.1"/>
    <s v="Regular Air"/>
    <n v="25.2"/>
    <n v="2.62"/>
    <n v="0.8"/>
    <x v="594"/>
    <x v="3"/>
    <x v="3"/>
    <x v="3"/>
    <x v="0"/>
    <x v="6"/>
    <x v="675"/>
    <s v="Wrap Bag"/>
    <n v="0.39"/>
    <d v="2009-11-06T00:00:00"/>
    <n v="0"/>
    <n v="0"/>
    <n v="1"/>
    <n v="1"/>
  </r>
  <r>
    <n v="2906"/>
    <n v="20966"/>
    <x v="1281"/>
    <x v="18"/>
    <s v="Low"/>
    <n v="10"/>
    <n v="39.42"/>
    <n v="0.06"/>
    <s v="Regular Air"/>
    <n v="7.78"/>
    <n v="3.85"/>
    <n v="0.7"/>
    <x v="600"/>
    <x v="3"/>
    <x v="3"/>
    <x v="1"/>
    <x v="0"/>
    <x v="12"/>
    <x v="901"/>
    <s v="Wrap Bag"/>
    <n v="0.44"/>
    <d v="2010-09-22T00:00:00"/>
    <n v="0"/>
    <n v="0"/>
    <n v="0.33333333333333331"/>
    <n v="0.33333333333333331"/>
  </r>
  <r>
    <n v="2907"/>
    <n v="20966"/>
    <x v="1281"/>
    <x v="18"/>
    <s v="Low"/>
    <n v="35"/>
    <n v="801.44"/>
    <n v="0.01"/>
    <s v="Regular Air"/>
    <n v="308.12"/>
    <n v="22.24"/>
    <n v="1.99"/>
    <x v="600"/>
    <x v="3"/>
    <x v="3"/>
    <x v="1"/>
    <x v="1"/>
    <x v="7"/>
    <x v="847"/>
    <s v="Small Pack"/>
    <n v="0.43"/>
    <d v="2010-09-22T00:00:00"/>
    <n v="0"/>
    <n v="0"/>
    <n v="0.33333333333333331"/>
    <n v="0.33333333333333331"/>
  </r>
  <r>
    <n v="2908"/>
    <n v="20966"/>
    <x v="1281"/>
    <x v="18"/>
    <s v="Low"/>
    <n v="22"/>
    <n v="1194.06"/>
    <n v="0.04"/>
    <s v="Regular Air"/>
    <n v="326.97000000000003"/>
    <n v="54.74"/>
    <n v="14.83"/>
    <x v="600"/>
    <x v="3"/>
    <x v="3"/>
    <x v="1"/>
    <x v="2"/>
    <x v="4"/>
    <x v="335"/>
    <s v="Small Box"/>
    <n v="0.54"/>
    <d v="2010-09-25T00:00:00"/>
    <n v="0"/>
    <n v="0"/>
    <n v="0.33333333333333331"/>
    <n v="0.33333333333333331"/>
  </r>
  <r>
    <n v="2916"/>
    <n v="21063"/>
    <x v="176"/>
    <x v="37"/>
    <s v="Low"/>
    <n v="49"/>
    <n v="377.02"/>
    <n v="0"/>
    <s v="Regular Air"/>
    <n v="84.66"/>
    <n v="7.08"/>
    <n v="2.35"/>
    <x v="600"/>
    <x v="3"/>
    <x v="3"/>
    <x v="1"/>
    <x v="0"/>
    <x v="12"/>
    <x v="174"/>
    <s v="Wrap Bag"/>
    <n v="0.47"/>
    <d v="2011-04-19T00:00:00"/>
    <n v="0"/>
    <n v="0"/>
    <n v="0.5"/>
    <n v="0.5"/>
  </r>
  <r>
    <n v="2917"/>
    <n v="21063"/>
    <x v="176"/>
    <x v="37"/>
    <s v="Low"/>
    <n v="48"/>
    <n v="7339.24"/>
    <n v="0"/>
    <s v="Delivery Truck"/>
    <n v="-279.74"/>
    <n v="145.97999999999999"/>
    <n v="51.92"/>
    <x v="600"/>
    <x v="3"/>
    <x v="3"/>
    <x v="1"/>
    <x v="2"/>
    <x v="10"/>
    <x v="726"/>
    <s v="Jumbo Box"/>
    <n v="0.69"/>
    <d v="2011-04-15T00:00:00"/>
    <n v="0"/>
    <n v="0"/>
    <n v="0.5"/>
    <n v="0.5"/>
  </r>
  <r>
    <n v="2958"/>
    <n v="21412"/>
    <x v="708"/>
    <x v="2"/>
    <s v="Not Specified"/>
    <n v="38"/>
    <n v="137.07"/>
    <n v="0.09"/>
    <s v="Regular Air"/>
    <n v="-199.29499999999999"/>
    <n v="3.52"/>
    <n v="6.83"/>
    <x v="606"/>
    <x v="3"/>
    <x v="3"/>
    <x v="3"/>
    <x v="0"/>
    <x v="2"/>
    <x v="489"/>
    <s v="Small Box"/>
    <n v="0.38"/>
    <d v="2011-07-15T00:00:00"/>
    <n v="0"/>
    <n v="0"/>
    <n v="0.5"/>
    <n v="0.5"/>
  </r>
  <r>
    <n v="2959"/>
    <n v="21412"/>
    <x v="708"/>
    <x v="2"/>
    <s v="Not Specified"/>
    <n v="28"/>
    <n v="203.99"/>
    <n v="0.02"/>
    <s v="Regular Air"/>
    <n v="-8.51"/>
    <n v="7.28"/>
    <n v="4.2300000000000004"/>
    <x v="606"/>
    <x v="3"/>
    <x v="3"/>
    <x v="3"/>
    <x v="0"/>
    <x v="5"/>
    <x v="978"/>
    <s v="Wrap Bag"/>
    <n v="0.39"/>
    <d v="2011-07-14T00:00:00"/>
    <n v="0"/>
    <n v="0"/>
    <n v="0.5"/>
    <n v="0.5"/>
  </r>
  <r>
    <n v="2964"/>
    <n v="21442"/>
    <x v="392"/>
    <x v="47"/>
    <s v="Low"/>
    <n v="48"/>
    <n v="2962.96"/>
    <n v="0.02"/>
    <s v="Delivery Truck"/>
    <n v="-612.94000000000005"/>
    <n v="58.14"/>
    <n v="36.61"/>
    <x v="605"/>
    <x v="3"/>
    <x v="3"/>
    <x v="1"/>
    <x v="2"/>
    <x v="9"/>
    <x v="126"/>
    <s v="Jumbo Box"/>
    <n v="0.61"/>
    <d v="2010-01-01T00:00:00"/>
    <n v="0"/>
    <n v="0"/>
    <n v="0.5"/>
    <n v="0.5"/>
  </r>
  <r>
    <n v="2965"/>
    <n v="21442"/>
    <x v="392"/>
    <x v="47"/>
    <s v="Low"/>
    <n v="48"/>
    <n v="782.93"/>
    <n v="0.03"/>
    <s v="Regular Air"/>
    <n v="401.07"/>
    <n v="15.57"/>
    <n v="1.39"/>
    <x v="605"/>
    <x v="3"/>
    <x v="3"/>
    <x v="1"/>
    <x v="0"/>
    <x v="8"/>
    <x v="889"/>
    <s v="Small Box"/>
    <n v="0.38"/>
    <d v="2010-01-01T00:00:00"/>
    <n v="0"/>
    <n v="0"/>
    <n v="0.5"/>
    <n v="0.5"/>
  </r>
  <r>
    <n v="2966"/>
    <n v="21444"/>
    <x v="176"/>
    <x v="37"/>
    <s v="Medium"/>
    <n v="17"/>
    <n v="34.159999999999997"/>
    <n v="0.09"/>
    <s v="Regular Air"/>
    <n v="-2.29"/>
    <n v="2.1"/>
    <n v="0.7"/>
    <x v="586"/>
    <x v="3"/>
    <x v="3"/>
    <x v="2"/>
    <x v="0"/>
    <x v="12"/>
    <x v="1145"/>
    <s v="Wrap Bag"/>
    <n v="0.56999999999999995"/>
    <d v="2011-04-16T00:00:00"/>
    <n v="0"/>
    <n v="0"/>
    <n v="1"/>
    <n v="1"/>
  </r>
  <r>
    <n v="3046"/>
    <n v="21861"/>
    <x v="60"/>
    <x v="26"/>
    <s v="Critical"/>
    <n v="5"/>
    <n v="244.9"/>
    <n v="0.06"/>
    <s v="Regular Air"/>
    <n v="-135.4"/>
    <n v="47.98"/>
    <n v="3.61"/>
    <x v="601"/>
    <x v="3"/>
    <x v="3"/>
    <x v="3"/>
    <x v="1"/>
    <x v="7"/>
    <x v="12"/>
    <s v="Small Pack"/>
    <n v="0.71"/>
    <d v="2009-08-20T00:00:00"/>
    <n v="0"/>
    <n v="0"/>
    <n v="1"/>
    <n v="1"/>
  </r>
  <r>
    <n v="3064"/>
    <n v="21956"/>
    <x v="650"/>
    <x v="44"/>
    <s v="High"/>
    <n v="2"/>
    <n v="125.273"/>
    <n v="0.02"/>
    <s v="Regular Air"/>
    <n v="-301.90599999999995"/>
    <n v="65.989999999999995"/>
    <n v="8.99"/>
    <x v="337"/>
    <x v="3"/>
    <x v="3"/>
    <x v="1"/>
    <x v="1"/>
    <x v="3"/>
    <x v="893"/>
    <s v="Small Box"/>
    <n v="0.56000000000000005"/>
    <d v="2011-02-03T00:00:00"/>
    <n v="0"/>
    <n v="0"/>
    <n v="1"/>
    <n v="0.33333333333333331"/>
  </r>
  <r>
    <n v="3073"/>
    <n v="22051"/>
    <x v="294"/>
    <x v="25"/>
    <s v="Not Specified"/>
    <n v="39"/>
    <n v="209.33"/>
    <n v="0.01"/>
    <s v="Regular Air"/>
    <n v="-160.71"/>
    <n v="4.9800000000000004"/>
    <n v="7.44"/>
    <x v="577"/>
    <x v="3"/>
    <x v="3"/>
    <x v="2"/>
    <x v="0"/>
    <x v="5"/>
    <x v="877"/>
    <s v="Small Box"/>
    <n v="0.36"/>
    <d v="2012-01-01T00:00:00"/>
    <n v="0"/>
    <n v="0"/>
    <n v="1"/>
    <n v="1"/>
  </r>
  <r>
    <n v="3078"/>
    <n v="22085"/>
    <x v="499"/>
    <x v="33"/>
    <s v="Low"/>
    <n v="41"/>
    <n v="265.61"/>
    <n v="0.1"/>
    <s v="Regular Air"/>
    <n v="-147.82"/>
    <n v="6.48"/>
    <n v="7.37"/>
    <x v="594"/>
    <x v="3"/>
    <x v="3"/>
    <x v="3"/>
    <x v="0"/>
    <x v="5"/>
    <x v="673"/>
    <s v="Small Box"/>
    <n v="0.37"/>
    <d v="2012-03-11T00:00:00"/>
    <n v="0"/>
    <n v="0"/>
    <n v="0.5"/>
    <n v="0.5"/>
  </r>
  <r>
    <n v="3079"/>
    <n v="22085"/>
    <x v="499"/>
    <x v="33"/>
    <s v="Low"/>
    <n v="27"/>
    <n v="485.03"/>
    <n v="7.0000000000000007E-2"/>
    <s v="Regular Air"/>
    <n v="-88.02"/>
    <n v="17.7"/>
    <n v="9.4700000000000006"/>
    <x v="594"/>
    <x v="3"/>
    <x v="3"/>
    <x v="3"/>
    <x v="0"/>
    <x v="0"/>
    <x v="1046"/>
    <s v="Small Box"/>
    <n v="0.59"/>
    <d v="2012-03-09T00:00:00"/>
    <n v="0"/>
    <n v="0"/>
    <n v="0.5"/>
    <n v="0.5"/>
  </r>
  <r>
    <n v="3080"/>
    <n v="22086"/>
    <x v="1282"/>
    <x v="25"/>
    <s v="Medium"/>
    <n v="21"/>
    <n v="2039.33"/>
    <n v="0.08"/>
    <s v="Delivery Truck"/>
    <n v="-862.44"/>
    <n v="95.95"/>
    <n v="74.349999999999994"/>
    <x v="607"/>
    <x v="3"/>
    <x v="3"/>
    <x v="0"/>
    <x v="2"/>
    <x v="14"/>
    <x v="34"/>
    <s v="Jumbo Drum"/>
    <n v="0.56999999999999995"/>
    <d v="2011-12-16T00:00:00"/>
    <n v="0"/>
    <n v="0"/>
    <n v="1"/>
    <n v="1"/>
  </r>
  <r>
    <n v="3084"/>
    <n v="22118"/>
    <x v="398"/>
    <x v="22"/>
    <s v="High"/>
    <n v="50"/>
    <n v="2842.54"/>
    <n v="0.05"/>
    <s v="Regular Air"/>
    <n v="1315.749"/>
    <n v="58.1"/>
    <n v="1.49"/>
    <x v="337"/>
    <x v="3"/>
    <x v="3"/>
    <x v="2"/>
    <x v="0"/>
    <x v="2"/>
    <x v="52"/>
    <s v="Small Box"/>
    <n v="0.38"/>
    <d v="2009-01-18T00:00:00"/>
    <n v="0"/>
    <n v="1"/>
    <n v="1"/>
    <n v="1"/>
  </r>
  <r>
    <n v="3107"/>
    <n v="22304"/>
    <x v="177"/>
    <x v="27"/>
    <s v="Low"/>
    <n v="24"/>
    <n v="40.24"/>
    <n v="0.1"/>
    <s v="Regular Air"/>
    <n v="-3.73"/>
    <n v="1.76"/>
    <n v="0.7"/>
    <x v="202"/>
    <x v="3"/>
    <x v="3"/>
    <x v="1"/>
    <x v="0"/>
    <x v="12"/>
    <x v="263"/>
    <s v="Wrap Bag"/>
    <n v="0.56000000000000005"/>
    <d v="2011-11-29T00:00:00"/>
    <n v="0"/>
    <n v="0"/>
    <n v="1"/>
    <n v="0.5"/>
  </r>
  <r>
    <n v="3199"/>
    <n v="22919"/>
    <x v="811"/>
    <x v="36"/>
    <s v="Critical"/>
    <n v="21"/>
    <n v="98.77"/>
    <n v="7.0000000000000007E-2"/>
    <s v="Regular Air"/>
    <n v="41.33"/>
    <n v="4.91"/>
    <n v="0.5"/>
    <x v="584"/>
    <x v="3"/>
    <x v="3"/>
    <x v="1"/>
    <x v="0"/>
    <x v="11"/>
    <x v="999"/>
    <s v="Small Box"/>
    <n v="0.36"/>
    <d v="2009-07-18T00:00:00"/>
    <n v="0"/>
    <n v="0"/>
    <n v="1"/>
    <n v="1"/>
  </r>
  <r>
    <n v="3209"/>
    <n v="23041"/>
    <x v="533"/>
    <x v="42"/>
    <s v="Low"/>
    <n v="21"/>
    <n v="173.7"/>
    <n v="0.02"/>
    <s v="Regular Air"/>
    <n v="-31.590499999999999"/>
    <n v="7.68"/>
    <n v="6.16"/>
    <x v="580"/>
    <x v="3"/>
    <x v="3"/>
    <x v="1"/>
    <x v="0"/>
    <x v="2"/>
    <x v="669"/>
    <s v="Small Box"/>
    <n v="0.35"/>
    <d v="2010-07-27T00:00:00"/>
    <n v="0"/>
    <n v="0"/>
    <n v="0.33333333333333331"/>
    <n v="0.33333333333333331"/>
  </r>
  <r>
    <n v="3210"/>
    <n v="23041"/>
    <x v="533"/>
    <x v="42"/>
    <s v="Low"/>
    <n v="5"/>
    <n v="1811.25"/>
    <n v="0.08"/>
    <s v="Regular Air"/>
    <n v="203.43900000000002"/>
    <n v="367.99"/>
    <n v="19.989999999999998"/>
    <x v="580"/>
    <x v="3"/>
    <x v="3"/>
    <x v="1"/>
    <x v="0"/>
    <x v="2"/>
    <x v="1147"/>
    <s v="Small Box"/>
    <n v="0.4"/>
    <d v="2010-07-22T00:00:00"/>
    <n v="0"/>
    <n v="0"/>
    <n v="0.33333333333333331"/>
    <n v="0.33333333333333331"/>
  </r>
  <r>
    <n v="3211"/>
    <n v="23041"/>
    <x v="533"/>
    <x v="42"/>
    <s v="Low"/>
    <n v="10"/>
    <n v="2642.95"/>
    <n v="0.08"/>
    <s v="Delivery Truck"/>
    <n v="-474.49"/>
    <n v="262.11"/>
    <n v="62.74"/>
    <x v="580"/>
    <x v="3"/>
    <x v="3"/>
    <x v="1"/>
    <x v="2"/>
    <x v="10"/>
    <x v="89"/>
    <s v="Jumbo Box"/>
    <n v="0.75"/>
    <d v="2010-07-27T00:00:00"/>
    <n v="0"/>
    <n v="0"/>
    <n v="0.33333333333333331"/>
    <n v="0.33333333333333331"/>
  </r>
  <r>
    <n v="3239"/>
    <n v="23232"/>
    <x v="652"/>
    <x v="24"/>
    <s v="High"/>
    <n v="15"/>
    <n v="614.15"/>
    <n v="0.03"/>
    <s v="Express Air"/>
    <n v="-54.37"/>
    <n v="39.979999999999997"/>
    <n v="7.12"/>
    <x v="571"/>
    <x v="3"/>
    <x v="3"/>
    <x v="3"/>
    <x v="1"/>
    <x v="7"/>
    <x v="830"/>
    <s v="Small Box"/>
    <n v="0.67"/>
    <d v="2010-04-17T00:00:00"/>
    <n v="0"/>
    <n v="0"/>
    <n v="0.33333333333333331"/>
    <n v="0.33333333333333331"/>
  </r>
  <r>
    <n v="3240"/>
    <n v="23232"/>
    <x v="652"/>
    <x v="24"/>
    <s v="High"/>
    <n v="31"/>
    <n v="154.24"/>
    <n v="0.03"/>
    <s v="Regular Air"/>
    <n v="68.88"/>
    <n v="4.9800000000000004"/>
    <n v="0.49"/>
    <x v="571"/>
    <x v="3"/>
    <x v="3"/>
    <x v="3"/>
    <x v="0"/>
    <x v="11"/>
    <x v="651"/>
    <s v="Small Box"/>
    <n v="0.39"/>
    <d v="2010-04-17T00:00:00"/>
    <n v="0"/>
    <n v="0"/>
    <n v="0.33333333333333331"/>
    <n v="0.33333333333333331"/>
  </r>
  <r>
    <n v="3241"/>
    <n v="23232"/>
    <x v="652"/>
    <x v="24"/>
    <s v="High"/>
    <n v="20"/>
    <n v="140.31"/>
    <n v="0.06"/>
    <s v="Regular Air"/>
    <n v="-94.11"/>
    <n v="6.48"/>
    <n v="8.74"/>
    <x v="571"/>
    <x v="3"/>
    <x v="3"/>
    <x v="3"/>
    <x v="0"/>
    <x v="5"/>
    <x v="911"/>
    <s v="Small Box"/>
    <n v="0.36"/>
    <d v="2010-04-16T00:00:00"/>
    <n v="0"/>
    <n v="0"/>
    <n v="0.33333333333333331"/>
    <n v="0.33333333333333331"/>
  </r>
  <r>
    <n v="3248"/>
    <n v="23270"/>
    <x v="951"/>
    <x v="5"/>
    <s v="Low"/>
    <n v="20"/>
    <n v="1460.42"/>
    <n v="0.04"/>
    <s v="Delivery Truck"/>
    <n v="-441.44"/>
    <n v="68.81"/>
    <n v="60"/>
    <x v="581"/>
    <x v="3"/>
    <x v="3"/>
    <x v="3"/>
    <x v="0"/>
    <x v="1"/>
    <x v="459"/>
    <s v="Jumbo Drum"/>
    <n v="0.41"/>
    <d v="2011-03-17T00:00:00"/>
    <n v="0"/>
    <n v="0"/>
    <n v="0.5"/>
    <n v="0.5"/>
  </r>
  <r>
    <n v="3249"/>
    <n v="23270"/>
    <x v="951"/>
    <x v="5"/>
    <s v="Low"/>
    <n v="42"/>
    <n v="6659.7415000000001"/>
    <n v="0.05"/>
    <s v="Express Air"/>
    <n v="1647.7469999999998"/>
    <n v="195.99"/>
    <n v="3.99"/>
    <x v="581"/>
    <x v="3"/>
    <x v="3"/>
    <x v="3"/>
    <x v="1"/>
    <x v="3"/>
    <x v="193"/>
    <s v="Small Box"/>
    <n v="0.59"/>
    <d v="2011-03-18T00:00:00"/>
    <n v="0"/>
    <n v="0"/>
    <n v="0.5"/>
    <n v="0.5"/>
  </r>
  <r>
    <n v="3305"/>
    <n v="23618"/>
    <x v="1283"/>
    <x v="32"/>
    <s v="Medium"/>
    <n v="45"/>
    <n v="2601.7904999999996"/>
    <n v="0.02"/>
    <s v="Regular Air"/>
    <n v="748.197"/>
    <n v="65.989999999999995"/>
    <n v="5.26"/>
    <x v="590"/>
    <x v="3"/>
    <x v="3"/>
    <x v="1"/>
    <x v="1"/>
    <x v="3"/>
    <x v="266"/>
    <s v="Small Box"/>
    <n v="0.56000000000000005"/>
    <d v="2012-11-29T00:00:00"/>
    <n v="0"/>
    <n v="0"/>
    <n v="1"/>
    <n v="1"/>
  </r>
  <r>
    <n v="3358"/>
    <n v="24033"/>
    <x v="504"/>
    <x v="16"/>
    <s v="High"/>
    <n v="50"/>
    <n v="1227.18"/>
    <n v="0"/>
    <s v="Delivery Truck"/>
    <n v="-252.53"/>
    <n v="23.99"/>
    <n v="15.68"/>
    <x v="582"/>
    <x v="3"/>
    <x v="3"/>
    <x v="1"/>
    <x v="2"/>
    <x v="4"/>
    <x v="1001"/>
    <s v="Jumbo Drum"/>
    <n v="0.62"/>
    <d v="2011-01-04T00:00:00"/>
    <n v="0"/>
    <n v="0"/>
    <n v="1"/>
    <n v="0.5"/>
  </r>
  <r>
    <n v="3363"/>
    <n v="24066"/>
    <x v="584"/>
    <x v="13"/>
    <s v="High"/>
    <n v="30"/>
    <n v="4278.6099999999997"/>
    <n v="7.0000000000000007E-2"/>
    <s v="Delivery Truck"/>
    <n v="-955.56"/>
    <n v="150.97999999999999"/>
    <n v="66.27"/>
    <x v="594"/>
    <x v="3"/>
    <x v="3"/>
    <x v="3"/>
    <x v="2"/>
    <x v="9"/>
    <x v="207"/>
    <s v="Jumbo Box"/>
    <n v="0.65"/>
    <d v="2012-04-15T00:00:00"/>
    <n v="0"/>
    <n v="0"/>
    <n v="1"/>
    <n v="1"/>
  </r>
  <r>
    <n v="3390"/>
    <n v="24162"/>
    <x v="1073"/>
    <x v="26"/>
    <s v="Not Specified"/>
    <n v="1"/>
    <n v="10.94"/>
    <n v="0.08"/>
    <s v="Regular Air"/>
    <n v="-4.3499999999999996"/>
    <n v="9.68"/>
    <n v="2.0299999999999998"/>
    <x v="572"/>
    <x v="3"/>
    <x v="3"/>
    <x v="0"/>
    <x v="0"/>
    <x v="5"/>
    <x v="849"/>
    <s v="Wrap Bag"/>
    <n v="0.37"/>
    <d v="2009-08-24T00:00:00"/>
    <n v="0"/>
    <n v="0"/>
    <n v="0.5"/>
    <n v="0.5"/>
  </r>
  <r>
    <n v="3391"/>
    <n v="24162"/>
    <x v="1073"/>
    <x v="26"/>
    <s v="Not Specified"/>
    <n v="12"/>
    <n v="1755.3"/>
    <n v="0.04"/>
    <s v="Delivery Truck"/>
    <n v="-7.0099999999999909"/>
    <n v="150.97999999999999"/>
    <n v="16.010000000000002"/>
    <x v="572"/>
    <x v="3"/>
    <x v="3"/>
    <x v="0"/>
    <x v="2"/>
    <x v="10"/>
    <x v="1025"/>
    <s v="Jumbo Box"/>
    <n v="0.7"/>
    <d v="2009-08-23T00:00:00"/>
    <n v="0"/>
    <n v="0"/>
    <n v="0.5"/>
    <n v="0.5"/>
  </r>
  <r>
    <n v="3412"/>
    <n v="24384"/>
    <x v="179"/>
    <x v="5"/>
    <s v="Medium"/>
    <n v="44"/>
    <n v="205.11"/>
    <n v="0.06"/>
    <s v="Regular Air"/>
    <n v="95.52"/>
    <n v="4.91"/>
    <n v="0.5"/>
    <x v="576"/>
    <x v="3"/>
    <x v="3"/>
    <x v="1"/>
    <x v="0"/>
    <x v="11"/>
    <x v="999"/>
    <s v="Small Box"/>
    <n v="0.36"/>
    <d v="2011-03-28T00:00:00"/>
    <n v="0"/>
    <n v="0"/>
    <n v="0.33333333333333331"/>
    <n v="0.33333333333333331"/>
  </r>
  <r>
    <n v="3413"/>
    <n v="24384"/>
    <x v="179"/>
    <x v="5"/>
    <s v="Medium"/>
    <n v="21"/>
    <n v="3981.23"/>
    <n v="7.0000000000000007E-2"/>
    <s v="Regular Air"/>
    <n v="294.94"/>
    <n v="193.17"/>
    <n v="19.989999999999998"/>
    <x v="576"/>
    <x v="3"/>
    <x v="3"/>
    <x v="1"/>
    <x v="0"/>
    <x v="0"/>
    <x v="219"/>
    <s v="Small Box"/>
    <n v="0.71"/>
    <d v="2011-03-28T00:00:00"/>
    <n v="0"/>
    <n v="0"/>
    <n v="0.33333333333333331"/>
    <n v="0.33333333333333331"/>
  </r>
  <r>
    <n v="3414"/>
    <n v="24384"/>
    <x v="179"/>
    <x v="5"/>
    <s v="Medium"/>
    <n v="20"/>
    <n v="2458.2425000000003"/>
    <n v="0.1"/>
    <s v="Regular Air"/>
    <n v="110.538"/>
    <n v="155.99"/>
    <n v="8.99"/>
    <x v="576"/>
    <x v="3"/>
    <x v="3"/>
    <x v="1"/>
    <x v="1"/>
    <x v="3"/>
    <x v="554"/>
    <s v="Small Box"/>
    <n v="0.57999999999999996"/>
    <d v="2011-03-28T00:00:00"/>
    <n v="0"/>
    <n v="0"/>
    <n v="0.33333333333333331"/>
    <n v="0.33333333333333331"/>
  </r>
  <r>
    <n v="3424"/>
    <n v="24448"/>
    <x v="659"/>
    <x v="12"/>
    <s v="High"/>
    <n v="46"/>
    <n v="11036.16"/>
    <n v="0.05"/>
    <s v="Delivery Truck"/>
    <n v="1187.8"/>
    <n v="236.97"/>
    <n v="59.24"/>
    <x v="58"/>
    <x v="3"/>
    <x v="3"/>
    <x v="2"/>
    <x v="2"/>
    <x v="10"/>
    <x v="871"/>
    <s v="Jumbo Box"/>
    <n v="0.61"/>
    <d v="2012-02-08T00:00:00"/>
    <n v="0"/>
    <n v="0"/>
    <n v="1"/>
    <n v="1"/>
  </r>
  <r>
    <n v="3429"/>
    <n v="24452"/>
    <x v="1195"/>
    <x v="43"/>
    <s v="High"/>
    <n v="18"/>
    <n v="115.71"/>
    <n v="0.08"/>
    <s v="Regular Air"/>
    <n v="-91.61"/>
    <n v="6.48"/>
    <n v="8.4"/>
    <x v="570"/>
    <x v="3"/>
    <x v="3"/>
    <x v="1"/>
    <x v="0"/>
    <x v="5"/>
    <x v="836"/>
    <s v="Small Box"/>
    <n v="0.37"/>
    <d v="2009-05-07T00:00:00"/>
    <n v="0"/>
    <n v="0"/>
    <n v="1"/>
    <n v="1"/>
  </r>
  <r>
    <n v="3436"/>
    <n v="24544"/>
    <x v="452"/>
    <x v="22"/>
    <s v="High"/>
    <n v="31"/>
    <n v="4587.3"/>
    <n v="0.08"/>
    <s v="Express Air"/>
    <n v="1771.15"/>
    <n v="150.97999999999999"/>
    <n v="13.99"/>
    <x v="151"/>
    <x v="3"/>
    <x v="3"/>
    <x v="2"/>
    <x v="1"/>
    <x v="16"/>
    <x v="221"/>
    <s v="Medium Box"/>
    <n v="0.38"/>
    <d v="2009-01-27T00:00:00"/>
    <n v="0"/>
    <n v="1"/>
    <n v="0.33333333333333331"/>
    <n v="0.25"/>
  </r>
  <r>
    <n v="3437"/>
    <n v="24544"/>
    <x v="452"/>
    <x v="22"/>
    <s v="High"/>
    <n v="15"/>
    <n v="403.71"/>
    <n v="0.03"/>
    <s v="Delivery Truck"/>
    <n v="-97.47"/>
    <n v="25.98"/>
    <n v="14.36"/>
    <x v="151"/>
    <x v="3"/>
    <x v="3"/>
    <x v="2"/>
    <x v="2"/>
    <x v="14"/>
    <x v="170"/>
    <s v="Jumbo Drum"/>
    <n v="0.6"/>
    <d v="2009-01-27T00:00:00"/>
    <n v="0"/>
    <n v="1"/>
    <n v="0.33333333333333331"/>
    <n v="0.25"/>
  </r>
  <r>
    <n v="3438"/>
    <n v="24544"/>
    <x v="452"/>
    <x v="22"/>
    <s v="High"/>
    <n v="39"/>
    <n v="1243.45"/>
    <n v="0.1"/>
    <s v="Regular Air"/>
    <n v="-1212.55"/>
    <n v="32.479999999999997"/>
    <n v="35"/>
    <x v="151"/>
    <x v="3"/>
    <x v="3"/>
    <x v="2"/>
    <x v="0"/>
    <x v="0"/>
    <x v="358"/>
    <s v="Large Box"/>
    <n v="0.81"/>
    <d v="2009-01-27T00:00:00"/>
    <n v="0"/>
    <n v="1"/>
    <n v="0.33333333333333331"/>
    <n v="0.25"/>
  </r>
  <r>
    <n v="3489"/>
    <n v="24865"/>
    <x v="497"/>
    <x v="33"/>
    <s v="High"/>
    <n v="46"/>
    <n v="175.23"/>
    <n v="0.04"/>
    <s v="Regular Air"/>
    <n v="-13.35"/>
    <n v="3.69"/>
    <n v="2.5"/>
    <x v="570"/>
    <x v="3"/>
    <x v="3"/>
    <x v="1"/>
    <x v="0"/>
    <x v="8"/>
    <x v="500"/>
    <s v="Small Box"/>
    <n v="0.39"/>
    <d v="2012-03-20T00:00:00"/>
    <n v="0"/>
    <n v="0"/>
    <n v="1"/>
    <n v="1"/>
  </r>
  <r>
    <n v="3495"/>
    <n v="24902"/>
    <x v="1108"/>
    <x v="39"/>
    <s v="High"/>
    <n v="43"/>
    <n v="224.58"/>
    <n v="0.03"/>
    <s v="Regular Air"/>
    <n v="46.31"/>
    <n v="5.18"/>
    <n v="2.04"/>
    <x v="600"/>
    <x v="3"/>
    <x v="3"/>
    <x v="1"/>
    <x v="0"/>
    <x v="5"/>
    <x v="267"/>
    <s v="Wrap Bag"/>
    <n v="0.36"/>
    <d v="2010-05-28T00:00:00"/>
    <n v="0"/>
    <n v="0"/>
    <n v="1"/>
    <n v="1"/>
  </r>
  <r>
    <n v="3555"/>
    <n v="25348"/>
    <x v="1284"/>
    <x v="20"/>
    <s v="Critical"/>
    <n v="6"/>
    <n v="343.36"/>
    <n v="0.08"/>
    <s v="Regular Air"/>
    <n v="-41.27"/>
    <n v="56.96"/>
    <n v="13.22"/>
    <x v="583"/>
    <x v="3"/>
    <x v="3"/>
    <x v="0"/>
    <x v="0"/>
    <x v="1"/>
    <x v="407"/>
    <s v="Small Box"/>
    <n v="0.56000000000000005"/>
    <d v="2012-05-11T00:00:00"/>
    <n v="0"/>
    <n v="0"/>
    <n v="0.5"/>
    <n v="0.5"/>
  </r>
  <r>
    <n v="3556"/>
    <n v="25348"/>
    <x v="1284"/>
    <x v="20"/>
    <s v="Critical"/>
    <n v="7"/>
    <n v="309.22149999999999"/>
    <n v="0.09"/>
    <s v="Regular Air"/>
    <n v="-68.299000000000007"/>
    <n v="55.99"/>
    <n v="1.25"/>
    <x v="583"/>
    <x v="3"/>
    <x v="3"/>
    <x v="0"/>
    <x v="1"/>
    <x v="3"/>
    <x v="733"/>
    <s v="Small Pack"/>
    <n v="0.35"/>
    <d v="2012-05-11T00:00:00"/>
    <n v="0"/>
    <n v="0"/>
    <n v="0.5"/>
    <n v="0.5"/>
  </r>
  <r>
    <n v="3557"/>
    <n v="25350"/>
    <x v="387"/>
    <x v="15"/>
    <s v="Not Specified"/>
    <n v="30"/>
    <n v="2477.9899999999998"/>
    <n v="0"/>
    <s v="Regular Air"/>
    <n v="747.68"/>
    <n v="80.98"/>
    <n v="4.5"/>
    <x v="537"/>
    <x v="3"/>
    <x v="3"/>
    <x v="3"/>
    <x v="0"/>
    <x v="1"/>
    <x v="998"/>
    <s v="Small Box"/>
    <n v="0.59"/>
    <d v="2010-12-05T00:00:00"/>
    <n v="0"/>
    <n v="0"/>
    <n v="0.5"/>
    <n v="0.5"/>
  </r>
  <r>
    <n v="3558"/>
    <n v="25350"/>
    <x v="387"/>
    <x v="15"/>
    <s v="Not Specified"/>
    <n v="23"/>
    <n v="48.83"/>
    <n v="0.06"/>
    <s v="Regular Air"/>
    <n v="1"/>
    <n v="2.1"/>
    <n v="0.7"/>
    <x v="537"/>
    <x v="3"/>
    <x v="3"/>
    <x v="3"/>
    <x v="0"/>
    <x v="12"/>
    <x v="1145"/>
    <s v="Wrap Bag"/>
    <n v="0.56999999999999995"/>
    <d v="2010-12-05T00:00:00"/>
    <n v="0"/>
    <n v="0"/>
    <n v="0.5"/>
    <n v="0.5"/>
  </r>
  <r>
    <n v="3582"/>
    <n v="25541"/>
    <x v="1113"/>
    <x v="22"/>
    <s v="Low"/>
    <n v="50"/>
    <n v="297.76"/>
    <n v="7.0000000000000007E-2"/>
    <s v="Regular Air"/>
    <n v="-111.34"/>
    <n v="5.98"/>
    <n v="5.79"/>
    <x v="600"/>
    <x v="3"/>
    <x v="3"/>
    <x v="1"/>
    <x v="0"/>
    <x v="5"/>
    <x v="723"/>
    <s v="Small Box"/>
    <n v="0.36"/>
    <d v="2009-01-15T00:00:00"/>
    <n v="0"/>
    <n v="1"/>
    <n v="1"/>
    <n v="1"/>
  </r>
  <r>
    <n v="3588"/>
    <n v="25601"/>
    <x v="272"/>
    <x v="22"/>
    <s v="Medium"/>
    <n v="43"/>
    <n v="257.41000000000003"/>
    <n v="0.09"/>
    <s v="Regular Air"/>
    <n v="-131.08000000000001"/>
    <n v="5.98"/>
    <n v="4.6900000000000004"/>
    <x v="573"/>
    <x v="3"/>
    <x v="3"/>
    <x v="2"/>
    <x v="0"/>
    <x v="0"/>
    <x v="379"/>
    <s v="Small Box"/>
    <n v="0.68"/>
    <d v="2009-01-06T00:00:00"/>
    <n v="0"/>
    <n v="1"/>
    <n v="1"/>
    <n v="1"/>
  </r>
  <r>
    <n v="3615"/>
    <n v="25828"/>
    <x v="7"/>
    <x v="7"/>
    <s v="Not Specified"/>
    <n v="35"/>
    <n v="241.43"/>
    <n v="0.01"/>
    <s v="Regular Air"/>
    <n v="-65.8"/>
    <n v="6.84"/>
    <n v="4.42"/>
    <x v="403"/>
    <x v="3"/>
    <x v="3"/>
    <x v="0"/>
    <x v="0"/>
    <x v="15"/>
    <x v="990"/>
    <s v="Small Pack"/>
    <n v="0.57999999999999996"/>
    <d v="2010-11-25T00:00:00"/>
    <n v="0"/>
    <n v="0"/>
    <n v="0.33333333333333331"/>
    <n v="0.33333333333333331"/>
  </r>
  <r>
    <n v="3656"/>
    <n v="26176"/>
    <x v="142"/>
    <x v="27"/>
    <s v="High"/>
    <n v="14"/>
    <n v="94.32"/>
    <n v="0.06"/>
    <s v="Regular Air"/>
    <n v="-66.87"/>
    <n v="6.48"/>
    <n v="8.19"/>
    <x v="449"/>
    <x v="3"/>
    <x v="3"/>
    <x v="3"/>
    <x v="0"/>
    <x v="5"/>
    <x v="77"/>
    <s v="Small Box"/>
    <n v="0.37"/>
    <d v="2011-11-21T00:00:00"/>
    <n v="0"/>
    <n v="0"/>
    <n v="0.5"/>
    <n v="0.5"/>
  </r>
  <r>
    <n v="3657"/>
    <n v="26176"/>
    <x v="142"/>
    <x v="27"/>
    <s v="High"/>
    <n v="30"/>
    <n v="554.42949999999996"/>
    <n v="0.03"/>
    <s v="Regular Air"/>
    <n v="34.010999999999996"/>
    <n v="20.99"/>
    <n v="4.8099999999999996"/>
    <x v="449"/>
    <x v="3"/>
    <x v="3"/>
    <x v="3"/>
    <x v="1"/>
    <x v="3"/>
    <x v="591"/>
    <s v="Medium Box"/>
    <n v="0.57999999999999996"/>
    <d v="2011-11-20T00:00:00"/>
    <n v="0"/>
    <n v="0"/>
    <n v="0.5"/>
    <n v="0.5"/>
  </r>
  <r>
    <n v="3682"/>
    <n v="26337"/>
    <x v="1285"/>
    <x v="11"/>
    <s v="Critical"/>
    <n v="45"/>
    <n v="153.27000000000001"/>
    <n v="0.08"/>
    <s v="Regular Air"/>
    <n v="60.29"/>
    <n v="3.69"/>
    <n v="0.5"/>
    <x v="57"/>
    <x v="3"/>
    <x v="3"/>
    <x v="0"/>
    <x v="0"/>
    <x v="11"/>
    <x v="98"/>
    <s v="Small Box"/>
    <n v="0.38"/>
    <d v="2009-11-10T00:00:00"/>
    <n v="0"/>
    <n v="0"/>
    <n v="1"/>
    <n v="1"/>
  </r>
  <r>
    <n v="3712"/>
    <n v="26503"/>
    <x v="1106"/>
    <x v="37"/>
    <s v="Medium"/>
    <n v="47"/>
    <n v="671.78"/>
    <n v="0.1"/>
    <s v="Regular Air"/>
    <n v="297.23"/>
    <n v="15.57"/>
    <n v="1.39"/>
    <x v="575"/>
    <x v="3"/>
    <x v="3"/>
    <x v="0"/>
    <x v="0"/>
    <x v="8"/>
    <x v="889"/>
    <s v="Small Box"/>
    <n v="0.38"/>
    <d v="2011-04-23T00:00:00"/>
    <n v="0"/>
    <n v="0"/>
    <n v="0.5"/>
    <n v="0.5"/>
  </r>
  <r>
    <n v="3713"/>
    <n v="26503"/>
    <x v="1106"/>
    <x v="37"/>
    <s v="Medium"/>
    <n v="12"/>
    <n v="262.08999999999997"/>
    <n v="0.01"/>
    <s v="Regular Air"/>
    <n v="58.69"/>
    <n v="19.98"/>
    <n v="10.49"/>
    <x v="575"/>
    <x v="3"/>
    <x v="3"/>
    <x v="0"/>
    <x v="2"/>
    <x v="4"/>
    <x v="66"/>
    <s v="Small Box"/>
    <n v="0.49"/>
    <d v="2011-04-22T00:00:00"/>
    <n v="0"/>
    <n v="0"/>
    <n v="0.5"/>
    <n v="0.5"/>
  </r>
  <r>
    <n v="3728"/>
    <n v="26657"/>
    <x v="1286"/>
    <x v="34"/>
    <s v="Medium"/>
    <n v="28"/>
    <n v="1107.6400000000001"/>
    <n v="0.06"/>
    <s v="Regular Air"/>
    <n v="333.17450000000002"/>
    <n v="40.98"/>
    <n v="7.47"/>
    <x v="537"/>
    <x v="3"/>
    <x v="3"/>
    <x v="3"/>
    <x v="0"/>
    <x v="2"/>
    <x v="447"/>
    <s v="Small Box"/>
    <n v="0.37"/>
    <d v="2012-10-01T00:00:00"/>
    <n v="0"/>
    <n v="0"/>
    <n v="1"/>
    <n v="1"/>
  </r>
  <r>
    <n v="3752"/>
    <n v="26787"/>
    <x v="1135"/>
    <x v="31"/>
    <s v="High"/>
    <n v="25"/>
    <n v="1119.9100000000001"/>
    <n v="0.08"/>
    <s v="Express Air"/>
    <n v="434.71"/>
    <n v="48.04"/>
    <n v="5.79"/>
    <x v="607"/>
    <x v="3"/>
    <x v="3"/>
    <x v="0"/>
    <x v="0"/>
    <x v="5"/>
    <x v="728"/>
    <s v="Small Box"/>
    <n v="0.37"/>
    <d v="2011-09-21T00:00:00"/>
    <n v="0"/>
    <n v="0"/>
    <n v="1"/>
    <n v="1"/>
  </r>
  <r>
    <n v="3769"/>
    <n v="26919"/>
    <x v="468"/>
    <x v="45"/>
    <s v="Low"/>
    <n v="12"/>
    <n v="3534.56"/>
    <n v="0.03"/>
    <s v="Regular Air"/>
    <n v="763.32"/>
    <n v="300.64999999999998"/>
    <n v="24.49"/>
    <x v="581"/>
    <x v="3"/>
    <x v="3"/>
    <x v="3"/>
    <x v="0"/>
    <x v="1"/>
    <x v="255"/>
    <s v="Large Box"/>
    <n v="0.52"/>
    <d v="2012-12-12T00:00:00"/>
    <n v="0"/>
    <n v="0"/>
    <n v="0.5"/>
    <n v="0.5"/>
  </r>
  <r>
    <n v="3770"/>
    <n v="26919"/>
    <x v="468"/>
    <x v="45"/>
    <s v="Low"/>
    <n v="32"/>
    <n v="155.27000000000001"/>
    <n v="0.1"/>
    <s v="Regular Air"/>
    <n v="-151.55000000000001"/>
    <n v="4.9800000000000004"/>
    <n v="7.54"/>
    <x v="581"/>
    <x v="3"/>
    <x v="3"/>
    <x v="3"/>
    <x v="0"/>
    <x v="5"/>
    <x v="1078"/>
    <s v="Small Box"/>
    <n v="0.38"/>
    <d v="2012-12-12T00:00:00"/>
    <n v="0"/>
    <n v="0"/>
    <n v="0.5"/>
    <n v="0.5"/>
  </r>
  <r>
    <n v="3772"/>
    <n v="26945"/>
    <x v="440"/>
    <x v="40"/>
    <s v="Critical"/>
    <n v="29"/>
    <n v="221.33"/>
    <n v="0"/>
    <s v="Regular Air"/>
    <n v="77.33"/>
    <n v="7.28"/>
    <n v="1.77"/>
    <x v="581"/>
    <x v="3"/>
    <x v="3"/>
    <x v="3"/>
    <x v="0"/>
    <x v="5"/>
    <x v="1114"/>
    <s v="Wrap Bag"/>
    <n v="0.37"/>
    <d v="2009-02-05T00:00:00"/>
    <n v="0"/>
    <n v="0"/>
    <n v="1"/>
    <n v="0.33333333333333331"/>
  </r>
  <r>
    <n v="3839"/>
    <n v="27364"/>
    <x v="890"/>
    <x v="10"/>
    <s v="Medium"/>
    <n v="25"/>
    <n v="74.069999999999993"/>
    <n v="0.04"/>
    <s v="Regular Air"/>
    <n v="4.3689999999999998"/>
    <n v="2.88"/>
    <n v="1.49"/>
    <x v="202"/>
    <x v="3"/>
    <x v="3"/>
    <x v="2"/>
    <x v="0"/>
    <x v="2"/>
    <x v="612"/>
    <s v="Small Box"/>
    <n v="0.36"/>
    <d v="2011-05-22T00:00:00"/>
    <n v="0"/>
    <n v="0"/>
    <n v="0.5"/>
    <n v="0.5"/>
  </r>
  <r>
    <n v="3840"/>
    <n v="27364"/>
    <x v="890"/>
    <x v="10"/>
    <s v="Medium"/>
    <n v="29"/>
    <n v="1529.0565000000001"/>
    <n v="0.06"/>
    <s v="Regular Air"/>
    <n v="201.726"/>
    <n v="65.989999999999995"/>
    <n v="3.99"/>
    <x v="202"/>
    <x v="3"/>
    <x v="3"/>
    <x v="2"/>
    <x v="1"/>
    <x v="3"/>
    <x v="440"/>
    <s v="Small Box"/>
    <n v="0.59"/>
    <d v="2011-05-22T00:00:00"/>
    <n v="0"/>
    <n v="0"/>
    <n v="0.5"/>
    <n v="0.5"/>
  </r>
  <r>
    <n v="3848"/>
    <n v="27460"/>
    <x v="429"/>
    <x v="43"/>
    <s v="Not Specified"/>
    <n v="7"/>
    <n v="855.03"/>
    <n v="0.08"/>
    <s v="Regular Air"/>
    <n v="-1.6800000000000068"/>
    <n v="128.24"/>
    <n v="12.65"/>
    <x v="591"/>
    <x v="3"/>
    <x v="3"/>
    <x v="2"/>
    <x v="2"/>
    <x v="14"/>
    <x v="410"/>
    <s v="Medium Box"/>
    <m/>
    <d v="2009-05-13T00:00:00"/>
    <n v="0"/>
    <n v="0"/>
    <n v="0.5"/>
    <n v="0.5"/>
  </r>
  <r>
    <n v="3849"/>
    <n v="27460"/>
    <x v="429"/>
    <x v="43"/>
    <s v="Not Specified"/>
    <n v="31"/>
    <n v="196.58"/>
    <n v="0.04"/>
    <s v="Regular Air"/>
    <n v="-102.16"/>
    <n v="5.98"/>
    <n v="4.38"/>
    <x v="591"/>
    <x v="3"/>
    <x v="3"/>
    <x v="2"/>
    <x v="1"/>
    <x v="7"/>
    <x v="29"/>
    <s v="Small Pack"/>
    <n v="0.75"/>
    <d v="2009-05-14T00:00:00"/>
    <n v="0"/>
    <n v="0"/>
    <n v="0.5"/>
    <n v="0.5"/>
  </r>
  <r>
    <n v="3881"/>
    <n v="27717"/>
    <x v="1052"/>
    <x v="17"/>
    <s v="Critical"/>
    <n v="19"/>
    <n v="75.19"/>
    <n v="0.05"/>
    <s v="Regular Air"/>
    <n v="-93.67"/>
    <n v="3.75"/>
    <n v="7.5"/>
    <x v="603"/>
    <x v="3"/>
    <x v="3"/>
    <x v="2"/>
    <x v="0"/>
    <x v="11"/>
    <x v="1204"/>
    <s v="Small Box"/>
    <n v="0.37"/>
    <d v="2011-10-29T00:00:00"/>
    <n v="0"/>
    <n v="0"/>
    <n v="1"/>
    <n v="1"/>
  </r>
  <r>
    <n v="3890"/>
    <n v="27778"/>
    <x v="163"/>
    <x v="31"/>
    <s v="Critical"/>
    <n v="10"/>
    <n v="6350.29"/>
    <n v="0.02"/>
    <s v="Regular Air"/>
    <n v="-735.97"/>
    <n v="599.99"/>
    <n v="24.49"/>
    <x v="58"/>
    <x v="3"/>
    <x v="3"/>
    <x v="2"/>
    <x v="1"/>
    <x v="13"/>
    <x v="984"/>
    <s v="Large Box"/>
    <n v="0.5"/>
    <d v="2011-09-04T00:00:00"/>
    <n v="0"/>
    <n v="0"/>
    <n v="0.33333333333333331"/>
    <n v="0.33333333333333331"/>
  </r>
  <r>
    <n v="3916"/>
    <n v="27936"/>
    <x v="1223"/>
    <x v="2"/>
    <s v="High"/>
    <n v="23"/>
    <n v="1028.1600000000001"/>
    <n v="7.0000000000000007E-2"/>
    <s v="Regular Air"/>
    <n v="405.16200000000003"/>
    <n v="55.99"/>
    <n v="1.25"/>
    <x v="584"/>
    <x v="3"/>
    <x v="3"/>
    <x v="1"/>
    <x v="1"/>
    <x v="3"/>
    <x v="733"/>
    <s v="Small Pack"/>
    <n v="0.35"/>
    <d v="2011-07-09T00:00:00"/>
    <n v="0"/>
    <n v="0"/>
    <n v="0.5"/>
    <n v="0.5"/>
  </r>
  <r>
    <n v="3957"/>
    <n v="28228"/>
    <x v="608"/>
    <x v="29"/>
    <s v="Not Specified"/>
    <n v="5"/>
    <n v="346.23"/>
    <n v="0"/>
    <s v="Regular Air"/>
    <n v="8.4600000000000009"/>
    <n v="60.98"/>
    <n v="19.989999999999998"/>
    <x v="592"/>
    <x v="3"/>
    <x v="3"/>
    <x v="0"/>
    <x v="0"/>
    <x v="8"/>
    <x v="600"/>
    <s v="Small Box"/>
    <n v="0.38"/>
    <d v="2012-07-12T00:00:00"/>
    <n v="0"/>
    <n v="0"/>
    <n v="1"/>
    <n v="0.33333333333333331"/>
  </r>
  <r>
    <n v="3961"/>
    <n v="28259"/>
    <x v="669"/>
    <x v="11"/>
    <s v="High"/>
    <n v="22"/>
    <n v="249.24"/>
    <n v="0.06"/>
    <s v="Regular Air"/>
    <n v="-92.1"/>
    <n v="10.97"/>
    <n v="6.5"/>
    <x v="605"/>
    <x v="3"/>
    <x v="3"/>
    <x v="1"/>
    <x v="1"/>
    <x v="7"/>
    <x v="217"/>
    <s v="Small Box"/>
    <n v="0.64"/>
    <d v="2009-11-06T00:00:00"/>
    <n v="0"/>
    <n v="0"/>
    <n v="1"/>
    <n v="1"/>
  </r>
  <r>
    <n v="3979"/>
    <n v="28419"/>
    <x v="1012"/>
    <x v="19"/>
    <s v="Low"/>
    <n v="9"/>
    <n v="133.85"/>
    <n v="0.03"/>
    <s v="Express Air"/>
    <n v="-5.28"/>
    <n v="13.48"/>
    <n v="4.51"/>
    <x v="608"/>
    <x v="3"/>
    <x v="3"/>
    <x v="1"/>
    <x v="0"/>
    <x v="0"/>
    <x v="27"/>
    <s v="Small Box"/>
    <n v="0.59"/>
    <d v="2009-11-04T00:00:00"/>
    <n v="0"/>
    <n v="0"/>
    <n v="1"/>
    <n v="0.5"/>
  </r>
  <r>
    <n v="4010"/>
    <n v="28614"/>
    <x v="1287"/>
    <x v="19"/>
    <s v="Critical"/>
    <n v="50"/>
    <n v="7827.51"/>
    <n v="0.05"/>
    <s v="Regular Air"/>
    <n v="2992.8"/>
    <n v="159.99"/>
    <n v="5.5"/>
    <x v="151"/>
    <x v="3"/>
    <x v="3"/>
    <x v="1"/>
    <x v="1"/>
    <x v="7"/>
    <x v="782"/>
    <s v="Small Box"/>
    <n v="0.49"/>
    <d v="2009-10-21T00:00:00"/>
    <n v="0"/>
    <n v="0"/>
    <n v="1"/>
    <n v="1"/>
  </r>
  <r>
    <n v="4023"/>
    <n v="28741"/>
    <x v="1160"/>
    <x v="44"/>
    <s v="Not Specified"/>
    <n v="13"/>
    <n v="70.13"/>
    <n v="0.02"/>
    <s v="Regular Air"/>
    <n v="21.51"/>
    <n v="5.43"/>
    <n v="0.95"/>
    <x v="609"/>
    <x v="3"/>
    <x v="3"/>
    <x v="0"/>
    <x v="0"/>
    <x v="5"/>
    <x v="444"/>
    <s v="Wrap Bag"/>
    <n v="0.36"/>
    <d v="2011-03-01T00:00:00"/>
    <n v="0"/>
    <n v="0"/>
    <n v="0.5"/>
    <n v="0.5"/>
  </r>
  <r>
    <n v="4024"/>
    <n v="28741"/>
    <x v="1160"/>
    <x v="44"/>
    <s v="Not Specified"/>
    <n v="5"/>
    <n v="59.76"/>
    <n v="0.04"/>
    <s v="Regular Air"/>
    <n v="-10.34"/>
    <n v="10.98"/>
    <n v="3.37"/>
    <x v="609"/>
    <x v="3"/>
    <x v="3"/>
    <x v="0"/>
    <x v="0"/>
    <x v="15"/>
    <x v="340"/>
    <s v="Small Pack"/>
    <n v="0.56999999999999995"/>
    <d v="2011-03-01T00:00:00"/>
    <n v="0"/>
    <n v="0"/>
    <n v="0.5"/>
    <n v="0.5"/>
  </r>
  <r>
    <n v="4027"/>
    <n v="28769"/>
    <x v="3"/>
    <x v="3"/>
    <s v="Low"/>
    <n v="6"/>
    <n v="195.75"/>
    <n v="0.02"/>
    <s v="Regular Air"/>
    <n v="-31.24"/>
    <n v="33.29"/>
    <n v="1.99"/>
    <x v="600"/>
    <x v="3"/>
    <x v="3"/>
    <x v="1"/>
    <x v="1"/>
    <x v="7"/>
    <x v="1101"/>
    <s v="Small Pack"/>
    <n v="0.41"/>
    <d v="2010-08-28T00:00:00"/>
    <n v="0"/>
    <n v="0"/>
    <n v="1"/>
    <n v="1"/>
  </r>
  <r>
    <n v="4057"/>
    <n v="28928"/>
    <x v="1260"/>
    <x v="24"/>
    <s v="Low"/>
    <n v="3"/>
    <n v="185.16"/>
    <n v="0.02"/>
    <s v="Regular Air"/>
    <n v="-49.34"/>
    <n v="59.98"/>
    <n v="3.99"/>
    <x v="606"/>
    <x v="3"/>
    <x v="3"/>
    <x v="2"/>
    <x v="0"/>
    <x v="1"/>
    <x v="323"/>
    <s v="Small Box"/>
    <n v="0.56999999999999995"/>
    <d v="2010-05-02T00:00:00"/>
    <n v="0"/>
    <n v="0"/>
    <n v="0.33333333333333331"/>
    <n v="0.33333333333333331"/>
  </r>
  <r>
    <n v="4058"/>
    <n v="28928"/>
    <x v="1260"/>
    <x v="24"/>
    <s v="Low"/>
    <n v="22"/>
    <n v="5144.9399999999996"/>
    <n v="0.09"/>
    <s v="Regular Air"/>
    <n v="729.06"/>
    <n v="256.99"/>
    <n v="11.25"/>
    <x v="606"/>
    <x v="3"/>
    <x v="3"/>
    <x v="2"/>
    <x v="1"/>
    <x v="7"/>
    <x v="719"/>
    <s v="Small Box"/>
    <n v="0.51"/>
    <d v="2010-04-30T00:00:00"/>
    <n v="0"/>
    <n v="0"/>
    <n v="0.33333333333333331"/>
    <n v="0.33333333333333331"/>
  </r>
  <r>
    <n v="4059"/>
    <n v="28928"/>
    <x v="1260"/>
    <x v="24"/>
    <s v="Low"/>
    <n v="46"/>
    <n v="1397.383"/>
    <n v="0.01"/>
    <s v="Regular Air"/>
    <n v="-135.86100000000002"/>
    <n v="35.99"/>
    <n v="5"/>
    <x v="606"/>
    <x v="3"/>
    <x v="3"/>
    <x v="2"/>
    <x v="1"/>
    <x v="3"/>
    <x v="525"/>
    <s v="Wrap Bag"/>
    <n v="0.82"/>
    <d v="2010-05-02T00:00:00"/>
    <n v="0"/>
    <n v="0"/>
    <n v="0.33333333333333331"/>
    <n v="0.33333333333333331"/>
  </r>
  <r>
    <n v="4076"/>
    <n v="29058"/>
    <x v="974"/>
    <x v="38"/>
    <s v="High"/>
    <n v="43"/>
    <n v="287.61"/>
    <n v="0.02"/>
    <s v="Regular Air"/>
    <n v="-101.5"/>
    <n v="6.48"/>
    <n v="6.35"/>
    <x v="570"/>
    <x v="3"/>
    <x v="3"/>
    <x v="1"/>
    <x v="0"/>
    <x v="5"/>
    <x v="1108"/>
    <s v="Small Box"/>
    <n v="0.37"/>
    <d v="2010-01-05T00:00:00"/>
    <n v="1"/>
    <n v="0"/>
    <n v="0.25"/>
    <n v="0.25"/>
  </r>
  <r>
    <n v="4077"/>
    <n v="29058"/>
    <x v="974"/>
    <x v="38"/>
    <s v="High"/>
    <n v="23"/>
    <n v="128.52000000000001"/>
    <n v="0.06"/>
    <s v="Regular Air"/>
    <n v="42.8"/>
    <n v="5.84"/>
    <n v="1"/>
    <x v="570"/>
    <x v="3"/>
    <x v="3"/>
    <x v="1"/>
    <x v="0"/>
    <x v="12"/>
    <x v="867"/>
    <s v="Wrap Bag"/>
    <n v="0.38"/>
    <d v="2010-01-04T00:00:00"/>
    <n v="1"/>
    <n v="0"/>
    <n v="0.25"/>
    <n v="0.25"/>
  </r>
  <r>
    <n v="4078"/>
    <n v="29058"/>
    <x v="974"/>
    <x v="38"/>
    <s v="High"/>
    <n v="41"/>
    <n v="1011.67"/>
    <n v="0.04"/>
    <s v="Regular Air"/>
    <n v="-74.64"/>
    <n v="24.98"/>
    <n v="8.7899999999999991"/>
    <x v="570"/>
    <x v="3"/>
    <x v="3"/>
    <x v="1"/>
    <x v="0"/>
    <x v="0"/>
    <x v="1055"/>
    <s v="Small Box"/>
    <n v="0.66"/>
    <d v="2010-01-03T00:00:00"/>
    <n v="1"/>
    <n v="0"/>
    <n v="0.25"/>
    <n v="0.25"/>
  </r>
  <r>
    <n v="4086"/>
    <n v="29127"/>
    <x v="245"/>
    <x v="28"/>
    <s v="Critical"/>
    <n v="18"/>
    <n v="31.13"/>
    <n v="0.06"/>
    <s v="Regular Air"/>
    <n v="-0.81"/>
    <n v="1.68"/>
    <n v="1"/>
    <x v="605"/>
    <x v="3"/>
    <x v="3"/>
    <x v="1"/>
    <x v="0"/>
    <x v="12"/>
    <x v="1054"/>
    <s v="Wrap Bag"/>
    <n v="0.35"/>
    <d v="2009-04-02T00:00:00"/>
    <n v="0"/>
    <n v="0"/>
    <n v="1"/>
    <n v="0.5"/>
  </r>
  <r>
    <n v="4099"/>
    <n v="29191"/>
    <x v="140"/>
    <x v="8"/>
    <s v="Medium"/>
    <n v="26"/>
    <n v="7201.89"/>
    <n v="0.09"/>
    <s v="Delivery Truck"/>
    <n v="-650.11"/>
    <n v="296.18"/>
    <n v="54.12"/>
    <x v="571"/>
    <x v="3"/>
    <x v="3"/>
    <x v="3"/>
    <x v="2"/>
    <x v="10"/>
    <x v="300"/>
    <s v="Jumbo Box"/>
    <n v="0.76"/>
    <d v="2012-06-29T00:00:00"/>
    <n v="0"/>
    <n v="0"/>
    <n v="1"/>
    <n v="1"/>
  </r>
  <r>
    <n v="4109"/>
    <n v="29249"/>
    <x v="363"/>
    <x v="4"/>
    <s v="Low"/>
    <n v="12"/>
    <n v="3156.6"/>
    <n v="0.1"/>
    <s v="Regular Air"/>
    <n v="454.26"/>
    <n v="276.2"/>
    <n v="24.49"/>
    <x v="610"/>
    <x v="3"/>
    <x v="3"/>
    <x v="2"/>
    <x v="2"/>
    <x v="14"/>
    <x v="67"/>
    <s v="Large Box"/>
    <m/>
    <d v="2011-06-17T00:00:00"/>
    <n v="0"/>
    <n v="0"/>
    <n v="0.5"/>
    <n v="0.5"/>
  </r>
  <r>
    <n v="4110"/>
    <n v="29249"/>
    <x v="363"/>
    <x v="4"/>
    <s v="Low"/>
    <n v="47"/>
    <n v="302.69"/>
    <n v="0.05"/>
    <s v="Express Air"/>
    <n v="125.65"/>
    <n v="6.35"/>
    <n v="1.02"/>
    <x v="610"/>
    <x v="3"/>
    <x v="3"/>
    <x v="2"/>
    <x v="0"/>
    <x v="5"/>
    <x v="62"/>
    <s v="Wrap Bag"/>
    <n v="0.39"/>
    <d v="2011-06-18T00:00:00"/>
    <n v="0"/>
    <n v="0"/>
    <n v="0.5"/>
    <n v="0.5"/>
  </r>
  <r>
    <n v="4128"/>
    <n v="29347"/>
    <x v="678"/>
    <x v="9"/>
    <s v="Medium"/>
    <n v="50"/>
    <n v="2040.39"/>
    <n v="7.0000000000000007E-2"/>
    <s v="Regular Air"/>
    <n v="221.09"/>
    <n v="40.99"/>
    <n v="19.989999999999998"/>
    <x v="151"/>
    <x v="3"/>
    <x v="3"/>
    <x v="2"/>
    <x v="0"/>
    <x v="5"/>
    <x v="30"/>
    <s v="Small Box"/>
    <n v="0.36"/>
    <d v="2012-08-14T00:00:00"/>
    <n v="0"/>
    <n v="0"/>
    <n v="1"/>
    <n v="1"/>
  </r>
  <r>
    <n v="4156"/>
    <n v="29478"/>
    <x v="910"/>
    <x v="24"/>
    <s v="High"/>
    <n v="15"/>
    <n v="272.89249999999998"/>
    <n v="0.01"/>
    <s v="Regular Air"/>
    <n v="19.611000000000001"/>
    <n v="20.99"/>
    <n v="0.99"/>
    <x v="593"/>
    <x v="3"/>
    <x v="3"/>
    <x v="1"/>
    <x v="1"/>
    <x v="3"/>
    <x v="652"/>
    <s v="Wrap Bag"/>
    <n v="0.56999999999999995"/>
    <d v="2010-04-12T00:00:00"/>
    <n v="0"/>
    <n v="0"/>
    <n v="1"/>
    <n v="1"/>
  </r>
  <r>
    <n v="4222"/>
    <n v="29991"/>
    <x v="473"/>
    <x v="1"/>
    <s v="Low"/>
    <n v="41"/>
    <n v="123.11"/>
    <n v="0.06"/>
    <s v="Regular Air"/>
    <n v="48.93"/>
    <n v="3.15"/>
    <n v="0.49"/>
    <x v="583"/>
    <x v="3"/>
    <x v="3"/>
    <x v="0"/>
    <x v="0"/>
    <x v="11"/>
    <x v="927"/>
    <s v="Small Box"/>
    <n v="0.37"/>
    <d v="2012-10-07T00:00:00"/>
    <n v="0"/>
    <n v="0"/>
    <n v="1"/>
    <n v="1"/>
  </r>
  <r>
    <n v="4330"/>
    <n v="30853"/>
    <x v="614"/>
    <x v="2"/>
    <s v="Medium"/>
    <n v="16"/>
    <n v="41.52"/>
    <n v="0.06"/>
    <s v="Regular Air"/>
    <n v="-85.17"/>
    <n v="2.1800000000000002"/>
    <n v="7.09"/>
    <x v="592"/>
    <x v="3"/>
    <x v="3"/>
    <x v="0"/>
    <x v="0"/>
    <x v="5"/>
    <x v="943"/>
    <s v="Wrap Bag"/>
    <n v="0.38"/>
    <d v="2011-07-30T00:00:00"/>
    <n v="0"/>
    <n v="0"/>
    <n v="0.5"/>
    <n v="0.5"/>
  </r>
  <r>
    <n v="4335"/>
    <n v="30886"/>
    <x v="145"/>
    <x v="20"/>
    <s v="Low"/>
    <n v="28"/>
    <n v="5320.57"/>
    <n v="0.02"/>
    <s v="Regular Air"/>
    <n v="534.29"/>
    <n v="193.17"/>
    <n v="19.989999999999998"/>
    <x v="576"/>
    <x v="3"/>
    <x v="3"/>
    <x v="1"/>
    <x v="0"/>
    <x v="0"/>
    <x v="219"/>
    <s v="Small Box"/>
    <n v="0.71"/>
    <d v="2012-05-17T00:00:00"/>
    <n v="0"/>
    <n v="0"/>
    <n v="1"/>
    <n v="1"/>
  </r>
  <r>
    <n v="4353"/>
    <n v="31042"/>
    <x v="308"/>
    <x v="32"/>
    <s v="Medium"/>
    <n v="26"/>
    <n v="3227.38"/>
    <n v="0.05"/>
    <s v="Delivery Truck"/>
    <n v="192.31"/>
    <n v="120.98"/>
    <n v="30"/>
    <x v="580"/>
    <x v="3"/>
    <x v="3"/>
    <x v="1"/>
    <x v="2"/>
    <x v="14"/>
    <x v="36"/>
    <s v="Jumbo Drum"/>
    <n v="0.64"/>
    <d v="2012-11-20T00:00:00"/>
    <n v="0"/>
    <n v="0"/>
    <n v="0.5"/>
    <n v="0.5"/>
  </r>
  <r>
    <n v="4354"/>
    <n v="31042"/>
    <x v="308"/>
    <x v="32"/>
    <s v="Medium"/>
    <n v="48"/>
    <n v="134.52000000000001"/>
    <n v="0.03"/>
    <s v="Regular Air"/>
    <n v="-6.04"/>
    <n v="2.78"/>
    <n v="1.2"/>
    <x v="580"/>
    <x v="3"/>
    <x v="3"/>
    <x v="1"/>
    <x v="0"/>
    <x v="12"/>
    <x v="148"/>
    <s v="Wrap Bag"/>
    <n v="0.57999999999999996"/>
    <d v="2012-11-20T00:00:00"/>
    <n v="0"/>
    <n v="0"/>
    <n v="0.5"/>
    <n v="0.5"/>
  </r>
  <r>
    <n v="4363"/>
    <n v="31078"/>
    <x v="948"/>
    <x v="40"/>
    <s v="Critical"/>
    <n v="7"/>
    <n v="104.46"/>
    <n v="0.01"/>
    <s v="Regular Air"/>
    <n v="-36.766199999999998"/>
    <n v="13.99"/>
    <n v="7.51"/>
    <x v="591"/>
    <x v="3"/>
    <x v="3"/>
    <x v="2"/>
    <x v="1"/>
    <x v="16"/>
    <x v="535"/>
    <s v="Medium Box"/>
    <n v="0.39"/>
    <d v="2009-02-11T00:00:00"/>
    <n v="0"/>
    <n v="0"/>
    <n v="1"/>
    <n v="1"/>
  </r>
  <r>
    <n v="4414"/>
    <n v="31493"/>
    <x v="50"/>
    <x v="19"/>
    <s v="High"/>
    <n v="8"/>
    <n v="112.47"/>
    <n v="0"/>
    <s v="Express Air"/>
    <n v="46.74"/>
    <n v="12.2"/>
    <n v="6.02"/>
    <x v="449"/>
    <x v="3"/>
    <x v="3"/>
    <x v="3"/>
    <x v="2"/>
    <x v="4"/>
    <x v="947"/>
    <s v="Small Pack"/>
    <n v="0.43"/>
    <d v="2009-10-18T00:00:00"/>
    <n v="0"/>
    <n v="0"/>
    <n v="1"/>
    <n v="0.5"/>
  </r>
  <r>
    <n v="4426"/>
    <n v="31555"/>
    <x v="1259"/>
    <x v="23"/>
    <s v="Critical"/>
    <n v="38"/>
    <n v="3531.75"/>
    <n v="0"/>
    <s v="Regular Air"/>
    <n v="572.26"/>
    <n v="88.84"/>
    <n v="20.79"/>
    <x v="611"/>
    <x v="3"/>
    <x v="3"/>
    <x v="3"/>
    <x v="2"/>
    <x v="4"/>
    <x v="1205"/>
    <s v="Large Box"/>
    <n v="0.59"/>
    <d v="2012-01-04T00:00:00"/>
    <n v="0"/>
    <n v="0"/>
    <n v="0.5"/>
    <n v="0.5"/>
  </r>
  <r>
    <n v="4427"/>
    <n v="31555"/>
    <x v="1259"/>
    <x v="23"/>
    <s v="Critical"/>
    <n v="5"/>
    <n v="500.5"/>
    <n v="0.02"/>
    <s v="Delivery Truck"/>
    <n v="-153.31139999999999"/>
    <n v="90.97"/>
    <n v="28"/>
    <x v="611"/>
    <x v="3"/>
    <x v="3"/>
    <x v="3"/>
    <x v="1"/>
    <x v="16"/>
    <x v="475"/>
    <s v="Jumbo Drum"/>
    <n v="0.38"/>
    <d v="2012-01-07T00:00:00"/>
    <n v="0"/>
    <n v="0"/>
    <n v="0.5"/>
    <n v="0.5"/>
  </r>
  <r>
    <n v="4454"/>
    <n v="31744"/>
    <x v="1133"/>
    <x v="34"/>
    <s v="Medium"/>
    <n v="12"/>
    <n v="86.69"/>
    <n v="0"/>
    <s v="Regular Air"/>
    <n v="-43.48"/>
    <n v="6.48"/>
    <n v="7.37"/>
    <x v="608"/>
    <x v="3"/>
    <x v="3"/>
    <x v="1"/>
    <x v="0"/>
    <x v="5"/>
    <x v="673"/>
    <s v="Small Box"/>
    <n v="0.37"/>
    <d v="2012-09-10T00:00:00"/>
    <n v="0"/>
    <n v="0"/>
    <n v="1"/>
    <n v="1"/>
  </r>
  <r>
    <n v="4465"/>
    <n v="31842"/>
    <x v="598"/>
    <x v="42"/>
    <s v="Medium"/>
    <n v="9"/>
    <n v="157.26"/>
    <n v="0.06"/>
    <s v="Regular Air"/>
    <n v="-18.84"/>
    <n v="17.48"/>
    <n v="1.99"/>
    <x v="610"/>
    <x v="3"/>
    <x v="3"/>
    <x v="2"/>
    <x v="1"/>
    <x v="7"/>
    <x v="814"/>
    <s v="Small Pack"/>
    <n v="0.45"/>
    <d v="2010-07-17T00:00:00"/>
    <n v="0"/>
    <n v="0"/>
    <n v="1"/>
    <n v="1"/>
  </r>
  <r>
    <n v="4484"/>
    <n v="31910"/>
    <x v="1114"/>
    <x v="19"/>
    <s v="Medium"/>
    <n v="6"/>
    <n v="187.63749999999999"/>
    <n v="0.03"/>
    <s v="Regular Air"/>
    <n v="-190.02500000000001"/>
    <n v="35.99"/>
    <n v="5"/>
    <x v="609"/>
    <x v="3"/>
    <x v="3"/>
    <x v="0"/>
    <x v="1"/>
    <x v="3"/>
    <x v="643"/>
    <s v="Small Box"/>
    <n v="0.85"/>
    <d v="2009-10-30T00:00:00"/>
    <n v="0"/>
    <n v="0"/>
    <n v="1"/>
    <n v="1"/>
  </r>
  <r>
    <n v="4507"/>
    <n v="32069"/>
    <x v="142"/>
    <x v="27"/>
    <s v="Not Specified"/>
    <n v="17"/>
    <n v="114.94"/>
    <n v="0.09"/>
    <s v="Regular Air"/>
    <n v="-102.24"/>
    <n v="6.48"/>
    <n v="9.68"/>
    <x v="438"/>
    <x v="3"/>
    <x v="3"/>
    <x v="1"/>
    <x v="0"/>
    <x v="5"/>
    <x v="597"/>
    <s v="Small Box"/>
    <n v="0.36"/>
    <d v="2011-11-21T00:00:00"/>
    <n v="0"/>
    <n v="0"/>
    <n v="0.5"/>
    <n v="0.5"/>
  </r>
  <r>
    <n v="4571"/>
    <n v="32519"/>
    <x v="1201"/>
    <x v="0"/>
    <s v="Low"/>
    <n v="8"/>
    <n v="85.36"/>
    <n v="0.09"/>
    <s v="Regular Air"/>
    <n v="-23.82"/>
    <n v="10.89"/>
    <n v="4.5"/>
    <x v="590"/>
    <x v="3"/>
    <x v="3"/>
    <x v="1"/>
    <x v="0"/>
    <x v="1"/>
    <x v="225"/>
    <s v="Small Box"/>
    <n v="0.59"/>
    <d v="2010-10-13T00:00:00"/>
    <n v="0"/>
    <n v="0"/>
    <n v="1"/>
    <n v="1"/>
  </r>
  <r>
    <n v="4591"/>
    <n v="32647"/>
    <x v="592"/>
    <x v="27"/>
    <s v="High"/>
    <n v="32"/>
    <n v="671.75"/>
    <n v="7.0000000000000007E-2"/>
    <s v="Regular Air"/>
    <n v="-56.83"/>
    <n v="20.97"/>
    <n v="4"/>
    <x v="612"/>
    <x v="3"/>
    <x v="3"/>
    <x v="1"/>
    <x v="1"/>
    <x v="7"/>
    <x v="154"/>
    <s v="Small Box"/>
    <n v="0.77"/>
    <d v="2011-11-20T00:00:00"/>
    <n v="0"/>
    <n v="0"/>
    <n v="0.5"/>
    <n v="0.5"/>
  </r>
  <r>
    <n v="4592"/>
    <n v="32647"/>
    <x v="592"/>
    <x v="27"/>
    <s v="High"/>
    <n v="27"/>
    <n v="9541.0400000000009"/>
    <n v="0.06"/>
    <s v="Delivery Truck"/>
    <n v="348.84"/>
    <n v="348.21"/>
    <n v="84.84"/>
    <x v="612"/>
    <x v="3"/>
    <x v="3"/>
    <x v="1"/>
    <x v="2"/>
    <x v="10"/>
    <x v="453"/>
    <s v="Jumbo Box"/>
    <n v="0.66"/>
    <d v="2011-11-20T00:00:00"/>
    <n v="0"/>
    <n v="0"/>
    <n v="0.5"/>
    <n v="0.5"/>
  </r>
  <r>
    <n v="4632"/>
    <n v="32966"/>
    <x v="960"/>
    <x v="23"/>
    <s v="Low"/>
    <n v="4"/>
    <n v="1035.2"/>
    <n v="0.08"/>
    <s v="Delivery Truck"/>
    <n v="-668.0643"/>
    <n v="270.97000000000003"/>
    <n v="28.06"/>
    <x v="596"/>
    <x v="3"/>
    <x v="3"/>
    <x v="3"/>
    <x v="1"/>
    <x v="16"/>
    <x v="241"/>
    <s v="Jumbo Drum"/>
    <n v="0.56000000000000005"/>
    <d v="2012-02-02T00:00:00"/>
    <n v="0"/>
    <n v="0"/>
    <n v="0.5"/>
    <n v="0.5"/>
  </r>
  <r>
    <n v="4633"/>
    <n v="32966"/>
    <x v="960"/>
    <x v="23"/>
    <s v="Low"/>
    <n v="43"/>
    <n v="74.17"/>
    <n v="0.01"/>
    <s v="Regular Air"/>
    <n v="-13.4"/>
    <n v="1.6"/>
    <n v="1.29"/>
    <x v="596"/>
    <x v="3"/>
    <x v="3"/>
    <x v="3"/>
    <x v="0"/>
    <x v="12"/>
    <x v="1206"/>
    <s v="Wrap Bag"/>
    <n v="0.42"/>
    <d v="2012-01-30T00:00:00"/>
    <n v="0"/>
    <n v="0"/>
    <n v="0.5"/>
    <n v="0.5"/>
  </r>
  <r>
    <n v="4664"/>
    <n v="33218"/>
    <x v="1288"/>
    <x v="38"/>
    <s v="Not Specified"/>
    <n v="25"/>
    <n v="113.8"/>
    <n v="7.0000000000000007E-2"/>
    <s v="Regular Air"/>
    <n v="-84.076499999999996"/>
    <n v="4.57"/>
    <n v="5.42"/>
    <x v="589"/>
    <x v="3"/>
    <x v="3"/>
    <x v="0"/>
    <x v="0"/>
    <x v="2"/>
    <x v="328"/>
    <s v="Small Box"/>
    <n v="0.37"/>
    <d v="2010-01-08T00:00:00"/>
    <n v="1"/>
    <n v="0"/>
    <n v="0.5"/>
    <n v="0.5"/>
  </r>
  <r>
    <n v="4665"/>
    <n v="33218"/>
    <x v="1288"/>
    <x v="38"/>
    <s v="Not Specified"/>
    <n v="29"/>
    <n v="480.13"/>
    <n v="0.04"/>
    <s v="Regular Air"/>
    <n v="53.67"/>
    <n v="16.16"/>
    <n v="7.74"/>
    <x v="589"/>
    <x v="3"/>
    <x v="3"/>
    <x v="0"/>
    <x v="2"/>
    <x v="4"/>
    <x v="1207"/>
    <s v="Small Box"/>
    <n v="0.5"/>
    <d v="2010-01-07T00:00:00"/>
    <n v="1"/>
    <n v="0"/>
    <n v="0.5"/>
    <n v="0.5"/>
  </r>
  <r>
    <n v="4679"/>
    <n v="33285"/>
    <x v="675"/>
    <x v="23"/>
    <s v="High"/>
    <n v="5"/>
    <n v="66.92"/>
    <n v="0.01"/>
    <s v="Regular Air"/>
    <n v="-23.29"/>
    <n v="12.28"/>
    <n v="6.13"/>
    <x v="403"/>
    <x v="3"/>
    <x v="3"/>
    <x v="0"/>
    <x v="0"/>
    <x v="0"/>
    <x v="166"/>
    <s v="Small Box"/>
    <n v="0.56999999999999995"/>
    <d v="2012-01-20T00:00:00"/>
    <n v="0"/>
    <n v="0"/>
    <n v="1"/>
    <n v="0.5"/>
  </r>
  <r>
    <n v="4701"/>
    <n v="33479"/>
    <x v="1256"/>
    <x v="34"/>
    <s v="Critical"/>
    <n v="24"/>
    <n v="161.87"/>
    <n v="0.04"/>
    <s v="Regular Air"/>
    <n v="-31.27"/>
    <n v="6.48"/>
    <n v="5.1100000000000003"/>
    <x v="571"/>
    <x v="3"/>
    <x v="3"/>
    <x v="3"/>
    <x v="0"/>
    <x v="5"/>
    <x v="1159"/>
    <s v="Small Box"/>
    <n v="0.37"/>
    <d v="2012-09-20T00:00:00"/>
    <n v="0"/>
    <n v="0"/>
    <n v="0.33333333333333331"/>
    <n v="0.33333333333333331"/>
  </r>
  <r>
    <n v="4706"/>
    <n v="33537"/>
    <x v="665"/>
    <x v="3"/>
    <s v="Medium"/>
    <n v="26"/>
    <n v="45.38"/>
    <n v="7.0000000000000007E-2"/>
    <s v="Regular Air"/>
    <n v="-1.97"/>
    <n v="1.76"/>
    <n v="0.7"/>
    <x v="581"/>
    <x v="3"/>
    <x v="3"/>
    <x v="2"/>
    <x v="0"/>
    <x v="12"/>
    <x v="263"/>
    <s v="Wrap Bag"/>
    <n v="0.56000000000000005"/>
    <d v="2010-08-15T00:00:00"/>
    <n v="0"/>
    <n v="0"/>
    <n v="0.5"/>
    <n v="0.5"/>
  </r>
  <r>
    <n v="4707"/>
    <n v="33537"/>
    <x v="665"/>
    <x v="3"/>
    <s v="Medium"/>
    <n v="9"/>
    <n v="163.31049999999999"/>
    <n v="0.02"/>
    <s v="Regular Air"/>
    <n v="-105.09400000000001"/>
    <n v="20.99"/>
    <n v="3.3"/>
    <x v="581"/>
    <x v="3"/>
    <x v="3"/>
    <x v="2"/>
    <x v="1"/>
    <x v="3"/>
    <x v="180"/>
    <s v="Small Pack"/>
    <n v="0.81"/>
    <d v="2010-08-14T00:00:00"/>
    <n v="0"/>
    <n v="0"/>
    <n v="0.5"/>
    <n v="0.5"/>
  </r>
  <r>
    <n v="4712"/>
    <n v="33569"/>
    <x v="531"/>
    <x v="26"/>
    <s v="Low"/>
    <n v="9"/>
    <n v="123.92"/>
    <n v="0.09"/>
    <s v="Regular Air"/>
    <n v="45.83"/>
    <n v="14.2"/>
    <n v="5.3"/>
    <x v="325"/>
    <x v="3"/>
    <x v="3"/>
    <x v="1"/>
    <x v="2"/>
    <x v="4"/>
    <x v="457"/>
    <s v="Wrap Bag"/>
    <n v="0.46"/>
    <d v="2009-09-01T00:00:00"/>
    <n v="0"/>
    <n v="0"/>
    <n v="1"/>
    <n v="1"/>
  </r>
  <r>
    <n v="4716"/>
    <n v="33571"/>
    <x v="580"/>
    <x v="17"/>
    <s v="Medium"/>
    <n v="1"/>
    <n v="7.15"/>
    <n v="0.03"/>
    <s v="Regular Air"/>
    <n v="-2.5499999999999998"/>
    <n v="5.08"/>
    <n v="2.0299999999999998"/>
    <x v="582"/>
    <x v="3"/>
    <x v="3"/>
    <x v="1"/>
    <x v="2"/>
    <x v="4"/>
    <x v="708"/>
    <s v="Wrap Bag"/>
    <n v="0.51"/>
    <d v="2011-10-14T00:00:00"/>
    <n v="0"/>
    <n v="0"/>
    <n v="1"/>
    <n v="1"/>
  </r>
  <r>
    <n v="4726"/>
    <n v="33637"/>
    <x v="1289"/>
    <x v="32"/>
    <s v="Low"/>
    <n v="35"/>
    <n v="192.21"/>
    <n v="7.0000000000000007E-2"/>
    <s v="Regular Air"/>
    <n v="-61.36"/>
    <n v="5.47"/>
    <n v="5.26"/>
    <x v="403"/>
    <x v="3"/>
    <x v="3"/>
    <x v="0"/>
    <x v="2"/>
    <x v="4"/>
    <x v="1208"/>
    <s v="Small Pack"/>
    <n v="0.42"/>
    <d v="2012-11-26T00:00:00"/>
    <n v="0"/>
    <n v="0"/>
    <n v="1"/>
    <n v="0.5"/>
  </r>
  <r>
    <n v="4729"/>
    <n v="33670"/>
    <x v="196"/>
    <x v="13"/>
    <s v="High"/>
    <n v="50"/>
    <n v="207.54"/>
    <n v="0.03"/>
    <s v="Regular Air"/>
    <n v="24.21"/>
    <n v="4.13"/>
    <n v="1.23"/>
    <x v="581"/>
    <x v="3"/>
    <x v="3"/>
    <x v="3"/>
    <x v="0"/>
    <x v="12"/>
    <x v="1058"/>
    <s v="Wrap Bag"/>
    <n v="0.55000000000000004"/>
    <d v="2012-04-29T00:00:00"/>
    <n v="0"/>
    <n v="0"/>
    <n v="0.5"/>
    <n v="0.5"/>
  </r>
  <r>
    <n v="4730"/>
    <n v="33670"/>
    <x v="196"/>
    <x v="13"/>
    <s v="High"/>
    <n v="4"/>
    <n v="17.329999999999998"/>
    <n v="0.06"/>
    <s v="Regular Air"/>
    <n v="-16.579999999999998"/>
    <n v="3.28"/>
    <n v="5"/>
    <x v="581"/>
    <x v="3"/>
    <x v="3"/>
    <x v="3"/>
    <x v="0"/>
    <x v="12"/>
    <x v="685"/>
    <s v="Wrap Bag"/>
    <n v="0.56000000000000005"/>
    <d v="2012-04-28T00:00:00"/>
    <n v="0"/>
    <n v="0"/>
    <n v="0.5"/>
    <n v="0.5"/>
  </r>
  <r>
    <n v="4753"/>
    <n v="33794"/>
    <x v="1290"/>
    <x v="44"/>
    <s v="Critical"/>
    <n v="18"/>
    <n v="92.77"/>
    <n v="0.06"/>
    <s v="Regular Air"/>
    <n v="-17.91"/>
    <n v="4.91"/>
    <n v="3.05"/>
    <x v="583"/>
    <x v="3"/>
    <x v="3"/>
    <x v="0"/>
    <x v="2"/>
    <x v="4"/>
    <x v="988"/>
    <s v="Small Pack"/>
    <n v="0.52"/>
    <d v="2011-02-24T00:00:00"/>
    <n v="0"/>
    <n v="0"/>
    <n v="1"/>
    <n v="1"/>
  </r>
  <r>
    <n v="4761"/>
    <n v="33857"/>
    <x v="36"/>
    <x v="24"/>
    <s v="Critical"/>
    <n v="18"/>
    <n v="130.16"/>
    <n v="0"/>
    <s v="Regular Air"/>
    <n v="28.87"/>
    <n v="7.04"/>
    <n v="2.17"/>
    <x v="537"/>
    <x v="3"/>
    <x v="3"/>
    <x v="3"/>
    <x v="0"/>
    <x v="5"/>
    <x v="135"/>
    <s v="Wrap Bag"/>
    <n v="0.38"/>
    <d v="2010-04-30T00:00:00"/>
    <n v="0"/>
    <n v="0"/>
    <n v="1"/>
    <n v="1"/>
  </r>
  <r>
    <n v="4833"/>
    <n v="34400"/>
    <x v="952"/>
    <x v="45"/>
    <s v="Low"/>
    <n v="25"/>
    <n v="92.53"/>
    <n v="0.01"/>
    <s v="Regular Air"/>
    <n v="-71.52"/>
    <n v="3.57"/>
    <n v="4.17"/>
    <x v="610"/>
    <x v="3"/>
    <x v="3"/>
    <x v="2"/>
    <x v="0"/>
    <x v="12"/>
    <x v="574"/>
    <s v="Small Pack"/>
    <n v="0.59"/>
    <d v="2012-12-28T00:00:00"/>
    <n v="0"/>
    <n v="0"/>
    <n v="0.5"/>
    <n v="0.5"/>
  </r>
  <r>
    <n v="4834"/>
    <n v="34400"/>
    <x v="952"/>
    <x v="45"/>
    <s v="Low"/>
    <n v="17"/>
    <n v="988.6434999999999"/>
    <n v="0.04"/>
    <s v="Regular Air"/>
    <n v="89.891999999999996"/>
    <n v="65.989999999999995"/>
    <n v="4.2"/>
    <x v="610"/>
    <x v="3"/>
    <x v="3"/>
    <x v="2"/>
    <x v="1"/>
    <x v="3"/>
    <x v="1021"/>
    <s v="Small Box"/>
    <n v="0.59"/>
    <d v="2012-12-29T00:00:00"/>
    <n v="0"/>
    <n v="0"/>
    <n v="0.5"/>
    <n v="0.5"/>
  </r>
  <r>
    <n v="4838"/>
    <n v="34407"/>
    <x v="126"/>
    <x v="42"/>
    <s v="Low"/>
    <n v="41"/>
    <n v="1484.89"/>
    <n v="0.03"/>
    <s v="Regular Air"/>
    <n v="220.99"/>
    <n v="35.89"/>
    <n v="14.72"/>
    <x v="608"/>
    <x v="3"/>
    <x v="3"/>
    <x v="1"/>
    <x v="0"/>
    <x v="8"/>
    <x v="635"/>
    <s v="Small Box"/>
    <n v="0.4"/>
    <d v="2010-07-31T00:00:00"/>
    <n v="0"/>
    <n v="0"/>
    <n v="1"/>
    <n v="1"/>
  </r>
  <r>
    <n v="4839"/>
    <n v="34432"/>
    <x v="315"/>
    <x v="46"/>
    <s v="Not Specified"/>
    <n v="20"/>
    <n v="244.39"/>
    <n v="0.08"/>
    <s v="Regular Air"/>
    <n v="114.1"/>
    <n v="12.53"/>
    <n v="0.5"/>
    <x v="606"/>
    <x v="3"/>
    <x v="3"/>
    <x v="3"/>
    <x v="0"/>
    <x v="11"/>
    <x v="397"/>
    <s v="Small Box"/>
    <n v="0.38"/>
    <d v="2009-04-08T00:00:00"/>
    <n v="0"/>
    <n v="0"/>
    <n v="0.5"/>
    <n v="0.5"/>
  </r>
  <r>
    <n v="4840"/>
    <n v="34432"/>
    <x v="315"/>
    <x v="46"/>
    <s v="Not Specified"/>
    <n v="3"/>
    <n v="581.41999999999996"/>
    <n v="0.02"/>
    <s v="Regular Air"/>
    <n v="-129.97"/>
    <n v="178.47"/>
    <n v="19.989999999999998"/>
    <x v="606"/>
    <x v="3"/>
    <x v="3"/>
    <x v="3"/>
    <x v="0"/>
    <x v="0"/>
    <x v="902"/>
    <s v="Small Box"/>
    <n v="0.55000000000000004"/>
    <d v="2009-04-08T00:00:00"/>
    <n v="0"/>
    <n v="0"/>
    <n v="0.5"/>
    <n v="0.5"/>
  </r>
  <r>
    <n v="4846"/>
    <n v="34497"/>
    <x v="1291"/>
    <x v="28"/>
    <s v="Medium"/>
    <n v="36"/>
    <n v="175.35"/>
    <n v="0.1"/>
    <s v="Regular Air"/>
    <n v="-174.18"/>
    <n v="4.9800000000000004"/>
    <n v="7.54"/>
    <x v="134"/>
    <x v="3"/>
    <x v="3"/>
    <x v="1"/>
    <x v="0"/>
    <x v="5"/>
    <x v="1078"/>
    <s v="Small Box"/>
    <n v="0.38"/>
    <d v="2009-03-11T00:00:00"/>
    <n v="0"/>
    <n v="0"/>
    <n v="0.5"/>
    <n v="0.5"/>
  </r>
  <r>
    <n v="4847"/>
    <n v="34497"/>
    <x v="1291"/>
    <x v="28"/>
    <s v="Medium"/>
    <n v="25"/>
    <n v="590.6"/>
    <n v="0"/>
    <s v="Regular Air"/>
    <n v="117.73"/>
    <n v="22.84"/>
    <n v="8.18"/>
    <x v="134"/>
    <x v="3"/>
    <x v="3"/>
    <x v="1"/>
    <x v="0"/>
    <x v="5"/>
    <x v="1073"/>
    <s v="Small Box"/>
    <n v="0.39"/>
    <d v="2009-03-12T00:00:00"/>
    <n v="0"/>
    <n v="0"/>
    <n v="0.5"/>
    <n v="0.5"/>
  </r>
  <r>
    <n v="4848"/>
    <n v="34498"/>
    <x v="394"/>
    <x v="40"/>
    <s v="Low"/>
    <n v="4"/>
    <n v="47.12"/>
    <n v="0.09"/>
    <s v="Express Air"/>
    <n v="10.8"/>
    <n v="8.74"/>
    <n v="1.39"/>
    <x v="469"/>
    <x v="3"/>
    <x v="3"/>
    <x v="0"/>
    <x v="0"/>
    <x v="8"/>
    <x v="427"/>
    <s v="Small Box"/>
    <n v="0.38"/>
    <d v="2009-02-20T00:00:00"/>
    <n v="0"/>
    <n v="0"/>
    <n v="0.5"/>
    <n v="0.5"/>
  </r>
  <r>
    <n v="4849"/>
    <n v="34498"/>
    <x v="394"/>
    <x v="40"/>
    <s v="Low"/>
    <n v="3"/>
    <n v="62.89"/>
    <n v="0.09"/>
    <s v="Regular Air"/>
    <n v="-23.2"/>
    <n v="18.97"/>
    <n v="9.0299999999999994"/>
    <x v="469"/>
    <x v="3"/>
    <x v="3"/>
    <x v="0"/>
    <x v="0"/>
    <x v="5"/>
    <x v="40"/>
    <s v="Small Box"/>
    <n v="0.37"/>
    <d v="2009-02-20T00:00:00"/>
    <n v="0"/>
    <n v="0"/>
    <n v="0.5"/>
    <n v="0.5"/>
  </r>
  <r>
    <n v="4925"/>
    <n v="35045"/>
    <x v="1292"/>
    <x v="13"/>
    <s v="Medium"/>
    <n v="44"/>
    <n v="565.01"/>
    <n v="0.1"/>
    <s v="Regular Air"/>
    <n v="-10.33"/>
    <n v="13.48"/>
    <n v="4.51"/>
    <x v="526"/>
    <x v="3"/>
    <x v="3"/>
    <x v="0"/>
    <x v="0"/>
    <x v="0"/>
    <x v="27"/>
    <s v="Small Box"/>
    <n v="0.59"/>
    <d v="2012-04-04T00:00:00"/>
    <n v="0"/>
    <n v="0"/>
    <n v="1"/>
    <n v="1"/>
  </r>
  <r>
    <n v="4954"/>
    <n v="35265"/>
    <x v="1010"/>
    <x v="7"/>
    <s v="Not Specified"/>
    <n v="4"/>
    <n v="125.78"/>
    <n v="0.02"/>
    <s v="Regular Air"/>
    <n v="8.4320000000000039"/>
    <n v="30.56"/>
    <n v="2.99"/>
    <x v="572"/>
    <x v="3"/>
    <x v="3"/>
    <x v="0"/>
    <x v="0"/>
    <x v="2"/>
    <x v="142"/>
    <s v="Small Box"/>
    <n v="0.35"/>
    <d v="2010-11-30T00:00:00"/>
    <n v="0"/>
    <n v="0"/>
    <n v="0.33333333333333331"/>
    <n v="0.33333333333333331"/>
  </r>
  <r>
    <n v="4955"/>
    <n v="35265"/>
    <x v="1010"/>
    <x v="7"/>
    <s v="Not Specified"/>
    <n v="16"/>
    <n v="577"/>
    <n v="0.04"/>
    <s v="Delivery Truck"/>
    <n v="-112.88"/>
    <n v="33.94"/>
    <n v="19.190000000000001"/>
    <x v="572"/>
    <x v="3"/>
    <x v="3"/>
    <x v="0"/>
    <x v="2"/>
    <x v="14"/>
    <x v="205"/>
    <s v="Jumbo Drum"/>
    <n v="0.57999999999999996"/>
    <d v="2010-11-30T00:00:00"/>
    <n v="0"/>
    <n v="0"/>
    <n v="0.33333333333333331"/>
    <n v="0.33333333333333331"/>
  </r>
  <r>
    <n v="4956"/>
    <n v="35265"/>
    <x v="1010"/>
    <x v="7"/>
    <s v="Not Specified"/>
    <n v="2"/>
    <n v="24.53"/>
    <n v="0.04"/>
    <s v="Regular Air"/>
    <n v="-28.144500000000001"/>
    <n v="9.49"/>
    <n v="5.76"/>
    <x v="572"/>
    <x v="3"/>
    <x v="3"/>
    <x v="0"/>
    <x v="1"/>
    <x v="16"/>
    <x v="510"/>
    <s v="Medium Box"/>
    <n v="0.39"/>
    <d v="2010-12-01T00:00:00"/>
    <n v="0"/>
    <n v="0"/>
    <n v="0.33333333333333331"/>
    <n v="0.33333333333333331"/>
  </r>
  <r>
    <n v="4985"/>
    <n v="35461"/>
    <x v="682"/>
    <x v="41"/>
    <s v="Critical"/>
    <n v="11"/>
    <n v="48.75"/>
    <n v="0.08"/>
    <s v="Regular Air"/>
    <n v="3.5020000000000002"/>
    <n v="4.49"/>
    <n v="1.49"/>
    <x v="423"/>
    <x v="3"/>
    <x v="3"/>
    <x v="2"/>
    <x v="0"/>
    <x v="2"/>
    <x v="766"/>
    <s v="Small Box"/>
    <n v="0.39"/>
    <d v="2009-06-01T00:00:00"/>
    <n v="0"/>
    <n v="0"/>
    <n v="0.5"/>
    <n v="0.5"/>
  </r>
  <r>
    <n v="4986"/>
    <n v="35461"/>
    <x v="682"/>
    <x v="41"/>
    <s v="Critical"/>
    <n v="30"/>
    <n v="112.6"/>
    <n v="0.04"/>
    <s v="Regular Air"/>
    <n v="-25.99"/>
    <n v="3.68"/>
    <n v="1.32"/>
    <x v="423"/>
    <x v="3"/>
    <x v="3"/>
    <x v="2"/>
    <x v="0"/>
    <x v="15"/>
    <x v="144"/>
    <s v="Wrap Bag"/>
    <n v="0.83"/>
    <d v="2009-06-02T00:00:00"/>
    <n v="0"/>
    <n v="0"/>
    <n v="0.5"/>
    <n v="0.5"/>
  </r>
  <r>
    <n v="5000"/>
    <n v="35590"/>
    <x v="727"/>
    <x v="45"/>
    <s v="Critical"/>
    <n v="4"/>
    <n v="423.95"/>
    <n v="0"/>
    <s v="Regular Air"/>
    <n v="-263.95"/>
    <n v="99.99"/>
    <n v="19.989999999999998"/>
    <x v="583"/>
    <x v="3"/>
    <x v="3"/>
    <x v="0"/>
    <x v="1"/>
    <x v="7"/>
    <x v="218"/>
    <s v="Small Box"/>
    <n v="0.52"/>
    <d v="2012-12-03T00:00:00"/>
    <n v="0"/>
    <n v="0"/>
    <n v="1"/>
    <n v="1"/>
  </r>
  <r>
    <n v="5006"/>
    <n v="35687"/>
    <x v="592"/>
    <x v="27"/>
    <s v="Not Specified"/>
    <n v="48"/>
    <n v="620.23"/>
    <n v="0.06"/>
    <s v="Express Air"/>
    <n v="115.24"/>
    <n v="12.64"/>
    <n v="4.9800000000000004"/>
    <x v="594"/>
    <x v="3"/>
    <x v="3"/>
    <x v="3"/>
    <x v="2"/>
    <x v="4"/>
    <x v="774"/>
    <s v="Small Pack"/>
    <n v="0.48"/>
    <d v="2011-11-19T00:00:00"/>
    <n v="0"/>
    <n v="0"/>
    <n v="1"/>
    <n v="1"/>
  </r>
  <r>
    <n v="5011"/>
    <n v="35776"/>
    <x v="391"/>
    <x v="40"/>
    <s v="Medium"/>
    <n v="9"/>
    <n v="118.66"/>
    <n v="0.05"/>
    <s v="Regular Air"/>
    <n v="32.682499999999997"/>
    <n v="12.97"/>
    <n v="1.49"/>
    <x v="438"/>
    <x v="3"/>
    <x v="3"/>
    <x v="1"/>
    <x v="0"/>
    <x v="2"/>
    <x v="941"/>
    <s v="Small Box"/>
    <n v="0.35"/>
    <d v="2009-02-06T00:00:00"/>
    <n v="0"/>
    <n v="0"/>
    <n v="0.5"/>
    <n v="0.5"/>
  </r>
  <r>
    <n v="5012"/>
    <n v="35776"/>
    <x v="391"/>
    <x v="40"/>
    <s v="Medium"/>
    <n v="36"/>
    <n v="213.74"/>
    <n v="0.06"/>
    <s v="Regular Air"/>
    <n v="-32.15"/>
    <n v="5.81"/>
    <n v="3.37"/>
    <x v="438"/>
    <x v="3"/>
    <x v="3"/>
    <x v="1"/>
    <x v="0"/>
    <x v="6"/>
    <x v="622"/>
    <s v="Wrap Bag"/>
    <n v="0.54"/>
    <d v="2009-02-06T00:00:00"/>
    <n v="0"/>
    <n v="0"/>
    <n v="0.5"/>
    <n v="0.5"/>
  </r>
  <r>
    <n v="5015"/>
    <n v="35782"/>
    <x v="1293"/>
    <x v="21"/>
    <s v="Low"/>
    <n v="42"/>
    <n v="6427.18"/>
    <n v="0.09"/>
    <s v="Regular Air"/>
    <n v="2097.1030000000001"/>
    <n v="165.98"/>
    <n v="19.989999999999998"/>
    <x v="423"/>
    <x v="3"/>
    <x v="3"/>
    <x v="2"/>
    <x v="0"/>
    <x v="2"/>
    <x v="408"/>
    <s v="Small Box"/>
    <n v="0.4"/>
    <d v="2011-08-12T00:00:00"/>
    <n v="0"/>
    <n v="0"/>
    <n v="0.5"/>
    <n v="0.5"/>
  </r>
  <r>
    <n v="5016"/>
    <n v="35782"/>
    <x v="1293"/>
    <x v="21"/>
    <s v="Low"/>
    <n v="13"/>
    <n v="1330.73"/>
    <n v="0.06"/>
    <s v="Delivery Truck"/>
    <n v="-450.1"/>
    <n v="105.49"/>
    <n v="41.64"/>
    <x v="423"/>
    <x v="3"/>
    <x v="3"/>
    <x v="2"/>
    <x v="2"/>
    <x v="10"/>
    <x v="1017"/>
    <s v="Jumbo Box"/>
    <n v="0.75"/>
    <d v="2011-08-10T00:00:00"/>
    <n v="0"/>
    <n v="0"/>
    <n v="0.5"/>
    <n v="0.5"/>
  </r>
  <r>
    <n v="5022"/>
    <n v="35813"/>
    <x v="1165"/>
    <x v="46"/>
    <s v="Critical"/>
    <n v="21"/>
    <n v="7841.57"/>
    <n v="0.05"/>
    <s v="Express Air"/>
    <n v="2347.1799999999998"/>
    <n v="363.25"/>
    <n v="19.989999999999998"/>
    <x v="603"/>
    <x v="3"/>
    <x v="3"/>
    <x v="2"/>
    <x v="0"/>
    <x v="1"/>
    <x v="445"/>
    <s v="Small Box"/>
    <n v="0.56999999999999995"/>
    <d v="2009-04-21T00:00:00"/>
    <n v="0"/>
    <n v="0"/>
    <n v="0.5"/>
    <n v="0.5"/>
  </r>
  <r>
    <n v="5023"/>
    <n v="35813"/>
    <x v="1165"/>
    <x v="46"/>
    <s v="Critical"/>
    <n v="21"/>
    <n v="156.31"/>
    <n v="0.06"/>
    <s v="Express Air"/>
    <n v="-9.81"/>
    <n v="7.59"/>
    <n v="4"/>
    <x v="603"/>
    <x v="3"/>
    <x v="3"/>
    <x v="2"/>
    <x v="2"/>
    <x v="4"/>
    <x v="378"/>
    <s v="Wrap Bag"/>
    <n v="0.42"/>
    <d v="2009-04-21T00:00:00"/>
    <n v="0"/>
    <n v="0"/>
    <n v="0.5"/>
    <n v="0.5"/>
  </r>
  <r>
    <n v="5050"/>
    <n v="36003"/>
    <x v="1044"/>
    <x v="0"/>
    <s v="Medium"/>
    <n v="40"/>
    <n v="207.42"/>
    <n v="0.04"/>
    <s v="Regular Air"/>
    <n v="-115.345"/>
    <n v="4.91"/>
    <n v="5.68"/>
    <x v="576"/>
    <x v="3"/>
    <x v="3"/>
    <x v="1"/>
    <x v="0"/>
    <x v="2"/>
    <x v="980"/>
    <s v="Small Box"/>
    <n v="0.36"/>
    <d v="2010-11-02T00:00:00"/>
    <n v="0"/>
    <n v="0"/>
    <n v="0.5"/>
    <n v="0.5"/>
  </r>
  <r>
    <n v="5051"/>
    <n v="36003"/>
    <x v="1044"/>
    <x v="0"/>
    <s v="Medium"/>
    <n v="48"/>
    <n v="1031.18"/>
    <n v="0.01"/>
    <s v="Regular Air"/>
    <n v="349.82"/>
    <n v="19.98"/>
    <n v="5.77"/>
    <x v="576"/>
    <x v="3"/>
    <x v="3"/>
    <x v="1"/>
    <x v="0"/>
    <x v="5"/>
    <x v="93"/>
    <s v="Small Box"/>
    <n v="0.38"/>
    <d v="2010-11-02T00:00:00"/>
    <n v="0"/>
    <n v="0"/>
    <n v="0.5"/>
    <n v="0.5"/>
  </r>
  <r>
    <n v="5065"/>
    <n v="36102"/>
    <x v="304"/>
    <x v="39"/>
    <s v="Not Specified"/>
    <n v="36"/>
    <n v="461.4"/>
    <n v="0.03"/>
    <s v="Regular Air"/>
    <n v="36.39"/>
    <n v="12.07"/>
    <n v="6.2"/>
    <x v="438"/>
    <x v="3"/>
    <x v="3"/>
    <x v="1"/>
    <x v="2"/>
    <x v="4"/>
    <x v="1180"/>
    <s v="Wrap Bag"/>
    <n v="0.52"/>
    <d v="2010-05-21T00:00:00"/>
    <n v="0"/>
    <n v="0"/>
    <n v="1"/>
    <n v="1"/>
  </r>
  <r>
    <n v="5094"/>
    <n v="36295"/>
    <x v="1227"/>
    <x v="18"/>
    <s v="Medium"/>
    <n v="10"/>
    <n v="278.10000000000002"/>
    <n v="0.09"/>
    <s v="Regular Air"/>
    <n v="68.102000000000004"/>
    <n v="30.56"/>
    <n v="2.99"/>
    <x v="606"/>
    <x v="3"/>
    <x v="3"/>
    <x v="2"/>
    <x v="0"/>
    <x v="2"/>
    <x v="142"/>
    <s v="Small Box"/>
    <n v="0.35"/>
    <d v="2010-09-06T00:00:00"/>
    <n v="0"/>
    <n v="0"/>
    <n v="1"/>
    <n v="1"/>
  </r>
  <r>
    <n v="5095"/>
    <n v="36323"/>
    <x v="918"/>
    <x v="0"/>
    <s v="High"/>
    <n v="5"/>
    <n v="85.89"/>
    <n v="0.08"/>
    <s v="Regular Air"/>
    <n v="-48.88"/>
    <n v="15.98"/>
    <n v="6.5"/>
    <x v="586"/>
    <x v="3"/>
    <x v="3"/>
    <x v="2"/>
    <x v="1"/>
    <x v="7"/>
    <x v="404"/>
    <s v="Small Box"/>
    <n v="0.48"/>
    <d v="2010-10-20T00:00:00"/>
    <n v="0"/>
    <n v="0"/>
    <n v="1"/>
    <n v="1"/>
  </r>
  <r>
    <n v="5096"/>
    <n v="36354"/>
    <x v="470"/>
    <x v="8"/>
    <s v="Medium"/>
    <n v="13"/>
    <n v="4567.3599999999997"/>
    <n v="7.0000000000000007E-2"/>
    <s v="Regular Air"/>
    <n v="889.31"/>
    <n v="363.25"/>
    <n v="19.989999999999998"/>
    <x v="602"/>
    <x v="3"/>
    <x v="3"/>
    <x v="3"/>
    <x v="0"/>
    <x v="1"/>
    <x v="445"/>
    <s v="Small Box"/>
    <n v="0.56999999999999995"/>
    <d v="2012-06-07T00:00:00"/>
    <n v="0"/>
    <n v="0"/>
    <n v="1"/>
    <n v="1"/>
  </r>
  <r>
    <n v="5126"/>
    <n v="36512"/>
    <x v="677"/>
    <x v="33"/>
    <s v="Not Specified"/>
    <n v="30"/>
    <n v="10413.67"/>
    <n v="0.04"/>
    <s v="Delivery Truck"/>
    <n v="1099.29"/>
    <n v="355.98"/>
    <n v="58.92"/>
    <x v="572"/>
    <x v="3"/>
    <x v="3"/>
    <x v="0"/>
    <x v="2"/>
    <x v="14"/>
    <x v="145"/>
    <s v="Jumbo Drum"/>
    <n v="0.64"/>
    <d v="2012-03-29T00:00:00"/>
    <n v="0"/>
    <n v="0"/>
    <n v="0.5"/>
    <n v="0.5"/>
  </r>
  <r>
    <n v="5127"/>
    <n v="36512"/>
    <x v="677"/>
    <x v="33"/>
    <s v="Not Specified"/>
    <n v="3"/>
    <n v="71.489999999999995"/>
    <n v="0.06"/>
    <s v="Regular Air"/>
    <n v="41.98"/>
    <n v="19.989999999999998"/>
    <n v="11.17"/>
    <x v="572"/>
    <x v="3"/>
    <x v="3"/>
    <x v="0"/>
    <x v="2"/>
    <x v="4"/>
    <x v="220"/>
    <s v="Large Box"/>
    <n v="0.6"/>
    <d v="2012-03-31T00:00:00"/>
    <n v="0"/>
    <n v="0"/>
    <n v="0.5"/>
    <n v="0.5"/>
  </r>
  <r>
    <n v="5198"/>
    <n v="36932"/>
    <x v="227"/>
    <x v="36"/>
    <s v="Low"/>
    <n v="20"/>
    <n v="668.8"/>
    <n v="0.04"/>
    <s v="Regular Air"/>
    <n v="92.34"/>
    <n v="33.89"/>
    <n v="5.0999999999999996"/>
    <x v="537"/>
    <x v="3"/>
    <x v="3"/>
    <x v="3"/>
    <x v="0"/>
    <x v="0"/>
    <x v="1178"/>
    <s v="Small Box"/>
    <n v="0.6"/>
    <d v="2009-07-12T00:00:00"/>
    <n v="0"/>
    <n v="0"/>
    <n v="1"/>
    <n v="1"/>
  </r>
  <r>
    <n v="5211"/>
    <n v="37025"/>
    <x v="410"/>
    <x v="11"/>
    <s v="High"/>
    <n v="37"/>
    <n v="641.89"/>
    <n v="0.03"/>
    <s v="Regular Air"/>
    <n v="207.3"/>
    <n v="17.48"/>
    <n v="1.99"/>
    <x v="603"/>
    <x v="3"/>
    <x v="3"/>
    <x v="2"/>
    <x v="1"/>
    <x v="7"/>
    <x v="814"/>
    <s v="Small Pack"/>
    <n v="0.45"/>
    <d v="2009-11-11T00:00:00"/>
    <n v="0"/>
    <n v="0"/>
    <n v="1"/>
    <n v="1"/>
  </r>
  <r>
    <n v="5216"/>
    <n v="37124"/>
    <x v="1103"/>
    <x v="33"/>
    <s v="Low"/>
    <n v="33"/>
    <n v="21205.5"/>
    <n v="0.1"/>
    <s v="Regular Air"/>
    <n v="241.3"/>
    <n v="699.99"/>
    <n v="24.49"/>
    <x v="423"/>
    <x v="3"/>
    <x v="3"/>
    <x v="2"/>
    <x v="1"/>
    <x v="13"/>
    <x v="286"/>
    <s v="Large Box"/>
    <n v="0.41"/>
    <d v="2012-04-01T00:00:00"/>
    <n v="0"/>
    <n v="0"/>
    <n v="1"/>
    <n v="1"/>
  </r>
  <r>
    <n v="5293"/>
    <n v="37696"/>
    <x v="1254"/>
    <x v="36"/>
    <s v="Not Specified"/>
    <n v="5"/>
    <n v="24.09"/>
    <n v="0.04"/>
    <s v="Regular Air"/>
    <n v="-20.2285"/>
    <n v="3.81"/>
    <n v="5.44"/>
    <x v="573"/>
    <x v="3"/>
    <x v="3"/>
    <x v="2"/>
    <x v="0"/>
    <x v="2"/>
    <x v="415"/>
    <s v="Small Box"/>
    <n v="0.36"/>
    <d v="2009-07-11T00:00:00"/>
    <n v="0"/>
    <n v="0"/>
    <n v="0.5"/>
    <n v="0.5"/>
  </r>
  <r>
    <n v="5294"/>
    <n v="37696"/>
    <x v="1254"/>
    <x v="36"/>
    <s v="Not Specified"/>
    <n v="41"/>
    <n v="173.27"/>
    <n v="0.02"/>
    <s v="Regular Air"/>
    <n v="51.29"/>
    <n v="4"/>
    <n v="1.3"/>
    <x v="573"/>
    <x v="3"/>
    <x v="3"/>
    <x v="2"/>
    <x v="0"/>
    <x v="5"/>
    <x v="910"/>
    <s v="Wrap Bag"/>
    <n v="0.37"/>
    <d v="2009-07-09T00:00:00"/>
    <n v="0"/>
    <n v="0"/>
    <n v="0.5"/>
    <n v="0.5"/>
  </r>
  <r>
    <n v="5296"/>
    <n v="37702"/>
    <x v="887"/>
    <x v="4"/>
    <s v="Not Specified"/>
    <n v="44"/>
    <n v="601.78"/>
    <n v="0.05"/>
    <s v="Regular Air"/>
    <n v="26.44"/>
    <n v="13.48"/>
    <n v="4.51"/>
    <x v="576"/>
    <x v="3"/>
    <x v="3"/>
    <x v="1"/>
    <x v="0"/>
    <x v="0"/>
    <x v="27"/>
    <s v="Small Box"/>
    <n v="0.59"/>
    <d v="2011-06-12T00:00:00"/>
    <n v="0"/>
    <n v="0"/>
    <n v="1"/>
    <n v="1"/>
  </r>
  <r>
    <n v="5313"/>
    <n v="37794"/>
    <x v="922"/>
    <x v="28"/>
    <s v="Low"/>
    <n v="6"/>
    <n v="60.67"/>
    <n v="0.08"/>
    <s v="Regular Air"/>
    <n v="10.29"/>
    <n v="9.48"/>
    <n v="7.29"/>
    <x v="403"/>
    <x v="3"/>
    <x v="3"/>
    <x v="0"/>
    <x v="2"/>
    <x v="4"/>
    <x v="722"/>
    <s v="Small Pack"/>
    <n v="0.45"/>
    <d v="2009-03-26T00:00:00"/>
    <n v="0"/>
    <n v="0"/>
    <n v="0.5"/>
    <n v="0.5"/>
  </r>
  <r>
    <n v="5314"/>
    <n v="37794"/>
    <x v="922"/>
    <x v="28"/>
    <s v="Low"/>
    <n v="32"/>
    <n v="6195.87"/>
    <n v="0.03"/>
    <s v="Regular Air"/>
    <n v="781.03"/>
    <n v="193.17"/>
    <n v="19.989999999999998"/>
    <x v="403"/>
    <x v="3"/>
    <x v="3"/>
    <x v="0"/>
    <x v="0"/>
    <x v="0"/>
    <x v="219"/>
    <s v="Small Box"/>
    <n v="0.71"/>
    <d v="2009-03-28T00:00:00"/>
    <n v="0"/>
    <n v="0"/>
    <n v="0.5"/>
    <n v="0.5"/>
  </r>
  <r>
    <n v="5344"/>
    <n v="37987"/>
    <x v="346"/>
    <x v="36"/>
    <s v="High"/>
    <n v="26"/>
    <n v="299.07"/>
    <n v="0.1"/>
    <s v="Regular Air"/>
    <n v="137.47"/>
    <n v="12.53"/>
    <n v="0.49"/>
    <x v="577"/>
    <x v="3"/>
    <x v="3"/>
    <x v="2"/>
    <x v="0"/>
    <x v="11"/>
    <x v="1179"/>
    <s v="Small Box"/>
    <n v="0.38"/>
    <d v="2009-07-04T00:00:00"/>
    <n v="0"/>
    <n v="0"/>
    <n v="0.5"/>
    <n v="0.5"/>
  </r>
  <r>
    <n v="5345"/>
    <n v="37987"/>
    <x v="346"/>
    <x v="36"/>
    <s v="High"/>
    <n v="5"/>
    <n v="708.87"/>
    <n v="0.1"/>
    <s v="Delivery Truck"/>
    <n v="-270.85000000000002"/>
    <n v="146.34"/>
    <n v="43.75"/>
    <x v="577"/>
    <x v="3"/>
    <x v="3"/>
    <x v="2"/>
    <x v="2"/>
    <x v="10"/>
    <x v="99"/>
    <s v="Jumbo Box"/>
    <n v="0.64"/>
    <d v="2009-07-04T00:00:00"/>
    <n v="0"/>
    <n v="0"/>
    <n v="0.5"/>
    <n v="0.5"/>
  </r>
  <r>
    <n v="5392"/>
    <n v="38340"/>
    <x v="950"/>
    <x v="22"/>
    <s v="Critical"/>
    <n v="36"/>
    <n v="2167.0500000000002"/>
    <n v="0.02"/>
    <s v="Regular Air"/>
    <n v="684.9"/>
    <n v="60.22"/>
    <n v="3.5"/>
    <x v="151"/>
    <x v="3"/>
    <x v="3"/>
    <x v="2"/>
    <x v="0"/>
    <x v="1"/>
    <x v="477"/>
    <s v="Small Box"/>
    <n v="0.56999999999999995"/>
    <d v="2009-01-21T00:00:00"/>
    <n v="0"/>
    <n v="1"/>
    <n v="1"/>
    <n v="0.25"/>
  </r>
  <r>
    <n v="5419"/>
    <n v="38528"/>
    <x v="710"/>
    <x v="25"/>
    <s v="Critical"/>
    <n v="10"/>
    <n v="70.02"/>
    <n v="7.0000000000000007E-2"/>
    <s v="Regular Air"/>
    <n v="22.62"/>
    <n v="7.31"/>
    <n v="0.5"/>
    <x v="214"/>
    <x v="3"/>
    <x v="3"/>
    <x v="0"/>
    <x v="0"/>
    <x v="11"/>
    <x v="1209"/>
    <s v="Small Box"/>
    <n v="0.38"/>
    <d v="2011-12-22T00:00:00"/>
    <n v="0"/>
    <n v="0"/>
    <n v="0.5"/>
    <n v="0.25"/>
  </r>
  <r>
    <n v="5459"/>
    <n v="38786"/>
    <x v="324"/>
    <x v="4"/>
    <s v="Medium"/>
    <n v="10"/>
    <n v="236.17"/>
    <n v="0.09"/>
    <s v="Delivery Truck"/>
    <n v="-21.39"/>
    <n v="23.99"/>
    <n v="15.68"/>
    <x v="134"/>
    <x v="3"/>
    <x v="3"/>
    <x v="1"/>
    <x v="2"/>
    <x v="4"/>
    <x v="1001"/>
    <s v="Jumbo Drum"/>
    <n v="0.62"/>
    <d v="2011-06-20T00:00:00"/>
    <n v="0"/>
    <n v="0"/>
    <n v="1"/>
    <n v="1"/>
  </r>
  <r>
    <n v="5468"/>
    <n v="38852"/>
    <x v="1294"/>
    <x v="11"/>
    <s v="Not Specified"/>
    <n v="25"/>
    <n v="152.31"/>
    <n v="0.03"/>
    <s v="Regular Air"/>
    <n v="38.08"/>
    <n v="5.98"/>
    <n v="1.49"/>
    <x v="338"/>
    <x v="3"/>
    <x v="3"/>
    <x v="0"/>
    <x v="0"/>
    <x v="2"/>
    <x v="986"/>
    <s v="Small Box"/>
    <n v="0.39"/>
    <d v="2009-11-03T00:00:00"/>
    <n v="0"/>
    <n v="0"/>
    <n v="1"/>
    <n v="1"/>
  </r>
  <r>
    <n v="5500"/>
    <n v="39008"/>
    <x v="1087"/>
    <x v="37"/>
    <s v="Not Specified"/>
    <n v="28"/>
    <n v="3582.79"/>
    <n v="0"/>
    <s v="Delivery Truck"/>
    <n v="-1177.1400000000001"/>
    <n v="122.99"/>
    <n v="70.2"/>
    <x v="585"/>
    <x v="3"/>
    <x v="3"/>
    <x v="2"/>
    <x v="2"/>
    <x v="14"/>
    <x v="301"/>
    <s v="Jumbo Drum"/>
    <n v="0.74"/>
    <d v="2011-04-30T00:00:00"/>
    <n v="0"/>
    <n v="0"/>
    <n v="1"/>
    <n v="1"/>
  </r>
  <r>
    <n v="5553"/>
    <n v="39331"/>
    <x v="386"/>
    <x v="31"/>
    <s v="High"/>
    <n v="23"/>
    <n v="149.4"/>
    <n v="0.06"/>
    <s v="Express Air"/>
    <n v="-126.0515"/>
    <n v="5.81"/>
    <n v="8.49"/>
    <x v="438"/>
    <x v="3"/>
    <x v="3"/>
    <x v="3"/>
    <x v="0"/>
    <x v="2"/>
    <x v="106"/>
    <s v="Small Box"/>
    <n v="0.39"/>
    <d v="2011-09-14T00:00:00"/>
    <n v="0"/>
    <n v="0"/>
    <n v="1"/>
    <n v="1"/>
  </r>
  <r>
    <n v="5565"/>
    <n v="39399"/>
    <x v="1295"/>
    <x v="45"/>
    <s v="Medium"/>
    <n v="28"/>
    <n v="303.97000000000003"/>
    <n v="0.1"/>
    <s v="Regular Air"/>
    <n v="23.298500000000001"/>
    <n v="10.98"/>
    <n v="5.14"/>
    <x v="598"/>
    <x v="3"/>
    <x v="3"/>
    <x v="3"/>
    <x v="0"/>
    <x v="2"/>
    <x v="508"/>
    <s v="Small Box"/>
    <n v="0.36"/>
    <d v="2012-12-19T00:00:00"/>
    <n v="0"/>
    <n v="0"/>
    <n v="1"/>
    <n v="1"/>
  </r>
  <r>
    <n v="5634"/>
    <n v="39876"/>
    <x v="584"/>
    <x v="13"/>
    <s v="High"/>
    <n v="43"/>
    <n v="16269.82"/>
    <n v="0.08"/>
    <s v="Regular Air"/>
    <n v="7050.3335000000006"/>
    <n v="387.99"/>
    <n v="19.989999999999998"/>
    <x v="590"/>
    <x v="3"/>
    <x v="3"/>
    <x v="1"/>
    <x v="0"/>
    <x v="2"/>
    <x v="243"/>
    <s v="Small Box"/>
    <n v="0.38"/>
    <d v="2012-04-15T00:00:00"/>
    <n v="0"/>
    <n v="0"/>
    <n v="0.33333333333333331"/>
    <n v="0.33333333333333331"/>
  </r>
  <r>
    <n v="5635"/>
    <n v="39876"/>
    <x v="584"/>
    <x v="13"/>
    <s v="High"/>
    <n v="46"/>
    <n v="876.59"/>
    <n v="0.05"/>
    <s v="Regular Air"/>
    <n v="233.59699999999998"/>
    <n v="18.989999999999998"/>
    <n v="5.23"/>
    <x v="590"/>
    <x v="3"/>
    <x v="3"/>
    <x v="1"/>
    <x v="0"/>
    <x v="2"/>
    <x v="232"/>
    <s v="Small Box"/>
    <n v="0.37"/>
    <d v="2012-04-15T00:00:00"/>
    <n v="0"/>
    <n v="0"/>
    <n v="0.33333333333333331"/>
    <n v="0.33333333333333331"/>
  </r>
  <r>
    <n v="5636"/>
    <n v="39876"/>
    <x v="584"/>
    <x v="13"/>
    <s v="High"/>
    <n v="41"/>
    <n v="5000.87"/>
    <n v="0.04"/>
    <s v="Delivery Truck"/>
    <n v="-593.23"/>
    <n v="124.49"/>
    <n v="51.94"/>
    <x v="590"/>
    <x v="3"/>
    <x v="3"/>
    <x v="1"/>
    <x v="2"/>
    <x v="10"/>
    <x v="307"/>
    <s v="Jumbo Box"/>
    <n v="0.63"/>
    <d v="2012-04-15T00:00:00"/>
    <n v="0"/>
    <n v="0"/>
    <n v="0.33333333333333331"/>
    <n v="0.33333333333333331"/>
  </r>
  <r>
    <n v="5657"/>
    <n v="40032"/>
    <x v="1080"/>
    <x v="32"/>
    <s v="Low"/>
    <n v="9"/>
    <n v="23300.12"/>
    <n v="0.06"/>
    <s v="Delivery Truck"/>
    <n v="-217.46519999999845"/>
    <n v="2550.14"/>
    <n v="29.7"/>
    <x v="403"/>
    <x v="3"/>
    <x v="3"/>
    <x v="0"/>
    <x v="1"/>
    <x v="16"/>
    <x v="380"/>
    <s v="Jumbo Drum"/>
    <n v="0.56999999999999995"/>
    <d v="2012-12-07T00:00:00"/>
    <n v="0"/>
    <n v="0"/>
    <n v="1"/>
    <n v="0.5"/>
  </r>
  <r>
    <n v="5696"/>
    <n v="40261"/>
    <x v="669"/>
    <x v="11"/>
    <s v="Critical"/>
    <n v="36"/>
    <n v="331.37"/>
    <n v="0.03"/>
    <s v="Express Air"/>
    <n v="-172.17"/>
    <n v="9.06"/>
    <n v="9.86"/>
    <x v="591"/>
    <x v="3"/>
    <x v="3"/>
    <x v="2"/>
    <x v="0"/>
    <x v="5"/>
    <x v="718"/>
    <s v="Small Box"/>
    <n v="0.4"/>
    <d v="2009-11-06T00:00:00"/>
    <n v="0"/>
    <n v="0"/>
    <n v="0.5"/>
    <n v="0.5"/>
  </r>
  <r>
    <n v="5697"/>
    <n v="40261"/>
    <x v="669"/>
    <x v="11"/>
    <s v="Critical"/>
    <n v="26"/>
    <n v="78.03"/>
    <n v="0.05"/>
    <s v="Regular Air"/>
    <n v="0.51"/>
    <n v="2.94"/>
    <n v="1.05"/>
    <x v="591"/>
    <x v="3"/>
    <x v="3"/>
    <x v="2"/>
    <x v="0"/>
    <x v="12"/>
    <x v="1210"/>
    <s v="Wrap Bag"/>
    <n v="0.57999999999999996"/>
    <d v="2009-11-06T00:00:00"/>
    <n v="0"/>
    <n v="0"/>
    <n v="0.5"/>
    <n v="0.5"/>
  </r>
  <r>
    <n v="5734"/>
    <n v="40706"/>
    <x v="417"/>
    <x v="23"/>
    <s v="Medium"/>
    <n v="40"/>
    <n v="111.04"/>
    <n v="0.08"/>
    <s v="Express Air"/>
    <n v="45.1"/>
    <n v="2.61"/>
    <n v="0.5"/>
    <x v="606"/>
    <x v="3"/>
    <x v="3"/>
    <x v="3"/>
    <x v="0"/>
    <x v="11"/>
    <x v="281"/>
    <s v="Small Box"/>
    <n v="0.39"/>
    <d v="2012-01-22T00:00:00"/>
    <n v="0"/>
    <n v="0"/>
    <n v="1"/>
    <n v="1"/>
  </r>
  <r>
    <n v="5736"/>
    <n v="40708"/>
    <x v="1296"/>
    <x v="19"/>
    <s v="Not Specified"/>
    <n v="15"/>
    <n v="103.55"/>
    <n v="0.03"/>
    <s v="Regular Air"/>
    <n v="19.59"/>
    <n v="6.68"/>
    <n v="1.5"/>
    <x v="604"/>
    <x v="3"/>
    <x v="3"/>
    <x v="2"/>
    <x v="0"/>
    <x v="12"/>
    <x v="463"/>
    <s v="Wrap Bag"/>
    <n v="0.48"/>
    <d v="2009-10-13T00:00:00"/>
    <n v="0"/>
    <n v="0"/>
    <n v="1"/>
    <n v="1"/>
  </r>
  <r>
    <n v="5772"/>
    <n v="40964"/>
    <x v="1112"/>
    <x v="10"/>
    <s v="Critical"/>
    <n v="40"/>
    <n v="301.12"/>
    <n v="0"/>
    <s v="Regular Air"/>
    <n v="-206.05"/>
    <n v="6.84"/>
    <n v="8.3699999999999992"/>
    <x v="585"/>
    <x v="3"/>
    <x v="3"/>
    <x v="2"/>
    <x v="0"/>
    <x v="15"/>
    <x v="277"/>
    <s v="Small Pack"/>
    <n v="0.57999999999999996"/>
    <d v="2011-05-26T00:00:00"/>
    <n v="0"/>
    <n v="0"/>
    <n v="1"/>
    <n v="1"/>
  </r>
  <r>
    <n v="5952"/>
    <n v="42243"/>
    <x v="855"/>
    <x v="33"/>
    <s v="Medium"/>
    <n v="42"/>
    <n v="1876.09"/>
    <n v="0.02"/>
    <s v="Regular Air"/>
    <n v="809.7355"/>
    <n v="43.41"/>
    <n v="2.99"/>
    <x v="469"/>
    <x v="3"/>
    <x v="3"/>
    <x v="0"/>
    <x v="0"/>
    <x v="2"/>
    <x v="96"/>
    <s v="Small Box"/>
    <n v="0.39"/>
    <d v="2012-03-13T00:00:00"/>
    <n v="0"/>
    <n v="0"/>
    <n v="0.5"/>
    <n v="0.33333333333333331"/>
  </r>
  <r>
    <n v="5953"/>
    <n v="42243"/>
    <x v="855"/>
    <x v="33"/>
    <s v="Medium"/>
    <n v="19"/>
    <n v="145.26"/>
    <n v="0.05"/>
    <s v="Regular Air"/>
    <n v="-35.75"/>
    <n v="7.35"/>
    <n v="5.96"/>
    <x v="469"/>
    <x v="3"/>
    <x v="3"/>
    <x v="0"/>
    <x v="0"/>
    <x v="5"/>
    <x v="844"/>
    <s v="Small Box"/>
    <n v="0.38"/>
    <d v="2012-03-13T00:00:00"/>
    <n v="0"/>
    <n v="0"/>
    <n v="0.5"/>
    <n v="0.33333333333333331"/>
  </r>
  <r>
    <n v="5987"/>
    <n v="42437"/>
    <x v="1297"/>
    <x v="33"/>
    <s v="Critical"/>
    <n v="43"/>
    <n v="19461.8"/>
    <n v="0.06"/>
    <s v="Delivery Truck"/>
    <n v="7752.01"/>
    <n v="449.99"/>
    <n v="49"/>
    <x v="541"/>
    <x v="3"/>
    <x v="3"/>
    <x v="2"/>
    <x v="1"/>
    <x v="13"/>
    <x v="26"/>
    <s v="Jumbo Drum"/>
    <n v="0.38"/>
    <d v="2012-03-07T00:00:00"/>
    <n v="0"/>
    <n v="0"/>
    <n v="0.5"/>
    <n v="0.5"/>
  </r>
  <r>
    <n v="5988"/>
    <n v="42437"/>
    <x v="1297"/>
    <x v="33"/>
    <s v="Critical"/>
    <n v="14"/>
    <n v="313.85000000000002"/>
    <n v="0.03"/>
    <s v="Regular Air"/>
    <n v="-31.37"/>
    <n v="21.38"/>
    <n v="8.99"/>
    <x v="541"/>
    <x v="3"/>
    <x v="3"/>
    <x v="2"/>
    <x v="0"/>
    <x v="12"/>
    <x v="311"/>
    <s v="Small Pack"/>
    <n v="0.59"/>
    <d v="2012-03-06T00:00:00"/>
    <n v="0"/>
    <n v="0"/>
    <n v="0.5"/>
    <n v="0.5"/>
  </r>
  <r>
    <n v="6051"/>
    <n v="42887"/>
    <x v="1071"/>
    <x v="8"/>
    <s v="Medium"/>
    <n v="3"/>
    <n v="35.68"/>
    <n v="0.01"/>
    <s v="Regular Air"/>
    <n v="-11.43"/>
    <n v="9.7799999999999994"/>
    <n v="5.76"/>
    <x v="603"/>
    <x v="3"/>
    <x v="3"/>
    <x v="1"/>
    <x v="0"/>
    <x v="8"/>
    <x v="430"/>
    <s v="Small Box"/>
    <n v="0.35"/>
    <d v="2012-06-11T00:00:00"/>
    <n v="0"/>
    <n v="0"/>
    <n v="0.33333333333333331"/>
    <n v="0.33333333333333331"/>
  </r>
  <r>
    <n v="6052"/>
    <n v="42887"/>
    <x v="1071"/>
    <x v="8"/>
    <s v="Medium"/>
    <n v="11"/>
    <n v="234.76"/>
    <n v="0.04"/>
    <s v="Regular Air"/>
    <n v="-45.65"/>
    <n v="21.38"/>
    <n v="8.99"/>
    <x v="603"/>
    <x v="3"/>
    <x v="3"/>
    <x v="1"/>
    <x v="0"/>
    <x v="12"/>
    <x v="311"/>
    <s v="Small Pack"/>
    <n v="0.59"/>
    <d v="2012-06-12T00:00:00"/>
    <n v="0"/>
    <n v="0"/>
    <n v="0.33333333333333331"/>
    <n v="0.33333333333333331"/>
  </r>
  <r>
    <n v="6053"/>
    <n v="42887"/>
    <x v="1071"/>
    <x v="8"/>
    <s v="Medium"/>
    <n v="3"/>
    <n v="498.49"/>
    <n v="0.01"/>
    <s v="Delivery Truck"/>
    <n v="-251.41"/>
    <n v="145.97999999999999"/>
    <n v="51.92"/>
    <x v="603"/>
    <x v="3"/>
    <x v="3"/>
    <x v="1"/>
    <x v="2"/>
    <x v="10"/>
    <x v="726"/>
    <s v="Jumbo Box"/>
    <n v="0.69"/>
    <d v="2012-06-12T00:00:00"/>
    <n v="0"/>
    <n v="0"/>
    <n v="0.33333333333333331"/>
    <n v="0.33333333333333331"/>
  </r>
  <r>
    <n v="6088"/>
    <n v="43137"/>
    <x v="557"/>
    <x v="44"/>
    <s v="High"/>
    <n v="40"/>
    <n v="6069.05"/>
    <n v="0.05"/>
    <s v="Regular Air"/>
    <n v="1816.71"/>
    <n v="155.06"/>
    <n v="7.07"/>
    <x v="576"/>
    <x v="3"/>
    <x v="3"/>
    <x v="1"/>
    <x v="0"/>
    <x v="0"/>
    <x v="376"/>
    <s v="Small Box"/>
    <n v="0.59"/>
    <d v="2011-02-27T00:00:00"/>
    <n v="0"/>
    <n v="0"/>
    <n v="1"/>
    <n v="1"/>
  </r>
  <r>
    <n v="6151"/>
    <n v="43554"/>
    <x v="1109"/>
    <x v="19"/>
    <s v="Critical"/>
    <n v="9"/>
    <n v="34.18"/>
    <n v="0.06"/>
    <s v="Regular Air"/>
    <n v="-5.46"/>
    <n v="3.6"/>
    <n v="2.2000000000000002"/>
    <x v="608"/>
    <x v="3"/>
    <x v="3"/>
    <x v="1"/>
    <x v="0"/>
    <x v="5"/>
    <x v="996"/>
    <s v="Wrap Bag"/>
    <n v="0.39"/>
    <d v="2009-11-02T00:00:00"/>
    <n v="0"/>
    <n v="0"/>
    <n v="1"/>
    <n v="0.5"/>
  </r>
  <r>
    <n v="6178"/>
    <n v="43782"/>
    <x v="255"/>
    <x v="7"/>
    <s v="Medium"/>
    <n v="27"/>
    <n v="194.35"/>
    <n v="0"/>
    <s v="Regular Air"/>
    <n v="30.880499999999998"/>
    <n v="6.75"/>
    <n v="2.99"/>
    <x v="612"/>
    <x v="3"/>
    <x v="3"/>
    <x v="1"/>
    <x v="0"/>
    <x v="2"/>
    <x v="239"/>
    <s v="Small Box"/>
    <n v="0.35"/>
    <d v="2010-11-15T00:00:00"/>
    <n v="0"/>
    <n v="0"/>
    <n v="1"/>
    <n v="1"/>
  </r>
  <r>
    <n v="6195"/>
    <n v="43904"/>
    <x v="973"/>
    <x v="39"/>
    <s v="Not Specified"/>
    <n v="43"/>
    <n v="413.83"/>
    <n v="0.08"/>
    <s v="Regular Air"/>
    <n v="111.74"/>
    <n v="10.01"/>
    <n v="1.99"/>
    <x v="403"/>
    <x v="3"/>
    <x v="3"/>
    <x v="0"/>
    <x v="1"/>
    <x v="7"/>
    <x v="319"/>
    <s v="Small Pack"/>
    <n v="0.41"/>
    <d v="2010-05-03T00:00:00"/>
    <n v="0"/>
    <n v="0"/>
    <n v="0.5"/>
    <n v="0.33333333333333331"/>
  </r>
  <r>
    <n v="6196"/>
    <n v="43904"/>
    <x v="973"/>
    <x v="39"/>
    <s v="Not Specified"/>
    <n v="30"/>
    <n v="3339.65"/>
    <n v="0.01"/>
    <s v="Regular Air"/>
    <n v="788.50800000000004"/>
    <n v="125.99"/>
    <n v="7.69"/>
    <x v="403"/>
    <x v="3"/>
    <x v="3"/>
    <x v="0"/>
    <x v="1"/>
    <x v="3"/>
    <x v="44"/>
    <s v="Small Box"/>
    <n v="0.57999999999999996"/>
    <d v="2010-05-02T00:00:00"/>
    <n v="0"/>
    <n v="0"/>
    <n v="0.5"/>
    <n v="0.33333333333333331"/>
  </r>
  <r>
    <n v="6197"/>
    <n v="43906"/>
    <x v="156"/>
    <x v="12"/>
    <s v="High"/>
    <n v="50"/>
    <n v="3601.07"/>
    <n v="0.04"/>
    <s v="Regular Air"/>
    <n v="174.8"/>
    <n v="73.98"/>
    <n v="14.52"/>
    <x v="573"/>
    <x v="3"/>
    <x v="3"/>
    <x v="2"/>
    <x v="1"/>
    <x v="7"/>
    <x v="640"/>
    <s v="Small Box"/>
    <n v="0.65"/>
    <d v="2012-02-09T00:00:00"/>
    <n v="0"/>
    <n v="0"/>
    <n v="1"/>
    <n v="1"/>
  </r>
  <r>
    <n v="6221"/>
    <n v="44064"/>
    <x v="697"/>
    <x v="14"/>
    <s v="Medium"/>
    <n v="43"/>
    <n v="468.48"/>
    <n v="7.0000000000000007E-2"/>
    <s v="Express Air"/>
    <n v="-213.49"/>
    <n v="11.34"/>
    <n v="11.25"/>
    <x v="474"/>
    <x v="3"/>
    <x v="3"/>
    <x v="1"/>
    <x v="0"/>
    <x v="5"/>
    <x v="946"/>
    <s v="Small Box"/>
    <n v="0.36"/>
    <d v="2010-03-05T00:00:00"/>
    <n v="0"/>
    <n v="0"/>
    <n v="0.5"/>
    <n v="0.5"/>
  </r>
  <r>
    <n v="6222"/>
    <n v="44064"/>
    <x v="697"/>
    <x v="14"/>
    <s v="Medium"/>
    <n v="23"/>
    <n v="284.14"/>
    <n v="0.05"/>
    <s v="Regular Air"/>
    <n v="-104.18"/>
    <n v="11.66"/>
    <n v="8.99"/>
    <x v="474"/>
    <x v="3"/>
    <x v="3"/>
    <x v="1"/>
    <x v="0"/>
    <x v="12"/>
    <x v="372"/>
    <s v="Small Pack"/>
    <n v="0.59"/>
    <d v="2010-03-06T00:00:00"/>
    <n v="0"/>
    <n v="0"/>
    <n v="0.5"/>
    <n v="0.5"/>
  </r>
  <r>
    <n v="6240"/>
    <n v="44224"/>
    <x v="712"/>
    <x v="3"/>
    <s v="High"/>
    <n v="32"/>
    <n v="198.7"/>
    <n v="0.1"/>
    <s v="Regular Air"/>
    <n v="-62.13"/>
    <n v="6.48"/>
    <n v="2.74"/>
    <x v="337"/>
    <x v="3"/>
    <x v="3"/>
    <x v="2"/>
    <x v="1"/>
    <x v="7"/>
    <x v="865"/>
    <s v="Small Pack"/>
    <n v="0.71"/>
    <d v="2010-08-10T00:00:00"/>
    <n v="0"/>
    <n v="0"/>
    <n v="1"/>
    <n v="1"/>
  </r>
  <r>
    <n v="6264"/>
    <n v="44325"/>
    <x v="948"/>
    <x v="40"/>
    <s v="Medium"/>
    <n v="44"/>
    <n v="951.33"/>
    <n v="0"/>
    <s v="Regular Air"/>
    <n v="-60.66"/>
    <n v="20.28"/>
    <n v="14.39"/>
    <x v="613"/>
    <x v="3"/>
    <x v="3"/>
    <x v="2"/>
    <x v="2"/>
    <x v="4"/>
    <x v="693"/>
    <s v="Small Box"/>
    <n v="0.47"/>
    <d v="2009-02-12T00:00:00"/>
    <n v="0"/>
    <n v="0"/>
    <n v="1"/>
    <n v="1"/>
  </r>
  <r>
    <n v="6274"/>
    <n v="44422"/>
    <x v="584"/>
    <x v="13"/>
    <s v="Medium"/>
    <n v="1"/>
    <n v="15.72"/>
    <n v="0"/>
    <s v="Regular Air"/>
    <n v="-6.1"/>
    <n v="10.89"/>
    <n v="4.5"/>
    <x v="575"/>
    <x v="3"/>
    <x v="3"/>
    <x v="2"/>
    <x v="0"/>
    <x v="1"/>
    <x v="225"/>
    <s v="Small Box"/>
    <n v="0.59"/>
    <d v="2012-04-15T00:00:00"/>
    <n v="0"/>
    <n v="0"/>
    <n v="0.33333333333333331"/>
    <n v="0.33333333333333331"/>
  </r>
  <r>
    <n v="6275"/>
    <n v="44422"/>
    <x v="584"/>
    <x v="13"/>
    <s v="Medium"/>
    <n v="36"/>
    <n v="313.83"/>
    <n v="0.08"/>
    <s v="Regular Air"/>
    <n v="56.78"/>
    <n v="8.69"/>
    <n v="2.99"/>
    <x v="575"/>
    <x v="3"/>
    <x v="3"/>
    <x v="2"/>
    <x v="0"/>
    <x v="2"/>
    <x v="2"/>
    <s v="Small Box"/>
    <n v="0.39"/>
    <d v="2012-04-15T00:00:00"/>
    <n v="0"/>
    <n v="0"/>
    <n v="0.33333333333333331"/>
    <n v="0.33333333333333331"/>
  </r>
  <r>
    <n v="6276"/>
    <n v="44422"/>
    <x v="584"/>
    <x v="13"/>
    <s v="Medium"/>
    <n v="11"/>
    <n v="201.59449999999998"/>
    <n v="0.04"/>
    <s v="Regular Air"/>
    <n v="32.31"/>
    <n v="20.99"/>
    <n v="0.99"/>
    <x v="575"/>
    <x v="3"/>
    <x v="3"/>
    <x v="2"/>
    <x v="1"/>
    <x v="3"/>
    <x v="163"/>
    <s v="Wrap Bag"/>
    <n v="0.37"/>
    <d v="2012-04-15T00:00:00"/>
    <n v="0"/>
    <n v="0"/>
    <n v="0.33333333333333331"/>
    <n v="0.33333333333333331"/>
  </r>
  <r>
    <n v="6300"/>
    <n v="44609"/>
    <x v="324"/>
    <x v="4"/>
    <s v="Low"/>
    <n v="28"/>
    <n v="525.4"/>
    <n v="0.08"/>
    <s v="Regular Air"/>
    <n v="126.49"/>
    <n v="19.84"/>
    <n v="4.0999999999999996"/>
    <x v="403"/>
    <x v="3"/>
    <x v="3"/>
    <x v="0"/>
    <x v="0"/>
    <x v="12"/>
    <x v="92"/>
    <s v="Wrap Bag"/>
    <n v="0.44"/>
    <d v="2011-06-23T00:00:00"/>
    <n v="0"/>
    <n v="0"/>
    <n v="0.5"/>
    <n v="0.5"/>
  </r>
  <r>
    <n v="6301"/>
    <n v="44609"/>
    <x v="324"/>
    <x v="4"/>
    <s v="Low"/>
    <n v="37"/>
    <n v="61.77"/>
    <n v="0.04"/>
    <s v="Express Air"/>
    <n v="12.65"/>
    <n v="1.48"/>
    <n v="0.7"/>
    <x v="403"/>
    <x v="3"/>
    <x v="3"/>
    <x v="0"/>
    <x v="0"/>
    <x v="6"/>
    <x v="476"/>
    <s v="Wrap Bag"/>
    <n v="0.37"/>
    <d v="2011-06-22T00:00:00"/>
    <n v="0"/>
    <n v="0"/>
    <n v="0.5"/>
    <n v="0.5"/>
  </r>
  <r>
    <n v="6339"/>
    <n v="44935"/>
    <x v="360"/>
    <x v="7"/>
    <s v="High"/>
    <n v="37"/>
    <n v="99.65"/>
    <n v="0.01"/>
    <s v="Regular Air"/>
    <n v="27"/>
    <n v="2.62"/>
    <n v="0.8"/>
    <x v="492"/>
    <x v="3"/>
    <x v="3"/>
    <x v="1"/>
    <x v="0"/>
    <x v="6"/>
    <x v="675"/>
    <s v="Wrap Bag"/>
    <n v="0.39"/>
    <d v="2010-11-20T00:00:00"/>
    <n v="0"/>
    <n v="0"/>
    <n v="0.33333333333333331"/>
    <n v="0.33333333333333331"/>
  </r>
  <r>
    <n v="6361"/>
    <n v="45127"/>
    <x v="911"/>
    <x v="45"/>
    <s v="Medium"/>
    <n v="10"/>
    <n v="14.15"/>
    <n v="0.1"/>
    <s v="Regular Air"/>
    <n v="-1.29"/>
    <n v="1.48"/>
    <n v="0.7"/>
    <x v="474"/>
    <x v="3"/>
    <x v="3"/>
    <x v="1"/>
    <x v="0"/>
    <x v="6"/>
    <x v="476"/>
    <s v="Wrap Bag"/>
    <n v="0.37"/>
    <d v="2012-12-30T00:00:00"/>
    <n v="0"/>
    <n v="0"/>
    <n v="1"/>
    <n v="1"/>
  </r>
  <r>
    <n v="6398"/>
    <n v="45413"/>
    <x v="49"/>
    <x v="30"/>
    <s v="High"/>
    <n v="18"/>
    <n v="85.74"/>
    <n v="0.03"/>
    <s v="Regular Air"/>
    <n v="-73.5655"/>
    <n v="4.38"/>
    <n v="6.21"/>
    <x v="338"/>
    <x v="3"/>
    <x v="3"/>
    <x v="0"/>
    <x v="0"/>
    <x v="2"/>
    <x v="1211"/>
    <s v="Small Box"/>
    <n v="0.37"/>
    <d v="2010-06-09T00:00:00"/>
    <n v="0"/>
    <n v="0"/>
    <n v="0.33333333333333331"/>
    <n v="0.25"/>
  </r>
  <r>
    <n v="6399"/>
    <n v="45413"/>
    <x v="49"/>
    <x v="30"/>
    <s v="High"/>
    <n v="17"/>
    <n v="2031.98"/>
    <n v="0.05"/>
    <s v="Regular Air"/>
    <n v="778.6"/>
    <n v="120.98"/>
    <n v="9.07"/>
    <x v="338"/>
    <x v="3"/>
    <x v="3"/>
    <x v="0"/>
    <x v="0"/>
    <x v="2"/>
    <x v="352"/>
    <s v="Small Box"/>
    <n v="0.35"/>
    <d v="2010-06-09T00:00:00"/>
    <n v="0"/>
    <n v="0"/>
    <n v="0.33333333333333331"/>
    <n v="0.25"/>
  </r>
  <r>
    <n v="6400"/>
    <n v="45413"/>
    <x v="49"/>
    <x v="30"/>
    <s v="High"/>
    <n v="24"/>
    <n v="131.94"/>
    <n v="0.04"/>
    <s v="Regular Air"/>
    <n v="2.3205"/>
    <n v="5.28"/>
    <n v="2.99"/>
    <x v="338"/>
    <x v="3"/>
    <x v="3"/>
    <x v="0"/>
    <x v="0"/>
    <x v="2"/>
    <x v="13"/>
    <s v="Small Box"/>
    <n v="0.37"/>
    <d v="2010-06-08T00:00:00"/>
    <n v="0"/>
    <n v="0"/>
    <n v="0.33333333333333331"/>
    <n v="0.25"/>
  </r>
  <r>
    <n v="6412"/>
    <n v="45571"/>
    <x v="889"/>
    <x v="34"/>
    <s v="Medium"/>
    <n v="43"/>
    <n v="528.53"/>
    <n v="0.05"/>
    <s v="Regular Air"/>
    <n v="-7.24"/>
    <n v="12.21"/>
    <n v="4.8099999999999996"/>
    <x v="612"/>
    <x v="3"/>
    <x v="3"/>
    <x v="1"/>
    <x v="0"/>
    <x v="0"/>
    <x v="272"/>
    <s v="Small Box"/>
    <n v="0.57999999999999996"/>
    <d v="2012-09-24T00:00:00"/>
    <n v="0"/>
    <n v="0"/>
    <n v="0.33333333333333331"/>
    <n v="0.33333333333333331"/>
  </r>
  <r>
    <n v="6413"/>
    <n v="45571"/>
    <x v="889"/>
    <x v="34"/>
    <s v="Medium"/>
    <n v="47"/>
    <n v="5975.0495000000001"/>
    <n v="0.06"/>
    <s v="Regular Air"/>
    <n v="1417.23"/>
    <n v="155.99"/>
    <n v="8.99"/>
    <x v="612"/>
    <x v="3"/>
    <x v="3"/>
    <x v="1"/>
    <x v="1"/>
    <x v="3"/>
    <x v="19"/>
    <s v="Small Box"/>
    <n v="0.57999999999999996"/>
    <d v="2012-09-25T00:00:00"/>
    <n v="0"/>
    <n v="0"/>
    <n v="0.33333333333333331"/>
    <n v="0.33333333333333331"/>
  </r>
  <r>
    <n v="6414"/>
    <n v="45571"/>
    <x v="889"/>
    <x v="34"/>
    <s v="Medium"/>
    <n v="44"/>
    <n v="720.52"/>
    <n v="0.1"/>
    <s v="Regular Air"/>
    <n v="-36.792299999999997"/>
    <n v="17.98"/>
    <n v="8.51"/>
    <x v="612"/>
    <x v="3"/>
    <x v="3"/>
    <x v="1"/>
    <x v="1"/>
    <x v="16"/>
    <x v="168"/>
    <s v="Medium Box"/>
    <n v="0.4"/>
    <d v="2012-09-25T00:00:00"/>
    <n v="0"/>
    <n v="0"/>
    <n v="0.33333333333333331"/>
    <n v="0.33333333333333331"/>
  </r>
  <r>
    <n v="6416"/>
    <n v="45575"/>
    <x v="722"/>
    <x v="13"/>
    <s v="Critical"/>
    <n v="46"/>
    <n v="3849.17"/>
    <n v="0.06"/>
    <s v="Regular Air"/>
    <n v="1982.78"/>
    <n v="83.98"/>
    <n v="5.01"/>
    <x v="338"/>
    <x v="3"/>
    <x v="3"/>
    <x v="0"/>
    <x v="0"/>
    <x v="8"/>
    <x v="739"/>
    <s v="Small Box"/>
    <n v="0.38"/>
    <d v="2012-04-12T00:00:00"/>
    <n v="0"/>
    <n v="0"/>
    <n v="1"/>
    <n v="1"/>
  </r>
  <r>
    <n v="6442"/>
    <n v="45794"/>
    <x v="448"/>
    <x v="31"/>
    <s v="Critical"/>
    <n v="28"/>
    <n v="1208.3499999999999"/>
    <n v="0"/>
    <s v="Regular Air"/>
    <n v="145.54"/>
    <n v="39.99"/>
    <n v="10.25"/>
    <x v="612"/>
    <x v="3"/>
    <x v="3"/>
    <x v="1"/>
    <x v="1"/>
    <x v="7"/>
    <x v="435"/>
    <s v="Small Box"/>
    <n v="0.55000000000000004"/>
    <d v="2011-09-26T00:00:00"/>
    <n v="0"/>
    <n v="0"/>
    <n v="1"/>
    <n v="1"/>
  </r>
  <r>
    <n v="6445"/>
    <n v="45860"/>
    <x v="678"/>
    <x v="9"/>
    <s v="Low"/>
    <n v="12"/>
    <n v="69.97"/>
    <n v="0.01"/>
    <s v="Regular Air"/>
    <n v="24.25"/>
    <n v="5.43"/>
    <n v="0.95"/>
    <x v="325"/>
    <x v="3"/>
    <x v="3"/>
    <x v="1"/>
    <x v="0"/>
    <x v="5"/>
    <x v="444"/>
    <s v="Wrap Bag"/>
    <n v="0.36"/>
    <d v="2012-08-12T00:00:00"/>
    <n v="0"/>
    <n v="0"/>
    <n v="1"/>
    <n v="1"/>
  </r>
  <r>
    <n v="6464"/>
    <n v="46021"/>
    <x v="229"/>
    <x v="28"/>
    <s v="High"/>
    <n v="1"/>
    <n v="199.48"/>
    <n v="0.08"/>
    <s v="Delivery Truck"/>
    <n v="-120.24"/>
    <n v="170.98"/>
    <n v="35.89"/>
    <x v="474"/>
    <x v="3"/>
    <x v="3"/>
    <x v="0"/>
    <x v="2"/>
    <x v="9"/>
    <x v="748"/>
    <s v="Jumbo Box"/>
    <n v="0.66"/>
    <d v="2009-03-04T00:00:00"/>
    <n v="0"/>
    <n v="0"/>
    <n v="1"/>
    <n v="1"/>
  </r>
  <r>
    <n v="6483"/>
    <n v="46147"/>
    <x v="762"/>
    <x v="16"/>
    <s v="Critical"/>
    <n v="37"/>
    <n v="925.8"/>
    <n v="0.01"/>
    <s v="Regular Air"/>
    <n v="30.684999999999999"/>
    <n v="24.92"/>
    <n v="12.98"/>
    <x v="581"/>
    <x v="3"/>
    <x v="3"/>
    <x v="2"/>
    <x v="0"/>
    <x v="2"/>
    <x v="202"/>
    <s v="Small Box"/>
    <n v="0.39"/>
    <d v="2011-01-17T00:00:00"/>
    <n v="0"/>
    <n v="0"/>
    <n v="0.33333333333333331"/>
    <n v="0.2"/>
  </r>
  <r>
    <n v="6484"/>
    <n v="46147"/>
    <x v="762"/>
    <x v="16"/>
    <s v="Critical"/>
    <n v="39"/>
    <n v="282.48"/>
    <n v="0.08"/>
    <s v="Express Air"/>
    <n v="-87.009"/>
    <n v="7.1"/>
    <n v="6.05"/>
    <x v="581"/>
    <x v="3"/>
    <x v="3"/>
    <x v="2"/>
    <x v="0"/>
    <x v="2"/>
    <x v="310"/>
    <s v="Small Box"/>
    <n v="0.39"/>
    <d v="2011-01-17T00:00:00"/>
    <n v="0"/>
    <n v="0"/>
    <n v="0.33333333333333331"/>
    <n v="0.2"/>
  </r>
  <r>
    <n v="6485"/>
    <n v="46147"/>
    <x v="762"/>
    <x v="16"/>
    <s v="Critical"/>
    <n v="12"/>
    <n v="6502.46"/>
    <n v="0.09"/>
    <s v="Delivery Truck"/>
    <n v="261.66000000000003"/>
    <n v="550.98"/>
    <n v="64.59"/>
    <x v="581"/>
    <x v="3"/>
    <x v="3"/>
    <x v="2"/>
    <x v="2"/>
    <x v="10"/>
    <x v="481"/>
    <s v="Jumbo Box"/>
    <n v="0.66"/>
    <d v="2011-01-17T00:00:00"/>
    <n v="0"/>
    <n v="0"/>
    <n v="0.33333333333333331"/>
    <n v="0.2"/>
  </r>
  <r>
    <n v="6490"/>
    <n v="46211"/>
    <x v="1298"/>
    <x v="30"/>
    <s v="Low"/>
    <n v="47"/>
    <n v="1243.52"/>
    <n v="0.08"/>
    <s v="Regular Air"/>
    <n v="360.94"/>
    <n v="26.48"/>
    <n v="6.93"/>
    <x v="594"/>
    <x v="3"/>
    <x v="3"/>
    <x v="3"/>
    <x v="2"/>
    <x v="4"/>
    <x v="502"/>
    <s v="Small Box"/>
    <n v="0.49"/>
    <d v="2010-06-18T00:00:00"/>
    <n v="0"/>
    <n v="0"/>
    <n v="1"/>
    <n v="0.5"/>
  </r>
  <r>
    <n v="6493"/>
    <n v="46241"/>
    <x v="1164"/>
    <x v="28"/>
    <s v="Not Specified"/>
    <n v="34"/>
    <n v="1932.58"/>
    <n v="0.1"/>
    <s v="Regular Air"/>
    <n v="356.48"/>
    <n v="62.18"/>
    <n v="10.84"/>
    <x v="605"/>
    <x v="3"/>
    <x v="3"/>
    <x v="1"/>
    <x v="2"/>
    <x v="4"/>
    <x v="845"/>
    <s v="Medium Box"/>
    <n v="0.63"/>
    <d v="2009-03-16T00:00:00"/>
    <n v="0"/>
    <n v="0"/>
    <n v="1"/>
    <n v="0.5"/>
  </r>
  <r>
    <n v="6497"/>
    <n v="46244"/>
    <x v="175"/>
    <x v="36"/>
    <s v="Medium"/>
    <n v="10"/>
    <n v="601.57000000000005"/>
    <n v="0.09"/>
    <s v="Delivery Truck"/>
    <n v="-247.25"/>
    <n v="60.98"/>
    <n v="30"/>
    <x v="492"/>
    <x v="3"/>
    <x v="3"/>
    <x v="1"/>
    <x v="2"/>
    <x v="14"/>
    <x v="759"/>
    <s v="Jumbo Drum"/>
    <n v="0.7"/>
    <d v="2009-07-03T00:00:00"/>
    <n v="0"/>
    <n v="0"/>
    <n v="0.5"/>
    <n v="0.5"/>
  </r>
  <r>
    <n v="6498"/>
    <n v="46244"/>
    <x v="175"/>
    <x v="36"/>
    <s v="Medium"/>
    <n v="9"/>
    <n v="157.41999999999999"/>
    <n v="0.05"/>
    <s v="Regular Air"/>
    <n v="-18.68"/>
    <n v="17.48"/>
    <n v="1.99"/>
    <x v="492"/>
    <x v="3"/>
    <x v="3"/>
    <x v="1"/>
    <x v="1"/>
    <x v="7"/>
    <x v="814"/>
    <s v="Small Pack"/>
    <n v="0.45"/>
    <d v="2009-07-04T00:00:00"/>
    <n v="0"/>
    <n v="0"/>
    <n v="0.5"/>
    <n v="0.5"/>
  </r>
  <r>
    <n v="6501"/>
    <n v="46305"/>
    <x v="317"/>
    <x v="2"/>
    <s v="Low"/>
    <n v="30"/>
    <n v="299.66000000000003"/>
    <n v="0.08"/>
    <s v="Regular Air"/>
    <n v="-18.250499999999999"/>
    <n v="10.44"/>
    <n v="5.75"/>
    <x v="597"/>
    <x v="3"/>
    <x v="3"/>
    <x v="1"/>
    <x v="0"/>
    <x v="2"/>
    <x v="1197"/>
    <s v="Small Box"/>
    <n v="0.39"/>
    <d v="2011-08-03T00:00:00"/>
    <n v="0"/>
    <n v="0"/>
    <n v="1"/>
    <n v="1"/>
  </r>
  <r>
    <n v="6514"/>
    <n v="46372"/>
    <x v="557"/>
    <x v="44"/>
    <s v="High"/>
    <n v="7"/>
    <n v="375.57"/>
    <n v="0.02"/>
    <s v="Regular Air"/>
    <n v="12.7075"/>
    <n v="52.4"/>
    <n v="16.11"/>
    <x v="151"/>
    <x v="3"/>
    <x v="3"/>
    <x v="1"/>
    <x v="0"/>
    <x v="2"/>
    <x v="843"/>
    <s v="Small Box"/>
    <n v="0.39"/>
    <d v="2011-02-26T00:00:00"/>
    <n v="0"/>
    <n v="0"/>
    <n v="0.5"/>
    <n v="0.5"/>
  </r>
  <r>
    <n v="6515"/>
    <n v="46372"/>
    <x v="557"/>
    <x v="44"/>
    <s v="High"/>
    <n v="15"/>
    <n v="81.97"/>
    <n v="7.0000000000000007E-2"/>
    <s v="Regular Air"/>
    <n v="-81.33"/>
    <n v="4.9800000000000004"/>
    <n v="8.33"/>
    <x v="151"/>
    <x v="3"/>
    <x v="3"/>
    <x v="1"/>
    <x v="0"/>
    <x v="5"/>
    <x v="9"/>
    <s v="Small Box"/>
    <n v="0.38"/>
    <d v="2011-02-27T00:00:00"/>
    <n v="0"/>
    <n v="0"/>
    <n v="0.5"/>
    <n v="0.5"/>
  </r>
  <r>
    <n v="6562"/>
    <n v="46656"/>
    <x v="83"/>
    <x v="36"/>
    <s v="High"/>
    <n v="27"/>
    <n v="636.70000000000005"/>
    <n v="0.1"/>
    <s v="Regular Air"/>
    <n v="-29.9115"/>
    <n v="24.92"/>
    <n v="12.98"/>
    <x v="606"/>
    <x v="3"/>
    <x v="3"/>
    <x v="2"/>
    <x v="0"/>
    <x v="2"/>
    <x v="202"/>
    <s v="Small Box"/>
    <n v="0.39"/>
    <d v="2009-07-17T00:00:00"/>
    <n v="0"/>
    <n v="0"/>
    <n v="1"/>
    <n v="1"/>
  </r>
  <r>
    <n v="6567"/>
    <n v="46721"/>
    <x v="803"/>
    <x v="35"/>
    <s v="Medium"/>
    <n v="17"/>
    <n v="142.94"/>
    <n v="0.03"/>
    <s v="Regular Air"/>
    <n v="-129.559"/>
    <n v="7.38"/>
    <n v="11.51"/>
    <x v="585"/>
    <x v="3"/>
    <x v="3"/>
    <x v="2"/>
    <x v="0"/>
    <x v="2"/>
    <x v="1140"/>
    <s v="Small Box"/>
    <n v="0.36"/>
    <d v="2009-09-14T00:00:00"/>
    <n v="0"/>
    <n v="0"/>
    <n v="0.33333333333333331"/>
    <n v="0.33333333333333331"/>
  </r>
  <r>
    <n v="6568"/>
    <n v="46721"/>
    <x v="803"/>
    <x v="35"/>
    <s v="Medium"/>
    <n v="35"/>
    <n v="240.61"/>
    <n v="0.05"/>
    <s v="Regular Air"/>
    <n v="-133.12"/>
    <n v="6.48"/>
    <n v="7.91"/>
    <x v="585"/>
    <x v="3"/>
    <x v="3"/>
    <x v="2"/>
    <x v="0"/>
    <x v="5"/>
    <x v="952"/>
    <s v="Small Box"/>
    <n v="0.37"/>
    <d v="2009-09-14T00:00:00"/>
    <n v="0"/>
    <n v="0"/>
    <n v="0.33333333333333331"/>
    <n v="0.33333333333333331"/>
  </r>
  <r>
    <n v="6569"/>
    <n v="46721"/>
    <x v="803"/>
    <x v="35"/>
    <s v="Medium"/>
    <n v="17"/>
    <n v="1912.76"/>
    <n v="0.03"/>
    <s v="Regular Air"/>
    <n v="71.56"/>
    <n v="111.03"/>
    <n v="8.64"/>
    <x v="585"/>
    <x v="3"/>
    <x v="3"/>
    <x v="2"/>
    <x v="0"/>
    <x v="0"/>
    <x v="95"/>
    <s v="Small Box"/>
    <n v="0.78"/>
    <d v="2009-09-14T00:00:00"/>
    <n v="0"/>
    <n v="0"/>
    <n v="0.33333333333333331"/>
    <n v="0.33333333333333331"/>
  </r>
  <r>
    <n v="6579"/>
    <n v="46852"/>
    <x v="932"/>
    <x v="23"/>
    <s v="Not Specified"/>
    <n v="46"/>
    <n v="1591.89"/>
    <n v="0.02"/>
    <s v="Express Air"/>
    <n v="-117.31"/>
    <n v="34.979999999999997"/>
    <n v="7.53"/>
    <x v="572"/>
    <x v="3"/>
    <x v="3"/>
    <x v="0"/>
    <x v="1"/>
    <x v="7"/>
    <x v="874"/>
    <s v="Small Box"/>
    <n v="0.76"/>
    <d v="2012-01-30T00:00:00"/>
    <n v="0"/>
    <n v="0"/>
    <n v="0.5"/>
    <n v="0.5"/>
  </r>
  <r>
    <n v="6580"/>
    <n v="46852"/>
    <x v="932"/>
    <x v="23"/>
    <s v="Not Specified"/>
    <n v="44"/>
    <n v="220.07"/>
    <n v="0.01"/>
    <s v="Regular Air"/>
    <n v="-158.41999999999999"/>
    <n v="4.8899999999999997"/>
    <n v="4.93"/>
    <x v="572"/>
    <x v="3"/>
    <x v="3"/>
    <x v="0"/>
    <x v="1"/>
    <x v="7"/>
    <x v="23"/>
    <s v="Small Pack"/>
    <n v="0.66"/>
    <d v="2012-01-29T00:00:00"/>
    <n v="0"/>
    <n v="0"/>
    <n v="0.5"/>
    <n v="0.5"/>
  </r>
  <r>
    <n v="6597"/>
    <n v="46949"/>
    <x v="239"/>
    <x v="14"/>
    <s v="High"/>
    <n v="37"/>
    <n v="319.39"/>
    <n v="0.03"/>
    <s v="Regular Air"/>
    <n v="-39.33"/>
    <n v="8.4600000000000009"/>
    <n v="3.62"/>
    <x v="581"/>
    <x v="3"/>
    <x v="3"/>
    <x v="3"/>
    <x v="1"/>
    <x v="7"/>
    <x v="919"/>
    <s v="Small Pack"/>
    <n v="0.61"/>
    <d v="2010-03-08T00:00:00"/>
    <n v="0"/>
    <n v="0"/>
    <n v="1"/>
    <n v="1"/>
  </r>
  <r>
    <n v="6598"/>
    <n v="46951"/>
    <x v="1150"/>
    <x v="27"/>
    <s v="Critical"/>
    <n v="26"/>
    <n v="2379.3285000000001"/>
    <n v="0.09"/>
    <s v="Regular Air"/>
    <n v="284.589"/>
    <n v="115.99"/>
    <n v="5.92"/>
    <x v="599"/>
    <x v="3"/>
    <x v="3"/>
    <x v="2"/>
    <x v="1"/>
    <x v="3"/>
    <x v="757"/>
    <s v="Small Box"/>
    <n v="0.57999999999999996"/>
    <d v="2011-11-18T00:00:00"/>
    <n v="0"/>
    <n v="0"/>
    <n v="1"/>
    <n v="1"/>
  </r>
  <r>
    <n v="6614"/>
    <n v="47075"/>
    <x v="200"/>
    <x v="17"/>
    <s v="Medium"/>
    <n v="42"/>
    <n v="4346.9799999999996"/>
    <n v="0.05"/>
    <s v="Delivery Truck"/>
    <n v="10.220000000000001"/>
    <n v="100.98"/>
    <n v="35.840000000000003"/>
    <x v="581"/>
    <x v="3"/>
    <x v="3"/>
    <x v="3"/>
    <x v="2"/>
    <x v="9"/>
    <x v="550"/>
    <s v="Jumbo Box"/>
    <n v="0.62"/>
    <d v="2011-10-19T00:00:00"/>
    <n v="0"/>
    <n v="0"/>
    <n v="1"/>
    <n v="1"/>
  </r>
  <r>
    <n v="6661"/>
    <n v="47399"/>
    <x v="1277"/>
    <x v="9"/>
    <s v="Low"/>
    <n v="26"/>
    <n v="145.76"/>
    <n v="0"/>
    <s v="Regular Air"/>
    <n v="5.6695000000000002"/>
    <n v="5.28"/>
    <n v="2.99"/>
    <x v="612"/>
    <x v="3"/>
    <x v="3"/>
    <x v="1"/>
    <x v="0"/>
    <x v="2"/>
    <x v="13"/>
    <s v="Small Box"/>
    <n v="0.37"/>
    <d v="2012-08-01T00:00:00"/>
    <n v="0"/>
    <n v="0"/>
    <n v="1"/>
    <n v="1"/>
  </r>
  <r>
    <n v="6673"/>
    <n v="47493"/>
    <x v="954"/>
    <x v="40"/>
    <s v="Critical"/>
    <n v="36"/>
    <n v="9757.48"/>
    <n v="7.0000000000000007E-2"/>
    <s v="Delivery Truck"/>
    <n v="-96.05"/>
    <n v="270.98"/>
    <n v="50"/>
    <x v="577"/>
    <x v="3"/>
    <x v="3"/>
    <x v="2"/>
    <x v="2"/>
    <x v="14"/>
    <x v="114"/>
    <s v="Jumbo Drum"/>
    <n v="0.77"/>
    <d v="2009-02-13T00:00:00"/>
    <n v="0"/>
    <n v="0"/>
    <n v="1"/>
    <n v="1"/>
  </r>
  <r>
    <n v="6708"/>
    <n v="47777"/>
    <x v="1299"/>
    <x v="32"/>
    <s v="Low"/>
    <n v="13"/>
    <n v="87.91"/>
    <n v="0.05"/>
    <s v="Regular Air"/>
    <n v="-27.91"/>
    <n v="6.68"/>
    <n v="5.41"/>
    <x v="601"/>
    <x v="3"/>
    <x v="3"/>
    <x v="3"/>
    <x v="0"/>
    <x v="5"/>
    <x v="1192"/>
    <s v="Small Box"/>
    <n v="0.37"/>
    <d v="2012-11-27T00:00:00"/>
    <n v="0"/>
    <n v="0"/>
    <n v="1"/>
    <n v="1"/>
  </r>
  <r>
    <n v="6714"/>
    <n v="47844"/>
    <x v="611"/>
    <x v="15"/>
    <s v="Critical"/>
    <n v="41"/>
    <n v="5824.01"/>
    <n v="0.1"/>
    <s v="Delivery Truck"/>
    <n v="-288.68"/>
    <n v="150.97999999999999"/>
    <n v="30"/>
    <x v="151"/>
    <x v="3"/>
    <x v="3"/>
    <x v="1"/>
    <x v="2"/>
    <x v="14"/>
    <x v="567"/>
    <s v="Jumbo Drum"/>
    <n v="0.74"/>
    <d v="2010-12-14T00:00:00"/>
    <n v="0"/>
    <n v="0"/>
    <n v="1"/>
    <n v="1"/>
  </r>
  <r>
    <n v="6732"/>
    <n v="47941"/>
    <x v="1300"/>
    <x v="26"/>
    <s v="High"/>
    <n v="15"/>
    <n v="1187.1524999999999"/>
    <n v="0.03"/>
    <s v="Regular Air"/>
    <n v="33.192"/>
    <n v="95.99"/>
    <n v="4.9000000000000004"/>
    <x v="591"/>
    <x v="3"/>
    <x v="3"/>
    <x v="2"/>
    <x v="1"/>
    <x v="3"/>
    <x v="936"/>
    <s v="Small Box"/>
    <n v="0.56000000000000005"/>
    <d v="2009-08-08T00:00:00"/>
    <n v="0"/>
    <n v="0"/>
    <n v="1"/>
    <n v="1"/>
  </r>
  <r>
    <n v="6795"/>
    <n v="48423"/>
    <x v="379"/>
    <x v="1"/>
    <s v="High"/>
    <n v="49"/>
    <n v="414.11"/>
    <n v="0.08"/>
    <s v="Regular Air"/>
    <n v="-172.32"/>
    <n v="8.74"/>
    <n v="8.2899999999999991"/>
    <x v="602"/>
    <x v="3"/>
    <x v="3"/>
    <x v="3"/>
    <x v="0"/>
    <x v="8"/>
    <x v="427"/>
    <s v="Small Box"/>
    <n v="0.38"/>
    <d v="2012-10-31T00:00:00"/>
    <n v="0"/>
    <n v="0"/>
    <n v="1"/>
    <n v="1"/>
  </r>
  <r>
    <n v="6857"/>
    <n v="48837"/>
    <x v="514"/>
    <x v="2"/>
    <s v="Not Specified"/>
    <n v="39"/>
    <n v="4799.7885000000006"/>
    <n v="0.09"/>
    <s v="Regular Air"/>
    <n v="1231.893"/>
    <n v="155.99"/>
    <n v="3.9"/>
    <x v="151"/>
    <x v="3"/>
    <x v="3"/>
    <x v="2"/>
    <x v="1"/>
    <x v="3"/>
    <x v="149"/>
    <s v="Small Box"/>
    <n v="0.55000000000000004"/>
    <d v="2011-07-20T00:00:00"/>
    <n v="0"/>
    <n v="0"/>
    <n v="1"/>
    <n v="1"/>
  </r>
  <r>
    <n v="6874"/>
    <n v="48993"/>
    <x v="660"/>
    <x v="20"/>
    <s v="Low"/>
    <n v="17"/>
    <n v="122.42"/>
    <n v="0.08"/>
    <s v="Express Air"/>
    <n v="-37.04"/>
    <n v="6.48"/>
    <n v="6.22"/>
    <x v="593"/>
    <x v="3"/>
    <x v="3"/>
    <x v="1"/>
    <x v="0"/>
    <x v="5"/>
    <x v="731"/>
    <s v="Small Box"/>
    <n v="0.37"/>
    <d v="2012-05-31T00:00:00"/>
    <n v="0"/>
    <n v="0"/>
    <n v="1"/>
    <n v="0.5"/>
  </r>
  <r>
    <n v="6889"/>
    <n v="49123"/>
    <x v="714"/>
    <x v="40"/>
    <s v="High"/>
    <n v="31"/>
    <n v="305.76"/>
    <n v="0.1"/>
    <s v="Regular Air"/>
    <n v="-22.528500000000001"/>
    <n v="10.44"/>
    <n v="5.75"/>
    <x v="581"/>
    <x v="3"/>
    <x v="3"/>
    <x v="2"/>
    <x v="0"/>
    <x v="2"/>
    <x v="1197"/>
    <s v="Small Box"/>
    <n v="0.39"/>
    <d v="2009-02-26T00:00:00"/>
    <n v="0"/>
    <n v="0"/>
    <n v="0.5"/>
    <n v="0.33333333333333331"/>
  </r>
  <r>
    <n v="6890"/>
    <n v="49123"/>
    <x v="714"/>
    <x v="40"/>
    <s v="High"/>
    <n v="3"/>
    <n v="25.48"/>
    <n v="0.06"/>
    <s v="Regular Air"/>
    <n v="-26.8"/>
    <n v="8.33"/>
    <n v="1.99"/>
    <x v="581"/>
    <x v="3"/>
    <x v="3"/>
    <x v="2"/>
    <x v="1"/>
    <x v="7"/>
    <x v="206"/>
    <s v="Small Pack"/>
    <n v="0.52"/>
    <d v="2009-02-26T00:00:00"/>
    <n v="0"/>
    <n v="0"/>
    <n v="0.5"/>
    <n v="0.33333333333333331"/>
  </r>
  <r>
    <n v="6903"/>
    <n v="49220"/>
    <x v="57"/>
    <x v="21"/>
    <s v="Critical"/>
    <n v="13"/>
    <n v="409.97"/>
    <n v="7.0000000000000007E-2"/>
    <s v="Regular Air"/>
    <n v="39.36"/>
    <n v="33.619999999999997"/>
    <n v="3.5"/>
    <x v="591"/>
    <x v="3"/>
    <x v="3"/>
    <x v="2"/>
    <x v="0"/>
    <x v="1"/>
    <x v="1212"/>
    <s v="Small Box"/>
    <n v="0.59"/>
    <d v="2011-08-14T00:00:00"/>
    <n v="0"/>
    <n v="0"/>
    <n v="1"/>
    <n v="1"/>
  </r>
  <r>
    <n v="6925"/>
    <n v="49409"/>
    <x v="58"/>
    <x v="21"/>
    <s v="High"/>
    <n v="28"/>
    <n v="1457.78"/>
    <n v="0.04"/>
    <s v="Regular Air"/>
    <n v="68.23"/>
    <n v="49.99"/>
    <n v="19.989999999999998"/>
    <x v="337"/>
    <x v="3"/>
    <x v="3"/>
    <x v="1"/>
    <x v="1"/>
    <x v="7"/>
    <x v="1137"/>
    <s v="Small Box"/>
    <n v="0.45"/>
    <d v="2011-08-17T00:00:00"/>
    <n v="0"/>
    <n v="0"/>
    <n v="1"/>
    <n v="1"/>
  </r>
  <r>
    <n v="6934"/>
    <n v="49479"/>
    <x v="614"/>
    <x v="2"/>
    <s v="Medium"/>
    <n v="46"/>
    <n v="5615.4"/>
    <n v="7.0000000000000007E-2"/>
    <s v="Delivery Truck"/>
    <n v="1807.16"/>
    <n v="120.97"/>
    <n v="26.3"/>
    <x v="587"/>
    <x v="3"/>
    <x v="3"/>
    <x v="1"/>
    <x v="1"/>
    <x v="16"/>
    <x v="362"/>
    <s v="Jumbo Drum"/>
    <n v="0.38"/>
    <d v="2011-07-29T00:00:00"/>
    <n v="0"/>
    <n v="0"/>
    <n v="1"/>
    <n v="1"/>
  </r>
  <r>
    <n v="6943"/>
    <n v="49600"/>
    <x v="332"/>
    <x v="5"/>
    <s v="Low"/>
    <n v="33"/>
    <n v="1692.03"/>
    <n v="0.1"/>
    <s v="Regular Air"/>
    <n v="574.44000000000005"/>
    <n v="54.96"/>
    <n v="10.75"/>
    <x v="537"/>
    <x v="3"/>
    <x v="3"/>
    <x v="3"/>
    <x v="0"/>
    <x v="5"/>
    <x v="229"/>
    <s v="Small Box"/>
    <n v="0.36"/>
    <d v="2011-03-12T00:00:00"/>
    <n v="0"/>
    <n v="0"/>
    <n v="1"/>
    <n v="1"/>
  </r>
  <r>
    <n v="6998"/>
    <n v="49987"/>
    <x v="642"/>
    <x v="16"/>
    <s v="High"/>
    <n v="14"/>
    <n v="242.28400000000002"/>
    <n v="0.03"/>
    <s v="Regular Air"/>
    <n v="51.75"/>
    <n v="20.99"/>
    <n v="0.99"/>
    <x v="151"/>
    <x v="3"/>
    <x v="3"/>
    <x v="1"/>
    <x v="1"/>
    <x v="3"/>
    <x v="163"/>
    <s v="Wrap Bag"/>
    <n v="0.37"/>
    <d v="2011-01-21T00:00:00"/>
    <n v="0"/>
    <n v="0"/>
    <n v="0.33333333333333331"/>
    <n v="0.33333333333333331"/>
  </r>
  <r>
    <n v="7037"/>
    <n v="50242"/>
    <x v="485"/>
    <x v="42"/>
    <s v="Not Specified"/>
    <n v="8"/>
    <n v="1391.7644999999998"/>
    <n v="0.08"/>
    <s v="Regular Air"/>
    <n v="-426.07399999999996"/>
    <n v="205.99"/>
    <n v="8.99"/>
    <x v="579"/>
    <x v="3"/>
    <x v="3"/>
    <x v="2"/>
    <x v="1"/>
    <x v="3"/>
    <x v="1044"/>
    <s v="Small Box"/>
    <n v="0.56000000000000005"/>
    <d v="2010-07-21T00:00:00"/>
    <n v="0"/>
    <n v="0"/>
    <n v="1"/>
    <n v="1"/>
  </r>
  <r>
    <n v="7039"/>
    <n v="50275"/>
    <x v="738"/>
    <x v="47"/>
    <s v="Medium"/>
    <n v="5"/>
    <n v="9704.3700000000008"/>
    <n v="0.03"/>
    <s v="Express Air"/>
    <n v="-1565.913"/>
    <n v="1938.02"/>
    <n v="13.99"/>
    <x v="594"/>
    <x v="3"/>
    <x v="3"/>
    <x v="3"/>
    <x v="1"/>
    <x v="16"/>
    <x v="107"/>
    <s v="Medium Box"/>
    <n v="0.38"/>
    <d v="2009-12-06T00:00:00"/>
    <n v="0"/>
    <n v="0"/>
    <n v="0.5"/>
    <n v="0.5"/>
  </r>
  <r>
    <n v="7040"/>
    <n v="50275"/>
    <x v="738"/>
    <x v="47"/>
    <s v="Medium"/>
    <n v="31"/>
    <n v="211.94"/>
    <n v="0.05"/>
    <s v="Regular Air"/>
    <n v="-56.39"/>
    <n v="6.48"/>
    <n v="5.84"/>
    <x v="594"/>
    <x v="3"/>
    <x v="3"/>
    <x v="3"/>
    <x v="0"/>
    <x v="5"/>
    <x v="607"/>
    <s v="Small Box"/>
    <n v="0.37"/>
    <d v="2009-12-06T00:00:00"/>
    <n v="0"/>
    <n v="0"/>
    <n v="0.5"/>
    <n v="0.5"/>
  </r>
  <r>
    <n v="7061"/>
    <n v="50403"/>
    <x v="145"/>
    <x v="20"/>
    <s v="Not Specified"/>
    <n v="22"/>
    <n v="142.88"/>
    <n v="0.08"/>
    <s v="Regular Air"/>
    <n v="35.369999999999997"/>
    <n v="6.98"/>
    <n v="1.6"/>
    <x v="599"/>
    <x v="3"/>
    <x v="3"/>
    <x v="2"/>
    <x v="0"/>
    <x v="5"/>
    <x v="646"/>
    <s v="Wrap Bag"/>
    <n v="0.38"/>
    <d v="2012-05-13T00:00:00"/>
    <n v="0"/>
    <n v="0"/>
    <n v="0.5"/>
    <n v="0.5"/>
  </r>
  <r>
    <n v="7065"/>
    <n v="50405"/>
    <x v="1301"/>
    <x v="2"/>
    <s v="Medium"/>
    <n v="8"/>
    <n v="876.01"/>
    <n v="7.0000000000000007E-2"/>
    <s v="Regular Air"/>
    <n v="-108"/>
    <n v="111.03"/>
    <n v="8.64"/>
    <x v="474"/>
    <x v="3"/>
    <x v="3"/>
    <x v="0"/>
    <x v="0"/>
    <x v="0"/>
    <x v="95"/>
    <s v="Small Box"/>
    <n v="0.78"/>
    <d v="2011-07-02T00:00:00"/>
    <n v="0"/>
    <n v="0"/>
    <n v="1"/>
    <n v="1"/>
  </r>
  <r>
    <n v="7069"/>
    <n v="50464"/>
    <x v="804"/>
    <x v="31"/>
    <s v="Critical"/>
    <n v="7"/>
    <n v="105.94"/>
    <n v="7.0000000000000007E-2"/>
    <s v="Regular Air"/>
    <n v="-13.3285"/>
    <n v="14.45"/>
    <n v="7.17"/>
    <x v="337"/>
    <x v="3"/>
    <x v="3"/>
    <x v="2"/>
    <x v="0"/>
    <x v="2"/>
    <x v="853"/>
    <s v="Small Box"/>
    <n v="0.38"/>
    <d v="2011-09-30T00:00:00"/>
    <n v="0"/>
    <n v="0"/>
    <n v="1"/>
    <n v="1"/>
  </r>
  <r>
    <n v="7070"/>
    <n v="50465"/>
    <x v="415"/>
    <x v="5"/>
    <s v="Medium"/>
    <n v="29"/>
    <n v="1337.08"/>
    <n v="0.1"/>
    <s v="Regular Air"/>
    <n v="-953"/>
    <n v="48.91"/>
    <n v="35"/>
    <x v="575"/>
    <x v="3"/>
    <x v="3"/>
    <x v="0"/>
    <x v="0"/>
    <x v="0"/>
    <x v="293"/>
    <s v="Large Box"/>
    <n v="0.83"/>
    <d v="2011-03-13T00:00:00"/>
    <n v="0"/>
    <n v="0"/>
    <n v="1"/>
    <n v="0.5"/>
  </r>
  <r>
    <n v="7072"/>
    <n v="50469"/>
    <x v="695"/>
    <x v="30"/>
    <s v="Not Specified"/>
    <n v="44"/>
    <n v="839.19"/>
    <n v="0"/>
    <s v="Regular Air"/>
    <n v="76.38"/>
    <n v="17.98"/>
    <n v="8.51"/>
    <x v="327"/>
    <x v="3"/>
    <x v="3"/>
    <x v="1"/>
    <x v="1"/>
    <x v="16"/>
    <x v="168"/>
    <s v="Medium Box"/>
    <n v="0.4"/>
    <d v="2010-06-20T00:00:00"/>
    <n v="0"/>
    <n v="0"/>
    <n v="1"/>
    <n v="1"/>
  </r>
  <r>
    <n v="7118"/>
    <n v="50789"/>
    <x v="676"/>
    <x v="5"/>
    <s v="Not Specified"/>
    <n v="23"/>
    <n v="8673.9"/>
    <n v="0.1"/>
    <s v="Regular Air"/>
    <n v="3440.0519999999997"/>
    <n v="387.99"/>
    <n v="19.989999999999998"/>
    <x v="603"/>
    <x v="3"/>
    <x v="3"/>
    <x v="1"/>
    <x v="0"/>
    <x v="2"/>
    <x v="243"/>
    <s v="Small Box"/>
    <n v="0.38"/>
    <d v="2011-03-14T00:00:00"/>
    <n v="0"/>
    <n v="0"/>
    <n v="1"/>
    <n v="1"/>
  </r>
  <r>
    <n v="7153"/>
    <n v="51044"/>
    <x v="1125"/>
    <x v="23"/>
    <s v="Low"/>
    <n v="17"/>
    <n v="155.88999999999999"/>
    <n v="0.1"/>
    <s v="Regular Air"/>
    <n v="50.19"/>
    <n v="9.9"/>
    <n v="1.39"/>
    <x v="576"/>
    <x v="3"/>
    <x v="3"/>
    <x v="1"/>
    <x v="0"/>
    <x v="8"/>
    <x v="1132"/>
    <s v="Small Box"/>
    <n v="0.37"/>
    <d v="2012-01-18T00:00:00"/>
    <n v="0"/>
    <n v="0"/>
    <n v="0.33333333333333331"/>
    <n v="0.33333333333333331"/>
  </r>
  <r>
    <n v="7154"/>
    <n v="51044"/>
    <x v="1125"/>
    <x v="23"/>
    <s v="Low"/>
    <n v="26"/>
    <n v="1333.18"/>
    <n v="7.0000000000000007E-2"/>
    <s v="Delivery Truck"/>
    <n v="120.01"/>
    <n v="50.98"/>
    <n v="14.19"/>
    <x v="576"/>
    <x v="3"/>
    <x v="3"/>
    <x v="1"/>
    <x v="2"/>
    <x v="14"/>
    <x v="306"/>
    <s v="Jumbo Drum"/>
    <n v="0.56000000000000005"/>
    <d v="2012-01-22T00:00:00"/>
    <n v="0"/>
    <n v="0"/>
    <n v="0.33333333333333331"/>
    <n v="0.33333333333333331"/>
  </r>
  <r>
    <n v="7155"/>
    <n v="51044"/>
    <x v="1125"/>
    <x v="23"/>
    <s v="Low"/>
    <n v="19"/>
    <n v="117.27"/>
    <n v="0.01"/>
    <s v="Regular Air"/>
    <n v="35.450000000000003"/>
    <n v="5.84"/>
    <n v="0.83"/>
    <x v="576"/>
    <x v="3"/>
    <x v="3"/>
    <x v="1"/>
    <x v="0"/>
    <x v="12"/>
    <x v="794"/>
    <s v="Wrap Bag"/>
    <n v="0.49"/>
    <d v="2012-01-25T00:00:00"/>
    <n v="0"/>
    <n v="0"/>
    <n v="0.33333333333333331"/>
    <n v="0.33333333333333331"/>
  </r>
  <r>
    <n v="7193"/>
    <n v="51302"/>
    <x v="1127"/>
    <x v="21"/>
    <s v="Not Specified"/>
    <n v="44"/>
    <n v="167.55"/>
    <n v="0.03"/>
    <s v="Regular Air"/>
    <n v="-223.5"/>
    <n v="3.75"/>
    <n v="7.5"/>
    <x v="603"/>
    <x v="3"/>
    <x v="3"/>
    <x v="1"/>
    <x v="0"/>
    <x v="11"/>
    <x v="1204"/>
    <s v="Small Box"/>
    <n v="0.37"/>
    <d v="2011-08-26T00:00:00"/>
    <n v="0"/>
    <n v="0"/>
    <n v="1"/>
    <n v="1"/>
  </r>
  <r>
    <n v="7203"/>
    <n v="51392"/>
    <x v="1176"/>
    <x v="11"/>
    <s v="Medium"/>
    <n v="10"/>
    <n v="254.89"/>
    <n v="0.09"/>
    <s v="Regular Air"/>
    <n v="-106.58"/>
    <n v="26.31"/>
    <n v="5.89"/>
    <x v="607"/>
    <x v="3"/>
    <x v="3"/>
    <x v="0"/>
    <x v="1"/>
    <x v="7"/>
    <x v="295"/>
    <s v="Small Box"/>
    <n v="0.75"/>
    <d v="2009-11-13T00:00:00"/>
    <n v="0"/>
    <n v="0"/>
    <n v="1"/>
    <n v="1"/>
  </r>
  <r>
    <n v="7244"/>
    <n v="51650"/>
    <x v="1001"/>
    <x v="4"/>
    <s v="High"/>
    <n v="25"/>
    <n v="470.11"/>
    <n v="0.08"/>
    <s v="Regular Air"/>
    <n v="91.09"/>
    <n v="19.98"/>
    <n v="5.97"/>
    <x v="608"/>
    <x v="3"/>
    <x v="3"/>
    <x v="1"/>
    <x v="0"/>
    <x v="5"/>
    <x v="71"/>
    <s v="Small Box"/>
    <n v="0.38"/>
    <d v="2011-06-03T00:00:00"/>
    <n v="0"/>
    <n v="0"/>
    <n v="0.33333333333333331"/>
    <n v="0.33333333333333331"/>
  </r>
  <r>
    <n v="7245"/>
    <n v="51650"/>
    <x v="1001"/>
    <x v="4"/>
    <s v="High"/>
    <n v="43"/>
    <n v="10854.83"/>
    <n v="0.08"/>
    <s v="Delivery Truck"/>
    <n v="2039.41"/>
    <n v="270.97000000000003"/>
    <n v="28.06"/>
    <x v="608"/>
    <x v="3"/>
    <x v="3"/>
    <x v="1"/>
    <x v="1"/>
    <x v="16"/>
    <x v="241"/>
    <s v="Jumbo Drum"/>
    <n v="0.56000000000000005"/>
    <d v="2011-06-03T00:00:00"/>
    <n v="0"/>
    <n v="0"/>
    <n v="0.33333333333333331"/>
    <n v="0.33333333333333331"/>
  </r>
  <r>
    <n v="7246"/>
    <n v="51650"/>
    <x v="1001"/>
    <x v="4"/>
    <s v="High"/>
    <n v="19"/>
    <n v="51.23"/>
    <n v="0.1"/>
    <s v="Regular Air"/>
    <n v="-5.29"/>
    <n v="2.94"/>
    <n v="0.96"/>
    <x v="608"/>
    <x v="3"/>
    <x v="3"/>
    <x v="1"/>
    <x v="0"/>
    <x v="12"/>
    <x v="361"/>
    <s v="Wrap Bag"/>
    <n v="0.57999999999999996"/>
    <d v="2011-06-03T00:00:00"/>
    <n v="0"/>
    <n v="0"/>
    <n v="0.33333333333333331"/>
    <n v="0.33333333333333331"/>
  </r>
  <r>
    <n v="7247"/>
    <n v="51652"/>
    <x v="488"/>
    <x v="37"/>
    <s v="Not Specified"/>
    <n v="37"/>
    <n v="195.51"/>
    <n v="0.03"/>
    <s v="Express Air"/>
    <n v="95.56"/>
    <n v="4.9800000000000004"/>
    <n v="0.49"/>
    <x v="608"/>
    <x v="3"/>
    <x v="3"/>
    <x v="3"/>
    <x v="0"/>
    <x v="11"/>
    <x v="651"/>
    <s v="Small Box"/>
    <n v="0.39"/>
    <d v="2011-04-11T00:00:00"/>
    <n v="0"/>
    <n v="0"/>
    <n v="0.5"/>
    <n v="0.5"/>
  </r>
  <r>
    <n v="7248"/>
    <n v="51652"/>
    <x v="488"/>
    <x v="37"/>
    <s v="Not Specified"/>
    <n v="38"/>
    <n v="4992.63"/>
    <n v="7.0000000000000007E-2"/>
    <s v="Express Air"/>
    <n v="44.13"/>
    <n v="140.85"/>
    <n v="19.989999999999998"/>
    <x v="608"/>
    <x v="3"/>
    <x v="3"/>
    <x v="3"/>
    <x v="0"/>
    <x v="0"/>
    <x v="405"/>
    <s v="Small Box"/>
    <n v="0.73"/>
    <d v="2011-04-10T00:00:00"/>
    <n v="0"/>
    <n v="0"/>
    <n v="0.5"/>
    <n v="0.5"/>
  </r>
  <r>
    <n v="7272"/>
    <n v="51876"/>
    <x v="329"/>
    <x v="33"/>
    <s v="Critical"/>
    <n v="2"/>
    <n v="95.055499999999995"/>
    <n v="0.1"/>
    <s v="Regular Air"/>
    <n v="-298.166"/>
    <n v="55.99"/>
    <n v="5"/>
    <x v="587"/>
    <x v="3"/>
    <x v="3"/>
    <x v="1"/>
    <x v="1"/>
    <x v="3"/>
    <x v="140"/>
    <s v="Small Pack"/>
    <n v="0.83"/>
    <d v="2012-03-07T00:00:00"/>
    <n v="0"/>
    <n v="0"/>
    <n v="1"/>
    <n v="1"/>
  </r>
  <r>
    <n v="7304"/>
    <n v="52070"/>
    <x v="866"/>
    <x v="47"/>
    <s v="Not Specified"/>
    <n v="29"/>
    <n v="67.97"/>
    <n v="0.06"/>
    <s v="Regular Air"/>
    <n v="-109.94"/>
    <n v="2.2799999999999998"/>
    <n v="5.2"/>
    <x v="337"/>
    <x v="3"/>
    <x v="3"/>
    <x v="2"/>
    <x v="0"/>
    <x v="12"/>
    <x v="1059"/>
    <s v="Wrap Bag"/>
    <n v="0.41"/>
    <d v="2009-12-03T00:00:00"/>
    <n v="0"/>
    <n v="0"/>
    <n v="1"/>
    <n v="1"/>
  </r>
  <r>
    <n v="7313"/>
    <n v="52160"/>
    <x v="609"/>
    <x v="2"/>
    <s v="Critical"/>
    <n v="5"/>
    <n v="15.6"/>
    <n v="0.09"/>
    <s v="Express Air"/>
    <n v="1.67"/>
    <n v="2.1800000000000002"/>
    <n v="0.78"/>
    <x v="18"/>
    <x v="3"/>
    <x v="3"/>
    <x v="2"/>
    <x v="0"/>
    <x v="6"/>
    <x v="303"/>
    <s v="Wrap Bag"/>
    <n v="0.52"/>
    <d v="2011-07-06T00:00:00"/>
    <n v="0"/>
    <n v="0"/>
    <n v="0.5"/>
    <n v="0.5"/>
  </r>
  <r>
    <n v="7314"/>
    <n v="52160"/>
    <x v="609"/>
    <x v="2"/>
    <s v="Critical"/>
    <n v="6"/>
    <n v="631.49900000000002"/>
    <n v="0.09"/>
    <s v="Regular Air"/>
    <n v="-403.01799999999997"/>
    <n v="125.99"/>
    <n v="8.08"/>
    <x v="18"/>
    <x v="3"/>
    <x v="3"/>
    <x v="2"/>
    <x v="1"/>
    <x v="3"/>
    <x v="442"/>
    <s v="Small Box"/>
    <n v="0.56999999999999995"/>
    <d v="2011-07-05T00:00:00"/>
    <n v="0"/>
    <n v="0"/>
    <n v="0.5"/>
    <n v="0.5"/>
  </r>
  <r>
    <n v="7333"/>
    <n v="52258"/>
    <x v="948"/>
    <x v="40"/>
    <s v="Low"/>
    <n v="5"/>
    <n v="63.85"/>
    <n v="0.04"/>
    <s v="Regular Air"/>
    <n v="40.44"/>
    <n v="12.22"/>
    <n v="2.85"/>
    <x v="575"/>
    <x v="3"/>
    <x v="3"/>
    <x v="0"/>
    <x v="2"/>
    <x v="4"/>
    <x v="137"/>
    <s v="Small Pack"/>
    <n v="0.55000000000000004"/>
    <d v="2009-02-17T00:00:00"/>
    <n v="0"/>
    <n v="0"/>
    <n v="1"/>
    <n v="0.5"/>
  </r>
  <r>
    <n v="7378"/>
    <n v="52608"/>
    <x v="472"/>
    <x v="22"/>
    <s v="Low"/>
    <n v="36"/>
    <n v="147.71"/>
    <n v="0.05"/>
    <s v="Regular Air"/>
    <n v="40.04"/>
    <n v="3.98"/>
    <n v="0.7"/>
    <x v="605"/>
    <x v="3"/>
    <x v="3"/>
    <x v="1"/>
    <x v="0"/>
    <x v="12"/>
    <x v="1081"/>
    <s v="Wrap Bag"/>
    <n v="0.52"/>
    <d v="2009-01-25T00:00:00"/>
    <n v="0"/>
    <n v="1"/>
    <n v="1"/>
    <n v="1"/>
  </r>
  <r>
    <n v="7382"/>
    <n v="52640"/>
    <x v="20"/>
    <x v="16"/>
    <s v="Medium"/>
    <n v="18"/>
    <n v="1163.75"/>
    <n v="0.05"/>
    <s v="Express Air"/>
    <n v="222.173"/>
    <n v="63.98"/>
    <n v="19.989999999999998"/>
    <x v="582"/>
    <x v="3"/>
    <x v="3"/>
    <x v="1"/>
    <x v="0"/>
    <x v="2"/>
    <x v="1213"/>
    <s v="Small Box"/>
    <n v="0.36"/>
    <d v="2011-01-04T00:00:00"/>
    <n v="0"/>
    <n v="0"/>
    <n v="1"/>
    <n v="0.5"/>
  </r>
  <r>
    <n v="7482"/>
    <n v="53412"/>
    <x v="375"/>
    <x v="35"/>
    <s v="Critical"/>
    <n v="45"/>
    <n v="2544.73"/>
    <n v="0.02"/>
    <s v="Regular Air"/>
    <n v="375.87"/>
    <n v="54.2"/>
    <n v="11.1"/>
    <x v="589"/>
    <x v="3"/>
    <x v="3"/>
    <x v="0"/>
    <x v="2"/>
    <x v="4"/>
    <x v="1193"/>
    <s v="Medium Box"/>
    <n v="0.64"/>
    <d v="2009-09-16T00:00:00"/>
    <n v="0"/>
    <n v="0"/>
    <n v="1"/>
    <n v="1"/>
  </r>
  <r>
    <n v="7504"/>
    <n v="53568"/>
    <x v="494"/>
    <x v="30"/>
    <s v="Medium"/>
    <n v="34"/>
    <n v="4281.13"/>
    <n v="0.05"/>
    <s v="Delivery Truck"/>
    <n v="-1446.08"/>
    <n v="122.99"/>
    <n v="70.2"/>
    <x v="594"/>
    <x v="3"/>
    <x v="3"/>
    <x v="3"/>
    <x v="2"/>
    <x v="14"/>
    <x v="301"/>
    <s v="Jumbo Drum"/>
    <n v="0.74"/>
    <d v="2010-06-29T00:00:00"/>
    <n v="0"/>
    <n v="0"/>
    <n v="1"/>
    <n v="0.5"/>
  </r>
  <r>
    <n v="7546"/>
    <n v="53956"/>
    <x v="152"/>
    <x v="21"/>
    <s v="High"/>
    <n v="43"/>
    <n v="1779.87"/>
    <n v="0.01"/>
    <s v="Regular Air"/>
    <n v="311.72000000000003"/>
    <n v="40.99"/>
    <n v="17.48"/>
    <x v="377"/>
    <x v="3"/>
    <x v="3"/>
    <x v="1"/>
    <x v="0"/>
    <x v="5"/>
    <x v="129"/>
    <s v="Small Box"/>
    <n v="0.36"/>
    <d v="2011-08-09T00:00:00"/>
    <n v="0"/>
    <n v="0"/>
    <n v="1"/>
    <n v="1"/>
  </r>
  <r>
    <n v="7601"/>
    <n v="54371"/>
    <x v="939"/>
    <x v="12"/>
    <s v="Not Specified"/>
    <n v="28"/>
    <n v="115.02"/>
    <n v="0"/>
    <s v="Regular Air"/>
    <n v="46.3"/>
    <n v="3.78"/>
    <n v="0.71"/>
    <x v="604"/>
    <x v="3"/>
    <x v="3"/>
    <x v="2"/>
    <x v="0"/>
    <x v="6"/>
    <x v="294"/>
    <s v="Wrap Bag"/>
    <n v="0.39"/>
    <d v="2012-02-15T00:00:00"/>
    <n v="0"/>
    <n v="0"/>
    <n v="0.5"/>
    <n v="0.5"/>
  </r>
  <r>
    <n v="7602"/>
    <n v="54371"/>
    <x v="939"/>
    <x v="12"/>
    <s v="Not Specified"/>
    <n v="7"/>
    <n v="118.63"/>
    <n v="0.05"/>
    <s v="Regular Air"/>
    <n v="6.2985000000000007"/>
    <n v="16.739999999999998"/>
    <n v="5.08"/>
    <x v="604"/>
    <x v="3"/>
    <x v="3"/>
    <x v="2"/>
    <x v="0"/>
    <x v="2"/>
    <x v="1214"/>
    <s v="Small Box"/>
    <n v="0.36"/>
    <d v="2012-02-17T00:00:00"/>
    <n v="0"/>
    <n v="0"/>
    <n v="0.5"/>
    <n v="0.5"/>
  </r>
  <r>
    <n v="7605"/>
    <n v="54436"/>
    <x v="971"/>
    <x v="35"/>
    <s v="High"/>
    <n v="17"/>
    <n v="705.85"/>
    <n v="0.04"/>
    <s v="Express Air"/>
    <n v="151.66999999999999"/>
    <n v="39.479999999999997"/>
    <n v="1.99"/>
    <x v="604"/>
    <x v="3"/>
    <x v="3"/>
    <x v="2"/>
    <x v="1"/>
    <x v="7"/>
    <x v="64"/>
    <s v="Small Pack"/>
    <n v="0.54"/>
    <d v="2009-09-19T00:00:00"/>
    <n v="0"/>
    <n v="0"/>
    <n v="0.5"/>
    <n v="0.5"/>
  </r>
  <r>
    <n v="7606"/>
    <n v="54436"/>
    <x v="971"/>
    <x v="35"/>
    <s v="High"/>
    <n v="37"/>
    <n v="321.3"/>
    <n v="0"/>
    <s v="Regular Air"/>
    <n v="-47.23"/>
    <n v="8.1199999999999992"/>
    <n v="2.83"/>
    <x v="604"/>
    <x v="3"/>
    <x v="3"/>
    <x v="2"/>
    <x v="1"/>
    <x v="7"/>
    <x v="483"/>
    <s v="Small Pack"/>
    <n v="0.77"/>
    <d v="2009-09-20T00:00:00"/>
    <n v="0"/>
    <n v="0"/>
    <n v="0.5"/>
    <n v="0.5"/>
  </r>
  <r>
    <n v="7608"/>
    <n v="54464"/>
    <x v="161"/>
    <x v="35"/>
    <s v="High"/>
    <n v="11"/>
    <n v="227.41"/>
    <n v="0.06"/>
    <s v="Regular Air"/>
    <n v="44.29"/>
    <n v="19.98"/>
    <n v="10.49"/>
    <x v="202"/>
    <x v="3"/>
    <x v="3"/>
    <x v="1"/>
    <x v="2"/>
    <x v="4"/>
    <x v="66"/>
    <s v="Small Box"/>
    <n v="0.49"/>
    <d v="2009-09-03T00:00:00"/>
    <n v="0"/>
    <n v="0"/>
    <n v="0.5"/>
    <n v="0.5"/>
  </r>
  <r>
    <n v="7609"/>
    <n v="54464"/>
    <x v="161"/>
    <x v="35"/>
    <s v="High"/>
    <n v="50"/>
    <n v="87.44"/>
    <n v="0.08"/>
    <s v="Regular Air"/>
    <n v="-184.6"/>
    <n v="1.76"/>
    <n v="4.8600000000000003"/>
    <x v="202"/>
    <x v="3"/>
    <x v="3"/>
    <x v="1"/>
    <x v="2"/>
    <x v="4"/>
    <x v="1099"/>
    <s v="Small Box"/>
    <n v="0.41"/>
    <d v="2009-09-02T00:00:00"/>
    <n v="0"/>
    <n v="0"/>
    <n v="0.5"/>
    <n v="0.5"/>
  </r>
  <r>
    <n v="7613"/>
    <n v="54468"/>
    <x v="327"/>
    <x v="47"/>
    <s v="High"/>
    <n v="15"/>
    <n v="40.75"/>
    <n v="0.03"/>
    <s v="Regular Air"/>
    <n v="12.76"/>
    <n v="2.61"/>
    <n v="0.5"/>
    <x v="570"/>
    <x v="3"/>
    <x v="3"/>
    <x v="1"/>
    <x v="0"/>
    <x v="11"/>
    <x v="281"/>
    <s v="Small Box"/>
    <n v="0.39"/>
    <d v="2009-12-15T00:00:00"/>
    <n v="0"/>
    <n v="0"/>
    <n v="0.5"/>
    <n v="0.5"/>
  </r>
  <r>
    <n v="7614"/>
    <n v="54468"/>
    <x v="327"/>
    <x v="47"/>
    <s v="High"/>
    <n v="35"/>
    <n v="424.09"/>
    <n v="0.01"/>
    <s v="Regular Air"/>
    <n v="-114.18"/>
    <n v="11.66"/>
    <n v="7.95"/>
    <x v="570"/>
    <x v="3"/>
    <x v="3"/>
    <x v="1"/>
    <x v="0"/>
    <x v="12"/>
    <x v="417"/>
    <s v="Small Pack"/>
    <n v="0.57999999999999996"/>
    <d v="2009-12-15T00:00:00"/>
    <n v="0"/>
    <n v="0"/>
    <n v="0.5"/>
    <n v="0.5"/>
  </r>
  <r>
    <n v="7649"/>
    <n v="54819"/>
    <x v="987"/>
    <x v="19"/>
    <s v="Low"/>
    <n v="10"/>
    <n v="53.32"/>
    <n v="7.0000000000000007E-2"/>
    <s v="Regular Air"/>
    <n v="-20.68"/>
    <n v="4.97"/>
    <n v="5.71"/>
    <x v="469"/>
    <x v="3"/>
    <x v="3"/>
    <x v="0"/>
    <x v="2"/>
    <x v="4"/>
    <x v="1112"/>
    <s v="Medium Box"/>
    <n v="0.54"/>
    <d v="2009-10-15T00:00:00"/>
    <n v="0"/>
    <n v="0"/>
    <n v="0.33333333333333331"/>
    <n v="0.33333333333333331"/>
  </r>
  <r>
    <n v="7650"/>
    <n v="54819"/>
    <x v="987"/>
    <x v="19"/>
    <s v="Low"/>
    <n v="26"/>
    <n v="64.03"/>
    <n v="0.09"/>
    <s v="Regular Air"/>
    <n v="11.42"/>
    <n v="2.62"/>
    <n v="0.8"/>
    <x v="469"/>
    <x v="3"/>
    <x v="3"/>
    <x v="0"/>
    <x v="0"/>
    <x v="6"/>
    <x v="675"/>
    <s v="Wrap Bag"/>
    <n v="0.39"/>
    <d v="2009-10-12T00:00:00"/>
    <n v="0"/>
    <n v="0"/>
    <n v="0.33333333333333331"/>
    <n v="0.33333333333333331"/>
  </r>
  <r>
    <n v="7651"/>
    <n v="54819"/>
    <x v="987"/>
    <x v="19"/>
    <s v="Low"/>
    <n v="46"/>
    <n v="2710.5054999999998"/>
    <n v="0.03"/>
    <s v="Regular Air"/>
    <n v="624.12300000000005"/>
    <n v="65.989999999999995"/>
    <n v="8.8000000000000007"/>
    <x v="469"/>
    <x v="3"/>
    <x v="3"/>
    <x v="0"/>
    <x v="1"/>
    <x v="3"/>
    <x v="858"/>
    <s v="Small Box"/>
    <n v="0.57999999999999996"/>
    <d v="2009-10-10T00:00:00"/>
    <n v="0"/>
    <n v="0"/>
    <n v="0.33333333333333331"/>
    <n v="0.33333333333333331"/>
  </r>
  <r>
    <n v="7654"/>
    <n v="54882"/>
    <x v="955"/>
    <x v="44"/>
    <s v="Critical"/>
    <n v="17"/>
    <n v="86.29"/>
    <n v="0.02"/>
    <s v="Regular Air"/>
    <n v="34.979999999999997"/>
    <n v="4.9800000000000004"/>
    <n v="0.49"/>
    <x v="337"/>
    <x v="3"/>
    <x v="3"/>
    <x v="1"/>
    <x v="0"/>
    <x v="11"/>
    <x v="651"/>
    <s v="Small Box"/>
    <n v="0.39"/>
    <d v="2011-02-09T00:00:00"/>
    <n v="0"/>
    <n v="0"/>
    <n v="0.5"/>
    <n v="0.33333333333333331"/>
  </r>
  <r>
    <n v="7655"/>
    <n v="54882"/>
    <x v="955"/>
    <x v="44"/>
    <s v="Critical"/>
    <n v="2"/>
    <n v="86.92"/>
    <n v="0.03"/>
    <s v="Regular Air"/>
    <n v="-43.93"/>
    <n v="36.549999999999997"/>
    <n v="13.89"/>
    <x v="337"/>
    <x v="3"/>
    <x v="3"/>
    <x v="1"/>
    <x v="0"/>
    <x v="12"/>
    <x v="176"/>
    <s v="Wrap Bag"/>
    <n v="0.41"/>
    <d v="2011-02-08T00:00:00"/>
    <n v="0"/>
    <n v="0"/>
    <n v="0.5"/>
    <n v="0.33333333333333331"/>
  </r>
  <r>
    <n v="7680"/>
    <n v="55042"/>
    <x v="1038"/>
    <x v="25"/>
    <s v="High"/>
    <n v="28"/>
    <n v="1717.88"/>
    <n v="0.05"/>
    <s v="Express Air"/>
    <n v="513.92999999999995"/>
    <n v="60.97"/>
    <n v="4.5"/>
    <x v="214"/>
    <x v="3"/>
    <x v="3"/>
    <x v="3"/>
    <x v="0"/>
    <x v="1"/>
    <x v="1085"/>
    <s v="Small Box"/>
    <n v="0.56000000000000005"/>
    <d v="2011-12-10T00:00:00"/>
    <n v="0"/>
    <n v="0"/>
    <n v="0.5"/>
    <n v="0.25"/>
  </r>
  <r>
    <n v="7681"/>
    <n v="55042"/>
    <x v="1038"/>
    <x v="25"/>
    <s v="High"/>
    <n v="38"/>
    <n v="1978.4345000000001"/>
    <n v="0.09"/>
    <s v="Regular Air"/>
    <n v="471.08699999999993"/>
    <n v="65.989999999999995"/>
    <n v="2.5"/>
    <x v="214"/>
    <x v="3"/>
    <x v="3"/>
    <x v="3"/>
    <x v="1"/>
    <x v="3"/>
    <x v="892"/>
    <s v="Small Box"/>
    <n v="0.55000000000000004"/>
    <d v="2011-12-09T00:00:00"/>
    <n v="0"/>
    <n v="0"/>
    <n v="0.5"/>
    <n v="0.25"/>
  </r>
  <r>
    <n v="7683"/>
    <n v="55046"/>
    <x v="1128"/>
    <x v="46"/>
    <s v="Critical"/>
    <n v="2"/>
    <n v="29.32"/>
    <n v="0.08"/>
    <s v="Express Air"/>
    <n v="-12.93"/>
    <n v="7.28"/>
    <n v="11.15"/>
    <x v="575"/>
    <x v="3"/>
    <x v="3"/>
    <x v="0"/>
    <x v="0"/>
    <x v="5"/>
    <x v="517"/>
    <s v="Small Box"/>
    <n v="0.37"/>
    <d v="2009-04-14T00:00:00"/>
    <n v="0"/>
    <n v="0"/>
    <n v="1"/>
    <n v="1"/>
  </r>
  <r>
    <n v="7715"/>
    <n v="55297"/>
    <x v="844"/>
    <x v="0"/>
    <s v="Medium"/>
    <n v="29"/>
    <n v="566.66"/>
    <n v="0.1"/>
    <s v="Regular Air"/>
    <n v="60.59"/>
    <n v="19.98"/>
    <n v="8.68"/>
    <x v="607"/>
    <x v="3"/>
    <x v="3"/>
    <x v="0"/>
    <x v="0"/>
    <x v="5"/>
    <x v="471"/>
    <s v="Small Box"/>
    <n v="0.37"/>
    <d v="2010-10-21T00:00:00"/>
    <n v="0"/>
    <n v="0"/>
    <n v="1"/>
    <n v="1"/>
  </r>
  <r>
    <n v="7724"/>
    <n v="55360"/>
    <x v="605"/>
    <x v="22"/>
    <s v="Medium"/>
    <n v="49"/>
    <n v="134.83000000000001"/>
    <n v="7.0000000000000007E-2"/>
    <s v="Regular Air"/>
    <n v="50.74"/>
    <n v="2.89"/>
    <n v="0.5"/>
    <x v="214"/>
    <x v="3"/>
    <x v="3"/>
    <x v="0"/>
    <x v="0"/>
    <x v="11"/>
    <x v="349"/>
    <s v="Small Box"/>
    <n v="0.38"/>
    <d v="2009-01-24T00:00:00"/>
    <n v="0"/>
    <n v="1"/>
    <n v="0.5"/>
    <n v="0.5"/>
  </r>
  <r>
    <n v="7725"/>
    <n v="55360"/>
    <x v="605"/>
    <x v="22"/>
    <s v="Medium"/>
    <n v="39"/>
    <n v="8865.1"/>
    <n v="0"/>
    <s v="Delivery Truck"/>
    <n v="1517.12"/>
    <n v="217.85"/>
    <n v="29.1"/>
    <x v="214"/>
    <x v="3"/>
    <x v="3"/>
    <x v="0"/>
    <x v="2"/>
    <x v="10"/>
    <x v="905"/>
    <s v="Jumbo Box"/>
    <n v="0.68"/>
    <d v="2009-01-23T00:00:00"/>
    <n v="0"/>
    <n v="1"/>
    <n v="0.5"/>
    <n v="0.5"/>
  </r>
  <r>
    <n v="7772"/>
    <n v="55623"/>
    <x v="473"/>
    <x v="1"/>
    <s v="Critical"/>
    <n v="47"/>
    <n v="10348.73"/>
    <n v="0.09"/>
    <s v="Delivery Truck"/>
    <n v="1094.57"/>
    <n v="227.55"/>
    <n v="32.479999999999997"/>
    <x v="18"/>
    <x v="3"/>
    <x v="3"/>
    <x v="2"/>
    <x v="2"/>
    <x v="10"/>
    <x v="1110"/>
    <s v="Jumbo Box"/>
    <n v="0.68"/>
    <d v="2012-10-06T00:00:00"/>
    <n v="0"/>
    <n v="0"/>
    <n v="1"/>
    <n v="1"/>
  </r>
  <r>
    <n v="7774"/>
    <n v="55650"/>
    <x v="1255"/>
    <x v="17"/>
    <s v="Low"/>
    <n v="41"/>
    <n v="1258.97"/>
    <n v="0.1"/>
    <s v="Regular Air"/>
    <n v="-112.58"/>
    <n v="32.979999999999997"/>
    <n v="5.5"/>
    <x v="596"/>
    <x v="3"/>
    <x v="3"/>
    <x v="3"/>
    <x v="1"/>
    <x v="7"/>
    <x v="279"/>
    <s v="Small Box"/>
    <n v="0.75"/>
    <d v="2011-10-23T00:00:00"/>
    <n v="0"/>
    <n v="0"/>
    <n v="1"/>
    <n v="1"/>
  </r>
  <r>
    <n v="7776"/>
    <n v="55651"/>
    <x v="967"/>
    <x v="33"/>
    <s v="Medium"/>
    <n v="41"/>
    <n v="830.53"/>
    <n v="0.01"/>
    <s v="Regular Air"/>
    <n v="120.69"/>
    <n v="20.239999999999998"/>
    <n v="8.99"/>
    <x v="190"/>
    <x v="3"/>
    <x v="3"/>
    <x v="2"/>
    <x v="2"/>
    <x v="4"/>
    <x v="265"/>
    <s v="Small Pack"/>
    <n v="0.46"/>
    <d v="2012-03-10T00:00:00"/>
    <n v="0"/>
    <n v="0"/>
    <n v="0.33333333333333331"/>
    <n v="0.33333333333333331"/>
  </r>
  <r>
    <n v="7777"/>
    <n v="55651"/>
    <x v="967"/>
    <x v="33"/>
    <s v="Medium"/>
    <n v="2"/>
    <n v="79.930000000000007"/>
    <n v="0"/>
    <s v="Regular Air"/>
    <n v="-52.73"/>
    <n v="27.75"/>
    <n v="19.989999999999998"/>
    <x v="190"/>
    <x v="3"/>
    <x v="3"/>
    <x v="2"/>
    <x v="0"/>
    <x v="0"/>
    <x v="422"/>
    <s v="Small Box"/>
    <n v="0.67"/>
    <d v="2012-03-08T00:00:00"/>
    <n v="0"/>
    <n v="0"/>
    <n v="0.33333333333333331"/>
    <n v="0.33333333333333331"/>
  </r>
  <r>
    <n v="7876"/>
    <n v="56322"/>
    <x v="1204"/>
    <x v="31"/>
    <s v="Medium"/>
    <n v="26"/>
    <n v="799.84"/>
    <n v="0.08"/>
    <s v="Regular Air"/>
    <n v="64.13"/>
    <n v="31.11"/>
    <n v="3.6"/>
    <x v="572"/>
    <x v="3"/>
    <x v="3"/>
    <x v="0"/>
    <x v="1"/>
    <x v="7"/>
    <x v="692"/>
    <s v="Small Pack"/>
    <n v="0.64"/>
    <d v="2011-10-02T00:00:00"/>
    <n v="0"/>
    <n v="0"/>
    <n v="0.5"/>
    <n v="0.5"/>
  </r>
  <r>
    <n v="7877"/>
    <n v="56322"/>
    <x v="1204"/>
    <x v="31"/>
    <s v="Medium"/>
    <n v="16"/>
    <n v="1689.1369999999999"/>
    <n v="7.0000000000000007E-2"/>
    <s v="Regular Air"/>
    <n v="71.063999999999993"/>
    <n v="125.99"/>
    <n v="8.08"/>
    <x v="572"/>
    <x v="3"/>
    <x v="3"/>
    <x v="0"/>
    <x v="1"/>
    <x v="3"/>
    <x v="442"/>
    <s v="Small Box"/>
    <n v="0.56999999999999995"/>
    <d v="2011-10-02T00:00:00"/>
    <n v="0"/>
    <n v="0"/>
    <n v="0.5"/>
    <n v="0.5"/>
  </r>
  <r>
    <n v="7918"/>
    <n v="56608"/>
    <x v="1278"/>
    <x v="11"/>
    <s v="Critical"/>
    <n v="23"/>
    <n v="42.23"/>
    <n v="0.1"/>
    <s v="Regular Air"/>
    <n v="-15.11"/>
    <n v="1.89"/>
    <n v="0.76"/>
    <x v="576"/>
    <x v="3"/>
    <x v="3"/>
    <x v="1"/>
    <x v="0"/>
    <x v="6"/>
    <x v="78"/>
    <s v="Wrap Bag"/>
    <n v="0.83"/>
    <d v="2009-11-20T00:00:00"/>
    <n v="0"/>
    <n v="0"/>
    <n v="1"/>
    <n v="1"/>
  </r>
  <r>
    <n v="7920"/>
    <n v="56612"/>
    <x v="99"/>
    <x v="36"/>
    <s v="High"/>
    <n v="38"/>
    <n v="4008.7274999999995"/>
    <n v="0"/>
    <s v="Regular Air"/>
    <n v="1219.338"/>
    <n v="115.99"/>
    <n v="5.92"/>
    <x v="202"/>
    <x v="3"/>
    <x v="3"/>
    <x v="1"/>
    <x v="1"/>
    <x v="3"/>
    <x v="757"/>
    <s v="Small Box"/>
    <n v="0.57999999999999996"/>
    <d v="2009-07-22T00:00:00"/>
    <n v="0"/>
    <n v="0"/>
    <n v="1"/>
    <n v="1"/>
  </r>
  <r>
    <n v="7956"/>
    <n v="56835"/>
    <x v="773"/>
    <x v="6"/>
    <s v="Not Specified"/>
    <n v="1"/>
    <n v="10.94"/>
    <n v="0.1"/>
    <s v="Regular Air"/>
    <n v="-5.16"/>
    <n v="9.11"/>
    <n v="2.25"/>
    <x v="614"/>
    <x v="3"/>
    <x v="3"/>
    <x v="3"/>
    <x v="0"/>
    <x v="12"/>
    <x v="553"/>
    <s v="Wrap Bag"/>
    <n v="0.52"/>
    <d v="2010-02-20T00:00:00"/>
    <n v="0"/>
    <n v="0"/>
    <n v="1"/>
    <n v="1"/>
  </r>
  <r>
    <n v="7975"/>
    <n v="57058"/>
    <x v="1284"/>
    <x v="20"/>
    <s v="Medium"/>
    <n v="28"/>
    <n v="205.43"/>
    <n v="0"/>
    <s v="Express Air"/>
    <n v="-24.299499999999998"/>
    <n v="6.54"/>
    <n v="5.27"/>
    <x v="18"/>
    <x v="3"/>
    <x v="3"/>
    <x v="2"/>
    <x v="0"/>
    <x v="2"/>
    <x v="578"/>
    <s v="Small Box"/>
    <n v="0.36"/>
    <d v="2012-05-09T00:00:00"/>
    <n v="0"/>
    <n v="0"/>
    <n v="0.5"/>
    <n v="0.5"/>
  </r>
  <r>
    <n v="7976"/>
    <n v="57058"/>
    <x v="1284"/>
    <x v="20"/>
    <s v="Medium"/>
    <n v="27"/>
    <n v="979.06"/>
    <n v="7.0000000000000007E-2"/>
    <s v="Regular Air"/>
    <n v="-131.9"/>
    <n v="35.770000000000003"/>
    <n v="9.02"/>
    <x v="18"/>
    <x v="3"/>
    <x v="3"/>
    <x v="2"/>
    <x v="1"/>
    <x v="7"/>
    <x v="1123"/>
    <s v="Small Box"/>
    <n v="0.75"/>
    <d v="2012-05-10T00:00:00"/>
    <n v="0"/>
    <n v="0"/>
    <n v="0.5"/>
    <n v="0.5"/>
  </r>
  <r>
    <n v="8055"/>
    <n v="57506"/>
    <x v="594"/>
    <x v="40"/>
    <s v="Medium"/>
    <n v="48"/>
    <n v="332.55"/>
    <n v="0.1"/>
    <s v="Regular Air"/>
    <n v="-66.87"/>
    <n v="7.28"/>
    <n v="5.47"/>
    <x v="575"/>
    <x v="3"/>
    <x v="3"/>
    <x v="2"/>
    <x v="0"/>
    <x v="5"/>
    <x v="1215"/>
    <s v="Small Box"/>
    <n v="0.35"/>
    <d v="2009-02-13T00:00:00"/>
    <n v="0"/>
    <n v="0"/>
    <n v="1"/>
    <n v="0.5"/>
  </r>
  <r>
    <n v="8072"/>
    <n v="57574"/>
    <x v="1155"/>
    <x v="29"/>
    <s v="Critical"/>
    <n v="20"/>
    <n v="466.36"/>
    <n v="7.0000000000000007E-2"/>
    <s v="Delivery Truck"/>
    <n v="-192.7"/>
    <n v="23.99"/>
    <n v="15.68"/>
    <x v="593"/>
    <x v="3"/>
    <x v="3"/>
    <x v="1"/>
    <x v="2"/>
    <x v="4"/>
    <x v="1001"/>
    <s v="Jumbo Drum"/>
    <n v="0.62"/>
    <d v="2012-07-24T00:00:00"/>
    <n v="0"/>
    <n v="0"/>
    <n v="1"/>
    <n v="1"/>
  </r>
  <r>
    <n v="8076"/>
    <n v="57602"/>
    <x v="425"/>
    <x v="20"/>
    <s v="Low"/>
    <n v="43"/>
    <n v="130.36000000000001"/>
    <n v="0.02"/>
    <s v="Regular Air"/>
    <n v="58.52"/>
    <n v="2.88"/>
    <n v="0.5"/>
    <x v="608"/>
    <x v="3"/>
    <x v="3"/>
    <x v="1"/>
    <x v="0"/>
    <x v="11"/>
    <x v="1020"/>
    <s v="Small Box"/>
    <n v="0.36"/>
    <d v="2012-05-26T00:00:00"/>
    <n v="0"/>
    <n v="0"/>
    <n v="1"/>
    <n v="1"/>
  </r>
  <r>
    <n v="8112"/>
    <n v="57921"/>
    <x v="1098"/>
    <x v="3"/>
    <s v="Medium"/>
    <n v="8"/>
    <n v="45.24"/>
    <n v="0.01"/>
    <s v="Regular Air"/>
    <n v="-42.12"/>
    <n v="4.9800000000000004"/>
    <n v="4.62"/>
    <x v="492"/>
    <x v="3"/>
    <x v="3"/>
    <x v="1"/>
    <x v="1"/>
    <x v="7"/>
    <x v="278"/>
    <s v="Small Pack"/>
    <n v="0.64"/>
    <d v="2010-08-18T00:00:00"/>
    <n v="0"/>
    <n v="0"/>
    <n v="0.5"/>
    <n v="0.5"/>
  </r>
  <r>
    <n v="8113"/>
    <n v="57921"/>
    <x v="1098"/>
    <x v="3"/>
    <s v="Medium"/>
    <n v="7"/>
    <n v="148.05000000000001"/>
    <n v="0.08"/>
    <s v="Regular Air"/>
    <n v="-45.94"/>
    <n v="21.38"/>
    <n v="8.99"/>
    <x v="492"/>
    <x v="3"/>
    <x v="3"/>
    <x v="1"/>
    <x v="0"/>
    <x v="12"/>
    <x v="311"/>
    <s v="Small Pack"/>
    <n v="0.59"/>
    <d v="2010-08-20T00:00:00"/>
    <n v="0"/>
    <n v="0"/>
    <n v="0.5"/>
    <n v="0.5"/>
  </r>
  <r>
    <n v="8115"/>
    <n v="57958"/>
    <x v="1302"/>
    <x v="40"/>
    <s v="Critical"/>
    <n v="46"/>
    <n v="1419.83"/>
    <n v="7.0000000000000007E-2"/>
    <s v="Express Air"/>
    <n v="385.8"/>
    <n v="30.98"/>
    <n v="8.74"/>
    <x v="582"/>
    <x v="3"/>
    <x v="3"/>
    <x v="1"/>
    <x v="0"/>
    <x v="5"/>
    <x v="720"/>
    <s v="Small Box"/>
    <n v="0.4"/>
    <d v="2009-03-01T00:00:00"/>
    <n v="0"/>
    <n v="0"/>
    <n v="1"/>
    <n v="1"/>
  </r>
  <r>
    <n v="8127"/>
    <n v="58086"/>
    <x v="396"/>
    <x v="5"/>
    <s v="Medium"/>
    <n v="27"/>
    <n v="154.62"/>
    <n v="0.04"/>
    <s v="Regular Air"/>
    <n v="-118.59949999999999"/>
    <n v="5.53"/>
    <n v="6.98"/>
    <x v="492"/>
    <x v="3"/>
    <x v="3"/>
    <x v="2"/>
    <x v="0"/>
    <x v="2"/>
    <x v="518"/>
    <s v="Small Box"/>
    <n v="0.39"/>
    <d v="2011-03-11T00:00:00"/>
    <n v="0"/>
    <n v="0"/>
    <n v="0.5"/>
    <n v="0.5"/>
  </r>
  <r>
    <n v="8128"/>
    <n v="58086"/>
    <x v="396"/>
    <x v="5"/>
    <s v="Medium"/>
    <n v="31"/>
    <n v="1638.2"/>
    <n v="0.1"/>
    <s v="Regular Air"/>
    <n v="471.22"/>
    <n v="55.98"/>
    <n v="13.88"/>
    <x v="492"/>
    <x v="3"/>
    <x v="3"/>
    <x v="2"/>
    <x v="0"/>
    <x v="5"/>
    <x v="296"/>
    <s v="Small Box"/>
    <n v="0.36"/>
    <d v="2011-03-11T00:00:00"/>
    <n v="0"/>
    <n v="0"/>
    <n v="0.5"/>
    <n v="0.5"/>
  </r>
  <r>
    <n v="8141"/>
    <n v="58182"/>
    <x v="277"/>
    <x v="40"/>
    <s v="High"/>
    <n v="24"/>
    <n v="479.13"/>
    <n v="0.05"/>
    <s v="Express Air"/>
    <n v="166.92"/>
    <n v="19.23"/>
    <n v="6.15"/>
    <x v="603"/>
    <x v="3"/>
    <x v="3"/>
    <x v="2"/>
    <x v="2"/>
    <x v="4"/>
    <x v="392"/>
    <s v="Small Pack"/>
    <n v="0.44"/>
    <d v="2009-02-22T00:00:00"/>
    <n v="0"/>
    <n v="0"/>
    <n v="1"/>
    <n v="1"/>
  </r>
  <r>
    <n v="8160"/>
    <n v="58342"/>
    <x v="1303"/>
    <x v="37"/>
    <s v="High"/>
    <n v="40"/>
    <n v="1718.87"/>
    <n v="0.02"/>
    <s v="Regular Air"/>
    <n v="754.1"/>
    <n v="40.98"/>
    <n v="1.99"/>
    <x v="612"/>
    <x v="3"/>
    <x v="3"/>
    <x v="1"/>
    <x v="1"/>
    <x v="7"/>
    <x v="559"/>
    <s v="Small Pack"/>
    <n v="0.44"/>
    <d v="2011-04-01T00:00:00"/>
    <n v="0"/>
    <n v="0"/>
    <n v="1"/>
    <n v="1"/>
  </r>
  <r>
    <n v="8279"/>
    <n v="59174"/>
    <x v="1268"/>
    <x v="38"/>
    <s v="Medium"/>
    <n v="6"/>
    <n v="1193.0999999999999"/>
    <n v="0.09"/>
    <s v="Express Air"/>
    <n v="-139.4958"/>
    <n v="204.1"/>
    <n v="13.99"/>
    <x v="595"/>
    <x v="3"/>
    <x v="3"/>
    <x v="1"/>
    <x v="1"/>
    <x v="16"/>
    <x v="345"/>
    <s v="Medium Box"/>
    <n v="0.37"/>
    <d v="2010-01-03T00:00:00"/>
    <n v="1"/>
    <n v="0"/>
    <n v="1"/>
    <n v="1"/>
  </r>
  <r>
    <n v="8308"/>
    <n v="59361"/>
    <x v="903"/>
    <x v="9"/>
    <s v="High"/>
    <n v="45"/>
    <n v="1008.34"/>
    <n v="0.09"/>
    <s v="Regular Air"/>
    <n v="218.65"/>
    <n v="23.99"/>
    <n v="6.3"/>
    <x v="605"/>
    <x v="3"/>
    <x v="3"/>
    <x v="1"/>
    <x v="1"/>
    <x v="16"/>
    <x v="450"/>
    <s v="Medium Box"/>
    <n v="0.38"/>
    <d v="2012-08-31T00:00:00"/>
    <n v="0"/>
    <n v="0"/>
    <n v="1"/>
    <n v="1"/>
  </r>
  <r>
    <n v="8310"/>
    <n v="59365"/>
    <x v="565"/>
    <x v="47"/>
    <s v="Medium"/>
    <n v="1"/>
    <n v="534.29999999999995"/>
    <n v="0.05"/>
    <s v="Delivery Truck"/>
    <n v="-1220.9144999999999"/>
    <n v="535.64"/>
    <n v="14.7"/>
    <x v="598"/>
    <x v="3"/>
    <x v="3"/>
    <x v="3"/>
    <x v="1"/>
    <x v="16"/>
    <x v="1184"/>
    <s v="Jumbo Drum"/>
    <n v="0.59"/>
    <d v="2009-12-09T00:00:00"/>
    <n v="0"/>
    <n v="0"/>
    <n v="1"/>
    <n v="1"/>
  </r>
  <r>
    <n v="8326"/>
    <n v="59492"/>
    <x v="379"/>
    <x v="1"/>
    <s v="Not Specified"/>
    <n v="25"/>
    <n v="170.4"/>
    <n v="0.02"/>
    <s v="Regular Air"/>
    <n v="-153.75"/>
    <n v="6.48"/>
    <n v="10.050000000000001"/>
    <x v="611"/>
    <x v="3"/>
    <x v="3"/>
    <x v="3"/>
    <x v="0"/>
    <x v="5"/>
    <x v="680"/>
    <s v="Small Box"/>
    <n v="0.37"/>
    <d v="2012-11-01T00:00:00"/>
    <n v="0"/>
    <n v="0"/>
    <n v="1"/>
    <n v="1"/>
  </r>
  <r>
    <n v="8350"/>
    <n v="59684"/>
    <x v="662"/>
    <x v="15"/>
    <s v="Medium"/>
    <n v="50"/>
    <n v="9059.9"/>
    <n v="7.0000000000000007E-2"/>
    <s v="Delivery Truck"/>
    <n v="778.01"/>
    <n v="180.98"/>
    <n v="55.24"/>
    <x v="574"/>
    <x v="3"/>
    <x v="3"/>
    <x v="2"/>
    <x v="0"/>
    <x v="1"/>
    <x v="414"/>
    <s v="Jumbo Drum"/>
    <n v="0.56999999999999995"/>
    <d v="2011-01-15T00:00:00"/>
    <n v="0"/>
    <n v="0"/>
    <n v="0.25"/>
    <n v="0.25"/>
  </r>
  <r>
    <n v="8351"/>
    <n v="59684"/>
    <x v="662"/>
    <x v="15"/>
    <s v="Medium"/>
    <n v="41"/>
    <n v="368.17"/>
    <n v="0"/>
    <s v="Express Air"/>
    <n v="-15.12"/>
    <n v="8.32"/>
    <n v="2.38"/>
    <x v="574"/>
    <x v="3"/>
    <x v="3"/>
    <x v="2"/>
    <x v="1"/>
    <x v="7"/>
    <x v="1090"/>
    <s v="Small Pack"/>
    <n v="0.74"/>
    <d v="2011-01-16T00:00:00"/>
    <n v="0"/>
    <n v="0"/>
    <n v="0.25"/>
    <n v="0.25"/>
  </r>
  <r>
    <n v="8352"/>
    <n v="59684"/>
    <x v="662"/>
    <x v="15"/>
    <s v="Medium"/>
    <n v="3"/>
    <n v="14.46"/>
    <n v="0.06"/>
    <s v="Regular Air"/>
    <n v="-5.26"/>
    <n v="4.2"/>
    <n v="2.2599999999999998"/>
    <x v="574"/>
    <x v="3"/>
    <x v="3"/>
    <x v="2"/>
    <x v="0"/>
    <x v="5"/>
    <x v="1028"/>
    <s v="Wrap Bag"/>
    <n v="0.36"/>
    <d v="2011-01-17T00:00:00"/>
    <n v="0"/>
    <n v="0"/>
    <n v="0.25"/>
    <n v="0.25"/>
  </r>
  <r>
    <n v="8353"/>
    <n v="59684"/>
    <x v="662"/>
    <x v="15"/>
    <s v="Medium"/>
    <n v="25"/>
    <n v="168.39"/>
    <n v="0.03"/>
    <s v="Regular Air"/>
    <n v="-144.88999999999999"/>
    <n v="6.48"/>
    <n v="9.68"/>
    <x v="574"/>
    <x v="3"/>
    <x v="3"/>
    <x v="2"/>
    <x v="0"/>
    <x v="5"/>
    <x v="597"/>
    <s v="Small Box"/>
    <n v="0.36"/>
    <d v="2010-12-30T00:00:00"/>
    <n v="0"/>
    <n v="0"/>
    <n v="0.25"/>
    <n v="0.25"/>
  </r>
  <r>
    <n v="38"/>
    <n v="229"/>
    <x v="282"/>
    <x v="15"/>
    <s v="Critical"/>
    <n v="24"/>
    <n v="599.1"/>
    <n v="0.02"/>
    <s v="Regular Air"/>
    <n v="3.8164999999999956"/>
    <n v="24.92"/>
    <n v="12.98"/>
    <x v="615"/>
    <x v="10"/>
    <x v="3"/>
    <x v="1"/>
    <x v="0"/>
    <x v="2"/>
    <x v="202"/>
    <s v="Small Box"/>
    <n v="0.39"/>
    <d v="2010-12-29T00:00:00"/>
    <n v="0"/>
    <n v="0"/>
    <n v="0.5"/>
    <n v="1"/>
  </r>
  <r>
    <n v="82"/>
    <n v="512"/>
    <x v="1029"/>
    <x v="10"/>
    <s v="Low"/>
    <n v="6"/>
    <n v="1309.53"/>
    <n v="0.06"/>
    <s v="Regular Air"/>
    <n v="19.17999999999995"/>
    <n v="218.08"/>
    <n v="18.059999999999999"/>
    <x v="616"/>
    <x v="10"/>
    <x v="3"/>
    <x v="3"/>
    <x v="2"/>
    <x v="14"/>
    <x v="86"/>
    <s v="Large Box"/>
    <n v="0.56999999999999995"/>
    <d v="2011-05-19T00:00:00"/>
    <n v="0"/>
    <n v="0"/>
    <n v="0.5"/>
    <n v="0.5"/>
  </r>
  <r>
    <n v="83"/>
    <n v="512"/>
    <x v="1029"/>
    <x v="10"/>
    <s v="Low"/>
    <n v="48"/>
    <n v="806.37"/>
    <n v="0.01"/>
    <s v="Express Air"/>
    <n v="-166.4"/>
    <n v="15.42"/>
    <n v="10.68"/>
    <x v="616"/>
    <x v="10"/>
    <x v="3"/>
    <x v="3"/>
    <x v="0"/>
    <x v="0"/>
    <x v="1119"/>
    <s v="Small Box"/>
    <n v="0.57999999999999996"/>
    <d v="2011-05-21T00:00:00"/>
    <n v="0"/>
    <n v="0"/>
    <n v="0.5"/>
    <n v="0.5"/>
  </r>
  <r>
    <n v="197"/>
    <n v="1287"/>
    <x v="694"/>
    <x v="36"/>
    <s v="High"/>
    <n v="39"/>
    <n v="3908.65"/>
    <n v="0.06"/>
    <s v="Regular Air"/>
    <n v="480.57"/>
    <n v="105.29"/>
    <n v="10.119999999999999"/>
    <x v="617"/>
    <x v="10"/>
    <x v="3"/>
    <x v="2"/>
    <x v="2"/>
    <x v="4"/>
    <x v="1064"/>
    <s v="Large Box"/>
    <n v="0.79"/>
    <d v="2009-07-06T00:00:00"/>
    <n v="0"/>
    <n v="0"/>
    <n v="1"/>
    <n v="1"/>
  </r>
  <r>
    <n v="277"/>
    <n v="1895"/>
    <x v="127"/>
    <x v="43"/>
    <s v="Medium"/>
    <n v="5"/>
    <n v="41.25"/>
    <n v="0.02"/>
    <s v="Regular Air"/>
    <n v="-23.25"/>
    <n v="6.48"/>
    <n v="7.91"/>
    <x v="617"/>
    <x v="10"/>
    <x v="3"/>
    <x v="2"/>
    <x v="0"/>
    <x v="5"/>
    <x v="952"/>
    <s v="Small Box"/>
    <n v="0.37"/>
    <d v="2009-05-31T00:00:00"/>
    <n v="0"/>
    <n v="0"/>
    <n v="1"/>
    <n v="0.33333333333333331"/>
  </r>
  <r>
    <n v="290"/>
    <n v="2023"/>
    <x v="409"/>
    <x v="20"/>
    <s v="Low"/>
    <n v="4"/>
    <n v="294.89"/>
    <n v="0.09"/>
    <s v="Regular Air"/>
    <n v="-321.83999999999997"/>
    <n v="73.98"/>
    <n v="12.14"/>
    <x v="616"/>
    <x v="10"/>
    <x v="3"/>
    <x v="3"/>
    <x v="1"/>
    <x v="7"/>
    <x v="633"/>
    <s v="Small Box"/>
    <n v="0.67"/>
    <d v="2012-05-05T00:00:00"/>
    <n v="0"/>
    <n v="0"/>
    <n v="0.5"/>
    <n v="0.5"/>
  </r>
  <r>
    <n v="291"/>
    <n v="2023"/>
    <x v="409"/>
    <x v="20"/>
    <s v="Low"/>
    <n v="50"/>
    <n v="246.57"/>
    <n v="0.06"/>
    <s v="Regular Air"/>
    <n v="-132.51"/>
    <n v="4.9800000000000004"/>
    <n v="5.49"/>
    <x v="616"/>
    <x v="10"/>
    <x v="3"/>
    <x v="3"/>
    <x v="0"/>
    <x v="5"/>
    <x v="921"/>
    <s v="Small Box"/>
    <n v="0.38"/>
    <d v="2012-05-07T00:00:00"/>
    <n v="0"/>
    <n v="0"/>
    <n v="0.5"/>
    <n v="0.5"/>
  </r>
  <r>
    <n v="372"/>
    <n v="2593"/>
    <x v="1152"/>
    <x v="18"/>
    <s v="High"/>
    <n v="5"/>
    <n v="2004.12"/>
    <n v="0.1"/>
    <s v="Express Air"/>
    <n v="276.67500000000001"/>
    <n v="420.98"/>
    <n v="19.989999999999998"/>
    <x v="618"/>
    <x v="10"/>
    <x v="3"/>
    <x v="2"/>
    <x v="0"/>
    <x v="2"/>
    <x v="461"/>
    <s v="Small Box"/>
    <n v="0.35"/>
    <d v="2010-09-05T00:00:00"/>
    <n v="0"/>
    <n v="0"/>
    <n v="0.5"/>
    <n v="0.5"/>
  </r>
  <r>
    <n v="373"/>
    <n v="2593"/>
    <x v="1152"/>
    <x v="18"/>
    <s v="High"/>
    <n v="15"/>
    <n v="3841.72"/>
    <n v="0.03"/>
    <s v="Delivery Truck"/>
    <n v="691.13"/>
    <n v="243.98"/>
    <n v="43.32"/>
    <x v="618"/>
    <x v="10"/>
    <x v="3"/>
    <x v="2"/>
    <x v="2"/>
    <x v="14"/>
    <x v="130"/>
    <s v="Jumbo Drum"/>
    <n v="0.55000000000000004"/>
    <d v="2010-09-04T00:00:00"/>
    <n v="0"/>
    <n v="0"/>
    <n v="0.5"/>
    <n v="0.5"/>
  </r>
  <r>
    <n v="501"/>
    <n v="3461"/>
    <x v="1304"/>
    <x v="38"/>
    <s v="Critical"/>
    <n v="47"/>
    <n v="2053.3789999999999"/>
    <n v="0.1"/>
    <s v="Regular Air"/>
    <n v="1040.4000000000001"/>
    <n v="55.99"/>
    <n v="1.25"/>
    <x v="619"/>
    <x v="10"/>
    <x v="3"/>
    <x v="3"/>
    <x v="1"/>
    <x v="3"/>
    <x v="733"/>
    <s v="Small Pack"/>
    <n v="0.35"/>
    <d v="2010-02-01T00:00:00"/>
    <n v="1"/>
    <n v="0"/>
    <n v="0.5"/>
    <n v="0.33333333333333331"/>
  </r>
  <r>
    <n v="502"/>
    <n v="3461"/>
    <x v="1304"/>
    <x v="38"/>
    <s v="Critical"/>
    <n v="35"/>
    <n v="3206.3955000000001"/>
    <n v="0.08"/>
    <s v="Regular Air"/>
    <n v="784.77300000000002"/>
    <n v="115.99"/>
    <n v="2.5"/>
    <x v="619"/>
    <x v="10"/>
    <x v="3"/>
    <x v="3"/>
    <x v="1"/>
    <x v="3"/>
    <x v="1154"/>
    <s v="Small Box"/>
    <n v="0.55000000000000004"/>
    <d v="2010-02-01T00:00:00"/>
    <n v="1"/>
    <n v="0"/>
    <n v="0.5"/>
    <n v="0.33333333333333331"/>
  </r>
  <r>
    <n v="517"/>
    <n v="3554"/>
    <x v="575"/>
    <x v="4"/>
    <s v="Low"/>
    <n v="25"/>
    <n v="288.91000000000003"/>
    <n v="0.08"/>
    <s v="Regular Air"/>
    <n v="-14.06"/>
    <n v="12.28"/>
    <n v="6.47"/>
    <x v="171"/>
    <x v="10"/>
    <x v="3"/>
    <x v="2"/>
    <x v="0"/>
    <x v="5"/>
    <x v="46"/>
    <s v="Small Box"/>
    <n v="0.38"/>
    <d v="2011-06-25T00:00:00"/>
    <n v="0"/>
    <n v="0"/>
    <n v="1"/>
    <n v="1"/>
  </r>
  <r>
    <n v="610"/>
    <n v="4166"/>
    <x v="203"/>
    <x v="6"/>
    <s v="Low"/>
    <n v="19"/>
    <n v="138.85"/>
    <n v="0.08"/>
    <s v="Regular Air"/>
    <n v="-49.346499999999999"/>
    <n v="7.1"/>
    <n v="6.05"/>
    <x v="578"/>
    <x v="10"/>
    <x v="3"/>
    <x v="2"/>
    <x v="0"/>
    <x v="2"/>
    <x v="310"/>
    <s v="Small Box"/>
    <n v="0.39"/>
    <d v="2010-02-27T00:00:00"/>
    <n v="0"/>
    <n v="0"/>
    <n v="1"/>
    <n v="0.33333333333333331"/>
  </r>
  <r>
    <n v="712"/>
    <n v="5059"/>
    <x v="628"/>
    <x v="7"/>
    <s v="High"/>
    <n v="5"/>
    <n v="41.18"/>
    <n v="0.1"/>
    <s v="Express Air"/>
    <n v="-19.308499999999999"/>
    <n v="5.44"/>
    <n v="7.46"/>
    <x v="620"/>
    <x v="10"/>
    <x v="3"/>
    <x v="0"/>
    <x v="0"/>
    <x v="2"/>
    <x v="1216"/>
    <s v="Small Box"/>
    <n v="0.36"/>
    <d v="2010-11-11T00:00:00"/>
    <n v="0"/>
    <n v="0"/>
    <n v="1"/>
    <n v="1"/>
  </r>
  <r>
    <n v="730"/>
    <n v="5254"/>
    <x v="995"/>
    <x v="29"/>
    <s v="Not Specified"/>
    <n v="31"/>
    <n v="1735.3515"/>
    <n v="0.08"/>
    <s v="Regular Air"/>
    <n v="258.62400000000002"/>
    <n v="65.989999999999995"/>
    <n v="8.99"/>
    <x v="621"/>
    <x v="10"/>
    <x v="3"/>
    <x v="2"/>
    <x v="1"/>
    <x v="3"/>
    <x v="893"/>
    <s v="Small Box"/>
    <n v="0.56000000000000005"/>
    <d v="2012-07-27T00:00:00"/>
    <n v="0"/>
    <n v="0"/>
    <n v="1"/>
    <n v="1"/>
  </r>
  <r>
    <n v="784"/>
    <n v="5575"/>
    <x v="188"/>
    <x v="2"/>
    <s v="Low"/>
    <n v="41"/>
    <n v="254.69"/>
    <n v="0.06"/>
    <s v="Regular Air"/>
    <n v="-269.37"/>
    <n v="5.98"/>
    <n v="10.39"/>
    <x v="622"/>
    <x v="10"/>
    <x v="3"/>
    <x v="2"/>
    <x v="0"/>
    <x v="5"/>
    <x v="1037"/>
    <s v="Small Box"/>
    <n v="0.4"/>
    <d v="2011-07-23T00:00:00"/>
    <n v="0"/>
    <n v="0"/>
    <n v="1"/>
    <n v="1"/>
  </r>
  <r>
    <n v="823"/>
    <n v="5954"/>
    <x v="727"/>
    <x v="45"/>
    <s v="Critical"/>
    <n v="32"/>
    <n v="18316.3"/>
    <n v="0.06"/>
    <s v="Delivery Truck"/>
    <n v="4569.0600000000004"/>
    <n v="596.98"/>
    <n v="14.7"/>
    <x v="171"/>
    <x v="10"/>
    <x v="3"/>
    <x v="2"/>
    <x v="1"/>
    <x v="16"/>
    <x v="1217"/>
    <s v="Jumbo Drum"/>
    <n v="0.56999999999999995"/>
    <d v="2012-12-04T00:00:00"/>
    <n v="0"/>
    <n v="0"/>
    <n v="1"/>
    <n v="0.25"/>
  </r>
  <r>
    <n v="840"/>
    <n v="6018"/>
    <x v="554"/>
    <x v="9"/>
    <s v="Low"/>
    <n v="39"/>
    <n v="206.09"/>
    <n v="0"/>
    <s v="Regular Air"/>
    <n v="36.04"/>
    <n v="5.08"/>
    <n v="2.0299999999999998"/>
    <x v="623"/>
    <x v="10"/>
    <x v="3"/>
    <x v="3"/>
    <x v="2"/>
    <x v="4"/>
    <x v="708"/>
    <s v="Wrap Bag"/>
    <n v="0.51"/>
    <d v="2012-08-20T00:00:00"/>
    <n v="0"/>
    <n v="0"/>
    <n v="0.5"/>
    <n v="0.5"/>
  </r>
  <r>
    <n v="841"/>
    <n v="6018"/>
    <x v="554"/>
    <x v="9"/>
    <s v="Low"/>
    <n v="2"/>
    <n v="124.25"/>
    <n v="7.0000000000000007E-2"/>
    <s v="Regular Air"/>
    <n v="-55.78"/>
    <n v="55.98"/>
    <n v="13.88"/>
    <x v="623"/>
    <x v="10"/>
    <x v="3"/>
    <x v="3"/>
    <x v="0"/>
    <x v="5"/>
    <x v="296"/>
    <s v="Small Box"/>
    <n v="0.36"/>
    <d v="2012-08-23T00:00:00"/>
    <n v="0"/>
    <n v="0"/>
    <n v="0.5"/>
    <n v="0.5"/>
  </r>
  <r>
    <n v="881"/>
    <n v="6336"/>
    <x v="51"/>
    <x v="21"/>
    <s v="High"/>
    <n v="43"/>
    <n v="320.26"/>
    <n v="0.01"/>
    <s v="Express Air"/>
    <n v="-84.134"/>
    <n v="7.1"/>
    <n v="6.05"/>
    <x v="624"/>
    <x v="10"/>
    <x v="3"/>
    <x v="3"/>
    <x v="0"/>
    <x v="2"/>
    <x v="310"/>
    <s v="Small Box"/>
    <n v="0.39"/>
    <d v="2011-08-30T00:00:00"/>
    <n v="0"/>
    <n v="0"/>
    <n v="1"/>
    <n v="1"/>
  </r>
  <r>
    <n v="1037"/>
    <n v="7559"/>
    <x v="620"/>
    <x v="0"/>
    <s v="Critical"/>
    <n v="9"/>
    <n v="90.37"/>
    <n v="0.05"/>
    <s v="Regular Air"/>
    <n v="-374.82"/>
    <n v="4.4800000000000004"/>
    <n v="49"/>
    <x v="578"/>
    <x v="10"/>
    <x v="3"/>
    <x v="2"/>
    <x v="0"/>
    <x v="1"/>
    <x v="43"/>
    <s v="Large Box"/>
    <n v="0.6"/>
    <d v="2010-10-14T00:00:00"/>
    <n v="0"/>
    <n v="0"/>
    <n v="0.5"/>
    <n v="0.5"/>
  </r>
  <r>
    <n v="1038"/>
    <n v="7559"/>
    <x v="620"/>
    <x v="0"/>
    <s v="Critical"/>
    <n v="39"/>
    <n v="806.05"/>
    <n v="0.04"/>
    <s v="Regular Air"/>
    <n v="-63.39"/>
    <n v="20.95"/>
    <n v="5.99"/>
    <x v="578"/>
    <x v="10"/>
    <x v="3"/>
    <x v="2"/>
    <x v="1"/>
    <x v="7"/>
    <x v="124"/>
    <s v="Small Box"/>
    <n v="0.65"/>
    <d v="2010-10-13T00:00:00"/>
    <n v="0"/>
    <n v="0"/>
    <n v="0.5"/>
    <n v="0.5"/>
  </r>
  <r>
    <n v="1091"/>
    <n v="8007"/>
    <x v="668"/>
    <x v="12"/>
    <s v="Low"/>
    <n v="35"/>
    <n v="3332.06"/>
    <n v="0.09"/>
    <s v="Regular Air"/>
    <n v="412.63"/>
    <n v="99.99"/>
    <n v="19.989999999999998"/>
    <x v="168"/>
    <x v="10"/>
    <x v="3"/>
    <x v="2"/>
    <x v="1"/>
    <x v="16"/>
    <x v="284"/>
    <s v="Small Box"/>
    <n v="0.52"/>
    <d v="2012-02-11T00:00:00"/>
    <n v="0"/>
    <n v="0"/>
    <n v="0.5"/>
    <n v="0.33333333333333331"/>
  </r>
  <r>
    <n v="1100"/>
    <n v="8070"/>
    <x v="932"/>
    <x v="23"/>
    <s v="Medium"/>
    <n v="14"/>
    <n v="622.72"/>
    <n v="0"/>
    <s v="Regular Air"/>
    <n v="76.510000000000005"/>
    <n v="40.97"/>
    <n v="8.99"/>
    <x v="622"/>
    <x v="10"/>
    <x v="3"/>
    <x v="3"/>
    <x v="0"/>
    <x v="12"/>
    <x v="608"/>
    <s v="Small Pack"/>
    <n v="0.59"/>
    <d v="2012-01-29T00:00:00"/>
    <n v="0"/>
    <n v="0"/>
    <n v="1"/>
    <n v="1"/>
  </r>
  <r>
    <n v="1131"/>
    <n v="8259"/>
    <x v="413"/>
    <x v="46"/>
    <s v="Medium"/>
    <n v="25"/>
    <n v="2130.2199999999998"/>
    <n v="0.09"/>
    <s v="Delivery Truck"/>
    <n v="-584.6"/>
    <n v="89.99"/>
    <n v="42"/>
    <x v="615"/>
    <x v="10"/>
    <x v="3"/>
    <x v="1"/>
    <x v="2"/>
    <x v="14"/>
    <x v="668"/>
    <s v="Jumbo Drum"/>
    <n v="0.66"/>
    <d v="2009-04-18T00:00:00"/>
    <n v="0"/>
    <n v="0"/>
    <n v="1"/>
    <n v="1"/>
  </r>
  <r>
    <n v="1180"/>
    <n v="8642"/>
    <x v="150"/>
    <x v="38"/>
    <s v="High"/>
    <n v="26"/>
    <n v="151.05000000000001"/>
    <n v="0.09"/>
    <s v="Regular Air"/>
    <n v="-76.141499999999994"/>
    <n v="5.8"/>
    <n v="5.59"/>
    <x v="578"/>
    <x v="10"/>
    <x v="3"/>
    <x v="2"/>
    <x v="0"/>
    <x v="2"/>
    <x v="770"/>
    <s v="Small Box"/>
    <n v="0.4"/>
    <d v="2010-01-17T00:00:00"/>
    <n v="1"/>
    <n v="0"/>
    <n v="0.5"/>
    <n v="0.5"/>
  </r>
  <r>
    <n v="1181"/>
    <n v="8642"/>
    <x v="150"/>
    <x v="38"/>
    <s v="High"/>
    <n v="13"/>
    <n v="133.04"/>
    <n v="0.04"/>
    <s v="Regular Air"/>
    <n v="49.69"/>
    <n v="10.35"/>
    <n v="0.99"/>
    <x v="578"/>
    <x v="10"/>
    <x v="3"/>
    <x v="2"/>
    <x v="0"/>
    <x v="11"/>
    <x v="993"/>
    <s v="Small Box"/>
    <n v="0.37"/>
    <d v="2010-01-17T00:00:00"/>
    <n v="1"/>
    <n v="0"/>
    <n v="0.5"/>
    <n v="0.5"/>
  </r>
  <r>
    <n v="1200"/>
    <n v="8803"/>
    <x v="796"/>
    <x v="45"/>
    <s v="Not Specified"/>
    <n v="6"/>
    <n v="1184.1099999999999"/>
    <n v="7.0000000000000007E-2"/>
    <s v="Regular Air"/>
    <n v="-145.07"/>
    <n v="193.17"/>
    <n v="19.989999999999998"/>
    <x v="621"/>
    <x v="10"/>
    <x v="3"/>
    <x v="2"/>
    <x v="0"/>
    <x v="0"/>
    <x v="219"/>
    <s v="Small Box"/>
    <n v="0.71"/>
    <d v="2012-12-21T00:00:00"/>
    <n v="0"/>
    <n v="0"/>
    <n v="0.5"/>
    <n v="0.5"/>
  </r>
  <r>
    <n v="1201"/>
    <n v="8803"/>
    <x v="796"/>
    <x v="45"/>
    <s v="Not Specified"/>
    <n v="17"/>
    <n v="514.22"/>
    <n v="0.02"/>
    <s v="Regular Air"/>
    <n v="187.374"/>
    <n v="30.56"/>
    <n v="2.99"/>
    <x v="621"/>
    <x v="10"/>
    <x v="3"/>
    <x v="2"/>
    <x v="0"/>
    <x v="2"/>
    <x v="142"/>
    <s v="Small Box"/>
    <n v="0.35"/>
    <d v="2012-12-23T00:00:00"/>
    <n v="0"/>
    <n v="0"/>
    <n v="0.5"/>
    <n v="0.5"/>
  </r>
  <r>
    <n v="1287"/>
    <n v="9383"/>
    <x v="830"/>
    <x v="28"/>
    <s v="Not Specified"/>
    <n v="11"/>
    <n v="82.42"/>
    <n v="7.0000000000000007E-2"/>
    <s v="Regular Air"/>
    <n v="18.53"/>
    <n v="7.59"/>
    <n v="4"/>
    <x v="618"/>
    <x v="10"/>
    <x v="3"/>
    <x v="2"/>
    <x v="2"/>
    <x v="4"/>
    <x v="378"/>
    <s v="Wrap Bag"/>
    <n v="0.42"/>
    <d v="2009-03-18T00:00:00"/>
    <n v="0"/>
    <n v="0"/>
    <n v="1"/>
    <n v="1"/>
  </r>
  <r>
    <n v="1418"/>
    <n v="10278"/>
    <x v="256"/>
    <x v="31"/>
    <s v="Low"/>
    <n v="25"/>
    <n v="1907.71"/>
    <n v="0"/>
    <s v="Delivery Truck"/>
    <n v="32.549999999999997"/>
    <n v="70.98"/>
    <n v="26.74"/>
    <x v="622"/>
    <x v="10"/>
    <x v="3"/>
    <x v="3"/>
    <x v="2"/>
    <x v="9"/>
    <x v="523"/>
    <s v="Jumbo Box"/>
    <n v="0.6"/>
    <d v="2011-09-19T00:00:00"/>
    <n v="0"/>
    <n v="0"/>
    <n v="1"/>
    <n v="1"/>
  </r>
  <r>
    <n v="1515"/>
    <n v="10949"/>
    <x v="1170"/>
    <x v="28"/>
    <s v="Medium"/>
    <n v="46"/>
    <n v="3449.26"/>
    <n v="0.1"/>
    <s v="Delivery Truck"/>
    <n v="252.77"/>
    <n v="80.97"/>
    <n v="30.06"/>
    <x v="625"/>
    <x v="10"/>
    <x v="3"/>
    <x v="0"/>
    <x v="1"/>
    <x v="16"/>
    <x v="792"/>
    <s v="Jumbo Box"/>
    <n v="0.4"/>
    <d v="2009-03-31T00:00:00"/>
    <n v="0"/>
    <n v="0"/>
    <n v="1"/>
    <n v="1"/>
  </r>
  <r>
    <n v="1569"/>
    <n v="11335"/>
    <x v="839"/>
    <x v="19"/>
    <s v="High"/>
    <n v="3"/>
    <n v="14.84"/>
    <n v="0.08"/>
    <s v="Regular Air"/>
    <n v="-2.42"/>
    <n v="4.9800000000000004"/>
    <n v="0.49"/>
    <x v="168"/>
    <x v="10"/>
    <x v="3"/>
    <x v="2"/>
    <x v="0"/>
    <x v="11"/>
    <x v="651"/>
    <s v="Small Box"/>
    <n v="0.39"/>
    <d v="2009-10-22T00:00:00"/>
    <n v="0"/>
    <n v="0"/>
    <n v="0.5"/>
    <n v="0.5"/>
  </r>
  <r>
    <n v="1570"/>
    <n v="11335"/>
    <x v="839"/>
    <x v="19"/>
    <s v="High"/>
    <n v="8"/>
    <n v="922.47"/>
    <n v="0.09"/>
    <s v="Delivery Truck"/>
    <n v="-13.1022"/>
    <n v="119.99"/>
    <n v="14"/>
    <x v="168"/>
    <x v="10"/>
    <x v="3"/>
    <x v="2"/>
    <x v="1"/>
    <x v="16"/>
    <x v="835"/>
    <s v="Jumbo Drum"/>
    <n v="0.36"/>
    <d v="2009-10-23T00:00:00"/>
    <n v="0"/>
    <n v="0"/>
    <n v="0.5"/>
    <n v="0.5"/>
  </r>
  <r>
    <n v="1719"/>
    <n v="12355"/>
    <x v="29"/>
    <x v="10"/>
    <s v="Not Specified"/>
    <n v="36"/>
    <n v="209.53"/>
    <n v="0.03"/>
    <s v="Regular Air"/>
    <n v="-81.06"/>
    <n v="5.78"/>
    <n v="5.67"/>
    <x v="171"/>
    <x v="10"/>
    <x v="3"/>
    <x v="2"/>
    <x v="0"/>
    <x v="5"/>
    <x v="443"/>
    <s v="Small Box"/>
    <n v="0.36"/>
    <d v="2011-05-29T00:00:00"/>
    <n v="0"/>
    <n v="0"/>
    <n v="0.33333333333333331"/>
    <n v="0.33333333333333331"/>
  </r>
  <r>
    <n v="1720"/>
    <n v="12355"/>
    <x v="29"/>
    <x v="10"/>
    <s v="Not Specified"/>
    <n v="14"/>
    <n v="225.47"/>
    <n v="0"/>
    <s v="Regular Air"/>
    <n v="-29.07"/>
    <n v="14.97"/>
    <n v="7.51"/>
    <x v="171"/>
    <x v="10"/>
    <x v="3"/>
    <x v="2"/>
    <x v="0"/>
    <x v="0"/>
    <x v="270"/>
    <s v="Small Box"/>
    <n v="0.56999999999999995"/>
    <d v="2011-05-29T00:00:00"/>
    <n v="0"/>
    <n v="0"/>
    <n v="0.33333333333333331"/>
    <n v="0.33333333333333331"/>
  </r>
  <r>
    <n v="1834"/>
    <n v="13127"/>
    <x v="126"/>
    <x v="42"/>
    <s v="Medium"/>
    <n v="13"/>
    <n v="951.31"/>
    <n v="0.06"/>
    <s v="Delivery Truck"/>
    <n v="-333.07"/>
    <n v="68.81"/>
    <n v="60"/>
    <x v="616"/>
    <x v="10"/>
    <x v="3"/>
    <x v="3"/>
    <x v="0"/>
    <x v="1"/>
    <x v="459"/>
    <s v="Jumbo Drum"/>
    <n v="0.41"/>
    <d v="2010-08-03T00:00:00"/>
    <n v="0"/>
    <n v="0"/>
    <n v="1"/>
    <n v="1"/>
  </r>
  <r>
    <n v="2092"/>
    <n v="14978"/>
    <x v="1305"/>
    <x v="39"/>
    <s v="Critical"/>
    <n v="14"/>
    <n v="12043.88"/>
    <n v="7.0000000000000007E-2"/>
    <s v="Delivery Truck"/>
    <n v="2011.31"/>
    <n v="880.98"/>
    <n v="44.55"/>
    <x v="620"/>
    <x v="10"/>
    <x v="3"/>
    <x v="2"/>
    <x v="2"/>
    <x v="9"/>
    <x v="185"/>
    <s v="Jumbo Box"/>
    <n v="0.62"/>
    <d v="2010-05-28T00:00:00"/>
    <n v="0"/>
    <n v="0"/>
    <n v="0.5"/>
    <n v="0.5"/>
  </r>
  <r>
    <n v="2093"/>
    <n v="14978"/>
    <x v="1305"/>
    <x v="39"/>
    <s v="Critical"/>
    <n v="14"/>
    <n v="195.12"/>
    <n v="0"/>
    <s v="Regular Air"/>
    <n v="-6.32"/>
    <n v="13.48"/>
    <n v="4.51"/>
    <x v="620"/>
    <x v="10"/>
    <x v="3"/>
    <x v="2"/>
    <x v="0"/>
    <x v="0"/>
    <x v="27"/>
    <s v="Small Box"/>
    <n v="0.59"/>
    <d v="2010-05-28T00:00:00"/>
    <n v="0"/>
    <n v="0"/>
    <n v="0.5"/>
    <n v="0.5"/>
  </r>
  <r>
    <n v="2187"/>
    <n v="15751"/>
    <x v="204"/>
    <x v="26"/>
    <s v="Critical"/>
    <n v="37"/>
    <n v="189.6"/>
    <n v="0.02"/>
    <s v="Regular Air"/>
    <n v="89.65"/>
    <n v="4.9800000000000004"/>
    <n v="0.49"/>
    <x v="168"/>
    <x v="10"/>
    <x v="3"/>
    <x v="2"/>
    <x v="0"/>
    <x v="11"/>
    <x v="651"/>
    <s v="Small Box"/>
    <n v="0.39"/>
    <d v="2009-08-16T00:00:00"/>
    <n v="0"/>
    <n v="0"/>
    <n v="0.5"/>
    <n v="0.5"/>
  </r>
  <r>
    <n v="2188"/>
    <n v="15751"/>
    <x v="204"/>
    <x v="26"/>
    <s v="Critical"/>
    <n v="21"/>
    <n v="397.73200000000003"/>
    <n v="0.01"/>
    <s v="Regular Air"/>
    <n v="-26.047999999999998"/>
    <n v="20.99"/>
    <n v="0.99"/>
    <x v="168"/>
    <x v="10"/>
    <x v="3"/>
    <x v="2"/>
    <x v="1"/>
    <x v="3"/>
    <x v="924"/>
    <s v="Small Pack"/>
    <n v="0.83"/>
    <d v="2009-08-16T00:00:00"/>
    <n v="0"/>
    <n v="0"/>
    <n v="0.5"/>
    <n v="0.5"/>
  </r>
  <r>
    <n v="2197"/>
    <n v="15815"/>
    <x v="185"/>
    <x v="43"/>
    <s v="Critical"/>
    <n v="43"/>
    <n v="528.6"/>
    <n v="0.01"/>
    <s v="Regular Air"/>
    <n v="52.589500000000001"/>
    <n v="11.7"/>
    <n v="5.63"/>
    <x v="617"/>
    <x v="10"/>
    <x v="3"/>
    <x v="2"/>
    <x v="0"/>
    <x v="2"/>
    <x v="972"/>
    <s v="Small Box"/>
    <n v="0.4"/>
    <d v="2009-05-03T00:00:00"/>
    <n v="0"/>
    <n v="0"/>
    <n v="0.5"/>
    <n v="0.33333333333333331"/>
  </r>
  <r>
    <n v="2198"/>
    <n v="15815"/>
    <x v="185"/>
    <x v="43"/>
    <s v="Critical"/>
    <n v="24"/>
    <n v="107.41"/>
    <n v="0.03"/>
    <s v="Regular Air"/>
    <n v="20.680499999999999"/>
    <n v="4.55"/>
    <n v="1.49"/>
    <x v="617"/>
    <x v="10"/>
    <x v="3"/>
    <x v="2"/>
    <x v="0"/>
    <x v="2"/>
    <x v="394"/>
    <s v="Small Box"/>
    <n v="0.35"/>
    <d v="2009-05-01T00:00:00"/>
    <n v="0"/>
    <n v="0"/>
    <n v="0.5"/>
    <n v="0.33333333333333331"/>
  </r>
  <r>
    <n v="2322"/>
    <n v="16737"/>
    <x v="135"/>
    <x v="4"/>
    <s v="Not Specified"/>
    <n v="15"/>
    <n v="1390.49"/>
    <n v="0.01"/>
    <s v="Regular Air"/>
    <n v="366.8"/>
    <n v="90.48"/>
    <n v="19.989999999999998"/>
    <x v="623"/>
    <x v="10"/>
    <x v="3"/>
    <x v="3"/>
    <x v="0"/>
    <x v="8"/>
    <x v="881"/>
    <s v="Small Box"/>
    <n v="0.4"/>
    <d v="2011-06-21T00:00:00"/>
    <n v="0"/>
    <n v="0"/>
    <n v="1"/>
    <n v="1"/>
  </r>
  <r>
    <n v="2366"/>
    <n v="17124"/>
    <x v="1306"/>
    <x v="19"/>
    <s v="Critical"/>
    <n v="39"/>
    <n v="128.31"/>
    <n v="0.05"/>
    <s v="Express Air"/>
    <n v="-55.72"/>
    <n v="3.14"/>
    <n v="1.92"/>
    <x v="621"/>
    <x v="10"/>
    <x v="3"/>
    <x v="3"/>
    <x v="0"/>
    <x v="15"/>
    <x v="546"/>
    <s v="Wrap Bag"/>
    <n v="0.84"/>
    <d v="2009-10-26T00:00:00"/>
    <n v="0"/>
    <n v="0"/>
    <n v="1"/>
    <n v="0.2"/>
  </r>
  <r>
    <n v="2429"/>
    <n v="17666"/>
    <x v="1016"/>
    <x v="18"/>
    <s v="Medium"/>
    <n v="19"/>
    <n v="82.56"/>
    <n v="0.01"/>
    <s v="Regular Air"/>
    <n v="21.74"/>
    <n v="4"/>
    <n v="1.3"/>
    <x v="616"/>
    <x v="10"/>
    <x v="3"/>
    <x v="3"/>
    <x v="0"/>
    <x v="5"/>
    <x v="910"/>
    <s v="Wrap Bag"/>
    <n v="0.37"/>
    <d v="2010-09-10T00:00:00"/>
    <n v="0"/>
    <n v="0"/>
    <n v="0.5"/>
    <n v="0.5"/>
  </r>
  <r>
    <n v="2430"/>
    <n v="17666"/>
    <x v="1016"/>
    <x v="18"/>
    <s v="Medium"/>
    <n v="11"/>
    <n v="141.07"/>
    <n v="0.08"/>
    <s v="Regular Air"/>
    <n v="-5.0999999999999996"/>
    <n v="12.98"/>
    <n v="3.14"/>
    <x v="616"/>
    <x v="10"/>
    <x v="3"/>
    <x v="3"/>
    <x v="0"/>
    <x v="15"/>
    <x v="234"/>
    <s v="Small Pack"/>
    <n v="0.6"/>
    <d v="2010-09-08T00:00:00"/>
    <n v="0"/>
    <n v="0"/>
    <n v="0.5"/>
    <n v="0.5"/>
  </r>
  <r>
    <n v="2636"/>
    <n v="19075"/>
    <x v="1263"/>
    <x v="35"/>
    <s v="Critical"/>
    <n v="36"/>
    <n v="1841.6"/>
    <n v="0.01"/>
    <s v="Regular Air"/>
    <n v="12.95000000000006"/>
    <n v="50.98"/>
    <n v="6.5"/>
    <x v="624"/>
    <x v="10"/>
    <x v="3"/>
    <x v="3"/>
    <x v="1"/>
    <x v="7"/>
    <x v="87"/>
    <s v="Small Box"/>
    <n v="0.73"/>
    <d v="2009-09-27T00:00:00"/>
    <n v="0"/>
    <n v="0"/>
    <n v="1"/>
    <n v="1"/>
  </r>
  <r>
    <n v="2927"/>
    <n v="21220"/>
    <x v="1307"/>
    <x v="45"/>
    <s v="Not Specified"/>
    <n v="4"/>
    <n v="476.31"/>
    <n v="7.0000000000000007E-2"/>
    <s v="Delivery Truck"/>
    <n v="-258.07679999999999"/>
    <n v="120.97"/>
    <n v="26.3"/>
    <x v="622"/>
    <x v="10"/>
    <x v="3"/>
    <x v="3"/>
    <x v="1"/>
    <x v="16"/>
    <x v="362"/>
    <s v="Jumbo Drum"/>
    <n v="0.38"/>
    <d v="2012-12-25T00:00:00"/>
    <n v="0"/>
    <n v="0"/>
    <n v="1"/>
    <n v="1"/>
  </r>
  <r>
    <n v="2991"/>
    <n v="21600"/>
    <x v="1308"/>
    <x v="24"/>
    <s v="Low"/>
    <n v="17"/>
    <n v="169.48"/>
    <n v="0.03"/>
    <s v="Regular Air"/>
    <n v="48.55"/>
    <n v="10.14"/>
    <n v="2.27"/>
    <x v="625"/>
    <x v="10"/>
    <x v="3"/>
    <x v="3"/>
    <x v="0"/>
    <x v="5"/>
    <x v="88"/>
    <s v="Wrap Bag"/>
    <n v="0.36"/>
    <d v="2010-04-11T00:00:00"/>
    <n v="0"/>
    <n v="0"/>
    <n v="1"/>
    <n v="1"/>
  </r>
  <r>
    <n v="3082"/>
    <n v="22117"/>
    <x v="424"/>
    <x v="3"/>
    <s v="Critical"/>
    <n v="16"/>
    <n v="581.52"/>
    <n v="0.03"/>
    <s v="Express Air"/>
    <n v="175.16"/>
    <n v="35.44"/>
    <n v="7.5"/>
    <x v="622"/>
    <x v="10"/>
    <x v="3"/>
    <x v="3"/>
    <x v="0"/>
    <x v="5"/>
    <x v="118"/>
    <s v="Small Box"/>
    <n v="0.38"/>
    <d v="2010-08-13T00:00:00"/>
    <n v="0"/>
    <n v="0"/>
    <n v="0.5"/>
    <n v="0.5"/>
  </r>
  <r>
    <n v="3083"/>
    <n v="22117"/>
    <x v="424"/>
    <x v="3"/>
    <s v="Critical"/>
    <n v="5"/>
    <n v="19.170000000000002"/>
    <n v="0.1"/>
    <s v="Regular Air"/>
    <n v="-16.420000000000002"/>
    <n v="3.28"/>
    <n v="3.97"/>
    <x v="622"/>
    <x v="10"/>
    <x v="3"/>
    <x v="3"/>
    <x v="0"/>
    <x v="12"/>
    <x v="429"/>
    <s v="Wrap Bag"/>
    <n v="0.56000000000000005"/>
    <d v="2010-08-15T00:00:00"/>
    <n v="0"/>
    <n v="0"/>
    <n v="0.5"/>
    <n v="0.5"/>
  </r>
  <r>
    <n v="3099"/>
    <n v="22211"/>
    <x v="269"/>
    <x v="17"/>
    <s v="Not Specified"/>
    <n v="30"/>
    <n v="943.44"/>
    <n v="0.08"/>
    <s v="Regular Air"/>
    <n v="-89.98"/>
    <n v="30.98"/>
    <n v="19.989999999999998"/>
    <x v="615"/>
    <x v="10"/>
    <x v="3"/>
    <x v="1"/>
    <x v="0"/>
    <x v="5"/>
    <x v="1218"/>
    <s v="Small Box"/>
    <n v="0.4"/>
    <d v="2011-10-05T00:00:00"/>
    <n v="0"/>
    <n v="0"/>
    <n v="0.5"/>
    <n v="0.25"/>
  </r>
  <r>
    <n v="3100"/>
    <n v="22211"/>
    <x v="269"/>
    <x v="17"/>
    <s v="Not Specified"/>
    <n v="47"/>
    <n v="14493.84"/>
    <n v="0"/>
    <s v="Delivery Truck"/>
    <n v="634.76"/>
    <n v="376.13"/>
    <n v="85.63"/>
    <x v="615"/>
    <x v="10"/>
    <x v="3"/>
    <x v="1"/>
    <x v="2"/>
    <x v="10"/>
    <x v="564"/>
    <s v="Jumbo Box"/>
    <n v="0.74"/>
    <d v="2011-10-04T00:00:00"/>
    <n v="0"/>
    <n v="0"/>
    <n v="0.5"/>
    <n v="0.25"/>
  </r>
  <r>
    <n v="3119"/>
    <n v="22404"/>
    <x v="61"/>
    <x v="7"/>
    <s v="Low"/>
    <n v="35"/>
    <n v="7264.64"/>
    <n v="0.06"/>
    <s v="Regular Air"/>
    <n v="1845.68"/>
    <n v="218.08"/>
    <n v="18.059999999999999"/>
    <x v="624"/>
    <x v="10"/>
    <x v="3"/>
    <x v="3"/>
    <x v="2"/>
    <x v="14"/>
    <x v="86"/>
    <s v="Large Box"/>
    <n v="0.56999999999999995"/>
    <d v="2010-11-23T00:00:00"/>
    <n v="0"/>
    <n v="0"/>
    <n v="1"/>
    <n v="1"/>
  </r>
  <r>
    <n v="3266"/>
    <n v="23362"/>
    <x v="217"/>
    <x v="3"/>
    <s v="Medium"/>
    <n v="45"/>
    <n v="852.05"/>
    <n v="0.1"/>
    <s v="Regular Air"/>
    <n v="-20.6"/>
    <n v="19.98"/>
    <n v="10.49"/>
    <x v="620"/>
    <x v="10"/>
    <x v="3"/>
    <x v="0"/>
    <x v="2"/>
    <x v="4"/>
    <x v="66"/>
    <s v="Small Box"/>
    <n v="0.49"/>
    <d v="2010-08-29T00:00:00"/>
    <n v="0"/>
    <n v="0"/>
    <n v="1"/>
    <n v="1"/>
  </r>
  <r>
    <n v="3275"/>
    <n v="23399"/>
    <x v="662"/>
    <x v="15"/>
    <s v="High"/>
    <n v="14"/>
    <n v="209.3"/>
    <n v="0.01"/>
    <s v="Express Air"/>
    <n v="7.86"/>
    <n v="13.48"/>
    <n v="4.51"/>
    <x v="620"/>
    <x v="10"/>
    <x v="3"/>
    <x v="0"/>
    <x v="0"/>
    <x v="0"/>
    <x v="27"/>
    <s v="Small Box"/>
    <n v="0.59"/>
    <d v="2010-12-29T00:00:00"/>
    <n v="0"/>
    <n v="0"/>
    <n v="1"/>
    <n v="1"/>
  </r>
  <r>
    <n v="3326"/>
    <n v="23781"/>
    <x v="1225"/>
    <x v="17"/>
    <s v="Critical"/>
    <n v="30"/>
    <n v="200.24"/>
    <n v="0"/>
    <s v="Regular Air"/>
    <n v="-59.85"/>
    <n v="6.48"/>
    <n v="5.84"/>
    <x v="625"/>
    <x v="10"/>
    <x v="3"/>
    <x v="3"/>
    <x v="0"/>
    <x v="5"/>
    <x v="607"/>
    <s v="Small Box"/>
    <n v="0.37"/>
    <d v="2011-11-02T00:00:00"/>
    <n v="0"/>
    <n v="0"/>
    <n v="1"/>
    <n v="1"/>
  </r>
  <r>
    <n v="3332"/>
    <n v="23812"/>
    <x v="1228"/>
    <x v="29"/>
    <s v="Critical"/>
    <n v="32"/>
    <n v="5845.82"/>
    <n v="0.1"/>
    <s v="Delivery Truck"/>
    <n v="2227.89"/>
    <n v="200.97"/>
    <n v="15.59"/>
    <x v="623"/>
    <x v="10"/>
    <x v="3"/>
    <x v="3"/>
    <x v="1"/>
    <x v="16"/>
    <x v="186"/>
    <s v="Jumbo Drum"/>
    <n v="0.36"/>
    <d v="2012-07-27T00:00:00"/>
    <n v="0"/>
    <n v="0"/>
    <n v="1"/>
    <n v="1"/>
  </r>
  <r>
    <n v="3399"/>
    <n v="24199"/>
    <x v="1309"/>
    <x v="41"/>
    <s v="Critical"/>
    <n v="16"/>
    <n v="706.53"/>
    <n v="0"/>
    <s v="Regular Air"/>
    <n v="-314.42"/>
    <n v="40.479999999999997"/>
    <n v="19.989999999999998"/>
    <x v="620"/>
    <x v="10"/>
    <x v="3"/>
    <x v="0"/>
    <x v="1"/>
    <x v="7"/>
    <x v="413"/>
    <s v="Small Box"/>
    <n v="0.77"/>
    <d v="2009-06-17T00:00:00"/>
    <n v="0"/>
    <n v="0"/>
    <n v="1"/>
    <n v="1"/>
  </r>
  <r>
    <n v="3534"/>
    <n v="25155"/>
    <x v="606"/>
    <x v="38"/>
    <s v="Low"/>
    <n v="48"/>
    <n v="1038.99"/>
    <n v="0"/>
    <s v="Regular Air"/>
    <n v="-180.45"/>
    <n v="19.940000000000001"/>
    <n v="14.87"/>
    <x v="618"/>
    <x v="10"/>
    <x v="3"/>
    <x v="2"/>
    <x v="2"/>
    <x v="4"/>
    <x v="252"/>
    <s v="Large Box"/>
    <n v="0.56999999999999995"/>
    <d v="2010-01-27T00:00:00"/>
    <n v="1"/>
    <n v="0"/>
    <n v="0.33333333333333331"/>
    <n v="0.33333333333333331"/>
  </r>
  <r>
    <n v="3535"/>
    <n v="25155"/>
    <x v="606"/>
    <x v="38"/>
    <s v="Low"/>
    <n v="17"/>
    <n v="114.01"/>
    <n v="0.08"/>
    <s v="Regular Air"/>
    <n v="6.99"/>
    <n v="6.69"/>
    <n v="3.1"/>
    <x v="618"/>
    <x v="10"/>
    <x v="3"/>
    <x v="2"/>
    <x v="0"/>
    <x v="5"/>
    <x v="898"/>
    <s v="Wrap Bag"/>
    <n v="0.36"/>
    <d v="2010-01-27T00:00:00"/>
    <n v="1"/>
    <n v="0"/>
    <n v="0.33333333333333331"/>
    <n v="0.33333333333333331"/>
  </r>
  <r>
    <n v="3536"/>
    <n v="25155"/>
    <x v="606"/>
    <x v="38"/>
    <s v="Low"/>
    <n v="3"/>
    <n v="30.37"/>
    <n v="0.01"/>
    <s v="Express Air"/>
    <n v="-1.74"/>
    <n v="4.9800000000000004"/>
    <n v="5.49"/>
    <x v="618"/>
    <x v="10"/>
    <x v="3"/>
    <x v="2"/>
    <x v="0"/>
    <x v="5"/>
    <x v="921"/>
    <s v="Small Box"/>
    <n v="0.38"/>
    <d v="2010-01-25T00:00:00"/>
    <n v="1"/>
    <n v="0"/>
    <n v="0.33333333333333331"/>
    <n v="0.33333333333333331"/>
  </r>
  <r>
    <n v="3648"/>
    <n v="26084"/>
    <x v="653"/>
    <x v="1"/>
    <s v="Low"/>
    <n v="33"/>
    <n v="228.82"/>
    <n v="0.03"/>
    <s v="Express Air"/>
    <n v="-107"/>
    <n v="6.68"/>
    <n v="7.3"/>
    <x v="578"/>
    <x v="10"/>
    <x v="3"/>
    <x v="2"/>
    <x v="0"/>
    <x v="5"/>
    <x v="962"/>
    <s v="Small Box"/>
    <n v="0.37"/>
    <d v="2012-10-21T00:00:00"/>
    <n v="0"/>
    <n v="0"/>
    <n v="1"/>
    <n v="0.5"/>
  </r>
  <r>
    <n v="3654"/>
    <n v="26146"/>
    <x v="395"/>
    <x v="19"/>
    <s v="Low"/>
    <n v="13"/>
    <n v="1351.76"/>
    <n v="0.03"/>
    <s v="Regular Air"/>
    <n v="107.31"/>
    <n v="104.65"/>
    <n v="18.93"/>
    <x v="618"/>
    <x v="10"/>
    <x v="3"/>
    <x v="2"/>
    <x v="0"/>
    <x v="1"/>
    <x v="1219"/>
    <s v="Small Box"/>
    <n v="0.57999999999999996"/>
    <d v="2009-10-18T00:00:00"/>
    <n v="0"/>
    <n v="0"/>
    <n v="0.5"/>
    <n v="0.5"/>
  </r>
  <r>
    <n v="3655"/>
    <n v="26146"/>
    <x v="395"/>
    <x v="19"/>
    <s v="Low"/>
    <n v="49"/>
    <n v="595.4"/>
    <n v="0.03"/>
    <s v="Regular Air"/>
    <n v="-148.85"/>
    <n v="11.66"/>
    <n v="7.95"/>
    <x v="618"/>
    <x v="10"/>
    <x v="3"/>
    <x v="2"/>
    <x v="0"/>
    <x v="12"/>
    <x v="417"/>
    <s v="Small Pack"/>
    <n v="0.57999999999999996"/>
    <d v="2009-10-20T00:00:00"/>
    <n v="0"/>
    <n v="0"/>
    <n v="0.5"/>
    <n v="0.5"/>
  </r>
  <r>
    <n v="3715"/>
    <n v="26529"/>
    <x v="297"/>
    <x v="16"/>
    <s v="Low"/>
    <n v="41"/>
    <n v="12125.14"/>
    <n v="0.08"/>
    <s v="Delivery Truck"/>
    <n v="3376.03"/>
    <n v="297.64"/>
    <n v="14.7"/>
    <x v="626"/>
    <x v="10"/>
    <x v="3"/>
    <x v="1"/>
    <x v="1"/>
    <x v="16"/>
    <x v="589"/>
    <s v="Jumbo Drum"/>
    <n v="0.56999999999999995"/>
    <d v="2011-02-01T00:00:00"/>
    <n v="0"/>
    <n v="0"/>
    <n v="0.5"/>
    <n v="0.5"/>
  </r>
  <r>
    <n v="3736"/>
    <n v="26693"/>
    <x v="522"/>
    <x v="3"/>
    <s v="Medium"/>
    <n v="44"/>
    <n v="2094.9779999999996"/>
    <n v="0.06"/>
    <s v="Express Air"/>
    <n v="697.29300000000001"/>
    <n v="55.99"/>
    <n v="1.25"/>
    <x v="621"/>
    <x v="10"/>
    <x v="3"/>
    <x v="2"/>
    <x v="1"/>
    <x v="3"/>
    <x v="512"/>
    <s v="Small Pack"/>
    <n v="0.55000000000000004"/>
    <d v="2010-08-23T00:00:00"/>
    <n v="0"/>
    <n v="0"/>
    <n v="1"/>
    <n v="1"/>
  </r>
  <r>
    <n v="3775"/>
    <n v="26948"/>
    <x v="982"/>
    <x v="27"/>
    <s v="High"/>
    <n v="38"/>
    <n v="273.89"/>
    <n v="0.05"/>
    <s v="Regular Air"/>
    <n v="-160.40199999999999"/>
    <n v="7.3"/>
    <n v="7.72"/>
    <x v="307"/>
    <x v="10"/>
    <x v="3"/>
    <x v="3"/>
    <x v="0"/>
    <x v="2"/>
    <x v="6"/>
    <s v="Small Box"/>
    <n v="0.38"/>
    <d v="2011-11-23T00:00:00"/>
    <n v="0"/>
    <n v="0"/>
    <n v="0.5"/>
    <n v="0.25"/>
  </r>
  <r>
    <n v="3777"/>
    <n v="26951"/>
    <x v="1310"/>
    <x v="24"/>
    <s v="Not Specified"/>
    <n v="3"/>
    <n v="451.81"/>
    <n v="0.05"/>
    <s v="Regular Air"/>
    <n v="-318.59399999999999"/>
    <n v="150.97999999999999"/>
    <n v="13.99"/>
    <x v="627"/>
    <x v="10"/>
    <x v="3"/>
    <x v="3"/>
    <x v="1"/>
    <x v="16"/>
    <x v="221"/>
    <s v="Medium Box"/>
    <n v="0.38"/>
    <d v="2010-04-09T00:00:00"/>
    <n v="0"/>
    <n v="0"/>
    <n v="1"/>
    <n v="1"/>
  </r>
  <r>
    <n v="3812"/>
    <n v="27141"/>
    <x v="1311"/>
    <x v="6"/>
    <s v="Not Specified"/>
    <n v="25"/>
    <n v="495.8"/>
    <n v="0.03"/>
    <s v="Regular Air"/>
    <n v="107.82"/>
    <n v="19.04"/>
    <n v="6.38"/>
    <x v="578"/>
    <x v="10"/>
    <x v="3"/>
    <x v="2"/>
    <x v="2"/>
    <x v="4"/>
    <x v="1175"/>
    <s v="Small Box"/>
    <n v="0.56000000000000005"/>
    <d v="2010-02-05T00:00:00"/>
    <n v="0"/>
    <n v="0"/>
    <n v="0.5"/>
    <n v="0.33333333333333331"/>
  </r>
  <r>
    <n v="3813"/>
    <n v="27141"/>
    <x v="1311"/>
    <x v="6"/>
    <s v="Not Specified"/>
    <n v="28"/>
    <n v="1645.51"/>
    <n v="0.06"/>
    <s v="Regular Air"/>
    <n v="300.33999999999997"/>
    <n v="59.76"/>
    <n v="9.7100000000000009"/>
    <x v="578"/>
    <x v="10"/>
    <x v="3"/>
    <x v="2"/>
    <x v="0"/>
    <x v="0"/>
    <x v="1102"/>
    <s v="Small Box"/>
    <n v="0.56999999999999995"/>
    <d v="2010-02-05T00:00:00"/>
    <n v="0"/>
    <n v="0"/>
    <n v="0.5"/>
    <n v="0.33333333333333331"/>
  </r>
  <r>
    <n v="3832"/>
    <n v="27302"/>
    <x v="234"/>
    <x v="34"/>
    <s v="Low"/>
    <n v="16"/>
    <n v="237.54"/>
    <n v="0.04"/>
    <s v="Regular Air"/>
    <n v="29.76"/>
    <n v="13.79"/>
    <n v="8.7799999999999994"/>
    <x v="168"/>
    <x v="10"/>
    <x v="3"/>
    <x v="2"/>
    <x v="2"/>
    <x v="4"/>
    <x v="494"/>
    <s v="Small Box"/>
    <n v="0.43"/>
    <d v="2012-09-12T00:00:00"/>
    <n v="0"/>
    <n v="0"/>
    <n v="0.5"/>
    <n v="0.5"/>
  </r>
  <r>
    <n v="3833"/>
    <n v="27302"/>
    <x v="234"/>
    <x v="34"/>
    <s v="Low"/>
    <n v="3"/>
    <n v="143.5"/>
    <n v="0.08"/>
    <s v="Regular Air"/>
    <n v="-27.51"/>
    <n v="48.91"/>
    <n v="5.81"/>
    <x v="168"/>
    <x v="10"/>
    <x v="3"/>
    <x v="2"/>
    <x v="0"/>
    <x v="5"/>
    <x v="83"/>
    <s v="Small Box"/>
    <n v="0.38"/>
    <d v="2012-09-12T00:00:00"/>
    <n v="0"/>
    <n v="0"/>
    <n v="0.5"/>
    <n v="0.5"/>
  </r>
  <r>
    <n v="3843"/>
    <n v="27426"/>
    <x v="1020"/>
    <x v="6"/>
    <s v="Low"/>
    <n v="41"/>
    <n v="438.66"/>
    <n v="0.01"/>
    <s v="Regular Air"/>
    <n v="58.86"/>
    <n v="9.99"/>
    <n v="4.78"/>
    <x v="621"/>
    <x v="10"/>
    <x v="3"/>
    <x v="3"/>
    <x v="0"/>
    <x v="5"/>
    <x v="756"/>
    <s v="Small Box"/>
    <n v="0.4"/>
    <d v="2010-02-25T00:00:00"/>
    <n v="0"/>
    <n v="0"/>
    <n v="0.5"/>
    <n v="0.5"/>
  </r>
  <r>
    <n v="3844"/>
    <n v="27426"/>
    <x v="1020"/>
    <x v="6"/>
    <s v="Low"/>
    <n v="32"/>
    <n v="416.99"/>
    <n v="0.02"/>
    <s v="Express Air"/>
    <n v="-93.62"/>
    <n v="12.88"/>
    <n v="4.59"/>
    <x v="621"/>
    <x v="10"/>
    <x v="3"/>
    <x v="3"/>
    <x v="0"/>
    <x v="15"/>
    <x v="418"/>
    <s v="Wrap Bag"/>
    <n v="0.82"/>
    <d v="2010-03-02T00:00:00"/>
    <n v="0"/>
    <n v="0"/>
    <n v="0.5"/>
    <n v="0.5"/>
  </r>
  <r>
    <n v="3898"/>
    <n v="27810"/>
    <x v="863"/>
    <x v="38"/>
    <s v="High"/>
    <n v="32"/>
    <n v="216.51"/>
    <n v="0.02"/>
    <s v="Express Air"/>
    <n v="109.29"/>
    <n v="6.3"/>
    <n v="0.5"/>
    <x v="191"/>
    <x v="10"/>
    <x v="3"/>
    <x v="1"/>
    <x v="0"/>
    <x v="11"/>
    <x v="336"/>
    <s v="Small Box"/>
    <n v="0.39"/>
    <d v="2010-01-30T00:00:00"/>
    <n v="1"/>
    <n v="0"/>
    <n v="1"/>
    <n v="1"/>
  </r>
  <r>
    <n v="4016"/>
    <n v="28674"/>
    <x v="1116"/>
    <x v="21"/>
    <s v="High"/>
    <n v="26"/>
    <n v="161.96"/>
    <n v="0"/>
    <s v="Regular Air"/>
    <n v="-51.12"/>
    <n v="5.78"/>
    <n v="5.67"/>
    <x v="619"/>
    <x v="10"/>
    <x v="3"/>
    <x v="3"/>
    <x v="0"/>
    <x v="5"/>
    <x v="443"/>
    <s v="Small Box"/>
    <n v="0.36"/>
    <d v="2011-08-16T00:00:00"/>
    <n v="0"/>
    <n v="0"/>
    <n v="1"/>
    <n v="1"/>
  </r>
  <r>
    <n v="4025"/>
    <n v="28742"/>
    <x v="829"/>
    <x v="13"/>
    <s v="Low"/>
    <n v="35"/>
    <n v="587.91999999999996"/>
    <n v="0.09"/>
    <s v="Regular Air"/>
    <n v="-7.92"/>
    <n v="16.91"/>
    <n v="6.25"/>
    <x v="622"/>
    <x v="10"/>
    <x v="3"/>
    <x v="2"/>
    <x v="0"/>
    <x v="0"/>
    <x v="624"/>
    <s v="Small Box"/>
    <n v="0.57999999999999996"/>
    <d v="2012-04-29T00:00:00"/>
    <n v="0"/>
    <n v="0"/>
    <n v="0.5"/>
    <n v="0.5"/>
  </r>
  <r>
    <n v="4026"/>
    <n v="28742"/>
    <x v="829"/>
    <x v="13"/>
    <s v="Low"/>
    <n v="7"/>
    <n v="2171.4639999999999"/>
    <n v="0.04"/>
    <s v="Delivery Truck"/>
    <n v="-209.56"/>
    <n v="376.13"/>
    <n v="85.63"/>
    <x v="622"/>
    <x v="10"/>
    <x v="3"/>
    <x v="2"/>
    <x v="2"/>
    <x v="10"/>
    <x v="564"/>
    <s v="Jumbo Box"/>
    <n v="0.74"/>
    <d v="2012-05-06T00:00:00"/>
    <n v="0"/>
    <n v="0"/>
    <n v="0.5"/>
    <n v="0.5"/>
  </r>
  <r>
    <n v="4028"/>
    <n v="28772"/>
    <x v="793"/>
    <x v="40"/>
    <s v="High"/>
    <n v="16"/>
    <n v="950.46399999999994"/>
    <n v="0.02"/>
    <s v="Regular Air"/>
    <n v="-763.8"/>
    <n v="71.37"/>
    <n v="69"/>
    <x v="628"/>
    <x v="10"/>
    <x v="3"/>
    <x v="0"/>
    <x v="2"/>
    <x v="10"/>
    <x v="17"/>
    <s v="Large Box"/>
    <n v="0.68"/>
    <d v="2009-02-07T00:00:00"/>
    <n v="0"/>
    <n v="0"/>
    <n v="0.5"/>
    <n v="0.5"/>
  </r>
  <r>
    <n v="4029"/>
    <n v="28772"/>
    <x v="793"/>
    <x v="40"/>
    <s v="High"/>
    <n v="4"/>
    <n v="705.68700000000001"/>
    <n v="0.03"/>
    <s v="Express Air"/>
    <n v="-803.077"/>
    <n v="205.99"/>
    <n v="8.99"/>
    <x v="628"/>
    <x v="10"/>
    <x v="3"/>
    <x v="0"/>
    <x v="1"/>
    <x v="3"/>
    <x v="783"/>
    <s v="Small Box"/>
    <n v="0.6"/>
    <d v="2009-02-08T00:00:00"/>
    <n v="0"/>
    <n v="0"/>
    <n v="0.5"/>
    <n v="0.5"/>
  </r>
  <r>
    <n v="4087"/>
    <n v="29152"/>
    <x v="188"/>
    <x v="2"/>
    <s v="Low"/>
    <n v="3"/>
    <n v="58.63"/>
    <n v="0"/>
    <s v="Regular Air"/>
    <n v="-40.86"/>
    <n v="17.48"/>
    <n v="1.99"/>
    <x v="625"/>
    <x v="10"/>
    <x v="3"/>
    <x v="0"/>
    <x v="1"/>
    <x v="7"/>
    <x v="814"/>
    <s v="Small Pack"/>
    <n v="0.45"/>
    <d v="2011-07-27T00:00:00"/>
    <n v="0"/>
    <n v="0"/>
    <n v="0.5"/>
    <n v="0.5"/>
  </r>
  <r>
    <n v="4088"/>
    <n v="29152"/>
    <x v="188"/>
    <x v="2"/>
    <s v="Low"/>
    <n v="13"/>
    <n v="94.99"/>
    <n v="0.06"/>
    <s v="Regular Air"/>
    <n v="-106.29"/>
    <n v="6.98"/>
    <n v="9.69"/>
    <x v="625"/>
    <x v="10"/>
    <x v="3"/>
    <x v="0"/>
    <x v="0"/>
    <x v="0"/>
    <x v="959"/>
    <s v="Small Box"/>
    <n v="0.83"/>
    <d v="2011-07-23T00:00:00"/>
    <n v="0"/>
    <n v="0"/>
    <n v="0.5"/>
    <n v="0.5"/>
  </r>
  <r>
    <n v="4177"/>
    <n v="29639"/>
    <x v="705"/>
    <x v="37"/>
    <s v="Critical"/>
    <n v="8"/>
    <n v="22.37"/>
    <n v="0.04"/>
    <s v="Regular Air"/>
    <n v="-14.09"/>
    <n v="2.6"/>
    <n v="2.4"/>
    <x v="578"/>
    <x v="10"/>
    <x v="3"/>
    <x v="2"/>
    <x v="0"/>
    <x v="12"/>
    <x v="269"/>
    <s v="Wrap Bag"/>
    <n v="0.57999999999999996"/>
    <d v="2011-04-19T00:00:00"/>
    <n v="0"/>
    <n v="0"/>
    <n v="1"/>
    <n v="1"/>
  </r>
  <r>
    <n v="4275"/>
    <n v="30407"/>
    <x v="1312"/>
    <x v="46"/>
    <s v="Low"/>
    <n v="41"/>
    <n v="17853.64"/>
    <n v="0.02"/>
    <s v="Regular Air"/>
    <n v="6227.33"/>
    <n v="419.19"/>
    <n v="19.989999999999998"/>
    <x v="578"/>
    <x v="10"/>
    <x v="3"/>
    <x v="2"/>
    <x v="0"/>
    <x v="0"/>
    <x v="1127"/>
    <s v="Small Box"/>
    <n v="0.57999999999999996"/>
    <d v="2009-04-17T00:00:00"/>
    <n v="0"/>
    <n v="0"/>
    <n v="1"/>
    <n v="1"/>
  </r>
  <r>
    <n v="4378"/>
    <n v="31175"/>
    <x v="1263"/>
    <x v="35"/>
    <s v="Critical"/>
    <n v="26"/>
    <n v="539.66"/>
    <n v="0"/>
    <s v="Express Air"/>
    <n v="147.08000000000001"/>
    <n v="19.98"/>
    <n v="5.97"/>
    <x v="621"/>
    <x v="10"/>
    <x v="3"/>
    <x v="2"/>
    <x v="0"/>
    <x v="5"/>
    <x v="71"/>
    <s v="Small Box"/>
    <n v="0.38"/>
    <d v="2009-09-29T00:00:00"/>
    <n v="0"/>
    <n v="0"/>
    <n v="1"/>
    <n v="1"/>
  </r>
  <r>
    <n v="4565"/>
    <n v="32455"/>
    <x v="22"/>
    <x v="18"/>
    <s v="High"/>
    <n v="43"/>
    <n v="4620.53"/>
    <n v="0"/>
    <s v="Regular Air"/>
    <n v="1025.23"/>
    <n v="99.99"/>
    <n v="19.989999999999998"/>
    <x v="615"/>
    <x v="10"/>
    <x v="3"/>
    <x v="2"/>
    <x v="1"/>
    <x v="7"/>
    <x v="218"/>
    <s v="Small Box"/>
    <n v="0.52"/>
    <d v="2010-09-24T00:00:00"/>
    <n v="0"/>
    <n v="0"/>
    <n v="1"/>
    <n v="1"/>
  </r>
  <r>
    <n v="4566"/>
    <n v="32484"/>
    <x v="372"/>
    <x v="44"/>
    <s v="Not Specified"/>
    <n v="9"/>
    <n v="2502.67"/>
    <n v="0.1"/>
    <s v="Delivery Truck"/>
    <n v="-198.8"/>
    <n v="300.98"/>
    <n v="64.73"/>
    <x v="621"/>
    <x v="10"/>
    <x v="3"/>
    <x v="2"/>
    <x v="2"/>
    <x v="14"/>
    <x v="70"/>
    <s v="Jumbo Drum"/>
    <n v="0.56000000000000005"/>
    <d v="2011-02-05T00:00:00"/>
    <n v="0"/>
    <n v="0"/>
    <n v="1"/>
    <n v="1"/>
  </r>
  <r>
    <n v="4835"/>
    <n v="34402"/>
    <x v="607"/>
    <x v="39"/>
    <s v="High"/>
    <n v="38"/>
    <n v="3016.85"/>
    <n v="0.05"/>
    <s v="Regular Air"/>
    <n v="-967.67"/>
    <n v="80.98"/>
    <n v="35"/>
    <x v="617"/>
    <x v="10"/>
    <x v="3"/>
    <x v="2"/>
    <x v="0"/>
    <x v="0"/>
    <x v="73"/>
    <s v="Large Box"/>
    <n v="0.81"/>
    <d v="2010-05-04T00:00:00"/>
    <n v="0"/>
    <n v="0"/>
    <n v="0.5"/>
    <n v="0.5"/>
  </r>
  <r>
    <n v="4836"/>
    <n v="34402"/>
    <x v="607"/>
    <x v="39"/>
    <s v="High"/>
    <n v="11"/>
    <n v="48.5"/>
    <n v="7.0000000000000007E-2"/>
    <s v="Express Air"/>
    <n v="23.88"/>
    <n v="3.15"/>
    <n v="0.5"/>
    <x v="617"/>
    <x v="10"/>
    <x v="3"/>
    <x v="2"/>
    <x v="0"/>
    <x v="11"/>
    <x v="605"/>
    <s v="Small Box"/>
    <n v="0.37"/>
    <d v="2010-05-05T00:00:00"/>
    <n v="0"/>
    <n v="0"/>
    <n v="0.5"/>
    <n v="0.5"/>
  </r>
  <r>
    <n v="4880"/>
    <n v="34723"/>
    <x v="530"/>
    <x v="45"/>
    <s v="Medium"/>
    <n v="4"/>
    <n v="6095.14"/>
    <n v="0.06"/>
    <s v="Delivery Truck"/>
    <n v="-3001.2824999999998"/>
    <n v="1500.97"/>
    <n v="29.7"/>
    <x v="629"/>
    <x v="10"/>
    <x v="3"/>
    <x v="0"/>
    <x v="1"/>
    <x v="16"/>
    <x v="200"/>
    <s v="Jumbo Drum"/>
    <n v="0.56999999999999995"/>
    <d v="2012-12-11T00:00:00"/>
    <n v="0"/>
    <n v="0"/>
    <n v="0.33333333333333331"/>
    <n v="0.33333333333333331"/>
  </r>
  <r>
    <n v="4881"/>
    <n v="34723"/>
    <x v="530"/>
    <x v="45"/>
    <s v="Medium"/>
    <n v="46"/>
    <n v="3776.28"/>
    <n v="0.06"/>
    <s v="Delivery Truck"/>
    <n v="579.79"/>
    <n v="80.97"/>
    <n v="30.06"/>
    <x v="629"/>
    <x v="10"/>
    <x v="3"/>
    <x v="0"/>
    <x v="1"/>
    <x v="16"/>
    <x v="792"/>
    <s v="Jumbo Box"/>
    <n v="0.4"/>
    <d v="2012-12-12T00:00:00"/>
    <n v="0"/>
    <n v="0"/>
    <n v="0.33333333333333331"/>
    <n v="0.33333333333333331"/>
  </r>
  <r>
    <n v="4882"/>
    <n v="34723"/>
    <x v="530"/>
    <x v="45"/>
    <s v="Medium"/>
    <n v="29"/>
    <n v="1487.8995"/>
    <n v="0.09"/>
    <s v="Regular Air"/>
    <n v="79.316999999999993"/>
    <n v="65.989999999999995"/>
    <n v="8.99"/>
    <x v="629"/>
    <x v="10"/>
    <x v="3"/>
    <x v="0"/>
    <x v="1"/>
    <x v="3"/>
    <x v="893"/>
    <s v="Small Box"/>
    <n v="0.56000000000000005"/>
    <d v="2012-12-11T00:00:00"/>
    <n v="0"/>
    <n v="0"/>
    <n v="0.33333333333333331"/>
    <n v="0.33333333333333331"/>
  </r>
  <r>
    <n v="4887"/>
    <n v="34757"/>
    <x v="776"/>
    <x v="20"/>
    <s v="High"/>
    <n v="40"/>
    <n v="250.6"/>
    <n v="0.1"/>
    <s v="Express Air"/>
    <n v="-107.06"/>
    <n v="6.48"/>
    <n v="6.22"/>
    <x v="629"/>
    <x v="10"/>
    <x v="3"/>
    <x v="0"/>
    <x v="0"/>
    <x v="5"/>
    <x v="731"/>
    <s v="Small Box"/>
    <n v="0.37"/>
    <d v="2012-05-30T00:00:00"/>
    <n v="0"/>
    <n v="0"/>
    <n v="1"/>
    <n v="1"/>
  </r>
  <r>
    <n v="4905"/>
    <n v="34913"/>
    <x v="982"/>
    <x v="27"/>
    <s v="Medium"/>
    <n v="15"/>
    <n v="107.63"/>
    <n v="0"/>
    <s v="Regular Air"/>
    <n v="-29.888499999999997"/>
    <n v="6.81"/>
    <n v="5.48"/>
    <x v="621"/>
    <x v="10"/>
    <x v="3"/>
    <x v="3"/>
    <x v="0"/>
    <x v="2"/>
    <x v="964"/>
    <s v="Small Box"/>
    <n v="0.37"/>
    <d v="2011-11-24T00:00:00"/>
    <n v="0"/>
    <n v="0"/>
    <n v="1"/>
    <n v="1"/>
  </r>
  <r>
    <n v="4938"/>
    <n v="35136"/>
    <x v="171"/>
    <x v="19"/>
    <s v="Critical"/>
    <n v="23"/>
    <n v="68.73"/>
    <n v="7.0000000000000007E-2"/>
    <s v="Regular Air"/>
    <n v="17.170000000000002"/>
    <n v="2.94"/>
    <n v="0.81"/>
    <x v="615"/>
    <x v="10"/>
    <x v="3"/>
    <x v="2"/>
    <x v="0"/>
    <x v="12"/>
    <x v="857"/>
    <s v="Wrap Bag"/>
    <n v="0.4"/>
    <d v="2009-10-09T00:00:00"/>
    <n v="0"/>
    <n v="0"/>
    <n v="1"/>
    <n v="1"/>
  </r>
  <r>
    <n v="4961"/>
    <n v="35299"/>
    <x v="567"/>
    <x v="9"/>
    <s v="Not Specified"/>
    <n v="41"/>
    <n v="4359"/>
    <n v="0.02"/>
    <s v="Regular Air"/>
    <n v="907.67"/>
    <n v="99.99"/>
    <n v="19.989999999999998"/>
    <x v="620"/>
    <x v="10"/>
    <x v="3"/>
    <x v="2"/>
    <x v="1"/>
    <x v="7"/>
    <x v="218"/>
    <s v="Small Box"/>
    <n v="0.52"/>
    <d v="2012-08-12T00:00:00"/>
    <n v="0"/>
    <n v="0"/>
    <n v="1"/>
    <n v="1"/>
  </r>
  <r>
    <n v="5145"/>
    <n v="36676"/>
    <x v="249"/>
    <x v="21"/>
    <s v="Not Specified"/>
    <n v="32"/>
    <n v="3046.01"/>
    <n v="0.08"/>
    <s v="Delivery Truck"/>
    <n v="998.65"/>
    <n v="100.97"/>
    <n v="14"/>
    <x v="617"/>
    <x v="10"/>
    <x v="3"/>
    <x v="2"/>
    <x v="1"/>
    <x v="16"/>
    <x v="704"/>
    <s v="Jumbo Drum"/>
    <n v="0.37"/>
    <d v="2011-08-27T00:00:00"/>
    <n v="0"/>
    <n v="0"/>
    <n v="0.5"/>
    <n v="0.5"/>
  </r>
  <r>
    <n v="5146"/>
    <n v="36676"/>
    <x v="249"/>
    <x v="21"/>
    <s v="Not Specified"/>
    <n v="15"/>
    <n v="353.52"/>
    <n v="0.04"/>
    <s v="Regular Air"/>
    <n v="51.53"/>
    <n v="22.84"/>
    <n v="8.18"/>
    <x v="617"/>
    <x v="10"/>
    <x v="3"/>
    <x v="2"/>
    <x v="0"/>
    <x v="5"/>
    <x v="1073"/>
    <s v="Small Box"/>
    <n v="0.39"/>
    <d v="2011-08-26T00:00:00"/>
    <n v="0"/>
    <n v="0"/>
    <n v="0.5"/>
    <n v="0.5"/>
  </r>
  <r>
    <n v="5155"/>
    <n v="36708"/>
    <x v="1135"/>
    <x v="31"/>
    <s v="Not Specified"/>
    <n v="46"/>
    <n v="636.5"/>
    <n v="0.01"/>
    <s v="Regular Air"/>
    <n v="-71.983800000000002"/>
    <n v="12.99"/>
    <n v="9.44"/>
    <x v="621"/>
    <x v="10"/>
    <x v="3"/>
    <x v="2"/>
    <x v="1"/>
    <x v="16"/>
    <x v="1220"/>
    <s v="Medium Box"/>
    <n v="0.39"/>
    <d v="2011-09-21T00:00:00"/>
    <n v="0"/>
    <n v="0"/>
    <n v="0.5"/>
    <n v="0.5"/>
  </r>
  <r>
    <n v="5156"/>
    <n v="36708"/>
    <x v="1135"/>
    <x v="31"/>
    <s v="Not Specified"/>
    <n v="25"/>
    <n v="2614.3705"/>
    <n v="7.0000000000000007E-2"/>
    <s v="Regular Air"/>
    <n v="384.012"/>
    <n v="125.99"/>
    <n v="7.69"/>
    <x v="621"/>
    <x v="10"/>
    <x v="3"/>
    <x v="2"/>
    <x v="1"/>
    <x v="3"/>
    <x v="44"/>
    <s v="Small Box"/>
    <n v="0.57999999999999996"/>
    <d v="2011-09-21T00:00:00"/>
    <n v="0"/>
    <n v="0"/>
    <n v="0.5"/>
    <n v="0.5"/>
  </r>
  <r>
    <n v="5181"/>
    <n v="36835"/>
    <x v="886"/>
    <x v="19"/>
    <s v="Critical"/>
    <n v="39"/>
    <n v="12073.06"/>
    <n v="0.03"/>
    <s v="Regular Air"/>
    <n v="5081.8694999999998"/>
    <n v="315.98"/>
    <n v="19.989999999999998"/>
    <x v="621"/>
    <x v="10"/>
    <x v="3"/>
    <x v="3"/>
    <x v="0"/>
    <x v="2"/>
    <x v="689"/>
    <s v="Small Box"/>
    <n v="0.38"/>
    <d v="2009-10-22T00:00:00"/>
    <n v="0"/>
    <n v="0"/>
    <n v="0.33333333333333331"/>
    <n v="0.2"/>
  </r>
  <r>
    <n v="5182"/>
    <n v="36835"/>
    <x v="886"/>
    <x v="19"/>
    <s v="Critical"/>
    <n v="25"/>
    <n v="6685.05"/>
    <n v="0.09"/>
    <s v="Regular Air"/>
    <n v="1653.6"/>
    <n v="276.2"/>
    <n v="24.49"/>
    <x v="621"/>
    <x v="10"/>
    <x v="3"/>
    <x v="3"/>
    <x v="2"/>
    <x v="14"/>
    <x v="67"/>
    <s v="Large Box"/>
    <m/>
    <d v="2009-10-21T00:00:00"/>
    <n v="0"/>
    <n v="0"/>
    <n v="0.33333333333333331"/>
    <n v="0.2"/>
  </r>
  <r>
    <n v="5183"/>
    <n v="36835"/>
    <x v="886"/>
    <x v="19"/>
    <s v="Critical"/>
    <n v="18"/>
    <n v="1175.53"/>
    <n v="0.03"/>
    <s v="Regular Air"/>
    <n v="257.58999999999997"/>
    <n v="63.94"/>
    <n v="14.48"/>
    <x v="621"/>
    <x v="10"/>
    <x v="3"/>
    <x v="3"/>
    <x v="2"/>
    <x v="4"/>
    <x v="308"/>
    <s v="Small Box"/>
    <n v="0.46"/>
    <d v="2009-10-21T00:00:00"/>
    <n v="0"/>
    <n v="0"/>
    <n v="0.33333333333333331"/>
    <n v="0.2"/>
  </r>
  <r>
    <n v="5218"/>
    <n v="37127"/>
    <x v="1313"/>
    <x v="0"/>
    <s v="High"/>
    <n v="19"/>
    <n v="178.44"/>
    <n v="0.03"/>
    <s v="Regular Air"/>
    <n v="50.13"/>
    <n v="9.11"/>
    <n v="2.15"/>
    <x v="618"/>
    <x v="10"/>
    <x v="3"/>
    <x v="2"/>
    <x v="0"/>
    <x v="5"/>
    <x v="1024"/>
    <s v="Wrap Bag"/>
    <n v="0.4"/>
    <d v="2010-10-03T00:00:00"/>
    <n v="0"/>
    <n v="0"/>
    <n v="1"/>
    <n v="1"/>
  </r>
  <r>
    <n v="5288"/>
    <n v="37667"/>
    <x v="1110"/>
    <x v="25"/>
    <s v="High"/>
    <n v="31"/>
    <n v="472.35"/>
    <n v="0.03"/>
    <s v="Regular Air"/>
    <n v="61.676000000000002"/>
    <n v="14.48"/>
    <n v="6.46"/>
    <x v="615"/>
    <x v="10"/>
    <x v="3"/>
    <x v="1"/>
    <x v="0"/>
    <x v="2"/>
    <x v="637"/>
    <s v="Small Box"/>
    <n v="0.38"/>
    <d v="2011-12-03T00:00:00"/>
    <n v="0"/>
    <n v="0"/>
    <n v="1"/>
    <n v="1"/>
  </r>
  <r>
    <n v="5316"/>
    <n v="37825"/>
    <x v="99"/>
    <x v="36"/>
    <s v="Low"/>
    <n v="44"/>
    <n v="505.01"/>
    <n v="0.06"/>
    <s v="Regular Air"/>
    <n v="-43.52"/>
    <n v="11.97"/>
    <n v="4.9800000000000004"/>
    <x v="307"/>
    <x v="10"/>
    <x v="3"/>
    <x v="3"/>
    <x v="0"/>
    <x v="1"/>
    <x v="165"/>
    <s v="Small Box"/>
    <n v="0.57999999999999996"/>
    <d v="2009-07-24T00:00:00"/>
    <n v="0"/>
    <n v="0"/>
    <n v="0.5"/>
    <n v="0.5"/>
  </r>
  <r>
    <n v="5317"/>
    <n v="37825"/>
    <x v="99"/>
    <x v="36"/>
    <s v="Low"/>
    <n v="41"/>
    <n v="286.75"/>
    <n v="0.06"/>
    <s v="Regular Air"/>
    <n v="98.44"/>
    <n v="6.98"/>
    <n v="1.6"/>
    <x v="307"/>
    <x v="10"/>
    <x v="3"/>
    <x v="3"/>
    <x v="0"/>
    <x v="5"/>
    <x v="646"/>
    <s v="Wrap Bag"/>
    <n v="0.38"/>
    <d v="2009-07-29T00:00:00"/>
    <n v="0"/>
    <n v="0"/>
    <n v="0.5"/>
    <n v="0.5"/>
  </r>
  <r>
    <n v="5326"/>
    <n v="37861"/>
    <x v="1314"/>
    <x v="25"/>
    <s v="Not Specified"/>
    <n v="32"/>
    <n v="980.07"/>
    <n v="0.09"/>
    <s v="Regular Air"/>
    <n v="337.25"/>
    <n v="30.98"/>
    <n v="5.76"/>
    <x v="578"/>
    <x v="10"/>
    <x v="3"/>
    <x v="2"/>
    <x v="0"/>
    <x v="5"/>
    <x v="37"/>
    <s v="Small Box"/>
    <n v="0.4"/>
    <d v="2011-12-30T00:00:00"/>
    <n v="0"/>
    <n v="0"/>
    <n v="1"/>
    <n v="1"/>
  </r>
  <r>
    <n v="5342"/>
    <n v="37926"/>
    <x v="1315"/>
    <x v="35"/>
    <s v="Critical"/>
    <n v="31"/>
    <n v="353.25"/>
    <n v="0.02"/>
    <s v="Regular Air"/>
    <n v="60.06"/>
    <n v="11.55"/>
    <n v="2.36"/>
    <x v="622"/>
    <x v="10"/>
    <x v="3"/>
    <x v="2"/>
    <x v="0"/>
    <x v="12"/>
    <x v="769"/>
    <s v="Wrap Bag"/>
    <n v="0.55000000000000004"/>
    <d v="2009-09-10T00:00:00"/>
    <n v="0"/>
    <n v="0"/>
    <n v="1"/>
    <n v="1"/>
  </r>
  <r>
    <n v="5385"/>
    <n v="38304"/>
    <x v="1143"/>
    <x v="5"/>
    <s v="High"/>
    <n v="7"/>
    <n v="30.1"/>
    <n v="0.09"/>
    <s v="Regular Air"/>
    <n v="-28.313000000000002"/>
    <n v="3.58"/>
    <n v="5.47"/>
    <x v="626"/>
    <x v="10"/>
    <x v="3"/>
    <x v="1"/>
    <x v="0"/>
    <x v="2"/>
    <x v="337"/>
    <s v="Small Box"/>
    <n v="0.37"/>
    <d v="2011-03-24T00:00:00"/>
    <n v="0"/>
    <n v="0"/>
    <n v="1"/>
    <n v="0.33333333333333331"/>
  </r>
  <r>
    <n v="5495"/>
    <n v="38978"/>
    <x v="1316"/>
    <x v="26"/>
    <s v="Low"/>
    <n v="24"/>
    <n v="4547.26"/>
    <n v="0"/>
    <s v="Delivery Truck"/>
    <n v="468.27"/>
    <n v="180.98"/>
    <n v="30"/>
    <x v="628"/>
    <x v="10"/>
    <x v="3"/>
    <x v="0"/>
    <x v="2"/>
    <x v="14"/>
    <x v="741"/>
    <s v="Jumbo Drum"/>
    <n v="0.69"/>
    <d v="2009-08-05T00:00:00"/>
    <n v="0"/>
    <n v="0"/>
    <n v="1"/>
    <n v="1"/>
  </r>
  <r>
    <n v="5543"/>
    <n v="39267"/>
    <x v="528"/>
    <x v="38"/>
    <s v="High"/>
    <n v="26"/>
    <n v="430.33"/>
    <n v="0.08"/>
    <s v="Regular Air"/>
    <n v="85.48"/>
    <n v="17.78"/>
    <n v="5.03"/>
    <x v="616"/>
    <x v="10"/>
    <x v="3"/>
    <x v="3"/>
    <x v="2"/>
    <x v="4"/>
    <x v="562"/>
    <s v="Small Box"/>
    <n v="0.54"/>
    <d v="2010-01-20T00:00:00"/>
    <n v="1"/>
    <n v="0"/>
    <n v="0.5"/>
    <n v="0.5"/>
  </r>
  <r>
    <n v="5544"/>
    <n v="39267"/>
    <x v="528"/>
    <x v="38"/>
    <s v="High"/>
    <n v="46"/>
    <n v="1221.47"/>
    <n v="0.09"/>
    <s v="Regular Air"/>
    <n v="-233.14"/>
    <n v="28.28"/>
    <n v="13.99"/>
    <x v="616"/>
    <x v="10"/>
    <x v="3"/>
    <x v="3"/>
    <x v="0"/>
    <x v="0"/>
    <x v="158"/>
    <s v="Medium Box"/>
    <n v="0.57999999999999996"/>
    <d v="2010-01-19T00:00:00"/>
    <n v="1"/>
    <n v="0"/>
    <n v="0.5"/>
    <n v="0.5"/>
  </r>
  <r>
    <n v="5738"/>
    <n v="40772"/>
    <x v="925"/>
    <x v="12"/>
    <s v="Critical"/>
    <n v="15"/>
    <n v="128.27000000000001"/>
    <n v="0"/>
    <s v="Regular Air"/>
    <n v="22.85"/>
    <n v="7.89"/>
    <n v="2.82"/>
    <x v="626"/>
    <x v="10"/>
    <x v="3"/>
    <x v="1"/>
    <x v="0"/>
    <x v="6"/>
    <x v="623"/>
    <s v="Wrap Bag"/>
    <n v="0.4"/>
    <d v="2012-02-14T00:00:00"/>
    <n v="0"/>
    <n v="0"/>
    <n v="1"/>
    <n v="1"/>
  </r>
  <r>
    <n v="5765"/>
    <n v="40928"/>
    <x v="661"/>
    <x v="35"/>
    <s v="Low"/>
    <n v="4"/>
    <n v="292.34050000000002"/>
    <n v="0.01"/>
    <s v="Regular Air"/>
    <n v="-420.58499999999998"/>
    <n v="85.99"/>
    <n v="0.99"/>
    <x v="578"/>
    <x v="10"/>
    <x v="3"/>
    <x v="2"/>
    <x v="1"/>
    <x v="3"/>
    <x v="55"/>
    <s v="Wrap Bag"/>
    <n v="0.85"/>
    <d v="2009-09-17T00:00:00"/>
    <n v="0"/>
    <n v="0"/>
    <n v="1"/>
    <n v="1"/>
  </r>
  <r>
    <n v="5812"/>
    <n v="41216"/>
    <x v="370"/>
    <x v="36"/>
    <s v="Not Specified"/>
    <n v="8"/>
    <n v="253.26"/>
    <n v="0.02"/>
    <s v="Regular Air"/>
    <n v="49.657000000000004"/>
    <n v="29.17"/>
    <n v="6.27"/>
    <x v="627"/>
    <x v="10"/>
    <x v="3"/>
    <x v="3"/>
    <x v="0"/>
    <x v="2"/>
    <x v="837"/>
    <s v="Small Box"/>
    <n v="0.37"/>
    <d v="2009-07-02T00:00:00"/>
    <n v="0"/>
    <n v="0"/>
    <n v="0.5"/>
    <n v="0.5"/>
  </r>
  <r>
    <n v="5813"/>
    <n v="41216"/>
    <x v="370"/>
    <x v="36"/>
    <s v="Not Specified"/>
    <n v="45"/>
    <n v="6865.0720000000001"/>
    <n v="0"/>
    <s v="Delivery Truck"/>
    <n v="1117.24"/>
    <n v="179.29"/>
    <n v="29.21"/>
    <x v="627"/>
    <x v="10"/>
    <x v="3"/>
    <x v="3"/>
    <x v="2"/>
    <x v="10"/>
    <x v="102"/>
    <s v="Jumbo Box"/>
    <n v="0.74"/>
    <d v="2009-07-03T00:00:00"/>
    <n v="0"/>
    <n v="0"/>
    <n v="0.5"/>
    <n v="0.5"/>
  </r>
  <r>
    <n v="5966"/>
    <n v="42310"/>
    <x v="631"/>
    <x v="36"/>
    <s v="Critical"/>
    <n v="20"/>
    <n v="3361.7584999999999"/>
    <n v="0.04"/>
    <s v="Regular Air"/>
    <n v="394.35300000000001"/>
    <n v="205.99"/>
    <n v="8.99"/>
    <x v="191"/>
    <x v="10"/>
    <x v="3"/>
    <x v="1"/>
    <x v="1"/>
    <x v="3"/>
    <x v="1044"/>
    <s v="Small Box"/>
    <n v="0.56000000000000005"/>
    <d v="2009-07-22T00:00:00"/>
    <n v="0"/>
    <n v="0"/>
    <n v="1"/>
    <n v="1"/>
  </r>
  <r>
    <n v="5983"/>
    <n v="42403"/>
    <x v="313"/>
    <x v="41"/>
    <s v="Not Specified"/>
    <n v="38"/>
    <n v="117.84"/>
    <n v="0.04"/>
    <s v="Regular Air"/>
    <n v="30.76"/>
    <n v="3.08"/>
    <n v="0.99"/>
    <x v="628"/>
    <x v="10"/>
    <x v="3"/>
    <x v="0"/>
    <x v="0"/>
    <x v="11"/>
    <x v="245"/>
    <s v="Small Box"/>
    <n v="0.37"/>
    <d v="2009-06-21T00:00:00"/>
    <n v="0"/>
    <n v="0"/>
    <n v="0.5"/>
    <n v="0.5"/>
  </r>
  <r>
    <n v="5984"/>
    <n v="42403"/>
    <x v="313"/>
    <x v="41"/>
    <s v="Not Specified"/>
    <n v="47"/>
    <n v="121.2"/>
    <n v="0.1"/>
    <s v="Regular Air"/>
    <n v="-20.2"/>
    <n v="2.78"/>
    <n v="1.25"/>
    <x v="628"/>
    <x v="10"/>
    <x v="3"/>
    <x v="0"/>
    <x v="0"/>
    <x v="12"/>
    <x v="365"/>
    <s v="Wrap Bag"/>
    <n v="0.59"/>
    <d v="2009-06-21T00:00:00"/>
    <n v="0"/>
    <n v="0"/>
    <n v="0.5"/>
    <n v="0.5"/>
  </r>
  <r>
    <n v="6089"/>
    <n v="43138"/>
    <x v="825"/>
    <x v="33"/>
    <s v="Low"/>
    <n v="43"/>
    <n v="1334.05"/>
    <n v="0.06"/>
    <s v="Regular Air"/>
    <n v="581.76549999999997"/>
    <n v="30.56"/>
    <n v="2.99"/>
    <x v="307"/>
    <x v="10"/>
    <x v="3"/>
    <x v="3"/>
    <x v="0"/>
    <x v="2"/>
    <x v="142"/>
    <s v="Small Box"/>
    <n v="0.35"/>
    <d v="2012-03-18T00:00:00"/>
    <n v="0"/>
    <n v="0"/>
    <n v="0.5"/>
    <n v="0.5"/>
  </r>
  <r>
    <n v="6090"/>
    <n v="43138"/>
    <x v="825"/>
    <x v="33"/>
    <s v="Low"/>
    <n v="50"/>
    <n v="6552.86"/>
    <n v="7.0000000000000007E-2"/>
    <s v="Delivery Truck"/>
    <n v="-692.82"/>
    <n v="137.47999999999999"/>
    <n v="32.18"/>
    <x v="307"/>
    <x v="10"/>
    <x v="3"/>
    <x v="3"/>
    <x v="2"/>
    <x v="9"/>
    <x v="1158"/>
    <s v="Jumbo Box"/>
    <n v="0.78"/>
    <d v="2012-03-16T00:00:00"/>
    <n v="0"/>
    <n v="0"/>
    <n v="0.5"/>
    <n v="0.5"/>
  </r>
  <r>
    <n v="6098"/>
    <n v="43206"/>
    <x v="599"/>
    <x v="26"/>
    <s v="Medium"/>
    <n v="16"/>
    <n v="587.88"/>
    <n v="0"/>
    <s v="Express Air"/>
    <n v="135.37"/>
    <n v="35.409999999999997"/>
    <n v="1.99"/>
    <x v="618"/>
    <x v="10"/>
    <x v="3"/>
    <x v="2"/>
    <x v="1"/>
    <x v="7"/>
    <x v="753"/>
    <s v="Small Pack"/>
    <n v="0.43"/>
    <d v="2009-08-24T00:00:00"/>
    <n v="0"/>
    <n v="0"/>
    <n v="1"/>
    <n v="1"/>
  </r>
  <r>
    <n v="6099"/>
    <n v="43207"/>
    <x v="208"/>
    <x v="30"/>
    <s v="Low"/>
    <n v="45"/>
    <n v="2207.9"/>
    <n v="0.02"/>
    <s v="Regular Air"/>
    <n v="579.76"/>
    <n v="49.34"/>
    <n v="10.25"/>
    <x v="191"/>
    <x v="10"/>
    <x v="3"/>
    <x v="1"/>
    <x v="2"/>
    <x v="4"/>
    <x v="945"/>
    <s v="Large Box"/>
    <n v="0.56999999999999995"/>
    <d v="2010-06-13T00:00:00"/>
    <n v="0"/>
    <n v="0"/>
    <n v="0.33333333333333331"/>
    <n v="0.33333333333333331"/>
  </r>
  <r>
    <n v="6100"/>
    <n v="43207"/>
    <x v="208"/>
    <x v="30"/>
    <s v="Low"/>
    <n v="41"/>
    <n v="139.93"/>
    <n v="0.05"/>
    <s v="Regular Air"/>
    <n v="-3.06"/>
    <n v="3.28"/>
    <n v="1.95"/>
    <x v="191"/>
    <x v="10"/>
    <x v="3"/>
    <x v="1"/>
    <x v="0"/>
    <x v="12"/>
    <x v="1221"/>
    <s v="Wrap Bag"/>
    <n v="0.42"/>
    <d v="2010-06-16T00:00:00"/>
    <n v="0"/>
    <n v="0"/>
    <n v="0.33333333333333331"/>
    <n v="0.33333333333333331"/>
  </r>
  <r>
    <n v="6101"/>
    <n v="43207"/>
    <x v="208"/>
    <x v="30"/>
    <s v="Low"/>
    <n v="8"/>
    <n v="15.45"/>
    <n v="0.05"/>
    <s v="Regular Air"/>
    <n v="-7.75"/>
    <n v="1.81"/>
    <n v="1.56"/>
    <x v="191"/>
    <x v="10"/>
    <x v="3"/>
    <x v="1"/>
    <x v="0"/>
    <x v="6"/>
    <x v="817"/>
    <s v="Wrap Bag"/>
    <n v="0.49"/>
    <d v="2010-06-11T00:00:00"/>
    <n v="0"/>
    <n v="0"/>
    <n v="0.33333333333333331"/>
    <n v="0.33333333333333331"/>
  </r>
  <r>
    <n v="6160"/>
    <n v="43650"/>
    <x v="643"/>
    <x v="28"/>
    <s v="Not Specified"/>
    <n v="3"/>
    <n v="1759.65"/>
    <n v="0.06"/>
    <s v="Regular Air"/>
    <n v="-2213.75"/>
    <n v="599.99"/>
    <n v="24.49"/>
    <x v="621"/>
    <x v="10"/>
    <x v="3"/>
    <x v="2"/>
    <x v="1"/>
    <x v="13"/>
    <x v="984"/>
    <s v="Large Box"/>
    <n v="0.5"/>
    <d v="2009-03-24T00:00:00"/>
    <n v="0"/>
    <n v="0"/>
    <n v="0.5"/>
    <n v="0.5"/>
  </r>
  <r>
    <n v="6161"/>
    <n v="43650"/>
    <x v="643"/>
    <x v="28"/>
    <s v="Not Specified"/>
    <n v="7"/>
    <n v="88.59"/>
    <n v="0.05"/>
    <s v="Regular Air"/>
    <n v="-26.29"/>
    <n v="11.97"/>
    <n v="5.81"/>
    <x v="621"/>
    <x v="10"/>
    <x v="3"/>
    <x v="2"/>
    <x v="0"/>
    <x v="12"/>
    <x v="393"/>
    <s v="Small Pack"/>
    <n v="0.6"/>
    <d v="2009-03-25T00:00:00"/>
    <n v="0"/>
    <n v="0"/>
    <n v="0.5"/>
    <n v="0.5"/>
  </r>
  <r>
    <n v="6253"/>
    <n v="44290"/>
    <x v="917"/>
    <x v="14"/>
    <s v="Medium"/>
    <n v="49"/>
    <n v="508.38"/>
    <n v="0.06"/>
    <s v="Regular Air"/>
    <n v="4.68"/>
    <n v="10.4"/>
    <n v="5.4"/>
    <x v="615"/>
    <x v="10"/>
    <x v="3"/>
    <x v="2"/>
    <x v="2"/>
    <x v="4"/>
    <x v="592"/>
    <s v="Small Pack"/>
    <n v="0.51"/>
    <d v="2010-03-23T00:00:00"/>
    <n v="0"/>
    <n v="0"/>
    <n v="0.33333333333333331"/>
    <n v="0.33333333333333331"/>
  </r>
  <r>
    <n v="6254"/>
    <n v="44290"/>
    <x v="917"/>
    <x v="14"/>
    <s v="Medium"/>
    <n v="28"/>
    <n v="281.08999999999997"/>
    <n v="0.01"/>
    <s v="Regular Air"/>
    <n v="-114.58"/>
    <n v="9.06"/>
    <n v="9.86"/>
    <x v="615"/>
    <x v="10"/>
    <x v="3"/>
    <x v="2"/>
    <x v="0"/>
    <x v="5"/>
    <x v="718"/>
    <s v="Small Box"/>
    <n v="0.4"/>
    <d v="2010-03-23T00:00:00"/>
    <n v="0"/>
    <n v="0"/>
    <n v="0.33333333333333331"/>
    <n v="0.33333333333333331"/>
  </r>
  <r>
    <n v="6255"/>
    <n v="44290"/>
    <x v="917"/>
    <x v="14"/>
    <s v="Medium"/>
    <n v="41"/>
    <n v="276.64999999999998"/>
    <n v="0.02"/>
    <s v="Regular Air"/>
    <n v="-75.28"/>
    <n v="6.48"/>
    <n v="5.87"/>
    <x v="615"/>
    <x v="10"/>
    <x v="3"/>
    <x v="2"/>
    <x v="0"/>
    <x v="5"/>
    <x v="977"/>
    <s v="Small Box"/>
    <n v="0.37"/>
    <d v="2010-03-23T00:00:00"/>
    <n v="0"/>
    <n v="0"/>
    <n v="0.33333333333333331"/>
    <n v="0.33333333333333331"/>
  </r>
  <r>
    <n v="6304"/>
    <n v="44613"/>
    <x v="81"/>
    <x v="3"/>
    <s v="High"/>
    <n v="34"/>
    <n v="1911.69"/>
    <n v="7.0000000000000007E-2"/>
    <s v="Regular Air"/>
    <n v="939.43"/>
    <n v="55.98"/>
    <n v="5.15"/>
    <x v="629"/>
    <x v="10"/>
    <x v="3"/>
    <x v="0"/>
    <x v="0"/>
    <x v="5"/>
    <x v="883"/>
    <s v="Small Box"/>
    <n v="0.36"/>
    <d v="2010-08-31T00:00:00"/>
    <n v="0"/>
    <n v="0"/>
    <n v="0.33333333333333331"/>
    <n v="0.33333333333333331"/>
  </r>
  <r>
    <n v="6305"/>
    <n v="44613"/>
    <x v="81"/>
    <x v="3"/>
    <s v="High"/>
    <n v="17"/>
    <n v="120.751"/>
    <n v="0.03"/>
    <s v="Regular Air"/>
    <n v="-71.39"/>
    <n v="7.99"/>
    <n v="5.03"/>
    <x v="629"/>
    <x v="10"/>
    <x v="3"/>
    <x v="0"/>
    <x v="1"/>
    <x v="3"/>
    <x v="51"/>
    <s v="Medium Box"/>
    <n v="0.6"/>
    <d v="2010-08-31T00:00:00"/>
    <n v="0"/>
    <n v="0"/>
    <n v="0.33333333333333331"/>
    <n v="0.33333333333333331"/>
  </r>
  <r>
    <n v="6306"/>
    <n v="44613"/>
    <x v="81"/>
    <x v="3"/>
    <s v="High"/>
    <n v="45"/>
    <n v="245.55"/>
    <n v="0.03"/>
    <s v="Regular Air"/>
    <n v="-227.25"/>
    <n v="5.28"/>
    <n v="8.16"/>
    <x v="629"/>
    <x v="10"/>
    <x v="3"/>
    <x v="0"/>
    <x v="0"/>
    <x v="5"/>
    <x v="1115"/>
    <s v="Small Box"/>
    <n v="0.4"/>
    <d v="2010-08-31T00:00:00"/>
    <n v="0"/>
    <n v="0"/>
    <n v="0.33333333333333331"/>
    <n v="0.33333333333333331"/>
  </r>
  <r>
    <n v="6344"/>
    <n v="44965"/>
    <x v="641"/>
    <x v="17"/>
    <s v="Low"/>
    <n v="19"/>
    <n v="28.82"/>
    <n v="0"/>
    <s v="Regular Air"/>
    <n v="2.16"/>
    <n v="1.48"/>
    <n v="0.7"/>
    <x v="615"/>
    <x v="10"/>
    <x v="3"/>
    <x v="2"/>
    <x v="0"/>
    <x v="6"/>
    <x v="476"/>
    <s v="Wrap Bag"/>
    <n v="0.37"/>
    <d v="2011-10-06T00:00:00"/>
    <n v="0"/>
    <n v="0"/>
    <n v="0.5"/>
    <n v="0.25"/>
  </r>
  <r>
    <n v="6345"/>
    <n v="44965"/>
    <x v="641"/>
    <x v="17"/>
    <s v="Low"/>
    <n v="45"/>
    <n v="75.39"/>
    <n v="0.05"/>
    <s v="Regular Air"/>
    <n v="-4.83"/>
    <n v="1.68"/>
    <n v="0.7"/>
    <x v="615"/>
    <x v="10"/>
    <x v="3"/>
    <x v="2"/>
    <x v="0"/>
    <x v="12"/>
    <x v="1222"/>
    <s v="Wrap Bag"/>
    <n v="0.6"/>
    <d v="2011-10-06T00:00:00"/>
    <n v="0"/>
    <n v="0"/>
    <n v="0.5"/>
    <n v="0.25"/>
  </r>
  <r>
    <n v="6435"/>
    <n v="45733"/>
    <x v="1317"/>
    <x v="15"/>
    <s v="Critical"/>
    <n v="39"/>
    <n v="851.17"/>
    <n v="7.0000000000000007E-2"/>
    <s v="Regular Air"/>
    <n v="-131.28399999999999"/>
    <n v="22.38"/>
    <n v="15.1"/>
    <x v="168"/>
    <x v="10"/>
    <x v="3"/>
    <x v="2"/>
    <x v="0"/>
    <x v="2"/>
    <x v="290"/>
    <s v="Small Box"/>
    <n v="0.38"/>
    <d v="2010-12-07T00:00:00"/>
    <n v="0"/>
    <n v="0"/>
    <n v="1"/>
    <n v="1"/>
  </r>
  <r>
    <n v="6448"/>
    <n v="45893"/>
    <x v="582"/>
    <x v="10"/>
    <s v="High"/>
    <n v="15"/>
    <n v="68.03"/>
    <n v="0.05"/>
    <s v="Regular Air"/>
    <n v="8.865499999999999"/>
    <n v="4.49"/>
    <n v="1.49"/>
    <x v="578"/>
    <x v="10"/>
    <x v="3"/>
    <x v="2"/>
    <x v="0"/>
    <x v="2"/>
    <x v="766"/>
    <s v="Small Box"/>
    <n v="0.39"/>
    <d v="2011-05-27T00:00:00"/>
    <n v="0"/>
    <n v="0"/>
    <n v="1"/>
    <n v="1"/>
  </r>
  <r>
    <n v="6476"/>
    <n v="46113"/>
    <x v="305"/>
    <x v="47"/>
    <s v="Not Specified"/>
    <n v="18"/>
    <n v="2567.13"/>
    <n v="0.02"/>
    <s v="Express Air"/>
    <n v="945.54"/>
    <n v="136.97999999999999"/>
    <n v="24.49"/>
    <x v="628"/>
    <x v="10"/>
    <x v="3"/>
    <x v="0"/>
    <x v="2"/>
    <x v="4"/>
    <x v="355"/>
    <s v="Large Box"/>
    <n v="0.59"/>
    <d v="2009-12-03T00:00:00"/>
    <n v="0"/>
    <n v="0"/>
    <n v="1"/>
    <n v="1"/>
  </r>
  <r>
    <n v="6507"/>
    <n v="46311"/>
    <x v="377"/>
    <x v="2"/>
    <s v="High"/>
    <n v="42"/>
    <n v="1244.01"/>
    <n v="0"/>
    <s v="Regular Air"/>
    <n v="539.57000000000005"/>
    <n v="28.48"/>
    <n v="1.99"/>
    <x v="615"/>
    <x v="10"/>
    <x v="3"/>
    <x v="1"/>
    <x v="1"/>
    <x v="7"/>
    <x v="395"/>
    <s v="Small Pack"/>
    <n v="0.4"/>
    <d v="2011-07-25T00:00:00"/>
    <n v="0"/>
    <n v="0"/>
    <n v="0.33333333333333331"/>
    <n v="0.33333333333333331"/>
  </r>
  <r>
    <n v="6508"/>
    <n v="46311"/>
    <x v="377"/>
    <x v="2"/>
    <s v="High"/>
    <n v="42"/>
    <n v="981.73"/>
    <n v="0.03"/>
    <s v="Regular Air"/>
    <n v="388.23"/>
    <n v="22.23"/>
    <n v="3.63"/>
    <x v="615"/>
    <x v="10"/>
    <x v="3"/>
    <x v="1"/>
    <x v="2"/>
    <x v="4"/>
    <x v="485"/>
    <s v="Small Pack"/>
    <n v="0.52"/>
    <d v="2011-07-26T00:00:00"/>
    <n v="0"/>
    <n v="0"/>
    <n v="0.33333333333333331"/>
    <n v="0.33333333333333331"/>
  </r>
  <r>
    <n v="6509"/>
    <n v="46311"/>
    <x v="377"/>
    <x v="2"/>
    <s v="High"/>
    <n v="44"/>
    <n v="302.07"/>
    <n v="0"/>
    <s v="Regular Air"/>
    <n v="-185.98"/>
    <n v="6.48"/>
    <n v="8.4"/>
    <x v="615"/>
    <x v="10"/>
    <x v="3"/>
    <x v="1"/>
    <x v="0"/>
    <x v="5"/>
    <x v="836"/>
    <s v="Small Box"/>
    <n v="0.37"/>
    <d v="2011-07-27T00:00:00"/>
    <n v="0"/>
    <n v="0"/>
    <n v="0.33333333333333331"/>
    <n v="0.33333333333333331"/>
  </r>
  <r>
    <n v="6660"/>
    <n v="47398"/>
    <x v="4"/>
    <x v="4"/>
    <s v="Medium"/>
    <n v="6"/>
    <n v="1307.1840000000002"/>
    <n v="0.03"/>
    <s v="Delivery Truck"/>
    <n v="-184.06"/>
    <n v="262.11"/>
    <n v="62.74"/>
    <x v="615"/>
    <x v="10"/>
    <x v="3"/>
    <x v="2"/>
    <x v="2"/>
    <x v="10"/>
    <x v="89"/>
    <s v="Jumbo Box"/>
    <n v="0.75"/>
    <d v="2011-06-19T00:00:00"/>
    <n v="0"/>
    <n v="0"/>
    <n v="1"/>
    <n v="1"/>
  </r>
  <r>
    <n v="6685"/>
    <n v="47554"/>
    <x v="525"/>
    <x v="14"/>
    <s v="Low"/>
    <n v="9"/>
    <n v="436.3"/>
    <n v="0.08"/>
    <s v="Delivery Truck"/>
    <n v="-50.31"/>
    <n v="50.98"/>
    <n v="14.19"/>
    <x v="618"/>
    <x v="10"/>
    <x v="3"/>
    <x v="2"/>
    <x v="2"/>
    <x v="14"/>
    <x v="306"/>
    <s v="Jumbo Drum"/>
    <n v="0.56000000000000005"/>
    <d v="2010-03-13T00:00:00"/>
    <n v="0"/>
    <n v="0"/>
    <n v="0.5"/>
    <n v="0.5"/>
  </r>
  <r>
    <n v="6686"/>
    <n v="47554"/>
    <x v="525"/>
    <x v="14"/>
    <s v="Low"/>
    <n v="47"/>
    <n v="364.23"/>
    <n v="0.01"/>
    <s v="Regular Air"/>
    <n v="41.58"/>
    <n v="7.59"/>
    <n v="4"/>
    <x v="618"/>
    <x v="10"/>
    <x v="3"/>
    <x v="2"/>
    <x v="2"/>
    <x v="4"/>
    <x v="378"/>
    <s v="Wrap Bag"/>
    <n v="0.42"/>
    <d v="2010-03-20T00:00:00"/>
    <n v="0"/>
    <n v="0"/>
    <n v="0.5"/>
    <n v="0.5"/>
  </r>
  <r>
    <n v="6757"/>
    <n v="48135"/>
    <x v="851"/>
    <x v="46"/>
    <s v="High"/>
    <n v="40"/>
    <n v="750.14"/>
    <n v="0.02"/>
    <s v="Regular Air"/>
    <n v="93.68"/>
    <n v="17.670000000000002"/>
    <n v="8.99"/>
    <x v="307"/>
    <x v="10"/>
    <x v="3"/>
    <x v="3"/>
    <x v="2"/>
    <x v="4"/>
    <x v="594"/>
    <s v="Small Pack"/>
    <n v="0.47"/>
    <d v="2009-04-19T00:00:00"/>
    <n v="0"/>
    <n v="0"/>
    <n v="0.5"/>
    <n v="0.5"/>
  </r>
  <r>
    <n v="6917"/>
    <n v="49346"/>
    <x v="1318"/>
    <x v="10"/>
    <s v="Not Specified"/>
    <n v="8"/>
    <n v="94.35"/>
    <n v="0.1"/>
    <s v="Regular Air"/>
    <n v="42.22"/>
    <n v="12.22"/>
    <n v="2.85"/>
    <x v="622"/>
    <x v="10"/>
    <x v="3"/>
    <x v="2"/>
    <x v="2"/>
    <x v="4"/>
    <x v="137"/>
    <s v="Small Pack"/>
    <n v="0.55000000000000004"/>
    <d v="2011-05-08T00:00:00"/>
    <n v="0"/>
    <n v="0"/>
    <n v="0.5"/>
    <n v="0.5"/>
  </r>
  <r>
    <n v="6918"/>
    <n v="49346"/>
    <x v="1318"/>
    <x v="10"/>
    <s v="Not Specified"/>
    <n v="50"/>
    <n v="276.75"/>
    <n v="0.04"/>
    <s v="Regular Air"/>
    <n v="-117.91"/>
    <n v="5.28"/>
    <n v="5.57"/>
    <x v="622"/>
    <x v="10"/>
    <x v="3"/>
    <x v="2"/>
    <x v="0"/>
    <x v="5"/>
    <x v="1124"/>
    <s v="Small Box"/>
    <n v="0.4"/>
    <d v="2011-05-06T00:00:00"/>
    <n v="0"/>
    <n v="0"/>
    <n v="0.5"/>
    <n v="0.5"/>
  </r>
  <r>
    <n v="6954"/>
    <n v="49735"/>
    <x v="640"/>
    <x v="35"/>
    <s v="Not Specified"/>
    <n v="32"/>
    <n v="1929.19"/>
    <n v="0.04"/>
    <s v="Regular Air"/>
    <n v="570.66999999999996"/>
    <n v="60.97"/>
    <n v="4.5"/>
    <x v="617"/>
    <x v="10"/>
    <x v="3"/>
    <x v="2"/>
    <x v="0"/>
    <x v="1"/>
    <x v="1085"/>
    <s v="Small Box"/>
    <n v="0.56000000000000005"/>
    <d v="2009-09-24T00:00:00"/>
    <n v="0"/>
    <n v="0"/>
    <n v="1"/>
    <n v="1"/>
  </r>
  <r>
    <n v="7020"/>
    <n v="50087"/>
    <x v="812"/>
    <x v="39"/>
    <s v="Not Specified"/>
    <n v="17"/>
    <n v="58.86"/>
    <n v="0.03"/>
    <s v="Regular Air"/>
    <n v="6.96"/>
    <n v="3.29"/>
    <n v="1.35"/>
    <x v="578"/>
    <x v="10"/>
    <x v="3"/>
    <x v="2"/>
    <x v="0"/>
    <x v="6"/>
    <x v="339"/>
    <s v="Wrap Bag"/>
    <n v="0.4"/>
    <d v="2010-05-17T00:00:00"/>
    <n v="0"/>
    <n v="0"/>
    <n v="1"/>
    <n v="1"/>
  </r>
  <r>
    <n v="7071"/>
    <n v="50466"/>
    <x v="140"/>
    <x v="8"/>
    <s v="Critical"/>
    <n v="32"/>
    <n v="6892.07"/>
    <n v="0.05"/>
    <s v="Express Air"/>
    <n v="2754.1615000000002"/>
    <n v="223.98"/>
    <n v="15.01"/>
    <x v="623"/>
    <x v="10"/>
    <x v="3"/>
    <x v="3"/>
    <x v="0"/>
    <x v="2"/>
    <x v="227"/>
    <s v="Small Box"/>
    <n v="0.38"/>
    <d v="2012-06-30T00:00:00"/>
    <n v="0"/>
    <n v="0"/>
    <n v="1"/>
    <n v="1"/>
  </r>
  <r>
    <n v="7078"/>
    <n v="50501"/>
    <x v="127"/>
    <x v="43"/>
    <s v="High"/>
    <n v="31"/>
    <n v="801.45"/>
    <n v="0.01"/>
    <s v="Regular Air"/>
    <n v="227.59"/>
    <n v="23.99"/>
    <n v="6.3"/>
    <x v="618"/>
    <x v="10"/>
    <x v="3"/>
    <x v="2"/>
    <x v="1"/>
    <x v="16"/>
    <x v="450"/>
    <s v="Medium Box"/>
    <n v="0.38"/>
    <d v="2009-05-31T00:00:00"/>
    <n v="0"/>
    <n v="0"/>
    <n v="1"/>
    <n v="1"/>
  </r>
  <r>
    <n v="7123"/>
    <n v="50818"/>
    <x v="198"/>
    <x v="1"/>
    <s v="Medium"/>
    <n v="34"/>
    <n v="5518.5315000000001"/>
    <n v="0.1"/>
    <s v="Regular Air"/>
    <n v="1111.2570000000001"/>
    <n v="205.99"/>
    <n v="8.99"/>
    <x v="629"/>
    <x v="10"/>
    <x v="3"/>
    <x v="0"/>
    <x v="1"/>
    <x v="3"/>
    <x v="1044"/>
    <s v="Small Box"/>
    <n v="0.56000000000000005"/>
    <d v="2012-10-08T00:00:00"/>
    <n v="0"/>
    <n v="0"/>
    <n v="1"/>
    <n v="1"/>
  </r>
  <r>
    <n v="7130"/>
    <n v="50852"/>
    <x v="1126"/>
    <x v="4"/>
    <s v="Medium"/>
    <n v="24"/>
    <n v="188.47"/>
    <n v="0.03"/>
    <s v="Regular Air"/>
    <n v="-191.23349999999999"/>
    <n v="7.38"/>
    <n v="11.51"/>
    <x v="628"/>
    <x v="10"/>
    <x v="3"/>
    <x v="0"/>
    <x v="0"/>
    <x v="2"/>
    <x v="1140"/>
    <s v="Small Box"/>
    <n v="0.36"/>
    <d v="2011-06-13T00:00:00"/>
    <n v="0"/>
    <n v="0"/>
    <n v="1"/>
    <n v="1"/>
  </r>
  <r>
    <n v="7300"/>
    <n v="52068"/>
    <x v="1319"/>
    <x v="23"/>
    <s v="Not Specified"/>
    <n v="31"/>
    <n v="163.27000000000001"/>
    <n v="0.04"/>
    <s v="Regular Air"/>
    <n v="-0.62100000000000111"/>
    <n v="5.28"/>
    <n v="2.99"/>
    <x v="615"/>
    <x v="10"/>
    <x v="3"/>
    <x v="2"/>
    <x v="0"/>
    <x v="2"/>
    <x v="13"/>
    <s v="Small Box"/>
    <n v="0.37"/>
    <d v="2012-01-13T00:00:00"/>
    <n v="0"/>
    <n v="0"/>
    <n v="0.25"/>
    <n v="0.25"/>
  </r>
  <r>
    <n v="7301"/>
    <n v="52068"/>
    <x v="1319"/>
    <x v="23"/>
    <s v="Not Specified"/>
    <n v="47"/>
    <n v="24559.91"/>
    <n v="0.01"/>
    <s v="Delivery Truck"/>
    <n v="7358.66"/>
    <n v="517.48"/>
    <n v="16.63"/>
    <x v="615"/>
    <x v="10"/>
    <x v="3"/>
    <x v="2"/>
    <x v="1"/>
    <x v="16"/>
    <x v="666"/>
    <s v="Jumbo Box"/>
    <n v="0.59"/>
    <d v="2012-01-13T00:00:00"/>
    <n v="0"/>
    <n v="0"/>
    <n v="0.25"/>
    <n v="0.25"/>
  </r>
  <r>
    <n v="7302"/>
    <n v="52068"/>
    <x v="1319"/>
    <x v="23"/>
    <s v="Not Specified"/>
    <n v="21"/>
    <n v="1217.5"/>
    <n v="7.0000000000000007E-2"/>
    <s v="Delivery Truck"/>
    <n v="-412.36"/>
    <n v="58.14"/>
    <n v="36.61"/>
    <x v="615"/>
    <x v="10"/>
    <x v="3"/>
    <x v="2"/>
    <x v="2"/>
    <x v="9"/>
    <x v="126"/>
    <s v="Jumbo Box"/>
    <n v="0.61"/>
    <d v="2012-01-14T00:00:00"/>
    <n v="0"/>
    <n v="0"/>
    <n v="0.25"/>
    <n v="0.25"/>
  </r>
  <r>
    <n v="7303"/>
    <n v="52068"/>
    <x v="1319"/>
    <x v="23"/>
    <s v="Not Specified"/>
    <n v="17"/>
    <n v="441.53"/>
    <n v="7.0000000000000007E-2"/>
    <s v="Delivery Truck"/>
    <n v="-119.55"/>
    <n v="25.98"/>
    <n v="14.36"/>
    <x v="615"/>
    <x v="10"/>
    <x v="3"/>
    <x v="2"/>
    <x v="2"/>
    <x v="14"/>
    <x v="170"/>
    <s v="Jumbo Drum"/>
    <n v="0.6"/>
    <d v="2012-01-15T00:00:00"/>
    <n v="0"/>
    <n v="0"/>
    <n v="0.25"/>
    <n v="0.25"/>
  </r>
  <r>
    <n v="7383"/>
    <n v="52641"/>
    <x v="1201"/>
    <x v="0"/>
    <s v="Not Specified"/>
    <n v="6"/>
    <n v="834.21549999999991"/>
    <n v="0.02"/>
    <s v="Regular Air"/>
    <n v="-449.416"/>
    <n v="155.99"/>
    <n v="8.08"/>
    <x v="191"/>
    <x v="10"/>
    <x v="3"/>
    <x v="1"/>
    <x v="1"/>
    <x v="3"/>
    <x v="215"/>
    <s v="Small Box"/>
    <n v="0.6"/>
    <d v="2010-10-10T00:00:00"/>
    <n v="0"/>
    <n v="0"/>
    <n v="1"/>
    <n v="1"/>
  </r>
  <r>
    <n v="7474"/>
    <n v="53378"/>
    <x v="709"/>
    <x v="29"/>
    <s v="Medium"/>
    <n v="50"/>
    <n v="13934.53"/>
    <n v="0.1"/>
    <s v="Express Air"/>
    <n v="4352.83"/>
    <n v="299.99"/>
    <n v="11.64"/>
    <x v="617"/>
    <x v="10"/>
    <x v="3"/>
    <x v="2"/>
    <x v="1"/>
    <x v="13"/>
    <x v="1035"/>
    <s v="Large Box"/>
    <n v="0.5"/>
    <d v="2012-07-14T00:00:00"/>
    <n v="0"/>
    <n v="0"/>
    <n v="0.33333333333333331"/>
    <n v="0.33333333333333331"/>
  </r>
  <r>
    <n v="7475"/>
    <n v="53378"/>
    <x v="709"/>
    <x v="29"/>
    <s v="Medium"/>
    <n v="38"/>
    <n v="1233.76"/>
    <n v="0.06"/>
    <s v="Regular Air"/>
    <n v="-168.08"/>
    <n v="33.979999999999997"/>
    <n v="19.989999999999998"/>
    <x v="617"/>
    <x v="10"/>
    <x v="3"/>
    <x v="2"/>
    <x v="2"/>
    <x v="4"/>
    <x v="90"/>
    <s v="Small Box"/>
    <n v="0.55000000000000004"/>
    <d v="2012-07-14T00:00:00"/>
    <n v="0"/>
    <n v="0"/>
    <n v="0.33333333333333331"/>
    <n v="0.33333333333333331"/>
  </r>
  <r>
    <n v="7476"/>
    <n v="53378"/>
    <x v="709"/>
    <x v="29"/>
    <s v="Medium"/>
    <n v="49"/>
    <n v="2377.2800000000002"/>
    <n v="0.04"/>
    <s v="Regular Air"/>
    <n v="-5.7859999999999996"/>
    <n v="55.99"/>
    <n v="5"/>
    <x v="617"/>
    <x v="10"/>
    <x v="3"/>
    <x v="2"/>
    <x v="1"/>
    <x v="3"/>
    <x v="140"/>
    <s v="Small Pack"/>
    <n v="0.83"/>
    <d v="2012-07-14T00:00:00"/>
    <n v="0"/>
    <n v="0"/>
    <n v="0.33333333333333331"/>
    <n v="0.33333333333333331"/>
  </r>
  <r>
    <n v="7689"/>
    <n v="55136"/>
    <x v="639"/>
    <x v="0"/>
    <s v="Critical"/>
    <n v="29"/>
    <n v="134.68"/>
    <n v="0.1"/>
    <s v="Regular Air"/>
    <n v="-66.459999999999994"/>
    <n v="4.9800000000000004"/>
    <n v="4.7"/>
    <x v="621"/>
    <x v="10"/>
    <x v="3"/>
    <x v="3"/>
    <x v="0"/>
    <x v="5"/>
    <x v="725"/>
    <s v="Small Box"/>
    <n v="0.38"/>
    <d v="2010-10-11T00:00:00"/>
    <n v="0"/>
    <n v="0"/>
    <n v="1"/>
    <n v="1"/>
  </r>
  <r>
    <n v="7780"/>
    <n v="55655"/>
    <x v="579"/>
    <x v="34"/>
    <s v="Low"/>
    <n v="33"/>
    <n v="3671.1414999999997"/>
    <n v="0.02"/>
    <s v="Regular Air"/>
    <n v="995.08500000000004"/>
    <n v="125.99"/>
    <n v="8.99"/>
    <x v="623"/>
    <x v="10"/>
    <x v="3"/>
    <x v="3"/>
    <x v="1"/>
    <x v="3"/>
    <x v="664"/>
    <s v="Small Box"/>
    <n v="0.55000000000000004"/>
    <d v="2012-09-26T00:00:00"/>
    <n v="0"/>
    <n v="0"/>
    <n v="1"/>
    <n v="1"/>
  </r>
  <r>
    <n v="7794"/>
    <n v="55750"/>
    <x v="217"/>
    <x v="3"/>
    <s v="Critical"/>
    <n v="31"/>
    <n v="5445.9920000000002"/>
    <n v="0.08"/>
    <s v="Delivery Truck"/>
    <n v="-791.66"/>
    <n v="218.75"/>
    <n v="69.64"/>
    <x v="628"/>
    <x v="10"/>
    <x v="3"/>
    <x v="0"/>
    <x v="2"/>
    <x v="10"/>
    <x v="146"/>
    <s v="Jumbo Box"/>
    <n v="0.77"/>
    <d v="2010-08-29T00:00:00"/>
    <n v="0"/>
    <n v="0"/>
    <n v="1"/>
    <n v="1"/>
  </r>
  <r>
    <n v="7841"/>
    <n v="56064"/>
    <x v="1114"/>
    <x v="19"/>
    <s v="Medium"/>
    <n v="41"/>
    <n v="1169.26"/>
    <n v="0.02"/>
    <s v="Regular Air"/>
    <n v="515.61850000000004"/>
    <n v="28.53"/>
    <n v="1.49"/>
    <x v="621"/>
    <x v="10"/>
    <x v="3"/>
    <x v="3"/>
    <x v="0"/>
    <x v="2"/>
    <x v="257"/>
    <s v="Small Box"/>
    <n v="0.38"/>
    <d v="2009-10-29T00:00:00"/>
    <n v="0"/>
    <n v="0"/>
    <n v="1"/>
    <n v="0.2"/>
  </r>
  <r>
    <n v="7950"/>
    <n v="56804"/>
    <x v="1320"/>
    <x v="5"/>
    <s v="Critical"/>
    <n v="41"/>
    <n v="136.44999999999999"/>
    <n v="0.1"/>
    <s v="Regular Air"/>
    <n v="-202.078"/>
    <n v="3.36"/>
    <n v="6.27"/>
    <x v="622"/>
    <x v="10"/>
    <x v="3"/>
    <x v="3"/>
    <x v="0"/>
    <x v="2"/>
    <x v="285"/>
    <s v="Small Box"/>
    <n v="0.4"/>
    <d v="2011-03-29T00:00:00"/>
    <n v="0"/>
    <n v="0"/>
    <n v="0.5"/>
    <n v="0.5"/>
  </r>
  <r>
    <n v="7951"/>
    <n v="56804"/>
    <x v="1320"/>
    <x v="5"/>
    <s v="Critical"/>
    <n v="24"/>
    <n v="121.81"/>
    <n v="0.05"/>
    <s v="Regular Air"/>
    <n v="-50.21"/>
    <n v="4.9800000000000004"/>
    <n v="4.8600000000000003"/>
    <x v="622"/>
    <x v="10"/>
    <x v="3"/>
    <x v="3"/>
    <x v="0"/>
    <x v="5"/>
    <x v="191"/>
    <s v="Small Box"/>
    <n v="0.38"/>
    <d v="2011-03-28T00:00:00"/>
    <n v="0"/>
    <n v="0"/>
    <n v="0.5"/>
    <n v="0.5"/>
  </r>
  <r>
    <n v="8000"/>
    <n v="57157"/>
    <x v="723"/>
    <x v="12"/>
    <s v="Critical"/>
    <n v="18"/>
    <n v="203.57"/>
    <n v="0.01"/>
    <s v="Regular Air"/>
    <n v="-4.84"/>
    <n v="10.98"/>
    <n v="3.99"/>
    <x v="168"/>
    <x v="10"/>
    <x v="3"/>
    <x v="2"/>
    <x v="0"/>
    <x v="1"/>
    <x v="1161"/>
    <s v="Small Box"/>
    <n v="0.57999999999999996"/>
    <d v="2012-02-29T00:00:00"/>
    <n v="0"/>
    <n v="0"/>
    <n v="1"/>
    <n v="0.33333333333333331"/>
  </r>
  <r>
    <n v="8122"/>
    <n v="58053"/>
    <x v="1025"/>
    <x v="38"/>
    <s v="Medium"/>
    <n v="42"/>
    <n v="287.75"/>
    <n v="0.02"/>
    <s v="Regular Air"/>
    <n v="-136.02000000000001"/>
    <n v="6.68"/>
    <n v="7.3"/>
    <x v="619"/>
    <x v="10"/>
    <x v="3"/>
    <x v="3"/>
    <x v="0"/>
    <x v="5"/>
    <x v="962"/>
    <s v="Small Box"/>
    <n v="0.37"/>
    <d v="2010-01-10T00:00:00"/>
    <n v="1"/>
    <n v="0"/>
    <n v="1"/>
    <n v="0.33333333333333331"/>
  </r>
  <r>
    <n v="8131"/>
    <n v="58116"/>
    <x v="840"/>
    <x v="28"/>
    <s v="Critical"/>
    <n v="6"/>
    <n v="171.77"/>
    <n v="0.01"/>
    <s v="Delivery Truck"/>
    <n v="-59.88"/>
    <n v="25.98"/>
    <n v="14.36"/>
    <x v="628"/>
    <x v="10"/>
    <x v="3"/>
    <x v="0"/>
    <x v="2"/>
    <x v="14"/>
    <x v="170"/>
    <s v="Jumbo Drum"/>
    <n v="0.6"/>
    <d v="2009-03-29T00:00:00"/>
    <n v="0"/>
    <n v="0"/>
    <n v="1"/>
    <n v="1"/>
  </r>
  <r>
    <n v="8140"/>
    <n v="58181"/>
    <x v="56"/>
    <x v="1"/>
    <s v="Not Specified"/>
    <n v="5"/>
    <n v="36.43"/>
    <n v="0.04"/>
    <s v="Regular Air"/>
    <n v="-22.04"/>
    <n v="5.98"/>
    <n v="7.15"/>
    <x v="621"/>
    <x v="10"/>
    <x v="3"/>
    <x v="2"/>
    <x v="0"/>
    <x v="5"/>
    <x v="1034"/>
    <s v="Small Box"/>
    <n v="0.36"/>
    <d v="2012-10-09T00:00:00"/>
    <n v="0"/>
    <n v="0"/>
    <n v="1"/>
    <n v="1"/>
  </r>
  <r>
    <n v="8152"/>
    <n v="58308"/>
    <x v="344"/>
    <x v="39"/>
    <s v="Not Specified"/>
    <n v="35"/>
    <n v="2173.2600000000002"/>
    <n v="0"/>
    <s v="Delivery Truck"/>
    <n v="-465.66"/>
    <n v="58.14"/>
    <n v="36.61"/>
    <x v="621"/>
    <x v="10"/>
    <x v="3"/>
    <x v="2"/>
    <x v="2"/>
    <x v="9"/>
    <x v="126"/>
    <s v="Jumbo Box"/>
    <n v="0.61"/>
    <d v="2010-05-21T00:00:00"/>
    <n v="0"/>
    <n v="0"/>
    <n v="0.33333333333333331"/>
    <n v="0.33333333333333331"/>
  </r>
  <r>
    <n v="8153"/>
    <n v="58308"/>
    <x v="344"/>
    <x v="39"/>
    <s v="Not Specified"/>
    <n v="20"/>
    <n v="623.29"/>
    <n v="0"/>
    <s v="Regular Air"/>
    <n v="57.44"/>
    <n v="29.99"/>
    <n v="5.5"/>
    <x v="621"/>
    <x v="10"/>
    <x v="3"/>
    <x v="2"/>
    <x v="1"/>
    <x v="7"/>
    <x v="890"/>
    <s v="Small Box"/>
    <n v="0.51"/>
    <d v="2010-05-22T00:00:00"/>
    <n v="0"/>
    <n v="0"/>
    <n v="0.33333333333333331"/>
    <n v="0.33333333333333331"/>
  </r>
  <r>
    <n v="8154"/>
    <n v="58308"/>
    <x v="344"/>
    <x v="39"/>
    <s v="Not Specified"/>
    <n v="2"/>
    <n v="40.340000000000003"/>
    <n v="0.03"/>
    <s v="Regular Air"/>
    <n v="-23.62"/>
    <n v="16.16"/>
    <n v="7.74"/>
    <x v="621"/>
    <x v="10"/>
    <x v="3"/>
    <x v="2"/>
    <x v="2"/>
    <x v="4"/>
    <x v="1207"/>
    <s v="Small Box"/>
    <n v="0.5"/>
    <d v="2010-05-23T00:00:00"/>
    <n v="0"/>
    <n v="0"/>
    <n v="0.33333333333333331"/>
    <n v="0.33333333333333331"/>
  </r>
  <r>
    <n v="8157"/>
    <n v="58339"/>
    <x v="848"/>
    <x v="41"/>
    <s v="High"/>
    <n v="9"/>
    <n v="1608.87"/>
    <n v="7.0000000000000007E-2"/>
    <s v="Regular Air"/>
    <n v="346.98"/>
    <n v="177.98"/>
    <n v="0.99"/>
    <x v="622"/>
    <x v="10"/>
    <x v="3"/>
    <x v="2"/>
    <x v="0"/>
    <x v="1"/>
    <x v="264"/>
    <s v="Small Box"/>
    <n v="0.56000000000000005"/>
    <d v="2009-06-13T00:00:00"/>
    <n v="0"/>
    <n v="0"/>
    <n v="0.5"/>
    <n v="0.5"/>
  </r>
  <r>
    <n v="8158"/>
    <n v="58339"/>
    <x v="848"/>
    <x v="41"/>
    <s v="High"/>
    <n v="11"/>
    <n v="37.64"/>
    <n v="0.01"/>
    <s v="Express Air"/>
    <n v="7.5225"/>
    <n v="2.08"/>
    <n v="1.49"/>
    <x v="622"/>
    <x v="10"/>
    <x v="3"/>
    <x v="2"/>
    <x v="0"/>
    <x v="2"/>
    <x v="579"/>
    <s v="Small Box"/>
    <n v="0.36"/>
    <d v="2009-06-14T00:00:00"/>
    <n v="0"/>
    <n v="0"/>
    <n v="0.5"/>
    <n v="0.5"/>
  </r>
  <r>
    <n v="8237"/>
    <n v="58883"/>
    <x v="678"/>
    <x v="9"/>
    <s v="Low"/>
    <n v="36"/>
    <n v="161.56"/>
    <n v="0"/>
    <s v="Regular Air"/>
    <n v="59.67"/>
    <n v="4.13"/>
    <n v="0.99"/>
    <x v="168"/>
    <x v="10"/>
    <x v="3"/>
    <x v="2"/>
    <x v="0"/>
    <x v="11"/>
    <x v="367"/>
    <s v="Small Box"/>
    <n v="0.39"/>
    <d v="2012-08-17T00:00:00"/>
    <n v="0"/>
    <n v="0"/>
    <n v="1"/>
    <n v="1"/>
  </r>
  <r>
    <n v="8363"/>
    <n v="59777"/>
    <x v="611"/>
    <x v="15"/>
    <s v="High"/>
    <n v="19"/>
    <n v="917.31"/>
    <n v="0.05"/>
    <s v="Express Air"/>
    <n v="-139.86000000000001"/>
    <n v="49.99"/>
    <n v="19.989999999999998"/>
    <x v="616"/>
    <x v="10"/>
    <x v="3"/>
    <x v="3"/>
    <x v="1"/>
    <x v="7"/>
    <x v="1137"/>
    <s v="Small Box"/>
    <n v="0.45"/>
    <d v="2010-12-13T00:00:00"/>
    <n v="0"/>
    <n v="0"/>
    <n v="1"/>
    <n v="1"/>
  </r>
  <r>
    <n v="87"/>
    <n v="548"/>
    <x v="483"/>
    <x v="35"/>
    <s v="Critical"/>
    <n v="41"/>
    <n v="129.49"/>
    <n v="0.04"/>
    <s v="Regular Air"/>
    <n v="36.020000000000003"/>
    <n v="3.08"/>
    <n v="0.99"/>
    <x v="630"/>
    <x v="10"/>
    <x v="3"/>
    <x v="3"/>
    <x v="0"/>
    <x v="11"/>
    <x v="245"/>
    <s v="Small Box"/>
    <n v="0.37"/>
    <d v="2009-09-21T00:00:00"/>
    <n v="0"/>
    <n v="0"/>
    <n v="0.33333333333333331"/>
    <n v="0.33333333333333331"/>
  </r>
  <r>
    <n v="88"/>
    <n v="548"/>
    <x v="483"/>
    <x v="35"/>
    <s v="Critical"/>
    <n v="29"/>
    <n v="202.95"/>
    <n v="0.02"/>
    <s v="Regular Air"/>
    <n v="-50.64"/>
    <n v="6.48"/>
    <n v="5.9"/>
    <x v="630"/>
    <x v="10"/>
    <x v="3"/>
    <x v="3"/>
    <x v="0"/>
    <x v="5"/>
    <x v="543"/>
    <s v="Small Box"/>
    <n v="0.37"/>
    <d v="2009-09-21T00:00:00"/>
    <n v="0"/>
    <n v="0"/>
    <n v="0.33333333333333331"/>
    <n v="0.33333333333333331"/>
  </r>
  <r>
    <n v="89"/>
    <n v="548"/>
    <x v="483"/>
    <x v="35"/>
    <s v="Critical"/>
    <n v="26"/>
    <n v="2753.1925000000001"/>
    <n v="0.04"/>
    <s v="Regular Air"/>
    <n v="510.48900000000003"/>
    <n v="125.99"/>
    <n v="4.2"/>
    <x v="630"/>
    <x v="10"/>
    <x v="3"/>
    <x v="3"/>
    <x v="1"/>
    <x v="3"/>
    <x v="1087"/>
    <s v="Small Box"/>
    <n v="0.59"/>
    <d v="2009-09-22T00:00:00"/>
    <n v="0"/>
    <n v="0"/>
    <n v="0.33333333333333331"/>
    <n v="0.33333333333333331"/>
  </r>
  <r>
    <n v="116"/>
    <n v="771"/>
    <x v="575"/>
    <x v="4"/>
    <s v="Critical"/>
    <n v="18"/>
    <n v="88.84"/>
    <n v="0.08"/>
    <s v="Regular Air"/>
    <n v="-38.35"/>
    <n v="4.9800000000000004"/>
    <n v="4.72"/>
    <x v="631"/>
    <x v="10"/>
    <x v="3"/>
    <x v="3"/>
    <x v="0"/>
    <x v="5"/>
    <x v="751"/>
    <s v="Small Box"/>
    <n v="0.36"/>
    <d v="2011-06-17T00:00:00"/>
    <n v="0"/>
    <n v="0"/>
    <n v="1"/>
    <n v="1"/>
  </r>
  <r>
    <n v="279"/>
    <n v="1925"/>
    <x v="498"/>
    <x v="33"/>
    <s v="Critical"/>
    <n v="40"/>
    <n v="909.82"/>
    <n v="0.02"/>
    <s v="Regular Air"/>
    <n v="292.49"/>
    <n v="22.98"/>
    <n v="1.99"/>
    <x v="86"/>
    <x v="10"/>
    <x v="3"/>
    <x v="2"/>
    <x v="1"/>
    <x v="7"/>
    <x v="375"/>
    <s v="Small Pack"/>
    <n v="0.46"/>
    <d v="2012-03-06T00:00:00"/>
    <n v="0"/>
    <n v="0"/>
    <n v="0.5"/>
    <n v="0.5"/>
  </r>
  <r>
    <n v="303"/>
    <n v="2086"/>
    <x v="602"/>
    <x v="19"/>
    <s v="Critical"/>
    <n v="24"/>
    <n v="1411.58"/>
    <n v="0.01"/>
    <s v="Express Air"/>
    <n v="699.31"/>
    <n v="55.98"/>
    <n v="4.8600000000000003"/>
    <x v="86"/>
    <x v="10"/>
    <x v="3"/>
    <x v="2"/>
    <x v="0"/>
    <x v="5"/>
    <x v="938"/>
    <s v="Small Box"/>
    <n v="0.36"/>
    <d v="2009-10-20T00:00:00"/>
    <n v="0"/>
    <n v="0"/>
    <n v="0.33333333333333331"/>
    <n v="0.33333333333333331"/>
  </r>
  <r>
    <n v="304"/>
    <n v="2086"/>
    <x v="602"/>
    <x v="19"/>
    <s v="Critical"/>
    <n v="38"/>
    <n v="2115.2419999999997"/>
    <n v="0.04"/>
    <s v="Regular Air"/>
    <n v="371.41200000000003"/>
    <n v="65.989999999999995"/>
    <n v="8.99"/>
    <x v="86"/>
    <x v="10"/>
    <x v="3"/>
    <x v="2"/>
    <x v="1"/>
    <x v="3"/>
    <x v="403"/>
    <s v="Small Box"/>
    <n v="0.56000000000000005"/>
    <d v="2009-10-19T00:00:00"/>
    <n v="0"/>
    <n v="0"/>
    <n v="0.33333333333333331"/>
    <n v="0.33333333333333331"/>
  </r>
  <r>
    <n v="305"/>
    <n v="2086"/>
    <x v="602"/>
    <x v="19"/>
    <s v="Critical"/>
    <n v="9"/>
    <n v="1246.68"/>
    <n v="0.01"/>
    <s v="Regular Air"/>
    <n v="218.48"/>
    <n v="128.24"/>
    <n v="12.65"/>
    <x v="86"/>
    <x v="10"/>
    <x v="3"/>
    <x v="2"/>
    <x v="2"/>
    <x v="14"/>
    <x v="410"/>
    <s v="Medium Box"/>
    <m/>
    <d v="2009-10-21T00:00:00"/>
    <n v="0"/>
    <n v="0"/>
    <n v="0.33333333333333331"/>
    <n v="0.33333333333333331"/>
  </r>
  <r>
    <n v="912"/>
    <n v="6560"/>
    <x v="280"/>
    <x v="16"/>
    <s v="Low"/>
    <n v="20"/>
    <n v="169.18"/>
    <n v="0.09"/>
    <s v="Regular Air"/>
    <n v="-18.73"/>
    <n v="8.67"/>
    <n v="3.5"/>
    <x v="632"/>
    <x v="10"/>
    <x v="3"/>
    <x v="2"/>
    <x v="0"/>
    <x v="1"/>
    <x v="855"/>
    <s v="Small Box"/>
    <n v="0.57999999999999996"/>
    <d v="2011-01-08T00:00:00"/>
    <n v="0"/>
    <n v="0"/>
    <n v="0.5"/>
    <n v="0.5"/>
  </r>
  <r>
    <n v="913"/>
    <n v="6560"/>
    <x v="280"/>
    <x v="16"/>
    <s v="Low"/>
    <n v="37"/>
    <n v="8252.3919999999998"/>
    <n v="0.04"/>
    <s v="Delivery Truck"/>
    <n v="1853.19"/>
    <n v="280.98"/>
    <n v="35.67"/>
    <x v="632"/>
    <x v="10"/>
    <x v="3"/>
    <x v="2"/>
    <x v="2"/>
    <x v="10"/>
    <x v="398"/>
    <s v="Jumbo Box"/>
    <n v="0.66"/>
    <d v="2011-01-09T00:00:00"/>
    <n v="0"/>
    <n v="0"/>
    <n v="0.5"/>
    <n v="0.5"/>
  </r>
  <r>
    <n v="981"/>
    <n v="7105"/>
    <x v="1074"/>
    <x v="30"/>
    <s v="Low"/>
    <n v="17"/>
    <n v="77.19"/>
    <n v="0.03"/>
    <s v="Regular Air"/>
    <n v="-81.349999999999994"/>
    <n v="4.0599999999999996"/>
    <n v="6.89"/>
    <x v="86"/>
    <x v="10"/>
    <x v="3"/>
    <x v="2"/>
    <x v="0"/>
    <x v="1"/>
    <x v="283"/>
    <s v="Small Box"/>
    <n v="0.6"/>
    <d v="2010-06-28T00:00:00"/>
    <n v="0"/>
    <n v="0"/>
    <n v="1"/>
    <n v="1"/>
  </r>
  <r>
    <n v="1052"/>
    <n v="7776"/>
    <x v="1164"/>
    <x v="28"/>
    <s v="Medium"/>
    <n v="36"/>
    <n v="7223.59"/>
    <n v="7.0000000000000007E-2"/>
    <s v="Delivery Truck"/>
    <n v="1769.81"/>
    <n v="200.98"/>
    <n v="23.76"/>
    <x v="633"/>
    <x v="10"/>
    <x v="3"/>
    <x v="2"/>
    <x v="2"/>
    <x v="14"/>
    <x v="316"/>
    <s v="Jumbo Drum"/>
    <n v="0.57999999999999996"/>
    <d v="2009-03-15T00:00:00"/>
    <n v="0"/>
    <n v="0"/>
    <n v="0.5"/>
    <n v="0.5"/>
  </r>
  <r>
    <n v="1053"/>
    <n v="7776"/>
    <x v="1164"/>
    <x v="28"/>
    <s v="Medium"/>
    <n v="6"/>
    <n v="934.21600000000001"/>
    <n v="0.02"/>
    <s v="Delivery Truck"/>
    <n v="-4.34"/>
    <n v="179.29"/>
    <n v="29.21"/>
    <x v="633"/>
    <x v="10"/>
    <x v="3"/>
    <x v="2"/>
    <x v="2"/>
    <x v="10"/>
    <x v="102"/>
    <s v="Jumbo Box"/>
    <n v="0.76"/>
    <d v="2009-03-14T00:00:00"/>
    <n v="0"/>
    <n v="0"/>
    <n v="0.5"/>
    <n v="0.5"/>
  </r>
  <r>
    <n v="1160"/>
    <n v="8450"/>
    <x v="584"/>
    <x v="13"/>
    <s v="Not Specified"/>
    <n v="24"/>
    <n v="1307"/>
    <n v="0.02"/>
    <s v="Regular Air"/>
    <n v="428.99"/>
    <n v="54.48"/>
    <n v="0.99"/>
    <x v="234"/>
    <x v="10"/>
    <x v="3"/>
    <x v="3"/>
    <x v="0"/>
    <x v="1"/>
    <x v="859"/>
    <s v="Small Box"/>
    <n v="0.56999999999999995"/>
    <d v="2012-04-15T00:00:00"/>
    <n v="0"/>
    <n v="0"/>
    <n v="0.5"/>
    <n v="0.5"/>
  </r>
  <r>
    <n v="1161"/>
    <n v="8450"/>
    <x v="584"/>
    <x v="13"/>
    <s v="Not Specified"/>
    <n v="22"/>
    <n v="41.39"/>
    <n v="0.09"/>
    <s v="Regular Air"/>
    <n v="-12.0175"/>
    <n v="1.88"/>
    <n v="1.49"/>
    <x v="234"/>
    <x v="10"/>
    <x v="3"/>
    <x v="3"/>
    <x v="0"/>
    <x v="2"/>
    <x v="74"/>
    <s v="Small Box"/>
    <n v="0.37"/>
    <d v="2012-04-14T00:00:00"/>
    <n v="0"/>
    <n v="0"/>
    <n v="0.5"/>
    <n v="0.5"/>
  </r>
  <r>
    <n v="2241"/>
    <n v="16164"/>
    <x v="65"/>
    <x v="23"/>
    <s v="Low"/>
    <n v="26"/>
    <n v="2354.15"/>
    <n v="0.03"/>
    <s v="Delivery Truck"/>
    <n v="774.79"/>
    <n v="90.97"/>
    <n v="14"/>
    <x v="234"/>
    <x v="10"/>
    <x v="3"/>
    <x v="3"/>
    <x v="1"/>
    <x v="16"/>
    <x v="603"/>
    <s v="Jumbo Drum"/>
    <n v="0.36"/>
    <d v="2012-01-07T00:00:00"/>
    <n v="0"/>
    <n v="0"/>
    <n v="0.33333333333333331"/>
    <n v="0.33333333333333331"/>
  </r>
  <r>
    <n v="2601"/>
    <n v="18789"/>
    <x v="323"/>
    <x v="5"/>
    <s v="High"/>
    <n v="50"/>
    <n v="1558.18"/>
    <n v="0"/>
    <s v="Regular Air"/>
    <n v="417.62"/>
    <n v="30.98"/>
    <n v="9.18"/>
    <x v="634"/>
    <x v="10"/>
    <x v="3"/>
    <x v="0"/>
    <x v="0"/>
    <x v="5"/>
    <x v="1089"/>
    <s v="Small Box"/>
    <n v="0.4"/>
    <d v="2011-03-18T00:00:00"/>
    <n v="0"/>
    <n v="0"/>
    <n v="1"/>
    <n v="1"/>
  </r>
  <r>
    <n v="2639"/>
    <n v="19105"/>
    <x v="996"/>
    <x v="19"/>
    <s v="High"/>
    <n v="31"/>
    <n v="1370.56"/>
    <n v="0.1"/>
    <s v="Regular Air"/>
    <n v="511.51"/>
    <n v="48.91"/>
    <n v="5.97"/>
    <x v="632"/>
    <x v="10"/>
    <x v="3"/>
    <x v="2"/>
    <x v="0"/>
    <x v="5"/>
    <x v="961"/>
    <s v="Small Box"/>
    <n v="0.38"/>
    <d v="2009-10-30T00:00:00"/>
    <n v="0"/>
    <n v="0"/>
    <n v="0.5"/>
    <n v="0.5"/>
  </r>
  <r>
    <n v="2640"/>
    <n v="19105"/>
    <x v="996"/>
    <x v="19"/>
    <s v="High"/>
    <n v="29"/>
    <n v="172.98"/>
    <n v="0.08"/>
    <s v="Regular Air"/>
    <n v="-59.75"/>
    <n v="5.98"/>
    <n v="5.46"/>
    <x v="632"/>
    <x v="10"/>
    <x v="3"/>
    <x v="2"/>
    <x v="0"/>
    <x v="5"/>
    <x v="584"/>
    <s v="Small Box"/>
    <n v="0.36"/>
    <d v="2009-10-28T00:00:00"/>
    <n v="0"/>
    <n v="0"/>
    <n v="0.5"/>
    <n v="0.5"/>
  </r>
  <r>
    <n v="2642"/>
    <n v="19136"/>
    <x v="136"/>
    <x v="3"/>
    <s v="Not Specified"/>
    <n v="44"/>
    <n v="1372.9455"/>
    <n v="0"/>
    <s v="Regular Air"/>
    <n v="429.88499999999999"/>
    <n v="35.99"/>
    <n v="1.25"/>
    <x v="633"/>
    <x v="10"/>
    <x v="3"/>
    <x v="2"/>
    <x v="1"/>
    <x v="3"/>
    <x v="542"/>
    <s v="Small Pack"/>
    <n v="0.56999999999999995"/>
    <d v="2010-08-06T00:00:00"/>
    <n v="0"/>
    <n v="0"/>
    <n v="1"/>
    <n v="1"/>
  </r>
  <r>
    <n v="2657"/>
    <n v="19206"/>
    <x v="831"/>
    <x v="14"/>
    <s v="Low"/>
    <n v="40"/>
    <n v="88.02"/>
    <n v="0"/>
    <s v="Regular Air"/>
    <n v="-6.5435000000000008"/>
    <n v="2.08"/>
    <n v="1.49"/>
    <x v="633"/>
    <x v="10"/>
    <x v="3"/>
    <x v="2"/>
    <x v="0"/>
    <x v="2"/>
    <x v="579"/>
    <s v="Small Box"/>
    <n v="0.36"/>
    <d v="2010-04-03T00:00:00"/>
    <n v="0"/>
    <n v="0"/>
    <n v="0.5"/>
    <n v="0.25"/>
  </r>
  <r>
    <n v="2658"/>
    <n v="19206"/>
    <x v="831"/>
    <x v="14"/>
    <s v="Low"/>
    <n v="32"/>
    <n v="800"/>
    <n v="0.1"/>
    <s v="Delivery Truck"/>
    <n v="-210.3"/>
    <n v="25.98"/>
    <n v="14.36"/>
    <x v="633"/>
    <x v="10"/>
    <x v="3"/>
    <x v="2"/>
    <x v="2"/>
    <x v="14"/>
    <x v="170"/>
    <s v="Jumbo Drum"/>
    <n v="0.6"/>
    <d v="2010-04-01T00:00:00"/>
    <n v="0"/>
    <n v="0"/>
    <n v="0.5"/>
    <n v="0.25"/>
  </r>
  <r>
    <n v="2725"/>
    <n v="19654"/>
    <x v="552"/>
    <x v="16"/>
    <s v="High"/>
    <n v="8"/>
    <n v="381.69"/>
    <n v="0.04"/>
    <s v="Regular Air"/>
    <n v="256.18"/>
    <n v="46.94"/>
    <n v="6.77"/>
    <x v="635"/>
    <x v="10"/>
    <x v="3"/>
    <x v="3"/>
    <x v="2"/>
    <x v="4"/>
    <x v="852"/>
    <s v="Small Box"/>
    <n v="0.44"/>
    <d v="2011-01-09T00:00:00"/>
    <n v="0"/>
    <n v="0"/>
    <n v="1"/>
    <n v="1"/>
  </r>
  <r>
    <n v="2775"/>
    <n v="20037"/>
    <x v="651"/>
    <x v="22"/>
    <s v="Low"/>
    <n v="35"/>
    <n v="1009.42"/>
    <n v="0.02"/>
    <s v="Regular Air"/>
    <n v="339.58"/>
    <n v="29.18"/>
    <n v="8.5500000000000007"/>
    <x v="633"/>
    <x v="10"/>
    <x v="3"/>
    <x v="2"/>
    <x v="2"/>
    <x v="4"/>
    <x v="462"/>
    <s v="Small Box"/>
    <n v="0.42"/>
    <d v="2009-01-15T00:00:00"/>
    <n v="0"/>
    <n v="1"/>
    <n v="0.5"/>
    <n v="0.5"/>
  </r>
  <r>
    <n v="2776"/>
    <n v="20037"/>
    <x v="651"/>
    <x v="22"/>
    <s v="Low"/>
    <n v="49"/>
    <n v="15137.11"/>
    <n v="0.03"/>
    <s v="Delivery Truck"/>
    <n v="4913.16"/>
    <n v="297.64"/>
    <n v="14.7"/>
    <x v="633"/>
    <x v="10"/>
    <x v="3"/>
    <x v="2"/>
    <x v="1"/>
    <x v="16"/>
    <x v="589"/>
    <s v="Jumbo Drum"/>
    <n v="0.56999999999999995"/>
    <d v="2009-01-15T00:00:00"/>
    <n v="0"/>
    <n v="1"/>
    <n v="0.5"/>
    <n v="0.5"/>
  </r>
  <r>
    <n v="2855"/>
    <n v="20549"/>
    <x v="750"/>
    <x v="22"/>
    <s v="Not Specified"/>
    <n v="40"/>
    <n v="1030.0899999999999"/>
    <n v="0.09"/>
    <s v="Regular Air"/>
    <n v="-568.71"/>
    <n v="27.75"/>
    <n v="19.989999999999998"/>
    <x v="60"/>
    <x v="10"/>
    <x v="3"/>
    <x v="2"/>
    <x v="0"/>
    <x v="0"/>
    <x v="422"/>
    <s v="Small Box"/>
    <n v="0.67"/>
    <d v="2009-01-13T00:00:00"/>
    <n v="0"/>
    <n v="1"/>
    <n v="1"/>
    <n v="1"/>
  </r>
  <r>
    <n v="2888"/>
    <n v="20832"/>
    <x v="906"/>
    <x v="42"/>
    <s v="Not Specified"/>
    <n v="47"/>
    <n v="88.7"/>
    <n v="0.06"/>
    <s v="Regular Air"/>
    <n v="-20.447000000000003"/>
    <n v="1.88"/>
    <n v="1.49"/>
    <x v="636"/>
    <x v="10"/>
    <x v="3"/>
    <x v="3"/>
    <x v="0"/>
    <x v="2"/>
    <x v="74"/>
    <s v="Small Box"/>
    <n v="0.37"/>
    <d v="2010-07-30T00:00:00"/>
    <n v="0"/>
    <n v="0"/>
    <n v="0.5"/>
    <n v="0.33333333333333331"/>
  </r>
  <r>
    <n v="2889"/>
    <n v="20832"/>
    <x v="906"/>
    <x v="42"/>
    <s v="Not Specified"/>
    <n v="39"/>
    <n v="105.89"/>
    <n v="0.08"/>
    <s v="Regular Air"/>
    <n v="4.13"/>
    <n v="2.84"/>
    <n v="0.93"/>
    <x v="636"/>
    <x v="10"/>
    <x v="3"/>
    <x v="3"/>
    <x v="0"/>
    <x v="12"/>
    <x v="25"/>
    <s v="Wrap Bag"/>
    <n v="0.54"/>
    <d v="2010-08-01T00:00:00"/>
    <n v="0"/>
    <n v="0"/>
    <n v="0.5"/>
    <n v="0.33333333333333331"/>
  </r>
  <r>
    <n v="3191"/>
    <n v="22887"/>
    <x v="926"/>
    <x v="7"/>
    <s v="Not Specified"/>
    <n v="34"/>
    <n v="9107.27"/>
    <n v="7.0000000000000007E-2"/>
    <s v="Regular Air"/>
    <n v="2463.36"/>
    <n v="276.2"/>
    <n v="24.49"/>
    <x v="636"/>
    <x v="10"/>
    <x v="3"/>
    <x v="3"/>
    <x v="2"/>
    <x v="14"/>
    <x v="67"/>
    <s v="Large Box"/>
    <m/>
    <d v="2010-11-19T00:00:00"/>
    <n v="0"/>
    <n v="0"/>
    <n v="1"/>
    <n v="1"/>
  </r>
  <r>
    <n v="3345"/>
    <n v="23936"/>
    <x v="1140"/>
    <x v="47"/>
    <s v="Medium"/>
    <n v="27"/>
    <n v="71.39"/>
    <n v="0.09"/>
    <s v="Regular Air"/>
    <n v="-39.33"/>
    <n v="2.6"/>
    <n v="2.4"/>
    <x v="631"/>
    <x v="10"/>
    <x v="3"/>
    <x v="3"/>
    <x v="0"/>
    <x v="12"/>
    <x v="269"/>
    <s v="Wrap Bag"/>
    <n v="0.57999999999999996"/>
    <d v="2009-12-19T00:00:00"/>
    <n v="0"/>
    <n v="0"/>
    <n v="1"/>
    <n v="1"/>
  </r>
  <r>
    <n v="3407"/>
    <n v="24326"/>
    <x v="52"/>
    <x v="31"/>
    <s v="Critical"/>
    <n v="37"/>
    <n v="1596.86"/>
    <n v="0.05"/>
    <s v="Regular Air"/>
    <n v="418.6"/>
    <n v="44.01"/>
    <n v="3.5"/>
    <x v="60"/>
    <x v="10"/>
    <x v="3"/>
    <x v="2"/>
    <x v="0"/>
    <x v="1"/>
    <x v="1122"/>
    <s v="Small Box"/>
    <n v="0.59"/>
    <d v="2011-10-01T00:00:00"/>
    <n v="0"/>
    <n v="0"/>
    <n v="0.5"/>
    <n v="0.5"/>
  </r>
  <r>
    <n v="3408"/>
    <n v="24326"/>
    <x v="52"/>
    <x v="31"/>
    <s v="Critical"/>
    <n v="12"/>
    <n v="78.36"/>
    <n v="0.06"/>
    <s v="Regular Air"/>
    <n v="8.52"/>
    <n v="6.68"/>
    <n v="1.5"/>
    <x v="60"/>
    <x v="10"/>
    <x v="3"/>
    <x v="2"/>
    <x v="0"/>
    <x v="12"/>
    <x v="463"/>
    <s v="Wrap Bag"/>
    <n v="0.48"/>
    <d v="2011-09-30T00:00:00"/>
    <n v="0"/>
    <n v="0"/>
    <n v="0.5"/>
    <n v="0.5"/>
  </r>
  <r>
    <n v="3627"/>
    <n v="25926"/>
    <x v="626"/>
    <x v="11"/>
    <s v="High"/>
    <n v="20"/>
    <n v="3300.2160000000003"/>
    <n v="0.1"/>
    <s v="Delivery Truck"/>
    <n v="-855.03"/>
    <n v="218.75"/>
    <n v="69.64"/>
    <x v="633"/>
    <x v="10"/>
    <x v="3"/>
    <x v="2"/>
    <x v="2"/>
    <x v="10"/>
    <x v="146"/>
    <s v="Jumbo Box"/>
    <n v="0.77"/>
    <d v="2009-11-21T00:00:00"/>
    <n v="0"/>
    <n v="0"/>
    <n v="0.5"/>
    <n v="0.5"/>
  </r>
  <r>
    <n v="3628"/>
    <n v="25926"/>
    <x v="626"/>
    <x v="11"/>
    <s v="High"/>
    <n v="23"/>
    <n v="331.54"/>
    <n v="0.05"/>
    <s v="Regular Air"/>
    <n v="9.4094999999999995"/>
    <n v="14.27"/>
    <n v="7.27"/>
    <x v="633"/>
    <x v="10"/>
    <x v="3"/>
    <x v="2"/>
    <x v="0"/>
    <x v="2"/>
    <x v="509"/>
    <s v="Small Box"/>
    <n v="0.38"/>
    <d v="2009-11-22T00:00:00"/>
    <n v="0"/>
    <n v="0"/>
    <n v="0.5"/>
    <n v="0.5"/>
  </r>
  <r>
    <n v="3878"/>
    <n v="27687"/>
    <x v="787"/>
    <x v="24"/>
    <s v="Medium"/>
    <n v="38"/>
    <n v="251.3"/>
    <n v="0.1"/>
    <s v="Regular Air"/>
    <n v="-112.723"/>
    <n v="7.1"/>
    <n v="6.05"/>
    <x v="635"/>
    <x v="10"/>
    <x v="3"/>
    <x v="3"/>
    <x v="0"/>
    <x v="2"/>
    <x v="310"/>
    <s v="Small Box"/>
    <n v="0.39"/>
    <d v="2010-04-24T00:00:00"/>
    <n v="0"/>
    <n v="0"/>
    <n v="1"/>
    <n v="1"/>
  </r>
  <r>
    <n v="3889"/>
    <n v="27776"/>
    <x v="1321"/>
    <x v="39"/>
    <s v="Low"/>
    <n v="41"/>
    <n v="226.68"/>
    <n v="0.04"/>
    <s v="Express Air"/>
    <n v="-159.35"/>
    <n v="4.9800000000000004"/>
    <n v="7.28"/>
    <x v="126"/>
    <x v="10"/>
    <x v="3"/>
    <x v="2"/>
    <x v="0"/>
    <x v="5"/>
    <x v="1202"/>
    <s v="Small Box"/>
    <n v="0.38"/>
    <d v="2010-05-08T00:00:00"/>
    <n v="0"/>
    <n v="0"/>
    <n v="1"/>
    <n v="1"/>
  </r>
  <r>
    <n v="3901"/>
    <n v="27813"/>
    <x v="750"/>
    <x v="22"/>
    <s v="Medium"/>
    <n v="10"/>
    <n v="401.14"/>
    <n v="0.1"/>
    <s v="Regular Air"/>
    <n v="-131.03"/>
    <n v="40.98"/>
    <n v="6.5"/>
    <x v="126"/>
    <x v="10"/>
    <x v="3"/>
    <x v="1"/>
    <x v="1"/>
    <x v="7"/>
    <x v="850"/>
    <s v="Small Box"/>
    <n v="0.74"/>
    <d v="2009-01-14T00:00:00"/>
    <n v="0"/>
    <n v="1"/>
    <n v="1"/>
    <n v="1"/>
  </r>
  <r>
    <n v="3958"/>
    <n v="28256"/>
    <x v="728"/>
    <x v="40"/>
    <s v="High"/>
    <n v="19"/>
    <n v="467.4"/>
    <n v="0.01"/>
    <s v="Delivery Truck"/>
    <n v="-851.09"/>
    <n v="20.98"/>
    <n v="53.03"/>
    <x v="86"/>
    <x v="10"/>
    <x v="3"/>
    <x v="2"/>
    <x v="0"/>
    <x v="0"/>
    <x v="111"/>
    <s v="Jumbo Drum"/>
    <n v="0.78"/>
    <d v="2009-02-23T00:00:00"/>
    <n v="0"/>
    <n v="0"/>
    <n v="1"/>
    <n v="1"/>
  </r>
  <r>
    <n v="4001"/>
    <n v="28550"/>
    <x v="1009"/>
    <x v="5"/>
    <s v="Not Specified"/>
    <n v="44"/>
    <n v="21532.26"/>
    <n v="0.09"/>
    <s v="Delivery Truck"/>
    <n v="8323.39"/>
    <n v="500.97"/>
    <n v="69.3"/>
    <x v="60"/>
    <x v="10"/>
    <x v="3"/>
    <x v="2"/>
    <x v="1"/>
    <x v="16"/>
    <x v="280"/>
    <s v="Jumbo Drum"/>
    <n v="0.37"/>
    <d v="2011-03-23T00:00:00"/>
    <n v="0"/>
    <n v="0"/>
    <n v="0.5"/>
    <n v="0.5"/>
  </r>
  <r>
    <n v="4002"/>
    <n v="28550"/>
    <x v="1009"/>
    <x v="5"/>
    <s v="Not Specified"/>
    <n v="1"/>
    <n v="7.64"/>
    <n v="0.1"/>
    <s v="Regular Air"/>
    <n v="-6.6"/>
    <n v="4.76"/>
    <n v="3.01"/>
    <x v="60"/>
    <x v="10"/>
    <x v="3"/>
    <x v="2"/>
    <x v="0"/>
    <x v="5"/>
    <x v="697"/>
    <s v="Wrap Bag"/>
    <n v="0.36"/>
    <d v="2011-03-21T00:00:00"/>
    <n v="0"/>
    <n v="0"/>
    <n v="0.5"/>
    <n v="0.5"/>
  </r>
  <r>
    <n v="4049"/>
    <n v="28870"/>
    <x v="172"/>
    <x v="27"/>
    <s v="High"/>
    <n v="27"/>
    <n v="1154.8900000000001"/>
    <n v="0.03"/>
    <s v="Regular Air"/>
    <n v="66.36"/>
    <n v="40.98"/>
    <n v="6.5"/>
    <x v="60"/>
    <x v="10"/>
    <x v="3"/>
    <x v="2"/>
    <x v="1"/>
    <x v="7"/>
    <x v="1120"/>
    <s v="Small Box"/>
    <n v="0.64"/>
    <d v="2011-11-11T00:00:00"/>
    <n v="0"/>
    <n v="0"/>
    <n v="0.5"/>
    <n v="0.5"/>
  </r>
  <r>
    <n v="4268"/>
    <n v="30374"/>
    <x v="917"/>
    <x v="14"/>
    <s v="Critical"/>
    <n v="12"/>
    <n v="709.54"/>
    <n v="7.0000000000000007E-2"/>
    <s v="Regular Air"/>
    <n v="131.44"/>
    <n v="59.98"/>
    <n v="3.99"/>
    <x v="633"/>
    <x v="10"/>
    <x v="3"/>
    <x v="2"/>
    <x v="0"/>
    <x v="1"/>
    <x v="323"/>
    <s v="Small Box"/>
    <n v="0.56999999999999995"/>
    <d v="2010-03-22T00:00:00"/>
    <n v="0"/>
    <n v="0"/>
    <n v="0.5"/>
    <n v="0.25"/>
  </r>
  <r>
    <n v="4269"/>
    <n v="30374"/>
    <x v="917"/>
    <x v="14"/>
    <s v="Critical"/>
    <n v="42"/>
    <n v="1220.08"/>
    <n v="0"/>
    <s v="Regular Air"/>
    <n v="515.64"/>
    <n v="28.48"/>
    <n v="1.99"/>
    <x v="633"/>
    <x v="10"/>
    <x v="3"/>
    <x v="2"/>
    <x v="1"/>
    <x v="7"/>
    <x v="395"/>
    <s v="Small Pack"/>
    <n v="0.4"/>
    <d v="2010-03-22T00:00:00"/>
    <n v="0"/>
    <n v="0"/>
    <n v="0.5"/>
    <n v="0.25"/>
  </r>
  <r>
    <n v="4288"/>
    <n v="30564"/>
    <x v="799"/>
    <x v="40"/>
    <s v="Critical"/>
    <n v="20"/>
    <n v="606.39850000000001"/>
    <n v="0.09"/>
    <s v="Regular Air"/>
    <n v="126.12599999999999"/>
    <n v="35.99"/>
    <n v="5.99"/>
    <x v="631"/>
    <x v="10"/>
    <x v="3"/>
    <x v="3"/>
    <x v="1"/>
    <x v="3"/>
    <x v="702"/>
    <s v="Wrap Bag"/>
    <n v="0.38"/>
    <d v="2009-02-27T00:00:00"/>
    <n v="0"/>
    <n v="0"/>
    <n v="1"/>
    <n v="1"/>
  </r>
  <r>
    <n v="4440"/>
    <n v="31620"/>
    <x v="1158"/>
    <x v="21"/>
    <s v="Critical"/>
    <n v="20"/>
    <n v="1108.366"/>
    <n v="0.05"/>
    <s v="Regular Air"/>
    <n v="178.30799999999999"/>
    <n v="65.989999999999995"/>
    <n v="2.5"/>
    <x v="635"/>
    <x v="10"/>
    <x v="3"/>
    <x v="3"/>
    <x v="1"/>
    <x v="3"/>
    <x v="892"/>
    <s v="Small Box"/>
    <n v="0.55000000000000004"/>
    <d v="2011-08-13T00:00:00"/>
    <n v="0"/>
    <n v="0"/>
    <n v="1"/>
    <n v="1"/>
  </r>
  <r>
    <n v="4458"/>
    <n v="31780"/>
    <x v="1166"/>
    <x v="38"/>
    <s v="Medium"/>
    <n v="17"/>
    <n v="734.25"/>
    <n v="0.08"/>
    <s v="Express Air"/>
    <n v="160.58000000000001"/>
    <n v="42.98"/>
    <n v="4.62"/>
    <x v="632"/>
    <x v="10"/>
    <x v="3"/>
    <x v="2"/>
    <x v="0"/>
    <x v="1"/>
    <x v="667"/>
    <s v="Small Box"/>
    <n v="0.56000000000000005"/>
    <d v="2010-01-31T00:00:00"/>
    <n v="1"/>
    <n v="0"/>
    <n v="1"/>
    <n v="1"/>
  </r>
  <r>
    <n v="4479"/>
    <n v="31876"/>
    <x v="700"/>
    <x v="10"/>
    <s v="High"/>
    <n v="8"/>
    <n v="741.49"/>
    <n v="0.08"/>
    <s v="Regular Air"/>
    <n v="-360.18"/>
    <n v="95.99"/>
    <n v="35"/>
    <x v="86"/>
    <x v="10"/>
    <x v="3"/>
    <x v="2"/>
    <x v="0"/>
    <x v="0"/>
    <x v="1029"/>
    <s v="Large Box"/>
    <m/>
    <d v="2011-05-08T00:00:00"/>
    <n v="0"/>
    <n v="0"/>
    <n v="1"/>
    <n v="1"/>
  </r>
  <r>
    <n v="4549"/>
    <n v="32356"/>
    <x v="283"/>
    <x v="1"/>
    <s v="Not Specified"/>
    <n v="12"/>
    <n v="768.41"/>
    <n v="0.1"/>
    <s v="Regular Air"/>
    <n v="60.375500000000002"/>
    <n v="67.28"/>
    <n v="19.989999999999998"/>
    <x v="635"/>
    <x v="10"/>
    <x v="3"/>
    <x v="3"/>
    <x v="0"/>
    <x v="2"/>
    <x v="490"/>
    <s v="Small Box"/>
    <n v="0.4"/>
    <d v="2012-10-11T00:00:00"/>
    <n v="0"/>
    <n v="0"/>
    <n v="0.5"/>
    <n v="0.5"/>
  </r>
  <r>
    <n v="4550"/>
    <n v="32356"/>
    <x v="283"/>
    <x v="1"/>
    <s v="Not Specified"/>
    <n v="47"/>
    <n v="5238.192"/>
    <n v="0.08"/>
    <s v="Delivery Truck"/>
    <n v="-503.77"/>
    <n v="145.97999999999999"/>
    <n v="46.2"/>
    <x v="635"/>
    <x v="10"/>
    <x v="3"/>
    <x v="3"/>
    <x v="2"/>
    <x v="10"/>
    <x v="726"/>
    <s v="Jumbo Box"/>
    <n v="0.69"/>
    <d v="2012-10-12T00:00:00"/>
    <n v="0"/>
    <n v="0"/>
    <n v="0.5"/>
    <n v="0.5"/>
  </r>
  <r>
    <n v="4696"/>
    <n v="33473"/>
    <x v="280"/>
    <x v="16"/>
    <s v="Low"/>
    <n v="50"/>
    <n v="600.22"/>
    <n v="0.08"/>
    <s v="Regular Air"/>
    <n v="27.86"/>
    <n v="12.98"/>
    <n v="3.14"/>
    <x v="633"/>
    <x v="10"/>
    <x v="3"/>
    <x v="2"/>
    <x v="0"/>
    <x v="15"/>
    <x v="234"/>
    <s v="Small Pack"/>
    <n v="0.6"/>
    <d v="2011-01-04T00:00:00"/>
    <n v="0"/>
    <n v="0"/>
    <n v="1"/>
    <n v="1"/>
  </r>
  <r>
    <n v="4923"/>
    <n v="35043"/>
    <x v="485"/>
    <x v="42"/>
    <s v="Not Specified"/>
    <n v="45"/>
    <n v="125.21"/>
    <n v="0.01"/>
    <s v="Express Air"/>
    <n v="37.99"/>
    <n v="2.62"/>
    <n v="0.8"/>
    <x v="635"/>
    <x v="10"/>
    <x v="3"/>
    <x v="3"/>
    <x v="0"/>
    <x v="6"/>
    <x v="675"/>
    <s v="Wrap Bag"/>
    <n v="0.39"/>
    <d v="2010-07-20T00:00:00"/>
    <n v="0"/>
    <n v="0"/>
    <n v="0.5"/>
    <n v="0.5"/>
  </r>
  <r>
    <n v="4924"/>
    <n v="35043"/>
    <x v="485"/>
    <x v="42"/>
    <s v="Not Specified"/>
    <n v="9"/>
    <n v="924.11149999999998"/>
    <n v="0.06"/>
    <s v="Regular Air"/>
    <n v="-287.99099999999999"/>
    <n v="125.99"/>
    <n v="8.08"/>
    <x v="635"/>
    <x v="10"/>
    <x v="3"/>
    <x v="3"/>
    <x v="1"/>
    <x v="3"/>
    <x v="442"/>
    <s v="Small Box"/>
    <n v="0.56999999999999995"/>
    <d v="2010-07-20T00:00:00"/>
    <n v="0"/>
    <n v="0"/>
    <n v="0.5"/>
    <n v="0.5"/>
  </r>
  <r>
    <n v="5281"/>
    <n v="37603"/>
    <x v="195"/>
    <x v="7"/>
    <s v="Medium"/>
    <n v="50"/>
    <n v="2440.2600000000002"/>
    <n v="0"/>
    <s v="Regular Air"/>
    <n v="917.28"/>
    <n v="45.19"/>
    <n v="1.99"/>
    <x v="126"/>
    <x v="10"/>
    <x v="3"/>
    <x v="1"/>
    <x v="1"/>
    <x v="7"/>
    <x v="256"/>
    <s v="Small Pack"/>
    <n v="0.55000000000000004"/>
    <d v="2010-11-26T00:00:00"/>
    <n v="0"/>
    <n v="0"/>
    <n v="0.5"/>
    <n v="0.5"/>
  </r>
  <r>
    <n v="5282"/>
    <n v="37603"/>
    <x v="195"/>
    <x v="7"/>
    <s v="Medium"/>
    <n v="23"/>
    <n v="1008.19"/>
    <n v="0.03"/>
    <s v="Regular Air"/>
    <n v="210.01"/>
    <n v="45.19"/>
    <n v="1.99"/>
    <x v="126"/>
    <x v="10"/>
    <x v="3"/>
    <x v="1"/>
    <x v="1"/>
    <x v="7"/>
    <x v="256"/>
    <s v="Small Pack"/>
    <n v="0.55000000000000004"/>
    <d v="2010-11-26T00:00:00"/>
    <n v="0"/>
    <n v="0"/>
    <n v="0.5"/>
    <n v="0.5"/>
  </r>
  <r>
    <n v="5426"/>
    <n v="38561"/>
    <x v="933"/>
    <x v="21"/>
    <s v="Critical"/>
    <n v="19"/>
    <n v="169.4"/>
    <n v="0.1"/>
    <s v="Regular Air"/>
    <n v="-59.64"/>
    <n v="9.48"/>
    <n v="7.29"/>
    <x v="637"/>
    <x v="10"/>
    <x v="3"/>
    <x v="3"/>
    <x v="2"/>
    <x v="4"/>
    <x v="722"/>
    <s v="Small Pack"/>
    <n v="0.45"/>
    <d v="2011-09-01T00:00:00"/>
    <n v="0"/>
    <n v="0"/>
    <n v="1"/>
    <n v="1"/>
  </r>
  <r>
    <n v="5629"/>
    <n v="39846"/>
    <x v="221"/>
    <x v="40"/>
    <s v="Low"/>
    <n v="10"/>
    <n v="1372.14"/>
    <n v="0.06"/>
    <s v="Delivery Truck"/>
    <n v="-340.98"/>
    <n v="130.97999999999999"/>
    <n v="54.74"/>
    <x v="60"/>
    <x v="10"/>
    <x v="3"/>
    <x v="2"/>
    <x v="2"/>
    <x v="9"/>
    <x v="631"/>
    <s v="Jumbo Box"/>
    <n v="0.69"/>
    <d v="2009-03-06T00:00:00"/>
    <n v="0"/>
    <n v="0"/>
    <n v="0.5"/>
    <n v="0.5"/>
  </r>
  <r>
    <n v="5722"/>
    <n v="40547"/>
    <x v="1254"/>
    <x v="36"/>
    <s v="Critical"/>
    <n v="45"/>
    <n v="6944.0920000000006"/>
    <n v="0.06"/>
    <s v="Express Air"/>
    <n v="1820.952"/>
    <n v="179.99"/>
    <n v="13.99"/>
    <x v="634"/>
    <x v="10"/>
    <x v="3"/>
    <x v="0"/>
    <x v="1"/>
    <x v="3"/>
    <x v="223"/>
    <s v="Medium Box"/>
    <n v="0.56999999999999995"/>
    <d v="2009-07-11T00:00:00"/>
    <n v="0"/>
    <n v="0"/>
    <n v="1"/>
    <n v="1"/>
  </r>
  <r>
    <n v="5725"/>
    <n v="40611"/>
    <x v="677"/>
    <x v="33"/>
    <s v="Not Specified"/>
    <n v="12"/>
    <n v="66.83"/>
    <n v="0.02"/>
    <s v="Express Air"/>
    <n v="-24.31"/>
    <n v="4.28"/>
    <n v="5.17"/>
    <x v="631"/>
    <x v="10"/>
    <x v="3"/>
    <x v="3"/>
    <x v="0"/>
    <x v="5"/>
    <x v="157"/>
    <s v="Small Box"/>
    <n v="0.4"/>
    <d v="2012-03-30T00:00:00"/>
    <n v="0"/>
    <n v="0"/>
    <n v="0.5"/>
    <n v="0.5"/>
  </r>
  <r>
    <n v="5726"/>
    <n v="40611"/>
    <x v="677"/>
    <x v="33"/>
    <s v="Not Specified"/>
    <n v="43"/>
    <n v="1407.5150000000001"/>
    <n v="0"/>
    <s v="Regular Air"/>
    <n v="657.45"/>
    <n v="35.99"/>
    <n v="3.3"/>
    <x v="631"/>
    <x v="10"/>
    <x v="3"/>
    <x v="3"/>
    <x v="1"/>
    <x v="3"/>
    <x v="292"/>
    <s v="Small Pack"/>
    <n v="0.39"/>
    <d v="2012-03-30T00:00:00"/>
    <n v="0"/>
    <n v="0"/>
    <n v="0.5"/>
    <n v="0.5"/>
  </r>
  <r>
    <n v="5762"/>
    <n v="40901"/>
    <x v="300"/>
    <x v="29"/>
    <s v="Medium"/>
    <n v="40"/>
    <n v="273.14"/>
    <n v="0.02"/>
    <s v="Regular Air"/>
    <n v="-96.9"/>
    <n v="6.6"/>
    <n v="4.07"/>
    <x v="631"/>
    <x v="10"/>
    <x v="3"/>
    <x v="3"/>
    <x v="1"/>
    <x v="7"/>
    <x v="882"/>
    <s v="Small Pack"/>
    <n v="0.66"/>
    <d v="2012-07-31T00:00:00"/>
    <n v="0"/>
    <n v="0"/>
    <n v="0.5"/>
    <n v="0.5"/>
  </r>
  <r>
    <n v="5763"/>
    <n v="40901"/>
    <x v="300"/>
    <x v="29"/>
    <s v="Medium"/>
    <n v="22"/>
    <n v="3100.1115"/>
    <n v="0.02"/>
    <s v="Express Air"/>
    <n v="567.36899999999991"/>
    <n v="155.99"/>
    <n v="8.08"/>
    <x v="631"/>
    <x v="10"/>
    <x v="3"/>
    <x v="3"/>
    <x v="1"/>
    <x v="3"/>
    <x v="215"/>
    <s v="Small Box"/>
    <n v="0.6"/>
    <d v="2012-07-31T00:00:00"/>
    <n v="0"/>
    <n v="0"/>
    <n v="0.5"/>
    <n v="0.5"/>
  </r>
  <r>
    <n v="5867"/>
    <n v="41634"/>
    <x v="1322"/>
    <x v="45"/>
    <s v="Not Specified"/>
    <n v="7"/>
    <n v="57.35"/>
    <n v="0.06"/>
    <s v="Regular Air"/>
    <n v="-28.55"/>
    <n v="8.33"/>
    <n v="1.99"/>
    <x v="631"/>
    <x v="10"/>
    <x v="3"/>
    <x v="3"/>
    <x v="1"/>
    <x v="7"/>
    <x v="206"/>
    <s v="Small Pack"/>
    <n v="0.52"/>
    <d v="2012-12-09T00:00:00"/>
    <n v="0"/>
    <n v="0"/>
    <n v="0.5"/>
    <n v="0.5"/>
  </r>
  <r>
    <n v="5868"/>
    <n v="41634"/>
    <x v="1322"/>
    <x v="45"/>
    <s v="Not Specified"/>
    <n v="10"/>
    <n v="371.45"/>
    <n v="0.01"/>
    <s v="Regular Air"/>
    <n v="17.73"/>
    <n v="34.99"/>
    <n v="7.73"/>
    <x v="631"/>
    <x v="10"/>
    <x v="3"/>
    <x v="3"/>
    <x v="0"/>
    <x v="12"/>
    <x v="989"/>
    <s v="Small Box"/>
    <n v="0.59"/>
    <d v="2012-12-10T00:00:00"/>
    <n v="0"/>
    <n v="0"/>
    <n v="0.5"/>
    <n v="0.5"/>
  </r>
  <r>
    <n v="5889"/>
    <n v="41766"/>
    <x v="897"/>
    <x v="34"/>
    <s v="Critical"/>
    <n v="10"/>
    <n v="5158.09"/>
    <n v="0.01"/>
    <s v="Delivery Truck"/>
    <n v="969.05"/>
    <n v="500.98"/>
    <n v="28.14"/>
    <x v="381"/>
    <x v="10"/>
    <x v="3"/>
    <x v="2"/>
    <x v="1"/>
    <x v="16"/>
    <x v="780"/>
    <s v="Jumbo Drum"/>
    <n v="0.38"/>
    <d v="2012-09-12T00:00:00"/>
    <n v="0"/>
    <n v="0"/>
    <n v="0.5"/>
    <n v="0.5"/>
  </r>
  <r>
    <n v="5916"/>
    <n v="41956"/>
    <x v="1323"/>
    <x v="25"/>
    <s v="Medium"/>
    <n v="22"/>
    <n v="364.69"/>
    <n v="0.06"/>
    <s v="Express Air"/>
    <n v="-22.4"/>
    <n v="16.91"/>
    <n v="6.25"/>
    <x v="638"/>
    <x v="10"/>
    <x v="3"/>
    <x v="3"/>
    <x v="0"/>
    <x v="0"/>
    <x v="624"/>
    <s v="Small Box"/>
    <n v="0.57999999999999996"/>
    <d v="2011-12-13T00:00:00"/>
    <n v="0"/>
    <n v="0"/>
    <n v="0.5"/>
    <n v="0.5"/>
  </r>
  <r>
    <n v="5917"/>
    <n v="41956"/>
    <x v="1323"/>
    <x v="25"/>
    <s v="Medium"/>
    <n v="16"/>
    <n v="86.3"/>
    <n v="0"/>
    <s v="Regular Air"/>
    <n v="-68.67"/>
    <n v="4.8899999999999997"/>
    <n v="4.93"/>
    <x v="638"/>
    <x v="10"/>
    <x v="3"/>
    <x v="3"/>
    <x v="1"/>
    <x v="7"/>
    <x v="23"/>
    <s v="Small Pack"/>
    <n v="0.66"/>
    <d v="2011-12-14T00:00:00"/>
    <n v="0"/>
    <n v="0"/>
    <n v="0.5"/>
    <n v="0.5"/>
  </r>
  <r>
    <n v="6310"/>
    <n v="44646"/>
    <x v="1259"/>
    <x v="23"/>
    <s v="Low"/>
    <n v="47"/>
    <n v="12723.95"/>
    <n v="0.08"/>
    <s v="Regular Air"/>
    <n v="11.54"/>
    <n v="279.48"/>
    <n v="35"/>
    <x v="637"/>
    <x v="10"/>
    <x v="3"/>
    <x v="3"/>
    <x v="0"/>
    <x v="0"/>
    <x v="80"/>
    <s v="Large Box"/>
    <n v="0.8"/>
    <d v="2012-01-08T00:00:00"/>
    <n v="0"/>
    <n v="0"/>
    <n v="1"/>
    <n v="1"/>
  </r>
  <r>
    <n v="6444"/>
    <n v="45825"/>
    <x v="56"/>
    <x v="1"/>
    <s v="Medium"/>
    <n v="43"/>
    <n v="272.63"/>
    <n v="0.04"/>
    <s v="Regular Air"/>
    <n v="-64.45"/>
    <n v="6.48"/>
    <n v="5.14"/>
    <x v="126"/>
    <x v="10"/>
    <x v="3"/>
    <x v="2"/>
    <x v="0"/>
    <x v="5"/>
    <x v="896"/>
    <s v="Small Box"/>
    <n v="0.37"/>
    <d v="2012-10-07T00:00:00"/>
    <n v="0"/>
    <n v="0"/>
    <n v="1"/>
    <n v="1"/>
  </r>
  <r>
    <n v="6641"/>
    <n v="47232"/>
    <x v="107"/>
    <x v="3"/>
    <s v="Not Specified"/>
    <n v="39"/>
    <n v="546.4"/>
    <n v="0.1"/>
    <s v="Express Air"/>
    <n v="-138.82"/>
    <n v="15.14"/>
    <n v="4.53"/>
    <x v="86"/>
    <x v="10"/>
    <x v="3"/>
    <x v="2"/>
    <x v="0"/>
    <x v="0"/>
    <x v="560"/>
    <s v="Small Box"/>
    <n v="0.81"/>
    <d v="2010-08-19T00:00:00"/>
    <n v="0"/>
    <n v="0"/>
    <n v="1"/>
    <n v="1"/>
  </r>
  <r>
    <n v="6915"/>
    <n v="49344"/>
    <x v="911"/>
    <x v="45"/>
    <s v="Low"/>
    <n v="31"/>
    <n v="672.93"/>
    <n v="0"/>
    <s v="Regular Air"/>
    <n v="27.85"/>
    <n v="19.98"/>
    <n v="4"/>
    <x v="635"/>
    <x v="10"/>
    <x v="3"/>
    <x v="3"/>
    <x v="1"/>
    <x v="7"/>
    <x v="507"/>
    <s v="Small Box"/>
    <n v="0.68"/>
    <d v="2012-12-30T00:00:00"/>
    <n v="0"/>
    <n v="0"/>
    <n v="0.5"/>
    <n v="0.5"/>
  </r>
  <r>
    <n v="6916"/>
    <n v="49344"/>
    <x v="911"/>
    <x v="45"/>
    <s v="Low"/>
    <n v="1"/>
    <n v="803.33"/>
    <n v="0.09"/>
    <s v="Regular Air"/>
    <n v="-745.2"/>
    <n v="832.81"/>
    <n v="24.49"/>
    <x v="635"/>
    <x v="10"/>
    <x v="3"/>
    <x v="3"/>
    <x v="0"/>
    <x v="15"/>
    <x v="1223"/>
    <s v="Medium Box"/>
    <n v="0.83"/>
    <d v="2012-12-30T00:00:00"/>
    <n v="0"/>
    <n v="0"/>
    <n v="0.5"/>
    <n v="0.5"/>
  </r>
  <r>
    <n v="6922"/>
    <n v="49351"/>
    <x v="1103"/>
    <x v="33"/>
    <s v="Low"/>
    <n v="27"/>
    <n v="109.92"/>
    <n v="0.06"/>
    <s v="Regular Air"/>
    <n v="24.75"/>
    <n v="3.98"/>
    <n v="0.83"/>
    <x v="633"/>
    <x v="10"/>
    <x v="3"/>
    <x v="2"/>
    <x v="0"/>
    <x v="12"/>
    <x v="914"/>
    <s v="Wrap Bag"/>
    <n v="0.51"/>
    <d v="2012-04-03T00:00:00"/>
    <n v="0"/>
    <n v="0"/>
    <n v="1"/>
    <n v="1"/>
  </r>
  <r>
    <n v="6939"/>
    <n v="49511"/>
    <x v="1218"/>
    <x v="46"/>
    <s v="High"/>
    <n v="35"/>
    <n v="150.29"/>
    <n v="0.03"/>
    <s v="Express Air"/>
    <n v="5.04"/>
    <n v="3.69"/>
    <n v="2.5"/>
    <x v="636"/>
    <x v="10"/>
    <x v="3"/>
    <x v="3"/>
    <x v="0"/>
    <x v="8"/>
    <x v="500"/>
    <s v="Small Box"/>
    <n v="0.39"/>
    <d v="2009-04-20T00:00:00"/>
    <n v="0"/>
    <n v="0"/>
    <n v="1"/>
    <n v="1"/>
  </r>
  <r>
    <n v="7358"/>
    <n v="52419"/>
    <x v="1256"/>
    <x v="34"/>
    <s v="High"/>
    <n v="32"/>
    <n v="3500.49"/>
    <n v="0.09"/>
    <s v="Regular Air"/>
    <n v="230.64"/>
    <n v="111.03"/>
    <n v="8.64"/>
    <x v="80"/>
    <x v="10"/>
    <x v="3"/>
    <x v="2"/>
    <x v="0"/>
    <x v="0"/>
    <x v="95"/>
    <s v="Small Box"/>
    <n v="0.78"/>
    <d v="2012-09-19T00:00:00"/>
    <n v="0"/>
    <n v="0"/>
    <n v="1"/>
    <n v="1"/>
  </r>
  <r>
    <n v="7440"/>
    <n v="53029"/>
    <x v="114"/>
    <x v="36"/>
    <s v="Low"/>
    <n v="39"/>
    <n v="223.34"/>
    <n v="0.1"/>
    <s v="Regular Air"/>
    <n v="95.42"/>
    <n v="6.3"/>
    <n v="0.5"/>
    <x v="632"/>
    <x v="10"/>
    <x v="3"/>
    <x v="2"/>
    <x v="0"/>
    <x v="11"/>
    <x v="698"/>
    <s v="Small Box"/>
    <n v="0.39"/>
    <d v="2009-08-01T00:00:00"/>
    <n v="0"/>
    <n v="0"/>
    <n v="1"/>
    <n v="1"/>
  </r>
  <r>
    <n v="7644"/>
    <n v="54786"/>
    <x v="268"/>
    <x v="23"/>
    <s v="Not Specified"/>
    <n v="30"/>
    <n v="380.28"/>
    <n v="0.08"/>
    <s v="Regular Air"/>
    <n v="-20.58"/>
    <n v="13.48"/>
    <n v="4.51"/>
    <x v="635"/>
    <x v="10"/>
    <x v="3"/>
    <x v="3"/>
    <x v="0"/>
    <x v="0"/>
    <x v="27"/>
    <s v="Small Box"/>
    <n v="0.59"/>
    <d v="2012-01-13T00:00:00"/>
    <n v="0"/>
    <n v="0"/>
    <n v="1"/>
    <n v="1"/>
  </r>
  <r>
    <n v="7728"/>
    <n v="55362"/>
    <x v="938"/>
    <x v="37"/>
    <s v="High"/>
    <n v="24"/>
    <n v="67.84"/>
    <n v="7.0000000000000007E-2"/>
    <s v="Regular Air"/>
    <n v="13.44"/>
    <n v="2.88"/>
    <n v="0.99"/>
    <x v="60"/>
    <x v="10"/>
    <x v="3"/>
    <x v="2"/>
    <x v="0"/>
    <x v="11"/>
    <x v="184"/>
    <s v="Small Box"/>
    <n v="0.36"/>
    <d v="2011-04-22T00:00:00"/>
    <n v="0"/>
    <n v="0"/>
    <n v="1"/>
    <n v="1"/>
  </r>
  <r>
    <n v="7844"/>
    <n v="56099"/>
    <x v="1324"/>
    <x v="0"/>
    <s v="Low"/>
    <n v="11"/>
    <n v="122.35"/>
    <n v="0.02"/>
    <s v="Regular Air"/>
    <n v="-13.55"/>
    <n v="10.98"/>
    <n v="3.99"/>
    <x v="633"/>
    <x v="10"/>
    <x v="3"/>
    <x v="2"/>
    <x v="0"/>
    <x v="1"/>
    <x v="1161"/>
    <s v="Small Box"/>
    <n v="0.57999999999999996"/>
    <d v="2010-10-12T00:00:00"/>
    <n v="0"/>
    <n v="0"/>
    <n v="0.5"/>
    <n v="0.5"/>
  </r>
  <r>
    <n v="7903"/>
    <n v="56516"/>
    <x v="1316"/>
    <x v="26"/>
    <s v="Medium"/>
    <n v="6"/>
    <n v="27.89"/>
    <n v="0.08"/>
    <s v="Regular Air"/>
    <n v="-23.805"/>
    <n v="3.98"/>
    <n v="5.26"/>
    <x v="381"/>
    <x v="10"/>
    <x v="3"/>
    <x v="2"/>
    <x v="0"/>
    <x v="2"/>
    <x v="983"/>
    <s v="Small Box"/>
    <n v="0.38"/>
    <d v="2009-08-04T00:00:00"/>
    <n v="0"/>
    <n v="0"/>
    <n v="0.5"/>
    <n v="0.5"/>
  </r>
  <r>
    <n v="7904"/>
    <n v="56516"/>
    <x v="1316"/>
    <x v="26"/>
    <s v="Medium"/>
    <n v="24"/>
    <n v="2560.9395"/>
    <n v="0.06"/>
    <s v="Regular Air"/>
    <n v="457.79400000000004"/>
    <n v="125.99"/>
    <n v="2.5"/>
    <x v="381"/>
    <x v="10"/>
    <x v="3"/>
    <x v="2"/>
    <x v="1"/>
    <x v="3"/>
    <x v="738"/>
    <s v="Small Box"/>
    <n v="0.6"/>
    <d v="2009-08-05T00:00:00"/>
    <n v="0"/>
    <n v="0"/>
    <n v="0.5"/>
    <n v="0.5"/>
  </r>
  <r>
    <n v="8331"/>
    <n v="59556"/>
    <x v="1325"/>
    <x v="47"/>
    <s v="Not Specified"/>
    <n v="27"/>
    <n v="43.46"/>
    <n v="0"/>
    <s v="Regular Air"/>
    <n v="6.81"/>
    <n v="1.48"/>
    <n v="0.7"/>
    <x v="637"/>
    <x v="10"/>
    <x v="3"/>
    <x v="3"/>
    <x v="0"/>
    <x v="6"/>
    <x v="476"/>
    <s v="Wrap Bag"/>
    <n v="0.37"/>
    <d v="2009-12-17T00:00:00"/>
    <n v="0"/>
    <n v="0"/>
    <n v="0.5"/>
    <n v="0.5"/>
  </r>
  <r>
    <n v="8332"/>
    <n v="59556"/>
    <x v="1325"/>
    <x v="47"/>
    <s v="Not Specified"/>
    <n v="5"/>
    <n v="927.98749999999995"/>
    <n v="0"/>
    <s v="Regular Air"/>
    <n v="-615.91199999999992"/>
    <n v="205.99"/>
    <n v="8.99"/>
    <x v="637"/>
    <x v="10"/>
    <x v="3"/>
    <x v="3"/>
    <x v="1"/>
    <x v="3"/>
    <x v="1044"/>
    <s v="Small Box"/>
    <n v="0.56000000000000005"/>
    <d v="2009-12-16T00:00:00"/>
    <n v="0"/>
    <n v="0"/>
    <n v="0.5"/>
    <n v="0.5"/>
  </r>
  <r>
    <n v="8364"/>
    <n v="59779"/>
    <x v="1271"/>
    <x v="43"/>
    <s v="Low"/>
    <n v="30"/>
    <n v="3575.23"/>
    <n v="0.04"/>
    <s v="Delivery Truck"/>
    <n v="87.879999999999953"/>
    <n v="113.98"/>
    <n v="30"/>
    <x v="381"/>
    <x v="10"/>
    <x v="3"/>
    <x v="2"/>
    <x v="2"/>
    <x v="14"/>
    <x v="655"/>
    <s v="Jumbo Drum"/>
    <n v="0.69"/>
    <d v="2009-05-24T00:00:00"/>
    <n v="0"/>
    <n v="0"/>
    <n v="1"/>
    <n v="1"/>
  </r>
  <r>
    <n v="183"/>
    <n v="1217"/>
    <x v="178"/>
    <x v="13"/>
    <s v="Not Specified"/>
    <n v="25"/>
    <n v="662.16"/>
    <n v="7.0000000000000007E-2"/>
    <s v="Regular Air"/>
    <n v="185.21"/>
    <n v="28.48"/>
    <n v="1.99"/>
    <x v="639"/>
    <x v="10"/>
    <x v="3"/>
    <x v="2"/>
    <x v="1"/>
    <x v="7"/>
    <x v="395"/>
    <s v="Small Pack"/>
    <n v="0.4"/>
    <d v="2012-04-26T00:00:00"/>
    <n v="0"/>
    <n v="0"/>
    <n v="1"/>
    <n v="1"/>
  </r>
  <r>
    <n v="245"/>
    <n v="1666"/>
    <x v="200"/>
    <x v="17"/>
    <s v="Critical"/>
    <n v="19"/>
    <n v="5642.18"/>
    <n v="0.09"/>
    <s v="Express Air"/>
    <n v="1996.6755000000003"/>
    <n v="315.98"/>
    <n v="19.989999999999998"/>
    <x v="556"/>
    <x v="10"/>
    <x v="3"/>
    <x v="2"/>
    <x v="0"/>
    <x v="2"/>
    <x v="689"/>
    <s v="Small Box"/>
    <n v="0.38"/>
    <d v="2011-10-19T00:00:00"/>
    <n v="0"/>
    <n v="0"/>
    <n v="1"/>
    <n v="1"/>
  </r>
  <r>
    <n v="265"/>
    <n v="1829"/>
    <x v="1195"/>
    <x v="43"/>
    <s v="High"/>
    <n v="48"/>
    <n v="133.04"/>
    <n v="7.0000000000000007E-2"/>
    <s v="Regular Air"/>
    <n v="6.7320000000000002"/>
    <n v="2.78"/>
    <n v="1.49"/>
    <x v="448"/>
    <x v="10"/>
    <x v="3"/>
    <x v="0"/>
    <x v="0"/>
    <x v="2"/>
    <x v="1224"/>
    <s v="Small Box"/>
    <n v="0.36"/>
    <d v="2009-05-08T00:00:00"/>
    <n v="0"/>
    <n v="0"/>
    <n v="1"/>
    <n v="0.5"/>
  </r>
  <r>
    <n v="468"/>
    <n v="3202"/>
    <x v="1065"/>
    <x v="45"/>
    <s v="Low"/>
    <n v="10"/>
    <n v="554.21"/>
    <n v="0.05"/>
    <s v="Regular Air"/>
    <n v="-105.37"/>
    <n v="53.98"/>
    <n v="5.5"/>
    <x v="640"/>
    <x v="10"/>
    <x v="3"/>
    <x v="1"/>
    <x v="1"/>
    <x v="7"/>
    <x v="742"/>
    <s v="Small Box"/>
    <n v="0.62"/>
    <d v="2012-12-27T00:00:00"/>
    <n v="0"/>
    <n v="0"/>
    <n v="1"/>
    <n v="1"/>
  </r>
  <r>
    <n v="697"/>
    <n v="4871"/>
    <x v="908"/>
    <x v="4"/>
    <s v="Critical"/>
    <n v="8"/>
    <n v="775.74"/>
    <n v="0.02"/>
    <s v="Delivery Truck"/>
    <n v="-215.39"/>
    <n v="89.99"/>
    <n v="42"/>
    <x v="641"/>
    <x v="10"/>
    <x v="3"/>
    <x v="1"/>
    <x v="2"/>
    <x v="14"/>
    <x v="668"/>
    <s v="Jumbo Drum"/>
    <n v="0.66"/>
    <d v="2011-06-13T00:00:00"/>
    <n v="0"/>
    <n v="0"/>
    <n v="0.5"/>
    <n v="0.5"/>
  </r>
  <r>
    <n v="698"/>
    <n v="4871"/>
    <x v="908"/>
    <x v="4"/>
    <s v="Critical"/>
    <n v="26"/>
    <n v="238.34"/>
    <n v="0.06"/>
    <s v="Regular Air"/>
    <n v="-19.309999999999999"/>
    <n v="9.31"/>
    <n v="3.98"/>
    <x v="641"/>
    <x v="10"/>
    <x v="3"/>
    <x v="1"/>
    <x v="0"/>
    <x v="15"/>
    <x v="935"/>
    <s v="Small Pack"/>
    <n v="0.56000000000000005"/>
    <d v="2011-06-14T00:00:00"/>
    <n v="0"/>
    <n v="0"/>
    <n v="0.5"/>
    <n v="0.5"/>
  </r>
  <r>
    <n v="866"/>
    <n v="6211"/>
    <x v="257"/>
    <x v="11"/>
    <s v="Critical"/>
    <n v="28"/>
    <n v="67.72"/>
    <n v="0.01"/>
    <s v="Regular Air"/>
    <n v="-142.66900000000001"/>
    <n v="2.16"/>
    <n v="6.05"/>
    <x v="556"/>
    <x v="10"/>
    <x v="3"/>
    <x v="2"/>
    <x v="0"/>
    <x v="2"/>
    <x v="388"/>
    <s v="Small Box"/>
    <n v="0.37"/>
    <d v="2009-11-25T00:00:00"/>
    <n v="0"/>
    <n v="0"/>
    <n v="0.5"/>
    <n v="0.5"/>
  </r>
  <r>
    <n v="867"/>
    <n v="6211"/>
    <x v="257"/>
    <x v="11"/>
    <s v="Critical"/>
    <n v="3"/>
    <n v="68.64"/>
    <n v="7.0000000000000007E-2"/>
    <s v="Regular Air"/>
    <n v="-38.93"/>
    <n v="21.38"/>
    <n v="8.99"/>
    <x v="556"/>
    <x v="10"/>
    <x v="3"/>
    <x v="2"/>
    <x v="0"/>
    <x v="12"/>
    <x v="311"/>
    <s v="Small Pack"/>
    <n v="0.59"/>
    <d v="2009-11-25T00:00:00"/>
    <n v="0"/>
    <n v="0"/>
    <n v="0.5"/>
    <n v="0.5"/>
  </r>
  <r>
    <n v="1007"/>
    <n v="7363"/>
    <x v="628"/>
    <x v="7"/>
    <s v="Medium"/>
    <n v="24"/>
    <n v="875.52"/>
    <n v="0.09"/>
    <s v="Regular Air"/>
    <n v="5.710000000000008"/>
    <n v="37.93"/>
    <n v="13.99"/>
    <x v="639"/>
    <x v="10"/>
    <x v="3"/>
    <x v="2"/>
    <x v="2"/>
    <x v="4"/>
    <x v="1014"/>
    <s v="Wrap Bag"/>
    <n v="0.67"/>
    <d v="2010-11-11T00:00:00"/>
    <n v="0"/>
    <n v="0"/>
    <n v="1"/>
    <n v="1"/>
  </r>
  <r>
    <n v="1109"/>
    <n v="8133"/>
    <x v="557"/>
    <x v="44"/>
    <s v="Medium"/>
    <n v="11"/>
    <n v="405.53"/>
    <n v="0.04"/>
    <s v="Regular Air"/>
    <n v="130.52000000000001"/>
    <n v="35.44"/>
    <n v="5.09"/>
    <x v="641"/>
    <x v="10"/>
    <x v="3"/>
    <x v="2"/>
    <x v="0"/>
    <x v="5"/>
    <x v="120"/>
    <s v="Small Box"/>
    <n v="0.38"/>
    <d v="2011-02-27T00:00:00"/>
    <n v="0"/>
    <n v="0"/>
    <n v="1"/>
    <n v="1"/>
  </r>
  <r>
    <n v="1155"/>
    <n v="8416"/>
    <x v="338"/>
    <x v="3"/>
    <s v="Low"/>
    <n v="2"/>
    <n v="22.07"/>
    <n v="7.0000000000000007E-2"/>
    <s v="Regular Air"/>
    <n v="-15.45"/>
    <n v="5.98"/>
    <n v="10.39"/>
    <x v="642"/>
    <x v="10"/>
    <x v="3"/>
    <x v="0"/>
    <x v="0"/>
    <x v="5"/>
    <x v="1037"/>
    <s v="Small Box"/>
    <n v="0.4"/>
    <d v="2010-08-10T00:00:00"/>
    <n v="0"/>
    <n v="0"/>
    <n v="1"/>
    <n v="1"/>
  </r>
  <r>
    <n v="1199"/>
    <n v="8802"/>
    <x v="407"/>
    <x v="16"/>
    <s v="Medium"/>
    <n v="15"/>
    <n v="1866.12"/>
    <n v="7.0000000000000007E-2"/>
    <s v="Regular Air"/>
    <n v="400.69"/>
    <n v="123.38"/>
    <n v="24.49"/>
    <x v="643"/>
    <x v="10"/>
    <x v="3"/>
    <x v="0"/>
    <x v="0"/>
    <x v="1"/>
    <x v="1225"/>
    <s v="Large Box"/>
    <n v="0.46"/>
    <d v="2011-02-02T00:00:00"/>
    <n v="0"/>
    <n v="0"/>
    <n v="1"/>
    <n v="1"/>
  </r>
  <r>
    <n v="1315"/>
    <n v="9637"/>
    <x v="786"/>
    <x v="22"/>
    <s v="Low"/>
    <n v="12"/>
    <n v="522.49"/>
    <n v="0.08"/>
    <s v="Regular Air"/>
    <n v="-236.43"/>
    <n v="43.22"/>
    <n v="16.71"/>
    <x v="290"/>
    <x v="10"/>
    <x v="3"/>
    <x v="2"/>
    <x v="1"/>
    <x v="7"/>
    <x v="710"/>
    <s v="Small Box"/>
    <n v="0.66"/>
    <d v="2009-01-05T00:00:00"/>
    <n v="0"/>
    <n v="1"/>
    <n v="0.33333333333333331"/>
    <n v="0.33333333333333331"/>
  </r>
  <r>
    <n v="1316"/>
    <n v="9637"/>
    <x v="786"/>
    <x v="22"/>
    <s v="Low"/>
    <n v="49"/>
    <n v="28359.4"/>
    <n v="0.05"/>
    <s v="Regular Air"/>
    <n v="14440.39"/>
    <n v="574.74"/>
    <n v="24.49"/>
    <x v="290"/>
    <x v="10"/>
    <x v="3"/>
    <x v="2"/>
    <x v="1"/>
    <x v="16"/>
    <x v="175"/>
    <s v="Large Box"/>
    <n v="0.37"/>
    <d v="2009-01-10T00:00:00"/>
    <n v="0"/>
    <n v="1"/>
    <n v="0.33333333333333331"/>
    <n v="0.33333333333333331"/>
  </r>
  <r>
    <n v="1317"/>
    <n v="9637"/>
    <x v="786"/>
    <x v="22"/>
    <s v="Low"/>
    <n v="12"/>
    <n v="123.76"/>
    <n v="0.04"/>
    <s v="Regular Air"/>
    <n v="32.44"/>
    <n v="10.14"/>
    <n v="2.27"/>
    <x v="290"/>
    <x v="10"/>
    <x v="3"/>
    <x v="2"/>
    <x v="0"/>
    <x v="5"/>
    <x v="88"/>
    <s v="Wrap Bag"/>
    <n v="0.36"/>
    <d v="2009-01-07T00:00:00"/>
    <n v="0"/>
    <n v="1"/>
    <n v="0.33333333333333331"/>
    <n v="0.33333333333333331"/>
  </r>
  <r>
    <n v="1327"/>
    <n v="9671"/>
    <x v="256"/>
    <x v="31"/>
    <s v="High"/>
    <n v="6"/>
    <n v="12.61"/>
    <n v="7.0000000000000007E-2"/>
    <s v="Regular Air"/>
    <n v="-4.899"/>
    <n v="1.88"/>
    <n v="1.49"/>
    <x v="639"/>
    <x v="10"/>
    <x v="3"/>
    <x v="2"/>
    <x v="0"/>
    <x v="2"/>
    <x v="74"/>
    <s v="Small Box"/>
    <n v="0.37"/>
    <d v="2011-09-14T00:00:00"/>
    <n v="0"/>
    <n v="0"/>
    <n v="1"/>
    <n v="1"/>
  </r>
  <r>
    <n v="1378"/>
    <n v="9957"/>
    <x v="936"/>
    <x v="7"/>
    <s v="Not Specified"/>
    <n v="31"/>
    <n v="74.75"/>
    <n v="0.06"/>
    <s v="Express Air"/>
    <n v="-115.43"/>
    <n v="2.2799999999999998"/>
    <n v="5.2"/>
    <x v="643"/>
    <x v="10"/>
    <x v="3"/>
    <x v="2"/>
    <x v="0"/>
    <x v="12"/>
    <x v="1059"/>
    <s v="Wrap Bag"/>
    <n v="0.41"/>
    <d v="2010-12-01T00:00:00"/>
    <n v="0"/>
    <n v="0"/>
    <n v="1"/>
    <n v="1"/>
  </r>
  <r>
    <n v="1467"/>
    <n v="10567"/>
    <x v="923"/>
    <x v="33"/>
    <s v="High"/>
    <n v="10"/>
    <n v="1111.008"/>
    <n v="0.09"/>
    <s v="Delivery Truck"/>
    <n v="-146.29"/>
    <n v="146.34"/>
    <n v="43.75"/>
    <x v="644"/>
    <x v="10"/>
    <x v="3"/>
    <x v="3"/>
    <x v="2"/>
    <x v="10"/>
    <x v="99"/>
    <s v="Jumbo Box"/>
    <n v="0.65"/>
    <d v="2012-03-30T00:00:00"/>
    <n v="0"/>
    <n v="0"/>
    <n v="1"/>
    <n v="1"/>
  </r>
  <r>
    <n v="1760"/>
    <n v="12613"/>
    <x v="623"/>
    <x v="24"/>
    <s v="Medium"/>
    <n v="3"/>
    <n v="15.64"/>
    <n v="0.08"/>
    <s v="Regular Air"/>
    <n v="-16.007999999999999"/>
    <n v="3.36"/>
    <n v="6.27"/>
    <x v="640"/>
    <x v="10"/>
    <x v="3"/>
    <x v="1"/>
    <x v="0"/>
    <x v="2"/>
    <x v="285"/>
    <s v="Small Box"/>
    <n v="0.4"/>
    <d v="2010-04-13T00:00:00"/>
    <n v="0"/>
    <n v="0"/>
    <n v="0.33333333333333331"/>
    <n v="0.33333333333333331"/>
  </r>
  <r>
    <n v="1761"/>
    <n v="12613"/>
    <x v="623"/>
    <x v="24"/>
    <s v="Medium"/>
    <n v="28"/>
    <n v="1751.08"/>
    <n v="0"/>
    <s v="Regular Air"/>
    <n v="587.01"/>
    <n v="59.78"/>
    <n v="10.29"/>
    <x v="640"/>
    <x v="10"/>
    <x v="3"/>
    <x v="1"/>
    <x v="0"/>
    <x v="2"/>
    <x v="172"/>
    <s v="Small Box"/>
    <n v="0.39"/>
    <d v="2010-04-11T00:00:00"/>
    <n v="0"/>
    <n v="0"/>
    <n v="0.33333333333333331"/>
    <n v="0.33333333333333331"/>
  </r>
  <r>
    <n v="1762"/>
    <n v="12613"/>
    <x v="623"/>
    <x v="24"/>
    <s v="Medium"/>
    <n v="18"/>
    <n v="225.37"/>
    <n v="0.04"/>
    <s v="Express Air"/>
    <n v="77.53"/>
    <n v="12.22"/>
    <n v="2.85"/>
    <x v="640"/>
    <x v="10"/>
    <x v="3"/>
    <x v="1"/>
    <x v="2"/>
    <x v="4"/>
    <x v="137"/>
    <s v="Small Pack"/>
    <n v="0.55000000000000004"/>
    <d v="2010-04-11T00:00:00"/>
    <n v="0"/>
    <n v="0"/>
    <n v="0.33333333333333331"/>
    <n v="0.33333333333333331"/>
  </r>
  <r>
    <n v="1776"/>
    <n v="12711"/>
    <x v="852"/>
    <x v="12"/>
    <s v="Critical"/>
    <n v="32"/>
    <n v="1486.72"/>
    <n v="0"/>
    <s v="Regular Air"/>
    <n v="294.81"/>
    <n v="43.98"/>
    <n v="8.99"/>
    <x v="639"/>
    <x v="10"/>
    <x v="3"/>
    <x v="2"/>
    <x v="0"/>
    <x v="12"/>
    <x v="672"/>
    <s v="Small Pack"/>
    <n v="0.57999999999999996"/>
    <d v="2012-02-20T00:00:00"/>
    <n v="0"/>
    <n v="0"/>
    <n v="0.5"/>
    <n v="0.5"/>
  </r>
  <r>
    <n v="1777"/>
    <n v="12711"/>
    <x v="852"/>
    <x v="12"/>
    <s v="Critical"/>
    <n v="45"/>
    <n v="558.04"/>
    <n v="0.05"/>
    <s v="Regular Air"/>
    <n v="40.32"/>
    <n v="12.98"/>
    <n v="3.14"/>
    <x v="639"/>
    <x v="10"/>
    <x v="3"/>
    <x v="2"/>
    <x v="0"/>
    <x v="15"/>
    <x v="234"/>
    <s v="Small Pack"/>
    <n v="0.6"/>
    <d v="2012-02-20T00:00:00"/>
    <n v="0"/>
    <n v="0"/>
    <n v="0.5"/>
    <n v="0.5"/>
  </r>
  <r>
    <n v="1886"/>
    <n v="13543"/>
    <x v="1326"/>
    <x v="9"/>
    <s v="Medium"/>
    <n v="2"/>
    <n v="27.83"/>
    <n v="0.09"/>
    <s v="Regular Air"/>
    <n v="-22.14"/>
    <n v="9.7100000000000009"/>
    <n v="9.4499999999999993"/>
    <x v="290"/>
    <x v="10"/>
    <x v="3"/>
    <x v="2"/>
    <x v="0"/>
    <x v="0"/>
    <x v="716"/>
    <s v="Small Box"/>
    <n v="0.6"/>
    <d v="2012-08-08T00:00:00"/>
    <n v="0"/>
    <n v="0"/>
    <n v="1"/>
    <n v="1"/>
  </r>
  <r>
    <n v="1924"/>
    <n v="13767"/>
    <x v="134"/>
    <x v="3"/>
    <s v="High"/>
    <n v="29"/>
    <n v="597.66"/>
    <n v="0.08"/>
    <s v="Regular Air"/>
    <n v="-178"/>
    <n v="21.66"/>
    <n v="13.99"/>
    <x v="556"/>
    <x v="10"/>
    <x v="3"/>
    <x v="2"/>
    <x v="0"/>
    <x v="1"/>
    <x v="116"/>
    <s v="Medium Box"/>
    <n v="0.52"/>
    <d v="2010-08-28T00:00:00"/>
    <n v="0"/>
    <n v="0"/>
    <n v="0.25"/>
    <n v="0.25"/>
  </r>
  <r>
    <n v="1925"/>
    <n v="13767"/>
    <x v="134"/>
    <x v="3"/>
    <s v="High"/>
    <n v="45"/>
    <n v="1403.741"/>
    <n v="0.01"/>
    <s v="Regular Air"/>
    <n v="622.25099999999998"/>
    <n v="35.99"/>
    <n v="3.3"/>
    <x v="556"/>
    <x v="10"/>
    <x v="3"/>
    <x v="2"/>
    <x v="1"/>
    <x v="3"/>
    <x v="292"/>
    <s v="Small Pack"/>
    <n v="0.39"/>
    <d v="2010-08-28T00:00:00"/>
    <n v="0"/>
    <n v="0"/>
    <n v="0.25"/>
    <n v="0.25"/>
  </r>
  <r>
    <n v="1926"/>
    <n v="13767"/>
    <x v="134"/>
    <x v="3"/>
    <s v="High"/>
    <n v="10"/>
    <n v="1246.3634999999999"/>
    <n v="0.06"/>
    <s v="Regular Air"/>
    <n v="-339.10799999999995"/>
    <n v="155.99"/>
    <n v="8.99"/>
    <x v="556"/>
    <x v="10"/>
    <x v="3"/>
    <x v="2"/>
    <x v="1"/>
    <x v="3"/>
    <x v="19"/>
    <s v="Small Box"/>
    <n v="0.57999999999999996"/>
    <d v="2010-08-27T00:00:00"/>
    <n v="0"/>
    <n v="0"/>
    <n v="0.25"/>
    <n v="0.25"/>
  </r>
  <r>
    <n v="2462"/>
    <n v="17924"/>
    <x v="1136"/>
    <x v="21"/>
    <s v="Critical"/>
    <n v="42"/>
    <n v="2507.48"/>
    <n v="0.04"/>
    <s v="Regular Air"/>
    <n v="762.53"/>
    <n v="60.97"/>
    <n v="4.5"/>
    <x v="640"/>
    <x v="10"/>
    <x v="3"/>
    <x v="1"/>
    <x v="0"/>
    <x v="1"/>
    <x v="1085"/>
    <s v="Small Box"/>
    <n v="0.56000000000000005"/>
    <d v="2011-08-26T00:00:00"/>
    <n v="0"/>
    <n v="0"/>
    <n v="1"/>
    <n v="1"/>
  </r>
  <r>
    <n v="2533"/>
    <n v="18374"/>
    <x v="1190"/>
    <x v="34"/>
    <s v="Low"/>
    <n v="21"/>
    <n v="150.16"/>
    <n v="0.09"/>
    <s v="Regular Air"/>
    <n v="-32.78"/>
    <n v="7.28"/>
    <n v="5.47"/>
    <x v="645"/>
    <x v="10"/>
    <x v="3"/>
    <x v="2"/>
    <x v="0"/>
    <x v="5"/>
    <x v="1215"/>
    <s v="Small Box"/>
    <n v="0.35"/>
    <d v="2012-10-02T00:00:00"/>
    <n v="0"/>
    <n v="0"/>
    <n v="1"/>
    <n v="1"/>
  </r>
  <r>
    <n v="2750"/>
    <n v="19841"/>
    <x v="1159"/>
    <x v="15"/>
    <s v="Low"/>
    <n v="43"/>
    <n v="4687.6734999999999"/>
    <n v="0.06"/>
    <s v="Express Air"/>
    <n v="1304.559"/>
    <n v="125.99"/>
    <n v="8.08"/>
    <x v="448"/>
    <x v="10"/>
    <x v="3"/>
    <x v="2"/>
    <x v="1"/>
    <x v="3"/>
    <x v="442"/>
    <s v="Small Box"/>
    <n v="0.56999999999999995"/>
    <d v="2011-01-14T00:00:00"/>
    <n v="0"/>
    <n v="0"/>
    <n v="0.33333333333333331"/>
    <n v="0.33333333333333331"/>
  </r>
  <r>
    <n v="2953"/>
    <n v="21382"/>
    <x v="899"/>
    <x v="23"/>
    <s v="Critical"/>
    <n v="21"/>
    <n v="6435.87"/>
    <n v="0.04"/>
    <s v="Delivery Truck"/>
    <n v="935.06"/>
    <n v="300.98"/>
    <n v="64.73"/>
    <x v="290"/>
    <x v="10"/>
    <x v="3"/>
    <x v="2"/>
    <x v="2"/>
    <x v="14"/>
    <x v="70"/>
    <s v="Jumbo Drum"/>
    <n v="0.56000000000000005"/>
    <d v="2012-01-14T00:00:00"/>
    <n v="0"/>
    <n v="0"/>
    <n v="0.33333333333333331"/>
    <n v="0.33333333333333331"/>
  </r>
  <r>
    <n v="2954"/>
    <n v="21382"/>
    <x v="899"/>
    <x v="23"/>
    <s v="Critical"/>
    <n v="11"/>
    <n v="312.02999999999997"/>
    <n v="0.08"/>
    <s v="Regular Air"/>
    <n v="-66.66"/>
    <n v="29.99"/>
    <n v="5.5"/>
    <x v="290"/>
    <x v="10"/>
    <x v="3"/>
    <x v="2"/>
    <x v="1"/>
    <x v="7"/>
    <x v="890"/>
    <s v="Small Box"/>
    <n v="0.51"/>
    <d v="2012-01-14T00:00:00"/>
    <n v="0"/>
    <n v="0"/>
    <n v="0.33333333333333331"/>
    <n v="0.33333333333333331"/>
  </r>
  <r>
    <n v="3007"/>
    <n v="21638"/>
    <x v="1184"/>
    <x v="13"/>
    <s v="High"/>
    <n v="13"/>
    <n v="418.93"/>
    <n v="0.03"/>
    <s v="Regular Air"/>
    <n v="82.25"/>
    <n v="30.98"/>
    <n v="8.74"/>
    <x v="643"/>
    <x v="10"/>
    <x v="3"/>
    <x v="0"/>
    <x v="0"/>
    <x v="5"/>
    <x v="720"/>
    <s v="Small Box"/>
    <n v="0.4"/>
    <d v="2012-04-17T00:00:00"/>
    <n v="0"/>
    <n v="0"/>
    <n v="1"/>
    <n v="1"/>
  </r>
  <r>
    <n v="3120"/>
    <n v="22407"/>
    <x v="55"/>
    <x v="11"/>
    <s v="Not Specified"/>
    <n v="20"/>
    <n v="676.44"/>
    <n v="7.0000000000000007E-2"/>
    <s v="Regular Air"/>
    <n v="48.756"/>
    <n v="34.54"/>
    <n v="14.72"/>
    <x v="639"/>
    <x v="10"/>
    <x v="3"/>
    <x v="2"/>
    <x v="0"/>
    <x v="2"/>
    <x v="122"/>
    <s v="Small Box"/>
    <n v="0.37"/>
    <d v="2009-11-18T00:00:00"/>
    <n v="0"/>
    <n v="0"/>
    <n v="0.33333333333333331"/>
    <n v="0.33333333333333331"/>
  </r>
  <r>
    <n v="3121"/>
    <n v="22407"/>
    <x v="55"/>
    <x v="11"/>
    <s v="Not Specified"/>
    <n v="10"/>
    <n v="128.02000000000001"/>
    <n v="0.02"/>
    <s v="Regular Air"/>
    <n v="-7.9"/>
    <n v="12.28"/>
    <n v="6.47"/>
    <x v="639"/>
    <x v="10"/>
    <x v="3"/>
    <x v="2"/>
    <x v="0"/>
    <x v="5"/>
    <x v="46"/>
    <s v="Small Box"/>
    <n v="0.38"/>
    <d v="2009-11-17T00:00:00"/>
    <n v="0"/>
    <n v="0"/>
    <n v="0.33333333333333331"/>
    <n v="0.33333333333333331"/>
  </r>
  <r>
    <n v="3122"/>
    <n v="22407"/>
    <x v="55"/>
    <x v="11"/>
    <s v="Not Specified"/>
    <n v="15"/>
    <n v="526.82000000000005"/>
    <n v="0.06"/>
    <s v="Express Air"/>
    <n v="32.340000000000003"/>
    <n v="34.58"/>
    <n v="8.99"/>
    <x v="639"/>
    <x v="10"/>
    <x v="3"/>
    <x v="2"/>
    <x v="0"/>
    <x v="12"/>
    <x v="555"/>
    <s v="Small Pack"/>
    <n v="0.56000000000000005"/>
    <d v="2009-11-19T00:00:00"/>
    <n v="0"/>
    <n v="0"/>
    <n v="0.33333333333333331"/>
    <n v="0.33333333333333331"/>
  </r>
  <r>
    <n v="3548"/>
    <n v="25314"/>
    <x v="443"/>
    <x v="12"/>
    <s v="High"/>
    <n v="43"/>
    <n v="7679.5119999999988"/>
    <n v="0"/>
    <s v="Regular Air"/>
    <n v="2307.42"/>
    <n v="205.99"/>
    <n v="5"/>
    <x v="645"/>
    <x v="10"/>
    <x v="3"/>
    <x v="2"/>
    <x v="1"/>
    <x v="3"/>
    <x v="963"/>
    <s v="Small Box"/>
    <n v="0.59"/>
    <d v="2012-02-26T00:00:00"/>
    <n v="0"/>
    <n v="0"/>
    <n v="1"/>
    <n v="0.2"/>
  </r>
  <r>
    <n v="3586"/>
    <n v="25574"/>
    <x v="1168"/>
    <x v="28"/>
    <s v="Not Specified"/>
    <n v="46"/>
    <n v="5074.07"/>
    <n v="0"/>
    <s v="Delivery Truck"/>
    <n v="-1390.53"/>
    <n v="100.98"/>
    <n v="57.38"/>
    <x v="208"/>
    <x v="10"/>
    <x v="3"/>
    <x v="1"/>
    <x v="2"/>
    <x v="9"/>
    <x v="65"/>
    <s v="Jumbo Box"/>
    <n v="0.78"/>
    <d v="2009-03-12T00:00:00"/>
    <n v="0"/>
    <n v="0"/>
    <n v="0.5"/>
    <n v="0.5"/>
  </r>
  <r>
    <n v="3587"/>
    <n v="25574"/>
    <x v="1168"/>
    <x v="28"/>
    <s v="Not Specified"/>
    <n v="31"/>
    <n v="1526.67"/>
    <n v="0.01"/>
    <s v="Express Air"/>
    <n v="118.82"/>
    <n v="47.98"/>
    <n v="3.61"/>
    <x v="208"/>
    <x v="10"/>
    <x v="3"/>
    <x v="1"/>
    <x v="1"/>
    <x v="7"/>
    <x v="12"/>
    <s v="Small Pack"/>
    <n v="0.71"/>
    <d v="2009-03-13T00:00:00"/>
    <n v="0"/>
    <n v="0"/>
    <n v="0.5"/>
    <n v="0.5"/>
  </r>
  <r>
    <n v="3678"/>
    <n v="26310"/>
    <x v="300"/>
    <x v="29"/>
    <s v="Not Specified"/>
    <n v="5"/>
    <n v="77.41"/>
    <n v="0.05"/>
    <s v="Regular Air"/>
    <n v="9.35"/>
    <n v="15.67"/>
    <n v="1.39"/>
    <x v="641"/>
    <x v="10"/>
    <x v="3"/>
    <x v="2"/>
    <x v="0"/>
    <x v="8"/>
    <x v="68"/>
    <s v="Small Box"/>
    <n v="0.38"/>
    <d v="2012-07-31T00:00:00"/>
    <n v="0"/>
    <n v="0"/>
    <n v="0.5"/>
    <n v="0.25"/>
  </r>
  <r>
    <n v="3679"/>
    <n v="26310"/>
    <x v="300"/>
    <x v="29"/>
    <s v="Not Specified"/>
    <n v="19"/>
    <n v="112.67"/>
    <n v="0.09"/>
    <s v="Regular Air"/>
    <n v="-37.85"/>
    <n v="5.98"/>
    <n v="5.14"/>
    <x v="641"/>
    <x v="10"/>
    <x v="3"/>
    <x v="2"/>
    <x v="0"/>
    <x v="5"/>
    <x v="754"/>
    <s v="Small Box"/>
    <n v="0.36"/>
    <d v="2012-07-30T00:00:00"/>
    <n v="0"/>
    <n v="0"/>
    <n v="0.5"/>
    <n v="0.25"/>
  </r>
  <r>
    <n v="3870"/>
    <n v="27616"/>
    <x v="1151"/>
    <x v="29"/>
    <s v="Low"/>
    <n v="3"/>
    <n v="614.14"/>
    <n v="0.09"/>
    <s v="Regular Air"/>
    <n v="-735.27"/>
    <n v="199.99"/>
    <n v="24.49"/>
    <x v="644"/>
    <x v="10"/>
    <x v="3"/>
    <x v="3"/>
    <x v="1"/>
    <x v="13"/>
    <x v="473"/>
    <s v="Large Box"/>
    <n v="0.46"/>
    <d v="2012-08-01T00:00:00"/>
    <n v="0"/>
    <n v="0"/>
    <n v="1"/>
    <n v="1"/>
  </r>
  <r>
    <n v="4169"/>
    <n v="29539"/>
    <x v="1247"/>
    <x v="37"/>
    <s v="High"/>
    <n v="24"/>
    <n v="223.2"/>
    <n v="0.1"/>
    <s v="Regular Air"/>
    <n v="78.739999999999995"/>
    <n v="9.7799999999999994"/>
    <n v="1.39"/>
    <x v="641"/>
    <x v="10"/>
    <x v="3"/>
    <x v="2"/>
    <x v="0"/>
    <x v="8"/>
    <x v="430"/>
    <s v="Small Box"/>
    <n v="0.39"/>
    <d v="2011-04-24T00:00:00"/>
    <n v="0"/>
    <n v="0"/>
    <n v="1"/>
    <n v="1"/>
  </r>
  <r>
    <n v="4364"/>
    <n v="31106"/>
    <x v="1327"/>
    <x v="12"/>
    <s v="Low"/>
    <n v="37"/>
    <n v="101.9"/>
    <n v="0"/>
    <s v="Regular Air"/>
    <n v="40.520000000000003"/>
    <n v="2.61"/>
    <n v="0.5"/>
    <x v="645"/>
    <x v="10"/>
    <x v="3"/>
    <x v="2"/>
    <x v="0"/>
    <x v="11"/>
    <x v="281"/>
    <s v="Small Box"/>
    <n v="0.39"/>
    <d v="2012-02-16T00:00:00"/>
    <n v="0"/>
    <n v="0"/>
    <n v="0.25"/>
    <n v="0.2"/>
  </r>
  <r>
    <n v="4365"/>
    <n v="31106"/>
    <x v="1327"/>
    <x v="12"/>
    <s v="Low"/>
    <n v="7"/>
    <n v="187.33"/>
    <n v="0.03"/>
    <s v="Regular Air"/>
    <n v="66.47"/>
    <n v="25.13"/>
    <n v="9.8699999999999992"/>
    <x v="645"/>
    <x v="10"/>
    <x v="3"/>
    <x v="2"/>
    <x v="2"/>
    <x v="4"/>
    <x v="1226"/>
    <s v="Small Box"/>
    <n v="0.57999999999999996"/>
    <d v="2012-02-21T00:00:00"/>
    <n v="0"/>
    <n v="0"/>
    <n v="0.25"/>
    <n v="0.2"/>
  </r>
  <r>
    <n v="4366"/>
    <n v="31106"/>
    <x v="1327"/>
    <x v="12"/>
    <s v="Low"/>
    <n v="45"/>
    <n v="259.17"/>
    <n v="0.01"/>
    <s v="Regular Air"/>
    <n v="-57.33"/>
    <n v="5.68"/>
    <n v="3.6"/>
    <x v="645"/>
    <x v="10"/>
    <x v="3"/>
    <x v="2"/>
    <x v="0"/>
    <x v="15"/>
    <x v="1153"/>
    <s v="Small Pack"/>
    <n v="0.56000000000000005"/>
    <d v="2012-02-18T00:00:00"/>
    <n v="0"/>
    <n v="0"/>
    <n v="0.25"/>
    <n v="0.2"/>
  </r>
  <r>
    <n v="4367"/>
    <n v="31106"/>
    <x v="1327"/>
    <x v="12"/>
    <s v="Low"/>
    <n v="43"/>
    <n v="4697.0320000000002"/>
    <n v="0"/>
    <s v="Regular Air"/>
    <n v="1263.0059999999999"/>
    <n v="125.99"/>
    <n v="5.63"/>
    <x v="645"/>
    <x v="10"/>
    <x v="3"/>
    <x v="2"/>
    <x v="1"/>
    <x v="3"/>
    <x v="356"/>
    <s v="Small Box"/>
    <n v="0.6"/>
    <d v="2012-02-23T00:00:00"/>
    <n v="0"/>
    <n v="0"/>
    <n v="0.25"/>
    <n v="0.2"/>
  </r>
  <r>
    <n v="4371"/>
    <n v="31140"/>
    <x v="650"/>
    <x v="44"/>
    <s v="Critical"/>
    <n v="4"/>
    <n v="13.42"/>
    <n v="0.03"/>
    <s v="Regular Air"/>
    <n v="-1.26"/>
    <n v="3.08"/>
    <n v="0.99"/>
    <x v="644"/>
    <x v="10"/>
    <x v="3"/>
    <x v="3"/>
    <x v="0"/>
    <x v="11"/>
    <x v="245"/>
    <s v="Small Box"/>
    <n v="0.37"/>
    <d v="2011-02-02T00:00:00"/>
    <n v="0"/>
    <n v="0"/>
    <n v="1"/>
    <n v="1"/>
  </r>
  <r>
    <n v="4373"/>
    <n v="31170"/>
    <x v="1075"/>
    <x v="23"/>
    <s v="Medium"/>
    <n v="32"/>
    <n v="320.57"/>
    <n v="0.09"/>
    <s v="Regular Air"/>
    <n v="27.95"/>
    <n v="10.130000000000001"/>
    <n v="1.99"/>
    <x v="643"/>
    <x v="10"/>
    <x v="3"/>
    <x v="2"/>
    <x v="1"/>
    <x v="7"/>
    <x v="1227"/>
    <s v="Small Pack"/>
    <n v="0.55000000000000004"/>
    <d v="2012-01-29T00:00:00"/>
    <n v="0"/>
    <n v="0"/>
    <n v="1"/>
    <n v="1"/>
  </r>
  <r>
    <n v="4417"/>
    <n v="31520"/>
    <x v="1328"/>
    <x v="27"/>
    <s v="High"/>
    <n v="23"/>
    <n v="138.71"/>
    <n v="0.09"/>
    <s v="Regular Air"/>
    <n v="-33.159999999999997"/>
    <n v="5.89"/>
    <n v="5.57"/>
    <x v="208"/>
    <x v="10"/>
    <x v="3"/>
    <x v="1"/>
    <x v="2"/>
    <x v="4"/>
    <x v="342"/>
    <s v="Small Box"/>
    <n v="0.41"/>
    <d v="2011-11-29T00:00:00"/>
    <n v="0"/>
    <n v="0"/>
    <n v="1"/>
    <n v="1"/>
  </r>
  <r>
    <n v="4873"/>
    <n v="34663"/>
    <x v="878"/>
    <x v="2"/>
    <s v="Not Specified"/>
    <n v="38"/>
    <n v="29186.49"/>
    <n v="0.05"/>
    <s v="Delivery Truck"/>
    <n v="11562.08"/>
    <n v="808.49"/>
    <n v="55.3"/>
    <x v="645"/>
    <x v="10"/>
    <x v="3"/>
    <x v="2"/>
    <x v="1"/>
    <x v="16"/>
    <x v="1072"/>
    <s v="Jumbo Drum"/>
    <n v="0.4"/>
    <d v="2011-07-08T00:00:00"/>
    <n v="0"/>
    <n v="0"/>
    <n v="1"/>
    <n v="1"/>
  </r>
  <r>
    <n v="5029"/>
    <n v="35842"/>
    <x v="970"/>
    <x v="20"/>
    <s v="High"/>
    <n v="18"/>
    <n v="53.79"/>
    <n v="0.03"/>
    <s v="Regular Air"/>
    <n v="11.55"/>
    <n v="2.88"/>
    <n v="0.99"/>
    <x v="644"/>
    <x v="10"/>
    <x v="3"/>
    <x v="3"/>
    <x v="0"/>
    <x v="11"/>
    <x v="184"/>
    <s v="Small Box"/>
    <n v="0.36"/>
    <d v="2012-05-26T00:00:00"/>
    <n v="0"/>
    <n v="0"/>
    <n v="1"/>
    <n v="1"/>
  </r>
  <r>
    <n v="5069"/>
    <n v="36131"/>
    <x v="1271"/>
    <x v="43"/>
    <s v="High"/>
    <n v="43"/>
    <n v="354.96"/>
    <n v="7.0000000000000007E-2"/>
    <s v="Regular Air"/>
    <n v="151.27000000000001"/>
    <n v="8.34"/>
    <n v="1.43"/>
    <x v="646"/>
    <x v="10"/>
    <x v="3"/>
    <x v="3"/>
    <x v="0"/>
    <x v="5"/>
    <x v="909"/>
    <s v="Wrap Bag"/>
    <n v="0.35"/>
    <d v="2009-05-19T00:00:00"/>
    <n v="0"/>
    <n v="0"/>
    <n v="0.33333333333333331"/>
    <n v="0.33333333333333331"/>
  </r>
  <r>
    <n v="5070"/>
    <n v="36131"/>
    <x v="1271"/>
    <x v="43"/>
    <s v="High"/>
    <n v="26"/>
    <n v="130.97"/>
    <n v="0.09"/>
    <s v="Regular Air"/>
    <n v="-83.42"/>
    <n v="4.9800000000000004"/>
    <n v="6.07"/>
    <x v="646"/>
    <x v="10"/>
    <x v="3"/>
    <x v="3"/>
    <x v="0"/>
    <x v="5"/>
    <x v="231"/>
    <s v="Small Box"/>
    <n v="0.36"/>
    <d v="2009-05-18T00:00:00"/>
    <n v="0"/>
    <n v="0"/>
    <n v="0.33333333333333331"/>
    <n v="0.33333333333333331"/>
  </r>
  <r>
    <n v="5203"/>
    <n v="36992"/>
    <x v="565"/>
    <x v="47"/>
    <s v="Medium"/>
    <n v="34"/>
    <n v="459.08"/>
    <n v="0.04"/>
    <s v="Express Air"/>
    <n v="61.57"/>
    <n v="12.98"/>
    <n v="3.14"/>
    <x v="646"/>
    <x v="10"/>
    <x v="3"/>
    <x v="2"/>
    <x v="0"/>
    <x v="15"/>
    <x v="234"/>
    <s v="Small Pack"/>
    <n v="0.6"/>
    <d v="2009-12-09T00:00:00"/>
    <n v="0"/>
    <n v="0"/>
    <n v="1"/>
    <n v="1"/>
  </r>
  <r>
    <n v="5432"/>
    <n v="38596"/>
    <x v="1329"/>
    <x v="24"/>
    <s v="Medium"/>
    <n v="20"/>
    <n v="193.7"/>
    <n v="0.06"/>
    <s v="Regular Air"/>
    <n v="-14.99"/>
    <n v="9.85"/>
    <n v="4.82"/>
    <x v="646"/>
    <x v="10"/>
    <x v="3"/>
    <x v="2"/>
    <x v="0"/>
    <x v="12"/>
    <x v="1106"/>
    <s v="Wrap Bag"/>
    <n v="0.47"/>
    <d v="2010-04-03T00:00:00"/>
    <n v="0"/>
    <n v="0"/>
    <n v="1"/>
    <n v="1"/>
  </r>
  <r>
    <n v="5526"/>
    <n v="39143"/>
    <x v="915"/>
    <x v="13"/>
    <s v="Not Specified"/>
    <n v="46"/>
    <n v="6730.07"/>
    <n v="0.05"/>
    <s v="Delivery Truck"/>
    <n v="-1134.6099999999999"/>
    <n v="150.97999999999999"/>
    <n v="66.27"/>
    <x v="640"/>
    <x v="10"/>
    <x v="3"/>
    <x v="1"/>
    <x v="2"/>
    <x v="9"/>
    <x v="207"/>
    <s v="Jumbo Box"/>
    <n v="0.65"/>
    <d v="2012-04-06T00:00:00"/>
    <n v="0"/>
    <n v="0"/>
    <n v="1"/>
    <n v="1"/>
  </r>
  <r>
    <n v="5807"/>
    <n v="41186"/>
    <x v="211"/>
    <x v="7"/>
    <s v="High"/>
    <n v="33"/>
    <n v="553.3415"/>
    <n v="0.08"/>
    <s v="Regular Air"/>
    <n v="-67.704999999999998"/>
    <n v="20.99"/>
    <n v="0.99"/>
    <x v="646"/>
    <x v="10"/>
    <x v="3"/>
    <x v="2"/>
    <x v="1"/>
    <x v="3"/>
    <x v="924"/>
    <s v="Small Pack"/>
    <n v="0.83"/>
    <d v="2010-11-23T00:00:00"/>
    <n v="0"/>
    <n v="0"/>
    <n v="0.5"/>
    <n v="0.5"/>
  </r>
  <r>
    <n v="6143"/>
    <n v="43493"/>
    <x v="559"/>
    <x v="20"/>
    <s v="High"/>
    <n v="22"/>
    <n v="152.52000000000001"/>
    <n v="0.03"/>
    <s v="Regular Air"/>
    <n v="-43.87"/>
    <n v="6.48"/>
    <n v="5.94"/>
    <x v="645"/>
    <x v="10"/>
    <x v="3"/>
    <x v="2"/>
    <x v="0"/>
    <x v="5"/>
    <x v="772"/>
    <s v="Small Box"/>
    <n v="0.37"/>
    <d v="2012-05-11T00:00:00"/>
    <n v="0"/>
    <n v="0"/>
    <n v="0.33333333333333331"/>
    <n v="0.33333333333333331"/>
  </r>
  <r>
    <n v="6144"/>
    <n v="43493"/>
    <x v="559"/>
    <x v="20"/>
    <s v="High"/>
    <n v="14"/>
    <n v="71.599999999999994"/>
    <n v="0.05"/>
    <s v="Regular Air"/>
    <n v="-30.65"/>
    <n v="4.9800000000000004"/>
    <n v="4.7"/>
    <x v="645"/>
    <x v="10"/>
    <x v="3"/>
    <x v="2"/>
    <x v="0"/>
    <x v="5"/>
    <x v="725"/>
    <s v="Small Box"/>
    <n v="0.38"/>
    <d v="2012-05-12T00:00:00"/>
    <n v="0"/>
    <n v="0"/>
    <n v="0.33333333333333331"/>
    <n v="0.33333333333333331"/>
  </r>
  <r>
    <n v="6145"/>
    <n v="43493"/>
    <x v="559"/>
    <x v="20"/>
    <s v="High"/>
    <n v="37"/>
    <n v="1699.9829999999999"/>
    <n v="0.1"/>
    <s v="Regular Air"/>
    <n v="-202.86199999999999"/>
    <n v="55.99"/>
    <n v="5"/>
    <x v="645"/>
    <x v="10"/>
    <x v="3"/>
    <x v="2"/>
    <x v="1"/>
    <x v="3"/>
    <x v="140"/>
    <s v="Small Pack"/>
    <n v="0.83"/>
    <d v="2012-05-13T00:00:00"/>
    <n v="0"/>
    <n v="0"/>
    <n v="0.33333333333333331"/>
    <n v="0.33333333333333331"/>
  </r>
  <r>
    <n v="6152"/>
    <n v="43555"/>
    <x v="266"/>
    <x v="29"/>
    <s v="Medium"/>
    <n v="34"/>
    <n v="43.54"/>
    <n v="0"/>
    <s v="Regular Air"/>
    <n v="-17.48"/>
    <n v="1.26"/>
    <n v="0.7"/>
    <x v="639"/>
    <x v="10"/>
    <x v="3"/>
    <x v="2"/>
    <x v="0"/>
    <x v="6"/>
    <x v="230"/>
    <s v="Wrap Bag"/>
    <n v="0.81"/>
    <d v="2012-07-05T00:00:00"/>
    <n v="0"/>
    <n v="0"/>
    <n v="1"/>
    <n v="1"/>
  </r>
  <r>
    <n v="6283"/>
    <n v="44452"/>
    <x v="775"/>
    <x v="25"/>
    <s v="Not Specified"/>
    <n v="50"/>
    <n v="330.27"/>
    <n v="7.0000000000000007E-2"/>
    <s v="Regular Air"/>
    <n v="-195.57"/>
    <n v="6.48"/>
    <n v="7.86"/>
    <x v="644"/>
    <x v="10"/>
    <x v="3"/>
    <x v="3"/>
    <x v="0"/>
    <x v="5"/>
    <x v="59"/>
    <s v="Small Box"/>
    <n v="0.37"/>
    <d v="2011-12-11T00:00:00"/>
    <n v="0"/>
    <n v="0"/>
    <n v="1"/>
    <n v="1"/>
  </r>
  <r>
    <n v="6404"/>
    <n v="45506"/>
    <x v="1226"/>
    <x v="25"/>
    <s v="Low"/>
    <n v="3"/>
    <n v="448.36649999999997"/>
    <n v="0.03"/>
    <s v="Regular Air"/>
    <n v="-748.40700000000004"/>
    <n v="175.99"/>
    <n v="8.99"/>
    <x v="641"/>
    <x v="10"/>
    <x v="3"/>
    <x v="1"/>
    <x v="1"/>
    <x v="3"/>
    <x v="484"/>
    <s v="Small Box"/>
    <n v="0.56999999999999995"/>
    <d v="2011-12-31T00:00:00"/>
    <n v="0"/>
    <n v="0"/>
    <n v="1"/>
    <n v="1"/>
  </r>
  <r>
    <n v="6441"/>
    <n v="45767"/>
    <x v="701"/>
    <x v="29"/>
    <s v="High"/>
    <n v="49"/>
    <n v="841.51"/>
    <n v="0.05"/>
    <s v="Express Air"/>
    <n v="20.86"/>
    <n v="16.91"/>
    <n v="6.25"/>
    <x v="645"/>
    <x v="10"/>
    <x v="3"/>
    <x v="2"/>
    <x v="0"/>
    <x v="0"/>
    <x v="624"/>
    <s v="Small Box"/>
    <n v="0.57999999999999996"/>
    <d v="2012-07-12T00:00:00"/>
    <n v="0"/>
    <n v="0"/>
    <n v="1"/>
    <n v="1"/>
  </r>
  <r>
    <n v="6457"/>
    <n v="45986"/>
    <x v="392"/>
    <x v="47"/>
    <s v="Low"/>
    <n v="20"/>
    <n v="71.069999999999993"/>
    <n v="0.08"/>
    <s v="Regular Air"/>
    <n v="-15.09"/>
    <n v="3.69"/>
    <n v="2.5"/>
    <x v="643"/>
    <x v="10"/>
    <x v="3"/>
    <x v="0"/>
    <x v="0"/>
    <x v="8"/>
    <x v="500"/>
    <s v="Small Box"/>
    <n v="0.39"/>
    <d v="2009-12-30T00:00:00"/>
    <n v="0"/>
    <n v="0"/>
    <n v="1"/>
    <n v="1"/>
  </r>
  <r>
    <n v="6584"/>
    <n v="46881"/>
    <x v="1330"/>
    <x v="19"/>
    <s v="Critical"/>
    <n v="31"/>
    <n v="176.28"/>
    <n v="7.0000000000000007E-2"/>
    <s v="Express Air"/>
    <n v="-80.30449999999999"/>
    <n v="5.18"/>
    <n v="5.74"/>
    <x v="645"/>
    <x v="10"/>
    <x v="3"/>
    <x v="2"/>
    <x v="0"/>
    <x v="2"/>
    <x v="460"/>
    <s v="Small Box"/>
    <n v="0.36"/>
    <d v="2009-10-08T00:00:00"/>
    <n v="0"/>
    <n v="0"/>
    <n v="1"/>
    <n v="1"/>
  </r>
  <r>
    <n v="6601"/>
    <n v="46979"/>
    <x v="302"/>
    <x v="29"/>
    <s v="Low"/>
    <n v="30"/>
    <n v="8718.4599999999991"/>
    <n v="0.09"/>
    <s v="Delivery Truck"/>
    <n v="1554.85"/>
    <n v="306.14"/>
    <n v="26.53"/>
    <x v="641"/>
    <x v="10"/>
    <x v="3"/>
    <x v="1"/>
    <x v="1"/>
    <x v="16"/>
    <x v="831"/>
    <s v="Jumbo Drum"/>
    <n v="0.56000000000000005"/>
    <d v="2012-07-18T00:00:00"/>
    <n v="0"/>
    <n v="0"/>
    <n v="0.5"/>
    <n v="0.25"/>
  </r>
  <r>
    <n v="6602"/>
    <n v="46979"/>
    <x v="302"/>
    <x v="29"/>
    <s v="Low"/>
    <n v="26"/>
    <n v="135.88"/>
    <n v="0.05"/>
    <s v="Regular Air"/>
    <n v="-66.02"/>
    <n v="4.9800000000000004"/>
    <n v="5.49"/>
    <x v="641"/>
    <x v="10"/>
    <x v="3"/>
    <x v="1"/>
    <x v="0"/>
    <x v="5"/>
    <x v="921"/>
    <s v="Small Box"/>
    <n v="0.38"/>
    <d v="2012-07-25T00:00:00"/>
    <n v="0"/>
    <n v="0"/>
    <n v="0.5"/>
    <n v="0.25"/>
  </r>
  <r>
    <n v="6611"/>
    <n v="47040"/>
    <x v="1005"/>
    <x v="3"/>
    <s v="High"/>
    <n v="38"/>
    <n v="487.98"/>
    <n v="0.01"/>
    <s v="Regular Air"/>
    <n v="8.1005000000000003"/>
    <n v="12.53"/>
    <n v="7.17"/>
    <x v="208"/>
    <x v="10"/>
    <x v="3"/>
    <x v="1"/>
    <x v="0"/>
    <x v="2"/>
    <x v="1030"/>
    <s v="Small Box"/>
    <n v="0.38"/>
    <d v="2010-08-17T00:00:00"/>
    <n v="0"/>
    <n v="0"/>
    <n v="1"/>
    <n v="1"/>
  </r>
  <r>
    <n v="6792"/>
    <n v="48391"/>
    <x v="576"/>
    <x v="0"/>
    <s v="Not Specified"/>
    <n v="45"/>
    <n v="254.92"/>
    <n v="0.1"/>
    <s v="Regular Air"/>
    <n v="-99.62"/>
    <n v="5.98"/>
    <n v="5.46"/>
    <x v="645"/>
    <x v="10"/>
    <x v="3"/>
    <x v="2"/>
    <x v="0"/>
    <x v="5"/>
    <x v="584"/>
    <s v="Small Box"/>
    <n v="0.36"/>
    <d v="2010-10-30T00:00:00"/>
    <n v="0"/>
    <n v="0"/>
    <n v="1"/>
    <n v="1"/>
  </r>
  <r>
    <n v="7255"/>
    <n v="51780"/>
    <x v="331"/>
    <x v="42"/>
    <s v="Low"/>
    <n v="26"/>
    <n v="1846.2"/>
    <n v="0.04"/>
    <s v="Delivery Truck"/>
    <n v="-584.92999999999995"/>
    <n v="68.81"/>
    <n v="60"/>
    <x v="208"/>
    <x v="10"/>
    <x v="3"/>
    <x v="1"/>
    <x v="0"/>
    <x v="1"/>
    <x v="459"/>
    <s v="Jumbo Drum"/>
    <n v="0.41"/>
    <d v="2010-07-26T00:00:00"/>
    <n v="0"/>
    <n v="0"/>
    <n v="0.25"/>
    <n v="0.25"/>
  </r>
  <r>
    <n v="7256"/>
    <n v="51780"/>
    <x v="331"/>
    <x v="42"/>
    <s v="Low"/>
    <n v="11"/>
    <n v="32.03"/>
    <n v="0.09"/>
    <s v="Regular Air"/>
    <n v="7.41"/>
    <n v="3.15"/>
    <n v="0.5"/>
    <x v="208"/>
    <x v="10"/>
    <x v="3"/>
    <x v="1"/>
    <x v="0"/>
    <x v="11"/>
    <x v="605"/>
    <s v="Small Box"/>
    <n v="0.37"/>
    <d v="2010-07-31T00:00:00"/>
    <n v="0"/>
    <n v="0"/>
    <n v="0.25"/>
    <n v="0.25"/>
  </r>
  <r>
    <n v="7257"/>
    <n v="51780"/>
    <x v="331"/>
    <x v="42"/>
    <s v="Low"/>
    <n v="44"/>
    <n v="185.82"/>
    <n v="0.05"/>
    <s v="Express Air"/>
    <n v="11.45"/>
    <n v="4.2"/>
    <n v="2.2599999999999998"/>
    <x v="208"/>
    <x v="10"/>
    <x v="3"/>
    <x v="1"/>
    <x v="0"/>
    <x v="5"/>
    <x v="1028"/>
    <s v="Wrap Bag"/>
    <n v="0.36"/>
    <d v="2010-07-24T00:00:00"/>
    <n v="0"/>
    <n v="0"/>
    <n v="0.25"/>
    <n v="0.25"/>
  </r>
  <r>
    <n v="7473"/>
    <n v="53350"/>
    <x v="798"/>
    <x v="41"/>
    <s v="Not Specified"/>
    <n v="24"/>
    <n v="7046.61"/>
    <n v="0.08"/>
    <s v="Regular Air"/>
    <n v="2595.1775000000002"/>
    <n v="315.98"/>
    <n v="19.989999999999998"/>
    <x v="644"/>
    <x v="10"/>
    <x v="3"/>
    <x v="3"/>
    <x v="0"/>
    <x v="2"/>
    <x v="689"/>
    <s v="Small Box"/>
    <n v="0.38"/>
    <d v="2009-06-14T00:00:00"/>
    <n v="0"/>
    <n v="0"/>
    <n v="1"/>
    <n v="1"/>
  </r>
  <r>
    <n v="7773"/>
    <n v="55648"/>
    <x v="1331"/>
    <x v="35"/>
    <s v="Critical"/>
    <n v="5"/>
    <n v="14.74"/>
    <n v="0.08"/>
    <s v="Regular Air"/>
    <n v="-2.58"/>
    <n v="2.88"/>
    <n v="0.7"/>
    <x v="639"/>
    <x v="10"/>
    <x v="3"/>
    <x v="2"/>
    <x v="0"/>
    <x v="12"/>
    <x v="705"/>
    <s v="Wrap Bag"/>
    <n v="0.56000000000000005"/>
    <d v="2009-09-12T00:00:00"/>
    <n v="0"/>
    <n v="0"/>
    <n v="1"/>
    <n v="1"/>
  </r>
  <r>
    <n v="7783"/>
    <n v="55686"/>
    <x v="1332"/>
    <x v="5"/>
    <s v="Critical"/>
    <n v="26"/>
    <n v="423.14"/>
    <n v="0.03"/>
    <s v="Regular Air"/>
    <n v="85.51"/>
    <n v="15.98"/>
    <n v="4"/>
    <x v="643"/>
    <x v="10"/>
    <x v="3"/>
    <x v="2"/>
    <x v="1"/>
    <x v="7"/>
    <x v="404"/>
    <s v="Small Box"/>
    <n v="0.37"/>
    <d v="2011-03-27T00:00:00"/>
    <n v="0"/>
    <n v="0"/>
    <n v="0.33333333333333331"/>
    <n v="0.33333333333333331"/>
  </r>
  <r>
    <n v="7784"/>
    <n v="55686"/>
    <x v="1332"/>
    <x v="5"/>
    <s v="Critical"/>
    <n v="22"/>
    <n v="628.39"/>
    <n v="0.1"/>
    <s v="Express Air"/>
    <n v="181.83"/>
    <n v="30.98"/>
    <n v="5.09"/>
    <x v="643"/>
    <x v="10"/>
    <x v="3"/>
    <x v="2"/>
    <x v="0"/>
    <x v="5"/>
    <x v="1139"/>
    <s v="Small Box"/>
    <n v="0.4"/>
    <d v="2011-03-27T00:00:00"/>
    <n v="0"/>
    <n v="0"/>
    <n v="0.33333333333333331"/>
    <n v="0.33333333333333331"/>
  </r>
  <r>
    <n v="7785"/>
    <n v="55686"/>
    <x v="1332"/>
    <x v="5"/>
    <s v="Critical"/>
    <n v="2"/>
    <n v="162.49"/>
    <n v="0.03"/>
    <s v="Regular Air"/>
    <n v="-94.83"/>
    <n v="81.319999999999993"/>
    <n v="0.99"/>
    <x v="643"/>
    <x v="10"/>
    <x v="3"/>
    <x v="2"/>
    <x v="0"/>
    <x v="1"/>
    <x v="1228"/>
    <s v="Small Box"/>
    <n v="0.56999999999999995"/>
    <d v="2011-03-28T00:00:00"/>
    <n v="0"/>
    <n v="0"/>
    <n v="0.33333333333333331"/>
    <n v="0.33333333333333331"/>
  </r>
  <r>
    <n v="7807"/>
    <n v="55847"/>
    <x v="1333"/>
    <x v="36"/>
    <s v="Not Specified"/>
    <n v="21"/>
    <n v="133.15"/>
    <n v="0.05"/>
    <s v="Regular Air"/>
    <n v="-51.427999999999997"/>
    <n v="6.28"/>
    <n v="5.36"/>
    <x v="641"/>
    <x v="10"/>
    <x v="3"/>
    <x v="1"/>
    <x v="0"/>
    <x v="2"/>
    <x v="907"/>
    <s v="Small Box"/>
    <n v="0.4"/>
    <d v="2009-07-23T00:00:00"/>
    <n v="0"/>
    <n v="0"/>
    <n v="0.5"/>
    <n v="0.5"/>
  </r>
  <r>
    <n v="7808"/>
    <n v="55847"/>
    <x v="1333"/>
    <x v="36"/>
    <s v="Not Specified"/>
    <n v="45"/>
    <n v="136.71"/>
    <n v="0.04"/>
    <s v="Regular Air"/>
    <n v="34.72"/>
    <n v="3.08"/>
    <n v="0.99"/>
    <x v="641"/>
    <x v="10"/>
    <x v="3"/>
    <x v="1"/>
    <x v="0"/>
    <x v="11"/>
    <x v="245"/>
    <s v="Small Box"/>
    <n v="0.37"/>
    <d v="2009-07-21T00:00:00"/>
    <n v="0"/>
    <n v="0"/>
    <n v="0.5"/>
    <n v="0.5"/>
  </r>
  <r>
    <n v="7843"/>
    <n v="56099"/>
    <x v="1324"/>
    <x v="0"/>
    <s v="Low"/>
    <n v="6"/>
    <n v="96.03"/>
    <n v="0.1"/>
    <s v="Regular Air"/>
    <n v="-59.39"/>
    <n v="15.7"/>
    <n v="11.25"/>
    <x v="633"/>
    <x v="10"/>
    <x v="3"/>
    <x v="2"/>
    <x v="0"/>
    <x v="0"/>
    <x v="101"/>
    <s v="Small Box"/>
    <n v="0.6"/>
    <d v="2010-10-12T00:00:00"/>
    <n v="0"/>
    <n v="0"/>
    <n v="0.5"/>
    <n v="0.5"/>
  </r>
  <r>
    <n v="7859"/>
    <n v="56197"/>
    <x v="1051"/>
    <x v="43"/>
    <s v="High"/>
    <n v="11"/>
    <n v="28.63"/>
    <n v="0.09"/>
    <s v="Express Air"/>
    <n v="-21.17"/>
    <n v="1.74"/>
    <n v="4.08"/>
    <x v="641"/>
    <x v="10"/>
    <x v="3"/>
    <x v="1"/>
    <x v="2"/>
    <x v="4"/>
    <x v="331"/>
    <s v="Small Pack"/>
    <n v="0.53"/>
    <d v="2009-05-13T00:00:00"/>
    <n v="0"/>
    <n v="0"/>
    <n v="0.5"/>
    <n v="0.5"/>
  </r>
  <r>
    <n v="7860"/>
    <n v="56197"/>
    <x v="1051"/>
    <x v="43"/>
    <s v="High"/>
    <n v="45"/>
    <n v="8014.6240000000007"/>
    <n v="0.08"/>
    <s v="Delivery Truck"/>
    <n v="1366.1"/>
    <n v="227.55"/>
    <n v="32.479999999999997"/>
    <x v="641"/>
    <x v="10"/>
    <x v="3"/>
    <x v="1"/>
    <x v="2"/>
    <x v="10"/>
    <x v="1110"/>
    <s v="Jumbo Box"/>
    <n v="0.68"/>
    <d v="2009-05-11T00:00:00"/>
    <n v="0"/>
    <n v="0"/>
    <n v="0.5"/>
    <n v="0.5"/>
  </r>
  <r>
    <n v="7905"/>
    <n v="56548"/>
    <x v="406"/>
    <x v="34"/>
    <s v="Medium"/>
    <n v="7"/>
    <n v="1339.0240000000001"/>
    <n v="0.03"/>
    <s v="Delivery Truck"/>
    <n v="-211.51"/>
    <n v="218.75"/>
    <n v="69.64"/>
    <x v="643"/>
    <x v="10"/>
    <x v="3"/>
    <x v="0"/>
    <x v="2"/>
    <x v="10"/>
    <x v="146"/>
    <s v="Jumbo Box"/>
    <n v="0.77"/>
    <d v="2012-09-07T00:00:00"/>
    <n v="0"/>
    <n v="0"/>
    <n v="1"/>
    <n v="1"/>
  </r>
  <r>
    <n v="8291"/>
    <n v="59232"/>
    <x v="272"/>
    <x v="22"/>
    <s v="High"/>
    <n v="23"/>
    <n v="725.43"/>
    <n v="0"/>
    <s v="Regular Air"/>
    <n v="245.97"/>
    <n v="30.98"/>
    <n v="5.76"/>
    <x v="189"/>
    <x v="10"/>
    <x v="3"/>
    <x v="3"/>
    <x v="0"/>
    <x v="5"/>
    <x v="37"/>
    <s v="Small Box"/>
    <n v="0.4"/>
    <d v="2009-01-07T00:00:00"/>
    <n v="0"/>
    <n v="1"/>
    <n v="1"/>
    <n v="1"/>
  </r>
  <r>
    <n v="8390"/>
    <n v="59939"/>
    <x v="247"/>
    <x v="18"/>
    <s v="Medium"/>
    <n v="42"/>
    <n v="130.96"/>
    <n v="0.05"/>
    <s v="Regular Air"/>
    <n v="-66.739999999999995"/>
    <n v="3.14"/>
    <n v="1.92"/>
    <x v="642"/>
    <x v="10"/>
    <x v="3"/>
    <x v="0"/>
    <x v="0"/>
    <x v="15"/>
    <x v="546"/>
    <s v="Wrap Bag"/>
    <n v="0.84"/>
    <d v="2010-09-01T00:00:00"/>
    <n v="0"/>
    <n v="0"/>
    <n v="1"/>
    <n v="1"/>
  </r>
  <r>
    <n v="8398"/>
    <n v="59973"/>
    <x v="534"/>
    <x v="27"/>
    <s v="Low"/>
    <n v="29"/>
    <n v="11039.75"/>
    <n v="0.06"/>
    <s v="Delivery Truck"/>
    <n v="2148.9699999999998"/>
    <n v="400.97"/>
    <n v="14.7"/>
    <x v="643"/>
    <x v="10"/>
    <x v="3"/>
    <x v="0"/>
    <x v="1"/>
    <x v="16"/>
    <x v="1196"/>
    <s v="Jumbo Drum"/>
    <n v="0.59"/>
    <d v="2011-11-15T00:00:00"/>
    <n v="0"/>
    <n v="0"/>
    <n v="0.5"/>
    <n v="0.5"/>
  </r>
  <r>
    <n v="8399"/>
    <n v="59973"/>
    <x v="534"/>
    <x v="27"/>
    <s v="Low"/>
    <n v="30"/>
    <n v="4982.9440000000004"/>
    <n v="7.0000000000000007E-2"/>
    <s v="Delivery Truck"/>
    <n v="693.69"/>
    <n v="217.85"/>
    <n v="29.1"/>
    <x v="643"/>
    <x v="10"/>
    <x v="3"/>
    <x v="0"/>
    <x v="2"/>
    <x v="10"/>
    <x v="905"/>
    <s v="Jumbo Box"/>
    <n v="0.68"/>
    <d v="2011-11-19T00:00:00"/>
    <n v="0"/>
    <n v="0"/>
    <n v="0.5"/>
    <n v="0.5"/>
  </r>
  <r>
    <n v="370"/>
    <n v="2563"/>
    <x v="926"/>
    <x v="7"/>
    <s v="Not Specified"/>
    <n v="12"/>
    <n v="31.77"/>
    <n v="0.04"/>
    <s v="Regular Air"/>
    <n v="8.34"/>
    <n v="2.61"/>
    <n v="0.5"/>
    <x v="472"/>
    <x v="10"/>
    <x v="3"/>
    <x v="0"/>
    <x v="0"/>
    <x v="11"/>
    <x v="281"/>
    <s v="Small Box"/>
    <n v="0.39"/>
    <d v="2010-11-19T00:00:00"/>
    <n v="0"/>
    <n v="0"/>
    <n v="0.5"/>
    <n v="0.33333333333333331"/>
  </r>
  <r>
    <n v="371"/>
    <n v="2563"/>
    <x v="926"/>
    <x v="7"/>
    <s v="Not Specified"/>
    <n v="33"/>
    <n v="208.05"/>
    <n v="0.01"/>
    <s v="Regular Air"/>
    <n v="46.01"/>
    <n v="5.98"/>
    <n v="0.96"/>
    <x v="472"/>
    <x v="10"/>
    <x v="3"/>
    <x v="0"/>
    <x v="0"/>
    <x v="12"/>
    <x v="582"/>
    <s v="Wrap Bag"/>
    <n v="0.6"/>
    <d v="2010-11-19T00:00:00"/>
    <n v="0"/>
    <n v="0"/>
    <n v="0.5"/>
    <n v="0.33333333333333331"/>
  </r>
  <r>
    <n v="408"/>
    <n v="2759"/>
    <x v="195"/>
    <x v="7"/>
    <s v="Not Specified"/>
    <n v="25"/>
    <n v="827.47"/>
    <n v="0"/>
    <s v="Regular Air"/>
    <n v="45.37"/>
    <n v="30.98"/>
    <n v="6.5"/>
    <x v="472"/>
    <x v="10"/>
    <x v="3"/>
    <x v="0"/>
    <x v="1"/>
    <x v="7"/>
    <x v="455"/>
    <s v="Small Box"/>
    <n v="0.64"/>
    <d v="2010-11-26T00:00:00"/>
    <n v="0"/>
    <n v="0"/>
    <n v="1"/>
    <n v="0.33333333333333331"/>
  </r>
  <r>
    <n v="748"/>
    <n v="5350"/>
    <x v="639"/>
    <x v="0"/>
    <s v="Low"/>
    <n v="50"/>
    <n v="7017.42"/>
    <n v="0.08"/>
    <s v="Regular Air"/>
    <n v="595.20000000000005"/>
    <n v="140.85"/>
    <n v="19.989999999999998"/>
    <x v="647"/>
    <x v="10"/>
    <x v="3"/>
    <x v="1"/>
    <x v="0"/>
    <x v="0"/>
    <x v="405"/>
    <s v="Small Box"/>
    <n v="0.73"/>
    <d v="2010-10-16T00:00:00"/>
    <n v="0"/>
    <n v="0"/>
    <n v="0.5"/>
    <n v="0.5"/>
  </r>
  <r>
    <n v="1361"/>
    <n v="9922"/>
    <x v="479"/>
    <x v="37"/>
    <s v="Not Specified"/>
    <n v="26"/>
    <n v="1075.9100000000001"/>
    <n v="0.03"/>
    <s v="Regular Air"/>
    <n v="34.42"/>
    <n v="39.979999999999997"/>
    <n v="7.12"/>
    <x v="158"/>
    <x v="10"/>
    <x v="3"/>
    <x v="1"/>
    <x v="1"/>
    <x v="7"/>
    <x v="830"/>
    <s v="Small Box"/>
    <n v="0.67"/>
    <d v="2011-04-04T00:00:00"/>
    <n v="0"/>
    <n v="0"/>
    <n v="0.33333333333333331"/>
    <n v="0.14285714285714285"/>
  </r>
  <r>
    <n v="1362"/>
    <n v="9922"/>
    <x v="479"/>
    <x v="37"/>
    <s v="Not Specified"/>
    <n v="21"/>
    <n v="1176.8589999999999"/>
    <n v="0.03"/>
    <s v="Regular Air"/>
    <n v="137.86199999999999"/>
    <n v="65.989999999999995"/>
    <n v="3.99"/>
    <x v="158"/>
    <x v="10"/>
    <x v="3"/>
    <x v="1"/>
    <x v="1"/>
    <x v="3"/>
    <x v="440"/>
    <s v="Small Box"/>
    <n v="0.59"/>
    <d v="2011-04-04T00:00:00"/>
    <n v="0"/>
    <n v="0"/>
    <n v="0.33333333333333331"/>
    <n v="0.14285714285714285"/>
  </r>
  <r>
    <n v="1627"/>
    <n v="11777"/>
    <x v="392"/>
    <x v="47"/>
    <s v="Low"/>
    <n v="39"/>
    <n v="651.45000000000005"/>
    <n v="7.0000000000000007E-2"/>
    <s v="Regular Air"/>
    <n v="-160.56"/>
    <n v="17.7"/>
    <n v="9.4700000000000006"/>
    <x v="158"/>
    <x v="10"/>
    <x v="3"/>
    <x v="1"/>
    <x v="0"/>
    <x v="0"/>
    <x v="1046"/>
    <s v="Small Box"/>
    <n v="0.59"/>
    <d v="2010-01-01T00:00:00"/>
    <n v="0"/>
    <n v="0"/>
    <n v="1"/>
    <n v="1"/>
  </r>
  <r>
    <n v="1728"/>
    <n v="12420"/>
    <x v="1159"/>
    <x v="15"/>
    <s v="Medium"/>
    <n v="34"/>
    <n v="536.25"/>
    <n v="0.06"/>
    <s v="Express Air"/>
    <n v="-166.75"/>
    <n v="15.99"/>
    <n v="13.18"/>
    <x v="648"/>
    <x v="10"/>
    <x v="3"/>
    <x v="3"/>
    <x v="0"/>
    <x v="2"/>
    <x v="22"/>
    <s v="Small Box"/>
    <n v="0.37"/>
    <d v="2010-12-26T00:00:00"/>
    <n v="0"/>
    <n v="0"/>
    <n v="0.5"/>
    <n v="0.5"/>
  </r>
  <r>
    <n v="1729"/>
    <n v="12420"/>
    <x v="1159"/>
    <x v="15"/>
    <s v="Medium"/>
    <n v="1"/>
    <n v="5.73"/>
    <n v="0.01"/>
    <s v="Regular Air"/>
    <n v="-1.84"/>
    <n v="4.9800000000000004"/>
    <n v="0.8"/>
    <x v="648"/>
    <x v="10"/>
    <x v="3"/>
    <x v="3"/>
    <x v="0"/>
    <x v="5"/>
    <x v="657"/>
    <s v="Wrap Bag"/>
    <n v="0.36"/>
    <d v="2010-12-27T00:00:00"/>
    <n v="0"/>
    <n v="0"/>
    <n v="0.5"/>
    <n v="0.5"/>
  </r>
  <r>
    <n v="1757"/>
    <n v="12611"/>
    <x v="76"/>
    <x v="17"/>
    <s v="Medium"/>
    <n v="13"/>
    <n v="189.99"/>
    <n v="0.03"/>
    <s v="Express Air"/>
    <n v="72.819500000000005"/>
    <n v="12.97"/>
    <n v="1.49"/>
    <x v="649"/>
    <x v="10"/>
    <x v="3"/>
    <x v="3"/>
    <x v="0"/>
    <x v="2"/>
    <x v="941"/>
    <s v="Small Box"/>
    <n v="0.35"/>
    <d v="2011-10-17T00:00:00"/>
    <n v="0"/>
    <n v="0"/>
    <n v="1"/>
    <n v="1"/>
  </r>
  <r>
    <n v="1769"/>
    <n v="12676"/>
    <x v="44"/>
    <x v="22"/>
    <s v="High"/>
    <n v="25"/>
    <n v="201.06"/>
    <n v="0.08"/>
    <s v="Express Air"/>
    <n v="-80.86"/>
    <n v="8.09"/>
    <n v="7.96"/>
    <x v="650"/>
    <x v="10"/>
    <x v="3"/>
    <x v="3"/>
    <x v="2"/>
    <x v="4"/>
    <x v="1172"/>
    <s v="Small Box"/>
    <n v="0.49"/>
    <d v="2009-01-16T00:00:00"/>
    <n v="0"/>
    <n v="1"/>
    <n v="1"/>
    <n v="1"/>
  </r>
  <r>
    <n v="1798"/>
    <n v="12871"/>
    <x v="1188"/>
    <x v="17"/>
    <s v="Not Specified"/>
    <n v="46"/>
    <n v="459.26"/>
    <n v="0.08"/>
    <s v="Regular Air"/>
    <n v="-54.12"/>
    <n v="10.23"/>
    <n v="4.68"/>
    <x v="403"/>
    <x v="10"/>
    <x v="3"/>
    <x v="0"/>
    <x v="0"/>
    <x v="15"/>
    <x v="804"/>
    <s v="Small Pack"/>
    <n v="0.59"/>
    <d v="2011-10-06T00:00:00"/>
    <n v="0"/>
    <n v="0"/>
    <n v="1"/>
    <n v="1"/>
  </r>
  <r>
    <n v="2103"/>
    <n v="15040"/>
    <x v="881"/>
    <x v="47"/>
    <s v="Low"/>
    <n v="48"/>
    <n v="410.35"/>
    <n v="0.1"/>
    <s v="Express Air"/>
    <n v="114.02"/>
    <n v="9.11"/>
    <n v="2.15"/>
    <x v="647"/>
    <x v="10"/>
    <x v="3"/>
    <x v="1"/>
    <x v="0"/>
    <x v="5"/>
    <x v="1024"/>
    <s v="Wrap Bag"/>
    <n v="0.4"/>
    <d v="2009-12-08T00:00:00"/>
    <n v="0"/>
    <n v="0"/>
    <n v="1"/>
    <n v="1"/>
  </r>
  <r>
    <n v="2159"/>
    <n v="15491"/>
    <x v="1125"/>
    <x v="23"/>
    <s v="Medium"/>
    <n v="5"/>
    <n v="901.37400000000002"/>
    <n v="0.01"/>
    <s v="Regular Air"/>
    <n v="-648.64799999999991"/>
    <n v="205.99"/>
    <n v="2.5"/>
    <x v="403"/>
    <x v="10"/>
    <x v="3"/>
    <x v="0"/>
    <x v="1"/>
    <x v="3"/>
    <x v="1038"/>
    <s v="Small Box"/>
    <n v="0.59"/>
    <d v="2012-01-18T00:00:00"/>
    <n v="0"/>
    <n v="0"/>
    <n v="1"/>
    <n v="0.5"/>
  </r>
  <r>
    <n v="2359"/>
    <n v="17028"/>
    <x v="225"/>
    <x v="19"/>
    <s v="High"/>
    <n v="19"/>
    <n v="513.5"/>
    <n v="0.02"/>
    <s v="Regular Air"/>
    <n v="82.96"/>
    <n v="25.99"/>
    <n v="5.37"/>
    <x v="650"/>
    <x v="10"/>
    <x v="3"/>
    <x v="3"/>
    <x v="0"/>
    <x v="12"/>
    <x v="1076"/>
    <s v="Small Box"/>
    <n v="0.56000000000000005"/>
    <d v="2009-10-17T00:00:00"/>
    <n v="0"/>
    <n v="0"/>
    <n v="1"/>
    <n v="0.33333333333333331"/>
  </r>
  <r>
    <n v="2458"/>
    <n v="17859"/>
    <x v="1108"/>
    <x v="39"/>
    <s v="Critical"/>
    <n v="7"/>
    <n v="182.89"/>
    <n v="7.0000000000000007E-2"/>
    <s v="Regular Air"/>
    <n v="-99.3"/>
    <n v="27.48"/>
    <n v="4"/>
    <x v="158"/>
    <x v="10"/>
    <x v="3"/>
    <x v="1"/>
    <x v="1"/>
    <x v="7"/>
    <x v="593"/>
    <s v="Small Box"/>
    <n v="0.75"/>
    <d v="2010-05-28T00:00:00"/>
    <n v="0"/>
    <n v="0"/>
    <n v="1"/>
    <n v="0.33333333333333331"/>
  </r>
  <r>
    <n v="2524"/>
    <n v="18340"/>
    <x v="4"/>
    <x v="4"/>
    <s v="Medium"/>
    <n v="20"/>
    <n v="148.65"/>
    <n v="0.1"/>
    <s v="Express Air"/>
    <n v="-142.78"/>
    <n v="7.28"/>
    <n v="11.15"/>
    <x v="158"/>
    <x v="10"/>
    <x v="3"/>
    <x v="1"/>
    <x v="0"/>
    <x v="5"/>
    <x v="517"/>
    <s v="Small Box"/>
    <n v="0.37"/>
    <d v="2011-06-18T00:00:00"/>
    <n v="0"/>
    <n v="0"/>
    <n v="0.5"/>
    <n v="0.25"/>
  </r>
  <r>
    <n v="2525"/>
    <n v="18340"/>
    <x v="4"/>
    <x v="4"/>
    <s v="Medium"/>
    <n v="28"/>
    <n v="198.21"/>
    <n v="0.01"/>
    <s v="Express Air"/>
    <n v="-163.28"/>
    <n v="6.48"/>
    <n v="10.050000000000001"/>
    <x v="158"/>
    <x v="10"/>
    <x v="3"/>
    <x v="1"/>
    <x v="0"/>
    <x v="5"/>
    <x v="680"/>
    <s v="Small Box"/>
    <n v="0.37"/>
    <d v="2011-06-18T00:00:00"/>
    <n v="0"/>
    <n v="0"/>
    <n v="0.5"/>
    <n v="0.25"/>
  </r>
  <r>
    <n v="2866"/>
    <n v="20704"/>
    <x v="813"/>
    <x v="6"/>
    <s v="Low"/>
    <n v="1"/>
    <n v="5.63"/>
    <n v="0.03"/>
    <s v="Regular Air"/>
    <n v="-3.55"/>
    <n v="4.71"/>
    <n v="0.7"/>
    <x v="649"/>
    <x v="10"/>
    <x v="3"/>
    <x v="3"/>
    <x v="0"/>
    <x v="6"/>
    <x v="21"/>
    <s v="Wrap Bag"/>
    <n v="0.8"/>
    <d v="2010-02-10T00:00:00"/>
    <n v="0"/>
    <n v="0"/>
    <n v="0.33333333333333331"/>
    <n v="0.33333333333333331"/>
  </r>
  <r>
    <n v="2867"/>
    <n v="20704"/>
    <x v="813"/>
    <x v="6"/>
    <s v="Low"/>
    <n v="5"/>
    <n v="16.48"/>
    <n v="0.06"/>
    <s v="Regular Air"/>
    <n v="-0.33"/>
    <n v="3.08"/>
    <n v="0.99"/>
    <x v="649"/>
    <x v="10"/>
    <x v="3"/>
    <x v="3"/>
    <x v="0"/>
    <x v="11"/>
    <x v="245"/>
    <s v="Small Box"/>
    <n v="0.37"/>
    <d v="2010-02-15T00:00:00"/>
    <n v="0"/>
    <n v="0"/>
    <n v="0.33333333333333331"/>
    <n v="0.33333333333333331"/>
  </r>
  <r>
    <n v="2868"/>
    <n v="20704"/>
    <x v="813"/>
    <x v="6"/>
    <s v="Low"/>
    <n v="38"/>
    <n v="15655.24"/>
    <n v="0.09"/>
    <s v="Regular Air"/>
    <n v="4818.29"/>
    <n v="419.19"/>
    <n v="19.989999999999998"/>
    <x v="649"/>
    <x v="10"/>
    <x v="3"/>
    <x v="3"/>
    <x v="0"/>
    <x v="0"/>
    <x v="1127"/>
    <s v="Small Box"/>
    <n v="0.57999999999999996"/>
    <d v="2010-02-15T00:00:00"/>
    <n v="0"/>
    <n v="0"/>
    <n v="0.33333333333333331"/>
    <n v="0.33333333333333331"/>
  </r>
  <r>
    <n v="2972"/>
    <n v="21477"/>
    <x v="345"/>
    <x v="10"/>
    <s v="Low"/>
    <n v="7"/>
    <n v="189.73"/>
    <n v="0.01"/>
    <s v="Regular Air"/>
    <n v="43.171500000000002"/>
    <n v="24.95"/>
    <n v="2.99"/>
    <x v="650"/>
    <x v="10"/>
    <x v="3"/>
    <x v="3"/>
    <x v="0"/>
    <x v="2"/>
    <x v="1013"/>
    <s v="Small Box"/>
    <n v="0.39"/>
    <d v="2011-05-21T00:00:00"/>
    <n v="0"/>
    <n v="0"/>
    <n v="0.5"/>
    <n v="0.5"/>
  </r>
  <r>
    <n v="2973"/>
    <n v="21477"/>
    <x v="345"/>
    <x v="10"/>
    <s v="Low"/>
    <n v="40"/>
    <n v="278.8"/>
    <n v="0.06"/>
    <s v="Regular Air"/>
    <n v="77.709999999999994"/>
    <n v="6.88"/>
    <n v="2"/>
    <x v="650"/>
    <x v="10"/>
    <x v="3"/>
    <x v="3"/>
    <x v="0"/>
    <x v="5"/>
    <x v="810"/>
    <s v="Wrap Bag"/>
    <n v="0.39"/>
    <d v="2011-05-23T00:00:00"/>
    <n v="0"/>
    <n v="0"/>
    <n v="0.5"/>
    <n v="0.5"/>
  </r>
  <r>
    <n v="2993"/>
    <n v="21602"/>
    <x v="370"/>
    <x v="36"/>
    <s v="Critical"/>
    <n v="6"/>
    <n v="2170.61"/>
    <n v="0.01"/>
    <s v="Delivery Truck"/>
    <n v="-62.29"/>
    <n v="348.21"/>
    <n v="40.19"/>
    <x v="158"/>
    <x v="10"/>
    <x v="3"/>
    <x v="0"/>
    <x v="2"/>
    <x v="10"/>
    <x v="453"/>
    <s v="Jumbo Box"/>
    <n v="0.62"/>
    <d v="2009-07-04T00:00:00"/>
    <n v="0"/>
    <n v="0"/>
    <n v="1"/>
    <n v="1"/>
  </r>
  <r>
    <n v="3616"/>
    <n v="25828"/>
    <x v="7"/>
    <x v="7"/>
    <s v="Not Specified"/>
    <n v="29"/>
    <n v="163.04"/>
    <n v="0.08"/>
    <s v="Regular Air"/>
    <n v="58"/>
    <n v="5.84"/>
    <n v="1"/>
    <x v="403"/>
    <x v="10"/>
    <x v="3"/>
    <x v="0"/>
    <x v="0"/>
    <x v="12"/>
    <x v="867"/>
    <s v="Wrap Bag"/>
    <n v="0.38"/>
    <d v="2010-11-24T00:00:00"/>
    <n v="0"/>
    <n v="0"/>
    <n v="0.33333333333333331"/>
    <n v="0.33333333333333331"/>
  </r>
  <r>
    <n v="3617"/>
    <n v="25828"/>
    <x v="7"/>
    <x v="7"/>
    <s v="Not Specified"/>
    <n v="31"/>
    <n v="9041.26"/>
    <n v="0.01"/>
    <s v="Delivery Truck"/>
    <n v="-383.03"/>
    <n v="286.85000000000002"/>
    <n v="61.76"/>
    <x v="403"/>
    <x v="10"/>
    <x v="3"/>
    <x v="0"/>
    <x v="2"/>
    <x v="10"/>
    <x v="832"/>
    <s v="Jumbo Box"/>
    <n v="0.78"/>
    <d v="2010-11-23T00:00:00"/>
    <n v="0"/>
    <n v="0"/>
    <n v="0.33333333333333331"/>
    <n v="0.33333333333333331"/>
  </r>
  <r>
    <n v="3746"/>
    <n v="26758"/>
    <x v="989"/>
    <x v="43"/>
    <s v="Not Specified"/>
    <n v="46"/>
    <n v="3519.12"/>
    <n v="0.09"/>
    <s v="Express Air"/>
    <n v="315.33"/>
    <n v="77.510000000000005"/>
    <n v="4"/>
    <x v="649"/>
    <x v="10"/>
    <x v="3"/>
    <x v="3"/>
    <x v="1"/>
    <x v="7"/>
    <x v="851"/>
    <s v="Small Box"/>
    <n v="0.76"/>
    <d v="2009-05-25T00:00:00"/>
    <n v="0"/>
    <n v="0"/>
    <n v="0.5"/>
    <n v="0.5"/>
  </r>
  <r>
    <n v="3747"/>
    <n v="26758"/>
    <x v="989"/>
    <x v="43"/>
    <s v="Not Specified"/>
    <n v="37"/>
    <n v="108.33"/>
    <n v="0"/>
    <s v="Regular Air"/>
    <n v="17"/>
    <n v="2.88"/>
    <n v="0.7"/>
    <x v="649"/>
    <x v="10"/>
    <x v="3"/>
    <x v="3"/>
    <x v="0"/>
    <x v="12"/>
    <x v="808"/>
    <s v="Wrap Bag"/>
    <n v="0.56000000000000005"/>
    <d v="2009-05-25T00:00:00"/>
    <n v="0"/>
    <n v="0"/>
    <n v="0.5"/>
    <n v="0.5"/>
  </r>
  <r>
    <n v="3966"/>
    <n v="28291"/>
    <x v="59"/>
    <x v="28"/>
    <s v="Critical"/>
    <n v="14"/>
    <n v="3950.6"/>
    <n v="0.02"/>
    <s v="Delivery Truck"/>
    <n v="-477.66"/>
    <n v="280.98"/>
    <n v="57"/>
    <x v="647"/>
    <x v="10"/>
    <x v="3"/>
    <x v="1"/>
    <x v="2"/>
    <x v="14"/>
    <x v="544"/>
    <s v="Jumbo Drum"/>
    <n v="0.78"/>
    <d v="2009-03-05T00:00:00"/>
    <n v="0"/>
    <n v="0"/>
    <n v="1"/>
    <n v="1"/>
  </r>
  <r>
    <n v="3986"/>
    <n v="28455"/>
    <x v="737"/>
    <x v="39"/>
    <s v="Medium"/>
    <n v="12"/>
    <n v="254.12"/>
    <n v="0.06"/>
    <s v="Regular Air"/>
    <n v="-64.97"/>
    <n v="20.95"/>
    <n v="5.99"/>
    <x v="158"/>
    <x v="10"/>
    <x v="3"/>
    <x v="0"/>
    <x v="1"/>
    <x v="7"/>
    <x v="124"/>
    <s v="Small Box"/>
    <n v="0.65"/>
    <d v="2010-06-01T00:00:00"/>
    <n v="0"/>
    <n v="0"/>
    <n v="0.5"/>
    <n v="0.33333333333333331"/>
  </r>
  <r>
    <n v="3987"/>
    <n v="28455"/>
    <x v="737"/>
    <x v="39"/>
    <s v="Medium"/>
    <n v="37"/>
    <n v="767.04"/>
    <n v="0.02"/>
    <s v="Regular Air"/>
    <n v="238.84"/>
    <n v="20.89"/>
    <n v="1.99"/>
    <x v="158"/>
    <x v="10"/>
    <x v="3"/>
    <x v="0"/>
    <x v="1"/>
    <x v="7"/>
    <x v="187"/>
    <s v="Small Pack"/>
    <n v="0.48"/>
    <d v="2010-05-31T00:00:00"/>
    <n v="0"/>
    <n v="0"/>
    <n v="0.5"/>
    <n v="0.33333333333333331"/>
  </r>
  <r>
    <n v="4069"/>
    <n v="28963"/>
    <x v="337"/>
    <x v="25"/>
    <s v="Not Specified"/>
    <n v="37"/>
    <n v="6072.1875"/>
    <n v="0.09"/>
    <s v="Regular Air"/>
    <n v="1372.086"/>
    <n v="205.99"/>
    <n v="2.5"/>
    <x v="648"/>
    <x v="10"/>
    <x v="3"/>
    <x v="3"/>
    <x v="1"/>
    <x v="3"/>
    <x v="1038"/>
    <s v="Small Box"/>
    <n v="0.59"/>
    <d v="2011-12-06T00:00:00"/>
    <n v="0"/>
    <n v="0"/>
    <n v="1"/>
    <n v="1"/>
  </r>
  <r>
    <n v="4100"/>
    <n v="29216"/>
    <x v="508"/>
    <x v="45"/>
    <s v="Critical"/>
    <n v="46"/>
    <n v="1936.45"/>
    <n v="0.1"/>
    <s v="Regular Air"/>
    <n v="307.17"/>
    <n v="43.22"/>
    <n v="4"/>
    <x v="650"/>
    <x v="10"/>
    <x v="3"/>
    <x v="3"/>
    <x v="1"/>
    <x v="7"/>
    <x v="710"/>
    <s v="Small Box"/>
    <n v="0.64"/>
    <d v="2012-12-30T00:00:00"/>
    <n v="0"/>
    <n v="0"/>
    <n v="0.5"/>
    <n v="0.5"/>
  </r>
  <r>
    <n v="4101"/>
    <n v="29216"/>
    <x v="508"/>
    <x v="45"/>
    <s v="Critical"/>
    <n v="17"/>
    <n v="3711.04"/>
    <n v="0.04"/>
    <s v="Delivery Truck"/>
    <n v="-773.78"/>
    <n v="218.75"/>
    <n v="69.64"/>
    <x v="650"/>
    <x v="10"/>
    <x v="3"/>
    <x v="3"/>
    <x v="2"/>
    <x v="10"/>
    <x v="146"/>
    <s v="Jumbo Box"/>
    <n v="0.77"/>
    <d v="2012-12-30T00:00:00"/>
    <n v="0"/>
    <n v="0"/>
    <n v="0.5"/>
    <n v="0.5"/>
  </r>
  <r>
    <n v="4274"/>
    <n v="30405"/>
    <x v="1231"/>
    <x v="13"/>
    <s v="Low"/>
    <n v="7"/>
    <n v="2789.03"/>
    <n v="0.05"/>
    <s v="Delivery Truck"/>
    <n v="-303.44"/>
    <n v="400.98"/>
    <n v="42.52"/>
    <x v="649"/>
    <x v="10"/>
    <x v="3"/>
    <x v="3"/>
    <x v="2"/>
    <x v="10"/>
    <x v="861"/>
    <s v="Jumbo Box"/>
    <n v="0.71"/>
    <d v="2012-05-03T00:00:00"/>
    <n v="0"/>
    <n v="0"/>
    <n v="1"/>
    <n v="1"/>
  </r>
  <r>
    <n v="4348"/>
    <n v="30976"/>
    <x v="1240"/>
    <x v="1"/>
    <s v="High"/>
    <n v="10"/>
    <n v="403.88"/>
    <n v="7.0000000000000007E-2"/>
    <s v="Regular Air"/>
    <n v="48.03"/>
    <n v="40.97"/>
    <n v="1.99"/>
    <x v="158"/>
    <x v="10"/>
    <x v="3"/>
    <x v="0"/>
    <x v="1"/>
    <x v="7"/>
    <x v="1066"/>
    <s v="Small Pack"/>
    <n v="0.42"/>
    <d v="2012-10-24T00:00:00"/>
    <n v="0"/>
    <n v="0"/>
    <n v="1"/>
    <n v="0.33333333333333331"/>
  </r>
  <r>
    <n v="4667"/>
    <n v="33220"/>
    <x v="1169"/>
    <x v="46"/>
    <s v="Not Specified"/>
    <n v="49"/>
    <n v="3291.13"/>
    <n v="0.09"/>
    <s v="Regular Air"/>
    <n v="925.95"/>
    <n v="70.97"/>
    <n v="3.5"/>
    <x v="647"/>
    <x v="10"/>
    <x v="3"/>
    <x v="1"/>
    <x v="0"/>
    <x v="1"/>
    <x v="1023"/>
    <s v="Small Box"/>
    <n v="0.59"/>
    <d v="2009-04-15T00:00:00"/>
    <n v="0"/>
    <n v="0"/>
    <n v="0.5"/>
    <n v="0.5"/>
  </r>
  <r>
    <n v="4668"/>
    <n v="33220"/>
    <x v="1169"/>
    <x v="46"/>
    <s v="Not Specified"/>
    <n v="40"/>
    <n v="736.96"/>
    <n v="0.1"/>
    <s v="Regular Air"/>
    <n v="-34.29"/>
    <n v="19.98"/>
    <n v="10.49"/>
    <x v="647"/>
    <x v="10"/>
    <x v="3"/>
    <x v="1"/>
    <x v="2"/>
    <x v="4"/>
    <x v="66"/>
    <s v="Small Box"/>
    <n v="0.49"/>
    <d v="2009-04-18T00:00:00"/>
    <n v="0"/>
    <n v="0"/>
    <n v="0.5"/>
    <n v="0.5"/>
  </r>
  <r>
    <n v="4736"/>
    <n v="33701"/>
    <x v="278"/>
    <x v="19"/>
    <s v="Medium"/>
    <n v="35"/>
    <n v="2333.06"/>
    <n v="0.08"/>
    <s v="Express Air"/>
    <n v="473.39049999999997"/>
    <n v="67.28"/>
    <n v="19.989999999999998"/>
    <x v="647"/>
    <x v="10"/>
    <x v="3"/>
    <x v="1"/>
    <x v="0"/>
    <x v="2"/>
    <x v="490"/>
    <s v="Small Box"/>
    <n v="0.4"/>
    <d v="2009-10-03T00:00:00"/>
    <n v="0"/>
    <n v="0"/>
    <n v="1"/>
    <n v="1"/>
  </r>
  <r>
    <n v="4752"/>
    <n v="33793"/>
    <x v="102"/>
    <x v="8"/>
    <s v="Critical"/>
    <n v="17"/>
    <n v="267.58"/>
    <n v="0.03"/>
    <s v="Regular Air"/>
    <n v="-137.74700000000001"/>
    <n v="15.16"/>
    <n v="15.09"/>
    <x v="648"/>
    <x v="10"/>
    <x v="3"/>
    <x v="3"/>
    <x v="0"/>
    <x v="2"/>
    <x v="1142"/>
    <s v="Small Box"/>
    <n v="0.39"/>
    <d v="2012-06-28T00:00:00"/>
    <n v="0"/>
    <n v="0"/>
    <n v="1"/>
    <n v="1"/>
  </r>
  <r>
    <n v="4850"/>
    <n v="34499"/>
    <x v="1095"/>
    <x v="42"/>
    <s v="Medium"/>
    <n v="2"/>
    <n v="555.67999999999995"/>
    <n v="0.01"/>
    <s v="Delivery Truck"/>
    <n v="-336.3"/>
    <n v="243.98"/>
    <n v="62.94"/>
    <x v="648"/>
    <x v="10"/>
    <x v="3"/>
    <x v="3"/>
    <x v="2"/>
    <x v="14"/>
    <x v="1152"/>
    <s v="Jumbo Drum"/>
    <n v="0.56999999999999995"/>
    <d v="2010-07-19T00:00:00"/>
    <n v="0"/>
    <n v="0"/>
    <n v="1"/>
    <n v="1"/>
  </r>
  <r>
    <n v="4920"/>
    <n v="35040"/>
    <x v="551"/>
    <x v="13"/>
    <s v="Not Specified"/>
    <n v="44"/>
    <n v="486.63"/>
    <n v="0.03"/>
    <s v="Regular Air"/>
    <n v="-146.37"/>
    <n v="10.9"/>
    <n v="7.46"/>
    <x v="158"/>
    <x v="10"/>
    <x v="3"/>
    <x v="3"/>
    <x v="0"/>
    <x v="0"/>
    <x v="63"/>
    <s v="Small Box"/>
    <n v="0.59"/>
    <d v="2012-04-21T00:00:00"/>
    <n v="0"/>
    <n v="0"/>
    <n v="1"/>
    <n v="1"/>
  </r>
  <r>
    <n v="4951"/>
    <n v="35238"/>
    <x v="1087"/>
    <x v="37"/>
    <s v="Low"/>
    <n v="27"/>
    <n v="1403.0269999999998"/>
    <n v="0.1"/>
    <s v="Express Air"/>
    <n v="153.80099999999999"/>
    <n v="65.989999999999995"/>
    <n v="5.63"/>
    <x v="158"/>
    <x v="10"/>
    <x v="3"/>
    <x v="0"/>
    <x v="1"/>
    <x v="3"/>
    <x v="1032"/>
    <s v="Small Box"/>
    <n v="0.56000000000000005"/>
    <d v="2011-04-28T00:00:00"/>
    <n v="0"/>
    <n v="0"/>
    <n v="1"/>
    <n v="0.14285714285714285"/>
  </r>
  <r>
    <n v="4976"/>
    <n v="35399"/>
    <x v="1192"/>
    <x v="16"/>
    <s v="Low"/>
    <n v="38"/>
    <n v="188.38"/>
    <n v="0.04"/>
    <s v="Regular Air"/>
    <n v="-120.11750000000001"/>
    <n v="4.91"/>
    <n v="5.68"/>
    <x v="651"/>
    <x v="10"/>
    <x v="3"/>
    <x v="2"/>
    <x v="0"/>
    <x v="2"/>
    <x v="980"/>
    <s v="Small Box"/>
    <n v="0.36"/>
    <d v="2011-01-23T00:00:00"/>
    <n v="0"/>
    <n v="0"/>
    <n v="1"/>
    <n v="1"/>
  </r>
  <r>
    <n v="5039"/>
    <n v="35910"/>
    <x v="195"/>
    <x v="7"/>
    <s v="High"/>
    <n v="28"/>
    <n v="881.50099999999998"/>
    <n v="0.02"/>
    <s v="Express Air"/>
    <n v="334.53"/>
    <n v="35.99"/>
    <n v="3.3"/>
    <x v="542"/>
    <x v="10"/>
    <x v="3"/>
    <x v="2"/>
    <x v="1"/>
    <x v="3"/>
    <x v="292"/>
    <s v="Small Pack"/>
    <n v="0.39"/>
    <d v="2010-11-25T00:00:00"/>
    <n v="0"/>
    <n v="0"/>
    <n v="0.33333333333333331"/>
    <n v="0.33333333333333331"/>
  </r>
  <r>
    <n v="5040"/>
    <n v="35910"/>
    <x v="195"/>
    <x v="7"/>
    <s v="High"/>
    <n v="25"/>
    <n v="161.72"/>
    <n v="0.09"/>
    <s v="Regular Air"/>
    <n v="-121.18"/>
    <n v="6.48"/>
    <n v="8.4"/>
    <x v="542"/>
    <x v="10"/>
    <x v="3"/>
    <x v="2"/>
    <x v="0"/>
    <x v="5"/>
    <x v="836"/>
    <s v="Small Box"/>
    <n v="0.37"/>
    <d v="2010-11-26T00:00:00"/>
    <n v="0"/>
    <n v="0"/>
    <n v="0.33333333333333331"/>
    <n v="0.33333333333333331"/>
  </r>
  <r>
    <n v="5041"/>
    <n v="35910"/>
    <x v="195"/>
    <x v="7"/>
    <s v="High"/>
    <n v="36"/>
    <n v="660.05899999999997"/>
    <n v="0.05"/>
    <s v="Regular Air"/>
    <n v="-0.64900000000000002"/>
    <n v="20.99"/>
    <n v="1.25"/>
    <x v="542"/>
    <x v="10"/>
    <x v="3"/>
    <x v="2"/>
    <x v="1"/>
    <x v="3"/>
    <x v="173"/>
    <s v="Small Pack"/>
    <n v="0.83"/>
    <d v="2010-11-26T00:00:00"/>
    <n v="0"/>
    <n v="0"/>
    <n v="0.33333333333333331"/>
    <n v="0.33333333333333331"/>
  </r>
  <r>
    <n v="5363"/>
    <n v="38118"/>
    <x v="1092"/>
    <x v="37"/>
    <s v="Not Specified"/>
    <n v="7"/>
    <n v="138.91"/>
    <n v="0.09"/>
    <s v="Regular Air"/>
    <n v="-64.11"/>
    <n v="19.98"/>
    <n v="4"/>
    <x v="158"/>
    <x v="10"/>
    <x v="3"/>
    <x v="0"/>
    <x v="1"/>
    <x v="7"/>
    <x v="507"/>
    <s v="Small Box"/>
    <n v="0.68"/>
    <d v="2011-04-20T00:00:00"/>
    <n v="0"/>
    <n v="0"/>
    <n v="1"/>
    <n v="0.14285714285714285"/>
  </r>
  <r>
    <n v="6050"/>
    <n v="42886"/>
    <x v="34"/>
    <x v="23"/>
    <s v="Medium"/>
    <n v="42"/>
    <n v="162.57"/>
    <n v="0.02"/>
    <s v="Regular Air"/>
    <n v="75.8"/>
    <n v="3.75"/>
    <n v="0.5"/>
    <x v="542"/>
    <x v="10"/>
    <x v="3"/>
    <x v="2"/>
    <x v="0"/>
    <x v="11"/>
    <x v="45"/>
    <s v="Small Box"/>
    <n v="0.37"/>
    <d v="2012-01-10T00:00:00"/>
    <n v="0"/>
    <n v="0"/>
    <n v="1"/>
    <n v="1"/>
  </r>
  <r>
    <n v="6158"/>
    <n v="43620"/>
    <x v="80"/>
    <x v="22"/>
    <s v="Medium"/>
    <n v="13"/>
    <n v="196.22"/>
    <n v="0.05"/>
    <s v="Regular Air"/>
    <n v="-89.35"/>
    <n v="14.81"/>
    <n v="13.32"/>
    <x v="648"/>
    <x v="10"/>
    <x v="3"/>
    <x v="3"/>
    <x v="0"/>
    <x v="1"/>
    <x v="531"/>
    <s v="Small Box"/>
    <n v="0.43"/>
    <d v="2009-01-20T00:00:00"/>
    <n v="0"/>
    <n v="1"/>
    <n v="0.5"/>
    <n v="0.5"/>
  </r>
  <r>
    <n v="6159"/>
    <n v="43620"/>
    <x v="80"/>
    <x v="22"/>
    <s v="Medium"/>
    <n v="11"/>
    <n v="49.76"/>
    <n v="0.05"/>
    <s v="Express Air"/>
    <n v="-0.13000000000000078"/>
    <n v="4.2"/>
    <n v="2.2599999999999998"/>
    <x v="648"/>
    <x v="10"/>
    <x v="3"/>
    <x v="3"/>
    <x v="0"/>
    <x v="5"/>
    <x v="1028"/>
    <s v="Wrap Bag"/>
    <n v="0.36"/>
    <d v="2009-01-19T00:00:00"/>
    <n v="0"/>
    <n v="1"/>
    <n v="0.5"/>
    <n v="0.5"/>
  </r>
  <r>
    <n v="6203"/>
    <n v="43936"/>
    <x v="525"/>
    <x v="14"/>
    <s v="Critical"/>
    <n v="42"/>
    <n v="670.65"/>
    <n v="0.08"/>
    <s v="Regular Air"/>
    <n v="41.66"/>
    <n v="15.94"/>
    <n v="5.45"/>
    <x v="647"/>
    <x v="10"/>
    <x v="3"/>
    <x v="1"/>
    <x v="0"/>
    <x v="12"/>
    <x v="344"/>
    <s v="Small Pack"/>
    <n v="0.55000000000000004"/>
    <d v="2010-03-14T00:00:00"/>
    <n v="0"/>
    <n v="0"/>
    <n v="1"/>
    <n v="1"/>
  </r>
  <r>
    <n v="6463"/>
    <n v="46018"/>
    <x v="589"/>
    <x v="26"/>
    <s v="Medium"/>
    <n v="31"/>
    <n v="2797.41"/>
    <n v="0.06"/>
    <s v="Delivery Truck"/>
    <n v="984.3"/>
    <n v="90.97"/>
    <n v="14"/>
    <x v="649"/>
    <x v="10"/>
    <x v="3"/>
    <x v="3"/>
    <x v="1"/>
    <x v="16"/>
    <x v="603"/>
    <s v="Jumbo Drum"/>
    <n v="0.36"/>
    <d v="2009-08-12T00:00:00"/>
    <n v="0"/>
    <n v="0"/>
    <n v="1"/>
    <n v="1"/>
  </r>
  <r>
    <n v="6786"/>
    <n v="48327"/>
    <x v="124"/>
    <x v="26"/>
    <s v="Not Specified"/>
    <n v="14"/>
    <n v="89.93"/>
    <n v="0.03"/>
    <s v="Regular Air"/>
    <n v="-44.82"/>
    <n v="5.98"/>
    <n v="3.85"/>
    <x v="650"/>
    <x v="10"/>
    <x v="3"/>
    <x v="3"/>
    <x v="1"/>
    <x v="7"/>
    <x v="1143"/>
    <s v="Small Pack"/>
    <n v="0.68"/>
    <d v="2009-08-12T00:00:00"/>
    <n v="0"/>
    <n v="0"/>
    <n v="1"/>
    <n v="1"/>
  </r>
  <r>
    <n v="6796"/>
    <n v="48448"/>
    <x v="1221"/>
    <x v="32"/>
    <s v="Low"/>
    <n v="20"/>
    <n v="340.952"/>
    <n v="0.09"/>
    <s v="Regular Air"/>
    <n v="108.93600000000001"/>
    <n v="20.99"/>
    <n v="0.99"/>
    <x v="648"/>
    <x v="10"/>
    <x v="3"/>
    <x v="3"/>
    <x v="1"/>
    <x v="3"/>
    <x v="163"/>
    <s v="Wrap Bag"/>
    <n v="0.37"/>
    <d v="2012-11-16T00:00:00"/>
    <n v="0"/>
    <n v="0"/>
    <n v="1"/>
    <n v="1"/>
  </r>
  <r>
    <n v="6818"/>
    <n v="48544"/>
    <x v="238"/>
    <x v="10"/>
    <s v="High"/>
    <n v="44"/>
    <n v="831.58050000000003"/>
    <n v="0.01"/>
    <s v="Regular Air"/>
    <n v="273.05099999999999"/>
    <n v="20.99"/>
    <n v="0.99"/>
    <x v="158"/>
    <x v="10"/>
    <x v="3"/>
    <x v="0"/>
    <x v="1"/>
    <x v="3"/>
    <x v="652"/>
    <s v="Wrap Bag"/>
    <n v="0.56999999999999995"/>
    <d v="2011-05-18T00:00:00"/>
    <n v="0"/>
    <n v="0"/>
    <n v="1"/>
    <n v="1"/>
  </r>
  <r>
    <n v="6862"/>
    <n v="48900"/>
    <x v="436"/>
    <x v="28"/>
    <s v="Not Specified"/>
    <n v="27"/>
    <n v="337.61"/>
    <n v="0.03"/>
    <s v="Regular Air"/>
    <n v="15.61"/>
    <n v="12.28"/>
    <n v="6.35"/>
    <x v="158"/>
    <x v="10"/>
    <x v="3"/>
    <x v="0"/>
    <x v="0"/>
    <x v="5"/>
    <x v="522"/>
    <s v="Small Box"/>
    <n v="0.38"/>
    <d v="2009-03-24T00:00:00"/>
    <n v="0"/>
    <n v="0"/>
    <n v="0.5"/>
    <n v="0.5"/>
  </r>
  <r>
    <n v="6863"/>
    <n v="48900"/>
    <x v="436"/>
    <x v="28"/>
    <s v="Not Specified"/>
    <n v="42"/>
    <n v="636.34"/>
    <n v="0.08"/>
    <s v="Regular Air"/>
    <n v="-99.26"/>
    <n v="15.14"/>
    <n v="4.53"/>
    <x v="158"/>
    <x v="10"/>
    <x v="3"/>
    <x v="0"/>
    <x v="0"/>
    <x v="0"/>
    <x v="560"/>
    <s v="Small Box"/>
    <n v="0.81"/>
    <d v="2009-03-23T00:00:00"/>
    <n v="0"/>
    <n v="0"/>
    <n v="0.5"/>
    <n v="0.5"/>
  </r>
  <r>
    <n v="6913"/>
    <n v="49319"/>
    <x v="249"/>
    <x v="21"/>
    <s v="Low"/>
    <n v="13"/>
    <n v="98.82"/>
    <n v="0.09"/>
    <s v="Regular Air"/>
    <n v="-68.66"/>
    <n v="7.37"/>
    <n v="5.53"/>
    <x v="651"/>
    <x v="10"/>
    <x v="3"/>
    <x v="2"/>
    <x v="1"/>
    <x v="7"/>
    <x v="827"/>
    <s v="Small Pack"/>
    <n v="0.69"/>
    <d v="2011-08-27T00:00:00"/>
    <n v="0"/>
    <n v="0"/>
    <n v="0.5"/>
    <n v="0.5"/>
  </r>
  <r>
    <n v="6914"/>
    <n v="49319"/>
    <x v="249"/>
    <x v="21"/>
    <s v="Low"/>
    <n v="40"/>
    <n v="289.19"/>
    <n v="0.01"/>
    <s v="Regular Air"/>
    <n v="-69.03"/>
    <n v="6.68"/>
    <n v="6.15"/>
    <x v="651"/>
    <x v="10"/>
    <x v="3"/>
    <x v="2"/>
    <x v="0"/>
    <x v="5"/>
    <x v="1151"/>
    <s v="Small Box"/>
    <n v="0.37"/>
    <d v="2011-08-27T00:00:00"/>
    <n v="0"/>
    <n v="0"/>
    <n v="0.5"/>
    <n v="0.5"/>
  </r>
  <r>
    <n v="6950"/>
    <n v="49638"/>
    <x v="77"/>
    <x v="3"/>
    <s v="Medium"/>
    <n v="17"/>
    <n v="196.07"/>
    <n v="0.05"/>
    <s v="Regular Air"/>
    <n v="-77.66"/>
    <n v="10.97"/>
    <n v="6.5"/>
    <x v="158"/>
    <x v="10"/>
    <x v="3"/>
    <x v="3"/>
    <x v="1"/>
    <x v="7"/>
    <x v="217"/>
    <s v="Small Box"/>
    <n v="0.64"/>
    <d v="2010-08-08T00:00:00"/>
    <n v="0"/>
    <n v="0"/>
    <n v="1"/>
    <n v="1"/>
  </r>
  <r>
    <n v="7016"/>
    <n v="50055"/>
    <x v="814"/>
    <x v="1"/>
    <s v="Medium"/>
    <n v="1"/>
    <n v="13.45"/>
    <n v="0"/>
    <s v="Regular Air"/>
    <n v="-8.1995000000000005"/>
    <n v="5.4"/>
    <n v="7.78"/>
    <x v="158"/>
    <x v="10"/>
    <x v="3"/>
    <x v="0"/>
    <x v="0"/>
    <x v="2"/>
    <x v="212"/>
    <s v="Small Box"/>
    <n v="0.37"/>
    <d v="2012-10-20T00:00:00"/>
    <n v="0"/>
    <n v="0"/>
    <n v="0.5"/>
    <n v="0.33333333333333331"/>
  </r>
  <r>
    <n v="7017"/>
    <n v="50055"/>
    <x v="814"/>
    <x v="1"/>
    <s v="Medium"/>
    <n v="11"/>
    <n v="75.790000000000006"/>
    <n v="0.09"/>
    <s v="Regular Air"/>
    <n v="-18.77"/>
    <n v="6.68"/>
    <n v="4.91"/>
    <x v="158"/>
    <x v="10"/>
    <x v="3"/>
    <x v="0"/>
    <x v="0"/>
    <x v="5"/>
    <x v="729"/>
    <s v="Small Box"/>
    <n v="0.37"/>
    <d v="2012-10-20T00:00:00"/>
    <n v="0"/>
    <n v="0"/>
    <n v="0.5"/>
    <n v="0.33333333333333331"/>
  </r>
  <r>
    <n v="7197"/>
    <n v="51360"/>
    <x v="135"/>
    <x v="4"/>
    <s v="Medium"/>
    <n v="12"/>
    <n v="46.55"/>
    <n v="0"/>
    <s v="Regular Air"/>
    <n v="16.34"/>
    <n v="3.69"/>
    <n v="0.5"/>
    <x v="158"/>
    <x v="10"/>
    <x v="3"/>
    <x v="1"/>
    <x v="0"/>
    <x v="11"/>
    <x v="1045"/>
    <s v="Small Box"/>
    <n v="0.38"/>
    <d v="2011-06-22T00:00:00"/>
    <n v="0"/>
    <n v="0"/>
    <n v="1"/>
    <n v="0.25"/>
  </r>
  <r>
    <n v="7389"/>
    <n v="52672"/>
    <x v="292"/>
    <x v="16"/>
    <s v="Low"/>
    <n v="29"/>
    <n v="1499.5275000000001"/>
    <n v="0.09"/>
    <s v="Regular Air"/>
    <n v="188.982"/>
    <n v="65.989999999999995"/>
    <n v="5.26"/>
    <x v="158"/>
    <x v="10"/>
    <x v="3"/>
    <x v="3"/>
    <x v="1"/>
    <x v="3"/>
    <x v="266"/>
    <s v="Small Box"/>
    <n v="0.56000000000000005"/>
    <d v="2011-01-13T00:00:00"/>
    <n v="0"/>
    <n v="0"/>
    <n v="1"/>
    <n v="1"/>
  </r>
  <r>
    <n v="7409"/>
    <n v="52867"/>
    <x v="1334"/>
    <x v="26"/>
    <s v="High"/>
    <n v="15"/>
    <n v="1917.61"/>
    <n v="0.03"/>
    <s v="Delivery Truck"/>
    <n v="-286.89999999999998"/>
    <n v="124.49"/>
    <n v="51.94"/>
    <x v="158"/>
    <x v="10"/>
    <x v="3"/>
    <x v="1"/>
    <x v="2"/>
    <x v="10"/>
    <x v="307"/>
    <s v="Jumbo Box"/>
    <n v="0.63"/>
    <d v="2009-08-14T00:00:00"/>
    <n v="0"/>
    <n v="0"/>
    <n v="1"/>
    <n v="1"/>
  </r>
  <r>
    <n v="7572"/>
    <n v="54176"/>
    <x v="1335"/>
    <x v="4"/>
    <s v="Not Specified"/>
    <n v="33"/>
    <n v="2492.9699999999998"/>
    <n v="0.06"/>
    <s v="Regular Air"/>
    <n v="131.02000000000001"/>
    <n v="73.98"/>
    <n v="14.52"/>
    <x v="158"/>
    <x v="10"/>
    <x v="3"/>
    <x v="1"/>
    <x v="1"/>
    <x v="7"/>
    <x v="640"/>
    <s v="Small Box"/>
    <n v="0.65"/>
    <d v="2011-06-28T00:00:00"/>
    <n v="0"/>
    <n v="0"/>
    <n v="1"/>
    <n v="0.25"/>
  </r>
  <r>
    <n v="7695"/>
    <n v="55171"/>
    <x v="523"/>
    <x v="1"/>
    <s v="High"/>
    <n v="29"/>
    <n v="575.89"/>
    <n v="0.06"/>
    <s v="Regular Air"/>
    <n v="-14.04"/>
    <n v="19.98"/>
    <n v="4"/>
    <x v="650"/>
    <x v="10"/>
    <x v="3"/>
    <x v="3"/>
    <x v="1"/>
    <x v="7"/>
    <x v="507"/>
    <s v="Small Box"/>
    <n v="0.68"/>
    <d v="2012-10-27T00:00:00"/>
    <n v="0"/>
    <n v="0"/>
    <n v="0.5"/>
    <n v="0.5"/>
  </r>
  <r>
    <n v="7696"/>
    <n v="55171"/>
    <x v="523"/>
    <x v="1"/>
    <s v="High"/>
    <n v="43"/>
    <n v="260.60000000000002"/>
    <n v="0.05"/>
    <s v="Regular Air"/>
    <n v="-182.71"/>
    <n v="5.78"/>
    <n v="7.96"/>
    <x v="650"/>
    <x v="10"/>
    <x v="3"/>
    <x v="3"/>
    <x v="0"/>
    <x v="5"/>
    <x v="586"/>
    <s v="Small Box"/>
    <n v="0.36"/>
    <d v="2012-10-26T00:00:00"/>
    <n v="0"/>
    <n v="0"/>
    <n v="0.5"/>
    <n v="0.5"/>
  </r>
  <r>
    <n v="7781"/>
    <n v="55683"/>
    <x v="986"/>
    <x v="29"/>
    <s v="High"/>
    <n v="50"/>
    <n v="172.23"/>
    <n v="0.02"/>
    <s v="Regular Air"/>
    <n v="32.35"/>
    <n v="3.29"/>
    <n v="1.35"/>
    <x v="592"/>
    <x v="10"/>
    <x v="3"/>
    <x v="0"/>
    <x v="0"/>
    <x v="6"/>
    <x v="339"/>
    <s v="Wrap Bag"/>
    <n v="0.4"/>
    <d v="2012-07-17T00:00:00"/>
    <n v="0"/>
    <n v="0"/>
    <n v="0.5"/>
    <n v="0.33333333333333331"/>
  </r>
  <r>
    <n v="8135"/>
    <n v="58147"/>
    <x v="299"/>
    <x v="43"/>
    <s v="High"/>
    <n v="41"/>
    <n v="470.74"/>
    <n v="0.04"/>
    <s v="Regular Air"/>
    <n v="24.09"/>
    <n v="10.98"/>
    <n v="3.99"/>
    <x v="158"/>
    <x v="10"/>
    <x v="3"/>
    <x v="0"/>
    <x v="0"/>
    <x v="1"/>
    <x v="1161"/>
    <s v="Small Box"/>
    <n v="0.57999999999999996"/>
    <d v="2009-05-18T00:00:00"/>
    <n v="0"/>
    <n v="0"/>
    <n v="1"/>
    <n v="1"/>
  </r>
  <r>
    <n v="8220"/>
    <n v="58784"/>
    <x v="398"/>
    <x v="22"/>
    <s v="Medium"/>
    <n v="12"/>
    <n v="141.9"/>
    <n v="0.02"/>
    <s v="Regular Air"/>
    <n v="1.46"/>
    <n v="11.58"/>
    <n v="5.72"/>
    <x v="542"/>
    <x v="10"/>
    <x v="3"/>
    <x v="2"/>
    <x v="0"/>
    <x v="8"/>
    <x v="188"/>
    <s v="Small Box"/>
    <n v="0.35"/>
    <d v="2009-01-19T00:00:00"/>
    <n v="0"/>
    <n v="1"/>
    <n v="0.2"/>
    <n v="0.2"/>
  </r>
  <r>
    <n v="8221"/>
    <n v="58784"/>
    <x v="398"/>
    <x v="22"/>
    <s v="Medium"/>
    <n v="29"/>
    <n v="1379.1"/>
    <n v="0.06"/>
    <s v="Regular Air"/>
    <n v="573.79999999999995"/>
    <n v="48.91"/>
    <n v="5.81"/>
    <x v="542"/>
    <x v="10"/>
    <x v="3"/>
    <x v="2"/>
    <x v="0"/>
    <x v="5"/>
    <x v="83"/>
    <s v="Small Box"/>
    <n v="0.38"/>
    <d v="2009-01-18T00:00:00"/>
    <n v="0"/>
    <n v="1"/>
    <n v="0.2"/>
    <n v="0.2"/>
  </r>
  <r>
    <n v="8222"/>
    <n v="58784"/>
    <x v="398"/>
    <x v="22"/>
    <s v="Medium"/>
    <n v="17"/>
    <n v="278.76"/>
    <n v="0.02"/>
    <s v="Regular Air"/>
    <n v="-210.09"/>
    <n v="15.51"/>
    <n v="17.78"/>
    <x v="542"/>
    <x v="10"/>
    <x v="3"/>
    <x v="2"/>
    <x v="0"/>
    <x v="0"/>
    <x v="259"/>
    <s v="Small Box"/>
    <n v="0.59"/>
    <d v="2009-01-19T00:00:00"/>
    <n v="0"/>
    <n v="1"/>
    <n v="0.2"/>
    <n v="0.2"/>
  </r>
  <r>
    <n v="8320"/>
    <n v="59456"/>
    <x v="34"/>
    <x v="23"/>
    <s v="Low"/>
    <n v="30"/>
    <n v="182.92"/>
    <n v="0.06"/>
    <s v="Regular Air"/>
    <n v="-1367.72"/>
    <n v="4.4800000000000004"/>
    <n v="49"/>
    <x v="649"/>
    <x v="10"/>
    <x v="3"/>
    <x v="3"/>
    <x v="0"/>
    <x v="1"/>
    <x v="43"/>
    <s v="Large Box"/>
    <n v="0.6"/>
    <d v="2012-01-08T00:00:00"/>
    <n v="0"/>
    <n v="0"/>
    <n v="1"/>
    <n v="1"/>
  </r>
  <r>
    <n v="8340"/>
    <n v="59591"/>
    <x v="24"/>
    <x v="19"/>
    <s v="Not Specified"/>
    <n v="34"/>
    <n v="3361.84"/>
    <n v="0.08"/>
    <s v="Delivery Truck"/>
    <n v="1211.76"/>
    <n v="100.97"/>
    <n v="14"/>
    <x v="650"/>
    <x v="10"/>
    <x v="3"/>
    <x v="3"/>
    <x v="1"/>
    <x v="16"/>
    <x v="704"/>
    <s v="Jumbo Drum"/>
    <n v="0.37"/>
    <d v="2009-10-10T00:00:00"/>
    <n v="0"/>
    <n v="0"/>
    <n v="0.5"/>
    <n v="0.33333333333333331"/>
  </r>
  <r>
    <n v="8341"/>
    <n v="59591"/>
    <x v="24"/>
    <x v="19"/>
    <s v="Not Specified"/>
    <n v="29"/>
    <n v="195.82"/>
    <n v="7.0000000000000007E-2"/>
    <s v="Regular Air"/>
    <n v="-91.7"/>
    <n v="6.48"/>
    <n v="7.07"/>
    <x v="650"/>
    <x v="10"/>
    <x v="3"/>
    <x v="3"/>
    <x v="0"/>
    <x v="5"/>
    <x v="1229"/>
    <s v="Small Box"/>
    <n v="0.37"/>
    <d v="2009-10-11T00:00:00"/>
    <n v="0"/>
    <n v="0"/>
    <n v="0.5"/>
    <n v="0.33333333333333331"/>
  </r>
  <r>
    <n v="8381"/>
    <n v="59879"/>
    <x v="293"/>
    <x v="28"/>
    <s v="Not Specified"/>
    <n v="33"/>
    <n v="987.3175"/>
    <n v="0.04"/>
    <s v="Express Air"/>
    <n v="368.55899999999997"/>
    <n v="35.99"/>
    <n v="3.3"/>
    <x v="651"/>
    <x v="10"/>
    <x v="3"/>
    <x v="2"/>
    <x v="1"/>
    <x v="3"/>
    <x v="292"/>
    <s v="Small Pack"/>
    <n v="0.39"/>
    <d v="2009-03-11T00:00:00"/>
    <n v="0"/>
    <n v="0"/>
    <n v="1"/>
    <n v="1"/>
  </r>
  <r>
    <n v="6"/>
    <n v="32"/>
    <x v="979"/>
    <x v="2"/>
    <s v="High"/>
    <n v="15"/>
    <n v="140.56"/>
    <n v="0.04"/>
    <s v="Regular Air"/>
    <n v="-128.38"/>
    <n v="8.4600000000000009"/>
    <n v="8.99"/>
    <x v="652"/>
    <x v="10"/>
    <x v="3"/>
    <x v="2"/>
    <x v="1"/>
    <x v="7"/>
    <x v="213"/>
    <s v="Small Pack"/>
    <n v="0.79"/>
    <d v="2011-07-16T00:00:00"/>
    <n v="0"/>
    <n v="0"/>
    <n v="0.25"/>
    <n v="0.25"/>
  </r>
  <r>
    <n v="12"/>
    <n v="69"/>
    <x v="862"/>
    <x v="41"/>
    <s v="Not Specified"/>
    <n v="42"/>
    <n v="1186.06"/>
    <n v="0.09"/>
    <s v="Regular Air"/>
    <n v="511.69"/>
    <n v="30.93"/>
    <n v="3.92"/>
    <x v="653"/>
    <x v="10"/>
    <x v="3"/>
    <x v="2"/>
    <x v="2"/>
    <x v="4"/>
    <x v="616"/>
    <s v="Small Pack"/>
    <n v="0.44"/>
    <d v="2009-06-05T00:00:00"/>
    <n v="0"/>
    <n v="0"/>
    <n v="0.5"/>
    <n v="0.33333333333333331"/>
  </r>
  <r>
    <n v="13"/>
    <n v="69"/>
    <x v="862"/>
    <x v="41"/>
    <s v="Not Specified"/>
    <n v="28"/>
    <n v="51.53"/>
    <n v="0.03"/>
    <s v="Express Air"/>
    <n v="0.35"/>
    <n v="1.68"/>
    <n v="0.7"/>
    <x v="653"/>
    <x v="10"/>
    <x v="3"/>
    <x v="2"/>
    <x v="0"/>
    <x v="12"/>
    <x v="1222"/>
    <s v="Wrap Bag"/>
    <n v="0.6"/>
    <d v="2009-06-05T00:00:00"/>
    <n v="0"/>
    <n v="0"/>
    <n v="0.5"/>
    <n v="0.33333333333333331"/>
  </r>
  <r>
    <n v="56"/>
    <n v="324"/>
    <x v="497"/>
    <x v="33"/>
    <s v="Critical"/>
    <n v="25"/>
    <n v="3872.634"/>
    <n v="0.02"/>
    <s v="Regular Air"/>
    <n v="667.33199999999999"/>
    <n v="179.99"/>
    <n v="13.99"/>
    <x v="654"/>
    <x v="10"/>
    <x v="3"/>
    <x v="0"/>
    <x v="1"/>
    <x v="3"/>
    <x v="223"/>
    <s v="Medium Box"/>
    <n v="0.56999999999999995"/>
    <d v="2012-03-21T00:00:00"/>
    <n v="0"/>
    <n v="0"/>
    <n v="1"/>
    <n v="1"/>
  </r>
  <r>
    <n v="200"/>
    <n v="1317"/>
    <x v="1336"/>
    <x v="10"/>
    <s v="High"/>
    <n v="44"/>
    <n v="523.41999999999996"/>
    <n v="0.06"/>
    <s v="Regular Air"/>
    <n v="39.423000000000002"/>
    <n v="11.7"/>
    <n v="5.63"/>
    <x v="655"/>
    <x v="10"/>
    <x v="3"/>
    <x v="1"/>
    <x v="0"/>
    <x v="2"/>
    <x v="972"/>
    <s v="Small Box"/>
    <n v="0.4"/>
    <d v="2011-05-20T00:00:00"/>
    <n v="0"/>
    <n v="0"/>
    <n v="0.33333333333333331"/>
    <n v="0.2"/>
  </r>
  <r>
    <n v="201"/>
    <n v="1317"/>
    <x v="1336"/>
    <x v="10"/>
    <s v="High"/>
    <n v="40"/>
    <n v="192.54"/>
    <n v="0.08"/>
    <s v="Regular Air"/>
    <n v="-186.73"/>
    <n v="4.9800000000000004"/>
    <n v="7.44"/>
    <x v="655"/>
    <x v="10"/>
    <x v="3"/>
    <x v="1"/>
    <x v="0"/>
    <x v="5"/>
    <x v="877"/>
    <s v="Small Box"/>
    <n v="0.36"/>
    <d v="2011-05-19T00:00:00"/>
    <n v="0"/>
    <n v="0"/>
    <n v="0.33333333333333331"/>
    <n v="0.2"/>
  </r>
  <r>
    <n v="202"/>
    <n v="1317"/>
    <x v="1336"/>
    <x v="10"/>
    <s v="High"/>
    <n v="29"/>
    <n v="156.69999999999999"/>
    <n v="0.06"/>
    <s v="Regular Air"/>
    <n v="-76.64"/>
    <n v="5.28"/>
    <n v="5.57"/>
    <x v="655"/>
    <x v="10"/>
    <x v="3"/>
    <x v="1"/>
    <x v="0"/>
    <x v="5"/>
    <x v="1124"/>
    <s v="Small Box"/>
    <n v="0.4"/>
    <d v="2011-05-20T00:00:00"/>
    <n v="0"/>
    <n v="0"/>
    <n v="0.33333333333333331"/>
    <n v="0.2"/>
  </r>
  <r>
    <n v="239"/>
    <n v="1604"/>
    <x v="598"/>
    <x v="42"/>
    <s v="Low"/>
    <n v="47"/>
    <n v="622.82000000000005"/>
    <n v="0"/>
    <s v="Regular Air"/>
    <n v="128.88"/>
    <n v="12.64"/>
    <n v="4.9800000000000004"/>
    <x v="223"/>
    <x v="10"/>
    <x v="3"/>
    <x v="1"/>
    <x v="2"/>
    <x v="4"/>
    <x v="774"/>
    <s v="Small Pack"/>
    <n v="0.48"/>
    <d v="2010-07-16T00:00:00"/>
    <n v="0"/>
    <n v="0"/>
    <n v="1"/>
    <n v="1"/>
  </r>
  <r>
    <n v="306"/>
    <n v="2144"/>
    <x v="840"/>
    <x v="28"/>
    <s v="Medium"/>
    <n v="40"/>
    <n v="5945.3675000000003"/>
    <n v="0.08"/>
    <s v="Regular Air"/>
    <n v="1585.4760000000001"/>
    <n v="175.99"/>
    <n v="4.99"/>
    <x v="653"/>
    <x v="10"/>
    <x v="3"/>
    <x v="2"/>
    <x v="1"/>
    <x v="3"/>
    <x v="602"/>
    <s v="Small Box"/>
    <n v="0.59"/>
    <d v="2009-03-28T00:00:00"/>
    <n v="0"/>
    <n v="0"/>
    <n v="1"/>
    <n v="1"/>
  </r>
  <r>
    <n v="407"/>
    <n v="2757"/>
    <x v="23"/>
    <x v="2"/>
    <s v="High"/>
    <n v="42"/>
    <n v="569.32000000000005"/>
    <n v="0.05"/>
    <s v="Express Air"/>
    <n v="84.38"/>
    <n v="12.98"/>
    <n v="3.14"/>
    <x v="203"/>
    <x v="10"/>
    <x v="3"/>
    <x v="2"/>
    <x v="0"/>
    <x v="15"/>
    <x v="234"/>
    <s v="Small Pack"/>
    <n v="0.6"/>
    <d v="2011-07-20T00:00:00"/>
    <n v="0"/>
    <n v="0"/>
    <n v="0.5"/>
    <n v="0.5"/>
  </r>
  <r>
    <n v="445"/>
    <n v="3012"/>
    <x v="1321"/>
    <x v="39"/>
    <s v="Critical"/>
    <n v="41"/>
    <n v="120.03"/>
    <n v="0"/>
    <s v="Regular Air"/>
    <n v="10.4975"/>
    <n v="2.78"/>
    <n v="1.49"/>
    <x v="656"/>
    <x v="10"/>
    <x v="3"/>
    <x v="2"/>
    <x v="0"/>
    <x v="2"/>
    <x v="1224"/>
    <s v="Small Box"/>
    <n v="0.36"/>
    <d v="2010-05-06T00:00:00"/>
    <n v="0"/>
    <n v="0"/>
    <n v="1"/>
    <n v="1"/>
  </r>
  <r>
    <n v="465"/>
    <n v="3169"/>
    <x v="1062"/>
    <x v="15"/>
    <s v="Medium"/>
    <n v="7"/>
    <n v="35.58"/>
    <n v="0.04"/>
    <s v="Regular Air"/>
    <n v="-19.95"/>
    <n v="4.42"/>
    <n v="4.99"/>
    <x v="657"/>
    <x v="10"/>
    <x v="3"/>
    <x v="2"/>
    <x v="0"/>
    <x v="8"/>
    <x v="1133"/>
    <s v="Small Box"/>
    <n v="0.38"/>
    <d v="2010-12-21T00:00:00"/>
    <n v="0"/>
    <n v="0"/>
    <n v="1"/>
    <n v="1"/>
  </r>
  <r>
    <n v="479"/>
    <n v="3331"/>
    <x v="304"/>
    <x v="39"/>
    <s v="High"/>
    <n v="31"/>
    <n v="153.28"/>
    <n v="0.05"/>
    <s v="Regular Air"/>
    <n v="73.16"/>
    <n v="4.91"/>
    <n v="0.5"/>
    <x v="146"/>
    <x v="10"/>
    <x v="3"/>
    <x v="2"/>
    <x v="0"/>
    <x v="11"/>
    <x v="999"/>
    <s v="Small Box"/>
    <n v="0.36"/>
    <d v="2010-05-21T00:00:00"/>
    <n v="0"/>
    <n v="0"/>
    <n v="1"/>
    <n v="0.5"/>
  </r>
  <r>
    <n v="538"/>
    <n v="3650"/>
    <x v="1132"/>
    <x v="20"/>
    <s v="Not Specified"/>
    <n v="36"/>
    <n v="139.94999999999999"/>
    <n v="0.04"/>
    <s v="Express Air"/>
    <n v="-128.59299999999999"/>
    <n v="3.58"/>
    <n v="5.47"/>
    <x v="568"/>
    <x v="10"/>
    <x v="3"/>
    <x v="3"/>
    <x v="0"/>
    <x v="2"/>
    <x v="337"/>
    <s v="Small Box"/>
    <n v="0.37"/>
    <d v="2012-05-29T00:00:00"/>
    <n v="0"/>
    <n v="0"/>
    <n v="0.5"/>
    <n v="0.5"/>
  </r>
  <r>
    <n v="539"/>
    <n v="3650"/>
    <x v="1132"/>
    <x v="20"/>
    <s v="Not Specified"/>
    <n v="24"/>
    <n v="5207.5"/>
    <n v="0.03"/>
    <s v="Delivery Truck"/>
    <n v="166.44"/>
    <n v="216.6"/>
    <n v="64.2"/>
    <x v="568"/>
    <x v="10"/>
    <x v="3"/>
    <x v="3"/>
    <x v="2"/>
    <x v="14"/>
    <x v="197"/>
    <s v="Jumbo Drum"/>
    <n v="0.59"/>
    <d v="2012-05-29T00:00:00"/>
    <n v="0"/>
    <n v="0"/>
    <n v="0.5"/>
    <n v="0.5"/>
  </r>
  <r>
    <n v="560"/>
    <n v="3783"/>
    <x v="112"/>
    <x v="15"/>
    <s v="Not Specified"/>
    <n v="11"/>
    <n v="92.14"/>
    <n v="0.01"/>
    <s v="Regular Air"/>
    <n v="-40.25"/>
    <n v="8.1199999999999992"/>
    <n v="2.83"/>
    <x v="653"/>
    <x v="10"/>
    <x v="3"/>
    <x v="2"/>
    <x v="1"/>
    <x v="7"/>
    <x v="483"/>
    <s v="Small Pack"/>
    <n v="0.77"/>
    <d v="2010-12-05T00:00:00"/>
    <n v="0"/>
    <n v="0"/>
    <n v="0.5"/>
    <n v="0.5"/>
  </r>
  <r>
    <n v="561"/>
    <n v="3783"/>
    <x v="112"/>
    <x v="15"/>
    <s v="Not Specified"/>
    <n v="40"/>
    <n v="257.43"/>
    <n v="0.05"/>
    <s v="Regular Air"/>
    <n v="-200.63"/>
    <n v="6.48"/>
    <n v="8.73"/>
    <x v="653"/>
    <x v="10"/>
    <x v="3"/>
    <x v="2"/>
    <x v="0"/>
    <x v="5"/>
    <x v="645"/>
    <s v="Small Box"/>
    <n v="0.37"/>
    <d v="2010-12-07T00:00:00"/>
    <n v="0"/>
    <n v="0"/>
    <n v="0.5"/>
    <n v="0.5"/>
  </r>
  <r>
    <n v="652"/>
    <n v="4583"/>
    <x v="414"/>
    <x v="35"/>
    <s v="Medium"/>
    <n v="44"/>
    <n v="3021.64"/>
    <n v="7.0000000000000007E-2"/>
    <s v="Delivery Truck"/>
    <n v="-720.2"/>
    <n v="70.98"/>
    <n v="30"/>
    <x v="656"/>
    <x v="10"/>
    <x v="3"/>
    <x v="2"/>
    <x v="2"/>
    <x v="14"/>
    <x v="665"/>
    <s v="Jumbo Drum"/>
    <n v="0.73"/>
    <d v="2009-09-26T00:00:00"/>
    <n v="0"/>
    <n v="0"/>
    <n v="1"/>
    <n v="1"/>
  </r>
  <r>
    <n v="668"/>
    <n v="4675"/>
    <x v="195"/>
    <x v="7"/>
    <s v="Not Specified"/>
    <n v="4"/>
    <n v="17.89"/>
    <n v="0"/>
    <s v="Regular Air"/>
    <n v="-1.1499999999999999"/>
    <n v="3.98"/>
    <n v="0.7"/>
    <x v="223"/>
    <x v="10"/>
    <x v="3"/>
    <x v="1"/>
    <x v="0"/>
    <x v="12"/>
    <x v="1081"/>
    <s v="Wrap Bag"/>
    <n v="0.52"/>
    <d v="2010-11-26T00:00:00"/>
    <n v="0"/>
    <n v="0"/>
    <n v="1"/>
    <n v="0.33333333333333331"/>
  </r>
  <r>
    <n v="684"/>
    <n v="4772"/>
    <x v="803"/>
    <x v="35"/>
    <s v="Critical"/>
    <n v="28"/>
    <n v="1560.617"/>
    <n v="0.04"/>
    <s v="Regular Air"/>
    <n v="214.29"/>
    <n v="65.989999999999995"/>
    <n v="8.99"/>
    <x v="146"/>
    <x v="10"/>
    <x v="3"/>
    <x v="2"/>
    <x v="1"/>
    <x v="3"/>
    <x v="1199"/>
    <s v="Small Box"/>
    <n v="0.55000000000000004"/>
    <d v="2009-09-14T00:00:00"/>
    <n v="0"/>
    <n v="0"/>
    <n v="1"/>
    <n v="1"/>
  </r>
  <r>
    <n v="725"/>
    <n v="5217"/>
    <x v="719"/>
    <x v="17"/>
    <s v="High"/>
    <n v="8"/>
    <n v="339.35"/>
    <n v="0.03"/>
    <s v="Express Air"/>
    <n v="27.88"/>
    <n v="40.98"/>
    <n v="5.33"/>
    <x v="203"/>
    <x v="10"/>
    <x v="3"/>
    <x v="3"/>
    <x v="0"/>
    <x v="1"/>
    <x v="530"/>
    <s v="Small Box"/>
    <n v="0.56999999999999995"/>
    <d v="2011-10-12T00:00:00"/>
    <n v="0"/>
    <n v="0"/>
    <n v="0.5"/>
    <n v="0.5"/>
  </r>
  <r>
    <n v="726"/>
    <n v="5217"/>
    <x v="719"/>
    <x v="17"/>
    <s v="High"/>
    <n v="11"/>
    <n v="33.67"/>
    <n v="0.09"/>
    <s v="Regular Air"/>
    <n v="4.08"/>
    <n v="3.08"/>
    <n v="0.99"/>
    <x v="203"/>
    <x v="10"/>
    <x v="3"/>
    <x v="3"/>
    <x v="0"/>
    <x v="11"/>
    <x v="245"/>
    <s v="Small Box"/>
    <n v="0.37"/>
    <d v="2011-10-14T00:00:00"/>
    <n v="0"/>
    <n v="0"/>
    <n v="0.5"/>
    <n v="0.5"/>
  </r>
  <r>
    <n v="804"/>
    <n v="5765"/>
    <x v="327"/>
    <x v="47"/>
    <s v="Low"/>
    <n v="23"/>
    <n v="849.46"/>
    <n v="0.04"/>
    <s v="Regular Air"/>
    <n v="9.06"/>
    <n v="35.44"/>
    <n v="19.989999999999998"/>
    <x v="653"/>
    <x v="10"/>
    <x v="3"/>
    <x v="2"/>
    <x v="0"/>
    <x v="5"/>
    <x v="1063"/>
    <s v="Small Box"/>
    <n v="0.38"/>
    <d v="2009-12-21T00:00:00"/>
    <n v="0"/>
    <n v="0"/>
    <n v="1"/>
    <n v="1"/>
  </r>
  <r>
    <n v="884"/>
    <n v="6339"/>
    <x v="458"/>
    <x v="45"/>
    <s v="Critical"/>
    <n v="20"/>
    <n v="303.69"/>
    <n v="0.05"/>
    <s v="Regular Air"/>
    <n v="-50.84"/>
    <n v="14.98"/>
    <n v="7.69"/>
    <x v="653"/>
    <x v="10"/>
    <x v="3"/>
    <x v="2"/>
    <x v="0"/>
    <x v="0"/>
    <x v="932"/>
    <s v="Small Box"/>
    <n v="0.56999999999999995"/>
    <d v="2012-12-12T00:00:00"/>
    <n v="0"/>
    <n v="0"/>
    <n v="1"/>
    <n v="1"/>
  </r>
  <r>
    <n v="942"/>
    <n v="6848"/>
    <x v="1337"/>
    <x v="18"/>
    <s v="High"/>
    <n v="22"/>
    <n v="116.84"/>
    <n v="0.1"/>
    <s v="Regular Air"/>
    <n v="-125.44199999999999"/>
    <n v="5.4"/>
    <n v="7.78"/>
    <x v="658"/>
    <x v="10"/>
    <x v="3"/>
    <x v="1"/>
    <x v="0"/>
    <x v="2"/>
    <x v="212"/>
    <s v="Small Box"/>
    <n v="0.37"/>
    <d v="2010-09-14T00:00:00"/>
    <n v="0"/>
    <n v="0"/>
    <n v="1"/>
    <n v="1"/>
  </r>
  <r>
    <n v="1054"/>
    <n v="7782"/>
    <x v="175"/>
    <x v="36"/>
    <s v="Critical"/>
    <n v="20"/>
    <n v="1205.73"/>
    <n v="7.0000000000000007E-2"/>
    <s v="Express Air"/>
    <n v="310.93"/>
    <n v="60.97"/>
    <n v="4.5"/>
    <x v="656"/>
    <x v="10"/>
    <x v="3"/>
    <x v="2"/>
    <x v="0"/>
    <x v="1"/>
    <x v="1085"/>
    <s v="Small Box"/>
    <n v="0.56000000000000005"/>
    <d v="2009-07-04T00:00:00"/>
    <n v="0"/>
    <n v="0"/>
    <n v="1"/>
    <n v="1"/>
  </r>
  <r>
    <n v="1082"/>
    <n v="7941"/>
    <x v="75"/>
    <x v="33"/>
    <s v="Low"/>
    <n v="50"/>
    <n v="2796.67"/>
    <n v="0.01"/>
    <s v="Regular Air"/>
    <n v="801.04"/>
    <n v="55.29"/>
    <n v="5.08"/>
    <x v="146"/>
    <x v="10"/>
    <x v="3"/>
    <x v="2"/>
    <x v="0"/>
    <x v="0"/>
    <x v="179"/>
    <s v="Small Box"/>
    <n v="0.59"/>
    <d v="2012-03-30T00:00:00"/>
    <n v="0"/>
    <n v="0"/>
    <n v="1"/>
    <n v="1"/>
  </r>
  <r>
    <n v="1093"/>
    <n v="8034"/>
    <x v="675"/>
    <x v="23"/>
    <s v="High"/>
    <n v="31"/>
    <n v="354.45"/>
    <n v="0.01"/>
    <s v="Regular Air"/>
    <n v="11.38"/>
    <n v="10.98"/>
    <n v="3.99"/>
    <x v="659"/>
    <x v="10"/>
    <x v="3"/>
    <x v="2"/>
    <x v="0"/>
    <x v="1"/>
    <x v="1161"/>
    <s v="Small Box"/>
    <n v="0.57999999999999996"/>
    <d v="2012-01-19T00:00:00"/>
    <n v="0"/>
    <n v="0"/>
    <n v="0.33333333333333331"/>
    <n v="0.25"/>
  </r>
  <r>
    <n v="1094"/>
    <n v="8034"/>
    <x v="675"/>
    <x v="23"/>
    <s v="High"/>
    <n v="13"/>
    <n v="238.43"/>
    <n v="0.02"/>
    <s v="Regular Air"/>
    <n v="-36.11"/>
    <n v="16.989999999999998"/>
    <n v="8.99"/>
    <x v="659"/>
    <x v="10"/>
    <x v="3"/>
    <x v="2"/>
    <x v="0"/>
    <x v="12"/>
    <x v="644"/>
    <s v="Small Pack"/>
    <n v="0.56000000000000005"/>
    <d v="2012-01-20T00:00:00"/>
    <n v="0"/>
    <n v="0"/>
    <n v="0.33333333333333331"/>
    <n v="0.25"/>
  </r>
  <r>
    <n v="1095"/>
    <n v="8034"/>
    <x v="675"/>
    <x v="23"/>
    <s v="High"/>
    <n v="36"/>
    <n v="1606.4"/>
    <n v="0.08"/>
    <s v="Delivery Truck"/>
    <n v="-1231.3499999999999"/>
    <n v="44.43"/>
    <n v="46.59"/>
    <x v="659"/>
    <x v="10"/>
    <x v="3"/>
    <x v="2"/>
    <x v="2"/>
    <x v="10"/>
    <x v="1069"/>
    <s v="Jumbo Box"/>
    <n v="0.67"/>
    <d v="2012-01-21T00:00:00"/>
    <n v="0"/>
    <n v="0"/>
    <n v="0.33333333333333331"/>
    <n v="0.25"/>
  </r>
  <r>
    <n v="1110"/>
    <n v="8135"/>
    <x v="1338"/>
    <x v="4"/>
    <s v="Not Specified"/>
    <n v="16"/>
    <n v="772.41200000000003"/>
    <n v="0.03"/>
    <s v="Regular Air"/>
    <n v="-184.69"/>
    <n v="55.99"/>
    <n v="5"/>
    <x v="223"/>
    <x v="10"/>
    <x v="3"/>
    <x v="1"/>
    <x v="1"/>
    <x v="3"/>
    <x v="159"/>
    <s v="Small Pack"/>
    <n v="0.8"/>
    <d v="2011-06-27T00:00:00"/>
    <n v="0"/>
    <n v="0"/>
    <n v="1"/>
    <n v="1"/>
  </r>
  <r>
    <n v="1290"/>
    <n v="9473"/>
    <x v="1237"/>
    <x v="1"/>
    <s v="Not Specified"/>
    <n v="3"/>
    <n v="31.95"/>
    <n v="0.1"/>
    <s v="Regular Air"/>
    <n v="-23.69"/>
    <n v="8.0399999999999991"/>
    <n v="8.94"/>
    <x v="653"/>
    <x v="10"/>
    <x v="3"/>
    <x v="2"/>
    <x v="0"/>
    <x v="2"/>
    <x v="401"/>
    <s v="Small Box"/>
    <n v="0.4"/>
    <d v="2012-10-13T00:00:00"/>
    <n v="0"/>
    <n v="0"/>
    <n v="0.33333333333333331"/>
    <n v="0.16666666666666666"/>
  </r>
  <r>
    <n v="1291"/>
    <n v="9473"/>
    <x v="1237"/>
    <x v="1"/>
    <s v="Not Specified"/>
    <n v="34"/>
    <n v="563.82000000000005"/>
    <n v="0.03"/>
    <s v="Regular Air"/>
    <n v="188.22399999999999"/>
    <n v="16.510000000000002"/>
    <n v="2.99"/>
    <x v="653"/>
    <x v="10"/>
    <x v="3"/>
    <x v="2"/>
    <x v="0"/>
    <x v="2"/>
    <x v="1201"/>
    <s v="Small Box"/>
    <n v="0.37"/>
    <d v="2012-10-12T00:00:00"/>
    <n v="0"/>
    <n v="0"/>
    <n v="0.33333333333333331"/>
    <n v="0.16666666666666666"/>
  </r>
  <r>
    <n v="1292"/>
    <n v="9473"/>
    <x v="1237"/>
    <x v="1"/>
    <s v="Not Specified"/>
    <n v="31"/>
    <n v="502.44"/>
    <n v="0.04"/>
    <s v="Regular Air"/>
    <n v="-363.44"/>
    <n v="15.51"/>
    <n v="17.78"/>
    <x v="653"/>
    <x v="10"/>
    <x v="3"/>
    <x v="2"/>
    <x v="0"/>
    <x v="0"/>
    <x v="259"/>
    <s v="Small Box"/>
    <n v="0.59"/>
    <d v="2012-10-13T00:00:00"/>
    <n v="0"/>
    <n v="0"/>
    <n v="0.33333333333333331"/>
    <n v="0.16666666666666666"/>
  </r>
  <r>
    <n v="1404"/>
    <n v="10210"/>
    <x v="431"/>
    <x v="4"/>
    <s v="Not Specified"/>
    <n v="10"/>
    <n v="767.34"/>
    <n v="0.04"/>
    <s v="Regular Air"/>
    <n v="-154.65"/>
    <n v="73.98"/>
    <n v="14.52"/>
    <x v="657"/>
    <x v="10"/>
    <x v="3"/>
    <x v="2"/>
    <x v="1"/>
    <x v="7"/>
    <x v="640"/>
    <s v="Small Box"/>
    <n v="0.65"/>
    <d v="2011-06-24T00:00:00"/>
    <n v="0"/>
    <n v="0"/>
    <n v="1"/>
    <n v="1"/>
  </r>
  <r>
    <n v="1421"/>
    <n v="10308"/>
    <x v="938"/>
    <x v="37"/>
    <s v="High"/>
    <n v="40"/>
    <n v="5554.0360000000001"/>
    <n v="0.09"/>
    <s v="Regular Air"/>
    <n v="1153.836"/>
    <n v="175.99"/>
    <n v="8.99"/>
    <x v="659"/>
    <x v="10"/>
    <x v="3"/>
    <x v="0"/>
    <x v="1"/>
    <x v="3"/>
    <x v="484"/>
    <s v="Small Box"/>
    <n v="0.56999999999999995"/>
    <d v="2011-04-22T00:00:00"/>
    <n v="0"/>
    <n v="0"/>
    <n v="1"/>
    <n v="1"/>
  </r>
  <r>
    <n v="1516"/>
    <n v="10951"/>
    <x v="95"/>
    <x v="32"/>
    <s v="Not Specified"/>
    <n v="14"/>
    <n v="677.43"/>
    <n v="0.1"/>
    <s v="Regular Air"/>
    <n v="75.48"/>
    <n v="50.98"/>
    <n v="22.24"/>
    <x v="146"/>
    <x v="10"/>
    <x v="3"/>
    <x v="2"/>
    <x v="2"/>
    <x v="4"/>
    <x v="950"/>
    <s v="Large Box"/>
    <n v="0.55000000000000004"/>
    <d v="2012-11-06T00:00:00"/>
    <n v="0"/>
    <n v="0"/>
    <n v="1"/>
    <n v="1"/>
  </r>
  <r>
    <n v="1687"/>
    <n v="12194"/>
    <x v="495"/>
    <x v="5"/>
    <s v="Critical"/>
    <n v="19"/>
    <n v="3355.1539999999995"/>
    <n v="0"/>
    <s v="Regular Air"/>
    <n v="658.50299999999993"/>
    <n v="195.99"/>
    <n v="3.99"/>
    <x v="656"/>
    <x v="10"/>
    <x v="3"/>
    <x v="2"/>
    <x v="1"/>
    <x v="3"/>
    <x v="3"/>
    <s v="Small Box"/>
    <n v="0.57999999999999996"/>
    <d v="2011-03-02T00:00:00"/>
    <n v="0"/>
    <n v="0"/>
    <n v="1"/>
    <n v="1"/>
  </r>
  <r>
    <n v="1766"/>
    <n v="12642"/>
    <x v="240"/>
    <x v="46"/>
    <s v="Critical"/>
    <n v="10"/>
    <n v="564.85"/>
    <n v="0.09"/>
    <s v="Express Air"/>
    <n v="181.02449999999999"/>
    <n v="58.1"/>
    <n v="1.49"/>
    <x v="146"/>
    <x v="10"/>
    <x v="3"/>
    <x v="3"/>
    <x v="0"/>
    <x v="2"/>
    <x v="52"/>
    <s v="Small Box"/>
    <n v="0.38"/>
    <d v="2009-04-29T00:00:00"/>
    <n v="0"/>
    <n v="0"/>
    <n v="0.5"/>
    <n v="0.5"/>
  </r>
  <r>
    <n v="1767"/>
    <n v="12642"/>
    <x v="240"/>
    <x v="46"/>
    <s v="Critical"/>
    <n v="14"/>
    <n v="572.33000000000004"/>
    <n v="0.01"/>
    <s v="Regular Air"/>
    <n v="-62.28"/>
    <n v="39.979999999999997"/>
    <n v="7.12"/>
    <x v="146"/>
    <x v="10"/>
    <x v="3"/>
    <x v="3"/>
    <x v="1"/>
    <x v="7"/>
    <x v="830"/>
    <s v="Small Box"/>
    <n v="0.67"/>
    <d v="2009-04-29T00:00:00"/>
    <n v="0"/>
    <n v="0"/>
    <n v="0.5"/>
    <n v="0.5"/>
  </r>
  <r>
    <n v="1884"/>
    <n v="13542"/>
    <x v="815"/>
    <x v="28"/>
    <s v="Low"/>
    <n v="11"/>
    <n v="3571.84"/>
    <n v="0.01"/>
    <s v="Delivery Truck"/>
    <n v="403.81"/>
    <n v="300.98"/>
    <n v="64.73"/>
    <x v="660"/>
    <x v="10"/>
    <x v="3"/>
    <x v="1"/>
    <x v="2"/>
    <x v="14"/>
    <x v="70"/>
    <s v="Jumbo Drum"/>
    <n v="0.56000000000000005"/>
    <d v="2009-03-15T00:00:00"/>
    <n v="0"/>
    <n v="0"/>
    <n v="0.5"/>
    <n v="0.5"/>
  </r>
  <r>
    <n v="1885"/>
    <n v="13542"/>
    <x v="815"/>
    <x v="28"/>
    <s v="Low"/>
    <n v="33"/>
    <n v="310.44"/>
    <n v="0.03"/>
    <s v="Regular Air"/>
    <n v="-90.21"/>
    <n v="8.74"/>
    <n v="8.2899999999999991"/>
    <x v="660"/>
    <x v="10"/>
    <x v="3"/>
    <x v="1"/>
    <x v="0"/>
    <x v="8"/>
    <x v="427"/>
    <s v="Small Box"/>
    <n v="0.38"/>
    <d v="2009-03-08T00:00:00"/>
    <n v="0"/>
    <n v="0"/>
    <n v="0.5"/>
    <n v="0.5"/>
  </r>
  <r>
    <n v="1954"/>
    <n v="13988"/>
    <x v="1277"/>
    <x v="9"/>
    <s v="Not Specified"/>
    <n v="34"/>
    <n v="180.27"/>
    <n v="0.01"/>
    <s v="Regular Air"/>
    <n v="-59.71"/>
    <n v="4.95"/>
    <n v="5.32"/>
    <x v="661"/>
    <x v="10"/>
    <x v="3"/>
    <x v="3"/>
    <x v="2"/>
    <x v="4"/>
    <x v="1150"/>
    <s v="Small Box"/>
    <n v="0.41"/>
    <d v="2012-08-02T00:00:00"/>
    <n v="0"/>
    <n v="0"/>
    <n v="0.33333333333333331"/>
    <n v="0.33333333333333331"/>
  </r>
  <r>
    <n v="1955"/>
    <n v="13988"/>
    <x v="1277"/>
    <x v="9"/>
    <s v="Not Specified"/>
    <n v="39"/>
    <n v="626.96"/>
    <n v="0"/>
    <s v="Regular Air"/>
    <n v="-35.92"/>
    <n v="14.98"/>
    <n v="7.69"/>
    <x v="661"/>
    <x v="10"/>
    <x v="3"/>
    <x v="3"/>
    <x v="0"/>
    <x v="0"/>
    <x v="932"/>
    <s v="Small Box"/>
    <n v="0.56999999999999995"/>
    <d v="2012-08-02T00:00:00"/>
    <n v="0"/>
    <n v="0"/>
    <n v="0.33333333333333331"/>
    <n v="0.33333333333333331"/>
  </r>
  <r>
    <n v="1956"/>
    <n v="13988"/>
    <x v="1277"/>
    <x v="9"/>
    <s v="Not Specified"/>
    <n v="18"/>
    <n v="236.31"/>
    <n v="0.04"/>
    <s v="Express Air"/>
    <n v="-2.2400000000000002"/>
    <n v="11.97"/>
    <n v="4.9800000000000004"/>
    <x v="661"/>
    <x v="10"/>
    <x v="3"/>
    <x v="3"/>
    <x v="0"/>
    <x v="1"/>
    <x v="165"/>
    <s v="Small Box"/>
    <n v="0.57999999999999996"/>
    <d v="2012-08-02T00:00:00"/>
    <n v="0"/>
    <n v="0"/>
    <n v="0.33333333333333331"/>
    <n v="0.33333333333333331"/>
  </r>
  <r>
    <n v="1996"/>
    <n v="14241"/>
    <x v="1339"/>
    <x v="8"/>
    <s v="Critical"/>
    <n v="22"/>
    <n v="263.63"/>
    <n v="0.03"/>
    <s v="Regular Air"/>
    <n v="48.86"/>
    <n v="11.55"/>
    <n v="2.36"/>
    <x v="661"/>
    <x v="10"/>
    <x v="3"/>
    <x v="3"/>
    <x v="0"/>
    <x v="12"/>
    <x v="769"/>
    <s v="Wrap Bag"/>
    <n v="0.55000000000000004"/>
    <d v="2012-06-15T00:00:00"/>
    <n v="0"/>
    <n v="0"/>
    <n v="1"/>
    <n v="1"/>
  </r>
  <r>
    <n v="1997"/>
    <n v="14242"/>
    <x v="166"/>
    <x v="10"/>
    <s v="High"/>
    <n v="35"/>
    <n v="1078.58"/>
    <n v="0.03"/>
    <s v="Regular Air"/>
    <n v="8.9999999999999751"/>
    <n v="30.73"/>
    <n v="4"/>
    <x v="659"/>
    <x v="10"/>
    <x v="3"/>
    <x v="2"/>
    <x v="1"/>
    <x v="7"/>
    <x v="161"/>
    <s v="Small Box"/>
    <n v="0.75"/>
    <d v="2011-05-10T00:00:00"/>
    <n v="0"/>
    <n v="0"/>
    <n v="1"/>
    <n v="1"/>
  </r>
  <r>
    <n v="2085"/>
    <n v="14913"/>
    <x v="818"/>
    <x v="40"/>
    <s v="High"/>
    <n v="47"/>
    <n v="1003.43"/>
    <n v="0.01"/>
    <s v="Regular Air"/>
    <n v="208.06"/>
    <n v="19.98"/>
    <n v="8.68"/>
    <x v="655"/>
    <x v="10"/>
    <x v="3"/>
    <x v="1"/>
    <x v="0"/>
    <x v="5"/>
    <x v="471"/>
    <s v="Small Box"/>
    <n v="0.37"/>
    <d v="2009-02-15T00:00:00"/>
    <n v="0"/>
    <n v="0"/>
    <n v="1"/>
    <n v="1"/>
  </r>
  <r>
    <n v="2089"/>
    <n v="14951"/>
    <x v="54"/>
    <x v="10"/>
    <s v="Medium"/>
    <n v="34"/>
    <n v="2779.2"/>
    <n v="0.02"/>
    <s v="Regular Air"/>
    <n v="889.57"/>
    <n v="80.98"/>
    <n v="7.18"/>
    <x v="568"/>
    <x v="10"/>
    <x v="3"/>
    <x v="3"/>
    <x v="1"/>
    <x v="7"/>
    <x v="534"/>
    <s v="Small Box"/>
    <n v="0.48"/>
    <d v="2011-05-19T00:00:00"/>
    <n v="0"/>
    <n v="0"/>
    <n v="0.5"/>
    <n v="0.33333333333333331"/>
  </r>
  <r>
    <n v="2090"/>
    <n v="14951"/>
    <x v="54"/>
    <x v="10"/>
    <s v="Medium"/>
    <n v="26"/>
    <n v="65.209999999999994"/>
    <n v="0.08"/>
    <s v="Regular Air"/>
    <n v="-41.6"/>
    <n v="2.6"/>
    <n v="2.4"/>
    <x v="568"/>
    <x v="10"/>
    <x v="3"/>
    <x v="3"/>
    <x v="0"/>
    <x v="12"/>
    <x v="269"/>
    <s v="Wrap Bag"/>
    <n v="0.57999999999999996"/>
    <d v="2011-05-17T00:00:00"/>
    <n v="0"/>
    <n v="0"/>
    <n v="0.5"/>
    <n v="0.33333333333333331"/>
  </r>
  <r>
    <n v="2097"/>
    <n v="14983"/>
    <x v="954"/>
    <x v="40"/>
    <s v="High"/>
    <n v="48"/>
    <n v="8475.9619999999995"/>
    <n v="0.05"/>
    <s v="Express Air"/>
    <n v="2497.9409999999998"/>
    <n v="205.99"/>
    <n v="8.99"/>
    <x v="223"/>
    <x v="10"/>
    <x v="3"/>
    <x v="1"/>
    <x v="1"/>
    <x v="3"/>
    <x v="879"/>
    <s v="Small Box"/>
    <n v="0.57999999999999996"/>
    <d v="2009-02-12T00:00:00"/>
    <n v="0"/>
    <n v="0"/>
    <n v="0.5"/>
    <n v="0.5"/>
  </r>
  <r>
    <n v="2098"/>
    <n v="14983"/>
    <x v="954"/>
    <x v="40"/>
    <s v="High"/>
    <n v="18"/>
    <n v="3015.4939999999997"/>
    <n v="0.08"/>
    <s v="Regular Air"/>
    <n v="251.541"/>
    <n v="205.99"/>
    <n v="8.99"/>
    <x v="223"/>
    <x v="10"/>
    <x v="3"/>
    <x v="1"/>
    <x v="1"/>
    <x v="3"/>
    <x v="1044"/>
    <s v="Small Box"/>
    <n v="0.56000000000000005"/>
    <d v="2009-02-12T00:00:00"/>
    <n v="0"/>
    <n v="0"/>
    <n v="0.5"/>
    <n v="0.5"/>
  </r>
  <r>
    <n v="2160"/>
    <n v="15524"/>
    <x v="186"/>
    <x v="20"/>
    <s v="Medium"/>
    <n v="27"/>
    <n v="156.82"/>
    <n v="0.03"/>
    <s v="Regular Air"/>
    <n v="-37.619999999999997"/>
    <n v="5.68"/>
    <n v="3.6"/>
    <x v="660"/>
    <x v="10"/>
    <x v="3"/>
    <x v="1"/>
    <x v="0"/>
    <x v="15"/>
    <x v="1153"/>
    <s v="Small Pack"/>
    <n v="0.56000000000000005"/>
    <d v="2012-05-12T00:00:00"/>
    <n v="0"/>
    <n v="0"/>
    <n v="1"/>
    <n v="1"/>
  </r>
  <r>
    <n v="2180"/>
    <n v="15714"/>
    <x v="1340"/>
    <x v="2"/>
    <s v="High"/>
    <n v="50"/>
    <n v="2510.71"/>
    <n v="0.01"/>
    <s v="Express Air"/>
    <n v="3.5999999999999943"/>
    <n v="49.43"/>
    <n v="19.989999999999998"/>
    <x v="661"/>
    <x v="10"/>
    <x v="3"/>
    <x v="3"/>
    <x v="0"/>
    <x v="1"/>
    <x v="638"/>
    <s v="Small Box"/>
    <n v="0.56999999999999995"/>
    <d v="2011-07-07T00:00:00"/>
    <n v="0"/>
    <n v="0"/>
    <n v="1"/>
    <n v="1"/>
  </r>
  <r>
    <n v="2382"/>
    <n v="17282"/>
    <x v="1278"/>
    <x v="11"/>
    <s v="Low"/>
    <n v="37"/>
    <n v="988.42"/>
    <n v="0.09"/>
    <s v="Regular Air"/>
    <n v="253.9375"/>
    <n v="29.17"/>
    <n v="6.27"/>
    <x v="568"/>
    <x v="10"/>
    <x v="3"/>
    <x v="3"/>
    <x v="0"/>
    <x v="2"/>
    <x v="837"/>
    <s v="Small Box"/>
    <n v="0.37"/>
    <d v="2009-11-20T00:00:00"/>
    <n v="0"/>
    <n v="0"/>
    <n v="1"/>
    <n v="1"/>
  </r>
  <r>
    <n v="2398"/>
    <n v="17381"/>
    <x v="928"/>
    <x v="3"/>
    <s v="High"/>
    <n v="28"/>
    <n v="101.25"/>
    <n v="0.05"/>
    <s v="Regular Air"/>
    <n v="40.9"/>
    <n v="3.75"/>
    <n v="0.5"/>
    <x v="223"/>
    <x v="10"/>
    <x v="3"/>
    <x v="2"/>
    <x v="0"/>
    <x v="11"/>
    <x v="743"/>
    <s v="Small Box"/>
    <n v="0.37"/>
    <d v="2010-08-15T00:00:00"/>
    <n v="0"/>
    <n v="0"/>
    <n v="1"/>
    <n v="1"/>
  </r>
  <r>
    <n v="2460"/>
    <n v="17862"/>
    <x v="958"/>
    <x v="20"/>
    <s v="Not Specified"/>
    <n v="1"/>
    <n v="28.73"/>
    <n v="0"/>
    <s v="Regular Air"/>
    <n v="-57.04"/>
    <n v="20.97"/>
    <n v="6.5"/>
    <x v="146"/>
    <x v="10"/>
    <x v="3"/>
    <x v="2"/>
    <x v="1"/>
    <x v="7"/>
    <x v="154"/>
    <s v="Small Box"/>
    <n v="0.78"/>
    <d v="2012-05-08T00:00:00"/>
    <n v="0"/>
    <n v="0"/>
    <n v="0.5"/>
    <n v="0.5"/>
  </r>
  <r>
    <n v="2461"/>
    <n v="17862"/>
    <x v="958"/>
    <x v="20"/>
    <s v="Not Specified"/>
    <n v="31"/>
    <n v="67.88"/>
    <n v="0.08"/>
    <s v="Express Air"/>
    <n v="4.87"/>
    <n v="2.1"/>
    <n v="0.7"/>
    <x v="146"/>
    <x v="10"/>
    <x v="3"/>
    <x v="2"/>
    <x v="0"/>
    <x v="12"/>
    <x v="1145"/>
    <s v="Wrap Bag"/>
    <n v="0.56999999999999995"/>
    <d v="2012-05-09T00:00:00"/>
    <n v="0"/>
    <n v="0"/>
    <n v="0.5"/>
    <n v="0.5"/>
  </r>
  <r>
    <n v="2464"/>
    <n v="17927"/>
    <x v="482"/>
    <x v="26"/>
    <s v="Medium"/>
    <n v="42"/>
    <n v="865.21"/>
    <n v="7.0000000000000007E-2"/>
    <s v="Regular Air"/>
    <n v="-42.1"/>
    <n v="20.95"/>
    <n v="5.99"/>
    <x v="655"/>
    <x v="10"/>
    <x v="3"/>
    <x v="1"/>
    <x v="1"/>
    <x v="7"/>
    <x v="124"/>
    <s v="Small Box"/>
    <n v="0.65"/>
    <d v="2009-08-10T00:00:00"/>
    <n v="0"/>
    <n v="0"/>
    <n v="1"/>
    <n v="1"/>
  </r>
  <r>
    <n v="2477"/>
    <n v="17988"/>
    <x v="1264"/>
    <x v="18"/>
    <s v="Low"/>
    <n v="46"/>
    <n v="2660.6105000000002"/>
    <n v="0.03"/>
    <s v="Regular Air"/>
    <n v="618.06600000000003"/>
    <n v="65.989999999999995"/>
    <n v="8.99"/>
    <x v="396"/>
    <x v="10"/>
    <x v="3"/>
    <x v="0"/>
    <x v="1"/>
    <x v="3"/>
    <x v="893"/>
    <s v="Small Box"/>
    <n v="0.56000000000000005"/>
    <d v="2010-09-24T00:00:00"/>
    <n v="0"/>
    <n v="0"/>
    <n v="1"/>
    <n v="1"/>
  </r>
  <r>
    <n v="2481"/>
    <n v="18049"/>
    <x v="1334"/>
    <x v="26"/>
    <s v="Medium"/>
    <n v="10"/>
    <n v="65.52"/>
    <n v="7.0000000000000007E-2"/>
    <s v="Regular Air"/>
    <n v="-22.57"/>
    <n v="5.98"/>
    <n v="5.46"/>
    <x v="657"/>
    <x v="10"/>
    <x v="3"/>
    <x v="2"/>
    <x v="0"/>
    <x v="5"/>
    <x v="584"/>
    <s v="Small Box"/>
    <n v="0.36"/>
    <d v="2009-08-15T00:00:00"/>
    <n v="0"/>
    <n v="0"/>
    <n v="1"/>
    <n v="1"/>
  </r>
  <r>
    <n v="2518"/>
    <n v="18307"/>
    <x v="243"/>
    <x v="6"/>
    <s v="Low"/>
    <n v="23"/>
    <n v="441.99"/>
    <n v="0.08"/>
    <s v="Express Air"/>
    <n v="32.36"/>
    <n v="19.98"/>
    <n v="8.68"/>
    <x v="659"/>
    <x v="10"/>
    <x v="3"/>
    <x v="2"/>
    <x v="0"/>
    <x v="5"/>
    <x v="471"/>
    <s v="Small Box"/>
    <n v="0.37"/>
    <d v="2010-02-06T00:00:00"/>
    <n v="0"/>
    <n v="0"/>
    <n v="0.5"/>
    <n v="0.5"/>
  </r>
  <r>
    <n v="2519"/>
    <n v="18307"/>
    <x v="243"/>
    <x v="6"/>
    <s v="Low"/>
    <n v="34"/>
    <n v="245.19"/>
    <n v="0.03"/>
    <s v="Regular Air"/>
    <n v="37.99"/>
    <n v="7.08"/>
    <n v="2.35"/>
    <x v="659"/>
    <x v="10"/>
    <x v="3"/>
    <x v="2"/>
    <x v="0"/>
    <x v="12"/>
    <x v="174"/>
    <s v="Wrap Bag"/>
    <n v="0.47"/>
    <d v="2010-02-02T00:00:00"/>
    <n v="0"/>
    <n v="0"/>
    <n v="0.5"/>
    <n v="0.5"/>
  </r>
  <r>
    <n v="2530"/>
    <n v="18370"/>
    <x v="690"/>
    <x v="16"/>
    <s v="Low"/>
    <n v="41"/>
    <n v="1271.0474999999999"/>
    <n v="0"/>
    <s v="Regular Air"/>
    <n v="-158.23500000000001"/>
    <n v="35.99"/>
    <n v="5"/>
    <x v="223"/>
    <x v="10"/>
    <x v="3"/>
    <x v="1"/>
    <x v="1"/>
    <x v="3"/>
    <x v="643"/>
    <s v="Small Box"/>
    <n v="0.85"/>
    <d v="2011-01-17T00:00:00"/>
    <n v="0"/>
    <n v="0"/>
    <n v="1"/>
    <n v="1"/>
  </r>
  <r>
    <n v="2531"/>
    <n v="18371"/>
    <x v="896"/>
    <x v="35"/>
    <s v="Medium"/>
    <n v="30"/>
    <n v="1394.36"/>
    <n v="0"/>
    <s v="Regular Air"/>
    <n v="271.45"/>
    <n v="43.98"/>
    <n v="8.99"/>
    <x v="568"/>
    <x v="10"/>
    <x v="3"/>
    <x v="3"/>
    <x v="0"/>
    <x v="12"/>
    <x v="672"/>
    <s v="Small Pack"/>
    <n v="0.57999999999999996"/>
    <d v="2009-09-18T00:00:00"/>
    <n v="0"/>
    <n v="0"/>
    <n v="1"/>
    <n v="1"/>
  </r>
  <r>
    <n v="2720"/>
    <n v="19649"/>
    <x v="622"/>
    <x v="10"/>
    <s v="High"/>
    <n v="25"/>
    <n v="375.74"/>
    <n v="0.05"/>
    <s v="Express Air"/>
    <n v="-9.31"/>
    <n v="14.42"/>
    <n v="6.75"/>
    <x v="655"/>
    <x v="10"/>
    <x v="3"/>
    <x v="1"/>
    <x v="0"/>
    <x v="1"/>
    <x v="793"/>
    <s v="Medium Box"/>
    <n v="0.52"/>
    <d v="2011-05-06T00:00:00"/>
    <n v="0"/>
    <n v="0"/>
    <n v="0.5"/>
    <n v="0.2"/>
  </r>
  <r>
    <n v="2721"/>
    <n v="19649"/>
    <x v="622"/>
    <x v="10"/>
    <s v="High"/>
    <n v="36"/>
    <n v="1095.1099999999999"/>
    <n v="0.1"/>
    <s v="Delivery Truck"/>
    <n v="-1286.43"/>
    <n v="31.76"/>
    <n v="45.51"/>
    <x v="655"/>
    <x v="10"/>
    <x v="3"/>
    <x v="1"/>
    <x v="2"/>
    <x v="10"/>
    <x v="465"/>
    <s v="Jumbo Box"/>
    <n v="0.65"/>
    <d v="2011-05-05T00:00:00"/>
    <n v="0"/>
    <n v="0"/>
    <n v="0.5"/>
    <n v="0.2"/>
  </r>
  <r>
    <n v="2738"/>
    <n v="19748"/>
    <x v="136"/>
    <x v="3"/>
    <s v="Not Specified"/>
    <n v="6"/>
    <n v="124.65"/>
    <n v="0.01"/>
    <s v="Regular Air"/>
    <n v="13.34"/>
    <n v="18.97"/>
    <n v="5.21"/>
    <x v="656"/>
    <x v="10"/>
    <x v="3"/>
    <x v="2"/>
    <x v="0"/>
    <x v="5"/>
    <x v="82"/>
    <s v="Small Box"/>
    <n v="0.37"/>
    <d v="2010-08-05T00:00:00"/>
    <n v="0"/>
    <n v="0"/>
    <n v="1"/>
    <n v="1"/>
  </r>
  <r>
    <n v="2762"/>
    <n v="19974"/>
    <x v="1041"/>
    <x v="7"/>
    <s v="High"/>
    <n v="14"/>
    <n v="3830.84"/>
    <n v="0.1"/>
    <s v="Delivery Truck"/>
    <n v="635.33000000000004"/>
    <n v="279.81"/>
    <n v="23.19"/>
    <x v="223"/>
    <x v="10"/>
    <x v="3"/>
    <x v="2"/>
    <x v="0"/>
    <x v="1"/>
    <x v="369"/>
    <s v="Jumbo Drum"/>
    <n v="0.59"/>
    <d v="2010-11-05T00:00:00"/>
    <n v="0"/>
    <n v="0"/>
    <n v="0.5"/>
    <n v="0.33333333333333331"/>
  </r>
  <r>
    <n v="2763"/>
    <n v="19974"/>
    <x v="1041"/>
    <x v="7"/>
    <s v="High"/>
    <n v="22"/>
    <n v="267.43"/>
    <n v="7.0000000000000007E-2"/>
    <s v="Regular Air"/>
    <n v="-45.98"/>
    <n v="12.28"/>
    <n v="6.13"/>
    <x v="223"/>
    <x v="10"/>
    <x v="3"/>
    <x v="2"/>
    <x v="0"/>
    <x v="0"/>
    <x v="166"/>
    <s v="Small Box"/>
    <n v="0.56999999999999995"/>
    <d v="2010-11-05T00:00:00"/>
    <n v="0"/>
    <n v="0"/>
    <n v="0.5"/>
    <n v="0.33333333333333331"/>
  </r>
  <r>
    <n v="2769"/>
    <n v="20032"/>
    <x v="748"/>
    <x v="32"/>
    <s v="Medium"/>
    <n v="8"/>
    <n v="137.38"/>
    <n v="0.06"/>
    <s v="Regular Air"/>
    <n v="-11.39"/>
    <n v="17.48"/>
    <n v="1.99"/>
    <x v="657"/>
    <x v="10"/>
    <x v="3"/>
    <x v="2"/>
    <x v="1"/>
    <x v="7"/>
    <x v="814"/>
    <s v="Small Pack"/>
    <n v="0.45"/>
    <d v="2012-11-07T00:00:00"/>
    <n v="0"/>
    <n v="0"/>
    <n v="1"/>
    <n v="1"/>
  </r>
  <r>
    <n v="3164"/>
    <n v="22727"/>
    <x v="609"/>
    <x v="2"/>
    <s v="Not Specified"/>
    <n v="45"/>
    <n v="296.82"/>
    <n v="7.0000000000000007E-2"/>
    <s v="Regular Air"/>
    <n v="-120.37"/>
    <n v="6.48"/>
    <n v="6.65"/>
    <x v="203"/>
    <x v="10"/>
    <x v="3"/>
    <x v="2"/>
    <x v="0"/>
    <x v="5"/>
    <x v="58"/>
    <s v="Small Box"/>
    <n v="0.36"/>
    <d v="2011-07-03T00:00:00"/>
    <n v="0"/>
    <n v="0"/>
    <n v="1"/>
    <n v="0.5"/>
  </r>
  <r>
    <n v="3203"/>
    <n v="22978"/>
    <x v="969"/>
    <x v="46"/>
    <s v="Medium"/>
    <n v="28"/>
    <n v="1801.95"/>
    <n v="0.03"/>
    <s v="Delivery Truck"/>
    <n v="-182.07"/>
    <n v="60.89"/>
    <n v="32.409999999999997"/>
    <x v="396"/>
    <x v="10"/>
    <x v="3"/>
    <x v="0"/>
    <x v="2"/>
    <x v="14"/>
    <x v="1031"/>
    <s v="Jumbo Drum"/>
    <n v="0.56000000000000005"/>
    <d v="2009-04-03T00:00:00"/>
    <n v="0"/>
    <n v="0"/>
    <n v="1"/>
    <n v="1"/>
  </r>
  <r>
    <n v="3224"/>
    <n v="23140"/>
    <x v="156"/>
    <x v="12"/>
    <s v="High"/>
    <n v="18"/>
    <n v="1713.8"/>
    <n v="0.05"/>
    <s v="Regular Air"/>
    <n v="1125.29"/>
    <n v="99.23"/>
    <n v="8.99"/>
    <x v="661"/>
    <x v="10"/>
    <x v="3"/>
    <x v="3"/>
    <x v="2"/>
    <x v="4"/>
    <x v="547"/>
    <s v="Small Pack"/>
    <n v="0.35"/>
    <d v="2012-02-10T00:00:00"/>
    <n v="0"/>
    <n v="0"/>
    <n v="0.5"/>
    <n v="0.5"/>
  </r>
  <r>
    <n v="3225"/>
    <n v="23140"/>
    <x v="156"/>
    <x v="12"/>
    <s v="High"/>
    <n v="16"/>
    <n v="116.69"/>
    <n v="0.02"/>
    <s v="Regular Air"/>
    <n v="11.69"/>
    <n v="7.08"/>
    <n v="2.35"/>
    <x v="661"/>
    <x v="10"/>
    <x v="3"/>
    <x v="3"/>
    <x v="0"/>
    <x v="12"/>
    <x v="174"/>
    <s v="Wrap Bag"/>
    <n v="0.47"/>
    <d v="2012-02-08T00:00:00"/>
    <n v="0"/>
    <n v="0"/>
    <n v="0.5"/>
    <n v="0.5"/>
  </r>
  <r>
    <n v="3302"/>
    <n v="23586"/>
    <x v="169"/>
    <x v="38"/>
    <s v="Medium"/>
    <n v="32"/>
    <n v="210.9"/>
    <n v="0.03"/>
    <s v="Regular Air"/>
    <n v="-62.46"/>
    <n v="6.48"/>
    <n v="5.74"/>
    <x v="396"/>
    <x v="10"/>
    <x v="3"/>
    <x v="0"/>
    <x v="0"/>
    <x v="5"/>
    <x v="552"/>
    <s v="Small Box"/>
    <n v="0.37"/>
    <d v="2010-01-17T00:00:00"/>
    <n v="1"/>
    <n v="0"/>
    <n v="1"/>
    <n v="1"/>
  </r>
  <r>
    <n v="3309"/>
    <n v="23648"/>
    <x v="579"/>
    <x v="34"/>
    <s v="Critical"/>
    <n v="44"/>
    <n v="6768.16"/>
    <n v="0.03"/>
    <s v="Regular Air"/>
    <n v="907.49"/>
    <n v="152.47999999999999"/>
    <n v="6.5"/>
    <x v="657"/>
    <x v="10"/>
    <x v="3"/>
    <x v="2"/>
    <x v="1"/>
    <x v="7"/>
    <x v="659"/>
    <s v="Small Box"/>
    <n v="0.74"/>
    <d v="2012-09-25T00:00:00"/>
    <n v="0"/>
    <n v="0"/>
    <n v="0.5"/>
    <n v="0.5"/>
  </r>
  <r>
    <n v="3310"/>
    <n v="23648"/>
    <x v="579"/>
    <x v="34"/>
    <s v="Critical"/>
    <n v="4"/>
    <n v="10.65"/>
    <n v="0.1"/>
    <s v="Regular Air"/>
    <n v="-0.64"/>
    <n v="2.61"/>
    <n v="0.5"/>
    <x v="657"/>
    <x v="10"/>
    <x v="3"/>
    <x v="2"/>
    <x v="0"/>
    <x v="11"/>
    <x v="281"/>
    <s v="Small Box"/>
    <n v="0.39"/>
    <d v="2012-09-25T00:00:00"/>
    <n v="0"/>
    <n v="0"/>
    <n v="0.5"/>
    <n v="0.5"/>
  </r>
  <r>
    <n v="3497"/>
    <n v="24931"/>
    <x v="647"/>
    <x v="27"/>
    <s v="Low"/>
    <n v="9"/>
    <n v="149.63999999999999"/>
    <n v="0.05"/>
    <s v="Regular Air"/>
    <n v="13.77"/>
    <n v="16.739999999999998"/>
    <n v="5.08"/>
    <x v="661"/>
    <x v="10"/>
    <x v="3"/>
    <x v="3"/>
    <x v="0"/>
    <x v="2"/>
    <x v="1214"/>
    <s v="Small Box"/>
    <n v="0.36"/>
    <d v="2011-11-11T00:00:00"/>
    <n v="0"/>
    <n v="0"/>
    <n v="1"/>
    <n v="1"/>
  </r>
  <r>
    <n v="3566"/>
    <n v="25443"/>
    <x v="303"/>
    <x v="34"/>
    <s v="Medium"/>
    <n v="33"/>
    <n v="570.24"/>
    <n v="0.01"/>
    <s v="Regular Air"/>
    <n v="-57.828899999999997"/>
    <n v="15.99"/>
    <n v="11.28"/>
    <x v="223"/>
    <x v="10"/>
    <x v="3"/>
    <x v="2"/>
    <x v="1"/>
    <x v="16"/>
    <x v="1230"/>
    <s v="Medium Box"/>
    <n v="0.38"/>
    <d v="2012-09-22T00:00:00"/>
    <n v="0"/>
    <n v="0"/>
    <n v="1"/>
    <n v="1"/>
  </r>
  <r>
    <n v="3632"/>
    <n v="25953"/>
    <x v="717"/>
    <x v="35"/>
    <s v="Critical"/>
    <n v="27"/>
    <n v="258.54000000000002"/>
    <n v="0.1"/>
    <s v="Regular Air"/>
    <n v="-16.3"/>
    <n v="9.85"/>
    <n v="4.82"/>
    <x v="657"/>
    <x v="10"/>
    <x v="3"/>
    <x v="2"/>
    <x v="0"/>
    <x v="12"/>
    <x v="1106"/>
    <s v="Wrap Bag"/>
    <n v="0.47"/>
    <d v="2009-09-28T00:00:00"/>
    <n v="0"/>
    <n v="0"/>
    <n v="0.5"/>
    <n v="0.5"/>
  </r>
  <r>
    <n v="3633"/>
    <n v="25953"/>
    <x v="717"/>
    <x v="35"/>
    <s v="Critical"/>
    <n v="19"/>
    <n v="1972.884"/>
    <n v="0.04"/>
    <s v="Regular Air"/>
    <n v="140.91299999999998"/>
    <n v="125.99"/>
    <n v="7.69"/>
    <x v="657"/>
    <x v="10"/>
    <x v="3"/>
    <x v="2"/>
    <x v="1"/>
    <x v="3"/>
    <x v="44"/>
    <s v="Small Box"/>
    <n v="0.57999999999999996"/>
    <d v="2009-09-28T00:00:00"/>
    <n v="0"/>
    <n v="0"/>
    <n v="0.5"/>
    <n v="0.5"/>
  </r>
  <r>
    <n v="3650"/>
    <n v="26144"/>
    <x v="1052"/>
    <x v="17"/>
    <s v="High"/>
    <n v="28"/>
    <n v="75.739999999999995"/>
    <n v="0.1"/>
    <s v="Regular Air"/>
    <n v="13.23"/>
    <n v="2.88"/>
    <n v="0.99"/>
    <x v="486"/>
    <x v="10"/>
    <x v="3"/>
    <x v="0"/>
    <x v="0"/>
    <x v="11"/>
    <x v="184"/>
    <s v="Small Box"/>
    <n v="0.36"/>
    <d v="2011-10-27T00:00:00"/>
    <n v="0"/>
    <n v="0"/>
    <n v="1"/>
    <n v="1"/>
  </r>
  <r>
    <n v="3702"/>
    <n v="26439"/>
    <x v="339"/>
    <x v="31"/>
    <s v="Medium"/>
    <n v="38"/>
    <n v="1230.83"/>
    <n v="0"/>
    <s v="Regular Air"/>
    <n v="75.5"/>
    <n v="30.98"/>
    <n v="6.5"/>
    <x v="559"/>
    <x v="10"/>
    <x v="3"/>
    <x v="2"/>
    <x v="1"/>
    <x v="7"/>
    <x v="455"/>
    <s v="Small Box"/>
    <n v="0.64"/>
    <d v="2011-09-16T00:00:00"/>
    <n v="0"/>
    <n v="0"/>
    <n v="0.33333333333333331"/>
    <n v="0.33333333333333331"/>
  </r>
  <r>
    <n v="3703"/>
    <n v="26439"/>
    <x v="339"/>
    <x v="31"/>
    <s v="Medium"/>
    <n v="37"/>
    <n v="169.93"/>
    <n v="0.04"/>
    <s v="Regular Air"/>
    <n v="-114.35"/>
    <n v="4.28"/>
    <n v="5.74"/>
    <x v="559"/>
    <x v="10"/>
    <x v="3"/>
    <x v="2"/>
    <x v="0"/>
    <x v="5"/>
    <x v="501"/>
    <s v="Small Box"/>
    <n v="0.4"/>
    <d v="2011-09-15T00:00:00"/>
    <n v="0"/>
    <n v="0"/>
    <n v="0.33333333333333331"/>
    <n v="0.33333333333333331"/>
  </r>
  <r>
    <n v="3704"/>
    <n v="26439"/>
    <x v="339"/>
    <x v="31"/>
    <s v="Medium"/>
    <n v="23"/>
    <n v="1176.944"/>
    <n v="0.1"/>
    <s v="Regular Air"/>
    <n v="53.649000000000001"/>
    <n v="65.989999999999995"/>
    <n v="4.99"/>
    <x v="559"/>
    <x v="10"/>
    <x v="3"/>
    <x v="2"/>
    <x v="1"/>
    <x v="3"/>
    <x v="670"/>
    <s v="Small Box"/>
    <n v="0.57999999999999996"/>
    <d v="2011-09-17T00:00:00"/>
    <n v="0"/>
    <n v="0"/>
    <n v="0.33333333333333331"/>
    <n v="0.33333333333333331"/>
  </r>
  <r>
    <n v="3707"/>
    <n v="26466"/>
    <x v="790"/>
    <x v="41"/>
    <s v="Critical"/>
    <n v="29"/>
    <n v="909.721"/>
    <n v="0.01"/>
    <s v="Regular Air"/>
    <n v="287.99099999999999"/>
    <n v="35.99"/>
    <n v="5.99"/>
    <x v="223"/>
    <x v="10"/>
    <x v="3"/>
    <x v="2"/>
    <x v="1"/>
    <x v="3"/>
    <x v="702"/>
    <s v="Wrap Bag"/>
    <n v="0.38"/>
    <d v="2009-06-12T00:00:00"/>
    <n v="0"/>
    <n v="0"/>
    <n v="1"/>
    <n v="1"/>
  </r>
  <r>
    <n v="3937"/>
    <n v="28037"/>
    <x v="521"/>
    <x v="47"/>
    <s v="High"/>
    <n v="31"/>
    <n v="203.53"/>
    <n v="0.06"/>
    <s v="Regular Air"/>
    <n v="-101.28"/>
    <n v="6.68"/>
    <n v="6.93"/>
    <x v="656"/>
    <x v="10"/>
    <x v="3"/>
    <x v="2"/>
    <x v="0"/>
    <x v="5"/>
    <x v="261"/>
    <s v="Small Box"/>
    <n v="0.37"/>
    <d v="2009-12-13T00:00:00"/>
    <n v="0"/>
    <n v="0"/>
    <n v="1"/>
    <n v="1"/>
  </r>
  <r>
    <n v="3967"/>
    <n v="28294"/>
    <x v="988"/>
    <x v="20"/>
    <s v="High"/>
    <n v="47"/>
    <n v="63.47"/>
    <n v="0"/>
    <s v="Regular Air"/>
    <n v="-19.920000000000002"/>
    <n v="1.26"/>
    <n v="0.7"/>
    <x v="486"/>
    <x v="10"/>
    <x v="3"/>
    <x v="2"/>
    <x v="0"/>
    <x v="6"/>
    <x v="230"/>
    <s v="Wrap Bag"/>
    <n v="0.81"/>
    <d v="2012-05-23T00:00:00"/>
    <n v="0"/>
    <n v="0"/>
    <n v="1"/>
    <n v="0.5"/>
  </r>
  <r>
    <n v="3984"/>
    <n v="28453"/>
    <x v="1341"/>
    <x v="45"/>
    <s v="Critical"/>
    <n v="26"/>
    <n v="560.03"/>
    <n v="0.04"/>
    <s v="Regular Air"/>
    <n v="-139.87"/>
    <n v="21.66"/>
    <n v="13.99"/>
    <x v="203"/>
    <x v="10"/>
    <x v="3"/>
    <x v="3"/>
    <x v="0"/>
    <x v="1"/>
    <x v="116"/>
    <s v="Medium Box"/>
    <n v="0.52"/>
    <d v="2012-12-28T00:00:00"/>
    <n v="0"/>
    <n v="0"/>
    <n v="1"/>
    <n v="1"/>
  </r>
  <r>
    <n v="3993"/>
    <n v="28512"/>
    <x v="1342"/>
    <x v="24"/>
    <s v="Medium"/>
    <n v="11"/>
    <n v="323.91000000000003"/>
    <n v="0.09"/>
    <s v="Regular Air"/>
    <n v="-96.53"/>
    <n v="30.73"/>
    <n v="4"/>
    <x v="486"/>
    <x v="10"/>
    <x v="3"/>
    <x v="2"/>
    <x v="1"/>
    <x v="7"/>
    <x v="161"/>
    <s v="Small Box"/>
    <n v="0.75"/>
    <d v="2010-04-28T00:00:00"/>
    <n v="0"/>
    <n v="0"/>
    <n v="0.33333333333333331"/>
    <n v="0.33333333333333331"/>
  </r>
  <r>
    <n v="3994"/>
    <n v="28512"/>
    <x v="1342"/>
    <x v="24"/>
    <s v="Medium"/>
    <n v="10"/>
    <n v="185.59"/>
    <n v="0.1"/>
    <s v="Regular Air"/>
    <n v="12.01"/>
    <n v="19.98"/>
    <n v="5.77"/>
    <x v="486"/>
    <x v="10"/>
    <x v="3"/>
    <x v="2"/>
    <x v="0"/>
    <x v="5"/>
    <x v="93"/>
    <s v="Small Box"/>
    <n v="0.38"/>
    <d v="2010-04-29T00:00:00"/>
    <n v="0"/>
    <n v="0"/>
    <n v="0.33333333333333331"/>
    <n v="0.33333333333333331"/>
  </r>
  <r>
    <n v="3995"/>
    <n v="28512"/>
    <x v="1342"/>
    <x v="24"/>
    <s v="Medium"/>
    <n v="18"/>
    <n v="7168.15"/>
    <n v="0.05"/>
    <s v="Regular Air"/>
    <n v="1593.61"/>
    <n v="419.19"/>
    <n v="19.989999999999998"/>
    <x v="486"/>
    <x v="10"/>
    <x v="3"/>
    <x v="2"/>
    <x v="0"/>
    <x v="0"/>
    <x v="1127"/>
    <s v="Small Box"/>
    <n v="0.57999999999999996"/>
    <d v="2010-04-29T00:00:00"/>
    <n v="0"/>
    <n v="0"/>
    <n v="0.33333333333333331"/>
    <n v="0.33333333333333331"/>
  </r>
  <r>
    <n v="4011"/>
    <n v="28641"/>
    <x v="719"/>
    <x v="17"/>
    <s v="Not Specified"/>
    <n v="33"/>
    <n v="278.64999999999998"/>
    <n v="0.05"/>
    <s v="Express Air"/>
    <n v="-36.340000000000003"/>
    <n v="8.32"/>
    <n v="2.38"/>
    <x v="652"/>
    <x v="10"/>
    <x v="3"/>
    <x v="3"/>
    <x v="1"/>
    <x v="7"/>
    <x v="1090"/>
    <s v="Small Pack"/>
    <n v="0.74"/>
    <d v="2011-10-13T00:00:00"/>
    <n v="0"/>
    <n v="0"/>
    <n v="1"/>
    <n v="1"/>
  </r>
  <r>
    <n v="4045"/>
    <n v="28867"/>
    <x v="1245"/>
    <x v="2"/>
    <s v="Medium"/>
    <n v="43"/>
    <n v="866.73"/>
    <n v="0.1"/>
    <s v="Regular Air"/>
    <n v="-199.98"/>
    <n v="20.97"/>
    <n v="6.5"/>
    <x v="656"/>
    <x v="10"/>
    <x v="3"/>
    <x v="2"/>
    <x v="1"/>
    <x v="7"/>
    <x v="154"/>
    <s v="Small Box"/>
    <n v="0.78"/>
    <d v="2011-07-23T00:00:00"/>
    <n v="0"/>
    <n v="0"/>
    <n v="0.33333333333333331"/>
    <n v="0.33333333333333331"/>
  </r>
  <r>
    <n v="4046"/>
    <n v="28867"/>
    <x v="1245"/>
    <x v="2"/>
    <s v="Medium"/>
    <n v="6"/>
    <n v="642.41999999999996"/>
    <n v="0.03"/>
    <s v="Regular Air"/>
    <n v="80.010000000000005"/>
    <n v="104.85"/>
    <n v="19.989999999999998"/>
    <x v="656"/>
    <x v="10"/>
    <x v="3"/>
    <x v="2"/>
    <x v="0"/>
    <x v="5"/>
    <x v="806"/>
    <s v="Small Box"/>
    <n v="0.37"/>
    <d v="2011-07-23T00:00:00"/>
    <n v="0"/>
    <n v="0"/>
    <n v="0.33333333333333331"/>
    <n v="0.33333333333333331"/>
  </r>
  <r>
    <n v="4047"/>
    <n v="28867"/>
    <x v="1245"/>
    <x v="2"/>
    <s v="Medium"/>
    <n v="26"/>
    <n v="2169.7525000000001"/>
    <n v="0.02"/>
    <s v="Regular Air"/>
    <n v="374.75099999999998"/>
    <n v="95.99"/>
    <n v="8.99"/>
    <x v="656"/>
    <x v="10"/>
    <x v="3"/>
    <x v="2"/>
    <x v="1"/>
    <x v="3"/>
    <x v="94"/>
    <s v="Small Box"/>
    <n v="0.56999999999999995"/>
    <d v="2011-07-24T00:00:00"/>
    <n v="0"/>
    <n v="0"/>
    <n v="0.33333333333333331"/>
    <n v="0.33333333333333331"/>
  </r>
  <r>
    <n v="4055"/>
    <n v="28899"/>
    <x v="1339"/>
    <x v="8"/>
    <s v="Low"/>
    <n v="27"/>
    <n v="4488.2635"/>
    <n v="0.06"/>
    <s v="Regular Air"/>
    <n v="750.54600000000005"/>
    <n v="205.99"/>
    <n v="5"/>
    <x v="655"/>
    <x v="10"/>
    <x v="3"/>
    <x v="1"/>
    <x v="1"/>
    <x v="3"/>
    <x v="963"/>
    <s v="Small Box"/>
    <n v="0.59"/>
    <d v="2012-06-16T00:00:00"/>
    <n v="0"/>
    <n v="0"/>
    <n v="1"/>
    <n v="1"/>
  </r>
  <r>
    <n v="4264"/>
    <n v="30343"/>
    <x v="215"/>
    <x v="20"/>
    <s v="Critical"/>
    <n v="8"/>
    <n v="41343.21"/>
    <n v="0.09"/>
    <s v="Regular Air"/>
    <n v="3852.19"/>
    <n v="6783.02"/>
    <n v="24.49"/>
    <x v="662"/>
    <x v="10"/>
    <x v="3"/>
    <x v="2"/>
    <x v="1"/>
    <x v="16"/>
    <x v="1135"/>
    <s v="Large Box"/>
    <n v="0.39"/>
    <d v="2012-05-23T00:00:00"/>
    <n v="0"/>
    <n v="0"/>
    <n v="0.33333333333333331"/>
    <n v="1"/>
  </r>
  <r>
    <n v="4303"/>
    <n v="30657"/>
    <x v="1343"/>
    <x v="10"/>
    <s v="High"/>
    <n v="6"/>
    <n v="273.38"/>
    <n v="0.06"/>
    <s v="Express Air"/>
    <n v="-170.91"/>
    <n v="43.22"/>
    <n v="16.71"/>
    <x v="663"/>
    <x v="10"/>
    <x v="3"/>
    <x v="2"/>
    <x v="1"/>
    <x v="7"/>
    <x v="710"/>
    <s v="Small Box"/>
    <n v="0.66"/>
    <d v="2011-05-11T00:00:00"/>
    <n v="0"/>
    <n v="0"/>
    <n v="0.5"/>
    <n v="0.5"/>
  </r>
  <r>
    <n v="4304"/>
    <n v="30657"/>
    <x v="1343"/>
    <x v="10"/>
    <s v="High"/>
    <n v="8"/>
    <n v="179.66"/>
    <n v="0.01"/>
    <s v="Regular Air"/>
    <n v="-1.7299999999999827"/>
    <n v="22.24"/>
    <n v="1.99"/>
    <x v="663"/>
    <x v="10"/>
    <x v="3"/>
    <x v="2"/>
    <x v="1"/>
    <x v="7"/>
    <x v="847"/>
    <s v="Small Pack"/>
    <n v="0.43"/>
    <d v="2011-05-12T00:00:00"/>
    <n v="0"/>
    <n v="0"/>
    <n v="0.5"/>
    <n v="0.5"/>
  </r>
  <r>
    <n v="4399"/>
    <n v="31330"/>
    <x v="306"/>
    <x v="30"/>
    <s v="High"/>
    <n v="2"/>
    <n v="13.5"/>
    <n v="0.04"/>
    <s v="Regular Air"/>
    <n v="-7.9"/>
    <n v="5.98"/>
    <n v="1.67"/>
    <x v="663"/>
    <x v="10"/>
    <x v="3"/>
    <x v="2"/>
    <x v="0"/>
    <x v="12"/>
    <x v="1167"/>
    <s v="Wrap Bag"/>
    <n v="0.51"/>
    <d v="2010-06-02T00:00:00"/>
    <n v="0"/>
    <n v="0"/>
    <n v="0.5"/>
    <n v="0.5"/>
  </r>
  <r>
    <n v="4400"/>
    <n v="31330"/>
    <x v="306"/>
    <x v="30"/>
    <s v="High"/>
    <n v="38"/>
    <n v="540.64"/>
    <n v="0.02"/>
    <s v="Regular Air"/>
    <n v="13.89"/>
    <n v="13.43"/>
    <n v="5.5"/>
    <x v="663"/>
    <x v="10"/>
    <x v="3"/>
    <x v="2"/>
    <x v="0"/>
    <x v="0"/>
    <x v="813"/>
    <s v="Small Box"/>
    <n v="0.56999999999999995"/>
    <d v="2010-06-02T00:00:00"/>
    <n v="0"/>
    <n v="0"/>
    <n v="0.5"/>
    <n v="0.5"/>
  </r>
  <r>
    <n v="4428"/>
    <n v="31556"/>
    <x v="614"/>
    <x v="2"/>
    <s v="Critical"/>
    <n v="35"/>
    <n v="269.35000000000002"/>
    <n v="7.0000000000000007E-2"/>
    <s v="Regular Air"/>
    <n v="-14.99"/>
    <n v="7.7"/>
    <n v="3.68"/>
    <x v="658"/>
    <x v="10"/>
    <x v="3"/>
    <x v="1"/>
    <x v="2"/>
    <x v="4"/>
    <x v="803"/>
    <s v="Wrap Bag"/>
    <n v="0.52"/>
    <d v="2011-07-28T00:00:00"/>
    <n v="0"/>
    <n v="0"/>
    <n v="1"/>
    <n v="1"/>
  </r>
  <r>
    <n v="4441"/>
    <n v="31648"/>
    <x v="742"/>
    <x v="21"/>
    <s v="High"/>
    <n v="8"/>
    <n v="68.94"/>
    <n v="0"/>
    <s v="Regular Air"/>
    <n v="-32.630000000000003"/>
    <n v="8.32"/>
    <n v="2.38"/>
    <x v="525"/>
    <x v="10"/>
    <x v="3"/>
    <x v="3"/>
    <x v="1"/>
    <x v="7"/>
    <x v="1090"/>
    <s v="Small Pack"/>
    <n v="0.74"/>
    <d v="2011-08-20T00:00:00"/>
    <n v="0"/>
    <n v="0"/>
    <n v="0.5"/>
    <n v="0.5"/>
  </r>
  <r>
    <n v="4442"/>
    <n v="31648"/>
    <x v="742"/>
    <x v="21"/>
    <s v="High"/>
    <n v="10"/>
    <n v="74.040000000000006"/>
    <n v="0.03"/>
    <s v="Regular Air"/>
    <n v="-37.04"/>
    <n v="6.68"/>
    <n v="7.3"/>
    <x v="525"/>
    <x v="10"/>
    <x v="3"/>
    <x v="3"/>
    <x v="0"/>
    <x v="5"/>
    <x v="962"/>
    <s v="Small Box"/>
    <n v="0.37"/>
    <d v="2011-08-22T00:00:00"/>
    <n v="0"/>
    <n v="0"/>
    <n v="0.5"/>
    <n v="0.5"/>
  </r>
  <r>
    <n v="4510"/>
    <n v="32100"/>
    <x v="537"/>
    <x v="20"/>
    <s v="Medium"/>
    <n v="29"/>
    <n v="1104.28"/>
    <n v="0.08"/>
    <s v="Regular Air"/>
    <n v="359.75"/>
    <n v="40.98"/>
    <n v="1.99"/>
    <x v="657"/>
    <x v="10"/>
    <x v="3"/>
    <x v="2"/>
    <x v="1"/>
    <x v="7"/>
    <x v="559"/>
    <s v="Small Pack"/>
    <n v="0.44"/>
    <d v="2012-05-25T00:00:00"/>
    <n v="0"/>
    <n v="0"/>
    <n v="1"/>
    <n v="1"/>
  </r>
  <r>
    <n v="4593"/>
    <n v="32675"/>
    <x v="402"/>
    <x v="11"/>
    <s v="High"/>
    <n v="20"/>
    <n v="6865.19"/>
    <n v="0.09"/>
    <s v="Delivery Truck"/>
    <n v="1541.68"/>
    <n v="349.45"/>
    <n v="60"/>
    <x v="653"/>
    <x v="10"/>
    <x v="3"/>
    <x v="2"/>
    <x v="2"/>
    <x v="10"/>
    <x v="195"/>
    <s v="Jumbo Drum"/>
    <m/>
    <d v="2009-11-04T00:00:00"/>
    <n v="0"/>
    <n v="0"/>
    <n v="1"/>
    <n v="1"/>
  </r>
  <r>
    <n v="4605"/>
    <n v="32804"/>
    <x v="1133"/>
    <x v="34"/>
    <s v="Medium"/>
    <n v="49"/>
    <n v="174.81"/>
    <n v="7.0000000000000007E-2"/>
    <s v="Regular Air"/>
    <n v="74.819999999999993"/>
    <n v="3.75"/>
    <n v="0.5"/>
    <x v="203"/>
    <x v="10"/>
    <x v="3"/>
    <x v="2"/>
    <x v="0"/>
    <x v="11"/>
    <x v="45"/>
    <s v="Small Box"/>
    <n v="0.37"/>
    <d v="2012-09-10T00:00:00"/>
    <n v="0"/>
    <n v="0"/>
    <n v="0.5"/>
    <n v="0.5"/>
  </r>
  <r>
    <n v="4606"/>
    <n v="32804"/>
    <x v="1133"/>
    <x v="34"/>
    <s v="Medium"/>
    <n v="20"/>
    <n v="89.51"/>
    <n v="0.02"/>
    <s v="Regular Air"/>
    <n v="-61.984999999999999"/>
    <n v="3.98"/>
    <n v="5.26"/>
    <x v="203"/>
    <x v="10"/>
    <x v="3"/>
    <x v="2"/>
    <x v="0"/>
    <x v="2"/>
    <x v="983"/>
    <s v="Small Box"/>
    <n v="0.38"/>
    <d v="2012-09-11T00:00:00"/>
    <n v="0"/>
    <n v="0"/>
    <n v="0.5"/>
    <n v="0.5"/>
  </r>
  <r>
    <n v="4608"/>
    <n v="32806"/>
    <x v="194"/>
    <x v="4"/>
    <s v="High"/>
    <n v="48"/>
    <n v="175.99"/>
    <n v="0.1"/>
    <s v="Express Air"/>
    <n v="77.3"/>
    <n v="3.69"/>
    <n v="0.5"/>
    <x v="203"/>
    <x v="10"/>
    <x v="3"/>
    <x v="3"/>
    <x v="0"/>
    <x v="11"/>
    <x v="98"/>
    <s v="Small Box"/>
    <n v="0.38"/>
    <d v="2011-06-22T00:00:00"/>
    <n v="0"/>
    <n v="0"/>
    <n v="0.33333333333333331"/>
    <n v="0.33333333333333331"/>
  </r>
  <r>
    <n v="4609"/>
    <n v="32806"/>
    <x v="194"/>
    <x v="4"/>
    <s v="High"/>
    <n v="33"/>
    <n v="221.23"/>
    <n v="0.02"/>
    <s v="Regular Air"/>
    <n v="-45.29"/>
    <n v="6.68"/>
    <n v="5.2"/>
    <x v="203"/>
    <x v="10"/>
    <x v="3"/>
    <x v="3"/>
    <x v="0"/>
    <x v="5"/>
    <x v="320"/>
    <s v="Small Box"/>
    <n v="0.37"/>
    <d v="2011-06-23T00:00:00"/>
    <n v="0"/>
    <n v="0"/>
    <n v="0.33333333333333331"/>
    <n v="0.33333333333333331"/>
  </r>
  <r>
    <n v="4635"/>
    <n v="32996"/>
    <x v="1144"/>
    <x v="15"/>
    <s v="Critical"/>
    <n v="15"/>
    <n v="262.29000000000002"/>
    <n v="0.09"/>
    <s v="Regular Air"/>
    <n v="7.26"/>
    <n v="17.78"/>
    <n v="5.03"/>
    <x v="655"/>
    <x v="10"/>
    <x v="3"/>
    <x v="1"/>
    <x v="2"/>
    <x v="4"/>
    <x v="562"/>
    <s v="Small Box"/>
    <n v="0.54"/>
    <d v="2010-12-20T00:00:00"/>
    <n v="0"/>
    <n v="0"/>
    <n v="0.5"/>
    <n v="0.5"/>
  </r>
  <r>
    <n v="4636"/>
    <n v="32996"/>
    <x v="1144"/>
    <x v="15"/>
    <s v="Critical"/>
    <n v="2"/>
    <n v="116.31399999999999"/>
    <n v="0.04"/>
    <s v="Regular Air"/>
    <n v="-300.85000000000002"/>
    <n v="65.989999999999995"/>
    <n v="3.9"/>
    <x v="655"/>
    <x v="10"/>
    <x v="3"/>
    <x v="1"/>
    <x v="1"/>
    <x v="3"/>
    <x v="247"/>
    <s v="Small Box"/>
    <n v="0.55000000000000004"/>
    <d v="2010-12-19T00:00:00"/>
    <n v="0"/>
    <n v="0"/>
    <n v="0.5"/>
    <n v="0.5"/>
  </r>
  <r>
    <n v="4657"/>
    <n v="33184"/>
    <x v="925"/>
    <x v="12"/>
    <s v="Not Specified"/>
    <n v="32"/>
    <n v="402.49"/>
    <n v="0"/>
    <s v="Regular Air"/>
    <n v="41.794499999999999"/>
    <n v="11.7"/>
    <n v="5.63"/>
    <x v="659"/>
    <x v="10"/>
    <x v="3"/>
    <x v="0"/>
    <x v="0"/>
    <x v="2"/>
    <x v="972"/>
    <s v="Small Box"/>
    <n v="0.4"/>
    <d v="2012-02-15T00:00:00"/>
    <n v="0"/>
    <n v="0"/>
    <n v="0.5"/>
    <n v="0.5"/>
  </r>
  <r>
    <n v="4658"/>
    <n v="33184"/>
    <x v="925"/>
    <x v="12"/>
    <s v="Not Specified"/>
    <n v="1"/>
    <n v="1754.29"/>
    <n v="0.09"/>
    <s v="Regular Air"/>
    <n v="-961.50350000000003"/>
    <n v="1889.99"/>
    <n v="19.989999999999998"/>
    <x v="659"/>
    <x v="10"/>
    <x v="3"/>
    <x v="0"/>
    <x v="0"/>
    <x v="2"/>
    <x v="1164"/>
    <s v="Small Box"/>
    <n v="0.36"/>
    <d v="2012-02-15T00:00:00"/>
    <n v="0"/>
    <n v="0"/>
    <n v="0.5"/>
    <n v="0.5"/>
  </r>
  <r>
    <n v="4742"/>
    <n v="33731"/>
    <x v="26"/>
    <x v="1"/>
    <s v="High"/>
    <n v="27"/>
    <n v="8213.3700000000008"/>
    <n v="0.02"/>
    <s v="Delivery Truck"/>
    <n v="1148.8800000000001"/>
    <n v="284.98"/>
    <n v="69.55"/>
    <x v="653"/>
    <x v="10"/>
    <x v="3"/>
    <x v="2"/>
    <x v="2"/>
    <x v="14"/>
    <x v="649"/>
    <s v="Jumbo Drum"/>
    <n v="0.6"/>
    <d v="2012-10-09T00:00:00"/>
    <n v="0"/>
    <n v="0"/>
    <n v="0.33333333333333331"/>
    <n v="0.16666666666666666"/>
  </r>
  <r>
    <n v="4743"/>
    <n v="33731"/>
    <x v="26"/>
    <x v="1"/>
    <s v="High"/>
    <n v="32"/>
    <n v="109.01"/>
    <n v="0.09"/>
    <s v="Regular Air"/>
    <n v="8.4499999999999993"/>
    <n v="3.58"/>
    <n v="1.63"/>
    <x v="653"/>
    <x v="10"/>
    <x v="3"/>
    <x v="2"/>
    <x v="0"/>
    <x v="6"/>
    <x v="821"/>
    <s v="Wrap Bag"/>
    <n v="0.36"/>
    <d v="2012-10-08T00:00:00"/>
    <n v="0"/>
    <n v="0"/>
    <n v="0.33333333333333331"/>
    <n v="0.16666666666666666"/>
  </r>
  <r>
    <n v="4744"/>
    <n v="33731"/>
    <x v="26"/>
    <x v="1"/>
    <s v="High"/>
    <n v="12"/>
    <n v="138.88"/>
    <n v="0.05"/>
    <s v="Regular Air"/>
    <n v="-23.99"/>
    <n v="11.29"/>
    <n v="5.03"/>
    <x v="653"/>
    <x v="10"/>
    <x v="3"/>
    <x v="2"/>
    <x v="0"/>
    <x v="0"/>
    <x v="468"/>
    <s v="Small Box"/>
    <n v="0.59"/>
    <d v="2012-10-10T00:00:00"/>
    <n v="0"/>
    <n v="0"/>
    <n v="0.33333333333333331"/>
    <n v="0.16666666666666666"/>
  </r>
  <r>
    <n v="4799"/>
    <n v="34112"/>
    <x v="1344"/>
    <x v="31"/>
    <s v="Critical"/>
    <n v="13"/>
    <n v="315.79199999999997"/>
    <n v="0.1"/>
    <s v="Regular Air"/>
    <n v="-105.765"/>
    <n v="28.99"/>
    <n v="8.59"/>
    <x v="659"/>
    <x v="10"/>
    <x v="3"/>
    <x v="0"/>
    <x v="1"/>
    <x v="3"/>
    <x v="382"/>
    <s v="Medium Box"/>
    <n v="0.56000000000000005"/>
    <d v="2011-09-03T00:00:00"/>
    <n v="0"/>
    <n v="0"/>
    <n v="1"/>
    <n v="1"/>
  </r>
  <r>
    <n v="4896"/>
    <n v="34849"/>
    <x v="620"/>
    <x v="0"/>
    <s v="Critical"/>
    <n v="3"/>
    <n v="11.76"/>
    <n v="0.1"/>
    <s v="Regular Air"/>
    <n v="-2.83"/>
    <n v="4.13"/>
    <n v="0.5"/>
    <x v="203"/>
    <x v="10"/>
    <x v="3"/>
    <x v="3"/>
    <x v="0"/>
    <x v="11"/>
    <x v="84"/>
    <s v="Small Box"/>
    <n v="0.39"/>
    <d v="2010-10-14T00:00:00"/>
    <n v="0"/>
    <n v="0"/>
    <n v="0.33333333333333331"/>
    <n v="0.33333333333333331"/>
  </r>
  <r>
    <n v="4897"/>
    <n v="34849"/>
    <x v="620"/>
    <x v="0"/>
    <s v="Critical"/>
    <n v="22"/>
    <n v="100.13"/>
    <n v="0.08"/>
    <s v="Regular Air"/>
    <n v="19.77"/>
    <n v="4.7300000000000004"/>
    <n v="1.52"/>
    <x v="203"/>
    <x v="10"/>
    <x v="3"/>
    <x v="3"/>
    <x v="0"/>
    <x v="5"/>
    <x v="1065"/>
    <s v="Wrap Bag"/>
    <n v="0.36"/>
    <d v="2010-10-13T00:00:00"/>
    <n v="0"/>
    <n v="0"/>
    <n v="0.33333333333333331"/>
    <n v="0.33333333333333331"/>
  </r>
  <r>
    <n v="4898"/>
    <n v="34849"/>
    <x v="620"/>
    <x v="0"/>
    <s v="Critical"/>
    <n v="3"/>
    <n v="1192.93"/>
    <n v="7.0000000000000007E-2"/>
    <s v="Regular Air"/>
    <n v="-434.81"/>
    <n v="419.19"/>
    <n v="19.989999999999998"/>
    <x v="203"/>
    <x v="10"/>
    <x v="3"/>
    <x v="3"/>
    <x v="0"/>
    <x v="0"/>
    <x v="1127"/>
    <s v="Small Box"/>
    <n v="0.57999999999999996"/>
    <d v="2010-10-13T00:00:00"/>
    <n v="0"/>
    <n v="0"/>
    <n v="0.33333333333333331"/>
    <n v="0.33333333333333331"/>
  </r>
  <r>
    <n v="5337"/>
    <n v="37923"/>
    <x v="1089"/>
    <x v="14"/>
    <s v="Not Specified"/>
    <n v="29"/>
    <n v="198.43"/>
    <n v="0.01"/>
    <s v="Regular Air"/>
    <n v="-79.67"/>
    <n v="6.48"/>
    <n v="6.81"/>
    <x v="663"/>
    <x v="10"/>
    <x v="3"/>
    <x v="2"/>
    <x v="0"/>
    <x v="5"/>
    <x v="183"/>
    <s v="Small Box"/>
    <n v="0.36"/>
    <d v="2010-03-28T00:00:00"/>
    <n v="0"/>
    <n v="0"/>
    <n v="1"/>
    <n v="1"/>
  </r>
  <r>
    <n v="5376"/>
    <n v="38215"/>
    <x v="715"/>
    <x v="38"/>
    <s v="Critical"/>
    <n v="42"/>
    <n v="756.72949999999992"/>
    <n v="7.0000000000000007E-2"/>
    <s v="Regular Air"/>
    <n v="64.782000000000011"/>
    <n v="20.99"/>
    <n v="4.8099999999999996"/>
    <x v="659"/>
    <x v="10"/>
    <x v="3"/>
    <x v="0"/>
    <x v="1"/>
    <x v="3"/>
    <x v="591"/>
    <s v="Medium Box"/>
    <n v="0.57999999999999996"/>
    <d v="2010-01-03T00:00:00"/>
    <n v="1"/>
    <n v="0"/>
    <n v="0.5"/>
    <n v="0.5"/>
  </r>
  <r>
    <n v="5377"/>
    <n v="38215"/>
    <x v="715"/>
    <x v="38"/>
    <s v="Critical"/>
    <n v="38"/>
    <n v="3676.96"/>
    <n v="0.09"/>
    <s v="Express Air"/>
    <n v="1233.45"/>
    <n v="104.85"/>
    <n v="19.989999999999998"/>
    <x v="659"/>
    <x v="10"/>
    <x v="3"/>
    <x v="0"/>
    <x v="0"/>
    <x v="5"/>
    <x v="806"/>
    <s v="Small Box"/>
    <n v="0.37"/>
    <d v="2010-01-04T00:00:00"/>
    <n v="1"/>
    <n v="0"/>
    <n v="0.5"/>
    <n v="0.5"/>
  </r>
  <r>
    <n v="5445"/>
    <n v="38659"/>
    <x v="831"/>
    <x v="14"/>
    <s v="Low"/>
    <n v="48"/>
    <n v="3982.42"/>
    <n v="0.04"/>
    <s v="Regular Air"/>
    <n v="1560.82"/>
    <n v="83.1"/>
    <n v="6.13"/>
    <x v="653"/>
    <x v="10"/>
    <x v="3"/>
    <x v="2"/>
    <x v="1"/>
    <x v="7"/>
    <x v="432"/>
    <s v="Small Box"/>
    <n v="0.45"/>
    <d v="2010-04-03T00:00:00"/>
    <n v="0"/>
    <n v="0"/>
    <n v="0.5"/>
    <n v="0.5"/>
  </r>
  <r>
    <n v="5446"/>
    <n v="38659"/>
    <x v="831"/>
    <x v="14"/>
    <s v="Low"/>
    <n v="32"/>
    <n v="4025.66"/>
    <n v="0.05"/>
    <s v="Delivery Truck"/>
    <n v="-395.12"/>
    <n v="124.49"/>
    <n v="51.94"/>
    <x v="653"/>
    <x v="10"/>
    <x v="3"/>
    <x v="2"/>
    <x v="2"/>
    <x v="10"/>
    <x v="307"/>
    <s v="Jumbo Box"/>
    <n v="0.63"/>
    <d v="2010-04-06T00:00:00"/>
    <n v="0"/>
    <n v="0"/>
    <n v="0.5"/>
    <n v="0.5"/>
  </r>
  <r>
    <n v="5499"/>
    <n v="38982"/>
    <x v="811"/>
    <x v="36"/>
    <s v="Not Specified"/>
    <n v="43"/>
    <n v="1114.42"/>
    <n v="0.09"/>
    <s v="Regular Air"/>
    <n v="425.07"/>
    <n v="28.48"/>
    <n v="1.99"/>
    <x v="657"/>
    <x v="10"/>
    <x v="3"/>
    <x v="2"/>
    <x v="1"/>
    <x v="7"/>
    <x v="395"/>
    <s v="Small Pack"/>
    <n v="0.4"/>
    <d v="2009-07-18T00:00:00"/>
    <n v="0"/>
    <n v="0"/>
    <n v="1"/>
    <n v="1"/>
  </r>
  <r>
    <n v="5642"/>
    <n v="39908"/>
    <x v="755"/>
    <x v="43"/>
    <s v="Low"/>
    <n v="23"/>
    <n v="753.75"/>
    <n v="0.1"/>
    <s v="Regular Air"/>
    <n v="31.17"/>
    <n v="34.99"/>
    <n v="7.73"/>
    <x v="146"/>
    <x v="10"/>
    <x v="3"/>
    <x v="3"/>
    <x v="0"/>
    <x v="12"/>
    <x v="989"/>
    <s v="Small Box"/>
    <n v="0.59"/>
    <d v="2009-05-12T00:00:00"/>
    <n v="0"/>
    <n v="0"/>
    <n v="1"/>
    <n v="1"/>
  </r>
  <r>
    <n v="5690"/>
    <n v="40225"/>
    <x v="552"/>
    <x v="16"/>
    <s v="Low"/>
    <n v="50"/>
    <n v="839.07"/>
    <n v="0.06"/>
    <s v="Regular Air"/>
    <n v="212.7295"/>
    <n v="16.739999999999998"/>
    <n v="5.08"/>
    <x v="654"/>
    <x v="10"/>
    <x v="3"/>
    <x v="0"/>
    <x v="0"/>
    <x v="2"/>
    <x v="1214"/>
    <s v="Small Box"/>
    <n v="0.36"/>
    <d v="2011-01-16T00:00:00"/>
    <n v="0"/>
    <n v="0"/>
    <n v="0.5"/>
    <n v="0.5"/>
  </r>
  <r>
    <n v="5691"/>
    <n v="40225"/>
    <x v="552"/>
    <x v="16"/>
    <s v="Low"/>
    <n v="45"/>
    <n v="5643.49"/>
    <n v="0.05"/>
    <s v="Delivery Truck"/>
    <n v="-1857.06"/>
    <n v="122.99"/>
    <n v="70.2"/>
    <x v="654"/>
    <x v="10"/>
    <x v="3"/>
    <x v="0"/>
    <x v="2"/>
    <x v="14"/>
    <x v="301"/>
    <s v="Jumbo Drum"/>
    <n v="0.74"/>
    <d v="2011-01-11T00:00:00"/>
    <n v="0"/>
    <n v="0"/>
    <n v="0.5"/>
    <n v="0.5"/>
  </r>
  <r>
    <n v="5718"/>
    <n v="40512"/>
    <x v="638"/>
    <x v="18"/>
    <s v="Medium"/>
    <n v="41"/>
    <n v="405.83"/>
    <n v="0.06"/>
    <s v="Regular Air"/>
    <n v="178.86"/>
    <n v="9.9"/>
    <n v="1.39"/>
    <x v="525"/>
    <x v="10"/>
    <x v="3"/>
    <x v="3"/>
    <x v="0"/>
    <x v="8"/>
    <x v="1132"/>
    <s v="Small Box"/>
    <n v="0.37"/>
    <d v="2010-09-18T00:00:00"/>
    <n v="0"/>
    <n v="0"/>
    <n v="1"/>
    <n v="0.5"/>
  </r>
  <r>
    <n v="5869"/>
    <n v="41636"/>
    <x v="691"/>
    <x v="26"/>
    <s v="Critical"/>
    <n v="47"/>
    <n v="5294.48"/>
    <n v="0.03"/>
    <s v="Regular Air"/>
    <n v="1521.31"/>
    <n v="107.53"/>
    <n v="5.81"/>
    <x v="661"/>
    <x v="10"/>
    <x v="3"/>
    <x v="3"/>
    <x v="2"/>
    <x v="4"/>
    <x v="348"/>
    <s v="Medium Box"/>
    <n v="0.65"/>
    <d v="2009-08-15T00:00:00"/>
    <n v="0"/>
    <n v="0"/>
    <n v="0.33333333333333331"/>
    <n v="0.33333333333333331"/>
  </r>
  <r>
    <n v="5870"/>
    <n v="41636"/>
    <x v="691"/>
    <x v="26"/>
    <s v="Critical"/>
    <n v="25"/>
    <n v="423.15"/>
    <n v="0.05"/>
    <s v="Regular Air"/>
    <n v="-47.28"/>
    <n v="16.98"/>
    <n v="7.78"/>
    <x v="661"/>
    <x v="10"/>
    <x v="3"/>
    <x v="3"/>
    <x v="0"/>
    <x v="12"/>
    <x v="1231"/>
    <s v="Small Pack"/>
    <n v="0.56999999999999995"/>
    <d v="2009-08-16T00:00:00"/>
    <n v="0"/>
    <n v="0"/>
    <n v="0.33333333333333331"/>
    <n v="0.33333333333333331"/>
  </r>
  <r>
    <n v="5871"/>
    <n v="41636"/>
    <x v="691"/>
    <x v="26"/>
    <s v="Critical"/>
    <n v="27"/>
    <n v="2762.857"/>
    <n v="0.03"/>
    <s v="Regular Air"/>
    <n v="722.24099999999999"/>
    <n v="115.99"/>
    <n v="4.2300000000000004"/>
    <x v="661"/>
    <x v="10"/>
    <x v="3"/>
    <x v="3"/>
    <x v="1"/>
    <x v="3"/>
    <x v="1082"/>
    <s v="Small Box"/>
    <n v="0.56000000000000005"/>
    <d v="2009-08-16T00:00:00"/>
    <n v="0"/>
    <n v="0"/>
    <n v="0.33333333333333331"/>
    <n v="0.33333333333333331"/>
  </r>
  <r>
    <n v="5894"/>
    <n v="41799"/>
    <x v="794"/>
    <x v="41"/>
    <s v="High"/>
    <n v="21"/>
    <n v="1130.8059999999998"/>
    <n v="0.04"/>
    <s v="Regular Air"/>
    <n v="95.147999999999996"/>
    <n v="65.989999999999995"/>
    <n v="4.99"/>
    <x v="653"/>
    <x v="10"/>
    <x v="3"/>
    <x v="2"/>
    <x v="1"/>
    <x v="3"/>
    <x v="539"/>
    <s v="Small Box"/>
    <n v="0.56999999999999995"/>
    <d v="2009-06-24T00:00:00"/>
    <n v="0"/>
    <n v="0"/>
    <n v="1"/>
    <n v="0.33333333333333331"/>
  </r>
  <r>
    <n v="5904"/>
    <n v="41857"/>
    <x v="16"/>
    <x v="10"/>
    <s v="Low"/>
    <n v="45"/>
    <n v="461.05"/>
    <n v="0.04"/>
    <s v="Express Air"/>
    <n v="-38.39"/>
    <n v="9.65"/>
    <n v="6.22"/>
    <x v="203"/>
    <x v="10"/>
    <x v="3"/>
    <x v="3"/>
    <x v="2"/>
    <x v="4"/>
    <x v="50"/>
    <s v="Small Box"/>
    <n v="0.55000000000000004"/>
    <d v="2011-05-11T00:00:00"/>
    <n v="0"/>
    <n v="0"/>
    <n v="1"/>
    <n v="1"/>
  </r>
  <r>
    <n v="5970"/>
    <n v="42342"/>
    <x v="154"/>
    <x v="35"/>
    <s v="Not Specified"/>
    <n v="43"/>
    <n v="9501.6240000000016"/>
    <n v="7.0000000000000007E-2"/>
    <s v="Delivery Truck"/>
    <n v="-686.45"/>
    <n v="286.85000000000002"/>
    <n v="61.76"/>
    <x v="149"/>
    <x v="10"/>
    <x v="3"/>
    <x v="2"/>
    <x v="2"/>
    <x v="10"/>
    <x v="832"/>
    <s v="Jumbo Box"/>
    <n v="0.78"/>
    <d v="2009-09-06T00:00:00"/>
    <n v="0"/>
    <n v="0"/>
    <n v="0.5"/>
    <n v="0.5"/>
  </r>
  <r>
    <n v="5977"/>
    <n v="42374"/>
    <x v="685"/>
    <x v="29"/>
    <s v="Critical"/>
    <n v="21"/>
    <n v="205.32"/>
    <n v="0.08"/>
    <s v="Express Air"/>
    <n v="37.299999999999997"/>
    <n v="10.01"/>
    <n v="1.99"/>
    <x v="659"/>
    <x v="10"/>
    <x v="3"/>
    <x v="2"/>
    <x v="1"/>
    <x v="7"/>
    <x v="319"/>
    <s v="Small Pack"/>
    <n v="0.41"/>
    <d v="2012-07-17T00:00:00"/>
    <n v="0"/>
    <n v="0"/>
    <n v="0.33333333333333331"/>
    <n v="0.33333333333333331"/>
  </r>
  <r>
    <n v="5978"/>
    <n v="42374"/>
    <x v="685"/>
    <x v="29"/>
    <s v="Critical"/>
    <n v="47"/>
    <n v="807.6"/>
    <n v="0"/>
    <s v="Regular Air"/>
    <n v="214.30200000000002"/>
    <n v="16.739999999999998"/>
    <n v="5.08"/>
    <x v="659"/>
    <x v="10"/>
    <x v="3"/>
    <x v="2"/>
    <x v="0"/>
    <x v="2"/>
    <x v="1214"/>
    <s v="Small Box"/>
    <n v="0.36"/>
    <d v="2012-07-18T00:00:00"/>
    <n v="0"/>
    <n v="0"/>
    <n v="0.33333333333333331"/>
    <n v="0.33333333333333331"/>
  </r>
  <r>
    <n v="5979"/>
    <n v="42374"/>
    <x v="685"/>
    <x v="29"/>
    <s v="Critical"/>
    <n v="11"/>
    <n v="694.17"/>
    <n v="0"/>
    <s v="Regular Air"/>
    <n v="174.21600000000001"/>
    <n v="59.78"/>
    <n v="10.29"/>
    <x v="659"/>
    <x v="10"/>
    <x v="3"/>
    <x v="2"/>
    <x v="0"/>
    <x v="2"/>
    <x v="172"/>
    <s v="Small Box"/>
    <n v="0.39"/>
    <d v="2012-07-19T00:00:00"/>
    <n v="0"/>
    <n v="0"/>
    <n v="0.33333333333333331"/>
    <n v="0.33333333333333331"/>
  </r>
  <r>
    <n v="6016"/>
    <n v="42631"/>
    <x v="1198"/>
    <x v="43"/>
    <s v="High"/>
    <n v="41"/>
    <n v="257.66000000000003"/>
    <n v="0.05"/>
    <s v="Regular Air"/>
    <n v="-69.23"/>
    <n v="6.48"/>
    <n v="2.74"/>
    <x v="59"/>
    <x v="10"/>
    <x v="3"/>
    <x v="2"/>
    <x v="1"/>
    <x v="7"/>
    <x v="865"/>
    <s v="Small Pack"/>
    <n v="0.71"/>
    <d v="2009-05-09T00:00:00"/>
    <n v="0"/>
    <n v="0"/>
    <n v="0.25"/>
    <n v="0.25"/>
  </r>
  <r>
    <n v="6017"/>
    <n v="42631"/>
    <x v="1198"/>
    <x v="43"/>
    <s v="High"/>
    <n v="18"/>
    <n v="211.4"/>
    <n v="0.09"/>
    <s v="Regular Air"/>
    <n v="91.63"/>
    <n v="12.53"/>
    <n v="0.5"/>
    <x v="59"/>
    <x v="10"/>
    <x v="3"/>
    <x v="2"/>
    <x v="0"/>
    <x v="11"/>
    <x v="397"/>
    <s v="Small Box"/>
    <n v="0.38"/>
    <d v="2009-05-10T00:00:00"/>
    <n v="0"/>
    <n v="0"/>
    <n v="0.25"/>
    <n v="0.25"/>
  </r>
  <r>
    <n v="6018"/>
    <n v="42631"/>
    <x v="1198"/>
    <x v="43"/>
    <s v="High"/>
    <n v="44"/>
    <n v="287.22000000000003"/>
    <n v="0.06"/>
    <s v="Regular Air"/>
    <n v="-72.930000000000007"/>
    <n v="6.68"/>
    <n v="5.41"/>
    <x v="59"/>
    <x v="10"/>
    <x v="3"/>
    <x v="2"/>
    <x v="0"/>
    <x v="5"/>
    <x v="1192"/>
    <s v="Small Box"/>
    <n v="0.37"/>
    <d v="2009-05-10T00:00:00"/>
    <n v="0"/>
    <n v="0"/>
    <n v="0.25"/>
    <n v="0.25"/>
  </r>
  <r>
    <n v="6019"/>
    <n v="42631"/>
    <x v="1198"/>
    <x v="43"/>
    <s v="High"/>
    <n v="22"/>
    <n v="1148.0355"/>
    <n v="0.08"/>
    <s v="Express Air"/>
    <n v="21.978000000000002"/>
    <n v="65.989999999999995"/>
    <n v="8.99"/>
    <x v="59"/>
    <x v="10"/>
    <x v="3"/>
    <x v="2"/>
    <x v="1"/>
    <x v="3"/>
    <x v="1199"/>
    <s v="Small Box"/>
    <n v="0.55000000000000004"/>
    <d v="2009-05-11T00:00:00"/>
    <n v="0"/>
    <n v="0"/>
    <n v="0.25"/>
    <n v="0.25"/>
  </r>
  <r>
    <n v="6066"/>
    <n v="42979"/>
    <x v="732"/>
    <x v="10"/>
    <s v="Not Specified"/>
    <n v="29"/>
    <n v="2770.79"/>
    <n v="0.02"/>
    <s v="Delivery Truck"/>
    <n v="109.39"/>
    <n v="90.98"/>
    <n v="30"/>
    <x v="656"/>
    <x v="10"/>
    <x v="3"/>
    <x v="2"/>
    <x v="2"/>
    <x v="14"/>
    <x v="557"/>
    <s v="Jumbo Drum"/>
    <n v="0.61"/>
    <d v="2011-05-03T00:00:00"/>
    <n v="0"/>
    <n v="0"/>
    <n v="1"/>
    <n v="1"/>
  </r>
  <r>
    <n v="6077"/>
    <n v="43045"/>
    <x v="1339"/>
    <x v="8"/>
    <s v="Medium"/>
    <n v="47"/>
    <n v="5301.2"/>
    <n v="0.01"/>
    <s v="Regular Air"/>
    <n v="1126.72"/>
    <n v="105.29"/>
    <n v="10.119999999999999"/>
    <x v="146"/>
    <x v="10"/>
    <x v="3"/>
    <x v="2"/>
    <x v="2"/>
    <x v="4"/>
    <x v="1064"/>
    <s v="Large Box"/>
    <n v="0.79"/>
    <d v="2012-06-16T00:00:00"/>
    <n v="0"/>
    <n v="0"/>
    <n v="0.5"/>
    <n v="0.5"/>
  </r>
  <r>
    <n v="6078"/>
    <n v="43045"/>
    <x v="1339"/>
    <x v="8"/>
    <s v="Medium"/>
    <n v="12"/>
    <n v="418.44"/>
    <n v="0.05"/>
    <s v="Delivery Truck"/>
    <n v="-407.17"/>
    <n v="31.76"/>
    <n v="45.51"/>
    <x v="146"/>
    <x v="10"/>
    <x v="3"/>
    <x v="2"/>
    <x v="2"/>
    <x v="10"/>
    <x v="465"/>
    <s v="Jumbo Box"/>
    <n v="0.65"/>
    <d v="2012-06-14T00:00:00"/>
    <n v="0"/>
    <n v="0"/>
    <n v="0.5"/>
    <n v="0.5"/>
  </r>
  <r>
    <n v="6085"/>
    <n v="43110"/>
    <x v="955"/>
    <x v="44"/>
    <s v="High"/>
    <n v="3"/>
    <n v="21.01"/>
    <n v="0"/>
    <s v="Regular Air"/>
    <n v="-9.69"/>
    <n v="4.9800000000000004"/>
    <n v="5.0199999999999996"/>
    <x v="656"/>
    <x v="10"/>
    <x v="3"/>
    <x v="2"/>
    <x v="0"/>
    <x v="5"/>
    <x v="549"/>
    <s v="Small Box"/>
    <n v="0.38"/>
    <d v="2011-02-06T00:00:00"/>
    <n v="0"/>
    <n v="0"/>
    <n v="0.5"/>
    <n v="0.5"/>
  </r>
  <r>
    <n v="6086"/>
    <n v="43110"/>
    <x v="955"/>
    <x v="44"/>
    <s v="High"/>
    <n v="1"/>
    <n v="3457.99"/>
    <n v="0.05"/>
    <s v="Regular Air"/>
    <n v="-11861.46"/>
    <n v="3499.99"/>
    <n v="24.49"/>
    <x v="656"/>
    <x v="10"/>
    <x v="3"/>
    <x v="2"/>
    <x v="1"/>
    <x v="13"/>
    <x v="480"/>
    <s v="Large Box"/>
    <n v="0.37"/>
    <d v="2011-02-08T00:00:00"/>
    <n v="0"/>
    <n v="0"/>
    <n v="0.5"/>
    <n v="0.5"/>
  </r>
  <r>
    <n v="6104"/>
    <n v="43239"/>
    <x v="323"/>
    <x v="5"/>
    <s v="Not Specified"/>
    <n v="14"/>
    <n v="270.25"/>
    <n v="0.02"/>
    <s v="Regular Air"/>
    <n v="100.895"/>
    <n v="18.940000000000001"/>
    <n v="1.49"/>
    <x v="203"/>
    <x v="10"/>
    <x v="3"/>
    <x v="3"/>
    <x v="0"/>
    <x v="2"/>
    <x v="695"/>
    <s v="Small Box"/>
    <n v="0.35"/>
    <d v="2011-03-18T00:00:00"/>
    <n v="0"/>
    <n v="0"/>
    <n v="1"/>
    <n v="1"/>
  </r>
  <r>
    <n v="6313"/>
    <n v="44678"/>
    <x v="797"/>
    <x v="1"/>
    <s v="Low"/>
    <n v="36"/>
    <n v="1152.6300000000001"/>
    <n v="0.03"/>
    <s v="Regular Air"/>
    <n v="389.4"/>
    <n v="32.479999999999997"/>
    <n v="7.09"/>
    <x v="659"/>
    <x v="10"/>
    <x v="3"/>
    <x v="0"/>
    <x v="2"/>
    <x v="4"/>
    <x v="1141"/>
    <s v="Small Box"/>
    <n v="0.49"/>
    <d v="2012-10-13T00:00:00"/>
    <n v="0"/>
    <n v="0"/>
    <n v="0.5"/>
    <n v="0.5"/>
  </r>
  <r>
    <n v="6314"/>
    <n v="44678"/>
    <x v="797"/>
    <x v="1"/>
    <s v="Low"/>
    <n v="4"/>
    <n v="7.56"/>
    <n v="0.1"/>
    <s v="Regular Air"/>
    <n v="-5.53"/>
    <n v="1.89"/>
    <n v="0.76"/>
    <x v="659"/>
    <x v="10"/>
    <x v="3"/>
    <x v="0"/>
    <x v="0"/>
    <x v="6"/>
    <x v="78"/>
    <s v="Wrap Bag"/>
    <n v="0.83"/>
    <d v="2012-10-15T00:00:00"/>
    <n v="0"/>
    <n v="0"/>
    <n v="0.5"/>
    <n v="0.5"/>
  </r>
  <r>
    <n v="6326"/>
    <n v="44805"/>
    <x v="1019"/>
    <x v="34"/>
    <s v="High"/>
    <n v="40"/>
    <n v="1710.65"/>
    <n v="0.01"/>
    <s v="Regular Air"/>
    <n v="782.00850000000003"/>
    <n v="41.94"/>
    <n v="2.99"/>
    <x v="653"/>
    <x v="10"/>
    <x v="3"/>
    <x v="2"/>
    <x v="0"/>
    <x v="2"/>
    <x v="246"/>
    <s v="Small Box"/>
    <n v="0.35"/>
    <d v="2012-09-15T00:00:00"/>
    <n v="0"/>
    <n v="0"/>
    <n v="1"/>
    <n v="1"/>
  </r>
  <r>
    <n v="6335"/>
    <n v="44897"/>
    <x v="949"/>
    <x v="14"/>
    <s v="High"/>
    <n v="11"/>
    <n v="85.62"/>
    <n v="7.0000000000000007E-2"/>
    <s v="Regular Air"/>
    <n v="-81.22"/>
    <n v="7.28"/>
    <n v="11.15"/>
    <x v="658"/>
    <x v="10"/>
    <x v="3"/>
    <x v="1"/>
    <x v="0"/>
    <x v="5"/>
    <x v="517"/>
    <s v="Small Box"/>
    <n v="0.37"/>
    <d v="2010-03-11T00:00:00"/>
    <n v="0"/>
    <n v="0"/>
    <n v="1"/>
    <n v="1"/>
  </r>
  <r>
    <n v="6610"/>
    <n v="47015"/>
    <x v="296"/>
    <x v="44"/>
    <s v="Not Specified"/>
    <n v="19"/>
    <n v="5441.06"/>
    <n v="0.06"/>
    <s v="Delivery Truck"/>
    <n v="-557.20000000000005"/>
    <n v="286.85000000000002"/>
    <n v="61.76"/>
    <x v="59"/>
    <x v="10"/>
    <x v="3"/>
    <x v="2"/>
    <x v="2"/>
    <x v="10"/>
    <x v="832"/>
    <s v="Jumbo Box"/>
    <n v="0.78"/>
    <d v="2011-02-14T00:00:00"/>
    <n v="0"/>
    <n v="0"/>
    <n v="1"/>
    <n v="1"/>
  </r>
  <r>
    <n v="6636"/>
    <n v="47175"/>
    <x v="1345"/>
    <x v="24"/>
    <s v="Not Specified"/>
    <n v="40"/>
    <n v="70.45"/>
    <n v="0.1"/>
    <s v="Regular Air"/>
    <n v="-2.31"/>
    <n v="1.82"/>
    <n v="1"/>
    <x v="59"/>
    <x v="10"/>
    <x v="3"/>
    <x v="2"/>
    <x v="0"/>
    <x v="12"/>
    <x v="1057"/>
    <s v="Wrap Bag"/>
    <n v="0.4"/>
    <d v="2010-04-26T00:00:00"/>
    <n v="0"/>
    <n v="0"/>
    <n v="1"/>
    <n v="0.33333333333333331"/>
  </r>
  <r>
    <n v="6638"/>
    <n v="47203"/>
    <x v="684"/>
    <x v="47"/>
    <s v="Critical"/>
    <n v="8"/>
    <n v="129.18"/>
    <n v="0.04"/>
    <s v="Regular Air"/>
    <n v="-30.02"/>
    <n v="15.98"/>
    <n v="4"/>
    <x v="149"/>
    <x v="10"/>
    <x v="3"/>
    <x v="2"/>
    <x v="1"/>
    <x v="7"/>
    <x v="404"/>
    <s v="Small Box"/>
    <n v="0.37"/>
    <d v="2009-12-19T00:00:00"/>
    <n v="0"/>
    <n v="0"/>
    <n v="0.5"/>
    <n v="0.5"/>
  </r>
  <r>
    <n v="6639"/>
    <n v="47203"/>
    <x v="684"/>
    <x v="47"/>
    <s v="Critical"/>
    <n v="44"/>
    <n v="1016.26"/>
    <n v="0.06"/>
    <s v="Regular Air"/>
    <n v="337.97"/>
    <n v="22.84"/>
    <n v="5.47"/>
    <x v="149"/>
    <x v="10"/>
    <x v="3"/>
    <x v="2"/>
    <x v="0"/>
    <x v="5"/>
    <x v="208"/>
    <s v="Small Box"/>
    <n v="0.39"/>
    <d v="2009-12-20T00:00:00"/>
    <n v="0"/>
    <n v="0"/>
    <n v="0.5"/>
    <n v="0.5"/>
  </r>
  <r>
    <n v="6646"/>
    <n v="47270"/>
    <x v="1346"/>
    <x v="3"/>
    <s v="Critical"/>
    <n v="40"/>
    <n v="382.65"/>
    <n v="0.03"/>
    <s v="Express Air"/>
    <n v="47.61"/>
    <n v="9.27"/>
    <n v="4.3899999999999997"/>
    <x v="568"/>
    <x v="10"/>
    <x v="3"/>
    <x v="3"/>
    <x v="0"/>
    <x v="5"/>
    <x v="276"/>
    <s v="Wrap Bag"/>
    <n v="0.38"/>
    <d v="2010-08-05T00:00:00"/>
    <n v="0"/>
    <n v="0"/>
    <n v="0.33333333333333331"/>
    <n v="0.33333333333333331"/>
  </r>
  <r>
    <n v="6647"/>
    <n v="47270"/>
    <x v="1346"/>
    <x v="3"/>
    <s v="Critical"/>
    <n v="9"/>
    <n v="61"/>
    <n v="0.08"/>
    <s v="Regular Air"/>
    <n v="-34.25"/>
    <n v="6.48"/>
    <n v="6.81"/>
    <x v="568"/>
    <x v="10"/>
    <x v="3"/>
    <x v="3"/>
    <x v="0"/>
    <x v="5"/>
    <x v="183"/>
    <s v="Small Box"/>
    <n v="0.36"/>
    <d v="2010-08-04T00:00:00"/>
    <n v="0"/>
    <n v="0"/>
    <n v="0.33333333333333331"/>
    <n v="0.33333333333333331"/>
  </r>
  <r>
    <n v="6648"/>
    <n v="47270"/>
    <x v="1346"/>
    <x v="3"/>
    <s v="Critical"/>
    <n v="19"/>
    <n v="3559.6129999999998"/>
    <n v="0"/>
    <s v="Regular Air"/>
    <n v="747.73800000000006"/>
    <n v="205.99"/>
    <n v="3"/>
    <x v="568"/>
    <x v="10"/>
    <x v="3"/>
    <x v="3"/>
    <x v="1"/>
    <x v="3"/>
    <x v="595"/>
    <s v="Small Box"/>
    <n v="0.57999999999999996"/>
    <d v="2010-08-04T00:00:00"/>
    <n v="0"/>
    <n v="0"/>
    <n v="0.33333333333333331"/>
    <n v="0.33333333333333331"/>
  </r>
  <r>
    <n v="6680"/>
    <n v="47524"/>
    <x v="104"/>
    <x v="24"/>
    <s v="Medium"/>
    <n v="40"/>
    <n v="245.82"/>
    <n v="0.08"/>
    <s v="Regular Air"/>
    <n v="86.44"/>
    <n v="6.45"/>
    <n v="1.34"/>
    <x v="59"/>
    <x v="10"/>
    <x v="3"/>
    <x v="2"/>
    <x v="0"/>
    <x v="5"/>
    <x v="795"/>
    <s v="Wrap Bag"/>
    <n v="0.36"/>
    <d v="2010-04-15T00:00:00"/>
    <n v="0"/>
    <n v="0"/>
    <n v="0.5"/>
    <n v="0.33333333333333331"/>
  </r>
  <r>
    <n v="6748"/>
    <n v="48035"/>
    <x v="245"/>
    <x v="28"/>
    <s v="Critical"/>
    <n v="8"/>
    <n v="155.92400000000001"/>
    <n v="0.09"/>
    <s v="Express Air"/>
    <n v="-63.118000000000002"/>
    <n v="20.99"/>
    <n v="4.8099999999999996"/>
    <x v="652"/>
    <x v="10"/>
    <x v="3"/>
    <x v="3"/>
    <x v="1"/>
    <x v="3"/>
    <x v="591"/>
    <s v="Medium Box"/>
    <n v="0.57999999999999996"/>
    <d v="2009-04-01T00:00:00"/>
    <n v="0"/>
    <n v="0"/>
    <n v="1"/>
    <n v="0.33333333333333331"/>
  </r>
  <r>
    <n v="6752"/>
    <n v="48096"/>
    <x v="686"/>
    <x v="41"/>
    <s v="High"/>
    <n v="3"/>
    <n v="34.229999999999997"/>
    <n v="0.02"/>
    <s v="Express Air"/>
    <n v="-9.5"/>
    <n v="6.48"/>
    <n v="7.86"/>
    <x v="568"/>
    <x v="10"/>
    <x v="3"/>
    <x v="3"/>
    <x v="0"/>
    <x v="5"/>
    <x v="59"/>
    <s v="Small Box"/>
    <n v="0.37"/>
    <d v="2009-06-13T00:00:00"/>
    <n v="0"/>
    <n v="0"/>
    <n v="0.5"/>
    <n v="0.5"/>
  </r>
  <r>
    <n v="6753"/>
    <n v="48096"/>
    <x v="686"/>
    <x v="41"/>
    <s v="High"/>
    <n v="22"/>
    <n v="383.33"/>
    <n v="0.03"/>
    <s v="Regular Air"/>
    <n v="27.62"/>
    <n v="17.07"/>
    <n v="8.1300000000000008"/>
    <x v="568"/>
    <x v="10"/>
    <x v="3"/>
    <x v="3"/>
    <x v="0"/>
    <x v="8"/>
    <x v="969"/>
    <s v="Small Box"/>
    <n v="0.38"/>
    <d v="2009-06-14T00:00:00"/>
    <n v="0"/>
    <n v="0"/>
    <n v="0.5"/>
    <n v="0.5"/>
  </r>
  <r>
    <n v="6859"/>
    <n v="48868"/>
    <x v="502"/>
    <x v="8"/>
    <s v="Not Specified"/>
    <n v="47"/>
    <n v="7647.97"/>
    <n v="0.05"/>
    <s v="Express Air"/>
    <n v="-1014.01"/>
    <n v="167.27"/>
    <n v="35"/>
    <x v="663"/>
    <x v="10"/>
    <x v="3"/>
    <x v="2"/>
    <x v="0"/>
    <x v="0"/>
    <x v="758"/>
    <s v="Large Box"/>
    <n v="0.85"/>
    <d v="2012-06-15T00:00:00"/>
    <n v="0"/>
    <n v="0"/>
    <n v="0.5"/>
    <n v="0.5"/>
  </r>
  <r>
    <n v="6860"/>
    <n v="48868"/>
    <x v="502"/>
    <x v="8"/>
    <s v="Not Specified"/>
    <n v="43"/>
    <n v="6861.8545000000004"/>
    <n v="7.0000000000000007E-2"/>
    <s v="Regular Air"/>
    <n v="1754.0819999999999"/>
    <n v="195.99"/>
    <n v="3.99"/>
    <x v="663"/>
    <x v="10"/>
    <x v="3"/>
    <x v="2"/>
    <x v="1"/>
    <x v="3"/>
    <x v="193"/>
    <s v="Small Box"/>
    <n v="0.59"/>
    <d v="2012-06-14T00:00:00"/>
    <n v="0"/>
    <n v="0"/>
    <n v="0.5"/>
    <n v="0.5"/>
  </r>
  <r>
    <n v="6955"/>
    <n v="49760"/>
    <x v="1153"/>
    <x v="17"/>
    <s v="Medium"/>
    <n v="3"/>
    <n v="44.84"/>
    <n v="0.09"/>
    <s v="Regular Air"/>
    <n v="37.74"/>
    <n v="14.2"/>
    <n v="5.3"/>
    <x v="568"/>
    <x v="10"/>
    <x v="3"/>
    <x v="3"/>
    <x v="2"/>
    <x v="4"/>
    <x v="457"/>
    <s v="Wrap Bag"/>
    <n v="0.46"/>
    <d v="2011-10-02T00:00:00"/>
    <n v="0"/>
    <n v="0"/>
    <n v="0.33333333333333331"/>
    <n v="0.33333333333333331"/>
  </r>
  <r>
    <n v="6956"/>
    <n v="49760"/>
    <x v="1153"/>
    <x v="17"/>
    <s v="Medium"/>
    <n v="13"/>
    <n v="1281.1795"/>
    <n v="0.02"/>
    <s v="Regular Air"/>
    <n v="-26.62"/>
    <n v="115.99"/>
    <n v="5.92"/>
    <x v="568"/>
    <x v="10"/>
    <x v="3"/>
    <x v="3"/>
    <x v="1"/>
    <x v="3"/>
    <x v="757"/>
    <s v="Small Box"/>
    <n v="0.57999999999999996"/>
    <d v="2011-10-03T00:00:00"/>
    <n v="0"/>
    <n v="0"/>
    <n v="0.33333333333333331"/>
    <n v="0.33333333333333331"/>
  </r>
  <r>
    <n v="6957"/>
    <n v="49760"/>
    <x v="1153"/>
    <x v="17"/>
    <s v="Medium"/>
    <n v="38"/>
    <n v="710.33"/>
    <n v="0.09"/>
    <s v="Express Air"/>
    <n v="62.53"/>
    <n v="18.97"/>
    <n v="9.0299999999999994"/>
    <x v="568"/>
    <x v="10"/>
    <x v="3"/>
    <x v="3"/>
    <x v="0"/>
    <x v="5"/>
    <x v="40"/>
    <s v="Small Box"/>
    <n v="0.37"/>
    <d v="2011-10-03T00:00:00"/>
    <n v="0"/>
    <n v="0"/>
    <n v="0.33333333333333331"/>
    <n v="0.33333333333333331"/>
  </r>
  <r>
    <n v="6975"/>
    <n v="49830"/>
    <x v="1254"/>
    <x v="36"/>
    <s v="Critical"/>
    <n v="31"/>
    <n v="16949.439999999999"/>
    <n v="0.01"/>
    <s v="Regular Air"/>
    <n v="7858.08"/>
    <n v="525.98"/>
    <n v="19.989999999999998"/>
    <x v="550"/>
    <x v="10"/>
    <x v="3"/>
    <x v="0"/>
    <x v="0"/>
    <x v="2"/>
    <x v="1146"/>
    <s v="Small Box"/>
    <n v="0.37"/>
    <d v="2009-07-11T00:00:00"/>
    <n v="0"/>
    <n v="0"/>
    <n v="0.5"/>
    <n v="0.5"/>
  </r>
  <r>
    <n v="7027"/>
    <n v="50147"/>
    <x v="171"/>
    <x v="19"/>
    <s v="Medium"/>
    <n v="42"/>
    <n v="1504.01"/>
    <n v="0.05"/>
    <s v="Regular Air"/>
    <n v="211.04"/>
    <n v="35.89"/>
    <n v="14.72"/>
    <x v="568"/>
    <x v="10"/>
    <x v="3"/>
    <x v="3"/>
    <x v="0"/>
    <x v="8"/>
    <x v="635"/>
    <s v="Small Box"/>
    <n v="0.4"/>
    <d v="2009-10-09T00:00:00"/>
    <n v="0"/>
    <n v="0"/>
    <n v="0.5"/>
    <n v="0.5"/>
  </r>
  <r>
    <n v="7028"/>
    <n v="50147"/>
    <x v="171"/>
    <x v="19"/>
    <s v="Medium"/>
    <n v="13"/>
    <n v="163.62"/>
    <n v="0"/>
    <s v="Regular Air"/>
    <n v="16.34"/>
    <n v="11.48"/>
    <n v="5.43"/>
    <x v="568"/>
    <x v="10"/>
    <x v="3"/>
    <x v="3"/>
    <x v="0"/>
    <x v="5"/>
    <x v="56"/>
    <s v="Small Box"/>
    <n v="0.36"/>
    <d v="2009-10-08T00:00:00"/>
    <n v="0"/>
    <n v="0"/>
    <n v="0.5"/>
    <n v="0.5"/>
  </r>
  <r>
    <n v="7044"/>
    <n v="50304"/>
    <x v="509"/>
    <x v="38"/>
    <s v="Critical"/>
    <n v="22"/>
    <n v="887.98"/>
    <n v="0.04"/>
    <s v="Regular Air"/>
    <n v="239.94"/>
    <n v="39.979999999999997"/>
    <n v="9.83"/>
    <x v="653"/>
    <x v="10"/>
    <x v="3"/>
    <x v="2"/>
    <x v="0"/>
    <x v="8"/>
    <x v="854"/>
    <s v="Small Box"/>
    <n v="0.4"/>
    <d v="2010-02-02T00:00:00"/>
    <n v="1"/>
    <n v="0"/>
    <n v="0.5"/>
    <n v="0.5"/>
  </r>
  <r>
    <n v="7045"/>
    <n v="50304"/>
    <x v="509"/>
    <x v="38"/>
    <s v="Critical"/>
    <n v="3"/>
    <n v="72.459999999999994"/>
    <n v="0.05"/>
    <s v="Delivery Truck"/>
    <n v="-60.74"/>
    <n v="15.23"/>
    <n v="27.75"/>
    <x v="653"/>
    <x v="10"/>
    <x v="3"/>
    <x v="2"/>
    <x v="2"/>
    <x v="10"/>
    <x v="897"/>
    <s v="Jumbo Box"/>
    <n v="0.76"/>
    <d v="2010-02-02T00:00:00"/>
    <n v="1"/>
    <n v="0"/>
    <n v="0.5"/>
    <n v="0.5"/>
  </r>
  <r>
    <n v="7112"/>
    <n v="50756"/>
    <x v="1241"/>
    <x v="18"/>
    <s v="Not Specified"/>
    <n v="19"/>
    <n v="470.39"/>
    <n v="0.08"/>
    <s v="Regular Air"/>
    <n v="-147.99"/>
    <n v="26.31"/>
    <n v="5.89"/>
    <x v="550"/>
    <x v="10"/>
    <x v="3"/>
    <x v="3"/>
    <x v="1"/>
    <x v="7"/>
    <x v="295"/>
    <s v="Small Box"/>
    <n v="0.75"/>
    <d v="2010-09-10T00:00:00"/>
    <n v="0"/>
    <n v="0"/>
    <n v="0.5"/>
    <n v="0.5"/>
  </r>
  <r>
    <n v="7113"/>
    <n v="50756"/>
    <x v="1241"/>
    <x v="18"/>
    <s v="Not Specified"/>
    <n v="2"/>
    <n v="15.04"/>
    <n v="0.02"/>
    <s v="Regular Air"/>
    <n v="-6.12"/>
    <n v="7.31"/>
    <n v="0.49"/>
    <x v="550"/>
    <x v="10"/>
    <x v="3"/>
    <x v="3"/>
    <x v="0"/>
    <x v="11"/>
    <x v="31"/>
    <s v="Small Box"/>
    <n v="0.38"/>
    <d v="2010-09-09T00:00:00"/>
    <n v="0"/>
    <n v="0"/>
    <n v="0.5"/>
    <n v="0.5"/>
  </r>
  <r>
    <n v="7173"/>
    <n v="51201"/>
    <x v="264"/>
    <x v="25"/>
    <s v="High"/>
    <n v="42"/>
    <n v="312.05"/>
    <n v="0.04"/>
    <s v="Regular Air"/>
    <n v="-342.37800000000004"/>
    <n v="7.38"/>
    <n v="11.51"/>
    <x v="653"/>
    <x v="10"/>
    <x v="3"/>
    <x v="2"/>
    <x v="0"/>
    <x v="2"/>
    <x v="1140"/>
    <s v="Small Box"/>
    <n v="0.36"/>
    <d v="2011-12-16T00:00:00"/>
    <n v="0"/>
    <n v="0"/>
    <n v="1"/>
    <n v="1"/>
  </r>
  <r>
    <n v="7227"/>
    <n v="51554"/>
    <x v="1347"/>
    <x v="28"/>
    <s v="Medium"/>
    <n v="7"/>
    <n v="545.04"/>
    <n v="0.05"/>
    <s v="Delivery Truck"/>
    <n v="-210.06"/>
    <n v="68.81"/>
    <n v="60"/>
    <x v="652"/>
    <x v="10"/>
    <x v="3"/>
    <x v="3"/>
    <x v="0"/>
    <x v="1"/>
    <x v="459"/>
    <s v="Jumbo Drum"/>
    <n v="0.41"/>
    <d v="2009-03-28T00:00:00"/>
    <n v="0"/>
    <n v="0"/>
    <n v="0.5"/>
    <n v="0.33333333333333331"/>
  </r>
  <r>
    <n v="7228"/>
    <n v="51554"/>
    <x v="1347"/>
    <x v="28"/>
    <s v="Medium"/>
    <n v="29"/>
    <n v="606.91"/>
    <n v="0.09"/>
    <s v="Regular Air"/>
    <n v="-271.77"/>
    <n v="20.89"/>
    <n v="11.52"/>
    <x v="652"/>
    <x v="10"/>
    <x v="3"/>
    <x v="3"/>
    <x v="0"/>
    <x v="0"/>
    <x v="796"/>
    <s v="Small Box"/>
    <n v="0.83"/>
    <d v="2009-03-27T00:00:00"/>
    <n v="0"/>
    <n v="0"/>
    <n v="0.5"/>
    <n v="0.33333333333333331"/>
  </r>
  <r>
    <n v="7325"/>
    <n v="52197"/>
    <x v="9"/>
    <x v="9"/>
    <s v="Critical"/>
    <n v="23"/>
    <n v="91.94"/>
    <n v="0.01"/>
    <s v="Regular Air"/>
    <n v="-10.11"/>
    <n v="3.95"/>
    <n v="2"/>
    <x v="656"/>
    <x v="10"/>
    <x v="3"/>
    <x v="2"/>
    <x v="0"/>
    <x v="6"/>
    <x v="11"/>
    <s v="Wrap Bag"/>
    <n v="0.53"/>
    <d v="2012-08-05T00:00:00"/>
    <n v="0"/>
    <n v="0"/>
    <n v="0.5"/>
    <n v="0.5"/>
  </r>
  <r>
    <n v="7326"/>
    <n v="52197"/>
    <x v="9"/>
    <x v="9"/>
    <s v="Critical"/>
    <n v="6"/>
    <n v="377.03"/>
    <n v="0.06"/>
    <s v="Regular Air"/>
    <n v="-78.819999999999993"/>
    <n v="64.98"/>
    <n v="6.88"/>
    <x v="656"/>
    <x v="10"/>
    <x v="3"/>
    <x v="2"/>
    <x v="0"/>
    <x v="0"/>
    <x v="391"/>
    <s v="Small Box"/>
    <n v="0.73"/>
    <d v="2012-08-06T00:00:00"/>
    <n v="0"/>
    <n v="0"/>
    <n v="0.5"/>
    <n v="0.5"/>
  </r>
  <r>
    <n v="7380"/>
    <n v="52615"/>
    <x v="1287"/>
    <x v="19"/>
    <s v="Low"/>
    <n v="4"/>
    <n v="67.22"/>
    <n v="0.05"/>
    <s v="Regular Air"/>
    <n v="-139.53"/>
    <n v="4.4800000000000004"/>
    <n v="49"/>
    <x v="652"/>
    <x v="10"/>
    <x v="3"/>
    <x v="2"/>
    <x v="0"/>
    <x v="1"/>
    <x v="43"/>
    <s v="Large Box"/>
    <n v="0.6"/>
    <d v="2009-10-23T00:00:00"/>
    <n v="0"/>
    <n v="0"/>
    <n v="0.5"/>
    <n v="0.5"/>
  </r>
  <r>
    <n v="7381"/>
    <n v="52615"/>
    <x v="1287"/>
    <x v="19"/>
    <s v="Low"/>
    <n v="18"/>
    <n v="76.849999999999994"/>
    <n v="0.1"/>
    <s v="Regular Air"/>
    <n v="-64.078000000000003"/>
    <n v="4.24"/>
    <n v="5.41"/>
    <x v="652"/>
    <x v="10"/>
    <x v="3"/>
    <x v="2"/>
    <x v="0"/>
    <x v="2"/>
    <x v="683"/>
    <s v="Small Box"/>
    <n v="0.35"/>
    <d v="2009-10-23T00:00:00"/>
    <n v="0"/>
    <n v="0"/>
    <n v="0.5"/>
    <n v="0.5"/>
  </r>
  <r>
    <n v="7395"/>
    <n v="52678"/>
    <x v="300"/>
    <x v="29"/>
    <s v="High"/>
    <n v="3"/>
    <n v="112.79"/>
    <n v="0.06"/>
    <s v="Delivery Truck"/>
    <n v="-95.39"/>
    <n v="20.98"/>
    <n v="53.03"/>
    <x v="653"/>
    <x v="10"/>
    <x v="3"/>
    <x v="2"/>
    <x v="0"/>
    <x v="0"/>
    <x v="111"/>
    <s v="Jumbo Drum"/>
    <n v="0.78"/>
    <d v="2012-07-31T00:00:00"/>
    <n v="0"/>
    <n v="0"/>
    <n v="1"/>
    <n v="1"/>
  </r>
  <r>
    <n v="7770"/>
    <n v="55621"/>
    <x v="515"/>
    <x v="5"/>
    <s v="Low"/>
    <n v="50"/>
    <n v="6356.68"/>
    <n v="0.03"/>
    <s v="Regular Air"/>
    <n v="1812.86"/>
    <n v="128.24"/>
    <n v="12.65"/>
    <x v="146"/>
    <x v="10"/>
    <x v="3"/>
    <x v="3"/>
    <x v="2"/>
    <x v="14"/>
    <x v="410"/>
    <s v="Medium Box"/>
    <m/>
    <d v="2011-03-17T00:00:00"/>
    <n v="0"/>
    <n v="0"/>
    <n v="0.5"/>
    <n v="0.5"/>
  </r>
  <r>
    <n v="7771"/>
    <n v="55621"/>
    <x v="515"/>
    <x v="5"/>
    <s v="Low"/>
    <n v="47"/>
    <n v="193.15"/>
    <n v="0.09"/>
    <s v="Regular Air"/>
    <n v="27.76"/>
    <n v="4.28"/>
    <n v="0.94"/>
    <x v="146"/>
    <x v="10"/>
    <x v="3"/>
    <x v="3"/>
    <x v="0"/>
    <x v="12"/>
    <x v="406"/>
    <s v="Wrap Bag"/>
    <n v="0.56000000000000005"/>
    <d v="2011-03-22T00:00:00"/>
    <n v="0"/>
    <n v="0"/>
    <n v="0.5"/>
    <n v="0.5"/>
  </r>
  <r>
    <n v="7891"/>
    <n v="56423"/>
    <x v="1121"/>
    <x v="25"/>
    <s v="Not Specified"/>
    <n v="41"/>
    <n v="170.82"/>
    <n v="0"/>
    <s v="Express Air"/>
    <n v="85.45"/>
    <n v="3.69"/>
    <n v="0.5"/>
    <x v="659"/>
    <x v="10"/>
    <x v="3"/>
    <x v="2"/>
    <x v="0"/>
    <x v="11"/>
    <x v="1045"/>
    <s v="Small Box"/>
    <n v="0.38"/>
    <d v="2011-12-26T00:00:00"/>
    <n v="0"/>
    <n v="0"/>
    <n v="0.5"/>
    <n v="0.5"/>
  </r>
  <r>
    <n v="7892"/>
    <n v="56423"/>
    <x v="1121"/>
    <x v="25"/>
    <s v="Not Specified"/>
    <n v="4"/>
    <n v="1609.69"/>
    <n v="0.04"/>
    <s v="Regular Air"/>
    <n v="-281.17"/>
    <n v="419.19"/>
    <n v="19.989999999999998"/>
    <x v="659"/>
    <x v="10"/>
    <x v="3"/>
    <x v="2"/>
    <x v="0"/>
    <x v="0"/>
    <x v="1127"/>
    <s v="Small Box"/>
    <n v="0.57999999999999996"/>
    <d v="2011-12-26T00:00:00"/>
    <n v="0"/>
    <n v="0"/>
    <n v="0.5"/>
    <n v="0.5"/>
  </r>
  <r>
    <n v="7923"/>
    <n v="56644"/>
    <x v="740"/>
    <x v="32"/>
    <s v="Not Specified"/>
    <n v="36"/>
    <n v="82.09"/>
    <n v="0.02"/>
    <s v="Regular Air"/>
    <n v="11.44"/>
    <n v="2.21"/>
    <n v="1"/>
    <x v="104"/>
    <x v="10"/>
    <x v="3"/>
    <x v="3"/>
    <x v="0"/>
    <x v="12"/>
    <x v="1157"/>
    <s v="Wrap Bag"/>
    <n v="0.38"/>
    <d v="2012-11-30T00:00:00"/>
    <n v="0"/>
    <n v="0"/>
    <n v="1"/>
    <n v="1"/>
  </r>
  <r>
    <n v="8016"/>
    <n v="57280"/>
    <x v="679"/>
    <x v="23"/>
    <s v="Medium"/>
    <n v="44"/>
    <n v="299.85000000000002"/>
    <n v="0.03"/>
    <s v="Express Air"/>
    <n v="-260.8"/>
    <n v="6.48"/>
    <n v="10.050000000000001"/>
    <x v="659"/>
    <x v="10"/>
    <x v="3"/>
    <x v="2"/>
    <x v="0"/>
    <x v="5"/>
    <x v="680"/>
    <s v="Small Box"/>
    <n v="0.37"/>
    <d v="2012-02-01T00:00:00"/>
    <n v="0"/>
    <n v="0"/>
    <n v="1"/>
    <n v="0.25"/>
  </r>
  <r>
    <n v="8052"/>
    <n v="57478"/>
    <x v="1348"/>
    <x v="0"/>
    <s v="Critical"/>
    <n v="36"/>
    <n v="63.53"/>
    <n v="0.1"/>
    <s v="Regular Air"/>
    <n v="-2.5099999999999998"/>
    <n v="1.88"/>
    <n v="0.79"/>
    <x v="525"/>
    <x v="10"/>
    <x v="3"/>
    <x v="3"/>
    <x v="0"/>
    <x v="6"/>
    <x v="1006"/>
    <s v="Wrap Bag"/>
    <n v="0.5"/>
    <d v="2010-10-04T00:00:00"/>
    <n v="0"/>
    <n v="0"/>
    <n v="1"/>
    <n v="1"/>
  </r>
  <r>
    <n v="8059"/>
    <n v="57510"/>
    <x v="924"/>
    <x v="25"/>
    <s v="Not Specified"/>
    <n v="6"/>
    <n v="48.05"/>
    <n v="0.01"/>
    <s v="Regular Air"/>
    <n v="-11.34"/>
    <n v="6.68"/>
    <n v="5.2"/>
    <x v="657"/>
    <x v="10"/>
    <x v="3"/>
    <x v="2"/>
    <x v="0"/>
    <x v="5"/>
    <x v="320"/>
    <s v="Small Box"/>
    <n v="0.37"/>
    <d v="2011-12-10T00:00:00"/>
    <n v="0"/>
    <n v="0"/>
    <n v="1"/>
    <n v="1"/>
  </r>
  <r>
    <n v="8098"/>
    <n v="57767"/>
    <x v="285"/>
    <x v="13"/>
    <s v="Critical"/>
    <n v="34"/>
    <n v="3373.7094999999999"/>
    <n v="0.01"/>
    <s v="Regular Air"/>
    <n v="861.72299999999996"/>
    <n v="110.99"/>
    <n v="8.99"/>
    <x v="652"/>
    <x v="10"/>
    <x v="3"/>
    <x v="2"/>
    <x v="1"/>
    <x v="3"/>
    <x v="425"/>
    <s v="Small Box"/>
    <n v="0.56999999999999995"/>
    <d v="2012-04-13T00:00:00"/>
    <n v="0"/>
    <n v="0"/>
    <n v="1"/>
    <n v="1"/>
  </r>
  <r>
    <n v="8101"/>
    <n v="57799"/>
    <x v="31"/>
    <x v="21"/>
    <s v="High"/>
    <n v="25"/>
    <n v="12343.07"/>
    <n v="0.02"/>
    <s v="Delivery Truck"/>
    <n v="3972.72"/>
    <n v="500.97"/>
    <n v="69.3"/>
    <x v="655"/>
    <x v="10"/>
    <x v="3"/>
    <x v="1"/>
    <x v="1"/>
    <x v="16"/>
    <x v="280"/>
    <s v="Jumbo Drum"/>
    <n v="0.37"/>
    <d v="2011-09-02T00:00:00"/>
    <n v="0"/>
    <n v="0"/>
    <n v="1"/>
    <n v="1"/>
  </r>
  <r>
    <n v="8192"/>
    <n v="58595"/>
    <x v="1349"/>
    <x v="3"/>
    <s v="High"/>
    <n v="41"/>
    <n v="812.21"/>
    <n v="0.06"/>
    <s v="Express Air"/>
    <n v="-128.02000000000001"/>
    <n v="20.28"/>
    <n v="14.39"/>
    <x v="146"/>
    <x v="10"/>
    <x v="3"/>
    <x v="3"/>
    <x v="2"/>
    <x v="4"/>
    <x v="693"/>
    <s v="Small Box"/>
    <n v="0.47"/>
    <d v="2010-08-30T00:00:00"/>
    <n v="0"/>
    <n v="0"/>
    <n v="1"/>
    <n v="1"/>
  </r>
  <r>
    <n v="8217"/>
    <n v="58755"/>
    <x v="1211"/>
    <x v="25"/>
    <s v="Low"/>
    <n v="7"/>
    <n v="15.61"/>
    <n v="0.03"/>
    <s v="Regular Air"/>
    <n v="-5.1864999999999997"/>
    <n v="2.08"/>
    <n v="1.49"/>
    <x v="568"/>
    <x v="10"/>
    <x v="3"/>
    <x v="3"/>
    <x v="0"/>
    <x v="2"/>
    <x v="610"/>
    <s v="Small Box"/>
    <n v="0.38"/>
    <d v="2011-12-05T00:00:00"/>
    <n v="0"/>
    <n v="0"/>
    <n v="0.5"/>
    <n v="0.33333333333333331"/>
  </r>
  <r>
    <n v="8218"/>
    <n v="58755"/>
    <x v="1211"/>
    <x v="25"/>
    <s v="Low"/>
    <n v="18"/>
    <n v="47.11"/>
    <n v="0"/>
    <s v="Regular Air"/>
    <n v="-95.42"/>
    <n v="2.1800000000000002"/>
    <n v="7.09"/>
    <x v="568"/>
    <x v="10"/>
    <x v="3"/>
    <x v="3"/>
    <x v="0"/>
    <x v="5"/>
    <x v="943"/>
    <s v="Wrap Bag"/>
    <n v="0.38"/>
    <d v="2011-12-12T00:00:00"/>
    <n v="0"/>
    <n v="0"/>
    <n v="0.5"/>
    <n v="0.33333333333333331"/>
  </r>
  <r>
    <n v="8250"/>
    <n v="59008"/>
    <x v="361"/>
    <x v="18"/>
    <s v="Critical"/>
    <n v="39"/>
    <n v="3451.85"/>
    <n v="0.05"/>
    <s v="Delivery Truck"/>
    <n v="1264.75"/>
    <n v="90.97"/>
    <n v="14"/>
    <x v="203"/>
    <x v="10"/>
    <x v="3"/>
    <x v="2"/>
    <x v="1"/>
    <x v="16"/>
    <x v="603"/>
    <s v="Jumbo Drum"/>
    <n v="0.36"/>
    <d v="2010-09-29T00:00:00"/>
    <n v="0"/>
    <n v="0"/>
    <n v="1"/>
    <n v="0.2"/>
  </r>
  <r>
    <n v="8287"/>
    <n v="59205"/>
    <x v="1225"/>
    <x v="17"/>
    <s v="Critical"/>
    <n v="11"/>
    <n v="54.59"/>
    <n v="0"/>
    <s v="Regular Air"/>
    <n v="-47.18"/>
    <n v="4.13"/>
    <n v="6.89"/>
    <x v="146"/>
    <x v="10"/>
    <x v="3"/>
    <x v="3"/>
    <x v="0"/>
    <x v="11"/>
    <x v="917"/>
    <s v="Small Box"/>
    <n v="0.39"/>
    <d v="2011-11-02T00:00:00"/>
    <n v="0"/>
    <n v="0"/>
    <n v="0.5"/>
    <n v="0.5"/>
  </r>
  <r>
    <n v="8288"/>
    <n v="59205"/>
    <x v="1225"/>
    <x v="17"/>
    <s v="Critical"/>
    <n v="35"/>
    <n v="597.04"/>
    <n v="0.05"/>
    <s v="Regular Air"/>
    <n v="-157.41999999999999"/>
    <n v="16.739999999999998"/>
    <n v="7.04"/>
    <x v="146"/>
    <x v="10"/>
    <x v="3"/>
    <x v="3"/>
    <x v="0"/>
    <x v="0"/>
    <x v="1043"/>
    <s v="Small Box"/>
    <n v="0.81"/>
    <d v="2011-11-02T00:00:00"/>
    <n v="0"/>
    <n v="0"/>
    <n v="0.5"/>
    <n v="0.5"/>
  </r>
  <r>
    <n v="8322"/>
    <n v="59491"/>
    <x v="561"/>
    <x v="33"/>
    <s v="High"/>
    <n v="8"/>
    <n v="32.31"/>
    <n v="0.09"/>
    <s v="Regular Air"/>
    <n v="-33.591500000000003"/>
    <n v="3.58"/>
    <n v="5.47"/>
    <x v="525"/>
    <x v="10"/>
    <x v="3"/>
    <x v="3"/>
    <x v="0"/>
    <x v="2"/>
    <x v="337"/>
    <s v="Small Box"/>
    <n v="0.37"/>
    <d v="2012-03-25T00:00:00"/>
    <n v="0"/>
    <n v="0"/>
    <n v="0.25"/>
    <n v="0.25"/>
  </r>
  <r>
    <n v="8323"/>
    <n v="59491"/>
    <x v="561"/>
    <x v="33"/>
    <s v="High"/>
    <n v="6"/>
    <n v="57.9"/>
    <n v="0.03"/>
    <s v="Regular Air"/>
    <n v="-48.138999999999996"/>
    <n v="7.38"/>
    <n v="11.51"/>
    <x v="525"/>
    <x v="10"/>
    <x v="3"/>
    <x v="3"/>
    <x v="0"/>
    <x v="2"/>
    <x v="1140"/>
    <s v="Small Box"/>
    <n v="0.36"/>
    <d v="2012-03-24T00:00:00"/>
    <n v="0"/>
    <n v="0"/>
    <n v="0.25"/>
    <n v="0.25"/>
  </r>
  <r>
    <n v="8324"/>
    <n v="59491"/>
    <x v="561"/>
    <x v="33"/>
    <s v="High"/>
    <n v="46"/>
    <n v="562.95000000000005"/>
    <n v="0.06"/>
    <s v="Regular Air"/>
    <n v="147.12"/>
    <n v="12.22"/>
    <n v="2.85"/>
    <x v="525"/>
    <x v="10"/>
    <x v="3"/>
    <x v="3"/>
    <x v="2"/>
    <x v="4"/>
    <x v="137"/>
    <s v="Small Pack"/>
    <n v="0.55000000000000004"/>
    <d v="2012-03-26T00:00:00"/>
    <n v="0"/>
    <n v="0"/>
    <n v="0.25"/>
    <n v="0.25"/>
  </r>
  <r>
    <n v="8361"/>
    <n v="59776"/>
    <x v="293"/>
    <x v="28"/>
    <s v="Low"/>
    <n v="35"/>
    <n v="285.01"/>
    <n v="0.01"/>
    <s v="Express Air"/>
    <n v="124.82"/>
    <n v="7.64"/>
    <n v="1.39"/>
    <x v="656"/>
    <x v="10"/>
    <x v="3"/>
    <x v="2"/>
    <x v="0"/>
    <x v="8"/>
    <x v="181"/>
    <s v="Small Box"/>
    <n v="0.36"/>
    <d v="2009-03-13T00:00:00"/>
    <n v="0"/>
    <n v="0"/>
    <n v="0.5"/>
    <n v="0.5"/>
  </r>
  <r>
    <n v="8362"/>
    <n v="59776"/>
    <x v="293"/>
    <x v="28"/>
    <s v="Low"/>
    <n v="33"/>
    <n v="12215.43"/>
    <n v="7.0000000000000007E-2"/>
    <s v="Delivery Truck"/>
    <n v="5255.45"/>
    <n v="400.97"/>
    <n v="48.26"/>
    <x v="656"/>
    <x v="10"/>
    <x v="3"/>
    <x v="2"/>
    <x v="1"/>
    <x v="16"/>
    <x v="749"/>
    <s v="Jumbo Box"/>
    <n v="0.36"/>
    <d v="2009-03-13T00:00:00"/>
    <n v="0"/>
    <n v="0"/>
    <n v="0.5"/>
    <n v="0.5"/>
  </r>
  <r>
    <n v="8372"/>
    <n v="59809"/>
    <x v="174"/>
    <x v="5"/>
    <s v="Not Specified"/>
    <n v="12"/>
    <n v="138.66999999999999"/>
    <n v="0.08"/>
    <s v="Regular Air"/>
    <n v="-9.7174999999999994"/>
    <n v="11.7"/>
    <n v="5.63"/>
    <x v="568"/>
    <x v="10"/>
    <x v="3"/>
    <x v="3"/>
    <x v="0"/>
    <x v="2"/>
    <x v="972"/>
    <s v="Small Box"/>
    <n v="0.4"/>
    <d v="2011-03-10T00:00:00"/>
    <n v="0"/>
    <n v="0"/>
    <n v="0.5"/>
    <n v="0.5"/>
  </r>
  <r>
    <n v="8373"/>
    <n v="59809"/>
    <x v="174"/>
    <x v="5"/>
    <s v="Not Specified"/>
    <n v="16"/>
    <n v="506.84"/>
    <n v="0.02"/>
    <s v="Regular Air"/>
    <n v="-38.32"/>
    <n v="30.98"/>
    <n v="6.5"/>
    <x v="568"/>
    <x v="10"/>
    <x v="3"/>
    <x v="3"/>
    <x v="1"/>
    <x v="7"/>
    <x v="455"/>
    <s v="Small Box"/>
    <n v="0.64"/>
    <d v="2011-03-09T00:00:00"/>
    <n v="0"/>
    <n v="0"/>
    <n v="0.5"/>
    <n v="0.5"/>
  </r>
  <r>
    <n v="8392"/>
    <n v="59943"/>
    <x v="208"/>
    <x v="30"/>
    <s v="Critical"/>
    <n v="43"/>
    <n v="679.65"/>
    <n v="0"/>
    <s v="Regular Air"/>
    <n v="31.203500000000002"/>
    <n v="15.01"/>
    <n v="8.4"/>
    <x v="550"/>
    <x v="10"/>
    <x v="3"/>
    <x v="3"/>
    <x v="0"/>
    <x v="2"/>
    <x v="318"/>
    <s v="Small Box"/>
    <n v="0.39"/>
    <d v="2010-06-10T00:00:00"/>
    <n v="0"/>
    <n v="0"/>
    <n v="1"/>
    <n v="1"/>
  </r>
  <r>
    <n v="48"/>
    <n v="292"/>
    <x v="899"/>
    <x v="23"/>
    <s v="High"/>
    <n v="43"/>
    <n v="412.62"/>
    <n v="0.08"/>
    <s v="Regular Air"/>
    <n v="175.54"/>
    <n v="9.9"/>
    <n v="1.39"/>
    <x v="570"/>
    <x v="10"/>
    <x v="3"/>
    <x v="1"/>
    <x v="0"/>
    <x v="8"/>
    <x v="1132"/>
    <s v="Small Box"/>
    <n v="0.37"/>
    <d v="2012-01-13T00:00:00"/>
    <n v="0"/>
    <n v="0"/>
    <n v="1"/>
    <n v="1"/>
  </r>
  <r>
    <n v="417"/>
    <n v="2817"/>
    <x v="413"/>
    <x v="46"/>
    <s v="Medium"/>
    <n v="14"/>
    <n v="3830.14"/>
    <n v="0.1"/>
    <s v="Regular Air"/>
    <n v="202.25"/>
    <n v="300.97000000000003"/>
    <n v="7.18"/>
    <x v="664"/>
    <x v="10"/>
    <x v="3"/>
    <x v="3"/>
    <x v="1"/>
    <x v="7"/>
    <x v="1130"/>
    <s v="Small Box"/>
    <n v="0.48"/>
    <d v="2009-04-19T00:00:00"/>
    <n v="0"/>
    <n v="0"/>
    <n v="0.5"/>
    <n v="0.5"/>
  </r>
  <r>
    <n v="418"/>
    <n v="2817"/>
    <x v="413"/>
    <x v="46"/>
    <s v="Medium"/>
    <n v="40"/>
    <n v="1559.86"/>
    <n v="0.06"/>
    <s v="Regular Air"/>
    <n v="672.37"/>
    <n v="39.89"/>
    <n v="3.04"/>
    <x v="664"/>
    <x v="10"/>
    <x v="3"/>
    <x v="3"/>
    <x v="2"/>
    <x v="4"/>
    <x v="14"/>
    <s v="Wrap Bag"/>
    <n v="0.53"/>
    <d v="2009-04-20T00:00:00"/>
    <n v="0"/>
    <n v="0"/>
    <n v="0.5"/>
    <n v="0.5"/>
  </r>
  <r>
    <n v="426"/>
    <n v="2852"/>
    <x v="1040"/>
    <x v="38"/>
    <s v="Critical"/>
    <n v="10"/>
    <n v="74.87"/>
    <n v="0.02"/>
    <s v="Regular Air"/>
    <n v="-43.97"/>
    <n v="6.48"/>
    <n v="8.19"/>
    <x v="664"/>
    <x v="10"/>
    <x v="3"/>
    <x v="3"/>
    <x v="0"/>
    <x v="5"/>
    <x v="77"/>
    <s v="Small Box"/>
    <n v="0.37"/>
    <d v="2010-01-15T00:00:00"/>
    <n v="1"/>
    <n v="0"/>
    <n v="0.5"/>
    <n v="0.5"/>
  </r>
  <r>
    <n v="427"/>
    <n v="2852"/>
    <x v="1040"/>
    <x v="38"/>
    <s v="Critical"/>
    <n v="42"/>
    <n v="3931.3179999999998"/>
    <n v="0.06"/>
    <s v="Regular Air"/>
    <n v="1025.451"/>
    <n v="115.99"/>
    <n v="4.2300000000000004"/>
    <x v="664"/>
    <x v="10"/>
    <x v="3"/>
    <x v="3"/>
    <x v="1"/>
    <x v="3"/>
    <x v="1082"/>
    <s v="Small Box"/>
    <n v="0.56000000000000005"/>
    <d v="2010-01-16T00:00:00"/>
    <n v="1"/>
    <n v="0"/>
    <n v="0.5"/>
    <n v="0.5"/>
  </r>
  <r>
    <n v="626"/>
    <n v="4359"/>
    <x v="374"/>
    <x v="14"/>
    <s v="Critical"/>
    <n v="21"/>
    <n v="215.76"/>
    <n v="0.09"/>
    <s v="Regular Air"/>
    <n v="-97.75"/>
    <n v="10.9"/>
    <n v="7.46"/>
    <x v="665"/>
    <x v="10"/>
    <x v="3"/>
    <x v="3"/>
    <x v="0"/>
    <x v="0"/>
    <x v="63"/>
    <s v="Small Box"/>
    <n v="0.59"/>
    <d v="2010-03-04T00:00:00"/>
    <n v="0"/>
    <n v="0"/>
    <n v="1"/>
    <n v="1"/>
  </r>
  <r>
    <n v="1136"/>
    <n v="8293"/>
    <x v="567"/>
    <x v="9"/>
    <s v="Low"/>
    <n v="22"/>
    <n v="75.03"/>
    <n v="0.02"/>
    <s v="Regular Air"/>
    <n v="-31.52"/>
    <n v="3.14"/>
    <n v="1.92"/>
    <x v="436"/>
    <x v="10"/>
    <x v="3"/>
    <x v="0"/>
    <x v="0"/>
    <x v="15"/>
    <x v="546"/>
    <s v="Wrap Bag"/>
    <n v="0.84"/>
    <d v="2012-08-14T00:00:00"/>
    <n v="0"/>
    <n v="0"/>
    <n v="0.5"/>
    <n v="0.5"/>
  </r>
  <r>
    <n v="1254"/>
    <n v="9095"/>
    <x v="887"/>
    <x v="4"/>
    <s v="High"/>
    <n v="23"/>
    <n v="294.91000000000003"/>
    <n v="0.03"/>
    <s v="Regular Air"/>
    <n v="-37.270000000000003"/>
    <n v="12.44"/>
    <n v="6.27"/>
    <x v="666"/>
    <x v="10"/>
    <x v="3"/>
    <x v="0"/>
    <x v="0"/>
    <x v="0"/>
    <x v="587"/>
    <s v="Medium Box"/>
    <n v="0.56999999999999995"/>
    <d v="2011-06-12T00:00:00"/>
    <n v="0"/>
    <n v="0"/>
    <n v="1"/>
    <n v="1"/>
  </r>
  <r>
    <n v="1276"/>
    <n v="9254"/>
    <x v="486"/>
    <x v="39"/>
    <s v="Medium"/>
    <n v="24"/>
    <n v="131.65"/>
    <n v="0.01"/>
    <s v="Express Air"/>
    <n v="67.41"/>
    <n v="4.91"/>
    <n v="0.5"/>
    <x v="667"/>
    <x v="10"/>
    <x v="3"/>
    <x v="1"/>
    <x v="0"/>
    <x v="11"/>
    <x v="343"/>
    <s v="Small Box"/>
    <n v="0.36"/>
    <d v="2010-05-16T00:00:00"/>
    <n v="0"/>
    <n v="0"/>
    <n v="1"/>
    <n v="1"/>
  </r>
  <r>
    <n v="1346"/>
    <n v="9829"/>
    <x v="1038"/>
    <x v="25"/>
    <s v="Critical"/>
    <n v="23"/>
    <n v="750.39"/>
    <n v="0.04"/>
    <s v="Regular Air"/>
    <n v="133.70500000000001"/>
    <n v="30.98"/>
    <n v="11.63"/>
    <x v="570"/>
    <x v="10"/>
    <x v="3"/>
    <x v="1"/>
    <x v="0"/>
    <x v="2"/>
    <x v="121"/>
    <s v="Small Box"/>
    <n v="0.37"/>
    <d v="2011-12-09T00:00:00"/>
    <n v="0"/>
    <n v="0"/>
    <n v="0.5"/>
    <n v="0.5"/>
  </r>
  <r>
    <n v="1347"/>
    <n v="9829"/>
    <x v="1038"/>
    <x v="25"/>
    <s v="Critical"/>
    <n v="4"/>
    <n v="18.46"/>
    <n v="0.06"/>
    <s v="Regular Air"/>
    <n v="-0.43"/>
    <n v="4.91"/>
    <n v="0.5"/>
    <x v="570"/>
    <x v="10"/>
    <x v="3"/>
    <x v="1"/>
    <x v="0"/>
    <x v="11"/>
    <x v="999"/>
    <s v="Small Box"/>
    <n v="0.36"/>
    <d v="2011-12-10T00:00:00"/>
    <n v="0"/>
    <n v="0"/>
    <n v="0.5"/>
    <n v="0.5"/>
  </r>
  <r>
    <n v="1460"/>
    <n v="10528"/>
    <x v="803"/>
    <x v="35"/>
    <s v="Medium"/>
    <n v="47"/>
    <n v="838.4"/>
    <n v="0.02"/>
    <s v="Express Air"/>
    <n v="-132.91"/>
    <n v="17.7"/>
    <n v="9.4700000000000006"/>
    <x v="668"/>
    <x v="10"/>
    <x v="3"/>
    <x v="2"/>
    <x v="0"/>
    <x v="0"/>
    <x v="1046"/>
    <s v="Small Box"/>
    <n v="0.59"/>
    <d v="2009-09-15T00:00:00"/>
    <n v="0"/>
    <n v="0"/>
    <n v="1"/>
    <n v="1"/>
  </r>
  <r>
    <n v="1492"/>
    <n v="10754"/>
    <x v="648"/>
    <x v="14"/>
    <s v="Low"/>
    <n v="7"/>
    <n v="48.04"/>
    <n v="0.09"/>
    <s v="Regular Air"/>
    <n v="-23.28"/>
    <n v="6.48"/>
    <n v="5.94"/>
    <x v="669"/>
    <x v="10"/>
    <x v="3"/>
    <x v="2"/>
    <x v="0"/>
    <x v="5"/>
    <x v="772"/>
    <s v="Small Box"/>
    <n v="0.37"/>
    <d v="2010-03-19T00:00:00"/>
    <n v="0"/>
    <n v="0"/>
    <n v="1"/>
    <n v="1"/>
  </r>
  <r>
    <n v="1541"/>
    <n v="11109"/>
    <x v="515"/>
    <x v="5"/>
    <s v="Medium"/>
    <n v="18"/>
    <n v="130.38"/>
    <n v="0.08"/>
    <s v="Regular Air"/>
    <n v="31.52"/>
    <n v="7.4"/>
    <n v="1.71"/>
    <x v="669"/>
    <x v="10"/>
    <x v="3"/>
    <x v="1"/>
    <x v="0"/>
    <x v="5"/>
    <x v="677"/>
    <s v="Wrap Bag"/>
    <n v="0.4"/>
    <d v="2011-03-16T00:00:00"/>
    <n v="0"/>
    <n v="0"/>
    <n v="1"/>
    <n v="1"/>
  </r>
  <r>
    <n v="1581"/>
    <n v="11426"/>
    <x v="1195"/>
    <x v="43"/>
    <s v="Medium"/>
    <n v="19"/>
    <n v="333.68"/>
    <n v="0.01"/>
    <s v="Regular Air"/>
    <n v="81.96"/>
    <n v="16.48"/>
    <n v="1.99"/>
    <x v="670"/>
    <x v="10"/>
    <x v="3"/>
    <x v="1"/>
    <x v="1"/>
    <x v="7"/>
    <x v="663"/>
    <s v="Small Pack"/>
    <n v="0.42"/>
    <d v="2009-05-08T00:00:00"/>
    <n v="0"/>
    <n v="0"/>
    <n v="1"/>
    <n v="1"/>
  </r>
  <r>
    <n v="1797"/>
    <n v="12869"/>
    <x v="1350"/>
    <x v="22"/>
    <s v="Not Specified"/>
    <n v="15"/>
    <n v="1532.482"/>
    <n v="0.1"/>
    <s v="Regular Air"/>
    <n v="-42.999000000000002"/>
    <n v="125.99"/>
    <n v="8.99"/>
    <x v="670"/>
    <x v="10"/>
    <x v="3"/>
    <x v="1"/>
    <x v="1"/>
    <x v="3"/>
    <x v="1232"/>
    <s v="Small Box"/>
    <n v="0.56999999999999995"/>
    <d v="2009-01-28T00:00:00"/>
    <n v="0"/>
    <n v="1"/>
    <n v="1"/>
    <n v="1"/>
  </r>
  <r>
    <n v="1825"/>
    <n v="13094"/>
    <x v="1098"/>
    <x v="3"/>
    <s v="Not Specified"/>
    <n v="7"/>
    <n v="283.57"/>
    <n v="0.02"/>
    <s v="Regular Air"/>
    <n v="71.209999999999994"/>
    <n v="37.94"/>
    <n v="5.08"/>
    <x v="667"/>
    <x v="10"/>
    <x v="3"/>
    <x v="1"/>
    <x v="0"/>
    <x v="5"/>
    <x v="532"/>
    <s v="Wrap Bag"/>
    <n v="0.38"/>
    <d v="2010-08-19T00:00:00"/>
    <n v="0"/>
    <n v="0"/>
    <n v="1"/>
    <n v="1"/>
  </r>
  <r>
    <n v="2001"/>
    <n v="14274"/>
    <x v="132"/>
    <x v="22"/>
    <s v="Not Specified"/>
    <n v="23"/>
    <n v="3674.08"/>
    <n v="0.01"/>
    <s v="Delivery Truck"/>
    <n v="112.44"/>
    <n v="150.97999999999999"/>
    <n v="30"/>
    <x v="667"/>
    <x v="10"/>
    <x v="3"/>
    <x v="1"/>
    <x v="2"/>
    <x v="14"/>
    <x v="567"/>
    <s v="Jumbo Drum"/>
    <n v="0.74"/>
    <d v="2009-01-08T00:00:00"/>
    <n v="0"/>
    <n v="1"/>
    <n v="0.33333333333333331"/>
    <n v="0.33333333333333331"/>
  </r>
  <r>
    <n v="2002"/>
    <n v="14274"/>
    <x v="132"/>
    <x v="22"/>
    <s v="Not Specified"/>
    <n v="46"/>
    <n v="1413.89"/>
    <n v="0.01"/>
    <s v="Express Air"/>
    <n v="-40.72"/>
    <n v="28.28"/>
    <n v="13.99"/>
    <x v="667"/>
    <x v="10"/>
    <x v="3"/>
    <x v="1"/>
    <x v="0"/>
    <x v="0"/>
    <x v="158"/>
    <s v="Medium Box"/>
    <n v="0.57999999999999996"/>
    <d v="2009-01-08T00:00:00"/>
    <n v="0"/>
    <n v="1"/>
    <n v="0.33333333333333331"/>
    <n v="0.33333333333333331"/>
  </r>
  <r>
    <n v="2003"/>
    <n v="14274"/>
    <x v="132"/>
    <x v="22"/>
    <s v="Not Specified"/>
    <n v="2"/>
    <n v="61.718499999999999"/>
    <n v="0.03"/>
    <s v="Regular Air"/>
    <n v="-164.04300000000001"/>
    <n v="35.99"/>
    <n v="1.1000000000000001"/>
    <x v="667"/>
    <x v="10"/>
    <x v="3"/>
    <x v="1"/>
    <x v="1"/>
    <x v="3"/>
    <x v="828"/>
    <s v="Small Box"/>
    <n v="0.55000000000000004"/>
    <d v="2009-01-07T00:00:00"/>
    <n v="0"/>
    <n v="1"/>
    <n v="0.33333333333333331"/>
    <n v="0.33333333333333331"/>
  </r>
  <r>
    <n v="2039"/>
    <n v="14530"/>
    <x v="319"/>
    <x v="46"/>
    <s v="High"/>
    <n v="17"/>
    <n v="1556.61"/>
    <n v="0.06"/>
    <s v="Regular Air"/>
    <n v="-485.55"/>
    <n v="89.83"/>
    <n v="35"/>
    <x v="671"/>
    <x v="10"/>
    <x v="3"/>
    <x v="3"/>
    <x v="0"/>
    <x v="0"/>
    <x v="1174"/>
    <s v="Large Box"/>
    <n v="0.83"/>
    <d v="2009-04-08T00:00:00"/>
    <n v="0"/>
    <n v="0"/>
    <n v="0.33333333333333331"/>
    <n v="0.33333333333333331"/>
  </r>
  <r>
    <n v="2040"/>
    <n v="14530"/>
    <x v="319"/>
    <x v="46"/>
    <s v="High"/>
    <n v="49"/>
    <n v="645.14"/>
    <n v="0.1"/>
    <s v="Regular Air"/>
    <n v="-26.32"/>
    <n v="13.43"/>
    <n v="5.5"/>
    <x v="671"/>
    <x v="10"/>
    <x v="3"/>
    <x v="3"/>
    <x v="0"/>
    <x v="0"/>
    <x v="813"/>
    <s v="Small Box"/>
    <n v="0.56999999999999995"/>
    <d v="2009-04-08T00:00:00"/>
    <n v="0"/>
    <n v="0"/>
    <n v="0.33333333333333331"/>
    <n v="0.33333333333333331"/>
  </r>
  <r>
    <n v="2041"/>
    <n v="14530"/>
    <x v="319"/>
    <x v="46"/>
    <s v="High"/>
    <n v="44"/>
    <n v="4851.5024999999996"/>
    <n v="0.01"/>
    <s v="Regular Air"/>
    <n v="1371.672"/>
    <n v="125.99"/>
    <n v="7.69"/>
    <x v="671"/>
    <x v="10"/>
    <x v="3"/>
    <x v="3"/>
    <x v="1"/>
    <x v="3"/>
    <x v="44"/>
    <s v="Small Box"/>
    <n v="0.57999999999999996"/>
    <d v="2009-04-06T00:00:00"/>
    <n v="0"/>
    <n v="0"/>
    <n v="0.33333333333333331"/>
    <n v="0.33333333333333331"/>
  </r>
  <r>
    <n v="2157"/>
    <n v="15462"/>
    <x v="557"/>
    <x v="44"/>
    <s v="Critical"/>
    <n v="20"/>
    <n v="862.64"/>
    <n v="0.08"/>
    <s v="Regular Air"/>
    <n v="320.80700000000002"/>
    <n v="43.41"/>
    <n v="2.99"/>
    <x v="664"/>
    <x v="10"/>
    <x v="3"/>
    <x v="3"/>
    <x v="0"/>
    <x v="2"/>
    <x v="96"/>
    <s v="Small Box"/>
    <n v="0.39"/>
    <d v="2011-02-27T00:00:00"/>
    <n v="0"/>
    <n v="0"/>
    <n v="1"/>
    <n v="0.25"/>
  </r>
  <r>
    <n v="2181"/>
    <n v="15715"/>
    <x v="1205"/>
    <x v="1"/>
    <s v="Critical"/>
    <n v="43"/>
    <n v="2123.64"/>
    <n v="0.03"/>
    <s v="Regular Air"/>
    <n v="1013.77"/>
    <n v="47.9"/>
    <n v="5.86"/>
    <x v="665"/>
    <x v="10"/>
    <x v="3"/>
    <x v="3"/>
    <x v="0"/>
    <x v="5"/>
    <x v="656"/>
    <s v="Small Box"/>
    <n v="0.37"/>
    <d v="2012-10-18T00:00:00"/>
    <n v="0"/>
    <n v="0"/>
    <n v="1"/>
    <n v="1"/>
  </r>
  <r>
    <n v="2231"/>
    <n v="16128"/>
    <x v="166"/>
    <x v="10"/>
    <s v="High"/>
    <n v="46"/>
    <n v="2968.66"/>
    <n v="7.0000000000000007E-2"/>
    <s v="Regular Air"/>
    <n v="1077.49"/>
    <n v="63.94"/>
    <n v="14.48"/>
    <x v="668"/>
    <x v="10"/>
    <x v="3"/>
    <x v="2"/>
    <x v="2"/>
    <x v="4"/>
    <x v="308"/>
    <s v="Small Box"/>
    <n v="0.46"/>
    <d v="2011-05-08T00:00:00"/>
    <n v="0"/>
    <n v="0"/>
    <n v="1"/>
    <n v="1"/>
  </r>
  <r>
    <n v="2300"/>
    <n v="16579"/>
    <x v="611"/>
    <x v="15"/>
    <s v="Not Specified"/>
    <n v="33"/>
    <n v="63.96"/>
    <n v="0.05"/>
    <s v="Regular Air"/>
    <n v="-13.708"/>
    <n v="1.88"/>
    <n v="1.49"/>
    <x v="669"/>
    <x v="10"/>
    <x v="3"/>
    <x v="1"/>
    <x v="0"/>
    <x v="2"/>
    <x v="74"/>
    <s v="Small Box"/>
    <n v="0.37"/>
    <d v="2010-12-13T00:00:00"/>
    <n v="0"/>
    <n v="0"/>
    <n v="0.5"/>
    <n v="0.25"/>
  </r>
  <r>
    <n v="2301"/>
    <n v="16579"/>
    <x v="611"/>
    <x v="15"/>
    <s v="Not Specified"/>
    <n v="23"/>
    <n v="177.23"/>
    <n v="7.0000000000000007E-2"/>
    <s v="Regular Air"/>
    <n v="4.9400000000000004"/>
    <n v="8.14"/>
    <n v="3.12"/>
    <x v="669"/>
    <x v="10"/>
    <x v="3"/>
    <x v="1"/>
    <x v="0"/>
    <x v="12"/>
    <x v="1233"/>
    <s v="Wrap Bag"/>
    <n v="0.45"/>
    <d v="2010-12-13T00:00:00"/>
    <n v="0"/>
    <n v="0"/>
    <n v="0.5"/>
    <n v="0.25"/>
  </r>
  <r>
    <n v="2348"/>
    <n v="16935"/>
    <x v="564"/>
    <x v="45"/>
    <s v="Not Specified"/>
    <n v="3"/>
    <n v="14.74"/>
    <n v="0.06"/>
    <s v="Regular Air"/>
    <n v="-2.72"/>
    <n v="4.4800000000000004"/>
    <n v="1.22"/>
    <x v="668"/>
    <x v="10"/>
    <x v="3"/>
    <x v="2"/>
    <x v="0"/>
    <x v="5"/>
    <x v="115"/>
    <s v="Wrap Bag"/>
    <n v="0.36"/>
    <d v="2012-12-16T00:00:00"/>
    <n v="0"/>
    <n v="0"/>
    <n v="0.5"/>
    <n v="0.5"/>
  </r>
  <r>
    <n v="2349"/>
    <n v="16935"/>
    <x v="564"/>
    <x v="45"/>
    <s v="Not Specified"/>
    <n v="43"/>
    <n v="117.68"/>
    <n v="0.09"/>
    <s v="Express Air"/>
    <n v="12.47"/>
    <n v="2.88"/>
    <n v="0.7"/>
    <x v="668"/>
    <x v="10"/>
    <x v="3"/>
    <x v="2"/>
    <x v="0"/>
    <x v="12"/>
    <x v="808"/>
    <s v="Wrap Bag"/>
    <n v="0.56000000000000005"/>
    <d v="2012-12-17T00:00:00"/>
    <n v="0"/>
    <n v="0"/>
    <n v="0.5"/>
    <n v="0.5"/>
  </r>
  <r>
    <n v="2620"/>
    <n v="18946"/>
    <x v="1321"/>
    <x v="39"/>
    <s v="Critical"/>
    <n v="32"/>
    <n v="202.89"/>
    <n v="7.0000000000000007E-2"/>
    <s v="Regular Air"/>
    <n v="-201.91"/>
    <n v="6.48"/>
    <n v="10.050000000000001"/>
    <x v="665"/>
    <x v="10"/>
    <x v="3"/>
    <x v="3"/>
    <x v="0"/>
    <x v="5"/>
    <x v="680"/>
    <s v="Small Box"/>
    <n v="0.37"/>
    <d v="2010-05-04T00:00:00"/>
    <n v="0"/>
    <n v="0"/>
    <n v="1"/>
    <n v="1"/>
  </r>
  <r>
    <n v="2675"/>
    <n v="19361"/>
    <x v="889"/>
    <x v="34"/>
    <s v="Low"/>
    <n v="21"/>
    <n v="535.57000000000005"/>
    <n v="0.05"/>
    <s v="Regular Air"/>
    <n v="131.05000000000001"/>
    <n v="25.38"/>
    <n v="8.99"/>
    <x v="570"/>
    <x v="10"/>
    <x v="3"/>
    <x v="1"/>
    <x v="2"/>
    <x v="4"/>
    <x v="216"/>
    <s v="Small Pack"/>
    <n v="0.5"/>
    <d v="2012-09-25T00:00:00"/>
    <n v="0"/>
    <n v="0"/>
    <n v="0.33333333333333331"/>
    <n v="0.33333333333333331"/>
  </r>
  <r>
    <n v="2813"/>
    <n v="20292"/>
    <x v="963"/>
    <x v="32"/>
    <s v="Medium"/>
    <n v="26"/>
    <n v="452.39"/>
    <n v="0.08"/>
    <s v="Regular Air"/>
    <n v="-22.83"/>
    <n v="17.52"/>
    <n v="8.17"/>
    <x v="668"/>
    <x v="10"/>
    <x v="3"/>
    <x v="2"/>
    <x v="0"/>
    <x v="1"/>
    <x v="1131"/>
    <s v="Medium Box"/>
    <n v="0.5"/>
    <d v="2012-11-08T00:00:00"/>
    <n v="0"/>
    <n v="0"/>
    <n v="0.5"/>
    <n v="0.5"/>
  </r>
  <r>
    <n v="2814"/>
    <n v="20292"/>
    <x v="963"/>
    <x v="32"/>
    <s v="Medium"/>
    <n v="5"/>
    <n v="117.13"/>
    <n v="0"/>
    <s v="Regular Air"/>
    <n v="-70.47"/>
    <n v="20.95"/>
    <n v="4"/>
    <x v="668"/>
    <x v="10"/>
    <x v="3"/>
    <x v="2"/>
    <x v="1"/>
    <x v="7"/>
    <x v="124"/>
    <s v="Small Box"/>
    <n v="0.6"/>
    <d v="2012-11-09T00:00:00"/>
    <n v="0"/>
    <n v="0"/>
    <n v="0.5"/>
    <n v="0.5"/>
  </r>
  <r>
    <n v="3003"/>
    <n v="21635"/>
    <x v="305"/>
    <x v="47"/>
    <s v="Low"/>
    <n v="2"/>
    <n v="65.31"/>
    <n v="0"/>
    <s v="Regular Air"/>
    <n v="-34.419499999999999"/>
    <n v="24.92"/>
    <n v="12.98"/>
    <x v="670"/>
    <x v="10"/>
    <x v="3"/>
    <x v="1"/>
    <x v="0"/>
    <x v="2"/>
    <x v="202"/>
    <s v="Small Box"/>
    <n v="0.39"/>
    <d v="2009-12-02T00:00:00"/>
    <n v="0"/>
    <n v="0"/>
    <n v="1"/>
    <n v="1"/>
  </r>
  <r>
    <n v="3045"/>
    <n v="21860"/>
    <x v="1231"/>
    <x v="13"/>
    <s v="Critical"/>
    <n v="9"/>
    <n v="73.7"/>
    <n v="0.06"/>
    <s v="Express Air"/>
    <n v="1.42"/>
    <n v="7.59"/>
    <n v="4"/>
    <x v="672"/>
    <x v="10"/>
    <x v="3"/>
    <x v="1"/>
    <x v="2"/>
    <x v="4"/>
    <x v="378"/>
    <s v="Wrap Bag"/>
    <n v="0.42"/>
    <d v="2012-04-29T00:00:00"/>
    <n v="0"/>
    <n v="0"/>
    <n v="1"/>
    <n v="1"/>
  </r>
  <r>
    <n v="3189"/>
    <n v="22882"/>
    <x v="1337"/>
    <x v="18"/>
    <s v="Critical"/>
    <n v="10"/>
    <n v="71.239999999999995"/>
    <n v="0.03"/>
    <s v="Regular Air"/>
    <n v="2.78"/>
    <n v="6.69"/>
    <n v="3.1"/>
    <x v="664"/>
    <x v="10"/>
    <x v="3"/>
    <x v="3"/>
    <x v="0"/>
    <x v="5"/>
    <x v="898"/>
    <s v="Wrap Bag"/>
    <n v="0.36"/>
    <d v="2010-09-15T00:00:00"/>
    <n v="0"/>
    <n v="0"/>
    <n v="1"/>
    <n v="1"/>
  </r>
  <r>
    <n v="3480"/>
    <n v="24775"/>
    <x v="223"/>
    <x v="12"/>
    <s v="Critical"/>
    <n v="15"/>
    <n v="1616.66"/>
    <n v="0"/>
    <s v="Delivery Truck"/>
    <n v="112.58"/>
    <n v="100.98"/>
    <n v="56.22"/>
    <x v="671"/>
    <x v="10"/>
    <x v="3"/>
    <x v="3"/>
    <x v="2"/>
    <x v="9"/>
    <x v="16"/>
    <s v="Jumbo Box"/>
    <n v="0.6"/>
    <d v="2012-02-19T00:00:00"/>
    <n v="0"/>
    <n v="0"/>
    <n v="0.5"/>
    <n v="0.5"/>
  </r>
  <r>
    <n v="3481"/>
    <n v="24775"/>
    <x v="223"/>
    <x v="12"/>
    <s v="Critical"/>
    <n v="6"/>
    <n v="96.21"/>
    <n v="0.06"/>
    <s v="Regular Air"/>
    <n v="-19.34"/>
    <n v="14.58"/>
    <n v="57.4"/>
    <x v="671"/>
    <x v="10"/>
    <x v="3"/>
    <x v="3"/>
    <x v="2"/>
    <x v="4"/>
    <x v="505"/>
    <s v="Small Box"/>
    <n v="0.48"/>
    <d v="2012-02-18T00:00:00"/>
    <n v="0"/>
    <n v="0"/>
    <n v="0.5"/>
    <n v="0.5"/>
  </r>
  <r>
    <n v="3529"/>
    <n v="25120"/>
    <x v="391"/>
    <x v="40"/>
    <s v="Medium"/>
    <n v="46"/>
    <n v="237.15"/>
    <n v="0"/>
    <s v="Regular Air"/>
    <n v="123.02"/>
    <n v="4.91"/>
    <n v="0.5"/>
    <x v="668"/>
    <x v="10"/>
    <x v="3"/>
    <x v="2"/>
    <x v="0"/>
    <x v="11"/>
    <x v="383"/>
    <s v="Small Box"/>
    <n v="0.36"/>
    <d v="2009-02-06T00:00:00"/>
    <n v="0"/>
    <n v="0"/>
    <n v="0.33333333333333331"/>
    <n v="0.33333333333333331"/>
  </r>
  <r>
    <n v="3530"/>
    <n v="25120"/>
    <x v="391"/>
    <x v="40"/>
    <s v="Medium"/>
    <n v="22"/>
    <n v="179.22"/>
    <n v="0.01"/>
    <s v="Regular Air"/>
    <n v="-139.9"/>
    <n v="7.28"/>
    <n v="11.15"/>
    <x v="668"/>
    <x v="10"/>
    <x v="3"/>
    <x v="2"/>
    <x v="0"/>
    <x v="5"/>
    <x v="517"/>
    <s v="Small Box"/>
    <n v="0.37"/>
    <d v="2009-02-05T00:00:00"/>
    <n v="0"/>
    <n v="0"/>
    <n v="0.33333333333333331"/>
    <n v="0.33333333333333331"/>
  </r>
  <r>
    <n v="3531"/>
    <n v="25120"/>
    <x v="391"/>
    <x v="40"/>
    <s v="Medium"/>
    <n v="10"/>
    <n v="71.86"/>
    <n v="0.1"/>
    <s v="Regular Air"/>
    <n v="-35.520000000000003"/>
    <n v="6.68"/>
    <n v="6.93"/>
    <x v="668"/>
    <x v="10"/>
    <x v="3"/>
    <x v="2"/>
    <x v="0"/>
    <x v="5"/>
    <x v="261"/>
    <s v="Small Box"/>
    <n v="0.37"/>
    <d v="2009-02-07T00:00:00"/>
    <n v="0"/>
    <n v="0"/>
    <n v="0.33333333333333331"/>
    <n v="0.33333333333333331"/>
  </r>
  <r>
    <n v="3563"/>
    <n v="25440"/>
    <x v="793"/>
    <x v="40"/>
    <s v="High"/>
    <n v="30"/>
    <n v="6589.3040000000001"/>
    <n v="0.02"/>
    <s v="Delivery Truck"/>
    <n v="912.48"/>
    <n v="259.70999999999998"/>
    <n v="66.67"/>
    <x v="665"/>
    <x v="10"/>
    <x v="3"/>
    <x v="3"/>
    <x v="2"/>
    <x v="10"/>
    <x v="384"/>
    <s v="Jumbo Box"/>
    <n v="0.65"/>
    <d v="2009-02-06T00:00:00"/>
    <n v="0"/>
    <n v="0"/>
    <n v="1"/>
    <n v="1"/>
  </r>
  <r>
    <n v="3608"/>
    <n v="25799"/>
    <x v="593"/>
    <x v="44"/>
    <s v="Low"/>
    <n v="38"/>
    <n v="136.5"/>
    <n v="0.05"/>
    <s v="Regular Air"/>
    <n v="-216.66"/>
    <n v="3.34"/>
    <n v="7.49"/>
    <x v="669"/>
    <x v="10"/>
    <x v="3"/>
    <x v="2"/>
    <x v="0"/>
    <x v="12"/>
    <x v="596"/>
    <s v="Wrap Bag"/>
    <n v="0.54"/>
    <d v="2011-02-27T00:00:00"/>
    <n v="0"/>
    <n v="0"/>
    <n v="1"/>
    <n v="1"/>
  </r>
  <r>
    <n v="3620"/>
    <n v="25831"/>
    <x v="940"/>
    <x v="35"/>
    <s v="Medium"/>
    <n v="6"/>
    <n v="250.376"/>
    <n v="0.01"/>
    <s v="Regular Air"/>
    <n v="-131.846"/>
    <n v="45.99"/>
    <n v="4.99"/>
    <x v="671"/>
    <x v="10"/>
    <x v="3"/>
    <x v="3"/>
    <x v="1"/>
    <x v="3"/>
    <x v="482"/>
    <s v="Small Box"/>
    <n v="0.56000000000000005"/>
    <d v="2009-09-16T00:00:00"/>
    <n v="0"/>
    <n v="0"/>
    <n v="1"/>
    <n v="1"/>
  </r>
  <r>
    <n v="4000"/>
    <n v="28545"/>
    <x v="1021"/>
    <x v="21"/>
    <s v="High"/>
    <n v="15"/>
    <n v="5296.19"/>
    <n v="0.1"/>
    <s v="Regular Air"/>
    <n v="1164.05"/>
    <n v="363.25"/>
    <n v="19.989999999999998"/>
    <x v="665"/>
    <x v="10"/>
    <x v="3"/>
    <x v="3"/>
    <x v="0"/>
    <x v="1"/>
    <x v="445"/>
    <s v="Small Box"/>
    <n v="0.56999999999999995"/>
    <d v="2011-08-24T00:00:00"/>
    <n v="0"/>
    <n v="0"/>
    <n v="1"/>
    <n v="1"/>
  </r>
  <r>
    <n v="4060"/>
    <n v="28929"/>
    <x v="1018"/>
    <x v="1"/>
    <s v="Medium"/>
    <n v="37"/>
    <n v="230.97"/>
    <n v="0.08"/>
    <s v="Regular Air"/>
    <n v="-173.73"/>
    <n v="6.48"/>
    <n v="8.19"/>
    <x v="669"/>
    <x v="10"/>
    <x v="3"/>
    <x v="2"/>
    <x v="0"/>
    <x v="5"/>
    <x v="77"/>
    <s v="Small Box"/>
    <n v="0.37"/>
    <d v="2012-10-10T00:00:00"/>
    <n v="0"/>
    <n v="0"/>
    <n v="0.5"/>
    <n v="0.5"/>
  </r>
  <r>
    <n v="4061"/>
    <n v="28929"/>
    <x v="1018"/>
    <x v="1"/>
    <s v="Medium"/>
    <n v="46"/>
    <n v="723.17"/>
    <n v="0.09"/>
    <s v="Regular Air"/>
    <n v="-154.11000000000001"/>
    <n v="16.98"/>
    <n v="12.39"/>
    <x v="669"/>
    <x v="10"/>
    <x v="3"/>
    <x v="2"/>
    <x v="0"/>
    <x v="8"/>
    <x v="353"/>
    <s v="Small Box"/>
    <n v="0.35"/>
    <d v="2012-10-11T00:00:00"/>
    <n v="0"/>
    <n v="0"/>
    <n v="0.5"/>
    <n v="0.5"/>
  </r>
  <r>
    <n v="4234"/>
    <n v="30083"/>
    <x v="1197"/>
    <x v="22"/>
    <s v="Not Specified"/>
    <n v="23"/>
    <n v="324.27999999999997"/>
    <n v="7.0000000000000007E-2"/>
    <s v="Regular Air"/>
    <n v="20.43"/>
    <n v="14.56"/>
    <n v="3.5"/>
    <x v="664"/>
    <x v="10"/>
    <x v="3"/>
    <x v="3"/>
    <x v="0"/>
    <x v="1"/>
    <x v="714"/>
    <s v="Small Box"/>
    <n v="0.57999999999999996"/>
    <d v="2009-01-09T00:00:00"/>
    <n v="0"/>
    <n v="1"/>
    <n v="1"/>
    <n v="1"/>
  </r>
  <r>
    <n v="4331"/>
    <n v="30853"/>
    <x v="614"/>
    <x v="2"/>
    <s v="Medium"/>
    <n v="40"/>
    <n v="254.02"/>
    <n v="0.04"/>
    <s v="Regular Air"/>
    <n v="123.14"/>
    <n v="6.3"/>
    <n v="0.5"/>
    <x v="592"/>
    <x v="10"/>
    <x v="3"/>
    <x v="0"/>
    <x v="0"/>
    <x v="11"/>
    <x v="698"/>
    <s v="Small Box"/>
    <n v="0.39"/>
    <d v="2011-07-30T00:00:00"/>
    <n v="0"/>
    <n v="0"/>
    <n v="0.5"/>
    <n v="0.5"/>
  </r>
  <r>
    <n v="4345"/>
    <n v="30944"/>
    <x v="645"/>
    <x v="4"/>
    <s v="Critical"/>
    <n v="32"/>
    <n v="546.01"/>
    <n v="0.01"/>
    <s v="Regular Air"/>
    <n v="133.56049999999999"/>
    <n v="16.739999999999998"/>
    <n v="5.08"/>
    <x v="669"/>
    <x v="10"/>
    <x v="3"/>
    <x v="1"/>
    <x v="0"/>
    <x v="2"/>
    <x v="1214"/>
    <s v="Small Box"/>
    <n v="0.36"/>
    <d v="2011-06-23T00:00:00"/>
    <n v="0"/>
    <n v="0"/>
    <n v="1"/>
    <n v="1"/>
  </r>
  <r>
    <n v="4686"/>
    <n v="33350"/>
    <x v="631"/>
    <x v="36"/>
    <s v="Not Specified"/>
    <n v="1"/>
    <n v="1786.04"/>
    <n v="0.1"/>
    <s v="Regular Air"/>
    <n v="-924.99099999999999"/>
    <n v="1889.99"/>
    <n v="19.989999999999998"/>
    <x v="665"/>
    <x v="10"/>
    <x v="3"/>
    <x v="3"/>
    <x v="0"/>
    <x v="2"/>
    <x v="1164"/>
    <s v="Small Box"/>
    <n v="0.36"/>
    <d v="2009-07-21T00:00:00"/>
    <n v="0"/>
    <n v="0"/>
    <n v="1"/>
    <n v="1"/>
  </r>
  <r>
    <n v="4869"/>
    <n v="34660"/>
    <x v="1235"/>
    <x v="31"/>
    <s v="Not Specified"/>
    <n v="4"/>
    <n v="24.77"/>
    <n v="0.1"/>
    <s v="Regular Air"/>
    <n v="-17.065999999999999"/>
    <n v="4.91"/>
    <n v="5.68"/>
    <x v="671"/>
    <x v="10"/>
    <x v="3"/>
    <x v="3"/>
    <x v="0"/>
    <x v="2"/>
    <x v="980"/>
    <s v="Small Box"/>
    <n v="0.36"/>
    <d v="2011-09-04T00:00:00"/>
    <n v="0"/>
    <n v="0"/>
    <n v="0.5"/>
    <n v="0.5"/>
  </r>
  <r>
    <n v="4870"/>
    <n v="34660"/>
    <x v="1235"/>
    <x v="31"/>
    <s v="Not Specified"/>
    <n v="36"/>
    <n v="3832.37"/>
    <n v="0.01"/>
    <s v="Regular Air"/>
    <n v="1322.07"/>
    <n v="107.53"/>
    <n v="5.81"/>
    <x v="671"/>
    <x v="10"/>
    <x v="3"/>
    <x v="3"/>
    <x v="2"/>
    <x v="4"/>
    <x v="348"/>
    <s v="Medium Box"/>
    <n v="0.65"/>
    <d v="2011-09-05T00:00:00"/>
    <n v="0"/>
    <n v="0"/>
    <n v="0.5"/>
    <n v="0.5"/>
  </r>
  <r>
    <n v="4977"/>
    <n v="35425"/>
    <x v="1147"/>
    <x v="14"/>
    <s v="Not Specified"/>
    <n v="25"/>
    <n v="100.34"/>
    <n v="0"/>
    <s v="Regular Air"/>
    <n v="-88.1935"/>
    <n v="3.58"/>
    <n v="5.47"/>
    <x v="671"/>
    <x v="10"/>
    <x v="3"/>
    <x v="3"/>
    <x v="0"/>
    <x v="2"/>
    <x v="337"/>
    <s v="Small Box"/>
    <n v="0.37"/>
    <d v="2010-03-30T00:00:00"/>
    <n v="0"/>
    <n v="0"/>
    <n v="0.5"/>
    <n v="0.5"/>
  </r>
  <r>
    <n v="4978"/>
    <n v="35425"/>
    <x v="1147"/>
    <x v="14"/>
    <s v="Not Specified"/>
    <n v="45"/>
    <n v="75.680000000000007"/>
    <n v="0.08"/>
    <s v="Regular Air"/>
    <n v="-4.04"/>
    <n v="1.81"/>
    <n v="0.75"/>
    <x v="671"/>
    <x v="10"/>
    <x v="3"/>
    <x v="3"/>
    <x v="0"/>
    <x v="6"/>
    <x v="260"/>
    <s v="Wrap Bag"/>
    <n v="0.52"/>
    <d v="2010-03-30T00:00:00"/>
    <n v="0"/>
    <n v="0"/>
    <n v="0.5"/>
    <n v="0.5"/>
  </r>
  <r>
    <n v="5251"/>
    <n v="37350"/>
    <x v="399"/>
    <x v="20"/>
    <s v="Critical"/>
    <n v="7"/>
    <n v="163.13999999999999"/>
    <n v="7.0000000000000007E-2"/>
    <s v="Regular Air"/>
    <n v="-37.5"/>
    <n v="22.99"/>
    <n v="8.99"/>
    <x v="665"/>
    <x v="10"/>
    <x v="3"/>
    <x v="3"/>
    <x v="0"/>
    <x v="12"/>
    <x v="416"/>
    <s v="Small Pack"/>
    <n v="0.56999999999999995"/>
    <d v="2012-05-21T00:00:00"/>
    <n v="0"/>
    <n v="0"/>
    <n v="1"/>
    <n v="1"/>
  </r>
  <r>
    <n v="5307"/>
    <n v="37765"/>
    <x v="1289"/>
    <x v="32"/>
    <s v="Low"/>
    <n v="7"/>
    <n v="42.66"/>
    <n v="0.09"/>
    <s v="Express Air"/>
    <n v="-30.74"/>
    <n v="4.0599999999999996"/>
    <n v="6.89"/>
    <x v="672"/>
    <x v="10"/>
    <x v="3"/>
    <x v="1"/>
    <x v="0"/>
    <x v="1"/>
    <x v="283"/>
    <s v="Small Box"/>
    <n v="0.6"/>
    <d v="2012-11-29T00:00:00"/>
    <n v="0"/>
    <n v="0"/>
    <n v="0.33333333333333331"/>
    <n v="0.33333333333333331"/>
  </r>
  <r>
    <n v="5308"/>
    <n v="37765"/>
    <x v="1289"/>
    <x v="32"/>
    <s v="Low"/>
    <n v="18"/>
    <n v="655.58"/>
    <n v="0.01"/>
    <s v="Regular Air"/>
    <n v="250.67"/>
    <n v="35.44"/>
    <n v="5.09"/>
    <x v="672"/>
    <x v="10"/>
    <x v="3"/>
    <x v="1"/>
    <x v="0"/>
    <x v="5"/>
    <x v="120"/>
    <s v="Small Box"/>
    <n v="0.38"/>
    <d v="2012-11-28T00:00:00"/>
    <n v="0"/>
    <n v="0"/>
    <n v="0.33333333333333331"/>
    <n v="0.33333333333333331"/>
  </r>
  <r>
    <n v="5309"/>
    <n v="37765"/>
    <x v="1289"/>
    <x v="32"/>
    <s v="Low"/>
    <n v="12"/>
    <n v="1465.33"/>
    <n v="0.01"/>
    <s v="Delivery Truck"/>
    <n v="-66.38"/>
    <n v="113.98"/>
    <n v="30"/>
    <x v="672"/>
    <x v="10"/>
    <x v="3"/>
    <x v="1"/>
    <x v="2"/>
    <x v="14"/>
    <x v="655"/>
    <s v="Jumbo Drum"/>
    <n v="0.69"/>
    <d v="2012-11-29T00:00:00"/>
    <n v="0"/>
    <n v="0"/>
    <n v="0.33333333333333331"/>
    <n v="0.33333333333333331"/>
  </r>
  <r>
    <n v="5354"/>
    <n v="38050"/>
    <x v="320"/>
    <x v="0"/>
    <s v="Not Specified"/>
    <n v="31"/>
    <n v="187.18"/>
    <n v="0.09"/>
    <s v="Express Air"/>
    <n v="28.91"/>
    <n v="5.98"/>
    <n v="1.67"/>
    <x v="664"/>
    <x v="10"/>
    <x v="3"/>
    <x v="3"/>
    <x v="0"/>
    <x v="12"/>
    <x v="1167"/>
    <s v="Wrap Bag"/>
    <n v="0.51"/>
    <d v="2010-10-27T00:00:00"/>
    <n v="0"/>
    <n v="0"/>
    <n v="0.33333333333333331"/>
    <n v="0.33333333333333331"/>
  </r>
  <r>
    <n v="5355"/>
    <n v="38050"/>
    <x v="320"/>
    <x v="0"/>
    <s v="Not Specified"/>
    <n v="36"/>
    <n v="104.21"/>
    <n v="0.04"/>
    <s v="Regular Air"/>
    <n v="15.19"/>
    <n v="2.88"/>
    <n v="0.7"/>
    <x v="664"/>
    <x v="10"/>
    <x v="3"/>
    <x v="3"/>
    <x v="0"/>
    <x v="12"/>
    <x v="808"/>
    <s v="Wrap Bag"/>
    <n v="0.56000000000000005"/>
    <d v="2010-10-28T00:00:00"/>
    <n v="0"/>
    <n v="0"/>
    <n v="0.33333333333333331"/>
    <n v="0.33333333333333331"/>
  </r>
  <r>
    <n v="5356"/>
    <n v="38050"/>
    <x v="320"/>
    <x v="0"/>
    <s v="Not Specified"/>
    <n v="14"/>
    <n v="1331.2240000000002"/>
    <n v="0.04"/>
    <s v="Regular Air"/>
    <n v="-401.42"/>
    <n v="111.96"/>
    <n v="69"/>
    <x v="664"/>
    <x v="10"/>
    <x v="3"/>
    <x v="3"/>
    <x v="2"/>
    <x v="10"/>
    <x v="995"/>
    <s v="Large Box"/>
    <n v="0.63"/>
    <d v="2010-10-28T00:00:00"/>
    <n v="0"/>
    <n v="0"/>
    <n v="0.33333333333333331"/>
    <n v="0.33333333333333331"/>
  </r>
  <r>
    <n v="5507"/>
    <n v="39043"/>
    <x v="235"/>
    <x v="15"/>
    <s v="Not Specified"/>
    <n v="14"/>
    <n v="50.8"/>
    <n v="0.09"/>
    <s v="Regular Air"/>
    <n v="16.79"/>
    <n v="3.69"/>
    <n v="0.5"/>
    <x v="664"/>
    <x v="10"/>
    <x v="3"/>
    <x v="3"/>
    <x v="0"/>
    <x v="11"/>
    <x v="1045"/>
    <s v="Small Box"/>
    <n v="0.38"/>
    <d v="2010-12-23T00:00:00"/>
    <n v="0"/>
    <n v="0"/>
    <n v="0.5"/>
    <n v="0.5"/>
  </r>
  <r>
    <n v="5508"/>
    <n v="39043"/>
    <x v="235"/>
    <x v="15"/>
    <s v="Not Specified"/>
    <n v="37"/>
    <n v="750.89"/>
    <n v="7.0000000000000007E-2"/>
    <s v="Express Air"/>
    <n v="-1176.28"/>
    <n v="20.34"/>
    <n v="35"/>
    <x v="664"/>
    <x v="10"/>
    <x v="3"/>
    <x v="3"/>
    <x v="0"/>
    <x v="0"/>
    <x v="540"/>
    <s v="Large Box"/>
    <n v="0.84"/>
    <d v="2010-12-23T00:00:00"/>
    <n v="0"/>
    <n v="0"/>
    <n v="0.5"/>
    <n v="0.5"/>
  </r>
  <r>
    <n v="5709"/>
    <n v="40388"/>
    <x v="1351"/>
    <x v="29"/>
    <s v="Critical"/>
    <n v="17"/>
    <n v="67.73"/>
    <n v="0.1"/>
    <s v="Regular Air"/>
    <n v="2.44"/>
    <n v="4.28"/>
    <n v="0.94"/>
    <x v="664"/>
    <x v="10"/>
    <x v="3"/>
    <x v="3"/>
    <x v="0"/>
    <x v="12"/>
    <x v="406"/>
    <s v="Wrap Bag"/>
    <n v="0.56000000000000005"/>
    <d v="2012-07-26T00:00:00"/>
    <n v="0"/>
    <n v="0"/>
    <n v="1"/>
    <n v="1"/>
  </r>
  <r>
    <n v="5963"/>
    <n v="42309"/>
    <x v="465"/>
    <x v="26"/>
    <s v="Low"/>
    <n v="41"/>
    <n v="854.23"/>
    <n v="0.01"/>
    <s v="Regular Air"/>
    <n v="67.14"/>
    <n v="20.48"/>
    <n v="6.32"/>
    <x v="592"/>
    <x v="10"/>
    <x v="3"/>
    <x v="0"/>
    <x v="0"/>
    <x v="1"/>
    <x v="691"/>
    <s v="Small Box"/>
    <n v="0.57999999999999996"/>
    <d v="2009-08-08T00:00:00"/>
    <n v="0"/>
    <n v="0"/>
    <n v="0.33333333333333331"/>
    <n v="0.33333333333333331"/>
  </r>
  <r>
    <n v="5964"/>
    <n v="42309"/>
    <x v="465"/>
    <x v="26"/>
    <s v="Low"/>
    <n v="26"/>
    <n v="47.91"/>
    <n v="0.09"/>
    <s v="Regular Air"/>
    <n v="-58.83"/>
    <n v="1.86"/>
    <n v="2.58"/>
    <x v="592"/>
    <x v="10"/>
    <x v="3"/>
    <x v="0"/>
    <x v="0"/>
    <x v="6"/>
    <x v="613"/>
    <s v="Wrap Bag"/>
    <n v="0.82"/>
    <d v="2009-08-11T00:00:00"/>
    <n v="0"/>
    <n v="0"/>
    <n v="0.33333333333333331"/>
    <n v="0.33333333333333331"/>
  </r>
  <r>
    <n v="5965"/>
    <n v="42309"/>
    <x v="465"/>
    <x v="26"/>
    <s v="Low"/>
    <n v="38"/>
    <n v="6427.2579999999998"/>
    <n v="0.08"/>
    <s v="Regular Air"/>
    <n v="1636.4069999999999"/>
    <n v="205.99"/>
    <n v="2.5"/>
    <x v="592"/>
    <x v="10"/>
    <x v="3"/>
    <x v="0"/>
    <x v="1"/>
    <x v="3"/>
    <x v="1038"/>
    <s v="Small Box"/>
    <n v="0.59"/>
    <d v="2009-08-11T00:00:00"/>
    <n v="0"/>
    <n v="0"/>
    <n v="0.33333333333333331"/>
    <n v="0.33333333333333331"/>
  </r>
  <r>
    <n v="6033"/>
    <n v="42727"/>
    <x v="355"/>
    <x v="37"/>
    <s v="Not Specified"/>
    <n v="11"/>
    <n v="5510.23"/>
    <n v="0.01"/>
    <s v="Delivery Truck"/>
    <n v="915.8"/>
    <n v="500.98"/>
    <n v="26"/>
    <x v="669"/>
    <x v="10"/>
    <x v="3"/>
    <x v="1"/>
    <x v="2"/>
    <x v="14"/>
    <x v="38"/>
    <s v="Jumbo Drum"/>
    <n v="0.6"/>
    <d v="2011-04-30T00:00:00"/>
    <n v="0"/>
    <n v="0"/>
    <n v="0.5"/>
    <n v="0.5"/>
  </r>
  <r>
    <n v="6034"/>
    <n v="42727"/>
    <x v="355"/>
    <x v="37"/>
    <s v="Not Specified"/>
    <n v="21"/>
    <n v="177.06"/>
    <n v="0.1"/>
    <s v="Regular Air"/>
    <n v="-100.61"/>
    <n v="8.4499999999999993"/>
    <n v="7.77"/>
    <x v="669"/>
    <x v="10"/>
    <x v="3"/>
    <x v="1"/>
    <x v="0"/>
    <x v="15"/>
    <x v="341"/>
    <s v="Small Pack"/>
    <n v="0.55000000000000004"/>
    <d v="2011-04-30T00:00:00"/>
    <n v="0"/>
    <n v="0"/>
    <n v="0.5"/>
    <n v="0.5"/>
  </r>
  <r>
    <n v="6124"/>
    <n v="43363"/>
    <x v="115"/>
    <x v="31"/>
    <s v="Critical"/>
    <n v="35"/>
    <n v="12908.4"/>
    <n v="0.03"/>
    <s v="Delivery Truck"/>
    <n v="4084.86"/>
    <n v="350.99"/>
    <n v="59"/>
    <x v="664"/>
    <x v="10"/>
    <x v="3"/>
    <x v="3"/>
    <x v="2"/>
    <x v="14"/>
    <x v="1103"/>
    <s v="Jumbo Drum"/>
    <n v="0.55000000000000004"/>
    <d v="2011-09-07T00:00:00"/>
    <n v="0"/>
    <n v="0"/>
    <n v="1"/>
    <n v="1"/>
  </r>
  <r>
    <n v="6153"/>
    <n v="43556"/>
    <x v="1002"/>
    <x v="29"/>
    <s v="Low"/>
    <n v="31"/>
    <n v="477.16"/>
    <n v="0.02"/>
    <s v="Regular Air"/>
    <n v="204.18"/>
    <n v="15.04"/>
    <n v="1.97"/>
    <x v="669"/>
    <x v="10"/>
    <x v="3"/>
    <x v="1"/>
    <x v="0"/>
    <x v="5"/>
    <x v="536"/>
    <s v="Wrap Bag"/>
    <n v="0.39"/>
    <d v="2012-07-27T00:00:00"/>
    <n v="0"/>
    <n v="0"/>
    <n v="1"/>
    <n v="1"/>
  </r>
  <r>
    <n v="6364"/>
    <n v="45156"/>
    <x v="1180"/>
    <x v="44"/>
    <s v="Low"/>
    <n v="30"/>
    <n v="663.24"/>
    <n v="0.01"/>
    <s v="Regular Air"/>
    <n v="76.33"/>
    <n v="20.48"/>
    <n v="6.32"/>
    <x v="664"/>
    <x v="10"/>
    <x v="3"/>
    <x v="3"/>
    <x v="0"/>
    <x v="1"/>
    <x v="691"/>
    <s v="Small Box"/>
    <n v="0.57999999999999996"/>
    <d v="2011-02-12T00:00:00"/>
    <n v="0"/>
    <n v="0"/>
    <n v="0.33333333333333331"/>
    <n v="0.25"/>
  </r>
  <r>
    <n v="6365"/>
    <n v="45156"/>
    <x v="1180"/>
    <x v="44"/>
    <s v="Low"/>
    <n v="35"/>
    <n v="238.08"/>
    <n v="7.0000000000000007E-2"/>
    <s v="Regular Air"/>
    <n v="31.654000000000003"/>
    <n v="6.75"/>
    <n v="2.99"/>
    <x v="664"/>
    <x v="10"/>
    <x v="3"/>
    <x v="3"/>
    <x v="0"/>
    <x v="2"/>
    <x v="239"/>
    <s v="Small Box"/>
    <n v="0.35"/>
    <d v="2011-02-19T00:00:00"/>
    <n v="0"/>
    <n v="0"/>
    <n v="0.33333333333333331"/>
    <n v="0.25"/>
  </r>
  <r>
    <n v="6366"/>
    <n v="45156"/>
    <x v="1180"/>
    <x v="44"/>
    <s v="Low"/>
    <n v="14"/>
    <n v="174.3"/>
    <n v="0.08"/>
    <s v="Regular Air"/>
    <n v="75.58"/>
    <n v="12.53"/>
    <n v="0.5"/>
    <x v="664"/>
    <x v="10"/>
    <x v="3"/>
    <x v="3"/>
    <x v="0"/>
    <x v="11"/>
    <x v="397"/>
    <s v="Small Box"/>
    <n v="0.38"/>
    <d v="2011-02-17T00:00:00"/>
    <n v="0"/>
    <n v="0"/>
    <n v="0.33333333333333331"/>
    <n v="0.25"/>
  </r>
  <r>
    <n v="6396"/>
    <n v="45410"/>
    <x v="1352"/>
    <x v="26"/>
    <s v="Low"/>
    <n v="19"/>
    <n v="991.36"/>
    <n v="0.1"/>
    <s v="Regular Air"/>
    <n v="-103.11"/>
    <n v="54.1"/>
    <n v="19.989999999999998"/>
    <x v="668"/>
    <x v="10"/>
    <x v="3"/>
    <x v="2"/>
    <x v="0"/>
    <x v="0"/>
    <x v="1234"/>
    <s v="Small Box"/>
    <n v="0.59"/>
    <d v="2009-08-24T00:00:00"/>
    <n v="0"/>
    <n v="0"/>
    <n v="1"/>
    <n v="1"/>
  </r>
  <r>
    <n v="6609"/>
    <n v="47014"/>
    <x v="212"/>
    <x v="20"/>
    <s v="Critical"/>
    <n v="33"/>
    <n v="803.11"/>
    <n v="0.08"/>
    <s v="Delivery Truck"/>
    <n v="-237.13"/>
    <n v="25.98"/>
    <n v="14.36"/>
    <x v="592"/>
    <x v="10"/>
    <x v="3"/>
    <x v="0"/>
    <x v="2"/>
    <x v="14"/>
    <x v="170"/>
    <s v="Jumbo Drum"/>
    <n v="0.6"/>
    <d v="2012-05-15T00:00:00"/>
    <n v="0"/>
    <n v="0"/>
    <n v="1"/>
    <n v="1"/>
  </r>
  <r>
    <n v="6733"/>
    <n v="47942"/>
    <x v="203"/>
    <x v="6"/>
    <s v="Medium"/>
    <n v="30"/>
    <n v="17034.919999999998"/>
    <n v="0.09"/>
    <s v="Regular Air"/>
    <n v="5916.3429999999998"/>
    <n v="599.99"/>
    <n v="24.49"/>
    <x v="347"/>
    <x v="10"/>
    <x v="3"/>
    <x v="2"/>
    <x v="1"/>
    <x v="13"/>
    <x v="776"/>
    <s v="Large Box"/>
    <n v="0.37"/>
    <d v="2010-03-01T00:00:00"/>
    <n v="0"/>
    <n v="0"/>
    <n v="0.33333333333333331"/>
    <n v="0.25"/>
  </r>
  <r>
    <n v="6734"/>
    <n v="47942"/>
    <x v="203"/>
    <x v="6"/>
    <s v="Medium"/>
    <n v="3"/>
    <n v="22.6"/>
    <n v="0.04"/>
    <s v="Express Air"/>
    <n v="-4.63"/>
    <n v="5.88"/>
    <n v="3.04"/>
    <x v="347"/>
    <x v="10"/>
    <x v="3"/>
    <x v="2"/>
    <x v="0"/>
    <x v="5"/>
    <x v="49"/>
    <s v="Wrap Bag"/>
    <n v="0.36"/>
    <d v="2010-03-01T00:00:00"/>
    <n v="0"/>
    <n v="0"/>
    <n v="0.33333333333333331"/>
    <n v="0.25"/>
  </r>
  <r>
    <n v="6735"/>
    <n v="47942"/>
    <x v="203"/>
    <x v="6"/>
    <s v="Medium"/>
    <n v="9"/>
    <n v="918.73949999999991"/>
    <n v="0.06"/>
    <s v="Express Air"/>
    <n v="-303.55599999999998"/>
    <n v="125.99"/>
    <n v="7.69"/>
    <x v="347"/>
    <x v="10"/>
    <x v="3"/>
    <x v="2"/>
    <x v="1"/>
    <x v="3"/>
    <x v="44"/>
    <s v="Small Box"/>
    <n v="0.57999999999999996"/>
    <d v="2010-02-28T00:00:00"/>
    <n v="0"/>
    <n v="0"/>
    <n v="0.33333333333333331"/>
    <n v="0.25"/>
  </r>
  <r>
    <n v="6755"/>
    <n v="48128"/>
    <x v="285"/>
    <x v="13"/>
    <s v="Medium"/>
    <n v="5"/>
    <n v="2600.44"/>
    <n v="0.03"/>
    <s v="Express Air"/>
    <n v="-921.94"/>
    <n v="499.99"/>
    <n v="24.49"/>
    <x v="670"/>
    <x v="10"/>
    <x v="3"/>
    <x v="1"/>
    <x v="1"/>
    <x v="13"/>
    <x v="110"/>
    <s v="Large Box"/>
    <n v="0.36"/>
    <d v="2012-04-12T00:00:00"/>
    <n v="0"/>
    <n v="0"/>
    <n v="1"/>
    <n v="1"/>
  </r>
  <r>
    <n v="6838"/>
    <n v="48704"/>
    <x v="985"/>
    <x v="23"/>
    <s v="High"/>
    <n v="11"/>
    <n v="1247.8595"/>
    <n v="0.01"/>
    <s v="Regular Air"/>
    <n v="-55.802999999999997"/>
    <n v="125.99"/>
    <n v="8.99"/>
    <x v="665"/>
    <x v="10"/>
    <x v="3"/>
    <x v="3"/>
    <x v="1"/>
    <x v="3"/>
    <x v="1232"/>
    <s v="Small Box"/>
    <n v="0.56999999999999995"/>
    <d v="2012-01-10T00:00:00"/>
    <n v="0"/>
    <n v="0"/>
    <n v="1"/>
    <n v="1"/>
  </r>
  <r>
    <n v="6895"/>
    <n v="49155"/>
    <x v="1281"/>
    <x v="18"/>
    <s v="Low"/>
    <n v="22"/>
    <n v="3760.3065000000001"/>
    <n v="0.05"/>
    <s v="Regular Air"/>
    <n v="593.18100000000004"/>
    <n v="195.99"/>
    <n v="8.99"/>
    <x v="592"/>
    <x v="10"/>
    <x v="3"/>
    <x v="0"/>
    <x v="1"/>
    <x v="3"/>
    <x v="521"/>
    <s v="Small Box"/>
    <n v="0.6"/>
    <d v="2010-09-23T00:00:00"/>
    <n v="0"/>
    <n v="0"/>
    <n v="1"/>
    <n v="1"/>
  </r>
  <r>
    <n v="6935"/>
    <n v="49504"/>
    <x v="571"/>
    <x v="11"/>
    <s v="Not Specified"/>
    <n v="45"/>
    <n v="318.94"/>
    <n v="0.1"/>
    <s v="Regular Air"/>
    <n v="-195.6"/>
    <n v="7.37"/>
    <n v="5.53"/>
    <x v="672"/>
    <x v="10"/>
    <x v="3"/>
    <x v="1"/>
    <x v="1"/>
    <x v="7"/>
    <x v="827"/>
    <s v="Small Pack"/>
    <n v="0.69"/>
    <d v="2009-11-16T00:00:00"/>
    <n v="0"/>
    <n v="0"/>
    <n v="1"/>
    <n v="1"/>
  </r>
  <r>
    <n v="7006"/>
    <n v="50016"/>
    <x v="931"/>
    <x v="46"/>
    <s v="High"/>
    <n v="15"/>
    <n v="1093.6355000000001"/>
    <n v="0.05"/>
    <s v="Regular Air"/>
    <n v="119.169"/>
    <n v="85.99"/>
    <n v="0.99"/>
    <x v="347"/>
    <x v="10"/>
    <x v="3"/>
    <x v="1"/>
    <x v="1"/>
    <x v="3"/>
    <x v="576"/>
    <s v="Wrap Bag"/>
    <n v="0.55000000000000004"/>
    <d v="2009-04-07T00:00:00"/>
    <n v="0"/>
    <n v="0"/>
    <n v="1"/>
    <n v="1"/>
  </r>
  <r>
    <n v="7024"/>
    <n v="50145"/>
    <x v="557"/>
    <x v="44"/>
    <s v="High"/>
    <n v="18"/>
    <n v="325.58"/>
    <n v="0.06"/>
    <s v="Regular Air"/>
    <n v="152.28"/>
    <n v="18.84"/>
    <n v="3.62"/>
    <x v="668"/>
    <x v="10"/>
    <x v="3"/>
    <x v="2"/>
    <x v="2"/>
    <x v="4"/>
    <x v="771"/>
    <s v="Wrap Bag"/>
    <n v="0.43"/>
    <d v="2011-02-27T00:00:00"/>
    <n v="0"/>
    <n v="0"/>
    <n v="0.5"/>
    <n v="0.5"/>
  </r>
  <r>
    <n v="7025"/>
    <n v="50145"/>
    <x v="557"/>
    <x v="44"/>
    <s v="High"/>
    <n v="9"/>
    <n v="458.8"/>
    <n v="0"/>
    <s v="Regular Air"/>
    <n v="305.87"/>
    <n v="46.94"/>
    <n v="6.77"/>
    <x v="668"/>
    <x v="10"/>
    <x v="3"/>
    <x v="2"/>
    <x v="2"/>
    <x v="4"/>
    <x v="852"/>
    <s v="Small Box"/>
    <n v="0.44"/>
    <d v="2011-02-26T00:00:00"/>
    <n v="0"/>
    <n v="0"/>
    <n v="0.5"/>
    <n v="0.5"/>
  </r>
  <r>
    <n v="7080"/>
    <n v="50532"/>
    <x v="556"/>
    <x v="9"/>
    <s v="Medium"/>
    <n v="10"/>
    <n v="267.06"/>
    <n v="0.02"/>
    <s v="Regular Air"/>
    <n v="76.465999999999994"/>
    <n v="24.95"/>
    <n v="2.99"/>
    <x v="673"/>
    <x v="10"/>
    <x v="3"/>
    <x v="0"/>
    <x v="0"/>
    <x v="2"/>
    <x v="1013"/>
    <s v="Small Box"/>
    <n v="0.39"/>
    <d v="2012-08-16T00:00:00"/>
    <n v="0"/>
    <n v="0"/>
    <n v="0.5"/>
    <n v="0.5"/>
  </r>
  <r>
    <n v="7081"/>
    <n v="50532"/>
    <x v="556"/>
    <x v="9"/>
    <s v="Medium"/>
    <n v="22"/>
    <n v="82.98"/>
    <n v="0.09"/>
    <s v="Regular Air"/>
    <n v="13.82"/>
    <n v="4"/>
    <n v="1.3"/>
    <x v="673"/>
    <x v="10"/>
    <x v="3"/>
    <x v="0"/>
    <x v="0"/>
    <x v="5"/>
    <x v="910"/>
    <s v="Wrap Bag"/>
    <n v="0.37"/>
    <d v="2012-08-15T00:00:00"/>
    <n v="0"/>
    <n v="0"/>
    <n v="0.5"/>
    <n v="0.5"/>
  </r>
  <r>
    <n v="7182"/>
    <n v="51266"/>
    <x v="474"/>
    <x v="28"/>
    <s v="Not Specified"/>
    <n v="11"/>
    <n v="1610.29"/>
    <n v="0.04"/>
    <s v="Regular Air"/>
    <n v="221.38"/>
    <n v="150.97999999999999"/>
    <n v="13.99"/>
    <x v="668"/>
    <x v="10"/>
    <x v="3"/>
    <x v="2"/>
    <x v="1"/>
    <x v="16"/>
    <x v="221"/>
    <s v="Medium Box"/>
    <n v="0.38"/>
    <d v="2009-03-27T00:00:00"/>
    <n v="0"/>
    <n v="0"/>
    <n v="0.25"/>
    <n v="0.25"/>
  </r>
  <r>
    <n v="7183"/>
    <n v="51266"/>
    <x v="474"/>
    <x v="28"/>
    <s v="Not Specified"/>
    <n v="30"/>
    <n v="617.51"/>
    <n v="0.01"/>
    <s v="Regular Air"/>
    <n v="98.1"/>
    <n v="18.97"/>
    <n v="9.0299999999999994"/>
    <x v="668"/>
    <x v="10"/>
    <x v="3"/>
    <x v="2"/>
    <x v="0"/>
    <x v="5"/>
    <x v="40"/>
    <s v="Small Box"/>
    <n v="0.37"/>
    <d v="2009-03-25T00:00:00"/>
    <n v="0"/>
    <n v="0"/>
    <n v="0.25"/>
    <n v="0.25"/>
  </r>
  <r>
    <n v="7184"/>
    <n v="51266"/>
    <x v="474"/>
    <x v="28"/>
    <s v="Not Specified"/>
    <n v="23"/>
    <n v="278.83"/>
    <n v="0.03"/>
    <s v="Regular Air"/>
    <n v="35.159999999999997"/>
    <n v="12.28"/>
    <n v="4.8600000000000003"/>
    <x v="668"/>
    <x v="10"/>
    <x v="3"/>
    <x v="2"/>
    <x v="0"/>
    <x v="5"/>
    <x v="923"/>
    <s v="Small Box"/>
    <n v="0.38"/>
    <d v="2009-03-26T00:00:00"/>
    <n v="0"/>
    <n v="0"/>
    <n v="0.25"/>
    <n v="0.25"/>
  </r>
  <r>
    <n v="7185"/>
    <n v="51266"/>
    <x v="474"/>
    <x v="28"/>
    <s v="Not Specified"/>
    <n v="46"/>
    <n v="1605.22"/>
    <n v="0.05"/>
    <s v="Express Air"/>
    <n v="230.03"/>
    <n v="34.99"/>
    <n v="7.73"/>
    <x v="668"/>
    <x v="10"/>
    <x v="3"/>
    <x v="2"/>
    <x v="0"/>
    <x v="12"/>
    <x v="989"/>
    <s v="Small Box"/>
    <n v="0.59"/>
    <d v="2009-03-27T00:00:00"/>
    <n v="0"/>
    <n v="0"/>
    <n v="0.25"/>
    <n v="0.25"/>
  </r>
  <r>
    <n v="7208"/>
    <n v="51426"/>
    <x v="1042"/>
    <x v="15"/>
    <s v="Medium"/>
    <n v="41"/>
    <n v="357.01"/>
    <n v="0.01"/>
    <s v="Regular Air"/>
    <n v="64.5"/>
    <n v="8.33"/>
    <n v="1.99"/>
    <x v="669"/>
    <x v="10"/>
    <x v="3"/>
    <x v="1"/>
    <x v="1"/>
    <x v="7"/>
    <x v="206"/>
    <s v="Small Pack"/>
    <n v="0.52"/>
    <d v="2010-12-02T00:00:00"/>
    <n v="0"/>
    <n v="0"/>
    <n v="1"/>
    <n v="0.25"/>
  </r>
  <r>
    <n v="7682"/>
    <n v="55045"/>
    <x v="857"/>
    <x v="11"/>
    <s v="High"/>
    <n v="20"/>
    <n v="632.04999999999995"/>
    <n v="0.09"/>
    <s v="Regular Air"/>
    <n v="-626.61"/>
    <n v="32.479999999999997"/>
    <n v="35"/>
    <x v="664"/>
    <x v="10"/>
    <x v="3"/>
    <x v="3"/>
    <x v="0"/>
    <x v="0"/>
    <x v="358"/>
    <s v="Large Box"/>
    <n v="0.81"/>
    <d v="2009-11-22T00:00:00"/>
    <n v="0"/>
    <n v="0"/>
    <n v="1"/>
    <n v="1"/>
  </r>
  <r>
    <n v="7704"/>
    <n v="55234"/>
    <x v="1162"/>
    <x v="42"/>
    <s v="Low"/>
    <n v="12"/>
    <n v="600.86"/>
    <n v="0.09"/>
    <s v="Regular Air"/>
    <n v="-82.67"/>
    <n v="53.98"/>
    <n v="5.5"/>
    <x v="674"/>
    <x v="10"/>
    <x v="3"/>
    <x v="2"/>
    <x v="1"/>
    <x v="7"/>
    <x v="742"/>
    <s v="Small Box"/>
    <n v="0.62"/>
    <d v="2010-08-01T00:00:00"/>
    <n v="0"/>
    <n v="0"/>
    <n v="0.5"/>
    <n v="0.5"/>
  </r>
  <r>
    <n v="7705"/>
    <n v="55234"/>
    <x v="1162"/>
    <x v="42"/>
    <s v="Low"/>
    <n v="5"/>
    <n v="17.059999999999999"/>
    <n v="0.03"/>
    <s v="Regular Air"/>
    <n v="-7.54"/>
    <n v="2.98"/>
    <n v="2.0299999999999998"/>
    <x v="674"/>
    <x v="10"/>
    <x v="3"/>
    <x v="2"/>
    <x v="0"/>
    <x v="12"/>
    <x v="1169"/>
    <s v="Wrap Bag"/>
    <n v="0.56999999999999995"/>
    <d v="2010-07-30T00:00:00"/>
    <n v="0"/>
    <n v="0"/>
    <n v="0.5"/>
    <n v="0.5"/>
  </r>
  <r>
    <n v="7782"/>
    <n v="55683"/>
    <x v="986"/>
    <x v="29"/>
    <s v="High"/>
    <n v="23"/>
    <n v="1198.0999999999999"/>
    <n v="0.02"/>
    <s v="Regular Air"/>
    <n v="187.19"/>
    <n v="51.75"/>
    <n v="19.989999999999998"/>
    <x v="592"/>
    <x v="10"/>
    <x v="3"/>
    <x v="0"/>
    <x v="2"/>
    <x v="4"/>
    <x v="178"/>
    <s v="Small Box"/>
    <n v="0.55000000000000004"/>
    <d v="2012-07-16T00:00:00"/>
    <n v="0"/>
    <n v="0"/>
    <n v="0.5"/>
    <n v="0.33333333333333331"/>
  </r>
  <r>
    <n v="7817"/>
    <n v="55906"/>
    <x v="1353"/>
    <x v="11"/>
    <s v="Critical"/>
    <n v="49"/>
    <n v="276.3"/>
    <n v="0.02"/>
    <s v="Regular Air"/>
    <n v="14.841000000000001"/>
    <n v="5.58"/>
    <n v="2.99"/>
    <x v="669"/>
    <x v="10"/>
    <x v="3"/>
    <x v="1"/>
    <x v="0"/>
    <x v="2"/>
    <x v="829"/>
    <s v="Small Box"/>
    <n v="0.37"/>
    <d v="2009-11-28T00:00:00"/>
    <n v="0"/>
    <n v="0"/>
    <n v="0.33333333333333331"/>
    <n v="0.33333333333333331"/>
  </r>
  <r>
    <n v="7818"/>
    <n v="55906"/>
    <x v="1353"/>
    <x v="11"/>
    <s v="Critical"/>
    <n v="15"/>
    <n v="120.52"/>
    <n v="0.06"/>
    <s v="Regular Air"/>
    <n v="43.92"/>
    <n v="7.98"/>
    <n v="1.25"/>
    <x v="669"/>
    <x v="10"/>
    <x v="3"/>
    <x v="1"/>
    <x v="0"/>
    <x v="5"/>
    <x v="515"/>
    <s v="Wrap Bag"/>
    <n v="0.35"/>
    <d v="2009-11-27T00:00:00"/>
    <n v="0"/>
    <n v="0"/>
    <n v="0.33333333333333331"/>
    <n v="0.33333333333333331"/>
  </r>
  <r>
    <n v="7819"/>
    <n v="55906"/>
    <x v="1353"/>
    <x v="11"/>
    <s v="Critical"/>
    <n v="42"/>
    <n v="2269.0100000000002"/>
    <n v="0.02"/>
    <s v="Regular Air"/>
    <n v="-19.37"/>
    <n v="54.1"/>
    <n v="19.989999999999998"/>
    <x v="669"/>
    <x v="10"/>
    <x v="3"/>
    <x v="1"/>
    <x v="0"/>
    <x v="0"/>
    <x v="1234"/>
    <s v="Small Box"/>
    <n v="0.59"/>
    <d v="2009-11-27T00:00:00"/>
    <n v="0"/>
    <n v="0"/>
    <n v="0.33333333333333331"/>
    <n v="0.33333333333333331"/>
  </r>
  <r>
    <n v="7838"/>
    <n v="56032"/>
    <x v="1100"/>
    <x v="25"/>
    <s v="Not Specified"/>
    <n v="31"/>
    <n v="2893.31"/>
    <n v="0.1"/>
    <s v="Regular Air"/>
    <n v="937.64"/>
    <n v="96.45"/>
    <n v="13.99"/>
    <x v="347"/>
    <x v="10"/>
    <x v="3"/>
    <x v="2"/>
    <x v="1"/>
    <x v="16"/>
    <x v="1198"/>
    <s v="Medium Box"/>
    <n v="0.38"/>
    <d v="2011-12-19T00:00:00"/>
    <n v="0"/>
    <n v="0"/>
    <n v="0.5"/>
    <n v="0.5"/>
  </r>
  <r>
    <n v="7839"/>
    <n v="56032"/>
    <x v="1100"/>
    <x v="25"/>
    <s v="Not Specified"/>
    <n v="25"/>
    <n v="3923.27"/>
    <n v="0.03"/>
    <s v="Delivery Truck"/>
    <n v="-85.86"/>
    <n v="159.31"/>
    <n v="60"/>
    <x v="347"/>
    <x v="10"/>
    <x v="3"/>
    <x v="2"/>
    <x v="2"/>
    <x v="10"/>
    <x v="740"/>
    <s v="Jumbo Drum"/>
    <n v="0.55000000000000004"/>
    <d v="2011-12-21T00:00:00"/>
    <n v="0"/>
    <n v="0"/>
    <n v="0.5"/>
    <n v="0.5"/>
  </r>
  <r>
    <n v="7847"/>
    <n v="56103"/>
    <x v="1159"/>
    <x v="15"/>
    <s v="High"/>
    <n v="24"/>
    <n v="2332.5954999999999"/>
    <n v="7.0000000000000007E-2"/>
    <s v="Regular Air"/>
    <n v="366.858"/>
    <n v="115.99"/>
    <n v="5.92"/>
    <x v="669"/>
    <x v="10"/>
    <x v="3"/>
    <x v="2"/>
    <x v="1"/>
    <x v="3"/>
    <x v="757"/>
    <s v="Small Box"/>
    <n v="0.57999999999999996"/>
    <d v="2010-12-28T00:00:00"/>
    <n v="0"/>
    <n v="0"/>
    <n v="1"/>
    <n v="0.25"/>
  </r>
  <r>
    <n v="19"/>
    <n v="130"/>
    <x v="958"/>
    <x v="20"/>
    <s v="High"/>
    <n v="3"/>
    <n v="461.89"/>
    <n v="0.05"/>
    <s v="Express Air"/>
    <n v="-309.82440000000003"/>
    <n v="150.97999999999999"/>
    <n v="13.99"/>
    <x v="675"/>
    <x v="10"/>
    <x v="3"/>
    <x v="2"/>
    <x v="1"/>
    <x v="16"/>
    <x v="221"/>
    <s v="Medium Box"/>
    <n v="0.38"/>
    <d v="2012-05-09T00:00:00"/>
    <n v="0"/>
    <n v="0"/>
    <n v="0.33333333333333331"/>
    <n v="0.33333333333333331"/>
  </r>
  <r>
    <n v="20"/>
    <n v="130"/>
    <x v="958"/>
    <x v="20"/>
    <s v="High"/>
    <n v="29"/>
    <n v="575.11"/>
    <n v="0.02"/>
    <s v="Regular Air"/>
    <n v="71.75"/>
    <n v="18.97"/>
    <n v="9.0299999999999994"/>
    <x v="675"/>
    <x v="10"/>
    <x v="3"/>
    <x v="2"/>
    <x v="0"/>
    <x v="5"/>
    <x v="40"/>
    <s v="Small Box"/>
    <n v="0.37"/>
    <d v="2012-05-08T00:00:00"/>
    <n v="0"/>
    <n v="0"/>
    <n v="0.33333333333333331"/>
    <n v="0.33333333333333331"/>
  </r>
  <r>
    <n v="21"/>
    <n v="130"/>
    <x v="958"/>
    <x v="20"/>
    <s v="High"/>
    <n v="23"/>
    <n v="236.46"/>
    <n v="0.05"/>
    <s v="Regular Air"/>
    <n v="-134.31"/>
    <n v="9.7100000000000009"/>
    <n v="9.4499999999999993"/>
    <x v="675"/>
    <x v="10"/>
    <x v="3"/>
    <x v="2"/>
    <x v="0"/>
    <x v="0"/>
    <x v="716"/>
    <s v="Small Box"/>
    <n v="0.6"/>
    <d v="2012-05-10T00:00:00"/>
    <n v="0"/>
    <n v="0"/>
    <n v="0.33333333333333331"/>
    <n v="0.33333333333333331"/>
  </r>
  <r>
    <n v="126"/>
    <n v="805"/>
    <x v="70"/>
    <x v="2"/>
    <s v="Not Specified"/>
    <n v="39"/>
    <n v="197.56"/>
    <n v="0.02"/>
    <s v="Regular Air"/>
    <n v="-119.86"/>
    <n v="4.97"/>
    <n v="5.71"/>
    <x v="676"/>
    <x v="10"/>
    <x v="3"/>
    <x v="0"/>
    <x v="2"/>
    <x v="4"/>
    <x v="1112"/>
    <s v="Medium Box"/>
    <n v="0.54"/>
    <d v="2011-07-06T00:00:00"/>
    <n v="0"/>
    <n v="0"/>
    <n v="1"/>
    <n v="1"/>
  </r>
  <r>
    <n v="324"/>
    <n v="2240"/>
    <x v="1297"/>
    <x v="33"/>
    <s v="Not Specified"/>
    <n v="17"/>
    <n v="186.02"/>
    <n v="0.01"/>
    <s v="Regular Air"/>
    <n v="16.48"/>
    <n v="10.64"/>
    <n v="5.16"/>
    <x v="483"/>
    <x v="10"/>
    <x v="3"/>
    <x v="1"/>
    <x v="2"/>
    <x v="4"/>
    <x v="448"/>
    <s v="Small Box"/>
    <n v="0.56999999999999995"/>
    <d v="2012-03-06T00:00:00"/>
    <n v="0"/>
    <n v="0"/>
    <n v="0.5"/>
    <n v="0.5"/>
  </r>
  <r>
    <n v="325"/>
    <n v="2240"/>
    <x v="1297"/>
    <x v="33"/>
    <s v="Not Specified"/>
    <n v="5"/>
    <n v="142.44"/>
    <n v="0.06"/>
    <s v="Regular Air"/>
    <n v="-22.12"/>
    <n v="28.15"/>
    <n v="6.17"/>
    <x v="483"/>
    <x v="10"/>
    <x v="3"/>
    <x v="1"/>
    <x v="0"/>
    <x v="12"/>
    <x v="1162"/>
    <s v="Small Pack"/>
    <n v="0.55000000000000004"/>
    <d v="2012-03-06T00:00:00"/>
    <n v="0"/>
    <n v="0"/>
    <n v="0.5"/>
    <n v="0.5"/>
  </r>
  <r>
    <n v="326"/>
    <n v="2241"/>
    <x v="782"/>
    <x v="39"/>
    <s v="Critical"/>
    <n v="38"/>
    <n v="967.78"/>
    <n v="0.04"/>
    <s v="Regular Air"/>
    <n v="369.32499999999999"/>
    <n v="24.95"/>
    <n v="2.99"/>
    <x v="483"/>
    <x v="10"/>
    <x v="3"/>
    <x v="1"/>
    <x v="0"/>
    <x v="2"/>
    <x v="1013"/>
    <s v="Small Box"/>
    <n v="0.39"/>
    <d v="2010-05-12T00:00:00"/>
    <n v="0"/>
    <n v="0"/>
    <n v="1"/>
    <n v="1"/>
  </r>
  <r>
    <n v="667"/>
    <n v="4674"/>
    <x v="413"/>
    <x v="46"/>
    <s v="Critical"/>
    <n v="23"/>
    <n v="3041.33"/>
    <n v="0.02"/>
    <s v="Delivery Truck"/>
    <n v="-260.41000000000003"/>
    <n v="130.97999999999999"/>
    <n v="30"/>
    <x v="677"/>
    <x v="10"/>
    <x v="3"/>
    <x v="2"/>
    <x v="2"/>
    <x v="14"/>
    <x v="156"/>
    <s v="Jumbo Drum"/>
    <n v="0.78"/>
    <d v="2009-04-19T00:00:00"/>
    <n v="0"/>
    <n v="0"/>
    <n v="1"/>
    <n v="0.5"/>
  </r>
  <r>
    <n v="676"/>
    <n v="4737"/>
    <x v="964"/>
    <x v="14"/>
    <s v="Not Specified"/>
    <n v="49"/>
    <n v="314.20999999999998"/>
    <n v="0"/>
    <s v="Regular Air"/>
    <n v="49.77"/>
    <n v="5.88"/>
    <n v="3.04"/>
    <x v="675"/>
    <x v="10"/>
    <x v="3"/>
    <x v="2"/>
    <x v="0"/>
    <x v="5"/>
    <x v="49"/>
    <s v="Wrap Bag"/>
    <n v="0.36"/>
    <d v="2010-03-11T00:00:00"/>
    <n v="0"/>
    <n v="0"/>
    <n v="1"/>
    <n v="1"/>
  </r>
  <r>
    <n v="727"/>
    <n v="5221"/>
    <x v="1354"/>
    <x v="4"/>
    <s v="Not Specified"/>
    <n v="48"/>
    <n v="1347.63"/>
    <n v="7.0000000000000007E-2"/>
    <s v="Regular Air"/>
    <n v="562.89"/>
    <n v="28.48"/>
    <n v="1.99"/>
    <x v="678"/>
    <x v="10"/>
    <x v="3"/>
    <x v="2"/>
    <x v="1"/>
    <x v="7"/>
    <x v="395"/>
    <s v="Small Pack"/>
    <n v="0.4"/>
    <d v="2011-06-10T00:00:00"/>
    <n v="0"/>
    <n v="0"/>
    <n v="1"/>
    <n v="1"/>
  </r>
  <r>
    <n v="781"/>
    <n v="5568"/>
    <x v="1101"/>
    <x v="4"/>
    <s v="Medium"/>
    <n v="8"/>
    <n v="120.22"/>
    <n v="7.0000000000000007E-2"/>
    <s v="Regular Air"/>
    <n v="52.69"/>
    <n v="14.34"/>
    <n v="5"/>
    <x v="679"/>
    <x v="10"/>
    <x v="3"/>
    <x v="3"/>
    <x v="2"/>
    <x v="4"/>
    <x v="551"/>
    <s v="Small Pack"/>
    <n v="0.49"/>
    <d v="2011-06-07T00:00:00"/>
    <n v="0"/>
    <n v="0"/>
    <n v="1"/>
    <n v="1"/>
  </r>
  <r>
    <n v="842"/>
    <n v="6020"/>
    <x v="1122"/>
    <x v="35"/>
    <s v="Medium"/>
    <n v="23"/>
    <n v="66.09"/>
    <n v="0.09"/>
    <s v="Regular Air"/>
    <n v="13.71"/>
    <n v="2.88"/>
    <n v="0.99"/>
    <x v="680"/>
    <x v="10"/>
    <x v="3"/>
    <x v="2"/>
    <x v="0"/>
    <x v="11"/>
    <x v="746"/>
    <s v="Small Box"/>
    <n v="0.36"/>
    <d v="2009-09-23T00:00:00"/>
    <n v="0"/>
    <n v="0"/>
    <n v="1"/>
    <n v="1"/>
  </r>
  <r>
    <n v="849"/>
    <n v="6112"/>
    <x v="599"/>
    <x v="26"/>
    <s v="Medium"/>
    <n v="10"/>
    <n v="1597.37"/>
    <n v="0.02"/>
    <s v="Delivery Truck"/>
    <n v="-533.69000000000005"/>
    <n v="146.05000000000001"/>
    <n v="80.2"/>
    <x v="680"/>
    <x v="10"/>
    <x v="3"/>
    <x v="2"/>
    <x v="2"/>
    <x v="10"/>
    <x v="838"/>
    <s v="Jumbo Box"/>
    <n v="0.71"/>
    <d v="2009-08-23T00:00:00"/>
    <n v="0"/>
    <n v="0"/>
    <n v="0.5"/>
    <n v="0.5"/>
  </r>
  <r>
    <n v="850"/>
    <n v="6112"/>
    <x v="599"/>
    <x v="26"/>
    <s v="Medium"/>
    <n v="31"/>
    <n v="1753.9579999999999"/>
    <n v="0.06"/>
    <s v="Regular Air"/>
    <n v="382.392"/>
    <n v="65.989999999999995"/>
    <n v="5.92"/>
    <x v="680"/>
    <x v="10"/>
    <x v="3"/>
    <x v="2"/>
    <x v="1"/>
    <x v="3"/>
    <x v="237"/>
    <s v="Small Box"/>
    <n v="0.55000000000000004"/>
    <d v="2009-08-24T00:00:00"/>
    <n v="0"/>
    <n v="0"/>
    <n v="0.5"/>
    <n v="0.5"/>
  </r>
  <r>
    <n v="871"/>
    <n v="6272"/>
    <x v="203"/>
    <x v="6"/>
    <s v="High"/>
    <n v="33"/>
    <n v="497.4"/>
    <n v="0.05"/>
    <s v="Regular Air"/>
    <n v="37.9"/>
    <n v="14.98"/>
    <n v="8.99"/>
    <x v="679"/>
    <x v="10"/>
    <x v="3"/>
    <x v="2"/>
    <x v="2"/>
    <x v="4"/>
    <x v="214"/>
    <s v="Small Pack"/>
    <n v="0.39"/>
    <d v="2010-03-01T00:00:00"/>
    <n v="0"/>
    <n v="0"/>
    <n v="0.25"/>
    <n v="0.25"/>
  </r>
  <r>
    <n v="872"/>
    <n v="6272"/>
    <x v="203"/>
    <x v="6"/>
    <s v="High"/>
    <n v="48"/>
    <n v="4965.384"/>
    <n v="0"/>
    <s v="Delivery Truck"/>
    <n v="-175.46"/>
    <n v="124.49"/>
    <n v="51.94"/>
    <x v="679"/>
    <x v="10"/>
    <x v="3"/>
    <x v="2"/>
    <x v="2"/>
    <x v="10"/>
    <x v="307"/>
    <s v="Jumbo Box"/>
    <n v="0.63"/>
    <d v="2010-03-01T00:00:00"/>
    <n v="0"/>
    <n v="0"/>
    <n v="0.25"/>
    <n v="0.25"/>
  </r>
  <r>
    <n v="873"/>
    <n v="6272"/>
    <x v="203"/>
    <x v="6"/>
    <s v="High"/>
    <n v="8"/>
    <n v="358.41950000000003"/>
    <n v="0.09"/>
    <s v="Express Air"/>
    <n v="-275.05500000000001"/>
    <n v="55.99"/>
    <n v="2.5"/>
    <x v="679"/>
    <x v="10"/>
    <x v="3"/>
    <x v="2"/>
    <x v="1"/>
    <x v="3"/>
    <x v="967"/>
    <s v="Small Pack"/>
    <n v="0.83"/>
    <d v="2010-03-01T00:00:00"/>
    <n v="0"/>
    <n v="0"/>
    <n v="0.25"/>
    <n v="0.25"/>
  </r>
  <r>
    <n v="874"/>
    <n v="6272"/>
    <x v="203"/>
    <x v="6"/>
    <s v="High"/>
    <n v="31"/>
    <n v="3232.68"/>
    <n v="0.03"/>
    <s v="Regular Air"/>
    <n v="875.45"/>
    <n v="105.98"/>
    <n v="13.99"/>
    <x v="679"/>
    <x v="10"/>
    <x v="3"/>
    <x v="2"/>
    <x v="2"/>
    <x v="4"/>
    <x v="134"/>
    <s v="Medium Box"/>
    <n v="0.65"/>
    <d v="2010-03-01T00:00:00"/>
    <n v="0"/>
    <n v="0"/>
    <n v="0.25"/>
    <n v="0.25"/>
  </r>
  <r>
    <n v="904"/>
    <n v="6501"/>
    <x v="1319"/>
    <x v="23"/>
    <s v="High"/>
    <n v="35"/>
    <n v="236.99"/>
    <n v="0.06"/>
    <s v="Regular Air"/>
    <n v="-95.79"/>
    <n v="6.48"/>
    <n v="6.74"/>
    <x v="680"/>
    <x v="10"/>
    <x v="3"/>
    <x v="2"/>
    <x v="0"/>
    <x v="5"/>
    <x v="1166"/>
    <s v="Small Box"/>
    <n v="0.37"/>
    <d v="2012-01-15T00:00:00"/>
    <n v="0"/>
    <n v="0"/>
    <n v="0.5"/>
    <n v="0.5"/>
  </r>
  <r>
    <n v="905"/>
    <n v="6501"/>
    <x v="1319"/>
    <x v="23"/>
    <s v="High"/>
    <n v="46"/>
    <n v="4617.3359999999993"/>
    <n v="0.09"/>
    <s v="Regular Air"/>
    <n v="978.35399999999993"/>
    <n v="125.99"/>
    <n v="7.69"/>
    <x v="680"/>
    <x v="10"/>
    <x v="3"/>
    <x v="2"/>
    <x v="1"/>
    <x v="3"/>
    <x v="44"/>
    <s v="Small Box"/>
    <n v="0.57999999999999996"/>
    <d v="2012-01-15T00:00:00"/>
    <n v="0"/>
    <n v="0"/>
    <n v="0.5"/>
    <n v="0.5"/>
  </r>
  <r>
    <n v="908"/>
    <n v="6529"/>
    <x v="143"/>
    <x v="32"/>
    <s v="Medium"/>
    <n v="35"/>
    <n v="89.71"/>
    <n v="0.04"/>
    <s v="Regular Air"/>
    <n v="20.71"/>
    <n v="2.62"/>
    <n v="0.8"/>
    <x v="292"/>
    <x v="10"/>
    <x v="3"/>
    <x v="0"/>
    <x v="0"/>
    <x v="6"/>
    <x v="675"/>
    <s v="Wrap Bag"/>
    <n v="0.39"/>
    <d v="2012-11-28T00:00:00"/>
    <n v="0"/>
    <n v="0"/>
    <n v="1"/>
    <n v="1"/>
  </r>
  <r>
    <n v="994"/>
    <n v="7171"/>
    <x v="296"/>
    <x v="44"/>
    <s v="Medium"/>
    <n v="28"/>
    <n v="1703.8505"/>
    <n v="0"/>
    <s v="Regular Air"/>
    <n v="316.06200000000001"/>
    <n v="65.989999999999995"/>
    <n v="8.99"/>
    <x v="681"/>
    <x v="10"/>
    <x v="3"/>
    <x v="1"/>
    <x v="1"/>
    <x v="3"/>
    <x v="304"/>
    <s v="Small Box"/>
    <n v="0.57999999999999996"/>
    <d v="2011-02-15T00:00:00"/>
    <n v="0"/>
    <n v="0"/>
    <n v="0.5"/>
    <n v="0.5"/>
  </r>
  <r>
    <n v="995"/>
    <n v="7171"/>
    <x v="296"/>
    <x v="44"/>
    <s v="Medium"/>
    <n v="17"/>
    <n v="303.18649999999997"/>
    <n v="0.02"/>
    <s v="Regular Air"/>
    <n v="92.591999999999999"/>
    <n v="20.99"/>
    <n v="0.99"/>
    <x v="681"/>
    <x v="10"/>
    <x v="3"/>
    <x v="1"/>
    <x v="1"/>
    <x v="3"/>
    <x v="163"/>
    <s v="Wrap Bag"/>
    <n v="0.37"/>
    <d v="2011-02-15T00:00:00"/>
    <n v="0"/>
    <n v="0"/>
    <n v="0.5"/>
    <n v="0.5"/>
  </r>
  <r>
    <n v="1058"/>
    <n v="7815"/>
    <x v="605"/>
    <x v="22"/>
    <s v="Critical"/>
    <n v="6"/>
    <n v="187.37"/>
    <n v="0.09"/>
    <s v="Regular Air"/>
    <n v="-125.96"/>
    <n v="32.979999999999997"/>
    <n v="5.5"/>
    <x v="682"/>
    <x v="10"/>
    <x v="3"/>
    <x v="3"/>
    <x v="1"/>
    <x v="7"/>
    <x v="279"/>
    <s v="Small Box"/>
    <n v="0.75"/>
    <d v="2009-01-23T00:00:00"/>
    <n v="0"/>
    <n v="1"/>
    <n v="1"/>
    <n v="0.5"/>
  </r>
  <r>
    <n v="1360"/>
    <n v="9921"/>
    <x v="205"/>
    <x v="10"/>
    <s v="Low"/>
    <n v="23"/>
    <n v="356.09"/>
    <n v="0.05"/>
    <s v="Regular Air"/>
    <n v="155.82"/>
    <n v="15.67"/>
    <n v="1.39"/>
    <x v="682"/>
    <x v="10"/>
    <x v="3"/>
    <x v="3"/>
    <x v="0"/>
    <x v="8"/>
    <x v="68"/>
    <s v="Small Box"/>
    <n v="0.38"/>
    <d v="2011-05-14T00:00:00"/>
    <n v="0"/>
    <n v="0"/>
    <n v="1"/>
    <n v="1"/>
  </r>
  <r>
    <n v="1386"/>
    <n v="10053"/>
    <x v="1138"/>
    <x v="23"/>
    <s v="High"/>
    <n v="31"/>
    <n v="162.58000000000001"/>
    <n v="0"/>
    <s v="Regular Air"/>
    <n v="-109.86"/>
    <n v="4.8899999999999997"/>
    <n v="4.93"/>
    <x v="609"/>
    <x v="10"/>
    <x v="3"/>
    <x v="0"/>
    <x v="1"/>
    <x v="7"/>
    <x v="23"/>
    <s v="Small Pack"/>
    <n v="0.66"/>
    <d v="2012-01-13T00:00:00"/>
    <n v="0"/>
    <n v="0"/>
    <n v="0.5"/>
    <n v="0.5"/>
  </r>
  <r>
    <n v="1387"/>
    <n v="10053"/>
    <x v="1138"/>
    <x v="23"/>
    <s v="High"/>
    <n v="44"/>
    <n v="6815.23"/>
    <n v="0"/>
    <s v="Delivery Truck"/>
    <n v="-196.07"/>
    <n v="150.97999999999999"/>
    <n v="39.25"/>
    <x v="609"/>
    <x v="10"/>
    <x v="3"/>
    <x v="0"/>
    <x v="2"/>
    <x v="10"/>
    <x v="1025"/>
    <s v="Jumbo Box"/>
    <n v="0.75"/>
    <d v="2012-01-12T00:00:00"/>
    <n v="0"/>
    <n v="0"/>
    <n v="0.5"/>
    <n v="0.5"/>
  </r>
  <r>
    <n v="1422"/>
    <n v="10309"/>
    <x v="849"/>
    <x v="11"/>
    <s v="Low"/>
    <n v="23"/>
    <n v="496.15"/>
    <n v="0.03"/>
    <s v="Regular Air"/>
    <n v="213.37549999999999"/>
    <n v="20.98"/>
    <n v="1.49"/>
    <x v="683"/>
    <x v="10"/>
    <x v="3"/>
    <x v="0"/>
    <x v="0"/>
    <x v="2"/>
    <x v="498"/>
    <s v="Small Box"/>
    <n v="0.35"/>
    <d v="2009-11-21T00:00:00"/>
    <n v="0"/>
    <n v="0"/>
    <n v="1"/>
    <n v="1"/>
  </r>
  <r>
    <n v="1517"/>
    <n v="10978"/>
    <x v="1000"/>
    <x v="46"/>
    <s v="Critical"/>
    <n v="9"/>
    <n v="566.53"/>
    <n v="0.06"/>
    <s v="Delivery Truck"/>
    <n v="-209.6"/>
    <n v="60.98"/>
    <n v="30"/>
    <x v="676"/>
    <x v="10"/>
    <x v="3"/>
    <x v="0"/>
    <x v="2"/>
    <x v="14"/>
    <x v="759"/>
    <s v="Jumbo Drum"/>
    <n v="0.7"/>
    <d v="2009-04-02T00:00:00"/>
    <n v="0"/>
    <n v="0"/>
    <n v="1"/>
    <n v="1"/>
  </r>
  <r>
    <n v="1518"/>
    <n v="10979"/>
    <x v="1188"/>
    <x v="17"/>
    <s v="Medium"/>
    <n v="15"/>
    <n v="486.43"/>
    <n v="0"/>
    <s v="Regular Air"/>
    <n v="285.35000000000002"/>
    <n v="30.93"/>
    <n v="3.92"/>
    <x v="682"/>
    <x v="10"/>
    <x v="3"/>
    <x v="0"/>
    <x v="2"/>
    <x v="4"/>
    <x v="616"/>
    <s v="Small Pack"/>
    <n v="0.44"/>
    <d v="2011-10-06T00:00:00"/>
    <n v="0"/>
    <n v="0"/>
    <n v="0.5"/>
    <n v="0.33333333333333331"/>
  </r>
  <r>
    <n v="1519"/>
    <n v="10979"/>
    <x v="1188"/>
    <x v="17"/>
    <s v="Medium"/>
    <n v="7"/>
    <n v="144.94999999999999"/>
    <n v="0.08"/>
    <s v="Express Air"/>
    <n v="10.82"/>
    <n v="19.98"/>
    <n v="5.86"/>
    <x v="682"/>
    <x v="10"/>
    <x v="3"/>
    <x v="0"/>
    <x v="0"/>
    <x v="5"/>
    <x v="985"/>
    <s v="Small Box"/>
    <n v="0.38"/>
    <d v="2011-10-06T00:00:00"/>
    <n v="0"/>
    <n v="0"/>
    <n v="0.5"/>
    <n v="0.33333333333333331"/>
  </r>
  <r>
    <n v="1540"/>
    <n v="11108"/>
    <x v="707"/>
    <x v="9"/>
    <s v="Not Specified"/>
    <n v="20"/>
    <n v="131.71"/>
    <n v="0.1"/>
    <s v="Regular Air"/>
    <n v="-44"/>
    <n v="6.48"/>
    <n v="5.74"/>
    <x v="292"/>
    <x v="10"/>
    <x v="3"/>
    <x v="0"/>
    <x v="0"/>
    <x v="5"/>
    <x v="552"/>
    <s v="Small Box"/>
    <n v="0.37"/>
    <d v="2012-08-18T00:00:00"/>
    <n v="0"/>
    <n v="0"/>
    <n v="1"/>
    <n v="0.5"/>
  </r>
  <r>
    <n v="1670"/>
    <n v="12067"/>
    <x v="1311"/>
    <x v="6"/>
    <s v="Critical"/>
    <n v="45"/>
    <n v="271.06"/>
    <n v="0"/>
    <s v="Regular Air"/>
    <n v="-76.601500000000001"/>
    <n v="5.74"/>
    <n v="5.01"/>
    <x v="676"/>
    <x v="10"/>
    <x v="3"/>
    <x v="0"/>
    <x v="0"/>
    <x v="2"/>
    <x v="240"/>
    <s v="Small Box"/>
    <n v="0.39"/>
    <d v="2010-02-04T00:00:00"/>
    <n v="0"/>
    <n v="0"/>
    <n v="0.2"/>
    <n v="0.2"/>
  </r>
  <r>
    <n v="1671"/>
    <n v="12067"/>
    <x v="1311"/>
    <x v="6"/>
    <s v="Critical"/>
    <n v="6"/>
    <n v="58.84"/>
    <n v="0.05"/>
    <s v="Regular Air"/>
    <n v="4.29"/>
    <n v="9.48"/>
    <n v="3.72"/>
    <x v="676"/>
    <x v="10"/>
    <x v="3"/>
    <x v="0"/>
    <x v="2"/>
    <x v="4"/>
    <x v="1182"/>
    <s v="Small Pack"/>
    <n v="0.4"/>
    <d v="2010-02-05T00:00:00"/>
    <n v="0"/>
    <n v="0"/>
    <n v="0.2"/>
    <n v="0.2"/>
  </r>
  <r>
    <n v="1672"/>
    <n v="12067"/>
    <x v="1311"/>
    <x v="6"/>
    <s v="Critical"/>
    <n v="12"/>
    <n v="1211.72"/>
    <n v="0.04"/>
    <s v="Regular Air"/>
    <n v="587.84"/>
    <n v="99.23"/>
    <n v="8.99"/>
    <x v="676"/>
    <x v="10"/>
    <x v="3"/>
    <x v="0"/>
    <x v="2"/>
    <x v="4"/>
    <x v="547"/>
    <s v="Small Pack"/>
    <n v="0.35"/>
    <d v="2010-02-05T00:00:00"/>
    <n v="0"/>
    <n v="0"/>
    <n v="0.2"/>
    <n v="0.2"/>
  </r>
  <r>
    <n v="1673"/>
    <n v="12067"/>
    <x v="1311"/>
    <x v="6"/>
    <s v="Critical"/>
    <n v="9"/>
    <n v="75.260000000000005"/>
    <n v="0.01"/>
    <s v="Regular Air"/>
    <n v="-17.239999999999998"/>
    <n v="7.64"/>
    <n v="5.83"/>
    <x v="676"/>
    <x v="10"/>
    <x v="3"/>
    <x v="0"/>
    <x v="0"/>
    <x v="5"/>
    <x v="248"/>
    <s v="Wrap Bag"/>
    <n v="0.36"/>
    <d v="2010-02-05T00:00:00"/>
    <n v="0"/>
    <n v="0"/>
    <n v="0.2"/>
    <n v="0.2"/>
  </r>
  <r>
    <n v="1674"/>
    <n v="12067"/>
    <x v="1311"/>
    <x v="6"/>
    <s v="Critical"/>
    <n v="7"/>
    <n v="407.11599999999999"/>
    <n v="0.08"/>
    <s v="Regular Air"/>
    <n v="-289.80599999999998"/>
    <n v="65.989999999999995"/>
    <n v="19.989999999999998"/>
    <x v="676"/>
    <x v="10"/>
    <x v="3"/>
    <x v="0"/>
    <x v="1"/>
    <x v="3"/>
    <x v="614"/>
    <s v="Small Box"/>
    <n v="0.59"/>
    <d v="2010-02-05T00:00:00"/>
    <n v="0"/>
    <n v="0"/>
    <n v="0.2"/>
    <n v="0.2"/>
  </r>
  <r>
    <n v="1788"/>
    <n v="12804"/>
    <x v="935"/>
    <x v="20"/>
    <s v="Medium"/>
    <n v="21"/>
    <n v="69.06"/>
    <n v="0"/>
    <s v="Regular Air"/>
    <n v="28.47"/>
    <n v="3.08"/>
    <n v="0.5"/>
    <x v="549"/>
    <x v="10"/>
    <x v="3"/>
    <x v="3"/>
    <x v="0"/>
    <x v="11"/>
    <x v="409"/>
    <s v="Small Box"/>
    <n v="0.37"/>
    <d v="2012-05-28T00:00:00"/>
    <n v="0"/>
    <n v="0"/>
    <n v="0.33333333333333331"/>
    <n v="0.33333333333333331"/>
  </r>
  <r>
    <n v="1789"/>
    <n v="12804"/>
    <x v="935"/>
    <x v="20"/>
    <s v="Medium"/>
    <n v="50"/>
    <n v="84.01"/>
    <n v="0.08"/>
    <s v="Regular Air"/>
    <n v="-4.17"/>
    <n v="1.81"/>
    <n v="0.75"/>
    <x v="549"/>
    <x v="10"/>
    <x v="3"/>
    <x v="3"/>
    <x v="0"/>
    <x v="6"/>
    <x v="260"/>
    <s v="Wrap Bag"/>
    <n v="0.52"/>
    <d v="2012-05-27T00:00:00"/>
    <n v="0"/>
    <n v="0"/>
    <n v="0.33333333333333331"/>
    <n v="0.33333333333333331"/>
  </r>
  <r>
    <n v="1790"/>
    <n v="12804"/>
    <x v="935"/>
    <x v="20"/>
    <s v="Medium"/>
    <n v="34"/>
    <n v="592.91999999999996"/>
    <n v="0.02"/>
    <s v="Express Air"/>
    <n v="-44.92"/>
    <n v="16.059999999999999"/>
    <n v="8.34"/>
    <x v="549"/>
    <x v="10"/>
    <x v="3"/>
    <x v="3"/>
    <x v="0"/>
    <x v="0"/>
    <x v="750"/>
    <s v="Small Box"/>
    <n v="0.59"/>
    <d v="2012-05-27T00:00:00"/>
    <n v="0"/>
    <n v="0"/>
    <n v="0.33333333333333331"/>
    <n v="0.33333333333333331"/>
  </r>
  <r>
    <n v="1892"/>
    <n v="13575"/>
    <x v="903"/>
    <x v="9"/>
    <s v="Critical"/>
    <n v="15"/>
    <n v="106.1"/>
    <n v="0.09"/>
    <s v="Express Air"/>
    <n v="-65.67"/>
    <n v="6.48"/>
    <n v="8.19"/>
    <x v="292"/>
    <x v="10"/>
    <x v="3"/>
    <x v="0"/>
    <x v="0"/>
    <x v="5"/>
    <x v="77"/>
    <s v="Small Box"/>
    <n v="0.37"/>
    <d v="2012-09-01T00:00:00"/>
    <n v="0"/>
    <n v="0"/>
    <n v="1"/>
    <n v="0.5"/>
  </r>
  <r>
    <n v="1907"/>
    <n v="13635"/>
    <x v="185"/>
    <x v="43"/>
    <s v="Critical"/>
    <n v="28"/>
    <n v="149"/>
    <n v="0.06"/>
    <s v="Regular Air"/>
    <n v="-119.48"/>
    <n v="4.9800000000000004"/>
    <n v="7.44"/>
    <x v="679"/>
    <x v="10"/>
    <x v="3"/>
    <x v="3"/>
    <x v="0"/>
    <x v="5"/>
    <x v="877"/>
    <s v="Small Box"/>
    <n v="0.36"/>
    <d v="2009-05-02T00:00:00"/>
    <n v="0"/>
    <n v="0"/>
    <n v="0.5"/>
    <n v="0.5"/>
  </r>
  <r>
    <n v="1908"/>
    <n v="13635"/>
    <x v="185"/>
    <x v="43"/>
    <s v="Critical"/>
    <n v="49"/>
    <n v="334.29"/>
    <n v="0.01"/>
    <s v="Regular Air"/>
    <n v="-157.28"/>
    <n v="6.48"/>
    <n v="7.37"/>
    <x v="679"/>
    <x v="10"/>
    <x v="3"/>
    <x v="3"/>
    <x v="0"/>
    <x v="5"/>
    <x v="673"/>
    <s v="Small Box"/>
    <n v="0.37"/>
    <d v="2009-05-03T00:00:00"/>
    <n v="0"/>
    <n v="0"/>
    <n v="0.5"/>
    <n v="0.5"/>
  </r>
  <r>
    <n v="1998"/>
    <n v="14245"/>
    <x v="1030"/>
    <x v="6"/>
    <s v="Critical"/>
    <n v="17"/>
    <n v="454.09"/>
    <n v="0.1"/>
    <s v="Regular Air"/>
    <n v="29.7"/>
    <n v="28.15"/>
    <n v="6.17"/>
    <x v="684"/>
    <x v="10"/>
    <x v="3"/>
    <x v="0"/>
    <x v="0"/>
    <x v="12"/>
    <x v="1162"/>
    <s v="Small Pack"/>
    <n v="0.55000000000000004"/>
    <d v="2010-02-12T00:00:00"/>
    <n v="0"/>
    <n v="0"/>
    <n v="1"/>
    <n v="1"/>
  </r>
  <r>
    <n v="2203"/>
    <n v="15904"/>
    <x v="1355"/>
    <x v="19"/>
    <s v="Not Specified"/>
    <n v="39"/>
    <n v="124.01"/>
    <n v="0.08"/>
    <s v="Regular Air"/>
    <n v="-109.02"/>
    <n v="3.28"/>
    <n v="3.97"/>
    <x v="683"/>
    <x v="10"/>
    <x v="3"/>
    <x v="0"/>
    <x v="0"/>
    <x v="12"/>
    <x v="429"/>
    <s v="Wrap Bag"/>
    <n v="0.56000000000000005"/>
    <d v="2009-10-28T00:00:00"/>
    <n v="0"/>
    <n v="0"/>
    <n v="0.5"/>
    <n v="0.5"/>
  </r>
  <r>
    <n v="2204"/>
    <n v="15904"/>
    <x v="1355"/>
    <x v="19"/>
    <s v="Not Specified"/>
    <n v="49"/>
    <n v="1836.84"/>
    <n v="0.09"/>
    <s v="Express Air"/>
    <n v="129.94999999999999"/>
    <n v="40.97"/>
    <n v="8.99"/>
    <x v="683"/>
    <x v="10"/>
    <x v="3"/>
    <x v="0"/>
    <x v="0"/>
    <x v="12"/>
    <x v="608"/>
    <s v="Small Pack"/>
    <n v="0.59"/>
    <d v="2009-10-29T00:00:00"/>
    <n v="0"/>
    <n v="0"/>
    <n v="0.5"/>
    <n v="0.5"/>
  </r>
  <r>
    <n v="2279"/>
    <n v="16422"/>
    <x v="87"/>
    <x v="17"/>
    <s v="Critical"/>
    <n v="40"/>
    <n v="272.01"/>
    <n v="0.01"/>
    <s v="Regular Air"/>
    <n v="-42.45"/>
    <n v="6.48"/>
    <n v="5.14"/>
    <x v="685"/>
    <x v="10"/>
    <x v="3"/>
    <x v="0"/>
    <x v="0"/>
    <x v="5"/>
    <x v="896"/>
    <s v="Small Box"/>
    <n v="0.37"/>
    <d v="2011-10-10T00:00:00"/>
    <n v="0"/>
    <n v="0"/>
    <n v="0.5"/>
    <n v="0.5"/>
  </r>
  <r>
    <n v="2280"/>
    <n v="16422"/>
    <x v="87"/>
    <x v="17"/>
    <s v="Critical"/>
    <n v="16"/>
    <n v="171.5"/>
    <n v="0.02"/>
    <s v="Regular Air"/>
    <n v="-20.41"/>
    <n v="10.23"/>
    <n v="4.68"/>
    <x v="685"/>
    <x v="10"/>
    <x v="3"/>
    <x v="0"/>
    <x v="0"/>
    <x v="15"/>
    <x v="804"/>
    <s v="Small Pack"/>
    <n v="0.59"/>
    <d v="2011-10-11T00:00:00"/>
    <n v="0"/>
    <n v="0"/>
    <n v="0.5"/>
    <n v="0.5"/>
  </r>
  <r>
    <n v="2394"/>
    <n v="17345"/>
    <x v="453"/>
    <x v="21"/>
    <s v="Critical"/>
    <n v="23"/>
    <n v="195.61"/>
    <n v="0"/>
    <s v="Regular Air"/>
    <n v="-17.02"/>
    <n v="7.64"/>
    <n v="5.83"/>
    <x v="292"/>
    <x v="10"/>
    <x v="3"/>
    <x v="0"/>
    <x v="0"/>
    <x v="5"/>
    <x v="248"/>
    <s v="Wrap Bag"/>
    <n v="0.36"/>
    <d v="2011-08-04T00:00:00"/>
    <n v="0"/>
    <n v="0"/>
    <n v="1"/>
    <n v="1"/>
  </r>
  <r>
    <n v="2504"/>
    <n v="18208"/>
    <x v="900"/>
    <x v="13"/>
    <s v="Not Specified"/>
    <n v="34"/>
    <n v="197.45"/>
    <n v="0.06"/>
    <s v="Regular Air"/>
    <n v="65.44"/>
    <n v="5.68"/>
    <n v="1.39"/>
    <x v="675"/>
    <x v="10"/>
    <x v="3"/>
    <x v="2"/>
    <x v="0"/>
    <x v="8"/>
    <x v="474"/>
    <s v="Small Box"/>
    <n v="0.38"/>
    <d v="2012-04-03T00:00:00"/>
    <n v="0"/>
    <n v="0"/>
    <n v="0.5"/>
    <n v="0.5"/>
  </r>
  <r>
    <n v="2505"/>
    <n v="18208"/>
    <x v="900"/>
    <x v="13"/>
    <s v="Not Specified"/>
    <n v="36"/>
    <n v="82.98"/>
    <n v="0.08"/>
    <s v="Regular Air"/>
    <n v="-137.87"/>
    <n v="2.2799999999999998"/>
    <n v="5.2"/>
    <x v="675"/>
    <x v="10"/>
    <x v="3"/>
    <x v="2"/>
    <x v="0"/>
    <x v="12"/>
    <x v="1059"/>
    <s v="Wrap Bag"/>
    <n v="0.41"/>
    <d v="2012-04-03T00:00:00"/>
    <n v="0"/>
    <n v="0"/>
    <n v="0.5"/>
    <n v="0.5"/>
  </r>
  <r>
    <n v="2556"/>
    <n v="18500"/>
    <x v="668"/>
    <x v="12"/>
    <s v="Medium"/>
    <n v="44"/>
    <n v="2507.79"/>
    <n v="0.08"/>
    <s v="Delivery Truck"/>
    <n v="-779.81"/>
    <n v="58.14"/>
    <n v="36.61"/>
    <x v="676"/>
    <x v="10"/>
    <x v="3"/>
    <x v="0"/>
    <x v="2"/>
    <x v="9"/>
    <x v="126"/>
    <s v="Jumbo Box"/>
    <n v="0.61"/>
    <d v="2012-02-12T00:00:00"/>
    <n v="0"/>
    <n v="0"/>
    <n v="0.33333333333333331"/>
    <n v="0.33333333333333331"/>
  </r>
  <r>
    <n v="2557"/>
    <n v="18500"/>
    <x v="668"/>
    <x v="12"/>
    <s v="Medium"/>
    <n v="30"/>
    <n v="1052.68"/>
    <n v="0.02"/>
    <s v="Regular Air"/>
    <n v="-19.27"/>
    <n v="32.979999999999997"/>
    <n v="5.5"/>
    <x v="676"/>
    <x v="10"/>
    <x v="3"/>
    <x v="0"/>
    <x v="1"/>
    <x v="7"/>
    <x v="279"/>
    <s v="Small Box"/>
    <n v="0.75"/>
    <d v="2012-02-12T00:00:00"/>
    <n v="0"/>
    <n v="0"/>
    <n v="0.33333333333333331"/>
    <n v="0.33333333333333331"/>
  </r>
  <r>
    <n v="2558"/>
    <n v="18500"/>
    <x v="668"/>
    <x v="12"/>
    <s v="Medium"/>
    <n v="30"/>
    <n v="2536.31"/>
    <n v="0.01"/>
    <s v="Regular Air"/>
    <n v="-643.46"/>
    <n v="80.98"/>
    <n v="35"/>
    <x v="676"/>
    <x v="10"/>
    <x v="3"/>
    <x v="0"/>
    <x v="0"/>
    <x v="0"/>
    <x v="73"/>
    <s v="Large Box"/>
    <n v="0.81"/>
    <d v="2012-02-13T00:00:00"/>
    <n v="0"/>
    <n v="0"/>
    <n v="0.33333333333333331"/>
    <n v="0.33333333333333331"/>
  </r>
  <r>
    <n v="2580"/>
    <n v="18597"/>
    <x v="471"/>
    <x v="18"/>
    <s v="Medium"/>
    <n v="37"/>
    <n v="101.2"/>
    <n v="0.1"/>
    <s v="Regular Air"/>
    <n v="38.58"/>
    <n v="2.88"/>
    <n v="0.5"/>
    <x v="681"/>
    <x v="10"/>
    <x v="3"/>
    <x v="1"/>
    <x v="0"/>
    <x v="11"/>
    <x v="878"/>
    <s v="Small Box"/>
    <n v="0.36"/>
    <d v="2010-09-27T00:00:00"/>
    <n v="0"/>
    <n v="0"/>
    <n v="1"/>
    <n v="1"/>
  </r>
  <r>
    <n v="2605"/>
    <n v="18822"/>
    <x v="566"/>
    <x v="15"/>
    <s v="Low"/>
    <n v="34"/>
    <n v="1950.0359999999998"/>
    <n v="0.03"/>
    <s v="Regular Air"/>
    <n v="361.89"/>
    <n v="65.989999999999995"/>
    <n v="8.99"/>
    <x v="292"/>
    <x v="10"/>
    <x v="3"/>
    <x v="0"/>
    <x v="1"/>
    <x v="3"/>
    <x v="403"/>
    <s v="Small Box"/>
    <n v="0.56000000000000005"/>
    <d v="2010-12-30T00:00:00"/>
    <n v="0"/>
    <n v="0"/>
    <n v="1"/>
    <n v="1"/>
  </r>
  <r>
    <n v="2661"/>
    <n v="19232"/>
    <x v="603"/>
    <x v="36"/>
    <s v="Low"/>
    <n v="43"/>
    <n v="265.38"/>
    <n v="0.04"/>
    <s v="Regular Air"/>
    <n v="-107.59"/>
    <n v="6.24"/>
    <n v="5.22"/>
    <x v="292"/>
    <x v="10"/>
    <x v="3"/>
    <x v="0"/>
    <x v="2"/>
    <x v="4"/>
    <x v="864"/>
    <s v="Small Box"/>
    <n v="0.6"/>
    <d v="2009-07-17T00:00:00"/>
    <n v="0"/>
    <n v="0"/>
    <n v="0.33333333333333331"/>
    <n v="0.33333333333333331"/>
  </r>
  <r>
    <n v="2662"/>
    <n v="19232"/>
    <x v="603"/>
    <x v="36"/>
    <s v="Low"/>
    <n v="5"/>
    <n v="33.409999999999997"/>
    <n v="0.09"/>
    <s v="Regular Air"/>
    <n v="-3.48"/>
    <n v="6.68"/>
    <n v="1.5"/>
    <x v="292"/>
    <x v="10"/>
    <x v="3"/>
    <x v="0"/>
    <x v="0"/>
    <x v="12"/>
    <x v="463"/>
    <s v="Wrap Bag"/>
    <n v="0.48"/>
    <d v="2009-07-14T00:00:00"/>
    <n v="0"/>
    <n v="0"/>
    <n v="0.33333333333333331"/>
    <n v="0.33333333333333331"/>
  </r>
  <r>
    <n v="2663"/>
    <n v="19232"/>
    <x v="603"/>
    <x v="36"/>
    <s v="Low"/>
    <n v="28"/>
    <n v="7157.16"/>
    <n v="0.09"/>
    <s v="Delivery Truck"/>
    <n v="1150.33"/>
    <n v="260.98"/>
    <n v="41.91"/>
    <x v="292"/>
    <x v="10"/>
    <x v="3"/>
    <x v="0"/>
    <x v="2"/>
    <x v="9"/>
    <x v="242"/>
    <s v="Jumbo Box"/>
    <n v="0.59"/>
    <d v="2009-07-19T00:00:00"/>
    <n v="0"/>
    <n v="0"/>
    <n v="0.33333333333333331"/>
    <n v="0.33333333333333331"/>
  </r>
  <r>
    <n v="2676"/>
    <n v="19363"/>
    <x v="1340"/>
    <x v="2"/>
    <s v="High"/>
    <n v="44"/>
    <n v="286.06"/>
    <n v="0.1"/>
    <s v="Regular Air"/>
    <n v="-85.09"/>
    <n v="6.68"/>
    <n v="5.66"/>
    <x v="679"/>
    <x v="10"/>
    <x v="3"/>
    <x v="3"/>
    <x v="0"/>
    <x v="5"/>
    <x v="674"/>
    <s v="Small Box"/>
    <n v="0.37"/>
    <d v="2011-07-06T00:00:00"/>
    <n v="0"/>
    <n v="0"/>
    <n v="0.5"/>
    <n v="0.5"/>
  </r>
  <r>
    <n v="2677"/>
    <n v="19363"/>
    <x v="1340"/>
    <x v="2"/>
    <s v="High"/>
    <n v="41"/>
    <n v="248.1"/>
    <n v="0.04"/>
    <s v="Regular Air"/>
    <n v="49.67"/>
    <n v="5.98"/>
    <n v="0.96"/>
    <x v="679"/>
    <x v="10"/>
    <x v="3"/>
    <x v="3"/>
    <x v="0"/>
    <x v="12"/>
    <x v="582"/>
    <s v="Wrap Bag"/>
    <n v="0.6"/>
    <d v="2011-07-07T00:00:00"/>
    <n v="0"/>
    <n v="0"/>
    <n v="0.5"/>
    <n v="0.5"/>
  </r>
  <r>
    <n v="2679"/>
    <n v="19367"/>
    <x v="1218"/>
    <x v="46"/>
    <s v="High"/>
    <n v="20"/>
    <n v="112.42"/>
    <n v="0.09"/>
    <s v="Regular Air"/>
    <n v="7.4"/>
    <n v="5.98"/>
    <n v="2.5"/>
    <x v="682"/>
    <x v="10"/>
    <x v="3"/>
    <x v="3"/>
    <x v="0"/>
    <x v="8"/>
    <x v="478"/>
    <s v="Small Box"/>
    <n v="0.36"/>
    <d v="2009-04-22T00:00:00"/>
    <n v="0"/>
    <n v="0"/>
    <n v="1"/>
    <n v="0.5"/>
  </r>
  <r>
    <n v="2755"/>
    <n v="19911"/>
    <x v="859"/>
    <x v="17"/>
    <s v="High"/>
    <n v="43"/>
    <n v="1054.7"/>
    <n v="7.0000000000000007E-2"/>
    <s v="Regular Air"/>
    <n v="213.26"/>
    <n v="25.98"/>
    <n v="5.37"/>
    <x v="686"/>
    <x v="10"/>
    <x v="3"/>
    <x v="1"/>
    <x v="0"/>
    <x v="1"/>
    <x v="69"/>
    <s v="Medium Box"/>
    <n v="0.5"/>
    <d v="2011-10-07T00:00:00"/>
    <n v="0"/>
    <n v="0"/>
    <n v="0.33333333333333331"/>
    <n v="0.33333333333333331"/>
  </r>
  <r>
    <n v="2756"/>
    <n v="19911"/>
    <x v="859"/>
    <x v="17"/>
    <s v="High"/>
    <n v="38"/>
    <n v="5349.21"/>
    <n v="0.01"/>
    <s v="Delivery Truck"/>
    <n v="61.9"/>
    <n v="135.99"/>
    <n v="28.63"/>
    <x v="686"/>
    <x v="10"/>
    <x v="3"/>
    <x v="1"/>
    <x v="2"/>
    <x v="14"/>
    <x v="333"/>
    <s v="Jumbo Drum"/>
    <n v="0.76"/>
    <d v="2011-10-08T00:00:00"/>
    <n v="0"/>
    <n v="0"/>
    <n v="0.33333333333333331"/>
    <n v="0.33333333333333331"/>
  </r>
  <r>
    <n v="2757"/>
    <n v="19911"/>
    <x v="859"/>
    <x v="17"/>
    <s v="High"/>
    <n v="39"/>
    <n v="4859.37"/>
    <n v="7.0000000000000007E-2"/>
    <s v="Regular Air"/>
    <n v="2472.3200000000002"/>
    <n v="150.97999999999999"/>
    <n v="13.99"/>
    <x v="686"/>
    <x v="10"/>
    <x v="3"/>
    <x v="1"/>
    <x v="1"/>
    <x v="16"/>
    <x v="221"/>
    <s v="Medium Box"/>
    <n v="0.38"/>
    <d v="2011-10-06T00:00:00"/>
    <n v="0"/>
    <n v="0"/>
    <n v="0.33333333333333331"/>
    <n v="0.33333333333333331"/>
  </r>
  <r>
    <n v="2848"/>
    <n v="20517"/>
    <x v="437"/>
    <x v="18"/>
    <s v="Low"/>
    <n v="39"/>
    <n v="116.63"/>
    <n v="0.03"/>
    <s v="Regular Air"/>
    <n v="6.81"/>
    <n v="2.94"/>
    <n v="0.96"/>
    <x v="683"/>
    <x v="10"/>
    <x v="3"/>
    <x v="0"/>
    <x v="0"/>
    <x v="12"/>
    <x v="361"/>
    <s v="Wrap Bag"/>
    <n v="0.57999999999999996"/>
    <d v="2010-09-17T00:00:00"/>
    <n v="0"/>
    <n v="0"/>
    <n v="1"/>
    <n v="1"/>
  </r>
  <r>
    <n v="2995"/>
    <n v="21605"/>
    <x v="1115"/>
    <x v="13"/>
    <s v="High"/>
    <n v="32"/>
    <n v="1932.97"/>
    <n v="0.08"/>
    <s v="Delivery Truck"/>
    <n v="-514.94000000000005"/>
    <n v="60.98"/>
    <n v="30"/>
    <x v="684"/>
    <x v="10"/>
    <x v="3"/>
    <x v="0"/>
    <x v="2"/>
    <x v="14"/>
    <x v="759"/>
    <s v="Jumbo Drum"/>
    <n v="0.7"/>
    <d v="2012-04-10T00:00:00"/>
    <n v="0"/>
    <n v="0"/>
    <n v="0.5"/>
    <n v="0.5"/>
  </r>
  <r>
    <n v="2996"/>
    <n v="21605"/>
    <x v="1115"/>
    <x v="13"/>
    <s v="High"/>
    <n v="46"/>
    <n v="476.49"/>
    <n v="0.1"/>
    <s v="Regular Air"/>
    <n v="-18.57"/>
    <n v="10.64"/>
    <n v="5.16"/>
    <x v="684"/>
    <x v="10"/>
    <x v="3"/>
    <x v="0"/>
    <x v="2"/>
    <x v="4"/>
    <x v="448"/>
    <s v="Small Box"/>
    <n v="0.56999999999999995"/>
    <d v="2012-04-10T00:00:00"/>
    <n v="0"/>
    <n v="0"/>
    <n v="0.5"/>
    <n v="0.5"/>
  </r>
  <r>
    <n v="3040"/>
    <n v="21830"/>
    <x v="116"/>
    <x v="22"/>
    <s v="Low"/>
    <n v="19"/>
    <n v="6991.65"/>
    <n v="0.08"/>
    <s v="Delivery Truck"/>
    <n v="906.8"/>
    <n v="399.98"/>
    <n v="12.06"/>
    <x v="681"/>
    <x v="10"/>
    <x v="3"/>
    <x v="1"/>
    <x v="1"/>
    <x v="16"/>
    <x v="802"/>
    <s v="Jumbo Box"/>
    <n v="0.56000000000000005"/>
    <d v="2009-01-18T00:00:00"/>
    <n v="0"/>
    <n v="1"/>
    <n v="1"/>
    <n v="1"/>
  </r>
  <r>
    <n v="3086"/>
    <n v="22147"/>
    <x v="191"/>
    <x v="22"/>
    <s v="Low"/>
    <n v="37"/>
    <n v="832.14"/>
    <n v="0.04"/>
    <s v="Regular Air"/>
    <n v="175.07"/>
    <n v="22.72"/>
    <n v="8.99"/>
    <x v="677"/>
    <x v="10"/>
    <x v="3"/>
    <x v="2"/>
    <x v="2"/>
    <x v="4"/>
    <x v="199"/>
    <s v="Small Pack"/>
    <n v="0.44"/>
    <d v="2009-01-20T00:00:00"/>
    <n v="0"/>
    <n v="1"/>
    <n v="1"/>
    <n v="1"/>
  </r>
  <r>
    <n v="3092"/>
    <n v="22182"/>
    <x v="406"/>
    <x v="34"/>
    <s v="Medium"/>
    <n v="4"/>
    <n v="55.97"/>
    <n v="0.09"/>
    <s v="Regular Air"/>
    <n v="-19.343"/>
    <n v="12.53"/>
    <n v="7.17"/>
    <x v="292"/>
    <x v="10"/>
    <x v="3"/>
    <x v="0"/>
    <x v="0"/>
    <x v="2"/>
    <x v="1030"/>
    <s v="Small Box"/>
    <n v="0.38"/>
    <d v="2012-09-06T00:00:00"/>
    <n v="0"/>
    <n v="0"/>
    <n v="0.33333333333333331"/>
    <n v="0.33333333333333331"/>
  </r>
  <r>
    <n v="3093"/>
    <n v="22182"/>
    <x v="406"/>
    <x v="34"/>
    <s v="Medium"/>
    <n v="9"/>
    <n v="174.72"/>
    <n v="0.06"/>
    <s v="Regular Air"/>
    <n v="-63.48"/>
    <n v="19.98"/>
    <n v="4"/>
    <x v="292"/>
    <x v="10"/>
    <x v="3"/>
    <x v="0"/>
    <x v="1"/>
    <x v="7"/>
    <x v="507"/>
    <s v="Small Box"/>
    <n v="0.68"/>
    <d v="2012-09-08T00:00:00"/>
    <n v="0"/>
    <n v="0"/>
    <n v="0.33333333333333331"/>
    <n v="0.33333333333333331"/>
  </r>
  <r>
    <n v="3094"/>
    <n v="22182"/>
    <x v="406"/>
    <x v="34"/>
    <s v="Medium"/>
    <n v="48"/>
    <n v="2271.37"/>
    <n v="0.09"/>
    <s v="Express Air"/>
    <n v="528.11"/>
    <n v="49.34"/>
    <n v="10.25"/>
    <x v="292"/>
    <x v="10"/>
    <x v="3"/>
    <x v="0"/>
    <x v="2"/>
    <x v="4"/>
    <x v="945"/>
    <s v="Large Box"/>
    <n v="0.56999999999999995"/>
    <d v="2012-09-07T00:00:00"/>
    <n v="0"/>
    <n v="0"/>
    <n v="0.33333333333333331"/>
    <n v="0.33333333333333331"/>
  </r>
  <r>
    <n v="3103"/>
    <n v="22243"/>
    <x v="44"/>
    <x v="22"/>
    <s v="Critical"/>
    <n v="9"/>
    <n v="24.76"/>
    <n v="0.09"/>
    <s v="Regular Air"/>
    <n v="-1.82"/>
    <n v="2.88"/>
    <n v="0.7"/>
    <x v="682"/>
    <x v="10"/>
    <x v="3"/>
    <x v="1"/>
    <x v="0"/>
    <x v="12"/>
    <x v="24"/>
    <s v="Wrap Bag"/>
    <n v="0.56000000000000005"/>
    <d v="2009-01-16T00:00:00"/>
    <n v="0"/>
    <n v="1"/>
    <n v="1"/>
    <n v="0.5"/>
  </r>
  <r>
    <n v="3218"/>
    <n v="23104"/>
    <x v="488"/>
    <x v="37"/>
    <s v="Medium"/>
    <n v="3"/>
    <n v="30.92"/>
    <n v="0.02"/>
    <s v="Express Air"/>
    <n v="28.64"/>
    <n v="6.98"/>
    <n v="2.83"/>
    <x v="683"/>
    <x v="10"/>
    <x v="3"/>
    <x v="0"/>
    <x v="2"/>
    <x v="4"/>
    <x v="715"/>
    <s v="Small Pack"/>
    <n v="0.37"/>
    <d v="2011-04-10T00:00:00"/>
    <n v="0"/>
    <n v="0"/>
    <n v="0.5"/>
    <n v="0.25"/>
  </r>
  <r>
    <n v="3219"/>
    <n v="23104"/>
    <x v="488"/>
    <x v="37"/>
    <s v="Medium"/>
    <n v="24"/>
    <n v="142.80000000000001"/>
    <n v="0.01"/>
    <s v="Regular Air"/>
    <n v="-25"/>
    <n v="5.81"/>
    <n v="3.37"/>
    <x v="683"/>
    <x v="10"/>
    <x v="3"/>
    <x v="0"/>
    <x v="0"/>
    <x v="6"/>
    <x v="622"/>
    <s v="Wrap Bag"/>
    <n v="0.54"/>
    <d v="2011-04-12T00:00:00"/>
    <n v="0"/>
    <n v="0"/>
    <n v="0.5"/>
    <n v="0.25"/>
  </r>
  <r>
    <n v="3267"/>
    <n v="23363"/>
    <x v="601"/>
    <x v="20"/>
    <s v="Low"/>
    <n v="46"/>
    <n v="241.81"/>
    <n v="0.02"/>
    <s v="Regular Air"/>
    <n v="-94.828999999999994"/>
    <n v="4.91"/>
    <n v="4.97"/>
    <x v="678"/>
    <x v="10"/>
    <x v="3"/>
    <x v="2"/>
    <x v="0"/>
    <x v="2"/>
    <x v="479"/>
    <s v="Small Box"/>
    <n v="0.38"/>
    <d v="2012-06-05T00:00:00"/>
    <n v="0"/>
    <n v="0"/>
    <n v="1"/>
    <n v="1"/>
  </r>
  <r>
    <n v="3298"/>
    <n v="23559"/>
    <x v="1095"/>
    <x v="42"/>
    <s v="Low"/>
    <n v="14"/>
    <n v="425.67"/>
    <n v="0.03"/>
    <s v="Express Air"/>
    <n v="166.5745"/>
    <n v="28.53"/>
    <n v="1.49"/>
    <x v="292"/>
    <x v="10"/>
    <x v="3"/>
    <x v="3"/>
    <x v="0"/>
    <x v="2"/>
    <x v="257"/>
    <s v="Small Box"/>
    <n v="0.38"/>
    <d v="2010-07-25T00:00:00"/>
    <n v="0"/>
    <n v="0"/>
    <n v="0.5"/>
    <n v="0.5"/>
  </r>
  <r>
    <n v="3299"/>
    <n v="23559"/>
    <x v="1095"/>
    <x v="42"/>
    <s v="Low"/>
    <n v="9"/>
    <n v="173.44"/>
    <n v="0.02"/>
    <s v="Regular Air"/>
    <n v="-34.625999999999998"/>
    <n v="17.98"/>
    <n v="8.51"/>
    <x v="292"/>
    <x v="10"/>
    <x v="3"/>
    <x v="3"/>
    <x v="1"/>
    <x v="16"/>
    <x v="168"/>
    <s v="Medium Box"/>
    <n v="0.4"/>
    <d v="2010-07-23T00:00:00"/>
    <n v="0"/>
    <n v="0"/>
    <n v="0.5"/>
    <n v="0.5"/>
  </r>
  <r>
    <n v="3389"/>
    <n v="24160"/>
    <x v="650"/>
    <x v="44"/>
    <s v="Medium"/>
    <n v="44"/>
    <n v="3644.596"/>
    <n v="0.06"/>
    <s v="Regular Air"/>
    <n v="1104.318"/>
    <n v="95.99"/>
    <n v="4.9000000000000004"/>
    <x v="682"/>
    <x v="10"/>
    <x v="3"/>
    <x v="3"/>
    <x v="1"/>
    <x v="3"/>
    <x v="936"/>
    <s v="Small Box"/>
    <n v="0.56000000000000005"/>
    <d v="2011-02-02T00:00:00"/>
    <n v="0"/>
    <n v="0"/>
    <n v="1"/>
    <n v="1"/>
  </r>
  <r>
    <n v="3392"/>
    <n v="24193"/>
    <x v="1164"/>
    <x v="28"/>
    <s v="Not Specified"/>
    <n v="45"/>
    <n v="9539.6"/>
    <n v="0.02"/>
    <s v="Delivery Truck"/>
    <n v="-163.63"/>
    <n v="200.98"/>
    <n v="55.96"/>
    <x v="685"/>
    <x v="10"/>
    <x v="3"/>
    <x v="0"/>
    <x v="2"/>
    <x v="9"/>
    <x v="894"/>
    <s v="Jumbo Box"/>
    <n v="0.75"/>
    <d v="2009-03-16T00:00:00"/>
    <n v="0"/>
    <n v="0"/>
    <n v="0.33333333333333331"/>
    <n v="0.33333333333333331"/>
  </r>
  <r>
    <n v="3393"/>
    <n v="24193"/>
    <x v="1164"/>
    <x v="28"/>
    <s v="Not Specified"/>
    <n v="24"/>
    <n v="109.86"/>
    <n v="0.02"/>
    <s v="Regular Air"/>
    <n v="-63.87"/>
    <n v="4.28"/>
    <n v="5.17"/>
    <x v="685"/>
    <x v="10"/>
    <x v="3"/>
    <x v="0"/>
    <x v="0"/>
    <x v="5"/>
    <x v="157"/>
    <s v="Small Box"/>
    <n v="0.4"/>
    <d v="2009-03-15T00:00:00"/>
    <n v="0"/>
    <n v="0"/>
    <n v="0.33333333333333331"/>
    <n v="0.33333333333333331"/>
  </r>
  <r>
    <n v="3394"/>
    <n v="24193"/>
    <x v="1164"/>
    <x v="28"/>
    <s v="Not Specified"/>
    <n v="19"/>
    <n v="1426.5125"/>
    <n v="0.04"/>
    <s v="Regular Air"/>
    <n v="-175.17500000000001"/>
    <n v="85.99"/>
    <n v="0.99"/>
    <x v="685"/>
    <x v="10"/>
    <x v="3"/>
    <x v="0"/>
    <x v="1"/>
    <x v="3"/>
    <x v="55"/>
    <s v="Wrap Bag"/>
    <n v="0.85"/>
    <d v="2009-03-16T00:00:00"/>
    <n v="0"/>
    <n v="0"/>
    <n v="0.33333333333333331"/>
    <n v="0.33333333333333331"/>
  </r>
  <r>
    <n v="3409"/>
    <n v="24352"/>
    <x v="782"/>
    <x v="39"/>
    <s v="Critical"/>
    <n v="32"/>
    <n v="103.48"/>
    <n v="0.03"/>
    <s v="Regular Air"/>
    <n v="20.53"/>
    <n v="3.14"/>
    <n v="1.1399999999999999"/>
    <x v="676"/>
    <x v="10"/>
    <x v="3"/>
    <x v="0"/>
    <x v="0"/>
    <x v="5"/>
    <x v="1171"/>
    <s v="Wrap Bag"/>
    <n v="0.4"/>
    <d v="2010-05-10T00:00:00"/>
    <n v="0"/>
    <n v="0"/>
    <n v="1"/>
    <n v="1"/>
  </r>
  <r>
    <n v="3460"/>
    <n v="24646"/>
    <x v="176"/>
    <x v="37"/>
    <s v="Not Specified"/>
    <n v="46"/>
    <n v="662.51"/>
    <n v="0.09"/>
    <s v="Regular Air"/>
    <n v="293.32"/>
    <n v="15.67"/>
    <n v="1.39"/>
    <x v="683"/>
    <x v="10"/>
    <x v="3"/>
    <x v="0"/>
    <x v="0"/>
    <x v="8"/>
    <x v="68"/>
    <s v="Small Box"/>
    <n v="0.38"/>
    <d v="2011-04-16T00:00:00"/>
    <n v="0"/>
    <n v="0"/>
    <n v="0.5"/>
    <n v="0.25"/>
  </r>
  <r>
    <n v="3461"/>
    <n v="24646"/>
    <x v="176"/>
    <x v="37"/>
    <s v="Not Specified"/>
    <n v="21"/>
    <n v="61.18"/>
    <n v="0"/>
    <s v="Regular Air"/>
    <n v="6.85"/>
    <n v="2.88"/>
    <n v="0.7"/>
    <x v="683"/>
    <x v="10"/>
    <x v="3"/>
    <x v="0"/>
    <x v="0"/>
    <x v="12"/>
    <x v="808"/>
    <s v="Wrap Bag"/>
    <n v="0.56000000000000005"/>
    <d v="2011-04-17T00:00:00"/>
    <n v="0"/>
    <n v="0"/>
    <n v="0.5"/>
    <n v="0.25"/>
  </r>
  <r>
    <n v="3508"/>
    <n v="24993"/>
    <x v="1356"/>
    <x v="14"/>
    <s v="High"/>
    <n v="36"/>
    <n v="1561.2204999999999"/>
    <n v="0.09"/>
    <s v="Regular Air"/>
    <n v="-226.82"/>
    <n v="55.99"/>
    <n v="2.5"/>
    <x v="685"/>
    <x v="10"/>
    <x v="3"/>
    <x v="0"/>
    <x v="1"/>
    <x v="3"/>
    <x v="967"/>
    <s v="Small Pack"/>
    <n v="0.83"/>
    <d v="2010-03-13T00:00:00"/>
    <n v="0"/>
    <n v="0"/>
    <n v="1"/>
    <n v="1"/>
  </r>
  <r>
    <n v="3517"/>
    <n v="25060"/>
    <x v="1333"/>
    <x v="36"/>
    <s v="Not Specified"/>
    <n v="6"/>
    <n v="7767.02"/>
    <n v="0.03"/>
    <s v="Regular Air"/>
    <n v="2070.6170000000002"/>
    <n v="1270.99"/>
    <n v="19.989999999999998"/>
    <x v="686"/>
    <x v="10"/>
    <x v="3"/>
    <x v="1"/>
    <x v="0"/>
    <x v="2"/>
    <x v="164"/>
    <s v="Small Box"/>
    <n v="0.35"/>
    <d v="2009-07-22T00:00:00"/>
    <n v="0"/>
    <n v="0"/>
    <n v="0.5"/>
    <n v="0.5"/>
  </r>
  <r>
    <n v="3518"/>
    <n v="25060"/>
    <x v="1333"/>
    <x v="36"/>
    <s v="Not Specified"/>
    <n v="1"/>
    <n v="1893.93"/>
    <n v="7.0000000000000007E-2"/>
    <s v="Delivery Truck"/>
    <n v="-4654.7349000000004"/>
    <n v="2036.48"/>
    <n v="14.7"/>
    <x v="686"/>
    <x v="10"/>
    <x v="3"/>
    <x v="1"/>
    <x v="1"/>
    <x v="16"/>
    <x v="1235"/>
    <s v="Jumbo Drum"/>
    <n v="0.55000000000000004"/>
    <d v="2009-07-22T00:00:00"/>
    <n v="0"/>
    <n v="0"/>
    <n v="0.5"/>
    <n v="0.5"/>
  </r>
  <r>
    <n v="3568"/>
    <n v="25447"/>
    <x v="537"/>
    <x v="20"/>
    <s v="Not Specified"/>
    <n v="25"/>
    <n v="536.21"/>
    <n v="0.09"/>
    <s v="Regular Air"/>
    <n v="106.98"/>
    <n v="22.72"/>
    <n v="8.99"/>
    <x v="679"/>
    <x v="10"/>
    <x v="3"/>
    <x v="2"/>
    <x v="2"/>
    <x v="4"/>
    <x v="199"/>
    <s v="Small Pack"/>
    <n v="0.44"/>
    <d v="2012-05-24T00:00:00"/>
    <n v="0"/>
    <n v="0"/>
    <n v="0.5"/>
    <n v="0.33333333333333331"/>
  </r>
  <r>
    <n v="3569"/>
    <n v="25447"/>
    <x v="537"/>
    <x v="20"/>
    <s v="Not Specified"/>
    <n v="18"/>
    <n v="4428.5600000000004"/>
    <n v="0.03"/>
    <s v="Delivery Truck"/>
    <n v="213.62"/>
    <n v="296.18"/>
    <n v="54.12"/>
    <x v="679"/>
    <x v="10"/>
    <x v="3"/>
    <x v="2"/>
    <x v="2"/>
    <x v="10"/>
    <x v="300"/>
    <s v="Jumbo Box"/>
    <n v="0.76"/>
    <d v="2012-05-26T00:00:00"/>
    <n v="0"/>
    <n v="0"/>
    <n v="0.5"/>
    <n v="0.33333333333333331"/>
  </r>
  <r>
    <n v="3660"/>
    <n v="26214"/>
    <x v="1357"/>
    <x v="27"/>
    <s v="Medium"/>
    <n v="19"/>
    <n v="305.68"/>
    <n v="0.1"/>
    <s v="Express Air"/>
    <n v="128.16999999999999"/>
    <n v="15.74"/>
    <n v="1.39"/>
    <x v="685"/>
    <x v="10"/>
    <x v="3"/>
    <x v="0"/>
    <x v="0"/>
    <x v="8"/>
    <x v="15"/>
    <s v="Small Box"/>
    <n v="0.4"/>
    <d v="2011-11-21T00:00:00"/>
    <n v="0"/>
    <n v="0"/>
    <n v="0.5"/>
    <n v="0.5"/>
  </r>
  <r>
    <n v="3661"/>
    <n v="26214"/>
    <x v="1357"/>
    <x v="27"/>
    <s v="Medium"/>
    <n v="41"/>
    <n v="1901.29"/>
    <n v="0.08"/>
    <s v="Regular Air"/>
    <n v="870.8"/>
    <n v="46.94"/>
    <n v="6.77"/>
    <x v="685"/>
    <x v="10"/>
    <x v="3"/>
    <x v="0"/>
    <x v="2"/>
    <x v="4"/>
    <x v="852"/>
    <s v="Small Box"/>
    <n v="0.44"/>
    <d v="2011-11-21T00:00:00"/>
    <n v="0"/>
    <n v="0"/>
    <n v="0.5"/>
    <n v="0.5"/>
  </r>
  <r>
    <n v="3767"/>
    <n v="26913"/>
    <x v="860"/>
    <x v="35"/>
    <s v="High"/>
    <n v="11"/>
    <n v="642.91449999999998"/>
    <n v="0.01"/>
    <s v="Regular Air"/>
    <n v="-118.8"/>
    <n v="65.989999999999995"/>
    <n v="8.99"/>
    <x v="682"/>
    <x v="10"/>
    <x v="3"/>
    <x v="1"/>
    <x v="1"/>
    <x v="3"/>
    <x v="815"/>
    <s v="Small Box"/>
    <n v="0.6"/>
    <d v="2009-10-01T00:00:00"/>
    <n v="0"/>
    <n v="0"/>
    <n v="1"/>
    <n v="1"/>
  </r>
  <r>
    <n v="3822"/>
    <n v="27265"/>
    <x v="902"/>
    <x v="20"/>
    <s v="Critical"/>
    <n v="49"/>
    <n v="14981.74"/>
    <n v="0.02"/>
    <s v="Regular Air"/>
    <n v="-1791.5"/>
    <n v="299.99"/>
    <n v="11.64"/>
    <x v="677"/>
    <x v="10"/>
    <x v="3"/>
    <x v="2"/>
    <x v="1"/>
    <x v="13"/>
    <x v="1035"/>
    <s v="Large Box"/>
    <n v="0.5"/>
    <d v="2012-05-06T00:00:00"/>
    <n v="0"/>
    <n v="0"/>
    <n v="0.33333333333333331"/>
    <n v="0.25"/>
  </r>
  <r>
    <n v="3823"/>
    <n v="27265"/>
    <x v="902"/>
    <x v="20"/>
    <s v="Critical"/>
    <n v="36"/>
    <n v="5587.2"/>
    <n v="0.05"/>
    <s v="Express Air"/>
    <n v="2254.16"/>
    <n v="162.93"/>
    <n v="19.989999999999998"/>
    <x v="677"/>
    <x v="10"/>
    <x v="3"/>
    <x v="2"/>
    <x v="0"/>
    <x v="8"/>
    <x v="324"/>
    <s v="Small Box"/>
    <n v="0.39"/>
    <d v="2012-05-07T00:00:00"/>
    <n v="0"/>
    <n v="0"/>
    <n v="0.33333333333333331"/>
    <n v="0.25"/>
  </r>
  <r>
    <n v="3824"/>
    <n v="27265"/>
    <x v="902"/>
    <x v="20"/>
    <s v="Critical"/>
    <n v="49"/>
    <n v="401.39"/>
    <n v="0.03"/>
    <s v="Express Air"/>
    <n v="161.94999999999999"/>
    <n v="8.34"/>
    <n v="0.96"/>
    <x v="677"/>
    <x v="10"/>
    <x v="3"/>
    <x v="2"/>
    <x v="2"/>
    <x v="4"/>
    <x v="956"/>
    <s v="Wrap Bag"/>
    <n v="0.43"/>
    <d v="2012-05-08T00:00:00"/>
    <n v="0"/>
    <n v="0"/>
    <n v="0.33333333333333331"/>
    <n v="0.25"/>
  </r>
  <r>
    <n v="3855"/>
    <n v="27491"/>
    <x v="945"/>
    <x v="46"/>
    <s v="Not Specified"/>
    <n v="11"/>
    <n v="985.01"/>
    <n v="0.04"/>
    <s v="Regular Air"/>
    <n v="186.05"/>
    <n v="90.48"/>
    <n v="19.989999999999998"/>
    <x v="675"/>
    <x v="10"/>
    <x v="3"/>
    <x v="2"/>
    <x v="0"/>
    <x v="8"/>
    <x v="881"/>
    <s v="Small Box"/>
    <n v="0.4"/>
    <d v="2009-04-11T00:00:00"/>
    <n v="0"/>
    <n v="0"/>
    <n v="0.33333333333333331"/>
    <n v="0.33333333333333331"/>
  </r>
  <r>
    <n v="3856"/>
    <n v="27491"/>
    <x v="945"/>
    <x v="46"/>
    <s v="Not Specified"/>
    <n v="36"/>
    <n v="350.71"/>
    <n v="0.02"/>
    <s v="Regular Air"/>
    <n v="-15.3"/>
    <n v="9.77"/>
    <n v="6.02"/>
    <x v="675"/>
    <x v="10"/>
    <x v="3"/>
    <x v="2"/>
    <x v="2"/>
    <x v="4"/>
    <x v="321"/>
    <s v="Medium Box"/>
    <n v="0.48"/>
    <d v="2009-04-10T00:00:00"/>
    <n v="0"/>
    <n v="0"/>
    <n v="0.33333333333333331"/>
    <n v="0.33333333333333331"/>
  </r>
  <r>
    <n v="3857"/>
    <n v="27491"/>
    <x v="945"/>
    <x v="46"/>
    <s v="Not Specified"/>
    <n v="2"/>
    <n v="75.23"/>
    <n v="0.09"/>
    <s v="Regular Air"/>
    <n v="-51.5"/>
    <n v="34.99"/>
    <n v="7.73"/>
    <x v="675"/>
    <x v="10"/>
    <x v="3"/>
    <x v="2"/>
    <x v="0"/>
    <x v="12"/>
    <x v="989"/>
    <s v="Small Box"/>
    <n v="0.59"/>
    <d v="2009-04-11T00:00:00"/>
    <n v="0"/>
    <n v="0"/>
    <n v="0.33333333333333331"/>
    <n v="0.33333333333333331"/>
  </r>
  <r>
    <n v="3907"/>
    <n v="27845"/>
    <x v="708"/>
    <x v="2"/>
    <s v="Not Specified"/>
    <n v="36"/>
    <n v="220.45"/>
    <n v="0.1"/>
    <s v="Regular Air"/>
    <n v="101.4"/>
    <n v="6.3"/>
    <n v="0.5"/>
    <x v="609"/>
    <x v="10"/>
    <x v="3"/>
    <x v="0"/>
    <x v="0"/>
    <x v="11"/>
    <x v="336"/>
    <s v="Small Box"/>
    <n v="0.39"/>
    <d v="2011-07-14T00:00:00"/>
    <n v="0"/>
    <n v="0"/>
    <n v="1"/>
    <n v="1"/>
  </r>
  <r>
    <n v="4243"/>
    <n v="30176"/>
    <x v="851"/>
    <x v="46"/>
    <s v="Low"/>
    <n v="30"/>
    <n v="2504.41"/>
    <n v="0.01"/>
    <s v="Regular Air"/>
    <n v="-547.89"/>
    <n v="79.52"/>
    <n v="48.2"/>
    <x v="682"/>
    <x v="10"/>
    <x v="3"/>
    <x v="3"/>
    <x v="2"/>
    <x v="4"/>
    <x v="699"/>
    <s v="Medium Box"/>
    <n v="0.74"/>
    <d v="2009-04-26T00:00:00"/>
    <n v="0"/>
    <n v="0"/>
    <n v="1"/>
    <n v="0.5"/>
  </r>
  <r>
    <n v="4270"/>
    <n v="30375"/>
    <x v="726"/>
    <x v="20"/>
    <s v="Low"/>
    <n v="20"/>
    <n v="71.45"/>
    <n v="0.03"/>
    <s v="Regular Air"/>
    <n v="-92.954499999999996"/>
    <n v="3.36"/>
    <n v="6.27"/>
    <x v="677"/>
    <x v="10"/>
    <x v="3"/>
    <x v="2"/>
    <x v="0"/>
    <x v="2"/>
    <x v="285"/>
    <s v="Small Box"/>
    <n v="0.4"/>
    <d v="2012-05-07T00:00:00"/>
    <n v="0"/>
    <n v="0"/>
    <n v="1"/>
    <n v="0.25"/>
  </r>
  <r>
    <n v="4289"/>
    <n v="30565"/>
    <x v="1358"/>
    <x v="2"/>
    <s v="Medium"/>
    <n v="32"/>
    <n v="1785.02"/>
    <n v="0.04"/>
    <s v="Express Air"/>
    <n v="52.66"/>
    <n v="55.94"/>
    <n v="4"/>
    <x v="675"/>
    <x v="10"/>
    <x v="3"/>
    <x v="2"/>
    <x v="1"/>
    <x v="7"/>
    <x v="377"/>
    <s v="Small Box"/>
    <n v="0.74"/>
    <d v="2011-07-28T00:00:00"/>
    <n v="0"/>
    <n v="0"/>
    <n v="1"/>
    <n v="0.5"/>
  </r>
  <r>
    <n v="4291"/>
    <n v="30567"/>
    <x v="1233"/>
    <x v="22"/>
    <s v="Not Specified"/>
    <n v="14"/>
    <n v="2690.84"/>
    <n v="0.1"/>
    <s v="Delivery Truck"/>
    <n v="-368.02"/>
    <n v="208.16"/>
    <n v="68.02"/>
    <x v="676"/>
    <x v="10"/>
    <x v="3"/>
    <x v="0"/>
    <x v="0"/>
    <x v="1"/>
    <x v="1"/>
    <s v="Jumbo Drum"/>
    <n v="0.57999999999999996"/>
    <d v="2009-01-14T00:00:00"/>
    <n v="0"/>
    <n v="1"/>
    <n v="0.25"/>
    <n v="0.25"/>
  </r>
  <r>
    <n v="4292"/>
    <n v="30567"/>
    <x v="1233"/>
    <x v="22"/>
    <s v="Not Specified"/>
    <n v="8"/>
    <n v="733.55"/>
    <n v="7.0000000000000007E-2"/>
    <s v="Regular Air"/>
    <n v="103.13"/>
    <n v="90.48"/>
    <n v="19.989999999999998"/>
    <x v="676"/>
    <x v="10"/>
    <x v="3"/>
    <x v="0"/>
    <x v="0"/>
    <x v="8"/>
    <x v="881"/>
    <s v="Small Box"/>
    <n v="0.4"/>
    <d v="2009-01-15T00:00:00"/>
    <n v="0"/>
    <n v="1"/>
    <n v="0.25"/>
    <n v="0.25"/>
  </r>
  <r>
    <n v="4293"/>
    <n v="30567"/>
    <x v="1233"/>
    <x v="22"/>
    <s v="Not Specified"/>
    <n v="3"/>
    <n v="38.71"/>
    <n v="0.01"/>
    <s v="Express Air"/>
    <n v="23"/>
    <n v="9.48"/>
    <n v="7.29"/>
    <x v="676"/>
    <x v="10"/>
    <x v="3"/>
    <x v="0"/>
    <x v="2"/>
    <x v="4"/>
    <x v="722"/>
    <s v="Small Pack"/>
    <n v="0.45"/>
    <d v="2009-01-16T00:00:00"/>
    <n v="0"/>
    <n v="1"/>
    <n v="0.25"/>
    <n v="0.25"/>
  </r>
  <r>
    <n v="4294"/>
    <n v="30567"/>
    <x v="1233"/>
    <x v="22"/>
    <s v="Not Specified"/>
    <n v="14"/>
    <n v="62.6"/>
    <n v="0.02"/>
    <s v="Regular Air"/>
    <n v="7.32"/>
    <n v="4.28"/>
    <n v="0.94"/>
    <x v="676"/>
    <x v="10"/>
    <x v="3"/>
    <x v="0"/>
    <x v="0"/>
    <x v="12"/>
    <x v="406"/>
    <s v="Wrap Bag"/>
    <n v="0.56000000000000005"/>
    <d v="2009-01-15T00:00:00"/>
    <n v="0"/>
    <n v="1"/>
    <n v="0.25"/>
    <n v="0.25"/>
  </r>
  <r>
    <n v="4431"/>
    <n v="31586"/>
    <x v="1359"/>
    <x v="33"/>
    <s v="Low"/>
    <n v="22"/>
    <n v="963.45"/>
    <n v="0.05"/>
    <s v="Express Air"/>
    <n v="94.03"/>
    <n v="43.22"/>
    <n v="4"/>
    <x v="682"/>
    <x v="10"/>
    <x v="3"/>
    <x v="3"/>
    <x v="1"/>
    <x v="7"/>
    <x v="710"/>
    <s v="Small Box"/>
    <n v="0.64"/>
    <d v="2012-03-25T00:00:00"/>
    <n v="0"/>
    <n v="0"/>
    <n v="0.5"/>
    <n v="0.5"/>
  </r>
  <r>
    <n v="4432"/>
    <n v="31586"/>
    <x v="1359"/>
    <x v="33"/>
    <s v="Low"/>
    <n v="25"/>
    <n v="4390.0289999999995"/>
    <n v="0"/>
    <s v="Express Air"/>
    <n v="1007.4870000000001"/>
    <n v="205.99"/>
    <n v="5.26"/>
    <x v="682"/>
    <x v="10"/>
    <x v="3"/>
    <x v="3"/>
    <x v="1"/>
    <x v="3"/>
    <x v="211"/>
    <s v="Small Box"/>
    <n v="0.56000000000000005"/>
    <d v="2012-03-30T00:00:00"/>
    <n v="0"/>
    <n v="0"/>
    <n v="0.5"/>
    <n v="0.5"/>
  </r>
  <r>
    <n v="4448"/>
    <n v="31687"/>
    <x v="1029"/>
    <x v="10"/>
    <s v="High"/>
    <n v="44"/>
    <n v="123.06"/>
    <n v="7.0000000000000007E-2"/>
    <s v="Regular Air"/>
    <n v="3.5"/>
    <n v="2.78"/>
    <n v="1.34"/>
    <x v="680"/>
    <x v="10"/>
    <x v="3"/>
    <x v="2"/>
    <x v="0"/>
    <x v="12"/>
    <x v="148"/>
    <s v="Wrap Bag"/>
    <n v="0.45"/>
    <d v="2011-05-19T00:00:00"/>
    <n v="0"/>
    <n v="0"/>
    <n v="1"/>
    <n v="1"/>
  </r>
  <r>
    <n v="4470"/>
    <n v="31847"/>
    <x v="684"/>
    <x v="47"/>
    <s v="Low"/>
    <n v="46"/>
    <n v="1692.28"/>
    <n v="0.1"/>
    <s v="Regular Air"/>
    <n v="61"/>
    <n v="39.979999999999997"/>
    <n v="4"/>
    <x v="682"/>
    <x v="10"/>
    <x v="3"/>
    <x v="0"/>
    <x v="1"/>
    <x v="7"/>
    <x v="701"/>
    <s v="Small Box"/>
    <n v="0.7"/>
    <d v="2009-12-22T00:00:00"/>
    <n v="0"/>
    <n v="0"/>
    <n v="1"/>
    <n v="1"/>
  </r>
  <r>
    <n v="4612"/>
    <n v="32868"/>
    <x v="80"/>
    <x v="22"/>
    <s v="Not Specified"/>
    <n v="39"/>
    <n v="1101.28"/>
    <n v="0.05"/>
    <s v="Regular Air"/>
    <n v="200.53"/>
    <n v="28.15"/>
    <n v="6.17"/>
    <x v="679"/>
    <x v="10"/>
    <x v="3"/>
    <x v="3"/>
    <x v="0"/>
    <x v="12"/>
    <x v="1162"/>
    <s v="Small Pack"/>
    <n v="0.55000000000000004"/>
    <d v="2009-01-18T00:00:00"/>
    <n v="0"/>
    <n v="1"/>
    <n v="1"/>
    <n v="1"/>
  </r>
  <r>
    <n v="5081"/>
    <n v="36224"/>
    <x v="1214"/>
    <x v="43"/>
    <s v="Medium"/>
    <n v="15"/>
    <n v="1765.45"/>
    <n v="0.09"/>
    <s v="Express Air"/>
    <n v="374.82"/>
    <n v="120.98"/>
    <n v="3.99"/>
    <x v="678"/>
    <x v="10"/>
    <x v="3"/>
    <x v="2"/>
    <x v="0"/>
    <x v="1"/>
    <x v="1000"/>
    <s v="Small Box"/>
    <n v="0.6"/>
    <d v="2009-05-05T00:00:00"/>
    <n v="0"/>
    <n v="0"/>
    <n v="1"/>
    <n v="1"/>
  </r>
  <r>
    <n v="5157"/>
    <n v="36709"/>
    <x v="1037"/>
    <x v="9"/>
    <s v="Critical"/>
    <n v="42"/>
    <n v="2245.6914999999999"/>
    <n v="0.05"/>
    <s v="Regular Air"/>
    <n v="369.08099999999996"/>
    <n v="65.989999999999995"/>
    <n v="8.99"/>
    <x v="473"/>
    <x v="10"/>
    <x v="3"/>
    <x v="2"/>
    <x v="1"/>
    <x v="3"/>
    <x v="1199"/>
    <s v="Small Box"/>
    <n v="0.55000000000000004"/>
    <d v="2012-08-25T00:00:00"/>
    <n v="0"/>
    <n v="0"/>
    <n v="1"/>
    <n v="1"/>
  </r>
  <r>
    <n v="5318"/>
    <n v="37826"/>
    <x v="1247"/>
    <x v="37"/>
    <s v="Medium"/>
    <n v="45"/>
    <n v="325.8"/>
    <n v="0.03"/>
    <s v="Regular Air"/>
    <n v="-84.85"/>
    <n v="6.78"/>
    <n v="6.18"/>
    <x v="682"/>
    <x v="10"/>
    <x v="3"/>
    <x v="1"/>
    <x v="0"/>
    <x v="5"/>
    <x v="636"/>
    <s v="Small Box"/>
    <n v="0.39"/>
    <d v="2011-04-25T00:00:00"/>
    <n v="0"/>
    <n v="0"/>
    <n v="1"/>
    <n v="1"/>
  </r>
  <r>
    <n v="5338"/>
    <n v="37924"/>
    <x v="213"/>
    <x v="11"/>
    <s v="High"/>
    <n v="49"/>
    <n v="8094.55"/>
    <n v="0.05"/>
    <s v="Regular Air"/>
    <n v="2008.71"/>
    <n v="165.2"/>
    <n v="19.989999999999998"/>
    <x v="549"/>
    <x v="10"/>
    <x v="3"/>
    <x v="3"/>
    <x v="0"/>
    <x v="0"/>
    <x v="1176"/>
    <s v="Small Box"/>
    <n v="0.59"/>
    <d v="2009-11-29T00:00:00"/>
    <n v="0"/>
    <n v="0"/>
    <n v="0.5"/>
    <n v="0.5"/>
  </r>
  <r>
    <n v="5371"/>
    <n v="38182"/>
    <x v="988"/>
    <x v="20"/>
    <s v="High"/>
    <n v="45"/>
    <n v="2848.83"/>
    <n v="7.0000000000000007E-2"/>
    <s v="Regular Air"/>
    <n v="-1182.8699999999999"/>
    <n v="64.650000000000006"/>
    <n v="35"/>
    <x v="679"/>
    <x v="10"/>
    <x v="3"/>
    <x v="3"/>
    <x v="0"/>
    <x v="0"/>
    <x v="809"/>
    <s v="Large Box"/>
    <n v="0.8"/>
    <d v="2012-05-22T00:00:00"/>
    <n v="0"/>
    <n v="0"/>
    <n v="1"/>
    <n v="0.33333333333333331"/>
  </r>
  <r>
    <n v="5604"/>
    <n v="39717"/>
    <x v="666"/>
    <x v="11"/>
    <s v="High"/>
    <n v="20"/>
    <n v="835.48"/>
    <n v="0.06"/>
    <s v="Regular Air"/>
    <n v="-58.13"/>
    <n v="43.57"/>
    <n v="16.36"/>
    <x v="473"/>
    <x v="10"/>
    <x v="3"/>
    <x v="2"/>
    <x v="0"/>
    <x v="0"/>
    <x v="975"/>
    <s v="Small Box"/>
    <n v="0.55000000000000004"/>
    <d v="2009-11-30T00:00:00"/>
    <n v="0"/>
    <n v="0"/>
    <n v="1"/>
    <n v="1"/>
  </r>
  <r>
    <n v="5692"/>
    <n v="40257"/>
    <x v="522"/>
    <x v="3"/>
    <s v="Not Specified"/>
    <n v="24"/>
    <n v="3201.16"/>
    <n v="0.06"/>
    <s v="Regular Air"/>
    <n v="405.5"/>
    <n v="140.81"/>
    <n v="24.49"/>
    <x v="686"/>
    <x v="10"/>
    <x v="3"/>
    <x v="1"/>
    <x v="2"/>
    <x v="14"/>
    <x v="198"/>
    <s v="Large Box"/>
    <n v="0.56999999999999995"/>
    <d v="2010-08-22T00:00:00"/>
    <n v="0"/>
    <n v="0"/>
    <n v="1"/>
    <n v="1"/>
  </r>
  <r>
    <n v="5700"/>
    <n v="40321"/>
    <x v="539"/>
    <x v="30"/>
    <s v="High"/>
    <n v="23"/>
    <n v="1484.49"/>
    <n v="0.09"/>
    <s v="Regular Air"/>
    <n v="230.50300000000001"/>
    <n v="67.28"/>
    <n v="19.989999999999998"/>
    <x v="681"/>
    <x v="10"/>
    <x v="3"/>
    <x v="1"/>
    <x v="0"/>
    <x v="2"/>
    <x v="490"/>
    <s v="Small Box"/>
    <n v="0.4"/>
    <d v="2010-06-25T00:00:00"/>
    <n v="0"/>
    <n v="0"/>
    <n v="0.5"/>
    <n v="0.5"/>
  </r>
  <r>
    <n v="5701"/>
    <n v="40321"/>
    <x v="539"/>
    <x v="30"/>
    <s v="High"/>
    <n v="18"/>
    <n v="740.49"/>
    <n v="0.1"/>
    <s v="Regular Air"/>
    <n v="88.9"/>
    <n v="42.76"/>
    <n v="6.22"/>
    <x v="681"/>
    <x v="10"/>
    <x v="3"/>
    <x v="1"/>
    <x v="0"/>
    <x v="0"/>
    <x v="7"/>
    <s v="Small Box"/>
    <m/>
    <d v="2010-06-24T00:00:00"/>
    <n v="0"/>
    <n v="0"/>
    <n v="0.5"/>
    <n v="0.5"/>
  </r>
  <r>
    <n v="5947"/>
    <n v="42214"/>
    <x v="898"/>
    <x v="10"/>
    <s v="Low"/>
    <n v="46"/>
    <n v="569.91999999999996"/>
    <n v="0.03"/>
    <s v="Regular Air"/>
    <n v="154.09"/>
    <n v="12.22"/>
    <n v="2.85"/>
    <x v="679"/>
    <x v="10"/>
    <x v="3"/>
    <x v="3"/>
    <x v="2"/>
    <x v="4"/>
    <x v="137"/>
    <s v="Small Pack"/>
    <n v="0.55000000000000004"/>
    <d v="2011-05-31T00:00:00"/>
    <n v="0"/>
    <n v="0"/>
    <n v="0.5"/>
    <n v="0.5"/>
  </r>
  <r>
    <n v="5948"/>
    <n v="42214"/>
    <x v="898"/>
    <x v="10"/>
    <s v="Low"/>
    <n v="28"/>
    <n v="183.65"/>
    <n v="0.02"/>
    <s v="Regular Air"/>
    <n v="-59.96"/>
    <n v="6.48"/>
    <n v="5.84"/>
    <x v="679"/>
    <x v="10"/>
    <x v="3"/>
    <x v="3"/>
    <x v="0"/>
    <x v="5"/>
    <x v="607"/>
    <s v="Small Box"/>
    <n v="0.37"/>
    <d v="2011-05-31T00:00:00"/>
    <n v="0"/>
    <n v="0"/>
    <n v="0.5"/>
    <n v="0.5"/>
  </r>
  <r>
    <n v="6039"/>
    <n v="42788"/>
    <x v="1360"/>
    <x v="17"/>
    <s v="Critical"/>
    <n v="26"/>
    <n v="241.92"/>
    <n v="0.1"/>
    <s v="Regular Air"/>
    <n v="67.709999999999994"/>
    <n v="10.14"/>
    <n v="2.27"/>
    <x v="682"/>
    <x v="10"/>
    <x v="3"/>
    <x v="0"/>
    <x v="0"/>
    <x v="5"/>
    <x v="88"/>
    <s v="Wrap Bag"/>
    <n v="0.36"/>
    <d v="2011-10-15T00:00:00"/>
    <n v="0"/>
    <n v="0"/>
    <n v="1"/>
    <n v="0.33333333333333331"/>
  </r>
  <r>
    <n v="6054"/>
    <n v="42912"/>
    <x v="1321"/>
    <x v="39"/>
    <s v="Not Specified"/>
    <n v="4"/>
    <n v="52.59"/>
    <n v="0.05"/>
    <s v="Regular Air"/>
    <n v="-30.39"/>
    <n v="11.35"/>
    <n v="8.6"/>
    <x v="609"/>
    <x v="10"/>
    <x v="3"/>
    <x v="0"/>
    <x v="0"/>
    <x v="0"/>
    <x v="789"/>
    <s v="Small Box"/>
    <n v="0.56999999999999995"/>
    <d v="2010-05-06T00:00:00"/>
    <n v="0"/>
    <n v="0"/>
    <n v="1"/>
    <n v="1"/>
  </r>
  <r>
    <n v="6162"/>
    <n v="43653"/>
    <x v="365"/>
    <x v="1"/>
    <s v="High"/>
    <n v="3"/>
    <n v="10.62"/>
    <n v="7.0000000000000007E-2"/>
    <s v="Regular Air"/>
    <n v="-3.96"/>
    <n v="3.29"/>
    <n v="1.35"/>
    <x v="682"/>
    <x v="10"/>
    <x v="3"/>
    <x v="0"/>
    <x v="0"/>
    <x v="6"/>
    <x v="339"/>
    <s v="Wrap Bag"/>
    <n v="0.4"/>
    <d v="2012-10-30T00:00:00"/>
    <n v="0"/>
    <n v="0"/>
    <n v="0.33333333333333331"/>
    <n v="0.33333333333333331"/>
  </r>
  <r>
    <n v="6163"/>
    <n v="43653"/>
    <x v="365"/>
    <x v="1"/>
    <s v="High"/>
    <n v="39"/>
    <n v="666.4"/>
    <n v="0"/>
    <s v="Express Air"/>
    <n v="2.02"/>
    <n v="15.73"/>
    <n v="7.42"/>
    <x v="682"/>
    <x v="10"/>
    <x v="3"/>
    <x v="0"/>
    <x v="0"/>
    <x v="15"/>
    <x v="949"/>
    <s v="Small Pack"/>
    <n v="0.56000000000000005"/>
    <d v="2012-10-31T00:00:00"/>
    <n v="0"/>
    <n v="0"/>
    <n v="0.33333333333333331"/>
    <n v="0.33333333333333331"/>
  </r>
  <r>
    <n v="6164"/>
    <n v="43653"/>
    <x v="365"/>
    <x v="1"/>
    <s v="High"/>
    <n v="10"/>
    <n v="351.3"/>
    <n v="0.06"/>
    <s v="Regular Air"/>
    <n v="1.45"/>
    <n v="34.76"/>
    <n v="8.2200000000000006"/>
    <x v="682"/>
    <x v="10"/>
    <x v="3"/>
    <x v="0"/>
    <x v="0"/>
    <x v="0"/>
    <x v="139"/>
    <s v="Small Box"/>
    <n v="0.56999999999999995"/>
    <d v="2012-11-01T00:00:00"/>
    <n v="0"/>
    <n v="0"/>
    <n v="0.33333333333333331"/>
    <n v="0.33333333333333331"/>
  </r>
  <r>
    <n v="6343"/>
    <n v="44962"/>
    <x v="861"/>
    <x v="47"/>
    <s v="Medium"/>
    <n v="27"/>
    <n v="575.74"/>
    <n v="0.06"/>
    <s v="Regular Air"/>
    <n v="152.6"/>
    <n v="22.24"/>
    <n v="1.99"/>
    <x v="676"/>
    <x v="10"/>
    <x v="3"/>
    <x v="0"/>
    <x v="1"/>
    <x v="7"/>
    <x v="847"/>
    <s v="Small Pack"/>
    <n v="0.43"/>
    <d v="2009-12-30T00:00:00"/>
    <n v="0"/>
    <n v="0"/>
    <n v="1"/>
    <n v="1"/>
  </r>
  <r>
    <n v="6397"/>
    <n v="45412"/>
    <x v="787"/>
    <x v="24"/>
    <s v="Medium"/>
    <n v="20"/>
    <n v="586.61900000000003"/>
    <n v="0.06"/>
    <s v="Regular Air"/>
    <n v="83.07"/>
    <n v="35.99"/>
    <n v="1.1000000000000001"/>
    <x v="680"/>
    <x v="10"/>
    <x v="3"/>
    <x v="2"/>
    <x v="1"/>
    <x v="3"/>
    <x v="828"/>
    <s v="Small Box"/>
    <n v="0.55000000000000004"/>
    <d v="2010-04-23T00:00:00"/>
    <n v="0"/>
    <n v="0"/>
    <n v="1"/>
    <n v="1"/>
  </r>
  <r>
    <n v="6436"/>
    <n v="45734"/>
    <x v="685"/>
    <x v="29"/>
    <s v="Critical"/>
    <n v="47"/>
    <n v="557.52"/>
    <n v="0.03"/>
    <s v="Express Air"/>
    <n v="-157.30000000000001"/>
    <n v="11.66"/>
    <n v="7.95"/>
    <x v="682"/>
    <x v="10"/>
    <x v="3"/>
    <x v="1"/>
    <x v="0"/>
    <x v="12"/>
    <x v="417"/>
    <s v="Small Pack"/>
    <n v="0.57999999999999996"/>
    <d v="2012-07-19T00:00:00"/>
    <n v="0"/>
    <n v="0"/>
    <n v="1"/>
    <n v="1"/>
  </r>
  <r>
    <n v="6454"/>
    <n v="45959"/>
    <x v="516"/>
    <x v="47"/>
    <s v="Medium"/>
    <n v="15"/>
    <n v="201.74"/>
    <n v="0.08"/>
    <s v="Express Air"/>
    <n v="-2.6335000000000002"/>
    <n v="12.53"/>
    <n v="7.17"/>
    <x v="675"/>
    <x v="10"/>
    <x v="3"/>
    <x v="2"/>
    <x v="0"/>
    <x v="2"/>
    <x v="1030"/>
    <s v="Small Box"/>
    <n v="0.38"/>
    <d v="2009-12-08T00:00:00"/>
    <n v="0"/>
    <n v="0"/>
    <n v="0.5"/>
    <n v="0.5"/>
  </r>
  <r>
    <n v="6455"/>
    <n v="45959"/>
    <x v="516"/>
    <x v="47"/>
    <s v="Medium"/>
    <n v="35"/>
    <n v="1822.13"/>
    <n v="0"/>
    <s v="Regular Air"/>
    <n v="155.16999999999999"/>
    <n v="49.99"/>
    <n v="19.989999999999998"/>
    <x v="675"/>
    <x v="10"/>
    <x v="3"/>
    <x v="2"/>
    <x v="1"/>
    <x v="7"/>
    <x v="446"/>
    <s v="Small Box"/>
    <n v="0.41"/>
    <d v="2009-12-08T00:00:00"/>
    <n v="0"/>
    <n v="0"/>
    <n v="0.5"/>
    <n v="0.5"/>
  </r>
  <r>
    <n v="6585"/>
    <n v="46884"/>
    <x v="80"/>
    <x v="22"/>
    <s v="Medium"/>
    <n v="18"/>
    <n v="130.11000000000001"/>
    <n v="0.1"/>
    <s v="Regular Air"/>
    <n v="40.299999999999997"/>
    <n v="7.64"/>
    <n v="1.39"/>
    <x v="236"/>
    <x v="10"/>
    <x v="3"/>
    <x v="2"/>
    <x v="0"/>
    <x v="8"/>
    <x v="872"/>
    <s v="Small Box"/>
    <n v="0.36"/>
    <d v="2009-01-19T00:00:00"/>
    <n v="0"/>
    <n v="1"/>
    <n v="0.33333333333333331"/>
    <n v="0.33333333333333331"/>
  </r>
  <r>
    <n v="6586"/>
    <n v="46884"/>
    <x v="80"/>
    <x v="22"/>
    <s v="Medium"/>
    <n v="3"/>
    <n v="337.33949999999999"/>
    <n v="0"/>
    <s v="Regular Air"/>
    <n v="-509.93799999999999"/>
    <n v="125.99"/>
    <n v="2.5"/>
    <x v="236"/>
    <x v="10"/>
    <x v="3"/>
    <x v="2"/>
    <x v="1"/>
    <x v="3"/>
    <x v="1236"/>
    <s v="Small Box"/>
    <n v="0.59"/>
    <d v="2009-01-19T00:00:00"/>
    <n v="0"/>
    <n v="1"/>
    <n v="0.33333333333333331"/>
    <n v="0.33333333333333331"/>
  </r>
  <r>
    <n v="6604"/>
    <n v="46981"/>
    <x v="1265"/>
    <x v="40"/>
    <s v="Medium"/>
    <n v="46"/>
    <n v="1398.87"/>
    <n v="7.0000000000000007E-2"/>
    <s v="Regular Air"/>
    <n v="601.9615"/>
    <n v="30.56"/>
    <n v="2.99"/>
    <x v="678"/>
    <x v="10"/>
    <x v="3"/>
    <x v="2"/>
    <x v="0"/>
    <x v="2"/>
    <x v="142"/>
    <s v="Small Box"/>
    <n v="0.35"/>
    <d v="2009-02-07T00:00:00"/>
    <n v="0"/>
    <n v="0"/>
    <n v="1"/>
    <n v="1"/>
  </r>
  <r>
    <n v="6606"/>
    <n v="47010"/>
    <x v="269"/>
    <x v="17"/>
    <s v="Critical"/>
    <n v="11"/>
    <n v="1479.14"/>
    <n v="0.06"/>
    <s v="Delivery Truck"/>
    <n v="-236.63"/>
    <n v="130.97999999999999"/>
    <n v="30"/>
    <x v="678"/>
    <x v="10"/>
    <x v="3"/>
    <x v="2"/>
    <x v="2"/>
    <x v="14"/>
    <x v="156"/>
    <s v="Jumbo Drum"/>
    <n v="0.78"/>
    <d v="2011-10-03T00:00:00"/>
    <n v="0"/>
    <n v="0"/>
    <n v="1"/>
    <n v="1"/>
  </r>
  <r>
    <n v="6702"/>
    <n v="47717"/>
    <x v="962"/>
    <x v="25"/>
    <s v="Not Specified"/>
    <n v="35"/>
    <n v="173.22"/>
    <n v="0.04"/>
    <s v="Regular Air"/>
    <n v="84.03"/>
    <n v="4.91"/>
    <n v="0.5"/>
    <x v="681"/>
    <x v="10"/>
    <x v="3"/>
    <x v="1"/>
    <x v="0"/>
    <x v="11"/>
    <x v="383"/>
    <s v="Small Box"/>
    <n v="0.36"/>
    <d v="2011-12-18T00:00:00"/>
    <n v="0"/>
    <n v="0"/>
    <n v="1"/>
    <n v="1"/>
  </r>
  <r>
    <n v="6776"/>
    <n v="48257"/>
    <x v="336"/>
    <x v="46"/>
    <s v="Low"/>
    <n v="45"/>
    <n v="221.06"/>
    <n v="0.02"/>
    <s v="Regular Air"/>
    <n v="-124.28049999999999"/>
    <n v="4.57"/>
    <n v="5.42"/>
    <x v="677"/>
    <x v="10"/>
    <x v="3"/>
    <x v="2"/>
    <x v="0"/>
    <x v="2"/>
    <x v="328"/>
    <s v="Small Box"/>
    <n v="0.37"/>
    <d v="2009-04-26T00:00:00"/>
    <n v="0"/>
    <n v="0"/>
    <n v="1"/>
    <n v="0.5"/>
  </r>
  <r>
    <n v="6822"/>
    <n v="48577"/>
    <x v="1361"/>
    <x v="29"/>
    <s v="Medium"/>
    <n v="6"/>
    <n v="201.83"/>
    <n v="0.02"/>
    <s v="Regular Air"/>
    <n v="34.979999999999997"/>
    <n v="30.98"/>
    <n v="5.09"/>
    <x v="675"/>
    <x v="10"/>
    <x v="3"/>
    <x v="2"/>
    <x v="0"/>
    <x v="5"/>
    <x v="1139"/>
    <s v="Small Box"/>
    <n v="0.4"/>
    <d v="2012-07-10T00:00:00"/>
    <n v="0"/>
    <n v="0"/>
    <n v="1"/>
    <n v="1"/>
  </r>
  <r>
    <n v="6992"/>
    <n v="49953"/>
    <x v="67"/>
    <x v="33"/>
    <s v="Not Specified"/>
    <n v="18"/>
    <n v="283.5"/>
    <n v="0.1"/>
    <s v="Regular Air"/>
    <n v="-51.47"/>
    <n v="15.98"/>
    <n v="6.5"/>
    <x v="488"/>
    <x v="10"/>
    <x v="3"/>
    <x v="3"/>
    <x v="1"/>
    <x v="7"/>
    <x v="404"/>
    <s v="Small Box"/>
    <n v="0.48"/>
    <d v="2012-03-18T00:00:00"/>
    <n v="0"/>
    <n v="0"/>
    <n v="0.5"/>
    <n v="0.5"/>
  </r>
  <r>
    <n v="6993"/>
    <n v="49953"/>
    <x v="67"/>
    <x v="33"/>
    <s v="Not Specified"/>
    <n v="36"/>
    <n v="242.13"/>
    <n v="0.09"/>
    <s v="Express Air"/>
    <n v="-94.74"/>
    <n v="6.48"/>
    <n v="6.6"/>
    <x v="488"/>
    <x v="10"/>
    <x v="3"/>
    <x v="3"/>
    <x v="0"/>
    <x v="5"/>
    <x v="226"/>
    <s v="Small Box"/>
    <n v="0.37"/>
    <d v="2012-03-17T00:00:00"/>
    <n v="0"/>
    <n v="0"/>
    <n v="0.5"/>
    <n v="0.5"/>
  </r>
  <r>
    <n v="7192"/>
    <n v="51300"/>
    <x v="76"/>
    <x v="17"/>
    <s v="Medium"/>
    <n v="43"/>
    <n v="344.24"/>
    <n v="0.09"/>
    <s v="Regular Air"/>
    <n v="30.76"/>
    <n v="8.33"/>
    <n v="1.99"/>
    <x v="488"/>
    <x v="10"/>
    <x v="3"/>
    <x v="3"/>
    <x v="1"/>
    <x v="7"/>
    <x v="206"/>
    <s v="Small Pack"/>
    <n v="0.52"/>
    <d v="2011-10-17T00:00:00"/>
    <n v="0"/>
    <n v="0"/>
    <n v="1"/>
    <n v="1"/>
  </r>
  <r>
    <n v="7249"/>
    <n v="51687"/>
    <x v="633"/>
    <x v="31"/>
    <s v="Low"/>
    <n v="42"/>
    <n v="248.92"/>
    <n v="0.01"/>
    <s v="Regular Air"/>
    <n v="-66.87"/>
    <n v="5.58"/>
    <n v="5.3"/>
    <x v="609"/>
    <x v="10"/>
    <x v="3"/>
    <x v="0"/>
    <x v="0"/>
    <x v="8"/>
    <x v="686"/>
    <s v="Small Box"/>
    <n v="0.35"/>
    <d v="2011-09-13T00:00:00"/>
    <n v="0"/>
    <n v="0"/>
    <n v="1"/>
    <n v="1"/>
  </r>
  <r>
    <n v="7288"/>
    <n v="51974"/>
    <x v="349"/>
    <x v="16"/>
    <s v="High"/>
    <n v="10"/>
    <n v="1290.3699999999999"/>
    <n v="0.05"/>
    <s v="Regular Air"/>
    <n v="231.16"/>
    <n v="123.38"/>
    <n v="24.49"/>
    <x v="683"/>
    <x v="10"/>
    <x v="3"/>
    <x v="0"/>
    <x v="0"/>
    <x v="1"/>
    <x v="1225"/>
    <s v="Large Box"/>
    <n v="0.46"/>
    <d v="2011-01-27T00:00:00"/>
    <n v="0"/>
    <n v="0"/>
    <n v="0.5"/>
    <n v="0.5"/>
  </r>
  <r>
    <n v="7289"/>
    <n v="51974"/>
    <x v="349"/>
    <x v="16"/>
    <s v="High"/>
    <n v="2"/>
    <n v="23.18"/>
    <n v="0.05"/>
    <s v="Regular Air"/>
    <n v="-14.881"/>
    <n v="8.6"/>
    <n v="6.19"/>
    <x v="683"/>
    <x v="10"/>
    <x v="3"/>
    <x v="0"/>
    <x v="0"/>
    <x v="2"/>
    <x v="682"/>
    <s v="Small Box"/>
    <n v="0.38"/>
    <d v="2011-01-27T00:00:00"/>
    <n v="0"/>
    <n v="0"/>
    <n v="0.5"/>
    <n v="0.5"/>
  </r>
  <r>
    <n v="7394"/>
    <n v="52676"/>
    <x v="110"/>
    <x v="9"/>
    <s v="High"/>
    <n v="46"/>
    <n v="979.44"/>
    <n v="0.01"/>
    <s v="Regular Air"/>
    <n v="320.67"/>
    <n v="19.98"/>
    <n v="5.86"/>
    <x v="682"/>
    <x v="10"/>
    <x v="3"/>
    <x v="3"/>
    <x v="0"/>
    <x v="5"/>
    <x v="985"/>
    <s v="Small Box"/>
    <n v="0.38"/>
    <d v="2012-08-30T00:00:00"/>
    <n v="0"/>
    <n v="0"/>
    <n v="1"/>
    <n v="1"/>
  </r>
  <r>
    <n v="7452"/>
    <n v="53153"/>
    <x v="640"/>
    <x v="35"/>
    <s v="Critical"/>
    <n v="29"/>
    <n v="575.36"/>
    <n v="0.1"/>
    <s v="Regular Air"/>
    <n v="84.05"/>
    <n v="20.27"/>
    <n v="3.99"/>
    <x v="236"/>
    <x v="10"/>
    <x v="3"/>
    <x v="2"/>
    <x v="0"/>
    <x v="1"/>
    <x v="1168"/>
    <s v="Small Box"/>
    <n v="0.56999999999999995"/>
    <d v="2009-09-24T00:00:00"/>
    <n v="0"/>
    <n v="0"/>
    <n v="1"/>
    <n v="0.5"/>
  </r>
  <r>
    <n v="7542"/>
    <n v="53895"/>
    <x v="578"/>
    <x v="31"/>
    <s v="Not Specified"/>
    <n v="21"/>
    <n v="7922.69"/>
    <n v="0.1"/>
    <s v="Regular Air"/>
    <n v="1558.79"/>
    <n v="419.19"/>
    <n v="19.989999999999998"/>
    <x v="682"/>
    <x v="10"/>
    <x v="3"/>
    <x v="0"/>
    <x v="0"/>
    <x v="0"/>
    <x v="1127"/>
    <s v="Small Box"/>
    <n v="0.57999999999999996"/>
    <d v="2011-09-06T00:00:00"/>
    <n v="0"/>
    <n v="0"/>
    <n v="1"/>
    <n v="1"/>
  </r>
  <r>
    <n v="7615"/>
    <n v="54497"/>
    <x v="1362"/>
    <x v="38"/>
    <s v="Not Specified"/>
    <n v="1"/>
    <n v="155.51"/>
    <n v="7.0000000000000007E-2"/>
    <s v="Regular Air"/>
    <n v="-87.34"/>
    <n v="142.86000000000001"/>
    <n v="19.989999999999998"/>
    <x v="549"/>
    <x v="10"/>
    <x v="3"/>
    <x v="3"/>
    <x v="0"/>
    <x v="0"/>
    <x v="690"/>
    <s v="Small Box"/>
    <n v="0.56000000000000005"/>
    <d v="2010-01-22T00:00:00"/>
    <n v="1"/>
    <n v="0"/>
    <n v="1"/>
    <n v="1"/>
  </r>
  <r>
    <n v="7714"/>
    <n v="55296"/>
    <x v="814"/>
    <x v="1"/>
    <s v="Low"/>
    <n v="32"/>
    <n v="317.06"/>
    <n v="0.05"/>
    <s v="Regular Air"/>
    <n v="105.47"/>
    <n v="10.06"/>
    <n v="2.06"/>
    <x v="246"/>
    <x v="10"/>
    <x v="3"/>
    <x v="2"/>
    <x v="0"/>
    <x v="5"/>
    <x v="456"/>
    <s v="Wrap Bag"/>
    <n v="0.39"/>
    <d v="2012-10-22T00:00:00"/>
    <n v="0"/>
    <n v="0"/>
    <n v="1"/>
    <n v="1"/>
  </r>
  <r>
    <n v="7779"/>
    <n v="55654"/>
    <x v="30"/>
    <x v="18"/>
    <s v="High"/>
    <n v="2"/>
    <n v="17.3"/>
    <n v="0.04"/>
    <s v="Regular Air"/>
    <n v="-7.49"/>
    <n v="6.98"/>
    <n v="2.83"/>
    <x v="488"/>
    <x v="10"/>
    <x v="3"/>
    <x v="3"/>
    <x v="2"/>
    <x v="4"/>
    <x v="715"/>
    <s v="Small Pack"/>
    <n v="0.37"/>
    <d v="2010-09-21T00:00:00"/>
    <n v="0"/>
    <n v="0"/>
    <n v="1"/>
    <n v="1"/>
  </r>
  <r>
    <n v="7884"/>
    <n v="56387"/>
    <x v="890"/>
    <x v="10"/>
    <s v="Medium"/>
    <n v="32"/>
    <n v="128.13999999999999"/>
    <n v="0.1"/>
    <s v="Express Air"/>
    <n v="-163.57600000000002"/>
    <n v="3.89"/>
    <n v="7.01"/>
    <x v="684"/>
    <x v="10"/>
    <x v="3"/>
    <x v="0"/>
    <x v="0"/>
    <x v="2"/>
    <x v="35"/>
    <s v="Small Box"/>
    <n v="0.37"/>
    <d v="2011-05-22T00:00:00"/>
    <n v="0"/>
    <n v="0"/>
    <n v="0.5"/>
    <n v="0.5"/>
  </r>
  <r>
    <n v="7885"/>
    <n v="56387"/>
    <x v="890"/>
    <x v="10"/>
    <s v="Medium"/>
    <n v="9"/>
    <n v="67.459999999999994"/>
    <n v="0.08"/>
    <s v="Regular Air"/>
    <n v="-57.53"/>
    <n v="6.48"/>
    <n v="10.050000000000001"/>
    <x v="684"/>
    <x v="10"/>
    <x v="3"/>
    <x v="0"/>
    <x v="0"/>
    <x v="5"/>
    <x v="680"/>
    <s v="Small Box"/>
    <n v="0.37"/>
    <d v="2011-05-22T00:00:00"/>
    <n v="0"/>
    <n v="0"/>
    <n v="0.5"/>
    <n v="0.5"/>
  </r>
  <r>
    <n v="7944"/>
    <n v="56743"/>
    <x v="645"/>
    <x v="4"/>
    <s v="Medium"/>
    <n v="23"/>
    <n v="524.25"/>
    <n v="0.06"/>
    <s v="Express Air"/>
    <n v="152.31"/>
    <n v="22.23"/>
    <n v="8.99"/>
    <x v="680"/>
    <x v="10"/>
    <x v="3"/>
    <x v="2"/>
    <x v="2"/>
    <x v="4"/>
    <x v="744"/>
    <s v="Small Pack"/>
    <n v="0.41"/>
    <d v="2011-06-25T00:00:00"/>
    <n v="0"/>
    <n v="0"/>
    <n v="1"/>
    <n v="1"/>
  </r>
  <r>
    <n v="7952"/>
    <n v="56805"/>
    <x v="470"/>
    <x v="8"/>
    <s v="High"/>
    <n v="38"/>
    <n v="14753.08"/>
    <n v="0.01"/>
    <s v="Delivery Truck"/>
    <n v="1085.9100000000001"/>
    <n v="370.98"/>
    <n v="99"/>
    <x v="609"/>
    <x v="10"/>
    <x v="3"/>
    <x v="0"/>
    <x v="0"/>
    <x v="0"/>
    <x v="222"/>
    <s v="Jumbo Drum"/>
    <n v="0.65"/>
    <d v="2012-06-06T00:00:00"/>
    <n v="0"/>
    <n v="0"/>
    <n v="1"/>
    <n v="1"/>
  </r>
  <r>
    <n v="7958"/>
    <n v="56838"/>
    <x v="1363"/>
    <x v="2"/>
    <s v="Critical"/>
    <n v="44"/>
    <n v="4326.2700000000004"/>
    <n v="0.09"/>
    <s v="Regular Air"/>
    <n v="1728.2"/>
    <n v="100.98"/>
    <n v="7.18"/>
    <x v="675"/>
    <x v="10"/>
    <x v="3"/>
    <x v="2"/>
    <x v="1"/>
    <x v="7"/>
    <x v="495"/>
    <s v="Small Box"/>
    <n v="0.4"/>
    <d v="2011-07-30T00:00:00"/>
    <n v="0"/>
    <n v="0"/>
    <n v="1"/>
    <n v="0.5"/>
  </r>
  <r>
    <n v="7988"/>
    <n v="57095"/>
    <x v="141"/>
    <x v="5"/>
    <s v="Medium"/>
    <n v="37"/>
    <n v="254.93"/>
    <n v="0.01"/>
    <s v="Regular Air"/>
    <n v="-62.881999999999998"/>
    <n v="6.81"/>
    <n v="5.48"/>
    <x v="236"/>
    <x v="10"/>
    <x v="3"/>
    <x v="2"/>
    <x v="0"/>
    <x v="2"/>
    <x v="964"/>
    <s v="Small Box"/>
    <n v="0.37"/>
    <d v="2011-03-26T00:00:00"/>
    <n v="0"/>
    <n v="0"/>
    <n v="1"/>
    <n v="1"/>
  </r>
  <r>
    <n v="8019"/>
    <n v="57287"/>
    <x v="891"/>
    <x v="17"/>
    <s v="Not Specified"/>
    <n v="11"/>
    <n v="472.12"/>
    <n v="0.03"/>
    <s v="Regular Air"/>
    <n v="56.1"/>
    <n v="40.97"/>
    <n v="1.99"/>
    <x v="679"/>
    <x v="10"/>
    <x v="3"/>
    <x v="2"/>
    <x v="1"/>
    <x v="7"/>
    <x v="1066"/>
    <s v="Small Pack"/>
    <n v="0.42"/>
    <d v="2011-10-29T00:00:00"/>
    <n v="0"/>
    <n v="0"/>
    <n v="1"/>
    <n v="1"/>
  </r>
  <r>
    <n v="8118"/>
    <n v="57984"/>
    <x v="1313"/>
    <x v="0"/>
    <s v="High"/>
    <n v="6"/>
    <n v="192.99"/>
    <n v="7.0000000000000007E-2"/>
    <s v="Express Air"/>
    <n v="-123.37"/>
    <n v="30.97"/>
    <n v="4"/>
    <x v="488"/>
    <x v="10"/>
    <x v="3"/>
    <x v="3"/>
    <x v="1"/>
    <x v="7"/>
    <x v="730"/>
    <s v="Small Box"/>
    <n v="0.74"/>
    <d v="2010-10-03T00:00:00"/>
    <n v="0"/>
    <n v="0"/>
    <n v="0.5"/>
    <n v="0.5"/>
  </r>
  <r>
    <n v="8119"/>
    <n v="57984"/>
    <x v="1313"/>
    <x v="0"/>
    <s v="High"/>
    <n v="20"/>
    <n v="11829.4"/>
    <n v="7.0000000000000007E-2"/>
    <s v="Regular Air"/>
    <n v="3899.72"/>
    <n v="599.99"/>
    <n v="24.49"/>
    <x v="488"/>
    <x v="10"/>
    <x v="3"/>
    <x v="3"/>
    <x v="1"/>
    <x v="13"/>
    <x v="776"/>
    <s v="Large Box"/>
    <n v="0.37"/>
    <d v="2010-10-04T00:00:00"/>
    <n v="0"/>
    <n v="0"/>
    <n v="0.5"/>
    <n v="0.5"/>
  </r>
  <r>
    <n v="8289"/>
    <n v="59207"/>
    <x v="299"/>
    <x v="43"/>
    <s v="Critical"/>
    <n v="3"/>
    <n v="10.119999999999999"/>
    <n v="0.09"/>
    <s v="Regular Air"/>
    <n v="-4.07"/>
    <n v="2.98"/>
    <n v="1.58"/>
    <x v="675"/>
    <x v="10"/>
    <x v="3"/>
    <x v="2"/>
    <x v="0"/>
    <x v="6"/>
    <x v="958"/>
    <s v="Wrap Bag"/>
    <n v="0.39"/>
    <d v="2009-05-19T00:00:00"/>
    <n v="0"/>
    <n v="0"/>
    <n v="0.5"/>
    <n v="1"/>
  </r>
  <r>
    <n v="8296"/>
    <n v="59238"/>
    <x v="971"/>
    <x v="35"/>
    <s v="High"/>
    <n v="11"/>
    <n v="455.88"/>
    <n v="0.03"/>
    <s v="Express Air"/>
    <n v="9.1500000000000057"/>
    <n v="40.97"/>
    <n v="8.99"/>
    <x v="236"/>
    <x v="10"/>
    <x v="3"/>
    <x v="2"/>
    <x v="0"/>
    <x v="12"/>
    <x v="608"/>
    <s v="Small Pack"/>
    <n v="0.59"/>
    <d v="2009-09-20T00:00:00"/>
    <n v="0"/>
    <n v="0"/>
    <n v="1"/>
    <n v="0.5"/>
  </r>
  <r>
    <n v="8315"/>
    <n v="59396"/>
    <x v="121"/>
    <x v="11"/>
    <s v="Critical"/>
    <n v="41"/>
    <n v="5930.34"/>
    <n v="7.0000000000000007E-2"/>
    <s v="Regular Air"/>
    <n v="427.68"/>
    <n v="152.47999999999999"/>
    <n v="6.5"/>
    <x v="684"/>
    <x v="10"/>
    <x v="3"/>
    <x v="0"/>
    <x v="1"/>
    <x v="7"/>
    <x v="659"/>
    <s v="Small Box"/>
    <n v="0.74"/>
    <d v="2009-11-16T00:00:00"/>
    <n v="0"/>
    <n v="0"/>
    <n v="1"/>
    <n v="1"/>
  </r>
  <r>
    <n v="8388"/>
    <n v="59911"/>
    <x v="388"/>
    <x v="25"/>
    <s v="Not Specified"/>
    <n v="1"/>
    <n v="10.59"/>
    <n v="0.1"/>
    <s v="Regular Air"/>
    <n v="-4.3099999999999996"/>
    <n v="9.11"/>
    <n v="2.15"/>
    <x v="680"/>
    <x v="10"/>
    <x v="3"/>
    <x v="2"/>
    <x v="0"/>
    <x v="5"/>
    <x v="1024"/>
    <s v="Wrap Bag"/>
    <n v="0.4"/>
    <d v="2011-12-19T00:00:00"/>
    <n v="0"/>
    <n v="0"/>
    <n v="1"/>
    <n v="1"/>
  </r>
  <r>
    <n v="147"/>
    <n v="930"/>
    <x v="291"/>
    <x v="47"/>
    <s v="Critical"/>
    <n v="22"/>
    <n v="922.39"/>
    <n v="0.03"/>
    <s v="Express Air"/>
    <n v="-41.64"/>
    <n v="41.32"/>
    <n v="58.66"/>
    <x v="687"/>
    <x v="9"/>
    <x v="2"/>
    <x v="0"/>
    <x v="2"/>
    <x v="4"/>
    <x v="492"/>
    <s v="Medium Box"/>
    <n v="0.76"/>
    <d v="2009-12-17T00:00:00"/>
    <n v="0"/>
    <n v="0"/>
    <n v="0.5"/>
    <n v="0.5"/>
  </r>
  <r>
    <n v="148"/>
    <n v="930"/>
    <x v="291"/>
    <x v="47"/>
    <s v="Critical"/>
    <n v="11"/>
    <n v="79.19"/>
    <n v="0"/>
    <s v="Regular Air"/>
    <n v="13.91"/>
    <n v="6.88"/>
    <n v="2"/>
    <x v="687"/>
    <x v="9"/>
    <x v="2"/>
    <x v="0"/>
    <x v="0"/>
    <x v="5"/>
    <x v="810"/>
    <s v="Wrap Bag"/>
    <n v="0.39"/>
    <d v="2009-12-16T00:00:00"/>
    <n v="0"/>
    <n v="0"/>
    <n v="0.5"/>
    <n v="0.5"/>
  </r>
  <r>
    <n v="168"/>
    <n v="1058"/>
    <x v="1345"/>
    <x v="24"/>
    <s v="Medium"/>
    <n v="3"/>
    <n v="469.43799999999999"/>
    <n v="7.0000000000000007E-2"/>
    <s v="Regular Air"/>
    <n v="-888.16199999999992"/>
    <n v="195.99"/>
    <n v="8.99"/>
    <x v="688"/>
    <x v="9"/>
    <x v="2"/>
    <x v="0"/>
    <x v="1"/>
    <x v="3"/>
    <x v="521"/>
    <s v="Small Box"/>
    <n v="0.6"/>
    <d v="2010-04-26T00:00:00"/>
    <n v="0"/>
    <n v="0"/>
    <n v="1"/>
    <n v="1"/>
  </r>
  <r>
    <n v="172"/>
    <n v="1088"/>
    <x v="399"/>
    <x v="20"/>
    <s v="Low"/>
    <n v="13"/>
    <n v="269.02"/>
    <n v="0.1"/>
    <s v="Regular Air"/>
    <n v="-112"/>
    <n v="20.97"/>
    <n v="6.5"/>
    <x v="369"/>
    <x v="9"/>
    <x v="2"/>
    <x v="1"/>
    <x v="1"/>
    <x v="7"/>
    <x v="154"/>
    <s v="Small Box"/>
    <n v="0.78"/>
    <d v="2012-05-27T00:00:00"/>
    <n v="0"/>
    <n v="0"/>
    <n v="1"/>
    <n v="1"/>
  </r>
  <r>
    <n v="225"/>
    <n v="1504"/>
    <x v="1072"/>
    <x v="9"/>
    <s v="Medium"/>
    <n v="31"/>
    <n v="293.18"/>
    <n v="0.08"/>
    <s v="Regular Air"/>
    <n v="64.22"/>
    <n v="10.01"/>
    <n v="1.99"/>
    <x v="613"/>
    <x v="9"/>
    <x v="2"/>
    <x v="2"/>
    <x v="1"/>
    <x v="7"/>
    <x v="319"/>
    <s v="Small Pack"/>
    <n v="0.41"/>
    <d v="2012-08-28T00:00:00"/>
    <n v="0"/>
    <n v="0"/>
    <n v="1"/>
    <n v="1"/>
  </r>
  <r>
    <n v="258"/>
    <n v="1796"/>
    <x v="507"/>
    <x v="32"/>
    <s v="High"/>
    <n v="43"/>
    <n v="183.41"/>
    <n v="7.0000000000000007E-2"/>
    <s v="Regular Air"/>
    <n v="-125.4075"/>
    <n v="4.13"/>
    <n v="5.04"/>
    <x v="392"/>
    <x v="9"/>
    <x v="2"/>
    <x v="2"/>
    <x v="0"/>
    <x v="2"/>
    <x v="309"/>
    <s v="Small Box"/>
    <n v="0.38"/>
    <d v="2012-11-20T00:00:00"/>
    <n v="0"/>
    <n v="0"/>
    <n v="1"/>
    <n v="0.33333333333333331"/>
  </r>
  <r>
    <n v="292"/>
    <n v="2048"/>
    <x v="1118"/>
    <x v="7"/>
    <s v="Critical"/>
    <n v="12"/>
    <n v="3752.61"/>
    <n v="0.01"/>
    <s v="Delivery Truck"/>
    <n v="637.92999999999995"/>
    <n v="294.62"/>
    <n v="42.52"/>
    <x v="392"/>
    <x v="9"/>
    <x v="2"/>
    <x v="2"/>
    <x v="0"/>
    <x v="1"/>
    <x v="779"/>
    <s v="Jumbo Drum"/>
    <n v="0.56999999999999995"/>
    <d v="2010-11-15T00:00:00"/>
    <n v="0"/>
    <n v="0"/>
    <n v="0.5"/>
    <n v="0.5"/>
  </r>
  <r>
    <n v="293"/>
    <n v="2048"/>
    <x v="1118"/>
    <x v="7"/>
    <s v="Critical"/>
    <n v="9"/>
    <n v="548.36"/>
    <n v="0.1"/>
    <s v="Express Air"/>
    <n v="78.63"/>
    <n v="60.97"/>
    <n v="4.5"/>
    <x v="392"/>
    <x v="9"/>
    <x v="2"/>
    <x v="2"/>
    <x v="0"/>
    <x v="1"/>
    <x v="1085"/>
    <s v="Small Box"/>
    <n v="0.56000000000000005"/>
    <d v="2010-11-15T00:00:00"/>
    <n v="0"/>
    <n v="0"/>
    <n v="0.5"/>
    <n v="0.5"/>
  </r>
  <r>
    <n v="294"/>
    <n v="2050"/>
    <x v="682"/>
    <x v="41"/>
    <s v="Not Specified"/>
    <n v="16"/>
    <n v="44.46"/>
    <n v="0.06"/>
    <s v="Regular Air"/>
    <n v="5.27"/>
    <n v="2.89"/>
    <n v="0.99"/>
    <x v="689"/>
    <x v="9"/>
    <x v="2"/>
    <x v="1"/>
    <x v="0"/>
    <x v="11"/>
    <x v="1237"/>
    <s v="Small Box"/>
    <n v="0.38"/>
    <d v="2009-06-03T00:00:00"/>
    <n v="0"/>
    <n v="0"/>
    <n v="0.5"/>
    <n v="0.5"/>
  </r>
  <r>
    <n v="295"/>
    <n v="2050"/>
    <x v="682"/>
    <x v="41"/>
    <s v="Not Specified"/>
    <n v="25"/>
    <n v="542.11"/>
    <n v="0.08"/>
    <s v="Regular Air"/>
    <n v="-14.76"/>
    <n v="22.84"/>
    <n v="11.54"/>
    <x v="689"/>
    <x v="9"/>
    <x v="2"/>
    <x v="1"/>
    <x v="0"/>
    <x v="5"/>
    <x v="1062"/>
    <s v="Small Box"/>
    <n v="0.39"/>
    <d v="2009-06-03T00:00:00"/>
    <n v="0"/>
    <n v="0"/>
    <n v="0.5"/>
    <n v="0.5"/>
  </r>
  <r>
    <n v="299"/>
    <n v="2054"/>
    <x v="805"/>
    <x v="8"/>
    <s v="Not Specified"/>
    <n v="1"/>
    <n v="343.78"/>
    <n v="0.09"/>
    <s v="Regular Air"/>
    <n v="-246.51"/>
    <n v="363.25"/>
    <n v="19.989999999999998"/>
    <x v="395"/>
    <x v="9"/>
    <x v="2"/>
    <x v="1"/>
    <x v="0"/>
    <x v="1"/>
    <x v="445"/>
    <s v="Small Box"/>
    <n v="0.56999999999999995"/>
    <d v="2012-06-10T00:00:00"/>
    <n v="0"/>
    <n v="0"/>
    <n v="0.5"/>
    <n v="0.5"/>
  </r>
  <r>
    <n v="300"/>
    <n v="2054"/>
    <x v="805"/>
    <x v="8"/>
    <s v="Not Specified"/>
    <n v="34"/>
    <n v="826.09"/>
    <n v="0.03"/>
    <s v="Regular Air"/>
    <n v="215.86"/>
    <n v="22.98"/>
    <n v="7.58"/>
    <x v="395"/>
    <x v="9"/>
    <x v="2"/>
    <x v="1"/>
    <x v="2"/>
    <x v="4"/>
    <x v="619"/>
    <s v="Small Box"/>
    <n v="0.51"/>
    <d v="2012-06-09T00:00:00"/>
    <n v="0"/>
    <n v="0"/>
    <n v="0.5"/>
    <n v="0.5"/>
  </r>
  <r>
    <n v="432"/>
    <n v="2885"/>
    <x v="1256"/>
    <x v="34"/>
    <s v="Not Specified"/>
    <n v="29"/>
    <n v="197.41"/>
    <n v="0.06"/>
    <s v="Regular Air"/>
    <n v="-128.68"/>
    <n v="6.48"/>
    <n v="8.4"/>
    <x v="490"/>
    <x v="9"/>
    <x v="2"/>
    <x v="3"/>
    <x v="0"/>
    <x v="5"/>
    <x v="836"/>
    <s v="Small Box"/>
    <n v="0.37"/>
    <d v="2012-09-18T00:00:00"/>
    <n v="0"/>
    <n v="0"/>
    <n v="0.5"/>
    <n v="0.25"/>
  </r>
  <r>
    <n v="433"/>
    <n v="2885"/>
    <x v="1256"/>
    <x v="34"/>
    <s v="Not Specified"/>
    <n v="46"/>
    <n v="712.18"/>
    <n v="0.06"/>
    <s v="Regular Air"/>
    <n v="13.98"/>
    <n v="15.42"/>
    <n v="5.41"/>
    <x v="490"/>
    <x v="9"/>
    <x v="2"/>
    <x v="3"/>
    <x v="0"/>
    <x v="0"/>
    <x v="1026"/>
    <s v="Small Box"/>
    <n v="0.59"/>
    <d v="2012-09-20T00:00:00"/>
    <n v="0"/>
    <n v="0"/>
    <n v="0.5"/>
    <n v="0.25"/>
  </r>
  <r>
    <n v="497"/>
    <n v="3458"/>
    <x v="841"/>
    <x v="47"/>
    <s v="High"/>
    <n v="41"/>
    <n v="627.91"/>
    <n v="0.03"/>
    <s v="Regular Air"/>
    <n v="222.08"/>
    <n v="15.28"/>
    <n v="1.99"/>
    <x v="116"/>
    <x v="9"/>
    <x v="2"/>
    <x v="2"/>
    <x v="1"/>
    <x v="7"/>
    <x v="615"/>
    <s v="Small Pack"/>
    <n v="0.42"/>
    <d v="2009-12-23T00:00:00"/>
    <n v="0"/>
    <n v="0"/>
    <n v="0.5"/>
    <n v="0.16666666666666666"/>
  </r>
  <r>
    <n v="498"/>
    <n v="3458"/>
    <x v="841"/>
    <x v="47"/>
    <s v="High"/>
    <n v="28"/>
    <n v="46.89"/>
    <n v="0.09"/>
    <s v="Regular Air"/>
    <n v="-3.83"/>
    <n v="1.76"/>
    <n v="0.7"/>
    <x v="116"/>
    <x v="9"/>
    <x v="2"/>
    <x v="2"/>
    <x v="0"/>
    <x v="12"/>
    <x v="91"/>
    <s v="Wrap Bag"/>
    <n v="0.56000000000000005"/>
    <d v="2009-12-24T00:00:00"/>
    <n v="0"/>
    <n v="0"/>
    <n v="0.5"/>
    <n v="0.16666666666666666"/>
  </r>
  <r>
    <n v="511"/>
    <n v="3522"/>
    <x v="167"/>
    <x v="35"/>
    <s v="Low"/>
    <n v="33"/>
    <n v="1935.17"/>
    <n v="0.09"/>
    <s v="Regular Air"/>
    <n v="-991.07"/>
    <n v="60.98"/>
    <n v="49"/>
    <x v="689"/>
    <x v="9"/>
    <x v="2"/>
    <x v="1"/>
    <x v="0"/>
    <x v="1"/>
    <x v="347"/>
    <s v="Large Box"/>
    <n v="0.59"/>
    <d v="2009-10-02T00:00:00"/>
    <n v="0"/>
    <n v="0"/>
    <n v="0.5"/>
    <n v="0.5"/>
  </r>
  <r>
    <n v="512"/>
    <n v="3522"/>
    <x v="167"/>
    <x v="35"/>
    <s v="Low"/>
    <n v="27"/>
    <n v="812.68"/>
    <n v="0.05"/>
    <s v="Regular Air"/>
    <n v="235.88"/>
    <n v="29.89"/>
    <n v="1.99"/>
    <x v="689"/>
    <x v="9"/>
    <x v="2"/>
    <x v="1"/>
    <x v="1"/>
    <x v="7"/>
    <x v="412"/>
    <s v="Small Pack"/>
    <n v="0.5"/>
    <d v="2009-09-27T00:00:00"/>
    <n v="0"/>
    <n v="0"/>
    <n v="0.5"/>
    <n v="0.5"/>
  </r>
  <r>
    <n v="540"/>
    <n v="3653"/>
    <x v="1347"/>
    <x v="28"/>
    <s v="Critical"/>
    <n v="41"/>
    <n v="271.11"/>
    <n v="0.08"/>
    <s v="Regular Air"/>
    <n v="64.790000000000006"/>
    <n v="6.68"/>
    <n v="1.5"/>
    <x v="690"/>
    <x v="9"/>
    <x v="2"/>
    <x v="2"/>
    <x v="0"/>
    <x v="12"/>
    <x v="463"/>
    <s v="Wrap Bag"/>
    <n v="0.48"/>
    <d v="2009-03-28T00:00:00"/>
    <n v="0"/>
    <n v="0"/>
    <n v="1"/>
    <n v="1"/>
  </r>
  <r>
    <n v="562"/>
    <n v="3808"/>
    <x v="872"/>
    <x v="46"/>
    <s v="Critical"/>
    <n v="2"/>
    <n v="6.13"/>
    <n v="0.08"/>
    <s v="Regular Air"/>
    <n v="-2.83"/>
    <n v="2.89"/>
    <n v="0.49"/>
    <x v="690"/>
    <x v="9"/>
    <x v="2"/>
    <x v="2"/>
    <x v="0"/>
    <x v="11"/>
    <x v="491"/>
    <s v="Small Box"/>
    <n v="0.38"/>
    <d v="2009-04-23T00:00:00"/>
    <n v="0"/>
    <n v="0"/>
    <n v="1"/>
    <n v="1"/>
  </r>
  <r>
    <n v="581"/>
    <n v="3970"/>
    <x v="909"/>
    <x v="33"/>
    <s v="Medium"/>
    <n v="39"/>
    <n v="1032.97"/>
    <n v="7.0000000000000007E-2"/>
    <s v="Regular Air"/>
    <n v="397.15"/>
    <n v="28.48"/>
    <n v="1.99"/>
    <x v="101"/>
    <x v="9"/>
    <x v="2"/>
    <x v="3"/>
    <x v="1"/>
    <x v="7"/>
    <x v="395"/>
    <s v="Small Pack"/>
    <n v="0.4"/>
    <d v="2012-03-28T00:00:00"/>
    <n v="0"/>
    <n v="0"/>
    <n v="0.5"/>
    <n v="0.5"/>
  </r>
  <r>
    <n v="582"/>
    <n v="3970"/>
    <x v="909"/>
    <x v="33"/>
    <s v="Medium"/>
    <n v="13"/>
    <n v="324.83"/>
    <n v="0.05"/>
    <s v="Delivery Truck"/>
    <n v="-426.54"/>
    <n v="20.98"/>
    <n v="45"/>
    <x v="101"/>
    <x v="9"/>
    <x v="2"/>
    <x v="3"/>
    <x v="0"/>
    <x v="0"/>
    <x v="436"/>
    <s v="Jumbo Drum"/>
    <n v="0.61"/>
    <d v="2012-03-27T00:00:00"/>
    <n v="0"/>
    <n v="0"/>
    <n v="0.5"/>
    <n v="0.5"/>
  </r>
  <r>
    <n v="678"/>
    <n v="4739"/>
    <x v="773"/>
    <x v="6"/>
    <s v="Low"/>
    <n v="16"/>
    <n v="48.57"/>
    <n v="0.04"/>
    <s v="Regular Air"/>
    <n v="4.21"/>
    <n v="2.94"/>
    <n v="0.7"/>
    <x v="690"/>
    <x v="9"/>
    <x v="2"/>
    <x v="2"/>
    <x v="0"/>
    <x v="12"/>
    <x v="900"/>
    <s v="Wrap Bag"/>
    <n v="0.57999999999999996"/>
    <d v="2010-02-24T00:00:00"/>
    <n v="0"/>
    <n v="0"/>
    <n v="1"/>
    <n v="1"/>
  </r>
  <r>
    <n v="749"/>
    <n v="5378"/>
    <x v="1240"/>
    <x v="1"/>
    <s v="Critical"/>
    <n v="6"/>
    <n v="54.28"/>
    <n v="0.01"/>
    <s v="Express Air"/>
    <n v="-11.98"/>
    <n v="6.24"/>
    <n v="5.22"/>
    <x v="691"/>
    <x v="9"/>
    <x v="2"/>
    <x v="2"/>
    <x v="2"/>
    <x v="4"/>
    <x v="864"/>
    <s v="Small Box"/>
    <n v="0.6"/>
    <d v="2012-10-26T00:00:00"/>
    <n v="0"/>
    <n v="0"/>
    <n v="1"/>
    <n v="1"/>
  </r>
  <r>
    <n v="808"/>
    <n v="5828"/>
    <x v="326"/>
    <x v="28"/>
    <s v="Low"/>
    <n v="21"/>
    <n v="6005.21"/>
    <n v="0.08"/>
    <s v="Delivery Truck"/>
    <n v="-450.7"/>
    <n v="296.18"/>
    <n v="54.12"/>
    <x v="101"/>
    <x v="9"/>
    <x v="2"/>
    <x v="3"/>
    <x v="2"/>
    <x v="10"/>
    <x v="300"/>
    <s v="Jumbo Box"/>
    <n v="0.76"/>
    <d v="2009-03-12T00:00:00"/>
    <n v="0"/>
    <n v="0"/>
    <n v="1"/>
    <n v="1"/>
  </r>
  <r>
    <n v="876"/>
    <n v="6279"/>
    <x v="1166"/>
    <x v="38"/>
    <s v="Critical"/>
    <n v="49"/>
    <n v="3283.74"/>
    <n v="0.01"/>
    <s v="Regular Air"/>
    <n v="723.33300000000008"/>
    <n v="67.28"/>
    <n v="19.989999999999998"/>
    <x v="395"/>
    <x v="9"/>
    <x v="2"/>
    <x v="1"/>
    <x v="0"/>
    <x v="2"/>
    <x v="490"/>
    <s v="Small Box"/>
    <n v="0.4"/>
    <d v="2010-01-31T00:00:00"/>
    <n v="1"/>
    <n v="0"/>
    <n v="1"/>
    <n v="1"/>
  </r>
  <r>
    <n v="1000"/>
    <n v="7267"/>
    <x v="110"/>
    <x v="9"/>
    <s v="High"/>
    <n v="19"/>
    <n v="262.32"/>
    <n v="7.0000000000000007E-2"/>
    <s v="Regular Air"/>
    <n v="5.1595000000000004"/>
    <n v="14.48"/>
    <n v="6.46"/>
    <x v="369"/>
    <x v="9"/>
    <x v="2"/>
    <x v="1"/>
    <x v="0"/>
    <x v="2"/>
    <x v="637"/>
    <s v="Small Box"/>
    <n v="0.38"/>
    <d v="2012-08-28T00:00:00"/>
    <n v="0"/>
    <n v="0"/>
    <n v="1"/>
    <n v="1"/>
  </r>
  <r>
    <n v="1001"/>
    <n v="7269"/>
    <x v="940"/>
    <x v="35"/>
    <s v="Medium"/>
    <n v="29"/>
    <n v="1707.99"/>
    <n v="0"/>
    <s v="Regular Air"/>
    <n v="391.185"/>
    <n v="65.989999999999995"/>
    <n v="3.99"/>
    <x v="369"/>
    <x v="9"/>
    <x v="2"/>
    <x v="1"/>
    <x v="1"/>
    <x v="3"/>
    <x v="440"/>
    <s v="Small Box"/>
    <n v="0.59"/>
    <d v="2009-09-15T00:00:00"/>
    <n v="0"/>
    <n v="0"/>
    <n v="1"/>
    <n v="1"/>
  </r>
  <r>
    <n v="1031"/>
    <n v="7527"/>
    <x v="716"/>
    <x v="47"/>
    <s v="Medium"/>
    <n v="37"/>
    <n v="560.39"/>
    <n v="0.05"/>
    <s v="Regular Air"/>
    <n v="186.87"/>
    <n v="15.68"/>
    <n v="3.73"/>
    <x v="490"/>
    <x v="9"/>
    <x v="2"/>
    <x v="0"/>
    <x v="2"/>
    <x v="4"/>
    <x v="797"/>
    <s v="Small Pack"/>
    <n v="0.46"/>
    <d v="2009-12-12T00:00:00"/>
    <n v="0"/>
    <n v="0"/>
    <n v="0.5"/>
    <n v="0.5"/>
  </r>
  <r>
    <n v="1032"/>
    <n v="7527"/>
    <x v="716"/>
    <x v="47"/>
    <s v="Medium"/>
    <n v="42"/>
    <n v="7062.6159999999991"/>
    <n v="0.02"/>
    <s v="Regular Air"/>
    <n v="2288.6369999999997"/>
    <n v="195.99"/>
    <n v="4.2"/>
    <x v="490"/>
    <x v="9"/>
    <x v="2"/>
    <x v="0"/>
    <x v="1"/>
    <x v="3"/>
    <x v="781"/>
    <s v="Small Box"/>
    <n v="0.56000000000000005"/>
    <d v="2009-12-12T00:00:00"/>
    <n v="0"/>
    <n v="0"/>
    <n v="0.5"/>
    <n v="0.5"/>
  </r>
  <r>
    <n v="1170"/>
    <n v="8546"/>
    <x v="900"/>
    <x v="13"/>
    <s v="High"/>
    <n v="4"/>
    <n v="51.94"/>
    <n v="0.03"/>
    <s v="Express Air"/>
    <n v="-12.48"/>
    <n v="10.01"/>
    <n v="1.99"/>
    <x v="490"/>
    <x v="9"/>
    <x v="2"/>
    <x v="0"/>
    <x v="1"/>
    <x v="7"/>
    <x v="319"/>
    <s v="Small Pack"/>
    <n v="0.41"/>
    <d v="2012-04-03T00:00:00"/>
    <n v="0"/>
    <n v="0"/>
    <n v="1"/>
    <n v="1"/>
  </r>
  <r>
    <n v="1174"/>
    <n v="8578"/>
    <x v="163"/>
    <x v="31"/>
    <s v="High"/>
    <n v="40"/>
    <n v="366.87"/>
    <n v="0.1"/>
    <s v="Regular Air"/>
    <n v="-1.79"/>
    <n v="9.74"/>
    <n v="5.71"/>
    <x v="116"/>
    <x v="9"/>
    <x v="2"/>
    <x v="2"/>
    <x v="2"/>
    <x v="4"/>
    <x v="1183"/>
    <s v="Small Box"/>
    <n v="0.41"/>
    <d v="2011-09-03T00:00:00"/>
    <n v="0"/>
    <n v="0"/>
    <n v="1"/>
    <n v="0.2"/>
  </r>
  <r>
    <n v="1326"/>
    <n v="9669"/>
    <x v="336"/>
    <x v="46"/>
    <s v="Medium"/>
    <n v="18"/>
    <n v="292.11"/>
    <n v="0.04"/>
    <s v="Express Air"/>
    <n v="-91.95"/>
    <n v="15.42"/>
    <n v="10.68"/>
    <x v="691"/>
    <x v="9"/>
    <x v="2"/>
    <x v="2"/>
    <x v="0"/>
    <x v="0"/>
    <x v="1119"/>
    <s v="Small Box"/>
    <n v="0.57999999999999996"/>
    <d v="2009-04-23T00:00:00"/>
    <n v="0"/>
    <n v="0"/>
    <n v="1"/>
    <n v="1"/>
  </r>
  <r>
    <n v="1373"/>
    <n v="9952"/>
    <x v="1364"/>
    <x v="20"/>
    <s v="High"/>
    <n v="47"/>
    <n v="7890.89"/>
    <n v="0.01"/>
    <s v="Express Air"/>
    <n v="-771.09"/>
    <n v="167.27"/>
    <n v="35"/>
    <x v="453"/>
    <x v="9"/>
    <x v="2"/>
    <x v="3"/>
    <x v="0"/>
    <x v="0"/>
    <x v="758"/>
    <s v="Large Box"/>
    <n v="0.85"/>
    <d v="2012-05-03T00:00:00"/>
    <n v="0"/>
    <n v="0"/>
    <n v="1"/>
    <n v="1"/>
  </r>
  <r>
    <n v="1474"/>
    <n v="10630"/>
    <x v="1311"/>
    <x v="6"/>
    <s v="Medium"/>
    <n v="44"/>
    <n v="2773.84"/>
    <n v="0"/>
    <s v="Delivery Truck"/>
    <n v="-513.76"/>
    <n v="58.14"/>
    <n v="36.61"/>
    <x v="692"/>
    <x v="9"/>
    <x v="2"/>
    <x v="2"/>
    <x v="2"/>
    <x v="9"/>
    <x v="126"/>
    <s v="Jumbo Box"/>
    <n v="0.61"/>
    <d v="2010-02-06T00:00:00"/>
    <n v="0"/>
    <n v="0"/>
    <n v="1"/>
    <n v="0.2"/>
  </r>
  <r>
    <n v="1475"/>
    <n v="10657"/>
    <x v="307"/>
    <x v="18"/>
    <s v="Medium"/>
    <n v="44"/>
    <n v="289.94"/>
    <n v="7.0000000000000007E-2"/>
    <s v="Regular Air"/>
    <n v="-102.19"/>
    <n v="6.48"/>
    <n v="6.22"/>
    <x v="689"/>
    <x v="9"/>
    <x v="2"/>
    <x v="1"/>
    <x v="0"/>
    <x v="5"/>
    <x v="731"/>
    <s v="Small Box"/>
    <n v="0.37"/>
    <d v="2010-09-27T00:00:00"/>
    <n v="0"/>
    <n v="0"/>
    <n v="0.5"/>
    <n v="0.5"/>
  </r>
  <r>
    <n v="1476"/>
    <n v="10657"/>
    <x v="307"/>
    <x v="18"/>
    <s v="Medium"/>
    <n v="8"/>
    <n v="1848.52"/>
    <n v="0.05"/>
    <s v="Delivery Truck"/>
    <n v="-493.6"/>
    <n v="218.75"/>
    <n v="69.64"/>
    <x v="689"/>
    <x v="9"/>
    <x v="2"/>
    <x v="1"/>
    <x v="2"/>
    <x v="10"/>
    <x v="146"/>
    <s v="Jumbo Box"/>
    <n v="0.77"/>
    <d v="2010-09-26T00:00:00"/>
    <n v="0"/>
    <n v="0"/>
    <n v="0.5"/>
    <n v="0.5"/>
  </r>
  <r>
    <n v="1482"/>
    <n v="10661"/>
    <x v="506"/>
    <x v="22"/>
    <s v="Not Specified"/>
    <n v="42"/>
    <n v="1312.65"/>
    <n v="7.0000000000000007E-2"/>
    <s v="Regular Air"/>
    <n v="488.31"/>
    <n v="30.98"/>
    <n v="5.76"/>
    <x v="109"/>
    <x v="9"/>
    <x v="2"/>
    <x v="1"/>
    <x v="0"/>
    <x v="5"/>
    <x v="37"/>
    <s v="Small Box"/>
    <n v="0.4"/>
    <d v="2009-01-25T00:00:00"/>
    <n v="0"/>
    <n v="1"/>
    <n v="0.5"/>
    <n v="0.5"/>
  </r>
  <r>
    <n v="1582"/>
    <n v="11427"/>
    <x v="195"/>
    <x v="7"/>
    <s v="Medium"/>
    <n v="27"/>
    <n v="58.64"/>
    <n v="0.08"/>
    <s v="Regular Air"/>
    <n v="4.55"/>
    <n v="2.21"/>
    <n v="1"/>
    <x v="490"/>
    <x v="9"/>
    <x v="2"/>
    <x v="0"/>
    <x v="0"/>
    <x v="12"/>
    <x v="1157"/>
    <s v="Wrap Bag"/>
    <n v="0.38"/>
    <d v="2010-11-25T00:00:00"/>
    <n v="0"/>
    <n v="0"/>
    <n v="0.5"/>
    <n v="0.5"/>
  </r>
  <r>
    <n v="1583"/>
    <n v="11427"/>
    <x v="195"/>
    <x v="7"/>
    <s v="Medium"/>
    <n v="20"/>
    <n v="136.06"/>
    <n v="0.04"/>
    <s v="Regular Air"/>
    <n v="-33.223500000000001"/>
    <n v="6.37"/>
    <n v="5.19"/>
    <x v="490"/>
    <x v="9"/>
    <x v="2"/>
    <x v="0"/>
    <x v="0"/>
    <x v="2"/>
    <x v="1007"/>
    <s v="Small Box"/>
    <n v="0.38"/>
    <d v="2010-11-26T00:00:00"/>
    <n v="0"/>
    <n v="0"/>
    <n v="0.5"/>
    <n v="0.5"/>
  </r>
  <r>
    <n v="1667"/>
    <n v="12037"/>
    <x v="785"/>
    <x v="4"/>
    <s v="Low"/>
    <n v="14"/>
    <n v="135.21"/>
    <n v="0.04"/>
    <s v="Regular Air"/>
    <n v="5.89"/>
    <n v="9.27"/>
    <n v="4.3899999999999997"/>
    <x v="369"/>
    <x v="9"/>
    <x v="2"/>
    <x v="1"/>
    <x v="0"/>
    <x v="5"/>
    <x v="276"/>
    <s v="Wrap Bag"/>
    <n v="0.38"/>
    <d v="2011-07-05T00:00:00"/>
    <n v="0"/>
    <n v="0"/>
    <n v="1"/>
    <n v="1"/>
  </r>
  <r>
    <n v="1701"/>
    <n v="12259"/>
    <x v="842"/>
    <x v="6"/>
    <s v="High"/>
    <n v="45"/>
    <n v="5007.6899999999996"/>
    <n v="7.0000000000000007E-2"/>
    <s v="Delivery Truck"/>
    <n v="-899.34"/>
    <n v="114.98"/>
    <n v="51.42"/>
    <x v="369"/>
    <x v="9"/>
    <x v="2"/>
    <x v="1"/>
    <x v="2"/>
    <x v="9"/>
    <x v="1053"/>
    <s v="Jumbo Box"/>
    <n v="0.65"/>
    <d v="2010-02-16T00:00:00"/>
    <n v="0"/>
    <n v="0"/>
    <n v="0.5"/>
    <n v="0.5"/>
  </r>
  <r>
    <n v="1702"/>
    <n v="12259"/>
    <x v="842"/>
    <x v="6"/>
    <s v="High"/>
    <n v="45"/>
    <n v="1379.62"/>
    <n v="0.1"/>
    <s v="Regular Air"/>
    <n v="-66.069999999999993"/>
    <n v="31.98"/>
    <n v="6.72"/>
    <x v="369"/>
    <x v="9"/>
    <x v="2"/>
    <x v="1"/>
    <x v="0"/>
    <x v="0"/>
    <x v="1190"/>
    <s v="Small Box"/>
    <n v="0.75"/>
    <d v="2010-02-15T00:00:00"/>
    <n v="0"/>
    <n v="0"/>
    <n v="0.5"/>
    <n v="0.5"/>
  </r>
  <r>
    <n v="1801"/>
    <n v="12900"/>
    <x v="314"/>
    <x v="39"/>
    <s v="High"/>
    <n v="50"/>
    <n v="627.12"/>
    <n v="0.08"/>
    <s v="Regular Air"/>
    <n v="100.04"/>
    <n v="12.64"/>
    <n v="4.9800000000000004"/>
    <x v="479"/>
    <x v="9"/>
    <x v="2"/>
    <x v="2"/>
    <x v="2"/>
    <x v="4"/>
    <x v="774"/>
    <s v="Small Pack"/>
    <n v="0.48"/>
    <d v="2010-05-04T00:00:00"/>
    <n v="0"/>
    <n v="0"/>
    <n v="0.5"/>
    <n v="0.5"/>
  </r>
  <r>
    <n v="1802"/>
    <n v="12900"/>
    <x v="314"/>
    <x v="39"/>
    <s v="High"/>
    <n v="18"/>
    <n v="4096.21"/>
    <n v="0.08"/>
    <s v="Delivery Truck"/>
    <n v="308.22000000000003"/>
    <n v="306.14"/>
    <n v="26.53"/>
    <x v="479"/>
    <x v="9"/>
    <x v="2"/>
    <x v="2"/>
    <x v="1"/>
    <x v="16"/>
    <x v="831"/>
    <s v="Jumbo Drum"/>
    <n v="0.56000000000000005"/>
    <d v="2010-05-05T00:00:00"/>
    <n v="0"/>
    <n v="0"/>
    <n v="0.5"/>
    <n v="0.5"/>
  </r>
  <r>
    <n v="1814"/>
    <n v="12999"/>
    <x v="434"/>
    <x v="24"/>
    <s v="High"/>
    <n v="31"/>
    <n v="2712.07"/>
    <n v="0.09"/>
    <s v="Regular Air"/>
    <n v="-435.56"/>
    <n v="95.43"/>
    <n v="19.989999999999998"/>
    <x v="693"/>
    <x v="9"/>
    <x v="2"/>
    <x v="1"/>
    <x v="0"/>
    <x v="0"/>
    <x v="254"/>
    <s v="Small Box"/>
    <n v="0.79"/>
    <d v="2010-04-04T00:00:00"/>
    <n v="0"/>
    <n v="0"/>
    <n v="1"/>
    <n v="1"/>
  </r>
  <r>
    <n v="1902"/>
    <n v="13632"/>
    <x v="1291"/>
    <x v="28"/>
    <s v="Medium"/>
    <n v="6"/>
    <n v="608.92999999999995"/>
    <n v="0.01"/>
    <s v="Express Air"/>
    <n v="-193.95779999999999"/>
    <n v="99.99"/>
    <n v="19.989999999999998"/>
    <x v="490"/>
    <x v="9"/>
    <x v="2"/>
    <x v="3"/>
    <x v="1"/>
    <x v="16"/>
    <x v="284"/>
    <s v="Small Box"/>
    <n v="0.52"/>
    <d v="2009-03-12T00:00:00"/>
    <n v="0"/>
    <n v="0"/>
    <n v="1"/>
    <n v="1"/>
  </r>
  <r>
    <n v="1941"/>
    <n v="13920"/>
    <x v="24"/>
    <x v="19"/>
    <s v="Critical"/>
    <n v="25"/>
    <n v="901.32"/>
    <n v="0.1"/>
    <s v="Express Air"/>
    <n v="338.01"/>
    <n v="37.94"/>
    <n v="5.08"/>
    <x v="694"/>
    <x v="9"/>
    <x v="2"/>
    <x v="3"/>
    <x v="0"/>
    <x v="5"/>
    <x v="532"/>
    <s v="Wrap Bag"/>
    <n v="0.38"/>
    <d v="2009-10-11T00:00:00"/>
    <n v="0"/>
    <n v="0"/>
    <n v="0.5"/>
    <n v="0.5"/>
  </r>
  <r>
    <n v="1942"/>
    <n v="13920"/>
    <x v="24"/>
    <x v="19"/>
    <s v="Critical"/>
    <n v="24"/>
    <n v="207.21"/>
    <n v="0.06"/>
    <s v="Regular Air"/>
    <n v="-78.64"/>
    <n v="8.57"/>
    <n v="6.14"/>
    <x v="694"/>
    <x v="9"/>
    <x v="2"/>
    <x v="3"/>
    <x v="0"/>
    <x v="15"/>
    <x v="1011"/>
    <s v="Small Pack"/>
    <n v="0.59"/>
    <d v="2009-10-10T00:00:00"/>
    <n v="0"/>
    <n v="0"/>
    <n v="0.5"/>
    <n v="0.5"/>
  </r>
  <r>
    <n v="2173"/>
    <n v="15651"/>
    <x v="720"/>
    <x v="1"/>
    <s v="Critical"/>
    <n v="40"/>
    <n v="2182.91"/>
    <n v="0.1"/>
    <s v="Express Air"/>
    <n v="549.45000000000005"/>
    <n v="60.22"/>
    <n v="3.5"/>
    <x v="302"/>
    <x v="9"/>
    <x v="2"/>
    <x v="0"/>
    <x v="0"/>
    <x v="1"/>
    <x v="477"/>
    <s v="Small Box"/>
    <n v="0.56999999999999995"/>
    <d v="2012-10-07T00:00:00"/>
    <n v="0"/>
    <n v="0"/>
    <n v="0.33333333333333331"/>
    <n v="0.33333333333333331"/>
  </r>
  <r>
    <n v="2174"/>
    <n v="15651"/>
    <x v="720"/>
    <x v="1"/>
    <s v="Critical"/>
    <n v="14"/>
    <n v="1144.3499999999999"/>
    <n v="0.05"/>
    <s v="Regular Air"/>
    <n v="-448.6"/>
    <n v="80.98"/>
    <n v="35"/>
    <x v="302"/>
    <x v="9"/>
    <x v="2"/>
    <x v="0"/>
    <x v="0"/>
    <x v="0"/>
    <x v="798"/>
    <s v="Large Box"/>
    <n v="0.83"/>
    <d v="2012-10-06T00:00:00"/>
    <n v="0"/>
    <n v="0"/>
    <n v="0.33333333333333331"/>
    <n v="0.33333333333333331"/>
  </r>
  <r>
    <n v="2175"/>
    <n v="15651"/>
    <x v="720"/>
    <x v="1"/>
    <s v="Critical"/>
    <n v="8"/>
    <n v="1496.83"/>
    <n v="7.0000000000000007E-2"/>
    <s v="Delivery Truck"/>
    <n v="-329.72"/>
    <n v="179.29"/>
    <n v="56.2"/>
    <x v="302"/>
    <x v="9"/>
    <x v="2"/>
    <x v="0"/>
    <x v="2"/>
    <x v="10"/>
    <x v="620"/>
    <s v="Jumbo Box"/>
    <n v="0.71"/>
    <d v="2012-10-06T00:00:00"/>
    <n v="0"/>
    <n v="0"/>
    <n v="0.33333333333333331"/>
    <n v="0.33333333333333331"/>
  </r>
  <r>
    <n v="2251"/>
    <n v="16197"/>
    <x v="523"/>
    <x v="1"/>
    <s v="Critical"/>
    <n v="23"/>
    <n v="218.71"/>
    <n v="0"/>
    <s v="Express Air"/>
    <n v="67.23"/>
    <n v="9.11"/>
    <n v="2.15"/>
    <x v="695"/>
    <x v="9"/>
    <x v="2"/>
    <x v="1"/>
    <x v="0"/>
    <x v="5"/>
    <x v="1024"/>
    <s v="Wrap Bag"/>
    <n v="0.4"/>
    <d v="2012-10-26T00:00:00"/>
    <n v="0"/>
    <n v="0"/>
    <n v="0.5"/>
    <n v="0.5"/>
  </r>
  <r>
    <n v="2252"/>
    <n v="16197"/>
    <x v="523"/>
    <x v="1"/>
    <s v="Critical"/>
    <n v="19"/>
    <n v="103.68"/>
    <n v="0.08"/>
    <s v="Regular Air"/>
    <n v="-58.16"/>
    <n v="5.28"/>
    <n v="5.85"/>
    <x v="695"/>
    <x v="9"/>
    <x v="2"/>
    <x v="1"/>
    <x v="0"/>
    <x v="5"/>
    <x v="1238"/>
    <s v="Small Box"/>
    <n v="0.4"/>
    <d v="2012-10-27T00:00:00"/>
    <n v="0"/>
    <n v="0"/>
    <n v="0.5"/>
    <n v="0.5"/>
  </r>
  <r>
    <n v="2325"/>
    <n v="16770"/>
    <x v="132"/>
    <x v="22"/>
    <s v="Critical"/>
    <n v="17"/>
    <n v="37.06"/>
    <n v="0.03"/>
    <s v="Regular Air"/>
    <n v="0.60999999999999943"/>
    <n v="2.1"/>
    <n v="0.7"/>
    <x v="369"/>
    <x v="9"/>
    <x v="2"/>
    <x v="1"/>
    <x v="0"/>
    <x v="12"/>
    <x v="1145"/>
    <s v="Wrap Bag"/>
    <n v="0.56999999999999995"/>
    <d v="2009-01-07T00:00:00"/>
    <n v="0"/>
    <n v="1"/>
    <n v="1"/>
    <n v="1"/>
  </r>
  <r>
    <n v="2329"/>
    <n v="16802"/>
    <x v="938"/>
    <x v="37"/>
    <s v="Medium"/>
    <n v="44"/>
    <n v="302.58999999999997"/>
    <n v="0.05"/>
    <s v="Express Air"/>
    <n v="-124.44"/>
    <n v="6.68"/>
    <n v="6.93"/>
    <x v="490"/>
    <x v="9"/>
    <x v="2"/>
    <x v="3"/>
    <x v="0"/>
    <x v="5"/>
    <x v="261"/>
    <s v="Small Box"/>
    <n v="0.37"/>
    <d v="2011-04-21T00:00:00"/>
    <n v="0"/>
    <n v="0"/>
    <n v="0.5"/>
    <n v="0.5"/>
  </r>
  <r>
    <n v="2330"/>
    <n v="16802"/>
    <x v="938"/>
    <x v="37"/>
    <s v="Medium"/>
    <n v="26"/>
    <n v="2703.45"/>
    <n v="0.01"/>
    <s v="Regular Air"/>
    <n v="-445.04"/>
    <n v="95.99"/>
    <n v="35"/>
    <x v="490"/>
    <x v="9"/>
    <x v="2"/>
    <x v="3"/>
    <x v="0"/>
    <x v="0"/>
    <x v="1029"/>
    <s v="Large Box"/>
    <m/>
    <d v="2011-04-22T00:00:00"/>
    <n v="0"/>
    <n v="0"/>
    <n v="0.5"/>
    <n v="0.5"/>
  </r>
  <r>
    <n v="2350"/>
    <n v="16961"/>
    <x v="132"/>
    <x v="22"/>
    <s v="Not Specified"/>
    <n v="27"/>
    <n v="46.86"/>
    <n v="0.06"/>
    <s v="Regular Air"/>
    <n v="-37.08"/>
    <n v="1.7"/>
    <n v="1.99"/>
    <x v="603"/>
    <x v="9"/>
    <x v="2"/>
    <x v="1"/>
    <x v="1"/>
    <x v="7"/>
    <x v="732"/>
    <s v="Small Pack"/>
    <n v="0.51"/>
    <d v="2009-01-07T00:00:00"/>
    <n v="0"/>
    <n v="1"/>
    <n v="0.5"/>
    <n v="0.5"/>
  </r>
  <r>
    <n v="2351"/>
    <n v="16961"/>
    <x v="132"/>
    <x v="22"/>
    <s v="Not Specified"/>
    <n v="34"/>
    <n v="1089.5899999999999"/>
    <n v="0.01"/>
    <s v="Regular Air"/>
    <n v="433.24"/>
    <n v="30.98"/>
    <n v="5.09"/>
    <x v="603"/>
    <x v="9"/>
    <x v="2"/>
    <x v="1"/>
    <x v="0"/>
    <x v="5"/>
    <x v="1139"/>
    <s v="Small Box"/>
    <n v="0.4"/>
    <d v="2009-01-08T00:00:00"/>
    <n v="0"/>
    <n v="1"/>
    <n v="0.5"/>
    <n v="0.5"/>
  </r>
  <r>
    <n v="2418"/>
    <n v="17543"/>
    <x v="935"/>
    <x v="20"/>
    <s v="Critical"/>
    <n v="1"/>
    <n v="15.73"/>
    <n v="0.09"/>
    <s v="Regular Air"/>
    <n v="-9.17"/>
    <n v="6.48"/>
    <n v="9.5399999999999991"/>
    <x v="603"/>
    <x v="9"/>
    <x v="2"/>
    <x v="1"/>
    <x v="0"/>
    <x v="5"/>
    <x v="390"/>
    <s v="Small Box"/>
    <n v="0.37"/>
    <d v="2012-05-25T00:00:00"/>
    <n v="0"/>
    <n v="0"/>
    <n v="0.33333333333333331"/>
    <n v="0.33333333333333331"/>
  </r>
  <r>
    <n v="2419"/>
    <n v="17543"/>
    <x v="935"/>
    <x v="20"/>
    <s v="Critical"/>
    <n v="35"/>
    <n v="1041.74"/>
    <n v="0.1"/>
    <s v="Regular Air"/>
    <n v="-51.74"/>
    <n v="30.98"/>
    <n v="17.079999999999998"/>
    <x v="603"/>
    <x v="9"/>
    <x v="2"/>
    <x v="1"/>
    <x v="0"/>
    <x v="5"/>
    <x v="385"/>
    <s v="Small Box"/>
    <n v="0.4"/>
    <d v="2012-05-27T00:00:00"/>
    <n v="0"/>
    <n v="0"/>
    <n v="0.33333333333333331"/>
    <n v="0.33333333333333331"/>
  </r>
  <r>
    <n v="2420"/>
    <n v="17543"/>
    <x v="935"/>
    <x v="20"/>
    <s v="Critical"/>
    <n v="26"/>
    <n v="4300.6260000000002"/>
    <n v="0.06"/>
    <s v="Regular Air"/>
    <n v="685.20600000000002"/>
    <n v="200.99"/>
    <n v="8.08"/>
    <x v="603"/>
    <x v="9"/>
    <x v="2"/>
    <x v="1"/>
    <x v="1"/>
    <x v="3"/>
    <x v="103"/>
    <s v="Small Box"/>
    <n v="0.59"/>
    <d v="2012-05-27T00:00:00"/>
    <n v="0"/>
    <n v="0"/>
    <n v="0.33333333333333331"/>
    <n v="0.33333333333333331"/>
  </r>
  <r>
    <n v="2482"/>
    <n v="18055"/>
    <x v="1311"/>
    <x v="6"/>
    <s v="Critical"/>
    <n v="3"/>
    <n v="19.98"/>
    <n v="0.02"/>
    <s v="Regular Air"/>
    <n v="-9.61"/>
    <n v="4.9800000000000004"/>
    <n v="4.75"/>
    <x v="613"/>
    <x v="9"/>
    <x v="2"/>
    <x v="2"/>
    <x v="0"/>
    <x v="5"/>
    <x v="61"/>
    <s v="Small Box"/>
    <n v="0.36"/>
    <d v="2010-02-06T00:00:00"/>
    <n v="0"/>
    <n v="0"/>
    <n v="1"/>
    <n v="1"/>
  </r>
  <r>
    <n v="2840"/>
    <n v="20480"/>
    <x v="784"/>
    <x v="22"/>
    <s v="Medium"/>
    <n v="38"/>
    <n v="16147.61"/>
    <n v="0.02"/>
    <s v="Regular Air"/>
    <n v="7604.95"/>
    <n v="420.98"/>
    <n v="19.989999999999998"/>
    <x v="211"/>
    <x v="9"/>
    <x v="2"/>
    <x v="2"/>
    <x v="0"/>
    <x v="2"/>
    <x v="461"/>
    <s v="Small Box"/>
    <n v="0.35"/>
    <d v="2009-02-01T00:00:00"/>
    <n v="0"/>
    <n v="1"/>
    <n v="0.5"/>
    <n v="0.5"/>
  </r>
  <r>
    <n v="2844"/>
    <n v="20484"/>
    <x v="784"/>
    <x v="22"/>
    <s v="Critical"/>
    <n v="14"/>
    <n v="1122.6375"/>
    <n v="0.09"/>
    <s v="Regular Air"/>
    <n v="17.676000000000002"/>
    <n v="95.99"/>
    <n v="4.9000000000000004"/>
    <x v="695"/>
    <x v="9"/>
    <x v="2"/>
    <x v="1"/>
    <x v="1"/>
    <x v="3"/>
    <x v="936"/>
    <s v="Small Box"/>
    <n v="0.56000000000000005"/>
    <d v="2009-01-31T00:00:00"/>
    <n v="0"/>
    <n v="1"/>
    <n v="1"/>
    <n v="1"/>
  </r>
  <r>
    <n v="2857"/>
    <n v="20579"/>
    <x v="1"/>
    <x v="1"/>
    <s v="Medium"/>
    <n v="16"/>
    <n v="1434.086"/>
    <n v="0.1"/>
    <s v="Regular Air"/>
    <n v="-26.245999999999999"/>
    <n v="110.99"/>
    <n v="8.99"/>
    <x v="688"/>
    <x v="9"/>
    <x v="2"/>
    <x v="0"/>
    <x v="1"/>
    <x v="3"/>
    <x v="425"/>
    <s v="Small Box"/>
    <n v="0.56999999999999995"/>
    <d v="2012-10-04T00:00:00"/>
    <n v="0"/>
    <n v="0"/>
    <n v="1"/>
    <n v="1"/>
  </r>
  <r>
    <n v="2899"/>
    <n v="20933"/>
    <x v="1269"/>
    <x v="9"/>
    <s v="High"/>
    <n v="45"/>
    <n v="2079.4740000000002"/>
    <n v="0.05"/>
    <s v="Regular Air"/>
    <n v="-81.564999999999998"/>
    <n v="55.99"/>
    <n v="5"/>
    <x v="250"/>
    <x v="9"/>
    <x v="2"/>
    <x v="2"/>
    <x v="1"/>
    <x v="3"/>
    <x v="159"/>
    <s v="Small Pack"/>
    <n v="0.8"/>
    <d v="2012-08-28T00:00:00"/>
    <n v="0"/>
    <n v="0"/>
    <n v="1"/>
    <n v="1"/>
  </r>
  <r>
    <n v="2922"/>
    <n v="21155"/>
    <x v="735"/>
    <x v="44"/>
    <s v="High"/>
    <n v="4"/>
    <n v="81.78"/>
    <n v="7.0000000000000007E-2"/>
    <s v="Regular Air"/>
    <n v="-12.43"/>
    <n v="19.98"/>
    <n v="5.97"/>
    <x v="369"/>
    <x v="9"/>
    <x v="2"/>
    <x v="1"/>
    <x v="0"/>
    <x v="5"/>
    <x v="71"/>
    <s v="Small Box"/>
    <n v="0.38"/>
    <d v="2011-02-06T00:00:00"/>
    <n v="0"/>
    <n v="0"/>
    <n v="1"/>
    <n v="1"/>
  </r>
  <r>
    <n v="3017"/>
    <n v="21703"/>
    <x v="229"/>
    <x v="28"/>
    <s v="Not Specified"/>
    <n v="3"/>
    <n v="12.01"/>
    <n v="0"/>
    <s v="Regular Air"/>
    <n v="-1.08"/>
    <n v="3.69"/>
    <n v="0.5"/>
    <x v="250"/>
    <x v="9"/>
    <x v="2"/>
    <x v="0"/>
    <x v="0"/>
    <x v="11"/>
    <x v="1045"/>
    <s v="Small Box"/>
    <n v="0.38"/>
    <d v="2009-03-04T00:00:00"/>
    <n v="0"/>
    <n v="0"/>
    <n v="0.33333333333333331"/>
    <n v="0.33333333333333331"/>
  </r>
  <r>
    <n v="3018"/>
    <n v="21703"/>
    <x v="229"/>
    <x v="28"/>
    <s v="Not Specified"/>
    <n v="20"/>
    <n v="1846.76"/>
    <n v="0.03"/>
    <s v="Regular Air"/>
    <n v="3.1400000000000432"/>
    <n v="92.23"/>
    <n v="39.61"/>
    <x v="250"/>
    <x v="9"/>
    <x v="2"/>
    <x v="0"/>
    <x v="2"/>
    <x v="4"/>
    <x v="54"/>
    <s v="Medium Box"/>
    <n v="0.67"/>
    <d v="2009-03-04T00:00:00"/>
    <n v="0"/>
    <n v="0"/>
    <n v="0.33333333333333331"/>
    <n v="0.33333333333333331"/>
  </r>
  <r>
    <n v="3019"/>
    <n v="21703"/>
    <x v="229"/>
    <x v="28"/>
    <s v="Not Specified"/>
    <n v="15"/>
    <n v="2211.7339999999999"/>
    <n v="0.02"/>
    <s v="Express Air"/>
    <n v="80.757000000000005"/>
    <n v="175.99"/>
    <n v="4.99"/>
    <x v="250"/>
    <x v="9"/>
    <x v="2"/>
    <x v="0"/>
    <x v="1"/>
    <x v="3"/>
    <x v="602"/>
    <s v="Small Box"/>
    <n v="0.59"/>
    <d v="2009-03-02T00:00:00"/>
    <n v="0"/>
    <n v="0"/>
    <n v="0.33333333333333331"/>
    <n v="0.33333333333333331"/>
  </r>
  <r>
    <n v="3022"/>
    <n v="21731"/>
    <x v="992"/>
    <x v="27"/>
    <s v="Low"/>
    <n v="26"/>
    <n v="1580.57"/>
    <n v="0.08"/>
    <s v="Regular Air"/>
    <n v="-750.82"/>
    <n v="60.98"/>
    <n v="49"/>
    <x v="211"/>
    <x v="9"/>
    <x v="2"/>
    <x v="2"/>
    <x v="0"/>
    <x v="1"/>
    <x v="347"/>
    <s v="Large Box"/>
    <n v="0.59"/>
    <d v="2011-11-26T00:00:00"/>
    <n v="0"/>
    <n v="0"/>
    <n v="1"/>
    <n v="1"/>
  </r>
  <r>
    <n v="3036"/>
    <n v="21799"/>
    <x v="792"/>
    <x v="37"/>
    <s v="Not Specified"/>
    <n v="42"/>
    <n v="115.99"/>
    <n v="0.05"/>
    <s v="Express Air"/>
    <n v="-53.35"/>
    <n v="2.6"/>
    <n v="2.4"/>
    <x v="690"/>
    <x v="9"/>
    <x v="2"/>
    <x v="2"/>
    <x v="0"/>
    <x v="12"/>
    <x v="269"/>
    <s v="Wrap Bag"/>
    <n v="0.57999999999999996"/>
    <d v="2011-04-20T00:00:00"/>
    <n v="0"/>
    <n v="0"/>
    <n v="1"/>
    <n v="0.33333333333333331"/>
  </r>
  <r>
    <n v="3066"/>
    <n v="21985"/>
    <x v="170"/>
    <x v="26"/>
    <s v="Critical"/>
    <n v="1"/>
    <n v="255.83"/>
    <n v="7.0000000000000007E-2"/>
    <s v="Delivery Truck"/>
    <n v="-132.74"/>
    <n v="226.67"/>
    <n v="28.16"/>
    <x v="690"/>
    <x v="9"/>
    <x v="2"/>
    <x v="2"/>
    <x v="2"/>
    <x v="14"/>
    <x v="108"/>
    <s v="Jumbo Drum"/>
    <n v="0.59"/>
    <d v="2009-08-27T00:00:00"/>
    <n v="0"/>
    <n v="0"/>
    <n v="0.5"/>
    <n v="0.5"/>
  </r>
  <r>
    <n v="3067"/>
    <n v="21985"/>
    <x v="170"/>
    <x v="26"/>
    <s v="Critical"/>
    <n v="45"/>
    <n v="947.66"/>
    <n v="0.08"/>
    <s v="Delivery Truck"/>
    <n v="-2175.09"/>
    <n v="20.98"/>
    <n v="53.03"/>
    <x v="690"/>
    <x v="9"/>
    <x v="2"/>
    <x v="2"/>
    <x v="0"/>
    <x v="0"/>
    <x v="111"/>
    <s v="Jumbo Drum"/>
    <n v="0.78"/>
    <d v="2009-08-28T00:00:00"/>
    <n v="0"/>
    <n v="0"/>
    <n v="0.5"/>
    <n v="0.5"/>
  </r>
  <r>
    <n v="3098"/>
    <n v="22210"/>
    <x v="1135"/>
    <x v="31"/>
    <s v="Critical"/>
    <n v="37"/>
    <n v="1033.44"/>
    <n v="0.1"/>
    <s v="Regular Air"/>
    <n v="385.63"/>
    <n v="29.14"/>
    <n v="4.8600000000000003"/>
    <x v="603"/>
    <x v="9"/>
    <x v="2"/>
    <x v="2"/>
    <x v="0"/>
    <x v="5"/>
    <x v="273"/>
    <s v="Wrap Bag"/>
    <n v="0.38"/>
    <d v="2011-09-21T00:00:00"/>
    <n v="0"/>
    <n v="0"/>
    <n v="1"/>
    <n v="1"/>
  </r>
  <r>
    <n v="3153"/>
    <n v="22628"/>
    <x v="1114"/>
    <x v="19"/>
    <s v="Medium"/>
    <n v="30"/>
    <n v="2951.7"/>
    <n v="0.02"/>
    <s v="Delivery Truck"/>
    <n v="-1111.45"/>
    <n v="95.95"/>
    <n v="74.349999999999994"/>
    <x v="690"/>
    <x v="9"/>
    <x v="2"/>
    <x v="2"/>
    <x v="2"/>
    <x v="14"/>
    <x v="34"/>
    <s v="Jumbo Drum"/>
    <n v="0.56999999999999995"/>
    <d v="2009-11-01T00:00:00"/>
    <n v="0"/>
    <n v="0"/>
    <n v="1"/>
    <n v="1"/>
  </r>
  <r>
    <n v="3220"/>
    <n v="23106"/>
    <x v="192"/>
    <x v="0"/>
    <s v="Medium"/>
    <n v="35"/>
    <n v="25313.34"/>
    <n v="0.05"/>
    <s v="Delivery Truck"/>
    <n v="8612.11"/>
    <n v="810.98"/>
    <n v="16.059999999999999"/>
    <x v="211"/>
    <x v="9"/>
    <x v="2"/>
    <x v="2"/>
    <x v="1"/>
    <x v="16"/>
    <x v="960"/>
    <s v="Jumbo Drum"/>
    <n v="0.56000000000000005"/>
    <d v="2010-10-22T00:00:00"/>
    <n v="0"/>
    <n v="0"/>
    <n v="1"/>
    <n v="1"/>
  </r>
  <r>
    <n v="3262"/>
    <n v="23360"/>
    <x v="1051"/>
    <x v="43"/>
    <s v="Low"/>
    <n v="30"/>
    <n v="512.97"/>
    <n v="0.01"/>
    <s v="Express Air"/>
    <n v="261.29000000000002"/>
    <n v="15.67"/>
    <n v="1.39"/>
    <x v="109"/>
    <x v="9"/>
    <x v="2"/>
    <x v="1"/>
    <x v="0"/>
    <x v="8"/>
    <x v="68"/>
    <s v="Small Box"/>
    <n v="0.38"/>
    <d v="2009-05-11T00:00:00"/>
    <n v="0"/>
    <n v="0"/>
    <n v="1"/>
    <n v="1"/>
  </r>
  <r>
    <n v="3331"/>
    <n v="23809"/>
    <x v="1251"/>
    <x v="8"/>
    <s v="Not Specified"/>
    <n v="7"/>
    <n v="86.61"/>
    <n v="0.1"/>
    <s v="Regular Air"/>
    <n v="15.691000000000001"/>
    <n v="12.97"/>
    <n v="1.49"/>
    <x v="490"/>
    <x v="9"/>
    <x v="2"/>
    <x v="3"/>
    <x v="0"/>
    <x v="2"/>
    <x v="941"/>
    <s v="Small Box"/>
    <n v="0.35"/>
    <d v="2012-06-06T00:00:00"/>
    <n v="0"/>
    <n v="0"/>
    <n v="1"/>
    <n v="1"/>
  </r>
  <r>
    <n v="3491"/>
    <n v="24870"/>
    <x v="1185"/>
    <x v="46"/>
    <s v="Low"/>
    <n v="38"/>
    <n v="1396.58"/>
    <n v="0.03"/>
    <s v="Regular Air"/>
    <n v="600.72"/>
    <n v="35.409999999999997"/>
    <n v="1.99"/>
    <x v="688"/>
    <x v="9"/>
    <x v="2"/>
    <x v="0"/>
    <x v="1"/>
    <x v="7"/>
    <x v="753"/>
    <s v="Small Pack"/>
    <n v="0.43"/>
    <d v="2009-04-26T00:00:00"/>
    <n v="0"/>
    <n v="0"/>
    <n v="0.5"/>
    <n v="0.5"/>
  </r>
  <r>
    <n v="3492"/>
    <n v="24870"/>
    <x v="1185"/>
    <x v="46"/>
    <s v="Low"/>
    <n v="45"/>
    <n v="6448.69"/>
    <n v="0"/>
    <s v="Regular Air"/>
    <n v="1663.35"/>
    <n v="142.86000000000001"/>
    <n v="19.989999999999998"/>
    <x v="688"/>
    <x v="9"/>
    <x v="2"/>
    <x v="0"/>
    <x v="0"/>
    <x v="0"/>
    <x v="690"/>
    <s v="Small Box"/>
    <n v="0.56000000000000005"/>
    <d v="2009-05-03T00:00:00"/>
    <n v="0"/>
    <n v="0"/>
    <n v="0.5"/>
    <n v="0.5"/>
  </r>
  <r>
    <n v="3606"/>
    <n v="25793"/>
    <x v="241"/>
    <x v="13"/>
    <s v="Low"/>
    <n v="27"/>
    <n v="3436.7710000000002"/>
    <n v="0.04"/>
    <s v="Regular Air"/>
    <n v="520.00199999999995"/>
    <n v="155.99"/>
    <n v="8.99"/>
    <x v="689"/>
    <x v="9"/>
    <x v="2"/>
    <x v="1"/>
    <x v="1"/>
    <x v="3"/>
    <x v="19"/>
    <s v="Small Box"/>
    <n v="0.57999999999999996"/>
    <d v="2012-04-09T00:00:00"/>
    <n v="0"/>
    <n v="0"/>
    <n v="1"/>
    <n v="1"/>
  </r>
  <r>
    <n v="3724"/>
    <n v="26629"/>
    <x v="1365"/>
    <x v="36"/>
    <s v="High"/>
    <n v="38"/>
    <n v="21956.03"/>
    <n v="0.1"/>
    <s v="Regular Air"/>
    <n v="5903.0860000000002"/>
    <n v="599.99"/>
    <n v="24.49"/>
    <x v="369"/>
    <x v="9"/>
    <x v="2"/>
    <x v="1"/>
    <x v="1"/>
    <x v="13"/>
    <x v="984"/>
    <s v="Large Box"/>
    <n v="0.5"/>
    <d v="2009-07-11T00:00:00"/>
    <n v="0"/>
    <n v="0"/>
    <n v="0.5"/>
    <n v="0.5"/>
  </r>
  <r>
    <n v="3725"/>
    <n v="26629"/>
    <x v="1365"/>
    <x v="36"/>
    <s v="High"/>
    <n v="32"/>
    <n v="89.89"/>
    <n v="0.06"/>
    <s v="Regular Air"/>
    <n v="-8.16"/>
    <n v="2.78"/>
    <n v="1.25"/>
    <x v="369"/>
    <x v="9"/>
    <x v="2"/>
    <x v="1"/>
    <x v="0"/>
    <x v="12"/>
    <x v="365"/>
    <s v="Wrap Bag"/>
    <n v="0.59"/>
    <d v="2009-07-12T00:00:00"/>
    <n v="0"/>
    <n v="0"/>
    <n v="0.5"/>
    <n v="0.5"/>
  </r>
  <r>
    <n v="3909"/>
    <n v="27875"/>
    <x v="563"/>
    <x v="14"/>
    <s v="Low"/>
    <n v="5"/>
    <n v="64.97"/>
    <n v="0.1"/>
    <s v="Regular Air"/>
    <n v="-190.3"/>
    <n v="3.48"/>
    <n v="49"/>
    <x v="369"/>
    <x v="9"/>
    <x v="2"/>
    <x v="1"/>
    <x v="0"/>
    <x v="1"/>
    <x v="499"/>
    <s v="Large Box"/>
    <n v="0.59"/>
    <d v="2010-03-31T00:00:00"/>
    <n v="0"/>
    <n v="0"/>
    <n v="1"/>
    <n v="0.5"/>
  </r>
  <r>
    <n v="3911"/>
    <n v="27879"/>
    <x v="6"/>
    <x v="6"/>
    <s v="Medium"/>
    <n v="44"/>
    <n v="669.01"/>
    <n v="0.08"/>
    <s v="Regular Air"/>
    <n v="299.35000000000002"/>
    <n v="15.74"/>
    <n v="1.39"/>
    <x v="302"/>
    <x v="9"/>
    <x v="2"/>
    <x v="0"/>
    <x v="0"/>
    <x v="8"/>
    <x v="15"/>
    <s v="Small Box"/>
    <n v="0.4"/>
    <d v="2010-02-27T00:00:00"/>
    <n v="0"/>
    <n v="0"/>
    <n v="0.5"/>
    <n v="0.5"/>
  </r>
  <r>
    <n v="3912"/>
    <n v="27879"/>
    <x v="6"/>
    <x v="6"/>
    <s v="Medium"/>
    <n v="30"/>
    <n v="301.60000000000002"/>
    <n v="0.01"/>
    <s v="Express Air"/>
    <n v="-24.93"/>
    <n v="9.65"/>
    <n v="6.22"/>
    <x v="302"/>
    <x v="9"/>
    <x v="2"/>
    <x v="0"/>
    <x v="2"/>
    <x v="4"/>
    <x v="50"/>
    <s v="Small Box"/>
    <n v="0.55000000000000004"/>
    <d v="2010-02-28T00:00:00"/>
    <n v="0"/>
    <n v="0"/>
    <n v="0.5"/>
    <n v="0.5"/>
  </r>
  <r>
    <n v="3953"/>
    <n v="28198"/>
    <x v="156"/>
    <x v="12"/>
    <s v="Medium"/>
    <n v="50"/>
    <n v="7703.9664999999995"/>
    <n v="0"/>
    <s v="Regular Air"/>
    <n v="2446.4969999999998"/>
    <n v="175.99"/>
    <n v="8.99"/>
    <x v="693"/>
    <x v="9"/>
    <x v="2"/>
    <x v="1"/>
    <x v="1"/>
    <x v="3"/>
    <x v="484"/>
    <s v="Small Box"/>
    <n v="0.56999999999999995"/>
    <d v="2012-02-09T00:00:00"/>
    <n v="0"/>
    <n v="0"/>
    <n v="1"/>
    <n v="1"/>
  </r>
  <r>
    <n v="4007"/>
    <n v="28583"/>
    <x v="1176"/>
    <x v="11"/>
    <s v="Critical"/>
    <n v="25"/>
    <n v="5811.72"/>
    <n v="0.03"/>
    <s v="Regular Air"/>
    <n v="2431.5949999999998"/>
    <n v="223.98"/>
    <n v="15.01"/>
    <x v="688"/>
    <x v="9"/>
    <x v="2"/>
    <x v="0"/>
    <x v="0"/>
    <x v="2"/>
    <x v="227"/>
    <s v="Small Box"/>
    <n v="0.38"/>
    <d v="2009-11-13T00:00:00"/>
    <n v="0"/>
    <n v="0"/>
    <n v="1"/>
    <n v="1"/>
  </r>
  <r>
    <n v="4021"/>
    <n v="28738"/>
    <x v="567"/>
    <x v="9"/>
    <s v="Medium"/>
    <n v="2"/>
    <n v="23.54"/>
    <n v="0.03"/>
    <s v="Regular Air"/>
    <n v="-14.467000000000001"/>
    <n v="8.6"/>
    <n v="6.19"/>
    <x v="490"/>
    <x v="9"/>
    <x v="2"/>
    <x v="0"/>
    <x v="0"/>
    <x v="2"/>
    <x v="682"/>
    <s v="Small Box"/>
    <n v="0.38"/>
    <d v="2012-08-12T00:00:00"/>
    <n v="0"/>
    <n v="0"/>
    <n v="0.5"/>
    <n v="0.5"/>
  </r>
  <r>
    <n v="4022"/>
    <n v="28738"/>
    <x v="567"/>
    <x v="9"/>
    <s v="Medium"/>
    <n v="10"/>
    <n v="1539.83"/>
    <n v="0.08"/>
    <s v="Regular Air"/>
    <n v="34.85"/>
    <n v="165.2"/>
    <n v="19.989999999999998"/>
    <x v="490"/>
    <x v="9"/>
    <x v="2"/>
    <x v="0"/>
    <x v="0"/>
    <x v="0"/>
    <x v="1176"/>
    <s v="Small Box"/>
    <n v="0.59"/>
    <d v="2012-08-11T00:00:00"/>
    <n v="0"/>
    <n v="0"/>
    <n v="0.5"/>
    <n v="0.5"/>
  </r>
  <r>
    <n v="4083"/>
    <n v="29120"/>
    <x v="357"/>
    <x v="39"/>
    <s v="Low"/>
    <n v="43"/>
    <n v="1677.27"/>
    <n v="0.08"/>
    <s v="Regular Air"/>
    <n v="528.79349999999999"/>
    <n v="40.98"/>
    <n v="7.47"/>
    <x v="689"/>
    <x v="9"/>
    <x v="2"/>
    <x v="1"/>
    <x v="0"/>
    <x v="2"/>
    <x v="447"/>
    <s v="Small Box"/>
    <n v="0.37"/>
    <d v="2010-05-14T00:00:00"/>
    <n v="0"/>
    <n v="0"/>
    <n v="0.5"/>
    <n v="0.33333333333333331"/>
  </r>
  <r>
    <n v="4084"/>
    <n v="29120"/>
    <x v="357"/>
    <x v="39"/>
    <s v="Low"/>
    <n v="21"/>
    <n v="1556.08"/>
    <n v="0.05"/>
    <s v="Delivery Truck"/>
    <n v="-41.77"/>
    <n v="70.98"/>
    <n v="26.74"/>
    <x v="689"/>
    <x v="9"/>
    <x v="2"/>
    <x v="1"/>
    <x v="2"/>
    <x v="9"/>
    <x v="523"/>
    <s v="Jumbo Box"/>
    <n v="0.6"/>
    <d v="2010-05-17T00:00:00"/>
    <n v="0"/>
    <n v="0"/>
    <n v="0.5"/>
    <n v="0.33333333333333331"/>
  </r>
  <r>
    <n v="4157"/>
    <n v="29504"/>
    <x v="22"/>
    <x v="18"/>
    <s v="Not Specified"/>
    <n v="20"/>
    <n v="1485.06"/>
    <n v="0.04"/>
    <s v="Delivery Truck"/>
    <n v="25.32"/>
    <n v="70.98"/>
    <n v="26.85"/>
    <x v="673"/>
    <x v="9"/>
    <x v="2"/>
    <x v="0"/>
    <x v="2"/>
    <x v="9"/>
    <x v="1117"/>
    <s v="Jumbo Box"/>
    <m/>
    <d v="2010-09-25T00:00:00"/>
    <n v="0"/>
    <n v="0"/>
    <n v="0.5"/>
    <n v="0.5"/>
  </r>
  <r>
    <n v="4158"/>
    <n v="29504"/>
    <x v="22"/>
    <x v="18"/>
    <s v="Not Specified"/>
    <n v="34"/>
    <n v="1211.18"/>
    <n v="0.1"/>
    <s v="Regular Air"/>
    <n v="208.4"/>
    <n v="38.76"/>
    <n v="13.26"/>
    <x v="673"/>
    <x v="9"/>
    <x v="2"/>
    <x v="0"/>
    <x v="0"/>
    <x v="5"/>
    <x v="203"/>
    <s v="Small Box"/>
    <n v="0.36"/>
    <d v="2010-09-23T00:00:00"/>
    <n v="0"/>
    <n v="0"/>
    <n v="0.5"/>
    <n v="0.5"/>
  </r>
  <r>
    <n v="4300"/>
    <n v="30625"/>
    <x v="1119"/>
    <x v="6"/>
    <s v="Critical"/>
    <n v="37"/>
    <n v="478.94"/>
    <n v="0.04"/>
    <s v="Regular Air"/>
    <n v="10.557"/>
    <n v="12.53"/>
    <n v="7.17"/>
    <x v="692"/>
    <x v="9"/>
    <x v="2"/>
    <x v="2"/>
    <x v="0"/>
    <x v="2"/>
    <x v="1030"/>
    <s v="Small Box"/>
    <n v="0.38"/>
    <d v="2010-02-08T00:00:00"/>
    <n v="0"/>
    <n v="0"/>
    <n v="0.5"/>
    <n v="0.2"/>
  </r>
  <r>
    <n v="4301"/>
    <n v="30625"/>
    <x v="1119"/>
    <x v="6"/>
    <s v="Critical"/>
    <n v="24"/>
    <n v="2429.09"/>
    <n v="0.06"/>
    <s v="Express Air"/>
    <n v="-20.67"/>
    <n v="105.29"/>
    <n v="10.119999999999999"/>
    <x v="692"/>
    <x v="9"/>
    <x v="2"/>
    <x v="2"/>
    <x v="2"/>
    <x v="4"/>
    <x v="1064"/>
    <s v="Large Box"/>
    <n v="0.79"/>
    <d v="2010-02-10T00:00:00"/>
    <n v="0"/>
    <n v="0"/>
    <n v="0.5"/>
    <n v="0.2"/>
  </r>
  <r>
    <n v="4376"/>
    <n v="31174"/>
    <x v="1347"/>
    <x v="28"/>
    <s v="Not Specified"/>
    <n v="20"/>
    <n v="4520.6000000000004"/>
    <n v="7.0000000000000007E-2"/>
    <s v="Regular Air"/>
    <n v="1944.38"/>
    <n v="225.04"/>
    <n v="11.79"/>
    <x v="369"/>
    <x v="9"/>
    <x v="2"/>
    <x v="1"/>
    <x v="0"/>
    <x v="1"/>
    <x v="464"/>
    <s v="Medium Box"/>
    <n v="0.42"/>
    <d v="2009-03-26T00:00:00"/>
    <n v="0"/>
    <n v="0"/>
    <n v="0.5"/>
    <n v="0.5"/>
  </r>
  <r>
    <n v="4377"/>
    <n v="31174"/>
    <x v="1347"/>
    <x v="28"/>
    <s v="Not Specified"/>
    <n v="29"/>
    <n v="225.25"/>
    <n v="0.03"/>
    <s v="Regular Air"/>
    <n v="-7.59"/>
    <n v="7.84"/>
    <n v="4.71"/>
    <x v="369"/>
    <x v="9"/>
    <x v="2"/>
    <x v="1"/>
    <x v="0"/>
    <x v="2"/>
    <x v="39"/>
    <s v="Small Box"/>
    <n v="0.35"/>
    <d v="2009-03-29T00:00:00"/>
    <n v="0"/>
    <n v="0"/>
    <n v="0.5"/>
    <n v="0.5"/>
  </r>
  <r>
    <n v="4397"/>
    <n v="31302"/>
    <x v="1277"/>
    <x v="9"/>
    <s v="High"/>
    <n v="41"/>
    <n v="4648.6400000000003"/>
    <n v="0.04"/>
    <s v="Regular Air"/>
    <n v="1777.67"/>
    <n v="115.79"/>
    <n v="1.99"/>
    <x v="688"/>
    <x v="9"/>
    <x v="2"/>
    <x v="0"/>
    <x v="1"/>
    <x v="7"/>
    <x v="799"/>
    <s v="Small Pack"/>
    <n v="0.49"/>
    <d v="2012-08-03T00:00:00"/>
    <n v="0"/>
    <n v="0"/>
    <n v="1"/>
    <n v="1"/>
  </r>
  <r>
    <n v="4490"/>
    <n v="31973"/>
    <x v="1275"/>
    <x v="10"/>
    <s v="Not Specified"/>
    <n v="15"/>
    <n v="404.54"/>
    <n v="0.03"/>
    <s v="Regular Air"/>
    <n v="43.99"/>
    <n v="26.64"/>
    <n v="5.3"/>
    <x v="673"/>
    <x v="9"/>
    <x v="2"/>
    <x v="0"/>
    <x v="2"/>
    <x v="14"/>
    <x v="1005"/>
    <s v="Medium Box"/>
    <m/>
    <d v="2011-05-13T00:00:00"/>
    <n v="0"/>
    <n v="0"/>
    <n v="0.5"/>
    <n v="0.5"/>
  </r>
  <r>
    <n v="4491"/>
    <n v="31973"/>
    <x v="1275"/>
    <x v="10"/>
    <s v="Not Specified"/>
    <n v="16"/>
    <n v="124.89"/>
    <n v="7.0000000000000007E-2"/>
    <s v="Regular Air"/>
    <n v="-111.17"/>
    <n v="7.28"/>
    <n v="11.15"/>
    <x v="673"/>
    <x v="9"/>
    <x v="2"/>
    <x v="0"/>
    <x v="0"/>
    <x v="5"/>
    <x v="517"/>
    <s v="Small Box"/>
    <n v="0.37"/>
    <d v="2011-05-14T00:00:00"/>
    <n v="0"/>
    <n v="0"/>
    <n v="0.5"/>
    <n v="0.5"/>
  </r>
  <r>
    <n v="4511"/>
    <n v="32101"/>
    <x v="991"/>
    <x v="47"/>
    <s v="Low"/>
    <n v="48"/>
    <n v="14567.15"/>
    <n v="0.04"/>
    <s v="Delivery Truck"/>
    <n v="3799.59"/>
    <n v="291.73"/>
    <n v="48.8"/>
    <x v="211"/>
    <x v="9"/>
    <x v="2"/>
    <x v="2"/>
    <x v="2"/>
    <x v="14"/>
    <x v="250"/>
    <s v="Jumbo Drum"/>
    <n v="0.56000000000000005"/>
    <d v="2009-12-30T00:00:00"/>
    <n v="0"/>
    <n v="0"/>
    <n v="1"/>
    <n v="1"/>
  </r>
  <r>
    <n v="4625"/>
    <n v="32929"/>
    <x v="1242"/>
    <x v="10"/>
    <s v="Low"/>
    <n v="8"/>
    <n v="44.56"/>
    <n v="0.05"/>
    <s v="Regular Air"/>
    <n v="4.8099999999999996"/>
    <n v="5.68"/>
    <n v="1.39"/>
    <x v="211"/>
    <x v="9"/>
    <x v="2"/>
    <x v="2"/>
    <x v="0"/>
    <x v="8"/>
    <x v="474"/>
    <s v="Small Box"/>
    <n v="0.38"/>
    <d v="2011-05-06T00:00:00"/>
    <n v="0"/>
    <n v="0"/>
    <n v="0.5"/>
    <n v="0.5"/>
  </r>
  <r>
    <n v="4626"/>
    <n v="32929"/>
    <x v="1242"/>
    <x v="10"/>
    <s v="Low"/>
    <n v="13"/>
    <n v="152.13999999999999"/>
    <n v="0.09"/>
    <s v="Regular Air"/>
    <n v="-26.87"/>
    <n v="12.21"/>
    <n v="4.8099999999999996"/>
    <x v="211"/>
    <x v="9"/>
    <x v="2"/>
    <x v="2"/>
    <x v="0"/>
    <x v="0"/>
    <x v="272"/>
    <s v="Small Box"/>
    <n v="0.57999999999999996"/>
    <d v="2011-05-07T00:00:00"/>
    <n v="0"/>
    <n v="0"/>
    <n v="0.5"/>
    <n v="0.5"/>
  </r>
  <r>
    <n v="4690"/>
    <n v="33414"/>
    <x v="403"/>
    <x v="12"/>
    <s v="Not Specified"/>
    <n v="9"/>
    <n v="37.22"/>
    <n v="0.03"/>
    <s v="Regular Air"/>
    <n v="-2.76"/>
    <n v="4.13"/>
    <n v="1.17"/>
    <x v="687"/>
    <x v="9"/>
    <x v="2"/>
    <x v="0"/>
    <x v="0"/>
    <x v="12"/>
    <x v="1041"/>
    <s v="Wrap Bag"/>
    <n v="0.56999999999999995"/>
    <d v="2012-02-10T00:00:00"/>
    <n v="0"/>
    <n v="0"/>
    <n v="1"/>
    <n v="0.5"/>
  </r>
  <r>
    <n v="4860"/>
    <n v="34596"/>
    <x v="31"/>
    <x v="21"/>
    <s v="Critical"/>
    <n v="39"/>
    <n v="302.08999999999997"/>
    <n v="0.05"/>
    <s v="Regular Air"/>
    <n v="-67.091000000000008"/>
    <n v="7.68"/>
    <n v="6.16"/>
    <x v="689"/>
    <x v="9"/>
    <x v="2"/>
    <x v="1"/>
    <x v="0"/>
    <x v="2"/>
    <x v="669"/>
    <s v="Small Box"/>
    <n v="0.35"/>
    <d v="2011-09-01T00:00:00"/>
    <n v="0"/>
    <n v="0"/>
    <n v="1"/>
    <n v="1"/>
  </r>
  <r>
    <n v="4984"/>
    <n v="35457"/>
    <x v="565"/>
    <x v="47"/>
    <s v="Low"/>
    <n v="45"/>
    <n v="3286.27"/>
    <n v="0.02"/>
    <s v="Regular Air"/>
    <n v="1102.58"/>
    <n v="70.97"/>
    <n v="3.5"/>
    <x v="693"/>
    <x v="9"/>
    <x v="2"/>
    <x v="1"/>
    <x v="0"/>
    <x v="1"/>
    <x v="1023"/>
    <s v="Small Box"/>
    <n v="0.59"/>
    <d v="2009-12-14T00:00:00"/>
    <n v="0"/>
    <n v="0"/>
    <n v="1"/>
    <n v="1"/>
  </r>
  <r>
    <n v="5046"/>
    <n v="35940"/>
    <x v="1305"/>
    <x v="39"/>
    <s v="Critical"/>
    <n v="47"/>
    <n v="136.63"/>
    <n v="0.03"/>
    <s v="Regular Air"/>
    <n v="-162.61000000000001"/>
    <n v="2.88"/>
    <n v="5.33"/>
    <x v="689"/>
    <x v="9"/>
    <x v="2"/>
    <x v="1"/>
    <x v="0"/>
    <x v="11"/>
    <x v="1094"/>
    <s v="Small Box"/>
    <n v="0.36"/>
    <d v="2010-05-30T00:00:00"/>
    <n v="0"/>
    <n v="0"/>
    <n v="1"/>
    <n v="0.33333333333333331"/>
  </r>
  <r>
    <n v="5115"/>
    <n v="36449"/>
    <x v="749"/>
    <x v="18"/>
    <s v="Not Specified"/>
    <n v="43"/>
    <n v="927.82"/>
    <n v="0.02"/>
    <s v="Regular Air"/>
    <n v="255.03"/>
    <n v="20.239999999999998"/>
    <n v="6.67"/>
    <x v="193"/>
    <x v="9"/>
    <x v="2"/>
    <x v="2"/>
    <x v="2"/>
    <x v="4"/>
    <x v="302"/>
    <s v="Small Pack"/>
    <n v="0.49"/>
    <d v="2010-09-07T00:00:00"/>
    <n v="0"/>
    <n v="0"/>
    <n v="0.33333333333333331"/>
    <n v="0.33333333333333331"/>
  </r>
  <r>
    <n v="5116"/>
    <n v="36449"/>
    <x v="749"/>
    <x v="18"/>
    <s v="Not Specified"/>
    <n v="27"/>
    <n v="123.37"/>
    <n v="0.09"/>
    <s v="Regular Air"/>
    <n v="-6.69"/>
    <n v="4.71"/>
    <n v="0.7"/>
    <x v="193"/>
    <x v="9"/>
    <x v="2"/>
    <x v="2"/>
    <x v="0"/>
    <x v="6"/>
    <x v="21"/>
    <s v="Wrap Bag"/>
    <n v="0.8"/>
    <d v="2010-09-08T00:00:00"/>
    <n v="0"/>
    <n v="0"/>
    <n v="0.33333333333333331"/>
    <n v="0.33333333333333331"/>
  </r>
  <r>
    <n v="5242"/>
    <n v="37313"/>
    <x v="770"/>
    <x v="29"/>
    <s v="Not Specified"/>
    <n v="44"/>
    <n v="3304.38"/>
    <n v="0"/>
    <s v="Regular Air"/>
    <n v="-634.49"/>
    <n v="70.709999999999994"/>
    <n v="37.58"/>
    <x v="211"/>
    <x v="9"/>
    <x v="2"/>
    <x v="2"/>
    <x v="2"/>
    <x v="4"/>
    <x v="563"/>
    <s v="Wrap Bag"/>
    <n v="0.78"/>
    <d v="2012-07-03T00:00:00"/>
    <n v="0"/>
    <n v="0"/>
    <n v="0.5"/>
    <n v="0.5"/>
  </r>
  <r>
    <n v="5243"/>
    <n v="37313"/>
    <x v="770"/>
    <x v="29"/>
    <s v="Not Specified"/>
    <n v="17"/>
    <n v="908.41200000000003"/>
    <n v="7.0000000000000007E-2"/>
    <s v="Express Air"/>
    <n v="-71.191999999999993"/>
    <n v="65.989999999999995"/>
    <n v="8.99"/>
    <x v="211"/>
    <x v="9"/>
    <x v="2"/>
    <x v="2"/>
    <x v="1"/>
    <x v="3"/>
    <x v="451"/>
    <s v="Small Box"/>
    <n v="0.57999999999999996"/>
    <d v="2012-07-04T00:00:00"/>
    <n v="0"/>
    <n v="0"/>
    <n v="0.5"/>
    <n v="0.5"/>
  </r>
  <r>
    <n v="5249"/>
    <n v="37348"/>
    <x v="848"/>
    <x v="41"/>
    <s v="High"/>
    <n v="33"/>
    <n v="551.66999999999996"/>
    <n v="0.08"/>
    <s v="Regular Air"/>
    <n v="25.44"/>
    <n v="17.149999999999999"/>
    <n v="4.96"/>
    <x v="453"/>
    <x v="9"/>
    <x v="2"/>
    <x v="3"/>
    <x v="0"/>
    <x v="0"/>
    <x v="1118"/>
    <s v="Small Box"/>
    <n v="0.57999999999999996"/>
    <d v="2009-06-16T00:00:00"/>
    <n v="0"/>
    <n v="0"/>
    <n v="1"/>
    <n v="1"/>
  </r>
  <r>
    <n v="5271"/>
    <n v="37510"/>
    <x v="815"/>
    <x v="28"/>
    <s v="Critical"/>
    <n v="15"/>
    <n v="2466.02"/>
    <n v="0.02"/>
    <s v="Regular Air"/>
    <n v="243.73"/>
    <n v="161.55000000000001"/>
    <n v="19.989999999999998"/>
    <x v="673"/>
    <x v="9"/>
    <x v="2"/>
    <x v="0"/>
    <x v="0"/>
    <x v="0"/>
    <x v="533"/>
    <s v="Small Box"/>
    <n v="0.66"/>
    <d v="2009-03-08T00:00:00"/>
    <n v="0"/>
    <n v="0"/>
    <n v="1"/>
    <n v="1"/>
  </r>
  <r>
    <n v="5304"/>
    <n v="37762"/>
    <x v="93"/>
    <x v="8"/>
    <s v="Medium"/>
    <n v="20"/>
    <n v="135.02000000000001"/>
    <n v="0.02"/>
    <s v="Regular Air"/>
    <n v="-60.69"/>
    <n v="6.48"/>
    <n v="6.74"/>
    <x v="302"/>
    <x v="9"/>
    <x v="2"/>
    <x v="0"/>
    <x v="0"/>
    <x v="5"/>
    <x v="1166"/>
    <s v="Small Box"/>
    <n v="0.37"/>
    <d v="2012-06-07T00:00:00"/>
    <n v="0"/>
    <n v="0"/>
    <n v="1"/>
    <n v="1"/>
  </r>
  <r>
    <n v="5439"/>
    <n v="38628"/>
    <x v="595"/>
    <x v="17"/>
    <s v="Low"/>
    <n v="23"/>
    <n v="667.99799999999993"/>
    <n v="0.06"/>
    <s v="Regular Air"/>
    <n v="251.262"/>
    <n v="35.99"/>
    <n v="1.25"/>
    <x v="490"/>
    <x v="9"/>
    <x v="2"/>
    <x v="0"/>
    <x v="1"/>
    <x v="3"/>
    <x v="916"/>
    <s v="Small Pack"/>
    <n v="0.36"/>
    <d v="2011-11-03T00:00:00"/>
    <n v="0"/>
    <n v="0"/>
    <n v="1"/>
    <n v="0.25"/>
  </r>
  <r>
    <n v="5465"/>
    <n v="38848"/>
    <x v="696"/>
    <x v="45"/>
    <s v="High"/>
    <n v="6"/>
    <n v="259.52"/>
    <n v="0.06"/>
    <s v="Regular Air"/>
    <n v="45.203000000000003"/>
    <n v="43.41"/>
    <n v="2.99"/>
    <x v="490"/>
    <x v="9"/>
    <x v="2"/>
    <x v="3"/>
    <x v="0"/>
    <x v="2"/>
    <x v="96"/>
    <s v="Small Box"/>
    <n v="0.39"/>
    <d v="2012-12-17T00:00:00"/>
    <n v="0"/>
    <n v="0"/>
    <n v="1"/>
    <n v="1"/>
  </r>
  <r>
    <n v="5490"/>
    <n v="38950"/>
    <x v="1301"/>
    <x v="2"/>
    <s v="Not Specified"/>
    <n v="24"/>
    <n v="109.23"/>
    <n v="0.02"/>
    <s v="Regular Air"/>
    <n v="-100.57899999999999"/>
    <n v="4.38"/>
    <n v="6.21"/>
    <x v="490"/>
    <x v="9"/>
    <x v="2"/>
    <x v="0"/>
    <x v="0"/>
    <x v="2"/>
    <x v="1211"/>
    <s v="Small Box"/>
    <n v="0.37"/>
    <d v="2011-07-03T00:00:00"/>
    <n v="0"/>
    <n v="0"/>
    <n v="0.33333333333333331"/>
    <n v="0.33333333333333331"/>
  </r>
  <r>
    <n v="5491"/>
    <n v="38950"/>
    <x v="1301"/>
    <x v="2"/>
    <s v="Not Specified"/>
    <n v="39"/>
    <n v="74"/>
    <n v="0.08"/>
    <s v="Regular Air"/>
    <n v="-20.6"/>
    <n v="1.89"/>
    <n v="0.76"/>
    <x v="490"/>
    <x v="9"/>
    <x v="2"/>
    <x v="0"/>
    <x v="0"/>
    <x v="6"/>
    <x v="78"/>
    <s v="Wrap Bag"/>
    <n v="0.83"/>
    <d v="2011-07-03T00:00:00"/>
    <n v="0"/>
    <n v="0"/>
    <n v="0.33333333333333331"/>
    <n v="0.33333333333333331"/>
  </r>
  <r>
    <n v="5492"/>
    <n v="38950"/>
    <x v="1301"/>
    <x v="2"/>
    <s v="Not Specified"/>
    <n v="30"/>
    <n v="288.45"/>
    <n v="0.03"/>
    <s v="Regular Air"/>
    <n v="-5.98"/>
    <n v="9.31"/>
    <n v="3.98"/>
    <x v="490"/>
    <x v="9"/>
    <x v="2"/>
    <x v="0"/>
    <x v="0"/>
    <x v="15"/>
    <x v="935"/>
    <s v="Small Pack"/>
    <n v="0.56000000000000005"/>
    <d v="2011-07-05T00:00:00"/>
    <n v="0"/>
    <n v="0"/>
    <n v="0.33333333333333331"/>
    <n v="0.33333333333333331"/>
  </r>
  <r>
    <n v="5578"/>
    <n v="39521"/>
    <x v="482"/>
    <x v="26"/>
    <s v="Low"/>
    <n v="28"/>
    <n v="112.35"/>
    <n v="0.1"/>
    <s v="Regular Air"/>
    <n v="31.27"/>
    <n v="4.13"/>
    <n v="0.99"/>
    <x v="688"/>
    <x v="9"/>
    <x v="2"/>
    <x v="0"/>
    <x v="0"/>
    <x v="11"/>
    <x v="367"/>
    <s v="Small Box"/>
    <n v="0.39"/>
    <d v="2009-08-13T00:00:00"/>
    <n v="0"/>
    <n v="0"/>
    <n v="1"/>
    <n v="0.5"/>
  </r>
  <r>
    <n v="5698"/>
    <n v="40289"/>
    <x v="143"/>
    <x v="32"/>
    <s v="Not Specified"/>
    <n v="26"/>
    <n v="78.09"/>
    <n v="0.01"/>
    <s v="Regular Air"/>
    <n v="19.63"/>
    <n v="2.88"/>
    <n v="0.99"/>
    <x v="369"/>
    <x v="9"/>
    <x v="2"/>
    <x v="1"/>
    <x v="0"/>
    <x v="11"/>
    <x v="184"/>
    <s v="Small Box"/>
    <n v="0.36"/>
    <d v="2012-11-27T00:00:00"/>
    <n v="0"/>
    <n v="0"/>
    <n v="0.5"/>
    <n v="0.25"/>
  </r>
  <r>
    <n v="5699"/>
    <n v="40289"/>
    <x v="143"/>
    <x v="32"/>
    <s v="Not Specified"/>
    <n v="4"/>
    <n v="42.77"/>
    <n v="0.04"/>
    <s v="Regular Air"/>
    <n v="-1.19"/>
    <n v="10.14"/>
    <n v="2.27"/>
    <x v="369"/>
    <x v="9"/>
    <x v="2"/>
    <x v="1"/>
    <x v="0"/>
    <x v="5"/>
    <x v="88"/>
    <s v="Wrap Bag"/>
    <n v="0.36"/>
    <d v="2012-11-27T00:00:00"/>
    <n v="0"/>
    <n v="0"/>
    <n v="0.5"/>
    <n v="0.25"/>
  </r>
  <r>
    <n v="5739"/>
    <n v="40775"/>
    <x v="360"/>
    <x v="7"/>
    <s v="Low"/>
    <n v="23"/>
    <n v="279.63"/>
    <n v="7.0000000000000007E-2"/>
    <s v="Regular Air"/>
    <n v="61.69"/>
    <n v="12.58"/>
    <n v="5.16"/>
    <x v="211"/>
    <x v="9"/>
    <x v="2"/>
    <x v="2"/>
    <x v="2"/>
    <x v="4"/>
    <x v="132"/>
    <s v="Small Box"/>
    <n v="0.43"/>
    <d v="2010-11-22T00:00:00"/>
    <n v="0"/>
    <n v="0"/>
    <n v="1"/>
    <n v="1"/>
  </r>
  <r>
    <n v="5794"/>
    <n v="41094"/>
    <x v="132"/>
    <x v="22"/>
    <s v="Low"/>
    <n v="46"/>
    <n v="298.97000000000003"/>
    <n v="0.09"/>
    <s v="Regular Air"/>
    <n v="-225.86"/>
    <n v="6.48"/>
    <n v="8.73"/>
    <x v="613"/>
    <x v="9"/>
    <x v="2"/>
    <x v="2"/>
    <x v="0"/>
    <x v="5"/>
    <x v="645"/>
    <s v="Small Box"/>
    <n v="0.37"/>
    <d v="2009-01-08T00:00:00"/>
    <n v="0"/>
    <n v="1"/>
    <n v="0.5"/>
    <n v="0.5"/>
  </r>
  <r>
    <n v="5795"/>
    <n v="41094"/>
    <x v="132"/>
    <x v="22"/>
    <s v="Low"/>
    <n v="6"/>
    <n v="159.05000000000001"/>
    <n v="0.05"/>
    <s v="Regular Air"/>
    <n v="-153.46"/>
    <n v="20.34"/>
    <n v="35"/>
    <x v="613"/>
    <x v="9"/>
    <x v="2"/>
    <x v="2"/>
    <x v="0"/>
    <x v="0"/>
    <x v="540"/>
    <s v="Large Box"/>
    <n v="0.84"/>
    <d v="2009-01-10T00:00:00"/>
    <n v="0"/>
    <n v="1"/>
    <n v="0.5"/>
    <n v="0.5"/>
  </r>
  <r>
    <n v="5808"/>
    <n v="41186"/>
    <x v="211"/>
    <x v="7"/>
    <s v="High"/>
    <n v="13"/>
    <n v="142.12"/>
    <n v="0.01"/>
    <s v="Express Air"/>
    <n v="54.91"/>
    <n v="9.7799999999999994"/>
    <n v="1.39"/>
    <x v="646"/>
    <x v="9"/>
    <x v="2"/>
    <x v="2"/>
    <x v="0"/>
    <x v="8"/>
    <x v="430"/>
    <s v="Small Box"/>
    <n v="0.39"/>
    <d v="2010-11-24T00:00:00"/>
    <n v="0"/>
    <n v="0"/>
    <n v="0.5"/>
    <n v="0.5"/>
  </r>
  <r>
    <n v="5830"/>
    <n v="41351"/>
    <x v="22"/>
    <x v="18"/>
    <s v="Not Specified"/>
    <n v="48"/>
    <n v="8273.2795000000006"/>
    <n v="0.08"/>
    <s v="Regular Air"/>
    <n v="2461.3110000000001"/>
    <n v="205.99"/>
    <n v="8.99"/>
    <x v="695"/>
    <x v="9"/>
    <x v="2"/>
    <x v="1"/>
    <x v="1"/>
    <x v="3"/>
    <x v="1044"/>
    <s v="Small Box"/>
    <n v="0.56000000000000005"/>
    <d v="2010-09-24T00:00:00"/>
    <n v="0"/>
    <n v="0"/>
    <n v="1"/>
    <n v="1"/>
  </r>
  <r>
    <n v="5861"/>
    <n v="41605"/>
    <x v="560"/>
    <x v="15"/>
    <s v="Medium"/>
    <n v="4"/>
    <n v="114.57"/>
    <n v="0.02"/>
    <s v="Regular Air"/>
    <n v="-29.980499999999999"/>
    <n v="24.92"/>
    <n v="12.98"/>
    <x v="490"/>
    <x v="9"/>
    <x v="2"/>
    <x v="0"/>
    <x v="0"/>
    <x v="2"/>
    <x v="202"/>
    <s v="Small Box"/>
    <n v="0.39"/>
    <d v="2010-12-26T00:00:00"/>
    <n v="0"/>
    <n v="0"/>
    <n v="1"/>
    <n v="1"/>
  </r>
  <r>
    <n v="5875"/>
    <n v="41667"/>
    <x v="1276"/>
    <x v="8"/>
    <s v="High"/>
    <n v="18"/>
    <n v="1062.2194999999999"/>
    <n v="0.03"/>
    <s v="Regular Air"/>
    <n v="132.37200000000001"/>
    <n v="65.989999999999995"/>
    <n v="5.31"/>
    <x v="673"/>
    <x v="9"/>
    <x v="2"/>
    <x v="0"/>
    <x v="1"/>
    <x v="3"/>
    <x v="305"/>
    <s v="Small Box"/>
    <n v="0.56999999999999995"/>
    <d v="2012-06-23T00:00:00"/>
    <n v="0"/>
    <n v="0"/>
    <n v="1"/>
    <n v="1"/>
  </r>
  <r>
    <n v="6068"/>
    <n v="42982"/>
    <x v="1228"/>
    <x v="29"/>
    <s v="Low"/>
    <n v="12"/>
    <n v="1318.34"/>
    <n v="0.02"/>
    <s v="Express Air"/>
    <n v="464.05"/>
    <n v="105.34"/>
    <n v="24.49"/>
    <x v="696"/>
    <x v="9"/>
    <x v="2"/>
    <x v="1"/>
    <x v="2"/>
    <x v="4"/>
    <x v="97"/>
    <s v="Large Box"/>
    <n v="0.61"/>
    <d v="2012-08-05T00:00:00"/>
    <n v="0"/>
    <n v="0"/>
    <n v="0.5"/>
    <n v="0.5"/>
  </r>
  <r>
    <n v="6172"/>
    <n v="43745"/>
    <x v="698"/>
    <x v="7"/>
    <s v="Low"/>
    <n v="5"/>
    <n v="128.59"/>
    <n v="7.0000000000000007E-2"/>
    <s v="Regular Air"/>
    <n v="-15.17"/>
    <n v="25.98"/>
    <n v="5.37"/>
    <x v="479"/>
    <x v="9"/>
    <x v="2"/>
    <x v="2"/>
    <x v="0"/>
    <x v="1"/>
    <x v="69"/>
    <s v="Medium Box"/>
    <n v="0.5"/>
    <d v="2010-11-08T00:00:00"/>
    <n v="0"/>
    <n v="0"/>
    <n v="0.16666666666666666"/>
    <n v="0.16666666666666666"/>
  </r>
  <r>
    <n v="6173"/>
    <n v="43745"/>
    <x v="698"/>
    <x v="7"/>
    <s v="Low"/>
    <n v="1"/>
    <n v="4.97"/>
    <n v="0.04"/>
    <s v="Regular Air"/>
    <n v="-4.91"/>
    <n v="3.55"/>
    <n v="1.43"/>
    <x v="479"/>
    <x v="9"/>
    <x v="2"/>
    <x v="2"/>
    <x v="0"/>
    <x v="6"/>
    <x v="1239"/>
    <s v="Wrap Bag"/>
    <n v="0.38"/>
    <d v="2010-11-05T00:00:00"/>
    <n v="0"/>
    <n v="0"/>
    <n v="0.16666666666666666"/>
    <n v="0.16666666666666666"/>
  </r>
  <r>
    <n v="6234"/>
    <n v="44167"/>
    <x v="673"/>
    <x v="23"/>
    <s v="Critical"/>
    <n v="23"/>
    <n v="3194.05"/>
    <n v="0.08"/>
    <s v="Regular Air"/>
    <n v="608.52"/>
    <n v="142.86000000000001"/>
    <n v="19.989999999999998"/>
    <x v="688"/>
    <x v="9"/>
    <x v="2"/>
    <x v="0"/>
    <x v="0"/>
    <x v="0"/>
    <x v="690"/>
    <s v="Small Box"/>
    <n v="0.56000000000000005"/>
    <d v="2012-01-31T00:00:00"/>
    <n v="0"/>
    <n v="0"/>
    <n v="1"/>
    <n v="1"/>
  </r>
  <r>
    <n v="6349"/>
    <n v="44997"/>
    <x v="469"/>
    <x v="31"/>
    <s v="Low"/>
    <n v="46"/>
    <n v="88.1"/>
    <n v="0.03"/>
    <s v="Regular Air"/>
    <n v="-161.61000000000001"/>
    <n v="1.76"/>
    <n v="4.8600000000000003"/>
    <x v="695"/>
    <x v="9"/>
    <x v="2"/>
    <x v="1"/>
    <x v="2"/>
    <x v="4"/>
    <x v="1099"/>
    <s v="Small Box"/>
    <n v="0.41"/>
    <d v="2011-10-02T00:00:00"/>
    <n v="0"/>
    <n v="0"/>
    <n v="1"/>
    <n v="1"/>
  </r>
  <r>
    <n v="6392"/>
    <n v="45408"/>
    <x v="1159"/>
    <x v="15"/>
    <s v="Low"/>
    <n v="25"/>
    <n v="716.99"/>
    <n v="0.05"/>
    <s v="Regular Air"/>
    <n v="174.06"/>
    <n v="29.89"/>
    <n v="1.99"/>
    <x v="453"/>
    <x v="9"/>
    <x v="2"/>
    <x v="3"/>
    <x v="1"/>
    <x v="7"/>
    <x v="412"/>
    <s v="Small Pack"/>
    <n v="0.5"/>
    <d v="2011-01-17T00:00:00"/>
    <n v="0"/>
    <n v="0"/>
    <n v="1"/>
    <n v="1"/>
  </r>
  <r>
    <n v="6449"/>
    <n v="45924"/>
    <x v="566"/>
    <x v="15"/>
    <s v="Low"/>
    <n v="1"/>
    <n v="27.44"/>
    <n v="0.02"/>
    <s v="Regular Air"/>
    <n v="-11.7645"/>
    <n v="24.95"/>
    <n v="2.99"/>
    <x v="479"/>
    <x v="9"/>
    <x v="2"/>
    <x v="2"/>
    <x v="0"/>
    <x v="2"/>
    <x v="1013"/>
    <s v="Small Box"/>
    <n v="0.39"/>
    <d v="2010-12-26T00:00:00"/>
    <n v="0"/>
    <n v="0"/>
    <n v="1"/>
    <n v="1"/>
  </r>
  <r>
    <n v="6548"/>
    <n v="46565"/>
    <x v="645"/>
    <x v="4"/>
    <s v="Not Specified"/>
    <n v="16"/>
    <n v="4691.2700000000004"/>
    <n v="0.05"/>
    <s v="Express Air"/>
    <n v="1196.72"/>
    <n v="300.64999999999998"/>
    <n v="24.49"/>
    <x v="479"/>
    <x v="9"/>
    <x v="2"/>
    <x v="3"/>
    <x v="0"/>
    <x v="1"/>
    <x v="255"/>
    <s v="Large Box"/>
    <n v="0.52"/>
    <d v="2011-06-22T00:00:00"/>
    <n v="0"/>
    <n v="0"/>
    <n v="0.33333333333333331"/>
    <n v="0.33333333333333331"/>
  </r>
  <r>
    <n v="6549"/>
    <n v="46565"/>
    <x v="645"/>
    <x v="4"/>
    <s v="Not Specified"/>
    <n v="50"/>
    <n v="804.14"/>
    <n v="0.1"/>
    <s v="Regular Air"/>
    <n v="-25.27"/>
    <n v="17.670000000000002"/>
    <n v="8.99"/>
    <x v="479"/>
    <x v="9"/>
    <x v="2"/>
    <x v="3"/>
    <x v="2"/>
    <x v="4"/>
    <x v="594"/>
    <s v="Small Pack"/>
    <n v="0.47"/>
    <d v="2011-06-23T00:00:00"/>
    <n v="0"/>
    <n v="0"/>
    <n v="0.33333333333333331"/>
    <n v="0.33333333333333331"/>
  </r>
  <r>
    <n v="6550"/>
    <n v="46565"/>
    <x v="645"/>
    <x v="4"/>
    <s v="Not Specified"/>
    <n v="8"/>
    <n v="567.51"/>
    <n v="0.01"/>
    <s v="Regular Air"/>
    <n v="-255.55"/>
    <n v="64.650000000000006"/>
    <n v="35"/>
    <x v="479"/>
    <x v="9"/>
    <x v="2"/>
    <x v="3"/>
    <x v="0"/>
    <x v="0"/>
    <x v="809"/>
    <s v="Large Box"/>
    <n v="0.8"/>
    <d v="2011-06-24T00:00:00"/>
    <n v="0"/>
    <n v="0"/>
    <n v="0.33333333333333331"/>
    <n v="0.33333333333333331"/>
  </r>
  <r>
    <n v="6593"/>
    <n v="46916"/>
    <x v="269"/>
    <x v="17"/>
    <s v="High"/>
    <n v="40"/>
    <n v="103.79"/>
    <n v="0.03"/>
    <s v="Regular Air"/>
    <n v="37.85"/>
    <n v="2.61"/>
    <n v="0.5"/>
    <x v="490"/>
    <x v="9"/>
    <x v="2"/>
    <x v="3"/>
    <x v="0"/>
    <x v="11"/>
    <x v="400"/>
    <s v="Small Box"/>
    <n v="0.39"/>
    <d v="2011-10-05T00:00:00"/>
    <n v="0"/>
    <n v="0"/>
    <n v="0.33333333333333331"/>
    <n v="0.25"/>
  </r>
  <r>
    <n v="6594"/>
    <n v="46916"/>
    <x v="269"/>
    <x v="17"/>
    <s v="High"/>
    <n v="40"/>
    <n v="2108.21"/>
    <n v="0.03"/>
    <s v="Regular Air"/>
    <n v="273.61"/>
    <n v="51.75"/>
    <n v="19.989999999999998"/>
    <x v="490"/>
    <x v="9"/>
    <x v="2"/>
    <x v="3"/>
    <x v="2"/>
    <x v="4"/>
    <x v="178"/>
    <s v="Small Box"/>
    <n v="0.55000000000000004"/>
    <d v="2011-10-05T00:00:00"/>
    <n v="0"/>
    <n v="0"/>
    <n v="0.33333333333333331"/>
    <n v="0.25"/>
  </r>
  <r>
    <n v="6634"/>
    <n v="47173"/>
    <x v="161"/>
    <x v="35"/>
    <s v="Not Specified"/>
    <n v="41"/>
    <n v="277.0745"/>
    <n v="0.03"/>
    <s v="Regular Air"/>
    <n v="-128.43600000000001"/>
    <n v="7.99"/>
    <n v="5.03"/>
    <x v="646"/>
    <x v="9"/>
    <x v="2"/>
    <x v="2"/>
    <x v="1"/>
    <x v="3"/>
    <x v="51"/>
    <s v="Medium Box"/>
    <n v="0.6"/>
    <d v="2009-09-03T00:00:00"/>
    <n v="0"/>
    <n v="0"/>
    <n v="1"/>
    <n v="0.5"/>
  </r>
  <r>
    <n v="6649"/>
    <n v="47271"/>
    <x v="433"/>
    <x v="2"/>
    <s v="Medium"/>
    <n v="44"/>
    <n v="221.42"/>
    <n v="0.03"/>
    <s v="Regular Air"/>
    <n v="-142.02000000000001"/>
    <n v="4.9800000000000004"/>
    <n v="4.62"/>
    <x v="211"/>
    <x v="9"/>
    <x v="2"/>
    <x v="2"/>
    <x v="1"/>
    <x v="7"/>
    <x v="278"/>
    <s v="Small Pack"/>
    <n v="0.64"/>
    <d v="2011-07-29T00:00:00"/>
    <n v="0"/>
    <n v="0"/>
    <n v="1"/>
    <n v="1"/>
  </r>
  <r>
    <n v="6712"/>
    <n v="47815"/>
    <x v="911"/>
    <x v="45"/>
    <s v="Not Specified"/>
    <n v="45"/>
    <n v="580.96"/>
    <n v="0.08"/>
    <s v="Regular Air"/>
    <n v="-33.47"/>
    <n v="13.73"/>
    <n v="6.85"/>
    <x v="688"/>
    <x v="9"/>
    <x v="2"/>
    <x v="0"/>
    <x v="2"/>
    <x v="4"/>
    <x v="807"/>
    <s v="Wrap Bag"/>
    <n v="0.54"/>
    <d v="2012-12-30T00:00:00"/>
    <n v="0"/>
    <n v="0"/>
    <n v="1"/>
    <n v="1"/>
  </r>
  <r>
    <n v="6727"/>
    <n v="47909"/>
    <x v="949"/>
    <x v="14"/>
    <s v="Medium"/>
    <n v="38"/>
    <n v="185.19"/>
    <n v="7.0000000000000007E-2"/>
    <s v="Regular Air"/>
    <n v="-175.62"/>
    <n v="4.9800000000000004"/>
    <n v="7.44"/>
    <x v="363"/>
    <x v="9"/>
    <x v="2"/>
    <x v="3"/>
    <x v="0"/>
    <x v="5"/>
    <x v="877"/>
    <s v="Small Box"/>
    <n v="0.36"/>
    <d v="2010-03-09T00:00:00"/>
    <n v="0"/>
    <n v="0"/>
    <n v="0.33333333333333331"/>
    <n v="0.33333333333333331"/>
  </r>
  <r>
    <n v="6728"/>
    <n v="47909"/>
    <x v="949"/>
    <x v="14"/>
    <s v="Medium"/>
    <n v="22"/>
    <n v="220.26"/>
    <n v="7.0000000000000007E-2"/>
    <s v="Regular Air"/>
    <n v="-35.950000000000003"/>
    <n v="10.23"/>
    <n v="4.68"/>
    <x v="363"/>
    <x v="9"/>
    <x v="2"/>
    <x v="3"/>
    <x v="0"/>
    <x v="15"/>
    <x v="804"/>
    <s v="Small Pack"/>
    <n v="0.59"/>
    <d v="2010-03-10T00:00:00"/>
    <n v="0"/>
    <n v="0"/>
    <n v="0.33333333333333331"/>
    <n v="0.33333333333333331"/>
  </r>
  <r>
    <n v="6729"/>
    <n v="47909"/>
    <x v="949"/>
    <x v="14"/>
    <s v="Medium"/>
    <n v="48"/>
    <n v="843.03"/>
    <n v="0.08"/>
    <s v="Regular Air"/>
    <n v="419.89499999999998"/>
    <n v="20.99"/>
    <n v="0.99"/>
    <x v="363"/>
    <x v="9"/>
    <x v="2"/>
    <x v="3"/>
    <x v="1"/>
    <x v="3"/>
    <x v="163"/>
    <s v="Wrap Bag"/>
    <n v="0.37"/>
    <d v="2010-03-11T00:00:00"/>
    <n v="0"/>
    <n v="0"/>
    <n v="0.33333333333333331"/>
    <n v="0.33333333333333331"/>
  </r>
  <r>
    <n v="6823"/>
    <n v="48609"/>
    <x v="876"/>
    <x v="6"/>
    <s v="High"/>
    <n v="26"/>
    <n v="176.34"/>
    <n v="0"/>
    <s v="Regular Air"/>
    <n v="-103.32"/>
    <n v="6.48"/>
    <n v="7.86"/>
    <x v="692"/>
    <x v="9"/>
    <x v="2"/>
    <x v="2"/>
    <x v="0"/>
    <x v="5"/>
    <x v="59"/>
    <s v="Small Box"/>
    <n v="0.37"/>
    <d v="2010-02-25T00:00:00"/>
    <n v="0"/>
    <n v="0"/>
    <n v="0.5"/>
    <n v="0.2"/>
  </r>
  <r>
    <n v="6824"/>
    <n v="48609"/>
    <x v="876"/>
    <x v="6"/>
    <s v="High"/>
    <n v="5"/>
    <n v="186.5"/>
    <n v="0.04"/>
    <s v="Express Air"/>
    <n v="4.1600000000000108"/>
    <n v="37.44"/>
    <n v="4.2699999999999996"/>
    <x v="692"/>
    <x v="9"/>
    <x v="2"/>
    <x v="2"/>
    <x v="0"/>
    <x v="12"/>
    <x v="1189"/>
    <s v="Wrap Bag"/>
    <n v="0.46"/>
    <d v="2010-02-25T00:00:00"/>
    <n v="0"/>
    <n v="0"/>
    <n v="0.5"/>
    <n v="0.2"/>
  </r>
  <r>
    <n v="6833"/>
    <n v="48643"/>
    <x v="814"/>
    <x v="1"/>
    <s v="Medium"/>
    <n v="14"/>
    <n v="9171.7099999999991"/>
    <n v="0.06"/>
    <s v="Delivery Truck"/>
    <n v="2636.01"/>
    <n v="808.49"/>
    <n v="55.3"/>
    <x v="479"/>
    <x v="9"/>
    <x v="2"/>
    <x v="3"/>
    <x v="1"/>
    <x v="16"/>
    <x v="1072"/>
    <s v="Jumbo Drum"/>
    <n v="0.4"/>
    <d v="2012-10-20T00:00:00"/>
    <n v="0"/>
    <n v="0"/>
    <n v="0.33333333333333331"/>
    <n v="0.33333333333333331"/>
  </r>
  <r>
    <n v="6834"/>
    <n v="48643"/>
    <x v="814"/>
    <x v="1"/>
    <s v="Medium"/>
    <n v="6"/>
    <n v="18.05"/>
    <n v="0.06"/>
    <s v="Regular Air"/>
    <n v="0.13"/>
    <n v="2.88"/>
    <n v="0.99"/>
    <x v="479"/>
    <x v="9"/>
    <x v="2"/>
    <x v="3"/>
    <x v="0"/>
    <x v="11"/>
    <x v="184"/>
    <s v="Small Box"/>
    <n v="0.36"/>
    <d v="2012-10-20T00:00:00"/>
    <n v="0"/>
    <n v="0"/>
    <n v="0.33333333333333331"/>
    <n v="0.33333333333333331"/>
  </r>
  <r>
    <n v="6835"/>
    <n v="48643"/>
    <x v="814"/>
    <x v="1"/>
    <s v="Medium"/>
    <n v="50"/>
    <n v="2896.3579999999997"/>
    <n v="0"/>
    <s v="Regular Air"/>
    <n v="583.49700000000007"/>
    <n v="65.989999999999995"/>
    <n v="8.99"/>
    <x v="479"/>
    <x v="9"/>
    <x v="2"/>
    <x v="3"/>
    <x v="1"/>
    <x v="3"/>
    <x v="815"/>
    <s v="Small Box"/>
    <n v="0.6"/>
    <d v="2012-10-20T00:00:00"/>
    <n v="0"/>
    <n v="0"/>
    <n v="0.33333333333333331"/>
    <n v="0.33333333333333331"/>
  </r>
  <r>
    <n v="6923"/>
    <n v="49380"/>
    <x v="53"/>
    <x v="20"/>
    <s v="Medium"/>
    <n v="11"/>
    <n v="22145.37"/>
    <n v="0.02"/>
    <s v="Regular Air"/>
    <n v="6138.48"/>
    <n v="1938.02"/>
    <n v="13.99"/>
    <x v="109"/>
    <x v="9"/>
    <x v="2"/>
    <x v="1"/>
    <x v="1"/>
    <x v="16"/>
    <x v="107"/>
    <s v="Medium Box"/>
    <n v="0.38"/>
    <d v="2012-05-06T00:00:00"/>
    <n v="0"/>
    <n v="0"/>
    <n v="1"/>
    <n v="1"/>
  </r>
  <r>
    <n v="6946"/>
    <n v="49607"/>
    <x v="1366"/>
    <x v="43"/>
    <s v="Medium"/>
    <n v="6"/>
    <n v="1056.6434999999999"/>
    <n v="0.06"/>
    <s v="Regular Air"/>
    <n v="-586.20100000000002"/>
    <n v="205.99"/>
    <n v="8.99"/>
    <x v="693"/>
    <x v="9"/>
    <x v="2"/>
    <x v="1"/>
    <x v="1"/>
    <x v="3"/>
    <x v="1044"/>
    <s v="Small Box"/>
    <n v="0.56000000000000005"/>
    <d v="2009-05-05T00:00:00"/>
    <n v="0"/>
    <n v="0"/>
    <n v="1"/>
    <n v="0.5"/>
  </r>
  <r>
    <n v="6977"/>
    <n v="49862"/>
    <x v="234"/>
    <x v="34"/>
    <s v="Not Specified"/>
    <n v="24"/>
    <n v="75.73"/>
    <n v="7.0000000000000007E-2"/>
    <s v="Regular Air"/>
    <n v="29.46"/>
    <n v="3.15"/>
    <n v="0.5"/>
    <x v="490"/>
    <x v="9"/>
    <x v="2"/>
    <x v="0"/>
    <x v="0"/>
    <x v="11"/>
    <x v="605"/>
    <s v="Small Box"/>
    <n v="0.37"/>
    <d v="2012-09-14T00:00:00"/>
    <n v="0"/>
    <n v="0"/>
    <n v="1"/>
    <n v="0.25"/>
  </r>
  <r>
    <n v="7033"/>
    <n v="50209"/>
    <x v="930"/>
    <x v="18"/>
    <s v="High"/>
    <n v="34"/>
    <n v="1863.02"/>
    <n v="0.03"/>
    <s v="Express Air"/>
    <n v="823.26"/>
    <n v="55.48"/>
    <n v="6.79"/>
    <x v="696"/>
    <x v="9"/>
    <x v="2"/>
    <x v="1"/>
    <x v="0"/>
    <x v="5"/>
    <x v="812"/>
    <s v="Small Box"/>
    <n v="0.37"/>
    <d v="2010-09-12T00:00:00"/>
    <n v="0"/>
    <n v="0"/>
    <n v="0.5"/>
    <n v="0.5"/>
  </r>
  <r>
    <n v="7034"/>
    <n v="50209"/>
    <x v="930"/>
    <x v="18"/>
    <s v="High"/>
    <n v="2"/>
    <n v="53.3"/>
    <n v="0"/>
    <s v="Regular Air"/>
    <n v="-46.2"/>
    <n v="20.89"/>
    <n v="11.52"/>
    <x v="696"/>
    <x v="9"/>
    <x v="2"/>
    <x v="1"/>
    <x v="0"/>
    <x v="0"/>
    <x v="796"/>
    <s v="Small Box"/>
    <n v="0.83"/>
    <d v="2010-09-11T00:00:00"/>
    <n v="0"/>
    <n v="0"/>
    <n v="0.5"/>
    <n v="0.5"/>
  </r>
  <r>
    <n v="7066"/>
    <n v="50432"/>
    <x v="113"/>
    <x v="41"/>
    <s v="Low"/>
    <n v="7"/>
    <n v="2161.36"/>
    <n v="0.02"/>
    <s v="Delivery Truck"/>
    <n v="-92.370000000000061"/>
    <n v="284.98"/>
    <n v="69.55"/>
    <x v="688"/>
    <x v="9"/>
    <x v="2"/>
    <x v="0"/>
    <x v="2"/>
    <x v="14"/>
    <x v="649"/>
    <s v="Jumbo Drum"/>
    <n v="0.6"/>
    <d v="2009-06-12T00:00:00"/>
    <n v="0"/>
    <n v="0"/>
    <n v="0.5"/>
    <n v="0.5"/>
  </r>
  <r>
    <n v="7067"/>
    <n v="50432"/>
    <x v="113"/>
    <x v="41"/>
    <s v="Low"/>
    <n v="45"/>
    <n v="2494.92"/>
    <n v="0.08"/>
    <s v="Regular Air"/>
    <n v="816.72"/>
    <n v="55.48"/>
    <n v="14.3"/>
    <x v="688"/>
    <x v="9"/>
    <x v="2"/>
    <x v="0"/>
    <x v="0"/>
    <x v="5"/>
    <x v="381"/>
    <s v="Small Box"/>
    <n v="0.37"/>
    <d v="2009-06-09T00:00:00"/>
    <n v="0"/>
    <n v="0"/>
    <n v="0.5"/>
    <n v="0.5"/>
  </r>
  <r>
    <n v="7076"/>
    <n v="50500"/>
    <x v="536"/>
    <x v="31"/>
    <s v="Low"/>
    <n v="11"/>
    <n v="64.86"/>
    <n v="0"/>
    <s v="Regular Air"/>
    <n v="22.05"/>
    <n v="5.43"/>
    <n v="0.95"/>
    <x v="116"/>
    <x v="9"/>
    <x v="2"/>
    <x v="1"/>
    <x v="0"/>
    <x v="5"/>
    <x v="444"/>
    <s v="Wrap Bag"/>
    <n v="0.36"/>
    <d v="2011-09-10T00:00:00"/>
    <n v="0"/>
    <n v="0"/>
    <n v="0.5"/>
    <n v="0.2"/>
  </r>
  <r>
    <n v="7077"/>
    <n v="50500"/>
    <x v="536"/>
    <x v="31"/>
    <s v="Low"/>
    <n v="45"/>
    <n v="109.39"/>
    <n v="7.0000000000000007E-2"/>
    <s v="Express Air"/>
    <n v="16.309999999999999"/>
    <n v="2.4700000000000002"/>
    <n v="1.02"/>
    <x v="116"/>
    <x v="9"/>
    <x v="2"/>
    <x v="1"/>
    <x v="0"/>
    <x v="6"/>
    <x v="204"/>
    <s v="Wrap Bag"/>
    <n v="0.38"/>
    <d v="2011-09-06T00:00:00"/>
    <n v="0"/>
    <n v="0"/>
    <n v="0.5"/>
    <n v="0.2"/>
  </r>
  <r>
    <n v="7093"/>
    <n v="50626"/>
    <x v="886"/>
    <x v="19"/>
    <s v="Medium"/>
    <n v="18"/>
    <n v="3267.41"/>
    <n v="0"/>
    <s v="Delivery Truck"/>
    <n v="248.19"/>
    <n v="170.98"/>
    <n v="35.89"/>
    <x v="363"/>
    <x v="9"/>
    <x v="2"/>
    <x v="1"/>
    <x v="2"/>
    <x v="9"/>
    <x v="748"/>
    <s v="Jumbo Box"/>
    <n v="0.66"/>
    <d v="2009-10-21T00:00:00"/>
    <n v="0"/>
    <n v="0"/>
    <n v="0.5"/>
    <n v="0.5"/>
  </r>
  <r>
    <n v="7094"/>
    <n v="50626"/>
    <x v="886"/>
    <x v="19"/>
    <s v="Medium"/>
    <n v="42"/>
    <n v="26126.92"/>
    <n v="0.04"/>
    <s v="Regular Air"/>
    <n v="9498.6"/>
    <n v="599.99"/>
    <n v="24.49"/>
    <x v="363"/>
    <x v="9"/>
    <x v="2"/>
    <x v="1"/>
    <x v="1"/>
    <x v="13"/>
    <x v="984"/>
    <s v="Large Box"/>
    <n v="0.5"/>
    <d v="2009-10-22T00:00:00"/>
    <n v="0"/>
    <n v="0"/>
    <n v="0.5"/>
    <n v="0.5"/>
  </r>
  <r>
    <n v="7099"/>
    <n v="50657"/>
    <x v="388"/>
    <x v="25"/>
    <s v="High"/>
    <n v="40"/>
    <n v="315.45"/>
    <n v="0.01"/>
    <s v="Regular Air"/>
    <n v="-305.87700000000001"/>
    <n v="7.38"/>
    <n v="11.51"/>
    <x v="646"/>
    <x v="9"/>
    <x v="2"/>
    <x v="2"/>
    <x v="0"/>
    <x v="2"/>
    <x v="1140"/>
    <s v="Small Box"/>
    <n v="0.36"/>
    <d v="2011-12-19T00:00:00"/>
    <n v="0"/>
    <n v="0"/>
    <n v="0.33333333333333331"/>
    <n v="0.33333333333333331"/>
  </r>
  <r>
    <n v="7100"/>
    <n v="50657"/>
    <x v="388"/>
    <x v="25"/>
    <s v="High"/>
    <n v="16"/>
    <n v="60.02"/>
    <n v="0.1"/>
    <s v="Express Air"/>
    <n v="0.9399999999999995"/>
    <n v="3.71"/>
    <n v="1.93"/>
    <x v="646"/>
    <x v="9"/>
    <x v="2"/>
    <x v="2"/>
    <x v="0"/>
    <x v="5"/>
    <x v="884"/>
    <s v="Wrap Bag"/>
    <n v="0.35"/>
    <d v="2011-12-20T00:00:00"/>
    <n v="0"/>
    <n v="0"/>
    <n v="0.33333333333333331"/>
    <n v="0.33333333333333331"/>
  </r>
  <r>
    <n v="7101"/>
    <n v="50657"/>
    <x v="388"/>
    <x v="25"/>
    <s v="High"/>
    <n v="49"/>
    <n v="7413.29"/>
    <n v="0.01"/>
    <s v="Delivery Truck"/>
    <n v="1148.23"/>
    <n v="150.97999999999999"/>
    <n v="16.010000000000002"/>
    <x v="646"/>
    <x v="9"/>
    <x v="2"/>
    <x v="2"/>
    <x v="2"/>
    <x v="10"/>
    <x v="1025"/>
    <s v="Jumbo Box"/>
    <n v="0.7"/>
    <d v="2011-12-20T00:00:00"/>
    <n v="0"/>
    <n v="0"/>
    <n v="0.33333333333333331"/>
    <n v="0.33333333333333331"/>
  </r>
  <r>
    <n v="7108"/>
    <n v="50725"/>
    <x v="7"/>
    <x v="7"/>
    <s v="Medium"/>
    <n v="19"/>
    <n v="2441.1405"/>
    <n v="0.05"/>
    <s v="Regular Air"/>
    <n v="261.96299999999997"/>
    <n v="155.99"/>
    <n v="8.99"/>
    <x v="369"/>
    <x v="9"/>
    <x v="2"/>
    <x v="1"/>
    <x v="1"/>
    <x v="3"/>
    <x v="291"/>
    <s v="Small Box"/>
    <n v="0.55000000000000004"/>
    <d v="2010-11-25T00:00:00"/>
    <n v="0"/>
    <n v="0"/>
    <n v="0.5"/>
    <n v="0.5"/>
  </r>
  <r>
    <n v="7170"/>
    <n v="51175"/>
    <x v="556"/>
    <x v="9"/>
    <s v="High"/>
    <n v="28"/>
    <n v="1135.24"/>
    <n v="0.06"/>
    <s v="Regular Air"/>
    <n v="271.81"/>
    <n v="41.71"/>
    <n v="4.5"/>
    <x v="695"/>
    <x v="9"/>
    <x v="2"/>
    <x v="1"/>
    <x v="0"/>
    <x v="1"/>
    <x v="599"/>
    <s v="Small Box"/>
    <n v="0.56000000000000005"/>
    <d v="2012-08-14T00:00:00"/>
    <n v="0"/>
    <n v="0"/>
    <n v="0.5"/>
    <n v="0.5"/>
  </r>
  <r>
    <n v="7171"/>
    <n v="51175"/>
    <x v="556"/>
    <x v="9"/>
    <s v="High"/>
    <n v="3"/>
    <n v="2136.9299999999998"/>
    <n v="0.04"/>
    <s v="Regular Air"/>
    <n v="-2297.48"/>
    <n v="699.99"/>
    <n v="24.49"/>
    <x v="695"/>
    <x v="9"/>
    <x v="2"/>
    <x v="1"/>
    <x v="1"/>
    <x v="13"/>
    <x v="286"/>
    <s v="Large Box"/>
    <n v="0.41"/>
    <d v="2012-08-15T00:00:00"/>
    <n v="0"/>
    <n v="0"/>
    <n v="0.5"/>
    <n v="0.5"/>
  </r>
  <r>
    <n v="7174"/>
    <n v="51202"/>
    <x v="584"/>
    <x v="13"/>
    <s v="High"/>
    <n v="4"/>
    <n v="30.89"/>
    <n v="0.06"/>
    <s v="Regular Air"/>
    <n v="-19.55"/>
    <n v="5.78"/>
    <n v="7.64"/>
    <x v="688"/>
    <x v="9"/>
    <x v="2"/>
    <x v="0"/>
    <x v="0"/>
    <x v="5"/>
    <x v="629"/>
    <s v="Small Box"/>
    <n v="0.36"/>
    <d v="2012-04-15T00:00:00"/>
    <n v="0"/>
    <n v="0"/>
    <n v="0.5"/>
    <n v="0.5"/>
  </r>
  <r>
    <n v="7175"/>
    <n v="51202"/>
    <x v="584"/>
    <x v="13"/>
    <s v="High"/>
    <n v="34"/>
    <n v="170.46"/>
    <n v="0.1"/>
    <s v="Regular Air"/>
    <n v="-104.35"/>
    <n v="5.28"/>
    <n v="5.66"/>
    <x v="688"/>
    <x v="9"/>
    <x v="2"/>
    <x v="0"/>
    <x v="0"/>
    <x v="5"/>
    <x v="299"/>
    <s v="Small Box"/>
    <n v="0.4"/>
    <d v="2012-04-14T00:00:00"/>
    <n v="0"/>
    <n v="0"/>
    <n v="0.5"/>
    <n v="0.5"/>
  </r>
  <r>
    <n v="7213"/>
    <n v="51488"/>
    <x v="607"/>
    <x v="39"/>
    <s v="High"/>
    <n v="31"/>
    <n v="1561.96"/>
    <n v="0.03"/>
    <s v="Regular Air"/>
    <n v="119.92"/>
    <n v="50.98"/>
    <n v="13.66"/>
    <x v="211"/>
    <x v="9"/>
    <x v="2"/>
    <x v="2"/>
    <x v="0"/>
    <x v="1"/>
    <x v="389"/>
    <s v="Small Box"/>
    <n v="0.57999999999999996"/>
    <d v="2010-05-03T00:00:00"/>
    <n v="0"/>
    <n v="0"/>
    <n v="1"/>
    <n v="1"/>
  </r>
  <r>
    <n v="7271"/>
    <n v="51873"/>
    <x v="404"/>
    <x v="43"/>
    <s v="High"/>
    <n v="29"/>
    <n v="265.92"/>
    <n v="0.04"/>
    <s v="Regular Air"/>
    <n v="79.67"/>
    <n v="9.11"/>
    <n v="2.15"/>
    <x v="369"/>
    <x v="9"/>
    <x v="2"/>
    <x v="1"/>
    <x v="0"/>
    <x v="5"/>
    <x v="1024"/>
    <s v="Wrap Bag"/>
    <n v="0.4"/>
    <d v="2009-05-06T00:00:00"/>
    <n v="0"/>
    <n v="0"/>
    <n v="1"/>
    <n v="1"/>
  </r>
  <r>
    <n v="7397"/>
    <n v="52711"/>
    <x v="968"/>
    <x v="31"/>
    <s v="Not Specified"/>
    <n v="7"/>
    <n v="220.79"/>
    <n v="0"/>
    <s v="Regular Air"/>
    <n v="-91.51"/>
    <n v="30.97"/>
    <n v="4"/>
    <x v="301"/>
    <x v="9"/>
    <x v="2"/>
    <x v="3"/>
    <x v="1"/>
    <x v="7"/>
    <x v="730"/>
    <s v="Small Box"/>
    <n v="0.74"/>
    <d v="2011-09-25T00:00:00"/>
    <n v="0"/>
    <n v="0"/>
    <n v="0.33333333333333331"/>
    <n v="0.33333333333333331"/>
  </r>
  <r>
    <n v="7398"/>
    <n v="52711"/>
    <x v="968"/>
    <x v="31"/>
    <s v="Not Specified"/>
    <n v="41"/>
    <n v="755.19"/>
    <n v="0"/>
    <s v="Regular Air"/>
    <n v="81.44"/>
    <n v="17.670000000000002"/>
    <n v="8.99"/>
    <x v="301"/>
    <x v="9"/>
    <x v="2"/>
    <x v="3"/>
    <x v="2"/>
    <x v="4"/>
    <x v="594"/>
    <s v="Small Pack"/>
    <n v="0.47"/>
    <d v="2011-09-25T00:00:00"/>
    <n v="0"/>
    <n v="0"/>
    <n v="0.33333333333333331"/>
    <n v="0.33333333333333331"/>
  </r>
  <r>
    <n v="7460"/>
    <n v="53222"/>
    <x v="1287"/>
    <x v="19"/>
    <s v="Low"/>
    <n v="2"/>
    <n v="21.71"/>
    <n v="7.0000000000000007E-2"/>
    <s v="Regular Air"/>
    <n v="-15.13"/>
    <n v="6.48"/>
    <n v="9.5399999999999991"/>
    <x v="490"/>
    <x v="9"/>
    <x v="2"/>
    <x v="0"/>
    <x v="0"/>
    <x v="5"/>
    <x v="390"/>
    <s v="Small Box"/>
    <n v="0.37"/>
    <d v="2009-10-19T00:00:00"/>
    <n v="0"/>
    <n v="0"/>
    <n v="1"/>
    <n v="1"/>
  </r>
  <r>
    <n v="7568"/>
    <n v="54146"/>
    <x v="918"/>
    <x v="0"/>
    <s v="Low"/>
    <n v="3"/>
    <n v="124.75"/>
    <n v="0.06"/>
    <s v="Regular Air"/>
    <n v="-112.64"/>
    <n v="40.96"/>
    <n v="1.99"/>
    <x v="479"/>
    <x v="9"/>
    <x v="2"/>
    <x v="2"/>
    <x v="1"/>
    <x v="7"/>
    <x v="33"/>
    <s v="Small Pack"/>
    <n v="0.55000000000000004"/>
    <d v="2010-10-23T00:00:00"/>
    <n v="0"/>
    <n v="0"/>
    <n v="1"/>
    <n v="1"/>
  </r>
  <r>
    <n v="7646"/>
    <n v="54791"/>
    <x v="796"/>
    <x v="45"/>
    <s v="High"/>
    <n v="27"/>
    <n v="1087.58"/>
    <n v="0.01"/>
    <s v="Regular Air"/>
    <n v="514.45000000000005"/>
    <n v="39.89"/>
    <n v="3.04"/>
    <x v="116"/>
    <x v="9"/>
    <x v="2"/>
    <x v="2"/>
    <x v="2"/>
    <x v="4"/>
    <x v="14"/>
    <s v="Wrap Bag"/>
    <n v="0.53"/>
    <d v="2012-12-21T00:00:00"/>
    <n v="0"/>
    <n v="0"/>
    <n v="0.33333333333333331"/>
    <n v="0.33333333333333331"/>
  </r>
  <r>
    <n v="7647"/>
    <n v="54791"/>
    <x v="796"/>
    <x v="45"/>
    <s v="High"/>
    <n v="42"/>
    <n v="4273.3500000000004"/>
    <n v="7.0000000000000007E-2"/>
    <s v="Regular Air"/>
    <n v="-892.03"/>
    <n v="101.41"/>
    <n v="35"/>
    <x v="116"/>
    <x v="9"/>
    <x v="2"/>
    <x v="2"/>
    <x v="0"/>
    <x v="0"/>
    <x v="925"/>
    <s v="Large Box"/>
    <n v="0.82"/>
    <d v="2012-12-22T00:00:00"/>
    <n v="0"/>
    <n v="0"/>
    <n v="0.33333333333333331"/>
    <n v="0.33333333333333331"/>
  </r>
  <r>
    <n v="7723"/>
    <n v="55335"/>
    <x v="613"/>
    <x v="34"/>
    <s v="Not Specified"/>
    <n v="30"/>
    <n v="8684.23"/>
    <n v="0.05"/>
    <s v="Delivery Truck"/>
    <n v="1488.77"/>
    <n v="280.98"/>
    <n v="35.67"/>
    <x v="369"/>
    <x v="9"/>
    <x v="2"/>
    <x v="1"/>
    <x v="2"/>
    <x v="10"/>
    <x v="398"/>
    <s v="Jumbo Box"/>
    <n v="0.66"/>
    <d v="2012-09-17T00:00:00"/>
    <n v="0"/>
    <n v="0"/>
    <n v="1"/>
    <n v="1"/>
  </r>
  <r>
    <n v="7759"/>
    <n v="55525"/>
    <x v="731"/>
    <x v="43"/>
    <s v="Low"/>
    <n v="1"/>
    <n v="291.39999999999998"/>
    <n v="0.06"/>
    <s v="Regular Air"/>
    <n v="-763.16"/>
    <n v="300.97000000000003"/>
    <n v="7.18"/>
    <x v="211"/>
    <x v="9"/>
    <x v="2"/>
    <x v="2"/>
    <x v="1"/>
    <x v="7"/>
    <x v="1130"/>
    <s v="Small Box"/>
    <n v="0.48"/>
    <d v="2009-05-08T00:00:00"/>
    <n v="0"/>
    <n v="0"/>
    <n v="1"/>
    <n v="1"/>
  </r>
  <r>
    <n v="7790"/>
    <n v="55746"/>
    <x v="1217"/>
    <x v="41"/>
    <s v="Not Specified"/>
    <n v="29"/>
    <n v="324.75"/>
    <n v="7.0000000000000007E-2"/>
    <s v="Regular Air"/>
    <n v="-36.869999999999997"/>
    <n v="11.29"/>
    <n v="5.03"/>
    <x v="693"/>
    <x v="9"/>
    <x v="2"/>
    <x v="1"/>
    <x v="0"/>
    <x v="0"/>
    <x v="468"/>
    <s v="Small Box"/>
    <n v="0.59"/>
    <d v="2009-07-02T00:00:00"/>
    <n v="0"/>
    <n v="0"/>
    <n v="1"/>
    <n v="1"/>
  </r>
  <r>
    <n v="7967"/>
    <n v="56960"/>
    <x v="465"/>
    <x v="26"/>
    <s v="High"/>
    <n v="48"/>
    <n v="2784.8294999999998"/>
    <n v="0.01"/>
    <s v="Express Air"/>
    <n v="788.29200000000003"/>
    <n v="65.989999999999995"/>
    <n v="4.2"/>
    <x v="688"/>
    <x v="9"/>
    <x v="2"/>
    <x v="0"/>
    <x v="1"/>
    <x v="3"/>
    <x v="1021"/>
    <s v="Small Box"/>
    <n v="0.59"/>
    <d v="2009-08-08T00:00:00"/>
    <n v="0"/>
    <n v="0"/>
    <n v="1"/>
    <n v="0.5"/>
  </r>
  <r>
    <n v="7977"/>
    <n v="57059"/>
    <x v="1001"/>
    <x v="4"/>
    <s v="Medium"/>
    <n v="50"/>
    <n v="212.12"/>
    <n v="0.01"/>
    <s v="Regular Air"/>
    <n v="-154.62900000000002"/>
    <n v="3.98"/>
    <n v="5.26"/>
    <x v="211"/>
    <x v="9"/>
    <x v="2"/>
    <x v="2"/>
    <x v="0"/>
    <x v="2"/>
    <x v="983"/>
    <s v="Small Box"/>
    <n v="0.38"/>
    <d v="2011-06-03T00:00:00"/>
    <n v="0"/>
    <n v="0"/>
    <n v="0.5"/>
    <n v="0.5"/>
  </r>
  <r>
    <n v="7978"/>
    <n v="57059"/>
    <x v="1001"/>
    <x v="4"/>
    <s v="Medium"/>
    <n v="25"/>
    <n v="2455.54"/>
    <n v="0.03"/>
    <s v="Regular Air"/>
    <n v="1361.88"/>
    <n v="98.31"/>
    <n v="0.49"/>
    <x v="211"/>
    <x v="9"/>
    <x v="2"/>
    <x v="2"/>
    <x v="0"/>
    <x v="11"/>
    <x v="346"/>
    <s v="Small Box"/>
    <n v="0.36"/>
    <d v="2011-06-03T00:00:00"/>
    <n v="0"/>
    <n v="0"/>
    <n v="0.5"/>
    <n v="0.5"/>
  </r>
  <r>
    <n v="8067"/>
    <n v="57568"/>
    <x v="311"/>
    <x v="30"/>
    <s v="Not Specified"/>
    <n v="38"/>
    <n v="592.54"/>
    <n v="7.0000000000000007E-2"/>
    <s v="Regular Air"/>
    <n v="282.11"/>
    <n v="15.67"/>
    <n v="1.39"/>
    <x v="688"/>
    <x v="9"/>
    <x v="2"/>
    <x v="0"/>
    <x v="0"/>
    <x v="8"/>
    <x v="68"/>
    <s v="Small Box"/>
    <n v="0.38"/>
    <d v="2010-06-19T00:00:00"/>
    <n v="0"/>
    <n v="0"/>
    <n v="1"/>
    <n v="1"/>
  </r>
  <r>
    <n v="8100"/>
    <n v="57798"/>
    <x v="613"/>
    <x v="34"/>
    <s v="High"/>
    <n v="20"/>
    <n v="3050.81"/>
    <n v="0.01"/>
    <s v="Delivery Truck"/>
    <n v="-124.04"/>
    <n v="140.97999999999999"/>
    <n v="36.090000000000003"/>
    <x v="490"/>
    <x v="9"/>
    <x v="2"/>
    <x v="0"/>
    <x v="2"/>
    <x v="9"/>
    <x v="228"/>
    <s v="Jumbo Box"/>
    <n v="0.77"/>
    <d v="2012-09-16T00:00:00"/>
    <n v="0"/>
    <n v="0"/>
    <n v="1"/>
    <n v="0.25"/>
  </r>
  <r>
    <n v="8147"/>
    <n v="58273"/>
    <x v="800"/>
    <x v="30"/>
    <s v="High"/>
    <n v="31"/>
    <n v="244.9"/>
    <n v="0.08"/>
    <s v="Regular Air"/>
    <n v="-61.14"/>
    <n v="8.4600000000000009"/>
    <n v="3.62"/>
    <x v="211"/>
    <x v="9"/>
    <x v="2"/>
    <x v="2"/>
    <x v="1"/>
    <x v="7"/>
    <x v="919"/>
    <s v="Small Pack"/>
    <n v="0.61"/>
    <d v="2010-06-20T00:00:00"/>
    <n v="0"/>
    <n v="0"/>
    <n v="1"/>
    <n v="1"/>
  </r>
  <r>
    <n v="8210"/>
    <n v="58693"/>
    <x v="839"/>
    <x v="19"/>
    <s v="Low"/>
    <n v="50"/>
    <n v="876.64"/>
    <n v="0"/>
    <s v="Regular Air"/>
    <n v="-126.684"/>
    <n v="15.99"/>
    <n v="13.18"/>
    <x v="193"/>
    <x v="9"/>
    <x v="2"/>
    <x v="2"/>
    <x v="0"/>
    <x v="2"/>
    <x v="22"/>
    <s v="Small Box"/>
    <n v="0.37"/>
    <d v="2009-10-25T00:00:00"/>
    <n v="0"/>
    <n v="0"/>
    <n v="1"/>
    <n v="1"/>
  </r>
  <r>
    <n v="8228"/>
    <n v="58818"/>
    <x v="1169"/>
    <x v="46"/>
    <s v="Critical"/>
    <n v="41"/>
    <n v="998.05"/>
    <n v="0.01"/>
    <s v="Regular Air"/>
    <n v="391.14"/>
    <n v="22.98"/>
    <n v="1.99"/>
    <x v="689"/>
    <x v="9"/>
    <x v="2"/>
    <x v="1"/>
    <x v="1"/>
    <x v="7"/>
    <x v="375"/>
    <s v="Small Pack"/>
    <n v="0.46"/>
    <d v="2009-04-16T00:00:00"/>
    <n v="0"/>
    <n v="0"/>
    <n v="0.5"/>
    <n v="0.5"/>
  </r>
  <r>
    <n v="8229"/>
    <n v="58818"/>
    <x v="1169"/>
    <x v="46"/>
    <s v="Critical"/>
    <n v="20"/>
    <n v="4353.0200000000004"/>
    <n v="0.1"/>
    <s v="Delivery Truck"/>
    <n v="661.77"/>
    <n v="226.67"/>
    <n v="28.16"/>
    <x v="689"/>
    <x v="9"/>
    <x v="2"/>
    <x v="1"/>
    <x v="2"/>
    <x v="14"/>
    <x v="108"/>
    <s v="Jumbo Drum"/>
    <n v="0.59"/>
    <d v="2009-04-17T00:00:00"/>
    <n v="0"/>
    <n v="0"/>
    <n v="0.5"/>
    <n v="0.5"/>
  </r>
  <r>
    <n v="8277"/>
    <n v="59171"/>
    <x v="256"/>
    <x v="31"/>
    <s v="Medium"/>
    <n v="39"/>
    <n v="105.07"/>
    <n v="0.08"/>
    <s v="Regular Air"/>
    <n v="9.11"/>
    <n v="2.88"/>
    <n v="0.7"/>
    <x v="318"/>
    <x v="9"/>
    <x v="2"/>
    <x v="2"/>
    <x v="0"/>
    <x v="12"/>
    <x v="808"/>
    <s v="Wrap Bag"/>
    <n v="0.56000000000000005"/>
    <d v="2011-09-13T00:00:00"/>
    <n v="0"/>
    <n v="0"/>
    <n v="1"/>
    <n v="1"/>
  </r>
  <r>
    <n v="8301"/>
    <n v="59271"/>
    <x v="810"/>
    <x v="37"/>
    <s v="Not Specified"/>
    <n v="40"/>
    <n v="630.38"/>
    <n v="0.02"/>
    <s v="Express Air"/>
    <n v="-186.77"/>
    <n v="14.81"/>
    <n v="13.32"/>
    <x v="690"/>
    <x v="9"/>
    <x v="2"/>
    <x v="2"/>
    <x v="0"/>
    <x v="1"/>
    <x v="531"/>
    <s v="Small Box"/>
    <n v="0.43"/>
    <d v="2011-04-26T00:00:00"/>
    <n v="0"/>
    <n v="0"/>
    <n v="0.5"/>
    <n v="0.33333333333333331"/>
  </r>
  <r>
    <n v="8302"/>
    <n v="59271"/>
    <x v="810"/>
    <x v="37"/>
    <s v="Not Specified"/>
    <n v="23"/>
    <n v="144.03"/>
    <n v="0.02"/>
    <s v="Regular Air"/>
    <n v="-37.04"/>
    <n v="5.98"/>
    <n v="5.2"/>
    <x v="690"/>
    <x v="9"/>
    <x v="2"/>
    <x v="2"/>
    <x v="0"/>
    <x v="5"/>
    <x v="449"/>
    <s v="Small Box"/>
    <n v="0.36"/>
    <d v="2011-04-27T00:00:00"/>
    <n v="0"/>
    <n v="0"/>
    <n v="0.5"/>
    <n v="0.33333333333333331"/>
  </r>
  <r>
    <n v="8347"/>
    <n v="59680"/>
    <x v="1107"/>
    <x v="8"/>
    <s v="Critical"/>
    <n v="15"/>
    <n v="17.77"/>
    <n v="0.05"/>
    <s v="Regular Air"/>
    <n v="-37.67"/>
    <n v="0.99"/>
    <n v="2.96"/>
    <x v="695"/>
    <x v="9"/>
    <x v="2"/>
    <x v="1"/>
    <x v="1"/>
    <x v="7"/>
    <x v="1240"/>
    <s v="Small Pack"/>
    <n v="0.61"/>
    <d v="2012-06-19T00:00:00"/>
    <n v="0"/>
    <n v="0"/>
    <n v="1"/>
    <n v="1"/>
  </r>
  <r>
    <n v="17"/>
    <n v="97"/>
    <x v="863"/>
    <x v="38"/>
    <s v="Medium"/>
    <n v="26"/>
    <n v="75.569999999999993"/>
    <n v="0.03"/>
    <s v="Regular Air"/>
    <n v="28.24"/>
    <n v="2.89"/>
    <n v="0.5"/>
    <x v="340"/>
    <x v="11"/>
    <x v="7"/>
    <x v="1"/>
    <x v="0"/>
    <x v="11"/>
    <x v="349"/>
    <s v="Small Box"/>
    <n v="0.38"/>
    <d v="2010-01-29T00:00:00"/>
    <n v="1"/>
    <n v="0"/>
    <n v="1"/>
    <n v="1"/>
  </r>
  <r>
    <n v="54"/>
    <n v="323"/>
    <x v="474"/>
    <x v="28"/>
    <s v="Critical"/>
    <n v="20"/>
    <n v="108.09"/>
    <n v="7.0000000000000007E-2"/>
    <s v="Regular Air"/>
    <n v="25.76"/>
    <n v="5.68"/>
    <n v="1.39"/>
    <x v="697"/>
    <x v="11"/>
    <x v="7"/>
    <x v="0"/>
    <x v="0"/>
    <x v="8"/>
    <x v="474"/>
    <s v="Small Box"/>
    <n v="0.38"/>
    <d v="2009-03-27T00:00:00"/>
    <n v="0"/>
    <n v="0"/>
    <n v="0.5"/>
    <n v="0.5"/>
  </r>
  <r>
    <n v="55"/>
    <n v="323"/>
    <x v="474"/>
    <x v="28"/>
    <s v="Critical"/>
    <n v="2"/>
    <n v="55.34"/>
    <n v="0.06"/>
    <s v="Regular Air"/>
    <n v="-31.24"/>
    <n v="22.84"/>
    <n v="11.54"/>
    <x v="697"/>
    <x v="11"/>
    <x v="7"/>
    <x v="0"/>
    <x v="0"/>
    <x v="5"/>
    <x v="1062"/>
    <s v="Small Box"/>
    <n v="0.39"/>
    <d v="2009-03-27T00:00:00"/>
    <n v="0"/>
    <n v="0"/>
    <n v="0.5"/>
    <n v="0.5"/>
  </r>
  <r>
    <n v="173"/>
    <n v="1095"/>
    <x v="1049"/>
    <x v="21"/>
    <s v="Medium"/>
    <n v="28"/>
    <n v="142.18"/>
    <n v="7.0000000000000007E-2"/>
    <s v="Regular Air"/>
    <n v="-50.14"/>
    <n v="4.9800000000000004"/>
    <n v="4.72"/>
    <x v="569"/>
    <x v="11"/>
    <x v="7"/>
    <x v="1"/>
    <x v="0"/>
    <x v="5"/>
    <x v="751"/>
    <s v="Small Box"/>
    <n v="0.36"/>
    <d v="2011-08-23T00:00:00"/>
    <n v="0"/>
    <n v="0"/>
    <n v="1"/>
    <n v="0.5"/>
  </r>
  <r>
    <n v="367"/>
    <n v="2562"/>
    <x v="1202"/>
    <x v="29"/>
    <s v="Critical"/>
    <n v="28"/>
    <n v="64.819999999999993"/>
    <n v="0.02"/>
    <s v="Regular Air"/>
    <n v="-32.03"/>
    <n v="2.12"/>
    <n v="1.99"/>
    <x v="698"/>
    <x v="11"/>
    <x v="7"/>
    <x v="1"/>
    <x v="1"/>
    <x v="7"/>
    <x v="926"/>
    <s v="Small Pack"/>
    <n v="0.55000000000000004"/>
    <d v="2012-08-03T00:00:00"/>
    <n v="0"/>
    <n v="0"/>
    <n v="0.33333333333333331"/>
    <n v="0.33333333333333331"/>
  </r>
  <r>
    <n v="368"/>
    <n v="2562"/>
    <x v="1202"/>
    <x v="29"/>
    <s v="Critical"/>
    <n v="6"/>
    <n v="77.599999999999994"/>
    <n v="0.08"/>
    <s v="Regular Air"/>
    <n v="-37.07"/>
    <n v="11.34"/>
    <n v="11.25"/>
    <x v="698"/>
    <x v="11"/>
    <x v="7"/>
    <x v="1"/>
    <x v="0"/>
    <x v="5"/>
    <x v="946"/>
    <s v="Small Box"/>
    <n v="0.36"/>
    <d v="2012-08-02T00:00:00"/>
    <n v="0"/>
    <n v="0"/>
    <n v="0.33333333333333331"/>
    <n v="0.33333333333333331"/>
  </r>
  <r>
    <n v="369"/>
    <n v="2562"/>
    <x v="1202"/>
    <x v="29"/>
    <s v="Critical"/>
    <n v="17"/>
    <n v="821.18"/>
    <n v="0.04"/>
    <s v="Express Air"/>
    <n v="308.63"/>
    <n v="48.91"/>
    <n v="5.81"/>
    <x v="698"/>
    <x v="11"/>
    <x v="7"/>
    <x v="1"/>
    <x v="0"/>
    <x v="5"/>
    <x v="83"/>
    <s v="Small Box"/>
    <n v="0.38"/>
    <d v="2012-08-01T00:00:00"/>
    <n v="0"/>
    <n v="0"/>
    <n v="0.33333333333333331"/>
    <n v="0.33333333333333331"/>
  </r>
  <r>
    <n v="600"/>
    <n v="4099"/>
    <x v="573"/>
    <x v="9"/>
    <s v="Critical"/>
    <n v="42"/>
    <n v="1691.51"/>
    <n v="0.08"/>
    <s v="Regular Air"/>
    <n v="285.16000000000003"/>
    <n v="42.76"/>
    <n v="6.22"/>
    <x v="569"/>
    <x v="11"/>
    <x v="7"/>
    <x v="1"/>
    <x v="0"/>
    <x v="0"/>
    <x v="7"/>
    <s v="Small Box"/>
    <m/>
    <d v="2012-08-21T00:00:00"/>
    <n v="0"/>
    <n v="0"/>
    <n v="0.25"/>
    <n v="0.25"/>
  </r>
  <r>
    <n v="601"/>
    <n v="4099"/>
    <x v="573"/>
    <x v="9"/>
    <s v="Critical"/>
    <n v="12"/>
    <n v="122.93"/>
    <n v="0.04"/>
    <s v="Regular Air"/>
    <n v="-6.83"/>
    <n v="9.7799999999999994"/>
    <n v="5.76"/>
    <x v="569"/>
    <x v="11"/>
    <x v="7"/>
    <x v="1"/>
    <x v="0"/>
    <x v="8"/>
    <x v="430"/>
    <s v="Small Box"/>
    <n v="0.35"/>
    <d v="2012-08-23T00:00:00"/>
    <n v="0"/>
    <n v="0"/>
    <n v="0.25"/>
    <n v="0.25"/>
  </r>
  <r>
    <n v="602"/>
    <n v="4099"/>
    <x v="573"/>
    <x v="9"/>
    <s v="Critical"/>
    <n v="4"/>
    <n v="47.86"/>
    <n v="0"/>
    <s v="Regular Air"/>
    <n v="-17.32"/>
    <n v="9.48"/>
    <n v="7.29"/>
    <x v="569"/>
    <x v="11"/>
    <x v="7"/>
    <x v="1"/>
    <x v="2"/>
    <x v="4"/>
    <x v="722"/>
    <s v="Small Pack"/>
    <n v="0.45"/>
    <d v="2012-08-21T00:00:00"/>
    <n v="0"/>
    <n v="0"/>
    <n v="0.25"/>
    <n v="0.25"/>
  </r>
  <r>
    <n v="603"/>
    <n v="4099"/>
    <x v="573"/>
    <x v="9"/>
    <s v="Critical"/>
    <n v="39"/>
    <n v="3607.8504999999996"/>
    <n v="0.05"/>
    <s v="Regular Air"/>
    <n v="784.49399999999991"/>
    <n v="110.99"/>
    <n v="8.99"/>
    <x v="569"/>
    <x v="11"/>
    <x v="7"/>
    <x v="1"/>
    <x v="1"/>
    <x v="3"/>
    <x v="425"/>
    <s v="Small Box"/>
    <n v="0.56999999999999995"/>
    <d v="2012-08-22T00:00:00"/>
    <n v="0"/>
    <n v="0"/>
    <n v="0.25"/>
    <n v="0.25"/>
  </r>
  <r>
    <n v="770"/>
    <n v="5509"/>
    <x v="315"/>
    <x v="46"/>
    <s v="Low"/>
    <n v="11"/>
    <n v="68.459999999999994"/>
    <n v="0.02"/>
    <s v="Regular Air"/>
    <n v="-22.48"/>
    <n v="5.58"/>
    <n v="5.3"/>
    <x v="625"/>
    <x v="11"/>
    <x v="7"/>
    <x v="3"/>
    <x v="0"/>
    <x v="8"/>
    <x v="686"/>
    <s v="Small Box"/>
    <n v="0.35"/>
    <d v="2009-04-12T00:00:00"/>
    <n v="0"/>
    <n v="0"/>
    <n v="0.5"/>
    <n v="0.5"/>
  </r>
  <r>
    <n v="771"/>
    <n v="5509"/>
    <x v="315"/>
    <x v="46"/>
    <s v="Low"/>
    <n v="21"/>
    <n v="885.23"/>
    <n v="0.03"/>
    <s v="Regular Air"/>
    <n v="78.98"/>
    <n v="40.89"/>
    <n v="18.98"/>
    <x v="625"/>
    <x v="11"/>
    <x v="7"/>
    <x v="3"/>
    <x v="2"/>
    <x v="4"/>
    <x v="529"/>
    <s v="Small Box"/>
    <n v="0.56999999999999995"/>
    <d v="2009-04-14T00:00:00"/>
    <n v="0"/>
    <n v="0"/>
    <n v="0.5"/>
    <n v="0.5"/>
  </r>
  <r>
    <n v="1107"/>
    <n v="8132"/>
    <x v="1046"/>
    <x v="43"/>
    <s v="Low"/>
    <n v="46"/>
    <n v="229.35"/>
    <n v="0.08"/>
    <s v="Express Air"/>
    <n v="-165.45"/>
    <n v="4.8899999999999997"/>
    <n v="4.93"/>
    <x v="699"/>
    <x v="11"/>
    <x v="7"/>
    <x v="3"/>
    <x v="1"/>
    <x v="7"/>
    <x v="23"/>
    <s v="Small Pack"/>
    <n v="0.66"/>
    <d v="2009-05-14T00:00:00"/>
    <n v="0"/>
    <n v="0"/>
    <n v="0.5"/>
    <n v="0.5"/>
  </r>
  <r>
    <n v="1108"/>
    <n v="8132"/>
    <x v="1046"/>
    <x v="43"/>
    <s v="Low"/>
    <n v="45"/>
    <n v="294.86"/>
    <n v="7.0000000000000007E-2"/>
    <s v="Regular Air"/>
    <n v="-141.12"/>
    <n v="6.68"/>
    <n v="6.92"/>
    <x v="699"/>
    <x v="11"/>
    <x v="7"/>
    <x v="3"/>
    <x v="0"/>
    <x v="5"/>
    <x v="526"/>
    <s v="Small Box"/>
    <n v="0.37"/>
    <d v="2009-05-21T00:00:00"/>
    <n v="0"/>
    <n v="0"/>
    <n v="0.5"/>
    <n v="0.5"/>
  </r>
  <r>
    <n v="1209"/>
    <n v="8868"/>
    <x v="1367"/>
    <x v="22"/>
    <s v="Low"/>
    <n v="3"/>
    <n v="190.45"/>
    <n v="0.02"/>
    <s v="Regular Air"/>
    <n v="-44.05"/>
    <n v="59.98"/>
    <n v="3.99"/>
    <x v="698"/>
    <x v="11"/>
    <x v="7"/>
    <x v="2"/>
    <x v="0"/>
    <x v="1"/>
    <x v="323"/>
    <s v="Small Box"/>
    <n v="0.56999999999999995"/>
    <d v="2009-02-06T00:00:00"/>
    <n v="0"/>
    <n v="1"/>
    <n v="0.5"/>
    <n v="0.5"/>
  </r>
  <r>
    <n v="1210"/>
    <n v="8868"/>
    <x v="1367"/>
    <x v="22"/>
    <s v="Low"/>
    <n v="34"/>
    <n v="179.99"/>
    <n v="0.03"/>
    <s v="Regular Air"/>
    <n v="-102.26950000000001"/>
    <n v="5.18"/>
    <n v="5.74"/>
    <x v="698"/>
    <x v="11"/>
    <x v="7"/>
    <x v="2"/>
    <x v="0"/>
    <x v="2"/>
    <x v="460"/>
    <s v="Small Box"/>
    <n v="0.36"/>
    <d v="2009-02-01T00:00:00"/>
    <n v="0"/>
    <n v="1"/>
    <n v="0.5"/>
    <n v="0.5"/>
  </r>
  <r>
    <n v="1351"/>
    <n v="9857"/>
    <x v="658"/>
    <x v="39"/>
    <s v="High"/>
    <n v="50"/>
    <n v="3615.8405000000002"/>
    <n v="0.03"/>
    <s v="Regular Air"/>
    <n v="1861.3530000000001"/>
    <n v="85.99"/>
    <n v="3.3"/>
    <x v="535"/>
    <x v="11"/>
    <x v="7"/>
    <x v="3"/>
    <x v="1"/>
    <x v="3"/>
    <x v="601"/>
    <s v="Small Pack"/>
    <n v="0.37"/>
    <d v="2010-05-13T00:00:00"/>
    <n v="0"/>
    <n v="0"/>
    <n v="0.25"/>
    <n v="0.25"/>
  </r>
  <r>
    <n v="1407"/>
    <n v="10213"/>
    <x v="260"/>
    <x v="44"/>
    <s v="High"/>
    <n v="12"/>
    <n v="464.57"/>
    <n v="0.04"/>
    <s v="Regular Air"/>
    <n v="-79.180000000000007"/>
    <n v="39.979999999999997"/>
    <n v="4"/>
    <x v="700"/>
    <x v="11"/>
    <x v="7"/>
    <x v="2"/>
    <x v="1"/>
    <x v="7"/>
    <x v="701"/>
    <s v="Small Box"/>
    <n v="0.7"/>
    <d v="2011-02-19T00:00:00"/>
    <n v="0"/>
    <n v="0"/>
    <n v="1"/>
    <n v="1"/>
  </r>
  <r>
    <n v="1505"/>
    <n v="10884"/>
    <x v="11"/>
    <x v="11"/>
    <s v="Low"/>
    <n v="24"/>
    <n v="2525.9874999999997"/>
    <n v="0.09"/>
    <s v="Regular Air"/>
    <n v="416.673"/>
    <n v="125.99"/>
    <n v="8.99"/>
    <x v="698"/>
    <x v="11"/>
    <x v="7"/>
    <x v="1"/>
    <x v="1"/>
    <x v="3"/>
    <x v="628"/>
    <s v="Small Box"/>
    <n v="0.55000000000000004"/>
    <d v="2009-12-02T00:00:00"/>
    <n v="0"/>
    <n v="0"/>
    <n v="1"/>
    <n v="1"/>
  </r>
  <r>
    <n v="1638"/>
    <n v="11843"/>
    <x v="811"/>
    <x v="36"/>
    <s v="Medium"/>
    <n v="42"/>
    <n v="4993.42"/>
    <n v="0.03"/>
    <s v="Delivery Truck"/>
    <n v="190.14"/>
    <n v="119.99"/>
    <n v="56.14"/>
    <x v="698"/>
    <x v="11"/>
    <x v="7"/>
    <x v="1"/>
    <x v="1"/>
    <x v="16"/>
    <x v="735"/>
    <s v="Jumbo Box"/>
    <n v="0.39"/>
    <d v="2009-07-19T00:00:00"/>
    <n v="0"/>
    <n v="0"/>
    <n v="0.5"/>
    <n v="0.5"/>
  </r>
  <r>
    <n v="1639"/>
    <n v="11843"/>
    <x v="811"/>
    <x v="36"/>
    <s v="Medium"/>
    <n v="9"/>
    <n v="1059.3"/>
    <n v="0.05"/>
    <s v="Regular Air"/>
    <n v="67.599999999999923"/>
    <n v="115.79"/>
    <n v="1.99"/>
    <x v="698"/>
    <x v="11"/>
    <x v="7"/>
    <x v="1"/>
    <x v="1"/>
    <x v="7"/>
    <x v="799"/>
    <s v="Small Pack"/>
    <n v="0.49"/>
    <d v="2009-07-19T00:00:00"/>
    <n v="0"/>
    <n v="0"/>
    <n v="0.5"/>
    <n v="0.5"/>
  </r>
  <r>
    <n v="1679"/>
    <n v="12099"/>
    <x v="82"/>
    <x v="35"/>
    <s v="Critical"/>
    <n v="1"/>
    <n v="17.59"/>
    <n v="0.06"/>
    <s v="Express Air"/>
    <n v="10.85"/>
    <n v="2.61"/>
    <n v="0.5"/>
    <x v="701"/>
    <x v="11"/>
    <x v="7"/>
    <x v="2"/>
    <x v="0"/>
    <x v="11"/>
    <x v="400"/>
    <s v="Small Box"/>
    <n v="0.39"/>
    <d v="2009-09-11T00:00:00"/>
    <n v="0"/>
    <n v="0"/>
    <n v="0.5"/>
    <n v="0.5"/>
  </r>
  <r>
    <n v="1680"/>
    <n v="12099"/>
    <x v="82"/>
    <x v="35"/>
    <s v="Critical"/>
    <n v="48"/>
    <n v="308.81"/>
    <n v="0.01"/>
    <s v="Regular Air"/>
    <n v="128.28"/>
    <n v="6.35"/>
    <n v="1.02"/>
    <x v="701"/>
    <x v="11"/>
    <x v="7"/>
    <x v="2"/>
    <x v="0"/>
    <x v="5"/>
    <x v="62"/>
    <s v="Wrap Bag"/>
    <n v="0.39"/>
    <d v="2009-09-13T00:00:00"/>
    <n v="0"/>
    <n v="0"/>
    <n v="0.5"/>
    <n v="0.5"/>
  </r>
  <r>
    <n v="1726"/>
    <n v="12418"/>
    <x v="1213"/>
    <x v="12"/>
    <s v="Not Specified"/>
    <n v="38"/>
    <n v="299.01"/>
    <n v="0.09"/>
    <s v="Regular Air"/>
    <n v="-142.86000000000001"/>
    <n v="7.98"/>
    <n v="6.5"/>
    <x v="569"/>
    <x v="11"/>
    <x v="7"/>
    <x v="3"/>
    <x v="0"/>
    <x v="0"/>
    <x v="1077"/>
    <s v="Medium Box"/>
    <n v="0.59"/>
    <d v="2012-02-20T00:00:00"/>
    <n v="0"/>
    <n v="0"/>
    <n v="1"/>
    <n v="0.33333333333333331"/>
  </r>
  <r>
    <n v="1944"/>
    <n v="13923"/>
    <x v="1361"/>
    <x v="29"/>
    <s v="High"/>
    <n v="39"/>
    <n v="220.09"/>
    <n v="0.04"/>
    <s v="Regular Air"/>
    <n v="-1795.74"/>
    <n v="4.4800000000000004"/>
    <n v="49"/>
    <x v="569"/>
    <x v="11"/>
    <x v="7"/>
    <x v="3"/>
    <x v="0"/>
    <x v="1"/>
    <x v="43"/>
    <s v="Large Box"/>
    <n v="0.6"/>
    <d v="2012-07-10T00:00:00"/>
    <n v="0"/>
    <n v="0"/>
    <n v="0.25"/>
    <n v="0.25"/>
  </r>
  <r>
    <n v="1945"/>
    <n v="13923"/>
    <x v="1361"/>
    <x v="29"/>
    <s v="High"/>
    <n v="49"/>
    <n v="1220.23"/>
    <n v="0"/>
    <s v="Regular Air"/>
    <n v="172.62"/>
    <n v="22.84"/>
    <n v="11.54"/>
    <x v="569"/>
    <x v="11"/>
    <x v="7"/>
    <x v="3"/>
    <x v="0"/>
    <x v="5"/>
    <x v="1062"/>
    <s v="Small Box"/>
    <n v="0.39"/>
    <d v="2012-07-09T00:00:00"/>
    <n v="0"/>
    <n v="0"/>
    <n v="0.25"/>
    <n v="0.25"/>
  </r>
  <r>
    <n v="1946"/>
    <n v="13923"/>
    <x v="1361"/>
    <x v="29"/>
    <s v="High"/>
    <n v="27"/>
    <n v="6152.8"/>
    <n v="0.04"/>
    <s v="Delivery Truck"/>
    <n v="554.54999999999995"/>
    <n v="225.02"/>
    <n v="28.66"/>
    <x v="569"/>
    <x v="11"/>
    <x v="7"/>
    <x v="3"/>
    <x v="0"/>
    <x v="0"/>
    <x v="275"/>
    <s v="Jumbo Drum"/>
    <n v="0.72"/>
    <d v="2012-07-10T00:00:00"/>
    <n v="0"/>
    <n v="0"/>
    <n v="0.25"/>
    <n v="0.25"/>
  </r>
  <r>
    <n v="2028"/>
    <n v="14439"/>
    <x v="263"/>
    <x v="9"/>
    <s v="High"/>
    <n v="27"/>
    <n v="1428.64"/>
    <n v="0.09"/>
    <s v="Regular Air"/>
    <n v="494.26"/>
    <n v="54.96"/>
    <n v="10.75"/>
    <x v="701"/>
    <x v="11"/>
    <x v="7"/>
    <x v="2"/>
    <x v="0"/>
    <x v="5"/>
    <x v="229"/>
    <s v="Small Box"/>
    <n v="0.36"/>
    <d v="2012-08-31T00:00:00"/>
    <n v="0"/>
    <n v="0"/>
    <n v="1"/>
    <n v="1"/>
  </r>
  <r>
    <n v="2310"/>
    <n v="16643"/>
    <x v="358"/>
    <x v="24"/>
    <s v="Low"/>
    <n v="40"/>
    <n v="312.63"/>
    <n v="0.01"/>
    <s v="Regular Air"/>
    <n v="167.3"/>
    <n v="7.31"/>
    <n v="0.49"/>
    <x v="552"/>
    <x v="11"/>
    <x v="7"/>
    <x v="3"/>
    <x v="0"/>
    <x v="11"/>
    <x v="31"/>
    <s v="Small Box"/>
    <n v="0.38"/>
    <d v="2010-04-15T00:00:00"/>
    <n v="0"/>
    <n v="0"/>
    <n v="0.5"/>
    <n v="0.5"/>
  </r>
  <r>
    <n v="2311"/>
    <n v="16643"/>
    <x v="358"/>
    <x v="24"/>
    <s v="Low"/>
    <n v="46"/>
    <n v="441.4"/>
    <n v="0.06"/>
    <s v="Regular Air"/>
    <n v="146.04"/>
    <n v="10.06"/>
    <n v="2.06"/>
    <x v="552"/>
    <x v="11"/>
    <x v="7"/>
    <x v="3"/>
    <x v="0"/>
    <x v="5"/>
    <x v="456"/>
    <s v="Wrap Bag"/>
    <n v="0.39"/>
    <d v="2010-04-15T00:00:00"/>
    <n v="0"/>
    <n v="0"/>
    <n v="0.5"/>
    <n v="0.5"/>
  </r>
  <r>
    <n v="2337"/>
    <n v="16807"/>
    <x v="1131"/>
    <x v="23"/>
    <s v="Medium"/>
    <n v="48"/>
    <n v="1585.6"/>
    <n v="0.08"/>
    <s v="Regular Air"/>
    <n v="632.13"/>
    <n v="35.44"/>
    <n v="4.92"/>
    <x v="552"/>
    <x v="11"/>
    <x v="7"/>
    <x v="0"/>
    <x v="0"/>
    <x v="5"/>
    <x v="371"/>
    <s v="Small Box"/>
    <n v="0.38"/>
    <d v="2012-01-16T00:00:00"/>
    <n v="0"/>
    <n v="0"/>
    <n v="0.5"/>
    <n v="0.5"/>
  </r>
  <r>
    <n v="2338"/>
    <n v="16807"/>
    <x v="1131"/>
    <x v="23"/>
    <s v="Medium"/>
    <n v="30"/>
    <n v="215.85"/>
    <n v="0.09"/>
    <s v="Regular Air"/>
    <n v="60.95"/>
    <n v="7.4"/>
    <n v="1.71"/>
    <x v="552"/>
    <x v="11"/>
    <x v="7"/>
    <x v="0"/>
    <x v="0"/>
    <x v="5"/>
    <x v="677"/>
    <s v="Wrap Bag"/>
    <n v="0.4"/>
    <d v="2012-01-17T00:00:00"/>
    <n v="0"/>
    <n v="0"/>
    <n v="0.5"/>
    <n v="0.5"/>
  </r>
  <r>
    <n v="2342"/>
    <n v="16864"/>
    <x v="149"/>
    <x v="1"/>
    <s v="Not Specified"/>
    <n v="42"/>
    <n v="12837.11"/>
    <n v="0.05"/>
    <s v="Delivery Truck"/>
    <n v="1881.76"/>
    <n v="320.64"/>
    <n v="43.57"/>
    <x v="698"/>
    <x v="11"/>
    <x v="7"/>
    <x v="1"/>
    <x v="2"/>
    <x v="10"/>
    <x v="1104"/>
    <s v="Jumbo Box"/>
    <n v="0.63"/>
    <d v="2012-10-29T00:00:00"/>
    <n v="0"/>
    <n v="0"/>
    <n v="1"/>
    <n v="1"/>
  </r>
  <r>
    <n v="2494"/>
    <n v="18147"/>
    <x v="811"/>
    <x v="36"/>
    <s v="Not Specified"/>
    <n v="42"/>
    <n v="82.03"/>
    <n v="0"/>
    <s v="Regular Air"/>
    <n v="-15.5595"/>
    <n v="1.88"/>
    <n v="1.49"/>
    <x v="535"/>
    <x v="11"/>
    <x v="7"/>
    <x v="3"/>
    <x v="0"/>
    <x v="2"/>
    <x v="74"/>
    <s v="Small Box"/>
    <n v="0.37"/>
    <d v="2009-07-18T00:00:00"/>
    <n v="0"/>
    <n v="0"/>
    <n v="0.5"/>
    <n v="0.5"/>
  </r>
  <r>
    <n v="2495"/>
    <n v="18147"/>
    <x v="811"/>
    <x v="36"/>
    <s v="Not Specified"/>
    <n v="50"/>
    <n v="290.91000000000003"/>
    <n v="0.06"/>
    <s v="Regular Air"/>
    <n v="-108.19"/>
    <n v="5.78"/>
    <n v="5.67"/>
    <x v="535"/>
    <x v="11"/>
    <x v="7"/>
    <x v="3"/>
    <x v="0"/>
    <x v="5"/>
    <x v="443"/>
    <s v="Small Box"/>
    <n v="0.36"/>
    <d v="2009-07-18T00:00:00"/>
    <n v="0"/>
    <n v="0"/>
    <n v="0.5"/>
    <n v="0.5"/>
  </r>
  <r>
    <n v="2617"/>
    <n v="18918"/>
    <x v="809"/>
    <x v="1"/>
    <s v="Not Specified"/>
    <n v="7"/>
    <n v="6362.94"/>
    <n v="0.1"/>
    <s v="Regular Air"/>
    <n v="-221.78039999999999"/>
    <n v="999.99"/>
    <n v="13.99"/>
    <x v="552"/>
    <x v="11"/>
    <x v="7"/>
    <x v="2"/>
    <x v="1"/>
    <x v="16"/>
    <x v="1036"/>
    <s v="Medium Box"/>
    <n v="0.36"/>
    <d v="2012-10-28T00:00:00"/>
    <n v="0"/>
    <n v="0"/>
    <n v="1"/>
    <n v="1"/>
  </r>
  <r>
    <n v="2618"/>
    <n v="18919"/>
    <x v="451"/>
    <x v="41"/>
    <s v="Low"/>
    <n v="39"/>
    <n v="739.28"/>
    <n v="0"/>
    <s v="Regular Air"/>
    <n v="43.97"/>
    <n v="17.52"/>
    <n v="8.17"/>
    <x v="702"/>
    <x v="11"/>
    <x v="7"/>
    <x v="3"/>
    <x v="0"/>
    <x v="1"/>
    <x v="1131"/>
    <s v="Medium Box"/>
    <n v="0.5"/>
    <d v="2009-07-03T00:00:00"/>
    <n v="0"/>
    <n v="0"/>
    <n v="1"/>
    <n v="1"/>
  </r>
  <r>
    <n v="2638"/>
    <n v="19104"/>
    <x v="318"/>
    <x v="3"/>
    <s v="High"/>
    <n v="48"/>
    <n v="5085.9070000000002"/>
    <n v="0.03"/>
    <s v="Regular Air"/>
    <n v="1366.6859999999999"/>
    <n v="125.99"/>
    <n v="8.08"/>
    <x v="552"/>
    <x v="11"/>
    <x v="7"/>
    <x v="0"/>
    <x v="1"/>
    <x v="3"/>
    <x v="162"/>
    <s v="Small Box"/>
    <n v="0.56999999999999995"/>
    <d v="2010-08-12T00:00:00"/>
    <n v="0"/>
    <n v="0"/>
    <n v="1"/>
    <n v="1"/>
  </r>
  <r>
    <n v="2659"/>
    <n v="19207"/>
    <x v="123"/>
    <x v="33"/>
    <s v="Not Specified"/>
    <n v="23"/>
    <n v="66.02"/>
    <n v="0.1"/>
    <s v="Regular Air"/>
    <n v="10.88"/>
    <n v="3.08"/>
    <n v="0.99"/>
    <x v="698"/>
    <x v="11"/>
    <x v="7"/>
    <x v="2"/>
    <x v="0"/>
    <x v="11"/>
    <x v="1165"/>
    <s v="Small Box"/>
    <n v="0.37"/>
    <d v="2012-03-17T00:00:00"/>
    <n v="0"/>
    <n v="0"/>
    <n v="0.5"/>
    <n v="0.5"/>
  </r>
  <r>
    <n v="2660"/>
    <n v="19207"/>
    <x v="123"/>
    <x v="33"/>
    <s v="Not Specified"/>
    <n v="11"/>
    <n v="15.53"/>
    <n v="0"/>
    <s v="Regular Air"/>
    <n v="-5.92"/>
    <n v="1.26"/>
    <n v="0.7"/>
    <x v="698"/>
    <x v="11"/>
    <x v="7"/>
    <x v="2"/>
    <x v="0"/>
    <x v="6"/>
    <x v="230"/>
    <s v="Wrap Bag"/>
    <n v="0.81"/>
    <d v="2012-03-16T00:00:00"/>
    <n v="0"/>
    <n v="0"/>
    <n v="0.5"/>
    <n v="0.5"/>
  </r>
  <r>
    <n v="2747"/>
    <n v="19840"/>
    <x v="1199"/>
    <x v="39"/>
    <s v="Critical"/>
    <n v="25"/>
    <n v="8270.57"/>
    <n v="0.08"/>
    <s v="Delivery Truck"/>
    <n v="2851.46"/>
    <n v="400.97"/>
    <n v="48.26"/>
    <x v="700"/>
    <x v="11"/>
    <x v="7"/>
    <x v="2"/>
    <x v="1"/>
    <x v="16"/>
    <x v="749"/>
    <s v="Jumbo Box"/>
    <n v="0.36"/>
    <d v="2010-05-27T00:00:00"/>
    <n v="0"/>
    <n v="0"/>
    <n v="1"/>
    <n v="1"/>
  </r>
  <r>
    <n v="2760"/>
    <n v="19943"/>
    <x v="385"/>
    <x v="11"/>
    <s v="Critical"/>
    <n v="16"/>
    <n v="1959.92"/>
    <n v="7.0000000000000007E-2"/>
    <s v="Delivery Truck"/>
    <n v="-374.96"/>
    <n v="124.49"/>
    <n v="51.94"/>
    <x v="540"/>
    <x v="11"/>
    <x v="7"/>
    <x v="2"/>
    <x v="2"/>
    <x v="10"/>
    <x v="307"/>
    <s v="Jumbo Box"/>
    <n v="0.63"/>
    <d v="2009-11-25T00:00:00"/>
    <n v="0"/>
    <n v="0"/>
    <n v="1"/>
    <n v="1"/>
  </r>
  <r>
    <n v="2765"/>
    <n v="20002"/>
    <x v="678"/>
    <x v="9"/>
    <s v="Medium"/>
    <n v="9"/>
    <n v="41.03"/>
    <n v="0.1"/>
    <s v="Regular Air"/>
    <n v="-30.47"/>
    <n v="4.7699999999999996"/>
    <n v="2.39"/>
    <x v="700"/>
    <x v="11"/>
    <x v="7"/>
    <x v="2"/>
    <x v="1"/>
    <x v="7"/>
    <x v="568"/>
    <s v="Small Pack"/>
    <n v="0.72"/>
    <d v="2012-08-13T00:00:00"/>
    <n v="0"/>
    <n v="0"/>
    <n v="1"/>
    <n v="1"/>
  </r>
  <r>
    <n v="2778"/>
    <n v="20066"/>
    <x v="780"/>
    <x v="34"/>
    <s v="Critical"/>
    <n v="3"/>
    <n v="40.79"/>
    <n v="0.02"/>
    <s v="Regular Air"/>
    <n v="-11.69"/>
    <n v="11.58"/>
    <n v="5.72"/>
    <x v="703"/>
    <x v="11"/>
    <x v="7"/>
    <x v="3"/>
    <x v="0"/>
    <x v="8"/>
    <x v="188"/>
    <s v="Small Box"/>
    <n v="0.35"/>
    <d v="2012-09-03T00:00:00"/>
    <n v="0"/>
    <n v="0"/>
    <n v="0.5"/>
    <n v="0.5"/>
  </r>
  <r>
    <n v="2779"/>
    <n v="20066"/>
    <x v="780"/>
    <x v="34"/>
    <s v="Critical"/>
    <n v="16"/>
    <n v="524.25"/>
    <n v="0"/>
    <s v="Regular Air"/>
    <n v="124.18"/>
    <n v="30.98"/>
    <n v="8.74"/>
    <x v="703"/>
    <x v="11"/>
    <x v="7"/>
    <x v="3"/>
    <x v="0"/>
    <x v="5"/>
    <x v="720"/>
    <s v="Small Box"/>
    <n v="0.4"/>
    <d v="2012-09-04T00:00:00"/>
    <n v="0"/>
    <n v="0"/>
    <n v="0.5"/>
    <n v="0.5"/>
  </r>
  <r>
    <n v="2859"/>
    <n v="20615"/>
    <x v="13"/>
    <x v="13"/>
    <s v="Medium"/>
    <n v="29"/>
    <n v="151.09"/>
    <n v="0.02"/>
    <s v="Express Air"/>
    <n v="4.59"/>
    <n v="4.76"/>
    <n v="3.01"/>
    <x v="699"/>
    <x v="11"/>
    <x v="7"/>
    <x v="3"/>
    <x v="0"/>
    <x v="5"/>
    <x v="697"/>
    <s v="Wrap Bag"/>
    <n v="0.36"/>
    <d v="2012-04-16T00:00:00"/>
    <n v="0"/>
    <n v="0"/>
    <n v="1"/>
    <n v="1"/>
  </r>
  <r>
    <n v="2892"/>
    <n v="20864"/>
    <x v="1096"/>
    <x v="25"/>
    <s v="High"/>
    <n v="19"/>
    <n v="251.45"/>
    <n v="0.06"/>
    <s v="Regular Air"/>
    <n v="90"/>
    <n v="13.4"/>
    <n v="4.95"/>
    <x v="700"/>
    <x v="11"/>
    <x v="7"/>
    <x v="2"/>
    <x v="2"/>
    <x v="4"/>
    <x v="1148"/>
    <s v="Small Pack"/>
    <n v="0.37"/>
    <d v="2011-12-08T00:00:00"/>
    <n v="0"/>
    <n v="0"/>
    <n v="1"/>
    <n v="1"/>
  </r>
  <r>
    <n v="2893"/>
    <n v="20868"/>
    <x v="639"/>
    <x v="0"/>
    <s v="Low"/>
    <n v="9"/>
    <n v="1609.19"/>
    <n v="0.03"/>
    <s v="Regular Air"/>
    <n v="188.91"/>
    <n v="178.47"/>
    <n v="19.989999999999998"/>
    <x v="702"/>
    <x v="11"/>
    <x v="7"/>
    <x v="3"/>
    <x v="0"/>
    <x v="0"/>
    <x v="902"/>
    <s v="Small Box"/>
    <n v="0.55000000000000004"/>
    <d v="2010-10-16T00:00:00"/>
    <n v="0"/>
    <n v="0"/>
    <n v="1"/>
    <n v="1"/>
  </r>
  <r>
    <n v="2983"/>
    <n v="21541"/>
    <x v="171"/>
    <x v="19"/>
    <s v="Not Specified"/>
    <n v="43"/>
    <n v="3044.7"/>
    <n v="0.04"/>
    <s v="Delivery Truck"/>
    <n v="-78.36"/>
    <n v="70.98"/>
    <n v="26.74"/>
    <x v="552"/>
    <x v="11"/>
    <x v="7"/>
    <x v="2"/>
    <x v="2"/>
    <x v="9"/>
    <x v="523"/>
    <s v="Jumbo Box"/>
    <n v="0.6"/>
    <d v="2009-10-10T00:00:00"/>
    <n v="0"/>
    <n v="0"/>
    <n v="1"/>
    <n v="1"/>
  </r>
  <r>
    <n v="3158"/>
    <n v="22661"/>
    <x v="471"/>
    <x v="18"/>
    <s v="Not Specified"/>
    <n v="11"/>
    <n v="18.260000000000002"/>
    <n v="0.05"/>
    <s v="Regular Air"/>
    <n v="-3.89"/>
    <n v="1.68"/>
    <n v="0.7"/>
    <x v="700"/>
    <x v="11"/>
    <x v="7"/>
    <x v="2"/>
    <x v="0"/>
    <x v="12"/>
    <x v="1222"/>
    <s v="Wrap Bag"/>
    <n v="0.6"/>
    <d v="2010-09-29T00:00:00"/>
    <n v="0"/>
    <n v="0"/>
    <n v="1"/>
    <n v="1"/>
  </r>
  <r>
    <n v="3162"/>
    <n v="22689"/>
    <x v="87"/>
    <x v="17"/>
    <s v="Low"/>
    <n v="39"/>
    <n v="2405"/>
    <n v="0.1"/>
    <s v="Regular Air"/>
    <n v="696.17"/>
    <n v="67.84"/>
    <n v="0.99"/>
    <x v="699"/>
    <x v="11"/>
    <x v="7"/>
    <x v="3"/>
    <x v="0"/>
    <x v="1"/>
    <x v="314"/>
    <s v="Small Box"/>
    <n v="0.57999999999999996"/>
    <d v="2011-10-11T00:00:00"/>
    <n v="0"/>
    <n v="0"/>
    <n v="1"/>
    <n v="1"/>
  </r>
  <r>
    <n v="3263"/>
    <n v="23361"/>
    <x v="122"/>
    <x v="42"/>
    <s v="Critical"/>
    <n v="2"/>
    <n v="3.23"/>
    <n v="0.06"/>
    <s v="Regular Air"/>
    <n v="-2.73"/>
    <n v="1.26"/>
    <n v="0.7"/>
    <x v="540"/>
    <x v="11"/>
    <x v="7"/>
    <x v="2"/>
    <x v="0"/>
    <x v="6"/>
    <x v="230"/>
    <s v="Wrap Bag"/>
    <n v="0.81"/>
    <d v="2010-07-04T00:00:00"/>
    <n v="0"/>
    <n v="0"/>
    <n v="0.33333333333333331"/>
    <n v="0.33333333333333331"/>
  </r>
  <r>
    <n v="3264"/>
    <n v="23361"/>
    <x v="122"/>
    <x v="42"/>
    <s v="Critical"/>
    <n v="36"/>
    <n v="2861.66"/>
    <n v="0.04"/>
    <s v="Regular Air"/>
    <n v="-921.68"/>
    <n v="80.98"/>
    <n v="35"/>
    <x v="540"/>
    <x v="11"/>
    <x v="7"/>
    <x v="2"/>
    <x v="0"/>
    <x v="0"/>
    <x v="73"/>
    <s v="Large Box"/>
    <n v="0.81"/>
    <d v="2010-07-04T00:00:00"/>
    <n v="0"/>
    <n v="0"/>
    <n v="0.33333333333333331"/>
    <n v="0.33333333333333331"/>
  </r>
  <r>
    <n v="3265"/>
    <n v="23361"/>
    <x v="122"/>
    <x v="42"/>
    <s v="Critical"/>
    <n v="7"/>
    <n v="373.27749999999997"/>
    <n v="7.0000000000000007E-2"/>
    <s v="Regular Air"/>
    <n v="-204.93"/>
    <n v="65.989999999999995"/>
    <n v="5.26"/>
    <x v="540"/>
    <x v="11"/>
    <x v="7"/>
    <x v="2"/>
    <x v="1"/>
    <x v="3"/>
    <x v="266"/>
    <s v="Small Box"/>
    <n v="0.56000000000000005"/>
    <d v="2010-07-03T00:00:00"/>
    <n v="0"/>
    <n v="0"/>
    <n v="0.33333333333333331"/>
    <n v="0.33333333333333331"/>
  </r>
  <r>
    <n v="3273"/>
    <n v="23396"/>
    <x v="1368"/>
    <x v="30"/>
    <s v="Low"/>
    <n v="30"/>
    <n v="11481.03"/>
    <n v="0.08"/>
    <s v="Delivery Truck"/>
    <n v="2799.65"/>
    <n v="399.98"/>
    <n v="12.06"/>
    <x v="552"/>
    <x v="11"/>
    <x v="7"/>
    <x v="3"/>
    <x v="1"/>
    <x v="16"/>
    <x v="802"/>
    <s v="Jumbo Box"/>
    <n v="0.56000000000000005"/>
    <d v="2010-06-20T00:00:00"/>
    <n v="0"/>
    <n v="0"/>
    <n v="1"/>
    <n v="1"/>
  </r>
  <r>
    <n v="3278"/>
    <n v="23427"/>
    <x v="152"/>
    <x v="21"/>
    <s v="Low"/>
    <n v="30"/>
    <n v="442.76"/>
    <n v="0.09"/>
    <s v="Regular Air"/>
    <n v="-17.112000000000002"/>
    <n v="15.01"/>
    <n v="8.4"/>
    <x v="698"/>
    <x v="11"/>
    <x v="7"/>
    <x v="2"/>
    <x v="0"/>
    <x v="2"/>
    <x v="318"/>
    <s v="Small Box"/>
    <n v="0.39"/>
    <d v="2011-08-15T00:00:00"/>
    <n v="0"/>
    <n v="0"/>
    <n v="0.5"/>
    <n v="0.5"/>
  </r>
  <r>
    <n v="3279"/>
    <n v="23427"/>
    <x v="152"/>
    <x v="21"/>
    <s v="Low"/>
    <n v="22"/>
    <n v="2684.98"/>
    <n v="0.03"/>
    <s v="Regular Air"/>
    <n v="1115.1405"/>
    <n v="120.98"/>
    <n v="9.07"/>
    <x v="698"/>
    <x v="11"/>
    <x v="7"/>
    <x v="2"/>
    <x v="0"/>
    <x v="2"/>
    <x v="352"/>
    <s v="Small Box"/>
    <n v="0.35"/>
    <d v="2011-08-17T00:00:00"/>
    <n v="0"/>
    <n v="0"/>
    <n v="0.5"/>
    <n v="0.5"/>
  </r>
  <r>
    <n v="3323"/>
    <n v="23751"/>
    <x v="466"/>
    <x v="28"/>
    <s v="Medium"/>
    <n v="44"/>
    <n v="10364.36"/>
    <n v="0.01"/>
    <s v="Delivery Truck"/>
    <n v="1049.03"/>
    <n v="220.98"/>
    <n v="64.66"/>
    <x v="704"/>
    <x v="11"/>
    <x v="7"/>
    <x v="2"/>
    <x v="2"/>
    <x v="9"/>
    <x v="778"/>
    <s v="Jumbo Box"/>
    <n v="0.62"/>
    <d v="2009-03-19T00:00:00"/>
    <n v="0"/>
    <n v="0"/>
    <n v="1"/>
    <n v="1"/>
  </r>
  <r>
    <n v="3348"/>
    <n v="23943"/>
    <x v="431"/>
    <x v="4"/>
    <s v="Critical"/>
    <n v="24"/>
    <n v="376.53"/>
    <n v="0.03"/>
    <s v="Regular Air"/>
    <n v="3.44"/>
    <n v="15.94"/>
    <n v="5.45"/>
    <x v="701"/>
    <x v="11"/>
    <x v="7"/>
    <x v="2"/>
    <x v="0"/>
    <x v="12"/>
    <x v="344"/>
    <s v="Small Pack"/>
    <n v="0.55000000000000004"/>
    <d v="2011-06-25T00:00:00"/>
    <n v="0"/>
    <n v="0"/>
    <n v="1"/>
    <n v="1"/>
  </r>
  <r>
    <n v="3450"/>
    <n v="24608"/>
    <x v="556"/>
    <x v="9"/>
    <s v="Medium"/>
    <n v="50"/>
    <n v="197.36"/>
    <n v="7.0000000000000007E-2"/>
    <s v="Regular Air"/>
    <n v="-43.5045"/>
    <n v="4.18"/>
    <n v="2.99"/>
    <x v="552"/>
    <x v="11"/>
    <x v="7"/>
    <x v="3"/>
    <x v="0"/>
    <x v="2"/>
    <x v="841"/>
    <s v="Small Box"/>
    <n v="0.37"/>
    <d v="2012-08-15T00:00:00"/>
    <n v="0"/>
    <n v="0"/>
    <n v="1"/>
    <n v="1"/>
  </r>
  <r>
    <n v="3579"/>
    <n v="25507"/>
    <x v="118"/>
    <x v="26"/>
    <s v="Not Specified"/>
    <n v="8"/>
    <n v="555.20000000000005"/>
    <n v="0.06"/>
    <s v="Regular Air"/>
    <n v="-267.86"/>
    <n v="64.650000000000006"/>
    <n v="35"/>
    <x v="569"/>
    <x v="11"/>
    <x v="7"/>
    <x v="3"/>
    <x v="0"/>
    <x v="0"/>
    <x v="809"/>
    <s v="Large Box"/>
    <n v="0.8"/>
    <d v="2009-08-06T00:00:00"/>
    <n v="0"/>
    <n v="0"/>
    <n v="1"/>
    <n v="1"/>
  </r>
  <r>
    <n v="3580"/>
    <n v="25509"/>
    <x v="957"/>
    <x v="43"/>
    <s v="Critical"/>
    <n v="43"/>
    <n v="212.28"/>
    <n v="0.06"/>
    <s v="Regular Air"/>
    <n v="-103.224"/>
    <n v="4.9800000000000004"/>
    <n v="4.95"/>
    <x v="552"/>
    <x v="11"/>
    <x v="7"/>
    <x v="2"/>
    <x v="0"/>
    <x v="2"/>
    <x v="538"/>
    <s v="Small Box"/>
    <n v="0.37"/>
    <d v="2009-05-24T00:00:00"/>
    <n v="0"/>
    <n v="0"/>
    <n v="1"/>
    <n v="1"/>
  </r>
  <r>
    <n v="3631"/>
    <n v="25952"/>
    <x v="1227"/>
    <x v="18"/>
    <s v="High"/>
    <n v="50"/>
    <n v="2864.1005"/>
    <n v="0.03"/>
    <s v="Regular Air"/>
    <n v="697.82400000000007"/>
    <n v="65.989999999999995"/>
    <n v="8.99"/>
    <x v="569"/>
    <x v="11"/>
    <x v="7"/>
    <x v="3"/>
    <x v="1"/>
    <x v="3"/>
    <x v="1199"/>
    <s v="Small Box"/>
    <n v="0.55000000000000004"/>
    <d v="2010-09-05T00:00:00"/>
    <n v="0"/>
    <n v="0"/>
    <n v="1"/>
    <n v="0.33333333333333331"/>
  </r>
  <r>
    <n v="3680"/>
    <n v="26336"/>
    <x v="321"/>
    <x v="20"/>
    <s v="High"/>
    <n v="39"/>
    <n v="1516.82"/>
    <n v="0.1"/>
    <s v="Regular Air"/>
    <n v="-83.28"/>
    <n v="40.98"/>
    <n v="6.5"/>
    <x v="699"/>
    <x v="11"/>
    <x v="7"/>
    <x v="3"/>
    <x v="1"/>
    <x v="7"/>
    <x v="850"/>
    <s v="Small Box"/>
    <n v="0.74"/>
    <d v="2012-05-28T00:00:00"/>
    <n v="0"/>
    <n v="0"/>
    <n v="0.5"/>
    <n v="0.5"/>
  </r>
  <r>
    <n v="3681"/>
    <n v="26336"/>
    <x v="321"/>
    <x v="20"/>
    <s v="High"/>
    <n v="45"/>
    <n v="2752.68"/>
    <n v="0.04"/>
    <s v="Regular Air"/>
    <n v="430.32"/>
    <n v="62.18"/>
    <n v="12.78"/>
    <x v="699"/>
    <x v="11"/>
    <x v="7"/>
    <x v="3"/>
    <x v="0"/>
    <x v="0"/>
    <x v="1241"/>
    <s v="Small Box"/>
    <n v="0.57999999999999996"/>
    <d v="2012-05-27T00:00:00"/>
    <n v="0"/>
    <n v="0"/>
    <n v="0.5"/>
    <n v="0.5"/>
  </r>
  <r>
    <n v="3865"/>
    <n v="27558"/>
    <x v="1223"/>
    <x v="2"/>
    <s v="Not Specified"/>
    <n v="21"/>
    <n v="423.24"/>
    <n v="0.1"/>
    <s v="Regular Air"/>
    <n v="128.83449999999999"/>
    <n v="21.38"/>
    <n v="2.99"/>
    <x v="698"/>
    <x v="11"/>
    <x v="7"/>
    <x v="1"/>
    <x v="0"/>
    <x v="2"/>
    <x v="1074"/>
    <s v="Small Box"/>
    <n v="0.37"/>
    <d v="2011-07-08T00:00:00"/>
    <n v="0"/>
    <n v="0"/>
    <n v="1"/>
    <n v="1"/>
  </r>
  <r>
    <n v="3920"/>
    <n v="27969"/>
    <x v="49"/>
    <x v="30"/>
    <s v="Low"/>
    <n v="43"/>
    <n v="5677.87"/>
    <n v="0.04"/>
    <s v="Delivery Truck"/>
    <n v="-824.09"/>
    <n v="130.97999999999999"/>
    <n v="54.74"/>
    <x v="569"/>
    <x v="11"/>
    <x v="7"/>
    <x v="3"/>
    <x v="2"/>
    <x v="9"/>
    <x v="631"/>
    <s v="Jumbo Box"/>
    <n v="0.69"/>
    <d v="2010-06-15T00:00:00"/>
    <n v="0"/>
    <n v="0"/>
    <n v="0.33333333333333331"/>
    <n v="0.33333333333333331"/>
  </r>
  <r>
    <n v="3921"/>
    <n v="27969"/>
    <x v="49"/>
    <x v="30"/>
    <s v="Low"/>
    <n v="9"/>
    <n v="732.72"/>
    <n v="0.03"/>
    <s v="Regular Air"/>
    <n v="8.5999999999999943"/>
    <n v="83.1"/>
    <n v="6.13"/>
    <x v="569"/>
    <x v="11"/>
    <x v="7"/>
    <x v="3"/>
    <x v="1"/>
    <x v="7"/>
    <x v="432"/>
    <s v="Small Box"/>
    <n v="0.45"/>
    <d v="2010-06-12T00:00:00"/>
    <n v="0"/>
    <n v="0"/>
    <n v="0.33333333333333331"/>
    <n v="0.33333333333333331"/>
  </r>
  <r>
    <n v="3922"/>
    <n v="27969"/>
    <x v="49"/>
    <x v="30"/>
    <s v="Low"/>
    <n v="32"/>
    <n v="687.47"/>
    <n v="0.1"/>
    <s v="Delivery Truck"/>
    <n v="-1533.15"/>
    <n v="20.98"/>
    <n v="53.03"/>
    <x v="569"/>
    <x v="11"/>
    <x v="7"/>
    <x v="3"/>
    <x v="0"/>
    <x v="0"/>
    <x v="111"/>
    <s v="Jumbo Drum"/>
    <n v="0.78"/>
    <d v="2010-06-13T00:00:00"/>
    <n v="0"/>
    <n v="0"/>
    <n v="0.33333333333333331"/>
    <n v="0.33333333333333331"/>
  </r>
  <r>
    <n v="4176"/>
    <n v="29637"/>
    <x v="1061"/>
    <x v="43"/>
    <s v="High"/>
    <n v="34"/>
    <n v="598.19000000000005"/>
    <n v="0.09"/>
    <s v="Regular Air"/>
    <n v="-6.6120000000000108"/>
    <n v="17.98"/>
    <n v="8.51"/>
    <x v="535"/>
    <x v="11"/>
    <x v="7"/>
    <x v="3"/>
    <x v="1"/>
    <x v="16"/>
    <x v="168"/>
    <s v="Medium Box"/>
    <n v="0.4"/>
    <d v="2009-05-27T00:00:00"/>
    <n v="0"/>
    <n v="0"/>
    <n v="1"/>
    <n v="1"/>
  </r>
  <r>
    <n v="4279"/>
    <n v="30469"/>
    <x v="574"/>
    <x v="45"/>
    <s v="Not Specified"/>
    <n v="46"/>
    <n v="304.26"/>
    <n v="0.1"/>
    <s v="Regular Air"/>
    <n v="28.93"/>
    <n v="7.08"/>
    <n v="2.35"/>
    <x v="698"/>
    <x v="11"/>
    <x v="7"/>
    <x v="2"/>
    <x v="0"/>
    <x v="12"/>
    <x v="174"/>
    <s v="Wrap Bag"/>
    <n v="0.47"/>
    <d v="2012-12-27T00:00:00"/>
    <n v="0"/>
    <n v="0"/>
    <n v="1"/>
    <n v="1"/>
  </r>
  <r>
    <n v="4409"/>
    <n v="31460"/>
    <x v="1269"/>
    <x v="9"/>
    <s v="High"/>
    <n v="9"/>
    <n v="990.67"/>
    <n v="0.08"/>
    <s v="Regular Air"/>
    <n v="-365.32"/>
    <n v="110.98"/>
    <n v="35"/>
    <x v="540"/>
    <x v="11"/>
    <x v="7"/>
    <x v="2"/>
    <x v="0"/>
    <x v="0"/>
    <x v="787"/>
    <s v="Large Box"/>
    <n v="0.82"/>
    <d v="2012-08-28T00:00:00"/>
    <n v="0"/>
    <n v="0"/>
    <n v="1"/>
    <n v="1"/>
  </r>
  <r>
    <n v="4487"/>
    <n v="31939"/>
    <x v="1085"/>
    <x v="4"/>
    <s v="High"/>
    <n v="13"/>
    <n v="1506.8374999999999"/>
    <n v="7.0000000000000007E-2"/>
    <s v="Regular Air"/>
    <n v="-75.009"/>
    <n v="140.99"/>
    <n v="4.2"/>
    <x v="625"/>
    <x v="11"/>
    <x v="7"/>
    <x v="0"/>
    <x v="1"/>
    <x v="3"/>
    <x v="625"/>
    <s v="Small Box"/>
    <n v="0.59"/>
    <d v="2011-06-27T00:00:00"/>
    <n v="0"/>
    <n v="0"/>
    <n v="1"/>
    <n v="1"/>
  </r>
  <r>
    <n v="4760"/>
    <n v="33826"/>
    <x v="412"/>
    <x v="15"/>
    <s v="Low"/>
    <n v="13"/>
    <n v="185.83"/>
    <n v="0.03"/>
    <s v="Regular Air"/>
    <n v="58.16"/>
    <n v="14.34"/>
    <n v="5"/>
    <x v="625"/>
    <x v="11"/>
    <x v="7"/>
    <x v="0"/>
    <x v="2"/>
    <x v="4"/>
    <x v="551"/>
    <s v="Small Pack"/>
    <n v="0.49"/>
    <d v="2010-12-23T00:00:00"/>
    <n v="0"/>
    <n v="0"/>
    <n v="1"/>
    <n v="1"/>
  </r>
  <r>
    <n v="4802"/>
    <n v="34151"/>
    <x v="1117"/>
    <x v="31"/>
    <s v="Not Specified"/>
    <n v="26"/>
    <n v="4097.1445000000003"/>
    <n v="0.1"/>
    <s v="Regular Air"/>
    <n v="501.54300000000001"/>
    <n v="205.99"/>
    <n v="8.99"/>
    <x v="340"/>
    <x v="11"/>
    <x v="7"/>
    <x v="2"/>
    <x v="1"/>
    <x v="3"/>
    <x v="1044"/>
    <s v="Small Box"/>
    <n v="0.56000000000000005"/>
    <d v="2011-09-10T00:00:00"/>
    <n v="0"/>
    <n v="0"/>
    <n v="1"/>
    <n v="0.5"/>
  </r>
  <r>
    <n v="4868"/>
    <n v="34659"/>
    <x v="308"/>
    <x v="32"/>
    <s v="High"/>
    <n v="42"/>
    <n v="259.43"/>
    <n v="0"/>
    <s v="Regular Air"/>
    <n v="-52.520499999999998"/>
    <n v="5.77"/>
    <n v="4.97"/>
    <x v="698"/>
    <x v="11"/>
    <x v="7"/>
    <x v="1"/>
    <x v="0"/>
    <x v="2"/>
    <x v="873"/>
    <s v="Small Box"/>
    <n v="0.35"/>
    <d v="2012-11-21T00:00:00"/>
    <n v="0"/>
    <n v="0"/>
    <n v="1"/>
    <n v="0.5"/>
  </r>
  <r>
    <n v="4949"/>
    <n v="35200"/>
    <x v="440"/>
    <x v="40"/>
    <s v="Medium"/>
    <n v="15"/>
    <n v="150.24"/>
    <n v="0.08"/>
    <s v="Regular Air"/>
    <n v="-102.93"/>
    <n v="9.98"/>
    <n v="12.52"/>
    <x v="704"/>
    <x v="11"/>
    <x v="7"/>
    <x v="2"/>
    <x v="2"/>
    <x v="4"/>
    <x v="981"/>
    <s v="Small Box"/>
    <n v="0.56999999999999995"/>
    <d v="2009-02-07T00:00:00"/>
    <n v="0"/>
    <n v="0"/>
    <n v="1"/>
    <n v="1"/>
  </r>
  <r>
    <n v="4983"/>
    <n v="35456"/>
    <x v="279"/>
    <x v="32"/>
    <s v="Critical"/>
    <n v="37"/>
    <n v="46.37"/>
    <n v="0.03"/>
    <s v="Regular Air"/>
    <n v="-19.809999999999999"/>
    <n v="1.26"/>
    <n v="0.7"/>
    <x v="698"/>
    <x v="11"/>
    <x v="7"/>
    <x v="2"/>
    <x v="0"/>
    <x v="6"/>
    <x v="230"/>
    <s v="Wrap Bag"/>
    <n v="0.81"/>
    <d v="2012-11-03T00:00:00"/>
    <n v="0"/>
    <n v="0"/>
    <n v="1"/>
    <n v="0.5"/>
  </r>
  <r>
    <n v="5025"/>
    <n v="35840"/>
    <x v="1274"/>
    <x v="39"/>
    <s v="High"/>
    <n v="36"/>
    <n v="173.08"/>
    <n v="0.04"/>
    <s v="Regular Air"/>
    <n v="81.63"/>
    <n v="4.91"/>
    <n v="0.5"/>
    <x v="625"/>
    <x v="11"/>
    <x v="7"/>
    <x v="3"/>
    <x v="0"/>
    <x v="11"/>
    <x v="999"/>
    <s v="Small Box"/>
    <n v="0.36"/>
    <d v="2010-05-30T00:00:00"/>
    <n v="0"/>
    <n v="0"/>
    <n v="0.5"/>
    <n v="0.5"/>
  </r>
  <r>
    <n v="5026"/>
    <n v="35840"/>
    <x v="1274"/>
    <x v="39"/>
    <s v="High"/>
    <n v="49"/>
    <n v="3492.6585"/>
    <n v="0.08"/>
    <s v="Regular Air"/>
    <n v="1181.808"/>
    <n v="85.99"/>
    <n v="0.99"/>
    <x v="625"/>
    <x v="11"/>
    <x v="7"/>
    <x v="3"/>
    <x v="1"/>
    <x v="3"/>
    <x v="576"/>
    <s v="Wrap Bag"/>
    <n v="0.55000000000000004"/>
    <d v="2010-05-31T00:00:00"/>
    <n v="0"/>
    <n v="0"/>
    <n v="0.5"/>
    <n v="0.5"/>
  </r>
  <r>
    <n v="5059"/>
    <n v="36069"/>
    <x v="738"/>
    <x v="47"/>
    <s v="Low"/>
    <n v="13"/>
    <n v="453.09"/>
    <n v="0.09"/>
    <s v="Regular Air"/>
    <n v="107.74"/>
    <n v="35.94"/>
    <n v="6.66"/>
    <x v="625"/>
    <x v="11"/>
    <x v="7"/>
    <x v="3"/>
    <x v="0"/>
    <x v="8"/>
    <x v="1039"/>
    <s v="Small Box"/>
    <n v="0.4"/>
    <d v="2009-12-10T00:00:00"/>
    <n v="0"/>
    <n v="0"/>
    <n v="0.33333333333333331"/>
    <n v="0.33333333333333331"/>
  </r>
  <r>
    <n v="5060"/>
    <n v="36069"/>
    <x v="738"/>
    <x v="47"/>
    <s v="Low"/>
    <n v="15"/>
    <n v="2758.22"/>
    <n v="0"/>
    <s v="Regular Air"/>
    <n v="966.81"/>
    <n v="170.98"/>
    <n v="13.99"/>
    <x v="625"/>
    <x v="11"/>
    <x v="7"/>
    <x v="3"/>
    <x v="2"/>
    <x v="4"/>
    <x v="1075"/>
    <s v="Medium Box"/>
    <n v="0.75"/>
    <d v="2009-12-12T00:00:00"/>
    <n v="0"/>
    <n v="0"/>
    <n v="0.33333333333333331"/>
    <n v="0.33333333333333331"/>
  </r>
  <r>
    <n v="5061"/>
    <n v="36069"/>
    <x v="738"/>
    <x v="47"/>
    <s v="Low"/>
    <n v="20"/>
    <n v="102.61"/>
    <n v="0.09"/>
    <s v="Regular Air"/>
    <n v="-92.01"/>
    <n v="4.9800000000000004"/>
    <n v="7.44"/>
    <x v="625"/>
    <x v="11"/>
    <x v="7"/>
    <x v="3"/>
    <x v="0"/>
    <x v="5"/>
    <x v="877"/>
    <s v="Small Box"/>
    <n v="0.36"/>
    <d v="2009-12-07T00:00:00"/>
    <n v="0"/>
    <n v="0"/>
    <n v="0.33333333333333331"/>
    <n v="0.33333333333333331"/>
  </r>
  <r>
    <n v="5135"/>
    <n v="36640"/>
    <x v="592"/>
    <x v="27"/>
    <s v="Not Specified"/>
    <n v="18"/>
    <n v="416.39"/>
    <n v="0.06"/>
    <s v="Express Air"/>
    <n v="119.47"/>
    <n v="22.24"/>
    <n v="1.99"/>
    <x v="540"/>
    <x v="11"/>
    <x v="7"/>
    <x v="2"/>
    <x v="1"/>
    <x v="7"/>
    <x v="847"/>
    <s v="Small Pack"/>
    <n v="0.43"/>
    <d v="2011-11-20T00:00:00"/>
    <n v="0"/>
    <n v="0"/>
    <n v="1"/>
    <n v="1"/>
  </r>
  <r>
    <n v="5197"/>
    <n v="36931"/>
    <x v="642"/>
    <x v="16"/>
    <s v="Not Specified"/>
    <n v="46"/>
    <n v="180.56"/>
    <n v="0.1"/>
    <s v="Regular Air"/>
    <n v="-15.79"/>
    <n v="4.28"/>
    <n v="1.6"/>
    <x v="625"/>
    <x v="11"/>
    <x v="7"/>
    <x v="3"/>
    <x v="0"/>
    <x v="12"/>
    <x v="785"/>
    <s v="Wrap Bag"/>
    <n v="0.57999999999999996"/>
    <d v="2011-01-19T00:00:00"/>
    <n v="0"/>
    <n v="0"/>
    <n v="1"/>
    <n v="1"/>
  </r>
  <r>
    <n v="5279"/>
    <n v="37543"/>
    <x v="37"/>
    <x v="25"/>
    <s v="Medium"/>
    <n v="6"/>
    <n v="241.85"/>
    <n v="0.01"/>
    <s v="Regular Air"/>
    <n v="-4.5"/>
    <n v="36.549999999999997"/>
    <n v="13.89"/>
    <x v="569"/>
    <x v="11"/>
    <x v="7"/>
    <x v="3"/>
    <x v="0"/>
    <x v="12"/>
    <x v="176"/>
    <s v="Wrap Bag"/>
    <n v="0.41"/>
    <d v="2012-01-01T00:00:00"/>
    <n v="0"/>
    <n v="0"/>
    <n v="1"/>
    <n v="0.5"/>
  </r>
  <r>
    <n v="5517"/>
    <n v="39111"/>
    <x v="377"/>
    <x v="2"/>
    <s v="Medium"/>
    <n v="1"/>
    <n v="182.4"/>
    <n v="0.09"/>
    <s v="Regular Air"/>
    <n v="-114.22"/>
    <n v="178.47"/>
    <n v="19.989999999999998"/>
    <x v="701"/>
    <x v="11"/>
    <x v="7"/>
    <x v="2"/>
    <x v="0"/>
    <x v="0"/>
    <x v="902"/>
    <s v="Small Box"/>
    <n v="0.55000000000000004"/>
    <d v="2011-07-28T00:00:00"/>
    <n v="0"/>
    <n v="0"/>
    <n v="0.5"/>
    <n v="0.5"/>
  </r>
  <r>
    <n v="5518"/>
    <n v="39111"/>
    <x v="377"/>
    <x v="2"/>
    <s v="Medium"/>
    <n v="20"/>
    <n v="6004.35"/>
    <n v="0.05"/>
    <s v="Regular Air"/>
    <n v="1767.56"/>
    <n v="300.97000000000003"/>
    <n v="7.18"/>
    <x v="701"/>
    <x v="11"/>
    <x v="7"/>
    <x v="2"/>
    <x v="1"/>
    <x v="7"/>
    <x v="1130"/>
    <s v="Small Box"/>
    <n v="0.48"/>
    <d v="2011-07-27T00:00:00"/>
    <n v="0"/>
    <n v="0"/>
    <n v="0.5"/>
    <n v="0.5"/>
  </r>
  <r>
    <n v="5520"/>
    <n v="39139"/>
    <x v="255"/>
    <x v="7"/>
    <s v="Not Specified"/>
    <n v="6"/>
    <n v="627.45299999999997"/>
    <n v="7.0000000000000007E-2"/>
    <s v="Regular Air"/>
    <n v="-408.25399999999996"/>
    <n v="125.99"/>
    <n v="8.08"/>
    <x v="569"/>
    <x v="11"/>
    <x v="7"/>
    <x v="3"/>
    <x v="1"/>
    <x v="3"/>
    <x v="442"/>
    <s v="Small Box"/>
    <n v="0.56999999999999995"/>
    <d v="2010-11-13T00:00:00"/>
    <n v="0"/>
    <n v="0"/>
    <n v="0.33333333333333331"/>
    <n v="0.33333333333333331"/>
  </r>
  <r>
    <n v="5521"/>
    <n v="39139"/>
    <x v="255"/>
    <x v="7"/>
    <s v="Not Specified"/>
    <n v="50"/>
    <n v="3000.88"/>
    <n v="0.01"/>
    <s v="Delivery Truck"/>
    <n v="-719.17"/>
    <n v="58.14"/>
    <n v="36.61"/>
    <x v="569"/>
    <x v="11"/>
    <x v="7"/>
    <x v="3"/>
    <x v="2"/>
    <x v="9"/>
    <x v="126"/>
    <s v="Jumbo Box"/>
    <n v="0.61"/>
    <d v="2010-11-15T00:00:00"/>
    <n v="0"/>
    <n v="0"/>
    <n v="0.33333333333333331"/>
    <n v="0.33333333333333331"/>
  </r>
  <r>
    <n v="5522"/>
    <n v="39139"/>
    <x v="255"/>
    <x v="7"/>
    <s v="Not Specified"/>
    <n v="31"/>
    <n v="6118.38"/>
    <n v="0.09"/>
    <s v="Regular Air"/>
    <n v="2042.58"/>
    <n v="209.84"/>
    <n v="21.21"/>
    <x v="569"/>
    <x v="11"/>
    <x v="7"/>
    <x v="3"/>
    <x v="2"/>
    <x v="4"/>
    <x v="922"/>
    <s v="Large Box"/>
    <n v="0.59"/>
    <d v="2010-11-15T00:00:00"/>
    <n v="0"/>
    <n v="0"/>
    <n v="0.33333333333333331"/>
    <n v="0.33333333333333331"/>
  </r>
  <r>
    <n v="5573"/>
    <n v="39490"/>
    <x v="678"/>
    <x v="9"/>
    <s v="Low"/>
    <n v="38"/>
    <n v="456.03"/>
    <n v="0.02"/>
    <s v="Regular Air"/>
    <n v="-61.61"/>
    <n v="11.97"/>
    <n v="5.81"/>
    <x v="625"/>
    <x v="11"/>
    <x v="7"/>
    <x v="0"/>
    <x v="0"/>
    <x v="12"/>
    <x v="393"/>
    <s v="Small Pack"/>
    <n v="0.6"/>
    <d v="2012-08-12T00:00:00"/>
    <n v="0"/>
    <n v="0"/>
    <n v="0.5"/>
    <n v="0.5"/>
  </r>
  <r>
    <n v="5574"/>
    <n v="39490"/>
    <x v="678"/>
    <x v="9"/>
    <s v="Low"/>
    <n v="17"/>
    <n v="2844.64"/>
    <n v="0.03"/>
    <s v="Delivery Truck"/>
    <n v="16.47"/>
    <n v="159.31"/>
    <n v="60"/>
    <x v="625"/>
    <x v="11"/>
    <x v="7"/>
    <x v="0"/>
    <x v="2"/>
    <x v="10"/>
    <x v="740"/>
    <s v="Jumbo Drum"/>
    <n v="0.55000000000000004"/>
    <d v="2012-08-16T00:00:00"/>
    <n v="0"/>
    <n v="0"/>
    <n v="0.5"/>
    <n v="0.5"/>
  </r>
  <r>
    <n v="5645"/>
    <n v="39938"/>
    <x v="1071"/>
    <x v="8"/>
    <s v="High"/>
    <n v="5"/>
    <n v="169.27"/>
    <n v="0.1"/>
    <s v="Regular Air"/>
    <n v="-41.66"/>
    <n v="34.58"/>
    <n v="8.99"/>
    <x v="698"/>
    <x v="11"/>
    <x v="7"/>
    <x v="2"/>
    <x v="0"/>
    <x v="12"/>
    <x v="555"/>
    <s v="Small Pack"/>
    <n v="0.56000000000000005"/>
    <d v="2012-06-11T00:00:00"/>
    <n v="0"/>
    <n v="0"/>
    <n v="1"/>
    <n v="1"/>
  </r>
  <r>
    <n v="5667"/>
    <n v="40098"/>
    <x v="888"/>
    <x v="12"/>
    <s v="Low"/>
    <n v="46"/>
    <n v="557.35"/>
    <n v="0"/>
    <s v="Regular Air"/>
    <n v="-9.1884999999999994"/>
    <n v="11.5"/>
    <n v="7.19"/>
    <x v="700"/>
    <x v="11"/>
    <x v="7"/>
    <x v="2"/>
    <x v="0"/>
    <x v="2"/>
    <x v="274"/>
    <s v="Small Box"/>
    <n v="0.4"/>
    <d v="2012-02-07T00:00:00"/>
    <n v="0"/>
    <n v="0"/>
    <n v="0.5"/>
    <n v="0.5"/>
  </r>
  <r>
    <n v="5668"/>
    <n v="40098"/>
    <x v="888"/>
    <x v="12"/>
    <s v="Low"/>
    <n v="50"/>
    <n v="490.87"/>
    <n v="0"/>
    <s v="Regular Air"/>
    <n v="190.93"/>
    <n v="9.68"/>
    <n v="2.0299999999999998"/>
    <x v="700"/>
    <x v="11"/>
    <x v="7"/>
    <x v="2"/>
    <x v="0"/>
    <x v="5"/>
    <x v="849"/>
    <s v="Wrap Bag"/>
    <n v="0.37"/>
    <d v="2012-02-09T00:00:00"/>
    <n v="0"/>
    <n v="0"/>
    <n v="0.5"/>
    <n v="0.5"/>
  </r>
  <r>
    <n v="5785"/>
    <n v="41056"/>
    <x v="909"/>
    <x v="33"/>
    <s v="Critical"/>
    <n v="4"/>
    <n v="137.54"/>
    <n v="0.08"/>
    <s v="Regular Air"/>
    <n v="-138.84"/>
    <n v="34.979999999999997"/>
    <n v="7.53"/>
    <x v="697"/>
    <x v="11"/>
    <x v="7"/>
    <x v="0"/>
    <x v="1"/>
    <x v="7"/>
    <x v="874"/>
    <s v="Small Box"/>
    <n v="0.76"/>
    <d v="2012-03-29T00:00:00"/>
    <n v="0"/>
    <n v="0"/>
    <n v="1"/>
    <n v="1"/>
  </r>
  <r>
    <n v="5937"/>
    <n v="42115"/>
    <x v="1213"/>
    <x v="12"/>
    <s v="Critical"/>
    <n v="21"/>
    <n v="673.92"/>
    <n v="0.01"/>
    <s v="Regular Air"/>
    <n v="224.71"/>
    <n v="31.78"/>
    <n v="1.99"/>
    <x v="569"/>
    <x v="11"/>
    <x v="7"/>
    <x v="3"/>
    <x v="1"/>
    <x v="7"/>
    <x v="47"/>
    <s v="Small Pack"/>
    <n v="0.42"/>
    <d v="2012-02-18T00:00:00"/>
    <n v="0"/>
    <n v="0"/>
    <n v="0.5"/>
    <n v="0.33333333333333331"/>
  </r>
  <r>
    <n v="5938"/>
    <n v="42115"/>
    <x v="1213"/>
    <x v="12"/>
    <s v="Critical"/>
    <n v="19"/>
    <n v="540.55999999999995"/>
    <n v="0.02"/>
    <s v="Regular Air"/>
    <n v="-93.46"/>
    <n v="28.28"/>
    <n v="13.99"/>
    <x v="569"/>
    <x v="11"/>
    <x v="7"/>
    <x v="3"/>
    <x v="0"/>
    <x v="0"/>
    <x v="158"/>
    <s v="Medium Box"/>
    <n v="0.57999999999999996"/>
    <d v="2012-02-19T00:00:00"/>
    <n v="0"/>
    <n v="0"/>
    <n v="0.5"/>
    <n v="0.33333333333333331"/>
  </r>
  <r>
    <n v="6136"/>
    <n v="43459"/>
    <x v="647"/>
    <x v="27"/>
    <s v="Critical"/>
    <n v="26"/>
    <n v="13905.88"/>
    <n v="0.05"/>
    <s v="Regular Air"/>
    <n v="6441.18"/>
    <n v="574.74"/>
    <n v="24.49"/>
    <x v="569"/>
    <x v="11"/>
    <x v="7"/>
    <x v="1"/>
    <x v="1"/>
    <x v="16"/>
    <x v="175"/>
    <s v="Large Box"/>
    <n v="0.37"/>
    <d v="2011-11-08T00:00:00"/>
    <n v="0"/>
    <n v="0"/>
    <n v="1"/>
    <n v="1"/>
  </r>
  <r>
    <n v="6403"/>
    <n v="45476"/>
    <x v="551"/>
    <x v="13"/>
    <s v="Critical"/>
    <n v="48"/>
    <n v="1055.98"/>
    <n v="7.0000000000000007E-2"/>
    <s v="Regular Air"/>
    <n v="204.58"/>
    <n v="21.78"/>
    <n v="5.94"/>
    <x v="625"/>
    <x v="11"/>
    <x v="7"/>
    <x v="3"/>
    <x v="0"/>
    <x v="1"/>
    <x v="4"/>
    <s v="Medium Box"/>
    <n v="0.5"/>
    <d v="2012-04-18T00:00:00"/>
    <n v="0"/>
    <n v="0"/>
    <n v="1"/>
    <n v="1"/>
  </r>
  <r>
    <n v="6452"/>
    <n v="45958"/>
    <x v="526"/>
    <x v="10"/>
    <s v="Medium"/>
    <n v="28"/>
    <n v="17599.39"/>
    <n v="0.03"/>
    <s v="Regular Air"/>
    <n v="5513.86"/>
    <n v="599.99"/>
    <n v="24.49"/>
    <x v="697"/>
    <x v="11"/>
    <x v="7"/>
    <x v="0"/>
    <x v="1"/>
    <x v="13"/>
    <x v="984"/>
    <s v="Large Box"/>
    <n v="0.5"/>
    <d v="2011-05-26T00:00:00"/>
    <n v="0"/>
    <n v="0"/>
    <n v="0.5"/>
    <n v="0.33333333333333331"/>
  </r>
  <r>
    <n v="6453"/>
    <n v="45958"/>
    <x v="526"/>
    <x v="10"/>
    <s v="Medium"/>
    <n v="16"/>
    <n v="115.34"/>
    <n v="0.02"/>
    <s v="Regular Air"/>
    <n v="13.83"/>
    <n v="6.69"/>
    <n v="3.1"/>
    <x v="697"/>
    <x v="11"/>
    <x v="7"/>
    <x v="0"/>
    <x v="0"/>
    <x v="5"/>
    <x v="898"/>
    <s v="Wrap Bag"/>
    <n v="0.36"/>
    <d v="2011-05-27T00:00:00"/>
    <n v="0"/>
    <n v="0"/>
    <n v="0.5"/>
    <n v="0.33333333333333331"/>
  </r>
  <r>
    <n v="6690"/>
    <n v="47591"/>
    <x v="173"/>
    <x v="23"/>
    <s v="Critical"/>
    <n v="27"/>
    <n v="279.39999999999998"/>
    <n v="0.1"/>
    <s v="Regular Air"/>
    <n v="-92.25"/>
    <n v="10.48"/>
    <n v="6.91"/>
    <x v="697"/>
    <x v="11"/>
    <x v="7"/>
    <x v="0"/>
    <x v="0"/>
    <x v="0"/>
    <x v="1242"/>
    <s v="Small Box"/>
    <n v="0.57999999999999996"/>
    <d v="2012-01-03T00:00:00"/>
    <n v="0"/>
    <n v="0"/>
    <n v="1"/>
    <n v="1"/>
  </r>
  <r>
    <n v="6962"/>
    <n v="49764"/>
    <x v="1348"/>
    <x v="0"/>
    <s v="Low"/>
    <n v="37"/>
    <n v="395.37"/>
    <n v="7.0000000000000007E-2"/>
    <s v="Express Air"/>
    <n v="17.149999999999999"/>
    <n v="10.98"/>
    <n v="3.37"/>
    <x v="699"/>
    <x v="11"/>
    <x v="7"/>
    <x v="3"/>
    <x v="0"/>
    <x v="15"/>
    <x v="340"/>
    <s v="Small Pack"/>
    <n v="0.56999999999999995"/>
    <d v="2010-10-07T00:00:00"/>
    <n v="0"/>
    <n v="0"/>
    <n v="1"/>
    <n v="1"/>
  </r>
  <r>
    <n v="7022"/>
    <n v="50118"/>
    <x v="1369"/>
    <x v="14"/>
    <s v="Not Specified"/>
    <n v="19"/>
    <n v="337.38"/>
    <n v="0"/>
    <s v="Delivery Truck"/>
    <n v="-409.79"/>
    <n v="15.23"/>
    <n v="27.75"/>
    <x v="700"/>
    <x v="11"/>
    <x v="7"/>
    <x v="2"/>
    <x v="2"/>
    <x v="10"/>
    <x v="897"/>
    <s v="Jumbo Box"/>
    <n v="0.76"/>
    <d v="2010-03-19T00:00:00"/>
    <n v="0"/>
    <n v="0"/>
    <n v="1"/>
    <n v="1"/>
  </r>
  <r>
    <n v="7031"/>
    <n v="50183"/>
    <x v="1199"/>
    <x v="39"/>
    <s v="High"/>
    <n v="20"/>
    <n v="116.55"/>
    <n v="0.09"/>
    <s v="Express Air"/>
    <n v="-39.67"/>
    <n v="5.58"/>
    <n v="5.3"/>
    <x v="697"/>
    <x v="11"/>
    <x v="7"/>
    <x v="0"/>
    <x v="0"/>
    <x v="8"/>
    <x v="686"/>
    <s v="Small Box"/>
    <n v="0.35"/>
    <d v="2010-05-25T00:00:00"/>
    <n v="0"/>
    <n v="0"/>
    <n v="1"/>
    <n v="1"/>
  </r>
  <r>
    <n v="7117"/>
    <n v="50786"/>
    <x v="1296"/>
    <x v="19"/>
    <s v="Low"/>
    <n v="4"/>
    <n v="487.72"/>
    <n v="0.06"/>
    <s v="Delivery Truck"/>
    <n v="-192.2961"/>
    <n v="119.99"/>
    <n v="14"/>
    <x v="701"/>
    <x v="11"/>
    <x v="7"/>
    <x v="1"/>
    <x v="1"/>
    <x v="16"/>
    <x v="835"/>
    <s v="Jumbo Drum"/>
    <n v="0.36"/>
    <d v="2009-10-19T00:00:00"/>
    <n v="0"/>
    <n v="0"/>
    <n v="1"/>
    <n v="1"/>
  </r>
  <r>
    <n v="7144"/>
    <n v="50978"/>
    <x v="616"/>
    <x v="33"/>
    <s v="High"/>
    <n v="4"/>
    <n v="816.09"/>
    <n v="0.05"/>
    <s v="Regular Air"/>
    <n v="-150.29"/>
    <n v="210.55"/>
    <n v="9.99"/>
    <x v="701"/>
    <x v="11"/>
    <x v="7"/>
    <x v="2"/>
    <x v="0"/>
    <x v="0"/>
    <x v="524"/>
    <s v="Small Box"/>
    <n v="0.6"/>
    <d v="2012-04-02T00:00:00"/>
    <n v="0"/>
    <n v="0"/>
    <n v="1"/>
    <n v="1"/>
  </r>
  <r>
    <n v="7147"/>
    <n v="50983"/>
    <x v="1036"/>
    <x v="4"/>
    <s v="Critical"/>
    <n v="39"/>
    <n v="3063.1"/>
    <n v="0.06"/>
    <s v="Regular Air"/>
    <n v="-1022.02"/>
    <n v="80.98"/>
    <n v="35"/>
    <x v="535"/>
    <x v="11"/>
    <x v="7"/>
    <x v="3"/>
    <x v="0"/>
    <x v="0"/>
    <x v="73"/>
    <s v="Large Box"/>
    <n v="0.81"/>
    <d v="2011-06-29T00:00:00"/>
    <n v="0"/>
    <n v="0"/>
    <n v="0.5"/>
    <n v="0.5"/>
  </r>
  <r>
    <n v="7148"/>
    <n v="50983"/>
    <x v="1036"/>
    <x v="4"/>
    <s v="Critical"/>
    <n v="15"/>
    <n v="229.03"/>
    <n v="0.05"/>
    <s v="Regular Air"/>
    <n v="-28.58"/>
    <n v="15.51"/>
    <n v="5.8"/>
    <x v="535"/>
    <x v="11"/>
    <x v="7"/>
    <x v="3"/>
    <x v="0"/>
    <x v="0"/>
    <x v="1186"/>
    <s v="Small Box"/>
    <n v="0.6"/>
    <d v="2011-06-30T00:00:00"/>
    <n v="0"/>
    <n v="0"/>
    <n v="0.5"/>
    <n v="0.5"/>
  </r>
  <r>
    <n v="7291"/>
    <n v="52002"/>
    <x v="1161"/>
    <x v="41"/>
    <s v="High"/>
    <n v="11"/>
    <n v="2489.85"/>
    <n v="0.06"/>
    <s v="Delivery Truck"/>
    <n v="-566.5"/>
    <n v="218.75"/>
    <n v="69.64"/>
    <x v="701"/>
    <x v="11"/>
    <x v="7"/>
    <x v="2"/>
    <x v="2"/>
    <x v="10"/>
    <x v="146"/>
    <s v="Jumbo Box"/>
    <n v="0.77"/>
    <d v="2009-06-05T00:00:00"/>
    <n v="0"/>
    <n v="0"/>
    <n v="1"/>
    <n v="1"/>
  </r>
  <r>
    <n v="7330"/>
    <n v="52227"/>
    <x v="630"/>
    <x v="40"/>
    <s v="Medium"/>
    <n v="37"/>
    <n v="240.52"/>
    <n v="0.05"/>
    <s v="Regular Air"/>
    <n v="-164.18"/>
    <n v="6.48"/>
    <n v="8.19"/>
    <x v="705"/>
    <x v="11"/>
    <x v="7"/>
    <x v="1"/>
    <x v="0"/>
    <x v="5"/>
    <x v="77"/>
    <s v="Small Box"/>
    <n v="0.37"/>
    <d v="2009-02-15T00:00:00"/>
    <n v="0"/>
    <n v="0"/>
    <n v="1"/>
    <n v="1"/>
  </r>
  <r>
    <n v="7334"/>
    <n v="52261"/>
    <x v="1106"/>
    <x v="37"/>
    <s v="Not Specified"/>
    <n v="49"/>
    <n v="10261.25"/>
    <n v="0.02"/>
    <s v="Delivery Truck"/>
    <n v="611.11"/>
    <n v="212.6"/>
    <n v="52.2"/>
    <x v="535"/>
    <x v="11"/>
    <x v="7"/>
    <x v="3"/>
    <x v="2"/>
    <x v="10"/>
    <x v="763"/>
    <s v="Jumbo Box"/>
    <n v="0.64"/>
    <d v="2011-04-22T00:00:00"/>
    <n v="0"/>
    <n v="0"/>
    <n v="1"/>
    <n v="1"/>
  </r>
  <r>
    <n v="7401"/>
    <n v="52743"/>
    <x v="454"/>
    <x v="42"/>
    <s v="High"/>
    <n v="46"/>
    <n v="5699.22"/>
    <n v="0.09"/>
    <s v="Regular Air"/>
    <n v="2812.63"/>
    <n v="150.97999999999999"/>
    <n v="13.99"/>
    <x v="625"/>
    <x v="11"/>
    <x v="7"/>
    <x v="0"/>
    <x v="1"/>
    <x v="16"/>
    <x v="221"/>
    <s v="Medium Box"/>
    <n v="0.38"/>
    <d v="2010-07-04T00:00:00"/>
    <n v="0"/>
    <n v="0"/>
    <n v="1"/>
    <n v="1"/>
  </r>
  <r>
    <n v="7444"/>
    <n v="53120"/>
    <x v="425"/>
    <x v="20"/>
    <s v="Not Specified"/>
    <n v="5"/>
    <n v="22.75"/>
    <n v="0.09"/>
    <s v="Regular Air"/>
    <n v="-0.44999999999999929"/>
    <n v="4.76"/>
    <n v="0.88"/>
    <x v="698"/>
    <x v="11"/>
    <x v="7"/>
    <x v="2"/>
    <x v="0"/>
    <x v="5"/>
    <x v="565"/>
    <s v="Wrap Bag"/>
    <n v="0.39"/>
    <d v="2012-05-19T00:00:00"/>
    <n v="0"/>
    <n v="0"/>
    <n v="1"/>
    <n v="1"/>
  </r>
  <r>
    <n v="7543"/>
    <n v="53920"/>
    <x v="466"/>
    <x v="28"/>
    <s v="Critical"/>
    <n v="18"/>
    <n v="433.31"/>
    <n v="0.05"/>
    <s v="Delivery Truck"/>
    <n v="-815.79"/>
    <n v="20.98"/>
    <n v="53.03"/>
    <x v="703"/>
    <x v="11"/>
    <x v="7"/>
    <x v="3"/>
    <x v="0"/>
    <x v="0"/>
    <x v="111"/>
    <s v="Jumbo Drum"/>
    <n v="0.78"/>
    <d v="2009-03-20T00:00:00"/>
    <n v="0"/>
    <n v="0"/>
    <n v="1"/>
    <n v="1"/>
  </r>
  <r>
    <n v="7634"/>
    <n v="54630"/>
    <x v="567"/>
    <x v="9"/>
    <s v="Low"/>
    <n v="11"/>
    <n v="73.22"/>
    <n v="0.06"/>
    <s v="Regular Air"/>
    <n v="-34.53"/>
    <n v="6.48"/>
    <n v="6.22"/>
    <x v="702"/>
    <x v="11"/>
    <x v="7"/>
    <x v="3"/>
    <x v="0"/>
    <x v="5"/>
    <x v="731"/>
    <s v="Small Box"/>
    <n v="0.37"/>
    <d v="2012-08-14T00:00:00"/>
    <n v="0"/>
    <n v="0"/>
    <n v="1"/>
    <n v="1"/>
  </r>
  <r>
    <n v="7717"/>
    <n v="55299"/>
    <x v="1103"/>
    <x v="33"/>
    <s v="Low"/>
    <n v="20"/>
    <n v="22.28"/>
    <n v="0.09"/>
    <s v="Regular Air"/>
    <n v="-2.66"/>
    <n v="1.1399999999999999"/>
    <n v="0.7"/>
    <x v="552"/>
    <x v="11"/>
    <x v="7"/>
    <x v="2"/>
    <x v="0"/>
    <x v="6"/>
    <x v="1129"/>
    <s v="Wrap Bag"/>
    <n v="0.38"/>
    <d v="2012-03-30T00:00:00"/>
    <n v="0"/>
    <n v="0"/>
    <n v="1"/>
    <n v="1"/>
  </r>
  <r>
    <n v="7758"/>
    <n v="55520"/>
    <x v="700"/>
    <x v="10"/>
    <s v="Critical"/>
    <n v="43"/>
    <n v="525.77"/>
    <n v="0.08"/>
    <s v="Express Air"/>
    <n v="34.630000000000003"/>
    <n v="11.99"/>
    <n v="5.99"/>
    <x v="697"/>
    <x v="11"/>
    <x v="7"/>
    <x v="0"/>
    <x v="1"/>
    <x v="16"/>
    <x v="765"/>
    <s v="Medium Box"/>
    <n v="0.36"/>
    <d v="2011-05-08T00:00:00"/>
    <n v="0"/>
    <n v="0"/>
    <n v="1"/>
    <n v="0.33333333333333331"/>
  </r>
  <r>
    <n v="7778"/>
    <n v="55653"/>
    <x v="1234"/>
    <x v="7"/>
    <s v="Medium"/>
    <n v="34"/>
    <n v="15152.55"/>
    <n v="0.05"/>
    <s v="Delivery Truck"/>
    <n v="7719.21"/>
    <n v="500.98"/>
    <n v="28.14"/>
    <x v="699"/>
    <x v="11"/>
    <x v="7"/>
    <x v="3"/>
    <x v="1"/>
    <x v="16"/>
    <x v="780"/>
    <s v="Jumbo Drum"/>
    <n v="0.38"/>
    <d v="2010-11-27T00:00:00"/>
    <n v="0"/>
    <n v="0"/>
    <n v="1"/>
    <n v="1"/>
  </r>
  <r>
    <n v="7909"/>
    <n v="56577"/>
    <x v="1189"/>
    <x v="27"/>
    <s v="Critical"/>
    <n v="30"/>
    <n v="7497.08"/>
    <n v="0.02"/>
    <s v="Delivery Truck"/>
    <n v="698.67"/>
    <n v="296.18"/>
    <n v="54.12"/>
    <x v="552"/>
    <x v="11"/>
    <x v="7"/>
    <x v="0"/>
    <x v="2"/>
    <x v="10"/>
    <x v="300"/>
    <s v="Jumbo Box"/>
    <n v="0.76"/>
    <d v="2011-11-03T00:00:00"/>
    <n v="0"/>
    <n v="0"/>
    <n v="0.5"/>
    <n v="0.5"/>
  </r>
  <r>
    <n v="7940"/>
    <n v="56711"/>
    <x v="955"/>
    <x v="44"/>
    <s v="Low"/>
    <n v="25"/>
    <n v="1279.45"/>
    <n v="0.01"/>
    <s v="Regular Air"/>
    <n v="558.25"/>
    <n v="48.04"/>
    <n v="7.23"/>
    <x v="705"/>
    <x v="11"/>
    <x v="7"/>
    <x v="1"/>
    <x v="0"/>
    <x v="5"/>
    <x v="399"/>
    <s v="Small Box"/>
    <n v="0.37"/>
    <d v="2011-02-11T00:00:00"/>
    <n v="0"/>
    <n v="0"/>
    <n v="1"/>
    <n v="1"/>
  </r>
  <r>
    <n v="7947"/>
    <n v="56769"/>
    <x v="1010"/>
    <x v="7"/>
    <s v="Medium"/>
    <n v="11"/>
    <n v="455.59"/>
    <n v="0.02"/>
    <s v="Regular Air"/>
    <n v="98.02"/>
    <n v="37.93"/>
    <n v="13.99"/>
    <x v="701"/>
    <x v="11"/>
    <x v="7"/>
    <x v="1"/>
    <x v="2"/>
    <x v="4"/>
    <x v="1014"/>
    <s v="Wrap Bag"/>
    <n v="0.67"/>
    <d v="2010-12-01T00:00:00"/>
    <n v="0"/>
    <n v="0"/>
    <n v="1"/>
    <n v="1"/>
  </r>
  <r>
    <n v="8040"/>
    <n v="57440"/>
    <x v="778"/>
    <x v="42"/>
    <s v="Low"/>
    <n v="12"/>
    <n v="1171.232"/>
    <n v="0.04"/>
    <s v="Express Air"/>
    <n v="-43.252000000000002"/>
    <n v="115.99"/>
    <n v="2.5"/>
    <x v="702"/>
    <x v="11"/>
    <x v="7"/>
    <x v="3"/>
    <x v="1"/>
    <x v="3"/>
    <x v="825"/>
    <s v="Small Box"/>
    <n v="0.57999999999999996"/>
    <d v="2010-07-30T00:00:00"/>
    <n v="0"/>
    <n v="0"/>
    <n v="1"/>
    <n v="1"/>
  </r>
  <r>
    <n v="8108"/>
    <n v="57889"/>
    <x v="1370"/>
    <x v="24"/>
    <s v="Low"/>
    <n v="39"/>
    <n v="723.3075"/>
    <n v="0.01"/>
    <s v="Regular Air"/>
    <n v="216.702"/>
    <n v="20.99"/>
    <n v="0.99"/>
    <x v="705"/>
    <x v="11"/>
    <x v="7"/>
    <x v="1"/>
    <x v="1"/>
    <x v="3"/>
    <x v="652"/>
    <s v="Wrap Bag"/>
    <n v="0.56999999999999995"/>
    <d v="2010-04-11T00:00:00"/>
    <n v="0"/>
    <n v="0"/>
    <n v="1"/>
    <n v="1"/>
  </r>
  <r>
    <n v="8188"/>
    <n v="58564"/>
    <x v="1371"/>
    <x v="32"/>
    <s v="Critical"/>
    <n v="49"/>
    <n v="103.03"/>
    <n v="7.0000000000000007E-2"/>
    <s v="Regular Air"/>
    <n v="-82.63"/>
    <n v="2.08"/>
    <n v="2.56"/>
    <x v="699"/>
    <x v="11"/>
    <x v="7"/>
    <x v="3"/>
    <x v="0"/>
    <x v="15"/>
    <x v="583"/>
    <s v="Small Pack"/>
    <n v="0.55000000000000004"/>
    <d v="2012-11-13T00:00:00"/>
    <n v="0"/>
    <n v="0"/>
    <n v="1"/>
    <n v="1"/>
  </r>
  <r>
    <n v="8259"/>
    <n v="59072"/>
    <x v="1061"/>
    <x v="43"/>
    <s v="Not Specified"/>
    <n v="12"/>
    <n v="78.94"/>
    <n v="0.03"/>
    <s v="Express Air"/>
    <n v="-51.704000000000001"/>
    <n v="5.44"/>
    <n v="7.46"/>
    <x v="700"/>
    <x v="11"/>
    <x v="7"/>
    <x v="2"/>
    <x v="0"/>
    <x v="2"/>
    <x v="1216"/>
    <s v="Small Box"/>
    <n v="0.36"/>
    <d v="2009-05-27T00:00:00"/>
    <n v="0"/>
    <n v="0"/>
    <n v="0.25"/>
    <n v="0.25"/>
  </r>
  <r>
    <n v="8260"/>
    <n v="59072"/>
    <x v="1061"/>
    <x v="43"/>
    <s v="Not Specified"/>
    <n v="22"/>
    <n v="576.89"/>
    <n v="0.08"/>
    <s v="Regular Air"/>
    <n v="175.03"/>
    <n v="26.38"/>
    <n v="5.58"/>
    <x v="700"/>
    <x v="11"/>
    <x v="7"/>
    <x v="2"/>
    <x v="0"/>
    <x v="5"/>
    <x v="1243"/>
    <s v="Small Box"/>
    <n v="0.39"/>
    <d v="2009-05-26T00:00:00"/>
    <n v="0"/>
    <n v="0"/>
    <n v="0.25"/>
    <n v="0.25"/>
  </r>
  <r>
    <n v="8261"/>
    <n v="59072"/>
    <x v="1061"/>
    <x v="43"/>
    <s v="Not Specified"/>
    <n v="2"/>
    <n v="35.665999999999997"/>
    <n v="0.06"/>
    <s v="Regular Air"/>
    <n v="-112.18899999999999"/>
    <n v="20.99"/>
    <n v="2.5"/>
    <x v="700"/>
    <x v="11"/>
    <x v="7"/>
    <x v="2"/>
    <x v="1"/>
    <x v="3"/>
    <x v="32"/>
    <s v="Wrap Bag"/>
    <n v="0.81"/>
    <d v="2009-05-27T00:00:00"/>
    <n v="0"/>
    <n v="0"/>
    <n v="0.25"/>
    <n v="0.25"/>
  </r>
  <r>
    <n v="8262"/>
    <n v="59072"/>
    <x v="1061"/>
    <x v="43"/>
    <s v="Not Specified"/>
    <n v="38"/>
    <n v="4191.5625"/>
    <n v="0"/>
    <s v="Regular Air"/>
    <n v="1286.5319999999999"/>
    <n v="125.99"/>
    <n v="2.5"/>
    <x v="700"/>
    <x v="11"/>
    <x v="7"/>
    <x v="2"/>
    <x v="1"/>
    <x v="3"/>
    <x v="1195"/>
    <s v="Small Box"/>
    <n v="0.57999999999999996"/>
    <d v="2009-05-27T00:00:00"/>
    <n v="0"/>
    <n v="0"/>
    <n v="0.25"/>
    <n v="0.25"/>
  </r>
  <r>
    <n v="8346"/>
    <n v="59652"/>
    <x v="90"/>
    <x v="16"/>
    <s v="Medium"/>
    <n v="17"/>
    <n v="312.03500000000003"/>
    <n v="0.05"/>
    <s v="Regular Air"/>
    <n v="-55.935000000000002"/>
    <n v="20.99"/>
    <n v="0.99"/>
    <x v="703"/>
    <x v="11"/>
    <x v="7"/>
    <x v="3"/>
    <x v="1"/>
    <x v="3"/>
    <x v="924"/>
    <s v="Small Pack"/>
    <n v="0.83"/>
    <d v="2011-01-29T00:00:00"/>
    <n v="0"/>
    <n v="0"/>
    <n v="1"/>
    <n v="1"/>
  </r>
  <r>
    <n v="8371"/>
    <n v="59783"/>
    <x v="1196"/>
    <x v="3"/>
    <s v="Low"/>
    <n v="36"/>
    <n v="77.430000000000007"/>
    <n v="0.01"/>
    <s v="Regular Air"/>
    <n v="-60.07"/>
    <n v="2.08"/>
    <n v="2.56"/>
    <x v="698"/>
    <x v="11"/>
    <x v="7"/>
    <x v="2"/>
    <x v="0"/>
    <x v="15"/>
    <x v="583"/>
    <s v="Small Pack"/>
    <n v="0.55000000000000004"/>
    <d v="2010-08-24T00:00:00"/>
    <n v="0"/>
    <n v="0"/>
    <n v="1"/>
    <n v="1"/>
  </r>
  <r>
    <n v="30"/>
    <n v="195"/>
    <x v="921"/>
    <x v="15"/>
    <s v="Medium"/>
    <n v="34"/>
    <n v="1315.74"/>
    <n v="0.03"/>
    <s v="Regular Air"/>
    <n v="260.87"/>
    <n v="36.549999999999997"/>
    <n v="13.89"/>
    <x v="361"/>
    <x v="11"/>
    <x v="7"/>
    <x v="3"/>
    <x v="0"/>
    <x v="12"/>
    <x v="176"/>
    <s v="Wrap Bag"/>
    <n v="0.41"/>
    <d v="2010-12-29T00:00:00"/>
    <n v="0"/>
    <n v="0"/>
    <n v="1"/>
    <n v="0.5"/>
  </r>
  <r>
    <n v="32"/>
    <n v="224"/>
    <x v="501"/>
    <x v="41"/>
    <s v="Not Specified"/>
    <n v="25"/>
    <n v="184.86"/>
    <n v="0.09"/>
    <s v="Regular Air"/>
    <n v="-33.950000000000003"/>
    <n v="7.38"/>
    <n v="5.21"/>
    <x v="455"/>
    <x v="11"/>
    <x v="7"/>
    <x v="2"/>
    <x v="2"/>
    <x v="4"/>
    <x v="386"/>
    <s v="Small Box"/>
    <n v="0.56000000000000005"/>
    <d v="2009-06-18T00:00:00"/>
    <n v="0"/>
    <n v="0"/>
    <n v="0.33333333333333331"/>
    <n v="0.33333333333333331"/>
  </r>
  <r>
    <n v="33"/>
    <n v="224"/>
    <x v="501"/>
    <x v="41"/>
    <s v="Not Specified"/>
    <n v="44"/>
    <n v="267.85000000000002"/>
    <n v="0.04"/>
    <s v="Regular Air"/>
    <n v="-65.430000000000007"/>
    <n v="5.98"/>
    <n v="5.15"/>
    <x v="455"/>
    <x v="11"/>
    <x v="7"/>
    <x v="2"/>
    <x v="0"/>
    <x v="5"/>
    <x v="773"/>
    <s v="Small Box"/>
    <n v="0.36"/>
    <d v="2009-06-18T00:00:00"/>
    <n v="0"/>
    <n v="0"/>
    <n v="0.33333333333333331"/>
    <n v="0.33333333333333331"/>
  </r>
  <r>
    <n v="34"/>
    <n v="224"/>
    <x v="501"/>
    <x v="41"/>
    <s v="Not Specified"/>
    <n v="33"/>
    <n v="528.5"/>
    <n v="0.04"/>
    <s v="Regular Air"/>
    <n v="-149.91999999999999"/>
    <n v="15.42"/>
    <n v="10.68"/>
    <x v="455"/>
    <x v="11"/>
    <x v="7"/>
    <x v="2"/>
    <x v="0"/>
    <x v="0"/>
    <x v="1119"/>
    <s v="Small Box"/>
    <n v="0.57999999999999996"/>
    <d v="2009-06-18T00:00:00"/>
    <n v="0"/>
    <n v="0"/>
    <n v="0.33333333333333331"/>
    <n v="0.33333333333333331"/>
  </r>
  <r>
    <n v="46"/>
    <n v="263"/>
    <x v="741"/>
    <x v="43"/>
    <s v="High"/>
    <n v="25"/>
    <n v="136.77000000000001"/>
    <n v="0.09"/>
    <s v="Regular Air"/>
    <n v="-136.25200000000001"/>
    <n v="5.4"/>
    <n v="7.78"/>
    <x v="382"/>
    <x v="11"/>
    <x v="7"/>
    <x v="2"/>
    <x v="0"/>
    <x v="2"/>
    <x v="212"/>
    <s v="Small Box"/>
    <n v="0.37"/>
    <d v="2009-05-17T00:00:00"/>
    <n v="0"/>
    <n v="0"/>
    <n v="1"/>
    <n v="1"/>
  </r>
  <r>
    <n v="60"/>
    <n v="353"/>
    <x v="376"/>
    <x v="15"/>
    <s v="Low"/>
    <n v="21"/>
    <n v="46.94"/>
    <n v="0.02"/>
    <s v="Regular Air"/>
    <n v="3.88"/>
    <n v="2.21"/>
    <n v="1"/>
    <x v="363"/>
    <x v="11"/>
    <x v="7"/>
    <x v="3"/>
    <x v="0"/>
    <x v="12"/>
    <x v="1157"/>
    <s v="Wrap Bag"/>
    <n v="0.38"/>
    <d v="2011-04-01T00:00:00"/>
    <n v="0"/>
    <n v="0"/>
    <n v="1"/>
    <n v="1"/>
  </r>
  <r>
    <n v="70"/>
    <n v="417"/>
    <x v="440"/>
    <x v="40"/>
    <s v="Medium"/>
    <n v="39"/>
    <n v="15260.78"/>
    <n v="7.0000000000000007E-2"/>
    <s v="Delivery Truck"/>
    <n v="8734.8799999999992"/>
    <n v="500.98"/>
    <n v="28.14"/>
    <x v="405"/>
    <x v="11"/>
    <x v="7"/>
    <x v="0"/>
    <x v="1"/>
    <x v="16"/>
    <x v="780"/>
    <s v="Jumbo Drum"/>
    <n v="0.38"/>
    <d v="2009-02-06T00:00:00"/>
    <n v="0"/>
    <n v="0"/>
    <n v="0.5"/>
    <n v="0.5"/>
  </r>
  <r>
    <n v="71"/>
    <n v="417"/>
    <x v="440"/>
    <x v="40"/>
    <s v="Medium"/>
    <n v="3"/>
    <n v="540.41"/>
    <n v="0.1"/>
    <s v="Regular Air"/>
    <n v="-170.98"/>
    <n v="178.47"/>
    <n v="19.989999999999998"/>
    <x v="405"/>
    <x v="11"/>
    <x v="7"/>
    <x v="0"/>
    <x v="0"/>
    <x v="0"/>
    <x v="902"/>
    <s v="Small Box"/>
    <n v="0.55000000000000004"/>
    <d v="2009-02-07T00:00:00"/>
    <n v="0"/>
    <n v="0"/>
    <n v="0.5"/>
    <n v="0.5"/>
  </r>
  <r>
    <n v="74"/>
    <n v="448"/>
    <x v="742"/>
    <x v="21"/>
    <s v="Medium"/>
    <n v="22"/>
    <n v="1162.4005"/>
    <n v="0.09"/>
    <s v="Regular Air"/>
    <n v="-284.625"/>
    <n v="65.989999999999995"/>
    <n v="19.989999999999998"/>
    <x v="361"/>
    <x v="11"/>
    <x v="7"/>
    <x v="2"/>
    <x v="1"/>
    <x v="3"/>
    <x v="711"/>
    <s v="Small Box"/>
    <n v="0.59"/>
    <d v="2011-08-22T00:00:00"/>
    <n v="0"/>
    <n v="0"/>
    <n v="1"/>
    <n v="1"/>
  </r>
  <r>
    <n v="137"/>
    <n v="871"/>
    <x v="856"/>
    <x v="27"/>
    <s v="Low"/>
    <n v="17"/>
    <n v="104.94"/>
    <n v="0.06"/>
    <s v="Regular Air"/>
    <n v="-34.97"/>
    <n v="6.24"/>
    <n v="5.22"/>
    <x v="424"/>
    <x v="11"/>
    <x v="7"/>
    <x v="3"/>
    <x v="2"/>
    <x v="4"/>
    <x v="864"/>
    <s v="Small Box"/>
    <n v="0.6"/>
    <d v="2011-11-14T00:00:00"/>
    <n v="0"/>
    <n v="0"/>
    <n v="1"/>
    <n v="1"/>
  </r>
  <r>
    <n v="145"/>
    <n v="929"/>
    <x v="1"/>
    <x v="1"/>
    <s v="High"/>
    <n v="21"/>
    <n v="227.66"/>
    <n v="0.04"/>
    <s v="Regular Air"/>
    <n v="-100.16"/>
    <n v="10.97"/>
    <n v="6.5"/>
    <x v="426"/>
    <x v="11"/>
    <x v="7"/>
    <x v="2"/>
    <x v="1"/>
    <x v="7"/>
    <x v="217"/>
    <s v="Small Box"/>
    <n v="0.64"/>
    <d v="2012-10-04T00:00:00"/>
    <n v="0"/>
    <n v="0"/>
    <n v="0.5"/>
    <n v="0.5"/>
  </r>
  <r>
    <n v="146"/>
    <n v="929"/>
    <x v="1"/>
    <x v="1"/>
    <s v="High"/>
    <n v="39"/>
    <n v="84.33"/>
    <n v="0.04"/>
    <s v="Regular Air"/>
    <n v="-64.290000000000006"/>
    <n v="2.08"/>
    <n v="2.56"/>
    <x v="426"/>
    <x v="11"/>
    <x v="7"/>
    <x v="2"/>
    <x v="0"/>
    <x v="15"/>
    <x v="583"/>
    <s v="Small Pack"/>
    <n v="0.55000000000000004"/>
    <d v="2012-10-03T00:00:00"/>
    <n v="0"/>
    <n v="0"/>
    <n v="0.5"/>
    <n v="0.5"/>
  </r>
  <r>
    <n v="156"/>
    <n v="967"/>
    <x v="1276"/>
    <x v="8"/>
    <s v="Medium"/>
    <n v="6"/>
    <n v="90.56"/>
    <n v="0.03"/>
    <s v="Regular Air"/>
    <n v="-37.584000000000003"/>
    <n v="13.99"/>
    <n v="7.51"/>
    <x v="368"/>
    <x v="11"/>
    <x v="7"/>
    <x v="1"/>
    <x v="1"/>
    <x v="16"/>
    <x v="535"/>
    <s v="Medium Box"/>
    <n v="0.39"/>
    <d v="2012-06-22T00:00:00"/>
    <n v="0"/>
    <n v="0"/>
    <n v="0.33333333333333331"/>
    <n v="0.2"/>
  </r>
  <r>
    <n v="157"/>
    <n v="967"/>
    <x v="1276"/>
    <x v="8"/>
    <s v="Medium"/>
    <n v="42"/>
    <n v="1634.9"/>
    <n v="0.01"/>
    <s v="Regular Air"/>
    <n v="502.42"/>
    <n v="37.74"/>
    <n v="2.9"/>
    <x v="368"/>
    <x v="11"/>
    <x v="7"/>
    <x v="1"/>
    <x v="0"/>
    <x v="12"/>
    <x v="755"/>
    <s v="Small Pack"/>
    <n v="0.59"/>
    <d v="2012-06-21T00:00:00"/>
    <n v="0"/>
    <n v="0"/>
    <n v="0.33333333333333331"/>
    <n v="0.2"/>
  </r>
  <r>
    <n v="158"/>
    <n v="967"/>
    <x v="1276"/>
    <x v="8"/>
    <s v="Medium"/>
    <n v="48"/>
    <n v="11278.18"/>
    <n v="0.01"/>
    <s v="Delivery Truck"/>
    <n v="1836.81"/>
    <n v="227.55"/>
    <n v="32.479999999999997"/>
    <x v="368"/>
    <x v="11"/>
    <x v="7"/>
    <x v="1"/>
    <x v="2"/>
    <x v="10"/>
    <x v="1110"/>
    <s v="Jumbo Box"/>
    <n v="0.68"/>
    <d v="2012-06-23T00:00:00"/>
    <n v="0"/>
    <n v="0"/>
    <n v="0.33333333333333331"/>
    <n v="0.2"/>
  </r>
  <r>
    <n v="212"/>
    <n v="1411"/>
    <x v="874"/>
    <x v="47"/>
    <s v="High"/>
    <n v="47"/>
    <n v="6717.9324999999999"/>
    <n v="0.09"/>
    <s v="Regular Air"/>
    <n v="1717.893"/>
    <n v="175.99"/>
    <n v="4.99"/>
    <x v="332"/>
    <x v="11"/>
    <x v="7"/>
    <x v="0"/>
    <x v="1"/>
    <x v="3"/>
    <x v="602"/>
    <s v="Small Box"/>
    <n v="0.59"/>
    <d v="2009-12-22T00:00:00"/>
    <n v="0"/>
    <n v="0"/>
    <n v="0.5"/>
    <n v="0.5"/>
  </r>
  <r>
    <n v="235"/>
    <n v="1575"/>
    <x v="256"/>
    <x v="31"/>
    <s v="Medium"/>
    <n v="26"/>
    <n v="133.65"/>
    <n v="0.05"/>
    <s v="Regular Air"/>
    <n v="56.28"/>
    <n v="4.9800000000000004"/>
    <n v="0.8"/>
    <x v="398"/>
    <x v="11"/>
    <x v="7"/>
    <x v="0"/>
    <x v="0"/>
    <x v="5"/>
    <x v="657"/>
    <s v="Wrap Bag"/>
    <n v="0.36"/>
    <d v="2011-09-14T00:00:00"/>
    <n v="0"/>
    <n v="0"/>
    <n v="0.5"/>
    <n v="0.5"/>
  </r>
  <r>
    <n v="236"/>
    <n v="1575"/>
    <x v="256"/>
    <x v="31"/>
    <s v="Medium"/>
    <n v="10"/>
    <n v="525.67399999999998"/>
    <n v="0.08"/>
    <s v="Regular Air"/>
    <n v="-147.01499999999999"/>
    <n v="65.989999999999995"/>
    <n v="5.26"/>
    <x v="398"/>
    <x v="11"/>
    <x v="7"/>
    <x v="0"/>
    <x v="1"/>
    <x v="3"/>
    <x v="266"/>
    <s v="Small Box"/>
    <n v="0.56000000000000005"/>
    <d v="2011-09-14T00:00:00"/>
    <n v="0"/>
    <n v="0"/>
    <n v="0.5"/>
    <n v="0.5"/>
  </r>
  <r>
    <n v="240"/>
    <n v="1637"/>
    <x v="745"/>
    <x v="44"/>
    <s v="Not Specified"/>
    <n v="36"/>
    <n v="1225.52"/>
    <n v="0.1"/>
    <s v="Express Air"/>
    <n v="-1191.1300000000001"/>
    <n v="35.479999999999997"/>
    <n v="35"/>
    <x v="646"/>
    <x v="11"/>
    <x v="7"/>
    <x v="2"/>
    <x v="0"/>
    <x v="0"/>
    <x v="1244"/>
    <s v="Large Box"/>
    <n v="0.85"/>
    <d v="2011-02-07T00:00:00"/>
    <n v="0"/>
    <n v="0"/>
    <n v="0.33333333333333331"/>
    <n v="0.33333333333333331"/>
  </r>
  <r>
    <n v="241"/>
    <n v="1637"/>
    <x v="745"/>
    <x v="44"/>
    <s v="Not Specified"/>
    <n v="10"/>
    <n v="1024.29"/>
    <n v="7.0000000000000007E-2"/>
    <s v="Regular Air"/>
    <n v="-95.52"/>
    <n v="99.99"/>
    <n v="19.989999999999998"/>
    <x v="646"/>
    <x v="11"/>
    <x v="7"/>
    <x v="2"/>
    <x v="1"/>
    <x v="7"/>
    <x v="218"/>
    <s v="Small Box"/>
    <n v="0.52"/>
    <d v="2011-02-07T00:00:00"/>
    <n v="0"/>
    <n v="0"/>
    <n v="0.33333333333333331"/>
    <n v="0.33333333333333331"/>
  </r>
  <r>
    <n v="242"/>
    <n v="1637"/>
    <x v="745"/>
    <x v="44"/>
    <s v="Not Specified"/>
    <n v="47"/>
    <n v="1348.57"/>
    <n v="0.08"/>
    <s v="Regular Air"/>
    <n v="19.57"/>
    <n v="30.98"/>
    <n v="8.99"/>
    <x v="646"/>
    <x v="11"/>
    <x v="7"/>
    <x v="2"/>
    <x v="0"/>
    <x v="12"/>
    <x v="805"/>
    <s v="Small Pack"/>
    <n v="0.57999999999999996"/>
    <d v="2011-02-09T00:00:00"/>
    <n v="0"/>
    <n v="0"/>
    <n v="0.33333333333333331"/>
    <n v="0.33333333333333331"/>
  </r>
  <r>
    <n v="272"/>
    <n v="1888"/>
    <x v="1120"/>
    <x v="0"/>
    <s v="Not Specified"/>
    <n v="38"/>
    <n v="1264.46"/>
    <n v="0"/>
    <s v="Delivery Truck"/>
    <n v="-1249.3900000000001"/>
    <n v="31.76"/>
    <n v="45.51"/>
    <x v="545"/>
    <x v="11"/>
    <x v="7"/>
    <x v="2"/>
    <x v="2"/>
    <x v="10"/>
    <x v="465"/>
    <s v="Jumbo Box"/>
    <n v="0.65"/>
    <d v="2010-10-30T00:00:00"/>
    <n v="0"/>
    <n v="0"/>
    <n v="0.5"/>
    <n v="0.5"/>
  </r>
  <r>
    <n v="273"/>
    <n v="1888"/>
    <x v="1120"/>
    <x v="0"/>
    <s v="Not Specified"/>
    <n v="35"/>
    <n v="158.25"/>
    <n v="0.09"/>
    <s v="Regular Air"/>
    <n v="-114.7355"/>
    <n v="4.57"/>
    <n v="5.42"/>
    <x v="545"/>
    <x v="11"/>
    <x v="7"/>
    <x v="2"/>
    <x v="0"/>
    <x v="2"/>
    <x v="328"/>
    <s v="Small Box"/>
    <n v="0.37"/>
    <d v="2010-10-31T00:00:00"/>
    <n v="0"/>
    <n v="0"/>
    <n v="0.5"/>
    <n v="0.5"/>
  </r>
  <r>
    <n v="296"/>
    <n v="2052"/>
    <x v="722"/>
    <x v="13"/>
    <s v="High"/>
    <n v="23"/>
    <n v="107.93"/>
    <n v="0"/>
    <s v="Regular Air"/>
    <n v="-68.137500000000003"/>
    <n v="4.13"/>
    <n v="5.34"/>
    <x v="706"/>
    <x v="11"/>
    <x v="7"/>
    <x v="0"/>
    <x v="0"/>
    <x v="2"/>
    <x v="528"/>
    <s v="Small Box"/>
    <n v="0.38"/>
    <d v="2012-04-14T00:00:00"/>
    <n v="0"/>
    <n v="0"/>
    <n v="1"/>
    <n v="1"/>
  </r>
  <r>
    <n v="301"/>
    <n v="2055"/>
    <x v="1152"/>
    <x v="18"/>
    <s v="Critical"/>
    <n v="7"/>
    <n v="66.41"/>
    <n v="0.05"/>
    <s v="Regular Air"/>
    <n v="-32.35"/>
    <n v="8.74"/>
    <n v="8.2899999999999991"/>
    <x v="346"/>
    <x v="11"/>
    <x v="7"/>
    <x v="0"/>
    <x v="0"/>
    <x v="8"/>
    <x v="427"/>
    <s v="Small Box"/>
    <n v="0.38"/>
    <d v="2010-09-05T00:00:00"/>
    <n v="0"/>
    <n v="0"/>
    <n v="1"/>
    <n v="1"/>
  </r>
  <r>
    <n v="340"/>
    <n v="2309"/>
    <x v="1235"/>
    <x v="31"/>
    <s v="Low"/>
    <n v="7"/>
    <n v="27.01"/>
    <n v="0.05"/>
    <s v="Regular Air"/>
    <n v="-1.2994999999999999"/>
    <n v="3.8"/>
    <n v="1.49"/>
    <x v="338"/>
    <x v="11"/>
    <x v="7"/>
    <x v="1"/>
    <x v="0"/>
    <x v="2"/>
    <x v="160"/>
    <s v="Small Box"/>
    <n v="0.38"/>
    <d v="2011-09-05T00:00:00"/>
    <n v="0"/>
    <n v="0"/>
    <n v="1"/>
    <n v="1"/>
  </r>
  <r>
    <n v="343"/>
    <n v="2341"/>
    <x v="1274"/>
    <x v="39"/>
    <s v="Low"/>
    <n v="29"/>
    <n v="157.49"/>
    <n v="0.09"/>
    <s v="Regular Air"/>
    <n v="-58.25"/>
    <n v="5.78"/>
    <n v="4.96"/>
    <x v="372"/>
    <x v="11"/>
    <x v="7"/>
    <x v="0"/>
    <x v="0"/>
    <x v="5"/>
    <x v="572"/>
    <s v="Small Box"/>
    <n v="0.36"/>
    <d v="2010-06-05T00:00:00"/>
    <n v="0"/>
    <n v="0"/>
    <n v="1"/>
    <n v="1"/>
  </r>
  <r>
    <n v="350"/>
    <n v="2436"/>
    <x v="85"/>
    <x v="31"/>
    <s v="Not Specified"/>
    <n v="14"/>
    <n v="330.21"/>
    <n v="7.0000000000000007E-2"/>
    <s v="Express Air"/>
    <n v="83.24"/>
    <n v="22.84"/>
    <n v="5.47"/>
    <x v="707"/>
    <x v="11"/>
    <x v="7"/>
    <x v="2"/>
    <x v="0"/>
    <x v="5"/>
    <x v="208"/>
    <s v="Small Box"/>
    <n v="0.39"/>
    <d v="2011-09-13T00:00:00"/>
    <n v="0"/>
    <n v="0"/>
    <n v="1"/>
    <n v="1"/>
  </r>
  <r>
    <n v="357"/>
    <n v="2500"/>
    <x v="556"/>
    <x v="9"/>
    <s v="High"/>
    <n v="5"/>
    <n v="22.56"/>
    <n v="0.04"/>
    <s v="Regular Air"/>
    <n v="-25.564499999999999"/>
    <n v="3.36"/>
    <n v="6.27"/>
    <x v="409"/>
    <x v="11"/>
    <x v="7"/>
    <x v="0"/>
    <x v="0"/>
    <x v="2"/>
    <x v="285"/>
    <s v="Small Box"/>
    <n v="0.4"/>
    <d v="2012-08-16T00:00:00"/>
    <n v="0"/>
    <n v="0"/>
    <n v="1"/>
    <n v="1"/>
  </r>
  <r>
    <n v="364"/>
    <n v="2535"/>
    <x v="1199"/>
    <x v="39"/>
    <s v="Low"/>
    <n v="6"/>
    <n v="82.72"/>
    <n v="0.08"/>
    <s v="Regular Air"/>
    <n v="-29.71"/>
    <n v="14.48"/>
    <n v="1.99"/>
    <x v="708"/>
    <x v="11"/>
    <x v="7"/>
    <x v="2"/>
    <x v="1"/>
    <x v="7"/>
    <x v="189"/>
    <s v="Small Pack"/>
    <n v="0.49"/>
    <d v="2010-05-26T00:00:00"/>
    <n v="0"/>
    <n v="0"/>
    <n v="1"/>
    <n v="1"/>
  </r>
  <r>
    <n v="386"/>
    <n v="2658"/>
    <x v="230"/>
    <x v="31"/>
    <s v="Medium"/>
    <n v="34"/>
    <n v="229.51"/>
    <n v="0.04"/>
    <s v="Regular Air"/>
    <n v="-189.33"/>
    <n v="6.48"/>
    <n v="9.5399999999999991"/>
    <x v="421"/>
    <x v="11"/>
    <x v="7"/>
    <x v="0"/>
    <x v="0"/>
    <x v="5"/>
    <x v="390"/>
    <s v="Small Box"/>
    <n v="0.37"/>
    <d v="2011-09-23T00:00:00"/>
    <n v="0"/>
    <n v="0"/>
    <n v="0.5"/>
    <n v="0.5"/>
  </r>
  <r>
    <n v="387"/>
    <n v="2658"/>
    <x v="230"/>
    <x v="31"/>
    <s v="Medium"/>
    <n v="32"/>
    <n v="473"/>
    <n v="0.09"/>
    <s v="Express Air"/>
    <n v="-185.8"/>
    <n v="15.42"/>
    <n v="10.68"/>
    <x v="421"/>
    <x v="11"/>
    <x v="7"/>
    <x v="0"/>
    <x v="0"/>
    <x v="0"/>
    <x v="1119"/>
    <s v="Small Box"/>
    <n v="0.57999999999999996"/>
    <d v="2011-09-22T00:00:00"/>
    <n v="0"/>
    <n v="0"/>
    <n v="0.5"/>
    <n v="0.5"/>
  </r>
  <r>
    <n v="395"/>
    <n v="2725"/>
    <x v="562"/>
    <x v="43"/>
    <s v="Not Specified"/>
    <n v="39"/>
    <n v="2178.431"/>
    <n v="0.01"/>
    <s v="Express Air"/>
    <n v="396.97199999999998"/>
    <n v="65.989999999999995"/>
    <n v="8.99"/>
    <x v="398"/>
    <x v="11"/>
    <x v="7"/>
    <x v="0"/>
    <x v="1"/>
    <x v="3"/>
    <x v="893"/>
    <s v="Small Box"/>
    <n v="0.56000000000000005"/>
    <d v="2009-05-21T00:00:00"/>
    <n v="0"/>
    <n v="0"/>
    <n v="1"/>
    <n v="1"/>
  </r>
  <r>
    <n v="404"/>
    <n v="2756"/>
    <x v="1312"/>
    <x v="46"/>
    <s v="Critical"/>
    <n v="25"/>
    <n v="1344.88"/>
    <n v="0.06"/>
    <s v="Regular Air"/>
    <n v="-13.77"/>
    <n v="55.94"/>
    <n v="4"/>
    <x v="709"/>
    <x v="11"/>
    <x v="7"/>
    <x v="0"/>
    <x v="1"/>
    <x v="7"/>
    <x v="377"/>
    <s v="Small Box"/>
    <n v="0.74"/>
    <d v="2009-04-18T00:00:00"/>
    <n v="0"/>
    <n v="0"/>
    <n v="0.5"/>
    <n v="0.5"/>
  </r>
  <r>
    <n v="405"/>
    <n v="2756"/>
    <x v="1312"/>
    <x v="46"/>
    <s v="Critical"/>
    <n v="42"/>
    <n v="248.54"/>
    <n v="7.0000000000000007E-2"/>
    <s v="Regular Air"/>
    <n v="111.75"/>
    <n v="6.3"/>
    <n v="0.5"/>
    <x v="709"/>
    <x v="11"/>
    <x v="7"/>
    <x v="0"/>
    <x v="0"/>
    <x v="11"/>
    <x v="698"/>
    <s v="Small Box"/>
    <n v="0.39"/>
    <d v="2009-04-17T00:00:00"/>
    <n v="0"/>
    <n v="0"/>
    <n v="0.5"/>
    <n v="0.5"/>
  </r>
  <r>
    <n v="428"/>
    <n v="2853"/>
    <x v="1366"/>
    <x v="43"/>
    <s v="High"/>
    <n v="25"/>
    <n v="4253.6499999999996"/>
    <n v="0.05"/>
    <s v="Express Air"/>
    <n v="943"/>
    <n v="178.47"/>
    <n v="19.989999999999998"/>
    <x v="417"/>
    <x v="11"/>
    <x v="7"/>
    <x v="1"/>
    <x v="0"/>
    <x v="0"/>
    <x v="902"/>
    <s v="Small Box"/>
    <n v="0.55000000000000004"/>
    <d v="2009-05-07T00:00:00"/>
    <n v="0"/>
    <n v="0"/>
    <n v="1"/>
    <n v="1"/>
  </r>
  <r>
    <n v="436"/>
    <n v="2914"/>
    <x v="374"/>
    <x v="14"/>
    <s v="Medium"/>
    <n v="3"/>
    <n v="62.88"/>
    <n v="0.09"/>
    <s v="Regular Air"/>
    <n v="-24.74"/>
    <n v="18.97"/>
    <n v="9.5399999999999991"/>
    <x v="368"/>
    <x v="11"/>
    <x v="7"/>
    <x v="1"/>
    <x v="0"/>
    <x v="5"/>
    <x v="439"/>
    <s v="Small Box"/>
    <n v="0.37"/>
    <d v="2010-03-03T00:00:00"/>
    <n v="0"/>
    <n v="0"/>
    <n v="1"/>
    <n v="0.33333333333333331"/>
  </r>
  <r>
    <n v="441"/>
    <n v="2978"/>
    <x v="1242"/>
    <x v="10"/>
    <s v="Critical"/>
    <n v="34"/>
    <n v="6264.1854999999996"/>
    <n v="0.01"/>
    <s v="Regular Air"/>
    <n v="1312.038"/>
    <n v="205.99"/>
    <n v="19.989999999999998"/>
    <x v="543"/>
    <x v="11"/>
    <x v="7"/>
    <x v="2"/>
    <x v="1"/>
    <x v="3"/>
    <x v="1245"/>
    <s v="Small Box"/>
    <n v="0.6"/>
    <d v="2011-05-03T00:00:00"/>
    <n v="0"/>
    <n v="0"/>
    <n v="0.33333333333333331"/>
    <n v="0.33333333333333331"/>
  </r>
  <r>
    <n v="442"/>
    <n v="2978"/>
    <x v="1242"/>
    <x v="10"/>
    <s v="Critical"/>
    <n v="36"/>
    <n v="5410.95"/>
    <n v="0.09"/>
    <s v="Regular Air"/>
    <n v="2077.91"/>
    <n v="162.93"/>
    <n v="19.989999999999998"/>
    <x v="543"/>
    <x v="11"/>
    <x v="7"/>
    <x v="2"/>
    <x v="0"/>
    <x v="8"/>
    <x v="324"/>
    <s v="Small Box"/>
    <n v="0.39"/>
    <d v="2011-05-04T00:00:00"/>
    <n v="0"/>
    <n v="0"/>
    <n v="0.33333333333333331"/>
    <n v="0.33333333333333331"/>
  </r>
  <r>
    <n v="444"/>
    <n v="3008"/>
    <x v="647"/>
    <x v="27"/>
    <s v="Medium"/>
    <n v="41"/>
    <n v="6831.72"/>
    <n v="0.01"/>
    <s v="Regular Air"/>
    <n v="3081.02"/>
    <n v="162.93"/>
    <n v="19.989999999999998"/>
    <x v="710"/>
    <x v="11"/>
    <x v="7"/>
    <x v="1"/>
    <x v="0"/>
    <x v="8"/>
    <x v="324"/>
    <s v="Small Box"/>
    <n v="0.39"/>
    <d v="2011-11-08T00:00:00"/>
    <n v="0"/>
    <n v="0"/>
    <n v="1"/>
    <n v="1"/>
  </r>
  <r>
    <n v="448"/>
    <n v="3042"/>
    <x v="626"/>
    <x v="11"/>
    <s v="Medium"/>
    <n v="26"/>
    <n v="103.87"/>
    <n v="0.1"/>
    <s v="Regular Air"/>
    <n v="15.42"/>
    <n v="4.26"/>
    <n v="1.2"/>
    <x v="358"/>
    <x v="11"/>
    <x v="7"/>
    <x v="1"/>
    <x v="0"/>
    <x v="12"/>
    <x v="678"/>
    <s v="Wrap Bag"/>
    <n v="0.44"/>
    <d v="2009-11-21T00:00:00"/>
    <n v="0"/>
    <n v="0"/>
    <n v="1"/>
    <n v="1"/>
  </r>
  <r>
    <n v="453"/>
    <n v="3078"/>
    <x v="1030"/>
    <x v="6"/>
    <s v="High"/>
    <n v="12"/>
    <n v="33.86"/>
    <n v="0.05"/>
    <s v="Regular Air"/>
    <n v="0.35000000000000053"/>
    <n v="2.88"/>
    <n v="0.7"/>
    <x v="382"/>
    <x v="11"/>
    <x v="7"/>
    <x v="2"/>
    <x v="0"/>
    <x v="12"/>
    <x v="808"/>
    <s v="Wrap Bag"/>
    <n v="0.56000000000000005"/>
    <d v="2010-02-12T00:00:00"/>
    <n v="0"/>
    <n v="0"/>
    <n v="0.5"/>
    <n v="0.5"/>
  </r>
  <r>
    <n v="467"/>
    <n v="3175"/>
    <x v="761"/>
    <x v="36"/>
    <s v="Low"/>
    <n v="23"/>
    <n v="3553.62"/>
    <n v="7.0000000000000007E-2"/>
    <s v="Regular Air"/>
    <n v="521.69000000000005"/>
    <n v="165.2"/>
    <n v="19.989999999999998"/>
    <x v="399"/>
    <x v="11"/>
    <x v="7"/>
    <x v="0"/>
    <x v="0"/>
    <x v="0"/>
    <x v="1176"/>
    <s v="Small Box"/>
    <n v="0.59"/>
    <d v="2009-07-16T00:00:00"/>
    <n v="0"/>
    <n v="0"/>
    <n v="1"/>
    <n v="1"/>
  </r>
  <r>
    <n v="477"/>
    <n v="3300"/>
    <x v="455"/>
    <x v="2"/>
    <s v="Low"/>
    <n v="6"/>
    <n v="92.02"/>
    <n v="0.1"/>
    <s v="Regular Air"/>
    <n v="-47.36"/>
    <n v="15.98"/>
    <n v="4"/>
    <x v="711"/>
    <x v="11"/>
    <x v="7"/>
    <x v="3"/>
    <x v="1"/>
    <x v="7"/>
    <x v="404"/>
    <s v="Small Box"/>
    <n v="0.37"/>
    <d v="2011-07-19T00:00:00"/>
    <n v="0"/>
    <n v="0"/>
    <n v="1"/>
    <n v="1"/>
  </r>
  <r>
    <n v="478"/>
    <n v="3328"/>
    <x v="390"/>
    <x v="32"/>
    <s v="Low"/>
    <n v="12"/>
    <n v="1736.41"/>
    <n v="0.1"/>
    <s v="Delivery Truck"/>
    <n v="-762.44"/>
    <n v="146.05000000000001"/>
    <n v="80.2"/>
    <x v="707"/>
    <x v="11"/>
    <x v="7"/>
    <x v="2"/>
    <x v="2"/>
    <x v="10"/>
    <x v="838"/>
    <s v="Jumbo Box"/>
    <n v="0.71"/>
    <d v="2012-11-25T00:00:00"/>
    <n v="0"/>
    <n v="0"/>
    <n v="1"/>
    <n v="1"/>
  </r>
  <r>
    <n v="514"/>
    <n v="3525"/>
    <x v="905"/>
    <x v="25"/>
    <s v="Not Specified"/>
    <n v="38"/>
    <n v="115.43"/>
    <n v="0"/>
    <s v="Regular Air"/>
    <n v="11.41"/>
    <n v="2.78"/>
    <n v="1.34"/>
    <x v="711"/>
    <x v="11"/>
    <x v="7"/>
    <x v="3"/>
    <x v="0"/>
    <x v="12"/>
    <x v="148"/>
    <s v="Wrap Bag"/>
    <n v="0.45"/>
    <d v="2011-12-23T00:00:00"/>
    <n v="0"/>
    <n v="0"/>
    <n v="1"/>
    <n v="1"/>
  </r>
  <r>
    <n v="515"/>
    <n v="3526"/>
    <x v="515"/>
    <x v="5"/>
    <s v="Low"/>
    <n v="20"/>
    <n v="246.06"/>
    <n v="0.08"/>
    <s v="Regular Air"/>
    <n v="20.67"/>
    <n v="12.07"/>
    <n v="6.2"/>
    <x v="359"/>
    <x v="11"/>
    <x v="7"/>
    <x v="0"/>
    <x v="2"/>
    <x v="4"/>
    <x v="1180"/>
    <s v="Wrap Bag"/>
    <n v="0.52"/>
    <d v="2011-03-17T00:00:00"/>
    <n v="0"/>
    <n v="0"/>
    <n v="1"/>
    <n v="1"/>
  </r>
  <r>
    <n v="532"/>
    <n v="3621"/>
    <x v="364"/>
    <x v="39"/>
    <s v="Medium"/>
    <n v="14"/>
    <n v="83.87"/>
    <n v="0.06"/>
    <s v="Regular Air"/>
    <n v="-28.83"/>
    <n v="5.58"/>
    <n v="5.3"/>
    <x v="338"/>
    <x v="11"/>
    <x v="7"/>
    <x v="0"/>
    <x v="0"/>
    <x v="8"/>
    <x v="686"/>
    <s v="Small Box"/>
    <n v="0.35"/>
    <d v="2010-05-06T00:00:00"/>
    <n v="0"/>
    <n v="0"/>
    <n v="1"/>
    <n v="1"/>
  </r>
  <r>
    <n v="536"/>
    <n v="3649"/>
    <x v="1372"/>
    <x v="36"/>
    <s v="Low"/>
    <n v="8"/>
    <n v="79.42"/>
    <n v="0.01"/>
    <s v="Regular Air"/>
    <n v="-15.456"/>
    <n v="8.8800000000000008"/>
    <n v="6.28"/>
    <x v="361"/>
    <x v="11"/>
    <x v="7"/>
    <x v="3"/>
    <x v="0"/>
    <x v="2"/>
    <x v="886"/>
    <s v="Small Box"/>
    <n v="0.35"/>
    <d v="2009-07-10T00:00:00"/>
    <n v="0"/>
    <n v="0"/>
    <n v="0.5"/>
    <n v="0.5"/>
  </r>
  <r>
    <n v="537"/>
    <n v="3649"/>
    <x v="1372"/>
    <x v="36"/>
    <s v="Low"/>
    <n v="26"/>
    <n v="75.599999999999994"/>
    <n v="0.06"/>
    <s v="Regular Air"/>
    <n v="17.14"/>
    <n v="2.88"/>
    <n v="0.99"/>
    <x v="361"/>
    <x v="11"/>
    <x v="7"/>
    <x v="3"/>
    <x v="0"/>
    <x v="11"/>
    <x v="746"/>
    <s v="Small Box"/>
    <n v="0.36"/>
    <d v="2009-07-14T00:00:00"/>
    <n v="0"/>
    <n v="0"/>
    <n v="0.5"/>
    <n v="0.5"/>
  </r>
  <r>
    <n v="541"/>
    <n v="3654"/>
    <x v="734"/>
    <x v="8"/>
    <s v="Low"/>
    <n v="41"/>
    <n v="95.73"/>
    <n v="0"/>
    <s v="Regular Air"/>
    <n v="-151.15"/>
    <n v="2.08"/>
    <n v="5.33"/>
    <x v="336"/>
    <x v="11"/>
    <x v="7"/>
    <x v="2"/>
    <x v="2"/>
    <x v="4"/>
    <x v="109"/>
    <s v="Small Box"/>
    <n v="0.43"/>
    <d v="2012-06-07T00:00:00"/>
    <n v="0"/>
    <n v="0"/>
    <n v="0.33333333333333331"/>
    <n v="0.33333333333333331"/>
  </r>
  <r>
    <n v="565"/>
    <n v="3814"/>
    <x v="1050"/>
    <x v="44"/>
    <s v="Low"/>
    <n v="43"/>
    <n v="1225.4100000000001"/>
    <n v="0.04"/>
    <s v="Express Air"/>
    <n v="-138.02000000000001"/>
    <n v="28.28"/>
    <n v="13.99"/>
    <x v="712"/>
    <x v="11"/>
    <x v="7"/>
    <x v="1"/>
    <x v="0"/>
    <x v="0"/>
    <x v="158"/>
    <s v="Medium Box"/>
    <n v="0.57999999999999996"/>
    <d v="2011-02-27T00:00:00"/>
    <n v="0"/>
    <n v="0"/>
    <n v="1"/>
    <n v="1"/>
  </r>
  <r>
    <n v="578"/>
    <n v="3911"/>
    <x v="323"/>
    <x v="5"/>
    <s v="Not Specified"/>
    <n v="24"/>
    <n v="370.72"/>
    <n v="0.1"/>
    <s v="Regular Air"/>
    <n v="-156.76"/>
    <n v="15.7"/>
    <n v="11.25"/>
    <x v="409"/>
    <x v="11"/>
    <x v="7"/>
    <x v="0"/>
    <x v="0"/>
    <x v="0"/>
    <x v="101"/>
    <s v="Small Box"/>
    <n v="0.6"/>
    <d v="2011-03-16T00:00:00"/>
    <n v="0"/>
    <n v="0"/>
    <n v="1"/>
    <n v="1"/>
  </r>
  <r>
    <n v="607"/>
    <n v="4134"/>
    <x v="325"/>
    <x v="16"/>
    <s v="Critical"/>
    <n v="48"/>
    <n v="6403.39"/>
    <n v="0.01"/>
    <s v="Delivery Truck"/>
    <n v="-824.15"/>
    <n v="130.97999999999999"/>
    <n v="54.74"/>
    <x v="396"/>
    <x v="11"/>
    <x v="7"/>
    <x v="0"/>
    <x v="2"/>
    <x v="9"/>
    <x v="631"/>
    <s v="Jumbo Box"/>
    <n v="0.69"/>
    <d v="2011-01-13T00:00:00"/>
    <n v="0"/>
    <n v="0"/>
    <n v="0.5"/>
    <n v="0.25"/>
  </r>
  <r>
    <n v="608"/>
    <n v="4134"/>
    <x v="325"/>
    <x v="16"/>
    <s v="Critical"/>
    <n v="23"/>
    <n v="757.91"/>
    <n v="0.02"/>
    <s v="Regular Air"/>
    <n v="-16.05"/>
    <n v="30.97"/>
    <n v="4"/>
    <x v="396"/>
    <x v="11"/>
    <x v="7"/>
    <x v="0"/>
    <x v="1"/>
    <x v="7"/>
    <x v="730"/>
    <s v="Small Box"/>
    <n v="0.74"/>
    <d v="2011-01-11T00:00:00"/>
    <n v="0"/>
    <n v="0"/>
    <n v="0.5"/>
    <n v="0.25"/>
  </r>
  <r>
    <n v="615"/>
    <n v="4230"/>
    <x v="146"/>
    <x v="33"/>
    <s v="Critical"/>
    <n v="18"/>
    <n v="409.16"/>
    <n v="0.05"/>
    <s v="Regular Air"/>
    <n v="21.96"/>
    <n v="22.72"/>
    <n v="8.99"/>
    <x v="713"/>
    <x v="11"/>
    <x v="7"/>
    <x v="2"/>
    <x v="2"/>
    <x v="4"/>
    <x v="199"/>
    <s v="Small Pack"/>
    <n v="0.44"/>
    <d v="2012-03-04T00:00:00"/>
    <n v="0"/>
    <n v="0"/>
    <n v="0.5"/>
    <n v="0.25"/>
  </r>
  <r>
    <n v="616"/>
    <n v="4230"/>
    <x v="146"/>
    <x v="33"/>
    <s v="Critical"/>
    <n v="46"/>
    <n v="2508.3159999999998"/>
    <n v="7.0000000000000007E-2"/>
    <s v="Express Air"/>
    <n v="456.81299999999999"/>
    <n v="65.989999999999995"/>
    <n v="8.99"/>
    <x v="713"/>
    <x v="11"/>
    <x v="7"/>
    <x v="2"/>
    <x v="1"/>
    <x v="3"/>
    <x v="893"/>
    <s v="Small Box"/>
    <n v="0.56000000000000005"/>
    <d v="2012-03-05T00:00:00"/>
    <n v="0"/>
    <n v="0"/>
    <n v="0.5"/>
    <n v="0.25"/>
  </r>
  <r>
    <n v="624"/>
    <n v="4324"/>
    <x v="1013"/>
    <x v="2"/>
    <s v="Critical"/>
    <n v="28"/>
    <n v="1165.33"/>
    <n v="0.04"/>
    <s v="Regular Air"/>
    <n v="154.85"/>
    <n v="40.97"/>
    <n v="8.99"/>
    <x v="349"/>
    <x v="11"/>
    <x v="7"/>
    <x v="0"/>
    <x v="0"/>
    <x v="12"/>
    <x v="608"/>
    <s v="Small Pack"/>
    <n v="0.59"/>
    <d v="2011-07-18T00:00:00"/>
    <n v="0"/>
    <n v="0"/>
    <n v="1"/>
    <n v="1"/>
  </r>
  <r>
    <n v="651"/>
    <n v="4581"/>
    <x v="961"/>
    <x v="34"/>
    <s v="Not Specified"/>
    <n v="25"/>
    <n v="2325.42"/>
    <n v="0.02"/>
    <s v="Regular Air"/>
    <n v="739.91"/>
    <n v="90.48"/>
    <n v="19.989999999999998"/>
    <x v="330"/>
    <x v="11"/>
    <x v="7"/>
    <x v="3"/>
    <x v="0"/>
    <x v="8"/>
    <x v="881"/>
    <s v="Small Box"/>
    <n v="0.4"/>
    <d v="2012-09-05T00:00:00"/>
    <n v="0"/>
    <n v="0"/>
    <n v="1"/>
    <n v="1"/>
  </r>
  <r>
    <n v="674"/>
    <n v="4706"/>
    <x v="1341"/>
    <x v="45"/>
    <s v="Not Specified"/>
    <n v="30"/>
    <n v="2116.6999999999998"/>
    <n v="0.02"/>
    <s v="Regular Air"/>
    <n v="488.81800000000004"/>
    <n v="67.28"/>
    <n v="19.989999999999998"/>
    <x v="399"/>
    <x v="11"/>
    <x v="7"/>
    <x v="0"/>
    <x v="0"/>
    <x v="2"/>
    <x v="490"/>
    <s v="Small Box"/>
    <n v="0.4"/>
    <d v="2012-12-30T00:00:00"/>
    <n v="0"/>
    <n v="0"/>
    <n v="1"/>
    <n v="1"/>
  </r>
  <r>
    <n v="677"/>
    <n v="4738"/>
    <x v="241"/>
    <x v="13"/>
    <s v="High"/>
    <n v="2"/>
    <n v="10.39"/>
    <n v="0.02"/>
    <s v="Regular Air"/>
    <n v="-7.97"/>
    <n v="4.71"/>
    <n v="0.7"/>
    <x v="424"/>
    <x v="11"/>
    <x v="7"/>
    <x v="3"/>
    <x v="0"/>
    <x v="6"/>
    <x v="21"/>
    <s v="Wrap Bag"/>
    <n v="0.8"/>
    <d v="2012-04-08T00:00:00"/>
    <n v="0"/>
    <n v="0"/>
    <n v="1"/>
    <n v="1"/>
  </r>
  <r>
    <n v="683"/>
    <n v="4771"/>
    <x v="1182"/>
    <x v="45"/>
    <s v="Critical"/>
    <n v="4"/>
    <n v="135.928"/>
    <n v="0.04"/>
    <s v="Delivery Truck"/>
    <n v="-126.47"/>
    <n v="31.76"/>
    <n v="45.51"/>
    <x v="358"/>
    <x v="11"/>
    <x v="7"/>
    <x v="1"/>
    <x v="2"/>
    <x v="10"/>
    <x v="465"/>
    <s v="Jumbo Box"/>
    <n v="0.65"/>
    <d v="2012-12-15T00:00:00"/>
    <n v="0"/>
    <n v="0"/>
    <n v="1"/>
    <n v="1"/>
  </r>
  <r>
    <n v="691"/>
    <n v="4804"/>
    <x v="1075"/>
    <x v="23"/>
    <s v="High"/>
    <n v="13"/>
    <n v="463.83"/>
    <n v="0"/>
    <s v="Regular Air"/>
    <n v="103.26"/>
    <n v="33.979999999999997"/>
    <n v="1.99"/>
    <x v="545"/>
    <x v="11"/>
    <x v="7"/>
    <x v="2"/>
    <x v="1"/>
    <x v="7"/>
    <x v="1070"/>
    <s v="Small Pack"/>
    <n v="0.45"/>
    <d v="2012-01-28T00:00:00"/>
    <n v="0"/>
    <n v="0"/>
    <n v="1"/>
    <n v="1"/>
  </r>
  <r>
    <n v="696"/>
    <n v="4870"/>
    <x v="118"/>
    <x v="26"/>
    <s v="Medium"/>
    <n v="44"/>
    <n v="17248.09"/>
    <n v="0.08"/>
    <s v="Delivery Truck"/>
    <n v="2048.63"/>
    <n v="400.98"/>
    <n v="42.52"/>
    <x v="426"/>
    <x v="11"/>
    <x v="7"/>
    <x v="2"/>
    <x v="2"/>
    <x v="10"/>
    <x v="861"/>
    <s v="Jumbo Box"/>
    <n v="0.71"/>
    <d v="2009-08-06T00:00:00"/>
    <n v="0"/>
    <n v="0"/>
    <n v="1"/>
    <n v="1"/>
  </r>
  <r>
    <n v="702"/>
    <n v="4931"/>
    <x v="571"/>
    <x v="11"/>
    <s v="Critical"/>
    <n v="22"/>
    <n v="168.31"/>
    <n v="0.1"/>
    <s v="Regular Air"/>
    <n v="46.49"/>
    <n v="8.17"/>
    <n v="1.69"/>
    <x v="353"/>
    <x v="11"/>
    <x v="7"/>
    <x v="2"/>
    <x v="0"/>
    <x v="5"/>
    <x v="973"/>
    <s v="Wrap Bag"/>
    <n v="0.38"/>
    <d v="2009-11-16T00:00:00"/>
    <n v="0"/>
    <n v="0"/>
    <n v="0.5"/>
    <n v="0.33333333333333331"/>
  </r>
  <r>
    <n v="703"/>
    <n v="4931"/>
    <x v="571"/>
    <x v="11"/>
    <s v="Critical"/>
    <n v="45"/>
    <n v="4282.7249999999995"/>
    <n v="0.03"/>
    <s v="Regular Air"/>
    <n v="1371.7440000000001"/>
    <n v="110.99"/>
    <n v="2.5"/>
    <x v="353"/>
    <x v="11"/>
    <x v="7"/>
    <x v="2"/>
    <x v="1"/>
    <x v="3"/>
    <x v="368"/>
    <s v="Small Box"/>
    <n v="0.56999999999999995"/>
    <d v="2009-11-18T00:00:00"/>
    <n v="0"/>
    <n v="0"/>
    <n v="0.5"/>
    <n v="0.33333333333333331"/>
  </r>
  <r>
    <n v="716"/>
    <n v="5094"/>
    <x v="1147"/>
    <x v="14"/>
    <s v="Not Specified"/>
    <n v="2"/>
    <n v="79.58"/>
    <n v="0.06"/>
    <s v="Regular Air"/>
    <n v="-38.28"/>
    <n v="37.44"/>
    <n v="4.2699999999999996"/>
    <x v="400"/>
    <x v="11"/>
    <x v="7"/>
    <x v="0"/>
    <x v="0"/>
    <x v="12"/>
    <x v="1189"/>
    <s v="Wrap Bag"/>
    <n v="0.46"/>
    <d v="2010-03-30T00:00:00"/>
    <n v="0"/>
    <n v="0"/>
    <n v="1"/>
    <n v="1"/>
  </r>
  <r>
    <n v="721"/>
    <n v="5188"/>
    <x v="495"/>
    <x v="5"/>
    <s v="Not Specified"/>
    <n v="24"/>
    <n v="192.8"/>
    <n v="0.05"/>
    <s v="Regular Air"/>
    <n v="31"/>
    <n v="8.01"/>
    <n v="2.87"/>
    <x v="399"/>
    <x v="11"/>
    <x v="7"/>
    <x v="0"/>
    <x v="0"/>
    <x v="5"/>
    <x v="548"/>
    <s v="Wrap Bag"/>
    <n v="0.4"/>
    <d v="2011-03-04T00:00:00"/>
    <n v="0"/>
    <n v="0"/>
    <n v="1"/>
    <n v="1"/>
  </r>
  <r>
    <n v="722"/>
    <n v="5189"/>
    <x v="273"/>
    <x v="7"/>
    <s v="Low"/>
    <n v="12"/>
    <n v="900.06"/>
    <n v="0.05"/>
    <s v="Regular Air"/>
    <n v="-221.12"/>
    <n v="73.98"/>
    <n v="14.52"/>
    <x v="383"/>
    <x v="11"/>
    <x v="7"/>
    <x v="2"/>
    <x v="1"/>
    <x v="7"/>
    <x v="640"/>
    <s v="Small Box"/>
    <n v="0.65"/>
    <d v="2010-12-02T00:00:00"/>
    <n v="0"/>
    <n v="0"/>
    <n v="0.33333333333333331"/>
    <n v="0.33333333333333331"/>
  </r>
  <r>
    <n v="753"/>
    <n v="5408"/>
    <x v="718"/>
    <x v="29"/>
    <s v="Low"/>
    <n v="20"/>
    <n v="88.82"/>
    <n v="0.01"/>
    <s v="Regular Air"/>
    <n v="38.35"/>
    <n v="4.13"/>
    <n v="0.5"/>
    <x v="409"/>
    <x v="11"/>
    <x v="7"/>
    <x v="0"/>
    <x v="0"/>
    <x v="11"/>
    <x v="84"/>
    <s v="Small Box"/>
    <n v="0.39"/>
    <d v="2012-07-27T00:00:00"/>
    <n v="0"/>
    <n v="0"/>
    <n v="0.5"/>
    <n v="0.5"/>
  </r>
  <r>
    <n v="754"/>
    <n v="5408"/>
    <x v="718"/>
    <x v="29"/>
    <s v="Low"/>
    <n v="11"/>
    <n v="2392.23"/>
    <n v="0.04"/>
    <s v="Regular Air"/>
    <n v="1216.74"/>
    <n v="209.84"/>
    <n v="21.21"/>
    <x v="409"/>
    <x v="11"/>
    <x v="7"/>
    <x v="0"/>
    <x v="2"/>
    <x v="4"/>
    <x v="922"/>
    <s v="Large Box"/>
    <n v="0.59"/>
    <d v="2012-07-29T00:00:00"/>
    <n v="0"/>
    <n v="0"/>
    <n v="0.5"/>
    <n v="0.5"/>
  </r>
  <r>
    <n v="763"/>
    <n v="5472"/>
    <x v="623"/>
    <x v="24"/>
    <s v="Low"/>
    <n v="32"/>
    <n v="216.08"/>
    <n v="0"/>
    <s v="Regular Air"/>
    <n v="-84.33"/>
    <n v="6.48"/>
    <n v="6.65"/>
    <x v="336"/>
    <x v="11"/>
    <x v="7"/>
    <x v="2"/>
    <x v="0"/>
    <x v="5"/>
    <x v="58"/>
    <s v="Small Box"/>
    <n v="0.36"/>
    <d v="2010-04-12T00:00:00"/>
    <n v="0"/>
    <n v="0"/>
    <n v="0.33333333333333331"/>
    <n v="0.33333333333333331"/>
  </r>
  <r>
    <n v="764"/>
    <n v="5472"/>
    <x v="623"/>
    <x v="24"/>
    <s v="Low"/>
    <n v="27"/>
    <n v="339.03"/>
    <n v="0.09"/>
    <s v="Regular Air"/>
    <n v="-24.44"/>
    <n v="13.48"/>
    <n v="4.51"/>
    <x v="336"/>
    <x v="11"/>
    <x v="7"/>
    <x v="2"/>
    <x v="0"/>
    <x v="0"/>
    <x v="27"/>
    <s v="Small Box"/>
    <n v="0.59"/>
    <d v="2010-04-14T00:00:00"/>
    <n v="0"/>
    <n v="0"/>
    <n v="0.33333333333333331"/>
    <n v="0.33333333333333331"/>
  </r>
  <r>
    <n v="765"/>
    <n v="5472"/>
    <x v="623"/>
    <x v="24"/>
    <s v="Low"/>
    <n v="12"/>
    <n v="1098.1490000000001"/>
    <n v="0.09"/>
    <s v="Regular Air"/>
    <n v="-182.97399999999999"/>
    <n v="115.99"/>
    <n v="5.92"/>
    <x v="336"/>
    <x v="11"/>
    <x v="7"/>
    <x v="2"/>
    <x v="1"/>
    <x v="3"/>
    <x v="757"/>
    <s v="Small Box"/>
    <n v="0.57999999999999996"/>
    <d v="2010-04-12T00:00:00"/>
    <n v="0"/>
    <n v="0"/>
    <n v="0.33333333333333331"/>
    <n v="0.33333333333333331"/>
  </r>
  <r>
    <n v="799"/>
    <n v="5702"/>
    <x v="351"/>
    <x v="18"/>
    <s v="Not Specified"/>
    <n v="20"/>
    <n v="2039.39"/>
    <n v="0.01"/>
    <s v="Regular Air"/>
    <n v="199.73"/>
    <n v="99.99"/>
    <n v="19.989999999999998"/>
    <x v="450"/>
    <x v="11"/>
    <x v="7"/>
    <x v="2"/>
    <x v="1"/>
    <x v="7"/>
    <x v="218"/>
    <s v="Small Box"/>
    <n v="0.52"/>
    <d v="2010-09-08T00:00:00"/>
    <n v="0"/>
    <n v="0"/>
    <n v="1"/>
    <n v="1"/>
  </r>
  <r>
    <n v="827"/>
    <n v="5958"/>
    <x v="339"/>
    <x v="31"/>
    <s v="Medium"/>
    <n v="3"/>
    <n v="2036.97"/>
    <n v="0.03"/>
    <s v="Regular Air"/>
    <n v="-2397.44"/>
    <n v="699.99"/>
    <n v="24.49"/>
    <x v="353"/>
    <x v="11"/>
    <x v="7"/>
    <x v="0"/>
    <x v="1"/>
    <x v="13"/>
    <x v="286"/>
    <s v="Large Box"/>
    <n v="0.41"/>
    <d v="2011-09-17T00:00:00"/>
    <n v="0"/>
    <n v="0"/>
    <n v="0.5"/>
    <n v="0.5"/>
  </r>
  <r>
    <n v="828"/>
    <n v="5958"/>
    <x v="339"/>
    <x v="31"/>
    <s v="Medium"/>
    <n v="21"/>
    <n v="2629.6640000000002"/>
    <n v="0.09"/>
    <s v="Delivery Truck"/>
    <n v="27.74"/>
    <n v="159.31"/>
    <n v="60"/>
    <x v="353"/>
    <x v="11"/>
    <x v="7"/>
    <x v="0"/>
    <x v="2"/>
    <x v="10"/>
    <x v="740"/>
    <s v="Jumbo Drum"/>
    <n v="0.55000000000000004"/>
    <d v="2011-09-15T00:00:00"/>
    <n v="0"/>
    <n v="0"/>
    <n v="0.5"/>
    <n v="0.5"/>
  </r>
  <r>
    <n v="829"/>
    <n v="5984"/>
    <x v="501"/>
    <x v="41"/>
    <s v="Low"/>
    <n v="37"/>
    <n v="394.62"/>
    <n v="0.06"/>
    <s v="Regular Air"/>
    <n v="-31.39"/>
    <n v="10.89"/>
    <n v="4.5"/>
    <x v="338"/>
    <x v="11"/>
    <x v="7"/>
    <x v="1"/>
    <x v="0"/>
    <x v="1"/>
    <x v="225"/>
    <s v="Small Box"/>
    <n v="0.59"/>
    <d v="2009-06-22T00:00:00"/>
    <n v="0"/>
    <n v="0"/>
    <n v="0.33333333333333331"/>
    <n v="0.33333333333333331"/>
  </r>
  <r>
    <n v="830"/>
    <n v="5984"/>
    <x v="501"/>
    <x v="41"/>
    <s v="Low"/>
    <n v="42"/>
    <n v="464.64"/>
    <n v="0.03"/>
    <s v="Regular Air"/>
    <n v="14.48"/>
    <n v="10.64"/>
    <n v="5.16"/>
    <x v="338"/>
    <x v="11"/>
    <x v="7"/>
    <x v="1"/>
    <x v="2"/>
    <x v="4"/>
    <x v="448"/>
    <s v="Small Box"/>
    <n v="0.56999999999999995"/>
    <d v="2009-06-22T00:00:00"/>
    <n v="0"/>
    <n v="0"/>
    <n v="0.33333333333333331"/>
    <n v="0.33333333333333331"/>
  </r>
  <r>
    <n v="831"/>
    <n v="5984"/>
    <x v="501"/>
    <x v="41"/>
    <s v="Low"/>
    <n v="11"/>
    <n v="96.68"/>
    <n v="0.03"/>
    <s v="Regular Air"/>
    <n v="22.25"/>
    <n v="7.96"/>
    <n v="4.95"/>
    <x v="338"/>
    <x v="11"/>
    <x v="7"/>
    <x v="1"/>
    <x v="2"/>
    <x v="4"/>
    <x v="736"/>
    <s v="Small Box"/>
    <n v="0.41"/>
    <d v="2009-06-19T00:00:00"/>
    <n v="0"/>
    <n v="0"/>
    <n v="0.33333333333333331"/>
    <n v="0.33333333333333331"/>
  </r>
  <r>
    <n v="836"/>
    <n v="5989"/>
    <x v="1373"/>
    <x v="17"/>
    <s v="Medium"/>
    <n v="6"/>
    <n v="155.47999999999999"/>
    <n v="0.1"/>
    <s v="Regular Air"/>
    <n v="-6.64"/>
    <n v="25.98"/>
    <n v="5.37"/>
    <x v="452"/>
    <x v="11"/>
    <x v="7"/>
    <x v="2"/>
    <x v="0"/>
    <x v="1"/>
    <x v="69"/>
    <s v="Medium Box"/>
    <n v="0.5"/>
    <d v="2011-10-16T00:00:00"/>
    <n v="0"/>
    <n v="0"/>
    <n v="0.5"/>
    <n v="0.5"/>
  </r>
  <r>
    <n v="837"/>
    <n v="5989"/>
    <x v="1373"/>
    <x v="17"/>
    <s v="Medium"/>
    <n v="21"/>
    <n v="56.77"/>
    <n v="0.06"/>
    <s v="Regular Air"/>
    <n v="-3.2"/>
    <n v="2.78"/>
    <n v="1.34"/>
    <x v="452"/>
    <x v="11"/>
    <x v="7"/>
    <x v="2"/>
    <x v="0"/>
    <x v="12"/>
    <x v="148"/>
    <s v="Wrap Bag"/>
    <n v="0.45"/>
    <d v="2011-10-15T00:00:00"/>
    <n v="0"/>
    <n v="0"/>
    <n v="0.5"/>
    <n v="0.5"/>
  </r>
  <r>
    <n v="838"/>
    <n v="5990"/>
    <x v="1370"/>
    <x v="24"/>
    <s v="Critical"/>
    <n v="9"/>
    <n v="63.91"/>
    <n v="0.06"/>
    <s v="Regular Air"/>
    <n v="-27.78"/>
    <n v="6.48"/>
    <n v="6.35"/>
    <x v="373"/>
    <x v="11"/>
    <x v="7"/>
    <x v="3"/>
    <x v="0"/>
    <x v="5"/>
    <x v="1108"/>
    <s v="Small Box"/>
    <n v="0.37"/>
    <d v="2010-04-08T00:00:00"/>
    <n v="0"/>
    <n v="0"/>
    <n v="1"/>
    <n v="0.5"/>
  </r>
  <r>
    <n v="846"/>
    <n v="6054"/>
    <x v="656"/>
    <x v="31"/>
    <s v="Low"/>
    <n v="6"/>
    <n v="27.32"/>
    <n v="0.05"/>
    <s v="Express Air"/>
    <n v="-5.87"/>
    <n v="2.08"/>
    <n v="5.33"/>
    <x v="646"/>
    <x v="11"/>
    <x v="7"/>
    <x v="2"/>
    <x v="2"/>
    <x v="4"/>
    <x v="109"/>
    <s v="Small Box"/>
    <n v="0.43"/>
    <d v="2011-09-10T00:00:00"/>
    <n v="0"/>
    <n v="0"/>
    <n v="0.5"/>
    <n v="0.5"/>
  </r>
  <r>
    <n v="847"/>
    <n v="6054"/>
    <x v="656"/>
    <x v="31"/>
    <s v="Low"/>
    <n v="43"/>
    <n v="643.30999999999995"/>
    <n v="0.08"/>
    <s v="Express Air"/>
    <n v="-231.34"/>
    <n v="15.42"/>
    <n v="10.68"/>
    <x v="646"/>
    <x v="11"/>
    <x v="7"/>
    <x v="2"/>
    <x v="0"/>
    <x v="0"/>
    <x v="1119"/>
    <s v="Small Box"/>
    <n v="0.57999999999999996"/>
    <d v="2011-09-13T00:00:00"/>
    <n v="0"/>
    <n v="0"/>
    <n v="0.5"/>
    <n v="0.5"/>
  </r>
  <r>
    <n v="909"/>
    <n v="6531"/>
    <x v="942"/>
    <x v="42"/>
    <s v="High"/>
    <n v="42"/>
    <n v="188.23"/>
    <n v="0.05"/>
    <s v="Regular Air"/>
    <n v="-145.1"/>
    <n v="4.37"/>
    <n v="5.15"/>
    <x v="611"/>
    <x v="11"/>
    <x v="7"/>
    <x v="3"/>
    <x v="0"/>
    <x v="1"/>
    <x v="537"/>
    <s v="Small Box"/>
    <n v="0.59"/>
    <d v="2010-07-19T00:00:00"/>
    <n v="0"/>
    <n v="0"/>
    <n v="0.5"/>
    <n v="0.5"/>
  </r>
  <r>
    <n v="910"/>
    <n v="6531"/>
    <x v="942"/>
    <x v="42"/>
    <s v="High"/>
    <n v="28"/>
    <n v="541.95000000000005"/>
    <n v="0.06"/>
    <s v="Regular Air"/>
    <n v="143.04"/>
    <n v="19.84"/>
    <n v="4.0999999999999996"/>
    <x v="611"/>
    <x v="11"/>
    <x v="7"/>
    <x v="3"/>
    <x v="0"/>
    <x v="12"/>
    <x v="92"/>
    <s v="Wrap Bag"/>
    <n v="0.44"/>
    <d v="2010-07-19T00:00:00"/>
    <n v="0"/>
    <n v="0"/>
    <n v="0.5"/>
    <n v="0.5"/>
  </r>
  <r>
    <n v="915"/>
    <n v="6564"/>
    <x v="1192"/>
    <x v="16"/>
    <s v="Low"/>
    <n v="26"/>
    <n v="448.23"/>
    <n v="0.01"/>
    <s v="Regular Air"/>
    <n v="110.6"/>
    <n v="15.98"/>
    <n v="4"/>
    <x v="714"/>
    <x v="11"/>
    <x v="7"/>
    <x v="1"/>
    <x v="1"/>
    <x v="7"/>
    <x v="404"/>
    <s v="Small Box"/>
    <n v="0.37"/>
    <d v="2011-01-21T00:00:00"/>
    <n v="0"/>
    <n v="0"/>
    <n v="1"/>
    <n v="1"/>
  </r>
  <r>
    <n v="916"/>
    <n v="6566"/>
    <x v="345"/>
    <x v="10"/>
    <s v="Critical"/>
    <n v="21"/>
    <n v="748.83"/>
    <n v="0.01"/>
    <s v="Regular Air"/>
    <n v="250.01"/>
    <n v="33.979999999999997"/>
    <n v="1.99"/>
    <x v="545"/>
    <x v="11"/>
    <x v="7"/>
    <x v="2"/>
    <x v="1"/>
    <x v="7"/>
    <x v="1070"/>
    <s v="Small Pack"/>
    <n v="0.45"/>
    <d v="2011-05-21T00:00:00"/>
    <n v="0"/>
    <n v="0"/>
    <n v="1"/>
    <n v="1"/>
  </r>
  <r>
    <n v="925"/>
    <n v="6693"/>
    <x v="970"/>
    <x v="20"/>
    <s v="Critical"/>
    <n v="16"/>
    <n v="40.85"/>
    <n v="0.09"/>
    <s v="Regular Air"/>
    <n v="6.46"/>
    <n v="2.62"/>
    <n v="0.8"/>
    <x v="352"/>
    <x v="11"/>
    <x v="7"/>
    <x v="2"/>
    <x v="0"/>
    <x v="6"/>
    <x v="675"/>
    <s v="Wrap Bag"/>
    <n v="0.39"/>
    <d v="2012-05-26T00:00:00"/>
    <n v="0"/>
    <n v="0"/>
    <n v="1"/>
    <n v="1"/>
  </r>
  <r>
    <n v="931"/>
    <n v="6753"/>
    <x v="471"/>
    <x v="18"/>
    <s v="Low"/>
    <n v="7"/>
    <n v="53.14"/>
    <n v="0.04"/>
    <s v="Regular Air"/>
    <n v="14.57"/>
    <n v="6.64"/>
    <n v="4.95"/>
    <x v="405"/>
    <x v="11"/>
    <x v="7"/>
    <x v="0"/>
    <x v="2"/>
    <x v="4"/>
    <x v="5"/>
    <s v="Small Pack"/>
    <n v="0.37"/>
    <d v="2010-09-28T00:00:00"/>
    <n v="0"/>
    <n v="0"/>
    <n v="1"/>
    <n v="1"/>
  </r>
  <r>
    <n v="937"/>
    <n v="6788"/>
    <x v="1094"/>
    <x v="21"/>
    <s v="Not Specified"/>
    <n v="41"/>
    <n v="127.84"/>
    <n v="0.02"/>
    <s v="Express Air"/>
    <n v="12.69"/>
    <n v="2.94"/>
    <n v="0.96"/>
    <x v="409"/>
    <x v="11"/>
    <x v="7"/>
    <x v="0"/>
    <x v="0"/>
    <x v="12"/>
    <x v="361"/>
    <s v="Wrap Bag"/>
    <n v="0.57999999999999996"/>
    <d v="2011-08-06T00:00:00"/>
    <n v="0"/>
    <n v="0"/>
    <n v="0.5"/>
    <n v="0.25"/>
  </r>
  <r>
    <n v="938"/>
    <n v="6788"/>
    <x v="1094"/>
    <x v="21"/>
    <s v="Not Specified"/>
    <n v="6"/>
    <n v="11.15"/>
    <n v="7.0000000000000007E-2"/>
    <s v="Regular Air"/>
    <n v="-2.62"/>
    <n v="1.81"/>
    <n v="0.75"/>
    <x v="409"/>
    <x v="11"/>
    <x v="7"/>
    <x v="0"/>
    <x v="0"/>
    <x v="6"/>
    <x v="260"/>
    <s v="Wrap Bag"/>
    <n v="0.52"/>
    <d v="2011-08-05T00:00:00"/>
    <n v="0"/>
    <n v="0"/>
    <n v="0.5"/>
    <n v="0.25"/>
  </r>
  <r>
    <n v="949"/>
    <n v="6880"/>
    <x v="1061"/>
    <x v="43"/>
    <s v="Medium"/>
    <n v="5"/>
    <n v="235.49"/>
    <n v="0.06"/>
    <s v="Regular Air"/>
    <n v="21.78"/>
    <n v="47.9"/>
    <n v="5.86"/>
    <x v="117"/>
    <x v="11"/>
    <x v="7"/>
    <x v="1"/>
    <x v="0"/>
    <x v="5"/>
    <x v="656"/>
    <s v="Small Box"/>
    <n v="0.37"/>
    <d v="2009-05-27T00:00:00"/>
    <n v="0"/>
    <n v="0"/>
    <n v="1"/>
    <n v="1"/>
  </r>
  <r>
    <n v="954"/>
    <n v="6886"/>
    <x v="675"/>
    <x v="23"/>
    <s v="High"/>
    <n v="46"/>
    <n v="8177.07"/>
    <n v="0.08"/>
    <s v="Regular Air"/>
    <n v="2385.3000000000002"/>
    <n v="178.47"/>
    <n v="19.989999999999998"/>
    <x v="368"/>
    <x v="11"/>
    <x v="7"/>
    <x v="1"/>
    <x v="0"/>
    <x v="0"/>
    <x v="902"/>
    <s v="Small Box"/>
    <n v="0.55000000000000004"/>
    <d v="2012-01-20T00:00:00"/>
    <n v="0"/>
    <n v="0"/>
    <n v="1"/>
    <n v="1"/>
  </r>
  <r>
    <n v="969"/>
    <n v="7042"/>
    <x v="34"/>
    <x v="23"/>
    <s v="Medium"/>
    <n v="4"/>
    <n v="1187.864"/>
    <n v="7.0000000000000007E-2"/>
    <s v="Delivery Truck"/>
    <n v="-347.16"/>
    <n v="376.13"/>
    <n v="85.63"/>
    <x v="715"/>
    <x v="11"/>
    <x v="7"/>
    <x v="3"/>
    <x v="2"/>
    <x v="10"/>
    <x v="564"/>
    <s v="Jumbo Box"/>
    <n v="0.74"/>
    <d v="2012-01-10T00:00:00"/>
    <n v="0"/>
    <n v="0"/>
    <n v="1"/>
    <n v="1"/>
  </r>
  <r>
    <n v="970"/>
    <n v="7043"/>
    <x v="1350"/>
    <x v="22"/>
    <s v="Critical"/>
    <n v="4"/>
    <n v="11.08"/>
    <n v="0.06"/>
    <s v="Regular Air"/>
    <n v="-8.93"/>
    <n v="1.74"/>
    <n v="4.08"/>
    <x v="353"/>
    <x v="11"/>
    <x v="7"/>
    <x v="2"/>
    <x v="2"/>
    <x v="4"/>
    <x v="331"/>
    <s v="Small Pack"/>
    <n v="0.53"/>
    <d v="2009-01-26T00:00:00"/>
    <n v="0"/>
    <n v="1"/>
    <n v="1"/>
    <n v="0.5"/>
  </r>
  <r>
    <n v="996"/>
    <n v="7174"/>
    <x v="276"/>
    <x v="33"/>
    <s v="Not Specified"/>
    <n v="10"/>
    <n v="141.91999999999999"/>
    <n v="0.06"/>
    <s v="Regular Air"/>
    <n v="12.2"/>
    <n v="13.73"/>
    <n v="8.99"/>
    <x v="712"/>
    <x v="11"/>
    <x v="7"/>
    <x v="1"/>
    <x v="2"/>
    <x v="4"/>
    <x v="1246"/>
    <s v="Small Pack"/>
    <n v="0.49"/>
    <d v="2012-03-12T00:00:00"/>
    <n v="0"/>
    <n v="0"/>
    <n v="1"/>
    <n v="0.33333333333333331"/>
  </r>
  <r>
    <n v="1023"/>
    <n v="7458"/>
    <x v="736"/>
    <x v="13"/>
    <s v="Critical"/>
    <n v="9"/>
    <n v="337.34"/>
    <n v="0.06"/>
    <s v="Regular Air"/>
    <n v="-69.84"/>
    <n v="39.479999999999997"/>
    <n v="1.99"/>
    <x v="380"/>
    <x v="11"/>
    <x v="7"/>
    <x v="2"/>
    <x v="1"/>
    <x v="7"/>
    <x v="64"/>
    <s v="Small Pack"/>
    <n v="0.54"/>
    <d v="2012-04-06T00:00:00"/>
    <n v="0"/>
    <n v="0"/>
    <n v="0.33333333333333331"/>
    <n v="0.33333333333333331"/>
  </r>
  <r>
    <n v="1056"/>
    <n v="7812"/>
    <x v="938"/>
    <x v="37"/>
    <s v="Low"/>
    <n v="17"/>
    <n v="475.9"/>
    <n v="0.04"/>
    <s v="Regular Air"/>
    <n v="-5.1799999999999926"/>
    <n v="27.42"/>
    <n v="19.46"/>
    <x v="336"/>
    <x v="11"/>
    <x v="7"/>
    <x v="2"/>
    <x v="2"/>
    <x v="4"/>
    <x v="786"/>
    <s v="Small Box"/>
    <n v="0.44"/>
    <d v="2011-04-27T00:00:00"/>
    <n v="0"/>
    <n v="0"/>
    <n v="0.5"/>
    <n v="0.5"/>
  </r>
  <r>
    <n v="1057"/>
    <n v="7812"/>
    <x v="938"/>
    <x v="37"/>
    <s v="Low"/>
    <n v="12"/>
    <n v="3635.63"/>
    <n v="0.09"/>
    <s v="Delivery Truck"/>
    <n v="104.48"/>
    <n v="320.64"/>
    <n v="29.2"/>
    <x v="336"/>
    <x v="11"/>
    <x v="7"/>
    <x v="2"/>
    <x v="2"/>
    <x v="10"/>
    <x v="1104"/>
    <s v="Jumbo Box"/>
    <n v="0.66"/>
    <d v="2011-04-22T00:00:00"/>
    <n v="0"/>
    <n v="0"/>
    <n v="0.5"/>
    <n v="0.5"/>
  </r>
  <r>
    <n v="1059"/>
    <n v="7840"/>
    <x v="292"/>
    <x v="16"/>
    <s v="Low"/>
    <n v="34"/>
    <n v="157.56"/>
    <n v="0.1"/>
    <s v="Regular Air"/>
    <n v="-139.35"/>
    <n v="4.8899999999999997"/>
    <n v="4.93"/>
    <x v="117"/>
    <x v="11"/>
    <x v="7"/>
    <x v="1"/>
    <x v="1"/>
    <x v="7"/>
    <x v="23"/>
    <s v="Small Pack"/>
    <n v="0.66"/>
    <d v="2011-01-12T00:00:00"/>
    <n v="0"/>
    <n v="0"/>
    <n v="1"/>
    <n v="1"/>
  </r>
  <r>
    <n v="1081"/>
    <n v="7938"/>
    <x v="525"/>
    <x v="14"/>
    <s v="Medium"/>
    <n v="16"/>
    <n v="2026.05"/>
    <n v="0.1"/>
    <s v="Delivery Truck"/>
    <n v="-357.65"/>
    <n v="135.99"/>
    <n v="28.63"/>
    <x v="334"/>
    <x v="11"/>
    <x v="7"/>
    <x v="2"/>
    <x v="2"/>
    <x v="14"/>
    <x v="333"/>
    <s v="Jumbo Drum"/>
    <n v="0.76"/>
    <d v="2010-03-15T00:00:00"/>
    <n v="0"/>
    <n v="0"/>
    <n v="0.33333333333333331"/>
    <n v="0.25"/>
  </r>
  <r>
    <n v="1086"/>
    <n v="8001"/>
    <x v="953"/>
    <x v="7"/>
    <s v="High"/>
    <n v="15"/>
    <n v="37.700000000000003"/>
    <n v="0.1"/>
    <s v="Regular Air"/>
    <n v="-81.08"/>
    <n v="2.1800000000000002"/>
    <n v="7.09"/>
    <x v="710"/>
    <x v="11"/>
    <x v="7"/>
    <x v="1"/>
    <x v="0"/>
    <x v="5"/>
    <x v="943"/>
    <s v="Wrap Bag"/>
    <n v="0.38"/>
    <d v="2010-11-21T00:00:00"/>
    <n v="0"/>
    <n v="0"/>
    <n v="0.5"/>
    <n v="0.5"/>
  </r>
  <r>
    <n v="1087"/>
    <n v="8001"/>
    <x v="953"/>
    <x v="7"/>
    <s v="High"/>
    <n v="47"/>
    <n v="1059.72"/>
    <n v="0.01"/>
    <s v="Regular Air"/>
    <n v="112.22"/>
    <n v="20.98"/>
    <n v="5.42"/>
    <x v="710"/>
    <x v="11"/>
    <x v="7"/>
    <x v="1"/>
    <x v="0"/>
    <x v="0"/>
    <x v="558"/>
    <s v="Small Box"/>
    <n v="0.66"/>
    <d v="2010-11-21T00:00:00"/>
    <n v="0"/>
    <n v="0"/>
    <n v="0.5"/>
    <n v="0.5"/>
  </r>
  <r>
    <n v="1102"/>
    <n v="8101"/>
    <x v="1374"/>
    <x v="14"/>
    <s v="Medium"/>
    <n v="35"/>
    <n v="3491.71"/>
    <n v="0.04"/>
    <s v="Delivery Truck"/>
    <n v="-1216.6400000000001"/>
    <n v="95.95"/>
    <n v="74.349999999999994"/>
    <x v="368"/>
    <x v="11"/>
    <x v="7"/>
    <x v="1"/>
    <x v="2"/>
    <x v="14"/>
    <x v="34"/>
    <s v="Jumbo Drum"/>
    <n v="0.56999999999999995"/>
    <d v="2010-03-06T00:00:00"/>
    <n v="0"/>
    <n v="0"/>
    <n v="0.5"/>
    <n v="0.33333333333333331"/>
  </r>
  <r>
    <n v="1103"/>
    <n v="8101"/>
    <x v="1374"/>
    <x v="14"/>
    <s v="Medium"/>
    <n v="15"/>
    <n v="485.16"/>
    <n v="0.1"/>
    <s v="Regular Air"/>
    <n v="-9.3199999999999932"/>
    <n v="34.58"/>
    <n v="8.99"/>
    <x v="368"/>
    <x v="11"/>
    <x v="7"/>
    <x v="1"/>
    <x v="0"/>
    <x v="12"/>
    <x v="555"/>
    <s v="Small Pack"/>
    <n v="0.56000000000000005"/>
    <d v="2010-03-06T00:00:00"/>
    <n v="0"/>
    <n v="0"/>
    <n v="0.5"/>
    <n v="0.33333333333333331"/>
  </r>
  <r>
    <n v="1111"/>
    <n v="8161"/>
    <x v="862"/>
    <x v="41"/>
    <s v="High"/>
    <n v="45"/>
    <n v="112.72"/>
    <n v="0.09"/>
    <s v="Regular Air"/>
    <n v="39.19"/>
    <n v="2.61"/>
    <n v="0.5"/>
    <x v="353"/>
    <x v="11"/>
    <x v="7"/>
    <x v="1"/>
    <x v="0"/>
    <x v="11"/>
    <x v="281"/>
    <s v="Small Box"/>
    <n v="0.39"/>
    <d v="2009-06-05T00:00:00"/>
    <n v="0"/>
    <n v="0"/>
    <n v="1"/>
    <n v="0.5"/>
  </r>
  <r>
    <n v="1141"/>
    <n v="8320"/>
    <x v="971"/>
    <x v="35"/>
    <s v="Not Specified"/>
    <n v="22"/>
    <n v="150.34"/>
    <n v="0.06"/>
    <s v="Express Air"/>
    <n v="-28.45"/>
    <n v="6.48"/>
    <n v="5.14"/>
    <x v="336"/>
    <x v="11"/>
    <x v="7"/>
    <x v="3"/>
    <x v="0"/>
    <x v="5"/>
    <x v="896"/>
    <s v="Small Box"/>
    <n v="0.37"/>
    <d v="2009-09-21T00:00:00"/>
    <n v="0"/>
    <n v="0"/>
    <n v="0.5"/>
    <n v="0.5"/>
  </r>
  <r>
    <n v="1144"/>
    <n v="8325"/>
    <x v="1233"/>
    <x v="22"/>
    <s v="Critical"/>
    <n v="21"/>
    <n v="2364.29"/>
    <n v="0.08"/>
    <s v="Delivery Truck"/>
    <n v="-220.04910000000001"/>
    <n v="115.99"/>
    <n v="56.14"/>
    <x v="376"/>
    <x v="11"/>
    <x v="7"/>
    <x v="3"/>
    <x v="1"/>
    <x v="16"/>
    <x v="357"/>
    <s v="Jumbo Drum"/>
    <n v="0.4"/>
    <d v="2009-01-16T00:00:00"/>
    <n v="0"/>
    <n v="1"/>
    <n v="0.5"/>
    <n v="0.5"/>
  </r>
  <r>
    <n v="1145"/>
    <n v="8325"/>
    <x v="1233"/>
    <x v="22"/>
    <s v="Critical"/>
    <n v="27"/>
    <n v="112.57"/>
    <n v="0.08"/>
    <s v="Regular Air"/>
    <n v="13.92"/>
    <n v="4.28"/>
    <n v="0.94"/>
    <x v="376"/>
    <x v="11"/>
    <x v="7"/>
    <x v="3"/>
    <x v="0"/>
    <x v="12"/>
    <x v="406"/>
    <s v="Wrap Bag"/>
    <n v="0.56000000000000005"/>
    <d v="2009-01-17T00:00:00"/>
    <n v="0"/>
    <n v="1"/>
    <n v="0.5"/>
    <n v="0.5"/>
  </r>
  <r>
    <n v="1173"/>
    <n v="8576"/>
    <x v="820"/>
    <x v="22"/>
    <s v="High"/>
    <n v="43"/>
    <n v="541.45000000000005"/>
    <n v="0"/>
    <s v="Express Air"/>
    <n v="-164.25"/>
    <n v="11.66"/>
    <n v="8.99"/>
    <x v="362"/>
    <x v="11"/>
    <x v="7"/>
    <x v="2"/>
    <x v="0"/>
    <x v="12"/>
    <x v="372"/>
    <s v="Small Pack"/>
    <n v="0.59"/>
    <d v="2009-01-11T00:00:00"/>
    <n v="0"/>
    <n v="1"/>
    <n v="1"/>
    <n v="1"/>
  </r>
  <r>
    <n v="1177"/>
    <n v="8582"/>
    <x v="548"/>
    <x v="7"/>
    <s v="Low"/>
    <n v="15"/>
    <n v="1556.55"/>
    <n v="0.04"/>
    <s v="Regular Air"/>
    <n v="436.02"/>
    <n v="105.34"/>
    <n v="24.49"/>
    <x v="424"/>
    <x v="11"/>
    <x v="7"/>
    <x v="3"/>
    <x v="2"/>
    <x v="4"/>
    <x v="97"/>
    <s v="Large Box"/>
    <n v="0.61"/>
    <d v="2010-11-20T00:00:00"/>
    <n v="0"/>
    <n v="0"/>
    <n v="1"/>
    <n v="1"/>
  </r>
  <r>
    <n v="1204"/>
    <n v="8832"/>
    <x v="947"/>
    <x v="12"/>
    <s v="Low"/>
    <n v="39"/>
    <n v="647.80999999999995"/>
    <n v="0.1"/>
    <s v="Regular Air"/>
    <n v="8.6500000000000057"/>
    <n v="17.670000000000002"/>
    <n v="8.99"/>
    <x v="353"/>
    <x v="11"/>
    <x v="7"/>
    <x v="0"/>
    <x v="2"/>
    <x v="4"/>
    <x v="594"/>
    <s v="Small Pack"/>
    <n v="0.47"/>
    <d v="2012-02-06T00:00:00"/>
    <n v="0"/>
    <n v="0"/>
    <n v="1"/>
    <n v="1"/>
  </r>
  <r>
    <n v="1212"/>
    <n v="8901"/>
    <x v="742"/>
    <x v="21"/>
    <s v="Low"/>
    <n v="15"/>
    <n v="168.9"/>
    <n v="0.09"/>
    <s v="Express Air"/>
    <n v="-16.1907"/>
    <n v="9.99"/>
    <n v="6.24"/>
    <x v="716"/>
    <x v="11"/>
    <x v="7"/>
    <x v="1"/>
    <x v="1"/>
    <x v="16"/>
    <x v="1187"/>
    <s v="Medium Box"/>
    <n v="0.36"/>
    <d v="2011-08-27T00:00:00"/>
    <n v="0"/>
    <n v="0"/>
    <n v="1"/>
    <n v="1"/>
  </r>
  <r>
    <n v="1214"/>
    <n v="8930"/>
    <x v="1056"/>
    <x v="43"/>
    <s v="Medium"/>
    <n v="14"/>
    <n v="145.86000000000001"/>
    <n v="0.04"/>
    <s v="Regular Air"/>
    <n v="-92.32"/>
    <n v="9.99"/>
    <n v="11.59"/>
    <x v="390"/>
    <x v="11"/>
    <x v="7"/>
    <x v="2"/>
    <x v="0"/>
    <x v="5"/>
    <x v="545"/>
    <s v="Small Box"/>
    <n v="0.4"/>
    <d v="2009-05-21T00:00:00"/>
    <n v="0"/>
    <n v="0"/>
    <n v="1"/>
    <n v="1"/>
  </r>
  <r>
    <n v="1237"/>
    <n v="8999"/>
    <x v="686"/>
    <x v="41"/>
    <s v="High"/>
    <n v="28"/>
    <n v="1676.48"/>
    <n v="0"/>
    <s v="Regular Air"/>
    <n v="590.35"/>
    <n v="55.48"/>
    <n v="14.3"/>
    <x v="413"/>
    <x v="11"/>
    <x v="7"/>
    <x v="2"/>
    <x v="0"/>
    <x v="5"/>
    <x v="381"/>
    <s v="Small Box"/>
    <n v="0.37"/>
    <d v="2009-06-14T00:00:00"/>
    <n v="0"/>
    <n v="0"/>
    <n v="1"/>
    <n v="1"/>
  </r>
  <r>
    <n v="1249"/>
    <n v="9091"/>
    <x v="1375"/>
    <x v="7"/>
    <s v="High"/>
    <n v="42"/>
    <n v="605.77"/>
    <n v="0.05"/>
    <s v="Regular Air"/>
    <n v="129.33000000000001"/>
    <n v="14.34"/>
    <n v="5"/>
    <x v="707"/>
    <x v="11"/>
    <x v="7"/>
    <x v="2"/>
    <x v="2"/>
    <x v="4"/>
    <x v="551"/>
    <s v="Small Pack"/>
    <n v="0.49"/>
    <d v="2010-11-12T00:00:00"/>
    <n v="0"/>
    <n v="0"/>
    <n v="0.5"/>
    <n v="0.5"/>
  </r>
  <r>
    <n v="1250"/>
    <n v="9091"/>
    <x v="1375"/>
    <x v="7"/>
    <s v="High"/>
    <n v="44"/>
    <n v="1480.91"/>
    <n v="0"/>
    <s v="Regular Air"/>
    <n v="489.14"/>
    <n v="30.98"/>
    <n v="8.74"/>
    <x v="707"/>
    <x v="11"/>
    <x v="7"/>
    <x v="2"/>
    <x v="0"/>
    <x v="5"/>
    <x v="720"/>
    <s v="Small Box"/>
    <n v="0.4"/>
    <d v="2010-11-12T00:00:00"/>
    <n v="0"/>
    <n v="0"/>
    <n v="0.5"/>
    <n v="0.5"/>
  </r>
  <r>
    <n v="1251"/>
    <n v="9092"/>
    <x v="513"/>
    <x v="36"/>
    <s v="Not Specified"/>
    <n v="33"/>
    <n v="3644.24"/>
    <n v="0"/>
    <s v="Express Air"/>
    <n v="-457.73"/>
    <n v="101.41"/>
    <n v="35"/>
    <x v="717"/>
    <x v="11"/>
    <x v="7"/>
    <x v="2"/>
    <x v="0"/>
    <x v="0"/>
    <x v="925"/>
    <s v="Large Box"/>
    <n v="0.82"/>
    <d v="2009-07-25T00:00:00"/>
    <n v="0"/>
    <n v="0"/>
    <n v="0.5"/>
    <n v="0.5"/>
  </r>
  <r>
    <n v="1252"/>
    <n v="9092"/>
    <x v="513"/>
    <x v="36"/>
    <s v="Not Specified"/>
    <n v="8"/>
    <n v="599.20749999999998"/>
    <n v="0.1"/>
    <s v="Regular Air"/>
    <n v="-268.66399999999999"/>
    <n v="95.99"/>
    <n v="4.9000000000000004"/>
    <x v="717"/>
    <x v="11"/>
    <x v="7"/>
    <x v="2"/>
    <x v="1"/>
    <x v="3"/>
    <x v="936"/>
    <s v="Small Box"/>
    <n v="0.56000000000000005"/>
    <d v="2009-07-25T00:00:00"/>
    <n v="0"/>
    <n v="0"/>
    <n v="0.5"/>
    <n v="0.5"/>
  </r>
  <r>
    <n v="1253"/>
    <n v="9093"/>
    <x v="775"/>
    <x v="25"/>
    <s v="Medium"/>
    <n v="36"/>
    <n v="268.55"/>
    <n v="0.1"/>
    <s v="Regular Air"/>
    <n v="-99.02"/>
    <n v="8.1199999999999992"/>
    <n v="2.83"/>
    <x v="718"/>
    <x v="11"/>
    <x v="7"/>
    <x v="1"/>
    <x v="1"/>
    <x v="7"/>
    <x v="483"/>
    <s v="Small Pack"/>
    <n v="0.77"/>
    <d v="2011-12-09T00:00:00"/>
    <n v="0"/>
    <n v="0"/>
    <n v="1"/>
    <n v="1"/>
  </r>
  <r>
    <n v="1274"/>
    <n v="9251"/>
    <x v="1349"/>
    <x v="3"/>
    <s v="Medium"/>
    <n v="38"/>
    <n v="3632.6"/>
    <n v="0"/>
    <s v="Delivery Truck"/>
    <n v="-400.33"/>
    <n v="89.99"/>
    <n v="42"/>
    <x v="353"/>
    <x v="11"/>
    <x v="7"/>
    <x v="2"/>
    <x v="2"/>
    <x v="14"/>
    <x v="668"/>
    <s v="Jumbo Drum"/>
    <n v="0.66"/>
    <d v="2010-08-31T00:00:00"/>
    <n v="0"/>
    <n v="0"/>
    <n v="1"/>
    <n v="1"/>
  </r>
  <r>
    <n v="1282"/>
    <n v="9344"/>
    <x v="1096"/>
    <x v="25"/>
    <s v="Low"/>
    <n v="18"/>
    <n v="1733.1"/>
    <n v="0.09"/>
    <s v="Regular Air"/>
    <n v="-505.69"/>
    <n v="95.99"/>
    <n v="35"/>
    <x v="358"/>
    <x v="11"/>
    <x v="7"/>
    <x v="1"/>
    <x v="0"/>
    <x v="0"/>
    <x v="1029"/>
    <s v="Large Box"/>
    <m/>
    <d v="2011-12-08T00:00:00"/>
    <n v="0"/>
    <n v="0"/>
    <n v="0.5"/>
    <n v="0.25"/>
  </r>
  <r>
    <n v="1283"/>
    <n v="9344"/>
    <x v="1096"/>
    <x v="25"/>
    <s v="Low"/>
    <n v="31"/>
    <n v="3448.6455000000001"/>
    <n v="0.02"/>
    <s v="Regular Air"/>
    <n v="900.41399999999999"/>
    <n v="125.99"/>
    <n v="8.99"/>
    <x v="358"/>
    <x v="11"/>
    <x v="7"/>
    <x v="1"/>
    <x v="1"/>
    <x v="3"/>
    <x v="628"/>
    <s v="Small Box"/>
    <n v="0.55000000000000004"/>
    <d v="2011-12-06T00:00:00"/>
    <n v="0"/>
    <n v="0"/>
    <n v="0.5"/>
    <n v="0.25"/>
  </r>
  <r>
    <n v="1342"/>
    <n v="9824"/>
    <x v="432"/>
    <x v="16"/>
    <s v="Critical"/>
    <n v="39"/>
    <n v="1939.66"/>
    <n v="0.03"/>
    <s v="Express Air"/>
    <n v="540.66999999999996"/>
    <n v="48.92"/>
    <n v="4.5"/>
    <x v="712"/>
    <x v="11"/>
    <x v="7"/>
    <x v="1"/>
    <x v="0"/>
    <x v="1"/>
    <x v="606"/>
    <s v="Small Box"/>
    <n v="0.59"/>
    <d v="2011-01-24T00:00:00"/>
    <n v="0"/>
    <n v="0"/>
    <n v="0.33333333333333331"/>
    <n v="0.33333333333333331"/>
  </r>
  <r>
    <n v="1343"/>
    <n v="9824"/>
    <x v="432"/>
    <x v="16"/>
    <s v="Critical"/>
    <n v="5"/>
    <n v="21.56"/>
    <n v="0"/>
    <s v="Regular Air"/>
    <n v="2.75"/>
    <n v="4.13"/>
    <n v="0.5"/>
    <x v="712"/>
    <x v="11"/>
    <x v="7"/>
    <x v="1"/>
    <x v="0"/>
    <x v="11"/>
    <x v="84"/>
    <s v="Small Box"/>
    <n v="0.39"/>
    <d v="2011-01-24T00:00:00"/>
    <n v="0"/>
    <n v="0"/>
    <n v="0.33333333333333331"/>
    <n v="0.33333333333333331"/>
  </r>
  <r>
    <n v="1344"/>
    <n v="9824"/>
    <x v="432"/>
    <x v="16"/>
    <s v="Critical"/>
    <n v="43"/>
    <n v="115.81"/>
    <n v="0.1"/>
    <s v="Regular Air"/>
    <n v="-1.49"/>
    <n v="2.88"/>
    <n v="1.01"/>
    <x v="712"/>
    <x v="11"/>
    <x v="7"/>
    <x v="1"/>
    <x v="0"/>
    <x v="12"/>
    <x v="571"/>
    <s v="Wrap Bag"/>
    <n v="0.55000000000000004"/>
    <d v="2011-01-24T00:00:00"/>
    <n v="0"/>
    <n v="0"/>
    <n v="0.33333333333333331"/>
    <n v="0.33333333333333331"/>
  </r>
  <r>
    <n v="1383"/>
    <n v="10052"/>
    <x v="1376"/>
    <x v="35"/>
    <s v="Not Specified"/>
    <n v="16"/>
    <n v="95.9"/>
    <n v="7.0000000000000007E-2"/>
    <s v="Regular Air"/>
    <n v="19.57"/>
    <n v="6.08"/>
    <n v="0.91"/>
    <x v="349"/>
    <x v="11"/>
    <x v="7"/>
    <x v="2"/>
    <x v="0"/>
    <x v="12"/>
    <x v="997"/>
    <s v="Wrap Bag"/>
    <n v="0.51"/>
    <d v="2009-09-08T00:00:00"/>
    <n v="0"/>
    <n v="0"/>
    <n v="0.33333333333333331"/>
    <n v="0.2"/>
  </r>
  <r>
    <n v="1384"/>
    <n v="10052"/>
    <x v="1376"/>
    <x v="35"/>
    <s v="Not Specified"/>
    <n v="28"/>
    <n v="517.91"/>
    <n v="0.08"/>
    <s v="Regular Air"/>
    <n v="107.11"/>
    <n v="19.899999999999999"/>
    <n v="5.29"/>
    <x v="349"/>
    <x v="11"/>
    <x v="7"/>
    <x v="2"/>
    <x v="0"/>
    <x v="1"/>
    <x v="1247"/>
    <s v="Medium Box"/>
    <n v="0.4"/>
    <d v="2009-09-09T00:00:00"/>
    <n v="0"/>
    <n v="0"/>
    <n v="0.33333333333333331"/>
    <n v="0.2"/>
  </r>
  <r>
    <n v="1385"/>
    <n v="10052"/>
    <x v="1376"/>
    <x v="35"/>
    <s v="Not Specified"/>
    <n v="46"/>
    <n v="162.28"/>
    <n v="0.02"/>
    <s v="Regular Air"/>
    <n v="-216.154"/>
    <n v="3.36"/>
    <n v="6.27"/>
    <x v="349"/>
    <x v="11"/>
    <x v="7"/>
    <x v="2"/>
    <x v="0"/>
    <x v="2"/>
    <x v="285"/>
    <s v="Small Box"/>
    <n v="0.4"/>
    <d v="2009-09-09T00:00:00"/>
    <n v="0"/>
    <n v="0"/>
    <n v="0.33333333333333331"/>
    <n v="0.2"/>
  </r>
  <r>
    <n v="1390"/>
    <n v="10080"/>
    <x v="420"/>
    <x v="6"/>
    <s v="Low"/>
    <n v="20"/>
    <n v="637.04"/>
    <n v="0"/>
    <s v="Regular Air"/>
    <n v="-26.83"/>
    <n v="30.73"/>
    <n v="4"/>
    <x v="450"/>
    <x v="11"/>
    <x v="7"/>
    <x v="2"/>
    <x v="1"/>
    <x v="7"/>
    <x v="161"/>
    <s v="Small Box"/>
    <n v="0.75"/>
    <d v="2010-02-19T00:00:00"/>
    <n v="0"/>
    <n v="0"/>
    <n v="1"/>
    <n v="1"/>
  </r>
  <r>
    <n v="1393"/>
    <n v="10117"/>
    <x v="61"/>
    <x v="7"/>
    <s v="Medium"/>
    <n v="6"/>
    <n v="64.37"/>
    <n v="7.0000000000000007E-2"/>
    <s v="Express Air"/>
    <n v="-6.9574999999999996"/>
    <n v="8.85"/>
    <n v="5.6"/>
    <x v="293"/>
    <x v="11"/>
    <x v="7"/>
    <x v="1"/>
    <x v="0"/>
    <x v="2"/>
    <x v="182"/>
    <s v="Small Box"/>
    <n v="0.36"/>
    <d v="2010-11-17T00:00:00"/>
    <n v="0"/>
    <n v="0"/>
    <n v="0.5"/>
    <n v="0.5"/>
  </r>
  <r>
    <n v="1394"/>
    <n v="10117"/>
    <x v="61"/>
    <x v="7"/>
    <s v="Medium"/>
    <n v="10"/>
    <n v="4588.55"/>
    <n v="0.01"/>
    <s v="Regular Air"/>
    <n v="-266.62400000000002"/>
    <n v="449.99"/>
    <n v="24.49"/>
    <x v="293"/>
    <x v="11"/>
    <x v="7"/>
    <x v="1"/>
    <x v="1"/>
    <x v="13"/>
    <x v="26"/>
    <s v="Large Box"/>
    <n v="0.52"/>
    <d v="2010-11-18T00:00:00"/>
    <n v="0"/>
    <n v="0"/>
    <n v="0.5"/>
    <n v="0.5"/>
  </r>
  <r>
    <n v="1398"/>
    <n v="10146"/>
    <x v="185"/>
    <x v="43"/>
    <s v="Low"/>
    <n v="19"/>
    <n v="596.21"/>
    <n v="0.1"/>
    <s v="Regular Air"/>
    <n v="211.59"/>
    <n v="34.229999999999997"/>
    <n v="5.0199999999999996"/>
    <x v="383"/>
    <x v="11"/>
    <x v="7"/>
    <x v="2"/>
    <x v="2"/>
    <x v="4"/>
    <x v="671"/>
    <s v="Small Box"/>
    <n v="0.55000000000000004"/>
    <d v="2009-05-06T00:00:00"/>
    <n v="0"/>
    <n v="0"/>
    <n v="1"/>
    <n v="1"/>
  </r>
  <r>
    <n v="1410"/>
    <n v="10245"/>
    <x v="296"/>
    <x v="44"/>
    <s v="Medium"/>
    <n v="27"/>
    <n v="2645.88"/>
    <n v="0.06"/>
    <s v="Delivery Truck"/>
    <n v="-1231.98"/>
    <n v="100.98"/>
    <n v="57.38"/>
    <x v="352"/>
    <x v="11"/>
    <x v="7"/>
    <x v="2"/>
    <x v="2"/>
    <x v="9"/>
    <x v="65"/>
    <s v="Jumbo Box"/>
    <n v="0.78"/>
    <d v="2011-02-14T00:00:00"/>
    <n v="0"/>
    <n v="0"/>
    <n v="0.33333333333333331"/>
    <n v="0.33333333333333331"/>
  </r>
  <r>
    <n v="1417"/>
    <n v="10277"/>
    <x v="315"/>
    <x v="46"/>
    <s v="Medium"/>
    <n v="36"/>
    <n v="2144.924"/>
    <n v="0"/>
    <s v="Regular Air"/>
    <n v="542.25"/>
    <n v="65.989999999999995"/>
    <n v="5.26"/>
    <x v="450"/>
    <x v="11"/>
    <x v="7"/>
    <x v="2"/>
    <x v="1"/>
    <x v="3"/>
    <x v="18"/>
    <s v="Small Box"/>
    <n v="0.59"/>
    <d v="2009-04-08T00:00:00"/>
    <n v="0"/>
    <n v="0"/>
    <n v="1"/>
    <n v="1"/>
  </r>
  <r>
    <n v="1419"/>
    <n v="10305"/>
    <x v="227"/>
    <x v="36"/>
    <s v="Low"/>
    <n v="12"/>
    <n v="65.89"/>
    <n v="0.03"/>
    <s v="Regular Air"/>
    <n v="20.6"/>
    <n v="5.08"/>
    <n v="2.0299999999999998"/>
    <x v="413"/>
    <x v="11"/>
    <x v="7"/>
    <x v="3"/>
    <x v="2"/>
    <x v="4"/>
    <x v="708"/>
    <s v="Wrap Bag"/>
    <n v="0.51"/>
    <d v="2009-07-12T00:00:00"/>
    <n v="0"/>
    <n v="0"/>
    <n v="1"/>
    <n v="1"/>
  </r>
  <r>
    <n v="1427"/>
    <n v="10339"/>
    <x v="580"/>
    <x v="17"/>
    <s v="Low"/>
    <n v="49"/>
    <n v="9752.25"/>
    <n v="0.09"/>
    <s v="Regular Air"/>
    <n v="3066.17"/>
    <n v="209.84"/>
    <n v="21.21"/>
    <x v="399"/>
    <x v="11"/>
    <x v="7"/>
    <x v="0"/>
    <x v="2"/>
    <x v="4"/>
    <x v="922"/>
    <s v="Large Box"/>
    <n v="0.59"/>
    <d v="2011-10-15T00:00:00"/>
    <n v="0"/>
    <n v="0"/>
    <n v="1"/>
    <n v="1"/>
  </r>
  <r>
    <n v="1451"/>
    <n v="10466"/>
    <x v="574"/>
    <x v="45"/>
    <s v="High"/>
    <n v="27"/>
    <n v="114.86"/>
    <n v="7.0000000000000007E-2"/>
    <s v="Regular Air"/>
    <n v="16.21"/>
    <n v="4.28"/>
    <n v="0.94"/>
    <x v="383"/>
    <x v="11"/>
    <x v="7"/>
    <x v="2"/>
    <x v="0"/>
    <x v="12"/>
    <x v="406"/>
    <s v="Wrap Bag"/>
    <n v="0.56000000000000005"/>
    <d v="2012-12-26T00:00:00"/>
    <n v="0"/>
    <n v="0"/>
    <n v="1"/>
    <n v="0.25"/>
  </r>
  <r>
    <n v="1464"/>
    <n v="10562"/>
    <x v="1246"/>
    <x v="11"/>
    <s v="Not Specified"/>
    <n v="10"/>
    <n v="994.04"/>
    <n v="0.03"/>
    <s v="Regular Air"/>
    <n v="-335.06"/>
    <n v="95.99"/>
    <n v="35"/>
    <x v="360"/>
    <x v="11"/>
    <x v="7"/>
    <x v="2"/>
    <x v="0"/>
    <x v="0"/>
    <x v="1029"/>
    <s v="Large Box"/>
    <m/>
    <d v="2009-11-12T00:00:00"/>
    <n v="0"/>
    <n v="0"/>
    <n v="1"/>
    <n v="1"/>
  </r>
  <r>
    <n v="1465"/>
    <n v="10563"/>
    <x v="361"/>
    <x v="18"/>
    <s v="Critical"/>
    <n v="38"/>
    <n v="10223.19"/>
    <n v="0.08"/>
    <s v="Regular Air"/>
    <n v="2723.31"/>
    <n v="289.52999999999997"/>
    <n v="19.989999999999998"/>
    <x v="413"/>
    <x v="11"/>
    <x v="7"/>
    <x v="2"/>
    <x v="0"/>
    <x v="1"/>
    <x v="866"/>
    <s v="Small Box"/>
    <n v="0.56000000000000005"/>
    <d v="2010-09-30T00:00:00"/>
    <n v="0"/>
    <n v="0"/>
    <n v="0.5"/>
    <n v="0.5"/>
  </r>
  <r>
    <n v="1466"/>
    <n v="10563"/>
    <x v="361"/>
    <x v="18"/>
    <s v="Critical"/>
    <n v="50"/>
    <n v="312.42"/>
    <n v="0.08"/>
    <s v="Regular Air"/>
    <n v="-90.42"/>
    <n v="6.48"/>
    <n v="5.4"/>
    <x v="413"/>
    <x v="11"/>
    <x v="7"/>
    <x v="2"/>
    <x v="0"/>
    <x v="5"/>
    <x v="1156"/>
    <s v="Small Box"/>
    <n v="0.37"/>
    <d v="2010-10-01T00:00:00"/>
    <n v="0"/>
    <n v="0"/>
    <n v="0.5"/>
    <n v="0.5"/>
  </r>
  <r>
    <n v="1477"/>
    <n v="10658"/>
    <x v="91"/>
    <x v="26"/>
    <s v="Low"/>
    <n v="31"/>
    <n v="262.54000000000002"/>
    <n v="0.04"/>
    <s v="Regular Air"/>
    <n v="29.24"/>
    <n v="8.5"/>
    <n v="1.99"/>
    <x v="410"/>
    <x v="11"/>
    <x v="7"/>
    <x v="1"/>
    <x v="1"/>
    <x v="7"/>
    <x v="676"/>
    <s v="Small Pack"/>
    <n v="0.49"/>
    <d v="2009-08-31T00:00:00"/>
    <n v="0"/>
    <n v="0"/>
    <n v="0.33333333333333331"/>
    <n v="0.33333333333333331"/>
  </r>
  <r>
    <n v="1478"/>
    <n v="10658"/>
    <x v="91"/>
    <x v="26"/>
    <s v="Low"/>
    <n v="12"/>
    <n v="190.73"/>
    <n v="0.1"/>
    <s v="Regular Air"/>
    <n v="-69.643500000000003"/>
    <n v="15.99"/>
    <n v="9.4"/>
    <x v="410"/>
    <x v="11"/>
    <x v="7"/>
    <x v="1"/>
    <x v="1"/>
    <x v="16"/>
    <x v="364"/>
    <s v="Small Box"/>
    <n v="0.49"/>
    <d v="2009-08-27T00:00:00"/>
    <n v="0"/>
    <n v="0"/>
    <n v="0.33333333333333331"/>
    <n v="0.33333333333333331"/>
  </r>
  <r>
    <n v="1479"/>
    <n v="10658"/>
    <x v="91"/>
    <x v="26"/>
    <s v="Low"/>
    <n v="17"/>
    <n v="1332.97"/>
    <n v="0.09"/>
    <s v="Regular Air"/>
    <n v="4.7520000000000007"/>
    <n v="95.99"/>
    <n v="8.99"/>
    <x v="410"/>
    <x v="11"/>
    <x v="7"/>
    <x v="1"/>
    <x v="1"/>
    <x v="3"/>
    <x v="94"/>
    <s v="Small Box"/>
    <n v="0.56999999999999995"/>
    <d v="2009-09-03T00:00:00"/>
    <n v="0"/>
    <n v="0"/>
    <n v="0.33333333333333331"/>
    <n v="0.33333333333333331"/>
  </r>
  <r>
    <n v="1483"/>
    <n v="10662"/>
    <x v="1275"/>
    <x v="10"/>
    <s v="Low"/>
    <n v="45"/>
    <n v="283.13"/>
    <n v="0.08"/>
    <s v="Regular Air"/>
    <n v="-141.26"/>
    <n v="6.48"/>
    <n v="6.81"/>
    <x v="397"/>
    <x v="11"/>
    <x v="7"/>
    <x v="3"/>
    <x v="0"/>
    <x v="5"/>
    <x v="183"/>
    <s v="Small Box"/>
    <n v="0.36"/>
    <d v="2011-05-21T00:00:00"/>
    <n v="0"/>
    <n v="0"/>
    <n v="1"/>
    <n v="1"/>
  </r>
  <r>
    <n v="1514"/>
    <n v="10948"/>
    <x v="1377"/>
    <x v="9"/>
    <s v="Medium"/>
    <n v="50"/>
    <n v="193.11"/>
    <n v="0.08"/>
    <s v="Regular Air"/>
    <n v="-263.76400000000001"/>
    <n v="3.89"/>
    <n v="7.01"/>
    <x v="349"/>
    <x v="11"/>
    <x v="7"/>
    <x v="2"/>
    <x v="0"/>
    <x v="2"/>
    <x v="35"/>
    <s v="Small Box"/>
    <n v="0.37"/>
    <d v="2012-08-13T00:00:00"/>
    <n v="0"/>
    <n v="0"/>
    <n v="1"/>
    <n v="0.25"/>
  </r>
  <r>
    <n v="1530"/>
    <n v="11014"/>
    <x v="519"/>
    <x v="18"/>
    <s v="High"/>
    <n v="13"/>
    <n v="158.79"/>
    <n v="0.05"/>
    <s v="Regular Air"/>
    <n v="1.1560000000000001"/>
    <n v="11.7"/>
    <n v="5.63"/>
    <x v="719"/>
    <x v="11"/>
    <x v="7"/>
    <x v="2"/>
    <x v="0"/>
    <x v="2"/>
    <x v="972"/>
    <s v="Small Box"/>
    <n v="0.4"/>
    <d v="2010-09-09T00:00:00"/>
    <n v="0"/>
    <n v="0"/>
    <n v="0.5"/>
    <n v="0.5"/>
  </r>
  <r>
    <n v="1539"/>
    <n v="11077"/>
    <x v="41"/>
    <x v="28"/>
    <s v="Low"/>
    <n v="30"/>
    <n v="4620.05"/>
    <n v="0.06"/>
    <s v="Delivery Truck"/>
    <n v="-229.68"/>
    <n v="160.97999999999999"/>
    <n v="35.020000000000003"/>
    <x v="710"/>
    <x v="11"/>
    <x v="7"/>
    <x v="1"/>
    <x v="2"/>
    <x v="9"/>
    <x v="244"/>
    <s v="Jumbo Box"/>
    <n v="0.72"/>
    <d v="2009-03-24T00:00:00"/>
    <n v="0"/>
    <n v="0"/>
    <n v="1"/>
    <n v="1"/>
  </r>
  <r>
    <n v="1550"/>
    <n v="11174"/>
    <x v="945"/>
    <x v="46"/>
    <s v="Medium"/>
    <n v="30"/>
    <n v="3197.0029999999997"/>
    <n v="7.0000000000000007E-2"/>
    <s v="Regular Air"/>
    <n v="603.45899999999995"/>
    <n v="125.99"/>
    <n v="7.69"/>
    <x v="383"/>
    <x v="11"/>
    <x v="7"/>
    <x v="2"/>
    <x v="1"/>
    <x v="3"/>
    <x v="658"/>
    <s v="Small Box"/>
    <n v="0.59"/>
    <d v="2009-04-10T00:00:00"/>
    <n v="0"/>
    <n v="0"/>
    <n v="1"/>
    <n v="1"/>
  </r>
  <r>
    <n v="1555"/>
    <n v="11236"/>
    <x v="1120"/>
    <x v="0"/>
    <s v="High"/>
    <n v="45"/>
    <n v="298.57"/>
    <n v="7.0000000000000007E-2"/>
    <s v="Regular Air"/>
    <n v="74.069999999999993"/>
    <n v="6.88"/>
    <n v="2"/>
    <x v="405"/>
    <x v="11"/>
    <x v="7"/>
    <x v="0"/>
    <x v="0"/>
    <x v="5"/>
    <x v="810"/>
    <s v="Wrap Bag"/>
    <n v="0.39"/>
    <d v="2010-10-30T00:00:00"/>
    <n v="0"/>
    <n v="0"/>
    <n v="0.25"/>
    <n v="0.25"/>
  </r>
  <r>
    <n v="1556"/>
    <n v="11236"/>
    <x v="1120"/>
    <x v="0"/>
    <s v="High"/>
    <n v="15"/>
    <n v="44.32"/>
    <n v="0.01"/>
    <s v="Regular Air"/>
    <n v="-41.55"/>
    <n v="2.52"/>
    <n v="4.28"/>
    <x v="405"/>
    <x v="11"/>
    <x v="7"/>
    <x v="0"/>
    <x v="0"/>
    <x v="12"/>
    <x v="842"/>
    <s v="Wrap Bag"/>
    <n v="0.44"/>
    <d v="2010-10-30T00:00:00"/>
    <n v="0"/>
    <n v="0"/>
    <n v="0.25"/>
    <n v="0.25"/>
  </r>
  <r>
    <n v="1611"/>
    <n v="11680"/>
    <x v="154"/>
    <x v="35"/>
    <s v="Medium"/>
    <n v="50"/>
    <n v="7312.0314999999991"/>
    <n v="0.06"/>
    <s v="Regular Air"/>
    <n v="2031.5070000000001"/>
    <n v="175.99"/>
    <n v="8.99"/>
    <x v="646"/>
    <x v="11"/>
    <x v="7"/>
    <x v="2"/>
    <x v="1"/>
    <x v="3"/>
    <x v="484"/>
    <s v="Small Box"/>
    <n v="0.56999999999999995"/>
    <d v="2009-09-06T00:00:00"/>
    <n v="0"/>
    <n v="0"/>
    <n v="1"/>
    <n v="0.5"/>
  </r>
  <r>
    <n v="1612"/>
    <n v="11682"/>
    <x v="454"/>
    <x v="42"/>
    <s v="Low"/>
    <n v="5"/>
    <n v="102.18"/>
    <n v="0.09"/>
    <s v="Regular Air"/>
    <n v="-65.67"/>
    <n v="19.98"/>
    <n v="4"/>
    <x v="361"/>
    <x v="11"/>
    <x v="7"/>
    <x v="3"/>
    <x v="1"/>
    <x v="7"/>
    <x v="507"/>
    <s v="Small Box"/>
    <n v="0.68"/>
    <d v="2010-07-11T00:00:00"/>
    <n v="0"/>
    <n v="0"/>
    <n v="1"/>
    <n v="0.5"/>
  </r>
  <r>
    <n v="1618"/>
    <n v="11714"/>
    <x v="334"/>
    <x v="26"/>
    <s v="Critical"/>
    <n v="1"/>
    <n v="3501.79"/>
    <n v="0.01"/>
    <s v="Delivery Truck"/>
    <n v="-7838.3346000000001"/>
    <n v="3502.14"/>
    <n v="8.73"/>
    <x v="713"/>
    <x v="11"/>
    <x v="7"/>
    <x v="2"/>
    <x v="1"/>
    <x v="16"/>
    <x v="1248"/>
    <s v="Jumbo Box"/>
    <n v="0.56999999999999995"/>
    <d v="2009-08-05T00:00:00"/>
    <n v="0"/>
    <n v="0"/>
    <n v="0.5"/>
    <n v="0.16666666666666666"/>
  </r>
  <r>
    <n v="1619"/>
    <n v="11714"/>
    <x v="334"/>
    <x v="26"/>
    <s v="Critical"/>
    <n v="9"/>
    <n v="141.83000000000001"/>
    <n v="0.06"/>
    <s v="Regular Air"/>
    <n v="-35.69"/>
    <n v="15.73"/>
    <n v="7.42"/>
    <x v="713"/>
    <x v="11"/>
    <x v="7"/>
    <x v="2"/>
    <x v="0"/>
    <x v="15"/>
    <x v="949"/>
    <s v="Small Pack"/>
    <n v="0.56000000000000005"/>
    <d v="2009-08-05T00:00:00"/>
    <n v="0"/>
    <n v="0"/>
    <n v="0.5"/>
    <n v="0.16666666666666666"/>
  </r>
  <r>
    <n v="1625"/>
    <n v="11748"/>
    <x v="862"/>
    <x v="41"/>
    <s v="Not Specified"/>
    <n v="23"/>
    <n v="3503.12"/>
    <n v="0.01"/>
    <s v="Delivery Truck"/>
    <n v="-168.14"/>
    <n v="145.97999999999999"/>
    <n v="46.2"/>
    <x v="713"/>
    <x v="11"/>
    <x v="7"/>
    <x v="2"/>
    <x v="2"/>
    <x v="10"/>
    <x v="726"/>
    <s v="Jumbo Box"/>
    <n v="0.69"/>
    <d v="2009-06-03T00:00:00"/>
    <n v="0"/>
    <n v="0"/>
    <n v="1"/>
    <n v="1"/>
  </r>
  <r>
    <n v="1630"/>
    <n v="11780"/>
    <x v="106"/>
    <x v="18"/>
    <s v="Critical"/>
    <n v="7"/>
    <n v="54.23"/>
    <n v="0.08"/>
    <s v="Regular Air"/>
    <n v="-16.46"/>
    <n v="7.28"/>
    <n v="5.47"/>
    <x v="359"/>
    <x v="11"/>
    <x v="7"/>
    <x v="0"/>
    <x v="0"/>
    <x v="5"/>
    <x v="1215"/>
    <s v="Small Box"/>
    <n v="0.35"/>
    <d v="2010-09-22T00:00:00"/>
    <n v="0"/>
    <n v="0"/>
    <n v="1"/>
    <n v="1"/>
  </r>
  <r>
    <n v="1666"/>
    <n v="12007"/>
    <x v="717"/>
    <x v="35"/>
    <s v="Not Specified"/>
    <n v="42"/>
    <n v="152.26"/>
    <n v="0.04"/>
    <s v="Regular Air"/>
    <n v="64.989999999999995"/>
    <n v="3.69"/>
    <n v="0.5"/>
    <x v="719"/>
    <x v="11"/>
    <x v="7"/>
    <x v="2"/>
    <x v="0"/>
    <x v="11"/>
    <x v="98"/>
    <s v="Small Box"/>
    <n v="0.38"/>
    <d v="2009-09-29T00:00:00"/>
    <n v="0"/>
    <n v="0"/>
    <n v="1"/>
    <n v="1"/>
  </r>
  <r>
    <n v="1668"/>
    <n v="12039"/>
    <x v="838"/>
    <x v="30"/>
    <s v="High"/>
    <n v="13"/>
    <n v="2048.5679999999998"/>
    <n v="0.1"/>
    <s v="Regular Air"/>
    <n v="-259.98500000000001"/>
    <n v="205.99"/>
    <n v="8.99"/>
    <x v="334"/>
    <x v="11"/>
    <x v="7"/>
    <x v="2"/>
    <x v="1"/>
    <x v="3"/>
    <x v="1044"/>
    <s v="Small Box"/>
    <n v="0.56000000000000005"/>
    <d v="2010-06-18T00:00:00"/>
    <n v="0"/>
    <n v="0"/>
    <n v="1"/>
    <n v="1"/>
  </r>
  <r>
    <n v="1669"/>
    <n v="12066"/>
    <x v="955"/>
    <x v="44"/>
    <s v="Medium"/>
    <n v="27"/>
    <n v="4442.049"/>
    <n v="0.1"/>
    <s v="Regular Air"/>
    <n v="720.95399999999995"/>
    <n v="200.99"/>
    <n v="8.08"/>
    <x v="709"/>
    <x v="11"/>
    <x v="7"/>
    <x v="0"/>
    <x v="1"/>
    <x v="3"/>
    <x v="103"/>
    <s v="Small Box"/>
    <n v="0.59"/>
    <d v="2011-02-07T00:00:00"/>
    <n v="0"/>
    <n v="0"/>
    <n v="1"/>
    <n v="1"/>
  </r>
  <r>
    <n v="1708"/>
    <n v="12262"/>
    <x v="924"/>
    <x v="25"/>
    <s v="Low"/>
    <n v="45"/>
    <n v="1212.9280000000001"/>
    <n v="0.02"/>
    <s v="Delivery Truck"/>
    <n v="-1460.77"/>
    <n v="31.76"/>
    <n v="45.51"/>
    <x v="413"/>
    <x v="11"/>
    <x v="7"/>
    <x v="3"/>
    <x v="2"/>
    <x v="10"/>
    <x v="465"/>
    <s v="Jumbo Box"/>
    <n v="0.65"/>
    <d v="2011-12-15T00:00:00"/>
    <n v="0"/>
    <n v="0"/>
    <n v="1"/>
    <n v="1"/>
  </r>
  <r>
    <n v="1746"/>
    <n v="12486"/>
    <x v="422"/>
    <x v="44"/>
    <s v="High"/>
    <n v="31"/>
    <n v="3081.33"/>
    <n v="0.08"/>
    <s v="Delivery Truck"/>
    <n v="-1341.11"/>
    <n v="100.98"/>
    <n v="57.38"/>
    <x v="720"/>
    <x v="11"/>
    <x v="7"/>
    <x v="2"/>
    <x v="2"/>
    <x v="9"/>
    <x v="65"/>
    <s v="Jumbo Box"/>
    <n v="0.78"/>
    <d v="2011-02-21T00:00:00"/>
    <n v="0"/>
    <n v="0"/>
    <n v="0.5"/>
    <n v="0.5"/>
  </r>
  <r>
    <n v="1747"/>
    <n v="12486"/>
    <x v="422"/>
    <x v="44"/>
    <s v="High"/>
    <n v="42"/>
    <n v="1692.56"/>
    <n v="0.04"/>
    <s v="Regular Air"/>
    <n v="275.5"/>
    <n v="40.98"/>
    <n v="7.2"/>
    <x v="720"/>
    <x v="11"/>
    <x v="7"/>
    <x v="2"/>
    <x v="0"/>
    <x v="1"/>
    <x v="1163"/>
    <s v="Small Box"/>
    <n v="0.6"/>
    <d v="2011-02-21T00:00:00"/>
    <n v="0"/>
    <n v="0"/>
    <n v="0.5"/>
    <n v="0.5"/>
  </r>
  <r>
    <n v="1755"/>
    <n v="12580"/>
    <x v="892"/>
    <x v="38"/>
    <s v="Low"/>
    <n v="50"/>
    <n v="8038.08"/>
    <n v="0.1"/>
    <s v="Regular Air"/>
    <n v="2821.4050000000002"/>
    <n v="172.99"/>
    <n v="19.989999999999998"/>
    <x v="398"/>
    <x v="11"/>
    <x v="7"/>
    <x v="0"/>
    <x v="0"/>
    <x v="2"/>
    <x v="470"/>
    <s v="Small Box"/>
    <n v="0.39"/>
    <d v="2010-01-15T00:00:00"/>
    <n v="1"/>
    <n v="0"/>
    <n v="0.5"/>
    <n v="0.5"/>
  </r>
  <r>
    <n v="1758"/>
    <n v="12612"/>
    <x v="566"/>
    <x v="15"/>
    <s v="Low"/>
    <n v="29"/>
    <n v="2360.98"/>
    <n v="0.02"/>
    <s v="Regular Air"/>
    <n v="611.92999999999995"/>
    <n v="78.650000000000006"/>
    <n v="13.99"/>
    <x v="413"/>
    <x v="11"/>
    <x v="7"/>
    <x v="3"/>
    <x v="0"/>
    <x v="1"/>
    <x v="370"/>
    <s v="Medium Box"/>
    <n v="0.52"/>
    <d v="2010-12-21T00:00:00"/>
    <n v="0"/>
    <n v="0"/>
    <n v="0.5"/>
    <n v="0.33333333333333331"/>
  </r>
  <r>
    <n v="1759"/>
    <n v="12612"/>
    <x v="566"/>
    <x v="15"/>
    <s v="Low"/>
    <n v="49"/>
    <n v="182.2"/>
    <n v="0.09"/>
    <s v="Express Air"/>
    <n v="82.21"/>
    <n v="3.75"/>
    <n v="0.5"/>
    <x v="413"/>
    <x v="11"/>
    <x v="7"/>
    <x v="3"/>
    <x v="0"/>
    <x v="11"/>
    <x v="743"/>
    <s v="Small Box"/>
    <n v="0.37"/>
    <d v="2010-12-26T00:00:00"/>
    <n v="0"/>
    <n v="0"/>
    <n v="0.5"/>
    <n v="0.33333333333333331"/>
  </r>
  <r>
    <n v="1772"/>
    <n v="12706"/>
    <x v="626"/>
    <x v="11"/>
    <s v="Critical"/>
    <n v="46"/>
    <n v="2494.69"/>
    <n v="0.09"/>
    <s v="Delivery Truck"/>
    <n v="-937.06"/>
    <n v="58.14"/>
    <n v="36.61"/>
    <x v="720"/>
    <x v="11"/>
    <x v="7"/>
    <x v="2"/>
    <x v="2"/>
    <x v="9"/>
    <x v="126"/>
    <s v="Jumbo Box"/>
    <n v="0.61"/>
    <d v="2009-11-21T00:00:00"/>
    <n v="0"/>
    <n v="0"/>
    <n v="1"/>
    <n v="1"/>
  </r>
  <r>
    <n v="1774"/>
    <n v="12708"/>
    <x v="807"/>
    <x v="38"/>
    <s v="Low"/>
    <n v="44"/>
    <n v="159.41"/>
    <n v="0"/>
    <s v="Express Air"/>
    <n v="34.68"/>
    <n v="3.28"/>
    <n v="0.98"/>
    <x v="360"/>
    <x v="11"/>
    <x v="7"/>
    <x v="2"/>
    <x v="0"/>
    <x v="12"/>
    <x v="1080"/>
    <s v="Wrap Bag"/>
    <n v="0.52"/>
    <d v="2010-01-12T00:00:00"/>
    <n v="1"/>
    <n v="0"/>
    <n v="1"/>
    <n v="1"/>
  </r>
  <r>
    <n v="1808"/>
    <n v="12930"/>
    <x v="1139"/>
    <x v="27"/>
    <s v="High"/>
    <n v="49"/>
    <n v="1147.6400000000001"/>
    <n v="0.06"/>
    <s v="Regular Air"/>
    <n v="261.87"/>
    <n v="22.98"/>
    <n v="4.5"/>
    <x v="450"/>
    <x v="11"/>
    <x v="7"/>
    <x v="2"/>
    <x v="0"/>
    <x v="1"/>
    <x v="863"/>
    <s v="Small Box"/>
    <n v="0.55000000000000004"/>
    <d v="2011-11-25T00:00:00"/>
    <n v="0"/>
    <n v="0"/>
    <n v="1"/>
    <n v="1"/>
  </r>
  <r>
    <n v="1812"/>
    <n v="12965"/>
    <x v="461"/>
    <x v="30"/>
    <s v="Medium"/>
    <n v="7"/>
    <n v="44.74"/>
    <n v="0.04"/>
    <s v="Regular Air"/>
    <n v="-20.102"/>
    <n v="5.74"/>
    <n v="5.01"/>
    <x v="386"/>
    <x v="11"/>
    <x v="7"/>
    <x v="2"/>
    <x v="0"/>
    <x v="2"/>
    <x v="240"/>
    <s v="Small Box"/>
    <n v="0.39"/>
    <d v="2010-06-26T00:00:00"/>
    <n v="0"/>
    <n v="0"/>
    <n v="0.5"/>
    <n v="0.5"/>
  </r>
  <r>
    <n v="1813"/>
    <n v="12965"/>
    <x v="461"/>
    <x v="30"/>
    <s v="Medium"/>
    <n v="21"/>
    <n v="90.78"/>
    <n v="0.06"/>
    <s v="Regular Air"/>
    <n v="-71.840499999999992"/>
    <n v="4.24"/>
    <n v="5.41"/>
    <x v="386"/>
    <x v="11"/>
    <x v="7"/>
    <x v="2"/>
    <x v="0"/>
    <x v="2"/>
    <x v="683"/>
    <s v="Small Box"/>
    <n v="0.35"/>
    <d v="2010-06-26T00:00:00"/>
    <n v="0"/>
    <n v="0"/>
    <n v="0.5"/>
    <n v="0.5"/>
  </r>
  <r>
    <n v="1822"/>
    <n v="13090"/>
    <x v="1069"/>
    <x v="42"/>
    <s v="Not Specified"/>
    <n v="15"/>
    <n v="150.19999999999999"/>
    <n v="0.02"/>
    <s v="Regular Air"/>
    <n v="12.97"/>
    <n v="9.27"/>
    <n v="4.3899999999999997"/>
    <x v="721"/>
    <x v="11"/>
    <x v="7"/>
    <x v="2"/>
    <x v="0"/>
    <x v="5"/>
    <x v="276"/>
    <s v="Wrap Bag"/>
    <n v="0.38"/>
    <d v="2010-07-27T00:00:00"/>
    <n v="0"/>
    <n v="0"/>
    <n v="1"/>
    <n v="1"/>
  </r>
  <r>
    <n v="1836"/>
    <n v="13157"/>
    <x v="668"/>
    <x v="12"/>
    <s v="Medium"/>
    <n v="2"/>
    <n v="38.93"/>
    <n v="7.0000000000000007E-2"/>
    <s v="Regular Air"/>
    <n v="-102.432"/>
    <n v="20.99"/>
    <n v="4.8099999999999996"/>
    <x v="392"/>
    <x v="11"/>
    <x v="7"/>
    <x v="2"/>
    <x v="1"/>
    <x v="3"/>
    <x v="591"/>
    <s v="Medium Box"/>
    <n v="0.57999999999999996"/>
    <d v="2012-02-12T00:00:00"/>
    <n v="0"/>
    <n v="0"/>
    <n v="1"/>
    <n v="0.5"/>
  </r>
  <r>
    <n v="1838"/>
    <n v="13218"/>
    <x v="741"/>
    <x v="43"/>
    <s v="High"/>
    <n v="18"/>
    <n v="513.08000000000004"/>
    <n v="0.03"/>
    <s v="Regular Air"/>
    <n v="198.9425"/>
    <n v="28.53"/>
    <n v="1.49"/>
    <x v="719"/>
    <x v="11"/>
    <x v="7"/>
    <x v="2"/>
    <x v="0"/>
    <x v="2"/>
    <x v="257"/>
    <s v="Small Box"/>
    <n v="0.38"/>
    <d v="2009-05-17T00:00:00"/>
    <n v="0"/>
    <n v="0"/>
    <n v="0.5"/>
    <n v="0.2"/>
  </r>
  <r>
    <n v="1839"/>
    <n v="13218"/>
    <x v="741"/>
    <x v="43"/>
    <s v="High"/>
    <n v="16"/>
    <n v="98.8"/>
    <n v="7.0000000000000007E-2"/>
    <s v="Regular Air"/>
    <n v="-62"/>
    <n v="5.98"/>
    <n v="7.15"/>
    <x v="719"/>
    <x v="11"/>
    <x v="7"/>
    <x v="2"/>
    <x v="0"/>
    <x v="5"/>
    <x v="1034"/>
    <s v="Small Box"/>
    <n v="0.36"/>
    <d v="2009-05-18T00:00:00"/>
    <n v="0"/>
    <n v="0"/>
    <n v="0.5"/>
    <n v="0.2"/>
  </r>
  <r>
    <n v="1852"/>
    <n v="13314"/>
    <x v="1006"/>
    <x v="43"/>
    <s v="High"/>
    <n v="34"/>
    <n v="89.4"/>
    <n v="0.08"/>
    <s v="Express Air"/>
    <n v="22.22"/>
    <n v="2.62"/>
    <n v="0.8"/>
    <x v="353"/>
    <x v="11"/>
    <x v="7"/>
    <x v="0"/>
    <x v="0"/>
    <x v="6"/>
    <x v="675"/>
    <s v="Wrap Bag"/>
    <n v="0.39"/>
    <d v="2009-05-15T00:00:00"/>
    <n v="0"/>
    <n v="0"/>
    <n v="1"/>
    <n v="1"/>
  </r>
  <r>
    <n v="1877"/>
    <n v="13536"/>
    <x v="60"/>
    <x v="26"/>
    <s v="Medium"/>
    <n v="23"/>
    <n v="123.15"/>
    <n v="0.05"/>
    <s v="Regular Air"/>
    <n v="22.98"/>
    <n v="5.18"/>
    <n v="2.04"/>
    <x v="646"/>
    <x v="11"/>
    <x v="7"/>
    <x v="3"/>
    <x v="0"/>
    <x v="5"/>
    <x v="267"/>
    <s v="Wrap Bag"/>
    <n v="0.36"/>
    <d v="2009-08-20T00:00:00"/>
    <n v="0"/>
    <n v="0"/>
    <n v="1"/>
    <n v="1"/>
  </r>
  <r>
    <n v="1887"/>
    <n v="13569"/>
    <x v="86"/>
    <x v="37"/>
    <s v="Critical"/>
    <n v="13"/>
    <n v="563.17999999999995"/>
    <n v="0.02"/>
    <s v="Express Air"/>
    <n v="67.98"/>
    <n v="40.98"/>
    <n v="7.2"/>
    <x v="334"/>
    <x v="11"/>
    <x v="7"/>
    <x v="2"/>
    <x v="0"/>
    <x v="1"/>
    <x v="1163"/>
    <s v="Small Box"/>
    <n v="0.6"/>
    <d v="2011-04-12T00:00:00"/>
    <n v="0"/>
    <n v="0"/>
    <n v="0.5"/>
    <n v="0.5"/>
  </r>
  <r>
    <n v="1888"/>
    <n v="13569"/>
    <x v="86"/>
    <x v="37"/>
    <s v="Critical"/>
    <n v="16"/>
    <n v="47.45"/>
    <n v="0.05"/>
    <s v="Regular Air"/>
    <n v="1.071"/>
    <n v="2.88"/>
    <n v="1.49"/>
    <x v="334"/>
    <x v="11"/>
    <x v="7"/>
    <x v="2"/>
    <x v="0"/>
    <x v="2"/>
    <x v="612"/>
    <s v="Small Box"/>
    <n v="0.36"/>
    <d v="2011-04-11T00:00:00"/>
    <n v="0"/>
    <n v="0"/>
    <n v="0.5"/>
    <n v="0.5"/>
  </r>
  <r>
    <n v="1889"/>
    <n v="13570"/>
    <x v="727"/>
    <x v="45"/>
    <s v="Not Specified"/>
    <n v="2"/>
    <n v="16.97"/>
    <n v="0.04"/>
    <s v="Regular Air"/>
    <n v="-8.8000000000000007"/>
    <n v="8.34"/>
    <n v="0.96"/>
    <x v="450"/>
    <x v="11"/>
    <x v="7"/>
    <x v="2"/>
    <x v="2"/>
    <x v="4"/>
    <x v="956"/>
    <s v="Wrap Bag"/>
    <n v="0.43"/>
    <d v="2012-12-03T00:00:00"/>
    <n v="0"/>
    <n v="0"/>
    <n v="0.5"/>
    <n v="0.5"/>
  </r>
  <r>
    <n v="1890"/>
    <n v="13570"/>
    <x v="727"/>
    <x v="45"/>
    <s v="Not Specified"/>
    <n v="42"/>
    <n v="4077.7559999999994"/>
    <n v="0.04"/>
    <s v="Regular Air"/>
    <n v="1086.9570000000001"/>
    <n v="110.99"/>
    <n v="8.99"/>
    <x v="450"/>
    <x v="11"/>
    <x v="7"/>
    <x v="2"/>
    <x v="1"/>
    <x v="3"/>
    <x v="425"/>
    <s v="Small Box"/>
    <n v="0.56999999999999995"/>
    <d v="2012-12-02T00:00:00"/>
    <n v="0"/>
    <n v="0"/>
    <n v="0.5"/>
    <n v="0.5"/>
  </r>
  <r>
    <n v="1894"/>
    <n v="13602"/>
    <x v="1113"/>
    <x v="22"/>
    <s v="Low"/>
    <n v="3"/>
    <n v="445.34"/>
    <n v="0.03"/>
    <s v="Delivery Truck"/>
    <n v="-377.90190000000001"/>
    <n v="145.44999999999999"/>
    <n v="17.850000000000001"/>
    <x v="293"/>
    <x v="11"/>
    <x v="7"/>
    <x v="2"/>
    <x v="1"/>
    <x v="16"/>
    <x v="127"/>
    <s v="Jumbo Drum"/>
    <n v="0.56000000000000005"/>
    <d v="2009-01-18T00:00:00"/>
    <n v="0"/>
    <n v="1"/>
    <n v="0.5"/>
    <n v="0.5"/>
  </r>
  <r>
    <n v="1895"/>
    <n v="13602"/>
    <x v="1113"/>
    <x v="22"/>
    <s v="Low"/>
    <n v="13"/>
    <n v="660.99"/>
    <n v="0.02"/>
    <s v="Regular Air"/>
    <n v="267.67"/>
    <n v="48.04"/>
    <n v="5.09"/>
    <x v="293"/>
    <x v="11"/>
    <x v="7"/>
    <x v="2"/>
    <x v="0"/>
    <x v="5"/>
    <x v="784"/>
    <s v="Small Box"/>
    <n v="0.37"/>
    <d v="2009-01-13T00:00:00"/>
    <n v="0"/>
    <n v="1"/>
    <n v="0.5"/>
    <n v="0.5"/>
  </r>
  <r>
    <n v="1911"/>
    <n v="13668"/>
    <x v="443"/>
    <x v="12"/>
    <s v="Critical"/>
    <n v="42"/>
    <n v="282.61"/>
    <n v="0.02"/>
    <s v="Regular Air"/>
    <n v="-106.36"/>
    <n v="6.24"/>
    <n v="5.22"/>
    <x v="611"/>
    <x v="11"/>
    <x v="7"/>
    <x v="3"/>
    <x v="2"/>
    <x v="4"/>
    <x v="864"/>
    <s v="Small Box"/>
    <n v="0.6"/>
    <d v="2012-02-26T00:00:00"/>
    <n v="0"/>
    <n v="0"/>
    <n v="1"/>
    <n v="1"/>
  </r>
  <r>
    <n v="1943"/>
    <n v="13923"/>
    <x v="1361"/>
    <x v="29"/>
    <s v="High"/>
    <n v="28"/>
    <n v="4332.3"/>
    <n v="0.08"/>
    <s v="Delivery Truck"/>
    <n v="2066.12"/>
    <n v="200.97"/>
    <n v="15.59"/>
    <x v="569"/>
    <x v="11"/>
    <x v="7"/>
    <x v="3"/>
    <x v="1"/>
    <x v="16"/>
    <x v="186"/>
    <s v="Jumbo Drum"/>
    <n v="0.36"/>
    <d v="2012-07-10T00:00:00"/>
    <n v="0"/>
    <n v="0"/>
    <n v="0.25"/>
    <n v="0.25"/>
  </r>
  <r>
    <n v="1949"/>
    <n v="13958"/>
    <x v="1175"/>
    <x v="38"/>
    <s v="Low"/>
    <n v="11"/>
    <n v="808.673"/>
    <n v="0.06"/>
    <s v="Regular Air"/>
    <n v="-10.67"/>
    <n v="85.99"/>
    <n v="0.99"/>
    <x v="722"/>
    <x v="11"/>
    <x v="7"/>
    <x v="1"/>
    <x v="1"/>
    <x v="3"/>
    <x v="576"/>
    <s v="Wrap Bag"/>
    <n v="0.55000000000000004"/>
    <d v="2010-02-01T00:00:00"/>
    <n v="1"/>
    <n v="0"/>
    <n v="1"/>
    <n v="0.5"/>
  </r>
  <r>
    <n v="1957"/>
    <n v="13991"/>
    <x v="329"/>
    <x v="33"/>
    <s v="High"/>
    <n v="24"/>
    <n v="170.7"/>
    <n v="0"/>
    <s v="Regular Air"/>
    <n v="-37.880000000000003"/>
    <n v="6.48"/>
    <n v="2.74"/>
    <x v="362"/>
    <x v="11"/>
    <x v="7"/>
    <x v="2"/>
    <x v="1"/>
    <x v="7"/>
    <x v="865"/>
    <s v="Small Pack"/>
    <n v="0.71"/>
    <d v="2012-03-08T00:00:00"/>
    <n v="0"/>
    <n v="0"/>
    <n v="0.5"/>
    <n v="0.5"/>
  </r>
  <r>
    <n v="1958"/>
    <n v="13991"/>
    <x v="329"/>
    <x v="33"/>
    <s v="High"/>
    <n v="21"/>
    <n v="1839.4480000000001"/>
    <n v="7.0000000000000007E-2"/>
    <s v="Regular Air"/>
    <n v="-742.88"/>
    <n v="111.96"/>
    <n v="69"/>
    <x v="362"/>
    <x v="11"/>
    <x v="7"/>
    <x v="2"/>
    <x v="2"/>
    <x v="10"/>
    <x v="995"/>
    <s v="Large Box"/>
    <n v="0.63"/>
    <d v="2012-03-07T00:00:00"/>
    <n v="0"/>
    <n v="0"/>
    <n v="0.5"/>
    <n v="0.5"/>
  </r>
  <r>
    <n v="1964"/>
    <n v="14048"/>
    <x v="1011"/>
    <x v="39"/>
    <s v="Not Specified"/>
    <n v="47"/>
    <n v="1837.15"/>
    <n v="0.06"/>
    <s v="Regular Air"/>
    <n v="196.58"/>
    <n v="40.97"/>
    <n v="8.99"/>
    <x v="346"/>
    <x v="11"/>
    <x v="7"/>
    <x v="0"/>
    <x v="0"/>
    <x v="12"/>
    <x v="608"/>
    <s v="Small Pack"/>
    <n v="0.59"/>
    <d v="2010-05-17T00:00:00"/>
    <n v="0"/>
    <n v="0"/>
    <n v="0.33333333333333331"/>
    <n v="0.33333333333333331"/>
  </r>
  <r>
    <n v="1965"/>
    <n v="14048"/>
    <x v="1011"/>
    <x v="39"/>
    <s v="Not Specified"/>
    <n v="5"/>
    <n v="540.22"/>
    <n v="0.06"/>
    <s v="Regular Air"/>
    <n v="-253.38"/>
    <n v="101.41"/>
    <n v="35"/>
    <x v="346"/>
    <x v="11"/>
    <x v="7"/>
    <x v="0"/>
    <x v="0"/>
    <x v="0"/>
    <x v="925"/>
    <s v="Large Box"/>
    <n v="0.82"/>
    <d v="2010-05-19T00:00:00"/>
    <n v="0"/>
    <n v="0"/>
    <n v="0.33333333333333331"/>
    <n v="0.33333333333333331"/>
  </r>
  <r>
    <n v="1966"/>
    <n v="14048"/>
    <x v="1011"/>
    <x v="39"/>
    <s v="Not Specified"/>
    <n v="40"/>
    <n v="2035.3929999999998"/>
    <n v="0.01"/>
    <s v="Regular Air"/>
    <n v="1152.693"/>
    <n v="55.99"/>
    <n v="1.25"/>
    <x v="346"/>
    <x v="11"/>
    <x v="7"/>
    <x v="0"/>
    <x v="1"/>
    <x v="3"/>
    <x v="733"/>
    <s v="Small Pack"/>
    <n v="0.35"/>
    <d v="2010-05-19T00:00:00"/>
    <n v="0"/>
    <n v="0"/>
    <n v="0.33333333333333331"/>
    <n v="0.33333333333333331"/>
  </r>
  <r>
    <n v="2007"/>
    <n v="14311"/>
    <x v="585"/>
    <x v="26"/>
    <s v="Critical"/>
    <n v="30"/>
    <n v="192.41"/>
    <n v="0.03"/>
    <s v="Regular Air"/>
    <n v="-55.947499999999998"/>
    <n v="6.37"/>
    <n v="5.19"/>
    <x v="293"/>
    <x v="11"/>
    <x v="7"/>
    <x v="2"/>
    <x v="0"/>
    <x v="2"/>
    <x v="1007"/>
    <s v="Small Box"/>
    <n v="0.38"/>
    <d v="2009-08-02T00:00:00"/>
    <n v="0"/>
    <n v="0"/>
    <n v="1"/>
    <n v="1"/>
  </r>
  <r>
    <n v="2024"/>
    <n v="14434"/>
    <x v="635"/>
    <x v="44"/>
    <s v="Not Specified"/>
    <n v="39"/>
    <n v="4733.88"/>
    <n v="0.02"/>
    <s v="Delivery Truck"/>
    <n v="239.41"/>
    <n v="119.99"/>
    <n v="56.14"/>
    <x v="723"/>
    <x v="11"/>
    <x v="7"/>
    <x v="2"/>
    <x v="1"/>
    <x v="16"/>
    <x v="735"/>
    <s v="Jumbo Box"/>
    <n v="0.39"/>
    <d v="2011-02-17T00:00:00"/>
    <n v="0"/>
    <n v="0"/>
    <n v="1"/>
    <n v="1"/>
  </r>
  <r>
    <n v="2050"/>
    <n v="14630"/>
    <x v="653"/>
    <x v="1"/>
    <s v="Low"/>
    <n v="17"/>
    <n v="363.54"/>
    <n v="0.08"/>
    <s v="Regular Air"/>
    <n v="4.75"/>
    <n v="22.01"/>
    <n v="5.53"/>
    <x v="342"/>
    <x v="11"/>
    <x v="7"/>
    <x v="2"/>
    <x v="0"/>
    <x v="12"/>
    <x v="869"/>
    <s v="Small Pack"/>
    <n v="0.59"/>
    <d v="2012-10-16T00:00:00"/>
    <n v="0"/>
    <n v="0"/>
    <n v="1"/>
    <n v="1"/>
  </r>
  <r>
    <n v="2075"/>
    <n v="14851"/>
    <x v="186"/>
    <x v="20"/>
    <s v="Not Specified"/>
    <n v="6"/>
    <n v="3378.18"/>
    <n v="0.08"/>
    <s v="Regular Air"/>
    <n v="-1352.68"/>
    <n v="599.99"/>
    <n v="24.49"/>
    <x v="724"/>
    <x v="11"/>
    <x v="7"/>
    <x v="2"/>
    <x v="1"/>
    <x v="13"/>
    <x v="497"/>
    <s v="Large Box"/>
    <n v="0.44"/>
    <d v="2012-05-12T00:00:00"/>
    <n v="0"/>
    <n v="0"/>
    <n v="0.5"/>
    <n v="0.5"/>
  </r>
  <r>
    <n v="2076"/>
    <n v="14851"/>
    <x v="186"/>
    <x v="20"/>
    <s v="Not Specified"/>
    <n v="26"/>
    <n v="1443.2660000000001"/>
    <n v="0.08"/>
    <s v="Regular Air"/>
    <n v="156.114"/>
    <n v="65.989999999999995"/>
    <n v="8.99"/>
    <x v="724"/>
    <x v="11"/>
    <x v="7"/>
    <x v="2"/>
    <x v="1"/>
    <x v="3"/>
    <x v="403"/>
    <s v="Small Box"/>
    <n v="0.56000000000000005"/>
    <d v="2012-05-13T00:00:00"/>
    <n v="0"/>
    <n v="0"/>
    <n v="0.5"/>
    <n v="0.5"/>
  </r>
  <r>
    <n v="2088"/>
    <n v="14950"/>
    <x v="471"/>
    <x v="18"/>
    <s v="Low"/>
    <n v="48"/>
    <n v="525"/>
    <n v="0.03"/>
    <s v="Regular Air"/>
    <n v="63.5"/>
    <n v="10.48"/>
    <n v="2.89"/>
    <x v="353"/>
    <x v="11"/>
    <x v="7"/>
    <x v="0"/>
    <x v="0"/>
    <x v="12"/>
    <x v="373"/>
    <s v="Small Pack"/>
    <n v="0.6"/>
    <d v="2010-09-26T00:00:00"/>
    <n v="0"/>
    <n v="0"/>
    <n v="1"/>
    <n v="1"/>
  </r>
  <r>
    <n v="2095"/>
    <n v="14981"/>
    <x v="320"/>
    <x v="0"/>
    <s v="Medium"/>
    <n v="8"/>
    <n v="279.77"/>
    <n v="7.0000000000000007E-2"/>
    <s v="Regular Air"/>
    <n v="-14.02"/>
    <n v="34.76"/>
    <n v="8.2200000000000006"/>
    <x v="569"/>
    <x v="11"/>
    <x v="7"/>
    <x v="3"/>
    <x v="0"/>
    <x v="0"/>
    <x v="139"/>
    <s v="Small Box"/>
    <n v="0.56999999999999995"/>
    <d v="2010-10-27T00:00:00"/>
    <n v="0"/>
    <n v="0"/>
    <n v="0.5"/>
    <n v="0.5"/>
  </r>
  <r>
    <n v="2096"/>
    <n v="14981"/>
    <x v="320"/>
    <x v="0"/>
    <s v="Medium"/>
    <n v="8"/>
    <n v="154.21"/>
    <n v="0.03"/>
    <s v="Delivery Truck"/>
    <n v="-160.38999999999999"/>
    <n v="15.23"/>
    <n v="27.75"/>
    <x v="569"/>
    <x v="11"/>
    <x v="7"/>
    <x v="3"/>
    <x v="2"/>
    <x v="10"/>
    <x v="897"/>
    <s v="Jumbo Box"/>
    <n v="0.76"/>
    <d v="2010-10-28T00:00:00"/>
    <n v="0"/>
    <n v="0"/>
    <n v="0.5"/>
    <n v="0.5"/>
  </r>
  <r>
    <n v="2113"/>
    <n v="15105"/>
    <x v="402"/>
    <x v="11"/>
    <s v="Low"/>
    <n v="39"/>
    <n v="460.43"/>
    <n v="7.0000000000000007E-2"/>
    <s v="Regular Air"/>
    <n v="-76.180000000000007"/>
    <n v="12.28"/>
    <n v="6.13"/>
    <x v="353"/>
    <x v="11"/>
    <x v="7"/>
    <x v="0"/>
    <x v="0"/>
    <x v="0"/>
    <x v="166"/>
    <s v="Small Box"/>
    <n v="0.56999999999999995"/>
    <d v="2009-11-10T00:00:00"/>
    <n v="0"/>
    <n v="0"/>
    <n v="1"/>
    <n v="0.33333333333333331"/>
  </r>
  <r>
    <n v="2123"/>
    <n v="15111"/>
    <x v="1140"/>
    <x v="47"/>
    <s v="Not Specified"/>
    <n v="13"/>
    <n v="970.47"/>
    <n v="0.1"/>
    <s v="Regular Air"/>
    <n v="192.38"/>
    <n v="81.319999999999993"/>
    <n v="0.99"/>
    <x v="724"/>
    <x v="11"/>
    <x v="7"/>
    <x v="2"/>
    <x v="0"/>
    <x v="1"/>
    <x v="1228"/>
    <s v="Small Box"/>
    <n v="0.56999999999999995"/>
    <d v="2009-12-19T00:00:00"/>
    <n v="0"/>
    <n v="0"/>
    <n v="1"/>
    <n v="1"/>
  </r>
  <r>
    <n v="2128"/>
    <n v="15202"/>
    <x v="426"/>
    <x v="42"/>
    <s v="High"/>
    <n v="36"/>
    <n v="1340.93"/>
    <n v="0.09"/>
    <s v="Express Air"/>
    <n v="154.16"/>
    <n v="39.979999999999997"/>
    <n v="9.1999999999999993"/>
    <x v="406"/>
    <x v="11"/>
    <x v="7"/>
    <x v="1"/>
    <x v="2"/>
    <x v="4"/>
    <x v="131"/>
    <s v="Wrap Bag"/>
    <n v="0.65"/>
    <d v="2010-07-11T00:00:00"/>
    <n v="0"/>
    <n v="0"/>
    <n v="1"/>
    <n v="1"/>
  </r>
  <r>
    <n v="2131"/>
    <n v="15206"/>
    <x v="463"/>
    <x v="7"/>
    <s v="Low"/>
    <n v="35"/>
    <n v="5287.16"/>
    <n v="0.05"/>
    <s v="Delivery Truck"/>
    <n v="-769.05"/>
    <n v="150.97999999999999"/>
    <n v="66.27"/>
    <x v="706"/>
    <x v="11"/>
    <x v="7"/>
    <x v="0"/>
    <x v="2"/>
    <x v="9"/>
    <x v="207"/>
    <s v="Jumbo Box"/>
    <n v="0.65"/>
    <d v="2010-11-09T00:00:00"/>
    <n v="0"/>
    <n v="0"/>
    <n v="1"/>
    <n v="1"/>
  </r>
  <r>
    <n v="2162"/>
    <n v="15616"/>
    <x v="75"/>
    <x v="33"/>
    <s v="Critical"/>
    <n v="12"/>
    <n v="386.71"/>
    <n v="0.01"/>
    <s v="Express Air"/>
    <n v="-84.12"/>
    <n v="30.98"/>
    <n v="6.5"/>
    <x v="334"/>
    <x v="11"/>
    <x v="7"/>
    <x v="2"/>
    <x v="1"/>
    <x v="7"/>
    <x v="455"/>
    <s v="Small Box"/>
    <n v="0.64"/>
    <d v="2012-03-24T00:00:00"/>
    <n v="0"/>
    <n v="0"/>
    <n v="0.5"/>
    <n v="0.5"/>
  </r>
  <r>
    <n v="2163"/>
    <n v="15616"/>
    <x v="75"/>
    <x v="33"/>
    <s v="Critical"/>
    <n v="34"/>
    <n v="134.06"/>
    <n v="0.09"/>
    <s v="Regular Air"/>
    <n v="5.98"/>
    <n v="4.13"/>
    <n v="1.17"/>
    <x v="334"/>
    <x v="11"/>
    <x v="7"/>
    <x v="2"/>
    <x v="0"/>
    <x v="12"/>
    <x v="1041"/>
    <s v="Wrap Bag"/>
    <n v="0.56999999999999995"/>
    <d v="2012-03-25T00:00:00"/>
    <n v="0"/>
    <n v="0"/>
    <n v="0.5"/>
    <n v="0.5"/>
  </r>
  <r>
    <n v="2176"/>
    <n v="15654"/>
    <x v="340"/>
    <x v="19"/>
    <s v="Not Specified"/>
    <n v="27"/>
    <n v="7937.59"/>
    <n v="0.03"/>
    <s v="Delivery Truck"/>
    <n v="1383.24"/>
    <n v="300.98"/>
    <n v="54.92"/>
    <x v="725"/>
    <x v="11"/>
    <x v="7"/>
    <x v="2"/>
    <x v="2"/>
    <x v="9"/>
    <x v="420"/>
    <s v="Jumbo Box"/>
    <n v="0.55000000000000004"/>
    <d v="2009-10-04T00:00:00"/>
    <n v="0"/>
    <n v="0"/>
    <n v="0.5"/>
    <n v="0.25"/>
  </r>
  <r>
    <n v="2177"/>
    <n v="15654"/>
    <x v="340"/>
    <x v="19"/>
    <s v="Not Specified"/>
    <n v="4"/>
    <n v="9396.41"/>
    <n v="0.02"/>
    <s v="Delivery Truck"/>
    <n v="-4991.4249"/>
    <n v="2550.14"/>
    <n v="29.7"/>
    <x v="725"/>
    <x v="11"/>
    <x v="7"/>
    <x v="2"/>
    <x v="1"/>
    <x v="16"/>
    <x v="380"/>
    <s v="Jumbo Drum"/>
    <n v="0.56999999999999995"/>
    <d v="2009-10-04T00:00:00"/>
    <n v="0"/>
    <n v="0"/>
    <n v="0.5"/>
    <n v="0.25"/>
  </r>
  <r>
    <n v="2228"/>
    <n v="16102"/>
    <x v="980"/>
    <x v="47"/>
    <s v="Not Specified"/>
    <n v="25"/>
    <n v="13255.93"/>
    <n v="0.02"/>
    <s v="Delivery Truck"/>
    <n v="4089.27"/>
    <n v="500.98"/>
    <n v="26"/>
    <x v="397"/>
    <x v="11"/>
    <x v="7"/>
    <x v="3"/>
    <x v="2"/>
    <x v="14"/>
    <x v="38"/>
    <s v="Jumbo Drum"/>
    <n v="0.6"/>
    <d v="2009-12-15T00:00:00"/>
    <n v="0"/>
    <n v="0"/>
    <n v="1"/>
    <n v="1"/>
  </r>
  <r>
    <n v="2254"/>
    <n v="16229"/>
    <x v="295"/>
    <x v="28"/>
    <s v="High"/>
    <n v="27"/>
    <n v="1068.7"/>
    <n v="0.04"/>
    <s v="Regular Air"/>
    <n v="-89.5"/>
    <n v="40.98"/>
    <n v="6.5"/>
    <x v="346"/>
    <x v="11"/>
    <x v="7"/>
    <x v="0"/>
    <x v="1"/>
    <x v="7"/>
    <x v="850"/>
    <s v="Small Box"/>
    <n v="0.74"/>
    <d v="2009-03-30T00:00:00"/>
    <n v="0"/>
    <n v="0"/>
    <n v="0.5"/>
    <n v="0.5"/>
  </r>
  <r>
    <n v="2274"/>
    <n v="16356"/>
    <x v="453"/>
    <x v="21"/>
    <s v="Critical"/>
    <n v="6"/>
    <n v="157.94"/>
    <n v="0.04"/>
    <s v="Express Air"/>
    <n v="9.15"/>
    <n v="22.98"/>
    <n v="4.5"/>
    <x v="719"/>
    <x v="11"/>
    <x v="7"/>
    <x v="2"/>
    <x v="0"/>
    <x v="1"/>
    <x v="863"/>
    <s v="Small Box"/>
    <n v="0.55000000000000004"/>
    <d v="2011-08-03T00:00:00"/>
    <n v="0"/>
    <n v="0"/>
    <n v="1"/>
    <n v="1"/>
  </r>
  <r>
    <n v="2287"/>
    <n v="16481"/>
    <x v="946"/>
    <x v="44"/>
    <s v="Low"/>
    <n v="50"/>
    <n v="3089.06"/>
    <n v="0"/>
    <s v="Regular Air"/>
    <n v="719.26"/>
    <n v="56.96"/>
    <n v="13.22"/>
    <x v="726"/>
    <x v="11"/>
    <x v="7"/>
    <x v="2"/>
    <x v="0"/>
    <x v="1"/>
    <x v="407"/>
    <s v="Small Box"/>
    <n v="0.56000000000000005"/>
    <d v="2011-02-23T00:00:00"/>
    <n v="0"/>
    <n v="0"/>
    <n v="0.5"/>
    <n v="0.5"/>
  </r>
  <r>
    <n v="2288"/>
    <n v="16481"/>
    <x v="946"/>
    <x v="44"/>
    <s v="Low"/>
    <n v="47"/>
    <n v="20265.22"/>
    <n v="0.08"/>
    <s v="Delivery Truck"/>
    <n v="6168.64"/>
    <n v="442.14"/>
    <n v="14.7"/>
    <x v="726"/>
    <x v="11"/>
    <x v="7"/>
    <x v="2"/>
    <x v="1"/>
    <x v="16"/>
    <x v="330"/>
    <s v="Jumbo Drum"/>
    <n v="0.56000000000000005"/>
    <d v="2011-02-23T00:00:00"/>
    <n v="0"/>
    <n v="0"/>
    <n v="0.5"/>
    <n v="0.5"/>
  </r>
  <r>
    <n v="2308"/>
    <n v="16641"/>
    <x v="782"/>
    <x v="39"/>
    <s v="High"/>
    <n v="33"/>
    <n v="1209.1680000000001"/>
    <n v="0.03"/>
    <s v="Delivery Truck"/>
    <n v="-1052.79"/>
    <n v="44.43"/>
    <n v="46.59"/>
    <x v="711"/>
    <x v="11"/>
    <x v="7"/>
    <x v="3"/>
    <x v="2"/>
    <x v="10"/>
    <x v="1069"/>
    <s v="Jumbo Box"/>
    <n v="0.67"/>
    <d v="2010-05-11T00:00:00"/>
    <n v="0"/>
    <n v="0"/>
    <n v="1"/>
    <n v="1"/>
  </r>
  <r>
    <n v="2309"/>
    <n v="16642"/>
    <x v="1105"/>
    <x v="5"/>
    <s v="Not Specified"/>
    <n v="46"/>
    <n v="7640.2249999999995"/>
    <n v="7.0000000000000007E-2"/>
    <s v="Regular Air"/>
    <n v="2027.682"/>
    <n v="205.99"/>
    <n v="2.5"/>
    <x v="707"/>
    <x v="11"/>
    <x v="7"/>
    <x v="2"/>
    <x v="1"/>
    <x v="3"/>
    <x v="1038"/>
    <s v="Small Box"/>
    <n v="0.59"/>
    <d v="2011-03-04T00:00:00"/>
    <n v="0"/>
    <n v="0"/>
    <n v="1"/>
    <n v="1"/>
  </r>
  <r>
    <n v="2319"/>
    <n v="16709"/>
    <x v="198"/>
    <x v="1"/>
    <s v="High"/>
    <n v="3"/>
    <n v="24.36"/>
    <n v="7.0000000000000007E-2"/>
    <s v="Regular Air"/>
    <n v="-13.01"/>
    <n v="6.48"/>
    <n v="5.74"/>
    <x v="353"/>
    <x v="11"/>
    <x v="7"/>
    <x v="0"/>
    <x v="0"/>
    <x v="5"/>
    <x v="552"/>
    <s v="Small Box"/>
    <n v="0.37"/>
    <d v="2012-10-08T00:00:00"/>
    <n v="0"/>
    <n v="0"/>
    <n v="1"/>
    <n v="1"/>
  </r>
  <r>
    <n v="2354"/>
    <n v="16992"/>
    <x v="611"/>
    <x v="15"/>
    <s v="High"/>
    <n v="15"/>
    <n v="126.74"/>
    <n v="0.08"/>
    <s v="Regular Air"/>
    <n v="-18.53"/>
    <n v="8.67"/>
    <n v="3.5"/>
    <x v="332"/>
    <x v="11"/>
    <x v="7"/>
    <x v="0"/>
    <x v="0"/>
    <x v="1"/>
    <x v="855"/>
    <s v="Small Box"/>
    <n v="0.57999999999999996"/>
    <d v="2010-12-13T00:00:00"/>
    <n v="0"/>
    <n v="0"/>
    <n v="1"/>
    <n v="1"/>
  </r>
  <r>
    <n v="2356"/>
    <n v="16995"/>
    <x v="1378"/>
    <x v="15"/>
    <s v="Not Specified"/>
    <n v="42"/>
    <n v="48.41"/>
    <n v="0.06"/>
    <s v="Regular Air"/>
    <n v="-1.46"/>
    <n v="1.1399999999999999"/>
    <n v="0.7"/>
    <x v="406"/>
    <x v="11"/>
    <x v="7"/>
    <x v="1"/>
    <x v="0"/>
    <x v="6"/>
    <x v="1129"/>
    <s v="Wrap Bag"/>
    <n v="0.38"/>
    <d v="2010-12-20T00:00:00"/>
    <n v="0"/>
    <n v="0"/>
    <n v="1"/>
    <n v="1"/>
  </r>
  <r>
    <n v="2365"/>
    <n v="17093"/>
    <x v="668"/>
    <x v="12"/>
    <s v="Not Specified"/>
    <n v="50"/>
    <n v="4550.0600000000004"/>
    <n v="0.1"/>
    <s v="Delivery Truck"/>
    <n v="-1335.32"/>
    <n v="95.98"/>
    <n v="58.2"/>
    <x v="309"/>
    <x v="11"/>
    <x v="7"/>
    <x v="2"/>
    <x v="2"/>
    <x v="14"/>
    <x v="966"/>
    <s v="Jumbo Drum"/>
    <n v="0.57999999999999996"/>
    <d v="2012-02-13T00:00:00"/>
    <n v="0"/>
    <n v="0"/>
    <n v="1"/>
    <n v="0.5"/>
  </r>
  <r>
    <n v="2414"/>
    <n v="17510"/>
    <x v="365"/>
    <x v="1"/>
    <s v="Critical"/>
    <n v="28"/>
    <n v="462.12"/>
    <n v="0"/>
    <s v="Regular Air"/>
    <n v="226.4"/>
    <n v="15.57"/>
    <n v="1.39"/>
    <x v="709"/>
    <x v="11"/>
    <x v="7"/>
    <x v="0"/>
    <x v="0"/>
    <x v="8"/>
    <x v="889"/>
    <s v="Small Box"/>
    <n v="0.38"/>
    <d v="2012-10-31T00:00:00"/>
    <n v="0"/>
    <n v="0"/>
    <n v="1"/>
    <n v="1"/>
  </r>
  <r>
    <n v="2417"/>
    <n v="17542"/>
    <x v="1379"/>
    <x v="3"/>
    <s v="Low"/>
    <n v="37"/>
    <n v="105.99"/>
    <n v="0.01"/>
    <s v="Regular Air"/>
    <n v="43.37"/>
    <n v="2.88"/>
    <n v="0.5"/>
    <x v="710"/>
    <x v="11"/>
    <x v="7"/>
    <x v="1"/>
    <x v="0"/>
    <x v="11"/>
    <x v="42"/>
    <s v="Small Box"/>
    <n v="0.36"/>
    <d v="2010-09-02T00:00:00"/>
    <n v="0"/>
    <n v="0"/>
    <n v="1"/>
    <n v="1"/>
  </r>
  <r>
    <n v="2421"/>
    <n v="17568"/>
    <x v="1201"/>
    <x v="0"/>
    <s v="Not Specified"/>
    <n v="31"/>
    <n v="512.87"/>
    <n v="0"/>
    <s v="Regular Air"/>
    <n v="170.69"/>
    <n v="16.48"/>
    <n v="1.99"/>
    <x v="361"/>
    <x v="11"/>
    <x v="7"/>
    <x v="3"/>
    <x v="1"/>
    <x v="7"/>
    <x v="663"/>
    <s v="Small Pack"/>
    <n v="0.42"/>
    <d v="2010-10-09T00:00:00"/>
    <n v="0"/>
    <n v="0"/>
    <n v="1"/>
    <n v="1"/>
  </r>
  <r>
    <n v="2422"/>
    <n v="17571"/>
    <x v="123"/>
    <x v="33"/>
    <s v="Not Specified"/>
    <n v="32"/>
    <n v="102.59"/>
    <n v="0.01"/>
    <s v="Regular Air"/>
    <n v="8.8800000000000008"/>
    <n v="2.98"/>
    <n v="1.58"/>
    <x v="712"/>
    <x v="11"/>
    <x v="7"/>
    <x v="1"/>
    <x v="0"/>
    <x v="6"/>
    <x v="958"/>
    <s v="Wrap Bag"/>
    <n v="0.39"/>
    <d v="2012-03-16T00:00:00"/>
    <n v="0"/>
    <n v="0"/>
    <n v="0.5"/>
    <n v="0.33333333333333331"/>
  </r>
  <r>
    <n v="2423"/>
    <n v="17571"/>
    <x v="123"/>
    <x v="33"/>
    <s v="Not Specified"/>
    <n v="50"/>
    <n v="1695.65"/>
    <n v="0.02"/>
    <s v="Express Air"/>
    <n v="51.98"/>
    <n v="32.979999999999997"/>
    <n v="5.5"/>
    <x v="712"/>
    <x v="11"/>
    <x v="7"/>
    <x v="1"/>
    <x v="1"/>
    <x v="7"/>
    <x v="279"/>
    <s v="Small Box"/>
    <n v="0.75"/>
    <d v="2012-03-17T00:00:00"/>
    <n v="0"/>
    <n v="0"/>
    <n v="0.5"/>
    <n v="0.33333333333333331"/>
  </r>
  <r>
    <n v="2428"/>
    <n v="17636"/>
    <x v="391"/>
    <x v="40"/>
    <s v="Low"/>
    <n v="2"/>
    <n v="7.01"/>
    <n v="0.03"/>
    <s v="Regular Air"/>
    <n v="-4.2"/>
    <n v="2.94"/>
    <n v="0.96"/>
    <x v="715"/>
    <x v="11"/>
    <x v="7"/>
    <x v="3"/>
    <x v="0"/>
    <x v="12"/>
    <x v="361"/>
    <s v="Wrap Bag"/>
    <n v="0.57999999999999996"/>
    <d v="2009-02-08T00:00:00"/>
    <n v="0"/>
    <n v="0"/>
    <n v="1"/>
    <n v="1"/>
  </r>
  <r>
    <n v="2434"/>
    <n v="17669"/>
    <x v="478"/>
    <x v="46"/>
    <s v="High"/>
    <n v="32"/>
    <n v="1116.03"/>
    <n v="0.04"/>
    <s v="Regular Air"/>
    <n v="203.44"/>
    <n v="34.76"/>
    <n v="5.49"/>
    <x v="367"/>
    <x v="11"/>
    <x v="7"/>
    <x v="0"/>
    <x v="0"/>
    <x v="0"/>
    <x v="209"/>
    <s v="Small Box"/>
    <n v="0.6"/>
    <d v="2009-04-30T00:00:00"/>
    <n v="0"/>
    <n v="0"/>
    <n v="1"/>
    <n v="1"/>
  </r>
  <r>
    <n v="2439"/>
    <n v="17700"/>
    <x v="809"/>
    <x v="1"/>
    <s v="Critical"/>
    <n v="20"/>
    <n v="2305.75"/>
    <n v="0.03"/>
    <s v="Regular Air"/>
    <n v="-530.67999999999995"/>
    <n v="113.64"/>
    <n v="35"/>
    <x v="263"/>
    <x v="11"/>
    <x v="7"/>
    <x v="3"/>
    <x v="2"/>
    <x v="4"/>
    <x v="864"/>
    <s v="Small Box"/>
    <n v="0.6"/>
    <d v="2012-10-28T00:00:00"/>
    <n v="0"/>
    <n v="0"/>
    <n v="1"/>
    <n v="0.33333333333333331"/>
  </r>
  <r>
    <n v="2440"/>
    <n v="17701"/>
    <x v="215"/>
    <x v="20"/>
    <s v="Critical"/>
    <n v="21"/>
    <n v="80.45"/>
    <n v="0.09"/>
    <s v="Regular Air"/>
    <n v="-60.961500000000001"/>
    <n v="3.74"/>
    <n v="4.6900000000000004"/>
    <x v="361"/>
    <x v="11"/>
    <x v="7"/>
    <x v="3"/>
    <x v="0"/>
    <x v="2"/>
    <x v="1093"/>
    <s v="Small Box"/>
    <n v="0.35"/>
    <d v="2012-05-22T00:00:00"/>
    <n v="0"/>
    <n v="0"/>
    <n v="1"/>
    <n v="1"/>
  </r>
  <r>
    <n v="2450"/>
    <n v="17799"/>
    <x v="475"/>
    <x v="34"/>
    <s v="Medium"/>
    <n v="8"/>
    <n v="149.51"/>
    <n v="0.02"/>
    <s v="Regular Air"/>
    <n v="-31.11"/>
    <n v="16.98"/>
    <n v="12.39"/>
    <x v="263"/>
    <x v="11"/>
    <x v="7"/>
    <x v="1"/>
    <x v="2"/>
    <x v="4"/>
    <x v="97"/>
    <s v="Large Box"/>
    <n v="0.61"/>
    <d v="2012-09-22T00:00:00"/>
    <n v="0"/>
    <n v="0"/>
    <n v="1"/>
    <n v="0.5"/>
  </r>
  <r>
    <n v="2515"/>
    <n v="18275"/>
    <x v="1138"/>
    <x v="23"/>
    <s v="Low"/>
    <n v="25"/>
    <n v="322.73"/>
    <n v="7.0000000000000007E-2"/>
    <s v="Regular Air"/>
    <n v="101.83"/>
    <n v="13.4"/>
    <n v="4.95"/>
    <x v="190"/>
    <x v="11"/>
    <x v="7"/>
    <x v="2"/>
    <x v="2"/>
    <x v="4"/>
    <x v="1148"/>
    <s v="Small Pack"/>
    <n v="0.37"/>
    <d v="2012-01-14T00:00:00"/>
    <n v="0"/>
    <n v="0"/>
    <n v="1"/>
    <n v="1"/>
  </r>
  <r>
    <n v="2523"/>
    <n v="18336"/>
    <x v="1185"/>
    <x v="46"/>
    <s v="Not Specified"/>
    <n v="1"/>
    <n v="7.96"/>
    <n v="0"/>
    <s v="Express Air"/>
    <n v="-0.10999999999999943"/>
    <n v="2.88"/>
    <n v="0.7"/>
    <x v="353"/>
    <x v="11"/>
    <x v="7"/>
    <x v="1"/>
    <x v="0"/>
    <x v="12"/>
    <x v="808"/>
    <s v="Wrap Bag"/>
    <n v="0.56000000000000005"/>
    <d v="2009-04-24T00:00:00"/>
    <n v="0"/>
    <n v="0"/>
    <n v="1"/>
    <n v="1"/>
  </r>
  <r>
    <n v="2536"/>
    <n v="18402"/>
    <x v="1148"/>
    <x v="26"/>
    <s v="Low"/>
    <n v="5"/>
    <n v="1548.45"/>
    <n v="0.03"/>
    <s v="Delivery Truck"/>
    <n v="-224.2"/>
    <n v="284.98"/>
    <n v="69.55"/>
    <x v="392"/>
    <x v="11"/>
    <x v="7"/>
    <x v="2"/>
    <x v="2"/>
    <x v="14"/>
    <x v="649"/>
    <s v="Jumbo Drum"/>
    <n v="0.6"/>
    <d v="2009-09-05T00:00:00"/>
    <n v="0"/>
    <n v="0"/>
    <n v="0.5"/>
    <n v="0.33333333333333331"/>
  </r>
  <r>
    <n v="2537"/>
    <n v="18402"/>
    <x v="1148"/>
    <x v="26"/>
    <s v="Low"/>
    <n v="3"/>
    <n v="56.07"/>
    <n v="0"/>
    <s v="Regular Air"/>
    <n v="10.49"/>
    <n v="12.99"/>
    <n v="14.37"/>
    <x v="392"/>
    <x v="11"/>
    <x v="7"/>
    <x v="2"/>
    <x v="2"/>
    <x v="4"/>
    <x v="856"/>
    <s v="Large Box"/>
    <n v="0.73"/>
    <d v="2009-08-29T00:00:00"/>
    <n v="0"/>
    <n v="0"/>
    <n v="0.5"/>
    <n v="0.33333333333333331"/>
  </r>
  <r>
    <n v="2549"/>
    <n v="18466"/>
    <x v="215"/>
    <x v="20"/>
    <s v="Low"/>
    <n v="25"/>
    <n v="270.16000000000003"/>
    <n v="0.09"/>
    <s v="Regular Air"/>
    <n v="16.920000000000002"/>
    <n v="11.09"/>
    <n v="5.25"/>
    <x v="392"/>
    <x v="11"/>
    <x v="7"/>
    <x v="2"/>
    <x v="0"/>
    <x v="8"/>
    <x v="621"/>
    <s v="Small Box"/>
    <n v="0.36"/>
    <d v="2012-05-30T00:00:00"/>
    <n v="0"/>
    <n v="0"/>
    <n v="0.5"/>
    <n v="0.5"/>
  </r>
  <r>
    <n v="2550"/>
    <n v="18466"/>
    <x v="215"/>
    <x v="20"/>
    <s v="Low"/>
    <n v="24"/>
    <n v="2694.01"/>
    <n v="0.08"/>
    <s v="Express Air"/>
    <n v="994.31"/>
    <n v="120.97"/>
    <n v="7.11"/>
    <x v="392"/>
    <x v="11"/>
    <x v="7"/>
    <x v="2"/>
    <x v="1"/>
    <x v="16"/>
    <x v="105"/>
    <s v="Medium Box"/>
    <n v="0.36"/>
    <d v="2012-05-21T00:00:00"/>
    <n v="0"/>
    <n v="0"/>
    <n v="0.5"/>
    <n v="0.5"/>
  </r>
  <r>
    <n v="2563"/>
    <n v="18530"/>
    <x v="242"/>
    <x v="15"/>
    <s v="Not Specified"/>
    <n v="2"/>
    <n v="56.13"/>
    <n v="0.02"/>
    <s v="Regular Air"/>
    <n v="48.85"/>
    <n v="20.28"/>
    <n v="14.39"/>
    <x v="450"/>
    <x v="11"/>
    <x v="7"/>
    <x v="2"/>
    <x v="2"/>
    <x v="4"/>
    <x v="693"/>
    <s v="Small Box"/>
    <n v="0.47"/>
    <d v="2010-12-31T00:00:00"/>
    <n v="0"/>
    <n v="0"/>
    <n v="0.5"/>
    <n v="0.5"/>
  </r>
  <r>
    <n v="2564"/>
    <n v="18530"/>
    <x v="242"/>
    <x v="15"/>
    <s v="Not Specified"/>
    <n v="25"/>
    <n v="1491.5205000000001"/>
    <n v="0"/>
    <s v="Regular Air"/>
    <n v="286.36200000000002"/>
    <n v="65.989999999999995"/>
    <n v="5.99"/>
    <x v="450"/>
    <x v="11"/>
    <x v="7"/>
    <x v="2"/>
    <x v="1"/>
    <x v="3"/>
    <x v="421"/>
    <s v="Small Box"/>
    <n v="0.57999999999999996"/>
    <d v="2011-01-02T00:00:00"/>
    <n v="0"/>
    <n v="0"/>
    <n v="0.5"/>
    <n v="0.5"/>
  </r>
  <r>
    <n v="2602"/>
    <n v="18790"/>
    <x v="954"/>
    <x v="40"/>
    <s v="High"/>
    <n v="7"/>
    <n v="13253.93"/>
    <n v="0.01"/>
    <s v="Delivery Truck"/>
    <n v="-1596.7457999999999"/>
    <n v="2036.48"/>
    <n v="14.7"/>
    <x v="375"/>
    <x v="11"/>
    <x v="7"/>
    <x v="1"/>
    <x v="1"/>
    <x v="16"/>
    <x v="1235"/>
    <s v="Jumbo Drum"/>
    <n v="0.55000000000000004"/>
    <d v="2009-02-13T00:00:00"/>
    <n v="0"/>
    <n v="0"/>
    <n v="1"/>
    <n v="0.5"/>
  </r>
  <r>
    <n v="2604"/>
    <n v="18819"/>
    <x v="714"/>
    <x v="40"/>
    <s v="Low"/>
    <n v="22"/>
    <n v="1102.3"/>
    <n v="0.1"/>
    <s v="Regular Air"/>
    <n v="98.12"/>
    <n v="50.98"/>
    <n v="22.24"/>
    <x v="349"/>
    <x v="11"/>
    <x v="7"/>
    <x v="2"/>
    <x v="2"/>
    <x v="4"/>
    <x v="950"/>
    <s v="Large Box"/>
    <n v="0.55000000000000004"/>
    <d v="2009-02-27T00:00:00"/>
    <n v="0"/>
    <n v="0"/>
    <n v="1"/>
    <n v="1"/>
  </r>
  <r>
    <n v="2607"/>
    <n v="18849"/>
    <x v="98"/>
    <x v="9"/>
    <s v="High"/>
    <n v="43"/>
    <n v="471.87"/>
    <n v="0.05"/>
    <s v="Regular Air"/>
    <n v="52.27"/>
    <n v="11.09"/>
    <n v="5.25"/>
    <x v="392"/>
    <x v="11"/>
    <x v="7"/>
    <x v="2"/>
    <x v="0"/>
    <x v="8"/>
    <x v="621"/>
    <s v="Small Box"/>
    <n v="0.36"/>
    <d v="2012-08-05T00:00:00"/>
    <n v="0"/>
    <n v="0"/>
    <n v="0.33333333333333331"/>
    <n v="0.33333333333333331"/>
  </r>
  <r>
    <n v="2608"/>
    <n v="18849"/>
    <x v="98"/>
    <x v="9"/>
    <s v="High"/>
    <n v="39"/>
    <n v="539.6"/>
    <n v="0.06"/>
    <s v="Regular Air"/>
    <n v="-6.5"/>
    <n v="13.79"/>
    <n v="8.7799999999999994"/>
    <x v="392"/>
    <x v="11"/>
    <x v="7"/>
    <x v="2"/>
    <x v="2"/>
    <x v="4"/>
    <x v="494"/>
    <s v="Small Box"/>
    <n v="0.43"/>
    <d v="2012-08-07T00:00:00"/>
    <n v="0"/>
    <n v="0"/>
    <n v="0.33333333333333331"/>
    <n v="0.33333333333333331"/>
  </r>
  <r>
    <n v="2612"/>
    <n v="18855"/>
    <x v="375"/>
    <x v="35"/>
    <s v="High"/>
    <n v="31"/>
    <n v="229.43"/>
    <n v="0.03"/>
    <s v="Regular Air"/>
    <n v="-127.05200000000001"/>
    <n v="7.3"/>
    <n v="7.72"/>
    <x v="332"/>
    <x v="11"/>
    <x v="7"/>
    <x v="0"/>
    <x v="0"/>
    <x v="2"/>
    <x v="6"/>
    <s v="Small Box"/>
    <n v="0.38"/>
    <d v="2009-09-18T00:00:00"/>
    <n v="0"/>
    <n v="0"/>
    <n v="1"/>
    <n v="1"/>
  </r>
  <r>
    <n v="2625"/>
    <n v="19040"/>
    <x v="1100"/>
    <x v="25"/>
    <s v="High"/>
    <n v="10"/>
    <n v="211.97"/>
    <n v="0.06"/>
    <s v="Regular Air"/>
    <n v="-46.83"/>
    <n v="21.38"/>
    <n v="8.99"/>
    <x v="707"/>
    <x v="11"/>
    <x v="7"/>
    <x v="2"/>
    <x v="0"/>
    <x v="12"/>
    <x v="311"/>
    <s v="Small Pack"/>
    <n v="0.59"/>
    <d v="2011-12-20T00:00:00"/>
    <n v="0"/>
    <n v="0"/>
    <n v="1"/>
    <n v="1"/>
  </r>
  <r>
    <n v="2626"/>
    <n v="19041"/>
    <x v="1358"/>
    <x v="2"/>
    <s v="Low"/>
    <n v="3"/>
    <n v="36.06"/>
    <n v="0.08"/>
    <s v="Regular Air"/>
    <n v="-18.5"/>
    <n v="10.89"/>
    <n v="4.5"/>
    <x v="450"/>
    <x v="11"/>
    <x v="7"/>
    <x v="2"/>
    <x v="0"/>
    <x v="1"/>
    <x v="225"/>
    <s v="Small Box"/>
    <n v="0.59"/>
    <d v="2011-07-30T00:00:00"/>
    <n v="0"/>
    <n v="0"/>
    <n v="0.5"/>
    <n v="0.5"/>
  </r>
  <r>
    <n v="2627"/>
    <n v="19041"/>
    <x v="1358"/>
    <x v="2"/>
    <s v="Low"/>
    <n v="43"/>
    <n v="1849.8"/>
    <n v="0.04"/>
    <s v="Regular Air"/>
    <n v="530.22"/>
    <n v="42.98"/>
    <n v="4.62"/>
    <x v="450"/>
    <x v="11"/>
    <x v="7"/>
    <x v="2"/>
    <x v="0"/>
    <x v="1"/>
    <x v="667"/>
    <s v="Small Box"/>
    <n v="0.56000000000000005"/>
    <d v="2011-08-04T00:00:00"/>
    <n v="0"/>
    <n v="0"/>
    <n v="0.5"/>
    <n v="0.5"/>
  </r>
  <r>
    <n v="2631"/>
    <n v="19047"/>
    <x v="1367"/>
    <x v="22"/>
    <s v="High"/>
    <n v="1"/>
    <n v="67.489999999999995"/>
    <n v="0.06"/>
    <s v="Regular Air"/>
    <n v="-22.82"/>
    <n v="55.48"/>
    <n v="14.3"/>
    <x v="707"/>
    <x v="11"/>
    <x v="7"/>
    <x v="2"/>
    <x v="0"/>
    <x v="5"/>
    <x v="381"/>
    <s v="Small Box"/>
    <n v="0.37"/>
    <d v="2009-01-29T00:00:00"/>
    <n v="0"/>
    <n v="1"/>
    <n v="0.5"/>
    <n v="0.5"/>
  </r>
  <r>
    <n v="2632"/>
    <n v="19047"/>
    <x v="1367"/>
    <x v="22"/>
    <s v="High"/>
    <n v="3"/>
    <n v="6.76"/>
    <n v="0.02"/>
    <s v="Regular Air"/>
    <n v="-4.28"/>
    <n v="1.68"/>
    <n v="1.57"/>
    <x v="707"/>
    <x v="11"/>
    <x v="7"/>
    <x v="2"/>
    <x v="0"/>
    <x v="12"/>
    <x v="113"/>
    <s v="Wrap Bag"/>
    <n v="0.59"/>
    <d v="2009-01-30T00:00:00"/>
    <n v="0"/>
    <n v="1"/>
    <n v="0.5"/>
    <n v="0.5"/>
  </r>
  <r>
    <n v="2647"/>
    <n v="19143"/>
    <x v="532"/>
    <x v="32"/>
    <s v="High"/>
    <n v="3"/>
    <n v="2421.02"/>
    <n v="7.0000000000000007E-2"/>
    <s v="Delivery Truck"/>
    <n v="-1943.1711000000003"/>
    <n v="810.98"/>
    <n v="16.059999999999999"/>
    <x v="569"/>
    <x v="11"/>
    <x v="7"/>
    <x v="3"/>
    <x v="1"/>
    <x v="16"/>
    <x v="960"/>
    <s v="Jumbo Drum"/>
    <n v="0.56000000000000005"/>
    <d v="2012-11-05T00:00:00"/>
    <n v="0"/>
    <n v="0"/>
    <n v="1"/>
    <n v="1"/>
  </r>
  <r>
    <n v="2665"/>
    <n v="19264"/>
    <x v="52"/>
    <x v="31"/>
    <s v="High"/>
    <n v="40"/>
    <n v="161.72"/>
    <n v="0.09"/>
    <s v="Regular Air"/>
    <n v="-134.71100000000001"/>
    <n v="3.98"/>
    <n v="5.26"/>
    <x v="169"/>
    <x v="11"/>
    <x v="7"/>
    <x v="1"/>
    <x v="0"/>
    <x v="2"/>
    <x v="983"/>
    <s v="Small Box"/>
    <n v="0.38"/>
    <d v="2011-10-01T00:00:00"/>
    <n v="0"/>
    <n v="0"/>
    <n v="0.5"/>
    <n v="0.25"/>
  </r>
  <r>
    <n v="2666"/>
    <n v="19264"/>
    <x v="52"/>
    <x v="31"/>
    <s v="High"/>
    <n v="23"/>
    <n v="107.75"/>
    <n v="7.0000000000000007E-2"/>
    <s v="Regular Air"/>
    <n v="24.17"/>
    <n v="4.7300000000000004"/>
    <n v="1.52"/>
    <x v="169"/>
    <x v="11"/>
    <x v="7"/>
    <x v="1"/>
    <x v="0"/>
    <x v="5"/>
    <x v="1065"/>
    <s v="Wrap Bag"/>
    <n v="0.36"/>
    <d v="2011-09-30T00:00:00"/>
    <n v="0"/>
    <n v="0"/>
    <n v="0.5"/>
    <n v="0.25"/>
  </r>
  <r>
    <n v="2667"/>
    <n v="19296"/>
    <x v="623"/>
    <x v="24"/>
    <s v="High"/>
    <n v="43"/>
    <n v="75.73"/>
    <n v="0.04"/>
    <s v="Express Air"/>
    <n v="-37.76"/>
    <n v="1.68"/>
    <n v="1.57"/>
    <x v="373"/>
    <x v="11"/>
    <x v="7"/>
    <x v="3"/>
    <x v="0"/>
    <x v="12"/>
    <x v="113"/>
    <s v="Wrap Bag"/>
    <n v="0.59"/>
    <d v="2010-04-12T00:00:00"/>
    <n v="0"/>
    <n v="0"/>
    <n v="1"/>
    <n v="0.5"/>
  </r>
  <r>
    <n v="2668"/>
    <n v="19299"/>
    <x v="466"/>
    <x v="28"/>
    <s v="Not Specified"/>
    <n v="10"/>
    <n v="29.23"/>
    <n v="0.05"/>
    <s v="Regular Air"/>
    <n v="8.1"/>
    <n v="2.88"/>
    <n v="0.5"/>
    <x v="401"/>
    <x v="11"/>
    <x v="7"/>
    <x v="2"/>
    <x v="0"/>
    <x v="11"/>
    <x v="42"/>
    <s v="Small Box"/>
    <n v="0.36"/>
    <d v="2009-03-20T00:00:00"/>
    <n v="0"/>
    <n v="0"/>
    <n v="1"/>
    <n v="1"/>
  </r>
  <r>
    <n v="2685"/>
    <n v="19429"/>
    <x v="182"/>
    <x v="26"/>
    <s v="Not Specified"/>
    <n v="2"/>
    <n v="240.24"/>
    <n v="0.05"/>
    <s v="Delivery Truck"/>
    <n v="-84.93"/>
    <n v="124.49"/>
    <n v="51.94"/>
    <x v="715"/>
    <x v="11"/>
    <x v="7"/>
    <x v="3"/>
    <x v="2"/>
    <x v="10"/>
    <x v="307"/>
    <s v="Jumbo Box"/>
    <n v="0.63"/>
    <d v="2009-08-24T00:00:00"/>
    <n v="0"/>
    <n v="0"/>
    <n v="1"/>
    <n v="1"/>
  </r>
  <r>
    <n v="2686"/>
    <n v="19430"/>
    <x v="255"/>
    <x v="7"/>
    <s v="Critical"/>
    <n v="39"/>
    <n v="6742.49"/>
    <n v="0.03"/>
    <s v="Regular Air"/>
    <n v="-502.05"/>
    <n v="167.27"/>
    <n v="35"/>
    <x v="190"/>
    <x v="11"/>
    <x v="7"/>
    <x v="2"/>
    <x v="0"/>
    <x v="0"/>
    <x v="758"/>
    <s v="Large Box"/>
    <n v="0.85"/>
    <d v="2010-11-15T00:00:00"/>
    <n v="0"/>
    <n v="0"/>
    <n v="1"/>
    <n v="1"/>
  </r>
  <r>
    <n v="2700"/>
    <n v="19524"/>
    <x v="169"/>
    <x v="38"/>
    <s v="Critical"/>
    <n v="9"/>
    <n v="92.02"/>
    <n v="7.0000000000000007E-2"/>
    <s v="Regular Air"/>
    <n v="-24.88"/>
    <n v="10.23"/>
    <n v="4.68"/>
    <x v="297"/>
    <x v="11"/>
    <x v="7"/>
    <x v="2"/>
    <x v="0"/>
    <x v="15"/>
    <x v="804"/>
    <s v="Small Pack"/>
    <n v="0.59"/>
    <d v="2010-01-15T00:00:00"/>
    <n v="1"/>
    <n v="0"/>
    <n v="1"/>
    <n v="1"/>
  </r>
  <r>
    <n v="2703"/>
    <n v="19556"/>
    <x v="376"/>
    <x v="15"/>
    <s v="Not Specified"/>
    <n v="45"/>
    <n v="5785.59"/>
    <n v="7.0000000000000007E-2"/>
    <s v="Delivery Truck"/>
    <n v="-423.77"/>
    <n v="130.97999999999999"/>
    <n v="30"/>
    <x v="710"/>
    <x v="11"/>
    <x v="7"/>
    <x v="1"/>
    <x v="2"/>
    <x v="14"/>
    <x v="156"/>
    <s v="Jumbo Drum"/>
    <n v="0.78"/>
    <d v="2011-01-16T00:00:00"/>
    <n v="0"/>
    <n v="0"/>
    <n v="0.33333333333333331"/>
    <n v="0.33333333333333331"/>
  </r>
  <r>
    <n v="2704"/>
    <n v="19556"/>
    <x v="376"/>
    <x v="15"/>
    <s v="Not Specified"/>
    <n v="22"/>
    <n v="1131.93"/>
    <n v="0.09"/>
    <s v="Regular Air"/>
    <n v="469.69"/>
    <n v="55.98"/>
    <n v="4.8600000000000003"/>
    <x v="710"/>
    <x v="11"/>
    <x v="7"/>
    <x v="1"/>
    <x v="0"/>
    <x v="5"/>
    <x v="938"/>
    <s v="Small Box"/>
    <n v="0.36"/>
    <d v="2011-01-10T00:00:00"/>
    <n v="0"/>
    <n v="0"/>
    <n v="0.33333333333333331"/>
    <n v="0.33333333333333331"/>
  </r>
  <r>
    <n v="2705"/>
    <n v="19556"/>
    <x v="376"/>
    <x v="15"/>
    <s v="Not Specified"/>
    <n v="35"/>
    <n v="3238.143"/>
    <n v="0.08"/>
    <s v="Regular Air"/>
    <n v="727.36199999999997"/>
    <n v="115.99"/>
    <n v="4.2300000000000004"/>
    <x v="710"/>
    <x v="11"/>
    <x v="7"/>
    <x v="1"/>
    <x v="1"/>
    <x v="3"/>
    <x v="1082"/>
    <s v="Small Box"/>
    <n v="0.56000000000000005"/>
    <d v="2011-01-27T00:00:00"/>
    <n v="0"/>
    <n v="0"/>
    <n v="0.33333333333333331"/>
    <n v="0.33333333333333331"/>
  </r>
  <r>
    <n v="2746"/>
    <n v="19815"/>
    <x v="845"/>
    <x v="14"/>
    <s v="Not Specified"/>
    <n v="33"/>
    <n v="167.07"/>
    <n v="0.03"/>
    <s v="Regular Air"/>
    <n v="-102.36"/>
    <n v="4.9800000000000004"/>
    <n v="6.07"/>
    <x v="380"/>
    <x v="11"/>
    <x v="7"/>
    <x v="3"/>
    <x v="0"/>
    <x v="5"/>
    <x v="231"/>
    <s v="Small Box"/>
    <n v="0.36"/>
    <d v="2010-03-28T00:00:00"/>
    <n v="0"/>
    <n v="0"/>
    <n v="1"/>
    <n v="1"/>
  </r>
  <r>
    <n v="2783"/>
    <n v="20096"/>
    <x v="624"/>
    <x v="9"/>
    <s v="Low"/>
    <n v="35"/>
    <n v="6116.11"/>
    <n v="0.03"/>
    <s v="Delivery Truck"/>
    <n v="91.57"/>
    <n v="179.29"/>
    <n v="29.21"/>
    <x v="117"/>
    <x v="11"/>
    <x v="7"/>
    <x v="1"/>
    <x v="2"/>
    <x v="10"/>
    <x v="102"/>
    <s v="Jumbo Box"/>
    <n v="0.74"/>
    <d v="2012-08-24T00:00:00"/>
    <n v="0"/>
    <n v="0"/>
    <n v="1"/>
    <n v="1"/>
  </r>
  <r>
    <n v="2791"/>
    <n v="20132"/>
    <x v="1011"/>
    <x v="39"/>
    <s v="Low"/>
    <n v="30"/>
    <n v="8719.69"/>
    <n v="0.01"/>
    <s v="Delivery Truck"/>
    <n v="2241.71"/>
    <n v="270.97000000000003"/>
    <n v="28.06"/>
    <x v="406"/>
    <x v="11"/>
    <x v="7"/>
    <x v="1"/>
    <x v="1"/>
    <x v="16"/>
    <x v="241"/>
    <s v="Jumbo Drum"/>
    <n v="0.56000000000000005"/>
    <d v="2010-05-24T00:00:00"/>
    <n v="0"/>
    <n v="0"/>
    <n v="1"/>
    <n v="1"/>
  </r>
  <r>
    <n v="2802"/>
    <n v="20225"/>
    <x v="1069"/>
    <x v="42"/>
    <s v="Low"/>
    <n v="33"/>
    <n v="124.78"/>
    <n v="0.09"/>
    <s v="Regular Air"/>
    <n v="-122.6705"/>
    <n v="3.98"/>
    <n v="5.26"/>
    <x v="545"/>
    <x v="11"/>
    <x v="7"/>
    <x v="2"/>
    <x v="0"/>
    <x v="2"/>
    <x v="983"/>
    <s v="Small Box"/>
    <n v="0.38"/>
    <d v="2010-08-02T00:00:00"/>
    <n v="0"/>
    <n v="0"/>
    <n v="0.5"/>
    <n v="0.5"/>
  </r>
  <r>
    <n v="2803"/>
    <n v="20225"/>
    <x v="1069"/>
    <x v="42"/>
    <s v="Low"/>
    <n v="22"/>
    <n v="123.4"/>
    <n v="0.1"/>
    <s v="Regular Air"/>
    <n v="30.5"/>
    <n v="5.84"/>
    <n v="0.83"/>
    <x v="545"/>
    <x v="11"/>
    <x v="7"/>
    <x v="2"/>
    <x v="0"/>
    <x v="12"/>
    <x v="794"/>
    <s v="Wrap Bag"/>
    <n v="0.49"/>
    <d v="2010-08-02T00:00:00"/>
    <n v="0"/>
    <n v="0"/>
    <n v="0.5"/>
    <n v="0.5"/>
  </r>
  <r>
    <n v="2818"/>
    <n v="20325"/>
    <x v="122"/>
    <x v="42"/>
    <s v="Critical"/>
    <n v="35"/>
    <n v="4043.29"/>
    <n v="0.06"/>
    <s v="Delivery Truck"/>
    <n v="-34.304099999999998"/>
    <n v="119.99"/>
    <n v="56.14"/>
    <x v="372"/>
    <x v="11"/>
    <x v="7"/>
    <x v="0"/>
    <x v="1"/>
    <x v="16"/>
    <x v="735"/>
    <s v="Jumbo Box"/>
    <n v="0.39"/>
    <d v="2010-07-05T00:00:00"/>
    <n v="0"/>
    <n v="0"/>
    <n v="0.5"/>
    <n v="0.25"/>
  </r>
  <r>
    <n v="2819"/>
    <n v="20325"/>
    <x v="122"/>
    <x v="42"/>
    <s v="Critical"/>
    <n v="24"/>
    <n v="870.48"/>
    <n v="7.0000000000000007E-2"/>
    <s v="Regular Air"/>
    <n v="104.37"/>
    <n v="36.549999999999997"/>
    <n v="13.89"/>
    <x v="372"/>
    <x v="11"/>
    <x v="7"/>
    <x v="0"/>
    <x v="0"/>
    <x v="12"/>
    <x v="176"/>
    <s v="Wrap Bag"/>
    <n v="0.41"/>
    <d v="2010-07-06T00:00:00"/>
    <n v="0"/>
    <n v="0"/>
    <n v="0.5"/>
    <n v="0.25"/>
  </r>
  <r>
    <n v="2833"/>
    <n v="20450"/>
    <x v="1380"/>
    <x v="45"/>
    <s v="Critical"/>
    <n v="26"/>
    <n v="6878.55"/>
    <n v="0.03"/>
    <s v="Delivery Truck"/>
    <n v="506.71"/>
    <n v="259.70999999999998"/>
    <n v="66.67"/>
    <x v="569"/>
    <x v="11"/>
    <x v="7"/>
    <x v="3"/>
    <x v="2"/>
    <x v="10"/>
    <x v="384"/>
    <s v="Jumbo Box"/>
    <n v="0.61"/>
    <d v="2012-12-10T00:00:00"/>
    <n v="0"/>
    <n v="0"/>
    <n v="1"/>
    <n v="1"/>
  </r>
  <r>
    <n v="2851"/>
    <n v="20519"/>
    <x v="591"/>
    <x v="46"/>
    <s v="High"/>
    <n v="7"/>
    <n v="124.19"/>
    <n v="0.03"/>
    <s v="Regular Air"/>
    <n v="-53.296199999999999"/>
    <n v="15.99"/>
    <n v="11.28"/>
    <x v="361"/>
    <x v="11"/>
    <x v="7"/>
    <x v="3"/>
    <x v="1"/>
    <x v="16"/>
    <x v="1230"/>
    <s v="Medium Box"/>
    <n v="0.38"/>
    <d v="2009-04-11T00:00:00"/>
    <n v="0"/>
    <n v="0"/>
    <n v="1"/>
    <n v="1"/>
  </r>
  <r>
    <n v="2865"/>
    <n v="20679"/>
    <x v="928"/>
    <x v="3"/>
    <s v="Medium"/>
    <n v="32"/>
    <n v="4976.6000000000004"/>
    <n v="0.06"/>
    <s v="Regular Air"/>
    <n v="601.88"/>
    <n v="161.55000000000001"/>
    <n v="19.989999999999998"/>
    <x v="666"/>
    <x v="11"/>
    <x v="7"/>
    <x v="0"/>
    <x v="0"/>
    <x v="0"/>
    <x v="533"/>
    <s v="Small Box"/>
    <n v="0.66"/>
    <d v="2010-08-14T00:00:00"/>
    <n v="0"/>
    <n v="0"/>
    <n v="1"/>
    <n v="1"/>
  </r>
  <r>
    <n v="2869"/>
    <n v="20706"/>
    <x v="603"/>
    <x v="36"/>
    <s v="High"/>
    <n v="41"/>
    <n v="5583.27"/>
    <n v="0.04"/>
    <s v="Express Air"/>
    <n v="1539.59"/>
    <n v="136.97999999999999"/>
    <n v="24.49"/>
    <x v="376"/>
    <x v="11"/>
    <x v="7"/>
    <x v="3"/>
    <x v="2"/>
    <x v="4"/>
    <x v="355"/>
    <s v="Large Box"/>
    <n v="0.59"/>
    <d v="2009-07-14T00:00:00"/>
    <n v="0"/>
    <n v="0"/>
    <n v="1"/>
    <n v="1"/>
  </r>
  <r>
    <n v="2894"/>
    <n v="20898"/>
    <x v="1043"/>
    <x v="17"/>
    <s v="Medium"/>
    <n v="33"/>
    <n v="1756.5929999999998"/>
    <n v="0.09"/>
    <s v="Regular Air"/>
    <n v="298.20599999999996"/>
    <n v="65.989999999999995"/>
    <n v="5.63"/>
    <x v="720"/>
    <x v="11"/>
    <x v="7"/>
    <x v="1"/>
    <x v="1"/>
    <x v="3"/>
    <x v="1032"/>
    <s v="Small Box"/>
    <n v="0.56000000000000005"/>
    <d v="2011-11-01T00:00:00"/>
    <n v="0"/>
    <n v="0"/>
    <n v="1"/>
    <n v="1"/>
  </r>
  <r>
    <n v="2911"/>
    <n v="20995"/>
    <x v="725"/>
    <x v="33"/>
    <s v="Medium"/>
    <n v="37"/>
    <n v="5817.88"/>
    <n v="0.01"/>
    <s v="Delivery Truck"/>
    <n v="-567.14"/>
    <n v="150.97999999999999"/>
    <n v="66.27"/>
    <x v="722"/>
    <x v="11"/>
    <x v="7"/>
    <x v="1"/>
    <x v="2"/>
    <x v="9"/>
    <x v="207"/>
    <s v="Jumbo Box"/>
    <n v="0.65"/>
    <d v="2012-03-28T00:00:00"/>
    <n v="0"/>
    <n v="0"/>
    <n v="1"/>
    <n v="1"/>
  </r>
  <r>
    <n v="2923"/>
    <n v="21159"/>
    <x v="111"/>
    <x v="4"/>
    <s v="Low"/>
    <n v="5"/>
    <n v="20.28"/>
    <n v="0.05"/>
    <s v="Express Air"/>
    <n v="-4.32"/>
    <n v="2.98"/>
    <n v="2.0299999999999998"/>
    <x v="410"/>
    <x v="11"/>
    <x v="7"/>
    <x v="1"/>
    <x v="0"/>
    <x v="12"/>
    <x v="1169"/>
    <s v="Wrap Bag"/>
    <n v="0.56999999999999995"/>
    <d v="2011-06-11T00:00:00"/>
    <n v="0"/>
    <n v="0"/>
    <n v="1"/>
    <n v="0.5"/>
  </r>
  <r>
    <n v="2926"/>
    <n v="21191"/>
    <x v="1381"/>
    <x v="32"/>
    <s v="High"/>
    <n v="48"/>
    <n v="7235.83"/>
    <n v="0.01"/>
    <s v="Regular Air"/>
    <n v="3496.37"/>
    <n v="140.99"/>
    <n v="13.99"/>
    <x v="263"/>
    <x v="11"/>
    <x v="7"/>
    <x v="3"/>
    <x v="1"/>
    <x v="16"/>
    <x v="334"/>
    <s v="Medium Box"/>
    <n v="0.37"/>
    <d v="2012-11-14T00:00:00"/>
    <n v="0"/>
    <n v="0"/>
    <n v="1"/>
    <n v="0.5"/>
  </r>
  <r>
    <n v="2937"/>
    <n v="21286"/>
    <x v="741"/>
    <x v="43"/>
    <s v="Critical"/>
    <n v="17"/>
    <n v="280.39"/>
    <n v="0"/>
    <s v="Express Air"/>
    <n v="9.33"/>
    <n v="14.42"/>
    <n v="6.75"/>
    <x v="709"/>
    <x v="11"/>
    <x v="7"/>
    <x v="0"/>
    <x v="0"/>
    <x v="1"/>
    <x v="793"/>
    <s v="Medium Box"/>
    <n v="0.52"/>
    <d v="2009-05-17T00:00:00"/>
    <n v="0"/>
    <n v="0"/>
    <n v="1"/>
    <n v="1"/>
  </r>
  <r>
    <n v="2948"/>
    <n v="21346"/>
    <x v="111"/>
    <x v="4"/>
    <s v="High"/>
    <n v="46"/>
    <n v="400.49"/>
    <n v="0.09"/>
    <s v="Regular Air"/>
    <n v="-237.89"/>
    <n v="9.06"/>
    <n v="9.86"/>
    <x v="410"/>
    <x v="11"/>
    <x v="7"/>
    <x v="1"/>
    <x v="0"/>
    <x v="5"/>
    <x v="718"/>
    <s v="Small Box"/>
    <n v="0.4"/>
    <d v="2011-06-07T00:00:00"/>
    <n v="0"/>
    <n v="0"/>
    <n v="1"/>
    <n v="0.5"/>
  </r>
  <r>
    <n v="2970"/>
    <n v="21475"/>
    <x v="422"/>
    <x v="44"/>
    <s v="Critical"/>
    <n v="39"/>
    <n v="538.14"/>
    <n v="0.06"/>
    <s v="Regular Air"/>
    <n v="111.42"/>
    <n v="14.48"/>
    <n v="1.99"/>
    <x v="353"/>
    <x v="11"/>
    <x v="7"/>
    <x v="1"/>
    <x v="1"/>
    <x v="7"/>
    <x v="189"/>
    <s v="Small Pack"/>
    <n v="0.49"/>
    <d v="2011-02-22T00:00:00"/>
    <n v="0"/>
    <n v="0"/>
    <n v="0.5"/>
    <n v="0.5"/>
  </r>
  <r>
    <n v="2971"/>
    <n v="21475"/>
    <x v="422"/>
    <x v="44"/>
    <s v="Critical"/>
    <n v="15"/>
    <n v="4956.7839999999997"/>
    <n v="0.06"/>
    <s v="Delivery Truck"/>
    <n v="-296.06"/>
    <n v="417.4"/>
    <n v="75.23"/>
    <x v="353"/>
    <x v="11"/>
    <x v="7"/>
    <x v="1"/>
    <x v="2"/>
    <x v="10"/>
    <x v="516"/>
    <s v="Jumbo Box"/>
    <n v="0.79"/>
    <d v="2011-02-21T00:00:00"/>
    <n v="0"/>
    <n v="0"/>
    <n v="0.5"/>
    <n v="0.5"/>
  </r>
  <r>
    <n v="2981"/>
    <n v="21539"/>
    <x v="426"/>
    <x v="42"/>
    <s v="Medium"/>
    <n v="18"/>
    <n v="388.13"/>
    <n v="0.04"/>
    <s v="Regular Air"/>
    <n v="40.11"/>
    <n v="21.98"/>
    <n v="8.32"/>
    <x v="358"/>
    <x v="11"/>
    <x v="7"/>
    <x v="1"/>
    <x v="0"/>
    <x v="5"/>
    <x v="192"/>
    <s v="Wrap Bag"/>
    <n v="0.39"/>
    <d v="2010-07-10T00:00:00"/>
    <n v="0"/>
    <n v="0"/>
    <n v="0.5"/>
    <n v="0.25"/>
  </r>
  <r>
    <n v="2982"/>
    <n v="21539"/>
    <x v="426"/>
    <x v="42"/>
    <s v="Medium"/>
    <n v="39"/>
    <n v="2339.84"/>
    <n v="0.05"/>
    <s v="Regular Air"/>
    <n v="-1730.3"/>
    <n v="71.37"/>
    <n v="69"/>
    <x v="358"/>
    <x v="11"/>
    <x v="7"/>
    <x v="1"/>
    <x v="2"/>
    <x v="10"/>
    <x v="17"/>
    <s v="Large Box"/>
    <n v="0.68"/>
    <d v="2010-07-09T00:00:00"/>
    <n v="0"/>
    <n v="0"/>
    <n v="0.5"/>
    <n v="0.25"/>
  </r>
  <r>
    <n v="3008"/>
    <n v="21639"/>
    <x v="1045"/>
    <x v="44"/>
    <s v="Not Specified"/>
    <n v="24"/>
    <n v="145.15"/>
    <n v="7.0000000000000007E-2"/>
    <s v="Regular Air"/>
    <n v="-169.16499999999999"/>
    <n v="5.94"/>
    <n v="9.92"/>
    <x v="727"/>
    <x v="11"/>
    <x v="7"/>
    <x v="3"/>
    <x v="0"/>
    <x v="2"/>
    <x v="1040"/>
    <s v="Small Box"/>
    <n v="0.38"/>
    <d v="2011-02-04T00:00:00"/>
    <n v="0"/>
    <n v="0"/>
    <n v="0.25"/>
    <n v="0.14285714285714285"/>
  </r>
  <r>
    <n v="3009"/>
    <n v="21639"/>
    <x v="1045"/>
    <x v="44"/>
    <s v="Not Specified"/>
    <n v="3"/>
    <n v="131.5"/>
    <n v="0.01"/>
    <s v="Regular Air"/>
    <n v="105.9"/>
    <n v="39.979999999999997"/>
    <n v="9.1999999999999993"/>
    <x v="727"/>
    <x v="11"/>
    <x v="7"/>
    <x v="3"/>
    <x v="2"/>
    <x v="4"/>
    <x v="131"/>
    <s v="Wrap Bag"/>
    <n v="0.65"/>
    <d v="2011-02-03T00:00:00"/>
    <n v="0"/>
    <n v="0"/>
    <n v="0.25"/>
    <n v="0.14285714285714285"/>
  </r>
  <r>
    <n v="3010"/>
    <n v="21639"/>
    <x v="1045"/>
    <x v="44"/>
    <s v="Not Specified"/>
    <n v="38"/>
    <n v="7814.59"/>
    <n v="0.02"/>
    <s v="Regular Air"/>
    <n v="3408.46"/>
    <n v="194.3"/>
    <n v="11.54"/>
    <x v="727"/>
    <x v="11"/>
    <x v="7"/>
    <x v="3"/>
    <x v="2"/>
    <x v="4"/>
    <x v="104"/>
    <s v="Large Box"/>
    <n v="0.59"/>
    <d v="2011-02-02T00:00:00"/>
    <n v="0"/>
    <n v="0"/>
    <n v="0.25"/>
    <n v="0.14285714285714285"/>
  </r>
  <r>
    <n v="3011"/>
    <n v="21639"/>
    <x v="1045"/>
    <x v="44"/>
    <s v="Not Specified"/>
    <n v="23"/>
    <n v="158.99"/>
    <n v="7.0000000000000007E-2"/>
    <s v="Regular Air"/>
    <n v="-197.13"/>
    <n v="6.98"/>
    <n v="9.69"/>
    <x v="727"/>
    <x v="11"/>
    <x v="7"/>
    <x v="3"/>
    <x v="0"/>
    <x v="0"/>
    <x v="959"/>
    <s v="Small Box"/>
    <n v="0.83"/>
    <d v="2011-02-02T00:00:00"/>
    <n v="0"/>
    <n v="0"/>
    <n v="0.25"/>
    <n v="0.14285714285714285"/>
  </r>
  <r>
    <n v="3025"/>
    <n v="21760"/>
    <x v="1382"/>
    <x v="16"/>
    <s v="Not Specified"/>
    <n v="9"/>
    <n v="71.2"/>
    <n v="0.08"/>
    <s v="Regular Air"/>
    <n v="1.87"/>
    <n v="7.38"/>
    <n v="5.21"/>
    <x v="375"/>
    <x v="11"/>
    <x v="7"/>
    <x v="3"/>
    <x v="2"/>
    <x v="4"/>
    <x v="386"/>
    <s v="Small Box"/>
    <n v="0.56000000000000005"/>
    <d v="2011-01-31T00:00:00"/>
    <n v="0"/>
    <n v="0"/>
    <n v="1"/>
    <n v="0.5"/>
  </r>
  <r>
    <n v="3038"/>
    <n v="21827"/>
    <x v="219"/>
    <x v="32"/>
    <s v="Not Specified"/>
    <n v="25"/>
    <n v="1351.78"/>
    <n v="0.06"/>
    <s v="Regular Air"/>
    <n v="109.92"/>
    <n v="56.96"/>
    <n v="13.22"/>
    <x v="392"/>
    <x v="11"/>
    <x v="7"/>
    <x v="2"/>
    <x v="0"/>
    <x v="1"/>
    <x v="407"/>
    <s v="Small Box"/>
    <n v="0.56000000000000005"/>
    <d v="2012-11-11T00:00:00"/>
    <n v="0"/>
    <n v="0"/>
    <n v="0.5"/>
    <n v="0.33333333333333331"/>
  </r>
  <r>
    <n v="3039"/>
    <n v="21827"/>
    <x v="219"/>
    <x v="32"/>
    <s v="Not Specified"/>
    <n v="21"/>
    <n v="1560.96"/>
    <n v="7.0000000000000007E-2"/>
    <s v="Express Air"/>
    <n v="-120.27"/>
    <n v="73.98"/>
    <n v="4"/>
    <x v="392"/>
    <x v="11"/>
    <x v="7"/>
    <x v="2"/>
    <x v="1"/>
    <x v="7"/>
    <x v="640"/>
    <s v="Small Box"/>
    <n v="0.79"/>
    <d v="2012-11-10T00:00:00"/>
    <n v="0"/>
    <n v="0"/>
    <n v="0.5"/>
    <n v="0.33333333333333331"/>
  </r>
  <r>
    <n v="3055"/>
    <n v="21890"/>
    <x v="541"/>
    <x v="16"/>
    <s v="Not Specified"/>
    <n v="44"/>
    <n v="495.5"/>
    <n v="0.06"/>
    <s v="Regular Air"/>
    <n v="-12.67"/>
    <n v="11.58"/>
    <n v="6.97"/>
    <x v="297"/>
    <x v="11"/>
    <x v="7"/>
    <x v="0"/>
    <x v="0"/>
    <x v="8"/>
    <x v="188"/>
    <s v="Small Box"/>
    <n v="0.35"/>
    <d v="2011-01-26T00:00:00"/>
    <n v="0"/>
    <n v="0"/>
    <n v="0.5"/>
    <n v="0.5"/>
  </r>
  <r>
    <n v="3063"/>
    <n v="21927"/>
    <x v="924"/>
    <x v="25"/>
    <s v="High"/>
    <n v="23"/>
    <n v="8225.24"/>
    <n v="0.06"/>
    <s v="Delivery Truck"/>
    <n v="1909.03"/>
    <n v="350.98"/>
    <n v="30"/>
    <x v="380"/>
    <x v="11"/>
    <x v="7"/>
    <x v="3"/>
    <x v="2"/>
    <x v="14"/>
    <x v="1019"/>
    <s v="Jumbo Drum"/>
    <n v="0.61"/>
    <d v="2011-12-11T00:00:00"/>
    <n v="0"/>
    <n v="0"/>
    <n v="1"/>
    <n v="1"/>
  </r>
  <r>
    <n v="3068"/>
    <n v="21988"/>
    <x v="1147"/>
    <x v="14"/>
    <s v="Medium"/>
    <n v="4"/>
    <n v="1337.19"/>
    <n v="0.06"/>
    <s v="Delivery Truck"/>
    <n v="-431.45"/>
    <n v="328.14"/>
    <n v="91.05"/>
    <x v="717"/>
    <x v="11"/>
    <x v="7"/>
    <x v="2"/>
    <x v="0"/>
    <x v="1"/>
    <x v="888"/>
    <s v="Jumbo Drum"/>
    <n v="0.56999999999999995"/>
    <d v="2010-03-30T00:00:00"/>
    <n v="0"/>
    <n v="0"/>
    <n v="1"/>
    <n v="1"/>
  </r>
  <r>
    <n v="3077"/>
    <n v="22083"/>
    <x v="1383"/>
    <x v="40"/>
    <s v="Critical"/>
    <n v="2"/>
    <n v="16.809999999999999"/>
    <n v="0.05"/>
    <s v="Express Air"/>
    <n v="-4.1399999999999997"/>
    <n v="6.04"/>
    <n v="2.14"/>
    <x v="721"/>
    <x v="11"/>
    <x v="7"/>
    <x v="2"/>
    <x v="0"/>
    <x v="5"/>
    <x v="1191"/>
    <s v="Wrap Bag"/>
    <n v="0.38"/>
    <d v="2009-02-19T00:00:00"/>
    <n v="0"/>
    <n v="0"/>
    <n v="1"/>
    <n v="1"/>
  </r>
  <r>
    <n v="3117"/>
    <n v="22402"/>
    <x v="347"/>
    <x v="43"/>
    <s v="Critical"/>
    <n v="33"/>
    <n v="1194.3399999999999"/>
    <n v="0.04"/>
    <s v="Regular Air"/>
    <n v="497.11400000000003"/>
    <n v="37.700000000000003"/>
    <n v="2.99"/>
    <x v="361"/>
    <x v="11"/>
    <x v="7"/>
    <x v="3"/>
    <x v="0"/>
    <x v="2"/>
    <x v="737"/>
    <s v="Small Box"/>
    <n v="0.35"/>
    <d v="2009-05-28T00:00:00"/>
    <n v="0"/>
    <n v="0"/>
    <n v="0.5"/>
    <n v="0.25"/>
  </r>
  <r>
    <n v="3118"/>
    <n v="22402"/>
    <x v="347"/>
    <x v="43"/>
    <s v="Critical"/>
    <n v="1"/>
    <n v="51.832999999999998"/>
    <n v="0.01"/>
    <s v="Regular Air"/>
    <n v="-235.89500000000001"/>
    <n v="55.99"/>
    <n v="5"/>
    <x v="361"/>
    <x v="11"/>
    <x v="7"/>
    <x v="3"/>
    <x v="1"/>
    <x v="3"/>
    <x v="140"/>
    <s v="Small Pack"/>
    <n v="0.83"/>
    <d v="2009-05-28T00:00:00"/>
    <n v="0"/>
    <n v="0"/>
    <n v="0.5"/>
    <n v="0.25"/>
  </r>
  <r>
    <n v="3124"/>
    <n v="22433"/>
    <x v="1077"/>
    <x v="5"/>
    <s v="Critical"/>
    <n v="44"/>
    <n v="797.98"/>
    <n v="0.05"/>
    <s v="Regular Air"/>
    <n v="237.47400000000002"/>
    <n v="20.99"/>
    <n v="0.99"/>
    <x v="711"/>
    <x v="11"/>
    <x v="7"/>
    <x v="3"/>
    <x v="1"/>
    <x v="3"/>
    <x v="652"/>
    <s v="Wrap Bag"/>
    <n v="0.56999999999999995"/>
    <d v="2011-03-05T00:00:00"/>
    <n v="0"/>
    <n v="0"/>
    <n v="1"/>
    <n v="1"/>
  </r>
  <r>
    <n v="3127"/>
    <n v="22465"/>
    <x v="42"/>
    <x v="29"/>
    <s v="Not Specified"/>
    <n v="4"/>
    <n v="1121.78"/>
    <n v="0.04"/>
    <s v="Delivery Truck"/>
    <n v="-454.8"/>
    <n v="270.98"/>
    <n v="50"/>
    <x v="330"/>
    <x v="11"/>
    <x v="7"/>
    <x v="3"/>
    <x v="2"/>
    <x v="14"/>
    <x v="114"/>
    <s v="Jumbo Drum"/>
    <n v="0.77"/>
    <d v="2012-07-22T00:00:00"/>
    <n v="0"/>
    <n v="0"/>
    <n v="1"/>
    <n v="1"/>
  </r>
  <r>
    <n v="3128"/>
    <n v="22466"/>
    <x v="677"/>
    <x v="33"/>
    <s v="Low"/>
    <n v="31"/>
    <n v="5404.18"/>
    <n v="7.0000000000000007E-2"/>
    <s v="Delivery Truck"/>
    <n v="241.06"/>
    <n v="180.98"/>
    <n v="30"/>
    <x v="713"/>
    <x v="11"/>
    <x v="7"/>
    <x v="2"/>
    <x v="2"/>
    <x v="14"/>
    <x v="741"/>
    <s v="Jumbo Drum"/>
    <n v="0.69"/>
    <d v="2012-04-04T00:00:00"/>
    <n v="0"/>
    <n v="0"/>
    <n v="0.5"/>
    <n v="0.25"/>
  </r>
  <r>
    <n v="3129"/>
    <n v="22466"/>
    <x v="677"/>
    <x v="33"/>
    <s v="Low"/>
    <n v="40"/>
    <n v="430.19"/>
    <n v="0.02"/>
    <s v="Regular Air"/>
    <n v="181.26"/>
    <n v="10.31"/>
    <n v="1.79"/>
    <x v="713"/>
    <x v="11"/>
    <x v="7"/>
    <x v="2"/>
    <x v="0"/>
    <x v="5"/>
    <x v="171"/>
    <s v="Wrap Bag"/>
    <n v="0.38"/>
    <d v="2012-04-04T00:00:00"/>
    <n v="0"/>
    <n v="0"/>
    <n v="0.5"/>
    <n v="0.25"/>
  </r>
  <r>
    <n v="3136"/>
    <n v="22497"/>
    <x v="1231"/>
    <x v="13"/>
    <s v="Medium"/>
    <n v="37"/>
    <n v="3259.25"/>
    <n v="0.04"/>
    <s v="Delivery Truck"/>
    <n v="580.33000000000004"/>
    <n v="90.97"/>
    <n v="28"/>
    <x v="401"/>
    <x v="11"/>
    <x v="7"/>
    <x v="2"/>
    <x v="1"/>
    <x v="16"/>
    <x v="475"/>
    <s v="Jumbo Drum"/>
    <n v="0.38"/>
    <d v="2012-04-29T00:00:00"/>
    <n v="0"/>
    <n v="0"/>
    <n v="1"/>
    <n v="1"/>
  </r>
  <r>
    <n v="3152"/>
    <n v="22627"/>
    <x v="434"/>
    <x v="24"/>
    <s v="Low"/>
    <n v="46"/>
    <n v="6803"/>
    <n v="0.03"/>
    <s v="Delivery Truck"/>
    <n v="-1061.68"/>
    <n v="150.97999999999999"/>
    <n v="66.27"/>
    <x v="421"/>
    <x v="11"/>
    <x v="7"/>
    <x v="0"/>
    <x v="2"/>
    <x v="9"/>
    <x v="207"/>
    <s v="Jumbo Box"/>
    <n v="0.65"/>
    <d v="2010-04-03T00:00:00"/>
    <n v="0"/>
    <n v="0"/>
    <n v="0.5"/>
    <n v="0.5"/>
  </r>
  <r>
    <n v="3165"/>
    <n v="22752"/>
    <x v="1380"/>
    <x v="45"/>
    <s v="Low"/>
    <n v="2"/>
    <n v="238.76"/>
    <n v="0.1"/>
    <s v="Regular Air"/>
    <n v="-235.21"/>
    <n v="110.98"/>
    <n v="35"/>
    <x v="33"/>
    <x v="11"/>
    <x v="7"/>
    <x v="2"/>
    <x v="0"/>
    <x v="0"/>
    <x v="787"/>
    <s v="Large Box"/>
    <n v="0.82"/>
    <d v="2012-12-12T00:00:00"/>
    <n v="0"/>
    <n v="0"/>
    <n v="1"/>
    <n v="1"/>
  </r>
  <r>
    <n v="3176"/>
    <n v="22848"/>
    <x v="924"/>
    <x v="25"/>
    <s v="Not Specified"/>
    <n v="20"/>
    <n v="140.37"/>
    <n v="0.01"/>
    <s v="Regular Air"/>
    <n v="-893.39"/>
    <n v="4.4800000000000004"/>
    <n v="49"/>
    <x v="375"/>
    <x v="11"/>
    <x v="7"/>
    <x v="3"/>
    <x v="0"/>
    <x v="1"/>
    <x v="43"/>
    <s v="Large Box"/>
    <n v="0.6"/>
    <d v="2011-12-11T00:00:00"/>
    <n v="0"/>
    <n v="0"/>
    <n v="0.33333333333333331"/>
    <n v="0.33333333333333331"/>
  </r>
  <r>
    <n v="3177"/>
    <n v="22848"/>
    <x v="924"/>
    <x v="25"/>
    <s v="Not Specified"/>
    <n v="45"/>
    <n v="5921.74"/>
    <n v="0.02"/>
    <s v="Delivery Truck"/>
    <n v="-287.62"/>
    <n v="130.97999999999999"/>
    <n v="30"/>
    <x v="375"/>
    <x v="11"/>
    <x v="7"/>
    <x v="3"/>
    <x v="2"/>
    <x v="14"/>
    <x v="156"/>
    <s v="Jumbo Drum"/>
    <n v="0.78"/>
    <d v="2011-12-12T00:00:00"/>
    <n v="0"/>
    <n v="0"/>
    <n v="0.33333333333333331"/>
    <n v="0.33333333333333331"/>
  </r>
  <r>
    <n v="3178"/>
    <n v="22848"/>
    <x v="924"/>
    <x v="25"/>
    <s v="Not Specified"/>
    <n v="4"/>
    <n v="68.16"/>
    <n v="0.09"/>
    <s v="Regular Air"/>
    <n v="-52.44"/>
    <n v="15.98"/>
    <n v="6.5"/>
    <x v="375"/>
    <x v="11"/>
    <x v="7"/>
    <x v="3"/>
    <x v="1"/>
    <x v="7"/>
    <x v="404"/>
    <s v="Small Box"/>
    <n v="0.48"/>
    <d v="2011-12-12T00:00:00"/>
    <n v="0"/>
    <n v="0"/>
    <n v="0.33333333333333331"/>
    <n v="0.33333333333333331"/>
  </r>
  <r>
    <n v="3183"/>
    <n v="22850"/>
    <x v="663"/>
    <x v="37"/>
    <s v="Medium"/>
    <n v="4"/>
    <n v="105.13"/>
    <n v="0.08"/>
    <s v="Regular Air"/>
    <n v="-103.23"/>
    <n v="27.48"/>
    <n v="4"/>
    <x v="694"/>
    <x v="11"/>
    <x v="7"/>
    <x v="3"/>
    <x v="1"/>
    <x v="7"/>
    <x v="593"/>
    <s v="Small Box"/>
    <n v="0.75"/>
    <d v="2011-05-01T00:00:00"/>
    <n v="0"/>
    <n v="0"/>
    <n v="1"/>
    <n v="0.33333333333333331"/>
  </r>
  <r>
    <n v="3192"/>
    <n v="22912"/>
    <x v="1034"/>
    <x v="0"/>
    <s v="Low"/>
    <n v="33"/>
    <n v="10168.23"/>
    <n v="0.03"/>
    <s v="Express Air"/>
    <n v="4141.8035"/>
    <n v="304.99"/>
    <n v="19.989999999999998"/>
    <x v="724"/>
    <x v="11"/>
    <x v="7"/>
    <x v="2"/>
    <x v="0"/>
    <x v="2"/>
    <x v="880"/>
    <s v="Small Box"/>
    <n v="0.4"/>
    <d v="2010-10-20T00:00:00"/>
    <n v="0"/>
    <n v="0"/>
    <n v="1"/>
    <n v="1"/>
  </r>
  <r>
    <n v="3193"/>
    <n v="22913"/>
    <x v="461"/>
    <x v="30"/>
    <s v="Critical"/>
    <n v="32"/>
    <n v="176.77"/>
    <n v="0.06"/>
    <s v="Express Air"/>
    <n v="-41.6"/>
    <n v="4.9800000000000004"/>
    <n v="4.72"/>
    <x v="353"/>
    <x v="11"/>
    <x v="7"/>
    <x v="2"/>
    <x v="0"/>
    <x v="5"/>
    <x v="751"/>
    <s v="Small Box"/>
    <n v="0.36"/>
    <d v="2010-06-26T00:00:00"/>
    <n v="0"/>
    <n v="0"/>
    <n v="0.33333333333333331"/>
    <n v="0.33333333333333331"/>
  </r>
  <r>
    <n v="3194"/>
    <n v="22913"/>
    <x v="461"/>
    <x v="30"/>
    <s v="Critical"/>
    <n v="24"/>
    <n v="6568.0240000000013"/>
    <n v="0.06"/>
    <s v="Delivery Truck"/>
    <n v="1715.9"/>
    <n v="348.21"/>
    <n v="40.19"/>
    <x v="353"/>
    <x v="11"/>
    <x v="7"/>
    <x v="2"/>
    <x v="2"/>
    <x v="10"/>
    <x v="453"/>
    <s v="Jumbo Box"/>
    <n v="0.62"/>
    <d v="2010-06-28T00:00:00"/>
    <n v="0"/>
    <n v="0"/>
    <n v="0.33333333333333331"/>
    <n v="0.33333333333333331"/>
  </r>
  <r>
    <n v="3195"/>
    <n v="22913"/>
    <x v="461"/>
    <x v="30"/>
    <s v="Critical"/>
    <n v="50"/>
    <n v="1579.028"/>
    <n v="0.02"/>
    <s v="Regular Air"/>
    <n v="624.97799999999995"/>
    <n v="35.99"/>
    <n v="5.99"/>
    <x v="353"/>
    <x v="11"/>
    <x v="7"/>
    <x v="2"/>
    <x v="1"/>
    <x v="3"/>
    <x v="702"/>
    <s v="Wrap Bag"/>
    <n v="0.38"/>
    <d v="2010-06-26T00:00:00"/>
    <n v="0"/>
    <n v="0"/>
    <n v="0.33333333333333331"/>
    <n v="0.33333333333333331"/>
  </r>
  <r>
    <n v="3196"/>
    <n v="22914"/>
    <x v="1319"/>
    <x v="23"/>
    <s v="Critical"/>
    <n v="30"/>
    <n v="336.65"/>
    <n v="7.0000000000000007E-2"/>
    <s v="Regular Air"/>
    <n v="-71.05"/>
    <n v="11.7"/>
    <n v="6.96"/>
    <x v="707"/>
    <x v="11"/>
    <x v="7"/>
    <x v="2"/>
    <x v="0"/>
    <x v="1"/>
    <x v="906"/>
    <s v="Medium Box"/>
    <n v="0.5"/>
    <d v="2012-01-14T00:00:00"/>
    <n v="0"/>
    <n v="0"/>
    <n v="1"/>
    <n v="1"/>
  </r>
  <r>
    <n v="3212"/>
    <n v="23042"/>
    <x v="577"/>
    <x v="46"/>
    <s v="Medium"/>
    <n v="20"/>
    <n v="8048.45"/>
    <n v="0.04"/>
    <s v="Regular Air"/>
    <n v="1947.67"/>
    <n v="419.19"/>
    <n v="19.989999999999998"/>
    <x v="375"/>
    <x v="11"/>
    <x v="7"/>
    <x v="3"/>
    <x v="0"/>
    <x v="0"/>
    <x v="1127"/>
    <s v="Small Box"/>
    <n v="0.57999999999999996"/>
    <d v="2009-04-27T00:00:00"/>
    <n v="0"/>
    <n v="0"/>
    <n v="1"/>
    <n v="0.5"/>
  </r>
  <r>
    <n v="3226"/>
    <n v="23168"/>
    <x v="437"/>
    <x v="18"/>
    <s v="Low"/>
    <n v="46"/>
    <n v="23949.51"/>
    <n v="0"/>
    <s v="Express Air"/>
    <n v="-1312.84"/>
    <n v="499.99"/>
    <n v="24.49"/>
    <x v="263"/>
    <x v="11"/>
    <x v="7"/>
    <x v="3"/>
    <x v="1"/>
    <x v="13"/>
    <x v="110"/>
    <s v="Large Box"/>
    <n v="0.36"/>
    <d v="2010-09-22T00:00:00"/>
    <n v="0"/>
    <n v="0"/>
    <n v="1"/>
    <n v="1"/>
  </r>
  <r>
    <n v="3242"/>
    <n v="23235"/>
    <x v="1340"/>
    <x v="2"/>
    <s v="High"/>
    <n v="6"/>
    <n v="17.43"/>
    <n v="0.02"/>
    <s v="Regular Air"/>
    <n v="2.4500000000000002"/>
    <n v="2.88"/>
    <n v="0.5"/>
    <x v="263"/>
    <x v="11"/>
    <x v="7"/>
    <x v="3"/>
    <x v="2"/>
    <x v="10"/>
    <x v="861"/>
    <s v="Jumbo Box"/>
    <n v="0.71"/>
    <d v="2011-07-07T00:00:00"/>
    <n v="0"/>
    <n v="0"/>
    <n v="1"/>
    <n v="1"/>
  </r>
  <r>
    <n v="3243"/>
    <n v="23238"/>
    <x v="275"/>
    <x v="14"/>
    <s v="Not Specified"/>
    <n v="25"/>
    <n v="2976.19"/>
    <n v="0.05"/>
    <s v="Delivery Truck"/>
    <n v="-44.517900000000004"/>
    <n v="115.99"/>
    <n v="56.14"/>
    <x v="399"/>
    <x v="11"/>
    <x v="7"/>
    <x v="0"/>
    <x v="1"/>
    <x v="16"/>
    <x v="357"/>
    <s v="Jumbo Drum"/>
    <n v="0.4"/>
    <d v="2010-04-02T00:00:00"/>
    <n v="0"/>
    <n v="0"/>
    <n v="1"/>
    <n v="1"/>
  </r>
  <r>
    <n v="3251"/>
    <n v="23297"/>
    <x v="770"/>
    <x v="29"/>
    <s v="Critical"/>
    <n v="20"/>
    <n v="498.68"/>
    <n v="0.06"/>
    <s v="Regular Air"/>
    <n v="79.52"/>
    <n v="25.98"/>
    <n v="5.37"/>
    <x v="707"/>
    <x v="11"/>
    <x v="7"/>
    <x v="2"/>
    <x v="0"/>
    <x v="1"/>
    <x v="69"/>
    <s v="Medium Box"/>
    <n v="0.5"/>
    <d v="2012-07-04T00:00:00"/>
    <n v="0"/>
    <n v="0"/>
    <n v="0.5"/>
    <n v="0.5"/>
  </r>
  <r>
    <n v="3252"/>
    <n v="23297"/>
    <x v="770"/>
    <x v="29"/>
    <s v="Critical"/>
    <n v="34"/>
    <n v="5208.78"/>
    <n v="0.05"/>
    <s v="Regular Air"/>
    <n v="1547.78"/>
    <n v="155.06"/>
    <n v="7.07"/>
    <x v="707"/>
    <x v="11"/>
    <x v="7"/>
    <x v="2"/>
    <x v="0"/>
    <x v="0"/>
    <x v="376"/>
    <s v="Small Box"/>
    <n v="0.59"/>
    <d v="2012-07-04T00:00:00"/>
    <n v="0"/>
    <n v="0"/>
    <n v="0.5"/>
    <n v="0.5"/>
  </r>
  <r>
    <n v="3253"/>
    <n v="23301"/>
    <x v="1092"/>
    <x v="37"/>
    <s v="High"/>
    <n v="4"/>
    <n v="28.46"/>
    <n v="0.02"/>
    <s v="Regular Air"/>
    <n v="-27.13"/>
    <n v="5.98"/>
    <n v="3.85"/>
    <x v="707"/>
    <x v="11"/>
    <x v="7"/>
    <x v="2"/>
    <x v="1"/>
    <x v="7"/>
    <x v="1143"/>
    <s v="Small Pack"/>
    <n v="0.68"/>
    <d v="2011-04-20T00:00:00"/>
    <n v="0"/>
    <n v="0"/>
    <n v="0.5"/>
    <n v="0.5"/>
  </r>
  <r>
    <n v="3254"/>
    <n v="23301"/>
    <x v="1092"/>
    <x v="37"/>
    <s v="High"/>
    <n v="3"/>
    <n v="23.44"/>
    <n v="0.05"/>
    <s v="Regular Air"/>
    <n v="-10.58"/>
    <n v="5.98"/>
    <n v="5.2"/>
    <x v="707"/>
    <x v="11"/>
    <x v="7"/>
    <x v="2"/>
    <x v="0"/>
    <x v="5"/>
    <x v="449"/>
    <s v="Small Box"/>
    <n v="0.36"/>
    <d v="2011-04-20T00:00:00"/>
    <n v="0"/>
    <n v="0"/>
    <n v="0.5"/>
    <n v="0.5"/>
  </r>
  <r>
    <n v="3257"/>
    <n v="23329"/>
    <x v="1159"/>
    <x v="15"/>
    <s v="Low"/>
    <n v="4"/>
    <n v="31.118499999999997"/>
    <n v="0.05"/>
    <s v="Regular Air"/>
    <n v="-46.904000000000003"/>
    <n v="7.99"/>
    <n v="5.03"/>
    <x v="728"/>
    <x v="11"/>
    <x v="7"/>
    <x v="3"/>
    <x v="1"/>
    <x v="3"/>
    <x v="51"/>
    <s v="Medium Box"/>
    <n v="0.6"/>
    <d v="2011-01-19T00:00:00"/>
    <n v="0"/>
    <n v="0"/>
    <n v="0.5"/>
    <n v="0.5"/>
  </r>
  <r>
    <n v="3258"/>
    <n v="23329"/>
    <x v="1159"/>
    <x v="15"/>
    <s v="Low"/>
    <n v="47"/>
    <n v="4829.4534999999996"/>
    <n v="0.05"/>
    <s v="Regular Air"/>
    <n v="1235.1510000000001"/>
    <n v="125.99"/>
    <n v="8.99"/>
    <x v="728"/>
    <x v="11"/>
    <x v="7"/>
    <x v="3"/>
    <x v="1"/>
    <x v="3"/>
    <x v="628"/>
    <s v="Small Box"/>
    <n v="0.55000000000000004"/>
    <d v="2010-12-30T00:00:00"/>
    <n v="0"/>
    <n v="0"/>
    <n v="0.5"/>
    <n v="0.5"/>
  </r>
  <r>
    <n v="3268"/>
    <n v="23366"/>
    <x v="953"/>
    <x v="7"/>
    <s v="Not Specified"/>
    <n v="12"/>
    <n v="136.1"/>
    <n v="0.06"/>
    <s v="Regular Air"/>
    <n v="-3.78"/>
    <n v="10.52"/>
    <n v="7.94"/>
    <x v="723"/>
    <x v="11"/>
    <x v="7"/>
    <x v="2"/>
    <x v="2"/>
    <x v="4"/>
    <x v="717"/>
    <s v="Small Pack"/>
    <n v="0.52"/>
    <d v="2010-11-21T00:00:00"/>
    <n v="0"/>
    <n v="0"/>
    <n v="0.5"/>
    <n v="0.5"/>
  </r>
  <r>
    <n v="3269"/>
    <n v="23366"/>
    <x v="953"/>
    <x v="7"/>
    <s v="Not Specified"/>
    <n v="5"/>
    <n v="297.85000000000002"/>
    <n v="0.04"/>
    <s v="Regular Air"/>
    <n v="-69.89"/>
    <n v="54.1"/>
    <n v="19.989999999999998"/>
    <x v="723"/>
    <x v="11"/>
    <x v="7"/>
    <x v="2"/>
    <x v="0"/>
    <x v="0"/>
    <x v="1234"/>
    <s v="Small Box"/>
    <n v="0.59"/>
    <d v="2010-11-19T00:00:00"/>
    <n v="0"/>
    <n v="0"/>
    <n v="0.5"/>
    <n v="0.5"/>
  </r>
  <r>
    <n v="3272"/>
    <n v="23395"/>
    <x v="809"/>
    <x v="1"/>
    <s v="Medium"/>
    <n v="31"/>
    <n v="1296.46"/>
    <n v="0.01"/>
    <s v="Regular Air"/>
    <n v="376.47"/>
    <n v="39.479999999999997"/>
    <n v="1.99"/>
    <x v="309"/>
    <x v="11"/>
    <x v="7"/>
    <x v="2"/>
    <x v="1"/>
    <x v="7"/>
    <x v="64"/>
    <s v="Small Pack"/>
    <n v="0.54"/>
    <d v="2012-10-29T00:00:00"/>
    <n v="0"/>
    <n v="0"/>
    <n v="1"/>
    <n v="1"/>
  </r>
  <r>
    <n v="3283"/>
    <n v="23488"/>
    <x v="132"/>
    <x v="22"/>
    <s v="High"/>
    <n v="29"/>
    <n v="101.77"/>
    <n v="0.03"/>
    <s v="Regular Air"/>
    <n v="-73.19"/>
    <n v="3.28"/>
    <n v="3.97"/>
    <x v="413"/>
    <x v="11"/>
    <x v="7"/>
    <x v="3"/>
    <x v="0"/>
    <x v="12"/>
    <x v="429"/>
    <s v="Wrap Bag"/>
    <n v="0.56000000000000005"/>
    <d v="2009-01-08T00:00:00"/>
    <n v="0"/>
    <n v="1"/>
    <n v="0.5"/>
    <n v="1"/>
  </r>
  <r>
    <n v="3292"/>
    <n v="23555"/>
    <x v="458"/>
    <x v="45"/>
    <s v="High"/>
    <n v="29"/>
    <n v="104.7"/>
    <n v="0.09"/>
    <s v="Regular Air"/>
    <n v="42.16"/>
    <n v="3.69"/>
    <n v="0.5"/>
    <x v="707"/>
    <x v="11"/>
    <x v="7"/>
    <x v="2"/>
    <x v="0"/>
    <x v="11"/>
    <x v="20"/>
    <s v="Small Box"/>
    <n v="0.38"/>
    <d v="2012-12-12T00:00:00"/>
    <n v="0"/>
    <n v="0"/>
    <n v="0.5"/>
    <n v="0.5"/>
  </r>
  <r>
    <n v="3293"/>
    <n v="23555"/>
    <x v="458"/>
    <x v="45"/>
    <s v="High"/>
    <n v="5"/>
    <n v="284.45249999999999"/>
    <n v="0.06"/>
    <s v="Regular Air"/>
    <n v="-254.78200000000001"/>
    <n v="65.989999999999995"/>
    <n v="8.99"/>
    <x v="707"/>
    <x v="11"/>
    <x v="7"/>
    <x v="2"/>
    <x v="1"/>
    <x v="3"/>
    <x v="451"/>
    <s v="Small Box"/>
    <n v="0.57999999999999996"/>
    <d v="2012-12-12T00:00:00"/>
    <n v="0"/>
    <n v="0"/>
    <n v="0.5"/>
    <n v="0.5"/>
  </r>
  <r>
    <n v="3304"/>
    <n v="23617"/>
    <x v="1318"/>
    <x v="10"/>
    <s v="Not Specified"/>
    <n v="6"/>
    <n v="247.34"/>
    <n v="0.04"/>
    <s v="Express Air"/>
    <n v="63.605499999999999"/>
    <n v="37.700000000000003"/>
    <n v="2.99"/>
    <x v="358"/>
    <x v="11"/>
    <x v="7"/>
    <x v="1"/>
    <x v="0"/>
    <x v="2"/>
    <x v="737"/>
    <s v="Small Box"/>
    <n v="0.35"/>
    <d v="2011-05-07T00:00:00"/>
    <n v="0"/>
    <n v="0"/>
    <n v="1"/>
    <n v="1"/>
  </r>
  <r>
    <n v="3313"/>
    <n v="23652"/>
    <x v="1384"/>
    <x v="26"/>
    <s v="Not Specified"/>
    <n v="27"/>
    <n v="305.48"/>
    <n v="0.1"/>
    <s v="Regular Air"/>
    <n v="47.14"/>
    <n v="11.55"/>
    <n v="2.36"/>
    <x v="372"/>
    <x v="11"/>
    <x v="7"/>
    <x v="0"/>
    <x v="0"/>
    <x v="12"/>
    <x v="769"/>
    <s v="Wrap Bag"/>
    <n v="0.55000000000000004"/>
    <d v="2009-08-30T00:00:00"/>
    <n v="0"/>
    <n v="0"/>
    <n v="1"/>
    <n v="1"/>
  </r>
  <r>
    <n v="3314"/>
    <n v="23680"/>
    <x v="747"/>
    <x v="7"/>
    <s v="Not Specified"/>
    <n v="8"/>
    <n v="2029.4960000000001"/>
    <n v="0.1"/>
    <s v="Delivery Truck"/>
    <n v="251.64"/>
    <n v="320.64"/>
    <n v="43.57"/>
    <x v="169"/>
    <x v="11"/>
    <x v="7"/>
    <x v="1"/>
    <x v="2"/>
    <x v="10"/>
    <x v="1104"/>
    <s v="Jumbo Box"/>
    <n v="0.63"/>
    <d v="2010-11-07T00:00:00"/>
    <n v="0"/>
    <n v="0"/>
    <n v="1"/>
    <n v="1"/>
  </r>
  <r>
    <n v="3318"/>
    <n v="23719"/>
    <x v="456"/>
    <x v="42"/>
    <s v="Critical"/>
    <n v="17"/>
    <n v="122.74"/>
    <n v="0.08"/>
    <s v="Regular Air"/>
    <n v="-28.13"/>
    <n v="7.28"/>
    <n v="5.47"/>
    <x v="293"/>
    <x v="11"/>
    <x v="7"/>
    <x v="1"/>
    <x v="0"/>
    <x v="5"/>
    <x v="1215"/>
    <s v="Small Box"/>
    <n v="0.35"/>
    <d v="2010-07-27T00:00:00"/>
    <n v="0"/>
    <n v="0"/>
    <n v="1"/>
    <n v="1"/>
  </r>
  <r>
    <n v="3325"/>
    <n v="23778"/>
    <x v="232"/>
    <x v="36"/>
    <s v="Low"/>
    <n v="13"/>
    <n v="105.94"/>
    <n v="0.06"/>
    <s v="Regular Air"/>
    <n v="-566"/>
    <n v="4.4800000000000004"/>
    <n v="49"/>
    <x v="334"/>
    <x v="11"/>
    <x v="7"/>
    <x v="2"/>
    <x v="0"/>
    <x v="1"/>
    <x v="43"/>
    <s v="Large Box"/>
    <n v="0.6"/>
    <d v="2009-07-17T00:00:00"/>
    <n v="0"/>
    <n v="0"/>
    <n v="1"/>
    <n v="0.5"/>
  </r>
  <r>
    <n v="3329"/>
    <n v="23808"/>
    <x v="1265"/>
    <x v="40"/>
    <s v="Low"/>
    <n v="30"/>
    <n v="630.14"/>
    <n v="0.04"/>
    <s v="Regular Air"/>
    <n v="108"/>
    <n v="19.98"/>
    <n v="8.68"/>
    <x v="569"/>
    <x v="11"/>
    <x v="7"/>
    <x v="1"/>
    <x v="0"/>
    <x v="5"/>
    <x v="471"/>
    <s v="Small Box"/>
    <n v="0.37"/>
    <d v="2009-02-14T00:00:00"/>
    <n v="0"/>
    <n v="0"/>
    <n v="0.5"/>
    <n v="0.5"/>
  </r>
  <r>
    <n v="3330"/>
    <n v="23808"/>
    <x v="1265"/>
    <x v="40"/>
    <s v="Low"/>
    <n v="28"/>
    <n v="2813.8484999999996"/>
    <n v="0.08"/>
    <s v="Regular Air"/>
    <n v="377.154"/>
    <n v="125.99"/>
    <n v="7.69"/>
    <x v="569"/>
    <x v="11"/>
    <x v="7"/>
    <x v="1"/>
    <x v="1"/>
    <x v="3"/>
    <x v="44"/>
    <s v="Small Box"/>
    <n v="0.57999999999999996"/>
    <d v="2009-02-09T00:00:00"/>
    <n v="0"/>
    <n v="0"/>
    <n v="0.5"/>
    <n v="0.5"/>
  </r>
  <r>
    <n v="3338"/>
    <n v="23877"/>
    <x v="603"/>
    <x v="36"/>
    <s v="Not Specified"/>
    <n v="31"/>
    <n v="1624.5964999999999"/>
    <n v="7.0000000000000007E-2"/>
    <s v="Regular Air"/>
    <n v="109.83600000000001"/>
    <n v="65.989999999999995"/>
    <n v="8.8000000000000007"/>
    <x v="375"/>
    <x v="11"/>
    <x v="7"/>
    <x v="3"/>
    <x v="1"/>
    <x v="3"/>
    <x v="858"/>
    <s v="Small Box"/>
    <n v="0.57999999999999996"/>
    <d v="2009-07-12T00:00:00"/>
    <n v="0"/>
    <n v="0"/>
    <n v="0.5"/>
    <n v="0.5"/>
  </r>
  <r>
    <n v="3339"/>
    <n v="23877"/>
    <x v="603"/>
    <x v="36"/>
    <s v="Not Specified"/>
    <n v="35"/>
    <n v="381.36"/>
    <n v="0"/>
    <s v="Express Air"/>
    <n v="128.03"/>
    <n v="10.01"/>
    <n v="1.99"/>
    <x v="375"/>
    <x v="11"/>
    <x v="7"/>
    <x v="3"/>
    <x v="1"/>
    <x v="7"/>
    <x v="319"/>
    <s v="Small Pack"/>
    <n v="0.41"/>
    <d v="2009-07-14T00:00:00"/>
    <n v="0"/>
    <n v="0"/>
    <n v="0.5"/>
    <n v="0.5"/>
  </r>
  <r>
    <n v="3353"/>
    <n v="24003"/>
    <x v="1012"/>
    <x v="19"/>
    <s v="Critical"/>
    <n v="9"/>
    <n v="11.89"/>
    <n v="0.06"/>
    <s v="Regular Air"/>
    <n v="-6.12"/>
    <n v="1.26"/>
    <n v="0.7"/>
    <x v="349"/>
    <x v="11"/>
    <x v="7"/>
    <x v="2"/>
    <x v="0"/>
    <x v="6"/>
    <x v="230"/>
    <s v="Wrap Bag"/>
    <n v="0.81"/>
    <d v="2009-10-31T00:00:00"/>
    <n v="0"/>
    <n v="0"/>
    <n v="0.25"/>
    <n v="0.25"/>
  </r>
  <r>
    <n v="3440"/>
    <n v="24548"/>
    <x v="1385"/>
    <x v="5"/>
    <s v="High"/>
    <n v="32"/>
    <n v="269.3"/>
    <n v="0.04"/>
    <s v="Express Air"/>
    <n v="22.38"/>
    <n v="7.96"/>
    <n v="4.95"/>
    <x v="392"/>
    <x v="11"/>
    <x v="7"/>
    <x v="2"/>
    <x v="2"/>
    <x v="4"/>
    <x v="736"/>
    <s v="Small Box"/>
    <n v="0.41"/>
    <d v="2011-03-15T00:00:00"/>
    <n v="0"/>
    <n v="0"/>
    <n v="1"/>
    <n v="1"/>
  </r>
  <r>
    <n v="3451"/>
    <n v="24610"/>
    <x v="528"/>
    <x v="38"/>
    <s v="Not Specified"/>
    <n v="4"/>
    <n v="883.31"/>
    <n v="0.01"/>
    <s v="Delivery Truck"/>
    <n v="-79.959999999999994"/>
    <n v="200.98"/>
    <n v="23.76"/>
    <x v="715"/>
    <x v="11"/>
    <x v="7"/>
    <x v="3"/>
    <x v="2"/>
    <x v="14"/>
    <x v="316"/>
    <s v="Jumbo Drum"/>
    <n v="0.57999999999999996"/>
    <d v="2010-01-20T00:00:00"/>
    <n v="1"/>
    <n v="0"/>
    <n v="1"/>
    <n v="1"/>
  </r>
  <r>
    <n v="3467"/>
    <n v="24677"/>
    <x v="1297"/>
    <x v="33"/>
    <s v="Low"/>
    <n v="44"/>
    <n v="364.4"/>
    <n v="0.05"/>
    <s v="Regular Air"/>
    <n v="51.08"/>
    <n v="8.5"/>
    <n v="1.99"/>
    <x v="410"/>
    <x v="11"/>
    <x v="7"/>
    <x v="1"/>
    <x v="1"/>
    <x v="7"/>
    <x v="676"/>
    <s v="Small Pack"/>
    <n v="0.49"/>
    <d v="2012-03-07T00:00:00"/>
    <n v="0"/>
    <n v="0"/>
    <n v="1"/>
    <n v="0.5"/>
  </r>
  <r>
    <n v="3511"/>
    <n v="25027"/>
    <x v="291"/>
    <x v="47"/>
    <s v="Medium"/>
    <n v="25"/>
    <n v="3585.91"/>
    <n v="0.06"/>
    <s v="Delivery Truck"/>
    <n v="-178.54"/>
    <n v="146.34"/>
    <n v="43.75"/>
    <x v="729"/>
    <x v="11"/>
    <x v="7"/>
    <x v="1"/>
    <x v="2"/>
    <x v="10"/>
    <x v="99"/>
    <s v="Jumbo Box"/>
    <n v="0.65"/>
    <d v="2009-12-18T00:00:00"/>
    <n v="0"/>
    <n v="0"/>
    <n v="1"/>
    <n v="1"/>
  </r>
  <r>
    <n v="3537"/>
    <n v="25157"/>
    <x v="262"/>
    <x v="39"/>
    <s v="Not Specified"/>
    <n v="24"/>
    <n v="545.38"/>
    <n v="0.02"/>
    <s v="Regular Air"/>
    <n v="89.6"/>
    <n v="22.84"/>
    <n v="8.18"/>
    <x v="390"/>
    <x v="11"/>
    <x v="7"/>
    <x v="2"/>
    <x v="0"/>
    <x v="5"/>
    <x v="1073"/>
    <s v="Small Box"/>
    <n v="0.39"/>
    <d v="2010-05-27T00:00:00"/>
    <n v="0"/>
    <n v="0"/>
    <n v="0.5"/>
    <n v="0.5"/>
  </r>
  <r>
    <n v="3561"/>
    <n v="25378"/>
    <x v="388"/>
    <x v="25"/>
    <s v="Not Specified"/>
    <n v="48"/>
    <n v="3713.0124999999998"/>
    <n v="0.09"/>
    <s v="Regular Air"/>
    <n v="803.601"/>
    <n v="95.99"/>
    <n v="7.69"/>
    <x v="723"/>
    <x v="11"/>
    <x v="7"/>
    <x v="2"/>
    <x v="1"/>
    <x v="3"/>
    <x v="1249"/>
    <s v="Small Box"/>
    <n v="0.56999999999999995"/>
    <d v="2011-12-20T00:00:00"/>
    <n v="0"/>
    <n v="0"/>
    <n v="1"/>
    <n v="1"/>
  </r>
  <r>
    <n v="3567"/>
    <n v="25445"/>
    <x v="1061"/>
    <x v="43"/>
    <s v="Low"/>
    <n v="48"/>
    <n v="1444"/>
    <n v="0.08"/>
    <s v="Regular Air"/>
    <n v="617.0575"/>
    <n v="30.56"/>
    <n v="2.99"/>
    <x v="666"/>
    <x v="11"/>
    <x v="7"/>
    <x v="0"/>
    <x v="0"/>
    <x v="2"/>
    <x v="142"/>
    <s v="Small Box"/>
    <n v="0.35"/>
    <d v="2009-05-27T00:00:00"/>
    <n v="0"/>
    <n v="0"/>
    <n v="1"/>
    <n v="1"/>
  </r>
  <r>
    <n v="3574"/>
    <n v="25476"/>
    <x v="555"/>
    <x v="1"/>
    <s v="Not Specified"/>
    <n v="21"/>
    <n v="676.69"/>
    <n v="0.09"/>
    <s v="Regular Air"/>
    <n v="138.1"/>
    <n v="35.409999999999997"/>
    <n v="1.99"/>
    <x v="718"/>
    <x v="11"/>
    <x v="7"/>
    <x v="1"/>
    <x v="1"/>
    <x v="7"/>
    <x v="753"/>
    <s v="Small Pack"/>
    <n v="0.43"/>
    <d v="2012-10-04T00:00:00"/>
    <n v="0"/>
    <n v="0"/>
    <n v="0.5"/>
    <n v="0.5"/>
  </r>
  <r>
    <n v="3575"/>
    <n v="25476"/>
    <x v="555"/>
    <x v="1"/>
    <s v="Not Specified"/>
    <n v="4"/>
    <n v="13698.96"/>
    <n v="0.05"/>
    <s v="Regular Air"/>
    <n v="-9078.94"/>
    <n v="3499.99"/>
    <n v="24.49"/>
    <x v="718"/>
    <x v="11"/>
    <x v="7"/>
    <x v="1"/>
    <x v="1"/>
    <x v="13"/>
    <x v="480"/>
    <s v="Large Box"/>
    <n v="0.37"/>
    <d v="2012-10-03T00:00:00"/>
    <n v="0"/>
    <n v="0"/>
    <n v="0.5"/>
    <n v="0.5"/>
  </r>
  <r>
    <n v="3607"/>
    <n v="25797"/>
    <x v="214"/>
    <x v="34"/>
    <s v="Not Specified"/>
    <n v="28"/>
    <n v="925.43"/>
    <n v="0"/>
    <s v="Regular Air"/>
    <n v="368.86"/>
    <n v="31.78"/>
    <n v="1.99"/>
    <x v="708"/>
    <x v="11"/>
    <x v="7"/>
    <x v="2"/>
    <x v="1"/>
    <x v="7"/>
    <x v="47"/>
    <s v="Small Pack"/>
    <n v="0.42"/>
    <d v="2012-09-03T00:00:00"/>
    <n v="0"/>
    <n v="0"/>
    <n v="1"/>
    <n v="1"/>
  </r>
  <r>
    <n v="3625"/>
    <n v="25889"/>
    <x v="49"/>
    <x v="30"/>
    <s v="Low"/>
    <n v="23"/>
    <n v="321.63"/>
    <n v="0.04"/>
    <s v="Regular Air"/>
    <n v="73.7"/>
    <n v="14.34"/>
    <n v="5"/>
    <x v="730"/>
    <x v="11"/>
    <x v="7"/>
    <x v="1"/>
    <x v="2"/>
    <x v="4"/>
    <x v="551"/>
    <s v="Small Pack"/>
    <n v="0.49"/>
    <d v="2010-06-10T00:00:00"/>
    <n v="0"/>
    <n v="0"/>
    <n v="1"/>
    <n v="1"/>
  </r>
  <r>
    <n v="3637"/>
    <n v="25986"/>
    <x v="1238"/>
    <x v="8"/>
    <s v="Medium"/>
    <n v="48"/>
    <n v="278.07"/>
    <n v="0.08"/>
    <s v="Regular Air"/>
    <n v="-71.45"/>
    <n v="5.78"/>
    <n v="4.96"/>
    <x v="716"/>
    <x v="11"/>
    <x v="7"/>
    <x v="1"/>
    <x v="0"/>
    <x v="5"/>
    <x v="572"/>
    <s v="Small Box"/>
    <n v="0.36"/>
    <d v="2012-06-23T00:00:00"/>
    <n v="0"/>
    <n v="0"/>
    <n v="1"/>
    <n v="1"/>
  </r>
  <r>
    <n v="3640"/>
    <n v="26021"/>
    <x v="1019"/>
    <x v="34"/>
    <s v="Critical"/>
    <n v="17"/>
    <n v="328.62700000000001"/>
    <n v="0"/>
    <s v="Regular Air"/>
    <n v="-7.766"/>
    <n v="20.99"/>
    <n v="4.8099999999999996"/>
    <x v="375"/>
    <x v="11"/>
    <x v="7"/>
    <x v="1"/>
    <x v="1"/>
    <x v="3"/>
    <x v="591"/>
    <s v="Medium Box"/>
    <n v="0.57999999999999996"/>
    <d v="2012-09-16T00:00:00"/>
    <n v="0"/>
    <n v="0"/>
    <n v="1"/>
    <n v="1"/>
  </r>
  <r>
    <n v="3647"/>
    <n v="26055"/>
    <x v="1299"/>
    <x v="32"/>
    <s v="Not Specified"/>
    <n v="46"/>
    <n v="6733.52"/>
    <n v="0.04"/>
    <s v="Regular Air"/>
    <n v="246"/>
    <n v="152.47999999999999"/>
    <n v="4"/>
    <x v="413"/>
    <x v="11"/>
    <x v="7"/>
    <x v="3"/>
    <x v="1"/>
    <x v="7"/>
    <x v="659"/>
    <s v="Small Box"/>
    <n v="0.79"/>
    <d v="2012-11-26T00:00:00"/>
    <n v="0"/>
    <n v="0"/>
    <n v="1"/>
    <n v="1"/>
  </r>
  <r>
    <n v="3667"/>
    <n v="26274"/>
    <x v="43"/>
    <x v="8"/>
    <s v="Not Specified"/>
    <n v="41"/>
    <n v="377.83"/>
    <n v="0.06"/>
    <s v="Regular Air"/>
    <n v="122.06"/>
    <n v="9.11"/>
    <n v="2.15"/>
    <x v="543"/>
    <x v="11"/>
    <x v="7"/>
    <x v="2"/>
    <x v="0"/>
    <x v="5"/>
    <x v="1024"/>
    <s v="Wrap Bag"/>
    <n v="0.4"/>
    <d v="2012-06-13T00:00:00"/>
    <n v="0"/>
    <n v="0"/>
    <n v="1"/>
    <n v="1"/>
  </r>
  <r>
    <n v="3675"/>
    <n v="26306"/>
    <x v="365"/>
    <x v="1"/>
    <s v="Low"/>
    <n v="39"/>
    <n v="7725.66"/>
    <n v="0.05"/>
    <s v="Delivery Truck"/>
    <n v="-737.41"/>
    <n v="200.98"/>
    <n v="55.96"/>
    <x v="401"/>
    <x v="11"/>
    <x v="7"/>
    <x v="2"/>
    <x v="2"/>
    <x v="9"/>
    <x v="894"/>
    <s v="Jumbo Box"/>
    <n v="0.75"/>
    <d v="2012-11-03T00:00:00"/>
    <n v="0"/>
    <n v="0"/>
    <n v="0.5"/>
    <n v="0.5"/>
  </r>
  <r>
    <n v="3700"/>
    <n v="26437"/>
    <x v="1328"/>
    <x v="27"/>
    <s v="Critical"/>
    <n v="4"/>
    <n v="52.43"/>
    <n v="0.03"/>
    <s v="Express Air"/>
    <n v="-12.98"/>
    <n v="9.65"/>
    <n v="6.22"/>
    <x v="372"/>
    <x v="11"/>
    <x v="7"/>
    <x v="2"/>
    <x v="2"/>
    <x v="4"/>
    <x v="50"/>
    <s v="Small Box"/>
    <n v="0.55000000000000004"/>
    <d v="2011-11-29T00:00:00"/>
    <n v="0"/>
    <n v="0"/>
    <n v="0.5"/>
    <n v="0.5"/>
  </r>
  <r>
    <n v="3701"/>
    <n v="26437"/>
    <x v="1328"/>
    <x v="27"/>
    <s v="Critical"/>
    <n v="48"/>
    <n v="254.51"/>
    <n v="0.08"/>
    <s v="Regular Air"/>
    <n v="49.05"/>
    <n v="5.58"/>
    <n v="0.7"/>
    <x v="372"/>
    <x v="11"/>
    <x v="7"/>
    <x v="2"/>
    <x v="0"/>
    <x v="12"/>
    <x v="641"/>
    <s v="Wrap Bag"/>
    <n v="0.6"/>
    <d v="2011-11-30T00:00:00"/>
    <n v="0"/>
    <n v="0"/>
    <n v="0.5"/>
    <n v="0.5"/>
  </r>
  <r>
    <n v="3705"/>
    <n v="26464"/>
    <x v="1173"/>
    <x v="25"/>
    <s v="High"/>
    <n v="25"/>
    <n v="268.58"/>
    <n v="0.03"/>
    <s v="Regular Air"/>
    <n v="-26.33"/>
    <n v="10.89"/>
    <n v="4.5"/>
    <x v="713"/>
    <x v="11"/>
    <x v="7"/>
    <x v="2"/>
    <x v="0"/>
    <x v="1"/>
    <x v="225"/>
    <s v="Small Box"/>
    <n v="0.59"/>
    <d v="2011-12-11T00:00:00"/>
    <n v="0"/>
    <n v="0"/>
    <n v="0.5"/>
    <n v="0.5"/>
  </r>
  <r>
    <n v="3706"/>
    <n v="26464"/>
    <x v="1173"/>
    <x v="25"/>
    <s v="High"/>
    <n v="26"/>
    <n v="1280.6500000000001"/>
    <n v="0.06"/>
    <s v="Regular Air"/>
    <n v="75.36"/>
    <n v="50.98"/>
    <n v="22.24"/>
    <x v="713"/>
    <x v="11"/>
    <x v="7"/>
    <x v="2"/>
    <x v="2"/>
    <x v="4"/>
    <x v="950"/>
    <s v="Large Box"/>
    <n v="0.55000000000000004"/>
    <d v="2011-12-12T00:00:00"/>
    <n v="0"/>
    <n v="0"/>
    <n v="0.5"/>
    <n v="0.5"/>
  </r>
  <r>
    <n v="3727"/>
    <n v="26631"/>
    <x v="698"/>
    <x v="7"/>
    <s v="Critical"/>
    <n v="37"/>
    <n v="231.65"/>
    <n v="0"/>
    <s v="Regular Air"/>
    <n v="-241.28"/>
    <n v="5.98"/>
    <n v="10.39"/>
    <x v="717"/>
    <x v="11"/>
    <x v="7"/>
    <x v="2"/>
    <x v="0"/>
    <x v="5"/>
    <x v="1037"/>
    <s v="Small Box"/>
    <n v="0.4"/>
    <d v="2010-11-01T00:00:00"/>
    <n v="0"/>
    <n v="0"/>
    <n v="1"/>
    <n v="1"/>
  </r>
  <r>
    <n v="3734"/>
    <n v="26689"/>
    <x v="860"/>
    <x v="35"/>
    <s v="High"/>
    <n v="2"/>
    <n v="198.44"/>
    <n v="0.01"/>
    <s v="Regular Air"/>
    <n v="-87.46"/>
    <n v="99.23"/>
    <n v="8.99"/>
    <x v="713"/>
    <x v="11"/>
    <x v="7"/>
    <x v="2"/>
    <x v="2"/>
    <x v="4"/>
    <x v="547"/>
    <s v="Small Pack"/>
    <n v="0.35"/>
    <d v="2009-10-02T00:00:00"/>
    <n v="0"/>
    <n v="0"/>
    <n v="1"/>
    <n v="0.5"/>
  </r>
  <r>
    <n v="3751"/>
    <n v="26786"/>
    <x v="1370"/>
    <x v="24"/>
    <s v="Medium"/>
    <n v="29"/>
    <n v="296.94"/>
    <n v="0.08"/>
    <s v="Regular Air"/>
    <n v="-25.41"/>
    <n v="10.98"/>
    <n v="3.99"/>
    <x v="383"/>
    <x v="11"/>
    <x v="7"/>
    <x v="2"/>
    <x v="0"/>
    <x v="1"/>
    <x v="1161"/>
    <s v="Small Box"/>
    <n v="0.57999999999999996"/>
    <d v="2010-04-08T00:00:00"/>
    <n v="0"/>
    <n v="0"/>
    <n v="1"/>
    <n v="1"/>
  </r>
  <r>
    <n v="3778"/>
    <n v="26976"/>
    <x v="890"/>
    <x v="10"/>
    <s v="Not Specified"/>
    <n v="44"/>
    <n v="729.75"/>
    <n v="0.02"/>
    <s v="Regular Air"/>
    <n v="375.25"/>
    <n v="15.67"/>
    <n v="1.39"/>
    <x v="330"/>
    <x v="11"/>
    <x v="7"/>
    <x v="3"/>
    <x v="0"/>
    <x v="8"/>
    <x v="68"/>
    <s v="Small Box"/>
    <n v="0.38"/>
    <d v="2011-05-21T00:00:00"/>
    <n v="0"/>
    <n v="0"/>
    <n v="0.33333333333333331"/>
    <n v="0.33333333333333331"/>
  </r>
  <r>
    <n v="3779"/>
    <n v="26976"/>
    <x v="890"/>
    <x v="10"/>
    <s v="Not Specified"/>
    <n v="28"/>
    <n v="1417.21"/>
    <n v="7.0000000000000007E-2"/>
    <s v="Regular Air"/>
    <n v="63.88"/>
    <n v="51.65"/>
    <n v="18.45"/>
    <x v="330"/>
    <x v="11"/>
    <x v="7"/>
    <x v="3"/>
    <x v="2"/>
    <x v="4"/>
    <x v="452"/>
    <s v="Medium Box"/>
    <n v="0.65"/>
    <d v="2011-05-22T00:00:00"/>
    <n v="0"/>
    <n v="0"/>
    <n v="0.33333333333333331"/>
    <n v="0.33333333333333331"/>
  </r>
  <r>
    <n v="3780"/>
    <n v="26976"/>
    <x v="890"/>
    <x v="10"/>
    <s v="Not Specified"/>
    <n v="11"/>
    <n v="1154.9375"/>
    <n v="0.04"/>
    <s v="Express Air"/>
    <n v="-176.05500000000001"/>
    <n v="125.99"/>
    <n v="8.99"/>
    <x v="330"/>
    <x v="11"/>
    <x v="7"/>
    <x v="3"/>
    <x v="1"/>
    <x v="3"/>
    <x v="1232"/>
    <s v="Small Box"/>
    <n v="0.56999999999999995"/>
    <d v="2011-05-21T00:00:00"/>
    <n v="0"/>
    <n v="0"/>
    <n v="0.33333333333333331"/>
    <n v="0.33333333333333331"/>
  </r>
  <r>
    <n v="3814"/>
    <n v="27169"/>
    <x v="633"/>
    <x v="31"/>
    <s v="Not Specified"/>
    <n v="16"/>
    <n v="109.9"/>
    <n v="0.01"/>
    <s v="Regular Air"/>
    <n v="-28.945500000000003"/>
    <n v="6.54"/>
    <n v="5.27"/>
    <x v="190"/>
    <x v="11"/>
    <x v="7"/>
    <x v="2"/>
    <x v="0"/>
    <x v="2"/>
    <x v="578"/>
    <s v="Small Box"/>
    <n v="0.36"/>
    <d v="2011-09-12T00:00:00"/>
    <n v="0"/>
    <n v="0"/>
    <n v="1"/>
    <n v="1"/>
  </r>
  <r>
    <n v="3837"/>
    <n v="27363"/>
    <x v="929"/>
    <x v="17"/>
    <s v="Medium"/>
    <n v="6"/>
    <n v="646.14"/>
    <n v="7.0000000000000007E-2"/>
    <s v="Regular Air"/>
    <n v="-265.62"/>
    <n v="101.41"/>
    <n v="35"/>
    <x v="404"/>
    <x v="11"/>
    <x v="7"/>
    <x v="0"/>
    <x v="0"/>
    <x v="0"/>
    <x v="925"/>
    <s v="Large Box"/>
    <n v="0.82"/>
    <d v="2011-10-20T00:00:00"/>
    <n v="0"/>
    <n v="0"/>
    <n v="0.5"/>
    <n v="0.5"/>
  </r>
  <r>
    <n v="3858"/>
    <n v="27524"/>
    <x v="423"/>
    <x v="6"/>
    <s v="Not Specified"/>
    <n v="50"/>
    <n v="343.94"/>
    <n v="0.02"/>
    <s v="Regular Air"/>
    <n v="-157.4"/>
    <n v="6.48"/>
    <n v="7.37"/>
    <x v="348"/>
    <x v="11"/>
    <x v="7"/>
    <x v="1"/>
    <x v="0"/>
    <x v="5"/>
    <x v="673"/>
    <s v="Small Box"/>
    <n v="0.37"/>
    <d v="2010-02-03T00:00:00"/>
    <n v="0"/>
    <n v="0"/>
    <n v="1"/>
    <n v="1"/>
  </r>
  <r>
    <n v="3862"/>
    <n v="27554"/>
    <x v="396"/>
    <x v="5"/>
    <s v="Critical"/>
    <n v="45"/>
    <n v="12685.544000000002"/>
    <n v="0.02"/>
    <s v="Delivery Truck"/>
    <n v="3985.11"/>
    <n v="348.21"/>
    <n v="40.19"/>
    <x v="420"/>
    <x v="11"/>
    <x v="7"/>
    <x v="0"/>
    <x v="2"/>
    <x v="10"/>
    <x v="453"/>
    <s v="Jumbo Box"/>
    <n v="0.62"/>
    <d v="2011-03-12T00:00:00"/>
    <n v="0"/>
    <n v="0"/>
    <n v="1"/>
    <n v="1"/>
  </r>
  <r>
    <n v="3879"/>
    <n v="27712"/>
    <x v="1374"/>
    <x v="14"/>
    <s v="Low"/>
    <n v="20"/>
    <n v="246.63"/>
    <n v="0.08"/>
    <s v="Regular Air"/>
    <n v="31.54"/>
    <n v="12.28"/>
    <n v="4.8600000000000003"/>
    <x v="451"/>
    <x v="11"/>
    <x v="7"/>
    <x v="2"/>
    <x v="0"/>
    <x v="5"/>
    <x v="923"/>
    <s v="Small Box"/>
    <n v="0.38"/>
    <d v="2010-03-11T00:00:00"/>
    <n v="0"/>
    <n v="0"/>
    <n v="1"/>
    <n v="1"/>
  </r>
  <r>
    <n v="3880"/>
    <n v="27715"/>
    <x v="1135"/>
    <x v="31"/>
    <s v="High"/>
    <n v="12"/>
    <n v="94.52"/>
    <n v="0.06"/>
    <s v="Regular Air"/>
    <n v="-36.225000000000001"/>
    <n v="7.45"/>
    <n v="6.28"/>
    <x v="406"/>
    <x v="11"/>
    <x v="7"/>
    <x v="1"/>
    <x v="0"/>
    <x v="2"/>
    <x v="834"/>
    <s v="Small Box"/>
    <n v="0.4"/>
    <d v="2011-09-21T00:00:00"/>
    <n v="0"/>
    <n v="0"/>
    <n v="1"/>
    <n v="1"/>
  </r>
  <r>
    <n v="3882"/>
    <n v="27744"/>
    <x v="362"/>
    <x v="3"/>
    <s v="Critical"/>
    <n v="22"/>
    <n v="106.69"/>
    <n v="0.01"/>
    <s v="Regular Air"/>
    <n v="-76.601500000000001"/>
    <n v="4.54"/>
    <n v="5.83"/>
    <x v="731"/>
    <x v="11"/>
    <x v="7"/>
    <x v="2"/>
    <x v="0"/>
    <x v="2"/>
    <x v="971"/>
    <s v="Small Box"/>
    <n v="0.36"/>
    <d v="2010-08-04T00:00:00"/>
    <n v="0"/>
    <n v="0"/>
    <n v="1"/>
    <n v="1"/>
  </r>
  <r>
    <n v="3883"/>
    <n v="27745"/>
    <x v="583"/>
    <x v="18"/>
    <s v="Low"/>
    <n v="41"/>
    <n v="6126.93"/>
    <n v="0.01"/>
    <s v="Delivery Truck"/>
    <n v="-1704.89"/>
    <n v="146.05000000000001"/>
    <n v="80.2"/>
    <x v="361"/>
    <x v="11"/>
    <x v="7"/>
    <x v="3"/>
    <x v="2"/>
    <x v="10"/>
    <x v="838"/>
    <s v="Jumbo Box"/>
    <n v="0.71"/>
    <d v="2010-09-24T00:00:00"/>
    <n v="0"/>
    <n v="0"/>
    <n v="1"/>
    <n v="1"/>
  </r>
  <r>
    <n v="3917"/>
    <n v="27936"/>
    <x v="1223"/>
    <x v="2"/>
    <s v="High"/>
    <n v="3"/>
    <n v="9172.32"/>
    <n v="0.06"/>
    <s v="Delivery Truck"/>
    <n v="-8570.4483"/>
    <n v="3502.14"/>
    <n v="8.73"/>
    <x v="584"/>
    <x v="11"/>
    <x v="7"/>
    <x v="1"/>
    <x v="1"/>
    <x v="16"/>
    <x v="1248"/>
    <s v="Jumbo Box"/>
    <n v="0.56999999999999995"/>
    <d v="2011-07-09T00:00:00"/>
    <n v="0"/>
    <n v="0"/>
    <n v="0.5"/>
    <n v="0.5"/>
  </r>
  <r>
    <n v="3930"/>
    <n v="28007"/>
    <x v="1310"/>
    <x v="24"/>
    <s v="Not Specified"/>
    <n v="23"/>
    <n v="128.97"/>
    <n v="0.03"/>
    <s v="Regular Air"/>
    <n v="-1045.25"/>
    <n v="3.48"/>
    <n v="49"/>
    <x v="404"/>
    <x v="11"/>
    <x v="7"/>
    <x v="0"/>
    <x v="0"/>
    <x v="1"/>
    <x v="499"/>
    <s v="Large Box"/>
    <n v="0.59"/>
    <d v="2010-04-09T00:00:00"/>
    <n v="0"/>
    <n v="0"/>
    <n v="0.33333333333333331"/>
    <n v="0.33333333333333331"/>
  </r>
  <r>
    <n v="3931"/>
    <n v="28007"/>
    <x v="1310"/>
    <x v="24"/>
    <s v="Not Specified"/>
    <n v="20"/>
    <n v="238.77"/>
    <n v="0.02"/>
    <s v="Regular Air"/>
    <n v="-78.81"/>
    <n v="11.66"/>
    <n v="7.95"/>
    <x v="404"/>
    <x v="11"/>
    <x v="7"/>
    <x v="0"/>
    <x v="0"/>
    <x v="12"/>
    <x v="417"/>
    <s v="Small Pack"/>
    <n v="0.57999999999999996"/>
    <d v="2010-04-09T00:00:00"/>
    <n v="0"/>
    <n v="0"/>
    <n v="0.33333333333333331"/>
    <n v="0.33333333333333331"/>
  </r>
  <r>
    <n v="3932"/>
    <n v="28007"/>
    <x v="1310"/>
    <x v="24"/>
    <s v="Not Specified"/>
    <n v="20"/>
    <n v="257.33999999999997"/>
    <n v="0.04"/>
    <s v="Regular Air"/>
    <n v="12.82"/>
    <n v="12.98"/>
    <n v="3.14"/>
    <x v="404"/>
    <x v="11"/>
    <x v="7"/>
    <x v="0"/>
    <x v="0"/>
    <x v="15"/>
    <x v="234"/>
    <s v="Small Pack"/>
    <n v="0.6"/>
    <d v="2010-04-09T00:00:00"/>
    <n v="0"/>
    <n v="0"/>
    <n v="0.33333333333333331"/>
    <n v="0.33333333333333331"/>
  </r>
  <r>
    <n v="3944"/>
    <n v="28129"/>
    <x v="960"/>
    <x v="23"/>
    <s v="Medium"/>
    <n v="5"/>
    <n v="107.41"/>
    <n v="0.05"/>
    <s v="Regular Air"/>
    <n v="0.18999999999999773"/>
    <n v="19.98"/>
    <n v="5.86"/>
    <x v="346"/>
    <x v="11"/>
    <x v="7"/>
    <x v="0"/>
    <x v="0"/>
    <x v="5"/>
    <x v="985"/>
    <s v="Small Box"/>
    <n v="0.38"/>
    <d v="2012-01-27T00:00:00"/>
    <n v="0"/>
    <n v="0"/>
    <n v="1"/>
    <n v="1"/>
  </r>
  <r>
    <n v="3954"/>
    <n v="28224"/>
    <x v="913"/>
    <x v="45"/>
    <s v="Critical"/>
    <n v="25"/>
    <n v="163.41"/>
    <n v="7.0000000000000007E-2"/>
    <s v="Regular Air"/>
    <n v="-91.275500000000008"/>
    <n v="6.23"/>
    <n v="6.97"/>
    <x v="545"/>
    <x v="11"/>
    <x v="7"/>
    <x v="2"/>
    <x v="0"/>
    <x v="2"/>
    <x v="764"/>
    <s v="Small Box"/>
    <n v="0.36"/>
    <d v="2012-12-20T00:00:00"/>
    <n v="0"/>
    <n v="0"/>
    <n v="1"/>
    <n v="1"/>
  </r>
  <r>
    <n v="3970"/>
    <n v="28354"/>
    <x v="369"/>
    <x v="28"/>
    <s v="Low"/>
    <n v="34"/>
    <n v="507.66"/>
    <n v="0.1"/>
    <s v="Regular Air"/>
    <n v="106.71"/>
    <n v="15.98"/>
    <n v="4"/>
    <x v="720"/>
    <x v="11"/>
    <x v="7"/>
    <x v="2"/>
    <x v="1"/>
    <x v="7"/>
    <x v="404"/>
    <s v="Small Box"/>
    <n v="0.37"/>
    <d v="2009-04-01T00:00:00"/>
    <n v="0"/>
    <n v="0"/>
    <n v="1"/>
    <n v="1"/>
  </r>
  <r>
    <n v="3973"/>
    <n v="28387"/>
    <x v="151"/>
    <x v="8"/>
    <s v="Not Specified"/>
    <n v="37"/>
    <n v="3212.97"/>
    <n v="0.03"/>
    <s v="Regular Air"/>
    <n v="1125.42"/>
    <n v="83.93"/>
    <n v="19.989999999999998"/>
    <x v="368"/>
    <x v="11"/>
    <x v="7"/>
    <x v="1"/>
    <x v="0"/>
    <x v="8"/>
    <x v="639"/>
    <s v="Small Box"/>
    <n v="0.38"/>
    <d v="2012-06-30T00:00:00"/>
    <n v="0"/>
    <n v="0"/>
    <n v="0.5"/>
    <n v="0.2"/>
  </r>
  <r>
    <n v="3974"/>
    <n v="28387"/>
    <x v="151"/>
    <x v="8"/>
    <s v="Not Specified"/>
    <n v="13"/>
    <n v="292.95"/>
    <n v="0.06"/>
    <s v="Regular Air"/>
    <n v="60.36"/>
    <n v="22.84"/>
    <n v="5.47"/>
    <x v="368"/>
    <x v="11"/>
    <x v="7"/>
    <x v="1"/>
    <x v="0"/>
    <x v="5"/>
    <x v="208"/>
    <s v="Small Box"/>
    <n v="0.39"/>
    <d v="2012-06-30T00:00:00"/>
    <n v="0"/>
    <n v="0"/>
    <n v="0.5"/>
    <n v="0.2"/>
  </r>
  <r>
    <n v="3991"/>
    <n v="28485"/>
    <x v="899"/>
    <x v="23"/>
    <s v="High"/>
    <n v="12"/>
    <n v="49.18"/>
    <n v="7.0000000000000007E-2"/>
    <s v="Regular Air"/>
    <n v="0.57999999999999996"/>
    <n v="4.28"/>
    <n v="0.94"/>
    <x v="353"/>
    <x v="11"/>
    <x v="7"/>
    <x v="1"/>
    <x v="0"/>
    <x v="12"/>
    <x v="406"/>
    <s v="Wrap Bag"/>
    <n v="0.56000000000000005"/>
    <d v="2012-01-12T00:00:00"/>
    <n v="0"/>
    <n v="0"/>
    <n v="1"/>
    <n v="1"/>
  </r>
  <r>
    <n v="4014"/>
    <n v="28643"/>
    <x v="1342"/>
    <x v="24"/>
    <s v="Not Specified"/>
    <n v="16"/>
    <n v="659.5"/>
    <n v="0.09"/>
    <s v="Regular Air"/>
    <n v="248.98200000000003"/>
    <n v="41.94"/>
    <n v="2.99"/>
    <x v="712"/>
    <x v="11"/>
    <x v="7"/>
    <x v="1"/>
    <x v="0"/>
    <x v="2"/>
    <x v="246"/>
    <s v="Small Box"/>
    <n v="0.35"/>
    <d v="2010-04-28T00:00:00"/>
    <n v="0"/>
    <n v="0"/>
    <n v="1"/>
    <n v="1"/>
  </r>
  <r>
    <n v="4019"/>
    <n v="28737"/>
    <x v="269"/>
    <x v="17"/>
    <s v="Critical"/>
    <n v="50"/>
    <n v="413.37"/>
    <n v="0.04"/>
    <s v="Regular Air"/>
    <n v="-224.41"/>
    <n v="8.4499999999999993"/>
    <n v="7.77"/>
    <x v="361"/>
    <x v="11"/>
    <x v="7"/>
    <x v="3"/>
    <x v="0"/>
    <x v="15"/>
    <x v="341"/>
    <s v="Small Pack"/>
    <n v="0.55000000000000004"/>
    <d v="2011-10-05T00:00:00"/>
    <n v="0"/>
    <n v="0"/>
    <n v="0.5"/>
    <n v="0.5"/>
  </r>
  <r>
    <n v="4020"/>
    <n v="28737"/>
    <x v="269"/>
    <x v="17"/>
    <s v="Critical"/>
    <n v="17"/>
    <n v="1721.6410000000001"/>
    <n v="0.04"/>
    <s v="Regular Air"/>
    <n v="242.44200000000001"/>
    <n v="115.99"/>
    <n v="4.2300000000000004"/>
    <x v="361"/>
    <x v="11"/>
    <x v="7"/>
    <x v="3"/>
    <x v="1"/>
    <x v="3"/>
    <x v="1082"/>
    <s v="Small Box"/>
    <n v="0.56000000000000005"/>
    <d v="2011-10-05T00:00:00"/>
    <n v="0"/>
    <n v="0"/>
    <n v="0.5"/>
    <n v="0.5"/>
  </r>
  <r>
    <n v="4038"/>
    <n v="28807"/>
    <x v="1212"/>
    <x v="5"/>
    <s v="High"/>
    <n v="9"/>
    <n v="59.35"/>
    <n v="0.02"/>
    <s v="Express Air"/>
    <n v="-42.61"/>
    <n v="4.9800000000000004"/>
    <n v="8.33"/>
    <x v="270"/>
    <x v="11"/>
    <x v="7"/>
    <x v="1"/>
    <x v="0"/>
    <x v="5"/>
    <x v="9"/>
    <s v="Small Box"/>
    <n v="0.38"/>
    <d v="2011-04-01T00:00:00"/>
    <n v="0"/>
    <n v="0"/>
    <n v="1"/>
    <n v="1"/>
  </r>
  <r>
    <n v="4039"/>
    <n v="28832"/>
    <x v="287"/>
    <x v="18"/>
    <s v="Medium"/>
    <n v="46"/>
    <n v="1500.84"/>
    <n v="0.1"/>
    <s v="Express Air"/>
    <n v="91.56"/>
    <n v="35.89"/>
    <n v="14.72"/>
    <x v="720"/>
    <x v="11"/>
    <x v="7"/>
    <x v="2"/>
    <x v="0"/>
    <x v="8"/>
    <x v="635"/>
    <s v="Small Box"/>
    <n v="0.4"/>
    <d v="2010-09-25T00:00:00"/>
    <n v="0"/>
    <n v="0"/>
    <n v="0.5"/>
    <n v="0.5"/>
  </r>
  <r>
    <n v="4040"/>
    <n v="28832"/>
    <x v="287"/>
    <x v="18"/>
    <s v="Medium"/>
    <n v="45"/>
    <n v="98.64"/>
    <n v="0.03"/>
    <s v="Regular Air"/>
    <n v="-9.3610000000000007"/>
    <n v="2.08"/>
    <n v="1.49"/>
    <x v="720"/>
    <x v="11"/>
    <x v="7"/>
    <x v="2"/>
    <x v="0"/>
    <x v="2"/>
    <x v="610"/>
    <s v="Small Box"/>
    <n v="0.38"/>
    <d v="2010-09-26T00:00:00"/>
    <n v="0"/>
    <n v="0"/>
    <n v="0.5"/>
    <n v="0.5"/>
  </r>
  <r>
    <n v="4064"/>
    <n v="28933"/>
    <x v="1254"/>
    <x v="36"/>
    <s v="Critical"/>
    <n v="1"/>
    <n v="11.16"/>
    <n v="0.01"/>
    <s v="Regular Air"/>
    <n v="-7.25"/>
    <n v="5.58"/>
    <n v="5.3"/>
    <x v="386"/>
    <x v="11"/>
    <x v="7"/>
    <x v="2"/>
    <x v="0"/>
    <x v="8"/>
    <x v="686"/>
    <s v="Small Box"/>
    <n v="0.35"/>
    <d v="2009-07-10T00:00:00"/>
    <n v="0"/>
    <n v="0"/>
    <n v="0.5"/>
    <n v="0.5"/>
  </r>
  <r>
    <n v="4065"/>
    <n v="28933"/>
    <x v="1254"/>
    <x v="36"/>
    <s v="Critical"/>
    <n v="38"/>
    <n v="156.19999999999999"/>
    <n v="0.03"/>
    <s v="Regular Air"/>
    <n v="43"/>
    <n v="3.98"/>
    <n v="0.7"/>
    <x v="386"/>
    <x v="11"/>
    <x v="7"/>
    <x v="2"/>
    <x v="0"/>
    <x v="12"/>
    <x v="1081"/>
    <s v="Wrap Bag"/>
    <n v="0.52"/>
    <d v="2009-07-10T00:00:00"/>
    <n v="0"/>
    <n v="0"/>
    <n v="0.5"/>
    <n v="0.5"/>
  </r>
  <r>
    <n v="4080"/>
    <n v="29090"/>
    <x v="553"/>
    <x v="23"/>
    <s v="Medium"/>
    <n v="24"/>
    <n v="99.1"/>
    <n v="0.02"/>
    <s v="Regular Air"/>
    <n v="28.42"/>
    <n v="4.13"/>
    <n v="0.99"/>
    <x v="342"/>
    <x v="11"/>
    <x v="7"/>
    <x v="1"/>
    <x v="0"/>
    <x v="11"/>
    <x v="367"/>
    <s v="Small Box"/>
    <n v="0.39"/>
    <d v="2012-01-17T00:00:00"/>
    <n v="0"/>
    <n v="0"/>
    <n v="0.5"/>
    <n v="0.5"/>
  </r>
  <r>
    <n v="4081"/>
    <n v="29090"/>
    <x v="553"/>
    <x v="23"/>
    <s v="Medium"/>
    <n v="36"/>
    <n v="380.34"/>
    <n v="0.02"/>
    <s v="Regular Air"/>
    <n v="-108.2"/>
    <n v="10.48"/>
    <n v="6.91"/>
    <x v="342"/>
    <x v="11"/>
    <x v="7"/>
    <x v="1"/>
    <x v="0"/>
    <x v="0"/>
    <x v="1242"/>
    <s v="Small Box"/>
    <n v="0.57999999999999996"/>
    <d v="2012-01-16T00:00:00"/>
    <n v="0"/>
    <n v="0"/>
    <n v="0.5"/>
    <n v="0.5"/>
  </r>
  <r>
    <n v="4107"/>
    <n v="29221"/>
    <x v="601"/>
    <x v="20"/>
    <s v="High"/>
    <n v="41"/>
    <n v="325.33"/>
    <n v="0"/>
    <s v="Regular Air"/>
    <n v="-41.75"/>
    <n v="7.64"/>
    <n v="5.83"/>
    <x v="348"/>
    <x v="11"/>
    <x v="7"/>
    <x v="1"/>
    <x v="0"/>
    <x v="5"/>
    <x v="248"/>
    <s v="Wrap Bag"/>
    <n v="0.36"/>
    <d v="2012-06-01T00:00:00"/>
    <n v="0"/>
    <n v="0"/>
    <n v="1"/>
    <n v="1"/>
  </r>
  <r>
    <n v="4116"/>
    <n v="29284"/>
    <x v="591"/>
    <x v="46"/>
    <s v="Medium"/>
    <n v="20"/>
    <n v="6449.0560000000005"/>
    <n v="0.01"/>
    <s v="Delivery Truck"/>
    <n v="1116.02"/>
    <n v="400.98"/>
    <n v="42.52"/>
    <x v="424"/>
    <x v="11"/>
    <x v="7"/>
    <x v="3"/>
    <x v="2"/>
    <x v="10"/>
    <x v="861"/>
    <s v="Jumbo Box"/>
    <n v="0.71"/>
    <d v="2009-04-12T00:00:00"/>
    <n v="0"/>
    <n v="0"/>
    <n v="1"/>
    <n v="1"/>
  </r>
  <r>
    <n v="4159"/>
    <n v="29505"/>
    <x v="687"/>
    <x v="45"/>
    <s v="Medium"/>
    <n v="22"/>
    <n v="45.21"/>
    <n v="0.02"/>
    <s v="Express Air"/>
    <n v="4.6100000000000003"/>
    <n v="1.76"/>
    <n v="0.7"/>
    <x v="361"/>
    <x v="11"/>
    <x v="7"/>
    <x v="3"/>
    <x v="0"/>
    <x v="12"/>
    <x v="91"/>
    <s v="Wrap Bag"/>
    <n v="0.56000000000000005"/>
    <d v="2012-12-28T00:00:00"/>
    <n v="0"/>
    <n v="0"/>
    <n v="1"/>
    <n v="1"/>
  </r>
  <r>
    <n v="4198"/>
    <n v="29831"/>
    <x v="923"/>
    <x v="33"/>
    <s v="Critical"/>
    <n v="29"/>
    <n v="2175.2199999999998"/>
    <n v="0"/>
    <s v="Delivery Truck"/>
    <n v="-520.54999999999995"/>
    <n v="68.81"/>
    <n v="60"/>
    <x v="372"/>
    <x v="11"/>
    <x v="7"/>
    <x v="0"/>
    <x v="0"/>
    <x v="1"/>
    <x v="459"/>
    <s v="Jumbo Drum"/>
    <n v="0.41"/>
    <d v="2012-03-30T00:00:00"/>
    <n v="0"/>
    <n v="0"/>
    <n v="1"/>
    <n v="1"/>
  </r>
  <r>
    <n v="4309"/>
    <n v="30720"/>
    <x v="1068"/>
    <x v="34"/>
    <s v="Low"/>
    <n v="5"/>
    <n v="32.770000000000003"/>
    <n v="7.0000000000000007E-2"/>
    <s v="Regular Air"/>
    <n v="-17.192499999999999"/>
    <n v="5.74"/>
    <n v="5.01"/>
    <x v="421"/>
    <x v="11"/>
    <x v="7"/>
    <x v="0"/>
    <x v="0"/>
    <x v="2"/>
    <x v="240"/>
    <s v="Small Box"/>
    <n v="0.39"/>
    <d v="2012-10-04T00:00:00"/>
    <n v="0"/>
    <n v="0"/>
    <n v="0.33333333333333331"/>
    <n v="0.33333333333333331"/>
  </r>
  <r>
    <n v="4310"/>
    <n v="30720"/>
    <x v="1068"/>
    <x v="34"/>
    <s v="Low"/>
    <n v="37"/>
    <n v="1701.53"/>
    <n v="0.01"/>
    <s v="Express Air"/>
    <n v="735.99"/>
    <n v="43.98"/>
    <n v="1.99"/>
    <x v="421"/>
    <x v="11"/>
    <x v="7"/>
    <x v="0"/>
    <x v="1"/>
    <x v="7"/>
    <x v="138"/>
    <s v="Small Pack"/>
    <n v="0.44"/>
    <d v="2012-10-04T00:00:00"/>
    <n v="0"/>
    <n v="0"/>
    <n v="0.33333333333333331"/>
    <n v="0.33333333333333331"/>
  </r>
  <r>
    <n v="4318"/>
    <n v="30759"/>
    <x v="731"/>
    <x v="43"/>
    <s v="Not Specified"/>
    <n v="2"/>
    <n v="64.790000000000006"/>
    <n v="0.03"/>
    <s v="Regular Air"/>
    <n v="-41.32"/>
    <n v="29.34"/>
    <n v="7.87"/>
    <x v="361"/>
    <x v="11"/>
    <x v="7"/>
    <x v="2"/>
    <x v="2"/>
    <x v="4"/>
    <x v="982"/>
    <s v="Small Box"/>
    <n v="0.54"/>
    <d v="2009-05-10T00:00:00"/>
    <n v="0"/>
    <n v="0"/>
    <n v="1"/>
    <n v="0.25"/>
  </r>
  <r>
    <n v="4327"/>
    <n v="30848"/>
    <x v="732"/>
    <x v="10"/>
    <s v="Medium"/>
    <n v="13"/>
    <n v="4324.29"/>
    <n v="0.09"/>
    <s v="Delivery Truck"/>
    <n v="298.83"/>
    <n v="348.21"/>
    <n v="40.19"/>
    <x v="451"/>
    <x v="11"/>
    <x v="7"/>
    <x v="2"/>
    <x v="2"/>
    <x v="10"/>
    <x v="453"/>
    <s v="Jumbo Box"/>
    <n v="0.62"/>
    <d v="2011-05-03T00:00:00"/>
    <n v="0"/>
    <n v="0"/>
    <n v="1"/>
    <n v="1"/>
  </r>
  <r>
    <n v="4334"/>
    <n v="30885"/>
    <x v="1074"/>
    <x v="30"/>
    <s v="High"/>
    <n v="24"/>
    <n v="234.24"/>
    <n v="0.09"/>
    <s v="Regular Air"/>
    <n v="-151.80000000000001"/>
    <n v="9.7100000000000009"/>
    <n v="9.4499999999999993"/>
    <x v="719"/>
    <x v="11"/>
    <x v="7"/>
    <x v="2"/>
    <x v="0"/>
    <x v="0"/>
    <x v="716"/>
    <s v="Small Box"/>
    <n v="0.6"/>
    <d v="2010-06-22T00:00:00"/>
    <n v="0"/>
    <n v="0"/>
    <n v="1"/>
    <n v="1"/>
  </r>
  <r>
    <n v="4336"/>
    <n v="30887"/>
    <x v="538"/>
    <x v="42"/>
    <s v="Critical"/>
    <n v="44"/>
    <n v="4357.1170000000002"/>
    <n v="7.0000000000000007E-2"/>
    <s v="Regular Air"/>
    <n v="1192.9769999999999"/>
    <n v="115.99"/>
    <n v="5.92"/>
    <x v="361"/>
    <x v="11"/>
    <x v="7"/>
    <x v="3"/>
    <x v="1"/>
    <x v="3"/>
    <x v="757"/>
    <s v="Small Box"/>
    <n v="0.57999999999999996"/>
    <d v="2010-07-07T00:00:00"/>
    <n v="0"/>
    <n v="0"/>
    <n v="1"/>
    <n v="0.5"/>
  </r>
  <r>
    <n v="4382"/>
    <n v="31233"/>
    <x v="448"/>
    <x v="31"/>
    <s v="Low"/>
    <n v="41"/>
    <n v="1298.29"/>
    <n v="0.06"/>
    <s v="Regular Air"/>
    <n v="542.33000000000004"/>
    <n v="31.78"/>
    <n v="1.99"/>
    <x v="361"/>
    <x v="11"/>
    <x v="7"/>
    <x v="3"/>
    <x v="1"/>
    <x v="7"/>
    <x v="47"/>
    <s v="Small Pack"/>
    <n v="0.42"/>
    <d v="2011-09-28T00:00:00"/>
    <n v="0"/>
    <n v="0"/>
    <n v="0.25"/>
    <n v="0.25"/>
  </r>
  <r>
    <n v="4383"/>
    <n v="31233"/>
    <x v="448"/>
    <x v="31"/>
    <s v="Low"/>
    <n v="3"/>
    <n v="19.34"/>
    <n v="0.06"/>
    <s v="Regular Air"/>
    <n v="-11.36"/>
    <n v="4.9800000000000004"/>
    <n v="5.0199999999999996"/>
    <x v="361"/>
    <x v="11"/>
    <x v="7"/>
    <x v="3"/>
    <x v="0"/>
    <x v="5"/>
    <x v="549"/>
    <s v="Small Box"/>
    <n v="0.38"/>
    <d v="2011-09-26T00:00:00"/>
    <n v="0"/>
    <n v="0"/>
    <n v="0.25"/>
    <n v="0.25"/>
  </r>
  <r>
    <n v="4384"/>
    <n v="31233"/>
    <x v="448"/>
    <x v="31"/>
    <s v="Low"/>
    <n v="35"/>
    <n v="590.32000000000005"/>
    <n v="0.06"/>
    <s v="Regular Air"/>
    <n v="-91.31"/>
    <n v="16.989999999999998"/>
    <n v="8.99"/>
    <x v="361"/>
    <x v="11"/>
    <x v="7"/>
    <x v="3"/>
    <x v="0"/>
    <x v="12"/>
    <x v="644"/>
    <s v="Small Pack"/>
    <n v="0.56000000000000005"/>
    <d v="2011-09-28T00:00:00"/>
    <n v="0"/>
    <n v="0"/>
    <n v="0.25"/>
    <n v="0.25"/>
  </r>
  <r>
    <n v="4385"/>
    <n v="31233"/>
    <x v="448"/>
    <x v="31"/>
    <s v="Low"/>
    <n v="19"/>
    <n v="4245.93"/>
    <n v="0"/>
    <s v="Regular Air"/>
    <n v="-626.45000000000005"/>
    <n v="209.37"/>
    <n v="69"/>
    <x v="361"/>
    <x v="11"/>
    <x v="7"/>
    <x v="3"/>
    <x v="2"/>
    <x v="10"/>
    <x v="724"/>
    <s v="Large Box"/>
    <n v="0.79"/>
    <d v="2011-10-03T00:00:00"/>
    <n v="0"/>
    <n v="0"/>
    <n v="0.25"/>
    <n v="0.25"/>
  </r>
  <r>
    <n v="4410"/>
    <n v="31461"/>
    <x v="1335"/>
    <x v="4"/>
    <s v="Medium"/>
    <n v="26"/>
    <n v="1463.42"/>
    <n v="0.08"/>
    <s v="Regular Air"/>
    <n v="350.82"/>
    <n v="59.98"/>
    <n v="3.99"/>
    <x v="707"/>
    <x v="11"/>
    <x v="7"/>
    <x v="2"/>
    <x v="0"/>
    <x v="1"/>
    <x v="323"/>
    <s v="Small Box"/>
    <n v="0.56999999999999995"/>
    <d v="2011-06-29T00:00:00"/>
    <n v="0"/>
    <n v="0"/>
    <n v="1"/>
    <n v="1"/>
  </r>
  <r>
    <n v="4422"/>
    <n v="31524"/>
    <x v="1338"/>
    <x v="4"/>
    <s v="Low"/>
    <n v="10"/>
    <n v="1025.8800000000001"/>
    <n v="0.08"/>
    <s v="Delivery Truck"/>
    <n v="-211.33"/>
    <n v="100.89"/>
    <n v="42"/>
    <x v="332"/>
    <x v="11"/>
    <x v="7"/>
    <x v="0"/>
    <x v="2"/>
    <x v="14"/>
    <x v="541"/>
    <s v="Jumbo Drum"/>
    <n v="0.61"/>
    <d v="2011-06-28T00:00:00"/>
    <n v="0"/>
    <n v="0"/>
    <n v="1"/>
    <n v="1"/>
  </r>
  <r>
    <n v="4433"/>
    <n v="31590"/>
    <x v="281"/>
    <x v="30"/>
    <s v="Critical"/>
    <n v="5"/>
    <n v="43.49"/>
    <n v="0.06"/>
    <s v="Regular Air"/>
    <n v="-21.44"/>
    <n v="8.33"/>
    <n v="1.99"/>
    <x v="426"/>
    <x v="11"/>
    <x v="7"/>
    <x v="2"/>
    <x v="1"/>
    <x v="7"/>
    <x v="206"/>
    <s v="Small Pack"/>
    <n v="0.52"/>
    <d v="2010-06-06T00:00:00"/>
    <n v="0"/>
    <n v="0"/>
    <n v="0.5"/>
    <n v="0.5"/>
  </r>
  <r>
    <n v="4434"/>
    <n v="31590"/>
    <x v="281"/>
    <x v="30"/>
    <s v="Critical"/>
    <n v="27"/>
    <n v="2854.76"/>
    <n v="0.06"/>
    <s v="Regular Air"/>
    <n v="61.13"/>
    <n v="111.03"/>
    <n v="8.64"/>
    <x v="426"/>
    <x v="11"/>
    <x v="7"/>
    <x v="2"/>
    <x v="0"/>
    <x v="0"/>
    <x v="95"/>
    <s v="Small Box"/>
    <n v="0.78"/>
    <d v="2010-06-07T00:00:00"/>
    <n v="0"/>
    <n v="0"/>
    <n v="0.5"/>
    <n v="0.5"/>
  </r>
  <r>
    <n v="4438"/>
    <n v="31619"/>
    <x v="627"/>
    <x v="35"/>
    <s v="Low"/>
    <n v="11"/>
    <n v="114.87"/>
    <n v="0.1"/>
    <s v="Regular Air"/>
    <n v="-21.03"/>
    <n v="10.98"/>
    <n v="3.99"/>
    <x v="731"/>
    <x v="11"/>
    <x v="7"/>
    <x v="2"/>
    <x v="0"/>
    <x v="1"/>
    <x v="1161"/>
    <s v="Small Box"/>
    <n v="0.57999999999999996"/>
    <d v="2009-09-24T00:00:00"/>
    <n v="0"/>
    <n v="0"/>
    <n v="0.5"/>
    <n v="0.5"/>
  </r>
  <r>
    <n v="4439"/>
    <n v="31619"/>
    <x v="627"/>
    <x v="35"/>
    <s v="Low"/>
    <n v="9"/>
    <n v="383.23"/>
    <n v="0.01"/>
    <s v="Regular Air"/>
    <n v="146.51"/>
    <n v="39.979999999999997"/>
    <n v="9.1999999999999993"/>
    <x v="731"/>
    <x v="4"/>
    <x v="4"/>
    <x v="2"/>
    <x v="2"/>
    <x v="4"/>
    <x v="131"/>
    <s v="Wrap Bag"/>
    <n v="0.65"/>
    <d v="2009-09-19T00:00:00"/>
    <n v="0"/>
    <n v="0"/>
    <n v="0.5"/>
    <n v="0.5"/>
  </r>
  <r>
    <n v="4450"/>
    <n v="31715"/>
    <x v="820"/>
    <x v="22"/>
    <s v="Not Specified"/>
    <n v="11"/>
    <n v="68.5"/>
    <n v="0.01"/>
    <s v="Regular Air"/>
    <n v="-53.854500000000002"/>
    <n v="5.38"/>
    <n v="7.57"/>
    <x v="400"/>
    <x v="4"/>
    <x v="4"/>
    <x v="0"/>
    <x v="0"/>
    <x v="2"/>
    <x v="1111"/>
    <s v="Small Box"/>
    <n v="0.36"/>
    <d v="2009-01-10T00:00:00"/>
    <n v="0"/>
    <n v="1"/>
    <n v="0.33333333333333331"/>
    <n v="0.33333333333333331"/>
  </r>
  <r>
    <n v="4451"/>
    <n v="31715"/>
    <x v="820"/>
    <x v="22"/>
    <s v="Not Specified"/>
    <n v="44"/>
    <n v="145.19"/>
    <n v="0.05"/>
    <s v="Regular Air"/>
    <n v="-116.87"/>
    <n v="3.28"/>
    <n v="3.97"/>
    <x v="400"/>
    <x v="4"/>
    <x v="4"/>
    <x v="0"/>
    <x v="0"/>
    <x v="12"/>
    <x v="431"/>
    <s v="Wrap Bag"/>
    <n v="0.56000000000000005"/>
    <d v="2009-01-09T00:00:00"/>
    <n v="0"/>
    <n v="1"/>
    <n v="0.33333333333333331"/>
    <n v="0.33333333333333331"/>
  </r>
  <r>
    <n v="4509"/>
    <n v="32099"/>
    <x v="364"/>
    <x v="39"/>
    <s v="Not Specified"/>
    <n v="41"/>
    <n v="506.73"/>
    <n v="0.08"/>
    <s v="Regular Air"/>
    <n v="25.58"/>
    <n v="12.28"/>
    <n v="6.47"/>
    <x v="402"/>
    <x v="4"/>
    <x v="4"/>
    <x v="3"/>
    <x v="0"/>
    <x v="5"/>
    <x v="46"/>
    <s v="Small Box"/>
    <n v="0.38"/>
    <d v="2010-05-05T00:00:00"/>
    <n v="0"/>
    <n v="0"/>
    <n v="1"/>
    <n v="1"/>
  </r>
  <r>
    <n v="4513"/>
    <n v="32129"/>
    <x v="1301"/>
    <x v="2"/>
    <s v="Critical"/>
    <n v="20"/>
    <n v="129.27000000000001"/>
    <n v="7.0000000000000007E-2"/>
    <s v="Regular Air"/>
    <n v="-105.15"/>
    <n v="6.48"/>
    <n v="8.74"/>
    <x v="720"/>
    <x v="4"/>
    <x v="4"/>
    <x v="1"/>
    <x v="0"/>
    <x v="5"/>
    <x v="911"/>
    <s v="Small Box"/>
    <n v="0.36"/>
    <d v="2011-07-03T00:00:00"/>
    <n v="0"/>
    <n v="0"/>
    <n v="0.5"/>
    <n v="0.5"/>
  </r>
  <r>
    <n v="4514"/>
    <n v="32129"/>
    <x v="1301"/>
    <x v="2"/>
    <s v="Critical"/>
    <n v="4"/>
    <n v="8467.68"/>
    <n v="0.01"/>
    <s v="Delivery Truck"/>
    <n v="-3669.0509999999999"/>
    <n v="2036.48"/>
    <n v="14.7"/>
    <x v="720"/>
    <x v="4"/>
    <x v="4"/>
    <x v="1"/>
    <x v="1"/>
    <x v="16"/>
    <x v="1235"/>
    <s v="Jumbo Drum"/>
    <n v="0.55000000000000004"/>
    <d v="2011-07-04T00:00:00"/>
    <n v="0"/>
    <n v="0"/>
    <n v="0.5"/>
    <n v="0.5"/>
  </r>
  <r>
    <n v="4536"/>
    <n v="32291"/>
    <x v="449"/>
    <x v="11"/>
    <s v="Medium"/>
    <n v="13"/>
    <n v="183.22"/>
    <n v="0.01"/>
    <s v="Regular Air"/>
    <n v="-100.89"/>
    <n v="12.99"/>
    <n v="14.37"/>
    <x v="209"/>
    <x v="4"/>
    <x v="4"/>
    <x v="0"/>
    <x v="2"/>
    <x v="4"/>
    <x v="856"/>
    <s v="Large Box"/>
    <n v="0.73"/>
    <d v="2009-11-05T00:00:00"/>
    <n v="0"/>
    <n v="0"/>
    <n v="0.5"/>
    <n v="0.5"/>
  </r>
  <r>
    <n v="4537"/>
    <n v="32291"/>
    <x v="449"/>
    <x v="11"/>
    <s v="Medium"/>
    <n v="4"/>
    <n v="68.03"/>
    <n v="0.02"/>
    <s v="Regular Air"/>
    <n v="-29.42"/>
    <n v="15.14"/>
    <n v="4.53"/>
    <x v="209"/>
    <x v="4"/>
    <x v="4"/>
    <x v="0"/>
    <x v="0"/>
    <x v="0"/>
    <x v="560"/>
    <s v="Small Box"/>
    <n v="0.81"/>
    <d v="2009-11-06T00:00:00"/>
    <n v="0"/>
    <n v="0"/>
    <n v="0.5"/>
    <n v="0.5"/>
  </r>
  <r>
    <n v="4622"/>
    <n v="32902"/>
    <x v="146"/>
    <x v="33"/>
    <s v="High"/>
    <n v="23"/>
    <n v="1638.67"/>
    <n v="0.05"/>
    <s v="Delivery Truck"/>
    <n v="-527.83000000000004"/>
    <n v="68.81"/>
    <n v="60"/>
    <x v="454"/>
    <x v="4"/>
    <x v="4"/>
    <x v="3"/>
    <x v="0"/>
    <x v="1"/>
    <x v="459"/>
    <s v="Jumbo Drum"/>
    <n v="0.41"/>
    <d v="2012-03-05T00:00:00"/>
    <n v="0"/>
    <n v="0"/>
    <n v="0.33333333333333331"/>
    <n v="0.33333333333333331"/>
  </r>
  <r>
    <n v="4623"/>
    <n v="32902"/>
    <x v="146"/>
    <x v="33"/>
    <s v="High"/>
    <n v="8"/>
    <n v="64.099999999999994"/>
    <n v="0.03"/>
    <s v="Regular Air"/>
    <n v="-48.28"/>
    <n v="6.84"/>
    <n v="8.3699999999999992"/>
    <x v="454"/>
    <x v="4"/>
    <x v="4"/>
    <x v="3"/>
    <x v="0"/>
    <x v="15"/>
    <x v="277"/>
    <s v="Small Pack"/>
    <n v="0.57999999999999996"/>
    <d v="2012-03-05T00:00:00"/>
    <n v="0"/>
    <n v="0"/>
    <n v="0.33333333333333331"/>
    <n v="0.33333333333333331"/>
  </r>
  <r>
    <n v="4629"/>
    <n v="32932"/>
    <x v="1272"/>
    <x v="38"/>
    <s v="Low"/>
    <n v="49"/>
    <n v="29884.6"/>
    <n v="0.05"/>
    <s v="Regular Air"/>
    <n v="12748.86"/>
    <n v="599.99"/>
    <n v="24.49"/>
    <x v="380"/>
    <x v="4"/>
    <x v="4"/>
    <x v="2"/>
    <x v="1"/>
    <x v="13"/>
    <x v="497"/>
    <s v="Large Box"/>
    <n v="0.44"/>
    <d v="2010-01-13T00:00:00"/>
    <n v="1"/>
    <n v="0"/>
    <n v="1"/>
    <n v="1"/>
  </r>
  <r>
    <n v="4648"/>
    <n v="33095"/>
    <x v="394"/>
    <x v="40"/>
    <s v="Not Specified"/>
    <n v="30"/>
    <n v="4846.74"/>
    <n v="0.01"/>
    <s v="Regular Air"/>
    <n v="1689.93"/>
    <n v="159.99"/>
    <n v="5.5"/>
    <x v="729"/>
    <x v="4"/>
    <x v="4"/>
    <x v="1"/>
    <x v="1"/>
    <x v="7"/>
    <x v="782"/>
    <s v="Small Box"/>
    <n v="0.49"/>
    <d v="2009-02-17T00:00:00"/>
    <n v="0"/>
    <n v="0"/>
    <n v="0.5"/>
    <n v="0.5"/>
  </r>
  <r>
    <n v="4649"/>
    <n v="33095"/>
    <x v="394"/>
    <x v="40"/>
    <s v="Not Specified"/>
    <n v="34"/>
    <n v="2548.3000000000002"/>
    <n v="0.1"/>
    <s v="Regular Air"/>
    <n v="875.57"/>
    <n v="78.69"/>
    <n v="19.989999999999998"/>
    <x v="729"/>
    <x v="4"/>
    <x v="4"/>
    <x v="1"/>
    <x v="2"/>
    <x v="4"/>
    <x v="618"/>
    <s v="Small Box"/>
    <n v="0.43"/>
    <d v="2009-02-16T00:00:00"/>
    <n v="0"/>
    <n v="0"/>
    <n v="0.5"/>
    <n v="0.5"/>
  </r>
  <r>
    <n v="4652"/>
    <n v="33126"/>
    <x v="39"/>
    <x v="27"/>
    <s v="Critical"/>
    <n v="46"/>
    <n v="5979.84"/>
    <n v="0.01"/>
    <s v="Express Air"/>
    <n v="1779.01"/>
    <n v="128.24"/>
    <n v="12.65"/>
    <x v="404"/>
    <x v="4"/>
    <x v="4"/>
    <x v="0"/>
    <x v="2"/>
    <x v="14"/>
    <x v="410"/>
    <s v="Medium Box"/>
    <m/>
    <d v="2011-11-13T00:00:00"/>
    <n v="0"/>
    <n v="0"/>
    <n v="0.5"/>
    <n v="0.5"/>
  </r>
  <r>
    <n v="4653"/>
    <n v="33126"/>
    <x v="39"/>
    <x v="27"/>
    <s v="Critical"/>
    <n v="28"/>
    <n v="175.76"/>
    <n v="0.06"/>
    <s v="Regular Air"/>
    <n v="80.36"/>
    <n v="6.3"/>
    <n v="0.5"/>
    <x v="404"/>
    <x v="4"/>
    <x v="4"/>
    <x v="0"/>
    <x v="0"/>
    <x v="11"/>
    <x v="336"/>
    <s v="Small Box"/>
    <n v="0.39"/>
    <d v="2011-11-14T00:00:00"/>
    <n v="0"/>
    <n v="0"/>
    <n v="0.5"/>
    <n v="0.5"/>
  </r>
  <r>
    <n v="4669"/>
    <n v="33222"/>
    <x v="1033"/>
    <x v="8"/>
    <s v="Medium"/>
    <n v="18"/>
    <n v="420.76"/>
    <n v="0.05"/>
    <s v="Regular Air"/>
    <n v="-56.212000000000003"/>
    <n v="22.38"/>
    <n v="15.1"/>
    <x v="375"/>
    <x v="4"/>
    <x v="4"/>
    <x v="3"/>
    <x v="0"/>
    <x v="2"/>
    <x v="290"/>
    <s v="Small Box"/>
    <n v="0.38"/>
    <d v="2012-06-21T00:00:00"/>
    <n v="0"/>
    <n v="0"/>
    <n v="0.33333333333333331"/>
    <n v="0.33333333333333331"/>
  </r>
  <r>
    <n v="4670"/>
    <n v="33222"/>
    <x v="1033"/>
    <x v="8"/>
    <s v="Medium"/>
    <n v="30"/>
    <n v="1676.46"/>
    <n v="0.1"/>
    <s v="Delivery Truck"/>
    <n v="-626.08000000000004"/>
    <n v="60.98"/>
    <n v="30"/>
    <x v="375"/>
    <x v="4"/>
    <x v="4"/>
    <x v="3"/>
    <x v="2"/>
    <x v="14"/>
    <x v="759"/>
    <s v="Jumbo Drum"/>
    <n v="0.7"/>
    <d v="2012-06-20T00:00:00"/>
    <n v="0"/>
    <n v="0"/>
    <n v="0.33333333333333331"/>
    <n v="0.33333333333333331"/>
  </r>
  <r>
    <n v="4671"/>
    <n v="33222"/>
    <x v="1033"/>
    <x v="8"/>
    <s v="Medium"/>
    <n v="48"/>
    <n v="145.66"/>
    <n v="0.02"/>
    <s v="Regular Air"/>
    <n v="28.89"/>
    <n v="2.88"/>
    <n v="0.7"/>
    <x v="375"/>
    <x v="4"/>
    <x v="4"/>
    <x v="3"/>
    <x v="0"/>
    <x v="12"/>
    <x v="24"/>
    <s v="Wrap Bag"/>
    <n v="0.56000000000000005"/>
    <d v="2012-06-21T00:00:00"/>
    <n v="0"/>
    <n v="0"/>
    <n v="0.33333333333333331"/>
    <n v="0.33333333333333331"/>
  </r>
  <r>
    <n v="4681"/>
    <n v="33317"/>
    <x v="1051"/>
    <x v="43"/>
    <s v="High"/>
    <n v="35"/>
    <n v="203.35"/>
    <n v="0.08"/>
    <s v="Regular Air"/>
    <n v="-1605.73"/>
    <n v="4.4800000000000004"/>
    <n v="49"/>
    <x v="348"/>
    <x v="4"/>
    <x v="4"/>
    <x v="1"/>
    <x v="0"/>
    <x v="1"/>
    <x v="43"/>
    <s v="Large Box"/>
    <n v="0.6"/>
    <d v="2009-05-13T00:00:00"/>
    <n v="0"/>
    <n v="0"/>
    <n v="0.25"/>
    <n v="0.25"/>
  </r>
  <r>
    <n v="4682"/>
    <n v="33317"/>
    <x v="1051"/>
    <x v="43"/>
    <s v="High"/>
    <n v="18"/>
    <n v="44.52"/>
    <n v="0.03"/>
    <s v="Regular Air"/>
    <n v="-90.585499999999996"/>
    <n v="2.16"/>
    <n v="6.05"/>
    <x v="348"/>
    <x v="4"/>
    <x v="4"/>
    <x v="1"/>
    <x v="0"/>
    <x v="2"/>
    <x v="388"/>
    <s v="Small Box"/>
    <n v="0.37"/>
    <d v="2009-05-12T00:00:00"/>
    <n v="0"/>
    <n v="0"/>
    <n v="0.25"/>
    <n v="0.25"/>
  </r>
  <r>
    <n v="4683"/>
    <n v="33317"/>
    <x v="1051"/>
    <x v="43"/>
    <s v="High"/>
    <n v="5"/>
    <n v="58.9"/>
    <n v="0.03"/>
    <s v="Regular Air"/>
    <n v="-36.9"/>
    <n v="9.7100000000000009"/>
    <n v="9.4499999999999993"/>
    <x v="348"/>
    <x v="4"/>
    <x v="4"/>
    <x v="1"/>
    <x v="0"/>
    <x v="0"/>
    <x v="716"/>
    <s v="Small Box"/>
    <n v="0.6"/>
    <d v="2009-05-11T00:00:00"/>
    <n v="0"/>
    <n v="0"/>
    <n v="0.25"/>
    <n v="0.25"/>
  </r>
  <r>
    <n v="4684"/>
    <n v="33317"/>
    <x v="1051"/>
    <x v="43"/>
    <s v="High"/>
    <n v="13"/>
    <n v="602.42049999999995"/>
    <n v="0.09"/>
    <s v="Regular Air"/>
    <n v="10.979999999999945"/>
    <n v="55.99"/>
    <n v="1.25"/>
    <x v="348"/>
    <x v="4"/>
    <x v="4"/>
    <x v="1"/>
    <x v="1"/>
    <x v="3"/>
    <x v="512"/>
    <s v="Small Pack"/>
    <n v="0.55000000000000004"/>
    <d v="2009-05-13T00:00:00"/>
    <n v="0"/>
    <n v="0"/>
    <n v="0.25"/>
    <n v="0.25"/>
  </r>
  <r>
    <n v="4693"/>
    <n v="33445"/>
    <x v="1186"/>
    <x v="9"/>
    <s v="Low"/>
    <n v="18"/>
    <n v="1776.96"/>
    <n v="7.0000000000000007E-2"/>
    <s v="Delivery Truck"/>
    <n v="-197.06"/>
    <n v="100.98"/>
    <n v="35.840000000000003"/>
    <x v="724"/>
    <x v="4"/>
    <x v="4"/>
    <x v="0"/>
    <x v="2"/>
    <x v="9"/>
    <x v="550"/>
    <s v="Jumbo Box"/>
    <n v="0.62"/>
    <d v="2012-08-07T00:00:00"/>
    <n v="0"/>
    <n v="0"/>
    <n v="0.33333333333333331"/>
    <n v="0.33333333333333331"/>
  </r>
  <r>
    <n v="4694"/>
    <n v="33445"/>
    <x v="1186"/>
    <x v="9"/>
    <s v="Low"/>
    <n v="49"/>
    <n v="3642.14"/>
    <n v="0.01"/>
    <s v="Delivery Truck"/>
    <n v="103.11"/>
    <n v="70.98"/>
    <n v="26.74"/>
    <x v="724"/>
    <x v="4"/>
    <x v="4"/>
    <x v="0"/>
    <x v="2"/>
    <x v="9"/>
    <x v="523"/>
    <s v="Jumbo Box"/>
    <n v="0.6"/>
    <d v="2012-08-07T00:00:00"/>
    <n v="0"/>
    <n v="0"/>
    <n v="0.33333333333333331"/>
    <n v="0.33333333333333331"/>
  </r>
  <r>
    <n v="4695"/>
    <n v="33445"/>
    <x v="1186"/>
    <x v="9"/>
    <s v="Low"/>
    <n v="16"/>
    <n v="2982.5"/>
    <n v="0.05"/>
    <s v="Regular Air"/>
    <n v="-589.58000000000004"/>
    <n v="182.55"/>
    <n v="69"/>
    <x v="724"/>
    <x v="4"/>
    <x v="4"/>
    <x v="0"/>
    <x v="2"/>
    <x v="10"/>
    <x v="359"/>
    <s v="Large Box"/>
    <n v="0.72"/>
    <d v="2012-08-04T00:00:00"/>
    <n v="0"/>
    <n v="0"/>
    <n v="0.33333333333333331"/>
    <n v="0.33333333333333331"/>
  </r>
  <r>
    <n v="4719"/>
    <n v="33604"/>
    <x v="753"/>
    <x v="21"/>
    <s v="High"/>
    <n v="10"/>
    <n v="59.62"/>
    <n v="0.04"/>
    <s v="Regular Air"/>
    <n v="-56.304000000000002"/>
    <n v="5.4"/>
    <n v="7.78"/>
    <x v="360"/>
    <x v="4"/>
    <x v="4"/>
    <x v="2"/>
    <x v="0"/>
    <x v="2"/>
    <x v="212"/>
    <s v="Small Box"/>
    <n v="0.37"/>
    <d v="2011-08-20T00:00:00"/>
    <n v="0"/>
    <n v="0"/>
    <n v="1"/>
    <n v="1"/>
  </r>
  <r>
    <n v="4731"/>
    <n v="33696"/>
    <x v="1195"/>
    <x v="43"/>
    <s v="High"/>
    <n v="2"/>
    <n v="57.73"/>
    <n v="0.06"/>
    <s v="Regular Air"/>
    <n v="-101.41"/>
    <n v="27.48"/>
    <n v="4"/>
    <x v="399"/>
    <x v="4"/>
    <x v="4"/>
    <x v="0"/>
    <x v="1"/>
    <x v="7"/>
    <x v="593"/>
    <s v="Small Box"/>
    <n v="0.75"/>
    <d v="2009-05-09T00:00:00"/>
    <n v="0"/>
    <n v="0"/>
    <n v="1"/>
    <n v="1"/>
  </r>
  <r>
    <n v="4737"/>
    <n v="33702"/>
    <x v="780"/>
    <x v="34"/>
    <s v="Not Specified"/>
    <n v="14"/>
    <n v="56.26"/>
    <n v="0"/>
    <s v="Express Air"/>
    <n v="28.11"/>
    <n v="2.89"/>
    <n v="0.5"/>
    <x v="707"/>
    <x v="4"/>
    <x v="4"/>
    <x v="2"/>
    <x v="0"/>
    <x v="11"/>
    <x v="349"/>
    <s v="Small Box"/>
    <n v="0.38"/>
    <d v="2012-09-03T00:00:00"/>
    <n v="0"/>
    <n v="0"/>
    <n v="1"/>
    <n v="1"/>
  </r>
  <r>
    <n v="4778"/>
    <n v="33923"/>
    <x v="828"/>
    <x v="22"/>
    <s v="Low"/>
    <n v="34"/>
    <n v="1961.7914999999998"/>
    <n v="0.05"/>
    <s v="Regular Air"/>
    <n v="425.75400000000002"/>
    <n v="65.989999999999995"/>
    <n v="5.99"/>
    <x v="420"/>
    <x v="4"/>
    <x v="4"/>
    <x v="0"/>
    <x v="1"/>
    <x v="3"/>
    <x v="421"/>
    <s v="Small Box"/>
    <n v="0.57999999999999996"/>
    <d v="2009-01-11T00:00:00"/>
    <n v="0"/>
    <n v="1"/>
    <n v="1"/>
    <n v="0.5"/>
  </r>
  <r>
    <n v="4779"/>
    <n v="33924"/>
    <x v="814"/>
    <x v="1"/>
    <s v="Not Specified"/>
    <n v="12"/>
    <n v="6168.07"/>
    <n v="0.05"/>
    <s v="Delivery Truck"/>
    <n v="1542"/>
    <n v="500.98"/>
    <n v="28.14"/>
    <x v="169"/>
    <x v="4"/>
    <x v="4"/>
    <x v="1"/>
    <x v="1"/>
    <x v="16"/>
    <x v="780"/>
    <s v="Jumbo Drum"/>
    <n v="0.38"/>
    <d v="2012-10-20T00:00:00"/>
    <n v="0"/>
    <n v="0"/>
    <n v="1"/>
    <n v="0.5"/>
  </r>
  <r>
    <n v="4786"/>
    <n v="33987"/>
    <x v="1076"/>
    <x v="17"/>
    <s v="High"/>
    <n v="27"/>
    <n v="1521.1344999999999"/>
    <n v="7.0000000000000007E-2"/>
    <s v="Regular Air"/>
    <n v="270.60300000000001"/>
    <n v="65.989999999999995"/>
    <n v="3.99"/>
    <x v="372"/>
    <x v="4"/>
    <x v="4"/>
    <x v="0"/>
    <x v="1"/>
    <x v="3"/>
    <x v="440"/>
    <s v="Small Box"/>
    <n v="0.59"/>
    <d v="2011-10-26T00:00:00"/>
    <n v="0"/>
    <n v="0"/>
    <n v="0.5"/>
    <n v="0.5"/>
  </r>
  <r>
    <n v="4814"/>
    <n v="34243"/>
    <x v="1200"/>
    <x v="44"/>
    <s v="High"/>
    <n v="10"/>
    <n v="89.04"/>
    <n v="0.08"/>
    <s v="Regular Air"/>
    <n v="-16.489999999999998"/>
    <n v="8.75"/>
    <n v="8.5399999999999991"/>
    <x v="727"/>
    <x v="4"/>
    <x v="4"/>
    <x v="3"/>
    <x v="2"/>
    <x v="4"/>
    <x v="514"/>
    <s v="Small Pack"/>
    <n v="0.43"/>
    <d v="2011-02-13T00:00:00"/>
    <n v="0"/>
    <n v="0"/>
    <n v="0.33333333333333331"/>
    <n v="0.14285714285714285"/>
  </r>
  <r>
    <n v="4815"/>
    <n v="34243"/>
    <x v="1200"/>
    <x v="44"/>
    <s v="High"/>
    <n v="40"/>
    <n v="297.33999999999997"/>
    <n v="0.04"/>
    <s v="Express Air"/>
    <n v="-270.95999999999998"/>
    <n v="7.28"/>
    <n v="11.15"/>
    <x v="727"/>
    <x v="4"/>
    <x v="4"/>
    <x v="3"/>
    <x v="0"/>
    <x v="5"/>
    <x v="517"/>
    <s v="Small Box"/>
    <n v="0.37"/>
    <d v="2011-02-12T00:00:00"/>
    <n v="0"/>
    <n v="0"/>
    <n v="0.33333333333333331"/>
    <n v="0.14285714285714285"/>
  </r>
  <r>
    <n v="4816"/>
    <n v="34243"/>
    <x v="1200"/>
    <x v="44"/>
    <s v="High"/>
    <n v="35"/>
    <n v="1264.1300000000001"/>
    <n v="0.02"/>
    <s v="Regular Air"/>
    <n v="-1087.3599999999999"/>
    <n v="35.479999999999997"/>
    <n v="35"/>
    <x v="727"/>
    <x v="4"/>
    <x v="4"/>
    <x v="3"/>
    <x v="0"/>
    <x v="0"/>
    <x v="1244"/>
    <s v="Large Box"/>
    <n v="0.85"/>
    <d v="2011-02-13T00:00:00"/>
    <n v="0"/>
    <n v="0"/>
    <n v="0.33333333333333331"/>
    <n v="0.14285714285714285"/>
  </r>
  <r>
    <n v="4825"/>
    <n v="34279"/>
    <x v="677"/>
    <x v="33"/>
    <s v="Not Specified"/>
    <n v="3"/>
    <n v="840.55200000000013"/>
    <n v="0.1"/>
    <s v="Delivery Truck"/>
    <n v="7.5500000000000114"/>
    <n v="349.45"/>
    <n v="60"/>
    <x v="410"/>
    <x v="4"/>
    <x v="4"/>
    <x v="1"/>
    <x v="2"/>
    <x v="10"/>
    <x v="195"/>
    <s v="Jumbo Drum"/>
    <m/>
    <d v="2012-03-30T00:00:00"/>
    <n v="0"/>
    <n v="0"/>
    <n v="1"/>
    <n v="0.5"/>
  </r>
  <r>
    <n v="4837"/>
    <n v="34406"/>
    <x v="837"/>
    <x v="34"/>
    <s v="Medium"/>
    <n v="29"/>
    <n v="142.59"/>
    <n v="0.02"/>
    <s v="Regular Air"/>
    <n v="-3.23"/>
    <n v="4.71"/>
    <n v="0.7"/>
    <x v="373"/>
    <x v="4"/>
    <x v="4"/>
    <x v="3"/>
    <x v="0"/>
    <x v="6"/>
    <x v="287"/>
    <s v="Wrap Bag"/>
    <n v="0.85"/>
    <d v="2012-09-29T00:00:00"/>
    <n v="0"/>
    <n v="0"/>
    <n v="1"/>
    <n v="1"/>
  </r>
  <r>
    <n v="4861"/>
    <n v="34597"/>
    <x v="1239"/>
    <x v="15"/>
    <s v="Medium"/>
    <n v="8"/>
    <n v="849.33699999999999"/>
    <n v="7.0000000000000007E-2"/>
    <s v="Express Air"/>
    <n v="-258.85199999999998"/>
    <n v="125.99"/>
    <n v="2.5"/>
    <x v="361"/>
    <x v="4"/>
    <x v="4"/>
    <x v="3"/>
    <x v="1"/>
    <x v="3"/>
    <x v="1195"/>
    <s v="Small Box"/>
    <n v="0.57999999999999996"/>
    <d v="2010-12-18T00:00:00"/>
    <n v="0"/>
    <n v="0"/>
    <n v="1"/>
    <n v="0.5"/>
  </r>
  <r>
    <n v="4914"/>
    <n v="34980"/>
    <x v="1346"/>
    <x v="3"/>
    <s v="Not Specified"/>
    <n v="7"/>
    <n v="140.77000000000001"/>
    <n v="0.01"/>
    <s v="Regular Air"/>
    <n v="100.77"/>
    <n v="18.649999999999999"/>
    <n v="3.77"/>
    <x v="719"/>
    <x v="4"/>
    <x v="4"/>
    <x v="2"/>
    <x v="2"/>
    <x v="4"/>
    <x v="707"/>
    <s v="Small Pack"/>
    <n v="0.39"/>
    <d v="2010-08-04T00:00:00"/>
    <n v="0"/>
    <n v="0"/>
    <n v="0.33333333333333331"/>
    <n v="0.33333333333333331"/>
  </r>
  <r>
    <n v="4915"/>
    <n v="34980"/>
    <x v="1346"/>
    <x v="3"/>
    <s v="Not Specified"/>
    <n v="25"/>
    <n v="848.19"/>
    <n v="0.06"/>
    <s v="Express Air"/>
    <n v="120.02"/>
    <n v="34.76"/>
    <n v="5.49"/>
    <x v="719"/>
    <x v="4"/>
    <x v="4"/>
    <x v="2"/>
    <x v="0"/>
    <x v="0"/>
    <x v="209"/>
    <s v="Small Box"/>
    <n v="0.6"/>
    <d v="2010-08-04T00:00:00"/>
    <n v="0"/>
    <n v="0"/>
    <n v="0.33333333333333331"/>
    <n v="0.33333333333333331"/>
  </r>
  <r>
    <n v="4916"/>
    <n v="34980"/>
    <x v="1346"/>
    <x v="3"/>
    <s v="Not Specified"/>
    <n v="12"/>
    <n v="562.15"/>
    <n v="0.01"/>
    <s v="Regular Air"/>
    <n v="148.34"/>
    <n v="46.89"/>
    <n v="5.0999999999999996"/>
    <x v="719"/>
    <x v="4"/>
    <x v="4"/>
    <x v="2"/>
    <x v="0"/>
    <x v="1"/>
    <x v="233"/>
    <s v="Medium Box"/>
    <n v="0.46"/>
    <d v="2010-08-04T00:00:00"/>
    <n v="0"/>
    <n v="0"/>
    <n v="0.33333333333333331"/>
    <n v="0.33333333333333331"/>
  </r>
  <r>
    <n v="4968"/>
    <n v="35361"/>
    <x v="319"/>
    <x v="46"/>
    <s v="Medium"/>
    <n v="40"/>
    <n v="746.93"/>
    <n v="0.09"/>
    <s v="Express Air"/>
    <n v="67.03"/>
    <n v="18.97"/>
    <n v="9.0299999999999994"/>
    <x v="454"/>
    <x v="4"/>
    <x v="4"/>
    <x v="3"/>
    <x v="0"/>
    <x v="5"/>
    <x v="40"/>
    <s v="Small Box"/>
    <n v="0.37"/>
    <d v="2009-04-07T00:00:00"/>
    <n v="0"/>
    <n v="0"/>
    <n v="0.5"/>
    <n v="0.5"/>
  </r>
  <r>
    <n v="4969"/>
    <n v="35361"/>
    <x v="319"/>
    <x v="46"/>
    <s v="Medium"/>
    <n v="37"/>
    <n v="313.39999999999998"/>
    <n v="0"/>
    <s v="Regular Air"/>
    <n v="-5.05"/>
    <n v="8.34"/>
    <n v="4.82"/>
    <x v="454"/>
    <x v="4"/>
    <x v="4"/>
    <x v="3"/>
    <x v="0"/>
    <x v="5"/>
    <x v="513"/>
    <s v="Small Box"/>
    <n v="0.4"/>
    <d v="2009-04-07T00:00:00"/>
    <n v="0"/>
    <n v="0"/>
    <n v="0.5"/>
    <n v="0.5"/>
  </r>
  <r>
    <n v="4998"/>
    <n v="35587"/>
    <x v="172"/>
    <x v="27"/>
    <s v="Critical"/>
    <n v="43"/>
    <n v="208.77"/>
    <n v="0.03"/>
    <s v="Regular Air"/>
    <n v="-144.24"/>
    <n v="4.82"/>
    <n v="5.72"/>
    <x v="716"/>
    <x v="4"/>
    <x v="4"/>
    <x v="1"/>
    <x v="2"/>
    <x v="4"/>
    <x v="441"/>
    <s v="Small Pack"/>
    <n v="0.47"/>
    <d v="2011-11-11T00:00:00"/>
    <n v="0"/>
    <n v="0"/>
    <n v="1"/>
    <n v="1"/>
  </r>
  <r>
    <n v="5014"/>
    <n v="35780"/>
    <x v="251"/>
    <x v="16"/>
    <s v="Medium"/>
    <n v="6"/>
    <n v="28.55"/>
    <n v="0.01"/>
    <s v="Regular Air"/>
    <n v="-4.5"/>
    <n v="4.28"/>
    <n v="1.6"/>
    <x v="730"/>
    <x v="4"/>
    <x v="4"/>
    <x v="1"/>
    <x v="0"/>
    <x v="12"/>
    <x v="785"/>
    <s v="Wrap Bag"/>
    <n v="0.57999999999999996"/>
    <d v="2011-01-19T00:00:00"/>
    <n v="0"/>
    <n v="0"/>
    <n v="1"/>
    <n v="1"/>
  </r>
  <r>
    <n v="5024"/>
    <n v="35814"/>
    <x v="725"/>
    <x v="33"/>
    <s v="High"/>
    <n v="11"/>
    <n v="324.52"/>
    <n v="0.08"/>
    <s v="Regular Air"/>
    <n v="154.02000000000001"/>
    <n v="29.18"/>
    <n v="8.5500000000000007"/>
    <x v="380"/>
    <x v="4"/>
    <x v="4"/>
    <x v="3"/>
    <x v="2"/>
    <x v="4"/>
    <x v="462"/>
    <s v="Small Box"/>
    <n v="0.42"/>
    <d v="2012-03-28T00:00:00"/>
    <n v="0"/>
    <n v="0"/>
    <n v="1"/>
    <n v="1"/>
  </r>
  <r>
    <n v="5044"/>
    <n v="35938"/>
    <x v="1386"/>
    <x v="32"/>
    <s v="Not Specified"/>
    <n v="6"/>
    <n v="1770.7"/>
    <n v="0.05"/>
    <s v="Delivery Truck"/>
    <n v="-448.25"/>
    <n v="280.98"/>
    <n v="57"/>
    <x v="455"/>
    <x v="4"/>
    <x v="4"/>
    <x v="2"/>
    <x v="2"/>
    <x v="14"/>
    <x v="544"/>
    <s v="Jumbo Drum"/>
    <n v="0.78"/>
    <d v="2012-11-19T00:00:00"/>
    <n v="0"/>
    <n v="0"/>
    <n v="0.5"/>
    <n v="0.5"/>
  </r>
  <r>
    <n v="5045"/>
    <n v="35938"/>
    <x v="1386"/>
    <x v="32"/>
    <s v="Not Specified"/>
    <n v="48"/>
    <n v="628.33000000000004"/>
    <n v="0.09"/>
    <s v="Regular Air"/>
    <n v="-226.62"/>
    <n v="14.03"/>
    <n v="9.3699999999999992"/>
    <x v="455"/>
    <x v="4"/>
    <x v="4"/>
    <x v="2"/>
    <x v="0"/>
    <x v="0"/>
    <x v="569"/>
    <s v="Small Box"/>
    <n v="0.56000000000000005"/>
    <d v="2012-11-18T00:00:00"/>
    <n v="0"/>
    <n v="0"/>
    <n v="0.5"/>
    <n v="0.5"/>
  </r>
  <r>
    <n v="5047"/>
    <n v="35968"/>
    <x v="146"/>
    <x v="33"/>
    <s v="Not Specified"/>
    <n v="21"/>
    <n v="141.19999999999999"/>
    <n v="0.05"/>
    <s v="Regular Air"/>
    <n v="-74.43950000000001"/>
    <n v="6.23"/>
    <n v="6.97"/>
    <x v="33"/>
    <x v="4"/>
    <x v="4"/>
    <x v="2"/>
    <x v="0"/>
    <x v="2"/>
    <x v="764"/>
    <s v="Small Box"/>
    <n v="0.36"/>
    <d v="2012-03-05T00:00:00"/>
    <n v="0"/>
    <n v="0"/>
    <n v="1"/>
    <n v="0.5"/>
  </r>
  <r>
    <n v="5053"/>
    <n v="36033"/>
    <x v="354"/>
    <x v="47"/>
    <s v="Not Specified"/>
    <n v="15"/>
    <n v="83.02"/>
    <n v="0.06"/>
    <s v="Express Air"/>
    <n v="-54.01"/>
    <n v="4.9800000000000004"/>
    <n v="4.62"/>
    <x v="385"/>
    <x v="4"/>
    <x v="4"/>
    <x v="0"/>
    <x v="1"/>
    <x v="7"/>
    <x v="278"/>
    <s v="Small Pack"/>
    <n v="0.64"/>
    <d v="2009-12-19T00:00:00"/>
    <n v="0"/>
    <n v="0"/>
    <n v="1"/>
    <n v="1"/>
  </r>
  <r>
    <n v="5057"/>
    <n v="36067"/>
    <x v="694"/>
    <x v="36"/>
    <s v="High"/>
    <n v="37"/>
    <n v="6176.29"/>
    <n v="0.04"/>
    <s v="Express Air"/>
    <n v="1499.94"/>
    <n v="165.2"/>
    <n v="19.989999999999998"/>
    <x v="398"/>
    <x v="4"/>
    <x v="4"/>
    <x v="0"/>
    <x v="0"/>
    <x v="0"/>
    <x v="1176"/>
    <s v="Small Box"/>
    <n v="0.59"/>
    <d v="2009-07-06T00:00:00"/>
    <n v="0"/>
    <n v="0"/>
    <n v="1"/>
    <n v="1"/>
  </r>
  <r>
    <n v="5071"/>
    <n v="36131"/>
    <x v="1271"/>
    <x v="43"/>
    <s v="High"/>
    <n v="26"/>
    <n v="493.43"/>
    <n v="7.0000000000000007E-2"/>
    <s v="Regular Air"/>
    <n v="120.18"/>
    <n v="19.84"/>
    <n v="4.0999999999999996"/>
    <x v="646"/>
    <x v="4"/>
    <x v="4"/>
    <x v="3"/>
    <x v="0"/>
    <x v="12"/>
    <x v="92"/>
    <s v="Wrap Bag"/>
    <n v="0.44"/>
    <d v="2009-05-18T00:00:00"/>
    <n v="0"/>
    <n v="0"/>
    <n v="0.33333333333333331"/>
    <n v="0.33333333333333331"/>
  </r>
  <r>
    <n v="5076"/>
    <n v="36160"/>
    <x v="590"/>
    <x v="32"/>
    <s v="Low"/>
    <n v="12"/>
    <n v="2218.8910000000001"/>
    <n v="0"/>
    <s v="Express Air"/>
    <n v="79.542000000000002"/>
    <n v="205.99"/>
    <n v="8.99"/>
    <x v="711"/>
    <x v="4"/>
    <x v="4"/>
    <x v="3"/>
    <x v="1"/>
    <x v="3"/>
    <x v="1044"/>
    <s v="Small Box"/>
    <n v="0.56000000000000005"/>
    <d v="2012-11-29T00:00:00"/>
    <n v="0"/>
    <n v="0"/>
    <n v="1"/>
    <n v="1"/>
  </r>
  <r>
    <n v="5079"/>
    <n v="36196"/>
    <x v="1017"/>
    <x v="21"/>
    <s v="Not Specified"/>
    <n v="7"/>
    <n v="39.01"/>
    <n v="7.0000000000000007E-2"/>
    <s v="Regular Air"/>
    <n v="-38.44"/>
    <n v="4.9800000000000004"/>
    <n v="4.32"/>
    <x v="358"/>
    <x v="4"/>
    <x v="4"/>
    <x v="1"/>
    <x v="1"/>
    <x v="7"/>
    <x v="811"/>
    <s v="Small Pack"/>
    <n v="0.64"/>
    <d v="2011-08-08T00:00:00"/>
    <n v="0"/>
    <n v="0"/>
    <n v="0.5"/>
    <n v="0.5"/>
  </r>
  <r>
    <n v="5101"/>
    <n v="36356"/>
    <x v="1121"/>
    <x v="25"/>
    <s v="Medium"/>
    <n v="45"/>
    <n v="4768.59"/>
    <n v="0.01"/>
    <s v="Delivery Truck"/>
    <n v="-593.79999999999995"/>
    <n v="100.98"/>
    <n v="45"/>
    <x v="358"/>
    <x v="4"/>
    <x v="4"/>
    <x v="1"/>
    <x v="2"/>
    <x v="14"/>
    <x v="1051"/>
    <s v="Jumbo Drum"/>
    <n v="0.69"/>
    <d v="2011-12-27T00:00:00"/>
    <n v="0"/>
    <n v="0"/>
    <n v="0.5"/>
    <n v="0.25"/>
  </r>
  <r>
    <n v="5102"/>
    <n v="36356"/>
    <x v="1121"/>
    <x v="25"/>
    <s v="Medium"/>
    <n v="33"/>
    <n v="117.77"/>
    <n v="0.08"/>
    <s v="Regular Air"/>
    <n v="47.98"/>
    <n v="3.75"/>
    <n v="0.5"/>
    <x v="358"/>
    <x v="4"/>
    <x v="4"/>
    <x v="1"/>
    <x v="0"/>
    <x v="11"/>
    <x v="45"/>
    <s v="Small Box"/>
    <n v="0.37"/>
    <d v="2011-12-27T00:00:00"/>
    <n v="0"/>
    <n v="0"/>
    <n v="0.5"/>
    <n v="0.25"/>
  </r>
  <r>
    <n v="5140"/>
    <n v="36647"/>
    <x v="1217"/>
    <x v="41"/>
    <s v="High"/>
    <n v="21"/>
    <n v="179.98"/>
    <n v="0.01"/>
    <s v="Regular Air"/>
    <n v="38.700000000000003"/>
    <n v="7.89"/>
    <n v="2.82"/>
    <x v="358"/>
    <x v="4"/>
    <x v="4"/>
    <x v="1"/>
    <x v="0"/>
    <x v="6"/>
    <x v="623"/>
    <s v="Wrap Bag"/>
    <n v="0.4"/>
    <d v="2009-07-01T00:00:00"/>
    <n v="0"/>
    <n v="0"/>
    <n v="0.33333333333333331"/>
    <n v="0.2"/>
  </r>
  <r>
    <n v="5141"/>
    <n v="36647"/>
    <x v="1217"/>
    <x v="41"/>
    <s v="High"/>
    <n v="16"/>
    <n v="55.44"/>
    <n v="0.09"/>
    <s v="Regular Air"/>
    <n v="-21.91"/>
    <n v="3.68"/>
    <n v="1.32"/>
    <x v="358"/>
    <x v="4"/>
    <x v="4"/>
    <x v="1"/>
    <x v="0"/>
    <x v="15"/>
    <x v="144"/>
    <s v="Wrap Bag"/>
    <n v="0.83"/>
    <d v="2009-07-01T00:00:00"/>
    <n v="0"/>
    <n v="0"/>
    <n v="0.33333333333333331"/>
    <n v="0.2"/>
  </r>
  <r>
    <n v="5142"/>
    <n v="36647"/>
    <x v="1217"/>
    <x v="41"/>
    <s v="High"/>
    <n v="18"/>
    <n v="174.62"/>
    <n v="0.1"/>
    <s v="Regular Air"/>
    <n v="-119.77"/>
    <n v="9.7100000000000009"/>
    <n v="9.4499999999999993"/>
    <x v="358"/>
    <x v="4"/>
    <x v="4"/>
    <x v="1"/>
    <x v="0"/>
    <x v="0"/>
    <x v="716"/>
    <s v="Small Box"/>
    <n v="0.6"/>
    <d v="2009-07-03T00:00:00"/>
    <n v="0"/>
    <n v="0"/>
    <n v="0.33333333333333331"/>
    <n v="0.2"/>
  </r>
  <r>
    <n v="5159"/>
    <n v="36737"/>
    <x v="914"/>
    <x v="14"/>
    <s v="Not Specified"/>
    <n v="10"/>
    <n v="999.89"/>
    <n v="0.02"/>
    <s v="Regular Air"/>
    <n v="-119.92"/>
    <n v="99.99"/>
    <n v="19.989999999999998"/>
    <x v="347"/>
    <x v="4"/>
    <x v="4"/>
    <x v="1"/>
    <x v="1"/>
    <x v="7"/>
    <x v="218"/>
    <s v="Small Box"/>
    <n v="0.52"/>
    <d v="2010-03-16T00:00:00"/>
    <n v="0"/>
    <n v="0"/>
    <n v="0.33333333333333331"/>
    <n v="0.33333333333333331"/>
  </r>
  <r>
    <n v="5160"/>
    <n v="36737"/>
    <x v="914"/>
    <x v="14"/>
    <s v="Not Specified"/>
    <n v="10"/>
    <n v="35.69"/>
    <n v="0.04"/>
    <s v="Regular Air"/>
    <n v="-31.24"/>
    <n v="3.28"/>
    <n v="4.2"/>
    <x v="347"/>
    <x v="4"/>
    <x v="4"/>
    <x v="1"/>
    <x v="0"/>
    <x v="12"/>
    <x v="820"/>
    <s v="Wrap Bag"/>
    <n v="0.56000000000000005"/>
    <d v="2010-03-16T00:00:00"/>
    <n v="0"/>
    <n v="0"/>
    <n v="0.33333333333333331"/>
    <n v="0.33333333333333331"/>
  </r>
  <r>
    <n v="5177"/>
    <n v="36832"/>
    <x v="834"/>
    <x v="8"/>
    <s v="Low"/>
    <n v="43"/>
    <n v="532.89"/>
    <n v="0.09"/>
    <s v="Regular Air"/>
    <n v="210.52800000000002"/>
    <n v="12.97"/>
    <n v="1.49"/>
    <x v="343"/>
    <x v="4"/>
    <x v="4"/>
    <x v="0"/>
    <x v="0"/>
    <x v="2"/>
    <x v="941"/>
    <s v="Small Box"/>
    <n v="0.35"/>
    <d v="2012-06-08T00:00:00"/>
    <n v="0"/>
    <n v="0"/>
    <n v="0.5"/>
    <n v="0.5"/>
  </r>
  <r>
    <n v="5178"/>
    <n v="36832"/>
    <x v="834"/>
    <x v="8"/>
    <s v="Low"/>
    <n v="24"/>
    <n v="60.69"/>
    <n v="0.06"/>
    <s v="Express Air"/>
    <n v="-25.65"/>
    <n v="2.12"/>
    <n v="1.99"/>
    <x v="343"/>
    <x v="4"/>
    <x v="4"/>
    <x v="0"/>
    <x v="1"/>
    <x v="7"/>
    <x v="926"/>
    <s v="Small Pack"/>
    <n v="0.55000000000000004"/>
    <d v="2012-06-06T00:00:00"/>
    <n v="0"/>
    <n v="0"/>
    <n v="0.5"/>
    <n v="0.5"/>
  </r>
  <r>
    <n v="5184"/>
    <n v="36836"/>
    <x v="6"/>
    <x v="6"/>
    <s v="Medium"/>
    <n v="43"/>
    <n v="16116.33"/>
    <n v="0.08"/>
    <s v="Regular Air"/>
    <n v="6919.8670000000002"/>
    <n v="387.99"/>
    <n v="19.989999999999998"/>
    <x v="380"/>
    <x v="4"/>
    <x v="4"/>
    <x v="2"/>
    <x v="0"/>
    <x v="2"/>
    <x v="243"/>
    <s v="Small Box"/>
    <n v="0.38"/>
    <d v="2010-03-01T00:00:00"/>
    <n v="0"/>
    <n v="0"/>
    <n v="1"/>
    <n v="1"/>
  </r>
  <r>
    <n v="5188"/>
    <n v="36867"/>
    <x v="401"/>
    <x v="35"/>
    <s v="High"/>
    <n v="21"/>
    <n v="5482.18"/>
    <n v="0.06"/>
    <s v="Express Air"/>
    <n v="1167.3800000000001"/>
    <n v="276.2"/>
    <n v="24.49"/>
    <x v="451"/>
    <x v="4"/>
    <x v="4"/>
    <x v="2"/>
    <x v="2"/>
    <x v="14"/>
    <x v="67"/>
    <s v="Large Box"/>
    <m/>
    <d v="2009-09-07T00:00:00"/>
    <n v="0"/>
    <n v="0"/>
    <n v="0.5"/>
    <n v="0.5"/>
  </r>
  <r>
    <n v="5189"/>
    <n v="36867"/>
    <x v="401"/>
    <x v="35"/>
    <s v="High"/>
    <n v="16"/>
    <n v="45.57"/>
    <n v="0.09"/>
    <s v="Regular Air"/>
    <n v="2.81"/>
    <n v="2.88"/>
    <n v="0.7"/>
    <x v="451"/>
    <x v="4"/>
    <x v="4"/>
    <x v="2"/>
    <x v="0"/>
    <x v="12"/>
    <x v="705"/>
    <s v="Wrap Bag"/>
    <n v="0.56000000000000005"/>
    <d v="2009-09-07T00:00:00"/>
    <n v="0"/>
    <n v="0"/>
    <n v="0.5"/>
    <n v="0.5"/>
  </r>
  <r>
    <n v="5231"/>
    <n v="37250"/>
    <x v="169"/>
    <x v="38"/>
    <s v="High"/>
    <n v="13"/>
    <n v="473.46"/>
    <n v="0.03"/>
    <s v="Regular Air"/>
    <n v="128.11000000000001"/>
    <n v="35.94"/>
    <n v="6.66"/>
    <x v="450"/>
    <x v="4"/>
    <x v="4"/>
    <x v="2"/>
    <x v="0"/>
    <x v="8"/>
    <x v="1039"/>
    <s v="Small Box"/>
    <n v="0.4"/>
    <d v="2010-01-15T00:00:00"/>
    <n v="1"/>
    <n v="0"/>
    <n v="1"/>
    <n v="1"/>
  </r>
  <r>
    <n v="5266"/>
    <n v="37473"/>
    <x v="278"/>
    <x v="19"/>
    <s v="Low"/>
    <n v="42"/>
    <n v="88.23"/>
    <n v="0.1"/>
    <s v="Regular Air"/>
    <n v="-195.93"/>
    <n v="2.1800000000000002"/>
    <n v="5"/>
    <x v="359"/>
    <x v="4"/>
    <x v="4"/>
    <x v="0"/>
    <x v="0"/>
    <x v="15"/>
    <x v="424"/>
    <s v="Wrap Bag"/>
    <n v="0.81"/>
    <d v="2009-10-05T00:00:00"/>
    <n v="0"/>
    <n v="0"/>
    <n v="0.5"/>
    <n v="0.5"/>
  </r>
  <r>
    <n v="5268"/>
    <n v="37505"/>
    <x v="261"/>
    <x v="4"/>
    <s v="Low"/>
    <n v="1"/>
    <n v="29.19"/>
    <n v="0.03"/>
    <s v="Regular Air"/>
    <n v="-23.1"/>
    <n v="16.98"/>
    <n v="12.39"/>
    <x v="711"/>
    <x v="4"/>
    <x v="4"/>
    <x v="3"/>
    <x v="0"/>
    <x v="8"/>
    <x v="353"/>
    <s v="Small Box"/>
    <n v="0.35"/>
    <d v="2011-06-05T00:00:00"/>
    <n v="0"/>
    <n v="0"/>
    <n v="0.33333333333333331"/>
    <n v="0.33333333333333331"/>
  </r>
  <r>
    <n v="5269"/>
    <n v="37505"/>
    <x v="261"/>
    <x v="4"/>
    <s v="Low"/>
    <n v="9"/>
    <n v="2007.24"/>
    <n v="0.03"/>
    <s v="Express Air"/>
    <n v="600.4"/>
    <n v="225.04"/>
    <n v="11.79"/>
    <x v="711"/>
    <x v="4"/>
    <x v="4"/>
    <x v="3"/>
    <x v="0"/>
    <x v="1"/>
    <x v="464"/>
    <s v="Medium Box"/>
    <n v="0.42"/>
    <d v="2011-06-05T00:00:00"/>
    <n v="0"/>
    <n v="0"/>
    <n v="0.33333333333333331"/>
    <n v="0.33333333333333331"/>
  </r>
  <r>
    <n v="5270"/>
    <n v="37505"/>
    <x v="261"/>
    <x v="4"/>
    <s v="Low"/>
    <n v="42"/>
    <n v="384.41"/>
    <n v="0.05"/>
    <s v="Regular Air"/>
    <n v="-44.300400000000003"/>
    <n v="9.49"/>
    <n v="5.76"/>
    <x v="711"/>
    <x v="4"/>
    <x v="4"/>
    <x v="3"/>
    <x v="1"/>
    <x v="16"/>
    <x v="510"/>
    <s v="Medium Box"/>
    <n v="0.39"/>
    <d v="2011-06-08T00:00:00"/>
    <n v="0"/>
    <n v="0"/>
    <n v="0.33333333333333331"/>
    <n v="0.33333333333333331"/>
  </r>
  <r>
    <n v="5272"/>
    <n v="37537"/>
    <x v="670"/>
    <x v="22"/>
    <s v="Low"/>
    <n v="4"/>
    <n v="1239.06"/>
    <n v="0"/>
    <s v="Delivery Truck"/>
    <n v="-193.08"/>
    <n v="291.73"/>
    <n v="48.8"/>
    <x v="543"/>
    <x v="4"/>
    <x v="4"/>
    <x v="2"/>
    <x v="2"/>
    <x v="14"/>
    <x v="250"/>
    <s v="Jumbo Drum"/>
    <n v="0.56000000000000005"/>
    <d v="2009-01-02T00:00:00"/>
    <n v="0"/>
    <n v="1"/>
    <n v="0.33333333333333331"/>
    <n v="0.33333333333333331"/>
  </r>
  <r>
    <n v="5273"/>
    <n v="37537"/>
    <x v="670"/>
    <x v="22"/>
    <s v="Low"/>
    <n v="43"/>
    <n v="4083.19"/>
    <n v="7.0000000000000007E-2"/>
    <s v="Delivery Truck"/>
    <n v="-1049.8499999999999"/>
    <n v="100.98"/>
    <n v="45"/>
    <x v="543"/>
    <x v="4"/>
    <x v="4"/>
    <x v="2"/>
    <x v="2"/>
    <x v="14"/>
    <x v="1051"/>
    <s v="Jumbo Drum"/>
    <n v="0.69"/>
    <d v="2009-01-04T00:00:00"/>
    <n v="0"/>
    <n v="1"/>
    <n v="0.33333333333333331"/>
    <n v="0.33333333333333331"/>
  </r>
  <r>
    <n v="5274"/>
    <n v="37537"/>
    <x v="670"/>
    <x v="22"/>
    <s v="Low"/>
    <n v="32"/>
    <n v="4902.38"/>
    <n v="0.05"/>
    <s v="Regular Air"/>
    <n v="1438.49"/>
    <n v="155.06"/>
    <n v="7.07"/>
    <x v="543"/>
    <x v="4"/>
    <x v="4"/>
    <x v="2"/>
    <x v="0"/>
    <x v="0"/>
    <x v="376"/>
    <s v="Small Box"/>
    <n v="0.59"/>
    <d v="2009-01-09T00:00:00"/>
    <n v="0"/>
    <n v="1"/>
    <n v="0.33333333333333331"/>
    <n v="0.33333333333333331"/>
  </r>
  <r>
    <n v="5283"/>
    <n v="37606"/>
    <x v="430"/>
    <x v="6"/>
    <s v="Critical"/>
    <n v="1"/>
    <n v="19.96"/>
    <n v="0.05"/>
    <s v="Express Air"/>
    <n v="3.25"/>
    <n v="4.9800000000000004"/>
    <n v="4.8600000000000003"/>
    <x v="270"/>
    <x v="4"/>
    <x v="4"/>
    <x v="1"/>
    <x v="0"/>
    <x v="5"/>
    <x v="191"/>
    <s v="Small Box"/>
    <n v="0.38"/>
    <d v="2010-02-23T00:00:00"/>
    <n v="0"/>
    <n v="0"/>
    <n v="0.33333333333333331"/>
    <n v="0.33333333333333331"/>
  </r>
  <r>
    <n v="5284"/>
    <n v="37606"/>
    <x v="430"/>
    <x v="6"/>
    <s v="Critical"/>
    <n v="41"/>
    <n v="148.99"/>
    <n v="0.03"/>
    <s v="Regular Air"/>
    <n v="-115.48"/>
    <n v="3.57"/>
    <n v="4.17"/>
    <x v="270"/>
    <x v="4"/>
    <x v="4"/>
    <x v="1"/>
    <x v="0"/>
    <x v="12"/>
    <x v="574"/>
    <s v="Small Pack"/>
    <n v="0.59"/>
    <d v="2010-02-24T00:00:00"/>
    <n v="0"/>
    <n v="0"/>
    <n v="0.33333333333333331"/>
    <n v="0.33333333333333331"/>
  </r>
  <r>
    <n v="5285"/>
    <n v="37606"/>
    <x v="430"/>
    <x v="6"/>
    <s v="Critical"/>
    <n v="21"/>
    <n v="70.66"/>
    <n v="0.06"/>
    <s v="Regular Air"/>
    <n v="-57.84"/>
    <n v="3.28"/>
    <n v="3.97"/>
    <x v="270"/>
    <x v="4"/>
    <x v="4"/>
    <x v="1"/>
    <x v="0"/>
    <x v="12"/>
    <x v="429"/>
    <s v="Wrap Bag"/>
    <n v="0.56000000000000005"/>
    <d v="2010-02-24T00:00:00"/>
    <n v="0"/>
    <n v="0"/>
    <n v="0.33333333333333331"/>
    <n v="0.33333333333333331"/>
  </r>
  <r>
    <n v="5289"/>
    <n v="37668"/>
    <x v="1025"/>
    <x v="38"/>
    <s v="Low"/>
    <n v="33"/>
    <n v="478.27"/>
    <n v="0.01"/>
    <s v="Regular Air"/>
    <n v="-4.8459000000000003"/>
    <n v="13.99"/>
    <n v="7.51"/>
    <x v="719"/>
    <x v="4"/>
    <x v="4"/>
    <x v="2"/>
    <x v="1"/>
    <x v="16"/>
    <x v="535"/>
    <s v="Medium Box"/>
    <n v="0.39"/>
    <d v="2010-01-08T00:00:00"/>
    <n v="1"/>
    <n v="0"/>
    <n v="1"/>
    <n v="1"/>
  </r>
  <r>
    <n v="5322"/>
    <n v="37830"/>
    <x v="873"/>
    <x v="26"/>
    <s v="Not Specified"/>
    <n v="39"/>
    <n v="977.92"/>
    <n v="0.05"/>
    <s v="Express Air"/>
    <n v="148.88999999999999"/>
    <n v="25.99"/>
    <n v="5.37"/>
    <x v="713"/>
    <x v="4"/>
    <x v="4"/>
    <x v="2"/>
    <x v="0"/>
    <x v="12"/>
    <x v="1076"/>
    <s v="Small Box"/>
    <n v="0.56000000000000005"/>
    <d v="2009-08-18T00:00:00"/>
    <n v="0"/>
    <n v="0"/>
    <n v="1"/>
    <n v="0.16666666666666666"/>
  </r>
  <r>
    <n v="5343"/>
    <n v="37957"/>
    <x v="467"/>
    <x v="7"/>
    <s v="Not Specified"/>
    <n v="31"/>
    <n v="229.26"/>
    <n v="0"/>
    <s v="Regular Air"/>
    <n v="-37.202500000000001"/>
    <n v="6.81"/>
    <n v="5.48"/>
    <x v="343"/>
    <x v="4"/>
    <x v="4"/>
    <x v="0"/>
    <x v="0"/>
    <x v="2"/>
    <x v="964"/>
    <s v="Small Box"/>
    <n v="0.37"/>
    <d v="2010-11-06T00:00:00"/>
    <n v="0"/>
    <n v="0"/>
    <n v="1"/>
    <n v="1"/>
  </r>
  <r>
    <n v="5404"/>
    <n v="38406"/>
    <x v="353"/>
    <x v="15"/>
    <s v="Medium"/>
    <n v="12"/>
    <n v="754.94"/>
    <n v="0.01"/>
    <s v="Delivery Truck"/>
    <n v="-226.24"/>
    <n v="58.14"/>
    <n v="36.61"/>
    <x v="709"/>
    <x v="4"/>
    <x v="4"/>
    <x v="0"/>
    <x v="2"/>
    <x v="9"/>
    <x v="126"/>
    <s v="Jumbo Box"/>
    <n v="0.61"/>
    <d v="2010-12-03T00:00:00"/>
    <n v="0"/>
    <n v="0"/>
    <n v="1"/>
    <n v="1"/>
  </r>
  <r>
    <n v="5431"/>
    <n v="38594"/>
    <x v="866"/>
    <x v="47"/>
    <s v="Medium"/>
    <n v="26"/>
    <n v="1011.9"/>
    <n v="7.0000000000000007E-2"/>
    <s v="Regular Air"/>
    <n v="247.94"/>
    <n v="39.479999999999997"/>
    <n v="1.99"/>
    <x v="708"/>
    <x v="4"/>
    <x v="4"/>
    <x v="2"/>
    <x v="1"/>
    <x v="7"/>
    <x v="64"/>
    <s v="Small Pack"/>
    <n v="0.54"/>
    <d v="2009-12-02T00:00:00"/>
    <n v="0"/>
    <n v="0"/>
    <n v="1"/>
    <n v="1"/>
  </r>
  <r>
    <n v="5444"/>
    <n v="38657"/>
    <x v="493"/>
    <x v="39"/>
    <s v="Not Specified"/>
    <n v="38"/>
    <n v="1279.25"/>
    <n v="0.01"/>
    <s v="Regular Air"/>
    <n v="569.29999999999995"/>
    <n v="31.78"/>
    <n v="1.99"/>
    <x v="391"/>
    <x v="4"/>
    <x v="4"/>
    <x v="1"/>
    <x v="1"/>
    <x v="7"/>
    <x v="47"/>
    <s v="Small Pack"/>
    <n v="0.42"/>
    <d v="2010-05-29T00:00:00"/>
    <n v="0"/>
    <n v="0"/>
    <n v="1"/>
    <n v="1"/>
  </r>
  <r>
    <n v="5466"/>
    <n v="38850"/>
    <x v="36"/>
    <x v="24"/>
    <s v="Medium"/>
    <n v="34"/>
    <n v="12570.74"/>
    <n v="0.02"/>
    <s v="Delivery Truck"/>
    <n v="-4560.43"/>
    <n v="348.21"/>
    <n v="40.19"/>
    <x v="454"/>
    <x v="4"/>
    <x v="4"/>
    <x v="3"/>
    <x v="2"/>
    <x v="10"/>
    <x v="453"/>
    <s v="Jumbo Box"/>
    <n v="0.62"/>
    <d v="2010-05-01T00:00:00"/>
    <n v="0"/>
    <n v="0"/>
    <n v="1"/>
    <n v="1"/>
  </r>
  <r>
    <n v="5479"/>
    <n v="38913"/>
    <x v="706"/>
    <x v="35"/>
    <s v="Not Specified"/>
    <n v="7"/>
    <n v="230.29"/>
    <n v="0.03"/>
    <s v="Regular Air"/>
    <n v="-4.3009999999999939"/>
    <n v="31.74"/>
    <n v="12.62"/>
    <x v="424"/>
    <x v="4"/>
    <x v="4"/>
    <x v="3"/>
    <x v="0"/>
    <x v="2"/>
    <x v="920"/>
    <s v="Small Box"/>
    <n v="0.37"/>
    <d v="2009-09-06T00:00:00"/>
    <n v="0"/>
    <n v="0"/>
    <n v="1"/>
    <n v="0.5"/>
  </r>
  <r>
    <n v="5488"/>
    <n v="38948"/>
    <x v="739"/>
    <x v="4"/>
    <s v="Not Specified"/>
    <n v="9"/>
    <n v="1394.28"/>
    <n v="0.03"/>
    <s v="Regular Air"/>
    <n v="197.16"/>
    <n v="155.06"/>
    <n v="7.07"/>
    <x v="413"/>
    <x v="4"/>
    <x v="4"/>
    <x v="3"/>
    <x v="0"/>
    <x v="0"/>
    <x v="376"/>
    <s v="Small Box"/>
    <n v="0.59"/>
    <d v="2011-06-06T00:00:00"/>
    <n v="0"/>
    <n v="0"/>
    <n v="0.5"/>
    <n v="0.5"/>
  </r>
  <r>
    <n v="5489"/>
    <n v="38948"/>
    <x v="739"/>
    <x v="4"/>
    <s v="Not Specified"/>
    <n v="44"/>
    <n v="6862.2370000000001"/>
    <n v="0.05"/>
    <s v="Express Air"/>
    <n v="1839.204"/>
    <n v="179.99"/>
    <n v="13.99"/>
    <x v="413"/>
    <x v="4"/>
    <x v="4"/>
    <x v="3"/>
    <x v="1"/>
    <x v="3"/>
    <x v="223"/>
    <s v="Medium Box"/>
    <n v="0.56999999999999995"/>
    <d v="2011-06-06T00:00:00"/>
    <n v="0"/>
    <n v="0"/>
    <n v="0.5"/>
    <n v="0.5"/>
  </r>
  <r>
    <n v="5505"/>
    <n v="39041"/>
    <x v="1052"/>
    <x v="17"/>
    <s v="Critical"/>
    <n v="47"/>
    <n v="418.03"/>
    <n v="0"/>
    <s v="Express Air"/>
    <n v="-158.58000000000001"/>
    <n v="8.09"/>
    <n v="7.96"/>
    <x v="707"/>
    <x v="4"/>
    <x v="4"/>
    <x v="2"/>
    <x v="2"/>
    <x v="4"/>
    <x v="1172"/>
    <s v="Small Box"/>
    <n v="0.49"/>
    <d v="2011-10-26T00:00:00"/>
    <n v="0"/>
    <n v="0"/>
    <n v="0.5"/>
    <n v="0.5"/>
  </r>
  <r>
    <n v="5506"/>
    <n v="39041"/>
    <x v="1052"/>
    <x v="17"/>
    <s v="Critical"/>
    <n v="23"/>
    <n v="336.86"/>
    <n v="0.06"/>
    <s v="Regular Air"/>
    <n v="36.32"/>
    <n v="14.2"/>
    <n v="5.3"/>
    <x v="707"/>
    <x v="4"/>
    <x v="4"/>
    <x v="2"/>
    <x v="2"/>
    <x v="4"/>
    <x v="457"/>
    <s v="Wrap Bag"/>
    <n v="0.46"/>
    <d v="2011-10-28T00:00:00"/>
    <n v="0"/>
    <n v="0"/>
    <n v="0.5"/>
    <n v="0.5"/>
  </r>
  <r>
    <n v="5519"/>
    <n v="39136"/>
    <x v="342"/>
    <x v="41"/>
    <s v="High"/>
    <n v="49"/>
    <n v="2693.5140000000001"/>
    <n v="0.02"/>
    <s v="Regular Air"/>
    <n v="662.04899999999998"/>
    <n v="65.989999999999995"/>
    <n v="3.99"/>
    <x v="386"/>
    <x v="4"/>
    <x v="4"/>
    <x v="2"/>
    <x v="1"/>
    <x v="3"/>
    <x v="440"/>
    <s v="Small Box"/>
    <n v="0.59"/>
    <d v="2009-06-26T00:00:00"/>
    <n v="0"/>
    <n v="0"/>
    <n v="1"/>
    <n v="1"/>
  </r>
  <r>
    <n v="5535"/>
    <n v="39232"/>
    <x v="997"/>
    <x v="2"/>
    <s v="Low"/>
    <n v="11"/>
    <n v="391.9"/>
    <n v="0.1"/>
    <s v="Regular Air"/>
    <n v="-47.01"/>
    <n v="35.44"/>
    <n v="19.989999999999998"/>
    <x v="707"/>
    <x v="4"/>
    <x v="4"/>
    <x v="2"/>
    <x v="0"/>
    <x v="5"/>
    <x v="1063"/>
    <s v="Small Box"/>
    <n v="0.38"/>
    <d v="2011-07-14T00:00:00"/>
    <n v="0"/>
    <n v="0"/>
    <n v="0.5"/>
    <n v="0.5"/>
  </r>
  <r>
    <n v="5536"/>
    <n v="39232"/>
    <x v="997"/>
    <x v="2"/>
    <s v="Low"/>
    <n v="26"/>
    <n v="1451.59"/>
    <n v="0.06"/>
    <s v="Regular Air"/>
    <n v="435.11"/>
    <n v="55.48"/>
    <n v="14.3"/>
    <x v="707"/>
    <x v="4"/>
    <x v="4"/>
    <x v="2"/>
    <x v="0"/>
    <x v="5"/>
    <x v="381"/>
    <s v="Small Box"/>
    <n v="0.37"/>
    <d v="2011-07-17T00:00:00"/>
    <n v="0"/>
    <n v="0"/>
    <n v="0.5"/>
    <n v="0.5"/>
  </r>
  <r>
    <n v="5586"/>
    <n v="39617"/>
    <x v="962"/>
    <x v="25"/>
    <s v="Not Specified"/>
    <n v="33"/>
    <n v="1283.68"/>
    <n v="0.08"/>
    <s v="Regular Air"/>
    <n v="202.47"/>
    <n v="39.979999999999997"/>
    <n v="9.1999999999999993"/>
    <x v="399"/>
    <x v="4"/>
    <x v="4"/>
    <x v="0"/>
    <x v="2"/>
    <x v="4"/>
    <x v="131"/>
    <s v="Wrap Bag"/>
    <n v="0.65"/>
    <d v="2011-12-19T00:00:00"/>
    <n v="0"/>
    <n v="0"/>
    <n v="0.5"/>
    <n v="0.5"/>
  </r>
  <r>
    <n v="5587"/>
    <n v="39617"/>
    <x v="962"/>
    <x v="25"/>
    <s v="Not Specified"/>
    <n v="28"/>
    <n v="169.46"/>
    <n v="0.02"/>
    <s v="Regular Air"/>
    <n v="34.24"/>
    <n v="5.84"/>
    <n v="1.2"/>
    <x v="399"/>
    <x v="4"/>
    <x v="4"/>
    <x v="0"/>
    <x v="0"/>
    <x v="12"/>
    <x v="288"/>
    <s v="Wrap Bag"/>
    <n v="0.55000000000000004"/>
    <d v="2011-12-19T00:00:00"/>
    <n v="0"/>
    <n v="0"/>
    <n v="0.5"/>
    <n v="0.5"/>
  </r>
  <r>
    <n v="5589"/>
    <n v="39649"/>
    <x v="1287"/>
    <x v="19"/>
    <s v="High"/>
    <n v="10"/>
    <n v="1351.653"/>
    <n v="0.01"/>
    <s v="Express Air"/>
    <n v="-202.851"/>
    <n v="155.99"/>
    <n v="8.99"/>
    <x v="380"/>
    <x v="4"/>
    <x v="4"/>
    <x v="2"/>
    <x v="1"/>
    <x v="3"/>
    <x v="554"/>
    <s v="Small Box"/>
    <n v="0.57999999999999996"/>
    <d v="2009-10-20T00:00:00"/>
    <n v="0"/>
    <n v="0"/>
    <n v="0.5"/>
    <n v="0.5"/>
  </r>
  <r>
    <n v="5590"/>
    <n v="39649"/>
    <x v="1287"/>
    <x v="19"/>
    <s v="High"/>
    <n v="9"/>
    <n v="63"/>
    <n v="0.01"/>
    <s v="Regular Air"/>
    <n v="-17.48"/>
    <n v="5.98"/>
    <n v="5.46"/>
    <x v="380"/>
    <x v="4"/>
    <x v="4"/>
    <x v="2"/>
    <x v="0"/>
    <x v="5"/>
    <x v="584"/>
    <s v="Small Box"/>
    <n v="0.36"/>
    <d v="2009-10-21T00:00:00"/>
    <n v="0"/>
    <n v="0"/>
    <n v="0.5"/>
    <n v="0.5"/>
  </r>
  <r>
    <n v="5595"/>
    <n v="39654"/>
    <x v="1190"/>
    <x v="34"/>
    <s v="Medium"/>
    <n v="39"/>
    <n v="856.15"/>
    <n v="0.03"/>
    <s v="Express Air"/>
    <n v="330.02949999999998"/>
    <n v="21.38"/>
    <n v="2.99"/>
    <x v="450"/>
    <x v="4"/>
    <x v="4"/>
    <x v="2"/>
    <x v="0"/>
    <x v="2"/>
    <x v="1074"/>
    <s v="Small Box"/>
    <n v="0.37"/>
    <d v="2012-10-01T00:00:00"/>
    <n v="0"/>
    <n v="0"/>
    <n v="1"/>
    <n v="1"/>
  </r>
  <r>
    <n v="5618"/>
    <n v="39808"/>
    <x v="780"/>
    <x v="34"/>
    <s v="Low"/>
    <n v="50"/>
    <n v="2026.42"/>
    <n v="0.03"/>
    <s v="Regular Air"/>
    <n v="655.36"/>
    <n v="39.979999999999997"/>
    <n v="9.83"/>
    <x v="401"/>
    <x v="4"/>
    <x v="4"/>
    <x v="2"/>
    <x v="0"/>
    <x v="8"/>
    <x v="854"/>
    <s v="Small Box"/>
    <n v="0.4"/>
    <d v="2012-09-09T00:00:00"/>
    <n v="0"/>
    <n v="0"/>
    <n v="0.5"/>
    <n v="0.5"/>
  </r>
  <r>
    <n v="5619"/>
    <n v="39808"/>
    <x v="780"/>
    <x v="34"/>
    <s v="Low"/>
    <n v="31"/>
    <n v="3413.4555"/>
    <n v="0.03"/>
    <s v="Regular Air"/>
    <n v="868.47299999999996"/>
    <n v="125.99"/>
    <n v="2.5"/>
    <x v="401"/>
    <x v="4"/>
    <x v="4"/>
    <x v="2"/>
    <x v="1"/>
    <x v="3"/>
    <x v="738"/>
    <s v="Small Box"/>
    <n v="0.6"/>
    <d v="2012-09-06T00:00:00"/>
    <n v="0"/>
    <n v="0"/>
    <n v="0.5"/>
    <n v="0.5"/>
  </r>
  <r>
    <n v="5623"/>
    <n v="39841"/>
    <x v="1268"/>
    <x v="38"/>
    <s v="Medium"/>
    <n v="43"/>
    <n v="294.13"/>
    <n v="0.01"/>
    <s v="Regular Air"/>
    <n v="-123.07"/>
    <n v="6.68"/>
    <n v="6.92"/>
    <x v="420"/>
    <x v="4"/>
    <x v="4"/>
    <x v="0"/>
    <x v="0"/>
    <x v="5"/>
    <x v="526"/>
    <s v="Small Box"/>
    <n v="0.37"/>
    <d v="2010-01-03T00:00:00"/>
    <n v="1"/>
    <n v="0"/>
    <n v="1"/>
    <n v="1"/>
  </r>
  <r>
    <n v="5630"/>
    <n v="39847"/>
    <x v="1308"/>
    <x v="24"/>
    <s v="Not Specified"/>
    <n v="29"/>
    <n v="125.41"/>
    <n v="0.08"/>
    <s v="Regular Air"/>
    <n v="-127.006"/>
    <n v="4.38"/>
    <n v="6.21"/>
    <x v="376"/>
    <x v="4"/>
    <x v="4"/>
    <x v="3"/>
    <x v="0"/>
    <x v="2"/>
    <x v="1211"/>
    <s v="Small Box"/>
    <n v="0.37"/>
    <d v="2010-04-05T00:00:00"/>
    <n v="0"/>
    <n v="0"/>
    <n v="0.33333333333333331"/>
    <n v="0.16666666666666666"/>
  </r>
  <r>
    <n v="5631"/>
    <n v="39847"/>
    <x v="1308"/>
    <x v="24"/>
    <s v="Not Specified"/>
    <n v="49"/>
    <n v="3170.52"/>
    <n v="0.08"/>
    <s v="Regular Air"/>
    <n v="379.11"/>
    <n v="64.98"/>
    <n v="6.88"/>
    <x v="376"/>
    <x v="4"/>
    <x v="4"/>
    <x v="3"/>
    <x v="0"/>
    <x v="0"/>
    <x v="391"/>
    <s v="Small Box"/>
    <n v="0.73"/>
    <d v="2010-04-05T00:00:00"/>
    <n v="0"/>
    <n v="0"/>
    <n v="0.33333333333333331"/>
    <n v="0.16666666666666666"/>
  </r>
  <r>
    <n v="5632"/>
    <n v="39847"/>
    <x v="1308"/>
    <x v="24"/>
    <s v="Not Specified"/>
    <n v="20"/>
    <n v="2488.4769999999999"/>
    <n v="0.08"/>
    <s v="Regular Air"/>
    <n v="142.55099999999999"/>
    <n v="155.99"/>
    <n v="8.99"/>
    <x v="376"/>
    <x v="4"/>
    <x v="4"/>
    <x v="3"/>
    <x v="1"/>
    <x v="3"/>
    <x v="554"/>
    <s v="Small Box"/>
    <n v="0.57999999999999996"/>
    <d v="2010-04-06T00:00:00"/>
    <n v="0"/>
    <n v="0"/>
    <n v="0.33333333333333331"/>
    <n v="0.16666666666666666"/>
  </r>
  <r>
    <n v="5641"/>
    <n v="39907"/>
    <x v="1349"/>
    <x v="3"/>
    <s v="Low"/>
    <n v="12"/>
    <n v="378.84"/>
    <n v="0.05"/>
    <s v="Regular Air"/>
    <n v="-99.38"/>
    <n v="30.73"/>
    <n v="4"/>
    <x v="376"/>
    <x v="4"/>
    <x v="4"/>
    <x v="3"/>
    <x v="1"/>
    <x v="7"/>
    <x v="161"/>
    <s v="Small Box"/>
    <n v="0.75"/>
    <d v="2010-09-07T00:00:00"/>
    <n v="0"/>
    <n v="0"/>
    <n v="1"/>
    <n v="1"/>
  </r>
  <r>
    <n v="5663"/>
    <n v="40068"/>
    <x v="875"/>
    <x v="24"/>
    <s v="Low"/>
    <n v="1"/>
    <n v="200.38"/>
    <n v="0.02"/>
    <s v="Delivery Truck"/>
    <n v="-90.41"/>
    <n v="160.97999999999999"/>
    <n v="30"/>
    <x v="376"/>
    <x v="4"/>
    <x v="4"/>
    <x v="3"/>
    <x v="2"/>
    <x v="14"/>
    <x v="580"/>
    <s v="Jumbo Drum"/>
    <n v="0.62"/>
    <d v="2010-04-22T00:00:00"/>
    <n v="0"/>
    <n v="0"/>
    <n v="0.33333333333333331"/>
    <n v="0.16666666666666666"/>
  </r>
  <r>
    <n v="5664"/>
    <n v="40068"/>
    <x v="875"/>
    <x v="24"/>
    <s v="Low"/>
    <n v="2"/>
    <n v="128.52000000000001"/>
    <n v="0.1"/>
    <s v="Regular Air"/>
    <n v="-110.07"/>
    <n v="64.98"/>
    <n v="6.88"/>
    <x v="376"/>
    <x v="4"/>
    <x v="4"/>
    <x v="3"/>
    <x v="0"/>
    <x v="0"/>
    <x v="391"/>
    <s v="Small Box"/>
    <n v="0.73"/>
    <d v="2010-04-24T00:00:00"/>
    <n v="0"/>
    <n v="0"/>
    <n v="0.33333333333333331"/>
    <n v="0.16666666666666666"/>
  </r>
  <r>
    <n v="5665"/>
    <n v="40068"/>
    <x v="875"/>
    <x v="24"/>
    <s v="Low"/>
    <n v="24"/>
    <n v="6717.7839999999997"/>
    <n v="0"/>
    <s v="Delivery Truck"/>
    <n v="1903.1"/>
    <n v="348.21"/>
    <n v="40.19"/>
    <x v="376"/>
    <x v="4"/>
    <x v="4"/>
    <x v="3"/>
    <x v="2"/>
    <x v="10"/>
    <x v="453"/>
    <s v="Jumbo Box"/>
    <n v="0.62"/>
    <d v="2010-04-20T00:00:00"/>
    <n v="0"/>
    <n v="0"/>
    <n v="0.33333333333333331"/>
    <n v="0.16666666666666666"/>
  </r>
  <r>
    <n v="5710"/>
    <n v="40420"/>
    <x v="209"/>
    <x v="16"/>
    <s v="High"/>
    <n v="22"/>
    <n v="59.08"/>
    <n v="0.1"/>
    <s v="Regular Air"/>
    <n v="-2.6105"/>
    <n v="2.88"/>
    <n v="1.49"/>
    <x v="717"/>
    <x v="4"/>
    <x v="4"/>
    <x v="2"/>
    <x v="0"/>
    <x v="2"/>
    <x v="612"/>
    <s v="Small Box"/>
    <n v="0.36"/>
    <d v="2011-01-12T00:00:00"/>
    <n v="0"/>
    <n v="0"/>
    <n v="0.5"/>
    <n v="0.5"/>
  </r>
  <r>
    <n v="5711"/>
    <n v="40420"/>
    <x v="209"/>
    <x v="16"/>
    <s v="High"/>
    <n v="50"/>
    <n v="886.36299999999994"/>
    <n v="0.08"/>
    <s v="Regular Air"/>
    <n v="450.01799999999997"/>
    <n v="20.99"/>
    <n v="0.99"/>
    <x v="717"/>
    <x v="4"/>
    <x v="4"/>
    <x v="2"/>
    <x v="1"/>
    <x v="3"/>
    <x v="163"/>
    <s v="Wrap Bag"/>
    <n v="0.37"/>
    <d v="2011-01-12T00:00:00"/>
    <n v="0"/>
    <n v="0"/>
    <n v="0.5"/>
    <n v="0.5"/>
  </r>
  <r>
    <n v="5716"/>
    <n v="40485"/>
    <x v="847"/>
    <x v="47"/>
    <s v="Not Specified"/>
    <n v="36"/>
    <n v="222.25"/>
    <n v="0.05"/>
    <s v="Regular Air"/>
    <n v="-63.77"/>
    <n v="5.98"/>
    <n v="5.46"/>
    <x v="721"/>
    <x v="4"/>
    <x v="4"/>
    <x v="2"/>
    <x v="0"/>
    <x v="5"/>
    <x v="584"/>
    <s v="Small Box"/>
    <n v="0.36"/>
    <d v="2009-12-27T00:00:00"/>
    <n v="0"/>
    <n v="0"/>
    <n v="0.5"/>
    <n v="0.5"/>
  </r>
  <r>
    <n v="5717"/>
    <n v="40485"/>
    <x v="847"/>
    <x v="47"/>
    <s v="Not Specified"/>
    <n v="7"/>
    <n v="388.71350000000001"/>
    <n v="0.01"/>
    <s v="Regular Air"/>
    <n v="-190.42100000000002"/>
    <n v="65.989999999999995"/>
    <n v="3.99"/>
    <x v="721"/>
    <x v="4"/>
    <x v="4"/>
    <x v="2"/>
    <x v="1"/>
    <x v="3"/>
    <x v="440"/>
    <s v="Small Box"/>
    <n v="0.59"/>
    <d v="2009-12-28T00:00:00"/>
    <n v="0"/>
    <n v="0"/>
    <n v="0.5"/>
    <n v="0.5"/>
  </r>
  <r>
    <n v="5781"/>
    <n v="40998"/>
    <x v="1215"/>
    <x v="43"/>
    <s v="Medium"/>
    <n v="43"/>
    <n v="1233.22"/>
    <n v="0.05"/>
    <s v="Regular Air"/>
    <n v="385.46"/>
    <n v="29.89"/>
    <n v="1.99"/>
    <x v="346"/>
    <x v="4"/>
    <x v="4"/>
    <x v="0"/>
    <x v="1"/>
    <x v="7"/>
    <x v="412"/>
    <s v="Small Pack"/>
    <n v="0.5"/>
    <d v="2009-05-03T00:00:00"/>
    <n v="0"/>
    <n v="0"/>
    <n v="0.5"/>
    <n v="0.5"/>
  </r>
  <r>
    <n v="5782"/>
    <n v="40998"/>
    <x v="1215"/>
    <x v="43"/>
    <s v="Medium"/>
    <n v="39"/>
    <n v="144.82"/>
    <n v="0.08"/>
    <s v="Regular Air"/>
    <n v="28.4"/>
    <n v="4"/>
    <n v="1.3"/>
    <x v="346"/>
    <x v="4"/>
    <x v="4"/>
    <x v="0"/>
    <x v="0"/>
    <x v="5"/>
    <x v="910"/>
    <s v="Wrap Bag"/>
    <n v="0.37"/>
    <d v="2009-05-04T00:00:00"/>
    <n v="0"/>
    <n v="0"/>
    <n v="0.5"/>
    <n v="0.5"/>
  </r>
  <r>
    <n v="5793"/>
    <n v="41091"/>
    <x v="864"/>
    <x v="43"/>
    <s v="Medium"/>
    <n v="32"/>
    <n v="6310.69"/>
    <n v="0.1"/>
    <s v="Express Air"/>
    <n v="1318.83"/>
    <n v="218.08"/>
    <n v="18.059999999999999"/>
    <x v="347"/>
    <x v="4"/>
    <x v="4"/>
    <x v="1"/>
    <x v="2"/>
    <x v="14"/>
    <x v="86"/>
    <s v="Large Box"/>
    <n v="0.56999999999999995"/>
    <d v="2009-05-25T00:00:00"/>
    <n v="0"/>
    <n v="0"/>
    <n v="1"/>
    <n v="1"/>
  </r>
  <r>
    <n v="5800"/>
    <n v="41152"/>
    <x v="1235"/>
    <x v="31"/>
    <s v="High"/>
    <n v="49"/>
    <n v="3702.92"/>
    <n v="0.03"/>
    <s v="Regular Air"/>
    <n v="541.91999999999996"/>
    <n v="76.72"/>
    <n v="19.95"/>
    <x v="343"/>
    <x v="4"/>
    <x v="4"/>
    <x v="2"/>
    <x v="0"/>
    <x v="1"/>
    <x v="322"/>
    <s v="Large Box"/>
    <n v="0.54"/>
    <d v="2011-09-04T00:00:00"/>
    <n v="0"/>
    <n v="0"/>
    <n v="0.5"/>
    <n v="0.25"/>
  </r>
  <r>
    <n v="5801"/>
    <n v="41152"/>
    <x v="1235"/>
    <x v="31"/>
    <s v="High"/>
    <n v="29"/>
    <n v="53.99"/>
    <n v="0.1"/>
    <s v="Regular Air"/>
    <n v="-15.1225"/>
    <n v="1.88"/>
    <n v="1.49"/>
    <x v="343"/>
    <x v="4"/>
    <x v="4"/>
    <x v="2"/>
    <x v="0"/>
    <x v="2"/>
    <x v="74"/>
    <s v="Small Box"/>
    <n v="0.37"/>
    <d v="2011-09-05T00:00:00"/>
    <n v="0"/>
    <n v="0"/>
    <n v="0.5"/>
    <n v="0.25"/>
  </r>
  <r>
    <n v="5804"/>
    <n v="41157"/>
    <x v="480"/>
    <x v="37"/>
    <s v="Medium"/>
    <n v="39"/>
    <n v="3854.4"/>
    <n v="0.09"/>
    <s v="Regular Air"/>
    <n v="1116.98"/>
    <n v="107.53"/>
    <n v="5.81"/>
    <x v="375"/>
    <x v="4"/>
    <x v="4"/>
    <x v="3"/>
    <x v="2"/>
    <x v="4"/>
    <x v="348"/>
    <s v="Medium Box"/>
    <n v="0.65"/>
    <d v="2011-04-18T00:00:00"/>
    <n v="0"/>
    <n v="0"/>
    <n v="1"/>
    <n v="1"/>
  </r>
  <r>
    <n v="5826"/>
    <n v="41349"/>
    <x v="962"/>
    <x v="25"/>
    <s v="Critical"/>
    <n v="44"/>
    <n v="346.2"/>
    <n v="0"/>
    <s v="Express Air"/>
    <n v="-335.685"/>
    <n v="7.38"/>
    <n v="11.51"/>
    <x v="376"/>
    <x v="4"/>
    <x v="4"/>
    <x v="3"/>
    <x v="0"/>
    <x v="2"/>
    <x v="1140"/>
    <s v="Small Box"/>
    <n v="0.36"/>
    <d v="2011-12-18T00:00:00"/>
    <n v="0"/>
    <n v="0"/>
    <n v="0.33333333333333331"/>
    <n v="0.33333333333333331"/>
  </r>
  <r>
    <n v="5827"/>
    <n v="41349"/>
    <x v="962"/>
    <x v="25"/>
    <s v="Critical"/>
    <n v="4"/>
    <n v="85.96"/>
    <n v="0.08"/>
    <s v="Express Air"/>
    <n v="-7.48"/>
    <n v="20.239999999999998"/>
    <n v="8.99"/>
    <x v="376"/>
    <x v="4"/>
    <x v="4"/>
    <x v="3"/>
    <x v="2"/>
    <x v="4"/>
    <x v="265"/>
    <s v="Small Pack"/>
    <n v="0.46"/>
    <d v="2011-12-19T00:00:00"/>
    <n v="0"/>
    <n v="0"/>
    <n v="0.33333333333333331"/>
    <n v="0.33333333333333331"/>
  </r>
  <r>
    <n v="5828"/>
    <n v="41349"/>
    <x v="962"/>
    <x v="25"/>
    <s v="Critical"/>
    <n v="39"/>
    <n v="475.52"/>
    <n v="7.0000000000000007E-2"/>
    <s v="Regular Air"/>
    <n v="-70.430000000000007"/>
    <n v="12.44"/>
    <n v="6.27"/>
    <x v="376"/>
    <x v="4"/>
    <x v="4"/>
    <x v="3"/>
    <x v="0"/>
    <x v="0"/>
    <x v="587"/>
    <s v="Medium Box"/>
    <n v="0.56999999999999995"/>
    <d v="2011-12-19T00:00:00"/>
    <n v="0"/>
    <n v="0"/>
    <n v="0.33333333333333331"/>
    <n v="0.33333333333333331"/>
  </r>
  <r>
    <n v="5841"/>
    <n v="41440"/>
    <x v="1387"/>
    <x v="35"/>
    <s v="High"/>
    <n v="20"/>
    <n v="92.94"/>
    <n v="0.09"/>
    <s v="Regular Air"/>
    <n v="37.770000000000003"/>
    <n v="4.91"/>
    <n v="0.5"/>
    <x v="544"/>
    <x v="4"/>
    <x v="4"/>
    <x v="2"/>
    <x v="0"/>
    <x v="11"/>
    <x v="383"/>
    <s v="Small Box"/>
    <n v="0.36"/>
    <d v="2009-09-23T00:00:00"/>
    <n v="0"/>
    <n v="0"/>
    <n v="0.5"/>
    <n v="0.5"/>
  </r>
  <r>
    <n v="5842"/>
    <n v="41440"/>
    <x v="1387"/>
    <x v="35"/>
    <s v="High"/>
    <n v="19"/>
    <n v="6070.96"/>
    <n v="0.01"/>
    <s v="Delivery Truck"/>
    <n v="173.48"/>
    <n v="296.18"/>
    <n v="54.12"/>
    <x v="544"/>
    <x v="4"/>
    <x v="4"/>
    <x v="2"/>
    <x v="2"/>
    <x v="10"/>
    <x v="300"/>
    <s v="Jumbo Box"/>
    <n v="0.76"/>
    <d v="2009-09-25T00:00:00"/>
    <n v="0"/>
    <n v="0"/>
    <n v="0.5"/>
    <n v="0.5"/>
  </r>
  <r>
    <n v="5850"/>
    <n v="41539"/>
    <x v="788"/>
    <x v="10"/>
    <s v="High"/>
    <n v="24"/>
    <n v="41.85"/>
    <n v="0.04"/>
    <s v="Express Air"/>
    <n v="-8.44"/>
    <n v="1.6"/>
    <n v="1.29"/>
    <x v="710"/>
    <x v="4"/>
    <x v="4"/>
    <x v="1"/>
    <x v="0"/>
    <x v="12"/>
    <x v="1206"/>
    <s v="Wrap Bag"/>
    <n v="0.42"/>
    <d v="2011-05-05T00:00:00"/>
    <n v="0"/>
    <n v="0"/>
    <n v="0.5"/>
    <n v="0.5"/>
  </r>
  <r>
    <n v="5851"/>
    <n v="41539"/>
    <x v="788"/>
    <x v="10"/>
    <s v="High"/>
    <n v="41"/>
    <n v="2303.7125000000001"/>
    <n v="0.04"/>
    <s v="Regular Air"/>
    <n v="398.22300000000001"/>
    <n v="65.989999999999995"/>
    <n v="8.99"/>
    <x v="710"/>
    <x v="4"/>
    <x v="4"/>
    <x v="1"/>
    <x v="1"/>
    <x v="3"/>
    <x v="451"/>
    <s v="Small Box"/>
    <n v="0.57999999999999996"/>
    <d v="2011-05-04T00:00:00"/>
    <n v="0"/>
    <n v="0"/>
    <n v="0.5"/>
    <n v="0.5"/>
  </r>
  <r>
    <n v="5859"/>
    <n v="41574"/>
    <x v="583"/>
    <x v="18"/>
    <s v="High"/>
    <n v="23"/>
    <n v="283.82"/>
    <n v="0.01"/>
    <s v="Regular Air"/>
    <n v="-38.94"/>
    <n v="11.97"/>
    <n v="5.81"/>
    <x v="401"/>
    <x v="4"/>
    <x v="4"/>
    <x v="2"/>
    <x v="0"/>
    <x v="12"/>
    <x v="393"/>
    <s v="Small Pack"/>
    <n v="0.6"/>
    <d v="2010-09-22T00:00:00"/>
    <n v="0"/>
    <n v="0"/>
    <n v="1"/>
    <n v="1"/>
  </r>
  <r>
    <n v="5902"/>
    <n v="41831"/>
    <x v="42"/>
    <x v="29"/>
    <s v="Not Specified"/>
    <n v="43"/>
    <n v="3441.09"/>
    <n v="0.03"/>
    <s v="Delivery Truck"/>
    <n v="431.95"/>
    <n v="80.97"/>
    <n v="30.06"/>
    <x v="342"/>
    <x v="4"/>
    <x v="4"/>
    <x v="2"/>
    <x v="1"/>
    <x v="16"/>
    <x v="792"/>
    <s v="Jumbo Box"/>
    <n v="0.4"/>
    <d v="2012-07-23T00:00:00"/>
    <n v="0"/>
    <n v="0"/>
    <n v="0.5"/>
    <n v="0.5"/>
  </r>
  <r>
    <n v="5903"/>
    <n v="41831"/>
    <x v="42"/>
    <x v="29"/>
    <s v="Not Specified"/>
    <n v="38"/>
    <n v="209.61"/>
    <n v="0.05"/>
    <s v="Regular Air"/>
    <n v="-96.29"/>
    <n v="5.28"/>
    <n v="5.66"/>
    <x v="342"/>
    <x v="4"/>
    <x v="4"/>
    <x v="2"/>
    <x v="0"/>
    <x v="5"/>
    <x v="299"/>
    <s v="Small Box"/>
    <n v="0.4"/>
    <d v="2012-07-22T00:00:00"/>
    <n v="0"/>
    <n v="0"/>
    <n v="0.5"/>
    <n v="0.5"/>
  </r>
  <r>
    <n v="5906"/>
    <n v="41888"/>
    <x v="1302"/>
    <x v="40"/>
    <s v="Low"/>
    <n v="18"/>
    <n v="1979.47"/>
    <n v="0.1"/>
    <s v="Regular Air"/>
    <n v="690.26800000000003"/>
    <n v="120.98"/>
    <n v="9.07"/>
    <x v="719"/>
    <x v="4"/>
    <x v="4"/>
    <x v="2"/>
    <x v="0"/>
    <x v="2"/>
    <x v="352"/>
    <s v="Small Box"/>
    <n v="0.35"/>
    <d v="2009-03-09T00:00:00"/>
    <n v="0"/>
    <n v="0"/>
    <n v="0.33333333333333331"/>
    <n v="0.33333333333333331"/>
  </r>
  <r>
    <n v="5907"/>
    <n v="41888"/>
    <x v="1302"/>
    <x v="40"/>
    <s v="Low"/>
    <n v="23"/>
    <n v="187.8"/>
    <n v="0.08"/>
    <s v="Express Air"/>
    <n v="-41.83"/>
    <n v="8.32"/>
    <n v="2.38"/>
    <x v="719"/>
    <x v="4"/>
    <x v="4"/>
    <x v="2"/>
    <x v="1"/>
    <x v="7"/>
    <x v="1090"/>
    <s v="Small Pack"/>
    <n v="0.74"/>
    <d v="2009-03-04T00:00:00"/>
    <n v="0"/>
    <n v="0"/>
    <n v="0.33333333333333331"/>
    <n v="0.33333333333333331"/>
  </r>
  <r>
    <n v="5908"/>
    <n v="41888"/>
    <x v="1302"/>
    <x v="40"/>
    <s v="Low"/>
    <n v="29"/>
    <n v="2823.0369999999998"/>
    <n v="0.1"/>
    <s v="Regular Air"/>
    <n v="372.40199999999999"/>
    <n v="125.99"/>
    <n v="4.2"/>
    <x v="719"/>
    <x v="4"/>
    <x v="4"/>
    <x v="2"/>
    <x v="1"/>
    <x v="3"/>
    <x v="1087"/>
    <s v="Small Box"/>
    <n v="0.59"/>
    <d v="2009-02-28T00:00:00"/>
    <n v="0"/>
    <n v="0"/>
    <n v="0.33333333333333331"/>
    <n v="0.33333333333333331"/>
  </r>
  <r>
    <n v="5927"/>
    <n v="42054"/>
    <x v="1019"/>
    <x v="34"/>
    <s v="Medium"/>
    <n v="32"/>
    <n v="94.55"/>
    <n v="0.01"/>
    <s v="Regular Air"/>
    <n v="6.7404999999999999"/>
    <n v="2.88"/>
    <n v="1.49"/>
    <x v="270"/>
    <x v="4"/>
    <x v="4"/>
    <x v="1"/>
    <x v="0"/>
    <x v="2"/>
    <x v="612"/>
    <s v="Small Box"/>
    <n v="0.36"/>
    <d v="2012-09-16T00:00:00"/>
    <n v="0"/>
    <n v="0"/>
    <n v="1"/>
    <n v="1"/>
  </r>
  <r>
    <n v="5940"/>
    <n v="42148"/>
    <x v="333"/>
    <x v="17"/>
    <s v="Critical"/>
    <n v="11"/>
    <n v="45.31"/>
    <n v="7.0000000000000007E-2"/>
    <s v="Regular Air"/>
    <n v="-10.64"/>
    <n v="3.98"/>
    <n v="2.97"/>
    <x v="717"/>
    <x v="4"/>
    <x v="4"/>
    <x v="2"/>
    <x v="0"/>
    <x v="5"/>
    <x v="48"/>
    <s v="Wrap Bag"/>
    <n v="0.35"/>
    <d v="2011-10-23T00:00:00"/>
    <n v="0"/>
    <n v="0"/>
    <n v="1"/>
    <n v="1"/>
  </r>
  <r>
    <n v="5959"/>
    <n v="42306"/>
    <x v="1019"/>
    <x v="34"/>
    <s v="High"/>
    <n v="4"/>
    <n v="36.46"/>
    <n v="0.1"/>
    <s v="Regular Air"/>
    <n v="-7.4060000000000006"/>
    <n v="8.69"/>
    <n v="2.99"/>
    <x v="368"/>
    <x v="4"/>
    <x v="4"/>
    <x v="1"/>
    <x v="0"/>
    <x v="2"/>
    <x v="2"/>
    <s v="Small Box"/>
    <n v="0.39"/>
    <d v="2012-09-16T00:00:00"/>
    <n v="0"/>
    <n v="0"/>
    <n v="0.33333333333333331"/>
    <n v="0.33333333333333331"/>
  </r>
  <r>
    <n v="5967"/>
    <n v="42338"/>
    <x v="868"/>
    <x v="11"/>
    <s v="Not Specified"/>
    <n v="14"/>
    <n v="63.91"/>
    <n v="0.04"/>
    <s v="Regular Air"/>
    <n v="-44.47"/>
    <n v="4.1399999999999997"/>
    <n v="6.6"/>
    <x v="707"/>
    <x v="4"/>
    <x v="4"/>
    <x v="2"/>
    <x v="2"/>
    <x v="4"/>
    <x v="396"/>
    <s v="Small Box"/>
    <n v="0.49"/>
    <d v="2009-11-04T00:00:00"/>
    <n v="0"/>
    <n v="0"/>
    <n v="0.5"/>
    <n v="0.5"/>
  </r>
  <r>
    <n v="5968"/>
    <n v="42338"/>
    <x v="868"/>
    <x v="11"/>
    <s v="Not Specified"/>
    <n v="32"/>
    <n v="1909.0064999999997"/>
    <n v="0.01"/>
    <s v="Regular Air"/>
    <n v="344.13299999999998"/>
    <n v="65.989999999999995"/>
    <n v="8.99"/>
    <x v="707"/>
    <x v="4"/>
    <x v="4"/>
    <x v="2"/>
    <x v="1"/>
    <x v="3"/>
    <x v="1096"/>
    <s v="Small Box"/>
    <n v="0.59"/>
    <d v="2009-11-04T00:00:00"/>
    <n v="0"/>
    <n v="0"/>
    <n v="0.5"/>
    <n v="0.5"/>
  </r>
  <r>
    <n v="5972"/>
    <n v="42343"/>
    <x v="691"/>
    <x v="26"/>
    <s v="Critical"/>
    <n v="46"/>
    <n v="3412.08"/>
    <n v="0.04"/>
    <s v="Delivery Truck"/>
    <n v="239.23"/>
    <n v="70.98"/>
    <n v="26.85"/>
    <x v="388"/>
    <x v="4"/>
    <x v="4"/>
    <x v="2"/>
    <x v="2"/>
    <x v="9"/>
    <x v="1117"/>
    <s v="Jumbo Box"/>
    <m/>
    <d v="2009-08-16T00:00:00"/>
    <n v="0"/>
    <n v="0"/>
    <n v="0.5"/>
    <n v="0.5"/>
  </r>
  <r>
    <n v="5973"/>
    <n v="42343"/>
    <x v="691"/>
    <x v="26"/>
    <s v="Critical"/>
    <n v="31"/>
    <n v="1311.68"/>
    <n v="0.03"/>
    <s v="Regular Air"/>
    <n v="230.37"/>
    <n v="40.99"/>
    <n v="17.48"/>
    <x v="388"/>
    <x v="4"/>
    <x v="4"/>
    <x v="2"/>
    <x v="0"/>
    <x v="5"/>
    <x v="129"/>
    <s v="Small Box"/>
    <n v="0.36"/>
    <d v="2009-08-15T00:00:00"/>
    <n v="0"/>
    <n v="0"/>
    <n v="0.5"/>
    <n v="0.5"/>
  </r>
  <r>
    <n v="5991"/>
    <n v="42467"/>
    <x v="763"/>
    <x v="0"/>
    <s v="High"/>
    <n v="10"/>
    <n v="238.88"/>
    <n v="0.01"/>
    <s v="Regular Air"/>
    <n v="-48.207999999999998"/>
    <n v="22.38"/>
    <n v="15.1"/>
    <x v="413"/>
    <x v="4"/>
    <x v="4"/>
    <x v="3"/>
    <x v="0"/>
    <x v="2"/>
    <x v="290"/>
    <s v="Small Box"/>
    <n v="0.38"/>
    <d v="2010-10-14T00:00:00"/>
    <n v="0"/>
    <n v="0"/>
    <n v="0.33333333333333331"/>
    <n v="0.33333333333333331"/>
  </r>
  <r>
    <n v="5992"/>
    <n v="42467"/>
    <x v="763"/>
    <x v="0"/>
    <s v="High"/>
    <n v="39"/>
    <n v="1235.29"/>
    <n v="0"/>
    <s v="Express Air"/>
    <n v="53.63"/>
    <n v="30.98"/>
    <n v="6.5"/>
    <x v="413"/>
    <x v="4"/>
    <x v="4"/>
    <x v="3"/>
    <x v="1"/>
    <x v="7"/>
    <x v="455"/>
    <s v="Small Box"/>
    <n v="0.64"/>
    <d v="2010-10-16T00:00:00"/>
    <n v="0"/>
    <n v="0"/>
    <n v="0.33333333333333331"/>
    <n v="0.33333333333333331"/>
  </r>
  <r>
    <n v="5993"/>
    <n v="42467"/>
    <x v="763"/>
    <x v="0"/>
    <s v="High"/>
    <n v="12"/>
    <n v="1928.3269999999998"/>
    <n v="0.09"/>
    <s v="Regular Air"/>
    <n v="-253.374"/>
    <n v="195.99"/>
    <n v="8.99"/>
    <x v="413"/>
    <x v="4"/>
    <x v="4"/>
    <x v="3"/>
    <x v="1"/>
    <x v="3"/>
    <x v="521"/>
    <s v="Small Box"/>
    <n v="0.6"/>
    <d v="2010-10-16T00:00:00"/>
    <n v="0"/>
    <n v="0"/>
    <n v="0.33333333333333331"/>
    <n v="0.33333333333333331"/>
  </r>
  <r>
    <n v="6005"/>
    <n v="42529"/>
    <x v="252"/>
    <x v="0"/>
    <s v="Low"/>
    <n v="8"/>
    <n v="57.15"/>
    <n v="0.03"/>
    <s v="Regular Air"/>
    <n v="-33.950000000000003"/>
    <n v="5.98"/>
    <n v="7.5"/>
    <x v="409"/>
    <x v="4"/>
    <x v="4"/>
    <x v="0"/>
    <x v="0"/>
    <x v="5"/>
    <x v="437"/>
    <s v="Small Box"/>
    <n v="0.4"/>
    <d v="2010-10-15T00:00:00"/>
    <n v="0"/>
    <n v="0"/>
    <n v="0.33333333333333331"/>
    <n v="0.33333333333333331"/>
  </r>
  <r>
    <n v="6008"/>
    <n v="42563"/>
    <x v="424"/>
    <x v="3"/>
    <s v="Medium"/>
    <n v="7"/>
    <n v="44.25"/>
    <n v="7.0000000000000007E-2"/>
    <s v="Express Air"/>
    <n v="-14.3635"/>
    <n v="4.24"/>
    <n v="5.41"/>
    <x v="717"/>
    <x v="4"/>
    <x v="4"/>
    <x v="2"/>
    <x v="0"/>
    <x v="2"/>
    <x v="683"/>
    <s v="Small Box"/>
    <n v="0.35"/>
    <d v="2010-08-12T00:00:00"/>
    <n v="0"/>
    <n v="0"/>
    <n v="1"/>
    <n v="1"/>
  </r>
  <r>
    <n v="6011"/>
    <n v="42567"/>
    <x v="1057"/>
    <x v="38"/>
    <s v="Critical"/>
    <n v="12"/>
    <n v="1940.32"/>
    <n v="0"/>
    <s v="Delivery Truck"/>
    <n v="-18.809999999999999"/>
    <n v="146.34"/>
    <n v="43.75"/>
    <x v="359"/>
    <x v="4"/>
    <x v="4"/>
    <x v="0"/>
    <x v="2"/>
    <x v="10"/>
    <x v="99"/>
    <s v="Jumbo Box"/>
    <n v="0.65"/>
    <d v="2010-01-13T00:00:00"/>
    <n v="1"/>
    <n v="0"/>
    <n v="1"/>
    <n v="1"/>
  </r>
  <r>
    <n v="6024"/>
    <n v="42691"/>
    <x v="1199"/>
    <x v="39"/>
    <s v="Low"/>
    <n v="50"/>
    <n v="2447.65"/>
    <n v="0"/>
    <s v="Regular Air"/>
    <n v="1170.3499999999999"/>
    <n v="46.94"/>
    <n v="6.77"/>
    <x v="304"/>
    <x v="4"/>
    <x v="4"/>
    <x v="3"/>
    <x v="2"/>
    <x v="4"/>
    <x v="852"/>
    <s v="Small Box"/>
    <n v="0.44"/>
    <d v="2010-06-02T00:00:00"/>
    <n v="0"/>
    <n v="0"/>
    <n v="0.5"/>
    <n v="0.5"/>
  </r>
  <r>
    <n v="6025"/>
    <n v="42691"/>
    <x v="1199"/>
    <x v="39"/>
    <s v="Low"/>
    <n v="7"/>
    <n v="1069.6400000000001"/>
    <n v="0.09"/>
    <s v="Regular Air"/>
    <n v="-139.75"/>
    <n v="161.55000000000001"/>
    <n v="19.989999999999998"/>
    <x v="304"/>
    <x v="4"/>
    <x v="4"/>
    <x v="3"/>
    <x v="0"/>
    <x v="0"/>
    <x v="533"/>
    <s v="Small Box"/>
    <n v="0.66"/>
    <d v="2010-05-28T00:00:00"/>
    <n v="0"/>
    <n v="0"/>
    <n v="0.5"/>
    <n v="0.5"/>
  </r>
  <r>
    <n v="6058"/>
    <n v="42919"/>
    <x v="859"/>
    <x v="17"/>
    <s v="Medium"/>
    <n v="7"/>
    <n v="1143.4285"/>
    <n v="0.04"/>
    <s v="Express Air"/>
    <n v="-475.66200000000003"/>
    <n v="195.99"/>
    <n v="4.2"/>
    <x v="721"/>
    <x v="4"/>
    <x v="4"/>
    <x v="2"/>
    <x v="1"/>
    <x v="3"/>
    <x v="781"/>
    <s v="Small Box"/>
    <n v="0.56000000000000005"/>
    <d v="2011-10-07T00:00:00"/>
    <n v="0"/>
    <n v="0"/>
    <n v="1"/>
    <n v="1"/>
  </r>
  <r>
    <n v="6070"/>
    <n v="43010"/>
    <x v="1018"/>
    <x v="1"/>
    <s v="Critical"/>
    <n v="40"/>
    <n v="233.2"/>
    <n v="0"/>
    <s v="Regular Air"/>
    <n v="74.83"/>
    <n v="5.68"/>
    <n v="1.46"/>
    <x v="711"/>
    <x v="4"/>
    <x v="4"/>
    <x v="3"/>
    <x v="0"/>
    <x v="5"/>
    <x v="258"/>
    <s v="Wrap Bag"/>
    <n v="0.39"/>
    <d v="2012-10-09T00:00:00"/>
    <n v="0"/>
    <n v="0"/>
    <n v="0.5"/>
    <n v="0.5"/>
  </r>
  <r>
    <n v="6071"/>
    <n v="43010"/>
    <x v="1018"/>
    <x v="1"/>
    <s v="Critical"/>
    <n v="24"/>
    <n v="245.53"/>
    <n v="0.02"/>
    <s v="Regular Air"/>
    <n v="83.16"/>
    <n v="10.14"/>
    <n v="2.27"/>
    <x v="711"/>
    <x v="4"/>
    <x v="4"/>
    <x v="3"/>
    <x v="0"/>
    <x v="5"/>
    <x v="88"/>
    <s v="Wrap Bag"/>
    <n v="0.36"/>
    <d v="2012-10-11T00:00:00"/>
    <n v="0"/>
    <n v="0"/>
    <n v="0.5"/>
    <n v="0.5"/>
  </r>
  <r>
    <n v="6074"/>
    <n v="43043"/>
    <x v="381"/>
    <x v="13"/>
    <s v="Critical"/>
    <n v="4"/>
    <n v="904.12"/>
    <n v="7.0000000000000007E-2"/>
    <s v="Regular Air"/>
    <n v="28.81"/>
    <n v="225.04"/>
    <n v="11.79"/>
    <x v="707"/>
    <x v="4"/>
    <x v="4"/>
    <x v="2"/>
    <x v="0"/>
    <x v="1"/>
    <x v="464"/>
    <s v="Medium Box"/>
    <n v="0.42"/>
    <d v="2012-04-16T00:00:00"/>
    <n v="0"/>
    <n v="0"/>
    <n v="1"/>
    <n v="1"/>
  </r>
  <r>
    <n v="6092"/>
    <n v="43170"/>
    <x v="1130"/>
    <x v="39"/>
    <s v="Low"/>
    <n v="25"/>
    <n v="7667.78"/>
    <n v="0.04"/>
    <s v="Delivery Truck"/>
    <n v="1494.01"/>
    <n v="306.14"/>
    <n v="26.53"/>
    <x v="409"/>
    <x v="4"/>
    <x v="4"/>
    <x v="0"/>
    <x v="1"/>
    <x v="16"/>
    <x v="831"/>
    <s v="Jumbo Drum"/>
    <n v="0.56000000000000005"/>
    <d v="2010-05-20T00:00:00"/>
    <n v="0"/>
    <n v="0"/>
    <n v="0.5"/>
    <n v="0.5"/>
  </r>
  <r>
    <n v="6093"/>
    <n v="43170"/>
    <x v="1130"/>
    <x v="39"/>
    <s v="Low"/>
    <n v="40"/>
    <n v="1305.8499999999999"/>
    <n v="0"/>
    <s v="Regular Air"/>
    <n v="65.010000000000005"/>
    <n v="30.98"/>
    <n v="17.079999999999998"/>
    <x v="409"/>
    <x v="4"/>
    <x v="4"/>
    <x v="0"/>
    <x v="0"/>
    <x v="5"/>
    <x v="385"/>
    <s v="Small Box"/>
    <n v="0.4"/>
    <d v="2010-05-17T00:00:00"/>
    <n v="0"/>
    <n v="0"/>
    <n v="0.5"/>
    <n v="0.5"/>
  </r>
  <r>
    <n v="6130"/>
    <n v="43397"/>
    <x v="1275"/>
    <x v="10"/>
    <s v="Critical"/>
    <n v="35"/>
    <n v="2130.31"/>
    <n v="0.08"/>
    <s v="Delivery Truck"/>
    <n v="-319.26"/>
    <n v="60.89"/>
    <n v="32.409999999999997"/>
    <x v="355"/>
    <x v="4"/>
    <x v="4"/>
    <x v="2"/>
    <x v="2"/>
    <x v="14"/>
    <x v="1031"/>
    <s v="Jumbo Drum"/>
    <n v="0.56000000000000005"/>
    <d v="2011-05-13T00:00:00"/>
    <n v="0"/>
    <n v="0"/>
    <n v="1"/>
    <n v="1"/>
  </r>
  <r>
    <n v="6146"/>
    <n v="43494"/>
    <x v="65"/>
    <x v="23"/>
    <s v="Medium"/>
    <n v="2"/>
    <n v="3668.28"/>
    <n v="0.09"/>
    <s v="Regular Air"/>
    <n v="-4858.6716000000006"/>
    <n v="1938.02"/>
    <n v="13.99"/>
    <x v="722"/>
    <x v="4"/>
    <x v="4"/>
    <x v="1"/>
    <x v="1"/>
    <x v="16"/>
    <x v="107"/>
    <s v="Medium Box"/>
    <n v="0.38"/>
    <d v="2012-01-04T00:00:00"/>
    <n v="0"/>
    <n v="0"/>
    <n v="1"/>
    <n v="1"/>
  </r>
  <r>
    <n v="6165"/>
    <n v="43682"/>
    <x v="1072"/>
    <x v="9"/>
    <s v="Medium"/>
    <n v="14"/>
    <n v="1849.6"/>
    <n v="0.06"/>
    <s v="Regular Air"/>
    <n v="62.162999999999997"/>
    <n v="155.99"/>
    <n v="8.99"/>
    <x v="723"/>
    <x v="4"/>
    <x v="4"/>
    <x v="2"/>
    <x v="1"/>
    <x v="3"/>
    <x v="291"/>
    <s v="Small Box"/>
    <n v="0.55000000000000004"/>
    <d v="2012-08-29T00:00:00"/>
    <n v="0"/>
    <n v="0"/>
    <n v="1"/>
    <n v="1"/>
  </r>
  <r>
    <n v="6181"/>
    <n v="43814"/>
    <x v="552"/>
    <x v="16"/>
    <s v="Medium"/>
    <n v="40"/>
    <n v="197.1"/>
    <n v="0.09"/>
    <s v="Regular Air"/>
    <n v="-12.88"/>
    <n v="5.28"/>
    <n v="2.99"/>
    <x v="450"/>
    <x v="4"/>
    <x v="4"/>
    <x v="2"/>
    <x v="0"/>
    <x v="2"/>
    <x v="13"/>
    <s v="Small Box"/>
    <n v="0.37"/>
    <d v="2011-01-10T00:00:00"/>
    <n v="0"/>
    <n v="0"/>
    <n v="0.5"/>
    <n v="0.5"/>
  </r>
  <r>
    <n v="6182"/>
    <n v="43814"/>
    <x v="552"/>
    <x v="16"/>
    <s v="Medium"/>
    <n v="47"/>
    <n v="199.48"/>
    <n v="0.03"/>
    <s v="Regular Air"/>
    <n v="13.8"/>
    <n v="4.2"/>
    <n v="2.2599999999999998"/>
    <x v="450"/>
    <x v="4"/>
    <x v="4"/>
    <x v="2"/>
    <x v="0"/>
    <x v="5"/>
    <x v="1028"/>
    <s v="Wrap Bag"/>
    <n v="0.36"/>
    <d v="2011-01-10T00:00:00"/>
    <n v="0"/>
    <n v="0"/>
    <n v="0.5"/>
    <n v="0.5"/>
  </r>
  <r>
    <n v="6183"/>
    <n v="43815"/>
    <x v="502"/>
    <x v="8"/>
    <s v="Not Specified"/>
    <n v="40"/>
    <n v="635.59"/>
    <n v="7.0000000000000007E-2"/>
    <s v="Regular Air"/>
    <n v="202.827"/>
    <n v="16.510000000000002"/>
    <n v="2.99"/>
    <x v="331"/>
    <x v="4"/>
    <x v="4"/>
    <x v="3"/>
    <x v="0"/>
    <x v="2"/>
    <x v="1201"/>
    <s v="Small Box"/>
    <n v="0.37"/>
    <d v="2012-06-14T00:00:00"/>
    <n v="0"/>
    <n v="0"/>
    <n v="0.33333333333333331"/>
    <n v="0.33333333333333331"/>
  </r>
  <r>
    <n v="6184"/>
    <n v="43815"/>
    <x v="502"/>
    <x v="8"/>
    <s v="Not Specified"/>
    <n v="22"/>
    <n v="1251.4000000000001"/>
    <n v="0.01"/>
    <s v="Regular Air"/>
    <n v="539.45000000000005"/>
    <n v="55.48"/>
    <n v="6.79"/>
    <x v="331"/>
    <x v="4"/>
    <x v="4"/>
    <x v="3"/>
    <x v="0"/>
    <x v="5"/>
    <x v="812"/>
    <s v="Small Box"/>
    <n v="0.37"/>
    <d v="2012-06-14T00:00:00"/>
    <n v="0"/>
    <n v="0"/>
    <n v="0.33333333333333331"/>
    <n v="0.33333333333333331"/>
  </r>
  <r>
    <n v="6185"/>
    <n v="43815"/>
    <x v="502"/>
    <x v="8"/>
    <s v="Not Specified"/>
    <n v="45"/>
    <n v="3577.81"/>
    <n v="0.03"/>
    <s v="Regular Air"/>
    <n v="-1097.97"/>
    <n v="78.8"/>
    <n v="35"/>
    <x v="331"/>
    <x v="4"/>
    <x v="4"/>
    <x v="3"/>
    <x v="0"/>
    <x v="0"/>
    <x v="1160"/>
    <s v="Large Box"/>
    <n v="0.83"/>
    <d v="2012-06-14T00:00:00"/>
    <n v="0"/>
    <n v="0"/>
    <n v="0.33333333333333331"/>
    <n v="0.33333333333333331"/>
  </r>
  <r>
    <n v="6186"/>
    <n v="43844"/>
    <x v="1044"/>
    <x v="0"/>
    <s v="High"/>
    <n v="25"/>
    <n v="1009.8679999999999"/>
    <n v="0.02"/>
    <s v="Regular Air"/>
    <n v="170.56800000000001"/>
    <n v="45.99"/>
    <n v="4.99"/>
    <x v="404"/>
    <x v="4"/>
    <x v="4"/>
    <x v="0"/>
    <x v="1"/>
    <x v="3"/>
    <x v="482"/>
    <s v="Small Box"/>
    <n v="0.56000000000000005"/>
    <d v="2010-10-31T00:00:00"/>
    <n v="0"/>
    <n v="0"/>
    <n v="1"/>
    <n v="1"/>
  </r>
  <r>
    <n v="6187"/>
    <n v="43846"/>
    <x v="799"/>
    <x v="40"/>
    <s v="High"/>
    <n v="9"/>
    <n v="31.36"/>
    <n v="0.1"/>
    <s v="Regular Air"/>
    <n v="-8.2799999999999994"/>
    <n v="3.6"/>
    <n v="2.2000000000000002"/>
    <x v="722"/>
    <x v="4"/>
    <x v="4"/>
    <x v="1"/>
    <x v="0"/>
    <x v="5"/>
    <x v="996"/>
    <s v="Wrap Bag"/>
    <n v="0.39"/>
    <d v="2009-02-27T00:00:00"/>
    <n v="0"/>
    <n v="0"/>
    <n v="1"/>
    <n v="1"/>
  </r>
  <r>
    <n v="6207"/>
    <n v="43974"/>
    <x v="108"/>
    <x v="35"/>
    <s v="Not Specified"/>
    <n v="8"/>
    <n v="64.23"/>
    <n v="0.03"/>
    <s v="Regular Air"/>
    <n v="15.83"/>
    <n v="7.64"/>
    <n v="1.39"/>
    <x v="347"/>
    <x v="4"/>
    <x v="4"/>
    <x v="2"/>
    <x v="0"/>
    <x v="8"/>
    <x v="181"/>
    <s v="Small Box"/>
    <n v="0.36"/>
    <d v="2009-09-17T00:00:00"/>
    <n v="0"/>
    <n v="0"/>
    <n v="1"/>
    <n v="1"/>
  </r>
  <r>
    <n v="6209"/>
    <n v="44000"/>
    <x v="720"/>
    <x v="1"/>
    <s v="Not Specified"/>
    <n v="17"/>
    <n v="119.51"/>
    <n v="0.06"/>
    <s v="Regular Air"/>
    <n v="-51.301499999999997"/>
    <n v="7.1"/>
    <n v="6.05"/>
    <x v="349"/>
    <x v="4"/>
    <x v="4"/>
    <x v="0"/>
    <x v="0"/>
    <x v="2"/>
    <x v="310"/>
    <s v="Small Box"/>
    <n v="0.39"/>
    <d v="2012-10-04T00:00:00"/>
    <n v="0"/>
    <n v="0"/>
    <n v="0.25"/>
    <n v="0.25"/>
  </r>
  <r>
    <n v="6210"/>
    <n v="44000"/>
    <x v="720"/>
    <x v="1"/>
    <s v="Not Specified"/>
    <n v="19"/>
    <n v="332.38"/>
    <n v="0.05"/>
    <s v="Regular Air"/>
    <n v="89.95"/>
    <n v="17.78"/>
    <n v="5.03"/>
    <x v="349"/>
    <x v="4"/>
    <x v="4"/>
    <x v="0"/>
    <x v="2"/>
    <x v="4"/>
    <x v="562"/>
    <s v="Small Box"/>
    <n v="0.54"/>
    <d v="2012-10-05T00:00:00"/>
    <n v="0"/>
    <n v="0"/>
    <n v="0.25"/>
    <n v="0.25"/>
  </r>
  <r>
    <n v="6214"/>
    <n v="44003"/>
    <x v="1150"/>
    <x v="27"/>
    <s v="Low"/>
    <n v="38"/>
    <n v="202.42"/>
    <n v="0.09"/>
    <s v="Regular Air"/>
    <n v="0.85850000000000004"/>
    <n v="5.34"/>
    <n v="2.99"/>
    <x v="728"/>
    <x v="4"/>
    <x v="4"/>
    <x v="3"/>
    <x v="0"/>
    <x v="2"/>
    <x v="282"/>
    <s v="Small Box"/>
    <n v="0.38"/>
    <d v="2011-11-21T00:00:00"/>
    <n v="0"/>
    <n v="0"/>
    <n v="1"/>
    <n v="1"/>
  </r>
  <r>
    <n v="6224"/>
    <n v="44069"/>
    <x v="670"/>
    <x v="22"/>
    <s v="Critical"/>
    <n v="16"/>
    <n v="137.63"/>
    <n v="0.09"/>
    <s v="Express Air"/>
    <n v="26.71"/>
    <n v="9.11"/>
    <n v="2.15"/>
    <x v="391"/>
    <x v="4"/>
    <x v="4"/>
    <x v="1"/>
    <x v="0"/>
    <x v="5"/>
    <x v="1024"/>
    <s v="Wrap Bag"/>
    <n v="0.4"/>
    <d v="2009-01-04T00:00:00"/>
    <n v="0"/>
    <n v="1"/>
    <n v="0.5"/>
    <n v="0.5"/>
  </r>
  <r>
    <n v="6225"/>
    <n v="44069"/>
    <x v="670"/>
    <x v="22"/>
    <s v="Critical"/>
    <n v="43"/>
    <n v="614.79999999999995"/>
    <n v="0.08"/>
    <s v="Regular Air"/>
    <n v="247.79"/>
    <n v="15.04"/>
    <n v="1.97"/>
    <x v="391"/>
    <x v="4"/>
    <x v="4"/>
    <x v="1"/>
    <x v="0"/>
    <x v="5"/>
    <x v="536"/>
    <s v="Wrap Bag"/>
    <n v="0.39"/>
    <d v="2009-01-02T00:00:00"/>
    <n v="0"/>
    <n v="1"/>
    <n v="0.5"/>
    <n v="0.5"/>
  </r>
  <r>
    <n v="6229"/>
    <n v="44099"/>
    <x v="133"/>
    <x v="33"/>
    <s v="Medium"/>
    <n v="34"/>
    <n v="11823.52"/>
    <n v="0.1"/>
    <s v="Regular Air"/>
    <n v="4592.7370000000001"/>
    <n v="367.99"/>
    <n v="19.989999999999998"/>
    <x v="543"/>
    <x v="4"/>
    <x v="4"/>
    <x v="2"/>
    <x v="0"/>
    <x v="2"/>
    <x v="1147"/>
    <s v="Small Box"/>
    <n v="0.4"/>
    <d v="2012-03-14T00:00:00"/>
    <n v="0"/>
    <n v="0"/>
    <n v="0.5"/>
    <n v="0.5"/>
  </r>
  <r>
    <n v="6230"/>
    <n v="44099"/>
    <x v="133"/>
    <x v="33"/>
    <s v="Medium"/>
    <n v="19"/>
    <n v="80.81"/>
    <n v="0.1"/>
    <s v="Regular Air"/>
    <n v="-67.459000000000003"/>
    <n v="4.24"/>
    <n v="5.41"/>
    <x v="543"/>
    <x v="4"/>
    <x v="4"/>
    <x v="2"/>
    <x v="0"/>
    <x v="2"/>
    <x v="683"/>
    <s v="Small Box"/>
    <n v="0.35"/>
    <d v="2012-03-14T00:00:00"/>
    <n v="0"/>
    <n v="0"/>
    <n v="0.5"/>
    <n v="0.5"/>
  </r>
  <r>
    <n v="6231"/>
    <n v="44133"/>
    <x v="1288"/>
    <x v="38"/>
    <s v="High"/>
    <n v="35"/>
    <n v="181.15"/>
    <n v="0.06"/>
    <s v="Regular Air"/>
    <n v="-46.68"/>
    <n v="5.28"/>
    <n v="3.96"/>
    <x v="393"/>
    <x v="4"/>
    <x v="4"/>
    <x v="0"/>
    <x v="2"/>
    <x v="4"/>
    <x v="1136"/>
    <s v="Wrap Bag"/>
    <n v="0.54"/>
    <d v="2010-01-07T00:00:00"/>
    <n v="1"/>
    <n v="0"/>
    <n v="1"/>
    <n v="1"/>
  </r>
  <r>
    <n v="6249"/>
    <n v="44261"/>
    <x v="75"/>
    <x v="33"/>
    <s v="High"/>
    <n v="31"/>
    <n v="13064.06"/>
    <n v="0.01"/>
    <s v="Express Air"/>
    <n v="5979.5630000000001"/>
    <n v="420.98"/>
    <n v="19.989999999999998"/>
    <x v="724"/>
    <x v="4"/>
    <x v="4"/>
    <x v="2"/>
    <x v="0"/>
    <x v="2"/>
    <x v="461"/>
    <s v="Small Box"/>
    <n v="0.35"/>
    <d v="2012-03-25T00:00:00"/>
    <n v="0"/>
    <n v="0"/>
    <n v="0.25"/>
    <n v="0.25"/>
  </r>
  <r>
    <n v="6250"/>
    <n v="44261"/>
    <x v="75"/>
    <x v="33"/>
    <s v="High"/>
    <n v="34"/>
    <n v="4771.8900000000003"/>
    <n v="0.05"/>
    <s v="Delivery Truck"/>
    <n v="-427.99"/>
    <n v="140.97999999999999"/>
    <n v="36.090000000000003"/>
    <x v="724"/>
    <x v="4"/>
    <x v="4"/>
    <x v="2"/>
    <x v="2"/>
    <x v="9"/>
    <x v="228"/>
    <s v="Jumbo Box"/>
    <n v="0.77"/>
    <d v="2012-03-25T00:00:00"/>
    <n v="0"/>
    <n v="0"/>
    <n v="0.25"/>
    <n v="0.25"/>
  </r>
  <r>
    <n v="6251"/>
    <n v="44261"/>
    <x v="75"/>
    <x v="33"/>
    <s v="High"/>
    <n v="1"/>
    <n v="3360.3"/>
    <n v="0.05"/>
    <s v="Delivery Truck"/>
    <n v="-7961.4308999999994"/>
    <n v="3502.14"/>
    <n v="8.73"/>
    <x v="724"/>
    <x v="4"/>
    <x v="4"/>
    <x v="2"/>
    <x v="1"/>
    <x v="16"/>
    <x v="1248"/>
    <s v="Jumbo Box"/>
    <n v="0.56999999999999995"/>
    <d v="2012-03-24T00:00:00"/>
    <n v="0"/>
    <n v="0"/>
    <n v="0.25"/>
    <n v="0.25"/>
  </r>
  <r>
    <n v="6252"/>
    <n v="44261"/>
    <x v="75"/>
    <x v="33"/>
    <s v="High"/>
    <n v="10"/>
    <n v="306.66299999999995"/>
    <n v="7.0000000000000007E-2"/>
    <s v="Regular Air"/>
    <n v="-17.413"/>
    <n v="35.99"/>
    <n v="5.99"/>
    <x v="724"/>
    <x v="4"/>
    <x v="4"/>
    <x v="2"/>
    <x v="1"/>
    <x v="3"/>
    <x v="702"/>
    <s v="Wrap Bag"/>
    <n v="0.38"/>
    <d v="2012-03-26T00:00:00"/>
    <n v="0"/>
    <n v="0"/>
    <n v="0.25"/>
    <n v="0.25"/>
  </r>
  <r>
    <n v="6263"/>
    <n v="44323"/>
    <x v="367"/>
    <x v="9"/>
    <s v="Medium"/>
    <n v="27"/>
    <n v="21320.58"/>
    <n v="0.09"/>
    <s v="Delivery Truck"/>
    <n v="5381.02"/>
    <n v="810.98"/>
    <n v="16.059999999999999"/>
    <x v="33"/>
    <x v="4"/>
    <x v="4"/>
    <x v="2"/>
    <x v="1"/>
    <x v="16"/>
    <x v="960"/>
    <s v="Jumbo Drum"/>
    <n v="0.56000000000000005"/>
    <d v="2012-08-09T00:00:00"/>
    <n v="0"/>
    <n v="0"/>
    <n v="1"/>
    <n v="1"/>
  </r>
  <r>
    <n v="6289"/>
    <n v="44517"/>
    <x v="872"/>
    <x v="46"/>
    <s v="Medium"/>
    <n v="5"/>
    <n v="32.5"/>
    <n v="0.03"/>
    <s v="Regular Air"/>
    <n v="-16.670000000000002"/>
    <n v="5.28"/>
    <n v="5.61"/>
    <x v="358"/>
    <x v="4"/>
    <x v="4"/>
    <x v="1"/>
    <x v="0"/>
    <x v="5"/>
    <x v="1194"/>
    <s v="Small Box"/>
    <n v="0.4"/>
    <d v="2009-04-24T00:00:00"/>
    <n v="0"/>
    <n v="0"/>
    <n v="1"/>
    <n v="1"/>
  </r>
  <r>
    <n v="6294"/>
    <n v="44549"/>
    <x v="520"/>
    <x v="23"/>
    <s v="Medium"/>
    <n v="5"/>
    <n v="11.25"/>
    <n v="0.08"/>
    <s v="Regular Air"/>
    <n v="-4.9564999999999992"/>
    <n v="2.08"/>
    <n v="1.49"/>
    <x v="421"/>
    <x v="4"/>
    <x v="4"/>
    <x v="0"/>
    <x v="0"/>
    <x v="2"/>
    <x v="610"/>
    <s v="Small Box"/>
    <n v="0.38"/>
    <d v="2012-01-23T00:00:00"/>
    <n v="0"/>
    <n v="0"/>
    <n v="1"/>
    <n v="1"/>
  </r>
  <r>
    <n v="6315"/>
    <n v="44679"/>
    <x v="1388"/>
    <x v="8"/>
    <s v="Medium"/>
    <n v="22"/>
    <n v="127.51"/>
    <n v="7.0000000000000007E-2"/>
    <s v="Regular Air"/>
    <n v="26.741"/>
    <n v="5.98"/>
    <n v="1.49"/>
    <x v="418"/>
    <x v="4"/>
    <x v="4"/>
    <x v="0"/>
    <x v="0"/>
    <x v="2"/>
    <x v="986"/>
    <s v="Small Box"/>
    <n v="0.39"/>
    <d v="2012-06-04T00:00:00"/>
    <n v="0"/>
    <n v="0"/>
    <n v="0.5"/>
    <n v="0.33333333333333331"/>
  </r>
  <r>
    <n v="6316"/>
    <n v="44679"/>
    <x v="1388"/>
    <x v="8"/>
    <s v="Medium"/>
    <n v="35"/>
    <n v="2004.22"/>
    <n v="0.08"/>
    <s v="Regular Air"/>
    <n v="338.91"/>
    <n v="60.65"/>
    <n v="12.23"/>
    <x v="418"/>
    <x v="4"/>
    <x v="4"/>
    <x v="0"/>
    <x v="2"/>
    <x v="4"/>
    <x v="915"/>
    <s v="Medium Box"/>
    <n v="0.64"/>
    <d v="2012-06-05T00:00:00"/>
    <n v="0"/>
    <n v="0"/>
    <n v="0.5"/>
    <n v="0.33333333333333331"/>
  </r>
  <r>
    <n v="6329"/>
    <n v="44836"/>
    <x v="82"/>
    <x v="35"/>
    <s v="Medium"/>
    <n v="21"/>
    <n v="125.79"/>
    <n v="0.02"/>
    <s v="Regular Air"/>
    <n v="28.526000000000003"/>
    <n v="5.98"/>
    <n v="1.49"/>
    <x v="713"/>
    <x v="4"/>
    <x v="4"/>
    <x v="2"/>
    <x v="0"/>
    <x v="2"/>
    <x v="986"/>
    <s v="Small Box"/>
    <n v="0.39"/>
    <d v="2009-09-12T00:00:00"/>
    <n v="0"/>
    <n v="0"/>
    <n v="1"/>
    <n v="0.5"/>
  </r>
  <r>
    <n v="6358"/>
    <n v="45120"/>
    <x v="945"/>
    <x v="46"/>
    <s v="Critical"/>
    <n v="39"/>
    <n v="14591.44"/>
    <n v="7.0000000000000007E-2"/>
    <s v="Delivery Truck"/>
    <n v="5475.8"/>
    <n v="400.97"/>
    <n v="48.26"/>
    <x v="414"/>
    <x v="4"/>
    <x v="4"/>
    <x v="1"/>
    <x v="1"/>
    <x v="16"/>
    <x v="749"/>
    <s v="Jumbo Box"/>
    <n v="0.36"/>
    <d v="2009-04-10T00:00:00"/>
    <n v="0"/>
    <n v="0"/>
    <n v="1"/>
    <n v="0.33333333333333331"/>
  </r>
  <r>
    <n v="6367"/>
    <n v="45158"/>
    <x v="623"/>
    <x v="24"/>
    <s v="Low"/>
    <n v="40"/>
    <n v="375.52"/>
    <n v="0.09"/>
    <s v="Regular Air"/>
    <n v="131.69999999999999"/>
    <n v="9.68"/>
    <n v="2.0299999999999998"/>
    <x v="724"/>
    <x v="4"/>
    <x v="4"/>
    <x v="2"/>
    <x v="0"/>
    <x v="5"/>
    <x v="849"/>
    <s v="Wrap Bag"/>
    <n v="0.37"/>
    <d v="2010-04-12T00:00:00"/>
    <n v="0"/>
    <n v="0"/>
    <n v="0.5"/>
    <n v="0.5"/>
  </r>
  <r>
    <n v="6368"/>
    <n v="45158"/>
    <x v="623"/>
    <x v="24"/>
    <s v="Low"/>
    <n v="15"/>
    <n v="63.84"/>
    <n v="0.03"/>
    <s v="Express Air"/>
    <n v="23.52"/>
    <n v="3.78"/>
    <n v="0.71"/>
    <x v="724"/>
    <x v="4"/>
    <x v="4"/>
    <x v="2"/>
    <x v="0"/>
    <x v="6"/>
    <x v="294"/>
    <s v="Wrap Bag"/>
    <n v="0.39"/>
    <d v="2010-04-15T00:00:00"/>
    <n v="0"/>
    <n v="0"/>
    <n v="0.5"/>
    <n v="0.5"/>
  </r>
  <r>
    <n v="6377"/>
    <n v="45254"/>
    <x v="1069"/>
    <x v="42"/>
    <s v="High"/>
    <n v="45"/>
    <n v="3327.84"/>
    <n v="0.06"/>
    <s v="Delivery Truck"/>
    <n v="-3033.57"/>
    <n v="70.89"/>
    <n v="89.3"/>
    <x v="454"/>
    <x v="4"/>
    <x v="4"/>
    <x v="3"/>
    <x v="2"/>
    <x v="10"/>
    <x v="818"/>
    <s v="Jumbo Box"/>
    <n v="0.69"/>
    <d v="2010-07-27T00:00:00"/>
    <n v="0"/>
    <n v="0"/>
    <n v="1"/>
    <n v="1"/>
  </r>
  <r>
    <n v="6379"/>
    <n v="45315"/>
    <x v="1389"/>
    <x v="13"/>
    <s v="Medium"/>
    <n v="32"/>
    <n v="1141.9000000000001"/>
    <n v="0.02"/>
    <s v="Regular Air"/>
    <n v="175.32"/>
    <n v="34.76"/>
    <n v="8.2200000000000006"/>
    <x v="117"/>
    <x v="4"/>
    <x v="4"/>
    <x v="1"/>
    <x v="0"/>
    <x v="0"/>
    <x v="139"/>
    <s v="Small Box"/>
    <n v="0.56999999999999995"/>
    <d v="2012-04-21T00:00:00"/>
    <n v="0"/>
    <n v="0"/>
    <n v="1"/>
    <n v="1"/>
  </r>
  <r>
    <n v="6387"/>
    <n v="45380"/>
    <x v="1390"/>
    <x v="46"/>
    <s v="Critical"/>
    <n v="34"/>
    <n v="1912.9845"/>
    <n v="0.06"/>
    <s v="Express Air"/>
    <n v="288.08999999999997"/>
    <n v="65.989999999999995"/>
    <n v="8.8000000000000007"/>
    <x v="710"/>
    <x v="4"/>
    <x v="4"/>
    <x v="1"/>
    <x v="1"/>
    <x v="3"/>
    <x v="858"/>
    <s v="Small Box"/>
    <n v="0.57999999999999996"/>
    <d v="2009-05-01T00:00:00"/>
    <n v="0"/>
    <n v="0"/>
    <n v="0.5"/>
    <n v="0.5"/>
  </r>
  <r>
    <n v="6388"/>
    <n v="45380"/>
    <x v="1390"/>
    <x v="46"/>
    <s v="Critical"/>
    <n v="24"/>
    <n v="4170.8649999999998"/>
    <n v="0"/>
    <s v="Express Air"/>
    <n v="1030.509"/>
    <n v="195.99"/>
    <n v="4.2"/>
    <x v="710"/>
    <x v="4"/>
    <x v="4"/>
    <x v="1"/>
    <x v="1"/>
    <x v="3"/>
    <x v="928"/>
    <s v="Small Box"/>
    <n v="0.56999999999999995"/>
    <d v="2009-05-02T00:00:00"/>
    <n v="0"/>
    <n v="0"/>
    <n v="0.5"/>
    <n v="0.5"/>
  </r>
  <r>
    <n v="6393"/>
    <n v="45409"/>
    <x v="68"/>
    <x v="24"/>
    <s v="Critical"/>
    <n v="11"/>
    <n v="3427.31"/>
    <n v="0.1"/>
    <s v="Delivery Truck"/>
    <n v="124.36"/>
    <n v="320.98"/>
    <n v="58.95"/>
    <x v="355"/>
    <x v="4"/>
    <x v="4"/>
    <x v="2"/>
    <x v="2"/>
    <x v="14"/>
    <x v="81"/>
    <s v="Jumbo Drum"/>
    <n v="0.56999999999999995"/>
    <d v="2010-04-15T00:00:00"/>
    <n v="0"/>
    <n v="0"/>
    <n v="0.33333333333333331"/>
    <n v="0.33333333333333331"/>
  </r>
  <r>
    <n v="6394"/>
    <n v="45409"/>
    <x v="68"/>
    <x v="24"/>
    <s v="Critical"/>
    <n v="10"/>
    <n v="36.26"/>
    <n v="0.08"/>
    <s v="Regular Air"/>
    <n v="-28.37"/>
    <n v="3.28"/>
    <n v="3.97"/>
    <x v="355"/>
    <x v="4"/>
    <x v="4"/>
    <x v="2"/>
    <x v="0"/>
    <x v="12"/>
    <x v="431"/>
    <s v="Wrap Bag"/>
    <n v="0.56000000000000005"/>
    <d v="2010-04-13T00:00:00"/>
    <n v="0"/>
    <n v="0"/>
    <n v="0.33333333333333331"/>
    <n v="0.33333333333333331"/>
  </r>
  <r>
    <n v="6395"/>
    <n v="45409"/>
    <x v="68"/>
    <x v="24"/>
    <s v="Critical"/>
    <n v="50"/>
    <n v="893.13750000000005"/>
    <n v="0"/>
    <s v="Regular Air"/>
    <n v="10.998000000000001"/>
    <n v="20.99"/>
    <n v="1.25"/>
    <x v="355"/>
    <x v="4"/>
    <x v="4"/>
    <x v="2"/>
    <x v="1"/>
    <x v="3"/>
    <x v="173"/>
    <s v="Small Pack"/>
    <n v="0.83"/>
    <d v="2010-04-15T00:00:00"/>
    <n v="0"/>
    <n v="0"/>
    <n v="0.33333333333333331"/>
    <n v="0.33333333333333331"/>
  </r>
  <r>
    <n v="6406"/>
    <n v="45539"/>
    <x v="137"/>
    <x v="26"/>
    <s v="Not Specified"/>
    <n v="15"/>
    <n v="269.2"/>
    <n v="0.02"/>
    <s v="Express Air"/>
    <n v="69.61"/>
    <n v="16.48"/>
    <n v="1.99"/>
    <x v="450"/>
    <x v="4"/>
    <x v="4"/>
    <x v="2"/>
    <x v="1"/>
    <x v="7"/>
    <x v="663"/>
    <s v="Small Pack"/>
    <n v="0.42"/>
    <d v="2009-08-04T00:00:00"/>
    <n v="0"/>
    <n v="0"/>
    <n v="0.5"/>
    <n v="0.5"/>
  </r>
  <r>
    <n v="6407"/>
    <n v="45539"/>
    <x v="137"/>
    <x v="26"/>
    <s v="Not Specified"/>
    <n v="27"/>
    <n v="87.33"/>
    <n v="0.08"/>
    <s v="Regular Air"/>
    <n v="13.82"/>
    <n v="3.38"/>
    <n v="0.85"/>
    <x v="450"/>
    <x v="4"/>
    <x v="4"/>
    <x v="2"/>
    <x v="0"/>
    <x v="12"/>
    <x v="426"/>
    <s v="Wrap Bag"/>
    <n v="0.48"/>
    <d v="2009-08-04T00:00:00"/>
    <n v="0"/>
    <n v="0"/>
    <n v="0.5"/>
    <n v="0.5"/>
  </r>
  <r>
    <n v="6418"/>
    <n v="45605"/>
    <x v="623"/>
    <x v="24"/>
    <s v="Medium"/>
    <n v="7"/>
    <n v="1494.27"/>
    <n v="0.05"/>
    <s v="Delivery Truck"/>
    <n v="-248.78"/>
    <n v="212.6"/>
    <n v="52.2"/>
    <x v="346"/>
    <x v="4"/>
    <x v="4"/>
    <x v="0"/>
    <x v="2"/>
    <x v="10"/>
    <x v="763"/>
    <s v="Jumbo Box"/>
    <n v="0.64"/>
    <d v="2010-04-12T00:00:00"/>
    <n v="0"/>
    <n v="0"/>
    <n v="1"/>
    <n v="1"/>
  </r>
  <r>
    <n v="6423"/>
    <n v="45664"/>
    <x v="1391"/>
    <x v="8"/>
    <s v="Not Specified"/>
    <n v="24"/>
    <n v="473.03"/>
    <n v="0.09"/>
    <s v="Regular Air"/>
    <n v="26.27"/>
    <n v="19.98"/>
    <n v="10.49"/>
    <x v="380"/>
    <x v="4"/>
    <x v="4"/>
    <x v="3"/>
    <x v="2"/>
    <x v="4"/>
    <x v="66"/>
    <s v="Small Box"/>
    <n v="0.49"/>
    <d v="2012-06-10T00:00:00"/>
    <n v="0"/>
    <n v="0"/>
    <n v="1"/>
    <n v="1"/>
  </r>
  <r>
    <n v="6426"/>
    <n v="45671"/>
    <x v="1126"/>
    <x v="4"/>
    <s v="Low"/>
    <n v="13"/>
    <n v="126.68"/>
    <n v="0.05"/>
    <s v="Regular Air"/>
    <n v="7"/>
    <n v="9.77"/>
    <n v="6.02"/>
    <x v="710"/>
    <x v="4"/>
    <x v="4"/>
    <x v="1"/>
    <x v="2"/>
    <x v="4"/>
    <x v="321"/>
    <s v="Medium Box"/>
    <n v="0.48"/>
    <d v="2011-06-19T00:00:00"/>
    <n v="0"/>
    <n v="0"/>
    <n v="1"/>
    <n v="1"/>
  </r>
  <r>
    <n v="6430"/>
    <n v="45728"/>
    <x v="1074"/>
    <x v="30"/>
    <s v="High"/>
    <n v="49"/>
    <n v="1711.79"/>
    <n v="0.01"/>
    <s v="Regular Air"/>
    <n v="812.32"/>
    <n v="33.29"/>
    <n v="1.99"/>
    <x v="333"/>
    <x v="4"/>
    <x v="4"/>
    <x v="0"/>
    <x v="1"/>
    <x v="7"/>
    <x v="1101"/>
    <s v="Small Pack"/>
    <n v="0.41"/>
    <d v="2010-06-22T00:00:00"/>
    <n v="0"/>
    <n v="0"/>
    <n v="0.5"/>
    <n v="0.25"/>
  </r>
  <r>
    <n v="6437"/>
    <n v="45762"/>
    <x v="569"/>
    <x v="42"/>
    <s v="Low"/>
    <n v="21"/>
    <n v="793.85"/>
    <n v="0.01"/>
    <s v="Regular Air"/>
    <n v="308.52999999999997"/>
    <n v="37.94"/>
    <n v="5.08"/>
    <x v="33"/>
    <x v="4"/>
    <x v="4"/>
    <x v="2"/>
    <x v="0"/>
    <x v="5"/>
    <x v="532"/>
    <s v="Wrap Bag"/>
    <n v="0.38"/>
    <d v="2010-07-26T00:00:00"/>
    <n v="0"/>
    <n v="0"/>
    <n v="1"/>
    <n v="1"/>
  </r>
  <r>
    <n v="6486"/>
    <n v="46151"/>
    <x v="216"/>
    <x v="11"/>
    <s v="Critical"/>
    <n v="23"/>
    <n v="203.91"/>
    <n v="0.02"/>
    <s v="Regular Air"/>
    <n v="-35.442999999999998"/>
    <n v="8.6"/>
    <n v="6.19"/>
    <x v="390"/>
    <x v="4"/>
    <x v="4"/>
    <x v="2"/>
    <x v="0"/>
    <x v="2"/>
    <x v="682"/>
    <s v="Small Box"/>
    <n v="0.38"/>
    <d v="2009-11-10T00:00:00"/>
    <n v="0"/>
    <n v="0"/>
    <n v="1"/>
    <n v="1"/>
  </r>
  <r>
    <n v="6523"/>
    <n v="46407"/>
    <x v="1347"/>
    <x v="28"/>
    <s v="Not Specified"/>
    <n v="7"/>
    <n v="38.369999999999997"/>
    <n v="0.1"/>
    <s v="Regular Air"/>
    <n v="-29.003"/>
    <n v="5.18"/>
    <n v="5.74"/>
    <x v="732"/>
    <x v="4"/>
    <x v="4"/>
    <x v="2"/>
    <x v="0"/>
    <x v="2"/>
    <x v="460"/>
    <s v="Small Box"/>
    <n v="0.36"/>
    <d v="2009-03-28T00:00:00"/>
    <n v="0"/>
    <n v="0"/>
    <n v="1"/>
    <n v="1"/>
  </r>
  <r>
    <n v="6534"/>
    <n v="46499"/>
    <x v="113"/>
    <x v="41"/>
    <s v="Critical"/>
    <n v="1"/>
    <n v="46.94"/>
    <n v="0.06"/>
    <s v="Regular Air"/>
    <n v="-26.54"/>
    <n v="44.01"/>
    <n v="3.5"/>
    <x v="350"/>
    <x v="4"/>
    <x v="4"/>
    <x v="3"/>
    <x v="0"/>
    <x v="1"/>
    <x v="1122"/>
    <s v="Small Box"/>
    <n v="0.59"/>
    <d v="2009-06-08T00:00:00"/>
    <n v="0"/>
    <n v="0"/>
    <n v="0.33333333333333331"/>
    <n v="0.33333333333333331"/>
  </r>
  <r>
    <n v="6535"/>
    <n v="46499"/>
    <x v="113"/>
    <x v="41"/>
    <s v="Critical"/>
    <n v="22"/>
    <n v="89.96"/>
    <n v="7.0000000000000007E-2"/>
    <s v="Regular Air"/>
    <n v="-115.21"/>
    <n v="4.0599999999999996"/>
    <n v="6.89"/>
    <x v="350"/>
    <x v="4"/>
    <x v="4"/>
    <x v="3"/>
    <x v="0"/>
    <x v="1"/>
    <x v="283"/>
    <s v="Small Box"/>
    <n v="0.6"/>
    <d v="2009-06-09T00:00:00"/>
    <n v="0"/>
    <n v="0"/>
    <n v="0.33333333333333331"/>
    <n v="0.33333333333333331"/>
  </r>
  <r>
    <n v="6536"/>
    <n v="46499"/>
    <x v="113"/>
    <x v="41"/>
    <s v="Critical"/>
    <n v="10"/>
    <n v="12.95"/>
    <n v="0.1"/>
    <s v="Regular Air"/>
    <n v="-6.78"/>
    <n v="1.26"/>
    <n v="0.7"/>
    <x v="350"/>
    <x v="4"/>
    <x v="4"/>
    <x v="3"/>
    <x v="0"/>
    <x v="6"/>
    <x v="230"/>
    <s v="Wrap Bag"/>
    <n v="0.81"/>
    <d v="2009-06-08T00:00:00"/>
    <n v="0"/>
    <n v="0"/>
    <n v="0.33333333333333331"/>
    <n v="0.33333333333333331"/>
  </r>
  <r>
    <n v="6561"/>
    <n v="46631"/>
    <x v="855"/>
    <x v="33"/>
    <s v="Not Specified"/>
    <n v="39"/>
    <n v="930.84"/>
    <n v="0.05"/>
    <s v="Regular Air"/>
    <n v="-122.12"/>
    <n v="22.84"/>
    <n v="16.920000000000002"/>
    <x v="347"/>
    <x v="4"/>
    <x v="4"/>
    <x v="2"/>
    <x v="0"/>
    <x v="5"/>
    <x v="775"/>
    <s v="Small Box"/>
    <n v="0.39"/>
    <d v="2012-03-13T00:00:00"/>
    <n v="0"/>
    <n v="0"/>
    <n v="1"/>
    <n v="1"/>
  </r>
  <r>
    <n v="6563"/>
    <n v="46662"/>
    <x v="1047"/>
    <x v="25"/>
    <s v="Critical"/>
    <n v="8"/>
    <n v="57.22"/>
    <n v="7.0000000000000007E-2"/>
    <s v="Regular Air"/>
    <n v="-27.72"/>
    <n v="6.48"/>
    <n v="6.6"/>
    <x v="397"/>
    <x v="4"/>
    <x v="4"/>
    <x v="3"/>
    <x v="0"/>
    <x v="5"/>
    <x v="226"/>
    <s v="Small Box"/>
    <n v="0.37"/>
    <d v="2011-12-31T00:00:00"/>
    <n v="0"/>
    <n v="0"/>
    <n v="0.33333333333333331"/>
    <n v="0.2"/>
  </r>
  <r>
    <n v="6564"/>
    <n v="46662"/>
    <x v="1047"/>
    <x v="25"/>
    <s v="Critical"/>
    <n v="33"/>
    <n v="162"/>
    <n v="0.01"/>
    <s v="Regular Air"/>
    <n v="45.84"/>
    <n v="4.84"/>
    <n v="0.71"/>
    <x v="397"/>
    <x v="4"/>
    <x v="4"/>
    <x v="3"/>
    <x v="0"/>
    <x v="12"/>
    <x v="486"/>
    <s v="Wrap Bag"/>
    <n v="0.52"/>
    <d v="2011-12-31T00:00:00"/>
    <n v="0"/>
    <n v="0"/>
    <n v="0.33333333333333331"/>
    <n v="0.2"/>
  </r>
  <r>
    <n v="6565"/>
    <n v="46662"/>
    <x v="1047"/>
    <x v="25"/>
    <s v="Critical"/>
    <n v="48"/>
    <n v="3410.1574999999998"/>
    <n v="0.1"/>
    <s v="Regular Air"/>
    <n v="1137.9059999999999"/>
    <n v="85.99"/>
    <n v="0.99"/>
    <x v="397"/>
    <x v="4"/>
    <x v="4"/>
    <x v="3"/>
    <x v="1"/>
    <x v="3"/>
    <x v="576"/>
    <s v="Wrap Bag"/>
    <n v="0.55000000000000004"/>
    <d v="2011-12-31T00:00:00"/>
    <n v="0"/>
    <n v="0"/>
    <n v="0.33333333333333331"/>
    <n v="0.2"/>
  </r>
  <r>
    <n v="6566"/>
    <n v="46691"/>
    <x v="801"/>
    <x v="8"/>
    <s v="Critical"/>
    <n v="47"/>
    <n v="1676.25"/>
    <n v="0.04"/>
    <s v="Regular Air"/>
    <n v="-458.33"/>
    <n v="36.65"/>
    <n v="22.6"/>
    <x v="418"/>
    <x v="4"/>
    <x v="4"/>
    <x v="0"/>
    <x v="2"/>
    <x v="4"/>
    <x v="1250"/>
    <s v="Large Box"/>
    <n v="0.57999999999999996"/>
    <d v="2012-06-26T00:00:00"/>
    <n v="0"/>
    <n v="0"/>
    <n v="1"/>
    <n v="0.33333333333333331"/>
  </r>
  <r>
    <n v="6583"/>
    <n v="46880"/>
    <x v="122"/>
    <x v="42"/>
    <s v="Critical"/>
    <n v="1"/>
    <n v="29.99"/>
    <n v="7.0000000000000007E-2"/>
    <s v="Regular Air"/>
    <n v="-8.8800000000000008"/>
    <n v="21.98"/>
    <n v="8.32"/>
    <x v="380"/>
    <x v="4"/>
    <x v="4"/>
    <x v="2"/>
    <x v="0"/>
    <x v="5"/>
    <x v="192"/>
    <s v="Wrap Bag"/>
    <n v="0.39"/>
    <d v="2010-07-05T00:00:00"/>
    <n v="0"/>
    <n v="0"/>
    <n v="1"/>
    <n v="1"/>
  </r>
  <r>
    <n v="6607"/>
    <n v="47011"/>
    <x v="450"/>
    <x v="40"/>
    <s v="High"/>
    <n v="33"/>
    <n v="373.13"/>
    <n v="0.05"/>
    <s v="Regular Air"/>
    <n v="-35.26"/>
    <n v="11.29"/>
    <n v="5.03"/>
    <x v="708"/>
    <x v="4"/>
    <x v="4"/>
    <x v="2"/>
    <x v="0"/>
    <x v="0"/>
    <x v="468"/>
    <s v="Small Box"/>
    <n v="0.59"/>
    <d v="2009-02-21T00:00:00"/>
    <n v="0"/>
    <n v="0"/>
    <n v="1"/>
    <n v="1"/>
  </r>
  <r>
    <n v="6637"/>
    <n v="47201"/>
    <x v="861"/>
    <x v="47"/>
    <s v="Critical"/>
    <n v="18"/>
    <n v="99.55"/>
    <n v="0.03"/>
    <s v="Express Air"/>
    <n v="-60.9"/>
    <n v="4.9800000000000004"/>
    <n v="4.62"/>
    <x v="723"/>
    <x v="4"/>
    <x v="4"/>
    <x v="2"/>
    <x v="1"/>
    <x v="7"/>
    <x v="278"/>
    <s v="Small Pack"/>
    <n v="0.64"/>
    <d v="2009-12-29T00:00:00"/>
    <n v="0"/>
    <n v="0"/>
    <n v="1"/>
    <n v="1"/>
  </r>
  <r>
    <n v="6663"/>
    <n v="47457"/>
    <x v="862"/>
    <x v="41"/>
    <s v="Low"/>
    <n v="50"/>
    <n v="8230.77"/>
    <n v="0.05"/>
    <s v="Regular Air"/>
    <n v="1577.02"/>
    <n v="161.55000000000001"/>
    <n v="19.989999999999998"/>
    <x v="544"/>
    <x v="4"/>
    <x v="4"/>
    <x v="2"/>
    <x v="0"/>
    <x v="0"/>
    <x v="533"/>
    <s v="Small Box"/>
    <n v="0.66"/>
    <d v="2009-06-08T00:00:00"/>
    <n v="0"/>
    <n v="0"/>
    <n v="1"/>
    <n v="1"/>
  </r>
  <r>
    <n v="6679"/>
    <n v="47522"/>
    <x v="88"/>
    <x v="1"/>
    <s v="High"/>
    <n v="5"/>
    <n v="80.56"/>
    <n v="0.03"/>
    <s v="Regular Air"/>
    <n v="12.5"/>
    <n v="15.67"/>
    <n v="1.39"/>
    <x v="724"/>
    <x v="4"/>
    <x v="4"/>
    <x v="2"/>
    <x v="0"/>
    <x v="8"/>
    <x v="68"/>
    <s v="Small Box"/>
    <n v="0.38"/>
    <d v="2012-10-24T00:00:00"/>
    <n v="0"/>
    <n v="0"/>
    <n v="1"/>
    <n v="1"/>
  </r>
  <r>
    <n v="6684"/>
    <n v="47553"/>
    <x v="389"/>
    <x v="10"/>
    <s v="Medium"/>
    <n v="49"/>
    <n v="20701.928"/>
    <n v="0.08"/>
    <s v="Delivery Truck"/>
    <n v="3918.54"/>
    <n v="550.98"/>
    <n v="45.7"/>
    <x v="349"/>
    <x v="4"/>
    <x v="4"/>
    <x v="2"/>
    <x v="2"/>
    <x v="10"/>
    <x v="1079"/>
    <s v="Jumbo Box"/>
    <n v="0.71"/>
    <d v="2011-05-23T00:00:00"/>
    <n v="0"/>
    <n v="0"/>
    <n v="1"/>
    <n v="1"/>
  </r>
  <r>
    <n v="6688"/>
    <n v="47584"/>
    <x v="1154"/>
    <x v="42"/>
    <s v="Critical"/>
    <n v="4"/>
    <n v="20.190000000000001"/>
    <n v="0.03"/>
    <s v="Regular Air"/>
    <n v="1.3"/>
    <n v="4.91"/>
    <n v="0.5"/>
    <x v="711"/>
    <x v="4"/>
    <x v="4"/>
    <x v="3"/>
    <x v="0"/>
    <x v="11"/>
    <x v="999"/>
    <s v="Small Box"/>
    <n v="0.36"/>
    <d v="2010-07-29T00:00:00"/>
    <n v="0"/>
    <n v="0"/>
    <n v="0.5"/>
    <n v="0.5"/>
  </r>
  <r>
    <n v="6689"/>
    <n v="47584"/>
    <x v="1154"/>
    <x v="42"/>
    <s v="Critical"/>
    <n v="43"/>
    <n v="74.989999999999995"/>
    <n v="0.08"/>
    <s v="Regular Air"/>
    <n v="-8.9499999999999993"/>
    <n v="1.82"/>
    <n v="0.83"/>
    <x v="711"/>
    <x v="4"/>
    <x v="4"/>
    <x v="3"/>
    <x v="0"/>
    <x v="12"/>
    <x v="790"/>
    <s v="Wrap Bag"/>
    <n v="0.56999999999999995"/>
    <d v="2010-07-28T00:00:00"/>
    <n v="0"/>
    <n v="0"/>
    <n v="0.5"/>
    <n v="0.5"/>
  </r>
  <r>
    <n v="6696"/>
    <n v="47683"/>
    <x v="247"/>
    <x v="18"/>
    <s v="Low"/>
    <n v="38"/>
    <n v="81.97"/>
    <n v="0.05"/>
    <s v="Regular Air"/>
    <n v="-148.79849999999999"/>
    <n v="1.98"/>
    <n v="4.7699999999999996"/>
    <x v="347"/>
    <x v="4"/>
    <x v="4"/>
    <x v="2"/>
    <x v="0"/>
    <x v="2"/>
    <x v="1134"/>
    <s v="Small Box"/>
    <n v="0.4"/>
    <d v="2010-09-08T00:00:00"/>
    <n v="0"/>
    <n v="0"/>
    <n v="1"/>
    <n v="1"/>
  </r>
  <r>
    <n v="6719"/>
    <n v="47872"/>
    <x v="686"/>
    <x v="41"/>
    <s v="Critical"/>
    <n v="38"/>
    <n v="1756.27"/>
    <n v="0.09"/>
    <s v="Regular Air"/>
    <n v="649.04999999999995"/>
    <n v="46.89"/>
    <n v="5.0999999999999996"/>
    <x v="361"/>
    <x v="4"/>
    <x v="4"/>
    <x v="3"/>
    <x v="0"/>
    <x v="1"/>
    <x v="233"/>
    <s v="Medium Box"/>
    <n v="0.46"/>
    <d v="2009-06-14T00:00:00"/>
    <n v="0"/>
    <n v="0"/>
    <n v="0.5"/>
    <n v="0.5"/>
  </r>
  <r>
    <n v="6720"/>
    <n v="47872"/>
    <x v="686"/>
    <x v="41"/>
    <s v="Critical"/>
    <n v="50"/>
    <n v="345.58"/>
    <n v="0.05"/>
    <s v="Regular Air"/>
    <n v="-38.04"/>
    <n v="6.64"/>
    <n v="4.95"/>
    <x v="361"/>
    <x v="4"/>
    <x v="4"/>
    <x v="3"/>
    <x v="2"/>
    <x v="4"/>
    <x v="5"/>
    <s v="Small Pack"/>
    <n v="0.37"/>
    <d v="2009-06-13T00:00:00"/>
    <n v="0"/>
    <n v="0"/>
    <n v="0.5"/>
    <n v="0.5"/>
  </r>
  <r>
    <n v="6723"/>
    <n v="47877"/>
    <x v="531"/>
    <x v="26"/>
    <s v="Medium"/>
    <n v="16"/>
    <n v="273.36"/>
    <n v="0.04"/>
    <s v="Regular Air"/>
    <n v="32.25"/>
    <n v="17.239999999999998"/>
    <n v="3.26"/>
    <x v="713"/>
    <x v="4"/>
    <x v="4"/>
    <x v="3"/>
    <x v="0"/>
    <x v="15"/>
    <x v="268"/>
    <s v="Small Pack"/>
    <n v="0.56000000000000005"/>
    <d v="2009-08-31T00:00:00"/>
    <n v="0"/>
    <n v="0"/>
    <n v="0.33333333333333331"/>
    <n v="0.16666666666666666"/>
  </r>
  <r>
    <n v="6724"/>
    <n v="47877"/>
    <x v="531"/>
    <x v="26"/>
    <s v="Medium"/>
    <n v="19"/>
    <n v="3240.7280000000001"/>
    <n v="7.0000000000000007E-2"/>
    <s v="Delivery Truck"/>
    <n v="-691.31"/>
    <n v="218.75"/>
    <n v="69.64"/>
    <x v="713"/>
    <x v="4"/>
    <x v="4"/>
    <x v="3"/>
    <x v="2"/>
    <x v="10"/>
    <x v="146"/>
    <s v="Jumbo Box"/>
    <n v="0.77"/>
    <d v="2009-08-30T00:00:00"/>
    <n v="0"/>
    <n v="0"/>
    <n v="0.33333333333333331"/>
    <n v="0.16666666666666666"/>
  </r>
  <r>
    <n v="6725"/>
    <n v="47877"/>
    <x v="531"/>
    <x v="26"/>
    <s v="Medium"/>
    <n v="49"/>
    <n v="8058.96"/>
    <n v="0.08"/>
    <s v="Regular Air"/>
    <n v="-1621.38"/>
    <n v="209.37"/>
    <n v="69"/>
    <x v="713"/>
    <x v="4"/>
    <x v="4"/>
    <x v="3"/>
    <x v="2"/>
    <x v="10"/>
    <x v="724"/>
    <s v="Large Box"/>
    <n v="0.79"/>
    <d v="2009-08-30T00:00:00"/>
    <n v="0"/>
    <n v="0"/>
    <n v="0.33333333333333331"/>
    <n v="0.16666666666666666"/>
  </r>
  <r>
    <n v="6726"/>
    <n v="47879"/>
    <x v="268"/>
    <x v="23"/>
    <s v="Critical"/>
    <n v="19"/>
    <n v="172.54"/>
    <n v="0.08"/>
    <s v="Regular Air"/>
    <n v="44.23"/>
    <n v="9.11"/>
    <n v="2.15"/>
    <x v="713"/>
    <x v="4"/>
    <x v="4"/>
    <x v="2"/>
    <x v="0"/>
    <x v="5"/>
    <x v="1024"/>
    <s v="Wrap Bag"/>
    <n v="0.4"/>
    <d v="2012-01-12T00:00:00"/>
    <n v="0"/>
    <n v="0"/>
    <n v="1"/>
    <n v="1"/>
  </r>
  <r>
    <n v="6730"/>
    <n v="47910"/>
    <x v="204"/>
    <x v="26"/>
    <s v="High"/>
    <n v="30"/>
    <n v="5290.57"/>
    <n v="0.08"/>
    <s v="Regular Air"/>
    <n v="1389.18"/>
    <n v="178.47"/>
    <n v="19.989999999999998"/>
    <x v="361"/>
    <x v="4"/>
    <x v="4"/>
    <x v="3"/>
    <x v="0"/>
    <x v="0"/>
    <x v="902"/>
    <s v="Small Box"/>
    <n v="0.55000000000000004"/>
    <d v="2009-08-16T00:00:00"/>
    <n v="0"/>
    <n v="0"/>
    <n v="1"/>
    <n v="0.5"/>
  </r>
  <r>
    <n v="6739"/>
    <n v="47972"/>
    <x v="128"/>
    <x v="0"/>
    <s v="Medium"/>
    <n v="46"/>
    <n v="7685.62"/>
    <n v="0.02"/>
    <s v="Express Air"/>
    <n v="1952.15"/>
    <n v="165.2"/>
    <n v="19.989999999999998"/>
    <x v="401"/>
    <x v="4"/>
    <x v="4"/>
    <x v="2"/>
    <x v="0"/>
    <x v="0"/>
    <x v="1176"/>
    <s v="Small Box"/>
    <n v="0.59"/>
    <d v="2010-10-13T00:00:00"/>
    <n v="0"/>
    <n v="0"/>
    <n v="1"/>
    <n v="1"/>
  </r>
  <r>
    <n v="6765"/>
    <n v="48192"/>
    <x v="291"/>
    <x v="47"/>
    <s v="Critical"/>
    <n v="15"/>
    <n v="2277.67"/>
    <n v="0"/>
    <s v="Delivery Truck"/>
    <n v="-173.96"/>
    <n v="140.97999999999999"/>
    <n v="36.090000000000003"/>
    <x v="722"/>
    <x v="4"/>
    <x v="4"/>
    <x v="1"/>
    <x v="2"/>
    <x v="9"/>
    <x v="228"/>
    <s v="Jumbo Box"/>
    <n v="0.77"/>
    <d v="2009-12-17T00:00:00"/>
    <n v="0"/>
    <n v="0"/>
    <n v="1"/>
    <n v="1"/>
  </r>
  <r>
    <n v="6780"/>
    <n v="48288"/>
    <x v="1245"/>
    <x v="2"/>
    <s v="Medium"/>
    <n v="25"/>
    <n v="3308.28"/>
    <n v="0.08"/>
    <s v="Delivery Truck"/>
    <n v="-581.59"/>
    <n v="130.97999999999999"/>
    <n v="54.74"/>
    <x v="375"/>
    <x v="4"/>
    <x v="4"/>
    <x v="1"/>
    <x v="2"/>
    <x v="9"/>
    <x v="631"/>
    <s v="Jumbo Box"/>
    <n v="0.69"/>
    <d v="2011-07-24T00:00:00"/>
    <n v="0"/>
    <n v="0"/>
    <n v="1"/>
    <n v="1"/>
  </r>
  <r>
    <n v="6781"/>
    <n v="48293"/>
    <x v="97"/>
    <x v="13"/>
    <s v="Critical"/>
    <n v="47"/>
    <n v="370.6"/>
    <n v="0.03"/>
    <s v="Regular Air"/>
    <n v="160.72"/>
    <n v="7.64"/>
    <n v="1.39"/>
    <x v="719"/>
    <x v="4"/>
    <x v="4"/>
    <x v="2"/>
    <x v="0"/>
    <x v="8"/>
    <x v="181"/>
    <s v="Small Box"/>
    <n v="0.36"/>
    <d v="2012-04-10T00:00:00"/>
    <n v="0"/>
    <n v="0"/>
    <n v="1"/>
    <n v="1"/>
  </r>
  <r>
    <n v="6782"/>
    <n v="48294"/>
    <x v="1108"/>
    <x v="39"/>
    <s v="High"/>
    <n v="43"/>
    <n v="4072.01"/>
    <n v="0.01"/>
    <s v="Regular Air"/>
    <n v="1675.98"/>
    <n v="90.24"/>
    <n v="0.99"/>
    <x v="397"/>
    <x v="4"/>
    <x v="4"/>
    <x v="3"/>
    <x v="0"/>
    <x v="1"/>
    <x v="1155"/>
    <s v="Small Box"/>
    <n v="0.56000000000000005"/>
    <d v="2010-05-26T00:00:00"/>
    <n v="0"/>
    <n v="0"/>
    <n v="1"/>
    <n v="1"/>
  </r>
  <r>
    <n v="6785"/>
    <n v="48322"/>
    <x v="498"/>
    <x v="33"/>
    <s v="Medium"/>
    <n v="14"/>
    <n v="41.37"/>
    <n v="0.05"/>
    <s v="Regular Air"/>
    <n v="1.82"/>
    <n v="2.94"/>
    <n v="0.7"/>
    <x v="726"/>
    <x v="4"/>
    <x v="4"/>
    <x v="1"/>
    <x v="0"/>
    <x v="12"/>
    <x v="900"/>
    <s v="Wrap Bag"/>
    <n v="0.57999999999999996"/>
    <d v="2012-03-05T00:00:00"/>
    <n v="0"/>
    <n v="0"/>
    <n v="1"/>
    <n v="1"/>
  </r>
  <r>
    <n v="6787"/>
    <n v="48353"/>
    <x v="564"/>
    <x v="45"/>
    <s v="Not Specified"/>
    <n v="18"/>
    <n v="71.22"/>
    <n v="0.04"/>
    <s v="Regular Air"/>
    <n v="20.43"/>
    <n v="3.85"/>
    <n v="0.7"/>
    <x v="717"/>
    <x v="4"/>
    <x v="4"/>
    <x v="2"/>
    <x v="0"/>
    <x v="12"/>
    <x v="901"/>
    <s v="Wrap Bag"/>
    <n v="0.44"/>
    <d v="2012-12-17T00:00:00"/>
    <n v="0"/>
    <n v="0"/>
    <n v="1"/>
    <n v="1"/>
  </r>
  <r>
    <n v="6794"/>
    <n v="48420"/>
    <x v="395"/>
    <x v="19"/>
    <s v="Low"/>
    <n v="46"/>
    <n v="863.26"/>
    <n v="0.09"/>
    <s v="Express Air"/>
    <n v="229.6"/>
    <n v="19.23"/>
    <n v="6.15"/>
    <x v="388"/>
    <x v="4"/>
    <x v="4"/>
    <x v="2"/>
    <x v="2"/>
    <x v="4"/>
    <x v="392"/>
    <s v="Small Pack"/>
    <n v="0.44"/>
    <d v="2009-10-13T00:00:00"/>
    <n v="0"/>
    <n v="0"/>
    <n v="1"/>
    <n v="1"/>
  </r>
  <r>
    <n v="6814"/>
    <n v="48512"/>
    <x v="646"/>
    <x v="21"/>
    <s v="Not Specified"/>
    <n v="48"/>
    <n v="238.79"/>
    <n v="0.04"/>
    <s v="Regular Air"/>
    <n v="-83.78"/>
    <n v="4.9800000000000004"/>
    <n v="4.72"/>
    <x v="718"/>
    <x v="4"/>
    <x v="4"/>
    <x v="1"/>
    <x v="0"/>
    <x v="5"/>
    <x v="751"/>
    <s v="Small Box"/>
    <n v="0.36"/>
    <d v="2011-08-04T00:00:00"/>
    <n v="0"/>
    <n v="0"/>
    <n v="0.5"/>
    <n v="0.5"/>
  </r>
  <r>
    <n v="6815"/>
    <n v="48512"/>
    <x v="646"/>
    <x v="21"/>
    <s v="Not Specified"/>
    <n v="47"/>
    <n v="148.26"/>
    <n v="0.04"/>
    <s v="Express Air"/>
    <n v="49.04"/>
    <n v="2.94"/>
    <n v="0.81"/>
    <x v="718"/>
    <x v="4"/>
    <x v="4"/>
    <x v="1"/>
    <x v="0"/>
    <x v="12"/>
    <x v="857"/>
    <s v="Wrap Bag"/>
    <n v="0.4"/>
    <d v="2011-08-03T00:00:00"/>
    <n v="0"/>
    <n v="0"/>
    <n v="0.5"/>
    <n v="0.5"/>
  </r>
  <r>
    <n v="6828"/>
    <n v="48641"/>
    <x v="1220"/>
    <x v="25"/>
    <s v="High"/>
    <n v="13"/>
    <n v="66.83"/>
    <n v="0"/>
    <s v="Regular Air"/>
    <n v="23.16"/>
    <n v="4.9800000000000004"/>
    <n v="0.8"/>
    <x v="420"/>
    <x v="4"/>
    <x v="4"/>
    <x v="0"/>
    <x v="0"/>
    <x v="5"/>
    <x v="657"/>
    <s v="Wrap Bag"/>
    <n v="0.36"/>
    <d v="2011-12-06T00:00:00"/>
    <n v="0"/>
    <n v="0"/>
    <n v="1"/>
    <n v="1"/>
  </r>
  <r>
    <n v="6836"/>
    <n v="48672"/>
    <x v="1392"/>
    <x v="45"/>
    <s v="High"/>
    <n v="43"/>
    <n v="255.7"/>
    <n v="0"/>
    <s v="Regular Air"/>
    <n v="-35.74"/>
    <n v="5.81"/>
    <n v="3.37"/>
    <x v="346"/>
    <x v="4"/>
    <x v="4"/>
    <x v="0"/>
    <x v="0"/>
    <x v="6"/>
    <x v="622"/>
    <s v="Wrap Bag"/>
    <n v="0.54"/>
    <d v="2012-12-26T00:00:00"/>
    <n v="0"/>
    <n v="0"/>
    <n v="1"/>
    <n v="0.25"/>
  </r>
  <r>
    <n v="6841"/>
    <n v="48709"/>
    <x v="51"/>
    <x v="21"/>
    <s v="High"/>
    <n v="17"/>
    <n v="47.12"/>
    <n v="0.01"/>
    <s v="Regular Air"/>
    <n v="-47.01"/>
    <n v="2.52"/>
    <n v="4.28"/>
    <x v="190"/>
    <x v="4"/>
    <x v="4"/>
    <x v="2"/>
    <x v="0"/>
    <x v="12"/>
    <x v="842"/>
    <s v="Wrap Bag"/>
    <n v="0.44"/>
    <d v="2011-08-30T00:00:00"/>
    <n v="0"/>
    <n v="0"/>
    <n v="1"/>
    <n v="1"/>
  </r>
  <r>
    <n v="6855"/>
    <n v="48832"/>
    <x v="364"/>
    <x v="39"/>
    <s v="High"/>
    <n v="48"/>
    <n v="4480.8900000000003"/>
    <n v="0.02"/>
    <s v="Delivery Truck"/>
    <n v="195.04"/>
    <n v="90.98"/>
    <n v="30"/>
    <x v="343"/>
    <x v="4"/>
    <x v="4"/>
    <x v="0"/>
    <x v="2"/>
    <x v="14"/>
    <x v="557"/>
    <s v="Jumbo Drum"/>
    <n v="0.61"/>
    <d v="2010-05-05T00:00:00"/>
    <n v="0"/>
    <n v="0"/>
    <n v="1"/>
    <n v="1"/>
  </r>
  <r>
    <n v="6856"/>
    <n v="48836"/>
    <x v="818"/>
    <x v="40"/>
    <s v="Critical"/>
    <n v="8"/>
    <n v="2651.21"/>
    <n v="0.09"/>
    <s v="Delivery Truck"/>
    <n v="-93.849999999999909"/>
    <n v="348.21"/>
    <n v="40.19"/>
    <x v="375"/>
    <x v="4"/>
    <x v="4"/>
    <x v="3"/>
    <x v="2"/>
    <x v="10"/>
    <x v="453"/>
    <s v="Jumbo Box"/>
    <n v="0.62"/>
    <d v="2009-02-16T00:00:00"/>
    <n v="0"/>
    <n v="0"/>
    <n v="1"/>
    <n v="0.5"/>
  </r>
  <r>
    <n v="6870"/>
    <n v="48935"/>
    <x v="807"/>
    <x v="38"/>
    <s v="Low"/>
    <n v="21"/>
    <n v="106.2"/>
    <n v="0"/>
    <s v="Regular Air"/>
    <n v="48.76"/>
    <n v="4.91"/>
    <n v="0.5"/>
    <x v="722"/>
    <x v="4"/>
    <x v="4"/>
    <x v="1"/>
    <x v="0"/>
    <x v="11"/>
    <x v="999"/>
    <s v="Small Box"/>
    <n v="0.36"/>
    <d v="2010-01-09T00:00:00"/>
    <n v="1"/>
    <n v="0"/>
    <n v="1"/>
    <n v="0.5"/>
  </r>
  <r>
    <n v="6877"/>
    <n v="49026"/>
    <x v="332"/>
    <x v="5"/>
    <s v="Low"/>
    <n v="36"/>
    <n v="411.75"/>
    <n v="0.05"/>
    <s v="Regular Air"/>
    <n v="-182.87"/>
    <n v="11.66"/>
    <n v="8.99"/>
    <x v="708"/>
    <x v="4"/>
    <x v="4"/>
    <x v="2"/>
    <x v="0"/>
    <x v="12"/>
    <x v="372"/>
    <s v="Small Pack"/>
    <n v="0.59"/>
    <d v="2011-03-12T00:00:00"/>
    <n v="0"/>
    <n v="0"/>
    <n v="1"/>
    <n v="1"/>
  </r>
  <r>
    <n v="6987"/>
    <n v="49925"/>
    <x v="529"/>
    <x v="38"/>
    <s v="High"/>
    <n v="1"/>
    <n v="3.41"/>
    <n v="0.06"/>
    <s v="Regular Air"/>
    <n v="-1.78"/>
    <n v="2.88"/>
    <n v="0.7"/>
    <x v="707"/>
    <x v="4"/>
    <x v="4"/>
    <x v="2"/>
    <x v="0"/>
    <x v="12"/>
    <x v="705"/>
    <s v="Wrap Bag"/>
    <n v="0.56000000000000005"/>
    <d v="2010-01-23T00:00:00"/>
    <n v="1"/>
    <n v="0"/>
    <n v="1"/>
    <n v="0.33333333333333331"/>
  </r>
  <r>
    <n v="7055"/>
    <n v="50337"/>
    <x v="990"/>
    <x v="46"/>
    <s v="Not Specified"/>
    <n v="37"/>
    <n v="122.99"/>
    <n v="0"/>
    <s v="Express Air"/>
    <n v="21.479500000000002"/>
    <n v="2.78"/>
    <n v="1.49"/>
    <x v="371"/>
    <x v="4"/>
    <x v="4"/>
    <x v="1"/>
    <x v="0"/>
    <x v="2"/>
    <x v="1224"/>
    <s v="Small Box"/>
    <n v="0.36"/>
    <d v="2009-04-17T00:00:00"/>
    <n v="0"/>
    <n v="0"/>
    <n v="0.5"/>
    <n v="0.5"/>
  </r>
  <r>
    <n v="7056"/>
    <n v="50337"/>
    <x v="990"/>
    <x v="46"/>
    <s v="Not Specified"/>
    <n v="6"/>
    <n v="14734.71"/>
    <n v="0.1"/>
    <s v="Delivery Truck"/>
    <n v="-3798.0110999999997"/>
    <n v="2550.14"/>
    <n v="29.7"/>
    <x v="371"/>
    <x v="4"/>
    <x v="4"/>
    <x v="1"/>
    <x v="1"/>
    <x v="16"/>
    <x v="380"/>
    <s v="Jumbo Drum"/>
    <n v="0.56999999999999995"/>
    <d v="2009-04-18T00:00:00"/>
    <n v="0"/>
    <n v="0"/>
    <n v="0.5"/>
    <n v="0.5"/>
  </r>
  <r>
    <n v="7062"/>
    <n v="50403"/>
    <x v="145"/>
    <x v="20"/>
    <s v="Not Specified"/>
    <n v="38"/>
    <n v="264.92"/>
    <n v="0.05"/>
    <s v="Regular Air"/>
    <n v="-97.06"/>
    <n v="7.1"/>
    <n v="6.05"/>
    <x v="599"/>
    <x v="4"/>
    <x v="4"/>
    <x v="2"/>
    <x v="0"/>
    <x v="2"/>
    <x v="310"/>
    <s v="Small Box"/>
    <n v="0.39"/>
    <d v="2012-05-14T00:00:00"/>
    <n v="0"/>
    <n v="0"/>
    <n v="0.5"/>
    <n v="0.5"/>
  </r>
  <r>
    <n v="7095"/>
    <n v="50656"/>
    <x v="1306"/>
    <x v="19"/>
    <s v="Critical"/>
    <n v="42"/>
    <n v="194.2"/>
    <n v="0"/>
    <s v="Regular Air"/>
    <n v="-139.13"/>
    <n v="4.37"/>
    <n v="5.15"/>
    <x v="270"/>
    <x v="4"/>
    <x v="4"/>
    <x v="1"/>
    <x v="0"/>
    <x v="1"/>
    <x v="537"/>
    <s v="Small Box"/>
    <n v="0.59"/>
    <d v="2009-10-27T00:00:00"/>
    <n v="0"/>
    <n v="0"/>
    <n v="0.25"/>
    <n v="0.25"/>
  </r>
  <r>
    <n v="7096"/>
    <n v="50656"/>
    <x v="1306"/>
    <x v="19"/>
    <s v="Critical"/>
    <n v="31"/>
    <n v="16451.330000000002"/>
    <n v="0.01"/>
    <s v="Delivery Truck"/>
    <n v="5325.14"/>
    <n v="500.98"/>
    <n v="56"/>
    <x v="270"/>
    <x v="4"/>
    <x v="4"/>
    <x v="1"/>
    <x v="2"/>
    <x v="14"/>
    <x v="38"/>
    <s v="Jumbo Drum"/>
    <n v="0.6"/>
    <d v="2009-10-26T00:00:00"/>
    <n v="0"/>
    <n v="0"/>
    <n v="0.25"/>
    <n v="0.25"/>
  </r>
  <r>
    <n v="7097"/>
    <n v="50656"/>
    <x v="1306"/>
    <x v="19"/>
    <s v="Critical"/>
    <n v="39"/>
    <n v="485.97"/>
    <n v="0.02"/>
    <s v="Regular Air"/>
    <n v="48.6"/>
    <n v="12.58"/>
    <n v="5.16"/>
    <x v="270"/>
    <x v="4"/>
    <x v="4"/>
    <x v="1"/>
    <x v="2"/>
    <x v="4"/>
    <x v="132"/>
    <s v="Small Box"/>
    <n v="0.43"/>
    <d v="2009-10-25T00:00:00"/>
    <n v="0"/>
    <n v="0"/>
    <n v="0.25"/>
    <n v="0.25"/>
  </r>
  <r>
    <n v="7098"/>
    <n v="50656"/>
    <x v="1306"/>
    <x v="19"/>
    <s v="Critical"/>
    <n v="15"/>
    <n v="109.71"/>
    <n v="0.1"/>
    <s v="Regular Air"/>
    <n v="-20.95"/>
    <n v="7.7"/>
    <n v="3.68"/>
    <x v="270"/>
    <x v="4"/>
    <x v="4"/>
    <x v="1"/>
    <x v="2"/>
    <x v="4"/>
    <x v="803"/>
    <s v="Wrap Bag"/>
    <n v="0.52"/>
    <d v="2009-10-26T00:00:00"/>
    <n v="0"/>
    <n v="0"/>
    <n v="0.25"/>
    <n v="0.25"/>
  </r>
  <r>
    <n v="7141"/>
    <n v="50950"/>
    <x v="911"/>
    <x v="45"/>
    <s v="Not Specified"/>
    <n v="6"/>
    <n v="391.12"/>
    <n v="0.06"/>
    <s v="Delivery Truck"/>
    <n v="-166.96"/>
    <n v="60.98"/>
    <n v="30"/>
    <x v="390"/>
    <x v="4"/>
    <x v="4"/>
    <x v="2"/>
    <x v="2"/>
    <x v="14"/>
    <x v="759"/>
    <s v="Jumbo Drum"/>
    <n v="0.7"/>
    <d v="2012-12-30T00:00:00"/>
    <n v="0"/>
    <n v="0"/>
    <n v="0.5"/>
    <n v="0.5"/>
  </r>
  <r>
    <n v="7142"/>
    <n v="50950"/>
    <x v="911"/>
    <x v="45"/>
    <s v="Not Specified"/>
    <n v="35"/>
    <n v="448.1"/>
    <n v="0.1"/>
    <s v="Express Air"/>
    <n v="-15.07"/>
    <n v="13.48"/>
    <n v="4.51"/>
    <x v="390"/>
    <x v="4"/>
    <x v="4"/>
    <x v="2"/>
    <x v="0"/>
    <x v="0"/>
    <x v="27"/>
    <s v="Small Box"/>
    <n v="0.59"/>
    <d v="2012-12-30T00:00:00"/>
    <n v="0"/>
    <n v="0"/>
    <n v="0.5"/>
    <n v="0.5"/>
  </r>
  <r>
    <n v="7143"/>
    <n v="50977"/>
    <x v="246"/>
    <x v="8"/>
    <s v="Low"/>
    <n v="1"/>
    <n v="34.090000000000003"/>
    <n v="0.05"/>
    <s v="Express Air"/>
    <n v="-19.899999999999999"/>
    <n v="18.97"/>
    <n v="9.0299999999999994"/>
    <x v="712"/>
    <x v="4"/>
    <x v="4"/>
    <x v="1"/>
    <x v="0"/>
    <x v="5"/>
    <x v="40"/>
    <s v="Small Box"/>
    <n v="0.37"/>
    <d v="2012-06-11T00:00:00"/>
    <n v="0"/>
    <n v="0"/>
    <n v="1"/>
    <n v="1"/>
  </r>
  <r>
    <n v="7151"/>
    <n v="51011"/>
    <x v="781"/>
    <x v="30"/>
    <s v="Low"/>
    <n v="41"/>
    <n v="5144.8715000000002"/>
    <n v="0.09"/>
    <s v="Regular Air"/>
    <n v="1435.8329999999999"/>
    <n v="155.99"/>
    <n v="3.9"/>
    <x v="712"/>
    <x v="4"/>
    <x v="4"/>
    <x v="1"/>
    <x v="1"/>
    <x v="3"/>
    <x v="149"/>
    <s v="Small Box"/>
    <n v="0.55000000000000004"/>
    <d v="2010-06-08T00:00:00"/>
    <n v="0"/>
    <n v="0"/>
    <n v="1"/>
    <n v="1"/>
  </r>
  <r>
    <n v="7169"/>
    <n v="51171"/>
    <x v="1074"/>
    <x v="30"/>
    <s v="High"/>
    <n v="34"/>
    <n v="783.48"/>
    <n v="0.01"/>
    <s v="Regular Air"/>
    <n v="-73.404499999999999"/>
    <n v="22.38"/>
    <n v="15.1"/>
    <x v="393"/>
    <x v="4"/>
    <x v="4"/>
    <x v="0"/>
    <x v="0"/>
    <x v="2"/>
    <x v="290"/>
    <s v="Small Box"/>
    <n v="0.38"/>
    <d v="2010-06-23T00:00:00"/>
    <n v="0"/>
    <n v="0"/>
    <n v="1"/>
    <n v="0.5"/>
  </r>
  <r>
    <n v="7186"/>
    <n v="51267"/>
    <x v="726"/>
    <x v="20"/>
    <s v="Low"/>
    <n v="46"/>
    <n v="4394.78"/>
    <n v="0.08"/>
    <s v="Delivery Truck"/>
    <n v="-335.77"/>
    <n v="100.98"/>
    <n v="35.840000000000003"/>
    <x v="454"/>
    <x v="4"/>
    <x v="4"/>
    <x v="3"/>
    <x v="2"/>
    <x v="9"/>
    <x v="550"/>
    <s v="Jumbo Box"/>
    <n v="0.62"/>
    <d v="2012-05-08T00:00:00"/>
    <n v="0"/>
    <n v="0"/>
    <n v="1"/>
    <n v="1"/>
  </r>
  <r>
    <n v="7200"/>
    <n v="51362"/>
    <x v="430"/>
    <x v="6"/>
    <s v="Medium"/>
    <n v="47"/>
    <n v="1501.8"/>
    <n v="0.02"/>
    <s v="Regular Air"/>
    <n v="112.78"/>
    <n v="30.97"/>
    <n v="4"/>
    <x v="723"/>
    <x v="4"/>
    <x v="4"/>
    <x v="2"/>
    <x v="1"/>
    <x v="7"/>
    <x v="730"/>
    <s v="Small Box"/>
    <n v="0.74"/>
    <d v="2010-02-24T00:00:00"/>
    <n v="0"/>
    <n v="0"/>
    <n v="1"/>
    <n v="1"/>
  </r>
  <r>
    <n v="7214"/>
    <n v="51489"/>
    <x v="146"/>
    <x v="33"/>
    <s v="Critical"/>
    <n v="42"/>
    <n v="4846.68"/>
    <n v="0.04"/>
    <s v="Regular Air"/>
    <n v="820.94"/>
    <n v="110.98"/>
    <n v="13.99"/>
    <x v="388"/>
    <x v="4"/>
    <x v="4"/>
    <x v="2"/>
    <x v="2"/>
    <x v="4"/>
    <x v="423"/>
    <s v="Medium Box"/>
    <n v="0.69"/>
    <d v="2012-03-05T00:00:00"/>
    <n v="0"/>
    <n v="0"/>
    <n v="0.33333333333333331"/>
    <n v="0.33333333333333331"/>
  </r>
  <r>
    <n v="7215"/>
    <n v="51489"/>
    <x v="146"/>
    <x v="33"/>
    <s v="Critical"/>
    <n v="5"/>
    <n v="32.69"/>
    <n v="0"/>
    <s v="Regular Air"/>
    <n v="-24.43"/>
    <n v="4.9800000000000004"/>
    <n v="7.54"/>
    <x v="388"/>
    <x v="4"/>
    <x v="4"/>
    <x v="2"/>
    <x v="0"/>
    <x v="5"/>
    <x v="1078"/>
    <s v="Small Box"/>
    <n v="0.38"/>
    <d v="2012-03-05T00:00:00"/>
    <n v="0"/>
    <n v="0"/>
    <n v="0.33333333333333331"/>
    <n v="0.33333333333333331"/>
  </r>
  <r>
    <n v="7216"/>
    <n v="51489"/>
    <x v="146"/>
    <x v="33"/>
    <s v="Critical"/>
    <n v="22"/>
    <n v="38.880000000000003"/>
    <n v="0.09"/>
    <s v="Regular Air"/>
    <n v="-18.57"/>
    <n v="1.81"/>
    <n v="1.56"/>
    <x v="388"/>
    <x v="4"/>
    <x v="4"/>
    <x v="2"/>
    <x v="0"/>
    <x v="6"/>
    <x v="817"/>
    <s v="Wrap Bag"/>
    <n v="0.49"/>
    <d v="2012-03-03T00:00:00"/>
    <n v="0"/>
    <n v="0"/>
    <n v="0.33333333333333331"/>
    <n v="0.33333333333333331"/>
  </r>
  <r>
    <n v="7217"/>
    <n v="51493"/>
    <x v="878"/>
    <x v="2"/>
    <s v="Low"/>
    <n v="31"/>
    <n v="286.26"/>
    <n v="0.01"/>
    <s v="Regular Air"/>
    <n v="8.34"/>
    <n v="8.56"/>
    <n v="5.16"/>
    <x v="190"/>
    <x v="4"/>
    <x v="4"/>
    <x v="2"/>
    <x v="0"/>
    <x v="5"/>
    <x v="1203"/>
    <s v="Wrap Bag"/>
    <n v="0.38"/>
    <d v="2011-07-08T00:00:00"/>
    <n v="0"/>
    <n v="0"/>
    <n v="1"/>
    <n v="1"/>
  </r>
  <r>
    <n v="7283"/>
    <n v="51969"/>
    <x v="578"/>
    <x v="31"/>
    <s v="High"/>
    <n v="16"/>
    <n v="196.98"/>
    <n v="0.04"/>
    <s v="Regular Air"/>
    <n v="-5.76"/>
    <n v="12.28"/>
    <n v="6.47"/>
    <x v="584"/>
    <x v="4"/>
    <x v="4"/>
    <x v="1"/>
    <x v="0"/>
    <x v="5"/>
    <x v="46"/>
    <s v="Small Box"/>
    <n v="0.38"/>
    <d v="2011-09-04T00:00:00"/>
    <n v="0"/>
    <n v="0"/>
    <n v="0.5"/>
    <n v="0.5"/>
  </r>
  <r>
    <n v="7284"/>
    <n v="51969"/>
    <x v="578"/>
    <x v="31"/>
    <s v="High"/>
    <n v="33"/>
    <n v="1756.6949999999999"/>
    <n v="0.1"/>
    <s v="Regular Air"/>
    <n v="164.97"/>
    <n v="65.989999999999995"/>
    <n v="8.8000000000000007"/>
    <x v="584"/>
    <x v="4"/>
    <x v="4"/>
    <x v="1"/>
    <x v="1"/>
    <x v="3"/>
    <x v="858"/>
    <s v="Small Box"/>
    <n v="0.57999999999999996"/>
    <d v="2011-09-07T00:00:00"/>
    <n v="0"/>
    <n v="0"/>
    <n v="0.5"/>
    <n v="0.5"/>
  </r>
  <r>
    <n v="7292"/>
    <n v="52003"/>
    <x v="1213"/>
    <x v="12"/>
    <s v="Low"/>
    <n v="11"/>
    <n v="1884.2080000000003"/>
    <n v="0.04"/>
    <s v="Delivery Truck"/>
    <n v="-776.72"/>
    <n v="212.6"/>
    <n v="110.2"/>
    <x v="710"/>
    <x v="4"/>
    <x v="4"/>
    <x v="1"/>
    <x v="2"/>
    <x v="10"/>
    <x v="763"/>
    <s v="Jumbo Box"/>
    <n v="0.73"/>
    <d v="2012-02-25T00:00:00"/>
    <n v="0"/>
    <n v="0"/>
    <n v="0.5"/>
    <n v="0.5"/>
  </r>
  <r>
    <n v="7293"/>
    <n v="52003"/>
    <x v="1213"/>
    <x v="12"/>
    <s v="Low"/>
    <n v="2"/>
    <n v="93.338499999999996"/>
    <n v="0.1"/>
    <s v="Regular Air"/>
    <n v="-300.38799999999998"/>
    <n v="55.99"/>
    <n v="5"/>
    <x v="710"/>
    <x v="4"/>
    <x v="4"/>
    <x v="1"/>
    <x v="1"/>
    <x v="3"/>
    <x v="140"/>
    <s v="Small Pack"/>
    <n v="0.83"/>
    <d v="2012-02-18T00:00:00"/>
    <n v="0"/>
    <n v="0"/>
    <n v="0.5"/>
    <n v="0.5"/>
  </r>
  <r>
    <n v="7323"/>
    <n v="52196"/>
    <x v="1304"/>
    <x v="38"/>
    <s v="Not Specified"/>
    <n v="1"/>
    <n v="3.85"/>
    <n v="0.08"/>
    <s v="Regular Air"/>
    <n v="-1.36"/>
    <n v="3.08"/>
    <n v="0.99"/>
    <x v="707"/>
    <x v="4"/>
    <x v="4"/>
    <x v="2"/>
    <x v="0"/>
    <x v="11"/>
    <x v="245"/>
    <s v="Small Box"/>
    <n v="0.37"/>
    <d v="2010-01-31T00:00:00"/>
    <n v="1"/>
    <n v="0"/>
    <n v="0.5"/>
    <n v="0.33333333333333331"/>
  </r>
  <r>
    <n v="7324"/>
    <n v="52196"/>
    <x v="1304"/>
    <x v="38"/>
    <s v="Not Specified"/>
    <n v="10"/>
    <n v="547.00049999999999"/>
    <n v="0.08"/>
    <s v="Regular Air"/>
    <n v="-97.195999999999998"/>
    <n v="65.989999999999995"/>
    <n v="3.9"/>
    <x v="707"/>
    <x v="4"/>
    <x v="4"/>
    <x v="2"/>
    <x v="1"/>
    <x v="3"/>
    <x v="247"/>
    <s v="Small Box"/>
    <n v="0.55000000000000004"/>
    <d v="2010-02-01T00:00:00"/>
    <n v="1"/>
    <n v="0"/>
    <n v="0.5"/>
    <n v="0.33333333333333331"/>
  </r>
  <r>
    <n v="7340"/>
    <n v="52292"/>
    <x v="1348"/>
    <x v="0"/>
    <s v="Not Specified"/>
    <n v="18"/>
    <n v="2379.15"/>
    <n v="0.06"/>
    <s v="Delivery Truck"/>
    <n v="-261.77"/>
    <n v="130.97999999999999"/>
    <n v="30"/>
    <x v="331"/>
    <x v="4"/>
    <x v="4"/>
    <x v="3"/>
    <x v="2"/>
    <x v="14"/>
    <x v="156"/>
    <s v="Jumbo Drum"/>
    <n v="0.78"/>
    <d v="2010-10-04T00:00:00"/>
    <n v="0"/>
    <n v="0"/>
    <n v="1"/>
    <n v="1"/>
  </r>
  <r>
    <n v="7359"/>
    <n v="52423"/>
    <x v="94"/>
    <x v="37"/>
    <s v="Critical"/>
    <n v="49"/>
    <n v="1734.4"/>
    <n v="0.02"/>
    <s v="Regular Air"/>
    <n v="749.16"/>
    <n v="35.409999999999997"/>
    <n v="1.99"/>
    <x v="694"/>
    <x v="4"/>
    <x v="4"/>
    <x v="3"/>
    <x v="1"/>
    <x v="7"/>
    <x v="753"/>
    <s v="Small Pack"/>
    <n v="0.43"/>
    <d v="2011-04-13T00:00:00"/>
    <n v="0"/>
    <n v="0"/>
    <n v="0.5"/>
    <n v="0.33333333333333331"/>
  </r>
  <r>
    <n v="7360"/>
    <n v="52423"/>
    <x v="94"/>
    <x v="37"/>
    <s v="Critical"/>
    <n v="25"/>
    <n v="1128.03"/>
    <n v="0.01"/>
    <s v="Regular Air"/>
    <n v="256.3"/>
    <n v="42.76"/>
    <n v="6.22"/>
    <x v="694"/>
    <x v="4"/>
    <x v="4"/>
    <x v="3"/>
    <x v="0"/>
    <x v="0"/>
    <x v="7"/>
    <s v="Small Box"/>
    <m/>
    <d v="2011-04-12T00:00:00"/>
    <n v="0"/>
    <n v="0"/>
    <n v="0.5"/>
    <n v="0.33333333333333331"/>
  </r>
  <r>
    <n v="7361"/>
    <n v="52448"/>
    <x v="930"/>
    <x v="18"/>
    <s v="Not Specified"/>
    <n v="22"/>
    <n v="6767.43"/>
    <n v="0.05"/>
    <s v="Delivery Truck"/>
    <n v="803.48"/>
    <n v="320.98"/>
    <n v="58.95"/>
    <x v="33"/>
    <x v="4"/>
    <x v="4"/>
    <x v="2"/>
    <x v="2"/>
    <x v="14"/>
    <x v="81"/>
    <s v="Jumbo Drum"/>
    <n v="0.56999999999999995"/>
    <d v="2010-09-11T00:00:00"/>
    <n v="0"/>
    <n v="0"/>
    <n v="1"/>
    <n v="1"/>
  </r>
  <r>
    <n v="7376"/>
    <n v="52580"/>
    <x v="110"/>
    <x v="9"/>
    <s v="High"/>
    <n v="16"/>
    <n v="367.09"/>
    <n v="0.04"/>
    <s v="Regular Air"/>
    <n v="74.2"/>
    <n v="22.98"/>
    <n v="1.99"/>
    <x v="599"/>
    <x v="4"/>
    <x v="4"/>
    <x v="2"/>
    <x v="1"/>
    <x v="7"/>
    <x v="375"/>
    <s v="Small Pack"/>
    <n v="0.46"/>
    <d v="2012-08-30T00:00:00"/>
    <n v="0"/>
    <n v="0"/>
    <n v="0.5"/>
    <n v="0.5"/>
  </r>
  <r>
    <n v="7377"/>
    <n v="52580"/>
    <x v="110"/>
    <x v="9"/>
    <s v="High"/>
    <n v="23"/>
    <n v="139.66"/>
    <n v="0.02"/>
    <s v="Regular Air"/>
    <n v="46.69"/>
    <n v="5.68"/>
    <n v="1.39"/>
    <x v="599"/>
    <x v="4"/>
    <x v="4"/>
    <x v="2"/>
    <x v="0"/>
    <x v="8"/>
    <x v="474"/>
    <s v="Small Box"/>
    <n v="0.38"/>
    <d v="2012-08-30T00:00:00"/>
    <n v="0"/>
    <n v="0"/>
    <n v="0.5"/>
    <n v="0.5"/>
  </r>
  <r>
    <n v="7441"/>
    <n v="53056"/>
    <x v="1262"/>
    <x v="27"/>
    <s v="Critical"/>
    <n v="13"/>
    <n v="509.49"/>
    <n v="7.0000000000000007E-2"/>
    <s v="Regular Air"/>
    <n v="-51.182099999999998"/>
    <n v="40.99"/>
    <n v="8.9700000000000006"/>
    <x v="190"/>
    <x v="4"/>
    <x v="4"/>
    <x v="2"/>
    <x v="1"/>
    <x v="16"/>
    <x v="1251"/>
    <s v="Small Box"/>
    <n v="0.54"/>
    <d v="2011-11-04T00:00:00"/>
    <n v="0"/>
    <n v="0"/>
    <n v="1"/>
    <n v="1"/>
  </r>
  <r>
    <n v="7442"/>
    <n v="53060"/>
    <x v="916"/>
    <x v="14"/>
    <s v="Critical"/>
    <n v="36"/>
    <n v="739.07"/>
    <n v="0.1"/>
    <s v="Regular Air"/>
    <n v="-71.55"/>
    <n v="20.95"/>
    <n v="5.99"/>
    <x v="338"/>
    <x v="4"/>
    <x v="4"/>
    <x v="1"/>
    <x v="1"/>
    <x v="7"/>
    <x v="124"/>
    <s v="Small Box"/>
    <n v="0.65"/>
    <d v="2010-03-24T00:00:00"/>
    <n v="0"/>
    <n v="0"/>
    <n v="0.5"/>
    <n v="0.5"/>
  </r>
  <r>
    <n v="7443"/>
    <n v="53060"/>
    <x v="916"/>
    <x v="14"/>
    <s v="Critical"/>
    <n v="4"/>
    <n v="38.58"/>
    <n v="0.02"/>
    <s v="Regular Air"/>
    <n v="-2.82"/>
    <n v="9.11"/>
    <n v="2.15"/>
    <x v="338"/>
    <x v="4"/>
    <x v="4"/>
    <x v="1"/>
    <x v="0"/>
    <x v="5"/>
    <x v="1024"/>
    <s v="Wrap Bag"/>
    <n v="0.4"/>
    <d v="2010-03-24T00:00:00"/>
    <n v="0"/>
    <n v="0"/>
    <n v="0.5"/>
    <n v="0.5"/>
  </r>
  <r>
    <n v="7465"/>
    <n v="53283"/>
    <x v="891"/>
    <x v="17"/>
    <s v="High"/>
    <n v="2"/>
    <n v="25.07"/>
    <n v="0.04"/>
    <s v="Regular Air"/>
    <n v="-27.674699999999998"/>
    <n v="9.49"/>
    <n v="5.76"/>
    <x v="454"/>
    <x v="4"/>
    <x v="4"/>
    <x v="3"/>
    <x v="1"/>
    <x v="16"/>
    <x v="510"/>
    <s v="Medium Box"/>
    <n v="0.39"/>
    <d v="2011-10-29T00:00:00"/>
    <n v="0"/>
    <n v="0"/>
    <n v="1"/>
    <n v="1"/>
  </r>
  <r>
    <n v="7471"/>
    <n v="53344"/>
    <x v="876"/>
    <x v="6"/>
    <s v="High"/>
    <n v="36"/>
    <n v="181.95"/>
    <n v="0.03"/>
    <s v="Regular Air"/>
    <n v="-132.26150000000001"/>
    <n v="4.8899999999999997"/>
    <n v="6.07"/>
    <x v="346"/>
    <x v="4"/>
    <x v="4"/>
    <x v="0"/>
    <x v="0"/>
    <x v="2"/>
    <x v="1252"/>
    <s v="Small Box"/>
    <n v="0.39"/>
    <d v="2010-02-26T00:00:00"/>
    <n v="0"/>
    <n v="0"/>
    <n v="1"/>
    <n v="1"/>
  </r>
  <r>
    <n v="7477"/>
    <n v="53381"/>
    <x v="471"/>
    <x v="18"/>
    <s v="Critical"/>
    <n v="26"/>
    <n v="287.43"/>
    <n v="0.01"/>
    <s v="Regular Air"/>
    <n v="37.9"/>
    <n v="10.98"/>
    <n v="4.8"/>
    <x v="724"/>
    <x v="4"/>
    <x v="4"/>
    <x v="2"/>
    <x v="0"/>
    <x v="8"/>
    <x v="411"/>
    <s v="Small Box"/>
    <n v="0.36"/>
    <d v="2010-09-27T00:00:00"/>
    <n v="0"/>
    <n v="0"/>
    <n v="1"/>
    <n v="1"/>
  </r>
  <r>
    <n v="7505"/>
    <n v="53571"/>
    <x v="123"/>
    <x v="33"/>
    <s v="Not Specified"/>
    <n v="21"/>
    <n v="238.06"/>
    <n v="0.05"/>
    <s v="Regular Air"/>
    <n v="56.4315"/>
    <n v="10.91"/>
    <n v="2.99"/>
    <x v="349"/>
    <x v="4"/>
    <x v="4"/>
    <x v="0"/>
    <x v="0"/>
    <x v="2"/>
    <x v="235"/>
    <s v="Small Box"/>
    <n v="0.38"/>
    <d v="2012-03-17T00:00:00"/>
    <n v="0"/>
    <n v="0"/>
    <n v="1"/>
    <n v="1"/>
  </r>
  <r>
    <n v="7513"/>
    <n v="53635"/>
    <x v="1178"/>
    <x v="29"/>
    <s v="Not Specified"/>
    <n v="33"/>
    <n v="103.92"/>
    <n v="0.08"/>
    <s v="Regular Air"/>
    <n v="-52.76"/>
    <n v="3.14"/>
    <n v="1.92"/>
    <x v="335"/>
    <x v="4"/>
    <x v="4"/>
    <x v="0"/>
    <x v="0"/>
    <x v="15"/>
    <x v="546"/>
    <s v="Wrap Bag"/>
    <n v="0.84"/>
    <d v="2012-07-20T00:00:00"/>
    <n v="0"/>
    <n v="0"/>
    <n v="1"/>
    <n v="0.5"/>
  </r>
  <r>
    <n v="7525"/>
    <n v="53762"/>
    <x v="834"/>
    <x v="8"/>
    <s v="Critical"/>
    <n v="28"/>
    <n v="136.16"/>
    <n v="7.0000000000000007E-2"/>
    <s v="Regular Air"/>
    <n v="58.1"/>
    <n v="4.9800000000000004"/>
    <n v="0.49"/>
    <x v="169"/>
    <x v="4"/>
    <x v="4"/>
    <x v="1"/>
    <x v="0"/>
    <x v="11"/>
    <x v="651"/>
    <s v="Small Box"/>
    <n v="0.39"/>
    <d v="2012-06-02T00:00:00"/>
    <n v="0"/>
    <n v="0"/>
    <n v="1"/>
    <n v="1"/>
  </r>
  <r>
    <n v="7561"/>
    <n v="54086"/>
    <x v="1137"/>
    <x v="34"/>
    <s v="Low"/>
    <n v="23"/>
    <n v="5062.18"/>
    <n v="0.06"/>
    <s v="Delivery Truck"/>
    <n v="842.83"/>
    <n v="270.97000000000003"/>
    <n v="28.06"/>
    <x v="709"/>
    <x v="4"/>
    <x v="4"/>
    <x v="0"/>
    <x v="1"/>
    <x v="16"/>
    <x v="241"/>
    <s v="Jumbo Drum"/>
    <n v="0.56000000000000005"/>
    <d v="2012-09-08T00:00:00"/>
    <n v="0"/>
    <n v="0"/>
    <n v="1"/>
    <n v="1"/>
  </r>
  <r>
    <n v="7575"/>
    <n v="54180"/>
    <x v="972"/>
    <x v="1"/>
    <s v="Critical"/>
    <n v="43"/>
    <n v="913.99"/>
    <n v="0.08"/>
    <s v="Regular Air"/>
    <n v="-57.75"/>
    <n v="21.38"/>
    <n v="8.99"/>
    <x v="722"/>
    <x v="4"/>
    <x v="4"/>
    <x v="1"/>
    <x v="0"/>
    <x v="12"/>
    <x v="311"/>
    <s v="Small Pack"/>
    <n v="0.59"/>
    <d v="2012-10-24T00:00:00"/>
    <n v="0"/>
    <n v="0"/>
    <n v="1"/>
    <n v="1"/>
  </r>
  <r>
    <n v="7581"/>
    <n v="54215"/>
    <x v="1255"/>
    <x v="17"/>
    <s v="High"/>
    <n v="14"/>
    <n v="321.20999999999998"/>
    <n v="0.04"/>
    <s v="Regular Air"/>
    <n v="53.44"/>
    <n v="22.98"/>
    <n v="1.99"/>
    <x v="709"/>
    <x v="4"/>
    <x v="4"/>
    <x v="0"/>
    <x v="1"/>
    <x v="7"/>
    <x v="375"/>
    <s v="Small Pack"/>
    <n v="0.46"/>
    <d v="2011-10-23T00:00:00"/>
    <n v="0"/>
    <n v="0"/>
    <n v="1"/>
    <n v="1"/>
  </r>
  <r>
    <n v="7591"/>
    <n v="54336"/>
    <x v="104"/>
    <x v="24"/>
    <s v="Medium"/>
    <n v="50"/>
    <n v="952.21"/>
    <n v="0.05"/>
    <s v="Regular Air"/>
    <n v="403.83"/>
    <n v="18.84"/>
    <n v="3.62"/>
    <x v="544"/>
    <x v="4"/>
    <x v="4"/>
    <x v="2"/>
    <x v="2"/>
    <x v="4"/>
    <x v="771"/>
    <s v="Wrap Bag"/>
    <n v="0.43"/>
    <d v="2010-04-17T00:00:00"/>
    <n v="0"/>
    <n v="0"/>
    <n v="1"/>
    <n v="1"/>
  </r>
  <r>
    <n v="7610"/>
    <n v="54467"/>
    <x v="918"/>
    <x v="0"/>
    <s v="Low"/>
    <n v="37"/>
    <n v="436.67"/>
    <n v="0.06"/>
    <s v="Regular Air"/>
    <n v="51.91"/>
    <n v="11.58"/>
    <n v="5.72"/>
    <x v="399"/>
    <x v="4"/>
    <x v="4"/>
    <x v="0"/>
    <x v="0"/>
    <x v="8"/>
    <x v="188"/>
    <s v="Small Box"/>
    <n v="0.35"/>
    <d v="2010-10-20T00:00:00"/>
    <n v="0"/>
    <n v="0"/>
    <n v="0.33333333333333331"/>
    <n v="0.33333333333333331"/>
  </r>
  <r>
    <n v="7611"/>
    <n v="54467"/>
    <x v="918"/>
    <x v="0"/>
    <s v="Low"/>
    <n v="30"/>
    <n v="146.72"/>
    <n v="0.06"/>
    <s v="Regular Air"/>
    <n v="18.260000000000002"/>
    <n v="5.08"/>
    <n v="2.0299999999999998"/>
    <x v="399"/>
    <x v="4"/>
    <x v="4"/>
    <x v="0"/>
    <x v="2"/>
    <x v="4"/>
    <x v="708"/>
    <s v="Wrap Bag"/>
    <n v="0.51"/>
    <d v="2010-10-20T00:00:00"/>
    <n v="0"/>
    <n v="0"/>
    <n v="0.33333333333333331"/>
    <n v="0.33333333333333331"/>
  </r>
  <r>
    <n v="7612"/>
    <n v="54467"/>
    <x v="918"/>
    <x v="0"/>
    <s v="Low"/>
    <n v="17"/>
    <n v="74.83"/>
    <n v="0.08"/>
    <s v="Regular Air"/>
    <n v="-83.71"/>
    <n v="4.0599999999999996"/>
    <n v="6.89"/>
    <x v="399"/>
    <x v="4"/>
    <x v="4"/>
    <x v="0"/>
    <x v="0"/>
    <x v="1"/>
    <x v="283"/>
    <s v="Small Box"/>
    <n v="0.6"/>
    <d v="2010-10-23T00:00:00"/>
    <n v="0"/>
    <n v="0"/>
    <n v="0.33333333333333331"/>
    <n v="0.33333333333333331"/>
  </r>
  <r>
    <n v="7623"/>
    <n v="54534"/>
    <x v="497"/>
    <x v="33"/>
    <s v="Not Specified"/>
    <n v="16"/>
    <n v="124.71"/>
    <n v="0.01"/>
    <s v="Regular Air"/>
    <n v="-30.04"/>
    <n v="7.35"/>
    <n v="5.96"/>
    <x v="666"/>
    <x v="4"/>
    <x v="4"/>
    <x v="0"/>
    <x v="0"/>
    <x v="5"/>
    <x v="844"/>
    <s v="Small Box"/>
    <n v="0.38"/>
    <d v="2012-03-21T00:00:00"/>
    <n v="0"/>
    <n v="0"/>
    <n v="1"/>
    <n v="1"/>
  </r>
  <r>
    <n v="7627"/>
    <n v="54564"/>
    <x v="1317"/>
    <x v="15"/>
    <s v="High"/>
    <n v="27"/>
    <n v="1553.8679999999999"/>
    <n v="0.04"/>
    <s v="Express Air"/>
    <n v="322.50599999999997"/>
    <n v="65.989999999999995"/>
    <n v="5.92"/>
    <x v="401"/>
    <x v="4"/>
    <x v="4"/>
    <x v="2"/>
    <x v="1"/>
    <x v="3"/>
    <x v="237"/>
    <s v="Small Box"/>
    <n v="0.55000000000000004"/>
    <d v="2010-12-08T00:00:00"/>
    <n v="0"/>
    <n v="0"/>
    <n v="1"/>
    <n v="1"/>
  </r>
  <r>
    <n v="7637"/>
    <n v="54692"/>
    <x v="270"/>
    <x v="14"/>
    <s v="Medium"/>
    <n v="16"/>
    <n v="43.65"/>
    <n v="0.05"/>
    <s v="Regular Air"/>
    <n v="-3.67"/>
    <n v="2.78"/>
    <n v="0.97"/>
    <x v="727"/>
    <x v="4"/>
    <x v="4"/>
    <x v="3"/>
    <x v="0"/>
    <x v="12"/>
    <x v="895"/>
    <s v="Wrap Bag"/>
    <n v="0.59"/>
    <d v="2010-03-05T00:00:00"/>
    <n v="0"/>
    <n v="0"/>
    <n v="0.5"/>
    <n v="0.5"/>
  </r>
  <r>
    <n v="7638"/>
    <n v="54692"/>
    <x v="270"/>
    <x v="14"/>
    <s v="Medium"/>
    <n v="27"/>
    <n v="2478.4810000000002"/>
    <n v="0.09"/>
    <s v="Regular Air"/>
    <n v="249.10199999999998"/>
    <n v="115.99"/>
    <n v="8.99"/>
    <x v="727"/>
    <x v="4"/>
    <x v="4"/>
    <x v="3"/>
    <x v="1"/>
    <x v="3"/>
    <x v="662"/>
    <s v="Small Box"/>
    <n v="0.57999999999999996"/>
    <d v="2010-03-07T00:00:00"/>
    <n v="0"/>
    <n v="0"/>
    <n v="0.5"/>
    <n v="0.5"/>
  </r>
  <r>
    <n v="7641"/>
    <n v="54727"/>
    <x v="416"/>
    <x v="15"/>
    <s v="Medium"/>
    <n v="29"/>
    <n v="1427.14"/>
    <n v="0.02"/>
    <s v="Regular Air"/>
    <n v="605.91999999999996"/>
    <n v="48.04"/>
    <n v="7.23"/>
    <x v="399"/>
    <x v="4"/>
    <x v="4"/>
    <x v="0"/>
    <x v="0"/>
    <x v="5"/>
    <x v="399"/>
    <s v="Small Box"/>
    <n v="0.37"/>
    <d v="2010-12-14T00:00:00"/>
    <n v="0"/>
    <n v="0"/>
    <n v="1"/>
    <n v="1"/>
  </r>
  <r>
    <n v="7656"/>
    <n v="54886"/>
    <x v="9"/>
    <x v="9"/>
    <s v="Critical"/>
    <n v="39"/>
    <n v="419.95"/>
    <n v="0.02"/>
    <s v="Regular Air"/>
    <n v="-39.1"/>
    <n v="10.64"/>
    <n v="5.16"/>
    <x v="209"/>
    <x v="4"/>
    <x v="4"/>
    <x v="0"/>
    <x v="2"/>
    <x v="4"/>
    <x v="448"/>
    <s v="Small Box"/>
    <n v="0.56999999999999995"/>
    <d v="2012-08-05T00:00:00"/>
    <n v="0"/>
    <n v="0"/>
    <n v="1"/>
    <n v="1"/>
  </r>
  <r>
    <n v="7668"/>
    <n v="54977"/>
    <x v="2"/>
    <x v="2"/>
    <s v="Low"/>
    <n v="24"/>
    <n v="344.25"/>
    <n v="0.1"/>
    <s v="Regular Air"/>
    <n v="23.961500000000001"/>
    <n v="14.48"/>
    <n v="6.46"/>
    <x v="380"/>
    <x v="4"/>
    <x v="4"/>
    <x v="3"/>
    <x v="0"/>
    <x v="2"/>
    <x v="637"/>
    <s v="Small Box"/>
    <n v="0.38"/>
    <d v="2011-07-14T00:00:00"/>
    <n v="0"/>
    <n v="0"/>
    <n v="0.5"/>
    <n v="0.5"/>
  </r>
  <r>
    <n v="7669"/>
    <n v="54977"/>
    <x v="2"/>
    <x v="2"/>
    <s v="Low"/>
    <n v="12"/>
    <n v="64.77"/>
    <n v="0.09"/>
    <s v="Regular Air"/>
    <n v="14.46"/>
    <n v="5.84"/>
    <n v="1"/>
    <x v="380"/>
    <x v="4"/>
    <x v="4"/>
    <x v="3"/>
    <x v="0"/>
    <x v="12"/>
    <x v="867"/>
    <s v="Wrap Bag"/>
    <n v="0.38"/>
    <d v="2011-07-15T00:00:00"/>
    <n v="0"/>
    <n v="0"/>
    <n v="0.5"/>
    <n v="0.5"/>
  </r>
  <r>
    <n v="7676"/>
    <n v="55040"/>
    <x v="1393"/>
    <x v="46"/>
    <s v="High"/>
    <n v="8"/>
    <n v="292.38"/>
    <n v="0.05"/>
    <s v="Regular Air"/>
    <n v="6.11"/>
    <n v="35.51"/>
    <n v="6.31"/>
    <x v="720"/>
    <x v="4"/>
    <x v="4"/>
    <x v="1"/>
    <x v="0"/>
    <x v="0"/>
    <x v="1200"/>
    <s v="Small Box"/>
    <n v="0.57999999999999996"/>
    <d v="2009-04-14T00:00:00"/>
    <n v="0"/>
    <n v="0"/>
    <n v="0.25"/>
    <n v="0.25"/>
  </r>
  <r>
    <n v="7677"/>
    <n v="55040"/>
    <x v="1393"/>
    <x v="46"/>
    <s v="High"/>
    <n v="24"/>
    <n v="191.79"/>
    <n v="0.1"/>
    <s v="Regular Air"/>
    <n v="-6.34"/>
    <n v="8.34"/>
    <n v="2.64"/>
    <x v="720"/>
    <x v="4"/>
    <x v="4"/>
    <x v="1"/>
    <x v="0"/>
    <x v="15"/>
    <x v="1008"/>
    <s v="Small Pack"/>
    <n v="0.59"/>
    <d v="2009-04-12T00:00:00"/>
    <n v="0"/>
    <n v="0"/>
    <n v="0.25"/>
    <n v="0.25"/>
  </r>
  <r>
    <n v="7678"/>
    <n v="55040"/>
    <x v="1393"/>
    <x v="46"/>
    <s v="High"/>
    <n v="34"/>
    <n v="290.01"/>
    <n v="0.03"/>
    <s v="Regular Air"/>
    <n v="-160.27549999999999"/>
    <n v="8.0399999999999991"/>
    <n v="8.94"/>
    <x v="720"/>
    <x v="4"/>
    <x v="4"/>
    <x v="1"/>
    <x v="0"/>
    <x v="2"/>
    <x v="401"/>
    <s v="Small Box"/>
    <n v="0.4"/>
    <d v="2009-04-14T00:00:00"/>
    <n v="0"/>
    <n v="0"/>
    <n v="0.25"/>
    <n v="0.25"/>
  </r>
  <r>
    <n v="7679"/>
    <n v="55040"/>
    <x v="1393"/>
    <x v="46"/>
    <s v="High"/>
    <n v="2"/>
    <n v="4692.26"/>
    <n v="0.08"/>
    <s v="Delivery Truck"/>
    <n v="-7373.1282000000001"/>
    <n v="2550.14"/>
    <n v="29.7"/>
    <x v="720"/>
    <x v="4"/>
    <x v="4"/>
    <x v="1"/>
    <x v="1"/>
    <x v="16"/>
    <x v="380"/>
    <s v="Jumbo Drum"/>
    <n v="0.56999999999999995"/>
    <d v="2009-04-14T00:00:00"/>
    <n v="0"/>
    <n v="0"/>
    <n v="0.25"/>
    <n v="0.25"/>
  </r>
  <r>
    <n v="7692"/>
    <n v="55139"/>
    <x v="1054"/>
    <x v="38"/>
    <s v="Not Specified"/>
    <n v="41"/>
    <n v="576.58000000000004"/>
    <n v="0.04"/>
    <s v="Regular Air"/>
    <n v="-81.55"/>
    <n v="13.9"/>
    <n v="7.59"/>
    <x v="409"/>
    <x v="4"/>
    <x v="4"/>
    <x v="0"/>
    <x v="0"/>
    <x v="15"/>
    <x v="297"/>
    <s v="Small Pack"/>
    <n v="0.56000000000000005"/>
    <d v="2010-01-18T00:00:00"/>
    <n v="1"/>
    <n v="0"/>
    <n v="0.5"/>
    <n v="0.5"/>
  </r>
  <r>
    <n v="7702"/>
    <n v="55203"/>
    <x v="358"/>
    <x v="24"/>
    <s v="Low"/>
    <n v="18"/>
    <n v="994.47450000000003"/>
    <n v="0.05"/>
    <s v="Regular Air"/>
    <n v="0.71100000000000563"/>
    <n v="65.989999999999995"/>
    <n v="7.69"/>
    <x v="337"/>
    <x v="4"/>
    <x v="4"/>
    <x v="2"/>
    <x v="1"/>
    <x v="3"/>
    <x v="712"/>
    <s v="Small Box"/>
    <n v="0.59"/>
    <d v="2010-04-11T00:00:00"/>
    <n v="0"/>
    <n v="0"/>
    <n v="1"/>
    <n v="1"/>
  </r>
  <r>
    <n v="7721"/>
    <n v="55330"/>
    <x v="38"/>
    <x v="26"/>
    <s v="Medium"/>
    <n v="49"/>
    <n v="633.91"/>
    <n v="0"/>
    <s v="Regular Air"/>
    <n v="141.16999999999999"/>
    <n v="12.58"/>
    <n v="5.16"/>
    <x v="361"/>
    <x v="4"/>
    <x v="4"/>
    <x v="2"/>
    <x v="2"/>
    <x v="4"/>
    <x v="132"/>
    <s v="Small Box"/>
    <n v="0.43"/>
    <d v="2009-08-12T00:00:00"/>
    <n v="0"/>
    <n v="0"/>
    <n v="1"/>
    <n v="0.5"/>
  </r>
  <r>
    <n v="7744"/>
    <n v="55431"/>
    <x v="8"/>
    <x v="8"/>
    <s v="Not Specified"/>
    <n v="39"/>
    <n v="61.94"/>
    <n v="0.1"/>
    <s v="Regular Air"/>
    <n v="-17.78"/>
    <n v="1.6"/>
    <n v="1.29"/>
    <x v="545"/>
    <x v="4"/>
    <x v="4"/>
    <x v="2"/>
    <x v="0"/>
    <x v="12"/>
    <x v="1206"/>
    <s v="Wrap Bag"/>
    <n v="0.42"/>
    <d v="2012-06-09T00:00:00"/>
    <n v="0"/>
    <n v="0"/>
    <n v="0.5"/>
    <n v="0.5"/>
  </r>
  <r>
    <n v="7756"/>
    <n v="55494"/>
    <x v="510"/>
    <x v="8"/>
    <s v="Not Specified"/>
    <n v="4"/>
    <n v="57.82"/>
    <n v="0.08"/>
    <s v="Express Air"/>
    <n v="0.84999999999999787"/>
    <n v="10.98"/>
    <n v="4.8"/>
    <x v="385"/>
    <x v="4"/>
    <x v="4"/>
    <x v="0"/>
    <x v="0"/>
    <x v="8"/>
    <x v="411"/>
    <s v="Small Box"/>
    <n v="0.36"/>
    <d v="2012-06-27T00:00:00"/>
    <n v="0"/>
    <n v="0"/>
    <n v="0.5"/>
    <n v="0.5"/>
  </r>
  <r>
    <n v="7757"/>
    <n v="55494"/>
    <x v="510"/>
    <x v="8"/>
    <s v="Not Specified"/>
    <n v="49"/>
    <n v="544.89"/>
    <n v="0.09"/>
    <s v="Regular Air"/>
    <n v="-115.66"/>
    <n v="11.97"/>
    <n v="5.81"/>
    <x v="385"/>
    <x v="4"/>
    <x v="4"/>
    <x v="0"/>
    <x v="0"/>
    <x v="12"/>
    <x v="393"/>
    <s v="Small Pack"/>
    <n v="0.6"/>
    <d v="2012-06-26T00:00:00"/>
    <n v="0"/>
    <n v="0"/>
    <n v="0.5"/>
    <n v="0.5"/>
  </r>
  <r>
    <n v="7762"/>
    <n v="55554"/>
    <x v="571"/>
    <x v="11"/>
    <s v="Critical"/>
    <n v="6"/>
    <n v="122.09"/>
    <n v="0.04"/>
    <s v="Regular Air"/>
    <n v="-15.2"/>
    <n v="18.97"/>
    <n v="9.5399999999999991"/>
    <x v="384"/>
    <x v="4"/>
    <x v="4"/>
    <x v="0"/>
    <x v="0"/>
    <x v="5"/>
    <x v="439"/>
    <s v="Small Box"/>
    <n v="0.37"/>
    <d v="2009-11-17T00:00:00"/>
    <n v="0"/>
    <n v="0"/>
    <n v="0.33333333333333331"/>
    <n v="0.33333333333333331"/>
  </r>
  <r>
    <n v="7763"/>
    <n v="55554"/>
    <x v="571"/>
    <x v="11"/>
    <s v="Critical"/>
    <n v="49"/>
    <n v="150.06"/>
    <n v="0.02"/>
    <s v="Regular Air"/>
    <n v="30.97"/>
    <n v="2.88"/>
    <n v="0.7"/>
    <x v="384"/>
    <x v="4"/>
    <x v="4"/>
    <x v="0"/>
    <x v="0"/>
    <x v="12"/>
    <x v="808"/>
    <s v="Wrap Bag"/>
    <n v="0.56000000000000005"/>
    <d v="2009-11-19T00:00:00"/>
    <n v="0"/>
    <n v="0"/>
    <n v="0.33333333333333331"/>
    <n v="0.33333333333333331"/>
  </r>
  <r>
    <n v="7764"/>
    <n v="55554"/>
    <x v="571"/>
    <x v="11"/>
    <s v="Critical"/>
    <n v="9"/>
    <n v="95.09"/>
    <n v="0.09"/>
    <s v="Regular Air"/>
    <n v="-13.53"/>
    <n v="10.98"/>
    <n v="3.37"/>
    <x v="384"/>
    <x v="4"/>
    <x v="4"/>
    <x v="0"/>
    <x v="0"/>
    <x v="15"/>
    <x v="340"/>
    <s v="Small Pack"/>
    <n v="0.56999999999999995"/>
    <d v="2009-11-17T00:00:00"/>
    <n v="0"/>
    <n v="0"/>
    <n v="0.33333333333333331"/>
    <n v="0.33333333333333331"/>
  </r>
  <r>
    <n v="7775"/>
    <n v="55651"/>
    <x v="967"/>
    <x v="33"/>
    <s v="Medium"/>
    <n v="11"/>
    <n v="995.72400000000005"/>
    <n v="0.05"/>
    <s v="Regular Air"/>
    <n v="-117.61199999999999"/>
    <n v="110.99"/>
    <n v="2.5"/>
    <x v="190"/>
    <x v="4"/>
    <x v="4"/>
    <x v="2"/>
    <x v="1"/>
    <x v="3"/>
    <x v="368"/>
    <s v="Small Box"/>
    <n v="0.56999999999999995"/>
    <d v="2012-03-08T00:00:00"/>
    <n v="0"/>
    <n v="0"/>
    <n v="0.33333333333333331"/>
    <n v="0.33333333333333331"/>
  </r>
  <r>
    <n v="7836"/>
    <n v="56006"/>
    <x v="1153"/>
    <x v="17"/>
    <s v="Critical"/>
    <n v="16"/>
    <n v="102.99"/>
    <n v="0.1"/>
    <s v="Regular Air"/>
    <n v="-102.17"/>
    <n v="6.48"/>
    <n v="9.68"/>
    <x v="421"/>
    <x v="4"/>
    <x v="4"/>
    <x v="0"/>
    <x v="0"/>
    <x v="5"/>
    <x v="597"/>
    <s v="Small Box"/>
    <n v="0.36"/>
    <d v="2011-10-01T00:00:00"/>
    <n v="0"/>
    <n v="0"/>
    <n v="0.5"/>
    <n v="0.5"/>
  </r>
  <r>
    <n v="7837"/>
    <n v="56006"/>
    <x v="1153"/>
    <x v="17"/>
    <s v="Critical"/>
    <n v="20"/>
    <n v="1429.088"/>
    <n v="0.06"/>
    <s v="Regular Air"/>
    <n v="500.04899999999998"/>
    <n v="85.99"/>
    <n v="1.25"/>
    <x v="421"/>
    <x v="4"/>
    <x v="4"/>
    <x v="0"/>
    <x v="1"/>
    <x v="3"/>
    <x v="313"/>
    <s v="Small Pack"/>
    <n v="0.39"/>
    <d v="2011-10-03T00:00:00"/>
    <n v="0"/>
    <n v="0"/>
    <n v="0.5"/>
    <n v="0.5"/>
  </r>
  <r>
    <n v="7850"/>
    <n v="56130"/>
    <x v="1187"/>
    <x v="27"/>
    <s v="Medium"/>
    <n v="13"/>
    <n v="246.06"/>
    <n v="0.08"/>
    <s v="Regular Air"/>
    <n v="52.33"/>
    <n v="18.7"/>
    <n v="8.99"/>
    <x v="721"/>
    <x v="4"/>
    <x v="4"/>
    <x v="2"/>
    <x v="2"/>
    <x v="4"/>
    <x v="823"/>
    <s v="Small Pack"/>
    <n v="0.47"/>
    <d v="2011-12-01T00:00:00"/>
    <n v="0"/>
    <n v="0"/>
    <n v="0.5"/>
    <n v="0.5"/>
  </r>
  <r>
    <n v="7851"/>
    <n v="56130"/>
    <x v="1187"/>
    <x v="27"/>
    <s v="Medium"/>
    <n v="25"/>
    <n v="41.87"/>
    <n v="0.05"/>
    <s v="Regular Air"/>
    <n v="-25.52"/>
    <n v="1.68"/>
    <n v="1.57"/>
    <x v="721"/>
    <x v="4"/>
    <x v="4"/>
    <x v="2"/>
    <x v="0"/>
    <x v="12"/>
    <x v="113"/>
    <s v="Wrap Bag"/>
    <n v="0.59"/>
    <d v="2011-12-01T00:00:00"/>
    <n v="0"/>
    <n v="0"/>
    <n v="0.5"/>
    <n v="0.5"/>
  </r>
  <r>
    <n v="7855"/>
    <n v="56162"/>
    <x v="810"/>
    <x v="37"/>
    <s v="Not Specified"/>
    <n v="30"/>
    <n v="5217.79"/>
    <n v="0.09"/>
    <s v="Delivery Truck"/>
    <n v="209.54"/>
    <n v="180.98"/>
    <n v="30"/>
    <x v="413"/>
    <x v="4"/>
    <x v="4"/>
    <x v="2"/>
    <x v="2"/>
    <x v="14"/>
    <x v="741"/>
    <s v="Jumbo Drum"/>
    <n v="0.69"/>
    <d v="2011-04-27T00:00:00"/>
    <n v="0"/>
    <n v="0"/>
    <n v="1"/>
    <n v="1"/>
  </r>
  <r>
    <n v="7867"/>
    <n v="56261"/>
    <x v="496"/>
    <x v="12"/>
    <s v="Critical"/>
    <n v="43"/>
    <n v="16886.759999999998"/>
    <n v="0.02"/>
    <s v="Delivery Truck"/>
    <n v="483.95"/>
    <n v="376.13"/>
    <n v="85.63"/>
    <x v="726"/>
    <x v="4"/>
    <x v="4"/>
    <x v="1"/>
    <x v="2"/>
    <x v="10"/>
    <x v="564"/>
    <s v="Jumbo Box"/>
    <n v="0.74"/>
    <d v="2012-02-29T00:00:00"/>
    <n v="0"/>
    <n v="0"/>
    <n v="1"/>
    <n v="1"/>
  </r>
  <r>
    <n v="7881"/>
    <n v="56358"/>
    <x v="636"/>
    <x v="33"/>
    <s v="Not Specified"/>
    <n v="1"/>
    <n v="11.7"/>
    <n v="0"/>
    <s v="Regular Air"/>
    <n v="-8.06"/>
    <n v="5.89"/>
    <n v="5.57"/>
    <x v="714"/>
    <x v="4"/>
    <x v="4"/>
    <x v="1"/>
    <x v="2"/>
    <x v="4"/>
    <x v="342"/>
    <s v="Small Box"/>
    <n v="0.41"/>
    <d v="2012-03-03T00:00:00"/>
    <n v="0"/>
    <n v="0"/>
    <n v="1"/>
    <n v="1"/>
  </r>
  <r>
    <n v="7893"/>
    <n v="56452"/>
    <x v="818"/>
    <x v="40"/>
    <s v="Not Specified"/>
    <n v="34"/>
    <n v="6686.344000000001"/>
    <n v="0"/>
    <s v="Delivery Truck"/>
    <n v="1192.04"/>
    <n v="236.97"/>
    <n v="59.24"/>
    <x v="710"/>
    <x v="4"/>
    <x v="4"/>
    <x v="1"/>
    <x v="2"/>
    <x v="10"/>
    <x v="871"/>
    <s v="Jumbo Box"/>
    <n v="0.61"/>
    <d v="2009-02-15T00:00:00"/>
    <n v="0"/>
    <n v="0"/>
    <n v="1"/>
    <n v="1"/>
  </r>
  <r>
    <n v="7895"/>
    <n v="56483"/>
    <x v="450"/>
    <x v="40"/>
    <s v="High"/>
    <n v="37"/>
    <n v="158.62"/>
    <n v="0.05"/>
    <s v="Regular Air"/>
    <n v="-104.57"/>
    <n v="4.28"/>
    <n v="5.17"/>
    <x v="418"/>
    <x v="4"/>
    <x v="4"/>
    <x v="0"/>
    <x v="0"/>
    <x v="5"/>
    <x v="157"/>
    <s v="Small Box"/>
    <n v="0.4"/>
    <d v="2009-02-19T00:00:00"/>
    <n v="0"/>
    <n v="0"/>
    <n v="1"/>
    <n v="1"/>
  </r>
  <r>
    <n v="7896"/>
    <n v="56484"/>
    <x v="1253"/>
    <x v="27"/>
    <s v="Not Specified"/>
    <n v="6"/>
    <n v="176.58"/>
    <n v="0.1"/>
    <s v="Regular Air"/>
    <n v="28.339000000000002"/>
    <n v="30.56"/>
    <n v="2.99"/>
    <x v="343"/>
    <x v="4"/>
    <x v="4"/>
    <x v="0"/>
    <x v="0"/>
    <x v="2"/>
    <x v="142"/>
    <s v="Small Box"/>
    <n v="0.35"/>
    <d v="2011-11-22T00:00:00"/>
    <n v="0"/>
    <n v="0"/>
    <n v="0.5"/>
    <n v="0.5"/>
  </r>
  <r>
    <n v="7897"/>
    <n v="56484"/>
    <x v="1253"/>
    <x v="27"/>
    <s v="Not Specified"/>
    <n v="15"/>
    <n v="1121.8399999999999"/>
    <n v="0"/>
    <s v="Regular Air"/>
    <n v="-173.66"/>
    <n v="73.98"/>
    <n v="12.14"/>
    <x v="343"/>
    <x v="4"/>
    <x v="4"/>
    <x v="0"/>
    <x v="1"/>
    <x v="7"/>
    <x v="633"/>
    <s v="Small Box"/>
    <n v="0.67"/>
    <d v="2011-11-22T00:00:00"/>
    <n v="0"/>
    <n v="0"/>
    <n v="0.5"/>
    <n v="0.5"/>
  </r>
  <r>
    <n v="7931"/>
    <n v="56676"/>
    <x v="310"/>
    <x v="1"/>
    <s v="Critical"/>
    <n v="39"/>
    <n v="206.47"/>
    <n v="0.08"/>
    <s v="Regular Air"/>
    <n v="-107.2"/>
    <n v="5.28"/>
    <n v="5.66"/>
    <x v="720"/>
    <x v="4"/>
    <x v="4"/>
    <x v="1"/>
    <x v="0"/>
    <x v="5"/>
    <x v="299"/>
    <s v="Small Box"/>
    <n v="0.4"/>
    <d v="2012-10-26T00:00:00"/>
    <n v="0"/>
    <n v="0"/>
    <n v="1"/>
    <n v="1"/>
  </r>
  <r>
    <n v="7941"/>
    <n v="56740"/>
    <x v="653"/>
    <x v="1"/>
    <s v="Low"/>
    <n v="6"/>
    <n v="34.29"/>
    <n v="0.05"/>
    <s v="Regular Air"/>
    <n v="-6.8194999999999997"/>
    <n v="5.28"/>
    <n v="2.99"/>
    <x v="348"/>
    <x v="4"/>
    <x v="4"/>
    <x v="1"/>
    <x v="0"/>
    <x v="2"/>
    <x v="13"/>
    <s v="Small Box"/>
    <n v="0.37"/>
    <d v="2012-10-18T00:00:00"/>
    <n v="0"/>
    <n v="0"/>
    <n v="0.33333333333333331"/>
    <n v="0.5"/>
  </r>
  <r>
    <n v="7942"/>
    <n v="56740"/>
    <x v="653"/>
    <x v="1"/>
    <s v="Low"/>
    <n v="29"/>
    <n v="23516.31"/>
    <n v="0.09"/>
    <s v="Regular Air"/>
    <n v="1094.74"/>
    <n v="832.81"/>
    <n v="24.49"/>
    <x v="348"/>
    <x v="4"/>
    <x v="4"/>
    <x v="1"/>
    <x v="0"/>
    <x v="15"/>
    <x v="1223"/>
    <s v="Medium Box"/>
    <n v="0.83"/>
    <d v="2012-10-20T00:00:00"/>
    <n v="0"/>
    <n v="0"/>
    <n v="0.33333333333333331"/>
    <n v="0.5"/>
  </r>
  <r>
    <n v="7948"/>
    <n v="56802"/>
    <x v="601"/>
    <x v="20"/>
    <s v="High"/>
    <n v="50"/>
    <n v="78.2"/>
    <n v="0.09"/>
    <s v="Regular Air"/>
    <n v="-4.5599999999999996"/>
    <n v="1.68"/>
    <n v="1"/>
    <x v="330"/>
    <x v="4"/>
    <x v="4"/>
    <x v="3"/>
    <x v="0"/>
    <x v="12"/>
    <x v="1054"/>
    <s v="Wrap Bag"/>
    <n v="0.35"/>
    <d v="2012-05-30T00:00:00"/>
    <n v="0"/>
    <n v="0"/>
    <n v="1"/>
    <n v="1"/>
  </r>
  <r>
    <n v="7959"/>
    <n v="56868"/>
    <x v="1211"/>
    <x v="25"/>
    <s v="Low"/>
    <n v="34"/>
    <n v="1947.4265"/>
    <n v="0.03"/>
    <s v="Regular Air"/>
    <n v="473.26499999999999"/>
    <n v="65.989999999999995"/>
    <n v="5.92"/>
    <x v="343"/>
    <x v="4"/>
    <x v="4"/>
    <x v="2"/>
    <x v="1"/>
    <x v="3"/>
    <x v="237"/>
    <s v="Small Box"/>
    <n v="0.55000000000000004"/>
    <d v="2011-12-10T00:00:00"/>
    <n v="0"/>
    <n v="0"/>
    <n v="1"/>
    <n v="1"/>
  </r>
  <r>
    <n v="7960"/>
    <n v="56869"/>
    <x v="778"/>
    <x v="42"/>
    <s v="Low"/>
    <n v="10"/>
    <n v="842.19"/>
    <n v="0"/>
    <s v="Regular Air"/>
    <n v="157.44999999999999"/>
    <n v="80.98"/>
    <n v="4.5"/>
    <x v="337"/>
    <x v="4"/>
    <x v="4"/>
    <x v="1"/>
    <x v="0"/>
    <x v="1"/>
    <x v="998"/>
    <s v="Small Box"/>
    <n v="0.59"/>
    <d v="2010-07-25T00:00:00"/>
    <n v="0"/>
    <n v="0"/>
    <n v="1"/>
    <n v="1"/>
  </r>
  <r>
    <n v="8004"/>
    <n v="57190"/>
    <x v="493"/>
    <x v="39"/>
    <s v="Medium"/>
    <n v="48"/>
    <n v="2052.83"/>
    <n v="0.02"/>
    <s v="Regular Air"/>
    <n v="395.85"/>
    <n v="40.99"/>
    <n v="8.9700000000000006"/>
    <x v="398"/>
    <x v="4"/>
    <x v="4"/>
    <x v="0"/>
    <x v="1"/>
    <x v="16"/>
    <x v="1251"/>
    <s v="Small Box"/>
    <n v="0.54"/>
    <d v="2010-05-28T00:00:00"/>
    <n v="0"/>
    <n v="0"/>
    <n v="0.5"/>
    <n v="0.5"/>
  </r>
  <r>
    <n v="8005"/>
    <n v="57190"/>
    <x v="493"/>
    <x v="39"/>
    <s v="Medium"/>
    <n v="36"/>
    <n v="620.45000000000005"/>
    <n v="0.09"/>
    <s v="Regular Air"/>
    <n v="171.94"/>
    <n v="17.48"/>
    <n v="1.99"/>
    <x v="398"/>
    <x v="4"/>
    <x v="4"/>
    <x v="0"/>
    <x v="1"/>
    <x v="7"/>
    <x v="1049"/>
    <s v="Small Pack"/>
    <n v="0.46"/>
    <d v="2010-05-29T00:00:00"/>
    <n v="0"/>
    <n v="0"/>
    <n v="0.5"/>
    <n v="0.5"/>
  </r>
  <r>
    <n v="8009"/>
    <n v="57248"/>
    <x v="225"/>
    <x v="19"/>
    <s v="Critical"/>
    <n v="34"/>
    <n v="167.5"/>
    <n v="0.04"/>
    <s v="Regular Air"/>
    <n v="-84.421499999999995"/>
    <n v="4.9800000000000004"/>
    <n v="4.95"/>
    <x v="355"/>
    <x v="4"/>
    <x v="4"/>
    <x v="2"/>
    <x v="0"/>
    <x v="2"/>
    <x v="538"/>
    <s v="Small Box"/>
    <n v="0.37"/>
    <d v="2009-10-17T00:00:00"/>
    <n v="0"/>
    <n v="0"/>
    <n v="1"/>
    <n v="1"/>
  </r>
  <r>
    <n v="8022"/>
    <n v="57318"/>
    <x v="438"/>
    <x v="38"/>
    <s v="Medium"/>
    <n v="33"/>
    <n v="158.79"/>
    <n v="0.02"/>
    <s v="Regular Air"/>
    <n v="74.14"/>
    <n v="4.91"/>
    <n v="0.5"/>
    <x v="338"/>
    <x v="4"/>
    <x v="4"/>
    <x v="0"/>
    <x v="0"/>
    <x v="11"/>
    <x v="999"/>
    <s v="Small Box"/>
    <n v="0.36"/>
    <d v="2010-01-12T00:00:00"/>
    <n v="1"/>
    <n v="0"/>
    <n v="0.5"/>
    <n v="0.25"/>
  </r>
  <r>
    <n v="8023"/>
    <n v="57318"/>
    <x v="438"/>
    <x v="38"/>
    <s v="Medium"/>
    <n v="12"/>
    <n v="79.06"/>
    <n v="0.1"/>
    <s v="Regular Air"/>
    <n v="-47"/>
    <n v="6.68"/>
    <n v="6.92"/>
    <x v="338"/>
    <x v="4"/>
    <x v="4"/>
    <x v="0"/>
    <x v="0"/>
    <x v="5"/>
    <x v="526"/>
    <s v="Small Box"/>
    <n v="0.37"/>
    <d v="2010-01-12T00:00:00"/>
    <n v="1"/>
    <n v="0"/>
    <n v="0.5"/>
    <n v="0.25"/>
  </r>
  <r>
    <n v="8025"/>
    <n v="57350"/>
    <x v="526"/>
    <x v="10"/>
    <s v="High"/>
    <n v="33"/>
    <n v="140.63"/>
    <n v="0.09"/>
    <s v="Regular Air"/>
    <n v="-111.87"/>
    <n v="4.28"/>
    <n v="5.68"/>
    <x v="666"/>
    <x v="4"/>
    <x v="4"/>
    <x v="0"/>
    <x v="0"/>
    <x v="5"/>
    <x v="653"/>
    <s v="Small Box"/>
    <n v="0.4"/>
    <d v="2011-05-26T00:00:00"/>
    <n v="0"/>
    <n v="0"/>
    <n v="0.5"/>
    <n v="0.5"/>
  </r>
  <r>
    <n v="8026"/>
    <n v="57350"/>
    <x v="526"/>
    <x v="10"/>
    <s v="High"/>
    <n v="50"/>
    <n v="4872.6675000000005"/>
    <n v="0.09"/>
    <s v="Regular Air"/>
    <n v="851.31"/>
    <n v="125.99"/>
    <n v="8.8000000000000007"/>
    <x v="666"/>
    <x v="4"/>
    <x v="4"/>
    <x v="0"/>
    <x v="1"/>
    <x v="3"/>
    <x v="626"/>
    <s v="Small Box"/>
    <n v="0.59"/>
    <d v="2011-05-26T00:00:00"/>
    <n v="0"/>
    <n v="0"/>
    <n v="0.5"/>
    <n v="0.5"/>
  </r>
  <r>
    <n v="8032"/>
    <n v="57381"/>
    <x v="408"/>
    <x v="26"/>
    <s v="High"/>
    <n v="13"/>
    <n v="515.23"/>
    <n v="0.1"/>
    <s v="Regular Air"/>
    <n v="171.4025"/>
    <n v="41.94"/>
    <n v="2.99"/>
    <x v="726"/>
    <x v="4"/>
    <x v="4"/>
    <x v="1"/>
    <x v="0"/>
    <x v="2"/>
    <x v="246"/>
    <s v="Small Box"/>
    <n v="0.35"/>
    <d v="2009-08-08T00:00:00"/>
    <n v="0"/>
    <n v="0"/>
    <n v="0.5"/>
    <n v="0.5"/>
  </r>
  <r>
    <n v="8033"/>
    <n v="57381"/>
    <x v="408"/>
    <x v="26"/>
    <s v="High"/>
    <n v="22"/>
    <n v="41.65"/>
    <n v="0.06"/>
    <s v="Regular Air"/>
    <n v="-13.86"/>
    <n v="1.98"/>
    <n v="0.7"/>
    <x v="726"/>
    <x v="4"/>
    <x v="4"/>
    <x v="1"/>
    <x v="0"/>
    <x v="6"/>
    <x v="846"/>
    <s v="Wrap Bag"/>
    <n v="0.83"/>
    <d v="2009-08-07T00:00:00"/>
    <n v="0"/>
    <n v="0"/>
    <n v="0.5"/>
    <n v="0.5"/>
  </r>
  <r>
    <n v="8041"/>
    <n v="57444"/>
    <x v="205"/>
    <x v="10"/>
    <s v="Critical"/>
    <n v="24"/>
    <n v="178.92"/>
    <n v="0.09"/>
    <s v="Regular Air"/>
    <n v="-56.108499999999999"/>
    <n v="7.68"/>
    <n v="6.16"/>
    <x v="716"/>
    <x v="4"/>
    <x v="4"/>
    <x v="1"/>
    <x v="0"/>
    <x v="2"/>
    <x v="669"/>
    <s v="Small Box"/>
    <n v="0.35"/>
    <d v="2011-05-15T00:00:00"/>
    <n v="0"/>
    <n v="0"/>
    <n v="1"/>
    <n v="1"/>
  </r>
  <r>
    <n v="8048"/>
    <n v="57476"/>
    <x v="830"/>
    <x v="28"/>
    <s v="High"/>
    <n v="20"/>
    <n v="1351.43"/>
    <n v="0.08"/>
    <s v="Delivery Truck"/>
    <n v="-550.42999999999995"/>
    <n v="68.81"/>
    <n v="60"/>
    <x v="385"/>
    <x v="4"/>
    <x v="4"/>
    <x v="0"/>
    <x v="0"/>
    <x v="1"/>
    <x v="459"/>
    <s v="Jumbo Drum"/>
    <n v="0.41"/>
    <d v="2009-03-17T00:00:00"/>
    <n v="0"/>
    <n v="0"/>
    <n v="0.5"/>
    <n v="0.5"/>
  </r>
  <r>
    <n v="8049"/>
    <n v="57476"/>
    <x v="830"/>
    <x v="28"/>
    <s v="High"/>
    <n v="17"/>
    <n v="357.91"/>
    <n v="0.04"/>
    <s v="Regular Air"/>
    <n v="-52.12"/>
    <n v="21.38"/>
    <n v="8.99"/>
    <x v="385"/>
    <x v="4"/>
    <x v="4"/>
    <x v="0"/>
    <x v="0"/>
    <x v="12"/>
    <x v="311"/>
    <s v="Small Pack"/>
    <n v="0.59"/>
    <d v="2009-03-18T00:00:00"/>
    <n v="0"/>
    <n v="0"/>
    <n v="0.5"/>
    <n v="0.5"/>
  </r>
  <r>
    <n v="8078"/>
    <n v="57633"/>
    <x v="955"/>
    <x v="44"/>
    <s v="High"/>
    <n v="12"/>
    <n v="351.12"/>
    <n v="0.09"/>
    <s v="Express Air"/>
    <n v="202.63"/>
    <n v="30.93"/>
    <n v="3.92"/>
    <x v="451"/>
    <x v="4"/>
    <x v="4"/>
    <x v="2"/>
    <x v="2"/>
    <x v="4"/>
    <x v="616"/>
    <s v="Small Pack"/>
    <n v="0.44"/>
    <d v="2011-02-07T00:00:00"/>
    <n v="0"/>
    <n v="0"/>
    <n v="1"/>
    <n v="1"/>
  </r>
  <r>
    <n v="8085"/>
    <n v="57669"/>
    <x v="1394"/>
    <x v="3"/>
    <s v="Critical"/>
    <n v="41"/>
    <n v="1803.12"/>
    <n v="0"/>
    <s v="Regular Air"/>
    <n v="544.92999999999995"/>
    <n v="40.98"/>
    <n v="5.33"/>
    <x v="718"/>
    <x v="4"/>
    <x v="4"/>
    <x v="1"/>
    <x v="0"/>
    <x v="1"/>
    <x v="530"/>
    <s v="Small Box"/>
    <n v="0.56999999999999995"/>
    <d v="2010-08-09T00:00:00"/>
    <n v="0"/>
    <n v="0"/>
    <n v="1"/>
    <n v="1"/>
  </r>
  <r>
    <n v="8093"/>
    <n v="57734"/>
    <x v="108"/>
    <x v="35"/>
    <s v="High"/>
    <n v="26"/>
    <n v="110.14"/>
    <n v="0.05"/>
    <s v="Regular Air"/>
    <n v="-89.216999999999999"/>
    <n v="4.24"/>
    <n v="5.41"/>
    <x v="349"/>
    <x v="4"/>
    <x v="4"/>
    <x v="0"/>
    <x v="0"/>
    <x v="2"/>
    <x v="683"/>
    <s v="Small Box"/>
    <n v="0.35"/>
    <d v="2009-09-18T00:00:00"/>
    <n v="0"/>
    <n v="0"/>
    <n v="0.5"/>
    <n v="0.2"/>
  </r>
  <r>
    <n v="8094"/>
    <n v="57734"/>
    <x v="108"/>
    <x v="35"/>
    <s v="High"/>
    <n v="27"/>
    <n v="453.89"/>
    <n v="0.1"/>
    <s v="Regular Air"/>
    <n v="-75.06"/>
    <n v="16.98"/>
    <n v="12.39"/>
    <x v="349"/>
    <x v="4"/>
    <x v="4"/>
    <x v="0"/>
    <x v="0"/>
    <x v="8"/>
    <x v="353"/>
    <s v="Small Box"/>
    <n v="0.35"/>
    <d v="2009-09-18T00:00:00"/>
    <n v="0"/>
    <n v="0"/>
    <n v="0.5"/>
    <n v="0.2"/>
  </r>
  <r>
    <n v="8095"/>
    <n v="57760"/>
    <x v="997"/>
    <x v="2"/>
    <s v="Not Specified"/>
    <n v="38"/>
    <n v="275.11"/>
    <n v="0.06"/>
    <s v="Regular Air"/>
    <n v="17.149999999999999"/>
    <n v="7.59"/>
    <n v="4"/>
    <x v="732"/>
    <x v="4"/>
    <x v="4"/>
    <x v="2"/>
    <x v="2"/>
    <x v="4"/>
    <x v="378"/>
    <s v="Wrap Bag"/>
    <n v="0.42"/>
    <d v="2011-07-14T00:00:00"/>
    <n v="0"/>
    <n v="0"/>
    <n v="0.5"/>
    <n v="0.5"/>
  </r>
  <r>
    <n v="8096"/>
    <n v="57760"/>
    <x v="997"/>
    <x v="2"/>
    <s v="Not Specified"/>
    <n v="34"/>
    <n v="102.34"/>
    <n v="0.01"/>
    <s v="Regular Air"/>
    <n v="-30.39"/>
    <n v="2.98"/>
    <n v="2.0299999999999998"/>
    <x v="732"/>
    <x v="4"/>
    <x v="4"/>
    <x v="2"/>
    <x v="0"/>
    <x v="12"/>
    <x v="1169"/>
    <s v="Wrap Bag"/>
    <n v="0.56999999999999995"/>
    <d v="2011-07-14T00:00:00"/>
    <n v="0"/>
    <n v="0"/>
    <n v="0.5"/>
    <n v="0.5"/>
  </r>
  <r>
    <n v="8110"/>
    <n v="57891"/>
    <x v="1144"/>
    <x v="15"/>
    <s v="Medium"/>
    <n v="17"/>
    <n v="934.94050000000004"/>
    <n v="0.08"/>
    <s v="Regular Air"/>
    <n v="47.096999999999994"/>
    <n v="65.989999999999995"/>
    <n v="5.92"/>
    <x v="454"/>
    <x v="4"/>
    <x v="4"/>
    <x v="3"/>
    <x v="1"/>
    <x v="3"/>
    <x v="237"/>
    <s v="Small Box"/>
    <n v="0.55000000000000004"/>
    <d v="2010-12-17T00:00:00"/>
    <n v="0"/>
    <n v="0"/>
    <n v="1"/>
    <n v="1"/>
  </r>
  <r>
    <n v="8125"/>
    <n v="58084"/>
    <x v="624"/>
    <x v="9"/>
    <s v="Medium"/>
    <n v="3"/>
    <n v="21.55"/>
    <n v="0.09"/>
    <s v="Regular Air"/>
    <n v="-2.87"/>
    <n v="7.31"/>
    <n v="0.49"/>
    <x v="335"/>
    <x v="4"/>
    <x v="4"/>
    <x v="0"/>
    <x v="0"/>
    <x v="11"/>
    <x v="31"/>
    <s v="Small Box"/>
    <n v="0.38"/>
    <d v="2012-08-19T00:00:00"/>
    <n v="0"/>
    <n v="0"/>
    <n v="0.5"/>
    <n v="0.5"/>
  </r>
  <r>
    <n v="8126"/>
    <n v="58084"/>
    <x v="624"/>
    <x v="9"/>
    <s v="Medium"/>
    <n v="36"/>
    <n v="266.16000000000003"/>
    <n v="0.03"/>
    <s v="Regular Air"/>
    <n v="90.91"/>
    <n v="7.28"/>
    <n v="1.77"/>
    <x v="335"/>
    <x v="4"/>
    <x v="4"/>
    <x v="0"/>
    <x v="0"/>
    <x v="5"/>
    <x v="1114"/>
    <s v="Wrap Bag"/>
    <n v="0.37"/>
    <d v="2012-08-21T00:00:00"/>
    <n v="0"/>
    <n v="0"/>
    <n v="0.5"/>
    <n v="0.5"/>
  </r>
  <r>
    <n v="8139"/>
    <n v="58179"/>
    <x v="115"/>
    <x v="31"/>
    <s v="Medium"/>
    <n v="3"/>
    <n v="39.49"/>
    <n v="0.1"/>
    <s v="Regular Air"/>
    <n v="-12.99"/>
    <n v="11.58"/>
    <n v="5.72"/>
    <x v="332"/>
    <x v="4"/>
    <x v="4"/>
    <x v="0"/>
    <x v="0"/>
    <x v="8"/>
    <x v="188"/>
    <s v="Small Box"/>
    <n v="0.35"/>
    <d v="2011-09-06T00:00:00"/>
    <n v="0"/>
    <n v="0"/>
    <n v="1"/>
    <n v="1"/>
  </r>
  <r>
    <n v="8151"/>
    <n v="58279"/>
    <x v="789"/>
    <x v="46"/>
    <s v="Medium"/>
    <n v="44"/>
    <n v="1317.34"/>
    <n v="0.03"/>
    <s v="Regular Air"/>
    <n v="555.93399999999997"/>
    <n v="30.56"/>
    <n v="2.99"/>
    <x v="414"/>
    <x v="4"/>
    <x v="4"/>
    <x v="1"/>
    <x v="0"/>
    <x v="2"/>
    <x v="142"/>
    <s v="Small Box"/>
    <n v="0.35"/>
    <d v="2009-04-11T00:00:00"/>
    <n v="0"/>
    <n v="0"/>
    <n v="1"/>
    <n v="0.33333333333333331"/>
  </r>
  <r>
    <n v="8165"/>
    <n v="58369"/>
    <x v="263"/>
    <x v="9"/>
    <s v="High"/>
    <n v="46"/>
    <n v="320.57"/>
    <n v="0.1"/>
    <s v="Regular Air"/>
    <n v="-114.19499999999999"/>
    <n v="7.1"/>
    <n v="6.05"/>
    <x v="694"/>
    <x v="4"/>
    <x v="4"/>
    <x v="3"/>
    <x v="0"/>
    <x v="2"/>
    <x v="310"/>
    <s v="Small Box"/>
    <n v="0.39"/>
    <d v="2012-08-31T00:00:00"/>
    <n v="0"/>
    <n v="0"/>
    <n v="0.5"/>
    <n v="0.5"/>
  </r>
  <r>
    <n v="8166"/>
    <n v="58369"/>
    <x v="263"/>
    <x v="9"/>
    <s v="High"/>
    <n v="16"/>
    <n v="2013.8"/>
    <n v="0.01"/>
    <s v="Delivery Truck"/>
    <n v="-98.431799999999996"/>
    <n v="119.99"/>
    <n v="56.14"/>
    <x v="694"/>
    <x v="4"/>
    <x v="4"/>
    <x v="3"/>
    <x v="1"/>
    <x v="16"/>
    <x v="735"/>
    <s v="Jumbo Box"/>
    <n v="0.39"/>
    <d v="2012-08-30T00:00:00"/>
    <n v="0"/>
    <n v="0"/>
    <n v="0.5"/>
    <n v="0.5"/>
  </r>
  <r>
    <n v="8167"/>
    <n v="58371"/>
    <x v="658"/>
    <x v="39"/>
    <s v="Medium"/>
    <n v="5"/>
    <n v="2168.0500000000002"/>
    <n v="0"/>
    <s v="Regular Air"/>
    <n v="416.01549999999997"/>
    <n v="420.98"/>
    <n v="19.989999999999998"/>
    <x v="716"/>
    <x v="4"/>
    <x v="4"/>
    <x v="1"/>
    <x v="0"/>
    <x v="2"/>
    <x v="461"/>
    <s v="Small Box"/>
    <n v="0.35"/>
    <d v="2010-05-13T00:00:00"/>
    <n v="0"/>
    <n v="0"/>
    <n v="0.33333333333333331"/>
    <n v="0.33333333333333331"/>
  </r>
  <r>
    <n v="8168"/>
    <n v="58371"/>
    <x v="658"/>
    <x v="39"/>
    <s v="Medium"/>
    <n v="44"/>
    <n v="303.07"/>
    <n v="0.02"/>
    <s v="Regular Air"/>
    <n v="-238.45"/>
    <n v="6.48"/>
    <n v="9.68"/>
    <x v="716"/>
    <x v="4"/>
    <x v="4"/>
    <x v="1"/>
    <x v="0"/>
    <x v="5"/>
    <x v="597"/>
    <s v="Small Box"/>
    <n v="0.36"/>
    <d v="2010-05-12T00:00:00"/>
    <n v="0"/>
    <n v="0"/>
    <n v="0.33333333333333331"/>
    <n v="0.33333333333333331"/>
  </r>
  <r>
    <n v="8169"/>
    <n v="58371"/>
    <x v="658"/>
    <x v="39"/>
    <s v="Medium"/>
    <n v="48"/>
    <n v="1661.8"/>
    <n v="7.0000000000000007E-2"/>
    <s v="Regular Air"/>
    <n v="202.68"/>
    <n v="36.549999999999997"/>
    <n v="13.89"/>
    <x v="716"/>
    <x v="4"/>
    <x v="4"/>
    <x v="1"/>
    <x v="0"/>
    <x v="12"/>
    <x v="176"/>
    <s v="Wrap Bag"/>
    <n v="0.41"/>
    <d v="2010-05-13T00:00:00"/>
    <n v="0"/>
    <n v="0"/>
    <n v="0.33333333333333331"/>
    <n v="0.33333333333333331"/>
  </r>
  <r>
    <n v="8173"/>
    <n v="58433"/>
    <x v="867"/>
    <x v="2"/>
    <s v="High"/>
    <n v="11"/>
    <n v="2020.58"/>
    <n v="0.01"/>
    <s v="Delivery Truck"/>
    <n v="-45.02"/>
    <n v="180.98"/>
    <n v="30"/>
    <x v="715"/>
    <x v="4"/>
    <x v="4"/>
    <x v="3"/>
    <x v="2"/>
    <x v="14"/>
    <x v="741"/>
    <s v="Jumbo Drum"/>
    <n v="0.69"/>
    <d v="2011-07-02T00:00:00"/>
    <n v="0"/>
    <n v="0"/>
    <n v="0.33333333333333331"/>
    <n v="0.33333333333333331"/>
  </r>
  <r>
    <n v="8174"/>
    <n v="58433"/>
    <x v="867"/>
    <x v="2"/>
    <s v="High"/>
    <n v="30"/>
    <n v="1533.46"/>
    <n v="0"/>
    <s v="Regular Air"/>
    <n v="730.44"/>
    <n v="48.04"/>
    <n v="5.79"/>
    <x v="715"/>
    <x v="4"/>
    <x v="4"/>
    <x v="3"/>
    <x v="0"/>
    <x v="5"/>
    <x v="728"/>
    <s v="Small Box"/>
    <n v="0.37"/>
    <d v="2011-07-03T00:00:00"/>
    <n v="0"/>
    <n v="0"/>
    <n v="0.33333333333333331"/>
    <n v="0.33333333333333331"/>
  </r>
  <r>
    <n v="8175"/>
    <n v="58433"/>
    <x v="867"/>
    <x v="2"/>
    <s v="High"/>
    <n v="20"/>
    <n v="5989.0480000000007"/>
    <n v="0.09"/>
    <s v="Delivery Truck"/>
    <n v="541.01"/>
    <n v="400.98"/>
    <n v="42.52"/>
    <x v="715"/>
    <x v="4"/>
    <x v="4"/>
    <x v="3"/>
    <x v="2"/>
    <x v="10"/>
    <x v="861"/>
    <s v="Jumbo Box"/>
    <n v="0.71"/>
    <d v="2011-07-03T00:00:00"/>
    <n v="0"/>
    <n v="0"/>
    <n v="0.33333333333333331"/>
    <n v="0.33333333333333331"/>
  </r>
  <r>
    <n v="8236"/>
    <n v="58855"/>
    <x v="1044"/>
    <x v="0"/>
    <s v="Medium"/>
    <n v="38"/>
    <n v="69.260000000000005"/>
    <n v="7.0000000000000007E-2"/>
    <s v="Regular Air"/>
    <n v="-113.86"/>
    <n v="1.74"/>
    <n v="4.08"/>
    <x v="717"/>
    <x v="4"/>
    <x v="4"/>
    <x v="2"/>
    <x v="2"/>
    <x v="4"/>
    <x v="331"/>
    <s v="Small Pack"/>
    <n v="0.53"/>
    <d v="2010-10-31T00:00:00"/>
    <n v="0"/>
    <n v="0"/>
    <n v="1"/>
    <n v="1"/>
  </r>
  <r>
    <n v="8278"/>
    <n v="59173"/>
    <x v="1062"/>
    <x v="15"/>
    <s v="High"/>
    <n v="27"/>
    <n v="2896.99"/>
    <n v="0.01"/>
    <s v="Delivery Truck"/>
    <n v="36.94"/>
    <n v="100.98"/>
    <n v="35.840000000000003"/>
    <x v="376"/>
    <x v="4"/>
    <x v="4"/>
    <x v="3"/>
    <x v="2"/>
    <x v="9"/>
    <x v="550"/>
    <s v="Jumbo Box"/>
    <n v="0.62"/>
    <d v="2010-12-21T00:00:00"/>
    <n v="0"/>
    <n v="0"/>
    <n v="1"/>
    <n v="1"/>
  </r>
  <r>
    <n v="8284"/>
    <n v="59204"/>
    <x v="1267"/>
    <x v="12"/>
    <s v="Medium"/>
    <n v="8"/>
    <n v="250.29"/>
    <n v="0.1"/>
    <s v="Regular Air"/>
    <n v="-9.3149999999999942"/>
    <n v="31.74"/>
    <n v="12.62"/>
    <x v="331"/>
    <x v="4"/>
    <x v="4"/>
    <x v="3"/>
    <x v="0"/>
    <x v="2"/>
    <x v="920"/>
    <s v="Small Box"/>
    <n v="0.37"/>
    <d v="2012-03-01T00:00:00"/>
    <n v="0"/>
    <n v="0"/>
    <n v="0.33333333333333331"/>
    <n v="0.33333333333333331"/>
  </r>
  <r>
    <n v="8285"/>
    <n v="59204"/>
    <x v="1267"/>
    <x v="12"/>
    <s v="Medium"/>
    <n v="7"/>
    <n v="251.59"/>
    <n v="0.09"/>
    <s v="Regular Air"/>
    <n v="39.229999999999997"/>
    <n v="37.94"/>
    <n v="5.08"/>
    <x v="331"/>
    <x v="4"/>
    <x v="4"/>
    <x v="3"/>
    <x v="0"/>
    <x v="5"/>
    <x v="532"/>
    <s v="Wrap Bag"/>
    <n v="0.38"/>
    <d v="2012-03-01T00:00:00"/>
    <n v="0"/>
    <n v="0"/>
    <n v="0.33333333333333331"/>
    <n v="0.33333333333333331"/>
  </r>
  <r>
    <n v="8309"/>
    <n v="59363"/>
    <x v="1215"/>
    <x v="43"/>
    <s v="High"/>
    <n v="24"/>
    <n v="158.91"/>
    <n v="0.06"/>
    <s v="Regular Air"/>
    <n v="-38.57"/>
    <n v="6.68"/>
    <n v="5.2"/>
    <x v="384"/>
    <x v="4"/>
    <x v="4"/>
    <x v="0"/>
    <x v="0"/>
    <x v="5"/>
    <x v="320"/>
    <s v="Small Box"/>
    <n v="0.37"/>
    <d v="2009-05-02T00:00:00"/>
    <n v="0"/>
    <n v="0"/>
    <n v="1"/>
    <n v="1"/>
  </r>
  <r>
    <n v="8328"/>
    <n v="59553"/>
    <x v="568"/>
    <x v="7"/>
    <s v="Not Specified"/>
    <n v="15"/>
    <n v="171.57"/>
    <n v="0.04"/>
    <s v="Regular Air"/>
    <n v="12.5"/>
    <n v="11.34"/>
    <n v="5.01"/>
    <x v="335"/>
    <x v="4"/>
    <x v="4"/>
    <x v="0"/>
    <x v="0"/>
    <x v="5"/>
    <x v="119"/>
    <s v="Small Box"/>
    <n v="0.36"/>
    <d v="2010-11-13T00:00:00"/>
    <n v="0"/>
    <n v="0"/>
    <n v="0.5"/>
    <n v="0.5"/>
  </r>
  <r>
    <n v="8329"/>
    <n v="59553"/>
    <x v="568"/>
    <x v="7"/>
    <s v="Not Specified"/>
    <n v="42"/>
    <n v="2170.3049999999998"/>
    <n v="0.1"/>
    <s v="Regular Air"/>
    <n v="264.32100000000003"/>
    <n v="65.989999999999995"/>
    <n v="8.99"/>
    <x v="335"/>
    <x v="4"/>
    <x v="4"/>
    <x v="0"/>
    <x v="1"/>
    <x v="3"/>
    <x v="893"/>
    <s v="Small Box"/>
    <n v="0.56000000000000005"/>
    <d v="2010-11-14T00:00:00"/>
    <n v="0"/>
    <n v="0"/>
    <n v="0.5"/>
    <n v="0.5"/>
  </r>
  <r>
    <n v="8348"/>
    <n v="59681"/>
    <x v="790"/>
    <x v="41"/>
    <s v="Critical"/>
    <n v="23"/>
    <n v="224.34"/>
    <n v="0.02"/>
    <s v="Express Air"/>
    <n v="-11.948500000000001"/>
    <n v="8.6"/>
    <n v="6.19"/>
    <x v="353"/>
    <x v="4"/>
    <x v="4"/>
    <x v="0"/>
    <x v="0"/>
    <x v="2"/>
    <x v="682"/>
    <s v="Small Box"/>
    <n v="0.38"/>
    <d v="2009-06-13T00:00:00"/>
    <n v="0"/>
    <n v="0"/>
    <n v="1"/>
    <n v="0.5"/>
  </r>
  <r>
    <n v="8369"/>
    <n v="59781"/>
    <x v="1059"/>
    <x v="45"/>
    <s v="Not Specified"/>
    <n v="43"/>
    <n v="262.13"/>
    <n v="0"/>
    <s v="Express Air"/>
    <n v="-60.91"/>
    <n v="5.58"/>
    <n v="5.3"/>
    <x v="413"/>
    <x v="4"/>
    <x v="4"/>
    <x v="2"/>
    <x v="0"/>
    <x v="8"/>
    <x v="686"/>
    <s v="Small Box"/>
    <n v="0.35"/>
    <d v="2012-12-13T00:00:00"/>
    <n v="0"/>
    <n v="0"/>
    <n v="0.2"/>
    <n v="0.2"/>
  </r>
  <r>
    <n v="8370"/>
    <n v="59781"/>
    <x v="1059"/>
    <x v="45"/>
    <s v="Not Specified"/>
    <n v="24"/>
    <n v="173.12"/>
    <n v="0.1"/>
    <s v="Regular Air"/>
    <n v="-166.41"/>
    <n v="7.28"/>
    <n v="11.15"/>
    <x v="413"/>
    <x v="4"/>
    <x v="4"/>
    <x v="2"/>
    <x v="0"/>
    <x v="5"/>
    <x v="517"/>
    <s v="Small Box"/>
    <n v="0.37"/>
    <d v="2012-12-13T00:00:00"/>
    <n v="0"/>
    <n v="0"/>
    <n v="0.2"/>
    <n v="0.2"/>
  </r>
  <r>
    <n v="8374"/>
    <n v="59812"/>
    <x v="645"/>
    <x v="4"/>
    <s v="Medium"/>
    <n v="46"/>
    <n v="9261.24"/>
    <n v="0"/>
    <s v="Regular Air"/>
    <n v="1646.43"/>
    <n v="193.17"/>
    <n v="19.989999999999998"/>
    <x v="342"/>
    <x v="4"/>
    <x v="4"/>
    <x v="1"/>
    <x v="0"/>
    <x v="0"/>
    <x v="219"/>
    <s v="Small Box"/>
    <n v="0.71"/>
    <d v="2011-06-22T00:00:00"/>
    <n v="0"/>
    <n v="0"/>
    <n v="0.5"/>
    <n v="0.5"/>
  </r>
  <r>
    <n v="8375"/>
    <n v="59812"/>
    <x v="645"/>
    <x v="4"/>
    <s v="Medium"/>
    <n v="2"/>
    <n v="28.98"/>
    <n v="0.06"/>
    <s v="Regular Air"/>
    <n v="-18.39"/>
    <n v="12.64"/>
    <n v="4.9800000000000004"/>
    <x v="342"/>
    <x v="4"/>
    <x v="4"/>
    <x v="1"/>
    <x v="2"/>
    <x v="4"/>
    <x v="774"/>
    <s v="Small Pack"/>
    <n v="0.48"/>
    <d v="2011-06-23T00:00:00"/>
    <n v="0"/>
    <n v="0"/>
    <n v="0.5"/>
    <n v="0.5"/>
  </r>
  <r>
    <n v="8376"/>
    <n v="59815"/>
    <x v="1395"/>
    <x v="15"/>
    <s v="Not Specified"/>
    <n v="14"/>
    <n v="51.56"/>
    <n v="0.09"/>
    <s v="Regular Air"/>
    <n v="-1.06"/>
    <n v="3.71"/>
    <n v="1.93"/>
    <x v="358"/>
    <x v="4"/>
    <x v="4"/>
    <x v="1"/>
    <x v="0"/>
    <x v="5"/>
    <x v="884"/>
    <s v="Wrap Bag"/>
    <n v="0.35"/>
    <d v="2010-12-17T00:00:00"/>
    <n v="0"/>
    <n v="0"/>
    <n v="1"/>
    <n v="1"/>
  </r>
  <r>
    <n v="8395"/>
    <n v="59971"/>
    <x v="795"/>
    <x v="10"/>
    <s v="Critical"/>
    <n v="26"/>
    <n v="437.77"/>
    <n v="0.01"/>
    <s v="Express Air"/>
    <n v="-125.8"/>
    <n v="15.98"/>
    <n v="8.99"/>
    <x v="361"/>
    <x v="4"/>
    <x v="4"/>
    <x v="3"/>
    <x v="1"/>
    <x v="7"/>
    <x v="289"/>
    <s v="Small Pack"/>
    <n v="0.64"/>
    <d v="2011-06-02T00:00:00"/>
    <n v="0"/>
    <n v="0"/>
    <n v="0.33333333333333331"/>
    <n v="0.33333333333333331"/>
  </r>
  <r>
    <n v="8396"/>
    <n v="59971"/>
    <x v="795"/>
    <x v="10"/>
    <s v="Critical"/>
    <n v="45"/>
    <n v="514.86"/>
    <n v="0.08"/>
    <s v="Regular Air"/>
    <n v="-10.84"/>
    <n v="12.28"/>
    <n v="6.47"/>
    <x v="361"/>
    <x v="4"/>
    <x v="4"/>
    <x v="3"/>
    <x v="0"/>
    <x v="5"/>
    <x v="46"/>
    <s v="Small Box"/>
    <n v="0.38"/>
    <d v="2011-06-02T00:00:00"/>
    <n v="0"/>
    <n v="0"/>
    <n v="0.33333333333333331"/>
    <n v="0.33333333333333331"/>
  </r>
  <r>
    <n v="8397"/>
    <n v="59971"/>
    <x v="795"/>
    <x v="10"/>
    <s v="Critical"/>
    <n v="12"/>
    <n v="356.27"/>
    <n v="0.1"/>
    <s v="Express Air"/>
    <n v="84.53"/>
    <n v="30.98"/>
    <n v="5.09"/>
    <x v="361"/>
    <x v="4"/>
    <x v="4"/>
    <x v="3"/>
    <x v="0"/>
    <x v="5"/>
    <x v="1139"/>
    <s v="Small Box"/>
    <n v="0.4"/>
    <d v="2011-06-02T00:00:00"/>
    <n v="0"/>
    <n v="0"/>
    <n v="0.33333333333333331"/>
    <n v="0.33333333333333331"/>
  </r>
  <r>
    <n v="79"/>
    <n v="481"/>
    <x v="56"/>
    <x v="1"/>
    <s v="High"/>
    <n v="44"/>
    <n v="4509.3774999999996"/>
    <n v="0.01"/>
    <s v="Regular Air"/>
    <n v="1426.2570000000001"/>
    <n v="115.99"/>
    <n v="5.26"/>
    <x v="531"/>
    <x v="4"/>
    <x v="4"/>
    <x v="3"/>
    <x v="1"/>
    <x v="3"/>
    <x v="648"/>
    <s v="Small Box"/>
    <n v="0.56999999999999995"/>
    <d v="2012-10-09T00:00:00"/>
    <n v="0"/>
    <n v="0"/>
    <n v="1"/>
    <n v="1"/>
  </r>
  <r>
    <n v="131"/>
    <n v="834"/>
    <x v="957"/>
    <x v="43"/>
    <s v="Medium"/>
    <n v="15"/>
    <n v="1813.04"/>
    <n v="0.01"/>
    <s v="Delivery Truck"/>
    <n v="-164.39520000000002"/>
    <n v="115.99"/>
    <n v="56.14"/>
    <x v="636"/>
    <x v="4"/>
    <x v="4"/>
    <x v="3"/>
    <x v="1"/>
    <x v="16"/>
    <x v="357"/>
    <s v="Jumbo Drum"/>
    <n v="0.4"/>
    <d v="2009-05-23T00:00:00"/>
    <n v="0"/>
    <n v="0"/>
    <n v="1"/>
    <n v="1"/>
  </r>
  <r>
    <n v="215"/>
    <n v="1414"/>
    <x v="1116"/>
    <x v="21"/>
    <s v="Critical"/>
    <n v="44"/>
    <n v="4530.96"/>
    <n v="7.0000000000000007E-2"/>
    <s v="Delivery Truck"/>
    <n v="-993.35"/>
    <n v="105.49"/>
    <n v="41.64"/>
    <x v="733"/>
    <x v="4"/>
    <x v="4"/>
    <x v="0"/>
    <x v="2"/>
    <x v="10"/>
    <x v="1017"/>
    <s v="Jumbo Box"/>
    <n v="0.75"/>
    <d v="2011-08-15T00:00:00"/>
    <n v="0"/>
    <n v="0"/>
    <n v="1"/>
    <n v="1"/>
  </r>
  <r>
    <n v="335"/>
    <n v="2305"/>
    <x v="89"/>
    <x v="38"/>
    <s v="High"/>
    <n v="33"/>
    <n v="3116.47"/>
    <n v="0.1"/>
    <s v="Delivery Truck"/>
    <n v="-1578.26"/>
    <n v="100.98"/>
    <n v="57.38"/>
    <x v="453"/>
    <x v="4"/>
    <x v="4"/>
    <x v="3"/>
    <x v="2"/>
    <x v="9"/>
    <x v="65"/>
    <s v="Jumbo Box"/>
    <n v="0.78"/>
    <d v="2010-01-27T00:00:00"/>
    <n v="1"/>
    <n v="0"/>
    <n v="0.33333333333333331"/>
    <n v="0.33333333333333331"/>
  </r>
  <r>
    <n v="336"/>
    <n v="2305"/>
    <x v="89"/>
    <x v="38"/>
    <s v="High"/>
    <n v="1"/>
    <n v="12.41"/>
    <n v="0.01"/>
    <s v="Regular Air"/>
    <n v="-9.08"/>
    <n v="6.68"/>
    <n v="5.66"/>
    <x v="453"/>
    <x v="4"/>
    <x v="4"/>
    <x v="3"/>
    <x v="0"/>
    <x v="5"/>
    <x v="674"/>
    <s v="Small Box"/>
    <n v="0.37"/>
    <d v="2010-01-26T00:00:00"/>
    <n v="1"/>
    <n v="0"/>
    <n v="0.33333333333333331"/>
    <n v="0.33333333333333331"/>
  </r>
  <r>
    <n v="341"/>
    <n v="2311"/>
    <x v="732"/>
    <x v="10"/>
    <s v="High"/>
    <n v="31"/>
    <n v="1324.09"/>
    <n v="0.01"/>
    <s v="Regular Air"/>
    <n v="94.96"/>
    <n v="40.89"/>
    <n v="18.98"/>
    <x v="734"/>
    <x v="4"/>
    <x v="4"/>
    <x v="3"/>
    <x v="2"/>
    <x v="4"/>
    <x v="529"/>
    <s v="Small Box"/>
    <n v="0.56999999999999995"/>
    <d v="2011-05-02T00:00:00"/>
    <n v="0"/>
    <n v="0"/>
    <n v="1"/>
    <n v="1"/>
  </r>
  <r>
    <n v="351"/>
    <n v="2438"/>
    <x v="180"/>
    <x v="42"/>
    <s v="High"/>
    <n v="20"/>
    <n v="278.68"/>
    <n v="0.06"/>
    <s v="Regular Air"/>
    <n v="8.8994999999999997"/>
    <n v="14.48"/>
    <n v="6.46"/>
    <x v="735"/>
    <x v="4"/>
    <x v="4"/>
    <x v="2"/>
    <x v="0"/>
    <x v="2"/>
    <x v="637"/>
    <s v="Small Box"/>
    <n v="0.38"/>
    <d v="2010-07-17T00:00:00"/>
    <n v="0"/>
    <n v="0"/>
    <n v="0.5"/>
    <n v="0.5"/>
  </r>
  <r>
    <n v="352"/>
    <n v="2438"/>
    <x v="180"/>
    <x v="42"/>
    <s v="High"/>
    <n v="23"/>
    <n v="717.46799999999996"/>
    <n v="0.01"/>
    <s v="Regular Air"/>
    <n v="316.476"/>
    <n v="35.99"/>
    <n v="0.99"/>
    <x v="735"/>
    <x v="4"/>
    <x v="4"/>
    <x v="2"/>
    <x v="1"/>
    <x v="3"/>
    <x v="312"/>
    <s v="Small Pack"/>
    <n v="0.35"/>
    <d v="2010-07-16T00:00:00"/>
    <n v="0"/>
    <n v="0"/>
    <n v="0.5"/>
    <n v="0.5"/>
  </r>
  <r>
    <n v="374"/>
    <n v="2595"/>
    <x v="1396"/>
    <x v="25"/>
    <s v="Not Specified"/>
    <n v="13"/>
    <n v="11764.25"/>
    <n v="0.04"/>
    <s v="Delivery Truck"/>
    <n v="2322.44"/>
    <n v="880.98"/>
    <n v="44.55"/>
    <x v="736"/>
    <x v="4"/>
    <x v="4"/>
    <x v="2"/>
    <x v="2"/>
    <x v="9"/>
    <x v="185"/>
    <s v="Jumbo Box"/>
    <n v="0.62"/>
    <d v="2011-12-14T00:00:00"/>
    <n v="0"/>
    <n v="0"/>
    <n v="0.33333333333333331"/>
    <n v="0.33333333333333331"/>
  </r>
  <r>
    <n v="375"/>
    <n v="2595"/>
    <x v="1396"/>
    <x v="25"/>
    <s v="Not Specified"/>
    <n v="4"/>
    <n v="25.17"/>
    <n v="0.09"/>
    <s v="Regular Air"/>
    <n v="5.88"/>
    <n v="5.47"/>
    <n v="5.26"/>
    <x v="736"/>
    <x v="4"/>
    <x v="4"/>
    <x v="2"/>
    <x v="2"/>
    <x v="4"/>
    <x v="1208"/>
    <s v="Small Pack"/>
    <n v="0.42"/>
    <d v="2011-12-15T00:00:00"/>
    <n v="0"/>
    <n v="0"/>
    <n v="0.33333333333333331"/>
    <n v="0.33333333333333331"/>
  </r>
  <r>
    <n v="376"/>
    <n v="2595"/>
    <x v="1396"/>
    <x v="25"/>
    <s v="Not Specified"/>
    <n v="29"/>
    <n v="208.47"/>
    <n v="0.01"/>
    <s v="Express Air"/>
    <n v="-125.6"/>
    <n v="6.48"/>
    <n v="8.74"/>
    <x v="736"/>
    <x v="4"/>
    <x v="4"/>
    <x v="2"/>
    <x v="0"/>
    <x v="5"/>
    <x v="911"/>
    <s v="Small Box"/>
    <n v="0.36"/>
    <d v="2011-12-15T00:00:00"/>
    <n v="0"/>
    <n v="0"/>
    <n v="0.33333333333333331"/>
    <n v="0.33333333333333331"/>
  </r>
  <r>
    <n v="409"/>
    <n v="2790"/>
    <x v="60"/>
    <x v="26"/>
    <s v="High"/>
    <n v="7"/>
    <n v="45.91"/>
    <n v="0.01"/>
    <s v="Regular Air"/>
    <n v="-35.534999999999997"/>
    <n v="5.44"/>
    <n v="7.46"/>
    <x v="453"/>
    <x v="4"/>
    <x v="4"/>
    <x v="3"/>
    <x v="0"/>
    <x v="2"/>
    <x v="1216"/>
    <s v="Small Box"/>
    <n v="0.36"/>
    <d v="2009-08-19T00:00:00"/>
    <n v="0"/>
    <n v="0"/>
    <n v="0.25"/>
    <n v="0.25"/>
  </r>
  <r>
    <n v="410"/>
    <n v="2790"/>
    <x v="60"/>
    <x v="26"/>
    <s v="High"/>
    <n v="41"/>
    <n v="22319.58"/>
    <n v="0.02"/>
    <s v="Delivery Truck"/>
    <n v="-734.31"/>
    <n v="549.99"/>
    <n v="49"/>
    <x v="453"/>
    <x v="4"/>
    <x v="4"/>
    <x v="3"/>
    <x v="1"/>
    <x v="13"/>
    <x v="458"/>
    <s v="Jumbo Drum"/>
    <n v="0.35"/>
    <d v="2009-08-20T00:00:00"/>
    <n v="0"/>
    <n v="0"/>
    <n v="0.25"/>
    <n v="0.25"/>
  </r>
  <r>
    <n v="411"/>
    <n v="2790"/>
    <x v="60"/>
    <x v="26"/>
    <s v="High"/>
    <n v="15"/>
    <n v="330.24"/>
    <n v="0.03"/>
    <s v="Express Air"/>
    <n v="8.48"/>
    <n v="22.01"/>
    <n v="5.53"/>
    <x v="453"/>
    <x v="4"/>
    <x v="4"/>
    <x v="3"/>
    <x v="0"/>
    <x v="12"/>
    <x v="869"/>
    <s v="Small Pack"/>
    <n v="0.59"/>
    <d v="2009-08-19T00:00:00"/>
    <n v="0"/>
    <n v="0"/>
    <n v="0.25"/>
    <n v="0.25"/>
  </r>
  <r>
    <n v="412"/>
    <n v="2790"/>
    <x v="60"/>
    <x v="26"/>
    <s v="High"/>
    <n v="15"/>
    <n v="520.65"/>
    <n v="0.09"/>
    <s v="Regular Air"/>
    <n v="30.63"/>
    <n v="34.76"/>
    <n v="8.2200000000000006"/>
    <x v="453"/>
    <x v="4"/>
    <x v="4"/>
    <x v="3"/>
    <x v="0"/>
    <x v="0"/>
    <x v="139"/>
    <s v="Small Box"/>
    <n v="0.56999999999999995"/>
    <d v="2009-08-20T00:00:00"/>
    <n v="0"/>
    <n v="0"/>
    <n v="0.25"/>
    <n v="0.25"/>
  </r>
  <r>
    <n v="490"/>
    <n v="3395"/>
    <x v="1114"/>
    <x v="19"/>
    <s v="Not Specified"/>
    <n v="31"/>
    <n v="181.17"/>
    <n v="0.06"/>
    <s v="Express Air"/>
    <n v="-59.880499999999998"/>
    <n v="5.38"/>
    <n v="5.24"/>
    <x v="147"/>
    <x v="4"/>
    <x v="4"/>
    <x v="1"/>
    <x v="0"/>
    <x v="2"/>
    <x v="1253"/>
    <s v="Small Box"/>
    <n v="0.36"/>
    <d v="2009-10-31T00:00:00"/>
    <n v="0"/>
    <n v="0"/>
    <n v="0.25"/>
    <n v="0.25"/>
  </r>
  <r>
    <n v="491"/>
    <n v="3395"/>
    <x v="1114"/>
    <x v="19"/>
    <s v="Not Specified"/>
    <n v="1"/>
    <n v="13.16"/>
    <n v="0.03"/>
    <s v="Regular Air"/>
    <n v="-10.29"/>
    <n v="7.35"/>
    <n v="5.96"/>
    <x v="147"/>
    <x v="4"/>
    <x v="4"/>
    <x v="1"/>
    <x v="0"/>
    <x v="5"/>
    <x v="844"/>
    <s v="Small Box"/>
    <n v="0.38"/>
    <d v="2009-10-31T00:00:00"/>
    <n v="0"/>
    <n v="0"/>
    <n v="0.25"/>
    <n v="0.25"/>
  </r>
  <r>
    <n v="492"/>
    <n v="3395"/>
    <x v="1114"/>
    <x v="19"/>
    <s v="Not Specified"/>
    <n v="7"/>
    <n v="107.88"/>
    <n v="0.02"/>
    <s v="Regular Air"/>
    <n v="25.59"/>
    <n v="15.57"/>
    <n v="1.39"/>
    <x v="147"/>
    <x v="4"/>
    <x v="4"/>
    <x v="1"/>
    <x v="0"/>
    <x v="8"/>
    <x v="889"/>
    <s v="Small Box"/>
    <n v="0.38"/>
    <d v="2009-10-30T00:00:00"/>
    <n v="0"/>
    <n v="0"/>
    <n v="0.25"/>
    <n v="0.25"/>
  </r>
  <r>
    <n v="493"/>
    <n v="3395"/>
    <x v="1114"/>
    <x v="19"/>
    <s v="Not Specified"/>
    <n v="29"/>
    <n v="623.02"/>
    <n v="0.02"/>
    <s v="Regular Air"/>
    <n v="-255.66"/>
    <n v="20.89"/>
    <n v="11.52"/>
    <x v="147"/>
    <x v="4"/>
    <x v="4"/>
    <x v="1"/>
    <x v="0"/>
    <x v="0"/>
    <x v="796"/>
    <s v="Small Box"/>
    <n v="0.83"/>
    <d v="2009-10-30T00:00:00"/>
    <n v="0"/>
    <n v="0"/>
    <n v="0.25"/>
    <n v="0.25"/>
  </r>
  <r>
    <n v="575"/>
    <n v="3907"/>
    <x v="554"/>
    <x v="9"/>
    <s v="Medium"/>
    <n v="34"/>
    <n v="729.83"/>
    <n v="7.0000000000000007E-2"/>
    <s v="Regular Air"/>
    <n v="-135.102"/>
    <n v="22.38"/>
    <n v="15.1"/>
    <x v="124"/>
    <x v="4"/>
    <x v="4"/>
    <x v="0"/>
    <x v="0"/>
    <x v="2"/>
    <x v="290"/>
    <s v="Small Box"/>
    <n v="0.38"/>
    <d v="2012-08-20T00:00:00"/>
    <n v="0"/>
    <n v="0"/>
    <n v="0.33333333333333331"/>
    <n v="0.33333333333333331"/>
  </r>
  <r>
    <n v="576"/>
    <n v="3907"/>
    <x v="554"/>
    <x v="9"/>
    <s v="Medium"/>
    <n v="36"/>
    <n v="1083.19"/>
    <n v="0.03"/>
    <s v="Express Air"/>
    <n v="214.61"/>
    <n v="29.99"/>
    <n v="5.5"/>
    <x v="124"/>
    <x v="4"/>
    <x v="4"/>
    <x v="0"/>
    <x v="1"/>
    <x v="7"/>
    <x v="890"/>
    <s v="Small Box"/>
    <n v="0.51"/>
    <d v="2012-08-19T00:00:00"/>
    <n v="0"/>
    <n v="0"/>
    <n v="0.33333333333333331"/>
    <n v="0.33333333333333331"/>
  </r>
  <r>
    <n v="613"/>
    <n v="4195"/>
    <x v="493"/>
    <x v="39"/>
    <s v="Not Specified"/>
    <n v="30"/>
    <n v="255.74"/>
    <n v="7.0000000000000007E-2"/>
    <s v="Regular Air"/>
    <n v="37.090000000000003"/>
    <n v="8.5"/>
    <n v="1.99"/>
    <x v="736"/>
    <x v="4"/>
    <x v="4"/>
    <x v="2"/>
    <x v="1"/>
    <x v="7"/>
    <x v="676"/>
    <s v="Small Pack"/>
    <n v="0.49"/>
    <d v="2010-05-30T00:00:00"/>
    <n v="0"/>
    <n v="0"/>
    <n v="1"/>
    <n v="1"/>
  </r>
  <r>
    <n v="631"/>
    <n v="4391"/>
    <x v="223"/>
    <x v="12"/>
    <s v="High"/>
    <n v="20"/>
    <n v="2592.4319999999998"/>
    <n v="0.06"/>
    <s v="Regular Air"/>
    <n v="428.47199999999998"/>
    <n v="155.99"/>
    <n v="3.9"/>
    <x v="636"/>
    <x v="4"/>
    <x v="4"/>
    <x v="3"/>
    <x v="1"/>
    <x v="3"/>
    <x v="149"/>
    <s v="Small Box"/>
    <n v="0.55000000000000004"/>
    <d v="2012-02-19T00:00:00"/>
    <n v="0"/>
    <n v="0"/>
    <n v="1"/>
    <n v="1"/>
  </r>
  <r>
    <n v="633"/>
    <n v="4422"/>
    <x v="345"/>
    <x v="10"/>
    <s v="Medium"/>
    <n v="12"/>
    <n v="313.43"/>
    <n v="0.02"/>
    <s v="Regular Air"/>
    <n v="104.03"/>
    <n v="25.38"/>
    <n v="8.99"/>
    <x v="444"/>
    <x v="4"/>
    <x v="4"/>
    <x v="1"/>
    <x v="2"/>
    <x v="4"/>
    <x v="216"/>
    <s v="Small Pack"/>
    <n v="0.5"/>
    <d v="2011-05-21T00:00:00"/>
    <n v="0"/>
    <n v="0"/>
    <n v="0.5"/>
    <n v="0.5"/>
  </r>
  <r>
    <n v="634"/>
    <n v="4422"/>
    <x v="345"/>
    <x v="10"/>
    <s v="Medium"/>
    <n v="17"/>
    <n v="390.11"/>
    <n v="0.02"/>
    <s v="Regular Air"/>
    <n v="-19.920000000000002"/>
    <n v="21.38"/>
    <n v="8.99"/>
    <x v="444"/>
    <x v="4"/>
    <x v="4"/>
    <x v="1"/>
    <x v="0"/>
    <x v="12"/>
    <x v="311"/>
    <s v="Small Pack"/>
    <n v="0.59"/>
    <d v="2011-05-21T00:00:00"/>
    <n v="0"/>
    <n v="0"/>
    <n v="0.5"/>
    <n v="0.5"/>
  </r>
  <r>
    <n v="679"/>
    <n v="4741"/>
    <x v="1397"/>
    <x v="29"/>
    <s v="Not Specified"/>
    <n v="40"/>
    <n v="342.97"/>
    <n v="0.09"/>
    <s v="Regular Air"/>
    <n v="-131.63"/>
    <n v="8.75"/>
    <n v="8.5399999999999991"/>
    <x v="103"/>
    <x v="4"/>
    <x v="4"/>
    <x v="1"/>
    <x v="2"/>
    <x v="4"/>
    <x v="514"/>
    <s v="Small Pack"/>
    <n v="0.43"/>
    <d v="2012-07-07T00:00:00"/>
    <n v="0"/>
    <n v="0"/>
    <n v="1"/>
    <n v="1"/>
  </r>
  <r>
    <n v="693"/>
    <n v="4835"/>
    <x v="1398"/>
    <x v="19"/>
    <s v="Critical"/>
    <n v="3"/>
    <n v="9.4"/>
    <n v="0.04"/>
    <s v="Regular Air"/>
    <n v="-7.6"/>
    <n v="2.52"/>
    <n v="1.92"/>
    <x v="636"/>
    <x v="4"/>
    <x v="4"/>
    <x v="3"/>
    <x v="0"/>
    <x v="15"/>
    <x v="974"/>
    <s v="Wrap Bag"/>
    <n v="0.82"/>
    <d v="2009-10-24T00:00:00"/>
    <n v="0"/>
    <n v="0"/>
    <n v="1"/>
    <n v="1"/>
  </r>
  <r>
    <n v="711"/>
    <n v="5028"/>
    <x v="1184"/>
    <x v="13"/>
    <s v="High"/>
    <n v="10"/>
    <n v="79.680000000000007"/>
    <n v="0.06"/>
    <s v="Regular Air"/>
    <n v="18.239999999999998"/>
    <n v="7.7"/>
    <n v="3.68"/>
    <x v="736"/>
    <x v="4"/>
    <x v="4"/>
    <x v="2"/>
    <x v="2"/>
    <x v="4"/>
    <x v="803"/>
    <s v="Wrap Bag"/>
    <n v="0.52"/>
    <d v="2012-04-18T00:00:00"/>
    <n v="0"/>
    <n v="0"/>
    <n v="1"/>
    <n v="1"/>
  </r>
  <r>
    <n v="717"/>
    <n v="5095"/>
    <x v="500"/>
    <x v="13"/>
    <s v="High"/>
    <n v="7"/>
    <n v="786.67499999999995"/>
    <n v="0.01"/>
    <s v="Regular Air"/>
    <n v="-315.029"/>
    <n v="125.99"/>
    <n v="8.8000000000000007"/>
    <x v="737"/>
    <x v="4"/>
    <x v="4"/>
    <x v="2"/>
    <x v="1"/>
    <x v="3"/>
    <x v="626"/>
    <s v="Small Box"/>
    <n v="0.59"/>
    <d v="2012-04-22T00:00:00"/>
    <n v="0"/>
    <n v="0"/>
    <n v="1"/>
    <n v="1"/>
  </r>
  <r>
    <n v="736"/>
    <n v="5317"/>
    <x v="1315"/>
    <x v="35"/>
    <s v="Low"/>
    <n v="38"/>
    <n v="212.57"/>
    <n v="0.09"/>
    <s v="Express Air"/>
    <n v="9.4860000000000007"/>
    <n v="5.34"/>
    <n v="2.99"/>
    <x v="124"/>
    <x v="4"/>
    <x v="4"/>
    <x v="0"/>
    <x v="0"/>
    <x v="2"/>
    <x v="282"/>
    <s v="Small Box"/>
    <n v="0.38"/>
    <d v="2009-09-15T00:00:00"/>
    <n v="0"/>
    <n v="0"/>
    <n v="0.33333333333333331"/>
    <n v="0.33333333333333331"/>
  </r>
  <r>
    <n v="737"/>
    <n v="5317"/>
    <x v="1315"/>
    <x v="35"/>
    <s v="Low"/>
    <n v="10"/>
    <n v="1469.48"/>
    <n v="7.0000000000000007E-2"/>
    <s v="Delivery Truck"/>
    <n v="-263.64999999999998"/>
    <n v="140.97999999999999"/>
    <n v="53.48"/>
    <x v="124"/>
    <x v="4"/>
    <x v="4"/>
    <x v="0"/>
    <x v="2"/>
    <x v="9"/>
    <x v="85"/>
    <s v="Jumbo Box"/>
    <n v="0.65"/>
    <d v="2009-09-15T00:00:00"/>
    <n v="0"/>
    <n v="0"/>
    <n v="0.33333333333333331"/>
    <n v="0.33333333333333331"/>
  </r>
  <r>
    <n v="738"/>
    <n v="5317"/>
    <x v="1315"/>
    <x v="35"/>
    <s v="Low"/>
    <n v="25"/>
    <n v="4279.24"/>
    <n v="0.06"/>
    <s v="Regular Air"/>
    <n v="890.18100000000004"/>
    <n v="205.99"/>
    <n v="5.26"/>
    <x v="124"/>
    <x v="4"/>
    <x v="4"/>
    <x v="0"/>
    <x v="1"/>
    <x v="3"/>
    <x v="211"/>
    <s v="Small Box"/>
    <n v="0.56000000000000005"/>
    <d v="2009-09-15T00:00:00"/>
    <n v="0"/>
    <n v="0"/>
    <n v="0.33333333333333331"/>
    <n v="0.33333333333333331"/>
  </r>
  <r>
    <n v="801"/>
    <n v="5735"/>
    <x v="419"/>
    <x v="47"/>
    <s v="Medium"/>
    <n v="10"/>
    <n v="2665.64"/>
    <n v="0.1"/>
    <s v="Delivery Truck"/>
    <n v="-107.49"/>
    <n v="280.98"/>
    <n v="35.67"/>
    <x v="531"/>
    <x v="4"/>
    <x v="4"/>
    <x v="3"/>
    <x v="2"/>
    <x v="10"/>
    <x v="398"/>
    <s v="Jumbo Box"/>
    <n v="0.66"/>
    <d v="2009-12-11T00:00:00"/>
    <n v="0"/>
    <n v="0"/>
    <n v="1"/>
    <n v="1"/>
  </r>
  <r>
    <n v="810"/>
    <n v="5856"/>
    <x v="449"/>
    <x v="11"/>
    <s v="High"/>
    <n v="42"/>
    <n v="10307.01"/>
    <n v="0"/>
    <s v="Delivery Truck"/>
    <n v="3025.59"/>
    <n v="230.98"/>
    <n v="23.78"/>
    <x v="124"/>
    <x v="4"/>
    <x v="4"/>
    <x v="0"/>
    <x v="2"/>
    <x v="10"/>
    <x v="1254"/>
    <s v="Jumbo Box"/>
    <n v="0.6"/>
    <d v="2009-11-07T00:00:00"/>
    <n v="0"/>
    <n v="0"/>
    <n v="1"/>
    <n v="1"/>
  </r>
  <r>
    <n v="816"/>
    <n v="5891"/>
    <x v="1341"/>
    <x v="45"/>
    <s v="Medium"/>
    <n v="2"/>
    <n v="44.45"/>
    <n v="0.01"/>
    <s v="Regular Air"/>
    <n v="-17.457000000000001"/>
    <n v="20.98"/>
    <n v="1.49"/>
    <x v="531"/>
    <x v="4"/>
    <x v="4"/>
    <x v="3"/>
    <x v="0"/>
    <x v="2"/>
    <x v="498"/>
    <s v="Small Box"/>
    <n v="0.35"/>
    <d v="2012-12-30T00:00:00"/>
    <n v="0"/>
    <n v="0"/>
    <n v="1"/>
    <n v="1"/>
  </r>
  <r>
    <n v="875"/>
    <n v="6274"/>
    <x v="455"/>
    <x v="2"/>
    <s v="Not Specified"/>
    <n v="22"/>
    <n v="46.36"/>
    <n v="0.05"/>
    <s v="Express Air"/>
    <n v="-56.73"/>
    <n v="1.74"/>
    <n v="4.08"/>
    <x v="636"/>
    <x v="4"/>
    <x v="4"/>
    <x v="3"/>
    <x v="2"/>
    <x v="4"/>
    <x v="331"/>
    <s v="Small Pack"/>
    <n v="0.53"/>
    <d v="2011-07-15T00:00:00"/>
    <n v="0"/>
    <n v="0"/>
    <n v="1"/>
    <n v="1"/>
  </r>
  <r>
    <n v="878"/>
    <n v="6309"/>
    <x v="208"/>
    <x v="30"/>
    <s v="Medium"/>
    <n v="10"/>
    <n v="29.79"/>
    <n v="0.01"/>
    <s v="Regular Air"/>
    <n v="3.76"/>
    <n v="2.88"/>
    <n v="0.99"/>
    <x v="736"/>
    <x v="4"/>
    <x v="4"/>
    <x v="2"/>
    <x v="0"/>
    <x v="11"/>
    <x v="184"/>
    <s v="Small Box"/>
    <n v="0.36"/>
    <d v="2010-06-10T00:00:00"/>
    <n v="0"/>
    <n v="0"/>
    <n v="1"/>
    <n v="1"/>
  </r>
  <r>
    <n v="885"/>
    <n v="6368"/>
    <x v="545"/>
    <x v="40"/>
    <s v="Not Specified"/>
    <n v="40"/>
    <n v="19100.45"/>
    <n v="0"/>
    <s v="Delivery Truck"/>
    <n v="6839.95"/>
    <n v="442.14"/>
    <n v="14.7"/>
    <x v="103"/>
    <x v="4"/>
    <x v="4"/>
    <x v="2"/>
    <x v="1"/>
    <x v="16"/>
    <x v="330"/>
    <s v="Jumbo Drum"/>
    <n v="0.56000000000000005"/>
    <d v="2009-02-22T00:00:00"/>
    <n v="0"/>
    <n v="0"/>
    <n v="1"/>
    <n v="1"/>
  </r>
  <r>
    <n v="961"/>
    <n v="6978"/>
    <x v="25"/>
    <x v="15"/>
    <s v="High"/>
    <n v="47"/>
    <n v="371.95"/>
    <n v="7.0000000000000007E-2"/>
    <s v="Regular Air"/>
    <n v="-87.4"/>
    <n v="8.1199999999999992"/>
    <n v="2.83"/>
    <x v="531"/>
    <x v="4"/>
    <x v="4"/>
    <x v="3"/>
    <x v="1"/>
    <x v="7"/>
    <x v="483"/>
    <s v="Small Pack"/>
    <n v="0.77"/>
    <d v="2010-12-10T00:00:00"/>
    <n v="0"/>
    <n v="0"/>
    <n v="1"/>
    <n v="1"/>
  </r>
  <r>
    <n v="1024"/>
    <n v="7461"/>
    <x v="750"/>
    <x v="22"/>
    <s v="Low"/>
    <n v="12"/>
    <n v="4080.3"/>
    <n v="0.05"/>
    <s v="Delivery Truck"/>
    <n v="593.79"/>
    <n v="350.99"/>
    <n v="39"/>
    <x v="738"/>
    <x v="4"/>
    <x v="4"/>
    <x v="3"/>
    <x v="2"/>
    <x v="14"/>
    <x v="1103"/>
    <s v="Jumbo Drum"/>
    <n v="0.55000000000000004"/>
    <d v="2009-01-14T00:00:00"/>
    <n v="0"/>
    <n v="1"/>
    <n v="0.33333333333333331"/>
    <n v="0.33333333333333331"/>
  </r>
  <r>
    <n v="1025"/>
    <n v="7461"/>
    <x v="750"/>
    <x v="22"/>
    <s v="Low"/>
    <n v="28"/>
    <n v="260.79000000000002"/>
    <n v="0"/>
    <s v="Regular Air"/>
    <n v="111.4"/>
    <n v="8.74"/>
    <n v="1.39"/>
    <x v="738"/>
    <x v="4"/>
    <x v="4"/>
    <x v="3"/>
    <x v="0"/>
    <x v="8"/>
    <x v="427"/>
    <s v="Small Box"/>
    <n v="0.38"/>
    <d v="2009-01-16T00:00:00"/>
    <n v="0"/>
    <n v="1"/>
    <n v="0.33333333333333331"/>
    <n v="0.33333333333333331"/>
  </r>
  <r>
    <n v="1026"/>
    <n v="7461"/>
    <x v="750"/>
    <x v="22"/>
    <s v="Low"/>
    <n v="44"/>
    <n v="90.35"/>
    <n v="0.02"/>
    <s v="Regular Air"/>
    <n v="-16.72"/>
    <n v="1.98"/>
    <n v="0.7"/>
    <x v="738"/>
    <x v="4"/>
    <x v="4"/>
    <x v="3"/>
    <x v="0"/>
    <x v="6"/>
    <x v="846"/>
    <s v="Wrap Bag"/>
    <n v="0.83"/>
    <d v="2009-01-16T00:00:00"/>
    <n v="0"/>
    <n v="1"/>
    <n v="0.33333333333333331"/>
    <n v="0.33333333333333331"/>
  </r>
  <r>
    <n v="1297"/>
    <n v="9505"/>
    <x v="805"/>
    <x v="8"/>
    <s v="High"/>
    <n v="2"/>
    <n v="316.52"/>
    <n v="0.03"/>
    <s v="Regular Air"/>
    <n v="-542.32000000000005"/>
    <n v="152.47999999999999"/>
    <n v="4"/>
    <x v="453"/>
    <x v="4"/>
    <x v="4"/>
    <x v="3"/>
    <x v="1"/>
    <x v="7"/>
    <x v="659"/>
    <s v="Small Box"/>
    <n v="0.79"/>
    <d v="2012-06-09T00:00:00"/>
    <n v="0"/>
    <n v="0"/>
    <n v="0.5"/>
    <n v="0.5"/>
  </r>
  <r>
    <n v="1298"/>
    <n v="9505"/>
    <x v="805"/>
    <x v="8"/>
    <s v="High"/>
    <n v="5"/>
    <n v="155.38999999999999"/>
    <n v="0.1"/>
    <s v="Regular Air"/>
    <n v="-127.7"/>
    <n v="32.979999999999997"/>
    <n v="5.5"/>
    <x v="453"/>
    <x v="4"/>
    <x v="4"/>
    <x v="3"/>
    <x v="1"/>
    <x v="7"/>
    <x v="279"/>
    <s v="Small Box"/>
    <n v="0.75"/>
    <d v="2012-06-10T00:00:00"/>
    <n v="0"/>
    <n v="0"/>
    <n v="0.5"/>
    <n v="0.5"/>
  </r>
  <r>
    <n v="1340"/>
    <n v="9794"/>
    <x v="561"/>
    <x v="33"/>
    <s v="Not Specified"/>
    <n v="25"/>
    <n v="135.22999999999999"/>
    <n v="0.1"/>
    <s v="Regular Air"/>
    <n v="-45.65"/>
    <n v="5.68"/>
    <n v="3.6"/>
    <x v="444"/>
    <x v="4"/>
    <x v="4"/>
    <x v="1"/>
    <x v="0"/>
    <x v="15"/>
    <x v="1153"/>
    <s v="Small Pack"/>
    <n v="0.56000000000000005"/>
    <d v="2012-03-25T00:00:00"/>
    <n v="0"/>
    <n v="0"/>
    <n v="1"/>
    <n v="1"/>
  </r>
  <r>
    <n v="1400"/>
    <n v="10148"/>
    <x v="474"/>
    <x v="28"/>
    <s v="Low"/>
    <n v="27"/>
    <n v="14357.85"/>
    <n v="0.02"/>
    <s v="Delivery Truck"/>
    <n v="3309.55"/>
    <n v="500.98"/>
    <n v="41.44"/>
    <x v="124"/>
    <x v="4"/>
    <x v="4"/>
    <x v="0"/>
    <x v="2"/>
    <x v="9"/>
    <x v="1083"/>
    <s v="Jumbo Box"/>
    <n v="0.66"/>
    <d v="2009-03-25T00:00:00"/>
    <n v="0"/>
    <n v="0"/>
    <n v="1"/>
    <n v="1"/>
  </r>
  <r>
    <n v="1534"/>
    <n v="11045"/>
    <x v="1399"/>
    <x v="33"/>
    <s v="Medium"/>
    <n v="35"/>
    <n v="710.86"/>
    <n v="0.04"/>
    <s v="Regular Air"/>
    <n v="196.22"/>
    <n v="19.98"/>
    <n v="5.97"/>
    <x v="636"/>
    <x v="4"/>
    <x v="4"/>
    <x v="3"/>
    <x v="0"/>
    <x v="5"/>
    <x v="71"/>
    <s v="Small Box"/>
    <n v="0.38"/>
    <d v="2012-03-26T00:00:00"/>
    <n v="0"/>
    <n v="0"/>
    <n v="1"/>
    <n v="1"/>
  </r>
  <r>
    <n v="1537"/>
    <n v="11074"/>
    <x v="183"/>
    <x v="4"/>
    <s v="High"/>
    <n v="21"/>
    <n v="114.53"/>
    <n v="7.0000000000000007E-2"/>
    <s v="Regular Air"/>
    <n v="-39.229999999999997"/>
    <n v="5.68"/>
    <n v="3.6"/>
    <x v="447"/>
    <x v="4"/>
    <x v="4"/>
    <x v="2"/>
    <x v="0"/>
    <x v="15"/>
    <x v="1153"/>
    <s v="Small Pack"/>
    <n v="0.56000000000000005"/>
    <d v="2011-06-11T00:00:00"/>
    <n v="0"/>
    <n v="0"/>
    <n v="0.5"/>
    <n v="0.33333333333333331"/>
  </r>
  <r>
    <n v="1538"/>
    <n v="11074"/>
    <x v="183"/>
    <x v="4"/>
    <s v="High"/>
    <n v="44"/>
    <n v="7164.7435000000005"/>
    <n v="7.0000000000000007E-2"/>
    <s v="Regular Air"/>
    <n v="1609.29"/>
    <n v="205.99"/>
    <n v="5.99"/>
    <x v="447"/>
    <x v="4"/>
    <x v="4"/>
    <x v="2"/>
    <x v="1"/>
    <x v="3"/>
    <x v="556"/>
    <s v="Small Box"/>
    <n v="0.59"/>
    <d v="2011-06-10T00:00:00"/>
    <n v="0"/>
    <n v="0"/>
    <n v="0.5"/>
    <n v="0.33333333333333331"/>
  </r>
  <r>
    <n v="1732"/>
    <n v="12449"/>
    <x v="509"/>
    <x v="38"/>
    <s v="Medium"/>
    <n v="36"/>
    <n v="1400.1"/>
    <n v="0.03"/>
    <s v="Regular Air"/>
    <n v="88.68"/>
    <n v="39.979999999999997"/>
    <n v="4"/>
    <x v="739"/>
    <x v="4"/>
    <x v="4"/>
    <x v="0"/>
    <x v="1"/>
    <x v="7"/>
    <x v="701"/>
    <s v="Small Box"/>
    <n v="0.7"/>
    <d v="2010-02-02T00:00:00"/>
    <n v="1"/>
    <n v="0"/>
    <n v="1"/>
    <n v="0.5"/>
  </r>
  <r>
    <n v="2051"/>
    <n v="14661"/>
    <x v="1171"/>
    <x v="38"/>
    <s v="Not Specified"/>
    <n v="38"/>
    <n v="1325.06"/>
    <n v="0.06"/>
    <s v="Regular Air"/>
    <n v="-180.23"/>
    <n v="35.770000000000003"/>
    <n v="9.02"/>
    <x v="737"/>
    <x v="4"/>
    <x v="4"/>
    <x v="3"/>
    <x v="1"/>
    <x v="7"/>
    <x v="1123"/>
    <s v="Small Box"/>
    <n v="0.75"/>
    <d v="2010-01-25T00:00:00"/>
    <n v="1"/>
    <n v="0"/>
    <n v="1"/>
    <n v="0.2"/>
  </r>
  <r>
    <n v="2143"/>
    <n v="15303"/>
    <x v="1337"/>
    <x v="18"/>
    <s v="Critical"/>
    <n v="21"/>
    <n v="101.13"/>
    <n v="0.02"/>
    <s v="Regular Air"/>
    <n v="-74.405000000000001"/>
    <n v="4.54"/>
    <n v="5.83"/>
    <x v="734"/>
    <x v="4"/>
    <x v="4"/>
    <x v="3"/>
    <x v="0"/>
    <x v="2"/>
    <x v="971"/>
    <s v="Small Box"/>
    <n v="0.36"/>
    <d v="2010-09-14T00:00:00"/>
    <n v="0"/>
    <n v="0"/>
    <n v="0.5"/>
    <n v="0.5"/>
  </r>
  <r>
    <n v="2144"/>
    <n v="15303"/>
    <x v="1337"/>
    <x v="18"/>
    <s v="Critical"/>
    <n v="18"/>
    <n v="526.45000000000005"/>
    <n v="0.02"/>
    <s v="Regular Air"/>
    <n v="-108.14"/>
    <n v="28.48"/>
    <n v="8.99"/>
    <x v="734"/>
    <x v="4"/>
    <x v="4"/>
    <x v="3"/>
    <x v="1"/>
    <x v="7"/>
    <x v="573"/>
    <s v="Small Pack"/>
    <n v="0.7"/>
    <d v="2010-09-15T00:00:00"/>
    <n v="0"/>
    <n v="0"/>
    <n v="0.5"/>
    <n v="0.5"/>
  </r>
  <r>
    <n v="2171"/>
    <n v="15622"/>
    <x v="249"/>
    <x v="21"/>
    <s v="High"/>
    <n v="34"/>
    <n v="8581.25"/>
    <n v="0"/>
    <s v="Delivery Truck"/>
    <n v="1464.23"/>
    <n v="240.98"/>
    <n v="60.2"/>
    <x v="147"/>
    <x v="4"/>
    <x v="4"/>
    <x v="1"/>
    <x v="2"/>
    <x v="9"/>
    <x v="885"/>
    <s v="Jumbo Box"/>
    <n v="0.56000000000000005"/>
    <d v="2011-08-26T00:00:00"/>
    <n v="0"/>
    <n v="0"/>
    <n v="0.5"/>
    <n v="0.5"/>
  </r>
  <r>
    <n v="2172"/>
    <n v="15622"/>
    <x v="249"/>
    <x v="21"/>
    <s v="High"/>
    <n v="21"/>
    <n v="135.99"/>
    <n v="0.09"/>
    <s v="Regular Air"/>
    <n v="-129.24"/>
    <n v="6.48"/>
    <n v="9.68"/>
    <x v="147"/>
    <x v="4"/>
    <x v="4"/>
    <x v="1"/>
    <x v="0"/>
    <x v="5"/>
    <x v="597"/>
    <s v="Small Box"/>
    <n v="0.36"/>
    <d v="2011-08-26T00:00:00"/>
    <n v="0"/>
    <n v="0"/>
    <n v="0.5"/>
    <n v="0.5"/>
  </r>
  <r>
    <n v="2189"/>
    <n v="15778"/>
    <x v="139"/>
    <x v="39"/>
    <s v="High"/>
    <n v="9"/>
    <n v="43.23"/>
    <n v="0"/>
    <s v="Regular Air"/>
    <n v="-29.532"/>
    <n v="3.98"/>
    <n v="5.26"/>
    <x v="740"/>
    <x v="4"/>
    <x v="4"/>
    <x v="0"/>
    <x v="0"/>
    <x v="2"/>
    <x v="983"/>
    <s v="Small Box"/>
    <n v="0.38"/>
    <d v="2010-05-08T00:00:00"/>
    <n v="0"/>
    <n v="0"/>
    <n v="1"/>
    <n v="1"/>
  </r>
  <r>
    <n v="2239"/>
    <n v="16164"/>
    <x v="65"/>
    <x v="23"/>
    <s v="Low"/>
    <n v="22"/>
    <n v="3353.54"/>
    <n v="7.0000000000000007E-2"/>
    <s v="Regular Air"/>
    <n v="1189.96"/>
    <n v="162.93"/>
    <n v="19.989999999999998"/>
    <x v="234"/>
    <x v="4"/>
    <x v="4"/>
    <x v="3"/>
    <x v="0"/>
    <x v="8"/>
    <x v="324"/>
    <s v="Small Box"/>
    <n v="0.39"/>
    <d v="2012-01-12T00:00:00"/>
    <n v="0"/>
    <n v="0"/>
    <n v="0.33333333333333331"/>
    <n v="0.33333333333333331"/>
  </r>
  <r>
    <n v="2240"/>
    <n v="16164"/>
    <x v="65"/>
    <x v="23"/>
    <s v="Low"/>
    <n v="26"/>
    <n v="69.38"/>
    <n v="0.08"/>
    <s v="Regular Air"/>
    <n v="-70.73"/>
    <n v="2.52"/>
    <n v="4.28"/>
    <x v="234"/>
    <x v="4"/>
    <x v="4"/>
    <x v="3"/>
    <x v="0"/>
    <x v="12"/>
    <x v="842"/>
    <s v="Wrap Bag"/>
    <n v="0.44"/>
    <d v="2012-01-10T00:00:00"/>
    <n v="0"/>
    <n v="0"/>
    <n v="0.33333333333333331"/>
    <n v="0.33333333333333331"/>
  </r>
  <r>
    <n v="2245"/>
    <n v="16166"/>
    <x v="509"/>
    <x v="38"/>
    <s v="Critical"/>
    <n v="36"/>
    <n v="78.510000000000005"/>
    <n v="0.09"/>
    <s v="Regular Air"/>
    <n v="-10.06"/>
    <n v="2.1800000000000002"/>
    <n v="1.38"/>
    <x v="739"/>
    <x v="4"/>
    <x v="4"/>
    <x v="0"/>
    <x v="0"/>
    <x v="6"/>
    <x v="1086"/>
    <s v="Wrap Bag"/>
    <n v="0.44"/>
    <d v="2010-02-01T00:00:00"/>
    <n v="1"/>
    <n v="0"/>
    <n v="1"/>
    <n v="0.5"/>
  </r>
  <r>
    <n v="2324"/>
    <n v="16768"/>
    <x v="1400"/>
    <x v="36"/>
    <s v="High"/>
    <n v="9"/>
    <n v="101.47"/>
    <n v="0.03"/>
    <s v="Regular Air"/>
    <n v="-18.64"/>
    <n v="10.89"/>
    <n v="4.5"/>
    <x v="735"/>
    <x v="4"/>
    <x v="4"/>
    <x v="2"/>
    <x v="0"/>
    <x v="1"/>
    <x v="225"/>
    <s v="Small Box"/>
    <n v="0.59"/>
    <d v="2009-07-26T00:00:00"/>
    <n v="0"/>
    <n v="0"/>
    <n v="1"/>
    <n v="1"/>
  </r>
  <r>
    <n v="2390"/>
    <n v="17313"/>
    <x v="1195"/>
    <x v="43"/>
    <s v="High"/>
    <n v="27"/>
    <n v="130.49"/>
    <n v="7.0000000000000007E-2"/>
    <s v="Express Air"/>
    <n v="47.09"/>
    <n v="4.76"/>
    <n v="0.88"/>
    <x v="444"/>
    <x v="4"/>
    <x v="4"/>
    <x v="1"/>
    <x v="0"/>
    <x v="5"/>
    <x v="565"/>
    <s v="Wrap Bag"/>
    <n v="0.39"/>
    <d v="2009-05-09T00:00:00"/>
    <n v="0"/>
    <n v="0"/>
    <n v="1"/>
    <n v="1"/>
  </r>
  <r>
    <n v="2409"/>
    <n v="17447"/>
    <x v="853"/>
    <x v="20"/>
    <s v="Low"/>
    <n v="42"/>
    <n v="861.41"/>
    <n v="0.01"/>
    <s v="Regular Air"/>
    <n v="128"/>
    <n v="18.97"/>
    <n v="9.5399999999999991"/>
    <x v="733"/>
    <x v="4"/>
    <x v="4"/>
    <x v="3"/>
    <x v="0"/>
    <x v="5"/>
    <x v="439"/>
    <s v="Small Box"/>
    <n v="0.37"/>
    <d v="2012-05-20T00:00:00"/>
    <n v="0"/>
    <n v="0"/>
    <n v="1"/>
    <n v="1"/>
  </r>
  <r>
    <n v="2493"/>
    <n v="18145"/>
    <x v="1227"/>
    <x v="18"/>
    <s v="Medium"/>
    <n v="21"/>
    <n v="361.98"/>
    <n v="0"/>
    <s v="Regular Air"/>
    <n v="-55.610399999999998"/>
    <n v="15.99"/>
    <n v="9.4"/>
    <x v="737"/>
    <x v="4"/>
    <x v="4"/>
    <x v="2"/>
    <x v="1"/>
    <x v="16"/>
    <x v="364"/>
    <s v="Small Box"/>
    <n v="0.49"/>
    <d v="2010-09-05T00:00:00"/>
    <n v="0"/>
    <n v="0"/>
    <n v="0.5"/>
    <n v="0.5"/>
  </r>
  <r>
    <n v="2509"/>
    <n v="18215"/>
    <x v="30"/>
    <x v="18"/>
    <s v="Medium"/>
    <n v="29"/>
    <n v="965.82"/>
    <n v="0.09"/>
    <s v="Regular Air"/>
    <n v="169.15"/>
    <n v="34.99"/>
    <n v="5.5"/>
    <x v="636"/>
    <x v="4"/>
    <x v="4"/>
    <x v="3"/>
    <x v="1"/>
    <x v="7"/>
    <x v="1255"/>
    <s v="Small Box"/>
    <n v="0.49"/>
    <d v="2010-09-20T00:00:00"/>
    <n v="0"/>
    <n v="0"/>
    <n v="1"/>
    <n v="1"/>
  </r>
  <r>
    <n v="2581"/>
    <n v="18598"/>
    <x v="338"/>
    <x v="3"/>
    <s v="Critical"/>
    <n v="24"/>
    <n v="349.65"/>
    <n v="0.1"/>
    <s v="Express Air"/>
    <n v="28.551500000000004"/>
    <n v="14.48"/>
    <n v="6.46"/>
    <x v="734"/>
    <x v="4"/>
    <x v="4"/>
    <x v="3"/>
    <x v="0"/>
    <x v="2"/>
    <x v="637"/>
    <s v="Small Box"/>
    <n v="0.38"/>
    <d v="2010-08-09T00:00:00"/>
    <n v="0"/>
    <n v="0"/>
    <n v="0.5"/>
    <n v="0.5"/>
  </r>
  <r>
    <n v="2582"/>
    <n v="18598"/>
    <x v="338"/>
    <x v="3"/>
    <s v="Critical"/>
    <n v="46"/>
    <n v="4814.12"/>
    <n v="0.03"/>
    <s v="Regular Air"/>
    <n v="855.14"/>
    <n v="102.3"/>
    <n v="21.26"/>
    <x v="734"/>
    <x v="4"/>
    <x v="4"/>
    <x v="3"/>
    <x v="2"/>
    <x v="4"/>
    <x v="76"/>
    <s v="Large Box"/>
    <n v="0.59"/>
    <d v="2010-08-08T00:00:00"/>
    <n v="0"/>
    <n v="0"/>
    <n v="0.5"/>
    <n v="0.5"/>
  </r>
  <r>
    <n v="2664"/>
    <n v="19234"/>
    <x v="359"/>
    <x v="22"/>
    <s v="High"/>
    <n v="24"/>
    <n v="359.65"/>
    <n v="0.01"/>
    <s v="Regular Air"/>
    <n v="-11.15"/>
    <n v="14.42"/>
    <n v="6.75"/>
    <x v="447"/>
    <x v="4"/>
    <x v="4"/>
    <x v="2"/>
    <x v="0"/>
    <x v="1"/>
    <x v="793"/>
    <s v="Medium Box"/>
    <n v="0.52"/>
    <d v="2009-01-24T00:00:00"/>
    <n v="0"/>
    <n v="1"/>
    <n v="1"/>
    <n v="1"/>
  </r>
  <r>
    <n v="2701"/>
    <n v="19555"/>
    <x v="1030"/>
    <x v="6"/>
    <s v="Low"/>
    <n v="36"/>
    <n v="246.24"/>
    <n v="0.08"/>
    <s v="Regular Air"/>
    <n v="-118.9"/>
    <n v="6.68"/>
    <n v="7.3"/>
    <x v="733"/>
    <x v="4"/>
    <x v="4"/>
    <x v="0"/>
    <x v="0"/>
    <x v="5"/>
    <x v="962"/>
    <s v="Small Box"/>
    <n v="0.37"/>
    <d v="2010-02-15T00:00:00"/>
    <n v="0"/>
    <n v="0"/>
    <n v="0.5"/>
    <n v="0.5"/>
  </r>
  <r>
    <n v="2702"/>
    <n v="19555"/>
    <x v="1030"/>
    <x v="6"/>
    <s v="Low"/>
    <n v="8"/>
    <n v="78.67"/>
    <n v="0"/>
    <s v="Regular Air"/>
    <n v="14.1"/>
    <n v="9.11"/>
    <n v="2.15"/>
    <x v="733"/>
    <x v="4"/>
    <x v="4"/>
    <x v="0"/>
    <x v="0"/>
    <x v="5"/>
    <x v="1024"/>
    <s v="Wrap Bag"/>
    <n v="0.4"/>
    <d v="2010-02-18T00:00:00"/>
    <n v="0"/>
    <n v="0"/>
    <n v="0.5"/>
    <n v="0.5"/>
  </r>
  <r>
    <n v="2751"/>
    <n v="19843"/>
    <x v="144"/>
    <x v="42"/>
    <s v="Medium"/>
    <n v="33"/>
    <n v="4416.6509999999998"/>
    <n v="0.02"/>
    <s v="Regular Air"/>
    <n v="1020.4109999999999"/>
    <n v="155.99"/>
    <n v="8.99"/>
    <x v="636"/>
    <x v="4"/>
    <x v="4"/>
    <x v="3"/>
    <x v="1"/>
    <x v="3"/>
    <x v="19"/>
    <s v="Small Box"/>
    <n v="0.57999999999999996"/>
    <d v="2010-07-29T00:00:00"/>
    <n v="0"/>
    <n v="0"/>
    <n v="1"/>
    <n v="0.33333333333333331"/>
  </r>
  <r>
    <n v="2862"/>
    <n v="20646"/>
    <x v="791"/>
    <x v="5"/>
    <s v="Medium"/>
    <n v="41"/>
    <n v="1204.0844999999999"/>
    <n v="0.04"/>
    <s v="Regular Air"/>
    <n v="341.95499999999998"/>
    <n v="35.99"/>
    <n v="1.1000000000000001"/>
    <x v="737"/>
    <x v="4"/>
    <x v="4"/>
    <x v="2"/>
    <x v="1"/>
    <x v="3"/>
    <x v="828"/>
    <s v="Small Box"/>
    <n v="0.55000000000000004"/>
    <d v="2011-04-01T00:00:00"/>
    <n v="0"/>
    <n v="0"/>
    <n v="1"/>
    <n v="1"/>
  </r>
  <r>
    <n v="2928"/>
    <n v="21222"/>
    <x v="1401"/>
    <x v="40"/>
    <s v="Not Specified"/>
    <n v="36"/>
    <n v="181.39"/>
    <n v="0.1"/>
    <s v="Regular Air"/>
    <n v="-32.4"/>
    <n v="5.08"/>
    <n v="3.63"/>
    <x v="733"/>
    <x v="4"/>
    <x v="4"/>
    <x v="3"/>
    <x v="2"/>
    <x v="4"/>
    <x v="727"/>
    <s v="Wrap Bag"/>
    <n v="0.51"/>
    <d v="2009-02-05T00:00:00"/>
    <n v="0"/>
    <n v="0"/>
    <n v="0.5"/>
    <n v="0.5"/>
  </r>
  <r>
    <n v="2929"/>
    <n v="21222"/>
    <x v="1401"/>
    <x v="40"/>
    <s v="Not Specified"/>
    <n v="26"/>
    <n v="846.08150000000001"/>
    <n v="0.02"/>
    <s v="Regular Air"/>
    <n v="-120.934"/>
    <n v="35.99"/>
    <n v="5"/>
    <x v="733"/>
    <x v="4"/>
    <x v="4"/>
    <x v="3"/>
    <x v="1"/>
    <x v="3"/>
    <x v="643"/>
    <s v="Small Box"/>
    <n v="0.85"/>
    <d v="2009-02-05T00:00:00"/>
    <n v="0"/>
    <n v="0"/>
    <n v="0.5"/>
    <n v="0.5"/>
  </r>
  <r>
    <n v="3166"/>
    <n v="22755"/>
    <x v="1170"/>
    <x v="28"/>
    <s v="Medium"/>
    <n v="35"/>
    <n v="187.84"/>
    <n v="0"/>
    <s v="Regular Air"/>
    <n v="-95.047499999999999"/>
    <n v="4.91"/>
    <n v="5.68"/>
    <x v="734"/>
    <x v="4"/>
    <x v="4"/>
    <x v="3"/>
    <x v="0"/>
    <x v="2"/>
    <x v="980"/>
    <s v="Small Box"/>
    <n v="0.36"/>
    <d v="2009-03-31T00:00:00"/>
    <n v="0"/>
    <n v="0"/>
    <n v="0.33333333333333331"/>
    <n v="0.33333333333333331"/>
  </r>
  <r>
    <n v="3167"/>
    <n v="22755"/>
    <x v="1170"/>
    <x v="28"/>
    <s v="Medium"/>
    <n v="45"/>
    <n v="240.6"/>
    <n v="0.04"/>
    <s v="Regular Air"/>
    <n v="3.4509999999999996"/>
    <n v="5.34"/>
    <n v="2.99"/>
    <x v="734"/>
    <x v="4"/>
    <x v="4"/>
    <x v="3"/>
    <x v="0"/>
    <x v="2"/>
    <x v="282"/>
    <s v="Small Box"/>
    <n v="0.38"/>
    <d v="2009-04-01T00:00:00"/>
    <n v="0"/>
    <n v="0"/>
    <n v="0.33333333333333331"/>
    <n v="0.33333333333333331"/>
  </r>
  <r>
    <n v="3168"/>
    <n v="22755"/>
    <x v="1170"/>
    <x v="28"/>
    <s v="Medium"/>
    <n v="5"/>
    <n v="236.87799999999999"/>
    <n v="0.06"/>
    <s v="Regular Air"/>
    <n v="-275.25299999999999"/>
    <n v="55.99"/>
    <n v="5"/>
    <x v="734"/>
    <x v="4"/>
    <x v="4"/>
    <x v="3"/>
    <x v="1"/>
    <x v="3"/>
    <x v="159"/>
    <s v="Small Pack"/>
    <n v="0.8"/>
    <d v="2009-04-01T00:00:00"/>
    <n v="0"/>
    <n v="0"/>
    <n v="0.33333333333333331"/>
    <n v="0.33333333333333331"/>
  </r>
  <r>
    <n v="3222"/>
    <n v="23136"/>
    <x v="167"/>
    <x v="35"/>
    <s v="Not Specified"/>
    <n v="41"/>
    <n v="9312.52"/>
    <n v="0.01"/>
    <s v="Regular Air"/>
    <n v="3039.37"/>
    <n v="218.08"/>
    <n v="18.059999999999999"/>
    <x v="740"/>
    <x v="4"/>
    <x v="4"/>
    <x v="0"/>
    <x v="2"/>
    <x v="14"/>
    <x v="86"/>
    <s v="Large Box"/>
    <n v="0.56999999999999995"/>
    <d v="2009-09-26T00:00:00"/>
    <n v="0"/>
    <n v="0"/>
    <n v="0.5"/>
    <n v="0.5"/>
  </r>
  <r>
    <n v="3223"/>
    <n v="23136"/>
    <x v="167"/>
    <x v="35"/>
    <s v="Not Specified"/>
    <n v="43"/>
    <n v="220.47"/>
    <n v="0.04"/>
    <s v="Regular Air"/>
    <n v="-135.16"/>
    <n v="4.9800000000000004"/>
    <n v="4.62"/>
    <x v="740"/>
    <x v="4"/>
    <x v="4"/>
    <x v="0"/>
    <x v="1"/>
    <x v="7"/>
    <x v="278"/>
    <s v="Small Pack"/>
    <n v="0.64"/>
    <d v="2009-09-26T00:00:00"/>
    <n v="0"/>
    <n v="0"/>
    <n v="0.5"/>
    <n v="0.5"/>
  </r>
  <r>
    <n v="3316"/>
    <n v="23685"/>
    <x v="151"/>
    <x v="8"/>
    <s v="Not Specified"/>
    <n v="46"/>
    <n v="7928.561999999999"/>
    <n v="0.08"/>
    <s v="Regular Air"/>
    <n v="2229.48"/>
    <n v="205.99"/>
    <n v="5"/>
    <x v="447"/>
    <x v="4"/>
    <x v="4"/>
    <x v="2"/>
    <x v="1"/>
    <x v="3"/>
    <x v="963"/>
    <s v="Small Box"/>
    <n v="0.59"/>
    <d v="2012-06-30T00:00:00"/>
    <n v="0"/>
    <n v="0"/>
    <n v="1"/>
    <n v="1"/>
  </r>
  <r>
    <n v="3319"/>
    <n v="23745"/>
    <x v="1402"/>
    <x v="45"/>
    <s v="Low"/>
    <n v="12"/>
    <n v="715.8"/>
    <n v="0.06"/>
    <s v="Regular Air"/>
    <n v="-279.12"/>
    <n v="55.5"/>
    <n v="52.2"/>
    <x v="725"/>
    <x v="4"/>
    <x v="4"/>
    <x v="2"/>
    <x v="2"/>
    <x v="4"/>
    <x v="298"/>
    <s v="Medium Box"/>
    <n v="0.72"/>
    <d v="2012-12-05T00:00:00"/>
    <n v="0"/>
    <n v="0"/>
    <n v="0.5"/>
    <n v="0.5"/>
  </r>
  <r>
    <n v="3320"/>
    <n v="23745"/>
    <x v="1402"/>
    <x v="45"/>
    <s v="Low"/>
    <n v="47"/>
    <n v="10941.23"/>
    <n v="0"/>
    <s v="Delivery Truck"/>
    <n v="1687.07"/>
    <n v="227.55"/>
    <n v="32.479999999999997"/>
    <x v="725"/>
    <x v="4"/>
    <x v="4"/>
    <x v="2"/>
    <x v="2"/>
    <x v="10"/>
    <x v="1110"/>
    <s v="Jumbo Box"/>
    <n v="0.68"/>
    <d v="2012-12-09T00:00:00"/>
    <n v="0"/>
    <n v="0"/>
    <n v="0.5"/>
    <n v="0.5"/>
  </r>
  <r>
    <n v="3585"/>
    <n v="25571"/>
    <x v="554"/>
    <x v="9"/>
    <s v="Critical"/>
    <n v="42"/>
    <n v="3749"/>
    <n v="0.08"/>
    <s v="Regular Air"/>
    <n v="-1032.1300000000001"/>
    <n v="89.83"/>
    <n v="35"/>
    <x v="147"/>
    <x v="4"/>
    <x v="4"/>
    <x v="1"/>
    <x v="0"/>
    <x v="0"/>
    <x v="1174"/>
    <s v="Large Box"/>
    <n v="0.83"/>
    <d v="2012-08-20T00:00:00"/>
    <n v="0"/>
    <n v="0"/>
    <n v="1"/>
    <n v="1"/>
  </r>
  <r>
    <n v="3645"/>
    <n v="26053"/>
    <x v="757"/>
    <x v="23"/>
    <s v="Low"/>
    <n v="48"/>
    <n v="878.75"/>
    <n v="7.0000000000000007E-2"/>
    <s v="Express Air"/>
    <n v="70.459999999999994"/>
    <n v="18.97"/>
    <n v="9.0299999999999994"/>
    <x v="447"/>
    <x v="4"/>
    <x v="4"/>
    <x v="2"/>
    <x v="0"/>
    <x v="5"/>
    <x v="40"/>
    <s v="Small Box"/>
    <n v="0.37"/>
    <d v="2012-01-24T00:00:00"/>
    <n v="0"/>
    <n v="0"/>
    <n v="1"/>
    <n v="1"/>
  </r>
  <r>
    <n v="3670"/>
    <n v="26277"/>
    <x v="1335"/>
    <x v="4"/>
    <s v="Medium"/>
    <n v="17"/>
    <n v="877.81"/>
    <n v="0.02"/>
    <s v="Regular Air"/>
    <n v="-44.4"/>
    <n v="49.99"/>
    <n v="19.989999999999998"/>
    <x v="736"/>
    <x v="4"/>
    <x v="4"/>
    <x v="2"/>
    <x v="1"/>
    <x v="7"/>
    <x v="1137"/>
    <s v="Small Box"/>
    <n v="0.45"/>
    <d v="2011-06-28T00:00:00"/>
    <n v="0"/>
    <n v="0"/>
    <n v="1"/>
    <n v="1"/>
  </r>
  <r>
    <n v="3692"/>
    <n v="26374"/>
    <x v="449"/>
    <x v="11"/>
    <s v="Not Specified"/>
    <n v="5"/>
    <n v="90.941499999999991"/>
    <n v="0.05"/>
    <s v="Regular Air"/>
    <n v="-109.417"/>
    <n v="20.99"/>
    <n v="3.3"/>
    <x v="736"/>
    <x v="4"/>
    <x v="4"/>
    <x v="2"/>
    <x v="1"/>
    <x v="3"/>
    <x v="180"/>
    <s v="Small Pack"/>
    <n v="0.81"/>
    <d v="2009-11-06T00:00:00"/>
    <n v="0"/>
    <n v="0"/>
    <n v="1"/>
    <n v="1"/>
  </r>
  <r>
    <n v="3771"/>
    <n v="26944"/>
    <x v="1285"/>
    <x v="11"/>
    <s v="Critical"/>
    <n v="6"/>
    <n v="453.87"/>
    <n v="0.02"/>
    <s v="Regular Air"/>
    <n v="-217.69"/>
    <n v="73.98"/>
    <n v="14.52"/>
    <x v="234"/>
    <x v="4"/>
    <x v="4"/>
    <x v="3"/>
    <x v="1"/>
    <x v="7"/>
    <x v="640"/>
    <s v="Small Box"/>
    <n v="0.65"/>
    <d v="2009-11-10T00:00:00"/>
    <n v="0"/>
    <n v="0"/>
    <n v="1"/>
    <n v="1"/>
  </r>
  <r>
    <n v="3791"/>
    <n v="27013"/>
    <x v="1372"/>
    <x v="36"/>
    <s v="Low"/>
    <n v="28"/>
    <n v="2232.15"/>
    <n v="0.05"/>
    <s v="Regular Air"/>
    <n v="-746.44"/>
    <n v="80.98"/>
    <n v="35"/>
    <x v="734"/>
    <x v="4"/>
    <x v="4"/>
    <x v="3"/>
    <x v="0"/>
    <x v="0"/>
    <x v="73"/>
    <s v="Large Box"/>
    <n v="0.81"/>
    <d v="2009-07-09T00:00:00"/>
    <n v="0"/>
    <n v="0"/>
    <n v="0.5"/>
    <n v="0.5"/>
  </r>
  <r>
    <n v="3792"/>
    <n v="27013"/>
    <x v="1372"/>
    <x v="36"/>
    <s v="Low"/>
    <n v="26"/>
    <n v="7007.19"/>
    <n v="0.05"/>
    <s v="Regular Air"/>
    <n v="-274.95"/>
    <n v="279.48"/>
    <n v="35"/>
    <x v="734"/>
    <x v="4"/>
    <x v="4"/>
    <x v="3"/>
    <x v="0"/>
    <x v="0"/>
    <x v="80"/>
    <s v="Large Box"/>
    <n v="0.8"/>
    <d v="2009-07-05T00:00:00"/>
    <n v="0"/>
    <n v="0"/>
    <n v="0.5"/>
    <n v="0.5"/>
  </r>
  <r>
    <n v="3913"/>
    <n v="27904"/>
    <x v="1235"/>
    <x v="31"/>
    <s v="High"/>
    <n v="8"/>
    <n v="460.58949999999999"/>
    <n v="0.02"/>
    <s v="Regular Air"/>
    <n v="-171.20399999999998"/>
    <n v="65.989999999999995"/>
    <n v="8.99"/>
    <x v="103"/>
    <x v="4"/>
    <x v="4"/>
    <x v="1"/>
    <x v="1"/>
    <x v="3"/>
    <x v="403"/>
    <s v="Small Box"/>
    <n v="0.56000000000000005"/>
    <d v="2011-09-04T00:00:00"/>
    <n v="0"/>
    <n v="0"/>
    <n v="1"/>
    <n v="1"/>
  </r>
  <r>
    <n v="3925"/>
    <n v="27974"/>
    <x v="206"/>
    <x v="0"/>
    <s v="High"/>
    <n v="31"/>
    <n v="813.41"/>
    <n v="0.09"/>
    <s v="Express Air"/>
    <n v="284.64999999999998"/>
    <n v="28.48"/>
    <n v="1.99"/>
    <x v="531"/>
    <x v="4"/>
    <x v="4"/>
    <x v="3"/>
    <x v="1"/>
    <x v="7"/>
    <x v="395"/>
    <s v="Small Pack"/>
    <n v="0.4"/>
    <d v="2010-10-09T00:00:00"/>
    <n v="0"/>
    <n v="0"/>
    <n v="0.33333333333333331"/>
    <n v="0.33333333333333331"/>
  </r>
  <r>
    <n v="4192"/>
    <n v="29767"/>
    <x v="735"/>
    <x v="44"/>
    <s v="High"/>
    <n v="48"/>
    <n v="4153.0600000000004"/>
    <n v="0.06"/>
    <s v="Regular Air"/>
    <n v="1499.41"/>
    <n v="90.24"/>
    <n v="0.99"/>
    <x v="234"/>
    <x v="4"/>
    <x v="4"/>
    <x v="3"/>
    <x v="0"/>
    <x v="1"/>
    <x v="1155"/>
    <s v="Small Box"/>
    <n v="0.56000000000000005"/>
    <d v="2011-02-06T00:00:00"/>
    <n v="0"/>
    <n v="0"/>
    <n v="1"/>
    <n v="1"/>
  </r>
  <r>
    <n v="4196"/>
    <n v="29826"/>
    <x v="414"/>
    <x v="35"/>
    <s v="Critical"/>
    <n v="9"/>
    <n v="157.63"/>
    <n v="0.06"/>
    <s v="Regular Air"/>
    <n v="-78.13"/>
    <n v="17.98"/>
    <n v="4"/>
    <x v="147"/>
    <x v="4"/>
    <x v="4"/>
    <x v="1"/>
    <x v="1"/>
    <x v="7"/>
    <x v="661"/>
    <s v="Small Box"/>
    <n v="0.79"/>
    <d v="2009-09-25T00:00:00"/>
    <n v="0"/>
    <n v="0"/>
    <n v="1"/>
    <n v="1"/>
  </r>
  <r>
    <n v="4290"/>
    <n v="30566"/>
    <x v="867"/>
    <x v="2"/>
    <s v="Low"/>
    <n v="34"/>
    <n v="225.45"/>
    <n v="0.02"/>
    <s v="Regular Air"/>
    <n v="-193.39"/>
    <n v="6.48"/>
    <n v="9.5399999999999991"/>
    <x v="740"/>
    <x v="4"/>
    <x v="4"/>
    <x v="0"/>
    <x v="0"/>
    <x v="5"/>
    <x v="390"/>
    <s v="Small Box"/>
    <n v="0.37"/>
    <d v="2011-07-03T00:00:00"/>
    <n v="0"/>
    <n v="0"/>
    <n v="1"/>
    <n v="1"/>
  </r>
  <r>
    <n v="4329"/>
    <n v="30852"/>
    <x v="1046"/>
    <x v="43"/>
    <s v="Critical"/>
    <n v="35"/>
    <n v="2827.1424999999999"/>
    <n v="0.01"/>
    <s v="Regular Air"/>
    <n v="713.88"/>
    <n v="95.99"/>
    <n v="4.9000000000000004"/>
    <x v="735"/>
    <x v="4"/>
    <x v="4"/>
    <x v="2"/>
    <x v="1"/>
    <x v="3"/>
    <x v="936"/>
    <s v="Small Box"/>
    <n v="0.56000000000000005"/>
    <d v="2009-05-15T00:00:00"/>
    <n v="0"/>
    <n v="0"/>
    <n v="1"/>
    <n v="1"/>
  </r>
  <r>
    <n v="4379"/>
    <n v="31204"/>
    <x v="522"/>
    <x v="3"/>
    <s v="Low"/>
    <n v="14"/>
    <n v="215.52"/>
    <n v="0.02"/>
    <s v="Regular Air"/>
    <n v="75.83"/>
    <n v="14.34"/>
    <n v="5"/>
    <x v="124"/>
    <x v="4"/>
    <x v="4"/>
    <x v="0"/>
    <x v="2"/>
    <x v="4"/>
    <x v="551"/>
    <s v="Small Pack"/>
    <n v="0.49"/>
    <d v="2010-08-26T00:00:00"/>
    <n v="0"/>
    <n v="0"/>
    <n v="0.5"/>
    <n v="0.5"/>
  </r>
  <r>
    <n v="4380"/>
    <n v="31204"/>
    <x v="522"/>
    <x v="3"/>
    <s v="Low"/>
    <n v="8"/>
    <n v="10.46"/>
    <n v="0"/>
    <s v="Regular Air"/>
    <n v="-0.89"/>
    <n v="1.1399999999999999"/>
    <n v="0.7"/>
    <x v="124"/>
    <x v="4"/>
    <x v="4"/>
    <x v="0"/>
    <x v="0"/>
    <x v="6"/>
    <x v="1129"/>
    <s v="Wrap Bag"/>
    <n v="0.38"/>
    <d v="2010-08-21T00:00:00"/>
    <n v="0"/>
    <n v="0"/>
    <n v="0.5"/>
    <n v="0.5"/>
  </r>
  <r>
    <n v="4567"/>
    <n v="32513"/>
    <x v="947"/>
    <x v="12"/>
    <s v="Low"/>
    <n v="23"/>
    <n v="3982.21"/>
    <n v="0.03"/>
    <s v="Regular Air"/>
    <n v="1413.941"/>
    <n v="165.98"/>
    <n v="19.989999999999998"/>
    <x v="735"/>
    <x v="4"/>
    <x v="4"/>
    <x v="2"/>
    <x v="0"/>
    <x v="2"/>
    <x v="408"/>
    <s v="Small Box"/>
    <n v="0.4"/>
    <d v="2012-02-07T00:00:00"/>
    <n v="0"/>
    <n v="0"/>
    <n v="0.5"/>
    <n v="0.5"/>
  </r>
  <r>
    <n v="4568"/>
    <n v="32513"/>
    <x v="947"/>
    <x v="12"/>
    <s v="Low"/>
    <n v="40"/>
    <n v="66.55"/>
    <n v="0.01"/>
    <s v="Regular Air"/>
    <n v="-15.13"/>
    <n v="1.6"/>
    <n v="1.29"/>
    <x v="735"/>
    <x v="4"/>
    <x v="4"/>
    <x v="2"/>
    <x v="0"/>
    <x v="12"/>
    <x v="1206"/>
    <s v="Wrap Bag"/>
    <n v="0.42"/>
    <d v="2012-02-07T00:00:00"/>
    <n v="0"/>
    <n v="0"/>
    <n v="0.5"/>
    <n v="0.5"/>
  </r>
  <r>
    <n v="4589"/>
    <n v="32641"/>
    <x v="917"/>
    <x v="14"/>
    <s v="High"/>
    <n v="18"/>
    <n v="167.53"/>
    <n v="0.05"/>
    <s v="Regular Air"/>
    <n v="-9.5679999999999996"/>
    <n v="8.85"/>
    <n v="5.6"/>
    <x v="734"/>
    <x v="4"/>
    <x v="4"/>
    <x v="3"/>
    <x v="0"/>
    <x v="2"/>
    <x v="182"/>
    <s v="Small Box"/>
    <n v="0.36"/>
    <d v="2010-03-22T00:00:00"/>
    <n v="0"/>
    <n v="0"/>
    <n v="1"/>
    <n v="1"/>
  </r>
  <r>
    <n v="4741"/>
    <n v="33729"/>
    <x v="73"/>
    <x v="34"/>
    <s v="Not Specified"/>
    <n v="26"/>
    <n v="6995.56"/>
    <n v="7.0000000000000007E-2"/>
    <s v="Regular Air"/>
    <n v="-286.58"/>
    <n v="279.48"/>
    <n v="35"/>
    <x v="739"/>
    <x v="4"/>
    <x v="4"/>
    <x v="0"/>
    <x v="0"/>
    <x v="0"/>
    <x v="80"/>
    <s v="Large Box"/>
    <n v="0.8"/>
    <d v="2012-09-20T00:00:00"/>
    <n v="0"/>
    <n v="0"/>
    <n v="1"/>
    <n v="1"/>
  </r>
  <r>
    <n v="4796"/>
    <n v="34083"/>
    <x v="888"/>
    <x v="12"/>
    <s v="Not Specified"/>
    <n v="29"/>
    <n v="1415.1480000000001"/>
    <n v="0.02"/>
    <s v="Express Air"/>
    <n v="-64.944000000000003"/>
    <n v="55.99"/>
    <n v="5"/>
    <x v="740"/>
    <x v="4"/>
    <x v="4"/>
    <x v="0"/>
    <x v="1"/>
    <x v="3"/>
    <x v="159"/>
    <s v="Small Pack"/>
    <n v="0.8"/>
    <d v="2012-02-05T00:00:00"/>
    <n v="0"/>
    <n v="0"/>
    <n v="1"/>
    <n v="1"/>
  </r>
  <r>
    <n v="4824"/>
    <n v="34275"/>
    <x v="370"/>
    <x v="36"/>
    <s v="Low"/>
    <n v="3"/>
    <n v="6041.01"/>
    <n v="0.04"/>
    <s v="Delivery Truck"/>
    <n v="-4793.0039999999999"/>
    <n v="2036.48"/>
    <n v="14.7"/>
    <x v="738"/>
    <x v="4"/>
    <x v="4"/>
    <x v="0"/>
    <x v="1"/>
    <x v="16"/>
    <x v="1235"/>
    <s v="Jumbo Drum"/>
    <n v="0.55000000000000004"/>
    <d v="2009-07-06T00:00:00"/>
    <n v="0"/>
    <n v="0"/>
    <n v="0.5"/>
    <n v="1"/>
  </r>
  <r>
    <n v="4854"/>
    <n v="34532"/>
    <x v="458"/>
    <x v="45"/>
    <s v="Low"/>
    <n v="41"/>
    <n v="1234.3599999999999"/>
    <n v="0.04"/>
    <s v="Express Air"/>
    <n v="-84.77"/>
    <n v="30.98"/>
    <n v="19.510000000000002"/>
    <x v="733"/>
    <x v="4"/>
    <x v="4"/>
    <x v="0"/>
    <x v="0"/>
    <x v="8"/>
    <x v="1061"/>
    <s v="Small Box"/>
    <n v="0.36"/>
    <d v="2012-12-18T00:00:00"/>
    <n v="0"/>
    <n v="0"/>
    <n v="1"/>
    <n v="1"/>
  </r>
  <r>
    <n v="4942"/>
    <n v="35139"/>
    <x v="528"/>
    <x v="38"/>
    <s v="High"/>
    <n v="3"/>
    <n v="10380.34"/>
    <n v="0.05"/>
    <s v="Delivery Truck"/>
    <n v="-8389.4709000000003"/>
    <n v="3502.14"/>
    <n v="8.73"/>
    <x v="737"/>
    <x v="4"/>
    <x v="4"/>
    <x v="3"/>
    <x v="1"/>
    <x v="16"/>
    <x v="1248"/>
    <s v="Jumbo Box"/>
    <n v="0.56999999999999995"/>
    <d v="2010-01-19T00:00:00"/>
    <n v="1"/>
    <n v="0"/>
    <n v="0.25"/>
    <n v="0.2"/>
  </r>
  <r>
    <n v="4943"/>
    <n v="35139"/>
    <x v="528"/>
    <x v="38"/>
    <s v="High"/>
    <n v="25"/>
    <n v="854.9"/>
    <n v="0.05"/>
    <s v="Regular Air"/>
    <n v="76.87"/>
    <n v="34.58"/>
    <n v="8.99"/>
    <x v="737"/>
    <x v="4"/>
    <x v="4"/>
    <x v="3"/>
    <x v="0"/>
    <x v="12"/>
    <x v="555"/>
    <s v="Small Pack"/>
    <n v="0.56000000000000005"/>
    <d v="2010-01-20T00:00:00"/>
    <n v="1"/>
    <n v="0"/>
    <n v="0.25"/>
    <n v="0.2"/>
  </r>
  <r>
    <n v="4944"/>
    <n v="35139"/>
    <x v="528"/>
    <x v="38"/>
    <s v="High"/>
    <n v="32"/>
    <n v="389.98"/>
    <n v="7.0000000000000007E-2"/>
    <s v="Regular Air"/>
    <n v="-14.98"/>
    <n v="12.21"/>
    <n v="4.8099999999999996"/>
    <x v="737"/>
    <x v="4"/>
    <x v="4"/>
    <x v="3"/>
    <x v="0"/>
    <x v="0"/>
    <x v="272"/>
    <s v="Small Box"/>
    <n v="0.57999999999999996"/>
    <d v="2010-01-20T00:00:00"/>
    <n v="1"/>
    <n v="0"/>
    <n v="0.25"/>
    <n v="0.2"/>
  </r>
  <r>
    <n v="4952"/>
    <n v="35239"/>
    <x v="39"/>
    <x v="27"/>
    <s v="Critical"/>
    <n v="21"/>
    <n v="109.29"/>
    <n v="0.08"/>
    <s v="Regular Air"/>
    <n v="-77.08"/>
    <n v="5.28"/>
    <n v="6.26"/>
    <x v="740"/>
    <x v="4"/>
    <x v="4"/>
    <x v="0"/>
    <x v="0"/>
    <x v="5"/>
    <x v="438"/>
    <s v="Small Box"/>
    <n v="0.4"/>
    <d v="2011-11-13T00:00:00"/>
    <n v="0"/>
    <n v="0"/>
    <n v="0.5"/>
    <n v="0.5"/>
  </r>
  <r>
    <n v="4953"/>
    <n v="35239"/>
    <x v="39"/>
    <x v="27"/>
    <s v="Critical"/>
    <n v="38"/>
    <n v="2257.88"/>
    <n v="0.01"/>
    <s v="Regular Air"/>
    <n v="474.98"/>
    <n v="59.76"/>
    <n v="9.7100000000000009"/>
    <x v="740"/>
    <x v="4"/>
    <x v="4"/>
    <x v="0"/>
    <x v="0"/>
    <x v="0"/>
    <x v="1102"/>
    <s v="Small Box"/>
    <n v="0.56999999999999995"/>
    <d v="2011-11-14T00:00:00"/>
    <n v="0"/>
    <n v="0"/>
    <n v="0.5"/>
    <n v="0.5"/>
  </r>
  <r>
    <n v="5032"/>
    <n v="35875"/>
    <x v="751"/>
    <x v="4"/>
    <s v="High"/>
    <n v="31"/>
    <n v="348.92"/>
    <n v="0.06"/>
    <s v="Regular Air"/>
    <n v="28.47"/>
    <n v="10.98"/>
    <n v="3.37"/>
    <x v="447"/>
    <x v="4"/>
    <x v="4"/>
    <x v="2"/>
    <x v="0"/>
    <x v="15"/>
    <x v="340"/>
    <s v="Small Pack"/>
    <n v="0.56999999999999995"/>
    <d v="2011-06-14T00:00:00"/>
    <n v="0"/>
    <n v="0"/>
    <n v="1"/>
    <n v="0.33333333333333331"/>
  </r>
  <r>
    <n v="5217"/>
    <n v="37125"/>
    <x v="169"/>
    <x v="38"/>
    <s v="High"/>
    <n v="46"/>
    <n v="72.180000000000007"/>
    <n v="0"/>
    <s v="Regular Air"/>
    <n v="11.83"/>
    <n v="1.48"/>
    <n v="0.7"/>
    <x v="429"/>
    <x v="4"/>
    <x v="4"/>
    <x v="1"/>
    <x v="0"/>
    <x v="6"/>
    <x v="476"/>
    <s v="Wrap Bag"/>
    <n v="0.37"/>
    <d v="2010-01-15T00:00:00"/>
    <n v="1"/>
    <n v="0"/>
    <n v="1"/>
    <n v="1"/>
  </r>
  <r>
    <n v="5222"/>
    <n v="37158"/>
    <x v="303"/>
    <x v="34"/>
    <s v="Low"/>
    <n v="25"/>
    <n v="172.04"/>
    <n v="0.05"/>
    <s v="Regular Air"/>
    <n v="-85.11"/>
    <n v="6.48"/>
    <n v="7.37"/>
    <x v="103"/>
    <x v="4"/>
    <x v="4"/>
    <x v="1"/>
    <x v="0"/>
    <x v="5"/>
    <x v="673"/>
    <s v="Small Box"/>
    <n v="0.37"/>
    <d v="2012-09-27T00:00:00"/>
    <n v="0"/>
    <n v="0"/>
    <n v="1"/>
    <n v="1"/>
  </r>
  <r>
    <n v="5252"/>
    <n v="37380"/>
    <x v="1303"/>
    <x v="37"/>
    <s v="Critical"/>
    <n v="29"/>
    <n v="737.38"/>
    <n v="0.08"/>
    <s v="Regular Air"/>
    <n v="90.04"/>
    <n v="26.64"/>
    <n v="5.3"/>
    <x v="734"/>
    <x v="4"/>
    <x v="4"/>
    <x v="3"/>
    <x v="2"/>
    <x v="14"/>
    <x v="1005"/>
    <s v="Medium Box"/>
    <m/>
    <d v="2011-04-02T00:00:00"/>
    <n v="0"/>
    <n v="0"/>
    <n v="0.33333333333333331"/>
    <n v="0.25"/>
  </r>
  <r>
    <n v="5253"/>
    <n v="37380"/>
    <x v="1303"/>
    <x v="37"/>
    <s v="Critical"/>
    <n v="47"/>
    <n v="507.18"/>
    <n v="0"/>
    <s v="Regular Air"/>
    <n v="74.73"/>
    <n v="9.99"/>
    <n v="4.78"/>
    <x v="734"/>
    <x v="4"/>
    <x v="4"/>
    <x v="3"/>
    <x v="0"/>
    <x v="5"/>
    <x v="756"/>
    <s v="Small Box"/>
    <n v="0.4"/>
    <d v="2011-04-02T00:00:00"/>
    <n v="0"/>
    <n v="0"/>
    <n v="0.33333333333333331"/>
    <n v="0.25"/>
  </r>
  <r>
    <n v="5254"/>
    <n v="37380"/>
    <x v="1303"/>
    <x v="37"/>
    <s v="Critical"/>
    <n v="42"/>
    <n v="151.19"/>
    <n v="7.0000000000000007E-2"/>
    <s v="Regular Air"/>
    <n v="27.37"/>
    <n v="3.55"/>
    <n v="1.43"/>
    <x v="734"/>
    <x v="4"/>
    <x v="4"/>
    <x v="3"/>
    <x v="0"/>
    <x v="6"/>
    <x v="1239"/>
    <s v="Wrap Bag"/>
    <n v="0.38"/>
    <d v="2011-04-02T00:00:00"/>
    <n v="0"/>
    <n v="0"/>
    <n v="0.33333333333333331"/>
    <n v="0.25"/>
  </r>
  <r>
    <n v="5264"/>
    <n v="37445"/>
    <x v="1213"/>
    <x v="12"/>
    <s v="High"/>
    <n v="37"/>
    <n v="2180.23"/>
    <n v="0.05"/>
    <s v="Regular Air"/>
    <n v="660.25"/>
    <n v="60.22"/>
    <n v="3.5"/>
    <x v="103"/>
    <x v="4"/>
    <x v="4"/>
    <x v="2"/>
    <x v="0"/>
    <x v="1"/>
    <x v="477"/>
    <s v="Small Box"/>
    <n v="0.56999999999999995"/>
    <d v="2012-02-19T00:00:00"/>
    <n v="0"/>
    <n v="0"/>
    <n v="1"/>
    <n v="1"/>
  </r>
  <r>
    <n v="5373"/>
    <n v="38212"/>
    <x v="1403"/>
    <x v="37"/>
    <s v="Medium"/>
    <n v="24"/>
    <n v="123.75"/>
    <n v="0.09"/>
    <s v="Express Air"/>
    <n v="55.42"/>
    <n v="4.9800000000000004"/>
    <n v="0.49"/>
    <x v="234"/>
    <x v="4"/>
    <x v="4"/>
    <x v="3"/>
    <x v="0"/>
    <x v="11"/>
    <x v="651"/>
    <s v="Small Box"/>
    <n v="0.39"/>
    <d v="2011-04-05T00:00:00"/>
    <n v="0"/>
    <n v="0"/>
    <n v="0.33333333333333331"/>
    <n v="0.33333333333333331"/>
  </r>
  <r>
    <n v="5374"/>
    <n v="38212"/>
    <x v="1403"/>
    <x v="37"/>
    <s v="Medium"/>
    <n v="46"/>
    <n v="3533.97"/>
    <n v="7.0000000000000007E-2"/>
    <s v="Regular Air"/>
    <n v="-1329.81"/>
    <n v="80.98"/>
    <n v="35"/>
    <x v="234"/>
    <x v="4"/>
    <x v="4"/>
    <x v="3"/>
    <x v="0"/>
    <x v="0"/>
    <x v="798"/>
    <s v="Large Box"/>
    <n v="0.83"/>
    <d v="2011-04-06T00:00:00"/>
    <n v="0"/>
    <n v="0"/>
    <n v="0.33333333333333331"/>
    <n v="0.33333333333333331"/>
  </r>
  <r>
    <n v="5375"/>
    <n v="38212"/>
    <x v="1403"/>
    <x v="37"/>
    <s v="Medium"/>
    <n v="38"/>
    <n v="3821.4045000000001"/>
    <n v="0"/>
    <s v="Regular Air"/>
    <n v="1256.9670000000001"/>
    <n v="115.99"/>
    <n v="2.5"/>
    <x v="234"/>
    <x v="4"/>
    <x v="4"/>
    <x v="3"/>
    <x v="1"/>
    <x v="3"/>
    <x v="1154"/>
    <s v="Small Box"/>
    <n v="0.55000000000000004"/>
    <d v="2011-04-06T00:00:00"/>
    <n v="0"/>
    <n v="0"/>
    <n v="0.33333333333333331"/>
    <n v="0.33333333333333331"/>
  </r>
  <r>
    <n v="5378"/>
    <n v="38240"/>
    <x v="354"/>
    <x v="47"/>
    <s v="High"/>
    <n v="42"/>
    <n v="1651.07"/>
    <n v="0.09"/>
    <s v="Regular Air"/>
    <n v="-100.49"/>
    <n v="40.98"/>
    <n v="6.5"/>
    <x v="196"/>
    <x v="4"/>
    <x v="4"/>
    <x v="1"/>
    <x v="1"/>
    <x v="7"/>
    <x v="850"/>
    <s v="Small Box"/>
    <n v="0.74"/>
    <d v="2009-12-21T00:00:00"/>
    <n v="0"/>
    <n v="0"/>
    <n v="0.5"/>
    <n v="0.33333333333333331"/>
  </r>
  <r>
    <n v="5447"/>
    <n v="38661"/>
    <x v="674"/>
    <x v="12"/>
    <s v="High"/>
    <n v="48"/>
    <n v="326.10000000000002"/>
    <n v="0.04"/>
    <s v="Regular Air"/>
    <n v="-118.74"/>
    <n v="6.48"/>
    <n v="6.6"/>
    <x v="725"/>
    <x v="4"/>
    <x v="4"/>
    <x v="2"/>
    <x v="0"/>
    <x v="5"/>
    <x v="226"/>
    <s v="Small Box"/>
    <n v="0.37"/>
    <d v="2012-02-13T00:00:00"/>
    <n v="0"/>
    <n v="0"/>
    <n v="0.5"/>
    <n v="0.5"/>
  </r>
  <r>
    <n v="5448"/>
    <n v="38661"/>
    <x v="674"/>
    <x v="12"/>
    <s v="High"/>
    <n v="6"/>
    <n v="170.374"/>
    <n v="0.09"/>
    <s v="Regular Air"/>
    <n v="-67.132999999999996"/>
    <n v="35.99"/>
    <n v="0.99"/>
    <x v="725"/>
    <x v="4"/>
    <x v="4"/>
    <x v="2"/>
    <x v="1"/>
    <x v="3"/>
    <x v="312"/>
    <s v="Small Pack"/>
    <n v="0.35"/>
    <d v="2012-02-15T00:00:00"/>
    <n v="0"/>
    <n v="0"/>
    <n v="0.5"/>
    <n v="0.5"/>
  </r>
  <r>
    <n v="5516"/>
    <n v="39110"/>
    <x v="476"/>
    <x v="6"/>
    <s v="Medium"/>
    <n v="14"/>
    <n v="2595.0700000000002"/>
    <n v="0.1"/>
    <s v="Regular Air"/>
    <n v="1217.19"/>
    <n v="194.3"/>
    <n v="11.54"/>
    <x v="234"/>
    <x v="4"/>
    <x v="4"/>
    <x v="3"/>
    <x v="2"/>
    <x v="4"/>
    <x v="104"/>
    <s v="Large Box"/>
    <n v="0.59"/>
    <d v="2010-02-05T00:00:00"/>
    <n v="0"/>
    <n v="0"/>
    <n v="1"/>
    <n v="1"/>
  </r>
  <r>
    <n v="5537"/>
    <n v="39235"/>
    <x v="180"/>
    <x v="42"/>
    <s v="Medium"/>
    <n v="34"/>
    <n v="801.98"/>
    <n v="0"/>
    <s v="Regular Air"/>
    <n v="-99.95"/>
    <n v="21.66"/>
    <n v="13.99"/>
    <x v="737"/>
    <x v="4"/>
    <x v="4"/>
    <x v="2"/>
    <x v="0"/>
    <x v="1"/>
    <x v="116"/>
    <s v="Medium Box"/>
    <n v="0.52"/>
    <d v="2010-07-16T00:00:00"/>
    <n v="0"/>
    <n v="0"/>
    <n v="1"/>
    <n v="0.5"/>
  </r>
  <r>
    <n v="5548"/>
    <n v="39270"/>
    <x v="955"/>
    <x v="44"/>
    <s v="High"/>
    <n v="11"/>
    <n v="65.78"/>
    <n v="7.0000000000000007E-2"/>
    <s v="Regular Air"/>
    <n v="-17.420000000000002"/>
    <n v="5.81"/>
    <n v="3.37"/>
    <x v="738"/>
    <x v="4"/>
    <x v="4"/>
    <x v="3"/>
    <x v="0"/>
    <x v="6"/>
    <x v="622"/>
    <s v="Wrap Bag"/>
    <n v="0.54"/>
    <d v="2011-02-06T00:00:00"/>
    <n v="0"/>
    <n v="0"/>
    <n v="1"/>
    <n v="1"/>
  </r>
  <r>
    <n v="5582"/>
    <n v="39586"/>
    <x v="1029"/>
    <x v="10"/>
    <s v="Not Specified"/>
    <n v="1"/>
    <n v="10.48"/>
    <n v="0.04"/>
    <s v="Regular Air"/>
    <n v="-5.4395000000000007"/>
    <n v="3.52"/>
    <n v="6.83"/>
    <x v="737"/>
    <x v="4"/>
    <x v="4"/>
    <x v="2"/>
    <x v="0"/>
    <x v="2"/>
    <x v="489"/>
    <s v="Small Box"/>
    <n v="0.38"/>
    <d v="2011-05-21T00:00:00"/>
    <n v="0"/>
    <n v="0"/>
    <n v="1"/>
    <n v="1"/>
  </r>
  <r>
    <n v="5620"/>
    <n v="39812"/>
    <x v="313"/>
    <x v="41"/>
    <s v="Not Specified"/>
    <n v="40"/>
    <n v="323.63"/>
    <n v="0.05"/>
    <s v="Regular Air"/>
    <n v="-205.49349999999998"/>
    <n v="8.0399999999999991"/>
    <n v="8.94"/>
    <x v="738"/>
    <x v="4"/>
    <x v="4"/>
    <x v="3"/>
    <x v="0"/>
    <x v="2"/>
    <x v="401"/>
    <s v="Small Box"/>
    <n v="0.4"/>
    <d v="2009-06-22T00:00:00"/>
    <n v="0"/>
    <n v="0"/>
    <n v="1"/>
    <n v="1"/>
  </r>
  <r>
    <n v="5731"/>
    <n v="40673"/>
    <x v="223"/>
    <x v="12"/>
    <s v="Low"/>
    <n v="14"/>
    <n v="157.49"/>
    <n v="0.02"/>
    <s v="Regular Air"/>
    <n v="62.54"/>
    <n v="10.94"/>
    <n v="1.39"/>
    <x v="531"/>
    <x v="4"/>
    <x v="4"/>
    <x v="3"/>
    <x v="0"/>
    <x v="8"/>
    <x v="325"/>
    <s v="Small Box"/>
    <n v="0.35"/>
    <d v="2012-02-22T00:00:00"/>
    <n v="0"/>
    <n v="0"/>
    <n v="1"/>
    <n v="1"/>
  </r>
  <r>
    <n v="5837"/>
    <n v="41413"/>
    <x v="47"/>
    <x v="27"/>
    <s v="Low"/>
    <n v="17"/>
    <n v="10134.549999999999"/>
    <n v="0.08"/>
    <s v="Regular Air"/>
    <n v="-597.21"/>
    <n v="599.99"/>
    <n v="24.49"/>
    <x v="736"/>
    <x v="4"/>
    <x v="4"/>
    <x v="2"/>
    <x v="1"/>
    <x v="13"/>
    <x v="776"/>
    <s v="Large Box"/>
    <n v="0.37"/>
    <d v="2011-11-23T00:00:00"/>
    <n v="0"/>
    <n v="0"/>
    <n v="0.33333333333333331"/>
    <n v="0.33333333333333331"/>
  </r>
  <r>
    <n v="5838"/>
    <n v="41413"/>
    <x v="47"/>
    <x v="27"/>
    <s v="Low"/>
    <n v="46"/>
    <n v="1765.64"/>
    <n v="0.08"/>
    <s v="Regular Air"/>
    <n v="108.65"/>
    <n v="40.97"/>
    <n v="14.45"/>
    <x v="736"/>
    <x v="4"/>
    <x v="4"/>
    <x v="2"/>
    <x v="2"/>
    <x v="4"/>
    <x v="194"/>
    <s v="Large Box"/>
    <n v="0.56999999999999995"/>
    <d v="2011-11-18T00:00:00"/>
    <n v="0"/>
    <n v="0"/>
    <n v="0.33333333333333331"/>
    <n v="0.33333333333333331"/>
  </r>
  <r>
    <n v="5839"/>
    <n v="41413"/>
    <x v="47"/>
    <x v="27"/>
    <s v="Low"/>
    <n v="23"/>
    <n v="156.5"/>
    <n v="0.01"/>
    <s v="Regular Air"/>
    <n v="-49.6"/>
    <n v="6.48"/>
    <n v="6"/>
    <x v="736"/>
    <x v="4"/>
    <x v="4"/>
    <x v="2"/>
    <x v="0"/>
    <x v="5"/>
    <x v="1067"/>
    <s v="Small Box"/>
    <n v="0.37"/>
    <d v="2011-11-20T00:00:00"/>
    <n v="0"/>
    <n v="0"/>
    <n v="0.33333333333333331"/>
    <n v="0.33333333333333331"/>
  </r>
  <r>
    <n v="5895"/>
    <n v="41824"/>
    <x v="454"/>
    <x v="42"/>
    <s v="Not Specified"/>
    <n v="8"/>
    <n v="157.51"/>
    <n v="0.01"/>
    <s v="Regular Air"/>
    <n v="46.478000000000002"/>
    <n v="18.940000000000001"/>
    <n v="1.49"/>
    <x v="736"/>
    <x v="4"/>
    <x v="4"/>
    <x v="2"/>
    <x v="0"/>
    <x v="2"/>
    <x v="695"/>
    <s v="Small Box"/>
    <n v="0.35"/>
    <d v="2010-07-05T00:00:00"/>
    <n v="0"/>
    <n v="0"/>
    <n v="0.5"/>
    <n v="0.5"/>
  </r>
  <r>
    <n v="5896"/>
    <n v="41824"/>
    <x v="454"/>
    <x v="42"/>
    <s v="Not Specified"/>
    <n v="33"/>
    <n v="97.78"/>
    <n v="0.09"/>
    <s v="Regular Air"/>
    <n v="-31.22"/>
    <n v="2.98"/>
    <n v="2.0299999999999998"/>
    <x v="736"/>
    <x v="4"/>
    <x v="4"/>
    <x v="2"/>
    <x v="0"/>
    <x v="12"/>
    <x v="1169"/>
    <s v="Wrap Bag"/>
    <n v="0.56999999999999995"/>
    <d v="2010-07-06T00:00:00"/>
    <n v="0"/>
    <n v="0"/>
    <n v="0.5"/>
    <n v="0.5"/>
  </r>
  <r>
    <n v="6015"/>
    <n v="42628"/>
    <x v="1318"/>
    <x v="10"/>
    <s v="Not Specified"/>
    <n v="4"/>
    <n v="1199.336"/>
    <n v="0.01"/>
    <s v="Delivery Truck"/>
    <n v="224.8"/>
    <n v="349.45"/>
    <n v="60"/>
    <x v="196"/>
    <x v="4"/>
    <x v="4"/>
    <x v="1"/>
    <x v="2"/>
    <x v="10"/>
    <x v="195"/>
    <s v="Jumbo Drum"/>
    <m/>
    <d v="2011-05-07T00:00:00"/>
    <n v="0"/>
    <n v="0"/>
    <n v="1"/>
    <n v="1"/>
  </r>
  <r>
    <n v="6030"/>
    <n v="42722"/>
    <x v="56"/>
    <x v="1"/>
    <s v="Not Specified"/>
    <n v="23"/>
    <n v="1152.1600000000001"/>
    <n v="0"/>
    <s v="Regular Air"/>
    <n v="286.98"/>
    <n v="48.92"/>
    <n v="4.5"/>
    <x v="734"/>
    <x v="4"/>
    <x v="4"/>
    <x v="3"/>
    <x v="0"/>
    <x v="1"/>
    <x v="606"/>
    <s v="Small Box"/>
    <n v="0.59"/>
    <d v="2012-10-08T00:00:00"/>
    <n v="0"/>
    <n v="0"/>
    <n v="0.5"/>
    <n v="0.5"/>
  </r>
  <r>
    <n v="6031"/>
    <n v="42722"/>
    <x v="56"/>
    <x v="1"/>
    <s v="Not Specified"/>
    <n v="2"/>
    <n v="19.899999999999999"/>
    <n v="7.0000000000000007E-2"/>
    <s v="Regular Air"/>
    <n v="15.97"/>
    <n v="7.38"/>
    <n v="5.21"/>
    <x v="734"/>
    <x v="4"/>
    <x v="4"/>
    <x v="3"/>
    <x v="2"/>
    <x v="4"/>
    <x v="386"/>
    <s v="Small Box"/>
    <n v="0.56000000000000005"/>
    <d v="2012-10-09T00:00:00"/>
    <n v="0"/>
    <n v="0"/>
    <n v="0.5"/>
    <n v="0.5"/>
  </r>
  <r>
    <n v="6035"/>
    <n v="42753"/>
    <x v="1125"/>
    <x v="23"/>
    <s v="Medium"/>
    <n v="45"/>
    <n v="4072.8175000000001"/>
    <n v="0.1"/>
    <s v="Regular Air"/>
    <n v="897.36300000000006"/>
    <n v="115.99"/>
    <n v="3"/>
    <x v="739"/>
    <x v="4"/>
    <x v="4"/>
    <x v="0"/>
    <x v="1"/>
    <x v="3"/>
    <x v="1256"/>
    <s v="Small Box"/>
    <n v="0.59"/>
    <d v="2012-01-20T00:00:00"/>
    <n v="0"/>
    <n v="0"/>
    <n v="1"/>
    <n v="1"/>
  </r>
  <r>
    <n v="6073"/>
    <n v="43013"/>
    <x v="617"/>
    <x v="37"/>
    <s v="Low"/>
    <n v="43"/>
    <n v="1438.33"/>
    <n v="0.08"/>
    <s v="Regular Air"/>
    <n v="163.38"/>
    <n v="34.76"/>
    <n v="8.2200000000000006"/>
    <x v="737"/>
    <x v="4"/>
    <x v="4"/>
    <x v="3"/>
    <x v="0"/>
    <x v="0"/>
    <x v="139"/>
    <s v="Small Box"/>
    <n v="0.56999999999999995"/>
    <d v="2011-04-27T00:00:00"/>
    <n v="0"/>
    <n v="0"/>
    <n v="0.5"/>
    <n v="0.5"/>
  </r>
  <r>
    <n v="6238"/>
    <n v="44198"/>
    <x v="280"/>
    <x v="16"/>
    <s v="Critical"/>
    <n v="35"/>
    <n v="625.94849999999997"/>
    <n v="0.04"/>
    <s v="Express Air"/>
    <n v="-87.021000000000001"/>
    <n v="20.99"/>
    <n v="3.3"/>
    <x v="738"/>
    <x v="4"/>
    <x v="4"/>
    <x v="3"/>
    <x v="1"/>
    <x v="3"/>
    <x v="180"/>
    <s v="Small Pack"/>
    <n v="0.81"/>
    <d v="2011-01-04T00:00:00"/>
    <n v="0"/>
    <n v="0"/>
    <n v="1"/>
    <n v="1"/>
  </r>
  <r>
    <n v="6281"/>
    <n v="44451"/>
    <x v="633"/>
    <x v="31"/>
    <s v="Low"/>
    <n v="4"/>
    <n v="12.49"/>
    <n v="0.08"/>
    <s v="Regular Air"/>
    <n v="-13.500999999999999"/>
    <n v="1.98"/>
    <n v="4.7699999999999996"/>
    <x v="234"/>
    <x v="4"/>
    <x v="4"/>
    <x v="3"/>
    <x v="0"/>
    <x v="2"/>
    <x v="1134"/>
    <s v="Small Box"/>
    <n v="0.4"/>
    <d v="2011-09-15T00:00:00"/>
    <n v="0"/>
    <n v="0"/>
    <n v="0.5"/>
    <n v="1"/>
  </r>
  <r>
    <n v="6296"/>
    <n v="44576"/>
    <x v="392"/>
    <x v="47"/>
    <s v="Not Specified"/>
    <n v="30"/>
    <n v="1653.607"/>
    <n v="0.02"/>
    <s v="Regular Air"/>
    <n v="294.96600000000001"/>
    <n v="65.989999999999995"/>
    <n v="5.31"/>
    <x v="738"/>
    <x v="4"/>
    <x v="4"/>
    <x v="0"/>
    <x v="1"/>
    <x v="3"/>
    <x v="305"/>
    <s v="Small Box"/>
    <n v="0.56999999999999995"/>
    <d v="2009-12-26T00:00:00"/>
    <n v="0"/>
    <n v="0"/>
    <n v="0.5"/>
    <n v="1"/>
  </r>
  <r>
    <n v="6327"/>
    <n v="44834"/>
    <x v="1218"/>
    <x v="46"/>
    <s v="Medium"/>
    <n v="13"/>
    <n v="248.76"/>
    <n v="0.1"/>
    <s v="Express Air"/>
    <n v="35.090000000000003"/>
    <n v="19.98"/>
    <n v="5.77"/>
    <x v="739"/>
    <x v="4"/>
    <x v="4"/>
    <x v="0"/>
    <x v="0"/>
    <x v="5"/>
    <x v="93"/>
    <s v="Small Box"/>
    <n v="0.38"/>
    <d v="2009-04-20T00:00:00"/>
    <n v="0"/>
    <n v="0"/>
    <n v="0.5"/>
    <n v="0.5"/>
  </r>
  <r>
    <n v="6328"/>
    <n v="44834"/>
    <x v="1218"/>
    <x v="46"/>
    <s v="Medium"/>
    <n v="43"/>
    <n v="10984.05"/>
    <n v="0.06"/>
    <s v="Delivery Truck"/>
    <n v="785.63"/>
    <n v="259.70999999999998"/>
    <n v="66.67"/>
    <x v="739"/>
    <x v="4"/>
    <x v="4"/>
    <x v="0"/>
    <x v="2"/>
    <x v="10"/>
    <x v="384"/>
    <s v="Jumbo Box"/>
    <n v="0.61"/>
    <d v="2009-04-21T00:00:00"/>
    <n v="0"/>
    <n v="0"/>
    <n v="0.5"/>
    <n v="0.5"/>
  </r>
  <r>
    <n v="6473"/>
    <n v="46053"/>
    <x v="558"/>
    <x v="34"/>
    <s v="High"/>
    <n v="31"/>
    <n v="2447.1074999999996"/>
    <n v="0"/>
    <s v="Regular Air"/>
    <n v="856.96199999999999"/>
    <n v="85.99"/>
    <n v="0.99"/>
    <x v="196"/>
    <x v="4"/>
    <x v="4"/>
    <x v="1"/>
    <x v="1"/>
    <x v="3"/>
    <x v="576"/>
    <s v="Wrap Bag"/>
    <n v="0.55000000000000004"/>
    <d v="2012-09-14T00:00:00"/>
    <n v="0"/>
    <n v="0"/>
    <n v="0.5"/>
    <n v="0.5"/>
  </r>
  <r>
    <n v="6654"/>
    <n v="47329"/>
    <x v="813"/>
    <x v="6"/>
    <s v="Low"/>
    <n v="2"/>
    <n v="26.64"/>
    <n v="0.09"/>
    <s v="Express Air"/>
    <n v="-13.88"/>
    <n v="11.55"/>
    <n v="2.36"/>
    <x v="738"/>
    <x v="4"/>
    <x v="4"/>
    <x v="3"/>
    <x v="0"/>
    <x v="12"/>
    <x v="769"/>
    <s v="Wrap Bag"/>
    <n v="0.55000000000000004"/>
    <d v="2010-02-15T00:00:00"/>
    <n v="0"/>
    <n v="0"/>
    <n v="0.5"/>
    <n v="0.5"/>
  </r>
  <r>
    <n v="6655"/>
    <n v="47329"/>
    <x v="813"/>
    <x v="6"/>
    <s v="Low"/>
    <n v="16"/>
    <n v="88.19"/>
    <n v="0.03"/>
    <s v="Regular Air"/>
    <n v="-25.97"/>
    <n v="4.9800000000000004"/>
    <n v="4.72"/>
    <x v="738"/>
    <x v="4"/>
    <x v="4"/>
    <x v="3"/>
    <x v="0"/>
    <x v="5"/>
    <x v="751"/>
    <s v="Small Box"/>
    <n v="0.36"/>
    <d v="2010-02-19T00:00:00"/>
    <n v="0"/>
    <n v="0"/>
    <n v="0.5"/>
    <n v="0.5"/>
  </r>
  <r>
    <n v="6666"/>
    <n v="47461"/>
    <x v="1345"/>
    <x v="24"/>
    <s v="High"/>
    <n v="39"/>
    <n v="318.27999999999997"/>
    <n v="0.08"/>
    <s v="Regular Air"/>
    <n v="114.95"/>
    <n v="8.17"/>
    <n v="1.69"/>
    <x v="124"/>
    <x v="4"/>
    <x v="4"/>
    <x v="0"/>
    <x v="0"/>
    <x v="5"/>
    <x v="973"/>
    <s v="Wrap Bag"/>
    <n v="0.38"/>
    <d v="2010-04-26T00:00:00"/>
    <n v="0"/>
    <n v="0"/>
    <n v="0.33333333333333331"/>
    <n v="0.33333333333333331"/>
  </r>
  <r>
    <n v="6667"/>
    <n v="47461"/>
    <x v="1345"/>
    <x v="24"/>
    <s v="High"/>
    <n v="34"/>
    <n v="289.52999999999997"/>
    <n v="0.08"/>
    <s v="Express Air"/>
    <n v="46.970999999999997"/>
    <n v="8.69"/>
    <n v="2.99"/>
    <x v="124"/>
    <x v="4"/>
    <x v="4"/>
    <x v="0"/>
    <x v="0"/>
    <x v="2"/>
    <x v="2"/>
    <s v="Small Box"/>
    <n v="0.39"/>
    <d v="2010-04-26T00:00:00"/>
    <n v="0"/>
    <n v="0"/>
    <n v="0.33333333333333331"/>
    <n v="0.33333333333333331"/>
  </r>
  <r>
    <n v="6668"/>
    <n v="47461"/>
    <x v="1345"/>
    <x v="24"/>
    <s v="High"/>
    <n v="45"/>
    <n v="322.8"/>
    <n v="0.06"/>
    <s v="Regular Air"/>
    <n v="53.15"/>
    <n v="7.08"/>
    <n v="2.35"/>
    <x v="124"/>
    <x v="4"/>
    <x v="4"/>
    <x v="0"/>
    <x v="0"/>
    <x v="12"/>
    <x v="174"/>
    <s v="Wrap Bag"/>
    <n v="0.47"/>
    <d v="2010-04-27T00:00:00"/>
    <n v="0"/>
    <n v="0"/>
    <n v="0.33333333333333331"/>
    <n v="0.33333333333333331"/>
  </r>
  <r>
    <n v="6682"/>
    <n v="47525"/>
    <x v="1077"/>
    <x v="5"/>
    <s v="Medium"/>
    <n v="40"/>
    <n v="649.46"/>
    <n v="0.01"/>
    <s v="Regular Air"/>
    <n v="189.04"/>
    <n v="15.98"/>
    <n v="4"/>
    <x v="739"/>
    <x v="4"/>
    <x v="4"/>
    <x v="0"/>
    <x v="1"/>
    <x v="7"/>
    <x v="404"/>
    <s v="Small Box"/>
    <n v="0.37"/>
    <d v="2011-03-04T00:00:00"/>
    <n v="0"/>
    <n v="0"/>
    <n v="1"/>
    <n v="1"/>
  </r>
  <r>
    <n v="6854"/>
    <n v="48803"/>
    <x v="219"/>
    <x v="32"/>
    <s v="Critical"/>
    <n v="19"/>
    <n v="200.41"/>
    <n v="0.05"/>
    <s v="Regular Air"/>
    <n v="-23.65"/>
    <n v="10.23"/>
    <n v="4.68"/>
    <x v="124"/>
    <x v="4"/>
    <x v="4"/>
    <x v="3"/>
    <x v="0"/>
    <x v="15"/>
    <x v="804"/>
    <s v="Small Pack"/>
    <n v="0.59"/>
    <d v="2012-11-10T00:00:00"/>
    <n v="0"/>
    <n v="0"/>
    <n v="1"/>
    <n v="1"/>
  </r>
  <r>
    <n v="6878"/>
    <n v="49027"/>
    <x v="94"/>
    <x v="37"/>
    <s v="High"/>
    <n v="41"/>
    <n v="708.83"/>
    <n v="0.08"/>
    <s v="Regular Air"/>
    <n v="35.08"/>
    <n v="17.670000000000002"/>
    <n v="8.99"/>
    <x v="734"/>
    <x v="4"/>
    <x v="4"/>
    <x v="3"/>
    <x v="2"/>
    <x v="4"/>
    <x v="594"/>
    <s v="Small Pack"/>
    <n v="0.47"/>
    <d v="2011-04-12T00:00:00"/>
    <n v="0"/>
    <n v="0"/>
    <n v="1"/>
    <n v="0.25"/>
  </r>
  <r>
    <n v="7124"/>
    <n v="50822"/>
    <x v="164"/>
    <x v="12"/>
    <s v="Medium"/>
    <n v="6"/>
    <n v="1635.29"/>
    <n v="0.1"/>
    <s v="Regular Air"/>
    <n v="7.9200000000000728"/>
    <n v="276.2"/>
    <n v="24.49"/>
    <x v="733"/>
    <x v="4"/>
    <x v="4"/>
    <x v="0"/>
    <x v="2"/>
    <x v="14"/>
    <x v="67"/>
    <s v="Large Box"/>
    <m/>
    <d v="2012-02-08T00:00:00"/>
    <n v="0"/>
    <n v="0"/>
    <n v="0.5"/>
    <n v="0.5"/>
  </r>
  <r>
    <n v="7125"/>
    <n v="50822"/>
    <x v="164"/>
    <x v="12"/>
    <s v="Medium"/>
    <n v="37"/>
    <n v="316.35000000000002"/>
    <n v="0.01"/>
    <s v="Express Air"/>
    <n v="-52.18"/>
    <n v="8.1199999999999992"/>
    <n v="2.83"/>
    <x v="733"/>
    <x v="4"/>
    <x v="4"/>
    <x v="0"/>
    <x v="1"/>
    <x v="7"/>
    <x v="483"/>
    <s v="Small Pack"/>
    <n v="0.77"/>
    <d v="2012-02-08T00:00:00"/>
    <n v="0"/>
    <n v="0"/>
    <n v="0.5"/>
    <n v="0.5"/>
  </r>
  <r>
    <n v="7251"/>
    <n v="51714"/>
    <x v="401"/>
    <x v="35"/>
    <s v="Not Specified"/>
    <n v="33"/>
    <n v="194.09"/>
    <n v="0.03"/>
    <s v="Regular Air"/>
    <n v="-63.35"/>
    <n v="5.78"/>
    <n v="5.37"/>
    <x v="737"/>
    <x v="4"/>
    <x v="4"/>
    <x v="3"/>
    <x v="0"/>
    <x v="5"/>
    <x v="688"/>
    <s v="Small Box"/>
    <n v="0.36"/>
    <d v="2009-09-06T00:00:00"/>
    <n v="0"/>
    <n v="0"/>
    <n v="1"/>
    <n v="1"/>
  </r>
  <r>
    <n v="7264"/>
    <n v="51815"/>
    <x v="772"/>
    <x v="43"/>
    <s v="Low"/>
    <n v="37"/>
    <n v="227.5"/>
    <n v="0.01"/>
    <s v="Regular Air"/>
    <n v="-256.51900000000001"/>
    <n v="5.94"/>
    <n v="9.92"/>
    <x v="739"/>
    <x v="4"/>
    <x v="4"/>
    <x v="0"/>
    <x v="0"/>
    <x v="2"/>
    <x v="1040"/>
    <s v="Small Box"/>
    <n v="0.38"/>
    <d v="2009-06-02T00:00:00"/>
    <n v="0"/>
    <n v="0"/>
    <n v="0.5"/>
    <n v="0.5"/>
  </r>
  <r>
    <n v="7265"/>
    <n v="51815"/>
    <x v="772"/>
    <x v="43"/>
    <s v="Low"/>
    <n v="21"/>
    <n v="2292.1015000000002"/>
    <n v="0.02"/>
    <s v="Regular Air"/>
    <n v="398.358"/>
    <n v="125.99"/>
    <n v="3"/>
    <x v="739"/>
    <x v="4"/>
    <x v="4"/>
    <x v="0"/>
    <x v="1"/>
    <x v="3"/>
    <x v="520"/>
    <s v="Small Box"/>
    <n v="0.59"/>
    <d v="2009-05-26T00:00:00"/>
    <n v="0"/>
    <n v="0"/>
    <n v="0.5"/>
    <n v="0.5"/>
  </r>
  <r>
    <n v="7275"/>
    <n v="51906"/>
    <x v="1344"/>
    <x v="31"/>
    <s v="High"/>
    <n v="24"/>
    <n v="206.34"/>
    <n v="0.04"/>
    <s v="Regular Air"/>
    <n v="-38.229999999999997"/>
    <n v="8.4600000000000009"/>
    <n v="3.62"/>
    <x v="531"/>
    <x v="4"/>
    <x v="4"/>
    <x v="3"/>
    <x v="1"/>
    <x v="7"/>
    <x v="919"/>
    <s v="Small Pack"/>
    <n v="0.61"/>
    <d v="2011-09-02T00:00:00"/>
    <n v="0"/>
    <n v="0"/>
    <n v="1"/>
    <n v="1"/>
  </r>
  <r>
    <n v="7309"/>
    <n v="52128"/>
    <x v="211"/>
    <x v="7"/>
    <s v="Not Specified"/>
    <n v="11"/>
    <n v="13.52"/>
    <n v="0.03"/>
    <s v="Regular Air"/>
    <n v="-27.66"/>
    <n v="0.99"/>
    <n v="2.96"/>
    <x v="429"/>
    <x v="4"/>
    <x v="4"/>
    <x v="1"/>
    <x v="1"/>
    <x v="7"/>
    <x v="1240"/>
    <s v="Small Pack"/>
    <n v="0.61"/>
    <d v="2010-11-23T00:00:00"/>
    <n v="0"/>
    <n v="0"/>
    <n v="1"/>
    <n v="1"/>
  </r>
  <r>
    <n v="7392"/>
    <n v="52675"/>
    <x v="21"/>
    <x v="17"/>
    <s v="Medium"/>
    <n v="4"/>
    <n v="20.25"/>
    <n v="0.1"/>
    <s v="Regular Air"/>
    <n v="-22.13"/>
    <n v="4.7699999999999996"/>
    <n v="2.39"/>
    <x v="124"/>
    <x v="4"/>
    <x v="4"/>
    <x v="0"/>
    <x v="1"/>
    <x v="7"/>
    <x v="568"/>
    <s v="Small Pack"/>
    <n v="0.72"/>
    <d v="2011-10-12T00:00:00"/>
    <n v="0"/>
    <n v="0"/>
    <n v="0.5"/>
    <n v="0.5"/>
  </r>
  <r>
    <n v="7393"/>
    <n v="52675"/>
    <x v="21"/>
    <x v="17"/>
    <s v="Medium"/>
    <n v="22"/>
    <n v="52.62"/>
    <n v="0.01"/>
    <s v="Regular Air"/>
    <n v="-4.6399999999999997"/>
    <n v="2.21"/>
    <n v="1.1200000000000001"/>
    <x v="124"/>
    <x v="4"/>
    <x v="4"/>
    <x v="0"/>
    <x v="0"/>
    <x v="12"/>
    <x v="128"/>
    <s v="Wrap Bag"/>
    <n v="0.57999999999999996"/>
    <d v="2011-10-12T00:00:00"/>
    <n v="0"/>
    <n v="0"/>
    <n v="0.5"/>
    <n v="0.5"/>
  </r>
  <r>
    <n v="7455"/>
    <n v="53189"/>
    <x v="1021"/>
    <x v="21"/>
    <s v="Critical"/>
    <n v="29"/>
    <n v="214.19"/>
    <n v="0"/>
    <s v="Express Air"/>
    <n v="-40.56"/>
    <n v="6.48"/>
    <n v="5.94"/>
    <x v="725"/>
    <x v="4"/>
    <x v="4"/>
    <x v="2"/>
    <x v="0"/>
    <x v="5"/>
    <x v="772"/>
    <s v="Small Box"/>
    <n v="0.37"/>
    <d v="2011-08-23T00:00:00"/>
    <n v="0"/>
    <n v="0"/>
    <n v="1"/>
    <n v="1"/>
  </r>
  <r>
    <n v="7590"/>
    <n v="54307"/>
    <x v="34"/>
    <x v="23"/>
    <s v="High"/>
    <n v="41"/>
    <n v="198.29"/>
    <n v="0.08"/>
    <s v="Regular Air"/>
    <n v="-134.41200000000001"/>
    <n v="4.91"/>
    <n v="5.68"/>
    <x v="737"/>
    <x v="4"/>
    <x v="4"/>
    <x v="2"/>
    <x v="0"/>
    <x v="2"/>
    <x v="980"/>
    <s v="Small Box"/>
    <n v="0.36"/>
    <d v="2012-01-09T00:00:00"/>
    <n v="0"/>
    <n v="0"/>
    <n v="0.33333333333333331"/>
    <n v="0.33333333333333331"/>
  </r>
  <r>
    <n v="7661"/>
    <n v="54917"/>
    <x v="910"/>
    <x v="24"/>
    <s v="High"/>
    <n v="12"/>
    <n v="6034.68"/>
    <n v="0.06"/>
    <s v="Regular Air"/>
    <n v="-517.08000000000004"/>
    <n v="499.99"/>
    <n v="24.49"/>
    <x v="739"/>
    <x v="4"/>
    <x v="4"/>
    <x v="0"/>
    <x v="1"/>
    <x v="13"/>
    <x v="110"/>
    <s v="Large Box"/>
    <n v="0.36"/>
    <d v="2010-04-10T00:00:00"/>
    <n v="0"/>
    <n v="0"/>
    <n v="1"/>
    <n v="1"/>
  </r>
  <r>
    <n v="7965"/>
    <n v="56930"/>
    <x v="218"/>
    <x v="9"/>
    <s v="Low"/>
    <n v="47"/>
    <n v="228.31"/>
    <n v="0.03"/>
    <s v="Regular Air"/>
    <n v="8.89"/>
    <n v="4.71"/>
    <n v="0.7"/>
    <x v="234"/>
    <x v="4"/>
    <x v="4"/>
    <x v="3"/>
    <x v="0"/>
    <x v="6"/>
    <x v="21"/>
    <s v="Wrap Bag"/>
    <n v="0.8"/>
    <d v="2012-08-24T00:00:00"/>
    <n v="0"/>
    <n v="0"/>
    <n v="0.5"/>
    <n v="0.5"/>
  </r>
  <r>
    <n v="8060"/>
    <n v="57511"/>
    <x v="1330"/>
    <x v="19"/>
    <s v="Critical"/>
    <n v="32"/>
    <n v="98.46"/>
    <n v="0.01"/>
    <s v="Regular Air"/>
    <n v="41.54"/>
    <n v="2.89"/>
    <n v="0.5"/>
    <x v="725"/>
    <x v="4"/>
    <x v="4"/>
    <x v="2"/>
    <x v="0"/>
    <x v="11"/>
    <x v="349"/>
    <s v="Small Box"/>
    <n v="0.38"/>
    <d v="2009-10-07T00:00:00"/>
    <n v="0"/>
    <n v="0"/>
    <n v="0.5"/>
    <n v="0.25"/>
  </r>
  <r>
    <n v="8061"/>
    <n v="57511"/>
    <x v="1330"/>
    <x v="19"/>
    <s v="Critical"/>
    <n v="11"/>
    <n v="569.63599999999997"/>
    <n v="0"/>
    <s v="Regular Air"/>
    <n v="-173.25"/>
    <n v="55.99"/>
    <n v="5"/>
    <x v="725"/>
    <x v="4"/>
    <x v="4"/>
    <x v="2"/>
    <x v="1"/>
    <x v="3"/>
    <x v="159"/>
    <s v="Small Pack"/>
    <n v="0.8"/>
    <d v="2009-10-08T00:00:00"/>
    <n v="0"/>
    <n v="0"/>
    <n v="0.5"/>
    <n v="0.25"/>
  </r>
  <r>
    <n v="8106"/>
    <n v="57857"/>
    <x v="973"/>
    <x v="39"/>
    <s v="High"/>
    <n v="18"/>
    <n v="314.95999999999998"/>
    <n v="0.1"/>
    <s v="Regular Air"/>
    <n v="153.47999999999999"/>
    <n v="18.649999999999999"/>
    <n v="3.77"/>
    <x v="739"/>
    <x v="4"/>
    <x v="4"/>
    <x v="0"/>
    <x v="2"/>
    <x v="4"/>
    <x v="707"/>
    <s v="Small Pack"/>
    <n v="0.39"/>
    <d v="2010-05-01T00:00:00"/>
    <n v="0"/>
    <n v="0"/>
    <n v="1"/>
    <n v="1"/>
  </r>
  <r>
    <n v="8107"/>
    <n v="57861"/>
    <x v="310"/>
    <x v="1"/>
    <s v="Medium"/>
    <n v="40"/>
    <n v="120.15"/>
    <n v="0"/>
    <s v="Regular Air"/>
    <n v="11.322000000000001"/>
    <n v="2.88"/>
    <n v="1.49"/>
    <x v="739"/>
    <x v="4"/>
    <x v="4"/>
    <x v="0"/>
    <x v="0"/>
    <x v="2"/>
    <x v="612"/>
    <s v="Small Box"/>
    <n v="0.36"/>
    <d v="2012-10-27T00:00:00"/>
    <n v="0"/>
    <n v="0"/>
    <n v="1"/>
    <n v="1"/>
  </r>
  <r>
    <n v="8145"/>
    <n v="58247"/>
    <x v="968"/>
    <x v="31"/>
    <s v="Not Specified"/>
    <n v="8"/>
    <n v="1058.82"/>
    <n v="0.02"/>
    <s v="Regular Air"/>
    <n v="211.73"/>
    <n v="131.12"/>
    <n v="0.99"/>
    <x v="124"/>
    <x v="4"/>
    <x v="4"/>
    <x v="3"/>
    <x v="0"/>
    <x v="1"/>
    <x v="561"/>
    <s v="Small Box"/>
    <n v="0.55000000000000004"/>
    <d v="2011-09-23T00:00:00"/>
    <n v="0"/>
    <n v="0"/>
    <n v="0.5"/>
    <n v="0.5"/>
  </r>
  <r>
    <n v="8146"/>
    <n v="58247"/>
    <x v="968"/>
    <x v="31"/>
    <s v="Not Specified"/>
    <n v="14"/>
    <n v="92.07"/>
    <n v="0.09"/>
    <s v="Regular Air"/>
    <n v="-64.5"/>
    <n v="6.48"/>
    <n v="7.86"/>
    <x v="124"/>
    <x v="4"/>
    <x v="4"/>
    <x v="3"/>
    <x v="0"/>
    <x v="5"/>
    <x v="59"/>
    <s v="Small Box"/>
    <n v="0.37"/>
    <d v="2011-09-25T00:00:00"/>
    <n v="0"/>
    <n v="0"/>
    <n v="0.5"/>
    <n v="0.5"/>
  </r>
  <r>
    <n v="8178"/>
    <n v="58470"/>
    <x v="1354"/>
    <x v="4"/>
    <s v="High"/>
    <n v="24"/>
    <n v="1811.55"/>
    <n v="0.09"/>
    <s v="Regular Air"/>
    <n v="512.69000000000005"/>
    <n v="81.319999999999993"/>
    <n v="0.99"/>
    <x v="740"/>
    <x v="4"/>
    <x v="4"/>
    <x v="0"/>
    <x v="0"/>
    <x v="1"/>
    <x v="1228"/>
    <s v="Small Box"/>
    <n v="0.56999999999999995"/>
    <d v="2011-06-09T00:00:00"/>
    <n v="0"/>
    <n v="0"/>
    <n v="0.2"/>
    <n v="0.2"/>
  </r>
  <r>
    <n v="8179"/>
    <n v="58470"/>
    <x v="1354"/>
    <x v="4"/>
    <s v="High"/>
    <n v="13"/>
    <n v="49.08"/>
    <n v="0.06"/>
    <s v="Regular Air"/>
    <n v="-0.31"/>
    <n v="3.71"/>
    <n v="1.93"/>
    <x v="740"/>
    <x v="4"/>
    <x v="4"/>
    <x v="0"/>
    <x v="0"/>
    <x v="5"/>
    <x v="884"/>
    <s v="Wrap Bag"/>
    <n v="0.35"/>
    <d v="2011-06-08T00:00:00"/>
    <n v="0"/>
    <n v="0"/>
    <n v="0.2"/>
    <n v="0.2"/>
  </r>
  <r>
    <n v="8180"/>
    <n v="58470"/>
    <x v="1354"/>
    <x v="4"/>
    <s v="High"/>
    <n v="36"/>
    <n v="236.19"/>
    <n v="0.06"/>
    <s v="Regular Air"/>
    <n v="-76.92"/>
    <n v="6.48"/>
    <n v="5.94"/>
    <x v="740"/>
    <x v="4"/>
    <x v="4"/>
    <x v="0"/>
    <x v="0"/>
    <x v="5"/>
    <x v="772"/>
    <s v="Small Box"/>
    <n v="0.37"/>
    <d v="2011-06-09T00:00:00"/>
    <n v="0"/>
    <n v="0"/>
    <n v="0.2"/>
    <n v="0.2"/>
  </r>
  <r>
    <n v="8181"/>
    <n v="58470"/>
    <x v="1354"/>
    <x v="4"/>
    <s v="High"/>
    <n v="45"/>
    <n v="854.14"/>
    <n v="0.01"/>
    <s v="Regular Air"/>
    <n v="94"/>
    <n v="18.97"/>
    <n v="9.0299999999999994"/>
    <x v="740"/>
    <x v="4"/>
    <x v="4"/>
    <x v="0"/>
    <x v="0"/>
    <x v="5"/>
    <x v="40"/>
    <s v="Small Box"/>
    <n v="0.37"/>
    <d v="2011-06-10T00:00:00"/>
    <n v="0"/>
    <n v="0"/>
    <n v="0.2"/>
    <n v="0.2"/>
  </r>
  <r>
    <n v="8182"/>
    <n v="58470"/>
    <x v="1354"/>
    <x v="4"/>
    <s v="High"/>
    <n v="5"/>
    <n v="159.5"/>
    <n v="0.09"/>
    <s v="Regular Air"/>
    <n v="-57.98"/>
    <n v="31.98"/>
    <n v="6.72"/>
    <x v="740"/>
    <x v="4"/>
    <x v="4"/>
    <x v="0"/>
    <x v="0"/>
    <x v="0"/>
    <x v="1190"/>
    <s v="Small Box"/>
    <n v="0.75"/>
    <d v="2011-06-09T00:00:00"/>
    <n v="0"/>
    <n v="0"/>
    <n v="0.2"/>
    <n v="0.2"/>
  </r>
  <r>
    <n v="8219"/>
    <n v="58759"/>
    <x v="472"/>
    <x v="22"/>
    <s v="Low"/>
    <n v="4"/>
    <n v="33.44"/>
    <n v="0.1"/>
    <s v="Regular Air"/>
    <n v="-6.88"/>
    <n v="8.01"/>
    <n v="2.87"/>
    <x v="735"/>
    <x v="4"/>
    <x v="4"/>
    <x v="2"/>
    <x v="0"/>
    <x v="5"/>
    <x v="548"/>
    <s v="Wrap Bag"/>
    <n v="0.4"/>
    <d v="2009-01-28T00:00:00"/>
    <n v="0"/>
    <n v="1"/>
    <n v="1"/>
    <n v="1"/>
  </r>
  <r>
    <n v="8365"/>
    <n v="59780"/>
    <x v="773"/>
    <x v="6"/>
    <s v="Critical"/>
    <n v="21"/>
    <n v="6776.92"/>
    <n v="0"/>
    <s v="Delivery Truck"/>
    <n v="1395.02"/>
    <n v="306.14"/>
    <n v="26.53"/>
    <x v="531"/>
    <x v="4"/>
    <x v="4"/>
    <x v="3"/>
    <x v="1"/>
    <x v="16"/>
    <x v="831"/>
    <s v="Jumbo Drum"/>
    <n v="0.56000000000000005"/>
    <d v="2010-02-20T00:00:00"/>
    <n v="0"/>
    <n v="0"/>
    <n v="1"/>
    <n v="1"/>
  </r>
  <r>
    <n v="62"/>
    <n v="358"/>
    <x v="30"/>
    <x v="18"/>
    <s v="High"/>
    <n v="33"/>
    <n v="1640.9"/>
    <n v="0.02"/>
    <s v="Delivery Truck"/>
    <n v="-1348.06"/>
    <n v="48.58"/>
    <n v="54.11"/>
    <x v="704"/>
    <x v="12"/>
    <x v="4"/>
    <x v="2"/>
    <x v="2"/>
    <x v="9"/>
    <x v="133"/>
    <s v="Jumbo Box"/>
    <n v="0.69"/>
    <d v="2010-09-21T00:00:00"/>
    <n v="0"/>
    <n v="0"/>
    <n v="0.5"/>
    <n v="0.5"/>
  </r>
  <r>
    <n v="63"/>
    <n v="358"/>
    <x v="30"/>
    <x v="18"/>
    <s v="High"/>
    <n v="33"/>
    <n v="1235.8699999999999"/>
    <n v="7.0000000000000007E-2"/>
    <s v="Regular Air"/>
    <n v="269.27"/>
    <n v="39.479999999999997"/>
    <n v="1.99"/>
    <x v="704"/>
    <x v="12"/>
    <x v="4"/>
    <x v="2"/>
    <x v="1"/>
    <x v="7"/>
    <x v="64"/>
    <s v="Small Pack"/>
    <n v="0.54"/>
    <d v="2010-09-19T00:00:00"/>
    <n v="0"/>
    <n v="0"/>
    <n v="0.5"/>
    <n v="0.5"/>
  </r>
  <r>
    <n v="255"/>
    <n v="1767"/>
    <x v="951"/>
    <x v="5"/>
    <s v="High"/>
    <n v="10"/>
    <n v="46.34"/>
    <n v="0.05"/>
    <s v="Regular Air"/>
    <n v="-7.76"/>
    <n v="4.71"/>
    <n v="0.7"/>
    <x v="741"/>
    <x v="12"/>
    <x v="4"/>
    <x v="2"/>
    <x v="0"/>
    <x v="6"/>
    <x v="21"/>
    <s v="Wrap Bag"/>
    <n v="0.8"/>
    <d v="2011-03-15T00:00:00"/>
    <n v="0"/>
    <n v="0"/>
    <n v="1"/>
    <n v="1"/>
  </r>
  <r>
    <n v="271"/>
    <n v="1863"/>
    <x v="1264"/>
    <x v="18"/>
    <s v="Not Specified"/>
    <n v="26"/>
    <n v="2415.38"/>
    <n v="0.08"/>
    <s v="Delivery Truck"/>
    <n v="-1131.5999999999999"/>
    <n v="95.95"/>
    <n v="74.349999999999994"/>
    <x v="742"/>
    <x v="12"/>
    <x v="4"/>
    <x v="0"/>
    <x v="2"/>
    <x v="14"/>
    <x v="34"/>
    <s v="Jumbo Drum"/>
    <n v="0.56999999999999995"/>
    <d v="2010-09-23T00:00:00"/>
    <n v="0"/>
    <n v="0"/>
    <n v="1"/>
    <n v="1"/>
  </r>
  <r>
    <n v="437"/>
    <n v="2915"/>
    <x v="1170"/>
    <x v="28"/>
    <s v="Low"/>
    <n v="41"/>
    <n v="231.26"/>
    <n v="7.0000000000000007E-2"/>
    <s v="Regular Air"/>
    <n v="32.83"/>
    <n v="5.98"/>
    <n v="0.96"/>
    <x v="743"/>
    <x v="12"/>
    <x v="4"/>
    <x v="1"/>
    <x v="0"/>
    <x v="12"/>
    <x v="582"/>
    <s v="Wrap Bag"/>
    <n v="0.6"/>
    <d v="2009-04-03T00:00:00"/>
    <n v="0"/>
    <n v="0"/>
    <n v="0.5"/>
    <n v="0.5"/>
  </r>
  <r>
    <n v="438"/>
    <n v="2915"/>
    <x v="1170"/>
    <x v="28"/>
    <s v="Low"/>
    <n v="23"/>
    <n v="987.17"/>
    <n v="0.01"/>
    <s v="Regular Air"/>
    <n v="51.590000000000053"/>
    <n v="39.979999999999997"/>
    <n v="4"/>
    <x v="743"/>
    <x v="12"/>
    <x v="4"/>
    <x v="1"/>
    <x v="1"/>
    <x v="7"/>
    <x v="701"/>
    <s v="Small Box"/>
    <n v="0.7"/>
    <d v="2009-04-04T00:00:00"/>
    <n v="0"/>
    <n v="0"/>
    <n v="0.5"/>
    <n v="0.5"/>
  </r>
  <r>
    <n v="449"/>
    <n v="3046"/>
    <x v="1187"/>
    <x v="27"/>
    <s v="High"/>
    <n v="24"/>
    <n v="10094.43"/>
    <n v="0.03"/>
    <s v="Regular Air"/>
    <n v="4451.0079999999998"/>
    <n v="420.98"/>
    <n v="19.989999999999998"/>
    <x v="742"/>
    <x v="12"/>
    <x v="4"/>
    <x v="0"/>
    <x v="0"/>
    <x v="2"/>
    <x v="461"/>
    <s v="Small Box"/>
    <n v="0.35"/>
    <d v="2011-12-01T00:00:00"/>
    <n v="0"/>
    <n v="0"/>
    <n v="1"/>
    <n v="1"/>
  </r>
  <r>
    <n v="628"/>
    <n v="4389"/>
    <x v="1366"/>
    <x v="43"/>
    <s v="Medium"/>
    <n v="35"/>
    <n v="179.45"/>
    <n v="7.0000000000000007E-2"/>
    <s v="Regular Air"/>
    <n v="-116.3455"/>
    <n v="5.34"/>
    <n v="5.63"/>
    <x v="719"/>
    <x v="12"/>
    <x v="4"/>
    <x v="2"/>
    <x v="0"/>
    <x v="2"/>
    <x v="976"/>
    <s v="Small Box"/>
    <n v="0.39"/>
    <d v="2009-05-06T00:00:00"/>
    <n v="0"/>
    <n v="0"/>
    <n v="0.33333333333333331"/>
    <n v="0.2"/>
  </r>
  <r>
    <n v="629"/>
    <n v="4389"/>
    <x v="1366"/>
    <x v="43"/>
    <s v="Medium"/>
    <n v="49"/>
    <n v="7987.43"/>
    <n v="0.03"/>
    <s v="Delivery Truck"/>
    <n v="1304.9000000000001"/>
    <n v="160.97999999999999"/>
    <n v="30"/>
    <x v="719"/>
    <x v="12"/>
    <x v="4"/>
    <x v="2"/>
    <x v="2"/>
    <x v="14"/>
    <x v="580"/>
    <s v="Jumbo Drum"/>
    <n v="0.62"/>
    <d v="2009-05-05T00:00:00"/>
    <n v="0"/>
    <n v="0"/>
    <n v="0.33333333333333331"/>
    <n v="0.2"/>
  </r>
  <r>
    <n v="630"/>
    <n v="4389"/>
    <x v="1366"/>
    <x v="43"/>
    <s v="Medium"/>
    <n v="42"/>
    <n v="2455.2759999999998"/>
    <n v="0.04"/>
    <s v="Express Air"/>
    <n v="693.0630000000001"/>
    <n v="65.989999999999995"/>
    <n v="5.63"/>
    <x v="719"/>
    <x v="12"/>
    <x v="4"/>
    <x v="2"/>
    <x v="1"/>
    <x v="3"/>
    <x v="1032"/>
    <s v="Small Box"/>
    <n v="0.56000000000000005"/>
    <d v="2009-05-04T00:00:00"/>
    <n v="0"/>
    <n v="0"/>
    <n v="0.33333333333333331"/>
    <n v="0.2"/>
  </r>
  <r>
    <n v="862"/>
    <n v="6180"/>
    <x v="94"/>
    <x v="37"/>
    <s v="Medium"/>
    <n v="44"/>
    <n v="2443.3420000000001"/>
    <n v="0.01"/>
    <s v="Regular Air"/>
    <n v="590.31899999999996"/>
    <n v="65.989999999999995"/>
    <n v="3.99"/>
    <x v="630"/>
    <x v="12"/>
    <x v="4"/>
    <x v="3"/>
    <x v="1"/>
    <x v="3"/>
    <x v="440"/>
    <s v="Small Box"/>
    <n v="0.59"/>
    <d v="2011-04-13T00:00:00"/>
    <n v="0"/>
    <n v="0"/>
    <n v="1"/>
    <n v="1"/>
  </r>
  <r>
    <n v="975"/>
    <n v="7078"/>
    <x v="358"/>
    <x v="24"/>
    <s v="High"/>
    <n v="9"/>
    <n v="112.12"/>
    <n v="0.01"/>
    <s v="Regular Air"/>
    <n v="-8.4499999999999993"/>
    <n v="11.33"/>
    <n v="6.12"/>
    <x v="704"/>
    <x v="12"/>
    <x v="4"/>
    <x v="2"/>
    <x v="0"/>
    <x v="1"/>
    <x v="876"/>
    <s v="Medium Box"/>
    <n v="0.42"/>
    <d v="2010-04-13T00:00:00"/>
    <n v="0"/>
    <n v="0"/>
    <n v="0.25"/>
    <n v="0.25"/>
  </r>
  <r>
    <n v="976"/>
    <n v="7078"/>
    <x v="358"/>
    <x v="24"/>
    <s v="High"/>
    <n v="11"/>
    <n v="49.58"/>
    <n v="0.1"/>
    <s v="Express Air"/>
    <n v="-47.023499999999999"/>
    <n v="3.36"/>
    <n v="6.27"/>
    <x v="704"/>
    <x v="12"/>
    <x v="4"/>
    <x v="2"/>
    <x v="0"/>
    <x v="2"/>
    <x v="285"/>
    <s v="Small Box"/>
    <n v="0.4"/>
    <d v="2010-04-12T00:00:00"/>
    <n v="0"/>
    <n v="0"/>
    <n v="0.25"/>
    <n v="0.25"/>
  </r>
  <r>
    <n v="977"/>
    <n v="7078"/>
    <x v="358"/>
    <x v="24"/>
    <s v="High"/>
    <n v="16"/>
    <n v="1939.65"/>
    <n v="0.05"/>
    <s v="Delivery Truck"/>
    <n v="-885.73"/>
    <n v="122.99"/>
    <n v="70.2"/>
    <x v="704"/>
    <x v="12"/>
    <x v="4"/>
    <x v="2"/>
    <x v="2"/>
    <x v="14"/>
    <x v="301"/>
    <s v="Jumbo Drum"/>
    <n v="0.74"/>
    <d v="2010-04-13T00:00:00"/>
    <n v="0"/>
    <n v="0"/>
    <n v="0.25"/>
    <n v="0.25"/>
  </r>
  <r>
    <n v="978"/>
    <n v="7078"/>
    <x v="358"/>
    <x v="24"/>
    <s v="High"/>
    <n v="29"/>
    <n v="465.52"/>
    <n v="0.02"/>
    <s v="Express Air"/>
    <n v="65.349999999999994"/>
    <n v="14.98"/>
    <n v="8.99"/>
    <x v="704"/>
    <x v="12"/>
    <x v="4"/>
    <x v="2"/>
    <x v="2"/>
    <x v="4"/>
    <x v="214"/>
    <s v="Small Pack"/>
    <n v="0.39"/>
    <d v="2010-04-12T00:00:00"/>
    <n v="0"/>
    <n v="0"/>
    <n v="0.25"/>
    <n v="0.25"/>
  </r>
  <r>
    <n v="1045"/>
    <n v="7654"/>
    <x v="813"/>
    <x v="6"/>
    <s v="High"/>
    <n v="3"/>
    <n v="19.47"/>
    <n v="0.06"/>
    <s v="Regular Air"/>
    <n v="-14.29"/>
    <n v="4.13"/>
    <n v="6.89"/>
    <x v="744"/>
    <x v="12"/>
    <x v="4"/>
    <x v="0"/>
    <x v="0"/>
    <x v="11"/>
    <x v="917"/>
    <s v="Small Box"/>
    <n v="0.39"/>
    <d v="2010-02-12T00:00:00"/>
    <n v="0"/>
    <n v="0"/>
    <n v="1"/>
    <n v="0.5"/>
  </r>
  <r>
    <n v="1050"/>
    <n v="7746"/>
    <x v="112"/>
    <x v="15"/>
    <s v="Medium"/>
    <n v="1"/>
    <n v="28.96"/>
    <n v="0.06"/>
    <s v="Regular Air"/>
    <n v="-27.07"/>
    <n v="19.98"/>
    <n v="8.68"/>
    <x v="745"/>
    <x v="12"/>
    <x v="4"/>
    <x v="1"/>
    <x v="0"/>
    <x v="5"/>
    <x v="471"/>
    <s v="Small Box"/>
    <n v="0.37"/>
    <d v="2010-12-07T00:00:00"/>
    <n v="0"/>
    <n v="0"/>
    <n v="1"/>
    <n v="1"/>
  </r>
  <r>
    <n v="1149"/>
    <n v="8387"/>
    <x v="1404"/>
    <x v="14"/>
    <s v="Not Specified"/>
    <n v="35"/>
    <n v="1133.96"/>
    <n v="0.02"/>
    <s v="Regular Air"/>
    <n v="185.08750000000001"/>
    <n v="31.74"/>
    <n v="12.62"/>
    <x v="746"/>
    <x v="12"/>
    <x v="4"/>
    <x v="2"/>
    <x v="0"/>
    <x v="2"/>
    <x v="920"/>
    <s v="Small Box"/>
    <n v="0.37"/>
    <d v="2010-03-21T00:00:00"/>
    <n v="0"/>
    <n v="0"/>
    <n v="1"/>
    <n v="1"/>
  </r>
  <r>
    <n v="1195"/>
    <n v="8768"/>
    <x v="753"/>
    <x v="21"/>
    <s v="High"/>
    <n v="44"/>
    <n v="2422.4404999999997"/>
    <n v="0.03"/>
    <s v="Regular Air"/>
    <n v="568.17899999999997"/>
    <n v="65.989999999999995"/>
    <n v="5.31"/>
    <x v="744"/>
    <x v="12"/>
    <x v="4"/>
    <x v="0"/>
    <x v="1"/>
    <x v="3"/>
    <x v="305"/>
    <s v="Small Box"/>
    <n v="0.56999999999999995"/>
    <d v="2011-08-19T00:00:00"/>
    <n v="0"/>
    <n v="0"/>
    <n v="1"/>
    <n v="0.5"/>
  </r>
  <r>
    <n v="1296"/>
    <n v="9504"/>
    <x v="1299"/>
    <x v="32"/>
    <s v="Medium"/>
    <n v="17"/>
    <n v="1954.796"/>
    <n v="0.05"/>
    <s v="Regular Air"/>
    <n v="98.352000000000004"/>
    <n v="140.99"/>
    <n v="4.2"/>
    <x v="742"/>
    <x v="12"/>
    <x v="4"/>
    <x v="0"/>
    <x v="1"/>
    <x v="3"/>
    <x v="625"/>
    <s v="Small Box"/>
    <n v="0.59"/>
    <d v="2012-11-27T00:00:00"/>
    <n v="0"/>
    <n v="0"/>
    <n v="1"/>
    <n v="1"/>
  </r>
  <r>
    <n v="1431"/>
    <n v="10341"/>
    <x v="237"/>
    <x v="45"/>
    <s v="High"/>
    <n v="17"/>
    <n v="2312.96"/>
    <n v="0.09"/>
    <s v="Delivery Truck"/>
    <n v="43.030000000000086"/>
    <n v="145.44999999999999"/>
    <n v="17.850000000000001"/>
    <x v="742"/>
    <x v="12"/>
    <x v="4"/>
    <x v="0"/>
    <x v="1"/>
    <x v="16"/>
    <x v="127"/>
    <s v="Jumbo Drum"/>
    <n v="0.56000000000000005"/>
    <d v="2012-12-22T00:00:00"/>
    <n v="0"/>
    <n v="0"/>
    <n v="1"/>
    <n v="1"/>
  </r>
  <r>
    <n v="1522"/>
    <n v="10982"/>
    <x v="468"/>
    <x v="45"/>
    <s v="Not Specified"/>
    <n v="29"/>
    <n v="538.27"/>
    <n v="0.02"/>
    <s v="Regular Air"/>
    <n v="225.19900000000001"/>
    <n v="18.940000000000001"/>
    <n v="1.49"/>
    <x v="630"/>
    <x v="12"/>
    <x v="4"/>
    <x v="3"/>
    <x v="0"/>
    <x v="2"/>
    <x v="695"/>
    <s v="Small Box"/>
    <n v="0.35"/>
    <d v="2012-12-11T00:00:00"/>
    <n v="0"/>
    <n v="0"/>
    <n v="0.33333333333333331"/>
    <n v="0.33333333333333331"/>
  </r>
  <r>
    <n v="1523"/>
    <n v="10982"/>
    <x v="468"/>
    <x v="45"/>
    <s v="Not Specified"/>
    <n v="30"/>
    <n v="3665.41"/>
    <n v="0.05"/>
    <s v="Regular Air"/>
    <n v="1236.3589999999999"/>
    <n v="122.99"/>
    <n v="19.989999999999998"/>
    <x v="630"/>
    <x v="12"/>
    <x v="4"/>
    <x v="3"/>
    <x v="0"/>
    <x v="2"/>
    <x v="681"/>
    <s v="Small Box"/>
    <n v="0.37"/>
    <d v="2012-12-12T00:00:00"/>
    <n v="0"/>
    <n v="0"/>
    <n v="0.33333333333333331"/>
    <n v="0.33333333333333331"/>
  </r>
  <r>
    <n v="1524"/>
    <n v="10982"/>
    <x v="468"/>
    <x v="45"/>
    <s v="Not Specified"/>
    <n v="14"/>
    <n v="20.95"/>
    <n v="0"/>
    <s v="Express Air"/>
    <n v="2.81"/>
    <n v="1.1399999999999999"/>
    <n v="0.7"/>
    <x v="630"/>
    <x v="12"/>
    <x v="4"/>
    <x v="3"/>
    <x v="0"/>
    <x v="6"/>
    <x v="1129"/>
    <s v="Wrap Bag"/>
    <n v="0.38"/>
    <d v="2012-12-12T00:00:00"/>
    <n v="0"/>
    <n v="0"/>
    <n v="0.33333333333333331"/>
    <n v="0.33333333333333331"/>
  </r>
  <r>
    <n v="1531"/>
    <n v="11014"/>
    <x v="519"/>
    <x v="18"/>
    <s v="High"/>
    <n v="39"/>
    <n v="286.81"/>
    <n v="7.0000000000000007E-2"/>
    <s v="Regular Air"/>
    <n v="110.05"/>
    <n v="7.64"/>
    <n v="1.39"/>
    <x v="719"/>
    <x v="12"/>
    <x v="4"/>
    <x v="2"/>
    <x v="0"/>
    <x v="8"/>
    <x v="181"/>
    <s v="Small Box"/>
    <n v="0.36"/>
    <d v="2010-09-08T00:00:00"/>
    <n v="0"/>
    <n v="0"/>
    <n v="0.5"/>
    <n v="0.5"/>
  </r>
  <r>
    <n v="1987"/>
    <n v="14176"/>
    <x v="1168"/>
    <x v="28"/>
    <s v="Low"/>
    <n v="39"/>
    <n v="1233.4775"/>
    <n v="0.01"/>
    <s v="Regular Air"/>
    <n v="453.798"/>
    <n v="35.99"/>
    <n v="5.99"/>
    <x v="744"/>
    <x v="12"/>
    <x v="4"/>
    <x v="0"/>
    <x v="1"/>
    <x v="3"/>
    <x v="702"/>
    <s v="Wrap Bag"/>
    <n v="0.38"/>
    <d v="2009-03-19T00:00:00"/>
    <n v="0"/>
    <n v="0"/>
    <n v="1"/>
    <n v="1"/>
  </r>
  <r>
    <n v="2031"/>
    <n v="14497"/>
    <x v="399"/>
    <x v="20"/>
    <s v="Medium"/>
    <n v="34"/>
    <n v="214.03"/>
    <n v="0.02"/>
    <s v="Regular Air"/>
    <n v="-138.91999999999999"/>
    <n v="5.78"/>
    <n v="7.96"/>
    <x v="742"/>
    <x v="12"/>
    <x v="4"/>
    <x v="0"/>
    <x v="0"/>
    <x v="5"/>
    <x v="586"/>
    <s v="Small Box"/>
    <n v="0.36"/>
    <d v="2012-05-23T00:00:00"/>
    <n v="0"/>
    <n v="0"/>
    <n v="1"/>
    <n v="1"/>
  </r>
  <r>
    <n v="2106"/>
    <n v="15074"/>
    <x v="666"/>
    <x v="11"/>
    <s v="Not Specified"/>
    <n v="27"/>
    <n v="941.4"/>
    <n v="0.05"/>
    <s v="Regular Air"/>
    <n v="369.48"/>
    <n v="35.44"/>
    <n v="5.09"/>
    <x v="743"/>
    <x v="12"/>
    <x v="4"/>
    <x v="1"/>
    <x v="0"/>
    <x v="5"/>
    <x v="120"/>
    <s v="Small Box"/>
    <n v="0.38"/>
    <d v="2009-11-29T00:00:00"/>
    <n v="0"/>
    <n v="0"/>
    <n v="1"/>
    <n v="1"/>
  </r>
  <r>
    <n v="2112"/>
    <n v="15104"/>
    <x v="923"/>
    <x v="33"/>
    <s v="Medium"/>
    <n v="23"/>
    <n v="109.43"/>
    <n v="0.09"/>
    <s v="Regular Air"/>
    <n v="21.7685"/>
    <n v="4.82"/>
    <n v="1.49"/>
    <x v="744"/>
    <x v="12"/>
    <x v="4"/>
    <x v="0"/>
    <x v="0"/>
    <x v="2"/>
    <x v="745"/>
    <s v="Small Box"/>
    <n v="0.36"/>
    <d v="2012-04-01T00:00:00"/>
    <n v="0"/>
    <n v="0"/>
    <n v="1"/>
    <n v="0.5"/>
  </r>
  <r>
    <n v="2339"/>
    <n v="16834"/>
    <x v="181"/>
    <x v="0"/>
    <s v="Low"/>
    <n v="23"/>
    <n v="158.78"/>
    <n v="7.0000000000000007E-2"/>
    <s v="Regular Air"/>
    <n v="33.26"/>
    <n v="7.04"/>
    <n v="2.17"/>
    <x v="597"/>
    <x v="12"/>
    <x v="4"/>
    <x v="1"/>
    <x v="0"/>
    <x v="5"/>
    <x v="135"/>
    <s v="Wrap Bag"/>
    <n v="0.38"/>
    <d v="2010-10-30T00:00:00"/>
    <n v="0"/>
    <n v="0"/>
    <n v="0.5"/>
    <n v="0.5"/>
  </r>
  <r>
    <n v="2407"/>
    <n v="17445"/>
    <x v="1049"/>
    <x v="21"/>
    <s v="Not Specified"/>
    <n v="33"/>
    <n v="249.48"/>
    <n v="0.1"/>
    <s v="Regular Air"/>
    <n v="-73.83"/>
    <n v="8.32"/>
    <n v="2.38"/>
    <x v="744"/>
    <x v="12"/>
    <x v="4"/>
    <x v="0"/>
    <x v="1"/>
    <x v="7"/>
    <x v="1090"/>
    <s v="Small Pack"/>
    <n v="0.74"/>
    <d v="2011-08-24T00:00:00"/>
    <n v="0"/>
    <n v="0"/>
    <n v="1"/>
    <n v="0.5"/>
  </r>
  <r>
    <n v="2574"/>
    <n v="18593"/>
    <x v="230"/>
    <x v="31"/>
    <s v="High"/>
    <n v="23"/>
    <n v="6572.04"/>
    <n v="0.06"/>
    <s v="Regular Air"/>
    <n v="1579.34"/>
    <n v="300.97000000000003"/>
    <n v="7.18"/>
    <x v="746"/>
    <x v="12"/>
    <x v="4"/>
    <x v="2"/>
    <x v="1"/>
    <x v="7"/>
    <x v="1130"/>
    <s v="Small Box"/>
    <n v="0.48"/>
    <d v="2011-09-23T00:00:00"/>
    <n v="0"/>
    <n v="0"/>
    <n v="0.5"/>
    <n v="0.5"/>
  </r>
  <r>
    <n v="2575"/>
    <n v="18593"/>
    <x v="230"/>
    <x v="31"/>
    <s v="High"/>
    <n v="19"/>
    <n v="1051.992"/>
    <n v="0.09"/>
    <s v="Delivery Truck"/>
    <n v="-1280.5999999999999"/>
    <n v="70.89"/>
    <n v="89.3"/>
    <x v="746"/>
    <x v="12"/>
    <x v="4"/>
    <x v="2"/>
    <x v="2"/>
    <x v="10"/>
    <x v="818"/>
    <s v="Jumbo Box"/>
    <n v="0.72"/>
    <d v="2011-09-24T00:00:00"/>
    <n v="0"/>
    <n v="0"/>
    <n v="0.5"/>
    <n v="0.5"/>
  </r>
  <r>
    <n v="2722"/>
    <n v="19652"/>
    <x v="734"/>
    <x v="8"/>
    <s v="Critical"/>
    <n v="28"/>
    <n v="2711.14"/>
    <n v="0.01"/>
    <s v="Delivery Truck"/>
    <n v="-307.86"/>
    <n v="89.99"/>
    <n v="42"/>
    <x v="746"/>
    <x v="12"/>
    <x v="4"/>
    <x v="2"/>
    <x v="2"/>
    <x v="14"/>
    <x v="668"/>
    <s v="Jumbo Drum"/>
    <n v="0.66"/>
    <d v="2012-06-03T00:00:00"/>
    <n v="0"/>
    <n v="0"/>
    <n v="0.5"/>
    <n v="0.5"/>
  </r>
  <r>
    <n v="2723"/>
    <n v="19652"/>
    <x v="734"/>
    <x v="8"/>
    <s v="Critical"/>
    <n v="34"/>
    <n v="1829.8715"/>
    <n v="0.05"/>
    <s v="Regular Air"/>
    <n v="367.46100000000001"/>
    <n v="65.989999999999995"/>
    <n v="3.99"/>
    <x v="746"/>
    <x v="12"/>
    <x v="4"/>
    <x v="2"/>
    <x v="1"/>
    <x v="3"/>
    <x v="930"/>
    <s v="Small Box"/>
    <n v="0.56999999999999995"/>
    <d v="2012-06-04T00:00:00"/>
    <n v="0"/>
    <n v="0"/>
    <n v="0.5"/>
    <n v="0.5"/>
  </r>
  <r>
    <n v="2879"/>
    <n v="20743"/>
    <x v="1282"/>
    <x v="25"/>
    <s v="High"/>
    <n v="39"/>
    <n v="231.21"/>
    <n v="0"/>
    <s v="Express Air"/>
    <n v="-179.96"/>
    <n v="5.28"/>
    <n v="8.16"/>
    <x v="745"/>
    <x v="12"/>
    <x v="4"/>
    <x v="1"/>
    <x v="0"/>
    <x v="5"/>
    <x v="1115"/>
    <s v="Small Box"/>
    <n v="0.4"/>
    <d v="2011-12-16T00:00:00"/>
    <n v="0"/>
    <n v="0"/>
    <n v="1"/>
    <n v="1"/>
  </r>
  <r>
    <n v="3047"/>
    <n v="21862"/>
    <x v="965"/>
    <x v="18"/>
    <s v="Not Specified"/>
    <n v="1"/>
    <n v="28.75"/>
    <n v="0.09"/>
    <s v="Express Air"/>
    <n v="-14.352"/>
    <n v="14.27"/>
    <n v="7.27"/>
    <x v="745"/>
    <x v="12"/>
    <x v="4"/>
    <x v="1"/>
    <x v="0"/>
    <x v="2"/>
    <x v="509"/>
    <s v="Small Box"/>
    <n v="0.38"/>
    <d v="2010-09-12T00:00:00"/>
    <n v="0"/>
    <n v="0"/>
    <n v="0.33333333333333331"/>
    <n v="0.33333333333333331"/>
  </r>
  <r>
    <n v="3048"/>
    <n v="21862"/>
    <x v="965"/>
    <x v="18"/>
    <s v="Not Specified"/>
    <n v="4"/>
    <n v="19014.240000000002"/>
    <n v="0.06"/>
    <s v="Regular Air"/>
    <n v="-10263.6597"/>
    <n v="6783.02"/>
    <n v="24.49"/>
    <x v="745"/>
    <x v="12"/>
    <x v="4"/>
    <x v="1"/>
    <x v="1"/>
    <x v="16"/>
    <x v="1135"/>
    <s v="Large Box"/>
    <n v="0.39"/>
    <d v="2010-09-14T00:00:00"/>
    <n v="0"/>
    <n v="0"/>
    <n v="0.33333333333333331"/>
    <n v="0.33333333333333331"/>
  </r>
  <r>
    <n v="3049"/>
    <n v="21862"/>
    <x v="965"/>
    <x v="18"/>
    <s v="Not Specified"/>
    <n v="46"/>
    <n v="385.05"/>
    <n v="0"/>
    <s v="Regular Air"/>
    <n v="56.75"/>
    <n v="8.14"/>
    <n v="3.12"/>
    <x v="745"/>
    <x v="12"/>
    <x v="4"/>
    <x v="1"/>
    <x v="0"/>
    <x v="12"/>
    <x v="1233"/>
    <s v="Wrap Bag"/>
    <n v="0.45"/>
    <d v="2010-09-13T00:00:00"/>
    <n v="0"/>
    <n v="0"/>
    <n v="0.33333333333333331"/>
    <n v="0.33333333333333331"/>
  </r>
  <r>
    <n v="3169"/>
    <n v="22787"/>
    <x v="621"/>
    <x v="37"/>
    <s v="Medium"/>
    <n v="35"/>
    <n v="46.44"/>
    <n v="0.06"/>
    <s v="Express Air"/>
    <n v="-16.3"/>
    <n v="1.26"/>
    <n v="0.7"/>
    <x v="704"/>
    <x v="12"/>
    <x v="4"/>
    <x v="2"/>
    <x v="0"/>
    <x v="6"/>
    <x v="230"/>
    <s v="Wrap Bag"/>
    <n v="0.81"/>
    <d v="2011-04-05T00:00:00"/>
    <n v="0"/>
    <n v="0"/>
    <n v="1"/>
    <n v="1"/>
  </r>
  <r>
    <n v="3229"/>
    <n v="23170"/>
    <x v="883"/>
    <x v="43"/>
    <s v="Not Specified"/>
    <n v="20"/>
    <n v="4252.8900000000003"/>
    <n v="0.06"/>
    <s v="Express Air"/>
    <n v="969.42"/>
    <n v="218.08"/>
    <n v="18.059999999999999"/>
    <x v="743"/>
    <x v="12"/>
    <x v="4"/>
    <x v="1"/>
    <x v="2"/>
    <x v="14"/>
    <x v="86"/>
    <s v="Large Box"/>
    <n v="0.56999999999999995"/>
    <d v="2009-05-23T00:00:00"/>
    <n v="0"/>
    <n v="0"/>
    <n v="1"/>
    <n v="1"/>
  </r>
  <r>
    <n v="3256"/>
    <n v="23328"/>
    <x v="437"/>
    <x v="18"/>
    <s v="High"/>
    <n v="39"/>
    <n v="5740.32"/>
    <n v="0.03"/>
    <s v="Delivery Truck"/>
    <n v="1285.74"/>
    <n v="145.44999999999999"/>
    <n v="17.850000000000001"/>
    <x v="744"/>
    <x v="12"/>
    <x v="4"/>
    <x v="0"/>
    <x v="1"/>
    <x v="16"/>
    <x v="127"/>
    <s v="Jumbo Drum"/>
    <n v="0.56000000000000005"/>
    <d v="2010-09-16T00:00:00"/>
    <n v="0"/>
    <n v="0"/>
    <n v="1"/>
    <n v="1"/>
  </r>
  <r>
    <n v="3403"/>
    <n v="24260"/>
    <x v="1348"/>
    <x v="0"/>
    <s v="Not Specified"/>
    <n v="48"/>
    <n v="548.29999999999995"/>
    <n v="0.09"/>
    <s v="Express Air"/>
    <n v="-47.92"/>
    <n v="11.97"/>
    <n v="4.9800000000000004"/>
    <x v="741"/>
    <x v="12"/>
    <x v="4"/>
    <x v="2"/>
    <x v="0"/>
    <x v="1"/>
    <x v="165"/>
    <s v="Small Box"/>
    <n v="0.57999999999999996"/>
    <d v="2010-10-04T00:00:00"/>
    <n v="0"/>
    <n v="0"/>
    <n v="1"/>
    <n v="1"/>
  </r>
  <r>
    <n v="3404"/>
    <n v="24261"/>
    <x v="1191"/>
    <x v="34"/>
    <s v="Critical"/>
    <n v="28"/>
    <n v="946.27"/>
    <n v="0.06"/>
    <s v="Regular Air"/>
    <n v="66.38"/>
    <n v="33.29"/>
    <n v="8.74"/>
    <x v="742"/>
    <x v="12"/>
    <x v="4"/>
    <x v="0"/>
    <x v="0"/>
    <x v="0"/>
    <x v="965"/>
    <s v="Small Box"/>
    <n v="0.61"/>
    <d v="2012-09-19T00:00:00"/>
    <n v="0"/>
    <n v="0"/>
    <n v="1"/>
    <n v="1"/>
  </r>
  <r>
    <n v="3646"/>
    <n v="26054"/>
    <x v="420"/>
    <x v="6"/>
    <s v="Critical"/>
    <n v="47"/>
    <n v="396.78"/>
    <n v="0.09"/>
    <s v="Regular Air"/>
    <n v="-321.20999999999998"/>
    <n v="8.3699999999999992"/>
    <n v="10.16"/>
    <x v="744"/>
    <x v="12"/>
    <x v="4"/>
    <x v="0"/>
    <x v="2"/>
    <x v="4"/>
    <x v="734"/>
    <s v="Large Box"/>
    <n v="0.59"/>
    <d v="2010-02-14T00:00:00"/>
    <n v="0"/>
    <n v="0"/>
    <n v="1"/>
    <n v="0.5"/>
  </r>
  <r>
    <n v="3887"/>
    <n v="27750"/>
    <x v="821"/>
    <x v="1"/>
    <s v="Low"/>
    <n v="12"/>
    <n v="769.17"/>
    <n v="0"/>
    <s v="Delivery Truck"/>
    <n v="-212.01"/>
    <n v="58.14"/>
    <n v="36.61"/>
    <x v="140"/>
    <x v="12"/>
    <x v="4"/>
    <x v="0"/>
    <x v="2"/>
    <x v="9"/>
    <x v="126"/>
    <s v="Jumbo Box"/>
    <n v="0.61"/>
    <d v="2012-10-23T00:00:00"/>
    <n v="0"/>
    <n v="0"/>
    <n v="0.5"/>
    <n v="0.25"/>
  </r>
  <r>
    <n v="3888"/>
    <n v="27750"/>
    <x v="821"/>
    <x v="1"/>
    <s v="Low"/>
    <n v="18"/>
    <n v="7370.84"/>
    <n v="0.09"/>
    <s v="Delivery Truck"/>
    <n v="999.86500000000001"/>
    <n v="449.99"/>
    <n v="49"/>
    <x v="140"/>
    <x v="12"/>
    <x v="4"/>
    <x v="0"/>
    <x v="1"/>
    <x v="13"/>
    <x v="26"/>
    <s v="Jumbo Drum"/>
    <n v="0.38"/>
    <d v="2012-10-19T00:00:00"/>
    <n v="0"/>
    <n v="0"/>
    <n v="0.5"/>
    <n v="0.25"/>
  </r>
  <r>
    <n v="3908"/>
    <n v="27872"/>
    <x v="1360"/>
    <x v="17"/>
    <s v="Not Specified"/>
    <n v="25"/>
    <n v="388.71"/>
    <n v="0.01"/>
    <s v="Regular Air"/>
    <n v="36.430999999999997"/>
    <n v="14.27"/>
    <n v="7.27"/>
    <x v="747"/>
    <x v="12"/>
    <x v="4"/>
    <x v="2"/>
    <x v="0"/>
    <x v="2"/>
    <x v="509"/>
    <s v="Small Box"/>
    <n v="0.38"/>
    <d v="2011-10-15T00:00:00"/>
    <n v="0"/>
    <n v="0"/>
    <n v="1"/>
    <n v="0.5"/>
  </r>
  <r>
    <n v="4368"/>
    <n v="31109"/>
    <x v="891"/>
    <x v="17"/>
    <s v="Low"/>
    <n v="49"/>
    <n v="1515"/>
    <n v="0.08"/>
    <s v="Regular Air"/>
    <n v="219.03649999999999"/>
    <n v="31.74"/>
    <n v="12.62"/>
    <x v="742"/>
    <x v="12"/>
    <x v="4"/>
    <x v="0"/>
    <x v="0"/>
    <x v="2"/>
    <x v="920"/>
    <s v="Small Box"/>
    <n v="0.37"/>
    <d v="2011-11-01T00:00:00"/>
    <n v="0"/>
    <n v="0"/>
    <n v="1"/>
    <n v="1"/>
  </r>
  <r>
    <n v="4521"/>
    <n v="32165"/>
    <x v="743"/>
    <x v="1"/>
    <s v="Not Specified"/>
    <n v="47"/>
    <n v="3413.69"/>
    <n v="0.06"/>
    <s v="Regular Air"/>
    <n v="175.24"/>
    <n v="73.98"/>
    <n v="14.52"/>
    <x v="140"/>
    <x v="12"/>
    <x v="4"/>
    <x v="0"/>
    <x v="1"/>
    <x v="7"/>
    <x v="640"/>
    <s v="Small Box"/>
    <n v="0.65"/>
    <d v="2012-10-16T00:00:00"/>
    <n v="0"/>
    <n v="0"/>
    <n v="0.5"/>
    <n v="0.25"/>
  </r>
  <r>
    <n v="4522"/>
    <n v="32165"/>
    <x v="743"/>
    <x v="1"/>
    <s v="Not Specified"/>
    <n v="38"/>
    <n v="2939.6824999999999"/>
    <n v="0.02"/>
    <s v="Regular Air"/>
    <n v="192.06"/>
    <n v="85.99"/>
    <n v="0.99"/>
    <x v="140"/>
    <x v="12"/>
    <x v="4"/>
    <x v="0"/>
    <x v="1"/>
    <x v="3"/>
    <x v="55"/>
    <s v="Wrap Bag"/>
    <n v="0.85"/>
    <d v="2012-10-15T00:00:00"/>
    <n v="0"/>
    <n v="0"/>
    <n v="0.5"/>
    <n v="0.25"/>
  </r>
  <r>
    <n v="4544"/>
    <n v="32325"/>
    <x v="279"/>
    <x v="32"/>
    <s v="Critical"/>
    <n v="45"/>
    <n v="1103.73"/>
    <n v="0"/>
    <s v="Regular Air"/>
    <n v="189.28"/>
    <n v="22.98"/>
    <n v="7.58"/>
    <x v="269"/>
    <x v="12"/>
    <x v="4"/>
    <x v="2"/>
    <x v="2"/>
    <x v="4"/>
    <x v="619"/>
    <s v="Small Box"/>
    <n v="0.51"/>
    <d v="2012-11-02T00:00:00"/>
    <n v="0"/>
    <n v="0"/>
    <n v="1"/>
    <n v="1"/>
  </r>
  <r>
    <n v="4627"/>
    <n v="32931"/>
    <x v="937"/>
    <x v="6"/>
    <s v="Low"/>
    <n v="31"/>
    <n v="86.1"/>
    <n v="0.06"/>
    <s v="Regular Air"/>
    <n v="32.700000000000003"/>
    <n v="2.88"/>
    <n v="0.5"/>
    <x v="747"/>
    <x v="12"/>
    <x v="4"/>
    <x v="2"/>
    <x v="0"/>
    <x v="11"/>
    <x v="1020"/>
    <s v="Small Box"/>
    <n v="0.36"/>
    <d v="2010-02-22T00:00:00"/>
    <n v="0"/>
    <n v="0"/>
    <n v="0.5"/>
    <n v="0.5"/>
  </r>
  <r>
    <n v="4628"/>
    <n v="32931"/>
    <x v="937"/>
    <x v="6"/>
    <s v="Low"/>
    <n v="25"/>
    <n v="298.11"/>
    <n v="0.08"/>
    <s v="Regular Air"/>
    <n v="-60.79"/>
    <n v="12.44"/>
    <n v="6.27"/>
    <x v="747"/>
    <x v="12"/>
    <x v="4"/>
    <x v="2"/>
    <x v="0"/>
    <x v="0"/>
    <x v="587"/>
    <s v="Medium Box"/>
    <n v="0.56999999999999995"/>
    <d v="2010-02-20T00:00:00"/>
    <n v="0"/>
    <n v="0"/>
    <n v="0.5"/>
    <n v="0.5"/>
  </r>
  <r>
    <n v="4660"/>
    <n v="33189"/>
    <x v="626"/>
    <x v="11"/>
    <s v="Low"/>
    <n v="3"/>
    <n v="87.21"/>
    <n v="0.02"/>
    <s v="Regular Air"/>
    <n v="-96.54"/>
    <n v="27.48"/>
    <n v="4"/>
    <x v="745"/>
    <x v="12"/>
    <x v="4"/>
    <x v="1"/>
    <x v="1"/>
    <x v="7"/>
    <x v="593"/>
    <s v="Small Box"/>
    <n v="0.75"/>
    <d v="2009-11-27T00:00:00"/>
    <n v="0"/>
    <n v="0"/>
    <n v="0.5"/>
    <n v="0.5"/>
  </r>
  <r>
    <n v="4661"/>
    <n v="33189"/>
    <x v="626"/>
    <x v="11"/>
    <s v="Low"/>
    <n v="5"/>
    <n v="50.19"/>
    <n v="0.08"/>
    <s v="Regular Air"/>
    <n v="0.14999999999999858"/>
    <n v="10.06"/>
    <n v="2.06"/>
    <x v="745"/>
    <x v="12"/>
    <x v="4"/>
    <x v="1"/>
    <x v="0"/>
    <x v="5"/>
    <x v="456"/>
    <s v="Wrap Bag"/>
    <n v="0.39"/>
    <d v="2009-11-24T00:00:00"/>
    <n v="0"/>
    <n v="0"/>
    <n v="0.5"/>
    <n v="0.5"/>
  </r>
  <r>
    <n v="4699"/>
    <n v="33479"/>
    <x v="1256"/>
    <x v="34"/>
    <s v="Critical"/>
    <n v="50"/>
    <n v="762.2"/>
    <n v="7.0000000000000007E-2"/>
    <s v="Regular Air"/>
    <n v="16.566499999999998"/>
    <n v="15.01"/>
    <n v="8.4"/>
    <x v="571"/>
    <x v="12"/>
    <x v="4"/>
    <x v="3"/>
    <x v="0"/>
    <x v="2"/>
    <x v="318"/>
    <s v="Small Box"/>
    <n v="0.39"/>
    <d v="2012-09-20T00:00:00"/>
    <n v="0"/>
    <n v="0"/>
    <n v="0.33333333333333331"/>
    <n v="0.33333333333333331"/>
  </r>
  <r>
    <n v="4700"/>
    <n v="33479"/>
    <x v="1256"/>
    <x v="34"/>
    <s v="Critical"/>
    <n v="27"/>
    <n v="235.45"/>
    <n v="0.06"/>
    <s v="Regular Air"/>
    <n v="-8.82"/>
    <n v="8.56"/>
    <n v="5.16"/>
    <x v="571"/>
    <x v="12"/>
    <x v="4"/>
    <x v="3"/>
    <x v="0"/>
    <x v="5"/>
    <x v="1203"/>
    <s v="Wrap Bag"/>
    <n v="0.38"/>
    <d v="2012-09-20T00:00:00"/>
    <n v="0"/>
    <n v="0"/>
    <n v="0.33333333333333331"/>
    <n v="0.33333333333333331"/>
  </r>
  <r>
    <n v="4827"/>
    <n v="34311"/>
    <x v="401"/>
    <x v="35"/>
    <s v="High"/>
    <n v="39"/>
    <n v="132.79"/>
    <n v="0.05"/>
    <s v="Regular Air"/>
    <n v="-100.24"/>
    <n v="3.28"/>
    <n v="3.97"/>
    <x v="54"/>
    <x v="12"/>
    <x v="4"/>
    <x v="2"/>
    <x v="0"/>
    <x v="12"/>
    <x v="429"/>
    <s v="Wrap Bag"/>
    <n v="0.56000000000000005"/>
    <d v="2009-09-06T00:00:00"/>
    <n v="0"/>
    <n v="0"/>
    <n v="0.5"/>
    <n v="0.5"/>
  </r>
  <r>
    <n v="4828"/>
    <n v="34311"/>
    <x v="401"/>
    <x v="35"/>
    <s v="High"/>
    <n v="32"/>
    <n v="232.85"/>
    <n v="0.03"/>
    <s v="Regular Air"/>
    <n v="-262.62"/>
    <n v="6.98"/>
    <n v="9.69"/>
    <x v="54"/>
    <x v="12"/>
    <x v="4"/>
    <x v="2"/>
    <x v="0"/>
    <x v="0"/>
    <x v="959"/>
    <s v="Small Box"/>
    <n v="0.83"/>
    <d v="2009-09-07T00:00:00"/>
    <n v="0"/>
    <n v="0"/>
    <n v="0.5"/>
    <n v="0.5"/>
  </r>
  <r>
    <n v="4937"/>
    <n v="35111"/>
    <x v="281"/>
    <x v="30"/>
    <s v="Critical"/>
    <n v="39"/>
    <n v="893.29"/>
    <n v="0.08"/>
    <s v="Regular Air"/>
    <n v="256.16000000000003"/>
    <n v="23.99"/>
    <n v="6.71"/>
    <x v="742"/>
    <x v="12"/>
    <x v="4"/>
    <x v="0"/>
    <x v="0"/>
    <x v="8"/>
    <x v="201"/>
    <s v="Small Box"/>
    <n v="0.35"/>
    <d v="2010-06-07T00:00:00"/>
    <n v="0"/>
    <n v="0"/>
    <n v="1"/>
    <n v="1"/>
  </r>
  <r>
    <n v="4947"/>
    <n v="35173"/>
    <x v="511"/>
    <x v="33"/>
    <s v="Not Specified"/>
    <n v="29"/>
    <n v="6483.26"/>
    <n v="0.09"/>
    <s v="Delivery Truck"/>
    <n v="341.98"/>
    <n v="240.98"/>
    <n v="60.2"/>
    <x v="54"/>
    <x v="12"/>
    <x v="4"/>
    <x v="2"/>
    <x v="2"/>
    <x v="9"/>
    <x v="885"/>
    <s v="Jumbo Box"/>
    <n v="0.56000000000000005"/>
    <d v="2012-03-15T00:00:00"/>
    <n v="0"/>
    <n v="0"/>
    <n v="0.5"/>
    <n v="0.5"/>
  </r>
  <r>
    <n v="4948"/>
    <n v="35173"/>
    <x v="511"/>
    <x v="33"/>
    <s v="Not Specified"/>
    <n v="13"/>
    <n v="1446.2070000000001"/>
    <n v="0.02"/>
    <s v="Regular Air"/>
    <n v="29.556000000000004"/>
    <n v="125.99"/>
    <n v="8.08"/>
    <x v="54"/>
    <x v="12"/>
    <x v="4"/>
    <x v="2"/>
    <x v="1"/>
    <x v="3"/>
    <x v="162"/>
    <s v="Small Box"/>
    <n v="0.56999999999999995"/>
    <d v="2012-03-15T00:00:00"/>
    <n v="0"/>
    <n v="0"/>
    <n v="0.5"/>
    <n v="0.5"/>
  </r>
  <r>
    <n v="5169"/>
    <n v="36773"/>
    <x v="22"/>
    <x v="18"/>
    <s v="Not Specified"/>
    <n v="24"/>
    <n v="2048.7800000000002"/>
    <n v="0.05"/>
    <s v="Regular Air"/>
    <n v="994.68"/>
    <n v="83.98"/>
    <n v="5.01"/>
    <x v="140"/>
    <x v="12"/>
    <x v="4"/>
    <x v="0"/>
    <x v="0"/>
    <x v="8"/>
    <x v="739"/>
    <s v="Small Box"/>
    <n v="0.38"/>
    <d v="2010-09-25T00:00:00"/>
    <n v="0"/>
    <n v="0"/>
    <n v="1"/>
    <n v="1"/>
  </r>
  <r>
    <n v="5205"/>
    <n v="36997"/>
    <x v="112"/>
    <x v="15"/>
    <s v="Not Specified"/>
    <n v="39"/>
    <n v="104.33"/>
    <n v="0"/>
    <s v="Regular Air"/>
    <n v="39.909999999999997"/>
    <n v="2.61"/>
    <n v="0.5"/>
    <x v="743"/>
    <x v="12"/>
    <x v="4"/>
    <x v="1"/>
    <x v="0"/>
    <x v="11"/>
    <x v="281"/>
    <s v="Small Box"/>
    <n v="0.39"/>
    <d v="2010-12-06T00:00:00"/>
    <n v="0"/>
    <n v="0"/>
    <n v="1"/>
    <n v="0.5"/>
  </r>
  <r>
    <n v="5295"/>
    <n v="37700"/>
    <x v="1124"/>
    <x v="47"/>
    <s v="Critical"/>
    <n v="27"/>
    <n v="3390.51"/>
    <n v="0.05"/>
    <s v="Express Air"/>
    <n v="1169.7105000000001"/>
    <n v="122.99"/>
    <n v="19.989999999999998"/>
    <x v="747"/>
    <x v="12"/>
    <x v="4"/>
    <x v="2"/>
    <x v="0"/>
    <x v="2"/>
    <x v="681"/>
    <s v="Small Box"/>
    <n v="0.37"/>
    <d v="2009-12-11T00:00:00"/>
    <n v="0"/>
    <n v="0"/>
    <n v="1"/>
    <n v="1"/>
  </r>
  <r>
    <n v="5421"/>
    <n v="38529"/>
    <x v="328"/>
    <x v="40"/>
    <s v="Low"/>
    <n v="38"/>
    <n v="44.85"/>
    <n v="0.02"/>
    <s v="Regular Air"/>
    <n v="-0.49"/>
    <n v="1.1399999999999999"/>
    <n v="0.7"/>
    <x v="269"/>
    <x v="12"/>
    <x v="4"/>
    <x v="2"/>
    <x v="0"/>
    <x v="6"/>
    <x v="1129"/>
    <s v="Wrap Bag"/>
    <n v="0.38"/>
    <d v="2009-02-02T00:00:00"/>
    <n v="0"/>
    <n v="0"/>
    <n v="1"/>
    <n v="1"/>
  </r>
  <r>
    <n v="5682"/>
    <n v="40162"/>
    <x v="1171"/>
    <x v="38"/>
    <s v="Critical"/>
    <n v="28"/>
    <n v="1581.23"/>
    <n v="0.03"/>
    <s v="Regular Air"/>
    <n v="760.79"/>
    <n v="55.98"/>
    <n v="5.15"/>
    <x v="571"/>
    <x v="12"/>
    <x v="4"/>
    <x v="3"/>
    <x v="0"/>
    <x v="5"/>
    <x v="883"/>
    <s v="Small Box"/>
    <n v="0.36"/>
    <d v="2010-01-26T00:00:00"/>
    <n v="1"/>
    <n v="0"/>
    <n v="1"/>
    <n v="1"/>
  </r>
  <r>
    <n v="5727"/>
    <n v="40612"/>
    <x v="1160"/>
    <x v="44"/>
    <s v="High"/>
    <n v="9"/>
    <n v="19.2"/>
    <n v="0.1"/>
    <s v="Regular Air"/>
    <n v="-6.84"/>
    <n v="2.21"/>
    <n v="1.1200000000000001"/>
    <x v="747"/>
    <x v="12"/>
    <x v="4"/>
    <x v="2"/>
    <x v="0"/>
    <x v="12"/>
    <x v="128"/>
    <s v="Wrap Bag"/>
    <n v="0.57999999999999996"/>
    <d v="2011-03-01T00:00:00"/>
    <n v="0"/>
    <n v="0"/>
    <n v="1"/>
    <n v="1"/>
  </r>
  <r>
    <n v="5918"/>
    <n v="41987"/>
    <x v="1255"/>
    <x v="17"/>
    <s v="Not Specified"/>
    <n v="25"/>
    <n v="6481.0480000000007"/>
    <n v="0.05"/>
    <s v="Delivery Truck"/>
    <n v="1760.11"/>
    <n v="320.64"/>
    <n v="29.2"/>
    <x v="747"/>
    <x v="12"/>
    <x v="4"/>
    <x v="2"/>
    <x v="2"/>
    <x v="10"/>
    <x v="1104"/>
    <s v="Jumbo Box"/>
    <n v="0.66"/>
    <d v="2011-10-22T00:00:00"/>
    <n v="0"/>
    <n v="0"/>
    <n v="1"/>
    <n v="0.5"/>
  </r>
  <r>
    <n v="5932"/>
    <n v="42083"/>
    <x v="1173"/>
    <x v="25"/>
    <s v="Critical"/>
    <n v="38"/>
    <n v="5526.16"/>
    <n v="0.03"/>
    <s v="Regular Air"/>
    <n v="1263.98"/>
    <n v="140.81"/>
    <n v="24.49"/>
    <x v="597"/>
    <x v="12"/>
    <x v="4"/>
    <x v="1"/>
    <x v="2"/>
    <x v="14"/>
    <x v="198"/>
    <s v="Large Box"/>
    <n v="0.56999999999999995"/>
    <d v="2011-12-13T00:00:00"/>
    <n v="0"/>
    <n v="0"/>
    <n v="0.33333333333333331"/>
    <n v="0.33333333333333331"/>
  </r>
  <r>
    <n v="5933"/>
    <n v="42083"/>
    <x v="1173"/>
    <x v="25"/>
    <s v="Critical"/>
    <n v="36"/>
    <n v="236.89"/>
    <n v="0.04"/>
    <s v="Regular Air"/>
    <n v="-86.3"/>
    <n v="6.48"/>
    <n v="6.22"/>
    <x v="597"/>
    <x v="12"/>
    <x v="4"/>
    <x v="1"/>
    <x v="0"/>
    <x v="5"/>
    <x v="731"/>
    <s v="Small Box"/>
    <n v="0.37"/>
    <d v="2011-12-13T00:00:00"/>
    <n v="0"/>
    <n v="0"/>
    <n v="0.33333333333333331"/>
    <n v="0.33333333333333331"/>
  </r>
  <r>
    <n v="5934"/>
    <n v="42083"/>
    <x v="1173"/>
    <x v="25"/>
    <s v="Critical"/>
    <n v="33"/>
    <n v="68.42"/>
    <n v="0.05"/>
    <s v="Regular Air"/>
    <n v="-57.97"/>
    <n v="2.08"/>
    <n v="2.56"/>
    <x v="597"/>
    <x v="12"/>
    <x v="4"/>
    <x v="1"/>
    <x v="0"/>
    <x v="15"/>
    <x v="583"/>
    <s v="Small Pack"/>
    <n v="0.55000000000000004"/>
    <d v="2011-12-11T00:00:00"/>
    <n v="0"/>
    <n v="0"/>
    <n v="0.33333333333333331"/>
    <n v="0.33333333333333331"/>
  </r>
  <r>
    <n v="5941"/>
    <n v="42151"/>
    <x v="1395"/>
    <x v="15"/>
    <s v="High"/>
    <n v="35"/>
    <n v="4408.6695"/>
    <n v="0.05"/>
    <s v="Regular Air"/>
    <n v="1140.6690000000001"/>
    <n v="155.99"/>
    <n v="3.9"/>
    <x v="743"/>
    <x v="12"/>
    <x v="4"/>
    <x v="1"/>
    <x v="1"/>
    <x v="3"/>
    <x v="149"/>
    <s v="Small Box"/>
    <n v="0.55000000000000004"/>
    <d v="2010-12-18T00:00:00"/>
    <n v="0"/>
    <n v="0"/>
    <n v="1"/>
    <n v="0.5"/>
  </r>
  <r>
    <n v="6021"/>
    <n v="42658"/>
    <x v="481"/>
    <x v="30"/>
    <s v="Medium"/>
    <n v="29"/>
    <n v="146.68"/>
    <n v="0.08"/>
    <s v="Regular Air"/>
    <n v="-8.3260000000000005"/>
    <n v="5.28"/>
    <n v="2.99"/>
    <x v="630"/>
    <x v="12"/>
    <x v="4"/>
    <x v="3"/>
    <x v="0"/>
    <x v="2"/>
    <x v="13"/>
    <s v="Small Box"/>
    <n v="0.37"/>
    <d v="2010-06-15T00:00:00"/>
    <n v="0"/>
    <n v="0"/>
    <n v="1"/>
    <n v="1"/>
  </r>
  <r>
    <n v="6200"/>
    <n v="43911"/>
    <x v="1233"/>
    <x v="22"/>
    <s v="Medium"/>
    <n v="29"/>
    <n v="577.89"/>
    <n v="0.06"/>
    <s v="Regular Air"/>
    <n v="-53.89"/>
    <n v="19.989999999999998"/>
    <n v="11.17"/>
    <x v="746"/>
    <x v="12"/>
    <x v="4"/>
    <x v="2"/>
    <x v="2"/>
    <x v="4"/>
    <x v="220"/>
    <s v="Large Box"/>
    <n v="0.6"/>
    <d v="2009-01-14T00:00:00"/>
    <n v="0"/>
    <n v="1"/>
    <n v="0.33333333333333331"/>
    <n v="0.33333333333333331"/>
  </r>
  <r>
    <n v="6201"/>
    <n v="43911"/>
    <x v="1233"/>
    <x v="22"/>
    <s v="Medium"/>
    <n v="36"/>
    <n v="9920.85"/>
    <n v="0"/>
    <s v="Delivery Truck"/>
    <n v="2685.19"/>
    <n v="264.98"/>
    <n v="17.86"/>
    <x v="746"/>
    <x v="12"/>
    <x v="4"/>
    <x v="2"/>
    <x v="1"/>
    <x v="16"/>
    <x v="908"/>
    <s v="Jumbo Drum"/>
    <n v="0.57999999999999996"/>
    <d v="2009-01-15T00:00:00"/>
    <n v="0"/>
    <n v="1"/>
    <n v="0.33333333333333331"/>
    <n v="0.33333333333333331"/>
  </r>
  <r>
    <n v="6202"/>
    <n v="43911"/>
    <x v="1233"/>
    <x v="22"/>
    <s v="Medium"/>
    <n v="23"/>
    <n v="7484.31"/>
    <n v="0.06"/>
    <s v="Delivery Truck"/>
    <n v="1278.45"/>
    <n v="320.98"/>
    <n v="58.95"/>
    <x v="746"/>
    <x v="12"/>
    <x v="4"/>
    <x v="2"/>
    <x v="2"/>
    <x v="14"/>
    <x v="81"/>
    <s v="Jumbo Drum"/>
    <n v="0.56999999999999995"/>
    <d v="2009-01-16T00:00:00"/>
    <n v="0"/>
    <n v="1"/>
    <n v="0.33333333333333331"/>
    <n v="0.33333333333333331"/>
  </r>
  <r>
    <n v="6215"/>
    <n v="44005"/>
    <x v="1152"/>
    <x v="18"/>
    <s v="Medium"/>
    <n v="7"/>
    <n v="733.36"/>
    <n v="0.02"/>
    <s v="Regular Air"/>
    <n v="-270.48"/>
    <n v="99.99"/>
    <n v="19.989999999999998"/>
    <x v="747"/>
    <x v="12"/>
    <x v="4"/>
    <x v="2"/>
    <x v="1"/>
    <x v="7"/>
    <x v="218"/>
    <s v="Small Box"/>
    <n v="0.52"/>
    <d v="2010-09-04T00:00:00"/>
    <n v="0"/>
    <n v="0"/>
    <n v="1"/>
    <n v="1"/>
  </r>
  <r>
    <n v="6285"/>
    <n v="44486"/>
    <x v="168"/>
    <x v="29"/>
    <s v="Critical"/>
    <n v="36"/>
    <n v="198.1"/>
    <n v="0.09"/>
    <s v="Regular Air"/>
    <n v="-66.930000000000007"/>
    <n v="5.78"/>
    <n v="4.96"/>
    <x v="359"/>
    <x v="12"/>
    <x v="4"/>
    <x v="0"/>
    <x v="0"/>
    <x v="5"/>
    <x v="572"/>
    <s v="Small Box"/>
    <n v="0.36"/>
    <d v="2012-07-12T00:00:00"/>
    <n v="0"/>
    <n v="0"/>
    <n v="1"/>
    <n v="1"/>
  </r>
  <r>
    <n v="6378"/>
    <n v="45284"/>
    <x v="411"/>
    <x v="23"/>
    <s v="High"/>
    <n v="7"/>
    <n v="91.43"/>
    <n v="0"/>
    <s v="Regular Air"/>
    <n v="-42.98"/>
    <n v="11.66"/>
    <n v="8.99"/>
    <x v="745"/>
    <x v="12"/>
    <x v="4"/>
    <x v="1"/>
    <x v="0"/>
    <x v="12"/>
    <x v="372"/>
    <s v="Small Pack"/>
    <n v="0.59"/>
    <d v="2012-01-08T00:00:00"/>
    <n v="0"/>
    <n v="0"/>
    <n v="1"/>
    <n v="1"/>
  </r>
  <r>
    <n v="6424"/>
    <n v="45668"/>
    <x v="611"/>
    <x v="15"/>
    <s v="Not Specified"/>
    <n v="8"/>
    <n v="704.77"/>
    <n v="0.01"/>
    <s v="Delivery Truck"/>
    <n v="-298.89999999999998"/>
    <n v="81.94"/>
    <n v="55.81"/>
    <x v="747"/>
    <x v="12"/>
    <x v="4"/>
    <x v="2"/>
    <x v="2"/>
    <x v="9"/>
    <x v="839"/>
    <s v="Jumbo Box"/>
    <n v="0.6"/>
    <d v="2010-12-13T00:00:00"/>
    <n v="0"/>
    <n v="0"/>
    <n v="1"/>
    <n v="1"/>
  </r>
  <r>
    <n v="6465"/>
    <n v="46023"/>
    <x v="561"/>
    <x v="33"/>
    <s v="Not Specified"/>
    <n v="50"/>
    <n v="1101.76"/>
    <n v="7.0000000000000007E-2"/>
    <s v="Regular Air"/>
    <n v="-204.22"/>
    <n v="21.66"/>
    <n v="13.99"/>
    <x v="744"/>
    <x v="12"/>
    <x v="4"/>
    <x v="0"/>
    <x v="0"/>
    <x v="1"/>
    <x v="116"/>
    <s v="Medium Box"/>
    <n v="0.52"/>
    <d v="2012-03-25T00:00:00"/>
    <n v="0"/>
    <n v="0"/>
    <n v="1"/>
    <n v="0.5"/>
  </r>
  <r>
    <n v="6544"/>
    <n v="46533"/>
    <x v="637"/>
    <x v="19"/>
    <s v="High"/>
    <n v="3"/>
    <n v="215.24"/>
    <n v="0.04"/>
    <s v="Regular Air"/>
    <n v="49.76"/>
    <n v="55.5"/>
    <n v="52.2"/>
    <x v="140"/>
    <x v="12"/>
    <x v="4"/>
    <x v="0"/>
    <x v="2"/>
    <x v="4"/>
    <x v="298"/>
    <s v="Medium Box"/>
    <n v="0.72"/>
    <d v="2009-10-08T00:00:00"/>
    <n v="0"/>
    <n v="0"/>
    <n v="0.5"/>
    <n v="0.5"/>
  </r>
  <r>
    <n v="6545"/>
    <n v="46533"/>
    <x v="637"/>
    <x v="19"/>
    <s v="High"/>
    <n v="12"/>
    <n v="654.87400000000002"/>
    <n v="0.1"/>
    <s v="Express Air"/>
    <n v="-82.06"/>
    <n v="65.989999999999995"/>
    <n v="3.99"/>
    <x v="140"/>
    <x v="12"/>
    <x v="4"/>
    <x v="0"/>
    <x v="1"/>
    <x v="3"/>
    <x v="440"/>
    <s v="Small Box"/>
    <n v="0.59"/>
    <d v="2009-10-09T00:00:00"/>
    <n v="0"/>
    <n v="0"/>
    <n v="0.5"/>
    <n v="0.5"/>
  </r>
  <r>
    <n v="6784"/>
    <n v="48321"/>
    <x v="144"/>
    <x v="42"/>
    <s v="High"/>
    <n v="31"/>
    <n v="5875.66"/>
    <n v="0.02"/>
    <s v="Regular Air"/>
    <n v="1856.12"/>
    <n v="178.47"/>
    <n v="19.989999999999998"/>
    <x v="743"/>
    <x v="12"/>
    <x v="4"/>
    <x v="1"/>
    <x v="0"/>
    <x v="0"/>
    <x v="902"/>
    <s v="Small Box"/>
    <n v="0.55000000000000004"/>
    <d v="2010-07-30T00:00:00"/>
    <n v="0"/>
    <n v="0"/>
    <n v="1"/>
    <n v="1"/>
  </r>
  <r>
    <n v="6837"/>
    <n v="48673"/>
    <x v="612"/>
    <x v="13"/>
    <s v="Not Specified"/>
    <n v="36"/>
    <n v="570.14"/>
    <n v="0.03"/>
    <s v="Regular Air"/>
    <n v="-90.72"/>
    <n v="15.31"/>
    <n v="8.7799999999999994"/>
    <x v="571"/>
    <x v="12"/>
    <x v="4"/>
    <x v="3"/>
    <x v="0"/>
    <x v="0"/>
    <x v="581"/>
    <s v="Small Box"/>
    <n v="0.56999999999999995"/>
    <d v="2012-04-27T00:00:00"/>
    <n v="0"/>
    <n v="0"/>
    <n v="1"/>
    <n v="1"/>
  </r>
  <r>
    <n v="6843"/>
    <n v="48742"/>
    <x v="912"/>
    <x v="13"/>
    <s v="Not Specified"/>
    <n v="42"/>
    <n v="825.63"/>
    <n v="0.03"/>
    <s v="Regular Air"/>
    <n v="379.73750000000001"/>
    <n v="18.940000000000001"/>
    <n v="1.49"/>
    <x v="745"/>
    <x v="12"/>
    <x v="4"/>
    <x v="1"/>
    <x v="0"/>
    <x v="2"/>
    <x v="695"/>
    <s v="Small Box"/>
    <n v="0.35"/>
    <d v="2012-04-19T00:00:00"/>
    <n v="0"/>
    <n v="0"/>
    <n v="1"/>
    <n v="1"/>
  </r>
  <r>
    <n v="6876"/>
    <n v="48998"/>
    <x v="920"/>
    <x v="40"/>
    <s v="Low"/>
    <n v="15"/>
    <n v="180.39"/>
    <n v="0.04"/>
    <s v="Regular Air"/>
    <n v="-8.11"/>
    <n v="11.58"/>
    <n v="6.97"/>
    <x v="748"/>
    <x v="12"/>
    <x v="4"/>
    <x v="3"/>
    <x v="0"/>
    <x v="8"/>
    <x v="188"/>
    <s v="Small Box"/>
    <n v="0.35"/>
    <d v="2009-02-18T00:00:00"/>
    <n v="0"/>
    <n v="0"/>
    <n v="1"/>
    <n v="1"/>
  </r>
  <r>
    <n v="7038"/>
    <n v="50246"/>
    <x v="1098"/>
    <x v="3"/>
    <s v="Medium"/>
    <n v="14"/>
    <n v="102.04"/>
    <n v="0.05"/>
    <s v="Express Air"/>
    <n v="-47.67"/>
    <n v="6.48"/>
    <n v="7.37"/>
    <x v="269"/>
    <x v="12"/>
    <x v="4"/>
    <x v="2"/>
    <x v="0"/>
    <x v="5"/>
    <x v="673"/>
    <s v="Small Box"/>
    <n v="0.37"/>
    <d v="2010-08-19T00:00:00"/>
    <n v="0"/>
    <n v="0"/>
    <n v="1"/>
    <n v="1"/>
  </r>
  <r>
    <n v="7172"/>
    <n v="51200"/>
    <x v="592"/>
    <x v="27"/>
    <s v="Medium"/>
    <n v="29"/>
    <n v="1617.88"/>
    <n v="0"/>
    <s v="Regular Air"/>
    <n v="271.89999999999998"/>
    <n v="53.98"/>
    <n v="5.5"/>
    <x v="359"/>
    <x v="12"/>
    <x v="4"/>
    <x v="0"/>
    <x v="1"/>
    <x v="7"/>
    <x v="742"/>
    <s v="Small Box"/>
    <n v="0.62"/>
    <d v="2011-11-21T00:00:00"/>
    <n v="0"/>
    <n v="0"/>
    <n v="1"/>
    <n v="1"/>
  </r>
  <r>
    <n v="7189"/>
    <n v="51271"/>
    <x v="702"/>
    <x v="0"/>
    <s v="High"/>
    <n v="31"/>
    <n v="3969.43"/>
    <n v="0.1"/>
    <s v="Delivery Truck"/>
    <n v="-796.51"/>
    <n v="140.97999999999999"/>
    <n v="36.090000000000003"/>
    <x v="743"/>
    <x v="12"/>
    <x v="4"/>
    <x v="1"/>
    <x v="2"/>
    <x v="9"/>
    <x v="228"/>
    <s v="Jumbo Box"/>
    <n v="0.77"/>
    <d v="2010-10-27T00:00:00"/>
    <n v="0"/>
    <n v="0"/>
    <n v="0.5"/>
    <n v="0.5"/>
  </r>
  <r>
    <n v="7190"/>
    <n v="51271"/>
    <x v="702"/>
    <x v="0"/>
    <s v="High"/>
    <n v="16"/>
    <n v="2882.7069999999999"/>
    <n v="0.02"/>
    <s v="Regular Air"/>
    <n v="303.22800000000001"/>
    <n v="205.99"/>
    <n v="5"/>
    <x v="743"/>
    <x v="12"/>
    <x v="4"/>
    <x v="1"/>
    <x v="1"/>
    <x v="3"/>
    <x v="963"/>
    <s v="Small Box"/>
    <n v="0.59"/>
    <d v="2010-10-27T00:00:00"/>
    <n v="0"/>
    <n v="0"/>
    <n v="0.5"/>
    <n v="0.5"/>
  </r>
  <r>
    <n v="7191"/>
    <n v="51297"/>
    <x v="289"/>
    <x v="32"/>
    <s v="Low"/>
    <n v="41"/>
    <n v="356.28"/>
    <n v="7.0000000000000007E-2"/>
    <s v="Express Air"/>
    <n v="65.756"/>
    <n v="8.69"/>
    <n v="2.99"/>
    <x v="359"/>
    <x v="12"/>
    <x v="4"/>
    <x v="0"/>
    <x v="0"/>
    <x v="2"/>
    <x v="2"/>
    <s v="Small Box"/>
    <n v="0.39"/>
    <d v="2012-11-20T00:00:00"/>
    <n v="0"/>
    <n v="0"/>
    <n v="1"/>
    <n v="1"/>
  </r>
  <r>
    <n v="7266"/>
    <n v="51842"/>
    <x v="1328"/>
    <x v="27"/>
    <s v="Low"/>
    <n v="1"/>
    <n v="54.22"/>
    <n v="0.02"/>
    <s v="Regular Air"/>
    <n v="-19.09"/>
    <n v="48.91"/>
    <n v="5.81"/>
    <x v="746"/>
    <x v="12"/>
    <x v="4"/>
    <x v="2"/>
    <x v="0"/>
    <x v="5"/>
    <x v="83"/>
    <s v="Small Box"/>
    <n v="0.38"/>
    <d v="2011-12-03T00:00:00"/>
    <n v="0"/>
    <n v="0"/>
    <n v="0.5"/>
    <n v="0.5"/>
  </r>
  <r>
    <n v="7267"/>
    <n v="51842"/>
    <x v="1328"/>
    <x v="27"/>
    <s v="Low"/>
    <n v="4"/>
    <n v="431.11"/>
    <n v="7.0000000000000007E-2"/>
    <s v="Regular Air"/>
    <n v="-244.33"/>
    <n v="101.41"/>
    <n v="35"/>
    <x v="746"/>
    <x v="12"/>
    <x v="4"/>
    <x v="2"/>
    <x v="0"/>
    <x v="0"/>
    <x v="925"/>
    <s v="Large Box"/>
    <n v="0.82"/>
    <d v="2011-12-02T00:00:00"/>
    <n v="0"/>
    <n v="0"/>
    <n v="0.5"/>
    <n v="0.5"/>
  </r>
  <r>
    <n v="7282"/>
    <n v="51968"/>
    <x v="401"/>
    <x v="35"/>
    <s v="Medium"/>
    <n v="43"/>
    <n v="3231.5639999999999"/>
    <n v="0.03"/>
    <s v="Regular Air"/>
    <n v="1166.0940000000001"/>
    <n v="85.99"/>
    <n v="0.99"/>
    <x v="748"/>
    <x v="12"/>
    <x v="4"/>
    <x v="3"/>
    <x v="1"/>
    <x v="3"/>
    <x v="576"/>
    <s v="Wrap Bag"/>
    <n v="0.55000000000000004"/>
    <d v="2009-09-06T00:00:00"/>
    <n v="0"/>
    <n v="0"/>
    <n v="1"/>
    <n v="1"/>
  </r>
  <r>
    <n v="7374"/>
    <n v="52578"/>
    <x v="332"/>
    <x v="5"/>
    <s v="Critical"/>
    <n v="38"/>
    <n v="6230.68"/>
    <n v="0.09"/>
    <s v="Delivery Truck"/>
    <n v="835.46"/>
    <n v="217.85"/>
    <n v="29.1"/>
    <x v="626"/>
    <x v="12"/>
    <x v="4"/>
    <x v="1"/>
    <x v="2"/>
    <x v="10"/>
    <x v="905"/>
    <s v="Jumbo Box"/>
    <n v="0.68"/>
    <d v="2011-03-09T00:00:00"/>
    <n v="0"/>
    <n v="0"/>
    <n v="0.5"/>
    <n v="0.33333333333333331"/>
  </r>
  <r>
    <n v="7375"/>
    <n v="52578"/>
    <x v="332"/>
    <x v="5"/>
    <s v="Critical"/>
    <n v="8"/>
    <n v="1391.816"/>
    <n v="0.05"/>
    <s v="Regular Air"/>
    <n v="-344.82"/>
    <n v="209.37"/>
    <n v="69"/>
    <x v="626"/>
    <x v="12"/>
    <x v="4"/>
    <x v="1"/>
    <x v="2"/>
    <x v="10"/>
    <x v="724"/>
    <s v="Large Box"/>
    <n v="0.79"/>
    <d v="2011-03-10T00:00:00"/>
    <n v="0"/>
    <n v="0"/>
    <n v="0.5"/>
    <n v="0.33333333333333331"/>
  </r>
  <r>
    <n v="7439"/>
    <n v="53027"/>
    <x v="320"/>
    <x v="0"/>
    <s v="Low"/>
    <n v="38"/>
    <n v="1323.31"/>
    <n v="0.05"/>
    <s v="Regular Air"/>
    <n v="146.63999999999999"/>
    <n v="35.89"/>
    <n v="14.72"/>
    <x v="748"/>
    <x v="12"/>
    <x v="4"/>
    <x v="3"/>
    <x v="0"/>
    <x v="8"/>
    <x v="635"/>
    <s v="Small Box"/>
    <n v="0.4"/>
    <d v="2010-10-26T00:00:00"/>
    <n v="0"/>
    <n v="0"/>
    <n v="1"/>
    <n v="1"/>
  </r>
  <r>
    <n v="7580"/>
    <n v="54214"/>
    <x v="173"/>
    <x v="23"/>
    <s v="Medium"/>
    <n v="38"/>
    <n v="7325.63"/>
    <n v="0.04"/>
    <s v="Express Air"/>
    <n v="1899.23"/>
    <n v="199.99"/>
    <n v="24.49"/>
    <x v="744"/>
    <x v="12"/>
    <x v="4"/>
    <x v="0"/>
    <x v="1"/>
    <x v="13"/>
    <x v="473"/>
    <s v="Large Box"/>
    <n v="0.46"/>
    <d v="2012-01-05T00:00:00"/>
    <n v="0"/>
    <n v="0"/>
    <n v="1"/>
    <n v="1"/>
  </r>
  <r>
    <n v="7594"/>
    <n v="54342"/>
    <x v="1405"/>
    <x v="41"/>
    <s v="Low"/>
    <n v="35"/>
    <n v="3439.39"/>
    <n v="0.05"/>
    <s v="Express Air"/>
    <n v="1057.6199999999999"/>
    <n v="100.97"/>
    <n v="7.18"/>
    <x v="626"/>
    <x v="12"/>
    <x v="4"/>
    <x v="1"/>
    <x v="1"/>
    <x v="7"/>
    <x v="824"/>
    <s v="Small Box"/>
    <n v="0.46"/>
    <d v="2009-06-08T00:00:00"/>
    <n v="0"/>
    <n v="0"/>
    <n v="0.5"/>
    <n v="0.5"/>
  </r>
  <r>
    <n v="7595"/>
    <n v="54342"/>
    <x v="1405"/>
    <x v="41"/>
    <s v="Low"/>
    <n v="2"/>
    <n v="10.48"/>
    <n v="0.02"/>
    <s v="Regular Air"/>
    <n v="-5.65"/>
    <n v="4.84"/>
    <n v="0.71"/>
    <x v="626"/>
    <x v="12"/>
    <x v="4"/>
    <x v="1"/>
    <x v="0"/>
    <x v="12"/>
    <x v="486"/>
    <s v="Wrap Bag"/>
    <n v="0.52"/>
    <d v="2009-06-08T00:00:00"/>
    <n v="0"/>
    <n v="0"/>
    <n v="0.5"/>
    <n v="0.5"/>
  </r>
  <r>
    <n v="7635"/>
    <n v="54656"/>
    <x v="308"/>
    <x v="32"/>
    <s v="High"/>
    <n v="22"/>
    <n v="109.52"/>
    <n v="0.09"/>
    <s v="Express Air"/>
    <n v="-73.347000000000008"/>
    <n v="4.54"/>
    <n v="5.83"/>
    <x v="746"/>
    <x v="12"/>
    <x v="4"/>
    <x v="2"/>
    <x v="0"/>
    <x v="2"/>
    <x v="971"/>
    <s v="Small Box"/>
    <n v="0.36"/>
    <d v="2012-11-21T00:00:00"/>
    <n v="0"/>
    <n v="0"/>
    <n v="1"/>
    <n v="1"/>
  </r>
  <r>
    <n v="7664"/>
    <n v="54949"/>
    <x v="124"/>
    <x v="26"/>
    <s v="Low"/>
    <n v="32"/>
    <n v="210.94"/>
    <n v="0.08"/>
    <s v="Regular Air"/>
    <n v="-94.59"/>
    <n v="6.48"/>
    <n v="6.81"/>
    <x v="747"/>
    <x v="12"/>
    <x v="4"/>
    <x v="2"/>
    <x v="0"/>
    <x v="5"/>
    <x v="183"/>
    <s v="Small Box"/>
    <n v="0.36"/>
    <d v="2009-08-15T00:00:00"/>
    <n v="0"/>
    <n v="0"/>
    <n v="0.5"/>
    <n v="0.5"/>
  </r>
  <r>
    <n v="7665"/>
    <n v="54949"/>
    <x v="124"/>
    <x v="26"/>
    <s v="Low"/>
    <n v="7"/>
    <n v="192.02"/>
    <n v="0.09"/>
    <s v="Delivery Truck"/>
    <n v="-293.74"/>
    <n v="20.98"/>
    <n v="53.03"/>
    <x v="747"/>
    <x v="12"/>
    <x v="4"/>
    <x v="2"/>
    <x v="0"/>
    <x v="0"/>
    <x v="111"/>
    <s v="Jumbo Drum"/>
    <n v="0.78"/>
    <d v="2009-08-17T00:00:00"/>
    <n v="0"/>
    <n v="0"/>
    <n v="0.5"/>
    <n v="0.5"/>
  </r>
  <r>
    <n v="7802"/>
    <n v="55813"/>
    <x v="444"/>
    <x v="29"/>
    <s v="Low"/>
    <n v="39"/>
    <n v="2650.77"/>
    <n v="0.08"/>
    <s v="Regular Air"/>
    <n v="-824.43"/>
    <n v="70.709999999999994"/>
    <n v="37.58"/>
    <x v="269"/>
    <x v="12"/>
    <x v="4"/>
    <x v="2"/>
    <x v="2"/>
    <x v="4"/>
    <x v="563"/>
    <s v="Wrap Bag"/>
    <n v="0.78"/>
    <d v="2012-07-28T00:00:00"/>
    <n v="0"/>
    <n v="0"/>
    <n v="1"/>
    <n v="1"/>
  </r>
  <r>
    <n v="7910"/>
    <n v="56577"/>
    <x v="1189"/>
    <x v="27"/>
    <s v="Critical"/>
    <n v="19"/>
    <n v="1134.2"/>
    <n v="0.08"/>
    <s v="Delivery Truck"/>
    <n v="-351.51"/>
    <n v="58.14"/>
    <n v="36.61"/>
    <x v="552"/>
    <x v="12"/>
    <x v="4"/>
    <x v="0"/>
    <x v="2"/>
    <x v="9"/>
    <x v="126"/>
    <s v="Jumbo Box"/>
    <n v="0.61"/>
    <d v="2011-11-04T00:00:00"/>
    <n v="0"/>
    <n v="0"/>
    <n v="0.5"/>
    <n v="0.5"/>
  </r>
  <r>
    <n v="7954"/>
    <n v="56834"/>
    <x v="732"/>
    <x v="10"/>
    <s v="High"/>
    <n v="22"/>
    <n v="1900.47"/>
    <n v="0"/>
    <s v="Delivery Truck"/>
    <n v="202.73"/>
    <n v="80.97"/>
    <n v="30.06"/>
    <x v="269"/>
    <x v="12"/>
    <x v="4"/>
    <x v="2"/>
    <x v="1"/>
    <x v="16"/>
    <x v="792"/>
    <s v="Jumbo Box"/>
    <n v="0.4"/>
    <d v="2011-05-03T00:00:00"/>
    <n v="0"/>
    <n v="0"/>
    <n v="0.5"/>
    <n v="0.5"/>
  </r>
  <r>
    <n v="7955"/>
    <n v="56834"/>
    <x v="732"/>
    <x v="10"/>
    <s v="High"/>
    <n v="33"/>
    <n v="205.52"/>
    <n v="0.09"/>
    <s v="Regular Air"/>
    <n v="-118.55"/>
    <n v="6.48"/>
    <n v="7.03"/>
    <x v="269"/>
    <x v="12"/>
    <x v="4"/>
    <x v="2"/>
    <x v="0"/>
    <x v="5"/>
    <x v="72"/>
    <s v="Small Box"/>
    <n v="0.37"/>
    <d v="2011-05-02T00:00:00"/>
    <n v="0"/>
    <n v="0"/>
    <n v="0.5"/>
    <n v="0.5"/>
  </r>
  <r>
    <n v="8031"/>
    <n v="57380"/>
    <x v="333"/>
    <x v="17"/>
    <s v="Low"/>
    <n v="3"/>
    <n v="545.88"/>
    <n v="0.05"/>
    <s v="Delivery Truck"/>
    <n v="-95.04"/>
    <n v="212.6"/>
    <n v="52.2"/>
    <x v="626"/>
    <x v="12"/>
    <x v="4"/>
    <x v="1"/>
    <x v="2"/>
    <x v="10"/>
    <x v="763"/>
    <s v="Jumbo Box"/>
    <n v="0.64"/>
    <d v="2011-10-24T00:00:00"/>
    <n v="0"/>
    <n v="0"/>
    <n v="1"/>
    <n v="1"/>
  </r>
  <r>
    <n v="8213"/>
    <n v="58722"/>
    <x v="1237"/>
    <x v="1"/>
    <s v="Critical"/>
    <n v="45"/>
    <n v="4042.96"/>
    <n v="0.05"/>
    <s v="Delivery Truck"/>
    <n v="-699.72"/>
    <n v="89.99"/>
    <n v="42"/>
    <x v="359"/>
    <x v="12"/>
    <x v="4"/>
    <x v="0"/>
    <x v="2"/>
    <x v="14"/>
    <x v="668"/>
    <s v="Jumbo Drum"/>
    <n v="0.66"/>
    <d v="2012-10-13T00:00:00"/>
    <n v="0"/>
    <n v="0"/>
    <n v="1"/>
    <n v="1"/>
  </r>
  <r>
    <n v="8249"/>
    <n v="58981"/>
    <x v="407"/>
    <x v="16"/>
    <s v="High"/>
    <n v="28"/>
    <n v="1262.75"/>
    <n v="7.0000000000000007E-2"/>
    <s v="Regular Air"/>
    <n v="422.23"/>
    <n v="46.89"/>
    <n v="5.0999999999999996"/>
    <x v="746"/>
    <x v="12"/>
    <x v="4"/>
    <x v="2"/>
    <x v="0"/>
    <x v="1"/>
    <x v="233"/>
    <s v="Medium Box"/>
    <n v="0.46"/>
    <d v="2011-02-02T00:00:00"/>
    <n v="0"/>
    <n v="0"/>
    <n v="1"/>
    <n v="1"/>
  </r>
  <r>
    <n v="8356"/>
    <n v="59686"/>
    <x v="174"/>
    <x v="5"/>
    <s v="Low"/>
    <n v="41"/>
    <n v="243.37"/>
    <n v="0.01"/>
    <s v="Regular Air"/>
    <n v="-106.42100000000001"/>
    <n v="5.8"/>
    <n v="5.59"/>
    <x v="747"/>
    <x v="12"/>
    <x v="4"/>
    <x v="2"/>
    <x v="0"/>
    <x v="2"/>
    <x v="770"/>
    <s v="Small Box"/>
    <n v="0.4"/>
    <d v="2011-03-13T00:00:00"/>
    <n v="0"/>
    <n v="0"/>
    <n v="1"/>
    <n v="1"/>
  </r>
  <r>
    <n v="939"/>
    <n v="6791"/>
    <x v="650"/>
    <x v="44"/>
    <s v="Medium"/>
    <n v="14"/>
    <n v="730.33"/>
    <n v="0.1"/>
    <s v="Express Air"/>
    <n v="110.77"/>
    <n v="51.98"/>
    <n v="10.17"/>
    <x v="486"/>
    <x v="12"/>
    <x v="4"/>
    <x v="0"/>
    <x v="1"/>
    <x v="16"/>
    <x v="913"/>
    <s v="Medium Box"/>
    <n v="0.37"/>
    <d v="2011-02-03T00:00:00"/>
    <n v="0"/>
    <n v="0"/>
    <n v="1"/>
    <n v="1"/>
  </r>
  <r>
    <n v="1359"/>
    <n v="9895"/>
    <x v="875"/>
    <x v="24"/>
    <s v="Low"/>
    <n v="9"/>
    <n v="54.79"/>
    <n v="0.05"/>
    <s v="Regular Air"/>
    <n v="-6.82"/>
    <n v="5.85"/>
    <n v="2.27"/>
    <x v="218"/>
    <x v="12"/>
    <x v="4"/>
    <x v="0"/>
    <x v="0"/>
    <x v="12"/>
    <x v="338"/>
    <s v="Wrap Bag"/>
    <n v="0.56000000000000005"/>
    <d v="2010-04-24T00:00:00"/>
    <n v="0"/>
    <n v="0"/>
    <n v="1"/>
    <n v="1"/>
  </r>
  <r>
    <n v="1640"/>
    <n v="11846"/>
    <x v="875"/>
    <x v="24"/>
    <s v="Low"/>
    <n v="49"/>
    <n v="7319.85"/>
    <n v="0.03"/>
    <s v="Regular Air"/>
    <n v="611.42999999999995"/>
    <n v="152.47999999999999"/>
    <n v="4"/>
    <x v="749"/>
    <x v="12"/>
    <x v="4"/>
    <x v="2"/>
    <x v="1"/>
    <x v="7"/>
    <x v="659"/>
    <s v="Small Box"/>
    <n v="0.79"/>
    <d v="2010-04-24T00:00:00"/>
    <n v="0"/>
    <n v="0"/>
    <n v="0.5"/>
    <n v="0.5"/>
  </r>
  <r>
    <n v="1641"/>
    <n v="11846"/>
    <x v="875"/>
    <x v="24"/>
    <s v="Low"/>
    <n v="28"/>
    <n v="707.44"/>
    <n v="0.01"/>
    <s v="Express Air"/>
    <n v="-50.27"/>
    <n v="24.98"/>
    <n v="8.7899999999999991"/>
    <x v="749"/>
    <x v="12"/>
    <x v="4"/>
    <x v="2"/>
    <x v="0"/>
    <x v="0"/>
    <x v="1055"/>
    <s v="Small Box"/>
    <n v="0.66"/>
    <d v="2010-04-27T00:00:00"/>
    <n v="0"/>
    <n v="0"/>
    <n v="0.5"/>
    <n v="0.5"/>
  </r>
  <r>
    <n v="1733"/>
    <n v="12450"/>
    <x v="1168"/>
    <x v="28"/>
    <s v="Not Specified"/>
    <n v="15"/>
    <n v="1146.4100000000001"/>
    <n v="0"/>
    <s v="Regular Air"/>
    <n v="-88.61"/>
    <n v="73.98"/>
    <n v="14.52"/>
    <x v="486"/>
    <x v="12"/>
    <x v="4"/>
    <x v="0"/>
    <x v="1"/>
    <x v="7"/>
    <x v="640"/>
    <s v="Small Box"/>
    <n v="0.65"/>
    <d v="2009-03-14T00:00:00"/>
    <n v="0"/>
    <n v="0"/>
    <n v="1"/>
    <n v="1"/>
  </r>
  <r>
    <n v="2290"/>
    <n v="16518"/>
    <x v="1286"/>
    <x v="34"/>
    <s v="Critical"/>
    <n v="4"/>
    <n v="80.290000000000006"/>
    <n v="0.03"/>
    <s v="Regular Air"/>
    <n v="-6.57"/>
    <n v="18.97"/>
    <n v="5.21"/>
    <x v="749"/>
    <x v="12"/>
    <x v="4"/>
    <x v="2"/>
    <x v="0"/>
    <x v="5"/>
    <x v="82"/>
    <s v="Small Box"/>
    <n v="0.37"/>
    <d v="2012-09-30T00:00:00"/>
    <n v="0"/>
    <n v="0"/>
    <n v="0.5"/>
    <n v="0.5"/>
  </r>
  <r>
    <n v="2291"/>
    <n v="16518"/>
    <x v="1286"/>
    <x v="34"/>
    <s v="Critical"/>
    <n v="36"/>
    <n v="2628.9224999999997"/>
    <n v="0.03"/>
    <s v="Regular Air"/>
    <n v="832.19399999999996"/>
    <n v="85.99"/>
    <n v="0.99"/>
    <x v="749"/>
    <x v="12"/>
    <x v="4"/>
    <x v="2"/>
    <x v="1"/>
    <x v="3"/>
    <x v="576"/>
    <s v="Wrap Bag"/>
    <n v="0.55000000000000004"/>
    <d v="2012-10-02T00:00:00"/>
    <n v="0"/>
    <n v="0"/>
    <n v="0.5"/>
    <n v="0.5"/>
  </r>
  <r>
    <n v="2459"/>
    <n v="17860"/>
    <x v="822"/>
    <x v="37"/>
    <s v="Critical"/>
    <n v="16"/>
    <n v="139"/>
    <n v="0.05"/>
    <s v="Express Air"/>
    <n v="-96.33"/>
    <n v="7.77"/>
    <n v="9.23"/>
    <x v="218"/>
    <x v="12"/>
    <x v="4"/>
    <x v="0"/>
    <x v="0"/>
    <x v="1"/>
    <x v="1009"/>
    <s v="Small Box"/>
    <n v="0.57999999999999996"/>
    <d v="2011-04-08T00:00:00"/>
    <n v="0"/>
    <n v="0"/>
    <n v="1"/>
    <n v="1"/>
  </r>
  <r>
    <n v="2465"/>
    <n v="17952"/>
    <x v="128"/>
    <x v="0"/>
    <s v="Medium"/>
    <n v="28"/>
    <n v="430.13"/>
    <n v="0.02"/>
    <s v="Regular Air"/>
    <n v="2.33"/>
    <n v="14.42"/>
    <n v="6.75"/>
    <x v="749"/>
    <x v="12"/>
    <x v="4"/>
    <x v="0"/>
    <x v="0"/>
    <x v="1"/>
    <x v="793"/>
    <s v="Medium Box"/>
    <n v="0.52"/>
    <d v="2010-10-12T00:00:00"/>
    <n v="0"/>
    <n v="0"/>
    <n v="1"/>
    <n v="1"/>
  </r>
  <r>
    <n v="2578"/>
    <n v="18596"/>
    <x v="555"/>
    <x v="1"/>
    <s v="Low"/>
    <n v="42"/>
    <n v="4917.6899999999996"/>
    <n v="0.02"/>
    <s v="Delivery Truck"/>
    <n v="126.31"/>
    <n v="110.98"/>
    <n v="30"/>
    <x v="218"/>
    <x v="12"/>
    <x v="4"/>
    <x v="0"/>
    <x v="2"/>
    <x v="14"/>
    <x v="503"/>
    <s v="Jumbo Drum"/>
    <n v="0.71"/>
    <d v="2012-10-04T00:00:00"/>
    <n v="0"/>
    <n v="0"/>
    <n v="0.5"/>
    <n v="0.5"/>
  </r>
  <r>
    <n v="2579"/>
    <n v="18596"/>
    <x v="555"/>
    <x v="1"/>
    <s v="Low"/>
    <n v="32"/>
    <n v="416.8"/>
    <n v="0.01"/>
    <s v="Regular Air"/>
    <n v="223.38"/>
    <n v="12.53"/>
    <n v="0.5"/>
    <x v="218"/>
    <x v="12"/>
    <x v="4"/>
    <x v="0"/>
    <x v="0"/>
    <x v="11"/>
    <x v="397"/>
    <s v="Small Box"/>
    <n v="0.38"/>
    <d v="2012-10-04T00:00:00"/>
    <n v="0"/>
    <n v="0"/>
    <n v="0.5"/>
    <n v="0.5"/>
  </r>
  <r>
    <n v="2957"/>
    <n v="21410"/>
    <x v="1364"/>
    <x v="20"/>
    <s v="Critical"/>
    <n v="16"/>
    <n v="2101.59"/>
    <n v="0.01"/>
    <s v="Express Air"/>
    <n v="554.91"/>
    <n v="123.38"/>
    <n v="24.49"/>
    <x v="486"/>
    <x v="12"/>
    <x v="4"/>
    <x v="2"/>
    <x v="0"/>
    <x v="1"/>
    <x v="1225"/>
    <s v="Large Box"/>
    <n v="0.46"/>
    <d v="2012-05-03T00:00:00"/>
    <n v="0"/>
    <n v="0"/>
    <n v="1"/>
    <n v="0.5"/>
  </r>
  <r>
    <n v="3148"/>
    <n v="22563"/>
    <x v="399"/>
    <x v="20"/>
    <s v="Critical"/>
    <n v="32"/>
    <n v="251.51"/>
    <n v="0.06"/>
    <s v="Regular Air"/>
    <n v="-9.7799999999999994"/>
    <n v="7.7"/>
    <n v="3.68"/>
    <x v="750"/>
    <x v="12"/>
    <x v="4"/>
    <x v="3"/>
    <x v="2"/>
    <x v="4"/>
    <x v="803"/>
    <s v="Wrap Bag"/>
    <n v="0.52"/>
    <d v="2012-05-23T00:00:00"/>
    <n v="0"/>
    <n v="0"/>
    <n v="1"/>
    <n v="1"/>
  </r>
  <r>
    <n v="3553"/>
    <n v="25318"/>
    <x v="142"/>
    <x v="27"/>
    <s v="Critical"/>
    <n v="1"/>
    <n v="3.2"/>
    <n v="0.09"/>
    <s v="Regular Air"/>
    <n v="-3.1625000000000001"/>
    <n v="1.88"/>
    <n v="1.49"/>
    <x v="749"/>
    <x v="12"/>
    <x v="4"/>
    <x v="0"/>
    <x v="0"/>
    <x v="2"/>
    <x v="74"/>
    <s v="Small Box"/>
    <n v="0.37"/>
    <d v="2011-11-21T00:00:00"/>
    <n v="0"/>
    <n v="0"/>
    <n v="0.5"/>
    <n v="1"/>
  </r>
  <r>
    <n v="3732"/>
    <n v="26688"/>
    <x v="1098"/>
    <x v="3"/>
    <s v="Medium"/>
    <n v="21"/>
    <n v="424.13"/>
    <n v="0.06"/>
    <s v="Regular Air"/>
    <n v="57.17"/>
    <n v="20.27"/>
    <n v="3.99"/>
    <x v="750"/>
    <x v="12"/>
    <x v="4"/>
    <x v="3"/>
    <x v="0"/>
    <x v="1"/>
    <x v="1168"/>
    <s v="Small Box"/>
    <n v="0.56999999999999995"/>
    <d v="2010-08-20T00:00:00"/>
    <n v="0"/>
    <n v="0"/>
    <n v="0.5"/>
    <n v="0.5"/>
  </r>
  <r>
    <n v="3733"/>
    <n v="26688"/>
    <x v="1098"/>
    <x v="3"/>
    <s v="Medium"/>
    <n v="7"/>
    <n v="69.400000000000006"/>
    <n v="0.09"/>
    <s v="Regular Air"/>
    <n v="12.02"/>
    <n v="9.93"/>
    <n v="1.0900000000000001"/>
    <x v="750"/>
    <x v="12"/>
    <x v="4"/>
    <x v="3"/>
    <x v="0"/>
    <x v="12"/>
    <x v="800"/>
    <s v="Wrap Bag"/>
    <n v="0.43"/>
    <d v="2010-08-19T00:00:00"/>
    <n v="0"/>
    <n v="0"/>
    <n v="0.5"/>
    <n v="0.5"/>
  </r>
  <r>
    <n v="3762"/>
    <n v="26881"/>
    <x v="585"/>
    <x v="26"/>
    <s v="Low"/>
    <n v="26"/>
    <n v="10692.97"/>
    <n v="0.05"/>
    <s v="Delivery Truck"/>
    <n v="-410.39"/>
    <n v="424.21"/>
    <n v="110.2"/>
    <x v="749"/>
    <x v="12"/>
    <x v="4"/>
    <x v="0"/>
    <x v="2"/>
    <x v="10"/>
    <x v="654"/>
    <s v="Jumbo Box"/>
    <n v="0.67"/>
    <d v="2009-08-05T00:00:00"/>
    <n v="0"/>
    <n v="0"/>
    <n v="1"/>
    <n v="1"/>
  </r>
  <r>
    <n v="3763"/>
    <n v="26887"/>
    <x v="1229"/>
    <x v="10"/>
    <s v="Critical"/>
    <n v="38"/>
    <n v="1637.78"/>
    <n v="0.08"/>
    <s v="Express Air"/>
    <n v="461.65"/>
    <n v="42.98"/>
    <n v="4.62"/>
    <x v="218"/>
    <x v="12"/>
    <x v="4"/>
    <x v="0"/>
    <x v="0"/>
    <x v="1"/>
    <x v="667"/>
    <s v="Small Box"/>
    <n v="0.56000000000000005"/>
    <d v="2011-05-16T00:00:00"/>
    <n v="0"/>
    <n v="0"/>
    <n v="0.5"/>
    <n v="0.25"/>
  </r>
  <r>
    <n v="3764"/>
    <n v="26887"/>
    <x v="1229"/>
    <x v="10"/>
    <s v="Critical"/>
    <n v="23"/>
    <n v="193.84"/>
    <n v="7.0000000000000007E-2"/>
    <s v="Express Air"/>
    <n v="-117.1045"/>
    <n v="8.0399999999999991"/>
    <n v="8.94"/>
    <x v="218"/>
    <x v="12"/>
    <x v="4"/>
    <x v="0"/>
    <x v="0"/>
    <x v="2"/>
    <x v="401"/>
    <s v="Small Box"/>
    <n v="0.4"/>
    <d v="2011-05-15T00:00:00"/>
    <n v="0"/>
    <n v="0"/>
    <n v="0.5"/>
    <n v="0.25"/>
  </r>
  <r>
    <n v="4184"/>
    <n v="29761"/>
    <x v="266"/>
    <x v="29"/>
    <s v="Medium"/>
    <n v="48"/>
    <n v="1463.105"/>
    <n v="0.06"/>
    <s v="Regular Air"/>
    <n v="446.99400000000003"/>
    <n v="35.99"/>
    <n v="1.25"/>
    <x v="749"/>
    <x v="12"/>
    <x v="4"/>
    <x v="2"/>
    <x v="1"/>
    <x v="3"/>
    <x v="542"/>
    <s v="Small Pack"/>
    <n v="0.56999999999999995"/>
    <d v="2012-07-04T00:00:00"/>
    <n v="0"/>
    <n v="0"/>
    <n v="0.33333333333333331"/>
    <n v="0.33333333333333331"/>
  </r>
  <r>
    <n v="4185"/>
    <n v="29761"/>
    <x v="266"/>
    <x v="29"/>
    <s v="Medium"/>
    <n v="42"/>
    <n v="1085.4000000000001"/>
    <n v="0.02"/>
    <s v="Regular Air"/>
    <n v="262.32"/>
    <n v="25.98"/>
    <n v="5.37"/>
    <x v="749"/>
    <x v="12"/>
    <x v="4"/>
    <x v="2"/>
    <x v="0"/>
    <x v="1"/>
    <x v="69"/>
    <s v="Medium Box"/>
    <n v="0.5"/>
    <d v="2012-07-06T00:00:00"/>
    <n v="0"/>
    <n v="0"/>
    <n v="0.33333333333333331"/>
    <n v="0.33333333333333331"/>
  </r>
  <r>
    <n v="4186"/>
    <n v="29761"/>
    <x v="266"/>
    <x v="29"/>
    <s v="Medium"/>
    <n v="19"/>
    <n v="123.67"/>
    <n v="0.03"/>
    <s v="Regular Air"/>
    <n v="-34.17"/>
    <n v="6.24"/>
    <n v="5.22"/>
    <x v="749"/>
    <x v="12"/>
    <x v="4"/>
    <x v="2"/>
    <x v="2"/>
    <x v="4"/>
    <x v="864"/>
    <s v="Small Box"/>
    <n v="0.6"/>
    <d v="2012-07-05T00:00:00"/>
    <n v="0"/>
    <n v="0"/>
    <n v="0.33333333333333331"/>
    <n v="0.33333333333333331"/>
  </r>
  <r>
    <n v="4462"/>
    <n v="31810"/>
    <x v="883"/>
    <x v="43"/>
    <s v="Critical"/>
    <n v="46"/>
    <n v="355.55"/>
    <n v="0.03"/>
    <s v="Regular Air"/>
    <n v="-166.74"/>
    <n v="7.28"/>
    <n v="7.98"/>
    <x v="751"/>
    <x v="12"/>
    <x v="4"/>
    <x v="3"/>
    <x v="2"/>
    <x v="4"/>
    <x v="994"/>
    <s v="Wrap Bag"/>
    <n v="0.42"/>
    <d v="2009-05-21T00:00:00"/>
    <n v="0"/>
    <n v="0"/>
    <n v="1"/>
    <n v="1"/>
  </r>
  <r>
    <n v="5131"/>
    <n v="36548"/>
    <x v="1120"/>
    <x v="0"/>
    <s v="Low"/>
    <n v="8"/>
    <n v="44.99"/>
    <n v="0.06"/>
    <s v="Regular Air"/>
    <n v="-40.43"/>
    <n v="4.9800000000000004"/>
    <n v="7.54"/>
    <x v="466"/>
    <x v="12"/>
    <x v="4"/>
    <x v="2"/>
    <x v="0"/>
    <x v="5"/>
    <x v="1078"/>
    <s v="Small Box"/>
    <n v="0.38"/>
    <d v="2010-11-01T00:00:00"/>
    <n v="0"/>
    <n v="0"/>
    <n v="1"/>
    <n v="1"/>
  </r>
  <r>
    <n v="5581"/>
    <n v="39585"/>
    <x v="1047"/>
    <x v="25"/>
    <s v="Not Specified"/>
    <n v="32"/>
    <n v="166.17"/>
    <n v="0.01"/>
    <s v="Regular Air"/>
    <n v="-22.74"/>
    <n v="5.08"/>
    <n v="3.63"/>
    <x v="466"/>
    <x v="12"/>
    <x v="4"/>
    <x v="2"/>
    <x v="2"/>
    <x v="4"/>
    <x v="727"/>
    <s v="Wrap Bag"/>
    <n v="0.51"/>
    <d v="2011-12-30T00:00:00"/>
    <n v="0"/>
    <n v="0"/>
    <n v="1"/>
    <n v="1"/>
  </r>
  <r>
    <n v="5890"/>
    <n v="41793"/>
    <x v="503"/>
    <x v="43"/>
    <s v="High"/>
    <n v="48"/>
    <n v="1286.8699999999999"/>
    <n v="0.05"/>
    <s v="Regular Air"/>
    <n v="384.38"/>
    <n v="26.48"/>
    <n v="6.93"/>
    <x v="218"/>
    <x v="12"/>
    <x v="4"/>
    <x v="0"/>
    <x v="2"/>
    <x v="4"/>
    <x v="502"/>
    <s v="Small Box"/>
    <n v="0.49"/>
    <d v="2009-05-16T00:00:00"/>
    <n v="0"/>
    <n v="0"/>
    <n v="1"/>
    <n v="0.33333333333333331"/>
  </r>
  <r>
    <n v="6062"/>
    <n v="42949"/>
    <x v="883"/>
    <x v="43"/>
    <s v="Not Specified"/>
    <n v="40"/>
    <n v="202.11"/>
    <n v="0.08"/>
    <s v="Regular Air"/>
    <n v="-17.489999999999998"/>
    <n v="5"/>
    <n v="3.39"/>
    <x v="218"/>
    <x v="12"/>
    <x v="4"/>
    <x v="0"/>
    <x v="0"/>
    <x v="6"/>
    <x v="1257"/>
    <s v="Wrap Bag"/>
    <n v="0.37"/>
    <d v="2009-05-22T00:00:00"/>
    <n v="0"/>
    <n v="0"/>
    <n v="0.5"/>
    <n v="0.33333333333333331"/>
  </r>
  <r>
    <n v="6063"/>
    <n v="42949"/>
    <x v="883"/>
    <x v="43"/>
    <s v="Not Specified"/>
    <n v="49"/>
    <n v="630.99"/>
    <n v="7.0000000000000007E-2"/>
    <s v="Regular Air"/>
    <n v="-114.63990000000001"/>
    <n v="12.99"/>
    <n v="9.44"/>
    <x v="218"/>
    <x v="12"/>
    <x v="4"/>
    <x v="0"/>
    <x v="1"/>
    <x v="16"/>
    <x v="1220"/>
    <s v="Medium Box"/>
    <n v="0.39"/>
    <d v="2009-05-23T00:00:00"/>
    <n v="0"/>
    <n v="0"/>
    <n v="0.5"/>
    <n v="0.33333333333333331"/>
  </r>
  <r>
    <n v="6075"/>
    <n v="43044"/>
    <x v="50"/>
    <x v="19"/>
    <s v="Medium"/>
    <n v="23"/>
    <n v="103.5"/>
    <n v="0.06"/>
    <s v="Regular Air"/>
    <n v="-73.070999999999998"/>
    <n v="4.24"/>
    <n v="5.41"/>
    <x v="750"/>
    <x v="12"/>
    <x v="4"/>
    <x v="3"/>
    <x v="0"/>
    <x v="2"/>
    <x v="683"/>
    <s v="Small Box"/>
    <n v="0.35"/>
    <d v="2009-10-19T00:00:00"/>
    <n v="0"/>
    <n v="0"/>
    <n v="0.5"/>
    <n v="0.5"/>
  </r>
  <r>
    <n v="6076"/>
    <n v="43044"/>
    <x v="50"/>
    <x v="19"/>
    <s v="Medium"/>
    <n v="3"/>
    <n v="19707.2"/>
    <n v="0.04"/>
    <s v="Regular Air"/>
    <n v="-12557.997599999999"/>
    <n v="6783.02"/>
    <n v="24.49"/>
    <x v="750"/>
    <x v="12"/>
    <x v="4"/>
    <x v="3"/>
    <x v="1"/>
    <x v="16"/>
    <x v="1135"/>
    <s v="Large Box"/>
    <n v="0.39"/>
    <d v="2009-10-19T00:00:00"/>
    <n v="0"/>
    <n v="0"/>
    <n v="0.5"/>
    <n v="0.5"/>
  </r>
  <r>
    <n v="6466"/>
    <n v="46048"/>
    <x v="458"/>
    <x v="45"/>
    <s v="Medium"/>
    <n v="10"/>
    <n v="135.77000000000001"/>
    <n v="0.05"/>
    <s v="Express Air"/>
    <n v="0.52999999999999758"/>
    <n v="12.98"/>
    <n v="3.14"/>
    <x v="750"/>
    <x v="12"/>
    <x v="4"/>
    <x v="3"/>
    <x v="0"/>
    <x v="15"/>
    <x v="234"/>
    <s v="Small Pack"/>
    <n v="0.6"/>
    <d v="2012-12-13T00:00:00"/>
    <n v="0"/>
    <n v="0"/>
    <n v="0.5"/>
    <n v="0.5"/>
  </r>
  <r>
    <n v="6467"/>
    <n v="46048"/>
    <x v="458"/>
    <x v="45"/>
    <s v="Medium"/>
    <n v="35"/>
    <n v="447.25"/>
    <n v="0.08"/>
    <s v="Regular Air"/>
    <n v="-15.92"/>
    <n v="13.48"/>
    <n v="4.51"/>
    <x v="750"/>
    <x v="12"/>
    <x v="4"/>
    <x v="3"/>
    <x v="0"/>
    <x v="0"/>
    <x v="27"/>
    <s v="Small Box"/>
    <n v="0.59"/>
    <d v="2012-12-13T00:00:00"/>
    <n v="0"/>
    <n v="0"/>
    <n v="0.5"/>
    <n v="0.5"/>
  </r>
  <r>
    <n v="6788"/>
    <n v="48354"/>
    <x v="938"/>
    <x v="37"/>
    <s v="Medium"/>
    <n v="25"/>
    <n v="1387.29"/>
    <n v="0.03"/>
    <s v="Express Air"/>
    <n v="405.64"/>
    <n v="55.48"/>
    <n v="14.3"/>
    <x v="751"/>
    <x v="12"/>
    <x v="4"/>
    <x v="3"/>
    <x v="0"/>
    <x v="5"/>
    <x v="381"/>
    <s v="Small Box"/>
    <n v="0.37"/>
    <d v="2011-04-21T00:00:00"/>
    <n v="0"/>
    <n v="0"/>
    <n v="1"/>
    <n v="1"/>
  </r>
  <r>
    <n v="6793"/>
    <n v="48416"/>
    <x v="457"/>
    <x v="36"/>
    <s v="Not Specified"/>
    <n v="23"/>
    <n v="167.66"/>
    <n v="0.01"/>
    <s v="Regular Air"/>
    <n v="-15.48"/>
    <n v="6.68"/>
    <n v="4.91"/>
    <x v="749"/>
    <x v="12"/>
    <x v="4"/>
    <x v="0"/>
    <x v="0"/>
    <x v="5"/>
    <x v="729"/>
    <s v="Small Box"/>
    <n v="0.37"/>
    <d v="2009-07-08T00:00:00"/>
    <n v="0"/>
    <n v="0"/>
    <n v="1"/>
    <n v="1"/>
  </r>
  <r>
    <n v="6968"/>
    <n v="49798"/>
    <x v="1322"/>
    <x v="45"/>
    <s v="Critical"/>
    <n v="5"/>
    <n v="1424.95"/>
    <n v="0.09"/>
    <s v="Delivery Truck"/>
    <n v="-517.83000000000004"/>
    <n v="280.98"/>
    <n v="57"/>
    <x v="751"/>
    <x v="12"/>
    <x v="4"/>
    <x v="3"/>
    <x v="2"/>
    <x v="14"/>
    <x v="544"/>
    <s v="Jumbo Drum"/>
    <n v="0.78"/>
    <d v="2012-12-09T00:00:00"/>
    <n v="0"/>
    <n v="0"/>
    <n v="0.5"/>
    <n v="0.5"/>
  </r>
  <r>
    <n v="6969"/>
    <n v="49798"/>
    <x v="1322"/>
    <x v="45"/>
    <s v="Critical"/>
    <n v="29"/>
    <n v="321.5"/>
    <n v="0.03"/>
    <s v="Regular Air"/>
    <n v="20.309999999999999"/>
    <n v="10.98"/>
    <n v="3.37"/>
    <x v="751"/>
    <x v="12"/>
    <x v="4"/>
    <x v="3"/>
    <x v="0"/>
    <x v="15"/>
    <x v="340"/>
    <s v="Small Pack"/>
    <n v="0.56999999999999995"/>
    <d v="2012-12-08T00:00:00"/>
    <n v="0"/>
    <n v="0"/>
    <n v="0.5"/>
    <n v="0.5"/>
  </r>
  <r>
    <n v="7073"/>
    <n v="50470"/>
    <x v="63"/>
    <x v="3"/>
    <s v="Low"/>
    <n v="38"/>
    <n v="827.83"/>
    <n v="0.09"/>
    <s v="Regular Air"/>
    <n v="-57.73"/>
    <n v="22.99"/>
    <n v="8.99"/>
    <x v="749"/>
    <x v="12"/>
    <x v="4"/>
    <x v="0"/>
    <x v="0"/>
    <x v="12"/>
    <x v="416"/>
    <s v="Small Pack"/>
    <n v="0.56999999999999995"/>
    <d v="2010-08-28T00:00:00"/>
    <n v="0"/>
    <n v="0"/>
    <n v="1"/>
    <n v="1"/>
  </r>
  <r>
    <n v="7418"/>
    <n v="52900"/>
    <x v="890"/>
    <x v="10"/>
    <s v="High"/>
    <n v="16"/>
    <n v="101.14"/>
    <n v="0"/>
    <s v="Regular Air"/>
    <n v="-32.619999999999997"/>
    <n v="5.98"/>
    <n v="5.46"/>
    <x v="439"/>
    <x v="12"/>
    <x v="4"/>
    <x v="3"/>
    <x v="0"/>
    <x v="5"/>
    <x v="584"/>
    <s v="Small Box"/>
    <n v="0.36"/>
    <d v="2011-05-22T00:00:00"/>
    <n v="0"/>
    <n v="0"/>
    <n v="1"/>
    <n v="1"/>
  </r>
  <r>
    <n v="8070"/>
    <n v="57572"/>
    <x v="997"/>
    <x v="2"/>
    <s v="Medium"/>
    <n v="30"/>
    <n v="139.08000000000001"/>
    <n v="0.1"/>
    <s v="Regular Air"/>
    <n v="-120.04"/>
    <n v="4.9800000000000004"/>
    <n v="4.62"/>
    <x v="439"/>
    <x v="12"/>
    <x v="4"/>
    <x v="3"/>
    <x v="1"/>
    <x v="7"/>
    <x v="278"/>
    <s v="Small Pack"/>
    <n v="0.64"/>
    <d v="2011-07-14T00:00:00"/>
    <n v="0"/>
    <n v="0"/>
    <n v="0.5"/>
    <n v="0.5"/>
  </r>
  <r>
    <n v="8071"/>
    <n v="57572"/>
    <x v="997"/>
    <x v="2"/>
    <s v="Medium"/>
    <n v="9"/>
    <n v="75.28"/>
    <n v="0"/>
    <s v="Regular Air"/>
    <n v="-17.22"/>
    <n v="7.64"/>
    <n v="5.83"/>
    <x v="439"/>
    <x v="12"/>
    <x v="4"/>
    <x v="3"/>
    <x v="0"/>
    <x v="5"/>
    <x v="248"/>
    <s v="Wrap Bag"/>
    <n v="0.36"/>
    <d v="2011-07-13T00:00:00"/>
    <n v="0"/>
    <n v="0"/>
    <n v="0.5"/>
    <n v="0.5"/>
  </r>
  <r>
    <n v="8097"/>
    <n v="57766"/>
    <x v="1260"/>
    <x v="24"/>
    <s v="High"/>
    <n v="17"/>
    <n v="517.98"/>
    <n v="0.05"/>
    <s v="Regular Air"/>
    <n v="-85.32"/>
    <n v="30.53"/>
    <n v="19.989999999999998"/>
    <x v="191"/>
    <x v="12"/>
    <x v="4"/>
    <x v="1"/>
    <x v="0"/>
    <x v="11"/>
    <x v="112"/>
    <s v="Small Box"/>
    <n v="0.39"/>
    <d v="2010-05-03T00:00:00"/>
    <n v="0"/>
    <n v="0"/>
    <n v="1"/>
    <n v="1"/>
  </r>
  <r>
    <n v="8189"/>
    <n v="58566"/>
    <x v="1021"/>
    <x v="21"/>
    <s v="Not Specified"/>
    <n v="45"/>
    <n v="4680.8900000000003"/>
    <n v="7.0000000000000007E-2"/>
    <s v="Regular Air"/>
    <n v="693.01"/>
    <n v="105.29"/>
    <n v="10.119999999999999"/>
    <x v="191"/>
    <x v="12"/>
    <x v="4"/>
    <x v="1"/>
    <x v="2"/>
    <x v="4"/>
    <x v="1064"/>
    <s v="Large Box"/>
    <n v="0.79"/>
    <d v="2011-08-24T00:00:00"/>
    <n v="0"/>
    <n v="0"/>
    <n v="0.5"/>
    <n v="0.5"/>
  </r>
  <r>
    <n v="8190"/>
    <n v="58566"/>
    <x v="1021"/>
    <x v="21"/>
    <s v="Not Specified"/>
    <n v="42"/>
    <n v="2414.9944999999998"/>
    <n v="0.01"/>
    <s v="Express Air"/>
    <n v="624.70799999999997"/>
    <n v="65.989999999999995"/>
    <n v="4.99"/>
    <x v="191"/>
    <x v="12"/>
    <x v="4"/>
    <x v="1"/>
    <x v="1"/>
    <x v="3"/>
    <x v="670"/>
    <s v="Small Box"/>
    <n v="0.57999999999999996"/>
    <d v="2011-08-25T00:00:00"/>
    <n v="0"/>
    <n v="0"/>
    <n v="0.5"/>
    <n v="0.5"/>
  </r>
  <r>
    <n v="8204"/>
    <n v="58658"/>
    <x v="246"/>
    <x v="8"/>
    <s v="Medium"/>
    <n v="7"/>
    <n v="883.23"/>
    <n v="0.09"/>
    <s v="Delivery Truck"/>
    <n v="-404.36"/>
    <n v="120.98"/>
    <n v="58.64"/>
    <x v="191"/>
    <x v="12"/>
    <x v="4"/>
    <x v="1"/>
    <x v="2"/>
    <x v="9"/>
    <x v="934"/>
    <s v="Jumbo Box"/>
    <n v="0.75"/>
    <d v="2012-06-12T00:00:00"/>
    <n v="0"/>
    <n v="0"/>
    <n v="0.33333333333333331"/>
    <n v="0.33333333333333331"/>
  </r>
  <r>
    <n v="8205"/>
    <n v="58658"/>
    <x v="246"/>
    <x v="8"/>
    <s v="Medium"/>
    <n v="41"/>
    <n v="917.25"/>
    <n v="0.01"/>
    <s v="Regular Air"/>
    <n v="-103.75"/>
    <n v="20.97"/>
    <n v="6.5"/>
    <x v="191"/>
    <x v="12"/>
    <x v="4"/>
    <x v="1"/>
    <x v="1"/>
    <x v="7"/>
    <x v="154"/>
    <s v="Small Box"/>
    <n v="0.78"/>
    <d v="2012-06-12T00:00:00"/>
    <n v="0"/>
    <n v="0"/>
    <n v="0.33333333333333331"/>
    <n v="0.33333333333333331"/>
  </r>
  <r>
    <n v="8206"/>
    <n v="58658"/>
    <x v="246"/>
    <x v="8"/>
    <s v="Medium"/>
    <n v="46"/>
    <n v="760.80099999999993"/>
    <n v="0.1"/>
    <s v="Regular Air"/>
    <n v="348.58799999999997"/>
    <n v="20.99"/>
    <n v="0.99"/>
    <x v="191"/>
    <x v="12"/>
    <x v="4"/>
    <x v="1"/>
    <x v="1"/>
    <x v="3"/>
    <x v="163"/>
    <s v="Wrap Bag"/>
    <n v="0.37"/>
    <d v="2012-06-13T00:00:00"/>
    <n v="0"/>
    <n v="0"/>
    <n v="0.33333333333333331"/>
    <n v="0.33333333333333331"/>
  </r>
  <r>
    <n v="8271"/>
    <n v="59139"/>
    <x v="994"/>
    <x v="16"/>
    <s v="Critical"/>
    <n v="12"/>
    <n v="849.51"/>
    <n v="0.05"/>
    <s v="Regular Air"/>
    <n v="163.1"/>
    <n v="70.97"/>
    <n v="3.5"/>
    <x v="439"/>
    <x v="12"/>
    <x v="4"/>
    <x v="3"/>
    <x v="0"/>
    <x v="1"/>
    <x v="1023"/>
    <s v="Small Box"/>
    <n v="0.59"/>
    <d v="2011-01-30T00:00:00"/>
    <n v="0"/>
    <n v="0"/>
    <n v="0.5"/>
    <n v="0.5"/>
  </r>
  <r>
    <n v="8272"/>
    <n v="59139"/>
    <x v="994"/>
    <x v="16"/>
    <s v="Critical"/>
    <n v="38"/>
    <n v="189.49"/>
    <n v="0.09"/>
    <s v="Regular Air"/>
    <n v="-13.708"/>
    <n v="5.34"/>
    <n v="2.99"/>
    <x v="439"/>
    <x v="12"/>
    <x v="4"/>
    <x v="3"/>
    <x v="0"/>
    <x v="2"/>
    <x v="282"/>
    <s v="Small Box"/>
    <n v="0.38"/>
    <d v="2011-01-30T00:00:00"/>
    <n v="0"/>
    <n v="0"/>
    <n v="0.5"/>
    <n v="0.5"/>
  </r>
  <r>
    <n v="8391"/>
    <n v="59942"/>
    <x v="1083"/>
    <x v="40"/>
    <s v="Medium"/>
    <n v="47"/>
    <n v="714.46"/>
    <n v="7.0000000000000007E-2"/>
    <s v="Regular Air"/>
    <n v="-268.64999999999998"/>
    <n v="15.98"/>
    <n v="8.99"/>
    <x v="466"/>
    <x v="12"/>
    <x v="4"/>
    <x v="2"/>
    <x v="1"/>
    <x v="7"/>
    <x v="289"/>
    <s v="Small Pack"/>
    <n v="0.64"/>
    <d v="2009-02-10T00:00:00"/>
    <n v="0"/>
    <n v="0"/>
    <n v="1"/>
    <n v="1"/>
  </r>
  <r>
    <n v="747"/>
    <n v="5350"/>
    <x v="639"/>
    <x v="0"/>
    <s v="Low"/>
    <n v="39"/>
    <n v="434.73"/>
    <n v="0.03"/>
    <s v="Regular Air"/>
    <n v="-12.2"/>
    <n v="11.33"/>
    <n v="6.12"/>
    <x v="647"/>
    <x v="12"/>
    <x v="4"/>
    <x v="1"/>
    <x v="0"/>
    <x v="1"/>
    <x v="876"/>
    <s v="Medium Box"/>
    <n v="0.42"/>
    <d v="2010-10-11T00:00:00"/>
    <n v="0"/>
    <n v="0"/>
    <n v="0.5"/>
    <n v="0.5"/>
  </r>
  <r>
    <n v="943"/>
    <n v="6850"/>
    <x v="1030"/>
    <x v="6"/>
    <s v="High"/>
    <n v="8"/>
    <n v="81.56"/>
    <n v="0.08"/>
    <s v="Regular Air"/>
    <n v="-7.23"/>
    <n v="10.01"/>
    <n v="1.99"/>
    <x v="148"/>
    <x v="12"/>
    <x v="4"/>
    <x v="2"/>
    <x v="1"/>
    <x v="7"/>
    <x v="319"/>
    <s v="Small Pack"/>
    <n v="0.41"/>
    <d v="2010-02-11T00:00:00"/>
    <n v="0"/>
    <n v="0"/>
    <n v="0.25"/>
    <n v="0.25"/>
  </r>
  <r>
    <n v="944"/>
    <n v="6850"/>
    <x v="1030"/>
    <x v="6"/>
    <s v="High"/>
    <n v="41"/>
    <n v="2088.5"/>
    <n v="0.08"/>
    <s v="Regular Air"/>
    <n v="675.07"/>
    <n v="51.98"/>
    <n v="10.17"/>
    <x v="148"/>
    <x v="12"/>
    <x v="4"/>
    <x v="2"/>
    <x v="1"/>
    <x v="16"/>
    <x v="913"/>
    <s v="Medium Box"/>
    <n v="0.37"/>
    <d v="2010-02-12T00:00:00"/>
    <n v="0"/>
    <n v="0"/>
    <n v="0.25"/>
    <n v="0.25"/>
  </r>
  <r>
    <n v="945"/>
    <n v="6850"/>
    <x v="1030"/>
    <x v="6"/>
    <s v="High"/>
    <n v="34"/>
    <n v="2126.7199999999998"/>
    <n v="0.05"/>
    <s v="Regular Air"/>
    <n v="150.04"/>
    <n v="64.98"/>
    <n v="6.88"/>
    <x v="148"/>
    <x v="12"/>
    <x v="4"/>
    <x v="2"/>
    <x v="0"/>
    <x v="0"/>
    <x v="391"/>
    <s v="Small Box"/>
    <n v="0.73"/>
    <d v="2010-02-13T00:00:00"/>
    <n v="0"/>
    <n v="0"/>
    <n v="0.25"/>
    <n v="0.25"/>
  </r>
  <r>
    <n v="946"/>
    <n v="6850"/>
    <x v="1030"/>
    <x v="6"/>
    <s v="High"/>
    <n v="26"/>
    <n v="3753.72"/>
    <n v="0.05"/>
    <s v="Delivery Truck"/>
    <n v="-556.25"/>
    <n v="138.75"/>
    <n v="52.42"/>
    <x v="148"/>
    <x v="12"/>
    <x v="4"/>
    <x v="2"/>
    <x v="2"/>
    <x v="10"/>
    <x v="1095"/>
    <s v="Jumbo Box"/>
    <n v="0.74"/>
    <d v="2010-02-12T00:00:00"/>
    <n v="0"/>
    <n v="0"/>
    <n v="0.25"/>
    <n v="0.25"/>
  </r>
  <r>
    <n v="1028"/>
    <n v="7488"/>
    <x v="726"/>
    <x v="20"/>
    <s v="Critical"/>
    <n v="9"/>
    <n v="26.09"/>
    <n v="0.08"/>
    <s v="Regular Air"/>
    <n v="-1.76"/>
    <n v="2.84"/>
    <n v="0.93"/>
    <x v="148"/>
    <x v="12"/>
    <x v="4"/>
    <x v="2"/>
    <x v="0"/>
    <x v="12"/>
    <x v="25"/>
    <s v="Wrap Bag"/>
    <n v="0.54"/>
    <d v="2012-05-04T00:00:00"/>
    <n v="0"/>
    <n v="0"/>
    <n v="1"/>
    <n v="1"/>
  </r>
  <r>
    <n v="1033"/>
    <n v="7552"/>
    <x v="322"/>
    <x v="34"/>
    <s v="Critical"/>
    <n v="47"/>
    <n v="1406.49"/>
    <n v="0.02"/>
    <s v="Regular Air"/>
    <n v="332.52"/>
    <n v="28.15"/>
    <n v="6.17"/>
    <x v="148"/>
    <x v="12"/>
    <x v="4"/>
    <x v="2"/>
    <x v="0"/>
    <x v="12"/>
    <x v="1162"/>
    <s v="Small Pack"/>
    <n v="0.55000000000000004"/>
    <d v="2012-09-12T00:00:00"/>
    <n v="0"/>
    <n v="0"/>
    <n v="0.5"/>
    <n v="0.5"/>
  </r>
  <r>
    <n v="1034"/>
    <n v="7552"/>
    <x v="322"/>
    <x v="34"/>
    <s v="Critical"/>
    <n v="49"/>
    <n v="587.71"/>
    <n v="0.09"/>
    <s v="Regular Air"/>
    <n v="26.28"/>
    <n v="12.98"/>
    <n v="3.14"/>
    <x v="148"/>
    <x v="12"/>
    <x v="4"/>
    <x v="2"/>
    <x v="0"/>
    <x v="15"/>
    <x v="234"/>
    <s v="Small Pack"/>
    <n v="0.6"/>
    <d v="2012-09-12T00:00:00"/>
    <n v="0"/>
    <n v="0"/>
    <n v="0.5"/>
    <n v="0.5"/>
  </r>
  <r>
    <n v="1039"/>
    <n v="7585"/>
    <x v="1029"/>
    <x v="10"/>
    <s v="High"/>
    <n v="34"/>
    <n v="650.1395"/>
    <n v="0"/>
    <s v="Regular Air"/>
    <n v="22.571999999999999"/>
    <n v="20.99"/>
    <n v="1.25"/>
    <x v="177"/>
    <x v="12"/>
    <x v="4"/>
    <x v="1"/>
    <x v="1"/>
    <x v="3"/>
    <x v="173"/>
    <s v="Small Pack"/>
    <n v="0.83"/>
    <d v="2011-05-21T00:00:00"/>
    <n v="0"/>
    <n v="0"/>
    <n v="1"/>
    <n v="1"/>
  </r>
  <r>
    <n v="1133"/>
    <n v="8289"/>
    <x v="671"/>
    <x v="1"/>
    <s v="Low"/>
    <n v="38"/>
    <n v="572.74"/>
    <n v="0"/>
    <s v="Regular Air"/>
    <n v="53.311999999999998"/>
    <n v="14.45"/>
    <n v="7.17"/>
    <x v="177"/>
    <x v="12"/>
    <x v="4"/>
    <x v="1"/>
    <x v="0"/>
    <x v="2"/>
    <x v="853"/>
    <s v="Small Box"/>
    <n v="0.38"/>
    <d v="2012-10-28T00:00:00"/>
    <n v="0"/>
    <n v="0"/>
    <n v="1"/>
    <n v="1"/>
  </r>
  <r>
    <n v="1188"/>
    <n v="8679"/>
    <x v="902"/>
    <x v="20"/>
    <s v="Medium"/>
    <n v="46"/>
    <n v="446.06"/>
    <n v="0.01"/>
    <s v="Regular Air"/>
    <n v="161.32"/>
    <n v="9.11"/>
    <n v="2.15"/>
    <x v="614"/>
    <x v="12"/>
    <x v="4"/>
    <x v="3"/>
    <x v="0"/>
    <x v="5"/>
    <x v="1024"/>
    <s v="Wrap Bag"/>
    <n v="0.4"/>
    <d v="2012-05-07T00:00:00"/>
    <n v="0"/>
    <n v="0"/>
    <n v="1"/>
    <n v="1"/>
  </r>
  <r>
    <n v="1740"/>
    <n v="12481"/>
    <x v="2"/>
    <x v="2"/>
    <s v="Critical"/>
    <n v="37"/>
    <n v="744"/>
    <n v="0.04"/>
    <s v="Regular Air"/>
    <n v="215.8"/>
    <n v="20.89"/>
    <n v="1.99"/>
    <x v="148"/>
    <x v="12"/>
    <x v="4"/>
    <x v="2"/>
    <x v="1"/>
    <x v="7"/>
    <x v="187"/>
    <s v="Small Pack"/>
    <n v="0.48"/>
    <d v="2011-07-12T00:00:00"/>
    <n v="0"/>
    <n v="0"/>
    <n v="0.5"/>
    <n v="0.5"/>
  </r>
  <r>
    <n v="1741"/>
    <n v="12481"/>
    <x v="2"/>
    <x v="2"/>
    <s v="Critical"/>
    <n v="12"/>
    <n v="388.86649999999997"/>
    <n v="0.01"/>
    <s v="Regular Air"/>
    <n v="103.05"/>
    <n v="35.99"/>
    <n v="0.99"/>
    <x v="148"/>
    <x v="12"/>
    <x v="4"/>
    <x v="2"/>
    <x v="1"/>
    <x v="3"/>
    <x v="312"/>
    <s v="Small Pack"/>
    <n v="0.35"/>
    <d v="2011-07-10T00:00:00"/>
    <n v="0"/>
    <n v="0"/>
    <n v="0.5"/>
    <n v="0.5"/>
  </r>
  <r>
    <n v="1804"/>
    <n v="12902"/>
    <x v="576"/>
    <x v="0"/>
    <s v="Not Specified"/>
    <n v="30"/>
    <n v="3645.45"/>
    <n v="0.04"/>
    <s v="Delivery Truck"/>
    <n v="-765.5"/>
    <n v="120.98"/>
    <n v="56.7"/>
    <x v="139"/>
    <x v="12"/>
    <x v="4"/>
    <x v="3"/>
    <x v="2"/>
    <x v="9"/>
    <x v="1258"/>
    <s v="Jumbo Box"/>
    <n v="0.68"/>
    <d v="2010-10-31T00:00:00"/>
    <n v="0"/>
    <n v="0"/>
    <n v="0.5"/>
    <n v="0.5"/>
  </r>
  <r>
    <n v="2789"/>
    <n v="20128"/>
    <x v="1053"/>
    <x v="26"/>
    <s v="Not Specified"/>
    <n v="32"/>
    <n v="279.43"/>
    <n v="0"/>
    <s v="Regular Air"/>
    <n v="48.47"/>
    <n v="8.5"/>
    <n v="1.99"/>
    <x v="148"/>
    <x v="12"/>
    <x v="4"/>
    <x v="2"/>
    <x v="1"/>
    <x v="7"/>
    <x v="676"/>
    <s v="Small Pack"/>
    <n v="0.49"/>
    <d v="2009-09-02T00:00:00"/>
    <n v="0"/>
    <n v="0"/>
    <n v="0.5"/>
    <n v="0.5"/>
  </r>
  <r>
    <n v="2790"/>
    <n v="20128"/>
    <x v="1053"/>
    <x v="26"/>
    <s v="Not Specified"/>
    <n v="5"/>
    <n v="515.22"/>
    <n v="0.03"/>
    <s v="Regular Air"/>
    <n v="-152.54"/>
    <n v="95.43"/>
    <n v="19.989999999999998"/>
    <x v="148"/>
    <x v="12"/>
    <x v="4"/>
    <x v="2"/>
    <x v="0"/>
    <x v="0"/>
    <x v="254"/>
    <s v="Small Box"/>
    <n v="0.79"/>
    <d v="2009-09-02T00:00:00"/>
    <n v="0"/>
    <n v="0"/>
    <n v="0.5"/>
    <n v="0.5"/>
  </r>
  <r>
    <n v="2861"/>
    <n v="20642"/>
    <x v="680"/>
    <x v="20"/>
    <s v="High"/>
    <n v="47"/>
    <n v="1078.98"/>
    <n v="0.02"/>
    <s v="Delivery Truck"/>
    <n v="-1637.52"/>
    <n v="20.98"/>
    <n v="45"/>
    <x v="177"/>
    <x v="12"/>
    <x v="4"/>
    <x v="1"/>
    <x v="0"/>
    <x v="0"/>
    <x v="436"/>
    <s v="Jumbo Drum"/>
    <n v="0.61"/>
    <d v="2012-05-19T00:00:00"/>
    <n v="0"/>
    <n v="0"/>
    <n v="0.5"/>
    <n v="0.5"/>
  </r>
  <r>
    <n v="3486"/>
    <n v="24804"/>
    <x v="62"/>
    <x v="10"/>
    <s v="Not Specified"/>
    <n v="20"/>
    <n v="211.42"/>
    <n v="0"/>
    <s v="Regular Air"/>
    <n v="-113.52"/>
    <n v="9.7100000000000009"/>
    <n v="9.4499999999999993"/>
    <x v="614"/>
    <x v="12"/>
    <x v="4"/>
    <x v="3"/>
    <x v="0"/>
    <x v="0"/>
    <x v="716"/>
    <s v="Small Box"/>
    <n v="0.6"/>
    <d v="2011-05-29T00:00:00"/>
    <n v="0"/>
    <n v="0"/>
    <n v="1"/>
    <n v="1"/>
  </r>
  <r>
    <n v="3971"/>
    <n v="28357"/>
    <x v="344"/>
    <x v="39"/>
    <s v="Not Specified"/>
    <n v="50"/>
    <n v="390.46"/>
    <n v="0.02"/>
    <s v="Regular Air"/>
    <n v="-171.166"/>
    <n v="7.3"/>
    <n v="7.72"/>
    <x v="139"/>
    <x v="12"/>
    <x v="4"/>
    <x v="3"/>
    <x v="0"/>
    <x v="2"/>
    <x v="6"/>
    <s v="Small Box"/>
    <n v="0.38"/>
    <d v="2010-05-22T00:00:00"/>
    <n v="0"/>
    <n v="0"/>
    <n v="0.5"/>
    <n v="0.5"/>
  </r>
  <r>
    <n v="3972"/>
    <n v="28357"/>
    <x v="344"/>
    <x v="39"/>
    <s v="Not Specified"/>
    <n v="43"/>
    <n v="113.43"/>
    <n v="0.02"/>
    <s v="Regular Air"/>
    <n v="24.27"/>
    <n v="2.4700000000000002"/>
    <n v="1.02"/>
    <x v="139"/>
    <x v="12"/>
    <x v="4"/>
    <x v="3"/>
    <x v="0"/>
    <x v="6"/>
    <x v="204"/>
    <s v="Wrap Bag"/>
    <n v="0.38"/>
    <d v="2010-05-22T00:00:00"/>
    <n v="0"/>
    <n v="0"/>
    <n v="0.5"/>
    <n v="0.5"/>
  </r>
  <r>
    <n v="4355"/>
    <n v="31043"/>
    <x v="366"/>
    <x v="36"/>
    <s v="High"/>
    <n v="49"/>
    <n v="772.42"/>
    <n v="0.02"/>
    <s v="Regular Air"/>
    <n v="299.33"/>
    <n v="15.28"/>
    <n v="1.99"/>
    <x v="213"/>
    <x v="12"/>
    <x v="4"/>
    <x v="2"/>
    <x v="1"/>
    <x v="7"/>
    <x v="615"/>
    <s v="Small Pack"/>
    <n v="0.42"/>
    <d v="2009-07-16T00:00:00"/>
    <n v="0"/>
    <n v="0"/>
    <n v="0.5"/>
    <n v="0.5"/>
  </r>
  <r>
    <n v="4356"/>
    <n v="31043"/>
    <x v="366"/>
    <x v="36"/>
    <s v="High"/>
    <n v="3"/>
    <n v="221.4675"/>
    <n v="0"/>
    <s v="Regular Air"/>
    <n v="-302.22500000000002"/>
    <n v="85.99"/>
    <n v="3.3"/>
    <x v="213"/>
    <x v="12"/>
    <x v="4"/>
    <x v="2"/>
    <x v="1"/>
    <x v="3"/>
    <x v="601"/>
    <s v="Small Pack"/>
    <n v="0.37"/>
    <d v="2009-07-16T00:00:00"/>
    <n v="0"/>
    <n v="0"/>
    <n v="0.5"/>
    <n v="0.5"/>
  </r>
  <r>
    <n v="4547"/>
    <n v="32355"/>
    <x v="562"/>
    <x v="43"/>
    <s v="Not Specified"/>
    <n v="34"/>
    <n v="211.86"/>
    <n v="0.01"/>
    <s v="Regular Air"/>
    <n v="-239.315"/>
    <n v="5.94"/>
    <n v="9.92"/>
    <x v="139"/>
    <x v="12"/>
    <x v="4"/>
    <x v="3"/>
    <x v="0"/>
    <x v="2"/>
    <x v="1040"/>
    <s v="Small Box"/>
    <n v="0.38"/>
    <d v="2009-05-23T00:00:00"/>
    <n v="0"/>
    <n v="0"/>
    <n v="0.5"/>
    <n v="0.5"/>
  </r>
  <r>
    <n v="4548"/>
    <n v="32355"/>
    <x v="562"/>
    <x v="43"/>
    <s v="Not Specified"/>
    <n v="50"/>
    <n v="355.03"/>
    <n v="0"/>
    <s v="Regular Air"/>
    <n v="-33.31"/>
    <n v="6.48"/>
    <n v="5.1100000000000003"/>
    <x v="139"/>
    <x v="12"/>
    <x v="4"/>
    <x v="3"/>
    <x v="0"/>
    <x v="5"/>
    <x v="1159"/>
    <s v="Small Box"/>
    <n v="0.37"/>
    <d v="2009-05-22T00:00:00"/>
    <n v="0"/>
    <n v="0"/>
    <n v="0.5"/>
    <n v="0.5"/>
  </r>
  <r>
    <n v="4735"/>
    <n v="33700"/>
    <x v="1406"/>
    <x v="37"/>
    <s v="Low"/>
    <n v="36"/>
    <n v="260.13"/>
    <n v="0"/>
    <s v="Regular Air"/>
    <n v="-133.97999999999999"/>
    <n v="6.48"/>
    <n v="8.19"/>
    <x v="148"/>
    <x v="12"/>
    <x v="4"/>
    <x v="2"/>
    <x v="0"/>
    <x v="5"/>
    <x v="77"/>
    <s v="Small Box"/>
    <n v="0.37"/>
    <d v="2011-04-11T00:00:00"/>
    <n v="0"/>
    <n v="0"/>
    <n v="1"/>
    <n v="1"/>
  </r>
  <r>
    <n v="5017"/>
    <n v="35811"/>
    <x v="65"/>
    <x v="23"/>
    <s v="Critical"/>
    <n v="49"/>
    <n v="741.57"/>
    <n v="0.1"/>
    <s v="Regular Air"/>
    <n v="352.41"/>
    <n v="15.57"/>
    <n v="1.39"/>
    <x v="148"/>
    <x v="12"/>
    <x v="4"/>
    <x v="2"/>
    <x v="0"/>
    <x v="8"/>
    <x v="889"/>
    <s v="Small Box"/>
    <n v="0.38"/>
    <d v="2012-01-04T00:00:00"/>
    <n v="0"/>
    <n v="0"/>
    <n v="0.5"/>
    <n v="0.5"/>
  </r>
  <r>
    <n v="5018"/>
    <n v="35811"/>
    <x v="65"/>
    <x v="23"/>
    <s v="Critical"/>
    <n v="6"/>
    <n v="10.39"/>
    <n v="0.1"/>
    <s v="Regular Air"/>
    <n v="-3.24"/>
    <n v="1.76"/>
    <n v="0.7"/>
    <x v="148"/>
    <x v="12"/>
    <x v="4"/>
    <x v="2"/>
    <x v="0"/>
    <x v="12"/>
    <x v="263"/>
    <s v="Wrap Bag"/>
    <n v="0.56000000000000005"/>
    <d v="2012-01-05T00:00:00"/>
    <n v="0"/>
    <n v="0"/>
    <n v="0.5"/>
    <n v="0.5"/>
  </r>
  <r>
    <n v="5433"/>
    <n v="38598"/>
    <x v="204"/>
    <x v="26"/>
    <s v="Low"/>
    <n v="17"/>
    <n v="14665.15"/>
    <n v="0.04"/>
    <s v="Delivery Truck"/>
    <n v="2860.31"/>
    <n v="880.98"/>
    <n v="44.55"/>
    <x v="752"/>
    <x v="12"/>
    <x v="4"/>
    <x v="1"/>
    <x v="2"/>
    <x v="9"/>
    <x v="185"/>
    <s v="Jumbo Box"/>
    <n v="0.62"/>
    <d v="2009-08-19T00:00:00"/>
    <n v="0"/>
    <n v="0"/>
    <n v="0.33333333333333331"/>
    <n v="0.33333333333333331"/>
  </r>
  <r>
    <n v="5434"/>
    <n v="38598"/>
    <x v="204"/>
    <x v="26"/>
    <s v="Low"/>
    <n v="24"/>
    <n v="324.97000000000003"/>
    <n v="7.0000000000000007E-2"/>
    <s v="Regular Air"/>
    <n v="113.98"/>
    <n v="13.4"/>
    <n v="4.95"/>
    <x v="752"/>
    <x v="12"/>
    <x v="4"/>
    <x v="1"/>
    <x v="2"/>
    <x v="4"/>
    <x v="1148"/>
    <s v="Small Pack"/>
    <n v="0.37"/>
    <d v="2009-08-20T00:00:00"/>
    <n v="0"/>
    <n v="0"/>
    <n v="0.33333333333333331"/>
    <n v="0.33333333333333331"/>
  </r>
  <r>
    <n v="5435"/>
    <n v="38598"/>
    <x v="204"/>
    <x v="26"/>
    <s v="Low"/>
    <n v="27"/>
    <n v="451.52"/>
    <n v="0.01"/>
    <s v="Regular Air"/>
    <n v="-70.522199999999998"/>
    <n v="15.99"/>
    <n v="11.28"/>
    <x v="752"/>
    <x v="12"/>
    <x v="4"/>
    <x v="1"/>
    <x v="1"/>
    <x v="16"/>
    <x v="1230"/>
    <s v="Medium Box"/>
    <n v="0.38"/>
    <d v="2009-08-22T00:00:00"/>
    <n v="0"/>
    <n v="0"/>
    <n v="0.33333333333333331"/>
    <n v="0.33333333333333331"/>
  </r>
  <r>
    <n v="5732"/>
    <n v="40678"/>
    <x v="335"/>
    <x v="24"/>
    <s v="Low"/>
    <n v="42"/>
    <n v="2753.07"/>
    <n v="7.0000000000000007E-2"/>
    <s v="Regular Air"/>
    <n v="551.33550000000002"/>
    <n v="67.28"/>
    <n v="19.989999999999998"/>
    <x v="139"/>
    <x v="12"/>
    <x v="4"/>
    <x v="3"/>
    <x v="0"/>
    <x v="2"/>
    <x v="490"/>
    <s v="Small Box"/>
    <n v="0.4"/>
    <d v="2010-05-05T00:00:00"/>
    <n v="0"/>
    <n v="0"/>
    <n v="1"/>
    <n v="1"/>
  </r>
  <r>
    <n v="5803"/>
    <n v="41154"/>
    <x v="1390"/>
    <x v="46"/>
    <s v="Low"/>
    <n v="43"/>
    <n v="938.37"/>
    <n v="0.02"/>
    <s v="Regular Air"/>
    <n v="251.17"/>
    <n v="21.98"/>
    <n v="2.87"/>
    <x v="741"/>
    <x v="12"/>
    <x v="4"/>
    <x v="2"/>
    <x v="0"/>
    <x v="12"/>
    <x v="363"/>
    <s v="Small Pack"/>
    <n v="0.55000000000000004"/>
    <d v="2009-05-02T00:00:00"/>
    <n v="0"/>
    <n v="0"/>
    <n v="1"/>
    <n v="1"/>
  </r>
  <r>
    <n v="6199"/>
    <n v="43909"/>
    <x v="828"/>
    <x v="22"/>
    <s v="High"/>
    <n v="46"/>
    <n v="737.25"/>
    <n v="0.08"/>
    <s v="Regular Air"/>
    <n v="-199.13399999999999"/>
    <n v="15.99"/>
    <n v="13.18"/>
    <x v="752"/>
    <x v="12"/>
    <x v="4"/>
    <x v="1"/>
    <x v="0"/>
    <x v="2"/>
    <x v="22"/>
    <s v="Small Box"/>
    <n v="0.37"/>
    <d v="2009-01-08T00:00:00"/>
    <n v="0"/>
    <n v="1"/>
    <n v="1"/>
    <n v="1"/>
  </r>
  <r>
    <n v="6382"/>
    <n v="45346"/>
    <x v="84"/>
    <x v="32"/>
    <s v="High"/>
    <n v="37"/>
    <n v="692.15"/>
    <n v="0.09"/>
    <s v="Regular Air"/>
    <n v="150.38"/>
    <n v="19.98"/>
    <n v="5.97"/>
    <x v="213"/>
    <x v="12"/>
    <x v="4"/>
    <x v="1"/>
    <x v="0"/>
    <x v="5"/>
    <x v="71"/>
    <s v="Small Box"/>
    <n v="0.38"/>
    <d v="2012-11-15T00:00:00"/>
    <n v="0"/>
    <n v="0"/>
    <n v="1"/>
    <n v="1"/>
  </r>
  <r>
    <n v="6510"/>
    <n v="46336"/>
    <x v="1363"/>
    <x v="2"/>
    <s v="High"/>
    <n v="31"/>
    <n v="143.85"/>
    <n v="0.1"/>
    <s v="Regular Air"/>
    <n v="34.14"/>
    <n v="4.84"/>
    <n v="0.71"/>
    <x v="647"/>
    <x v="12"/>
    <x v="4"/>
    <x v="1"/>
    <x v="0"/>
    <x v="12"/>
    <x v="486"/>
    <s v="Wrap Bag"/>
    <n v="0.52"/>
    <d v="2011-07-31T00:00:00"/>
    <n v="0"/>
    <n v="0"/>
    <n v="1"/>
    <n v="0.2"/>
  </r>
  <r>
    <n v="7342"/>
    <n v="52320"/>
    <x v="579"/>
    <x v="34"/>
    <s v="Low"/>
    <n v="41"/>
    <n v="112.6"/>
    <n v="0.1"/>
    <s v="Regular Air"/>
    <n v="0.49"/>
    <n v="2.88"/>
    <n v="1.01"/>
    <x v="614"/>
    <x v="12"/>
    <x v="4"/>
    <x v="3"/>
    <x v="0"/>
    <x v="12"/>
    <x v="571"/>
    <s v="Wrap Bag"/>
    <n v="0.55000000000000004"/>
    <d v="2012-09-28T00:00:00"/>
    <n v="0"/>
    <n v="0"/>
    <n v="1"/>
    <n v="1"/>
  </r>
  <r>
    <n v="7351"/>
    <n v="52357"/>
    <x v="1407"/>
    <x v="35"/>
    <s v="Not Specified"/>
    <n v="49"/>
    <n v="541.47"/>
    <n v="0.05"/>
    <s v="Regular Air"/>
    <n v="90.62"/>
    <n v="10.98"/>
    <n v="4.8"/>
    <x v="213"/>
    <x v="12"/>
    <x v="4"/>
    <x v="2"/>
    <x v="0"/>
    <x v="8"/>
    <x v="411"/>
    <s v="Small Box"/>
    <n v="0.36"/>
    <d v="2009-09-05T00:00:00"/>
    <n v="0"/>
    <n v="0"/>
    <n v="1"/>
    <n v="1"/>
  </r>
  <r>
    <n v="7507"/>
    <n v="53573"/>
    <x v="689"/>
    <x v="28"/>
    <s v="Not Specified"/>
    <n v="6"/>
    <n v="93.73"/>
    <n v="0.03"/>
    <s v="Regular Air"/>
    <n v="51.14"/>
    <n v="14.2"/>
    <n v="5.3"/>
    <x v="139"/>
    <x v="12"/>
    <x v="4"/>
    <x v="3"/>
    <x v="2"/>
    <x v="4"/>
    <x v="457"/>
    <s v="Wrap Bag"/>
    <n v="0.46"/>
    <d v="2009-03-17T00:00:00"/>
    <n v="0"/>
    <n v="0"/>
    <n v="1"/>
    <n v="1"/>
  </r>
  <r>
    <n v="7887"/>
    <n v="56420"/>
    <x v="604"/>
    <x v="2"/>
    <s v="Low"/>
    <n v="16"/>
    <n v="597.44000000000005"/>
    <n v="0.09"/>
    <s v="Regular Air"/>
    <n v="108.3"/>
    <n v="38.06"/>
    <n v="4.5"/>
    <x v="647"/>
    <x v="12"/>
    <x v="4"/>
    <x v="1"/>
    <x v="0"/>
    <x v="1"/>
    <x v="1012"/>
    <s v="Small Box"/>
    <n v="0.56000000000000005"/>
    <d v="2011-07-28T00:00:00"/>
    <n v="0"/>
    <n v="0"/>
    <n v="0.25"/>
    <n v="0.2"/>
  </r>
  <r>
    <n v="7888"/>
    <n v="56420"/>
    <x v="604"/>
    <x v="2"/>
    <s v="Low"/>
    <n v="26"/>
    <n v="132.22999999999999"/>
    <n v="7.0000000000000007E-2"/>
    <s v="Regular Air"/>
    <n v="22.25"/>
    <n v="5.08"/>
    <n v="2.0299999999999998"/>
    <x v="647"/>
    <x v="12"/>
    <x v="4"/>
    <x v="1"/>
    <x v="2"/>
    <x v="4"/>
    <x v="708"/>
    <s v="Wrap Bag"/>
    <n v="0.51"/>
    <d v="2011-07-26T00:00:00"/>
    <n v="0"/>
    <n v="0"/>
    <n v="0.25"/>
    <n v="0.2"/>
  </r>
  <r>
    <n v="7889"/>
    <n v="56420"/>
    <x v="604"/>
    <x v="2"/>
    <s v="Low"/>
    <n v="22"/>
    <n v="2403.1369999999997"/>
    <n v="0"/>
    <s v="Regular Air"/>
    <n v="377.62199999999996"/>
    <n v="125.99"/>
    <n v="8.99"/>
    <x v="647"/>
    <x v="12"/>
    <x v="4"/>
    <x v="1"/>
    <x v="1"/>
    <x v="3"/>
    <x v="1232"/>
    <s v="Small Box"/>
    <n v="0.56999999999999995"/>
    <d v="2011-07-29T00:00:00"/>
    <n v="0"/>
    <n v="0"/>
    <n v="0.25"/>
    <n v="0.2"/>
  </r>
  <r>
    <n v="7890"/>
    <n v="56420"/>
    <x v="604"/>
    <x v="2"/>
    <s v="Low"/>
    <n v="48"/>
    <n v="5138.335"/>
    <n v="0.02"/>
    <s v="Regular Air"/>
    <n v="1422.1980000000001"/>
    <n v="125.99"/>
    <n v="8.08"/>
    <x v="647"/>
    <x v="12"/>
    <x v="4"/>
    <x v="1"/>
    <x v="1"/>
    <x v="3"/>
    <x v="162"/>
    <s v="Small Box"/>
    <n v="0.56999999999999995"/>
    <d v="2011-07-26T00:00:00"/>
    <n v="0"/>
    <n v="0"/>
    <n v="0.25"/>
    <n v="0.2"/>
  </r>
  <r>
    <n v="8038"/>
    <n v="57412"/>
    <x v="232"/>
    <x v="36"/>
    <s v="Low"/>
    <n v="34"/>
    <n v="223.499"/>
    <n v="0.06"/>
    <s v="Regular Air"/>
    <n v="-122.13300000000001"/>
    <n v="7.99"/>
    <n v="5.03"/>
    <x v="647"/>
    <x v="12"/>
    <x v="4"/>
    <x v="1"/>
    <x v="1"/>
    <x v="3"/>
    <x v="51"/>
    <s v="Medium Box"/>
    <n v="0.6"/>
    <d v="2009-07-13T00:00:00"/>
    <n v="0"/>
    <n v="0"/>
    <n v="1"/>
    <n v="1"/>
  </r>
  <r>
    <n v="11"/>
    <n v="66"/>
    <x v="1039"/>
    <x v="22"/>
    <s v="Low"/>
    <n v="41"/>
    <n v="108.15"/>
    <n v="0.09"/>
    <s v="Regular Air"/>
    <n v="7.57"/>
    <n v="2.88"/>
    <n v="0.7"/>
    <x v="492"/>
    <x v="12"/>
    <x v="4"/>
    <x v="1"/>
    <x v="0"/>
    <x v="12"/>
    <x v="808"/>
    <s v="Wrap Bag"/>
    <n v="0.56000000000000005"/>
    <d v="2009-01-19T00:00:00"/>
    <n v="0"/>
    <n v="1"/>
    <n v="1"/>
    <n v="1"/>
  </r>
  <r>
    <n v="251"/>
    <n v="1762"/>
    <x v="1352"/>
    <x v="26"/>
    <s v="Not Specified"/>
    <n v="29"/>
    <n v="857.11"/>
    <n v="7.0000000000000007E-2"/>
    <s v="Regular Air"/>
    <n v="285.2"/>
    <n v="31.78"/>
    <n v="1.99"/>
    <x v="753"/>
    <x v="12"/>
    <x v="4"/>
    <x v="3"/>
    <x v="1"/>
    <x v="7"/>
    <x v="47"/>
    <s v="Small Pack"/>
    <n v="0.42"/>
    <d v="2009-08-21T00:00:00"/>
    <n v="0"/>
    <n v="0"/>
    <n v="0.33333333333333331"/>
    <n v="0.33333333333333331"/>
  </r>
  <r>
    <n v="252"/>
    <n v="1762"/>
    <x v="1352"/>
    <x v="26"/>
    <s v="Not Specified"/>
    <n v="11"/>
    <n v="69.599999999999994"/>
    <n v="0"/>
    <s v="Regular Air"/>
    <n v="6.46"/>
    <n v="5.98"/>
    <n v="2.5"/>
    <x v="753"/>
    <x v="12"/>
    <x v="4"/>
    <x v="3"/>
    <x v="0"/>
    <x v="8"/>
    <x v="478"/>
    <s v="Small Box"/>
    <n v="0.36"/>
    <d v="2009-08-20T00:00:00"/>
    <n v="0"/>
    <n v="0"/>
    <n v="0.33333333333333331"/>
    <n v="0.33333333333333331"/>
  </r>
  <r>
    <n v="253"/>
    <n v="1762"/>
    <x v="1352"/>
    <x v="26"/>
    <s v="Not Specified"/>
    <n v="43"/>
    <n v="1279.5050000000001"/>
    <n v="0.1"/>
    <s v="Express Air"/>
    <n v="384.20099999999996"/>
    <n v="35.99"/>
    <n v="1.1000000000000001"/>
    <x v="753"/>
    <x v="12"/>
    <x v="4"/>
    <x v="3"/>
    <x v="1"/>
    <x v="3"/>
    <x v="828"/>
    <s v="Small Box"/>
    <n v="0.55000000000000004"/>
    <d v="2009-08-20T00:00:00"/>
    <n v="0"/>
    <n v="0"/>
    <n v="0.33333333333333331"/>
    <n v="0.33333333333333331"/>
  </r>
  <r>
    <n v="859"/>
    <n v="6150"/>
    <x v="1"/>
    <x v="1"/>
    <s v="Critical"/>
    <n v="38"/>
    <n v="191.14"/>
    <n v="0.06"/>
    <s v="Regular Air"/>
    <n v="82.65"/>
    <n v="4.9800000000000004"/>
    <n v="0.8"/>
    <x v="754"/>
    <x v="12"/>
    <x v="4"/>
    <x v="0"/>
    <x v="0"/>
    <x v="5"/>
    <x v="657"/>
    <s v="Wrap Bag"/>
    <n v="0.36"/>
    <d v="2012-10-02T00:00:00"/>
    <n v="0"/>
    <n v="0"/>
    <n v="1"/>
    <n v="1"/>
  </r>
  <r>
    <n v="879"/>
    <n v="6310"/>
    <x v="1214"/>
    <x v="43"/>
    <s v="Not Specified"/>
    <n v="27"/>
    <n v="216.95"/>
    <n v="0.08"/>
    <s v="Regular Air"/>
    <n v="-88.82"/>
    <n v="8.09"/>
    <n v="7.96"/>
    <x v="755"/>
    <x v="12"/>
    <x v="4"/>
    <x v="1"/>
    <x v="2"/>
    <x v="4"/>
    <x v="1172"/>
    <s v="Small Box"/>
    <n v="0.49"/>
    <d v="2009-05-04T00:00:00"/>
    <n v="0"/>
    <n v="0"/>
    <n v="1"/>
    <n v="1"/>
  </r>
  <r>
    <n v="1321"/>
    <n v="9664"/>
    <x v="1370"/>
    <x v="24"/>
    <s v="High"/>
    <n v="13"/>
    <n v="88.38"/>
    <n v="0.06"/>
    <s v="Regular Air"/>
    <n v="-64.95"/>
    <n v="6.48"/>
    <n v="8.4"/>
    <x v="756"/>
    <x v="12"/>
    <x v="4"/>
    <x v="0"/>
    <x v="0"/>
    <x v="5"/>
    <x v="836"/>
    <s v="Small Box"/>
    <n v="0.37"/>
    <d v="2010-04-10T00:00:00"/>
    <n v="0"/>
    <n v="0"/>
    <n v="1"/>
    <n v="0.25"/>
  </r>
  <r>
    <n v="1545"/>
    <n v="11168"/>
    <x v="19"/>
    <x v="1"/>
    <s v="Critical"/>
    <n v="35"/>
    <n v="182.86"/>
    <n v="0"/>
    <s v="Regular Air"/>
    <n v="-106.27"/>
    <n v="4.82"/>
    <n v="5.72"/>
    <x v="753"/>
    <x v="12"/>
    <x v="4"/>
    <x v="3"/>
    <x v="2"/>
    <x v="4"/>
    <x v="441"/>
    <s v="Small Pack"/>
    <n v="0.47"/>
    <d v="2012-10-23T00:00:00"/>
    <n v="0"/>
    <n v="0"/>
    <n v="1"/>
    <n v="1"/>
  </r>
  <r>
    <n v="1725"/>
    <n v="12417"/>
    <x v="356"/>
    <x v="0"/>
    <s v="Critical"/>
    <n v="19"/>
    <n v="137.84"/>
    <n v="0.06"/>
    <s v="Regular Air"/>
    <n v="34.31"/>
    <n v="7.4"/>
    <n v="1.71"/>
    <x v="520"/>
    <x v="12"/>
    <x v="4"/>
    <x v="2"/>
    <x v="0"/>
    <x v="5"/>
    <x v="677"/>
    <s v="Wrap Bag"/>
    <n v="0.4"/>
    <d v="2010-10-26T00:00:00"/>
    <n v="0"/>
    <n v="0"/>
    <n v="1"/>
    <n v="1"/>
  </r>
  <r>
    <n v="1899"/>
    <n v="13607"/>
    <x v="926"/>
    <x v="7"/>
    <s v="Critical"/>
    <n v="12"/>
    <n v="440.6"/>
    <n v="7.0000000000000007E-2"/>
    <s v="Regular Air"/>
    <n v="2.9700000000000131"/>
    <n v="39.479999999999997"/>
    <n v="1.99"/>
    <x v="756"/>
    <x v="12"/>
    <x v="4"/>
    <x v="0"/>
    <x v="1"/>
    <x v="7"/>
    <x v="64"/>
    <s v="Small Pack"/>
    <n v="0.54"/>
    <d v="2010-11-19T00:00:00"/>
    <n v="0"/>
    <n v="0"/>
    <n v="0.33333333333333331"/>
    <n v="0.25"/>
  </r>
  <r>
    <n v="1900"/>
    <n v="13607"/>
    <x v="926"/>
    <x v="7"/>
    <s v="Critical"/>
    <n v="37"/>
    <n v="109.9"/>
    <n v="0.09"/>
    <s v="Express Air"/>
    <n v="48.52"/>
    <n v="2.61"/>
    <n v="0.5"/>
    <x v="756"/>
    <x v="12"/>
    <x v="4"/>
    <x v="0"/>
    <x v="0"/>
    <x v="11"/>
    <x v="400"/>
    <s v="Small Box"/>
    <n v="0.39"/>
    <d v="2010-11-19T00:00:00"/>
    <n v="0"/>
    <n v="0"/>
    <n v="0.33333333333333331"/>
    <n v="0.25"/>
  </r>
  <r>
    <n v="1901"/>
    <n v="13607"/>
    <x v="926"/>
    <x v="7"/>
    <s v="Critical"/>
    <n v="13"/>
    <n v="315.29000000000002"/>
    <n v="0"/>
    <s v="Regular Air"/>
    <n v="-361.82"/>
    <n v="20.34"/>
    <n v="35"/>
    <x v="756"/>
    <x v="12"/>
    <x v="4"/>
    <x v="0"/>
    <x v="0"/>
    <x v="0"/>
    <x v="540"/>
    <s v="Large Box"/>
    <n v="0.84"/>
    <d v="2010-11-20T00:00:00"/>
    <n v="0"/>
    <n v="0"/>
    <n v="0.33333333333333331"/>
    <n v="0.25"/>
  </r>
  <r>
    <n v="2047"/>
    <n v="14597"/>
    <x v="81"/>
    <x v="3"/>
    <s v="Critical"/>
    <n v="41"/>
    <n v="320.42"/>
    <n v="0.03"/>
    <s v="Express Air"/>
    <n v="-66.366500000000002"/>
    <n v="7.68"/>
    <n v="6.16"/>
    <x v="737"/>
    <x v="12"/>
    <x v="4"/>
    <x v="2"/>
    <x v="0"/>
    <x v="2"/>
    <x v="669"/>
    <s v="Small Box"/>
    <n v="0.35"/>
    <d v="2010-08-31T00:00:00"/>
    <n v="0"/>
    <n v="0"/>
    <n v="0.5"/>
    <n v="0.5"/>
  </r>
  <r>
    <n v="2048"/>
    <n v="14597"/>
    <x v="81"/>
    <x v="3"/>
    <s v="Critical"/>
    <n v="35"/>
    <n v="266.64"/>
    <n v="7.0000000000000007E-2"/>
    <s v="Regular Air"/>
    <n v="-36.76"/>
    <n v="7.96"/>
    <n v="4.95"/>
    <x v="737"/>
    <x v="12"/>
    <x v="4"/>
    <x v="2"/>
    <x v="2"/>
    <x v="4"/>
    <x v="736"/>
    <s v="Small Box"/>
    <n v="0.41"/>
    <d v="2010-08-31T00:00:00"/>
    <n v="0"/>
    <n v="0"/>
    <n v="0.5"/>
    <n v="0.5"/>
  </r>
  <r>
    <n v="2102"/>
    <n v="15015"/>
    <x v="273"/>
    <x v="7"/>
    <s v="High"/>
    <n v="47"/>
    <n v="306.77"/>
    <n v="0.03"/>
    <s v="Regular Air"/>
    <n v="-102.06"/>
    <n v="6.24"/>
    <n v="5.22"/>
    <x v="756"/>
    <x v="12"/>
    <x v="4"/>
    <x v="0"/>
    <x v="2"/>
    <x v="4"/>
    <x v="864"/>
    <s v="Small Box"/>
    <n v="0.6"/>
    <d v="2010-11-26T00:00:00"/>
    <n v="0"/>
    <n v="0"/>
    <n v="1"/>
    <n v="0.25"/>
  </r>
  <r>
    <n v="2415"/>
    <n v="17539"/>
    <x v="339"/>
    <x v="31"/>
    <s v="Not Specified"/>
    <n v="28"/>
    <n v="381.79"/>
    <n v="0.08"/>
    <s v="Regular Air"/>
    <n v="73.73"/>
    <n v="14.34"/>
    <n v="5"/>
    <x v="626"/>
    <x v="12"/>
    <x v="4"/>
    <x v="1"/>
    <x v="2"/>
    <x v="4"/>
    <x v="551"/>
    <s v="Small Pack"/>
    <n v="0.49"/>
    <d v="2011-09-16T00:00:00"/>
    <n v="0"/>
    <n v="0"/>
    <n v="0.5"/>
    <n v="0.5"/>
  </r>
  <r>
    <n v="2416"/>
    <n v="17539"/>
    <x v="339"/>
    <x v="31"/>
    <s v="Not Specified"/>
    <n v="10"/>
    <n v="1529.3115"/>
    <n v="0.1"/>
    <s v="Regular Air"/>
    <n v="-491.26"/>
    <n v="195.99"/>
    <n v="8.99"/>
    <x v="626"/>
    <x v="12"/>
    <x v="4"/>
    <x v="1"/>
    <x v="1"/>
    <x v="3"/>
    <x v="521"/>
    <s v="Small Box"/>
    <n v="0.6"/>
    <d v="2011-09-16T00:00:00"/>
    <n v="0"/>
    <n v="0"/>
    <n v="0.5"/>
    <n v="0.5"/>
  </r>
  <r>
    <n v="2492"/>
    <n v="18145"/>
    <x v="1227"/>
    <x v="18"/>
    <s v="Medium"/>
    <n v="47"/>
    <n v="270.32"/>
    <n v="0.06"/>
    <s v="Regular Air"/>
    <n v="-47.15"/>
    <n v="5.81"/>
    <n v="3.37"/>
    <x v="737"/>
    <x v="12"/>
    <x v="4"/>
    <x v="2"/>
    <x v="0"/>
    <x v="6"/>
    <x v="622"/>
    <s v="Wrap Bag"/>
    <n v="0.54"/>
    <d v="2010-09-05T00:00:00"/>
    <n v="0"/>
    <n v="0"/>
    <n v="0.5"/>
    <n v="0.5"/>
  </r>
  <r>
    <n v="2709"/>
    <n v="19559"/>
    <x v="104"/>
    <x v="24"/>
    <s v="High"/>
    <n v="31"/>
    <n v="260.77"/>
    <n v="0.01"/>
    <s v="Regular Air"/>
    <n v="-8.75"/>
    <n v="8.34"/>
    <n v="4.82"/>
    <x v="756"/>
    <x v="12"/>
    <x v="4"/>
    <x v="0"/>
    <x v="0"/>
    <x v="5"/>
    <x v="513"/>
    <s v="Small Box"/>
    <n v="0.4"/>
    <d v="2010-04-17T00:00:00"/>
    <n v="0"/>
    <n v="0"/>
    <n v="0.33333333333333331"/>
    <n v="0.25"/>
  </r>
  <r>
    <n v="2710"/>
    <n v="19559"/>
    <x v="104"/>
    <x v="24"/>
    <s v="High"/>
    <n v="18"/>
    <n v="2445.212"/>
    <n v="0.02"/>
    <s v="Express Air"/>
    <n v="275.76900000000001"/>
    <n v="155.99"/>
    <n v="8.99"/>
    <x v="756"/>
    <x v="12"/>
    <x v="4"/>
    <x v="0"/>
    <x v="1"/>
    <x v="3"/>
    <x v="554"/>
    <s v="Small Box"/>
    <n v="0.57999999999999996"/>
    <d v="2010-04-16T00:00:00"/>
    <n v="0"/>
    <n v="0"/>
    <n v="0.33333333333333331"/>
    <n v="0.25"/>
  </r>
  <r>
    <n v="2711"/>
    <n v="19559"/>
    <x v="104"/>
    <x v="24"/>
    <s v="High"/>
    <n v="14"/>
    <n v="1032.0274999999999"/>
    <n v="7.0000000000000007E-2"/>
    <s v="Express Air"/>
    <n v="97.397999999999996"/>
    <n v="85.99"/>
    <n v="0.99"/>
    <x v="756"/>
    <x v="12"/>
    <x v="4"/>
    <x v="0"/>
    <x v="1"/>
    <x v="3"/>
    <x v="576"/>
    <s v="Wrap Bag"/>
    <n v="0.55000000000000004"/>
    <d v="2010-04-18T00:00:00"/>
    <n v="0"/>
    <n v="0"/>
    <n v="0.33333333333333331"/>
    <n v="0.25"/>
  </r>
  <r>
    <n v="2924"/>
    <n v="21188"/>
    <x v="1408"/>
    <x v="31"/>
    <s v="Critical"/>
    <n v="29"/>
    <n v="21046.74"/>
    <n v="0.04"/>
    <s v="Regular Air"/>
    <n v="5217.2669999999998"/>
    <n v="699.99"/>
    <n v="24.49"/>
    <x v="756"/>
    <x v="12"/>
    <x v="4"/>
    <x v="0"/>
    <x v="1"/>
    <x v="13"/>
    <x v="991"/>
    <s v="Large Box"/>
    <n v="0.54"/>
    <d v="2011-09-23T00:00:00"/>
    <n v="0"/>
    <n v="0"/>
    <n v="1"/>
    <n v="1"/>
  </r>
  <r>
    <n v="2941"/>
    <n v="21318"/>
    <x v="454"/>
    <x v="42"/>
    <s v="High"/>
    <n v="40"/>
    <n v="1384.34"/>
    <n v="0.1"/>
    <s v="Regular Air"/>
    <n v="562.30899999999997"/>
    <n v="37.700000000000003"/>
    <n v="2.99"/>
    <x v="753"/>
    <x v="12"/>
    <x v="4"/>
    <x v="3"/>
    <x v="0"/>
    <x v="2"/>
    <x v="737"/>
    <s v="Small Box"/>
    <n v="0.35"/>
    <d v="2010-07-06T00:00:00"/>
    <n v="0"/>
    <n v="0"/>
    <n v="1"/>
    <n v="1"/>
  </r>
  <r>
    <n v="3029"/>
    <n v="21792"/>
    <x v="1078"/>
    <x v="34"/>
    <s v="Not Specified"/>
    <n v="26"/>
    <n v="362.76"/>
    <n v="0.09"/>
    <s v="Regular Air"/>
    <n v="19.363"/>
    <n v="14.48"/>
    <n v="6.46"/>
    <x v="626"/>
    <x v="12"/>
    <x v="4"/>
    <x v="1"/>
    <x v="0"/>
    <x v="2"/>
    <x v="637"/>
    <s v="Small Box"/>
    <n v="0.38"/>
    <d v="2012-09-27T00:00:00"/>
    <n v="0"/>
    <n v="0"/>
    <n v="1"/>
    <n v="1"/>
  </r>
  <r>
    <n v="3041"/>
    <n v="21831"/>
    <x v="971"/>
    <x v="35"/>
    <s v="Not Specified"/>
    <n v="6"/>
    <n v="28.39"/>
    <n v="0.05"/>
    <s v="Regular Air"/>
    <n v="3.84"/>
    <n v="4.9800000000000004"/>
    <n v="0.49"/>
    <x v="626"/>
    <x v="12"/>
    <x v="4"/>
    <x v="1"/>
    <x v="0"/>
    <x v="11"/>
    <x v="651"/>
    <s v="Small Box"/>
    <n v="0.39"/>
    <d v="2009-09-19T00:00:00"/>
    <n v="0"/>
    <n v="0"/>
    <n v="1"/>
    <n v="1"/>
  </r>
  <r>
    <n v="3171"/>
    <n v="22818"/>
    <x v="957"/>
    <x v="43"/>
    <s v="Critical"/>
    <n v="50"/>
    <n v="6277.75"/>
    <n v="0.1"/>
    <s v="Delivery Truck"/>
    <n v="-592.42999999999995"/>
    <n v="130.97999999999999"/>
    <n v="30"/>
    <x v="754"/>
    <x v="12"/>
    <x v="4"/>
    <x v="0"/>
    <x v="2"/>
    <x v="14"/>
    <x v="156"/>
    <s v="Jumbo Drum"/>
    <n v="0.78"/>
    <d v="2009-05-24T00:00:00"/>
    <n v="0"/>
    <n v="0"/>
    <n v="0.5"/>
    <n v="0.5"/>
  </r>
  <r>
    <n v="3172"/>
    <n v="22818"/>
    <x v="957"/>
    <x v="43"/>
    <s v="Low"/>
    <n v="19"/>
    <n v="360.24"/>
    <n v="0.08"/>
    <s v="Regular Air"/>
    <n v="-53.82"/>
    <n v="19.98"/>
    <n v="4"/>
    <x v="754"/>
    <x v="12"/>
    <x v="4"/>
    <x v="0"/>
    <x v="1"/>
    <x v="7"/>
    <x v="507"/>
    <s v="Small Box"/>
    <n v="0.68"/>
    <d v="2009-05-26T00:00:00"/>
    <n v="0"/>
    <n v="0"/>
    <n v="0.5"/>
    <n v="0.5"/>
  </r>
  <r>
    <n v="3482"/>
    <n v="24801"/>
    <x v="84"/>
    <x v="32"/>
    <s v="High"/>
    <n v="3"/>
    <n v="18.91"/>
    <n v="0"/>
    <s v="Regular Air"/>
    <n v="-16.353000000000002"/>
    <n v="3.89"/>
    <n v="7.01"/>
    <x v="753"/>
    <x v="12"/>
    <x v="4"/>
    <x v="3"/>
    <x v="0"/>
    <x v="2"/>
    <x v="35"/>
    <s v="Small Box"/>
    <n v="0.37"/>
    <d v="2012-11-16T00:00:00"/>
    <n v="0"/>
    <n v="0"/>
    <n v="0.33333333333333331"/>
    <n v="0.33333333333333331"/>
  </r>
  <r>
    <n v="3483"/>
    <n v="24801"/>
    <x v="84"/>
    <x v="32"/>
    <s v="High"/>
    <n v="7"/>
    <n v="685.7"/>
    <n v="0.01"/>
    <s v="Regular Air"/>
    <n v="350.94"/>
    <n v="88.84"/>
    <n v="20.79"/>
    <x v="753"/>
    <x v="12"/>
    <x v="4"/>
    <x v="3"/>
    <x v="2"/>
    <x v="4"/>
    <x v="1205"/>
    <s v="Large Box"/>
    <n v="0.59"/>
    <d v="2012-11-16T00:00:00"/>
    <n v="0"/>
    <n v="0"/>
    <n v="0.33333333333333331"/>
    <n v="0.33333333333333331"/>
  </r>
  <r>
    <n v="3484"/>
    <n v="24801"/>
    <x v="84"/>
    <x v="32"/>
    <s v="High"/>
    <n v="10"/>
    <n v="1024.165"/>
    <n v="0.02"/>
    <s v="Regular Air"/>
    <n v="-105.69900000000001"/>
    <n v="115.99"/>
    <n v="5.99"/>
    <x v="753"/>
    <x v="12"/>
    <x v="4"/>
    <x v="3"/>
    <x v="1"/>
    <x v="3"/>
    <x v="942"/>
    <s v="Small Box"/>
    <n v="0.56999999999999995"/>
    <d v="2012-11-16T00:00:00"/>
    <n v="0"/>
    <n v="0"/>
    <n v="0.33333333333333331"/>
    <n v="0.33333333333333331"/>
  </r>
  <r>
    <n v="3714"/>
    <n v="26529"/>
    <x v="297"/>
    <x v="16"/>
    <s v="Low"/>
    <n v="17"/>
    <n v="201.72"/>
    <n v="0.05"/>
    <s v="Regular Air"/>
    <n v="-81.61"/>
    <n v="11.34"/>
    <n v="11.25"/>
    <x v="626"/>
    <x v="12"/>
    <x v="4"/>
    <x v="1"/>
    <x v="0"/>
    <x v="5"/>
    <x v="946"/>
    <s v="Small Box"/>
    <n v="0.36"/>
    <d v="2011-02-01T00:00:00"/>
    <n v="0"/>
    <n v="0"/>
    <n v="0.5"/>
    <n v="0.5"/>
  </r>
  <r>
    <n v="3893"/>
    <n v="27780"/>
    <x v="1257"/>
    <x v="1"/>
    <s v="Critical"/>
    <n v="18"/>
    <n v="56.41"/>
    <n v="0.02"/>
    <s v="Regular Air"/>
    <n v="11.92"/>
    <n v="3.08"/>
    <n v="0.99"/>
    <x v="756"/>
    <x v="12"/>
    <x v="4"/>
    <x v="0"/>
    <x v="0"/>
    <x v="11"/>
    <x v="245"/>
    <s v="Small Box"/>
    <n v="0.37"/>
    <d v="2012-10-21T00:00:00"/>
    <n v="0"/>
    <n v="0"/>
    <n v="0.33333333333333331"/>
    <n v="0.25"/>
  </r>
  <r>
    <n v="3894"/>
    <n v="27780"/>
    <x v="1257"/>
    <x v="1"/>
    <s v="Critical"/>
    <n v="39"/>
    <n v="147.71"/>
    <n v="0"/>
    <s v="Regular Air"/>
    <n v="-30.25"/>
    <n v="3.68"/>
    <n v="1.32"/>
    <x v="756"/>
    <x v="12"/>
    <x v="4"/>
    <x v="0"/>
    <x v="0"/>
    <x v="15"/>
    <x v="144"/>
    <s v="Wrap Bag"/>
    <n v="0.83"/>
    <d v="2012-10-20T00:00:00"/>
    <n v="0"/>
    <n v="0"/>
    <n v="0.33333333333333331"/>
    <n v="0.25"/>
  </r>
  <r>
    <n v="3895"/>
    <n v="27780"/>
    <x v="1257"/>
    <x v="1"/>
    <s v="Critical"/>
    <n v="39"/>
    <n v="1678.34"/>
    <n v="0.05"/>
    <s v="Regular Air"/>
    <n v="670.11"/>
    <n v="43.98"/>
    <n v="1.99"/>
    <x v="756"/>
    <x v="12"/>
    <x v="4"/>
    <x v="0"/>
    <x v="1"/>
    <x v="7"/>
    <x v="138"/>
    <s v="Small Pack"/>
    <n v="0.44"/>
    <d v="2012-10-21T00:00:00"/>
    <n v="0"/>
    <n v="0"/>
    <n v="0.33333333333333331"/>
    <n v="0.25"/>
  </r>
  <r>
    <n v="3904"/>
    <n v="27843"/>
    <x v="749"/>
    <x v="18"/>
    <s v="Medium"/>
    <n v="26"/>
    <n v="139.61000000000001"/>
    <n v="0.01"/>
    <s v="Regular Air"/>
    <n v="-92.04"/>
    <n v="4.8899999999999997"/>
    <n v="4.93"/>
    <x v="753"/>
    <x v="12"/>
    <x v="4"/>
    <x v="3"/>
    <x v="1"/>
    <x v="7"/>
    <x v="23"/>
    <s v="Small Pack"/>
    <n v="0.66"/>
    <d v="2010-09-07T00:00:00"/>
    <n v="0"/>
    <n v="0"/>
    <n v="1"/>
    <n v="1"/>
  </r>
  <r>
    <n v="4030"/>
    <n v="28773"/>
    <x v="405"/>
    <x v="44"/>
    <s v="Low"/>
    <n v="48"/>
    <n v="2174.4189999999999"/>
    <n v="0.05"/>
    <s v="Regular Air"/>
    <n v="-211.69499999999999"/>
    <n v="55.99"/>
    <n v="5"/>
    <x v="754"/>
    <x v="12"/>
    <x v="4"/>
    <x v="0"/>
    <x v="1"/>
    <x v="3"/>
    <x v="140"/>
    <s v="Small Pack"/>
    <n v="0.83"/>
    <d v="2011-02-17T00:00:00"/>
    <n v="0"/>
    <n v="0"/>
    <n v="1"/>
    <n v="1"/>
  </r>
  <r>
    <n v="4323"/>
    <n v="30786"/>
    <x v="302"/>
    <x v="29"/>
    <s v="Medium"/>
    <n v="23"/>
    <n v="65.91"/>
    <n v="0.01"/>
    <s v="Regular Air"/>
    <n v="0.76000000000000068"/>
    <n v="2.78"/>
    <n v="1.34"/>
    <x v="552"/>
    <x v="12"/>
    <x v="4"/>
    <x v="0"/>
    <x v="0"/>
    <x v="12"/>
    <x v="148"/>
    <s v="Wrap Bag"/>
    <n v="0.45"/>
    <d v="2012-07-16T00:00:00"/>
    <n v="0"/>
    <n v="0"/>
    <n v="0.5"/>
    <n v="0.5"/>
  </r>
  <r>
    <n v="4324"/>
    <n v="30786"/>
    <x v="302"/>
    <x v="29"/>
    <s v="Medium"/>
    <n v="4"/>
    <n v="72.72"/>
    <n v="0.06"/>
    <s v="Regular Air"/>
    <n v="-36.61"/>
    <n v="15.42"/>
    <n v="10.68"/>
    <x v="552"/>
    <x v="12"/>
    <x v="4"/>
    <x v="0"/>
    <x v="0"/>
    <x v="0"/>
    <x v="1119"/>
    <s v="Small Box"/>
    <n v="0.57999999999999996"/>
    <d v="2012-07-17T00:00:00"/>
    <n v="0"/>
    <n v="0"/>
    <n v="0.5"/>
    <n v="0.5"/>
  </r>
  <r>
    <n v="4461"/>
    <n v="31809"/>
    <x v="1162"/>
    <x v="42"/>
    <s v="High"/>
    <n v="1"/>
    <n v="15"/>
    <n v="0.1"/>
    <s v="Regular Air"/>
    <n v="-13.74"/>
    <n v="9.7799999999999994"/>
    <n v="5.76"/>
    <x v="737"/>
    <x v="12"/>
    <x v="4"/>
    <x v="2"/>
    <x v="0"/>
    <x v="8"/>
    <x v="430"/>
    <s v="Small Box"/>
    <n v="0.35"/>
    <d v="2010-07-30T00:00:00"/>
    <n v="0"/>
    <n v="0"/>
    <n v="1"/>
    <n v="0.5"/>
  </r>
  <r>
    <n v="4481"/>
    <n v="31878"/>
    <x v="388"/>
    <x v="25"/>
    <s v="Medium"/>
    <n v="14"/>
    <n v="138.94999999999999"/>
    <n v="0.04"/>
    <s v="Regular Air"/>
    <n v="9.6300000000000008"/>
    <n v="9.27"/>
    <n v="4.3899999999999997"/>
    <x v="753"/>
    <x v="12"/>
    <x v="4"/>
    <x v="3"/>
    <x v="0"/>
    <x v="5"/>
    <x v="276"/>
    <s v="Wrap Bag"/>
    <n v="0.38"/>
    <d v="2011-12-18T00:00:00"/>
    <n v="0"/>
    <n v="0"/>
    <n v="0.5"/>
    <n v="0.5"/>
  </r>
  <r>
    <n v="4482"/>
    <n v="31878"/>
    <x v="388"/>
    <x v="25"/>
    <s v="Medium"/>
    <n v="42"/>
    <n v="5678.5524999999998"/>
    <n v="0.01"/>
    <s v="Regular Air"/>
    <n v="1727.7750000000001"/>
    <n v="155.99"/>
    <n v="8.99"/>
    <x v="753"/>
    <x v="12"/>
    <x v="4"/>
    <x v="3"/>
    <x v="1"/>
    <x v="3"/>
    <x v="291"/>
    <s v="Small Box"/>
    <n v="0.55000000000000004"/>
    <d v="2011-12-19T00:00:00"/>
    <n v="0"/>
    <n v="0"/>
    <n v="0.5"/>
    <n v="0.5"/>
  </r>
  <r>
    <n v="4910"/>
    <n v="34976"/>
    <x v="1289"/>
    <x v="32"/>
    <s v="Medium"/>
    <n v="45"/>
    <n v="4475"/>
    <n v="0.02"/>
    <s v="Delivery Truck"/>
    <n v="-1523.77"/>
    <n v="95.95"/>
    <n v="74.349999999999994"/>
    <x v="737"/>
    <x v="12"/>
    <x v="4"/>
    <x v="3"/>
    <x v="2"/>
    <x v="14"/>
    <x v="34"/>
    <s v="Jumbo Drum"/>
    <n v="0.56999999999999995"/>
    <d v="2012-11-26T00:00:00"/>
    <n v="0"/>
    <n v="0"/>
    <n v="0.5"/>
    <n v="0.5"/>
  </r>
  <r>
    <n v="4911"/>
    <n v="34976"/>
    <x v="1289"/>
    <x v="32"/>
    <s v="Medium"/>
    <n v="29"/>
    <n v="168.2"/>
    <n v="0.08"/>
    <s v="Regular Air"/>
    <n v="-64.53"/>
    <n v="5.98"/>
    <n v="5.46"/>
    <x v="737"/>
    <x v="12"/>
    <x v="4"/>
    <x v="3"/>
    <x v="0"/>
    <x v="5"/>
    <x v="584"/>
    <s v="Small Box"/>
    <n v="0.36"/>
    <d v="2012-11-25T00:00:00"/>
    <n v="0"/>
    <n v="0"/>
    <n v="0.5"/>
    <n v="0.5"/>
  </r>
  <r>
    <n v="4913"/>
    <n v="34979"/>
    <x v="858"/>
    <x v="18"/>
    <s v="Critical"/>
    <n v="15"/>
    <n v="609.97"/>
    <n v="0"/>
    <s v="Regular Air"/>
    <n v="62.93"/>
    <n v="39.479999999999997"/>
    <n v="1.99"/>
    <x v="552"/>
    <x v="12"/>
    <x v="4"/>
    <x v="0"/>
    <x v="1"/>
    <x v="7"/>
    <x v="64"/>
    <s v="Small Pack"/>
    <n v="0.54"/>
    <d v="2010-09-30T00:00:00"/>
    <n v="0"/>
    <n v="0"/>
    <n v="1"/>
    <n v="1"/>
  </r>
  <r>
    <n v="4941"/>
    <n v="35139"/>
    <x v="528"/>
    <x v="38"/>
    <s v="High"/>
    <n v="29"/>
    <n v="264.77999999999997"/>
    <n v="0.02"/>
    <s v="Regular Air"/>
    <n v="53.048499999999997"/>
    <n v="8.69"/>
    <n v="2.99"/>
    <x v="737"/>
    <x v="12"/>
    <x v="4"/>
    <x v="3"/>
    <x v="0"/>
    <x v="2"/>
    <x v="2"/>
    <s v="Small Box"/>
    <n v="0.39"/>
    <d v="2010-01-19T00:00:00"/>
    <n v="1"/>
    <n v="0"/>
    <n v="0.25"/>
    <n v="0.2"/>
  </r>
  <r>
    <n v="5132"/>
    <n v="36608"/>
    <x v="469"/>
    <x v="31"/>
    <s v="Low"/>
    <n v="40"/>
    <n v="825.8"/>
    <n v="0.1"/>
    <s v="Regular Air"/>
    <n v="183.48"/>
    <n v="21.98"/>
    <n v="2.87"/>
    <x v="754"/>
    <x v="12"/>
    <x v="4"/>
    <x v="0"/>
    <x v="0"/>
    <x v="12"/>
    <x v="363"/>
    <s v="Small Pack"/>
    <n v="0.55000000000000004"/>
    <d v="2011-10-02T00:00:00"/>
    <n v="0"/>
    <n v="0"/>
    <n v="0.5"/>
    <n v="0.5"/>
  </r>
  <r>
    <n v="5133"/>
    <n v="36608"/>
    <x v="469"/>
    <x v="31"/>
    <s v="Low"/>
    <n v="49"/>
    <n v="4273.95"/>
    <n v="0.05"/>
    <s v="Regular Air"/>
    <n v="1340.07"/>
    <n v="90.48"/>
    <n v="19.989999999999998"/>
    <x v="754"/>
    <x v="12"/>
    <x v="4"/>
    <x v="0"/>
    <x v="0"/>
    <x v="8"/>
    <x v="881"/>
    <s v="Small Box"/>
    <n v="0.4"/>
    <d v="2011-10-05T00:00:00"/>
    <n v="0"/>
    <n v="0"/>
    <n v="0.5"/>
    <n v="0.5"/>
  </r>
  <r>
    <n v="5204"/>
    <n v="36994"/>
    <x v="4"/>
    <x v="4"/>
    <s v="Critical"/>
    <n v="40"/>
    <n v="5264.48"/>
    <n v="0.03"/>
    <s v="Delivery Truck"/>
    <n v="-284.06"/>
    <n v="130.97999999999999"/>
    <n v="30"/>
    <x v="754"/>
    <x v="12"/>
    <x v="4"/>
    <x v="2"/>
    <x v="2"/>
    <x v="14"/>
    <x v="156"/>
    <s v="Jumbo Drum"/>
    <n v="0.78"/>
    <d v="2011-06-17T00:00:00"/>
    <n v="0"/>
    <n v="0"/>
    <n v="1"/>
    <n v="1"/>
  </r>
  <r>
    <n v="5484"/>
    <n v="38944"/>
    <x v="875"/>
    <x v="24"/>
    <s v="Medium"/>
    <n v="17"/>
    <n v="1873.3489999999999"/>
    <n v="0.02"/>
    <s v="Regular Air"/>
    <n v="194.21099999999998"/>
    <n v="125.99"/>
    <n v="8.08"/>
    <x v="754"/>
    <x v="12"/>
    <x v="4"/>
    <x v="0"/>
    <x v="1"/>
    <x v="3"/>
    <x v="442"/>
    <s v="Small Box"/>
    <n v="0.56999999999999995"/>
    <d v="2010-04-21T00:00:00"/>
    <n v="0"/>
    <n v="0"/>
    <n v="0.33333333333333331"/>
    <n v="0.33333333333333331"/>
  </r>
  <r>
    <n v="5485"/>
    <n v="38944"/>
    <x v="875"/>
    <x v="24"/>
    <s v="Medium"/>
    <n v="46"/>
    <n v="24639.8"/>
    <n v="0.01"/>
    <s v="Delivery Truck"/>
    <n v="8614.7900000000009"/>
    <n v="500.98"/>
    <n v="26"/>
    <x v="754"/>
    <x v="12"/>
    <x v="4"/>
    <x v="0"/>
    <x v="2"/>
    <x v="14"/>
    <x v="38"/>
    <s v="Jumbo Drum"/>
    <n v="0.6"/>
    <d v="2010-04-21T00:00:00"/>
    <n v="0"/>
    <n v="0"/>
    <n v="0.33333333333333331"/>
    <n v="0.33333333333333331"/>
  </r>
  <r>
    <n v="5486"/>
    <n v="38944"/>
    <x v="875"/>
    <x v="24"/>
    <s v="Medium"/>
    <n v="32"/>
    <n v="921.3"/>
    <n v="0.09"/>
    <s v="Regular Air"/>
    <n v="353.16"/>
    <n v="29.14"/>
    <n v="4.8600000000000003"/>
    <x v="754"/>
    <x v="12"/>
    <x v="4"/>
    <x v="0"/>
    <x v="0"/>
    <x v="5"/>
    <x v="273"/>
    <s v="Wrap Bag"/>
    <n v="0.38"/>
    <d v="2010-04-22T00:00:00"/>
    <n v="0"/>
    <n v="0"/>
    <n v="0.33333333333333331"/>
    <n v="0.33333333333333331"/>
  </r>
  <r>
    <n v="5510"/>
    <n v="39075"/>
    <x v="852"/>
    <x v="12"/>
    <s v="Not Specified"/>
    <n v="50"/>
    <n v="512.33000000000004"/>
    <n v="0.01"/>
    <s v="Regular Air"/>
    <n v="250.66"/>
    <n v="10.35"/>
    <n v="0.99"/>
    <x v="552"/>
    <x v="12"/>
    <x v="4"/>
    <x v="2"/>
    <x v="0"/>
    <x v="11"/>
    <x v="993"/>
    <s v="Small Box"/>
    <n v="0.37"/>
    <d v="2012-02-20T00:00:00"/>
    <n v="0"/>
    <n v="0"/>
    <n v="1"/>
    <n v="1"/>
  </r>
  <r>
    <n v="5566"/>
    <n v="39425"/>
    <x v="707"/>
    <x v="9"/>
    <s v="Critical"/>
    <n v="23"/>
    <n v="1267.4605000000001"/>
    <n v="0.05"/>
    <s v="Regular Air"/>
    <n v="128.79"/>
    <n v="65.989999999999995"/>
    <n v="5.99"/>
    <x v="754"/>
    <x v="12"/>
    <x v="4"/>
    <x v="0"/>
    <x v="1"/>
    <x v="3"/>
    <x v="421"/>
    <s v="Small Box"/>
    <n v="0.57999999999999996"/>
    <d v="2012-08-18T00:00:00"/>
    <n v="0"/>
    <n v="0"/>
    <n v="1"/>
    <n v="1"/>
  </r>
  <r>
    <n v="5911"/>
    <n v="41921"/>
    <x v="224"/>
    <x v="12"/>
    <s v="Medium"/>
    <n v="32"/>
    <n v="16313.51"/>
    <n v="0.04"/>
    <s v="Delivery Truck"/>
    <n v="4860.7299999999996"/>
    <n v="500.98"/>
    <n v="26"/>
    <x v="755"/>
    <x v="12"/>
    <x v="4"/>
    <x v="1"/>
    <x v="2"/>
    <x v="14"/>
    <x v="38"/>
    <s v="Jumbo Drum"/>
    <n v="0.6"/>
    <d v="2012-02-26T00:00:00"/>
    <n v="0"/>
    <n v="0"/>
    <n v="0.5"/>
    <n v="0.33333333333333331"/>
  </r>
  <r>
    <n v="5912"/>
    <n v="41921"/>
    <x v="224"/>
    <x v="12"/>
    <s v="Medium"/>
    <n v="29"/>
    <n v="337.38"/>
    <n v="0.04"/>
    <s v="Express Air"/>
    <n v="-5.45"/>
    <n v="11.58"/>
    <n v="6.97"/>
    <x v="755"/>
    <x v="12"/>
    <x v="4"/>
    <x v="1"/>
    <x v="0"/>
    <x v="8"/>
    <x v="188"/>
    <s v="Small Box"/>
    <n v="0.35"/>
    <d v="2012-02-24T00:00:00"/>
    <n v="0"/>
    <n v="0"/>
    <n v="0.5"/>
    <n v="0.33333333333333331"/>
  </r>
  <r>
    <n v="6060"/>
    <n v="42945"/>
    <x v="508"/>
    <x v="45"/>
    <s v="Not Specified"/>
    <n v="45"/>
    <n v="178.7"/>
    <n v="7.0000000000000007E-2"/>
    <s v="Regular Air"/>
    <n v="-164.92"/>
    <n v="3.95"/>
    <n v="5.13"/>
    <x v="552"/>
    <x v="12"/>
    <x v="4"/>
    <x v="2"/>
    <x v="0"/>
    <x v="1"/>
    <x v="788"/>
    <s v="Small Box"/>
    <n v="0.59"/>
    <d v="2012-12-29T00:00:00"/>
    <n v="0"/>
    <n v="0"/>
    <n v="1"/>
    <n v="1"/>
  </r>
  <r>
    <n v="6072"/>
    <n v="43013"/>
    <x v="617"/>
    <x v="37"/>
    <s v="Low"/>
    <n v="50"/>
    <n v="2437.67"/>
    <n v="0.08"/>
    <s v="Regular Air"/>
    <n v="25.68"/>
    <n v="50.98"/>
    <n v="22.24"/>
    <x v="737"/>
    <x v="12"/>
    <x v="4"/>
    <x v="3"/>
    <x v="2"/>
    <x v="4"/>
    <x v="950"/>
    <s v="Large Box"/>
    <n v="0.55000000000000004"/>
    <d v="2011-04-26T00:00:00"/>
    <n v="0"/>
    <n v="0"/>
    <n v="0.5"/>
    <n v="0.5"/>
  </r>
  <r>
    <n v="6081"/>
    <n v="43104"/>
    <x v="671"/>
    <x v="1"/>
    <s v="High"/>
    <n v="50"/>
    <n v="4648.5200000000004"/>
    <n v="0.1"/>
    <s v="Delivery Truck"/>
    <n v="1676.7"/>
    <n v="100.97"/>
    <n v="14"/>
    <x v="756"/>
    <x v="12"/>
    <x v="4"/>
    <x v="0"/>
    <x v="1"/>
    <x v="16"/>
    <x v="704"/>
    <s v="Jumbo Drum"/>
    <n v="0.37"/>
    <d v="2012-10-31T00:00:00"/>
    <n v="0"/>
    <n v="0"/>
    <n v="1"/>
    <n v="0.25"/>
  </r>
  <r>
    <n v="6113"/>
    <n v="43301"/>
    <x v="1177"/>
    <x v="26"/>
    <s v="Critical"/>
    <n v="33"/>
    <n v="3537.84"/>
    <n v="0"/>
    <s v="Delivery Truck"/>
    <n v="-80.86"/>
    <n v="100.89"/>
    <n v="42"/>
    <x v="756"/>
    <x v="12"/>
    <x v="4"/>
    <x v="0"/>
    <x v="2"/>
    <x v="14"/>
    <x v="541"/>
    <s v="Jumbo Drum"/>
    <n v="0.61"/>
    <d v="2009-08-22T00:00:00"/>
    <n v="0"/>
    <n v="0"/>
    <n v="0.5"/>
    <n v="0.5"/>
  </r>
  <r>
    <n v="6114"/>
    <n v="43301"/>
    <x v="1177"/>
    <x v="26"/>
    <s v="Critical"/>
    <n v="43"/>
    <n v="2221.1999999999998"/>
    <n v="0.01"/>
    <s v="Regular Air"/>
    <n v="-1127.22"/>
    <n v="48.91"/>
    <n v="35"/>
    <x v="756"/>
    <x v="12"/>
    <x v="4"/>
    <x v="0"/>
    <x v="0"/>
    <x v="0"/>
    <x v="293"/>
    <s v="Large Box"/>
    <n v="0.83"/>
    <d v="2009-08-23T00:00:00"/>
    <n v="0"/>
    <n v="0"/>
    <n v="0.5"/>
    <n v="0.5"/>
  </r>
  <r>
    <n v="6337"/>
    <n v="44935"/>
    <x v="360"/>
    <x v="7"/>
    <s v="High"/>
    <n v="39"/>
    <n v="9362.73"/>
    <n v="0"/>
    <s v="Regular Air"/>
    <n v="2766.29"/>
    <n v="232.58"/>
    <n v="19.989999999999998"/>
    <x v="492"/>
    <x v="12"/>
    <x v="4"/>
    <x v="1"/>
    <x v="0"/>
    <x v="1"/>
    <x v="1002"/>
    <s v="Small Box"/>
    <n v="0.59"/>
    <d v="2010-11-18T00:00:00"/>
    <n v="0"/>
    <n v="0"/>
    <n v="0.33333333333333331"/>
    <n v="0.33333333333333331"/>
  </r>
  <r>
    <n v="6338"/>
    <n v="44935"/>
    <x v="360"/>
    <x v="7"/>
    <s v="High"/>
    <n v="37"/>
    <n v="125.33"/>
    <n v="0.06"/>
    <s v="Express Air"/>
    <n v="58.5"/>
    <n v="3.08"/>
    <n v="0.5"/>
    <x v="492"/>
    <x v="12"/>
    <x v="4"/>
    <x v="1"/>
    <x v="0"/>
    <x v="11"/>
    <x v="409"/>
    <s v="Small Box"/>
    <n v="0.37"/>
    <d v="2010-11-18T00:00:00"/>
    <n v="0"/>
    <n v="0"/>
    <n v="0.33333333333333331"/>
    <n v="0.33333333333333331"/>
  </r>
  <r>
    <n v="6348"/>
    <n v="44995"/>
    <x v="465"/>
    <x v="26"/>
    <s v="High"/>
    <n v="46"/>
    <n v="1219.2485000000001"/>
    <n v="0.01"/>
    <s v="Regular Air"/>
    <n v="132.786"/>
    <n v="28.99"/>
    <n v="8.59"/>
    <x v="757"/>
    <x v="12"/>
    <x v="4"/>
    <x v="3"/>
    <x v="1"/>
    <x v="3"/>
    <x v="382"/>
    <s v="Medium Box"/>
    <n v="0.56000000000000005"/>
    <d v="2009-08-07T00:00:00"/>
    <n v="0"/>
    <n v="0"/>
    <n v="1"/>
    <n v="1"/>
  </r>
  <r>
    <n v="6460"/>
    <n v="45989"/>
    <x v="63"/>
    <x v="3"/>
    <s v="High"/>
    <n v="26"/>
    <n v="148.12"/>
    <n v="0.08"/>
    <s v="Regular Air"/>
    <n v="-51.62"/>
    <n v="5.58"/>
    <n v="5.3"/>
    <x v="756"/>
    <x v="12"/>
    <x v="4"/>
    <x v="0"/>
    <x v="0"/>
    <x v="8"/>
    <x v="686"/>
    <s v="Small Box"/>
    <n v="0.35"/>
    <d v="2010-08-23T00:00:00"/>
    <n v="0"/>
    <n v="0"/>
    <n v="1"/>
    <n v="1"/>
  </r>
  <r>
    <n v="6963"/>
    <n v="49767"/>
    <x v="18"/>
    <x v="7"/>
    <s v="Critical"/>
    <n v="43"/>
    <n v="634.38"/>
    <n v="0.09"/>
    <s v="Regular Air"/>
    <n v="272.39999999999998"/>
    <n v="15.74"/>
    <n v="1.39"/>
    <x v="140"/>
    <x v="12"/>
    <x v="4"/>
    <x v="0"/>
    <x v="0"/>
    <x v="8"/>
    <x v="15"/>
    <s v="Small Box"/>
    <n v="0.4"/>
    <d v="2010-11-08T00:00:00"/>
    <n v="0"/>
    <n v="0"/>
    <n v="0.33333333333333331"/>
    <n v="0.33333333333333331"/>
  </r>
  <r>
    <n v="6964"/>
    <n v="49767"/>
    <x v="18"/>
    <x v="7"/>
    <s v="Critical"/>
    <n v="39"/>
    <n v="5196.1899999999996"/>
    <n v="0.1"/>
    <s v="Regular Air"/>
    <n v="2052.13"/>
    <n v="140.99"/>
    <n v="13.99"/>
    <x v="140"/>
    <x v="12"/>
    <x v="4"/>
    <x v="0"/>
    <x v="1"/>
    <x v="16"/>
    <x v="334"/>
    <s v="Medium Box"/>
    <n v="0.37"/>
    <d v="2010-11-09T00:00:00"/>
    <n v="0"/>
    <n v="0"/>
    <n v="0.33333333333333331"/>
    <n v="0.33333333333333331"/>
  </r>
  <r>
    <n v="6965"/>
    <n v="49767"/>
    <x v="18"/>
    <x v="7"/>
    <s v="Critical"/>
    <n v="7"/>
    <n v="50.47"/>
    <n v="0.08"/>
    <s v="Regular Air"/>
    <n v="-31.7"/>
    <n v="6.48"/>
    <n v="7.49"/>
    <x v="140"/>
    <x v="12"/>
    <x v="4"/>
    <x v="0"/>
    <x v="0"/>
    <x v="5"/>
    <x v="496"/>
    <s v="Small Box"/>
    <n v="0.37"/>
    <d v="2010-11-10T00:00:00"/>
    <n v="0"/>
    <n v="0"/>
    <n v="0.33333333333333331"/>
    <n v="0.33333333333333331"/>
  </r>
  <r>
    <n v="7181"/>
    <n v="51239"/>
    <x v="224"/>
    <x v="12"/>
    <s v="Low"/>
    <n v="48"/>
    <n v="4046.25"/>
    <n v="0.09"/>
    <s v="Delivery Truck"/>
    <n v="-1296.93"/>
    <n v="85.29"/>
    <n v="60"/>
    <x v="755"/>
    <x v="12"/>
    <x v="4"/>
    <x v="1"/>
    <x v="2"/>
    <x v="10"/>
    <x v="527"/>
    <s v="Jumbo Drum"/>
    <n v="0.56000000000000005"/>
    <d v="2012-02-25T00:00:00"/>
    <n v="0"/>
    <n v="0"/>
    <n v="1"/>
    <n v="0.33333333333333331"/>
  </r>
  <r>
    <n v="7187"/>
    <n v="51269"/>
    <x v="899"/>
    <x v="23"/>
    <s v="High"/>
    <n v="2"/>
    <n v="21.07"/>
    <n v="0"/>
    <s v="Regular Air"/>
    <n v="-10.4305"/>
    <n v="8.69"/>
    <n v="2.99"/>
    <x v="754"/>
    <x v="12"/>
    <x v="4"/>
    <x v="0"/>
    <x v="0"/>
    <x v="2"/>
    <x v="2"/>
    <s v="Small Box"/>
    <n v="0.39"/>
    <d v="2012-01-13T00:00:00"/>
    <n v="0"/>
    <n v="0"/>
    <n v="0.5"/>
    <n v="0.5"/>
  </r>
  <r>
    <n v="7188"/>
    <n v="51269"/>
    <x v="899"/>
    <x v="23"/>
    <s v="Critical"/>
    <n v="20"/>
    <n v="430.41"/>
    <n v="0.08"/>
    <s v="Regular Air"/>
    <n v="-1.55"/>
    <n v="22.98"/>
    <n v="7.58"/>
    <x v="754"/>
    <x v="12"/>
    <x v="4"/>
    <x v="0"/>
    <x v="2"/>
    <x v="4"/>
    <x v="619"/>
    <s v="Small Box"/>
    <n v="0.51"/>
    <d v="2012-01-13T00:00:00"/>
    <n v="0"/>
    <n v="0"/>
    <n v="0.5"/>
    <n v="0.5"/>
  </r>
  <r>
    <n v="7560"/>
    <n v="54084"/>
    <x v="85"/>
    <x v="31"/>
    <s v="Critical"/>
    <n v="3"/>
    <n v="160.52000000000001"/>
    <n v="0.08"/>
    <s v="Delivery Truck"/>
    <n v="-69.66"/>
    <n v="50.98"/>
    <n v="14.19"/>
    <x v="737"/>
    <x v="12"/>
    <x v="4"/>
    <x v="2"/>
    <x v="2"/>
    <x v="14"/>
    <x v="306"/>
    <s v="Jumbo Drum"/>
    <n v="0.56000000000000005"/>
    <d v="2011-09-12T00:00:00"/>
    <n v="0"/>
    <n v="0"/>
    <n v="1"/>
    <n v="1"/>
  </r>
  <r>
    <n v="7588"/>
    <n v="54307"/>
    <x v="34"/>
    <x v="23"/>
    <s v="High"/>
    <n v="15"/>
    <n v="243.52"/>
    <n v="0.01"/>
    <s v="Regular Air"/>
    <n v="-59.64"/>
    <n v="14.89"/>
    <n v="13.56"/>
    <x v="737"/>
    <x v="12"/>
    <x v="4"/>
    <x v="2"/>
    <x v="2"/>
    <x v="4"/>
    <x v="791"/>
    <s v="Large Box"/>
    <n v="0.57999999999999996"/>
    <d v="2012-01-09T00:00:00"/>
    <n v="0"/>
    <n v="0"/>
    <n v="0.33333333333333331"/>
    <n v="0.33333333333333331"/>
  </r>
  <r>
    <n v="7589"/>
    <n v="54307"/>
    <x v="34"/>
    <x v="23"/>
    <s v="High"/>
    <n v="14"/>
    <n v="3849.8"/>
    <n v="0.04"/>
    <s v="Delivery Truck"/>
    <n v="192.2"/>
    <n v="280.98"/>
    <n v="35.67"/>
    <x v="737"/>
    <x v="12"/>
    <x v="4"/>
    <x v="2"/>
    <x v="2"/>
    <x v="10"/>
    <x v="398"/>
    <s v="Jumbo Box"/>
    <n v="0.66"/>
    <d v="2012-01-09T00:00:00"/>
    <n v="0"/>
    <n v="0"/>
    <n v="0.33333333333333331"/>
    <n v="0.33333333333333331"/>
  </r>
  <r>
    <n v="7675"/>
    <n v="55014"/>
    <x v="698"/>
    <x v="7"/>
    <s v="High"/>
    <n v="38"/>
    <n v="235.15"/>
    <n v="0.03"/>
    <s v="Regular Air"/>
    <n v="12.7"/>
    <n v="5.85"/>
    <n v="2.27"/>
    <x v="552"/>
    <x v="12"/>
    <x v="4"/>
    <x v="0"/>
    <x v="0"/>
    <x v="12"/>
    <x v="338"/>
    <s v="Wrap Bag"/>
    <n v="0.56000000000000005"/>
    <d v="2010-11-02T00:00:00"/>
    <n v="0"/>
    <n v="0"/>
    <n v="1"/>
    <n v="1"/>
  </r>
  <r>
    <n v="7805"/>
    <n v="55845"/>
    <x v="231"/>
    <x v="2"/>
    <s v="Low"/>
    <n v="29"/>
    <n v="4203.88"/>
    <n v="0.1"/>
    <s v="Delivery Truck"/>
    <n v="-865.88"/>
    <n v="150.97999999999999"/>
    <n v="66.27"/>
    <x v="737"/>
    <x v="12"/>
    <x v="4"/>
    <x v="3"/>
    <x v="2"/>
    <x v="9"/>
    <x v="207"/>
    <s v="Jumbo Box"/>
    <n v="0.65"/>
    <d v="2011-07-25T00:00:00"/>
    <n v="0"/>
    <n v="0"/>
    <n v="1"/>
    <n v="1"/>
  </r>
  <r>
    <n v="7806"/>
    <n v="55846"/>
    <x v="1333"/>
    <x v="36"/>
    <s v="Not Specified"/>
    <n v="30"/>
    <n v="221.05"/>
    <n v="0.02"/>
    <s v="Regular Air"/>
    <n v="-66.378"/>
    <n v="7.1"/>
    <n v="6.05"/>
    <x v="298"/>
    <x v="12"/>
    <x v="4"/>
    <x v="2"/>
    <x v="0"/>
    <x v="2"/>
    <x v="310"/>
    <s v="Small Box"/>
    <n v="0.39"/>
    <d v="2009-07-20T00:00:00"/>
    <n v="0"/>
    <n v="0"/>
    <n v="1"/>
    <n v="0.25"/>
  </r>
  <r>
    <n v="7982"/>
    <n v="57063"/>
    <x v="220"/>
    <x v="4"/>
    <s v="Medium"/>
    <n v="26"/>
    <n v="173.78"/>
    <n v="0.06"/>
    <s v="Regular Air"/>
    <n v="-96.26"/>
    <n v="6.48"/>
    <n v="7.49"/>
    <x v="756"/>
    <x v="12"/>
    <x v="4"/>
    <x v="0"/>
    <x v="0"/>
    <x v="5"/>
    <x v="496"/>
    <s v="Small Box"/>
    <n v="0.37"/>
    <d v="2011-06-02T00:00:00"/>
    <n v="0"/>
    <n v="0"/>
    <n v="0.5"/>
    <n v="0.5"/>
  </r>
  <r>
    <n v="7983"/>
    <n v="57063"/>
    <x v="220"/>
    <x v="4"/>
    <s v="Medium"/>
    <n v="22"/>
    <n v="41.18"/>
    <n v="7.0000000000000007E-2"/>
    <s v="Regular Air"/>
    <n v="-0.64"/>
    <n v="1.88"/>
    <n v="0.79"/>
    <x v="756"/>
    <x v="12"/>
    <x v="4"/>
    <x v="0"/>
    <x v="0"/>
    <x v="6"/>
    <x v="1006"/>
    <s v="Wrap Bag"/>
    <n v="0.5"/>
    <d v="2011-06-04T00:00:00"/>
    <n v="0"/>
    <n v="0"/>
    <n v="0.5"/>
    <n v="0.5"/>
  </r>
  <r>
    <n v="7986"/>
    <n v="57093"/>
    <x v="27"/>
    <x v="20"/>
    <s v="Low"/>
    <n v="3"/>
    <n v="18.97"/>
    <n v="0.05"/>
    <s v="Regular Air"/>
    <n v="-7.785499999999999"/>
    <n v="5.34"/>
    <n v="2.99"/>
    <x v="140"/>
    <x v="12"/>
    <x v="4"/>
    <x v="0"/>
    <x v="0"/>
    <x v="2"/>
    <x v="282"/>
    <s v="Small Box"/>
    <n v="0.38"/>
    <d v="2012-05-09T00:00:00"/>
    <n v="0"/>
    <n v="0"/>
    <n v="0.5"/>
    <n v="0.5"/>
  </r>
  <r>
    <n v="7987"/>
    <n v="57093"/>
    <x v="27"/>
    <x v="20"/>
    <s v="Low"/>
    <n v="47"/>
    <n v="744.64"/>
    <n v="0"/>
    <s v="Regular Air"/>
    <n v="31.93"/>
    <n v="15.42"/>
    <n v="5.41"/>
    <x v="140"/>
    <x v="12"/>
    <x v="4"/>
    <x v="0"/>
    <x v="0"/>
    <x v="0"/>
    <x v="1026"/>
    <s v="Small Box"/>
    <n v="0.59"/>
    <d v="2012-05-09T00:00:00"/>
    <n v="0"/>
    <n v="0"/>
    <n v="0.5"/>
    <n v="0.5"/>
  </r>
  <r>
    <n v="8304"/>
    <n v="59329"/>
    <x v="544"/>
    <x v="45"/>
    <s v="Critical"/>
    <n v="35"/>
    <n v="128.12"/>
    <n v="0.08"/>
    <s v="Regular Air"/>
    <n v="-135.59649999999999"/>
    <n v="3.81"/>
    <n v="5.44"/>
    <x v="298"/>
    <x v="12"/>
    <x v="4"/>
    <x v="2"/>
    <x v="0"/>
    <x v="2"/>
    <x v="415"/>
    <s v="Small Box"/>
    <n v="0.36"/>
    <d v="2012-12-06T00:00:00"/>
    <n v="0"/>
    <n v="0"/>
    <n v="0.25"/>
    <n v="0.25"/>
  </r>
  <r>
    <n v="8305"/>
    <n v="59329"/>
    <x v="544"/>
    <x v="45"/>
    <s v="Critical"/>
    <n v="25"/>
    <n v="165.62"/>
    <n v="0.03"/>
    <s v="Regular Air"/>
    <n v="-64.72"/>
    <n v="6.24"/>
    <n v="5.22"/>
    <x v="298"/>
    <x v="12"/>
    <x v="4"/>
    <x v="2"/>
    <x v="2"/>
    <x v="4"/>
    <x v="864"/>
    <s v="Small Box"/>
    <n v="0.6"/>
    <d v="2012-12-04T00:00:00"/>
    <n v="0"/>
    <n v="0"/>
    <n v="0.25"/>
    <n v="0.25"/>
  </r>
  <r>
    <n v="8306"/>
    <n v="59329"/>
    <x v="544"/>
    <x v="45"/>
    <s v="Critical"/>
    <n v="41"/>
    <n v="214.23"/>
    <n v="0.01"/>
    <s v="Regular Air"/>
    <n v="-165.42"/>
    <n v="4.8600000000000003"/>
    <n v="7.1"/>
    <x v="298"/>
    <x v="12"/>
    <x v="4"/>
    <x v="2"/>
    <x v="2"/>
    <x v="4"/>
    <x v="1173"/>
    <s v="Small Box"/>
    <n v="0.42"/>
    <d v="2012-12-06T00:00:00"/>
    <n v="0"/>
    <n v="0"/>
    <n v="0.25"/>
    <n v="0.25"/>
  </r>
  <r>
    <n v="8307"/>
    <n v="59329"/>
    <x v="544"/>
    <x v="45"/>
    <s v="Critical"/>
    <n v="41"/>
    <n v="214.19"/>
    <n v="0.05"/>
    <s v="Regular Air"/>
    <n v="-66.06"/>
    <n v="4.9800000000000004"/>
    <n v="4.7"/>
    <x v="298"/>
    <x v="12"/>
    <x v="4"/>
    <x v="2"/>
    <x v="0"/>
    <x v="5"/>
    <x v="725"/>
    <s v="Small Box"/>
    <n v="0.38"/>
    <d v="2012-12-05T00:00:00"/>
    <n v="0"/>
    <n v="0"/>
    <n v="0.25"/>
    <n v="0.25"/>
  </r>
  <r>
    <n v="9"/>
    <n v="36"/>
    <x v="1189"/>
    <x v="27"/>
    <s v="Critical"/>
    <n v="46"/>
    <n v="2484.7455"/>
    <n v="0.1"/>
    <s v="Regular Air"/>
    <n v="657.47699999999998"/>
    <n v="65.989999999999995"/>
    <n v="4.2"/>
    <x v="758"/>
    <x v="12"/>
    <x v="4"/>
    <x v="3"/>
    <x v="1"/>
    <x v="3"/>
    <x v="709"/>
    <s v="Small Box"/>
    <n v="0.55000000000000004"/>
    <d v="2011-11-02T00:00:00"/>
    <n v="0"/>
    <n v="0"/>
    <n v="1"/>
    <n v="1"/>
  </r>
  <r>
    <n v="28"/>
    <n v="194"/>
    <x v="736"/>
    <x v="13"/>
    <s v="Medium"/>
    <n v="49"/>
    <n v="329.03"/>
    <n v="0.1"/>
    <s v="Regular Air"/>
    <n v="-197.25"/>
    <n v="7.28"/>
    <n v="7.98"/>
    <x v="324"/>
    <x v="12"/>
    <x v="4"/>
    <x v="2"/>
    <x v="2"/>
    <x v="4"/>
    <x v="994"/>
    <s v="Wrap Bag"/>
    <n v="0.42"/>
    <d v="2012-04-06T00:00:00"/>
    <n v="0"/>
    <n v="0"/>
    <n v="0.5"/>
    <n v="0.5"/>
  </r>
  <r>
    <n v="29"/>
    <n v="194"/>
    <x v="736"/>
    <x v="13"/>
    <s v="Medium"/>
    <n v="6"/>
    <n v="20.190000000000001"/>
    <n v="0.04"/>
    <s v="Regular Air"/>
    <n v="-13.44"/>
    <n v="3.14"/>
    <n v="1.92"/>
    <x v="324"/>
    <x v="12"/>
    <x v="4"/>
    <x v="2"/>
    <x v="0"/>
    <x v="15"/>
    <x v="546"/>
    <s v="Wrap Bag"/>
    <n v="0.84"/>
    <d v="2012-04-06T00:00:00"/>
    <n v="0"/>
    <n v="0"/>
    <n v="0.5"/>
    <n v="0.5"/>
  </r>
  <r>
    <n v="65"/>
    <n v="384"/>
    <x v="159"/>
    <x v="33"/>
    <s v="Low"/>
    <n v="50"/>
    <n v="7666.04"/>
    <n v="0.02"/>
    <s v="Delivery Truck"/>
    <n v="-1820.84"/>
    <n v="146.05000000000001"/>
    <n v="80.2"/>
    <x v="759"/>
    <x v="12"/>
    <x v="4"/>
    <x v="2"/>
    <x v="2"/>
    <x v="10"/>
    <x v="838"/>
    <s v="Jumbo Box"/>
    <n v="0.71"/>
    <d v="2012-03-09T00:00:00"/>
    <n v="0"/>
    <n v="0"/>
    <n v="1"/>
    <n v="1"/>
  </r>
  <r>
    <n v="120"/>
    <n v="774"/>
    <x v="1211"/>
    <x v="25"/>
    <s v="Critical"/>
    <n v="17"/>
    <n v="126.57"/>
    <n v="0.03"/>
    <s v="Regular Air"/>
    <n v="-752.13"/>
    <n v="4.4800000000000004"/>
    <n v="49"/>
    <x v="760"/>
    <x v="12"/>
    <x v="4"/>
    <x v="0"/>
    <x v="0"/>
    <x v="1"/>
    <x v="43"/>
    <s v="Large Box"/>
    <n v="0.6"/>
    <d v="2011-12-05T00:00:00"/>
    <n v="0"/>
    <n v="0"/>
    <n v="1"/>
    <n v="1"/>
  </r>
  <r>
    <n v="163"/>
    <n v="1027"/>
    <x v="734"/>
    <x v="8"/>
    <s v="Medium"/>
    <n v="19"/>
    <n v="1406.15"/>
    <n v="0.04"/>
    <s v="Delivery Truck"/>
    <n v="-379.1"/>
    <n v="70.98"/>
    <n v="46.74"/>
    <x v="187"/>
    <x v="12"/>
    <x v="4"/>
    <x v="3"/>
    <x v="2"/>
    <x v="9"/>
    <x v="768"/>
    <s v="Jumbo Box"/>
    <n v="0.56000000000000005"/>
    <d v="2012-06-04T00:00:00"/>
    <n v="0"/>
    <n v="0"/>
    <n v="1"/>
    <n v="0.5"/>
  </r>
  <r>
    <n v="171"/>
    <n v="1060"/>
    <x v="773"/>
    <x v="6"/>
    <s v="Medium"/>
    <n v="30"/>
    <n v="1187.55"/>
    <n v="0"/>
    <s v="Regular Air"/>
    <n v="532.61"/>
    <n v="37.700000000000003"/>
    <n v="2.99"/>
    <x v="347"/>
    <x v="12"/>
    <x v="4"/>
    <x v="2"/>
    <x v="0"/>
    <x v="2"/>
    <x v="737"/>
    <s v="Small Box"/>
    <n v="0.35"/>
    <d v="2010-02-22T00:00:00"/>
    <n v="0"/>
    <n v="0"/>
    <n v="1"/>
    <n v="0.25"/>
  </r>
  <r>
    <n v="190"/>
    <n v="1280"/>
    <x v="438"/>
    <x v="38"/>
    <s v="Low"/>
    <n v="40"/>
    <n v="827.27"/>
    <n v="0.05"/>
    <s v="Regular Air"/>
    <n v="-170.87"/>
    <n v="20.97"/>
    <n v="6.5"/>
    <x v="347"/>
    <x v="12"/>
    <x v="4"/>
    <x v="2"/>
    <x v="1"/>
    <x v="7"/>
    <x v="154"/>
    <s v="Small Box"/>
    <n v="0.78"/>
    <d v="2010-01-10T00:00:00"/>
    <n v="1"/>
    <n v="0"/>
    <n v="1"/>
    <n v="1"/>
  </r>
  <r>
    <n v="254"/>
    <n v="1764"/>
    <x v="561"/>
    <x v="33"/>
    <s v="Critical"/>
    <n v="7"/>
    <n v="59.99"/>
    <n v="0.1"/>
    <s v="Regular Air"/>
    <n v="-13.78"/>
    <n v="8.34"/>
    <n v="4.82"/>
    <x v="187"/>
    <x v="12"/>
    <x v="4"/>
    <x v="0"/>
    <x v="0"/>
    <x v="5"/>
    <x v="513"/>
    <s v="Small Box"/>
    <n v="0.4"/>
    <d v="2012-03-27T00:00:00"/>
    <n v="0"/>
    <n v="0"/>
    <n v="1"/>
    <n v="1"/>
  </r>
  <r>
    <n v="261"/>
    <n v="1824"/>
    <x v="1366"/>
    <x v="43"/>
    <s v="Critical"/>
    <n v="39"/>
    <n v="10656.26"/>
    <n v="0.06"/>
    <s v="Regular Air"/>
    <n v="3116.54"/>
    <n v="276.2"/>
    <n v="24.49"/>
    <x v="761"/>
    <x v="12"/>
    <x v="4"/>
    <x v="2"/>
    <x v="2"/>
    <x v="14"/>
    <x v="67"/>
    <s v="Large Box"/>
    <m/>
    <d v="2009-05-05T00:00:00"/>
    <n v="0"/>
    <n v="0"/>
    <n v="0.5"/>
    <n v="0.5"/>
  </r>
  <r>
    <n v="262"/>
    <n v="1824"/>
    <x v="1366"/>
    <x v="43"/>
    <s v="Critical"/>
    <n v="2"/>
    <n v="17.059999999999999"/>
    <n v="0.09"/>
    <s v="Regular Air"/>
    <n v="-5.2"/>
    <n v="6.28"/>
    <n v="5.29"/>
    <x v="761"/>
    <x v="12"/>
    <x v="4"/>
    <x v="2"/>
    <x v="2"/>
    <x v="4"/>
    <x v="466"/>
    <s v="Small Box"/>
    <n v="0.43"/>
    <d v="2009-05-04T00:00:00"/>
    <n v="0"/>
    <n v="0"/>
    <n v="0.5"/>
    <n v="0.5"/>
  </r>
  <r>
    <n v="358"/>
    <n v="2503"/>
    <x v="695"/>
    <x v="30"/>
    <s v="Medium"/>
    <n v="21"/>
    <n v="91.15"/>
    <n v="0.03"/>
    <s v="Regular Air"/>
    <n v="-71.541499999999999"/>
    <n v="4.13"/>
    <n v="5.34"/>
    <x v="324"/>
    <x v="12"/>
    <x v="4"/>
    <x v="2"/>
    <x v="0"/>
    <x v="2"/>
    <x v="528"/>
    <s v="Small Box"/>
    <n v="0.38"/>
    <d v="2010-06-20T00:00:00"/>
    <n v="0"/>
    <n v="0"/>
    <n v="0.33333333333333331"/>
    <n v="0.33333333333333331"/>
  </r>
  <r>
    <n v="359"/>
    <n v="2503"/>
    <x v="695"/>
    <x v="30"/>
    <s v="Medium"/>
    <n v="46"/>
    <n v="171.48"/>
    <n v="0.1"/>
    <s v="Regular Air"/>
    <n v="66.13"/>
    <n v="4.13"/>
    <n v="0.5"/>
    <x v="324"/>
    <x v="12"/>
    <x v="4"/>
    <x v="2"/>
    <x v="0"/>
    <x v="11"/>
    <x v="84"/>
    <s v="Small Box"/>
    <n v="0.39"/>
    <d v="2010-06-20T00:00:00"/>
    <n v="0"/>
    <n v="0"/>
    <n v="0.33333333333333331"/>
    <n v="0.33333333333333331"/>
  </r>
  <r>
    <n v="360"/>
    <n v="2503"/>
    <x v="695"/>
    <x v="30"/>
    <s v="Medium"/>
    <n v="9"/>
    <n v="162.15450000000001"/>
    <n v="0.08"/>
    <s v="Regular Air"/>
    <n v="-73.744"/>
    <n v="20.99"/>
    <n v="4.8099999999999996"/>
    <x v="324"/>
    <x v="12"/>
    <x v="4"/>
    <x v="2"/>
    <x v="1"/>
    <x v="3"/>
    <x v="591"/>
    <s v="Medium Box"/>
    <n v="0.57999999999999996"/>
    <d v="2010-06-21T00:00:00"/>
    <n v="0"/>
    <n v="0"/>
    <n v="0.33333333333333331"/>
    <n v="0.33333333333333331"/>
  </r>
  <r>
    <n v="595"/>
    <n v="4069"/>
    <x v="145"/>
    <x v="20"/>
    <s v="Medium"/>
    <n v="8"/>
    <n v="54.43"/>
    <n v="0.08"/>
    <s v="Regular Air"/>
    <n v="-31.63"/>
    <n v="6.48"/>
    <n v="6.74"/>
    <x v="347"/>
    <x v="12"/>
    <x v="4"/>
    <x v="1"/>
    <x v="0"/>
    <x v="5"/>
    <x v="1166"/>
    <s v="Small Box"/>
    <n v="0.37"/>
    <d v="2012-05-14T00:00:00"/>
    <n v="0"/>
    <n v="0"/>
    <n v="0.33333333333333331"/>
    <n v="0.33333333333333331"/>
  </r>
  <r>
    <n v="596"/>
    <n v="4069"/>
    <x v="145"/>
    <x v="20"/>
    <s v="Medium"/>
    <n v="47"/>
    <n v="124.94"/>
    <n v="0.1"/>
    <s v="Express Air"/>
    <n v="-2.4"/>
    <n v="2.78"/>
    <n v="1.34"/>
    <x v="347"/>
    <x v="12"/>
    <x v="4"/>
    <x v="1"/>
    <x v="0"/>
    <x v="12"/>
    <x v="148"/>
    <s v="Wrap Bag"/>
    <n v="0.45"/>
    <d v="2012-05-12T00:00:00"/>
    <n v="0"/>
    <n v="0"/>
    <n v="0.33333333333333331"/>
    <n v="0.33333333333333331"/>
  </r>
  <r>
    <n v="597"/>
    <n v="4069"/>
    <x v="145"/>
    <x v="20"/>
    <s v="Medium"/>
    <n v="30"/>
    <n v="78.459999999999994"/>
    <n v="0.05"/>
    <s v="Regular Air"/>
    <n v="18.57"/>
    <n v="2.62"/>
    <n v="0.8"/>
    <x v="347"/>
    <x v="12"/>
    <x v="4"/>
    <x v="1"/>
    <x v="0"/>
    <x v="6"/>
    <x v="675"/>
    <s v="Wrap Bag"/>
    <n v="0.39"/>
    <d v="2012-05-15T00:00:00"/>
    <n v="0"/>
    <n v="0"/>
    <n v="0.33333333333333331"/>
    <n v="0.33333333333333331"/>
  </r>
  <r>
    <n v="659"/>
    <n v="4645"/>
    <x v="971"/>
    <x v="35"/>
    <s v="Critical"/>
    <n v="30"/>
    <n v="920"/>
    <n v="0.08"/>
    <s v="Regular Air"/>
    <n v="-45.07"/>
    <n v="30.73"/>
    <n v="4"/>
    <x v="538"/>
    <x v="12"/>
    <x v="4"/>
    <x v="0"/>
    <x v="1"/>
    <x v="7"/>
    <x v="161"/>
    <s v="Small Box"/>
    <n v="0.75"/>
    <d v="2009-09-19T00:00:00"/>
    <n v="0"/>
    <n v="0"/>
    <n v="0.33333333333333331"/>
    <n v="0.33333333333333331"/>
  </r>
  <r>
    <n v="660"/>
    <n v="4645"/>
    <x v="971"/>
    <x v="35"/>
    <s v="Critical"/>
    <n v="7"/>
    <n v="104.2"/>
    <n v="0.05"/>
    <s v="Regular Air"/>
    <n v="-8.5299999999999994"/>
    <n v="14.56"/>
    <n v="3.5"/>
    <x v="538"/>
    <x v="12"/>
    <x v="4"/>
    <x v="0"/>
    <x v="0"/>
    <x v="1"/>
    <x v="714"/>
    <s v="Small Box"/>
    <n v="0.57999999999999996"/>
    <d v="2009-09-21T00:00:00"/>
    <n v="0"/>
    <n v="0"/>
    <n v="0.33333333333333331"/>
    <n v="0.33333333333333331"/>
  </r>
  <r>
    <n v="661"/>
    <n v="4645"/>
    <x v="971"/>
    <x v="35"/>
    <s v="Critical"/>
    <n v="11"/>
    <n v="3563.88"/>
    <n v="0"/>
    <s v="Regular Air"/>
    <n v="285.95"/>
    <n v="299.99"/>
    <n v="11.64"/>
    <x v="538"/>
    <x v="12"/>
    <x v="4"/>
    <x v="0"/>
    <x v="1"/>
    <x v="13"/>
    <x v="1035"/>
    <s v="Large Box"/>
    <n v="0.5"/>
    <d v="2009-09-21T00:00:00"/>
    <n v="0"/>
    <n v="0"/>
    <n v="0.33333333333333331"/>
    <n v="0.33333333333333331"/>
  </r>
  <r>
    <n v="811"/>
    <n v="5858"/>
    <x v="709"/>
    <x v="29"/>
    <s v="Not Specified"/>
    <n v="48"/>
    <n v="2531.66"/>
    <n v="0.02"/>
    <s v="Regular Air"/>
    <n v="354.74"/>
    <n v="50.98"/>
    <n v="13.66"/>
    <x v="760"/>
    <x v="12"/>
    <x v="4"/>
    <x v="0"/>
    <x v="0"/>
    <x v="1"/>
    <x v="389"/>
    <s v="Small Box"/>
    <n v="0.57999999999999996"/>
    <d v="2012-07-15T00:00:00"/>
    <n v="0"/>
    <n v="0"/>
    <n v="0.5"/>
    <n v="0.5"/>
  </r>
  <r>
    <n v="812"/>
    <n v="5858"/>
    <x v="709"/>
    <x v="29"/>
    <s v="Not Specified"/>
    <n v="29"/>
    <n v="5382.3104999999996"/>
    <n v="0"/>
    <s v="Regular Air"/>
    <n v="1419.048"/>
    <n v="205.99"/>
    <n v="8.99"/>
    <x v="760"/>
    <x v="12"/>
    <x v="4"/>
    <x v="0"/>
    <x v="1"/>
    <x v="3"/>
    <x v="879"/>
    <s v="Small Box"/>
    <n v="0.57999999999999996"/>
    <d v="2012-07-15T00:00:00"/>
    <n v="0"/>
    <n v="0"/>
    <n v="0.5"/>
    <n v="0.5"/>
  </r>
  <r>
    <n v="877"/>
    <n v="6304"/>
    <x v="1158"/>
    <x v="21"/>
    <s v="High"/>
    <n v="30"/>
    <n v="199.11"/>
    <n v="0.01"/>
    <s v="Regular Air"/>
    <n v="-83.33"/>
    <n v="6.48"/>
    <n v="6.65"/>
    <x v="762"/>
    <x v="12"/>
    <x v="4"/>
    <x v="2"/>
    <x v="0"/>
    <x v="5"/>
    <x v="58"/>
    <s v="Small Box"/>
    <n v="0.36"/>
    <d v="2011-08-13T00:00:00"/>
    <n v="0"/>
    <n v="0"/>
    <n v="1"/>
    <n v="1"/>
  </r>
  <r>
    <n v="923"/>
    <n v="6661"/>
    <x v="652"/>
    <x v="24"/>
    <s v="Low"/>
    <n v="47"/>
    <n v="19224.919999999998"/>
    <n v="0.1"/>
    <s v="Delivery Truck"/>
    <n v="6635.15"/>
    <n v="449.99"/>
    <n v="49"/>
    <x v="538"/>
    <x v="12"/>
    <x v="4"/>
    <x v="0"/>
    <x v="1"/>
    <x v="13"/>
    <x v="26"/>
    <s v="Jumbo Drum"/>
    <n v="0.38"/>
    <d v="2010-04-20T00:00:00"/>
    <n v="0"/>
    <n v="0"/>
    <n v="0.5"/>
    <n v="0.5"/>
  </r>
  <r>
    <n v="924"/>
    <n v="6661"/>
    <x v="652"/>
    <x v="24"/>
    <s v="Low"/>
    <n v="39"/>
    <n v="778.62"/>
    <n v="0"/>
    <s v="Regular Air"/>
    <n v="247.24"/>
    <n v="19.23"/>
    <n v="6.15"/>
    <x v="538"/>
    <x v="12"/>
    <x v="4"/>
    <x v="0"/>
    <x v="2"/>
    <x v="4"/>
    <x v="392"/>
    <s v="Small Pack"/>
    <n v="0.44"/>
    <d v="2010-04-23T00:00:00"/>
    <n v="0"/>
    <n v="0"/>
    <n v="0.5"/>
    <n v="0.5"/>
  </r>
  <r>
    <n v="934"/>
    <n v="6757"/>
    <x v="975"/>
    <x v="12"/>
    <s v="Medium"/>
    <n v="27"/>
    <n v="869.78"/>
    <n v="0.1"/>
    <s v="Regular Air"/>
    <n v="43.36"/>
    <n v="34.76"/>
    <n v="8.2200000000000006"/>
    <x v="763"/>
    <x v="12"/>
    <x v="4"/>
    <x v="0"/>
    <x v="0"/>
    <x v="0"/>
    <x v="139"/>
    <s v="Small Box"/>
    <n v="0.56999999999999995"/>
    <d v="2012-02-03T00:00:00"/>
    <n v="0"/>
    <n v="0"/>
    <n v="0.5"/>
    <n v="0.33333333333333331"/>
  </r>
  <r>
    <n v="935"/>
    <n v="6757"/>
    <x v="975"/>
    <x v="12"/>
    <s v="Medium"/>
    <n v="11"/>
    <n v="2503.0080000000003"/>
    <n v="0.1"/>
    <s v="Delivery Truck"/>
    <n v="-298.62"/>
    <n v="286.85000000000002"/>
    <n v="61.76"/>
    <x v="763"/>
    <x v="12"/>
    <x v="4"/>
    <x v="0"/>
    <x v="2"/>
    <x v="10"/>
    <x v="832"/>
    <s v="Jumbo Box"/>
    <n v="0.78"/>
    <d v="2012-02-02T00:00:00"/>
    <n v="0"/>
    <n v="0"/>
    <n v="0.5"/>
    <n v="0.33333333333333331"/>
  </r>
  <r>
    <n v="1071"/>
    <n v="7904"/>
    <x v="1305"/>
    <x v="39"/>
    <s v="Low"/>
    <n v="47"/>
    <n v="298.3"/>
    <n v="0.08"/>
    <s v="Express Air"/>
    <n v="146.72"/>
    <n v="6.3"/>
    <n v="0.5"/>
    <x v="764"/>
    <x v="12"/>
    <x v="4"/>
    <x v="2"/>
    <x v="0"/>
    <x v="11"/>
    <x v="336"/>
    <s v="Small Box"/>
    <n v="0.39"/>
    <d v="2010-06-05T00:00:00"/>
    <n v="0"/>
    <n v="0"/>
    <n v="1"/>
    <n v="1"/>
  </r>
  <r>
    <n v="1074"/>
    <n v="7909"/>
    <x v="786"/>
    <x v="22"/>
    <s v="High"/>
    <n v="29"/>
    <n v="122.23"/>
    <n v="0.03"/>
    <s v="Regular Air"/>
    <n v="24.55"/>
    <n v="4.26"/>
    <n v="1.2"/>
    <x v="765"/>
    <x v="12"/>
    <x v="4"/>
    <x v="3"/>
    <x v="0"/>
    <x v="12"/>
    <x v="678"/>
    <s v="Wrap Bag"/>
    <n v="0.44"/>
    <d v="2009-01-04T00:00:00"/>
    <n v="0"/>
    <n v="1"/>
    <n v="1"/>
    <n v="1"/>
  </r>
  <r>
    <n v="1179"/>
    <n v="8614"/>
    <x v="1161"/>
    <x v="41"/>
    <s v="Low"/>
    <n v="13"/>
    <n v="1289.127"/>
    <n v="0.06"/>
    <s v="Regular Air"/>
    <n v="-16.335000000000001"/>
    <n v="115.99"/>
    <n v="5.92"/>
    <x v="764"/>
    <x v="12"/>
    <x v="4"/>
    <x v="2"/>
    <x v="1"/>
    <x v="3"/>
    <x v="757"/>
    <s v="Small Box"/>
    <n v="0.57999999999999996"/>
    <d v="2009-06-06T00:00:00"/>
    <n v="0"/>
    <n v="0"/>
    <n v="1"/>
    <n v="1"/>
  </r>
  <r>
    <n v="1271"/>
    <n v="9249"/>
    <x v="244"/>
    <x v="39"/>
    <s v="High"/>
    <n v="46"/>
    <n v="176.5"/>
    <n v="0.01"/>
    <s v="Regular Air"/>
    <n v="-119.35"/>
    <n v="3.57"/>
    <n v="4.17"/>
    <x v="766"/>
    <x v="12"/>
    <x v="4"/>
    <x v="0"/>
    <x v="0"/>
    <x v="12"/>
    <x v="574"/>
    <s v="Small Pack"/>
    <n v="0.59"/>
    <d v="2010-05-20T00:00:00"/>
    <n v="0"/>
    <n v="0"/>
    <n v="0.33333333333333331"/>
    <n v="0.25"/>
  </r>
  <r>
    <n v="1272"/>
    <n v="9249"/>
    <x v="244"/>
    <x v="39"/>
    <s v="High"/>
    <n v="42"/>
    <n v="1546.8"/>
    <n v="7.0000000000000007E-2"/>
    <s v="Regular Air"/>
    <n v="25.51"/>
    <n v="37.76"/>
    <n v="12.9"/>
    <x v="766"/>
    <x v="12"/>
    <x v="4"/>
    <x v="0"/>
    <x v="0"/>
    <x v="0"/>
    <x v="833"/>
    <s v="Small Box"/>
    <n v="0.56999999999999995"/>
    <d v="2010-05-20T00:00:00"/>
    <n v="0"/>
    <n v="0"/>
    <n v="0.33333333333333331"/>
    <n v="0.25"/>
  </r>
  <r>
    <n v="1273"/>
    <n v="9249"/>
    <x v="244"/>
    <x v="39"/>
    <s v="High"/>
    <n v="35"/>
    <n v="3457.56"/>
    <n v="0.02"/>
    <s v="Delivery Truck"/>
    <n v="-365.44"/>
    <n v="124.49"/>
    <n v="51.94"/>
    <x v="766"/>
    <x v="12"/>
    <x v="4"/>
    <x v="0"/>
    <x v="2"/>
    <x v="10"/>
    <x v="307"/>
    <s v="Jumbo Box"/>
    <n v="0.63"/>
    <d v="2010-05-21T00:00:00"/>
    <n v="0"/>
    <n v="0"/>
    <n v="0.33333333333333331"/>
    <n v="0.25"/>
  </r>
  <r>
    <n v="1318"/>
    <n v="9639"/>
    <x v="749"/>
    <x v="18"/>
    <s v="Not Specified"/>
    <n v="47"/>
    <n v="1124.3"/>
    <n v="0.1"/>
    <s v="Delivery Truck"/>
    <n v="-335.22"/>
    <n v="25.98"/>
    <n v="14.36"/>
    <x v="761"/>
    <x v="12"/>
    <x v="4"/>
    <x v="2"/>
    <x v="2"/>
    <x v="14"/>
    <x v="170"/>
    <s v="Jumbo Drum"/>
    <n v="0.6"/>
    <d v="2010-09-07T00:00:00"/>
    <n v="0"/>
    <n v="0"/>
    <n v="0.33333333333333331"/>
    <n v="0.33333333333333331"/>
  </r>
  <r>
    <n v="1319"/>
    <n v="9639"/>
    <x v="749"/>
    <x v="18"/>
    <s v="Not Specified"/>
    <n v="11"/>
    <n v="43.57"/>
    <n v="0.09"/>
    <s v="Regular Air"/>
    <n v="6.7"/>
    <n v="4.13"/>
    <n v="0.99"/>
    <x v="761"/>
    <x v="12"/>
    <x v="4"/>
    <x v="2"/>
    <x v="0"/>
    <x v="11"/>
    <x v="367"/>
    <s v="Small Box"/>
    <n v="0.39"/>
    <d v="2010-09-05T00:00:00"/>
    <n v="0"/>
    <n v="0"/>
    <n v="0.33333333333333331"/>
    <n v="0.33333333333333331"/>
  </r>
  <r>
    <n v="1320"/>
    <n v="9639"/>
    <x v="749"/>
    <x v="18"/>
    <s v="Not Specified"/>
    <n v="23"/>
    <n v="2610.8939999999998"/>
    <n v="0"/>
    <s v="Regular Air"/>
    <n v="516.18599999999992"/>
    <n v="125.99"/>
    <n v="5.63"/>
    <x v="761"/>
    <x v="12"/>
    <x v="4"/>
    <x v="2"/>
    <x v="1"/>
    <x v="3"/>
    <x v="356"/>
    <s v="Small Box"/>
    <n v="0.6"/>
    <d v="2010-09-05T00:00:00"/>
    <n v="0"/>
    <n v="0"/>
    <n v="0.33333333333333331"/>
    <n v="0.33333333333333331"/>
  </r>
  <r>
    <n v="1328"/>
    <n v="9696"/>
    <x v="721"/>
    <x v="44"/>
    <s v="Not Specified"/>
    <n v="15"/>
    <n v="110.15"/>
    <n v="0.02"/>
    <s v="Regular Air"/>
    <n v="13.905999999999999"/>
    <n v="6.75"/>
    <n v="2.99"/>
    <x v="347"/>
    <x v="12"/>
    <x v="4"/>
    <x v="2"/>
    <x v="0"/>
    <x v="2"/>
    <x v="239"/>
    <s v="Small Box"/>
    <n v="0.35"/>
    <d v="2011-02-21T00:00:00"/>
    <n v="0"/>
    <n v="0"/>
    <n v="0.5"/>
    <n v="0.5"/>
  </r>
  <r>
    <n v="1329"/>
    <n v="9696"/>
    <x v="721"/>
    <x v="44"/>
    <s v="Not Specified"/>
    <n v="13"/>
    <n v="3335.27"/>
    <n v="0.03"/>
    <s v="Delivery Truck"/>
    <n v="539.69000000000005"/>
    <n v="243.98"/>
    <n v="43.32"/>
    <x v="347"/>
    <x v="12"/>
    <x v="4"/>
    <x v="2"/>
    <x v="2"/>
    <x v="14"/>
    <x v="130"/>
    <s v="Jumbo Drum"/>
    <n v="0.55000000000000004"/>
    <d v="2011-02-21T00:00:00"/>
    <n v="0"/>
    <n v="0"/>
    <n v="0.5"/>
    <n v="0.5"/>
  </r>
  <r>
    <n v="1355"/>
    <n v="9888"/>
    <x v="661"/>
    <x v="35"/>
    <s v="Low"/>
    <n v="48"/>
    <n v="8374.1319999999996"/>
    <n v="0.06"/>
    <s v="Regular Air"/>
    <n v="2568.096"/>
    <n v="205.99"/>
    <n v="8.99"/>
    <x v="762"/>
    <x v="12"/>
    <x v="4"/>
    <x v="2"/>
    <x v="1"/>
    <x v="3"/>
    <x v="1044"/>
    <s v="Small Box"/>
    <n v="0.56000000000000005"/>
    <d v="2009-09-19T00:00:00"/>
    <n v="0"/>
    <n v="0"/>
    <n v="1"/>
    <n v="1"/>
  </r>
  <r>
    <n v="1508"/>
    <n v="10913"/>
    <x v="199"/>
    <x v="6"/>
    <s v="Low"/>
    <n v="27"/>
    <n v="5149.0600000000004"/>
    <n v="0.03"/>
    <s v="Delivery Truck"/>
    <n v="605.44000000000005"/>
    <n v="180.98"/>
    <n v="30"/>
    <x v="766"/>
    <x v="12"/>
    <x v="4"/>
    <x v="0"/>
    <x v="2"/>
    <x v="14"/>
    <x v="741"/>
    <s v="Jumbo Drum"/>
    <n v="0.69"/>
    <d v="2010-02-06T00:00:00"/>
    <n v="0"/>
    <n v="0"/>
    <n v="1"/>
    <n v="1"/>
  </r>
  <r>
    <n v="1520"/>
    <n v="10981"/>
    <x v="486"/>
    <x v="39"/>
    <s v="High"/>
    <n v="41"/>
    <n v="73.36"/>
    <n v="0.09"/>
    <s v="Regular Air"/>
    <n v="-94.95"/>
    <n v="1.86"/>
    <n v="2.58"/>
    <x v="767"/>
    <x v="12"/>
    <x v="4"/>
    <x v="3"/>
    <x v="0"/>
    <x v="6"/>
    <x v="613"/>
    <s v="Wrap Bag"/>
    <n v="0.82"/>
    <d v="2010-05-16T00:00:00"/>
    <n v="0"/>
    <n v="0"/>
    <n v="0.5"/>
    <n v="0.5"/>
  </r>
  <r>
    <n v="1521"/>
    <n v="10981"/>
    <x v="486"/>
    <x v="39"/>
    <s v="High"/>
    <n v="33"/>
    <n v="3630.1460000000002"/>
    <n v="0.04"/>
    <s v="Regular Air"/>
    <n v="951.67800000000011"/>
    <n v="125.99"/>
    <n v="8.99"/>
    <x v="767"/>
    <x v="12"/>
    <x v="4"/>
    <x v="3"/>
    <x v="1"/>
    <x v="3"/>
    <x v="664"/>
    <s v="Small Box"/>
    <n v="0.55000000000000004"/>
    <d v="2010-05-16T00:00:00"/>
    <n v="0"/>
    <n v="0"/>
    <n v="0.5"/>
    <n v="0.5"/>
  </r>
  <r>
    <n v="1773"/>
    <n v="12707"/>
    <x v="1274"/>
    <x v="39"/>
    <s v="High"/>
    <n v="20"/>
    <n v="2213.92"/>
    <n v="0.03"/>
    <s v="Regular Air"/>
    <n v="768.34"/>
    <n v="105.98"/>
    <n v="13.99"/>
    <x v="766"/>
    <x v="12"/>
    <x v="4"/>
    <x v="0"/>
    <x v="2"/>
    <x v="4"/>
    <x v="134"/>
    <s v="Medium Box"/>
    <n v="0.65"/>
    <d v="2010-05-31T00:00:00"/>
    <n v="0"/>
    <n v="0"/>
    <n v="1"/>
    <n v="0.25"/>
  </r>
  <r>
    <n v="1931"/>
    <n v="13799"/>
    <x v="1042"/>
    <x v="15"/>
    <s v="Critical"/>
    <n v="5"/>
    <n v="118.06"/>
    <n v="0.05"/>
    <s v="Regular Air"/>
    <n v="2.63"/>
    <n v="22.23"/>
    <n v="5.08"/>
    <x v="760"/>
    <x v="12"/>
    <x v="4"/>
    <x v="0"/>
    <x v="2"/>
    <x v="4"/>
    <x v="511"/>
    <s v="Small Pack"/>
    <n v="0.41"/>
    <d v="2010-12-03T00:00:00"/>
    <n v="0"/>
    <n v="0"/>
    <n v="1"/>
    <n v="1"/>
  </r>
  <r>
    <n v="1950"/>
    <n v="13959"/>
    <x v="460"/>
    <x v="46"/>
    <s v="Medium"/>
    <n v="47"/>
    <n v="228.46"/>
    <n v="0.01"/>
    <s v="Regular Air"/>
    <n v="112.06"/>
    <n v="4.91"/>
    <n v="0.5"/>
    <x v="765"/>
    <x v="12"/>
    <x v="4"/>
    <x v="3"/>
    <x v="0"/>
    <x v="11"/>
    <x v="383"/>
    <s v="Small Box"/>
    <n v="0.36"/>
    <d v="2009-04-06T00:00:00"/>
    <n v="0"/>
    <n v="0"/>
    <n v="0.5"/>
    <n v="0.25"/>
  </r>
  <r>
    <n v="1951"/>
    <n v="13959"/>
    <x v="460"/>
    <x v="46"/>
    <s v="Medium"/>
    <n v="19"/>
    <n v="77.61"/>
    <n v="0.09"/>
    <s v="Express Air"/>
    <n v="16.79"/>
    <n v="4"/>
    <n v="1.3"/>
    <x v="765"/>
    <x v="12"/>
    <x v="4"/>
    <x v="3"/>
    <x v="0"/>
    <x v="5"/>
    <x v="910"/>
    <s v="Wrap Bag"/>
    <n v="0.37"/>
    <d v="2009-04-06T00:00:00"/>
    <n v="0"/>
    <n v="0"/>
    <n v="0.5"/>
    <n v="0.25"/>
  </r>
  <r>
    <n v="1959"/>
    <n v="14016"/>
    <x v="608"/>
    <x v="29"/>
    <s v="Low"/>
    <n v="9"/>
    <n v="1137.6199999999999"/>
    <n v="0.05"/>
    <s v="Delivery Truck"/>
    <n v="-284.68"/>
    <n v="124.49"/>
    <n v="51.94"/>
    <x v="764"/>
    <x v="12"/>
    <x v="4"/>
    <x v="2"/>
    <x v="2"/>
    <x v="10"/>
    <x v="307"/>
    <s v="Jumbo Box"/>
    <n v="0.63"/>
    <d v="2012-07-13T00:00:00"/>
    <n v="0"/>
    <n v="0"/>
    <n v="1"/>
    <n v="1"/>
  </r>
  <r>
    <n v="2044"/>
    <n v="14563"/>
    <x v="1110"/>
    <x v="25"/>
    <s v="Critical"/>
    <n v="31"/>
    <n v="953.04549999999995"/>
    <n v="0.02"/>
    <s v="Regular Air"/>
    <n v="298.46699999999998"/>
    <n v="35.99"/>
    <n v="5.99"/>
    <x v="761"/>
    <x v="12"/>
    <x v="4"/>
    <x v="2"/>
    <x v="1"/>
    <x v="3"/>
    <x v="702"/>
    <s v="Wrap Bag"/>
    <n v="0.38"/>
    <d v="2011-12-03T00:00:00"/>
    <n v="0"/>
    <n v="0"/>
    <n v="1"/>
    <n v="1"/>
  </r>
  <r>
    <n v="2155"/>
    <n v="15428"/>
    <x v="1409"/>
    <x v="44"/>
    <s v="Critical"/>
    <n v="50"/>
    <n v="1444.96"/>
    <n v="0.09"/>
    <s v="Express Air"/>
    <n v="-6.34"/>
    <n v="29.1"/>
    <n v="4"/>
    <x v="760"/>
    <x v="12"/>
    <x v="4"/>
    <x v="0"/>
    <x v="1"/>
    <x v="7"/>
    <x v="1113"/>
    <s v="Small Box"/>
    <n v="0.78"/>
    <d v="2011-02-10T00:00:00"/>
    <n v="0"/>
    <n v="0"/>
    <n v="0.5"/>
    <n v="0.5"/>
  </r>
  <r>
    <n v="2156"/>
    <n v="15428"/>
    <x v="1409"/>
    <x v="44"/>
    <s v="Critical"/>
    <n v="10"/>
    <n v="941.62149999999997"/>
    <n v="0.01"/>
    <s v="Regular Air"/>
    <n v="-186.67"/>
    <n v="110.99"/>
    <n v="8.99"/>
    <x v="760"/>
    <x v="12"/>
    <x v="4"/>
    <x v="0"/>
    <x v="1"/>
    <x v="3"/>
    <x v="425"/>
    <s v="Small Box"/>
    <n v="0.56999999999999995"/>
    <d v="2011-02-12T00:00:00"/>
    <n v="0"/>
    <n v="0"/>
    <n v="0.5"/>
    <n v="0.5"/>
  </r>
  <r>
    <n v="2327"/>
    <n v="16772"/>
    <x v="1392"/>
    <x v="45"/>
    <s v="High"/>
    <n v="38"/>
    <n v="95.71"/>
    <n v="0.04"/>
    <s v="Regular Air"/>
    <n v="32.81"/>
    <n v="2.61"/>
    <n v="0.5"/>
    <x v="765"/>
    <x v="12"/>
    <x v="4"/>
    <x v="3"/>
    <x v="0"/>
    <x v="11"/>
    <x v="400"/>
    <s v="Small Box"/>
    <n v="0.39"/>
    <d v="2012-12-28T00:00:00"/>
    <n v="0"/>
    <n v="0"/>
    <n v="1"/>
    <n v="1"/>
  </r>
  <r>
    <n v="2425"/>
    <n v="17573"/>
    <x v="578"/>
    <x v="31"/>
    <s v="Low"/>
    <n v="47"/>
    <n v="21555.599999999999"/>
    <n v="0.02"/>
    <s v="Delivery Truck"/>
    <n v="8965.83"/>
    <n v="449.99"/>
    <n v="49"/>
    <x v="538"/>
    <x v="12"/>
    <x v="4"/>
    <x v="0"/>
    <x v="1"/>
    <x v="13"/>
    <x v="26"/>
    <s v="Jumbo Drum"/>
    <n v="0.38"/>
    <d v="2011-09-06T00:00:00"/>
    <n v="0"/>
    <n v="0"/>
    <n v="0.5"/>
    <n v="0.5"/>
  </r>
  <r>
    <n v="2488"/>
    <n v="18119"/>
    <x v="342"/>
    <x v="41"/>
    <s v="Low"/>
    <n v="37"/>
    <n v="347.84"/>
    <n v="0"/>
    <s v="Regular Air"/>
    <n v="-99.25"/>
    <n v="8.74"/>
    <n v="8.2899999999999991"/>
    <x v="705"/>
    <x v="12"/>
    <x v="4"/>
    <x v="1"/>
    <x v="0"/>
    <x v="8"/>
    <x v="427"/>
    <s v="Small Box"/>
    <n v="0.38"/>
    <d v="2009-06-26T00:00:00"/>
    <n v="0"/>
    <n v="0"/>
    <n v="1"/>
    <n v="1"/>
  </r>
  <r>
    <n v="2527"/>
    <n v="18368"/>
    <x v="1080"/>
    <x v="32"/>
    <s v="Not Specified"/>
    <n v="3"/>
    <n v="212.91"/>
    <n v="0"/>
    <s v="Regular Air"/>
    <n v="-65.150000000000006"/>
    <n v="70.97"/>
    <n v="3.5"/>
    <x v="768"/>
    <x v="12"/>
    <x v="4"/>
    <x v="2"/>
    <x v="0"/>
    <x v="1"/>
    <x v="1023"/>
    <s v="Small Box"/>
    <n v="0.59"/>
    <d v="2012-12-02T00:00:00"/>
    <n v="0"/>
    <n v="0"/>
    <n v="0.33333333333333331"/>
    <n v="0.33333333333333331"/>
  </r>
  <r>
    <n v="2528"/>
    <n v="18368"/>
    <x v="1080"/>
    <x v="32"/>
    <s v="Not Specified"/>
    <n v="35"/>
    <n v="1275.6099999999999"/>
    <n v="0.08"/>
    <s v="Regular Air"/>
    <n v="517.33000000000004"/>
    <n v="37.94"/>
    <n v="5.08"/>
    <x v="768"/>
    <x v="12"/>
    <x v="4"/>
    <x v="2"/>
    <x v="0"/>
    <x v="5"/>
    <x v="532"/>
    <s v="Wrap Bag"/>
    <n v="0.38"/>
    <d v="2012-12-01T00:00:00"/>
    <n v="0"/>
    <n v="0"/>
    <n v="0.33333333333333331"/>
    <n v="0.33333333333333331"/>
  </r>
  <r>
    <n v="2529"/>
    <n v="18368"/>
    <x v="1080"/>
    <x v="32"/>
    <s v="Not Specified"/>
    <n v="3"/>
    <n v="5972.59"/>
    <n v="0.06"/>
    <s v="Delivery Truck"/>
    <n v="-4852.5293999999994"/>
    <n v="2036.48"/>
    <n v="14.7"/>
    <x v="768"/>
    <x v="12"/>
    <x v="4"/>
    <x v="2"/>
    <x v="1"/>
    <x v="16"/>
    <x v="1235"/>
    <s v="Jumbo Drum"/>
    <n v="0.55000000000000004"/>
    <d v="2012-12-02T00:00:00"/>
    <n v="0"/>
    <n v="0"/>
    <n v="0.33333333333333331"/>
    <n v="0.33333333333333331"/>
  </r>
  <r>
    <n v="2682"/>
    <n v="19424"/>
    <x v="488"/>
    <x v="37"/>
    <s v="Not Specified"/>
    <n v="29"/>
    <n v="60.68"/>
    <n v="0.09"/>
    <s v="Regular Air"/>
    <n v="-115.71300000000001"/>
    <n v="1.98"/>
    <n v="4.7699999999999996"/>
    <x v="760"/>
    <x v="12"/>
    <x v="4"/>
    <x v="0"/>
    <x v="0"/>
    <x v="2"/>
    <x v="1134"/>
    <s v="Small Box"/>
    <n v="0.4"/>
    <d v="2011-04-09T00:00:00"/>
    <n v="0"/>
    <n v="0"/>
    <n v="0.5"/>
    <n v="0.5"/>
  </r>
  <r>
    <n v="2683"/>
    <n v="19424"/>
    <x v="488"/>
    <x v="37"/>
    <s v="Not Specified"/>
    <n v="37"/>
    <n v="1129.0550000000001"/>
    <n v="0.05"/>
    <s v="Regular Air"/>
    <n v="337.72500000000002"/>
    <n v="35.99"/>
    <n v="1.1000000000000001"/>
    <x v="760"/>
    <x v="12"/>
    <x v="4"/>
    <x v="0"/>
    <x v="1"/>
    <x v="3"/>
    <x v="828"/>
    <s v="Small Box"/>
    <n v="0.55000000000000004"/>
    <d v="2011-04-10T00:00:00"/>
    <n v="0"/>
    <n v="0"/>
    <n v="0.5"/>
    <n v="0.5"/>
  </r>
  <r>
    <n v="2684"/>
    <n v="19425"/>
    <x v="579"/>
    <x v="34"/>
    <s v="Not Specified"/>
    <n v="34"/>
    <n v="210.24"/>
    <n v="0"/>
    <s v="Regular Air"/>
    <n v="-31.67"/>
    <n v="5.68"/>
    <n v="3.6"/>
    <x v="769"/>
    <x v="12"/>
    <x v="4"/>
    <x v="3"/>
    <x v="0"/>
    <x v="15"/>
    <x v="1153"/>
    <s v="Small Pack"/>
    <n v="0.56000000000000005"/>
    <d v="2012-09-25T00:00:00"/>
    <n v="0"/>
    <n v="0"/>
    <n v="1"/>
    <n v="1"/>
  </r>
  <r>
    <n v="2744"/>
    <n v="19812"/>
    <x v="1329"/>
    <x v="24"/>
    <s v="Low"/>
    <n v="3"/>
    <n v="1358.7760000000001"/>
    <n v="0.01"/>
    <s v="Delivery Truck"/>
    <n v="-163.19999999999999"/>
    <n v="550.98"/>
    <n v="45.7"/>
    <x v="765"/>
    <x v="12"/>
    <x v="4"/>
    <x v="3"/>
    <x v="2"/>
    <x v="10"/>
    <x v="1079"/>
    <s v="Jumbo Box"/>
    <n v="0.71"/>
    <d v="2010-04-07T00:00:00"/>
    <n v="0"/>
    <n v="0"/>
    <n v="1"/>
    <n v="1"/>
  </r>
  <r>
    <n v="2979"/>
    <n v="21510"/>
    <x v="941"/>
    <x v="20"/>
    <s v="High"/>
    <n v="16"/>
    <n v="372.09"/>
    <n v="0.04"/>
    <s v="Express Air"/>
    <n v="98.28"/>
    <n v="22.24"/>
    <n v="1.99"/>
    <x v="768"/>
    <x v="12"/>
    <x v="4"/>
    <x v="2"/>
    <x v="1"/>
    <x v="7"/>
    <x v="847"/>
    <s v="Small Pack"/>
    <n v="0.43"/>
    <d v="2012-05-08T00:00:00"/>
    <n v="0"/>
    <n v="0"/>
    <n v="1"/>
    <n v="0.5"/>
  </r>
  <r>
    <n v="3026"/>
    <n v="21763"/>
    <x v="776"/>
    <x v="20"/>
    <s v="Low"/>
    <n v="22"/>
    <n v="1239.4445000000001"/>
    <n v="7.0000000000000007E-2"/>
    <s v="Regular Air"/>
    <n v="165.50099999999998"/>
    <n v="65.989999999999995"/>
    <n v="3.99"/>
    <x v="770"/>
    <x v="12"/>
    <x v="4"/>
    <x v="0"/>
    <x v="1"/>
    <x v="3"/>
    <x v="440"/>
    <s v="Small Box"/>
    <n v="0.59"/>
    <d v="2012-06-02T00:00:00"/>
    <n v="0"/>
    <n v="0"/>
    <n v="1"/>
    <n v="1"/>
  </r>
  <r>
    <n v="3101"/>
    <n v="22212"/>
    <x v="638"/>
    <x v="18"/>
    <s v="Medium"/>
    <n v="19"/>
    <n v="116.22"/>
    <n v="0.01"/>
    <s v="Regular Air"/>
    <n v="26.894000000000002"/>
    <n v="5.98"/>
    <n v="1.49"/>
    <x v="771"/>
    <x v="12"/>
    <x v="4"/>
    <x v="3"/>
    <x v="0"/>
    <x v="2"/>
    <x v="986"/>
    <s v="Small Box"/>
    <n v="0.39"/>
    <d v="2010-09-18T00:00:00"/>
    <n v="0"/>
    <n v="0"/>
    <n v="1"/>
    <n v="1"/>
  </r>
  <r>
    <n v="3213"/>
    <n v="23046"/>
    <x v="524"/>
    <x v="0"/>
    <s v="Critical"/>
    <n v="33"/>
    <n v="292.75"/>
    <n v="0.08"/>
    <s v="Regular Air"/>
    <n v="93.33"/>
    <n v="8.9499999999999993"/>
    <n v="2.0099999999999998"/>
    <x v="762"/>
    <x v="12"/>
    <x v="4"/>
    <x v="2"/>
    <x v="0"/>
    <x v="5"/>
    <x v="493"/>
    <s v="Wrap Bag"/>
    <n v="0.39"/>
    <d v="2010-10-08T00:00:00"/>
    <n v="0"/>
    <n v="0"/>
    <n v="1"/>
    <n v="1"/>
  </r>
  <r>
    <n v="3230"/>
    <n v="23172"/>
    <x v="981"/>
    <x v="13"/>
    <s v="Low"/>
    <n v="13"/>
    <n v="1191.73"/>
    <n v="7.0000000000000007E-2"/>
    <s v="Regular Air"/>
    <n v="147.6"/>
    <n v="96.45"/>
    <n v="13.99"/>
    <x v="765"/>
    <x v="12"/>
    <x v="4"/>
    <x v="3"/>
    <x v="1"/>
    <x v="16"/>
    <x v="1198"/>
    <s v="Medium Box"/>
    <n v="0.38"/>
    <d v="2012-04-29T00:00:00"/>
    <n v="0"/>
    <n v="0"/>
    <n v="1"/>
    <n v="1"/>
  </r>
  <r>
    <n v="3301"/>
    <n v="23585"/>
    <x v="379"/>
    <x v="1"/>
    <s v="Critical"/>
    <n v="44"/>
    <n v="192.78"/>
    <n v="0.06"/>
    <s v="Regular Air"/>
    <n v="4.59"/>
    <n v="4.28"/>
    <n v="1.6"/>
    <x v="771"/>
    <x v="12"/>
    <x v="4"/>
    <x v="3"/>
    <x v="0"/>
    <x v="12"/>
    <x v="785"/>
    <s v="Wrap Bag"/>
    <n v="0.57999999999999996"/>
    <d v="2012-11-01T00:00:00"/>
    <n v="0"/>
    <n v="0"/>
    <n v="1"/>
    <n v="1"/>
  </r>
  <r>
    <n v="3340"/>
    <n v="23906"/>
    <x v="583"/>
    <x v="18"/>
    <s v="Critical"/>
    <n v="37"/>
    <n v="321.02"/>
    <n v="0.1"/>
    <s v="Express Air"/>
    <n v="-11.88"/>
    <n v="8.67"/>
    <n v="3.5"/>
    <x v="768"/>
    <x v="12"/>
    <x v="4"/>
    <x v="2"/>
    <x v="0"/>
    <x v="1"/>
    <x v="855"/>
    <s v="Small Box"/>
    <n v="0.57999999999999996"/>
    <d v="2010-09-21T00:00:00"/>
    <n v="0"/>
    <n v="0"/>
    <n v="1"/>
    <n v="1"/>
  </r>
  <r>
    <n v="3449"/>
    <n v="24583"/>
    <x v="885"/>
    <x v="21"/>
    <s v="Critical"/>
    <n v="17"/>
    <n v="42.29"/>
    <n v="0.06"/>
    <s v="Regular Air"/>
    <n v="-85.272499999999994"/>
    <n v="2.16"/>
    <n v="6.05"/>
    <x v="761"/>
    <x v="12"/>
    <x v="4"/>
    <x v="2"/>
    <x v="0"/>
    <x v="2"/>
    <x v="388"/>
    <s v="Small Box"/>
    <n v="0.37"/>
    <d v="2011-08-12T00:00:00"/>
    <n v="0"/>
    <n v="0"/>
    <n v="1"/>
    <n v="1"/>
  </r>
  <r>
    <n v="3540"/>
    <n v="25191"/>
    <x v="791"/>
    <x v="5"/>
    <s v="Medium"/>
    <n v="42"/>
    <n v="4091.1519999999996"/>
    <n v="0.05"/>
    <s v="Regular Air"/>
    <n v="1303.92"/>
    <n v="115.99"/>
    <n v="2.5"/>
    <x v="760"/>
    <x v="12"/>
    <x v="4"/>
    <x v="0"/>
    <x v="1"/>
    <x v="3"/>
    <x v="1154"/>
    <s v="Small Box"/>
    <n v="0.55000000000000004"/>
    <d v="2011-03-30T00:00:00"/>
    <n v="0"/>
    <n v="0"/>
    <n v="1"/>
    <n v="1"/>
  </r>
  <r>
    <n v="3589"/>
    <n v="25603"/>
    <x v="1172"/>
    <x v="5"/>
    <s v="Low"/>
    <n v="23"/>
    <n v="862.64"/>
    <n v="0.04"/>
    <s v="Regular Air"/>
    <n v="122.11"/>
    <n v="35.89"/>
    <n v="14.72"/>
    <x v="768"/>
    <x v="12"/>
    <x v="4"/>
    <x v="2"/>
    <x v="0"/>
    <x v="8"/>
    <x v="635"/>
    <s v="Small Box"/>
    <n v="0.4"/>
    <d v="2011-03-07T00:00:00"/>
    <n v="0"/>
    <n v="0"/>
    <n v="1"/>
    <n v="1"/>
  </r>
  <r>
    <n v="3623"/>
    <n v="25861"/>
    <x v="367"/>
    <x v="9"/>
    <s v="High"/>
    <n v="44"/>
    <n v="23775.56"/>
    <n v="0.03"/>
    <s v="Delivery Truck"/>
    <n v="7080.99"/>
    <n v="535.64"/>
    <n v="14.7"/>
    <x v="763"/>
    <x v="12"/>
    <x v="4"/>
    <x v="0"/>
    <x v="1"/>
    <x v="16"/>
    <x v="1184"/>
    <s v="Jumbo Drum"/>
    <n v="0.59"/>
    <d v="2012-08-08T00:00:00"/>
    <n v="0"/>
    <n v="0"/>
    <n v="1"/>
    <n v="1"/>
  </r>
  <r>
    <n v="3785"/>
    <n v="26979"/>
    <x v="677"/>
    <x v="33"/>
    <s v="Medium"/>
    <n v="43"/>
    <n v="337.01"/>
    <n v="0.05"/>
    <s v="Regular Air"/>
    <n v="147.19999999999999"/>
    <n v="7.98"/>
    <n v="1.25"/>
    <x v="764"/>
    <x v="12"/>
    <x v="4"/>
    <x v="2"/>
    <x v="0"/>
    <x v="5"/>
    <x v="515"/>
    <s v="Wrap Bag"/>
    <n v="0.35"/>
    <d v="2012-03-30T00:00:00"/>
    <n v="0"/>
    <n v="0"/>
    <n v="0.5"/>
    <n v="0.5"/>
  </r>
  <r>
    <n v="3786"/>
    <n v="26979"/>
    <x v="677"/>
    <x v="33"/>
    <s v="Medium"/>
    <n v="50"/>
    <n v="6093.2420000000002"/>
    <n v="0.09"/>
    <s v="Regular Air"/>
    <n v="1174.3829999999998"/>
    <n v="155.99"/>
    <n v="8.08"/>
    <x v="764"/>
    <x v="12"/>
    <x v="4"/>
    <x v="2"/>
    <x v="1"/>
    <x v="3"/>
    <x v="679"/>
    <s v="Small Box"/>
    <n v="0.6"/>
    <d v="2012-03-30T00:00:00"/>
    <n v="0"/>
    <n v="0"/>
    <n v="0.5"/>
    <n v="0.5"/>
  </r>
  <r>
    <n v="3884"/>
    <n v="27746"/>
    <x v="384"/>
    <x v="15"/>
    <s v="Critical"/>
    <n v="3"/>
    <n v="87.09"/>
    <n v="0.1"/>
    <s v="Regular Air"/>
    <n v="-42.73"/>
    <n v="29.34"/>
    <n v="7.87"/>
    <x v="74"/>
    <x v="12"/>
    <x v="4"/>
    <x v="1"/>
    <x v="2"/>
    <x v="4"/>
    <x v="982"/>
    <s v="Small Box"/>
    <n v="0.54"/>
    <d v="2010-12-05T00:00:00"/>
    <n v="0"/>
    <n v="0"/>
    <n v="0.33333333333333331"/>
    <n v="0.33333333333333331"/>
  </r>
  <r>
    <n v="3885"/>
    <n v="27746"/>
    <x v="384"/>
    <x v="15"/>
    <s v="Critical"/>
    <n v="42"/>
    <n v="196.1"/>
    <n v="7.0000000000000007E-2"/>
    <s v="Regular Air"/>
    <n v="71.650000000000006"/>
    <n v="4.76"/>
    <n v="0.88"/>
    <x v="74"/>
    <x v="12"/>
    <x v="4"/>
    <x v="1"/>
    <x v="0"/>
    <x v="5"/>
    <x v="565"/>
    <s v="Wrap Bag"/>
    <n v="0.39"/>
    <d v="2010-12-05T00:00:00"/>
    <n v="0"/>
    <n v="0"/>
    <n v="0.33333333333333331"/>
    <n v="0.33333333333333331"/>
  </r>
  <r>
    <n v="3905"/>
    <n v="27844"/>
    <x v="779"/>
    <x v="4"/>
    <s v="Low"/>
    <n v="1"/>
    <n v="11.08"/>
    <n v="0.09"/>
    <s v="Regular Air"/>
    <n v="-9.6944999999999997"/>
    <n v="5.8"/>
    <n v="5.59"/>
    <x v="231"/>
    <x v="12"/>
    <x v="4"/>
    <x v="3"/>
    <x v="0"/>
    <x v="2"/>
    <x v="770"/>
    <s v="Small Box"/>
    <n v="0.4"/>
    <d v="2011-07-06T00:00:00"/>
    <n v="0"/>
    <n v="0"/>
    <n v="0.5"/>
    <n v="0.5"/>
  </r>
  <r>
    <n v="3943"/>
    <n v="28097"/>
    <x v="1006"/>
    <x v="43"/>
    <s v="Medium"/>
    <n v="43"/>
    <n v="2438.6999999999998"/>
    <n v="0"/>
    <s v="Regular Air"/>
    <n v="-1413.18"/>
    <n v="55.5"/>
    <n v="52.2"/>
    <x v="767"/>
    <x v="12"/>
    <x v="4"/>
    <x v="3"/>
    <x v="2"/>
    <x v="4"/>
    <x v="298"/>
    <s v="Medium Box"/>
    <n v="0.72"/>
    <d v="2009-05-16T00:00:00"/>
    <n v="0"/>
    <n v="0"/>
    <n v="1"/>
    <n v="1"/>
  </r>
  <r>
    <n v="3962"/>
    <n v="28262"/>
    <x v="242"/>
    <x v="15"/>
    <s v="Medium"/>
    <n v="26"/>
    <n v="299.11"/>
    <n v="0.05"/>
    <s v="Regular Air"/>
    <n v="40.03"/>
    <n v="11.34"/>
    <n v="5.01"/>
    <x v="763"/>
    <x v="12"/>
    <x v="4"/>
    <x v="0"/>
    <x v="0"/>
    <x v="5"/>
    <x v="119"/>
    <s v="Small Box"/>
    <n v="0.36"/>
    <d v="2011-01-01T00:00:00"/>
    <n v="0"/>
    <n v="0"/>
    <n v="1"/>
    <n v="1"/>
  </r>
  <r>
    <n v="3998"/>
    <n v="28519"/>
    <x v="1102"/>
    <x v="30"/>
    <s v="High"/>
    <n v="4"/>
    <n v="268.71049999999997"/>
    <n v="0.09"/>
    <s v="Regular Air"/>
    <n v="-337.65599999999995"/>
    <n v="85.99"/>
    <n v="0.99"/>
    <x v="705"/>
    <x v="12"/>
    <x v="4"/>
    <x v="1"/>
    <x v="1"/>
    <x v="3"/>
    <x v="576"/>
    <s v="Wrap Bag"/>
    <n v="0.55000000000000004"/>
    <d v="2010-06-24T00:00:00"/>
    <n v="0"/>
    <n v="0"/>
    <n v="1"/>
    <n v="1"/>
  </r>
  <r>
    <n v="4079"/>
    <n v="29058"/>
    <x v="974"/>
    <x v="38"/>
    <s v="High"/>
    <n v="33"/>
    <n v="28389.14"/>
    <n v="7.0000000000000007E-2"/>
    <s v="Delivery Truck"/>
    <n v="7132.18"/>
    <n v="880.98"/>
    <n v="44.55"/>
    <x v="570"/>
    <x v="12"/>
    <x v="4"/>
    <x v="1"/>
    <x v="2"/>
    <x v="9"/>
    <x v="185"/>
    <s v="Jumbo Box"/>
    <n v="0.62"/>
    <d v="2010-01-05T00:00:00"/>
    <n v="1"/>
    <n v="0"/>
    <n v="0.25"/>
    <n v="0.25"/>
  </r>
  <r>
    <n v="4094"/>
    <n v="29187"/>
    <x v="895"/>
    <x v="36"/>
    <s v="Low"/>
    <n v="5"/>
    <n v="142.30000000000001"/>
    <n v="0.03"/>
    <s v="Regular Air"/>
    <n v="-24.1845"/>
    <n v="24.92"/>
    <n v="12.98"/>
    <x v="223"/>
    <x v="12"/>
    <x v="4"/>
    <x v="1"/>
    <x v="0"/>
    <x v="2"/>
    <x v="202"/>
    <s v="Small Box"/>
    <n v="0.39"/>
    <d v="2009-08-04T00:00:00"/>
    <n v="0"/>
    <n v="0"/>
    <n v="0.2"/>
    <n v="0.2"/>
  </r>
  <r>
    <n v="4095"/>
    <n v="29187"/>
    <x v="895"/>
    <x v="36"/>
    <s v="Low"/>
    <n v="8"/>
    <n v="21.93"/>
    <n v="0.09"/>
    <s v="Regular Air"/>
    <n v="-37.789000000000001"/>
    <n v="2.16"/>
    <n v="6.05"/>
    <x v="223"/>
    <x v="12"/>
    <x v="4"/>
    <x v="1"/>
    <x v="0"/>
    <x v="2"/>
    <x v="388"/>
    <s v="Small Box"/>
    <n v="0.37"/>
    <d v="2009-08-04T00:00:00"/>
    <n v="0"/>
    <n v="0"/>
    <n v="0.2"/>
    <n v="0.2"/>
  </r>
  <r>
    <n v="4096"/>
    <n v="29187"/>
    <x v="895"/>
    <x v="36"/>
    <s v="Low"/>
    <n v="35"/>
    <n v="26095.13"/>
    <n v="0.03"/>
    <s v="Delivery Truck"/>
    <n v="12606.81"/>
    <n v="808.49"/>
    <n v="55.3"/>
    <x v="223"/>
    <x v="12"/>
    <x v="4"/>
    <x v="1"/>
    <x v="1"/>
    <x v="16"/>
    <x v="1072"/>
    <s v="Jumbo Drum"/>
    <n v="0.4"/>
    <d v="2009-08-07T00:00:00"/>
    <n v="0"/>
    <n v="0"/>
    <n v="0.2"/>
    <n v="0.2"/>
  </r>
  <r>
    <n v="4097"/>
    <n v="29187"/>
    <x v="895"/>
    <x v="36"/>
    <s v="Low"/>
    <n v="10"/>
    <n v="75.58"/>
    <n v="0"/>
    <s v="Regular Air"/>
    <n v="-43.26"/>
    <n v="6.48"/>
    <n v="8.19"/>
    <x v="223"/>
    <x v="12"/>
    <x v="4"/>
    <x v="1"/>
    <x v="0"/>
    <x v="5"/>
    <x v="77"/>
    <s v="Small Box"/>
    <n v="0.37"/>
    <d v="2009-08-07T00:00:00"/>
    <n v="0"/>
    <n v="0"/>
    <n v="0.2"/>
    <n v="0.2"/>
  </r>
  <r>
    <n v="4098"/>
    <n v="29187"/>
    <x v="895"/>
    <x v="36"/>
    <s v="Low"/>
    <n v="42"/>
    <n v="477.53"/>
    <n v="0.03"/>
    <s v="Regular Air"/>
    <n v="51.17"/>
    <n v="10.98"/>
    <n v="3.37"/>
    <x v="223"/>
    <x v="12"/>
    <x v="4"/>
    <x v="1"/>
    <x v="0"/>
    <x v="15"/>
    <x v="340"/>
    <s v="Small Pack"/>
    <n v="0.56999999999999995"/>
    <d v="2009-08-04T00:00:00"/>
    <n v="0"/>
    <n v="0"/>
    <n v="0.2"/>
    <n v="0.2"/>
  </r>
  <r>
    <n v="4120"/>
    <n v="29317"/>
    <x v="641"/>
    <x v="17"/>
    <s v="Not Specified"/>
    <n v="40"/>
    <n v="7789.63"/>
    <n v="0.08"/>
    <s v="Delivery Truck"/>
    <n v="1774.53"/>
    <n v="200.98"/>
    <n v="23.76"/>
    <x v="761"/>
    <x v="12"/>
    <x v="4"/>
    <x v="2"/>
    <x v="2"/>
    <x v="14"/>
    <x v="316"/>
    <s v="Jumbo Drum"/>
    <n v="0.57999999999999996"/>
    <d v="2011-10-04T00:00:00"/>
    <n v="0"/>
    <n v="0"/>
    <n v="0.33333333333333331"/>
    <n v="0.33333333333333331"/>
  </r>
  <r>
    <n v="4121"/>
    <n v="29317"/>
    <x v="641"/>
    <x v="17"/>
    <s v="Not Specified"/>
    <n v="20"/>
    <n v="15703.82"/>
    <n v="0.06"/>
    <s v="Delivery Truck"/>
    <n v="3055.72"/>
    <n v="810.98"/>
    <n v="16.059999999999999"/>
    <x v="761"/>
    <x v="12"/>
    <x v="4"/>
    <x v="2"/>
    <x v="1"/>
    <x v="16"/>
    <x v="960"/>
    <s v="Jumbo Drum"/>
    <n v="0.56000000000000005"/>
    <d v="2011-10-03T00:00:00"/>
    <n v="0"/>
    <n v="0"/>
    <n v="0.33333333333333331"/>
    <n v="0.33333333333333331"/>
  </r>
  <r>
    <n v="4122"/>
    <n v="29317"/>
    <x v="641"/>
    <x v="17"/>
    <s v="Not Specified"/>
    <n v="31"/>
    <n v="140.69"/>
    <n v="0.06"/>
    <s v="Regular Air"/>
    <n v="-14.54"/>
    <n v="4.71"/>
    <n v="0.7"/>
    <x v="761"/>
    <x v="12"/>
    <x v="4"/>
    <x v="2"/>
    <x v="0"/>
    <x v="6"/>
    <x v="287"/>
    <s v="Wrap Bag"/>
    <n v="0.85"/>
    <d v="2011-10-02T00:00:00"/>
    <n v="0"/>
    <n v="0"/>
    <n v="0.33333333333333331"/>
    <n v="0.33333333333333331"/>
  </r>
  <r>
    <n v="4221"/>
    <n v="29988"/>
    <x v="686"/>
    <x v="41"/>
    <s v="High"/>
    <n v="12"/>
    <n v="5177.3999999999996"/>
    <n v="0.06"/>
    <s v="Delivery Truck"/>
    <n v="287.5"/>
    <n v="449.99"/>
    <n v="49"/>
    <x v="762"/>
    <x v="12"/>
    <x v="4"/>
    <x v="2"/>
    <x v="1"/>
    <x v="13"/>
    <x v="26"/>
    <s v="Jumbo Drum"/>
    <n v="0.38"/>
    <d v="2009-06-14T00:00:00"/>
    <n v="0"/>
    <n v="0"/>
    <n v="1"/>
    <n v="0.33333333333333331"/>
  </r>
  <r>
    <n v="4230"/>
    <n v="30051"/>
    <x v="484"/>
    <x v="33"/>
    <s v="Not Specified"/>
    <n v="42"/>
    <n v="243.06"/>
    <n v="0.02"/>
    <s v="Regular Air"/>
    <n v="-1.57"/>
    <n v="5.85"/>
    <n v="2.27"/>
    <x v="771"/>
    <x v="12"/>
    <x v="4"/>
    <x v="3"/>
    <x v="0"/>
    <x v="12"/>
    <x v="338"/>
    <s v="Wrap Bag"/>
    <n v="0.56000000000000005"/>
    <d v="2012-03-21T00:00:00"/>
    <n v="0"/>
    <n v="0"/>
    <n v="1"/>
    <n v="1"/>
  </r>
  <r>
    <n v="4245"/>
    <n v="30211"/>
    <x v="222"/>
    <x v="30"/>
    <s v="Medium"/>
    <n v="19"/>
    <n v="141.96"/>
    <n v="0.05"/>
    <s v="Regular Air"/>
    <n v="38.43"/>
    <n v="7.4"/>
    <n v="1.71"/>
    <x v="760"/>
    <x v="12"/>
    <x v="4"/>
    <x v="0"/>
    <x v="0"/>
    <x v="5"/>
    <x v="677"/>
    <s v="Wrap Bag"/>
    <n v="0.4"/>
    <d v="2010-06-08T00:00:00"/>
    <n v="0"/>
    <n v="0"/>
    <n v="1"/>
    <n v="1"/>
  </r>
  <r>
    <n v="4271"/>
    <n v="30401"/>
    <x v="814"/>
    <x v="1"/>
    <s v="Medium"/>
    <n v="39"/>
    <n v="239.4"/>
    <n v="7.0000000000000007E-2"/>
    <s v="Regular Air"/>
    <n v="-57.37"/>
    <n v="5.98"/>
    <n v="5.15"/>
    <x v="764"/>
    <x v="12"/>
    <x v="4"/>
    <x v="2"/>
    <x v="0"/>
    <x v="5"/>
    <x v="773"/>
    <s v="Small Box"/>
    <n v="0.36"/>
    <d v="2012-10-20T00:00:00"/>
    <n v="0"/>
    <n v="0"/>
    <n v="1"/>
    <n v="1"/>
  </r>
  <r>
    <n v="4316"/>
    <n v="30757"/>
    <x v="1159"/>
    <x v="15"/>
    <s v="Medium"/>
    <n v="5"/>
    <n v="21.32"/>
    <n v="0.08"/>
    <s v="Express Air"/>
    <n v="2.2000000000000002"/>
    <n v="3.38"/>
    <n v="0.85"/>
    <x v="767"/>
    <x v="12"/>
    <x v="4"/>
    <x v="3"/>
    <x v="0"/>
    <x v="12"/>
    <x v="426"/>
    <s v="Wrap Bag"/>
    <n v="0.48"/>
    <d v="2010-12-26T00:00:00"/>
    <n v="0"/>
    <n v="0"/>
    <n v="0.5"/>
    <n v="0.5"/>
  </r>
  <r>
    <n v="4317"/>
    <n v="30757"/>
    <x v="1159"/>
    <x v="15"/>
    <s v="Medium"/>
    <n v="42"/>
    <n v="457.51"/>
    <n v="0.1"/>
    <s v="Regular Air"/>
    <n v="-183.75"/>
    <n v="11.66"/>
    <n v="7.95"/>
    <x v="767"/>
    <x v="12"/>
    <x v="4"/>
    <x v="3"/>
    <x v="0"/>
    <x v="12"/>
    <x v="417"/>
    <s v="Small Pack"/>
    <n v="0.57999999999999996"/>
    <d v="2010-12-27T00:00:00"/>
    <n v="0"/>
    <n v="0"/>
    <n v="0.5"/>
    <n v="0.5"/>
  </r>
  <r>
    <n v="4386"/>
    <n v="31237"/>
    <x v="1363"/>
    <x v="2"/>
    <s v="Not Specified"/>
    <n v="13"/>
    <n v="589.78"/>
    <n v="0"/>
    <s v="Regular Air"/>
    <n v="225.2585"/>
    <n v="42.8"/>
    <n v="2.99"/>
    <x v="772"/>
    <x v="12"/>
    <x v="4"/>
    <x v="0"/>
    <x v="0"/>
    <x v="2"/>
    <x v="875"/>
    <s v="Small Box"/>
    <n v="0.36"/>
    <d v="2011-07-29T00:00:00"/>
    <n v="0"/>
    <n v="0"/>
    <n v="1"/>
    <n v="1"/>
  </r>
  <r>
    <n v="4523"/>
    <n v="32192"/>
    <x v="1213"/>
    <x v="12"/>
    <s v="Not Specified"/>
    <n v="4"/>
    <n v="159.256"/>
    <n v="0.03"/>
    <s v="Regular Air"/>
    <n v="-171.17100000000002"/>
    <n v="45.99"/>
    <n v="2.5"/>
    <x v="763"/>
    <x v="12"/>
    <x v="4"/>
    <x v="0"/>
    <x v="1"/>
    <x v="3"/>
    <x v="585"/>
    <s v="Small Box"/>
    <n v="0.56000000000000005"/>
    <d v="2012-02-18T00:00:00"/>
    <n v="0"/>
    <n v="0"/>
    <n v="1"/>
    <n v="0.33333333333333331"/>
  </r>
  <r>
    <n v="4710"/>
    <n v="33568"/>
    <x v="42"/>
    <x v="29"/>
    <s v="Medium"/>
    <n v="10"/>
    <n v="628.73"/>
    <n v="0.02"/>
    <s v="Regular Air"/>
    <n v="-181.87"/>
    <n v="55.5"/>
    <n v="52.2"/>
    <x v="772"/>
    <x v="12"/>
    <x v="4"/>
    <x v="0"/>
    <x v="2"/>
    <x v="4"/>
    <x v="298"/>
    <s v="Medium Box"/>
    <n v="0.72"/>
    <d v="2012-07-22T00:00:00"/>
    <n v="0"/>
    <n v="0"/>
    <n v="0.5"/>
    <n v="0.5"/>
  </r>
  <r>
    <n v="4711"/>
    <n v="33568"/>
    <x v="42"/>
    <x v="29"/>
    <s v="Medium"/>
    <n v="23"/>
    <n v="385.81"/>
    <n v="0.01"/>
    <s v="Express Air"/>
    <n v="7.35"/>
    <n v="15.51"/>
    <n v="5.8"/>
    <x v="772"/>
    <x v="12"/>
    <x v="4"/>
    <x v="0"/>
    <x v="0"/>
    <x v="0"/>
    <x v="1186"/>
    <s v="Small Box"/>
    <n v="0.6"/>
    <d v="2012-07-22T00:00:00"/>
    <n v="0"/>
    <n v="0"/>
    <n v="0.5"/>
    <n v="0.5"/>
  </r>
  <r>
    <n v="4723"/>
    <n v="33634"/>
    <x v="1379"/>
    <x v="3"/>
    <s v="Not Specified"/>
    <n v="40"/>
    <n v="271.33999999999997"/>
    <n v="0.05"/>
    <s v="Regular Air"/>
    <n v="-151.91999999999999"/>
    <n v="6.48"/>
    <n v="7.86"/>
    <x v="763"/>
    <x v="12"/>
    <x v="4"/>
    <x v="0"/>
    <x v="0"/>
    <x v="5"/>
    <x v="59"/>
    <s v="Small Box"/>
    <n v="0.37"/>
    <d v="2010-09-02T00:00:00"/>
    <n v="0"/>
    <n v="0"/>
    <n v="1"/>
    <n v="1"/>
  </r>
  <r>
    <n v="4780"/>
    <n v="33925"/>
    <x v="788"/>
    <x v="10"/>
    <s v="Low"/>
    <n v="47"/>
    <n v="1488.86"/>
    <n v="0.03"/>
    <s v="Regular Air"/>
    <n v="-95.05"/>
    <n v="30.98"/>
    <n v="19.989999999999998"/>
    <x v="771"/>
    <x v="12"/>
    <x v="4"/>
    <x v="3"/>
    <x v="0"/>
    <x v="5"/>
    <x v="1218"/>
    <s v="Small Box"/>
    <n v="0.4"/>
    <d v="2011-05-07T00:00:00"/>
    <n v="0"/>
    <n v="0"/>
    <n v="1"/>
    <n v="1"/>
  </r>
  <r>
    <n v="4830"/>
    <n v="34338"/>
    <x v="1014"/>
    <x v="30"/>
    <s v="Low"/>
    <n v="26"/>
    <n v="1050.1600000000001"/>
    <n v="0.04"/>
    <s v="Express Air"/>
    <n v="265.08999999999997"/>
    <n v="38.76"/>
    <n v="13.26"/>
    <x v="759"/>
    <x v="12"/>
    <x v="4"/>
    <x v="2"/>
    <x v="0"/>
    <x v="5"/>
    <x v="203"/>
    <s v="Small Box"/>
    <n v="0.36"/>
    <d v="2010-07-05T00:00:00"/>
    <n v="0"/>
    <n v="0"/>
    <n v="1"/>
    <n v="1"/>
  </r>
  <r>
    <n v="4832"/>
    <n v="34374"/>
    <x v="1217"/>
    <x v="41"/>
    <s v="Low"/>
    <n v="42"/>
    <n v="344.57"/>
    <n v="0.04"/>
    <s v="Regular Air"/>
    <n v="37.409999999999997"/>
    <n v="8.33"/>
    <n v="1.99"/>
    <x v="772"/>
    <x v="12"/>
    <x v="4"/>
    <x v="0"/>
    <x v="1"/>
    <x v="7"/>
    <x v="206"/>
    <s v="Small Pack"/>
    <n v="0.52"/>
    <d v="2009-07-07T00:00:00"/>
    <n v="0"/>
    <n v="0"/>
    <n v="1"/>
    <n v="1"/>
  </r>
  <r>
    <n v="4857"/>
    <n v="34565"/>
    <x v="232"/>
    <x v="36"/>
    <s v="Medium"/>
    <n v="47"/>
    <n v="4815.8620000000001"/>
    <n v="0.08"/>
    <s v="Regular Air"/>
    <n v="1316.79"/>
    <n v="125.99"/>
    <n v="4.2"/>
    <x v="570"/>
    <x v="12"/>
    <x v="4"/>
    <x v="1"/>
    <x v="1"/>
    <x v="3"/>
    <x v="1052"/>
    <s v="Small Box"/>
    <n v="0.56999999999999995"/>
    <d v="2009-07-14T00:00:00"/>
    <n v="0"/>
    <n v="0"/>
    <n v="1"/>
    <n v="1"/>
  </r>
  <r>
    <n v="4909"/>
    <n v="34948"/>
    <x v="1230"/>
    <x v="38"/>
    <s v="Critical"/>
    <n v="15"/>
    <n v="1057.06"/>
    <n v="0.08"/>
    <s v="Delivery Truck"/>
    <n v="-403.74"/>
    <n v="68.81"/>
    <n v="60"/>
    <x v="771"/>
    <x v="12"/>
    <x v="4"/>
    <x v="3"/>
    <x v="0"/>
    <x v="1"/>
    <x v="459"/>
    <s v="Jumbo Drum"/>
    <n v="0.41"/>
    <d v="2010-01-12T00:00:00"/>
    <n v="1"/>
    <n v="0"/>
    <n v="1"/>
    <n v="1"/>
  </r>
  <r>
    <n v="5003"/>
    <n v="35652"/>
    <x v="106"/>
    <x v="18"/>
    <s v="Low"/>
    <n v="21"/>
    <n v="2251.56"/>
    <n v="0.01"/>
    <s v="Delivery Truck"/>
    <n v="226.63"/>
    <n v="100.98"/>
    <n v="26.22"/>
    <x v="223"/>
    <x v="12"/>
    <x v="4"/>
    <x v="2"/>
    <x v="2"/>
    <x v="9"/>
    <x v="16"/>
    <s v="Jumbo Box"/>
    <n v="0.6"/>
    <d v="2010-09-23T00:00:00"/>
    <n v="0"/>
    <n v="0"/>
    <n v="1"/>
    <n v="1"/>
  </r>
  <r>
    <n v="5055"/>
    <n v="36038"/>
    <x v="707"/>
    <x v="9"/>
    <s v="High"/>
    <n v="26"/>
    <n v="95.26"/>
    <n v="0.02"/>
    <s v="Regular Air"/>
    <n v="-89.06"/>
    <n v="3.28"/>
    <n v="5"/>
    <x v="765"/>
    <x v="12"/>
    <x v="4"/>
    <x v="3"/>
    <x v="0"/>
    <x v="12"/>
    <x v="685"/>
    <s v="Wrap Bag"/>
    <n v="0.56000000000000005"/>
    <d v="2012-08-18T00:00:00"/>
    <n v="0"/>
    <n v="0"/>
    <n v="1"/>
    <n v="1"/>
  </r>
  <r>
    <n v="5200"/>
    <n v="36934"/>
    <x v="380"/>
    <x v="47"/>
    <s v="Medium"/>
    <n v="7"/>
    <n v="1120.8599999999999"/>
    <n v="0.02"/>
    <s v="Express Air"/>
    <n v="17.399999999999999"/>
    <n v="150.97999999999999"/>
    <n v="13.99"/>
    <x v="763"/>
    <x v="12"/>
    <x v="4"/>
    <x v="0"/>
    <x v="1"/>
    <x v="16"/>
    <x v="221"/>
    <s v="Medium Box"/>
    <n v="0.38"/>
    <d v="2009-12-24T00:00:00"/>
    <n v="0"/>
    <n v="0"/>
    <n v="0.33333333333333331"/>
    <n v="0.33333333333333331"/>
  </r>
  <r>
    <n v="5201"/>
    <n v="36934"/>
    <x v="380"/>
    <x v="47"/>
    <s v="Medium"/>
    <n v="2"/>
    <n v="11.51"/>
    <n v="0.1"/>
    <s v="Regular Air"/>
    <n v="-5.16"/>
    <n v="5.43"/>
    <n v="0.95"/>
    <x v="763"/>
    <x v="12"/>
    <x v="4"/>
    <x v="0"/>
    <x v="0"/>
    <x v="5"/>
    <x v="444"/>
    <s v="Wrap Bag"/>
    <n v="0.36"/>
    <d v="2009-12-24T00:00:00"/>
    <n v="0"/>
    <n v="0"/>
    <n v="0.33333333333333331"/>
    <n v="0.33333333333333331"/>
  </r>
  <r>
    <n v="5202"/>
    <n v="36934"/>
    <x v="380"/>
    <x v="47"/>
    <s v="Medium"/>
    <n v="45"/>
    <n v="6668.8559999999998"/>
    <n v="0.01"/>
    <s v="Delivery Truck"/>
    <n v="871.97"/>
    <n v="179.29"/>
    <n v="29.21"/>
    <x v="763"/>
    <x v="12"/>
    <x v="4"/>
    <x v="0"/>
    <x v="2"/>
    <x v="10"/>
    <x v="102"/>
    <s v="Jumbo Box"/>
    <n v="0.74"/>
    <d v="2009-12-23T00:00:00"/>
    <n v="0"/>
    <n v="0"/>
    <n v="0.33333333333333331"/>
    <n v="0.33333333333333331"/>
  </r>
  <r>
    <n v="5259"/>
    <n v="37440"/>
    <x v="539"/>
    <x v="30"/>
    <s v="Not Specified"/>
    <n v="39"/>
    <n v="8407.08"/>
    <n v="0.04"/>
    <s v="Delivery Truck"/>
    <n v="629.4"/>
    <n v="208.16"/>
    <n v="68.02"/>
    <x v="223"/>
    <x v="12"/>
    <x v="4"/>
    <x v="2"/>
    <x v="0"/>
    <x v="1"/>
    <x v="1"/>
    <s v="Jumbo Drum"/>
    <n v="0.57999999999999996"/>
    <d v="2010-06-24T00:00:00"/>
    <n v="0"/>
    <n v="0"/>
    <n v="0.5"/>
    <n v="0.5"/>
  </r>
  <r>
    <n v="5278"/>
    <n v="37542"/>
    <x v="1333"/>
    <x v="36"/>
    <s v="Medium"/>
    <n v="26"/>
    <n v="2546.5234999999998"/>
    <n v="0.09"/>
    <s v="Express Air"/>
    <n v="209.99700000000001"/>
    <n v="125.99"/>
    <n v="7.69"/>
    <x v="762"/>
    <x v="12"/>
    <x v="4"/>
    <x v="2"/>
    <x v="1"/>
    <x v="3"/>
    <x v="658"/>
    <s v="Small Box"/>
    <n v="0.59"/>
    <d v="2009-07-22T00:00:00"/>
    <n v="0"/>
    <n v="0"/>
    <n v="1"/>
    <n v="1"/>
  </r>
  <r>
    <n v="5367"/>
    <n v="38146"/>
    <x v="383"/>
    <x v="25"/>
    <s v="Low"/>
    <n v="45"/>
    <n v="341.39"/>
    <n v="0.03"/>
    <s v="Regular Air"/>
    <n v="-82.9495"/>
    <n v="7.68"/>
    <n v="6.16"/>
    <x v="532"/>
    <x v="12"/>
    <x v="4"/>
    <x v="0"/>
    <x v="0"/>
    <x v="2"/>
    <x v="669"/>
    <s v="Small Box"/>
    <n v="0.35"/>
    <d v="2011-12-11T00:00:00"/>
    <n v="0"/>
    <n v="0"/>
    <n v="0.5"/>
    <n v="0.5"/>
  </r>
  <r>
    <n v="5370"/>
    <n v="38178"/>
    <x v="903"/>
    <x v="9"/>
    <s v="Medium"/>
    <n v="32"/>
    <n v="153.97999999999999"/>
    <n v="0.02"/>
    <s v="Regular Air"/>
    <n v="71.599999999999994"/>
    <n v="4.91"/>
    <n v="0.5"/>
    <x v="760"/>
    <x v="12"/>
    <x v="4"/>
    <x v="0"/>
    <x v="0"/>
    <x v="11"/>
    <x v="383"/>
    <s v="Small Box"/>
    <n v="0.36"/>
    <d v="2012-08-30T00:00:00"/>
    <n v="0"/>
    <n v="0"/>
    <n v="1"/>
    <n v="1"/>
  </r>
  <r>
    <n v="5384"/>
    <n v="38279"/>
    <x v="829"/>
    <x v="13"/>
    <s v="Medium"/>
    <n v="1"/>
    <n v="11.64"/>
    <n v="0.05"/>
    <s v="Regular Air"/>
    <n v="-10.73"/>
    <n v="7.59"/>
    <n v="4"/>
    <x v="764"/>
    <x v="12"/>
    <x v="4"/>
    <x v="2"/>
    <x v="2"/>
    <x v="4"/>
    <x v="378"/>
    <s v="Wrap Bag"/>
    <n v="0.42"/>
    <d v="2012-05-01T00:00:00"/>
    <n v="0"/>
    <n v="0"/>
    <n v="1"/>
    <n v="1"/>
  </r>
  <r>
    <n v="5460"/>
    <n v="38787"/>
    <x v="1293"/>
    <x v="21"/>
    <s v="Low"/>
    <n v="22"/>
    <n v="79.040000000000006"/>
    <n v="0.05"/>
    <s v="Regular Air"/>
    <n v="-77.930000000000007"/>
    <n v="3.28"/>
    <n v="5"/>
    <x v="705"/>
    <x v="12"/>
    <x v="4"/>
    <x v="1"/>
    <x v="0"/>
    <x v="12"/>
    <x v="685"/>
    <s v="Wrap Bag"/>
    <n v="0.56000000000000005"/>
    <d v="2011-08-05T00:00:00"/>
    <n v="0"/>
    <n v="0"/>
    <n v="1"/>
    <n v="1"/>
  </r>
  <r>
    <n v="5463"/>
    <n v="38791"/>
    <x v="835"/>
    <x v="14"/>
    <s v="Low"/>
    <n v="24"/>
    <n v="1457.7120000000002"/>
    <n v="0.03"/>
    <s v="Delivery Truck"/>
    <n v="-1565.89"/>
    <n v="70.89"/>
    <n v="89.3"/>
    <x v="768"/>
    <x v="12"/>
    <x v="4"/>
    <x v="3"/>
    <x v="2"/>
    <x v="10"/>
    <x v="818"/>
    <s v="Jumbo Box"/>
    <n v="0.69"/>
    <d v="2010-03-21T00:00:00"/>
    <n v="0"/>
    <n v="0"/>
    <n v="1"/>
    <n v="1"/>
  </r>
  <r>
    <n v="5464"/>
    <n v="38817"/>
    <x v="399"/>
    <x v="20"/>
    <s v="Not Specified"/>
    <n v="1"/>
    <n v="9.6999999999999993"/>
    <n v="0.02"/>
    <s v="Regular Air"/>
    <n v="-18.03"/>
    <n v="4.9800000000000004"/>
    <n v="4.62"/>
    <x v="570"/>
    <x v="12"/>
    <x v="4"/>
    <x v="1"/>
    <x v="1"/>
    <x v="7"/>
    <x v="278"/>
    <s v="Small Pack"/>
    <n v="0.64"/>
    <d v="2012-05-21T00:00:00"/>
    <n v="0"/>
    <n v="0"/>
    <n v="1"/>
    <n v="0.33333333333333331"/>
  </r>
  <r>
    <n v="5475"/>
    <n v="38887"/>
    <x v="1398"/>
    <x v="19"/>
    <s v="Critical"/>
    <n v="25"/>
    <n v="378.9"/>
    <n v="0.02"/>
    <s v="Regular Air"/>
    <n v="28.457999999999998"/>
    <n v="14.45"/>
    <n v="7.17"/>
    <x v="705"/>
    <x v="12"/>
    <x v="4"/>
    <x v="1"/>
    <x v="0"/>
    <x v="2"/>
    <x v="853"/>
    <s v="Small Box"/>
    <n v="0.38"/>
    <d v="2009-10-25T00:00:00"/>
    <n v="0"/>
    <n v="0"/>
    <n v="0.5"/>
    <n v="0.5"/>
  </r>
  <r>
    <n v="5476"/>
    <n v="38887"/>
    <x v="1398"/>
    <x v="19"/>
    <s v="Critical"/>
    <n v="50"/>
    <n v="264.05"/>
    <n v="7.0000000000000007E-2"/>
    <s v="Regular Air"/>
    <n v="25.05"/>
    <n v="5.58"/>
    <n v="1.99"/>
    <x v="705"/>
    <x v="12"/>
    <x v="4"/>
    <x v="1"/>
    <x v="0"/>
    <x v="12"/>
    <x v="931"/>
    <s v="Wrap Bag"/>
    <n v="0.46"/>
    <d v="2009-10-26T00:00:00"/>
    <n v="0"/>
    <n v="0"/>
    <n v="0.5"/>
    <n v="0.5"/>
  </r>
  <r>
    <n v="5480"/>
    <n v="38914"/>
    <x v="629"/>
    <x v="20"/>
    <s v="Medium"/>
    <n v="43"/>
    <n v="447.12"/>
    <n v="0.08"/>
    <s v="Regular Air"/>
    <n v="-14.27"/>
    <n v="10.64"/>
    <n v="5.16"/>
    <x v="768"/>
    <x v="12"/>
    <x v="4"/>
    <x v="2"/>
    <x v="2"/>
    <x v="4"/>
    <x v="448"/>
    <s v="Small Box"/>
    <n v="0.56999999999999995"/>
    <d v="2012-05-31T00:00:00"/>
    <n v="0"/>
    <n v="0"/>
    <n v="1"/>
    <n v="0.5"/>
  </r>
  <r>
    <n v="5509"/>
    <n v="39072"/>
    <x v="545"/>
    <x v="40"/>
    <s v="High"/>
    <n v="50"/>
    <n v="1633.37"/>
    <n v="0.08"/>
    <s v="Regular Air"/>
    <n v="144.69"/>
    <n v="34.99"/>
    <n v="7.73"/>
    <x v="762"/>
    <x v="12"/>
    <x v="4"/>
    <x v="2"/>
    <x v="0"/>
    <x v="12"/>
    <x v="989"/>
    <s v="Small Box"/>
    <n v="0.59"/>
    <d v="2009-02-23T00:00:00"/>
    <n v="0"/>
    <n v="0"/>
    <n v="1"/>
    <n v="1"/>
  </r>
  <r>
    <n v="5593"/>
    <n v="39652"/>
    <x v="53"/>
    <x v="20"/>
    <s v="Low"/>
    <n v="5"/>
    <n v="14.61"/>
    <n v="0.03"/>
    <s v="Regular Air"/>
    <n v="1.17"/>
    <n v="2.88"/>
    <n v="0.5"/>
    <x v="570"/>
    <x v="12"/>
    <x v="4"/>
    <x v="1"/>
    <x v="0"/>
    <x v="11"/>
    <x v="878"/>
    <s v="Small Box"/>
    <n v="0.36"/>
    <d v="2012-05-06T00:00:00"/>
    <n v="0"/>
    <n v="0"/>
    <n v="0.5"/>
    <n v="0.33333333333333331"/>
  </r>
  <r>
    <n v="5594"/>
    <n v="39652"/>
    <x v="53"/>
    <x v="20"/>
    <s v="Low"/>
    <n v="4"/>
    <n v="665.76250000000005"/>
    <n v="0.03"/>
    <s v="Regular Air"/>
    <n v="-773.34399999999994"/>
    <n v="195.99"/>
    <n v="8.99"/>
    <x v="570"/>
    <x v="12"/>
    <x v="4"/>
    <x v="1"/>
    <x v="1"/>
    <x v="3"/>
    <x v="521"/>
    <s v="Small Box"/>
    <n v="0.6"/>
    <d v="2012-05-09T00:00:00"/>
    <n v="0"/>
    <n v="0"/>
    <n v="0.5"/>
    <n v="0.33333333333333331"/>
  </r>
  <r>
    <n v="5612"/>
    <n v="39750"/>
    <x v="369"/>
    <x v="28"/>
    <s v="High"/>
    <n v="7"/>
    <n v="140.59"/>
    <n v="0.01"/>
    <s v="Regular Air"/>
    <n v="-35.878799999999998"/>
    <n v="17.98"/>
    <n v="8.51"/>
    <x v="762"/>
    <x v="12"/>
    <x v="4"/>
    <x v="2"/>
    <x v="1"/>
    <x v="16"/>
    <x v="168"/>
    <s v="Medium Box"/>
    <n v="0.4"/>
    <d v="2009-03-28T00:00:00"/>
    <n v="0"/>
    <n v="0"/>
    <n v="1"/>
    <n v="1"/>
  </r>
  <r>
    <n v="5654"/>
    <n v="40006"/>
    <x v="1035"/>
    <x v="41"/>
    <s v="Not Specified"/>
    <n v="35"/>
    <n v="157.99"/>
    <n v="0.03"/>
    <s v="Regular Air"/>
    <n v="-105.547"/>
    <n v="4.24"/>
    <n v="5.41"/>
    <x v="762"/>
    <x v="12"/>
    <x v="4"/>
    <x v="2"/>
    <x v="0"/>
    <x v="2"/>
    <x v="683"/>
    <s v="Small Box"/>
    <n v="0.35"/>
    <d v="2009-06-17T00:00:00"/>
    <n v="0"/>
    <n v="0"/>
    <n v="0.5"/>
    <n v="0.33333333333333331"/>
  </r>
  <r>
    <n v="5655"/>
    <n v="40006"/>
    <x v="1035"/>
    <x v="41"/>
    <s v="Not Specified"/>
    <n v="48"/>
    <n v="141.59"/>
    <n v="0.04"/>
    <s v="Regular Air"/>
    <n v="20.260000000000002"/>
    <n v="2.94"/>
    <n v="0.7"/>
    <x v="762"/>
    <x v="12"/>
    <x v="4"/>
    <x v="2"/>
    <x v="0"/>
    <x v="12"/>
    <x v="900"/>
    <s v="Wrap Bag"/>
    <n v="0.57999999999999996"/>
    <d v="2009-06-16T00:00:00"/>
    <n v="0"/>
    <n v="0"/>
    <n v="0.5"/>
    <n v="0.33333333333333331"/>
  </r>
  <r>
    <n v="5737"/>
    <n v="40770"/>
    <x v="480"/>
    <x v="37"/>
    <s v="Low"/>
    <n v="19"/>
    <n v="217.69"/>
    <n v="0.09"/>
    <s v="Regular Air"/>
    <n v="-11.66"/>
    <n v="11.33"/>
    <n v="6.12"/>
    <x v="769"/>
    <x v="12"/>
    <x v="4"/>
    <x v="3"/>
    <x v="0"/>
    <x v="1"/>
    <x v="876"/>
    <s v="Medium Box"/>
    <n v="0.42"/>
    <d v="2011-04-21T00:00:00"/>
    <n v="0"/>
    <n v="0"/>
    <n v="1"/>
    <n v="1"/>
  </r>
  <r>
    <n v="5766"/>
    <n v="40933"/>
    <x v="1132"/>
    <x v="20"/>
    <s v="High"/>
    <n v="37"/>
    <n v="95.43"/>
    <n v="0.06"/>
    <s v="Regular Air"/>
    <n v="-103.96"/>
    <n v="2.52"/>
    <n v="4.28"/>
    <x v="74"/>
    <x v="12"/>
    <x v="4"/>
    <x v="1"/>
    <x v="0"/>
    <x v="12"/>
    <x v="842"/>
    <s v="Wrap Bag"/>
    <n v="0.44"/>
    <d v="2012-05-28T00:00:00"/>
    <n v="0"/>
    <n v="0"/>
    <n v="1"/>
    <n v="0.5"/>
  </r>
  <r>
    <n v="5975"/>
    <n v="42370"/>
    <x v="1253"/>
    <x v="27"/>
    <s v="High"/>
    <n v="33"/>
    <n v="125.27"/>
    <n v="7.0000000000000007E-2"/>
    <s v="Regular Air"/>
    <n v="-105.83450000000001"/>
    <n v="3.81"/>
    <n v="4.83"/>
    <x v="771"/>
    <x v="12"/>
    <x v="4"/>
    <x v="3"/>
    <x v="0"/>
    <x v="2"/>
    <x v="1259"/>
    <s v="Small Box"/>
    <n v="0.4"/>
    <d v="2011-11-23T00:00:00"/>
    <n v="0"/>
    <n v="0"/>
    <n v="1"/>
    <n v="1"/>
  </r>
  <r>
    <n v="5986"/>
    <n v="42436"/>
    <x v="248"/>
    <x v="9"/>
    <s v="Critical"/>
    <n v="30"/>
    <n v="10994.74"/>
    <n v="0.09"/>
    <s v="Delivery Truck"/>
    <n v="3612.58"/>
    <n v="400.97"/>
    <n v="48.26"/>
    <x v="761"/>
    <x v="12"/>
    <x v="4"/>
    <x v="2"/>
    <x v="1"/>
    <x v="16"/>
    <x v="749"/>
    <s v="Jumbo Box"/>
    <n v="0.36"/>
    <d v="2012-08-10T00:00:00"/>
    <n v="0"/>
    <n v="0"/>
    <n v="1"/>
    <n v="1"/>
  </r>
  <r>
    <n v="6047"/>
    <n v="42855"/>
    <x v="32"/>
    <x v="2"/>
    <s v="Not Specified"/>
    <n v="17"/>
    <n v="135.38"/>
    <n v="0.05"/>
    <s v="Regular Air"/>
    <n v="-71.12"/>
    <n v="7.98"/>
    <n v="6.5"/>
    <x v="759"/>
    <x v="12"/>
    <x v="4"/>
    <x v="2"/>
    <x v="0"/>
    <x v="0"/>
    <x v="1077"/>
    <s v="Medium Box"/>
    <n v="0.59"/>
    <d v="2011-07-10T00:00:00"/>
    <n v="0"/>
    <n v="0"/>
    <n v="1"/>
    <n v="1"/>
  </r>
  <r>
    <n v="6166"/>
    <n v="43686"/>
    <x v="700"/>
    <x v="10"/>
    <s v="Medium"/>
    <n v="16"/>
    <n v="1313.64"/>
    <n v="0.05"/>
    <s v="Regular Air"/>
    <n v="284.83999999999997"/>
    <n v="83.1"/>
    <n v="6.13"/>
    <x v="764"/>
    <x v="12"/>
    <x v="4"/>
    <x v="2"/>
    <x v="1"/>
    <x v="7"/>
    <x v="432"/>
    <s v="Small Box"/>
    <n v="0.45"/>
    <d v="2011-05-08T00:00:00"/>
    <n v="0"/>
    <n v="0"/>
    <n v="1"/>
    <n v="1"/>
  </r>
  <r>
    <n v="6260"/>
    <n v="44295"/>
    <x v="1175"/>
    <x v="38"/>
    <s v="Medium"/>
    <n v="47"/>
    <n v="4524.9070000000002"/>
    <n v="7.0000000000000007E-2"/>
    <s v="Regular Air"/>
    <n v="1464.8670000000002"/>
    <n v="115.99"/>
    <n v="2.5"/>
    <x v="765"/>
    <x v="12"/>
    <x v="4"/>
    <x v="3"/>
    <x v="1"/>
    <x v="3"/>
    <x v="1154"/>
    <s v="Small Box"/>
    <n v="0.55000000000000004"/>
    <d v="2010-01-25T00:00:00"/>
    <n v="1"/>
    <n v="0"/>
    <n v="1"/>
    <n v="1"/>
  </r>
  <r>
    <n v="6333"/>
    <n v="44869"/>
    <x v="348"/>
    <x v="9"/>
    <s v="Medium"/>
    <n v="43"/>
    <n v="283.18"/>
    <n v="0.03"/>
    <s v="Regular Air"/>
    <n v="-154.94999999999999"/>
    <n v="6.48"/>
    <n v="7.49"/>
    <x v="759"/>
    <x v="12"/>
    <x v="4"/>
    <x v="2"/>
    <x v="0"/>
    <x v="5"/>
    <x v="496"/>
    <s v="Small Box"/>
    <n v="0.37"/>
    <d v="2012-08-24T00:00:00"/>
    <n v="0"/>
    <n v="0"/>
    <n v="1"/>
    <n v="1"/>
  </r>
  <r>
    <n v="6405"/>
    <n v="45511"/>
    <x v="522"/>
    <x v="3"/>
    <s v="Low"/>
    <n v="31"/>
    <n v="951.31"/>
    <n v="0.08"/>
    <s v="Delivery Truck"/>
    <n v="-1099.46"/>
    <n v="31.76"/>
    <n v="45.51"/>
    <x v="759"/>
    <x v="12"/>
    <x v="4"/>
    <x v="2"/>
    <x v="2"/>
    <x v="10"/>
    <x v="465"/>
    <s v="Jumbo Box"/>
    <n v="0.65"/>
    <d v="2010-08-28T00:00:00"/>
    <n v="0"/>
    <n v="0"/>
    <n v="1"/>
    <n v="1"/>
  </r>
  <r>
    <n v="6474"/>
    <n v="46053"/>
    <x v="558"/>
    <x v="34"/>
    <s v="High"/>
    <n v="25"/>
    <n v="1458.83"/>
    <n v="0.05"/>
    <s v="Regular Air"/>
    <n v="392.76"/>
    <n v="60.22"/>
    <n v="3.5"/>
    <x v="196"/>
    <x v="12"/>
    <x v="4"/>
    <x v="1"/>
    <x v="0"/>
    <x v="1"/>
    <x v="477"/>
    <s v="Small Box"/>
    <n v="0.56999999999999995"/>
    <d v="2012-09-14T00:00:00"/>
    <n v="0"/>
    <n v="0"/>
    <n v="0.5"/>
    <n v="0.5"/>
  </r>
  <r>
    <n v="6531"/>
    <n v="46469"/>
    <x v="873"/>
    <x v="26"/>
    <s v="Critical"/>
    <n v="17"/>
    <n v="1210.72"/>
    <n v="0.05"/>
    <s v="Delivery Truck"/>
    <n v="-382.43"/>
    <n v="70.98"/>
    <n v="30"/>
    <x v="762"/>
    <x v="12"/>
    <x v="4"/>
    <x v="2"/>
    <x v="2"/>
    <x v="14"/>
    <x v="1260"/>
    <s v="Jumbo Drum"/>
    <n v="0.78"/>
    <d v="2009-08-18T00:00:00"/>
    <n v="0"/>
    <n v="0"/>
    <n v="0.5"/>
    <n v="0.5"/>
  </r>
  <r>
    <n v="6532"/>
    <n v="46469"/>
    <x v="873"/>
    <x v="26"/>
    <s v="Critical"/>
    <n v="18"/>
    <n v="93.26"/>
    <n v="0.05"/>
    <s v="Regular Air"/>
    <n v="-35.36"/>
    <n v="4.9800000000000004"/>
    <n v="4.7"/>
    <x v="762"/>
    <x v="12"/>
    <x v="4"/>
    <x v="2"/>
    <x v="0"/>
    <x v="5"/>
    <x v="725"/>
    <s v="Small Box"/>
    <n v="0.38"/>
    <d v="2009-08-18T00:00:00"/>
    <n v="0"/>
    <n v="0"/>
    <n v="0.5"/>
    <n v="0.5"/>
  </r>
  <r>
    <n v="6640"/>
    <n v="47207"/>
    <x v="684"/>
    <x v="47"/>
    <s v="Low"/>
    <n v="15"/>
    <n v="437.87"/>
    <n v="0.09"/>
    <s v="Express Air"/>
    <n v="-111.94"/>
    <n v="30.98"/>
    <n v="6.5"/>
    <x v="196"/>
    <x v="12"/>
    <x v="4"/>
    <x v="1"/>
    <x v="1"/>
    <x v="7"/>
    <x v="455"/>
    <s v="Small Box"/>
    <n v="0.64"/>
    <d v="2009-12-22T00:00:00"/>
    <n v="0"/>
    <n v="0"/>
    <n v="1"/>
    <n v="0.33333333333333331"/>
  </r>
  <r>
    <n v="6853"/>
    <n v="48801"/>
    <x v="797"/>
    <x v="1"/>
    <s v="High"/>
    <n v="43"/>
    <n v="2387.61"/>
    <n v="0.01"/>
    <s v="Regular Air"/>
    <n v="527.13"/>
    <n v="54.2"/>
    <n v="11.1"/>
    <x v="769"/>
    <x v="12"/>
    <x v="4"/>
    <x v="3"/>
    <x v="2"/>
    <x v="4"/>
    <x v="1193"/>
    <s v="Medium Box"/>
    <n v="0.64"/>
    <d v="2012-10-13T00:00:00"/>
    <n v="0"/>
    <n v="0"/>
    <n v="1"/>
    <n v="1"/>
  </r>
  <r>
    <n v="6994"/>
    <n v="49954"/>
    <x v="496"/>
    <x v="12"/>
    <s v="Critical"/>
    <n v="36"/>
    <n v="1921.1275000000001"/>
    <n v="0.08"/>
    <s v="Regular Air"/>
    <n v="248.58"/>
    <n v="65.989999999999995"/>
    <n v="8.99"/>
    <x v="767"/>
    <x v="12"/>
    <x v="4"/>
    <x v="3"/>
    <x v="1"/>
    <x v="3"/>
    <x v="403"/>
    <s v="Small Box"/>
    <n v="0.56000000000000005"/>
    <d v="2012-02-29T00:00:00"/>
    <n v="0"/>
    <n v="0"/>
    <n v="1"/>
    <n v="1"/>
  </r>
  <r>
    <n v="7084"/>
    <n v="50563"/>
    <x v="1013"/>
    <x v="2"/>
    <s v="High"/>
    <n v="2"/>
    <n v="423.04"/>
    <n v="0.05"/>
    <s v="Express Air"/>
    <n v="-270.7"/>
    <n v="210.55"/>
    <n v="9.99"/>
    <x v="766"/>
    <x v="12"/>
    <x v="4"/>
    <x v="0"/>
    <x v="0"/>
    <x v="0"/>
    <x v="524"/>
    <s v="Small Box"/>
    <n v="0.6"/>
    <d v="2011-07-17T00:00:00"/>
    <n v="0"/>
    <n v="0"/>
    <n v="0.5"/>
    <n v="0.5"/>
  </r>
  <r>
    <n v="7085"/>
    <n v="50563"/>
    <x v="1013"/>
    <x v="2"/>
    <s v="High"/>
    <n v="20"/>
    <n v="2197.4115000000002"/>
    <n v="0"/>
    <s v="Express Air"/>
    <n v="305.964"/>
    <n v="125.99"/>
    <n v="7.69"/>
    <x v="766"/>
    <x v="12"/>
    <x v="4"/>
    <x v="0"/>
    <x v="1"/>
    <x v="3"/>
    <x v="44"/>
    <s v="Small Box"/>
    <n v="0.57999999999999996"/>
    <d v="2011-07-17T00:00:00"/>
    <n v="0"/>
    <n v="0"/>
    <n v="0.5"/>
    <n v="0.5"/>
  </r>
  <r>
    <n v="7134"/>
    <n v="50882"/>
    <x v="1379"/>
    <x v="3"/>
    <s v="High"/>
    <n v="37"/>
    <n v="366.84"/>
    <n v="0.08"/>
    <s v="Regular Air"/>
    <n v="-50.1"/>
    <n v="10.23"/>
    <n v="4.68"/>
    <x v="705"/>
    <x v="12"/>
    <x v="4"/>
    <x v="1"/>
    <x v="0"/>
    <x v="15"/>
    <x v="804"/>
    <s v="Small Pack"/>
    <n v="0.59"/>
    <d v="2010-08-31T00:00:00"/>
    <n v="0"/>
    <n v="0"/>
    <n v="1"/>
    <n v="1"/>
  </r>
  <r>
    <n v="7223"/>
    <n v="51553"/>
    <x v="766"/>
    <x v="27"/>
    <s v="Not Specified"/>
    <n v="3"/>
    <n v="21366.51"/>
    <n v="0"/>
    <s v="Regular Air"/>
    <n v="-11984.3979"/>
    <n v="6783.02"/>
    <n v="24.49"/>
    <x v="770"/>
    <x v="12"/>
    <x v="4"/>
    <x v="0"/>
    <x v="1"/>
    <x v="16"/>
    <x v="1135"/>
    <s v="Large Box"/>
    <n v="0.39"/>
    <d v="2011-11-28T00:00:00"/>
    <n v="0"/>
    <n v="0"/>
    <n v="0.25"/>
    <n v="0.25"/>
  </r>
  <r>
    <n v="7224"/>
    <n v="51553"/>
    <x v="766"/>
    <x v="27"/>
    <s v="Not Specified"/>
    <n v="34"/>
    <n v="320.04000000000002"/>
    <n v="0.02"/>
    <s v="Express Air"/>
    <n v="32.47"/>
    <n v="9.27"/>
    <n v="4.3899999999999997"/>
    <x v="770"/>
    <x v="12"/>
    <x v="4"/>
    <x v="0"/>
    <x v="0"/>
    <x v="5"/>
    <x v="276"/>
    <s v="Wrap Bag"/>
    <n v="0.38"/>
    <d v="2011-11-29T00:00:00"/>
    <n v="0"/>
    <n v="0"/>
    <n v="0.25"/>
    <n v="0.25"/>
  </r>
  <r>
    <n v="7225"/>
    <n v="51553"/>
    <x v="766"/>
    <x v="27"/>
    <s v="Not Specified"/>
    <n v="12"/>
    <n v="88.57"/>
    <n v="0.03"/>
    <s v="Regular Air"/>
    <n v="-28.25"/>
    <n v="6.68"/>
    <n v="6.15"/>
    <x v="770"/>
    <x v="12"/>
    <x v="4"/>
    <x v="0"/>
    <x v="0"/>
    <x v="5"/>
    <x v="1151"/>
    <s v="Small Box"/>
    <n v="0.37"/>
    <d v="2011-11-29T00:00:00"/>
    <n v="0"/>
    <n v="0"/>
    <n v="0.25"/>
    <n v="0.25"/>
  </r>
  <r>
    <n v="7226"/>
    <n v="51553"/>
    <x v="766"/>
    <x v="27"/>
    <s v="Not Specified"/>
    <n v="13"/>
    <n v="73.97"/>
    <n v="0.1"/>
    <s v="Regular Air"/>
    <n v="-38.35"/>
    <n v="5.78"/>
    <n v="5.67"/>
    <x v="770"/>
    <x v="12"/>
    <x v="4"/>
    <x v="0"/>
    <x v="0"/>
    <x v="5"/>
    <x v="443"/>
    <s v="Small Box"/>
    <n v="0.36"/>
    <d v="2011-11-30T00:00:00"/>
    <n v="0"/>
    <n v="0"/>
    <n v="0.25"/>
    <n v="0.25"/>
  </r>
  <r>
    <n v="7327"/>
    <n v="52199"/>
    <x v="349"/>
    <x v="16"/>
    <s v="Medium"/>
    <n v="19"/>
    <n v="92.24"/>
    <n v="0.05"/>
    <s v="Regular Air"/>
    <n v="-60.582000000000001"/>
    <n v="4.82"/>
    <n v="5.24"/>
    <x v="762"/>
    <x v="12"/>
    <x v="4"/>
    <x v="2"/>
    <x v="0"/>
    <x v="2"/>
    <x v="1138"/>
    <s v="Small Box"/>
    <n v="0.39"/>
    <d v="2011-01-27T00:00:00"/>
    <n v="0"/>
    <n v="0"/>
    <n v="1"/>
    <n v="1"/>
  </r>
  <r>
    <n v="7341"/>
    <n v="52293"/>
    <x v="176"/>
    <x v="37"/>
    <s v="High"/>
    <n v="4"/>
    <n v="31.14"/>
    <n v="0.08"/>
    <s v="Regular Air"/>
    <n v="-14.59"/>
    <n v="6.48"/>
    <n v="5.86"/>
    <x v="196"/>
    <x v="12"/>
    <x v="4"/>
    <x v="1"/>
    <x v="0"/>
    <x v="5"/>
    <x v="75"/>
    <s v="Small Box"/>
    <n v="0.36"/>
    <d v="2011-04-16T00:00:00"/>
    <n v="0"/>
    <n v="0"/>
    <n v="1"/>
    <n v="1"/>
  </r>
  <r>
    <n v="7407"/>
    <n v="52839"/>
    <x v="358"/>
    <x v="24"/>
    <s v="High"/>
    <n v="8"/>
    <n v="30.17"/>
    <n v="0.04"/>
    <s v="Regular Air"/>
    <n v="-22.84"/>
    <n v="3.28"/>
    <n v="3.97"/>
    <x v="771"/>
    <x v="12"/>
    <x v="4"/>
    <x v="3"/>
    <x v="0"/>
    <x v="12"/>
    <x v="431"/>
    <s v="Wrap Bag"/>
    <n v="0.56000000000000005"/>
    <d v="2010-04-11T00:00:00"/>
    <n v="0"/>
    <n v="0"/>
    <n v="0.5"/>
    <n v="0.5"/>
  </r>
  <r>
    <n v="7408"/>
    <n v="52839"/>
    <x v="358"/>
    <x v="24"/>
    <s v="High"/>
    <n v="25"/>
    <n v="1158.6009999999999"/>
    <n v="0.1"/>
    <s v="Regular Air"/>
    <n v="-155.298"/>
    <n v="55.99"/>
    <n v="2.5"/>
    <x v="771"/>
    <x v="12"/>
    <x v="4"/>
    <x v="3"/>
    <x v="1"/>
    <x v="3"/>
    <x v="967"/>
    <s v="Small Pack"/>
    <n v="0.83"/>
    <d v="2010-04-12T00:00:00"/>
    <n v="0"/>
    <n v="0"/>
    <n v="0.5"/>
    <n v="0.5"/>
  </r>
  <r>
    <n v="7484"/>
    <n v="53443"/>
    <x v="518"/>
    <x v="17"/>
    <s v="Critical"/>
    <n v="35"/>
    <n v="1477.63"/>
    <n v="0.04"/>
    <s v="Regular Air"/>
    <n v="387.56"/>
    <n v="42.98"/>
    <n v="4.62"/>
    <x v="74"/>
    <x v="12"/>
    <x v="4"/>
    <x v="1"/>
    <x v="0"/>
    <x v="1"/>
    <x v="667"/>
    <s v="Small Box"/>
    <n v="0.56000000000000005"/>
    <d v="2011-10-09T00:00:00"/>
    <n v="0"/>
    <n v="0"/>
    <n v="0.33333333333333331"/>
    <n v="0.33333333333333331"/>
  </r>
  <r>
    <n v="7485"/>
    <n v="53443"/>
    <x v="518"/>
    <x v="17"/>
    <s v="Critical"/>
    <n v="3"/>
    <n v="19.46"/>
    <n v="0.01"/>
    <s v="Regular Air"/>
    <n v="-2.0099999999999998"/>
    <n v="6.3"/>
    <n v="0.5"/>
    <x v="74"/>
    <x v="12"/>
    <x v="4"/>
    <x v="1"/>
    <x v="0"/>
    <x v="11"/>
    <x v="336"/>
    <s v="Small Box"/>
    <n v="0.39"/>
    <d v="2011-10-10T00:00:00"/>
    <n v="0"/>
    <n v="0"/>
    <n v="0.33333333333333331"/>
    <n v="0.33333333333333331"/>
  </r>
  <r>
    <n v="7486"/>
    <n v="53443"/>
    <x v="518"/>
    <x v="17"/>
    <s v="Critical"/>
    <n v="22"/>
    <n v="148.80000000000001"/>
    <n v="0.04"/>
    <s v="Regular Air"/>
    <n v="52.08"/>
    <n v="6.47"/>
    <n v="1.22"/>
    <x v="74"/>
    <x v="12"/>
    <x v="4"/>
    <x v="1"/>
    <x v="0"/>
    <x v="12"/>
    <x v="366"/>
    <s v="Wrap Bag"/>
    <n v="0.4"/>
    <d v="2011-10-09T00:00:00"/>
    <n v="0"/>
    <n v="0"/>
    <n v="0.33333333333333331"/>
    <n v="0.33333333333333331"/>
  </r>
  <r>
    <n v="7527"/>
    <n v="53767"/>
    <x v="1136"/>
    <x v="21"/>
    <s v="Not Specified"/>
    <n v="35"/>
    <n v="1131.1500000000001"/>
    <n v="0.03"/>
    <s v="Regular Air"/>
    <n v="433.87"/>
    <n v="30.98"/>
    <n v="5.76"/>
    <x v="760"/>
    <x v="12"/>
    <x v="4"/>
    <x v="0"/>
    <x v="0"/>
    <x v="5"/>
    <x v="37"/>
    <s v="Small Box"/>
    <n v="0.4"/>
    <d v="2011-08-27T00:00:00"/>
    <n v="0"/>
    <n v="0"/>
    <n v="1"/>
    <n v="1"/>
  </r>
  <r>
    <n v="7645"/>
    <n v="54787"/>
    <x v="593"/>
    <x v="44"/>
    <s v="High"/>
    <n v="7"/>
    <n v="170.02"/>
    <n v="7.0000000000000007E-2"/>
    <s v="Regular Air"/>
    <n v="-56.1"/>
    <n v="22.84"/>
    <n v="16.87"/>
    <x v="769"/>
    <x v="12"/>
    <x v="4"/>
    <x v="3"/>
    <x v="0"/>
    <x v="5"/>
    <x v="150"/>
    <s v="Small Box"/>
    <n v="0.39"/>
    <d v="2011-02-25T00:00:00"/>
    <n v="0"/>
    <n v="0"/>
    <n v="1"/>
    <n v="1"/>
  </r>
  <r>
    <n v="7671"/>
    <n v="55011"/>
    <x v="1259"/>
    <x v="23"/>
    <s v="Critical"/>
    <n v="48"/>
    <n v="452.28"/>
    <n v="0.09"/>
    <s v="Regular Air"/>
    <n v="-21"/>
    <n v="9.85"/>
    <n v="4.82"/>
    <x v="766"/>
    <x v="12"/>
    <x v="4"/>
    <x v="0"/>
    <x v="0"/>
    <x v="12"/>
    <x v="1106"/>
    <s v="Wrap Bag"/>
    <n v="0.47"/>
    <d v="2012-01-05T00:00:00"/>
    <n v="0"/>
    <n v="0"/>
    <n v="0.5"/>
    <n v="0.5"/>
  </r>
  <r>
    <n v="7672"/>
    <n v="55011"/>
    <x v="1259"/>
    <x v="23"/>
    <s v="Critical"/>
    <n v="18"/>
    <n v="55.82"/>
    <n v="0.01"/>
    <s v="Regular Air"/>
    <n v="14.19"/>
    <n v="2.94"/>
    <n v="0.81"/>
    <x v="766"/>
    <x v="12"/>
    <x v="4"/>
    <x v="0"/>
    <x v="0"/>
    <x v="12"/>
    <x v="857"/>
    <s v="Wrap Bag"/>
    <n v="0.4"/>
    <d v="2012-01-05T00:00:00"/>
    <n v="0"/>
    <n v="0"/>
    <n v="0.5"/>
    <n v="0.5"/>
  </r>
  <r>
    <n v="7754"/>
    <n v="55490"/>
    <x v="571"/>
    <x v="11"/>
    <s v="Medium"/>
    <n v="3"/>
    <n v="246.2"/>
    <n v="0.04"/>
    <s v="Delivery Truck"/>
    <n v="-184.16"/>
    <n v="70.89"/>
    <n v="89.3"/>
    <x v="761"/>
    <x v="12"/>
    <x v="4"/>
    <x v="2"/>
    <x v="2"/>
    <x v="10"/>
    <x v="818"/>
    <s v="Jumbo Box"/>
    <n v="0.72"/>
    <d v="2009-11-17T00:00:00"/>
    <n v="0"/>
    <n v="0"/>
    <n v="1"/>
    <n v="1"/>
  </r>
  <r>
    <n v="7842"/>
    <n v="56069"/>
    <x v="743"/>
    <x v="1"/>
    <s v="Low"/>
    <n v="10"/>
    <n v="55.66"/>
    <n v="0.09"/>
    <s v="Regular Air"/>
    <n v="8.82"/>
    <n v="5.68"/>
    <n v="1.39"/>
    <x v="761"/>
    <x v="12"/>
    <x v="4"/>
    <x v="2"/>
    <x v="0"/>
    <x v="8"/>
    <x v="474"/>
    <s v="Small Box"/>
    <n v="0.38"/>
    <d v="2012-10-19T00:00:00"/>
    <n v="0"/>
    <n v="0"/>
    <n v="1"/>
    <n v="1"/>
  </r>
  <r>
    <n v="7856"/>
    <n v="56163"/>
    <x v="589"/>
    <x v="26"/>
    <s v="Not Specified"/>
    <n v="3"/>
    <n v="119.9"/>
    <n v="0.03"/>
    <s v="Regular Air"/>
    <n v="-14.47"/>
    <n v="37.94"/>
    <n v="5.08"/>
    <x v="767"/>
    <x v="12"/>
    <x v="4"/>
    <x v="3"/>
    <x v="0"/>
    <x v="5"/>
    <x v="532"/>
    <s v="Wrap Bag"/>
    <n v="0.38"/>
    <d v="2009-08-13T00:00:00"/>
    <n v="0"/>
    <n v="0"/>
    <n v="1"/>
    <n v="1"/>
  </r>
  <r>
    <n v="7963"/>
    <n v="56929"/>
    <x v="393"/>
    <x v="31"/>
    <s v="High"/>
    <n v="22"/>
    <n v="205.88"/>
    <n v="0.08"/>
    <s v="Regular Air"/>
    <n v="20.68"/>
    <n v="9.7799999999999994"/>
    <n v="1.99"/>
    <x v="767"/>
    <x v="12"/>
    <x v="4"/>
    <x v="3"/>
    <x v="1"/>
    <x v="7"/>
    <x v="136"/>
    <s v="Small Pack"/>
    <n v="0.43"/>
    <d v="2011-09-28T00:00:00"/>
    <n v="0"/>
    <n v="0"/>
    <n v="1"/>
    <n v="1"/>
  </r>
  <r>
    <n v="8029"/>
    <n v="57378"/>
    <x v="861"/>
    <x v="47"/>
    <s v="Not Specified"/>
    <n v="9"/>
    <n v="266.27"/>
    <n v="0.02"/>
    <s v="Regular Air"/>
    <n v="-5.7"/>
    <n v="29.89"/>
    <n v="1.99"/>
    <x v="760"/>
    <x v="12"/>
    <x v="4"/>
    <x v="0"/>
    <x v="1"/>
    <x v="7"/>
    <x v="412"/>
    <s v="Small Pack"/>
    <n v="0.5"/>
    <d v="2009-12-29T00:00:00"/>
    <n v="0"/>
    <n v="0"/>
    <n v="0.5"/>
    <n v="0.5"/>
  </r>
  <r>
    <n v="8030"/>
    <n v="57378"/>
    <x v="861"/>
    <x v="47"/>
    <s v="Not Specified"/>
    <n v="10"/>
    <n v="38.44"/>
    <n v="0.01"/>
    <s v="Express Air"/>
    <n v="-26.19"/>
    <n v="3.28"/>
    <n v="3.97"/>
    <x v="760"/>
    <x v="12"/>
    <x v="4"/>
    <x v="0"/>
    <x v="0"/>
    <x v="12"/>
    <x v="431"/>
    <s v="Wrap Bag"/>
    <n v="0.56000000000000005"/>
    <d v="2009-12-28T00:00:00"/>
    <n v="0"/>
    <n v="0"/>
    <n v="0.5"/>
    <n v="0.5"/>
  </r>
  <r>
    <n v="8241"/>
    <n v="58914"/>
    <x v="945"/>
    <x v="46"/>
    <s v="Low"/>
    <n v="46"/>
    <n v="99.94"/>
    <n v="7.0000000000000007E-2"/>
    <s v="Regular Air"/>
    <n v="-55.84"/>
    <n v="2.12"/>
    <n v="1.99"/>
    <x v="765"/>
    <x v="12"/>
    <x v="4"/>
    <x v="3"/>
    <x v="1"/>
    <x v="7"/>
    <x v="926"/>
    <s v="Small Pack"/>
    <n v="0.55000000000000004"/>
    <d v="2009-04-11T00:00:00"/>
    <n v="0"/>
    <n v="0"/>
    <n v="0.5"/>
    <n v="0.25"/>
  </r>
  <r>
    <n v="8242"/>
    <n v="58914"/>
    <x v="945"/>
    <x v="46"/>
    <s v="Low"/>
    <n v="11"/>
    <n v="18.7"/>
    <n v="7.0000000000000007E-2"/>
    <s v="Regular Air"/>
    <n v="-3.36"/>
    <n v="1.76"/>
    <n v="0.7"/>
    <x v="765"/>
    <x v="12"/>
    <x v="4"/>
    <x v="3"/>
    <x v="0"/>
    <x v="12"/>
    <x v="91"/>
    <s v="Wrap Bag"/>
    <n v="0.56000000000000005"/>
    <d v="2009-04-16T00:00:00"/>
    <n v="0"/>
    <n v="0"/>
    <n v="0.5"/>
    <n v="0.25"/>
  </r>
  <r>
    <n v="8338"/>
    <n v="59586"/>
    <x v="967"/>
    <x v="33"/>
    <s v="Low"/>
    <n v="25"/>
    <n v="167.23"/>
    <n v="0.05"/>
    <s v="Regular Air"/>
    <n v="-43.17"/>
    <n v="6.68"/>
    <n v="5.41"/>
    <x v="74"/>
    <x v="12"/>
    <x v="4"/>
    <x v="1"/>
    <x v="0"/>
    <x v="5"/>
    <x v="1192"/>
    <s v="Small Box"/>
    <n v="0.37"/>
    <d v="2012-03-11T00:00:00"/>
    <n v="0"/>
    <n v="0"/>
    <n v="1"/>
    <n v="1"/>
  </r>
  <r>
    <n v="64"/>
    <n v="359"/>
    <x v="684"/>
    <x v="47"/>
    <s v="Medium"/>
    <n v="30"/>
    <n v="3659.66"/>
    <n v="0.08"/>
    <s v="Delivery Truck"/>
    <n v="-500.38"/>
    <n v="124.49"/>
    <n v="51.94"/>
    <x v="219"/>
    <x v="12"/>
    <x v="4"/>
    <x v="2"/>
    <x v="2"/>
    <x v="10"/>
    <x v="307"/>
    <s v="Jumbo Box"/>
    <n v="0.63"/>
    <d v="2009-12-19T00:00:00"/>
    <n v="0"/>
    <n v="0"/>
    <n v="1"/>
    <n v="1"/>
  </r>
  <r>
    <n v="129"/>
    <n v="832"/>
    <x v="551"/>
    <x v="13"/>
    <s v="Low"/>
    <n v="7"/>
    <n v="53.46"/>
    <n v="0.02"/>
    <s v="Regular Air"/>
    <n v="-17.579999999999998"/>
    <n v="6.48"/>
    <n v="5.9"/>
    <x v="773"/>
    <x v="12"/>
    <x v="4"/>
    <x v="2"/>
    <x v="0"/>
    <x v="5"/>
    <x v="543"/>
    <s v="Small Box"/>
    <n v="0.37"/>
    <d v="2012-04-22T00:00:00"/>
    <n v="0"/>
    <n v="0"/>
    <n v="1"/>
    <n v="1"/>
  </r>
  <r>
    <n v="210"/>
    <n v="1383"/>
    <x v="1244"/>
    <x v="24"/>
    <s v="High"/>
    <n v="43"/>
    <n v="17129.97"/>
    <n v="7.0000000000000007E-2"/>
    <s v="Regular Air"/>
    <n v="5616.08"/>
    <n v="415.88"/>
    <n v="11.37"/>
    <x v="774"/>
    <x v="12"/>
    <x v="4"/>
    <x v="1"/>
    <x v="0"/>
    <x v="0"/>
    <x v="236"/>
    <s v="Small Box"/>
    <n v="0.56999999999999995"/>
    <d v="2010-04-27T00:00:00"/>
    <n v="0"/>
    <n v="0"/>
    <n v="1"/>
    <n v="1"/>
  </r>
  <r>
    <n v="349"/>
    <n v="2433"/>
    <x v="1177"/>
    <x v="26"/>
    <s v="Not Specified"/>
    <n v="14"/>
    <n v="24105.87"/>
    <n v="7.0000000000000007E-2"/>
    <s v="Delivery Truck"/>
    <n v="4073.25"/>
    <n v="2036.48"/>
    <n v="14.7"/>
    <x v="219"/>
    <x v="12"/>
    <x v="4"/>
    <x v="2"/>
    <x v="1"/>
    <x v="16"/>
    <x v="1235"/>
    <s v="Jumbo Drum"/>
    <n v="0.55000000000000004"/>
    <d v="2009-08-21T00:00:00"/>
    <n v="0"/>
    <n v="0"/>
    <n v="1"/>
    <n v="1"/>
  </r>
  <r>
    <n v="388"/>
    <n v="2659"/>
    <x v="1144"/>
    <x v="15"/>
    <s v="Not Specified"/>
    <n v="50"/>
    <n v="881.65"/>
    <n v="0.08"/>
    <s v="Regular Air"/>
    <n v="41.27"/>
    <n v="18.97"/>
    <n v="9.0299999999999994"/>
    <x v="773"/>
    <x v="12"/>
    <x v="4"/>
    <x v="2"/>
    <x v="0"/>
    <x v="5"/>
    <x v="40"/>
    <s v="Small Box"/>
    <n v="0.37"/>
    <d v="2010-12-19T00:00:00"/>
    <n v="0"/>
    <n v="0"/>
    <n v="1"/>
    <n v="1"/>
  </r>
  <r>
    <n v="466"/>
    <n v="3172"/>
    <x v="734"/>
    <x v="8"/>
    <s v="Not Specified"/>
    <n v="33"/>
    <n v="584.51099999999997"/>
    <n v="0.05"/>
    <s v="Regular Air"/>
    <n v="-95.974999999999994"/>
    <n v="20.99"/>
    <n v="3.3"/>
    <x v="207"/>
    <x v="12"/>
    <x v="4"/>
    <x v="1"/>
    <x v="1"/>
    <x v="3"/>
    <x v="180"/>
    <s v="Small Pack"/>
    <n v="0.81"/>
    <d v="2012-06-04T00:00:00"/>
    <n v="0"/>
    <n v="0"/>
    <n v="1"/>
    <n v="1"/>
  </r>
  <r>
    <n v="614"/>
    <n v="4199"/>
    <x v="674"/>
    <x v="12"/>
    <s v="Critical"/>
    <n v="43"/>
    <n v="639.71"/>
    <n v="0.01"/>
    <s v="Express Air"/>
    <n v="102.53"/>
    <n v="14.2"/>
    <n v="5.3"/>
    <x v="775"/>
    <x v="12"/>
    <x v="4"/>
    <x v="2"/>
    <x v="2"/>
    <x v="4"/>
    <x v="457"/>
    <s v="Wrap Bag"/>
    <n v="0.46"/>
    <d v="2012-02-13T00:00:00"/>
    <n v="0"/>
    <n v="0"/>
    <n v="1"/>
    <n v="1"/>
  </r>
  <r>
    <n v="744"/>
    <n v="5347"/>
    <x v="1050"/>
    <x v="44"/>
    <s v="Medium"/>
    <n v="7"/>
    <n v="525.55499999999995"/>
    <n v="0.04"/>
    <s v="Regular Air"/>
    <n v="-60.664999999999999"/>
    <n v="85.99"/>
    <n v="1.25"/>
    <x v="108"/>
    <x v="12"/>
    <x v="4"/>
    <x v="2"/>
    <x v="1"/>
    <x v="3"/>
    <x v="313"/>
    <s v="Small Pack"/>
    <n v="0.39"/>
    <d v="2011-02-23T00:00:00"/>
    <n v="0"/>
    <n v="0"/>
    <n v="0.33333333333333331"/>
    <n v="0.33333333333333331"/>
  </r>
  <r>
    <n v="745"/>
    <n v="5347"/>
    <x v="1050"/>
    <x v="44"/>
    <s v="Medium"/>
    <n v="39"/>
    <n v="276.029"/>
    <n v="0.05"/>
    <s v="Regular Air"/>
    <n v="-108.185"/>
    <n v="7.99"/>
    <n v="5.03"/>
    <x v="108"/>
    <x v="12"/>
    <x v="4"/>
    <x v="2"/>
    <x v="1"/>
    <x v="3"/>
    <x v="51"/>
    <s v="Medium Box"/>
    <n v="0.6"/>
    <d v="2011-02-24T00:00:00"/>
    <n v="0"/>
    <n v="0"/>
    <n v="0.33333333333333331"/>
    <n v="0.33333333333333331"/>
  </r>
  <r>
    <n v="746"/>
    <n v="5347"/>
    <x v="1050"/>
    <x v="44"/>
    <s v="Medium"/>
    <n v="1"/>
    <n v="187.20400000000001"/>
    <n v="0.01"/>
    <s v="Regular Air"/>
    <n v="-796.76300000000003"/>
    <n v="205.99"/>
    <n v="5.26"/>
    <x v="108"/>
    <x v="12"/>
    <x v="4"/>
    <x v="2"/>
    <x v="1"/>
    <x v="3"/>
    <x v="211"/>
    <s v="Small Box"/>
    <n v="0.56000000000000005"/>
    <d v="2011-02-22T00:00:00"/>
    <n v="0"/>
    <n v="0"/>
    <n v="0.33333333333333331"/>
    <n v="0.33333333333333331"/>
  </r>
  <r>
    <n v="803"/>
    <n v="5764"/>
    <x v="1313"/>
    <x v="0"/>
    <s v="Not Specified"/>
    <n v="23"/>
    <n v="193.79"/>
    <n v="0.02"/>
    <s v="Regular Air"/>
    <n v="-117.16199999999999"/>
    <n v="8.0399999999999991"/>
    <n v="8.94"/>
    <x v="118"/>
    <x v="12"/>
    <x v="4"/>
    <x v="0"/>
    <x v="0"/>
    <x v="2"/>
    <x v="401"/>
    <s v="Small Box"/>
    <n v="0.4"/>
    <d v="2010-10-03T00:00:00"/>
    <n v="0"/>
    <n v="0"/>
    <n v="1"/>
    <n v="1"/>
  </r>
  <r>
    <n v="813"/>
    <n v="5860"/>
    <x v="852"/>
    <x v="12"/>
    <s v="Not Specified"/>
    <n v="12"/>
    <n v="56.73"/>
    <n v="0.09"/>
    <s v="Regular Air"/>
    <n v="8.33"/>
    <n v="4.84"/>
    <n v="0.71"/>
    <x v="207"/>
    <x v="12"/>
    <x v="4"/>
    <x v="1"/>
    <x v="0"/>
    <x v="12"/>
    <x v="486"/>
    <s v="Wrap Bag"/>
    <n v="0.52"/>
    <d v="2012-02-21T00:00:00"/>
    <n v="0"/>
    <n v="0"/>
    <n v="1"/>
    <n v="1"/>
  </r>
  <r>
    <n v="854"/>
    <n v="6117"/>
    <x v="237"/>
    <x v="45"/>
    <s v="Critical"/>
    <n v="7"/>
    <n v="157.03"/>
    <n v="7.0000000000000007E-2"/>
    <s v="Regular Air"/>
    <n v="13.21"/>
    <n v="22.23"/>
    <n v="5.08"/>
    <x v="207"/>
    <x v="12"/>
    <x v="4"/>
    <x v="3"/>
    <x v="2"/>
    <x v="4"/>
    <x v="511"/>
    <s v="Small Pack"/>
    <n v="0.41"/>
    <d v="2012-12-22T00:00:00"/>
    <n v="0"/>
    <n v="0"/>
    <n v="1"/>
    <n v="1"/>
  </r>
  <r>
    <n v="974"/>
    <n v="7077"/>
    <x v="905"/>
    <x v="25"/>
    <s v="High"/>
    <n v="14"/>
    <n v="304.52"/>
    <n v="0.04"/>
    <s v="Regular Air"/>
    <n v="25.34"/>
    <n v="21.78"/>
    <n v="5.94"/>
    <x v="693"/>
    <x v="12"/>
    <x v="4"/>
    <x v="1"/>
    <x v="0"/>
    <x v="1"/>
    <x v="4"/>
    <s v="Medium Box"/>
    <n v="0.5"/>
    <d v="2011-12-23T00:00:00"/>
    <n v="0"/>
    <n v="0"/>
    <n v="1"/>
    <n v="1"/>
  </r>
  <r>
    <n v="991"/>
    <n v="7142"/>
    <x v="231"/>
    <x v="2"/>
    <s v="Critical"/>
    <n v="36"/>
    <n v="132.86000000000001"/>
    <n v="0.06"/>
    <s v="Regular Air"/>
    <n v="57"/>
    <n v="3.69"/>
    <n v="0.5"/>
    <x v="219"/>
    <x v="12"/>
    <x v="4"/>
    <x v="2"/>
    <x v="0"/>
    <x v="11"/>
    <x v="1045"/>
    <s v="Small Box"/>
    <n v="0.38"/>
    <d v="2011-07-23T00:00:00"/>
    <n v="0"/>
    <n v="0"/>
    <n v="1"/>
    <n v="1"/>
  </r>
  <r>
    <n v="1011"/>
    <n v="7398"/>
    <x v="682"/>
    <x v="41"/>
    <s v="Not Specified"/>
    <n v="6"/>
    <n v="55.77"/>
    <n v="0.04"/>
    <s v="Regular Air"/>
    <n v="-4.37"/>
    <n v="9.11"/>
    <n v="2.25"/>
    <x v="210"/>
    <x v="12"/>
    <x v="4"/>
    <x v="2"/>
    <x v="0"/>
    <x v="12"/>
    <x v="553"/>
    <s v="Wrap Bag"/>
    <n v="0.52"/>
    <d v="2009-06-04T00:00:00"/>
    <n v="0"/>
    <n v="0"/>
    <n v="0.5"/>
    <n v="0.33333333333333331"/>
  </r>
  <r>
    <n v="1012"/>
    <n v="7398"/>
    <x v="682"/>
    <x v="41"/>
    <s v="Not Specified"/>
    <n v="34"/>
    <n v="2181.44"/>
    <n v="7.0000000000000007E-2"/>
    <s v="Regular Air"/>
    <n v="-896.34"/>
    <n v="64.650000000000006"/>
    <n v="35"/>
    <x v="210"/>
    <x v="12"/>
    <x v="4"/>
    <x v="2"/>
    <x v="0"/>
    <x v="0"/>
    <x v="809"/>
    <s v="Large Box"/>
    <n v="0.8"/>
    <d v="2009-06-03T00:00:00"/>
    <n v="0"/>
    <n v="0"/>
    <n v="0.5"/>
    <n v="0.33333333333333331"/>
  </r>
  <r>
    <n v="1018"/>
    <n v="7431"/>
    <x v="185"/>
    <x v="43"/>
    <s v="Medium"/>
    <n v="33"/>
    <n v="78.81"/>
    <n v="0.03"/>
    <s v="Regular Air"/>
    <n v="-93.25"/>
    <n v="2.23"/>
    <n v="4.57"/>
    <x v="693"/>
    <x v="12"/>
    <x v="4"/>
    <x v="1"/>
    <x v="2"/>
    <x v="4"/>
    <x v="402"/>
    <s v="Small Pack"/>
    <n v="0.41"/>
    <d v="2009-05-02T00:00:00"/>
    <n v="0"/>
    <n v="0"/>
    <n v="1"/>
    <n v="0.5"/>
  </r>
  <r>
    <n v="1088"/>
    <n v="8005"/>
    <x v="512"/>
    <x v="13"/>
    <s v="Critical"/>
    <n v="24"/>
    <n v="790.63"/>
    <n v="0.1"/>
    <s v="Regular Air"/>
    <n v="52.317500000000003"/>
    <n v="34.54"/>
    <n v="14.72"/>
    <x v="210"/>
    <x v="12"/>
    <x v="4"/>
    <x v="0"/>
    <x v="0"/>
    <x v="2"/>
    <x v="122"/>
    <s v="Small Box"/>
    <n v="0.37"/>
    <d v="2012-04-07T00:00:00"/>
    <n v="0"/>
    <n v="0"/>
    <n v="1"/>
    <n v="1"/>
  </r>
  <r>
    <n v="1115"/>
    <n v="8165"/>
    <x v="225"/>
    <x v="19"/>
    <s v="Low"/>
    <n v="35"/>
    <n v="183.45"/>
    <n v="0.01"/>
    <s v="Regular Air"/>
    <n v="-149.66"/>
    <n v="4.9800000000000004"/>
    <n v="7.44"/>
    <x v="219"/>
    <x v="12"/>
    <x v="4"/>
    <x v="2"/>
    <x v="0"/>
    <x v="5"/>
    <x v="877"/>
    <s v="Small Box"/>
    <n v="0.36"/>
    <d v="2009-10-24T00:00:00"/>
    <n v="0"/>
    <n v="0"/>
    <n v="1"/>
    <n v="1"/>
  </r>
  <r>
    <n v="1213"/>
    <n v="8902"/>
    <x v="654"/>
    <x v="4"/>
    <s v="High"/>
    <n v="27"/>
    <n v="180.46"/>
    <n v="0.05"/>
    <s v="Regular Air"/>
    <n v="-57.62"/>
    <n v="6.48"/>
    <n v="5.94"/>
    <x v="693"/>
    <x v="12"/>
    <x v="4"/>
    <x v="1"/>
    <x v="0"/>
    <x v="5"/>
    <x v="772"/>
    <s v="Small Box"/>
    <n v="0.37"/>
    <d v="2011-06-21T00:00:00"/>
    <n v="0"/>
    <n v="0"/>
    <n v="1"/>
    <n v="1"/>
  </r>
  <r>
    <n v="1262"/>
    <n v="9187"/>
    <x v="1177"/>
    <x v="26"/>
    <s v="High"/>
    <n v="40"/>
    <n v="174.64"/>
    <n v="0.04"/>
    <s v="Regular Air"/>
    <n v="-143.22999999999999"/>
    <n v="4.37"/>
    <n v="5.15"/>
    <x v="118"/>
    <x v="12"/>
    <x v="4"/>
    <x v="0"/>
    <x v="0"/>
    <x v="1"/>
    <x v="537"/>
    <s v="Small Box"/>
    <n v="0.59"/>
    <d v="2009-08-22T00:00:00"/>
    <n v="0"/>
    <n v="0"/>
    <n v="0.5"/>
    <n v="0.5"/>
  </r>
  <r>
    <n v="1263"/>
    <n v="9187"/>
    <x v="1177"/>
    <x v="26"/>
    <s v="High"/>
    <n v="8"/>
    <n v="994.22800000000007"/>
    <n v="0.09"/>
    <s v="Regular Air"/>
    <n v="-446.57800000000003"/>
    <n v="155.99"/>
    <n v="8.99"/>
    <x v="118"/>
    <x v="12"/>
    <x v="4"/>
    <x v="0"/>
    <x v="1"/>
    <x v="3"/>
    <x v="554"/>
    <s v="Small Box"/>
    <n v="0.57999999999999996"/>
    <d v="2009-08-23T00:00:00"/>
    <n v="0"/>
    <n v="0"/>
    <n v="0.5"/>
    <n v="0.5"/>
  </r>
  <r>
    <n v="1265"/>
    <n v="9219"/>
    <x v="769"/>
    <x v="35"/>
    <s v="Low"/>
    <n v="24"/>
    <n v="1239.81"/>
    <n v="0.04"/>
    <s v="Regular Air"/>
    <n v="-13.28"/>
    <n v="50.98"/>
    <n v="6.5"/>
    <x v="667"/>
    <x v="12"/>
    <x v="4"/>
    <x v="1"/>
    <x v="1"/>
    <x v="7"/>
    <x v="87"/>
    <s v="Small Box"/>
    <n v="0.73"/>
    <d v="2009-10-03T00:00:00"/>
    <n v="0"/>
    <n v="0"/>
    <n v="0.5"/>
    <n v="0.5"/>
  </r>
  <r>
    <n v="1266"/>
    <n v="9219"/>
    <x v="769"/>
    <x v="35"/>
    <s v="Low"/>
    <n v="41"/>
    <n v="273.32"/>
    <n v="0.02"/>
    <s v="Regular Air"/>
    <n v="-48.68"/>
    <n v="6.48"/>
    <n v="5.14"/>
    <x v="667"/>
    <x v="12"/>
    <x v="4"/>
    <x v="1"/>
    <x v="0"/>
    <x v="5"/>
    <x v="896"/>
    <s v="Small Box"/>
    <n v="0.37"/>
    <d v="2009-09-30T00:00:00"/>
    <n v="0"/>
    <n v="0"/>
    <n v="0.5"/>
    <n v="0.5"/>
  </r>
  <r>
    <n v="1306"/>
    <n v="9573"/>
    <x v="502"/>
    <x v="8"/>
    <s v="Medium"/>
    <n v="21"/>
    <n v="146.25"/>
    <n v="0.01"/>
    <s v="Express Air"/>
    <n v="60.12"/>
    <n v="6.35"/>
    <n v="1.02"/>
    <x v="104"/>
    <x v="12"/>
    <x v="4"/>
    <x v="3"/>
    <x v="0"/>
    <x v="5"/>
    <x v="62"/>
    <s v="Wrap Bag"/>
    <n v="0.39"/>
    <d v="2012-06-14T00:00:00"/>
    <n v="0"/>
    <n v="0"/>
    <n v="0.5"/>
    <n v="0.5"/>
  </r>
  <r>
    <n v="1336"/>
    <n v="9762"/>
    <x v="786"/>
    <x v="22"/>
    <s v="High"/>
    <n v="12"/>
    <n v="262.76"/>
    <n v="0.05"/>
    <s v="Regular Air"/>
    <n v="-146.05000000000001"/>
    <n v="20.98"/>
    <n v="21.2"/>
    <x v="776"/>
    <x v="12"/>
    <x v="4"/>
    <x v="3"/>
    <x v="2"/>
    <x v="4"/>
    <x v="1126"/>
    <s v="Medium Box"/>
    <n v="0.78"/>
    <d v="2009-01-04T00:00:00"/>
    <n v="0"/>
    <n v="1"/>
    <n v="1"/>
    <n v="0.25"/>
  </r>
  <r>
    <n v="1484"/>
    <n v="10663"/>
    <x v="989"/>
    <x v="43"/>
    <s v="High"/>
    <n v="40"/>
    <n v="104.39"/>
    <n v="7.0000000000000007E-2"/>
    <s v="Regular Air"/>
    <n v="38.450000000000003"/>
    <n v="2.61"/>
    <n v="0.5"/>
    <x v="104"/>
    <x v="12"/>
    <x v="4"/>
    <x v="3"/>
    <x v="0"/>
    <x v="11"/>
    <x v="281"/>
    <s v="Small Box"/>
    <n v="0.39"/>
    <d v="2009-05-23T00:00:00"/>
    <n v="0"/>
    <n v="0"/>
    <n v="1"/>
    <n v="1"/>
  </r>
  <r>
    <n v="1510"/>
    <n v="10917"/>
    <x v="403"/>
    <x v="12"/>
    <s v="Critical"/>
    <n v="14"/>
    <n v="1281.3579999999999"/>
    <n v="0.09"/>
    <s v="Express Air"/>
    <n v="-90.123000000000005"/>
    <n v="115.99"/>
    <n v="5.99"/>
    <x v="773"/>
    <x v="12"/>
    <x v="4"/>
    <x v="2"/>
    <x v="1"/>
    <x v="3"/>
    <x v="942"/>
    <s v="Small Box"/>
    <n v="0.56999999999999995"/>
    <d v="2012-02-12T00:00:00"/>
    <n v="0"/>
    <n v="0"/>
    <n v="1"/>
    <n v="1"/>
  </r>
  <r>
    <n v="1602"/>
    <n v="11648"/>
    <x v="488"/>
    <x v="37"/>
    <s v="Low"/>
    <n v="1"/>
    <n v="32.51"/>
    <n v="0.1"/>
    <s v="Regular Air"/>
    <n v="-90.94"/>
    <n v="35.409999999999997"/>
    <n v="1.99"/>
    <x v="777"/>
    <x v="12"/>
    <x v="4"/>
    <x v="2"/>
    <x v="1"/>
    <x v="7"/>
    <x v="753"/>
    <s v="Small Pack"/>
    <n v="0.43"/>
    <d v="2011-04-16T00:00:00"/>
    <n v="0"/>
    <n v="0"/>
    <n v="0.5"/>
    <n v="0.5"/>
  </r>
  <r>
    <n v="1603"/>
    <n v="11648"/>
    <x v="488"/>
    <x v="37"/>
    <s v="Low"/>
    <n v="33"/>
    <n v="570.51"/>
    <n v="0"/>
    <s v="Regular Air"/>
    <n v="-142.75"/>
    <n v="16.739999999999998"/>
    <n v="7.04"/>
    <x v="777"/>
    <x v="12"/>
    <x v="4"/>
    <x v="2"/>
    <x v="0"/>
    <x v="0"/>
    <x v="1043"/>
    <s v="Small Box"/>
    <n v="0.81"/>
    <d v="2011-04-09T00:00:00"/>
    <n v="0"/>
    <n v="0"/>
    <n v="0.5"/>
    <n v="0.5"/>
  </r>
  <r>
    <n v="1663"/>
    <n v="11972"/>
    <x v="786"/>
    <x v="22"/>
    <s v="Not Specified"/>
    <n v="4"/>
    <n v="896.49"/>
    <n v="0"/>
    <s v="Delivery Truck"/>
    <n v="-452.26949999999999"/>
    <n v="213.45"/>
    <n v="14.7"/>
    <x v="778"/>
    <x v="12"/>
    <x v="4"/>
    <x v="2"/>
    <x v="1"/>
    <x v="16"/>
    <x v="1144"/>
    <s v="Jumbo Drum"/>
    <n v="0.59"/>
    <d v="2009-01-05T00:00:00"/>
    <n v="0"/>
    <n v="1"/>
    <n v="1"/>
    <n v="0.5"/>
  </r>
  <r>
    <n v="1763"/>
    <n v="12641"/>
    <x v="1290"/>
    <x v="44"/>
    <s v="Low"/>
    <n v="2"/>
    <n v="107.12"/>
    <n v="0.08"/>
    <s v="Regular Air"/>
    <n v="-54.87"/>
    <n v="55.98"/>
    <n v="4.8600000000000003"/>
    <x v="207"/>
    <x v="12"/>
    <x v="4"/>
    <x v="3"/>
    <x v="0"/>
    <x v="5"/>
    <x v="938"/>
    <s v="Small Box"/>
    <n v="0.36"/>
    <d v="2011-02-28T00:00:00"/>
    <n v="0"/>
    <n v="0"/>
    <n v="0.33333333333333331"/>
    <n v="0.33333333333333331"/>
  </r>
  <r>
    <n v="1764"/>
    <n v="12641"/>
    <x v="1290"/>
    <x v="44"/>
    <s v="Low"/>
    <n v="25"/>
    <n v="676.24"/>
    <n v="0.05"/>
    <s v="Regular Air"/>
    <n v="219.78"/>
    <n v="26.38"/>
    <n v="5.86"/>
    <x v="207"/>
    <x v="12"/>
    <x v="4"/>
    <x v="3"/>
    <x v="0"/>
    <x v="5"/>
    <x v="387"/>
    <s v="Small Box"/>
    <n v="0.39"/>
    <d v="2011-02-26T00:00:00"/>
    <n v="0"/>
    <n v="0"/>
    <n v="0.33333333333333331"/>
    <n v="0.33333333333333331"/>
  </r>
  <r>
    <n v="1765"/>
    <n v="12641"/>
    <x v="1290"/>
    <x v="44"/>
    <s v="Low"/>
    <n v="24"/>
    <n v="3668.6"/>
    <n v="7.0000000000000007E-2"/>
    <s v="Regular Air"/>
    <n v="993.15"/>
    <n v="155.06"/>
    <n v="7.07"/>
    <x v="207"/>
    <x v="12"/>
    <x v="4"/>
    <x v="3"/>
    <x v="0"/>
    <x v="0"/>
    <x v="376"/>
    <s v="Small Box"/>
    <n v="0.59"/>
    <d v="2011-02-26T00:00:00"/>
    <n v="0"/>
    <n v="0"/>
    <n v="0.33333333333333331"/>
    <n v="0.33333333333333331"/>
  </r>
  <r>
    <n v="1960"/>
    <n v="14018"/>
    <x v="781"/>
    <x v="30"/>
    <s v="High"/>
    <n v="30"/>
    <n v="160.68"/>
    <n v="0.08"/>
    <s v="Express Air"/>
    <n v="77.75"/>
    <n v="4.9800000000000004"/>
    <n v="0.49"/>
    <x v="207"/>
    <x v="12"/>
    <x v="4"/>
    <x v="1"/>
    <x v="0"/>
    <x v="11"/>
    <x v="651"/>
    <s v="Small Box"/>
    <n v="0.39"/>
    <d v="2010-06-06T00:00:00"/>
    <n v="0"/>
    <n v="0"/>
    <n v="1"/>
    <n v="1"/>
  </r>
  <r>
    <n v="2086"/>
    <n v="14916"/>
    <x v="221"/>
    <x v="40"/>
    <s v="Low"/>
    <n v="16"/>
    <n v="1685.941"/>
    <n v="7.0000000000000007E-2"/>
    <s v="Express Air"/>
    <n v="21.024000000000001"/>
    <n v="125.99"/>
    <n v="8.8000000000000007"/>
    <x v="219"/>
    <x v="12"/>
    <x v="4"/>
    <x v="2"/>
    <x v="1"/>
    <x v="3"/>
    <x v="626"/>
    <s v="Small Box"/>
    <n v="0.59"/>
    <d v="2009-03-01T00:00:00"/>
    <n v="0"/>
    <n v="0"/>
    <n v="1"/>
    <n v="1"/>
  </r>
  <r>
    <n v="2142"/>
    <n v="15300"/>
    <x v="130"/>
    <x v="44"/>
    <s v="High"/>
    <n v="42"/>
    <n v="229.88"/>
    <n v="0.05"/>
    <s v="Express Air"/>
    <n v="-75.25"/>
    <n v="5.28"/>
    <n v="5.0599999999999996"/>
    <x v="219"/>
    <x v="12"/>
    <x v="4"/>
    <x v="3"/>
    <x v="0"/>
    <x v="5"/>
    <x v="1088"/>
    <s v="Small Box"/>
    <n v="0.37"/>
    <d v="2011-02-10T00:00:00"/>
    <n v="0"/>
    <n v="0"/>
    <n v="1"/>
    <n v="1"/>
  </r>
  <r>
    <n v="2154"/>
    <n v="15425"/>
    <x v="377"/>
    <x v="2"/>
    <s v="Low"/>
    <n v="29"/>
    <n v="2896.14"/>
    <n v="0.08"/>
    <s v="Express Air"/>
    <n v="366.63"/>
    <n v="99.99"/>
    <n v="19.989999999999998"/>
    <x v="776"/>
    <x v="12"/>
    <x v="4"/>
    <x v="3"/>
    <x v="1"/>
    <x v="7"/>
    <x v="190"/>
    <s v="Small Box"/>
    <n v="0.5"/>
    <d v="2011-07-29T00:00:00"/>
    <n v="0"/>
    <n v="0"/>
    <n v="1"/>
    <n v="1"/>
  </r>
  <r>
    <n v="2277"/>
    <n v="16390"/>
    <x v="561"/>
    <x v="33"/>
    <s v="Medium"/>
    <n v="8"/>
    <n v="86.38"/>
    <n v="0.1"/>
    <s v="Regular Air"/>
    <n v="-12.61"/>
    <n v="10.98"/>
    <n v="3.37"/>
    <x v="774"/>
    <x v="12"/>
    <x v="4"/>
    <x v="1"/>
    <x v="0"/>
    <x v="15"/>
    <x v="340"/>
    <s v="Small Pack"/>
    <n v="0.56999999999999995"/>
    <d v="2012-03-26T00:00:00"/>
    <n v="0"/>
    <n v="0"/>
    <n v="1"/>
    <n v="1"/>
  </r>
  <r>
    <n v="2333"/>
    <n v="16805"/>
    <x v="294"/>
    <x v="25"/>
    <s v="Low"/>
    <n v="29"/>
    <n v="852.75"/>
    <n v="0.08"/>
    <s v="Regular Air"/>
    <n v="358.73400000000004"/>
    <n v="30.44"/>
    <n v="1.49"/>
    <x v="773"/>
    <x v="12"/>
    <x v="4"/>
    <x v="2"/>
    <x v="0"/>
    <x v="2"/>
    <x v="604"/>
    <s v="Small Box"/>
    <n v="0.37"/>
    <d v="2012-01-01T00:00:00"/>
    <n v="0"/>
    <n v="0"/>
    <n v="0.5"/>
    <n v="0.5"/>
  </r>
  <r>
    <n v="2334"/>
    <n v="16805"/>
    <x v="294"/>
    <x v="25"/>
    <s v="Low"/>
    <n v="26"/>
    <n v="172.33"/>
    <n v="0.04"/>
    <s v="Regular Air"/>
    <n v="-52.21"/>
    <n v="6.48"/>
    <n v="5.74"/>
    <x v="773"/>
    <x v="12"/>
    <x v="4"/>
    <x v="2"/>
    <x v="0"/>
    <x v="5"/>
    <x v="552"/>
    <s v="Small Box"/>
    <n v="0.37"/>
    <d v="2012-01-01T00:00:00"/>
    <n v="0"/>
    <n v="0"/>
    <n v="0.5"/>
    <n v="0.5"/>
  </r>
  <r>
    <n v="2368"/>
    <n v="17155"/>
    <x v="1367"/>
    <x v="22"/>
    <s v="Medium"/>
    <n v="36"/>
    <n v="267.52999999999997"/>
    <n v="0"/>
    <s v="Express Air"/>
    <n v="85.17"/>
    <n v="6.88"/>
    <n v="2"/>
    <x v="219"/>
    <x v="12"/>
    <x v="4"/>
    <x v="3"/>
    <x v="0"/>
    <x v="5"/>
    <x v="810"/>
    <s v="Wrap Bag"/>
    <n v="0.39"/>
    <d v="2009-01-29T00:00:00"/>
    <n v="0"/>
    <n v="1"/>
    <n v="0.5"/>
    <n v="0.5"/>
  </r>
  <r>
    <n v="2369"/>
    <n v="17155"/>
    <x v="1367"/>
    <x v="22"/>
    <s v="Medium"/>
    <n v="31"/>
    <n v="1065.26"/>
    <n v="0.03"/>
    <s v="Express Air"/>
    <n v="-900.27"/>
    <n v="32.479999999999997"/>
    <n v="35"/>
    <x v="219"/>
    <x v="12"/>
    <x v="4"/>
    <x v="3"/>
    <x v="0"/>
    <x v="0"/>
    <x v="358"/>
    <s v="Large Box"/>
    <n v="0.81"/>
    <d v="2009-01-28T00:00:00"/>
    <n v="0"/>
    <n v="1"/>
    <n v="0.5"/>
    <n v="0.5"/>
  </r>
  <r>
    <n v="2554"/>
    <n v="18496"/>
    <x v="503"/>
    <x v="43"/>
    <s v="High"/>
    <n v="30"/>
    <n v="991.01"/>
    <n v="0.01"/>
    <s v="Regular Air"/>
    <n v="46.29"/>
    <n v="30.98"/>
    <n v="6.5"/>
    <x v="776"/>
    <x v="12"/>
    <x v="4"/>
    <x v="2"/>
    <x v="1"/>
    <x v="7"/>
    <x v="455"/>
    <s v="Small Box"/>
    <n v="0.64"/>
    <d v="2009-05-16T00:00:00"/>
    <n v="0"/>
    <n v="0"/>
    <n v="0.5"/>
    <n v="0.5"/>
  </r>
  <r>
    <n v="2555"/>
    <n v="18496"/>
    <x v="503"/>
    <x v="43"/>
    <s v="High"/>
    <n v="29"/>
    <n v="1267.42"/>
    <n v="0.01"/>
    <s v="Regular Air"/>
    <n v="177.79"/>
    <n v="40.99"/>
    <n v="19.989999999999998"/>
    <x v="776"/>
    <x v="12"/>
    <x v="4"/>
    <x v="2"/>
    <x v="0"/>
    <x v="5"/>
    <x v="30"/>
    <s v="Small Box"/>
    <n v="0.36"/>
    <d v="2009-05-18T00:00:00"/>
    <n v="0"/>
    <n v="0"/>
    <n v="0.5"/>
    <n v="0.5"/>
  </r>
  <r>
    <n v="2586"/>
    <n v="18688"/>
    <x v="1172"/>
    <x v="5"/>
    <s v="Not Specified"/>
    <n v="49"/>
    <n v="14346.73"/>
    <n v="0.04"/>
    <s v="Regular Air"/>
    <n v="5762.5239999999994"/>
    <n v="304.99"/>
    <n v="19.989999999999998"/>
    <x v="104"/>
    <x v="12"/>
    <x v="4"/>
    <x v="3"/>
    <x v="0"/>
    <x v="2"/>
    <x v="880"/>
    <s v="Small Box"/>
    <n v="0.4"/>
    <d v="2011-03-07T00:00:00"/>
    <n v="0"/>
    <n v="0"/>
    <n v="0.33333333333333331"/>
    <n v="0.33333333333333331"/>
  </r>
  <r>
    <n v="2587"/>
    <n v="18688"/>
    <x v="1172"/>
    <x v="5"/>
    <s v="Not Specified"/>
    <n v="15"/>
    <n v="40.340000000000003"/>
    <n v="0.09"/>
    <s v="Regular Air"/>
    <n v="10.59"/>
    <n v="2.89"/>
    <n v="0.5"/>
    <x v="104"/>
    <x v="12"/>
    <x v="4"/>
    <x v="3"/>
    <x v="0"/>
    <x v="11"/>
    <x v="349"/>
    <s v="Small Box"/>
    <n v="0.38"/>
    <d v="2011-03-07T00:00:00"/>
    <n v="0"/>
    <n v="0"/>
    <n v="0.33333333333333331"/>
    <n v="0.33333333333333331"/>
  </r>
  <r>
    <n v="2588"/>
    <n v="18688"/>
    <x v="1172"/>
    <x v="5"/>
    <s v="Not Specified"/>
    <n v="41"/>
    <n v="3951.6754999999998"/>
    <n v="0.1"/>
    <s v="Regular Air"/>
    <n v="812.24099999999999"/>
    <n v="125.99"/>
    <n v="4.2"/>
    <x v="104"/>
    <x v="12"/>
    <x v="4"/>
    <x v="3"/>
    <x v="1"/>
    <x v="3"/>
    <x v="1052"/>
    <s v="Small Box"/>
    <n v="0.56999999999999995"/>
    <d v="2011-03-06T00:00:00"/>
    <n v="0"/>
    <n v="0"/>
    <n v="0.33333333333333331"/>
    <n v="0.33333333333333331"/>
  </r>
  <r>
    <n v="2645"/>
    <n v="19140"/>
    <x v="1028"/>
    <x v="35"/>
    <s v="Medium"/>
    <n v="47"/>
    <n v="314"/>
    <n v="7.0000000000000007E-2"/>
    <s v="Regular Air"/>
    <n v="-66.044499999999999"/>
    <n v="6.54"/>
    <n v="5.27"/>
    <x v="778"/>
    <x v="12"/>
    <x v="4"/>
    <x v="2"/>
    <x v="0"/>
    <x v="2"/>
    <x v="578"/>
    <s v="Small Box"/>
    <n v="0.36"/>
    <d v="2009-10-01T00:00:00"/>
    <n v="0"/>
    <n v="0"/>
    <n v="0.5"/>
    <n v="0.5"/>
  </r>
  <r>
    <n v="2646"/>
    <n v="19140"/>
    <x v="1028"/>
    <x v="35"/>
    <s v="Medium"/>
    <n v="50"/>
    <n v="155.54"/>
    <n v="0.09"/>
    <s v="Regular Air"/>
    <n v="15.66"/>
    <n v="3.29"/>
    <n v="1.35"/>
    <x v="778"/>
    <x v="12"/>
    <x v="4"/>
    <x v="2"/>
    <x v="0"/>
    <x v="6"/>
    <x v="339"/>
    <s v="Wrap Bag"/>
    <n v="0.4"/>
    <d v="2009-10-01T00:00:00"/>
    <n v="0"/>
    <n v="0"/>
    <n v="0.5"/>
    <n v="0.5"/>
  </r>
  <r>
    <n v="2652"/>
    <n v="19175"/>
    <x v="1352"/>
    <x v="26"/>
    <s v="Low"/>
    <n v="19"/>
    <n v="1133.4494999999999"/>
    <n v="0.01"/>
    <s v="Regular Air"/>
    <n v="169.16400000000002"/>
    <n v="65.989999999999995"/>
    <n v="5.31"/>
    <x v="774"/>
    <x v="12"/>
    <x v="4"/>
    <x v="1"/>
    <x v="1"/>
    <x v="3"/>
    <x v="305"/>
    <s v="Small Box"/>
    <n v="0.56999999999999995"/>
    <d v="2009-08-26T00:00:00"/>
    <n v="0"/>
    <n v="0"/>
    <n v="1"/>
    <n v="0.5"/>
  </r>
  <r>
    <n v="2688"/>
    <n v="19457"/>
    <x v="603"/>
    <x v="36"/>
    <s v="High"/>
    <n v="34"/>
    <n v="203.49"/>
    <n v="0.05"/>
    <s v="Regular Air"/>
    <n v="90.35"/>
    <n v="6.3"/>
    <n v="0.5"/>
    <x v="773"/>
    <x v="12"/>
    <x v="4"/>
    <x v="2"/>
    <x v="0"/>
    <x v="11"/>
    <x v="336"/>
    <s v="Small Box"/>
    <n v="0.39"/>
    <d v="2009-07-13T00:00:00"/>
    <n v="0"/>
    <n v="0"/>
    <n v="0.5"/>
    <n v="0.5"/>
  </r>
  <r>
    <n v="2689"/>
    <n v="19457"/>
    <x v="603"/>
    <x v="36"/>
    <s v="High"/>
    <n v="33"/>
    <n v="5638.7979999999998"/>
    <n v="0.09"/>
    <s v="Express Air"/>
    <n v="1406.0519999999999"/>
    <n v="205.99"/>
    <n v="3"/>
    <x v="773"/>
    <x v="12"/>
    <x v="4"/>
    <x v="2"/>
    <x v="1"/>
    <x v="3"/>
    <x v="595"/>
    <s v="Small Box"/>
    <n v="0.57999999999999996"/>
    <d v="2009-07-14T00:00:00"/>
    <n v="0"/>
    <n v="0"/>
    <n v="0.5"/>
    <n v="0.5"/>
  </r>
  <r>
    <n v="2734"/>
    <n v="19745"/>
    <x v="817"/>
    <x v="45"/>
    <s v="High"/>
    <n v="25"/>
    <n v="1071.77"/>
    <n v="0.09"/>
    <s v="Regular Air"/>
    <n v="262.07"/>
    <n v="45.98"/>
    <n v="4.8"/>
    <x v="217"/>
    <x v="12"/>
    <x v="4"/>
    <x v="0"/>
    <x v="2"/>
    <x v="4"/>
    <x v="506"/>
    <s v="Wrap Bag"/>
    <n v="0.68"/>
    <d v="2012-12-19T00:00:00"/>
    <n v="0"/>
    <n v="0"/>
    <n v="0.25"/>
    <n v="0.25"/>
  </r>
  <r>
    <n v="2735"/>
    <n v="19745"/>
    <x v="817"/>
    <x v="45"/>
    <s v="High"/>
    <n v="29"/>
    <n v="8635.61"/>
    <n v="0.03"/>
    <s v="Regular Air"/>
    <n v="2733.04"/>
    <n v="300.97000000000003"/>
    <n v="7.18"/>
    <x v="217"/>
    <x v="12"/>
    <x v="4"/>
    <x v="0"/>
    <x v="1"/>
    <x v="7"/>
    <x v="1130"/>
    <s v="Small Box"/>
    <n v="0.48"/>
    <d v="2012-12-19T00:00:00"/>
    <n v="0"/>
    <n v="0"/>
    <n v="0.25"/>
    <n v="0.25"/>
  </r>
  <r>
    <n v="2736"/>
    <n v="19745"/>
    <x v="817"/>
    <x v="45"/>
    <s v="High"/>
    <n v="2"/>
    <n v="63.96"/>
    <n v="0"/>
    <s v="Regular Air"/>
    <n v="-119.36"/>
    <n v="29.89"/>
    <n v="1.99"/>
    <x v="217"/>
    <x v="12"/>
    <x v="4"/>
    <x v="0"/>
    <x v="1"/>
    <x v="7"/>
    <x v="412"/>
    <s v="Small Pack"/>
    <n v="0.5"/>
    <d v="2012-12-20T00:00:00"/>
    <n v="0"/>
    <n v="0"/>
    <n v="0.25"/>
    <n v="0.25"/>
  </r>
  <r>
    <n v="2737"/>
    <n v="19745"/>
    <x v="817"/>
    <x v="45"/>
    <s v="High"/>
    <n v="50"/>
    <n v="833"/>
    <n v="0"/>
    <s v="Regular Air"/>
    <n v="436.53"/>
    <n v="15.57"/>
    <n v="1.39"/>
    <x v="217"/>
    <x v="12"/>
    <x v="4"/>
    <x v="0"/>
    <x v="0"/>
    <x v="8"/>
    <x v="889"/>
    <s v="Small Box"/>
    <n v="0.38"/>
    <d v="2012-12-19T00:00:00"/>
    <n v="0"/>
    <n v="0"/>
    <n v="0.25"/>
    <n v="0.25"/>
  </r>
  <r>
    <n v="2878"/>
    <n v="20741"/>
    <x v="1120"/>
    <x v="0"/>
    <s v="Low"/>
    <n v="43"/>
    <n v="1711.02"/>
    <n v="0.1"/>
    <s v="Regular Air"/>
    <n v="139.63"/>
    <n v="43.98"/>
    <n v="8.99"/>
    <x v="774"/>
    <x v="12"/>
    <x v="4"/>
    <x v="2"/>
    <x v="0"/>
    <x v="12"/>
    <x v="672"/>
    <s v="Small Pack"/>
    <n v="0.57999999999999996"/>
    <d v="2010-11-06T00:00:00"/>
    <n v="0"/>
    <n v="0"/>
    <n v="1"/>
    <n v="1"/>
  </r>
  <r>
    <n v="3321"/>
    <n v="23746"/>
    <x v="1395"/>
    <x v="15"/>
    <s v="High"/>
    <n v="10"/>
    <n v="408.23"/>
    <n v="0.06"/>
    <s v="Regular Air"/>
    <n v="52.38"/>
    <n v="40.97"/>
    <n v="1.99"/>
    <x v="104"/>
    <x v="12"/>
    <x v="4"/>
    <x v="3"/>
    <x v="1"/>
    <x v="7"/>
    <x v="1066"/>
    <s v="Small Pack"/>
    <n v="0.42"/>
    <d v="2010-12-16T00:00:00"/>
    <n v="0"/>
    <n v="0"/>
    <n v="1"/>
    <n v="1"/>
  </r>
  <r>
    <n v="3469"/>
    <n v="24705"/>
    <x v="339"/>
    <x v="31"/>
    <s v="Critical"/>
    <n v="34"/>
    <n v="260.51"/>
    <n v="0.03"/>
    <s v="Regular Air"/>
    <n v="-127.5235"/>
    <n v="7.3"/>
    <n v="7.72"/>
    <x v="207"/>
    <x v="12"/>
    <x v="4"/>
    <x v="1"/>
    <x v="0"/>
    <x v="2"/>
    <x v="6"/>
    <s v="Small Box"/>
    <n v="0.38"/>
    <d v="2011-09-17T00:00:00"/>
    <n v="0"/>
    <n v="0"/>
    <n v="0.5"/>
    <n v="0.5"/>
  </r>
  <r>
    <n v="3470"/>
    <n v="24705"/>
    <x v="339"/>
    <x v="31"/>
    <s v="Critical"/>
    <n v="15"/>
    <n v="466.28"/>
    <n v="0"/>
    <s v="Regular Air"/>
    <n v="92.7"/>
    <n v="29.89"/>
    <n v="1.99"/>
    <x v="207"/>
    <x v="12"/>
    <x v="4"/>
    <x v="1"/>
    <x v="1"/>
    <x v="7"/>
    <x v="412"/>
    <s v="Small Pack"/>
    <n v="0.5"/>
    <d v="2011-09-17T00:00:00"/>
    <n v="0"/>
    <n v="0"/>
    <n v="0.5"/>
    <n v="0.5"/>
  </r>
  <r>
    <n v="3512"/>
    <n v="25028"/>
    <x v="1410"/>
    <x v="16"/>
    <s v="Critical"/>
    <n v="5"/>
    <n v="477.39"/>
    <n v="0.02"/>
    <s v="Delivery Truck"/>
    <n v="-211.36"/>
    <n v="81.94"/>
    <n v="55.81"/>
    <x v="779"/>
    <x v="12"/>
    <x v="4"/>
    <x v="3"/>
    <x v="2"/>
    <x v="9"/>
    <x v="839"/>
    <s v="Jumbo Box"/>
    <n v="0.6"/>
    <d v="2011-01-06T00:00:00"/>
    <n v="0"/>
    <n v="0"/>
    <n v="0.5"/>
    <n v="0.5"/>
  </r>
  <r>
    <n v="3513"/>
    <n v="25028"/>
    <x v="1410"/>
    <x v="16"/>
    <s v="Critical"/>
    <n v="14"/>
    <n v="552.08000000000004"/>
    <n v="0"/>
    <s v="Express Air"/>
    <n v="203.24"/>
    <n v="37.94"/>
    <n v="5.08"/>
    <x v="779"/>
    <x v="12"/>
    <x v="4"/>
    <x v="3"/>
    <x v="0"/>
    <x v="5"/>
    <x v="532"/>
    <s v="Wrap Bag"/>
    <n v="0.38"/>
    <d v="2011-01-07T00:00:00"/>
    <n v="0"/>
    <n v="0"/>
    <n v="0.5"/>
    <n v="0.5"/>
  </r>
  <r>
    <n v="3522"/>
    <n v="25063"/>
    <x v="724"/>
    <x v="41"/>
    <s v="Not Specified"/>
    <n v="24"/>
    <n v="711.875"/>
    <n v="0.04"/>
    <s v="Regular Air"/>
    <n v="217.33199999999999"/>
    <n v="35.99"/>
    <n v="3.3"/>
    <x v="104"/>
    <x v="12"/>
    <x v="4"/>
    <x v="3"/>
    <x v="1"/>
    <x v="3"/>
    <x v="292"/>
    <s v="Small Pack"/>
    <n v="0.39"/>
    <d v="2009-06-29T00:00:00"/>
    <n v="0"/>
    <n v="0"/>
    <n v="1"/>
    <n v="1"/>
  </r>
  <r>
    <n v="3562"/>
    <n v="25412"/>
    <x v="1101"/>
    <x v="4"/>
    <s v="Not Specified"/>
    <n v="18"/>
    <n v="129.77000000000001"/>
    <n v="0.01"/>
    <s v="Regular Air"/>
    <n v="-99.42"/>
    <n v="6.48"/>
    <n v="9.68"/>
    <x v="780"/>
    <x v="12"/>
    <x v="4"/>
    <x v="2"/>
    <x v="0"/>
    <x v="5"/>
    <x v="597"/>
    <s v="Small Box"/>
    <n v="0.36"/>
    <d v="2011-06-08T00:00:00"/>
    <n v="0"/>
    <n v="0"/>
    <n v="1"/>
    <n v="1"/>
  </r>
  <r>
    <n v="3723"/>
    <n v="26627"/>
    <x v="1109"/>
    <x v="19"/>
    <s v="Medium"/>
    <n v="25"/>
    <n v="38.369999999999997"/>
    <n v="0.1"/>
    <s v="Regular Air"/>
    <n v="-13.88"/>
    <n v="1.6"/>
    <n v="1.29"/>
    <x v="776"/>
    <x v="12"/>
    <x v="4"/>
    <x v="3"/>
    <x v="0"/>
    <x v="12"/>
    <x v="1206"/>
    <s v="Wrap Bag"/>
    <n v="0.42"/>
    <d v="2009-10-30T00:00:00"/>
    <n v="0"/>
    <n v="0"/>
    <n v="1"/>
    <n v="1"/>
  </r>
  <r>
    <n v="3773"/>
    <n v="26947"/>
    <x v="45"/>
    <x v="30"/>
    <s v="High"/>
    <n v="4"/>
    <n v="467.15"/>
    <n v="0.01"/>
    <s v="Delivery Truck"/>
    <n v="-212.34"/>
    <n v="100.8"/>
    <n v="60"/>
    <x v="775"/>
    <x v="12"/>
    <x v="4"/>
    <x v="2"/>
    <x v="2"/>
    <x v="10"/>
    <x v="351"/>
    <s v="Jumbo Drum"/>
    <n v="0.59"/>
    <d v="2010-06-07T00:00:00"/>
    <n v="0"/>
    <n v="0"/>
    <n v="1"/>
    <n v="1"/>
  </r>
  <r>
    <n v="3810"/>
    <n v="27138"/>
    <x v="629"/>
    <x v="20"/>
    <s v="High"/>
    <n v="31"/>
    <n v="2976.21"/>
    <n v="7.0000000000000007E-2"/>
    <s v="Delivery Truck"/>
    <n v="-277.63"/>
    <n v="100.98"/>
    <n v="35.840000000000003"/>
    <x v="219"/>
    <x v="12"/>
    <x v="4"/>
    <x v="3"/>
    <x v="2"/>
    <x v="9"/>
    <x v="550"/>
    <s v="Jumbo Box"/>
    <n v="0.62"/>
    <d v="2012-06-01T00:00:00"/>
    <n v="0"/>
    <n v="0"/>
    <n v="0.5"/>
    <n v="0.5"/>
  </r>
  <r>
    <n v="3811"/>
    <n v="27138"/>
    <x v="629"/>
    <x v="20"/>
    <s v="High"/>
    <n v="37"/>
    <n v="1894.1654999999998"/>
    <n v="0.1"/>
    <s v="Regular Air"/>
    <n v="134.72999999999999"/>
    <n v="65.989999999999995"/>
    <n v="8.99"/>
    <x v="219"/>
    <x v="12"/>
    <x v="4"/>
    <x v="3"/>
    <x v="1"/>
    <x v="3"/>
    <x v="451"/>
    <s v="Small Box"/>
    <n v="0.57999999999999996"/>
    <d v="2012-06-01T00:00:00"/>
    <n v="0"/>
    <n v="0"/>
    <n v="0.5"/>
    <n v="0.5"/>
  </r>
  <r>
    <n v="3919"/>
    <n v="27939"/>
    <x v="819"/>
    <x v="13"/>
    <s v="Medium"/>
    <n v="8"/>
    <n v="60.17"/>
    <n v="0"/>
    <s v="Regular Air"/>
    <n v="-18.239999999999998"/>
    <n v="6.68"/>
    <n v="5.66"/>
    <x v="775"/>
    <x v="12"/>
    <x v="4"/>
    <x v="2"/>
    <x v="0"/>
    <x v="5"/>
    <x v="674"/>
    <s v="Small Box"/>
    <n v="0.37"/>
    <d v="2012-04-12T00:00:00"/>
    <n v="0"/>
    <n v="0"/>
    <n v="1"/>
    <n v="1"/>
  </r>
  <r>
    <n v="3999"/>
    <n v="28544"/>
    <x v="110"/>
    <x v="9"/>
    <s v="Critical"/>
    <n v="24"/>
    <n v="68.5"/>
    <n v="7.0000000000000007E-2"/>
    <s v="Regular Air"/>
    <n v="2.6859999999999999"/>
    <n v="2.78"/>
    <n v="1.49"/>
    <x v="207"/>
    <x v="12"/>
    <x v="4"/>
    <x v="1"/>
    <x v="0"/>
    <x v="2"/>
    <x v="1224"/>
    <s v="Small Box"/>
    <n v="0.36"/>
    <d v="2012-08-29T00:00:00"/>
    <n v="0"/>
    <n v="0"/>
    <n v="1"/>
    <n v="1"/>
  </r>
  <r>
    <n v="4262"/>
    <n v="30343"/>
    <x v="215"/>
    <x v="20"/>
    <s v="Critical"/>
    <n v="48"/>
    <n v="1556.42"/>
    <n v="0"/>
    <s v="Regular Air"/>
    <n v="-60.98"/>
    <n v="30.42"/>
    <n v="8.65"/>
    <x v="777"/>
    <x v="12"/>
    <x v="4"/>
    <x v="2"/>
    <x v="1"/>
    <x v="7"/>
    <x v="251"/>
    <s v="Small Box"/>
    <n v="0.74"/>
    <d v="2012-05-22T00:00:00"/>
    <n v="0"/>
    <n v="0"/>
    <n v="0.33333333333333331"/>
    <n v="0.33333333333333331"/>
  </r>
  <r>
    <n v="4263"/>
    <n v="30343"/>
    <x v="215"/>
    <x v="20"/>
    <s v="Critical"/>
    <n v="28"/>
    <n v="130.28"/>
    <n v="0.08"/>
    <s v="Regular Air"/>
    <n v="56.97"/>
    <n v="4.91"/>
    <n v="0.5"/>
    <x v="777"/>
    <x v="12"/>
    <x v="4"/>
    <x v="2"/>
    <x v="0"/>
    <x v="11"/>
    <x v="343"/>
    <s v="Small Box"/>
    <n v="0.36"/>
    <d v="2012-05-23T00:00:00"/>
    <n v="0"/>
    <n v="0"/>
    <n v="0.33333333333333331"/>
    <n v="0.33333333333333331"/>
  </r>
  <r>
    <n v="4272"/>
    <n v="30403"/>
    <x v="701"/>
    <x v="29"/>
    <s v="High"/>
    <n v="41"/>
    <n v="305.01"/>
    <n v="0.05"/>
    <s v="Express Air"/>
    <n v="-160.816"/>
    <n v="7.3"/>
    <n v="7.72"/>
    <x v="104"/>
    <x v="12"/>
    <x v="4"/>
    <x v="3"/>
    <x v="0"/>
    <x v="2"/>
    <x v="6"/>
    <s v="Small Box"/>
    <n v="0.38"/>
    <d v="2012-07-12T00:00:00"/>
    <n v="0"/>
    <n v="0"/>
    <n v="0.5"/>
    <n v="0.33333333333333331"/>
  </r>
  <r>
    <n v="4273"/>
    <n v="30403"/>
    <x v="701"/>
    <x v="29"/>
    <s v="High"/>
    <n v="24"/>
    <n v="3583.52"/>
    <n v="0.09"/>
    <s v="Regular Air"/>
    <n v="221.71"/>
    <n v="161.55000000000001"/>
    <n v="19.989999999999998"/>
    <x v="104"/>
    <x v="12"/>
    <x v="4"/>
    <x v="3"/>
    <x v="0"/>
    <x v="0"/>
    <x v="533"/>
    <s v="Small Box"/>
    <n v="0.66"/>
    <d v="2012-07-11T00:00:00"/>
    <n v="0"/>
    <n v="0"/>
    <n v="0.5"/>
    <n v="0.33333333333333331"/>
  </r>
  <r>
    <n v="4466"/>
    <n v="31844"/>
    <x v="1301"/>
    <x v="2"/>
    <s v="Not Specified"/>
    <n v="14"/>
    <n v="2085.9299999999998"/>
    <n v="0.09"/>
    <s v="Delivery Truck"/>
    <n v="-517.73"/>
    <n v="150.97999999999999"/>
    <n v="66.27"/>
    <x v="217"/>
    <x v="12"/>
    <x v="4"/>
    <x v="0"/>
    <x v="2"/>
    <x v="9"/>
    <x v="207"/>
    <s v="Jumbo Box"/>
    <n v="0.65"/>
    <d v="2011-07-02T00:00:00"/>
    <n v="0"/>
    <n v="0"/>
    <n v="1"/>
    <n v="0.5"/>
  </r>
  <r>
    <n v="4558"/>
    <n v="32449"/>
    <x v="530"/>
    <x v="45"/>
    <s v="Critical"/>
    <n v="39"/>
    <n v="277.58"/>
    <n v="0.08"/>
    <s v="Regular Air"/>
    <n v="-276.88"/>
    <n v="7.28"/>
    <n v="11.15"/>
    <x v="778"/>
    <x v="12"/>
    <x v="4"/>
    <x v="2"/>
    <x v="0"/>
    <x v="5"/>
    <x v="517"/>
    <s v="Small Box"/>
    <n v="0.37"/>
    <d v="2012-12-10T00:00:00"/>
    <n v="0"/>
    <n v="0"/>
    <n v="0.33333333333333331"/>
    <n v="0.33333333333333331"/>
  </r>
  <r>
    <n v="4559"/>
    <n v="32449"/>
    <x v="530"/>
    <x v="45"/>
    <s v="Critical"/>
    <n v="12"/>
    <n v="4887.1400000000003"/>
    <n v="0.08"/>
    <s v="Delivery Truck"/>
    <n v="-694.33"/>
    <n v="424.21"/>
    <n v="110.2"/>
    <x v="778"/>
    <x v="12"/>
    <x v="4"/>
    <x v="2"/>
    <x v="2"/>
    <x v="10"/>
    <x v="654"/>
    <s v="Jumbo Box"/>
    <n v="0.67"/>
    <d v="2012-12-10T00:00:00"/>
    <n v="0"/>
    <n v="0"/>
    <n v="0.33333333333333331"/>
    <n v="0.33333333333333331"/>
  </r>
  <r>
    <n v="4560"/>
    <n v="32449"/>
    <x v="530"/>
    <x v="45"/>
    <s v="Critical"/>
    <n v="44"/>
    <n v="7195.2584999999999"/>
    <n v="0.09"/>
    <s v="Express Air"/>
    <n v="1698.1559999999999"/>
    <n v="200.99"/>
    <n v="8.08"/>
    <x v="778"/>
    <x v="12"/>
    <x v="4"/>
    <x v="2"/>
    <x v="1"/>
    <x v="3"/>
    <x v="103"/>
    <s v="Small Box"/>
    <n v="0.59"/>
    <d v="2012-12-10T00:00:00"/>
    <n v="0"/>
    <n v="0"/>
    <n v="0.33333333333333331"/>
    <n v="0.33333333333333331"/>
  </r>
  <r>
    <n v="4600"/>
    <n v="32800"/>
    <x v="472"/>
    <x v="22"/>
    <s v="Not Specified"/>
    <n v="33"/>
    <n v="11336.37"/>
    <n v="0.04"/>
    <s v="Delivery Truck"/>
    <n v="1161.75"/>
    <n v="355.98"/>
    <n v="58.92"/>
    <x v="776"/>
    <x v="12"/>
    <x v="4"/>
    <x v="3"/>
    <x v="2"/>
    <x v="14"/>
    <x v="145"/>
    <s v="Jumbo Drum"/>
    <n v="0.64"/>
    <d v="2009-01-22T00:00:00"/>
    <n v="0"/>
    <n v="1"/>
    <n v="0.33333333333333331"/>
    <n v="0.25"/>
  </r>
  <r>
    <n v="4601"/>
    <n v="32800"/>
    <x v="472"/>
    <x v="22"/>
    <s v="Not Specified"/>
    <n v="19"/>
    <n v="354.13"/>
    <n v="0.09"/>
    <s v="Regular Air"/>
    <n v="8.7899999999999991"/>
    <n v="19.98"/>
    <n v="8.68"/>
    <x v="776"/>
    <x v="12"/>
    <x v="4"/>
    <x v="3"/>
    <x v="0"/>
    <x v="5"/>
    <x v="471"/>
    <s v="Small Box"/>
    <n v="0.37"/>
    <d v="2009-01-22T00:00:00"/>
    <n v="0"/>
    <n v="1"/>
    <n v="0.33333333333333331"/>
    <n v="0.25"/>
  </r>
  <r>
    <n v="4602"/>
    <n v="32800"/>
    <x v="472"/>
    <x v="22"/>
    <s v="Not Specified"/>
    <n v="40"/>
    <n v="751.94"/>
    <n v="7.0000000000000007E-2"/>
    <s v="Regular Air"/>
    <n v="69.08"/>
    <n v="19.98"/>
    <n v="8.68"/>
    <x v="776"/>
    <x v="12"/>
    <x v="4"/>
    <x v="3"/>
    <x v="0"/>
    <x v="5"/>
    <x v="471"/>
    <s v="Small Box"/>
    <n v="0.37"/>
    <d v="2009-01-23T00:00:00"/>
    <n v="0"/>
    <n v="1"/>
    <n v="0.33333333333333331"/>
    <n v="0.25"/>
  </r>
  <r>
    <n v="4759"/>
    <n v="33824"/>
    <x v="1105"/>
    <x v="5"/>
    <s v="Critical"/>
    <n v="19"/>
    <n v="50.99"/>
    <n v="0.06"/>
    <s v="Regular Air"/>
    <n v="-3.8"/>
    <n v="2.78"/>
    <n v="1.34"/>
    <x v="780"/>
    <x v="12"/>
    <x v="4"/>
    <x v="2"/>
    <x v="0"/>
    <x v="12"/>
    <x v="148"/>
    <s v="Wrap Bag"/>
    <n v="0.45"/>
    <d v="2011-03-03T00:00:00"/>
    <n v="0"/>
    <n v="0"/>
    <n v="1"/>
    <n v="1"/>
  </r>
  <r>
    <n v="4806"/>
    <n v="34179"/>
    <x v="1189"/>
    <x v="27"/>
    <s v="Not Specified"/>
    <n v="21"/>
    <n v="293.27"/>
    <n v="7.0000000000000007E-2"/>
    <s v="Regular Air"/>
    <n v="44.56"/>
    <n v="14.48"/>
    <n v="1.99"/>
    <x v="777"/>
    <x v="12"/>
    <x v="4"/>
    <x v="2"/>
    <x v="1"/>
    <x v="7"/>
    <x v="189"/>
    <s v="Small Pack"/>
    <n v="0.49"/>
    <d v="2011-11-04T00:00:00"/>
    <n v="0"/>
    <n v="0"/>
    <n v="1"/>
    <n v="0.5"/>
  </r>
  <r>
    <n v="4819"/>
    <n v="34245"/>
    <x v="730"/>
    <x v="6"/>
    <s v="Medium"/>
    <n v="42"/>
    <n v="189.22"/>
    <n v="0.05"/>
    <s v="Regular Air"/>
    <n v="-92.42"/>
    <n v="4.28"/>
    <n v="4.79"/>
    <x v="271"/>
    <x v="12"/>
    <x v="4"/>
    <x v="1"/>
    <x v="0"/>
    <x v="5"/>
    <x v="647"/>
    <s v="Small Box"/>
    <n v="0.4"/>
    <d v="2010-02-08T00:00:00"/>
    <n v="0"/>
    <n v="0"/>
    <n v="1"/>
    <n v="1"/>
  </r>
  <r>
    <n v="4926"/>
    <n v="35046"/>
    <x v="331"/>
    <x v="42"/>
    <s v="Medium"/>
    <n v="21"/>
    <n v="151.86000000000001"/>
    <n v="0.1"/>
    <s v="Express Air"/>
    <n v="-54.670999999999999"/>
    <n v="7.1"/>
    <n v="6.05"/>
    <x v="219"/>
    <x v="12"/>
    <x v="4"/>
    <x v="2"/>
    <x v="0"/>
    <x v="2"/>
    <x v="310"/>
    <s v="Small Box"/>
    <n v="0.39"/>
    <d v="2010-07-24T00:00:00"/>
    <n v="0"/>
    <n v="0"/>
    <n v="0.33333333333333331"/>
    <n v="0.33333333333333331"/>
  </r>
  <r>
    <n v="4927"/>
    <n v="35046"/>
    <x v="331"/>
    <x v="42"/>
    <s v="Medium"/>
    <n v="13"/>
    <n v="3583.87"/>
    <n v="7.0000000000000007E-2"/>
    <s v="Delivery Truck"/>
    <n v="-113.08"/>
    <n v="284.98"/>
    <n v="69.55"/>
    <x v="219"/>
    <x v="12"/>
    <x v="4"/>
    <x v="2"/>
    <x v="2"/>
    <x v="14"/>
    <x v="649"/>
    <s v="Jumbo Drum"/>
    <n v="0.6"/>
    <d v="2010-07-25T00:00:00"/>
    <n v="0"/>
    <n v="0"/>
    <n v="0.33333333333333331"/>
    <n v="0.33333333333333331"/>
  </r>
  <r>
    <n v="4928"/>
    <n v="35046"/>
    <x v="331"/>
    <x v="42"/>
    <s v="Medium"/>
    <n v="45"/>
    <n v="4951.3599999999997"/>
    <n v="0.03"/>
    <s v="Express Air"/>
    <n v="1759.72"/>
    <n v="107.53"/>
    <n v="5.81"/>
    <x v="219"/>
    <x v="12"/>
    <x v="4"/>
    <x v="2"/>
    <x v="2"/>
    <x v="4"/>
    <x v="348"/>
    <s v="Medium Box"/>
    <n v="0.65"/>
    <d v="2010-07-25T00:00:00"/>
    <n v="0"/>
    <n v="0"/>
    <n v="0.33333333333333331"/>
    <n v="0.33333333333333331"/>
  </r>
  <r>
    <n v="5004"/>
    <n v="35684"/>
    <x v="646"/>
    <x v="21"/>
    <s v="Low"/>
    <n v="10"/>
    <n v="910.98"/>
    <n v="7.0000000000000007E-2"/>
    <s v="Regular Air"/>
    <n v="18.77"/>
    <n v="96.45"/>
    <n v="13.99"/>
    <x v="219"/>
    <x v="12"/>
    <x v="4"/>
    <x v="2"/>
    <x v="1"/>
    <x v="16"/>
    <x v="1198"/>
    <s v="Medium Box"/>
    <n v="0.38"/>
    <d v="2011-08-08T00:00:00"/>
    <n v="0"/>
    <n v="0"/>
    <n v="1"/>
    <n v="1"/>
  </r>
  <r>
    <n v="5064"/>
    <n v="36101"/>
    <x v="573"/>
    <x v="9"/>
    <s v="High"/>
    <n v="3"/>
    <n v="446.05"/>
    <n v="0.09"/>
    <s v="Delivery Truck"/>
    <n v="-271.26"/>
    <n v="140.97999999999999"/>
    <n v="53.48"/>
    <x v="778"/>
    <x v="12"/>
    <x v="4"/>
    <x v="2"/>
    <x v="2"/>
    <x v="9"/>
    <x v="85"/>
    <s v="Jumbo Box"/>
    <n v="0.65"/>
    <d v="2012-08-21T00:00:00"/>
    <n v="0"/>
    <n v="0"/>
    <n v="1"/>
    <n v="1"/>
  </r>
  <r>
    <n v="5107"/>
    <n v="36387"/>
    <x v="647"/>
    <x v="27"/>
    <s v="High"/>
    <n v="32"/>
    <n v="616.39"/>
    <n v="0.09"/>
    <s v="Regular Air"/>
    <n v="148.28"/>
    <n v="20.89"/>
    <n v="1.99"/>
    <x v="777"/>
    <x v="12"/>
    <x v="4"/>
    <x v="2"/>
    <x v="1"/>
    <x v="7"/>
    <x v="187"/>
    <s v="Small Pack"/>
    <n v="0.48"/>
    <d v="2011-11-10T00:00:00"/>
    <n v="0"/>
    <n v="0"/>
    <n v="1"/>
    <n v="0.5"/>
  </r>
  <r>
    <n v="5120"/>
    <n v="36455"/>
    <x v="450"/>
    <x v="40"/>
    <s v="High"/>
    <n v="48"/>
    <n v="1838.19"/>
    <n v="0.03"/>
    <s v="Regular Air"/>
    <n v="561.42999999999995"/>
    <n v="39.479999999999997"/>
    <n v="1.99"/>
    <x v="774"/>
    <x v="12"/>
    <x v="4"/>
    <x v="1"/>
    <x v="1"/>
    <x v="7"/>
    <x v="64"/>
    <s v="Small Pack"/>
    <n v="0.54"/>
    <d v="2009-02-21T00:00:00"/>
    <n v="0"/>
    <n v="0"/>
    <n v="1"/>
    <n v="0.2"/>
  </r>
  <r>
    <n v="5143"/>
    <n v="36673"/>
    <x v="1337"/>
    <x v="18"/>
    <s v="Low"/>
    <n v="20"/>
    <n v="984.63150000000007"/>
    <n v="0"/>
    <s v="Regular Air"/>
    <n v="-129.13999999999999"/>
    <n v="55.99"/>
    <n v="5"/>
    <x v="207"/>
    <x v="12"/>
    <x v="4"/>
    <x v="3"/>
    <x v="1"/>
    <x v="3"/>
    <x v="159"/>
    <s v="Small Pack"/>
    <n v="0.8"/>
    <d v="2010-09-20T00:00:00"/>
    <n v="0"/>
    <n v="0"/>
    <n v="1"/>
    <n v="1"/>
  </r>
  <r>
    <n v="5149"/>
    <n v="36704"/>
    <x v="575"/>
    <x v="4"/>
    <s v="High"/>
    <n v="43"/>
    <n v="134.33000000000001"/>
    <n v="7.0000000000000007E-2"/>
    <s v="Express Air"/>
    <n v="25.02"/>
    <n v="3.14"/>
    <n v="1.1399999999999999"/>
    <x v="207"/>
    <x v="12"/>
    <x v="4"/>
    <x v="3"/>
    <x v="0"/>
    <x v="5"/>
    <x v="1171"/>
    <s v="Wrap Bag"/>
    <n v="0.4"/>
    <d v="2011-06-17T00:00:00"/>
    <n v="0"/>
    <n v="0"/>
    <n v="0.5"/>
    <n v="0.5"/>
  </r>
  <r>
    <n v="5150"/>
    <n v="36704"/>
    <x v="575"/>
    <x v="4"/>
    <s v="High"/>
    <n v="19"/>
    <n v="70.319999999999993"/>
    <n v="0.08"/>
    <s v="Regular Air"/>
    <n v="-56.07"/>
    <n v="3.57"/>
    <n v="4.17"/>
    <x v="207"/>
    <x v="12"/>
    <x v="4"/>
    <x v="3"/>
    <x v="0"/>
    <x v="12"/>
    <x v="574"/>
    <s v="Small Pack"/>
    <n v="0.59"/>
    <d v="2011-06-18T00:00:00"/>
    <n v="0"/>
    <n v="0"/>
    <n v="0.5"/>
    <n v="0.5"/>
  </r>
  <r>
    <n v="5226"/>
    <n v="37218"/>
    <x v="412"/>
    <x v="15"/>
    <s v="High"/>
    <n v="29"/>
    <n v="1768.13"/>
    <n v="0"/>
    <s v="Regular Air"/>
    <n v="525.54"/>
    <n v="60.97"/>
    <n v="4.5"/>
    <x v="774"/>
    <x v="12"/>
    <x v="4"/>
    <x v="2"/>
    <x v="0"/>
    <x v="1"/>
    <x v="1085"/>
    <s v="Small Box"/>
    <n v="0.56000000000000005"/>
    <d v="2010-12-21T00:00:00"/>
    <n v="0"/>
    <n v="0"/>
    <n v="0.5"/>
    <n v="0.5"/>
  </r>
  <r>
    <n v="5227"/>
    <n v="37218"/>
    <x v="412"/>
    <x v="15"/>
    <s v="High"/>
    <n v="23"/>
    <n v="147.05000000000001"/>
    <n v="0.08"/>
    <s v="Regular Air"/>
    <n v="-54.91"/>
    <n v="6.48"/>
    <n v="5.82"/>
    <x v="774"/>
    <x v="12"/>
    <x v="4"/>
    <x v="2"/>
    <x v="0"/>
    <x v="5"/>
    <x v="1170"/>
    <s v="Small Box"/>
    <n v="0.37"/>
    <d v="2010-12-20T00:00:00"/>
    <n v="0"/>
    <n v="0"/>
    <n v="0.5"/>
    <n v="0.5"/>
  </r>
  <r>
    <n v="5388"/>
    <n v="38311"/>
    <x v="1247"/>
    <x v="37"/>
    <s v="Medium"/>
    <n v="9"/>
    <n v="1201.51"/>
    <n v="0.1"/>
    <s v="Express Air"/>
    <n v="-185.48"/>
    <n v="140.85"/>
    <n v="19.989999999999998"/>
    <x v="667"/>
    <x v="12"/>
    <x v="4"/>
    <x v="1"/>
    <x v="0"/>
    <x v="0"/>
    <x v="405"/>
    <s v="Small Box"/>
    <n v="0.73"/>
    <d v="2011-04-25T00:00:00"/>
    <n v="0"/>
    <n v="0"/>
    <n v="1"/>
    <n v="1"/>
  </r>
  <r>
    <n v="5407"/>
    <n v="38438"/>
    <x v="795"/>
    <x v="10"/>
    <s v="Critical"/>
    <n v="16"/>
    <n v="621.92999999999995"/>
    <n v="0.08"/>
    <s v="Regular Air"/>
    <n v="-49.77"/>
    <n v="39.979999999999997"/>
    <n v="4"/>
    <x v="104"/>
    <x v="12"/>
    <x v="4"/>
    <x v="3"/>
    <x v="1"/>
    <x v="7"/>
    <x v="701"/>
    <s v="Small Box"/>
    <n v="0.7"/>
    <d v="2011-06-02T00:00:00"/>
    <n v="0"/>
    <n v="0"/>
    <n v="0.5"/>
    <n v="0.5"/>
  </r>
  <r>
    <n v="5408"/>
    <n v="38438"/>
    <x v="795"/>
    <x v="10"/>
    <s v="Critical"/>
    <n v="17"/>
    <n v="121.09"/>
    <n v="0.05"/>
    <s v="Regular Air"/>
    <n v="-30.51"/>
    <n v="6.68"/>
    <n v="5.66"/>
    <x v="104"/>
    <x v="12"/>
    <x v="4"/>
    <x v="3"/>
    <x v="0"/>
    <x v="5"/>
    <x v="674"/>
    <s v="Small Box"/>
    <n v="0.37"/>
    <d v="2011-06-01T00:00:00"/>
    <n v="0"/>
    <n v="0"/>
    <n v="0.5"/>
    <n v="0.5"/>
  </r>
  <r>
    <n v="5550"/>
    <n v="39301"/>
    <x v="436"/>
    <x v="28"/>
    <s v="Medium"/>
    <n v="4"/>
    <n v="33.54"/>
    <n v="0.08"/>
    <s v="Regular Air"/>
    <n v="-29.49"/>
    <n v="6.84"/>
    <n v="8.3699999999999992"/>
    <x v="108"/>
    <x v="12"/>
    <x v="4"/>
    <x v="2"/>
    <x v="0"/>
    <x v="15"/>
    <x v="277"/>
    <s v="Small Pack"/>
    <n v="0.57999999999999996"/>
    <d v="2009-03-24T00:00:00"/>
    <n v="0"/>
    <n v="0"/>
    <n v="0.5"/>
    <n v="0.5"/>
  </r>
  <r>
    <n v="5656"/>
    <n v="40007"/>
    <x v="263"/>
    <x v="9"/>
    <s v="Not Specified"/>
    <n v="45"/>
    <n v="188.77"/>
    <n v="0.02"/>
    <s v="Regular Air"/>
    <n v="21.93"/>
    <n v="4.13"/>
    <n v="1.17"/>
    <x v="776"/>
    <x v="12"/>
    <x v="4"/>
    <x v="3"/>
    <x v="0"/>
    <x v="12"/>
    <x v="1041"/>
    <s v="Wrap Bag"/>
    <n v="0.56999999999999995"/>
    <d v="2012-09-01T00:00:00"/>
    <n v="0"/>
    <n v="0"/>
    <n v="1"/>
    <n v="1"/>
  </r>
  <r>
    <n v="5660"/>
    <n v="40065"/>
    <x v="223"/>
    <x v="12"/>
    <s v="High"/>
    <n v="49"/>
    <n v="21141.07"/>
    <n v="0.06"/>
    <s v="Regular Air"/>
    <n v="6225.36"/>
    <n v="449.99"/>
    <n v="24.49"/>
    <x v="667"/>
    <x v="12"/>
    <x v="4"/>
    <x v="1"/>
    <x v="1"/>
    <x v="13"/>
    <x v="26"/>
    <s v="Large Box"/>
    <n v="0.52"/>
    <d v="2012-02-18T00:00:00"/>
    <n v="0"/>
    <n v="0"/>
    <n v="0.5"/>
    <n v="0.5"/>
  </r>
  <r>
    <n v="5661"/>
    <n v="40065"/>
    <x v="223"/>
    <x v="12"/>
    <s v="High"/>
    <n v="4"/>
    <n v="76.865499999999997"/>
    <n v="0.04"/>
    <s v="Express Air"/>
    <n v="-54.505000000000003"/>
    <n v="20.99"/>
    <n v="0.99"/>
    <x v="667"/>
    <x v="12"/>
    <x v="4"/>
    <x v="1"/>
    <x v="1"/>
    <x v="3"/>
    <x v="163"/>
    <s v="Wrap Bag"/>
    <n v="0.37"/>
    <d v="2012-02-18T00:00:00"/>
    <n v="0"/>
    <n v="0"/>
    <n v="0.5"/>
    <n v="0.5"/>
  </r>
  <r>
    <n v="5671"/>
    <n v="40102"/>
    <x v="634"/>
    <x v="44"/>
    <s v="Medium"/>
    <n v="46"/>
    <n v="412.37"/>
    <n v="0.06"/>
    <s v="Express Air"/>
    <n v="2.71"/>
    <n v="8.67"/>
    <n v="3.5"/>
    <x v="773"/>
    <x v="12"/>
    <x v="4"/>
    <x v="2"/>
    <x v="0"/>
    <x v="1"/>
    <x v="855"/>
    <s v="Small Box"/>
    <n v="0.57999999999999996"/>
    <d v="2011-02-05T00:00:00"/>
    <n v="0"/>
    <n v="0"/>
    <n v="1"/>
    <n v="1"/>
  </r>
  <r>
    <n v="5707"/>
    <n v="40357"/>
    <x v="42"/>
    <x v="29"/>
    <s v="Not Specified"/>
    <n v="4"/>
    <n v="240.49"/>
    <n v="0.05"/>
    <s v="Regular Air"/>
    <n v="-53.9"/>
    <n v="56.96"/>
    <n v="13.22"/>
    <x v="104"/>
    <x v="12"/>
    <x v="4"/>
    <x v="3"/>
    <x v="0"/>
    <x v="1"/>
    <x v="407"/>
    <s v="Small Box"/>
    <n v="0.56000000000000005"/>
    <d v="2012-07-22T00:00:00"/>
    <n v="0"/>
    <n v="0"/>
    <n v="1"/>
    <n v="0.33333333333333331"/>
  </r>
  <r>
    <n v="5799"/>
    <n v="41123"/>
    <x v="1317"/>
    <x v="15"/>
    <s v="Low"/>
    <n v="27"/>
    <n v="322.45999999999998"/>
    <n v="0.04"/>
    <s v="Regular Air"/>
    <n v="54.29"/>
    <n v="11.34"/>
    <n v="5.01"/>
    <x v="654"/>
    <x v="12"/>
    <x v="4"/>
    <x v="0"/>
    <x v="0"/>
    <x v="5"/>
    <x v="119"/>
    <s v="Small Box"/>
    <n v="0.36"/>
    <d v="2010-12-11T00:00:00"/>
    <n v="0"/>
    <n v="0"/>
    <n v="1"/>
    <n v="1"/>
  </r>
  <r>
    <n v="5891"/>
    <n v="41794"/>
    <x v="62"/>
    <x v="10"/>
    <s v="Critical"/>
    <n v="48"/>
    <n v="836.59"/>
    <n v="0.06"/>
    <s v="Regular Air"/>
    <n v="-106.8"/>
    <n v="17.989999999999998"/>
    <n v="8.65"/>
    <x v="776"/>
    <x v="12"/>
    <x v="4"/>
    <x v="3"/>
    <x v="0"/>
    <x v="12"/>
    <x v="801"/>
    <s v="Small Box"/>
    <n v="0.56999999999999995"/>
    <d v="2011-05-28T00:00:00"/>
    <n v="0"/>
    <n v="0"/>
    <n v="0.33333333333333331"/>
    <n v="0.33333333333333331"/>
  </r>
  <r>
    <n v="5892"/>
    <n v="41794"/>
    <x v="62"/>
    <x v="10"/>
    <s v="Critical"/>
    <n v="21"/>
    <n v="58.14"/>
    <n v="0.04"/>
    <s v="Regular Air"/>
    <n v="-2.23"/>
    <n v="2.78"/>
    <n v="0.97"/>
    <x v="776"/>
    <x v="12"/>
    <x v="4"/>
    <x v="3"/>
    <x v="0"/>
    <x v="12"/>
    <x v="895"/>
    <s v="Wrap Bag"/>
    <n v="0.59"/>
    <d v="2011-05-29T00:00:00"/>
    <n v="0"/>
    <n v="0"/>
    <n v="0.33333333333333331"/>
    <n v="0.33333333333333331"/>
  </r>
  <r>
    <n v="5893"/>
    <n v="41794"/>
    <x v="62"/>
    <x v="10"/>
    <s v="Critical"/>
    <n v="49"/>
    <n v="891.60749999999996"/>
    <n v="0.06"/>
    <s v="Regular Air"/>
    <n v="100.59299999999999"/>
    <n v="20.99"/>
    <n v="4.8099999999999996"/>
    <x v="776"/>
    <x v="12"/>
    <x v="4"/>
    <x v="3"/>
    <x v="1"/>
    <x v="3"/>
    <x v="591"/>
    <s v="Medium Box"/>
    <n v="0.57999999999999996"/>
    <d v="2011-05-29T00:00:00"/>
    <n v="0"/>
    <n v="0"/>
    <n v="0.33333333333333331"/>
    <n v="0.33333333333333331"/>
  </r>
  <r>
    <n v="6032"/>
    <n v="42725"/>
    <x v="1242"/>
    <x v="10"/>
    <s v="Medium"/>
    <n v="18"/>
    <n v="231.06"/>
    <n v="0.04"/>
    <s v="Regular Air"/>
    <n v="-29.83"/>
    <n v="12.28"/>
    <n v="6.13"/>
    <x v="774"/>
    <x v="12"/>
    <x v="4"/>
    <x v="2"/>
    <x v="0"/>
    <x v="0"/>
    <x v="166"/>
    <s v="Small Box"/>
    <n v="0.56999999999999995"/>
    <d v="2011-05-03T00:00:00"/>
    <n v="0"/>
    <n v="0"/>
    <n v="1"/>
    <n v="0.5"/>
  </r>
  <r>
    <n v="6110"/>
    <n v="43296"/>
    <x v="146"/>
    <x v="33"/>
    <s v="Medium"/>
    <n v="41"/>
    <n v="1665.81"/>
    <n v="0.06"/>
    <s v="Regular Air"/>
    <n v="557.52350000000001"/>
    <n v="40.98"/>
    <n v="7.47"/>
    <x v="776"/>
    <x v="12"/>
    <x v="4"/>
    <x v="2"/>
    <x v="0"/>
    <x v="2"/>
    <x v="447"/>
    <s v="Small Box"/>
    <n v="0.37"/>
    <d v="2012-03-04T00:00:00"/>
    <n v="0"/>
    <n v="0"/>
    <n v="1"/>
    <n v="1"/>
  </r>
  <r>
    <n v="6257"/>
    <n v="44294"/>
    <x v="862"/>
    <x v="41"/>
    <s v="Low"/>
    <n v="15"/>
    <n v="107.86"/>
    <n v="0.09"/>
    <s v="Express Air"/>
    <n v="-85.29"/>
    <n v="6.48"/>
    <n v="9.68"/>
    <x v="271"/>
    <x v="12"/>
    <x v="4"/>
    <x v="1"/>
    <x v="0"/>
    <x v="5"/>
    <x v="597"/>
    <s v="Small Box"/>
    <n v="0.36"/>
    <d v="2009-06-10T00:00:00"/>
    <n v="0"/>
    <n v="0"/>
    <n v="0.33333333333333331"/>
    <n v="0.33333333333333331"/>
  </r>
  <r>
    <n v="6258"/>
    <n v="44294"/>
    <x v="862"/>
    <x v="41"/>
    <s v="Low"/>
    <n v="13"/>
    <n v="305.60000000000002"/>
    <n v="0.09"/>
    <s v="Delivery Truck"/>
    <n v="-445.77"/>
    <n v="20.98"/>
    <n v="45"/>
    <x v="271"/>
    <x v="12"/>
    <x v="4"/>
    <x v="1"/>
    <x v="0"/>
    <x v="0"/>
    <x v="436"/>
    <s v="Jumbo Drum"/>
    <n v="0.61"/>
    <d v="2009-06-03T00:00:00"/>
    <n v="0"/>
    <n v="0"/>
    <n v="0.33333333333333331"/>
    <n v="0.33333333333333331"/>
  </r>
  <r>
    <n v="6259"/>
    <n v="44294"/>
    <x v="862"/>
    <x v="41"/>
    <s v="Low"/>
    <n v="8"/>
    <n v="447.04049999999995"/>
    <n v="0.04"/>
    <s v="Regular Air"/>
    <n v="-206.15100000000001"/>
    <n v="65.989999999999995"/>
    <n v="8.99"/>
    <x v="271"/>
    <x v="12"/>
    <x v="4"/>
    <x v="1"/>
    <x v="1"/>
    <x v="3"/>
    <x v="1096"/>
    <s v="Small Box"/>
    <n v="0.59"/>
    <d v="2009-06-05T00:00:00"/>
    <n v="0"/>
    <n v="0"/>
    <n v="0.33333333333333331"/>
    <n v="0.33333333333333331"/>
  </r>
  <r>
    <n v="6273"/>
    <n v="44391"/>
    <x v="651"/>
    <x v="22"/>
    <s v="Not Specified"/>
    <n v="16"/>
    <n v="112.81"/>
    <n v="0.02"/>
    <s v="Regular Air"/>
    <n v="-85.23"/>
    <n v="6.48"/>
    <n v="9.17"/>
    <x v="778"/>
    <x v="12"/>
    <x v="4"/>
    <x v="2"/>
    <x v="0"/>
    <x v="5"/>
    <x v="1100"/>
    <s v="Small Box"/>
    <n v="0.37"/>
    <d v="2009-01-11T00:00:00"/>
    <n v="0"/>
    <n v="1"/>
    <n v="1"/>
    <n v="0.5"/>
  </r>
  <r>
    <n v="6662"/>
    <n v="47456"/>
    <x v="660"/>
    <x v="20"/>
    <s v="Low"/>
    <n v="43"/>
    <n v="277.08"/>
    <n v="0.08"/>
    <s v="Regular Air"/>
    <n v="-179.11"/>
    <n v="6.48"/>
    <n v="7.91"/>
    <x v="777"/>
    <x v="12"/>
    <x v="4"/>
    <x v="2"/>
    <x v="0"/>
    <x v="5"/>
    <x v="952"/>
    <s v="Small Box"/>
    <n v="0.37"/>
    <d v="2012-06-07T00:00:00"/>
    <n v="0"/>
    <n v="0"/>
    <n v="1"/>
    <n v="0.33333333333333331"/>
  </r>
  <r>
    <n v="6709"/>
    <n v="47778"/>
    <x v="842"/>
    <x v="6"/>
    <s v="Critical"/>
    <n v="12"/>
    <n v="174.11"/>
    <n v="0.06"/>
    <s v="Regular Air"/>
    <n v="-24.52"/>
    <n v="13.73"/>
    <n v="6.85"/>
    <x v="774"/>
    <x v="12"/>
    <x v="4"/>
    <x v="2"/>
    <x v="2"/>
    <x v="4"/>
    <x v="807"/>
    <s v="Wrap Bag"/>
    <n v="0.54"/>
    <d v="2010-02-16T00:00:00"/>
    <n v="0"/>
    <n v="0"/>
    <n v="1"/>
    <n v="1"/>
  </r>
  <r>
    <n v="6740"/>
    <n v="47974"/>
    <x v="1053"/>
    <x v="26"/>
    <s v="Medium"/>
    <n v="6"/>
    <n v="18.02"/>
    <n v="0.01"/>
    <s v="Regular Air"/>
    <n v="-3.09"/>
    <n v="2.78"/>
    <n v="1.34"/>
    <x v="774"/>
    <x v="12"/>
    <x v="4"/>
    <x v="2"/>
    <x v="0"/>
    <x v="12"/>
    <x v="148"/>
    <s v="Wrap Bag"/>
    <n v="0.45"/>
    <d v="2009-09-02T00:00:00"/>
    <n v="0"/>
    <n v="0"/>
    <n v="1"/>
    <n v="0.5"/>
  </r>
  <r>
    <n v="6812"/>
    <n v="48486"/>
    <x v="1275"/>
    <x v="10"/>
    <s v="High"/>
    <n v="42"/>
    <n v="271.14"/>
    <n v="7.0000000000000007E-2"/>
    <s v="Regular Air"/>
    <n v="-174.74"/>
    <n v="6.48"/>
    <n v="7.91"/>
    <x v="774"/>
    <x v="12"/>
    <x v="4"/>
    <x v="2"/>
    <x v="0"/>
    <x v="5"/>
    <x v="952"/>
    <s v="Small Box"/>
    <n v="0.37"/>
    <d v="2011-05-14T00:00:00"/>
    <n v="0"/>
    <n v="0"/>
    <n v="1"/>
    <n v="0.5"/>
  </r>
  <r>
    <n v="6851"/>
    <n v="48775"/>
    <x v="706"/>
    <x v="35"/>
    <s v="Low"/>
    <n v="17"/>
    <n v="108.11"/>
    <n v="0.09"/>
    <s v="Regular Air"/>
    <n v="-62.23"/>
    <n v="6.48"/>
    <n v="6.86"/>
    <x v="210"/>
    <x v="12"/>
    <x v="4"/>
    <x v="2"/>
    <x v="0"/>
    <x v="5"/>
    <x v="684"/>
    <s v="Small Box"/>
    <n v="0.37"/>
    <d v="2009-09-08T00:00:00"/>
    <n v="0"/>
    <n v="0"/>
    <n v="1"/>
    <n v="1"/>
  </r>
  <r>
    <n v="6902"/>
    <n v="49218"/>
    <x v="45"/>
    <x v="30"/>
    <s v="Low"/>
    <n v="21"/>
    <n v="86.64"/>
    <n v="0.09"/>
    <s v="Regular Air"/>
    <n v="-73.070999999999998"/>
    <n v="3.98"/>
    <n v="5.26"/>
    <x v="778"/>
    <x v="12"/>
    <x v="4"/>
    <x v="2"/>
    <x v="0"/>
    <x v="2"/>
    <x v="983"/>
    <s v="Small Box"/>
    <n v="0.38"/>
    <d v="2010-06-04T00:00:00"/>
    <n v="0"/>
    <n v="0"/>
    <n v="1"/>
    <n v="1"/>
  </r>
  <r>
    <n v="6928"/>
    <n v="49442"/>
    <x v="248"/>
    <x v="9"/>
    <s v="High"/>
    <n v="11"/>
    <n v="131.12"/>
    <n v="0.03"/>
    <s v="Regular Air"/>
    <n v="-24.805500000000002"/>
    <n v="11.5"/>
    <n v="7.19"/>
    <x v="777"/>
    <x v="12"/>
    <x v="4"/>
    <x v="2"/>
    <x v="0"/>
    <x v="2"/>
    <x v="274"/>
    <s v="Small Box"/>
    <n v="0.4"/>
    <d v="2012-08-09T00:00:00"/>
    <n v="0"/>
    <n v="0"/>
    <n v="1"/>
    <n v="1"/>
  </r>
  <r>
    <n v="7092"/>
    <n v="50625"/>
    <x v="872"/>
    <x v="46"/>
    <s v="Medium"/>
    <n v="10"/>
    <n v="29.12"/>
    <n v="0.08"/>
    <s v="Regular Air"/>
    <n v="7.13"/>
    <n v="2.88"/>
    <n v="0.5"/>
    <x v="774"/>
    <x v="12"/>
    <x v="4"/>
    <x v="1"/>
    <x v="0"/>
    <x v="11"/>
    <x v="210"/>
    <s v="Small Box"/>
    <n v="0.39"/>
    <d v="2009-04-24T00:00:00"/>
    <n v="0"/>
    <n v="0"/>
    <n v="1"/>
    <n v="1"/>
  </r>
  <r>
    <n v="7127"/>
    <n v="50849"/>
    <x v="720"/>
    <x v="1"/>
    <s v="Low"/>
    <n v="47"/>
    <n v="307.37"/>
    <n v="0.04"/>
    <s v="Express Air"/>
    <n v="-249.27"/>
    <n v="6.48"/>
    <n v="9.17"/>
    <x v="776"/>
    <x v="12"/>
    <x v="4"/>
    <x v="3"/>
    <x v="0"/>
    <x v="5"/>
    <x v="1100"/>
    <s v="Small Box"/>
    <n v="0.37"/>
    <d v="2012-10-09T00:00:00"/>
    <n v="0"/>
    <n v="0"/>
    <n v="1"/>
    <n v="1"/>
  </r>
  <r>
    <n v="7230"/>
    <n v="51557"/>
    <x v="1225"/>
    <x v="17"/>
    <s v="High"/>
    <n v="36"/>
    <n v="1749.07"/>
    <n v="0.04"/>
    <s v="Regular Air"/>
    <n v="804.66"/>
    <n v="48.04"/>
    <n v="5.79"/>
    <x v="210"/>
    <x v="12"/>
    <x v="4"/>
    <x v="2"/>
    <x v="0"/>
    <x v="5"/>
    <x v="728"/>
    <s v="Small Box"/>
    <n v="0.37"/>
    <d v="2011-11-02T00:00:00"/>
    <n v="0"/>
    <n v="0"/>
    <n v="0.5"/>
    <n v="0.5"/>
  </r>
  <r>
    <n v="7231"/>
    <n v="51557"/>
    <x v="1225"/>
    <x v="17"/>
    <s v="High"/>
    <n v="14"/>
    <n v="37.9"/>
    <n v="0.08"/>
    <s v="Regular Air"/>
    <n v="-22.01"/>
    <n v="2.6"/>
    <n v="2.4"/>
    <x v="210"/>
    <x v="12"/>
    <x v="4"/>
    <x v="2"/>
    <x v="0"/>
    <x v="12"/>
    <x v="269"/>
    <s v="Wrap Bag"/>
    <n v="0.57999999999999996"/>
    <d v="2011-10-31T00:00:00"/>
    <n v="0"/>
    <n v="0"/>
    <n v="0.5"/>
    <n v="0.5"/>
  </r>
  <r>
    <n v="7411"/>
    <n v="52870"/>
    <x v="293"/>
    <x v="28"/>
    <s v="Not Specified"/>
    <n v="21"/>
    <n v="118.51"/>
    <n v="0.03"/>
    <s v="Regular Air"/>
    <n v="-948.71"/>
    <n v="3.25"/>
    <n v="49"/>
    <x v="778"/>
    <x v="12"/>
    <x v="4"/>
    <x v="2"/>
    <x v="0"/>
    <x v="1"/>
    <x v="933"/>
    <s v="Large Box"/>
    <n v="0.56000000000000005"/>
    <d v="2009-03-11T00:00:00"/>
    <n v="0"/>
    <n v="0"/>
    <n v="1"/>
    <n v="1"/>
  </r>
  <r>
    <n v="7417"/>
    <n v="52897"/>
    <x v="1073"/>
    <x v="26"/>
    <s v="Medium"/>
    <n v="40"/>
    <n v="2055.98"/>
    <n v="0"/>
    <s v="Regular Air"/>
    <n v="1016.86"/>
    <n v="47.9"/>
    <n v="5.86"/>
    <x v="776"/>
    <x v="12"/>
    <x v="4"/>
    <x v="3"/>
    <x v="0"/>
    <x v="5"/>
    <x v="656"/>
    <s v="Small Box"/>
    <n v="0.37"/>
    <d v="2009-08-24T00:00:00"/>
    <n v="0"/>
    <n v="0"/>
    <n v="1"/>
    <n v="1"/>
  </r>
  <r>
    <n v="7531"/>
    <n v="53798"/>
    <x v="851"/>
    <x v="46"/>
    <s v="Low"/>
    <n v="29"/>
    <n v="2317.65"/>
    <n v="0"/>
    <s v="Regular Air"/>
    <n v="568.6"/>
    <n v="78.650000000000006"/>
    <n v="13.99"/>
    <x v="108"/>
    <x v="12"/>
    <x v="4"/>
    <x v="2"/>
    <x v="0"/>
    <x v="1"/>
    <x v="370"/>
    <s v="Medium Box"/>
    <n v="0.52"/>
    <d v="2009-04-26T00:00:00"/>
    <n v="0"/>
    <n v="0"/>
    <n v="0.5"/>
    <n v="0.5"/>
  </r>
  <r>
    <n v="7532"/>
    <n v="53798"/>
    <x v="851"/>
    <x v="46"/>
    <s v="Low"/>
    <n v="41"/>
    <n v="4987.7299999999996"/>
    <n v="0.08"/>
    <s v="Delivery Truck"/>
    <n v="-1867.97"/>
    <n v="122.99"/>
    <n v="70.2"/>
    <x v="108"/>
    <x v="12"/>
    <x v="4"/>
    <x v="2"/>
    <x v="2"/>
    <x v="14"/>
    <x v="301"/>
    <s v="Jumbo Drum"/>
    <n v="0.74"/>
    <d v="2009-04-24T00:00:00"/>
    <n v="0"/>
    <n v="0"/>
    <n v="0.5"/>
    <n v="0.5"/>
  </r>
  <r>
    <n v="7553"/>
    <n v="54051"/>
    <x v="1158"/>
    <x v="21"/>
    <s v="Medium"/>
    <n v="23"/>
    <n v="3301.33"/>
    <n v="0.05"/>
    <s v="Delivery Truck"/>
    <n v="-307.45999999999998"/>
    <n v="140.97999999999999"/>
    <n v="36.090000000000003"/>
    <x v="773"/>
    <x v="12"/>
    <x v="4"/>
    <x v="2"/>
    <x v="2"/>
    <x v="9"/>
    <x v="228"/>
    <s v="Jumbo Box"/>
    <n v="0.77"/>
    <d v="2011-08-13T00:00:00"/>
    <n v="0"/>
    <n v="0"/>
    <n v="0.5"/>
    <n v="0.5"/>
  </r>
  <r>
    <n v="7554"/>
    <n v="54051"/>
    <x v="1158"/>
    <x v="21"/>
    <s v="Medium"/>
    <n v="28"/>
    <n v="126.95"/>
    <n v="0.06"/>
    <s v="Express Air"/>
    <n v="45.87"/>
    <n v="4.13"/>
    <n v="0.99"/>
    <x v="773"/>
    <x v="12"/>
    <x v="4"/>
    <x v="2"/>
    <x v="0"/>
    <x v="11"/>
    <x v="367"/>
    <s v="Small Box"/>
    <n v="0.39"/>
    <d v="2011-08-12T00:00:00"/>
    <n v="0"/>
    <n v="0"/>
    <n v="0.5"/>
    <n v="0.5"/>
  </r>
  <r>
    <n v="7564"/>
    <n v="54116"/>
    <x v="1262"/>
    <x v="27"/>
    <s v="Critical"/>
    <n v="22"/>
    <n v="3329.27"/>
    <n v="0.05"/>
    <s v="Delivery Truck"/>
    <n v="350"/>
    <n v="150.97999999999999"/>
    <n v="16.010000000000002"/>
    <x v="654"/>
    <x v="12"/>
    <x v="4"/>
    <x v="0"/>
    <x v="2"/>
    <x v="10"/>
    <x v="1025"/>
    <s v="Jumbo Box"/>
    <n v="0.7"/>
    <d v="2011-11-04T00:00:00"/>
    <n v="0"/>
    <n v="0"/>
    <n v="1"/>
    <n v="1"/>
  </r>
  <r>
    <n v="7747"/>
    <n v="55459"/>
    <x v="1411"/>
    <x v="46"/>
    <s v="Critical"/>
    <n v="5"/>
    <n v="126.95"/>
    <n v="0"/>
    <s v="Regular Air"/>
    <n v="-4.17"/>
    <n v="22.84"/>
    <n v="8.18"/>
    <x v="776"/>
    <x v="12"/>
    <x v="4"/>
    <x v="3"/>
    <x v="0"/>
    <x v="5"/>
    <x v="1073"/>
    <s v="Small Box"/>
    <n v="0.39"/>
    <d v="2009-04-27T00:00:00"/>
    <n v="0"/>
    <n v="0"/>
    <n v="1"/>
    <n v="1"/>
  </r>
  <r>
    <n v="7915"/>
    <n v="56582"/>
    <x v="686"/>
    <x v="41"/>
    <s v="Low"/>
    <n v="25"/>
    <n v="2612.89"/>
    <n v="0.04"/>
    <s v="Regular Air"/>
    <n v="490.99"/>
    <n v="105.29"/>
    <n v="10.119999999999999"/>
    <x v="217"/>
    <x v="12"/>
    <x v="4"/>
    <x v="0"/>
    <x v="2"/>
    <x v="4"/>
    <x v="1064"/>
    <s v="Large Box"/>
    <n v="0.79"/>
    <d v="2009-06-16T00:00:00"/>
    <n v="0"/>
    <n v="0"/>
    <n v="0.33333333333333331"/>
    <n v="0.25"/>
  </r>
  <r>
    <n v="7916"/>
    <n v="56582"/>
    <x v="686"/>
    <x v="41"/>
    <s v="Low"/>
    <n v="47"/>
    <n v="1146.992"/>
    <n v="7.0000000000000007E-2"/>
    <s v="Delivery Truck"/>
    <n v="-1643.74"/>
    <n v="31.76"/>
    <n v="45.51"/>
    <x v="217"/>
    <x v="12"/>
    <x v="4"/>
    <x v="0"/>
    <x v="2"/>
    <x v="10"/>
    <x v="465"/>
    <s v="Jumbo Box"/>
    <n v="0.65"/>
    <d v="2009-06-14T00:00:00"/>
    <n v="0"/>
    <n v="0"/>
    <n v="0.33333333333333331"/>
    <n v="0.25"/>
  </r>
  <r>
    <n v="7989"/>
    <n v="57121"/>
    <x v="47"/>
    <x v="27"/>
    <s v="Not Specified"/>
    <n v="42"/>
    <n v="199.24"/>
    <n v="7.0000000000000007E-2"/>
    <s v="Regular Air"/>
    <n v="-84.26"/>
    <n v="4.9800000000000004"/>
    <n v="4.72"/>
    <x v="271"/>
    <x v="12"/>
    <x v="4"/>
    <x v="1"/>
    <x v="0"/>
    <x v="5"/>
    <x v="751"/>
    <s v="Small Box"/>
    <n v="0.36"/>
    <d v="2011-11-18T00:00:00"/>
    <n v="0"/>
    <n v="0"/>
    <n v="0.5"/>
    <n v="0.5"/>
  </r>
  <r>
    <n v="7990"/>
    <n v="57121"/>
    <x v="47"/>
    <x v="27"/>
    <s v="Not Specified"/>
    <n v="3"/>
    <n v="504.6705"/>
    <n v="0.01"/>
    <s v="Regular Air"/>
    <n v="-800.88800000000003"/>
    <n v="195.99"/>
    <n v="4.2"/>
    <x v="271"/>
    <x v="12"/>
    <x v="4"/>
    <x v="1"/>
    <x v="1"/>
    <x v="3"/>
    <x v="781"/>
    <s v="Small Box"/>
    <n v="0.56000000000000005"/>
    <d v="2011-11-18T00:00:00"/>
    <n v="0"/>
    <n v="0"/>
    <n v="0.5"/>
    <n v="0.5"/>
  </r>
  <r>
    <n v="8203"/>
    <n v="58657"/>
    <x v="1089"/>
    <x v="14"/>
    <s v="Critical"/>
    <n v="43"/>
    <n v="1338.12"/>
    <n v="0.04"/>
    <s v="Regular Air"/>
    <n v="519.70000000000005"/>
    <n v="31.78"/>
    <n v="1.99"/>
    <x v="108"/>
    <x v="12"/>
    <x v="4"/>
    <x v="2"/>
    <x v="1"/>
    <x v="7"/>
    <x v="47"/>
    <s v="Small Pack"/>
    <n v="0.42"/>
    <d v="2010-03-29T00:00:00"/>
    <n v="0"/>
    <n v="0"/>
    <n v="1"/>
    <n v="1"/>
  </r>
  <r>
    <n v="8273"/>
    <n v="59170"/>
    <x v="1383"/>
    <x v="40"/>
    <s v="High"/>
    <n v="44"/>
    <n v="242.46"/>
    <n v="0.02"/>
    <s v="Regular Air"/>
    <n v="9.2989999999999995"/>
    <n v="5.34"/>
    <n v="2.99"/>
    <x v="774"/>
    <x v="12"/>
    <x v="4"/>
    <x v="1"/>
    <x v="0"/>
    <x v="2"/>
    <x v="282"/>
    <s v="Small Box"/>
    <n v="0.38"/>
    <d v="2009-02-18T00:00:00"/>
    <n v="0"/>
    <n v="0"/>
    <n v="0.25"/>
    <n v="0.2"/>
  </r>
  <r>
    <n v="8274"/>
    <n v="59170"/>
    <x v="1383"/>
    <x v="40"/>
    <s v="High"/>
    <n v="10"/>
    <n v="607.77"/>
    <n v="0.04"/>
    <s v="Regular Air"/>
    <n v="232"/>
    <n v="62.18"/>
    <n v="10.84"/>
    <x v="774"/>
    <x v="12"/>
    <x v="4"/>
    <x v="1"/>
    <x v="2"/>
    <x v="4"/>
    <x v="845"/>
    <s v="Medium Box"/>
    <n v="0.63"/>
    <d v="2009-02-19T00:00:00"/>
    <n v="0"/>
    <n v="0"/>
    <n v="0.25"/>
    <n v="0.2"/>
  </r>
  <r>
    <n v="8275"/>
    <n v="59170"/>
    <x v="1383"/>
    <x v="40"/>
    <s v="High"/>
    <n v="22"/>
    <n v="954.57"/>
    <n v="0.03"/>
    <s v="Regular Air"/>
    <n v="-380.9"/>
    <n v="41.47"/>
    <n v="34.200000000000003"/>
    <x v="774"/>
    <x v="12"/>
    <x v="4"/>
    <x v="1"/>
    <x v="2"/>
    <x v="4"/>
    <x v="147"/>
    <s v="Wrap Bag"/>
    <n v="0.73"/>
    <d v="2009-02-19T00:00:00"/>
    <n v="0"/>
    <n v="0"/>
    <n v="0.25"/>
    <n v="0.2"/>
  </r>
  <r>
    <n v="8276"/>
    <n v="59170"/>
    <x v="1383"/>
    <x v="40"/>
    <s v="High"/>
    <n v="5"/>
    <n v="8767.6200000000008"/>
    <n v="0.04"/>
    <s v="Regular Air"/>
    <n v="-1510.8855000000001"/>
    <n v="1938.02"/>
    <n v="13.99"/>
    <x v="774"/>
    <x v="12"/>
    <x v="4"/>
    <x v="1"/>
    <x v="1"/>
    <x v="16"/>
    <x v="107"/>
    <s v="Medium Box"/>
    <n v="0.38"/>
    <d v="2009-02-19T00:00:00"/>
    <n v="0"/>
    <n v="0"/>
    <n v="0.25"/>
    <n v="0.2"/>
  </r>
  <r>
    <n v="8303"/>
    <n v="59297"/>
    <x v="265"/>
    <x v="47"/>
    <s v="Medium"/>
    <n v="13"/>
    <n v="1582.47"/>
    <n v="0.05"/>
    <s v="Delivery Truck"/>
    <n v="-205.02420000000001"/>
    <n v="119.99"/>
    <n v="56.14"/>
    <x v="207"/>
    <x v="12"/>
    <x v="4"/>
    <x v="1"/>
    <x v="1"/>
    <x v="16"/>
    <x v="735"/>
    <s v="Jumbo Box"/>
    <n v="0.39"/>
    <d v="2009-12-11T00:00:00"/>
    <n v="0"/>
    <n v="0"/>
    <n v="1"/>
    <n v="1"/>
  </r>
  <r>
    <n v="2"/>
    <n v="6"/>
    <x v="1412"/>
    <x v="12"/>
    <s v="Not Specified"/>
    <n v="2"/>
    <n v="6.93"/>
    <n v="0.01"/>
    <s v="Regular Air"/>
    <n v="-4.6399999999999997"/>
    <n v="2.08"/>
    <n v="2.56"/>
    <x v="781"/>
    <x v="12"/>
    <x v="4"/>
    <x v="2"/>
    <x v="0"/>
    <x v="15"/>
    <x v="583"/>
    <s v="Small Pack"/>
    <n v="0.55000000000000004"/>
    <d v="2012-02-21T00:00:00"/>
    <n v="0"/>
    <n v="0"/>
    <n v="1"/>
    <n v="1"/>
  </r>
  <r>
    <n v="3"/>
    <n v="32"/>
    <x v="979"/>
    <x v="2"/>
    <s v="High"/>
    <n v="26"/>
    <n v="2808.08"/>
    <n v="7.0000000000000007E-2"/>
    <s v="Regular Air"/>
    <n v="1054.82"/>
    <n v="107.53"/>
    <n v="5.81"/>
    <x v="652"/>
    <x v="12"/>
    <x v="4"/>
    <x v="2"/>
    <x v="2"/>
    <x v="4"/>
    <x v="348"/>
    <s v="Medium Box"/>
    <n v="0.65"/>
    <d v="2011-07-17T00:00:00"/>
    <n v="0"/>
    <n v="0"/>
    <n v="0.25"/>
    <n v="0.25"/>
  </r>
  <r>
    <n v="4"/>
    <n v="32"/>
    <x v="979"/>
    <x v="2"/>
    <s v="High"/>
    <n v="24"/>
    <n v="1761.4"/>
    <n v="0.09"/>
    <s v="Delivery Truck"/>
    <n v="-1748.56"/>
    <n v="70.89"/>
    <n v="89.3"/>
    <x v="652"/>
    <x v="12"/>
    <x v="4"/>
    <x v="2"/>
    <x v="2"/>
    <x v="10"/>
    <x v="818"/>
    <s v="Jumbo Box"/>
    <n v="0.72"/>
    <d v="2011-07-16T00:00:00"/>
    <n v="0"/>
    <n v="0"/>
    <n v="0.25"/>
    <n v="0.25"/>
  </r>
  <r>
    <n v="5"/>
    <n v="32"/>
    <x v="979"/>
    <x v="2"/>
    <s v="High"/>
    <n v="23"/>
    <n v="160.23349999999999"/>
    <n v="0.04"/>
    <s v="Regular Air"/>
    <n v="-85.129000000000005"/>
    <n v="7.99"/>
    <n v="5.03"/>
    <x v="652"/>
    <x v="12"/>
    <x v="4"/>
    <x v="2"/>
    <x v="1"/>
    <x v="3"/>
    <x v="51"/>
    <s v="Medium Box"/>
    <n v="0.6"/>
    <d v="2011-07-17T00:00:00"/>
    <n v="0"/>
    <n v="0"/>
    <n v="0.25"/>
    <n v="0.25"/>
  </r>
  <r>
    <n v="72"/>
    <n v="420"/>
    <x v="1043"/>
    <x v="17"/>
    <s v="Not Specified"/>
    <n v="8"/>
    <n v="43.29"/>
    <n v="0.09"/>
    <s v="Regular Air"/>
    <n v="-20.69"/>
    <n v="4.9800000000000004"/>
    <n v="4.8600000000000003"/>
    <x v="484"/>
    <x v="12"/>
    <x v="4"/>
    <x v="0"/>
    <x v="0"/>
    <x v="5"/>
    <x v="191"/>
    <s v="Small Box"/>
    <n v="0.38"/>
    <d v="2011-10-30T00:00:00"/>
    <n v="0"/>
    <n v="0"/>
    <n v="0.5"/>
    <n v="0.5"/>
  </r>
  <r>
    <n v="73"/>
    <n v="420"/>
    <x v="1043"/>
    <x v="17"/>
    <s v="Not Specified"/>
    <n v="6"/>
    <n v="41.7"/>
    <n v="0.03"/>
    <s v="Regular Air"/>
    <n v="-14.56"/>
    <n v="5.78"/>
    <n v="5.37"/>
    <x v="484"/>
    <x v="12"/>
    <x v="4"/>
    <x v="0"/>
    <x v="0"/>
    <x v="5"/>
    <x v="688"/>
    <s v="Small Box"/>
    <n v="0.36"/>
    <d v="2011-11-01T00:00:00"/>
    <n v="0"/>
    <n v="0"/>
    <n v="0.5"/>
    <n v="0.5"/>
  </r>
  <r>
    <n v="270"/>
    <n v="1857"/>
    <x v="1230"/>
    <x v="38"/>
    <s v="High"/>
    <n v="37"/>
    <n v="199.76"/>
    <n v="7.0000000000000007E-2"/>
    <s v="Regular Air"/>
    <n v="20"/>
    <n v="5.58"/>
    <n v="1.99"/>
    <x v="782"/>
    <x v="12"/>
    <x v="4"/>
    <x v="1"/>
    <x v="0"/>
    <x v="12"/>
    <x v="931"/>
    <s v="Wrap Bag"/>
    <n v="0.46"/>
    <d v="2010-01-13T00:00:00"/>
    <n v="1"/>
    <n v="0"/>
    <n v="1"/>
    <n v="1"/>
  </r>
  <r>
    <n v="328"/>
    <n v="2247"/>
    <x v="1277"/>
    <x v="9"/>
    <s v="Not Specified"/>
    <n v="6"/>
    <n v="21134.71"/>
    <n v="0.06"/>
    <s v="Delivery Truck"/>
    <n v="-4266.0884999999998"/>
    <n v="3502.14"/>
    <n v="8.73"/>
    <x v="783"/>
    <x v="12"/>
    <x v="4"/>
    <x v="0"/>
    <x v="1"/>
    <x v="16"/>
    <x v="1248"/>
    <s v="Jumbo Box"/>
    <n v="0.56999999999999995"/>
    <d v="2012-08-03T00:00:00"/>
    <n v="0"/>
    <n v="0"/>
    <n v="1"/>
    <n v="1"/>
  </r>
  <r>
    <n v="429"/>
    <n v="2882"/>
    <x v="1049"/>
    <x v="21"/>
    <s v="High"/>
    <n v="23"/>
    <n v="3872.87"/>
    <n v="0.03"/>
    <s v="Delivery Truck"/>
    <n v="565.34"/>
    <n v="160.97999999999999"/>
    <n v="30"/>
    <x v="784"/>
    <x v="12"/>
    <x v="4"/>
    <x v="1"/>
    <x v="2"/>
    <x v="14"/>
    <x v="580"/>
    <s v="Jumbo Drum"/>
    <n v="0.62"/>
    <d v="2011-08-23T00:00:00"/>
    <n v="0"/>
    <n v="0"/>
    <n v="0.5"/>
    <n v="0.5"/>
  </r>
  <r>
    <n v="430"/>
    <n v="2882"/>
    <x v="1049"/>
    <x v="21"/>
    <s v="High"/>
    <n v="9"/>
    <n v="356.72"/>
    <n v="7.0000000000000007E-2"/>
    <s v="Regular Air"/>
    <n v="12.61"/>
    <n v="40.98"/>
    <n v="1.99"/>
    <x v="784"/>
    <x v="12"/>
    <x v="4"/>
    <x v="1"/>
    <x v="1"/>
    <x v="7"/>
    <x v="559"/>
    <s v="Small Pack"/>
    <n v="0.44"/>
    <d v="2011-08-22T00:00:00"/>
    <n v="0"/>
    <n v="0"/>
    <n v="0.5"/>
    <n v="0.5"/>
  </r>
  <r>
    <n v="476"/>
    <n v="3297"/>
    <x v="1413"/>
    <x v="32"/>
    <s v="High"/>
    <n v="40"/>
    <n v="158.69999999999999"/>
    <n v="0.04"/>
    <s v="Regular Air"/>
    <n v="-196.8"/>
    <n v="3.75"/>
    <n v="7.5"/>
    <x v="785"/>
    <x v="12"/>
    <x v="4"/>
    <x v="1"/>
    <x v="0"/>
    <x v="11"/>
    <x v="1204"/>
    <s v="Small Box"/>
    <n v="0.37"/>
    <d v="2012-11-03T00:00:00"/>
    <n v="0"/>
    <n v="0"/>
    <n v="1"/>
    <n v="1"/>
  </r>
  <r>
    <n v="544"/>
    <n v="3655"/>
    <x v="473"/>
    <x v="1"/>
    <s v="Critical"/>
    <n v="3"/>
    <n v="62.54"/>
    <n v="0.02"/>
    <s v="Regular Air"/>
    <n v="-30.7395"/>
    <n v="15.99"/>
    <n v="13.18"/>
    <x v="484"/>
    <x v="12"/>
    <x v="4"/>
    <x v="0"/>
    <x v="0"/>
    <x v="2"/>
    <x v="22"/>
    <s v="Small Box"/>
    <n v="0.37"/>
    <d v="2012-10-05T00:00:00"/>
    <n v="0"/>
    <n v="0"/>
    <n v="0.5"/>
    <n v="0.25"/>
  </r>
  <r>
    <n v="545"/>
    <n v="3655"/>
    <x v="473"/>
    <x v="1"/>
    <s v="Critical"/>
    <n v="24"/>
    <n v="2750.107"/>
    <n v="0"/>
    <s v="Regular Air"/>
    <n v="600.41700000000003"/>
    <n v="125.99"/>
    <n v="7.69"/>
    <x v="484"/>
    <x v="12"/>
    <x v="4"/>
    <x v="0"/>
    <x v="1"/>
    <x v="3"/>
    <x v="44"/>
    <s v="Small Box"/>
    <n v="0.57999999999999996"/>
    <d v="2012-10-06T00:00:00"/>
    <n v="0"/>
    <n v="0"/>
    <n v="0.5"/>
    <n v="0.25"/>
  </r>
  <r>
    <n v="551"/>
    <n v="3746"/>
    <x v="1219"/>
    <x v="35"/>
    <s v="Not Specified"/>
    <n v="14"/>
    <n v="1463.0964999999999"/>
    <n v="0"/>
    <s v="Regular Air"/>
    <n v="162.666"/>
    <n v="115.99"/>
    <n v="2.5"/>
    <x v="786"/>
    <x v="12"/>
    <x v="4"/>
    <x v="2"/>
    <x v="1"/>
    <x v="3"/>
    <x v="41"/>
    <s v="Small Box"/>
    <n v="0.56999999999999995"/>
    <d v="2009-09-10T00:00:00"/>
    <n v="0"/>
    <n v="0"/>
    <n v="0.5"/>
    <n v="0.5"/>
  </r>
  <r>
    <n v="552"/>
    <n v="3746"/>
    <x v="1219"/>
    <x v="35"/>
    <s v="Not Specified"/>
    <n v="38"/>
    <n v="246.3"/>
    <n v="0.02"/>
    <s v="Regular Air"/>
    <n v="-67.489999999999995"/>
    <n v="5.98"/>
    <n v="5.79"/>
    <x v="786"/>
    <x v="12"/>
    <x v="4"/>
    <x v="2"/>
    <x v="0"/>
    <x v="5"/>
    <x v="723"/>
    <s v="Small Box"/>
    <n v="0.36"/>
    <d v="2009-09-11T00:00:00"/>
    <n v="0"/>
    <n v="0"/>
    <n v="0.5"/>
    <n v="0.5"/>
  </r>
  <r>
    <n v="569"/>
    <n v="3845"/>
    <x v="178"/>
    <x v="13"/>
    <s v="Critical"/>
    <n v="9"/>
    <n v="3064.27"/>
    <n v="0.09"/>
    <s v="Regular Air"/>
    <n v="294.39"/>
    <n v="363.25"/>
    <n v="19.989999999999998"/>
    <x v="787"/>
    <x v="12"/>
    <x v="4"/>
    <x v="1"/>
    <x v="0"/>
    <x v="1"/>
    <x v="445"/>
    <s v="Small Box"/>
    <n v="0.56999999999999995"/>
    <d v="2012-04-25T00:00:00"/>
    <n v="0"/>
    <n v="0"/>
    <n v="0.33333333333333331"/>
    <n v="0.33333333333333331"/>
  </r>
  <r>
    <n v="570"/>
    <n v="3845"/>
    <x v="178"/>
    <x v="13"/>
    <s v="Critical"/>
    <n v="22"/>
    <n v="475.72"/>
    <n v="0.02"/>
    <s v="Regular Air"/>
    <n v="-10.4"/>
    <n v="19.98"/>
    <n v="10.49"/>
    <x v="787"/>
    <x v="12"/>
    <x v="4"/>
    <x v="1"/>
    <x v="2"/>
    <x v="4"/>
    <x v="66"/>
    <s v="Small Box"/>
    <n v="0.49"/>
    <d v="2012-04-27T00:00:00"/>
    <n v="0"/>
    <n v="0"/>
    <n v="0.33333333333333331"/>
    <n v="0.33333333333333331"/>
  </r>
  <r>
    <n v="571"/>
    <n v="3845"/>
    <x v="178"/>
    <x v="13"/>
    <s v="Critical"/>
    <n v="15"/>
    <n v="123.91"/>
    <n v="0.09"/>
    <s v="Regular Air"/>
    <n v="39.04"/>
    <n v="8.34"/>
    <n v="0.96"/>
    <x v="787"/>
    <x v="12"/>
    <x v="4"/>
    <x v="1"/>
    <x v="2"/>
    <x v="4"/>
    <x v="956"/>
    <s v="Wrap Bag"/>
    <n v="0.43"/>
    <d v="2012-04-26T00:00:00"/>
    <n v="0"/>
    <n v="0"/>
    <n v="0.33333333333333331"/>
    <n v="0.33333333333333331"/>
  </r>
  <r>
    <n v="640"/>
    <n v="4514"/>
    <x v="478"/>
    <x v="46"/>
    <s v="Medium"/>
    <n v="28"/>
    <n v="2841.4395"/>
    <n v="0.08"/>
    <s v="Regular Air"/>
    <n v="374.625"/>
    <n v="125.99"/>
    <n v="7.69"/>
    <x v="784"/>
    <x v="12"/>
    <x v="4"/>
    <x v="1"/>
    <x v="1"/>
    <x v="3"/>
    <x v="658"/>
    <s v="Small Box"/>
    <n v="0.59"/>
    <d v="2009-04-30T00:00:00"/>
    <n v="0"/>
    <n v="0"/>
    <n v="1"/>
    <n v="1"/>
  </r>
  <r>
    <n v="666"/>
    <n v="4672"/>
    <x v="758"/>
    <x v="27"/>
    <s v="Critical"/>
    <n v="20"/>
    <n v="152.44"/>
    <n v="0.08"/>
    <s v="Regular Air"/>
    <n v="-16.64"/>
    <n v="7.7"/>
    <n v="3.68"/>
    <x v="786"/>
    <x v="12"/>
    <x v="4"/>
    <x v="2"/>
    <x v="2"/>
    <x v="4"/>
    <x v="803"/>
    <s v="Wrap Bag"/>
    <n v="0.52"/>
    <d v="2011-11-07T00:00:00"/>
    <n v="0"/>
    <n v="0"/>
    <n v="1"/>
    <n v="1"/>
  </r>
  <r>
    <n v="673"/>
    <n v="4705"/>
    <x v="1359"/>
    <x v="33"/>
    <s v="Not Specified"/>
    <n v="16"/>
    <n v="123.85"/>
    <n v="0.09"/>
    <s v="Regular Air"/>
    <n v="-71.44"/>
    <n v="7.98"/>
    <n v="6.5"/>
    <x v="34"/>
    <x v="12"/>
    <x v="4"/>
    <x v="2"/>
    <x v="0"/>
    <x v="0"/>
    <x v="1077"/>
    <s v="Medium Box"/>
    <n v="0.59"/>
    <d v="2012-03-23T00:00:00"/>
    <n v="0"/>
    <n v="0"/>
    <n v="1"/>
    <n v="1"/>
  </r>
  <r>
    <n v="692"/>
    <n v="4805"/>
    <x v="981"/>
    <x v="13"/>
    <s v="Not Specified"/>
    <n v="7"/>
    <n v="55.38"/>
    <n v="0.02"/>
    <s v="Regular Air"/>
    <n v="-25.95"/>
    <n v="6.48"/>
    <n v="7.37"/>
    <x v="484"/>
    <x v="12"/>
    <x v="4"/>
    <x v="0"/>
    <x v="0"/>
    <x v="5"/>
    <x v="673"/>
    <s v="Small Box"/>
    <n v="0.37"/>
    <d v="2012-04-27T00:00:00"/>
    <n v="0"/>
    <n v="0"/>
    <n v="1"/>
    <n v="1"/>
  </r>
  <r>
    <n v="728"/>
    <n v="5222"/>
    <x v="772"/>
    <x v="43"/>
    <s v="Not Specified"/>
    <n v="40"/>
    <n v="14451.75"/>
    <n v="0.01"/>
    <s v="Delivery Truck"/>
    <n v="4503.63"/>
    <n v="349.45"/>
    <n v="60"/>
    <x v="788"/>
    <x v="12"/>
    <x v="4"/>
    <x v="1"/>
    <x v="2"/>
    <x v="10"/>
    <x v="195"/>
    <s v="Jumbo Drum"/>
    <m/>
    <d v="2009-05-27T00:00:00"/>
    <n v="0"/>
    <n v="0"/>
    <n v="1"/>
    <n v="1"/>
  </r>
  <r>
    <n v="757"/>
    <n v="5441"/>
    <x v="1333"/>
    <x v="36"/>
    <s v="Not Specified"/>
    <n v="34"/>
    <n v="226.83"/>
    <n v="0.02"/>
    <s v="Regular Air"/>
    <n v="-92.05"/>
    <n v="6.48"/>
    <n v="6.6"/>
    <x v="696"/>
    <x v="12"/>
    <x v="4"/>
    <x v="1"/>
    <x v="0"/>
    <x v="5"/>
    <x v="226"/>
    <s v="Small Box"/>
    <n v="0.37"/>
    <d v="2009-07-22T00:00:00"/>
    <n v="0"/>
    <n v="0"/>
    <n v="0.5"/>
    <n v="0.5"/>
  </r>
  <r>
    <n v="758"/>
    <n v="5441"/>
    <x v="1333"/>
    <x v="36"/>
    <s v="Not Specified"/>
    <n v="16"/>
    <n v="278.92"/>
    <n v="0.04"/>
    <s v="Regular Air"/>
    <n v="6.11"/>
    <n v="17.149999999999999"/>
    <n v="4.96"/>
    <x v="696"/>
    <x v="12"/>
    <x v="4"/>
    <x v="1"/>
    <x v="0"/>
    <x v="0"/>
    <x v="1118"/>
    <s v="Small Box"/>
    <n v="0.57999999999999996"/>
    <d v="2009-07-21T00:00:00"/>
    <n v="0"/>
    <n v="0"/>
    <n v="0.5"/>
    <n v="0.5"/>
  </r>
  <r>
    <n v="902"/>
    <n v="6500"/>
    <x v="816"/>
    <x v="1"/>
    <s v="Critical"/>
    <n v="15"/>
    <n v="448.07"/>
    <n v="0.1"/>
    <s v="Regular Air"/>
    <n v="-141.02000000000001"/>
    <n v="30.42"/>
    <n v="8.65"/>
    <x v="484"/>
    <x v="12"/>
    <x v="4"/>
    <x v="3"/>
    <x v="1"/>
    <x v="7"/>
    <x v="251"/>
    <s v="Small Box"/>
    <n v="0.74"/>
    <d v="2012-10-14T00:00:00"/>
    <n v="0"/>
    <n v="0"/>
    <n v="0.5"/>
    <n v="0.25"/>
  </r>
  <r>
    <n v="903"/>
    <n v="6500"/>
    <x v="816"/>
    <x v="1"/>
    <s v="Critical"/>
    <n v="20"/>
    <n v="38.29"/>
    <n v="0.06"/>
    <s v="Regular Air"/>
    <n v="-16.149999999999999"/>
    <n v="1.95"/>
    <n v="1.63"/>
    <x v="484"/>
    <x v="12"/>
    <x v="4"/>
    <x v="3"/>
    <x v="0"/>
    <x v="12"/>
    <x v="1060"/>
    <s v="Wrap Bag"/>
    <n v="0.46"/>
    <d v="2012-10-13T00:00:00"/>
    <n v="0"/>
    <n v="0"/>
    <n v="0.5"/>
    <n v="0.25"/>
  </r>
  <r>
    <n v="914"/>
    <n v="6562"/>
    <x v="874"/>
    <x v="47"/>
    <s v="Critical"/>
    <n v="12"/>
    <n v="17274.87"/>
    <n v="0.02"/>
    <s v="Delivery Truck"/>
    <n v="2028.12"/>
    <n v="1360.14"/>
    <n v="14.7"/>
    <x v="696"/>
    <x v="12"/>
    <x v="4"/>
    <x v="1"/>
    <x v="1"/>
    <x v="16"/>
    <x v="153"/>
    <s v="Jumbo Drum"/>
    <n v="0.59"/>
    <d v="2009-12-22T00:00:00"/>
    <n v="0"/>
    <n v="0"/>
    <n v="1"/>
    <n v="0.5"/>
  </r>
  <r>
    <n v="998"/>
    <n v="7203"/>
    <x v="1197"/>
    <x v="22"/>
    <s v="High"/>
    <n v="25"/>
    <n v="21752.01"/>
    <n v="0.03"/>
    <s v="Regular Air"/>
    <n v="9296.348"/>
    <n v="896.99"/>
    <n v="19.989999999999998"/>
    <x v="781"/>
    <x v="12"/>
    <x v="4"/>
    <x v="2"/>
    <x v="0"/>
    <x v="2"/>
    <x v="317"/>
    <s v="Small Box"/>
    <n v="0.38"/>
    <d v="2009-01-10T00:00:00"/>
    <n v="0"/>
    <n v="1"/>
    <n v="1"/>
    <n v="1"/>
  </r>
  <r>
    <n v="1035"/>
    <n v="7553"/>
    <x v="193"/>
    <x v="39"/>
    <s v="Medium"/>
    <n v="12"/>
    <n v="1079.19"/>
    <n v="7.0000000000000007E-2"/>
    <s v="Regular Air"/>
    <n v="46.8"/>
    <n v="92.23"/>
    <n v="39.61"/>
    <x v="484"/>
    <x v="12"/>
    <x v="4"/>
    <x v="3"/>
    <x v="2"/>
    <x v="4"/>
    <x v="54"/>
    <s v="Medium Box"/>
    <n v="0.67"/>
    <d v="2010-05-08T00:00:00"/>
    <n v="0"/>
    <n v="0"/>
    <n v="0.5"/>
    <n v="0.5"/>
  </r>
  <r>
    <n v="1036"/>
    <n v="7553"/>
    <x v="193"/>
    <x v="39"/>
    <s v="Medium"/>
    <n v="3"/>
    <n v="19.05"/>
    <n v="0.04"/>
    <s v="Regular Air"/>
    <n v="-14.81"/>
    <n v="4.28"/>
    <n v="6.72"/>
    <x v="484"/>
    <x v="12"/>
    <x v="4"/>
    <x v="3"/>
    <x v="0"/>
    <x v="5"/>
    <x v="777"/>
    <s v="Small Box"/>
    <n v="0.4"/>
    <d v="2010-05-10T00:00:00"/>
    <n v="0"/>
    <n v="0"/>
    <n v="0.5"/>
    <n v="0.5"/>
  </r>
  <r>
    <n v="1046"/>
    <n v="7680"/>
    <x v="274"/>
    <x v="37"/>
    <s v="Not Specified"/>
    <n v="32"/>
    <n v="1141.3699999999999"/>
    <n v="0.04"/>
    <s v="Regular Air"/>
    <n v="-0.14000000000000057"/>
    <n v="35.44"/>
    <n v="19.989999999999998"/>
    <x v="115"/>
    <x v="12"/>
    <x v="4"/>
    <x v="0"/>
    <x v="0"/>
    <x v="5"/>
    <x v="1063"/>
    <s v="Small Box"/>
    <n v="0.38"/>
    <d v="2011-04-08T00:00:00"/>
    <n v="0"/>
    <n v="0"/>
    <n v="1"/>
    <n v="0.33333333333333331"/>
  </r>
  <r>
    <n v="1047"/>
    <n v="7719"/>
    <x v="1207"/>
    <x v="28"/>
    <s v="Low"/>
    <n v="37"/>
    <n v="522.62"/>
    <n v="0.02"/>
    <s v="Regular Air"/>
    <n v="34.520000000000003"/>
    <n v="13.48"/>
    <n v="4.51"/>
    <x v="484"/>
    <x v="12"/>
    <x v="4"/>
    <x v="3"/>
    <x v="0"/>
    <x v="0"/>
    <x v="27"/>
    <s v="Small Box"/>
    <n v="0.59"/>
    <d v="2009-03-23T00:00:00"/>
    <n v="0"/>
    <n v="0"/>
    <n v="1"/>
    <n v="0.5"/>
  </r>
  <r>
    <n v="1116"/>
    <n v="8167"/>
    <x v="9"/>
    <x v="9"/>
    <s v="Critical"/>
    <n v="4"/>
    <n v="30.95"/>
    <n v="0.1"/>
    <s v="Regular Air"/>
    <n v="-16.48"/>
    <n v="6.48"/>
    <n v="6.22"/>
    <x v="115"/>
    <x v="12"/>
    <x v="4"/>
    <x v="0"/>
    <x v="0"/>
    <x v="5"/>
    <x v="731"/>
    <s v="Small Box"/>
    <n v="0.37"/>
    <d v="2012-08-06T00:00:00"/>
    <n v="0"/>
    <n v="0"/>
    <n v="0.5"/>
    <n v="0.5"/>
  </r>
  <r>
    <n v="1117"/>
    <n v="8167"/>
    <x v="9"/>
    <x v="9"/>
    <s v="Critical"/>
    <n v="48"/>
    <n v="1449.3009999999999"/>
    <n v="0.06"/>
    <s v="Regular Air"/>
    <n v="432.37800000000004"/>
    <n v="35.99"/>
    <n v="1.25"/>
    <x v="115"/>
    <x v="12"/>
    <x v="4"/>
    <x v="0"/>
    <x v="1"/>
    <x v="3"/>
    <x v="542"/>
    <s v="Small Pack"/>
    <n v="0.56999999999999995"/>
    <d v="2012-08-06T00:00:00"/>
    <n v="0"/>
    <n v="0"/>
    <n v="0.5"/>
    <n v="0.5"/>
  </r>
  <r>
    <n v="1146"/>
    <n v="8353"/>
    <x v="503"/>
    <x v="43"/>
    <s v="Medium"/>
    <n v="34"/>
    <n v="286.89999999999998"/>
    <n v="0.06"/>
    <s v="Regular Air"/>
    <n v="-36.630000000000003"/>
    <n v="8.32"/>
    <n v="2.38"/>
    <x v="696"/>
    <x v="12"/>
    <x v="4"/>
    <x v="1"/>
    <x v="1"/>
    <x v="7"/>
    <x v="1090"/>
    <s v="Small Pack"/>
    <n v="0.74"/>
    <d v="2009-05-17T00:00:00"/>
    <n v="0"/>
    <n v="0"/>
    <n v="0.5"/>
    <n v="0.5"/>
  </r>
  <r>
    <n v="1147"/>
    <n v="8353"/>
    <x v="503"/>
    <x v="43"/>
    <s v="Medium"/>
    <n v="16"/>
    <n v="46.4"/>
    <n v="0.08"/>
    <s v="Regular Air"/>
    <n v="-2.12"/>
    <n v="2.94"/>
    <n v="0.96"/>
    <x v="696"/>
    <x v="12"/>
    <x v="4"/>
    <x v="1"/>
    <x v="0"/>
    <x v="12"/>
    <x v="361"/>
    <s v="Wrap Bag"/>
    <n v="0.57999999999999996"/>
    <d v="2009-05-17T00:00:00"/>
    <n v="0"/>
    <n v="0"/>
    <n v="0.5"/>
    <n v="0.5"/>
  </r>
  <r>
    <n v="1178"/>
    <n v="8609"/>
    <x v="381"/>
    <x v="13"/>
    <s v="Critical"/>
    <n v="4"/>
    <n v="72.003499999999988"/>
    <n v="0.04"/>
    <s v="Regular Air"/>
    <n v="-108.075"/>
    <n v="20.99"/>
    <n v="2.5"/>
    <x v="782"/>
    <x v="12"/>
    <x v="4"/>
    <x v="2"/>
    <x v="1"/>
    <x v="3"/>
    <x v="32"/>
    <s v="Wrap Bag"/>
    <n v="0.81"/>
    <d v="2012-04-15T00:00:00"/>
    <n v="0"/>
    <n v="0"/>
    <n v="1"/>
    <n v="0.5"/>
  </r>
  <r>
    <n v="1232"/>
    <n v="8997"/>
    <x v="370"/>
    <x v="36"/>
    <s v="Low"/>
    <n v="40"/>
    <n v="17279.62"/>
    <n v="0.04"/>
    <s v="Regular Air"/>
    <n v="4176.2530000000006"/>
    <n v="449.99"/>
    <n v="24.49"/>
    <x v="484"/>
    <x v="12"/>
    <x v="4"/>
    <x v="0"/>
    <x v="1"/>
    <x v="13"/>
    <x v="26"/>
    <s v="Large Box"/>
    <n v="0.52"/>
    <d v="2009-07-05T00:00:00"/>
    <n v="0"/>
    <n v="0"/>
    <n v="0.5"/>
    <n v="0.5"/>
  </r>
  <r>
    <n v="1233"/>
    <n v="8997"/>
    <x v="370"/>
    <x v="36"/>
    <s v="Low"/>
    <n v="20"/>
    <n v="120.3"/>
    <n v="0.01"/>
    <s v="Regular Air"/>
    <n v="20.38"/>
    <n v="5.84"/>
    <n v="1.2"/>
    <x v="484"/>
    <x v="12"/>
    <x v="4"/>
    <x v="0"/>
    <x v="0"/>
    <x v="12"/>
    <x v="288"/>
    <s v="Wrap Bag"/>
    <n v="0.55000000000000004"/>
    <d v="2009-07-10T00:00:00"/>
    <n v="0"/>
    <n v="0"/>
    <n v="0.5"/>
    <n v="0.5"/>
  </r>
  <r>
    <n v="1248"/>
    <n v="9089"/>
    <x v="1026"/>
    <x v="39"/>
    <s v="Critical"/>
    <n v="8"/>
    <n v="822.34950000000003"/>
    <n v="0.1"/>
    <s v="Express Air"/>
    <n v="-360.30500000000001"/>
    <n v="125.99"/>
    <n v="8.8000000000000007"/>
    <x v="539"/>
    <x v="12"/>
    <x v="4"/>
    <x v="0"/>
    <x v="1"/>
    <x v="3"/>
    <x v="626"/>
    <s v="Small Box"/>
    <n v="0.59"/>
    <d v="2010-05-24T00:00:00"/>
    <n v="0"/>
    <n v="0"/>
    <n v="1"/>
    <n v="1"/>
  </r>
  <r>
    <n v="1267"/>
    <n v="9221"/>
    <x v="1097"/>
    <x v="16"/>
    <s v="Low"/>
    <n v="9"/>
    <n v="79.64"/>
    <n v="0.03"/>
    <s v="Regular Air"/>
    <n v="-377.74"/>
    <n v="3.25"/>
    <n v="49"/>
    <x v="789"/>
    <x v="12"/>
    <x v="4"/>
    <x v="1"/>
    <x v="0"/>
    <x v="1"/>
    <x v="933"/>
    <s v="Large Box"/>
    <n v="0.56000000000000005"/>
    <d v="2011-01-07T00:00:00"/>
    <n v="0"/>
    <n v="0"/>
    <n v="0.5"/>
    <n v="0.5"/>
  </r>
  <r>
    <n v="1268"/>
    <n v="9221"/>
    <x v="1097"/>
    <x v="16"/>
    <s v="Low"/>
    <n v="25"/>
    <n v="1527.42"/>
    <n v="0.04"/>
    <s v="Regular Air"/>
    <n v="326.39999999999998"/>
    <n v="60.98"/>
    <n v="19.989999999999998"/>
    <x v="789"/>
    <x v="12"/>
    <x v="4"/>
    <x v="1"/>
    <x v="0"/>
    <x v="8"/>
    <x v="600"/>
    <s v="Small Box"/>
    <n v="0.38"/>
    <d v="2011-01-07T00:00:00"/>
    <n v="0"/>
    <n v="0"/>
    <n v="0.5"/>
    <n v="0.5"/>
  </r>
  <r>
    <n v="1280"/>
    <n v="9286"/>
    <x v="479"/>
    <x v="37"/>
    <s v="Critical"/>
    <n v="26"/>
    <n v="123.16"/>
    <n v="0.1"/>
    <s v="Regular Air"/>
    <n v="45.79"/>
    <n v="4.9800000000000004"/>
    <n v="0.8"/>
    <x v="788"/>
    <x v="12"/>
    <x v="4"/>
    <x v="1"/>
    <x v="0"/>
    <x v="5"/>
    <x v="657"/>
    <s v="Wrap Bag"/>
    <n v="0.36"/>
    <d v="2011-04-05T00:00:00"/>
    <n v="0"/>
    <n v="0"/>
    <n v="1"/>
    <n v="1"/>
  </r>
  <r>
    <n v="1293"/>
    <n v="9476"/>
    <x v="1061"/>
    <x v="43"/>
    <s v="Not Specified"/>
    <n v="10"/>
    <n v="165.04"/>
    <n v="0.08"/>
    <s v="Express Air"/>
    <n v="-66.584999999999994"/>
    <n v="15.99"/>
    <n v="13.18"/>
    <x v="781"/>
    <x v="12"/>
    <x v="4"/>
    <x v="2"/>
    <x v="0"/>
    <x v="2"/>
    <x v="22"/>
    <s v="Small Box"/>
    <n v="0.37"/>
    <d v="2009-05-27T00:00:00"/>
    <n v="0"/>
    <n v="0"/>
    <n v="1"/>
    <n v="1"/>
  </r>
  <r>
    <n v="1313"/>
    <n v="9632"/>
    <x v="553"/>
    <x v="23"/>
    <s v="Low"/>
    <n v="33"/>
    <n v="3633.03"/>
    <n v="0.09"/>
    <s v="Regular Air"/>
    <n v="1440.2740000000001"/>
    <n v="120.98"/>
    <n v="9.07"/>
    <x v="310"/>
    <x v="12"/>
    <x v="4"/>
    <x v="3"/>
    <x v="0"/>
    <x v="2"/>
    <x v="352"/>
    <s v="Small Box"/>
    <n v="0.35"/>
    <d v="2012-01-20T00:00:00"/>
    <n v="0"/>
    <n v="0"/>
    <n v="1"/>
    <n v="1"/>
  </r>
  <r>
    <n v="1341"/>
    <n v="9796"/>
    <x v="930"/>
    <x v="18"/>
    <s v="Critical"/>
    <n v="29"/>
    <n v="1222.5899999999999"/>
    <n v="0.02"/>
    <s v="Regular Air"/>
    <n v="501.99"/>
    <n v="40.97"/>
    <n v="1.99"/>
    <x v="786"/>
    <x v="12"/>
    <x v="4"/>
    <x v="2"/>
    <x v="1"/>
    <x v="7"/>
    <x v="1066"/>
    <s v="Small Pack"/>
    <n v="0.42"/>
    <d v="2010-09-11T00:00:00"/>
    <n v="0"/>
    <n v="0"/>
    <n v="1"/>
    <n v="1"/>
  </r>
  <r>
    <n v="1377"/>
    <n v="9955"/>
    <x v="578"/>
    <x v="31"/>
    <s v="Critical"/>
    <n v="37"/>
    <n v="2912.0149999999999"/>
    <n v="0.09"/>
    <s v="Regular Air"/>
    <n v="698.16599999999994"/>
    <n v="95.99"/>
    <n v="4.9000000000000004"/>
    <x v="652"/>
    <x v="12"/>
    <x v="4"/>
    <x v="2"/>
    <x v="1"/>
    <x v="3"/>
    <x v="936"/>
    <s v="Small Box"/>
    <n v="0.56000000000000005"/>
    <d v="2011-09-06T00:00:00"/>
    <n v="0"/>
    <n v="0"/>
    <n v="1"/>
    <n v="1"/>
  </r>
  <r>
    <n v="1379"/>
    <n v="9985"/>
    <x v="77"/>
    <x v="3"/>
    <s v="Low"/>
    <n v="12"/>
    <n v="81.900000000000006"/>
    <n v="0.08"/>
    <s v="Regular Air"/>
    <n v="-23.52"/>
    <n v="6.68"/>
    <n v="5.2"/>
    <x v="785"/>
    <x v="12"/>
    <x v="4"/>
    <x v="1"/>
    <x v="0"/>
    <x v="5"/>
    <x v="320"/>
    <s v="Small Box"/>
    <n v="0.37"/>
    <d v="2010-08-07T00:00:00"/>
    <n v="0"/>
    <n v="0"/>
    <n v="1"/>
    <n v="1"/>
  </r>
  <r>
    <n v="1405"/>
    <n v="10212"/>
    <x v="1026"/>
    <x v="39"/>
    <s v="Low"/>
    <n v="14"/>
    <n v="74.02"/>
    <n v="0.02"/>
    <s v="Regular Air"/>
    <n v="-2.91"/>
    <n v="5.08"/>
    <n v="3.63"/>
    <x v="788"/>
    <x v="12"/>
    <x v="4"/>
    <x v="1"/>
    <x v="2"/>
    <x v="4"/>
    <x v="727"/>
    <s v="Wrap Bag"/>
    <n v="0.51"/>
    <d v="2010-05-25T00:00:00"/>
    <n v="0"/>
    <n v="0"/>
    <n v="0.5"/>
    <n v="0.5"/>
  </r>
  <r>
    <n v="1406"/>
    <n v="10212"/>
    <x v="1026"/>
    <x v="39"/>
    <s v="Low"/>
    <n v="22"/>
    <n v="1276.17"/>
    <n v="0"/>
    <s v="Regular Air"/>
    <n v="564.22"/>
    <n v="55.48"/>
    <n v="6.79"/>
    <x v="788"/>
    <x v="12"/>
    <x v="4"/>
    <x v="1"/>
    <x v="0"/>
    <x v="5"/>
    <x v="812"/>
    <s v="Small Box"/>
    <n v="0.37"/>
    <d v="2010-05-27T00:00:00"/>
    <n v="0"/>
    <n v="0"/>
    <n v="0.5"/>
    <n v="0.5"/>
  </r>
  <r>
    <n v="1446"/>
    <n v="10439"/>
    <x v="677"/>
    <x v="33"/>
    <s v="Not Specified"/>
    <n v="41"/>
    <n v="823.13"/>
    <n v="0"/>
    <s v="Regular Air"/>
    <n v="384.5145"/>
    <n v="18.940000000000001"/>
    <n v="1.49"/>
    <x v="785"/>
    <x v="12"/>
    <x v="4"/>
    <x v="1"/>
    <x v="0"/>
    <x v="2"/>
    <x v="695"/>
    <s v="Small Box"/>
    <n v="0.35"/>
    <d v="2012-03-30T00:00:00"/>
    <n v="0"/>
    <n v="0"/>
    <n v="0.25"/>
    <n v="0.25"/>
  </r>
  <r>
    <n v="1447"/>
    <n v="10439"/>
    <x v="677"/>
    <x v="33"/>
    <s v="Not Specified"/>
    <n v="30"/>
    <n v="569.61"/>
    <n v="0.02"/>
    <s v="Regular Air"/>
    <n v="-48.44"/>
    <n v="17.98"/>
    <n v="4"/>
    <x v="785"/>
    <x v="12"/>
    <x v="4"/>
    <x v="1"/>
    <x v="1"/>
    <x v="7"/>
    <x v="661"/>
    <s v="Small Box"/>
    <n v="0.79"/>
    <d v="2012-03-30T00:00:00"/>
    <n v="0"/>
    <n v="0"/>
    <n v="0.25"/>
    <n v="0.25"/>
  </r>
  <r>
    <n v="1448"/>
    <n v="10439"/>
    <x v="677"/>
    <x v="33"/>
    <s v="Not Specified"/>
    <n v="27"/>
    <n v="75.06"/>
    <n v="0.09"/>
    <s v="Regular Air"/>
    <n v="26.13"/>
    <n v="2.89"/>
    <n v="0.5"/>
    <x v="785"/>
    <x v="12"/>
    <x v="4"/>
    <x v="1"/>
    <x v="0"/>
    <x v="11"/>
    <x v="349"/>
    <s v="Small Box"/>
    <n v="0.38"/>
    <d v="2012-03-29T00:00:00"/>
    <n v="0"/>
    <n v="0"/>
    <n v="0.25"/>
    <n v="0.25"/>
  </r>
  <r>
    <n v="1449"/>
    <n v="10439"/>
    <x v="677"/>
    <x v="33"/>
    <s v="Not Specified"/>
    <n v="46"/>
    <n v="225.13"/>
    <n v="0.01"/>
    <s v="Express Air"/>
    <n v="-205.75"/>
    <n v="4.4800000000000004"/>
    <n v="7.24"/>
    <x v="785"/>
    <x v="12"/>
    <x v="4"/>
    <x v="1"/>
    <x v="2"/>
    <x v="4"/>
    <x v="1125"/>
    <s v="Small Box"/>
    <n v="0.54"/>
    <d v="2012-03-30T00:00:00"/>
    <n v="0"/>
    <n v="0"/>
    <n v="0.25"/>
    <n v="0.25"/>
  </r>
  <r>
    <n v="1450"/>
    <n v="10464"/>
    <x v="124"/>
    <x v="26"/>
    <s v="Critical"/>
    <n v="23"/>
    <n v="121.73"/>
    <n v="0.01"/>
    <s v="Regular Air"/>
    <n v="-69.069999999999993"/>
    <n v="4.9800000000000004"/>
    <n v="6.07"/>
    <x v="696"/>
    <x v="12"/>
    <x v="4"/>
    <x v="1"/>
    <x v="0"/>
    <x v="5"/>
    <x v="231"/>
    <s v="Small Box"/>
    <n v="0.36"/>
    <d v="2009-08-11T00:00:00"/>
    <n v="0"/>
    <n v="0"/>
    <n v="1"/>
    <n v="1"/>
  </r>
  <r>
    <n v="1498"/>
    <n v="10820"/>
    <x v="1414"/>
    <x v="25"/>
    <s v="Not Specified"/>
    <n v="49"/>
    <n v="2072.12"/>
    <n v="0.04"/>
    <s v="Express Air"/>
    <n v="365.23"/>
    <n v="40.97"/>
    <n v="8.99"/>
    <x v="790"/>
    <x v="12"/>
    <x v="4"/>
    <x v="0"/>
    <x v="0"/>
    <x v="12"/>
    <x v="608"/>
    <s v="Small Pack"/>
    <n v="0.59"/>
    <d v="2011-12-28T00:00:00"/>
    <n v="0"/>
    <n v="0"/>
    <n v="0.5"/>
    <n v="0.5"/>
  </r>
  <r>
    <n v="1499"/>
    <n v="10820"/>
    <x v="1414"/>
    <x v="25"/>
    <s v="Not Specified"/>
    <n v="33"/>
    <n v="151.19"/>
    <n v="0.06"/>
    <s v="Regular Air"/>
    <n v="-13.45"/>
    <n v="4.71"/>
    <n v="0.7"/>
    <x v="790"/>
    <x v="12"/>
    <x v="4"/>
    <x v="0"/>
    <x v="0"/>
    <x v="6"/>
    <x v="287"/>
    <s v="Wrap Bag"/>
    <n v="0.85"/>
    <d v="2011-12-27T00:00:00"/>
    <n v="0"/>
    <n v="0"/>
    <n v="0.5"/>
    <n v="0.5"/>
  </r>
  <r>
    <n v="1529"/>
    <n v="11013"/>
    <x v="1312"/>
    <x v="46"/>
    <s v="High"/>
    <n v="2"/>
    <n v="226.88200000000001"/>
    <n v="0.01"/>
    <s v="Regular Air"/>
    <n v="-582.64799999999991"/>
    <n v="125.99"/>
    <n v="8.99"/>
    <x v="781"/>
    <x v="12"/>
    <x v="4"/>
    <x v="2"/>
    <x v="1"/>
    <x v="3"/>
    <x v="713"/>
    <s v="Small Box"/>
    <n v="0.59"/>
    <d v="2009-04-18T00:00:00"/>
    <n v="0"/>
    <n v="0"/>
    <n v="1"/>
    <n v="1"/>
  </r>
  <r>
    <n v="1546"/>
    <n v="11169"/>
    <x v="344"/>
    <x v="39"/>
    <s v="Medium"/>
    <n v="46"/>
    <n v="398.86"/>
    <n v="0.08"/>
    <s v="Regular Air"/>
    <n v="-26.45"/>
    <n v="8.85"/>
    <n v="5.6"/>
    <x v="691"/>
    <x v="12"/>
    <x v="4"/>
    <x v="2"/>
    <x v="0"/>
    <x v="2"/>
    <x v="182"/>
    <s v="Small Box"/>
    <n v="0.36"/>
    <d v="2010-05-22T00:00:00"/>
    <n v="0"/>
    <n v="0"/>
    <n v="0.33333333333333331"/>
    <n v="0.33333333333333331"/>
  </r>
  <r>
    <n v="1547"/>
    <n v="11169"/>
    <x v="344"/>
    <x v="39"/>
    <s v="Medium"/>
    <n v="44"/>
    <n v="109.18"/>
    <n v="0.09"/>
    <s v="Regular Air"/>
    <n v="37.17"/>
    <n v="2.61"/>
    <n v="0.5"/>
    <x v="691"/>
    <x v="12"/>
    <x v="4"/>
    <x v="2"/>
    <x v="0"/>
    <x v="11"/>
    <x v="400"/>
    <s v="Small Box"/>
    <n v="0.39"/>
    <d v="2010-05-21T00:00:00"/>
    <n v="0"/>
    <n v="0"/>
    <n v="0.33333333333333331"/>
    <n v="0.33333333333333331"/>
  </r>
  <r>
    <n v="1548"/>
    <n v="11169"/>
    <x v="344"/>
    <x v="39"/>
    <s v="Medium"/>
    <n v="5"/>
    <n v="28.59"/>
    <n v="0.05"/>
    <s v="Regular Air"/>
    <n v="-14.33"/>
    <n v="4.9800000000000004"/>
    <n v="4.7"/>
    <x v="691"/>
    <x v="12"/>
    <x v="4"/>
    <x v="2"/>
    <x v="0"/>
    <x v="5"/>
    <x v="725"/>
    <s v="Small Box"/>
    <n v="0.38"/>
    <d v="2010-05-22T00:00:00"/>
    <n v="0"/>
    <n v="0"/>
    <n v="0.33333333333333331"/>
    <n v="0.33333333333333331"/>
  </r>
  <r>
    <n v="1606"/>
    <n v="11651"/>
    <x v="1290"/>
    <x v="44"/>
    <s v="Medium"/>
    <n v="19"/>
    <n v="65.849999999999994"/>
    <n v="7.0000000000000007E-2"/>
    <s v="Express Air"/>
    <n v="3.9"/>
    <n v="3.28"/>
    <n v="0.98"/>
    <x v="308"/>
    <x v="12"/>
    <x v="4"/>
    <x v="0"/>
    <x v="0"/>
    <x v="12"/>
    <x v="1188"/>
    <s v="Wrap Bag"/>
    <n v="0.59"/>
    <d v="2011-02-24T00:00:00"/>
    <n v="0"/>
    <n v="0"/>
    <n v="1"/>
    <n v="1"/>
  </r>
  <r>
    <n v="1635"/>
    <n v="11840"/>
    <x v="691"/>
    <x v="26"/>
    <s v="Critical"/>
    <n v="43"/>
    <n v="181.5"/>
    <n v="0.08"/>
    <s v="Regular Air"/>
    <n v="-6.24"/>
    <n v="4.4800000000000004"/>
    <n v="2.5"/>
    <x v="784"/>
    <x v="12"/>
    <x v="4"/>
    <x v="1"/>
    <x v="0"/>
    <x v="8"/>
    <x v="660"/>
    <s v="Small Box"/>
    <n v="0.37"/>
    <d v="2009-08-15T00:00:00"/>
    <n v="0"/>
    <n v="0"/>
    <n v="1"/>
    <n v="1"/>
  </r>
  <r>
    <n v="1652"/>
    <n v="11909"/>
    <x v="385"/>
    <x v="11"/>
    <s v="Not Specified"/>
    <n v="11"/>
    <n v="194.17400000000001"/>
    <n v="0.03"/>
    <s v="Regular Air"/>
    <n v="-20.911000000000001"/>
    <n v="20.99"/>
    <n v="0.99"/>
    <x v="787"/>
    <x v="12"/>
    <x v="4"/>
    <x v="1"/>
    <x v="1"/>
    <x v="3"/>
    <x v="652"/>
    <s v="Wrap Bag"/>
    <n v="0.56999999999999995"/>
    <d v="2009-11-26T00:00:00"/>
    <n v="0"/>
    <n v="0"/>
    <n v="1"/>
    <n v="1"/>
  </r>
  <r>
    <n v="1653"/>
    <n v="11910"/>
    <x v="1183"/>
    <x v="4"/>
    <s v="High"/>
    <n v="21"/>
    <n v="49.23"/>
    <n v="0.01"/>
    <s v="Regular Air"/>
    <n v="-77.705499999999986"/>
    <n v="1.98"/>
    <n v="4.7699999999999996"/>
    <x v="789"/>
    <x v="12"/>
    <x v="4"/>
    <x v="3"/>
    <x v="0"/>
    <x v="2"/>
    <x v="1134"/>
    <s v="Small Box"/>
    <n v="0.4"/>
    <d v="2011-06-17T00:00:00"/>
    <n v="0"/>
    <n v="0"/>
    <n v="1"/>
    <n v="1"/>
  </r>
  <r>
    <n v="1657"/>
    <n v="11943"/>
    <x v="1370"/>
    <x v="24"/>
    <s v="Low"/>
    <n v="49"/>
    <n v="657.94"/>
    <n v="0.09"/>
    <s v="Regular Air"/>
    <n v="7.3525"/>
    <n v="14.45"/>
    <n v="7.17"/>
    <x v="787"/>
    <x v="12"/>
    <x v="4"/>
    <x v="1"/>
    <x v="0"/>
    <x v="2"/>
    <x v="853"/>
    <s v="Small Box"/>
    <n v="0.38"/>
    <d v="2010-04-14T00:00:00"/>
    <n v="0"/>
    <n v="0"/>
    <n v="0.5"/>
    <n v="0.5"/>
  </r>
  <r>
    <n v="1658"/>
    <n v="11943"/>
    <x v="1370"/>
    <x v="24"/>
    <s v="Low"/>
    <n v="19"/>
    <n v="1270.73"/>
    <n v="0.08"/>
    <s v="Delivery Truck"/>
    <n v="-425.72"/>
    <n v="70.98"/>
    <n v="30"/>
    <x v="787"/>
    <x v="12"/>
    <x v="4"/>
    <x v="1"/>
    <x v="2"/>
    <x v="14"/>
    <x v="665"/>
    <s v="Jumbo Drum"/>
    <n v="0.73"/>
    <d v="2010-04-09T00:00:00"/>
    <n v="0"/>
    <n v="0"/>
    <n v="0.5"/>
    <n v="0.5"/>
  </r>
  <r>
    <n v="1722"/>
    <n v="12356"/>
    <x v="814"/>
    <x v="1"/>
    <s v="Critical"/>
    <n v="39"/>
    <n v="243.05"/>
    <n v="0.02"/>
    <s v="Regular Air"/>
    <n v="-70.849999999999994"/>
    <n v="5.98"/>
    <n v="5.35"/>
    <x v="784"/>
    <x v="12"/>
    <x v="4"/>
    <x v="1"/>
    <x v="0"/>
    <x v="5"/>
    <x v="687"/>
    <s v="Small Box"/>
    <n v="0.4"/>
    <d v="2012-10-21T00:00:00"/>
    <n v="0"/>
    <n v="0"/>
    <n v="1"/>
    <n v="1"/>
  </r>
  <r>
    <n v="1756"/>
    <n v="12581"/>
    <x v="886"/>
    <x v="19"/>
    <s v="High"/>
    <n v="31"/>
    <n v="1768.9689999999998"/>
    <n v="0"/>
    <s v="Express Air"/>
    <n v="341.1"/>
    <n v="65.989999999999995"/>
    <n v="5.99"/>
    <x v="539"/>
    <x v="12"/>
    <x v="4"/>
    <x v="0"/>
    <x v="1"/>
    <x v="3"/>
    <x v="421"/>
    <s v="Small Box"/>
    <n v="0.57999999999999996"/>
    <d v="2009-10-22T00:00:00"/>
    <n v="0"/>
    <n v="0"/>
    <n v="1"/>
    <n v="1"/>
  </r>
  <r>
    <n v="1818"/>
    <n v="13031"/>
    <x v="544"/>
    <x v="45"/>
    <s v="Low"/>
    <n v="34"/>
    <n v="210.06"/>
    <n v="0.08"/>
    <s v="Regular Air"/>
    <n v="-135"/>
    <n v="6.48"/>
    <n v="7.37"/>
    <x v="483"/>
    <x v="12"/>
    <x v="4"/>
    <x v="1"/>
    <x v="0"/>
    <x v="5"/>
    <x v="673"/>
    <s v="Small Box"/>
    <n v="0.37"/>
    <d v="2012-12-09T00:00:00"/>
    <n v="0"/>
    <n v="0"/>
    <n v="1"/>
    <n v="1"/>
  </r>
  <r>
    <n v="1831"/>
    <n v="13126"/>
    <x v="1261"/>
    <x v="17"/>
    <s v="Not Specified"/>
    <n v="43"/>
    <n v="24233.54"/>
    <n v="7.0000000000000007E-2"/>
    <s v="Regular Air"/>
    <n v="6492.6669999999995"/>
    <n v="599.99"/>
    <n v="24.49"/>
    <x v="785"/>
    <x v="12"/>
    <x v="4"/>
    <x v="1"/>
    <x v="1"/>
    <x v="13"/>
    <x v="984"/>
    <s v="Large Box"/>
    <n v="0.5"/>
    <d v="2011-10-20T00:00:00"/>
    <n v="0"/>
    <n v="0"/>
    <n v="0.33333333333333331"/>
    <n v="0.33333333333333331"/>
  </r>
  <r>
    <n v="1832"/>
    <n v="13126"/>
    <x v="1261"/>
    <x v="17"/>
    <s v="Not Specified"/>
    <n v="45"/>
    <n v="6325.65"/>
    <n v="0.02"/>
    <s v="Delivery Truck"/>
    <n v="114.46"/>
    <n v="135.99"/>
    <n v="28.63"/>
    <x v="785"/>
    <x v="12"/>
    <x v="4"/>
    <x v="1"/>
    <x v="2"/>
    <x v="14"/>
    <x v="333"/>
    <s v="Jumbo Drum"/>
    <n v="0.76"/>
    <d v="2011-10-21T00:00:00"/>
    <n v="0"/>
    <n v="0"/>
    <n v="0.33333333333333331"/>
    <n v="0.33333333333333331"/>
  </r>
  <r>
    <n v="1833"/>
    <n v="13126"/>
    <x v="1261"/>
    <x v="17"/>
    <s v="Not Specified"/>
    <n v="2"/>
    <n v="380.62"/>
    <n v="0.02"/>
    <s v="Delivery Truck"/>
    <n v="-301.73"/>
    <n v="179.29"/>
    <n v="29.21"/>
    <x v="785"/>
    <x v="12"/>
    <x v="4"/>
    <x v="1"/>
    <x v="2"/>
    <x v="10"/>
    <x v="102"/>
    <s v="Jumbo Box"/>
    <n v="0.74"/>
    <d v="2011-10-21T00:00:00"/>
    <n v="0"/>
    <n v="0"/>
    <n v="0.33333333333333331"/>
    <n v="0.33333333333333331"/>
  </r>
  <r>
    <n v="1844"/>
    <n v="13282"/>
    <x v="1284"/>
    <x v="20"/>
    <s v="Low"/>
    <n v="22"/>
    <n v="763.85"/>
    <n v="0.09"/>
    <s v="Regular Air"/>
    <n v="-126.6"/>
    <n v="34.979999999999997"/>
    <n v="7.53"/>
    <x v="782"/>
    <x v="12"/>
    <x v="4"/>
    <x v="2"/>
    <x v="1"/>
    <x v="7"/>
    <x v="874"/>
    <s v="Small Box"/>
    <n v="0.76"/>
    <d v="2012-05-14T00:00:00"/>
    <n v="0"/>
    <n v="0"/>
    <n v="0.5"/>
    <n v="0.5"/>
  </r>
  <r>
    <n v="1845"/>
    <n v="13282"/>
    <x v="1284"/>
    <x v="20"/>
    <s v="Low"/>
    <n v="2"/>
    <n v="12.59"/>
    <n v="0.02"/>
    <s v="Regular Air"/>
    <n v="-5.92"/>
    <n v="6.3"/>
    <n v="0.5"/>
    <x v="782"/>
    <x v="12"/>
    <x v="4"/>
    <x v="2"/>
    <x v="0"/>
    <x v="11"/>
    <x v="336"/>
    <s v="Small Box"/>
    <n v="0.39"/>
    <d v="2012-05-13T00:00:00"/>
    <n v="0"/>
    <n v="0"/>
    <n v="0.5"/>
    <n v="0.5"/>
  </r>
  <r>
    <n v="1933"/>
    <n v="13825"/>
    <x v="1207"/>
    <x v="28"/>
    <s v="High"/>
    <n v="30"/>
    <n v="186.79"/>
    <n v="0.09"/>
    <s v="Regular Air"/>
    <n v="-88.6"/>
    <n v="6.48"/>
    <n v="6.35"/>
    <x v="789"/>
    <x v="12"/>
    <x v="4"/>
    <x v="3"/>
    <x v="0"/>
    <x v="5"/>
    <x v="1108"/>
    <s v="Small Box"/>
    <n v="0.37"/>
    <d v="2009-03-22T00:00:00"/>
    <n v="0"/>
    <n v="0"/>
    <n v="1"/>
    <n v="1"/>
  </r>
  <r>
    <n v="1992"/>
    <n v="14212"/>
    <x v="1327"/>
    <x v="12"/>
    <s v="Critical"/>
    <n v="4"/>
    <n v="31.18"/>
    <n v="0"/>
    <s v="Regular Air"/>
    <n v="-17.16"/>
    <n v="6.24"/>
    <n v="5.22"/>
    <x v="790"/>
    <x v="12"/>
    <x v="4"/>
    <x v="0"/>
    <x v="2"/>
    <x v="4"/>
    <x v="864"/>
    <s v="Small Box"/>
    <n v="0.6"/>
    <d v="2012-02-17T00:00:00"/>
    <n v="0"/>
    <n v="0"/>
    <n v="0.5"/>
    <n v="0.5"/>
  </r>
  <r>
    <n v="1993"/>
    <n v="14212"/>
    <x v="1327"/>
    <x v="12"/>
    <s v="Critical"/>
    <n v="8"/>
    <n v="21.99"/>
    <n v="0.02"/>
    <s v="Regular Air"/>
    <n v="4.63"/>
    <n v="2.61"/>
    <n v="0.5"/>
    <x v="790"/>
    <x v="12"/>
    <x v="4"/>
    <x v="0"/>
    <x v="0"/>
    <x v="11"/>
    <x v="400"/>
    <s v="Small Box"/>
    <n v="0.39"/>
    <d v="2012-02-18T00:00:00"/>
    <n v="0"/>
    <n v="0"/>
    <n v="0.5"/>
    <n v="0.5"/>
  </r>
  <r>
    <n v="2067"/>
    <n v="14789"/>
    <x v="1010"/>
    <x v="7"/>
    <s v="Not Specified"/>
    <n v="37"/>
    <n v="438.07"/>
    <n v="0"/>
    <s v="Express Air"/>
    <n v="12.06"/>
    <n v="10.89"/>
    <n v="4.5"/>
    <x v="483"/>
    <x v="12"/>
    <x v="4"/>
    <x v="1"/>
    <x v="0"/>
    <x v="1"/>
    <x v="225"/>
    <s v="Small Box"/>
    <n v="0.59"/>
    <d v="2010-12-01T00:00:00"/>
    <n v="0"/>
    <n v="0"/>
    <n v="0.5"/>
    <n v="0.33333333333333331"/>
  </r>
  <r>
    <n v="2068"/>
    <n v="14789"/>
    <x v="1010"/>
    <x v="7"/>
    <s v="Not Specified"/>
    <n v="19"/>
    <n v="116.37"/>
    <n v="0.03"/>
    <s v="Regular Air"/>
    <n v="-32.6"/>
    <n v="5.58"/>
    <n v="5.3"/>
    <x v="483"/>
    <x v="12"/>
    <x v="4"/>
    <x v="1"/>
    <x v="0"/>
    <x v="8"/>
    <x v="686"/>
    <s v="Small Box"/>
    <n v="0.35"/>
    <d v="2010-11-30T00:00:00"/>
    <n v="0"/>
    <n v="0"/>
    <n v="0.5"/>
    <n v="0.33333333333333331"/>
  </r>
  <r>
    <n v="2192"/>
    <n v="15782"/>
    <x v="1103"/>
    <x v="33"/>
    <s v="High"/>
    <n v="35"/>
    <n v="2339.64"/>
    <n v="0.1"/>
    <s v="Regular Air"/>
    <n v="-1916.71"/>
    <n v="71.37"/>
    <n v="69"/>
    <x v="115"/>
    <x v="12"/>
    <x v="4"/>
    <x v="0"/>
    <x v="2"/>
    <x v="10"/>
    <x v="17"/>
    <s v="Large Box"/>
    <n v="0.68"/>
    <d v="2012-04-01T00:00:00"/>
    <n v="0"/>
    <n v="0"/>
    <n v="1"/>
    <n v="1"/>
  </r>
  <r>
    <n v="2232"/>
    <n v="16132"/>
    <x v="809"/>
    <x v="1"/>
    <s v="Medium"/>
    <n v="26"/>
    <n v="519.96"/>
    <n v="7.0000000000000007E-2"/>
    <s v="Regular Air"/>
    <n v="169.43899999999999"/>
    <n v="21.38"/>
    <n v="2.99"/>
    <x v="783"/>
    <x v="12"/>
    <x v="4"/>
    <x v="0"/>
    <x v="0"/>
    <x v="2"/>
    <x v="954"/>
    <s v="Small Box"/>
    <n v="0.36"/>
    <d v="2012-10-28T00:00:00"/>
    <n v="0"/>
    <n v="0"/>
    <n v="1"/>
    <n v="1"/>
  </r>
  <r>
    <n v="2377"/>
    <n v="17251"/>
    <x v="1355"/>
    <x v="19"/>
    <s v="Not Specified"/>
    <n v="26"/>
    <n v="2951.4380000000001"/>
    <n v="0"/>
    <s v="Regular Air"/>
    <n v="667.27800000000002"/>
    <n v="125.99"/>
    <n v="8.99"/>
    <x v="783"/>
    <x v="12"/>
    <x v="4"/>
    <x v="0"/>
    <x v="1"/>
    <x v="3"/>
    <x v="1232"/>
    <s v="Small Box"/>
    <n v="0.56999999999999995"/>
    <d v="2009-10-29T00:00:00"/>
    <n v="0"/>
    <n v="0"/>
    <n v="1"/>
    <n v="1"/>
  </r>
  <r>
    <n v="2380"/>
    <n v="17253"/>
    <x v="1091"/>
    <x v="21"/>
    <s v="Critical"/>
    <n v="13"/>
    <n v="50.19"/>
    <n v="0.08"/>
    <s v="Regular Air"/>
    <n v="-64.388500000000008"/>
    <n v="3.52"/>
    <n v="6.83"/>
    <x v="782"/>
    <x v="12"/>
    <x v="4"/>
    <x v="2"/>
    <x v="0"/>
    <x v="2"/>
    <x v="489"/>
    <s v="Small Box"/>
    <n v="0.38"/>
    <d v="2011-08-19T00:00:00"/>
    <n v="0"/>
    <n v="0"/>
    <n v="1"/>
    <n v="1"/>
  </r>
  <r>
    <n v="2385"/>
    <n v="17287"/>
    <x v="621"/>
    <x v="37"/>
    <s v="High"/>
    <n v="38"/>
    <n v="5793.46"/>
    <n v="0.01"/>
    <s v="Regular Air"/>
    <n v="2477.77"/>
    <n v="150.97999999999999"/>
    <n v="13.99"/>
    <x v="791"/>
    <x v="12"/>
    <x v="4"/>
    <x v="3"/>
    <x v="1"/>
    <x v="16"/>
    <x v="221"/>
    <s v="Medium Box"/>
    <n v="0.38"/>
    <d v="2011-04-06T00:00:00"/>
    <n v="0"/>
    <n v="0"/>
    <n v="0.33333333333333331"/>
    <n v="0.33333333333333331"/>
  </r>
  <r>
    <n v="2386"/>
    <n v="17287"/>
    <x v="621"/>
    <x v="37"/>
    <s v="High"/>
    <n v="11"/>
    <n v="4558.21"/>
    <n v="0.06"/>
    <s v="Regular Air"/>
    <n v="993.81"/>
    <n v="415.88"/>
    <n v="11.37"/>
    <x v="791"/>
    <x v="12"/>
    <x v="4"/>
    <x v="3"/>
    <x v="0"/>
    <x v="0"/>
    <x v="236"/>
    <s v="Small Box"/>
    <n v="0.56999999999999995"/>
    <d v="2011-04-07T00:00:00"/>
    <n v="0"/>
    <n v="0"/>
    <n v="0.33333333333333331"/>
    <n v="0.33333333333333331"/>
  </r>
  <r>
    <n v="2387"/>
    <n v="17287"/>
    <x v="621"/>
    <x v="37"/>
    <s v="High"/>
    <n v="26"/>
    <n v="4361.6984999999995"/>
    <n v="0.05"/>
    <s v="Regular Air"/>
    <n v="1069.7850000000001"/>
    <n v="195.99"/>
    <n v="4.2"/>
    <x v="791"/>
    <x v="12"/>
    <x v="4"/>
    <x v="3"/>
    <x v="1"/>
    <x v="3"/>
    <x v="781"/>
    <s v="Small Box"/>
    <n v="0.56000000000000005"/>
    <d v="2011-04-07T00:00:00"/>
    <n v="0"/>
    <n v="0"/>
    <n v="0.33333333333333331"/>
    <n v="0.33333333333333331"/>
  </r>
  <r>
    <n v="2516"/>
    <n v="18279"/>
    <x v="799"/>
    <x v="40"/>
    <s v="Medium"/>
    <n v="22"/>
    <n v="184.35"/>
    <n v="7.0000000000000007E-2"/>
    <s v="Regular Air"/>
    <n v="11.95"/>
    <n v="8.33"/>
    <n v="1.99"/>
    <x v="787"/>
    <x v="12"/>
    <x v="4"/>
    <x v="1"/>
    <x v="1"/>
    <x v="7"/>
    <x v="206"/>
    <s v="Small Pack"/>
    <n v="0.52"/>
    <d v="2009-02-28T00:00:00"/>
    <n v="0"/>
    <n v="0"/>
    <n v="0.5"/>
    <n v="0.5"/>
  </r>
  <r>
    <n v="2517"/>
    <n v="18279"/>
    <x v="799"/>
    <x v="40"/>
    <s v="Medium"/>
    <n v="20"/>
    <n v="10281.790000000001"/>
    <n v="0.03"/>
    <s v="Regular Air"/>
    <n v="3272.9"/>
    <n v="499.99"/>
    <n v="24.49"/>
    <x v="787"/>
    <x v="12"/>
    <x v="4"/>
    <x v="1"/>
    <x v="1"/>
    <x v="13"/>
    <x v="110"/>
    <s v="Large Box"/>
    <n v="0.36"/>
    <d v="2009-02-27T00:00:00"/>
    <n v="0"/>
    <n v="0"/>
    <n v="0.5"/>
    <n v="0.5"/>
  </r>
  <r>
    <n v="2559"/>
    <n v="18503"/>
    <x v="1318"/>
    <x v="10"/>
    <s v="Not Specified"/>
    <n v="46"/>
    <n v="6637.63"/>
    <n v="0.03"/>
    <s v="Delivery Truck"/>
    <n v="1487.94"/>
    <n v="145.44999999999999"/>
    <n v="17.850000000000001"/>
    <x v="483"/>
    <x v="12"/>
    <x v="4"/>
    <x v="1"/>
    <x v="1"/>
    <x v="16"/>
    <x v="127"/>
    <s v="Jumbo Drum"/>
    <n v="0.56000000000000005"/>
    <d v="2011-05-07T00:00:00"/>
    <n v="0"/>
    <n v="0"/>
    <n v="0.5"/>
    <n v="0.5"/>
  </r>
  <r>
    <n v="2560"/>
    <n v="18503"/>
    <x v="1318"/>
    <x v="10"/>
    <s v="Not Specified"/>
    <n v="13"/>
    <n v="928.90549999999996"/>
    <n v="0.06"/>
    <s v="Regular Air"/>
    <n v="-23.925000000000001"/>
    <n v="85.99"/>
    <n v="2.79"/>
    <x v="483"/>
    <x v="12"/>
    <x v="4"/>
    <x v="1"/>
    <x v="1"/>
    <x v="3"/>
    <x v="700"/>
    <s v="Small Box"/>
    <n v="0.57999999999999996"/>
    <d v="2011-05-07T00:00:00"/>
    <n v="0"/>
    <n v="0"/>
    <n v="0.5"/>
    <n v="0.5"/>
  </r>
  <r>
    <n v="2589"/>
    <n v="18689"/>
    <x v="619"/>
    <x v="47"/>
    <s v="Not Specified"/>
    <n v="38"/>
    <n v="281.17"/>
    <n v="0.01"/>
    <s v="Regular Air"/>
    <n v="-78.372500000000002"/>
    <n v="7.1"/>
    <n v="6.05"/>
    <x v="539"/>
    <x v="12"/>
    <x v="4"/>
    <x v="0"/>
    <x v="0"/>
    <x v="2"/>
    <x v="310"/>
    <s v="Small Box"/>
    <n v="0.39"/>
    <d v="2009-12-25T00:00:00"/>
    <n v="0"/>
    <n v="0"/>
    <n v="0.5"/>
    <n v="0.5"/>
  </r>
  <r>
    <n v="2590"/>
    <n v="18689"/>
    <x v="619"/>
    <x v="47"/>
    <s v="Not Specified"/>
    <n v="10"/>
    <n v="194.65"/>
    <n v="0.05"/>
    <s v="Regular Air"/>
    <n v="-3.78"/>
    <n v="18.97"/>
    <n v="9.0299999999999994"/>
    <x v="539"/>
    <x v="12"/>
    <x v="4"/>
    <x v="0"/>
    <x v="0"/>
    <x v="5"/>
    <x v="40"/>
    <s v="Small Box"/>
    <n v="0.37"/>
    <d v="2009-12-25T00:00:00"/>
    <n v="0"/>
    <n v="0"/>
    <n v="0.5"/>
    <n v="0.5"/>
  </r>
  <r>
    <n v="2599"/>
    <n v="18758"/>
    <x v="875"/>
    <x v="24"/>
    <s v="Not Specified"/>
    <n v="20"/>
    <n v="2022.18"/>
    <n v="0.09"/>
    <s v="Express Air"/>
    <n v="594.44000000000005"/>
    <n v="102.3"/>
    <n v="21.26"/>
    <x v="652"/>
    <x v="12"/>
    <x v="4"/>
    <x v="2"/>
    <x v="2"/>
    <x v="4"/>
    <x v="76"/>
    <s v="Large Box"/>
    <n v="0.59"/>
    <d v="2010-04-22T00:00:00"/>
    <n v="0"/>
    <n v="0"/>
    <n v="1"/>
    <n v="1"/>
  </r>
  <r>
    <n v="2696"/>
    <n v="19521"/>
    <x v="257"/>
    <x v="11"/>
    <s v="Not Specified"/>
    <n v="9"/>
    <n v="351.06"/>
    <n v="0.02"/>
    <s v="Regular Air"/>
    <n v="-306.32"/>
    <n v="35.479999999999997"/>
    <n v="35"/>
    <x v="278"/>
    <x v="12"/>
    <x v="4"/>
    <x v="3"/>
    <x v="0"/>
    <x v="0"/>
    <x v="1244"/>
    <s v="Large Box"/>
    <n v="0.85"/>
    <d v="2009-11-24T00:00:00"/>
    <n v="0"/>
    <n v="0"/>
    <n v="1"/>
    <n v="1"/>
  </r>
  <r>
    <n v="2847"/>
    <n v="20513"/>
    <x v="227"/>
    <x v="36"/>
    <s v="High"/>
    <n v="13"/>
    <n v="42.27"/>
    <n v="0.01"/>
    <s v="Express Air"/>
    <n v="4.5599999999999996"/>
    <n v="2.84"/>
    <n v="0.93"/>
    <x v="25"/>
    <x v="12"/>
    <x v="4"/>
    <x v="2"/>
    <x v="0"/>
    <x v="12"/>
    <x v="25"/>
    <s v="Wrap Bag"/>
    <n v="0.54"/>
    <d v="2009-07-08T00:00:00"/>
    <n v="0"/>
    <n v="0"/>
    <n v="1"/>
    <n v="0.5"/>
  </r>
  <r>
    <n v="2934"/>
    <n v="21253"/>
    <x v="912"/>
    <x v="13"/>
    <s v="Medium"/>
    <n v="5"/>
    <n v="455.08"/>
    <n v="0.04"/>
    <s v="Regular Air"/>
    <n v="27.8"/>
    <n v="83.93"/>
    <n v="19.989999999999998"/>
    <x v="115"/>
    <x v="12"/>
    <x v="4"/>
    <x v="0"/>
    <x v="0"/>
    <x v="8"/>
    <x v="639"/>
    <s v="Small Box"/>
    <n v="0.38"/>
    <d v="2012-04-18T00:00:00"/>
    <n v="0"/>
    <n v="0"/>
    <n v="1"/>
    <n v="1"/>
  </r>
  <r>
    <n v="3023"/>
    <n v="21735"/>
    <x v="949"/>
    <x v="14"/>
    <s v="Not Specified"/>
    <n v="23"/>
    <n v="239.49"/>
    <n v="0.04"/>
    <s v="Regular Air"/>
    <n v="-159.35"/>
    <n v="9.98"/>
    <n v="12.52"/>
    <x v="652"/>
    <x v="12"/>
    <x v="4"/>
    <x v="2"/>
    <x v="2"/>
    <x v="4"/>
    <x v="981"/>
    <s v="Small Box"/>
    <n v="0.56999999999999995"/>
    <d v="2010-03-11T00:00:00"/>
    <n v="0"/>
    <n v="0"/>
    <n v="0.5"/>
    <n v="0.5"/>
  </r>
  <r>
    <n v="3024"/>
    <n v="21735"/>
    <x v="949"/>
    <x v="14"/>
    <s v="Not Specified"/>
    <n v="14"/>
    <n v="1819.1529999999998"/>
    <n v="0.02"/>
    <s v="Regular Air"/>
    <n v="-35.497"/>
    <n v="155.99"/>
    <n v="8.99"/>
    <x v="652"/>
    <x v="12"/>
    <x v="4"/>
    <x v="2"/>
    <x v="1"/>
    <x v="3"/>
    <x v="19"/>
    <s v="Small Box"/>
    <n v="0.57999999999999996"/>
    <d v="2010-03-12T00:00:00"/>
    <n v="0"/>
    <n v="0"/>
    <n v="0.5"/>
    <n v="0.5"/>
  </r>
  <r>
    <n v="3116"/>
    <n v="22375"/>
    <x v="1406"/>
    <x v="37"/>
    <s v="Not Specified"/>
    <n v="43"/>
    <n v="816.11"/>
    <n v="0.04"/>
    <s v="Regular Air"/>
    <n v="66.14"/>
    <n v="18.97"/>
    <n v="9.5399999999999991"/>
    <x v="691"/>
    <x v="12"/>
    <x v="4"/>
    <x v="2"/>
    <x v="0"/>
    <x v="5"/>
    <x v="439"/>
    <s v="Small Box"/>
    <n v="0.37"/>
    <d v="2011-04-08T00:00:00"/>
    <n v="0"/>
    <n v="0"/>
    <n v="1"/>
    <n v="1"/>
  </r>
  <r>
    <n v="3170"/>
    <n v="22817"/>
    <x v="228"/>
    <x v="32"/>
    <s v="Critical"/>
    <n v="27"/>
    <n v="6785.86"/>
    <n v="0.05"/>
    <s v="Delivery Truck"/>
    <n v="-740.07"/>
    <n v="262.11"/>
    <n v="62.74"/>
    <x v="310"/>
    <x v="12"/>
    <x v="4"/>
    <x v="3"/>
    <x v="2"/>
    <x v="10"/>
    <x v="89"/>
    <s v="Jumbo Box"/>
    <n v="0.75"/>
    <d v="2012-11-23T00:00:00"/>
    <n v="0"/>
    <n v="0"/>
    <n v="1"/>
    <n v="1"/>
  </r>
  <r>
    <n v="3333"/>
    <n v="23842"/>
    <x v="638"/>
    <x v="18"/>
    <s v="Low"/>
    <n v="20"/>
    <n v="127.16"/>
    <n v="0.1"/>
    <s v="Regular Air"/>
    <n v="-74.03"/>
    <n v="6.68"/>
    <n v="6.92"/>
    <x v="784"/>
    <x v="12"/>
    <x v="4"/>
    <x v="1"/>
    <x v="0"/>
    <x v="5"/>
    <x v="526"/>
    <s v="Small Box"/>
    <n v="0.37"/>
    <d v="2010-09-24T00:00:00"/>
    <n v="0"/>
    <n v="0"/>
    <n v="1"/>
    <n v="1"/>
  </r>
  <r>
    <n v="3342"/>
    <n v="23911"/>
    <x v="834"/>
    <x v="8"/>
    <s v="Critical"/>
    <n v="21"/>
    <n v="2580.67"/>
    <n v="0.1"/>
    <s v="Delivery Truck"/>
    <n v="-1050.77"/>
    <n v="122.99"/>
    <n v="70.2"/>
    <x v="789"/>
    <x v="12"/>
    <x v="4"/>
    <x v="3"/>
    <x v="2"/>
    <x v="14"/>
    <x v="301"/>
    <s v="Jumbo Drum"/>
    <n v="0.74"/>
    <d v="2012-06-02T00:00:00"/>
    <n v="0"/>
    <n v="0"/>
    <n v="0.33333333333333331"/>
    <n v="0.33333333333333331"/>
  </r>
  <r>
    <n v="3343"/>
    <n v="23911"/>
    <x v="834"/>
    <x v="8"/>
    <s v="Critical"/>
    <n v="19"/>
    <n v="955.46"/>
    <n v="0.03"/>
    <s v="Regular Air"/>
    <n v="-79.05"/>
    <n v="50.98"/>
    <n v="6.5"/>
    <x v="789"/>
    <x v="12"/>
    <x v="4"/>
    <x v="3"/>
    <x v="1"/>
    <x v="7"/>
    <x v="87"/>
    <s v="Small Box"/>
    <n v="0.73"/>
    <d v="2012-06-02T00:00:00"/>
    <n v="0"/>
    <n v="0"/>
    <n v="0.33333333333333331"/>
    <n v="0.33333333333333331"/>
  </r>
  <r>
    <n v="3344"/>
    <n v="23911"/>
    <x v="834"/>
    <x v="8"/>
    <s v="Critical"/>
    <n v="3"/>
    <n v="121.26"/>
    <n v="0"/>
    <s v="Regular Air"/>
    <n v="-12.52"/>
    <n v="35.44"/>
    <n v="7.5"/>
    <x v="789"/>
    <x v="12"/>
    <x v="4"/>
    <x v="3"/>
    <x v="0"/>
    <x v="5"/>
    <x v="118"/>
    <s v="Small Box"/>
    <n v="0.38"/>
    <d v="2012-06-02T00:00:00"/>
    <n v="0"/>
    <n v="0"/>
    <n v="0.33333333333333331"/>
    <n v="0.33333333333333331"/>
  </r>
  <r>
    <n v="3422"/>
    <n v="24391"/>
    <x v="259"/>
    <x v="28"/>
    <s v="Low"/>
    <n v="14"/>
    <n v="3236.8"/>
    <n v="0.08"/>
    <s v="Delivery Truck"/>
    <n v="501.69"/>
    <n v="230.98"/>
    <n v="23.78"/>
    <x v="785"/>
    <x v="12"/>
    <x v="4"/>
    <x v="1"/>
    <x v="2"/>
    <x v="10"/>
    <x v="1254"/>
    <s v="Jumbo Box"/>
    <n v="0.6"/>
    <d v="2009-03-10T00:00:00"/>
    <n v="0"/>
    <n v="0"/>
    <n v="1"/>
    <n v="1"/>
  </r>
  <r>
    <n v="3485"/>
    <n v="24802"/>
    <x v="506"/>
    <x v="22"/>
    <s v="Medium"/>
    <n v="18"/>
    <n v="1383.2"/>
    <n v="0.01"/>
    <s v="Regular Air"/>
    <n v="-23.44"/>
    <n v="73.98"/>
    <n v="12.14"/>
    <x v="792"/>
    <x v="12"/>
    <x v="4"/>
    <x v="0"/>
    <x v="1"/>
    <x v="7"/>
    <x v="633"/>
    <s v="Small Box"/>
    <n v="0.67"/>
    <d v="2009-01-25T00:00:00"/>
    <n v="0"/>
    <n v="1"/>
    <n v="1"/>
    <n v="1"/>
  </r>
  <r>
    <n v="3509"/>
    <n v="24996"/>
    <x v="843"/>
    <x v="31"/>
    <s v="Critical"/>
    <n v="36"/>
    <n v="1793.24"/>
    <n v="0.01"/>
    <s v="Regular Air"/>
    <n v="739.36"/>
    <n v="46.89"/>
    <n v="5.0999999999999996"/>
    <x v="782"/>
    <x v="12"/>
    <x v="4"/>
    <x v="1"/>
    <x v="0"/>
    <x v="1"/>
    <x v="233"/>
    <s v="Medium Box"/>
    <n v="0.46"/>
    <d v="2011-09-26T00:00:00"/>
    <n v="0"/>
    <n v="0"/>
    <n v="0.5"/>
    <n v="0.5"/>
  </r>
  <r>
    <n v="3510"/>
    <n v="24996"/>
    <x v="843"/>
    <x v="31"/>
    <s v="Critical"/>
    <n v="2"/>
    <n v="143.667"/>
    <n v="0.09"/>
    <s v="Regular Air"/>
    <n v="-363.55"/>
    <n v="85.99"/>
    <n v="1.25"/>
    <x v="782"/>
    <x v="12"/>
    <x v="4"/>
    <x v="1"/>
    <x v="1"/>
    <x v="3"/>
    <x v="313"/>
    <s v="Small Pack"/>
    <n v="0.39"/>
    <d v="2011-09-27T00:00:00"/>
    <n v="0"/>
    <n v="0"/>
    <n v="0.5"/>
    <n v="0.5"/>
  </r>
  <r>
    <n v="3609"/>
    <n v="25824"/>
    <x v="154"/>
    <x v="35"/>
    <s v="Medium"/>
    <n v="5"/>
    <n v="25.27"/>
    <n v="0.01"/>
    <s v="Regular Air"/>
    <n v="-19.93"/>
    <n v="3.95"/>
    <n v="5.13"/>
    <x v="691"/>
    <x v="12"/>
    <x v="4"/>
    <x v="2"/>
    <x v="0"/>
    <x v="1"/>
    <x v="788"/>
    <s v="Small Box"/>
    <n v="0.59"/>
    <d v="2009-09-05T00:00:00"/>
    <n v="0"/>
    <n v="0"/>
    <n v="0.25"/>
    <n v="0.25"/>
  </r>
  <r>
    <n v="3610"/>
    <n v="25824"/>
    <x v="154"/>
    <x v="35"/>
    <s v="Medium"/>
    <n v="37"/>
    <n v="14410.78"/>
    <n v="0.02"/>
    <s v="Regular Air"/>
    <n v="6365.5820000000003"/>
    <n v="367.99"/>
    <n v="19.989999999999998"/>
    <x v="691"/>
    <x v="12"/>
    <x v="4"/>
    <x v="2"/>
    <x v="0"/>
    <x v="2"/>
    <x v="1147"/>
    <s v="Small Box"/>
    <n v="0.4"/>
    <d v="2009-09-05T00:00:00"/>
    <n v="0"/>
    <n v="0"/>
    <n v="0.25"/>
    <n v="0.25"/>
  </r>
  <r>
    <n v="3611"/>
    <n v="25824"/>
    <x v="154"/>
    <x v="35"/>
    <s v="Medium"/>
    <n v="39"/>
    <n v="15341.46"/>
    <n v="0"/>
    <s v="Delivery Truck"/>
    <n v="394.52"/>
    <n v="376.13"/>
    <n v="85.63"/>
    <x v="691"/>
    <x v="12"/>
    <x v="4"/>
    <x v="2"/>
    <x v="2"/>
    <x v="10"/>
    <x v="564"/>
    <s v="Jumbo Box"/>
    <n v="0.74"/>
    <d v="2009-09-05T00:00:00"/>
    <n v="0"/>
    <n v="0"/>
    <n v="0.25"/>
    <n v="0.25"/>
  </r>
  <r>
    <n v="3612"/>
    <n v="25824"/>
    <x v="154"/>
    <x v="35"/>
    <s v="Medium"/>
    <n v="6"/>
    <n v="507.56049999999999"/>
    <n v="0.04"/>
    <s v="Regular Air"/>
    <n v="-258.22500000000002"/>
    <n v="95.99"/>
    <n v="4.9000000000000004"/>
    <x v="691"/>
    <x v="12"/>
    <x v="4"/>
    <x v="2"/>
    <x v="1"/>
    <x v="3"/>
    <x v="936"/>
    <s v="Small Box"/>
    <n v="0.56000000000000005"/>
    <d v="2009-09-06T00:00:00"/>
    <n v="0"/>
    <n v="0"/>
    <n v="0.25"/>
    <n v="0.25"/>
  </r>
  <r>
    <n v="3677"/>
    <n v="26309"/>
    <x v="852"/>
    <x v="12"/>
    <s v="Low"/>
    <n v="42"/>
    <n v="128.13"/>
    <n v="0.09"/>
    <s v="Regular Air"/>
    <n v="32.53"/>
    <n v="3.08"/>
    <n v="0.99"/>
    <x v="786"/>
    <x v="12"/>
    <x v="4"/>
    <x v="2"/>
    <x v="0"/>
    <x v="11"/>
    <x v="245"/>
    <s v="Small Box"/>
    <n v="0.37"/>
    <d v="2012-02-21T00:00:00"/>
    <n v="0"/>
    <n v="0"/>
    <n v="1"/>
    <n v="1"/>
  </r>
  <r>
    <n v="3738"/>
    <n v="26723"/>
    <x v="1077"/>
    <x v="5"/>
    <s v="Low"/>
    <n v="8"/>
    <n v="441.80449999999996"/>
    <n v="0.03"/>
    <s v="Regular Air"/>
    <n v="-201.48699999999999"/>
    <n v="65.989999999999995"/>
    <n v="7.69"/>
    <x v="782"/>
    <x v="12"/>
    <x v="4"/>
    <x v="1"/>
    <x v="1"/>
    <x v="3"/>
    <x v="712"/>
    <s v="Small Box"/>
    <n v="0.59"/>
    <d v="2011-03-08T00:00:00"/>
    <n v="0"/>
    <n v="0"/>
    <n v="1"/>
    <n v="1"/>
  </r>
  <r>
    <n v="3852"/>
    <n v="27463"/>
    <x v="1415"/>
    <x v="11"/>
    <s v="Medium"/>
    <n v="31"/>
    <n v="835.11"/>
    <n v="0"/>
    <s v="Regular Air"/>
    <n v="213.79"/>
    <n v="25.38"/>
    <n v="8.99"/>
    <x v="788"/>
    <x v="12"/>
    <x v="4"/>
    <x v="1"/>
    <x v="2"/>
    <x v="4"/>
    <x v="216"/>
    <s v="Small Pack"/>
    <n v="0.5"/>
    <d v="2009-11-15T00:00:00"/>
    <n v="0"/>
    <n v="0"/>
    <n v="0.5"/>
    <n v="0.5"/>
  </r>
  <r>
    <n v="3853"/>
    <n v="27463"/>
    <x v="1415"/>
    <x v="11"/>
    <s v="Medium"/>
    <n v="10"/>
    <n v="54.52"/>
    <n v="0.01"/>
    <s v="Regular Air"/>
    <n v="-20.57"/>
    <n v="4.9800000000000004"/>
    <n v="4.72"/>
    <x v="788"/>
    <x v="12"/>
    <x v="4"/>
    <x v="1"/>
    <x v="0"/>
    <x v="5"/>
    <x v="751"/>
    <s v="Small Box"/>
    <n v="0.36"/>
    <d v="2009-11-14T00:00:00"/>
    <n v="0"/>
    <n v="0"/>
    <n v="0.5"/>
    <n v="0.5"/>
  </r>
  <r>
    <n v="3941"/>
    <n v="28069"/>
    <x v="883"/>
    <x v="43"/>
    <s v="Low"/>
    <n v="1"/>
    <n v="10.17"/>
    <n v="0.02"/>
    <s v="Express Air"/>
    <n v="-4.09"/>
    <n v="5.18"/>
    <n v="2.04"/>
    <x v="790"/>
    <x v="12"/>
    <x v="4"/>
    <x v="0"/>
    <x v="0"/>
    <x v="5"/>
    <x v="267"/>
    <s v="Wrap Bag"/>
    <n v="0.36"/>
    <d v="2009-05-26T00:00:00"/>
    <n v="0"/>
    <n v="0"/>
    <n v="0.5"/>
    <n v="0.5"/>
  </r>
  <r>
    <n v="3942"/>
    <n v="28069"/>
    <x v="883"/>
    <x v="43"/>
    <s v="Low"/>
    <n v="4"/>
    <n v="23.58"/>
    <n v="0.09"/>
    <s v="Regular Air"/>
    <n v="-2.87"/>
    <n v="5.84"/>
    <n v="0.83"/>
    <x v="790"/>
    <x v="12"/>
    <x v="4"/>
    <x v="0"/>
    <x v="0"/>
    <x v="12"/>
    <x v="794"/>
    <s v="Wrap Bag"/>
    <n v="0.49"/>
    <d v="2009-05-25T00:00:00"/>
    <n v="0"/>
    <n v="0"/>
    <n v="0.5"/>
    <n v="0.5"/>
  </r>
  <r>
    <n v="4066"/>
    <n v="28934"/>
    <x v="740"/>
    <x v="32"/>
    <s v="Medium"/>
    <n v="12"/>
    <n v="1272.3499999999999"/>
    <n v="0"/>
    <s v="Regular Air"/>
    <n v="297.57"/>
    <n v="100.98"/>
    <n v="7.18"/>
    <x v="787"/>
    <x v="12"/>
    <x v="4"/>
    <x v="1"/>
    <x v="1"/>
    <x v="7"/>
    <x v="495"/>
    <s v="Small Box"/>
    <n v="0.4"/>
    <d v="2012-11-29T00:00:00"/>
    <n v="0"/>
    <n v="0"/>
    <n v="0.33333333333333331"/>
    <n v="0.33333333333333331"/>
  </r>
  <r>
    <n v="4067"/>
    <n v="28934"/>
    <x v="740"/>
    <x v="32"/>
    <s v="Medium"/>
    <n v="26"/>
    <n v="4000.35"/>
    <n v="7.0000000000000007E-2"/>
    <s v="Delivery Truck"/>
    <n v="303.39"/>
    <n v="160.97999999999999"/>
    <n v="30"/>
    <x v="787"/>
    <x v="12"/>
    <x v="4"/>
    <x v="1"/>
    <x v="2"/>
    <x v="14"/>
    <x v="580"/>
    <s v="Jumbo Drum"/>
    <n v="0.62"/>
    <d v="2012-11-30T00:00:00"/>
    <n v="0"/>
    <n v="0"/>
    <n v="0.33333333333333331"/>
    <n v="0.33333333333333331"/>
  </r>
  <r>
    <n v="4068"/>
    <n v="28934"/>
    <x v="740"/>
    <x v="32"/>
    <s v="Medium"/>
    <n v="26"/>
    <n v="3356.92"/>
    <n v="0"/>
    <s v="Express Air"/>
    <n v="1555.9"/>
    <n v="120.97"/>
    <n v="7.11"/>
    <x v="787"/>
    <x v="12"/>
    <x v="4"/>
    <x v="1"/>
    <x v="1"/>
    <x v="16"/>
    <x v="105"/>
    <s v="Medium Box"/>
    <n v="0.36"/>
    <d v="2012-11-30T00:00:00"/>
    <n v="0"/>
    <n v="0"/>
    <n v="0.33333333333333331"/>
    <n v="0.33333333333333331"/>
  </r>
  <r>
    <n v="4102"/>
    <n v="29218"/>
    <x v="601"/>
    <x v="20"/>
    <s v="Low"/>
    <n v="19"/>
    <n v="1823.02"/>
    <n v="0.04"/>
    <s v="Express Air"/>
    <n v="80.8"/>
    <n v="92.23"/>
    <n v="39.61"/>
    <x v="310"/>
    <x v="12"/>
    <x v="4"/>
    <x v="3"/>
    <x v="2"/>
    <x v="4"/>
    <x v="54"/>
    <s v="Medium Box"/>
    <n v="0.67"/>
    <d v="2012-05-29T00:00:00"/>
    <n v="0"/>
    <n v="0"/>
    <n v="0.33333333333333331"/>
    <n v="0.16666666666666666"/>
  </r>
  <r>
    <n v="4103"/>
    <n v="29218"/>
    <x v="601"/>
    <x v="20"/>
    <s v="Low"/>
    <n v="26"/>
    <n v="74.02"/>
    <n v="0.04"/>
    <s v="Regular Air"/>
    <n v="8.1300000000000008"/>
    <n v="2.88"/>
    <n v="0.7"/>
    <x v="310"/>
    <x v="12"/>
    <x v="4"/>
    <x v="3"/>
    <x v="0"/>
    <x v="12"/>
    <x v="808"/>
    <s v="Wrap Bag"/>
    <n v="0.56000000000000005"/>
    <d v="2012-05-29T00:00:00"/>
    <n v="0"/>
    <n v="0"/>
    <n v="0.33333333333333331"/>
    <n v="0.16666666666666666"/>
  </r>
  <r>
    <n v="4104"/>
    <n v="29218"/>
    <x v="601"/>
    <x v="20"/>
    <s v="Low"/>
    <n v="13"/>
    <n v="2252.9760000000001"/>
    <n v="0.02"/>
    <s v="Regular Air"/>
    <n v="-54.362000000000002"/>
    <n v="205.99"/>
    <n v="8.99"/>
    <x v="310"/>
    <x v="12"/>
    <x v="4"/>
    <x v="3"/>
    <x v="1"/>
    <x v="3"/>
    <x v="879"/>
    <s v="Small Box"/>
    <n v="0.57999999999999996"/>
    <d v="2012-05-31T00:00:00"/>
    <n v="0"/>
    <n v="0"/>
    <n v="0.33333333333333331"/>
    <n v="0.16666666666666666"/>
  </r>
  <r>
    <n v="4117"/>
    <n v="29286"/>
    <x v="1067"/>
    <x v="36"/>
    <s v="Critical"/>
    <n v="4"/>
    <n v="13070.2"/>
    <n v="7.0000000000000007E-2"/>
    <s v="Delivery Truck"/>
    <n v="-6923.5991999999997"/>
    <n v="3502.14"/>
    <n v="8.73"/>
    <x v="786"/>
    <x v="12"/>
    <x v="4"/>
    <x v="2"/>
    <x v="1"/>
    <x v="16"/>
    <x v="1248"/>
    <s v="Jumbo Box"/>
    <n v="0.56999999999999995"/>
    <d v="2009-07-30T00:00:00"/>
    <n v="0"/>
    <n v="0"/>
    <n v="1"/>
    <n v="1"/>
  </r>
  <r>
    <n v="4165"/>
    <n v="29536"/>
    <x v="1236"/>
    <x v="34"/>
    <s v="Medium"/>
    <n v="5"/>
    <n v="495.32"/>
    <n v="0.05"/>
    <s v="Delivery Truck"/>
    <n v="-72.73"/>
    <n v="100.98"/>
    <n v="15.66"/>
    <x v="785"/>
    <x v="12"/>
    <x v="4"/>
    <x v="1"/>
    <x v="0"/>
    <x v="1"/>
    <x v="822"/>
    <s v="Jumbo Drum"/>
    <n v="0.56999999999999995"/>
    <d v="2012-09-09T00:00:00"/>
    <n v="0"/>
    <n v="0"/>
    <n v="0.33333333333333331"/>
    <n v="0.33333333333333331"/>
  </r>
  <r>
    <n v="4166"/>
    <n v="29536"/>
    <x v="1236"/>
    <x v="34"/>
    <s v="Medium"/>
    <n v="11"/>
    <n v="2483.5300000000002"/>
    <n v="7.0000000000000007E-2"/>
    <s v="Delivery Truck"/>
    <n v="-176.77"/>
    <n v="220.98"/>
    <n v="64.66"/>
    <x v="785"/>
    <x v="12"/>
    <x v="4"/>
    <x v="1"/>
    <x v="2"/>
    <x v="9"/>
    <x v="778"/>
    <s v="Jumbo Box"/>
    <n v="0.62"/>
    <d v="2012-09-09T00:00:00"/>
    <n v="0"/>
    <n v="0"/>
    <n v="0.33333333333333331"/>
    <n v="0.33333333333333331"/>
  </r>
  <r>
    <n v="4167"/>
    <n v="29536"/>
    <x v="1236"/>
    <x v="34"/>
    <s v="Medium"/>
    <n v="26"/>
    <n v="967.41"/>
    <n v="0.03"/>
    <s v="Regular Air"/>
    <n v="26.64"/>
    <n v="35.44"/>
    <n v="19.989999999999998"/>
    <x v="785"/>
    <x v="12"/>
    <x v="4"/>
    <x v="1"/>
    <x v="0"/>
    <x v="5"/>
    <x v="1063"/>
    <s v="Small Box"/>
    <n v="0.38"/>
    <d v="2012-09-09T00:00:00"/>
    <n v="0"/>
    <n v="0"/>
    <n v="0.33333333333333331"/>
    <n v="0.33333333333333331"/>
  </r>
  <r>
    <n v="4170"/>
    <n v="29569"/>
    <x v="609"/>
    <x v="2"/>
    <s v="High"/>
    <n v="46"/>
    <n v="27720.98"/>
    <n v="7.0000000000000007E-2"/>
    <s v="Regular Air"/>
    <n v="11984.395"/>
    <n v="599.99"/>
    <n v="24.49"/>
    <x v="785"/>
    <x v="12"/>
    <x v="4"/>
    <x v="1"/>
    <x v="1"/>
    <x v="13"/>
    <x v="776"/>
    <s v="Large Box"/>
    <n v="0.37"/>
    <d v="2011-07-04T00:00:00"/>
    <n v="0"/>
    <n v="0"/>
    <n v="0.5"/>
    <n v="0.25"/>
  </r>
  <r>
    <n v="4171"/>
    <n v="29569"/>
    <x v="609"/>
    <x v="2"/>
    <s v="High"/>
    <n v="29"/>
    <n v="520.13"/>
    <n v="0.1"/>
    <s v="Regular Air"/>
    <n v="127.55"/>
    <n v="18.97"/>
    <n v="5.21"/>
    <x v="785"/>
    <x v="12"/>
    <x v="4"/>
    <x v="1"/>
    <x v="0"/>
    <x v="5"/>
    <x v="82"/>
    <s v="Small Box"/>
    <n v="0.37"/>
    <d v="2011-07-05T00:00:00"/>
    <n v="0"/>
    <n v="0"/>
    <n v="0.5"/>
    <n v="0.25"/>
  </r>
  <r>
    <n v="4197"/>
    <n v="29827"/>
    <x v="455"/>
    <x v="2"/>
    <s v="Critical"/>
    <n v="35"/>
    <n v="926.65"/>
    <n v="0.01"/>
    <s v="Regular Air"/>
    <n v="-75.38"/>
    <n v="26.31"/>
    <n v="5.89"/>
    <x v="785"/>
    <x v="12"/>
    <x v="4"/>
    <x v="1"/>
    <x v="1"/>
    <x v="7"/>
    <x v="295"/>
    <s v="Small Box"/>
    <n v="0.75"/>
    <d v="2011-07-15T00:00:00"/>
    <n v="0"/>
    <n v="0"/>
    <n v="1"/>
    <n v="0.25"/>
  </r>
  <r>
    <n v="4210"/>
    <n v="29926"/>
    <x v="570"/>
    <x v="33"/>
    <s v="Medium"/>
    <n v="9"/>
    <n v="20.21"/>
    <n v="0"/>
    <s v="Regular Air"/>
    <n v="-5.1404999999999994"/>
    <n v="2.08"/>
    <n v="1.49"/>
    <x v="782"/>
    <x v="12"/>
    <x v="4"/>
    <x v="2"/>
    <x v="0"/>
    <x v="2"/>
    <x v="610"/>
    <s v="Small Box"/>
    <n v="0.38"/>
    <d v="2012-03-24T00:00:00"/>
    <n v="0"/>
    <n v="0"/>
    <n v="1"/>
    <n v="1"/>
  </r>
  <r>
    <n v="4337"/>
    <n v="30913"/>
    <x v="303"/>
    <x v="34"/>
    <s v="Medium"/>
    <n v="23"/>
    <n v="143.1"/>
    <n v="0.01"/>
    <s v="Regular Air"/>
    <n v="36.7455"/>
    <n v="5.98"/>
    <n v="1.49"/>
    <x v="782"/>
    <x v="12"/>
    <x v="4"/>
    <x v="2"/>
    <x v="0"/>
    <x v="2"/>
    <x v="986"/>
    <s v="Small Box"/>
    <n v="0.39"/>
    <d v="2012-09-23T00:00:00"/>
    <n v="0"/>
    <n v="0"/>
    <n v="0.25"/>
    <n v="0.25"/>
  </r>
  <r>
    <n v="4338"/>
    <n v="30913"/>
    <x v="303"/>
    <x v="34"/>
    <s v="Medium"/>
    <n v="36"/>
    <n v="795.52"/>
    <n v="0.08"/>
    <s v="Regular Air"/>
    <n v="290.64"/>
    <n v="22.24"/>
    <n v="1.99"/>
    <x v="782"/>
    <x v="12"/>
    <x v="4"/>
    <x v="2"/>
    <x v="1"/>
    <x v="7"/>
    <x v="847"/>
    <s v="Small Pack"/>
    <n v="0.43"/>
    <d v="2012-09-24T00:00:00"/>
    <n v="0"/>
    <n v="0"/>
    <n v="0.25"/>
    <n v="0.25"/>
  </r>
  <r>
    <n v="4339"/>
    <n v="30913"/>
    <x v="303"/>
    <x v="34"/>
    <s v="Medium"/>
    <n v="44"/>
    <n v="126.36"/>
    <n v="0.02"/>
    <s v="Regular Air"/>
    <n v="50.26"/>
    <n v="2.89"/>
    <n v="0.5"/>
    <x v="782"/>
    <x v="12"/>
    <x v="4"/>
    <x v="2"/>
    <x v="0"/>
    <x v="11"/>
    <x v="349"/>
    <s v="Small Box"/>
    <n v="0.38"/>
    <d v="2012-09-24T00:00:00"/>
    <n v="0"/>
    <n v="0"/>
    <n v="0.25"/>
    <n v="0.25"/>
  </r>
  <r>
    <n v="4340"/>
    <n v="30913"/>
    <x v="303"/>
    <x v="34"/>
    <s v="Medium"/>
    <n v="24"/>
    <n v="496.62"/>
    <n v="7.0000000000000007E-2"/>
    <s v="Express Air"/>
    <n v="49.86"/>
    <n v="19.98"/>
    <n v="10.49"/>
    <x v="782"/>
    <x v="12"/>
    <x v="4"/>
    <x v="2"/>
    <x v="2"/>
    <x v="4"/>
    <x v="66"/>
    <s v="Small Box"/>
    <n v="0.49"/>
    <d v="2012-09-24T00:00:00"/>
    <n v="0"/>
    <n v="0"/>
    <n v="0.25"/>
    <n v="0.25"/>
  </r>
  <r>
    <n v="4393"/>
    <n v="31271"/>
    <x v="938"/>
    <x v="37"/>
    <s v="Low"/>
    <n v="4"/>
    <n v="43.29"/>
    <n v="0.03"/>
    <s v="Regular Air"/>
    <n v="-0.36000000000000654"/>
    <n v="8.3699999999999992"/>
    <n v="10.16"/>
    <x v="783"/>
    <x v="12"/>
    <x v="4"/>
    <x v="0"/>
    <x v="2"/>
    <x v="4"/>
    <x v="734"/>
    <s v="Large Box"/>
    <n v="0.59"/>
    <d v="2011-04-27T00:00:00"/>
    <n v="0"/>
    <n v="0"/>
    <n v="1"/>
    <n v="1"/>
  </r>
  <r>
    <n v="4406"/>
    <n v="31399"/>
    <x v="271"/>
    <x v="27"/>
    <s v="Not Specified"/>
    <n v="9"/>
    <n v="337.20349999999996"/>
    <n v="0.09"/>
    <s v="Regular Air"/>
    <n v="-120.934"/>
    <n v="45.99"/>
    <n v="4.99"/>
    <x v="793"/>
    <x v="12"/>
    <x v="4"/>
    <x v="1"/>
    <x v="1"/>
    <x v="3"/>
    <x v="482"/>
    <s v="Small Box"/>
    <n v="0.56000000000000005"/>
    <d v="2011-11-06T00:00:00"/>
    <n v="0"/>
    <n v="0"/>
    <n v="1"/>
    <n v="1"/>
  </r>
  <r>
    <n v="4498"/>
    <n v="32007"/>
    <x v="735"/>
    <x v="44"/>
    <s v="Low"/>
    <n v="41"/>
    <n v="17448.75"/>
    <n v="0.06"/>
    <s v="Delivery Truck"/>
    <n v="9.9300000000000637"/>
    <n v="417.4"/>
    <n v="75.23"/>
    <x v="788"/>
    <x v="12"/>
    <x v="4"/>
    <x v="1"/>
    <x v="2"/>
    <x v="10"/>
    <x v="516"/>
    <s v="Jumbo Box"/>
    <n v="0.79"/>
    <d v="2011-02-09T00:00:00"/>
    <n v="0"/>
    <n v="0"/>
    <n v="1"/>
    <n v="1"/>
  </r>
  <r>
    <n v="4518"/>
    <n v="32164"/>
    <x v="243"/>
    <x v="6"/>
    <s v="Not Specified"/>
    <n v="12"/>
    <n v="77.010000000000005"/>
    <n v="0.02"/>
    <s v="Regular Air"/>
    <n v="-19.04"/>
    <n v="5.78"/>
    <n v="4.96"/>
    <x v="308"/>
    <x v="12"/>
    <x v="4"/>
    <x v="0"/>
    <x v="0"/>
    <x v="5"/>
    <x v="572"/>
    <s v="Small Box"/>
    <n v="0.36"/>
    <d v="2010-02-03T00:00:00"/>
    <n v="0"/>
    <n v="0"/>
    <n v="0.33333333333333331"/>
    <n v="0.33333333333333331"/>
  </r>
  <r>
    <n v="4519"/>
    <n v="32164"/>
    <x v="243"/>
    <x v="6"/>
    <s v="Not Specified"/>
    <n v="34"/>
    <n v="111.83"/>
    <n v="7.0000000000000007E-2"/>
    <s v="Regular Air"/>
    <n v="-92.16"/>
    <n v="3.28"/>
    <n v="3.97"/>
    <x v="308"/>
    <x v="12"/>
    <x v="4"/>
    <x v="0"/>
    <x v="0"/>
    <x v="12"/>
    <x v="431"/>
    <s v="Wrap Bag"/>
    <n v="0.56000000000000005"/>
    <d v="2010-02-03T00:00:00"/>
    <n v="0"/>
    <n v="0"/>
    <n v="0.33333333333333331"/>
    <n v="0.33333333333333331"/>
  </r>
  <r>
    <n v="4520"/>
    <n v="32164"/>
    <x v="243"/>
    <x v="6"/>
    <s v="Not Specified"/>
    <n v="23"/>
    <n v="6552.9"/>
    <n v="0.1"/>
    <s v="Delivery Truck"/>
    <n v="-461.45"/>
    <n v="296.18"/>
    <n v="54.12"/>
    <x v="308"/>
    <x v="12"/>
    <x v="4"/>
    <x v="0"/>
    <x v="2"/>
    <x v="10"/>
    <x v="300"/>
    <s v="Jumbo Box"/>
    <n v="0.76"/>
    <d v="2010-02-03T00:00:00"/>
    <n v="0"/>
    <n v="0"/>
    <n v="0.33333333333333331"/>
    <n v="0.33333333333333331"/>
  </r>
  <r>
    <n v="4531"/>
    <n v="32228"/>
    <x v="463"/>
    <x v="7"/>
    <s v="Critical"/>
    <n v="35"/>
    <n v="209.63"/>
    <n v="0.01"/>
    <s v="Regular Air"/>
    <n v="43.53"/>
    <n v="5.84"/>
    <n v="1.2"/>
    <x v="310"/>
    <x v="12"/>
    <x v="4"/>
    <x v="3"/>
    <x v="0"/>
    <x v="12"/>
    <x v="288"/>
    <s v="Wrap Bag"/>
    <n v="0.55000000000000004"/>
    <d v="2010-11-06T00:00:00"/>
    <n v="0"/>
    <n v="0"/>
    <n v="1"/>
    <n v="1"/>
  </r>
  <r>
    <n v="4551"/>
    <n v="32386"/>
    <x v="551"/>
    <x v="13"/>
    <s v="Critical"/>
    <n v="1"/>
    <n v="1996.16"/>
    <n v="0"/>
    <s v="Regular Air"/>
    <n v="-3974.4558000000002"/>
    <n v="1938.02"/>
    <n v="13.99"/>
    <x v="789"/>
    <x v="12"/>
    <x v="4"/>
    <x v="3"/>
    <x v="1"/>
    <x v="16"/>
    <x v="107"/>
    <s v="Medium Box"/>
    <n v="0.38"/>
    <d v="2012-04-20T00:00:00"/>
    <n v="0"/>
    <n v="0"/>
    <n v="1"/>
    <n v="1"/>
  </r>
  <r>
    <n v="4578"/>
    <n v="32610"/>
    <x v="624"/>
    <x v="9"/>
    <s v="Not Specified"/>
    <n v="47"/>
    <n v="316.99"/>
    <n v="0.04"/>
    <s v="Regular Air"/>
    <n v="-276.54000000000002"/>
    <n v="6.84"/>
    <n v="8.3699999999999992"/>
    <x v="784"/>
    <x v="12"/>
    <x v="4"/>
    <x v="1"/>
    <x v="0"/>
    <x v="15"/>
    <x v="277"/>
    <s v="Small Pack"/>
    <n v="0.57999999999999996"/>
    <d v="2012-08-20T00:00:00"/>
    <n v="0"/>
    <n v="0"/>
    <n v="0.5"/>
    <n v="0.5"/>
  </r>
  <r>
    <n v="4579"/>
    <n v="32610"/>
    <x v="624"/>
    <x v="9"/>
    <s v="Not Specified"/>
    <n v="20"/>
    <n v="1991.8984999999998"/>
    <n v="7.0000000000000007E-2"/>
    <s v="Regular Air"/>
    <n v="88.362000000000009"/>
    <n v="125.99"/>
    <n v="7.69"/>
    <x v="784"/>
    <x v="12"/>
    <x v="4"/>
    <x v="1"/>
    <x v="1"/>
    <x v="3"/>
    <x v="44"/>
    <s v="Small Box"/>
    <n v="0.57999999999999996"/>
    <d v="2012-08-20T00:00:00"/>
    <n v="0"/>
    <n v="0"/>
    <n v="0.5"/>
    <n v="0.5"/>
  </r>
  <r>
    <n v="4634"/>
    <n v="32994"/>
    <x v="190"/>
    <x v="34"/>
    <s v="Critical"/>
    <n v="34"/>
    <n v="226.41"/>
    <n v="0.05"/>
    <s v="Regular Air"/>
    <n v="-164.89"/>
    <n v="6.48"/>
    <n v="8.73"/>
    <x v="788"/>
    <x v="12"/>
    <x v="4"/>
    <x v="1"/>
    <x v="0"/>
    <x v="5"/>
    <x v="645"/>
    <s v="Small Box"/>
    <n v="0.37"/>
    <d v="2012-09-16T00:00:00"/>
    <n v="0"/>
    <n v="0"/>
    <n v="1"/>
    <n v="1"/>
  </r>
  <r>
    <n v="4677"/>
    <n v="33283"/>
    <x v="1404"/>
    <x v="14"/>
    <s v="Medium"/>
    <n v="48"/>
    <n v="10462.540000000001"/>
    <n v="0.02"/>
    <s v="Delivery Truck"/>
    <n v="-1402.68"/>
    <n v="218.75"/>
    <n v="69.64"/>
    <x v="278"/>
    <x v="12"/>
    <x v="4"/>
    <x v="3"/>
    <x v="2"/>
    <x v="10"/>
    <x v="146"/>
    <s v="Jumbo Box"/>
    <n v="0.77"/>
    <d v="2010-03-20T00:00:00"/>
    <n v="0"/>
    <n v="0"/>
    <n v="1"/>
    <n v="1"/>
  </r>
  <r>
    <n v="4750"/>
    <n v="33764"/>
    <x v="405"/>
    <x v="44"/>
    <s v="Critical"/>
    <n v="4"/>
    <n v="539.82000000000005"/>
    <n v="0"/>
    <s v="Regular Air"/>
    <n v="-64.78"/>
    <n v="120.33"/>
    <n v="19.989999999999998"/>
    <x v="484"/>
    <x v="12"/>
    <x v="4"/>
    <x v="0"/>
    <x v="0"/>
    <x v="0"/>
    <x v="870"/>
    <s v="Small Box"/>
    <n v="0.59"/>
    <d v="2011-02-12T00:00:00"/>
    <n v="0"/>
    <n v="0"/>
    <n v="0.33333333333333331"/>
    <n v="0.33333333333333331"/>
  </r>
  <r>
    <n v="4751"/>
    <n v="33764"/>
    <x v="405"/>
    <x v="44"/>
    <s v="Critical"/>
    <n v="6"/>
    <n v="1029.8855000000001"/>
    <n v="0.06"/>
    <s v="Express Air"/>
    <n v="-620.82899999999995"/>
    <n v="205.99"/>
    <n v="8.99"/>
    <x v="484"/>
    <x v="12"/>
    <x v="4"/>
    <x v="0"/>
    <x v="1"/>
    <x v="3"/>
    <x v="1044"/>
    <s v="Small Box"/>
    <n v="0.56000000000000005"/>
    <d v="2011-02-11T00:00:00"/>
    <n v="0"/>
    <n v="0"/>
    <n v="0.33333333333333331"/>
    <n v="0.33333333333333331"/>
  </r>
  <r>
    <n v="4800"/>
    <n v="34117"/>
    <x v="164"/>
    <x v="12"/>
    <s v="High"/>
    <n v="45"/>
    <n v="299.94"/>
    <n v="0.06"/>
    <s v="Regular Air"/>
    <n v="38.742999999999995"/>
    <n v="6.75"/>
    <n v="2.99"/>
    <x v="484"/>
    <x v="12"/>
    <x v="4"/>
    <x v="0"/>
    <x v="0"/>
    <x v="2"/>
    <x v="239"/>
    <s v="Small Box"/>
    <n v="0.35"/>
    <d v="2012-02-09T00:00:00"/>
    <n v="0"/>
    <n v="0"/>
    <n v="1"/>
    <n v="1"/>
  </r>
  <r>
    <n v="4974"/>
    <n v="35366"/>
    <x v="997"/>
    <x v="2"/>
    <s v="Low"/>
    <n v="23"/>
    <n v="149.31"/>
    <n v="0.06"/>
    <s v="Regular Air"/>
    <n v="-98.42"/>
    <n v="6.48"/>
    <n v="7.81"/>
    <x v="785"/>
    <x v="12"/>
    <x v="4"/>
    <x v="1"/>
    <x v="0"/>
    <x v="5"/>
    <x v="1261"/>
    <s v="Small Box"/>
    <n v="0.37"/>
    <d v="2011-07-19T00:00:00"/>
    <n v="0"/>
    <n v="0"/>
    <n v="1"/>
    <n v="0.25"/>
  </r>
  <r>
    <n v="4979"/>
    <n v="35426"/>
    <x v="1348"/>
    <x v="0"/>
    <s v="High"/>
    <n v="5"/>
    <n v="53.01"/>
    <n v="0.08"/>
    <s v="Regular Air"/>
    <n v="3.85"/>
    <n v="10.31"/>
    <n v="1.79"/>
    <x v="687"/>
    <x v="12"/>
    <x v="4"/>
    <x v="0"/>
    <x v="0"/>
    <x v="5"/>
    <x v="171"/>
    <s v="Wrap Bag"/>
    <n v="0.38"/>
    <d v="2010-10-04T00:00:00"/>
    <n v="0"/>
    <n v="0"/>
    <n v="1"/>
    <n v="1"/>
  </r>
  <r>
    <n v="4987"/>
    <n v="35490"/>
    <x v="131"/>
    <x v="15"/>
    <s v="High"/>
    <n v="7"/>
    <n v="44.64"/>
    <n v="0.03"/>
    <s v="Express Air"/>
    <n v="2.08"/>
    <n v="5.84"/>
    <n v="1.2"/>
    <x v="792"/>
    <x v="12"/>
    <x v="4"/>
    <x v="0"/>
    <x v="0"/>
    <x v="12"/>
    <x v="288"/>
    <s v="Wrap Bag"/>
    <n v="0.55000000000000004"/>
    <d v="2010-12-09T00:00:00"/>
    <n v="0"/>
    <n v="0"/>
    <n v="0.5"/>
    <n v="0.5"/>
  </r>
  <r>
    <n v="4988"/>
    <n v="35490"/>
    <x v="131"/>
    <x v="15"/>
    <s v="High"/>
    <n v="41"/>
    <n v="1289.6199999999999"/>
    <n v="0.03"/>
    <s v="Regular Air"/>
    <n v="432.52199999999999"/>
    <n v="35.99"/>
    <n v="1.1000000000000001"/>
    <x v="792"/>
    <x v="12"/>
    <x v="4"/>
    <x v="0"/>
    <x v="1"/>
    <x v="3"/>
    <x v="828"/>
    <s v="Small Box"/>
    <n v="0.55000000000000004"/>
    <d v="2010-12-09T00:00:00"/>
    <n v="0"/>
    <n v="0"/>
    <n v="0.5"/>
    <n v="0.5"/>
  </r>
  <r>
    <n v="5005"/>
    <n v="35686"/>
    <x v="1313"/>
    <x v="0"/>
    <s v="High"/>
    <n v="48"/>
    <n v="313.52"/>
    <n v="0.05"/>
    <s v="Regular Air"/>
    <n v="-254.68"/>
    <n v="6.48"/>
    <n v="9.17"/>
    <x v="310"/>
    <x v="12"/>
    <x v="4"/>
    <x v="3"/>
    <x v="0"/>
    <x v="5"/>
    <x v="1100"/>
    <s v="Small Box"/>
    <n v="0.37"/>
    <d v="2010-10-04T00:00:00"/>
    <n v="0"/>
    <n v="0"/>
    <n v="1"/>
    <n v="1"/>
  </r>
  <r>
    <n v="5010"/>
    <n v="35744"/>
    <x v="1207"/>
    <x v="28"/>
    <s v="Not Specified"/>
    <n v="44"/>
    <n v="2587.5300000000002"/>
    <n v="0.02"/>
    <s v="Regular Air"/>
    <n v="401.85"/>
    <n v="55.94"/>
    <n v="6.55"/>
    <x v="788"/>
    <x v="12"/>
    <x v="4"/>
    <x v="1"/>
    <x v="1"/>
    <x v="7"/>
    <x v="377"/>
    <s v="Small Box"/>
    <n v="0.68"/>
    <d v="2009-03-23T00:00:00"/>
    <n v="0"/>
    <n v="0"/>
    <n v="1"/>
    <n v="1"/>
  </r>
  <r>
    <n v="5042"/>
    <n v="35936"/>
    <x v="472"/>
    <x v="22"/>
    <s v="Medium"/>
    <n v="41"/>
    <n v="312.26"/>
    <n v="0.08"/>
    <s v="Regular Air"/>
    <n v="-10.384499999999999"/>
    <n v="7.84"/>
    <n v="4.71"/>
    <x v="782"/>
    <x v="12"/>
    <x v="4"/>
    <x v="2"/>
    <x v="0"/>
    <x v="2"/>
    <x v="39"/>
    <s v="Small Box"/>
    <n v="0.35"/>
    <d v="2009-01-22T00:00:00"/>
    <n v="0"/>
    <n v="1"/>
    <n v="0.5"/>
    <n v="0.5"/>
  </r>
  <r>
    <n v="5043"/>
    <n v="35936"/>
    <x v="472"/>
    <x v="22"/>
    <s v="Medium"/>
    <n v="40"/>
    <n v="4152.55"/>
    <n v="0.03"/>
    <s v="Regular Air"/>
    <n v="813.33"/>
    <n v="105.34"/>
    <n v="24.49"/>
    <x v="782"/>
    <x v="12"/>
    <x v="4"/>
    <x v="2"/>
    <x v="2"/>
    <x v="4"/>
    <x v="97"/>
    <s v="Large Box"/>
    <n v="0.61"/>
    <d v="2009-01-22T00:00:00"/>
    <n v="0"/>
    <n v="1"/>
    <n v="0.5"/>
    <n v="0.5"/>
  </r>
  <r>
    <n v="5085"/>
    <n v="36257"/>
    <x v="496"/>
    <x v="12"/>
    <s v="High"/>
    <n v="43"/>
    <n v="894.51"/>
    <n v="0.08"/>
    <s v="Regular Air"/>
    <n v="294.20999999999998"/>
    <n v="20.89"/>
    <n v="1.99"/>
    <x v="687"/>
    <x v="12"/>
    <x v="4"/>
    <x v="0"/>
    <x v="1"/>
    <x v="7"/>
    <x v="187"/>
    <s v="Small Pack"/>
    <n v="0.48"/>
    <d v="2012-02-29T00:00:00"/>
    <n v="0"/>
    <n v="0"/>
    <n v="1"/>
    <n v="0.5"/>
  </r>
  <r>
    <n v="5086"/>
    <n v="36262"/>
    <x v="1154"/>
    <x v="42"/>
    <s v="Not Specified"/>
    <n v="23"/>
    <n v="164.02"/>
    <n v="0.03"/>
    <s v="Express Air"/>
    <n v="-47.64"/>
    <n v="6.68"/>
    <n v="6.15"/>
    <x v="25"/>
    <x v="12"/>
    <x v="4"/>
    <x v="2"/>
    <x v="0"/>
    <x v="5"/>
    <x v="1151"/>
    <s v="Small Box"/>
    <n v="0.37"/>
    <d v="2010-07-28T00:00:00"/>
    <n v="0"/>
    <n v="0"/>
    <n v="0.33333333333333331"/>
    <n v="0.33333333333333331"/>
  </r>
  <r>
    <n v="5087"/>
    <n v="36262"/>
    <x v="1154"/>
    <x v="42"/>
    <s v="Not Specified"/>
    <n v="23"/>
    <n v="136.81"/>
    <n v="0.01"/>
    <s v="Regular Air"/>
    <n v="-30.51"/>
    <n v="5.68"/>
    <n v="3.6"/>
    <x v="25"/>
    <x v="12"/>
    <x v="4"/>
    <x v="2"/>
    <x v="0"/>
    <x v="15"/>
    <x v="1153"/>
    <s v="Small Pack"/>
    <n v="0.56000000000000005"/>
    <d v="2010-07-28T00:00:00"/>
    <n v="0"/>
    <n v="0"/>
    <n v="0.33333333333333331"/>
    <n v="0.33333333333333331"/>
  </r>
  <r>
    <n v="5088"/>
    <n v="36262"/>
    <x v="1154"/>
    <x v="42"/>
    <s v="Not Specified"/>
    <n v="26"/>
    <n v="4701.6899999999996"/>
    <n v="0"/>
    <s v="Express Air"/>
    <n v="1148.904"/>
    <n v="205.99"/>
    <n v="2.5"/>
    <x v="25"/>
    <x v="12"/>
    <x v="4"/>
    <x v="2"/>
    <x v="1"/>
    <x v="3"/>
    <x v="1038"/>
    <s v="Small Box"/>
    <n v="0.59"/>
    <d v="2010-07-27T00:00:00"/>
    <n v="0"/>
    <n v="0"/>
    <n v="0.33333333333333331"/>
    <n v="0.33333333333333331"/>
  </r>
  <r>
    <n v="5089"/>
    <n v="36292"/>
    <x v="730"/>
    <x v="6"/>
    <s v="Critical"/>
    <n v="21"/>
    <n v="109.87"/>
    <n v="0.05"/>
    <s v="Regular Air"/>
    <n v="-98.17"/>
    <n v="4.9800000000000004"/>
    <n v="7.54"/>
    <x v="691"/>
    <x v="12"/>
    <x v="4"/>
    <x v="2"/>
    <x v="0"/>
    <x v="5"/>
    <x v="1078"/>
    <s v="Small Box"/>
    <n v="0.38"/>
    <d v="2010-02-08T00:00:00"/>
    <n v="0"/>
    <n v="0"/>
    <n v="0.5"/>
    <n v="0.5"/>
  </r>
  <r>
    <n v="5090"/>
    <n v="36292"/>
    <x v="730"/>
    <x v="6"/>
    <s v="Critical"/>
    <n v="37"/>
    <n v="816.65"/>
    <n v="0.09"/>
    <s v="Regular Air"/>
    <n v="-182.8"/>
    <n v="22.84"/>
    <n v="16.87"/>
    <x v="691"/>
    <x v="12"/>
    <x v="4"/>
    <x v="2"/>
    <x v="0"/>
    <x v="5"/>
    <x v="150"/>
    <s v="Small Box"/>
    <n v="0.39"/>
    <d v="2010-02-07T00:00:00"/>
    <n v="0"/>
    <n v="0"/>
    <n v="0.5"/>
    <n v="0.5"/>
  </r>
  <r>
    <n v="5103"/>
    <n v="36357"/>
    <x v="1416"/>
    <x v="23"/>
    <s v="Not Specified"/>
    <n v="38"/>
    <n v="17605.77"/>
    <n v="0.01"/>
    <s v="Delivery Truck"/>
    <n v="-370.04"/>
    <n v="449.99"/>
    <n v="49"/>
    <x v="783"/>
    <x v="12"/>
    <x v="4"/>
    <x v="0"/>
    <x v="1"/>
    <x v="13"/>
    <x v="26"/>
    <s v="Jumbo Drum"/>
    <n v="0.38"/>
    <d v="2012-01-15T00:00:00"/>
    <n v="0"/>
    <n v="0"/>
    <n v="1"/>
    <n v="1"/>
  </r>
  <r>
    <n v="5122"/>
    <n v="36482"/>
    <x v="1340"/>
    <x v="2"/>
    <s v="Medium"/>
    <n v="7"/>
    <n v="55.68"/>
    <n v="0.1"/>
    <s v="Express Air"/>
    <n v="-7.4"/>
    <n v="5.98"/>
    <n v="5.15"/>
    <x v="308"/>
    <x v="12"/>
    <x v="4"/>
    <x v="0"/>
    <x v="0"/>
    <x v="5"/>
    <x v="773"/>
    <s v="Small Box"/>
    <n v="0.36"/>
    <d v="2011-07-06T00:00:00"/>
    <n v="0"/>
    <n v="0"/>
    <n v="0.33333333333333331"/>
    <n v="0.33333333333333331"/>
  </r>
  <r>
    <n v="5123"/>
    <n v="36482"/>
    <x v="1340"/>
    <x v="2"/>
    <s v="Medium"/>
    <n v="47"/>
    <n v="14588.28"/>
    <n v="0.06"/>
    <s v="Delivery Truck"/>
    <n v="861.78"/>
    <n v="328.14"/>
    <n v="91.05"/>
    <x v="308"/>
    <x v="12"/>
    <x v="4"/>
    <x v="0"/>
    <x v="0"/>
    <x v="1"/>
    <x v="888"/>
    <s v="Jumbo Drum"/>
    <n v="0.56999999999999995"/>
    <d v="2011-07-06T00:00:00"/>
    <n v="0"/>
    <n v="0"/>
    <n v="0.33333333333333331"/>
    <n v="0.33333333333333331"/>
  </r>
  <r>
    <n v="5124"/>
    <n v="36482"/>
    <x v="1340"/>
    <x v="2"/>
    <s v="Medium"/>
    <n v="27"/>
    <n v="2675.08"/>
    <n v="7.0000000000000007E-2"/>
    <s v="Express Air"/>
    <n v="489.58"/>
    <n v="105.34"/>
    <n v="24.49"/>
    <x v="308"/>
    <x v="12"/>
    <x v="4"/>
    <x v="0"/>
    <x v="2"/>
    <x v="4"/>
    <x v="97"/>
    <s v="Large Box"/>
    <n v="0.61"/>
    <d v="2011-07-07T00:00:00"/>
    <n v="0"/>
    <n v="0"/>
    <n v="0.33333333333333331"/>
    <n v="0.33333333333333331"/>
  </r>
  <r>
    <n v="5168"/>
    <n v="36772"/>
    <x v="812"/>
    <x v="39"/>
    <s v="Medium"/>
    <n v="47"/>
    <n v="280.45"/>
    <n v="0.1"/>
    <s v="Regular Air"/>
    <n v="-143.65"/>
    <n v="6.48"/>
    <n v="6.35"/>
    <x v="278"/>
    <x v="12"/>
    <x v="4"/>
    <x v="3"/>
    <x v="0"/>
    <x v="5"/>
    <x v="1108"/>
    <s v="Small Box"/>
    <n v="0.37"/>
    <d v="2010-05-15T00:00:00"/>
    <n v="0"/>
    <n v="0"/>
    <n v="0.33333333333333331"/>
    <n v="0.33333333333333331"/>
  </r>
  <r>
    <n v="5206"/>
    <n v="36998"/>
    <x v="1286"/>
    <x v="34"/>
    <s v="Low"/>
    <n v="50"/>
    <n v="481.23"/>
    <n v="7.0000000000000007E-2"/>
    <s v="Regular Air"/>
    <n v="-409.24"/>
    <n v="9.98"/>
    <n v="12.52"/>
    <x v="691"/>
    <x v="12"/>
    <x v="4"/>
    <x v="2"/>
    <x v="2"/>
    <x v="4"/>
    <x v="981"/>
    <s v="Small Box"/>
    <n v="0.56999999999999995"/>
    <d v="2012-10-04T00:00:00"/>
    <n v="0"/>
    <n v="0"/>
    <n v="0.33333333333333331"/>
    <n v="0.33333333333333331"/>
  </r>
  <r>
    <n v="5207"/>
    <n v="36998"/>
    <x v="1286"/>
    <x v="34"/>
    <s v="Low"/>
    <n v="41"/>
    <n v="265.39"/>
    <n v="0.1"/>
    <s v="Regular Air"/>
    <n v="-237.01"/>
    <n v="6.48"/>
    <n v="9.5399999999999991"/>
    <x v="691"/>
    <x v="12"/>
    <x v="4"/>
    <x v="2"/>
    <x v="0"/>
    <x v="5"/>
    <x v="390"/>
    <s v="Small Box"/>
    <n v="0.37"/>
    <d v="2012-10-06T00:00:00"/>
    <n v="0"/>
    <n v="0"/>
    <n v="0.33333333333333331"/>
    <n v="0.33333333333333331"/>
  </r>
  <r>
    <n v="5208"/>
    <n v="36998"/>
    <x v="1286"/>
    <x v="34"/>
    <s v="Low"/>
    <n v="8"/>
    <n v="56.5"/>
    <n v="0.02"/>
    <s v="Regular Air"/>
    <n v="-17.16"/>
    <n v="6.48"/>
    <n v="5.19"/>
    <x v="691"/>
    <x v="12"/>
    <x v="4"/>
    <x v="2"/>
    <x v="0"/>
    <x v="5"/>
    <x v="488"/>
    <s v="Small Box"/>
    <n v="0.37"/>
    <d v="2012-10-01T00:00:00"/>
    <n v="0"/>
    <n v="0"/>
    <n v="0.33333333333333331"/>
    <n v="0.33333333333333331"/>
  </r>
  <r>
    <n v="5213"/>
    <n v="37095"/>
    <x v="1291"/>
    <x v="28"/>
    <s v="Low"/>
    <n v="3"/>
    <n v="18888"/>
    <n v="0.09"/>
    <s v="Regular Air"/>
    <n v="-14140.7016"/>
    <n v="6783.02"/>
    <n v="24.49"/>
    <x v="782"/>
    <x v="12"/>
    <x v="4"/>
    <x v="1"/>
    <x v="1"/>
    <x v="16"/>
    <x v="1135"/>
    <s v="Large Box"/>
    <n v="0.39"/>
    <d v="2009-03-14T00:00:00"/>
    <n v="0"/>
    <n v="0"/>
    <n v="1"/>
    <n v="1"/>
  </r>
  <r>
    <n v="5248"/>
    <n v="37319"/>
    <x v="334"/>
    <x v="26"/>
    <s v="Critical"/>
    <n v="37"/>
    <n v="388.9"/>
    <n v="0.1"/>
    <s v="Regular Air"/>
    <n v="-37.11"/>
    <n v="10.89"/>
    <n v="4.5"/>
    <x v="792"/>
    <x v="12"/>
    <x v="4"/>
    <x v="0"/>
    <x v="0"/>
    <x v="1"/>
    <x v="225"/>
    <s v="Small Box"/>
    <n v="0.59"/>
    <d v="2009-08-06T00:00:00"/>
    <n v="0"/>
    <n v="0"/>
    <n v="1"/>
    <n v="0.5"/>
  </r>
  <r>
    <n v="5474"/>
    <n v="38886"/>
    <x v="408"/>
    <x v="26"/>
    <s v="High"/>
    <n v="26"/>
    <n v="172.01"/>
    <n v="0.06"/>
    <s v="Express Air"/>
    <n v="27.47"/>
    <n v="6.7"/>
    <n v="1.56"/>
    <x v="792"/>
    <x v="12"/>
    <x v="4"/>
    <x v="0"/>
    <x v="0"/>
    <x v="12"/>
    <x v="152"/>
    <s v="Wrap Bag"/>
    <n v="0.52"/>
    <d v="2009-08-09T00:00:00"/>
    <n v="0"/>
    <n v="0"/>
    <n v="1"/>
    <n v="0.5"/>
  </r>
  <r>
    <n v="5523"/>
    <n v="39140"/>
    <x v="1280"/>
    <x v="18"/>
    <s v="Low"/>
    <n v="26"/>
    <n v="2268.91"/>
    <n v="0.02"/>
    <s v="Delivery Truck"/>
    <n v="-624.29"/>
    <n v="81.94"/>
    <n v="55.81"/>
    <x v="788"/>
    <x v="12"/>
    <x v="4"/>
    <x v="1"/>
    <x v="2"/>
    <x v="9"/>
    <x v="839"/>
    <s v="Jumbo Box"/>
    <n v="0.6"/>
    <d v="2010-10-02T00:00:00"/>
    <n v="0"/>
    <n v="0"/>
    <n v="1"/>
    <n v="1"/>
  </r>
  <r>
    <n v="5597"/>
    <n v="39682"/>
    <x v="628"/>
    <x v="7"/>
    <s v="Medium"/>
    <n v="43"/>
    <n v="2337.89"/>
    <n v="0.09"/>
    <s v="Express Air"/>
    <n v="729.34"/>
    <n v="55.48"/>
    <n v="14.3"/>
    <x v="25"/>
    <x v="12"/>
    <x v="4"/>
    <x v="2"/>
    <x v="0"/>
    <x v="5"/>
    <x v="381"/>
    <s v="Small Box"/>
    <n v="0.37"/>
    <d v="2010-11-11T00:00:00"/>
    <n v="0"/>
    <n v="0"/>
    <n v="1"/>
    <n v="1"/>
  </r>
  <r>
    <n v="5621"/>
    <n v="39813"/>
    <x v="947"/>
    <x v="12"/>
    <s v="Critical"/>
    <n v="48"/>
    <n v="314.33999999999997"/>
    <n v="0.03"/>
    <s v="Regular Air"/>
    <n v="-130.5"/>
    <n v="6.48"/>
    <n v="6.6"/>
    <x v="788"/>
    <x v="12"/>
    <x v="4"/>
    <x v="1"/>
    <x v="0"/>
    <x v="5"/>
    <x v="226"/>
    <s v="Small Box"/>
    <n v="0.37"/>
    <d v="2012-02-03T00:00:00"/>
    <n v="0"/>
    <n v="0"/>
    <n v="1"/>
    <n v="1"/>
  </r>
  <r>
    <n v="5644"/>
    <n v="39937"/>
    <x v="1112"/>
    <x v="10"/>
    <s v="Medium"/>
    <n v="42"/>
    <n v="113.33"/>
    <n v="7.0000000000000007E-2"/>
    <s v="Regular Air"/>
    <n v="-0.40250000000000002"/>
    <n v="2.78"/>
    <n v="1.49"/>
    <x v="785"/>
    <x v="12"/>
    <x v="4"/>
    <x v="1"/>
    <x v="0"/>
    <x v="2"/>
    <x v="428"/>
    <s v="Small Box"/>
    <n v="0.39"/>
    <d v="2011-05-23T00:00:00"/>
    <n v="0"/>
    <n v="0"/>
    <n v="1"/>
    <n v="1"/>
  </r>
  <r>
    <n v="5658"/>
    <n v="40034"/>
    <x v="396"/>
    <x v="5"/>
    <s v="Medium"/>
    <n v="47"/>
    <n v="603.69000000000005"/>
    <n v="0"/>
    <s v="Express Air"/>
    <n v="131.38999999999999"/>
    <n v="12.28"/>
    <n v="4.8600000000000003"/>
    <x v="784"/>
    <x v="12"/>
    <x v="4"/>
    <x v="1"/>
    <x v="0"/>
    <x v="5"/>
    <x v="923"/>
    <s v="Small Box"/>
    <n v="0.38"/>
    <d v="2011-03-11T00:00:00"/>
    <n v="0"/>
    <n v="0"/>
    <n v="1"/>
    <n v="1"/>
  </r>
  <r>
    <n v="5673"/>
    <n v="40128"/>
    <x v="1417"/>
    <x v="40"/>
    <s v="Low"/>
    <n v="43"/>
    <n v="10318.719999999999"/>
    <n v="0.01"/>
    <s v="Delivery Truck"/>
    <n v="1445.36"/>
    <n v="240.98"/>
    <n v="60.2"/>
    <x v="691"/>
    <x v="12"/>
    <x v="4"/>
    <x v="2"/>
    <x v="2"/>
    <x v="9"/>
    <x v="885"/>
    <s v="Jumbo Box"/>
    <n v="0.56000000000000005"/>
    <d v="2009-02-16T00:00:00"/>
    <n v="0"/>
    <n v="0"/>
    <n v="1"/>
    <n v="1"/>
  </r>
  <r>
    <n v="5720"/>
    <n v="40519"/>
    <x v="566"/>
    <x v="15"/>
    <s v="Critical"/>
    <n v="38"/>
    <n v="82.93"/>
    <n v="0.08"/>
    <s v="Regular Air"/>
    <n v="-10.32"/>
    <n v="2.1800000000000002"/>
    <n v="1.38"/>
    <x v="687"/>
    <x v="12"/>
    <x v="4"/>
    <x v="0"/>
    <x v="0"/>
    <x v="6"/>
    <x v="1086"/>
    <s v="Wrap Bag"/>
    <n v="0.44"/>
    <d v="2010-12-23T00:00:00"/>
    <n v="0"/>
    <n v="0"/>
    <n v="1"/>
    <n v="1"/>
  </r>
  <r>
    <n v="5753"/>
    <n v="40838"/>
    <x v="143"/>
    <x v="32"/>
    <s v="Not Specified"/>
    <n v="40"/>
    <n v="323.95999999999998"/>
    <n v="7.0000000000000007E-2"/>
    <s v="Regular Air"/>
    <n v="-136.82"/>
    <n v="8.09"/>
    <n v="7.96"/>
    <x v="793"/>
    <x v="12"/>
    <x v="4"/>
    <x v="1"/>
    <x v="2"/>
    <x v="4"/>
    <x v="1172"/>
    <s v="Small Box"/>
    <n v="0.49"/>
    <d v="2012-11-29T00:00:00"/>
    <n v="0"/>
    <n v="0"/>
    <n v="0.5"/>
    <n v="0.5"/>
  </r>
  <r>
    <n v="5754"/>
    <n v="40838"/>
    <x v="143"/>
    <x v="32"/>
    <s v="Not Specified"/>
    <n v="10"/>
    <n v="175.85649999999998"/>
    <n v="0.03"/>
    <s v="Regular Air"/>
    <n v="-93.257999999999996"/>
    <n v="20.99"/>
    <n v="1.25"/>
    <x v="793"/>
    <x v="12"/>
    <x v="4"/>
    <x v="1"/>
    <x v="1"/>
    <x v="3"/>
    <x v="173"/>
    <s v="Small Pack"/>
    <n v="0.83"/>
    <d v="2012-11-27T00:00:00"/>
    <n v="0"/>
    <n v="0"/>
    <n v="0.5"/>
    <n v="0.5"/>
  </r>
  <r>
    <n v="5811"/>
    <n v="41189"/>
    <x v="761"/>
    <x v="36"/>
    <s v="Low"/>
    <n v="30"/>
    <n v="189.04"/>
    <n v="0.03"/>
    <s v="Regular Air"/>
    <n v="66.28"/>
    <n v="6.45"/>
    <n v="1.34"/>
    <x v="787"/>
    <x v="12"/>
    <x v="4"/>
    <x v="1"/>
    <x v="0"/>
    <x v="5"/>
    <x v="795"/>
    <s v="Wrap Bag"/>
    <n v="0.36"/>
    <d v="2009-07-19T00:00:00"/>
    <n v="0"/>
    <n v="0"/>
    <n v="1"/>
    <n v="1"/>
  </r>
  <r>
    <n v="5818"/>
    <n v="41255"/>
    <x v="602"/>
    <x v="19"/>
    <s v="Low"/>
    <n v="22"/>
    <n v="1333.19"/>
    <n v="0.01"/>
    <s v="Regular Air"/>
    <n v="331.48"/>
    <n v="60.65"/>
    <n v="12.23"/>
    <x v="691"/>
    <x v="12"/>
    <x v="4"/>
    <x v="2"/>
    <x v="2"/>
    <x v="4"/>
    <x v="915"/>
    <s v="Medium Box"/>
    <n v="0.64"/>
    <d v="2009-10-25T00:00:00"/>
    <n v="0"/>
    <n v="0"/>
    <n v="1"/>
    <n v="1"/>
  </r>
  <r>
    <n v="5882"/>
    <n v="41760"/>
    <x v="1075"/>
    <x v="23"/>
    <s v="Low"/>
    <n v="21"/>
    <n v="6688.66"/>
    <n v="0.04"/>
    <s v="Regular Air"/>
    <n v="2648.0814999999998"/>
    <n v="315.98"/>
    <n v="19.989999999999998"/>
    <x v="308"/>
    <x v="12"/>
    <x v="4"/>
    <x v="0"/>
    <x v="0"/>
    <x v="2"/>
    <x v="689"/>
    <s v="Small Box"/>
    <n v="0.38"/>
    <d v="2012-02-01T00:00:00"/>
    <n v="0"/>
    <n v="0"/>
    <n v="0.25"/>
    <n v="0.25"/>
  </r>
  <r>
    <n v="5883"/>
    <n v="41760"/>
    <x v="1075"/>
    <x v="23"/>
    <s v="Low"/>
    <n v="22"/>
    <n v="247.45"/>
    <n v="0"/>
    <s v="Regular Air"/>
    <n v="-133.18"/>
    <n v="9.98"/>
    <n v="12.52"/>
    <x v="308"/>
    <x v="12"/>
    <x v="4"/>
    <x v="0"/>
    <x v="2"/>
    <x v="4"/>
    <x v="981"/>
    <s v="Small Box"/>
    <n v="0.56999999999999995"/>
    <d v="2012-02-03T00:00:00"/>
    <n v="0"/>
    <n v="0"/>
    <n v="0.25"/>
    <n v="0.25"/>
  </r>
  <r>
    <n v="5884"/>
    <n v="41760"/>
    <x v="1075"/>
    <x v="23"/>
    <s v="Low"/>
    <n v="7"/>
    <n v="685.72050000000002"/>
    <n v="0.08"/>
    <s v="Regular Air"/>
    <n v="-278.87200000000001"/>
    <n v="115.99"/>
    <n v="2.5"/>
    <x v="308"/>
    <x v="12"/>
    <x v="4"/>
    <x v="0"/>
    <x v="1"/>
    <x v="3"/>
    <x v="41"/>
    <s v="Small Box"/>
    <n v="0.56999999999999995"/>
    <d v="2012-02-01T00:00:00"/>
    <n v="0"/>
    <n v="0"/>
    <n v="0.25"/>
    <n v="0.25"/>
  </r>
  <r>
    <n v="5885"/>
    <n v="41760"/>
    <x v="1075"/>
    <x v="23"/>
    <s v="Low"/>
    <n v="40"/>
    <n v="3232.1334999999999"/>
    <n v="0.05"/>
    <s v="Regular Air"/>
    <n v="696.95100000000002"/>
    <n v="95.99"/>
    <n v="8.99"/>
    <x v="308"/>
    <x v="12"/>
    <x v="4"/>
    <x v="0"/>
    <x v="1"/>
    <x v="3"/>
    <x v="94"/>
    <s v="Small Box"/>
    <n v="0.56999999999999995"/>
    <d v="2012-02-01T00:00:00"/>
    <n v="0"/>
    <n v="0"/>
    <n v="0.25"/>
    <n v="0.25"/>
  </r>
  <r>
    <n v="6046"/>
    <n v="42852"/>
    <x v="874"/>
    <x v="47"/>
    <s v="Not Specified"/>
    <n v="13"/>
    <n v="129.9"/>
    <n v="0.02"/>
    <s v="Regular Air"/>
    <n v="-63.51"/>
    <n v="9.06"/>
    <n v="9.86"/>
    <x v="696"/>
    <x v="12"/>
    <x v="4"/>
    <x v="1"/>
    <x v="0"/>
    <x v="5"/>
    <x v="718"/>
    <s v="Small Box"/>
    <n v="0.4"/>
    <d v="2009-12-22T00:00:00"/>
    <n v="0"/>
    <n v="0"/>
    <n v="1"/>
    <n v="0.5"/>
  </r>
  <r>
    <n v="6069"/>
    <n v="42982"/>
    <x v="1228"/>
    <x v="29"/>
    <s v="Low"/>
    <n v="42"/>
    <n v="1587.59"/>
    <n v="0.08"/>
    <s v="Regular Air"/>
    <n v="651.74"/>
    <n v="39.89"/>
    <n v="3.04"/>
    <x v="696"/>
    <x v="12"/>
    <x v="4"/>
    <x v="1"/>
    <x v="2"/>
    <x v="4"/>
    <x v="14"/>
    <s v="Wrap Bag"/>
    <n v="0.53"/>
    <d v="2012-08-01T00:00:00"/>
    <n v="0"/>
    <n v="0"/>
    <n v="0.5"/>
    <n v="0.5"/>
  </r>
  <r>
    <n v="6111"/>
    <n v="43298"/>
    <x v="2"/>
    <x v="2"/>
    <s v="Not Specified"/>
    <n v="33"/>
    <n v="5964.19"/>
    <n v="0.1"/>
    <s v="Regular Air"/>
    <n v="988.19900000000007"/>
    <n v="199.99"/>
    <n v="24.49"/>
    <x v="788"/>
    <x v="12"/>
    <x v="4"/>
    <x v="1"/>
    <x v="1"/>
    <x v="13"/>
    <x v="473"/>
    <s v="Large Box"/>
    <n v="0.46"/>
    <d v="2011-07-12T00:00:00"/>
    <n v="0"/>
    <n v="0"/>
    <n v="0.5"/>
    <n v="0.5"/>
  </r>
  <r>
    <n v="6112"/>
    <n v="43298"/>
    <x v="2"/>
    <x v="2"/>
    <s v="Not Specified"/>
    <n v="15"/>
    <n v="109.2"/>
    <n v="0.03"/>
    <s v="Regular Air"/>
    <n v="-50.27"/>
    <n v="6.48"/>
    <n v="7.37"/>
    <x v="788"/>
    <x v="12"/>
    <x v="4"/>
    <x v="1"/>
    <x v="0"/>
    <x v="5"/>
    <x v="673"/>
    <s v="Small Box"/>
    <n v="0.37"/>
    <d v="2011-07-12T00:00:00"/>
    <n v="0"/>
    <n v="0"/>
    <n v="0.5"/>
    <n v="0.5"/>
  </r>
  <r>
    <n v="6288"/>
    <n v="44516"/>
    <x v="779"/>
    <x v="4"/>
    <s v="Critical"/>
    <n v="17"/>
    <n v="57.96"/>
    <n v="0.06"/>
    <s v="Regular Air"/>
    <n v="-47.32"/>
    <n v="3.28"/>
    <n v="3.97"/>
    <x v="310"/>
    <x v="12"/>
    <x v="4"/>
    <x v="0"/>
    <x v="0"/>
    <x v="12"/>
    <x v="429"/>
    <s v="Wrap Bag"/>
    <n v="0.56000000000000005"/>
    <d v="2011-06-29T00:00:00"/>
    <n v="0"/>
    <n v="0"/>
    <n v="1"/>
    <n v="1"/>
  </r>
  <r>
    <n v="6357"/>
    <n v="45088"/>
    <x v="211"/>
    <x v="7"/>
    <s v="Low"/>
    <n v="9"/>
    <n v="1418.9559999999999"/>
    <n v="0.09"/>
    <s v="Regular Air"/>
    <n v="-447.41399999999999"/>
    <n v="195.99"/>
    <n v="4.2"/>
    <x v="789"/>
    <x v="12"/>
    <x v="4"/>
    <x v="3"/>
    <x v="1"/>
    <x v="3"/>
    <x v="469"/>
    <s v="Small Box"/>
    <n v="0.6"/>
    <d v="2010-11-29T00:00:00"/>
    <n v="0"/>
    <n v="0"/>
    <n v="1"/>
    <n v="1"/>
  </r>
  <r>
    <n v="6555"/>
    <n v="46599"/>
    <x v="1337"/>
    <x v="18"/>
    <s v="Not Specified"/>
    <n v="4"/>
    <n v="284"/>
    <n v="0.01"/>
    <s v="Express Air"/>
    <n v="208.31"/>
    <n v="62.18"/>
    <n v="10.84"/>
    <x v="792"/>
    <x v="12"/>
    <x v="4"/>
    <x v="0"/>
    <x v="2"/>
    <x v="4"/>
    <x v="845"/>
    <s v="Medium Box"/>
    <n v="0.63"/>
    <d v="2010-09-14T00:00:00"/>
    <n v="0"/>
    <n v="0"/>
    <n v="1"/>
    <n v="1"/>
  </r>
  <r>
    <n v="6681"/>
    <n v="47524"/>
    <x v="104"/>
    <x v="24"/>
    <s v="Medium"/>
    <n v="8"/>
    <n v="269.14"/>
    <n v="0.1"/>
    <s v="Regular Air"/>
    <n v="-160.72"/>
    <n v="35.770000000000003"/>
    <n v="9.02"/>
    <x v="59"/>
    <x v="12"/>
    <x v="4"/>
    <x v="2"/>
    <x v="1"/>
    <x v="7"/>
    <x v="1123"/>
    <s v="Small Box"/>
    <n v="0.75"/>
    <d v="2010-04-17T00:00:00"/>
    <n v="0"/>
    <n v="0"/>
    <n v="0.5"/>
    <n v="0.33333333333333331"/>
  </r>
  <r>
    <n v="6741"/>
    <n v="48000"/>
    <x v="1377"/>
    <x v="9"/>
    <s v="High"/>
    <n v="12"/>
    <n v="214.94"/>
    <n v="0.06"/>
    <s v="Regular Air"/>
    <n v="26.75"/>
    <n v="17.48"/>
    <n v="1.99"/>
    <x v="792"/>
    <x v="12"/>
    <x v="4"/>
    <x v="0"/>
    <x v="1"/>
    <x v="7"/>
    <x v="814"/>
    <s v="Small Pack"/>
    <n v="0.45"/>
    <d v="2012-08-14T00:00:00"/>
    <n v="0"/>
    <n v="0"/>
    <n v="1"/>
    <n v="1"/>
  </r>
  <r>
    <n v="6790"/>
    <n v="48385"/>
    <x v="896"/>
    <x v="35"/>
    <s v="Medium"/>
    <n v="16"/>
    <n v="88.24"/>
    <n v="0.01"/>
    <s v="Regular Air"/>
    <n v="-56.6"/>
    <n v="4.9800000000000004"/>
    <n v="4.62"/>
    <x v="687"/>
    <x v="12"/>
    <x v="4"/>
    <x v="0"/>
    <x v="1"/>
    <x v="7"/>
    <x v="278"/>
    <s v="Small Pack"/>
    <n v="0.64"/>
    <d v="2009-09-20T00:00:00"/>
    <n v="0"/>
    <n v="0"/>
    <n v="1"/>
    <n v="1"/>
  </r>
  <r>
    <n v="6945"/>
    <n v="49602"/>
    <x v="919"/>
    <x v="33"/>
    <s v="Not Specified"/>
    <n v="31"/>
    <n v="4878.6400000000003"/>
    <n v="0.03"/>
    <s v="Delivery Truck"/>
    <n v="-519.94000000000005"/>
    <n v="150.97999999999999"/>
    <n v="66.27"/>
    <x v="310"/>
    <x v="12"/>
    <x v="4"/>
    <x v="3"/>
    <x v="2"/>
    <x v="9"/>
    <x v="207"/>
    <s v="Jumbo Box"/>
    <n v="0.65"/>
    <d v="2012-03-09T00:00:00"/>
    <n v="0"/>
    <n v="0"/>
    <n v="1"/>
    <n v="1"/>
  </r>
  <r>
    <n v="7026"/>
    <n v="50146"/>
    <x v="712"/>
    <x v="3"/>
    <s v="Not Specified"/>
    <n v="32"/>
    <n v="2288.6419999999998"/>
    <n v="0.05"/>
    <s v="Regular Air"/>
    <n v="519.58800000000008"/>
    <n v="85.99"/>
    <n v="2.79"/>
    <x v="791"/>
    <x v="12"/>
    <x v="4"/>
    <x v="1"/>
    <x v="1"/>
    <x v="3"/>
    <x v="700"/>
    <s v="Small Box"/>
    <n v="0.57999999999999996"/>
    <d v="2010-08-09T00:00:00"/>
    <n v="0"/>
    <n v="0"/>
    <n v="1"/>
    <n v="1"/>
  </r>
  <r>
    <n v="7029"/>
    <n v="50148"/>
    <x v="975"/>
    <x v="12"/>
    <s v="Medium"/>
    <n v="9"/>
    <n v="17965.45"/>
    <n v="0"/>
    <s v="Regular Air"/>
    <n v="3459.43"/>
    <n v="1938.02"/>
    <n v="13.99"/>
    <x v="782"/>
    <x v="12"/>
    <x v="4"/>
    <x v="1"/>
    <x v="1"/>
    <x v="16"/>
    <x v="107"/>
    <s v="Medium Box"/>
    <n v="0.38"/>
    <d v="2012-02-03T00:00:00"/>
    <n v="0"/>
    <n v="0"/>
    <n v="1"/>
    <n v="1"/>
  </r>
  <r>
    <n v="7090"/>
    <n v="50594"/>
    <x v="1011"/>
    <x v="39"/>
    <s v="Low"/>
    <n v="39"/>
    <n v="173.47"/>
    <n v="0.05"/>
    <s v="Regular Air"/>
    <n v="-4.96"/>
    <n v="4.63"/>
    <n v="1.93"/>
    <x v="791"/>
    <x v="12"/>
    <x v="4"/>
    <x v="1"/>
    <x v="0"/>
    <x v="12"/>
    <x v="1015"/>
    <s v="Wrap Bag"/>
    <n v="0.52"/>
    <d v="2010-05-19T00:00:00"/>
    <n v="0"/>
    <n v="0"/>
    <n v="0.5"/>
    <n v="0.5"/>
  </r>
  <r>
    <n v="7091"/>
    <n v="50594"/>
    <x v="1011"/>
    <x v="39"/>
    <s v="Low"/>
    <n v="48"/>
    <n v="2832.88"/>
    <n v="0.01"/>
    <s v="Regular Air"/>
    <n v="668.96100000000001"/>
    <n v="65.989999999999995"/>
    <n v="8.8000000000000007"/>
    <x v="791"/>
    <x v="12"/>
    <x v="4"/>
    <x v="1"/>
    <x v="1"/>
    <x v="3"/>
    <x v="858"/>
    <s v="Small Box"/>
    <n v="0.57999999999999996"/>
    <d v="2010-05-26T00:00:00"/>
    <n v="0"/>
    <n v="0"/>
    <n v="0.5"/>
    <n v="0.5"/>
  </r>
  <r>
    <n v="7109"/>
    <n v="50726"/>
    <x v="1225"/>
    <x v="17"/>
    <s v="Low"/>
    <n v="45"/>
    <n v="9248.74"/>
    <n v="0"/>
    <s v="Delivery Truck"/>
    <n v="2532"/>
    <n v="200.98"/>
    <n v="23.76"/>
    <x v="781"/>
    <x v="12"/>
    <x v="4"/>
    <x v="2"/>
    <x v="2"/>
    <x v="14"/>
    <x v="316"/>
    <s v="Jumbo Drum"/>
    <n v="0.57999999999999996"/>
    <d v="2011-11-04T00:00:00"/>
    <n v="0"/>
    <n v="0"/>
    <n v="0.5"/>
    <n v="0.5"/>
  </r>
  <r>
    <n v="7110"/>
    <n v="50726"/>
    <x v="1225"/>
    <x v="17"/>
    <s v="Low"/>
    <n v="21"/>
    <n v="98.88"/>
    <n v="7.0000000000000007E-2"/>
    <s v="Express Air"/>
    <n v="36.01"/>
    <n v="4.13"/>
    <n v="0.99"/>
    <x v="781"/>
    <x v="12"/>
    <x v="4"/>
    <x v="2"/>
    <x v="0"/>
    <x v="11"/>
    <x v="367"/>
    <s v="Small Box"/>
    <n v="0.39"/>
    <d v="2011-10-31T00:00:00"/>
    <n v="0"/>
    <n v="0"/>
    <n v="0.5"/>
    <n v="0.5"/>
  </r>
  <r>
    <n v="7119"/>
    <n v="50790"/>
    <x v="1013"/>
    <x v="2"/>
    <s v="Critical"/>
    <n v="47"/>
    <n v="255.65"/>
    <n v="0"/>
    <s v="Regular Air"/>
    <n v="-148.80000000000001"/>
    <n v="4.97"/>
    <n v="5.71"/>
    <x v="789"/>
    <x v="12"/>
    <x v="4"/>
    <x v="3"/>
    <x v="2"/>
    <x v="4"/>
    <x v="1112"/>
    <s v="Medium Box"/>
    <n v="0.54"/>
    <d v="2011-07-18T00:00:00"/>
    <n v="0"/>
    <n v="0"/>
    <n v="1"/>
    <n v="1"/>
  </r>
  <r>
    <n v="7206"/>
    <n v="51424"/>
    <x v="985"/>
    <x v="23"/>
    <s v="Not Specified"/>
    <n v="48"/>
    <n v="113.98"/>
    <n v="0.1"/>
    <s v="Regular Air"/>
    <n v="21.29"/>
    <n v="2.62"/>
    <n v="0.8"/>
    <x v="484"/>
    <x v="12"/>
    <x v="4"/>
    <x v="3"/>
    <x v="0"/>
    <x v="6"/>
    <x v="675"/>
    <s v="Wrap Bag"/>
    <n v="0.39"/>
    <d v="2012-01-10T00:00:00"/>
    <n v="0"/>
    <n v="0"/>
    <n v="0.5"/>
    <n v="0.5"/>
  </r>
  <r>
    <n v="7207"/>
    <n v="51424"/>
    <x v="985"/>
    <x v="23"/>
    <s v="Not Specified"/>
    <n v="5"/>
    <n v="88.94"/>
    <n v="0.05"/>
    <s v="Regular Air"/>
    <n v="-47.54"/>
    <n v="16.739999999999998"/>
    <n v="7.04"/>
    <x v="484"/>
    <x v="12"/>
    <x v="4"/>
    <x v="3"/>
    <x v="0"/>
    <x v="0"/>
    <x v="1043"/>
    <s v="Small Box"/>
    <n v="0.81"/>
    <d v="2012-01-11T00:00:00"/>
    <n v="0"/>
    <n v="0"/>
    <n v="0.5"/>
    <n v="0.5"/>
  </r>
  <r>
    <n v="7268"/>
    <n v="51872"/>
    <x v="1134"/>
    <x v="13"/>
    <s v="Medium"/>
    <n v="10"/>
    <n v="2193.9299999999998"/>
    <n v="0.09"/>
    <s v="Regular Air"/>
    <n v="41.83"/>
    <n v="238.4"/>
    <n v="24.49"/>
    <x v="791"/>
    <x v="12"/>
    <x v="4"/>
    <x v="1"/>
    <x v="2"/>
    <x v="14"/>
    <x v="472"/>
    <s v="Large Box"/>
    <m/>
    <d v="2012-04-24T00:00:00"/>
    <n v="0"/>
    <n v="0"/>
    <n v="0.33333333333333331"/>
    <n v="0.33333333333333331"/>
  </r>
  <r>
    <n v="7269"/>
    <n v="51872"/>
    <x v="1134"/>
    <x v="13"/>
    <s v="Medium"/>
    <n v="11"/>
    <n v="812.49799999999993"/>
    <n v="0"/>
    <s v="Express Air"/>
    <n v="128.952"/>
    <n v="85.99"/>
    <n v="1.25"/>
    <x v="791"/>
    <x v="12"/>
    <x v="4"/>
    <x v="1"/>
    <x v="1"/>
    <x v="3"/>
    <x v="313"/>
    <s v="Small Pack"/>
    <n v="0.39"/>
    <d v="2012-04-25T00:00:00"/>
    <n v="0"/>
    <n v="0"/>
    <n v="0.33333333333333331"/>
    <n v="0.33333333333333331"/>
  </r>
  <r>
    <n v="7270"/>
    <n v="51872"/>
    <x v="1134"/>
    <x v="13"/>
    <s v="Medium"/>
    <n v="37"/>
    <n v="4657.6514999999999"/>
    <n v="0.06"/>
    <s v="Regular Air"/>
    <n v="1242.846"/>
    <n v="155.99"/>
    <n v="3.9"/>
    <x v="791"/>
    <x v="12"/>
    <x v="4"/>
    <x v="1"/>
    <x v="1"/>
    <x v="3"/>
    <x v="149"/>
    <s v="Small Box"/>
    <n v="0.55000000000000004"/>
    <d v="2012-04-26T00:00:00"/>
    <n v="0"/>
    <n v="0"/>
    <n v="0.33333333333333331"/>
    <n v="0.33333333333333331"/>
  </r>
  <r>
    <n v="7331"/>
    <n v="52230"/>
    <x v="263"/>
    <x v="9"/>
    <s v="Critical"/>
    <n v="29"/>
    <n v="2700.78"/>
    <n v="0.06"/>
    <s v="Delivery Truck"/>
    <n v="-793.36"/>
    <n v="95.98"/>
    <n v="58.2"/>
    <x v="793"/>
    <x v="12"/>
    <x v="4"/>
    <x v="1"/>
    <x v="2"/>
    <x v="14"/>
    <x v="966"/>
    <s v="Jumbo Drum"/>
    <n v="0.57999999999999996"/>
    <d v="2012-09-01T00:00:00"/>
    <n v="0"/>
    <n v="0"/>
    <n v="1"/>
    <n v="1"/>
  </r>
  <r>
    <n v="7371"/>
    <n v="52518"/>
    <x v="882"/>
    <x v="13"/>
    <s v="Critical"/>
    <n v="8"/>
    <n v="168.99"/>
    <n v="0.08"/>
    <s v="Regular Air"/>
    <n v="-47.37"/>
    <n v="20.95"/>
    <n v="4"/>
    <x v="782"/>
    <x v="12"/>
    <x v="4"/>
    <x v="1"/>
    <x v="1"/>
    <x v="7"/>
    <x v="124"/>
    <s v="Small Box"/>
    <n v="0.6"/>
    <d v="2012-04-04T00:00:00"/>
    <n v="0"/>
    <n v="0"/>
    <n v="1"/>
    <n v="0.5"/>
  </r>
  <r>
    <n v="7390"/>
    <n v="52673"/>
    <x v="941"/>
    <x v="20"/>
    <s v="Medium"/>
    <n v="14"/>
    <n v="2045.066"/>
    <n v="7.0000000000000007E-2"/>
    <s v="Regular Air"/>
    <n v="-4.6749999999999998"/>
    <n v="175.99"/>
    <n v="8.99"/>
    <x v="781"/>
    <x v="12"/>
    <x v="4"/>
    <x v="2"/>
    <x v="1"/>
    <x v="3"/>
    <x v="484"/>
    <s v="Small Box"/>
    <n v="0.56999999999999995"/>
    <d v="2012-05-09T00:00:00"/>
    <n v="0"/>
    <n v="0"/>
    <n v="0.5"/>
    <n v="0.5"/>
  </r>
  <r>
    <n v="7391"/>
    <n v="52673"/>
    <x v="941"/>
    <x v="20"/>
    <s v="Medium"/>
    <n v="4"/>
    <n v="26.41"/>
    <n v="0.05"/>
    <s v="Regular Air"/>
    <n v="-16.525500000000001"/>
    <n v="5.18"/>
    <n v="5.74"/>
    <x v="781"/>
    <x v="12"/>
    <x v="4"/>
    <x v="2"/>
    <x v="0"/>
    <x v="2"/>
    <x v="460"/>
    <s v="Small Box"/>
    <n v="0.36"/>
    <d v="2012-05-10T00:00:00"/>
    <n v="0"/>
    <n v="0"/>
    <n v="0.5"/>
    <n v="0.5"/>
  </r>
  <r>
    <n v="7438"/>
    <n v="53026"/>
    <x v="723"/>
    <x v="12"/>
    <s v="Low"/>
    <n v="35"/>
    <n v="322.82"/>
    <n v="0.05"/>
    <s v="Regular Air"/>
    <n v="-17.579999999999998"/>
    <n v="9.31"/>
    <n v="3.98"/>
    <x v="793"/>
    <x v="12"/>
    <x v="4"/>
    <x v="1"/>
    <x v="0"/>
    <x v="15"/>
    <x v="935"/>
    <s v="Small Pack"/>
    <n v="0.56000000000000005"/>
    <d v="2012-03-03T00:00:00"/>
    <n v="0"/>
    <n v="0"/>
    <n v="1"/>
    <n v="1"/>
  </r>
  <r>
    <n v="7549"/>
    <n v="54019"/>
    <x v="370"/>
    <x v="36"/>
    <s v="Low"/>
    <n v="35"/>
    <n v="4233.1499999999996"/>
    <n v="0.08"/>
    <s v="Delivery Truck"/>
    <n v="1219.8699999999999"/>
    <n v="120.97"/>
    <n v="26.3"/>
    <x v="25"/>
    <x v="12"/>
    <x v="4"/>
    <x v="2"/>
    <x v="1"/>
    <x v="16"/>
    <x v="362"/>
    <s v="Jumbo Drum"/>
    <n v="0.38"/>
    <d v="2009-07-08T00:00:00"/>
    <n v="0"/>
    <n v="0"/>
    <n v="1"/>
    <n v="0.5"/>
  </r>
  <r>
    <n v="7658"/>
    <n v="54913"/>
    <x v="122"/>
    <x v="42"/>
    <s v="High"/>
    <n v="11"/>
    <n v="54.61"/>
    <n v="0.08"/>
    <s v="Express Air"/>
    <n v="14.99"/>
    <n v="4.76"/>
    <n v="0.88"/>
    <x v="788"/>
    <x v="12"/>
    <x v="4"/>
    <x v="1"/>
    <x v="0"/>
    <x v="5"/>
    <x v="565"/>
    <s v="Wrap Bag"/>
    <n v="0.39"/>
    <d v="2010-07-05T00:00:00"/>
    <n v="0"/>
    <n v="0"/>
    <n v="1"/>
    <n v="1"/>
  </r>
  <r>
    <n v="7738"/>
    <n v="55424"/>
    <x v="374"/>
    <x v="14"/>
    <s v="Medium"/>
    <n v="6"/>
    <n v="25.84"/>
    <n v="0.04"/>
    <s v="Express Air"/>
    <n v="-4.13"/>
    <n v="1.76"/>
    <n v="4.8600000000000003"/>
    <x v="792"/>
    <x v="12"/>
    <x v="4"/>
    <x v="0"/>
    <x v="2"/>
    <x v="4"/>
    <x v="1099"/>
    <s v="Small Box"/>
    <n v="0.41"/>
    <d v="2010-03-04T00:00:00"/>
    <n v="0"/>
    <n v="0"/>
    <n v="1"/>
    <n v="1"/>
  </r>
  <r>
    <n v="7812"/>
    <n v="55874"/>
    <x v="920"/>
    <x v="40"/>
    <s v="Medium"/>
    <n v="24"/>
    <n v="129.53"/>
    <n v="0.06"/>
    <s v="Regular Air"/>
    <n v="33.01"/>
    <n v="5.68"/>
    <n v="1.39"/>
    <x v="308"/>
    <x v="12"/>
    <x v="4"/>
    <x v="0"/>
    <x v="0"/>
    <x v="8"/>
    <x v="474"/>
    <s v="Small Box"/>
    <n v="0.38"/>
    <d v="2009-02-16T00:00:00"/>
    <n v="0"/>
    <n v="0"/>
    <n v="0.33333333333333331"/>
    <n v="0.33333333333333331"/>
  </r>
  <r>
    <n v="7878"/>
    <n v="56327"/>
    <x v="1057"/>
    <x v="38"/>
    <s v="Medium"/>
    <n v="42"/>
    <n v="1767.47"/>
    <n v="0.05"/>
    <s v="Regular Air"/>
    <n v="331.56"/>
    <n v="40.99"/>
    <n v="17.48"/>
    <x v="792"/>
    <x v="12"/>
    <x v="4"/>
    <x v="0"/>
    <x v="0"/>
    <x v="5"/>
    <x v="129"/>
    <s v="Small Box"/>
    <n v="0.36"/>
    <d v="2010-01-12T00:00:00"/>
    <n v="1"/>
    <n v="0"/>
    <n v="0.33333333333333331"/>
    <n v="0.33333333333333331"/>
  </r>
  <r>
    <n v="7879"/>
    <n v="56327"/>
    <x v="1057"/>
    <x v="38"/>
    <s v="Medium"/>
    <n v="11"/>
    <n v="2164.0700000000002"/>
    <n v="0.01"/>
    <s v="Delivery Truck"/>
    <n v="59.73"/>
    <n v="180.98"/>
    <n v="55.24"/>
    <x v="792"/>
    <x v="12"/>
    <x v="4"/>
    <x v="0"/>
    <x v="0"/>
    <x v="1"/>
    <x v="414"/>
    <s v="Jumbo Drum"/>
    <n v="0.56999999999999995"/>
    <d v="2010-01-13T00:00:00"/>
    <n v="1"/>
    <n v="0"/>
    <n v="0.33333333333333331"/>
    <n v="0.33333333333333331"/>
  </r>
  <r>
    <n v="7880"/>
    <n v="56327"/>
    <x v="1057"/>
    <x v="38"/>
    <s v="Medium"/>
    <n v="47"/>
    <n v="1276.73"/>
    <n v="0.08"/>
    <s v="Express Air"/>
    <n v="357.23"/>
    <n v="29.18"/>
    <n v="8.5500000000000007"/>
    <x v="792"/>
    <x v="12"/>
    <x v="4"/>
    <x v="0"/>
    <x v="2"/>
    <x v="4"/>
    <x v="462"/>
    <s v="Small Box"/>
    <n v="0.42"/>
    <d v="2010-01-12T00:00:00"/>
    <n v="1"/>
    <n v="0"/>
    <n v="0.33333333333333331"/>
    <n v="0.33333333333333331"/>
  </r>
  <r>
    <n v="7933"/>
    <n v="56706"/>
    <x v="410"/>
    <x v="11"/>
    <s v="High"/>
    <n v="7"/>
    <n v="754.92"/>
    <n v="0"/>
    <s v="Regular Air"/>
    <n v="-129.56909999999999"/>
    <n v="99.99"/>
    <n v="19.989999999999998"/>
    <x v="793"/>
    <x v="12"/>
    <x v="4"/>
    <x v="1"/>
    <x v="1"/>
    <x v="16"/>
    <x v="284"/>
    <s v="Small Box"/>
    <n v="0.52"/>
    <d v="2009-11-11T00:00:00"/>
    <n v="0"/>
    <n v="0"/>
    <n v="1"/>
    <n v="1"/>
  </r>
  <r>
    <n v="7991"/>
    <n v="57125"/>
    <x v="489"/>
    <x v="30"/>
    <s v="Medium"/>
    <n v="19"/>
    <n v="61.02"/>
    <n v="0"/>
    <s v="Regular Air"/>
    <n v="-71.035499999999999"/>
    <n v="2.84"/>
    <n v="5.44"/>
    <x v="785"/>
    <x v="12"/>
    <x v="4"/>
    <x v="1"/>
    <x v="0"/>
    <x v="2"/>
    <x v="848"/>
    <s v="Small Box"/>
    <n v="0.36"/>
    <d v="2010-06-05T00:00:00"/>
    <n v="0"/>
    <n v="0"/>
    <n v="0.5"/>
    <n v="0.5"/>
  </r>
  <r>
    <n v="7992"/>
    <n v="57125"/>
    <x v="489"/>
    <x v="30"/>
    <s v="Medium"/>
    <n v="31"/>
    <n v="878.77"/>
    <n v="0.08"/>
    <s v="Regular Air"/>
    <n v="373.524"/>
    <n v="28.53"/>
    <n v="1.49"/>
    <x v="785"/>
    <x v="12"/>
    <x v="4"/>
    <x v="1"/>
    <x v="0"/>
    <x v="2"/>
    <x v="257"/>
    <s v="Small Box"/>
    <n v="0.38"/>
    <d v="2010-06-05T00:00:00"/>
    <n v="0"/>
    <n v="0"/>
    <n v="0.5"/>
    <n v="0.5"/>
  </r>
  <r>
    <n v="7994"/>
    <n v="57152"/>
    <x v="961"/>
    <x v="34"/>
    <s v="Low"/>
    <n v="6"/>
    <n v="22.89"/>
    <n v="0.08"/>
    <s v="Regular Air"/>
    <n v="-2.6564999999999999"/>
    <n v="3.8"/>
    <n v="1.49"/>
    <x v="789"/>
    <x v="12"/>
    <x v="4"/>
    <x v="3"/>
    <x v="0"/>
    <x v="2"/>
    <x v="160"/>
    <s v="Small Box"/>
    <n v="0.38"/>
    <d v="2012-09-03T00:00:00"/>
    <n v="0"/>
    <n v="0"/>
    <n v="0.5"/>
    <n v="0.5"/>
  </r>
  <r>
    <n v="7995"/>
    <n v="57152"/>
    <x v="961"/>
    <x v="34"/>
    <s v="Low"/>
    <n v="18"/>
    <n v="271.85000000000002"/>
    <n v="0.03"/>
    <s v="Regular Air"/>
    <n v="109.19"/>
    <n v="15.57"/>
    <n v="1.39"/>
    <x v="789"/>
    <x v="12"/>
    <x v="4"/>
    <x v="3"/>
    <x v="0"/>
    <x v="8"/>
    <x v="889"/>
    <s v="Small Box"/>
    <n v="0.38"/>
    <d v="2012-09-10T00:00:00"/>
    <n v="0"/>
    <n v="0"/>
    <n v="0.5"/>
    <n v="0.5"/>
  </r>
  <r>
    <n v="8006"/>
    <n v="57216"/>
    <x v="144"/>
    <x v="42"/>
    <s v="High"/>
    <n v="46"/>
    <n v="12719.7"/>
    <n v="0.03"/>
    <s v="Delivery Truck"/>
    <n v="-545.82000000000005"/>
    <n v="280.98"/>
    <n v="57"/>
    <x v="781"/>
    <x v="12"/>
    <x v="4"/>
    <x v="2"/>
    <x v="2"/>
    <x v="14"/>
    <x v="544"/>
    <s v="Jumbo Drum"/>
    <n v="0.78"/>
    <d v="2010-07-29T00:00:00"/>
    <n v="0"/>
    <n v="0"/>
    <n v="0.5"/>
    <n v="0.5"/>
  </r>
  <r>
    <n v="8007"/>
    <n v="57216"/>
    <x v="144"/>
    <x v="42"/>
    <s v="High"/>
    <n v="48"/>
    <n v="109.78"/>
    <n v="0.03"/>
    <s v="Regular Air"/>
    <n v="4.4800000000000004"/>
    <n v="2.2000000000000002"/>
    <n v="1.2"/>
    <x v="781"/>
    <x v="12"/>
    <x v="4"/>
    <x v="2"/>
    <x v="0"/>
    <x v="12"/>
    <x v="1262"/>
    <s v="Wrap Bag"/>
    <n v="0.41"/>
    <d v="2010-07-31T00:00:00"/>
    <n v="0"/>
    <n v="0"/>
    <n v="0.5"/>
    <n v="0.5"/>
  </r>
  <r>
    <n v="8017"/>
    <n v="57281"/>
    <x v="875"/>
    <x v="24"/>
    <s v="High"/>
    <n v="26"/>
    <n v="561.66"/>
    <n v="7.0000000000000007E-2"/>
    <s v="Regular Air"/>
    <n v="-111.33150000000001"/>
    <n v="22.38"/>
    <n v="15.1"/>
    <x v="277"/>
    <x v="12"/>
    <x v="4"/>
    <x v="2"/>
    <x v="0"/>
    <x v="2"/>
    <x v="290"/>
    <s v="Small Box"/>
    <n v="0.38"/>
    <d v="2010-04-20T00:00:00"/>
    <n v="0"/>
    <n v="0"/>
    <n v="0.5"/>
    <n v="0.5"/>
  </r>
  <r>
    <n v="8018"/>
    <n v="57281"/>
    <x v="875"/>
    <x v="24"/>
    <s v="High"/>
    <n v="19"/>
    <n v="1851.62"/>
    <n v="0.09"/>
    <s v="Delivery Truck"/>
    <n v="-220.84"/>
    <n v="100.98"/>
    <n v="35.840000000000003"/>
    <x v="277"/>
    <x v="12"/>
    <x v="4"/>
    <x v="2"/>
    <x v="2"/>
    <x v="9"/>
    <x v="550"/>
    <s v="Jumbo Box"/>
    <n v="0.62"/>
    <d v="2010-04-22T00:00:00"/>
    <n v="0"/>
    <n v="0"/>
    <n v="0.5"/>
    <n v="0.5"/>
  </r>
  <r>
    <n v="8102"/>
    <n v="57827"/>
    <x v="175"/>
    <x v="36"/>
    <s v="Medium"/>
    <n v="24"/>
    <n v="2453.3000000000002"/>
    <n v="0.05"/>
    <s v="Delivery Truck"/>
    <n v="-111.4"/>
    <n v="100.98"/>
    <n v="35.840000000000003"/>
    <x v="310"/>
    <x v="12"/>
    <x v="4"/>
    <x v="3"/>
    <x v="2"/>
    <x v="9"/>
    <x v="550"/>
    <s v="Jumbo Box"/>
    <n v="0.62"/>
    <d v="2009-07-04T00:00:00"/>
    <n v="0"/>
    <n v="0"/>
    <n v="0.5"/>
    <n v="0.5"/>
  </r>
  <r>
    <n v="8103"/>
    <n v="57827"/>
    <x v="175"/>
    <x v="36"/>
    <s v="Medium"/>
    <n v="29"/>
    <n v="147.02000000000001"/>
    <n v="0.02"/>
    <s v="Regular Air"/>
    <n v="-77.03"/>
    <n v="4.9800000000000004"/>
    <n v="5.49"/>
    <x v="310"/>
    <x v="12"/>
    <x v="4"/>
    <x v="3"/>
    <x v="0"/>
    <x v="5"/>
    <x v="921"/>
    <s v="Small Box"/>
    <n v="0.38"/>
    <d v="2009-07-03T00:00:00"/>
    <n v="0"/>
    <n v="0"/>
    <n v="0.5"/>
    <n v="0.5"/>
  </r>
  <r>
    <n v="8247"/>
    <n v="58949"/>
    <x v="696"/>
    <x v="45"/>
    <s v="Critical"/>
    <n v="50"/>
    <n v="1558.9424999999999"/>
    <n v="0.02"/>
    <s v="Regular Air"/>
    <n v="548.44200000000001"/>
    <n v="35.99"/>
    <n v="1.1000000000000001"/>
    <x v="484"/>
    <x v="12"/>
    <x v="4"/>
    <x v="0"/>
    <x v="1"/>
    <x v="3"/>
    <x v="828"/>
    <s v="Small Box"/>
    <n v="0.55000000000000004"/>
    <d v="2012-12-17T00:00:00"/>
    <n v="0"/>
    <n v="0"/>
    <n v="1"/>
    <n v="1"/>
  </r>
  <r>
    <n v="188"/>
    <n v="1222"/>
    <x v="1311"/>
    <x v="6"/>
    <s v="Medium"/>
    <n v="48"/>
    <n v="257.39"/>
    <n v="0.08"/>
    <s v="Regular Air"/>
    <n v="-121.91"/>
    <n v="5.28"/>
    <n v="5.57"/>
    <x v="375"/>
    <x v="12"/>
    <x v="4"/>
    <x v="3"/>
    <x v="0"/>
    <x v="5"/>
    <x v="1124"/>
    <s v="Small Box"/>
    <n v="0.4"/>
    <d v="2010-02-04T00:00:00"/>
    <n v="0"/>
    <n v="0"/>
    <n v="1"/>
    <n v="1"/>
  </r>
  <r>
    <n v="805"/>
    <n v="5767"/>
    <x v="1231"/>
    <x v="13"/>
    <s v="High"/>
    <n v="36"/>
    <n v="163.54"/>
    <n v="0.03"/>
    <s v="Express Air"/>
    <n v="-95.058999999999997"/>
    <n v="4.13"/>
    <n v="5.04"/>
    <x v="534"/>
    <x v="12"/>
    <x v="4"/>
    <x v="0"/>
    <x v="0"/>
    <x v="2"/>
    <x v="309"/>
    <s v="Small Box"/>
    <n v="0.38"/>
    <d v="2012-04-29T00:00:00"/>
    <n v="0"/>
    <n v="0"/>
    <n v="0.5"/>
    <n v="0.5"/>
  </r>
  <r>
    <n v="806"/>
    <n v="5767"/>
    <x v="1231"/>
    <x v="13"/>
    <s v="High"/>
    <n v="31"/>
    <n v="2390.54"/>
    <n v="0.08"/>
    <s v="Regular Air"/>
    <n v="756.1"/>
    <n v="82.99"/>
    <n v="5.5"/>
    <x v="534"/>
    <x v="12"/>
    <x v="4"/>
    <x v="0"/>
    <x v="1"/>
    <x v="7"/>
    <x v="432"/>
    <s v="Small Box"/>
    <n v="0.44"/>
    <d v="2012-04-30T00:00:00"/>
    <n v="0"/>
    <n v="0"/>
    <n v="0.5"/>
    <n v="0.5"/>
  </r>
  <r>
    <n v="1219"/>
    <n v="8961"/>
    <x v="1036"/>
    <x v="4"/>
    <s v="Low"/>
    <n v="48"/>
    <n v="4644.87"/>
    <n v="0.08"/>
    <s v="Delivery Truck"/>
    <n v="-1291.3900000000001"/>
    <n v="100.8"/>
    <n v="60"/>
    <x v="534"/>
    <x v="12"/>
    <x v="4"/>
    <x v="0"/>
    <x v="2"/>
    <x v="10"/>
    <x v="351"/>
    <s v="Jumbo Drum"/>
    <n v="0.59"/>
    <d v="2011-07-03T00:00:00"/>
    <n v="0"/>
    <n v="0"/>
    <n v="0.5"/>
    <n v="0.5"/>
  </r>
  <r>
    <n v="1617"/>
    <n v="11712"/>
    <x v="577"/>
    <x v="46"/>
    <s v="Low"/>
    <n v="9"/>
    <n v="38.96"/>
    <n v="0.06"/>
    <s v="Regular Air"/>
    <n v="0.36999999999999922"/>
    <n v="4.28"/>
    <n v="0.94"/>
    <x v="375"/>
    <x v="12"/>
    <x v="4"/>
    <x v="1"/>
    <x v="0"/>
    <x v="12"/>
    <x v="406"/>
    <s v="Wrap Bag"/>
    <n v="0.56000000000000005"/>
    <d v="2009-04-28T00:00:00"/>
    <n v="0"/>
    <n v="0"/>
    <n v="1"/>
    <n v="0.5"/>
  </r>
  <r>
    <n v="2082"/>
    <n v="14883"/>
    <x v="16"/>
    <x v="10"/>
    <s v="Low"/>
    <n v="38"/>
    <n v="978.4"/>
    <n v="7.0000000000000007E-2"/>
    <s v="Delivery Truck"/>
    <n v="-211.58"/>
    <n v="25.98"/>
    <n v="14.36"/>
    <x v="547"/>
    <x v="12"/>
    <x v="4"/>
    <x v="2"/>
    <x v="2"/>
    <x v="14"/>
    <x v="170"/>
    <s v="Jumbo Drum"/>
    <n v="0.6"/>
    <d v="2011-05-11T00:00:00"/>
    <n v="0"/>
    <n v="0"/>
    <n v="0.5"/>
    <n v="0.5"/>
  </r>
  <r>
    <n v="2083"/>
    <n v="14883"/>
    <x v="16"/>
    <x v="10"/>
    <s v="Low"/>
    <n v="47"/>
    <n v="5126.4179999999997"/>
    <n v="0.03"/>
    <s v="Regular Air"/>
    <n v="1557.6390000000001"/>
    <n v="125.99"/>
    <n v="2.5"/>
    <x v="547"/>
    <x v="12"/>
    <x v="4"/>
    <x v="2"/>
    <x v="1"/>
    <x v="3"/>
    <x v="738"/>
    <s v="Small Box"/>
    <n v="0.6"/>
    <d v="2011-05-15T00:00:00"/>
    <n v="0"/>
    <n v="0"/>
    <n v="0.5"/>
    <n v="0.5"/>
  </r>
  <r>
    <n v="2800"/>
    <n v="20193"/>
    <x v="35"/>
    <x v="7"/>
    <s v="Medium"/>
    <n v="23"/>
    <n v="82.12"/>
    <n v="7.0000000000000007E-2"/>
    <s v="Regular Air"/>
    <n v="-121.5895"/>
    <n v="3.52"/>
    <n v="6.83"/>
    <x v="794"/>
    <x v="12"/>
    <x v="4"/>
    <x v="2"/>
    <x v="0"/>
    <x v="2"/>
    <x v="489"/>
    <s v="Small Box"/>
    <n v="0.38"/>
    <d v="2010-11-09T00:00:00"/>
    <n v="0"/>
    <n v="0"/>
    <n v="1"/>
    <n v="1"/>
  </r>
  <r>
    <n v="5166"/>
    <n v="36772"/>
    <x v="812"/>
    <x v="39"/>
    <s v="Medium"/>
    <n v="8"/>
    <n v="22.85"/>
    <n v="7.0000000000000007E-2"/>
    <s v="Regular Air"/>
    <n v="0.88"/>
    <n v="2.88"/>
    <n v="0.99"/>
    <x v="278"/>
    <x v="12"/>
    <x v="4"/>
    <x v="3"/>
    <x v="0"/>
    <x v="11"/>
    <x v="184"/>
    <s v="Small Box"/>
    <n v="0.36"/>
    <d v="2010-05-15T00:00:00"/>
    <n v="0"/>
    <n v="0"/>
    <n v="0.33333333333333331"/>
    <n v="0.33333333333333331"/>
  </r>
  <r>
    <n v="5167"/>
    <n v="36772"/>
    <x v="812"/>
    <x v="39"/>
    <s v="Medium"/>
    <n v="16"/>
    <n v="12007.05"/>
    <n v="0.09"/>
    <s v="Delivery Truck"/>
    <n v="2713.95"/>
    <n v="808.49"/>
    <n v="55.3"/>
    <x v="278"/>
    <x v="12"/>
    <x v="4"/>
    <x v="3"/>
    <x v="1"/>
    <x v="16"/>
    <x v="1072"/>
    <s v="Jumbo Drum"/>
    <n v="0.4"/>
    <d v="2010-05-17T00:00:00"/>
    <n v="0"/>
    <n v="0"/>
    <n v="0.33333333333333331"/>
    <n v="0.33333333333333331"/>
  </r>
  <r>
    <n v="5577"/>
    <n v="39492"/>
    <x v="705"/>
    <x v="37"/>
    <s v="Not Specified"/>
    <n v="31"/>
    <n v="5347.9875000000002"/>
    <n v="0.01"/>
    <s v="Regular Air"/>
    <n v="1332.441"/>
    <n v="200.99"/>
    <n v="4.2"/>
    <x v="547"/>
    <x v="12"/>
    <x v="4"/>
    <x v="2"/>
    <x v="1"/>
    <x v="3"/>
    <x v="332"/>
    <s v="Small Box"/>
    <n v="0.59"/>
    <d v="2011-04-20T00:00:00"/>
    <n v="0"/>
    <n v="0"/>
    <n v="0.33333333333333331"/>
    <n v="0.33333333333333331"/>
  </r>
  <r>
    <n v="6492"/>
    <n v="46212"/>
    <x v="234"/>
    <x v="34"/>
    <s v="Not Specified"/>
    <n v="43"/>
    <n v="322.47000000000003"/>
    <n v="0.09"/>
    <s v="Express Air"/>
    <n v="72.28"/>
    <n v="7.78"/>
    <n v="2.5"/>
    <x v="546"/>
    <x v="12"/>
    <x v="4"/>
    <x v="1"/>
    <x v="0"/>
    <x v="8"/>
    <x v="826"/>
    <s v="Small Box"/>
    <n v="0.38"/>
    <d v="2012-09-14T00:00:00"/>
    <n v="0"/>
    <n v="0"/>
    <n v="0.5"/>
    <n v="0.5"/>
  </r>
  <r>
    <n v="6526"/>
    <n v="46437"/>
    <x v="375"/>
    <x v="35"/>
    <s v="Medium"/>
    <n v="49"/>
    <n v="1488.66"/>
    <n v="0"/>
    <s v="Regular Air"/>
    <n v="385.37"/>
    <n v="29.34"/>
    <n v="7.87"/>
    <x v="729"/>
    <x v="12"/>
    <x v="4"/>
    <x v="1"/>
    <x v="2"/>
    <x v="4"/>
    <x v="982"/>
    <s v="Small Box"/>
    <n v="0.54"/>
    <d v="2009-09-17T00:00:00"/>
    <n v="0"/>
    <n v="0"/>
    <n v="1"/>
    <n v="1"/>
  </r>
  <r>
    <n v="6657"/>
    <n v="47360"/>
    <x v="1201"/>
    <x v="0"/>
    <s v="Not Specified"/>
    <n v="25"/>
    <n v="2200.64"/>
    <n v="0.05"/>
    <s v="Delivery Truck"/>
    <n v="-514.17999999999995"/>
    <n v="89.99"/>
    <n v="42"/>
    <x v="278"/>
    <x v="12"/>
    <x v="4"/>
    <x v="3"/>
    <x v="2"/>
    <x v="14"/>
    <x v="668"/>
    <s v="Jumbo Drum"/>
    <n v="0.66"/>
    <d v="2010-10-10T00:00:00"/>
    <n v="0"/>
    <n v="0"/>
    <n v="1"/>
    <n v="1"/>
  </r>
  <r>
    <n v="7396"/>
    <n v="52706"/>
    <x v="168"/>
    <x v="29"/>
    <s v="Low"/>
    <n v="34"/>
    <n v="1041.6600000000001"/>
    <n v="0.02"/>
    <s v="Express Air"/>
    <n v="480.53050000000002"/>
    <n v="28.53"/>
    <n v="1.49"/>
    <x v="794"/>
    <x v="12"/>
    <x v="4"/>
    <x v="2"/>
    <x v="0"/>
    <x v="2"/>
    <x v="257"/>
    <s v="Small Box"/>
    <n v="0.38"/>
    <d v="2012-07-16T00:00:00"/>
    <n v="0"/>
    <n v="0"/>
    <n v="1"/>
    <n v="1"/>
  </r>
  <r>
    <n v="7586"/>
    <n v="54279"/>
    <x v="317"/>
    <x v="2"/>
    <s v="High"/>
    <n v="41"/>
    <n v="10071.09"/>
    <n v="0.1"/>
    <s v="Delivery Truck"/>
    <n v="1977.69"/>
    <n v="264.98"/>
    <n v="17.86"/>
    <x v="794"/>
    <x v="12"/>
    <x v="4"/>
    <x v="2"/>
    <x v="1"/>
    <x v="16"/>
    <x v="908"/>
    <s v="Jumbo Drum"/>
    <n v="0.57999999999999996"/>
    <d v="2011-07-31T00:00:00"/>
    <n v="0"/>
    <n v="0"/>
    <n v="1"/>
    <n v="1"/>
  </r>
  <r>
    <n v="7765"/>
    <n v="55558"/>
    <x v="712"/>
    <x v="3"/>
    <s v="Medium"/>
    <n v="8"/>
    <n v="1294.04"/>
    <n v="0.05"/>
    <s v="Delivery Truck"/>
    <n v="-323.18"/>
    <n v="150.97999999999999"/>
    <n v="66.27"/>
    <x v="729"/>
    <x v="12"/>
    <x v="4"/>
    <x v="1"/>
    <x v="2"/>
    <x v="9"/>
    <x v="207"/>
    <s v="Jumbo Box"/>
    <n v="0.65"/>
    <d v="2010-08-09T00:00:00"/>
    <n v="0"/>
    <n v="0"/>
    <n v="0.5"/>
    <n v="0.5"/>
  </r>
  <r>
    <n v="7766"/>
    <n v="55558"/>
    <x v="712"/>
    <x v="3"/>
    <s v="Medium"/>
    <n v="23"/>
    <n v="392.57"/>
    <n v="0.04"/>
    <s v="Regular Air"/>
    <n v="22.25"/>
    <n v="17.07"/>
    <n v="8.1300000000000008"/>
    <x v="729"/>
    <x v="12"/>
    <x v="4"/>
    <x v="1"/>
    <x v="0"/>
    <x v="8"/>
    <x v="969"/>
    <s v="Small Box"/>
    <n v="0.38"/>
    <d v="2010-08-11T00:00:00"/>
    <n v="0"/>
    <n v="0"/>
    <n v="0.5"/>
    <n v="0.5"/>
  </r>
  <r>
    <n v="7906"/>
    <n v="56550"/>
    <x v="274"/>
    <x v="37"/>
    <s v="Not Specified"/>
    <n v="37"/>
    <n v="823.78"/>
    <n v="0.03"/>
    <s v="Express Air"/>
    <n v="343.05"/>
    <n v="22.23"/>
    <n v="5.08"/>
    <x v="278"/>
    <x v="12"/>
    <x v="4"/>
    <x v="3"/>
    <x v="2"/>
    <x v="4"/>
    <x v="511"/>
    <s v="Small Pack"/>
    <n v="0.41"/>
    <d v="2011-04-10T00:00:00"/>
    <n v="0"/>
    <n v="0"/>
    <n v="0.33333333333333331"/>
    <n v="0.33333333333333331"/>
  </r>
  <r>
    <n v="7907"/>
    <n v="56550"/>
    <x v="274"/>
    <x v="37"/>
    <s v="Not Specified"/>
    <n v="8"/>
    <n v="469.83749999999998"/>
    <n v="0"/>
    <s v="Regular Air"/>
    <n v="-159.23599999999999"/>
    <n v="65.989999999999995"/>
    <n v="8.99"/>
    <x v="278"/>
    <x v="12"/>
    <x v="4"/>
    <x v="3"/>
    <x v="1"/>
    <x v="3"/>
    <x v="403"/>
    <s v="Small Box"/>
    <n v="0.56000000000000005"/>
    <d v="2011-04-09T00:00:00"/>
    <n v="0"/>
    <n v="0"/>
    <n v="0.33333333333333331"/>
    <n v="0.33333333333333331"/>
  </r>
  <r>
    <n v="7914"/>
    <n v="56581"/>
    <x v="1083"/>
    <x v="40"/>
    <s v="High"/>
    <n v="20"/>
    <n v="2026.01"/>
    <n v="0.1"/>
    <s v="Express Air"/>
    <n v="580.42999999999995"/>
    <n v="105.98"/>
    <n v="13.99"/>
    <x v="546"/>
    <x v="12"/>
    <x v="4"/>
    <x v="1"/>
    <x v="2"/>
    <x v="4"/>
    <x v="134"/>
    <s v="Medium Box"/>
    <n v="0.65"/>
    <d v="2009-02-11T00:00:00"/>
    <n v="0"/>
    <n v="0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F365C1-D7F8-F54A-909E-799F62AA1254}" name="Сводная таблица15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outline="1" outlineData="1" multipleFieldFilters="0">
  <location ref="Y8:AC21" firstHeaderRow="1" firstDataRow="2" firstDataCol="1"/>
  <pivotFields count="32"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dataField="1"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27"/>
  </colFields>
  <colItems count="4">
    <i>
      <x v="1"/>
    </i>
    <i>
      <x v="2"/>
    </i>
    <i>
      <x v="3"/>
    </i>
    <i>
      <x v="4"/>
    </i>
  </colItems>
  <dataFields count="1">
    <dataField name="Сумма по полю CustomerCount" fld="25" showDataAs="percentDiff" baseField="27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4C2C26-CAB8-6943-BE2E-861B5CFA19DD}" name="Сводная таблица13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compact="0" compactData="0" multipleFieldFilters="0" chartFormat="19" rowHeaderCaption="Region">
  <location ref="E117:G215" firstHeaderRow="1" firstDataRow="1" firstDataCol="2" rowPageCount="1" colPageCount="1"/>
  <pivotFields count="3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49">
        <item x="22"/>
        <item x="40"/>
        <item x="28"/>
        <item x="46"/>
        <item x="43"/>
        <item x="41"/>
        <item x="36"/>
        <item x="26"/>
        <item x="35"/>
        <item x="19"/>
        <item x="11"/>
        <item x="47"/>
        <item x="38"/>
        <item x="6"/>
        <item x="14"/>
        <item x="24"/>
        <item x="39"/>
        <item x="30"/>
        <item x="42"/>
        <item x="3"/>
        <item x="18"/>
        <item x="0"/>
        <item x="7"/>
        <item x="15"/>
        <item x="16"/>
        <item x="44"/>
        <item x="5"/>
        <item x="37"/>
        <item x="10"/>
        <item x="4"/>
        <item x="2"/>
        <item x="21"/>
        <item x="31"/>
        <item x="17"/>
        <item x="27"/>
        <item x="25"/>
        <item x="23"/>
        <item x="12"/>
        <item x="33"/>
        <item x="13"/>
        <item x="20"/>
        <item x="8"/>
        <item x="29"/>
        <item x="9"/>
        <item x="34"/>
        <item x="1"/>
        <item x="32"/>
        <item x="4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796">
        <item x="25"/>
        <item x="397"/>
        <item x="184"/>
        <item x="218"/>
        <item x="707"/>
        <item x="762"/>
        <item x="770"/>
        <item x="34"/>
        <item x="793"/>
        <item x="301"/>
        <item x="17"/>
        <item x="786"/>
        <item x="461"/>
        <item x="250"/>
        <item x="543"/>
        <item x="394"/>
        <item x="766"/>
        <item x="499"/>
        <item x="544"/>
        <item x="646"/>
        <item x="105"/>
        <item x="370"/>
        <item x="765"/>
        <item x="773"/>
        <item x="694"/>
        <item x="257"/>
        <item x="10"/>
        <item x="768"/>
        <item x="384"/>
        <item x="297"/>
        <item x="682"/>
        <item x="735"/>
        <item x="35"/>
        <item x="310"/>
        <item x="681"/>
        <item x="290"/>
        <item x="277"/>
        <item x="302"/>
        <item x="111"/>
        <item x="255"/>
        <item x="30"/>
        <item x="778"/>
        <item x="106"/>
        <item x="703"/>
        <item x="229"/>
        <item x="261"/>
        <item x="714"/>
        <item x="456"/>
        <item x="15"/>
        <item x="207"/>
        <item x="396"/>
        <item x="779"/>
        <item x="42"/>
        <item x="103"/>
        <item x="739"/>
        <item x="246"/>
        <item x="680"/>
        <item x="157"/>
        <item x="531"/>
        <item x="736"/>
        <item x="492"/>
        <item x="494"/>
        <item x="275"/>
        <item x="625"/>
        <item x="352"/>
        <item x="107"/>
        <item x="740"/>
        <item x="339"/>
        <item x="1"/>
        <item x="430"/>
        <item x="716"/>
        <item x="33"/>
        <item x="455"/>
        <item x="442"/>
        <item x="180"/>
        <item x="46"/>
        <item x="419"/>
        <item x="761"/>
        <item x="514"/>
        <item x="364"/>
        <item x="465"/>
        <item x="699"/>
        <item x="540"/>
        <item x="420"/>
        <item x="388"/>
        <item x="685"/>
        <item x="37"/>
        <item x="27"/>
        <item x="215"/>
        <item x="149"/>
        <item x="507"/>
        <item x="421"/>
        <item x="264"/>
        <item x="417"/>
        <item x="409"/>
        <item x="213"/>
        <item x="343"/>
        <item x="22"/>
        <item x="170"/>
        <item x="361"/>
        <item x="399"/>
        <item x="434"/>
        <item x="412"/>
        <item x="472"/>
        <item x="43"/>
        <item x="401"/>
        <item x="696"/>
        <item x="684"/>
        <item x="777"/>
        <item x="174"/>
        <item x="86"/>
        <item x="293"/>
        <item x="198"/>
        <item x="763"/>
        <item x="686"/>
        <item x="535"/>
        <item x="775"/>
        <item x="193"/>
        <item x="38"/>
        <item x="49"/>
        <item x="711"/>
        <item x="241"/>
        <item x="298"/>
        <item x="219"/>
        <item x="47"/>
        <item x="4"/>
        <item x="13"/>
        <item x="647"/>
        <item x="8"/>
        <item x="334"/>
        <item x="3"/>
        <item x="432"/>
        <item x="733"/>
        <item x="481"/>
        <item x="458"/>
        <item x="769"/>
        <item x="771"/>
        <item x="147"/>
        <item x="354"/>
        <item x="520"/>
        <item x="48"/>
        <item x="443"/>
        <item x="166"/>
        <item x="710"/>
        <item x="55"/>
        <item x="173"/>
        <item x="56"/>
        <item x="752"/>
        <item x="371"/>
        <item x="730"/>
        <item x="303"/>
        <item x="677"/>
        <item x="101"/>
        <item x="92"/>
        <item x="691"/>
        <item x="212"/>
        <item x="265"/>
        <item x="192"/>
        <item x="789"/>
        <item x="124"/>
        <item x="71"/>
        <item x="358"/>
        <item x="148"/>
        <item x="80"/>
        <item x="341"/>
        <item x="698"/>
        <item x="60"/>
        <item x="701"/>
        <item x="767"/>
        <item x="9"/>
        <item x="783"/>
        <item x="478"/>
        <item x="2"/>
        <item x="538"/>
        <item x="331"/>
        <item x="454"/>
        <item x="367"/>
        <item x="233"/>
        <item x="662"/>
        <item x="210"/>
        <item x="667"/>
        <item x="609"/>
        <item x="634"/>
        <item x="340"/>
        <item x="790"/>
        <item x="292"/>
        <item x="447"/>
        <item x="362"/>
        <item x="718"/>
        <item x="355"/>
        <item x="349"/>
        <item x="272"/>
        <item x="77"/>
        <item x="176"/>
        <item x="139"/>
        <item x="118"/>
        <item x="232"/>
        <item x="697"/>
        <item x="263"/>
        <item x="177"/>
        <item x="269"/>
        <item x="526"/>
        <item x="406"/>
        <item x="631"/>
        <item x="548"/>
        <item x="274"/>
        <item x="720"/>
        <item x="398"/>
        <item x="721"/>
        <item x="344"/>
        <item x="424"/>
        <item x="165"/>
        <item x="280"/>
        <item x="378"/>
        <item x="305"/>
        <item x="715"/>
        <item x="363"/>
        <item x="392"/>
        <item x="404"/>
        <item x="418"/>
        <item x="462"/>
        <item x="39"/>
        <item x="416"/>
        <item x="568"/>
        <item x="112"/>
        <item x="468"/>
        <item x="659"/>
        <item x="517"/>
        <item x="541"/>
        <item x="709"/>
        <item x="356"/>
        <item x="700"/>
        <item x="427"/>
        <item x="485"/>
        <item x="26"/>
        <item x="14"/>
        <item x="533"/>
        <item x="6"/>
        <item x="204"/>
        <item x="24"/>
        <item x="457"/>
        <item x="40"/>
        <item x="425"/>
        <item x="209"/>
        <item x="216"/>
        <item x="243"/>
        <item x="725"/>
        <item x="569"/>
        <item x="332"/>
        <item x="248"/>
        <item x="253"/>
        <item x="21"/>
        <item x="244"/>
        <item x="251"/>
        <item x="351"/>
        <item x="391"/>
        <item x="452"/>
        <item x="377"/>
        <item x="402"/>
        <item x="595"/>
        <item x="104"/>
        <item x="414"/>
        <item x="338"/>
        <item x="589"/>
        <item x="373"/>
        <item x="70"/>
        <item x="532"/>
        <item x="389"/>
        <item x="308"/>
        <item x="262"/>
        <item x="239"/>
        <item x="557"/>
        <item x="256"/>
        <item x="299"/>
        <item x="20"/>
        <item x="266"/>
        <item x="636"/>
        <item x="234"/>
        <item x="591"/>
        <item x="383"/>
        <item x="73"/>
        <item x="79"/>
        <item x="81"/>
        <item x="258"/>
        <item x="654"/>
        <item x="278"/>
        <item x="774"/>
        <item x="772"/>
        <item x="28"/>
        <item x="467"/>
        <item x="734"/>
        <item x="300"/>
        <item x="357"/>
        <item x="52"/>
        <item x="259"/>
        <item x="594"/>
        <item x="449"/>
        <item x="288"/>
        <item x="254"/>
        <item x="95"/>
        <item x="438"/>
        <item x="273"/>
        <item x="294"/>
        <item x="350"/>
        <item x="693"/>
        <item x="69"/>
        <item x="353"/>
        <item x="119"/>
        <item x="271"/>
        <item x="16"/>
        <item x="546"/>
        <item x="450"/>
        <item x="76"/>
        <item x="525"/>
        <item x="738"/>
        <item x="142"/>
        <item x="437"/>
        <item x="67"/>
        <item x="510"/>
        <item x="194"/>
        <item x="187"/>
        <item x="347"/>
        <item x="64"/>
        <item x="217"/>
        <item x="497"/>
        <item x="794"/>
        <item x="327"/>
        <item x="144"/>
        <item x="51"/>
        <item x="66"/>
        <item x="190"/>
        <item x="439"/>
        <item x="602"/>
        <item x="57"/>
        <item x="240"/>
        <item x="505"/>
        <item x="75"/>
        <item x="44"/>
        <item x="182"/>
        <item x="550"/>
        <item x="584"/>
        <item x="201"/>
        <item x="169"/>
        <item x="18"/>
        <item x="53"/>
        <item x="158"/>
        <item x="689"/>
        <item x="252"/>
        <item x="607"/>
        <item x="41"/>
        <item x="502"/>
        <item x="655"/>
        <item x="309"/>
        <item x="205"/>
        <item x="235"/>
        <item x="547"/>
        <item x="199"/>
        <item x="436"/>
        <item x="460"/>
        <item x="348"/>
        <item x="511"/>
        <item x="74"/>
        <item x="68"/>
        <item x="473"/>
        <item x="225"/>
        <item x="650"/>
        <item x="376"/>
        <item x="249"/>
        <item x="477"/>
        <item x="59"/>
        <item x="717"/>
        <item x="534"/>
        <item x="268"/>
        <item x="611"/>
        <item x="722"/>
        <item x="590"/>
        <item x="688"/>
        <item x="115"/>
        <item x="496"/>
        <item x="276"/>
        <item x="12"/>
        <item x="83"/>
        <item x="109"/>
        <item x="561"/>
        <item x="529"/>
        <item x="648"/>
        <item x="185"/>
        <item x="164"/>
        <item x="618"/>
        <item x="150"/>
        <item x="660"/>
        <item x="558"/>
        <item x="498"/>
        <item x="140"/>
        <item x="463"/>
        <item x="653"/>
        <item x="285"/>
        <item x="227"/>
        <item x="295"/>
        <item x="410"/>
        <item x="202"/>
        <item x="624"/>
        <item x="31"/>
        <item x="610"/>
        <item x="72"/>
        <item x="413"/>
        <item x="191"/>
        <item x="19"/>
        <item x="724"/>
        <item x="87"/>
        <item x="423"/>
        <item x="206"/>
        <item x="559"/>
        <item x="649"/>
        <item x="143"/>
        <item x="90"/>
        <item x="482"/>
        <item x="536"/>
        <item x="651"/>
        <item x="380"/>
        <item x="515"/>
        <item x="411"/>
        <item x="554"/>
        <item x="336"/>
        <item x="755"/>
        <item x="599"/>
        <item x="695"/>
        <item x="387"/>
        <item x="475"/>
        <item x="200"/>
        <item x="780"/>
        <item x="395"/>
        <item x="495"/>
        <item x="627"/>
        <item x="545"/>
        <item x="560"/>
        <item x="333"/>
        <item x="665"/>
        <item x="658"/>
        <item x="245"/>
        <item x="108"/>
        <item x="563"/>
        <item x="527"/>
        <item x="749"/>
        <item x="171"/>
        <item x="196"/>
        <item x="129"/>
        <item x="94"/>
        <item x="542"/>
        <item x="131"/>
        <item x="672"/>
        <item x="283"/>
        <item x="776"/>
        <item x="518"/>
        <item x="670"/>
        <item x="479"/>
        <item x="750"/>
        <item x="737"/>
        <item x="121"/>
        <item x="93"/>
        <item x="306"/>
        <item x="141"/>
        <item x="314"/>
        <item x="286"/>
        <item x="576"/>
        <item x="486"/>
        <item x="519"/>
        <item x="564"/>
        <item x="116"/>
        <item x="753"/>
        <item x="751"/>
        <item x="657"/>
        <item x="211"/>
        <item x="652"/>
        <item x="126"/>
        <item x="188"/>
        <item x="415"/>
        <item x="565"/>
        <item x="84"/>
        <item x="551"/>
        <item x="426"/>
        <item x="664"/>
        <item x="100"/>
        <item x="203"/>
        <item x="690"/>
        <item x="284"/>
        <item x="408"/>
        <item x="125"/>
        <item x="197"/>
        <item x="757"/>
        <item x="324"/>
        <item x="453"/>
        <item x="613"/>
        <item x="635"/>
        <item x="97"/>
        <item x="728"/>
        <item x="138"/>
        <item x="400"/>
        <item x="638"/>
        <item x="393"/>
        <item x="637"/>
        <item x="181"/>
        <item x="195"/>
        <item x="661"/>
        <item x="470"/>
        <item x="153"/>
        <item x="89"/>
        <item x="307"/>
        <item x="512"/>
        <item x="289"/>
        <item x="325"/>
        <item x="756"/>
        <item x="530"/>
        <item x="368"/>
        <item x="588"/>
        <item x="586"/>
        <item x="466"/>
        <item x="528"/>
        <item x="632"/>
        <item x="656"/>
        <item x="168"/>
        <item x="186"/>
        <item x="592"/>
        <item x="267"/>
        <item x="487"/>
        <item x="311"/>
        <item x="668"/>
        <item x="160"/>
        <item x="407"/>
        <item x="577"/>
        <item x="237"/>
        <item x="403"/>
        <item x="366"/>
        <item x="385"/>
        <item x="98"/>
        <item x="319"/>
        <item x="296"/>
        <item x="29"/>
        <item x="633"/>
        <item x="428"/>
        <item x="729"/>
        <item x="581"/>
        <item x="509"/>
        <item x="291"/>
        <item x="600"/>
        <item x="172"/>
        <item x="54"/>
        <item x="120"/>
        <item x="754"/>
        <item x="480"/>
        <item x="617"/>
        <item x="5"/>
        <item x="342"/>
        <item x="0"/>
        <item x="369"/>
        <item x="260"/>
        <item x="281"/>
        <item x="287"/>
        <item x="230"/>
        <item x="446"/>
        <item x="321"/>
        <item x="337"/>
        <item x="159"/>
        <item x="322"/>
        <item x="183"/>
        <item x="178"/>
        <item x="641"/>
        <item x="146"/>
        <item x="7"/>
        <item x="629"/>
        <item x="645"/>
        <item x="585"/>
        <item x="628"/>
        <item x="375"/>
        <item x="642"/>
        <item x="23"/>
        <item x="85"/>
        <item x="304"/>
        <item x="556"/>
        <item x="346"/>
        <item x="606"/>
        <item x="490"/>
        <item x="522"/>
        <item x="313"/>
        <item x="516"/>
        <item x="459"/>
        <item x="179"/>
        <item x="323"/>
        <item x="270"/>
        <item x="555"/>
        <item x="553"/>
        <item x="133"/>
        <item x="326"/>
        <item x="578"/>
        <item x="78"/>
        <item x="374"/>
        <item x="382"/>
        <item x="152"/>
        <item x="236"/>
        <item x="663"/>
        <item x="726"/>
        <item x="224"/>
        <item x="692"/>
        <item x="626"/>
        <item x="571"/>
        <item x="228"/>
        <item x="731"/>
        <item x="435"/>
        <item x="117"/>
        <item x="615"/>
        <item x="379"/>
        <item x="82"/>
        <item x="549"/>
        <item x="145"/>
        <item x="687"/>
        <item x="318"/>
        <item x="469"/>
        <item x="422"/>
        <item x="552"/>
        <item x="608"/>
        <item x="63"/>
        <item x="127"/>
        <item x="36"/>
        <item x="620"/>
        <item x="679"/>
        <item x="785"/>
        <item x="335"/>
        <item x="744"/>
        <item x="704"/>
        <item x="132"/>
        <item x="673"/>
        <item x="640"/>
        <item x="612"/>
        <item x="110"/>
        <item x="622"/>
        <item x="732"/>
        <item x="50"/>
        <item x="223"/>
        <item x="226"/>
        <item x="208"/>
        <item x="128"/>
        <item x="91"/>
        <item x="706"/>
        <item x="702"/>
        <item x="405"/>
        <item x="678"/>
        <item x="508"/>
        <item x="189"/>
        <item x="741"/>
        <item x="745"/>
        <item x="175"/>
        <item x="708"/>
        <item x="614"/>
        <item x="231"/>
        <item x="579"/>
        <item x="440"/>
        <item x="675"/>
        <item x="65"/>
        <item x="782"/>
        <item x="58"/>
        <item x="282"/>
        <item x="781"/>
        <item x="214"/>
        <item x="593"/>
        <item x="523"/>
        <item x="583"/>
        <item x="501"/>
        <item x="96"/>
        <item x="155"/>
        <item x="616"/>
        <item x="500"/>
        <item x="758"/>
        <item x="503"/>
        <item x="221"/>
        <item x="88"/>
        <item x="598"/>
        <item x="429"/>
        <item x="669"/>
        <item x="372"/>
        <item x="137"/>
        <item x="483"/>
        <item x="114"/>
        <item x="154"/>
        <item x="320"/>
        <item x="567"/>
        <item x="444"/>
        <item x="162"/>
        <item x="572"/>
        <item x="315"/>
        <item x="317"/>
        <item x="220"/>
        <item x="163"/>
        <item x="99"/>
        <item x="329"/>
        <item x="130"/>
        <item x="122"/>
        <item x="748"/>
        <item x="747"/>
        <item x="167"/>
        <item x="464"/>
        <item x="491"/>
        <item x="386"/>
        <item x="222"/>
        <item x="791"/>
        <item x="760"/>
        <item x="32"/>
        <item x="759"/>
        <item x="102"/>
        <item x="451"/>
        <item x="381"/>
        <item x="562"/>
        <item x="787"/>
        <item x="521"/>
        <item x="161"/>
        <item x="566"/>
        <item x="504"/>
        <item x="596"/>
        <item x="539"/>
        <item x="582"/>
        <item x="113"/>
        <item x="476"/>
        <item x="493"/>
        <item x="471"/>
        <item x="597"/>
        <item x="630"/>
        <item x="742"/>
        <item x="639"/>
        <item x="619"/>
        <item x="574"/>
        <item x="644"/>
        <item x="61"/>
        <item x="643"/>
        <item x="11"/>
        <item x="242"/>
        <item x="238"/>
        <item x="746"/>
        <item x="713"/>
        <item x="151"/>
        <item x="489"/>
        <item x="247"/>
        <item x="575"/>
        <item x="330"/>
        <item x="605"/>
        <item x="156"/>
        <item x="279"/>
        <item x="474"/>
        <item x="312"/>
        <item x="134"/>
        <item x="45"/>
        <item x="712"/>
        <item x="674"/>
        <item x="743"/>
        <item x="723"/>
        <item x="62"/>
        <item x="488"/>
        <item x="623"/>
        <item x="604"/>
        <item x="676"/>
        <item x="316"/>
        <item x="524"/>
        <item x="727"/>
        <item x="764"/>
        <item x="359"/>
        <item x="448"/>
        <item x="601"/>
        <item x="788"/>
        <item x="136"/>
        <item x="390"/>
        <item x="484"/>
        <item x="671"/>
        <item x="603"/>
        <item x="666"/>
        <item x="365"/>
        <item x="580"/>
        <item x="537"/>
        <item x="345"/>
        <item x="705"/>
        <item x="683"/>
        <item x="123"/>
        <item x="573"/>
        <item x="441"/>
        <item x="570"/>
        <item x="135"/>
        <item x="587"/>
        <item x="792"/>
        <item x="719"/>
        <item x="328"/>
        <item x="433"/>
        <item x="513"/>
        <item x="445"/>
        <item x="431"/>
        <item x="621"/>
        <item x="506"/>
        <item x="360"/>
        <item x="7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9">
        <item x="2"/>
        <item x="1"/>
        <item x="0"/>
        <item x="5"/>
        <item x="3"/>
        <item x="6"/>
        <item x="4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x="1"/>
        <item x="2"/>
        <item x="3"/>
        <item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5"/>
    <field x="12"/>
  </rowFields>
  <rowItems count="98">
    <i>
      <x/>
      <x v="733"/>
    </i>
    <i r="1">
      <x v="441"/>
    </i>
    <i r="1">
      <x v="259"/>
    </i>
    <i r="1">
      <x v="198"/>
    </i>
    <i r="1">
      <x v="420"/>
    </i>
    <i r="1">
      <x v="737"/>
    </i>
    <i r="1">
      <x v="535"/>
    </i>
    <i r="1">
      <x v="676"/>
    </i>
    <i r="1">
      <x v="658"/>
    </i>
    <i r="1">
      <x v="183"/>
    </i>
    <i r="1">
      <x v="374"/>
    </i>
    <i r="1">
      <x v="262"/>
    </i>
    <i r="1">
      <x v="257"/>
    </i>
    <i r="1">
      <x v="464"/>
    </i>
    <i r="1">
      <x v="406"/>
    </i>
    <i r="1">
      <x v="249"/>
    </i>
    <i r="1">
      <x v="715"/>
    </i>
    <i r="1">
      <x v="431"/>
    </i>
    <i r="1">
      <x v="781"/>
    </i>
    <i r="1">
      <x v="718"/>
    </i>
    <i>
      <x v="1"/>
      <x v="381"/>
    </i>
    <i r="1">
      <x v="241"/>
    </i>
    <i r="1">
      <x v="89"/>
    </i>
    <i r="1">
      <x v="691"/>
    </i>
    <i r="1">
      <x v="640"/>
    </i>
    <i r="1">
      <x v="564"/>
    </i>
    <i r="1">
      <x v="388"/>
    </i>
    <i r="1">
      <x v="321"/>
    </i>
    <i r="1">
      <x v="4"/>
    </i>
    <i r="1">
      <x v="126"/>
    </i>
    <i r="1">
      <x v="593"/>
    </i>
    <i r="1">
      <x v="29"/>
    </i>
    <i r="1">
      <x v="142"/>
    </i>
    <i r="1">
      <x v="785"/>
    </i>
    <i r="1">
      <x v="389"/>
    </i>
    <i r="1">
      <x v="584"/>
    </i>
    <i r="1">
      <x v="478"/>
    </i>
    <i r="1">
      <x v="793"/>
    </i>
    <i r="1">
      <x v="311"/>
    </i>
    <i r="1">
      <x v="518"/>
    </i>
    <i r="1">
      <x v="395"/>
    </i>
    <i r="1">
      <x v="738"/>
    </i>
    <i r="1">
      <x v="134"/>
    </i>
    <i r="1">
      <x v="728"/>
    </i>
    <i r="1">
      <x v="633"/>
    </i>
    <i r="1">
      <x v="458"/>
    </i>
    <i r="1">
      <x v="416"/>
    </i>
    <i r="1">
      <x v="419"/>
    </i>
    <i>
      <x v="2"/>
      <x v="457"/>
    </i>
    <i r="1">
      <x v="491"/>
    </i>
    <i r="1">
      <x v="411"/>
    </i>
    <i r="1">
      <x v="136"/>
    </i>
    <i r="1">
      <x v="331"/>
    </i>
    <i r="1">
      <x v="669"/>
    </i>
    <i r="1">
      <x v="397"/>
    </i>
    <i r="1">
      <x v="61"/>
    </i>
    <i r="1">
      <x v="612"/>
    </i>
    <i r="1">
      <x v="215"/>
    </i>
    <i r="1">
      <x v="534"/>
    </i>
    <i r="1">
      <x v="617"/>
    </i>
    <i r="1">
      <x v="705"/>
    </i>
    <i r="1">
      <x v="250"/>
    </i>
    <i r="1">
      <x v="451"/>
    </i>
    <i r="1">
      <x v="222"/>
    </i>
    <i r="1">
      <x v="295"/>
    </i>
    <i r="1">
      <x v="133"/>
    </i>
    <i r="1">
      <x v="604"/>
    </i>
    <i r="1">
      <x v="673"/>
    </i>
    <i r="1">
      <x v="481"/>
    </i>
    <i r="1">
      <x v="252"/>
    </i>
    <i r="1">
      <x v="22"/>
    </i>
    <i r="1">
      <x v="727"/>
    </i>
    <i r="1">
      <x v="125"/>
    </i>
    <i>
      <x v="3"/>
      <x v="462"/>
    </i>
    <i r="1">
      <x v="232"/>
    </i>
    <i r="1">
      <x v="83"/>
    </i>
    <i r="1">
      <x v="221"/>
    </i>
    <i r="1">
      <x v="94"/>
    </i>
    <i r="1">
      <x v="50"/>
    </i>
    <i r="1">
      <x v="499"/>
    </i>
    <i r="1">
      <x v="153"/>
    </i>
    <i r="1">
      <x v="670"/>
    </i>
    <i r="1">
      <x v="263"/>
    </i>
    <i r="1">
      <x v="762"/>
    </i>
    <i r="1">
      <x v="65"/>
    </i>
    <i r="1">
      <x v="262"/>
    </i>
    <i r="1">
      <x v="42"/>
    </i>
    <i r="1">
      <x v="141"/>
    </i>
    <i r="1">
      <x v="601"/>
    </i>
    <i r="1">
      <x v="54"/>
    </i>
    <i r="1">
      <x v="579"/>
    </i>
    <i r="1">
      <x v="173"/>
    </i>
    <i r="1">
      <x v="784"/>
    </i>
    <i r="1">
      <x v="226"/>
    </i>
    <i r="1">
      <x v="266"/>
    </i>
    <i r="1">
      <x v="207"/>
    </i>
    <i r="1">
      <x v="545"/>
    </i>
    <i r="1">
      <x v="218"/>
    </i>
  </rowItems>
  <colItems count="1">
    <i/>
  </colItems>
  <pageFields count="1">
    <pageField fld="3" item="12" hier="-1"/>
  </pageFields>
  <dataFields count="1">
    <dataField name="Прибыль" fld="9" baseField="0" baseItem="0"/>
  </dataFields>
  <chartFormats count="1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2BAB70-9B04-304D-9B23-F58010786F94}" name="Сводная таблица14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outline="1" outlineData="1" multipleFieldFilters="0">
  <location ref="S8:W21" firstHeaderRow="1" firstDataRow="2" firstDataCol="1"/>
  <pivotFields count="32"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dataField="1" showAll="0"/>
    <pivotField showAll="0"/>
    <pivotField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27"/>
  </colFields>
  <colItems count="4">
    <i>
      <x v="1"/>
    </i>
    <i>
      <x v="2"/>
    </i>
    <i>
      <x v="3"/>
    </i>
    <i>
      <x v="4"/>
    </i>
  </colItems>
  <dataFields count="1">
    <dataField name="Среднее по полю Discount" fld="7" subtotal="average" showDataAs="percentDiff" baseField="27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960F98-10B8-D349-9E82-90BC2A375A5D}" name="Сводная таблица2" cacheId="38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>
  <location ref="G3:H5" firstHeaderRow="1" firstDataRow="1" firstDataCol="1"/>
  <pivotFields count="32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9">
        <item h="1" x="22"/>
        <item h="1" x="40"/>
        <item h="1" x="28"/>
        <item h="1" x="46"/>
        <item h="1" x="43"/>
        <item h="1" x="41"/>
        <item h="1" x="36"/>
        <item h="1" x="26"/>
        <item h="1" x="35"/>
        <item h="1" x="19"/>
        <item h="1" x="11"/>
        <item h="1" x="47"/>
        <item x="38"/>
        <item h="1" x="6"/>
        <item h="1" x="14"/>
        <item h="1" x="24"/>
        <item h="1" x="39"/>
        <item h="1" x="30"/>
        <item h="1" x="42"/>
        <item h="1" x="3"/>
        <item h="1" x="18"/>
        <item h="1" x="0"/>
        <item h="1" x="7"/>
        <item h="1" x="15"/>
        <item h="1" x="16"/>
        <item h="1" x="44"/>
        <item h="1" x="5"/>
        <item h="1" x="37"/>
        <item h="1" x="10"/>
        <item h="1" x="4"/>
        <item h="1" x="2"/>
        <item h="1" x="21"/>
        <item h="1" x="31"/>
        <item h="1" x="17"/>
        <item h="1" x="27"/>
        <item h="1" x="25"/>
        <item h="1" x="23"/>
        <item h="1" x="12"/>
        <item h="1" x="33"/>
        <item h="1" x="13"/>
        <item h="1" x="20"/>
        <item h="1" x="8"/>
        <item h="1" x="29"/>
        <item h="1" x="9"/>
        <item h="1" x="34"/>
        <item h="1" x="1"/>
        <item h="1" x="32"/>
        <item h="1" x="45"/>
        <item t="default"/>
      </items>
    </pivotField>
    <pivotField showAll="0"/>
    <pivotField showAll="0"/>
    <pivotField dataField="1" showAll="0"/>
    <pivotField showAll="0"/>
    <pivotField showAll="0"/>
    <pivotField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2">
    <i>
      <x v="12"/>
    </i>
    <i t="grand">
      <x/>
    </i>
  </rowItems>
  <colItems count="1">
    <i/>
  </colItems>
  <dataFields count="1">
    <dataField name="Сумма по полю Sales" fld="6" baseField="0" baseItem="0"/>
  </dataFields>
  <formats count="1">
    <format dxfId="26">
      <pivotArea collapsedLevelsAreSubtotals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C5FC4C-0D7A-6340-ACC0-461F0CF3344D}" name="Сводная таблица3" cacheId="38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>
  <location ref="M3:N5" firstHeaderRow="1" firstDataRow="1" firstDataCol="1"/>
  <pivotFields count="32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9">
        <item h="1" x="22"/>
        <item h="1" x="40"/>
        <item h="1" x="28"/>
        <item h="1" x="46"/>
        <item h="1" x="43"/>
        <item h="1" x="41"/>
        <item h="1" x="36"/>
        <item h="1" x="26"/>
        <item h="1" x="35"/>
        <item h="1" x="19"/>
        <item h="1" x="11"/>
        <item h="1" x="47"/>
        <item x="38"/>
        <item h="1" x="6"/>
        <item h="1" x="14"/>
        <item h="1" x="24"/>
        <item h="1" x="39"/>
        <item h="1" x="30"/>
        <item h="1" x="42"/>
        <item h="1" x="3"/>
        <item h="1" x="18"/>
        <item h="1" x="0"/>
        <item h="1" x="7"/>
        <item h="1" x="15"/>
        <item h="1" x="16"/>
        <item h="1" x="44"/>
        <item h="1" x="5"/>
        <item h="1" x="37"/>
        <item h="1" x="10"/>
        <item h="1" x="4"/>
        <item h="1" x="2"/>
        <item h="1" x="21"/>
        <item h="1" x="31"/>
        <item h="1" x="17"/>
        <item h="1" x="27"/>
        <item h="1" x="25"/>
        <item h="1" x="23"/>
        <item h="1" x="12"/>
        <item h="1" x="33"/>
        <item h="1" x="13"/>
        <item h="1" x="20"/>
        <item h="1" x="8"/>
        <item h="1" x="29"/>
        <item h="1" x="9"/>
        <item h="1" x="34"/>
        <item h="1" x="1"/>
        <item h="1" x="32"/>
        <item h="1" x="45"/>
        <item t="default"/>
      </items>
    </pivotField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dataField="1"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2">
    <i>
      <x v="12"/>
    </i>
    <i t="grand">
      <x/>
    </i>
  </rowItems>
  <colItems count="1">
    <i/>
  </colItems>
  <dataFields count="1">
    <dataField name="Сумма по полю OrderCount" fld="24" baseField="0" baseItem="0"/>
  </dataFields>
  <formats count="1">
    <format dxfId="27">
      <pivotArea collapsedLevelsAreSubtotals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D169DA-C052-A742-8918-B6885730112E}" name="Сводная таблица6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outline="1" outlineData="1" multipleFieldFilters="0">
  <location ref="M8:Q21" firstHeaderRow="1" firstDataRow="2" firstDataCol="1"/>
  <pivotFields count="32"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dataField="1"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27"/>
  </colFields>
  <colItems count="4">
    <i>
      <x v="1"/>
    </i>
    <i>
      <x v="2"/>
    </i>
    <i>
      <x v="3"/>
    </i>
    <i>
      <x v="4"/>
    </i>
  </colItems>
  <dataFields count="1">
    <dataField name="Сумма по полю OrderCount" fld="24" showDataAs="percentDiff" baseField="27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3AC766-E97C-3D4A-9505-AF8DCD0A9C8B}" name="Сводная таблица9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compact="0" compactData="0" multipleFieldFilters="0" chartFormat="12" rowHeaderCaption="Region">
  <location ref="A92:D109" firstHeaderRow="0" firstDataRow="1" firstDataCol="2" rowPageCount="1" colPageCount="1"/>
  <pivotFields count="3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49">
        <item x="22"/>
        <item x="40"/>
        <item x="28"/>
        <item x="46"/>
        <item x="43"/>
        <item x="41"/>
        <item x="36"/>
        <item x="26"/>
        <item x="35"/>
        <item x="19"/>
        <item x="11"/>
        <item x="47"/>
        <item x="38"/>
        <item x="6"/>
        <item x="14"/>
        <item x="24"/>
        <item x="39"/>
        <item x="30"/>
        <item x="42"/>
        <item x="3"/>
        <item x="18"/>
        <item x="0"/>
        <item x="7"/>
        <item x="15"/>
        <item x="16"/>
        <item x="44"/>
        <item x="5"/>
        <item x="37"/>
        <item x="10"/>
        <item x="4"/>
        <item x="2"/>
        <item x="21"/>
        <item x="31"/>
        <item x="17"/>
        <item x="27"/>
        <item x="25"/>
        <item x="23"/>
        <item x="12"/>
        <item x="33"/>
        <item x="13"/>
        <item x="20"/>
        <item x="8"/>
        <item x="29"/>
        <item x="9"/>
        <item x="34"/>
        <item x="1"/>
        <item x="32"/>
        <item x="4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9">
        <item x="2"/>
        <item x="1"/>
        <item x="0"/>
        <item x="5"/>
        <item x="3"/>
        <item x="6"/>
        <item x="4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8">
        <item x="1"/>
        <item x="2"/>
        <item x="9"/>
        <item x="14"/>
        <item x="7"/>
        <item x="13"/>
        <item x="8"/>
        <item x="11"/>
        <item x="4"/>
        <item x="16"/>
        <item x="5"/>
        <item x="12"/>
        <item x="6"/>
        <item x="15"/>
        <item x="0"/>
        <item x="10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x="1"/>
        <item x="2"/>
        <item x="3"/>
        <item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6"/>
    <field x="17"/>
  </rowFields>
  <rowItems count="17">
    <i>
      <x/>
      <x v="2"/>
    </i>
    <i r="1">
      <x v="3"/>
    </i>
    <i r="1">
      <x v="8"/>
    </i>
    <i r="1">
      <x v="15"/>
    </i>
    <i>
      <x v="1"/>
      <x/>
    </i>
    <i r="1">
      <x v="1"/>
    </i>
    <i r="1">
      <x v="6"/>
    </i>
    <i r="1">
      <x v="7"/>
    </i>
    <i r="1">
      <x v="10"/>
    </i>
    <i r="1">
      <x v="11"/>
    </i>
    <i r="1">
      <x v="12"/>
    </i>
    <i r="1">
      <x v="13"/>
    </i>
    <i r="1">
      <x v="14"/>
    </i>
    <i>
      <x v="2"/>
      <x v="4"/>
    </i>
    <i r="1">
      <x v="5"/>
    </i>
    <i r="1">
      <x v="9"/>
    </i>
    <i r="1">
      <x v="16"/>
    </i>
  </rowItems>
  <colFields count="1">
    <field x="-2"/>
  </colFields>
  <colItems count="2">
    <i>
      <x/>
    </i>
    <i i="1">
      <x v="1"/>
    </i>
  </colItems>
  <pageFields count="1">
    <pageField fld="3" item="12" hier="-1"/>
  </pageFields>
  <dataFields count="2">
    <dataField name="Продажи" fld="6" baseField="0" baseItem="0"/>
    <dataField name="Прибыль" fld="9" baseField="0" baseItem="0"/>
  </dataFields>
  <chartFormats count="7"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3FDBA-D51F-E34D-9598-D0361417E7A7}" name="Сводная таблица16" cacheId="38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>
  <location ref="Y3:Z5" firstHeaderRow="1" firstDataRow="1" firstDataCol="1"/>
  <pivotFields count="32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9">
        <item h="1" x="22"/>
        <item h="1" x="40"/>
        <item h="1" x="28"/>
        <item h="1" x="46"/>
        <item h="1" x="43"/>
        <item h="1" x="41"/>
        <item h="1" x="36"/>
        <item h="1" x="26"/>
        <item h="1" x="35"/>
        <item h="1" x="19"/>
        <item h="1" x="11"/>
        <item h="1" x="47"/>
        <item x="38"/>
        <item h="1" x="6"/>
        <item h="1" x="14"/>
        <item h="1" x="24"/>
        <item h="1" x="39"/>
        <item h="1" x="30"/>
        <item h="1" x="42"/>
        <item h="1" x="3"/>
        <item h="1" x="18"/>
        <item h="1" x="0"/>
        <item h="1" x="7"/>
        <item h="1" x="15"/>
        <item h="1" x="16"/>
        <item h="1" x="44"/>
        <item h="1" x="5"/>
        <item h="1" x="37"/>
        <item h="1" x="10"/>
        <item h="1" x="4"/>
        <item h="1" x="2"/>
        <item h="1" x="21"/>
        <item h="1" x="31"/>
        <item h="1" x="17"/>
        <item h="1" x="27"/>
        <item h="1" x="25"/>
        <item h="1" x="23"/>
        <item h="1" x="12"/>
        <item h="1" x="33"/>
        <item h="1" x="13"/>
        <item h="1" x="20"/>
        <item h="1" x="8"/>
        <item h="1" x="29"/>
        <item h="1" x="9"/>
        <item h="1" x="34"/>
        <item h="1" x="1"/>
        <item h="1" x="32"/>
        <item h="1" x="45"/>
        <item t="default"/>
      </items>
    </pivotField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2">
    <i>
      <x v="12"/>
    </i>
    <i t="grand">
      <x/>
    </i>
  </rowItems>
  <colItems count="1">
    <i/>
  </colItems>
  <dataFields count="1">
    <dataField name="Сумма по полю CustomerCount" fld="25" baseField="0" baseItem="0"/>
  </dataFields>
  <formats count="1">
    <format dxfId="28">
      <pivotArea collapsedLevelsAreSubtotals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45B95-0488-3042-832C-09CF892C4501}" name="Сводная таблица12" cacheId="38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>
  <location ref="S3:T5" firstHeaderRow="1" firstDataRow="1" firstDataCol="1"/>
  <pivotFields count="32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9">
        <item h="1" x="22"/>
        <item h="1" x="40"/>
        <item h="1" x="28"/>
        <item h="1" x="46"/>
        <item h="1" x="43"/>
        <item h="1" x="41"/>
        <item h="1" x="36"/>
        <item h="1" x="26"/>
        <item h="1" x="35"/>
        <item h="1" x="19"/>
        <item h="1" x="11"/>
        <item h="1" x="47"/>
        <item x="38"/>
        <item h="1" x="6"/>
        <item h="1" x="14"/>
        <item h="1" x="24"/>
        <item h="1" x="39"/>
        <item h="1" x="30"/>
        <item h="1" x="42"/>
        <item h="1" x="3"/>
        <item h="1" x="18"/>
        <item h="1" x="0"/>
        <item h="1" x="7"/>
        <item h="1" x="15"/>
        <item h="1" x="16"/>
        <item h="1" x="44"/>
        <item h="1" x="5"/>
        <item h="1" x="37"/>
        <item h="1" x="10"/>
        <item h="1" x="4"/>
        <item h="1" x="2"/>
        <item h="1" x="21"/>
        <item h="1" x="31"/>
        <item h="1" x="17"/>
        <item h="1" x="27"/>
        <item h="1" x="25"/>
        <item h="1" x="23"/>
        <item h="1" x="12"/>
        <item h="1" x="33"/>
        <item h="1" x="13"/>
        <item h="1" x="20"/>
        <item h="1" x="8"/>
        <item h="1" x="29"/>
        <item h="1" x="9"/>
        <item h="1" x="34"/>
        <item h="1" x="1"/>
        <item h="1" x="32"/>
        <item h="1" x="45"/>
        <item t="default"/>
      </items>
    </pivotField>
    <pivotField showAll="0"/>
    <pivotField showAll="0"/>
    <pivotField showAll="0"/>
    <pivotField dataField="1" showAll="0"/>
    <pivotField showAll="0"/>
    <pivotField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2">
    <i>
      <x v="12"/>
    </i>
    <i t="grand">
      <x/>
    </i>
  </rowItems>
  <colItems count="1">
    <i/>
  </colItems>
  <dataFields count="1">
    <dataField name="Среднее по полю Discount" fld="7" subtotal="average" baseField="0" baseItem="0" numFmtId="10"/>
  </dataFields>
  <formats count="2">
    <format dxfId="30">
      <pivotArea collapsedLevelsAreSubtotals="1" fieldPosition="0">
        <references count="1">
          <reference field="3" count="0"/>
        </references>
      </pivotArea>
    </format>
    <format dxfId="2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442053-83F4-1248-A082-7C7E2F7CF3BE}" name="Сводная таблица18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outline="1" outlineData="1" multipleFieldFilters="0">
  <location ref="AE8:AI21" firstHeaderRow="1" firstDataRow="2" firstDataCol="1"/>
  <pivotFields count="32"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2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27"/>
  </colFields>
  <colItems count="4">
    <i>
      <x v="1"/>
    </i>
    <i>
      <x v="2"/>
    </i>
    <i>
      <x v="3"/>
    </i>
    <i>
      <x v="4"/>
    </i>
  </colItems>
  <dataFields count="1">
    <dataField name="Сумма по полю SalesPerCustomer" fld="31" showDataAs="percentDiff" baseField="27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08441D-70BF-D64C-9081-A8252044647E}" name="Сводная таблица1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outline="1" outlineData="1" multipleFieldFilters="0">
  <location ref="G8:K21" firstHeaderRow="1" firstDataRow="2" firstDataCol="1"/>
  <pivotFields count="32"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27"/>
  </colFields>
  <colItems count="4">
    <i>
      <x v="1"/>
    </i>
    <i>
      <x v="2"/>
    </i>
    <i>
      <x v="3"/>
    </i>
    <i>
      <x v="4"/>
    </i>
  </colItems>
  <dataFields count="1">
    <dataField name="Сумма по полю Sales" fld="6" showDataAs="percentDiff" baseField="27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500A15-975A-7A47-8ACC-8B75807E06FB}" name="Сводная таблица17" cacheId="38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>
  <location ref="AE3:AF5" firstHeaderRow="1" firstDataRow="1" firstDataCol="1"/>
  <pivotFields count="32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9">
        <item h="1" x="22"/>
        <item h="1" x="40"/>
        <item h="1" x="28"/>
        <item h="1" x="46"/>
        <item h="1" x="43"/>
        <item h="1" x="41"/>
        <item h="1" x="36"/>
        <item h="1" x="26"/>
        <item h="1" x="35"/>
        <item h="1" x="19"/>
        <item h="1" x="11"/>
        <item h="1" x="47"/>
        <item x="38"/>
        <item h="1" x="6"/>
        <item h="1" x="14"/>
        <item h="1" x="24"/>
        <item h="1" x="39"/>
        <item h="1" x="30"/>
        <item h="1" x="42"/>
        <item h="1" x="3"/>
        <item h="1" x="18"/>
        <item h="1" x="0"/>
        <item h="1" x="7"/>
        <item h="1" x="15"/>
        <item h="1" x="16"/>
        <item h="1" x="44"/>
        <item h="1" x="5"/>
        <item h="1" x="37"/>
        <item h="1" x="10"/>
        <item h="1" x="4"/>
        <item h="1" x="2"/>
        <item h="1" x="21"/>
        <item h="1" x="31"/>
        <item h="1" x="17"/>
        <item h="1" x="27"/>
        <item h="1" x="25"/>
        <item h="1" x="23"/>
        <item h="1" x="12"/>
        <item h="1" x="33"/>
        <item h="1" x="13"/>
        <item h="1" x="20"/>
        <item h="1" x="8"/>
        <item h="1" x="29"/>
        <item h="1" x="9"/>
        <item h="1" x="34"/>
        <item h="1" x="1"/>
        <item h="1" x="32"/>
        <item h="1" x="45"/>
        <item t="default"/>
      </items>
    </pivotField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3"/>
  </rowFields>
  <rowItems count="2">
    <i>
      <x v="12"/>
    </i>
    <i t="grand">
      <x/>
    </i>
  </rowItems>
  <colItems count="1">
    <i/>
  </colItems>
  <dataFields count="1">
    <dataField name="Сумма по полю SalesPerCustomer" fld="31" baseField="0" baseItem="0"/>
  </dataFields>
  <formats count="1">
    <format dxfId="31">
      <pivotArea collapsedLevelsAreSubtotals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64DE41-D21F-C042-8ACD-EB6C4F7072D2}" name="Сводная таблица4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outline="1" outlineData="1" multipleFieldFilters="0">
  <location ref="A8:E21" firstHeaderRow="1" firstDataRow="2" firstDataCol="1"/>
  <pivotFields count="32"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27"/>
  </colFields>
  <colItems count="4">
    <i>
      <x v="1"/>
    </i>
    <i>
      <x v="2"/>
    </i>
    <i>
      <x v="3"/>
    </i>
    <i>
      <x v="4"/>
    </i>
  </colItems>
  <dataFields count="1">
    <dataField name="Сумма по полю Profit" fld="9" showDataAs="percentDiff" baseField="27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D69588-5F2C-B543-9B0B-893865C53EA0}" name="Dynamics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compact="0" compactData="0" chartFormat="7" rowHeaderCaption="Region">
  <location ref="A39:E87" firstHeaderRow="0" firstDataRow="1" firstDataCol="2"/>
  <pivotFields count="3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9">
        <item x="2"/>
        <item x="1"/>
        <item x="0"/>
        <item x="5"/>
        <item x="3"/>
        <item x="6"/>
        <item x="4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sd="0" x="0"/>
        <item x="1"/>
        <item x="2"/>
        <item x="3"/>
        <item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7"/>
    <field x="2"/>
  </rowFields>
  <rowItems count="48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rowItems>
  <colFields count="1">
    <field x="-2"/>
  </colFields>
  <colItems count="3">
    <i>
      <x/>
    </i>
    <i i="1">
      <x v="1"/>
    </i>
    <i i="2">
      <x v="2"/>
    </i>
  </colItems>
  <dataFields count="3">
    <dataField name="Прибыль" fld="9" baseField="0" baseItem="0"/>
    <dataField name="Прошлого года" fld="29" baseField="0" baseItem="0" numFmtId="2"/>
    <dataField name="Текущего года" fld="30" baseField="0" baseItem="0" numFmtId="2"/>
  </dataFields>
  <chartFormats count="4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6B1435-7F97-7345-86C8-2DEC776B977B}" name="Сводная таблица5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outline="1" outlineData="1" multipleFieldFilters="0" chartFormat="1" rowHeaderCaption="Region">
  <location ref="A24:C35" firstHeaderRow="0" firstDataRow="1" firstDataCol="1"/>
  <pivotFields count="32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9">
        <item h="1" x="22"/>
        <item h="1" x="40"/>
        <item h="1" x="28"/>
        <item h="1" x="46"/>
        <item h="1" x="43"/>
        <item h="1" x="41"/>
        <item h="1" x="36"/>
        <item h="1" x="26"/>
        <item h="1" x="35"/>
        <item h="1" x="19"/>
        <item h="1" x="11"/>
        <item h="1" x="47"/>
        <item x="38"/>
        <item h="1" x="6"/>
        <item h="1" x="14"/>
        <item h="1" x="24"/>
        <item h="1" x="39"/>
        <item h="1" x="30"/>
        <item h="1" x="42"/>
        <item h="1" x="3"/>
        <item h="1" x="18"/>
        <item h="1" x="0"/>
        <item h="1" x="7"/>
        <item h="1" x="15"/>
        <item h="1" x="16"/>
        <item h="1" x="44"/>
        <item h="1" x="5"/>
        <item h="1" x="37"/>
        <item h="1" x="10"/>
        <item h="1" x="4"/>
        <item h="1" x="2"/>
        <item h="1" x="21"/>
        <item h="1" x="31"/>
        <item h="1" x="17"/>
        <item h="1" x="27"/>
        <item h="1" x="25"/>
        <item h="1" x="23"/>
        <item h="1" x="12"/>
        <item h="1" x="33"/>
        <item h="1" x="13"/>
        <item h="1" x="20"/>
        <item h="1" x="8"/>
        <item h="1" x="29"/>
        <item h="1" x="9"/>
        <item h="1" x="34"/>
        <item h="1" x="1"/>
        <item h="1" x="32"/>
        <item h="1" x="45"/>
        <item t="default"/>
      </items>
    </pivotField>
    <pivotField showAll="0"/>
    <pivotField showAll="0"/>
    <pivotField dataField="1" showAll="0"/>
    <pivotField showAll="0"/>
    <pivotField showAll="0"/>
    <pivotField dataField="1" numFmtId="2" showAll="0"/>
    <pivotField showAll="0"/>
    <pivotField showAll="0"/>
    <pivotField showAll="0"/>
    <pivotField axis="axisRow" showAll="0">
      <items count="14">
        <item x="12"/>
        <item x="4"/>
        <item x="3"/>
        <item x="9"/>
        <item x="7"/>
        <item x="1"/>
        <item x="5"/>
        <item x="0"/>
        <item x="6"/>
        <item x="2"/>
        <item x="8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10"/>
    </i>
    <i>
      <x v="11"/>
    </i>
    <i>
      <x v="12"/>
    </i>
  </rowItems>
  <colFields count="1">
    <field x="-2"/>
  </colFields>
  <colItems count="2">
    <i>
      <x/>
    </i>
    <i i="1">
      <x v="1"/>
    </i>
  </colItems>
  <dataFields count="2">
    <dataField name="Сумма по полю Sales" fld="6" baseField="0" baseItem="0"/>
    <dataField name="Сумма по полю Profit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AA4079-E1E3-C44D-98CD-C0EEF1494428}" name="Сводная таблица7" cacheId="38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>
  <location ref="A3:B5" firstHeaderRow="1" firstDataRow="1" firstDataCol="1"/>
  <pivotFields count="32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9">
        <item h="1" x="22"/>
        <item h="1" x="40"/>
        <item h="1" x="28"/>
        <item h="1" x="46"/>
        <item h="1" x="43"/>
        <item h="1" x="41"/>
        <item h="1" x="36"/>
        <item h="1" x="26"/>
        <item h="1" x="35"/>
        <item h="1" x="19"/>
        <item h="1" x="11"/>
        <item h="1" x="47"/>
        <item x="38"/>
        <item h="1" x="6"/>
        <item h="1" x="14"/>
        <item h="1" x="24"/>
        <item h="1" x="39"/>
        <item h="1" x="30"/>
        <item h="1" x="42"/>
        <item h="1" x="3"/>
        <item h="1" x="18"/>
        <item h="1" x="0"/>
        <item h="1" x="7"/>
        <item h="1" x="15"/>
        <item h="1" x="16"/>
        <item h="1" x="44"/>
        <item h="1" x="5"/>
        <item h="1" x="37"/>
        <item h="1" x="10"/>
        <item h="1" x="4"/>
        <item h="1" x="2"/>
        <item h="1" x="21"/>
        <item h="1" x="31"/>
        <item h="1" x="17"/>
        <item h="1" x="27"/>
        <item h="1" x="25"/>
        <item h="1" x="23"/>
        <item h="1" x="12"/>
        <item h="1" x="33"/>
        <item h="1" x="13"/>
        <item h="1" x="20"/>
        <item h="1" x="8"/>
        <item h="1" x="29"/>
        <item h="1" x="9"/>
        <item h="1" x="34"/>
        <item h="1" x="1"/>
        <item h="1" x="32"/>
        <item h="1" x="45"/>
        <item t="default"/>
      </items>
    </pivotField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>
      <items count="9">
        <item x="2"/>
        <item x="1"/>
        <item x="0"/>
        <item x="5"/>
        <item x="3"/>
        <item x="6"/>
        <item x="4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2">
    <i>
      <x v="12"/>
    </i>
    <i t="grand">
      <x/>
    </i>
  </rowItems>
  <colItems count="1">
    <i/>
  </colItems>
  <dataFields count="1">
    <dataField name="Сумма по полю Profit" fld="9" baseField="0" baseItem="0"/>
  </dataFields>
  <formats count="1">
    <format dxfId="32">
      <pivotArea collapsedLevelsAreSubtotals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AE1AB-1861-B640-A6D4-FC2157A73AAB}" name="Сводная таблица10" cacheId="38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compact="0" compactData="0" multipleFieldFilters="0" chartFormat="16" rowHeaderCaption="Region">
  <location ref="A117:B271" firstHeaderRow="1" firstDataRow="1" firstDataCol="1" rowPageCount="1" colPageCount="1"/>
  <pivotFields count="3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49">
        <item x="22"/>
        <item x="40"/>
        <item x="28"/>
        <item x="46"/>
        <item x="43"/>
        <item x="41"/>
        <item x="36"/>
        <item x="26"/>
        <item x="35"/>
        <item x="19"/>
        <item x="11"/>
        <item x="47"/>
        <item x="38"/>
        <item x="6"/>
        <item x="14"/>
        <item x="24"/>
        <item x="39"/>
        <item x="30"/>
        <item x="42"/>
        <item x="3"/>
        <item x="18"/>
        <item x="0"/>
        <item x="7"/>
        <item x="15"/>
        <item x="16"/>
        <item x="44"/>
        <item x="5"/>
        <item x="37"/>
        <item x="10"/>
        <item x="4"/>
        <item x="2"/>
        <item x="21"/>
        <item x="31"/>
        <item x="17"/>
        <item x="27"/>
        <item x="25"/>
        <item x="23"/>
        <item x="12"/>
        <item x="33"/>
        <item x="13"/>
        <item x="20"/>
        <item x="8"/>
        <item x="29"/>
        <item x="9"/>
        <item x="34"/>
        <item x="1"/>
        <item x="32"/>
        <item x="4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9">
        <item x="2"/>
        <item x="1"/>
        <item x="0"/>
        <item x="5"/>
        <item x="3"/>
        <item x="6"/>
        <item x="4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1264">
        <item x="884"/>
        <item x="486"/>
        <item x="424"/>
        <item x="491"/>
        <item x="144"/>
        <item x="621"/>
        <item x="68"/>
        <item x="427"/>
        <item x="181"/>
        <item x="15"/>
        <item x="1132"/>
        <item x="1"/>
        <item x="844"/>
        <item x="269"/>
        <item x="66"/>
        <item x="891"/>
        <item x="591"/>
        <item x="1230"/>
        <item x="942"/>
        <item x="332"/>
        <item x="484"/>
        <item x="1032"/>
        <item x="1055"/>
        <item x="816"/>
        <item x="524"/>
        <item x="237"/>
        <item x="520"/>
        <item x="1082"/>
        <item x="882"/>
        <item x="779"/>
        <item x="215"/>
        <item x="556"/>
        <item x="305"/>
        <item x="912"/>
        <item x="1126"/>
        <item x="467"/>
        <item x="69"/>
        <item x="212"/>
        <item x="707"/>
        <item x="355"/>
        <item x="1081"/>
        <item x="103"/>
        <item x="602"/>
        <item x="1021"/>
        <item x="1232"/>
        <item x="893"/>
        <item x="662"/>
        <item x="712"/>
        <item x="1172"/>
        <item x="94"/>
        <item x="968"/>
        <item x="892"/>
        <item x="858"/>
        <item x="41"/>
        <item x="1236"/>
        <item x="709"/>
        <item x="1018"/>
        <item x="595"/>
        <item x="588"/>
        <item x="700"/>
        <item x="648"/>
        <item x="469"/>
        <item x="625"/>
        <item x="64"/>
        <item x="206"/>
        <item x="304"/>
        <item x="356"/>
        <item x="266"/>
        <item x="757"/>
        <item x="494"/>
        <item x="354"/>
        <item x="1003"/>
        <item x="315"/>
        <item x="542"/>
        <item x="924"/>
        <item x="525"/>
        <item x="512"/>
        <item x="601"/>
        <item x="163"/>
        <item x="916"/>
        <item x="177"/>
        <item x="652"/>
        <item x="643"/>
        <item x="967"/>
        <item x="173"/>
        <item x="312"/>
        <item x="733"/>
        <item x="576"/>
        <item x="828"/>
        <item x="140"/>
        <item x="32"/>
        <item x="180"/>
        <item x="55"/>
        <item x="702"/>
        <item x="159"/>
        <item x="313"/>
        <item x="292"/>
        <item x="1211"/>
        <item x="714"/>
        <item x="1239"/>
        <item x="954"/>
        <item x="834"/>
        <item x="1113"/>
        <item x="253"/>
        <item x="558"/>
        <item x="415"/>
        <item x="1259"/>
        <item x="980"/>
        <item x="1253"/>
        <item x="1111"/>
        <item x="853"/>
        <item x="1107"/>
        <item x="1122"/>
        <item x="79"/>
        <item x="428"/>
        <item x="339"/>
        <item x="1093"/>
        <item x="309"/>
        <item x="528"/>
        <item x="277"/>
        <item x="949"/>
        <item x="297"/>
        <item x="1004"/>
        <item x="234"/>
        <item x="804"/>
        <item x="990"/>
        <item x="1008"/>
        <item x="935"/>
        <item x="1011"/>
        <item x="1153"/>
        <item x="1171"/>
        <item x="810"/>
        <item x="646"/>
        <item x="1185"/>
        <item x="49"/>
        <item x="515"/>
        <item x="1191"/>
        <item x="258"/>
        <item x="659"/>
        <item x="1102"/>
        <item x="616"/>
        <item x="11"/>
        <item x="1208"/>
        <item x="947"/>
        <item x="1257"/>
        <item x="1086"/>
        <item x="622"/>
        <item x="1118"/>
        <item x="1027"/>
        <item x="639"/>
        <item x="1177"/>
        <item x="137"/>
        <item x="739"/>
        <item x="660"/>
        <item x="943"/>
        <item x="897"/>
        <item x="6"/>
        <item x="53"/>
        <item x="267"/>
        <item x="517"/>
        <item x="797"/>
        <item x="260"/>
        <item x="1088"/>
        <item x="1251"/>
        <item x="284"/>
        <item x="364"/>
        <item x="885"/>
        <item x="242"/>
        <item x="420"/>
        <item x="822"/>
        <item x="414"/>
        <item x="917"/>
        <item x="112"/>
        <item x="184"/>
        <item x="343"/>
        <item x="400"/>
        <item x="698"/>
        <item x="245"/>
        <item x="1237"/>
        <item x="1020"/>
        <item x="397"/>
        <item x="98"/>
        <item x="42"/>
        <item x="367"/>
        <item x="360"/>
        <item x="383"/>
        <item x="281"/>
        <item x="743"/>
        <item x="409"/>
        <item x="349"/>
        <item x="1045"/>
        <item x="993"/>
        <item x="878"/>
        <item x="84"/>
        <item x="210"/>
        <item x="999"/>
        <item x="336"/>
        <item x="45"/>
        <item x="1165"/>
        <item x="746"/>
        <item x="1209"/>
        <item x="20"/>
        <item x="605"/>
        <item x="52"/>
        <item x="35"/>
        <item x="873"/>
        <item x="612"/>
        <item x="518"/>
        <item x="1094"/>
        <item x="290"/>
        <item x="986"/>
        <item x="829"/>
        <item x="1060"/>
        <item x="1071"/>
        <item x="901"/>
        <item x="1233"/>
        <item x="426"/>
        <item x="794"/>
        <item x="764"/>
        <item x="498"/>
        <item x="766"/>
        <item x="337"/>
        <item x="992"/>
        <item x="682"/>
        <item x="1134"/>
        <item x="848"/>
        <item x="964"/>
        <item x="246"/>
        <item x="326"/>
        <item x="651"/>
        <item x="1197"/>
        <item x="971"/>
        <item x="841"/>
        <item x="1042"/>
        <item x="230"/>
        <item x="1017"/>
        <item x="1095"/>
        <item x="574"/>
        <item x="351"/>
        <item x="527"/>
        <item x="732"/>
        <item x="507"/>
        <item x="661"/>
        <item x="1000"/>
        <item x="859"/>
        <item x="225"/>
        <item x="951"/>
        <item x="530"/>
        <item x="323"/>
        <item x="998"/>
        <item x="455"/>
        <item x="863"/>
        <item x="667"/>
        <item x="593"/>
        <item x="1244"/>
        <item x="767"/>
        <item x="51"/>
        <item x="644"/>
        <item x="307"/>
        <item x="89"/>
        <item x="726"/>
        <item x="384"/>
        <item x="620"/>
        <item x="99"/>
        <item x="102"/>
        <item x="34"/>
        <item x="476"/>
        <item x="240"/>
        <item x="837"/>
        <item x="1015"/>
        <item x="842"/>
        <item x="1059"/>
        <item x="1131"/>
        <item x="233"/>
        <item x="978"/>
        <item x="1024"/>
        <item x="904"/>
        <item x="854"/>
        <item x="672"/>
        <item x="344"/>
        <item x="372"/>
        <item x="869"/>
        <item x="311"/>
        <item x="862"/>
        <item x="487"/>
        <item x="60"/>
        <item x="416"/>
        <item x="1162"/>
        <item x="805"/>
        <item x="1076"/>
        <item x="146"/>
        <item x="838"/>
        <item x="933"/>
        <item x="516"/>
        <item x="453"/>
        <item x="861"/>
        <item x="564"/>
        <item x="846"/>
        <item x="1035"/>
        <item x="353"/>
        <item x="654"/>
        <item x="763"/>
        <item x="778"/>
        <item x="85"/>
        <item x="207"/>
        <item x="65"/>
        <item x="550"/>
        <item x="1254"/>
        <item x="335"/>
        <item x="1007"/>
        <item x="105"/>
        <item x="1187"/>
        <item x="497"/>
        <item x="480"/>
        <item x="991"/>
        <item x="334"/>
        <item x="913"/>
        <item x="221"/>
        <item x="168"/>
        <item x="473"/>
        <item x="286"/>
        <item x="984"/>
        <item x="26"/>
        <item x="362"/>
        <item x="538"/>
        <item x="285"/>
        <item x="2"/>
        <item x="693"/>
        <item x="798"/>
        <item x="73"/>
        <item x="787"/>
        <item x="490"/>
        <item x="554"/>
        <item x="193"/>
        <item x="1104"/>
        <item x="481"/>
        <item x="1079"/>
        <item x="905"/>
        <item x="871"/>
        <item x="28"/>
        <item x="500"/>
        <item x="817"/>
        <item x="457"/>
        <item x="143"/>
        <item x="833"/>
        <item x="1116"/>
        <item x="40"/>
        <item x="1141"/>
        <item x="407"/>
        <item x="1207"/>
        <item x="63"/>
        <item x="1057"/>
        <item x="1080"/>
        <item x="950"/>
        <item x="194"/>
        <item x="519"/>
        <item x="1182"/>
        <item x="505"/>
        <item x="302"/>
        <item x="132"/>
        <item x="1121"/>
        <item x="840"/>
        <item x="265"/>
        <item x="502"/>
        <item x="321"/>
        <item x="722"/>
        <item x="1112"/>
        <item x="1246"/>
        <item x="807"/>
        <item x="1026"/>
        <item x="1119"/>
        <item x="97"/>
        <item x="452"/>
        <item x="492"/>
        <item x="845"/>
        <item x="54"/>
        <item x="462"/>
        <item x="803"/>
        <item x="236"/>
        <item x="1234"/>
        <item x="338"/>
        <item x="611"/>
        <item x="678"/>
        <item x="553"/>
        <item x="176"/>
        <item x="931"/>
        <item x="1167"/>
        <item x="953"/>
        <item x="1083"/>
        <item x="956"/>
        <item x="346"/>
        <item x="825"/>
        <item x="811"/>
        <item x="12"/>
        <item x="376"/>
        <item x="160"/>
        <item x="327"/>
        <item x="812"/>
        <item x="579"/>
        <item x="1176"/>
        <item x="910"/>
        <item x="627"/>
        <item x="1193"/>
        <item x="1064"/>
        <item x="0"/>
        <item x="699"/>
        <item x="298"/>
        <item x="433"/>
        <item x="1014"/>
        <item x="147"/>
        <item x="529"/>
        <item x="864"/>
        <item x="903"/>
        <item x="448"/>
        <item x="50"/>
        <item x="1175"/>
        <item x="396"/>
        <item x="1173"/>
        <item x="581"/>
        <item x="402"/>
        <item x="158"/>
        <item x="131"/>
        <item x="331"/>
        <item x="959"/>
        <item x="587"/>
        <item x="596"/>
        <item x="342"/>
        <item x="374"/>
        <item x="466"/>
        <item x="1150"/>
        <item x="514"/>
        <item x="1180"/>
        <item x="1226"/>
        <item x="981"/>
        <item x="386"/>
        <item x="560"/>
        <item x="760"/>
        <item x="109"/>
        <item x="1148"/>
        <item x="1092"/>
        <item x="945"/>
        <item x="104"/>
        <item x="1250"/>
        <item x="341"/>
        <item x="1128"/>
        <item x="940"/>
        <item x="835"/>
        <item x="380"/>
        <item x="200"/>
        <item x="1217"/>
        <item x="1196"/>
        <item x="241"/>
        <item x="1184"/>
        <item x="280"/>
        <item x="283"/>
        <item x="638"/>
        <item x="772"/>
        <item x="537"/>
        <item x="389"/>
        <item x="1219"/>
        <item x="347"/>
        <item x="594"/>
        <item x="823"/>
        <item x="216"/>
        <item x="392"/>
        <item x="511"/>
        <item x="485"/>
        <item x="744"/>
        <item x="199"/>
        <item x="592"/>
        <item x="161"/>
        <item x="599"/>
        <item x="1212"/>
        <item x="391"/>
        <item x="1190"/>
        <item x="965"/>
        <item x="124"/>
        <item x="972"/>
        <item x="106"/>
        <item x="314"/>
        <item x="874"/>
        <item x="955"/>
        <item x="251"/>
        <item x="1168"/>
        <item x="1241"/>
        <item x="710"/>
        <item x="358"/>
        <item x="1174"/>
        <item x="243"/>
        <item x="164"/>
        <item x="813"/>
        <item x="606"/>
        <item x="95"/>
        <item x="377"/>
        <item x="477"/>
        <item x="219"/>
        <item x="254"/>
        <item x="405"/>
        <item x="422"/>
        <item x="533"/>
        <item x="1012"/>
        <item x="401"/>
        <item x="1178"/>
        <item x="716"/>
        <item x="268"/>
        <item x="340"/>
        <item x="771"/>
        <item x="695"/>
        <item x="914"/>
        <item x="33"/>
        <item x="926"/>
        <item x="715"/>
        <item x="5"/>
        <item x="18"/>
        <item x="169"/>
        <item x="1142"/>
        <item x="461"/>
        <item x="1146"/>
        <item x="408"/>
        <item x="868"/>
        <item x="227"/>
        <item x="317"/>
        <item x="979"/>
        <item x="508"/>
        <item x="886"/>
        <item x="509"/>
        <item x="121"/>
        <item x="1140"/>
        <item x="1214"/>
        <item x="22"/>
        <item x="318"/>
        <item x="1213"/>
        <item x="1030"/>
        <item x="689"/>
        <item x="122"/>
        <item x="172"/>
        <item x="182"/>
        <item x="907"/>
        <item x="202"/>
        <item x="681"/>
        <item x="100"/>
        <item x="352"/>
        <item x="669"/>
        <item x="637"/>
        <item x="920"/>
        <item x="214"/>
        <item x="547"/>
        <item x="1010"/>
        <item x="398"/>
        <item x="944"/>
        <item x="249"/>
        <item x="649"/>
        <item x="333"/>
        <item x="966"/>
        <item x="306"/>
        <item x="114"/>
        <item x="706"/>
        <item x="155"/>
        <item x="301"/>
        <item x="721"/>
        <item x="70"/>
        <item x="1103"/>
        <item x="316"/>
        <item x="668"/>
        <item x="1031"/>
        <item x="170"/>
        <item x="38"/>
        <item x="575"/>
        <item x="1133"/>
        <item x="782"/>
        <item x="824"/>
        <item x="1130"/>
        <item x="545"/>
        <item x="61"/>
        <item x="671"/>
        <item x="101"/>
        <item x="906"/>
        <item x="719"/>
        <item x="235"/>
        <item x="1109"/>
        <item x="1220"/>
        <item x="776"/>
        <item x="735"/>
        <item x="676"/>
        <item x="1072"/>
        <item x="780"/>
        <item x="749"/>
        <item x="704"/>
        <item x="357"/>
        <item x="186"/>
        <item x="792"/>
        <item x="57"/>
        <item x="116"/>
        <item x="1247"/>
        <item x="464"/>
        <item x="4"/>
        <item x="793"/>
        <item x="531"/>
        <item x="876"/>
        <item x="459"/>
        <item x="209"/>
        <item x="544"/>
        <item x="724"/>
        <item x="16"/>
        <item x="995"/>
        <item x="250"/>
        <item x="81"/>
        <item x="145"/>
        <item x="454"/>
        <item x="1069"/>
        <item x="300"/>
        <item x="655"/>
        <item x="1152"/>
        <item x="130"/>
        <item x="36"/>
        <item x="108"/>
        <item x="465"/>
        <item x="523"/>
        <item x="768"/>
        <item x="197"/>
        <item x="740"/>
        <item x="198"/>
        <item x="899"/>
        <item x="1110"/>
        <item x="1051"/>
        <item x="255"/>
        <item x="322"/>
        <item x="1225"/>
        <item x="370"/>
        <item x="1002"/>
        <item x="1009"/>
        <item x="43"/>
        <item x="987"/>
        <item x="788"/>
        <item x="866"/>
        <item x="445"/>
        <item x="499"/>
        <item x="902"/>
        <item x="617"/>
        <item x="618"/>
        <item x="178"/>
        <item x="852"/>
        <item x="308"/>
        <item x="786"/>
        <item x="261"/>
        <item x="629"/>
        <item x="989"/>
        <item x="417"/>
        <item x="421"/>
        <item x="1052"/>
        <item x="738"/>
        <item x="1199"/>
        <item x="211"/>
        <item x="703"/>
        <item x="1068"/>
        <item x="679"/>
        <item x="274"/>
        <item x="470"/>
        <item x="1164"/>
        <item x="880"/>
        <item x="1147"/>
        <item x="843"/>
        <item x="983"/>
        <item x="590"/>
        <item x="1097"/>
        <item x="187"/>
        <item x="830"/>
        <item x="37"/>
        <item x="1123"/>
        <item x="870"/>
        <item x="1025"/>
        <item x="1245"/>
        <item x="614"/>
        <item x="711"/>
        <item x="213"/>
        <item x="1090"/>
        <item x="238"/>
        <item x="692"/>
        <item x="570"/>
        <item x="29"/>
        <item x="289"/>
        <item x="1143"/>
        <item x="827"/>
        <item x="278"/>
        <item x="919"/>
        <item x="271"/>
        <item x="753"/>
        <item x="573"/>
        <item x="1070"/>
        <item x="483"/>
        <item x="568"/>
        <item x="559"/>
        <item x="1028"/>
        <item x="1077"/>
        <item x="796"/>
        <item x="677"/>
        <item x="635"/>
        <item x="1201"/>
        <item x="1228"/>
        <item x="691"/>
        <item x="1155"/>
        <item x="1163"/>
        <item x="264"/>
        <item x="125"/>
        <item x="561"/>
        <item x="633"/>
        <item x="413"/>
        <item x="640"/>
        <item x="482"/>
        <item x="928"/>
        <item x="818"/>
        <item x="583"/>
        <item x="609"/>
        <item x="1013"/>
        <item x="329"/>
        <item x="359"/>
        <item x="17"/>
        <item x="887"/>
        <item x="690"/>
        <item x="974"/>
        <item x="750"/>
        <item x="1235"/>
        <item x="196"/>
        <item x="603"/>
        <item x="475"/>
        <item x="86"/>
        <item x="90"/>
        <item x="257"/>
        <item x="404"/>
        <item x="890"/>
        <item x="495"/>
        <item x="1255"/>
        <item x="534"/>
        <item x="630"/>
        <item x="1106"/>
        <item x="1205"/>
        <item x="252"/>
        <item x="76"/>
        <item x="922"/>
        <item x="425"/>
        <item x="19"/>
        <item x="442"/>
        <item x="713"/>
        <item x="441"/>
        <item x="411"/>
        <item x="1223"/>
        <item x="418"/>
        <item x="1136"/>
        <item x="708"/>
        <item x="727"/>
        <item x="994"/>
        <item x="378"/>
        <item x="23"/>
        <item x="1091"/>
        <item x="663"/>
        <item x="814"/>
        <item x="941"/>
        <item x="224"/>
        <item x="1049"/>
        <item x="47"/>
        <item x="615"/>
        <item x="395"/>
        <item x="138"/>
        <item x="375"/>
        <item x="136"/>
        <item x="1203"/>
        <item x="205"/>
        <item x="217"/>
        <item x="851"/>
        <item x="295"/>
        <item x="432"/>
        <item x="154"/>
        <item x="730"/>
        <item x="701"/>
        <item x="87"/>
        <item x="1120"/>
        <item x="670"/>
        <item x="801"/>
        <item x="634"/>
        <item x="139"/>
        <item x="806"/>
        <item x="324"/>
        <item x="790"/>
        <item x="1222"/>
        <item x="769"/>
        <item x="1041"/>
        <item x="263"/>
        <item x="288"/>
        <item x="641"/>
        <item x="582"/>
        <item x="365"/>
        <item x="785"/>
        <item x="819"/>
        <item x="113"/>
        <item x="1058"/>
        <item x="91"/>
        <item x="128"/>
        <item x="1188"/>
        <item x="1210"/>
        <item x="895"/>
        <item x="24"/>
        <item x="406"/>
        <item x="431"/>
        <item x="900"/>
        <item x="948"/>
        <item x="808"/>
        <item x="429"/>
        <item x="361"/>
        <item x="705"/>
        <item x="685"/>
        <item x="820"/>
        <item x="328"/>
        <item x="759"/>
        <item x="1260"/>
        <item x="567"/>
        <item x="665"/>
        <item x="774"/>
        <item x="1098"/>
        <item x="551"/>
        <item x="742"/>
        <item x="133"/>
        <item x="126"/>
        <item x="1258"/>
        <item x="839"/>
        <item x="1158"/>
        <item x="631"/>
        <item x="934"/>
        <item x="894"/>
        <item x="566"/>
        <item x="758"/>
        <item x="156"/>
        <item x="741"/>
        <item x="580"/>
        <item x="1019"/>
        <item x="557"/>
        <item x="541"/>
        <item x="503"/>
        <item x="937"/>
        <item x="821"/>
        <item x="1129"/>
        <item x="831"/>
        <item x="802"/>
        <item x="330"/>
        <item x="153"/>
        <item x="696"/>
        <item x="960"/>
        <item x="1248"/>
        <item x="577"/>
        <item x="755"/>
        <item x="363"/>
        <item x="555"/>
        <item x="908"/>
        <item x="127"/>
        <item x="1144"/>
        <item x="589"/>
        <item x="666"/>
        <item x="889"/>
        <item x="279"/>
        <item x="188"/>
        <item x="388"/>
        <item x="800"/>
        <item x="379"/>
        <item x="56"/>
        <item x="963"/>
        <item x="270"/>
        <item x="929"/>
        <item x="21"/>
        <item x="232"/>
        <item x="1036"/>
        <item x="175"/>
        <item x="107"/>
        <item x="1135"/>
        <item x="860"/>
        <item x="272"/>
        <item x="1046"/>
        <item x="1114"/>
        <item x="857"/>
        <item x="148"/>
        <item x="1054"/>
        <item x="604"/>
        <item x="350"/>
        <item x="1169"/>
        <item x="479"/>
        <item x="976"/>
        <item x="394"/>
        <item x="92"/>
        <item x="569"/>
        <item x="1048"/>
        <item x="1157"/>
        <item x="867"/>
        <item x="291"/>
        <item x="1249"/>
        <item x="3"/>
        <item x="493"/>
        <item x="166"/>
        <item x="969"/>
        <item x="201"/>
        <item x="419"/>
        <item x="179"/>
        <item x="909"/>
        <item x="657"/>
        <item x="248"/>
        <item x="1099"/>
        <item x="78"/>
        <item x="456"/>
        <item x="832"/>
        <item x="185"/>
        <item x="1084"/>
        <item x="1043"/>
        <item x="610"/>
        <item x="1179"/>
        <item x="1050"/>
        <item x="423"/>
        <item x="748"/>
        <item x="244"/>
        <item x="67"/>
        <item x="918"/>
        <item x="8"/>
        <item x="472"/>
        <item x="410"/>
        <item x="1029"/>
        <item x="7"/>
        <item x="1005"/>
        <item x="195"/>
        <item x="1117"/>
        <item x="608"/>
        <item x="571"/>
        <item x="1221"/>
        <item x="1145"/>
        <item x="463"/>
        <item x="25"/>
        <item x="174"/>
        <item x="1206"/>
        <item x="1189"/>
        <item x="1262"/>
        <item x="369"/>
        <item x="888"/>
        <item x="96"/>
        <item x="1181"/>
        <item x="762"/>
        <item x="1053"/>
        <item x="123"/>
        <item x="222"/>
        <item x="228"/>
        <item x="1096"/>
        <item x="628"/>
        <item x="872"/>
        <item x="31"/>
        <item x="927"/>
        <item x="489"/>
        <item x="1016"/>
        <item x="546"/>
        <item x="619"/>
        <item x="562"/>
        <item x="982"/>
        <item x="1105"/>
        <item x="458"/>
        <item x="110"/>
        <item x="535"/>
        <item x="510"/>
        <item x="789"/>
        <item x="1022"/>
        <item x="1127"/>
        <item x="1204"/>
        <item x="532"/>
        <item x="273"/>
        <item x="1240"/>
        <item x="865"/>
        <item x="345"/>
        <item x="1198"/>
        <item x="382"/>
        <item x="513"/>
        <item x="718"/>
        <item x="471"/>
        <item x="1215"/>
        <item x="809"/>
        <item x="1160"/>
        <item x="171"/>
        <item x="115"/>
        <item x="1125"/>
        <item x="192"/>
        <item x="1231"/>
        <item x="826"/>
        <item x="430"/>
        <item x="946"/>
        <item x="1183"/>
        <item x="855"/>
        <item x="165"/>
        <item x="373"/>
        <item x="686"/>
        <item x="970"/>
        <item x="294"/>
        <item x="371"/>
        <item x="1061"/>
        <item x="725"/>
        <item x="761"/>
        <item x="958"/>
        <item x="675"/>
        <item x="204"/>
        <item x="366"/>
        <item x="736"/>
        <item x="522"/>
        <item x="1006"/>
        <item x="393"/>
        <item x="474"/>
        <item x="1161"/>
        <item x="262"/>
        <item x="623"/>
        <item x="88"/>
        <item x="74"/>
        <item x="658"/>
        <item x="626"/>
        <item x="440"/>
        <item x="1154"/>
        <item x="783"/>
        <item x="815"/>
        <item x="247"/>
        <item x="162"/>
        <item x="664"/>
        <item x="1200"/>
        <item x="1242"/>
        <item x="287"/>
        <item x="303"/>
        <item x="1040"/>
        <item x="683"/>
        <item x="598"/>
        <item x="636"/>
        <item x="613"/>
        <item x="932"/>
        <item x="142"/>
        <item x="368"/>
        <item x="539"/>
        <item x="521"/>
        <item x="149"/>
        <item x="936"/>
        <item x="585"/>
        <item x="781"/>
        <item x="879"/>
        <item x="403"/>
        <item x="850"/>
        <item x="319"/>
        <item x="1066"/>
        <item x="189"/>
        <item x="996"/>
        <item x="62"/>
        <item x="220"/>
        <item x="134"/>
        <item x="1075"/>
        <item x="506"/>
        <item x="563"/>
        <item x="348"/>
        <item x="259"/>
        <item x="1186"/>
        <item x="27"/>
        <item x="624"/>
        <item x="915"/>
        <item x="540"/>
        <item x="275"/>
        <item x="293"/>
        <item x="111"/>
        <item x="436"/>
        <item x="925"/>
        <item x="80"/>
        <item x="1047"/>
        <item x="856"/>
        <item x="791"/>
        <item x="765"/>
        <item x="450"/>
        <item x="44"/>
        <item x="930"/>
        <item x="1044"/>
        <item x="548"/>
        <item x="697"/>
        <item x="975"/>
        <item x="1074"/>
        <item x="1085"/>
        <item x="1023"/>
        <item x="745"/>
        <item x="152"/>
        <item x="1039"/>
        <item x="632"/>
        <item x="600"/>
        <item x="881"/>
        <item x="190"/>
        <item x="14"/>
        <item x="717"/>
        <item x="988"/>
        <item x="1252"/>
        <item x="1034"/>
        <item x="48"/>
        <item x="218"/>
        <item x="1137"/>
        <item x="451"/>
        <item x="1195"/>
        <item x="1087"/>
        <item x="1256"/>
        <item x="1038"/>
        <item x="747"/>
        <item x="694"/>
        <item x="1101"/>
        <item x="1227"/>
        <item x="167"/>
        <item x="847"/>
        <item x="799"/>
        <item x="412"/>
        <item x="256"/>
        <item x="737"/>
        <item x="223"/>
        <item x="478"/>
        <item x="734"/>
        <item x="1001"/>
        <item x="1065"/>
        <item x="325"/>
        <item x="30"/>
        <item x="536"/>
        <item x="770"/>
        <item x="13"/>
        <item x="282"/>
        <item x="1216"/>
        <item x="239"/>
        <item x="650"/>
        <item x="875"/>
        <item x="310"/>
        <item x="460"/>
        <item x="447"/>
        <item x="1149"/>
        <item x="1224"/>
        <item x="1138"/>
        <item x="578"/>
        <item x="795"/>
        <item x="444"/>
        <item x="135"/>
        <item x="898"/>
        <item x="276"/>
        <item x="973"/>
        <item x="849"/>
        <item x="565"/>
        <item x="468"/>
        <item x="119"/>
        <item x="1063"/>
        <item x="46"/>
        <item x="296"/>
        <item x="1243"/>
        <item x="399"/>
        <item x="82"/>
        <item x="1056"/>
        <item x="83"/>
        <item x="203"/>
        <item x="129"/>
        <item x="731"/>
        <item x="1037"/>
        <item x="756"/>
        <item x="231"/>
        <item x="526"/>
        <item x="572"/>
        <item x="1139"/>
        <item x="191"/>
        <item x="723"/>
        <item x="75"/>
        <item x="390"/>
        <item x="118"/>
        <item x="752"/>
        <item x="938"/>
        <item x="985"/>
        <item x="784"/>
        <item x="1033"/>
        <item x="961"/>
        <item x="642"/>
        <item x="437"/>
        <item x="877"/>
        <item x="674"/>
        <item x="151"/>
        <item x="1202"/>
        <item x="777"/>
        <item x="438"/>
        <item x="208"/>
        <item x="773"/>
        <item x="183"/>
        <item x="120"/>
        <item x="923"/>
        <item x="883"/>
        <item x="387"/>
        <item x="71"/>
        <item x="728"/>
        <item x="656"/>
        <item x="439"/>
        <item x="381"/>
        <item x="229"/>
        <item x="504"/>
        <item x="687"/>
        <item x="939"/>
        <item x="751"/>
        <item x="1192"/>
        <item x="688"/>
        <item x="1089"/>
        <item x="921"/>
        <item x="501"/>
        <item x="1194"/>
        <item x="962"/>
        <item x="586"/>
        <item x="1078"/>
        <item x="647"/>
        <item x="1115"/>
        <item x="1062"/>
        <item x="58"/>
        <item x="1151"/>
        <item x="385"/>
        <item x="157"/>
        <item x="1238"/>
        <item x="775"/>
        <item x="754"/>
        <item x="543"/>
        <item x="320"/>
        <item x="443"/>
        <item x="720"/>
        <item x="9"/>
        <item x="10"/>
        <item x="1124"/>
        <item x="150"/>
        <item x="584"/>
        <item x="911"/>
        <item x="434"/>
        <item x="729"/>
        <item x="1218"/>
        <item x="549"/>
        <item x="653"/>
        <item x="1073"/>
        <item x="449"/>
        <item x="597"/>
        <item x="552"/>
        <item x="488"/>
        <item x="1100"/>
        <item x="680"/>
        <item x="1170"/>
        <item x="1067"/>
        <item x="141"/>
        <item x="1108"/>
        <item x="684"/>
        <item x="1156"/>
        <item x="1261"/>
        <item x="226"/>
        <item x="673"/>
        <item x="836"/>
        <item x="59"/>
        <item x="72"/>
        <item x="1166"/>
        <item x="952"/>
        <item x="77"/>
        <item x="496"/>
        <item x="957"/>
        <item x="1229"/>
        <item x="117"/>
        <item x="607"/>
        <item x="645"/>
        <item x="977"/>
        <item x="896"/>
        <item x="1159"/>
        <item x="299"/>
        <item x="93"/>
        <item x="39"/>
        <item x="997"/>
        <item x="446"/>
        <item x="43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x="1"/>
        <item x="2"/>
        <item x="3"/>
        <item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8"/>
  </rowFields>
  <rowItems count="154">
    <i>
      <x v="846"/>
    </i>
    <i>
      <x v="305"/>
    </i>
    <i>
      <x v="826"/>
    </i>
    <i>
      <x v="631"/>
    </i>
    <i>
      <x v="295"/>
    </i>
    <i>
      <x v="821"/>
    </i>
    <i>
      <x v="851"/>
    </i>
    <i>
      <x v="322"/>
    </i>
    <i>
      <x v="304"/>
    </i>
    <i>
      <x v="942"/>
    </i>
    <i>
      <x v="558"/>
    </i>
    <i>
      <x v="599"/>
    </i>
    <i>
      <x v="611"/>
    </i>
    <i>
      <x v="562"/>
    </i>
    <i>
      <x v="1109"/>
    </i>
    <i>
      <x v="634"/>
    </i>
    <i>
      <x v="420"/>
    </i>
    <i>
      <x v="109"/>
    </i>
    <i>
      <x v="1056"/>
    </i>
    <i>
      <x v="672"/>
    </i>
    <i>
      <x v="736"/>
    </i>
    <i>
      <x v="668"/>
    </i>
    <i>
      <x v="726"/>
    </i>
    <i>
      <x v="771"/>
    </i>
    <i>
      <x v="1153"/>
    </i>
    <i>
      <x v="221"/>
    </i>
    <i>
      <x v="154"/>
    </i>
    <i>
      <x v="470"/>
    </i>
    <i>
      <x v="968"/>
    </i>
    <i>
      <x v="360"/>
    </i>
    <i>
      <x v="1198"/>
    </i>
    <i>
      <x v="437"/>
    </i>
    <i>
      <x v="874"/>
    </i>
    <i>
      <x v="809"/>
    </i>
    <i>
      <x v="806"/>
    </i>
    <i>
      <x v="1236"/>
    </i>
    <i>
      <x v="1016"/>
    </i>
    <i>
      <x v="1242"/>
    </i>
    <i>
      <x v="811"/>
    </i>
    <i>
      <x v="121"/>
    </i>
    <i>
      <x v="1115"/>
    </i>
    <i>
      <x v="22"/>
    </i>
    <i>
      <x v="101"/>
    </i>
    <i>
      <x v="1248"/>
    </i>
    <i>
      <x v="684"/>
    </i>
    <i>
      <x v="81"/>
    </i>
    <i>
      <x v="1229"/>
    </i>
    <i>
      <x v="155"/>
    </i>
    <i>
      <x v="1195"/>
    </i>
    <i>
      <x v="994"/>
    </i>
    <i>
      <x v="245"/>
    </i>
    <i>
      <x v="1240"/>
    </i>
    <i>
      <x v="747"/>
    </i>
    <i>
      <x v="573"/>
    </i>
    <i>
      <x v="1045"/>
    </i>
    <i>
      <x v="1247"/>
    </i>
    <i>
      <x v="690"/>
    </i>
    <i>
      <x v="510"/>
    </i>
    <i>
      <x v="1171"/>
    </i>
    <i>
      <x v="474"/>
    </i>
    <i>
      <x v="1054"/>
    </i>
    <i>
      <x v="1176"/>
    </i>
    <i>
      <x v="124"/>
    </i>
    <i>
      <x v="1220"/>
    </i>
    <i>
      <x v="1213"/>
    </i>
    <i>
      <x v="645"/>
    </i>
    <i>
      <x v="490"/>
    </i>
    <i>
      <x v="263"/>
    </i>
    <i>
      <x v="873"/>
    </i>
    <i>
      <x v="268"/>
    </i>
    <i>
      <x v="119"/>
    </i>
    <i>
      <x v="87"/>
    </i>
    <i>
      <x v="145"/>
    </i>
    <i>
      <x v="381"/>
    </i>
    <i>
      <x v="1170"/>
    </i>
    <i>
      <x v="907"/>
    </i>
    <i>
      <x v="348"/>
    </i>
    <i>
      <x v="958"/>
    </i>
    <i>
      <x v="951"/>
    </i>
    <i>
      <x v="808"/>
    </i>
    <i>
      <x v="177"/>
    </i>
    <i>
      <x v="276"/>
    </i>
    <i>
      <x v="220"/>
    </i>
    <i>
      <x v="928"/>
    </i>
    <i>
      <x v="665"/>
    </i>
    <i>
      <x v="1132"/>
    </i>
    <i>
      <x v="344"/>
    </i>
    <i>
      <x v="266"/>
    </i>
    <i>
      <x v="385"/>
    </i>
    <i>
      <x v="708"/>
    </i>
    <i>
      <x v="395"/>
    </i>
    <i>
      <x v="400"/>
    </i>
    <i>
      <x v="189"/>
    </i>
    <i>
      <x v="1185"/>
    </i>
    <i>
      <x v="214"/>
    </i>
    <i>
      <x v="1135"/>
    </i>
    <i>
      <x v="889"/>
    </i>
    <i>
      <x v="352"/>
    </i>
    <i>
      <x v="764"/>
    </i>
    <i>
      <x v="496"/>
    </i>
    <i>
      <x v="614"/>
    </i>
    <i>
      <x v="191"/>
    </i>
    <i>
      <x v="1102"/>
    </i>
    <i>
      <x v="326"/>
    </i>
    <i>
      <x v="349"/>
    </i>
    <i>
      <x v="716"/>
    </i>
    <i>
      <x v="929"/>
    </i>
    <i>
      <x v="170"/>
    </i>
    <i>
      <x v="16"/>
    </i>
    <i>
      <x v="458"/>
    </i>
    <i>
      <x v="850"/>
    </i>
    <i>
      <x v="953"/>
    </i>
    <i>
      <x v="773"/>
    </i>
    <i>
      <x v="373"/>
    </i>
    <i>
      <x v="196"/>
    </i>
    <i>
      <x v="879"/>
    </i>
    <i>
      <x v="195"/>
    </i>
    <i>
      <x v="1079"/>
    </i>
    <i>
      <x v="669"/>
    </i>
    <i>
      <x v="756"/>
    </i>
    <i>
      <x v="375"/>
    </i>
    <i>
      <x v="252"/>
    </i>
    <i>
      <x v="467"/>
    </i>
    <i>
      <x v="277"/>
    </i>
    <i>
      <x v="152"/>
    </i>
    <i>
      <x v="1148"/>
    </i>
    <i>
      <x v="1184"/>
    </i>
    <i>
      <x v="376"/>
    </i>
    <i>
      <x v="718"/>
    </i>
    <i>
      <x v="495"/>
    </i>
    <i>
      <x v="43"/>
    </i>
    <i>
      <x v="1166"/>
    </i>
    <i>
      <x v="21"/>
    </i>
    <i>
      <x v="852"/>
    </i>
    <i>
      <x v="759"/>
    </i>
    <i>
      <x v="1180"/>
    </i>
    <i>
      <x v="337"/>
    </i>
    <i>
      <x v="331"/>
    </i>
    <i>
      <x v="27"/>
    </i>
    <i>
      <x v="86"/>
    </i>
    <i>
      <x v="149"/>
    </i>
    <i>
      <x v="780"/>
    </i>
    <i>
      <x v="732"/>
    </i>
    <i>
      <x v="319"/>
    </i>
    <i>
      <x v="1050"/>
    </i>
    <i>
      <x v="1013"/>
    </i>
    <i>
      <x v="589"/>
    </i>
    <i>
      <x v="657"/>
    </i>
    <i>
      <x v="703"/>
    </i>
    <i>
      <x v="566"/>
    </i>
    <i>
      <x v="906"/>
    </i>
    <i>
      <x v="585"/>
    </i>
    <i>
      <x v="855"/>
    </i>
    <i>
      <x v="312"/>
    </i>
  </rowItems>
  <colItems count="1">
    <i/>
  </colItems>
  <pageFields count="1">
    <pageField fld="3" item="12" hier="-1"/>
  </pageFields>
  <dataFields count="1">
    <dataField name="Прибыль" fld="9" baseField="0" baseItem="0"/>
  </dataFields>
  <chartFormats count="8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Order_Year_Month" xr10:uid="{6548DB51-8CD7-5644-BD22-BCEB6A099E9C}" sourceName="Order-Year-Month">
  <pivotTables>
    <pivotTable tabId="4" name="Сводная таблица7"/>
    <pivotTable tabId="4" name="Сводная таблица2"/>
    <pivotTable tabId="4" name="Сводная таблица3"/>
    <pivotTable tabId="4" name="Сводная таблица5"/>
    <pivotTable tabId="4" name="Сводная таблица9"/>
    <pivotTable tabId="4" name="Сводная таблица10"/>
    <pivotTable tabId="4" name="Сводная таблица13"/>
    <pivotTable tabId="4" name="Сводная таблица12"/>
    <pivotTable tabId="4" name="Сводная таблица16"/>
    <pivotTable tabId="4" name="Сводная таблица17"/>
  </pivotTables>
  <data>
    <tabular pivotCacheId="91684117">
      <items count="48">
        <i x="22"/>
        <i x="40"/>
        <i x="28"/>
        <i x="46"/>
        <i x="43"/>
        <i x="41"/>
        <i x="36"/>
        <i x="26"/>
        <i x="35"/>
        <i x="19"/>
        <i x="11"/>
        <i x="47"/>
        <i x="38" s="1"/>
        <i x="6"/>
        <i x="14"/>
        <i x="24"/>
        <i x="39"/>
        <i x="30"/>
        <i x="42"/>
        <i x="3"/>
        <i x="18"/>
        <i x="0"/>
        <i x="7"/>
        <i x="15"/>
        <i x="16"/>
        <i x="44"/>
        <i x="5"/>
        <i x="37"/>
        <i x="10"/>
        <i x="4"/>
        <i x="2"/>
        <i x="21"/>
        <i x="31"/>
        <i x="17"/>
        <i x="27"/>
        <i x="25"/>
        <i x="23"/>
        <i x="12"/>
        <i x="33"/>
        <i x="13"/>
        <i x="20"/>
        <i x="8"/>
        <i x="29"/>
        <i x="9"/>
        <i x="34"/>
        <i x="1"/>
        <i x="32"/>
        <i x="45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Region" xr10:uid="{FA7B9EB3-385F-8349-8673-ADD18D5790D2}" sourceName="Region">
  <pivotTables>
    <pivotTable tabId="4" name="Сводная таблица7"/>
    <pivotTable tabId="4" name="Сводная таблица2"/>
    <pivotTable tabId="4" name="Сводная таблица3"/>
    <pivotTable tabId="4" name="Dynamics"/>
    <pivotTable tabId="4" name="Сводная таблица9"/>
    <pivotTable tabId="4" name="Сводная таблица10"/>
    <pivotTable tabId="4" name="Сводная таблица13"/>
    <pivotTable tabId="4" name="Сводная таблица12"/>
    <pivotTable tabId="4" name="Сводная таблица16"/>
    <pivotTable tabId="4" name="Сводная таблица17"/>
    <pivotTable tabId="4" name="Сводная таблица4"/>
    <pivotTable tabId="4" name="Сводная таблица1"/>
    <pivotTable tabId="4" name="Сводная таблица6"/>
    <pivotTable tabId="4" name="Сводная таблица14"/>
    <pivotTable tabId="4" name="Сводная таблица15"/>
    <pivotTable tabId="4" name="Сводная таблица18"/>
  </pivotTables>
  <data>
    <tabular pivotCacheId="91684117">
      <items count="8">
        <i x="2" s="1"/>
        <i x="1" s="1"/>
        <i x="0" s="1"/>
        <i x="5" s="1"/>
        <i x="3" s="1"/>
        <i x="6" s="1"/>
        <i x="4" s="1"/>
        <i x="7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der-Year-Month" xr10:uid="{F11C7CFA-88F3-9B49-8AE7-A42E23562EA1}" cache="Срез_Order_Year_Month" caption="Месяц-год" startItem="10" style="SlicerStyleOther1" rowHeight="251882"/>
  <slicer name="Region" xr10:uid="{F464D7C8-DDF2-754B-BFC9-F6917558AD40}" cache="Срез_Region" caption="Регион" style="SlicerStyleOther1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415F84-7059-3E46-ADA4-0F2CE08899C5}" name="Таблица1" displayName="Таблица1" ref="A1:Z8400" totalsRowShown="0" headerRowDxfId="25" dataDxfId="24">
  <autoFilter ref="A1:Z8400" xr:uid="{6DFC24A7-A871-0145-AF44-6D6D4F049DB6}"/>
  <tableColumns count="26">
    <tableColumn id="1" xr3:uid="{F69A96B5-D5AA-6A47-B1EC-A6406D36B6EC}" name="Row ID" dataDxfId="23"/>
    <tableColumn id="2" xr3:uid="{0170410B-A322-E54B-81ED-5A6813AF7B40}" name="Order ID" dataDxfId="22"/>
    <tableColumn id="3" xr3:uid="{37C4C675-C21E-E541-AF6F-910A2FE0A0E9}" name="Order Date" dataDxfId="21" dataCellStyle="Финансовый"/>
    <tableColumn id="4" xr3:uid="{B5981650-3993-3348-9E89-74C6A6465D9D}" name="Order-Year-Month" dataDxfId="20" dataCellStyle="Финансовый">
      <calculatedColumnFormula>TEXT(C2,"гггг-ММ (ММММ гггг)")</calculatedColumnFormula>
    </tableColumn>
    <tableColumn id="5" xr3:uid="{C389FF60-61D7-594E-BEBA-90842B7264F3}" name="Order Priority" dataDxfId="19"/>
    <tableColumn id="6" xr3:uid="{AB3CCCD6-FE8C-B842-87E7-515EDF492F3D}" name="Order Quantity" dataDxfId="18"/>
    <tableColumn id="7" xr3:uid="{25B7F540-FE41-F54B-8A2B-68A790BE2786}" name="Sales" dataDxfId="17"/>
    <tableColumn id="8" xr3:uid="{D70ABE05-332C-0446-B89A-0EE49C844846}" name="Discount" dataDxfId="16"/>
    <tableColumn id="9" xr3:uid="{2E093C67-4734-7F49-B2F7-168B2A7D0E91}" name="Ship Mode" dataDxfId="15"/>
    <tableColumn id="10" xr3:uid="{A11016D8-BB21-284F-BA96-3DC161BBD38D}" name="Profit" dataDxfId="14"/>
    <tableColumn id="11" xr3:uid="{11421DD1-1A2D-C644-835A-A02166786E1E}" name="Unit Price" dataDxfId="13" dataCellStyle="Финансовый"/>
    <tableColumn id="12" xr3:uid="{8E5C7A82-C392-034D-AD45-1FA90C4F699B}" name="Shipping Cost" dataDxfId="12" dataCellStyle="Финансовый"/>
    <tableColumn id="13" xr3:uid="{74D5B7DD-D508-4546-B793-F108D6CC9F16}" name="Customer Name" dataDxfId="11"/>
    <tableColumn id="14" xr3:uid="{F111D697-8A7A-1740-8452-AEE17D7DC5EC}" name="Province" dataDxfId="10"/>
    <tableColumn id="15" xr3:uid="{BFC3CC83-85FF-A349-ADB1-61C9E50358A8}" name="Region" dataDxfId="9"/>
    <tableColumn id="16" xr3:uid="{0692CE32-7E0D-F64D-BDC2-3C22B3F6361C}" name="Customer Segment" dataDxfId="8"/>
    <tableColumn id="17" xr3:uid="{1A8C6FFE-888F-9A46-A447-62E451740F4B}" name="Product Category" dataDxfId="7"/>
    <tableColumn id="18" xr3:uid="{CD39D6D6-E8CA-BF4A-B242-ABC764309AC7}" name="Product Sub-Category" dataDxfId="6"/>
    <tableColumn id="19" xr3:uid="{BEC60469-9E93-754A-A1DD-84C5B0E6CC25}" name="Product Name" dataDxfId="5"/>
    <tableColumn id="20" xr3:uid="{02B0DD40-90D6-D241-B484-0C9E681F471D}" name="Product Container" dataDxfId="4"/>
    <tableColumn id="21" xr3:uid="{1DC00E4C-754D-B84A-B317-E492DE24D019}" name="Product Base Margin" dataDxfId="3"/>
    <tableColumn id="22" xr3:uid="{86DD6414-6C22-A549-8929-DC2279DE49FE}" name="Ship Date" dataDxfId="2"/>
    <tableColumn id="23" xr3:uid="{A3EFF0F9-93EE-8A4A-BB7F-241872282CA6}" name="CurrentMonth">
      <calculatedColumnFormula>IF(D2=' Pivot Tables'!$A$4,1,0)</calculatedColumnFormula>
    </tableColumn>
    <tableColumn id="24" xr3:uid="{FDFF27AF-8C0D-E44F-8946-A06E34E15EB1}" name="PrevMonth">
      <calculatedColumnFormula>IF(AND(LEFT(D2,4)+1=LEFT(' Pivot Tables'!$A$4,4)+0,RIGHT(LEFT(D2,7),2)=RIGHT(LEFT(' Pivot Tables'!$A$4,7),2)),1,0)</calculatedColumnFormula>
    </tableColumn>
    <tableColumn id="25" xr3:uid="{846C1263-BE54-7847-9B25-18FAE1FC07AB}" name="OrderCount" dataDxfId="1">
      <calculatedColumnFormula>1/COUNTIF(Таблица1[Order ID],Таблица1[[#This Row],[Order ID]])</calculatedColumnFormula>
    </tableColumn>
    <tableColumn id="26" xr3:uid="{86706CFA-7C39-EC49-8FAC-5AE5F4214814}" name="CustomerCount" dataDxfId="0">
      <calculatedColumnFormula>1/COUNTIFS(Таблица1[Customer Name],Таблица1[[#This Row],[Customer Name]],Таблица1[Order-Year-Month],Таблица1[[#This Row],[Order-Year-Month]])</calculatedColumnFormula>
    </tableColumn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63CB3-17E5-B447-931E-EEBDE415D47C}">
  <sheetPr codeName="Лист1"/>
  <dimension ref="A2:AI271"/>
  <sheetViews>
    <sheetView topLeftCell="A9" zoomScale="88" workbookViewId="0">
      <selection activeCell="G40" sqref="G40"/>
    </sheetView>
  </sheetViews>
  <sheetFormatPr baseColWidth="10" defaultRowHeight="16" x14ac:dyDescent="0.2"/>
  <cols>
    <col min="1" max="1" width="21" bestFit="1" customWidth="1"/>
    <col min="2" max="2" width="21.83203125" bestFit="1" customWidth="1"/>
    <col min="3" max="3" width="11.1640625" customWidth="1"/>
    <col min="4" max="4" width="10.1640625" bestFit="1" customWidth="1"/>
    <col min="5" max="5" width="13.1640625" customWidth="1"/>
    <col min="6" max="6" width="24" bestFit="1" customWidth="1"/>
    <col min="7" max="7" width="20.6640625" bestFit="1" customWidth="1"/>
    <col min="8" max="8" width="21.83203125" bestFit="1" customWidth="1"/>
    <col min="9" max="9" width="12.33203125" customWidth="1"/>
    <col min="10" max="11" width="8.5" bestFit="1" customWidth="1"/>
    <col min="12" max="12" width="20" bestFit="1" customWidth="1"/>
    <col min="13" max="13" width="26.5" bestFit="1" customWidth="1"/>
    <col min="14" max="14" width="21.83203125" bestFit="1" customWidth="1"/>
    <col min="15" max="15" width="10.6640625" customWidth="1"/>
    <col min="16" max="17" width="8.5" bestFit="1" customWidth="1"/>
    <col min="19" max="19" width="25.5" bestFit="1" customWidth="1"/>
    <col min="20" max="20" width="21.83203125" bestFit="1" customWidth="1"/>
    <col min="21" max="21" width="10" customWidth="1"/>
    <col min="22" max="22" width="8" bestFit="1" customWidth="1"/>
    <col min="23" max="23" width="8.5" bestFit="1" customWidth="1"/>
    <col min="25" max="25" width="29.83203125" bestFit="1" customWidth="1"/>
    <col min="26" max="26" width="21.83203125" bestFit="1" customWidth="1"/>
    <col min="27" max="27" width="10.5" customWidth="1"/>
    <col min="28" max="29" width="8.5" bestFit="1" customWidth="1"/>
    <col min="31" max="31" width="32.1640625" bestFit="1" customWidth="1"/>
    <col min="32" max="32" width="21.83203125" bestFit="1" customWidth="1"/>
    <col min="33" max="33" width="11" customWidth="1"/>
    <col min="34" max="35" width="8.5" bestFit="1" customWidth="1"/>
  </cols>
  <sheetData>
    <row r="2" spans="1:35" ht="21" x14ac:dyDescent="0.25">
      <c r="A2" s="26" t="s">
        <v>2170</v>
      </c>
      <c r="G2" s="26" t="s">
        <v>2173</v>
      </c>
      <c r="M2" s="26" t="s">
        <v>2171</v>
      </c>
      <c r="S2" s="26" t="s">
        <v>2178</v>
      </c>
      <c r="Y2" s="26" t="s">
        <v>2182</v>
      </c>
      <c r="AE2" s="26" t="s">
        <v>2185</v>
      </c>
    </row>
    <row r="3" spans="1:35" x14ac:dyDescent="0.2">
      <c r="A3" s="13" t="s">
        <v>2134</v>
      </c>
      <c r="B3" t="s">
        <v>2138</v>
      </c>
      <c r="G3" s="13" t="s">
        <v>2134</v>
      </c>
      <c r="H3" t="s">
        <v>2156</v>
      </c>
      <c r="I3" s="13"/>
      <c r="J3" s="13"/>
      <c r="K3" s="13"/>
      <c r="L3" s="13"/>
      <c r="M3" s="13" t="s">
        <v>2134</v>
      </c>
      <c r="N3" t="s">
        <v>2176</v>
      </c>
      <c r="O3" s="13"/>
      <c r="P3" s="13"/>
      <c r="S3" s="13" t="s">
        <v>2134</v>
      </c>
      <c r="T3" t="s">
        <v>2177</v>
      </c>
      <c r="U3" s="13"/>
      <c r="V3" s="13"/>
      <c r="Y3" s="13" t="s">
        <v>2134</v>
      </c>
      <c r="Z3" t="s">
        <v>2181</v>
      </c>
      <c r="AA3" s="13"/>
      <c r="AB3" s="13"/>
      <c r="AC3" s="13"/>
      <c r="AE3" s="13" t="s">
        <v>2134</v>
      </c>
      <c r="AF3" t="s">
        <v>2184</v>
      </c>
      <c r="AG3" s="13"/>
      <c r="AH3" s="13"/>
      <c r="AI3" s="13"/>
    </row>
    <row r="4" spans="1:35" x14ac:dyDescent="0.2">
      <c r="A4" s="14" t="s">
        <v>2187</v>
      </c>
      <c r="B4" s="20">
        <v>48177.268184000015</v>
      </c>
      <c r="C4" s="30" t="str">
        <f>IF(GETPIVOTDATA("Profit",$A$8,"Order Date",RIGHT(LEFT(A4,7),2)*1,"Годы",LEFT(A4,4))&lt;0,CONCATENATE("﻿▼",TEXT(GETPIVOTDATA("Profit",$A$8,"Order Date",RIGHT(LEFT(A4,7),2)*1,"Годы",LEFT(A4,4)),"0,0%")),CONCATENATE("▲",TEXT(GETPIVOTDATA("Profit",$A$8,"Order Date",RIGHT(LEFT(A4,7),2)*1,"Годы",LEFT(A4,4)),"0,0%")))</f>
        <v>﻿▼-22,7%</v>
      </c>
      <c r="D4">
        <f>GETPIVOTDATA("Profit",$A$8,"Order Date",RIGHT(LEFT(A4,7),2)*1,"Годы",LEFT(A4,4))</f>
        <v>-0.22701647066173364</v>
      </c>
      <c r="G4" s="14" t="s">
        <v>2187</v>
      </c>
      <c r="H4" s="20">
        <v>336526.68049999996</v>
      </c>
      <c r="I4" s="30" t="str">
        <f>IF(GETPIVOTDATA("Sales",$G$8,"Order Date",RIGHT(LEFT(G4,7),2)*1,"Годы",LEFT(G4,4))&lt;0,CONCATENATE("﻿▼",TEXT(GETPIVOTDATA("Sales",$G$8,"Order Date",RIGHT(LEFT(G4,7),2)*1,"Годы",LEFT(G4,4)),"0,0%")),CONCATENATE("▲",TEXT(GETPIVOTDATA("Sales",$G$8,"Order Date",RIGHT(LEFT(G4,7),2)*1,"Годы",LEFT(G4,4)),"0,0%")))</f>
        <v>﻿▼-34,8%</v>
      </c>
      <c r="J4">
        <f>GETPIVOTDATA("Sales",$G$8,"Order Date",RIGHT(LEFT(G4,7),2)*1,"Годы",LEFT(G4,4))</f>
        <v>-0.34819920299139812</v>
      </c>
      <c r="M4" s="14" t="s">
        <v>2187</v>
      </c>
      <c r="N4" s="27">
        <v>107.99999999999999</v>
      </c>
      <c r="O4" s="30" t="str">
        <f>IF(GETPIVOTDATA("OrderCount",$M$8,"Order Date",RIGHT(LEFT(M4,7),2)*1,"Годы",LEFT(M4,4))&lt;0,CONCATENATE("﻿▼",TEXT(GETPIVOTDATA("OrderCount",$M$8,"Order Date",RIGHT(LEFT(M4,7),2)*1,"Годы",LEFT(M4,4)),"0,0%")),CONCATENATE("▲",TEXT(GETPIVOTDATA("OrderCount",$M$8,"Order Date",RIGHT(LEFT(M4,7),2)*1,"Годы",LEFT(M4,4)),"0,0%")))</f>
        <v>﻿▼-18,8%</v>
      </c>
      <c r="P4">
        <f>GETPIVOTDATA("OrderCount",$M$8,"Order Date",RIGHT(LEFT(M4,7),2)*1,"Годы",LEFT(M4,4))</f>
        <v>-0.18796992481203012</v>
      </c>
      <c r="S4" s="14" t="s">
        <v>2187</v>
      </c>
      <c r="T4" s="18">
        <v>5.01807228915662E-2</v>
      </c>
      <c r="U4" s="30" t="str">
        <f>IF(GETPIVOTDATA("Discount",$S$8,"Order Date",RIGHT(LEFT(S4,7),2)*1,"Годы",LEFT(S4,4))&lt;0,CONCATENATE("﻿▼",TEXT(GETPIVOTDATA("Discount",$S$8,"Order Date",RIGHT(LEFT(S4,7),2)*1,"Годы",LEFT(S4,4)),"0,0%")),CONCATENATE("▲",TEXT(GETPIVOTDATA("Discount",$S$8,"Order Date",RIGHT(LEFT(S4,7),2)*1,"Годы",LEFT(S4,4)),"0,0%")))</f>
        <v>▲3,9%</v>
      </c>
      <c r="V4">
        <f>GETPIVOTDATA("Discount",$S$8,"Order Date",RIGHT(LEFT(S4,7),2)*1,"Годы",LEFT(S4,4))</f>
        <v>3.9025181505968301E-2</v>
      </c>
      <c r="Y4" s="14" t="s">
        <v>2187</v>
      </c>
      <c r="Z4" s="27">
        <v>96.999999999999972</v>
      </c>
      <c r="AA4" s="30" t="str">
        <f>IF(GETPIVOTDATA("CustomerCount",$Y$8,"Order Date",RIGHT(LEFT(Y4,7),2)*1,"Годы",LEFT(Y4,4))&lt;0,CONCATENATE("﻿▼",TEXT(GETPIVOTDATA("CustomerCount",$Y$8,"Order Date",RIGHT(LEFT(Y4,7),2)*1,"Годы",LEFT(Y4,4)),"0,0%")),CONCATENATE("▲",TEXT(GETPIVOTDATA("CustomerCount",$Y$8,"Order Date",RIGHT(LEFT(Y4,7),2)*1,"Годы",LEFT(Y4,4)),"0,0%")))</f>
        <v>﻿▼-21,1%</v>
      </c>
      <c r="AB4">
        <f>GETPIVOTDATA("CustomerCount",$Y$8,"Order Date",RIGHT(LEFT(Y4,7),2)*1,"Годы",LEFT(Y4,4))</f>
        <v>-0.21138211382113795</v>
      </c>
      <c r="AE4" s="14" t="s">
        <v>2187</v>
      </c>
      <c r="AF4" s="29">
        <v>3469.3472216494852</v>
      </c>
      <c r="AG4" s="30" t="str">
        <f>IF(GETPIVOTDATA("SalesPerCustomer",$AE$8,"Order Date",RIGHT(LEFT(AE4,7),2)*1,"Годы",LEFT(AE4,4))&lt;0,CONCATENATE("﻿▼",TEXT(GETPIVOTDATA("SalesPerCustomer",$AE$8,"Order Date",RIGHT(LEFT(AE4,7),2)*1,"Годы",LEFT(AE4,4)),"0,0%")),CONCATENATE("▲",TEXT(GETPIVOTDATA("SalesPerCustomer",$AE$8,"Order Date",RIGHT(LEFT(AE4,7),2)*1,"Годы",LEFT(AE4,4)),"0,0%")))</f>
        <v>﻿▼-17,3%</v>
      </c>
      <c r="AH4">
        <f>GETPIVOTDATA("SalesPerCustomer",$AE$8,"Order Date",RIGHT(LEFT(AE4,7),2)*1,"Годы",LEFT(AE4,4))</f>
        <v>-0.17348971100971131</v>
      </c>
    </row>
    <row r="5" spans="1:35" x14ac:dyDescent="0.2">
      <c r="A5" s="14" t="s">
        <v>2135</v>
      </c>
      <c r="B5" s="17">
        <v>48177.268184000015</v>
      </c>
      <c r="G5" s="14" t="s">
        <v>2135</v>
      </c>
      <c r="H5" s="17">
        <v>336526.68049999996</v>
      </c>
      <c r="M5" s="14" t="s">
        <v>2135</v>
      </c>
      <c r="N5" s="17">
        <v>107.99999999999999</v>
      </c>
      <c r="S5" s="14" t="s">
        <v>2135</v>
      </c>
      <c r="T5" s="18">
        <v>5.01807228915662E-2</v>
      </c>
      <c r="Y5" s="14" t="s">
        <v>2135</v>
      </c>
      <c r="Z5" s="17">
        <v>96.999999999999972</v>
      </c>
      <c r="AE5" s="14" t="s">
        <v>2135</v>
      </c>
      <c r="AF5" s="17">
        <v>3469.3472216494852</v>
      </c>
    </row>
    <row r="6" spans="1:35" x14ac:dyDescent="0.2">
      <c r="A6" t="str">
        <f>A4</f>
        <v>2010-01 (январь 2010)</v>
      </c>
    </row>
    <row r="7" spans="1:35" ht="21" x14ac:dyDescent="0.25">
      <c r="A7" s="26" t="s">
        <v>2169</v>
      </c>
      <c r="G7" s="26" t="s">
        <v>2174</v>
      </c>
      <c r="M7" s="26" t="s">
        <v>2172</v>
      </c>
      <c r="S7" s="26" t="s">
        <v>2179</v>
      </c>
      <c r="Y7" s="26" t="s">
        <v>2183</v>
      </c>
      <c r="AE7" s="26" t="s">
        <v>2186</v>
      </c>
    </row>
    <row r="8" spans="1:35" x14ac:dyDescent="0.2">
      <c r="A8" s="13" t="s">
        <v>2138</v>
      </c>
      <c r="B8" s="13" t="s">
        <v>2144</v>
      </c>
      <c r="G8" s="13" t="s">
        <v>2156</v>
      </c>
      <c r="H8" s="13" t="s">
        <v>2144</v>
      </c>
      <c r="M8" s="13" t="s">
        <v>2176</v>
      </c>
      <c r="N8" s="13" t="s">
        <v>2144</v>
      </c>
      <c r="S8" s="13" t="s">
        <v>2177</v>
      </c>
      <c r="T8" s="13" t="s">
        <v>2144</v>
      </c>
      <c r="Y8" s="13" t="s">
        <v>2181</v>
      </c>
      <c r="Z8" s="13" t="s">
        <v>2144</v>
      </c>
      <c r="AE8" s="13" t="s">
        <v>2184</v>
      </c>
      <c r="AF8" s="13" t="s">
        <v>2144</v>
      </c>
    </row>
    <row r="9" spans="1:35" x14ac:dyDescent="0.2">
      <c r="A9" s="13" t="s">
        <v>2134</v>
      </c>
      <c r="B9" t="s">
        <v>2141</v>
      </c>
      <c r="C9" t="s">
        <v>2139</v>
      </c>
      <c r="D9" t="s">
        <v>2142</v>
      </c>
      <c r="E9" t="s">
        <v>2143</v>
      </c>
      <c r="G9" s="13" t="s">
        <v>2134</v>
      </c>
      <c r="H9" t="s">
        <v>2141</v>
      </c>
      <c r="I9" t="s">
        <v>2139</v>
      </c>
      <c r="J9" t="s">
        <v>2142</v>
      </c>
      <c r="K9" t="s">
        <v>2143</v>
      </c>
      <c r="M9" s="13" t="s">
        <v>2134</v>
      </c>
      <c r="N9" t="s">
        <v>2141</v>
      </c>
      <c r="O9" t="s">
        <v>2139</v>
      </c>
      <c r="P9" t="s">
        <v>2142</v>
      </c>
      <c r="Q9" t="s">
        <v>2143</v>
      </c>
      <c r="S9" s="13" t="s">
        <v>2134</v>
      </c>
      <c r="T9" t="s">
        <v>2141</v>
      </c>
      <c r="U9" t="s">
        <v>2139</v>
      </c>
      <c r="V9" t="s">
        <v>2142</v>
      </c>
      <c r="W9" t="s">
        <v>2143</v>
      </c>
      <c r="Y9" s="13" t="s">
        <v>2134</v>
      </c>
      <c r="Z9" t="s">
        <v>2141</v>
      </c>
      <c r="AA9" t="s">
        <v>2139</v>
      </c>
      <c r="AB9" t="s">
        <v>2142</v>
      </c>
      <c r="AC9" t="s">
        <v>2143</v>
      </c>
      <c r="AE9" s="13" t="s">
        <v>2134</v>
      </c>
      <c r="AF9" t="s">
        <v>2141</v>
      </c>
      <c r="AG9" t="s">
        <v>2139</v>
      </c>
      <c r="AH9" t="s">
        <v>2142</v>
      </c>
      <c r="AI9" t="s">
        <v>2143</v>
      </c>
    </row>
    <row r="10" spans="1:35" x14ac:dyDescent="0.2">
      <c r="A10" s="19" t="s">
        <v>2145</v>
      </c>
      <c r="B10" s="18"/>
      <c r="C10" s="18">
        <v>-0.22701647066173364</v>
      </c>
      <c r="D10" s="18">
        <v>-0.63251193420967367</v>
      </c>
      <c r="E10" s="18">
        <v>1.4464028727586629</v>
      </c>
      <c r="G10" s="19" t="s">
        <v>2145</v>
      </c>
      <c r="H10" s="18"/>
      <c r="I10" s="18">
        <v>-0.34819920299139812</v>
      </c>
      <c r="J10" s="18">
        <v>-0.25275693556784717</v>
      </c>
      <c r="K10" s="18">
        <v>0.35455625653136802</v>
      </c>
      <c r="M10" s="19" t="s">
        <v>2145</v>
      </c>
      <c r="N10" s="18"/>
      <c r="O10" s="18">
        <v>-0.18796992481203012</v>
      </c>
      <c r="P10" s="18">
        <v>-0.11111111111111088</v>
      </c>
      <c r="Q10" s="18">
        <v>0.15624999999999956</v>
      </c>
      <c r="S10" s="19" t="s">
        <v>2145</v>
      </c>
      <c r="T10" s="18"/>
      <c r="U10" s="18">
        <v>3.9025181505968301E-2</v>
      </c>
      <c r="V10" s="18">
        <v>-2.1717778020299058E-2</v>
      </c>
      <c r="W10" s="18">
        <v>3.1470777135516881E-2</v>
      </c>
      <c r="Y10" s="19" t="s">
        <v>2145</v>
      </c>
      <c r="Z10" s="18"/>
      <c r="AA10" s="18">
        <v>-0.21138211382113795</v>
      </c>
      <c r="AB10" s="18">
        <v>-0.10309278350515449</v>
      </c>
      <c r="AC10" s="18">
        <v>0.1839080459770113</v>
      </c>
      <c r="AE10" s="19" t="s">
        <v>2145</v>
      </c>
      <c r="AF10" s="18"/>
      <c r="AG10" s="18">
        <v>-0.17348971100971131</v>
      </c>
      <c r="AH10" s="18">
        <v>-0.16686692816185267</v>
      </c>
      <c r="AI10" s="18">
        <v>0.14413975066241783</v>
      </c>
    </row>
    <row r="11" spans="1:35" x14ac:dyDescent="0.2">
      <c r="A11" s="19" t="s">
        <v>2146</v>
      </c>
      <c r="B11" s="18"/>
      <c r="C11" s="18">
        <v>-0.14540360752876189</v>
      </c>
      <c r="D11" s="18">
        <v>-0.19809186950369295</v>
      </c>
      <c r="E11" s="18">
        <v>0.2067009530411712</v>
      </c>
      <c r="G11" s="19" t="s">
        <v>2146</v>
      </c>
      <c r="H11" s="18"/>
      <c r="I11" s="18">
        <v>-0.18316894824640409</v>
      </c>
      <c r="J11" s="18">
        <v>0.10424029768734348</v>
      </c>
      <c r="K11" s="18">
        <v>-7.9221150521250158E-2</v>
      </c>
      <c r="M11" s="19" t="s">
        <v>2146</v>
      </c>
      <c r="N11" s="18"/>
      <c r="O11" s="18">
        <v>7.9207920792079084E-2</v>
      </c>
      <c r="P11" s="18">
        <v>1.8348623853210753E-2</v>
      </c>
      <c r="Q11" s="18">
        <v>-2.7027027027026657E-2</v>
      </c>
      <c r="S11" s="19" t="s">
        <v>2146</v>
      </c>
      <c r="T11" s="18"/>
      <c r="U11" s="18">
        <v>-5.5532678392846424E-2</v>
      </c>
      <c r="V11" s="18">
        <v>2.2276366167768617E-2</v>
      </c>
      <c r="W11" s="18">
        <v>-4.6969696969697487E-2</v>
      </c>
      <c r="Y11" s="19" t="s">
        <v>2146</v>
      </c>
      <c r="Z11" s="18"/>
      <c r="AA11" s="18">
        <v>6.4516129032258063E-2</v>
      </c>
      <c r="AB11" s="18">
        <v>5.0505050505049928E-2</v>
      </c>
      <c r="AC11" s="18">
        <v>-5.7692307692307723E-2</v>
      </c>
      <c r="AE11" s="19" t="s">
        <v>2146</v>
      </c>
      <c r="AF11" s="18"/>
      <c r="AG11" s="18">
        <v>-0.23267386047389471</v>
      </c>
      <c r="AH11" s="18">
        <v>5.1151821836990963E-2</v>
      </c>
      <c r="AI11" s="18">
        <v>-2.2846935247040959E-2</v>
      </c>
    </row>
    <row r="12" spans="1:35" x14ac:dyDescent="0.2">
      <c r="A12" s="19" t="s">
        <v>2147</v>
      </c>
      <c r="B12" s="18"/>
      <c r="C12" s="18">
        <v>-0.95102971598695474</v>
      </c>
      <c r="D12" s="18">
        <v>37.72551908058432</v>
      </c>
      <c r="E12" s="18">
        <v>-0.12967095892748051</v>
      </c>
      <c r="G12" s="19" t="s">
        <v>2147</v>
      </c>
      <c r="H12" s="18"/>
      <c r="I12" s="18">
        <v>-0.47086296180264903</v>
      </c>
      <c r="J12" s="18">
        <v>0.35915972859335693</v>
      </c>
      <c r="K12" s="18">
        <v>0.17623693312490502</v>
      </c>
      <c r="M12" s="19" t="s">
        <v>2147</v>
      </c>
      <c r="N12" s="18"/>
      <c r="O12" s="18">
        <v>-0.11290322580645167</v>
      </c>
      <c r="P12" s="18">
        <v>-2.7272727272727157E-2</v>
      </c>
      <c r="Q12" s="18">
        <v>0.27102803738317782</v>
      </c>
      <c r="S12" s="19" t="s">
        <v>2147</v>
      </c>
      <c r="T12" s="18"/>
      <c r="U12" s="18">
        <v>4.5520325370534513E-2</v>
      </c>
      <c r="V12" s="18">
        <v>3.654779686333072E-2</v>
      </c>
      <c r="W12" s="18">
        <v>-3.330385374895508E-2</v>
      </c>
      <c r="Y12" s="19" t="s">
        <v>2147</v>
      </c>
      <c r="Z12" s="18"/>
      <c r="AA12" s="18">
        <v>-0.14999999999999983</v>
      </c>
      <c r="AB12" s="18">
        <v>-2.941176470588264E-2</v>
      </c>
      <c r="AC12" s="18">
        <v>0.25252525252525282</v>
      </c>
      <c r="AE12" s="19" t="s">
        <v>2147</v>
      </c>
      <c r="AF12" s="18"/>
      <c r="AG12" s="18">
        <v>-0.37748583741488129</v>
      </c>
      <c r="AH12" s="18">
        <v>0.40034638703558023</v>
      </c>
      <c r="AI12" s="18">
        <v>-6.0907609843826108E-2</v>
      </c>
    </row>
    <row r="13" spans="1:35" x14ac:dyDescent="0.2">
      <c r="A13" s="19" t="s">
        <v>2140</v>
      </c>
      <c r="B13" s="18"/>
      <c r="C13" s="18">
        <v>-0.55774883853195889</v>
      </c>
      <c r="D13" s="18">
        <v>1.0862830687044815</v>
      </c>
      <c r="E13" s="18">
        <v>-0.13142320395036017</v>
      </c>
      <c r="G13" s="19" t="s">
        <v>2140</v>
      </c>
      <c r="H13" s="18"/>
      <c r="I13" s="18">
        <v>-0.32116818264256192</v>
      </c>
      <c r="J13" s="18">
        <v>7.9577931170023375E-2</v>
      </c>
      <c r="K13" s="18">
        <v>-7.0046802855594281E-2</v>
      </c>
      <c r="M13" s="19" t="s">
        <v>2140</v>
      </c>
      <c r="N13" s="18"/>
      <c r="O13" s="18">
        <v>-0.19491525423728842</v>
      </c>
      <c r="P13" s="18">
        <v>0.15789473684210537</v>
      </c>
      <c r="Q13" s="18">
        <v>0.14545454545454528</v>
      </c>
      <c r="S13" s="19" t="s">
        <v>2140</v>
      </c>
      <c r="T13" s="18"/>
      <c r="U13" s="18">
        <v>8.8171910596638106E-2</v>
      </c>
      <c r="V13" s="18">
        <v>-9.1528815560258547E-2</v>
      </c>
      <c r="W13" s="18">
        <v>-1.003541912632846E-2</v>
      </c>
      <c r="Y13" s="19" t="s">
        <v>2140</v>
      </c>
      <c r="Z13" s="18"/>
      <c r="AA13" s="18">
        <v>-0.15094339622641484</v>
      </c>
      <c r="AB13" s="18">
        <v>5.5555555555554754E-2</v>
      </c>
      <c r="AC13" s="18">
        <v>0.24210526315789502</v>
      </c>
      <c r="AE13" s="19" t="s">
        <v>2140</v>
      </c>
      <c r="AF13" s="18"/>
      <c r="AG13" s="18">
        <v>-0.20048697066790647</v>
      </c>
      <c r="AH13" s="18">
        <v>2.2758040055812362E-2</v>
      </c>
      <c r="AI13" s="18">
        <v>-0.25130886670577518</v>
      </c>
    </row>
    <row r="14" spans="1:35" x14ac:dyDescent="0.2">
      <c r="A14" s="19" t="s">
        <v>2148</v>
      </c>
      <c r="B14" s="18"/>
      <c r="C14" s="18">
        <v>1.3640547877397489</v>
      </c>
      <c r="D14" s="18">
        <v>-0.39992423152506218</v>
      </c>
      <c r="E14" s="18">
        <v>0.14798525601037468</v>
      </c>
      <c r="G14" s="19" t="s">
        <v>2148</v>
      </c>
      <c r="H14" s="18"/>
      <c r="I14" s="18">
        <v>0.23197819720493487</v>
      </c>
      <c r="J14" s="18">
        <v>-7.3732843278546414E-2</v>
      </c>
      <c r="K14" s="18">
        <v>0.4643805503116471</v>
      </c>
      <c r="M14" s="19" t="s">
        <v>2148</v>
      </c>
      <c r="N14" s="18"/>
      <c r="O14" s="18">
        <v>8.4033613445377936E-2</v>
      </c>
      <c r="P14" s="18">
        <v>-8.5271317829457405E-2</v>
      </c>
      <c r="Q14" s="18">
        <v>9.3220338983050655E-2</v>
      </c>
      <c r="S14" s="19" t="s">
        <v>2148</v>
      </c>
      <c r="T14" s="18"/>
      <c r="U14" s="18">
        <v>-2.2212511834534938E-2</v>
      </c>
      <c r="V14" s="18">
        <v>2.9644783968807712E-2</v>
      </c>
      <c r="W14" s="18">
        <v>5.3083010659796641E-2</v>
      </c>
      <c r="Y14" s="19" t="s">
        <v>2148</v>
      </c>
      <c r="Z14" s="18"/>
      <c r="AA14" s="18">
        <v>9.0909090909090259E-2</v>
      </c>
      <c r="AB14" s="18">
        <v>-9.166666666666648E-2</v>
      </c>
      <c r="AC14" s="18">
        <v>8.2568807339449449E-2</v>
      </c>
      <c r="AE14" s="19" t="s">
        <v>2148</v>
      </c>
      <c r="AF14" s="18"/>
      <c r="AG14" s="18">
        <v>0.12931334743785744</v>
      </c>
      <c r="AH14" s="18">
        <v>1.9743658775912092E-2</v>
      </c>
      <c r="AI14" s="18">
        <v>0.35269050833872495</v>
      </c>
    </row>
    <row r="15" spans="1:35" x14ac:dyDescent="0.2">
      <c r="A15" s="19" t="s">
        <v>2149</v>
      </c>
      <c r="B15" s="18"/>
      <c r="C15" s="18">
        <v>4.3004266271154272E-2</v>
      </c>
      <c r="D15" s="18">
        <v>-0.5162371983665206</v>
      </c>
      <c r="E15" s="18">
        <v>0.74238674549357786</v>
      </c>
      <c r="G15" s="19" t="s">
        <v>2149</v>
      </c>
      <c r="H15" s="18"/>
      <c r="I15" s="18">
        <v>0.11244606064643747</v>
      </c>
      <c r="J15" s="18">
        <v>-0.32530231736713139</v>
      </c>
      <c r="K15" s="18">
        <v>0.39870412104614938</v>
      </c>
      <c r="M15" s="19" t="s">
        <v>2149</v>
      </c>
      <c r="N15" s="18"/>
      <c r="O15" s="18">
        <v>2.8571428571428591E-2</v>
      </c>
      <c r="P15" s="18">
        <v>-2.777777777777727E-2</v>
      </c>
      <c r="Q15" s="18">
        <v>-1.9047619047619591E-2</v>
      </c>
      <c r="S15" s="19" t="s">
        <v>2149</v>
      </c>
      <c r="T15" s="18"/>
      <c r="U15" s="18">
        <v>2.5274300496565885E-2</v>
      </c>
      <c r="V15" s="18">
        <v>3.6614367332734023E-2</v>
      </c>
      <c r="W15" s="18">
        <v>-3.3283563518725662E-2</v>
      </c>
      <c r="Y15" s="19" t="s">
        <v>2149</v>
      </c>
      <c r="Z15" s="18"/>
      <c r="AA15" s="18">
        <v>6.3157894736842135E-2</v>
      </c>
      <c r="AB15" s="18">
        <v>-2.9702970297029573E-2</v>
      </c>
      <c r="AC15" s="18">
        <v>-2.0408163265306128E-2</v>
      </c>
      <c r="AE15" s="19" t="s">
        <v>2149</v>
      </c>
      <c r="AF15" s="18"/>
      <c r="AG15" s="18">
        <v>4.6360156053579751E-2</v>
      </c>
      <c r="AH15" s="18">
        <v>-0.3046483066742886</v>
      </c>
      <c r="AI15" s="18">
        <v>0.42784379023461089</v>
      </c>
    </row>
    <row r="16" spans="1:35" x14ac:dyDescent="0.2">
      <c r="A16" s="19" t="s">
        <v>2150</v>
      </c>
      <c r="B16" s="18"/>
      <c r="C16" s="18">
        <v>-0.61871530672398589</v>
      </c>
      <c r="D16" s="18">
        <v>1.3183121409263368</v>
      </c>
      <c r="E16" s="18">
        <v>-0.28480190909094155</v>
      </c>
      <c r="G16" s="19" t="s">
        <v>2150</v>
      </c>
      <c r="H16" s="18"/>
      <c r="I16" s="18">
        <v>-0.39583942185938287</v>
      </c>
      <c r="J16" s="18">
        <v>0.25238515860538291</v>
      </c>
      <c r="K16" s="18">
        <v>-0.15663311782679512</v>
      </c>
      <c r="M16" s="19" t="s">
        <v>2150</v>
      </c>
      <c r="N16" s="18"/>
      <c r="O16" s="18">
        <v>-9.1666666666667243E-2</v>
      </c>
      <c r="P16" s="18">
        <v>8.2568807339449449E-2</v>
      </c>
      <c r="Q16" s="18">
        <v>-5.9322033898305121E-2</v>
      </c>
      <c r="S16" s="19" t="s">
        <v>2150</v>
      </c>
      <c r="T16" s="18"/>
      <c r="U16" s="18">
        <v>4.3983957219251128E-2</v>
      </c>
      <c r="V16" s="18">
        <v>5.7042443903758441E-2</v>
      </c>
      <c r="W16" s="18">
        <v>-0.12189440993788837</v>
      </c>
      <c r="Y16" s="19" t="s">
        <v>2150</v>
      </c>
      <c r="Z16" s="18"/>
      <c r="AA16" s="18">
        <v>-9.8214285714286226E-2</v>
      </c>
      <c r="AB16" s="18">
        <v>8.9108910891089438E-2</v>
      </c>
      <c r="AC16" s="18">
        <v>-5.4545454545454945E-2</v>
      </c>
      <c r="AE16" s="19" t="s">
        <v>2150</v>
      </c>
      <c r="AF16" s="18"/>
      <c r="AG16" s="18">
        <v>-0.33003975493317678</v>
      </c>
      <c r="AH16" s="18">
        <v>0.14991728199221499</v>
      </c>
      <c r="AI16" s="18">
        <v>-0.10797733616295602</v>
      </c>
    </row>
    <row r="17" spans="1:35" x14ac:dyDescent="0.2">
      <c r="A17" s="19" t="s">
        <v>2151</v>
      </c>
      <c r="B17" s="18"/>
      <c r="C17" s="18">
        <v>0.48899815137803243</v>
      </c>
      <c r="D17" s="18">
        <v>0.11508977197780795</v>
      </c>
      <c r="E17" s="18">
        <v>-0.43963954586010268</v>
      </c>
      <c r="G17" s="19" t="s">
        <v>2151</v>
      </c>
      <c r="H17" s="18"/>
      <c r="I17" s="18">
        <v>-0.36941914841157009</v>
      </c>
      <c r="J17" s="18">
        <v>0.32048874233831071</v>
      </c>
      <c r="K17" s="18">
        <v>0.10258139695175897</v>
      </c>
      <c r="M17" s="19" t="s">
        <v>2151</v>
      </c>
      <c r="N17" s="18"/>
      <c r="O17" s="18">
        <v>-1.574803149606278E-2</v>
      </c>
      <c r="P17" s="18">
        <v>-0.1679999999999994</v>
      </c>
      <c r="Q17" s="18">
        <v>0.20192307692307632</v>
      </c>
      <c r="S17" s="19" t="s">
        <v>2151</v>
      </c>
      <c r="T17" s="18"/>
      <c r="U17" s="18">
        <v>8.2032597312195352E-2</v>
      </c>
      <c r="V17" s="18">
        <v>1.5659955257285596E-4</v>
      </c>
      <c r="W17" s="18">
        <v>2.221128682309214E-2</v>
      </c>
      <c r="Y17" s="19" t="s">
        <v>2151</v>
      </c>
      <c r="Z17" s="18"/>
      <c r="AA17" s="18">
        <v>-2.3883789437314296E-16</v>
      </c>
      <c r="AB17" s="18">
        <v>-0.17647058823529371</v>
      </c>
      <c r="AC17" s="18">
        <v>0.22448979591836707</v>
      </c>
      <c r="AE17" s="19" t="s">
        <v>2151</v>
      </c>
      <c r="AF17" s="18"/>
      <c r="AG17" s="18">
        <v>-0.36941914841156986</v>
      </c>
      <c r="AH17" s="18">
        <v>0.60345061569651937</v>
      </c>
      <c r="AI17" s="18">
        <v>-9.9558525822729935E-2</v>
      </c>
    </row>
    <row r="18" spans="1:35" x14ac:dyDescent="0.2">
      <c r="A18" s="19" t="s">
        <v>2152</v>
      </c>
      <c r="B18" s="18"/>
      <c r="C18" s="18">
        <v>7.2251540962682256E-2</v>
      </c>
      <c r="D18" s="18">
        <v>-0.33834070519270809</v>
      </c>
      <c r="E18" s="18">
        <v>4.4774602498617588E-2</v>
      </c>
      <c r="G18" s="19" t="s">
        <v>2152</v>
      </c>
      <c r="H18" s="18"/>
      <c r="I18" s="18">
        <v>0.28605337369567591</v>
      </c>
      <c r="J18" s="18">
        <v>-0.34013569671826338</v>
      </c>
      <c r="K18" s="18">
        <v>0.15294983409442459</v>
      </c>
      <c r="M18" s="19" t="s">
        <v>2152</v>
      </c>
      <c r="N18" s="18"/>
      <c r="O18" s="18">
        <v>8.9430894308943257E-2</v>
      </c>
      <c r="P18" s="18">
        <v>-0.13432835820895497</v>
      </c>
      <c r="Q18" s="18">
        <v>6.0344827586206046E-2</v>
      </c>
      <c r="S18" s="19" t="s">
        <v>2152</v>
      </c>
      <c r="T18" s="18"/>
      <c r="U18" s="18">
        <v>-5.7983882750947499E-2</v>
      </c>
      <c r="V18" s="18">
        <v>0.1081190360666343</v>
      </c>
      <c r="W18" s="18">
        <v>-4.5435046829198592E-2</v>
      </c>
      <c r="Y18" s="19" t="s">
        <v>2152</v>
      </c>
      <c r="Z18" s="18"/>
      <c r="AA18" s="18">
        <v>0.13274336283185828</v>
      </c>
      <c r="AB18" s="18">
        <v>-0.14062499999999981</v>
      </c>
      <c r="AC18" s="18">
        <v>7.2727272727271683E-2</v>
      </c>
      <c r="AE18" s="19" t="s">
        <v>2152</v>
      </c>
      <c r="AF18" s="18"/>
      <c r="AG18" s="18">
        <v>0.135343993965714</v>
      </c>
      <c r="AH18" s="18">
        <v>-0.23215790163579758</v>
      </c>
      <c r="AI18" s="18">
        <v>7.4783743647346024E-2</v>
      </c>
    </row>
    <row r="19" spans="1:35" x14ac:dyDescent="0.2">
      <c r="A19" s="19" t="s">
        <v>2153</v>
      </c>
      <c r="B19" s="18"/>
      <c r="C19" s="18">
        <v>-0.1200698881188409</v>
      </c>
      <c r="D19" s="18">
        <v>9.4109073207951314E-3</v>
      </c>
      <c r="E19" s="18">
        <v>-0.56909861921390659</v>
      </c>
      <c r="G19" s="19" t="s">
        <v>2153</v>
      </c>
      <c r="H19" s="18"/>
      <c r="I19" s="18">
        <v>1.0224490811005352E-2</v>
      </c>
      <c r="J19" s="18">
        <v>-0.16315184159779442</v>
      </c>
      <c r="K19" s="18">
        <v>0.14914026774108291</v>
      </c>
      <c r="M19" s="19" t="s">
        <v>2153</v>
      </c>
      <c r="N19" s="18"/>
      <c r="O19" s="18">
        <v>0.20999999999999944</v>
      </c>
      <c r="P19" s="18">
        <v>-6.6115702479338997E-2</v>
      </c>
      <c r="Q19" s="18">
        <v>0.17699115044247762</v>
      </c>
      <c r="S19" s="19" t="s">
        <v>2153</v>
      </c>
      <c r="T19" s="18"/>
      <c r="U19" s="18">
        <v>4.7779922779923302E-2</v>
      </c>
      <c r="V19" s="18">
        <v>-3.2634032634033007E-2</v>
      </c>
      <c r="W19" s="18">
        <v>1.1031058909003379E-2</v>
      </c>
      <c r="Y19" s="19" t="s">
        <v>2153</v>
      </c>
      <c r="Z19" s="18"/>
      <c r="AA19" s="18">
        <v>0.26881720430107436</v>
      </c>
      <c r="AB19" s="18">
        <v>-9.3220338983051348E-2</v>
      </c>
      <c r="AC19" s="18">
        <v>0.12149532710280436</v>
      </c>
      <c r="AE19" s="19" t="s">
        <v>2153</v>
      </c>
      <c r="AF19" s="18"/>
      <c r="AG19" s="18">
        <v>-0.20380612164895287</v>
      </c>
      <c r="AH19" s="18">
        <v>-7.7120722509716744E-2</v>
      </c>
      <c r="AI19" s="18">
        <v>2.4650072069131765E-2</v>
      </c>
    </row>
    <row r="20" spans="1:35" x14ac:dyDescent="0.2">
      <c r="A20" s="19" t="s">
        <v>2154</v>
      </c>
      <c r="B20" s="18"/>
      <c r="C20" s="18">
        <v>0.43907872524493624</v>
      </c>
      <c r="D20" s="18">
        <v>0.69457747876031939</v>
      </c>
      <c r="E20" s="18">
        <v>-0.3037654014782929</v>
      </c>
      <c r="G20" s="19" t="s">
        <v>2154</v>
      </c>
      <c r="H20" s="18"/>
      <c r="I20" s="18">
        <v>0.16766297789192874</v>
      </c>
      <c r="J20" s="18">
        <v>0.26524601389033042</v>
      </c>
      <c r="K20" s="18">
        <v>-0.30385715295974464</v>
      </c>
      <c r="M20" s="19" t="s">
        <v>2154</v>
      </c>
      <c r="N20" s="18"/>
      <c r="O20" s="18">
        <v>6.6037735849055798E-2</v>
      </c>
      <c r="P20" s="18">
        <v>-9.7345132743362275E-2</v>
      </c>
      <c r="Q20" s="18">
        <v>-0.10784313725490226</v>
      </c>
      <c r="S20" s="19" t="s">
        <v>2154</v>
      </c>
      <c r="T20" s="18"/>
      <c r="U20" s="18">
        <v>-4.6705776173284877E-2</v>
      </c>
      <c r="V20" s="18">
        <v>0.14920634920634912</v>
      </c>
      <c r="W20" s="18">
        <v>-0.1294826720241081</v>
      </c>
      <c r="Y20" s="19" t="s">
        <v>2154</v>
      </c>
      <c r="Z20" s="18"/>
      <c r="AA20" s="18">
        <v>6.1224489795917658E-2</v>
      </c>
      <c r="AB20" s="18">
        <v>-0.11538461538461467</v>
      </c>
      <c r="AC20" s="18">
        <v>-7.6086956521739454E-2</v>
      </c>
      <c r="AE20" s="19" t="s">
        <v>2154</v>
      </c>
      <c r="AF20" s="18"/>
      <c r="AG20" s="18">
        <v>0.10029780609047194</v>
      </c>
      <c r="AH20" s="18">
        <v>0.43027810265863325</v>
      </c>
      <c r="AI20" s="18">
        <v>-0.24652774202701738</v>
      </c>
    </row>
    <row r="21" spans="1:35" x14ac:dyDescent="0.2">
      <c r="A21" s="19" t="s">
        <v>2155</v>
      </c>
      <c r="B21" s="18"/>
      <c r="C21" s="18">
        <v>-0.37771612502047081</v>
      </c>
      <c r="D21" s="18">
        <v>0.14453695019457674</v>
      </c>
      <c r="E21" s="18">
        <v>-0.43209832434867157</v>
      </c>
      <c r="G21" s="19" t="s">
        <v>2155</v>
      </c>
      <c r="H21" s="18"/>
      <c r="I21" s="18">
        <v>-0.11475306277413778</v>
      </c>
      <c r="J21" s="18">
        <v>-0.10653975452147799</v>
      </c>
      <c r="K21" s="18">
        <v>7.8546078920868193E-2</v>
      </c>
      <c r="M21" s="19" t="s">
        <v>2155</v>
      </c>
      <c r="N21" s="18"/>
      <c r="O21" s="18">
        <v>0.11864406779661006</v>
      </c>
      <c r="P21" s="18">
        <v>-0.11363636363636398</v>
      </c>
      <c r="Q21" s="18">
        <v>-0.1794871794871791</v>
      </c>
      <c r="S21" s="19" t="s">
        <v>2155</v>
      </c>
      <c r="T21" s="18"/>
      <c r="U21" s="18">
        <v>-3.5240366849194737E-2</v>
      </c>
      <c r="V21" s="18">
        <v>5.3040117459082235E-2</v>
      </c>
      <c r="W21" s="18">
        <v>1.1006417025425016E-2</v>
      </c>
      <c r="Y21" s="19" t="s">
        <v>2155</v>
      </c>
      <c r="Z21" s="18"/>
      <c r="AA21" s="18">
        <v>7.2727272727272613E-2</v>
      </c>
      <c r="AB21" s="18">
        <v>-9.3220338983050988E-2</v>
      </c>
      <c r="AC21" s="18">
        <v>-0.14953271028037349</v>
      </c>
      <c r="AE21" s="19" t="s">
        <v>2155</v>
      </c>
      <c r="AF21" s="18"/>
      <c r="AG21" s="18">
        <v>-0.17476980428097591</v>
      </c>
      <c r="AH21" s="18">
        <v>-1.4688701247984904E-2</v>
      </c>
      <c r="AI21" s="18">
        <v>0.26818055433552596</v>
      </c>
    </row>
    <row r="23" spans="1:35" ht="21" x14ac:dyDescent="0.25">
      <c r="A23" s="26" t="s">
        <v>2167</v>
      </c>
    </row>
    <row r="24" spans="1:35" x14ac:dyDescent="0.2">
      <c r="A24" s="13" t="s">
        <v>13</v>
      </c>
      <c r="B24" t="s">
        <v>2156</v>
      </c>
      <c r="C24" t="s">
        <v>2138</v>
      </c>
      <c r="E24" s="13"/>
      <c r="F24" s="25"/>
      <c r="G24" s="25"/>
    </row>
    <row r="25" spans="1:35" x14ac:dyDescent="0.2">
      <c r="A25" s="14" t="s">
        <v>2073</v>
      </c>
      <c r="B25" s="17">
        <v>42052.417000000001</v>
      </c>
      <c r="C25" s="17">
        <v>9604.7955000000002</v>
      </c>
      <c r="D25" s="17"/>
      <c r="O25" s="13"/>
      <c r="P25" s="13"/>
      <c r="Q25" s="13"/>
    </row>
    <row r="26" spans="1:35" x14ac:dyDescent="0.2">
      <c r="A26" s="14" t="s">
        <v>703</v>
      </c>
      <c r="B26" s="17">
        <v>66242.562499999985</v>
      </c>
      <c r="C26" s="17">
        <v>3515.4222000000013</v>
      </c>
      <c r="D26" s="17"/>
    </row>
    <row r="27" spans="1:35" x14ac:dyDescent="0.2">
      <c r="A27" s="14" t="s">
        <v>672</v>
      </c>
      <c r="B27" s="17">
        <v>38772.480000000003</v>
      </c>
      <c r="C27" s="17">
        <v>6916.3236999999999</v>
      </c>
      <c r="D27" s="17"/>
    </row>
    <row r="28" spans="1:35" x14ac:dyDescent="0.2">
      <c r="A28" s="14" t="s">
        <v>1813</v>
      </c>
      <c r="B28" s="17">
        <v>4147.8999999999996</v>
      </c>
      <c r="C28" s="17">
        <v>547.86300000000006</v>
      </c>
      <c r="D28" s="17"/>
    </row>
    <row r="29" spans="1:35" x14ac:dyDescent="0.2">
      <c r="A29" s="14" t="s">
        <v>1453</v>
      </c>
      <c r="B29" s="17">
        <v>1216.5</v>
      </c>
      <c r="C29" s="17">
        <v>162.18</v>
      </c>
      <c r="D29" s="17"/>
    </row>
    <row r="30" spans="1:35" x14ac:dyDescent="0.2">
      <c r="A30" s="14" t="s">
        <v>173</v>
      </c>
      <c r="B30" s="17">
        <v>15959.91</v>
      </c>
      <c r="C30" s="17">
        <v>1955.3900000000003</v>
      </c>
      <c r="D30" s="17"/>
    </row>
    <row r="31" spans="1:35" x14ac:dyDescent="0.2">
      <c r="A31" s="14" t="s">
        <v>974</v>
      </c>
      <c r="B31" s="17">
        <v>47229.838499999998</v>
      </c>
      <c r="C31" s="17">
        <v>13745.691999999999</v>
      </c>
      <c r="D31" s="17"/>
    </row>
    <row r="32" spans="1:35" x14ac:dyDescent="0.2">
      <c r="A32" s="14" t="s">
        <v>1123</v>
      </c>
      <c r="B32" s="17">
        <v>54589.085500000008</v>
      </c>
      <c r="C32" s="17">
        <v>105.81618400000008</v>
      </c>
      <c r="D32" s="17"/>
    </row>
    <row r="33" spans="1:5" x14ac:dyDescent="0.2">
      <c r="A33" s="14" t="s">
        <v>1595</v>
      </c>
      <c r="B33" s="17">
        <v>36874.652000000002</v>
      </c>
      <c r="C33" s="17">
        <v>4936.1460999999999</v>
      </c>
      <c r="D33" s="17"/>
    </row>
    <row r="34" spans="1:5" x14ac:dyDescent="0.2">
      <c r="A34" s="14" t="s">
        <v>1905</v>
      </c>
      <c r="B34" s="17">
        <v>19384.271999999997</v>
      </c>
      <c r="C34" s="17">
        <v>3918.8245000000006</v>
      </c>
      <c r="D34" s="17"/>
    </row>
    <row r="35" spans="1:5" x14ac:dyDescent="0.2">
      <c r="A35" s="14" t="s">
        <v>2012</v>
      </c>
      <c r="B35" s="17">
        <v>10057.063</v>
      </c>
      <c r="C35" s="17">
        <v>2768.8150000000001</v>
      </c>
      <c r="D35" s="17"/>
    </row>
    <row r="36" spans="1:5" x14ac:dyDescent="0.2">
      <c r="D36" s="17"/>
    </row>
    <row r="38" spans="1:5" ht="21" x14ac:dyDescent="0.25">
      <c r="A38" s="26" t="s">
        <v>2168</v>
      </c>
    </row>
    <row r="39" spans="1:5" x14ac:dyDescent="0.2">
      <c r="A39" s="13" t="s">
        <v>2157</v>
      </c>
      <c r="B39" s="13" t="s">
        <v>2</v>
      </c>
      <c r="C39" t="s">
        <v>2162</v>
      </c>
      <c r="D39" t="s">
        <v>2160</v>
      </c>
      <c r="E39" t="s">
        <v>2161</v>
      </c>
    </row>
    <row r="40" spans="1:5" x14ac:dyDescent="0.2">
      <c r="A40" t="s">
        <v>2141</v>
      </c>
      <c r="B40" s="21" t="s">
        <v>2145</v>
      </c>
      <c r="C40" s="17">
        <v>62326.383882000002</v>
      </c>
      <c r="D40" s="23">
        <v>62326.383882000002</v>
      </c>
      <c r="E40" s="23" t="e">
        <v>#N/A</v>
      </c>
    </row>
    <row r="41" spans="1:5" x14ac:dyDescent="0.2">
      <c r="A41" t="s">
        <v>2141</v>
      </c>
      <c r="B41" s="21" t="s">
        <v>2146</v>
      </c>
      <c r="C41" s="17">
        <v>30422.705028999997</v>
      </c>
      <c r="D41" s="23" t="e">
        <v>#N/A</v>
      </c>
      <c r="E41" s="23" t="e">
        <v>#N/A</v>
      </c>
    </row>
    <row r="42" spans="1:5" x14ac:dyDescent="0.2">
      <c r="A42" t="s">
        <v>2141</v>
      </c>
      <c r="B42" s="21" t="s">
        <v>2147</v>
      </c>
      <c r="C42" s="17">
        <v>22802.977469000019</v>
      </c>
      <c r="D42" s="23" t="e">
        <v>#N/A</v>
      </c>
      <c r="E42" s="23" t="e">
        <v>#N/A</v>
      </c>
    </row>
    <row r="43" spans="1:5" x14ac:dyDescent="0.2">
      <c r="A43" t="s">
        <v>2141</v>
      </c>
      <c r="B43" s="21" t="s">
        <v>2140</v>
      </c>
      <c r="C43" s="17">
        <v>39132.71557399998</v>
      </c>
      <c r="D43" s="23" t="e">
        <v>#N/A</v>
      </c>
      <c r="E43" s="23" t="e">
        <v>#N/A</v>
      </c>
    </row>
    <row r="44" spans="1:5" x14ac:dyDescent="0.2">
      <c r="A44" t="s">
        <v>2141</v>
      </c>
      <c r="B44" s="21" t="s">
        <v>2148</v>
      </c>
      <c r="C44" s="17">
        <v>18035.390263000008</v>
      </c>
      <c r="D44" s="23" t="e">
        <v>#N/A</v>
      </c>
      <c r="E44" s="23" t="e">
        <v>#N/A</v>
      </c>
    </row>
    <row r="45" spans="1:5" x14ac:dyDescent="0.2">
      <c r="A45" t="s">
        <v>2141</v>
      </c>
      <c r="B45" s="21" t="s">
        <v>2149</v>
      </c>
      <c r="C45" s="17">
        <v>34640.578300000016</v>
      </c>
      <c r="D45" s="23" t="e">
        <v>#N/A</v>
      </c>
      <c r="E45" s="23" t="e">
        <v>#N/A</v>
      </c>
    </row>
    <row r="46" spans="1:5" x14ac:dyDescent="0.2">
      <c r="A46" t="s">
        <v>2141</v>
      </c>
      <c r="B46" s="21" t="s">
        <v>2150</v>
      </c>
      <c r="C46" s="17">
        <v>41749.435449999997</v>
      </c>
      <c r="D46" s="23" t="e">
        <v>#N/A</v>
      </c>
      <c r="E46" s="23" t="e">
        <v>#N/A</v>
      </c>
    </row>
    <row r="47" spans="1:5" x14ac:dyDescent="0.2">
      <c r="A47" t="s">
        <v>2141</v>
      </c>
      <c r="B47" s="21" t="s">
        <v>2151</v>
      </c>
      <c r="C47" s="17">
        <v>14682.849950999991</v>
      </c>
      <c r="D47" s="23" t="e">
        <v>#N/A</v>
      </c>
      <c r="E47" s="23" t="e">
        <v>#N/A</v>
      </c>
    </row>
    <row r="48" spans="1:5" x14ac:dyDescent="0.2">
      <c r="A48" t="s">
        <v>2141</v>
      </c>
      <c r="B48" s="21" t="s">
        <v>2152</v>
      </c>
      <c r="C48" s="17">
        <v>46652.034034000011</v>
      </c>
      <c r="D48" s="23" t="e">
        <v>#N/A</v>
      </c>
      <c r="E48" s="23" t="e">
        <v>#N/A</v>
      </c>
    </row>
    <row r="49" spans="1:5" x14ac:dyDescent="0.2">
      <c r="A49" t="s">
        <v>2141</v>
      </c>
      <c r="B49" s="21" t="s">
        <v>2153</v>
      </c>
      <c r="C49" s="17">
        <v>55227.985300000015</v>
      </c>
      <c r="D49" s="23" t="e">
        <v>#N/A</v>
      </c>
      <c r="E49" s="23" t="e">
        <v>#N/A</v>
      </c>
    </row>
    <row r="50" spans="1:5" x14ac:dyDescent="0.2">
      <c r="A50" t="s">
        <v>2141</v>
      </c>
      <c r="B50" s="21" t="s">
        <v>2154</v>
      </c>
      <c r="C50" s="17">
        <v>16222.218223</v>
      </c>
      <c r="D50" s="23" t="e">
        <v>#N/A</v>
      </c>
      <c r="E50" s="23" t="e">
        <v>#N/A</v>
      </c>
    </row>
    <row r="51" spans="1:5" x14ac:dyDescent="0.2">
      <c r="A51" t="s">
        <v>2141</v>
      </c>
      <c r="B51" s="21" t="s">
        <v>2155</v>
      </c>
      <c r="C51" s="17">
        <v>52643.511960000011</v>
      </c>
      <c r="D51" s="23" t="e">
        <v>#N/A</v>
      </c>
      <c r="E51" s="23" t="e">
        <v>#N/A</v>
      </c>
    </row>
    <row r="52" spans="1:5" x14ac:dyDescent="0.2">
      <c r="A52" t="s">
        <v>2139</v>
      </c>
      <c r="B52" s="21" t="s">
        <v>2145</v>
      </c>
      <c r="C52" s="17">
        <v>48177.268184</v>
      </c>
      <c r="D52" s="23" t="e">
        <v>#N/A</v>
      </c>
      <c r="E52" s="23">
        <v>48177.268184</v>
      </c>
    </row>
    <row r="53" spans="1:5" x14ac:dyDescent="0.2">
      <c r="A53" t="s">
        <v>2139</v>
      </c>
      <c r="B53" s="21" t="s">
        <v>2146</v>
      </c>
      <c r="C53" s="17">
        <v>25999.133966999991</v>
      </c>
      <c r="D53" s="23" t="e">
        <v>#N/A</v>
      </c>
      <c r="E53" s="23" t="e">
        <v>#N/A</v>
      </c>
    </row>
    <row r="54" spans="1:5" x14ac:dyDescent="0.2">
      <c r="A54" t="s">
        <v>2139</v>
      </c>
      <c r="B54" s="21" t="s">
        <v>2147</v>
      </c>
      <c r="C54" s="17">
        <v>1116.6682830000038</v>
      </c>
      <c r="D54" s="23" t="e">
        <v>#N/A</v>
      </c>
      <c r="E54" s="23" t="e">
        <v>#N/A</v>
      </c>
    </row>
    <row r="55" spans="1:5" x14ac:dyDescent="0.2">
      <c r="A55" t="s">
        <v>2139</v>
      </c>
      <c r="B55" s="21" t="s">
        <v>2140</v>
      </c>
      <c r="C55" s="17">
        <v>17306.488913999994</v>
      </c>
      <c r="D55" s="23" t="e">
        <v>#N/A</v>
      </c>
      <c r="E55" s="23" t="e">
        <v>#N/A</v>
      </c>
    </row>
    <row r="56" spans="1:5" x14ac:dyDescent="0.2">
      <c r="A56" t="s">
        <v>2139</v>
      </c>
      <c r="B56" s="21" t="s">
        <v>2148</v>
      </c>
      <c r="C56" s="17">
        <v>42636.65070000002</v>
      </c>
      <c r="D56" s="23" t="e">
        <v>#N/A</v>
      </c>
      <c r="E56" s="23" t="e">
        <v>#N/A</v>
      </c>
    </row>
    <row r="57" spans="1:5" x14ac:dyDescent="0.2">
      <c r="A57" t="s">
        <v>2139</v>
      </c>
      <c r="B57" s="21" t="s">
        <v>2149</v>
      </c>
      <c r="C57" s="17">
        <v>36130.270952999985</v>
      </c>
      <c r="D57" s="23" t="e">
        <v>#N/A</v>
      </c>
      <c r="E57" s="23" t="e">
        <v>#N/A</v>
      </c>
    </row>
    <row r="58" spans="1:5" x14ac:dyDescent="0.2">
      <c r="A58" t="s">
        <v>2139</v>
      </c>
      <c r="B58" s="21" t="s">
        <v>2150</v>
      </c>
      <c r="C58" s="17">
        <v>15918.420689999999</v>
      </c>
      <c r="D58" s="23" t="e">
        <v>#N/A</v>
      </c>
      <c r="E58" s="23" t="e">
        <v>#N/A</v>
      </c>
    </row>
    <row r="59" spans="1:5" x14ac:dyDescent="0.2">
      <c r="A59" t="s">
        <v>2139</v>
      </c>
      <c r="B59" s="21" t="s">
        <v>2151</v>
      </c>
      <c r="C59" s="17">
        <v>21862.73643400002</v>
      </c>
      <c r="D59" s="23" t="e">
        <v>#N/A</v>
      </c>
      <c r="E59" s="23" t="e">
        <v>#N/A</v>
      </c>
    </row>
    <row r="60" spans="1:5" x14ac:dyDescent="0.2">
      <c r="A60" t="s">
        <v>2139</v>
      </c>
      <c r="B60" s="21" t="s">
        <v>2152</v>
      </c>
      <c r="C60" s="17">
        <v>50022.715382000009</v>
      </c>
      <c r="D60" s="23" t="e">
        <v>#N/A</v>
      </c>
      <c r="E60" s="23" t="e">
        <v>#N/A</v>
      </c>
    </row>
    <row r="61" spans="1:5" x14ac:dyDescent="0.2">
      <c r="A61" t="s">
        <v>2139</v>
      </c>
      <c r="B61" s="21" t="s">
        <v>2153</v>
      </c>
      <c r="C61" s="17">
        <v>48596.767284000023</v>
      </c>
      <c r="D61" s="23" t="e">
        <v>#N/A</v>
      </c>
      <c r="E61" s="23" t="e">
        <v>#N/A</v>
      </c>
    </row>
    <row r="62" spans="1:5" x14ac:dyDescent="0.2">
      <c r="A62" t="s">
        <v>2139</v>
      </c>
      <c r="B62" s="21" t="s">
        <v>2154</v>
      </c>
      <c r="C62" s="17">
        <v>23345.049121000015</v>
      </c>
      <c r="D62" s="23" t="e">
        <v>#N/A</v>
      </c>
      <c r="E62" s="23" t="e">
        <v>#N/A</v>
      </c>
    </row>
    <row r="63" spans="1:5" x14ac:dyDescent="0.2">
      <c r="A63" t="s">
        <v>2139</v>
      </c>
      <c r="B63" s="21" t="s">
        <v>2155</v>
      </c>
      <c r="C63" s="17">
        <v>32759.208614999996</v>
      </c>
      <c r="D63" s="23" t="e">
        <v>#N/A</v>
      </c>
      <c r="E63" s="23" t="e">
        <v>#N/A</v>
      </c>
    </row>
    <row r="64" spans="1:5" x14ac:dyDescent="0.2">
      <c r="A64" t="s">
        <v>2142</v>
      </c>
      <c r="B64" s="21" t="s">
        <v>2145</v>
      </c>
      <c r="C64" s="17">
        <v>17704.57109999999</v>
      </c>
      <c r="D64" s="23" t="e">
        <v>#N/A</v>
      </c>
      <c r="E64" s="23" t="e">
        <v>#N/A</v>
      </c>
    </row>
    <row r="65" spans="1:5" x14ac:dyDescent="0.2">
      <c r="A65" t="s">
        <v>2142</v>
      </c>
      <c r="B65" s="21" t="s">
        <v>2146</v>
      </c>
      <c r="C65" s="17">
        <v>20848.916913999998</v>
      </c>
      <c r="D65" s="23" t="e">
        <v>#N/A</v>
      </c>
      <c r="E65" s="23" t="e">
        <v>#N/A</v>
      </c>
    </row>
    <row r="66" spans="1:5" x14ac:dyDescent="0.2">
      <c r="A66" t="s">
        <v>2142</v>
      </c>
      <c r="B66" s="21" t="s">
        <v>2147</v>
      </c>
      <c r="C66" s="17">
        <v>43243.558899999982</v>
      </c>
      <c r="D66" s="23" t="e">
        <v>#N/A</v>
      </c>
      <c r="E66" s="23" t="e">
        <v>#N/A</v>
      </c>
    </row>
    <row r="67" spans="1:5" x14ac:dyDescent="0.2">
      <c r="A67" t="s">
        <v>2142</v>
      </c>
      <c r="B67" s="21" t="s">
        <v>2140</v>
      </c>
      <c r="C67" s="17">
        <v>36106.234799999998</v>
      </c>
      <c r="D67" s="23" t="e">
        <v>#N/A</v>
      </c>
      <c r="E67" s="23" t="e">
        <v>#N/A</v>
      </c>
    </row>
    <row r="68" spans="1:5" x14ac:dyDescent="0.2">
      <c r="A68" t="s">
        <v>2142</v>
      </c>
      <c r="B68" s="21" t="s">
        <v>2148</v>
      </c>
      <c r="C68" s="17">
        <v>25585.220934000008</v>
      </c>
      <c r="D68" s="23" t="e">
        <v>#N/A</v>
      </c>
      <c r="E68" s="23" t="e">
        <v>#N/A</v>
      </c>
    </row>
    <row r="69" spans="1:5" x14ac:dyDescent="0.2">
      <c r="A69" t="s">
        <v>2142</v>
      </c>
      <c r="B69" s="21" t="s">
        <v>2149</v>
      </c>
      <c r="C69" s="17">
        <v>17478.481099999994</v>
      </c>
      <c r="D69" s="23" t="e">
        <v>#N/A</v>
      </c>
      <c r="E69" s="23" t="e">
        <v>#N/A</v>
      </c>
    </row>
    <row r="70" spans="1:5" x14ac:dyDescent="0.2">
      <c r="A70" t="s">
        <v>2142</v>
      </c>
      <c r="B70" s="21" t="s">
        <v>2150</v>
      </c>
      <c r="C70" s="17">
        <v>36903.867949999993</v>
      </c>
      <c r="D70" s="23" t="e">
        <v>#N/A</v>
      </c>
      <c r="E70" s="23" t="e">
        <v>#N/A</v>
      </c>
    </row>
    <row r="71" spans="1:5" x14ac:dyDescent="0.2">
      <c r="A71" t="s">
        <v>2142</v>
      </c>
      <c r="B71" s="21" t="s">
        <v>2151</v>
      </c>
      <c r="C71" s="17">
        <v>24378.913784999997</v>
      </c>
      <c r="D71" s="23" t="e">
        <v>#N/A</v>
      </c>
      <c r="E71" s="23" t="e">
        <v>#N/A</v>
      </c>
    </row>
    <row r="72" spans="1:5" x14ac:dyDescent="0.2">
      <c r="A72" t="s">
        <v>2142</v>
      </c>
      <c r="B72" s="21" t="s">
        <v>2152</v>
      </c>
      <c r="C72" s="17">
        <v>33097.994584</v>
      </c>
      <c r="D72" s="23" t="e">
        <v>#N/A</v>
      </c>
      <c r="E72" s="23" t="e">
        <v>#N/A</v>
      </c>
    </row>
    <row r="73" spans="1:5" x14ac:dyDescent="0.2">
      <c r="A73" t="s">
        <v>2142</v>
      </c>
      <c r="B73" s="21" t="s">
        <v>2153</v>
      </c>
      <c r="C73" s="17">
        <v>49054.106956999996</v>
      </c>
      <c r="D73" s="23" t="e">
        <v>#N/A</v>
      </c>
      <c r="E73" s="23" t="e">
        <v>#N/A</v>
      </c>
    </row>
    <row r="74" spans="1:5" x14ac:dyDescent="0.2">
      <c r="A74" t="s">
        <v>2142</v>
      </c>
      <c r="B74" s="21" t="s">
        <v>2154</v>
      </c>
      <c r="C74" s="17">
        <v>39559.994481000016</v>
      </c>
      <c r="D74" s="23" t="e">
        <v>#N/A</v>
      </c>
      <c r="E74" s="23" t="e">
        <v>#N/A</v>
      </c>
    </row>
    <row r="75" spans="1:5" x14ac:dyDescent="0.2">
      <c r="A75" t="s">
        <v>2142</v>
      </c>
      <c r="B75" s="21" t="s">
        <v>2155</v>
      </c>
      <c r="C75" s="17">
        <v>37494.124718999999</v>
      </c>
      <c r="D75" s="23" t="e">
        <v>#N/A</v>
      </c>
      <c r="E75" s="23" t="e">
        <v>#N/A</v>
      </c>
    </row>
    <row r="76" spans="1:5" x14ac:dyDescent="0.2">
      <c r="A76" t="s">
        <v>2143</v>
      </c>
      <c r="B76" s="21" t="s">
        <v>2145</v>
      </c>
      <c r="C76" s="17">
        <v>43312.513599999977</v>
      </c>
      <c r="D76" s="23" t="e">
        <v>#N/A</v>
      </c>
      <c r="E76" s="23" t="e">
        <v>#N/A</v>
      </c>
    </row>
    <row r="77" spans="1:5" x14ac:dyDescent="0.2">
      <c r="A77" t="s">
        <v>2143</v>
      </c>
      <c r="B77" s="21" t="s">
        <v>2146</v>
      </c>
      <c r="C77" s="17">
        <v>25158.407909999991</v>
      </c>
      <c r="D77" s="23" t="e">
        <v>#N/A</v>
      </c>
      <c r="E77" s="23" t="e">
        <v>#N/A</v>
      </c>
    </row>
    <row r="78" spans="1:5" x14ac:dyDescent="0.2">
      <c r="A78" t="s">
        <v>2143</v>
      </c>
      <c r="B78" s="21" t="s">
        <v>2147</v>
      </c>
      <c r="C78" s="17">
        <v>37636.12515</v>
      </c>
      <c r="D78" s="23" t="e">
        <v>#N/A</v>
      </c>
      <c r="E78" s="23" t="e">
        <v>#N/A</v>
      </c>
    </row>
    <row r="79" spans="1:5" x14ac:dyDescent="0.2">
      <c r="A79" t="s">
        <v>2143</v>
      </c>
      <c r="B79" s="21" t="s">
        <v>2140</v>
      </c>
      <c r="C79" s="17">
        <v>31361.037740000007</v>
      </c>
      <c r="D79" s="23" t="e">
        <v>#N/A</v>
      </c>
      <c r="E79" s="23" t="e">
        <v>#N/A</v>
      </c>
    </row>
    <row r="80" spans="1:5" x14ac:dyDescent="0.2">
      <c r="A80" t="s">
        <v>2143</v>
      </c>
      <c r="B80" s="21" t="s">
        <v>2148</v>
      </c>
      <c r="C80" s="17">
        <v>29371.456403999997</v>
      </c>
      <c r="D80" s="23" t="e">
        <v>#N/A</v>
      </c>
      <c r="E80" s="23" t="e">
        <v>#N/A</v>
      </c>
    </row>
    <row r="81" spans="1:5" x14ac:dyDescent="0.2">
      <c r="A81" t="s">
        <v>2143</v>
      </c>
      <c r="B81" s="21" t="s">
        <v>2149</v>
      </c>
      <c r="C81" s="17">
        <v>30454.273799999999</v>
      </c>
      <c r="D81" s="23" t="e">
        <v>#N/A</v>
      </c>
      <c r="E81" s="23" t="e">
        <v>#N/A</v>
      </c>
    </row>
    <row r="82" spans="1:5" x14ac:dyDescent="0.2">
      <c r="A82" t="s">
        <v>2143</v>
      </c>
      <c r="B82" s="21" t="s">
        <v>2150</v>
      </c>
      <c r="C82" s="17">
        <v>26393.575904999983</v>
      </c>
      <c r="D82" s="23" t="e">
        <v>#N/A</v>
      </c>
      <c r="E82" s="23" t="e">
        <v>#N/A</v>
      </c>
    </row>
    <row r="83" spans="1:5" x14ac:dyDescent="0.2">
      <c r="A83" t="s">
        <v>2143</v>
      </c>
      <c r="B83" s="21" t="s">
        <v>2151</v>
      </c>
      <c r="C83" s="17">
        <v>13660.979200000002</v>
      </c>
      <c r="D83" s="23" t="e">
        <v>#N/A</v>
      </c>
      <c r="E83" s="23" t="e">
        <v>#N/A</v>
      </c>
    </row>
    <row r="84" spans="1:5" x14ac:dyDescent="0.2">
      <c r="A84" t="s">
        <v>2143</v>
      </c>
      <c r="B84" s="21" t="s">
        <v>2152</v>
      </c>
      <c r="C84" s="17">
        <v>34579.944134999998</v>
      </c>
      <c r="D84" s="23" t="e">
        <v>#N/A</v>
      </c>
      <c r="E84" s="23" t="e">
        <v>#N/A</v>
      </c>
    </row>
    <row r="85" spans="1:5" x14ac:dyDescent="0.2">
      <c r="A85" t="s">
        <v>2143</v>
      </c>
      <c r="B85" s="21" t="s">
        <v>2153</v>
      </c>
      <c r="C85" s="17">
        <v>21137.482421000012</v>
      </c>
      <c r="D85" s="23" t="e">
        <v>#N/A</v>
      </c>
      <c r="E85" s="23" t="e">
        <v>#N/A</v>
      </c>
    </row>
    <row r="86" spans="1:5" x14ac:dyDescent="0.2">
      <c r="A86" t="s">
        <v>2143</v>
      </c>
      <c r="B86" s="21" t="s">
        <v>2154</v>
      </c>
      <c r="C86" s="17">
        <v>27543.036874999994</v>
      </c>
      <c r="D86" s="23" t="e">
        <v>#N/A</v>
      </c>
      <c r="E86" s="23" t="e">
        <v>#N/A</v>
      </c>
    </row>
    <row r="87" spans="1:5" x14ac:dyDescent="0.2">
      <c r="A87" t="s">
        <v>2143</v>
      </c>
      <c r="B87" s="21" t="s">
        <v>2155</v>
      </c>
      <c r="C87" s="17">
        <v>21292.976254999994</v>
      </c>
      <c r="D87" s="23" t="e">
        <v>#N/A</v>
      </c>
      <c r="E87" s="23" t="e">
        <v>#N/A</v>
      </c>
    </row>
    <row r="89" spans="1:5" ht="21" x14ac:dyDescent="0.25">
      <c r="A89" s="26" t="s">
        <v>2166</v>
      </c>
    </row>
    <row r="90" spans="1:5" x14ac:dyDescent="0.2">
      <c r="A90" s="13" t="s">
        <v>2136</v>
      </c>
      <c r="B90" t="s">
        <v>2187</v>
      </c>
    </row>
    <row r="92" spans="1:5" x14ac:dyDescent="0.2">
      <c r="A92" s="13" t="s">
        <v>15</v>
      </c>
      <c r="B92" s="13" t="s">
        <v>16</v>
      </c>
      <c r="C92" t="s">
        <v>2163</v>
      </c>
      <c r="D92" t="s">
        <v>2162</v>
      </c>
    </row>
    <row r="93" spans="1:5" x14ac:dyDescent="0.2">
      <c r="A93" t="s">
        <v>49</v>
      </c>
      <c r="B93" t="s">
        <v>80</v>
      </c>
      <c r="C93" s="17">
        <v>43175.89</v>
      </c>
      <c r="D93" s="17">
        <v>3167.2399999999993</v>
      </c>
    </row>
    <row r="94" spans="1:5" x14ac:dyDescent="0.2">
      <c r="A94" t="s">
        <v>49</v>
      </c>
      <c r="B94" t="s">
        <v>112</v>
      </c>
      <c r="C94" s="17">
        <v>34075.67</v>
      </c>
      <c r="D94" s="17">
        <v>4401.9100000000008</v>
      </c>
    </row>
    <row r="95" spans="1:5" x14ac:dyDescent="0.2">
      <c r="A95" t="s">
        <v>49</v>
      </c>
      <c r="B95" t="s">
        <v>50</v>
      </c>
      <c r="C95" s="17">
        <v>13054.09</v>
      </c>
      <c r="D95" s="17">
        <v>1507.93</v>
      </c>
    </row>
    <row r="96" spans="1:5" x14ac:dyDescent="0.2">
      <c r="A96" t="s">
        <v>49</v>
      </c>
      <c r="B96" t="s">
        <v>83</v>
      </c>
      <c r="C96" s="17">
        <v>24688.61</v>
      </c>
      <c r="D96" s="17">
        <v>-118.45031600000016</v>
      </c>
    </row>
    <row r="97" spans="1:4" x14ac:dyDescent="0.2">
      <c r="A97" t="s">
        <v>26</v>
      </c>
      <c r="B97" t="s">
        <v>34</v>
      </c>
      <c r="C97" s="17">
        <v>16610.62</v>
      </c>
      <c r="D97" s="17">
        <v>1618.2600000000002</v>
      </c>
    </row>
    <row r="98" spans="1:4" x14ac:dyDescent="0.2">
      <c r="A98" t="s">
        <v>26</v>
      </c>
      <c r="B98" t="s">
        <v>37</v>
      </c>
      <c r="C98" s="17">
        <v>14683.680000000002</v>
      </c>
      <c r="D98" s="17">
        <v>3431.2920000000008</v>
      </c>
    </row>
    <row r="99" spans="1:4" x14ac:dyDescent="0.2">
      <c r="A99" t="s">
        <v>26</v>
      </c>
      <c r="B99" t="s">
        <v>76</v>
      </c>
      <c r="C99" s="17">
        <v>5974.0199999999995</v>
      </c>
      <c r="D99" s="17">
        <v>1718.34</v>
      </c>
    </row>
    <row r="100" spans="1:4" x14ac:dyDescent="0.2">
      <c r="A100" t="s">
        <v>26</v>
      </c>
      <c r="B100" t="s">
        <v>88</v>
      </c>
      <c r="C100" s="17">
        <v>693.95999999999992</v>
      </c>
      <c r="D100" s="17">
        <v>308.76</v>
      </c>
    </row>
    <row r="101" spans="1:4" x14ac:dyDescent="0.2">
      <c r="A101" t="s">
        <v>26</v>
      </c>
      <c r="B101" t="s">
        <v>61</v>
      </c>
      <c r="C101" s="17">
        <v>12460.639999999998</v>
      </c>
      <c r="D101" s="17">
        <v>2010.5699999999995</v>
      </c>
    </row>
    <row r="102" spans="1:4" x14ac:dyDescent="0.2">
      <c r="A102" t="s">
        <v>26</v>
      </c>
      <c r="B102" t="s">
        <v>95</v>
      </c>
      <c r="C102" s="17">
        <v>2161.2200000000003</v>
      </c>
      <c r="D102" s="17">
        <v>10.309999999999993</v>
      </c>
    </row>
    <row r="103" spans="1:4" x14ac:dyDescent="0.2">
      <c r="A103" t="s">
        <v>26</v>
      </c>
      <c r="B103" t="s">
        <v>66</v>
      </c>
      <c r="C103" s="17">
        <v>150.69</v>
      </c>
      <c r="D103" s="17">
        <v>1.7699999999999996</v>
      </c>
    </row>
    <row r="104" spans="1:4" x14ac:dyDescent="0.2">
      <c r="A104" t="s">
        <v>26</v>
      </c>
      <c r="B104" t="s">
        <v>150</v>
      </c>
      <c r="C104" s="17">
        <v>688.66</v>
      </c>
      <c r="D104" s="17">
        <v>-120.08999999999999</v>
      </c>
    </row>
    <row r="105" spans="1:4" x14ac:dyDescent="0.2">
      <c r="A105" t="s">
        <v>26</v>
      </c>
      <c r="B105" t="s">
        <v>27</v>
      </c>
      <c r="C105" s="17">
        <v>30749.350000000002</v>
      </c>
      <c r="D105" s="17">
        <v>-317.38</v>
      </c>
    </row>
    <row r="106" spans="1:4" x14ac:dyDescent="0.2">
      <c r="A106" t="s">
        <v>42</v>
      </c>
      <c r="B106" t="s">
        <v>70</v>
      </c>
      <c r="C106" s="17">
        <v>10202.570000000002</v>
      </c>
      <c r="D106" s="17">
        <v>1568.7700000000002</v>
      </c>
    </row>
    <row r="107" spans="1:4" x14ac:dyDescent="0.2">
      <c r="A107" t="s">
        <v>42</v>
      </c>
      <c r="B107" t="s">
        <v>99</v>
      </c>
      <c r="C107" s="17">
        <v>38741.57</v>
      </c>
      <c r="D107" s="17">
        <v>13640.344000000001</v>
      </c>
    </row>
    <row r="108" spans="1:4" x14ac:dyDescent="0.2">
      <c r="A108" t="s">
        <v>42</v>
      </c>
      <c r="B108" t="s">
        <v>210</v>
      </c>
      <c r="C108" s="17">
        <v>65563.08</v>
      </c>
      <c r="D108" s="17">
        <v>10371.307499999999</v>
      </c>
    </row>
    <row r="109" spans="1:4" x14ac:dyDescent="0.2">
      <c r="A109" t="s">
        <v>42</v>
      </c>
      <c r="B109" t="s">
        <v>43</v>
      </c>
      <c r="C109" s="17">
        <v>22852.360500000003</v>
      </c>
      <c r="D109" s="17">
        <v>4976.3850000000002</v>
      </c>
    </row>
    <row r="114" spans="1:7" ht="21" x14ac:dyDescent="0.25">
      <c r="A114" s="26" t="s">
        <v>2164</v>
      </c>
      <c r="E114" s="26" t="s">
        <v>2165</v>
      </c>
    </row>
    <row r="115" spans="1:7" x14ac:dyDescent="0.2">
      <c r="A115" s="13" t="s">
        <v>2136</v>
      </c>
      <c r="B115" t="s">
        <v>2187</v>
      </c>
      <c r="E115" s="13" t="s">
        <v>2136</v>
      </c>
      <c r="F115" t="s">
        <v>2187</v>
      </c>
    </row>
    <row r="117" spans="1:7" x14ac:dyDescent="0.2">
      <c r="A117" s="13" t="s">
        <v>17</v>
      </c>
      <c r="B117" t="s">
        <v>2162</v>
      </c>
      <c r="E117" s="13" t="s">
        <v>14</v>
      </c>
      <c r="F117" s="13" t="s">
        <v>11</v>
      </c>
      <c r="G117" t="s">
        <v>2162</v>
      </c>
    </row>
    <row r="118" spans="1:7" x14ac:dyDescent="0.2">
      <c r="A118" t="s">
        <v>2043</v>
      </c>
      <c r="B118" s="17">
        <v>-8389.4709000000003</v>
      </c>
      <c r="E118" t="s">
        <v>33</v>
      </c>
      <c r="F118" t="s">
        <v>1246</v>
      </c>
      <c r="G118" s="17">
        <v>-1124.48</v>
      </c>
    </row>
    <row r="119" spans="1:7" x14ac:dyDescent="0.2">
      <c r="A119" t="s">
        <v>162</v>
      </c>
      <c r="B119" s="17">
        <v>-1578.26</v>
      </c>
      <c r="E119" t="s">
        <v>33</v>
      </c>
      <c r="F119" t="s">
        <v>1829</v>
      </c>
      <c r="G119" s="17">
        <v>-205.29</v>
      </c>
    </row>
    <row r="120" spans="1:7" x14ac:dyDescent="0.2">
      <c r="A120" t="s">
        <v>1247</v>
      </c>
      <c r="B120" s="17">
        <v>-1153.9000000000001</v>
      </c>
      <c r="E120" t="s">
        <v>33</v>
      </c>
      <c r="F120" t="s">
        <v>1870</v>
      </c>
      <c r="G120" s="17">
        <v>-139.4958</v>
      </c>
    </row>
    <row r="121" spans="1:7" x14ac:dyDescent="0.2">
      <c r="A121" t="s">
        <v>128</v>
      </c>
      <c r="B121" s="17">
        <v>-1085.52</v>
      </c>
      <c r="E121" t="s">
        <v>33</v>
      </c>
      <c r="F121" t="s">
        <v>1278</v>
      </c>
      <c r="G121" s="17">
        <v>-64.239999999999995</v>
      </c>
    </row>
    <row r="122" spans="1:7" x14ac:dyDescent="0.2">
      <c r="A122" t="s">
        <v>1136</v>
      </c>
      <c r="B122" s="17">
        <v>-969.0483660000001</v>
      </c>
      <c r="E122" t="s">
        <v>33</v>
      </c>
      <c r="F122" t="s">
        <v>1747</v>
      </c>
      <c r="G122" s="17">
        <v>-50.86</v>
      </c>
    </row>
    <row r="123" spans="1:7" x14ac:dyDescent="0.2">
      <c r="A123" t="s">
        <v>233</v>
      </c>
      <c r="B123" s="17">
        <v>-683.51</v>
      </c>
      <c r="E123" t="s">
        <v>33</v>
      </c>
      <c r="F123" t="s">
        <v>982</v>
      </c>
      <c r="G123" s="17">
        <v>-30.19</v>
      </c>
    </row>
    <row r="124" spans="1:7" x14ac:dyDescent="0.2">
      <c r="A124" t="s">
        <v>1207</v>
      </c>
      <c r="B124" s="17">
        <v>-577.47989999999993</v>
      </c>
      <c r="E124" t="s">
        <v>33</v>
      </c>
      <c r="F124" t="s">
        <v>1423</v>
      </c>
      <c r="G124" s="17">
        <v>4.41</v>
      </c>
    </row>
    <row r="125" spans="1:7" x14ac:dyDescent="0.2">
      <c r="A125" t="s">
        <v>100</v>
      </c>
      <c r="B125" s="17">
        <v>-571.24</v>
      </c>
      <c r="E125" t="s">
        <v>33</v>
      </c>
      <c r="F125" t="s">
        <v>1597</v>
      </c>
      <c r="G125" s="17">
        <v>11.83</v>
      </c>
    </row>
    <row r="126" spans="1:7" x14ac:dyDescent="0.2">
      <c r="A126" t="s">
        <v>325</v>
      </c>
      <c r="B126" s="17">
        <v>-549.27</v>
      </c>
      <c r="E126" t="s">
        <v>33</v>
      </c>
      <c r="F126" t="s">
        <v>2119</v>
      </c>
      <c r="G126" s="17">
        <v>20</v>
      </c>
    </row>
    <row r="127" spans="1:7" x14ac:dyDescent="0.2">
      <c r="A127" t="s">
        <v>342</v>
      </c>
      <c r="B127" s="17">
        <v>-522.59</v>
      </c>
      <c r="E127" t="s">
        <v>33</v>
      </c>
      <c r="F127" t="s">
        <v>1465</v>
      </c>
      <c r="G127" s="17">
        <v>28.24</v>
      </c>
    </row>
    <row r="128" spans="1:7" x14ac:dyDescent="0.2">
      <c r="A128" t="s">
        <v>426</v>
      </c>
      <c r="B128" s="17">
        <v>-404.77</v>
      </c>
      <c r="E128" t="s">
        <v>33</v>
      </c>
      <c r="F128" t="s">
        <v>2046</v>
      </c>
      <c r="G128" s="17">
        <v>38.089999999999996</v>
      </c>
    </row>
    <row r="129" spans="1:7" x14ac:dyDescent="0.2">
      <c r="A129" t="s">
        <v>605</v>
      </c>
      <c r="B129" s="17">
        <v>-403.74</v>
      </c>
      <c r="E129" t="s">
        <v>33</v>
      </c>
      <c r="F129" t="s">
        <v>1462</v>
      </c>
      <c r="G129" s="17">
        <v>54.598050000000008</v>
      </c>
    </row>
    <row r="130" spans="1:7" x14ac:dyDescent="0.2">
      <c r="A130" t="s">
        <v>840</v>
      </c>
      <c r="B130" s="17">
        <v>-331.82</v>
      </c>
      <c r="E130" t="s">
        <v>33</v>
      </c>
      <c r="F130" t="s">
        <v>1513</v>
      </c>
      <c r="G130" s="17">
        <v>75.521999999999991</v>
      </c>
    </row>
    <row r="131" spans="1:7" x14ac:dyDescent="0.2">
      <c r="A131" t="s">
        <v>441</v>
      </c>
      <c r="B131" s="17">
        <v>-272.46999999999997</v>
      </c>
      <c r="E131" t="s">
        <v>33</v>
      </c>
      <c r="F131" t="s">
        <v>1849</v>
      </c>
      <c r="G131" s="17">
        <v>96.539999999999992</v>
      </c>
    </row>
    <row r="132" spans="1:7" x14ac:dyDescent="0.2">
      <c r="A132" t="s">
        <v>948</v>
      </c>
      <c r="B132" s="17">
        <v>-261.45</v>
      </c>
      <c r="E132" t="s">
        <v>33</v>
      </c>
      <c r="F132" t="s">
        <v>1096</v>
      </c>
      <c r="G132" s="17">
        <v>109.29</v>
      </c>
    </row>
    <row r="133" spans="1:7" x14ac:dyDescent="0.2">
      <c r="A133" t="s">
        <v>1143</v>
      </c>
      <c r="B133" s="17">
        <v>-248.69</v>
      </c>
      <c r="E133" t="s">
        <v>33</v>
      </c>
      <c r="F133" t="s">
        <v>1255</v>
      </c>
      <c r="G133" s="17">
        <v>111.58799999999999</v>
      </c>
    </row>
    <row r="134" spans="1:7" x14ac:dyDescent="0.2">
      <c r="A134" t="s">
        <v>267</v>
      </c>
      <c r="B134" s="17">
        <v>-233.14</v>
      </c>
      <c r="E134" t="s">
        <v>33</v>
      </c>
      <c r="F134" t="s">
        <v>1733</v>
      </c>
      <c r="G134" s="17">
        <v>483.95299999999997</v>
      </c>
    </row>
    <row r="135" spans="1:7" x14ac:dyDescent="0.2">
      <c r="A135" t="s">
        <v>1633</v>
      </c>
      <c r="B135" s="17">
        <v>-214.15299999999999</v>
      </c>
      <c r="E135" t="s">
        <v>33</v>
      </c>
      <c r="F135" t="s">
        <v>1540</v>
      </c>
      <c r="G135" s="17">
        <v>723.33300000000008</v>
      </c>
    </row>
    <row r="136" spans="1:7" x14ac:dyDescent="0.2">
      <c r="A136" t="s">
        <v>693</v>
      </c>
      <c r="B136" s="17">
        <v>-194.85</v>
      </c>
      <c r="E136" t="s">
        <v>33</v>
      </c>
      <c r="F136" t="s">
        <v>1842</v>
      </c>
      <c r="G136" s="17">
        <v>6998.84</v>
      </c>
    </row>
    <row r="137" spans="1:7" x14ac:dyDescent="0.2">
      <c r="A137" t="s">
        <v>784</v>
      </c>
      <c r="B137" s="17">
        <v>-185.88900000000001</v>
      </c>
      <c r="E137" t="s">
        <v>33</v>
      </c>
      <c r="F137" t="s">
        <v>1856</v>
      </c>
      <c r="G137" s="17">
        <v>7176.12</v>
      </c>
    </row>
    <row r="138" spans="1:7" x14ac:dyDescent="0.2">
      <c r="A138" t="s">
        <v>375</v>
      </c>
      <c r="B138" s="17">
        <v>-180.45</v>
      </c>
      <c r="E138" t="s">
        <v>41</v>
      </c>
      <c r="F138" t="s">
        <v>650</v>
      </c>
      <c r="G138" s="17">
        <v>-969.0483660000001</v>
      </c>
    </row>
    <row r="139" spans="1:7" x14ac:dyDescent="0.2">
      <c r="A139" t="s">
        <v>1649</v>
      </c>
      <c r="B139" s="17">
        <v>-180.23</v>
      </c>
      <c r="E139" t="s">
        <v>41</v>
      </c>
      <c r="F139" t="s">
        <v>190</v>
      </c>
      <c r="G139" s="17">
        <v>-741.78</v>
      </c>
    </row>
    <row r="140" spans="1:7" x14ac:dyDescent="0.2">
      <c r="A140" t="s">
        <v>192</v>
      </c>
      <c r="B140" s="17">
        <v>-175.47</v>
      </c>
      <c r="E140" t="s">
        <v>41</v>
      </c>
      <c r="F140" t="s">
        <v>969</v>
      </c>
      <c r="G140" s="17">
        <v>-577.47989999999993</v>
      </c>
    </row>
    <row r="141" spans="1:7" x14ac:dyDescent="0.2">
      <c r="A141" t="s">
        <v>262</v>
      </c>
      <c r="B141" s="17">
        <v>-170.87</v>
      </c>
      <c r="E141" t="s">
        <v>41</v>
      </c>
      <c r="F141" t="s">
        <v>1010</v>
      </c>
      <c r="G141" s="17">
        <v>-522.59</v>
      </c>
    </row>
    <row r="142" spans="1:7" x14ac:dyDescent="0.2">
      <c r="A142" t="s">
        <v>678</v>
      </c>
      <c r="B142" s="17">
        <v>-170.07</v>
      </c>
      <c r="E142" t="s">
        <v>41</v>
      </c>
      <c r="F142" t="s">
        <v>886</v>
      </c>
      <c r="G142" s="17">
        <v>-293.13</v>
      </c>
    </row>
    <row r="143" spans="1:7" x14ac:dyDescent="0.2">
      <c r="A143" t="s">
        <v>462</v>
      </c>
      <c r="B143" s="17">
        <v>-150.374</v>
      </c>
      <c r="E143" t="s">
        <v>41</v>
      </c>
      <c r="F143" t="s">
        <v>1062</v>
      </c>
      <c r="G143" s="17">
        <v>-175.47</v>
      </c>
    </row>
    <row r="144" spans="1:7" x14ac:dyDescent="0.2">
      <c r="A144" t="s">
        <v>1271</v>
      </c>
      <c r="B144" s="17">
        <v>-149.93</v>
      </c>
      <c r="E144" t="s">
        <v>41</v>
      </c>
      <c r="F144" t="s">
        <v>1908</v>
      </c>
      <c r="G144" s="17">
        <v>-175.2</v>
      </c>
    </row>
    <row r="145" spans="1:7" x14ac:dyDescent="0.2">
      <c r="A145" t="s">
        <v>270</v>
      </c>
      <c r="B145" s="17">
        <v>-147.81</v>
      </c>
      <c r="E145" t="s">
        <v>41</v>
      </c>
      <c r="F145" t="s">
        <v>1473</v>
      </c>
      <c r="G145" s="17">
        <v>-170.87</v>
      </c>
    </row>
    <row r="146" spans="1:7" x14ac:dyDescent="0.2">
      <c r="A146" t="s">
        <v>470</v>
      </c>
      <c r="B146" s="17">
        <v>-139.4958</v>
      </c>
      <c r="E146" t="s">
        <v>41</v>
      </c>
      <c r="F146" t="s">
        <v>2027</v>
      </c>
      <c r="G146" s="17">
        <v>-100.336</v>
      </c>
    </row>
    <row r="147" spans="1:7" x14ac:dyDescent="0.2">
      <c r="A147" t="s">
        <v>1647</v>
      </c>
      <c r="B147" s="17">
        <v>-136.84</v>
      </c>
      <c r="E147" t="s">
        <v>41</v>
      </c>
      <c r="F147" t="s">
        <v>91</v>
      </c>
      <c r="G147" s="17">
        <v>-46.03</v>
      </c>
    </row>
    <row r="148" spans="1:7" x14ac:dyDescent="0.2">
      <c r="A148" t="s">
        <v>1317</v>
      </c>
      <c r="B148" s="17">
        <v>-136.02000000000001</v>
      </c>
      <c r="E148" t="s">
        <v>41</v>
      </c>
      <c r="F148" t="s">
        <v>1852</v>
      </c>
      <c r="G148" s="17">
        <v>-26.451499999999996</v>
      </c>
    </row>
    <row r="149" spans="1:7" x14ac:dyDescent="0.2">
      <c r="A149" t="s">
        <v>216</v>
      </c>
      <c r="B149" s="17">
        <v>-133.06</v>
      </c>
      <c r="E149" t="s">
        <v>41</v>
      </c>
      <c r="F149" t="s">
        <v>1361</v>
      </c>
      <c r="G149" s="17">
        <v>-24.88</v>
      </c>
    </row>
    <row r="150" spans="1:7" x14ac:dyDescent="0.2">
      <c r="A150" t="s">
        <v>1446</v>
      </c>
      <c r="B150" s="17">
        <v>-131.27000000000001</v>
      </c>
      <c r="E150" t="s">
        <v>41</v>
      </c>
      <c r="F150" t="s">
        <v>1015</v>
      </c>
      <c r="G150" s="17">
        <v>-20.21</v>
      </c>
    </row>
    <row r="151" spans="1:7" x14ac:dyDescent="0.2">
      <c r="A151" t="s">
        <v>878</v>
      </c>
      <c r="B151" s="17">
        <v>-126.7</v>
      </c>
      <c r="E151" t="s">
        <v>41</v>
      </c>
      <c r="F151" t="s">
        <v>2042</v>
      </c>
      <c r="G151" s="17">
        <v>-4.8459000000000003</v>
      </c>
    </row>
    <row r="152" spans="1:7" x14ac:dyDescent="0.2">
      <c r="A152" t="s">
        <v>570</v>
      </c>
      <c r="B152" s="17">
        <v>-115.53</v>
      </c>
      <c r="E152" t="s">
        <v>41</v>
      </c>
      <c r="F152" t="s">
        <v>973</v>
      </c>
      <c r="G152" s="17">
        <v>-2.64</v>
      </c>
    </row>
    <row r="153" spans="1:7" x14ac:dyDescent="0.2">
      <c r="A153" t="s">
        <v>1629</v>
      </c>
      <c r="B153" s="17">
        <v>-101.5</v>
      </c>
      <c r="E153" t="s">
        <v>41</v>
      </c>
      <c r="F153" t="s">
        <v>1748</v>
      </c>
      <c r="G153" s="17">
        <v>0.8460000000000012</v>
      </c>
    </row>
    <row r="154" spans="1:7" x14ac:dyDescent="0.2">
      <c r="A154" t="s">
        <v>370</v>
      </c>
      <c r="B154" s="17">
        <v>-97.195999999999998</v>
      </c>
      <c r="E154" t="s">
        <v>41</v>
      </c>
      <c r="F154" t="s">
        <v>657</v>
      </c>
      <c r="G154" s="17">
        <v>33.779999999999987</v>
      </c>
    </row>
    <row r="155" spans="1:7" x14ac:dyDescent="0.2">
      <c r="A155" t="s">
        <v>1097</v>
      </c>
      <c r="B155" s="17">
        <v>-92.55</v>
      </c>
      <c r="E155" t="s">
        <v>41</v>
      </c>
      <c r="F155" t="s">
        <v>1490</v>
      </c>
      <c r="G155" s="17">
        <v>34.68</v>
      </c>
    </row>
    <row r="156" spans="1:7" x14ac:dyDescent="0.2">
      <c r="A156" t="s">
        <v>453</v>
      </c>
      <c r="B156" s="17">
        <v>-84.076499999999996</v>
      </c>
      <c r="E156" t="s">
        <v>41</v>
      </c>
      <c r="F156" t="s">
        <v>1635</v>
      </c>
      <c r="G156" s="17">
        <v>128.11000000000001</v>
      </c>
    </row>
    <row r="157" spans="1:7" x14ac:dyDescent="0.2">
      <c r="A157" t="s">
        <v>422</v>
      </c>
      <c r="B157" s="17">
        <v>-81.55</v>
      </c>
      <c r="E157" t="s">
        <v>41</v>
      </c>
      <c r="F157" t="s">
        <v>1929</v>
      </c>
      <c r="G157" s="17">
        <v>160.58000000000001</v>
      </c>
    </row>
    <row r="158" spans="1:7" x14ac:dyDescent="0.2">
      <c r="A158" t="s">
        <v>991</v>
      </c>
      <c r="B158" s="17">
        <v>-76.141499999999994</v>
      </c>
      <c r="E158" t="s">
        <v>41</v>
      </c>
      <c r="F158" t="s">
        <v>1957</v>
      </c>
      <c r="G158" s="17">
        <v>179.2</v>
      </c>
    </row>
    <row r="159" spans="1:7" x14ac:dyDescent="0.2">
      <c r="A159" t="s">
        <v>1476</v>
      </c>
      <c r="B159" s="17">
        <v>-74.64</v>
      </c>
      <c r="E159" t="s">
        <v>41</v>
      </c>
      <c r="F159" t="s">
        <v>1710</v>
      </c>
      <c r="G159" s="17">
        <v>341.26700000000005</v>
      </c>
    </row>
    <row r="160" spans="1:7" x14ac:dyDescent="0.2">
      <c r="A160" t="s">
        <v>1092</v>
      </c>
      <c r="B160" s="17">
        <v>-71.046999999999997</v>
      </c>
      <c r="E160" t="s">
        <v>41</v>
      </c>
      <c r="F160" t="s">
        <v>1661</v>
      </c>
      <c r="G160" s="17">
        <v>368.79</v>
      </c>
    </row>
    <row r="161" spans="1:7" x14ac:dyDescent="0.2">
      <c r="A161" t="s">
        <v>643</v>
      </c>
      <c r="B161" s="17">
        <v>-70.31</v>
      </c>
      <c r="E161" t="s">
        <v>41</v>
      </c>
      <c r="F161" t="s">
        <v>1847</v>
      </c>
      <c r="G161" s="17">
        <v>669.976</v>
      </c>
    </row>
    <row r="162" spans="1:7" x14ac:dyDescent="0.2">
      <c r="A162" t="s">
        <v>1221</v>
      </c>
      <c r="B162" s="17">
        <v>-64.239999999999995</v>
      </c>
      <c r="E162" t="s">
        <v>41</v>
      </c>
      <c r="F162" t="s">
        <v>815</v>
      </c>
      <c r="G162" s="17">
        <v>1088.58</v>
      </c>
    </row>
    <row r="163" spans="1:7" x14ac:dyDescent="0.2">
      <c r="A163" t="s">
        <v>837</v>
      </c>
      <c r="B163" s="17">
        <v>-63.700999999999993</v>
      </c>
      <c r="E163" t="s">
        <v>41</v>
      </c>
      <c r="F163" t="s">
        <v>871</v>
      </c>
      <c r="G163" s="17">
        <v>1462.7239999999999</v>
      </c>
    </row>
    <row r="164" spans="1:7" x14ac:dyDescent="0.2">
      <c r="A164" t="s">
        <v>707</v>
      </c>
      <c r="B164" s="17">
        <v>-62.46</v>
      </c>
      <c r="E164" t="s">
        <v>41</v>
      </c>
      <c r="F164" t="s">
        <v>1698</v>
      </c>
      <c r="G164" s="17">
        <v>5170.58</v>
      </c>
    </row>
    <row r="165" spans="1:7" x14ac:dyDescent="0.2">
      <c r="A165" t="s">
        <v>1186</v>
      </c>
      <c r="B165" s="17">
        <v>-60.74</v>
      </c>
      <c r="E165" t="s">
        <v>41</v>
      </c>
      <c r="F165" t="s">
        <v>1517</v>
      </c>
      <c r="G165" s="17">
        <v>12748.86</v>
      </c>
    </row>
    <row r="166" spans="1:7" x14ac:dyDescent="0.2">
      <c r="A166" t="s">
        <v>1224</v>
      </c>
      <c r="B166" s="17">
        <v>-55.07</v>
      </c>
      <c r="E166" t="s">
        <v>60</v>
      </c>
      <c r="F166" t="s">
        <v>2066</v>
      </c>
      <c r="G166" s="17">
        <v>-8454.7623999999996</v>
      </c>
    </row>
    <row r="167" spans="1:7" x14ac:dyDescent="0.2">
      <c r="A167" t="s">
        <v>937</v>
      </c>
      <c r="B167" s="17">
        <v>-50.86</v>
      </c>
      <c r="E167" t="s">
        <v>60</v>
      </c>
      <c r="F167" t="s">
        <v>1644</v>
      </c>
      <c r="G167" s="17">
        <v>-1446.03</v>
      </c>
    </row>
    <row r="168" spans="1:7" x14ac:dyDescent="0.2">
      <c r="A168" t="s">
        <v>345</v>
      </c>
      <c r="B168" s="17">
        <v>-46.98</v>
      </c>
      <c r="E168" t="s">
        <v>60</v>
      </c>
      <c r="F168" t="s">
        <v>1142</v>
      </c>
      <c r="G168" s="17">
        <v>-775.34999999999991</v>
      </c>
    </row>
    <row r="169" spans="1:7" x14ac:dyDescent="0.2">
      <c r="A169" t="s">
        <v>346</v>
      </c>
      <c r="B169" s="17">
        <v>-46.89</v>
      </c>
      <c r="E169" t="s">
        <v>60</v>
      </c>
      <c r="F169" t="s">
        <v>2106</v>
      </c>
      <c r="G169" s="17">
        <v>-403.74</v>
      </c>
    </row>
    <row r="170" spans="1:7" x14ac:dyDescent="0.2">
      <c r="A170" t="s">
        <v>1669</v>
      </c>
      <c r="B170" s="17">
        <v>-46.68</v>
      </c>
      <c r="E170" t="s">
        <v>60</v>
      </c>
      <c r="F170" t="s">
        <v>1611</v>
      </c>
      <c r="G170" s="17">
        <v>-214.15299999999999</v>
      </c>
    </row>
    <row r="171" spans="1:7" x14ac:dyDescent="0.2">
      <c r="A171" t="s">
        <v>156</v>
      </c>
      <c r="B171" s="17">
        <v>-46.03</v>
      </c>
      <c r="E171" t="s">
        <v>60</v>
      </c>
      <c r="F171" t="s">
        <v>1906</v>
      </c>
      <c r="G171" s="17">
        <v>-147.65999999999997</v>
      </c>
    </row>
    <row r="172" spans="1:7" x14ac:dyDescent="0.2">
      <c r="A172" t="s">
        <v>340</v>
      </c>
      <c r="B172" s="17">
        <v>-44.81</v>
      </c>
      <c r="E172" t="s">
        <v>60</v>
      </c>
      <c r="F172" t="s">
        <v>1204</v>
      </c>
      <c r="G172" s="17">
        <v>-133.06</v>
      </c>
    </row>
    <row r="173" spans="1:7" x14ac:dyDescent="0.2">
      <c r="A173" t="s">
        <v>176</v>
      </c>
      <c r="B173" s="17">
        <v>-43.97</v>
      </c>
      <c r="E173" t="s">
        <v>60</v>
      </c>
      <c r="F173" t="s">
        <v>1721</v>
      </c>
      <c r="G173" s="17">
        <v>-131.27000000000001</v>
      </c>
    </row>
    <row r="174" spans="1:7" x14ac:dyDescent="0.2">
      <c r="A174" t="s">
        <v>732</v>
      </c>
      <c r="B174" s="17">
        <v>-43.21</v>
      </c>
      <c r="E174" t="s">
        <v>60</v>
      </c>
      <c r="F174" t="s">
        <v>1810</v>
      </c>
      <c r="G174" s="17">
        <v>-87.34</v>
      </c>
    </row>
    <row r="175" spans="1:7" x14ac:dyDescent="0.2">
      <c r="A175" t="s">
        <v>1232</v>
      </c>
      <c r="B175" s="17">
        <v>-37.200000000000003</v>
      </c>
      <c r="E175" t="s">
        <v>60</v>
      </c>
      <c r="F175" t="s">
        <v>2036</v>
      </c>
      <c r="G175" s="17">
        <v>-79.959999999999994</v>
      </c>
    </row>
    <row r="176" spans="1:7" x14ac:dyDescent="0.2">
      <c r="A176" t="s">
        <v>259</v>
      </c>
      <c r="B176" s="17">
        <v>-32.270000000000003</v>
      </c>
      <c r="E176" t="s">
        <v>60</v>
      </c>
      <c r="F176" t="s">
        <v>747</v>
      </c>
      <c r="G176" s="17">
        <v>-72.53</v>
      </c>
    </row>
    <row r="177" spans="1:7" x14ac:dyDescent="0.2">
      <c r="A177" t="s">
        <v>1822</v>
      </c>
      <c r="B177" s="17">
        <v>-30.19</v>
      </c>
      <c r="E177" t="s">
        <v>60</v>
      </c>
      <c r="F177" t="s">
        <v>1582</v>
      </c>
      <c r="G177" s="17">
        <v>-71.046999999999997</v>
      </c>
    </row>
    <row r="178" spans="1:7" x14ac:dyDescent="0.2">
      <c r="A178" t="s">
        <v>794</v>
      </c>
      <c r="B178" s="17">
        <v>-27.72</v>
      </c>
      <c r="E178" t="s">
        <v>60</v>
      </c>
      <c r="F178" t="s">
        <v>147</v>
      </c>
      <c r="G178" s="17">
        <v>-25.22</v>
      </c>
    </row>
    <row r="179" spans="1:7" x14ac:dyDescent="0.2">
      <c r="A179" t="s">
        <v>995</v>
      </c>
      <c r="B179" s="17">
        <v>-25.22</v>
      </c>
      <c r="E179" t="s">
        <v>60</v>
      </c>
      <c r="F179" t="s">
        <v>1262</v>
      </c>
      <c r="G179" s="17">
        <v>-9.1899999999999977</v>
      </c>
    </row>
    <row r="180" spans="1:7" x14ac:dyDescent="0.2">
      <c r="A180" t="s">
        <v>1054</v>
      </c>
      <c r="B180" s="17">
        <v>-24.88</v>
      </c>
      <c r="E180" t="s">
        <v>60</v>
      </c>
      <c r="F180" t="s">
        <v>1312</v>
      </c>
      <c r="G180" s="17">
        <v>11.38</v>
      </c>
    </row>
    <row r="181" spans="1:7" x14ac:dyDescent="0.2">
      <c r="A181" t="s">
        <v>1210</v>
      </c>
      <c r="B181" s="17">
        <v>-24.15</v>
      </c>
      <c r="E181" t="s">
        <v>60</v>
      </c>
      <c r="F181" t="s">
        <v>1570</v>
      </c>
      <c r="G181" s="17">
        <v>29.68</v>
      </c>
    </row>
    <row r="182" spans="1:7" x14ac:dyDescent="0.2">
      <c r="A182" t="s">
        <v>587</v>
      </c>
      <c r="B182" s="17">
        <v>-21.77</v>
      </c>
      <c r="E182" t="s">
        <v>60</v>
      </c>
      <c r="F182" t="s">
        <v>1869</v>
      </c>
      <c r="G182" s="17">
        <v>55.21</v>
      </c>
    </row>
    <row r="183" spans="1:7" x14ac:dyDescent="0.2">
      <c r="A183" t="s">
        <v>804</v>
      </c>
      <c r="B183" s="17">
        <v>-20.329999999999998</v>
      </c>
      <c r="E183" t="s">
        <v>60</v>
      </c>
      <c r="F183" t="s">
        <v>1695</v>
      </c>
      <c r="G183" s="17">
        <v>146.166</v>
      </c>
    </row>
    <row r="184" spans="1:7" x14ac:dyDescent="0.2">
      <c r="A184" t="s">
        <v>1066</v>
      </c>
      <c r="B184" s="17">
        <v>-19.75</v>
      </c>
      <c r="E184" t="s">
        <v>60</v>
      </c>
      <c r="F184" t="s">
        <v>1844</v>
      </c>
      <c r="G184" s="17">
        <v>760.79</v>
      </c>
    </row>
    <row r="185" spans="1:7" x14ac:dyDescent="0.2">
      <c r="A185" t="s">
        <v>204</v>
      </c>
      <c r="B185" s="17">
        <v>-18.809999999999999</v>
      </c>
      <c r="E185" t="s">
        <v>60</v>
      </c>
      <c r="F185" t="s">
        <v>1190</v>
      </c>
      <c r="G185" s="17">
        <v>782.47</v>
      </c>
    </row>
    <row r="186" spans="1:7" x14ac:dyDescent="0.2">
      <c r="A186" t="s">
        <v>396</v>
      </c>
      <c r="B186" s="17">
        <v>-14.98</v>
      </c>
      <c r="E186" t="s">
        <v>60</v>
      </c>
      <c r="F186" t="s">
        <v>1970</v>
      </c>
      <c r="G186" s="17">
        <v>981.48099999999999</v>
      </c>
    </row>
    <row r="187" spans="1:7" x14ac:dyDescent="0.2">
      <c r="A187" t="s">
        <v>1100</v>
      </c>
      <c r="B187" s="17">
        <v>-12.753499999999999</v>
      </c>
      <c r="E187" t="s">
        <v>60</v>
      </c>
      <c r="F187" t="s">
        <v>1250</v>
      </c>
      <c r="G187" s="17">
        <v>1382.4064999999998</v>
      </c>
    </row>
    <row r="188" spans="1:7" x14ac:dyDescent="0.2">
      <c r="A188" t="s">
        <v>401</v>
      </c>
      <c r="B188" s="17">
        <v>-11.02</v>
      </c>
      <c r="E188" t="s">
        <v>60</v>
      </c>
      <c r="F188" t="s">
        <v>2100</v>
      </c>
      <c r="G188" s="17">
        <v>1464.8670000000002</v>
      </c>
    </row>
    <row r="189" spans="1:7" x14ac:dyDescent="0.2">
      <c r="A189" t="s">
        <v>741</v>
      </c>
      <c r="B189" s="17">
        <v>-10.67</v>
      </c>
      <c r="E189" t="s">
        <v>60</v>
      </c>
      <c r="F189" t="s">
        <v>1909</v>
      </c>
      <c r="G189" s="17">
        <v>1689.1530000000002</v>
      </c>
    </row>
    <row r="190" spans="1:7" x14ac:dyDescent="0.2">
      <c r="A190" t="s">
        <v>1577</v>
      </c>
      <c r="B190" s="17">
        <v>-10.06</v>
      </c>
      <c r="E190" t="s">
        <v>60</v>
      </c>
      <c r="F190" t="s">
        <v>53</v>
      </c>
      <c r="G190" s="17">
        <v>2644.5600000000004</v>
      </c>
    </row>
    <row r="191" spans="1:7" x14ac:dyDescent="0.2">
      <c r="A191" t="s">
        <v>781</v>
      </c>
      <c r="B191" s="17">
        <v>-9.19</v>
      </c>
      <c r="E191" t="s">
        <v>25</v>
      </c>
      <c r="F191" t="s">
        <v>1415</v>
      </c>
      <c r="G191" s="17">
        <v>-1083.1399999999999</v>
      </c>
    </row>
    <row r="192" spans="1:7" x14ac:dyDescent="0.2">
      <c r="A192" t="s">
        <v>860</v>
      </c>
      <c r="B192" s="17">
        <v>-9.08</v>
      </c>
      <c r="E192" t="s">
        <v>25</v>
      </c>
      <c r="F192" t="s">
        <v>1593</v>
      </c>
      <c r="G192" s="17">
        <v>-173.66</v>
      </c>
    </row>
    <row r="193" spans="1:7" x14ac:dyDescent="0.2">
      <c r="A193" t="s">
        <v>1573</v>
      </c>
      <c r="B193" s="17">
        <v>-6.79</v>
      </c>
      <c r="E193" t="s">
        <v>25</v>
      </c>
      <c r="F193" t="s">
        <v>1578</v>
      </c>
      <c r="G193" s="17">
        <v>-123.07</v>
      </c>
    </row>
    <row r="194" spans="1:7" x14ac:dyDescent="0.2">
      <c r="A194" t="s">
        <v>541</v>
      </c>
      <c r="B194" s="17">
        <v>-6.37</v>
      </c>
      <c r="E194" t="s">
        <v>25</v>
      </c>
      <c r="F194" t="s">
        <v>188</v>
      </c>
      <c r="G194" s="17">
        <v>-93.87</v>
      </c>
    </row>
    <row r="195" spans="1:7" x14ac:dyDescent="0.2">
      <c r="A195" t="s">
        <v>687</v>
      </c>
      <c r="B195" s="17">
        <v>-4.8459000000000003</v>
      </c>
      <c r="E195" t="s">
        <v>25</v>
      </c>
      <c r="F195" t="s">
        <v>1560</v>
      </c>
      <c r="G195" s="17">
        <v>-72.22999999999999</v>
      </c>
    </row>
    <row r="196" spans="1:7" x14ac:dyDescent="0.2">
      <c r="A196" t="s">
        <v>699</v>
      </c>
      <c r="B196" s="17">
        <v>-2.64</v>
      </c>
      <c r="E196" t="s">
        <v>25</v>
      </c>
      <c r="F196" t="s">
        <v>1543</v>
      </c>
      <c r="G196" s="17">
        <v>-62.46</v>
      </c>
    </row>
    <row r="197" spans="1:7" x14ac:dyDescent="0.2">
      <c r="A197" t="s">
        <v>913</v>
      </c>
      <c r="B197" s="17">
        <v>-1.78</v>
      </c>
      <c r="E197" t="s">
        <v>25</v>
      </c>
      <c r="F197" t="s">
        <v>1536</v>
      </c>
      <c r="G197" s="17">
        <v>-46.68</v>
      </c>
    </row>
    <row r="198" spans="1:7" x14ac:dyDescent="0.2">
      <c r="A198" t="s">
        <v>368</v>
      </c>
      <c r="B198" s="17">
        <v>-1.36</v>
      </c>
      <c r="E198" t="s">
        <v>25</v>
      </c>
      <c r="F198" t="s">
        <v>719</v>
      </c>
      <c r="G198" s="17">
        <v>-43.21</v>
      </c>
    </row>
    <row r="199" spans="1:7" x14ac:dyDescent="0.2">
      <c r="A199" t="s">
        <v>1198</v>
      </c>
      <c r="B199" s="17">
        <v>-0.53</v>
      </c>
      <c r="E199" t="s">
        <v>25</v>
      </c>
      <c r="F199" t="s">
        <v>1727</v>
      </c>
      <c r="G199" s="17">
        <v>-32.270000000000003</v>
      </c>
    </row>
    <row r="200" spans="1:7" x14ac:dyDescent="0.2">
      <c r="A200" t="s">
        <v>987</v>
      </c>
      <c r="B200" s="17">
        <v>0.64600000000000002</v>
      </c>
      <c r="E200" t="s">
        <v>25</v>
      </c>
      <c r="F200" t="s">
        <v>1864</v>
      </c>
      <c r="G200" s="17">
        <v>-30.406499999999994</v>
      </c>
    </row>
    <row r="201" spans="1:7" x14ac:dyDescent="0.2">
      <c r="A201" t="s">
        <v>1703</v>
      </c>
      <c r="B201" s="17">
        <v>2.38</v>
      </c>
      <c r="E201" t="s">
        <v>25</v>
      </c>
      <c r="F201" t="s">
        <v>1489</v>
      </c>
      <c r="G201" s="17">
        <v>-18.809999999999999</v>
      </c>
    </row>
    <row r="202" spans="1:7" x14ac:dyDescent="0.2">
      <c r="A202" t="s">
        <v>303</v>
      </c>
      <c r="B202" s="17">
        <v>4.41</v>
      </c>
      <c r="E202" t="s">
        <v>25</v>
      </c>
      <c r="F202" t="s">
        <v>806</v>
      </c>
      <c r="G202" s="17">
        <v>-16.491000000000014</v>
      </c>
    </row>
    <row r="203" spans="1:7" x14ac:dyDescent="0.2">
      <c r="A203" t="s">
        <v>1188</v>
      </c>
      <c r="B203" s="17">
        <v>6.99</v>
      </c>
      <c r="E203" t="s">
        <v>25</v>
      </c>
      <c r="F203" t="s">
        <v>1462</v>
      </c>
      <c r="G203" s="17">
        <v>-10.060000000000002</v>
      </c>
    </row>
    <row r="204" spans="1:7" x14ac:dyDescent="0.2">
      <c r="A204" t="s">
        <v>1087</v>
      </c>
      <c r="B204" s="17">
        <v>11.38</v>
      </c>
      <c r="E204" t="s">
        <v>25</v>
      </c>
      <c r="F204" t="s">
        <v>803</v>
      </c>
      <c r="G204" s="17">
        <v>-9.7999999999998977E-2</v>
      </c>
    </row>
    <row r="205" spans="1:7" x14ac:dyDescent="0.2">
      <c r="A205" t="s">
        <v>623</v>
      </c>
      <c r="B205" s="17">
        <v>11.83</v>
      </c>
      <c r="E205" t="s">
        <v>25</v>
      </c>
      <c r="F205" t="s">
        <v>1620</v>
      </c>
      <c r="G205" s="17">
        <v>0.64600000000000002</v>
      </c>
    </row>
    <row r="206" spans="1:7" x14ac:dyDescent="0.2">
      <c r="A206" t="s">
        <v>1239</v>
      </c>
      <c r="B206" s="17">
        <v>20</v>
      </c>
      <c r="E206" t="s">
        <v>25</v>
      </c>
      <c r="F206" t="s">
        <v>1200</v>
      </c>
      <c r="G206" s="17">
        <v>2.490000000000002</v>
      </c>
    </row>
    <row r="207" spans="1:7" x14ac:dyDescent="0.2">
      <c r="A207" t="s">
        <v>629</v>
      </c>
      <c r="B207" s="17">
        <v>20.231999999999999</v>
      </c>
      <c r="E207" t="s">
        <v>25</v>
      </c>
      <c r="F207" t="s">
        <v>2069</v>
      </c>
      <c r="G207" s="17">
        <v>78.62</v>
      </c>
    </row>
    <row r="208" spans="1:7" x14ac:dyDescent="0.2">
      <c r="A208" t="s">
        <v>269</v>
      </c>
      <c r="B208" s="17">
        <v>21.471</v>
      </c>
      <c r="E208" t="s">
        <v>25</v>
      </c>
      <c r="F208" t="s">
        <v>1472</v>
      </c>
      <c r="G208" s="17">
        <v>162.18</v>
      </c>
    </row>
    <row r="209" spans="1:7" x14ac:dyDescent="0.2">
      <c r="A209" t="s">
        <v>1209</v>
      </c>
      <c r="B209" s="17">
        <v>26.64</v>
      </c>
      <c r="E209" t="s">
        <v>25</v>
      </c>
      <c r="F209" t="s">
        <v>1791</v>
      </c>
      <c r="G209" s="17">
        <v>188.92000000000002</v>
      </c>
    </row>
    <row r="210" spans="1:7" x14ac:dyDescent="0.2">
      <c r="A210" t="s">
        <v>474</v>
      </c>
      <c r="B210" s="17">
        <v>28.24</v>
      </c>
      <c r="E210" t="s">
        <v>25</v>
      </c>
      <c r="F210" t="s">
        <v>2129</v>
      </c>
      <c r="G210" s="17">
        <v>748.52</v>
      </c>
    </row>
    <row r="211" spans="1:7" x14ac:dyDescent="0.2">
      <c r="A211" t="s">
        <v>581</v>
      </c>
      <c r="B211" s="17">
        <v>29.42</v>
      </c>
      <c r="E211" t="s">
        <v>25</v>
      </c>
      <c r="F211" t="s">
        <v>1963</v>
      </c>
      <c r="G211" s="17">
        <v>1298.232</v>
      </c>
    </row>
    <row r="212" spans="1:7" x14ac:dyDescent="0.2">
      <c r="A212" t="s">
        <v>1194</v>
      </c>
      <c r="B212" s="17">
        <v>29.57</v>
      </c>
      <c r="E212" t="s">
        <v>25</v>
      </c>
      <c r="F212" t="s">
        <v>1783</v>
      </c>
      <c r="G212" s="17">
        <v>1744.44</v>
      </c>
    </row>
    <row r="213" spans="1:7" x14ac:dyDescent="0.2">
      <c r="A213" t="s">
        <v>1119</v>
      </c>
      <c r="B213" s="17">
        <v>29.68</v>
      </c>
      <c r="E213" t="s">
        <v>25</v>
      </c>
      <c r="F213" t="s">
        <v>1545</v>
      </c>
      <c r="G213" s="17">
        <v>2705.875</v>
      </c>
    </row>
    <row r="214" spans="1:7" x14ac:dyDescent="0.2">
      <c r="A214" t="s">
        <v>1144</v>
      </c>
      <c r="B214" s="17">
        <v>42.8</v>
      </c>
      <c r="E214" t="s">
        <v>25</v>
      </c>
      <c r="F214" t="s">
        <v>1032</v>
      </c>
      <c r="G214" s="17">
        <v>2716.04</v>
      </c>
    </row>
    <row r="215" spans="1:7" x14ac:dyDescent="0.2">
      <c r="A215" t="s">
        <v>1561</v>
      </c>
      <c r="B215" s="17">
        <v>44</v>
      </c>
      <c r="E215" t="s">
        <v>25</v>
      </c>
      <c r="F215" t="s">
        <v>1553</v>
      </c>
      <c r="G215" s="17">
        <v>9586.0999999999985</v>
      </c>
    </row>
    <row r="216" spans="1:7" x14ac:dyDescent="0.2">
      <c r="A216" t="s">
        <v>244</v>
      </c>
      <c r="B216" s="17">
        <v>44.14</v>
      </c>
    </row>
    <row r="217" spans="1:7" x14ac:dyDescent="0.2">
      <c r="A217" t="s">
        <v>377</v>
      </c>
      <c r="B217" s="17">
        <v>44.58</v>
      </c>
    </row>
    <row r="218" spans="1:7" x14ac:dyDescent="0.2">
      <c r="A218" t="s">
        <v>116</v>
      </c>
      <c r="B218" s="17">
        <v>45.54</v>
      </c>
    </row>
    <row r="219" spans="1:7" x14ac:dyDescent="0.2">
      <c r="A219" t="s">
        <v>1360</v>
      </c>
      <c r="B219" s="17">
        <v>49.69</v>
      </c>
    </row>
    <row r="220" spans="1:7" x14ac:dyDescent="0.2">
      <c r="A220" t="s">
        <v>1116</v>
      </c>
      <c r="B220" s="17">
        <v>49.82</v>
      </c>
    </row>
    <row r="221" spans="1:7" x14ac:dyDescent="0.2">
      <c r="A221" t="s">
        <v>38</v>
      </c>
      <c r="B221" s="17">
        <v>53.048499999999997</v>
      </c>
    </row>
    <row r="222" spans="1:7" x14ac:dyDescent="0.2">
      <c r="A222" t="s">
        <v>1893</v>
      </c>
      <c r="B222" s="17">
        <v>53.67</v>
      </c>
    </row>
    <row r="223" spans="1:7" x14ac:dyDescent="0.2">
      <c r="A223" t="s">
        <v>84</v>
      </c>
      <c r="B223" s="17">
        <v>54.598050000000008</v>
      </c>
    </row>
    <row r="224" spans="1:7" x14ac:dyDescent="0.2">
      <c r="A224" t="s">
        <v>609</v>
      </c>
      <c r="B224" s="17">
        <v>55.21</v>
      </c>
    </row>
    <row r="225" spans="1:2" x14ac:dyDescent="0.2">
      <c r="A225" t="s">
        <v>550</v>
      </c>
      <c r="B225" s="17">
        <v>59.73</v>
      </c>
    </row>
    <row r="226" spans="1:2" x14ac:dyDescent="0.2">
      <c r="A226" t="s">
        <v>760</v>
      </c>
      <c r="B226" s="17">
        <v>65.628000000000014</v>
      </c>
    </row>
    <row r="227" spans="1:2" x14ac:dyDescent="0.2">
      <c r="A227" t="s">
        <v>517</v>
      </c>
      <c r="B227" s="17">
        <v>66.47</v>
      </c>
    </row>
    <row r="228" spans="1:2" x14ac:dyDescent="0.2">
      <c r="A228" t="s">
        <v>713</v>
      </c>
      <c r="B228" s="17">
        <v>76.87</v>
      </c>
    </row>
    <row r="229" spans="1:2" x14ac:dyDescent="0.2">
      <c r="A229" t="s">
        <v>723</v>
      </c>
      <c r="B229" s="17">
        <v>85.48</v>
      </c>
    </row>
    <row r="230" spans="1:2" x14ac:dyDescent="0.2">
      <c r="A230" t="s">
        <v>906</v>
      </c>
      <c r="B230" s="17">
        <v>88.68</v>
      </c>
    </row>
    <row r="231" spans="1:2" x14ac:dyDescent="0.2">
      <c r="A231" t="s">
        <v>639</v>
      </c>
      <c r="B231" s="17">
        <v>89.03</v>
      </c>
    </row>
    <row r="232" spans="1:2" x14ac:dyDescent="0.2">
      <c r="A232" t="s">
        <v>461</v>
      </c>
      <c r="B232" s="17">
        <v>109.29</v>
      </c>
    </row>
    <row r="233" spans="1:2" x14ac:dyDescent="0.2">
      <c r="A233" t="s">
        <v>773</v>
      </c>
      <c r="B233" s="17">
        <v>111.58799999999999</v>
      </c>
    </row>
    <row r="234" spans="1:2" x14ac:dyDescent="0.2">
      <c r="A234" t="s">
        <v>1370</v>
      </c>
      <c r="B234" s="17">
        <v>122.9</v>
      </c>
    </row>
    <row r="235" spans="1:2" x14ac:dyDescent="0.2">
      <c r="A235" t="s">
        <v>1434</v>
      </c>
      <c r="B235" s="17">
        <v>128.11000000000001</v>
      </c>
    </row>
    <row r="236" spans="1:2" x14ac:dyDescent="0.2">
      <c r="A236" t="s">
        <v>1148</v>
      </c>
      <c r="B236" s="17">
        <v>141.31</v>
      </c>
    </row>
    <row r="237" spans="1:2" x14ac:dyDescent="0.2">
      <c r="A237" t="s">
        <v>1269</v>
      </c>
      <c r="B237" s="17">
        <v>146.166</v>
      </c>
    </row>
    <row r="238" spans="1:2" x14ac:dyDescent="0.2">
      <c r="A238" t="s">
        <v>145</v>
      </c>
      <c r="B238" s="17">
        <v>160.47999999999999</v>
      </c>
    </row>
    <row r="239" spans="1:2" x14ac:dyDescent="0.2">
      <c r="A239" t="s">
        <v>852</v>
      </c>
      <c r="B239" s="17">
        <v>160.58000000000001</v>
      </c>
    </row>
    <row r="240" spans="1:2" x14ac:dyDescent="0.2">
      <c r="A240" t="s">
        <v>960</v>
      </c>
      <c r="B240" s="17">
        <v>195.71</v>
      </c>
    </row>
    <row r="241" spans="1:2" x14ac:dyDescent="0.2">
      <c r="A241" t="s">
        <v>1127</v>
      </c>
      <c r="B241" s="17">
        <v>239.94</v>
      </c>
    </row>
    <row r="242" spans="1:2" x14ac:dyDescent="0.2">
      <c r="A242" t="s">
        <v>955</v>
      </c>
      <c r="B242" s="17">
        <v>239.94</v>
      </c>
    </row>
    <row r="243" spans="1:2" x14ac:dyDescent="0.2">
      <c r="A243" t="s">
        <v>236</v>
      </c>
      <c r="B243" s="17">
        <v>306.25</v>
      </c>
    </row>
    <row r="244" spans="1:2" x14ac:dyDescent="0.2">
      <c r="A244" t="s">
        <v>841</v>
      </c>
      <c r="B244" s="17">
        <v>307.64</v>
      </c>
    </row>
    <row r="245" spans="1:2" x14ac:dyDescent="0.2">
      <c r="A245" t="s">
        <v>608</v>
      </c>
      <c r="B245" s="17">
        <v>357.23</v>
      </c>
    </row>
    <row r="246" spans="1:2" x14ac:dyDescent="0.2">
      <c r="A246" t="s">
        <v>887</v>
      </c>
      <c r="B246" s="17">
        <v>365.68999999999994</v>
      </c>
    </row>
    <row r="247" spans="1:2" x14ac:dyDescent="0.2">
      <c r="A247" t="s">
        <v>338</v>
      </c>
      <c r="B247" s="17">
        <v>368.79</v>
      </c>
    </row>
    <row r="248" spans="1:2" x14ac:dyDescent="0.2">
      <c r="A248" t="s">
        <v>1399</v>
      </c>
      <c r="B248" s="17">
        <v>454.38299999999998</v>
      </c>
    </row>
    <row r="249" spans="1:2" x14ac:dyDescent="0.2">
      <c r="A249" t="s">
        <v>1316</v>
      </c>
      <c r="B249" s="17">
        <v>468.19</v>
      </c>
    </row>
    <row r="250" spans="1:2" x14ac:dyDescent="0.2">
      <c r="A250" t="s">
        <v>1419</v>
      </c>
      <c r="B250" s="17">
        <v>478.10700000000003</v>
      </c>
    </row>
    <row r="251" spans="1:2" x14ac:dyDescent="0.2">
      <c r="A251" t="s">
        <v>234</v>
      </c>
      <c r="B251" s="17">
        <v>731.32</v>
      </c>
    </row>
    <row r="252" spans="1:2" x14ac:dyDescent="0.2">
      <c r="A252" t="s">
        <v>132</v>
      </c>
      <c r="B252" s="17">
        <v>749.03</v>
      </c>
    </row>
    <row r="253" spans="1:2" x14ac:dyDescent="0.2">
      <c r="A253" t="s">
        <v>1169</v>
      </c>
      <c r="B253" s="17">
        <v>760.79</v>
      </c>
    </row>
    <row r="254" spans="1:2" x14ac:dyDescent="0.2">
      <c r="A254" t="s">
        <v>1199</v>
      </c>
      <c r="B254" s="17">
        <v>875.55</v>
      </c>
    </row>
    <row r="255" spans="1:2" x14ac:dyDescent="0.2">
      <c r="A255" t="s">
        <v>637</v>
      </c>
      <c r="B255" s="17">
        <v>885.51300000000015</v>
      </c>
    </row>
    <row r="256" spans="1:2" x14ac:dyDescent="0.2">
      <c r="A256" t="s">
        <v>1569</v>
      </c>
      <c r="B256" s="17">
        <v>1025.451</v>
      </c>
    </row>
    <row r="257" spans="1:2" x14ac:dyDescent="0.2">
      <c r="A257" t="s">
        <v>946</v>
      </c>
      <c r="B257" s="17">
        <v>1040.4000000000001</v>
      </c>
    </row>
    <row r="258" spans="1:2" x14ac:dyDescent="0.2">
      <c r="A258" t="s">
        <v>821</v>
      </c>
      <c r="B258" s="17">
        <v>1110.3499999999999</v>
      </c>
    </row>
    <row r="259" spans="1:2" x14ac:dyDescent="0.2">
      <c r="A259" t="s">
        <v>1057</v>
      </c>
      <c r="B259" s="17">
        <v>1233.45</v>
      </c>
    </row>
    <row r="260" spans="1:2" x14ac:dyDescent="0.2">
      <c r="A260" t="s">
        <v>686</v>
      </c>
      <c r="B260" s="17">
        <v>1276.25</v>
      </c>
    </row>
    <row r="261" spans="1:2" x14ac:dyDescent="0.2">
      <c r="A261" t="s">
        <v>619</v>
      </c>
      <c r="B261" s="17">
        <v>1462.7239999999999</v>
      </c>
    </row>
    <row r="262" spans="1:2" x14ac:dyDescent="0.2">
      <c r="A262" t="s">
        <v>473</v>
      </c>
      <c r="B262" s="17">
        <v>1545.09</v>
      </c>
    </row>
    <row r="263" spans="1:2" x14ac:dyDescent="0.2">
      <c r="A263" t="s">
        <v>1719</v>
      </c>
      <c r="B263" s="17">
        <v>2249.6400000000003</v>
      </c>
    </row>
    <row r="264" spans="1:2" x14ac:dyDescent="0.2">
      <c r="A264" t="s">
        <v>302</v>
      </c>
      <c r="B264" s="17">
        <v>2786.35</v>
      </c>
    </row>
    <row r="265" spans="1:2" x14ac:dyDescent="0.2">
      <c r="A265" t="s">
        <v>616</v>
      </c>
      <c r="B265" s="17">
        <v>2821.4050000000002</v>
      </c>
    </row>
    <row r="266" spans="1:2" x14ac:dyDescent="0.2">
      <c r="A266" t="s">
        <v>232</v>
      </c>
      <c r="B266" s="17">
        <v>3122.78</v>
      </c>
    </row>
    <row r="267" spans="1:2" x14ac:dyDescent="0.2">
      <c r="A267" t="s">
        <v>119</v>
      </c>
      <c r="B267" s="17">
        <v>5365.43</v>
      </c>
    </row>
    <row r="268" spans="1:2" x14ac:dyDescent="0.2">
      <c r="A268" t="s">
        <v>301</v>
      </c>
      <c r="B268" s="17">
        <v>7132.18</v>
      </c>
    </row>
    <row r="269" spans="1:2" x14ac:dyDescent="0.2">
      <c r="A269" t="s">
        <v>1016</v>
      </c>
      <c r="B269" s="17">
        <v>7176.12</v>
      </c>
    </row>
    <row r="270" spans="1:2" x14ac:dyDescent="0.2">
      <c r="A270" t="s">
        <v>851</v>
      </c>
      <c r="B270" s="17">
        <v>8788.81</v>
      </c>
    </row>
    <row r="271" spans="1:2" x14ac:dyDescent="0.2">
      <c r="A271" t="s">
        <v>644</v>
      </c>
      <c r="B271" s="17">
        <v>12748.86</v>
      </c>
    </row>
  </sheetData>
  <conditionalFormatting sqref="C4">
    <cfRule type="expression" dxfId="44" priority="15">
      <formula>D4 &gt; 0</formula>
    </cfRule>
    <cfRule type="expression" dxfId="43" priority="16">
      <formula>D4 &lt; 0</formula>
    </cfRule>
  </conditionalFormatting>
  <conditionalFormatting sqref="O4">
    <cfRule type="expression" dxfId="42" priority="11">
      <formula>P4 &gt; 0</formula>
    </cfRule>
    <cfRule type="expression" dxfId="41" priority="12">
      <formula>P4 &lt; 0</formula>
    </cfRule>
  </conditionalFormatting>
  <conditionalFormatting sqref="U4">
    <cfRule type="expression" dxfId="40" priority="9">
      <formula>V4 &gt; 0</formula>
    </cfRule>
    <cfRule type="expression" dxfId="39" priority="10">
      <formula>V4 &lt; 0</formula>
    </cfRule>
  </conditionalFormatting>
  <conditionalFormatting sqref="AA4">
    <cfRule type="expression" dxfId="38" priority="7">
      <formula>AB4 &gt; 0</formula>
    </cfRule>
    <cfRule type="expression" dxfId="37" priority="8">
      <formula>AB4 &lt; 0</formula>
    </cfRule>
  </conditionalFormatting>
  <conditionalFormatting sqref="AG4">
    <cfRule type="expression" dxfId="36" priority="5">
      <formula>AH4 &gt; 0</formula>
    </cfRule>
    <cfRule type="expression" dxfId="35" priority="6">
      <formula>AH4 &lt; 0</formula>
    </cfRule>
  </conditionalFormatting>
  <conditionalFormatting sqref="I4">
    <cfRule type="expression" dxfId="34" priority="1">
      <formula>J4 &gt; 0</formula>
    </cfRule>
    <cfRule type="expression" dxfId="33" priority="2">
      <formula>J4 &lt; 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66716-A8F6-0E4E-8585-27619B4841AC}">
  <sheetPr codeName="Лист2"/>
  <dimension ref="A1:AB8400"/>
  <sheetViews>
    <sheetView topLeftCell="A2" workbookViewId="0">
      <selection activeCell="Q1" sqref="Q1"/>
    </sheetView>
  </sheetViews>
  <sheetFormatPr baseColWidth="10" defaultRowHeight="16" x14ac:dyDescent="0.2"/>
  <cols>
    <col min="3" max="3" width="11.1640625" customWidth="1"/>
    <col min="4" max="4" width="16.33203125" customWidth="1"/>
    <col min="5" max="5" width="13" customWidth="1"/>
    <col min="6" max="6" width="13.83203125" customWidth="1"/>
    <col min="12" max="12" width="12.33203125" customWidth="1"/>
    <col min="13" max="13" width="14.5" customWidth="1"/>
    <col min="16" max="16" width="16.33203125" customWidth="1"/>
    <col min="17" max="17" width="15.1640625" customWidth="1"/>
    <col min="18" max="18" width="18.1640625" customWidth="1"/>
    <col min="19" max="19" width="13.1640625" customWidth="1"/>
    <col min="20" max="20" width="15.5" customWidth="1"/>
    <col min="21" max="21" width="17.6640625" customWidth="1"/>
    <col min="23" max="23" width="13.1640625" customWidth="1"/>
    <col min="24" max="24" width="11.1640625" customWidth="1"/>
  </cols>
  <sheetData>
    <row r="1" spans="1:28" x14ac:dyDescent="0.2">
      <c r="A1" s="1" t="s">
        <v>0</v>
      </c>
      <c r="B1" s="1" t="s">
        <v>1</v>
      </c>
      <c r="C1" s="2" t="s">
        <v>2</v>
      </c>
      <c r="D1" s="2" t="s">
        <v>2136</v>
      </c>
      <c r="E1" s="2" t="s">
        <v>3</v>
      </c>
      <c r="F1" s="3" t="s">
        <v>4</v>
      </c>
      <c r="G1" s="2" t="s">
        <v>5</v>
      </c>
      <c r="H1" s="2" t="s">
        <v>6</v>
      </c>
      <c r="I1" s="2" t="s">
        <v>7</v>
      </c>
      <c r="J1" s="4" t="s">
        <v>8</v>
      </c>
      <c r="K1" s="5" t="s">
        <v>9</v>
      </c>
      <c r="L1" s="5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3" t="s">
        <v>17</v>
      </c>
      <c r="T1" s="2" t="s">
        <v>18</v>
      </c>
      <c r="U1" s="3" t="s">
        <v>19</v>
      </c>
      <c r="V1" s="2" t="s">
        <v>20</v>
      </c>
      <c r="W1" s="22" t="s">
        <v>2158</v>
      </c>
      <c r="X1" s="22" t="s">
        <v>2159</v>
      </c>
      <c r="Y1" s="22" t="s">
        <v>2175</v>
      </c>
      <c r="Z1" s="22" t="s">
        <v>2180</v>
      </c>
    </row>
    <row r="2" spans="1:28" x14ac:dyDescent="0.2">
      <c r="A2" s="6">
        <v>1</v>
      </c>
      <c r="B2" s="7">
        <v>3</v>
      </c>
      <c r="C2" s="8">
        <f>DATE(2012,12,31)-810</f>
        <v>40464</v>
      </c>
      <c r="D2" s="8" t="str">
        <f>TEXT(C2,"гггг-ММ (ММММ гггг)")</f>
        <v>2010-10 (октябрь 2010)</v>
      </c>
      <c r="E2" s="9" t="s">
        <v>21</v>
      </c>
      <c r="F2" s="7">
        <v>6</v>
      </c>
      <c r="G2" s="7">
        <v>261.54000000000002</v>
      </c>
      <c r="H2" s="7">
        <v>0.04</v>
      </c>
      <c r="I2" s="9" t="s">
        <v>22</v>
      </c>
      <c r="J2" s="10">
        <v>-213.25</v>
      </c>
      <c r="K2" s="11">
        <v>38.94</v>
      </c>
      <c r="L2" s="11">
        <v>35</v>
      </c>
      <c r="M2" s="9" t="s">
        <v>23</v>
      </c>
      <c r="N2" s="6" t="s">
        <v>24</v>
      </c>
      <c r="O2" s="6" t="s">
        <v>24</v>
      </c>
      <c r="P2" s="9" t="s">
        <v>25</v>
      </c>
      <c r="Q2" s="9" t="s">
        <v>26</v>
      </c>
      <c r="R2" s="9" t="s">
        <v>27</v>
      </c>
      <c r="S2" s="7" t="s">
        <v>28</v>
      </c>
      <c r="T2" s="9" t="s">
        <v>29</v>
      </c>
      <c r="U2" s="7">
        <v>0.8</v>
      </c>
      <c r="V2" s="12">
        <f>C2+7</f>
        <v>40471</v>
      </c>
      <c r="W2">
        <f>IF(D2=' Pivot Tables'!$A$4,1,0)</f>
        <v>0</v>
      </c>
      <c r="X2">
        <f>IF(AND(LEFT(D2,4)+1=LEFT(' Pivot Tables'!$A$4,4)+0,RIGHT(LEFT(D2,7),2)=RIGHT(LEFT(' Pivot Tables'!$A$4,7),2)),1,0)</f>
        <v>0</v>
      </c>
      <c r="Y2" s="6">
        <f>1/COUNTIF(Таблица1[Order ID],Таблица1[[#This Row],[Order ID]])</f>
        <v>1</v>
      </c>
      <c r="Z2" s="6">
        <f>1/COUNTIFS(Таблица1[Customer Name],Таблица1[[#This Row],[Customer Name]],Таблица1[Order-Year-Month],Таблица1[[#This Row],[Order-Year-Month]])</f>
        <v>1</v>
      </c>
      <c r="AB2" s="23"/>
    </row>
    <row r="3" spans="1:28" x14ac:dyDescent="0.2">
      <c r="A3" s="6">
        <v>49</v>
      </c>
      <c r="B3" s="7">
        <v>293</v>
      </c>
      <c r="C3" s="8">
        <f>DATE(2012,12,31)-91</f>
        <v>41183</v>
      </c>
      <c r="D3" s="8" t="str">
        <f t="shared" ref="D3:D66" si="0">TEXT(C3,"гггг-ММ (ММММ гггг)")</f>
        <v>2012-10 (октябрь 2012)</v>
      </c>
      <c r="E3" s="9" t="s">
        <v>30</v>
      </c>
      <c r="F3" s="7">
        <v>49</v>
      </c>
      <c r="G3" s="7">
        <v>10123.02</v>
      </c>
      <c r="H3" s="7">
        <v>7.0000000000000007E-2</v>
      </c>
      <c r="I3" s="9" t="s">
        <v>31</v>
      </c>
      <c r="J3" s="10">
        <v>457.81</v>
      </c>
      <c r="K3" s="11">
        <v>208.16</v>
      </c>
      <c r="L3" s="11">
        <v>68.02</v>
      </c>
      <c r="M3" s="9" t="s">
        <v>32</v>
      </c>
      <c r="N3" s="6" t="s">
        <v>24</v>
      </c>
      <c r="O3" s="6" t="s">
        <v>24</v>
      </c>
      <c r="P3" s="9" t="s">
        <v>33</v>
      </c>
      <c r="Q3" s="9" t="s">
        <v>26</v>
      </c>
      <c r="R3" s="9" t="s">
        <v>34</v>
      </c>
      <c r="S3" s="7" t="s">
        <v>35</v>
      </c>
      <c r="T3" s="9" t="s">
        <v>36</v>
      </c>
      <c r="U3" s="7">
        <v>0.57999999999999996</v>
      </c>
      <c r="V3" s="12">
        <f>C3+1</f>
        <v>41184</v>
      </c>
      <c r="W3">
        <f>IF(D3=' Pivot Tables'!$A$4,1,0)</f>
        <v>0</v>
      </c>
      <c r="X3">
        <f>IF(AND(LEFT(D3,4)+1=LEFT(' Pivot Tables'!$A$4,4)+0,RIGHT(LEFT(D3,7),2)=RIGHT(LEFT(' Pivot Tables'!$A$4,7),2)),1,0)</f>
        <v>0</v>
      </c>
      <c r="Y3" s="6">
        <f>1/COUNTIF(Таблица1[Order ID],Таблица1[[#This Row],[Order ID]])</f>
        <v>0.5</v>
      </c>
      <c r="Z3" s="9">
        <f>1/COUNTIFS(Таблица1[Customer Name],Таблица1[[#This Row],[Customer Name]],Таблица1[Order-Year-Month],Таблица1[[#This Row],[Order-Year-Month]])</f>
        <v>0.5</v>
      </c>
    </row>
    <row r="4" spans="1:28" x14ac:dyDescent="0.2">
      <c r="A4" s="6">
        <v>50</v>
      </c>
      <c r="B4" s="7">
        <v>293</v>
      </c>
      <c r="C4" s="8">
        <f>DATE(2012,12,31)-91</f>
        <v>41183</v>
      </c>
      <c r="D4" s="8" t="str">
        <f t="shared" si="0"/>
        <v>2012-10 (октябрь 2012)</v>
      </c>
      <c r="E4" s="9" t="s">
        <v>30</v>
      </c>
      <c r="F4" s="7">
        <v>27</v>
      </c>
      <c r="G4" s="7">
        <v>244.57</v>
      </c>
      <c r="H4" s="7">
        <v>0.01</v>
      </c>
      <c r="I4" s="9" t="s">
        <v>22</v>
      </c>
      <c r="J4" s="10">
        <v>46.707500000000003</v>
      </c>
      <c r="K4" s="11">
        <v>8.69</v>
      </c>
      <c r="L4" s="11">
        <v>2.99</v>
      </c>
      <c r="M4" s="9" t="s">
        <v>32</v>
      </c>
      <c r="N4" s="6" t="s">
        <v>24</v>
      </c>
      <c r="O4" s="6" t="s">
        <v>24</v>
      </c>
      <c r="P4" s="9" t="s">
        <v>33</v>
      </c>
      <c r="Q4" s="9" t="s">
        <v>26</v>
      </c>
      <c r="R4" s="9" t="s">
        <v>37</v>
      </c>
      <c r="S4" s="7" t="s">
        <v>38</v>
      </c>
      <c r="T4" s="9" t="s">
        <v>39</v>
      </c>
      <c r="U4" s="7">
        <v>0.39</v>
      </c>
      <c r="V4" s="12">
        <f>C4+2</f>
        <v>41185</v>
      </c>
      <c r="W4">
        <f>IF(D4=' Pivot Tables'!$A$4,1,0)</f>
        <v>0</v>
      </c>
      <c r="X4">
        <f>IF(AND(LEFT(D4,4)+1=LEFT(' Pivot Tables'!$A$4,4)+0,RIGHT(LEFT(D4,7),2)=RIGHT(LEFT(' Pivot Tables'!$A$4,7),2)),1,0)</f>
        <v>0</v>
      </c>
      <c r="Y4" s="6">
        <f>1/COUNTIF(Таблица1[Order ID],Таблица1[[#This Row],[Order ID]])</f>
        <v>0.5</v>
      </c>
      <c r="Z4" s="9">
        <f>1/COUNTIFS(Таблица1[Customer Name],Таблица1[[#This Row],[Customer Name]],Таблица1[Order-Year-Month],Таблица1[[#This Row],[Order-Year-Month]])</f>
        <v>0.5</v>
      </c>
    </row>
    <row r="5" spans="1:28" x14ac:dyDescent="0.2">
      <c r="A5" s="6">
        <v>80</v>
      </c>
      <c r="B5" s="7">
        <v>483</v>
      </c>
      <c r="C5" s="8">
        <f>DATE(2012,12,31)-540</f>
        <v>40734</v>
      </c>
      <c r="D5" s="8" t="str">
        <f t="shared" si="0"/>
        <v>2011-07 (июль 2011)</v>
      </c>
      <c r="E5" s="9" t="s">
        <v>30</v>
      </c>
      <c r="F5" s="7">
        <v>30</v>
      </c>
      <c r="G5" s="7">
        <v>4965.7594999999992</v>
      </c>
      <c r="H5" s="7">
        <v>0.08</v>
      </c>
      <c r="I5" s="9" t="s">
        <v>22</v>
      </c>
      <c r="J5" s="10">
        <v>1198.971</v>
      </c>
      <c r="K5" s="11">
        <v>195.99</v>
      </c>
      <c r="L5" s="11">
        <v>3.99</v>
      </c>
      <c r="M5" s="9" t="s">
        <v>40</v>
      </c>
      <c r="N5" s="6" t="s">
        <v>24</v>
      </c>
      <c r="O5" s="6" t="s">
        <v>24</v>
      </c>
      <c r="P5" s="9" t="s">
        <v>41</v>
      </c>
      <c r="Q5" s="9" t="s">
        <v>42</v>
      </c>
      <c r="R5" s="9" t="s">
        <v>43</v>
      </c>
      <c r="S5" s="7" t="s">
        <v>44</v>
      </c>
      <c r="T5" s="9" t="s">
        <v>39</v>
      </c>
      <c r="U5" s="7">
        <v>0.57999999999999996</v>
      </c>
      <c r="V5" s="12">
        <f>C5+2</f>
        <v>40736</v>
      </c>
      <c r="W5">
        <f>IF(D5=' Pivot Tables'!$A$4,1,0)</f>
        <v>0</v>
      </c>
      <c r="X5">
        <f>IF(AND(LEFT(D5,4)+1=LEFT(' Pivot Tables'!$A$4,4)+0,RIGHT(LEFT(D5,7),2)=RIGHT(LEFT(' Pivot Tables'!$A$4,7),2)),1,0)</f>
        <v>0</v>
      </c>
      <c r="Y5" s="6">
        <f>1/COUNTIF(Таблица1[Order ID],Таблица1[[#This Row],[Order ID]])</f>
        <v>1</v>
      </c>
      <c r="Z5" s="9">
        <f>1/COUNTIFS(Таблица1[Customer Name],Таблица1[[#This Row],[Customer Name]],Таблица1[Order-Year-Month],Таблица1[[#This Row],[Order-Year-Month]])</f>
        <v>1</v>
      </c>
    </row>
    <row r="6" spans="1:28" x14ac:dyDescent="0.2">
      <c r="A6" s="6">
        <v>85</v>
      </c>
      <c r="B6" s="7">
        <v>515</v>
      </c>
      <c r="C6" s="8">
        <f>DATE(2012,12,31)-856</f>
        <v>40418</v>
      </c>
      <c r="D6" s="8" t="str">
        <f t="shared" si="0"/>
        <v>2010-08 (август 2010)</v>
      </c>
      <c r="E6" s="9" t="s">
        <v>45</v>
      </c>
      <c r="F6" s="7">
        <v>19</v>
      </c>
      <c r="G6" s="7">
        <v>394.27</v>
      </c>
      <c r="H6" s="7">
        <v>0.08</v>
      </c>
      <c r="I6" s="9" t="s">
        <v>22</v>
      </c>
      <c r="J6" s="10">
        <v>30.94</v>
      </c>
      <c r="K6" s="11">
        <v>21.78</v>
      </c>
      <c r="L6" s="11">
        <v>5.94</v>
      </c>
      <c r="M6" s="9" t="s">
        <v>46</v>
      </c>
      <c r="N6" s="6" t="s">
        <v>24</v>
      </c>
      <c r="O6" s="6" t="s">
        <v>24</v>
      </c>
      <c r="P6" s="9" t="s">
        <v>33</v>
      </c>
      <c r="Q6" s="9" t="s">
        <v>26</v>
      </c>
      <c r="R6" s="9" t="s">
        <v>34</v>
      </c>
      <c r="S6" s="7" t="s">
        <v>47</v>
      </c>
      <c r="T6" s="9" t="s">
        <v>48</v>
      </c>
      <c r="U6" s="7">
        <v>0.5</v>
      </c>
      <c r="V6" s="12">
        <f>C6+2</f>
        <v>40420</v>
      </c>
      <c r="W6">
        <f>IF(D6=' Pivot Tables'!$A$4,1,0)</f>
        <v>0</v>
      </c>
      <c r="X6">
        <f>IF(AND(LEFT(D6,4)+1=LEFT(' Pivot Tables'!$A$4,4)+0,RIGHT(LEFT(D6,7),2)=RIGHT(LEFT(' Pivot Tables'!$A$4,7),2)),1,0)</f>
        <v>0</v>
      </c>
      <c r="Y6" s="6">
        <f>1/COUNTIF(Таблица1[Order ID],Таблица1[[#This Row],[Order ID]])</f>
        <v>0.5</v>
      </c>
      <c r="Z6" s="9">
        <f>1/COUNTIFS(Таблица1[Customer Name],Таблица1[[#This Row],[Customer Name]],Таблица1[Order-Year-Month],Таблица1[[#This Row],[Order-Year-Month]])</f>
        <v>0.5</v>
      </c>
    </row>
    <row r="7" spans="1:28" x14ac:dyDescent="0.2">
      <c r="A7" s="6">
        <v>86</v>
      </c>
      <c r="B7" s="7">
        <v>515</v>
      </c>
      <c r="C7" s="8">
        <f>DATE(2012,12,31)-856</f>
        <v>40418</v>
      </c>
      <c r="D7" s="8" t="str">
        <f t="shared" si="0"/>
        <v>2010-08 (август 2010)</v>
      </c>
      <c r="E7" s="9" t="s">
        <v>45</v>
      </c>
      <c r="F7" s="7">
        <v>21</v>
      </c>
      <c r="G7" s="7">
        <v>146.69</v>
      </c>
      <c r="H7" s="7">
        <v>0.05</v>
      </c>
      <c r="I7" s="9" t="s">
        <v>22</v>
      </c>
      <c r="J7" s="10">
        <v>4.43</v>
      </c>
      <c r="K7" s="11">
        <v>6.64</v>
      </c>
      <c r="L7" s="11">
        <v>4.95</v>
      </c>
      <c r="M7" s="9" t="s">
        <v>46</v>
      </c>
      <c r="N7" s="6" t="s">
        <v>24</v>
      </c>
      <c r="O7" s="6" t="s">
        <v>24</v>
      </c>
      <c r="P7" s="9" t="s">
        <v>33</v>
      </c>
      <c r="Q7" s="9" t="s">
        <v>49</v>
      </c>
      <c r="R7" s="9" t="s">
        <v>50</v>
      </c>
      <c r="S7" s="7" t="s">
        <v>51</v>
      </c>
      <c r="T7" s="9" t="s">
        <v>52</v>
      </c>
      <c r="U7" s="7">
        <v>0.37</v>
      </c>
      <c r="V7" s="12">
        <f>C7+2</f>
        <v>40420</v>
      </c>
      <c r="W7">
        <f>IF(D7=' Pivot Tables'!$A$4,1,0)</f>
        <v>0</v>
      </c>
      <c r="X7">
        <f>IF(AND(LEFT(D7,4)+1=LEFT(' Pivot Tables'!$A$4,4)+0,RIGHT(LEFT(D7,7),2)=RIGHT(LEFT(' Pivot Tables'!$A$4,7),2)),1,0)</f>
        <v>0</v>
      </c>
      <c r="Y7" s="6">
        <f>1/COUNTIF(Таблица1[Order ID],Таблица1[[#This Row],[Order ID]])</f>
        <v>0.5</v>
      </c>
      <c r="Z7" s="9">
        <f>1/COUNTIFS(Таблица1[Customer Name],Таблица1[[#This Row],[Customer Name]],Таблица1[Order-Year-Month],Таблица1[[#This Row],[Order-Year-Month]])</f>
        <v>0.5</v>
      </c>
    </row>
    <row r="8" spans="1:28" x14ac:dyDescent="0.2">
      <c r="A8" s="6">
        <v>97</v>
      </c>
      <c r="B8" s="7">
        <v>613</v>
      </c>
      <c r="C8" s="8">
        <f>DATE(2012,12,31)-563</f>
        <v>40711</v>
      </c>
      <c r="D8" s="8" t="str">
        <f t="shared" si="0"/>
        <v>2011-06 (июнь 2011)</v>
      </c>
      <c r="E8" s="9" t="s">
        <v>30</v>
      </c>
      <c r="F8" s="7">
        <v>12</v>
      </c>
      <c r="G8" s="7">
        <v>93.54</v>
      </c>
      <c r="H8" s="7">
        <v>0.03</v>
      </c>
      <c r="I8" s="9" t="s">
        <v>22</v>
      </c>
      <c r="J8" s="10">
        <v>-54.038499999999999</v>
      </c>
      <c r="K8" s="11">
        <v>7.3</v>
      </c>
      <c r="L8" s="11">
        <v>7.72</v>
      </c>
      <c r="M8" s="9" t="s">
        <v>53</v>
      </c>
      <c r="N8" s="6" t="s">
        <v>24</v>
      </c>
      <c r="O8" s="6" t="s">
        <v>24</v>
      </c>
      <c r="P8" s="9" t="s">
        <v>41</v>
      </c>
      <c r="Q8" s="9" t="s">
        <v>26</v>
      </c>
      <c r="R8" s="9" t="s">
        <v>37</v>
      </c>
      <c r="S8" s="7" t="s">
        <v>54</v>
      </c>
      <c r="T8" s="9" t="s">
        <v>39</v>
      </c>
      <c r="U8" s="7">
        <v>0.38</v>
      </c>
      <c r="V8" s="12">
        <f>C8+0</f>
        <v>40711</v>
      </c>
      <c r="W8">
        <f>IF(D8=' Pivot Tables'!$A$4,1,0)</f>
        <v>0</v>
      </c>
      <c r="X8">
        <f>IF(AND(LEFT(D8,4)+1=LEFT(' Pivot Tables'!$A$4,4)+0,RIGHT(LEFT(D8,7),2)=RIGHT(LEFT(' Pivot Tables'!$A$4,7),2)),1,0)</f>
        <v>0</v>
      </c>
      <c r="Y8" s="6">
        <f>1/COUNTIF(Таблица1[Order ID],Таблица1[[#This Row],[Order ID]])</f>
        <v>0.5</v>
      </c>
      <c r="Z8" s="9">
        <f>1/COUNTIFS(Таблица1[Customer Name],Таблица1[[#This Row],[Customer Name]],Таблица1[Order-Year-Month],Таблица1[[#This Row],[Order-Year-Month]])</f>
        <v>0.5</v>
      </c>
    </row>
    <row r="9" spans="1:28" x14ac:dyDescent="0.2">
      <c r="A9" s="6">
        <v>98</v>
      </c>
      <c r="B9" s="7">
        <v>613</v>
      </c>
      <c r="C9" s="8">
        <f>DATE(2012,12,31)-563</f>
        <v>40711</v>
      </c>
      <c r="D9" s="8" t="str">
        <f t="shared" si="0"/>
        <v>2011-06 (июнь 2011)</v>
      </c>
      <c r="E9" s="9" t="s">
        <v>30</v>
      </c>
      <c r="F9" s="7">
        <v>22</v>
      </c>
      <c r="G9" s="7">
        <v>905.08</v>
      </c>
      <c r="H9" s="7">
        <v>0.09</v>
      </c>
      <c r="I9" s="9" t="s">
        <v>22</v>
      </c>
      <c r="J9" s="10">
        <v>127.7</v>
      </c>
      <c r="K9" s="11">
        <v>42.76</v>
      </c>
      <c r="L9" s="11">
        <v>6.22</v>
      </c>
      <c r="M9" s="9" t="s">
        <v>53</v>
      </c>
      <c r="N9" s="6" t="s">
        <v>24</v>
      </c>
      <c r="O9" s="6" t="s">
        <v>24</v>
      </c>
      <c r="P9" s="9" t="s">
        <v>41</v>
      </c>
      <c r="Q9" s="9" t="s">
        <v>26</v>
      </c>
      <c r="R9" s="9" t="s">
        <v>27</v>
      </c>
      <c r="S9" s="7" t="s">
        <v>55</v>
      </c>
      <c r="T9" s="9" t="s">
        <v>39</v>
      </c>
      <c r="U9" s="7"/>
      <c r="V9" s="12">
        <f>C9+1</f>
        <v>40712</v>
      </c>
      <c r="W9">
        <f>IF(D9=' Pivot Tables'!$A$4,1,0)</f>
        <v>0</v>
      </c>
      <c r="X9">
        <f>IF(AND(LEFT(D9,4)+1=LEFT(' Pivot Tables'!$A$4,4)+0,RIGHT(LEFT(D9,7),2)=RIGHT(LEFT(' Pivot Tables'!$A$4,7),2)),1,0)</f>
        <v>0</v>
      </c>
      <c r="Y9" s="6">
        <f>1/COUNTIF(Таблица1[Order ID],Таблица1[[#This Row],[Order ID]])</f>
        <v>0.5</v>
      </c>
      <c r="Z9" s="9">
        <f>1/COUNTIFS(Таблица1[Customer Name],Таблица1[[#This Row],[Customer Name]],Таблица1[Order-Year-Month],Таблица1[[#This Row],[Order-Year-Month]])</f>
        <v>0.5</v>
      </c>
    </row>
    <row r="10" spans="1:28" x14ac:dyDescent="0.2">
      <c r="A10" s="6">
        <v>103</v>
      </c>
      <c r="B10" s="7">
        <v>643</v>
      </c>
      <c r="C10" s="8">
        <f>DATE(2012,12,31)-648</f>
        <v>40626</v>
      </c>
      <c r="D10" s="8" t="str">
        <f t="shared" si="0"/>
        <v>2011-03 (март 2011)</v>
      </c>
      <c r="E10" s="9" t="s">
        <v>30</v>
      </c>
      <c r="F10" s="7">
        <v>21</v>
      </c>
      <c r="G10" s="7">
        <v>2781.82</v>
      </c>
      <c r="H10" s="7">
        <v>7.0000000000000007E-2</v>
      </c>
      <c r="I10" s="9" t="s">
        <v>56</v>
      </c>
      <c r="J10" s="10">
        <v>-695.26</v>
      </c>
      <c r="K10" s="11">
        <v>138.13999999999999</v>
      </c>
      <c r="L10" s="11">
        <v>35</v>
      </c>
      <c r="M10" s="9" t="s">
        <v>57</v>
      </c>
      <c r="N10" s="6" t="s">
        <v>24</v>
      </c>
      <c r="O10" s="6" t="s">
        <v>24</v>
      </c>
      <c r="P10" s="9" t="s">
        <v>41</v>
      </c>
      <c r="Q10" s="9" t="s">
        <v>26</v>
      </c>
      <c r="R10" s="9" t="s">
        <v>27</v>
      </c>
      <c r="S10" s="7" t="s">
        <v>58</v>
      </c>
      <c r="T10" s="9" t="s">
        <v>29</v>
      </c>
      <c r="U10" s="7"/>
      <c r="V10" s="12">
        <f>C10+1</f>
        <v>40627</v>
      </c>
      <c r="W10">
        <f>IF(D10=' Pivot Tables'!$A$4,1,0)</f>
        <v>0</v>
      </c>
      <c r="X10">
        <f>IF(AND(LEFT(D10,4)+1=LEFT(' Pivot Tables'!$A$4,4)+0,RIGHT(LEFT(D10,7),2)=RIGHT(LEFT(' Pivot Tables'!$A$4,7),2)),1,0)</f>
        <v>0</v>
      </c>
      <c r="Y10" s="6">
        <f>1/COUNTIF(Таблица1[Order ID],Таблица1[[#This Row],[Order ID]])</f>
        <v>1</v>
      </c>
      <c r="Z10" s="9">
        <f>1/COUNTIFS(Таблица1[Customer Name],Таблица1[[#This Row],[Customer Name]],Таблица1[Order-Year-Month],Таблица1[[#This Row],[Order-Year-Month]])</f>
        <v>1</v>
      </c>
    </row>
    <row r="11" spans="1:28" x14ac:dyDescent="0.2">
      <c r="A11" s="6">
        <v>107</v>
      </c>
      <c r="B11" s="7">
        <v>678</v>
      </c>
      <c r="C11" s="8">
        <f>DATE(2012,12,31)-1039</f>
        <v>40235</v>
      </c>
      <c r="D11" s="8" t="str">
        <f t="shared" si="0"/>
        <v>2010-02 (февраль 2010)</v>
      </c>
      <c r="E11" s="9" t="s">
        <v>21</v>
      </c>
      <c r="F11" s="7">
        <v>44</v>
      </c>
      <c r="G11" s="7">
        <v>228.41</v>
      </c>
      <c r="H11" s="7">
        <v>7.0000000000000007E-2</v>
      </c>
      <c r="I11" s="9" t="s">
        <v>22</v>
      </c>
      <c r="J11" s="10">
        <v>-226.36</v>
      </c>
      <c r="K11" s="11">
        <v>4.9800000000000004</v>
      </c>
      <c r="L11" s="11">
        <v>8.33</v>
      </c>
      <c r="M11" s="9" t="s">
        <v>59</v>
      </c>
      <c r="N11" s="6" t="s">
        <v>24</v>
      </c>
      <c r="O11" s="6" t="s">
        <v>24</v>
      </c>
      <c r="P11" s="9" t="s">
        <v>60</v>
      </c>
      <c r="Q11" s="9" t="s">
        <v>26</v>
      </c>
      <c r="R11" s="9" t="s">
        <v>61</v>
      </c>
      <c r="S11" s="7" t="s">
        <v>62</v>
      </c>
      <c r="T11" s="9" t="s">
        <v>39</v>
      </c>
      <c r="U11" s="7">
        <v>0.38</v>
      </c>
      <c r="V11" s="12">
        <f>C11+0</f>
        <v>40235</v>
      </c>
      <c r="W11">
        <f>IF(D11=' Pivot Tables'!$A$4,1,0)</f>
        <v>0</v>
      </c>
      <c r="X11">
        <f>IF(AND(LEFT(D11,4)+1=LEFT(' Pivot Tables'!$A$4,4)+0,RIGHT(LEFT(D11,7),2)=RIGHT(LEFT(' Pivot Tables'!$A$4,7),2)),1,0)</f>
        <v>0</v>
      </c>
      <c r="Y11" s="6">
        <f>1/COUNTIF(Таблица1[Order ID],Таблица1[[#This Row],[Order ID]])</f>
        <v>1</v>
      </c>
      <c r="Z11" s="9">
        <f>1/COUNTIFS(Таблица1[Customer Name],Таблица1[[#This Row],[Customer Name]],Таблица1[Order-Year-Month],Таблица1[[#This Row],[Order-Year-Month]])</f>
        <v>1</v>
      </c>
    </row>
    <row r="12" spans="1:28" x14ac:dyDescent="0.2">
      <c r="A12" s="6">
        <v>127</v>
      </c>
      <c r="B12" s="7">
        <v>807</v>
      </c>
      <c r="C12" s="8">
        <f>DATE(2012,12,31)-769</f>
        <v>40505</v>
      </c>
      <c r="D12" s="8" t="str">
        <f t="shared" si="0"/>
        <v>2010-11 (ноябрь 2010)</v>
      </c>
      <c r="E12" s="9" t="s">
        <v>63</v>
      </c>
      <c r="F12" s="7">
        <v>45</v>
      </c>
      <c r="G12" s="7">
        <v>196.85</v>
      </c>
      <c r="H12" s="7">
        <v>0.01</v>
      </c>
      <c r="I12" s="9" t="s">
        <v>22</v>
      </c>
      <c r="J12" s="10">
        <v>-166.85</v>
      </c>
      <c r="K12" s="11">
        <v>4.28</v>
      </c>
      <c r="L12" s="11">
        <v>6.18</v>
      </c>
      <c r="M12" s="9" t="s">
        <v>64</v>
      </c>
      <c r="N12" s="6" t="s">
        <v>24</v>
      </c>
      <c r="O12" s="6" t="s">
        <v>24</v>
      </c>
      <c r="P12" s="9" t="s">
        <v>60</v>
      </c>
      <c r="Q12" s="9" t="s">
        <v>26</v>
      </c>
      <c r="R12" s="9" t="s">
        <v>61</v>
      </c>
      <c r="S12" s="7" t="s">
        <v>65</v>
      </c>
      <c r="T12" s="9" t="s">
        <v>39</v>
      </c>
      <c r="U12" s="7">
        <v>0.4</v>
      </c>
      <c r="V12" s="12">
        <f>C12+1</f>
        <v>40506</v>
      </c>
      <c r="W12">
        <f>IF(D12=' Pivot Tables'!$A$4,1,0)</f>
        <v>0</v>
      </c>
      <c r="X12">
        <f>IF(AND(LEFT(D12,4)+1=LEFT(' Pivot Tables'!$A$4,4)+0,RIGHT(LEFT(D12,7),2)=RIGHT(LEFT(' Pivot Tables'!$A$4,7),2)),1,0)</f>
        <v>0</v>
      </c>
      <c r="Y12" s="6">
        <f>1/COUNTIF(Таблица1[Order ID],Таблица1[[#This Row],[Order ID]])</f>
        <v>0.5</v>
      </c>
      <c r="Z12" s="9">
        <f>1/COUNTIFS(Таблица1[Customer Name],Таблица1[[#This Row],[Customer Name]],Таблица1[Order-Year-Month],Таблица1[[#This Row],[Order-Year-Month]])</f>
        <v>0.5</v>
      </c>
    </row>
    <row r="13" spans="1:28" x14ac:dyDescent="0.2">
      <c r="A13" s="6">
        <v>128</v>
      </c>
      <c r="B13" s="7">
        <v>807</v>
      </c>
      <c r="C13" s="8">
        <f>DATE(2012,12,31)-769</f>
        <v>40505</v>
      </c>
      <c r="D13" s="8" t="str">
        <f t="shared" si="0"/>
        <v>2010-11 (ноябрь 2010)</v>
      </c>
      <c r="E13" s="9" t="s">
        <v>63</v>
      </c>
      <c r="F13" s="7">
        <v>32</v>
      </c>
      <c r="G13" s="7">
        <v>124.56</v>
      </c>
      <c r="H13" s="7">
        <v>0.04</v>
      </c>
      <c r="I13" s="9" t="s">
        <v>22</v>
      </c>
      <c r="J13" s="10">
        <v>-14.33</v>
      </c>
      <c r="K13" s="11">
        <v>3.95</v>
      </c>
      <c r="L13" s="11">
        <v>2</v>
      </c>
      <c r="M13" s="9" t="s">
        <v>64</v>
      </c>
      <c r="N13" s="6" t="s">
        <v>24</v>
      </c>
      <c r="O13" s="6" t="s">
        <v>24</v>
      </c>
      <c r="P13" s="9" t="s">
        <v>60</v>
      </c>
      <c r="Q13" s="9" t="s">
        <v>26</v>
      </c>
      <c r="R13" s="9" t="s">
        <v>66</v>
      </c>
      <c r="S13" s="7" t="s">
        <v>67</v>
      </c>
      <c r="T13" s="9" t="s">
        <v>68</v>
      </c>
      <c r="U13" s="7">
        <v>0.53</v>
      </c>
      <c r="V13" s="12">
        <f>C13+1</f>
        <v>40506</v>
      </c>
      <c r="W13">
        <f>IF(D13=' Pivot Tables'!$A$4,1,0)</f>
        <v>0</v>
      </c>
      <c r="X13">
        <f>IF(AND(LEFT(D13,4)+1=LEFT(' Pivot Tables'!$A$4,4)+0,RIGHT(LEFT(D13,7),2)=RIGHT(LEFT(' Pivot Tables'!$A$4,7),2)),1,0)</f>
        <v>0</v>
      </c>
      <c r="Y13" s="6">
        <f>1/COUNTIF(Таблица1[Order ID],Таблица1[[#This Row],[Order ID]])</f>
        <v>0.5</v>
      </c>
      <c r="Z13" s="9">
        <f>1/COUNTIFS(Таблица1[Customer Name],Таблица1[[#This Row],[Customer Name]],Таблица1[Order-Year-Month],Таблица1[[#This Row],[Order-Year-Month]])</f>
        <v>0.5</v>
      </c>
    </row>
    <row r="14" spans="1:28" x14ac:dyDescent="0.2">
      <c r="A14" s="6">
        <v>134</v>
      </c>
      <c r="B14" s="7">
        <v>868</v>
      </c>
      <c r="C14" s="8">
        <f>DATE(2012,12,31)-206</f>
        <v>41068</v>
      </c>
      <c r="D14" s="8" t="str">
        <f t="shared" si="0"/>
        <v>2012-06 (июнь 2012)</v>
      </c>
      <c r="E14" s="9" t="s">
        <v>45</v>
      </c>
      <c r="F14" s="7">
        <v>32</v>
      </c>
      <c r="G14" s="7">
        <v>716.84</v>
      </c>
      <c r="H14" s="7">
        <v>0</v>
      </c>
      <c r="I14" s="9" t="s">
        <v>22</v>
      </c>
      <c r="J14" s="10">
        <v>134.72</v>
      </c>
      <c r="K14" s="11">
        <v>21.78</v>
      </c>
      <c r="L14" s="11">
        <v>5.94</v>
      </c>
      <c r="M14" s="9" t="s">
        <v>69</v>
      </c>
      <c r="N14" s="6" t="s">
        <v>24</v>
      </c>
      <c r="O14" s="6" t="s">
        <v>24</v>
      </c>
      <c r="P14" s="9" t="s">
        <v>60</v>
      </c>
      <c r="Q14" s="9" t="s">
        <v>26</v>
      </c>
      <c r="R14" s="9" t="s">
        <v>34</v>
      </c>
      <c r="S14" s="7" t="s">
        <v>47</v>
      </c>
      <c r="T14" s="9" t="s">
        <v>48</v>
      </c>
      <c r="U14" s="7">
        <v>0.5</v>
      </c>
      <c r="V14" s="12">
        <f>C14+1</f>
        <v>41069</v>
      </c>
      <c r="W14">
        <f>IF(D14=' Pivot Tables'!$A$4,1,0)</f>
        <v>0</v>
      </c>
      <c r="X14">
        <f>IF(AND(LEFT(D14,4)+1=LEFT(' Pivot Tables'!$A$4,4)+0,RIGHT(LEFT(D14,7),2)=RIGHT(LEFT(' Pivot Tables'!$A$4,7),2)),1,0)</f>
        <v>0</v>
      </c>
      <c r="Y14" s="6">
        <f>1/COUNTIF(Таблица1[Order ID],Таблица1[[#This Row],[Order ID]])</f>
        <v>0.5</v>
      </c>
      <c r="Z14" s="9">
        <f>1/COUNTIFS(Таблица1[Customer Name],Таблица1[[#This Row],[Customer Name]],Таблица1[Order-Year-Month],Таблица1[[#This Row],[Order-Year-Month]])</f>
        <v>0.33333333333333331</v>
      </c>
    </row>
    <row r="15" spans="1:28" x14ac:dyDescent="0.2">
      <c r="A15" s="6">
        <v>135</v>
      </c>
      <c r="B15" s="7">
        <v>868</v>
      </c>
      <c r="C15" s="8">
        <f>DATE(2012,12,31)-206</f>
        <v>41068</v>
      </c>
      <c r="D15" s="8" t="str">
        <f t="shared" si="0"/>
        <v>2012-06 (июнь 2012)</v>
      </c>
      <c r="E15" s="9" t="s">
        <v>45</v>
      </c>
      <c r="F15" s="7">
        <v>31</v>
      </c>
      <c r="G15" s="7">
        <v>1474.33</v>
      </c>
      <c r="H15" s="7">
        <v>0.04</v>
      </c>
      <c r="I15" s="9" t="s">
        <v>22</v>
      </c>
      <c r="J15" s="10">
        <v>114.46</v>
      </c>
      <c r="K15" s="11">
        <v>47.98</v>
      </c>
      <c r="L15" s="11">
        <v>3.61</v>
      </c>
      <c r="M15" s="9" t="s">
        <v>69</v>
      </c>
      <c r="N15" s="6" t="s">
        <v>24</v>
      </c>
      <c r="O15" s="6" t="s">
        <v>24</v>
      </c>
      <c r="P15" s="9" t="s">
        <v>60</v>
      </c>
      <c r="Q15" s="9" t="s">
        <v>42</v>
      </c>
      <c r="R15" s="9" t="s">
        <v>70</v>
      </c>
      <c r="S15" s="7" t="s">
        <v>71</v>
      </c>
      <c r="T15" s="9" t="s">
        <v>52</v>
      </c>
      <c r="U15" s="7">
        <v>0.71</v>
      </c>
      <c r="V15" s="12">
        <f>C15+2</f>
        <v>41070</v>
      </c>
      <c r="W15">
        <f>IF(D15=' Pivot Tables'!$A$4,1,0)</f>
        <v>0</v>
      </c>
      <c r="X15">
        <f>IF(AND(LEFT(D15,4)+1=LEFT(' Pivot Tables'!$A$4,4)+0,RIGHT(LEFT(D15,7),2)=RIGHT(LEFT(' Pivot Tables'!$A$4,7),2)),1,0)</f>
        <v>0</v>
      </c>
      <c r="Y15" s="6">
        <f>1/COUNTIF(Таблица1[Order ID],Таблица1[[#This Row],[Order ID]])</f>
        <v>0.5</v>
      </c>
      <c r="Z15" s="9">
        <f>1/COUNTIFS(Таблица1[Customer Name],Таблица1[[#This Row],[Customer Name]],Таблица1[Order-Year-Month],Таблица1[[#This Row],[Order-Year-Month]])</f>
        <v>0.33333333333333331</v>
      </c>
    </row>
    <row r="16" spans="1:28" x14ac:dyDescent="0.2">
      <c r="A16" s="6">
        <v>149</v>
      </c>
      <c r="B16" s="7">
        <v>933</v>
      </c>
      <c r="C16" s="8">
        <f>DATE(2012,12,31)-149</f>
        <v>41125</v>
      </c>
      <c r="D16" s="8" t="str">
        <f t="shared" si="0"/>
        <v>2012-08 (август 2012)</v>
      </c>
      <c r="E16" s="9" t="s">
        <v>45</v>
      </c>
      <c r="F16" s="7">
        <v>15</v>
      </c>
      <c r="G16" s="7">
        <v>80.61</v>
      </c>
      <c r="H16" s="7">
        <v>0.02</v>
      </c>
      <c r="I16" s="9" t="s">
        <v>22</v>
      </c>
      <c r="J16" s="10">
        <v>-4.7149999999999999</v>
      </c>
      <c r="K16" s="11">
        <v>5.28</v>
      </c>
      <c r="L16" s="11">
        <v>2.99</v>
      </c>
      <c r="M16" s="9" t="s">
        <v>72</v>
      </c>
      <c r="N16" s="6" t="s">
        <v>24</v>
      </c>
      <c r="O16" s="6" t="s">
        <v>24</v>
      </c>
      <c r="P16" s="9" t="s">
        <v>25</v>
      </c>
      <c r="Q16" s="9" t="s">
        <v>26</v>
      </c>
      <c r="R16" s="9" t="s">
        <v>37</v>
      </c>
      <c r="S16" s="7" t="s">
        <v>73</v>
      </c>
      <c r="T16" s="9" t="s">
        <v>39</v>
      </c>
      <c r="U16" s="7">
        <v>0.37</v>
      </c>
      <c r="V16" s="12">
        <f>C16+0</f>
        <v>41125</v>
      </c>
      <c r="W16">
        <f>IF(D16=' Pivot Tables'!$A$4,1,0)</f>
        <v>0</v>
      </c>
      <c r="X16">
        <f>IF(AND(LEFT(D16,4)+1=LEFT(' Pivot Tables'!$A$4,4)+0,RIGHT(LEFT(D16,7),2)=RIGHT(LEFT(' Pivot Tables'!$A$4,7),2)),1,0)</f>
        <v>0</v>
      </c>
      <c r="Y16" s="6">
        <f>1/COUNTIF(Таблица1[Order ID],Таблица1[[#This Row],[Order ID]])</f>
        <v>1</v>
      </c>
      <c r="Z16" s="9">
        <f>1/COUNTIFS(Таблица1[Customer Name],Таблица1[[#This Row],[Customer Name]],Таблица1[Order-Year-Month],Таблица1[[#This Row],[Order-Year-Month]])</f>
        <v>1</v>
      </c>
    </row>
    <row r="17" spans="1:26" x14ac:dyDescent="0.2">
      <c r="A17" s="6">
        <v>160</v>
      </c>
      <c r="B17" s="7">
        <v>995</v>
      </c>
      <c r="C17" s="8">
        <f>DATE(2012,12,31)-581</f>
        <v>40693</v>
      </c>
      <c r="D17" s="8" t="str">
        <f t="shared" si="0"/>
        <v>2011-05 (май 2011)</v>
      </c>
      <c r="E17" s="9" t="s">
        <v>63</v>
      </c>
      <c r="F17" s="7">
        <v>46</v>
      </c>
      <c r="G17" s="7">
        <v>1815.49</v>
      </c>
      <c r="H17" s="7">
        <v>0.03</v>
      </c>
      <c r="I17" s="9" t="s">
        <v>22</v>
      </c>
      <c r="J17" s="10">
        <v>782.91</v>
      </c>
      <c r="K17" s="11">
        <v>39.89</v>
      </c>
      <c r="L17" s="11">
        <v>3.04</v>
      </c>
      <c r="M17" s="9" t="s">
        <v>64</v>
      </c>
      <c r="N17" s="6" t="s">
        <v>24</v>
      </c>
      <c r="O17" s="6" t="s">
        <v>24</v>
      </c>
      <c r="P17" s="9" t="s">
        <v>60</v>
      </c>
      <c r="Q17" s="9" t="s">
        <v>49</v>
      </c>
      <c r="R17" s="9" t="s">
        <v>50</v>
      </c>
      <c r="S17" s="7" t="s">
        <v>74</v>
      </c>
      <c r="T17" s="9" t="s">
        <v>68</v>
      </c>
      <c r="U17" s="7">
        <v>0.53</v>
      </c>
      <c r="V17" s="12">
        <f>C17+1</f>
        <v>40694</v>
      </c>
      <c r="W17">
        <f>IF(D17=' Pivot Tables'!$A$4,1,0)</f>
        <v>0</v>
      </c>
      <c r="X17">
        <f>IF(AND(LEFT(D17,4)+1=LEFT(' Pivot Tables'!$A$4,4)+0,RIGHT(LEFT(D17,7),2)=RIGHT(LEFT(' Pivot Tables'!$A$4,7),2)),1,0)</f>
        <v>0</v>
      </c>
      <c r="Y17" s="6">
        <f>1/COUNTIF(Таблица1[Order ID],Таблица1[[#This Row],[Order ID]])</f>
        <v>1</v>
      </c>
      <c r="Z17" s="9">
        <f>1/COUNTIFS(Таблица1[Customer Name],Таблица1[[#This Row],[Customer Name]],Таблица1[Order-Year-Month],Таблица1[[#This Row],[Order-Year-Month]])</f>
        <v>1</v>
      </c>
    </row>
    <row r="18" spans="1:26" x14ac:dyDescent="0.2">
      <c r="A18" s="6">
        <v>161</v>
      </c>
      <c r="B18" s="7">
        <v>998</v>
      </c>
      <c r="C18" s="8">
        <f>DATE(2012,12,31)-1132</f>
        <v>40142</v>
      </c>
      <c r="D18" s="8" t="str">
        <f t="shared" si="0"/>
        <v>2009-11 (ноябрь 2009)</v>
      </c>
      <c r="E18" s="9" t="s">
        <v>45</v>
      </c>
      <c r="F18" s="7">
        <v>16</v>
      </c>
      <c r="G18" s="7">
        <v>248.26</v>
      </c>
      <c r="H18" s="7">
        <v>7.0000000000000007E-2</v>
      </c>
      <c r="I18" s="9" t="s">
        <v>22</v>
      </c>
      <c r="J18" s="10">
        <v>93.8</v>
      </c>
      <c r="K18" s="11">
        <v>15.74</v>
      </c>
      <c r="L18" s="11">
        <v>1.39</v>
      </c>
      <c r="M18" s="9" t="s">
        <v>75</v>
      </c>
      <c r="N18" s="6" t="s">
        <v>24</v>
      </c>
      <c r="O18" s="6" t="s">
        <v>24</v>
      </c>
      <c r="P18" s="9" t="s">
        <v>25</v>
      </c>
      <c r="Q18" s="9" t="s">
        <v>26</v>
      </c>
      <c r="R18" s="9" t="s">
        <v>76</v>
      </c>
      <c r="S18" s="7" t="s">
        <v>77</v>
      </c>
      <c r="T18" s="9" t="s">
        <v>39</v>
      </c>
      <c r="U18" s="7">
        <v>0.4</v>
      </c>
      <c r="V18" s="12">
        <f>C18+1</f>
        <v>40143</v>
      </c>
      <c r="W18">
        <f>IF(D18=' Pivot Tables'!$A$4,1,0)</f>
        <v>0</v>
      </c>
      <c r="X18">
        <f>IF(AND(LEFT(D18,4)+1=LEFT(' Pivot Tables'!$A$4,4)+0,RIGHT(LEFT(D18,7),2)=RIGHT(LEFT(' Pivot Tables'!$A$4,7),2)),1,0)</f>
        <v>0</v>
      </c>
      <c r="Y18" s="6">
        <f>1/COUNTIF(Таблица1[Order ID],Таблица1[[#This Row],[Order ID]])</f>
        <v>1</v>
      </c>
      <c r="Z18" s="9">
        <f>1/COUNTIFS(Таблица1[Customer Name],Таблица1[[#This Row],[Customer Name]],Таблица1[Order-Year-Month],Таблица1[[#This Row],[Order-Year-Month]])</f>
        <v>1</v>
      </c>
    </row>
    <row r="19" spans="1:26" x14ac:dyDescent="0.2">
      <c r="A19" s="6">
        <v>175</v>
      </c>
      <c r="B19" s="7">
        <v>1154</v>
      </c>
      <c r="C19" s="8">
        <f>DATE(2012,12,31)-321</f>
        <v>40953</v>
      </c>
      <c r="D19" s="8" t="str">
        <f t="shared" si="0"/>
        <v>2012-02 (февраль 2012)</v>
      </c>
      <c r="E19" s="9" t="s">
        <v>78</v>
      </c>
      <c r="F19" s="7">
        <v>44</v>
      </c>
      <c r="G19" s="7">
        <v>4462.2299999999996</v>
      </c>
      <c r="H19" s="7">
        <v>0.04</v>
      </c>
      <c r="I19" s="9" t="s">
        <v>31</v>
      </c>
      <c r="J19" s="10">
        <v>440.72</v>
      </c>
      <c r="K19" s="11">
        <v>100.98</v>
      </c>
      <c r="L19" s="11">
        <v>26.22</v>
      </c>
      <c r="M19" s="9" t="s">
        <v>79</v>
      </c>
      <c r="N19" s="6" t="s">
        <v>24</v>
      </c>
      <c r="O19" s="6" t="s">
        <v>24</v>
      </c>
      <c r="P19" s="9" t="s">
        <v>60</v>
      </c>
      <c r="Q19" s="9" t="s">
        <v>49</v>
      </c>
      <c r="R19" s="9" t="s">
        <v>80</v>
      </c>
      <c r="S19" s="7" t="s">
        <v>81</v>
      </c>
      <c r="T19" s="9" t="s">
        <v>82</v>
      </c>
      <c r="U19" s="7">
        <v>0.6</v>
      </c>
      <c r="V19" s="12">
        <f>C19+2</f>
        <v>40955</v>
      </c>
      <c r="W19">
        <f>IF(D19=' Pivot Tables'!$A$4,1,0)</f>
        <v>0</v>
      </c>
      <c r="X19">
        <f>IF(AND(LEFT(D19,4)+1=LEFT(' Pivot Tables'!$A$4,4)+0,RIGHT(LEFT(D19,7),2)=RIGHT(LEFT(' Pivot Tables'!$A$4,7),2)),1,0)</f>
        <v>0</v>
      </c>
      <c r="Y19" s="6">
        <f>1/COUNTIF(Таблица1[Order ID],Таблица1[[#This Row],[Order ID]])</f>
        <v>0.25</v>
      </c>
      <c r="Z19" s="9">
        <f>1/COUNTIFS(Таблица1[Customer Name],Таблица1[[#This Row],[Customer Name]],Таблица1[Order-Year-Month],Таблица1[[#This Row],[Order-Year-Month]])</f>
        <v>0.5</v>
      </c>
    </row>
    <row r="20" spans="1:26" x14ac:dyDescent="0.2">
      <c r="A20" s="6">
        <v>176</v>
      </c>
      <c r="B20" s="7">
        <v>1154</v>
      </c>
      <c r="C20" s="8">
        <f>DATE(2012,12,31)-321</f>
        <v>40953</v>
      </c>
      <c r="D20" s="8" t="str">
        <f t="shared" si="0"/>
        <v>2012-02 (февраль 2012)</v>
      </c>
      <c r="E20" s="9" t="s">
        <v>78</v>
      </c>
      <c r="F20" s="7">
        <v>11</v>
      </c>
      <c r="G20" s="7">
        <v>663.78400000000011</v>
      </c>
      <c r="H20" s="7">
        <v>0.25</v>
      </c>
      <c r="I20" s="9" t="s">
        <v>22</v>
      </c>
      <c r="J20" s="10">
        <v>-481.041</v>
      </c>
      <c r="K20" s="11">
        <v>71.37</v>
      </c>
      <c r="L20" s="11">
        <v>69</v>
      </c>
      <c r="M20" s="9" t="s">
        <v>79</v>
      </c>
      <c r="N20" s="6" t="s">
        <v>24</v>
      </c>
      <c r="O20" s="6" t="s">
        <v>24</v>
      </c>
      <c r="P20" s="9" t="s">
        <v>60</v>
      </c>
      <c r="Q20" s="9" t="s">
        <v>49</v>
      </c>
      <c r="R20" s="9" t="s">
        <v>83</v>
      </c>
      <c r="S20" s="7" t="s">
        <v>84</v>
      </c>
      <c r="T20" s="9" t="s">
        <v>29</v>
      </c>
      <c r="U20" s="7">
        <v>0.68</v>
      </c>
      <c r="V20" s="12">
        <f>C20+2</f>
        <v>40955</v>
      </c>
      <c r="W20">
        <f>IF(D20=' Pivot Tables'!$A$4,1,0)</f>
        <v>0</v>
      </c>
      <c r="X20">
        <f>IF(AND(LEFT(D20,4)+1=LEFT(' Pivot Tables'!$A$4,4)+0,RIGHT(LEFT(D20,7),2)=RIGHT(LEFT(' Pivot Tables'!$A$4,7),2)),1,0)</f>
        <v>0</v>
      </c>
      <c r="Y20" s="6">
        <f>1/COUNTIF(Таблица1[Order ID],Таблица1[[#This Row],[Order ID]])</f>
        <v>0.25</v>
      </c>
      <c r="Z20" s="9">
        <f>1/COUNTIFS(Таблица1[Customer Name],Таблица1[[#This Row],[Customer Name]],Таблица1[Order-Year-Month],Таблица1[[#This Row],[Order-Year-Month]])</f>
        <v>0.5</v>
      </c>
    </row>
    <row r="21" spans="1:26" x14ac:dyDescent="0.2">
      <c r="A21" s="6">
        <v>203</v>
      </c>
      <c r="B21" s="7">
        <v>1344</v>
      </c>
      <c r="C21" s="8">
        <f>DATE(2012,12,31)-260</f>
        <v>41014</v>
      </c>
      <c r="D21" s="8" t="str">
        <f t="shared" si="0"/>
        <v>2012-04 (апрель 2012)</v>
      </c>
      <c r="E21" s="9" t="s">
        <v>21</v>
      </c>
      <c r="F21" s="7">
        <v>15</v>
      </c>
      <c r="G21" s="7">
        <v>834.904</v>
      </c>
      <c r="H21" s="7">
        <v>0.06</v>
      </c>
      <c r="I21" s="9" t="s">
        <v>22</v>
      </c>
      <c r="J21" s="10">
        <v>-11.681999999999999</v>
      </c>
      <c r="K21" s="11">
        <v>65.989999999999995</v>
      </c>
      <c r="L21" s="11">
        <v>5.26</v>
      </c>
      <c r="M21" s="9" t="s">
        <v>85</v>
      </c>
      <c r="N21" s="6" t="s">
        <v>24</v>
      </c>
      <c r="O21" s="6" t="s">
        <v>24</v>
      </c>
      <c r="P21" s="9" t="s">
        <v>41</v>
      </c>
      <c r="Q21" s="9" t="s">
        <v>42</v>
      </c>
      <c r="R21" s="9" t="s">
        <v>43</v>
      </c>
      <c r="S21" s="7" t="s">
        <v>86</v>
      </c>
      <c r="T21" s="9" t="s">
        <v>39</v>
      </c>
      <c r="U21" s="7">
        <v>0.59</v>
      </c>
      <c r="V21" s="12">
        <f>C21+7</f>
        <v>41021</v>
      </c>
      <c r="W21">
        <f>IF(D21=' Pivot Tables'!$A$4,1,0)</f>
        <v>0</v>
      </c>
      <c r="X21">
        <f>IF(AND(LEFT(D21,4)+1=LEFT(' Pivot Tables'!$A$4,4)+0,RIGHT(LEFT(D21,7),2)=RIGHT(LEFT(' Pivot Tables'!$A$4,7),2)),1,0)</f>
        <v>0</v>
      </c>
      <c r="Y21" s="6">
        <f>1/COUNTIF(Таблица1[Order ID],Таблица1[[#This Row],[Order ID]])</f>
        <v>0.5</v>
      </c>
      <c r="Z21" s="9">
        <f>1/COUNTIFS(Таблица1[Customer Name],Таблица1[[#This Row],[Customer Name]],Таблица1[Order-Year-Month],Таблица1[[#This Row],[Order-Year-Month]])</f>
        <v>0.5</v>
      </c>
    </row>
    <row r="22" spans="1:26" x14ac:dyDescent="0.2">
      <c r="A22" s="6">
        <v>204</v>
      </c>
      <c r="B22" s="7">
        <v>1344</v>
      </c>
      <c r="C22" s="8">
        <f>DATE(2012,12,31)-260</f>
        <v>41014</v>
      </c>
      <c r="D22" s="8" t="str">
        <f t="shared" si="0"/>
        <v>2012-04 (апрель 2012)</v>
      </c>
      <c r="E22" s="9" t="s">
        <v>21</v>
      </c>
      <c r="F22" s="7">
        <v>18</v>
      </c>
      <c r="G22" s="7">
        <v>2480.9205000000002</v>
      </c>
      <c r="H22" s="7">
        <v>0.01</v>
      </c>
      <c r="I22" s="9" t="s">
        <v>22</v>
      </c>
      <c r="J22" s="10">
        <v>313.57800000000003</v>
      </c>
      <c r="K22" s="11">
        <v>155.99</v>
      </c>
      <c r="L22" s="11">
        <v>8.99</v>
      </c>
      <c r="M22" s="9" t="s">
        <v>85</v>
      </c>
      <c r="N22" s="6" t="s">
        <v>24</v>
      </c>
      <c r="O22" s="6" t="s">
        <v>24</v>
      </c>
      <c r="P22" s="9" t="s">
        <v>41</v>
      </c>
      <c r="Q22" s="9" t="s">
        <v>42</v>
      </c>
      <c r="R22" s="9" t="s">
        <v>43</v>
      </c>
      <c r="S22" s="7" t="s">
        <v>87</v>
      </c>
      <c r="T22" s="9" t="s">
        <v>39</v>
      </c>
      <c r="U22" s="7">
        <v>0.57999999999999996</v>
      </c>
      <c r="V22" s="12">
        <f>C22+4</f>
        <v>41018</v>
      </c>
      <c r="W22">
        <f>IF(D22=' Pivot Tables'!$A$4,1,0)</f>
        <v>0</v>
      </c>
      <c r="X22">
        <f>IF(AND(LEFT(D22,4)+1=LEFT(' Pivot Tables'!$A$4,4)+0,RIGHT(LEFT(D22,7),2)=RIGHT(LEFT(' Pivot Tables'!$A$4,7),2)),1,0)</f>
        <v>0</v>
      </c>
      <c r="Y22" s="6">
        <f>1/COUNTIF(Таблица1[Order ID],Таблица1[[#This Row],[Order ID]])</f>
        <v>0.5</v>
      </c>
      <c r="Z22" s="9">
        <f>1/COUNTIFS(Таблица1[Customer Name],Таблица1[[#This Row],[Customer Name]],Таблица1[Order-Year-Month],Таблица1[[#This Row],[Order-Year-Month]])</f>
        <v>0.5</v>
      </c>
    </row>
    <row r="23" spans="1:26" x14ac:dyDescent="0.2">
      <c r="A23" s="6">
        <v>213</v>
      </c>
      <c r="B23" s="7">
        <v>1412</v>
      </c>
      <c r="C23" s="8">
        <f>DATE(2012,12,31)-1025</f>
        <v>40249</v>
      </c>
      <c r="D23" s="8" t="str">
        <f t="shared" si="0"/>
        <v>2010-03 (март 2010)</v>
      </c>
      <c r="E23" s="9" t="s">
        <v>45</v>
      </c>
      <c r="F23" s="7">
        <v>13</v>
      </c>
      <c r="G23" s="7">
        <v>59.03</v>
      </c>
      <c r="H23" s="7">
        <v>0.1</v>
      </c>
      <c r="I23" s="9" t="s">
        <v>56</v>
      </c>
      <c r="J23" s="10">
        <v>26.92</v>
      </c>
      <c r="K23" s="11">
        <v>3.69</v>
      </c>
      <c r="L23" s="11">
        <v>0.5</v>
      </c>
      <c r="M23" s="9" t="s">
        <v>46</v>
      </c>
      <c r="N23" s="6" t="s">
        <v>24</v>
      </c>
      <c r="O23" s="6" t="s">
        <v>24</v>
      </c>
      <c r="P23" s="9" t="s">
        <v>33</v>
      </c>
      <c r="Q23" s="9" t="s">
        <v>26</v>
      </c>
      <c r="R23" s="9" t="s">
        <v>88</v>
      </c>
      <c r="S23" s="7" t="s">
        <v>89</v>
      </c>
      <c r="T23" s="9" t="s">
        <v>39</v>
      </c>
      <c r="U23" s="7">
        <v>0.38</v>
      </c>
      <c r="V23" s="12">
        <f>C23+2</f>
        <v>40251</v>
      </c>
      <c r="W23">
        <f>IF(D23=' Pivot Tables'!$A$4,1,0)</f>
        <v>0</v>
      </c>
      <c r="X23">
        <f>IF(AND(LEFT(D23,4)+1=LEFT(' Pivot Tables'!$A$4,4)+0,RIGHT(LEFT(D23,7),2)=RIGHT(LEFT(' Pivot Tables'!$A$4,7),2)),1,0)</f>
        <v>0</v>
      </c>
      <c r="Y23" s="6">
        <f>1/COUNTIF(Таблица1[Order ID],Таблица1[[#This Row],[Order ID]])</f>
        <v>0.5</v>
      </c>
      <c r="Z23" s="9">
        <f>1/COUNTIFS(Таблица1[Customer Name],Таблица1[[#This Row],[Customer Name]],Таблица1[Order-Year-Month],Таблица1[[#This Row],[Order-Year-Month]])</f>
        <v>0.5</v>
      </c>
    </row>
    <row r="24" spans="1:26" x14ac:dyDescent="0.2">
      <c r="A24" s="6">
        <v>214</v>
      </c>
      <c r="B24" s="7">
        <v>1412</v>
      </c>
      <c r="C24" s="8">
        <f>DATE(2012,12,31)-1025</f>
        <v>40249</v>
      </c>
      <c r="D24" s="8" t="str">
        <f t="shared" si="0"/>
        <v>2010-03 (март 2010)</v>
      </c>
      <c r="E24" s="9" t="s">
        <v>45</v>
      </c>
      <c r="F24" s="7">
        <v>21</v>
      </c>
      <c r="G24" s="7">
        <v>97.48</v>
      </c>
      <c r="H24" s="7">
        <v>0.05</v>
      </c>
      <c r="I24" s="9" t="s">
        <v>22</v>
      </c>
      <c r="J24" s="10">
        <v>-5.77</v>
      </c>
      <c r="K24" s="11">
        <v>4.71</v>
      </c>
      <c r="L24" s="11">
        <v>0.7</v>
      </c>
      <c r="M24" s="9" t="s">
        <v>46</v>
      </c>
      <c r="N24" s="6" t="s">
        <v>24</v>
      </c>
      <c r="O24" s="6" t="s">
        <v>24</v>
      </c>
      <c r="P24" s="9" t="s">
        <v>33</v>
      </c>
      <c r="Q24" s="9" t="s">
        <v>26</v>
      </c>
      <c r="R24" s="9" t="s">
        <v>66</v>
      </c>
      <c r="S24" s="7" t="s">
        <v>90</v>
      </c>
      <c r="T24" s="9" t="s">
        <v>68</v>
      </c>
      <c r="U24" s="7">
        <v>0.8</v>
      </c>
      <c r="V24" s="12">
        <f>C24+2</f>
        <v>40251</v>
      </c>
      <c r="W24">
        <f>IF(D24=' Pivot Tables'!$A$4,1,0)</f>
        <v>0</v>
      </c>
      <c r="X24">
        <f>IF(AND(LEFT(D24,4)+1=LEFT(' Pivot Tables'!$A$4,4)+0,RIGHT(LEFT(D24,7),2)=RIGHT(LEFT(' Pivot Tables'!$A$4,7),2)),1,0)</f>
        <v>0</v>
      </c>
      <c r="Y24" s="6">
        <f>1/COUNTIF(Таблица1[Order ID],Таблица1[[#This Row],[Order ID]])</f>
        <v>0.5</v>
      </c>
      <c r="Z24" s="9">
        <f>1/COUNTIFS(Таблица1[Customer Name],Таблица1[[#This Row],[Customer Name]],Таблица1[Order-Year-Month],Таблица1[[#This Row],[Order-Year-Month]])</f>
        <v>0.5</v>
      </c>
    </row>
    <row r="25" spans="1:26" x14ac:dyDescent="0.2">
      <c r="A25" s="6">
        <v>229</v>
      </c>
      <c r="B25" s="7">
        <v>1539</v>
      </c>
      <c r="C25" s="8">
        <f>DATE(2012,12,31)-663</f>
        <v>40611</v>
      </c>
      <c r="D25" s="8" t="str">
        <f t="shared" si="0"/>
        <v>2011-03 (март 2011)</v>
      </c>
      <c r="E25" s="9" t="s">
        <v>21</v>
      </c>
      <c r="F25" s="7">
        <v>33</v>
      </c>
      <c r="G25" s="7">
        <v>511.83</v>
      </c>
      <c r="H25" s="7">
        <v>0.1</v>
      </c>
      <c r="I25" s="9" t="s">
        <v>22</v>
      </c>
      <c r="J25" s="10">
        <v>-172.87950000000001</v>
      </c>
      <c r="K25" s="11">
        <v>15.99</v>
      </c>
      <c r="L25" s="11">
        <v>13.18</v>
      </c>
      <c r="M25" s="9" t="s">
        <v>91</v>
      </c>
      <c r="N25" s="6" t="s">
        <v>24</v>
      </c>
      <c r="O25" s="6" t="s">
        <v>24</v>
      </c>
      <c r="P25" s="9" t="s">
        <v>41</v>
      </c>
      <c r="Q25" s="9" t="s">
        <v>26</v>
      </c>
      <c r="R25" s="9" t="s">
        <v>37</v>
      </c>
      <c r="S25" s="7" t="s">
        <v>92</v>
      </c>
      <c r="T25" s="9" t="s">
        <v>39</v>
      </c>
      <c r="U25" s="7">
        <v>0.37</v>
      </c>
      <c r="V25" s="12">
        <f>C25+2</f>
        <v>40613</v>
      </c>
      <c r="W25">
        <f>IF(D25=' Pivot Tables'!$A$4,1,0)</f>
        <v>0</v>
      </c>
      <c r="X25">
        <f>IF(AND(LEFT(D25,4)+1=LEFT(' Pivot Tables'!$A$4,4)+0,RIGHT(LEFT(D25,7),2)=RIGHT(LEFT(' Pivot Tables'!$A$4,7),2)),1,0)</f>
        <v>0</v>
      </c>
      <c r="Y25" s="6">
        <f>1/COUNTIF(Таблица1[Order ID],Таблица1[[#This Row],[Order ID]])</f>
        <v>0.5</v>
      </c>
      <c r="Z25" s="9">
        <f>1/COUNTIFS(Таблица1[Customer Name],Таблица1[[#This Row],[Customer Name]],Таблица1[Order-Year-Month],Таблица1[[#This Row],[Order-Year-Month]])</f>
        <v>0.33333333333333331</v>
      </c>
    </row>
    <row r="26" spans="1:26" x14ac:dyDescent="0.2">
      <c r="A26" s="6">
        <v>230</v>
      </c>
      <c r="B26" s="7">
        <v>1539</v>
      </c>
      <c r="C26" s="8">
        <f>DATE(2012,12,31)-663</f>
        <v>40611</v>
      </c>
      <c r="D26" s="8" t="str">
        <f t="shared" si="0"/>
        <v>2011-03 (март 2011)</v>
      </c>
      <c r="E26" s="9" t="s">
        <v>21</v>
      </c>
      <c r="F26" s="7">
        <v>38</v>
      </c>
      <c r="G26" s="7">
        <v>184.99</v>
      </c>
      <c r="H26" s="7">
        <v>0.05</v>
      </c>
      <c r="I26" s="9" t="s">
        <v>22</v>
      </c>
      <c r="J26" s="10">
        <v>-144.55000000000001</v>
      </c>
      <c r="K26" s="11">
        <v>4.8899999999999997</v>
      </c>
      <c r="L26" s="11">
        <v>4.93</v>
      </c>
      <c r="M26" s="9" t="s">
        <v>91</v>
      </c>
      <c r="N26" s="6" t="s">
        <v>24</v>
      </c>
      <c r="O26" s="6" t="s">
        <v>24</v>
      </c>
      <c r="P26" s="9" t="s">
        <v>41</v>
      </c>
      <c r="Q26" s="9" t="s">
        <v>42</v>
      </c>
      <c r="R26" s="9" t="s">
        <v>70</v>
      </c>
      <c r="S26" s="7" t="s">
        <v>93</v>
      </c>
      <c r="T26" s="9" t="s">
        <v>52</v>
      </c>
      <c r="U26" s="7">
        <v>0.66</v>
      </c>
      <c r="V26" s="12">
        <f>C26+5</f>
        <v>40616</v>
      </c>
      <c r="W26">
        <f>IF(D26=' Pivot Tables'!$A$4,1,0)</f>
        <v>0</v>
      </c>
      <c r="X26">
        <f>IF(AND(LEFT(D26,4)+1=LEFT(' Pivot Tables'!$A$4,4)+0,RIGHT(LEFT(D26,7),2)=RIGHT(LEFT(' Pivot Tables'!$A$4,7),2)),1,0)</f>
        <v>0</v>
      </c>
      <c r="Y26" s="6">
        <f>1/COUNTIF(Таблица1[Order ID],Таблица1[[#This Row],[Order ID]])</f>
        <v>0.5</v>
      </c>
      <c r="Z26" s="9">
        <f>1/COUNTIFS(Таблица1[Customer Name],Таблица1[[#This Row],[Customer Name]],Таблица1[Order-Year-Month],Таблица1[[#This Row],[Order-Year-Month]])</f>
        <v>0.33333333333333331</v>
      </c>
    </row>
    <row r="27" spans="1:26" x14ac:dyDescent="0.2">
      <c r="A27" s="6">
        <v>231</v>
      </c>
      <c r="B27" s="7">
        <v>1540</v>
      </c>
      <c r="C27" s="8">
        <f>DATE(2012,12,31)-149</f>
        <v>41125</v>
      </c>
      <c r="D27" s="8" t="str">
        <f t="shared" si="0"/>
        <v>2012-08 (август 2012)</v>
      </c>
      <c r="E27" s="9" t="s">
        <v>30</v>
      </c>
      <c r="F27" s="7">
        <v>30</v>
      </c>
      <c r="G27" s="7">
        <v>80.900000000000006</v>
      </c>
      <c r="H27" s="7">
        <v>0.09</v>
      </c>
      <c r="I27" s="9" t="s">
        <v>22</v>
      </c>
      <c r="J27" s="10">
        <v>5.76</v>
      </c>
      <c r="K27" s="11">
        <v>2.88</v>
      </c>
      <c r="L27" s="11">
        <v>0.7</v>
      </c>
      <c r="M27" s="9" t="s">
        <v>94</v>
      </c>
      <c r="N27" s="6" t="s">
        <v>24</v>
      </c>
      <c r="O27" s="6" t="s">
        <v>24</v>
      </c>
      <c r="P27" s="9" t="s">
        <v>60</v>
      </c>
      <c r="Q27" s="9" t="s">
        <v>26</v>
      </c>
      <c r="R27" s="9" t="s">
        <v>95</v>
      </c>
      <c r="S27" s="7" t="s">
        <v>96</v>
      </c>
      <c r="T27" s="9" t="s">
        <v>68</v>
      </c>
      <c r="U27" s="7">
        <v>0.56000000000000005</v>
      </c>
      <c r="V27" s="12">
        <f>C27+2</f>
        <v>41127</v>
      </c>
      <c r="W27">
        <f>IF(D27=' Pivot Tables'!$A$4,1,0)</f>
        <v>0</v>
      </c>
      <c r="X27">
        <f>IF(AND(LEFT(D27,4)+1=LEFT(' Pivot Tables'!$A$4,4)+0,RIGHT(LEFT(D27,7),2)=RIGHT(LEFT(' Pivot Tables'!$A$4,7),2)),1,0)</f>
        <v>0</v>
      </c>
      <c r="Y27" s="6">
        <f>1/COUNTIF(Таблица1[Order ID],Таблица1[[#This Row],[Order ID]])</f>
        <v>1</v>
      </c>
      <c r="Z27" s="9">
        <f>1/COUNTIFS(Таблица1[Customer Name],Таблица1[[#This Row],[Customer Name]],Таблица1[Order-Year-Month],Таблица1[[#This Row],[Order-Year-Month]])</f>
        <v>1</v>
      </c>
    </row>
    <row r="28" spans="1:26" x14ac:dyDescent="0.2">
      <c r="A28" s="6">
        <v>249</v>
      </c>
      <c r="B28" s="7">
        <v>1702</v>
      </c>
      <c r="C28" s="8">
        <f>DATE(2012,12,31)-605</f>
        <v>40669</v>
      </c>
      <c r="D28" s="8" t="str">
        <f t="shared" si="0"/>
        <v>2011-05 (май 2011)</v>
      </c>
      <c r="E28" s="9" t="s">
        <v>30</v>
      </c>
      <c r="F28" s="7">
        <v>23</v>
      </c>
      <c r="G28" s="7">
        <v>67.239999999999995</v>
      </c>
      <c r="H28" s="7">
        <v>0.06</v>
      </c>
      <c r="I28" s="9" t="s">
        <v>22</v>
      </c>
      <c r="J28" s="10">
        <v>4.9000000000000004</v>
      </c>
      <c r="K28" s="11">
        <v>2.84</v>
      </c>
      <c r="L28" s="11">
        <v>0.93</v>
      </c>
      <c r="M28" s="9" t="s">
        <v>97</v>
      </c>
      <c r="N28" s="6" t="s">
        <v>24</v>
      </c>
      <c r="O28" s="6" t="s">
        <v>24</v>
      </c>
      <c r="P28" s="9" t="s">
        <v>60</v>
      </c>
      <c r="Q28" s="9" t="s">
        <v>26</v>
      </c>
      <c r="R28" s="9" t="s">
        <v>95</v>
      </c>
      <c r="S28" s="7" t="s">
        <v>98</v>
      </c>
      <c r="T28" s="9" t="s">
        <v>68</v>
      </c>
      <c r="U28" s="7">
        <v>0.54</v>
      </c>
      <c r="V28" s="12">
        <f>C28+1</f>
        <v>40670</v>
      </c>
      <c r="W28">
        <f>IF(D28=' Pivot Tables'!$A$4,1,0)</f>
        <v>0</v>
      </c>
      <c r="X28">
        <f>IF(AND(LEFT(D28,4)+1=LEFT(' Pivot Tables'!$A$4,4)+0,RIGHT(LEFT(D28,7),2)=RIGHT(LEFT(' Pivot Tables'!$A$4,7),2)),1,0)</f>
        <v>0</v>
      </c>
      <c r="Y28" s="6">
        <f>1/COUNTIF(Таблица1[Order ID],Таблица1[[#This Row],[Order ID]])</f>
        <v>1</v>
      </c>
      <c r="Z28" s="9">
        <f>1/COUNTIFS(Таблица1[Customer Name],Таблица1[[#This Row],[Customer Name]],Таблица1[Order-Year-Month],Таблица1[[#This Row],[Order-Year-Month]])</f>
        <v>1</v>
      </c>
    </row>
    <row r="29" spans="1:26" x14ac:dyDescent="0.2">
      <c r="A29" s="6">
        <v>250</v>
      </c>
      <c r="B29" s="7">
        <v>1761</v>
      </c>
      <c r="C29" s="8">
        <f>DATE(2012,12,31)-739</f>
        <v>40535</v>
      </c>
      <c r="D29" s="8" t="str">
        <f t="shared" si="0"/>
        <v>2010-12 (декабрь 2010)</v>
      </c>
      <c r="E29" s="9" t="s">
        <v>30</v>
      </c>
      <c r="F29" s="7">
        <v>25</v>
      </c>
      <c r="G29" s="7">
        <v>12028.23</v>
      </c>
      <c r="H29" s="7">
        <v>0.01</v>
      </c>
      <c r="I29" s="9" t="s">
        <v>31</v>
      </c>
      <c r="J29" s="10">
        <v>-547.61</v>
      </c>
      <c r="K29" s="11">
        <v>449.99</v>
      </c>
      <c r="L29" s="11">
        <v>49</v>
      </c>
      <c r="M29" s="9" t="s">
        <v>91</v>
      </c>
      <c r="N29" s="6" t="s">
        <v>24</v>
      </c>
      <c r="O29" s="6" t="s">
        <v>24</v>
      </c>
      <c r="P29" s="9" t="s">
        <v>41</v>
      </c>
      <c r="Q29" s="9" t="s">
        <v>42</v>
      </c>
      <c r="R29" s="9" t="s">
        <v>99</v>
      </c>
      <c r="S29" s="7" t="s">
        <v>100</v>
      </c>
      <c r="T29" s="9" t="s">
        <v>36</v>
      </c>
      <c r="U29" s="7">
        <v>0.38</v>
      </c>
      <c r="V29" s="12">
        <f>C29+2</f>
        <v>40537</v>
      </c>
      <c r="W29">
        <f>IF(D29=' Pivot Tables'!$A$4,1,0)</f>
        <v>0</v>
      </c>
      <c r="X29">
        <f>IF(AND(LEFT(D29,4)+1=LEFT(' Pivot Tables'!$A$4,4)+0,RIGHT(LEFT(D29,7),2)=RIGHT(LEFT(' Pivot Tables'!$A$4,7),2)),1,0)</f>
        <v>0</v>
      </c>
      <c r="Y29" s="6">
        <f>1/COUNTIF(Таблица1[Order ID],Таблица1[[#This Row],[Order ID]])</f>
        <v>1</v>
      </c>
      <c r="Z29" s="9">
        <f>1/COUNTIFS(Таблица1[Customer Name],Таблица1[[#This Row],[Customer Name]],Таблица1[Order-Year-Month],Таблица1[[#This Row],[Order-Year-Month]])</f>
        <v>1</v>
      </c>
    </row>
    <row r="30" spans="1:26" x14ac:dyDescent="0.2">
      <c r="A30" s="6">
        <v>256</v>
      </c>
      <c r="B30" s="7">
        <v>1792</v>
      </c>
      <c r="C30" s="8">
        <f>DATE(2012,12,31)-784</f>
        <v>40490</v>
      </c>
      <c r="D30" s="8" t="str">
        <f t="shared" si="0"/>
        <v>2010-11 (ноябрь 2010)</v>
      </c>
      <c r="E30" s="9" t="s">
        <v>21</v>
      </c>
      <c r="F30" s="7">
        <v>28</v>
      </c>
      <c r="G30" s="7">
        <v>370.48</v>
      </c>
      <c r="H30" s="7">
        <v>0.04</v>
      </c>
      <c r="I30" s="9" t="s">
        <v>22</v>
      </c>
      <c r="J30" s="10">
        <v>-5.45</v>
      </c>
      <c r="K30" s="11">
        <v>13.48</v>
      </c>
      <c r="L30" s="11">
        <v>4.51</v>
      </c>
      <c r="M30" s="9" t="s">
        <v>46</v>
      </c>
      <c r="N30" s="6" t="s">
        <v>24</v>
      </c>
      <c r="O30" s="6" t="s">
        <v>24</v>
      </c>
      <c r="P30" s="9" t="s">
        <v>33</v>
      </c>
      <c r="Q30" s="9" t="s">
        <v>26</v>
      </c>
      <c r="R30" s="9" t="s">
        <v>27</v>
      </c>
      <c r="S30" s="7" t="s">
        <v>101</v>
      </c>
      <c r="T30" s="9" t="s">
        <v>39</v>
      </c>
      <c r="U30" s="7">
        <v>0.59</v>
      </c>
      <c r="V30" s="12">
        <f>C30+5</f>
        <v>40495</v>
      </c>
      <c r="W30">
        <f>IF(D30=' Pivot Tables'!$A$4,1,0)</f>
        <v>0</v>
      </c>
      <c r="X30">
        <f>IF(AND(LEFT(D30,4)+1=LEFT(' Pivot Tables'!$A$4,4)+0,RIGHT(LEFT(D30,7),2)=RIGHT(LEFT(' Pivot Tables'!$A$4,7),2)),1,0)</f>
        <v>0</v>
      </c>
      <c r="Y30" s="6">
        <f>1/COUNTIF(Таблица1[Order ID],Таблица1[[#This Row],[Order ID]])</f>
        <v>1</v>
      </c>
      <c r="Z30" s="9">
        <f>1/COUNTIFS(Таблица1[Customer Name],Таблица1[[#This Row],[Customer Name]],Таблица1[Order-Year-Month],Таблица1[[#This Row],[Order-Year-Month]])</f>
        <v>0.5</v>
      </c>
    </row>
    <row r="31" spans="1:26" x14ac:dyDescent="0.2">
      <c r="A31" s="6">
        <v>330</v>
      </c>
      <c r="B31" s="7">
        <v>2275</v>
      </c>
      <c r="C31" s="8">
        <f>DATE(2012,12,31)-71</f>
        <v>41203</v>
      </c>
      <c r="D31" s="8" t="str">
        <f t="shared" si="0"/>
        <v>2012-10 (октябрь 2012)</v>
      </c>
      <c r="E31" s="9" t="s">
        <v>45</v>
      </c>
      <c r="F31" s="7">
        <v>49</v>
      </c>
      <c r="G31" s="7">
        <v>278</v>
      </c>
      <c r="H31" s="7">
        <v>0.08</v>
      </c>
      <c r="I31" s="9" t="s">
        <v>22</v>
      </c>
      <c r="J31" s="10">
        <v>41.67</v>
      </c>
      <c r="K31" s="11">
        <v>6.08</v>
      </c>
      <c r="L31" s="11">
        <v>1.17</v>
      </c>
      <c r="M31" s="9" t="s">
        <v>102</v>
      </c>
      <c r="N31" s="6" t="s">
        <v>24</v>
      </c>
      <c r="O31" s="6" t="s">
        <v>24</v>
      </c>
      <c r="P31" s="9" t="s">
        <v>25</v>
      </c>
      <c r="Q31" s="9" t="s">
        <v>26</v>
      </c>
      <c r="R31" s="9" t="s">
        <v>95</v>
      </c>
      <c r="S31" s="7" t="s">
        <v>103</v>
      </c>
      <c r="T31" s="9" t="s">
        <v>68</v>
      </c>
      <c r="U31" s="7">
        <v>0.56000000000000005</v>
      </c>
      <c r="V31" s="12">
        <f>C31+1</f>
        <v>41204</v>
      </c>
      <c r="W31">
        <f>IF(D31=' Pivot Tables'!$A$4,1,0)</f>
        <v>0</v>
      </c>
      <c r="X31">
        <f>IF(AND(LEFT(D31,4)+1=LEFT(' Pivot Tables'!$A$4,4)+0,RIGHT(LEFT(D31,7),2)=RIGHT(LEFT(' Pivot Tables'!$A$4,7),2)),1,0)</f>
        <v>0</v>
      </c>
      <c r="Y31" s="6">
        <f>1/COUNTIF(Таблица1[Order ID],Таблица1[[#This Row],[Order ID]])</f>
        <v>1</v>
      </c>
      <c r="Z31" s="9">
        <f>1/COUNTIFS(Таблица1[Customer Name],Таблица1[[#This Row],[Customer Name]],Таблица1[Order-Year-Month],Таблица1[[#This Row],[Order-Year-Month]])</f>
        <v>1</v>
      </c>
    </row>
    <row r="32" spans="1:26" x14ac:dyDescent="0.2">
      <c r="A32" s="6">
        <v>331</v>
      </c>
      <c r="B32" s="7">
        <v>2277</v>
      </c>
      <c r="C32" s="8">
        <f>DATE(2012,12,31)-730</f>
        <v>40544</v>
      </c>
      <c r="D32" s="8" t="str">
        <f t="shared" si="0"/>
        <v>2011-01 (январь 2011)</v>
      </c>
      <c r="E32" s="9" t="s">
        <v>45</v>
      </c>
      <c r="F32" s="7">
        <v>10</v>
      </c>
      <c r="G32" s="7">
        <v>66.540000000000006</v>
      </c>
      <c r="H32" s="7">
        <v>0.01</v>
      </c>
      <c r="I32" s="9" t="s">
        <v>22</v>
      </c>
      <c r="J32" s="10">
        <v>-46.03</v>
      </c>
      <c r="K32" s="11">
        <v>5.98</v>
      </c>
      <c r="L32" s="11">
        <v>4.38</v>
      </c>
      <c r="M32" s="9" t="s">
        <v>94</v>
      </c>
      <c r="N32" s="6" t="s">
        <v>24</v>
      </c>
      <c r="O32" s="6" t="s">
        <v>24</v>
      </c>
      <c r="P32" s="9" t="s">
        <v>60</v>
      </c>
      <c r="Q32" s="9" t="s">
        <v>42</v>
      </c>
      <c r="R32" s="9" t="s">
        <v>70</v>
      </c>
      <c r="S32" s="7" t="s">
        <v>104</v>
      </c>
      <c r="T32" s="9" t="s">
        <v>52</v>
      </c>
      <c r="U32" s="7">
        <v>0.75</v>
      </c>
      <c r="V32" s="12">
        <f>C32+1</f>
        <v>40545</v>
      </c>
      <c r="W32">
        <f>IF(D32=' Pivot Tables'!$A$4,1,0)</f>
        <v>0</v>
      </c>
      <c r="X32">
        <f>IF(AND(LEFT(D32,4)+1=LEFT(' Pivot Tables'!$A$4,4)+0,RIGHT(LEFT(D32,7),2)=RIGHT(LEFT(' Pivot Tables'!$A$4,7),2)),1,0)</f>
        <v>0</v>
      </c>
      <c r="Y32" s="6">
        <f>1/COUNTIF(Таблица1[Order ID],Таблица1[[#This Row],[Order ID]])</f>
        <v>0.5</v>
      </c>
      <c r="Z32" s="9">
        <f>1/COUNTIFS(Таблица1[Customer Name],Таблица1[[#This Row],[Customer Name]],Таблица1[Order-Year-Month],Таблица1[[#This Row],[Order-Year-Month]])</f>
        <v>0.5</v>
      </c>
    </row>
    <row r="33" spans="1:26" x14ac:dyDescent="0.2">
      <c r="A33" s="6">
        <v>332</v>
      </c>
      <c r="B33" s="7">
        <v>2277</v>
      </c>
      <c r="C33" s="8">
        <f>DATE(2012,12,31)-730</f>
        <v>40544</v>
      </c>
      <c r="D33" s="8" t="str">
        <f t="shared" si="0"/>
        <v>2011-01 (январь 2011)</v>
      </c>
      <c r="E33" s="9" t="s">
        <v>45</v>
      </c>
      <c r="F33" s="7">
        <v>21</v>
      </c>
      <c r="G33" s="7">
        <v>845.32</v>
      </c>
      <c r="H33" s="7">
        <v>0.06</v>
      </c>
      <c r="I33" s="9" t="s">
        <v>22</v>
      </c>
      <c r="J33" s="10">
        <v>33.67</v>
      </c>
      <c r="K33" s="11">
        <v>40.99</v>
      </c>
      <c r="L33" s="11">
        <v>19.989999999999998</v>
      </c>
      <c r="M33" s="9" t="s">
        <v>94</v>
      </c>
      <c r="N33" s="6" t="s">
        <v>24</v>
      </c>
      <c r="O33" s="6" t="s">
        <v>24</v>
      </c>
      <c r="P33" s="9" t="s">
        <v>60</v>
      </c>
      <c r="Q33" s="9" t="s">
        <v>26</v>
      </c>
      <c r="R33" s="9" t="s">
        <v>61</v>
      </c>
      <c r="S33" s="7" t="s">
        <v>105</v>
      </c>
      <c r="T33" s="9" t="s">
        <v>39</v>
      </c>
      <c r="U33" s="7">
        <v>0.36</v>
      </c>
      <c r="V33" s="12">
        <f>C33+2</f>
        <v>40546</v>
      </c>
      <c r="W33">
        <f>IF(D33=' Pivot Tables'!$A$4,1,0)</f>
        <v>0</v>
      </c>
      <c r="X33">
        <f>IF(AND(LEFT(D33,4)+1=LEFT(' Pivot Tables'!$A$4,4)+0,RIGHT(LEFT(D33,7),2)=RIGHT(LEFT(' Pivot Tables'!$A$4,7),2)),1,0)</f>
        <v>0</v>
      </c>
      <c r="Y33" s="6">
        <f>1/COUNTIF(Таблица1[Order ID],Таблица1[[#This Row],[Order ID]])</f>
        <v>0.5</v>
      </c>
      <c r="Z33" s="9">
        <f>1/COUNTIFS(Таблица1[Customer Name],Таблица1[[#This Row],[Customer Name]],Таблица1[Order-Year-Month],Таблица1[[#This Row],[Order-Year-Month]])</f>
        <v>0.5</v>
      </c>
    </row>
    <row r="34" spans="1:26" x14ac:dyDescent="0.2">
      <c r="A34" s="6">
        <v>362</v>
      </c>
      <c r="B34" s="7">
        <v>2532</v>
      </c>
      <c r="C34" s="8">
        <f>DATE(2012,12,31)-448</f>
        <v>40826</v>
      </c>
      <c r="D34" s="8" t="str">
        <f t="shared" si="0"/>
        <v>2011-10 (октябрь 2011)</v>
      </c>
      <c r="E34" s="9" t="s">
        <v>30</v>
      </c>
      <c r="F34" s="7">
        <v>39</v>
      </c>
      <c r="G34" s="7">
        <v>282.07</v>
      </c>
      <c r="H34" s="7">
        <v>0.03</v>
      </c>
      <c r="I34" s="9" t="s">
        <v>22</v>
      </c>
      <c r="J34" s="10">
        <v>140.01</v>
      </c>
      <c r="K34" s="11">
        <v>7.31</v>
      </c>
      <c r="L34" s="11">
        <v>0.49</v>
      </c>
      <c r="M34" s="9" t="s">
        <v>106</v>
      </c>
      <c r="N34" s="6" t="s">
        <v>24</v>
      </c>
      <c r="O34" s="6" t="s">
        <v>24</v>
      </c>
      <c r="P34" s="9" t="s">
        <v>41</v>
      </c>
      <c r="Q34" s="9" t="s">
        <v>26</v>
      </c>
      <c r="R34" s="9" t="s">
        <v>88</v>
      </c>
      <c r="S34" s="7" t="s">
        <v>107</v>
      </c>
      <c r="T34" s="9" t="s">
        <v>39</v>
      </c>
      <c r="U34" s="7">
        <v>0.38</v>
      </c>
      <c r="V34" s="12">
        <f>C34+1</f>
        <v>40827</v>
      </c>
      <c r="W34">
        <f>IF(D34=' Pivot Tables'!$A$4,1,0)</f>
        <v>0</v>
      </c>
      <c r="X34">
        <f>IF(AND(LEFT(D34,4)+1=LEFT(' Pivot Tables'!$A$4,4)+0,RIGHT(LEFT(D34,7),2)=RIGHT(LEFT(' Pivot Tables'!$A$4,7),2)),1,0)</f>
        <v>0</v>
      </c>
      <c r="Y34" s="6">
        <f>1/COUNTIF(Таблица1[Order ID],Таблица1[[#This Row],[Order ID]])</f>
        <v>0.5</v>
      </c>
      <c r="Z34" s="9">
        <f>1/COUNTIFS(Таблица1[Customer Name],Таблица1[[#This Row],[Customer Name]],Таблица1[Order-Year-Month],Таблица1[[#This Row],[Order-Year-Month]])</f>
        <v>0.5</v>
      </c>
    </row>
    <row r="35" spans="1:26" x14ac:dyDescent="0.2">
      <c r="A35" s="6">
        <v>363</v>
      </c>
      <c r="B35" s="7">
        <v>2532</v>
      </c>
      <c r="C35" s="8">
        <f>DATE(2012,12,31)-448</f>
        <v>40826</v>
      </c>
      <c r="D35" s="8" t="str">
        <f t="shared" si="0"/>
        <v>2011-10 (октябрь 2011)</v>
      </c>
      <c r="E35" s="9" t="s">
        <v>30</v>
      </c>
      <c r="F35" s="7">
        <v>24</v>
      </c>
      <c r="G35" s="7">
        <v>426.03700000000003</v>
      </c>
      <c r="H35" s="7">
        <v>0.01</v>
      </c>
      <c r="I35" s="9" t="s">
        <v>22</v>
      </c>
      <c r="J35" s="10">
        <v>-78.957999999999998</v>
      </c>
      <c r="K35" s="11">
        <v>20.99</v>
      </c>
      <c r="L35" s="11">
        <v>2.5</v>
      </c>
      <c r="M35" s="9" t="s">
        <v>106</v>
      </c>
      <c r="N35" s="6" t="s">
        <v>24</v>
      </c>
      <c r="O35" s="6" t="s">
        <v>24</v>
      </c>
      <c r="P35" s="9" t="s">
        <v>41</v>
      </c>
      <c r="Q35" s="9" t="s">
        <v>42</v>
      </c>
      <c r="R35" s="9" t="s">
        <v>43</v>
      </c>
      <c r="S35" s="7" t="s">
        <v>108</v>
      </c>
      <c r="T35" s="9" t="s">
        <v>68</v>
      </c>
      <c r="U35" s="7">
        <v>0.81</v>
      </c>
      <c r="V35" s="12">
        <f>C35+1</f>
        <v>40827</v>
      </c>
      <c r="W35">
        <f>IF(D35=' Pivot Tables'!$A$4,1,0)</f>
        <v>0</v>
      </c>
      <c r="X35">
        <f>IF(AND(LEFT(D35,4)+1=LEFT(' Pivot Tables'!$A$4,4)+0,RIGHT(LEFT(D35,7),2)=RIGHT(LEFT(' Pivot Tables'!$A$4,7),2)),1,0)</f>
        <v>0</v>
      </c>
      <c r="Y35" s="6">
        <f>1/COUNTIF(Таблица1[Order ID],Таблица1[[#This Row],[Order ID]])</f>
        <v>0.5</v>
      </c>
      <c r="Z35" s="9">
        <f>1/COUNTIFS(Таблица1[Customer Name],Таблица1[[#This Row],[Customer Name]],Таблица1[Order-Year-Month],Таблица1[[#This Row],[Order-Year-Month]])</f>
        <v>0.5</v>
      </c>
    </row>
    <row r="36" spans="1:26" x14ac:dyDescent="0.2">
      <c r="A36" s="6">
        <v>381</v>
      </c>
      <c r="B36" s="7">
        <v>2631</v>
      </c>
      <c r="C36" s="8">
        <f>DATE(2012,12,31)-830</f>
        <v>40444</v>
      </c>
      <c r="D36" s="8" t="str">
        <f t="shared" si="0"/>
        <v>2010-09 (сентябрь 2010)</v>
      </c>
      <c r="E36" s="9" t="s">
        <v>21</v>
      </c>
      <c r="F36" s="7">
        <v>27</v>
      </c>
      <c r="G36" s="7">
        <v>1078.49</v>
      </c>
      <c r="H36" s="7">
        <v>0.08</v>
      </c>
      <c r="I36" s="9" t="s">
        <v>22</v>
      </c>
      <c r="J36" s="10">
        <v>252.66</v>
      </c>
      <c r="K36" s="11">
        <v>40.96</v>
      </c>
      <c r="L36" s="11">
        <v>1.99</v>
      </c>
      <c r="M36" s="9" t="s">
        <v>109</v>
      </c>
      <c r="N36" s="6" t="s">
        <v>24</v>
      </c>
      <c r="O36" s="6" t="s">
        <v>24</v>
      </c>
      <c r="P36" s="9" t="s">
        <v>41</v>
      </c>
      <c r="Q36" s="9" t="s">
        <v>42</v>
      </c>
      <c r="R36" s="9" t="s">
        <v>70</v>
      </c>
      <c r="S36" s="7" t="s">
        <v>110</v>
      </c>
      <c r="T36" s="9" t="s">
        <v>52</v>
      </c>
      <c r="U36" s="7">
        <v>0.55000000000000004</v>
      </c>
      <c r="V36" s="12">
        <f>C36+2</f>
        <v>40446</v>
      </c>
      <c r="W36">
        <f>IF(D36=' Pivot Tables'!$A$4,1,0)</f>
        <v>0</v>
      </c>
      <c r="X36">
        <f>IF(AND(LEFT(D36,4)+1=LEFT(' Pivot Tables'!$A$4,4)+0,RIGHT(LEFT(D36,7),2)=RIGHT(LEFT(' Pivot Tables'!$A$4,7),2)),1,0)</f>
        <v>0</v>
      </c>
      <c r="Y36" s="6">
        <f>1/COUNTIF(Таблица1[Order ID],Таблица1[[#This Row],[Order ID]])</f>
        <v>1</v>
      </c>
      <c r="Z36" s="9">
        <f>1/COUNTIFS(Таблица1[Customer Name],Таблица1[[#This Row],[Customer Name]],Таблица1[Order-Year-Month],Таблица1[[#This Row],[Order-Year-Month]])</f>
        <v>1</v>
      </c>
    </row>
    <row r="37" spans="1:26" x14ac:dyDescent="0.2">
      <c r="A37" s="6">
        <v>406</v>
      </c>
      <c r="B37" s="7">
        <v>2757</v>
      </c>
      <c r="C37" s="8">
        <f>DATE(2012,12,31)-531</f>
        <v>40743</v>
      </c>
      <c r="D37" s="8" t="str">
        <f t="shared" si="0"/>
        <v>2011-07 (июль 2011)</v>
      </c>
      <c r="E37" s="9" t="s">
        <v>78</v>
      </c>
      <c r="F37" s="7">
        <v>39</v>
      </c>
      <c r="G37" s="7">
        <v>3554.46</v>
      </c>
      <c r="H37" s="7">
        <v>7.0000000000000007E-2</v>
      </c>
      <c r="I37" s="9" t="s">
        <v>31</v>
      </c>
      <c r="J37" s="10">
        <v>-1766.01</v>
      </c>
      <c r="K37" s="11">
        <v>95.95</v>
      </c>
      <c r="L37" s="11">
        <v>74.349999999999994</v>
      </c>
      <c r="M37" s="9" t="s">
        <v>111</v>
      </c>
      <c r="N37" s="6" t="s">
        <v>24</v>
      </c>
      <c r="O37" s="6" t="s">
        <v>24</v>
      </c>
      <c r="P37" s="9" t="s">
        <v>41</v>
      </c>
      <c r="Q37" s="9" t="s">
        <v>49</v>
      </c>
      <c r="R37" s="9" t="s">
        <v>112</v>
      </c>
      <c r="S37" s="7" t="s">
        <v>113</v>
      </c>
      <c r="T37" s="9" t="s">
        <v>36</v>
      </c>
      <c r="U37" s="7">
        <v>0.56999999999999995</v>
      </c>
      <c r="V37" s="12">
        <f>C37+0</f>
        <v>40743</v>
      </c>
      <c r="W37">
        <f>IF(D37=' Pivot Tables'!$A$4,1,0)</f>
        <v>0</v>
      </c>
      <c r="X37">
        <f>IF(AND(LEFT(D37,4)+1=LEFT(' Pivot Tables'!$A$4,4)+0,RIGHT(LEFT(D37,7),2)=RIGHT(LEFT(' Pivot Tables'!$A$4,7),2)),1,0)</f>
        <v>0</v>
      </c>
      <c r="Y37" s="6">
        <f>1/COUNTIF(Таблица1[Order ID],Таблица1[[#This Row],[Order ID]])</f>
        <v>0.5</v>
      </c>
      <c r="Z37" s="9">
        <f>1/COUNTIFS(Таблица1[Customer Name],Таблица1[[#This Row],[Customer Name]],Таблица1[Order-Year-Month],Таблица1[[#This Row],[Order-Year-Month]])</f>
        <v>1</v>
      </c>
    </row>
    <row r="38" spans="1:26" x14ac:dyDescent="0.2">
      <c r="A38" s="6">
        <v>413</v>
      </c>
      <c r="B38" s="7">
        <v>2791</v>
      </c>
      <c r="C38" s="8">
        <f>DATE(2012,12,31)-1179</f>
        <v>40095</v>
      </c>
      <c r="D38" s="8" t="str">
        <f t="shared" si="0"/>
        <v>2009-10 (октябрь 2009)</v>
      </c>
      <c r="E38" s="9" t="s">
        <v>30</v>
      </c>
      <c r="F38" s="7">
        <v>47</v>
      </c>
      <c r="G38" s="7">
        <v>191.67</v>
      </c>
      <c r="H38" s="7">
        <v>0</v>
      </c>
      <c r="I38" s="9" t="s">
        <v>22</v>
      </c>
      <c r="J38" s="10">
        <v>-236.26750000000001</v>
      </c>
      <c r="K38" s="11">
        <v>3.89</v>
      </c>
      <c r="L38" s="11">
        <v>7.01</v>
      </c>
      <c r="M38" s="9" t="s">
        <v>114</v>
      </c>
      <c r="N38" s="6" t="s">
        <v>24</v>
      </c>
      <c r="O38" s="6" t="s">
        <v>24</v>
      </c>
      <c r="P38" s="9" t="s">
        <v>41</v>
      </c>
      <c r="Q38" s="9" t="s">
        <v>26</v>
      </c>
      <c r="R38" s="9" t="s">
        <v>37</v>
      </c>
      <c r="S38" s="7" t="s">
        <v>115</v>
      </c>
      <c r="T38" s="9" t="s">
        <v>39</v>
      </c>
      <c r="U38" s="7">
        <v>0.37</v>
      </c>
      <c r="V38" s="12">
        <f>C38+0</f>
        <v>40095</v>
      </c>
      <c r="W38">
        <f>IF(D38=' Pivot Tables'!$A$4,1,0)</f>
        <v>0</v>
      </c>
      <c r="X38">
        <f>IF(AND(LEFT(D38,4)+1=LEFT(' Pivot Tables'!$A$4,4)+0,RIGHT(LEFT(D38,7),2)=RIGHT(LEFT(' Pivot Tables'!$A$4,7),2)),1,0)</f>
        <v>0</v>
      </c>
      <c r="Y38" s="6">
        <f>1/COUNTIF(Таблица1[Order ID],Таблица1[[#This Row],[Order ID]])</f>
        <v>0.33333333333333331</v>
      </c>
      <c r="Z38" s="9">
        <f>1/COUNTIFS(Таблица1[Customer Name],Таблица1[[#This Row],[Customer Name]],Таблица1[Order-Year-Month],Таблица1[[#This Row],[Order-Year-Month]])</f>
        <v>0.33333333333333331</v>
      </c>
    </row>
    <row r="39" spans="1:26" x14ac:dyDescent="0.2">
      <c r="A39" s="6">
        <v>414</v>
      </c>
      <c r="B39" s="7">
        <v>2791</v>
      </c>
      <c r="C39" s="8">
        <f>DATE(2012,12,31)-1179</f>
        <v>40095</v>
      </c>
      <c r="D39" s="8" t="str">
        <f t="shared" si="0"/>
        <v>2009-10 (октябрь 2009)</v>
      </c>
      <c r="E39" s="9" t="s">
        <v>30</v>
      </c>
      <c r="F39" s="7">
        <v>49</v>
      </c>
      <c r="G39" s="7">
        <v>5586.33</v>
      </c>
      <c r="H39" s="7">
        <v>0.09</v>
      </c>
      <c r="I39" s="9" t="s">
        <v>31</v>
      </c>
      <c r="J39" s="10">
        <v>80.44</v>
      </c>
      <c r="K39" s="11">
        <v>120.98</v>
      </c>
      <c r="L39" s="11">
        <v>30</v>
      </c>
      <c r="M39" s="9" t="s">
        <v>114</v>
      </c>
      <c r="N39" s="6" t="s">
        <v>24</v>
      </c>
      <c r="O39" s="6" t="s">
        <v>24</v>
      </c>
      <c r="P39" s="9" t="s">
        <v>41</v>
      </c>
      <c r="Q39" s="9" t="s">
        <v>49</v>
      </c>
      <c r="R39" s="9" t="s">
        <v>112</v>
      </c>
      <c r="S39" s="7" t="s">
        <v>116</v>
      </c>
      <c r="T39" s="9" t="s">
        <v>36</v>
      </c>
      <c r="U39" s="7">
        <v>0.64</v>
      </c>
      <c r="V39" s="12">
        <f>C39+2</f>
        <v>40097</v>
      </c>
      <c r="W39">
        <f>IF(D39=' Pivot Tables'!$A$4,1,0)</f>
        <v>0</v>
      </c>
      <c r="X39">
        <f>IF(AND(LEFT(D39,4)+1=LEFT(' Pivot Tables'!$A$4,4)+0,RIGHT(LEFT(D39,7),2)=RIGHT(LEFT(' Pivot Tables'!$A$4,7),2)),1,0)</f>
        <v>0</v>
      </c>
      <c r="Y39" s="6">
        <f>1/COUNTIF(Таблица1[Order ID],Таблица1[[#This Row],[Order ID]])</f>
        <v>0.33333333333333331</v>
      </c>
      <c r="Z39" s="9">
        <f>1/COUNTIFS(Таблица1[Customer Name],Таблица1[[#This Row],[Customer Name]],Таблица1[Order-Year-Month],Таблица1[[#This Row],[Order-Year-Month]])</f>
        <v>0.33333333333333331</v>
      </c>
    </row>
    <row r="40" spans="1:26" x14ac:dyDescent="0.2">
      <c r="A40" s="6">
        <v>415</v>
      </c>
      <c r="B40" s="7">
        <v>2791</v>
      </c>
      <c r="C40" s="8">
        <f>DATE(2012,12,31)-1179</f>
        <v>40095</v>
      </c>
      <c r="D40" s="8" t="str">
        <f t="shared" si="0"/>
        <v>2009-10 (октябрь 2009)</v>
      </c>
      <c r="E40" s="9" t="s">
        <v>30</v>
      </c>
      <c r="F40" s="7">
        <v>18</v>
      </c>
      <c r="G40" s="7">
        <v>507.64</v>
      </c>
      <c r="H40" s="7">
        <v>0.1</v>
      </c>
      <c r="I40" s="9" t="s">
        <v>22</v>
      </c>
      <c r="J40" s="10">
        <v>118.94</v>
      </c>
      <c r="K40" s="11">
        <v>30.98</v>
      </c>
      <c r="L40" s="11">
        <v>5.76</v>
      </c>
      <c r="M40" s="9" t="s">
        <v>114</v>
      </c>
      <c r="N40" s="6" t="s">
        <v>24</v>
      </c>
      <c r="O40" s="6" t="s">
        <v>24</v>
      </c>
      <c r="P40" s="9" t="s">
        <v>41</v>
      </c>
      <c r="Q40" s="9" t="s">
        <v>26</v>
      </c>
      <c r="R40" s="9" t="s">
        <v>61</v>
      </c>
      <c r="S40" s="7" t="s">
        <v>117</v>
      </c>
      <c r="T40" s="9" t="s">
        <v>39</v>
      </c>
      <c r="U40" s="7">
        <v>0.4</v>
      </c>
      <c r="V40" s="12">
        <f>C40+1</f>
        <v>40096</v>
      </c>
      <c r="W40">
        <f>IF(D40=' Pivot Tables'!$A$4,1,0)</f>
        <v>0</v>
      </c>
      <c r="X40">
        <f>IF(AND(LEFT(D40,4)+1=LEFT(' Pivot Tables'!$A$4,4)+0,RIGHT(LEFT(D40,7),2)=RIGHT(LEFT(' Pivot Tables'!$A$4,7),2)),1,0)</f>
        <v>0</v>
      </c>
      <c r="Y40" s="6">
        <f>1/COUNTIF(Таблица1[Order ID],Таблица1[[#This Row],[Order ID]])</f>
        <v>0.33333333333333331</v>
      </c>
      <c r="Z40" s="9">
        <f>1/COUNTIFS(Таблица1[Customer Name],Таблица1[[#This Row],[Customer Name]],Таблица1[Order-Year-Month],Таблица1[[#This Row],[Order-Year-Month]])</f>
        <v>0.33333333333333331</v>
      </c>
    </row>
    <row r="41" spans="1:26" x14ac:dyDescent="0.2">
      <c r="A41" s="6">
        <v>440</v>
      </c>
      <c r="B41" s="7">
        <v>2976</v>
      </c>
      <c r="C41" s="8">
        <f>DATE(2012,12,31)-753</f>
        <v>40521</v>
      </c>
      <c r="D41" s="8" t="str">
        <f t="shared" si="0"/>
        <v>2010-12 (декабрь 2010)</v>
      </c>
      <c r="E41" s="9" t="s">
        <v>45</v>
      </c>
      <c r="F41" s="7">
        <v>30</v>
      </c>
      <c r="G41" s="7">
        <v>14223.82</v>
      </c>
      <c r="H41" s="7">
        <v>0.09</v>
      </c>
      <c r="I41" s="9" t="s">
        <v>31</v>
      </c>
      <c r="J41" s="10">
        <v>3424.22</v>
      </c>
      <c r="K41" s="11">
        <v>500.98</v>
      </c>
      <c r="L41" s="11">
        <v>26</v>
      </c>
      <c r="M41" s="9" t="s">
        <v>118</v>
      </c>
      <c r="N41" s="6" t="s">
        <v>24</v>
      </c>
      <c r="O41" s="6" t="s">
        <v>24</v>
      </c>
      <c r="P41" s="9" t="s">
        <v>33</v>
      </c>
      <c r="Q41" s="9" t="s">
        <v>49</v>
      </c>
      <c r="R41" s="9" t="s">
        <v>112</v>
      </c>
      <c r="S41" s="7" t="s">
        <v>119</v>
      </c>
      <c r="T41" s="9" t="s">
        <v>36</v>
      </c>
      <c r="U41" s="7">
        <v>0.6</v>
      </c>
      <c r="V41" s="12">
        <f>C41+2</f>
        <v>40523</v>
      </c>
      <c r="W41">
        <f>IF(D41=' Pivot Tables'!$A$4,1,0)</f>
        <v>0</v>
      </c>
      <c r="X41">
        <f>IF(AND(LEFT(D41,4)+1=LEFT(' Pivot Tables'!$A$4,4)+0,RIGHT(LEFT(D41,7),2)=RIGHT(LEFT(' Pivot Tables'!$A$4,7),2)),1,0)</f>
        <v>0</v>
      </c>
      <c r="Y41" s="6">
        <f>1/COUNTIF(Таблица1[Order ID],Таблица1[[#This Row],[Order ID]])</f>
        <v>1</v>
      </c>
      <c r="Z41" s="9">
        <f>1/COUNTIFS(Таблица1[Customer Name],Таблица1[[#This Row],[Customer Name]],Таблица1[Order-Year-Month],Таблица1[[#This Row],[Order-Year-Month]])</f>
        <v>1</v>
      </c>
    </row>
    <row r="42" spans="1:26" x14ac:dyDescent="0.2">
      <c r="A42" s="6">
        <v>471</v>
      </c>
      <c r="B42" s="7">
        <v>3232</v>
      </c>
      <c r="C42" s="8">
        <f>DATE(2012,12,31)-84</f>
        <v>41190</v>
      </c>
      <c r="D42" s="8" t="str">
        <f t="shared" si="0"/>
        <v>2012-10 (октябрь 2012)</v>
      </c>
      <c r="E42" s="9" t="s">
        <v>78</v>
      </c>
      <c r="F42" s="7">
        <v>5</v>
      </c>
      <c r="G42" s="7">
        <v>42.66</v>
      </c>
      <c r="H42" s="7">
        <v>0.06</v>
      </c>
      <c r="I42" s="9" t="s">
        <v>22</v>
      </c>
      <c r="J42" s="10">
        <v>-11.833499999999999</v>
      </c>
      <c r="K42" s="11">
        <v>7.84</v>
      </c>
      <c r="L42" s="11">
        <v>4.71</v>
      </c>
      <c r="M42" s="9" t="s">
        <v>120</v>
      </c>
      <c r="N42" s="6" t="s">
        <v>24</v>
      </c>
      <c r="O42" s="6" t="s">
        <v>24</v>
      </c>
      <c r="P42" s="9" t="s">
        <v>25</v>
      </c>
      <c r="Q42" s="9" t="s">
        <v>26</v>
      </c>
      <c r="R42" s="9" t="s">
        <v>37</v>
      </c>
      <c r="S42" s="7" t="s">
        <v>121</v>
      </c>
      <c r="T42" s="9" t="s">
        <v>39</v>
      </c>
      <c r="U42" s="7">
        <v>0.35</v>
      </c>
      <c r="V42" s="12">
        <f>C42+2</f>
        <v>41192</v>
      </c>
      <c r="W42">
        <f>IF(D42=' Pivot Tables'!$A$4,1,0)</f>
        <v>0</v>
      </c>
      <c r="X42">
        <f>IF(AND(LEFT(D42,4)+1=LEFT(' Pivot Tables'!$A$4,4)+0,RIGHT(LEFT(D42,7),2)=RIGHT(LEFT(' Pivot Tables'!$A$4,7),2)),1,0)</f>
        <v>0</v>
      </c>
      <c r="Y42" s="6">
        <f>1/COUNTIF(Таблица1[Order ID],Таблица1[[#This Row],[Order ID]])</f>
        <v>1</v>
      </c>
      <c r="Z42" s="9">
        <f>1/COUNTIFS(Таблица1[Customer Name],Таблица1[[#This Row],[Customer Name]],Таблица1[Order-Year-Month],Таблица1[[#This Row],[Order-Year-Month]])</f>
        <v>1</v>
      </c>
    </row>
    <row r="43" spans="1:26" x14ac:dyDescent="0.2">
      <c r="A43" s="6">
        <v>513</v>
      </c>
      <c r="B43" s="7">
        <v>3524</v>
      </c>
      <c r="C43" s="8">
        <f>DATE(2012,12,31)-243</f>
        <v>41031</v>
      </c>
      <c r="D43" s="8" t="str">
        <f t="shared" si="0"/>
        <v>2012-05 (май 2012)</v>
      </c>
      <c r="E43" s="9" t="s">
        <v>30</v>
      </c>
      <c r="F43" s="7">
        <v>21</v>
      </c>
      <c r="G43" s="7">
        <v>427.32</v>
      </c>
      <c r="H43" s="7">
        <v>0</v>
      </c>
      <c r="I43" s="9" t="s">
        <v>22</v>
      </c>
      <c r="J43" s="10">
        <v>52.35</v>
      </c>
      <c r="K43" s="11">
        <v>18.97</v>
      </c>
      <c r="L43" s="11">
        <v>9.0299999999999994</v>
      </c>
      <c r="M43" s="9" t="s">
        <v>122</v>
      </c>
      <c r="N43" s="6" t="s">
        <v>24</v>
      </c>
      <c r="O43" s="6" t="s">
        <v>24</v>
      </c>
      <c r="P43" s="9" t="s">
        <v>25</v>
      </c>
      <c r="Q43" s="9" t="s">
        <v>26</v>
      </c>
      <c r="R43" s="9" t="s">
        <v>61</v>
      </c>
      <c r="S43" s="7" t="s">
        <v>123</v>
      </c>
      <c r="T43" s="9" t="s">
        <v>39</v>
      </c>
      <c r="U43" s="7">
        <v>0.37</v>
      </c>
      <c r="V43" s="12">
        <f>C43+1</f>
        <v>41032</v>
      </c>
      <c r="W43">
        <f>IF(D43=' Pivot Tables'!$A$4,1,0)</f>
        <v>0</v>
      </c>
      <c r="X43">
        <f>IF(AND(LEFT(D43,4)+1=LEFT(' Pivot Tables'!$A$4,4)+0,RIGHT(LEFT(D43,7),2)=RIGHT(LEFT(' Pivot Tables'!$A$4,7),2)),1,0)</f>
        <v>0</v>
      </c>
      <c r="Y43" s="6">
        <f>1/COUNTIF(Таблица1[Order ID],Таблица1[[#This Row],[Order ID]])</f>
        <v>1</v>
      </c>
      <c r="Z43" s="9">
        <f>1/COUNTIFS(Таблица1[Customer Name],Таблица1[[#This Row],[Customer Name]],Таблица1[Order-Year-Month],Таблица1[[#This Row],[Order-Year-Month]])</f>
        <v>0.5</v>
      </c>
    </row>
    <row r="44" spans="1:26" x14ac:dyDescent="0.2">
      <c r="A44" s="6">
        <v>577</v>
      </c>
      <c r="B44" s="7">
        <v>3908</v>
      </c>
      <c r="C44" s="8">
        <f>DATE(2012,12,31)-1029</f>
        <v>40245</v>
      </c>
      <c r="D44" s="8" t="str">
        <f t="shared" si="0"/>
        <v>2010-03 (март 2010)</v>
      </c>
      <c r="E44" s="9" t="s">
        <v>63</v>
      </c>
      <c r="F44" s="7">
        <v>8</v>
      </c>
      <c r="G44" s="7">
        <v>820.28399999999999</v>
      </c>
      <c r="H44" s="7">
        <v>0</v>
      </c>
      <c r="I44" s="9" t="s">
        <v>22</v>
      </c>
      <c r="J44" s="10">
        <v>-180.202</v>
      </c>
      <c r="K44" s="11">
        <v>115.99</v>
      </c>
      <c r="L44" s="11">
        <v>2.5</v>
      </c>
      <c r="M44" s="9" t="s">
        <v>124</v>
      </c>
      <c r="N44" s="6" t="s">
        <v>24</v>
      </c>
      <c r="O44" s="6" t="s">
        <v>24</v>
      </c>
      <c r="P44" s="9" t="s">
        <v>41</v>
      </c>
      <c r="Q44" s="9" t="s">
        <v>42</v>
      </c>
      <c r="R44" s="9" t="s">
        <v>43</v>
      </c>
      <c r="S44" s="7" t="s">
        <v>125</v>
      </c>
      <c r="T44" s="9" t="s">
        <v>39</v>
      </c>
      <c r="U44" s="7">
        <v>0.56999999999999995</v>
      </c>
      <c r="V44" s="12">
        <f>C44+0</f>
        <v>40245</v>
      </c>
      <c r="W44">
        <f>IF(D44=' Pivot Tables'!$A$4,1,0)</f>
        <v>0</v>
      </c>
      <c r="X44">
        <f>IF(AND(LEFT(D44,4)+1=LEFT(' Pivot Tables'!$A$4,4)+0,RIGHT(LEFT(D44,7),2)=RIGHT(LEFT(' Pivot Tables'!$A$4,7),2)),1,0)</f>
        <v>0</v>
      </c>
      <c r="Y44" s="6">
        <f>1/COUNTIF(Таблица1[Order ID],Таблица1[[#This Row],[Order ID]])</f>
        <v>1</v>
      </c>
      <c r="Z44" s="9">
        <f>1/COUNTIFS(Таблица1[Customer Name],Таблица1[[#This Row],[Customer Name]],Таблица1[Order-Year-Month],Таблица1[[#This Row],[Order-Year-Month]])</f>
        <v>1</v>
      </c>
    </row>
    <row r="45" spans="1:26" x14ac:dyDescent="0.2">
      <c r="A45" s="6">
        <v>606</v>
      </c>
      <c r="B45" s="7">
        <v>4132</v>
      </c>
      <c r="C45" s="8">
        <f>DATE(2012,12,31)-583</f>
        <v>40691</v>
      </c>
      <c r="D45" s="8" t="str">
        <f t="shared" si="0"/>
        <v>2011-05 (май 2011)</v>
      </c>
      <c r="E45" s="9" t="s">
        <v>45</v>
      </c>
      <c r="F45" s="7">
        <v>5</v>
      </c>
      <c r="G45" s="7">
        <v>14.76</v>
      </c>
      <c r="H45" s="7">
        <v>0.01</v>
      </c>
      <c r="I45" s="9" t="s">
        <v>22</v>
      </c>
      <c r="J45" s="10">
        <v>1.32</v>
      </c>
      <c r="K45" s="11">
        <v>2.88</v>
      </c>
      <c r="L45" s="11">
        <v>0.5</v>
      </c>
      <c r="M45" s="9" t="s">
        <v>126</v>
      </c>
      <c r="N45" s="6" t="s">
        <v>24</v>
      </c>
      <c r="O45" s="6" t="s">
        <v>24</v>
      </c>
      <c r="P45" s="9" t="s">
        <v>41</v>
      </c>
      <c r="Q45" s="9" t="s">
        <v>26</v>
      </c>
      <c r="R45" s="9" t="s">
        <v>88</v>
      </c>
      <c r="S45" s="7" t="s">
        <v>127</v>
      </c>
      <c r="T45" s="9" t="s">
        <v>39</v>
      </c>
      <c r="U45" s="7">
        <v>0.36</v>
      </c>
      <c r="V45" s="12">
        <f>C45+2</f>
        <v>40693</v>
      </c>
      <c r="W45">
        <f>IF(D45=' Pivot Tables'!$A$4,1,0)</f>
        <v>0</v>
      </c>
      <c r="X45">
        <f>IF(AND(LEFT(D45,4)+1=LEFT(' Pivot Tables'!$A$4,4)+0,RIGHT(LEFT(D45,7),2)=RIGHT(LEFT(' Pivot Tables'!$A$4,7),2)),1,0)</f>
        <v>0</v>
      </c>
      <c r="Y45" s="6">
        <f>1/COUNTIF(Таблица1[Order ID],Таблица1[[#This Row],[Order ID]])</f>
        <v>1</v>
      </c>
      <c r="Z45" s="9">
        <f>1/COUNTIFS(Таблица1[Customer Name],Таблица1[[#This Row],[Customer Name]],Таблица1[Order-Year-Month],Таблица1[[#This Row],[Order-Year-Month]])</f>
        <v>1</v>
      </c>
    </row>
    <row r="46" spans="1:26" x14ac:dyDescent="0.2">
      <c r="A46" s="6">
        <v>656</v>
      </c>
      <c r="B46" s="7">
        <v>4612</v>
      </c>
      <c r="C46" s="8">
        <f>DATE(2012,12,31)-834</f>
        <v>40440</v>
      </c>
      <c r="D46" s="8" t="str">
        <f t="shared" si="0"/>
        <v>2010-09 (сентябрь 2010)</v>
      </c>
      <c r="E46" s="9" t="s">
        <v>63</v>
      </c>
      <c r="F46" s="7">
        <v>9</v>
      </c>
      <c r="G46" s="7">
        <v>89.55</v>
      </c>
      <c r="H46" s="7">
        <v>0.06</v>
      </c>
      <c r="I46" s="9" t="s">
        <v>22</v>
      </c>
      <c r="J46" s="10">
        <v>-375.64</v>
      </c>
      <c r="K46" s="11">
        <v>4.4800000000000004</v>
      </c>
      <c r="L46" s="11">
        <v>49</v>
      </c>
      <c r="M46" s="9" t="s">
        <v>85</v>
      </c>
      <c r="N46" s="6" t="s">
        <v>24</v>
      </c>
      <c r="O46" s="6" t="s">
        <v>24</v>
      </c>
      <c r="P46" s="9" t="s">
        <v>41</v>
      </c>
      <c r="Q46" s="9" t="s">
        <v>26</v>
      </c>
      <c r="R46" s="9" t="s">
        <v>34</v>
      </c>
      <c r="S46" s="7" t="s">
        <v>128</v>
      </c>
      <c r="T46" s="9" t="s">
        <v>29</v>
      </c>
      <c r="U46" s="7">
        <v>0.6</v>
      </c>
      <c r="V46" s="12">
        <f>C46+2</f>
        <v>40442</v>
      </c>
      <c r="W46">
        <f>IF(D46=' Pivot Tables'!$A$4,1,0)</f>
        <v>0</v>
      </c>
      <c r="X46">
        <f>IF(AND(LEFT(D46,4)+1=LEFT(' Pivot Tables'!$A$4,4)+0,RIGHT(LEFT(D46,7),2)=RIGHT(LEFT(' Pivot Tables'!$A$4,7),2)),1,0)</f>
        <v>0</v>
      </c>
      <c r="Y46" s="6">
        <f>1/COUNTIF(Таблица1[Order ID],Таблица1[[#This Row],[Order ID]])</f>
        <v>1</v>
      </c>
      <c r="Z46" s="9">
        <f>1/COUNTIFS(Таблица1[Customer Name],Таблица1[[#This Row],[Customer Name]],Таблица1[Order-Year-Month],Таблица1[[#This Row],[Order-Year-Month]])</f>
        <v>1</v>
      </c>
    </row>
    <row r="47" spans="1:26" x14ac:dyDescent="0.2">
      <c r="A47" s="6">
        <v>669</v>
      </c>
      <c r="B47" s="7">
        <v>4676</v>
      </c>
      <c r="C47" s="8">
        <f>DATE(2012,12,31)-488</f>
        <v>40786</v>
      </c>
      <c r="D47" s="8" t="str">
        <f t="shared" si="0"/>
        <v>2011-08 (август 2011)</v>
      </c>
      <c r="E47" s="9" t="s">
        <v>30</v>
      </c>
      <c r="F47" s="7">
        <v>11</v>
      </c>
      <c r="G47" s="7">
        <v>1210.0514999999998</v>
      </c>
      <c r="H47" s="7">
        <v>0.04</v>
      </c>
      <c r="I47" s="9" t="s">
        <v>22</v>
      </c>
      <c r="J47" s="10">
        <v>-104.24700000000007</v>
      </c>
      <c r="K47" s="11">
        <v>125.99</v>
      </c>
      <c r="L47" s="11">
        <v>7.69</v>
      </c>
      <c r="M47" s="9" t="s">
        <v>97</v>
      </c>
      <c r="N47" s="6" t="s">
        <v>24</v>
      </c>
      <c r="O47" s="6" t="s">
        <v>24</v>
      </c>
      <c r="P47" s="9" t="s">
        <v>60</v>
      </c>
      <c r="Q47" s="9" t="s">
        <v>42</v>
      </c>
      <c r="R47" s="9" t="s">
        <v>43</v>
      </c>
      <c r="S47" s="7" t="s">
        <v>129</v>
      </c>
      <c r="T47" s="9" t="s">
        <v>39</v>
      </c>
      <c r="U47" s="7">
        <v>0.57999999999999996</v>
      </c>
      <c r="V47" s="12">
        <f>C47+1</f>
        <v>40787</v>
      </c>
      <c r="W47">
        <f>IF(D47=' Pivot Tables'!$A$4,1,0)</f>
        <v>0</v>
      </c>
      <c r="X47">
        <f>IF(AND(LEFT(D47,4)+1=LEFT(' Pivot Tables'!$A$4,4)+0,RIGHT(LEFT(D47,7),2)=RIGHT(LEFT(' Pivot Tables'!$A$4,7),2)),1,0)</f>
        <v>0</v>
      </c>
      <c r="Y47" s="6">
        <f>1/COUNTIF(Таблица1[Order ID],Таблица1[[#This Row],[Order ID]])</f>
        <v>0.25</v>
      </c>
      <c r="Z47" s="9">
        <f>1/COUNTIFS(Таблица1[Customer Name],Таблица1[[#This Row],[Customer Name]],Таблица1[Order-Year-Month],Таблица1[[#This Row],[Order-Year-Month]])</f>
        <v>0.25</v>
      </c>
    </row>
    <row r="48" spans="1:26" x14ac:dyDescent="0.2">
      <c r="A48" s="6">
        <v>670</v>
      </c>
      <c r="B48" s="7">
        <v>4676</v>
      </c>
      <c r="C48" s="8">
        <f>DATE(2012,12,31)-488</f>
        <v>40786</v>
      </c>
      <c r="D48" s="8" t="str">
        <f t="shared" si="0"/>
        <v>2011-08 (август 2011)</v>
      </c>
      <c r="E48" s="9" t="s">
        <v>30</v>
      </c>
      <c r="F48" s="7">
        <v>50</v>
      </c>
      <c r="G48" s="7">
        <v>187.83</v>
      </c>
      <c r="H48" s="7">
        <v>0.03</v>
      </c>
      <c r="I48" s="9" t="s">
        <v>22</v>
      </c>
      <c r="J48" s="10">
        <v>85.96</v>
      </c>
      <c r="K48" s="11">
        <v>3.75</v>
      </c>
      <c r="L48" s="11">
        <v>0.5</v>
      </c>
      <c r="M48" s="9" t="s">
        <v>97</v>
      </c>
      <c r="N48" s="6" t="s">
        <v>24</v>
      </c>
      <c r="O48" s="6" t="s">
        <v>24</v>
      </c>
      <c r="P48" s="9" t="s">
        <v>60</v>
      </c>
      <c r="Q48" s="9" t="s">
        <v>26</v>
      </c>
      <c r="R48" s="9" t="s">
        <v>88</v>
      </c>
      <c r="S48" s="7" t="s">
        <v>130</v>
      </c>
      <c r="T48" s="9" t="s">
        <v>39</v>
      </c>
      <c r="U48" s="7">
        <v>0.37</v>
      </c>
      <c r="V48" s="12">
        <f>C48+2</f>
        <v>40788</v>
      </c>
      <c r="W48">
        <f>IF(D48=' Pivot Tables'!$A$4,1,0)</f>
        <v>0</v>
      </c>
      <c r="X48">
        <f>IF(AND(LEFT(D48,4)+1=LEFT(' Pivot Tables'!$A$4,4)+0,RIGHT(LEFT(D48,7),2)=RIGHT(LEFT(' Pivot Tables'!$A$4,7),2)),1,0)</f>
        <v>0</v>
      </c>
      <c r="Y48" s="6">
        <f>1/COUNTIF(Таблица1[Order ID],Таблица1[[#This Row],[Order ID]])</f>
        <v>0.25</v>
      </c>
      <c r="Z48" s="9">
        <f>1/COUNTIFS(Таблица1[Customer Name],Таблица1[[#This Row],[Customer Name]],Таблица1[Order-Year-Month],Таблица1[[#This Row],[Order-Year-Month]])</f>
        <v>0.25</v>
      </c>
    </row>
    <row r="49" spans="1:26" x14ac:dyDescent="0.2">
      <c r="A49" s="6">
        <v>671</v>
      </c>
      <c r="B49" s="7">
        <v>4676</v>
      </c>
      <c r="C49" s="8">
        <f>DATE(2012,12,31)-488</f>
        <v>40786</v>
      </c>
      <c r="D49" s="8" t="str">
        <f t="shared" si="0"/>
        <v>2011-08 (август 2011)</v>
      </c>
      <c r="E49" s="9" t="s">
        <v>30</v>
      </c>
      <c r="F49" s="7">
        <v>3</v>
      </c>
      <c r="G49" s="7">
        <v>49.59</v>
      </c>
      <c r="H49" s="7">
        <v>7.0000000000000007E-2</v>
      </c>
      <c r="I49" s="9" t="s">
        <v>56</v>
      </c>
      <c r="J49" s="10">
        <v>-8.3800000000000008</v>
      </c>
      <c r="K49" s="11">
        <v>12.28</v>
      </c>
      <c r="L49" s="11">
        <v>6.47</v>
      </c>
      <c r="M49" s="9" t="s">
        <v>97</v>
      </c>
      <c r="N49" s="6" t="s">
        <v>24</v>
      </c>
      <c r="O49" s="6" t="s">
        <v>24</v>
      </c>
      <c r="P49" s="9" t="s">
        <v>60</v>
      </c>
      <c r="Q49" s="9" t="s">
        <v>26</v>
      </c>
      <c r="R49" s="9" t="s">
        <v>61</v>
      </c>
      <c r="S49" s="7" t="s">
        <v>131</v>
      </c>
      <c r="T49" s="9" t="s">
        <v>39</v>
      </c>
      <c r="U49" s="7">
        <v>0.38</v>
      </c>
      <c r="V49" s="12">
        <f>C49+2</f>
        <v>40788</v>
      </c>
      <c r="W49">
        <f>IF(D49=' Pivot Tables'!$A$4,1,0)</f>
        <v>0</v>
      </c>
      <c r="X49">
        <f>IF(AND(LEFT(D49,4)+1=LEFT(' Pivot Tables'!$A$4,4)+0,RIGHT(LEFT(D49,7),2)=RIGHT(LEFT(' Pivot Tables'!$A$4,7),2)),1,0)</f>
        <v>0</v>
      </c>
      <c r="Y49" s="6">
        <f>1/COUNTIF(Таблица1[Order ID],Таблица1[[#This Row],[Order ID]])</f>
        <v>0.25</v>
      </c>
      <c r="Z49" s="9">
        <f>1/COUNTIFS(Таблица1[Customer Name],Таблица1[[#This Row],[Customer Name]],Таблица1[Order-Year-Month],Таблица1[[#This Row],[Order-Year-Month]])</f>
        <v>0.25</v>
      </c>
    </row>
    <row r="50" spans="1:26" x14ac:dyDescent="0.2">
      <c r="A50" s="6">
        <v>672</v>
      </c>
      <c r="B50" s="7">
        <v>4676</v>
      </c>
      <c r="C50" s="8">
        <f>DATE(2012,12,31)-488</f>
        <v>40786</v>
      </c>
      <c r="D50" s="8" t="str">
        <f t="shared" si="0"/>
        <v>2011-08 (август 2011)</v>
      </c>
      <c r="E50" s="9" t="s">
        <v>30</v>
      </c>
      <c r="F50" s="7">
        <v>30</v>
      </c>
      <c r="G50" s="7">
        <v>4253.009</v>
      </c>
      <c r="H50" s="7">
        <v>0.01</v>
      </c>
      <c r="I50" s="9" t="s">
        <v>22</v>
      </c>
      <c r="J50" s="10">
        <v>1115.694</v>
      </c>
      <c r="K50" s="11">
        <v>155.99</v>
      </c>
      <c r="L50" s="11">
        <v>8.99</v>
      </c>
      <c r="M50" s="9" t="s">
        <v>97</v>
      </c>
      <c r="N50" s="6" t="s">
        <v>24</v>
      </c>
      <c r="O50" s="6" t="s">
        <v>24</v>
      </c>
      <c r="P50" s="9" t="s">
        <v>60</v>
      </c>
      <c r="Q50" s="9" t="s">
        <v>42</v>
      </c>
      <c r="R50" s="9" t="s">
        <v>43</v>
      </c>
      <c r="S50" s="7" t="s">
        <v>87</v>
      </c>
      <c r="T50" s="9" t="s">
        <v>39</v>
      </c>
      <c r="U50" s="7">
        <v>0.57999999999999996</v>
      </c>
      <c r="V50" s="12">
        <f>C50+1</f>
        <v>40787</v>
      </c>
      <c r="W50">
        <f>IF(D50=' Pivot Tables'!$A$4,1,0)</f>
        <v>0</v>
      </c>
      <c r="X50">
        <f>IF(AND(LEFT(D50,4)+1=LEFT(' Pivot Tables'!$A$4,4)+0,RIGHT(LEFT(D50,7),2)=RIGHT(LEFT(' Pivot Tables'!$A$4,7),2)),1,0)</f>
        <v>0</v>
      </c>
      <c r="Y50" s="6">
        <f>1/COUNTIF(Таблица1[Order ID],Таблица1[[#This Row],[Order ID]])</f>
        <v>0.25</v>
      </c>
      <c r="Z50" s="9">
        <f>1/COUNTIFS(Таблица1[Customer Name],Таблица1[[#This Row],[Customer Name]],Таблица1[Order-Year-Month],Таблица1[[#This Row],[Order-Year-Month]])</f>
        <v>0.25</v>
      </c>
    </row>
    <row r="51" spans="1:26" x14ac:dyDescent="0.2">
      <c r="A51" s="6">
        <v>734</v>
      </c>
      <c r="B51" s="7">
        <v>5284</v>
      </c>
      <c r="C51" s="8">
        <f>DATE(2012,12,31)-542</f>
        <v>40732</v>
      </c>
      <c r="D51" s="8" t="str">
        <f t="shared" si="0"/>
        <v>2011-07 (июль 2011)</v>
      </c>
      <c r="E51" s="9" t="s">
        <v>45</v>
      </c>
      <c r="F51" s="7">
        <v>7</v>
      </c>
      <c r="G51" s="7">
        <v>59.38</v>
      </c>
      <c r="H51" s="7">
        <v>0.1</v>
      </c>
      <c r="I51" s="9" t="s">
        <v>22</v>
      </c>
      <c r="J51" s="10">
        <v>-3.0474999999999999</v>
      </c>
      <c r="K51" s="11">
        <v>8.69</v>
      </c>
      <c r="L51" s="11">
        <v>2.99</v>
      </c>
      <c r="M51" s="9" t="s">
        <v>97</v>
      </c>
      <c r="N51" s="6" t="s">
        <v>24</v>
      </c>
      <c r="O51" s="6" t="s">
        <v>24</v>
      </c>
      <c r="P51" s="9" t="s">
        <v>60</v>
      </c>
      <c r="Q51" s="9" t="s">
        <v>26</v>
      </c>
      <c r="R51" s="9" t="s">
        <v>37</v>
      </c>
      <c r="S51" s="7" t="s">
        <v>38</v>
      </c>
      <c r="T51" s="9" t="s">
        <v>39</v>
      </c>
      <c r="U51" s="7">
        <v>0.39</v>
      </c>
      <c r="V51" s="12">
        <f>C51+2</f>
        <v>40734</v>
      </c>
      <c r="W51">
        <f>IF(D51=' Pivot Tables'!$A$4,1,0)</f>
        <v>0</v>
      </c>
      <c r="X51">
        <f>IF(AND(LEFT(D51,4)+1=LEFT(' Pivot Tables'!$A$4,4)+0,RIGHT(LEFT(D51,7),2)=RIGHT(LEFT(' Pivot Tables'!$A$4,7),2)),1,0)</f>
        <v>0</v>
      </c>
      <c r="Y51" s="6">
        <f>1/COUNTIF(Таблица1[Order ID],Таблица1[[#This Row],[Order ID]])</f>
        <v>1</v>
      </c>
      <c r="Z51" s="9">
        <f>1/COUNTIFS(Таблица1[Customer Name],Таблица1[[#This Row],[Customer Name]],Таблица1[Order-Year-Month],Таблица1[[#This Row],[Order-Year-Month]])</f>
        <v>1</v>
      </c>
    </row>
    <row r="52" spans="1:26" x14ac:dyDescent="0.2">
      <c r="A52" s="6">
        <v>735</v>
      </c>
      <c r="B52" s="7">
        <v>5316</v>
      </c>
      <c r="C52" s="8">
        <f>DATE(2012,12,31)-1431</f>
        <v>39843</v>
      </c>
      <c r="D52" s="8" t="str">
        <f t="shared" si="0"/>
        <v>2009-01 (январь 2009)</v>
      </c>
      <c r="E52" s="9" t="s">
        <v>78</v>
      </c>
      <c r="F52" s="7">
        <v>42</v>
      </c>
      <c r="G52" s="7">
        <v>1285.3699999999999</v>
      </c>
      <c r="H52" s="7">
        <v>0.1</v>
      </c>
      <c r="I52" s="9" t="s">
        <v>22</v>
      </c>
      <c r="J52" s="10">
        <v>514.07000000000005</v>
      </c>
      <c r="K52" s="11">
        <v>31.78</v>
      </c>
      <c r="L52" s="11">
        <v>1.99</v>
      </c>
      <c r="M52" s="9" t="s">
        <v>40</v>
      </c>
      <c r="N52" s="6" t="s">
        <v>24</v>
      </c>
      <c r="O52" s="6" t="s">
        <v>24</v>
      </c>
      <c r="P52" s="9" t="s">
        <v>41</v>
      </c>
      <c r="Q52" s="9" t="s">
        <v>42</v>
      </c>
      <c r="R52" s="9" t="s">
        <v>70</v>
      </c>
      <c r="S52" s="7" t="s">
        <v>132</v>
      </c>
      <c r="T52" s="9" t="s">
        <v>52</v>
      </c>
      <c r="U52" s="7">
        <v>0.42</v>
      </c>
      <c r="V52" s="12">
        <f>C52+2</f>
        <v>39845</v>
      </c>
      <c r="W52">
        <f>IF(D52=' Pivot Tables'!$A$4,1,0)</f>
        <v>0</v>
      </c>
      <c r="X52">
        <f>IF(AND(LEFT(D52,4)+1=LEFT(' Pivot Tables'!$A$4,4)+0,RIGHT(LEFT(D52,7),2)=RIGHT(LEFT(' Pivot Tables'!$A$4,7),2)),1,0)</f>
        <v>1</v>
      </c>
      <c r="Y52" s="6">
        <f>1/COUNTIF(Таблица1[Order ID],Таблица1[[#This Row],[Order ID]])</f>
        <v>1</v>
      </c>
      <c r="Z52" s="9">
        <f>1/COUNTIFS(Таблица1[Customer Name],Таблица1[[#This Row],[Customer Name]],Таблица1[Order-Year-Month],Таблица1[[#This Row],[Order-Year-Month]])</f>
        <v>1</v>
      </c>
    </row>
    <row r="53" spans="1:26" x14ac:dyDescent="0.2">
      <c r="A53" s="6">
        <v>755</v>
      </c>
      <c r="B53" s="7">
        <v>5409</v>
      </c>
      <c r="C53" s="8">
        <f>DATE(2012,12,31)-358</f>
        <v>40916</v>
      </c>
      <c r="D53" s="8" t="str">
        <f t="shared" si="0"/>
        <v>2012-01 (январь 2012)</v>
      </c>
      <c r="E53" s="9" t="s">
        <v>21</v>
      </c>
      <c r="F53" s="7">
        <v>11</v>
      </c>
      <c r="G53" s="7">
        <v>48.91</v>
      </c>
      <c r="H53" s="7">
        <v>0.01</v>
      </c>
      <c r="I53" s="9" t="s">
        <v>22</v>
      </c>
      <c r="J53" s="10">
        <v>-7.04</v>
      </c>
      <c r="K53" s="11">
        <v>3.98</v>
      </c>
      <c r="L53" s="11">
        <v>2.97</v>
      </c>
      <c r="M53" s="9" t="s">
        <v>133</v>
      </c>
      <c r="N53" s="6" t="s">
        <v>24</v>
      </c>
      <c r="O53" s="6" t="s">
        <v>24</v>
      </c>
      <c r="P53" s="9" t="s">
        <v>41</v>
      </c>
      <c r="Q53" s="9" t="s">
        <v>26</v>
      </c>
      <c r="R53" s="9" t="s">
        <v>61</v>
      </c>
      <c r="S53" s="7" t="s">
        <v>134</v>
      </c>
      <c r="T53" s="9" t="s">
        <v>68</v>
      </c>
      <c r="U53" s="7">
        <v>0.35</v>
      </c>
      <c r="V53" s="12">
        <f>C53+5</f>
        <v>40921</v>
      </c>
      <c r="W53">
        <f>IF(D53=' Pivot Tables'!$A$4,1,0)</f>
        <v>0</v>
      </c>
      <c r="X53">
        <f>IF(AND(LEFT(D53,4)+1=LEFT(' Pivot Tables'!$A$4,4)+0,RIGHT(LEFT(D53,7),2)=RIGHT(LEFT(' Pivot Tables'!$A$4,7),2)),1,0)</f>
        <v>0</v>
      </c>
      <c r="Y53" s="6">
        <f>1/COUNTIF(Таблица1[Order ID],Таблица1[[#This Row],[Order ID]])</f>
        <v>1</v>
      </c>
      <c r="Z53" s="9">
        <f>1/COUNTIFS(Таблица1[Customer Name],Таблица1[[#This Row],[Customer Name]],Таблица1[Order-Year-Month],Таблица1[[#This Row],[Order-Year-Month]])</f>
        <v>1</v>
      </c>
    </row>
    <row r="54" spans="1:26" x14ac:dyDescent="0.2">
      <c r="A54" s="6">
        <v>769</v>
      </c>
      <c r="B54" s="7">
        <v>5506</v>
      </c>
      <c r="C54" s="8">
        <f>DATE(2012,12,31)-785</f>
        <v>40489</v>
      </c>
      <c r="D54" s="8" t="str">
        <f t="shared" si="0"/>
        <v>2010-11 (ноябрь 2010)</v>
      </c>
      <c r="E54" s="9" t="s">
        <v>78</v>
      </c>
      <c r="F54" s="7">
        <v>22</v>
      </c>
      <c r="G54" s="7">
        <v>129.62</v>
      </c>
      <c r="H54" s="7">
        <v>0.05</v>
      </c>
      <c r="I54" s="9" t="s">
        <v>22</v>
      </c>
      <c r="J54" s="10">
        <v>4.41</v>
      </c>
      <c r="K54" s="11">
        <v>5.88</v>
      </c>
      <c r="L54" s="11">
        <v>3.04</v>
      </c>
      <c r="M54" s="9" t="s">
        <v>135</v>
      </c>
      <c r="N54" s="6" t="s">
        <v>24</v>
      </c>
      <c r="O54" s="6" t="s">
        <v>24</v>
      </c>
      <c r="P54" s="9" t="s">
        <v>41</v>
      </c>
      <c r="Q54" s="9" t="s">
        <v>26</v>
      </c>
      <c r="R54" s="9" t="s">
        <v>61</v>
      </c>
      <c r="S54" s="7" t="s">
        <v>136</v>
      </c>
      <c r="T54" s="9" t="s">
        <v>68</v>
      </c>
      <c r="U54" s="7">
        <v>0.36</v>
      </c>
      <c r="V54" s="12">
        <f>C54+1</f>
        <v>40490</v>
      </c>
      <c r="W54">
        <f>IF(D54=' Pivot Tables'!$A$4,1,0)</f>
        <v>0</v>
      </c>
      <c r="X54">
        <f>IF(AND(LEFT(D54,4)+1=LEFT(' Pivot Tables'!$A$4,4)+0,RIGHT(LEFT(D54,7),2)=RIGHT(LEFT(' Pivot Tables'!$A$4,7),2)),1,0)</f>
        <v>0</v>
      </c>
      <c r="Y54" s="6">
        <f>1/COUNTIF(Таблица1[Order ID],Таблица1[[#This Row],[Order ID]])</f>
        <v>1</v>
      </c>
      <c r="Z54" s="9">
        <f>1/COUNTIFS(Таблица1[Customer Name],Таблица1[[#This Row],[Customer Name]],Таблица1[Order-Year-Month],Таблица1[[#This Row],[Order-Year-Month]])</f>
        <v>1</v>
      </c>
    </row>
    <row r="55" spans="1:26" x14ac:dyDescent="0.2">
      <c r="A55" s="6">
        <v>782</v>
      </c>
      <c r="B55" s="7">
        <v>5569</v>
      </c>
      <c r="C55" s="8">
        <f>DATE(2012,12,31)-977</f>
        <v>40297</v>
      </c>
      <c r="D55" s="8" t="str">
        <f t="shared" si="0"/>
        <v>2010-04 (апрель 2010)</v>
      </c>
      <c r="E55" s="9" t="s">
        <v>45</v>
      </c>
      <c r="F55" s="7">
        <v>12</v>
      </c>
      <c r="G55" s="7">
        <v>118.97</v>
      </c>
      <c r="H55" s="7">
        <v>0.09</v>
      </c>
      <c r="I55" s="9" t="s">
        <v>22</v>
      </c>
      <c r="J55" s="10">
        <v>-5.9999999999995168E-2</v>
      </c>
      <c r="K55" s="11">
        <v>9.65</v>
      </c>
      <c r="L55" s="11">
        <v>6.22</v>
      </c>
      <c r="M55" s="9" t="s">
        <v>137</v>
      </c>
      <c r="N55" s="6" t="s">
        <v>24</v>
      </c>
      <c r="O55" s="6" t="s">
        <v>24</v>
      </c>
      <c r="P55" s="9" t="s">
        <v>41</v>
      </c>
      <c r="Q55" s="9" t="s">
        <v>49</v>
      </c>
      <c r="R55" s="9" t="s">
        <v>50</v>
      </c>
      <c r="S55" s="7" t="s">
        <v>138</v>
      </c>
      <c r="T55" s="9" t="s">
        <v>39</v>
      </c>
      <c r="U55" s="7">
        <v>0.55000000000000004</v>
      </c>
      <c r="V55" s="12">
        <f>C55+2</f>
        <v>40299</v>
      </c>
      <c r="W55">
        <f>IF(D55=' Pivot Tables'!$A$4,1,0)</f>
        <v>0</v>
      </c>
      <c r="X55">
        <f>IF(AND(LEFT(D55,4)+1=LEFT(' Pivot Tables'!$A$4,4)+0,RIGHT(LEFT(D55,7),2)=RIGHT(LEFT(' Pivot Tables'!$A$4,7),2)),1,0)</f>
        <v>0</v>
      </c>
      <c r="Y55" s="6">
        <f>1/COUNTIF(Таблица1[Order ID],Таблица1[[#This Row],[Order ID]])</f>
        <v>1</v>
      </c>
      <c r="Z55" s="9">
        <f>1/COUNTIFS(Таблица1[Customer Name],Таблица1[[#This Row],[Customer Name]],Таблица1[Order-Year-Month],Таблица1[[#This Row],[Order-Year-Month]])</f>
        <v>1</v>
      </c>
    </row>
    <row r="56" spans="1:26" x14ac:dyDescent="0.2">
      <c r="A56" s="6">
        <v>786</v>
      </c>
      <c r="B56" s="7">
        <v>5607</v>
      </c>
      <c r="C56" s="8">
        <f>DATE(2012,12,31)-366</f>
        <v>40908</v>
      </c>
      <c r="D56" s="8" t="str">
        <f t="shared" si="0"/>
        <v>2011-12 (декабрь 2011)</v>
      </c>
      <c r="E56" s="9" t="s">
        <v>45</v>
      </c>
      <c r="F56" s="7">
        <v>8</v>
      </c>
      <c r="G56" s="7">
        <v>61.871500000000005</v>
      </c>
      <c r="H56" s="7">
        <v>0</v>
      </c>
      <c r="I56" s="9" t="s">
        <v>22</v>
      </c>
      <c r="J56" s="10">
        <v>-50.325000000000003</v>
      </c>
      <c r="K56" s="11">
        <v>7.99</v>
      </c>
      <c r="L56" s="11">
        <v>5.03</v>
      </c>
      <c r="M56" s="9" t="s">
        <v>139</v>
      </c>
      <c r="N56" s="6" t="s">
        <v>24</v>
      </c>
      <c r="O56" s="6" t="s">
        <v>24</v>
      </c>
      <c r="P56" s="9" t="s">
        <v>60</v>
      </c>
      <c r="Q56" s="9" t="s">
        <v>42</v>
      </c>
      <c r="R56" s="9" t="s">
        <v>43</v>
      </c>
      <c r="S56" s="7" t="s">
        <v>140</v>
      </c>
      <c r="T56" s="9" t="s">
        <v>48</v>
      </c>
      <c r="U56" s="7">
        <v>0.6</v>
      </c>
      <c r="V56" s="12">
        <f>C56+3</f>
        <v>40911</v>
      </c>
      <c r="W56">
        <f>IF(D56=' Pivot Tables'!$A$4,1,0)</f>
        <v>0</v>
      </c>
      <c r="X56">
        <f>IF(AND(LEFT(D56,4)+1=LEFT(' Pivot Tables'!$A$4,4)+0,RIGHT(LEFT(D56,7),2)=RIGHT(LEFT(' Pivot Tables'!$A$4,7),2)),1,0)</f>
        <v>0</v>
      </c>
      <c r="Y56" s="6">
        <f>1/COUNTIF(Таблица1[Order ID],Таблица1[[#This Row],[Order ID]])</f>
        <v>1</v>
      </c>
      <c r="Z56" s="9">
        <f>1/COUNTIFS(Таблица1[Customer Name],Таблица1[[#This Row],[Customer Name]],Таблица1[Order-Year-Month],Таблица1[[#This Row],[Order-Year-Month]])</f>
        <v>1</v>
      </c>
    </row>
    <row r="57" spans="1:26" x14ac:dyDescent="0.2">
      <c r="A57" s="6">
        <v>817</v>
      </c>
      <c r="B57" s="7">
        <v>5894</v>
      </c>
      <c r="C57" s="8">
        <f>DATE(2012,12,31)-1237</f>
        <v>40037</v>
      </c>
      <c r="D57" s="8" t="str">
        <f t="shared" si="0"/>
        <v>2009-08 (август 2009)</v>
      </c>
      <c r="E57" s="9" t="s">
        <v>30</v>
      </c>
      <c r="F57" s="7">
        <v>7</v>
      </c>
      <c r="G57" s="7">
        <v>384.33</v>
      </c>
      <c r="H57" s="7">
        <v>0.1</v>
      </c>
      <c r="I57" s="9" t="s">
        <v>22</v>
      </c>
      <c r="J57" s="10">
        <v>87.677499999999995</v>
      </c>
      <c r="K57" s="11">
        <v>58.1</v>
      </c>
      <c r="L57" s="11">
        <v>1.49</v>
      </c>
      <c r="M57" s="9" t="s">
        <v>141</v>
      </c>
      <c r="N57" s="6" t="s">
        <v>24</v>
      </c>
      <c r="O57" s="6" t="s">
        <v>24</v>
      </c>
      <c r="P57" s="9" t="s">
        <v>41</v>
      </c>
      <c r="Q57" s="9" t="s">
        <v>26</v>
      </c>
      <c r="R57" s="9" t="s">
        <v>37</v>
      </c>
      <c r="S57" s="7" t="s">
        <v>142</v>
      </c>
      <c r="T57" s="9" t="s">
        <v>39</v>
      </c>
      <c r="U57" s="7">
        <v>0.38</v>
      </c>
      <c r="V57" s="12">
        <f>C57+1</f>
        <v>40038</v>
      </c>
      <c r="W57">
        <f>IF(D57=' Pivot Tables'!$A$4,1,0)</f>
        <v>0</v>
      </c>
      <c r="X57">
        <f>IF(AND(LEFT(D57,4)+1=LEFT(' Pivot Tables'!$A$4,4)+0,RIGHT(LEFT(D57,7),2)=RIGHT(LEFT(' Pivot Tables'!$A$4,7),2)),1,0)</f>
        <v>0</v>
      </c>
      <c r="Y57" s="6">
        <f>1/COUNTIF(Таблица1[Order ID],Таблица1[[#This Row],[Order ID]])</f>
        <v>0.5</v>
      </c>
      <c r="Z57" s="9">
        <f>1/COUNTIFS(Таблица1[Customer Name],Таблица1[[#This Row],[Customer Name]],Таблица1[Order-Year-Month],Таблица1[[#This Row],[Order-Year-Month]])</f>
        <v>0.5</v>
      </c>
    </row>
    <row r="58" spans="1:26" x14ac:dyDescent="0.2">
      <c r="A58" s="6">
        <v>818</v>
      </c>
      <c r="B58" s="7">
        <v>5894</v>
      </c>
      <c r="C58" s="8">
        <f>DATE(2012,12,31)-1237</f>
        <v>40037</v>
      </c>
      <c r="D58" s="8" t="str">
        <f t="shared" si="0"/>
        <v>2009-08 (август 2009)</v>
      </c>
      <c r="E58" s="9" t="s">
        <v>30</v>
      </c>
      <c r="F58" s="7">
        <v>3</v>
      </c>
      <c r="G58" s="7">
        <v>239.03</v>
      </c>
      <c r="H58" s="7">
        <v>0.01</v>
      </c>
      <c r="I58" s="9" t="s">
        <v>22</v>
      </c>
      <c r="J58" s="10">
        <v>-68.22</v>
      </c>
      <c r="K58" s="11">
        <v>80.48</v>
      </c>
      <c r="L58" s="11">
        <v>4.5</v>
      </c>
      <c r="M58" s="9" t="s">
        <v>141</v>
      </c>
      <c r="N58" s="6" t="s">
        <v>24</v>
      </c>
      <c r="O58" s="6" t="s">
        <v>24</v>
      </c>
      <c r="P58" s="9" t="s">
        <v>41</v>
      </c>
      <c r="Q58" s="9" t="s">
        <v>26</v>
      </c>
      <c r="R58" s="9" t="s">
        <v>34</v>
      </c>
      <c r="S58" s="7" t="s">
        <v>143</v>
      </c>
      <c r="T58" s="9" t="s">
        <v>39</v>
      </c>
      <c r="U58" s="7">
        <v>0.55000000000000004</v>
      </c>
      <c r="V58" s="12">
        <f>C58+3</f>
        <v>40040</v>
      </c>
      <c r="W58">
        <f>IF(D58=' Pivot Tables'!$A$4,1,0)</f>
        <v>0</v>
      </c>
      <c r="X58">
        <f>IF(AND(LEFT(D58,4)+1=LEFT(' Pivot Tables'!$A$4,4)+0,RIGHT(LEFT(D58,7),2)=RIGHT(LEFT(' Pivot Tables'!$A$4,7),2)),1,0)</f>
        <v>0</v>
      </c>
      <c r="Y58" s="6">
        <f>1/COUNTIF(Таблица1[Order ID],Таблица1[[#This Row],[Order ID]])</f>
        <v>0.5</v>
      </c>
      <c r="Z58" s="9">
        <f>1/COUNTIFS(Таблица1[Customer Name],Таблица1[[#This Row],[Customer Name]],Таблица1[Order-Year-Month],Таблица1[[#This Row],[Order-Year-Month]])</f>
        <v>0.5</v>
      </c>
    </row>
    <row r="59" spans="1:26" x14ac:dyDescent="0.2">
      <c r="A59" s="6">
        <v>821</v>
      </c>
      <c r="B59" s="7">
        <v>5925</v>
      </c>
      <c r="C59" s="8">
        <f>DATE(2012,12,31)-415</f>
        <v>40859</v>
      </c>
      <c r="D59" s="8" t="str">
        <f t="shared" si="0"/>
        <v>2011-11 (ноябрь 2011)</v>
      </c>
      <c r="E59" s="9" t="s">
        <v>21</v>
      </c>
      <c r="F59" s="7">
        <v>44</v>
      </c>
      <c r="G59" s="7">
        <v>3922.42</v>
      </c>
      <c r="H59" s="7">
        <v>0.08</v>
      </c>
      <c r="I59" s="9" t="s">
        <v>22</v>
      </c>
      <c r="J59" s="10">
        <v>-354.9</v>
      </c>
      <c r="K59" s="11">
        <v>92.23</v>
      </c>
      <c r="L59" s="11">
        <v>39.61</v>
      </c>
      <c r="M59" s="9" t="s">
        <v>144</v>
      </c>
      <c r="N59" s="6" t="s">
        <v>24</v>
      </c>
      <c r="O59" s="6" t="s">
        <v>24</v>
      </c>
      <c r="P59" s="9" t="s">
        <v>60</v>
      </c>
      <c r="Q59" s="9" t="s">
        <v>49</v>
      </c>
      <c r="R59" s="9" t="s">
        <v>50</v>
      </c>
      <c r="S59" s="7" t="s">
        <v>145</v>
      </c>
      <c r="T59" s="9" t="s">
        <v>48</v>
      </c>
      <c r="U59" s="7">
        <v>0.67</v>
      </c>
      <c r="V59" s="12">
        <f>C59+7</f>
        <v>40866</v>
      </c>
      <c r="W59">
        <f>IF(D59=' Pivot Tables'!$A$4,1,0)</f>
        <v>0</v>
      </c>
      <c r="X59">
        <f>IF(AND(LEFT(D59,4)+1=LEFT(' Pivot Tables'!$A$4,4)+0,RIGHT(LEFT(D59,7),2)=RIGHT(LEFT(' Pivot Tables'!$A$4,7),2)),1,0)</f>
        <v>0</v>
      </c>
      <c r="Y59" s="6">
        <f>1/COUNTIF(Таблица1[Order ID],Таблица1[[#This Row],[Order ID]])</f>
        <v>0.5</v>
      </c>
      <c r="Z59" s="9">
        <f>1/COUNTIFS(Таблица1[Customer Name],Таблица1[[#This Row],[Customer Name]],Таблица1[Order-Year-Month],Таблица1[[#This Row],[Order-Year-Month]])</f>
        <v>0.5</v>
      </c>
    </row>
    <row r="60" spans="1:26" x14ac:dyDescent="0.2">
      <c r="A60" s="6">
        <v>822</v>
      </c>
      <c r="B60" s="7">
        <v>5925</v>
      </c>
      <c r="C60" s="8">
        <f>DATE(2012,12,31)-415</f>
        <v>40859</v>
      </c>
      <c r="D60" s="8" t="str">
        <f t="shared" si="0"/>
        <v>2011-11 (ноябрь 2011)</v>
      </c>
      <c r="E60" s="9" t="s">
        <v>21</v>
      </c>
      <c r="F60" s="7">
        <v>25</v>
      </c>
      <c r="G60" s="7">
        <v>1733.3625</v>
      </c>
      <c r="H60" s="7">
        <v>7.0000000000000007E-2</v>
      </c>
      <c r="I60" s="9" t="s">
        <v>22</v>
      </c>
      <c r="J60" s="10">
        <v>-267.01400000000001</v>
      </c>
      <c r="K60" s="11">
        <v>85.99</v>
      </c>
      <c r="L60" s="11">
        <v>0.99</v>
      </c>
      <c r="M60" s="9" t="s">
        <v>144</v>
      </c>
      <c r="N60" s="6" t="s">
        <v>24</v>
      </c>
      <c r="O60" s="6" t="s">
        <v>24</v>
      </c>
      <c r="P60" s="9" t="s">
        <v>60</v>
      </c>
      <c r="Q60" s="9" t="s">
        <v>42</v>
      </c>
      <c r="R60" s="9" t="s">
        <v>43</v>
      </c>
      <c r="S60" s="7" t="s">
        <v>146</v>
      </c>
      <c r="T60" s="9" t="s">
        <v>68</v>
      </c>
      <c r="U60" s="7">
        <v>0.85</v>
      </c>
      <c r="V60" s="12">
        <f>C60+7</f>
        <v>40866</v>
      </c>
      <c r="W60">
        <f>IF(D60=' Pivot Tables'!$A$4,1,0)</f>
        <v>0</v>
      </c>
      <c r="X60">
        <f>IF(AND(LEFT(D60,4)+1=LEFT(' Pivot Tables'!$A$4,4)+0,RIGHT(LEFT(D60,7),2)=RIGHT(LEFT(' Pivot Tables'!$A$4,7),2)),1,0)</f>
        <v>0</v>
      </c>
      <c r="Y60" s="6">
        <f>1/COUNTIF(Таблица1[Order ID],Таблица1[[#This Row],[Order ID]])</f>
        <v>0.5</v>
      </c>
      <c r="Z60" s="9">
        <f>1/COUNTIFS(Таблица1[Customer Name],Таблица1[[#This Row],[Customer Name]],Таблица1[Order-Year-Month],Таблица1[[#This Row],[Order-Year-Month]])</f>
        <v>0.5</v>
      </c>
    </row>
    <row r="61" spans="1:26" x14ac:dyDescent="0.2">
      <c r="A61" s="6">
        <v>839</v>
      </c>
      <c r="B61" s="7">
        <v>6016</v>
      </c>
      <c r="C61" s="8">
        <f>DATE(2012,12,31)-346</f>
        <v>40928</v>
      </c>
      <c r="D61" s="8" t="str">
        <f t="shared" si="0"/>
        <v>2012-01 (январь 2012)</v>
      </c>
      <c r="E61" s="9" t="s">
        <v>30</v>
      </c>
      <c r="F61" s="7">
        <v>19</v>
      </c>
      <c r="G61" s="7">
        <v>208.28</v>
      </c>
      <c r="H61" s="7">
        <v>7.0000000000000007E-2</v>
      </c>
      <c r="I61" s="9" t="s">
        <v>22</v>
      </c>
      <c r="J61" s="10">
        <v>3.63</v>
      </c>
      <c r="K61" s="11">
        <v>11.48</v>
      </c>
      <c r="L61" s="11">
        <v>5.43</v>
      </c>
      <c r="M61" s="9" t="s">
        <v>147</v>
      </c>
      <c r="N61" s="6" t="s">
        <v>24</v>
      </c>
      <c r="O61" s="6" t="s">
        <v>24</v>
      </c>
      <c r="P61" s="9" t="s">
        <v>60</v>
      </c>
      <c r="Q61" s="9" t="s">
        <v>26</v>
      </c>
      <c r="R61" s="9" t="s">
        <v>61</v>
      </c>
      <c r="S61" s="7" t="s">
        <v>148</v>
      </c>
      <c r="T61" s="9" t="s">
        <v>39</v>
      </c>
      <c r="U61" s="7">
        <v>0.36</v>
      </c>
      <c r="V61" s="12">
        <f>C61+0</f>
        <v>40928</v>
      </c>
      <c r="W61">
        <f>IF(D61=' Pivot Tables'!$A$4,1,0)</f>
        <v>0</v>
      </c>
      <c r="X61">
        <f>IF(AND(LEFT(D61,4)+1=LEFT(' Pivot Tables'!$A$4,4)+0,RIGHT(LEFT(D61,7),2)=RIGHT(LEFT(' Pivot Tables'!$A$4,7),2)),1,0)</f>
        <v>0</v>
      </c>
      <c r="Y61" s="6">
        <f>1/COUNTIF(Таблица1[Order ID],Таблица1[[#This Row],[Order ID]])</f>
        <v>1</v>
      </c>
      <c r="Z61" s="9">
        <f>1/COUNTIFS(Таблица1[Customer Name],Таблица1[[#This Row],[Customer Name]],Таблица1[Order-Year-Month],Таблица1[[#This Row],[Order-Year-Month]])</f>
        <v>1</v>
      </c>
    </row>
    <row r="62" spans="1:26" x14ac:dyDescent="0.2">
      <c r="A62" s="6">
        <v>853</v>
      </c>
      <c r="B62" s="7">
        <v>6116</v>
      </c>
      <c r="C62" s="8">
        <f>DATE(2012,12,31)-1382</f>
        <v>39892</v>
      </c>
      <c r="D62" s="8" t="str">
        <f t="shared" si="0"/>
        <v>2009-03 (март 2009)</v>
      </c>
      <c r="E62" s="9" t="s">
        <v>63</v>
      </c>
      <c r="F62" s="7">
        <v>6</v>
      </c>
      <c r="G62" s="7">
        <v>9620.82</v>
      </c>
      <c r="H62" s="7">
        <v>0.04</v>
      </c>
      <c r="I62" s="9" t="s">
        <v>22</v>
      </c>
      <c r="J62" s="10">
        <v>-1759.58</v>
      </c>
      <c r="K62" s="11">
        <v>1637.53</v>
      </c>
      <c r="L62" s="11">
        <v>24.49</v>
      </c>
      <c r="M62" s="9" t="s">
        <v>149</v>
      </c>
      <c r="N62" s="6" t="s">
        <v>24</v>
      </c>
      <c r="O62" s="6" t="s">
        <v>24</v>
      </c>
      <c r="P62" s="9" t="s">
        <v>41</v>
      </c>
      <c r="Q62" s="9" t="s">
        <v>26</v>
      </c>
      <c r="R62" s="9" t="s">
        <v>150</v>
      </c>
      <c r="S62" s="7" t="s">
        <v>151</v>
      </c>
      <c r="T62" s="9" t="s">
        <v>48</v>
      </c>
      <c r="U62" s="7">
        <v>0.81</v>
      </c>
      <c r="V62" s="12">
        <f>C62+2</f>
        <v>39894</v>
      </c>
      <c r="W62">
        <f>IF(D62=' Pivot Tables'!$A$4,1,0)</f>
        <v>0</v>
      </c>
      <c r="X62">
        <f>IF(AND(LEFT(D62,4)+1=LEFT(' Pivot Tables'!$A$4,4)+0,RIGHT(LEFT(D62,7),2)=RIGHT(LEFT(' Pivot Tables'!$A$4,7),2)),1,0)</f>
        <v>0</v>
      </c>
      <c r="Y62" s="6">
        <f>1/COUNTIF(Таблица1[Order ID],Таблица1[[#This Row],[Order ID]])</f>
        <v>0.5</v>
      </c>
      <c r="Z62" s="9">
        <f>1/COUNTIFS(Таблица1[Customer Name],Таблица1[[#This Row],[Customer Name]],Таблица1[Order-Year-Month],Таблица1[[#This Row],[Order-Year-Month]])</f>
        <v>0.5</v>
      </c>
    </row>
    <row r="63" spans="1:26" x14ac:dyDescent="0.2">
      <c r="A63" s="6">
        <v>863</v>
      </c>
      <c r="B63" s="7">
        <v>6182</v>
      </c>
      <c r="C63" s="8">
        <f>DATE(2012,12,31)-163</f>
        <v>41111</v>
      </c>
      <c r="D63" s="8" t="str">
        <f t="shared" si="0"/>
        <v>2012-07 (июль 2012)</v>
      </c>
      <c r="E63" s="9" t="s">
        <v>21</v>
      </c>
      <c r="F63" s="7">
        <v>40</v>
      </c>
      <c r="G63" s="7">
        <v>255.48</v>
      </c>
      <c r="H63" s="7">
        <v>0.04</v>
      </c>
      <c r="I63" s="9" t="s">
        <v>22</v>
      </c>
      <c r="J63" s="10">
        <v>-116.79</v>
      </c>
      <c r="K63" s="11">
        <v>6.48</v>
      </c>
      <c r="L63" s="11">
        <v>6.65</v>
      </c>
      <c r="M63" s="9" t="s">
        <v>102</v>
      </c>
      <c r="N63" s="6" t="s">
        <v>24</v>
      </c>
      <c r="O63" s="6" t="s">
        <v>24</v>
      </c>
      <c r="P63" s="9" t="s">
        <v>41</v>
      </c>
      <c r="Q63" s="9" t="s">
        <v>26</v>
      </c>
      <c r="R63" s="9" t="s">
        <v>61</v>
      </c>
      <c r="S63" s="7" t="s">
        <v>152</v>
      </c>
      <c r="T63" s="9" t="s">
        <v>39</v>
      </c>
      <c r="U63" s="7">
        <v>0.36</v>
      </c>
      <c r="V63" s="12">
        <f>C63+7</f>
        <v>41118</v>
      </c>
      <c r="W63">
        <f>IF(D63=' Pivot Tables'!$A$4,1,0)</f>
        <v>0</v>
      </c>
      <c r="X63">
        <f>IF(AND(LEFT(D63,4)+1=LEFT(' Pivot Tables'!$A$4,4)+0,RIGHT(LEFT(D63,7),2)=RIGHT(LEFT(' Pivot Tables'!$A$4,7),2)),1,0)</f>
        <v>0</v>
      </c>
      <c r="Y63" s="6">
        <f>1/COUNTIF(Таблица1[Order ID],Таблица1[[#This Row],[Order ID]])</f>
        <v>0.5</v>
      </c>
      <c r="Z63" s="9">
        <f>1/COUNTIFS(Таблица1[Customer Name],Таблица1[[#This Row],[Customer Name]],Таблица1[Order-Year-Month],Таблица1[[#This Row],[Order-Year-Month]])</f>
        <v>0.33333333333333331</v>
      </c>
    </row>
    <row r="64" spans="1:26" x14ac:dyDescent="0.2">
      <c r="A64" s="6">
        <v>864</v>
      </c>
      <c r="B64" s="7">
        <v>6182</v>
      </c>
      <c r="C64" s="8">
        <f>DATE(2012,12,31)-163</f>
        <v>41111</v>
      </c>
      <c r="D64" s="8" t="str">
        <f t="shared" si="0"/>
        <v>2012-07 (июль 2012)</v>
      </c>
      <c r="E64" s="9" t="s">
        <v>21</v>
      </c>
      <c r="F64" s="7">
        <v>18</v>
      </c>
      <c r="G64" s="7">
        <v>130.32</v>
      </c>
      <c r="H64" s="7">
        <v>0.04</v>
      </c>
      <c r="I64" s="9" t="s">
        <v>56</v>
      </c>
      <c r="J64" s="10">
        <v>-67.28</v>
      </c>
      <c r="K64" s="11">
        <v>6.48</v>
      </c>
      <c r="L64" s="11">
        <v>7.86</v>
      </c>
      <c r="M64" s="9" t="s">
        <v>102</v>
      </c>
      <c r="N64" s="6" t="s">
        <v>24</v>
      </c>
      <c r="O64" s="6" t="s">
        <v>24</v>
      </c>
      <c r="P64" s="9" t="s">
        <v>41</v>
      </c>
      <c r="Q64" s="9" t="s">
        <v>26</v>
      </c>
      <c r="R64" s="9" t="s">
        <v>61</v>
      </c>
      <c r="S64" s="7" t="s">
        <v>153</v>
      </c>
      <c r="T64" s="9" t="s">
        <v>39</v>
      </c>
      <c r="U64" s="7">
        <v>0.37</v>
      </c>
      <c r="V64" s="12">
        <f>C64+4</f>
        <v>41115</v>
      </c>
      <c r="W64">
        <f>IF(D64=' Pivot Tables'!$A$4,1,0)</f>
        <v>0</v>
      </c>
      <c r="X64">
        <f>IF(AND(LEFT(D64,4)+1=LEFT(' Pivot Tables'!$A$4,4)+0,RIGHT(LEFT(D64,7),2)=RIGHT(LEFT(' Pivot Tables'!$A$4,7),2)),1,0)</f>
        <v>0</v>
      </c>
      <c r="Y64" s="6">
        <f>1/COUNTIF(Таблица1[Order ID],Таблица1[[#This Row],[Order ID]])</f>
        <v>0.5</v>
      </c>
      <c r="Z64" s="9">
        <f>1/COUNTIFS(Таблица1[Customer Name],Таблица1[[#This Row],[Customer Name]],Таблица1[Order-Year-Month],Таблица1[[#This Row],[Order-Year-Month]])</f>
        <v>0.33333333333333331</v>
      </c>
    </row>
    <row r="65" spans="1:26" x14ac:dyDescent="0.2">
      <c r="A65" s="6">
        <v>911</v>
      </c>
      <c r="B65" s="7">
        <v>6535</v>
      </c>
      <c r="C65" s="8">
        <f>DATE(2012,12,31)-202</f>
        <v>41072</v>
      </c>
      <c r="D65" s="8" t="str">
        <f t="shared" si="0"/>
        <v>2012-06 (июнь 2012)</v>
      </c>
      <c r="E65" s="9" t="s">
        <v>78</v>
      </c>
      <c r="F65" s="7">
        <v>11</v>
      </c>
      <c r="G65" s="7">
        <v>312.36</v>
      </c>
      <c r="H65" s="7">
        <v>7.0000000000000007E-2</v>
      </c>
      <c r="I65" s="9" t="s">
        <v>56</v>
      </c>
      <c r="J65" s="10">
        <v>-19.329999999999998</v>
      </c>
      <c r="K65" s="11">
        <v>28.15</v>
      </c>
      <c r="L65" s="11">
        <v>8.99</v>
      </c>
      <c r="M65" s="9" t="s">
        <v>154</v>
      </c>
      <c r="N65" s="6" t="s">
        <v>24</v>
      </c>
      <c r="O65" s="6" t="s">
        <v>24</v>
      </c>
      <c r="P65" s="9" t="s">
        <v>41</v>
      </c>
      <c r="Q65" s="9" t="s">
        <v>26</v>
      </c>
      <c r="R65" s="9" t="s">
        <v>95</v>
      </c>
      <c r="S65" s="7" t="s">
        <v>155</v>
      </c>
      <c r="T65" s="9" t="s">
        <v>52</v>
      </c>
      <c r="U65" s="7">
        <v>0.56999999999999995</v>
      </c>
      <c r="V65" s="12">
        <f>C65+3</f>
        <v>41075</v>
      </c>
      <c r="W65">
        <f>IF(D65=' Pivot Tables'!$A$4,1,0)</f>
        <v>0</v>
      </c>
      <c r="X65">
        <f>IF(AND(LEFT(D65,4)+1=LEFT(' Pivot Tables'!$A$4,4)+0,RIGHT(LEFT(D65,7),2)=RIGHT(LEFT(' Pivot Tables'!$A$4,7),2)),1,0)</f>
        <v>0</v>
      </c>
      <c r="Y65" s="6">
        <f>1/COUNTIF(Таблица1[Order ID],Таблица1[[#This Row],[Order ID]])</f>
        <v>1</v>
      </c>
      <c r="Z65" s="9">
        <f>1/COUNTIFS(Таблица1[Customer Name],Таблица1[[#This Row],[Customer Name]],Таблица1[Order-Year-Month],Таблица1[[#This Row],[Order-Year-Month]])</f>
        <v>1</v>
      </c>
    </row>
    <row r="66" spans="1:26" x14ac:dyDescent="0.2">
      <c r="A66" s="6">
        <v>950</v>
      </c>
      <c r="B66" s="7">
        <v>6884</v>
      </c>
      <c r="C66" s="8">
        <f>DATE(2012,12,31)-1446</f>
        <v>39828</v>
      </c>
      <c r="D66" s="8" t="str">
        <f t="shared" si="0"/>
        <v>2009-01 (январь 2009)</v>
      </c>
      <c r="E66" s="9" t="s">
        <v>21</v>
      </c>
      <c r="F66" s="7">
        <v>41</v>
      </c>
      <c r="G66" s="7">
        <v>217</v>
      </c>
      <c r="H66" s="7">
        <v>0.01</v>
      </c>
      <c r="I66" s="9" t="s">
        <v>22</v>
      </c>
      <c r="J66" s="10">
        <v>-61.21</v>
      </c>
      <c r="K66" s="11">
        <v>4.9800000000000004</v>
      </c>
      <c r="L66" s="11">
        <v>4.75</v>
      </c>
      <c r="M66" s="9" t="s">
        <v>147</v>
      </c>
      <c r="N66" s="6" t="s">
        <v>24</v>
      </c>
      <c r="O66" s="6" t="s">
        <v>24</v>
      </c>
      <c r="P66" s="9" t="s">
        <v>60</v>
      </c>
      <c r="Q66" s="9" t="s">
        <v>26</v>
      </c>
      <c r="R66" s="9" t="s">
        <v>61</v>
      </c>
      <c r="S66" s="7" t="s">
        <v>156</v>
      </c>
      <c r="T66" s="9" t="s">
        <v>39</v>
      </c>
      <c r="U66" s="7">
        <v>0.36</v>
      </c>
      <c r="V66" s="12">
        <f>C66+5</f>
        <v>39833</v>
      </c>
      <c r="W66">
        <f>IF(D66=' Pivot Tables'!$A$4,1,0)</f>
        <v>0</v>
      </c>
      <c r="X66">
        <f>IF(AND(LEFT(D66,4)+1=LEFT(' Pivot Tables'!$A$4,4)+0,RIGHT(LEFT(D66,7),2)=RIGHT(LEFT(' Pivot Tables'!$A$4,7),2)),1,0)</f>
        <v>1</v>
      </c>
      <c r="Y66" s="6">
        <f>1/COUNTIF(Таблица1[Order ID],Таблица1[[#This Row],[Order ID]])</f>
        <v>0.5</v>
      </c>
      <c r="Z66" s="9">
        <f>1/COUNTIFS(Таблица1[Customer Name],Таблица1[[#This Row],[Customer Name]],Таблица1[Order-Year-Month],Таблица1[[#This Row],[Order-Year-Month]])</f>
        <v>0.5</v>
      </c>
    </row>
    <row r="67" spans="1:26" x14ac:dyDescent="0.2">
      <c r="A67" s="6">
        <v>951</v>
      </c>
      <c r="B67" s="7">
        <v>6884</v>
      </c>
      <c r="C67" s="8">
        <f>DATE(2012,12,31)-1446</f>
        <v>39828</v>
      </c>
      <c r="D67" s="8" t="str">
        <f t="shared" ref="D67:D130" si="1">TEXT(C67,"гггг-ММ (ММММ гггг)")</f>
        <v>2009-01 (январь 2009)</v>
      </c>
      <c r="E67" s="9" t="s">
        <v>21</v>
      </c>
      <c r="F67" s="7">
        <v>47</v>
      </c>
      <c r="G67" s="7">
        <v>296.13</v>
      </c>
      <c r="H67" s="7">
        <v>0.04</v>
      </c>
      <c r="I67" s="9" t="s">
        <v>22</v>
      </c>
      <c r="J67" s="10">
        <v>119.09</v>
      </c>
      <c r="K67" s="11">
        <v>6.35</v>
      </c>
      <c r="L67" s="11">
        <v>1.02</v>
      </c>
      <c r="M67" s="9" t="s">
        <v>147</v>
      </c>
      <c r="N67" s="6" t="s">
        <v>24</v>
      </c>
      <c r="O67" s="6" t="s">
        <v>24</v>
      </c>
      <c r="P67" s="9" t="s">
        <v>60</v>
      </c>
      <c r="Q67" s="9" t="s">
        <v>26</v>
      </c>
      <c r="R67" s="9" t="s">
        <v>61</v>
      </c>
      <c r="S67" s="7" t="s">
        <v>157</v>
      </c>
      <c r="T67" s="9" t="s">
        <v>68</v>
      </c>
      <c r="U67" s="7">
        <v>0.39</v>
      </c>
      <c r="V67" s="12">
        <f>C67+5</f>
        <v>39833</v>
      </c>
      <c r="W67">
        <f>IF(D67=' Pivot Tables'!$A$4,1,0)</f>
        <v>0</v>
      </c>
      <c r="X67">
        <f>IF(AND(LEFT(D67,4)+1=LEFT(' Pivot Tables'!$A$4,4)+0,RIGHT(LEFT(D67,7),2)=RIGHT(LEFT(' Pivot Tables'!$A$4,7),2)),1,0)</f>
        <v>1</v>
      </c>
      <c r="Y67" s="6">
        <f>1/COUNTIF(Таблица1[Order ID],Таблица1[[#This Row],[Order ID]])</f>
        <v>0.5</v>
      </c>
      <c r="Z67" s="9">
        <f>1/COUNTIFS(Таблица1[Customer Name],Таблица1[[#This Row],[Customer Name]],Таблица1[Order-Year-Month],Таблица1[[#This Row],[Order-Year-Month]])</f>
        <v>0.5</v>
      </c>
    </row>
    <row r="68" spans="1:26" x14ac:dyDescent="0.2">
      <c r="A68" s="6">
        <v>956</v>
      </c>
      <c r="B68" s="7">
        <v>6916</v>
      </c>
      <c r="C68" s="8">
        <f>DATE(2012,12,31)-941</f>
        <v>40333</v>
      </c>
      <c r="D68" s="8" t="str">
        <f t="shared" si="1"/>
        <v>2010-06 (июнь 2010)</v>
      </c>
      <c r="E68" s="9" t="s">
        <v>21</v>
      </c>
      <c r="F68" s="7">
        <v>40</v>
      </c>
      <c r="G68" s="7">
        <v>436.17</v>
      </c>
      <c r="H68" s="7">
        <v>0.08</v>
      </c>
      <c r="I68" s="9" t="s">
        <v>56</v>
      </c>
      <c r="J68" s="10">
        <v>-141.27000000000001</v>
      </c>
      <c r="K68" s="11">
        <v>10.9</v>
      </c>
      <c r="L68" s="11">
        <v>7.46</v>
      </c>
      <c r="M68" s="9" t="s">
        <v>158</v>
      </c>
      <c r="N68" s="6" t="s">
        <v>24</v>
      </c>
      <c r="O68" s="6" t="s">
        <v>24</v>
      </c>
      <c r="P68" s="9" t="s">
        <v>33</v>
      </c>
      <c r="Q68" s="9" t="s">
        <v>26</v>
      </c>
      <c r="R68" s="9" t="s">
        <v>27</v>
      </c>
      <c r="S68" s="7" t="s">
        <v>159</v>
      </c>
      <c r="T68" s="9" t="s">
        <v>39</v>
      </c>
      <c r="U68" s="7">
        <v>0.59</v>
      </c>
      <c r="V68" s="12">
        <f>C68+4</f>
        <v>40337</v>
      </c>
      <c r="W68">
        <f>IF(D68=' Pivot Tables'!$A$4,1,0)</f>
        <v>0</v>
      </c>
      <c r="X68">
        <f>IF(AND(LEFT(D68,4)+1=LEFT(' Pivot Tables'!$A$4,4)+0,RIGHT(LEFT(D68,7),2)=RIGHT(LEFT(' Pivot Tables'!$A$4,7),2)),1,0)</f>
        <v>0</v>
      </c>
      <c r="Y68" s="6">
        <f>1/COUNTIF(Таблица1[Order ID],Таблица1[[#This Row],[Order ID]])</f>
        <v>1</v>
      </c>
      <c r="Z68" s="9">
        <f>1/COUNTIFS(Таблица1[Customer Name],Таблица1[[#This Row],[Customer Name]],Таблица1[Order-Year-Month],Таблица1[[#This Row],[Order-Year-Month]])</f>
        <v>1</v>
      </c>
    </row>
    <row r="69" spans="1:26" x14ac:dyDescent="0.2">
      <c r="A69" s="6">
        <v>963</v>
      </c>
      <c r="B69" s="7">
        <v>6980</v>
      </c>
      <c r="C69" s="8">
        <f>DATE(2012,12,31)-1047</f>
        <v>40227</v>
      </c>
      <c r="D69" s="8" t="str">
        <f t="shared" si="1"/>
        <v>2010-02 (февраль 2010)</v>
      </c>
      <c r="E69" s="9" t="s">
        <v>45</v>
      </c>
      <c r="F69" s="7">
        <v>18</v>
      </c>
      <c r="G69" s="7">
        <v>136.29</v>
      </c>
      <c r="H69" s="7">
        <v>0.05</v>
      </c>
      <c r="I69" s="9" t="s">
        <v>22</v>
      </c>
      <c r="J69" s="10">
        <v>-77.28</v>
      </c>
      <c r="K69" s="11">
        <v>7.3</v>
      </c>
      <c r="L69" s="11">
        <v>7.72</v>
      </c>
      <c r="M69" s="9" t="s">
        <v>160</v>
      </c>
      <c r="N69" s="6" t="s">
        <v>24</v>
      </c>
      <c r="O69" s="6" t="s">
        <v>24</v>
      </c>
      <c r="P69" s="9" t="s">
        <v>33</v>
      </c>
      <c r="Q69" s="9" t="s">
        <v>26</v>
      </c>
      <c r="R69" s="9" t="s">
        <v>37</v>
      </c>
      <c r="S69" s="7" t="s">
        <v>54</v>
      </c>
      <c r="T69" s="9" t="s">
        <v>39</v>
      </c>
      <c r="U69" s="7">
        <v>0.38</v>
      </c>
      <c r="V69" s="12">
        <f>C69+1</f>
        <v>40228</v>
      </c>
      <c r="W69">
        <f>IF(D69=' Pivot Tables'!$A$4,1,0)</f>
        <v>0</v>
      </c>
      <c r="X69">
        <f>IF(AND(LEFT(D69,4)+1=LEFT(' Pivot Tables'!$A$4,4)+0,RIGHT(LEFT(D69,7),2)=RIGHT(LEFT(' Pivot Tables'!$A$4,7),2)),1,0)</f>
        <v>0</v>
      </c>
      <c r="Y69" s="6">
        <f>1/COUNTIF(Таблица1[Order ID],Таблица1[[#This Row],[Order ID]])</f>
        <v>1</v>
      </c>
      <c r="Z69" s="9">
        <f>1/COUNTIFS(Таблица1[Customer Name],Таблица1[[#This Row],[Customer Name]],Таблица1[Order-Year-Month],Таблица1[[#This Row],[Order-Year-Month]])</f>
        <v>0.5</v>
      </c>
    </row>
    <row r="70" spans="1:26" x14ac:dyDescent="0.2">
      <c r="A70" s="6">
        <v>964</v>
      </c>
      <c r="B70" s="7">
        <v>6982</v>
      </c>
      <c r="C70" s="8">
        <f>DATE(2012,12,31)-411</f>
        <v>40863</v>
      </c>
      <c r="D70" s="8" t="str">
        <f t="shared" si="1"/>
        <v>2011-11 (ноябрь 2011)</v>
      </c>
      <c r="E70" s="9" t="s">
        <v>45</v>
      </c>
      <c r="F70" s="7">
        <v>32</v>
      </c>
      <c r="G70" s="7">
        <v>1311.25</v>
      </c>
      <c r="H70" s="7">
        <v>0</v>
      </c>
      <c r="I70" s="9" t="s">
        <v>56</v>
      </c>
      <c r="J70" s="10">
        <v>407.44</v>
      </c>
      <c r="K70" s="11">
        <v>39.479999999999997</v>
      </c>
      <c r="L70" s="11">
        <v>1.99</v>
      </c>
      <c r="M70" s="9" t="s">
        <v>124</v>
      </c>
      <c r="N70" s="6" t="s">
        <v>24</v>
      </c>
      <c r="O70" s="6" t="s">
        <v>24</v>
      </c>
      <c r="P70" s="9" t="s">
        <v>41</v>
      </c>
      <c r="Q70" s="9" t="s">
        <v>42</v>
      </c>
      <c r="R70" s="9" t="s">
        <v>70</v>
      </c>
      <c r="S70" s="7" t="s">
        <v>161</v>
      </c>
      <c r="T70" s="9" t="s">
        <v>52</v>
      </c>
      <c r="U70" s="7">
        <v>0.54</v>
      </c>
      <c r="V70" s="12">
        <f>C70+2</f>
        <v>40865</v>
      </c>
      <c r="W70">
        <f>IF(D70=' Pivot Tables'!$A$4,1,0)</f>
        <v>0</v>
      </c>
      <c r="X70">
        <f>IF(AND(LEFT(D70,4)+1=LEFT(' Pivot Tables'!$A$4,4)+0,RIGHT(LEFT(D70,7),2)=RIGHT(LEFT(' Pivot Tables'!$A$4,7),2)),1,0)</f>
        <v>0</v>
      </c>
      <c r="Y70" s="6">
        <f>1/COUNTIF(Таблица1[Order ID],Таблица1[[#This Row],[Order ID]])</f>
        <v>0.33333333333333331</v>
      </c>
      <c r="Z70" s="9">
        <f>1/COUNTIFS(Таблица1[Customer Name],Таблица1[[#This Row],[Customer Name]],Таблица1[Order-Year-Month],Таблица1[[#This Row],[Order-Year-Month]])</f>
        <v>0.33333333333333331</v>
      </c>
    </row>
    <row r="71" spans="1:26" x14ac:dyDescent="0.2">
      <c r="A71" s="6">
        <v>965</v>
      </c>
      <c r="B71" s="7">
        <v>6982</v>
      </c>
      <c r="C71" s="8">
        <f>DATE(2012,12,31)-411</f>
        <v>40863</v>
      </c>
      <c r="D71" s="8" t="str">
        <f t="shared" si="1"/>
        <v>2011-11 (ноябрь 2011)</v>
      </c>
      <c r="E71" s="9" t="s">
        <v>45</v>
      </c>
      <c r="F71" s="7">
        <v>5</v>
      </c>
      <c r="G71" s="7">
        <v>544.41</v>
      </c>
      <c r="H71" s="7">
        <v>0.09</v>
      </c>
      <c r="I71" s="9" t="s">
        <v>31</v>
      </c>
      <c r="J71" s="10">
        <v>-338.27</v>
      </c>
      <c r="K71" s="11">
        <v>100.98</v>
      </c>
      <c r="L71" s="11">
        <v>57.38</v>
      </c>
      <c r="M71" s="9" t="s">
        <v>124</v>
      </c>
      <c r="N71" s="6" t="s">
        <v>24</v>
      </c>
      <c r="O71" s="6" t="s">
        <v>24</v>
      </c>
      <c r="P71" s="9" t="s">
        <v>41</v>
      </c>
      <c r="Q71" s="9" t="s">
        <v>49</v>
      </c>
      <c r="R71" s="9" t="s">
        <v>80</v>
      </c>
      <c r="S71" s="7" t="s">
        <v>162</v>
      </c>
      <c r="T71" s="9" t="s">
        <v>82</v>
      </c>
      <c r="U71" s="7">
        <v>0.78</v>
      </c>
      <c r="V71" s="12">
        <f>C71+2</f>
        <v>40865</v>
      </c>
      <c r="W71">
        <f>IF(D71=' Pivot Tables'!$A$4,1,0)</f>
        <v>0</v>
      </c>
      <c r="X71">
        <f>IF(AND(LEFT(D71,4)+1=LEFT(' Pivot Tables'!$A$4,4)+0,RIGHT(LEFT(D71,7),2)=RIGHT(LEFT(' Pivot Tables'!$A$4,7),2)),1,0)</f>
        <v>0</v>
      </c>
      <c r="Y71" s="6">
        <f>1/COUNTIF(Таблица1[Order ID],Таблица1[[#This Row],[Order ID]])</f>
        <v>0.33333333333333331</v>
      </c>
      <c r="Z71" s="9">
        <f>1/COUNTIFS(Таблица1[Customer Name],Таблица1[[#This Row],[Customer Name]],Таблица1[Order-Year-Month],Таблица1[[#This Row],[Order-Year-Month]])</f>
        <v>0.33333333333333331</v>
      </c>
    </row>
    <row r="72" spans="1:26" x14ac:dyDescent="0.2">
      <c r="A72" s="6">
        <v>966</v>
      </c>
      <c r="B72" s="7">
        <v>6982</v>
      </c>
      <c r="C72" s="8">
        <f>DATE(2012,12,31)-411</f>
        <v>40863</v>
      </c>
      <c r="D72" s="8" t="str">
        <f t="shared" si="1"/>
        <v>2011-11 (ноябрь 2011)</v>
      </c>
      <c r="E72" s="9" t="s">
        <v>45</v>
      </c>
      <c r="F72" s="7">
        <v>41</v>
      </c>
      <c r="G72" s="7">
        <v>844.09</v>
      </c>
      <c r="H72" s="7">
        <v>0.04</v>
      </c>
      <c r="I72" s="9" t="s">
        <v>22</v>
      </c>
      <c r="J72" s="10">
        <v>52.56</v>
      </c>
      <c r="K72" s="11">
        <v>19.98</v>
      </c>
      <c r="L72" s="11">
        <v>10.49</v>
      </c>
      <c r="M72" s="9" t="s">
        <v>124</v>
      </c>
      <c r="N72" s="6" t="s">
        <v>24</v>
      </c>
      <c r="O72" s="6" t="s">
        <v>24</v>
      </c>
      <c r="P72" s="9" t="s">
        <v>41</v>
      </c>
      <c r="Q72" s="9" t="s">
        <v>49</v>
      </c>
      <c r="R72" s="9" t="s">
        <v>50</v>
      </c>
      <c r="S72" s="7" t="s">
        <v>163</v>
      </c>
      <c r="T72" s="9" t="s">
        <v>39</v>
      </c>
      <c r="U72" s="7">
        <v>0.49</v>
      </c>
      <c r="V72" s="12">
        <f>C72+2</f>
        <v>40865</v>
      </c>
      <c r="W72">
        <f>IF(D72=' Pivot Tables'!$A$4,1,0)</f>
        <v>0</v>
      </c>
      <c r="X72">
        <f>IF(AND(LEFT(D72,4)+1=LEFT(' Pivot Tables'!$A$4,4)+0,RIGHT(LEFT(D72,7),2)=RIGHT(LEFT(' Pivot Tables'!$A$4,7),2)),1,0)</f>
        <v>0</v>
      </c>
      <c r="Y72" s="6">
        <f>1/COUNTIF(Таблица1[Order ID],Таблица1[[#This Row],[Order ID]])</f>
        <v>0.33333333333333331</v>
      </c>
      <c r="Z72" s="9">
        <f>1/COUNTIFS(Таблица1[Customer Name],Таблица1[[#This Row],[Customer Name]],Таблица1[Order-Year-Month],Таблица1[[#This Row],[Order-Year-Month]])</f>
        <v>0.33333333333333331</v>
      </c>
    </row>
    <row r="73" spans="1:26" x14ac:dyDescent="0.2">
      <c r="A73" s="6">
        <v>988</v>
      </c>
      <c r="B73" s="7">
        <v>7110</v>
      </c>
      <c r="C73" s="8">
        <f>DATE(2012,12,31)-512</f>
        <v>40762</v>
      </c>
      <c r="D73" s="8" t="str">
        <f t="shared" si="1"/>
        <v>2011-08 (август 2011)</v>
      </c>
      <c r="E73" s="9" t="s">
        <v>21</v>
      </c>
      <c r="F73" s="7">
        <v>22</v>
      </c>
      <c r="G73" s="7">
        <v>6396.2</v>
      </c>
      <c r="H73" s="7">
        <v>0.02</v>
      </c>
      <c r="I73" s="9" t="s">
        <v>22</v>
      </c>
      <c r="J73" s="10">
        <v>1902.24</v>
      </c>
      <c r="K73" s="11">
        <v>276.2</v>
      </c>
      <c r="L73" s="11">
        <v>24.49</v>
      </c>
      <c r="M73" s="9" t="s">
        <v>102</v>
      </c>
      <c r="N73" s="6" t="s">
        <v>24</v>
      </c>
      <c r="O73" s="6" t="s">
        <v>24</v>
      </c>
      <c r="P73" s="9" t="s">
        <v>41</v>
      </c>
      <c r="Q73" s="9" t="s">
        <v>49</v>
      </c>
      <c r="R73" s="9" t="s">
        <v>112</v>
      </c>
      <c r="S73" s="7" t="s">
        <v>164</v>
      </c>
      <c r="T73" s="9" t="s">
        <v>29</v>
      </c>
      <c r="U73" s="7"/>
      <c r="V73" s="12">
        <f>C73+4</f>
        <v>40766</v>
      </c>
      <c r="W73">
        <f>IF(D73=' Pivot Tables'!$A$4,1,0)</f>
        <v>0</v>
      </c>
      <c r="X73">
        <f>IF(AND(LEFT(D73,4)+1=LEFT(' Pivot Tables'!$A$4,4)+0,RIGHT(LEFT(D73,7),2)=RIGHT(LEFT(' Pivot Tables'!$A$4,7),2)),1,0)</f>
        <v>0</v>
      </c>
      <c r="Y73" s="6">
        <f>1/COUNTIF(Таблица1[Order ID],Таблица1[[#This Row],[Order ID]])</f>
        <v>1</v>
      </c>
      <c r="Z73" s="9">
        <f>1/COUNTIFS(Таблица1[Customer Name],Таблица1[[#This Row],[Customer Name]],Таблица1[Order-Year-Month],Таблица1[[#This Row],[Order-Year-Month]])</f>
        <v>0.25</v>
      </c>
    </row>
    <row r="74" spans="1:26" x14ac:dyDescent="0.2">
      <c r="A74" s="6">
        <v>1017</v>
      </c>
      <c r="B74" s="7">
        <v>7430</v>
      </c>
      <c r="C74" s="8">
        <f>DATE(2012,12,31)-937</f>
        <v>40337</v>
      </c>
      <c r="D74" s="8" t="str">
        <f t="shared" si="1"/>
        <v>2010-06 (июнь 2010)</v>
      </c>
      <c r="E74" s="9" t="s">
        <v>63</v>
      </c>
      <c r="F74" s="7">
        <v>50</v>
      </c>
      <c r="G74" s="7">
        <v>751.77</v>
      </c>
      <c r="H74" s="7">
        <v>0.05</v>
      </c>
      <c r="I74" s="9" t="s">
        <v>22</v>
      </c>
      <c r="J74" s="10">
        <v>353.2</v>
      </c>
      <c r="K74" s="11">
        <v>15.67</v>
      </c>
      <c r="L74" s="11">
        <v>1.39</v>
      </c>
      <c r="M74" s="9" t="s">
        <v>149</v>
      </c>
      <c r="N74" s="6" t="s">
        <v>24</v>
      </c>
      <c r="O74" s="6" t="s">
        <v>24</v>
      </c>
      <c r="P74" s="9" t="s">
        <v>41</v>
      </c>
      <c r="Q74" s="9" t="s">
        <v>26</v>
      </c>
      <c r="R74" s="9" t="s">
        <v>76</v>
      </c>
      <c r="S74" s="7" t="s">
        <v>165</v>
      </c>
      <c r="T74" s="9" t="s">
        <v>39</v>
      </c>
      <c r="U74" s="7">
        <v>0.38</v>
      </c>
      <c r="V74" s="12">
        <f>C74+1</f>
        <v>40338</v>
      </c>
      <c r="W74">
        <f>IF(D74=' Pivot Tables'!$A$4,1,0)</f>
        <v>0</v>
      </c>
      <c r="X74">
        <f>IF(AND(LEFT(D74,4)+1=LEFT(' Pivot Tables'!$A$4,4)+0,RIGHT(LEFT(D74,7),2)=RIGHT(LEFT(' Pivot Tables'!$A$4,7),2)),1,0)</f>
        <v>0</v>
      </c>
      <c r="Y74" s="6">
        <f>1/COUNTIF(Таблица1[Order ID],Таблица1[[#This Row],[Order ID]])</f>
        <v>1</v>
      </c>
      <c r="Z74" s="9">
        <f>1/COUNTIFS(Таблица1[Customer Name],Таблица1[[#This Row],[Customer Name]],Таблица1[Order-Year-Month],Таблица1[[#This Row],[Order-Year-Month]])</f>
        <v>1</v>
      </c>
    </row>
    <row r="75" spans="1:26" x14ac:dyDescent="0.2">
      <c r="A75" s="6">
        <v>1073</v>
      </c>
      <c r="B75" s="7">
        <v>7906</v>
      </c>
      <c r="C75" s="8">
        <f>DATE(2012,12,31)-1171</f>
        <v>40103</v>
      </c>
      <c r="D75" s="8" t="str">
        <f t="shared" si="1"/>
        <v>2009-10 (октябрь 2009)</v>
      </c>
      <c r="E75" s="9" t="s">
        <v>63</v>
      </c>
      <c r="F75" s="7">
        <v>37</v>
      </c>
      <c r="G75" s="7">
        <v>1003.06</v>
      </c>
      <c r="H75" s="7">
        <v>0.03</v>
      </c>
      <c r="I75" s="9" t="s">
        <v>22</v>
      </c>
      <c r="J75" s="10">
        <v>271.77999999999997</v>
      </c>
      <c r="K75" s="11">
        <v>25.98</v>
      </c>
      <c r="L75" s="11">
        <v>5.37</v>
      </c>
      <c r="M75" s="9" t="s">
        <v>166</v>
      </c>
      <c r="N75" s="6" t="s">
        <v>24</v>
      </c>
      <c r="O75" s="6" t="s">
        <v>24</v>
      </c>
      <c r="P75" s="9" t="s">
        <v>33</v>
      </c>
      <c r="Q75" s="9" t="s">
        <v>26</v>
      </c>
      <c r="R75" s="9" t="s">
        <v>34</v>
      </c>
      <c r="S75" s="7" t="s">
        <v>167</v>
      </c>
      <c r="T75" s="9" t="s">
        <v>48</v>
      </c>
      <c r="U75" s="7">
        <v>0.5</v>
      </c>
      <c r="V75" s="12">
        <f>C75+0</f>
        <v>40103</v>
      </c>
      <c r="W75">
        <f>IF(D75=' Pivot Tables'!$A$4,1,0)</f>
        <v>0</v>
      </c>
      <c r="X75">
        <f>IF(AND(LEFT(D75,4)+1=LEFT(' Pivot Tables'!$A$4,4)+0,RIGHT(LEFT(D75,7),2)=RIGHT(LEFT(' Pivot Tables'!$A$4,7),2)),1,0)</f>
        <v>0</v>
      </c>
      <c r="Y75" s="6">
        <f>1/COUNTIF(Таблица1[Order ID],Таблица1[[#This Row],[Order ID]])</f>
        <v>1</v>
      </c>
      <c r="Z75" s="9">
        <f>1/COUNTIFS(Таблица1[Customer Name],Таблица1[[#This Row],[Customer Name]],Таблица1[Order-Year-Month],Таблица1[[#This Row],[Order-Year-Month]])</f>
        <v>1</v>
      </c>
    </row>
    <row r="76" spans="1:26" x14ac:dyDescent="0.2">
      <c r="A76" s="6">
        <v>1154</v>
      </c>
      <c r="B76" s="7">
        <v>8391</v>
      </c>
      <c r="C76" s="8">
        <f>DATE(2012,12,31)-491</f>
        <v>40783</v>
      </c>
      <c r="D76" s="8" t="str">
        <f t="shared" si="1"/>
        <v>2011-08 (август 2011)</v>
      </c>
      <c r="E76" s="9" t="s">
        <v>30</v>
      </c>
      <c r="F76" s="7">
        <v>4</v>
      </c>
      <c r="G76" s="7">
        <v>1266.72</v>
      </c>
      <c r="H76" s="7">
        <v>0.04</v>
      </c>
      <c r="I76" s="9" t="s">
        <v>31</v>
      </c>
      <c r="J76" s="10">
        <v>-268.36</v>
      </c>
      <c r="K76" s="11">
        <v>300.98</v>
      </c>
      <c r="L76" s="11">
        <v>64.73</v>
      </c>
      <c r="M76" s="9" t="s">
        <v>79</v>
      </c>
      <c r="N76" s="6" t="s">
        <v>24</v>
      </c>
      <c r="O76" s="6" t="s">
        <v>24</v>
      </c>
      <c r="P76" s="9" t="s">
        <v>41</v>
      </c>
      <c r="Q76" s="9" t="s">
        <v>49</v>
      </c>
      <c r="R76" s="9" t="s">
        <v>112</v>
      </c>
      <c r="S76" s="7" t="s">
        <v>168</v>
      </c>
      <c r="T76" s="9" t="s">
        <v>36</v>
      </c>
      <c r="U76" s="7">
        <v>0.56000000000000005</v>
      </c>
      <c r="V76" s="12">
        <f>C76+1</f>
        <v>40784</v>
      </c>
      <c r="W76">
        <f>IF(D76=' Pivot Tables'!$A$4,1,0)</f>
        <v>0</v>
      </c>
      <c r="X76">
        <f>IF(AND(LEFT(D76,4)+1=LEFT(' Pivot Tables'!$A$4,4)+0,RIGHT(LEFT(D76,7),2)=RIGHT(LEFT(' Pivot Tables'!$A$4,7),2)),1,0)</f>
        <v>0</v>
      </c>
      <c r="Y76" s="6">
        <f>1/COUNTIF(Таблица1[Order ID],Таблица1[[#This Row],[Order ID]])</f>
        <v>1</v>
      </c>
      <c r="Z76" s="9">
        <f>1/COUNTIFS(Таблица1[Customer Name],Таблица1[[#This Row],[Customer Name]],Таблица1[Order-Year-Month],Таблица1[[#This Row],[Order-Year-Month]])</f>
        <v>1</v>
      </c>
    </row>
    <row r="77" spans="1:26" x14ac:dyDescent="0.2">
      <c r="A77" s="6">
        <v>1156</v>
      </c>
      <c r="B77" s="7">
        <v>8419</v>
      </c>
      <c r="C77" s="8">
        <f>DATE(2012,12,31)-459</f>
        <v>40815</v>
      </c>
      <c r="D77" s="8" t="str">
        <f t="shared" si="1"/>
        <v>2011-09 (сентябрь 2011)</v>
      </c>
      <c r="E77" s="9" t="s">
        <v>78</v>
      </c>
      <c r="F77" s="7">
        <v>19</v>
      </c>
      <c r="G77" s="7">
        <v>368.04</v>
      </c>
      <c r="H77" s="7">
        <v>7.0000000000000007E-2</v>
      </c>
      <c r="I77" s="9" t="s">
        <v>56</v>
      </c>
      <c r="J77" s="10">
        <v>70.39</v>
      </c>
      <c r="K77" s="11">
        <v>19.98</v>
      </c>
      <c r="L77" s="11">
        <v>5.97</v>
      </c>
      <c r="M77" s="9" t="s">
        <v>122</v>
      </c>
      <c r="N77" s="6" t="s">
        <v>24</v>
      </c>
      <c r="O77" s="6" t="s">
        <v>24</v>
      </c>
      <c r="P77" s="9" t="s">
        <v>25</v>
      </c>
      <c r="Q77" s="9" t="s">
        <v>26</v>
      </c>
      <c r="R77" s="9" t="s">
        <v>61</v>
      </c>
      <c r="S77" s="7" t="s">
        <v>169</v>
      </c>
      <c r="T77" s="9" t="s">
        <v>39</v>
      </c>
      <c r="U77" s="7">
        <v>0.38</v>
      </c>
      <c r="V77" s="12">
        <f>C77+2</f>
        <v>40817</v>
      </c>
      <c r="W77">
        <f>IF(D77=' Pivot Tables'!$A$4,1,0)</f>
        <v>0</v>
      </c>
      <c r="X77">
        <f>IF(AND(LEFT(D77,4)+1=LEFT(' Pivot Tables'!$A$4,4)+0,RIGHT(LEFT(D77,7),2)=RIGHT(LEFT(' Pivot Tables'!$A$4,7),2)),1,0)</f>
        <v>0</v>
      </c>
      <c r="Y77" s="6">
        <f>1/COUNTIF(Таблица1[Order ID],Таблица1[[#This Row],[Order ID]])</f>
        <v>0.5</v>
      </c>
      <c r="Z77" s="9">
        <f>1/COUNTIFS(Таблица1[Customer Name],Таблица1[[#This Row],[Customer Name]],Таблица1[Order-Year-Month],Таблица1[[#This Row],[Order-Year-Month]])</f>
        <v>0.5</v>
      </c>
    </row>
    <row r="78" spans="1:26" x14ac:dyDescent="0.2">
      <c r="A78" s="6">
        <v>1157</v>
      </c>
      <c r="B78" s="7">
        <v>8419</v>
      </c>
      <c r="C78" s="8">
        <f>DATE(2012,12,31)-459</f>
        <v>40815</v>
      </c>
      <c r="D78" s="8" t="str">
        <f t="shared" si="1"/>
        <v>2011-09 (сентябрь 2011)</v>
      </c>
      <c r="E78" s="9" t="s">
        <v>78</v>
      </c>
      <c r="F78" s="7">
        <v>24</v>
      </c>
      <c r="G78" s="7">
        <v>152.6</v>
      </c>
      <c r="H78" s="7">
        <v>0.1</v>
      </c>
      <c r="I78" s="9" t="s">
        <v>22</v>
      </c>
      <c r="J78" s="10">
        <v>-86.62</v>
      </c>
      <c r="K78" s="11">
        <v>6.48</v>
      </c>
      <c r="L78" s="11">
        <v>7.03</v>
      </c>
      <c r="M78" s="9" t="s">
        <v>122</v>
      </c>
      <c r="N78" s="6" t="s">
        <v>24</v>
      </c>
      <c r="O78" s="6" t="s">
        <v>24</v>
      </c>
      <c r="P78" s="9" t="s">
        <v>25</v>
      </c>
      <c r="Q78" s="9" t="s">
        <v>26</v>
      </c>
      <c r="R78" s="9" t="s">
        <v>61</v>
      </c>
      <c r="S78" s="7" t="s">
        <v>170</v>
      </c>
      <c r="T78" s="9" t="s">
        <v>39</v>
      </c>
      <c r="U78" s="7">
        <v>0.37</v>
      </c>
      <c r="V78" s="12">
        <f>C78+1</f>
        <v>40816</v>
      </c>
      <c r="W78">
        <f>IF(D78=' Pivot Tables'!$A$4,1,0)</f>
        <v>0</v>
      </c>
      <c r="X78">
        <f>IF(AND(LEFT(D78,4)+1=LEFT(' Pivot Tables'!$A$4,4)+0,RIGHT(LEFT(D78,7),2)=RIGHT(LEFT(' Pivot Tables'!$A$4,7),2)),1,0)</f>
        <v>0</v>
      </c>
      <c r="Y78" s="6">
        <f>1/COUNTIF(Таблица1[Order ID],Таблица1[[#This Row],[Order ID]])</f>
        <v>0.5</v>
      </c>
      <c r="Z78" s="9">
        <f>1/COUNTIFS(Таблица1[Customer Name],Таблица1[[#This Row],[Customer Name]],Таблица1[Order-Year-Month],Таблица1[[#This Row],[Order-Year-Month]])</f>
        <v>0.5</v>
      </c>
    </row>
    <row r="79" spans="1:26" x14ac:dyDescent="0.2">
      <c r="A79" s="6">
        <v>1205</v>
      </c>
      <c r="B79" s="7">
        <v>8833</v>
      </c>
      <c r="C79" s="8">
        <f>DATE(2012,12,31)-241</f>
        <v>41033</v>
      </c>
      <c r="D79" s="8" t="str">
        <f t="shared" si="1"/>
        <v>2012-05 (май 2012)</v>
      </c>
      <c r="E79" s="9" t="s">
        <v>21</v>
      </c>
      <c r="F79" s="7">
        <v>40</v>
      </c>
      <c r="G79" s="7">
        <v>3338.98</v>
      </c>
      <c r="H79" s="7">
        <v>0</v>
      </c>
      <c r="I79" s="9" t="s">
        <v>22</v>
      </c>
      <c r="J79" s="10">
        <v>-846.73</v>
      </c>
      <c r="K79" s="11">
        <v>80.98</v>
      </c>
      <c r="L79" s="11">
        <v>35</v>
      </c>
      <c r="M79" s="9" t="s">
        <v>122</v>
      </c>
      <c r="N79" s="6" t="s">
        <v>24</v>
      </c>
      <c r="O79" s="6" t="s">
        <v>24</v>
      </c>
      <c r="P79" s="9" t="s">
        <v>25</v>
      </c>
      <c r="Q79" s="9" t="s">
        <v>26</v>
      </c>
      <c r="R79" s="9" t="s">
        <v>27</v>
      </c>
      <c r="S79" s="7" t="s">
        <v>171</v>
      </c>
      <c r="T79" s="9" t="s">
        <v>29</v>
      </c>
      <c r="U79" s="7">
        <v>0.81</v>
      </c>
      <c r="V79" s="12">
        <f>C79+4</f>
        <v>41037</v>
      </c>
      <c r="W79">
        <f>IF(D79=' Pivot Tables'!$A$4,1,0)</f>
        <v>0</v>
      </c>
      <c r="X79">
        <f>IF(AND(LEFT(D79,4)+1=LEFT(' Pivot Tables'!$A$4,4)+0,RIGHT(LEFT(D79,7),2)=RIGHT(LEFT(' Pivot Tables'!$A$4,7),2)),1,0)</f>
        <v>0</v>
      </c>
      <c r="Y79" s="6">
        <f>1/COUNTIF(Таблица1[Order ID],Таблица1[[#This Row],[Order ID]])</f>
        <v>1</v>
      </c>
      <c r="Z79" s="9">
        <f>1/COUNTIFS(Таблица1[Customer Name],Таблица1[[#This Row],[Customer Name]],Таблица1[Order-Year-Month],Таблица1[[#This Row],[Order-Year-Month]])</f>
        <v>0.5</v>
      </c>
    </row>
    <row r="80" spans="1:26" x14ac:dyDescent="0.2">
      <c r="A80" s="6">
        <v>1226</v>
      </c>
      <c r="B80" s="7">
        <v>8995</v>
      </c>
      <c r="C80" s="8">
        <f>DATE(2012,12,31)-594</f>
        <v>40680</v>
      </c>
      <c r="D80" s="8" t="str">
        <f t="shared" si="1"/>
        <v>2011-05 (май 2011)</v>
      </c>
      <c r="E80" s="9" t="s">
        <v>30</v>
      </c>
      <c r="F80" s="7">
        <v>5</v>
      </c>
      <c r="G80" s="7">
        <v>24.16</v>
      </c>
      <c r="H80" s="7">
        <v>0.08</v>
      </c>
      <c r="I80" s="9" t="s">
        <v>56</v>
      </c>
      <c r="J80" s="10">
        <v>8.0495000000000001</v>
      </c>
      <c r="K80" s="11">
        <v>1.88</v>
      </c>
      <c r="L80" s="11">
        <v>1.49</v>
      </c>
      <c r="M80" s="9" t="s">
        <v>166</v>
      </c>
      <c r="N80" s="6" t="s">
        <v>24</v>
      </c>
      <c r="O80" s="6" t="s">
        <v>24</v>
      </c>
      <c r="P80" s="9" t="s">
        <v>33</v>
      </c>
      <c r="Q80" s="9" t="s">
        <v>26</v>
      </c>
      <c r="R80" s="9" t="s">
        <v>37</v>
      </c>
      <c r="S80" s="7" t="s">
        <v>172</v>
      </c>
      <c r="T80" s="9" t="s">
        <v>39</v>
      </c>
      <c r="U80" s="7">
        <v>0.37</v>
      </c>
      <c r="V80" s="12">
        <f>C80+1</f>
        <v>40681</v>
      </c>
      <c r="W80">
        <f>IF(D80=' Pivot Tables'!$A$4,1,0)</f>
        <v>0</v>
      </c>
      <c r="X80">
        <f>IF(AND(LEFT(D80,4)+1=LEFT(' Pivot Tables'!$A$4,4)+0,RIGHT(LEFT(D80,7),2)=RIGHT(LEFT(' Pivot Tables'!$A$4,7),2)),1,0)</f>
        <v>0</v>
      </c>
      <c r="Y80" s="6">
        <f>1/COUNTIF(Таблица1[Order ID],Таблица1[[#This Row],[Order ID]])</f>
        <v>0.2</v>
      </c>
      <c r="Z80" s="9">
        <f>1/COUNTIFS(Таблица1[Customer Name],Таблица1[[#This Row],[Customer Name]],Таблица1[Order-Year-Month],Таблица1[[#This Row],[Order-Year-Month]])</f>
        <v>0.16666666666666666</v>
      </c>
    </row>
    <row r="81" spans="1:26" x14ac:dyDescent="0.2">
      <c r="A81" s="6">
        <v>1227</v>
      </c>
      <c r="B81" s="7">
        <v>8995</v>
      </c>
      <c r="C81" s="8">
        <f>DATE(2012,12,31)-594</f>
        <v>40680</v>
      </c>
      <c r="D81" s="8" t="str">
        <f t="shared" si="1"/>
        <v>2011-05 (май 2011)</v>
      </c>
      <c r="E81" s="9" t="s">
        <v>30</v>
      </c>
      <c r="F81" s="7">
        <v>41</v>
      </c>
      <c r="G81" s="7">
        <v>270.83999999999997</v>
      </c>
      <c r="H81" s="7">
        <v>0.1</v>
      </c>
      <c r="I81" s="9" t="s">
        <v>56</v>
      </c>
      <c r="J81" s="10">
        <v>-78.02</v>
      </c>
      <c r="K81" s="11">
        <v>6.48</v>
      </c>
      <c r="L81" s="11">
        <v>5.86</v>
      </c>
      <c r="M81" s="9" t="s">
        <v>166</v>
      </c>
      <c r="N81" s="6" t="s">
        <v>173</v>
      </c>
      <c r="O81" s="6" t="s">
        <v>173</v>
      </c>
      <c r="P81" s="9" t="s">
        <v>33</v>
      </c>
      <c r="Q81" s="9" t="s">
        <v>26</v>
      </c>
      <c r="R81" s="9" t="s">
        <v>61</v>
      </c>
      <c r="S81" s="7" t="s">
        <v>174</v>
      </c>
      <c r="T81" s="9" t="s">
        <v>39</v>
      </c>
      <c r="U81" s="7">
        <v>0.36</v>
      </c>
      <c r="V81" s="12">
        <f>C81+1</f>
        <v>40681</v>
      </c>
      <c r="W81">
        <f>IF(D81=' Pivot Tables'!$A$4,1,0)</f>
        <v>0</v>
      </c>
      <c r="X81">
        <f>IF(AND(LEFT(D81,4)+1=LEFT(' Pivot Tables'!$A$4,4)+0,RIGHT(LEFT(D81,7),2)=RIGHT(LEFT(' Pivot Tables'!$A$4,7),2)),1,0)</f>
        <v>0</v>
      </c>
      <c r="Y81" s="6">
        <f>1/COUNTIF(Таблица1[Order ID],Таблица1[[#This Row],[Order ID]])</f>
        <v>0.2</v>
      </c>
      <c r="Z81" s="9">
        <f>1/COUNTIFS(Таблица1[Customer Name],Таблица1[[#This Row],[Customer Name]],Таблица1[Order-Year-Month],Таблица1[[#This Row],[Order-Year-Month]])</f>
        <v>0.16666666666666666</v>
      </c>
    </row>
    <row r="82" spans="1:26" x14ac:dyDescent="0.2">
      <c r="A82" s="6">
        <v>1228</v>
      </c>
      <c r="B82" s="7">
        <v>8995</v>
      </c>
      <c r="C82" s="8">
        <f>DATE(2012,12,31)-594</f>
        <v>40680</v>
      </c>
      <c r="D82" s="8" t="str">
        <f t="shared" si="1"/>
        <v>2011-05 (май 2011)</v>
      </c>
      <c r="E82" s="9" t="s">
        <v>30</v>
      </c>
      <c r="F82" s="7">
        <v>35</v>
      </c>
      <c r="G82" s="7">
        <v>3389.93</v>
      </c>
      <c r="H82" s="7">
        <v>0.08</v>
      </c>
      <c r="I82" s="9" t="s">
        <v>56</v>
      </c>
      <c r="J82" s="10">
        <v>737.94</v>
      </c>
      <c r="K82" s="11">
        <v>102.3</v>
      </c>
      <c r="L82" s="11">
        <v>21.26</v>
      </c>
      <c r="M82" s="9" t="s">
        <v>166</v>
      </c>
      <c r="N82" s="6" t="s">
        <v>173</v>
      </c>
      <c r="O82" s="6" t="s">
        <v>173</v>
      </c>
      <c r="P82" s="9" t="s">
        <v>33</v>
      </c>
      <c r="Q82" s="9" t="s">
        <v>49</v>
      </c>
      <c r="R82" s="9" t="s">
        <v>50</v>
      </c>
      <c r="S82" s="7" t="s">
        <v>175</v>
      </c>
      <c r="T82" s="9" t="s">
        <v>29</v>
      </c>
      <c r="U82" s="7">
        <v>0.59</v>
      </c>
      <c r="V82" s="12">
        <f>C82+1</f>
        <v>40681</v>
      </c>
      <c r="W82">
        <f>IF(D82=' Pivot Tables'!$A$4,1,0)</f>
        <v>0</v>
      </c>
      <c r="X82">
        <f>IF(AND(LEFT(D82,4)+1=LEFT(' Pivot Tables'!$A$4,4)+0,RIGHT(LEFT(D82,7),2)=RIGHT(LEFT(' Pivot Tables'!$A$4,7),2)),1,0)</f>
        <v>0</v>
      </c>
      <c r="Y82" s="6">
        <f>1/COUNTIF(Таблица1[Order ID],Таблица1[[#This Row],[Order ID]])</f>
        <v>0.2</v>
      </c>
      <c r="Z82" s="9">
        <f>1/COUNTIFS(Таблица1[Customer Name],Таблица1[[#This Row],[Customer Name]],Таблица1[Order-Year-Month],Таблица1[[#This Row],[Order-Year-Month]])</f>
        <v>0.16666666666666666</v>
      </c>
    </row>
    <row r="83" spans="1:26" x14ac:dyDescent="0.2">
      <c r="A83" s="6">
        <v>1229</v>
      </c>
      <c r="B83" s="7">
        <v>8995</v>
      </c>
      <c r="C83" s="8">
        <f>DATE(2012,12,31)-594</f>
        <v>40680</v>
      </c>
      <c r="D83" s="8" t="str">
        <f t="shared" si="1"/>
        <v>2011-05 (май 2011)</v>
      </c>
      <c r="E83" s="9" t="s">
        <v>30</v>
      </c>
      <c r="F83" s="7">
        <v>42</v>
      </c>
      <c r="G83" s="7">
        <v>266.36</v>
      </c>
      <c r="H83" s="7">
        <v>7.0000000000000007E-2</v>
      </c>
      <c r="I83" s="9" t="s">
        <v>22</v>
      </c>
      <c r="J83" s="10">
        <v>-191.28</v>
      </c>
      <c r="K83" s="11">
        <v>6.48</v>
      </c>
      <c r="L83" s="11">
        <v>8.19</v>
      </c>
      <c r="M83" s="9" t="s">
        <v>166</v>
      </c>
      <c r="N83" s="6" t="s">
        <v>173</v>
      </c>
      <c r="O83" s="6" t="s">
        <v>173</v>
      </c>
      <c r="P83" s="9" t="s">
        <v>33</v>
      </c>
      <c r="Q83" s="9" t="s">
        <v>26</v>
      </c>
      <c r="R83" s="9" t="s">
        <v>61</v>
      </c>
      <c r="S83" s="7" t="s">
        <v>176</v>
      </c>
      <c r="T83" s="9" t="s">
        <v>39</v>
      </c>
      <c r="U83" s="7">
        <v>0.37</v>
      </c>
      <c r="V83" s="12">
        <f>C83+1</f>
        <v>40681</v>
      </c>
      <c r="W83">
        <f>IF(D83=' Pivot Tables'!$A$4,1,0)</f>
        <v>0</v>
      </c>
      <c r="X83">
        <f>IF(AND(LEFT(D83,4)+1=LEFT(' Pivot Tables'!$A$4,4)+0,RIGHT(LEFT(D83,7),2)=RIGHT(LEFT(' Pivot Tables'!$A$4,7),2)),1,0)</f>
        <v>0</v>
      </c>
      <c r="Y83" s="6">
        <f>1/COUNTIF(Таблица1[Order ID],Таблица1[[#This Row],[Order ID]])</f>
        <v>0.2</v>
      </c>
      <c r="Z83" s="9">
        <f>1/COUNTIFS(Таблица1[Customer Name],Таблица1[[#This Row],[Customer Name]],Таблица1[Order-Year-Month],Таблица1[[#This Row],[Order-Year-Month]])</f>
        <v>0.16666666666666666</v>
      </c>
    </row>
    <row r="84" spans="1:26" x14ac:dyDescent="0.2">
      <c r="A84" s="6">
        <v>1230</v>
      </c>
      <c r="B84" s="7">
        <v>8995</v>
      </c>
      <c r="C84" s="8">
        <f>DATE(2012,12,31)-594</f>
        <v>40680</v>
      </c>
      <c r="D84" s="8" t="str">
        <f t="shared" si="1"/>
        <v>2011-05 (май 2011)</v>
      </c>
      <c r="E84" s="9" t="s">
        <v>30</v>
      </c>
      <c r="F84" s="7">
        <v>46</v>
      </c>
      <c r="G84" s="7">
        <v>89.41</v>
      </c>
      <c r="H84" s="7">
        <v>0.01</v>
      </c>
      <c r="I84" s="9" t="s">
        <v>22</v>
      </c>
      <c r="J84" s="10">
        <v>-21.49</v>
      </c>
      <c r="K84" s="11">
        <v>1.89</v>
      </c>
      <c r="L84" s="11">
        <v>0.76</v>
      </c>
      <c r="M84" s="9" t="s">
        <v>166</v>
      </c>
      <c r="N84" s="6" t="s">
        <v>173</v>
      </c>
      <c r="O84" s="6" t="s">
        <v>173</v>
      </c>
      <c r="P84" s="9" t="s">
        <v>33</v>
      </c>
      <c r="Q84" s="9" t="s">
        <v>26</v>
      </c>
      <c r="R84" s="9" t="s">
        <v>66</v>
      </c>
      <c r="S84" s="7" t="s">
        <v>177</v>
      </c>
      <c r="T84" s="9" t="s">
        <v>68</v>
      </c>
      <c r="U84" s="7">
        <v>0.83</v>
      </c>
      <c r="V84" s="12">
        <f>C84+2</f>
        <v>40682</v>
      </c>
      <c r="W84">
        <f>IF(D84=' Pivot Tables'!$A$4,1,0)</f>
        <v>0</v>
      </c>
      <c r="X84">
        <f>IF(AND(LEFT(D84,4)+1=LEFT(' Pivot Tables'!$A$4,4)+0,RIGHT(LEFT(D84,7),2)=RIGHT(LEFT(' Pivot Tables'!$A$4,7),2)),1,0)</f>
        <v>0</v>
      </c>
      <c r="Y84" s="6">
        <f>1/COUNTIF(Таблица1[Order ID],Таблица1[[#This Row],[Order ID]])</f>
        <v>0.2</v>
      </c>
      <c r="Z84" s="9">
        <f>1/COUNTIFS(Таблица1[Customer Name],Таблица1[[#This Row],[Customer Name]],Таблица1[Order-Year-Month],Таблица1[[#This Row],[Order-Year-Month]])</f>
        <v>0.16666666666666666</v>
      </c>
    </row>
    <row r="85" spans="1:26" x14ac:dyDescent="0.2">
      <c r="A85" s="6">
        <v>1258</v>
      </c>
      <c r="B85" s="7">
        <v>9126</v>
      </c>
      <c r="C85" s="8">
        <f>DATE(2012,12,31)-1140</f>
        <v>40134</v>
      </c>
      <c r="D85" s="8" t="str">
        <f t="shared" si="1"/>
        <v>2009-11 (ноябрь 2009)</v>
      </c>
      <c r="E85" s="9" t="s">
        <v>63</v>
      </c>
      <c r="F85" s="7">
        <v>47</v>
      </c>
      <c r="G85" s="7">
        <v>2799.7</v>
      </c>
      <c r="H85" s="7">
        <v>0.04</v>
      </c>
      <c r="I85" s="9" t="s">
        <v>22</v>
      </c>
      <c r="J85" s="10">
        <v>884.08</v>
      </c>
      <c r="K85" s="11">
        <v>62.05</v>
      </c>
      <c r="L85" s="11">
        <v>3.99</v>
      </c>
      <c r="M85" s="9" t="s">
        <v>79</v>
      </c>
      <c r="N85" s="6" t="s">
        <v>173</v>
      </c>
      <c r="O85" s="6" t="s">
        <v>173</v>
      </c>
      <c r="P85" s="9" t="s">
        <v>41</v>
      </c>
      <c r="Q85" s="9" t="s">
        <v>26</v>
      </c>
      <c r="R85" s="9" t="s">
        <v>34</v>
      </c>
      <c r="S85" s="7" t="s">
        <v>178</v>
      </c>
      <c r="T85" s="9" t="s">
        <v>39</v>
      </c>
      <c r="U85" s="7">
        <v>0.55000000000000004</v>
      </c>
      <c r="V85" s="12">
        <f>C85+1</f>
        <v>40135</v>
      </c>
      <c r="W85">
        <f>IF(D85=' Pivot Tables'!$A$4,1,0)</f>
        <v>0</v>
      </c>
      <c r="X85">
        <f>IF(AND(LEFT(D85,4)+1=LEFT(' Pivot Tables'!$A$4,4)+0,RIGHT(LEFT(D85,7),2)=RIGHT(LEFT(' Pivot Tables'!$A$4,7),2)),1,0)</f>
        <v>0</v>
      </c>
      <c r="Y85" s="6">
        <f>1/COUNTIF(Таблица1[Order ID],Таблица1[[#This Row],[Order ID]])</f>
        <v>1</v>
      </c>
      <c r="Z85" s="9">
        <f>1/COUNTIFS(Таблица1[Customer Name],Таблица1[[#This Row],[Customer Name]],Таблица1[Order-Year-Month],Таблица1[[#This Row],[Order-Year-Month]])</f>
        <v>0.5</v>
      </c>
    </row>
    <row r="86" spans="1:26" x14ac:dyDescent="0.2">
      <c r="A86" s="6">
        <v>1259</v>
      </c>
      <c r="B86" s="7">
        <v>9127</v>
      </c>
      <c r="C86" s="8">
        <f>DATE(2012,12,31)-448</f>
        <v>40826</v>
      </c>
      <c r="D86" s="8" t="str">
        <f t="shared" si="1"/>
        <v>2011-10 (октябрь 2011)</v>
      </c>
      <c r="E86" s="9" t="s">
        <v>45</v>
      </c>
      <c r="F86" s="7">
        <v>7</v>
      </c>
      <c r="G86" s="7">
        <v>2039.56</v>
      </c>
      <c r="H86" s="7">
        <v>0.04</v>
      </c>
      <c r="I86" s="9" t="s">
        <v>56</v>
      </c>
      <c r="J86" s="10">
        <v>-329.49</v>
      </c>
      <c r="K86" s="11">
        <v>279.48</v>
      </c>
      <c r="L86" s="11">
        <v>35</v>
      </c>
      <c r="M86" s="9" t="s">
        <v>179</v>
      </c>
      <c r="N86" s="6" t="s">
        <v>173</v>
      </c>
      <c r="O86" s="6" t="s">
        <v>173</v>
      </c>
      <c r="P86" s="9" t="s">
        <v>41</v>
      </c>
      <c r="Q86" s="9" t="s">
        <v>26</v>
      </c>
      <c r="R86" s="9" t="s">
        <v>27</v>
      </c>
      <c r="S86" s="7" t="s">
        <v>180</v>
      </c>
      <c r="T86" s="9" t="s">
        <v>29</v>
      </c>
      <c r="U86" s="7">
        <v>0.8</v>
      </c>
      <c r="V86" s="12">
        <f>C86+2</f>
        <v>40828</v>
      </c>
      <c r="W86">
        <f>IF(D86=' Pivot Tables'!$A$4,1,0)</f>
        <v>0</v>
      </c>
      <c r="X86">
        <f>IF(AND(LEFT(D86,4)+1=LEFT(' Pivot Tables'!$A$4,4)+0,RIGHT(LEFT(D86,7),2)=RIGHT(LEFT(' Pivot Tables'!$A$4,7),2)),1,0)</f>
        <v>0</v>
      </c>
      <c r="Y86" s="6">
        <f>1/COUNTIF(Таблица1[Order ID],Таблица1[[#This Row],[Order ID]])</f>
        <v>1</v>
      </c>
      <c r="Z86" s="9">
        <f>1/COUNTIFS(Таблица1[Customer Name],Таблица1[[#This Row],[Customer Name]],Таблица1[Order-Year-Month],Таблица1[[#This Row],[Order-Year-Month]])</f>
        <v>1</v>
      </c>
    </row>
    <row r="87" spans="1:26" x14ac:dyDescent="0.2">
      <c r="A87" s="6">
        <v>1299</v>
      </c>
      <c r="B87" s="7">
        <v>9509</v>
      </c>
      <c r="C87" s="8">
        <f>DATE(2012,12,31)-85</f>
        <v>41189</v>
      </c>
      <c r="D87" s="8" t="str">
        <f t="shared" si="1"/>
        <v>2012-10 (октябрь 2012)</v>
      </c>
      <c r="E87" s="9" t="s">
        <v>45</v>
      </c>
      <c r="F87" s="7">
        <v>36</v>
      </c>
      <c r="G87" s="7">
        <v>12175.82</v>
      </c>
      <c r="H87" s="7">
        <v>0.02</v>
      </c>
      <c r="I87" s="9" t="s">
        <v>31</v>
      </c>
      <c r="J87" s="10">
        <v>2825.15</v>
      </c>
      <c r="K87" s="11">
        <v>320.98</v>
      </c>
      <c r="L87" s="11">
        <v>58.95</v>
      </c>
      <c r="M87" s="9" t="s">
        <v>144</v>
      </c>
      <c r="N87" s="6" t="s">
        <v>173</v>
      </c>
      <c r="O87" s="6" t="s">
        <v>173</v>
      </c>
      <c r="P87" s="9" t="s">
        <v>60</v>
      </c>
      <c r="Q87" s="9" t="s">
        <v>49</v>
      </c>
      <c r="R87" s="9" t="s">
        <v>112</v>
      </c>
      <c r="S87" s="7" t="s">
        <v>181</v>
      </c>
      <c r="T87" s="9" t="s">
        <v>36</v>
      </c>
      <c r="U87" s="7">
        <v>0.56999999999999995</v>
      </c>
      <c r="V87" s="12">
        <f>C87+1</f>
        <v>41190</v>
      </c>
      <c r="W87">
        <f>IF(D87=' Pivot Tables'!$A$4,1,0)</f>
        <v>0</v>
      </c>
      <c r="X87">
        <f>IF(AND(LEFT(D87,4)+1=LEFT(' Pivot Tables'!$A$4,4)+0,RIGHT(LEFT(D87,7),2)=RIGHT(LEFT(' Pivot Tables'!$A$4,7),2)),1,0)</f>
        <v>0</v>
      </c>
      <c r="Y87" s="6">
        <f>1/COUNTIF(Таблица1[Order ID],Таблица1[[#This Row],[Order ID]])</f>
        <v>0.33333333333333331</v>
      </c>
      <c r="Z87" s="9">
        <f>1/COUNTIFS(Таблица1[Customer Name],Таблица1[[#This Row],[Customer Name]],Таблица1[Order-Year-Month],Таблица1[[#This Row],[Order-Year-Month]])</f>
        <v>0.33333333333333331</v>
      </c>
    </row>
    <row r="88" spans="1:26" x14ac:dyDescent="0.2">
      <c r="A88" s="6">
        <v>1300</v>
      </c>
      <c r="B88" s="7">
        <v>9509</v>
      </c>
      <c r="C88" s="8">
        <f>DATE(2012,12,31)-85</f>
        <v>41189</v>
      </c>
      <c r="D88" s="8" t="str">
        <f t="shared" si="1"/>
        <v>2012-10 (октябрь 2012)</v>
      </c>
      <c r="E88" s="9" t="s">
        <v>45</v>
      </c>
      <c r="F88" s="7">
        <v>5</v>
      </c>
      <c r="G88" s="7">
        <v>101.21</v>
      </c>
      <c r="H88" s="7">
        <v>0.1</v>
      </c>
      <c r="I88" s="9" t="s">
        <v>56</v>
      </c>
      <c r="J88" s="10">
        <v>2.13</v>
      </c>
      <c r="K88" s="11">
        <v>18.97</v>
      </c>
      <c r="L88" s="11">
        <v>5.21</v>
      </c>
      <c r="M88" s="9" t="s">
        <v>144</v>
      </c>
      <c r="N88" s="6" t="s">
        <v>173</v>
      </c>
      <c r="O88" s="6" t="s">
        <v>173</v>
      </c>
      <c r="P88" s="9" t="s">
        <v>60</v>
      </c>
      <c r="Q88" s="9" t="s">
        <v>26</v>
      </c>
      <c r="R88" s="9" t="s">
        <v>61</v>
      </c>
      <c r="S88" s="7" t="s">
        <v>182</v>
      </c>
      <c r="T88" s="9" t="s">
        <v>39</v>
      </c>
      <c r="U88" s="7">
        <v>0.37</v>
      </c>
      <c r="V88" s="12">
        <f>C88+1</f>
        <v>41190</v>
      </c>
      <c r="W88">
        <f>IF(D88=' Pivot Tables'!$A$4,1,0)</f>
        <v>0</v>
      </c>
      <c r="X88">
        <f>IF(AND(LEFT(D88,4)+1=LEFT(' Pivot Tables'!$A$4,4)+0,RIGHT(LEFT(D88,7),2)=RIGHT(LEFT(' Pivot Tables'!$A$4,7),2)),1,0)</f>
        <v>0</v>
      </c>
      <c r="Y88" s="6">
        <f>1/COUNTIF(Таблица1[Order ID],Таблица1[[#This Row],[Order ID]])</f>
        <v>0.33333333333333331</v>
      </c>
      <c r="Z88" s="9">
        <f>1/COUNTIFS(Таблица1[Customer Name],Таблица1[[#This Row],[Customer Name]],Таблица1[Order-Year-Month],Таблица1[[#This Row],[Order-Year-Month]])</f>
        <v>0.33333333333333331</v>
      </c>
    </row>
    <row r="89" spans="1:26" x14ac:dyDescent="0.2">
      <c r="A89" s="6">
        <v>1301</v>
      </c>
      <c r="B89" s="7">
        <v>9509</v>
      </c>
      <c r="C89" s="8">
        <f>DATE(2012,12,31)-85</f>
        <v>41189</v>
      </c>
      <c r="D89" s="8" t="str">
        <f t="shared" si="1"/>
        <v>2012-10 (октябрь 2012)</v>
      </c>
      <c r="E89" s="9" t="s">
        <v>45</v>
      </c>
      <c r="F89" s="7">
        <v>32</v>
      </c>
      <c r="G89" s="7">
        <v>1585.64</v>
      </c>
      <c r="H89" s="7">
        <v>0.02</v>
      </c>
      <c r="I89" s="9" t="s">
        <v>22</v>
      </c>
      <c r="J89" s="10">
        <v>707.15</v>
      </c>
      <c r="K89" s="11">
        <v>48.91</v>
      </c>
      <c r="L89" s="11">
        <v>5.81</v>
      </c>
      <c r="M89" s="9" t="s">
        <v>144</v>
      </c>
      <c r="N89" s="6" t="s">
        <v>173</v>
      </c>
      <c r="O89" s="6" t="s">
        <v>173</v>
      </c>
      <c r="P89" s="9" t="s">
        <v>60</v>
      </c>
      <c r="Q89" s="9" t="s">
        <v>26</v>
      </c>
      <c r="R89" s="9" t="s">
        <v>61</v>
      </c>
      <c r="S89" s="7" t="s">
        <v>183</v>
      </c>
      <c r="T89" s="9" t="s">
        <v>39</v>
      </c>
      <c r="U89" s="7">
        <v>0.38</v>
      </c>
      <c r="V89" s="12">
        <f>C89+0</f>
        <v>41189</v>
      </c>
      <c r="W89">
        <f>IF(D89=' Pivot Tables'!$A$4,1,0)</f>
        <v>0</v>
      </c>
      <c r="X89">
        <f>IF(AND(LEFT(D89,4)+1=LEFT(' Pivot Tables'!$A$4,4)+0,RIGHT(LEFT(D89,7),2)=RIGHT(LEFT(' Pivot Tables'!$A$4,7),2)),1,0)</f>
        <v>0</v>
      </c>
      <c r="Y89" s="6">
        <f>1/COUNTIF(Таблица1[Order ID],Таблица1[[#This Row],[Order ID]])</f>
        <v>0.33333333333333331</v>
      </c>
      <c r="Z89" s="9">
        <f>1/COUNTIFS(Таблица1[Customer Name],Таблица1[[#This Row],[Customer Name]],Таблица1[Order-Year-Month],Таблица1[[#This Row],[Order-Year-Month]])</f>
        <v>0.33333333333333331</v>
      </c>
    </row>
    <row r="90" spans="1:26" x14ac:dyDescent="0.2">
      <c r="A90" s="6">
        <v>1337</v>
      </c>
      <c r="B90" s="7">
        <v>9763</v>
      </c>
      <c r="C90" s="8">
        <f>DATE(2012,12,31)-506</f>
        <v>40768</v>
      </c>
      <c r="D90" s="8" t="str">
        <f t="shared" si="1"/>
        <v>2011-08 (август 2011)</v>
      </c>
      <c r="E90" s="9" t="s">
        <v>63</v>
      </c>
      <c r="F90" s="7">
        <v>44</v>
      </c>
      <c r="G90" s="7">
        <v>176.26</v>
      </c>
      <c r="H90" s="7">
        <v>7.0000000000000007E-2</v>
      </c>
      <c r="I90" s="9" t="s">
        <v>22</v>
      </c>
      <c r="J90" s="10">
        <v>75.13</v>
      </c>
      <c r="K90" s="11">
        <v>4.13</v>
      </c>
      <c r="L90" s="11">
        <v>0.5</v>
      </c>
      <c r="M90" s="9" t="s">
        <v>106</v>
      </c>
      <c r="N90" s="6" t="s">
        <v>173</v>
      </c>
      <c r="O90" s="6" t="s">
        <v>173</v>
      </c>
      <c r="P90" s="9" t="s">
        <v>41</v>
      </c>
      <c r="Q90" s="9" t="s">
        <v>26</v>
      </c>
      <c r="R90" s="9" t="s">
        <v>88</v>
      </c>
      <c r="S90" s="7" t="s">
        <v>184</v>
      </c>
      <c r="T90" s="9" t="s">
        <v>39</v>
      </c>
      <c r="U90" s="7">
        <v>0.39</v>
      </c>
      <c r="V90" s="12">
        <f>C90+3</f>
        <v>40771</v>
      </c>
      <c r="W90">
        <f>IF(D90=' Pivot Tables'!$A$4,1,0)</f>
        <v>0</v>
      </c>
      <c r="X90">
        <f>IF(AND(LEFT(D90,4)+1=LEFT(' Pivot Tables'!$A$4,4)+0,RIGHT(LEFT(D90,7),2)=RIGHT(LEFT(' Pivot Tables'!$A$4,7),2)),1,0)</f>
        <v>0</v>
      </c>
      <c r="Y90" s="6">
        <f>1/COUNTIF(Таблица1[Order ID],Таблица1[[#This Row],[Order ID]])</f>
        <v>1</v>
      </c>
      <c r="Z90" s="9">
        <f>1/COUNTIFS(Таблица1[Customer Name],Таблица1[[#This Row],[Customer Name]],Таблица1[Order-Year-Month],Таблица1[[#This Row],[Order-Year-Month]])</f>
        <v>1</v>
      </c>
    </row>
    <row r="91" spans="1:26" x14ac:dyDescent="0.2">
      <c r="A91" s="6">
        <v>1370</v>
      </c>
      <c r="B91" s="7">
        <v>9927</v>
      </c>
      <c r="C91" s="8">
        <f>DATE(2012,12,31)-503</f>
        <v>40771</v>
      </c>
      <c r="D91" s="8" t="str">
        <f t="shared" si="1"/>
        <v>2011-08 (август 2011)</v>
      </c>
      <c r="E91" s="9" t="s">
        <v>30</v>
      </c>
      <c r="F91" s="7">
        <v>32</v>
      </c>
      <c r="G91" s="7">
        <v>4655.07</v>
      </c>
      <c r="H91" s="7">
        <v>0</v>
      </c>
      <c r="I91" s="9" t="s">
        <v>31</v>
      </c>
      <c r="J91" s="10">
        <v>-270.63</v>
      </c>
      <c r="K91" s="11">
        <v>140.97999999999999</v>
      </c>
      <c r="L91" s="11">
        <v>53.48</v>
      </c>
      <c r="M91" s="9" t="s">
        <v>102</v>
      </c>
      <c r="N91" s="6" t="s">
        <v>173</v>
      </c>
      <c r="O91" s="6" t="s">
        <v>173</v>
      </c>
      <c r="P91" s="9" t="s">
        <v>41</v>
      </c>
      <c r="Q91" s="9" t="s">
        <v>49</v>
      </c>
      <c r="R91" s="9" t="s">
        <v>80</v>
      </c>
      <c r="S91" s="7" t="s">
        <v>185</v>
      </c>
      <c r="T91" s="9" t="s">
        <v>82</v>
      </c>
      <c r="U91" s="7">
        <v>0.65</v>
      </c>
      <c r="V91" s="12">
        <f>C91+1</f>
        <v>40772</v>
      </c>
      <c r="W91">
        <f>IF(D91=' Pivot Tables'!$A$4,1,0)</f>
        <v>0</v>
      </c>
      <c r="X91">
        <f>IF(AND(LEFT(D91,4)+1=LEFT(' Pivot Tables'!$A$4,4)+0,RIGHT(LEFT(D91,7),2)=RIGHT(LEFT(' Pivot Tables'!$A$4,7),2)),1,0)</f>
        <v>0</v>
      </c>
      <c r="Y91" s="6">
        <f>1/COUNTIF(Таблица1[Order ID],Таблица1[[#This Row],[Order ID]])</f>
        <v>0.33333333333333331</v>
      </c>
      <c r="Z91" s="9">
        <f>1/COUNTIFS(Таблица1[Customer Name],Таблица1[[#This Row],[Customer Name]],Таблица1[Order-Year-Month],Таблица1[[#This Row],[Order-Year-Month]])</f>
        <v>0.25</v>
      </c>
    </row>
    <row r="92" spans="1:26" x14ac:dyDescent="0.2">
      <c r="A92" s="6">
        <v>1371</v>
      </c>
      <c r="B92" s="7">
        <v>9927</v>
      </c>
      <c r="C92" s="8">
        <f>DATE(2012,12,31)-503</f>
        <v>40771</v>
      </c>
      <c r="D92" s="8" t="str">
        <f t="shared" si="1"/>
        <v>2011-08 (август 2011)</v>
      </c>
      <c r="E92" s="9" t="s">
        <v>30</v>
      </c>
      <c r="F92" s="7">
        <v>44</v>
      </c>
      <c r="G92" s="7">
        <v>10087.6</v>
      </c>
      <c r="H92" s="7">
        <v>0.01</v>
      </c>
      <c r="I92" s="9" t="s">
        <v>22</v>
      </c>
      <c r="J92" s="10">
        <v>3387.35</v>
      </c>
      <c r="K92" s="11">
        <v>218.08</v>
      </c>
      <c r="L92" s="11">
        <v>18.059999999999999</v>
      </c>
      <c r="M92" s="9" t="s">
        <v>102</v>
      </c>
      <c r="N92" s="6" t="s">
        <v>173</v>
      </c>
      <c r="O92" s="6" t="s">
        <v>173</v>
      </c>
      <c r="P92" s="9" t="s">
        <v>41</v>
      </c>
      <c r="Q92" s="9" t="s">
        <v>49</v>
      </c>
      <c r="R92" s="9" t="s">
        <v>112</v>
      </c>
      <c r="S92" s="7" t="s">
        <v>186</v>
      </c>
      <c r="T92" s="9" t="s">
        <v>29</v>
      </c>
      <c r="U92" s="7">
        <v>0.56999999999999995</v>
      </c>
      <c r="V92" s="12">
        <f>C92+1</f>
        <v>40772</v>
      </c>
      <c r="W92">
        <f>IF(D92=' Pivot Tables'!$A$4,1,0)</f>
        <v>0</v>
      </c>
      <c r="X92">
        <f>IF(AND(LEFT(D92,4)+1=LEFT(' Pivot Tables'!$A$4,4)+0,RIGHT(LEFT(D92,7),2)=RIGHT(LEFT(' Pivot Tables'!$A$4,7),2)),1,0)</f>
        <v>0</v>
      </c>
      <c r="Y92" s="6">
        <f>1/COUNTIF(Таблица1[Order ID],Таблица1[[#This Row],[Order ID]])</f>
        <v>0.33333333333333331</v>
      </c>
      <c r="Z92" s="9">
        <f>1/COUNTIFS(Таблица1[Customer Name],Таблица1[[#This Row],[Customer Name]],Таблица1[Order-Year-Month],Таблица1[[#This Row],[Order-Year-Month]])</f>
        <v>0.25</v>
      </c>
    </row>
    <row r="93" spans="1:26" x14ac:dyDescent="0.2">
      <c r="A93" s="6">
        <v>1372</v>
      </c>
      <c r="B93" s="7">
        <v>9927</v>
      </c>
      <c r="C93" s="8">
        <f>DATE(2012,12,31)-503</f>
        <v>40771</v>
      </c>
      <c r="D93" s="8" t="str">
        <f t="shared" si="1"/>
        <v>2011-08 (август 2011)</v>
      </c>
      <c r="E93" s="9" t="s">
        <v>30</v>
      </c>
      <c r="F93" s="7">
        <v>34</v>
      </c>
      <c r="G93" s="7">
        <v>1608.08</v>
      </c>
      <c r="H93" s="7">
        <v>0.09</v>
      </c>
      <c r="I93" s="9" t="s">
        <v>56</v>
      </c>
      <c r="J93" s="10">
        <v>-82.16</v>
      </c>
      <c r="K93" s="11">
        <v>50.98</v>
      </c>
      <c r="L93" s="11">
        <v>6.5</v>
      </c>
      <c r="M93" s="9" t="s">
        <v>102</v>
      </c>
      <c r="N93" s="6" t="s">
        <v>173</v>
      </c>
      <c r="O93" s="6" t="s">
        <v>173</v>
      </c>
      <c r="P93" s="9" t="s">
        <v>41</v>
      </c>
      <c r="Q93" s="9" t="s">
        <v>42</v>
      </c>
      <c r="R93" s="9" t="s">
        <v>70</v>
      </c>
      <c r="S93" s="7" t="s">
        <v>187</v>
      </c>
      <c r="T93" s="9" t="s">
        <v>39</v>
      </c>
      <c r="U93" s="7">
        <v>0.73</v>
      </c>
      <c r="V93" s="12">
        <f>C93+1</f>
        <v>40772</v>
      </c>
      <c r="W93">
        <f>IF(D93=' Pivot Tables'!$A$4,1,0)</f>
        <v>0</v>
      </c>
      <c r="X93">
        <f>IF(AND(LEFT(D93,4)+1=LEFT(' Pivot Tables'!$A$4,4)+0,RIGHT(LEFT(D93,7),2)=RIGHT(LEFT(' Pivot Tables'!$A$4,7),2)),1,0)</f>
        <v>0</v>
      </c>
      <c r="Y93" s="6">
        <f>1/COUNTIF(Таблица1[Order ID],Таблица1[[#This Row],[Order ID]])</f>
        <v>0.33333333333333331</v>
      </c>
      <c r="Z93" s="9">
        <f>1/COUNTIFS(Таблица1[Customer Name],Таблица1[[#This Row],[Customer Name]],Таблица1[Order-Year-Month],Таблица1[[#This Row],[Order-Year-Month]])</f>
        <v>0.25</v>
      </c>
    </row>
    <row r="94" spans="1:26" x14ac:dyDescent="0.2">
      <c r="A94" s="6">
        <v>1380</v>
      </c>
      <c r="B94" s="7">
        <v>10022</v>
      </c>
      <c r="C94" s="8">
        <f>DATE(2012,12,31)-1398</f>
        <v>39876</v>
      </c>
      <c r="D94" s="8" t="str">
        <f t="shared" si="1"/>
        <v>2009-03 (март 2009)</v>
      </c>
      <c r="E94" s="9" t="s">
        <v>21</v>
      </c>
      <c r="F94" s="7">
        <v>1</v>
      </c>
      <c r="G94" s="7">
        <v>12.18</v>
      </c>
      <c r="H94" s="7">
        <v>0.06</v>
      </c>
      <c r="I94" s="9" t="s">
        <v>22</v>
      </c>
      <c r="J94" s="10">
        <v>-3.88</v>
      </c>
      <c r="K94" s="11">
        <v>10.14</v>
      </c>
      <c r="L94" s="11">
        <v>2.27</v>
      </c>
      <c r="M94" s="9" t="s">
        <v>188</v>
      </c>
      <c r="N94" s="6" t="s">
        <v>173</v>
      </c>
      <c r="O94" s="6" t="s">
        <v>173</v>
      </c>
      <c r="P94" s="9" t="s">
        <v>25</v>
      </c>
      <c r="Q94" s="9" t="s">
        <v>26</v>
      </c>
      <c r="R94" s="9" t="s">
        <v>61</v>
      </c>
      <c r="S94" s="7" t="s">
        <v>189</v>
      </c>
      <c r="T94" s="9" t="s">
        <v>68</v>
      </c>
      <c r="U94" s="7">
        <v>0.36</v>
      </c>
      <c r="V94" s="12">
        <f>C94+0</f>
        <v>39876</v>
      </c>
      <c r="W94">
        <f>IF(D94=' Pivot Tables'!$A$4,1,0)</f>
        <v>0</v>
      </c>
      <c r="X94">
        <f>IF(AND(LEFT(D94,4)+1=LEFT(' Pivot Tables'!$A$4,4)+0,RIGHT(LEFT(D94,7),2)=RIGHT(LEFT(' Pivot Tables'!$A$4,7),2)),1,0)</f>
        <v>0</v>
      </c>
      <c r="Y94" s="6">
        <f>1/COUNTIF(Таблица1[Order ID],Таблица1[[#This Row],[Order ID]])</f>
        <v>1</v>
      </c>
      <c r="Z94" s="9">
        <f>1/COUNTIFS(Таблица1[Customer Name],Таблица1[[#This Row],[Customer Name]],Таблица1[Order-Year-Month],Таблица1[[#This Row],[Order-Year-Month]])</f>
        <v>1</v>
      </c>
    </row>
    <row r="95" spans="1:26" x14ac:dyDescent="0.2">
      <c r="A95" s="6">
        <v>1445</v>
      </c>
      <c r="B95" s="7">
        <v>10437</v>
      </c>
      <c r="C95" s="8">
        <f>DATE(2012,12,31)-1231</f>
        <v>40043</v>
      </c>
      <c r="D95" s="8" t="str">
        <f t="shared" si="1"/>
        <v>2009-08 (август 2009)</v>
      </c>
      <c r="E95" s="9" t="s">
        <v>78</v>
      </c>
      <c r="F95" s="7">
        <v>50</v>
      </c>
      <c r="G95" s="7">
        <v>820.52</v>
      </c>
      <c r="H95" s="7">
        <v>0.01</v>
      </c>
      <c r="I95" s="9" t="s">
        <v>22</v>
      </c>
      <c r="J95" s="10">
        <v>-191.22200000000001</v>
      </c>
      <c r="K95" s="11">
        <v>15.99</v>
      </c>
      <c r="L95" s="11">
        <v>13.18</v>
      </c>
      <c r="M95" s="9" t="s">
        <v>133</v>
      </c>
      <c r="N95" s="6" t="s">
        <v>173</v>
      </c>
      <c r="O95" s="6" t="s">
        <v>173</v>
      </c>
      <c r="P95" s="9" t="s">
        <v>41</v>
      </c>
      <c r="Q95" s="9" t="s">
        <v>26</v>
      </c>
      <c r="R95" s="9" t="s">
        <v>37</v>
      </c>
      <c r="S95" s="7" t="s">
        <v>92</v>
      </c>
      <c r="T95" s="9" t="s">
        <v>39</v>
      </c>
      <c r="U95" s="7">
        <v>0.37</v>
      </c>
      <c r="V95" s="12">
        <f>C95+2</f>
        <v>40045</v>
      </c>
      <c r="W95">
        <f>IF(D95=' Pivot Tables'!$A$4,1,0)</f>
        <v>0</v>
      </c>
      <c r="X95">
        <f>IF(AND(LEFT(D95,4)+1=LEFT(' Pivot Tables'!$A$4,4)+0,RIGHT(LEFT(D95,7),2)=RIGHT(LEFT(' Pivot Tables'!$A$4,7),2)),1,0)</f>
        <v>0</v>
      </c>
      <c r="Y95" s="6">
        <f>1/COUNTIF(Таблица1[Order ID],Таблица1[[#This Row],[Order ID]])</f>
        <v>1</v>
      </c>
      <c r="Z95" s="9">
        <f>1/COUNTIFS(Таблица1[Customer Name],Таблица1[[#This Row],[Customer Name]],Таблица1[Order-Year-Month],Таблица1[[#This Row],[Order-Year-Month]])</f>
        <v>1</v>
      </c>
    </row>
    <row r="96" spans="1:26" x14ac:dyDescent="0.2">
      <c r="A96" s="6">
        <v>1457</v>
      </c>
      <c r="B96" s="7">
        <v>10499</v>
      </c>
      <c r="C96" s="8">
        <f>DATE(2012,12,31)-776</f>
        <v>40498</v>
      </c>
      <c r="D96" s="8" t="str">
        <f t="shared" si="1"/>
        <v>2010-11 (ноябрь 2010)</v>
      </c>
      <c r="E96" s="9" t="s">
        <v>45</v>
      </c>
      <c r="F96" s="7">
        <v>29</v>
      </c>
      <c r="G96" s="7">
        <v>6250.9360000000006</v>
      </c>
      <c r="H96" s="7">
        <v>0.01</v>
      </c>
      <c r="I96" s="9" t="s">
        <v>31</v>
      </c>
      <c r="J96" s="10">
        <v>31.21</v>
      </c>
      <c r="K96" s="11">
        <v>262.11</v>
      </c>
      <c r="L96" s="11">
        <v>62.74</v>
      </c>
      <c r="M96" s="9" t="s">
        <v>190</v>
      </c>
      <c r="N96" s="6" t="s">
        <v>173</v>
      </c>
      <c r="O96" s="6" t="s">
        <v>173</v>
      </c>
      <c r="P96" s="9" t="s">
        <v>41</v>
      </c>
      <c r="Q96" s="9" t="s">
        <v>49</v>
      </c>
      <c r="R96" s="9" t="s">
        <v>83</v>
      </c>
      <c r="S96" s="7" t="s">
        <v>191</v>
      </c>
      <c r="T96" s="9" t="s">
        <v>82</v>
      </c>
      <c r="U96" s="7">
        <v>0.75</v>
      </c>
      <c r="V96" s="12">
        <f>C96+1</f>
        <v>40499</v>
      </c>
      <c r="W96">
        <f>IF(D96=' Pivot Tables'!$A$4,1,0)</f>
        <v>0</v>
      </c>
      <c r="X96">
        <f>IF(AND(LEFT(D96,4)+1=LEFT(' Pivot Tables'!$A$4,4)+0,RIGHT(LEFT(D96,7),2)=RIGHT(LEFT(' Pivot Tables'!$A$4,7),2)),1,0)</f>
        <v>0</v>
      </c>
      <c r="Y96" s="6">
        <f>1/COUNTIF(Таблица1[Order ID],Таблица1[[#This Row],[Order ID]])</f>
        <v>1</v>
      </c>
      <c r="Z96" s="9">
        <f>1/COUNTIFS(Таблица1[Customer Name],Таблица1[[#This Row],[Customer Name]],Таблица1[Order-Year-Month],Таблица1[[#This Row],[Order-Year-Month]])</f>
        <v>0.5</v>
      </c>
    </row>
    <row r="97" spans="1:26" x14ac:dyDescent="0.2">
      <c r="A97" s="6">
        <v>1462</v>
      </c>
      <c r="B97" s="7">
        <v>10535</v>
      </c>
      <c r="C97" s="8">
        <f>DATE(2012,12,31)-584</f>
        <v>40690</v>
      </c>
      <c r="D97" s="8" t="str">
        <f t="shared" si="1"/>
        <v>2011-05 (май 2011)</v>
      </c>
      <c r="E97" s="9" t="s">
        <v>21</v>
      </c>
      <c r="F97" s="7">
        <v>25</v>
      </c>
      <c r="G97" s="7">
        <v>854.88</v>
      </c>
      <c r="H97" s="7">
        <v>0.09</v>
      </c>
      <c r="I97" s="9" t="s">
        <v>22</v>
      </c>
      <c r="J97" s="10">
        <v>-44.14</v>
      </c>
      <c r="K97" s="11">
        <v>33.979999999999997</v>
      </c>
      <c r="L97" s="11">
        <v>19.989999999999998</v>
      </c>
      <c r="M97" s="9" t="s">
        <v>190</v>
      </c>
      <c r="N97" s="6" t="s">
        <v>173</v>
      </c>
      <c r="O97" s="6" t="s">
        <v>173</v>
      </c>
      <c r="P97" s="9" t="s">
        <v>41</v>
      </c>
      <c r="Q97" s="9" t="s">
        <v>49</v>
      </c>
      <c r="R97" s="9" t="s">
        <v>50</v>
      </c>
      <c r="S97" s="7" t="s">
        <v>192</v>
      </c>
      <c r="T97" s="9" t="s">
        <v>39</v>
      </c>
      <c r="U97" s="7">
        <v>0.55000000000000004</v>
      </c>
      <c r="V97" s="12">
        <f>C97+2</f>
        <v>40692</v>
      </c>
      <c r="W97">
        <f>IF(D97=' Pivot Tables'!$A$4,1,0)</f>
        <v>0</v>
      </c>
      <c r="X97">
        <f>IF(AND(LEFT(D97,4)+1=LEFT(' Pivot Tables'!$A$4,4)+0,RIGHT(LEFT(D97,7),2)=RIGHT(LEFT(' Pivot Tables'!$A$4,7),2)),1,0)</f>
        <v>0</v>
      </c>
      <c r="Y97" s="6">
        <f>1/COUNTIF(Таблица1[Order ID],Таблица1[[#This Row],[Order ID]])</f>
        <v>0.5</v>
      </c>
      <c r="Z97" s="9">
        <f>1/COUNTIFS(Таблица1[Customer Name],Таблица1[[#This Row],[Customer Name]],Таблица1[Order-Year-Month],Таблица1[[#This Row],[Order-Year-Month]])</f>
        <v>0.5</v>
      </c>
    </row>
    <row r="98" spans="1:26" x14ac:dyDescent="0.2">
      <c r="A98" s="6">
        <v>1463</v>
      </c>
      <c r="B98" s="7">
        <v>10535</v>
      </c>
      <c r="C98" s="8">
        <f>DATE(2012,12,31)-584</f>
        <v>40690</v>
      </c>
      <c r="D98" s="8" t="str">
        <f t="shared" si="1"/>
        <v>2011-05 (май 2011)</v>
      </c>
      <c r="E98" s="9" t="s">
        <v>21</v>
      </c>
      <c r="F98" s="7">
        <v>46</v>
      </c>
      <c r="G98" s="7">
        <v>80.27</v>
      </c>
      <c r="H98" s="7">
        <v>0.09</v>
      </c>
      <c r="I98" s="9" t="s">
        <v>22</v>
      </c>
      <c r="J98" s="10">
        <v>-0.79</v>
      </c>
      <c r="K98" s="11">
        <v>1.76</v>
      </c>
      <c r="L98" s="11">
        <v>0.7</v>
      </c>
      <c r="M98" s="9" t="s">
        <v>190</v>
      </c>
      <c r="N98" s="6" t="s">
        <v>173</v>
      </c>
      <c r="O98" s="6" t="s">
        <v>173</v>
      </c>
      <c r="P98" s="9" t="s">
        <v>41</v>
      </c>
      <c r="Q98" s="9" t="s">
        <v>26</v>
      </c>
      <c r="R98" s="9" t="s">
        <v>95</v>
      </c>
      <c r="S98" s="7" t="s">
        <v>193</v>
      </c>
      <c r="T98" s="9" t="s">
        <v>68</v>
      </c>
      <c r="U98" s="7">
        <v>0.56000000000000005</v>
      </c>
      <c r="V98" s="12">
        <f>C98+7</f>
        <v>40697</v>
      </c>
      <c r="W98">
        <f>IF(D98=' Pivot Tables'!$A$4,1,0)</f>
        <v>0</v>
      </c>
      <c r="X98">
        <f>IF(AND(LEFT(D98,4)+1=LEFT(' Pivot Tables'!$A$4,4)+0,RIGHT(LEFT(D98,7),2)=RIGHT(LEFT(' Pivot Tables'!$A$4,7),2)),1,0)</f>
        <v>0</v>
      </c>
      <c r="Y98" s="6">
        <f>1/COUNTIF(Таблица1[Order ID],Таблица1[[#This Row],[Order ID]])</f>
        <v>0.5</v>
      </c>
      <c r="Z98" s="9">
        <f>1/COUNTIFS(Таблица1[Customer Name],Таблица1[[#This Row],[Customer Name]],Таблица1[Order-Year-Month],Таблица1[[#This Row],[Order-Year-Month]])</f>
        <v>0.5</v>
      </c>
    </row>
    <row r="99" spans="1:26" x14ac:dyDescent="0.2">
      <c r="A99" s="6">
        <v>1495</v>
      </c>
      <c r="B99" s="7">
        <v>10789</v>
      </c>
      <c r="C99" s="8">
        <f>DATE(2012,12,31)-861</f>
        <v>40413</v>
      </c>
      <c r="D99" s="8" t="str">
        <f t="shared" si="1"/>
        <v>2010-08 (август 2010)</v>
      </c>
      <c r="E99" s="9" t="s">
        <v>45</v>
      </c>
      <c r="F99" s="7">
        <v>15</v>
      </c>
      <c r="G99" s="7">
        <v>308.54000000000002</v>
      </c>
      <c r="H99" s="7">
        <v>0</v>
      </c>
      <c r="I99" s="9" t="s">
        <v>56</v>
      </c>
      <c r="J99" s="10">
        <v>76.42</v>
      </c>
      <c r="K99" s="11">
        <v>19.84</v>
      </c>
      <c r="L99" s="11">
        <v>4.0999999999999996</v>
      </c>
      <c r="M99" s="9" t="s">
        <v>194</v>
      </c>
      <c r="N99" s="6" t="s">
        <v>173</v>
      </c>
      <c r="O99" s="6" t="s">
        <v>173</v>
      </c>
      <c r="P99" s="9" t="s">
        <v>41</v>
      </c>
      <c r="Q99" s="9" t="s">
        <v>26</v>
      </c>
      <c r="R99" s="9" t="s">
        <v>95</v>
      </c>
      <c r="S99" s="7" t="s">
        <v>195</v>
      </c>
      <c r="T99" s="9" t="s">
        <v>68</v>
      </c>
      <c r="U99" s="7">
        <v>0.44</v>
      </c>
      <c r="V99" s="12">
        <f>C99+1</f>
        <v>40414</v>
      </c>
      <c r="W99">
        <f>IF(D99=' Pivot Tables'!$A$4,1,0)</f>
        <v>0</v>
      </c>
      <c r="X99">
        <f>IF(AND(LEFT(D99,4)+1=LEFT(' Pivot Tables'!$A$4,4)+0,RIGHT(LEFT(D99,7),2)=RIGHT(LEFT(' Pivot Tables'!$A$4,7),2)),1,0)</f>
        <v>0</v>
      </c>
      <c r="Y99" s="6">
        <f>1/COUNTIF(Таблица1[Order ID],Таблица1[[#This Row],[Order ID]])</f>
        <v>1</v>
      </c>
      <c r="Z99" s="9">
        <f>1/COUNTIFS(Таблица1[Customer Name],Таблица1[[#This Row],[Customer Name]],Таблица1[Order-Year-Month],Таблица1[[#This Row],[Order-Year-Month]])</f>
        <v>1</v>
      </c>
    </row>
    <row r="100" spans="1:26" x14ac:dyDescent="0.2">
      <c r="A100" s="6">
        <v>1496</v>
      </c>
      <c r="B100" s="7">
        <v>10791</v>
      </c>
      <c r="C100" s="8">
        <f>DATE(2012,12,31)-500</f>
        <v>40774</v>
      </c>
      <c r="D100" s="8" t="str">
        <f t="shared" si="1"/>
        <v>2011-08 (август 2011)</v>
      </c>
      <c r="E100" s="9" t="s">
        <v>45</v>
      </c>
      <c r="F100" s="7">
        <v>20</v>
      </c>
      <c r="G100" s="7">
        <v>400.57</v>
      </c>
      <c r="H100" s="7">
        <v>0.05</v>
      </c>
      <c r="I100" s="9" t="s">
        <v>22</v>
      </c>
      <c r="J100" s="10">
        <v>93.36</v>
      </c>
      <c r="K100" s="11">
        <v>19.98</v>
      </c>
      <c r="L100" s="11">
        <v>5.77</v>
      </c>
      <c r="M100" s="9" t="s">
        <v>196</v>
      </c>
      <c r="N100" s="6" t="s">
        <v>173</v>
      </c>
      <c r="O100" s="6" t="s">
        <v>173</v>
      </c>
      <c r="P100" s="9" t="s">
        <v>25</v>
      </c>
      <c r="Q100" s="9" t="s">
        <v>26</v>
      </c>
      <c r="R100" s="9" t="s">
        <v>61</v>
      </c>
      <c r="S100" s="7" t="s">
        <v>197</v>
      </c>
      <c r="T100" s="9" t="s">
        <v>39</v>
      </c>
      <c r="U100" s="7">
        <v>0.38</v>
      </c>
      <c r="V100" s="12">
        <f>C100+2</f>
        <v>40776</v>
      </c>
      <c r="W100">
        <f>IF(D100=' Pivot Tables'!$A$4,1,0)</f>
        <v>0</v>
      </c>
      <c r="X100">
        <f>IF(AND(LEFT(D100,4)+1=LEFT(' Pivot Tables'!$A$4,4)+0,RIGHT(LEFT(D100,7),2)=RIGHT(LEFT(' Pivot Tables'!$A$4,7),2)),1,0)</f>
        <v>0</v>
      </c>
      <c r="Y100" s="6">
        <f>1/COUNTIF(Таблица1[Order ID],Таблица1[[#This Row],[Order ID]])</f>
        <v>1</v>
      </c>
      <c r="Z100" s="9">
        <f>1/COUNTIFS(Таблица1[Customer Name],Таблица1[[#This Row],[Customer Name]],Таблица1[Order-Year-Month],Таблица1[[#This Row],[Order-Year-Month]])</f>
        <v>1</v>
      </c>
    </row>
    <row r="101" spans="1:26" x14ac:dyDescent="0.2">
      <c r="A101" s="6">
        <v>1513</v>
      </c>
      <c r="B101" s="7">
        <v>10945</v>
      </c>
      <c r="C101" s="8">
        <f>DATE(2012,12,31)-363</f>
        <v>40911</v>
      </c>
      <c r="D101" s="8" t="str">
        <f t="shared" si="1"/>
        <v>2012-01 (январь 2012)</v>
      </c>
      <c r="E101" s="9" t="s">
        <v>63</v>
      </c>
      <c r="F101" s="7">
        <v>14</v>
      </c>
      <c r="G101" s="7">
        <v>1170.0250000000001</v>
      </c>
      <c r="H101" s="7">
        <v>0.04</v>
      </c>
      <c r="I101" s="9" t="s">
        <v>22</v>
      </c>
      <c r="J101" s="10">
        <v>4.2210000000000107</v>
      </c>
      <c r="K101" s="11">
        <v>95.99</v>
      </c>
      <c r="L101" s="11">
        <v>8.99</v>
      </c>
      <c r="M101" s="9" t="s">
        <v>160</v>
      </c>
      <c r="N101" s="6" t="s">
        <v>173</v>
      </c>
      <c r="O101" s="6" t="s">
        <v>173</v>
      </c>
      <c r="P101" s="9" t="s">
        <v>33</v>
      </c>
      <c r="Q101" s="9" t="s">
        <v>42</v>
      </c>
      <c r="R101" s="9" t="s">
        <v>43</v>
      </c>
      <c r="S101" s="7" t="s">
        <v>198</v>
      </c>
      <c r="T101" s="9" t="s">
        <v>39</v>
      </c>
      <c r="U101" s="7">
        <v>0.56999999999999995</v>
      </c>
      <c r="V101" s="12">
        <f>C101+2</f>
        <v>40913</v>
      </c>
      <c r="W101">
        <f>IF(D101=' Pivot Tables'!$A$4,1,0)</f>
        <v>0</v>
      </c>
      <c r="X101">
        <f>IF(AND(LEFT(D101,4)+1=LEFT(' Pivot Tables'!$A$4,4)+0,RIGHT(LEFT(D101,7),2)=RIGHT(LEFT(' Pivot Tables'!$A$4,7),2)),1,0)</f>
        <v>0</v>
      </c>
      <c r="Y101" s="6">
        <f>1/COUNTIF(Таблица1[Order ID],Таблица1[[#This Row],[Order ID]])</f>
        <v>1</v>
      </c>
      <c r="Z101" s="9">
        <f>1/COUNTIFS(Таблица1[Customer Name],Таблица1[[#This Row],[Customer Name]],Таблица1[Order-Year-Month],Таблица1[[#This Row],[Order-Year-Month]])</f>
        <v>0.5</v>
      </c>
    </row>
    <row r="102" spans="1:26" x14ac:dyDescent="0.2">
      <c r="A102" s="6">
        <v>1544</v>
      </c>
      <c r="B102" s="7">
        <v>11137</v>
      </c>
      <c r="C102" s="8">
        <f>DATE(2012,12,31)-32</f>
        <v>41242</v>
      </c>
      <c r="D102" s="8" t="str">
        <f t="shared" si="1"/>
        <v>2012-11 (ноябрь 2012)</v>
      </c>
      <c r="E102" s="9" t="s">
        <v>30</v>
      </c>
      <c r="F102" s="7">
        <v>48</v>
      </c>
      <c r="G102" s="7">
        <v>5188.8599999999997</v>
      </c>
      <c r="H102" s="7">
        <v>0.1</v>
      </c>
      <c r="I102" s="9" t="s">
        <v>22</v>
      </c>
      <c r="J102" s="10">
        <v>395.12</v>
      </c>
      <c r="K102" s="11">
        <v>111.03</v>
      </c>
      <c r="L102" s="11">
        <v>8.64</v>
      </c>
      <c r="M102" s="9" t="s">
        <v>75</v>
      </c>
      <c r="N102" s="6" t="s">
        <v>173</v>
      </c>
      <c r="O102" s="6" t="s">
        <v>173</v>
      </c>
      <c r="P102" s="9" t="s">
        <v>25</v>
      </c>
      <c r="Q102" s="9" t="s">
        <v>26</v>
      </c>
      <c r="R102" s="9" t="s">
        <v>27</v>
      </c>
      <c r="S102" s="7" t="s">
        <v>199</v>
      </c>
      <c r="T102" s="9" t="s">
        <v>39</v>
      </c>
      <c r="U102" s="7">
        <v>0.78</v>
      </c>
      <c r="V102" s="12">
        <f>C102+1</f>
        <v>41243</v>
      </c>
      <c r="W102">
        <f>IF(D102=' Pivot Tables'!$A$4,1,0)</f>
        <v>0</v>
      </c>
      <c r="X102">
        <f>IF(AND(LEFT(D102,4)+1=LEFT(' Pivot Tables'!$A$4,4)+0,RIGHT(LEFT(D102,7),2)=RIGHT(LEFT(' Pivot Tables'!$A$4,7),2)),1,0)</f>
        <v>0</v>
      </c>
      <c r="Y102" s="6">
        <f>1/COUNTIF(Таблица1[Order ID],Таблица1[[#This Row],[Order ID]])</f>
        <v>1</v>
      </c>
      <c r="Z102" s="9">
        <f>1/COUNTIFS(Таблица1[Customer Name],Таблица1[[#This Row],[Customer Name]],Таблица1[Order-Year-Month],Таблица1[[#This Row],[Order-Year-Month]])</f>
        <v>1</v>
      </c>
    </row>
    <row r="103" spans="1:26" x14ac:dyDescent="0.2">
      <c r="A103" s="6">
        <v>1551</v>
      </c>
      <c r="B103" s="7">
        <v>11202</v>
      </c>
      <c r="C103" s="8">
        <f>DATE(2012,12,31)-289</f>
        <v>40985</v>
      </c>
      <c r="D103" s="8" t="str">
        <f t="shared" si="1"/>
        <v>2012-03 (март 2012)</v>
      </c>
      <c r="E103" s="9" t="s">
        <v>63</v>
      </c>
      <c r="F103" s="7">
        <v>8</v>
      </c>
      <c r="G103" s="7">
        <v>339.81</v>
      </c>
      <c r="H103" s="7">
        <v>0.05</v>
      </c>
      <c r="I103" s="9" t="s">
        <v>22</v>
      </c>
      <c r="J103" s="10">
        <v>79.585499999999996</v>
      </c>
      <c r="K103" s="11">
        <v>43.41</v>
      </c>
      <c r="L103" s="11">
        <v>2.99</v>
      </c>
      <c r="M103" s="9" t="s">
        <v>149</v>
      </c>
      <c r="N103" s="6" t="s">
        <v>173</v>
      </c>
      <c r="O103" s="6" t="s">
        <v>173</v>
      </c>
      <c r="P103" s="9" t="s">
        <v>41</v>
      </c>
      <c r="Q103" s="9" t="s">
        <v>26</v>
      </c>
      <c r="R103" s="9" t="s">
        <v>37</v>
      </c>
      <c r="S103" s="7" t="s">
        <v>200</v>
      </c>
      <c r="T103" s="9" t="s">
        <v>39</v>
      </c>
      <c r="U103" s="7">
        <v>0.39</v>
      </c>
      <c r="V103" s="12">
        <f>C103+1</f>
        <v>40986</v>
      </c>
      <c r="W103">
        <f>IF(D103=' Pivot Tables'!$A$4,1,0)</f>
        <v>0</v>
      </c>
      <c r="X103">
        <f>IF(AND(LEFT(D103,4)+1=LEFT(' Pivot Tables'!$A$4,4)+0,RIGHT(LEFT(D103,7),2)=RIGHT(LEFT(' Pivot Tables'!$A$4,7),2)),1,0)</f>
        <v>0</v>
      </c>
      <c r="Y103" s="6">
        <f>1/COUNTIF(Таблица1[Order ID],Таблица1[[#This Row],[Order ID]])</f>
        <v>1</v>
      </c>
      <c r="Z103" s="9">
        <f>1/COUNTIFS(Таблица1[Customer Name],Таблица1[[#This Row],[Customer Name]],Таблица1[Order-Year-Month],Таблица1[[#This Row],[Order-Year-Month]])</f>
        <v>0.5</v>
      </c>
    </row>
    <row r="104" spans="1:26" x14ac:dyDescent="0.2">
      <c r="A104" s="6">
        <v>1589</v>
      </c>
      <c r="B104" s="7">
        <v>11456</v>
      </c>
      <c r="C104" s="8">
        <f>DATE(2012,12,31)-994</f>
        <v>40280</v>
      </c>
      <c r="D104" s="8" t="str">
        <f t="shared" si="1"/>
        <v>2010-04 (апрель 2010)</v>
      </c>
      <c r="E104" s="9" t="s">
        <v>21</v>
      </c>
      <c r="F104" s="7">
        <v>15</v>
      </c>
      <c r="G104" s="7">
        <v>1519.9</v>
      </c>
      <c r="H104" s="7">
        <v>0.09</v>
      </c>
      <c r="I104" s="9" t="s">
        <v>22</v>
      </c>
      <c r="J104" s="10">
        <v>399.37</v>
      </c>
      <c r="K104" s="11">
        <v>105.34</v>
      </c>
      <c r="L104" s="11">
        <v>24.49</v>
      </c>
      <c r="M104" s="9" t="s">
        <v>190</v>
      </c>
      <c r="N104" s="6" t="s">
        <v>173</v>
      </c>
      <c r="O104" s="6" t="s">
        <v>173</v>
      </c>
      <c r="P104" s="9" t="s">
        <v>41</v>
      </c>
      <c r="Q104" s="9" t="s">
        <v>49</v>
      </c>
      <c r="R104" s="9" t="s">
        <v>50</v>
      </c>
      <c r="S104" s="7" t="s">
        <v>201</v>
      </c>
      <c r="T104" s="9" t="s">
        <v>29</v>
      </c>
      <c r="U104" s="7">
        <v>0.61</v>
      </c>
      <c r="V104" s="12">
        <f>C104+7</f>
        <v>40287</v>
      </c>
      <c r="W104">
        <f>IF(D104=' Pivot Tables'!$A$4,1,0)</f>
        <v>0</v>
      </c>
      <c r="X104">
        <f>IF(AND(LEFT(D104,4)+1=LEFT(' Pivot Tables'!$A$4,4)+0,RIGHT(LEFT(D104,7),2)=RIGHT(LEFT(' Pivot Tables'!$A$4,7),2)),1,0)</f>
        <v>0</v>
      </c>
      <c r="Y104" s="6">
        <f>1/COUNTIF(Таблица1[Order ID],Таблица1[[#This Row],[Order ID]])</f>
        <v>1</v>
      </c>
      <c r="Z104" s="9">
        <f>1/COUNTIFS(Таблица1[Customer Name],Таблица1[[#This Row],[Customer Name]],Таблица1[Order-Year-Month],Таблица1[[#This Row],[Order-Year-Month]])</f>
        <v>1</v>
      </c>
    </row>
    <row r="105" spans="1:26" x14ac:dyDescent="0.2">
      <c r="A105" s="6">
        <v>1590</v>
      </c>
      <c r="B105" s="7">
        <v>11460</v>
      </c>
      <c r="C105" s="8">
        <f>DATE(2012,12,31)-860</f>
        <v>40414</v>
      </c>
      <c r="D105" s="8" t="str">
        <f t="shared" si="1"/>
        <v>2010-08 (август 2010)</v>
      </c>
      <c r="E105" s="9" t="s">
        <v>30</v>
      </c>
      <c r="F105" s="7">
        <v>30</v>
      </c>
      <c r="G105" s="7">
        <v>102.24</v>
      </c>
      <c r="H105" s="7">
        <v>0.09</v>
      </c>
      <c r="I105" s="9" t="s">
        <v>22</v>
      </c>
      <c r="J105" s="10">
        <v>37.79</v>
      </c>
      <c r="K105" s="11">
        <v>3.69</v>
      </c>
      <c r="L105" s="11">
        <v>0.5</v>
      </c>
      <c r="M105" s="9" t="s">
        <v>53</v>
      </c>
      <c r="N105" s="6" t="s">
        <v>173</v>
      </c>
      <c r="O105" s="6" t="s">
        <v>173</v>
      </c>
      <c r="P105" s="9" t="s">
        <v>60</v>
      </c>
      <c r="Q105" s="9" t="s">
        <v>26</v>
      </c>
      <c r="R105" s="9" t="s">
        <v>88</v>
      </c>
      <c r="S105" s="7" t="s">
        <v>202</v>
      </c>
      <c r="T105" s="9" t="s">
        <v>39</v>
      </c>
      <c r="U105" s="7">
        <v>0.38</v>
      </c>
      <c r="V105" s="12">
        <f>C105+2</f>
        <v>40416</v>
      </c>
      <c r="W105">
        <f>IF(D105=' Pivot Tables'!$A$4,1,0)</f>
        <v>0</v>
      </c>
      <c r="X105">
        <f>IF(AND(LEFT(D105,4)+1=LEFT(' Pivot Tables'!$A$4,4)+0,RIGHT(LEFT(D105,7),2)=RIGHT(LEFT(' Pivot Tables'!$A$4,7),2)),1,0)</f>
        <v>0</v>
      </c>
      <c r="Y105" s="6">
        <f>1/COUNTIF(Таблица1[Order ID],Таблица1[[#This Row],[Order ID]])</f>
        <v>1</v>
      </c>
      <c r="Z105" s="9">
        <f>1/COUNTIFS(Таблица1[Customer Name],Таблица1[[#This Row],[Customer Name]],Таблица1[Order-Year-Month],Таблица1[[#This Row],[Order-Year-Month]])</f>
        <v>1</v>
      </c>
    </row>
    <row r="106" spans="1:26" x14ac:dyDescent="0.2">
      <c r="A106" s="6">
        <v>1594</v>
      </c>
      <c r="B106" s="7">
        <v>11495</v>
      </c>
      <c r="C106" s="8">
        <f>DATE(2012,12,31)-546</f>
        <v>40728</v>
      </c>
      <c r="D106" s="8" t="str">
        <f t="shared" si="1"/>
        <v>2011-07 (июль 2011)</v>
      </c>
      <c r="E106" s="9" t="s">
        <v>30</v>
      </c>
      <c r="F106" s="7">
        <v>6</v>
      </c>
      <c r="G106" s="7">
        <v>965.69</v>
      </c>
      <c r="H106" s="7">
        <v>0</v>
      </c>
      <c r="I106" s="9" t="s">
        <v>31</v>
      </c>
      <c r="J106" s="10">
        <v>-144.19800000000001</v>
      </c>
      <c r="K106" s="11">
        <v>146.34</v>
      </c>
      <c r="L106" s="11">
        <v>43.75</v>
      </c>
      <c r="M106" s="9" t="s">
        <v>203</v>
      </c>
      <c r="N106" s="6" t="s">
        <v>173</v>
      </c>
      <c r="O106" s="6" t="s">
        <v>173</v>
      </c>
      <c r="P106" s="9" t="s">
        <v>41</v>
      </c>
      <c r="Q106" s="9" t="s">
        <v>49</v>
      </c>
      <c r="R106" s="9" t="s">
        <v>83</v>
      </c>
      <c r="S106" s="7" t="s">
        <v>204</v>
      </c>
      <c r="T106" s="9" t="s">
        <v>82</v>
      </c>
      <c r="U106" s="7">
        <v>0.65</v>
      </c>
      <c r="V106" s="12">
        <f>C106+1</f>
        <v>40729</v>
      </c>
      <c r="W106">
        <f>IF(D106=' Pivot Tables'!$A$4,1,0)</f>
        <v>0</v>
      </c>
      <c r="X106">
        <f>IF(AND(LEFT(D106,4)+1=LEFT(' Pivot Tables'!$A$4,4)+0,RIGHT(LEFT(D106,7),2)=RIGHT(LEFT(' Pivot Tables'!$A$4,7),2)),1,0)</f>
        <v>0</v>
      </c>
      <c r="Y106" s="6">
        <f>1/COUNTIF(Таблица1[Order ID],Таблица1[[#This Row],[Order ID]])</f>
        <v>1</v>
      </c>
      <c r="Z106" s="9">
        <f>1/COUNTIFS(Таблица1[Customer Name],Таблица1[[#This Row],[Customer Name]],Таблица1[Order-Year-Month],Таблица1[[#This Row],[Order-Year-Month]])</f>
        <v>1</v>
      </c>
    </row>
    <row r="107" spans="1:26" x14ac:dyDescent="0.2">
      <c r="A107" s="6">
        <v>1654</v>
      </c>
      <c r="B107" s="7">
        <v>11911</v>
      </c>
      <c r="C107" s="8">
        <f>DATE(2012,12,31)-782</f>
        <v>40492</v>
      </c>
      <c r="D107" s="8" t="str">
        <f t="shared" si="1"/>
        <v>2010-11 (ноябрь 2010)</v>
      </c>
      <c r="E107" s="9" t="s">
        <v>78</v>
      </c>
      <c r="F107" s="7">
        <v>25</v>
      </c>
      <c r="G107" s="7">
        <v>397.84</v>
      </c>
      <c r="H107" s="7">
        <v>0</v>
      </c>
      <c r="I107" s="9" t="s">
        <v>22</v>
      </c>
      <c r="J107" s="10">
        <v>-14.7545</v>
      </c>
      <c r="K107" s="11">
        <v>15.22</v>
      </c>
      <c r="L107" s="11">
        <v>9.73</v>
      </c>
      <c r="M107" s="9" t="s">
        <v>118</v>
      </c>
      <c r="N107" s="6" t="s">
        <v>173</v>
      </c>
      <c r="O107" s="6" t="s">
        <v>173</v>
      </c>
      <c r="P107" s="9" t="s">
        <v>33</v>
      </c>
      <c r="Q107" s="9" t="s">
        <v>26</v>
      </c>
      <c r="R107" s="9" t="s">
        <v>37</v>
      </c>
      <c r="S107" s="7" t="s">
        <v>205</v>
      </c>
      <c r="T107" s="9" t="s">
        <v>39</v>
      </c>
      <c r="U107" s="7">
        <v>0.36</v>
      </c>
      <c r="V107" s="12">
        <f>C107+2</f>
        <v>40494</v>
      </c>
      <c r="W107">
        <f>IF(D107=' Pivot Tables'!$A$4,1,0)</f>
        <v>0</v>
      </c>
      <c r="X107">
        <f>IF(AND(LEFT(D107,4)+1=LEFT(' Pivot Tables'!$A$4,4)+0,RIGHT(LEFT(D107,7),2)=RIGHT(LEFT(' Pivot Tables'!$A$4,7),2)),1,0)</f>
        <v>0</v>
      </c>
      <c r="Y107" s="6">
        <f>1/COUNTIF(Таблица1[Order ID],Таблица1[[#This Row],[Order ID]])</f>
        <v>1</v>
      </c>
      <c r="Z107" s="9">
        <f>1/COUNTIFS(Таблица1[Customer Name],Таблица1[[#This Row],[Customer Name]],Таблица1[Order-Year-Month],Таблица1[[#This Row],[Order-Year-Month]])</f>
        <v>1</v>
      </c>
    </row>
    <row r="108" spans="1:26" x14ac:dyDescent="0.2">
      <c r="A108" s="6">
        <v>1655</v>
      </c>
      <c r="B108" s="7">
        <v>11941</v>
      </c>
      <c r="C108" s="8">
        <f>DATE(2012,12,31)-921</f>
        <v>40353</v>
      </c>
      <c r="D108" s="8" t="str">
        <f t="shared" si="1"/>
        <v>2010-06 (июнь 2010)</v>
      </c>
      <c r="E108" s="9" t="s">
        <v>78</v>
      </c>
      <c r="F108" s="7">
        <v>4</v>
      </c>
      <c r="G108" s="7">
        <v>73.069999999999993</v>
      </c>
      <c r="H108" s="7">
        <v>0.08</v>
      </c>
      <c r="I108" s="9" t="s">
        <v>22</v>
      </c>
      <c r="J108" s="10">
        <v>-41.01</v>
      </c>
      <c r="K108" s="11">
        <v>15.7</v>
      </c>
      <c r="L108" s="11">
        <v>11.25</v>
      </c>
      <c r="M108" s="9" t="s">
        <v>194</v>
      </c>
      <c r="N108" s="6" t="s">
        <v>173</v>
      </c>
      <c r="O108" s="6" t="s">
        <v>173</v>
      </c>
      <c r="P108" s="9" t="s">
        <v>41</v>
      </c>
      <c r="Q108" s="9" t="s">
        <v>26</v>
      </c>
      <c r="R108" s="9" t="s">
        <v>27</v>
      </c>
      <c r="S108" s="7" t="s">
        <v>206</v>
      </c>
      <c r="T108" s="9" t="s">
        <v>39</v>
      </c>
      <c r="U108" s="7">
        <v>0.6</v>
      </c>
      <c r="V108" s="12">
        <f>C108+1</f>
        <v>40354</v>
      </c>
      <c r="W108">
        <f>IF(D108=' Pivot Tables'!$A$4,1,0)</f>
        <v>0</v>
      </c>
      <c r="X108">
        <f>IF(AND(LEFT(D108,4)+1=LEFT(' Pivot Tables'!$A$4,4)+0,RIGHT(LEFT(D108,7),2)=RIGHT(LEFT(' Pivot Tables'!$A$4,7),2)),1,0)</f>
        <v>0</v>
      </c>
      <c r="Y108" s="6">
        <f>1/COUNTIF(Таблица1[Order ID],Таблица1[[#This Row],[Order ID]])</f>
        <v>0.5</v>
      </c>
      <c r="Z108" s="9">
        <f>1/COUNTIFS(Таблица1[Customer Name],Таблица1[[#This Row],[Customer Name]],Таблица1[Order-Year-Month],Таблица1[[#This Row],[Order-Year-Month]])</f>
        <v>0.5</v>
      </c>
    </row>
    <row r="109" spans="1:26" x14ac:dyDescent="0.2">
      <c r="A109" s="6">
        <v>1656</v>
      </c>
      <c r="B109" s="7">
        <v>11941</v>
      </c>
      <c r="C109" s="8">
        <f>DATE(2012,12,31)-921</f>
        <v>40353</v>
      </c>
      <c r="D109" s="8" t="str">
        <f t="shared" si="1"/>
        <v>2010-06 (июнь 2010)</v>
      </c>
      <c r="E109" s="9" t="s">
        <v>78</v>
      </c>
      <c r="F109" s="7">
        <v>26</v>
      </c>
      <c r="G109" s="7">
        <v>4679.1000000000004</v>
      </c>
      <c r="H109" s="7">
        <v>0.05</v>
      </c>
      <c r="I109" s="9" t="s">
        <v>31</v>
      </c>
      <c r="J109" s="10">
        <v>111.52</v>
      </c>
      <c r="K109" s="11">
        <v>179.29</v>
      </c>
      <c r="L109" s="11">
        <v>29.21</v>
      </c>
      <c r="M109" s="9" t="s">
        <v>194</v>
      </c>
      <c r="N109" s="6" t="s">
        <v>173</v>
      </c>
      <c r="O109" s="6" t="s">
        <v>173</v>
      </c>
      <c r="P109" s="9" t="s">
        <v>41</v>
      </c>
      <c r="Q109" s="9" t="s">
        <v>49</v>
      </c>
      <c r="R109" s="9" t="s">
        <v>83</v>
      </c>
      <c r="S109" s="7" t="s">
        <v>207</v>
      </c>
      <c r="T109" s="9" t="s">
        <v>82</v>
      </c>
      <c r="U109" s="7">
        <v>0.74</v>
      </c>
      <c r="V109" s="12">
        <f>C109+1</f>
        <v>40354</v>
      </c>
      <c r="W109">
        <f>IF(D109=' Pivot Tables'!$A$4,1,0)</f>
        <v>0</v>
      </c>
      <c r="X109">
        <f>IF(AND(LEFT(D109,4)+1=LEFT(' Pivot Tables'!$A$4,4)+0,RIGHT(LEFT(D109,7),2)=RIGHT(LEFT(' Pivot Tables'!$A$4,7),2)),1,0)</f>
        <v>0</v>
      </c>
      <c r="Y109" s="6">
        <f>1/COUNTIF(Таблица1[Order ID],Таблица1[[#This Row],[Order ID]])</f>
        <v>0.5</v>
      </c>
      <c r="Z109" s="9">
        <f>1/COUNTIFS(Таблица1[Customer Name],Таблица1[[#This Row],[Customer Name]],Таблица1[Order-Year-Month],Таблица1[[#This Row],[Order-Year-Month]])</f>
        <v>0.5</v>
      </c>
    </row>
    <row r="110" spans="1:26" x14ac:dyDescent="0.2">
      <c r="A110" s="6">
        <v>1675</v>
      </c>
      <c r="B110" s="7">
        <v>12096</v>
      </c>
      <c r="C110" s="8">
        <f>DATE(2012,12,31)-103</f>
        <v>41171</v>
      </c>
      <c r="D110" s="8" t="str">
        <f t="shared" si="1"/>
        <v>2012-09 (сентябрь 2012)</v>
      </c>
      <c r="E110" s="9" t="s">
        <v>63</v>
      </c>
      <c r="F110" s="7">
        <v>46</v>
      </c>
      <c r="G110" s="7">
        <v>8009.5924999999988</v>
      </c>
      <c r="H110" s="7">
        <v>0.02</v>
      </c>
      <c r="I110" s="9" t="s">
        <v>22</v>
      </c>
      <c r="J110" s="10">
        <v>2332.395</v>
      </c>
      <c r="K110" s="11">
        <v>200.99</v>
      </c>
      <c r="L110" s="11">
        <v>8.08</v>
      </c>
      <c r="M110" s="9" t="s">
        <v>139</v>
      </c>
      <c r="N110" s="6" t="s">
        <v>173</v>
      </c>
      <c r="O110" s="6" t="s">
        <v>173</v>
      </c>
      <c r="P110" s="9" t="s">
        <v>60</v>
      </c>
      <c r="Q110" s="9" t="s">
        <v>42</v>
      </c>
      <c r="R110" s="9" t="s">
        <v>43</v>
      </c>
      <c r="S110" s="7" t="s">
        <v>208</v>
      </c>
      <c r="T110" s="9" t="s">
        <v>39</v>
      </c>
      <c r="U110" s="7">
        <v>0.59</v>
      </c>
      <c r="V110" s="12">
        <f>C110+0</f>
        <v>41171</v>
      </c>
      <c r="W110">
        <f>IF(D110=' Pivot Tables'!$A$4,1,0)</f>
        <v>0</v>
      </c>
      <c r="X110">
        <f>IF(AND(LEFT(D110,4)+1=LEFT(' Pivot Tables'!$A$4,4)+0,RIGHT(LEFT(D110,7),2)=RIGHT(LEFT(' Pivot Tables'!$A$4,7),2)),1,0)</f>
        <v>0</v>
      </c>
      <c r="Y110" s="6">
        <f>1/COUNTIF(Таблица1[Order ID],Таблица1[[#This Row],[Order ID]])</f>
        <v>0.5</v>
      </c>
      <c r="Z110" s="9">
        <f>1/COUNTIFS(Таблица1[Customer Name],Таблица1[[#This Row],[Customer Name]],Таблица1[Order-Year-Month],Таблица1[[#This Row],[Order-Year-Month]])</f>
        <v>0.5</v>
      </c>
    </row>
    <row r="111" spans="1:26" x14ac:dyDescent="0.2">
      <c r="A111" s="6">
        <v>1676</v>
      </c>
      <c r="B111" s="7">
        <v>12096</v>
      </c>
      <c r="C111" s="8">
        <f>DATE(2012,12,31)-103</f>
        <v>41171</v>
      </c>
      <c r="D111" s="8" t="str">
        <f t="shared" si="1"/>
        <v>2012-09 (сентябрь 2012)</v>
      </c>
      <c r="E111" s="9" t="s">
        <v>63</v>
      </c>
      <c r="F111" s="7">
        <v>23</v>
      </c>
      <c r="G111" s="7">
        <v>4689.66</v>
      </c>
      <c r="H111" s="7">
        <v>0.01</v>
      </c>
      <c r="I111" s="9" t="s">
        <v>22</v>
      </c>
      <c r="J111" s="10">
        <v>2176.19</v>
      </c>
      <c r="K111" s="11">
        <v>194.3</v>
      </c>
      <c r="L111" s="11">
        <v>11.54</v>
      </c>
      <c r="M111" s="9" t="s">
        <v>139</v>
      </c>
      <c r="N111" s="6" t="s">
        <v>173</v>
      </c>
      <c r="O111" s="6" t="s">
        <v>173</v>
      </c>
      <c r="P111" s="9" t="s">
        <v>60</v>
      </c>
      <c r="Q111" s="9" t="s">
        <v>49</v>
      </c>
      <c r="R111" s="9" t="s">
        <v>50</v>
      </c>
      <c r="S111" s="7" t="s">
        <v>209</v>
      </c>
      <c r="T111" s="9" t="s">
        <v>29</v>
      </c>
      <c r="U111" s="7">
        <v>0.59</v>
      </c>
      <c r="V111" s="12">
        <f>C111+2</f>
        <v>41173</v>
      </c>
      <c r="W111">
        <f>IF(D111=' Pivot Tables'!$A$4,1,0)</f>
        <v>0</v>
      </c>
      <c r="X111">
        <f>IF(AND(LEFT(D111,4)+1=LEFT(' Pivot Tables'!$A$4,4)+0,RIGHT(LEFT(D111,7),2)=RIGHT(LEFT(' Pivot Tables'!$A$4,7),2)),1,0)</f>
        <v>0</v>
      </c>
      <c r="Y111" s="6">
        <f>1/COUNTIF(Таблица1[Order ID],Таблица1[[#This Row],[Order ID]])</f>
        <v>0.5</v>
      </c>
      <c r="Z111" s="9">
        <f>1/COUNTIFS(Таблица1[Customer Name],Таблица1[[#This Row],[Customer Name]],Таблица1[Order-Year-Month],Таблица1[[#This Row],[Order-Year-Month]])</f>
        <v>0.5</v>
      </c>
    </row>
    <row r="112" spans="1:26" x14ac:dyDescent="0.2">
      <c r="A112" s="6">
        <v>1710</v>
      </c>
      <c r="B112" s="7">
        <v>12289</v>
      </c>
      <c r="C112" s="8">
        <f>DATE(2012,12,31)-373</f>
        <v>40901</v>
      </c>
      <c r="D112" s="8" t="str">
        <f t="shared" si="1"/>
        <v>2011-12 (декабрь 2011)</v>
      </c>
      <c r="E112" s="9" t="s">
        <v>21</v>
      </c>
      <c r="F112" s="7">
        <v>25</v>
      </c>
      <c r="G112" s="7">
        <v>3019.41</v>
      </c>
      <c r="H112" s="7">
        <v>0.04</v>
      </c>
      <c r="I112" s="9" t="s">
        <v>22</v>
      </c>
      <c r="J112" s="10">
        <v>1269.05</v>
      </c>
      <c r="K112" s="11">
        <v>120.97</v>
      </c>
      <c r="L112" s="11">
        <v>7.11</v>
      </c>
      <c r="M112" s="9" t="s">
        <v>203</v>
      </c>
      <c r="N112" s="6" t="s">
        <v>173</v>
      </c>
      <c r="O112" s="6" t="s">
        <v>173</v>
      </c>
      <c r="P112" s="9" t="s">
        <v>41</v>
      </c>
      <c r="Q112" s="9" t="s">
        <v>42</v>
      </c>
      <c r="R112" s="9" t="s">
        <v>210</v>
      </c>
      <c r="S112" s="7" t="s">
        <v>211</v>
      </c>
      <c r="T112" s="9" t="s">
        <v>48</v>
      </c>
      <c r="U112" s="7">
        <v>0.36</v>
      </c>
      <c r="V112" s="12">
        <f>C112+4</f>
        <v>40905</v>
      </c>
      <c r="W112">
        <f>IF(D112=' Pivot Tables'!$A$4,1,0)</f>
        <v>0</v>
      </c>
      <c r="X112">
        <f>IF(AND(LEFT(D112,4)+1=LEFT(' Pivot Tables'!$A$4,4)+0,RIGHT(LEFT(D112,7),2)=RIGHT(LEFT(' Pivot Tables'!$A$4,7),2)),1,0)</f>
        <v>0</v>
      </c>
      <c r="Y112" s="6">
        <f>1/COUNTIF(Таблица1[Order ID],Таблица1[[#This Row],[Order ID]])</f>
        <v>1</v>
      </c>
      <c r="Z112" s="9">
        <f>1/COUNTIFS(Таблица1[Customer Name],Таблица1[[#This Row],[Customer Name]],Таблица1[Order-Year-Month],Таблица1[[#This Row],[Order-Year-Month]])</f>
        <v>1</v>
      </c>
    </row>
    <row r="113" spans="1:26" x14ac:dyDescent="0.2">
      <c r="A113" s="6">
        <v>1718</v>
      </c>
      <c r="B113" s="7">
        <v>12352</v>
      </c>
      <c r="C113" s="8">
        <f>DATE(2012,12,31)-283</f>
        <v>40991</v>
      </c>
      <c r="D113" s="8" t="str">
        <f t="shared" si="1"/>
        <v>2012-03 (март 2012)</v>
      </c>
      <c r="E113" s="9" t="s">
        <v>63</v>
      </c>
      <c r="F113" s="7">
        <v>5</v>
      </c>
      <c r="G113" s="7">
        <v>36.86</v>
      </c>
      <c r="H113" s="7">
        <v>7.0000000000000007E-2</v>
      </c>
      <c r="I113" s="9" t="s">
        <v>22</v>
      </c>
      <c r="J113" s="10">
        <v>-32.820999999999998</v>
      </c>
      <c r="K113" s="11">
        <v>5.81</v>
      </c>
      <c r="L113" s="11">
        <v>8.49</v>
      </c>
      <c r="M113" s="9" t="s">
        <v>212</v>
      </c>
      <c r="N113" s="6" t="s">
        <v>173</v>
      </c>
      <c r="O113" s="6" t="s">
        <v>173</v>
      </c>
      <c r="P113" s="9" t="s">
        <v>41</v>
      </c>
      <c r="Q113" s="9" t="s">
        <v>26</v>
      </c>
      <c r="R113" s="9" t="s">
        <v>37</v>
      </c>
      <c r="S113" s="7" t="s">
        <v>213</v>
      </c>
      <c r="T113" s="9" t="s">
        <v>39</v>
      </c>
      <c r="U113" s="7">
        <v>0.39</v>
      </c>
      <c r="V113" s="12">
        <f>C113+1</f>
        <v>40992</v>
      </c>
      <c r="W113">
        <f>IF(D113=' Pivot Tables'!$A$4,1,0)</f>
        <v>0</v>
      </c>
      <c r="X113">
        <f>IF(AND(LEFT(D113,4)+1=LEFT(' Pivot Tables'!$A$4,4)+0,RIGHT(LEFT(D113,7),2)=RIGHT(LEFT(' Pivot Tables'!$A$4,7),2)),1,0)</f>
        <v>0</v>
      </c>
      <c r="Y113" s="6">
        <f>1/COUNTIF(Таблица1[Order ID],Таблица1[[#This Row],[Order ID]])</f>
        <v>1</v>
      </c>
      <c r="Z113" s="9">
        <f>1/COUNTIFS(Таблица1[Customer Name],Таблица1[[#This Row],[Customer Name]],Таблица1[Order-Year-Month],Таблица1[[#This Row],[Order-Year-Month]])</f>
        <v>1</v>
      </c>
    </row>
    <row r="114" spans="1:26" x14ac:dyDescent="0.2">
      <c r="A114" s="6">
        <v>1727</v>
      </c>
      <c r="B114" s="7">
        <v>12419</v>
      </c>
      <c r="C114" s="8">
        <f>DATE(2012,12,31)-443</f>
        <v>40831</v>
      </c>
      <c r="D114" s="8" t="str">
        <f t="shared" si="1"/>
        <v>2011-10 (октябрь 2011)</v>
      </c>
      <c r="E114" s="9" t="s">
        <v>78</v>
      </c>
      <c r="F114" s="7">
        <v>12</v>
      </c>
      <c r="G114" s="7">
        <v>22079.47</v>
      </c>
      <c r="H114" s="7">
        <v>0.06</v>
      </c>
      <c r="I114" s="9" t="s">
        <v>22</v>
      </c>
      <c r="J114" s="10">
        <v>5322.14</v>
      </c>
      <c r="K114" s="11">
        <v>1938.02</v>
      </c>
      <c r="L114" s="11">
        <v>13.99</v>
      </c>
      <c r="M114" s="9" t="s">
        <v>79</v>
      </c>
      <c r="N114" s="6" t="s">
        <v>173</v>
      </c>
      <c r="O114" s="6" t="s">
        <v>173</v>
      </c>
      <c r="P114" s="9" t="s">
        <v>41</v>
      </c>
      <c r="Q114" s="9" t="s">
        <v>42</v>
      </c>
      <c r="R114" s="9" t="s">
        <v>210</v>
      </c>
      <c r="S114" s="7" t="s">
        <v>214</v>
      </c>
      <c r="T114" s="9" t="s">
        <v>48</v>
      </c>
      <c r="U114" s="7">
        <v>0.38</v>
      </c>
      <c r="V114" s="12">
        <f>C114+2</f>
        <v>40833</v>
      </c>
      <c r="W114">
        <f>IF(D114=' Pivot Tables'!$A$4,1,0)</f>
        <v>0</v>
      </c>
      <c r="X114">
        <f>IF(AND(LEFT(D114,4)+1=LEFT(' Pivot Tables'!$A$4,4)+0,RIGHT(LEFT(D114,7),2)=RIGHT(LEFT(' Pivot Tables'!$A$4,7),2)),1,0)</f>
        <v>0</v>
      </c>
      <c r="Y114" s="6">
        <f>1/COUNTIF(Таблица1[Order ID],Таблица1[[#This Row],[Order ID]])</f>
        <v>1</v>
      </c>
      <c r="Z114" s="9">
        <f>1/COUNTIFS(Таблица1[Customer Name],Таблица1[[#This Row],[Customer Name]],Таблица1[Order-Year-Month],Таблица1[[#This Row],[Order-Year-Month]])</f>
        <v>1</v>
      </c>
    </row>
    <row r="115" spans="1:26" x14ac:dyDescent="0.2">
      <c r="A115" s="6">
        <v>1745</v>
      </c>
      <c r="B115" s="7">
        <v>12485</v>
      </c>
      <c r="C115" s="8">
        <f>DATE(2012,12,31)-877</f>
        <v>40397</v>
      </c>
      <c r="D115" s="8" t="str">
        <f t="shared" si="1"/>
        <v>2010-08 (август 2010)</v>
      </c>
      <c r="E115" s="9" t="s">
        <v>78</v>
      </c>
      <c r="F115" s="7">
        <v>24</v>
      </c>
      <c r="G115" s="7">
        <v>5407.31</v>
      </c>
      <c r="H115" s="7">
        <v>0.04</v>
      </c>
      <c r="I115" s="9" t="s">
        <v>31</v>
      </c>
      <c r="J115" s="10">
        <v>1068.48</v>
      </c>
      <c r="K115" s="11">
        <v>226.67</v>
      </c>
      <c r="L115" s="11">
        <v>28.16</v>
      </c>
      <c r="M115" s="9" t="s">
        <v>114</v>
      </c>
      <c r="N115" s="6" t="s">
        <v>173</v>
      </c>
      <c r="O115" s="6" t="s">
        <v>173</v>
      </c>
      <c r="P115" s="9" t="s">
        <v>60</v>
      </c>
      <c r="Q115" s="9" t="s">
        <v>49</v>
      </c>
      <c r="R115" s="9" t="s">
        <v>112</v>
      </c>
      <c r="S115" s="7" t="s">
        <v>215</v>
      </c>
      <c r="T115" s="9" t="s">
        <v>36</v>
      </c>
      <c r="U115" s="7">
        <v>0.59</v>
      </c>
      <c r="V115" s="12">
        <f>C115+1</f>
        <v>40398</v>
      </c>
      <c r="W115">
        <f>IF(D115=' Pivot Tables'!$A$4,1,0)</f>
        <v>0</v>
      </c>
      <c r="X115">
        <f>IF(AND(LEFT(D115,4)+1=LEFT(' Pivot Tables'!$A$4,4)+0,RIGHT(LEFT(D115,7),2)=RIGHT(LEFT(' Pivot Tables'!$A$4,7),2)),1,0)</f>
        <v>0</v>
      </c>
      <c r="Y115" s="6">
        <f>1/COUNTIF(Таблица1[Order ID],Таблица1[[#This Row],[Order ID]])</f>
        <v>1</v>
      </c>
      <c r="Z115" s="9">
        <f>1/COUNTIFS(Таблица1[Customer Name],Таблица1[[#This Row],[Customer Name]],Таблица1[Order-Year-Month],Таблица1[[#This Row],[Order-Year-Month]])</f>
        <v>1</v>
      </c>
    </row>
    <row r="116" spans="1:26" x14ac:dyDescent="0.2">
      <c r="A116" s="6">
        <v>1751</v>
      </c>
      <c r="B116" s="7">
        <v>12544</v>
      </c>
      <c r="C116" s="8">
        <f>DATE(2012,12,31)-1399</f>
        <v>39875</v>
      </c>
      <c r="D116" s="8" t="str">
        <f t="shared" si="1"/>
        <v>2009-03 (март 2009)</v>
      </c>
      <c r="E116" s="9" t="s">
        <v>21</v>
      </c>
      <c r="F116" s="7">
        <v>34</v>
      </c>
      <c r="G116" s="7">
        <v>74.3</v>
      </c>
      <c r="H116" s="7">
        <v>0.08</v>
      </c>
      <c r="I116" s="9" t="s">
        <v>22</v>
      </c>
      <c r="J116" s="10">
        <v>-129.01</v>
      </c>
      <c r="K116" s="11">
        <v>2.08</v>
      </c>
      <c r="L116" s="11">
        <v>5.33</v>
      </c>
      <c r="M116" s="9" t="s">
        <v>85</v>
      </c>
      <c r="N116" s="6" t="s">
        <v>173</v>
      </c>
      <c r="O116" s="6" t="s">
        <v>173</v>
      </c>
      <c r="P116" s="9" t="s">
        <v>41</v>
      </c>
      <c r="Q116" s="9" t="s">
        <v>49</v>
      </c>
      <c r="R116" s="9" t="s">
        <v>50</v>
      </c>
      <c r="S116" s="7" t="s">
        <v>216</v>
      </c>
      <c r="T116" s="9" t="s">
        <v>39</v>
      </c>
      <c r="U116" s="7">
        <v>0.43</v>
      </c>
      <c r="V116" s="12">
        <f>C116+7</f>
        <v>39882</v>
      </c>
      <c r="W116">
        <f>IF(D116=' Pivot Tables'!$A$4,1,0)</f>
        <v>0</v>
      </c>
      <c r="X116">
        <f>IF(AND(LEFT(D116,4)+1=LEFT(' Pivot Tables'!$A$4,4)+0,RIGHT(LEFT(D116,7),2)=RIGHT(LEFT(' Pivot Tables'!$A$4,7),2)),1,0)</f>
        <v>0</v>
      </c>
      <c r="Y116" s="6">
        <f>1/COUNTIF(Таблица1[Order ID],Таблица1[[#This Row],[Order ID]])</f>
        <v>1</v>
      </c>
      <c r="Z116" s="9">
        <f>1/COUNTIFS(Таблица1[Customer Name],Таблица1[[#This Row],[Customer Name]],Таблица1[Order-Year-Month],Таблица1[[#This Row],[Order-Year-Month]])</f>
        <v>1</v>
      </c>
    </row>
    <row r="117" spans="1:26" x14ac:dyDescent="0.2">
      <c r="A117" s="6">
        <v>1770</v>
      </c>
      <c r="B117" s="7">
        <v>12704</v>
      </c>
      <c r="C117" s="8">
        <f>DATE(2012,12,31)-1056</f>
        <v>40218</v>
      </c>
      <c r="D117" s="8" t="str">
        <f t="shared" si="1"/>
        <v>2010-02 (февраль 2010)</v>
      </c>
      <c r="E117" s="9" t="s">
        <v>21</v>
      </c>
      <c r="F117" s="7">
        <v>44</v>
      </c>
      <c r="G117" s="7">
        <v>21506.77</v>
      </c>
      <c r="H117" s="7">
        <v>0.06</v>
      </c>
      <c r="I117" s="9" t="s">
        <v>22</v>
      </c>
      <c r="J117" s="10">
        <v>1260.51</v>
      </c>
      <c r="K117" s="11">
        <v>499.99</v>
      </c>
      <c r="L117" s="11">
        <v>24.49</v>
      </c>
      <c r="M117" s="9" t="s">
        <v>46</v>
      </c>
      <c r="N117" s="6" t="s">
        <v>173</v>
      </c>
      <c r="O117" s="6" t="s">
        <v>173</v>
      </c>
      <c r="P117" s="9" t="s">
        <v>25</v>
      </c>
      <c r="Q117" s="9" t="s">
        <v>42</v>
      </c>
      <c r="R117" s="9" t="s">
        <v>99</v>
      </c>
      <c r="S117" s="7" t="s">
        <v>217</v>
      </c>
      <c r="T117" s="9" t="s">
        <v>29</v>
      </c>
      <c r="U117" s="7">
        <v>0.36</v>
      </c>
      <c r="V117" s="12">
        <f>C117+0</f>
        <v>40218</v>
      </c>
      <c r="W117">
        <f>IF(D117=' Pivot Tables'!$A$4,1,0)</f>
        <v>0</v>
      </c>
      <c r="X117">
        <f>IF(AND(LEFT(D117,4)+1=LEFT(' Pivot Tables'!$A$4,4)+0,RIGHT(LEFT(D117,7),2)=RIGHT(LEFT(' Pivot Tables'!$A$4,7),2)),1,0)</f>
        <v>0</v>
      </c>
      <c r="Y117" s="6">
        <f>1/COUNTIF(Таблица1[Order ID],Таблица1[[#This Row],[Order ID]])</f>
        <v>0.5</v>
      </c>
      <c r="Z117" s="9">
        <f>1/COUNTIFS(Таблица1[Customer Name],Таблица1[[#This Row],[Customer Name]],Таблица1[Order-Year-Month],Таблица1[[#This Row],[Order-Year-Month]])</f>
        <v>0.5</v>
      </c>
    </row>
    <row r="118" spans="1:26" x14ac:dyDescent="0.2">
      <c r="A118" s="6">
        <v>1771</v>
      </c>
      <c r="B118" s="7">
        <v>12704</v>
      </c>
      <c r="C118" s="8">
        <f>DATE(2012,12,31)-1056</f>
        <v>40218</v>
      </c>
      <c r="D118" s="8" t="str">
        <f t="shared" si="1"/>
        <v>2010-02 (февраль 2010)</v>
      </c>
      <c r="E118" s="9" t="s">
        <v>21</v>
      </c>
      <c r="F118" s="7">
        <v>28</v>
      </c>
      <c r="G118" s="7">
        <v>669.02</v>
      </c>
      <c r="H118" s="7">
        <v>0.02</v>
      </c>
      <c r="I118" s="9" t="s">
        <v>31</v>
      </c>
      <c r="J118" s="10">
        <v>-1274.02</v>
      </c>
      <c r="K118" s="11">
        <v>20.98</v>
      </c>
      <c r="L118" s="11">
        <v>53.03</v>
      </c>
      <c r="M118" s="9" t="s">
        <v>46</v>
      </c>
      <c r="N118" s="6" t="s">
        <v>173</v>
      </c>
      <c r="O118" s="6" t="s">
        <v>173</v>
      </c>
      <c r="P118" s="9" t="s">
        <v>25</v>
      </c>
      <c r="Q118" s="9" t="s">
        <v>26</v>
      </c>
      <c r="R118" s="9" t="s">
        <v>27</v>
      </c>
      <c r="S118" s="7" t="s">
        <v>218</v>
      </c>
      <c r="T118" s="9" t="s">
        <v>36</v>
      </c>
      <c r="U118" s="7">
        <v>0.78</v>
      </c>
      <c r="V118" s="12">
        <f>C118+2</f>
        <v>40220</v>
      </c>
      <c r="W118">
        <f>IF(D118=' Pivot Tables'!$A$4,1,0)</f>
        <v>0</v>
      </c>
      <c r="X118">
        <f>IF(AND(LEFT(D118,4)+1=LEFT(' Pivot Tables'!$A$4,4)+0,RIGHT(LEFT(D118,7),2)=RIGHT(LEFT(' Pivot Tables'!$A$4,7),2)),1,0)</f>
        <v>0</v>
      </c>
      <c r="Y118" s="6">
        <f>1/COUNTIF(Таблица1[Order ID],Таблица1[[#This Row],[Order ID]])</f>
        <v>0.5</v>
      </c>
      <c r="Z118" s="9">
        <f>1/COUNTIFS(Таблица1[Customer Name],Таблица1[[#This Row],[Customer Name]],Таблица1[Order-Year-Month],Таблица1[[#This Row],[Order-Year-Month]])</f>
        <v>0.5</v>
      </c>
    </row>
    <row r="119" spans="1:26" x14ac:dyDescent="0.2">
      <c r="A119" s="6">
        <v>1781</v>
      </c>
      <c r="B119" s="7">
        <v>12771</v>
      </c>
      <c r="C119" s="8">
        <f>DATE(2012,12,31)-1444</f>
        <v>39830</v>
      </c>
      <c r="D119" s="8" t="str">
        <f t="shared" si="1"/>
        <v>2009-01 (январь 2009)</v>
      </c>
      <c r="E119" s="9" t="s">
        <v>78</v>
      </c>
      <c r="F119" s="7">
        <v>40</v>
      </c>
      <c r="G119" s="7">
        <v>1143.49</v>
      </c>
      <c r="H119" s="7">
        <v>0.08</v>
      </c>
      <c r="I119" s="9" t="s">
        <v>22</v>
      </c>
      <c r="J119" s="10">
        <v>-193.44</v>
      </c>
      <c r="K119" s="11">
        <v>30.53</v>
      </c>
      <c r="L119" s="11">
        <v>19.989999999999998</v>
      </c>
      <c r="M119" s="9" t="s">
        <v>46</v>
      </c>
      <c r="N119" s="6" t="s">
        <v>173</v>
      </c>
      <c r="O119" s="6" t="s">
        <v>173</v>
      </c>
      <c r="P119" s="9" t="s">
        <v>25</v>
      </c>
      <c r="Q119" s="9" t="s">
        <v>26</v>
      </c>
      <c r="R119" s="9" t="s">
        <v>88</v>
      </c>
      <c r="S119" s="7" t="s">
        <v>219</v>
      </c>
      <c r="T119" s="9" t="s">
        <v>39</v>
      </c>
      <c r="U119" s="7">
        <v>0.39</v>
      </c>
      <c r="V119" s="12">
        <f>C119+0</f>
        <v>39830</v>
      </c>
      <c r="W119">
        <f>IF(D119=' Pivot Tables'!$A$4,1,0)</f>
        <v>0</v>
      </c>
      <c r="X119">
        <f>IF(AND(LEFT(D119,4)+1=LEFT(' Pivot Tables'!$A$4,4)+0,RIGHT(LEFT(D119,7),2)=RIGHT(LEFT(' Pivot Tables'!$A$4,7),2)),1,0)</f>
        <v>1</v>
      </c>
      <c r="Y119" s="6">
        <f>1/COUNTIF(Таблица1[Order ID],Таблица1[[#This Row],[Order ID]])</f>
        <v>0.5</v>
      </c>
      <c r="Z119" s="9">
        <f>1/COUNTIFS(Таблица1[Customer Name],Таблица1[[#This Row],[Customer Name]],Таблица1[Order-Year-Month],Таблица1[[#This Row],[Order-Year-Month]])</f>
        <v>0.5</v>
      </c>
    </row>
    <row r="120" spans="1:26" x14ac:dyDescent="0.2">
      <c r="A120" s="6">
        <v>1782</v>
      </c>
      <c r="B120" s="7">
        <v>12771</v>
      </c>
      <c r="C120" s="8">
        <f>DATE(2012,12,31)-1444</f>
        <v>39830</v>
      </c>
      <c r="D120" s="8" t="str">
        <f t="shared" si="1"/>
        <v>2009-01 (январь 2009)</v>
      </c>
      <c r="E120" s="9" t="s">
        <v>78</v>
      </c>
      <c r="F120" s="7">
        <v>46</v>
      </c>
      <c r="G120" s="7">
        <v>78.08</v>
      </c>
      <c r="H120" s="7">
        <v>0.01</v>
      </c>
      <c r="I120" s="9" t="s">
        <v>22</v>
      </c>
      <c r="J120" s="10">
        <v>-43.1</v>
      </c>
      <c r="K120" s="11">
        <v>1.68</v>
      </c>
      <c r="L120" s="11">
        <v>1.57</v>
      </c>
      <c r="M120" s="9" t="s">
        <v>46</v>
      </c>
      <c r="N120" s="6" t="s">
        <v>173</v>
      </c>
      <c r="O120" s="6" t="s">
        <v>173</v>
      </c>
      <c r="P120" s="9" t="s">
        <v>25</v>
      </c>
      <c r="Q120" s="9" t="s">
        <v>26</v>
      </c>
      <c r="R120" s="9" t="s">
        <v>95</v>
      </c>
      <c r="S120" s="7" t="s">
        <v>220</v>
      </c>
      <c r="T120" s="9" t="s">
        <v>68</v>
      </c>
      <c r="U120" s="7">
        <v>0.59</v>
      </c>
      <c r="V120" s="12">
        <f>C120+2</f>
        <v>39832</v>
      </c>
      <c r="W120">
        <f>IF(D120=' Pivot Tables'!$A$4,1,0)</f>
        <v>0</v>
      </c>
      <c r="X120">
        <f>IF(AND(LEFT(D120,4)+1=LEFT(' Pivot Tables'!$A$4,4)+0,RIGHT(LEFT(D120,7),2)=RIGHT(LEFT(' Pivot Tables'!$A$4,7),2)),1,0)</f>
        <v>1</v>
      </c>
      <c r="Y120" s="6">
        <f>1/COUNTIF(Таблица1[Order ID],Таблица1[[#This Row],[Order ID]])</f>
        <v>0.5</v>
      </c>
      <c r="Z120" s="9">
        <f>1/COUNTIFS(Таблица1[Customer Name],Таблица1[[#This Row],[Customer Name]],Таблица1[Order-Year-Month],Таблица1[[#This Row],[Order-Year-Month]])</f>
        <v>0.5</v>
      </c>
    </row>
    <row r="121" spans="1:26" x14ac:dyDescent="0.2">
      <c r="A121" s="6">
        <v>1806</v>
      </c>
      <c r="B121" s="7">
        <v>12929</v>
      </c>
      <c r="C121" s="8">
        <f>DATE(2012,12,31)-854</f>
        <v>40420</v>
      </c>
      <c r="D121" s="8" t="str">
        <f t="shared" si="1"/>
        <v>2010-08 (август 2010)</v>
      </c>
      <c r="E121" s="9" t="s">
        <v>78</v>
      </c>
      <c r="F121" s="7">
        <v>19</v>
      </c>
      <c r="G121" s="7">
        <v>5297.47</v>
      </c>
      <c r="H121" s="7">
        <v>0.02</v>
      </c>
      <c r="I121" s="9" t="s">
        <v>31</v>
      </c>
      <c r="J121" s="10">
        <v>-158.93</v>
      </c>
      <c r="K121" s="11">
        <v>270.98</v>
      </c>
      <c r="L121" s="11">
        <v>50</v>
      </c>
      <c r="M121" s="9" t="s">
        <v>85</v>
      </c>
      <c r="N121" s="6" t="s">
        <v>173</v>
      </c>
      <c r="O121" s="6" t="s">
        <v>173</v>
      </c>
      <c r="P121" s="9" t="s">
        <v>41</v>
      </c>
      <c r="Q121" s="9" t="s">
        <v>49</v>
      </c>
      <c r="R121" s="9" t="s">
        <v>112</v>
      </c>
      <c r="S121" s="7" t="s">
        <v>221</v>
      </c>
      <c r="T121" s="9" t="s">
        <v>36</v>
      </c>
      <c r="U121" s="7">
        <v>0.77</v>
      </c>
      <c r="V121" s="12">
        <f>C121+1</f>
        <v>40421</v>
      </c>
      <c r="W121">
        <f>IF(D121=' Pivot Tables'!$A$4,1,0)</f>
        <v>0</v>
      </c>
      <c r="X121">
        <f>IF(AND(LEFT(D121,4)+1=LEFT(' Pivot Tables'!$A$4,4)+0,RIGHT(LEFT(D121,7),2)=RIGHT(LEFT(' Pivot Tables'!$A$4,7),2)),1,0)</f>
        <v>0</v>
      </c>
      <c r="Y121" s="6">
        <f>1/COUNTIF(Таблица1[Order ID],Таблица1[[#This Row],[Order ID]])</f>
        <v>0.5</v>
      </c>
      <c r="Z121" s="9">
        <f>1/COUNTIFS(Таблица1[Customer Name],Таблица1[[#This Row],[Customer Name]],Таблица1[Order-Year-Month],Таблица1[[#This Row],[Order-Year-Month]])</f>
        <v>0.5</v>
      </c>
    </row>
    <row r="122" spans="1:26" x14ac:dyDescent="0.2">
      <c r="A122" s="6">
        <v>1807</v>
      </c>
      <c r="B122" s="7">
        <v>12929</v>
      </c>
      <c r="C122" s="8">
        <f>DATE(2012,12,31)-854</f>
        <v>40420</v>
      </c>
      <c r="D122" s="8" t="str">
        <f t="shared" si="1"/>
        <v>2010-08 (август 2010)</v>
      </c>
      <c r="E122" s="9" t="s">
        <v>78</v>
      </c>
      <c r="F122" s="7">
        <v>20</v>
      </c>
      <c r="G122" s="7">
        <v>95.3</v>
      </c>
      <c r="H122" s="7">
        <v>0</v>
      </c>
      <c r="I122" s="9" t="s">
        <v>22</v>
      </c>
      <c r="J122" s="10">
        <v>29.68</v>
      </c>
      <c r="K122" s="11">
        <v>4.4800000000000004</v>
      </c>
      <c r="L122" s="11">
        <v>1.22</v>
      </c>
      <c r="M122" s="9" t="s">
        <v>85</v>
      </c>
      <c r="N122" s="6" t="s">
        <v>173</v>
      </c>
      <c r="O122" s="6" t="s">
        <v>173</v>
      </c>
      <c r="P122" s="9" t="s">
        <v>41</v>
      </c>
      <c r="Q122" s="9" t="s">
        <v>26</v>
      </c>
      <c r="R122" s="9" t="s">
        <v>61</v>
      </c>
      <c r="S122" s="7" t="s">
        <v>222</v>
      </c>
      <c r="T122" s="9" t="s">
        <v>68</v>
      </c>
      <c r="U122" s="7">
        <v>0.36</v>
      </c>
      <c r="V122" s="12">
        <f>C122+1</f>
        <v>40421</v>
      </c>
      <c r="W122">
        <f>IF(D122=' Pivot Tables'!$A$4,1,0)</f>
        <v>0</v>
      </c>
      <c r="X122">
        <f>IF(AND(LEFT(D122,4)+1=LEFT(' Pivot Tables'!$A$4,4)+0,RIGHT(LEFT(D122,7),2)=RIGHT(LEFT(' Pivot Tables'!$A$4,7),2)),1,0)</f>
        <v>0</v>
      </c>
      <c r="Y122" s="6">
        <f>1/COUNTIF(Таблица1[Order ID],Таблица1[[#This Row],[Order ID]])</f>
        <v>0.5</v>
      </c>
      <c r="Z122" s="9">
        <f>1/COUNTIFS(Таблица1[Customer Name],Таблица1[[#This Row],[Customer Name]],Таблица1[Order-Year-Month],Таблица1[[#This Row],[Order-Year-Month]])</f>
        <v>0.5</v>
      </c>
    </row>
    <row r="123" spans="1:26" x14ac:dyDescent="0.2">
      <c r="A123" s="6">
        <v>1842</v>
      </c>
      <c r="B123" s="7">
        <v>13280</v>
      </c>
      <c r="C123" s="8">
        <f>DATE(2012,12,31)-1207</f>
        <v>40067</v>
      </c>
      <c r="D123" s="8" t="str">
        <f t="shared" si="1"/>
        <v>2009-09 (сентябрь 2009)</v>
      </c>
      <c r="E123" s="9" t="s">
        <v>30</v>
      </c>
      <c r="F123" s="7">
        <v>40</v>
      </c>
      <c r="G123" s="7">
        <v>460.68</v>
      </c>
      <c r="H123" s="7">
        <v>0.01</v>
      </c>
      <c r="I123" s="9" t="s">
        <v>22</v>
      </c>
      <c r="J123" s="10">
        <v>-116.76</v>
      </c>
      <c r="K123" s="11">
        <v>10.9</v>
      </c>
      <c r="L123" s="11">
        <v>7.46</v>
      </c>
      <c r="M123" s="9" t="s">
        <v>102</v>
      </c>
      <c r="N123" s="6" t="s">
        <v>173</v>
      </c>
      <c r="O123" s="6" t="s">
        <v>173</v>
      </c>
      <c r="P123" s="9" t="s">
        <v>25</v>
      </c>
      <c r="Q123" s="9" t="s">
        <v>26</v>
      </c>
      <c r="R123" s="9" t="s">
        <v>27</v>
      </c>
      <c r="S123" s="7" t="s">
        <v>159</v>
      </c>
      <c r="T123" s="9" t="s">
        <v>39</v>
      </c>
      <c r="U123" s="7">
        <v>0.59</v>
      </c>
      <c r="V123" s="12">
        <f>C123+1</f>
        <v>40068</v>
      </c>
      <c r="W123">
        <f>IF(D123=' Pivot Tables'!$A$4,1,0)</f>
        <v>0</v>
      </c>
      <c r="X123">
        <f>IF(AND(LEFT(D123,4)+1=LEFT(' Pivot Tables'!$A$4,4)+0,RIGHT(LEFT(D123,7),2)=RIGHT(LEFT(' Pivot Tables'!$A$4,7),2)),1,0)</f>
        <v>0</v>
      </c>
      <c r="Y123" s="6">
        <f>1/COUNTIF(Таблица1[Order ID],Таблица1[[#This Row],[Order ID]])</f>
        <v>0.5</v>
      </c>
      <c r="Z123" s="9">
        <f>1/COUNTIFS(Таблица1[Customer Name],Таблица1[[#This Row],[Customer Name]],Таблица1[Order-Year-Month],Таблица1[[#This Row],[Order-Year-Month]])</f>
        <v>0.5</v>
      </c>
    </row>
    <row r="124" spans="1:26" x14ac:dyDescent="0.2">
      <c r="A124" s="6">
        <v>1843</v>
      </c>
      <c r="B124" s="7">
        <v>13280</v>
      </c>
      <c r="C124" s="8">
        <f>DATE(2012,12,31)-1207</f>
        <v>40067</v>
      </c>
      <c r="D124" s="8" t="str">
        <f t="shared" si="1"/>
        <v>2009-09 (сентябрь 2009)</v>
      </c>
      <c r="E124" s="9" t="s">
        <v>30</v>
      </c>
      <c r="F124" s="7">
        <v>49</v>
      </c>
      <c r="G124" s="7">
        <v>318.75849999999997</v>
      </c>
      <c r="H124" s="7">
        <v>0.1</v>
      </c>
      <c r="I124" s="9" t="s">
        <v>22</v>
      </c>
      <c r="J124" s="10">
        <v>-160.952</v>
      </c>
      <c r="K124" s="11">
        <v>7.99</v>
      </c>
      <c r="L124" s="11">
        <v>5.03</v>
      </c>
      <c r="M124" s="9" t="s">
        <v>102</v>
      </c>
      <c r="N124" s="6" t="s">
        <v>173</v>
      </c>
      <c r="O124" s="6" t="s">
        <v>173</v>
      </c>
      <c r="P124" s="9" t="s">
        <v>25</v>
      </c>
      <c r="Q124" s="9" t="s">
        <v>42</v>
      </c>
      <c r="R124" s="9" t="s">
        <v>43</v>
      </c>
      <c r="S124" s="7" t="s">
        <v>140</v>
      </c>
      <c r="T124" s="9" t="s">
        <v>48</v>
      </c>
      <c r="U124" s="7">
        <v>0.6</v>
      </c>
      <c r="V124" s="12">
        <f>C124+1</f>
        <v>40068</v>
      </c>
      <c r="W124">
        <f>IF(D124=' Pivot Tables'!$A$4,1,0)</f>
        <v>0</v>
      </c>
      <c r="X124">
        <f>IF(AND(LEFT(D124,4)+1=LEFT(' Pivot Tables'!$A$4,4)+0,RIGHT(LEFT(D124,7),2)=RIGHT(LEFT(' Pivot Tables'!$A$4,7),2)),1,0)</f>
        <v>0</v>
      </c>
      <c r="Y124" s="6">
        <f>1/COUNTIF(Таблица1[Order ID],Таблица1[[#This Row],[Order ID]])</f>
        <v>0.5</v>
      </c>
      <c r="Z124" s="9">
        <f>1/COUNTIFS(Таблица1[Customer Name],Таблица1[[#This Row],[Customer Name]],Таблица1[Order-Year-Month],Таблица1[[#This Row],[Order-Year-Month]])</f>
        <v>0.5</v>
      </c>
    </row>
    <row r="125" spans="1:26" x14ac:dyDescent="0.2">
      <c r="A125" s="6">
        <v>1848</v>
      </c>
      <c r="B125" s="7">
        <v>13313</v>
      </c>
      <c r="C125" s="8">
        <f>DATE(2012,12,31)-1264</f>
        <v>40010</v>
      </c>
      <c r="D125" s="8" t="str">
        <f t="shared" si="1"/>
        <v>2009-07 (июль 2009)</v>
      </c>
      <c r="E125" s="9" t="s">
        <v>45</v>
      </c>
      <c r="F125" s="7">
        <v>47</v>
      </c>
      <c r="G125" s="7">
        <v>1020.61</v>
      </c>
      <c r="H125" s="7">
        <v>0.04</v>
      </c>
      <c r="I125" s="9" t="s">
        <v>22</v>
      </c>
      <c r="J125" s="10">
        <v>-209.61</v>
      </c>
      <c r="K125" s="11">
        <v>21.66</v>
      </c>
      <c r="L125" s="11">
        <v>13.99</v>
      </c>
      <c r="M125" s="9" t="s">
        <v>147</v>
      </c>
      <c r="N125" s="6" t="s">
        <v>173</v>
      </c>
      <c r="O125" s="6" t="s">
        <v>173</v>
      </c>
      <c r="P125" s="9" t="s">
        <v>60</v>
      </c>
      <c r="Q125" s="9" t="s">
        <v>26</v>
      </c>
      <c r="R125" s="9" t="s">
        <v>34</v>
      </c>
      <c r="S125" s="7" t="s">
        <v>223</v>
      </c>
      <c r="T125" s="9" t="s">
        <v>48</v>
      </c>
      <c r="U125" s="7">
        <v>0.52</v>
      </c>
      <c r="V125" s="12">
        <f>C125+1</f>
        <v>40011</v>
      </c>
      <c r="W125">
        <f>IF(D125=' Pivot Tables'!$A$4,1,0)</f>
        <v>0</v>
      </c>
      <c r="X125">
        <f>IF(AND(LEFT(D125,4)+1=LEFT(' Pivot Tables'!$A$4,4)+0,RIGHT(LEFT(D125,7),2)=RIGHT(LEFT(' Pivot Tables'!$A$4,7),2)),1,0)</f>
        <v>0</v>
      </c>
      <c r="Y125" s="6">
        <f>1/COUNTIF(Таблица1[Order ID],Таблица1[[#This Row],[Order ID]])</f>
        <v>0.25</v>
      </c>
      <c r="Z125" s="9">
        <f>1/COUNTIFS(Таблица1[Customer Name],Таблица1[[#This Row],[Customer Name]],Таблица1[Order-Year-Month],Таблица1[[#This Row],[Order-Year-Month]])</f>
        <v>0.25</v>
      </c>
    </row>
    <row r="126" spans="1:26" x14ac:dyDescent="0.2">
      <c r="A126" s="6">
        <v>1855</v>
      </c>
      <c r="B126" s="7">
        <v>13346</v>
      </c>
      <c r="C126" s="8">
        <f>DATE(2012,12,31)-46</f>
        <v>41228</v>
      </c>
      <c r="D126" s="8" t="str">
        <f t="shared" si="1"/>
        <v>2012-11 (ноябрь 2012)</v>
      </c>
      <c r="E126" s="9" t="s">
        <v>21</v>
      </c>
      <c r="F126" s="7">
        <v>44</v>
      </c>
      <c r="G126" s="7">
        <v>268.33999999999997</v>
      </c>
      <c r="H126" s="7">
        <v>0.09</v>
      </c>
      <c r="I126" s="9" t="s">
        <v>22</v>
      </c>
      <c r="J126" s="10">
        <v>-240.83</v>
      </c>
      <c r="K126" s="11">
        <v>6.48</v>
      </c>
      <c r="L126" s="11">
        <v>8.8800000000000008</v>
      </c>
      <c r="M126" s="9" t="s">
        <v>190</v>
      </c>
      <c r="N126" s="6" t="s">
        <v>173</v>
      </c>
      <c r="O126" s="6" t="s">
        <v>173</v>
      </c>
      <c r="P126" s="9" t="s">
        <v>41</v>
      </c>
      <c r="Q126" s="9" t="s">
        <v>26</v>
      </c>
      <c r="R126" s="9" t="s">
        <v>61</v>
      </c>
      <c r="S126" s="7" t="s">
        <v>224</v>
      </c>
      <c r="T126" s="9" t="s">
        <v>39</v>
      </c>
      <c r="U126" s="7">
        <v>0.37</v>
      </c>
      <c r="V126" s="12">
        <f>C126+5</f>
        <v>41233</v>
      </c>
      <c r="W126">
        <f>IF(D126=' Pivot Tables'!$A$4,1,0)</f>
        <v>0</v>
      </c>
      <c r="X126">
        <f>IF(AND(LEFT(D126,4)+1=LEFT(' Pivot Tables'!$A$4,4)+0,RIGHT(LEFT(D126,7),2)=RIGHT(LEFT(' Pivot Tables'!$A$4,7),2)),1,0)</f>
        <v>0</v>
      </c>
      <c r="Y126" s="6">
        <f>1/COUNTIF(Таблица1[Order ID],Таблица1[[#This Row],[Order ID]])</f>
        <v>1</v>
      </c>
      <c r="Z126" s="9">
        <f>1/COUNTIFS(Таблица1[Customer Name],Таблица1[[#This Row],[Customer Name]],Таблица1[Order-Year-Month],Таблица1[[#This Row],[Order-Year-Month]])</f>
        <v>1</v>
      </c>
    </row>
    <row r="127" spans="1:26" x14ac:dyDescent="0.2">
      <c r="A127" s="6">
        <v>1913</v>
      </c>
      <c r="B127" s="7">
        <v>13702</v>
      </c>
      <c r="C127" s="8">
        <f>DATE(2012,12,31)-478</f>
        <v>40796</v>
      </c>
      <c r="D127" s="8" t="str">
        <f t="shared" si="1"/>
        <v>2011-09 (сентябрь 2011)</v>
      </c>
      <c r="E127" s="9" t="s">
        <v>21</v>
      </c>
      <c r="F127" s="7">
        <v>6</v>
      </c>
      <c r="G127" s="7">
        <v>209</v>
      </c>
      <c r="H127" s="7">
        <v>0.08</v>
      </c>
      <c r="I127" s="9" t="s">
        <v>22</v>
      </c>
      <c r="J127" s="10">
        <v>12.32</v>
      </c>
      <c r="K127" s="11">
        <v>35.44</v>
      </c>
      <c r="L127" s="11">
        <v>7.5</v>
      </c>
      <c r="M127" s="9" t="s">
        <v>102</v>
      </c>
      <c r="N127" s="6" t="s">
        <v>173</v>
      </c>
      <c r="O127" s="6" t="s">
        <v>173</v>
      </c>
      <c r="P127" s="9" t="s">
        <v>25</v>
      </c>
      <c r="Q127" s="9" t="s">
        <v>26</v>
      </c>
      <c r="R127" s="9" t="s">
        <v>61</v>
      </c>
      <c r="S127" s="7" t="s">
        <v>225</v>
      </c>
      <c r="T127" s="9" t="s">
        <v>39</v>
      </c>
      <c r="U127" s="7">
        <v>0.38</v>
      </c>
      <c r="V127" s="12">
        <f>C127+4</f>
        <v>40800</v>
      </c>
      <c r="W127">
        <f>IF(D127=' Pivot Tables'!$A$4,1,0)</f>
        <v>0</v>
      </c>
      <c r="X127">
        <f>IF(AND(LEFT(D127,4)+1=LEFT(' Pivot Tables'!$A$4,4)+0,RIGHT(LEFT(D127,7),2)=RIGHT(LEFT(' Pivot Tables'!$A$4,7),2)),1,0)</f>
        <v>0</v>
      </c>
      <c r="Y127" s="6">
        <f>1/COUNTIF(Таблица1[Order ID],Таблица1[[#This Row],[Order ID]])</f>
        <v>1</v>
      </c>
      <c r="Z127" s="9">
        <f>1/COUNTIFS(Таблица1[Customer Name],Таблица1[[#This Row],[Customer Name]],Таблица1[Order-Year-Month],Таблица1[[#This Row],[Order-Year-Month]])</f>
        <v>1</v>
      </c>
    </row>
    <row r="128" spans="1:26" x14ac:dyDescent="0.2">
      <c r="A128" s="6">
        <v>1928</v>
      </c>
      <c r="B128" s="7">
        <v>13795</v>
      </c>
      <c r="C128" s="8">
        <f>DATE(2012,12,31)-631</f>
        <v>40643</v>
      </c>
      <c r="D128" s="8" t="str">
        <f t="shared" si="1"/>
        <v>2011-04 (апрель 2011)</v>
      </c>
      <c r="E128" s="9" t="s">
        <v>45</v>
      </c>
      <c r="F128" s="7">
        <v>30</v>
      </c>
      <c r="G128" s="7">
        <v>501.32</v>
      </c>
      <c r="H128" s="7">
        <v>0.04</v>
      </c>
      <c r="I128" s="9" t="s">
        <v>22</v>
      </c>
      <c r="J128" s="10">
        <v>-119.0825</v>
      </c>
      <c r="K128" s="11">
        <v>15.99</v>
      </c>
      <c r="L128" s="11">
        <v>13.18</v>
      </c>
      <c r="M128" s="9" t="s">
        <v>23</v>
      </c>
      <c r="N128" s="6" t="s">
        <v>173</v>
      </c>
      <c r="O128" s="6" t="s">
        <v>173</v>
      </c>
      <c r="P128" s="9" t="s">
        <v>25</v>
      </c>
      <c r="Q128" s="9" t="s">
        <v>26</v>
      </c>
      <c r="R128" s="9" t="s">
        <v>37</v>
      </c>
      <c r="S128" s="7" t="s">
        <v>92</v>
      </c>
      <c r="T128" s="9" t="s">
        <v>39</v>
      </c>
      <c r="U128" s="7">
        <v>0.37</v>
      </c>
      <c r="V128" s="12">
        <f>C128+3</f>
        <v>40646</v>
      </c>
      <c r="W128">
        <f>IF(D128=' Pivot Tables'!$A$4,1,0)</f>
        <v>0</v>
      </c>
      <c r="X128">
        <f>IF(AND(LEFT(D128,4)+1=LEFT(' Pivot Tables'!$A$4,4)+0,RIGHT(LEFT(D128,7),2)=RIGHT(LEFT(' Pivot Tables'!$A$4,7),2)),1,0)</f>
        <v>0</v>
      </c>
      <c r="Y128" s="6">
        <f>1/COUNTIF(Таблица1[Order ID],Таблица1[[#This Row],[Order ID]])</f>
        <v>0.33333333333333331</v>
      </c>
      <c r="Z128" s="9">
        <f>1/COUNTIFS(Таблица1[Customer Name],Таблица1[[#This Row],[Customer Name]],Таблица1[Order-Year-Month],Таблица1[[#This Row],[Order-Year-Month]])</f>
        <v>0.14285714285714285</v>
      </c>
    </row>
    <row r="129" spans="1:26" x14ac:dyDescent="0.2">
      <c r="A129" s="6">
        <v>1929</v>
      </c>
      <c r="B129" s="7">
        <v>13795</v>
      </c>
      <c r="C129" s="8">
        <f>DATE(2012,12,31)-631</f>
        <v>40643</v>
      </c>
      <c r="D129" s="8" t="str">
        <f t="shared" si="1"/>
        <v>2011-04 (апрель 2011)</v>
      </c>
      <c r="E129" s="9" t="s">
        <v>45</v>
      </c>
      <c r="F129" s="7">
        <v>23</v>
      </c>
      <c r="G129" s="7">
        <v>275.16000000000003</v>
      </c>
      <c r="H129" s="7">
        <v>0.05</v>
      </c>
      <c r="I129" s="9" t="s">
        <v>56</v>
      </c>
      <c r="J129" s="10">
        <v>43.35</v>
      </c>
      <c r="K129" s="11">
        <v>11.34</v>
      </c>
      <c r="L129" s="11">
        <v>5.01</v>
      </c>
      <c r="M129" s="9" t="s">
        <v>23</v>
      </c>
      <c r="N129" s="6" t="s">
        <v>173</v>
      </c>
      <c r="O129" s="6" t="s">
        <v>173</v>
      </c>
      <c r="P129" s="9" t="s">
        <v>25</v>
      </c>
      <c r="Q129" s="9" t="s">
        <v>26</v>
      </c>
      <c r="R129" s="9" t="s">
        <v>61</v>
      </c>
      <c r="S129" s="7" t="s">
        <v>226</v>
      </c>
      <c r="T129" s="9" t="s">
        <v>39</v>
      </c>
      <c r="U129" s="7">
        <v>0.36</v>
      </c>
      <c r="V129" s="12">
        <f>C129+3</f>
        <v>40646</v>
      </c>
      <c r="W129">
        <f>IF(D129=' Pivot Tables'!$A$4,1,0)</f>
        <v>0</v>
      </c>
      <c r="X129">
        <f>IF(AND(LEFT(D129,4)+1=LEFT(' Pivot Tables'!$A$4,4)+0,RIGHT(LEFT(D129,7),2)=RIGHT(LEFT(' Pivot Tables'!$A$4,7),2)),1,0)</f>
        <v>0</v>
      </c>
      <c r="Y129" s="6">
        <f>1/COUNTIF(Таблица1[Order ID],Таблица1[[#This Row],[Order ID]])</f>
        <v>0.33333333333333331</v>
      </c>
      <c r="Z129" s="9">
        <f>1/COUNTIFS(Таблица1[Customer Name],Таблица1[[#This Row],[Customer Name]],Таблица1[Order-Year-Month],Таблица1[[#This Row],[Order-Year-Month]])</f>
        <v>0.14285714285714285</v>
      </c>
    </row>
    <row r="130" spans="1:26" x14ac:dyDescent="0.2">
      <c r="A130" s="6">
        <v>1930</v>
      </c>
      <c r="B130" s="7">
        <v>13795</v>
      </c>
      <c r="C130" s="8">
        <f>DATE(2012,12,31)-631</f>
        <v>40643</v>
      </c>
      <c r="D130" s="8" t="str">
        <f t="shared" si="1"/>
        <v>2011-04 (апрель 2011)</v>
      </c>
      <c r="E130" s="9" t="s">
        <v>45</v>
      </c>
      <c r="F130" s="7">
        <v>37</v>
      </c>
      <c r="G130" s="7">
        <v>1302.99</v>
      </c>
      <c r="H130" s="7">
        <v>0.02</v>
      </c>
      <c r="I130" s="9" t="s">
        <v>22</v>
      </c>
      <c r="J130" s="10">
        <v>545.49</v>
      </c>
      <c r="K130" s="11">
        <v>35.44</v>
      </c>
      <c r="L130" s="11">
        <v>5.09</v>
      </c>
      <c r="M130" s="9" t="s">
        <v>23</v>
      </c>
      <c r="N130" s="6" t="s">
        <v>173</v>
      </c>
      <c r="O130" s="6" t="s">
        <v>173</v>
      </c>
      <c r="P130" s="9" t="s">
        <v>25</v>
      </c>
      <c r="Q130" s="9" t="s">
        <v>26</v>
      </c>
      <c r="R130" s="9" t="s">
        <v>61</v>
      </c>
      <c r="S130" s="7" t="s">
        <v>227</v>
      </c>
      <c r="T130" s="9" t="s">
        <v>39</v>
      </c>
      <c r="U130" s="7">
        <v>0.38</v>
      </c>
      <c r="V130" s="12">
        <f>C130+1</f>
        <v>40644</v>
      </c>
      <c r="W130">
        <f>IF(D130=' Pivot Tables'!$A$4,1,0)</f>
        <v>0</v>
      </c>
      <c r="X130">
        <f>IF(AND(LEFT(D130,4)+1=LEFT(' Pivot Tables'!$A$4,4)+0,RIGHT(LEFT(D130,7),2)=RIGHT(LEFT(' Pivot Tables'!$A$4,7),2)),1,0)</f>
        <v>0</v>
      </c>
      <c r="Y130" s="6">
        <f>1/COUNTIF(Таблица1[Order ID],Таблица1[[#This Row],[Order ID]])</f>
        <v>0.33333333333333331</v>
      </c>
      <c r="Z130" s="9">
        <f>1/COUNTIFS(Таблица1[Customer Name],Таблица1[[#This Row],[Customer Name]],Таблица1[Order-Year-Month],Таблица1[[#This Row],[Order-Year-Month]])</f>
        <v>0.14285714285714285</v>
      </c>
    </row>
    <row r="131" spans="1:26" x14ac:dyDescent="0.2">
      <c r="A131" s="6">
        <v>1978</v>
      </c>
      <c r="B131" s="7">
        <v>14116</v>
      </c>
      <c r="C131" s="8">
        <f>DATE(2012,12,31)-449</f>
        <v>40825</v>
      </c>
      <c r="D131" s="8" t="str">
        <f t="shared" ref="D131:D194" si="2">TEXT(C131,"гггг-ММ (ММММ гггг)")</f>
        <v>2011-10 (октябрь 2011)</v>
      </c>
      <c r="E131" s="9" t="s">
        <v>30</v>
      </c>
      <c r="F131" s="7">
        <v>1</v>
      </c>
      <c r="G131" s="7">
        <v>40.1</v>
      </c>
      <c r="H131" s="7">
        <v>0.09</v>
      </c>
      <c r="I131" s="9" t="s">
        <v>22</v>
      </c>
      <c r="J131" s="10">
        <v>-16.0655</v>
      </c>
      <c r="K131" s="11">
        <v>30.98</v>
      </c>
      <c r="L131" s="11">
        <v>11.63</v>
      </c>
      <c r="M131" s="9" t="s">
        <v>190</v>
      </c>
      <c r="N131" s="6" t="s">
        <v>173</v>
      </c>
      <c r="O131" s="6" t="s">
        <v>173</v>
      </c>
      <c r="P131" s="9" t="s">
        <v>25</v>
      </c>
      <c r="Q131" s="9" t="s">
        <v>26</v>
      </c>
      <c r="R131" s="9" t="s">
        <v>37</v>
      </c>
      <c r="S131" s="7" t="s">
        <v>228</v>
      </c>
      <c r="T131" s="9" t="s">
        <v>39</v>
      </c>
      <c r="U131" s="7">
        <v>0.37</v>
      </c>
      <c r="V131" s="12">
        <f>C131+2</f>
        <v>40827</v>
      </c>
      <c r="W131">
        <f>IF(D131=' Pivot Tables'!$A$4,1,0)</f>
        <v>0</v>
      </c>
      <c r="X131">
        <f>IF(AND(LEFT(D131,4)+1=LEFT(' Pivot Tables'!$A$4,4)+0,RIGHT(LEFT(D131,7),2)=RIGHT(LEFT(' Pivot Tables'!$A$4,7),2)),1,0)</f>
        <v>0</v>
      </c>
      <c r="Y131" s="6">
        <f>1/COUNTIF(Таблица1[Order ID],Таблица1[[#This Row],[Order ID]])</f>
        <v>0.5</v>
      </c>
      <c r="Z131" s="9">
        <f>1/COUNTIFS(Таблица1[Customer Name],Таблица1[[#This Row],[Customer Name]],Таблица1[Order-Year-Month],Таблица1[[#This Row],[Order-Year-Month]])</f>
        <v>0.5</v>
      </c>
    </row>
    <row r="132" spans="1:26" x14ac:dyDescent="0.2">
      <c r="A132" s="6">
        <v>1979</v>
      </c>
      <c r="B132" s="7">
        <v>14116</v>
      </c>
      <c r="C132" s="8">
        <f>DATE(2012,12,31)-449</f>
        <v>40825</v>
      </c>
      <c r="D132" s="8" t="str">
        <f t="shared" si="2"/>
        <v>2011-10 (октябрь 2011)</v>
      </c>
      <c r="E132" s="9" t="s">
        <v>30</v>
      </c>
      <c r="F132" s="7">
        <v>42</v>
      </c>
      <c r="G132" s="7">
        <v>1414.05</v>
      </c>
      <c r="H132" s="7">
        <v>0.09</v>
      </c>
      <c r="I132" s="9" t="s">
        <v>22</v>
      </c>
      <c r="J132" s="10">
        <v>161.483</v>
      </c>
      <c r="K132" s="11">
        <v>34.54</v>
      </c>
      <c r="L132" s="11">
        <v>14.72</v>
      </c>
      <c r="M132" s="9" t="s">
        <v>190</v>
      </c>
      <c r="N132" s="6" t="s">
        <v>173</v>
      </c>
      <c r="O132" s="6" t="s">
        <v>173</v>
      </c>
      <c r="P132" s="9" t="s">
        <v>25</v>
      </c>
      <c r="Q132" s="9" t="s">
        <v>26</v>
      </c>
      <c r="R132" s="9" t="s">
        <v>37</v>
      </c>
      <c r="S132" s="7" t="s">
        <v>229</v>
      </c>
      <c r="T132" s="9" t="s">
        <v>39</v>
      </c>
      <c r="U132" s="7">
        <v>0.37</v>
      </c>
      <c r="V132" s="12">
        <f>C132+1</f>
        <v>40826</v>
      </c>
      <c r="W132">
        <f>IF(D132=' Pivot Tables'!$A$4,1,0)</f>
        <v>0</v>
      </c>
      <c r="X132">
        <f>IF(AND(LEFT(D132,4)+1=LEFT(' Pivot Tables'!$A$4,4)+0,RIGHT(LEFT(D132,7),2)=RIGHT(LEFT(' Pivot Tables'!$A$4,7),2)),1,0)</f>
        <v>0</v>
      </c>
      <c r="Y132" s="6">
        <f>1/COUNTIF(Таблица1[Order ID],Таблица1[[#This Row],[Order ID]])</f>
        <v>0.5</v>
      </c>
      <c r="Z132" s="9">
        <f>1/COUNTIFS(Таблица1[Customer Name],Таблица1[[#This Row],[Customer Name]],Таблица1[Order-Year-Month],Таблица1[[#This Row],[Order-Year-Month]])</f>
        <v>0.5</v>
      </c>
    </row>
    <row r="133" spans="1:26" x14ac:dyDescent="0.2">
      <c r="A133" s="6">
        <v>2013</v>
      </c>
      <c r="B133" s="7">
        <v>14372</v>
      </c>
      <c r="C133" s="8">
        <f>DATE(2012,12,31)-69</f>
        <v>41205</v>
      </c>
      <c r="D133" s="8" t="str">
        <f t="shared" si="2"/>
        <v>2012-10 (октябрь 2012)</v>
      </c>
      <c r="E133" s="9" t="s">
        <v>78</v>
      </c>
      <c r="F133" s="7">
        <v>34</v>
      </c>
      <c r="G133" s="7">
        <v>5350.61</v>
      </c>
      <c r="H133" s="7">
        <v>0.09</v>
      </c>
      <c r="I133" s="9" t="s">
        <v>31</v>
      </c>
      <c r="J133" s="10">
        <v>-1059.2</v>
      </c>
      <c r="K133" s="11">
        <v>170.98</v>
      </c>
      <c r="L133" s="11">
        <v>60.49</v>
      </c>
      <c r="M133" s="9" t="s">
        <v>135</v>
      </c>
      <c r="N133" s="6" t="s">
        <v>173</v>
      </c>
      <c r="O133" s="6" t="s">
        <v>173</v>
      </c>
      <c r="P133" s="9" t="s">
        <v>41</v>
      </c>
      <c r="Q133" s="9" t="s">
        <v>49</v>
      </c>
      <c r="R133" s="9" t="s">
        <v>80</v>
      </c>
      <c r="S133" s="7" t="s">
        <v>230</v>
      </c>
      <c r="T133" s="9" t="s">
        <v>82</v>
      </c>
      <c r="U133" s="7">
        <v>0.69</v>
      </c>
      <c r="V133" s="12">
        <f>C133+2</f>
        <v>41207</v>
      </c>
      <c r="W133">
        <f>IF(D133=' Pivot Tables'!$A$4,1,0)</f>
        <v>0</v>
      </c>
      <c r="X133">
        <f>IF(AND(LEFT(D133,4)+1=LEFT(' Pivot Tables'!$A$4,4)+0,RIGHT(LEFT(D133,7),2)=RIGHT(LEFT(' Pivot Tables'!$A$4,7),2)),1,0)</f>
        <v>0</v>
      </c>
      <c r="Y133" s="6">
        <f>1/COUNTIF(Таблица1[Order ID],Таблица1[[#This Row],[Order ID]])</f>
        <v>1</v>
      </c>
      <c r="Z133" s="9">
        <f>1/COUNTIFS(Таблица1[Customer Name],Таблица1[[#This Row],[Customer Name]],Таблица1[Order-Year-Month],Таблица1[[#This Row],[Order-Year-Month]])</f>
        <v>1</v>
      </c>
    </row>
    <row r="134" spans="1:26" x14ac:dyDescent="0.2">
      <c r="A134" s="6">
        <v>2058</v>
      </c>
      <c r="B134" s="7">
        <v>14726</v>
      </c>
      <c r="C134" s="8">
        <f>DATE(2012,12,31)-358</f>
        <v>40916</v>
      </c>
      <c r="D134" s="8" t="str">
        <f t="shared" si="2"/>
        <v>2012-01 (январь 2012)</v>
      </c>
      <c r="E134" s="9" t="s">
        <v>21</v>
      </c>
      <c r="F134" s="7">
        <v>15</v>
      </c>
      <c r="G134" s="7">
        <v>310.87</v>
      </c>
      <c r="H134" s="7">
        <v>7.0000000000000007E-2</v>
      </c>
      <c r="I134" s="9" t="s">
        <v>22</v>
      </c>
      <c r="J134" s="10">
        <v>-21.48</v>
      </c>
      <c r="K134" s="11">
        <v>20.95</v>
      </c>
      <c r="L134" s="11">
        <v>4</v>
      </c>
      <c r="M134" s="9" t="s">
        <v>160</v>
      </c>
      <c r="N134" s="6" t="s">
        <v>173</v>
      </c>
      <c r="O134" s="6" t="s">
        <v>173</v>
      </c>
      <c r="P134" s="9" t="s">
        <v>33</v>
      </c>
      <c r="Q134" s="9" t="s">
        <v>42</v>
      </c>
      <c r="R134" s="9" t="s">
        <v>70</v>
      </c>
      <c r="S134" s="7" t="s">
        <v>231</v>
      </c>
      <c r="T134" s="9" t="s">
        <v>39</v>
      </c>
      <c r="U134" s="7">
        <v>0.6</v>
      </c>
      <c r="V134" s="12">
        <f>C134+0</f>
        <v>40916</v>
      </c>
      <c r="W134">
        <f>IF(D134=' Pivot Tables'!$A$4,1,0)</f>
        <v>0</v>
      </c>
      <c r="X134">
        <f>IF(AND(LEFT(D134,4)+1=LEFT(' Pivot Tables'!$A$4,4)+0,RIGHT(LEFT(D134,7),2)=RIGHT(LEFT(' Pivot Tables'!$A$4,7),2)),1,0)</f>
        <v>0</v>
      </c>
      <c r="Y134" s="6">
        <f>1/COUNTIF(Таблица1[Order ID],Таблица1[[#This Row],[Order ID]])</f>
        <v>1</v>
      </c>
      <c r="Z134" s="9">
        <f>1/COUNTIFS(Таблица1[Customer Name],Таблица1[[#This Row],[Customer Name]],Таблица1[Order-Year-Month],Таблица1[[#This Row],[Order-Year-Month]])</f>
        <v>0.5</v>
      </c>
    </row>
    <row r="135" spans="1:26" x14ac:dyDescent="0.2">
      <c r="A135" s="6">
        <v>2070</v>
      </c>
      <c r="B135" s="7">
        <v>14819</v>
      </c>
      <c r="C135" s="8">
        <f>DATE(2012,12,31)-1071</f>
        <v>40203</v>
      </c>
      <c r="D135" s="8" t="str">
        <f t="shared" si="2"/>
        <v>2010-01 (январь 2010)</v>
      </c>
      <c r="E135" s="9" t="s">
        <v>45</v>
      </c>
      <c r="F135" s="7">
        <v>48</v>
      </c>
      <c r="G135" s="7">
        <v>9062.73</v>
      </c>
      <c r="H135" s="7">
        <v>0.09</v>
      </c>
      <c r="I135" s="9" t="s">
        <v>22</v>
      </c>
      <c r="J135" s="10">
        <v>3122.78</v>
      </c>
      <c r="K135" s="11">
        <v>207.48</v>
      </c>
      <c r="L135" s="11">
        <v>0.99</v>
      </c>
      <c r="M135" s="9" t="s">
        <v>53</v>
      </c>
      <c r="N135" s="6" t="s">
        <v>173</v>
      </c>
      <c r="O135" s="6" t="s">
        <v>173</v>
      </c>
      <c r="P135" s="9" t="s">
        <v>60</v>
      </c>
      <c r="Q135" s="9" t="s">
        <v>26</v>
      </c>
      <c r="R135" s="9" t="s">
        <v>34</v>
      </c>
      <c r="S135" s="7" t="s">
        <v>232</v>
      </c>
      <c r="T135" s="9" t="s">
        <v>39</v>
      </c>
      <c r="U135" s="7">
        <v>0.55000000000000004</v>
      </c>
      <c r="V135" s="12">
        <f>C135+2</f>
        <v>40205</v>
      </c>
      <c r="W135">
        <f>IF(D135=' Pivot Tables'!$A$4,1,0)</f>
        <v>1</v>
      </c>
      <c r="X135">
        <f>IF(AND(LEFT(D135,4)+1=LEFT(' Pivot Tables'!$A$4,4)+0,RIGHT(LEFT(D135,7),2)=RIGHT(LEFT(' Pivot Tables'!$A$4,7),2)),1,0)</f>
        <v>0</v>
      </c>
      <c r="Y135" s="6">
        <f>1/COUNTIF(Таблица1[Order ID],Таблица1[[#This Row],[Order ID]])</f>
        <v>0.5</v>
      </c>
      <c r="Z135" s="9">
        <f>1/COUNTIFS(Таблица1[Customer Name],Таблица1[[#This Row],[Customer Name]],Таблица1[Order-Year-Month],Таблица1[[#This Row],[Order-Year-Month]])</f>
        <v>0.5</v>
      </c>
    </row>
    <row r="136" spans="1:26" x14ac:dyDescent="0.2">
      <c r="A136" s="6">
        <v>2071</v>
      </c>
      <c r="B136" s="7">
        <v>14819</v>
      </c>
      <c r="C136" s="8">
        <f>DATE(2012,12,31)-1071</f>
        <v>40203</v>
      </c>
      <c r="D136" s="8" t="str">
        <f t="shared" si="2"/>
        <v>2010-01 (январь 2010)</v>
      </c>
      <c r="E136" s="9" t="s">
        <v>45</v>
      </c>
      <c r="F136" s="7">
        <v>27</v>
      </c>
      <c r="G136" s="7">
        <v>1584.1</v>
      </c>
      <c r="H136" s="7">
        <v>7.0000000000000007E-2</v>
      </c>
      <c r="I136" s="9" t="s">
        <v>31</v>
      </c>
      <c r="J136" s="10">
        <v>-478.22</v>
      </c>
      <c r="K136" s="11">
        <v>58.14</v>
      </c>
      <c r="L136" s="11">
        <v>36.61</v>
      </c>
      <c r="M136" s="9" t="s">
        <v>53</v>
      </c>
      <c r="N136" s="6" t="s">
        <v>173</v>
      </c>
      <c r="O136" s="6" t="s">
        <v>173</v>
      </c>
      <c r="P136" s="9" t="s">
        <v>60</v>
      </c>
      <c r="Q136" s="9" t="s">
        <v>49</v>
      </c>
      <c r="R136" s="9" t="s">
        <v>80</v>
      </c>
      <c r="S136" s="7" t="s">
        <v>233</v>
      </c>
      <c r="T136" s="9" t="s">
        <v>82</v>
      </c>
      <c r="U136" s="7">
        <v>0.61</v>
      </c>
      <c r="V136" s="12">
        <f>C136+1</f>
        <v>40204</v>
      </c>
      <c r="W136">
        <f>IF(D136=' Pivot Tables'!$A$4,1,0)</f>
        <v>1</v>
      </c>
      <c r="X136">
        <f>IF(AND(LEFT(D136,4)+1=LEFT(' Pivot Tables'!$A$4,4)+0,RIGHT(LEFT(D136,7),2)=RIGHT(LEFT(' Pivot Tables'!$A$4,7),2)),1,0)</f>
        <v>0</v>
      </c>
      <c r="Y136" s="6">
        <f>1/COUNTIF(Таблица1[Order ID],Таблица1[[#This Row],[Order ID]])</f>
        <v>0.5</v>
      </c>
      <c r="Z136" s="9">
        <f>1/COUNTIFS(Таблица1[Customer Name],Таблица1[[#This Row],[Customer Name]],Таблица1[Order-Year-Month],Таблица1[[#This Row],[Order-Year-Month]])</f>
        <v>0.5</v>
      </c>
    </row>
    <row r="137" spans="1:26" x14ac:dyDescent="0.2">
      <c r="A137" s="6">
        <v>2114</v>
      </c>
      <c r="B137" s="7">
        <v>15106</v>
      </c>
      <c r="C137" s="8">
        <f>DATE(2012,12,31)-704</f>
        <v>40570</v>
      </c>
      <c r="D137" s="8" t="str">
        <f t="shared" si="2"/>
        <v>2011-01 (январь 2011)</v>
      </c>
      <c r="E137" s="9" t="s">
        <v>45</v>
      </c>
      <c r="F137" s="7">
        <v>42</v>
      </c>
      <c r="G137" s="7">
        <v>283.58</v>
      </c>
      <c r="H137" s="7">
        <v>0.03</v>
      </c>
      <c r="I137" s="9" t="s">
        <v>22</v>
      </c>
      <c r="J137" s="10">
        <v>-14.23</v>
      </c>
      <c r="K137" s="11">
        <v>6.64</v>
      </c>
      <c r="L137" s="11">
        <v>4.95</v>
      </c>
      <c r="M137" s="9" t="s">
        <v>59</v>
      </c>
      <c r="N137" s="6" t="s">
        <v>173</v>
      </c>
      <c r="O137" s="6" t="s">
        <v>173</v>
      </c>
      <c r="P137" s="9" t="s">
        <v>60</v>
      </c>
      <c r="Q137" s="9" t="s">
        <v>49</v>
      </c>
      <c r="R137" s="9" t="s">
        <v>50</v>
      </c>
      <c r="S137" s="7" t="s">
        <v>51</v>
      </c>
      <c r="T137" s="9" t="s">
        <v>52</v>
      </c>
      <c r="U137" s="7">
        <v>0.37</v>
      </c>
      <c r="V137" s="12">
        <f>C137+2</f>
        <v>40572</v>
      </c>
      <c r="W137">
        <f>IF(D137=' Pivot Tables'!$A$4,1,0)</f>
        <v>0</v>
      </c>
      <c r="X137">
        <f>IF(AND(LEFT(D137,4)+1=LEFT(' Pivot Tables'!$A$4,4)+0,RIGHT(LEFT(D137,7),2)=RIGHT(LEFT(' Pivot Tables'!$A$4,7),2)),1,0)</f>
        <v>0</v>
      </c>
      <c r="Y137" s="6">
        <f>1/COUNTIF(Таблица1[Order ID],Таблица1[[#This Row],[Order ID]])</f>
        <v>0.33333333333333331</v>
      </c>
      <c r="Z137" s="9">
        <f>1/COUNTIFS(Таблица1[Customer Name],Таблица1[[#This Row],[Customer Name]],Таблица1[Order-Year-Month],Таблица1[[#This Row],[Order-Year-Month]])</f>
        <v>0.33333333333333331</v>
      </c>
    </row>
    <row r="138" spans="1:26" x14ac:dyDescent="0.2">
      <c r="A138" s="6">
        <v>2115</v>
      </c>
      <c r="B138" s="7">
        <v>15106</v>
      </c>
      <c r="C138" s="8">
        <f>DATE(2012,12,31)-704</f>
        <v>40570</v>
      </c>
      <c r="D138" s="8" t="str">
        <f t="shared" si="2"/>
        <v>2011-01 (январь 2011)</v>
      </c>
      <c r="E138" s="9" t="s">
        <v>45</v>
      </c>
      <c r="F138" s="7">
        <v>39</v>
      </c>
      <c r="G138" s="7">
        <v>5403.37</v>
      </c>
      <c r="H138" s="7">
        <v>0.06</v>
      </c>
      <c r="I138" s="9" t="s">
        <v>31</v>
      </c>
      <c r="J138" s="10">
        <v>948.79</v>
      </c>
      <c r="K138" s="11">
        <v>145.44999999999999</v>
      </c>
      <c r="L138" s="11">
        <v>17.850000000000001</v>
      </c>
      <c r="M138" s="9" t="s">
        <v>59</v>
      </c>
      <c r="N138" s="6" t="s">
        <v>173</v>
      </c>
      <c r="O138" s="6" t="s">
        <v>173</v>
      </c>
      <c r="P138" s="9" t="s">
        <v>60</v>
      </c>
      <c r="Q138" s="9" t="s">
        <v>42</v>
      </c>
      <c r="R138" s="9" t="s">
        <v>210</v>
      </c>
      <c r="S138" s="7" t="s">
        <v>234</v>
      </c>
      <c r="T138" s="9" t="s">
        <v>36</v>
      </c>
      <c r="U138" s="7">
        <v>0.56000000000000005</v>
      </c>
      <c r="V138" s="12">
        <f>C138+0</f>
        <v>40570</v>
      </c>
      <c r="W138">
        <f>IF(D138=' Pivot Tables'!$A$4,1,0)</f>
        <v>0</v>
      </c>
      <c r="X138">
        <f>IF(AND(LEFT(D138,4)+1=LEFT(' Pivot Tables'!$A$4,4)+0,RIGHT(LEFT(D138,7),2)=RIGHT(LEFT(' Pivot Tables'!$A$4,7),2)),1,0)</f>
        <v>0</v>
      </c>
      <c r="Y138" s="6">
        <f>1/COUNTIF(Таблица1[Order ID],Таблица1[[#This Row],[Order ID]])</f>
        <v>0.33333333333333331</v>
      </c>
      <c r="Z138" s="9">
        <f>1/COUNTIFS(Таблица1[Customer Name],Таблица1[[#This Row],[Customer Name]],Таблица1[Order-Year-Month],Таблица1[[#This Row],[Order-Year-Month]])</f>
        <v>0.33333333333333331</v>
      </c>
    </row>
    <row r="139" spans="1:26" x14ac:dyDescent="0.2">
      <c r="A139" s="6">
        <v>2116</v>
      </c>
      <c r="B139" s="7">
        <v>15106</v>
      </c>
      <c r="C139" s="8">
        <f>DATE(2012,12,31)-704</f>
        <v>40570</v>
      </c>
      <c r="D139" s="8" t="str">
        <f t="shared" si="2"/>
        <v>2011-01 (январь 2011)</v>
      </c>
      <c r="E139" s="9" t="s">
        <v>45</v>
      </c>
      <c r="F139" s="7">
        <v>35</v>
      </c>
      <c r="G139" s="7">
        <v>82.15</v>
      </c>
      <c r="H139" s="7">
        <v>0.03</v>
      </c>
      <c r="I139" s="9" t="s">
        <v>22</v>
      </c>
      <c r="J139" s="10">
        <v>-6.33</v>
      </c>
      <c r="K139" s="11">
        <v>2.21</v>
      </c>
      <c r="L139" s="11">
        <v>1.1200000000000001</v>
      </c>
      <c r="M139" s="9" t="s">
        <v>59</v>
      </c>
      <c r="N139" s="6" t="s">
        <v>173</v>
      </c>
      <c r="O139" s="6" t="s">
        <v>173</v>
      </c>
      <c r="P139" s="9" t="s">
        <v>60</v>
      </c>
      <c r="Q139" s="9" t="s">
        <v>26</v>
      </c>
      <c r="R139" s="9" t="s">
        <v>95</v>
      </c>
      <c r="S139" s="7" t="s">
        <v>235</v>
      </c>
      <c r="T139" s="9" t="s">
        <v>68</v>
      </c>
      <c r="U139" s="7">
        <v>0.57999999999999996</v>
      </c>
      <c r="V139" s="12">
        <f>C139+2</f>
        <v>40572</v>
      </c>
      <c r="W139">
        <f>IF(D139=' Pivot Tables'!$A$4,1,0)</f>
        <v>0</v>
      </c>
      <c r="X139">
        <f>IF(AND(LEFT(D139,4)+1=LEFT(' Pivot Tables'!$A$4,4)+0,RIGHT(LEFT(D139,7),2)=RIGHT(LEFT(' Pivot Tables'!$A$4,7),2)),1,0)</f>
        <v>0</v>
      </c>
      <c r="Y139" s="6">
        <f>1/COUNTIF(Таблица1[Order ID],Таблица1[[#This Row],[Order ID]])</f>
        <v>0.33333333333333331</v>
      </c>
      <c r="Z139" s="9">
        <f>1/COUNTIFS(Таблица1[Customer Name],Таблица1[[#This Row],[Customer Name]],Таблица1[Order-Year-Month],Таблица1[[#This Row],[Order-Year-Month]])</f>
        <v>0.33333333333333331</v>
      </c>
    </row>
    <row r="140" spans="1:26" x14ac:dyDescent="0.2">
      <c r="A140" s="6">
        <v>2117</v>
      </c>
      <c r="B140" s="7">
        <v>15108</v>
      </c>
      <c r="C140" s="8">
        <f>DATE(2012,12,31)-1222</f>
        <v>40052</v>
      </c>
      <c r="D140" s="8" t="str">
        <f t="shared" si="2"/>
        <v>2009-08 (август 2009)</v>
      </c>
      <c r="E140" s="9" t="s">
        <v>30</v>
      </c>
      <c r="F140" s="7">
        <v>50</v>
      </c>
      <c r="G140" s="7">
        <v>2066.16</v>
      </c>
      <c r="H140" s="7">
        <v>0.02</v>
      </c>
      <c r="I140" s="9" t="s">
        <v>22</v>
      </c>
      <c r="J140" s="10">
        <v>372.36</v>
      </c>
      <c r="K140" s="11">
        <v>40.99</v>
      </c>
      <c r="L140" s="11">
        <v>17.48</v>
      </c>
      <c r="M140" s="9" t="s">
        <v>188</v>
      </c>
      <c r="N140" s="6" t="s">
        <v>173</v>
      </c>
      <c r="O140" s="6" t="s">
        <v>173</v>
      </c>
      <c r="P140" s="9" t="s">
        <v>25</v>
      </c>
      <c r="Q140" s="9" t="s">
        <v>26</v>
      </c>
      <c r="R140" s="9" t="s">
        <v>61</v>
      </c>
      <c r="S140" s="7" t="s">
        <v>236</v>
      </c>
      <c r="T140" s="9" t="s">
        <v>39</v>
      </c>
      <c r="U140" s="7">
        <v>0.36</v>
      </c>
      <c r="V140" s="12">
        <f>C140+2</f>
        <v>40054</v>
      </c>
      <c r="W140">
        <f>IF(D140=' Pivot Tables'!$A$4,1,0)</f>
        <v>0</v>
      </c>
      <c r="X140">
        <f>IF(AND(LEFT(D140,4)+1=LEFT(' Pivot Tables'!$A$4,4)+0,RIGHT(LEFT(D140,7),2)=RIGHT(LEFT(' Pivot Tables'!$A$4,7),2)),1,0)</f>
        <v>0</v>
      </c>
      <c r="Y140" s="6">
        <f>1/COUNTIF(Таблица1[Order ID],Таблица1[[#This Row],[Order ID]])</f>
        <v>1</v>
      </c>
      <c r="Z140" s="9">
        <f>1/COUNTIFS(Таблица1[Customer Name],Таблица1[[#This Row],[Customer Name]],Таблица1[Order-Year-Month],Таблица1[[#This Row],[Order-Year-Month]])</f>
        <v>1</v>
      </c>
    </row>
    <row r="141" spans="1:26" x14ac:dyDescent="0.2">
      <c r="A141" s="6">
        <v>2129</v>
      </c>
      <c r="B141" s="7">
        <v>15205</v>
      </c>
      <c r="C141" s="8">
        <f>DATE(2012,12,31)-655</f>
        <v>40619</v>
      </c>
      <c r="D141" s="8" t="str">
        <f t="shared" si="2"/>
        <v>2011-03 (март 2011)</v>
      </c>
      <c r="E141" s="9" t="s">
        <v>78</v>
      </c>
      <c r="F141" s="7">
        <v>18</v>
      </c>
      <c r="G141" s="7">
        <v>4605.3599999999997</v>
      </c>
      <c r="H141" s="7">
        <v>0.02</v>
      </c>
      <c r="I141" s="9" t="s">
        <v>31</v>
      </c>
      <c r="J141" s="10">
        <v>678.26</v>
      </c>
      <c r="K141" s="11">
        <v>243.98</v>
      </c>
      <c r="L141" s="11">
        <v>43.32</v>
      </c>
      <c r="M141" s="9" t="s">
        <v>111</v>
      </c>
      <c r="N141" s="6" t="s">
        <v>173</v>
      </c>
      <c r="O141" s="6" t="s">
        <v>173</v>
      </c>
      <c r="P141" s="9" t="s">
        <v>41</v>
      </c>
      <c r="Q141" s="9" t="s">
        <v>49</v>
      </c>
      <c r="R141" s="9" t="s">
        <v>112</v>
      </c>
      <c r="S141" s="7" t="s">
        <v>237</v>
      </c>
      <c r="T141" s="9" t="s">
        <v>36</v>
      </c>
      <c r="U141" s="7">
        <v>0.55000000000000004</v>
      </c>
      <c r="V141" s="12">
        <f>C141+2</f>
        <v>40621</v>
      </c>
      <c r="W141">
        <f>IF(D141=' Pivot Tables'!$A$4,1,0)</f>
        <v>0</v>
      </c>
      <c r="X141">
        <f>IF(AND(LEFT(D141,4)+1=LEFT(' Pivot Tables'!$A$4,4)+0,RIGHT(LEFT(D141,7),2)=RIGHT(LEFT(' Pivot Tables'!$A$4,7),2)),1,0)</f>
        <v>0</v>
      </c>
      <c r="Y141" s="6">
        <f>1/COUNTIF(Таблица1[Order ID],Таблица1[[#This Row],[Order ID]])</f>
        <v>0.5</v>
      </c>
      <c r="Z141" s="9">
        <f>1/COUNTIFS(Таблица1[Customer Name],Таблица1[[#This Row],[Customer Name]],Таблица1[Order-Year-Month],Таблица1[[#This Row],[Order-Year-Month]])</f>
        <v>0.5</v>
      </c>
    </row>
    <row r="142" spans="1:26" x14ac:dyDescent="0.2">
      <c r="A142" s="6">
        <v>2130</v>
      </c>
      <c r="B142" s="7">
        <v>15205</v>
      </c>
      <c r="C142" s="8">
        <f>DATE(2012,12,31)-655</f>
        <v>40619</v>
      </c>
      <c r="D142" s="8" t="str">
        <f t="shared" si="2"/>
        <v>2011-03 (март 2011)</v>
      </c>
      <c r="E142" s="9" t="s">
        <v>78</v>
      </c>
      <c r="F142" s="7">
        <v>42</v>
      </c>
      <c r="G142" s="7">
        <v>1753.51</v>
      </c>
      <c r="H142" s="7">
        <v>0.02</v>
      </c>
      <c r="I142" s="9" t="s">
        <v>22</v>
      </c>
      <c r="J142" s="10">
        <v>155.72</v>
      </c>
      <c r="K142" s="11">
        <v>39.979999999999997</v>
      </c>
      <c r="L142" s="11">
        <v>9.1999999999999993</v>
      </c>
      <c r="M142" s="9" t="s">
        <v>111</v>
      </c>
      <c r="N142" s="6" t="s">
        <v>173</v>
      </c>
      <c r="O142" s="6" t="s">
        <v>173</v>
      </c>
      <c r="P142" s="9" t="s">
        <v>41</v>
      </c>
      <c r="Q142" s="9" t="s">
        <v>49</v>
      </c>
      <c r="R142" s="9" t="s">
        <v>50</v>
      </c>
      <c r="S142" s="7" t="s">
        <v>238</v>
      </c>
      <c r="T142" s="9" t="s">
        <v>68</v>
      </c>
      <c r="U142" s="7">
        <v>0.65</v>
      </c>
      <c r="V142" s="12">
        <f>C142+1</f>
        <v>40620</v>
      </c>
      <c r="W142">
        <f>IF(D142=' Pivot Tables'!$A$4,1,0)</f>
        <v>0</v>
      </c>
      <c r="X142">
        <f>IF(AND(LEFT(D142,4)+1=LEFT(' Pivot Tables'!$A$4,4)+0,RIGHT(LEFT(D142,7),2)=RIGHT(LEFT(' Pivot Tables'!$A$4,7),2)),1,0)</f>
        <v>0</v>
      </c>
      <c r="Y142" s="6">
        <f>1/COUNTIF(Таблица1[Order ID],Таблица1[[#This Row],[Order ID]])</f>
        <v>0.5</v>
      </c>
      <c r="Z142" s="9">
        <f>1/COUNTIFS(Таблица1[Customer Name],Таблица1[[#This Row],[Customer Name]],Таблица1[Order-Year-Month],Таблица1[[#This Row],[Order-Year-Month]])</f>
        <v>0.5</v>
      </c>
    </row>
    <row r="143" spans="1:26" x14ac:dyDescent="0.2">
      <c r="A143" s="6">
        <v>2161</v>
      </c>
      <c r="B143" s="7">
        <v>15591</v>
      </c>
      <c r="C143" s="8">
        <f>DATE(2012,12,31)-208</f>
        <v>41066</v>
      </c>
      <c r="D143" s="8" t="str">
        <f t="shared" si="2"/>
        <v>2012-06 (июнь 2012)</v>
      </c>
      <c r="E143" s="9" t="s">
        <v>78</v>
      </c>
      <c r="F143" s="7">
        <v>31</v>
      </c>
      <c r="G143" s="7">
        <v>426.34</v>
      </c>
      <c r="H143" s="7">
        <v>0</v>
      </c>
      <c r="I143" s="9" t="s">
        <v>22</v>
      </c>
      <c r="J143" s="10">
        <v>73.53</v>
      </c>
      <c r="K143" s="11">
        <v>12.58</v>
      </c>
      <c r="L143" s="11">
        <v>5.16</v>
      </c>
      <c r="M143" s="9" t="s">
        <v>120</v>
      </c>
      <c r="N143" s="6" t="s">
        <v>173</v>
      </c>
      <c r="O143" s="6" t="s">
        <v>173</v>
      </c>
      <c r="P143" s="9" t="s">
        <v>25</v>
      </c>
      <c r="Q143" s="9" t="s">
        <v>49</v>
      </c>
      <c r="R143" s="9" t="s">
        <v>50</v>
      </c>
      <c r="S143" s="7" t="s">
        <v>239</v>
      </c>
      <c r="T143" s="9" t="s">
        <v>39</v>
      </c>
      <c r="U143" s="7">
        <v>0.43</v>
      </c>
      <c r="V143" s="12">
        <f>C143+2</f>
        <v>41068</v>
      </c>
      <c r="W143">
        <f>IF(D143=' Pivot Tables'!$A$4,1,0)</f>
        <v>0</v>
      </c>
      <c r="X143">
        <f>IF(AND(LEFT(D143,4)+1=LEFT(' Pivot Tables'!$A$4,4)+0,RIGHT(LEFT(D143,7),2)=RIGHT(LEFT(' Pivot Tables'!$A$4,7),2)),1,0)</f>
        <v>0</v>
      </c>
      <c r="Y143" s="6">
        <f>1/COUNTIF(Таблица1[Order ID],Таблица1[[#This Row],[Order ID]])</f>
        <v>1</v>
      </c>
      <c r="Z143" s="9">
        <f>1/COUNTIFS(Таблица1[Customer Name],Таблица1[[#This Row],[Customer Name]],Таблица1[Order-Year-Month],Таблица1[[#This Row],[Order-Year-Month]])</f>
        <v>1</v>
      </c>
    </row>
    <row r="144" spans="1:26" x14ac:dyDescent="0.2">
      <c r="A144" s="6">
        <v>2206</v>
      </c>
      <c r="B144" s="7">
        <v>15907</v>
      </c>
      <c r="C144" s="8">
        <f>DATE(2012,12,31)-630</f>
        <v>40644</v>
      </c>
      <c r="D144" s="8" t="str">
        <f t="shared" si="2"/>
        <v>2011-04 (апрель 2011)</v>
      </c>
      <c r="E144" s="9" t="s">
        <v>30</v>
      </c>
      <c r="F144" s="7">
        <v>36</v>
      </c>
      <c r="G144" s="7">
        <v>1837.44</v>
      </c>
      <c r="H144" s="7">
        <v>0.01</v>
      </c>
      <c r="I144" s="9" t="s">
        <v>31</v>
      </c>
      <c r="J144" s="10">
        <v>-1414.41</v>
      </c>
      <c r="K144" s="11">
        <v>48.58</v>
      </c>
      <c r="L144" s="11">
        <v>54.11</v>
      </c>
      <c r="M144" s="9" t="s">
        <v>240</v>
      </c>
      <c r="N144" s="6" t="s">
        <v>173</v>
      </c>
      <c r="O144" s="6" t="s">
        <v>173</v>
      </c>
      <c r="P144" s="9" t="s">
        <v>60</v>
      </c>
      <c r="Q144" s="9" t="s">
        <v>49</v>
      </c>
      <c r="R144" s="9" t="s">
        <v>80</v>
      </c>
      <c r="S144" s="7" t="s">
        <v>241</v>
      </c>
      <c r="T144" s="9" t="s">
        <v>82</v>
      </c>
      <c r="U144" s="7">
        <v>0.69</v>
      </c>
      <c r="V144" s="12">
        <f>C144+2</f>
        <v>40646</v>
      </c>
      <c r="W144">
        <f>IF(D144=' Pivot Tables'!$A$4,1,0)</f>
        <v>0</v>
      </c>
      <c r="X144">
        <f>IF(AND(LEFT(D144,4)+1=LEFT(' Pivot Tables'!$A$4,4)+0,RIGHT(LEFT(D144,7),2)=RIGHT(LEFT(' Pivot Tables'!$A$4,7),2)),1,0)</f>
        <v>0</v>
      </c>
      <c r="Y144" s="6">
        <f>1/COUNTIF(Таблица1[Order ID],Таблица1[[#This Row],[Order ID]])</f>
        <v>0.33333333333333331</v>
      </c>
      <c r="Z144" s="9">
        <f>1/COUNTIFS(Таблица1[Customer Name],Таблица1[[#This Row],[Customer Name]],Таблица1[Order-Year-Month],Таблица1[[#This Row],[Order-Year-Month]])</f>
        <v>0.33333333333333331</v>
      </c>
    </row>
    <row r="145" spans="1:26" x14ac:dyDescent="0.2">
      <c r="A145" s="6">
        <v>2207</v>
      </c>
      <c r="B145" s="7">
        <v>15907</v>
      </c>
      <c r="C145" s="8">
        <f>DATE(2012,12,31)-630</f>
        <v>40644</v>
      </c>
      <c r="D145" s="8" t="str">
        <f t="shared" si="2"/>
        <v>2011-04 (апрель 2011)</v>
      </c>
      <c r="E145" s="9" t="s">
        <v>30</v>
      </c>
      <c r="F145" s="7">
        <v>36</v>
      </c>
      <c r="G145" s="7">
        <v>3722.29</v>
      </c>
      <c r="H145" s="7">
        <v>0.04</v>
      </c>
      <c r="I145" s="9" t="s">
        <v>56</v>
      </c>
      <c r="J145" s="10">
        <v>950.68</v>
      </c>
      <c r="K145" s="11">
        <v>105.98</v>
      </c>
      <c r="L145" s="11">
        <v>13.99</v>
      </c>
      <c r="M145" s="9" t="s">
        <v>240</v>
      </c>
      <c r="N145" s="6" t="s">
        <v>173</v>
      </c>
      <c r="O145" s="6" t="s">
        <v>173</v>
      </c>
      <c r="P145" s="9" t="s">
        <v>60</v>
      </c>
      <c r="Q145" s="9" t="s">
        <v>49</v>
      </c>
      <c r="R145" s="9" t="s">
        <v>50</v>
      </c>
      <c r="S145" s="7" t="s">
        <v>242</v>
      </c>
      <c r="T145" s="9" t="s">
        <v>48</v>
      </c>
      <c r="U145" s="7">
        <v>0.65</v>
      </c>
      <c r="V145" s="12">
        <f>C145+3</f>
        <v>40647</v>
      </c>
      <c r="W145">
        <f>IF(D145=' Pivot Tables'!$A$4,1,0)</f>
        <v>0</v>
      </c>
      <c r="X145">
        <f>IF(AND(LEFT(D145,4)+1=LEFT(' Pivot Tables'!$A$4,4)+0,RIGHT(LEFT(D145,7),2)=RIGHT(LEFT(' Pivot Tables'!$A$4,7),2)),1,0)</f>
        <v>0</v>
      </c>
      <c r="Y145" s="6">
        <f>1/COUNTIF(Таблица1[Order ID],Таблица1[[#This Row],[Order ID]])</f>
        <v>0.33333333333333331</v>
      </c>
      <c r="Z145" s="9">
        <f>1/COUNTIFS(Таблица1[Customer Name],Таблица1[[#This Row],[Customer Name]],Таблица1[Order-Year-Month],Таблица1[[#This Row],[Order-Year-Month]])</f>
        <v>0.33333333333333331</v>
      </c>
    </row>
    <row r="146" spans="1:26" x14ac:dyDescent="0.2">
      <c r="A146" s="6">
        <v>2208</v>
      </c>
      <c r="B146" s="7">
        <v>15907</v>
      </c>
      <c r="C146" s="8">
        <f>DATE(2012,12,31)-630</f>
        <v>40644</v>
      </c>
      <c r="D146" s="8" t="str">
        <f t="shared" si="2"/>
        <v>2011-04 (апрель 2011)</v>
      </c>
      <c r="E146" s="9" t="s">
        <v>30</v>
      </c>
      <c r="F146" s="7">
        <v>4</v>
      </c>
      <c r="G146" s="7">
        <v>28.05</v>
      </c>
      <c r="H146" s="7">
        <v>0.09</v>
      </c>
      <c r="I146" s="9" t="s">
        <v>22</v>
      </c>
      <c r="J146" s="10">
        <v>-5.41</v>
      </c>
      <c r="K146" s="11">
        <v>7.04</v>
      </c>
      <c r="L146" s="11">
        <v>2.17</v>
      </c>
      <c r="M146" s="9" t="s">
        <v>240</v>
      </c>
      <c r="N146" s="6" t="s">
        <v>173</v>
      </c>
      <c r="O146" s="6" t="s">
        <v>173</v>
      </c>
      <c r="P146" s="9" t="s">
        <v>60</v>
      </c>
      <c r="Q146" s="9" t="s">
        <v>26</v>
      </c>
      <c r="R146" s="9" t="s">
        <v>61</v>
      </c>
      <c r="S146" s="7" t="s">
        <v>243</v>
      </c>
      <c r="T146" s="9" t="s">
        <v>68</v>
      </c>
      <c r="U146" s="7">
        <v>0.38</v>
      </c>
      <c r="V146" s="12">
        <f>C146+1</f>
        <v>40645</v>
      </c>
      <c r="W146">
        <f>IF(D146=' Pivot Tables'!$A$4,1,0)</f>
        <v>0</v>
      </c>
      <c r="X146">
        <f>IF(AND(LEFT(D146,4)+1=LEFT(' Pivot Tables'!$A$4,4)+0,RIGHT(LEFT(D146,7),2)=RIGHT(LEFT(' Pivot Tables'!$A$4,7),2)),1,0)</f>
        <v>0</v>
      </c>
      <c r="Y146" s="6">
        <f>1/COUNTIF(Таблица1[Order ID],Таблица1[[#This Row],[Order ID]])</f>
        <v>0.33333333333333331</v>
      </c>
      <c r="Z146" s="9">
        <f>1/COUNTIFS(Таблица1[Customer Name],Таблица1[[#This Row],[Customer Name]],Таблица1[Order-Year-Month],Таблица1[[#This Row],[Order-Year-Month]])</f>
        <v>0.33333333333333331</v>
      </c>
    </row>
    <row r="147" spans="1:26" x14ac:dyDescent="0.2">
      <c r="A147" s="6">
        <v>2209</v>
      </c>
      <c r="B147" s="7">
        <v>15937</v>
      </c>
      <c r="C147" s="8">
        <f>DATE(2012,12,31)-55</f>
        <v>41219</v>
      </c>
      <c r="D147" s="8" t="str">
        <f t="shared" si="2"/>
        <v>2012-11 (ноябрь 2012)</v>
      </c>
      <c r="E147" s="9" t="s">
        <v>21</v>
      </c>
      <c r="F147" s="7">
        <v>32</v>
      </c>
      <c r="G147" s="7">
        <v>311.44</v>
      </c>
      <c r="H147" s="7">
        <v>0.04</v>
      </c>
      <c r="I147" s="9" t="s">
        <v>22</v>
      </c>
      <c r="J147" s="10">
        <v>74.069999999999993</v>
      </c>
      <c r="K147" s="11">
        <v>9.7799999999999994</v>
      </c>
      <c r="L147" s="11">
        <v>1.99</v>
      </c>
      <c r="M147" s="9" t="s">
        <v>57</v>
      </c>
      <c r="N147" s="6" t="s">
        <v>173</v>
      </c>
      <c r="O147" s="6" t="s">
        <v>173</v>
      </c>
      <c r="P147" s="9" t="s">
        <v>41</v>
      </c>
      <c r="Q147" s="9" t="s">
        <v>42</v>
      </c>
      <c r="R147" s="9" t="s">
        <v>70</v>
      </c>
      <c r="S147" s="7" t="s">
        <v>244</v>
      </c>
      <c r="T147" s="9" t="s">
        <v>52</v>
      </c>
      <c r="U147" s="7">
        <v>0.43</v>
      </c>
      <c r="V147" s="12">
        <f>C147+4</f>
        <v>41223</v>
      </c>
      <c r="W147">
        <f>IF(D147=' Pivot Tables'!$A$4,1,0)</f>
        <v>0</v>
      </c>
      <c r="X147">
        <f>IF(AND(LEFT(D147,4)+1=LEFT(' Pivot Tables'!$A$4,4)+0,RIGHT(LEFT(D147,7),2)=RIGHT(LEFT(' Pivot Tables'!$A$4,7),2)),1,0)</f>
        <v>0</v>
      </c>
      <c r="Y147" s="6">
        <f>1/COUNTIF(Таблица1[Order ID],Таблица1[[#This Row],[Order ID]])</f>
        <v>0.5</v>
      </c>
      <c r="Z147" s="9">
        <f>1/COUNTIFS(Таблица1[Customer Name],Таблица1[[#This Row],[Customer Name]],Таблица1[Order-Year-Month],Таблица1[[#This Row],[Order-Year-Month]])</f>
        <v>0.5</v>
      </c>
    </row>
    <row r="148" spans="1:26" x14ac:dyDescent="0.2">
      <c r="A148" s="6">
        <v>2210</v>
      </c>
      <c r="B148" s="7">
        <v>15937</v>
      </c>
      <c r="C148" s="8">
        <f>DATE(2012,12,31)-55</f>
        <v>41219</v>
      </c>
      <c r="D148" s="8" t="str">
        <f t="shared" si="2"/>
        <v>2012-11 (ноябрь 2012)</v>
      </c>
      <c r="E148" s="9" t="s">
        <v>21</v>
      </c>
      <c r="F148" s="7">
        <v>17</v>
      </c>
      <c r="G148" s="7">
        <v>215.65</v>
      </c>
      <c r="H148" s="7">
        <v>0.01</v>
      </c>
      <c r="I148" s="9" t="s">
        <v>56</v>
      </c>
      <c r="J148" s="10">
        <v>77.38</v>
      </c>
      <c r="K148" s="11">
        <v>12.22</v>
      </c>
      <c r="L148" s="11">
        <v>2.85</v>
      </c>
      <c r="M148" s="9" t="s">
        <v>57</v>
      </c>
      <c r="N148" s="6" t="s">
        <v>173</v>
      </c>
      <c r="O148" s="6" t="s">
        <v>173</v>
      </c>
      <c r="P148" s="9" t="s">
        <v>41</v>
      </c>
      <c r="Q148" s="9" t="s">
        <v>49</v>
      </c>
      <c r="R148" s="9" t="s">
        <v>50</v>
      </c>
      <c r="S148" s="7" t="s">
        <v>245</v>
      </c>
      <c r="T148" s="9" t="s">
        <v>52</v>
      </c>
      <c r="U148" s="7">
        <v>0.55000000000000004</v>
      </c>
      <c r="V148" s="12">
        <f>C148+9</f>
        <v>41228</v>
      </c>
      <c r="W148">
        <f>IF(D148=' Pivot Tables'!$A$4,1,0)</f>
        <v>0</v>
      </c>
      <c r="X148">
        <f>IF(AND(LEFT(D148,4)+1=LEFT(' Pivot Tables'!$A$4,4)+0,RIGHT(LEFT(D148,7),2)=RIGHT(LEFT(' Pivot Tables'!$A$4,7),2)),1,0)</f>
        <v>0</v>
      </c>
      <c r="Y148" s="6">
        <f>1/COUNTIF(Таблица1[Order ID],Таблица1[[#This Row],[Order ID]])</f>
        <v>0.5</v>
      </c>
      <c r="Z148" s="9">
        <f>1/COUNTIFS(Таблица1[Customer Name],Таблица1[[#This Row],[Customer Name]],Таблица1[Order-Year-Month],Таблица1[[#This Row],[Order-Year-Month]])</f>
        <v>0.5</v>
      </c>
    </row>
    <row r="149" spans="1:26" x14ac:dyDescent="0.2">
      <c r="A149" s="6">
        <v>2221</v>
      </c>
      <c r="B149" s="7">
        <v>16039</v>
      </c>
      <c r="C149" s="8">
        <f>DATE(2012,12,31)-229</f>
        <v>41045</v>
      </c>
      <c r="D149" s="8" t="str">
        <f t="shared" si="2"/>
        <v>2012-05 (май 2012)</v>
      </c>
      <c r="E149" s="9" t="s">
        <v>30</v>
      </c>
      <c r="F149" s="7">
        <v>3</v>
      </c>
      <c r="G149" s="7">
        <v>121.12</v>
      </c>
      <c r="H149" s="7">
        <v>0.1</v>
      </c>
      <c r="I149" s="9" t="s">
        <v>22</v>
      </c>
      <c r="J149" s="10">
        <v>-118.82</v>
      </c>
      <c r="K149" s="11">
        <v>43.98</v>
      </c>
      <c r="L149" s="11">
        <v>1.99</v>
      </c>
      <c r="M149" s="9" t="s">
        <v>139</v>
      </c>
      <c r="N149" s="6" t="s">
        <v>173</v>
      </c>
      <c r="O149" s="6" t="s">
        <v>173</v>
      </c>
      <c r="P149" s="9" t="s">
        <v>60</v>
      </c>
      <c r="Q149" s="9" t="s">
        <v>42</v>
      </c>
      <c r="R149" s="9" t="s">
        <v>70</v>
      </c>
      <c r="S149" s="7" t="s">
        <v>246</v>
      </c>
      <c r="T149" s="9" t="s">
        <v>52</v>
      </c>
      <c r="U149" s="7">
        <v>0.44</v>
      </c>
      <c r="V149" s="12">
        <f>C149+1</f>
        <v>41046</v>
      </c>
      <c r="W149">
        <f>IF(D149=' Pivot Tables'!$A$4,1,0)</f>
        <v>0</v>
      </c>
      <c r="X149">
        <f>IF(AND(LEFT(D149,4)+1=LEFT(' Pivot Tables'!$A$4,4)+0,RIGHT(LEFT(D149,7),2)=RIGHT(LEFT(' Pivot Tables'!$A$4,7),2)),1,0)</f>
        <v>0</v>
      </c>
      <c r="Y149" s="6">
        <f>1/COUNTIF(Таблица1[Order ID],Таблица1[[#This Row],[Order ID]])</f>
        <v>1</v>
      </c>
      <c r="Z149" s="9">
        <f>1/COUNTIFS(Таблица1[Customer Name],Таблица1[[#This Row],[Customer Name]],Таблица1[Order-Year-Month],Таблица1[[#This Row],[Order-Year-Month]])</f>
        <v>1</v>
      </c>
    </row>
    <row r="150" spans="1:26" x14ac:dyDescent="0.2">
      <c r="A150" s="6">
        <v>2246</v>
      </c>
      <c r="B150" s="7">
        <v>16193</v>
      </c>
      <c r="C150" s="8">
        <f>DATE(2012,12,31)-266</f>
        <v>41008</v>
      </c>
      <c r="D150" s="8" t="str">
        <f t="shared" si="2"/>
        <v>2012-04 (апрель 2012)</v>
      </c>
      <c r="E150" s="9" t="s">
        <v>45</v>
      </c>
      <c r="F150" s="7">
        <v>8</v>
      </c>
      <c r="G150" s="7">
        <v>300.2</v>
      </c>
      <c r="H150" s="7">
        <v>0</v>
      </c>
      <c r="I150" s="9" t="s">
        <v>22</v>
      </c>
      <c r="J150" s="10">
        <v>6.4100000000000108</v>
      </c>
      <c r="K150" s="11">
        <v>34.76</v>
      </c>
      <c r="L150" s="11">
        <v>8.2200000000000006</v>
      </c>
      <c r="M150" s="9" t="s">
        <v>137</v>
      </c>
      <c r="N150" s="6" t="s">
        <v>173</v>
      </c>
      <c r="O150" s="6" t="s">
        <v>173</v>
      </c>
      <c r="P150" s="9" t="s">
        <v>41</v>
      </c>
      <c r="Q150" s="9" t="s">
        <v>26</v>
      </c>
      <c r="R150" s="9" t="s">
        <v>27</v>
      </c>
      <c r="S150" s="7" t="s">
        <v>247</v>
      </c>
      <c r="T150" s="9" t="s">
        <v>39</v>
      </c>
      <c r="U150" s="7">
        <v>0.56999999999999995</v>
      </c>
      <c r="V150" s="12">
        <f>C150+2</f>
        <v>41010</v>
      </c>
      <c r="W150">
        <f>IF(D150=' Pivot Tables'!$A$4,1,0)</f>
        <v>0</v>
      </c>
      <c r="X150">
        <f>IF(AND(LEFT(D150,4)+1=LEFT(' Pivot Tables'!$A$4,4)+0,RIGHT(LEFT(D150,7),2)=RIGHT(LEFT(' Pivot Tables'!$A$4,7),2)),1,0)</f>
        <v>0</v>
      </c>
      <c r="Y150" s="6">
        <f>1/COUNTIF(Таблица1[Order ID],Таблица1[[#This Row],[Order ID]])</f>
        <v>0.5</v>
      </c>
      <c r="Z150" s="9">
        <f>1/COUNTIFS(Таблица1[Customer Name],Таблица1[[#This Row],[Customer Name]],Таблица1[Order-Year-Month],Таблица1[[#This Row],[Order-Year-Month]])</f>
        <v>0.25</v>
      </c>
    </row>
    <row r="151" spans="1:26" x14ac:dyDescent="0.2">
      <c r="A151" s="6">
        <v>2247</v>
      </c>
      <c r="B151" s="7">
        <v>16193</v>
      </c>
      <c r="C151" s="8">
        <f>DATE(2012,12,31)-266</f>
        <v>41008</v>
      </c>
      <c r="D151" s="8" t="str">
        <f t="shared" si="2"/>
        <v>2012-04 (апрель 2012)</v>
      </c>
      <c r="E151" s="9" t="s">
        <v>45</v>
      </c>
      <c r="F151" s="7">
        <v>29</v>
      </c>
      <c r="G151" s="7">
        <v>1364.8025</v>
      </c>
      <c r="H151" s="7">
        <v>7.0000000000000007E-2</v>
      </c>
      <c r="I151" s="9" t="s">
        <v>22</v>
      </c>
      <c r="J151" s="10">
        <v>-183.678</v>
      </c>
      <c r="K151" s="11">
        <v>55.99</v>
      </c>
      <c r="L151" s="11">
        <v>5</v>
      </c>
      <c r="M151" s="9" t="s">
        <v>137</v>
      </c>
      <c r="N151" s="6" t="s">
        <v>173</v>
      </c>
      <c r="O151" s="6" t="s">
        <v>173</v>
      </c>
      <c r="P151" s="9" t="s">
        <v>41</v>
      </c>
      <c r="Q151" s="9" t="s">
        <v>42</v>
      </c>
      <c r="R151" s="9" t="s">
        <v>43</v>
      </c>
      <c r="S151" s="7" t="s">
        <v>248</v>
      </c>
      <c r="T151" s="9" t="s">
        <v>52</v>
      </c>
      <c r="U151" s="7">
        <v>0.83</v>
      </c>
      <c r="V151" s="12">
        <f>C151+2</f>
        <v>41010</v>
      </c>
      <c r="W151">
        <f>IF(D151=' Pivot Tables'!$A$4,1,0)</f>
        <v>0</v>
      </c>
      <c r="X151">
        <f>IF(AND(LEFT(D151,4)+1=LEFT(' Pivot Tables'!$A$4,4)+0,RIGHT(LEFT(D151,7),2)=RIGHT(LEFT(' Pivot Tables'!$A$4,7),2)),1,0)</f>
        <v>0</v>
      </c>
      <c r="Y151" s="6">
        <f>1/COUNTIF(Таблица1[Order ID],Таблица1[[#This Row],[Order ID]])</f>
        <v>0.5</v>
      </c>
      <c r="Z151" s="9">
        <f>1/COUNTIFS(Таблица1[Customer Name],Таблица1[[#This Row],[Customer Name]],Таблица1[Order-Year-Month],Таблица1[[#This Row],[Order-Year-Month]])</f>
        <v>0.25</v>
      </c>
    </row>
    <row r="152" spans="1:26" x14ac:dyDescent="0.2">
      <c r="A152" s="6">
        <v>2281</v>
      </c>
      <c r="B152" s="7">
        <v>16423</v>
      </c>
      <c r="C152" s="8">
        <f>DATE(2012,12,31)-148</f>
        <v>41126</v>
      </c>
      <c r="D152" s="8" t="str">
        <f t="shared" si="2"/>
        <v>2012-08 (август 2012)</v>
      </c>
      <c r="E152" s="9" t="s">
        <v>63</v>
      </c>
      <c r="F152" s="7">
        <v>19</v>
      </c>
      <c r="G152" s="7">
        <v>128.21</v>
      </c>
      <c r="H152" s="7">
        <v>0.05</v>
      </c>
      <c r="I152" s="9" t="s">
        <v>22</v>
      </c>
      <c r="J152" s="10">
        <v>-55.13</v>
      </c>
      <c r="K152" s="11">
        <v>6.48</v>
      </c>
      <c r="L152" s="11">
        <v>6.57</v>
      </c>
      <c r="M152" s="9" t="s">
        <v>179</v>
      </c>
      <c r="N152" s="6" t="s">
        <v>173</v>
      </c>
      <c r="O152" s="6" t="s">
        <v>173</v>
      </c>
      <c r="P152" s="9" t="s">
        <v>41</v>
      </c>
      <c r="Q152" s="9" t="s">
        <v>26</v>
      </c>
      <c r="R152" s="9" t="s">
        <v>61</v>
      </c>
      <c r="S152" s="7" t="s">
        <v>249</v>
      </c>
      <c r="T152" s="9" t="s">
        <v>39</v>
      </c>
      <c r="U152" s="7">
        <v>0.37</v>
      </c>
      <c r="V152" s="12">
        <f>C152+2</f>
        <v>41128</v>
      </c>
      <c r="W152">
        <f>IF(D152=' Pivot Tables'!$A$4,1,0)</f>
        <v>0</v>
      </c>
      <c r="X152">
        <f>IF(AND(LEFT(D152,4)+1=LEFT(' Pivot Tables'!$A$4,4)+0,RIGHT(LEFT(D152,7),2)=RIGHT(LEFT(' Pivot Tables'!$A$4,7),2)),1,0)</f>
        <v>0</v>
      </c>
      <c r="Y152" s="6">
        <f>1/COUNTIF(Таблица1[Order ID],Таблица1[[#This Row],[Order ID]])</f>
        <v>1</v>
      </c>
      <c r="Z152" s="9">
        <f>1/COUNTIFS(Таблица1[Customer Name],Таблица1[[#This Row],[Customer Name]],Таблица1[Order-Year-Month],Таблица1[[#This Row],[Order-Year-Month]])</f>
        <v>1</v>
      </c>
    </row>
    <row r="153" spans="1:26" x14ac:dyDescent="0.2">
      <c r="A153" s="6">
        <v>2283</v>
      </c>
      <c r="B153" s="7">
        <v>16451</v>
      </c>
      <c r="C153" s="8">
        <f>DATE(2012,12,31)-1258</f>
        <v>40016</v>
      </c>
      <c r="D153" s="8" t="str">
        <f t="shared" si="2"/>
        <v>2009-07 (июль 2009)</v>
      </c>
      <c r="E153" s="9" t="s">
        <v>45</v>
      </c>
      <c r="F153" s="7">
        <v>9</v>
      </c>
      <c r="G153" s="7">
        <v>252.79</v>
      </c>
      <c r="H153" s="7">
        <v>0.09</v>
      </c>
      <c r="I153" s="9" t="s">
        <v>22</v>
      </c>
      <c r="J153" s="10">
        <v>58.225000000000001</v>
      </c>
      <c r="K153" s="11">
        <v>30.56</v>
      </c>
      <c r="L153" s="11">
        <v>2.99</v>
      </c>
      <c r="M153" s="9" t="s">
        <v>133</v>
      </c>
      <c r="N153" s="6" t="s">
        <v>173</v>
      </c>
      <c r="O153" s="6" t="s">
        <v>173</v>
      </c>
      <c r="P153" s="9" t="s">
        <v>41</v>
      </c>
      <c r="Q153" s="9" t="s">
        <v>26</v>
      </c>
      <c r="R153" s="9" t="s">
        <v>37</v>
      </c>
      <c r="S153" s="7" t="s">
        <v>250</v>
      </c>
      <c r="T153" s="9" t="s">
        <v>39</v>
      </c>
      <c r="U153" s="7">
        <v>0.35</v>
      </c>
      <c r="V153" s="12">
        <f>C153+1</f>
        <v>40017</v>
      </c>
      <c r="W153">
        <f>IF(D153=' Pivot Tables'!$A$4,1,0)</f>
        <v>0</v>
      </c>
      <c r="X153">
        <f>IF(AND(LEFT(D153,4)+1=LEFT(' Pivot Tables'!$A$4,4)+0,RIGHT(LEFT(D153,7),2)=RIGHT(LEFT(' Pivot Tables'!$A$4,7),2)),1,0)</f>
        <v>0</v>
      </c>
      <c r="Y153" s="6">
        <f>1/COUNTIF(Таблица1[Order ID],Таблица1[[#This Row],[Order ID]])</f>
        <v>1</v>
      </c>
      <c r="Z153" s="9">
        <f>1/COUNTIFS(Таблица1[Customer Name],Таблица1[[#This Row],[Customer Name]],Таблица1[Order-Year-Month],Таблица1[[#This Row],[Order-Year-Month]])</f>
        <v>1</v>
      </c>
    </row>
    <row r="154" spans="1:26" x14ac:dyDescent="0.2">
      <c r="A154" s="6">
        <v>2294</v>
      </c>
      <c r="B154" s="7">
        <v>16545</v>
      </c>
      <c r="C154" s="8">
        <f>DATE(2012,12,31)-967</f>
        <v>40307</v>
      </c>
      <c r="D154" s="8" t="str">
        <f t="shared" si="2"/>
        <v>2010-05 (май 2010)</v>
      </c>
      <c r="E154" s="9" t="s">
        <v>45</v>
      </c>
      <c r="F154" s="7">
        <v>10</v>
      </c>
      <c r="G154" s="7">
        <v>50.97</v>
      </c>
      <c r="H154" s="7">
        <v>0.09</v>
      </c>
      <c r="I154" s="9" t="s">
        <v>22</v>
      </c>
      <c r="J154" s="10">
        <v>4.45</v>
      </c>
      <c r="K154" s="11">
        <v>5.16</v>
      </c>
      <c r="L154" s="11">
        <v>0.73</v>
      </c>
      <c r="M154" s="9" t="s">
        <v>46</v>
      </c>
      <c r="N154" s="6" t="s">
        <v>173</v>
      </c>
      <c r="O154" s="6" t="s">
        <v>173</v>
      </c>
      <c r="P154" s="9" t="s">
        <v>25</v>
      </c>
      <c r="Q154" s="9" t="s">
        <v>26</v>
      </c>
      <c r="R154" s="9" t="s">
        <v>95</v>
      </c>
      <c r="S154" s="7" t="s">
        <v>251</v>
      </c>
      <c r="T154" s="9" t="s">
        <v>68</v>
      </c>
      <c r="U154" s="7">
        <v>0.56000000000000005</v>
      </c>
      <c r="V154" s="12">
        <f>C154+2</f>
        <v>40309</v>
      </c>
      <c r="W154">
        <f>IF(D154=' Pivot Tables'!$A$4,1,0)</f>
        <v>0</v>
      </c>
      <c r="X154">
        <f>IF(AND(LEFT(D154,4)+1=LEFT(' Pivot Tables'!$A$4,4)+0,RIGHT(LEFT(D154,7),2)=RIGHT(LEFT(' Pivot Tables'!$A$4,7),2)),1,0)</f>
        <v>0</v>
      </c>
      <c r="Y154" s="6">
        <f>1/COUNTIF(Таблица1[Order ID],Таблица1[[#This Row],[Order ID]])</f>
        <v>0.5</v>
      </c>
      <c r="Z154" s="9">
        <f>1/COUNTIFS(Таблица1[Customer Name],Таблица1[[#This Row],[Customer Name]],Таблица1[Order-Year-Month],Таблица1[[#This Row],[Order-Year-Month]])</f>
        <v>0.5</v>
      </c>
    </row>
    <row r="155" spans="1:26" x14ac:dyDescent="0.2">
      <c r="A155" s="6">
        <v>2295</v>
      </c>
      <c r="B155" s="7">
        <v>16545</v>
      </c>
      <c r="C155" s="8">
        <f>DATE(2012,12,31)-967</f>
        <v>40307</v>
      </c>
      <c r="D155" s="8" t="str">
        <f t="shared" si="2"/>
        <v>2010-05 (май 2010)</v>
      </c>
      <c r="E155" s="9" t="s">
        <v>45</v>
      </c>
      <c r="F155" s="7">
        <v>1</v>
      </c>
      <c r="G155" s="7">
        <v>4.99</v>
      </c>
      <c r="H155" s="7">
        <v>0.04</v>
      </c>
      <c r="I155" s="9" t="s">
        <v>22</v>
      </c>
      <c r="J155" s="10">
        <v>-3.06</v>
      </c>
      <c r="K155" s="11">
        <v>3.68</v>
      </c>
      <c r="L155" s="11">
        <v>1.32</v>
      </c>
      <c r="M155" s="9" t="s">
        <v>46</v>
      </c>
      <c r="N155" s="6" t="s">
        <v>173</v>
      </c>
      <c r="O155" s="6" t="s">
        <v>173</v>
      </c>
      <c r="P155" s="9" t="s">
        <v>25</v>
      </c>
      <c r="Q155" s="9" t="s">
        <v>26</v>
      </c>
      <c r="R155" s="9" t="s">
        <v>150</v>
      </c>
      <c r="S155" s="7" t="s">
        <v>252</v>
      </c>
      <c r="T155" s="9" t="s">
        <v>68</v>
      </c>
      <c r="U155" s="7">
        <v>0.83</v>
      </c>
      <c r="V155" s="12">
        <f>C155+2</f>
        <v>40309</v>
      </c>
      <c r="W155">
        <f>IF(D155=' Pivot Tables'!$A$4,1,0)</f>
        <v>0</v>
      </c>
      <c r="X155">
        <f>IF(AND(LEFT(D155,4)+1=LEFT(' Pivot Tables'!$A$4,4)+0,RIGHT(LEFT(D155,7),2)=RIGHT(LEFT(' Pivot Tables'!$A$4,7),2)),1,0)</f>
        <v>0</v>
      </c>
      <c r="Y155" s="6">
        <f>1/COUNTIF(Таблица1[Order ID],Таблица1[[#This Row],[Order ID]])</f>
        <v>0.5</v>
      </c>
      <c r="Z155" s="9">
        <f>1/COUNTIFS(Таблица1[Customer Name],Таблица1[[#This Row],[Customer Name]],Таблица1[Order-Year-Month],Таблица1[[#This Row],[Order-Year-Month]])</f>
        <v>0.5</v>
      </c>
    </row>
    <row r="156" spans="1:26" x14ac:dyDescent="0.2">
      <c r="A156" s="6">
        <v>2296</v>
      </c>
      <c r="B156" s="7">
        <v>16547</v>
      </c>
      <c r="C156" s="8">
        <f>DATE(2012,12,31)-1412</f>
        <v>39862</v>
      </c>
      <c r="D156" s="8" t="str">
        <f t="shared" si="2"/>
        <v>2009-02 (февраль 2009)</v>
      </c>
      <c r="E156" s="9" t="s">
        <v>45</v>
      </c>
      <c r="F156" s="7">
        <v>30</v>
      </c>
      <c r="G156" s="7">
        <v>10554.63</v>
      </c>
      <c r="H156" s="7">
        <v>0.09</v>
      </c>
      <c r="I156" s="9" t="s">
        <v>31</v>
      </c>
      <c r="J156" s="10">
        <v>1240.25</v>
      </c>
      <c r="K156" s="11">
        <v>355.98</v>
      </c>
      <c r="L156" s="11">
        <v>58.92</v>
      </c>
      <c r="M156" s="9" t="s">
        <v>122</v>
      </c>
      <c r="N156" s="6" t="s">
        <v>173</v>
      </c>
      <c r="O156" s="6" t="s">
        <v>173</v>
      </c>
      <c r="P156" s="9" t="s">
        <v>41</v>
      </c>
      <c r="Q156" s="9" t="s">
        <v>49</v>
      </c>
      <c r="R156" s="9" t="s">
        <v>112</v>
      </c>
      <c r="S156" s="7" t="s">
        <v>253</v>
      </c>
      <c r="T156" s="9" t="s">
        <v>36</v>
      </c>
      <c r="U156" s="7">
        <v>0.64</v>
      </c>
      <c r="V156" s="12">
        <f>C156+2</f>
        <v>39864</v>
      </c>
      <c r="W156">
        <f>IF(D156=' Pivot Tables'!$A$4,1,0)</f>
        <v>0</v>
      </c>
      <c r="X156">
        <f>IF(AND(LEFT(D156,4)+1=LEFT(' Pivot Tables'!$A$4,4)+0,RIGHT(LEFT(D156,7),2)=RIGHT(LEFT(' Pivot Tables'!$A$4,7),2)),1,0)</f>
        <v>0</v>
      </c>
      <c r="Y156" s="6">
        <f>1/COUNTIF(Таблица1[Order ID],Таблица1[[#This Row],[Order ID]])</f>
        <v>0.5</v>
      </c>
      <c r="Z156" s="9">
        <f>1/COUNTIFS(Таблица1[Customer Name],Таблица1[[#This Row],[Customer Name]],Таблица1[Order-Year-Month],Таблица1[[#This Row],[Order-Year-Month]])</f>
        <v>0.5</v>
      </c>
    </row>
    <row r="157" spans="1:26" x14ac:dyDescent="0.2">
      <c r="A157" s="6">
        <v>2297</v>
      </c>
      <c r="B157" s="7">
        <v>16547</v>
      </c>
      <c r="C157" s="8">
        <f>DATE(2012,12,31)-1412</f>
        <v>39862</v>
      </c>
      <c r="D157" s="8" t="str">
        <f t="shared" si="2"/>
        <v>2009-02 (февраль 2009)</v>
      </c>
      <c r="E157" s="9" t="s">
        <v>45</v>
      </c>
      <c r="F157" s="7">
        <v>8</v>
      </c>
      <c r="G157" s="7">
        <v>1749.64</v>
      </c>
      <c r="H157" s="7">
        <v>0.04</v>
      </c>
      <c r="I157" s="9" t="s">
        <v>31</v>
      </c>
      <c r="J157" s="10">
        <v>-533.23200000000008</v>
      </c>
      <c r="K157" s="11">
        <v>218.75</v>
      </c>
      <c r="L157" s="11">
        <v>69.64</v>
      </c>
      <c r="M157" s="9" t="s">
        <v>122</v>
      </c>
      <c r="N157" s="6" t="s">
        <v>173</v>
      </c>
      <c r="O157" s="6" t="s">
        <v>173</v>
      </c>
      <c r="P157" s="9" t="s">
        <v>41</v>
      </c>
      <c r="Q157" s="9" t="s">
        <v>49</v>
      </c>
      <c r="R157" s="9" t="s">
        <v>83</v>
      </c>
      <c r="S157" s="7" t="s">
        <v>254</v>
      </c>
      <c r="T157" s="9" t="s">
        <v>82</v>
      </c>
      <c r="U157" s="7">
        <v>0.77</v>
      </c>
      <c r="V157" s="12">
        <f>C157+0</f>
        <v>39862</v>
      </c>
      <c r="W157">
        <f>IF(D157=' Pivot Tables'!$A$4,1,0)</f>
        <v>0</v>
      </c>
      <c r="X157">
        <f>IF(AND(LEFT(D157,4)+1=LEFT(' Pivot Tables'!$A$4,4)+0,RIGHT(LEFT(D157,7),2)=RIGHT(LEFT(' Pivot Tables'!$A$4,7),2)),1,0)</f>
        <v>0</v>
      </c>
      <c r="Y157" s="6">
        <f>1/COUNTIF(Таблица1[Order ID],Таблица1[[#This Row],[Order ID]])</f>
        <v>0.5</v>
      </c>
      <c r="Z157" s="9">
        <f>1/COUNTIFS(Таблица1[Customer Name],Таблица1[[#This Row],[Customer Name]],Таблица1[Order-Year-Month],Таблица1[[#This Row],[Order-Year-Month]])</f>
        <v>0.5</v>
      </c>
    </row>
    <row r="158" spans="1:26" x14ac:dyDescent="0.2">
      <c r="A158" s="6">
        <v>2316</v>
      </c>
      <c r="B158" s="7">
        <v>16706</v>
      </c>
      <c r="C158" s="8">
        <f>DATE(2012,12,31)-187</f>
        <v>41087</v>
      </c>
      <c r="D158" s="8" t="str">
        <f t="shared" si="2"/>
        <v>2012-06 (июнь 2012)</v>
      </c>
      <c r="E158" s="9" t="s">
        <v>30</v>
      </c>
      <c r="F158" s="7">
        <v>47</v>
      </c>
      <c r="G158" s="7">
        <v>1943.72</v>
      </c>
      <c r="H158" s="7">
        <v>0.03</v>
      </c>
      <c r="I158" s="9" t="s">
        <v>22</v>
      </c>
      <c r="J158" s="10">
        <v>-1003.58</v>
      </c>
      <c r="K158" s="11">
        <v>41.47</v>
      </c>
      <c r="L158" s="11">
        <v>34.200000000000003</v>
      </c>
      <c r="M158" s="9" t="s">
        <v>135</v>
      </c>
      <c r="N158" s="6" t="s">
        <v>173</v>
      </c>
      <c r="O158" s="6" t="s">
        <v>173</v>
      </c>
      <c r="P158" s="9" t="s">
        <v>41</v>
      </c>
      <c r="Q158" s="9" t="s">
        <v>49</v>
      </c>
      <c r="R158" s="9" t="s">
        <v>50</v>
      </c>
      <c r="S158" s="7" t="s">
        <v>255</v>
      </c>
      <c r="T158" s="9" t="s">
        <v>68</v>
      </c>
      <c r="U158" s="7">
        <v>0.73</v>
      </c>
      <c r="V158" s="12">
        <f>C158+1</f>
        <v>41088</v>
      </c>
      <c r="W158">
        <f>IF(D158=' Pivot Tables'!$A$4,1,0)</f>
        <v>0</v>
      </c>
      <c r="X158">
        <f>IF(AND(LEFT(D158,4)+1=LEFT(' Pivot Tables'!$A$4,4)+0,RIGHT(LEFT(D158,7),2)=RIGHT(LEFT(' Pivot Tables'!$A$4,7),2)),1,0)</f>
        <v>0</v>
      </c>
      <c r="Y158" s="6">
        <f>1/COUNTIF(Таблица1[Order ID],Таблица1[[#This Row],[Order ID]])</f>
        <v>0.33333333333333331</v>
      </c>
      <c r="Z158" s="9">
        <f>1/COUNTIFS(Таблица1[Customer Name],Таблица1[[#This Row],[Customer Name]],Таблица1[Order-Year-Month],Таблица1[[#This Row],[Order-Year-Month]])</f>
        <v>0.33333333333333331</v>
      </c>
    </row>
    <row r="159" spans="1:26" x14ac:dyDescent="0.2">
      <c r="A159" s="6">
        <v>2317</v>
      </c>
      <c r="B159" s="7">
        <v>16706</v>
      </c>
      <c r="C159" s="8">
        <f>DATE(2012,12,31)-187</f>
        <v>41087</v>
      </c>
      <c r="D159" s="8" t="str">
        <f t="shared" si="2"/>
        <v>2012-06 (июнь 2012)</v>
      </c>
      <c r="E159" s="9" t="s">
        <v>30</v>
      </c>
      <c r="F159" s="7">
        <v>6</v>
      </c>
      <c r="G159" s="7">
        <v>18.37</v>
      </c>
      <c r="H159" s="7">
        <v>0.01</v>
      </c>
      <c r="I159" s="9" t="s">
        <v>22</v>
      </c>
      <c r="J159" s="10">
        <v>-4.0599999999999996</v>
      </c>
      <c r="K159" s="11">
        <v>2.78</v>
      </c>
      <c r="L159" s="11">
        <v>1.2</v>
      </c>
      <c r="M159" s="9" t="s">
        <v>135</v>
      </c>
      <c r="N159" s="6" t="s">
        <v>173</v>
      </c>
      <c r="O159" s="6" t="s">
        <v>173</v>
      </c>
      <c r="P159" s="9" t="s">
        <v>41</v>
      </c>
      <c r="Q159" s="9" t="s">
        <v>26</v>
      </c>
      <c r="R159" s="9" t="s">
        <v>95</v>
      </c>
      <c r="S159" s="7" t="s">
        <v>256</v>
      </c>
      <c r="T159" s="9" t="s">
        <v>68</v>
      </c>
      <c r="U159" s="7">
        <v>0.57999999999999996</v>
      </c>
      <c r="V159" s="12">
        <f>C159+1</f>
        <v>41088</v>
      </c>
      <c r="W159">
        <f>IF(D159=' Pivot Tables'!$A$4,1,0)</f>
        <v>0</v>
      </c>
      <c r="X159">
        <f>IF(AND(LEFT(D159,4)+1=LEFT(' Pivot Tables'!$A$4,4)+0,RIGHT(LEFT(D159,7),2)=RIGHT(LEFT(' Pivot Tables'!$A$4,7),2)),1,0)</f>
        <v>0</v>
      </c>
      <c r="Y159" s="6">
        <f>1/COUNTIF(Таблица1[Order ID],Таблица1[[#This Row],[Order ID]])</f>
        <v>0.33333333333333331</v>
      </c>
      <c r="Z159" s="9">
        <f>1/COUNTIFS(Таблица1[Customer Name],Таблица1[[#This Row],[Customer Name]],Таблица1[Order-Year-Month],Таблица1[[#This Row],[Order-Year-Month]])</f>
        <v>0.33333333333333331</v>
      </c>
    </row>
    <row r="160" spans="1:26" x14ac:dyDescent="0.2">
      <c r="A160" s="6">
        <v>2318</v>
      </c>
      <c r="B160" s="7">
        <v>16706</v>
      </c>
      <c r="C160" s="8">
        <f>DATE(2012,12,31)-187</f>
        <v>41087</v>
      </c>
      <c r="D160" s="8" t="str">
        <f t="shared" si="2"/>
        <v>2012-06 (июнь 2012)</v>
      </c>
      <c r="E160" s="9" t="s">
        <v>30</v>
      </c>
      <c r="F160" s="7">
        <v>49</v>
      </c>
      <c r="G160" s="7">
        <v>6175.777</v>
      </c>
      <c r="H160" s="7">
        <v>7.0000000000000007E-2</v>
      </c>
      <c r="I160" s="9" t="s">
        <v>56</v>
      </c>
      <c r="J160" s="10">
        <v>1881.5759999999998</v>
      </c>
      <c r="K160" s="11">
        <v>155.99</v>
      </c>
      <c r="L160" s="11">
        <v>3.9</v>
      </c>
      <c r="M160" s="9" t="s">
        <v>135</v>
      </c>
      <c r="N160" s="6" t="s">
        <v>173</v>
      </c>
      <c r="O160" s="6" t="s">
        <v>173</v>
      </c>
      <c r="P160" s="9" t="s">
        <v>41</v>
      </c>
      <c r="Q160" s="9" t="s">
        <v>42</v>
      </c>
      <c r="R160" s="9" t="s">
        <v>43</v>
      </c>
      <c r="S160" s="7" t="s">
        <v>257</v>
      </c>
      <c r="T160" s="9" t="s">
        <v>39</v>
      </c>
      <c r="U160" s="7">
        <v>0.55000000000000004</v>
      </c>
      <c r="V160" s="12">
        <f>C160+2</f>
        <v>41089</v>
      </c>
      <c r="W160">
        <f>IF(D160=' Pivot Tables'!$A$4,1,0)</f>
        <v>0</v>
      </c>
      <c r="X160">
        <f>IF(AND(LEFT(D160,4)+1=LEFT(' Pivot Tables'!$A$4,4)+0,RIGHT(LEFT(D160,7),2)=RIGHT(LEFT(' Pivot Tables'!$A$4,7),2)),1,0)</f>
        <v>0</v>
      </c>
      <c r="Y160" s="6">
        <f>1/COUNTIF(Таблица1[Order ID],Таблица1[[#This Row],[Order ID]])</f>
        <v>0.33333333333333331</v>
      </c>
      <c r="Z160" s="9">
        <f>1/COUNTIFS(Таблица1[Customer Name],Таблица1[[#This Row],[Customer Name]],Таблица1[Order-Year-Month],Таблица1[[#This Row],[Order-Year-Month]])</f>
        <v>0.33333333333333331</v>
      </c>
    </row>
    <row r="161" spans="1:26" x14ac:dyDescent="0.2">
      <c r="A161" s="6">
        <v>2323</v>
      </c>
      <c r="B161" s="7">
        <v>16741</v>
      </c>
      <c r="C161" s="8">
        <f>DATE(2012,12,31)-823</f>
        <v>40451</v>
      </c>
      <c r="D161" s="8" t="str">
        <f t="shared" si="2"/>
        <v>2010-09 (сентябрь 2010)</v>
      </c>
      <c r="E161" s="9" t="s">
        <v>63</v>
      </c>
      <c r="F161" s="7">
        <v>6</v>
      </c>
      <c r="G161" s="7">
        <v>157.97</v>
      </c>
      <c r="H161" s="7">
        <v>0.01</v>
      </c>
      <c r="I161" s="9" t="s">
        <v>22</v>
      </c>
      <c r="J161" s="10">
        <v>-42.38</v>
      </c>
      <c r="K161" s="11">
        <v>22.84</v>
      </c>
      <c r="L161" s="11">
        <v>16.87</v>
      </c>
      <c r="M161" s="9" t="s">
        <v>122</v>
      </c>
      <c r="N161" s="6" t="s">
        <v>173</v>
      </c>
      <c r="O161" s="6" t="s">
        <v>173</v>
      </c>
      <c r="P161" s="9" t="s">
        <v>25</v>
      </c>
      <c r="Q161" s="9" t="s">
        <v>26</v>
      </c>
      <c r="R161" s="9" t="s">
        <v>61</v>
      </c>
      <c r="S161" s="7" t="s">
        <v>258</v>
      </c>
      <c r="T161" s="9" t="s">
        <v>39</v>
      </c>
      <c r="U161" s="7">
        <v>0.39</v>
      </c>
      <c r="V161" s="12">
        <f>C161+1</f>
        <v>40452</v>
      </c>
      <c r="W161">
        <f>IF(D161=' Pivot Tables'!$A$4,1,0)</f>
        <v>0</v>
      </c>
      <c r="X161">
        <f>IF(AND(LEFT(D161,4)+1=LEFT(' Pivot Tables'!$A$4,4)+0,RIGHT(LEFT(D161,7),2)=RIGHT(LEFT(' Pivot Tables'!$A$4,7),2)),1,0)</f>
        <v>0</v>
      </c>
      <c r="Y161" s="6">
        <f>1/COUNTIF(Таблица1[Order ID],Таблица1[[#This Row],[Order ID]])</f>
        <v>1</v>
      </c>
      <c r="Z161" s="9">
        <f>1/COUNTIFS(Таблица1[Customer Name],Таблица1[[#This Row],[Customer Name]],Таблица1[Order-Year-Month],Таблица1[[#This Row],[Order-Year-Month]])</f>
        <v>1</v>
      </c>
    </row>
    <row r="162" spans="1:26" x14ac:dyDescent="0.2">
      <c r="A162" s="6">
        <v>2346</v>
      </c>
      <c r="B162" s="7">
        <v>16932</v>
      </c>
      <c r="C162" s="8">
        <f>DATE(2012,12,31)-991</f>
        <v>40283</v>
      </c>
      <c r="D162" s="8" t="str">
        <f t="shared" si="2"/>
        <v>2010-04 (апрель 2010)</v>
      </c>
      <c r="E162" s="9" t="s">
        <v>78</v>
      </c>
      <c r="F162" s="7">
        <v>25</v>
      </c>
      <c r="G162" s="7">
        <v>144.84</v>
      </c>
      <c r="H162" s="7">
        <v>0.09</v>
      </c>
      <c r="I162" s="9" t="s">
        <v>22</v>
      </c>
      <c r="J162" s="10">
        <v>-120.99</v>
      </c>
      <c r="K162" s="11">
        <v>5.78</v>
      </c>
      <c r="L162" s="11">
        <v>8.09</v>
      </c>
      <c r="M162" s="9" t="s">
        <v>46</v>
      </c>
      <c r="N162" s="6" t="s">
        <v>173</v>
      </c>
      <c r="O162" s="6" t="s">
        <v>173</v>
      </c>
      <c r="P162" s="9" t="s">
        <v>33</v>
      </c>
      <c r="Q162" s="9" t="s">
        <v>26</v>
      </c>
      <c r="R162" s="9" t="s">
        <v>61</v>
      </c>
      <c r="S162" s="7" t="s">
        <v>259</v>
      </c>
      <c r="T162" s="9" t="s">
        <v>39</v>
      </c>
      <c r="U162" s="7">
        <v>0.36</v>
      </c>
      <c r="V162" s="12">
        <f>C162+1</f>
        <v>40284</v>
      </c>
      <c r="W162">
        <f>IF(D162=' Pivot Tables'!$A$4,1,0)</f>
        <v>0</v>
      </c>
      <c r="X162">
        <f>IF(AND(LEFT(D162,4)+1=LEFT(' Pivot Tables'!$A$4,4)+0,RIGHT(LEFT(D162,7),2)=RIGHT(LEFT(' Pivot Tables'!$A$4,7),2)),1,0)</f>
        <v>0</v>
      </c>
      <c r="Y162" s="6">
        <f>1/COUNTIF(Таблица1[Order ID],Таблица1[[#This Row],[Order ID]])</f>
        <v>0.5</v>
      </c>
      <c r="Z162" s="9">
        <f>1/COUNTIFS(Таблица1[Customer Name],Таблица1[[#This Row],[Customer Name]],Таблица1[Order-Year-Month],Таблица1[[#This Row],[Order-Year-Month]])</f>
        <v>0.5</v>
      </c>
    </row>
    <row r="163" spans="1:26" x14ac:dyDescent="0.2">
      <c r="A163" s="6">
        <v>2347</v>
      </c>
      <c r="B163" s="7">
        <v>16932</v>
      </c>
      <c r="C163" s="8">
        <f>DATE(2012,12,31)-991</f>
        <v>40283</v>
      </c>
      <c r="D163" s="8" t="str">
        <f t="shared" si="2"/>
        <v>2010-04 (апрель 2010)</v>
      </c>
      <c r="E163" s="9" t="s">
        <v>78</v>
      </c>
      <c r="F163" s="7">
        <v>20</v>
      </c>
      <c r="G163" s="7">
        <v>127.16</v>
      </c>
      <c r="H163" s="7">
        <v>0.09</v>
      </c>
      <c r="I163" s="9" t="s">
        <v>22</v>
      </c>
      <c r="J163" s="10">
        <v>12.88</v>
      </c>
      <c r="K163" s="11">
        <v>6.7</v>
      </c>
      <c r="L163" s="11">
        <v>1.56</v>
      </c>
      <c r="M163" s="9" t="s">
        <v>46</v>
      </c>
      <c r="N163" s="6" t="s">
        <v>173</v>
      </c>
      <c r="O163" s="6" t="s">
        <v>173</v>
      </c>
      <c r="P163" s="9" t="s">
        <v>33</v>
      </c>
      <c r="Q163" s="9" t="s">
        <v>26</v>
      </c>
      <c r="R163" s="9" t="s">
        <v>95</v>
      </c>
      <c r="S163" s="7" t="s">
        <v>260</v>
      </c>
      <c r="T163" s="9" t="s">
        <v>68</v>
      </c>
      <c r="U163" s="7">
        <v>0.52</v>
      </c>
      <c r="V163" s="12">
        <f>C163+0</f>
        <v>40283</v>
      </c>
      <c r="W163">
        <f>IF(D163=' Pivot Tables'!$A$4,1,0)</f>
        <v>0</v>
      </c>
      <c r="X163">
        <f>IF(AND(LEFT(D163,4)+1=LEFT(' Pivot Tables'!$A$4,4)+0,RIGHT(LEFT(D163,7),2)=RIGHT(LEFT(' Pivot Tables'!$A$4,7),2)),1,0)</f>
        <v>0</v>
      </c>
      <c r="Y163" s="6">
        <f>1/COUNTIF(Таблица1[Order ID],Таблица1[[#This Row],[Order ID]])</f>
        <v>0.5</v>
      </c>
      <c r="Z163" s="9">
        <f>1/COUNTIFS(Таблица1[Customer Name],Таблица1[[#This Row],[Customer Name]],Таблица1[Order-Year-Month],Таблица1[[#This Row],[Order-Year-Month]])</f>
        <v>0.5</v>
      </c>
    </row>
    <row r="164" spans="1:26" x14ac:dyDescent="0.2">
      <c r="A164" s="6">
        <v>2383</v>
      </c>
      <c r="B164" s="7">
        <v>17283</v>
      </c>
      <c r="C164" s="8">
        <f>DATE(2012,12,31)-474</f>
        <v>40800</v>
      </c>
      <c r="D164" s="8" t="str">
        <f t="shared" si="2"/>
        <v>2011-09 (сентябрь 2011)</v>
      </c>
      <c r="E164" s="9" t="s">
        <v>45</v>
      </c>
      <c r="F164" s="7">
        <v>4</v>
      </c>
      <c r="G164" s="7">
        <v>5472.12</v>
      </c>
      <c r="H164" s="7">
        <v>0.06</v>
      </c>
      <c r="I164" s="9" t="s">
        <v>31</v>
      </c>
      <c r="J164" s="10">
        <v>-2816.3379</v>
      </c>
      <c r="K164" s="11">
        <v>1360.14</v>
      </c>
      <c r="L164" s="11">
        <v>14.7</v>
      </c>
      <c r="M164" s="9" t="s">
        <v>59</v>
      </c>
      <c r="N164" s="6" t="s">
        <v>173</v>
      </c>
      <c r="O164" s="6" t="s">
        <v>173</v>
      </c>
      <c r="P164" s="9" t="s">
        <v>60</v>
      </c>
      <c r="Q164" s="9" t="s">
        <v>42</v>
      </c>
      <c r="R164" s="9" t="s">
        <v>210</v>
      </c>
      <c r="S164" s="7" t="s">
        <v>261</v>
      </c>
      <c r="T164" s="9" t="s">
        <v>36</v>
      </c>
      <c r="U164" s="7">
        <v>0.59</v>
      </c>
      <c r="V164" s="12">
        <f>C164+1</f>
        <v>40801</v>
      </c>
      <c r="W164">
        <f>IF(D164=' Pivot Tables'!$A$4,1,0)</f>
        <v>0</v>
      </c>
      <c r="X164">
        <f>IF(AND(LEFT(D164,4)+1=LEFT(' Pivot Tables'!$A$4,4)+0,RIGHT(LEFT(D164,7),2)=RIGHT(LEFT(' Pivot Tables'!$A$4,7),2)),1,0)</f>
        <v>0</v>
      </c>
      <c r="Y164" s="6">
        <f>1/COUNTIF(Таблица1[Order ID],Таблица1[[#This Row],[Order ID]])</f>
        <v>1</v>
      </c>
      <c r="Z164" s="9">
        <f>1/COUNTIFS(Таблица1[Customer Name],Таблица1[[#This Row],[Customer Name]],Таблица1[Order-Year-Month],Таблица1[[#This Row],[Order-Year-Month]])</f>
        <v>1</v>
      </c>
    </row>
    <row r="165" spans="1:26" x14ac:dyDescent="0.2">
      <c r="A165" s="6">
        <v>2384</v>
      </c>
      <c r="B165" s="7">
        <v>17286</v>
      </c>
      <c r="C165" s="8">
        <f>DATE(2012,12,31)-832</f>
        <v>40442</v>
      </c>
      <c r="D165" s="8" t="str">
        <f t="shared" si="2"/>
        <v>2010-09 (сентябрь 2010)</v>
      </c>
      <c r="E165" s="9" t="s">
        <v>30</v>
      </c>
      <c r="F165" s="7">
        <v>7</v>
      </c>
      <c r="G165" s="7">
        <v>1810.67</v>
      </c>
      <c r="H165" s="7">
        <v>0.09</v>
      </c>
      <c r="I165" s="9" t="s">
        <v>31</v>
      </c>
      <c r="J165" s="10">
        <v>-541.87</v>
      </c>
      <c r="K165" s="11">
        <v>270.98</v>
      </c>
      <c r="L165" s="11">
        <v>50</v>
      </c>
      <c r="M165" s="9" t="s">
        <v>23</v>
      </c>
      <c r="N165" s="6" t="s">
        <v>173</v>
      </c>
      <c r="O165" s="6" t="s">
        <v>173</v>
      </c>
      <c r="P165" s="9" t="s">
        <v>25</v>
      </c>
      <c r="Q165" s="9" t="s">
        <v>49</v>
      </c>
      <c r="R165" s="9" t="s">
        <v>112</v>
      </c>
      <c r="S165" s="7" t="s">
        <v>221</v>
      </c>
      <c r="T165" s="9" t="s">
        <v>36</v>
      </c>
      <c r="U165" s="7">
        <v>0.77</v>
      </c>
      <c r="V165" s="12">
        <f>C165+1</f>
        <v>40443</v>
      </c>
      <c r="W165">
        <f>IF(D165=' Pivot Tables'!$A$4,1,0)</f>
        <v>0</v>
      </c>
      <c r="X165">
        <f>IF(AND(LEFT(D165,4)+1=LEFT(' Pivot Tables'!$A$4,4)+0,RIGHT(LEFT(D165,7),2)=RIGHT(LEFT(' Pivot Tables'!$A$4,7),2)),1,0)</f>
        <v>0</v>
      </c>
      <c r="Y165" s="6">
        <f>1/COUNTIF(Таблица1[Order ID],Таблица1[[#This Row],[Order ID]])</f>
        <v>1</v>
      </c>
      <c r="Z165" s="9">
        <f>1/COUNTIFS(Таблица1[Customer Name],Таблица1[[#This Row],[Customer Name]],Таблица1[Order-Year-Month],Таблица1[[#This Row],[Order-Year-Month]])</f>
        <v>1</v>
      </c>
    </row>
    <row r="166" spans="1:26" x14ac:dyDescent="0.2">
      <c r="A166" s="6">
        <v>2402</v>
      </c>
      <c r="B166" s="7">
        <v>17409</v>
      </c>
      <c r="C166" s="8">
        <f>DATE(2012,12,31)-867</f>
        <v>40407</v>
      </c>
      <c r="D166" s="8" t="str">
        <f t="shared" si="2"/>
        <v>2010-08 (август 2010)</v>
      </c>
      <c r="E166" s="9" t="s">
        <v>45</v>
      </c>
      <c r="F166" s="7">
        <v>31</v>
      </c>
      <c r="G166" s="7">
        <v>633.55999999999995</v>
      </c>
      <c r="H166" s="7">
        <v>0.09</v>
      </c>
      <c r="I166" s="9" t="s">
        <v>22</v>
      </c>
      <c r="J166" s="10">
        <v>-158.87</v>
      </c>
      <c r="K166" s="11">
        <v>20.97</v>
      </c>
      <c r="L166" s="11">
        <v>6.5</v>
      </c>
      <c r="M166" s="9" t="s">
        <v>23</v>
      </c>
      <c r="N166" s="6" t="s">
        <v>173</v>
      </c>
      <c r="O166" s="6" t="s">
        <v>173</v>
      </c>
      <c r="P166" s="9" t="s">
        <v>25</v>
      </c>
      <c r="Q166" s="9" t="s">
        <v>42</v>
      </c>
      <c r="R166" s="9" t="s">
        <v>70</v>
      </c>
      <c r="S166" s="7" t="s">
        <v>262</v>
      </c>
      <c r="T166" s="9" t="s">
        <v>39</v>
      </c>
      <c r="U166" s="7">
        <v>0.78</v>
      </c>
      <c r="V166" s="12">
        <f>C166+2</f>
        <v>40409</v>
      </c>
      <c r="W166">
        <f>IF(D166=' Pivot Tables'!$A$4,1,0)</f>
        <v>0</v>
      </c>
      <c r="X166">
        <f>IF(AND(LEFT(D166,4)+1=LEFT(' Pivot Tables'!$A$4,4)+0,RIGHT(LEFT(D166,7),2)=RIGHT(LEFT(' Pivot Tables'!$A$4,7),2)),1,0)</f>
        <v>0</v>
      </c>
      <c r="Y166" s="6">
        <f>1/COUNTIF(Таблица1[Order ID],Таблица1[[#This Row],[Order ID]])</f>
        <v>1</v>
      </c>
      <c r="Z166" s="9">
        <f>1/COUNTIFS(Таблица1[Customer Name],Таблица1[[#This Row],[Customer Name]],Таблица1[Order-Year-Month],Таблица1[[#This Row],[Order-Year-Month]])</f>
        <v>1</v>
      </c>
    </row>
    <row r="167" spans="1:26" x14ac:dyDescent="0.2">
      <c r="A167" s="6">
        <v>2445</v>
      </c>
      <c r="B167" s="7">
        <v>17764</v>
      </c>
      <c r="C167" s="8">
        <f>DATE(2012,12,31)-1202</f>
        <v>40072</v>
      </c>
      <c r="D167" s="8" t="str">
        <f t="shared" si="2"/>
        <v>2009-09 (сентябрь 2009)</v>
      </c>
      <c r="E167" s="9" t="s">
        <v>21</v>
      </c>
      <c r="F167" s="7">
        <v>27</v>
      </c>
      <c r="G167" s="7">
        <v>644.4</v>
      </c>
      <c r="H167" s="7">
        <v>0.04</v>
      </c>
      <c r="I167" s="9" t="s">
        <v>22</v>
      </c>
      <c r="J167" s="10">
        <v>-97.28</v>
      </c>
      <c r="K167" s="11">
        <v>22.84</v>
      </c>
      <c r="L167" s="11">
        <v>16.87</v>
      </c>
      <c r="M167" s="9" t="s">
        <v>94</v>
      </c>
      <c r="N167" s="6" t="s">
        <v>173</v>
      </c>
      <c r="O167" s="6" t="s">
        <v>173</v>
      </c>
      <c r="P167" s="9" t="s">
        <v>60</v>
      </c>
      <c r="Q167" s="9" t="s">
        <v>26</v>
      </c>
      <c r="R167" s="9" t="s">
        <v>61</v>
      </c>
      <c r="S167" s="7" t="s">
        <v>258</v>
      </c>
      <c r="T167" s="9" t="s">
        <v>39</v>
      </c>
      <c r="U167" s="7">
        <v>0.39</v>
      </c>
      <c r="V167" s="12">
        <f>C167+0</f>
        <v>40072</v>
      </c>
      <c r="W167">
        <f>IF(D167=' Pivot Tables'!$A$4,1,0)</f>
        <v>0</v>
      </c>
      <c r="X167">
        <f>IF(AND(LEFT(D167,4)+1=LEFT(' Pivot Tables'!$A$4,4)+0,RIGHT(LEFT(D167,7),2)=RIGHT(LEFT(' Pivot Tables'!$A$4,7),2)),1,0)</f>
        <v>0</v>
      </c>
      <c r="Y167" s="6">
        <f>1/COUNTIF(Таблица1[Order ID],Таблица1[[#This Row],[Order ID]])</f>
        <v>1</v>
      </c>
      <c r="Z167" s="9">
        <f>1/COUNTIFS(Таблица1[Customer Name],Таблица1[[#This Row],[Customer Name]],Таблица1[Order-Year-Month],Таблица1[[#This Row],[Order-Year-Month]])</f>
        <v>1</v>
      </c>
    </row>
    <row r="168" spans="1:26" x14ac:dyDescent="0.2">
      <c r="A168" s="6">
        <v>2483</v>
      </c>
      <c r="B168" s="7">
        <v>18080</v>
      </c>
      <c r="C168" s="8">
        <f>DATE(2012,12,31)-1288</f>
        <v>39986</v>
      </c>
      <c r="D168" s="8" t="str">
        <f t="shared" si="2"/>
        <v>2009-06 (июнь 2009)</v>
      </c>
      <c r="E168" s="9" t="s">
        <v>30</v>
      </c>
      <c r="F168" s="7">
        <v>7</v>
      </c>
      <c r="G168" s="7">
        <v>1211.98</v>
      </c>
      <c r="H168" s="7">
        <v>0.1</v>
      </c>
      <c r="I168" s="9" t="s">
        <v>31</v>
      </c>
      <c r="J168" s="10">
        <v>-80.83</v>
      </c>
      <c r="K168" s="11">
        <v>180.98</v>
      </c>
      <c r="L168" s="11">
        <v>26.2</v>
      </c>
      <c r="M168" s="9" t="s">
        <v>79</v>
      </c>
      <c r="N168" s="6" t="s">
        <v>173</v>
      </c>
      <c r="O168" s="6" t="s">
        <v>173</v>
      </c>
      <c r="P168" s="9" t="s">
        <v>41</v>
      </c>
      <c r="Q168" s="9" t="s">
        <v>49</v>
      </c>
      <c r="R168" s="9" t="s">
        <v>112</v>
      </c>
      <c r="S168" s="7" t="s">
        <v>263</v>
      </c>
      <c r="T168" s="9" t="s">
        <v>36</v>
      </c>
      <c r="U168" s="7">
        <v>0.59</v>
      </c>
      <c r="V168" s="12">
        <f>C168+1</f>
        <v>39987</v>
      </c>
      <c r="W168">
        <f>IF(D168=' Pivot Tables'!$A$4,1,0)</f>
        <v>0</v>
      </c>
      <c r="X168">
        <f>IF(AND(LEFT(D168,4)+1=LEFT(' Pivot Tables'!$A$4,4)+0,RIGHT(LEFT(D168,7),2)=RIGHT(LEFT(' Pivot Tables'!$A$4,7),2)),1,0)</f>
        <v>0</v>
      </c>
      <c r="Y168" s="6">
        <f>1/COUNTIF(Таблица1[Order ID],Таблица1[[#This Row],[Order ID]])</f>
        <v>1</v>
      </c>
      <c r="Z168" s="9">
        <f>1/COUNTIFS(Таблица1[Customer Name],Таблица1[[#This Row],[Customer Name]],Таблица1[Order-Year-Month],Таблица1[[#This Row],[Order-Year-Month]])</f>
        <v>1</v>
      </c>
    </row>
    <row r="169" spans="1:26" x14ac:dyDescent="0.2">
      <c r="A169" s="6">
        <v>2487</v>
      </c>
      <c r="B169" s="7">
        <v>18113</v>
      </c>
      <c r="C169" s="8">
        <f>DATE(2012,12,31)-125</f>
        <v>41149</v>
      </c>
      <c r="D169" s="8" t="str">
        <f t="shared" si="2"/>
        <v>2012-08 (август 2012)</v>
      </c>
      <c r="E169" s="9" t="s">
        <v>45</v>
      </c>
      <c r="F169" s="7">
        <v>27</v>
      </c>
      <c r="G169" s="7">
        <v>3316.08</v>
      </c>
      <c r="H169" s="7">
        <v>0.08</v>
      </c>
      <c r="I169" s="9" t="s">
        <v>31</v>
      </c>
      <c r="J169" s="10">
        <v>-514.32000000000005</v>
      </c>
      <c r="K169" s="11">
        <v>130.97999999999999</v>
      </c>
      <c r="L169" s="11">
        <v>30</v>
      </c>
      <c r="M169" s="9" t="s">
        <v>264</v>
      </c>
      <c r="N169" s="6" t="s">
        <v>173</v>
      </c>
      <c r="O169" s="6" t="s">
        <v>173</v>
      </c>
      <c r="P169" s="9" t="s">
        <v>33</v>
      </c>
      <c r="Q169" s="9" t="s">
        <v>49</v>
      </c>
      <c r="R169" s="9" t="s">
        <v>112</v>
      </c>
      <c r="S169" s="7" t="s">
        <v>265</v>
      </c>
      <c r="T169" s="9" t="s">
        <v>36</v>
      </c>
      <c r="U169" s="7">
        <v>0.78</v>
      </c>
      <c r="V169" s="12">
        <f>C169+2</f>
        <v>41151</v>
      </c>
      <c r="W169">
        <f>IF(D169=' Pivot Tables'!$A$4,1,0)</f>
        <v>0</v>
      </c>
      <c r="X169">
        <f>IF(AND(LEFT(D169,4)+1=LEFT(' Pivot Tables'!$A$4,4)+0,RIGHT(LEFT(D169,7),2)=RIGHT(LEFT(' Pivot Tables'!$A$4,7),2)),1,0)</f>
        <v>0</v>
      </c>
      <c r="Y169" s="6">
        <f>1/COUNTIF(Таблица1[Order ID],Таблица1[[#This Row],[Order ID]])</f>
        <v>1</v>
      </c>
      <c r="Z169" s="9">
        <f>1/COUNTIFS(Таблица1[Customer Name],Таблица1[[#This Row],[Customer Name]],Таблица1[Order-Year-Month],Таблица1[[#This Row],[Order-Year-Month]])</f>
        <v>1</v>
      </c>
    </row>
    <row r="170" spans="1:26" x14ac:dyDescent="0.2">
      <c r="A170" s="6">
        <v>2489</v>
      </c>
      <c r="B170" s="7">
        <v>18144</v>
      </c>
      <c r="C170" s="8">
        <f>DATE(2012,12,31)-573</f>
        <v>40701</v>
      </c>
      <c r="D170" s="8" t="str">
        <f t="shared" si="2"/>
        <v>2011-06 (июнь 2011)</v>
      </c>
      <c r="E170" s="9" t="s">
        <v>78</v>
      </c>
      <c r="F170" s="7">
        <v>48</v>
      </c>
      <c r="G170" s="7">
        <v>207.08</v>
      </c>
      <c r="H170" s="7">
        <v>0.09</v>
      </c>
      <c r="I170" s="9" t="s">
        <v>22</v>
      </c>
      <c r="J170" s="10">
        <v>-131.82</v>
      </c>
      <c r="K170" s="11">
        <v>4.28</v>
      </c>
      <c r="L170" s="11">
        <v>5.17</v>
      </c>
      <c r="M170" s="9" t="s">
        <v>124</v>
      </c>
      <c r="N170" s="6" t="s">
        <v>173</v>
      </c>
      <c r="O170" s="6" t="s">
        <v>173</v>
      </c>
      <c r="P170" s="9" t="s">
        <v>41</v>
      </c>
      <c r="Q170" s="9" t="s">
        <v>26</v>
      </c>
      <c r="R170" s="9" t="s">
        <v>61</v>
      </c>
      <c r="S170" s="7" t="s">
        <v>266</v>
      </c>
      <c r="T170" s="9" t="s">
        <v>39</v>
      </c>
      <c r="U170" s="7">
        <v>0.4</v>
      </c>
      <c r="V170" s="12">
        <f>C170+2</f>
        <v>40703</v>
      </c>
      <c r="W170">
        <f>IF(D170=' Pivot Tables'!$A$4,1,0)</f>
        <v>0</v>
      </c>
      <c r="X170">
        <f>IF(AND(LEFT(D170,4)+1=LEFT(' Pivot Tables'!$A$4,4)+0,RIGHT(LEFT(D170,7),2)=RIGHT(LEFT(' Pivot Tables'!$A$4,7),2)),1,0)</f>
        <v>0</v>
      </c>
      <c r="Y170" s="6">
        <f>1/COUNTIF(Таблица1[Order ID],Таблица1[[#This Row],[Order ID]])</f>
        <v>0.33333333333333331</v>
      </c>
      <c r="Z170" s="9">
        <f>1/COUNTIFS(Таблица1[Customer Name],Таблица1[[#This Row],[Customer Name]],Таблица1[Order-Year-Month],Таблица1[[#This Row],[Order-Year-Month]])</f>
        <v>0.33333333333333331</v>
      </c>
    </row>
    <row r="171" spans="1:26" x14ac:dyDescent="0.2">
      <c r="A171" s="6">
        <v>2490</v>
      </c>
      <c r="B171" s="7">
        <v>18144</v>
      </c>
      <c r="C171" s="8">
        <f>DATE(2012,12,31)-573</f>
        <v>40701</v>
      </c>
      <c r="D171" s="8" t="str">
        <f t="shared" si="2"/>
        <v>2011-06 (июнь 2011)</v>
      </c>
      <c r="E171" s="9" t="s">
        <v>78</v>
      </c>
      <c r="F171" s="7">
        <v>8</v>
      </c>
      <c r="G171" s="7">
        <v>234.28</v>
      </c>
      <c r="H171" s="7">
        <v>0.09</v>
      </c>
      <c r="I171" s="9" t="s">
        <v>22</v>
      </c>
      <c r="J171" s="10">
        <v>-65.42</v>
      </c>
      <c r="K171" s="11">
        <v>28.28</v>
      </c>
      <c r="L171" s="11">
        <v>13.99</v>
      </c>
      <c r="M171" s="9" t="s">
        <v>124</v>
      </c>
      <c r="N171" s="6" t="s">
        <v>173</v>
      </c>
      <c r="O171" s="6" t="s">
        <v>173</v>
      </c>
      <c r="P171" s="9" t="s">
        <v>41</v>
      </c>
      <c r="Q171" s="9" t="s">
        <v>26</v>
      </c>
      <c r="R171" s="9" t="s">
        <v>27</v>
      </c>
      <c r="S171" s="7" t="s">
        <v>267</v>
      </c>
      <c r="T171" s="9" t="s">
        <v>48</v>
      </c>
      <c r="U171" s="7">
        <v>0.57999999999999996</v>
      </c>
      <c r="V171" s="12">
        <f>C171+2</f>
        <v>40703</v>
      </c>
      <c r="W171">
        <f>IF(D171=' Pivot Tables'!$A$4,1,0)</f>
        <v>0</v>
      </c>
      <c r="X171">
        <f>IF(AND(LEFT(D171,4)+1=LEFT(' Pivot Tables'!$A$4,4)+0,RIGHT(LEFT(D171,7),2)=RIGHT(LEFT(' Pivot Tables'!$A$4,7),2)),1,0)</f>
        <v>0</v>
      </c>
      <c r="Y171" s="6">
        <f>1/COUNTIF(Таблица1[Order ID],Таблица1[[#This Row],[Order ID]])</f>
        <v>0.33333333333333331</v>
      </c>
      <c r="Z171" s="9">
        <f>1/COUNTIFS(Таблица1[Customer Name],Таблица1[[#This Row],[Customer Name]],Таблица1[Order-Year-Month],Таблица1[[#This Row],[Order-Year-Month]])</f>
        <v>0.33333333333333331</v>
      </c>
    </row>
    <row r="172" spans="1:26" x14ac:dyDescent="0.2">
      <c r="A172" s="6">
        <v>2491</v>
      </c>
      <c r="B172" s="7">
        <v>18144</v>
      </c>
      <c r="C172" s="8">
        <f>DATE(2012,12,31)-573</f>
        <v>40701</v>
      </c>
      <c r="D172" s="8" t="str">
        <f t="shared" si="2"/>
        <v>2011-06 (июнь 2011)</v>
      </c>
      <c r="E172" s="9" t="s">
        <v>78</v>
      </c>
      <c r="F172" s="7">
        <v>41</v>
      </c>
      <c r="G172" s="7">
        <v>1779.8914999999997</v>
      </c>
      <c r="H172" s="7">
        <v>0.09</v>
      </c>
      <c r="I172" s="9" t="s">
        <v>22</v>
      </c>
      <c r="J172" s="10">
        <v>-250.173</v>
      </c>
      <c r="K172" s="11">
        <v>55.99</v>
      </c>
      <c r="L172" s="11">
        <v>5</v>
      </c>
      <c r="M172" s="9" t="s">
        <v>124</v>
      </c>
      <c r="N172" s="6" t="s">
        <v>173</v>
      </c>
      <c r="O172" s="6" t="s">
        <v>173</v>
      </c>
      <c r="P172" s="9" t="s">
        <v>41</v>
      </c>
      <c r="Q172" s="9" t="s">
        <v>42</v>
      </c>
      <c r="R172" s="9" t="s">
        <v>43</v>
      </c>
      <c r="S172" s="7" t="s">
        <v>268</v>
      </c>
      <c r="T172" s="9" t="s">
        <v>52</v>
      </c>
      <c r="U172" s="7">
        <v>0.8</v>
      </c>
      <c r="V172" s="12">
        <f>C172+2</f>
        <v>40703</v>
      </c>
      <c r="W172">
        <f>IF(D172=' Pivot Tables'!$A$4,1,0)</f>
        <v>0</v>
      </c>
      <c r="X172">
        <f>IF(AND(LEFT(D172,4)+1=LEFT(' Pivot Tables'!$A$4,4)+0,RIGHT(LEFT(D172,7),2)=RIGHT(LEFT(' Pivot Tables'!$A$4,7),2)),1,0)</f>
        <v>0</v>
      </c>
      <c r="Y172" s="6">
        <f>1/COUNTIF(Таблица1[Order ID],Таблица1[[#This Row],[Order ID]])</f>
        <v>0.33333333333333331</v>
      </c>
      <c r="Z172" s="9">
        <f>1/COUNTIFS(Таблица1[Customer Name],Таблица1[[#This Row],[Customer Name]],Таблица1[Order-Year-Month],Таблица1[[#This Row],[Order-Year-Month]])</f>
        <v>0.33333333333333331</v>
      </c>
    </row>
    <row r="173" spans="1:26" x14ac:dyDescent="0.2">
      <c r="A173" s="6">
        <v>2520</v>
      </c>
      <c r="B173" s="7">
        <v>18308</v>
      </c>
      <c r="C173" s="8">
        <f>DATE(2012,12,31)-1179</f>
        <v>40095</v>
      </c>
      <c r="D173" s="8" t="str">
        <f t="shared" si="2"/>
        <v>2009-10 (октябрь 2009)</v>
      </c>
      <c r="E173" s="9" t="s">
        <v>45</v>
      </c>
      <c r="F173" s="7">
        <v>30</v>
      </c>
      <c r="G173" s="7">
        <v>114.12</v>
      </c>
      <c r="H173" s="7">
        <v>0.05</v>
      </c>
      <c r="I173" s="9" t="s">
        <v>22</v>
      </c>
      <c r="J173" s="10">
        <v>15.725</v>
      </c>
      <c r="K173" s="11">
        <v>3.8</v>
      </c>
      <c r="L173" s="11">
        <v>1.49</v>
      </c>
      <c r="M173" s="9" t="s">
        <v>141</v>
      </c>
      <c r="N173" s="6" t="s">
        <v>173</v>
      </c>
      <c r="O173" s="6" t="s">
        <v>173</v>
      </c>
      <c r="P173" s="9" t="s">
        <v>41</v>
      </c>
      <c r="Q173" s="9" t="s">
        <v>26</v>
      </c>
      <c r="R173" s="9" t="s">
        <v>37</v>
      </c>
      <c r="S173" s="7" t="s">
        <v>269</v>
      </c>
      <c r="T173" s="9" t="s">
        <v>39</v>
      </c>
      <c r="U173" s="7">
        <v>0.38</v>
      </c>
      <c r="V173" s="12">
        <f>C173+2</f>
        <v>40097</v>
      </c>
      <c r="W173">
        <f>IF(D173=' Pivot Tables'!$A$4,1,0)</f>
        <v>0</v>
      </c>
      <c r="X173">
        <f>IF(AND(LEFT(D173,4)+1=LEFT(' Pivot Tables'!$A$4,4)+0,RIGHT(LEFT(D173,7),2)=RIGHT(LEFT(' Pivot Tables'!$A$4,7),2)),1,0)</f>
        <v>0</v>
      </c>
      <c r="Y173" s="6">
        <f>1/COUNTIF(Таблица1[Order ID],Таблица1[[#This Row],[Order ID]])</f>
        <v>0.33333333333333331</v>
      </c>
      <c r="Z173" s="9">
        <f>1/COUNTIFS(Таблица1[Customer Name],Таблица1[[#This Row],[Customer Name]],Таблица1[Order-Year-Month],Таблица1[[#This Row],[Order-Year-Month]])</f>
        <v>0.33333333333333331</v>
      </c>
    </row>
    <row r="174" spans="1:26" x14ac:dyDescent="0.2">
      <c r="A174" s="6">
        <v>2521</v>
      </c>
      <c r="B174" s="7">
        <v>18308</v>
      </c>
      <c r="C174" s="8">
        <f>DATE(2012,12,31)-1179</f>
        <v>40095</v>
      </c>
      <c r="D174" s="8" t="str">
        <f t="shared" si="2"/>
        <v>2009-10 (октябрь 2009)</v>
      </c>
      <c r="E174" s="9" t="s">
        <v>45</v>
      </c>
      <c r="F174" s="7">
        <v>15</v>
      </c>
      <c r="G174" s="7">
        <v>436.05</v>
      </c>
      <c r="H174" s="7">
        <v>0.09</v>
      </c>
      <c r="I174" s="9" t="s">
        <v>22</v>
      </c>
      <c r="J174" s="10">
        <v>-92.58</v>
      </c>
      <c r="K174" s="11">
        <v>30.73</v>
      </c>
      <c r="L174" s="11">
        <v>4</v>
      </c>
      <c r="M174" s="9" t="s">
        <v>141</v>
      </c>
      <c r="N174" s="6" t="s">
        <v>173</v>
      </c>
      <c r="O174" s="6" t="s">
        <v>173</v>
      </c>
      <c r="P174" s="9" t="s">
        <v>41</v>
      </c>
      <c r="Q174" s="9" t="s">
        <v>42</v>
      </c>
      <c r="R174" s="9" t="s">
        <v>70</v>
      </c>
      <c r="S174" s="7" t="s">
        <v>270</v>
      </c>
      <c r="T174" s="9" t="s">
        <v>39</v>
      </c>
      <c r="U174" s="7">
        <v>0.75</v>
      </c>
      <c r="V174" s="12">
        <f>C174+0</f>
        <v>40095</v>
      </c>
      <c r="W174">
        <f>IF(D174=' Pivot Tables'!$A$4,1,0)</f>
        <v>0</v>
      </c>
      <c r="X174">
        <f>IF(AND(LEFT(D174,4)+1=LEFT(' Pivot Tables'!$A$4,4)+0,RIGHT(LEFT(D174,7),2)=RIGHT(LEFT(' Pivot Tables'!$A$4,7),2)),1,0)</f>
        <v>0</v>
      </c>
      <c r="Y174" s="6">
        <f>1/COUNTIF(Таблица1[Order ID],Таблица1[[#This Row],[Order ID]])</f>
        <v>0.33333333333333331</v>
      </c>
      <c r="Z174" s="9">
        <f>1/COUNTIFS(Таблица1[Customer Name],Таблица1[[#This Row],[Customer Name]],Таблица1[Order-Year-Month],Таблица1[[#This Row],[Order-Year-Month]])</f>
        <v>0.33333333333333331</v>
      </c>
    </row>
    <row r="175" spans="1:26" x14ac:dyDescent="0.2">
      <c r="A175" s="6">
        <v>2522</v>
      </c>
      <c r="B175" s="7">
        <v>18308</v>
      </c>
      <c r="C175" s="8">
        <f>DATE(2012,12,31)-1179</f>
        <v>40095</v>
      </c>
      <c r="D175" s="8" t="str">
        <f t="shared" si="2"/>
        <v>2009-10 (октябрь 2009)</v>
      </c>
      <c r="E175" s="9" t="s">
        <v>45</v>
      </c>
      <c r="F175" s="7">
        <v>49</v>
      </c>
      <c r="G175" s="7">
        <v>5247.4835000000003</v>
      </c>
      <c r="H175" s="7">
        <v>0</v>
      </c>
      <c r="I175" s="9" t="s">
        <v>22</v>
      </c>
      <c r="J175" s="10">
        <v>1465.866</v>
      </c>
      <c r="K175" s="11">
        <v>125.99</v>
      </c>
      <c r="L175" s="11">
        <v>8.08</v>
      </c>
      <c r="M175" s="9" t="s">
        <v>141</v>
      </c>
      <c r="N175" s="6" t="s">
        <v>173</v>
      </c>
      <c r="O175" s="6" t="s">
        <v>173</v>
      </c>
      <c r="P175" s="9" t="s">
        <v>41</v>
      </c>
      <c r="Q175" s="9" t="s">
        <v>42</v>
      </c>
      <c r="R175" s="9" t="s">
        <v>43</v>
      </c>
      <c r="S175" s="7" t="s">
        <v>271</v>
      </c>
      <c r="T175" s="9" t="s">
        <v>39</v>
      </c>
      <c r="U175" s="7">
        <v>0.56999999999999995</v>
      </c>
      <c r="V175" s="12">
        <f>C175+1</f>
        <v>40096</v>
      </c>
      <c r="W175">
        <f>IF(D175=' Pivot Tables'!$A$4,1,0)</f>
        <v>0</v>
      </c>
      <c r="X175">
        <f>IF(AND(LEFT(D175,4)+1=LEFT(' Pivot Tables'!$A$4,4)+0,RIGHT(LEFT(D175,7),2)=RIGHT(LEFT(' Pivot Tables'!$A$4,7),2)),1,0)</f>
        <v>0</v>
      </c>
      <c r="Y175" s="6">
        <f>1/COUNTIF(Таблица1[Order ID],Таблица1[[#This Row],[Order ID]])</f>
        <v>0.33333333333333331</v>
      </c>
      <c r="Z175" s="9">
        <f>1/COUNTIFS(Таблица1[Customer Name],Таблица1[[#This Row],[Customer Name]],Таблица1[Order-Year-Month],Таблица1[[#This Row],[Order-Year-Month]])</f>
        <v>0.33333333333333331</v>
      </c>
    </row>
    <row r="176" spans="1:26" x14ac:dyDescent="0.2">
      <c r="A176" s="6">
        <v>2615</v>
      </c>
      <c r="B176" s="7">
        <v>18887</v>
      </c>
      <c r="C176" s="8">
        <f>DATE(2012,12,31)-757</f>
        <v>40517</v>
      </c>
      <c r="D176" s="8" t="str">
        <f t="shared" si="2"/>
        <v>2010-12 (декабрь 2010)</v>
      </c>
      <c r="E176" s="9" t="s">
        <v>45</v>
      </c>
      <c r="F176" s="7">
        <v>9</v>
      </c>
      <c r="G176" s="7">
        <v>173.417</v>
      </c>
      <c r="H176" s="7">
        <v>0</v>
      </c>
      <c r="I176" s="9" t="s">
        <v>22</v>
      </c>
      <c r="J176" s="10">
        <v>18.234000000000002</v>
      </c>
      <c r="K176" s="11">
        <v>20.99</v>
      </c>
      <c r="L176" s="11">
        <v>0.99</v>
      </c>
      <c r="M176" s="9" t="s">
        <v>40</v>
      </c>
      <c r="N176" s="6" t="s">
        <v>173</v>
      </c>
      <c r="O176" s="6" t="s">
        <v>173</v>
      </c>
      <c r="P176" s="9" t="s">
        <v>41</v>
      </c>
      <c r="Q176" s="9" t="s">
        <v>42</v>
      </c>
      <c r="R176" s="9" t="s">
        <v>43</v>
      </c>
      <c r="S176" s="7" t="s">
        <v>272</v>
      </c>
      <c r="T176" s="9" t="s">
        <v>68</v>
      </c>
      <c r="U176" s="7">
        <v>0.37</v>
      </c>
      <c r="V176" s="12">
        <f>C176+2</f>
        <v>40519</v>
      </c>
      <c r="W176">
        <f>IF(D176=' Pivot Tables'!$A$4,1,0)</f>
        <v>0</v>
      </c>
      <c r="X176">
        <f>IF(AND(LEFT(D176,4)+1=LEFT(' Pivot Tables'!$A$4,4)+0,RIGHT(LEFT(D176,7),2)=RIGHT(LEFT(' Pivot Tables'!$A$4,7),2)),1,0)</f>
        <v>0</v>
      </c>
      <c r="Y176" s="6">
        <f>1/COUNTIF(Таблица1[Order ID],Таблица1[[#This Row],[Order ID]])</f>
        <v>1</v>
      </c>
      <c r="Z176" s="9">
        <f>1/COUNTIFS(Таблица1[Customer Name],Таблица1[[#This Row],[Customer Name]],Таблица1[Order-Year-Month],Таблица1[[#This Row],[Order-Year-Month]])</f>
        <v>0.33333333333333331</v>
      </c>
    </row>
    <row r="177" spans="1:26" x14ac:dyDescent="0.2">
      <c r="A177" s="6">
        <v>2624</v>
      </c>
      <c r="B177" s="7">
        <v>19010</v>
      </c>
      <c r="C177" s="8">
        <f>DATE(2012,12,31)-1303</f>
        <v>39971</v>
      </c>
      <c r="D177" s="8" t="str">
        <f t="shared" si="2"/>
        <v>2009-06 (июнь 2009)</v>
      </c>
      <c r="E177" s="9" t="s">
        <v>21</v>
      </c>
      <c r="F177" s="7">
        <v>18</v>
      </c>
      <c r="G177" s="7">
        <v>23792.93</v>
      </c>
      <c r="H177" s="7">
        <v>0</v>
      </c>
      <c r="I177" s="9" t="s">
        <v>22</v>
      </c>
      <c r="J177" s="10">
        <v>10951.306499999999</v>
      </c>
      <c r="K177" s="11">
        <v>1270.99</v>
      </c>
      <c r="L177" s="11">
        <v>19.989999999999998</v>
      </c>
      <c r="M177" s="9" t="s">
        <v>102</v>
      </c>
      <c r="N177" s="6" t="s">
        <v>173</v>
      </c>
      <c r="O177" s="6" t="s">
        <v>173</v>
      </c>
      <c r="P177" s="9" t="s">
        <v>25</v>
      </c>
      <c r="Q177" s="9" t="s">
        <v>26</v>
      </c>
      <c r="R177" s="9" t="s">
        <v>37</v>
      </c>
      <c r="S177" s="7" t="s">
        <v>273</v>
      </c>
      <c r="T177" s="9" t="s">
        <v>39</v>
      </c>
      <c r="U177" s="7">
        <v>0.35</v>
      </c>
      <c r="V177" s="12">
        <f>C177+2</f>
        <v>39973</v>
      </c>
      <c r="W177">
        <f>IF(D177=' Pivot Tables'!$A$4,1,0)</f>
        <v>0</v>
      </c>
      <c r="X177">
        <f>IF(AND(LEFT(D177,4)+1=LEFT(' Pivot Tables'!$A$4,4)+0,RIGHT(LEFT(D177,7),2)=RIGHT(LEFT(' Pivot Tables'!$A$4,7),2)),1,0)</f>
        <v>0</v>
      </c>
      <c r="Y177" s="6">
        <f>1/COUNTIF(Таблица1[Order ID],Таблица1[[#This Row],[Order ID]])</f>
        <v>1</v>
      </c>
      <c r="Z177" s="9">
        <f>1/COUNTIFS(Таблица1[Customer Name],Таблица1[[#This Row],[Customer Name]],Таблица1[Order-Year-Month],Таблица1[[#This Row],[Order-Year-Month]])</f>
        <v>1</v>
      </c>
    </row>
    <row r="178" spans="1:26" x14ac:dyDescent="0.2">
      <c r="A178" s="6">
        <v>2637</v>
      </c>
      <c r="B178" s="7">
        <v>19078</v>
      </c>
      <c r="C178" s="8">
        <f>DATE(2012,12,31)-1253</f>
        <v>40021</v>
      </c>
      <c r="D178" s="8" t="str">
        <f t="shared" si="2"/>
        <v>2009-07 (июль 2009)</v>
      </c>
      <c r="E178" s="9" t="s">
        <v>78</v>
      </c>
      <c r="F178" s="7">
        <v>21</v>
      </c>
      <c r="G178" s="7">
        <v>256.12</v>
      </c>
      <c r="H178" s="7">
        <v>0.03</v>
      </c>
      <c r="I178" s="9" t="s">
        <v>22</v>
      </c>
      <c r="J178" s="10">
        <v>-18.190000000000001</v>
      </c>
      <c r="K178" s="11">
        <v>11.97</v>
      </c>
      <c r="L178" s="11">
        <v>4.9800000000000004</v>
      </c>
      <c r="M178" s="9" t="s">
        <v>203</v>
      </c>
      <c r="N178" s="6" t="s">
        <v>173</v>
      </c>
      <c r="O178" s="6" t="s">
        <v>173</v>
      </c>
      <c r="P178" s="9" t="s">
        <v>41</v>
      </c>
      <c r="Q178" s="9" t="s">
        <v>26</v>
      </c>
      <c r="R178" s="9" t="s">
        <v>34</v>
      </c>
      <c r="S178" s="7" t="s">
        <v>274</v>
      </c>
      <c r="T178" s="9" t="s">
        <v>39</v>
      </c>
      <c r="U178" s="7">
        <v>0.57999999999999996</v>
      </c>
      <c r="V178" s="12">
        <f>C178+1</f>
        <v>40022</v>
      </c>
      <c r="W178">
        <f>IF(D178=' Pivot Tables'!$A$4,1,0)</f>
        <v>0</v>
      </c>
      <c r="X178">
        <f>IF(AND(LEFT(D178,4)+1=LEFT(' Pivot Tables'!$A$4,4)+0,RIGHT(LEFT(D178,7),2)=RIGHT(LEFT(' Pivot Tables'!$A$4,7),2)),1,0)</f>
        <v>0</v>
      </c>
      <c r="Y178" s="6">
        <f>1/COUNTIF(Таблица1[Order ID],Таблица1[[#This Row],[Order ID]])</f>
        <v>1</v>
      </c>
      <c r="Z178" s="9">
        <f>1/COUNTIFS(Таблица1[Customer Name],Таблица1[[#This Row],[Customer Name]],Таблица1[Order-Year-Month],Таблица1[[#This Row],[Order-Year-Month]])</f>
        <v>1</v>
      </c>
    </row>
    <row r="179" spans="1:26" x14ac:dyDescent="0.2">
      <c r="A179" s="6">
        <v>2643</v>
      </c>
      <c r="B179" s="7">
        <v>19138</v>
      </c>
      <c r="C179" s="8">
        <f>DATE(2012,12,31)-483</f>
        <v>40791</v>
      </c>
      <c r="D179" s="8" t="str">
        <f t="shared" si="2"/>
        <v>2011-09 (сентябрь 2011)</v>
      </c>
      <c r="E179" s="9" t="s">
        <v>21</v>
      </c>
      <c r="F179" s="7">
        <v>30</v>
      </c>
      <c r="G179" s="7">
        <v>387</v>
      </c>
      <c r="H179" s="7">
        <v>0.01</v>
      </c>
      <c r="I179" s="9" t="s">
        <v>56</v>
      </c>
      <c r="J179" s="10">
        <v>-31.45</v>
      </c>
      <c r="K179" s="11">
        <v>12.28</v>
      </c>
      <c r="L179" s="11">
        <v>6.13</v>
      </c>
      <c r="M179" s="9" t="s">
        <v>69</v>
      </c>
      <c r="N179" s="6" t="s">
        <v>173</v>
      </c>
      <c r="O179" s="6" t="s">
        <v>173</v>
      </c>
      <c r="P179" s="9" t="s">
        <v>60</v>
      </c>
      <c r="Q179" s="9" t="s">
        <v>26</v>
      </c>
      <c r="R179" s="9" t="s">
        <v>27</v>
      </c>
      <c r="S179" s="7" t="s">
        <v>275</v>
      </c>
      <c r="T179" s="9" t="s">
        <v>39</v>
      </c>
      <c r="U179" s="7">
        <v>0.56999999999999995</v>
      </c>
      <c r="V179" s="12">
        <f>C179+5</f>
        <v>40796</v>
      </c>
      <c r="W179">
        <f>IF(D179=' Pivot Tables'!$A$4,1,0)</f>
        <v>0</v>
      </c>
      <c r="X179">
        <f>IF(AND(LEFT(D179,4)+1=LEFT(' Pivot Tables'!$A$4,4)+0,RIGHT(LEFT(D179,7),2)=RIGHT(LEFT(' Pivot Tables'!$A$4,7),2)),1,0)</f>
        <v>0</v>
      </c>
      <c r="Y179" s="6">
        <f>1/COUNTIF(Таблица1[Order ID],Таблица1[[#This Row],[Order ID]])</f>
        <v>1</v>
      </c>
      <c r="Z179" s="9">
        <f>1/COUNTIFS(Таблица1[Customer Name],Таблица1[[#This Row],[Customer Name]],Таблица1[Order-Year-Month],Таблица1[[#This Row],[Order-Year-Month]])</f>
        <v>1</v>
      </c>
    </row>
    <row r="180" spans="1:26" x14ac:dyDescent="0.2">
      <c r="A180" s="6">
        <v>2726</v>
      </c>
      <c r="B180" s="7">
        <v>19655</v>
      </c>
      <c r="C180" s="8">
        <f>DATE(2012,12,31)-1450</f>
        <v>39824</v>
      </c>
      <c r="D180" s="8" t="str">
        <f t="shared" si="2"/>
        <v>2009-01 (январь 2009)</v>
      </c>
      <c r="E180" s="9" t="s">
        <v>30</v>
      </c>
      <c r="F180" s="7">
        <v>31</v>
      </c>
      <c r="G180" s="7">
        <v>1143.45</v>
      </c>
      <c r="H180" s="7">
        <v>0.06</v>
      </c>
      <c r="I180" s="9" t="s">
        <v>22</v>
      </c>
      <c r="J180" s="10">
        <v>304.42</v>
      </c>
      <c r="K180" s="11">
        <v>39.24</v>
      </c>
      <c r="L180" s="11">
        <v>1.99</v>
      </c>
      <c r="M180" s="9" t="s">
        <v>106</v>
      </c>
      <c r="N180" s="6" t="s">
        <v>173</v>
      </c>
      <c r="O180" s="6" t="s">
        <v>173</v>
      </c>
      <c r="P180" s="9" t="s">
        <v>41</v>
      </c>
      <c r="Q180" s="9" t="s">
        <v>42</v>
      </c>
      <c r="R180" s="9" t="s">
        <v>70</v>
      </c>
      <c r="S180" s="7" t="s">
        <v>276</v>
      </c>
      <c r="T180" s="9" t="s">
        <v>52</v>
      </c>
      <c r="U180" s="7">
        <v>0.51</v>
      </c>
      <c r="V180" s="12">
        <f>C180+1</f>
        <v>39825</v>
      </c>
      <c r="W180">
        <f>IF(D180=' Pivot Tables'!$A$4,1,0)</f>
        <v>0</v>
      </c>
      <c r="X180">
        <f>IF(AND(LEFT(D180,4)+1=LEFT(' Pivot Tables'!$A$4,4)+0,RIGHT(LEFT(D180,7),2)=RIGHT(LEFT(' Pivot Tables'!$A$4,7),2)),1,0)</f>
        <v>1</v>
      </c>
      <c r="Y180" s="6">
        <f>1/COUNTIF(Таблица1[Order ID],Таблица1[[#This Row],[Order ID]])</f>
        <v>1</v>
      </c>
      <c r="Z180" s="9">
        <f>1/COUNTIFS(Таблица1[Customer Name],Таблица1[[#This Row],[Customer Name]],Таблица1[Order-Year-Month],Таблица1[[#This Row],[Order-Year-Month]])</f>
        <v>1</v>
      </c>
    </row>
    <row r="181" spans="1:26" x14ac:dyDescent="0.2">
      <c r="A181" s="6">
        <v>2727</v>
      </c>
      <c r="B181" s="7">
        <v>19686</v>
      </c>
      <c r="C181" s="8">
        <f>DATE(2012,12,31)-869</f>
        <v>40405</v>
      </c>
      <c r="D181" s="8" t="str">
        <f t="shared" si="2"/>
        <v>2010-08 (август 2010)</v>
      </c>
      <c r="E181" s="9" t="s">
        <v>63</v>
      </c>
      <c r="F181" s="7">
        <v>2</v>
      </c>
      <c r="G181" s="7">
        <v>42.31</v>
      </c>
      <c r="H181" s="7">
        <v>0.06</v>
      </c>
      <c r="I181" s="9" t="s">
        <v>22</v>
      </c>
      <c r="J181" s="10">
        <v>-53.078699999999998</v>
      </c>
      <c r="K181" s="11">
        <v>17.98</v>
      </c>
      <c r="L181" s="11">
        <v>8.51</v>
      </c>
      <c r="M181" s="9" t="s">
        <v>106</v>
      </c>
      <c r="N181" s="6" t="s">
        <v>173</v>
      </c>
      <c r="O181" s="6" t="s">
        <v>173</v>
      </c>
      <c r="P181" s="9" t="s">
        <v>41</v>
      </c>
      <c r="Q181" s="9" t="s">
        <v>42</v>
      </c>
      <c r="R181" s="9" t="s">
        <v>210</v>
      </c>
      <c r="S181" s="7" t="s">
        <v>277</v>
      </c>
      <c r="T181" s="9" t="s">
        <v>48</v>
      </c>
      <c r="U181" s="7">
        <v>0.4</v>
      </c>
      <c r="V181" s="12">
        <f>C181+0</f>
        <v>40405</v>
      </c>
      <c r="W181">
        <f>IF(D181=' Pivot Tables'!$A$4,1,0)</f>
        <v>0</v>
      </c>
      <c r="X181">
        <f>IF(AND(LEFT(D181,4)+1=LEFT(' Pivot Tables'!$A$4,4)+0,RIGHT(LEFT(D181,7),2)=RIGHT(LEFT(' Pivot Tables'!$A$4,7),2)),1,0)</f>
        <v>0</v>
      </c>
      <c r="Y181" s="6">
        <f>1/COUNTIF(Таблица1[Order ID],Таблица1[[#This Row],[Order ID]])</f>
        <v>0.5</v>
      </c>
      <c r="Z181" s="9">
        <f>1/COUNTIFS(Таблица1[Customer Name],Таблица1[[#This Row],[Customer Name]],Таблица1[Order-Year-Month],Таблица1[[#This Row],[Order-Year-Month]])</f>
        <v>0.5</v>
      </c>
    </row>
    <row r="182" spans="1:26" x14ac:dyDescent="0.2">
      <c r="A182" s="6">
        <v>2728</v>
      </c>
      <c r="B182" s="7">
        <v>19686</v>
      </c>
      <c r="C182" s="8">
        <f>DATE(2012,12,31)-869</f>
        <v>40405</v>
      </c>
      <c r="D182" s="8" t="str">
        <f t="shared" si="2"/>
        <v>2010-08 (август 2010)</v>
      </c>
      <c r="E182" s="9" t="s">
        <v>63</v>
      </c>
      <c r="F182" s="7">
        <v>11</v>
      </c>
      <c r="G182" s="7">
        <v>152.66999999999999</v>
      </c>
      <c r="H182" s="7">
        <v>0.04</v>
      </c>
      <c r="I182" s="9" t="s">
        <v>22</v>
      </c>
      <c r="J182" s="10">
        <v>12.7585</v>
      </c>
      <c r="K182" s="11">
        <v>12.95</v>
      </c>
      <c r="L182" s="11">
        <v>4.9800000000000004</v>
      </c>
      <c r="M182" s="9" t="s">
        <v>106</v>
      </c>
      <c r="N182" s="6" t="s">
        <v>173</v>
      </c>
      <c r="O182" s="6" t="s">
        <v>173</v>
      </c>
      <c r="P182" s="9" t="s">
        <v>41</v>
      </c>
      <c r="Q182" s="9" t="s">
        <v>26</v>
      </c>
      <c r="R182" s="9" t="s">
        <v>37</v>
      </c>
      <c r="S182" s="7" t="s">
        <v>278</v>
      </c>
      <c r="T182" s="9" t="s">
        <v>39</v>
      </c>
      <c r="U182" s="7">
        <v>0.4</v>
      </c>
      <c r="V182" s="12">
        <f>C182+2</f>
        <v>40407</v>
      </c>
      <c r="W182">
        <f>IF(D182=' Pivot Tables'!$A$4,1,0)</f>
        <v>0</v>
      </c>
      <c r="X182">
        <f>IF(AND(LEFT(D182,4)+1=LEFT(' Pivot Tables'!$A$4,4)+0,RIGHT(LEFT(D182,7),2)=RIGHT(LEFT(' Pivot Tables'!$A$4,7),2)),1,0)</f>
        <v>0</v>
      </c>
      <c r="Y182" s="6">
        <f>1/COUNTIF(Таблица1[Order ID],Таблица1[[#This Row],[Order ID]])</f>
        <v>0.5</v>
      </c>
      <c r="Z182" s="9">
        <f>1/COUNTIFS(Таблица1[Customer Name],Таблица1[[#This Row],[Customer Name]],Таблица1[Order-Year-Month],Таблица1[[#This Row],[Order-Year-Month]])</f>
        <v>0.5</v>
      </c>
    </row>
    <row r="183" spans="1:26" x14ac:dyDescent="0.2">
      <c r="A183" s="6">
        <v>2768</v>
      </c>
      <c r="B183" s="7">
        <v>20007</v>
      </c>
      <c r="C183" s="8">
        <f>DATE(2012,12,31)-1244</f>
        <v>40030</v>
      </c>
      <c r="D183" s="8" t="str">
        <f t="shared" si="2"/>
        <v>2009-08 (август 2009)</v>
      </c>
      <c r="E183" s="9" t="s">
        <v>45</v>
      </c>
      <c r="F183" s="7">
        <v>49</v>
      </c>
      <c r="G183" s="7">
        <v>82.61</v>
      </c>
      <c r="H183" s="7">
        <v>0.08</v>
      </c>
      <c r="I183" s="9" t="s">
        <v>22</v>
      </c>
      <c r="J183" s="10">
        <v>-46.25</v>
      </c>
      <c r="K183" s="11">
        <v>1.68</v>
      </c>
      <c r="L183" s="11">
        <v>1.57</v>
      </c>
      <c r="M183" s="9" t="s">
        <v>122</v>
      </c>
      <c r="N183" s="6" t="s">
        <v>173</v>
      </c>
      <c r="O183" s="6" t="s">
        <v>173</v>
      </c>
      <c r="P183" s="9" t="s">
        <v>25</v>
      </c>
      <c r="Q183" s="9" t="s">
        <v>26</v>
      </c>
      <c r="R183" s="9" t="s">
        <v>95</v>
      </c>
      <c r="S183" s="7" t="s">
        <v>220</v>
      </c>
      <c r="T183" s="9" t="s">
        <v>68</v>
      </c>
      <c r="U183" s="7">
        <v>0.59</v>
      </c>
      <c r="V183" s="12">
        <f>C183+1</f>
        <v>40031</v>
      </c>
      <c r="W183">
        <f>IF(D183=' Pivot Tables'!$A$4,1,0)</f>
        <v>0</v>
      </c>
      <c r="X183">
        <f>IF(AND(LEFT(D183,4)+1=LEFT(' Pivot Tables'!$A$4,4)+0,RIGHT(LEFT(D183,7),2)=RIGHT(LEFT(' Pivot Tables'!$A$4,7),2)),1,0)</f>
        <v>0</v>
      </c>
      <c r="Y183" s="6">
        <f>1/COUNTIF(Таблица1[Order ID],Таблица1[[#This Row],[Order ID]])</f>
        <v>1</v>
      </c>
      <c r="Z183" s="9">
        <f>1/COUNTIFS(Таблица1[Customer Name],Таблица1[[#This Row],[Customer Name]],Таблица1[Order-Year-Month],Таблица1[[#This Row],[Order-Year-Month]])</f>
        <v>0.5</v>
      </c>
    </row>
    <row r="184" spans="1:26" x14ac:dyDescent="0.2">
      <c r="A184" s="6">
        <v>2782</v>
      </c>
      <c r="B184" s="7">
        <v>20071</v>
      </c>
      <c r="C184" s="8">
        <f>DATE(2012,12,31)-471</f>
        <v>40803</v>
      </c>
      <c r="D184" s="8" t="str">
        <f t="shared" si="2"/>
        <v>2011-09 (сентябрь 2011)</v>
      </c>
      <c r="E184" s="9" t="s">
        <v>63</v>
      </c>
      <c r="F184" s="7">
        <v>31</v>
      </c>
      <c r="G184" s="7">
        <v>789.94</v>
      </c>
      <c r="H184" s="7">
        <v>0.1</v>
      </c>
      <c r="I184" s="9" t="s">
        <v>31</v>
      </c>
      <c r="J184" s="10">
        <v>-190.41</v>
      </c>
      <c r="K184" s="11">
        <v>25.98</v>
      </c>
      <c r="L184" s="11">
        <v>14.36</v>
      </c>
      <c r="M184" s="9" t="s">
        <v>279</v>
      </c>
      <c r="N184" s="6" t="s">
        <v>173</v>
      </c>
      <c r="O184" s="6" t="s">
        <v>173</v>
      </c>
      <c r="P184" s="9" t="s">
        <v>60</v>
      </c>
      <c r="Q184" s="9" t="s">
        <v>49</v>
      </c>
      <c r="R184" s="9" t="s">
        <v>112</v>
      </c>
      <c r="S184" s="7" t="s">
        <v>280</v>
      </c>
      <c r="T184" s="9" t="s">
        <v>36</v>
      </c>
      <c r="U184" s="7">
        <v>0.6</v>
      </c>
      <c r="V184" s="12">
        <f>C184+2</f>
        <v>40805</v>
      </c>
      <c r="W184">
        <f>IF(D184=' Pivot Tables'!$A$4,1,0)</f>
        <v>0</v>
      </c>
      <c r="X184">
        <f>IF(AND(LEFT(D184,4)+1=LEFT(' Pivot Tables'!$A$4,4)+0,RIGHT(LEFT(D184,7),2)=RIGHT(LEFT(' Pivot Tables'!$A$4,7),2)),1,0)</f>
        <v>0</v>
      </c>
      <c r="Y184" s="6">
        <f>1/COUNTIF(Таблица1[Order ID],Таблица1[[#This Row],[Order ID]])</f>
        <v>1</v>
      </c>
      <c r="Z184" s="9">
        <f>1/COUNTIFS(Таблица1[Customer Name],Таблица1[[#This Row],[Customer Name]],Таблица1[Order-Year-Month],Таблица1[[#This Row],[Order-Year-Month]])</f>
        <v>1</v>
      </c>
    </row>
    <row r="185" spans="1:26" x14ac:dyDescent="0.2">
      <c r="A185" s="6">
        <v>2796</v>
      </c>
      <c r="B185" s="7">
        <v>20160</v>
      </c>
      <c r="C185" s="8">
        <f>DATE(2012,12,31)-436</f>
        <v>40838</v>
      </c>
      <c r="D185" s="8" t="str">
        <f t="shared" si="2"/>
        <v>2011-10 (октябрь 2011)</v>
      </c>
      <c r="E185" s="9" t="s">
        <v>21</v>
      </c>
      <c r="F185" s="7">
        <v>42</v>
      </c>
      <c r="G185" s="7">
        <v>435.24</v>
      </c>
      <c r="H185" s="7">
        <v>0.08</v>
      </c>
      <c r="I185" s="9" t="s">
        <v>56</v>
      </c>
      <c r="J185" s="10">
        <v>174.89</v>
      </c>
      <c r="K185" s="11">
        <v>10.31</v>
      </c>
      <c r="L185" s="11">
        <v>1.79</v>
      </c>
      <c r="M185" s="9" t="s">
        <v>281</v>
      </c>
      <c r="N185" s="6" t="s">
        <v>173</v>
      </c>
      <c r="O185" s="6" t="s">
        <v>173</v>
      </c>
      <c r="P185" s="9" t="s">
        <v>25</v>
      </c>
      <c r="Q185" s="9" t="s">
        <v>26</v>
      </c>
      <c r="R185" s="9" t="s">
        <v>61</v>
      </c>
      <c r="S185" s="7" t="s">
        <v>282</v>
      </c>
      <c r="T185" s="9" t="s">
        <v>68</v>
      </c>
      <c r="U185" s="7">
        <v>0.38</v>
      </c>
      <c r="V185" s="12">
        <f>C185+2</f>
        <v>40840</v>
      </c>
      <c r="W185">
        <f>IF(D185=' Pivot Tables'!$A$4,1,0)</f>
        <v>0</v>
      </c>
      <c r="X185">
        <f>IF(AND(LEFT(D185,4)+1=LEFT(' Pivot Tables'!$A$4,4)+0,RIGHT(LEFT(D185,7),2)=RIGHT(LEFT(' Pivot Tables'!$A$4,7),2)),1,0)</f>
        <v>0</v>
      </c>
      <c r="Y185" s="6">
        <f>1/COUNTIF(Таблица1[Order ID],Таблица1[[#This Row],[Order ID]])</f>
        <v>1</v>
      </c>
      <c r="Z185" s="9">
        <f>1/COUNTIFS(Таблица1[Customer Name],Таблица1[[#This Row],[Customer Name]],Таблица1[Order-Year-Month],Таблица1[[#This Row],[Order-Year-Month]])</f>
        <v>1</v>
      </c>
    </row>
    <row r="186" spans="1:26" x14ac:dyDescent="0.2">
      <c r="A186" s="6">
        <v>2811</v>
      </c>
      <c r="B186" s="7">
        <v>20263</v>
      </c>
      <c r="C186" s="8">
        <f>DATE(2012,12,31)-1143</f>
        <v>40131</v>
      </c>
      <c r="D186" s="8" t="str">
        <f t="shared" si="2"/>
        <v>2009-11 (ноябрь 2009)</v>
      </c>
      <c r="E186" s="9" t="s">
        <v>63</v>
      </c>
      <c r="F186" s="7">
        <v>8</v>
      </c>
      <c r="G186" s="7">
        <v>473.7</v>
      </c>
      <c r="H186" s="7">
        <v>0.05</v>
      </c>
      <c r="I186" s="9" t="s">
        <v>22</v>
      </c>
      <c r="J186" s="10">
        <v>72.513500000000008</v>
      </c>
      <c r="K186" s="11">
        <v>59.78</v>
      </c>
      <c r="L186" s="11">
        <v>10.29</v>
      </c>
      <c r="M186" s="9" t="s">
        <v>283</v>
      </c>
      <c r="N186" s="6" t="s">
        <v>173</v>
      </c>
      <c r="O186" s="6" t="s">
        <v>173</v>
      </c>
      <c r="P186" s="9" t="s">
        <v>25</v>
      </c>
      <c r="Q186" s="9" t="s">
        <v>26</v>
      </c>
      <c r="R186" s="9" t="s">
        <v>37</v>
      </c>
      <c r="S186" s="7" t="s">
        <v>284</v>
      </c>
      <c r="T186" s="9" t="s">
        <v>39</v>
      </c>
      <c r="U186" s="7">
        <v>0.39</v>
      </c>
      <c r="V186" s="12">
        <f>C186+1</f>
        <v>40132</v>
      </c>
      <c r="W186">
        <f>IF(D186=' Pivot Tables'!$A$4,1,0)</f>
        <v>0</v>
      </c>
      <c r="X186">
        <f>IF(AND(LEFT(D186,4)+1=LEFT(' Pivot Tables'!$A$4,4)+0,RIGHT(LEFT(D186,7),2)=RIGHT(LEFT(' Pivot Tables'!$A$4,7),2)),1,0)</f>
        <v>0</v>
      </c>
      <c r="Y186" s="6">
        <f>1/COUNTIF(Таблица1[Order ID],Таблица1[[#This Row],[Order ID]])</f>
        <v>0.5</v>
      </c>
      <c r="Z186" s="9">
        <f>1/COUNTIFS(Таблица1[Customer Name],Таблица1[[#This Row],[Customer Name]],Таблица1[Order-Year-Month],Таблица1[[#This Row],[Order-Year-Month]])</f>
        <v>0.33333333333333331</v>
      </c>
    </row>
    <row r="187" spans="1:26" x14ac:dyDescent="0.2">
      <c r="A187" s="6">
        <v>2812</v>
      </c>
      <c r="B187" s="7">
        <v>20263</v>
      </c>
      <c r="C187" s="8">
        <f>DATE(2012,12,31)-1143</f>
        <v>40131</v>
      </c>
      <c r="D187" s="8" t="str">
        <f t="shared" si="2"/>
        <v>2009-11 (ноябрь 2009)</v>
      </c>
      <c r="E187" s="9" t="s">
        <v>63</v>
      </c>
      <c r="F187" s="7">
        <v>33</v>
      </c>
      <c r="G187" s="7">
        <v>553.5625</v>
      </c>
      <c r="H187" s="7">
        <v>0.08</v>
      </c>
      <c r="I187" s="9" t="s">
        <v>22</v>
      </c>
      <c r="J187" s="10">
        <v>-76.856999999999999</v>
      </c>
      <c r="K187" s="11">
        <v>20.99</v>
      </c>
      <c r="L187" s="11">
        <v>1.25</v>
      </c>
      <c r="M187" s="9" t="s">
        <v>283</v>
      </c>
      <c r="N187" s="6" t="s">
        <v>173</v>
      </c>
      <c r="O187" s="6" t="s">
        <v>173</v>
      </c>
      <c r="P187" s="9" t="s">
        <v>25</v>
      </c>
      <c r="Q187" s="9" t="s">
        <v>42</v>
      </c>
      <c r="R187" s="9" t="s">
        <v>43</v>
      </c>
      <c r="S187" s="7" t="s">
        <v>285</v>
      </c>
      <c r="T187" s="9" t="s">
        <v>52</v>
      </c>
      <c r="U187" s="7">
        <v>0.83</v>
      </c>
      <c r="V187" s="12">
        <f>C187+2</f>
        <v>40133</v>
      </c>
      <c r="W187">
        <f>IF(D187=' Pivot Tables'!$A$4,1,0)</f>
        <v>0</v>
      </c>
      <c r="X187">
        <f>IF(AND(LEFT(D187,4)+1=LEFT(' Pivot Tables'!$A$4,4)+0,RIGHT(LEFT(D187,7),2)=RIGHT(LEFT(' Pivot Tables'!$A$4,7),2)),1,0)</f>
        <v>0</v>
      </c>
      <c r="Y187" s="6">
        <f>1/COUNTIF(Таблица1[Order ID],Таблица1[[#This Row],[Order ID]])</f>
        <v>0.5</v>
      </c>
      <c r="Z187" s="9">
        <f>1/COUNTIFS(Таблица1[Customer Name],Таблица1[[#This Row],[Customer Name]],Таблица1[Order-Year-Month],Таблица1[[#This Row],[Order-Year-Month]])</f>
        <v>0.33333333333333331</v>
      </c>
    </row>
    <row r="188" spans="1:26" x14ac:dyDescent="0.2">
      <c r="A188" s="6">
        <v>2935</v>
      </c>
      <c r="B188" s="7">
        <v>21285</v>
      </c>
      <c r="C188" s="8">
        <f>DATE(2012,12,31)-912</f>
        <v>40362</v>
      </c>
      <c r="D188" s="8" t="str">
        <f t="shared" si="2"/>
        <v>2010-07 (июль 2010)</v>
      </c>
      <c r="E188" s="9" t="s">
        <v>63</v>
      </c>
      <c r="F188" s="7">
        <v>32</v>
      </c>
      <c r="G188" s="7">
        <v>54.78</v>
      </c>
      <c r="H188" s="7">
        <v>0.02</v>
      </c>
      <c r="I188" s="9" t="s">
        <v>22</v>
      </c>
      <c r="J188" s="10">
        <v>-30.54</v>
      </c>
      <c r="K188" s="11">
        <v>1.68</v>
      </c>
      <c r="L188" s="11">
        <v>1.57</v>
      </c>
      <c r="M188" s="9" t="s">
        <v>154</v>
      </c>
      <c r="N188" s="6" t="s">
        <v>173</v>
      </c>
      <c r="O188" s="6" t="s">
        <v>173</v>
      </c>
      <c r="P188" s="9" t="s">
        <v>41</v>
      </c>
      <c r="Q188" s="9" t="s">
        <v>26</v>
      </c>
      <c r="R188" s="9" t="s">
        <v>95</v>
      </c>
      <c r="S188" s="7" t="s">
        <v>220</v>
      </c>
      <c r="T188" s="9" t="s">
        <v>68</v>
      </c>
      <c r="U188" s="7">
        <v>0.59</v>
      </c>
      <c r="V188" s="12">
        <f>C188+1</f>
        <v>40363</v>
      </c>
      <c r="W188">
        <f>IF(D188=' Pivot Tables'!$A$4,1,0)</f>
        <v>0</v>
      </c>
      <c r="X188">
        <f>IF(AND(LEFT(D188,4)+1=LEFT(' Pivot Tables'!$A$4,4)+0,RIGHT(LEFT(D188,7),2)=RIGHT(LEFT(' Pivot Tables'!$A$4,7),2)),1,0)</f>
        <v>0</v>
      </c>
      <c r="Y188" s="6">
        <f>1/COUNTIF(Таблица1[Order ID],Таблица1[[#This Row],[Order ID]])</f>
        <v>0.5</v>
      </c>
      <c r="Z188" s="9">
        <f>1/COUNTIFS(Таблица1[Customer Name],Таблица1[[#This Row],[Customer Name]],Таблица1[Order-Year-Month],Таблица1[[#This Row],[Order-Year-Month]])</f>
        <v>0.5</v>
      </c>
    </row>
    <row r="189" spans="1:26" x14ac:dyDescent="0.2">
      <c r="A189" s="6">
        <v>2936</v>
      </c>
      <c r="B189" s="7">
        <v>21285</v>
      </c>
      <c r="C189" s="8">
        <f>DATE(2012,12,31)-912</f>
        <v>40362</v>
      </c>
      <c r="D189" s="8" t="str">
        <f t="shared" si="2"/>
        <v>2010-07 (июль 2010)</v>
      </c>
      <c r="E189" s="9" t="s">
        <v>63</v>
      </c>
      <c r="F189" s="7">
        <v>47</v>
      </c>
      <c r="G189" s="7">
        <v>304.83</v>
      </c>
      <c r="H189" s="7">
        <v>0.1</v>
      </c>
      <c r="I189" s="9" t="s">
        <v>22</v>
      </c>
      <c r="J189" s="10">
        <v>23.82</v>
      </c>
      <c r="K189" s="11">
        <v>7.08</v>
      </c>
      <c r="L189" s="11">
        <v>2.35</v>
      </c>
      <c r="M189" s="9" t="s">
        <v>154</v>
      </c>
      <c r="N189" s="6" t="s">
        <v>173</v>
      </c>
      <c r="O189" s="6" t="s">
        <v>173</v>
      </c>
      <c r="P189" s="9" t="s">
        <v>41</v>
      </c>
      <c r="Q189" s="9" t="s">
        <v>26</v>
      </c>
      <c r="R189" s="9" t="s">
        <v>95</v>
      </c>
      <c r="S189" s="7" t="s">
        <v>286</v>
      </c>
      <c r="T189" s="9" t="s">
        <v>68</v>
      </c>
      <c r="U189" s="7">
        <v>0.47</v>
      </c>
      <c r="V189" s="12">
        <f>C189+2</f>
        <v>40364</v>
      </c>
      <c r="W189">
        <f>IF(D189=' Pivot Tables'!$A$4,1,0)</f>
        <v>0</v>
      </c>
      <c r="X189">
        <f>IF(AND(LEFT(D189,4)+1=LEFT(' Pivot Tables'!$A$4,4)+0,RIGHT(LEFT(D189,7),2)=RIGHT(LEFT(' Pivot Tables'!$A$4,7),2)),1,0)</f>
        <v>0</v>
      </c>
      <c r="Y189" s="6">
        <f>1/COUNTIF(Таблица1[Order ID],Таблица1[[#This Row],[Order ID]])</f>
        <v>0.5</v>
      </c>
      <c r="Z189" s="9">
        <f>1/COUNTIFS(Таблица1[Customer Name],Таблица1[[#This Row],[Customer Name]],Таблица1[Order-Year-Month],Таблица1[[#This Row],[Order-Year-Month]])</f>
        <v>0.5</v>
      </c>
    </row>
    <row r="190" spans="1:26" x14ac:dyDescent="0.2">
      <c r="A190" s="6">
        <v>2956</v>
      </c>
      <c r="B190" s="7">
        <v>21383</v>
      </c>
      <c r="C190" s="8">
        <f>DATE(2012,12,31)-1431</f>
        <v>39843</v>
      </c>
      <c r="D190" s="8" t="str">
        <f t="shared" si="2"/>
        <v>2009-01 (январь 2009)</v>
      </c>
      <c r="E190" s="9" t="s">
        <v>21</v>
      </c>
      <c r="F190" s="7">
        <v>31</v>
      </c>
      <c r="G190" s="7">
        <v>16066.85</v>
      </c>
      <c r="H190" s="7">
        <v>7.0000000000000007E-2</v>
      </c>
      <c r="I190" s="9" t="s">
        <v>22</v>
      </c>
      <c r="J190" s="10">
        <v>7416.43</v>
      </c>
      <c r="K190" s="11">
        <v>574.74</v>
      </c>
      <c r="L190" s="11">
        <v>24.49</v>
      </c>
      <c r="M190" s="9" t="s">
        <v>287</v>
      </c>
      <c r="N190" s="6" t="s">
        <v>173</v>
      </c>
      <c r="O190" s="6" t="s">
        <v>173</v>
      </c>
      <c r="P190" s="9" t="s">
        <v>33</v>
      </c>
      <c r="Q190" s="9" t="s">
        <v>42</v>
      </c>
      <c r="R190" s="9" t="s">
        <v>210</v>
      </c>
      <c r="S190" s="7" t="s">
        <v>288</v>
      </c>
      <c r="T190" s="9" t="s">
        <v>29</v>
      </c>
      <c r="U190" s="7">
        <v>0.37</v>
      </c>
      <c r="V190" s="12">
        <f>C190+5</f>
        <v>39848</v>
      </c>
      <c r="W190">
        <f>IF(D190=' Pivot Tables'!$A$4,1,0)</f>
        <v>0</v>
      </c>
      <c r="X190">
        <f>IF(AND(LEFT(D190,4)+1=LEFT(' Pivot Tables'!$A$4,4)+0,RIGHT(LEFT(D190,7),2)=RIGHT(LEFT(' Pivot Tables'!$A$4,7),2)),1,0)</f>
        <v>1</v>
      </c>
      <c r="Y190" s="6">
        <f>1/COUNTIF(Таблица1[Order ID],Таблица1[[#This Row],[Order ID]])</f>
        <v>1</v>
      </c>
      <c r="Z190" s="9">
        <f>1/COUNTIFS(Таблица1[Customer Name],Таблица1[[#This Row],[Customer Name]],Таблица1[Order-Year-Month],Таблица1[[#This Row],[Order-Year-Month]])</f>
        <v>0.33333333333333331</v>
      </c>
    </row>
    <row r="191" spans="1:26" x14ac:dyDescent="0.2">
      <c r="A191" s="6">
        <v>2999</v>
      </c>
      <c r="B191" s="7">
        <v>21607</v>
      </c>
      <c r="C191" s="8">
        <f>DATE(2012,12,31)-291</f>
        <v>40983</v>
      </c>
      <c r="D191" s="8" t="str">
        <f t="shared" si="2"/>
        <v>2012-03 (март 2012)</v>
      </c>
      <c r="E191" s="9" t="s">
        <v>45</v>
      </c>
      <c r="F191" s="7">
        <v>17</v>
      </c>
      <c r="G191" s="7">
        <v>618.9</v>
      </c>
      <c r="H191" s="7">
        <v>0.09</v>
      </c>
      <c r="I191" s="9" t="s">
        <v>22</v>
      </c>
      <c r="J191" s="10">
        <v>54.92</v>
      </c>
      <c r="K191" s="11">
        <v>36.549999999999997</v>
      </c>
      <c r="L191" s="11">
        <v>13.89</v>
      </c>
      <c r="M191" s="9" t="s">
        <v>289</v>
      </c>
      <c r="N191" s="6" t="s">
        <v>173</v>
      </c>
      <c r="O191" s="6" t="s">
        <v>173</v>
      </c>
      <c r="P191" s="9" t="s">
        <v>60</v>
      </c>
      <c r="Q191" s="9" t="s">
        <v>26</v>
      </c>
      <c r="R191" s="9" t="s">
        <v>95</v>
      </c>
      <c r="S191" s="7" t="s">
        <v>290</v>
      </c>
      <c r="T191" s="9" t="s">
        <v>68</v>
      </c>
      <c r="U191" s="7">
        <v>0.41</v>
      </c>
      <c r="V191" s="12">
        <f>C191+2</f>
        <v>40985</v>
      </c>
      <c r="W191">
        <f>IF(D191=' Pivot Tables'!$A$4,1,0)</f>
        <v>0</v>
      </c>
      <c r="X191">
        <f>IF(AND(LEFT(D191,4)+1=LEFT(' Pivot Tables'!$A$4,4)+0,RIGHT(LEFT(D191,7),2)=RIGHT(LEFT(' Pivot Tables'!$A$4,7),2)),1,0)</f>
        <v>0</v>
      </c>
      <c r="Y191" s="6">
        <f>1/COUNTIF(Таблица1[Order ID],Таблица1[[#This Row],[Order ID]])</f>
        <v>1</v>
      </c>
      <c r="Z191" s="9">
        <f>1/COUNTIFS(Таблица1[Customer Name],Таблица1[[#This Row],[Customer Name]],Таблица1[Order-Year-Month],Таблица1[[#This Row],[Order-Year-Month]])</f>
        <v>1</v>
      </c>
    </row>
    <row r="192" spans="1:26" x14ac:dyDescent="0.2">
      <c r="A192" s="6">
        <v>3006</v>
      </c>
      <c r="B192" s="7">
        <v>21636</v>
      </c>
      <c r="C192" s="8">
        <f>DATE(2012,12,31)-1239</f>
        <v>40035</v>
      </c>
      <c r="D192" s="8" t="str">
        <f t="shared" si="2"/>
        <v>2009-08 (август 2009)</v>
      </c>
      <c r="E192" s="9" t="s">
        <v>21</v>
      </c>
      <c r="F192" s="7">
        <v>35</v>
      </c>
      <c r="G192" s="7">
        <v>1665.0394999999999</v>
      </c>
      <c r="H192" s="7">
        <v>0.02</v>
      </c>
      <c r="I192" s="9" t="s">
        <v>22</v>
      </c>
      <c r="J192" s="10">
        <v>366.50700000000001</v>
      </c>
      <c r="K192" s="11">
        <v>55.99</v>
      </c>
      <c r="L192" s="11">
        <v>3.3</v>
      </c>
      <c r="M192" s="9" t="s">
        <v>291</v>
      </c>
      <c r="N192" s="6" t="s">
        <v>173</v>
      </c>
      <c r="O192" s="6" t="s">
        <v>173</v>
      </c>
      <c r="P192" s="9" t="s">
        <v>60</v>
      </c>
      <c r="Q192" s="9" t="s">
        <v>42</v>
      </c>
      <c r="R192" s="9" t="s">
        <v>43</v>
      </c>
      <c r="S192" s="7" t="s">
        <v>292</v>
      </c>
      <c r="T192" s="9" t="s">
        <v>52</v>
      </c>
      <c r="U192" s="7">
        <v>0.59</v>
      </c>
      <c r="V192" s="12">
        <f>C192+0</f>
        <v>40035</v>
      </c>
      <c r="W192">
        <f>IF(D192=' Pivot Tables'!$A$4,1,0)</f>
        <v>0</v>
      </c>
      <c r="X192">
        <f>IF(AND(LEFT(D192,4)+1=LEFT(' Pivot Tables'!$A$4,4)+0,RIGHT(LEFT(D192,7),2)=RIGHT(LEFT(' Pivot Tables'!$A$4,7),2)),1,0)</f>
        <v>0</v>
      </c>
      <c r="Y192" s="6">
        <f>1/COUNTIF(Таблица1[Order ID],Таблица1[[#This Row],[Order ID]])</f>
        <v>0.33333333333333331</v>
      </c>
      <c r="Z192" s="9">
        <f>1/COUNTIFS(Таблица1[Customer Name],Таблица1[[#This Row],[Customer Name]],Таблица1[Order-Year-Month],Таблица1[[#This Row],[Order-Year-Month]])</f>
        <v>0.33333333333333331</v>
      </c>
    </row>
    <row r="193" spans="1:26" x14ac:dyDescent="0.2">
      <c r="A193" s="6">
        <v>3052</v>
      </c>
      <c r="B193" s="7">
        <v>21889</v>
      </c>
      <c r="C193" s="8">
        <f>DATE(2012,12,31)-1005</f>
        <v>40269</v>
      </c>
      <c r="D193" s="8" t="str">
        <f t="shared" si="2"/>
        <v>2010-04 (апрель 2010)</v>
      </c>
      <c r="E193" s="9" t="s">
        <v>21</v>
      </c>
      <c r="F193" s="7">
        <v>21</v>
      </c>
      <c r="G193" s="7">
        <v>1049.79</v>
      </c>
      <c r="H193" s="7">
        <v>0.08</v>
      </c>
      <c r="I193" s="9" t="s">
        <v>22</v>
      </c>
      <c r="J193" s="10">
        <v>135.79</v>
      </c>
      <c r="K193" s="11">
        <v>51.75</v>
      </c>
      <c r="L193" s="11">
        <v>19.989999999999998</v>
      </c>
      <c r="M193" s="9" t="s">
        <v>264</v>
      </c>
      <c r="N193" s="6" t="s">
        <v>173</v>
      </c>
      <c r="O193" s="6" t="s">
        <v>173</v>
      </c>
      <c r="P193" s="9" t="s">
        <v>33</v>
      </c>
      <c r="Q193" s="9" t="s">
        <v>49</v>
      </c>
      <c r="R193" s="9" t="s">
        <v>50</v>
      </c>
      <c r="S193" s="7" t="s">
        <v>293</v>
      </c>
      <c r="T193" s="9" t="s">
        <v>39</v>
      </c>
      <c r="U193" s="7">
        <v>0.55000000000000004</v>
      </c>
      <c r="V193" s="12">
        <f>C193+7</f>
        <v>40276</v>
      </c>
      <c r="W193">
        <f>IF(D193=' Pivot Tables'!$A$4,1,0)</f>
        <v>0</v>
      </c>
      <c r="X193">
        <f>IF(AND(LEFT(D193,4)+1=LEFT(' Pivot Tables'!$A$4,4)+0,RIGHT(LEFT(D193,7),2)=RIGHT(LEFT(' Pivot Tables'!$A$4,7),2)),1,0)</f>
        <v>0</v>
      </c>
      <c r="Y193" s="6">
        <f>1/COUNTIF(Таблица1[Order ID],Таблица1[[#This Row],[Order ID]])</f>
        <v>0.5</v>
      </c>
      <c r="Z193" s="9">
        <f>1/COUNTIFS(Таблица1[Customer Name],Таблица1[[#This Row],[Customer Name]],Таблица1[Order-Year-Month],Таблица1[[#This Row],[Order-Year-Month]])</f>
        <v>0.5</v>
      </c>
    </row>
    <row r="194" spans="1:26" x14ac:dyDescent="0.2">
      <c r="A194" s="6">
        <v>3053</v>
      </c>
      <c r="B194" s="7">
        <v>21889</v>
      </c>
      <c r="C194" s="8">
        <f>DATE(2012,12,31)-1005</f>
        <v>40269</v>
      </c>
      <c r="D194" s="8" t="str">
        <f t="shared" si="2"/>
        <v>2010-04 (апрель 2010)</v>
      </c>
      <c r="E194" s="9" t="s">
        <v>21</v>
      </c>
      <c r="F194" s="7">
        <v>16</v>
      </c>
      <c r="G194" s="7">
        <v>817.18</v>
      </c>
      <c r="H194" s="7">
        <v>0.1</v>
      </c>
      <c r="I194" s="9" t="s">
        <v>22</v>
      </c>
      <c r="J194" s="10">
        <v>103.38</v>
      </c>
      <c r="K194" s="11">
        <v>55.29</v>
      </c>
      <c r="L194" s="11">
        <v>5.08</v>
      </c>
      <c r="M194" s="9" t="s">
        <v>264</v>
      </c>
      <c r="N194" s="6" t="s">
        <v>173</v>
      </c>
      <c r="O194" s="6" t="s">
        <v>173</v>
      </c>
      <c r="P194" s="9" t="s">
        <v>33</v>
      </c>
      <c r="Q194" s="9" t="s">
        <v>26</v>
      </c>
      <c r="R194" s="9" t="s">
        <v>27</v>
      </c>
      <c r="S194" s="7" t="s">
        <v>294</v>
      </c>
      <c r="T194" s="9" t="s">
        <v>39</v>
      </c>
      <c r="U194" s="7">
        <v>0.59</v>
      </c>
      <c r="V194" s="12">
        <f>C194+2</f>
        <v>40271</v>
      </c>
      <c r="W194">
        <f>IF(D194=' Pivot Tables'!$A$4,1,0)</f>
        <v>0</v>
      </c>
      <c r="X194">
        <f>IF(AND(LEFT(D194,4)+1=LEFT(' Pivot Tables'!$A$4,4)+0,RIGHT(LEFT(D194,7),2)=RIGHT(LEFT(' Pivot Tables'!$A$4,7),2)),1,0)</f>
        <v>0</v>
      </c>
      <c r="Y194" s="6">
        <f>1/COUNTIF(Таблица1[Order ID],Таблица1[[#This Row],[Order ID]])</f>
        <v>0.5</v>
      </c>
      <c r="Z194" s="9">
        <f>1/COUNTIFS(Таблица1[Customer Name],Таблица1[[#This Row],[Customer Name]],Таблица1[Order-Year-Month],Таблица1[[#This Row],[Order-Year-Month]])</f>
        <v>0.5</v>
      </c>
    </row>
    <row r="195" spans="1:26" x14ac:dyDescent="0.2">
      <c r="A195" s="6">
        <v>3089</v>
      </c>
      <c r="B195" s="7">
        <v>22151</v>
      </c>
      <c r="C195" s="8">
        <f>DATE(2012,12,31)-884</f>
        <v>40390</v>
      </c>
      <c r="D195" s="8" t="str">
        <f t="shared" ref="D195:D258" si="3">TEXT(C195,"гггг-ММ (ММММ гггг)")</f>
        <v>2010-07 (июль 2010)</v>
      </c>
      <c r="E195" s="9" t="s">
        <v>30</v>
      </c>
      <c r="F195" s="7">
        <v>49</v>
      </c>
      <c r="G195" s="7">
        <v>465.83</v>
      </c>
      <c r="H195" s="7">
        <v>0.1</v>
      </c>
      <c r="I195" s="9" t="s">
        <v>22</v>
      </c>
      <c r="J195" s="10">
        <v>-79.72</v>
      </c>
      <c r="K195" s="11">
        <v>9.65</v>
      </c>
      <c r="L195" s="11">
        <v>6.22</v>
      </c>
      <c r="M195" s="9" t="s">
        <v>135</v>
      </c>
      <c r="N195" s="6" t="s">
        <v>173</v>
      </c>
      <c r="O195" s="6" t="s">
        <v>173</v>
      </c>
      <c r="P195" s="9" t="s">
        <v>41</v>
      </c>
      <c r="Q195" s="9" t="s">
        <v>49</v>
      </c>
      <c r="R195" s="9" t="s">
        <v>50</v>
      </c>
      <c r="S195" s="7" t="s">
        <v>138</v>
      </c>
      <c r="T195" s="9" t="s">
        <v>39</v>
      </c>
      <c r="U195" s="7">
        <v>0.55000000000000004</v>
      </c>
      <c r="V195" s="12">
        <f>C195+0</f>
        <v>40390</v>
      </c>
      <c r="W195">
        <f>IF(D195=' Pivot Tables'!$A$4,1,0)</f>
        <v>0</v>
      </c>
      <c r="X195">
        <f>IF(AND(LEFT(D195,4)+1=LEFT(' Pivot Tables'!$A$4,4)+0,RIGHT(LEFT(D195,7),2)=RIGHT(LEFT(' Pivot Tables'!$A$4,7),2)),1,0)</f>
        <v>0</v>
      </c>
      <c r="Y195" s="6">
        <f>1/COUNTIF(Таблица1[Order ID],Таблица1[[#This Row],[Order ID]])</f>
        <v>0.5</v>
      </c>
      <c r="Z195" s="9">
        <f>1/COUNTIFS(Таблица1[Customer Name],Таблица1[[#This Row],[Customer Name]],Таблица1[Order-Year-Month],Таблица1[[#This Row],[Order-Year-Month]])</f>
        <v>0.5</v>
      </c>
    </row>
    <row r="196" spans="1:26" x14ac:dyDescent="0.2">
      <c r="A196" s="6">
        <v>3110</v>
      </c>
      <c r="B196" s="7">
        <v>22342</v>
      </c>
      <c r="C196" s="8">
        <f>DATE(2012,12,31)-1312</f>
        <v>39962</v>
      </c>
      <c r="D196" s="8" t="str">
        <f t="shared" si="3"/>
        <v>2009-05 (май 2009)</v>
      </c>
      <c r="E196" s="9" t="s">
        <v>21</v>
      </c>
      <c r="F196" s="7">
        <v>13</v>
      </c>
      <c r="G196" s="7">
        <v>241.70600000000002</v>
      </c>
      <c r="H196" s="7">
        <v>0</v>
      </c>
      <c r="I196" s="9" t="s">
        <v>22</v>
      </c>
      <c r="J196" s="10">
        <v>-92.961000000000013</v>
      </c>
      <c r="K196" s="11">
        <v>20.99</v>
      </c>
      <c r="L196" s="11">
        <v>3.3</v>
      </c>
      <c r="M196" s="9" t="s">
        <v>72</v>
      </c>
      <c r="N196" s="6" t="s">
        <v>173</v>
      </c>
      <c r="O196" s="6" t="s">
        <v>173</v>
      </c>
      <c r="P196" s="9" t="s">
        <v>25</v>
      </c>
      <c r="Q196" s="9" t="s">
        <v>42</v>
      </c>
      <c r="R196" s="9" t="s">
        <v>43</v>
      </c>
      <c r="S196" s="7" t="s">
        <v>295</v>
      </c>
      <c r="T196" s="9" t="s">
        <v>52</v>
      </c>
      <c r="U196" s="7">
        <v>0.81</v>
      </c>
      <c r="V196" s="12">
        <f>C196+7</f>
        <v>39969</v>
      </c>
      <c r="W196">
        <f>IF(D196=' Pivot Tables'!$A$4,1,0)</f>
        <v>0</v>
      </c>
      <c r="X196">
        <f>IF(AND(LEFT(D196,4)+1=LEFT(' Pivot Tables'!$A$4,4)+0,RIGHT(LEFT(D196,7),2)=RIGHT(LEFT(' Pivot Tables'!$A$4,7),2)),1,0)</f>
        <v>0</v>
      </c>
      <c r="Y196" s="6">
        <f>1/COUNTIF(Таблица1[Order ID],Таблица1[[#This Row],[Order ID]])</f>
        <v>1</v>
      </c>
      <c r="Z196" s="9">
        <f>1/COUNTIFS(Таблица1[Customer Name],Таблица1[[#This Row],[Customer Name]],Таблица1[Order-Year-Month],Таблица1[[#This Row],[Order-Year-Month]])</f>
        <v>1</v>
      </c>
    </row>
    <row r="197" spans="1:26" x14ac:dyDescent="0.2">
      <c r="A197" s="6">
        <v>3135</v>
      </c>
      <c r="B197" s="7">
        <v>22469</v>
      </c>
      <c r="C197" s="8">
        <f>DATE(2012,12,31)-812</f>
        <v>40462</v>
      </c>
      <c r="D197" s="8" t="str">
        <f t="shared" si="3"/>
        <v>2010-10 (октябрь 2010)</v>
      </c>
      <c r="E197" s="9" t="s">
        <v>30</v>
      </c>
      <c r="F197" s="7">
        <v>44</v>
      </c>
      <c r="G197" s="7">
        <v>275.91000000000003</v>
      </c>
      <c r="H197" s="7">
        <v>0.1</v>
      </c>
      <c r="I197" s="9" t="s">
        <v>22</v>
      </c>
      <c r="J197" s="10">
        <v>-162.37100000000001</v>
      </c>
      <c r="K197" s="11">
        <v>7.99</v>
      </c>
      <c r="L197" s="11">
        <v>5.03</v>
      </c>
      <c r="M197" s="9" t="s">
        <v>296</v>
      </c>
      <c r="N197" s="6" t="s">
        <v>173</v>
      </c>
      <c r="O197" s="6" t="s">
        <v>173</v>
      </c>
      <c r="P197" s="9" t="s">
        <v>41</v>
      </c>
      <c r="Q197" s="9" t="s">
        <v>42</v>
      </c>
      <c r="R197" s="9" t="s">
        <v>43</v>
      </c>
      <c r="S197" s="7" t="s">
        <v>140</v>
      </c>
      <c r="T197" s="9" t="s">
        <v>48</v>
      </c>
      <c r="U197" s="7">
        <v>0.6</v>
      </c>
      <c r="V197" s="12">
        <f>C197+2</f>
        <v>40464</v>
      </c>
      <c r="W197">
        <f>IF(D197=' Pivot Tables'!$A$4,1,0)</f>
        <v>0</v>
      </c>
      <c r="X197">
        <f>IF(AND(LEFT(D197,4)+1=LEFT(' Pivot Tables'!$A$4,4)+0,RIGHT(LEFT(D197,7),2)=RIGHT(LEFT(' Pivot Tables'!$A$4,7),2)),1,0)</f>
        <v>0</v>
      </c>
      <c r="Y197" s="6">
        <f>1/COUNTIF(Таблица1[Order ID],Таблица1[[#This Row],[Order ID]])</f>
        <v>0.33333333333333331</v>
      </c>
      <c r="Z197" s="9">
        <f>1/COUNTIFS(Таблица1[Customer Name],Таблица1[[#This Row],[Customer Name]],Таблица1[Order-Year-Month],Таблица1[[#This Row],[Order-Year-Month]])</f>
        <v>0.33333333333333331</v>
      </c>
    </row>
    <row r="198" spans="1:26" x14ac:dyDescent="0.2">
      <c r="A198" s="6">
        <v>3138</v>
      </c>
      <c r="B198" s="7">
        <v>22501</v>
      </c>
      <c r="C198" s="8">
        <f>DATE(2012,12,31)-958</f>
        <v>40316</v>
      </c>
      <c r="D198" s="8" t="str">
        <f t="shared" si="3"/>
        <v>2010-05 (май 2010)</v>
      </c>
      <c r="E198" s="9" t="s">
        <v>30</v>
      </c>
      <c r="F198" s="7">
        <v>2</v>
      </c>
      <c r="G198" s="7">
        <v>30.83</v>
      </c>
      <c r="H198" s="7">
        <v>0.04</v>
      </c>
      <c r="I198" s="9" t="s">
        <v>56</v>
      </c>
      <c r="J198" s="10">
        <v>7.27</v>
      </c>
      <c r="K198" s="11">
        <v>7.64</v>
      </c>
      <c r="L198" s="11">
        <v>1.39</v>
      </c>
      <c r="M198" s="9" t="s">
        <v>106</v>
      </c>
      <c r="N198" s="6" t="s">
        <v>173</v>
      </c>
      <c r="O198" s="6" t="s">
        <v>173</v>
      </c>
      <c r="P198" s="9" t="s">
        <v>41</v>
      </c>
      <c r="Q198" s="9" t="s">
        <v>26</v>
      </c>
      <c r="R198" s="9" t="s">
        <v>76</v>
      </c>
      <c r="S198" s="7" t="s">
        <v>297</v>
      </c>
      <c r="T198" s="9" t="s">
        <v>39</v>
      </c>
      <c r="U198" s="7">
        <v>0.36</v>
      </c>
      <c r="V198" s="12">
        <f>C198+1</f>
        <v>40317</v>
      </c>
      <c r="W198">
        <f>IF(D198=' Pivot Tables'!$A$4,1,0)</f>
        <v>0</v>
      </c>
      <c r="X198">
        <f>IF(AND(LEFT(D198,4)+1=LEFT(' Pivot Tables'!$A$4,4)+0,RIGHT(LEFT(D198,7),2)=RIGHT(LEFT(' Pivot Tables'!$A$4,7),2)),1,0)</f>
        <v>0</v>
      </c>
      <c r="Y198" s="6">
        <f>1/COUNTIF(Таблица1[Order ID],Таблица1[[#This Row],[Order ID]])</f>
        <v>1</v>
      </c>
      <c r="Z198" s="9">
        <f>1/COUNTIFS(Таблица1[Customer Name],Таблица1[[#This Row],[Customer Name]],Таблица1[Order-Year-Month],Таблица1[[#This Row],[Order-Year-Month]])</f>
        <v>1</v>
      </c>
    </row>
    <row r="199" spans="1:26" x14ac:dyDescent="0.2">
      <c r="A199" s="6">
        <v>3140</v>
      </c>
      <c r="B199" s="7">
        <v>22532</v>
      </c>
      <c r="C199" s="8">
        <f>DATE(2012,12,31)-692</f>
        <v>40582</v>
      </c>
      <c r="D199" s="8" t="str">
        <f t="shared" si="3"/>
        <v>2011-02 (февраль 2011)</v>
      </c>
      <c r="E199" s="9" t="s">
        <v>78</v>
      </c>
      <c r="F199" s="7">
        <v>13</v>
      </c>
      <c r="G199" s="7">
        <v>121.66</v>
      </c>
      <c r="H199" s="7">
        <v>0.03</v>
      </c>
      <c r="I199" s="9" t="s">
        <v>22</v>
      </c>
      <c r="J199" s="10">
        <v>-11.798999999999999</v>
      </c>
      <c r="K199" s="11">
        <v>8.85</v>
      </c>
      <c r="L199" s="11">
        <v>5.6</v>
      </c>
      <c r="M199" s="9" t="s">
        <v>46</v>
      </c>
      <c r="N199" s="6" t="s">
        <v>173</v>
      </c>
      <c r="O199" s="6" t="s">
        <v>173</v>
      </c>
      <c r="P199" s="9" t="s">
        <v>33</v>
      </c>
      <c r="Q199" s="9" t="s">
        <v>26</v>
      </c>
      <c r="R199" s="9" t="s">
        <v>37</v>
      </c>
      <c r="S199" s="7" t="s">
        <v>298</v>
      </c>
      <c r="T199" s="9" t="s">
        <v>39</v>
      </c>
      <c r="U199" s="7">
        <v>0.36</v>
      </c>
      <c r="V199" s="12">
        <f>C199+0</f>
        <v>40582</v>
      </c>
      <c r="W199">
        <f>IF(D199=' Pivot Tables'!$A$4,1,0)</f>
        <v>0</v>
      </c>
      <c r="X199">
        <f>IF(AND(LEFT(D199,4)+1=LEFT(' Pivot Tables'!$A$4,4)+0,RIGHT(LEFT(D199,7),2)=RIGHT(LEFT(' Pivot Tables'!$A$4,7),2)),1,0)</f>
        <v>0</v>
      </c>
      <c r="Y199" s="6">
        <f>1/COUNTIF(Таблица1[Order ID],Таблица1[[#This Row],[Order ID]])</f>
        <v>1</v>
      </c>
      <c r="Z199" s="9">
        <f>1/COUNTIFS(Таблица1[Customer Name],Таблица1[[#This Row],[Customer Name]],Таблица1[Order-Year-Month],Таблица1[[#This Row],[Order-Year-Month]])</f>
        <v>0.5</v>
      </c>
    </row>
    <row r="200" spans="1:26" x14ac:dyDescent="0.2">
      <c r="A200" s="6">
        <v>3244</v>
      </c>
      <c r="B200" s="7">
        <v>23264</v>
      </c>
      <c r="C200" s="8">
        <f>DATE(2012,12,31)-755</f>
        <v>40519</v>
      </c>
      <c r="D200" s="8" t="str">
        <f t="shared" si="3"/>
        <v>2010-12 (декабрь 2010)</v>
      </c>
      <c r="E200" s="9" t="s">
        <v>78</v>
      </c>
      <c r="F200" s="7">
        <v>16</v>
      </c>
      <c r="G200" s="7">
        <v>108.42</v>
      </c>
      <c r="H200" s="7">
        <v>0.02</v>
      </c>
      <c r="I200" s="9" t="s">
        <v>22</v>
      </c>
      <c r="J200" s="10">
        <v>-50.82</v>
      </c>
      <c r="K200" s="11">
        <v>6.48</v>
      </c>
      <c r="L200" s="11">
        <v>6.81</v>
      </c>
      <c r="M200" s="9" t="s">
        <v>40</v>
      </c>
      <c r="N200" s="6" t="s">
        <v>173</v>
      </c>
      <c r="O200" s="6" t="s">
        <v>173</v>
      </c>
      <c r="P200" s="9" t="s">
        <v>41</v>
      </c>
      <c r="Q200" s="9" t="s">
        <v>26</v>
      </c>
      <c r="R200" s="9" t="s">
        <v>61</v>
      </c>
      <c r="S200" s="7" t="s">
        <v>299</v>
      </c>
      <c r="T200" s="9" t="s">
        <v>39</v>
      </c>
      <c r="U200" s="7">
        <v>0.36</v>
      </c>
      <c r="V200" s="12">
        <f>C200+2</f>
        <v>40521</v>
      </c>
      <c r="W200">
        <f>IF(D200=' Pivot Tables'!$A$4,1,0)</f>
        <v>0</v>
      </c>
      <c r="X200">
        <f>IF(AND(LEFT(D200,4)+1=LEFT(' Pivot Tables'!$A$4,4)+0,RIGHT(LEFT(D200,7),2)=RIGHT(LEFT(' Pivot Tables'!$A$4,7),2)),1,0)</f>
        <v>0</v>
      </c>
      <c r="Y200" s="6">
        <f>1/COUNTIF(Таблица1[Order ID],Таблица1[[#This Row],[Order ID]])</f>
        <v>0.5</v>
      </c>
      <c r="Z200" s="9">
        <f>1/COUNTIFS(Таблица1[Customer Name],Таблица1[[#This Row],[Customer Name]],Таблица1[Order-Year-Month],Таблица1[[#This Row],[Order-Year-Month]])</f>
        <v>0.33333333333333331</v>
      </c>
    </row>
    <row r="201" spans="1:26" x14ac:dyDescent="0.2">
      <c r="A201" s="6">
        <v>3245</v>
      </c>
      <c r="B201" s="7">
        <v>23264</v>
      </c>
      <c r="C201" s="8">
        <f>DATE(2012,12,31)-755</f>
        <v>40519</v>
      </c>
      <c r="D201" s="8" t="str">
        <f t="shared" si="3"/>
        <v>2010-12 (декабрь 2010)</v>
      </c>
      <c r="E201" s="9" t="s">
        <v>78</v>
      </c>
      <c r="F201" s="7">
        <v>27</v>
      </c>
      <c r="G201" s="7">
        <v>78.47</v>
      </c>
      <c r="H201" s="7">
        <v>0.06</v>
      </c>
      <c r="I201" s="9" t="s">
        <v>22</v>
      </c>
      <c r="J201" s="10">
        <v>17.989999999999998</v>
      </c>
      <c r="K201" s="11">
        <v>2.88</v>
      </c>
      <c r="L201" s="11">
        <v>0.99</v>
      </c>
      <c r="M201" s="9" t="s">
        <v>40</v>
      </c>
      <c r="N201" s="6" t="s">
        <v>173</v>
      </c>
      <c r="O201" s="6" t="s">
        <v>173</v>
      </c>
      <c r="P201" s="9" t="s">
        <v>41</v>
      </c>
      <c r="Q201" s="9" t="s">
        <v>26</v>
      </c>
      <c r="R201" s="9" t="s">
        <v>88</v>
      </c>
      <c r="S201" s="7" t="s">
        <v>300</v>
      </c>
      <c r="T201" s="9" t="s">
        <v>39</v>
      </c>
      <c r="U201" s="7">
        <v>0.36</v>
      </c>
      <c r="V201" s="12">
        <f>C201+2</f>
        <v>40521</v>
      </c>
      <c r="W201">
        <f>IF(D201=' Pivot Tables'!$A$4,1,0)</f>
        <v>0</v>
      </c>
      <c r="X201">
        <f>IF(AND(LEFT(D201,4)+1=LEFT(' Pivot Tables'!$A$4,4)+0,RIGHT(LEFT(D201,7),2)=RIGHT(LEFT(' Pivot Tables'!$A$4,7),2)),1,0)</f>
        <v>0</v>
      </c>
      <c r="Y201" s="6">
        <f>1/COUNTIF(Таблица1[Order ID],Таблица1[[#This Row],[Order ID]])</f>
        <v>0.5</v>
      </c>
      <c r="Z201" s="9">
        <f>1/COUNTIFS(Таблица1[Customer Name],Таблица1[[#This Row],[Customer Name]],Таблица1[Order-Year-Month],Таблица1[[#This Row],[Order-Year-Month]])</f>
        <v>0.33333333333333331</v>
      </c>
    </row>
    <row r="202" spans="1:26" x14ac:dyDescent="0.2">
      <c r="A202" s="6">
        <v>3284</v>
      </c>
      <c r="B202" s="7">
        <v>23488</v>
      </c>
      <c r="C202" s="8">
        <f>DATE(2012,12,31)-1455</f>
        <v>39819</v>
      </c>
      <c r="D202" s="8" t="str">
        <f t="shared" si="3"/>
        <v>2009-01 (январь 2009)</v>
      </c>
      <c r="E202" s="9" t="s">
        <v>78</v>
      </c>
      <c r="F202" s="7">
        <v>30</v>
      </c>
      <c r="G202" s="7">
        <v>26133.39</v>
      </c>
      <c r="H202" s="7">
        <v>0.04</v>
      </c>
      <c r="I202" s="9" t="s">
        <v>31</v>
      </c>
      <c r="J202" s="10">
        <v>-11053.6</v>
      </c>
      <c r="K202" s="11">
        <v>880.98</v>
      </c>
      <c r="L202" s="11">
        <v>44.55</v>
      </c>
      <c r="M202" s="9" t="s">
        <v>111</v>
      </c>
      <c r="N202" s="6" t="s">
        <v>173</v>
      </c>
      <c r="O202" s="6" t="s">
        <v>173</v>
      </c>
      <c r="P202" s="9" t="s">
        <v>60</v>
      </c>
      <c r="Q202" s="9" t="s">
        <v>49</v>
      </c>
      <c r="R202" s="9" t="s">
        <v>80</v>
      </c>
      <c r="S202" s="7" t="s">
        <v>301</v>
      </c>
      <c r="T202" s="9" t="s">
        <v>82</v>
      </c>
      <c r="U202" s="7">
        <v>0.62</v>
      </c>
      <c r="V202" s="12">
        <f>C202+1</f>
        <v>39820</v>
      </c>
      <c r="W202">
        <f>IF(D202=' Pivot Tables'!$A$4,1,0)</f>
        <v>0</v>
      </c>
      <c r="X202">
        <f>IF(AND(LEFT(D202,4)+1=LEFT(' Pivot Tables'!$A$4,4)+0,RIGHT(LEFT(D202,7),2)=RIGHT(LEFT(' Pivot Tables'!$A$4,7),2)),1,0)</f>
        <v>1</v>
      </c>
      <c r="Y202" s="6">
        <f>1/COUNTIF(Таблица1[Order ID],Таблица1[[#This Row],[Order ID]])</f>
        <v>0.5</v>
      </c>
      <c r="Z202" s="9">
        <f>1/COUNTIFS(Таблица1[Customer Name],Таблица1[[#This Row],[Customer Name]],Таблица1[Order-Year-Month],Таблица1[[#This Row],[Order-Year-Month]])</f>
        <v>1</v>
      </c>
    </row>
    <row r="203" spans="1:26" x14ac:dyDescent="0.2">
      <c r="A203" s="6">
        <v>3300</v>
      </c>
      <c r="B203" s="7">
        <v>23584</v>
      </c>
      <c r="C203" s="8">
        <f>DATE(2012,12,31)-294</f>
        <v>40980</v>
      </c>
      <c r="D203" s="8" t="str">
        <f t="shared" si="3"/>
        <v>2012-03 (март 2012)</v>
      </c>
      <c r="E203" s="9" t="s">
        <v>78</v>
      </c>
      <c r="F203" s="7">
        <v>14</v>
      </c>
      <c r="G203" s="7">
        <v>2671.21</v>
      </c>
      <c r="H203" s="7">
        <v>0.06</v>
      </c>
      <c r="I203" s="9" t="s">
        <v>31</v>
      </c>
      <c r="J203" s="10">
        <v>636.17999999999995</v>
      </c>
      <c r="K203" s="11">
        <v>200.97</v>
      </c>
      <c r="L203" s="11">
        <v>15.59</v>
      </c>
      <c r="M203" s="9" t="s">
        <v>106</v>
      </c>
      <c r="N203" s="6" t="s">
        <v>173</v>
      </c>
      <c r="O203" s="6" t="s">
        <v>173</v>
      </c>
      <c r="P203" s="9" t="s">
        <v>41</v>
      </c>
      <c r="Q203" s="9" t="s">
        <v>42</v>
      </c>
      <c r="R203" s="9" t="s">
        <v>210</v>
      </c>
      <c r="S203" s="7" t="s">
        <v>302</v>
      </c>
      <c r="T203" s="9" t="s">
        <v>36</v>
      </c>
      <c r="U203" s="7">
        <v>0.36</v>
      </c>
      <c r="V203" s="12">
        <f>C203+2</f>
        <v>40982</v>
      </c>
      <c r="W203">
        <f>IF(D203=' Pivot Tables'!$A$4,1,0)</f>
        <v>0</v>
      </c>
      <c r="X203">
        <f>IF(AND(LEFT(D203,4)+1=LEFT(' Pivot Tables'!$A$4,4)+0,RIGHT(LEFT(D203,7),2)=RIGHT(LEFT(' Pivot Tables'!$A$4,7),2)),1,0)</f>
        <v>0</v>
      </c>
      <c r="Y203" s="6">
        <f>1/COUNTIF(Таблица1[Order ID],Таблица1[[#This Row],[Order ID]])</f>
        <v>1</v>
      </c>
      <c r="Z203" s="9">
        <f>1/COUNTIFS(Таблица1[Customer Name],Таблица1[[#This Row],[Customer Name]],Таблица1[Order-Year-Month],Таблица1[[#This Row],[Order-Year-Month]])</f>
        <v>1</v>
      </c>
    </row>
    <row r="204" spans="1:26" x14ac:dyDescent="0.2">
      <c r="A204" s="6">
        <v>3355</v>
      </c>
      <c r="B204" s="7">
        <v>24007</v>
      </c>
      <c r="C204" s="8">
        <f>DATE(2012,12,31)-858</f>
        <v>40416</v>
      </c>
      <c r="D204" s="8" t="str">
        <f t="shared" si="3"/>
        <v>2010-08 (август 2010)</v>
      </c>
      <c r="E204" s="9" t="s">
        <v>21</v>
      </c>
      <c r="F204" s="7">
        <v>26</v>
      </c>
      <c r="G204" s="7">
        <v>531.66</v>
      </c>
      <c r="H204" s="7">
        <v>0.08</v>
      </c>
      <c r="I204" s="9" t="s">
        <v>22</v>
      </c>
      <c r="J204" s="10">
        <v>135.65</v>
      </c>
      <c r="K204" s="11">
        <v>20.89</v>
      </c>
      <c r="L204" s="11">
        <v>1.99</v>
      </c>
      <c r="M204" s="9" t="s">
        <v>144</v>
      </c>
      <c r="N204" s="6" t="s">
        <v>173</v>
      </c>
      <c r="O204" s="6" t="s">
        <v>173</v>
      </c>
      <c r="P204" s="9" t="s">
        <v>60</v>
      </c>
      <c r="Q204" s="9" t="s">
        <v>42</v>
      </c>
      <c r="R204" s="9" t="s">
        <v>70</v>
      </c>
      <c r="S204" s="7" t="s">
        <v>303</v>
      </c>
      <c r="T204" s="9" t="s">
        <v>52</v>
      </c>
      <c r="U204" s="7">
        <v>0.48</v>
      </c>
      <c r="V204" s="12">
        <f>C204+7</f>
        <v>40423</v>
      </c>
      <c r="W204">
        <f>IF(D204=' Pivot Tables'!$A$4,1,0)</f>
        <v>0</v>
      </c>
      <c r="X204">
        <f>IF(AND(LEFT(D204,4)+1=LEFT(' Pivot Tables'!$A$4,4)+0,RIGHT(LEFT(D204,7),2)=RIGHT(LEFT(' Pivot Tables'!$A$4,7),2)),1,0)</f>
        <v>0</v>
      </c>
      <c r="Y204" s="6">
        <f>1/COUNTIF(Таблица1[Order ID],Таблица1[[#This Row],[Order ID]])</f>
        <v>0.33333333333333331</v>
      </c>
      <c r="Z204" s="9">
        <f>1/COUNTIFS(Таблица1[Customer Name],Таблица1[[#This Row],[Customer Name]],Таблица1[Order-Year-Month],Таблица1[[#This Row],[Order-Year-Month]])</f>
        <v>0.33333333333333331</v>
      </c>
    </row>
    <row r="205" spans="1:26" x14ac:dyDescent="0.2">
      <c r="A205" s="6">
        <v>3356</v>
      </c>
      <c r="B205" s="7">
        <v>24007</v>
      </c>
      <c r="C205" s="8">
        <f>DATE(2012,12,31)-858</f>
        <v>40416</v>
      </c>
      <c r="D205" s="8" t="str">
        <f t="shared" si="3"/>
        <v>2010-08 (август 2010)</v>
      </c>
      <c r="E205" s="9" t="s">
        <v>21</v>
      </c>
      <c r="F205" s="7">
        <v>28</v>
      </c>
      <c r="G205" s="7">
        <v>317.85000000000002</v>
      </c>
      <c r="H205" s="7">
        <v>0.06</v>
      </c>
      <c r="I205" s="9" t="s">
        <v>22</v>
      </c>
      <c r="J205" s="10">
        <v>-13.95</v>
      </c>
      <c r="K205" s="11">
        <v>11.58</v>
      </c>
      <c r="L205" s="11">
        <v>6.97</v>
      </c>
      <c r="M205" s="9" t="s">
        <v>144</v>
      </c>
      <c r="N205" s="6" t="s">
        <v>173</v>
      </c>
      <c r="O205" s="6" t="s">
        <v>173</v>
      </c>
      <c r="P205" s="9" t="s">
        <v>60</v>
      </c>
      <c r="Q205" s="9" t="s">
        <v>26</v>
      </c>
      <c r="R205" s="9" t="s">
        <v>76</v>
      </c>
      <c r="S205" s="7" t="s">
        <v>304</v>
      </c>
      <c r="T205" s="9" t="s">
        <v>39</v>
      </c>
      <c r="U205" s="7">
        <v>0.35</v>
      </c>
      <c r="V205" s="12">
        <f>C205+7</f>
        <v>40423</v>
      </c>
      <c r="W205">
        <f>IF(D205=' Pivot Tables'!$A$4,1,0)</f>
        <v>0</v>
      </c>
      <c r="X205">
        <f>IF(AND(LEFT(D205,4)+1=LEFT(' Pivot Tables'!$A$4,4)+0,RIGHT(LEFT(D205,7),2)=RIGHT(LEFT(' Pivot Tables'!$A$4,7),2)),1,0)</f>
        <v>0</v>
      </c>
      <c r="Y205" s="6">
        <f>1/COUNTIF(Таблица1[Order ID],Таблица1[[#This Row],[Order ID]])</f>
        <v>0.33333333333333331</v>
      </c>
      <c r="Z205" s="9">
        <f>1/COUNTIFS(Таблица1[Customer Name],Таблица1[[#This Row],[Customer Name]],Таблица1[Order-Year-Month],Таблица1[[#This Row],[Order-Year-Month]])</f>
        <v>0.33333333333333331</v>
      </c>
    </row>
    <row r="206" spans="1:26" x14ac:dyDescent="0.2">
      <c r="A206" s="6">
        <v>3357</v>
      </c>
      <c r="B206" s="7">
        <v>24007</v>
      </c>
      <c r="C206" s="8">
        <f>DATE(2012,12,31)-858</f>
        <v>40416</v>
      </c>
      <c r="D206" s="8" t="str">
        <f t="shared" si="3"/>
        <v>2010-08 (август 2010)</v>
      </c>
      <c r="E206" s="9" t="s">
        <v>21</v>
      </c>
      <c r="F206" s="7">
        <v>42</v>
      </c>
      <c r="G206" s="7">
        <v>163.08000000000001</v>
      </c>
      <c r="H206" s="7">
        <v>0.09</v>
      </c>
      <c r="I206" s="9" t="s">
        <v>22</v>
      </c>
      <c r="J206" s="10">
        <v>66.17</v>
      </c>
      <c r="K206" s="11">
        <v>4.13</v>
      </c>
      <c r="L206" s="11">
        <v>0.5</v>
      </c>
      <c r="M206" s="9" t="s">
        <v>144</v>
      </c>
      <c r="N206" s="6" t="s">
        <v>173</v>
      </c>
      <c r="O206" s="6" t="s">
        <v>173</v>
      </c>
      <c r="P206" s="9" t="s">
        <v>60</v>
      </c>
      <c r="Q206" s="9" t="s">
        <v>26</v>
      </c>
      <c r="R206" s="9" t="s">
        <v>88</v>
      </c>
      <c r="S206" s="7" t="s">
        <v>184</v>
      </c>
      <c r="T206" s="9" t="s">
        <v>39</v>
      </c>
      <c r="U206" s="7">
        <v>0.39</v>
      </c>
      <c r="V206" s="12">
        <f>C206+4</f>
        <v>40420</v>
      </c>
      <c r="W206">
        <f>IF(D206=' Pivot Tables'!$A$4,1,0)</f>
        <v>0</v>
      </c>
      <c r="X206">
        <f>IF(AND(LEFT(D206,4)+1=LEFT(' Pivot Tables'!$A$4,4)+0,RIGHT(LEFT(D206,7),2)=RIGHT(LEFT(' Pivot Tables'!$A$4,7),2)),1,0)</f>
        <v>0</v>
      </c>
      <c r="Y206" s="6">
        <f>1/COUNTIF(Таблица1[Order ID],Таблица1[[#This Row],[Order ID]])</f>
        <v>0.33333333333333331</v>
      </c>
      <c r="Z206" s="9">
        <f>1/COUNTIFS(Таблица1[Customer Name],Таблица1[[#This Row],[Customer Name]],Таблица1[Order-Year-Month],Таблица1[[#This Row],[Order-Year-Month]])</f>
        <v>0.33333333333333331</v>
      </c>
    </row>
    <row r="207" spans="1:26" x14ac:dyDescent="0.2">
      <c r="A207" s="6">
        <v>3359</v>
      </c>
      <c r="B207" s="7">
        <v>24038</v>
      </c>
      <c r="C207" s="8">
        <f>DATE(2012,12,31)-560</f>
        <v>40714</v>
      </c>
      <c r="D207" s="8" t="str">
        <f t="shared" si="3"/>
        <v>2011-06 (июнь 2011)</v>
      </c>
      <c r="E207" s="9" t="s">
        <v>30</v>
      </c>
      <c r="F207" s="7">
        <v>38</v>
      </c>
      <c r="G207" s="7">
        <v>103.07</v>
      </c>
      <c r="H207" s="7">
        <v>0.1</v>
      </c>
      <c r="I207" s="9" t="s">
        <v>22</v>
      </c>
      <c r="J207" s="10">
        <v>-0.94999999999999929</v>
      </c>
      <c r="K207" s="11">
        <v>2.78</v>
      </c>
      <c r="L207" s="11">
        <v>1.34</v>
      </c>
      <c r="M207" s="9" t="s">
        <v>296</v>
      </c>
      <c r="N207" s="6" t="s">
        <v>173</v>
      </c>
      <c r="O207" s="6" t="s">
        <v>173</v>
      </c>
      <c r="P207" s="9" t="s">
        <v>41</v>
      </c>
      <c r="Q207" s="9" t="s">
        <v>26</v>
      </c>
      <c r="R207" s="9" t="s">
        <v>95</v>
      </c>
      <c r="S207" s="7" t="s">
        <v>256</v>
      </c>
      <c r="T207" s="9" t="s">
        <v>68</v>
      </c>
      <c r="U207" s="7">
        <v>0.45</v>
      </c>
      <c r="V207" s="12">
        <f>C207+2</f>
        <v>40716</v>
      </c>
      <c r="W207">
        <f>IF(D207=' Pivot Tables'!$A$4,1,0)</f>
        <v>0</v>
      </c>
      <c r="X207">
        <f>IF(AND(LEFT(D207,4)+1=LEFT(' Pivot Tables'!$A$4,4)+0,RIGHT(LEFT(D207,7),2)=RIGHT(LEFT(' Pivot Tables'!$A$4,7),2)),1,0)</f>
        <v>0</v>
      </c>
      <c r="Y207" s="6">
        <f>1/COUNTIF(Таблица1[Order ID],Таблица1[[#This Row],[Order ID]])</f>
        <v>0.5</v>
      </c>
      <c r="Z207" s="9">
        <f>1/COUNTIFS(Таблица1[Customer Name],Таблица1[[#This Row],[Customer Name]],Таблица1[Order-Year-Month],Таблица1[[#This Row],[Order-Year-Month]])</f>
        <v>0.5</v>
      </c>
    </row>
    <row r="208" spans="1:26" x14ac:dyDescent="0.2">
      <c r="A208" s="6">
        <v>3371</v>
      </c>
      <c r="B208" s="7">
        <v>24097</v>
      </c>
      <c r="C208" s="8">
        <f>DATE(2012,12,31)-880</f>
        <v>40394</v>
      </c>
      <c r="D208" s="8" t="str">
        <f t="shared" si="3"/>
        <v>2010-08 (август 2010)</v>
      </c>
      <c r="E208" s="9" t="s">
        <v>30</v>
      </c>
      <c r="F208" s="7">
        <v>1</v>
      </c>
      <c r="G208" s="7">
        <v>17.190000000000001</v>
      </c>
      <c r="H208" s="7">
        <v>0</v>
      </c>
      <c r="I208" s="9" t="s">
        <v>22</v>
      </c>
      <c r="J208" s="10">
        <v>-35.340000000000003</v>
      </c>
      <c r="K208" s="11">
        <v>14.48</v>
      </c>
      <c r="L208" s="11">
        <v>1.99</v>
      </c>
      <c r="M208" s="9" t="s">
        <v>196</v>
      </c>
      <c r="N208" s="6" t="s">
        <v>173</v>
      </c>
      <c r="O208" s="6" t="s">
        <v>173</v>
      </c>
      <c r="P208" s="9" t="s">
        <v>25</v>
      </c>
      <c r="Q208" s="9" t="s">
        <v>42</v>
      </c>
      <c r="R208" s="9" t="s">
        <v>70</v>
      </c>
      <c r="S208" s="7" t="s">
        <v>305</v>
      </c>
      <c r="T208" s="9" t="s">
        <v>52</v>
      </c>
      <c r="U208" s="7">
        <v>0.49</v>
      </c>
      <c r="V208" s="12">
        <f>C208+0</f>
        <v>40394</v>
      </c>
      <c r="W208">
        <f>IF(D208=' Pivot Tables'!$A$4,1,0)</f>
        <v>0</v>
      </c>
      <c r="X208">
        <f>IF(AND(LEFT(D208,4)+1=LEFT(' Pivot Tables'!$A$4,4)+0,RIGHT(LEFT(D208,7),2)=RIGHT(LEFT(' Pivot Tables'!$A$4,7),2)),1,0)</f>
        <v>0</v>
      </c>
      <c r="Y208" s="6">
        <f>1/COUNTIF(Таблица1[Order ID],Таблица1[[#This Row],[Order ID]])</f>
        <v>0.33333333333333331</v>
      </c>
      <c r="Z208" s="9">
        <f>1/COUNTIFS(Таблица1[Customer Name],Таблица1[[#This Row],[Customer Name]],Таблица1[Order-Year-Month],Таблица1[[#This Row],[Order-Year-Month]])</f>
        <v>0.33333333333333331</v>
      </c>
    </row>
    <row r="209" spans="1:26" x14ac:dyDescent="0.2">
      <c r="A209" s="6">
        <v>3372</v>
      </c>
      <c r="B209" s="7">
        <v>24097</v>
      </c>
      <c r="C209" s="8">
        <f>DATE(2012,12,31)-880</f>
        <v>40394</v>
      </c>
      <c r="D209" s="8" t="str">
        <f t="shared" si="3"/>
        <v>2010-08 (август 2010)</v>
      </c>
      <c r="E209" s="9" t="s">
        <v>30</v>
      </c>
      <c r="F209" s="7">
        <v>27</v>
      </c>
      <c r="G209" s="7">
        <v>2689.48</v>
      </c>
      <c r="H209" s="7">
        <v>0.04</v>
      </c>
      <c r="I209" s="9" t="s">
        <v>22</v>
      </c>
      <c r="J209" s="10">
        <v>399.93</v>
      </c>
      <c r="K209" s="11">
        <v>99.99</v>
      </c>
      <c r="L209" s="11">
        <v>19.989999999999998</v>
      </c>
      <c r="M209" s="9" t="s">
        <v>196</v>
      </c>
      <c r="N209" s="6" t="s">
        <v>173</v>
      </c>
      <c r="O209" s="6" t="s">
        <v>173</v>
      </c>
      <c r="P209" s="9" t="s">
        <v>25</v>
      </c>
      <c r="Q209" s="9" t="s">
        <v>42</v>
      </c>
      <c r="R209" s="9" t="s">
        <v>70</v>
      </c>
      <c r="S209" s="7" t="s">
        <v>306</v>
      </c>
      <c r="T209" s="9" t="s">
        <v>39</v>
      </c>
      <c r="U209" s="7">
        <v>0.5</v>
      </c>
      <c r="V209" s="12">
        <f>C209+2</f>
        <v>40396</v>
      </c>
      <c r="W209">
        <f>IF(D209=' Pivot Tables'!$A$4,1,0)</f>
        <v>0</v>
      </c>
      <c r="X209">
        <f>IF(AND(LEFT(D209,4)+1=LEFT(' Pivot Tables'!$A$4,4)+0,RIGHT(LEFT(D209,7),2)=RIGHT(LEFT(' Pivot Tables'!$A$4,7),2)),1,0)</f>
        <v>0</v>
      </c>
      <c r="Y209" s="6">
        <f>1/COUNTIF(Таблица1[Order ID],Таблица1[[#This Row],[Order ID]])</f>
        <v>0.33333333333333331</v>
      </c>
      <c r="Z209" s="9">
        <f>1/COUNTIFS(Таблица1[Customer Name],Таблица1[[#This Row],[Customer Name]],Таблица1[Order-Year-Month],Таблица1[[#This Row],[Order-Year-Month]])</f>
        <v>0.33333333333333331</v>
      </c>
    </row>
    <row r="210" spans="1:26" x14ac:dyDescent="0.2">
      <c r="A210" s="6">
        <v>3373</v>
      </c>
      <c r="B210" s="7">
        <v>24097</v>
      </c>
      <c r="C210" s="8">
        <f>DATE(2012,12,31)-880</f>
        <v>40394</v>
      </c>
      <c r="D210" s="8" t="str">
        <f t="shared" si="3"/>
        <v>2010-08 (август 2010)</v>
      </c>
      <c r="E210" s="9" t="s">
        <v>30</v>
      </c>
      <c r="F210" s="7">
        <v>2</v>
      </c>
      <c r="G210" s="7">
        <v>15.31</v>
      </c>
      <c r="H210" s="7">
        <v>0.01</v>
      </c>
      <c r="I210" s="9" t="s">
        <v>22</v>
      </c>
      <c r="J210" s="10">
        <v>-8.15</v>
      </c>
      <c r="K210" s="11">
        <v>4.9800000000000004</v>
      </c>
      <c r="L210" s="11">
        <v>4.8600000000000003</v>
      </c>
      <c r="M210" s="9" t="s">
        <v>196</v>
      </c>
      <c r="N210" s="6" t="s">
        <v>173</v>
      </c>
      <c r="O210" s="6" t="s">
        <v>173</v>
      </c>
      <c r="P210" s="9" t="s">
        <v>25</v>
      </c>
      <c r="Q210" s="9" t="s">
        <v>26</v>
      </c>
      <c r="R210" s="9" t="s">
        <v>61</v>
      </c>
      <c r="S210" s="7" t="s">
        <v>307</v>
      </c>
      <c r="T210" s="9" t="s">
        <v>39</v>
      </c>
      <c r="U210" s="7">
        <v>0.38</v>
      </c>
      <c r="V210" s="12">
        <f>C210+2</f>
        <v>40396</v>
      </c>
      <c r="W210">
        <f>IF(D210=' Pivot Tables'!$A$4,1,0)</f>
        <v>0</v>
      </c>
      <c r="X210">
        <f>IF(AND(LEFT(D210,4)+1=LEFT(' Pivot Tables'!$A$4,4)+0,RIGHT(LEFT(D210,7),2)=RIGHT(LEFT(' Pivot Tables'!$A$4,7),2)),1,0)</f>
        <v>0</v>
      </c>
      <c r="Y210" s="6">
        <f>1/COUNTIF(Таблица1[Order ID],Таблица1[[#This Row],[Order ID]])</f>
        <v>0.33333333333333331</v>
      </c>
      <c r="Z210" s="9">
        <f>1/COUNTIFS(Таблица1[Customer Name],Таблица1[[#This Row],[Customer Name]],Таблица1[Order-Year-Month],Таблица1[[#This Row],[Order-Year-Month]])</f>
        <v>0.33333333333333331</v>
      </c>
    </row>
    <row r="211" spans="1:26" x14ac:dyDescent="0.2">
      <c r="A211" s="6">
        <v>3380</v>
      </c>
      <c r="B211" s="7">
        <v>24128</v>
      </c>
      <c r="C211" s="8">
        <f>DATE(2012,12,31)-769</f>
        <v>40505</v>
      </c>
      <c r="D211" s="8" t="str">
        <f t="shared" si="3"/>
        <v>2010-11 (ноябрь 2010)</v>
      </c>
      <c r="E211" s="9" t="s">
        <v>30</v>
      </c>
      <c r="F211" s="7">
        <v>13</v>
      </c>
      <c r="G211" s="7">
        <v>270.63</v>
      </c>
      <c r="H211" s="7">
        <v>0.1</v>
      </c>
      <c r="I211" s="9" t="s">
        <v>22</v>
      </c>
      <c r="J211" s="10">
        <v>7.07</v>
      </c>
      <c r="K211" s="11">
        <v>21.98</v>
      </c>
      <c r="L211" s="11">
        <v>8.32</v>
      </c>
      <c r="M211" s="9" t="s">
        <v>114</v>
      </c>
      <c r="N211" s="6" t="s">
        <v>173</v>
      </c>
      <c r="O211" s="6" t="s">
        <v>173</v>
      </c>
      <c r="P211" s="9" t="s">
        <v>41</v>
      </c>
      <c r="Q211" s="9" t="s">
        <v>26</v>
      </c>
      <c r="R211" s="9" t="s">
        <v>61</v>
      </c>
      <c r="S211" s="7" t="s">
        <v>308</v>
      </c>
      <c r="T211" s="9" t="s">
        <v>68</v>
      </c>
      <c r="U211" s="7">
        <v>0.39</v>
      </c>
      <c r="V211" s="12">
        <f>C211+2</f>
        <v>40507</v>
      </c>
      <c r="W211">
        <f>IF(D211=' Pivot Tables'!$A$4,1,0)</f>
        <v>0</v>
      </c>
      <c r="X211">
        <f>IF(AND(LEFT(D211,4)+1=LEFT(' Pivot Tables'!$A$4,4)+0,RIGHT(LEFT(D211,7),2)=RIGHT(LEFT(' Pivot Tables'!$A$4,7),2)),1,0)</f>
        <v>0</v>
      </c>
      <c r="Y211" s="6">
        <f>1/COUNTIF(Таблица1[Order ID],Таблица1[[#This Row],[Order ID]])</f>
        <v>0.5</v>
      </c>
      <c r="Z211" s="9">
        <f>1/COUNTIFS(Таблица1[Customer Name],Таблица1[[#This Row],[Customer Name]],Таблица1[Order-Year-Month],Таблица1[[#This Row],[Order-Year-Month]])</f>
        <v>0.5</v>
      </c>
    </row>
    <row r="212" spans="1:26" x14ac:dyDescent="0.2">
      <c r="A212" s="6">
        <v>3381</v>
      </c>
      <c r="B212" s="7">
        <v>24128</v>
      </c>
      <c r="C212" s="8">
        <f>DATE(2012,12,31)-769</f>
        <v>40505</v>
      </c>
      <c r="D212" s="8" t="str">
        <f t="shared" si="3"/>
        <v>2010-11 (ноябрь 2010)</v>
      </c>
      <c r="E212" s="9" t="s">
        <v>30</v>
      </c>
      <c r="F212" s="7">
        <v>43</v>
      </c>
      <c r="G212" s="7">
        <v>6583.9129999999996</v>
      </c>
      <c r="H212" s="7">
        <v>0.09</v>
      </c>
      <c r="I212" s="9" t="s">
        <v>22</v>
      </c>
      <c r="J212" s="10">
        <v>1459.7909999999999</v>
      </c>
      <c r="K212" s="11">
        <v>195.99</v>
      </c>
      <c r="L212" s="11">
        <v>3.99</v>
      </c>
      <c r="M212" s="9" t="s">
        <v>114</v>
      </c>
      <c r="N212" s="6" t="s">
        <v>173</v>
      </c>
      <c r="O212" s="6" t="s">
        <v>173</v>
      </c>
      <c r="P212" s="9" t="s">
        <v>41</v>
      </c>
      <c r="Q212" s="9" t="s">
        <v>42</v>
      </c>
      <c r="R212" s="9" t="s">
        <v>43</v>
      </c>
      <c r="S212" s="7" t="s">
        <v>309</v>
      </c>
      <c r="T212" s="9" t="s">
        <v>39</v>
      </c>
      <c r="U212" s="7">
        <v>0.59</v>
      </c>
      <c r="V212" s="12">
        <f>C212+2</f>
        <v>40507</v>
      </c>
      <c r="W212">
        <f>IF(D212=' Pivot Tables'!$A$4,1,0)</f>
        <v>0</v>
      </c>
      <c r="X212">
        <f>IF(AND(LEFT(D212,4)+1=LEFT(' Pivot Tables'!$A$4,4)+0,RIGHT(LEFT(D212,7),2)=RIGHT(LEFT(' Pivot Tables'!$A$4,7),2)),1,0)</f>
        <v>0</v>
      </c>
      <c r="Y212" s="6">
        <f>1/COUNTIF(Таблица1[Order ID],Таблица1[[#This Row],[Order ID]])</f>
        <v>0.5</v>
      </c>
      <c r="Z212" s="9">
        <f>1/COUNTIFS(Таблица1[Customer Name],Таблица1[[#This Row],[Customer Name]],Таблица1[Order-Year-Month],Таблица1[[#This Row],[Order-Year-Month]])</f>
        <v>0.5</v>
      </c>
    </row>
    <row r="213" spans="1:26" x14ac:dyDescent="0.2">
      <c r="A213" s="6">
        <v>3406</v>
      </c>
      <c r="B213" s="7">
        <v>24294</v>
      </c>
      <c r="C213" s="8">
        <f>DATE(2012,12,31)-1247</f>
        <v>40027</v>
      </c>
      <c r="D213" s="8" t="str">
        <f t="shared" si="3"/>
        <v>2009-08 (август 2009)</v>
      </c>
      <c r="E213" s="9" t="s">
        <v>45</v>
      </c>
      <c r="F213" s="7">
        <v>24</v>
      </c>
      <c r="G213" s="7">
        <v>4865.72</v>
      </c>
      <c r="H213" s="7">
        <v>0.03</v>
      </c>
      <c r="I213" s="9" t="s">
        <v>31</v>
      </c>
      <c r="J213" s="10">
        <v>1951.3</v>
      </c>
      <c r="K213" s="11">
        <v>200.97</v>
      </c>
      <c r="L213" s="11">
        <v>15.59</v>
      </c>
      <c r="M213" s="9" t="s">
        <v>240</v>
      </c>
      <c r="N213" s="6" t="s">
        <v>173</v>
      </c>
      <c r="O213" s="6" t="s">
        <v>173</v>
      </c>
      <c r="P213" s="9" t="s">
        <v>60</v>
      </c>
      <c r="Q213" s="9" t="s">
        <v>42</v>
      </c>
      <c r="R213" s="9" t="s">
        <v>210</v>
      </c>
      <c r="S213" s="7" t="s">
        <v>302</v>
      </c>
      <c r="T213" s="9" t="s">
        <v>36</v>
      </c>
      <c r="U213" s="7">
        <v>0.36</v>
      </c>
      <c r="V213" s="12">
        <f>C213+1</f>
        <v>40028</v>
      </c>
      <c r="W213">
        <f>IF(D213=' Pivot Tables'!$A$4,1,0)</f>
        <v>0</v>
      </c>
      <c r="X213">
        <f>IF(AND(LEFT(D213,4)+1=LEFT(' Pivot Tables'!$A$4,4)+0,RIGHT(LEFT(D213,7),2)=RIGHT(LEFT(' Pivot Tables'!$A$4,7),2)),1,0)</f>
        <v>0</v>
      </c>
      <c r="Y213" s="6">
        <f>1/COUNTIF(Таблица1[Order ID],Таблица1[[#This Row],[Order ID]])</f>
        <v>1</v>
      </c>
      <c r="Z213" s="9">
        <f>1/COUNTIFS(Таблица1[Customer Name],Таблица1[[#This Row],[Customer Name]],Таблица1[Order-Year-Month],Таблица1[[#This Row],[Order-Year-Month]])</f>
        <v>1</v>
      </c>
    </row>
    <row r="214" spans="1:26" x14ac:dyDescent="0.2">
      <c r="A214" s="6">
        <v>3418</v>
      </c>
      <c r="B214" s="7">
        <v>24387</v>
      </c>
      <c r="C214" s="8">
        <f>DATE(2012,12,31)-509</f>
        <v>40765</v>
      </c>
      <c r="D214" s="8" t="str">
        <f t="shared" si="3"/>
        <v>2011-08 (август 2011)</v>
      </c>
      <c r="E214" s="9" t="s">
        <v>78</v>
      </c>
      <c r="F214" s="7">
        <v>23</v>
      </c>
      <c r="G214" s="7">
        <v>1003.31</v>
      </c>
      <c r="H214" s="7">
        <v>0.01</v>
      </c>
      <c r="I214" s="9" t="s">
        <v>22</v>
      </c>
      <c r="J214" s="10">
        <v>51.9</v>
      </c>
      <c r="K214" s="11">
        <v>40.97</v>
      </c>
      <c r="L214" s="11">
        <v>14.45</v>
      </c>
      <c r="M214" s="9" t="s">
        <v>283</v>
      </c>
      <c r="N214" s="6" t="s">
        <v>173</v>
      </c>
      <c r="O214" s="6" t="s">
        <v>173</v>
      </c>
      <c r="P214" s="9" t="s">
        <v>25</v>
      </c>
      <c r="Q214" s="9" t="s">
        <v>49</v>
      </c>
      <c r="R214" s="9" t="s">
        <v>50</v>
      </c>
      <c r="S214" s="7" t="s">
        <v>310</v>
      </c>
      <c r="T214" s="9" t="s">
        <v>29</v>
      </c>
      <c r="U214" s="7">
        <v>0.56999999999999995</v>
      </c>
      <c r="V214" s="12">
        <f>C214+1</f>
        <v>40766</v>
      </c>
      <c r="W214">
        <f>IF(D214=' Pivot Tables'!$A$4,1,0)</f>
        <v>0</v>
      </c>
      <c r="X214">
        <f>IF(AND(LEFT(D214,4)+1=LEFT(' Pivot Tables'!$A$4,4)+0,RIGHT(LEFT(D214,7),2)=RIGHT(LEFT(' Pivot Tables'!$A$4,7),2)),1,0)</f>
        <v>0</v>
      </c>
      <c r="Y214" s="6">
        <f>1/COUNTIF(Таблица1[Order ID],Таблица1[[#This Row],[Order ID]])</f>
        <v>0.5</v>
      </c>
      <c r="Z214" s="9">
        <f>1/COUNTIFS(Таблица1[Customer Name],Таблица1[[#This Row],[Customer Name]],Таблица1[Order-Year-Month],Таблица1[[#This Row],[Order-Year-Month]])</f>
        <v>0.5</v>
      </c>
    </row>
    <row r="215" spans="1:26" x14ac:dyDescent="0.2">
      <c r="A215" s="6">
        <v>3419</v>
      </c>
      <c r="B215" s="7">
        <v>24387</v>
      </c>
      <c r="C215" s="8">
        <f>DATE(2012,12,31)-509</f>
        <v>40765</v>
      </c>
      <c r="D215" s="8" t="str">
        <f t="shared" si="3"/>
        <v>2011-08 (август 2011)</v>
      </c>
      <c r="E215" s="9" t="s">
        <v>78</v>
      </c>
      <c r="F215" s="7">
        <v>17</v>
      </c>
      <c r="G215" s="7">
        <v>6048.18</v>
      </c>
      <c r="H215" s="7">
        <v>0.04</v>
      </c>
      <c r="I215" s="9" t="s">
        <v>31</v>
      </c>
      <c r="J215" s="10">
        <v>1418.36</v>
      </c>
      <c r="K215" s="11">
        <v>349.45</v>
      </c>
      <c r="L215" s="11">
        <v>60</v>
      </c>
      <c r="M215" s="9" t="s">
        <v>283</v>
      </c>
      <c r="N215" s="6" t="s">
        <v>173</v>
      </c>
      <c r="O215" s="6" t="s">
        <v>173</v>
      </c>
      <c r="P215" s="9" t="s">
        <v>25</v>
      </c>
      <c r="Q215" s="9" t="s">
        <v>49</v>
      </c>
      <c r="R215" s="9" t="s">
        <v>83</v>
      </c>
      <c r="S215" s="7" t="s">
        <v>311</v>
      </c>
      <c r="T215" s="9" t="s">
        <v>36</v>
      </c>
      <c r="U215" s="7"/>
      <c r="V215" s="12">
        <f>C215+0</f>
        <v>40765</v>
      </c>
      <c r="W215">
        <f>IF(D215=' Pivot Tables'!$A$4,1,0)</f>
        <v>0</v>
      </c>
      <c r="X215">
        <f>IF(AND(LEFT(D215,4)+1=LEFT(' Pivot Tables'!$A$4,4)+0,RIGHT(LEFT(D215,7),2)=RIGHT(LEFT(' Pivot Tables'!$A$4,7),2)),1,0)</f>
        <v>0</v>
      </c>
      <c r="Y215" s="6">
        <f>1/COUNTIF(Таблица1[Order ID],Таблица1[[#This Row],[Order ID]])</f>
        <v>0.5</v>
      </c>
      <c r="Z215" s="9">
        <f>1/COUNTIFS(Таблица1[Customer Name],Таблица1[[#This Row],[Customer Name]],Таблица1[Order-Year-Month],Таблица1[[#This Row],[Order-Year-Month]])</f>
        <v>0.5</v>
      </c>
    </row>
    <row r="216" spans="1:26" x14ac:dyDescent="0.2">
      <c r="A216" s="6">
        <v>3434</v>
      </c>
      <c r="B216" s="7">
        <v>24515</v>
      </c>
      <c r="C216" s="8">
        <f>DATE(2012,12,31)-970</f>
        <v>40304</v>
      </c>
      <c r="D216" s="8" t="str">
        <f t="shared" si="3"/>
        <v>2010-05 (май 2010)</v>
      </c>
      <c r="E216" s="9" t="s">
        <v>78</v>
      </c>
      <c r="F216" s="7">
        <v>41</v>
      </c>
      <c r="G216" s="7">
        <v>3051.27</v>
      </c>
      <c r="H216" s="7">
        <v>0.1</v>
      </c>
      <c r="I216" s="9" t="s">
        <v>31</v>
      </c>
      <c r="J216" s="10">
        <v>121.48</v>
      </c>
      <c r="K216" s="11">
        <v>80.97</v>
      </c>
      <c r="L216" s="11">
        <v>33.6</v>
      </c>
      <c r="M216" s="9" t="s">
        <v>114</v>
      </c>
      <c r="N216" s="6" t="s">
        <v>173</v>
      </c>
      <c r="O216" s="6" t="s">
        <v>173</v>
      </c>
      <c r="P216" s="9" t="s">
        <v>60</v>
      </c>
      <c r="Q216" s="9" t="s">
        <v>42</v>
      </c>
      <c r="R216" s="9" t="s">
        <v>210</v>
      </c>
      <c r="S216" s="7" t="s">
        <v>312</v>
      </c>
      <c r="T216" s="9" t="s">
        <v>36</v>
      </c>
      <c r="U216" s="7">
        <v>0.37</v>
      </c>
      <c r="V216" s="12">
        <f>C216+2</f>
        <v>40306</v>
      </c>
      <c r="W216">
        <f>IF(D216=' Pivot Tables'!$A$4,1,0)</f>
        <v>0</v>
      </c>
      <c r="X216">
        <f>IF(AND(LEFT(D216,4)+1=LEFT(' Pivot Tables'!$A$4,4)+0,RIGHT(LEFT(D216,7),2)=RIGHT(LEFT(' Pivot Tables'!$A$4,7),2)),1,0)</f>
        <v>0</v>
      </c>
      <c r="Y216" s="6">
        <f>1/COUNTIF(Таблица1[Order ID],Таблица1[[#This Row],[Order ID]])</f>
        <v>1</v>
      </c>
      <c r="Z216" s="9">
        <f>1/COUNTIFS(Таблица1[Customer Name],Таблица1[[#This Row],[Customer Name]],Таблица1[Order-Year-Month],Таблица1[[#This Row],[Order-Year-Month]])</f>
        <v>1</v>
      </c>
    </row>
    <row r="217" spans="1:26" x14ac:dyDescent="0.2">
      <c r="A217" s="6">
        <v>3478</v>
      </c>
      <c r="B217" s="7">
        <v>24743</v>
      </c>
      <c r="C217" s="8">
        <f>DATE(2012,12,31)-186</f>
        <v>41088</v>
      </c>
      <c r="D217" s="8" t="str">
        <f t="shared" si="3"/>
        <v>2012-06 (июнь 2012)</v>
      </c>
      <c r="E217" s="9" t="s">
        <v>21</v>
      </c>
      <c r="F217" s="7">
        <v>47</v>
      </c>
      <c r="G217" s="7">
        <v>9633.59</v>
      </c>
      <c r="H217" s="7">
        <v>0.06</v>
      </c>
      <c r="I217" s="9" t="s">
        <v>31</v>
      </c>
      <c r="J217" s="10">
        <v>176.67</v>
      </c>
      <c r="K217" s="11">
        <v>216.6</v>
      </c>
      <c r="L217" s="11">
        <v>64.2</v>
      </c>
      <c r="M217" s="9" t="s">
        <v>79</v>
      </c>
      <c r="N217" s="6" t="s">
        <v>173</v>
      </c>
      <c r="O217" s="6" t="s">
        <v>173</v>
      </c>
      <c r="P217" s="9" t="s">
        <v>41</v>
      </c>
      <c r="Q217" s="9" t="s">
        <v>49</v>
      </c>
      <c r="R217" s="9" t="s">
        <v>112</v>
      </c>
      <c r="S217" s="7" t="s">
        <v>313</v>
      </c>
      <c r="T217" s="9" t="s">
        <v>36</v>
      </c>
      <c r="U217" s="7">
        <v>0.59</v>
      </c>
      <c r="V217" s="12">
        <f>C217+7</f>
        <v>41095</v>
      </c>
      <c r="W217">
        <f>IF(D217=' Pivot Tables'!$A$4,1,0)</f>
        <v>0</v>
      </c>
      <c r="X217">
        <f>IF(AND(LEFT(D217,4)+1=LEFT(' Pivot Tables'!$A$4,4)+0,RIGHT(LEFT(D217,7),2)=RIGHT(LEFT(' Pivot Tables'!$A$4,7),2)),1,0)</f>
        <v>0</v>
      </c>
      <c r="Y217" s="6">
        <f>1/COUNTIF(Таблица1[Order ID],Таблица1[[#This Row],[Order ID]])</f>
        <v>0.5</v>
      </c>
      <c r="Z217" s="9">
        <f>1/COUNTIFS(Таблица1[Customer Name],Таблица1[[#This Row],[Customer Name]],Таблица1[Order-Year-Month],Таблица1[[#This Row],[Order-Year-Month]])</f>
        <v>0.5</v>
      </c>
    </row>
    <row r="218" spans="1:26" x14ac:dyDescent="0.2">
      <c r="A218" s="6">
        <v>3479</v>
      </c>
      <c r="B218" s="7">
        <v>24743</v>
      </c>
      <c r="C218" s="8">
        <f>DATE(2012,12,31)-186</f>
        <v>41088</v>
      </c>
      <c r="D218" s="8" t="str">
        <f t="shared" si="3"/>
        <v>2012-06 (июнь 2012)</v>
      </c>
      <c r="E218" s="9" t="s">
        <v>21</v>
      </c>
      <c r="F218" s="7">
        <v>26</v>
      </c>
      <c r="G218" s="7">
        <v>3758.77</v>
      </c>
      <c r="H218" s="7">
        <v>0</v>
      </c>
      <c r="I218" s="9" t="s">
        <v>22</v>
      </c>
      <c r="J218" s="10">
        <v>753.61</v>
      </c>
      <c r="K218" s="11">
        <v>140.81</v>
      </c>
      <c r="L218" s="11">
        <v>24.49</v>
      </c>
      <c r="M218" s="9" t="s">
        <v>79</v>
      </c>
      <c r="N218" s="6" t="s">
        <v>173</v>
      </c>
      <c r="O218" s="6" t="s">
        <v>173</v>
      </c>
      <c r="P218" s="9" t="s">
        <v>41</v>
      </c>
      <c r="Q218" s="9" t="s">
        <v>49</v>
      </c>
      <c r="R218" s="9" t="s">
        <v>112</v>
      </c>
      <c r="S218" s="7" t="s">
        <v>314</v>
      </c>
      <c r="T218" s="9" t="s">
        <v>29</v>
      </c>
      <c r="U218" s="7">
        <v>0.56999999999999995</v>
      </c>
      <c r="V218" s="12">
        <f>C218+5</f>
        <v>41093</v>
      </c>
      <c r="W218">
        <f>IF(D218=' Pivot Tables'!$A$4,1,0)</f>
        <v>0</v>
      </c>
      <c r="X218">
        <f>IF(AND(LEFT(D218,4)+1=LEFT(' Pivot Tables'!$A$4,4)+0,RIGHT(LEFT(D218,7),2)=RIGHT(LEFT(' Pivot Tables'!$A$4,7),2)),1,0)</f>
        <v>0</v>
      </c>
      <c r="Y218" s="6">
        <f>1/COUNTIF(Таблица1[Order ID],Таблица1[[#This Row],[Order ID]])</f>
        <v>0.5</v>
      </c>
      <c r="Z218" s="9">
        <f>1/COUNTIFS(Таблица1[Customer Name],Таблица1[[#This Row],[Customer Name]],Таблица1[Order-Year-Month],Таблица1[[#This Row],[Order-Year-Month]])</f>
        <v>0.5</v>
      </c>
    </row>
    <row r="219" spans="1:26" x14ac:dyDescent="0.2">
      <c r="A219" s="6">
        <v>3493</v>
      </c>
      <c r="B219" s="7">
        <v>24871</v>
      </c>
      <c r="C219" s="8">
        <f>DATE(2012,12,31)-649</f>
        <v>40625</v>
      </c>
      <c r="D219" s="8" t="str">
        <f t="shared" si="3"/>
        <v>2011-03 (март 2011)</v>
      </c>
      <c r="E219" s="9" t="s">
        <v>63</v>
      </c>
      <c r="F219" s="7">
        <v>6</v>
      </c>
      <c r="G219" s="7">
        <v>143.78</v>
      </c>
      <c r="H219" s="7">
        <v>0.04</v>
      </c>
      <c r="I219" s="9" t="s">
        <v>22</v>
      </c>
      <c r="J219" s="10">
        <v>75.3</v>
      </c>
      <c r="K219" s="11">
        <v>22.72</v>
      </c>
      <c r="L219" s="11">
        <v>8.99</v>
      </c>
      <c r="M219" s="9" t="s">
        <v>91</v>
      </c>
      <c r="N219" s="6" t="s">
        <v>173</v>
      </c>
      <c r="O219" s="6" t="s">
        <v>173</v>
      </c>
      <c r="P219" s="9" t="s">
        <v>41</v>
      </c>
      <c r="Q219" s="9" t="s">
        <v>49</v>
      </c>
      <c r="R219" s="9" t="s">
        <v>50</v>
      </c>
      <c r="S219" s="7" t="s">
        <v>315</v>
      </c>
      <c r="T219" s="9" t="s">
        <v>52</v>
      </c>
      <c r="U219" s="7">
        <v>0.44</v>
      </c>
      <c r="V219" s="12">
        <f>C219+1</f>
        <v>40626</v>
      </c>
      <c r="W219">
        <f>IF(D219=' Pivot Tables'!$A$4,1,0)</f>
        <v>0</v>
      </c>
      <c r="X219">
        <f>IF(AND(LEFT(D219,4)+1=LEFT(' Pivot Tables'!$A$4,4)+0,RIGHT(LEFT(D219,7),2)=RIGHT(LEFT(' Pivot Tables'!$A$4,7),2)),1,0)</f>
        <v>0</v>
      </c>
      <c r="Y219" s="6">
        <f>1/COUNTIF(Таблица1[Order ID],Таблица1[[#This Row],[Order ID]])</f>
        <v>1</v>
      </c>
      <c r="Z219" s="9">
        <f>1/COUNTIFS(Таблица1[Customer Name],Таблица1[[#This Row],[Customer Name]],Таблица1[Order-Year-Month],Таблица1[[#This Row],[Order-Year-Month]])</f>
        <v>0.33333333333333331</v>
      </c>
    </row>
    <row r="220" spans="1:26" x14ac:dyDescent="0.2">
      <c r="A220" s="6">
        <v>3552</v>
      </c>
      <c r="B220" s="7">
        <v>25318</v>
      </c>
      <c r="C220" s="8">
        <f>DATE(2012,12,31)-408</f>
        <v>40866</v>
      </c>
      <c r="D220" s="8" t="str">
        <f t="shared" si="3"/>
        <v>2011-11 (ноябрь 2011)</v>
      </c>
      <c r="E220" s="9" t="s">
        <v>78</v>
      </c>
      <c r="F220" s="7">
        <v>22</v>
      </c>
      <c r="G220" s="7">
        <v>440.92</v>
      </c>
      <c r="H220" s="7">
        <v>0.05</v>
      </c>
      <c r="I220" s="9" t="s">
        <v>56</v>
      </c>
      <c r="J220" s="10">
        <v>-65.180000000000007</v>
      </c>
      <c r="K220" s="11">
        <v>19.98</v>
      </c>
      <c r="L220" s="11">
        <v>10.49</v>
      </c>
      <c r="M220" s="9" t="s">
        <v>111</v>
      </c>
      <c r="N220" s="6" t="s">
        <v>173</v>
      </c>
      <c r="O220" s="6" t="s">
        <v>173</v>
      </c>
      <c r="P220" s="9" t="s">
        <v>25</v>
      </c>
      <c r="Q220" s="9" t="s">
        <v>49</v>
      </c>
      <c r="R220" s="9" t="s">
        <v>50</v>
      </c>
      <c r="S220" s="7" t="s">
        <v>163</v>
      </c>
      <c r="T220" s="9" t="s">
        <v>39</v>
      </c>
      <c r="U220" s="7">
        <v>0.49</v>
      </c>
      <c r="V220" s="12">
        <f>C220+2</f>
        <v>40868</v>
      </c>
      <c r="W220">
        <f>IF(D220=' Pivot Tables'!$A$4,1,0)</f>
        <v>0</v>
      </c>
      <c r="X220">
        <f>IF(AND(LEFT(D220,4)+1=LEFT(' Pivot Tables'!$A$4,4)+0,RIGHT(LEFT(D220,7),2)=RIGHT(LEFT(' Pivot Tables'!$A$4,7),2)),1,0)</f>
        <v>0</v>
      </c>
      <c r="Y220" s="6">
        <f>1/COUNTIF(Таблица1[Order ID],Таблица1[[#This Row],[Order ID]])</f>
        <v>0.5</v>
      </c>
      <c r="Z220" s="9">
        <f>1/COUNTIFS(Таблица1[Customer Name],Таблица1[[#This Row],[Customer Name]],Таблица1[Order-Year-Month],Таблица1[[#This Row],[Order-Year-Month]])</f>
        <v>1</v>
      </c>
    </row>
    <row r="221" spans="1:26" x14ac:dyDescent="0.2">
      <c r="A221" s="6">
        <v>3560</v>
      </c>
      <c r="B221" s="7">
        <v>25377</v>
      </c>
      <c r="C221" s="8">
        <f>DATE(2012,12,31)-35</f>
        <v>41239</v>
      </c>
      <c r="D221" s="8" t="str">
        <f t="shared" si="3"/>
        <v>2012-11 (ноябрь 2012)</v>
      </c>
      <c r="E221" s="9" t="s">
        <v>21</v>
      </c>
      <c r="F221" s="7">
        <v>3</v>
      </c>
      <c r="G221" s="7">
        <v>4343.51</v>
      </c>
      <c r="H221" s="7">
        <v>0.09</v>
      </c>
      <c r="I221" s="9" t="s">
        <v>31</v>
      </c>
      <c r="J221" s="10">
        <v>-3755.0331000000001</v>
      </c>
      <c r="K221" s="11">
        <v>1500.97</v>
      </c>
      <c r="L221" s="11">
        <v>29.7</v>
      </c>
      <c r="M221" s="9" t="s">
        <v>133</v>
      </c>
      <c r="N221" s="6" t="s">
        <v>173</v>
      </c>
      <c r="O221" s="6" t="s">
        <v>173</v>
      </c>
      <c r="P221" s="9" t="s">
        <v>41</v>
      </c>
      <c r="Q221" s="9" t="s">
        <v>42</v>
      </c>
      <c r="R221" s="9" t="s">
        <v>210</v>
      </c>
      <c r="S221" s="7" t="s">
        <v>316</v>
      </c>
      <c r="T221" s="9" t="s">
        <v>36</v>
      </c>
      <c r="U221" s="7">
        <v>0.56999999999999995</v>
      </c>
      <c r="V221" s="12">
        <f>C221+7</f>
        <v>41246</v>
      </c>
      <c r="W221">
        <f>IF(D221=' Pivot Tables'!$A$4,1,0)</f>
        <v>0</v>
      </c>
      <c r="X221">
        <f>IF(AND(LEFT(D221,4)+1=LEFT(' Pivot Tables'!$A$4,4)+0,RIGHT(LEFT(D221,7),2)=RIGHT(LEFT(' Pivot Tables'!$A$4,7),2)),1,0)</f>
        <v>0</v>
      </c>
      <c r="Y221" s="6">
        <f>1/COUNTIF(Таблица1[Order ID],Таблица1[[#This Row],[Order ID]])</f>
        <v>1</v>
      </c>
      <c r="Z221" s="9">
        <f>1/COUNTIFS(Таблица1[Customer Name],Таблица1[[#This Row],[Customer Name]],Таблица1[Order-Year-Month],Таблица1[[#This Row],[Order-Year-Month]])</f>
        <v>1</v>
      </c>
    </row>
    <row r="222" spans="1:26" x14ac:dyDescent="0.2">
      <c r="A222" s="6">
        <v>3591</v>
      </c>
      <c r="B222" s="7">
        <v>25634</v>
      </c>
      <c r="C222" s="8">
        <f>DATE(2012,12,31)-886</f>
        <v>40388</v>
      </c>
      <c r="D222" s="8" t="str">
        <f t="shared" si="3"/>
        <v>2010-07 (июль 2010)</v>
      </c>
      <c r="E222" s="9" t="s">
        <v>45</v>
      </c>
      <c r="F222" s="7">
        <v>29</v>
      </c>
      <c r="G222" s="7">
        <v>593.32000000000005</v>
      </c>
      <c r="H222" s="7">
        <v>0.03</v>
      </c>
      <c r="I222" s="9" t="s">
        <v>22</v>
      </c>
      <c r="J222" s="10">
        <v>28.99</v>
      </c>
      <c r="K222" s="11">
        <v>20.95</v>
      </c>
      <c r="L222" s="11">
        <v>4</v>
      </c>
      <c r="M222" s="9" t="s">
        <v>317</v>
      </c>
      <c r="N222" s="6" t="s">
        <v>173</v>
      </c>
      <c r="O222" s="6" t="s">
        <v>173</v>
      </c>
      <c r="P222" s="9" t="s">
        <v>41</v>
      </c>
      <c r="Q222" s="9" t="s">
        <v>42</v>
      </c>
      <c r="R222" s="9" t="s">
        <v>70</v>
      </c>
      <c r="S222" s="7" t="s">
        <v>231</v>
      </c>
      <c r="T222" s="9" t="s">
        <v>39</v>
      </c>
      <c r="U222" s="7">
        <v>0.6</v>
      </c>
      <c r="V222" s="12">
        <f>C222+3</f>
        <v>40391</v>
      </c>
      <c r="W222">
        <f>IF(D222=' Pivot Tables'!$A$4,1,0)</f>
        <v>0</v>
      </c>
      <c r="X222">
        <f>IF(AND(LEFT(D222,4)+1=LEFT(' Pivot Tables'!$A$4,4)+0,RIGHT(LEFT(D222,7),2)=RIGHT(LEFT(' Pivot Tables'!$A$4,7),2)),1,0)</f>
        <v>0</v>
      </c>
      <c r="Y222" s="6">
        <f>1/COUNTIF(Таблица1[Order ID],Таблица1[[#This Row],[Order ID]])</f>
        <v>0.5</v>
      </c>
      <c r="Z222" s="9">
        <f>1/COUNTIFS(Таблица1[Customer Name],Таблица1[[#This Row],[Customer Name]],Таблица1[Order-Year-Month],Таблица1[[#This Row],[Order-Year-Month]])</f>
        <v>0.5</v>
      </c>
    </row>
    <row r="223" spans="1:26" x14ac:dyDescent="0.2">
      <c r="A223" s="6">
        <v>3592</v>
      </c>
      <c r="B223" s="7">
        <v>25634</v>
      </c>
      <c r="C223" s="8">
        <f>DATE(2012,12,31)-886</f>
        <v>40388</v>
      </c>
      <c r="D223" s="8" t="str">
        <f t="shared" si="3"/>
        <v>2010-07 (июль 2010)</v>
      </c>
      <c r="E223" s="9" t="s">
        <v>45</v>
      </c>
      <c r="F223" s="7">
        <v>26</v>
      </c>
      <c r="G223" s="7">
        <v>626.07000000000005</v>
      </c>
      <c r="H223" s="7">
        <v>0.03</v>
      </c>
      <c r="I223" s="9" t="s">
        <v>56</v>
      </c>
      <c r="J223" s="10">
        <v>185.32</v>
      </c>
      <c r="K223" s="11">
        <v>23.99</v>
      </c>
      <c r="L223" s="11">
        <v>6.71</v>
      </c>
      <c r="M223" s="9" t="s">
        <v>317</v>
      </c>
      <c r="N223" s="6" t="s">
        <v>173</v>
      </c>
      <c r="O223" s="6" t="s">
        <v>173</v>
      </c>
      <c r="P223" s="9" t="s">
        <v>41</v>
      </c>
      <c r="Q223" s="9" t="s">
        <v>26</v>
      </c>
      <c r="R223" s="9" t="s">
        <v>76</v>
      </c>
      <c r="S223" s="7" t="s">
        <v>318</v>
      </c>
      <c r="T223" s="9" t="s">
        <v>39</v>
      </c>
      <c r="U223" s="7">
        <v>0.35</v>
      </c>
      <c r="V223" s="12">
        <f>C223+1</f>
        <v>40389</v>
      </c>
      <c r="W223">
        <f>IF(D223=' Pivot Tables'!$A$4,1,0)</f>
        <v>0</v>
      </c>
      <c r="X223">
        <f>IF(AND(LEFT(D223,4)+1=LEFT(' Pivot Tables'!$A$4,4)+0,RIGHT(LEFT(D223,7),2)=RIGHT(LEFT(' Pivot Tables'!$A$4,7),2)),1,0)</f>
        <v>0</v>
      </c>
      <c r="Y223" s="6">
        <f>1/COUNTIF(Таблица1[Order ID],Таблица1[[#This Row],[Order ID]])</f>
        <v>0.5</v>
      </c>
      <c r="Z223" s="9">
        <f>1/COUNTIFS(Таблица1[Customer Name],Таблица1[[#This Row],[Customer Name]],Таблица1[Order-Year-Month],Таблица1[[#This Row],[Order-Year-Month]])</f>
        <v>0.5</v>
      </c>
    </row>
    <row r="224" spans="1:26" x14ac:dyDescent="0.2">
      <c r="A224" s="6">
        <v>3602</v>
      </c>
      <c r="B224" s="7">
        <v>25733</v>
      </c>
      <c r="C224" s="8">
        <f>DATE(2012,12,31)-233</f>
        <v>41041</v>
      </c>
      <c r="D224" s="8" t="str">
        <f t="shared" si="3"/>
        <v>2012-05 (май 2012)</v>
      </c>
      <c r="E224" s="9" t="s">
        <v>21</v>
      </c>
      <c r="F224" s="7">
        <v>24</v>
      </c>
      <c r="G224" s="7">
        <v>557.23</v>
      </c>
      <c r="H224" s="7">
        <v>0.09</v>
      </c>
      <c r="I224" s="9" t="s">
        <v>22</v>
      </c>
      <c r="J224" s="10">
        <v>-42.987000000000002</v>
      </c>
      <c r="K224" s="11">
        <v>24.92</v>
      </c>
      <c r="L224" s="11">
        <v>12.98</v>
      </c>
      <c r="M224" s="9" t="s">
        <v>114</v>
      </c>
      <c r="N224" s="6" t="s">
        <v>173</v>
      </c>
      <c r="O224" s="6" t="s">
        <v>173</v>
      </c>
      <c r="P224" s="9" t="s">
        <v>60</v>
      </c>
      <c r="Q224" s="9" t="s">
        <v>26</v>
      </c>
      <c r="R224" s="9" t="s">
        <v>37</v>
      </c>
      <c r="S224" s="7" t="s">
        <v>319</v>
      </c>
      <c r="T224" s="9" t="s">
        <v>39</v>
      </c>
      <c r="U224" s="7">
        <v>0.39</v>
      </c>
      <c r="V224" s="12">
        <f>C224+5</f>
        <v>41046</v>
      </c>
      <c r="W224">
        <f>IF(D224=' Pivot Tables'!$A$4,1,0)</f>
        <v>0</v>
      </c>
      <c r="X224">
        <f>IF(AND(LEFT(D224,4)+1=LEFT(' Pivot Tables'!$A$4,4)+0,RIGHT(LEFT(D224,7),2)=RIGHT(LEFT(' Pivot Tables'!$A$4,7),2)),1,0)</f>
        <v>0</v>
      </c>
      <c r="Y224" s="6">
        <f>1/COUNTIF(Таблица1[Order ID],Таблица1[[#This Row],[Order ID]])</f>
        <v>1</v>
      </c>
      <c r="Z224" s="9">
        <f>1/COUNTIFS(Таблица1[Customer Name],Таблица1[[#This Row],[Customer Name]],Таблица1[Order-Year-Month],Таблица1[[#This Row],[Order-Year-Month]])</f>
        <v>1</v>
      </c>
    </row>
    <row r="225" spans="1:26" x14ac:dyDescent="0.2">
      <c r="A225" s="6">
        <v>3604</v>
      </c>
      <c r="B225" s="7">
        <v>25767</v>
      </c>
      <c r="C225" s="8">
        <f>DATE(2012,12,31)-303</f>
        <v>40971</v>
      </c>
      <c r="D225" s="8" t="str">
        <f t="shared" si="3"/>
        <v>2012-03 (март 2012)</v>
      </c>
      <c r="E225" s="9" t="s">
        <v>30</v>
      </c>
      <c r="F225" s="7">
        <v>7</v>
      </c>
      <c r="G225" s="7">
        <v>261.88</v>
      </c>
      <c r="H225" s="7">
        <v>0.08</v>
      </c>
      <c r="I225" s="9" t="s">
        <v>22</v>
      </c>
      <c r="J225" s="10">
        <v>-59.2</v>
      </c>
      <c r="K225" s="11">
        <v>39.479999999999997</v>
      </c>
      <c r="L225" s="11">
        <v>1.99</v>
      </c>
      <c r="M225" s="9" t="s">
        <v>141</v>
      </c>
      <c r="N225" s="6" t="s">
        <v>173</v>
      </c>
      <c r="O225" s="6" t="s">
        <v>173</v>
      </c>
      <c r="P225" s="9" t="s">
        <v>41</v>
      </c>
      <c r="Q225" s="9" t="s">
        <v>42</v>
      </c>
      <c r="R225" s="9" t="s">
        <v>70</v>
      </c>
      <c r="S225" s="7" t="s">
        <v>161</v>
      </c>
      <c r="T225" s="9" t="s">
        <v>52</v>
      </c>
      <c r="U225" s="7">
        <v>0.54</v>
      </c>
      <c r="V225" s="12">
        <f>C225+0</f>
        <v>40971</v>
      </c>
      <c r="W225">
        <f>IF(D225=' Pivot Tables'!$A$4,1,0)</f>
        <v>0</v>
      </c>
      <c r="X225">
        <f>IF(AND(LEFT(D225,4)+1=LEFT(' Pivot Tables'!$A$4,4)+0,RIGHT(LEFT(D225,7),2)=RIGHT(LEFT(' Pivot Tables'!$A$4,7),2)),1,0)</f>
        <v>0</v>
      </c>
      <c r="Y225" s="6">
        <f>1/COUNTIF(Таблица1[Order ID],Таблица1[[#This Row],[Order ID]])</f>
        <v>0.5</v>
      </c>
      <c r="Z225" s="9">
        <f>1/COUNTIFS(Таблица1[Customer Name],Таблица1[[#This Row],[Customer Name]],Таблица1[Order-Year-Month],Таблица1[[#This Row],[Order-Year-Month]])</f>
        <v>0.5</v>
      </c>
    </row>
    <row r="226" spans="1:26" x14ac:dyDescent="0.2">
      <c r="A226" s="6">
        <v>3605</v>
      </c>
      <c r="B226" s="7">
        <v>25767</v>
      </c>
      <c r="C226" s="8">
        <f>DATE(2012,12,31)-303</f>
        <v>40971</v>
      </c>
      <c r="D226" s="8" t="str">
        <f t="shared" si="3"/>
        <v>2012-03 (март 2012)</v>
      </c>
      <c r="E226" s="9" t="s">
        <v>30</v>
      </c>
      <c r="F226" s="7">
        <v>15</v>
      </c>
      <c r="G226" s="7">
        <v>593.73</v>
      </c>
      <c r="H226" s="7">
        <v>0.04</v>
      </c>
      <c r="I226" s="9" t="s">
        <v>22</v>
      </c>
      <c r="J226" s="10">
        <v>108.01</v>
      </c>
      <c r="K226" s="11">
        <v>38.76</v>
      </c>
      <c r="L226" s="11">
        <v>13.26</v>
      </c>
      <c r="M226" s="9" t="s">
        <v>141</v>
      </c>
      <c r="N226" s="6" t="s">
        <v>173</v>
      </c>
      <c r="O226" s="6" t="s">
        <v>173</v>
      </c>
      <c r="P226" s="9" t="s">
        <v>41</v>
      </c>
      <c r="Q226" s="9" t="s">
        <v>26</v>
      </c>
      <c r="R226" s="9" t="s">
        <v>61</v>
      </c>
      <c r="S226" s="7" t="s">
        <v>320</v>
      </c>
      <c r="T226" s="9" t="s">
        <v>39</v>
      </c>
      <c r="U226" s="7">
        <v>0.36</v>
      </c>
      <c r="V226" s="12">
        <f>C226+1</f>
        <v>40972</v>
      </c>
      <c r="W226">
        <f>IF(D226=' Pivot Tables'!$A$4,1,0)</f>
        <v>0</v>
      </c>
      <c r="X226">
        <f>IF(AND(LEFT(D226,4)+1=LEFT(' Pivot Tables'!$A$4,4)+0,RIGHT(LEFT(D226,7),2)=RIGHT(LEFT(' Pivot Tables'!$A$4,7),2)),1,0)</f>
        <v>0</v>
      </c>
      <c r="Y226" s="6">
        <f>1/COUNTIF(Таблица1[Order ID],Таблица1[[#This Row],[Order ID]])</f>
        <v>0.5</v>
      </c>
      <c r="Z226" s="9">
        <f>1/COUNTIFS(Таблица1[Customer Name],Таблица1[[#This Row],[Customer Name]],Таблица1[Order-Year-Month],Таблица1[[#This Row],[Order-Year-Month]])</f>
        <v>0.5</v>
      </c>
    </row>
    <row r="227" spans="1:26" x14ac:dyDescent="0.2">
      <c r="A227" s="6">
        <v>3641</v>
      </c>
      <c r="B227" s="7">
        <v>26023</v>
      </c>
      <c r="C227" s="8">
        <f>DATE(2012,12,31)-864</f>
        <v>40410</v>
      </c>
      <c r="D227" s="8" t="str">
        <f t="shared" si="3"/>
        <v>2010-08 (август 2010)</v>
      </c>
      <c r="E227" s="9" t="s">
        <v>30</v>
      </c>
      <c r="F227" s="7">
        <v>49</v>
      </c>
      <c r="G227" s="7">
        <v>120.77</v>
      </c>
      <c r="H227" s="7">
        <v>0.03</v>
      </c>
      <c r="I227" s="9" t="s">
        <v>22</v>
      </c>
      <c r="J227" s="10">
        <v>19.86</v>
      </c>
      <c r="K227" s="11">
        <v>2.4700000000000002</v>
      </c>
      <c r="L227" s="11">
        <v>1.02</v>
      </c>
      <c r="M227" s="9" t="s">
        <v>321</v>
      </c>
      <c r="N227" s="6" t="s">
        <v>173</v>
      </c>
      <c r="O227" s="6" t="s">
        <v>173</v>
      </c>
      <c r="P227" s="9" t="s">
        <v>41</v>
      </c>
      <c r="Q227" s="9" t="s">
        <v>26</v>
      </c>
      <c r="R227" s="9" t="s">
        <v>66</v>
      </c>
      <c r="S227" s="7" t="s">
        <v>322</v>
      </c>
      <c r="T227" s="9" t="s">
        <v>68</v>
      </c>
      <c r="U227" s="7">
        <v>0.38</v>
      </c>
      <c r="V227" s="12">
        <f>C227+1</f>
        <v>40411</v>
      </c>
      <c r="W227">
        <f>IF(D227=' Pivot Tables'!$A$4,1,0)</f>
        <v>0</v>
      </c>
      <c r="X227">
        <f>IF(AND(LEFT(D227,4)+1=LEFT(' Pivot Tables'!$A$4,4)+0,RIGHT(LEFT(D227,7),2)=RIGHT(LEFT(' Pivot Tables'!$A$4,7),2)),1,0)</f>
        <v>0</v>
      </c>
      <c r="Y227" s="6">
        <f>1/COUNTIF(Таблица1[Order ID],Таблица1[[#This Row],[Order ID]])</f>
        <v>1</v>
      </c>
      <c r="Z227" s="9">
        <f>1/COUNTIFS(Таблица1[Customer Name],Таблица1[[#This Row],[Customer Name]],Таблица1[Order-Year-Month],Таблица1[[#This Row],[Order-Year-Month]])</f>
        <v>1</v>
      </c>
    </row>
    <row r="228" spans="1:26" x14ac:dyDescent="0.2">
      <c r="A228" s="6">
        <v>3643</v>
      </c>
      <c r="B228" s="7">
        <v>26051</v>
      </c>
      <c r="C228" s="8">
        <f>DATE(2012,12,31)-918</f>
        <v>40356</v>
      </c>
      <c r="D228" s="8" t="str">
        <f t="shared" si="3"/>
        <v>2010-06 (июнь 2010)</v>
      </c>
      <c r="E228" s="9" t="s">
        <v>45</v>
      </c>
      <c r="F228" s="7">
        <v>22</v>
      </c>
      <c r="G228" s="7">
        <v>795.74</v>
      </c>
      <c r="H228" s="7">
        <v>0</v>
      </c>
      <c r="I228" s="9" t="s">
        <v>31</v>
      </c>
      <c r="J228" s="10">
        <v>-127.39</v>
      </c>
      <c r="K228" s="11">
        <v>33.94</v>
      </c>
      <c r="L228" s="11">
        <v>19.190000000000001</v>
      </c>
      <c r="M228" s="9" t="s">
        <v>97</v>
      </c>
      <c r="N228" s="6" t="s">
        <v>173</v>
      </c>
      <c r="O228" s="6" t="s">
        <v>173</v>
      </c>
      <c r="P228" s="9" t="s">
        <v>60</v>
      </c>
      <c r="Q228" s="9" t="s">
        <v>49</v>
      </c>
      <c r="R228" s="9" t="s">
        <v>112</v>
      </c>
      <c r="S228" s="7" t="s">
        <v>323</v>
      </c>
      <c r="T228" s="9" t="s">
        <v>36</v>
      </c>
      <c r="U228" s="7">
        <v>0.57999999999999996</v>
      </c>
      <c r="V228" s="12">
        <f>C228+2</f>
        <v>40358</v>
      </c>
      <c r="W228">
        <f>IF(D228=' Pivot Tables'!$A$4,1,0)</f>
        <v>0</v>
      </c>
      <c r="X228">
        <f>IF(AND(LEFT(D228,4)+1=LEFT(' Pivot Tables'!$A$4,4)+0,RIGHT(LEFT(D228,7),2)=RIGHT(LEFT(' Pivot Tables'!$A$4,7),2)),1,0)</f>
        <v>0</v>
      </c>
      <c r="Y228" s="6">
        <f>1/COUNTIF(Таблица1[Order ID],Таблица1[[#This Row],[Order ID]])</f>
        <v>0.5</v>
      </c>
      <c r="Z228" s="9">
        <f>1/COUNTIFS(Таблица1[Customer Name],Таблица1[[#This Row],[Customer Name]],Таблица1[Order-Year-Month],Таблица1[[#This Row],[Order-Year-Month]])</f>
        <v>0.5</v>
      </c>
    </row>
    <row r="229" spans="1:26" x14ac:dyDescent="0.2">
      <c r="A229" s="6">
        <v>3644</v>
      </c>
      <c r="B229" s="7">
        <v>26051</v>
      </c>
      <c r="C229" s="8">
        <f>DATE(2012,12,31)-918</f>
        <v>40356</v>
      </c>
      <c r="D229" s="8" t="str">
        <f t="shared" si="3"/>
        <v>2010-06 (июнь 2010)</v>
      </c>
      <c r="E229" s="9" t="s">
        <v>45</v>
      </c>
      <c r="F229" s="7">
        <v>31</v>
      </c>
      <c r="G229" s="7">
        <v>251.75</v>
      </c>
      <c r="H229" s="7">
        <v>7.0000000000000007E-2</v>
      </c>
      <c r="I229" s="9" t="s">
        <v>22</v>
      </c>
      <c r="J229" s="10">
        <v>22.46</v>
      </c>
      <c r="K229" s="11">
        <v>8.33</v>
      </c>
      <c r="L229" s="11">
        <v>1.99</v>
      </c>
      <c r="M229" s="9" t="s">
        <v>97</v>
      </c>
      <c r="N229" s="6" t="s">
        <v>173</v>
      </c>
      <c r="O229" s="6" t="s">
        <v>173</v>
      </c>
      <c r="P229" s="9" t="s">
        <v>60</v>
      </c>
      <c r="Q229" s="9" t="s">
        <v>42</v>
      </c>
      <c r="R229" s="9" t="s">
        <v>70</v>
      </c>
      <c r="S229" s="7" t="s">
        <v>324</v>
      </c>
      <c r="T229" s="9" t="s">
        <v>52</v>
      </c>
      <c r="U229" s="7">
        <v>0.52</v>
      </c>
      <c r="V229" s="12">
        <f>C229+1</f>
        <v>40357</v>
      </c>
      <c r="W229">
        <f>IF(D229=' Pivot Tables'!$A$4,1,0)</f>
        <v>0</v>
      </c>
      <c r="X229">
        <f>IF(AND(LEFT(D229,4)+1=LEFT(' Pivot Tables'!$A$4,4)+0,RIGHT(LEFT(D229,7),2)=RIGHT(LEFT(' Pivot Tables'!$A$4,7),2)),1,0)</f>
        <v>0</v>
      </c>
      <c r="Y229" s="6">
        <f>1/COUNTIF(Таблица1[Order ID],Таблица1[[#This Row],[Order ID]])</f>
        <v>0.5</v>
      </c>
      <c r="Z229" s="9">
        <f>1/COUNTIFS(Таблица1[Customer Name],Таблица1[[#This Row],[Customer Name]],Таблица1[Order-Year-Month],Таблица1[[#This Row],[Order-Year-Month]])</f>
        <v>0.5</v>
      </c>
    </row>
    <row r="230" spans="1:26" x14ac:dyDescent="0.2">
      <c r="A230" s="6">
        <v>3649</v>
      </c>
      <c r="B230" s="7">
        <v>26116</v>
      </c>
      <c r="C230" s="8">
        <f>DATE(2012,12,31)-63</f>
        <v>41211</v>
      </c>
      <c r="D230" s="8" t="str">
        <f t="shared" si="3"/>
        <v>2012-10 (октябрь 2012)</v>
      </c>
      <c r="E230" s="9" t="s">
        <v>78</v>
      </c>
      <c r="F230" s="7">
        <v>36</v>
      </c>
      <c r="G230" s="7">
        <v>697.41</v>
      </c>
      <c r="H230" s="7">
        <v>0.04</v>
      </c>
      <c r="I230" s="9" t="s">
        <v>22</v>
      </c>
      <c r="J230" s="10">
        <v>81.709999999999994</v>
      </c>
      <c r="K230" s="11">
        <v>18.97</v>
      </c>
      <c r="L230" s="11">
        <v>9.0299999999999994</v>
      </c>
      <c r="M230" s="9" t="s">
        <v>46</v>
      </c>
      <c r="N230" s="6" t="s">
        <v>173</v>
      </c>
      <c r="O230" s="6" t="s">
        <v>173</v>
      </c>
      <c r="P230" s="9" t="s">
        <v>25</v>
      </c>
      <c r="Q230" s="9" t="s">
        <v>26</v>
      </c>
      <c r="R230" s="9" t="s">
        <v>61</v>
      </c>
      <c r="S230" s="7" t="s">
        <v>123</v>
      </c>
      <c r="T230" s="9" t="s">
        <v>39</v>
      </c>
      <c r="U230" s="7">
        <v>0.37</v>
      </c>
      <c r="V230" s="12">
        <f>C230+1</f>
        <v>41212</v>
      </c>
      <c r="W230">
        <f>IF(D230=' Pivot Tables'!$A$4,1,0)</f>
        <v>0</v>
      </c>
      <c r="X230">
        <f>IF(AND(LEFT(D230,4)+1=LEFT(' Pivot Tables'!$A$4,4)+0,RIGHT(LEFT(D230,7),2)=RIGHT(LEFT(' Pivot Tables'!$A$4,7),2)),1,0)</f>
        <v>0</v>
      </c>
      <c r="Y230" s="6">
        <f>1/COUNTIF(Таблица1[Order ID],Таблица1[[#This Row],[Order ID]])</f>
        <v>1</v>
      </c>
      <c r="Z230" s="9">
        <f>1/COUNTIFS(Таблица1[Customer Name],Таблица1[[#This Row],[Customer Name]],Таблица1[Order-Year-Month],Таблица1[[#This Row],[Order-Year-Month]])</f>
        <v>0.33333333333333331</v>
      </c>
    </row>
    <row r="231" spans="1:26" x14ac:dyDescent="0.2">
      <c r="A231" s="6">
        <v>3658</v>
      </c>
      <c r="B231" s="7">
        <v>26182</v>
      </c>
      <c r="C231" s="8">
        <f>DATE(2012,12,31)-1080</f>
        <v>40194</v>
      </c>
      <c r="D231" s="8" t="str">
        <f t="shared" si="3"/>
        <v>2010-01 (январь 2010)</v>
      </c>
      <c r="E231" s="9" t="s">
        <v>45</v>
      </c>
      <c r="F231" s="7">
        <v>30</v>
      </c>
      <c r="G231" s="7">
        <v>4684.8999999999996</v>
      </c>
      <c r="H231" s="7">
        <v>0.01</v>
      </c>
      <c r="I231" s="9" t="s">
        <v>31</v>
      </c>
      <c r="J231" s="10">
        <v>-549.27</v>
      </c>
      <c r="K231" s="11">
        <v>150.97999999999999</v>
      </c>
      <c r="L231" s="11">
        <v>66.27</v>
      </c>
      <c r="M231" s="9" t="s">
        <v>190</v>
      </c>
      <c r="N231" s="6" t="s">
        <v>173</v>
      </c>
      <c r="O231" s="6" t="s">
        <v>173</v>
      </c>
      <c r="P231" s="9" t="s">
        <v>41</v>
      </c>
      <c r="Q231" s="9" t="s">
        <v>49</v>
      </c>
      <c r="R231" s="9" t="s">
        <v>80</v>
      </c>
      <c r="S231" s="7" t="s">
        <v>325</v>
      </c>
      <c r="T231" s="9" t="s">
        <v>82</v>
      </c>
      <c r="U231" s="7">
        <v>0.65</v>
      </c>
      <c r="V231" s="12">
        <f>C231+3</f>
        <v>40197</v>
      </c>
      <c r="W231">
        <f>IF(D231=' Pivot Tables'!$A$4,1,0)</f>
        <v>1</v>
      </c>
      <c r="X231">
        <f>IF(AND(LEFT(D231,4)+1=LEFT(' Pivot Tables'!$A$4,4)+0,RIGHT(LEFT(D231,7),2)=RIGHT(LEFT(' Pivot Tables'!$A$4,7),2)),1,0)</f>
        <v>0</v>
      </c>
      <c r="Y231" s="6">
        <f>1/COUNTIF(Таблица1[Order ID],Таблица1[[#This Row],[Order ID]])</f>
        <v>0.5</v>
      </c>
      <c r="Z231" s="9">
        <f>1/COUNTIFS(Таблица1[Customer Name],Таблица1[[#This Row],[Customer Name]],Таблица1[Order-Year-Month],Таблица1[[#This Row],[Order-Year-Month]])</f>
        <v>0.5</v>
      </c>
    </row>
    <row r="232" spans="1:26" x14ac:dyDescent="0.2">
      <c r="A232" s="6">
        <v>3666</v>
      </c>
      <c r="B232" s="7">
        <v>26272</v>
      </c>
      <c r="C232" s="8">
        <f>DATE(2012,12,31)-185</f>
        <v>41089</v>
      </c>
      <c r="D232" s="8" t="str">
        <f t="shared" si="3"/>
        <v>2012-06 (июнь 2012)</v>
      </c>
      <c r="E232" s="9" t="s">
        <v>21</v>
      </c>
      <c r="F232" s="7">
        <v>6</v>
      </c>
      <c r="G232" s="7">
        <v>905.94</v>
      </c>
      <c r="H232" s="7">
        <v>0.04</v>
      </c>
      <c r="I232" s="9" t="s">
        <v>56</v>
      </c>
      <c r="J232" s="10">
        <v>-4.1900000000000004</v>
      </c>
      <c r="K232" s="11">
        <v>140.81</v>
      </c>
      <c r="L232" s="11">
        <v>24.49</v>
      </c>
      <c r="M232" s="9" t="s">
        <v>69</v>
      </c>
      <c r="N232" s="6" t="s">
        <v>173</v>
      </c>
      <c r="O232" s="6" t="s">
        <v>173</v>
      </c>
      <c r="P232" s="9" t="s">
        <v>60</v>
      </c>
      <c r="Q232" s="9" t="s">
        <v>49</v>
      </c>
      <c r="R232" s="9" t="s">
        <v>112</v>
      </c>
      <c r="S232" s="7" t="s">
        <v>314</v>
      </c>
      <c r="T232" s="9" t="s">
        <v>29</v>
      </c>
      <c r="U232" s="7">
        <v>0.56999999999999995</v>
      </c>
      <c r="V232" s="12">
        <f>C232+9</f>
        <v>41098</v>
      </c>
      <c r="W232">
        <f>IF(D232=' Pivot Tables'!$A$4,1,0)</f>
        <v>0</v>
      </c>
      <c r="X232">
        <f>IF(AND(LEFT(D232,4)+1=LEFT(' Pivot Tables'!$A$4,4)+0,RIGHT(LEFT(D232,7),2)=RIGHT(LEFT(' Pivot Tables'!$A$4,7),2)),1,0)</f>
        <v>0</v>
      </c>
      <c r="Y232" s="6">
        <f>1/COUNTIF(Таблица1[Order ID],Таблица1[[#This Row],[Order ID]])</f>
        <v>1</v>
      </c>
      <c r="Z232" s="9">
        <f>1/COUNTIFS(Таблица1[Customer Name],Таблица1[[#This Row],[Customer Name]],Таблица1[Order-Year-Month],Таблица1[[#This Row],[Order-Year-Month]])</f>
        <v>0.33333333333333331</v>
      </c>
    </row>
    <row r="233" spans="1:26" x14ac:dyDescent="0.2">
      <c r="A233" s="6">
        <v>3688</v>
      </c>
      <c r="B233" s="7">
        <v>26370</v>
      </c>
      <c r="C233" s="8">
        <f>DATE(2012,12,31)-511</f>
        <v>40763</v>
      </c>
      <c r="D233" s="8" t="str">
        <f t="shared" si="3"/>
        <v>2011-08 (август 2011)</v>
      </c>
      <c r="E233" s="9" t="s">
        <v>45</v>
      </c>
      <c r="F233" s="7">
        <v>12</v>
      </c>
      <c r="G233" s="7">
        <v>270.23</v>
      </c>
      <c r="H233" s="7">
        <v>0.08</v>
      </c>
      <c r="I233" s="9" t="s">
        <v>22</v>
      </c>
      <c r="J233" s="10">
        <v>52.02</v>
      </c>
      <c r="K233" s="11">
        <v>22.84</v>
      </c>
      <c r="L233" s="11">
        <v>5.47</v>
      </c>
      <c r="M233" s="9" t="s">
        <v>291</v>
      </c>
      <c r="N233" s="6" t="s">
        <v>173</v>
      </c>
      <c r="O233" s="6" t="s">
        <v>173</v>
      </c>
      <c r="P233" s="9" t="s">
        <v>60</v>
      </c>
      <c r="Q233" s="9" t="s">
        <v>26</v>
      </c>
      <c r="R233" s="9" t="s">
        <v>61</v>
      </c>
      <c r="S233" s="7" t="s">
        <v>326</v>
      </c>
      <c r="T233" s="9" t="s">
        <v>39</v>
      </c>
      <c r="U233" s="7">
        <v>0.39</v>
      </c>
      <c r="V233" s="12">
        <f>C233+2</f>
        <v>40765</v>
      </c>
      <c r="W233">
        <f>IF(D233=' Pivot Tables'!$A$4,1,0)</f>
        <v>0</v>
      </c>
      <c r="X233">
        <f>IF(AND(LEFT(D233,4)+1=LEFT(' Pivot Tables'!$A$4,4)+0,RIGHT(LEFT(D233,7),2)=RIGHT(LEFT(' Pivot Tables'!$A$4,7),2)),1,0)</f>
        <v>0</v>
      </c>
      <c r="Y233" s="6">
        <f>1/COUNTIF(Таблица1[Order ID],Таблица1[[#This Row],[Order ID]])</f>
        <v>0.5</v>
      </c>
      <c r="Z233" s="9">
        <f>1/COUNTIFS(Таблица1[Customer Name],Таблица1[[#This Row],[Customer Name]],Таблица1[Order-Year-Month],Таблица1[[#This Row],[Order-Year-Month]])</f>
        <v>0.5</v>
      </c>
    </row>
    <row r="234" spans="1:26" x14ac:dyDescent="0.2">
      <c r="A234" s="6">
        <v>3689</v>
      </c>
      <c r="B234" s="7">
        <v>26370</v>
      </c>
      <c r="C234" s="8">
        <f>DATE(2012,12,31)-511</f>
        <v>40763</v>
      </c>
      <c r="D234" s="8" t="str">
        <f t="shared" si="3"/>
        <v>2011-08 (август 2011)</v>
      </c>
      <c r="E234" s="9" t="s">
        <v>45</v>
      </c>
      <c r="F234" s="7">
        <v>20</v>
      </c>
      <c r="G234" s="7">
        <v>660.27</v>
      </c>
      <c r="H234" s="7">
        <v>0.09</v>
      </c>
      <c r="I234" s="9" t="s">
        <v>56</v>
      </c>
      <c r="J234" s="10">
        <v>63.83</v>
      </c>
      <c r="K234" s="11">
        <v>34.76</v>
      </c>
      <c r="L234" s="11">
        <v>5.49</v>
      </c>
      <c r="M234" s="9" t="s">
        <v>291</v>
      </c>
      <c r="N234" s="6" t="s">
        <v>173</v>
      </c>
      <c r="O234" s="6" t="s">
        <v>173</v>
      </c>
      <c r="P234" s="9" t="s">
        <v>60</v>
      </c>
      <c r="Q234" s="9" t="s">
        <v>26</v>
      </c>
      <c r="R234" s="9" t="s">
        <v>27</v>
      </c>
      <c r="S234" s="7" t="s">
        <v>327</v>
      </c>
      <c r="T234" s="9" t="s">
        <v>39</v>
      </c>
      <c r="U234" s="7">
        <v>0.6</v>
      </c>
      <c r="V234" s="12">
        <f>C234+2</f>
        <v>40765</v>
      </c>
      <c r="W234">
        <f>IF(D234=' Pivot Tables'!$A$4,1,0)</f>
        <v>0</v>
      </c>
      <c r="X234">
        <f>IF(AND(LEFT(D234,4)+1=LEFT(' Pivot Tables'!$A$4,4)+0,RIGHT(LEFT(D234,7),2)=RIGHT(LEFT(' Pivot Tables'!$A$4,7),2)),1,0)</f>
        <v>0</v>
      </c>
      <c r="Y234" s="6">
        <f>1/COUNTIF(Таблица1[Order ID],Таблица1[[#This Row],[Order ID]])</f>
        <v>0.5</v>
      </c>
      <c r="Z234" s="9">
        <f>1/COUNTIFS(Таблица1[Customer Name],Таблица1[[#This Row],[Customer Name]],Таблица1[Order-Year-Month],Таблица1[[#This Row],[Order-Year-Month]])</f>
        <v>0.5</v>
      </c>
    </row>
    <row r="235" spans="1:26" x14ac:dyDescent="0.2">
      <c r="A235" s="6">
        <v>3711</v>
      </c>
      <c r="B235" s="7">
        <v>26499</v>
      </c>
      <c r="C235" s="8">
        <f>DATE(2012,12,31)-1044</f>
        <v>40230</v>
      </c>
      <c r="D235" s="8" t="str">
        <f t="shared" si="3"/>
        <v>2010-02 (февраль 2010)</v>
      </c>
      <c r="E235" s="9" t="s">
        <v>63</v>
      </c>
      <c r="F235" s="7">
        <v>11</v>
      </c>
      <c r="G235" s="7">
        <v>32.4</v>
      </c>
      <c r="H235" s="7">
        <v>0.05</v>
      </c>
      <c r="I235" s="9" t="s">
        <v>22</v>
      </c>
      <c r="J235" s="10">
        <v>8.7799999999999994</v>
      </c>
      <c r="K235" s="11">
        <v>2.88</v>
      </c>
      <c r="L235" s="11">
        <v>0.5</v>
      </c>
      <c r="M235" s="9" t="s">
        <v>79</v>
      </c>
      <c r="N235" s="6" t="s">
        <v>173</v>
      </c>
      <c r="O235" s="6" t="s">
        <v>173</v>
      </c>
      <c r="P235" s="9" t="s">
        <v>41</v>
      </c>
      <c r="Q235" s="9" t="s">
        <v>26</v>
      </c>
      <c r="R235" s="9" t="s">
        <v>88</v>
      </c>
      <c r="S235" s="7" t="s">
        <v>328</v>
      </c>
      <c r="T235" s="9" t="s">
        <v>39</v>
      </c>
      <c r="U235" s="7">
        <v>0.39</v>
      </c>
      <c r="V235" s="12">
        <f>C235+1</f>
        <v>40231</v>
      </c>
      <c r="W235">
        <f>IF(D235=' Pivot Tables'!$A$4,1,0)</f>
        <v>0</v>
      </c>
      <c r="X235">
        <f>IF(AND(LEFT(D235,4)+1=LEFT(' Pivot Tables'!$A$4,4)+0,RIGHT(LEFT(D235,7),2)=RIGHT(LEFT(' Pivot Tables'!$A$4,7),2)),1,0)</f>
        <v>0</v>
      </c>
      <c r="Y235" s="6">
        <f>1/COUNTIF(Таблица1[Order ID],Таблица1[[#This Row],[Order ID]])</f>
        <v>1</v>
      </c>
      <c r="Z235" s="9">
        <f>1/COUNTIFS(Таблица1[Customer Name],Таблица1[[#This Row],[Customer Name]],Таблица1[Order-Year-Month],Таблица1[[#This Row],[Order-Year-Month]])</f>
        <v>1</v>
      </c>
    </row>
    <row r="236" spans="1:26" x14ac:dyDescent="0.2">
      <c r="A236" s="6">
        <v>3716</v>
      </c>
      <c r="B236" s="7">
        <v>26531</v>
      </c>
      <c r="C236" s="8">
        <f>DATE(2012,12,31)-560</f>
        <v>40714</v>
      </c>
      <c r="D236" s="8" t="str">
        <f t="shared" si="3"/>
        <v>2011-06 (июнь 2011)</v>
      </c>
      <c r="E236" s="9" t="s">
        <v>63</v>
      </c>
      <c r="F236" s="7">
        <v>26</v>
      </c>
      <c r="G236" s="7">
        <v>4688.9484999999995</v>
      </c>
      <c r="H236" s="7">
        <v>0</v>
      </c>
      <c r="I236" s="9" t="s">
        <v>22</v>
      </c>
      <c r="J236" s="10">
        <v>1215.441</v>
      </c>
      <c r="K236" s="11">
        <v>205.99</v>
      </c>
      <c r="L236" s="11">
        <v>5.26</v>
      </c>
      <c r="M236" s="9" t="s">
        <v>139</v>
      </c>
      <c r="N236" s="6" t="s">
        <v>173</v>
      </c>
      <c r="O236" s="6" t="s">
        <v>173</v>
      </c>
      <c r="P236" s="9" t="s">
        <v>41</v>
      </c>
      <c r="Q236" s="9" t="s">
        <v>42</v>
      </c>
      <c r="R236" s="9" t="s">
        <v>43</v>
      </c>
      <c r="S236" s="7" t="s">
        <v>329</v>
      </c>
      <c r="T236" s="9" t="s">
        <v>39</v>
      </c>
      <c r="U236" s="7">
        <v>0.56000000000000005</v>
      </c>
      <c r="V236" s="12">
        <f>C236+2</f>
        <v>40716</v>
      </c>
      <c r="W236">
        <f>IF(D236=' Pivot Tables'!$A$4,1,0)</f>
        <v>0</v>
      </c>
      <c r="X236">
        <f>IF(AND(LEFT(D236,4)+1=LEFT(' Pivot Tables'!$A$4,4)+0,RIGHT(LEFT(D236,7),2)=RIGHT(LEFT(' Pivot Tables'!$A$4,7),2)),1,0)</f>
        <v>0</v>
      </c>
      <c r="Y236" s="6">
        <f>1/COUNTIF(Таблица1[Order ID],Таблица1[[#This Row],[Order ID]])</f>
        <v>1</v>
      </c>
      <c r="Z236" s="9">
        <f>1/COUNTIFS(Таблица1[Customer Name],Таблица1[[#This Row],[Customer Name]],Таблица1[Order-Year-Month],Таблица1[[#This Row],[Order-Year-Month]])</f>
        <v>0.5</v>
      </c>
    </row>
    <row r="237" spans="1:26" x14ac:dyDescent="0.2">
      <c r="A237" s="6">
        <v>3719</v>
      </c>
      <c r="B237" s="7">
        <v>26567</v>
      </c>
      <c r="C237" s="8">
        <f>DATE(2012,12,31)-1214</f>
        <v>40060</v>
      </c>
      <c r="D237" s="8" t="str">
        <f t="shared" si="3"/>
        <v>2009-09 (сентябрь 2009)</v>
      </c>
      <c r="E237" s="9" t="s">
        <v>78</v>
      </c>
      <c r="F237" s="7">
        <v>8</v>
      </c>
      <c r="G237" s="7">
        <v>50.7</v>
      </c>
      <c r="H237" s="7">
        <v>0.08</v>
      </c>
      <c r="I237" s="9" t="s">
        <v>22</v>
      </c>
      <c r="J237" s="10">
        <v>-44.067999999999998</v>
      </c>
      <c r="K237" s="11">
        <v>5.4</v>
      </c>
      <c r="L237" s="11">
        <v>7.78</v>
      </c>
      <c r="M237" s="9" t="s">
        <v>79</v>
      </c>
      <c r="N237" s="6" t="s">
        <v>173</v>
      </c>
      <c r="O237" s="6" t="s">
        <v>173</v>
      </c>
      <c r="P237" s="9" t="s">
        <v>41</v>
      </c>
      <c r="Q237" s="9" t="s">
        <v>26</v>
      </c>
      <c r="R237" s="9" t="s">
        <v>37</v>
      </c>
      <c r="S237" s="7" t="s">
        <v>330</v>
      </c>
      <c r="T237" s="9" t="s">
        <v>39</v>
      </c>
      <c r="U237" s="7">
        <v>0.37</v>
      </c>
      <c r="V237" s="12">
        <f>C237+0</f>
        <v>40060</v>
      </c>
      <c r="W237">
        <f>IF(D237=' Pivot Tables'!$A$4,1,0)</f>
        <v>0</v>
      </c>
      <c r="X237">
        <f>IF(AND(LEFT(D237,4)+1=LEFT(' Pivot Tables'!$A$4,4)+0,RIGHT(LEFT(D237,7),2)=RIGHT(LEFT(' Pivot Tables'!$A$4,7),2)),1,0)</f>
        <v>0</v>
      </c>
      <c r="Y237" s="6">
        <f>1/COUNTIF(Таблица1[Order ID],Таблица1[[#This Row],[Order ID]])</f>
        <v>0.25</v>
      </c>
      <c r="Z237" s="9">
        <f>1/COUNTIFS(Таблица1[Customer Name],Таблица1[[#This Row],[Customer Name]],Таблица1[Order-Year-Month],Таблица1[[#This Row],[Order-Year-Month]])</f>
        <v>0.25</v>
      </c>
    </row>
    <row r="238" spans="1:26" x14ac:dyDescent="0.2">
      <c r="A238" s="6">
        <v>3720</v>
      </c>
      <c r="B238" s="7">
        <v>26567</v>
      </c>
      <c r="C238" s="8">
        <f>DATE(2012,12,31)-1214</f>
        <v>40060</v>
      </c>
      <c r="D238" s="8" t="str">
        <f t="shared" si="3"/>
        <v>2009-09 (сентябрь 2009)</v>
      </c>
      <c r="E238" s="9" t="s">
        <v>78</v>
      </c>
      <c r="F238" s="7">
        <v>10</v>
      </c>
      <c r="G238" s="7">
        <v>90.06</v>
      </c>
      <c r="H238" s="7">
        <v>0.09</v>
      </c>
      <c r="I238" s="9" t="s">
        <v>56</v>
      </c>
      <c r="J238" s="10">
        <v>-100.51</v>
      </c>
      <c r="K238" s="11">
        <v>8.4600000000000009</v>
      </c>
      <c r="L238" s="11">
        <v>8.99</v>
      </c>
      <c r="M238" s="9" t="s">
        <v>79</v>
      </c>
      <c r="N238" s="6" t="s">
        <v>173</v>
      </c>
      <c r="O238" s="6" t="s">
        <v>173</v>
      </c>
      <c r="P238" s="9" t="s">
        <v>41</v>
      </c>
      <c r="Q238" s="9" t="s">
        <v>42</v>
      </c>
      <c r="R238" s="9" t="s">
        <v>70</v>
      </c>
      <c r="S238" s="7" t="s">
        <v>331</v>
      </c>
      <c r="T238" s="9" t="s">
        <v>52</v>
      </c>
      <c r="U238" s="7">
        <v>0.79</v>
      </c>
      <c r="V238" s="12">
        <f>C238+3</f>
        <v>40063</v>
      </c>
      <c r="W238">
        <f>IF(D238=' Pivot Tables'!$A$4,1,0)</f>
        <v>0</v>
      </c>
      <c r="X238">
        <f>IF(AND(LEFT(D238,4)+1=LEFT(' Pivot Tables'!$A$4,4)+0,RIGHT(LEFT(D238,7),2)=RIGHT(LEFT(' Pivot Tables'!$A$4,7),2)),1,0)</f>
        <v>0</v>
      </c>
      <c r="Y238" s="6">
        <f>1/COUNTIF(Таблица1[Order ID],Таблица1[[#This Row],[Order ID]])</f>
        <v>0.25</v>
      </c>
      <c r="Z238" s="9">
        <f>1/COUNTIFS(Таблица1[Customer Name],Таблица1[[#This Row],[Customer Name]],Таблица1[Order-Year-Month],Таблица1[[#This Row],[Order-Year-Month]])</f>
        <v>0.25</v>
      </c>
    </row>
    <row r="239" spans="1:26" x14ac:dyDescent="0.2">
      <c r="A239" s="6">
        <v>3721</v>
      </c>
      <c r="B239" s="7">
        <v>26567</v>
      </c>
      <c r="C239" s="8">
        <f>DATE(2012,12,31)-1214</f>
        <v>40060</v>
      </c>
      <c r="D239" s="8" t="str">
        <f t="shared" si="3"/>
        <v>2009-09 (сентябрь 2009)</v>
      </c>
      <c r="E239" s="9" t="s">
        <v>78</v>
      </c>
      <c r="F239" s="7">
        <v>22</v>
      </c>
      <c r="G239" s="7">
        <v>338.52</v>
      </c>
      <c r="H239" s="7">
        <v>0.21</v>
      </c>
      <c r="I239" s="9" t="s">
        <v>22</v>
      </c>
      <c r="J239" s="10">
        <v>-17.75</v>
      </c>
      <c r="K239" s="11">
        <v>14.98</v>
      </c>
      <c r="L239" s="11">
        <v>8.99</v>
      </c>
      <c r="M239" s="9" t="s">
        <v>79</v>
      </c>
      <c r="N239" s="6" t="s">
        <v>173</v>
      </c>
      <c r="O239" s="6" t="s">
        <v>173</v>
      </c>
      <c r="P239" s="9" t="s">
        <v>41</v>
      </c>
      <c r="Q239" s="9" t="s">
        <v>49</v>
      </c>
      <c r="R239" s="9" t="s">
        <v>50</v>
      </c>
      <c r="S239" s="7" t="s">
        <v>332</v>
      </c>
      <c r="T239" s="9" t="s">
        <v>52</v>
      </c>
      <c r="U239" s="7">
        <v>0.39</v>
      </c>
      <c r="V239" s="12">
        <f>C239+1</f>
        <v>40061</v>
      </c>
      <c r="W239">
        <f>IF(D239=' Pivot Tables'!$A$4,1,0)</f>
        <v>0</v>
      </c>
      <c r="X239">
        <f>IF(AND(LEFT(D239,4)+1=LEFT(' Pivot Tables'!$A$4,4)+0,RIGHT(LEFT(D239,7),2)=RIGHT(LEFT(' Pivot Tables'!$A$4,7),2)),1,0)</f>
        <v>0</v>
      </c>
      <c r="Y239" s="6">
        <f>1/COUNTIF(Таблица1[Order ID],Таблица1[[#This Row],[Order ID]])</f>
        <v>0.25</v>
      </c>
      <c r="Z239" s="9">
        <f>1/COUNTIFS(Таблица1[Customer Name],Таблица1[[#This Row],[Customer Name]],Таблица1[Order-Year-Month],Таблица1[[#This Row],[Order-Year-Month]])</f>
        <v>0.25</v>
      </c>
    </row>
    <row r="240" spans="1:26" x14ac:dyDescent="0.2">
      <c r="A240" s="6">
        <v>3722</v>
      </c>
      <c r="B240" s="7">
        <v>26567</v>
      </c>
      <c r="C240" s="8">
        <f>DATE(2012,12,31)-1214</f>
        <v>40060</v>
      </c>
      <c r="D240" s="8" t="str">
        <f t="shared" si="3"/>
        <v>2009-09 (сентябрь 2009)</v>
      </c>
      <c r="E240" s="9" t="s">
        <v>78</v>
      </c>
      <c r="F240" s="7">
        <v>48</v>
      </c>
      <c r="G240" s="7">
        <v>6109.817</v>
      </c>
      <c r="H240" s="7">
        <v>0.04</v>
      </c>
      <c r="I240" s="9" t="s">
        <v>22</v>
      </c>
      <c r="J240" s="10">
        <v>1374.9480000000001</v>
      </c>
      <c r="K240" s="11">
        <v>155.99</v>
      </c>
      <c r="L240" s="11">
        <v>8.08</v>
      </c>
      <c r="M240" s="9" t="s">
        <v>79</v>
      </c>
      <c r="N240" s="6" t="s">
        <v>173</v>
      </c>
      <c r="O240" s="6" t="s">
        <v>173</v>
      </c>
      <c r="P240" s="9" t="s">
        <v>41</v>
      </c>
      <c r="Q240" s="9" t="s">
        <v>42</v>
      </c>
      <c r="R240" s="9" t="s">
        <v>43</v>
      </c>
      <c r="S240" s="7" t="s">
        <v>333</v>
      </c>
      <c r="T240" s="9" t="s">
        <v>39</v>
      </c>
      <c r="U240" s="7">
        <v>0.6</v>
      </c>
      <c r="V240" s="12">
        <f>C240+1</f>
        <v>40061</v>
      </c>
      <c r="W240">
        <f>IF(D240=' Pivot Tables'!$A$4,1,0)</f>
        <v>0</v>
      </c>
      <c r="X240">
        <f>IF(AND(LEFT(D240,4)+1=LEFT(' Pivot Tables'!$A$4,4)+0,RIGHT(LEFT(D240,7),2)=RIGHT(LEFT(' Pivot Tables'!$A$4,7),2)),1,0)</f>
        <v>0</v>
      </c>
      <c r="Y240" s="6">
        <f>1/COUNTIF(Таблица1[Order ID],Таблица1[[#This Row],[Order ID]])</f>
        <v>0.25</v>
      </c>
      <c r="Z240" s="9">
        <f>1/COUNTIFS(Таблица1[Customer Name],Таблица1[[#This Row],[Customer Name]],Таблица1[Order-Year-Month],Таблица1[[#This Row],[Order-Year-Month]])</f>
        <v>0.25</v>
      </c>
    </row>
    <row r="241" spans="1:26" x14ac:dyDescent="0.2">
      <c r="A241" s="6">
        <v>3760</v>
      </c>
      <c r="B241" s="7">
        <v>26854</v>
      </c>
      <c r="C241" s="8">
        <f>DATE(2012,12,31)-1289</f>
        <v>39985</v>
      </c>
      <c r="D241" s="8" t="str">
        <f t="shared" si="3"/>
        <v>2009-06 (июнь 2009)</v>
      </c>
      <c r="E241" s="9" t="s">
        <v>45</v>
      </c>
      <c r="F241" s="7">
        <v>1</v>
      </c>
      <c r="G241" s="7">
        <v>34.11</v>
      </c>
      <c r="H241" s="7">
        <v>0.02</v>
      </c>
      <c r="I241" s="9" t="s">
        <v>22</v>
      </c>
      <c r="J241" s="10">
        <v>-12.95</v>
      </c>
      <c r="K241" s="11">
        <v>25.38</v>
      </c>
      <c r="L241" s="11">
        <v>8.99</v>
      </c>
      <c r="M241" s="9" t="s">
        <v>334</v>
      </c>
      <c r="N241" s="6" t="s">
        <v>173</v>
      </c>
      <c r="O241" s="6" t="s">
        <v>173</v>
      </c>
      <c r="P241" s="9" t="s">
        <v>60</v>
      </c>
      <c r="Q241" s="9" t="s">
        <v>49</v>
      </c>
      <c r="R241" s="9" t="s">
        <v>50</v>
      </c>
      <c r="S241" s="7" t="s">
        <v>335</v>
      </c>
      <c r="T241" s="9" t="s">
        <v>52</v>
      </c>
      <c r="U241" s="7">
        <v>0.5</v>
      </c>
      <c r="V241" s="12">
        <f>C241+1</f>
        <v>39986</v>
      </c>
      <c r="W241">
        <f>IF(D241=' Pivot Tables'!$A$4,1,0)</f>
        <v>0</v>
      </c>
      <c r="X241">
        <f>IF(AND(LEFT(D241,4)+1=LEFT(' Pivot Tables'!$A$4,4)+0,RIGHT(LEFT(D241,7),2)=RIGHT(LEFT(' Pivot Tables'!$A$4,7),2)),1,0)</f>
        <v>0</v>
      </c>
      <c r="Y241" s="6">
        <f>1/COUNTIF(Таблица1[Order ID],Таблица1[[#This Row],[Order ID]])</f>
        <v>1</v>
      </c>
      <c r="Z241" s="9">
        <f>1/COUNTIFS(Таблица1[Customer Name],Таблица1[[#This Row],[Customer Name]],Таблица1[Order-Year-Month],Таблица1[[#This Row],[Order-Year-Month]])</f>
        <v>1</v>
      </c>
    </row>
    <row r="242" spans="1:26" x14ac:dyDescent="0.2">
      <c r="A242" s="6">
        <v>3805</v>
      </c>
      <c r="B242" s="7">
        <v>27109</v>
      </c>
      <c r="C242" s="8">
        <f>DATE(2012,12,31)-327</f>
        <v>40947</v>
      </c>
      <c r="D242" s="8" t="str">
        <f t="shared" si="3"/>
        <v>2012-02 (февраль 2012)</v>
      </c>
      <c r="E242" s="9" t="s">
        <v>78</v>
      </c>
      <c r="F242" s="7">
        <v>48</v>
      </c>
      <c r="G242" s="7">
        <v>538.22</v>
      </c>
      <c r="H242" s="7">
        <v>0.01</v>
      </c>
      <c r="I242" s="9" t="s">
        <v>22</v>
      </c>
      <c r="J242" s="10">
        <v>-154.66</v>
      </c>
      <c r="K242" s="11">
        <v>10.97</v>
      </c>
      <c r="L242" s="11">
        <v>6.5</v>
      </c>
      <c r="M242" s="9" t="s">
        <v>32</v>
      </c>
      <c r="N242" s="6" t="s">
        <v>173</v>
      </c>
      <c r="O242" s="6" t="s">
        <v>173</v>
      </c>
      <c r="P242" s="9" t="s">
        <v>33</v>
      </c>
      <c r="Q242" s="9" t="s">
        <v>42</v>
      </c>
      <c r="R242" s="9" t="s">
        <v>70</v>
      </c>
      <c r="S242" s="7" t="s">
        <v>336</v>
      </c>
      <c r="T242" s="9" t="s">
        <v>39</v>
      </c>
      <c r="U242" s="7">
        <v>0.64</v>
      </c>
      <c r="V242" s="12">
        <f>C242+2</f>
        <v>40949</v>
      </c>
      <c r="W242">
        <f>IF(D242=' Pivot Tables'!$A$4,1,0)</f>
        <v>0</v>
      </c>
      <c r="X242">
        <f>IF(AND(LEFT(D242,4)+1=LEFT(' Pivot Tables'!$A$4,4)+0,RIGHT(LEFT(D242,7),2)=RIGHT(LEFT(' Pivot Tables'!$A$4,7),2)),1,0)</f>
        <v>0</v>
      </c>
      <c r="Y242" s="6">
        <f>1/COUNTIF(Таблица1[Order ID],Таблица1[[#This Row],[Order ID]])</f>
        <v>1</v>
      </c>
      <c r="Z242" s="9">
        <f>1/COUNTIFS(Таблица1[Customer Name],Таблица1[[#This Row],[Customer Name]],Таблица1[Order-Year-Month],Таблица1[[#This Row],[Order-Year-Month]])</f>
        <v>1</v>
      </c>
    </row>
    <row r="243" spans="1:26" x14ac:dyDescent="0.2">
      <c r="A243" s="6">
        <v>3806</v>
      </c>
      <c r="B243" s="7">
        <v>27111</v>
      </c>
      <c r="C243" s="8">
        <f>DATE(2012,12,31)-1391</f>
        <v>39883</v>
      </c>
      <c r="D243" s="8" t="str">
        <f t="shared" si="3"/>
        <v>2009-03 (март 2009)</v>
      </c>
      <c r="E243" s="9" t="s">
        <v>30</v>
      </c>
      <c r="F243" s="7">
        <v>11</v>
      </c>
      <c r="G243" s="7">
        <v>1064.23</v>
      </c>
      <c r="H243" s="7">
        <v>0.06</v>
      </c>
      <c r="I243" s="9" t="s">
        <v>22</v>
      </c>
      <c r="J243" s="10">
        <v>-127.56</v>
      </c>
      <c r="K243" s="11">
        <v>99.99</v>
      </c>
      <c r="L243" s="11">
        <v>19.989999999999998</v>
      </c>
      <c r="M243" s="9" t="s">
        <v>289</v>
      </c>
      <c r="N243" s="6" t="s">
        <v>173</v>
      </c>
      <c r="O243" s="6" t="s">
        <v>173</v>
      </c>
      <c r="P243" s="9" t="s">
        <v>60</v>
      </c>
      <c r="Q243" s="9" t="s">
        <v>42</v>
      </c>
      <c r="R243" s="9" t="s">
        <v>70</v>
      </c>
      <c r="S243" s="7" t="s">
        <v>337</v>
      </c>
      <c r="T243" s="9" t="s">
        <v>39</v>
      </c>
      <c r="U243" s="7">
        <v>0.52</v>
      </c>
      <c r="V243" s="12">
        <f>C243+3</f>
        <v>39886</v>
      </c>
      <c r="W243">
        <f>IF(D243=' Pivot Tables'!$A$4,1,0)</f>
        <v>0</v>
      </c>
      <c r="X243">
        <f>IF(AND(LEFT(D243,4)+1=LEFT(' Pivot Tables'!$A$4,4)+0,RIGHT(LEFT(D243,7),2)=RIGHT(LEFT(' Pivot Tables'!$A$4,7),2)),1,0)</f>
        <v>0</v>
      </c>
      <c r="Y243" s="6">
        <f>1/COUNTIF(Таблица1[Order ID],Таблица1[[#This Row],[Order ID]])</f>
        <v>0.33333333333333331</v>
      </c>
      <c r="Z243" s="9">
        <f>1/COUNTIFS(Таблица1[Customer Name],Таблица1[[#This Row],[Customer Name]],Таблица1[Order-Year-Month],Таблица1[[#This Row],[Order-Year-Month]])</f>
        <v>0.33333333333333331</v>
      </c>
    </row>
    <row r="244" spans="1:26" x14ac:dyDescent="0.2">
      <c r="A244" s="6">
        <v>3807</v>
      </c>
      <c r="B244" s="7">
        <v>27111</v>
      </c>
      <c r="C244" s="8">
        <f>DATE(2012,12,31)-1391</f>
        <v>39883</v>
      </c>
      <c r="D244" s="8" t="str">
        <f t="shared" si="3"/>
        <v>2009-03 (март 2009)</v>
      </c>
      <c r="E244" s="9" t="s">
        <v>30</v>
      </c>
      <c r="F244" s="7">
        <v>18</v>
      </c>
      <c r="G244" s="7">
        <v>3497.05</v>
      </c>
      <c r="H244" s="7">
        <v>0</v>
      </c>
      <c r="I244" s="9" t="s">
        <v>22</v>
      </c>
      <c r="J244" s="10">
        <v>282.18</v>
      </c>
      <c r="K244" s="11">
        <v>193.17</v>
      </c>
      <c r="L244" s="11">
        <v>19.989999999999998</v>
      </c>
      <c r="M244" s="9" t="s">
        <v>289</v>
      </c>
      <c r="N244" s="6" t="s">
        <v>173</v>
      </c>
      <c r="O244" s="6" t="s">
        <v>173</v>
      </c>
      <c r="P244" s="9" t="s">
        <v>60</v>
      </c>
      <c r="Q244" s="9" t="s">
        <v>26</v>
      </c>
      <c r="R244" s="9" t="s">
        <v>27</v>
      </c>
      <c r="S244" s="7" t="s">
        <v>338</v>
      </c>
      <c r="T244" s="9" t="s">
        <v>39</v>
      </c>
      <c r="U244" s="7">
        <v>0.71</v>
      </c>
      <c r="V244" s="12">
        <f>C244+1</f>
        <v>39884</v>
      </c>
      <c r="W244">
        <f>IF(D244=' Pivot Tables'!$A$4,1,0)</f>
        <v>0</v>
      </c>
      <c r="X244">
        <f>IF(AND(LEFT(D244,4)+1=LEFT(' Pivot Tables'!$A$4,4)+0,RIGHT(LEFT(D244,7),2)=RIGHT(LEFT(' Pivot Tables'!$A$4,7),2)),1,0)</f>
        <v>0</v>
      </c>
      <c r="Y244" s="6">
        <f>1/COUNTIF(Таблица1[Order ID],Таблица1[[#This Row],[Order ID]])</f>
        <v>0.33333333333333331</v>
      </c>
      <c r="Z244" s="9">
        <f>1/COUNTIFS(Таблица1[Customer Name],Таблица1[[#This Row],[Customer Name]],Таблица1[Order-Year-Month],Таблица1[[#This Row],[Order-Year-Month]])</f>
        <v>0.33333333333333331</v>
      </c>
    </row>
    <row r="245" spans="1:26" x14ac:dyDescent="0.2">
      <c r="A245" s="6">
        <v>3808</v>
      </c>
      <c r="B245" s="7">
        <v>27111</v>
      </c>
      <c r="C245" s="8">
        <f>DATE(2012,12,31)-1391</f>
        <v>39883</v>
      </c>
      <c r="D245" s="8" t="str">
        <f t="shared" si="3"/>
        <v>2009-03 (март 2009)</v>
      </c>
      <c r="E245" s="9" t="s">
        <v>30</v>
      </c>
      <c r="F245" s="7">
        <v>44</v>
      </c>
      <c r="G245" s="7">
        <v>774.05250000000001</v>
      </c>
      <c r="H245" s="7">
        <v>0.08</v>
      </c>
      <c r="I245" s="9" t="s">
        <v>56</v>
      </c>
      <c r="J245" s="10">
        <v>-96.337999999999994</v>
      </c>
      <c r="K245" s="11">
        <v>20.99</v>
      </c>
      <c r="L245" s="11">
        <v>3.3</v>
      </c>
      <c r="M245" s="9" t="s">
        <v>289</v>
      </c>
      <c r="N245" s="6" t="s">
        <v>173</v>
      </c>
      <c r="O245" s="6" t="s">
        <v>173</v>
      </c>
      <c r="P245" s="9" t="s">
        <v>60</v>
      </c>
      <c r="Q245" s="9" t="s">
        <v>42</v>
      </c>
      <c r="R245" s="9" t="s">
        <v>43</v>
      </c>
      <c r="S245" s="7" t="s">
        <v>295</v>
      </c>
      <c r="T245" s="9" t="s">
        <v>52</v>
      </c>
      <c r="U245" s="7">
        <v>0.81</v>
      </c>
      <c r="V245" s="12">
        <f>C245+0</f>
        <v>39883</v>
      </c>
      <c r="W245">
        <f>IF(D245=' Pivot Tables'!$A$4,1,0)</f>
        <v>0</v>
      </c>
      <c r="X245">
        <f>IF(AND(LEFT(D245,4)+1=LEFT(' Pivot Tables'!$A$4,4)+0,RIGHT(LEFT(D245,7),2)=RIGHT(LEFT(' Pivot Tables'!$A$4,7),2)),1,0)</f>
        <v>0</v>
      </c>
      <c r="Y245" s="6">
        <f>1/COUNTIF(Таблица1[Order ID],Таблица1[[#This Row],[Order ID]])</f>
        <v>0.33333333333333331</v>
      </c>
      <c r="Z245" s="9">
        <f>1/COUNTIFS(Таблица1[Customer Name],Таблица1[[#This Row],[Customer Name]],Таблица1[Order-Year-Month],Таблица1[[#This Row],[Order-Year-Month]])</f>
        <v>0.33333333333333331</v>
      </c>
    </row>
    <row r="246" spans="1:26" x14ac:dyDescent="0.2">
      <c r="A246" s="6">
        <v>3821</v>
      </c>
      <c r="B246" s="7">
        <v>27264</v>
      </c>
      <c r="C246" s="8">
        <f>DATE(2012,12,31)-576</f>
        <v>40698</v>
      </c>
      <c r="D246" s="8" t="str">
        <f t="shared" si="3"/>
        <v>2011-06 (июнь 2011)</v>
      </c>
      <c r="E246" s="9" t="s">
        <v>21</v>
      </c>
      <c r="F246" s="7">
        <v>3</v>
      </c>
      <c r="G246" s="7">
        <v>74.05</v>
      </c>
      <c r="H246" s="7">
        <v>0.02</v>
      </c>
      <c r="I246" s="9" t="s">
        <v>22</v>
      </c>
      <c r="J246" s="10">
        <v>44.54</v>
      </c>
      <c r="K246" s="11">
        <v>19.989999999999998</v>
      </c>
      <c r="L246" s="11">
        <v>11.17</v>
      </c>
      <c r="M246" s="9" t="s">
        <v>339</v>
      </c>
      <c r="N246" s="6" t="s">
        <v>173</v>
      </c>
      <c r="O246" s="6" t="s">
        <v>173</v>
      </c>
      <c r="P246" s="9" t="s">
        <v>25</v>
      </c>
      <c r="Q246" s="9" t="s">
        <v>49</v>
      </c>
      <c r="R246" s="9" t="s">
        <v>50</v>
      </c>
      <c r="S246" s="7" t="s">
        <v>340</v>
      </c>
      <c r="T246" s="9" t="s">
        <v>29</v>
      </c>
      <c r="U246" s="7">
        <v>0.6</v>
      </c>
      <c r="V246" s="12">
        <f>C246+2</f>
        <v>40700</v>
      </c>
      <c r="W246">
        <f>IF(D246=' Pivot Tables'!$A$4,1,0)</f>
        <v>0</v>
      </c>
      <c r="X246">
        <f>IF(AND(LEFT(D246,4)+1=LEFT(' Pivot Tables'!$A$4,4)+0,RIGHT(LEFT(D246,7),2)=RIGHT(LEFT(' Pivot Tables'!$A$4,7),2)),1,0)</f>
        <v>0</v>
      </c>
      <c r="Y246" s="6">
        <f>1/COUNTIF(Таблица1[Order ID],Таблица1[[#This Row],[Order ID]])</f>
        <v>1</v>
      </c>
      <c r="Z246" s="9">
        <f>1/COUNTIFS(Таблица1[Customer Name],Таблица1[[#This Row],[Customer Name]],Таблица1[Order-Year-Month],Таблица1[[#This Row],[Order-Year-Month]])</f>
        <v>1</v>
      </c>
    </row>
    <row r="247" spans="1:26" x14ac:dyDescent="0.2">
      <c r="A247" s="6">
        <v>3841</v>
      </c>
      <c r="B247" s="7">
        <v>27392</v>
      </c>
      <c r="C247" s="8">
        <f>DATE(2012,12,31)-304</f>
        <v>40970</v>
      </c>
      <c r="D247" s="8" t="str">
        <f t="shared" si="3"/>
        <v>2012-03 (март 2012)</v>
      </c>
      <c r="E247" s="9" t="s">
        <v>21</v>
      </c>
      <c r="F247" s="7">
        <v>37</v>
      </c>
      <c r="G247" s="7">
        <v>5753.85</v>
      </c>
      <c r="H247" s="7">
        <v>0</v>
      </c>
      <c r="I247" s="9" t="s">
        <v>22</v>
      </c>
      <c r="J247" s="10">
        <v>2509.52</v>
      </c>
      <c r="K247" s="11">
        <v>150.97999999999999</v>
      </c>
      <c r="L247" s="11">
        <v>13.99</v>
      </c>
      <c r="M247" s="9" t="s">
        <v>137</v>
      </c>
      <c r="N247" s="6" t="s">
        <v>173</v>
      </c>
      <c r="O247" s="6" t="s">
        <v>173</v>
      </c>
      <c r="P247" s="9" t="s">
        <v>41</v>
      </c>
      <c r="Q247" s="9" t="s">
        <v>42</v>
      </c>
      <c r="R247" s="9" t="s">
        <v>210</v>
      </c>
      <c r="S247" s="7" t="s">
        <v>341</v>
      </c>
      <c r="T247" s="9" t="s">
        <v>48</v>
      </c>
      <c r="U247" s="7">
        <v>0.38</v>
      </c>
      <c r="V247" s="12">
        <f>C247+9</f>
        <v>40979</v>
      </c>
      <c r="W247">
        <f>IF(D247=' Pivot Tables'!$A$4,1,0)</f>
        <v>0</v>
      </c>
      <c r="X247">
        <f>IF(AND(LEFT(D247,4)+1=LEFT(' Pivot Tables'!$A$4,4)+0,RIGHT(LEFT(D247,7),2)=RIGHT(LEFT(' Pivot Tables'!$A$4,7),2)),1,0)</f>
        <v>0</v>
      </c>
      <c r="Y247" s="6">
        <f>1/COUNTIF(Таблица1[Order ID],Таблица1[[#This Row],[Order ID]])</f>
        <v>1</v>
      </c>
      <c r="Z247" s="9">
        <f>1/COUNTIFS(Таблица1[Customer Name],Таблица1[[#This Row],[Customer Name]],Таблица1[Order-Year-Month],Таблица1[[#This Row],[Order-Year-Month]])</f>
        <v>1</v>
      </c>
    </row>
    <row r="248" spans="1:26" x14ac:dyDescent="0.2">
      <c r="A248" s="6">
        <v>3860</v>
      </c>
      <c r="B248" s="7">
        <v>27553</v>
      </c>
      <c r="C248" s="8">
        <f>DATE(2012,12,31)-507</f>
        <v>40767</v>
      </c>
      <c r="D248" s="8" t="str">
        <f t="shared" si="3"/>
        <v>2011-08 (август 2011)</v>
      </c>
      <c r="E248" s="9" t="s">
        <v>63</v>
      </c>
      <c r="F248" s="7">
        <v>48</v>
      </c>
      <c r="G248" s="7">
        <v>18235.47</v>
      </c>
      <c r="H248" s="7">
        <v>0.03</v>
      </c>
      <c r="I248" s="9" t="s">
        <v>31</v>
      </c>
      <c r="J248" s="10">
        <v>1166.93</v>
      </c>
      <c r="K248" s="11">
        <v>370.98</v>
      </c>
      <c r="L248" s="11">
        <v>99</v>
      </c>
      <c r="M248" s="9" t="s">
        <v>85</v>
      </c>
      <c r="N248" s="6" t="s">
        <v>173</v>
      </c>
      <c r="O248" s="6" t="s">
        <v>173</v>
      </c>
      <c r="P248" s="9" t="s">
        <v>41</v>
      </c>
      <c r="Q248" s="9" t="s">
        <v>26</v>
      </c>
      <c r="R248" s="9" t="s">
        <v>27</v>
      </c>
      <c r="S248" s="7" t="s">
        <v>342</v>
      </c>
      <c r="T248" s="9" t="s">
        <v>36</v>
      </c>
      <c r="U248" s="7">
        <v>0.65</v>
      </c>
      <c r="V248" s="12">
        <f>C248+2</f>
        <v>40769</v>
      </c>
      <c r="W248">
        <f>IF(D248=' Pivot Tables'!$A$4,1,0)</f>
        <v>0</v>
      </c>
      <c r="X248">
        <f>IF(AND(LEFT(D248,4)+1=LEFT(' Pivot Tables'!$A$4,4)+0,RIGHT(LEFT(D248,7),2)=RIGHT(LEFT(' Pivot Tables'!$A$4,7),2)),1,0)</f>
        <v>0</v>
      </c>
      <c r="Y248" s="6">
        <f>1/COUNTIF(Таблица1[Order ID],Таблица1[[#This Row],[Order ID]])</f>
        <v>0.5</v>
      </c>
      <c r="Z248" s="9">
        <f>1/COUNTIFS(Таблица1[Customer Name],Таблица1[[#This Row],[Customer Name]],Таблица1[Order-Year-Month],Таблица1[[#This Row],[Order-Year-Month]])</f>
        <v>0.5</v>
      </c>
    </row>
    <row r="249" spans="1:26" x14ac:dyDescent="0.2">
      <c r="A249" s="6">
        <v>3861</v>
      </c>
      <c r="B249" s="7">
        <v>27553</v>
      </c>
      <c r="C249" s="8">
        <f>DATE(2012,12,31)-507</f>
        <v>40767</v>
      </c>
      <c r="D249" s="8" t="str">
        <f t="shared" si="3"/>
        <v>2011-08 (август 2011)</v>
      </c>
      <c r="E249" s="9" t="s">
        <v>63</v>
      </c>
      <c r="F249" s="7">
        <v>16</v>
      </c>
      <c r="G249" s="7">
        <v>2631.107</v>
      </c>
      <c r="H249" s="7">
        <v>0</v>
      </c>
      <c r="I249" s="9" t="s">
        <v>22</v>
      </c>
      <c r="J249" s="10">
        <v>297.108</v>
      </c>
      <c r="K249" s="11">
        <v>179.99</v>
      </c>
      <c r="L249" s="11">
        <v>13.99</v>
      </c>
      <c r="M249" s="9" t="s">
        <v>85</v>
      </c>
      <c r="N249" s="6" t="s">
        <v>173</v>
      </c>
      <c r="O249" s="6" t="s">
        <v>173</v>
      </c>
      <c r="P249" s="9" t="s">
        <v>41</v>
      </c>
      <c r="Q249" s="9" t="s">
        <v>42</v>
      </c>
      <c r="R249" s="9" t="s">
        <v>43</v>
      </c>
      <c r="S249" s="7" t="s">
        <v>343</v>
      </c>
      <c r="T249" s="9" t="s">
        <v>48</v>
      </c>
      <c r="U249" s="7">
        <v>0.56999999999999995</v>
      </c>
      <c r="V249" s="12">
        <f>C249+2</f>
        <v>40769</v>
      </c>
      <c r="W249">
        <f>IF(D249=' Pivot Tables'!$A$4,1,0)</f>
        <v>0</v>
      </c>
      <c r="X249">
        <f>IF(AND(LEFT(D249,4)+1=LEFT(' Pivot Tables'!$A$4,4)+0,RIGHT(LEFT(D249,7),2)=RIGHT(LEFT(' Pivot Tables'!$A$4,7),2)),1,0)</f>
        <v>0</v>
      </c>
      <c r="Y249" s="6">
        <f>1/COUNTIF(Таблица1[Order ID],Таблица1[[#This Row],[Order ID]])</f>
        <v>0.5</v>
      </c>
      <c r="Z249" s="9">
        <f>1/COUNTIFS(Таблица1[Customer Name],Таблица1[[#This Row],[Customer Name]],Таблица1[Order-Year-Month],Таблица1[[#This Row],[Order-Year-Month]])</f>
        <v>0.5</v>
      </c>
    </row>
    <row r="250" spans="1:26" x14ac:dyDescent="0.2">
      <c r="A250" s="6">
        <v>3863</v>
      </c>
      <c r="B250" s="7">
        <v>27555</v>
      </c>
      <c r="C250" s="8">
        <f>DATE(2012,12,31)-1217</f>
        <v>40057</v>
      </c>
      <c r="D250" s="8" t="str">
        <f t="shared" si="3"/>
        <v>2009-09 (сентябрь 2009)</v>
      </c>
      <c r="E250" s="9" t="s">
        <v>78</v>
      </c>
      <c r="F250" s="7">
        <v>32</v>
      </c>
      <c r="G250" s="7">
        <v>209.42</v>
      </c>
      <c r="H250" s="7">
        <v>0.1</v>
      </c>
      <c r="I250" s="9" t="s">
        <v>22</v>
      </c>
      <c r="J250" s="10">
        <v>65.41</v>
      </c>
      <c r="K250" s="11">
        <v>6.74</v>
      </c>
      <c r="L250" s="11">
        <v>1.72</v>
      </c>
      <c r="M250" s="9" t="s">
        <v>160</v>
      </c>
      <c r="N250" s="6" t="s">
        <v>173</v>
      </c>
      <c r="O250" s="6" t="s">
        <v>173</v>
      </c>
      <c r="P250" s="9" t="s">
        <v>33</v>
      </c>
      <c r="Q250" s="9" t="s">
        <v>26</v>
      </c>
      <c r="R250" s="9" t="s">
        <v>61</v>
      </c>
      <c r="S250" s="7" t="s">
        <v>344</v>
      </c>
      <c r="T250" s="9" t="s">
        <v>68</v>
      </c>
      <c r="U250" s="7">
        <v>0.35</v>
      </c>
      <c r="V250" s="12">
        <f>C250+2</f>
        <v>40059</v>
      </c>
      <c r="W250">
        <f>IF(D250=' Pivot Tables'!$A$4,1,0)</f>
        <v>0</v>
      </c>
      <c r="X250">
        <f>IF(AND(LEFT(D250,4)+1=LEFT(' Pivot Tables'!$A$4,4)+0,RIGHT(LEFT(D250,7),2)=RIGHT(LEFT(' Pivot Tables'!$A$4,7),2)),1,0)</f>
        <v>0</v>
      </c>
      <c r="Y250" s="6">
        <f>1/COUNTIF(Таблица1[Order ID],Таблица1[[#This Row],[Order ID]])</f>
        <v>1</v>
      </c>
      <c r="Z250" s="9">
        <f>1/COUNTIFS(Таблица1[Customer Name],Таблица1[[#This Row],[Customer Name]],Таблица1[Order-Year-Month],Таблица1[[#This Row],[Order-Year-Month]])</f>
        <v>1</v>
      </c>
    </row>
    <row r="251" spans="1:26" x14ac:dyDescent="0.2">
      <c r="A251" s="6">
        <v>3873</v>
      </c>
      <c r="B251" s="7">
        <v>27680</v>
      </c>
      <c r="C251" s="8">
        <f>DATE(2012,12,31)-1070</f>
        <v>40204</v>
      </c>
      <c r="D251" s="8" t="str">
        <f t="shared" si="3"/>
        <v>2010-01 (январь 2010)</v>
      </c>
      <c r="E251" s="9" t="s">
        <v>78</v>
      </c>
      <c r="F251" s="7">
        <v>32</v>
      </c>
      <c r="G251" s="7">
        <v>324.39999999999998</v>
      </c>
      <c r="H251" s="7">
        <v>0.1</v>
      </c>
      <c r="I251" s="9" t="s">
        <v>22</v>
      </c>
      <c r="J251" s="10">
        <v>-46.98</v>
      </c>
      <c r="K251" s="11">
        <v>10.89</v>
      </c>
      <c r="L251" s="11">
        <v>4.5</v>
      </c>
      <c r="M251" s="9" t="s">
        <v>188</v>
      </c>
      <c r="N251" s="6" t="s">
        <v>173</v>
      </c>
      <c r="O251" s="6" t="s">
        <v>173</v>
      </c>
      <c r="P251" s="9" t="s">
        <v>25</v>
      </c>
      <c r="Q251" s="9" t="s">
        <v>26</v>
      </c>
      <c r="R251" s="9" t="s">
        <v>34</v>
      </c>
      <c r="S251" s="7" t="s">
        <v>345</v>
      </c>
      <c r="T251" s="9" t="s">
        <v>39</v>
      </c>
      <c r="U251" s="7">
        <v>0.59</v>
      </c>
      <c r="V251" s="12">
        <f>C251+1</f>
        <v>40205</v>
      </c>
      <c r="W251">
        <f>IF(D251=' Pivot Tables'!$A$4,1,0)</f>
        <v>1</v>
      </c>
      <c r="X251">
        <f>IF(AND(LEFT(D251,4)+1=LEFT(' Pivot Tables'!$A$4,4)+0,RIGHT(LEFT(D251,7),2)=RIGHT(LEFT(' Pivot Tables'!$A$4,7),2)),1,0)</f>
        <v>0</v>
      </c>
      <c r="Y251" s="6">
        <f>1/COUNTIF(Таблица1[Order ID],Таблица1[[#This Row],[Order ID]])</f>
        <v>0.5</v>
      </c>
      <c r="Z251" s="9">
        <f>1/COUNTIFS(Таблица1[Customer Name],Таблица1[[#This Row],[Customer Name]],Таблица1[Order-Year-Month],Таблица1[[#This Row],[Order-Year-Month]])</f>
        <v>0.5</v>
      </c>
    </row>
    <row r="252" spans="1:26" x14ac:dyDescent="0.2">
      <c r="A252" s="6">
        <v>3874</v>
      </c>
      <c r="B252" s="7">
        <v>27680</v>
      </c>
      <c r="C252" s="8">
        <f>DATE(2012,12,31)-1070</f>
        <v>40204</v>
      </c>
      <c r="D252" s="8" t="str">
        <f t="shared" si="3"/>
        <v>2010-01 (январь 2010)</v>
      </c>
      <c r="E252" s="9" t="s">
        <v>78</v>
      </c>
      <c r="F252" s="7">
        <v>19</v>
      </c>
      <c r="G252" s="7">
        <v>137.02000000000001</v>
      </c>
      <c r="H252" s="7">
        <v>0.01</v>
      </c>
      <c r="I252" s="9" t="s">
        <v>22</v>
      </c>
      <c r="J252" s="10">
        <v>-46.89</v>
      </c>
      <c r="K252" s="11">
        <v>6.48</v>
      </c>
      <c r="L252" s="11">
        <v>6.6</v>
      </c>
      <c r="M252" s="9" t="s">
        <v>188</v>
      </c>
      <c r="N252" s="6" t="s">
        <v>173</v>
      </c>
      <c r="O252" s="6" t="s">
        <v>173</v>
      </c>
      <c r="P252" s="9" t="s">
        <v>25</v>
      </c>
      <c r="Q252" s="9" t="s">
        <v>26</v>
      </c>
      <c r="R252" s="9" t="s">
        <v>61</v>
      </c>
      <c r="S252" s="7" t="s">
        <v>346</v>
      </c>
      <c r="T252" s="9" t="s">
        <v>39</v>
      </c>
      <c r="U252" s="7">
        <v>0.37</v>
      </c>
      <c r="V252" s="12">
        <f>C252+1</f>
        <v>40205</v>
      </c>
      <c r="W252">
        <f>IF(D252=' Pivot Tables'!$A$4,1,0)</f>
        <v>1</v>
      </c>
      <c r="X252">
        <f>IF(AND(LEFT(D252,4)+1=LEFT(' Pivot Tables'!$A$4,4)+0,RIGHT(LEFT(D252,7),2)=RIGHT(LEFT(' Pivot Tables'!$A$4,7),2)),1,0)</f>
        <v>0</v>
      </c>
      <c r="Y252" s="6">
        <f>1/COUNTIF(Таблица1[Order ID],Таблица1[[#This Row],[Order ID]])</f>
        <v>0.5</v>
      </c>
      <c r="Z252" s="9">
        <f>1/COUNTIFS(Таблица1[Customer Name],Таблица1[[#This Row],[Customer Name]],Таблица1[Order-Year-Month],Таблица1[[#This Row],[Order-Year-Month]])</f>
        <v>0.5</v>
      </c>
    </row>
    <row r="253" spans="1:26" x14ac:dyDescent="0.2">
      <c r="A253" s="6">
        <v>3891</v>
      </c>
      <c r="B253" s="7">
        <v>27778</v>
      </c>
      <c r="C253" s="8">
        <f>DATE(2012,12,31)-486</f>
        <v>40788</v>
      </c>
      <c r="D253" s="8" t="str">
        <f t="shared" si="3"/>
        <v>2011-09 (сентябрь 2011)</v>
      </c>
      <c r="E253" s="9" t="s">
        <v>78</v>
      </c>
      <c r="F253" s="7">
        <v>1</v>
      </c>
      <c r="G253" s="7">
        <v>232.67</v>
      </c>
      <c r="H253" s="7">
        <v>0.02</v>
      </c>
      <c r="I253" s="9" t="s">
        <v>22</v>
      </c>
      <c r="J253" s="10">
        <v>-105.14450000000001</v>
      </c>
      <c r="K253" s="11">
        <v>223.98</v>
      </c>
      <c r="L253" s="11">
        <v>15.01</v>
      </c>
      <c r="M253" s="9" t="s">
        <v>347</v>
      </c>
      <c r="N253" s="6" t="s">
        <v>173</v>
      </c>
      <c r="O253" s="6" t="s">
        <v>173</v>
      </c>
      <c r="P253" s="9" t="s">
        <v>41</v>
      </c>
      <c r="Q253" s="9" t="s">
        <v>26</v>
      </c>
      <c r="R253" s="9" t="s">
        <v>37</v>
      </c>
      <c r="S253" s="7" t="s">
        <v>348</v>
      </c>
      <c r="T253" s="9" t="s">
        <v>39</v>
      </c>
      <c r="U253" s="7">
        <v>0.38</v>
      </c>
      <c r="V253" s="12">
        <f>C253+2</f>
        <v>40790</v>
      </c>
      <c r="W253">
        <f>IF(D253=' Pivot Tables'!$A$4,1,0)</f>
        <v>0</v>
      </c>
      <c r="X253">
        <f>IF(AND(LEFT(D253,4)+1=LEFT(' Pivot Tables'!$A$4,4)+0,RIGHT(LEFT(D253,7),2)=RIGHT(LEFT(' Pivot Tables'!$A$4,7),2)),1,0)</f>
        <v>0</v>
      </c>
      <c r="Y253" s="6">
        <f>1/COUNTIF(Таблица1[Order ID],Таблица1[[#This Row],[Order ID]])</f>
        <v>0.33333333333333331</v>
      </c>
      <c r="Z253" s="9">
        <f>1/COUNTIFS(Таблица1[Customer Name],Таблица1[[#This Row],[Customer Name]],Таблица1[Order-Year-Month],Таблица1[[#This Row],[Order-Year-Month]])</f>
        <v>0.33333333333333331</v>
      </c>
    </row>
    <row r="254" spans="1:26" x14ac:dyDescent="0.2">
      <c r="A254" s="6">
        <v>3892</v>
      </c>
      <c r="B254" s="7">
        <v>27778</v>
      </c>
      <c r="C254" s="8">
        <f>DATE(2012,12,31)-486</f>
        <v>40788</v>
      </c>
      <c r="D254" s="8" t="str">
        <f t="shared" si="3"/>
        <v>2011-09 (сентябрь 2011)</v>
      </c>
      <c r="E254" s="9" t="s">
        <v>78</v>
      </c>
      <c r="F254" s="7">
        <v>34</v>
      </c>
      <c r="G254" s="7">
        <v>4805.92</v>
      </c>
      <c r="H254" s="7">
        <v>7.0000000000000007E-2</v>
      </c>
      <c r="I254" s="9" t="s">
        <v>31</v>
      </c>
      <c r="J254" s="10">
        <v>-393.96</v>
      </c>
      <c r="K254" s="11">
        <v>140.97999999999999</v>
      </c>
      <c r="L254" s="11">
        <v>36.090000000000003</v>
      </c>
      <c r="M254" s="9" t="s">
        <v>347</v>
      </c>
      <c r="N254" s="6" t="s">
        <v>173</v>
      </c>
      <c r="O254" s="6" t="s">
        <v>173</v>
      </c>
      <c r="P254" s="9" t="s">
        <v>41</v>
      </c>
      <c r="Q254" s="9" t="s">
        <v>49</v>
      </c>
      <c r="R254" s="9" t="s">
        <v>80</v>
      </c>
      <c r="S254" s="7" t="s">
        <v>349</v>
      </c>
      <c r="T254" s="9" t="s">
        <v>82</v>
      </c>
      <c r="U254" s="7">
        <v>0.77</v>
      </c>
      <c r="V254" s="12">
        <f>C254+2</f>
        <v>40790</v>
      </c>
      <c r="W254">
        <f>IF(D254=' Pivot Tables'!$A$4,1,0)</f>
        <v>0</v>
      </c>
      <c r="X254">
        <f>IF(AND(LEFT(D254,4)+1=LEFT(' Pivot Tables'!$A$4,4)+0,RIGHT(LEFT(D254,7),2)=RIGHT(LEFT(' Pivot Tables'!$A$4,7),2)),1,0)</f>
        <v>0</v>
      </c>
      <c r="Y254" s="6">
        <f>1/COUNTIF(Таблица1[Order ID],Таблица1[[#This Row],[Order ID]])</f>
        <v>0.33333333333333331</v>
      </c>
      <c r="Z254" s="9">
        <f>1/COUNTIFS(Таблица1[Customer Name],Таблица1[[#This Row],[Customer Name]],Таблица1[Order-Year-Month],Таблица1[[#This Row],[Order-Year-Month]])</f>
        <v>0.33333333333333331</v>
      </c>
    </row>
    <row r="255" spans="1:26" x14ac:dyDescent="0.2">
      <c r="A255" s="6">
        <v>3914</v>
      </c>
      <c r="B255" s="7">
        <v>27909</v>
      </c>
      <c r="C255" s="8">
        <f>DATE(2012,12,31)-328</f>
        <v>40946</v>
      </c>
      <c r="D255" s="8" t="str">
        <f t="shared" si="3"/>
        <v>2012-02 (февраль 2012)</v>
      </c>
      <c r="E255" s="9" t="s">
        <v>78</v>
      </c>
      <c r="F255" s="7">
        <v>1</v>
      </c>
      <c r="G255" s="7">
        <v>62.26</v>
      </c>
      <c r="H255" s="7">
        <v>0.09</v>
      </c>
      <c r="I255" s="9" t="s">
        <v>22</v>
      </c>
      <c r="J255" s="10">
        <v>-23.24</v>
      </c>
      <c r="K255" s="11">
        <v>54.96</v>
      </c>
      <c r="L255" s="11">
        <v>10.75</v>
      </c>
      <c r="M255" s="9" t="s">
        <v>57</v>
      </c>
      <c r="N255" s="6" t="s">
        <v>173</v>
      </c>
      <c r="O255" s="6" t="s">
        <v>173</v>
      </c>
      <c r="P255" s="9" t="s">
        <v>41</v>
      </c>
      <c r="Q255" s="9" t="s">
        <v>26</v>
      </c>
      <c r="R255" s="9" t="s">
        <v>61</v>
      </c>
      <c r="S255" s="7" t="s">
        <v>350</v>
      </c>
      <c r="T255" s="9" t="s">
        <v>39</v>
      </c>
      <c r="U255" s="7">
        <v>0.36</v>
      </c>
      <c r="V255" s="12">
        <f>C255+2</f>
        <v>40948</v>
      </c>
      <c r="W255">
        <f>IF(D255=' Pivot Tables'!$A$4,1,0)</f>
        <v>0</v>
      </c>
      <c r="X255">
        <f>IF(AND(LEFT(D255,4)+1=LEFT(' Pivot Tables'!$A$4,4)+0,RIGHT(LEFT(D255,7),2)=RIGHT(LEFT(' Pivot Tables'!$A$4,7),2)),1,0)</f>
        <v>0</v>
      </c>
      <c r="Y255" s="6">
        <f>1/COUNTIF(Таблица1[Order ID],Таблица1[[#This Row],[Order ID]])</f>
        <v>0.5</v>
      </c>
      <c r="Z255" s="9">
        <f>1/COUNTIFS(Таблица1[Customer Name],Таблица1[[#This Row],[Customer Name]],Таблица1[Order-Year-Month],Таблица1[[#This Row],[Order-Year-Month]])</f>
        <v>0.5</v>
      </c>
    </row>
    <row r="256" spans="1:26" x14ac:dyDescent="0.2">
      <c r="A256" s="6">
        <v>3915</v>
      </c>
      <c r="B256" s="7">
        <v>27909</v>
      </c>
      <c r="C256" s="8">
        <f>DATE(2012,12,31)-328</f>
        <v>40946</v>
      </c>
      <c r="D256" s="8" t="str">
        <f t="shared" si="3"/>
        <v>2012-02 (февраль 2012)</v>
      </c>
      <c r="E256" s="9" t="s">
        <v>78</v>
      </c>
      <c r="F256" s="7">
        <v>47</v>
      </c>
      <c r="G256" s="7">
        <v>58.53</v>
      </c>
      <c r="H256" s="7">
        <v>7.0000000000000007E-2</v>
      </c>
      <c r="I256" s="9" t="s">
        <v>22</v>
      </c>
      <c r="J256" s="10">
        <v>-24.86</v>
      </c>
      <c r="K256" s="11">
        <v>1.26</v>
      </c>
      <c r="L256" s="11">
        <v>0.7</v>
      </c>
      <c r="M256" s="9" t="s">
        <v>57</v>
      </c>
      <c r="N256" s="6" t="s">
        <v>173</v>
      </c>
      <c r="O256" s="6" t="s">
        <v>173</v>
      </c>
      <c r="P256" s="9" t="s">
        <v>41</v>
      </c>
      <c r="Q256" s="9" t="s">
        <v>26</v>
      </c>
      <c r="R256" s="9" t="s">
        <v>66</v>
      </c>
      <c r="S256" s="7" t="s">
        <v>351</v>
      </c>
      <c r="T256" s="9" t="s">
        <v>68</v>
      </c>
      <c r="U256" s="7">
        <v>0.81</v>
      </c>
      <c r="V256" s="12">
        <f>C256+3</f>
        <v>40949</v>
      </c>
      <c r="W256">
        <f>IF(D256=' Pivot Tables'!$A$4,1,0)</f>
        <v>0</v>
      </c>
      <c r="X256">
        <f>IF(AND(LEFT(D256,4)+1=LEFT(' Pivot Tables'!$A$4,4)+0,RIGHT(LEFT(D256,7),2)=RIGHT(LEFT(' Pivot Tables'!$A$4,7),2)),1,0)</f>
        <v>0</v>
      </c>
      <c r="Y256" s="6">
        <f>1/COUNTIF(Таблица1[Order ID],Таблица1[[#This Row],[Order ID]])</f>
        <v>0.5</v>
      </c>
      <c r="Z256" s="9">
        <f>1/COUNTIFS(Таблица1[Customer Name],Таблица1[[#This Row],[Customer Name]],Таблица1[Order-Year-Month],Таблица1[[#This Row],[Order-Year-Month]])</f>
        <v>0.5</v>
      </c>
    </row>
    <row r="257" spans="1:26" x14ac:dyDescent="0.2">
      <c r="A257" s="6">
        <v>3929</v>
      </c>
      <c r="B257" s="7">
        <v>28003</v>
      </c>
      <c r="C257" s="8">
        <f>DATE(2012,12,31)-653</f>
        <v>40621</v>
      </c>
      <c r="D257" s="8" t="str">
        <f t="shared" si="3"/>
        <v>2011-03 (март 2011)</v>
      </c>
      <c r="E257" s="9" t="s">
        <v>78</v>
      </c>
      <c r="F257" s="7">
        <v>31</v>
      </c>
      <c r="G257" s="7">
        <v>157.79</v>
      </c>
      <c r="H257" s="7">
        <v>0.09</v>
      </c>
      <c r="I257" s="9" t="s">
        <v>22</v>
      </c>
      <c r="J257" s="10">
        <v>-95.92</v>
      </c>
      <c r="K257" s="11">
        <v>4.9800000000000004</v>
      </c>
      <c r="L257" s="11">
        <v>6.07</v>
      </c>
      <c r="M257" s="9" t="s">
        <v>321</v>
      </c>
      <c r="N257" s="6" t="s">
        <v>173</v>
      </c>
      <c r="O257" s="6" t="s">
        <v>173</v>
      </c>
      <c r="P257" s="9" t="s">
        <v>41</v>
      </c>
      <c r="Q257" s="9" t="s">
        <v>26</v>
      </c>
      <c r="R257" s="9" t="s">
        <v>61</v>
      </c>
      <c r="S257" s="7" t="s">
        <v>352</v>
      </c>
      <c r="T257" s="9" t="s">
        <v>39</v>
      </c>
      <c r="U257" s="7">
        <v>0.36</v>
      </c>
      <c r="V257" s="12">
        <f>C257+2</f>
        <v>40623</v>
      </c>
      <c r="W257">
        <f>IF(D257=' Pivot Tables'!$A$4,1,0)</f>
        <v>0</v>
      </c>
      <c r="X257">
        <f>IF(AND(LEFT(D257,4)+1=LEFT(' Pivot Tables'!$A$4,4)+0,RIGHT(LEFT(D257,7),2)=RIGHT(LEFT(' Pivot Tables'!$A$4,7),2)),1,0)</f>
        <v>0</v>
      </c>
      <c r="Y257" s="6">
        <f>1/COUNTIF(Таблица1[Order ID],Таблица1[[#This Row],[Order ID]])</f>
        <v>1</v>
      </c>
      <c r="Z257" s="9">
        <f>1/COUNTIFS(Таблица1[Customer Name],Таблица1[[#This Row],[Customer Name]],Таблица1[Order-Year-Month],Таблица1[[#This Row],[Order-Year-Month]])</f>
        <v>0.33333333333333331</v>
      </c>
    </row>
    <row r="258" spans="1:26" x14ac:dyDescent="0.2">
      <c r="A258" s="6">
        <v>3936</v>
      </c>
      <c r="B258" s="7">
        <v>28035</v>
      </c>
      <c r="C258" s="8">
        <f>DATE(2012,12,31)-603</f>
        <v>40671</v>
      </c>
      <c r="D258" s="8" t="str">
        <f t="shared" si="3"/>
        <v>2011-05 (май 2011)</v>
      </c>
      <c r="E258" s="9" t="s">
        <v>45</v>
      </c>
      <c r="F258" s="7">
        <v>19</v>
      </c>
      <c r="G258" s="7">
        <v>376.21</v>
      </c>
      <c r="H258" s="7">
        <v>0.03</v>
      </c>
      <c r="I258" s="9" t="s">
        <v>22</v>
      </c>
      <c r="J258" s="10">
        <v>89.555999999999997</v>
      </c>
      <c r="K258" s="11">
        <v>18.989999999999998</v>
      </c>
      <c r="L258" s="11">
        <v>5.23</v>
      </c>
      <c r="M258" s="9" t="s">
        <v>94</v>
      </c>
      <c r="N258" s="6" t="s">
        <v>173</v>
      </c>
      <c r="O258" s="6" t="s">
        <v>173</v>
      </c>
      <c r="P258" s="9" t="s">
        <v>60</v>
      </c>
      <c r="Q258" s="9" t="s">
        <v>26</v>
      </c>
      <c r="R258" s="9" t="s">
        <v>37</v>
      </c>
      <c r="S258" s="7" t="s">
        <v>353</v>
      </c>
      <c r="T258" s="9" t="s">
        <v>39</v>
      </c>
      <c r="U258" s="7">
        <v>0.37</v>
      </c>
      <c r="V258" s="12">
        <f>C258+2</f>
        <v>40673</v>
      </c>
      <c r="W258">
        <f>IF(D258=' Pivot Tables'!$A$4,1,0)</f>
        <v>0</v>
      </c>
      <c r="X258">
        <f>IF(AND(LEFT(D258,4)+1=LEFT(' Pivot Tables'!$A$4,4)+0,RIGHT(LEFT(D258,7),2)=RIGHT(LEFT(' Pivot Tables'!$A$4,7),2)),1,0)</f>
        <v>0</v>
      </c>
      <c r="Y258" s="6">
        <f>1/COUNTIF(Таблица1[Order ID],Таблица1[[#This Row],[Order ID]])</f>
        <v>1</v>
      </c>
      <c r="Z258" s="9">
        <f>1/COUNTIFS(Таблица1[Customer Name],Таблица1[[#This Row],[Customer Name]],Таблица1[Order-Year-Month],Таблица1[[#This Row],[Order-Year-Month]])</f>
        <v>1</v>
      </c>
    </row>
    <row r="259" spans="1:26" x14ac:dyDescent="0.2">
      <c r="A259" s="6">
        <v>3947</v>
      </c>
      <c r="B259" s="7">
        <v>28135</v>
      </c>
      <c r="C259" s="8">
        <f>DATE(2012,12,31)-1193</f>
        <v>40081</v>
      </c>
      <c r="D259" s="8" t="str">
        <f t="shared" ref="D259:D322" si="4">TEXT(C259,"гггг-ММ (ММММ гггг)")</f>
        <v>2009-09 (сентябрь 2009)</v>
      </c>
      <c r="E259" s="9" t="s">
        <v>78</v>
      </c>
      <c r="F259" s="7">
        <v>37</v>
      </c>
      <c r="G259" s="7">
        <v>1601.24</v>
      </c>
      <c r="H259" s="7">
        <v>0.08</v>
      </c>
      <c r="I259" s="9" t="s">
        <v>22</v>
      </c>
      <c r="J259" s="10">
        <v>520.69000000000005</v>
      </c>
      <c r="K259" s="11">
        <v>46.89</v>
      </c>
      <c r="L259" s="11">
        <v>5.0999999999999996</v>
      </c>
      <c r="M259" s="9" t="s">
        <v>354</v>
      </c>
      <c r="N259" s="6" t="s">
        <v>173</v>
      </c>
      <c r="O259" s="6" t="s">
        <v>173</v>
      </c>
      <c r="P259" s="9" t="s">
        <v>41</v>
      </c>
      <c r="Q259" s="9" t="s">
        <v>26</v>
      </c>
      <c r="R259" s="9" t="s">
        <v>34</v>
      </c>
      <c r="S259" s="7" t="s">
        <v>355</v>
      </c>
      <c r="T259" s="9" t="s">
        <v>48</v>
      </c>
      <c r="U259" s="7">
        <v>0.46</v>
      </c>
      <c r="V259" s="12">
        <f>C259+2</f>
        <v>40083</v>
      </c>
      <c r="W259">
        <f>IF(D259=' Pivot Tables'!$A$4,1,0)</f>
        <v>0</v>
      </c>
      <c r="X259">
        <f>IF(AND(LEFT(D259,4)+1=LEFT(' Pivot Tables'!$A$4,4)+0,RIGHT(LEFT(D259,7),2)=RIGHT(LEFT(' Pivot Tables'!$A$4,7),2)),1,0)</f>
        <v>0</v>
      </c>
      <c r="Y259" s="6">
        <f>1/COUNTIF(Таблица1[Order ID],Таблица1[[#This Row],[Order ID]])</f>
        <v>0.5</v>
      </c>
      <c r="Z259" s="9">
        <f>1/COUNTIFS(Таблица1[Customer Name],Таблица1[[#This Row],[Customer Name]],Таблица1[Order-Year-Month],Таблица1[[#This Row],[Order-Year-Month]])</f>
        <v>0.5</v>
      </c>
    </row>
    <row r="260" spans="1:26" x14ac:dyDescent="0.2">
      <c r="A260" s="6">
        <v>3948</v>
      </c>
      <c r="B260" s="7">
        <v>28135</v>
      </c>
      <c r="C260" s="8">
        <f>DATE(2012,12,31)-1193</f>
        <v>40081</v>
      </c>
      <c r="D260" s="8" t="str">
        <f t="shared" si="4"/>
        <v>2009-09 (сентябрь 2009)</v>
      </c>
      <c r="E260" s="9" t="s">
        <v>78</v>
      </c>
      <c r="F260" s="7">
        <v>40</v>
      </c>
      <c r="G260" s="7">
        <v>501.31</v>
      </c>
      <c r="H260" s="7">
        <v>0.05</v>
      </c>
      <c r="I260" s="9" t="s">
        <v>22</v>
      </c>
      <c r="J260" s="10">
        <v>38.229999999999997</v>
      </c>
      <c r="K260" s="11">
        <v>12.98</v>
      </c>
      <c r="L260" s="11">
        <v>3.14</v>
      </c>
      <c r="M260" s="9" t="s">
        <v>354</v>
      </c>
      <c r="N260" s="6" t="s">
        <v>173</v>
      </c>
      <c r="O260" s="6" t="s">
        <v>173</v>
      </c>
      <c r="P260" s="9" t="s">
        <v>41</v>
      </c>
      <c r="Q260" s="9" t="s">
        <v>26</v>
      </c>
      <c r="R260" s="9" t="s">
        <v>150</v>
      </c>
      <c r="S260" s="7" t="s">
        <v>356</v>
      </c>
      <c r="T260" s="9" t="s">
        <v>52</v>
      </c>
      <c r="U260" s="7">
        <v>0.6</v>
      </c>
      <c r="V260" s="12">
        <f>C260+0</f>
        <v>40081</v>
      </c>
      <c r="W260">
        <f>IF(D260=' Pivot Tables'!$A$4,1,0)</f>
        <v>0</v>
      </c>
      <c r="X260">
        <f>IF(AND(LEFT(D260,4)+1=LEFT(' Pivot Tables'!$A$4,4)+0,RIGHT(LEFT(D260,7),2)=RIGHT(LEFT(' Pivot Tables'!$A$4,7),2)),1,0)</f>
        <v>0</v>
      </c>
      <c r="Y260" s="6">
        <f>1/COUNTIF(Таблица1[Order ID],Таблица1[[#This Row],[Order ID]])</f>
        <v>0.5</v>
      </c>
      <c r="Z260" s="9">
        <f>1/COUNTIFS(Таблица1[Customer Name],Таблица1[[#This Row],[Customer Name]],Таблица1[Order-Year-Month],Таблица1[[#This Row],[Order-Year-Month]])</f>
        <v>0.5</v>
      </c>
    </row>
    <row r="261" spans="1:26" x14ac:dyDescent="0.2">
      <c r="A261" s="6">
        <v>3952</v>
      </c>
      <c r="B261" s="7">
        <v>28165</v>
      </c>
      <c r="C261" s="8">
        <f>DATE(2012,12,31)-175</f>
        <v>41099</v>
      </c>
      <c r="D261" s="8" t="str">
        <f t="shared" si="4"/>
        <v>2012-07 (июль 2012)</v>
      </c>
      <c r="E261" s="9" t="s">
        <v>45</v>
      </c>
      <c r="F261" s="7">
        <v>2</v>
      </c>
      <c r="G261" s="7">
        <v>24.96</v>
      </c>
      <c r="H261" s="7">
        <v>0.05</v>
      </c>
      <c r="I261" s="9" t="s">
        <v>22</v>
      </c>
      <c r="J261" s="10">
        <v>-12.7995</v>
      </c>
      <c r="K261" s="11">
        <v>10.91</v>
      </c>
      <c r="L261" s="11">
        <v>2.99</v>
      </c>
      <c r="M261" s="9" t="s">
        <v>102</v>
      </c>
      <c r="N261" s="6" t="s">
        <v>173</v>
      </c>
      <c r="O261" s="6" t="s">
        <v>173</v>
      </c>
      <c r="P261" s="9" t="s">
        <v>41</v>
      </c>
      <c r="Q261" s="9" t="s">
        <v>26</v>
      </c>
      <c r="R261" s="9" t="s">
        <v>37</v>
      </c>
      <c r="S261" s="7" t="s">
        <v>357</v>
      </c>
      <c r="T261" s="9" t="s">
        <v>39</v>
      </c>
      <c r="U261" s="7">
        <v>0.38</v>
      </c>
      <c r="V261" s="12">
        <f>C261+2</f>
        <v>41101</v>
      </c>
      <c r="W261">
        <f>IF(D261=' Pivot Tables'!$A$4,1,0)</f>
        <v>0</v>
      </c>
      <c r="X261">
        <f>IF(AND(LEFT(D261,4)+1=LEFT(' Pivot Tables'!$A$4,4)+0,RIGHT(LEFT(D261,7),2)=RIGHT(LEFT(' Pivot Tables'!$A$4,7),2)),1,0)</f>
        <v>0</v>
      </c>
      <c r="Y261" s="6">
        <f>1/COUNTIF(Таблица1[Order ID],Таблица1[[#This Row],[Order ID]])</f>
        <v>1</v>
      </c>
      <c r="Z261" s="9">
        <f>1/COUNTIFS(Таблица1[Customer Name],Таблица1[[#This Row],[Customer Name]],Таблица1[Order-Year-Month],Таблица1[[#This Row],[Order-Year-Month]])</f>
        <v>0.33333333333333331</v>
      </c>
    </row>
    <row r="262" spans="1:26" x14ac:dyDescent="0.2">
      <c r="A262" s="6">
        <v>3963</v>
      </c>
      <c r="B262" s="7">
        <v>28289</v>
      </c>
      <c r="C262" s="8">
        <f>DATE(2012,12,31)-1082</f>
        <v>40192</v>
      </c>
      <c r="D262" s="8" t="str">
        <f t="shared" si="4"/>
        <v>2010-01 (январь 2010)</v>
      </c>
      <c r="E262" s="9" t="s">
        <v>30</v>
      </c>
      <c r="F262" s="7">
        <v>31</v>
      </c>
      <c r="G262" s="7">
        <v>166.76</v>
      </c>
      <c r="H262" s="7">
        <v>0.01</v>
      </c>
      <c r="I262" s="9" t="s">
        <v>22</v>
      </c>
      <c r="J262" s="10">
        <v>-46.03</v>
      </c>
      <c r="K262" s="11">
        <v>4.9800000000000004</v>
      </c>
      <c r="L262" s="11">
        <v>4.75</v>
      </c>
      <c r="M262" s="9" t="s">
        <v>91</v>
      </c>
      <c r="N262" s="6" t="s">
        <v>173</v>
      </c>
      <c r="O262" s="6" t="s">
        <v>173</v>
      </c>
      <c r="P262" s="9" t="s">
        <v>41</v>
      </c>
      <c r="Q262" s="9" t="s">
        <v>26</v>
      </c>
      <c r="R262" s="9" t="s">
        <v>61</v>
      </c>
      <c r="S262" s="7" t="s">
        <v>156</v>
      </c>
      <c r="T262" s="9" t="s">
        <v>39</v>
      </c>
      <c r="U262" s="7">
        <v>0.36</v>
      </c>
      <c r="V262" s="12">
        <f>C262+1</f>
        <v>40193</v>
      </c>
      <c r="W262">
        <f>IF(D262=' Pivot Tables'!$A$4,1,0)</f>
        <v>1</v>
      </c>
      <c r="X262">
        <f>IF(AND(LEFT(D262,4)+1=LEFT(' Pivot Tables'!$A$4,4)+0,RIGHT(LEFT(D262,7),2)=RIGHT(LEFT(' Pivot Tables'!$A$4,7),2)),1,0)</f>
        <v>0</v>
      </c>
      <c r="Y262" s="6">
        <f>1/COUNTIF(Таблица1[Order ID],Таблица1[[#This Row],[Order ID]])</f>
        <v>1</v>
      </c>
      <c r="Z262" s="9">
        <f>1/COUNTIFS(Таблица1[Customer Name],Таблица1[[#This Row],[Customer Name]],Таблица1[Order-Year-Month],Таблица1[[#This Row],[Order-Year-Month]])</f>
        <v>1</v>
      </c>
    </row>
    <row r="263" spans="1:26" x14ac:dyDescent="0.2">
      <c r="A263" s="6">
        <v>3992</v>
      </c>
      <c r="B263" s="7">
        <v>28486</v>
      </c>
      <c r="C263" s="8">
        <f>DATE(2012,12,31)-1223</f>
        <v>40051</v>
      </c>
      <c r="D263" s="8" t="str">
        <f t="shared" si="4"/>
        <v>2009-08 (август 2009)</v>
      </c>
      <c r="E263" s="9" t="s">
        <v>30</v>
      </c>
      <c r="F263" s="7">
        <v>2</v>
      </c>
      <c r="G263" s="7">
        <v>811.13</v>
      </c>
      <c r="H263" s="7">
        <v>0.08</v>
      </c>
      <c r="I263" s="9" t="s">
        <v>22</v>
      </c>
      <c r="J263" s="10">
        <v>-517.47</v>
      </c>
      <c r="K263" s="11">
        <v>415.88</v>
      </c>
      <c r="L263" s="11">
        <v>11.37</v>
      </c>
      <c r="M263" s="9" t="s">
        <v>69</v>
      </c>
      <c r="N263" s="6" t="s">
        <v>173</v>
      </c>
      <c r="O263" s="6" t="s">
        <v>173</v>
      </c>
      <c r="P263" s="9" t="s">
        <v>41</v>
      </c>
      <c r="Q263" s="9" t="s">
        <v>26</v>
      </c>
      <c r="R263" s="9" t="s">
        <v>27</v>
      </c>
      <c r="S263" s="7" t="s">
        <v>358</v>
      </c>
      <c r="T263" s="9" t="s">
        <v>39</v>
      </c>
      <c r="U263" s="7">
        <v>0.56999999999999995</v>
      </c>
      <c r="V263" s="12">
        <f>C263+1</f>
        <v>40052</v>
      </c>
      <c r="W263">
        <f>IF(D263=' Pivot Tables'!$A$4,1,0)</f>
        <v>0</v>
      </c>
      <c r="X263">
        <f>IF(AND(LEFT(D263,4)+1=LEFT(' Pivot Tables'!$A$4,4)+0,RIGHT(LEFT(D263,7),2)=RIGHT(LEFT(' Pivot Tables'!$A$4,7),2)),1,0)</f>
        <v>0</v>
      </c>
      <c r="Y263" s="6">
        <f>1/COUNTIF(Таблица1[Order ID],Таблица1[[#This Row],[Order ID]])</f>
        <v>1</v>
      </c>
      <c r="Z263" s="9">
        <f>1/COUNTIFS(Таблица1[Customer Name],Таблица1[[#This Row],[Customer Name]],Таблица1[Order-Year-Month],Таблица1[[#This Row],[Order-Year-Month]])</f>
        <v>1</v>
      </c>
    </row>
    <row r="264" spans="1:26" x14ac:dyDescent="0.2">
      <c r="A264" s="6">
        <v>4017</v>
      </c>
      <c r="B264" s="7">
        <v>28675</v>
      </c>
      <c r="C264" s="8">
        <f>DATE(2012,12,31)-1180</f>
        <v>40094</v>
      </c>
      <c r="D264" s="8" t="str">
        <f t="shared" si="4"/>
        <v>2009-10 (октябрь 2009)</v>
      </c>
      <c r="E264" s="9" t="s">
        <v>78</v>
      </c>
      <c r="F264" s="7">
        <v>15</v>
      </c>
      <c r="G264" s="7">
        <v>822.84249999999997</v>
      </c>
      <c r="H264" s="7">
        <v>0.1</v>
      </c>
      <c r="I264" s="9" t="s">
        <v>22</v>
      </c>
      <c r="J264" s="10">
        <v>4.3920000000000083</v>
      </c>
      <c r="K264" s="11">
        <v>65.989999999999995</v>
      </c>
      <c r="L264" s="11">
        <v>5.92</v>
      </c>
      <c r="M264" s="9" t="s">
        <v>160</v>
      </c>
      <c r="N264" s="6" t="s">
        <v>173</v>
      </c>
      <c r="O264" s="6" t="s">
        <v>173</v>
      </c>
      <c r="P264" s="9" t="s">
        <v>33</v>
      </c>
      <c r="Q264" s="9" t="s">
        <v>42</v>
      </c>
      <c r="R264" s="9" t="s">
        <v>43</v>
      </c>
      <c r="S264" s="7" t="s">
        <v>359</v>
      </c>
      <c r="T264" s="9" t="s">
        <v>39</v>
      </c>
      <c r="U264" s="7">
        <v>0.55000000000000004</v>
      </c>
      <c r="V264" s="12">
        <f>C264+1</f>
        <v>40095</v>
      </c>
      <c r="W264">
        <f>IF(D264=' Pivot Tables'!$A$4,1,0)</f>
        <v>0</v>
      </c>
      <c r="X264">
        <f>IF(AND(LEFT(D264,4)+1=LEFT(' Pivot Tables'!$A$4,4)+0,RIGHT(LEFT(D264,7),2)=RIGHT(LEFT(' Pivot Tables'!$A$4,7),2)),1,0)</f>
        <v>0</v>
      </c>
      <c r="Y264" s="6">
        <f>1/COUNTIF(Таблица1[Order ID],Таблица1[[#This Row],[Order ID]])</f>
        <v>1</v>
      </c>
      <c r="Z264" s="9">
        <f>1/COUNTIFS(Таблица1[Customer Name],Таблица1[[#This Row],[Customer Name]],Таблица1[Order-Year-Month],Таблица1[[#This Row],[Order-Year-Month]])</f>
        <v>1</v>
      </c>
    </row>
    <row r="265" spans="1:26" x14ac:dyDescent="0.2">
      <c r="A265" s="6">
        <v>4050</v>
      </c>
      <c r="B265" s="7">
        <v>28870</v>
      </c>
      <c r="C265" s="8">
        <f>DATE(2012,12,31)-417</f>
        <v>40857</v>
      </c>
      <c r="D265" s="8" t="str">
        <f t="shared" si="4"/>
        <v>2011-11 (ноябрь 2011)</v>
      </c>
      <c r="E265" s="9" t="s">
        <v>30</v>
      </c>
      <c r="F265" s="7">
        <v>35</v>
      </c>
      <c r="G265" s="7">
        <v>3310.9454999999998</v>
      </c>
      <c r="H265" s="7">
        <v>0.05</v>
      </c>
      <c r="I265" s="9" t="s">
        <v>22</v>
      </c>
      <c r="J265" s="10">
        <v>822.40199999999993</v>
      </c>
      <c r="K265" s="11">
        <v>115.99</v>
      </c>
      <c r="L265" s="11">
        <v>2.5</v>
      </c>
      <c r="M265" s="9" t="s">
        <v>360</v>
      </c>
      <c r="N265" s="6" t="s">
        <v>173</v>
      </c>
      <c r="O265" s="6" t="s">
        <v>173</v>
      </c>
      <c r="P265" s="9" t="s">
        <v>41</v>
      </c>
      <c r="Q265" s="9" t="s">
        <v>42</v>
      </c>
      <c r="R265" s="9" t="s">
        <v>43</v>
      </c>
      <c r="S265" s="7" t="s">
        <v>125</v>
      </c>
      <c r="T265" s="9" t="s">
        <v>39</v>
      </c>
      <c r="U265" s="7">
        <v>0.56999999999999995</v>
      </c>
      <c r="V265" s="12">
        <f>C265+3</f>
        <v>40860</v>
      </c>
      <c r="W265">
        <f>IF(D265=' Pivot Tables'!$A$4,1,0)</f>
        <v>0</v>
      </c>
      <c r="X265">
        <f>IF(AND(LEFT(D265,4)+1=LEFT(' Pivot Tables'!$A$4,4)+0,RIGHT(LEFT(D265,7),2)=RIGHT(LEFT(' Pivot Tables'!$A$4,7),2)),1,0)</f>
        <v>0</v>
      </c>
      <c r="Y265" s="6">
        <f>1/COUNTIF(Таблица1[Order ID],Таблица1[[#This Row],[Order ID]])</f>
        <v>0.5</v>
      </c>
      <c r="Z265" s="9">
        <f>1/COUNTIFS(Таблица1[Customer Name],Таблица1[[#This Row],[Customer Name]],Таблица1[Order-Year-Month],Таблица1[[#This Row],[Order-Year-Month]])</f>
        <v>0.5</v>
      </c>
    </row>
    <row r="266" spans="1:26" x14ac:dyDescent="0.2">
      <c r="A266" s="6">
        <v>4051</v>
      </c>
      <c r="B266" s="7">
        <v>28871</v>
      </c>
      <c r="C266" s="8">
        <f>DATE(2012,12,31)-260</f>
        <v>41014</v>
      </c>
      <c r="D266" s="8" t="str">
        <f t="shared" si="4"/>
        <v>2012-04 (апрель 2012)</v>
      </c>
      <c r="E266" s="9" t="s">
        <v>30</v>
      </c>
      <c r="F266" s="7">
        <v>10</v>
      </c>
      <c r="G266" s="7">
        <v>55.02</v>
      </c>
      <c r="H266" s="7">
        <v>0.08</v>
      </c>
      <c r="I266" s="9" t="s">
        <v>22</v>
      </c>
      <c r="J266" s="10">
        <v>-56.12</v>
      </c>
      <c r="K266" s="11">
        <v>5.0199999999999996</v>
      </c>
      <c r="L266" s="11">
        <v>5.14</v>
      </c>
      <c r="M266" s="9" t="s">
        <v>72</v>
      </c>
      <c r="N266" s="6" t="s">
        <v>173</v>
      </c>
      <c r="O266" s="6" t="s">
        <v>173</v>
      </c>
      <c r="P266" s="9" t="s">
        <v>25</v>
      </c>
      <c r="Q266" s="9" t="s">
        <v>42</v>
      </c>
      <c r="R266" s="9" t="s">
        <v>70</v>
      </c>
      <c r="S266" s="7" t="s">
        <v>361</v>
      </c>
      <c r="T266" s="9" t="s">
        <v>52</v>
      </c>
      <c r="U266" s="7">
        <v>0.79</v>
      </c>
      <c r="V266" s="12">
        <f>C266+0</f>
        <v>41014</v>
      </c>
      <c r="W266">
        <f>IF(D266=' Pivot Tables'!$A$4,1,0)</f>
        <v>0</v>
      </c>
      <c r="X266">
        <f>IF(AND(LEFT(D266,4)+1=LEFT(' Pivot Tables'!$A$4,4)+0,RIGHT(LEFT(D266,7),2)=RIGHT(LEFT(' Pivot Tables'!$A$4,7),2)),1,0)</f>
        <v>0</v>
      </c>
      <c r="Y266" s="6">
        <f>1/COUNTIF(Таблица1[Order ID],Таблица1[[#This Row],[Order ID]])</f>
        <v>1</v>
      </c>
      <c r="Z266" s="9">
        <f>1/COUNTIFS(Таблица1[Customer Name],Таблица1[[#This Row],[Customer Name]],Таблица1[Order-Year-Month],Таблица1[[#This Row],[Order-Year-Month]])</f>
        <v>1</v>
      </c>
    </row>
    <row r="267" spans="1:26" x14ac:dyDescent="0.2">
      <c r="A267" s="6">
        <v>4075</v>
      </c>
      <c r="B267" s="7">
        <v>29030</v>
      </c>
      <c r="C267" s="8">
        <f>DATE(2012,12,31)-364</f>
        <v>40910</v>
      </c>
      <c r="D267" s="8" t="str">
        <f t="shared" si="4"/>
        <v>2012-01 (январь 2012)</v>
      </c>
      <c r="E267" s="9" t="s">
        <v>63</v>
      </c>
      <c r="F267" s="7">
        <v>10</v>
      </c>
      <c r="G267" s="7">
        <v>192.58</v>
      </c>
      <c r="H267" s="7">
        <v>0.05</v>
      </c>
      <c r="I267" s="9" t="s">
        <v>22</v>
      </c>
      <c r="J267" s="10">
        <v>24.6</v>
      </c>
      <c r="K267" s="11">
        <v>19.84</v>
      </c>
      <c r="L267" s="11">
        <v>4.0999999999999996</v>
      </c>
      <c r="M267" s="9" t="s">
        <v>347</v>
      </c>
      <c r="N267" s="6" t="s">
        <v>173</v>
      </c>
      <c r="O267" s="6" t="s">
        <v>173</v>
      </c>
      <c r="P267" s="9" t="s">
        <v>41</v>
      </c>
      <c r="Q267" s="9" t="s">
        <v>26</v>
      </c>
      <c r="R267" s="9" t="s">
        <v>95</v>
      </c>
      <c r="S267" s="7" t="s">
        <v>195</v>
      </c>
      <c r="T267" s="9" t="s">
        <v>68</v>
      </c>
      <c r="U267" s="7">
        <v>0.44</v>
      </c>
      <c r="V267" s="12">
        <f>C267+1</f>
        <v>40911</v>
      </c>
      <c r="W267">
        <f>IF(D267=' Pivot Tables'!$A$4,1,0)</f>
        <v>0</v>
      </c>
      <c r="X267">
        <f>IF(AND(LEFT(D267,4)+1=LEFT(' Pivot Tables'!$A$4,4)+0,RIGHT(LEFT(D267,7),2)=RIGHT(LEFT(' Pivot Tables'!$A$4,7),2)),1,0)</f>
        <v>0</v>
      </c>
      <c r="Y267" s="6">
        <f>1/COUNTIF(Таблица1[Order ID],Таблица1[[#This Row],[Order ID]])</f>
        <v>1</v>
      </c>
      <c r="Z267" s="9">
        <f>1/COUNTIFS(Таблица1[Customer Name],Таблица1[[#This Row],[Customer Name]],Таблица1[Order-Year-Month],Таблица1[[#This Row],[Order-Year-Month]])</f>
        <v>0.33333333333333331</v>
      </c>
    </row>
    <row r="268" spans="1:26" x14ac:dyDescent="0.2">
      <c r="A268" s="6">
        <v>4082</v>
      </c>
      <c r="B268" s="7">
        <v>29095</v>
      </c>
      <c r="C268" s="8">
        <f>DATE(2012,12,31)-664</f>
        <v>40610</v>
      </c>
      <c r="D268" s="8" t="str">
        <f t="shared" si="4"/>
        <v>2011-03 (март 2011)</v>
      </c>
      <c r="E268" s="9" t="s">
        <v>45</v>
      </c>
      <c r="F268" s="7">
        <v>40</v>
      </c>
      <c r="G268" s="7">
        <v>291.67</v>
      </c>
      <c r="H268" s="7">
        <v>0.01</v>
      </c>
      <c r="I268" s="9" t="s">
        <v>22</v>
      </c>
      <c r="J268" s="10">
        <v>54.459499999999991</v>
      </c>
      <c r="K268" s="11">
        <v>6.75</v>
      </c>
      <c r="L268" s="11">
        <v>2.99</v>
      </c>
      <c r="M268" s="9" t="s">
        <v>188</v>
      </c>
      <c r="N268" s="6" t="s">
        <v>173</v>
      </c>
      <c r="O268" s="6" t="s">
        <v>173</v>
      </c>
      <c r="P268" s="9" t="s">
        <v>25</v>
      </c>
      <c r="Q268" s="9" t="s">
        <v>26</v>
      </c>
      <c r="R268" s="9" t="s">
        <v>37</v>
      </c>
      <c r="S268" s="7" t="s">
        <v>362</v>
      </c>
      <c r="T268" s="9" t="s">
        <v>39</v>
      </c>
      <c r="U268" s="7">
        <v>0.35</v>
      </c>
      <c r="V268" s="12">
        <f>C268+1</f>
        <v>40611</v>
      </c>
      <c r="W268">
        <f>IF(D268=' Pivot Tables'!$A$4,1,0)</f>
        <v>0</v>
      </c>
      <c r="X268">
        <f>IF(AND(LEFT(D268,4)+1=LEFT(' Pivot Tables'!$A$4,4)+0,RIGHT(LEFT(D268,7),2)=RIGHT(LEFT(' Pivot Tables'!$A$4,7),2)),1,0)</f>
        <v>0</v>
      </c>
      <c r="Y268" s="6">
        <f>1/COUNTIF(Таблица1[Order ID],Таблица1[[#This Row],[Order ID]])</f>
        <v>1</v>
      </c>
      <c r="Z268" s="9">
        <f>1/COUNTIFS(Таблица1[Customer Name],Таблица1[[#This Row],[Customer Name]],Таблица1[Order-Year-Month],Таблица1[[#This Row],[Order-Year-Month]])</f>
        <v>1</v>
      </c>
    </row>
    <row r="269" spans="1:26" x14ac:dyDescent="0.2">
      <c r="A269" s="6">
        <v>4118</v>
      </c>
      <c r="B269" s="7">
        <v>29287</v>
      </c>
      <c r="C269" s="8">
        <f>DATE(2012,12,31)-1278</f>
        <v>39996</v>
      </c>
      <c r="D269" s="8" t="str">
        <f t="shared" si="4"/>
        <v>2009-07 (июль 2009)</v>
      </c>
      <c r="E269" s="9" t="s">
        <v>30</v>
      </c>
      <c r="F269" s="7">
        <v>50</v>
      </c>
      <c r="G269" s="7">
        <v>281.39</v>
      </c>
      <c r="H269" s="7">
        <v>0.1</v>
      </c>
      <c r="I269" s="9" t="s">
        <v>22</v>
      </c>
      <c r="J269" s="10">
        <v>-106.398</v>
      </c>
      <c r="K269" s="11">
        <v>5.74</v>
      </c>
      <c r="L269" s="11">
        <v>5.01</v>
      </c>
      <c r="M269" s="9" t="s">
        <v>118</v>
      </c>
      <c r="N269" s="6" t="s">
        <v>173</v>
      </c>
      <c r="O269" s="6" t="s">
        <v>173</v>
      </c>
      <c r="P269" s="9" t="s">
        <v>33</v>
      </c>
      <c r="Q269" s="9" t="s">
        <v>26</v>
      </c>
      <c r="R269" s="9" t="s">
        <v>37</v>
      </c>
      <c r="S269" s="7" t="s">
        <v>363</v>
      </c>
      <c r="T269" s="9" t="s">
        <v>39</v>
      </c>
      <c r="U269" s="7">
        <v>0.39</v>
      </c>
      <c r="V269" s="12">
        <f>C269+2</f>
        <v>39998</v>
      </c>
      <c r="W269">
        <f>IF(D269=' Pivot Tables'!$A$4,1,0)</f>
        <v>0</v>
      </c>
      <c r="X269">
        <f>IF(AND(LEFT(D269,4)+1=LEFT(' Pivot Tables'!$A$4,4)+0,RIGHT(LEFT(D269,7),2)=RIGHT(LEFT(' Pivot Tables'!$A$4,7),2)),1,0)</f>
        <v>0</v>
      </c>
      <c r="Y269" s="6">
        <f>1/COUNTIF(Таблица1[Order ID],Таблица1[[#This Row],[Order ID]])</f>
        <v>0.5</v>
      </c>
      <c r="Z269" s="9">
        <f>1/COUNTIFS(Таблица1[Customer Name],Таблица1[[#This Row],[Customer Name]],Таблица1[Order-Year-Month],Таблица1[[#This Row],[Order-Year-Month]])</f>
        <v>0.5</v>
      </c>
    </row>
    <row r="270" spans="1:26" x14ac:dyDescent="0.2">
      <c r="A270" s="6">
        <v>4119</v>
      </c>
      <c r="B270" s="7">
        <v>29287</v>
      </c>
      <c r="C270" s="8">
        <f>DATE(2012,12,31)-1278</f>
        <v>39996</v>
      </c>
      <c r="D270" s="8" t="str">
        <f t="shared" si="4"/>
        <v>2009-07 (июль 2009)</v>
      </c>
      <c r="E270" s="9" t="s">
        <v>30</v>
      </c>
      <c r="F270" s="7">
        <v>49</v>
      </c>
      <c r="G270" s="7">
        <v>12593.91</v>
      </c>
      <c r="H270" s="7">
        <v>0.09</v>
      </c>
      <c r="I270" s="9" t="s">
        <v>31</v>
      </c>
      <c r="J270" s="10">
        <v>2699.67</v>
      </c>
      <c r="K270" s="11">
        <v>270.97000000000003</v>
      </c>
      <c r="L270" s="11">
        <v>28.06</v>
      </c>
      <c r="M270" s="9" t="s">
        <v>118</v>
      </c>
      <c r="N270" s="6" t="s">
        <v>173</v>
      </c>
      <c r="O270" s="6" t="s">
        <v>173</v>
      </c>
      <c r="P270" s="9" t="s">
        <v>33</v>
      </c>
      <c r="Q270" s="9" t="s">
        <v>42</v>
      </c>
      <c r="R270" s="9" t="s">
        <v>210</v>
      </c>
      <c r="S270" s="7" t="s">
        <v>364</v>
      </c>
      <c r="T270" s="9" t="s">
        <v>36</v>
      </c>
      <c r="U270" s="7">
        <v>0.56000000000000005</v>
      </c>
      <c r="V270" s="12">
        <f>C270+2</f>
        <v>39998</v>
      </c>
      <c r="W270">
        <f>IF(D270=' Pivot Tables'!$A$4,1,0)</f>
        <v>0</v>
      </c>
      <c r="X270">
        <f>IF(AND(LEFT(D270,4)+1=LEFT(' Pivot Tables'!$A$4,4)+0,RIGHT(LEFT(D270,7),2)=RIGHT(LEFT(' Pivot Tables'!$A$4,7),2)),1,0)</f>
        <v>0</v>
      </c>
      <c r="Y270" s="6">
        <f>1/COUNTIF(Таблица1[Order ID],Таблица1[[#This Row],[Order ID]])</f>
        <v>0.5</v>
      </c>
      <c r="Z270" s="9">
        <f>1/COUNTIFS(Таблица1[Customer Name],Таблица1[[#This Row],[Customer Name]],Таблица1[Order-Year-Month],Таблица1[[#This Row],[Order-Year-Month]])</f>
        <v>0.5</v>
      </c>
    </row>
    <row r="271" spans="1:26" x14ac:dyDescent="0.2">
      <c r="A271" s="6">
        <v>4164</v>
      </c>
      <c r="B271" s="7">
        <v>29510</v>
      </c>
      <c r="C271" s="8">
        <f>DATE(2012,12,31)-626</f>
        <v>40648</v>
      </c>
      <c r="D271" s="8" t="str">
        <f t="shared" si="4"/>
        <v>2011-04 (апрель 2011)</v>
      </c>
      <c r="E271" s="9" t="s">
        <v>78</v>
      </c>
      <c r="F271" s="7">
        <v>22</v>
      </c>
      <c r="G271" s="7">
        <v>6123.94</v>
      </c>
      <c r="H271" s="7">
        <v>0.01</v>
      </c>
      <c r="I271" s="9" t="s">
        <v>31</v>
      </c>
      <c r="J271" s="10">
        <v>1292.44</v>
      </c>
      <c r="K271" s="11">
        <v>260.98</v>
      </c>
      <c r="L271" s="11">
        <v>41.91</v>
      </c>
      <c r="M271" s="9" t="s">
        <v>94</v>
      </c>
      <c r="N271" s="6" t="s">
        <v>173</v>
      </c>
      <c r="O271" s="6" t="s">
        <v>173</v>
      </c>
      <c r="P271" s="9" t="s">
        <v>60</v>
      </c>
      <c r="Q271" s="9" t="s">
        <v>49</v>
      </c>
      <c r="R271" s="9" t="s">
        <v>80</v>
      </c>
      <c r="S271" s="7" t="s">
        <v>365</v>
      </c>
      <c r="T271" s="9" t="s">
        <v>82</v>
      </c>
      <c r="U271" s="7">
        <v>0.59</v>
      </c>
      <c r="V271" s="12">
        <f>C271+2</f>
        <v>40650</v>
      </c>
      <c r="W271">
        <f>IF(D271=' Pivot Tables'!$A$4,1,0)</f>
        <v>0</v>
      </c>
      <c r="X271">
        <f>IF(AND(LEFT(D271,4)+1=LEFT(' Pivot Tables'!$A$4,4)+0,RIGHT(LEFT(D271,7),2)=RIGHT(LEFT(' Pivot Tables'!$A$4,7),2)),1,0)</f>
        <v>0</v>
      </c>
      <c r="Y271" s="6">
        <f>1/COUNTIF(Таблица1[Order ID],Таблица1[[#This Row],[Order ID]])</f>
        <v>1</v>
      </c>
      <c r="Z271" s="9">
        <f>1/COUNTIFS(Таблица1[Customer Name],Таблица1[[#This Row],[Customer Name]],Таблица1[Order-Year-Month],Таблица1[[#This Row],[Order-Year-Month]])</f>
        <v>1</v>
      </c>
    </row>
    <row r="272" spans="1:26" x14ac:dyDescent="0.2">
      <c r="A272" s="6">
        <v>4193</v>
      </c>
      <c r="B272" s="7">
        <v>29795</v>
      </c>
      <c r="C272" s="8">
        <f>DATE(2012,12,31)-402</f>
        <v>40872</v>
      </c>
      <c r="D272" s="8" t="str">
        <f t="shared" si="4"/>
        <v>2011-11 (ноябрь 2011)</v>
      </c>
      <c r="E272" s="9" t="s">
        <v>30</v>
      </c>
      <c r="F272" s="7">
        <v>49</v>
      </c>
      <c r="G272" s="7">
        <v>19325.2</v>
      </c>
      <c r="H272" s="7">
        <v>0.05</v>
      </c>
      <c r="I272" s="9" t="s">
        <v>22</v>
      </c>
      <c r="J272" s="10">
        <v>8793.5390000000007</v>
      </c>
      <c r="K272" s="11">
        <v>387.99</v>
      </c>
      <c r="L272" s="11">
        <v>19.989999999999998</v>
      </c>
      <c r="M272" s="9" t="s">
        <v>102</v>
      </c>
      <c r="N272" s="6" t="s">
        <v>173</v>
      </c>
      <c r="O272" s="6" t="s">
        <v>173</v>
      </c>
      <c r="P272" s="9" t="s">
        <v>25</v>
      </c>
      <c r="Q272" s="9" t="s">
        <v>26</v>
      </c>
      <c r="R272" s="9" t="s">
        <v>37</v>
      </c>
      <c r="S272" s="7" t="s">
        <v>366</v>
      </c>
      <c r="T272" s="9" t="s">
        <v>39</v>
      </c>
      <c r="U272" s="7">
        <v>0.38</v>
      </c>
      <c r="V272" s="12">
        <f>C272+1</f>
        <v>40873</v>
      </c>
      <c r="W272">
        <f>IF(D272=' Pivot Tables'!$A$4,1,0)</f>
        <v>0</v>
      </c>
      <c r="X272">
        <f>IF(AND(LEFT(D272,4)+1=LEFT(' Pivot Tables'!$A$4,4)+0,RIGHT(LEFT(D272,7),2)=RIGHT(LEFT(' Pivot Tables'!$A$4,7),2)),1,0)</f>
        <v>0</v>
      </c>
      <c r="Y272" s="6">
        <f>1/COUNTIF(Таблица1[Order ID],Таблица1[[#This Row],[Order ID]])</f>
        <v>0.5</v>
      </c>
      <c r="Z272" s="9">
        <f>1/COUNTIFS(Таблица1[Customer Name],Таблица1[[#This Row],[Customer Name]],Таблица1[Order-Year-Month],Таблица1[[#This Row],[Order-Year-Month]])</f>
        <v>0.33333333333333331</v>
      </c>
    </row>
    <row r="273" spans="1:26" x14ac:dyDescent="0.2">
      <c r="A273" s="6">
        <v>4194</v>
      </c>
      <c r="B273" s="7">
        <v>29795</v>
      </c>
      <c r="C273" s="8">
        <f>DATE(2012,12,31)-402</f>
        <v>40872</v>
      </c>
      <c r="D273" s="8" t="str">
        <f t="shared" si="4"/>
        <v>2011-11 (ноябрь 2011)</v>
      </c>
      <c r="E273" s="9" t="s">
        <v>30</v>
      </c>
      <c r="F273" s="7">
        <v>48</v>
      </c>
      <c r="G273" s="7">
        <v>8380.2199999999993</v>
      </c>
      <c r="H273" s="7">
        <v>0</v>
      </c>
      <c r="I273" s="9" t="s">
        <v>31</v>
      </c>
      <c r="J273" s="10">
        <v>813.83</v>
      </c>
      <c r="K273" s="11">
        <v>160.97999999999999</v>
      </c>
      <c r="L273" s="11">
        <v>35.020000000000003</v>
      </c>
      <c r="M273" s="9" t="s">
        <v>102</v>
      </c>
      <c r="N273" s="6" t="s">
        <v>173</v>
      </c>
      <c r="O273" s="6" t="s">
        <v>173</v>
      </c>
      <c r="P273" s="9" t="s">
        <v>25</v>
      </c>
      <c r="Q273" s="9" t="s">
        <v>49</v>
      </c>
      <c r="R273" s="9" t="s">
        <v>80</v>
      </c>
      <c r="S273" s="7" t="s">
        <v>367</v>
      </c>
      <c r="T273" s="9" t="s">
        <v>82</v>
      </c>
      <c r="U273" s="7">
        <v>0.72</v>
      </c>
      <c r="V273" s="12">
        <f>C273+1</f>
        <v>40873</v>
      </c>
      <c r="W273">
        <f>IF(D273=' Pivot Tables'!$A$4,1,0)</f>
        <v>0</v>
      </c>
      <c r="X273">
        <f>IF(AND(LEFT(D273,4)+1=LEFT(' Pivot Tables'!$A$4,4)+0,RIGHT(LEFT(D273,7),2)=RIGHT(LEFT(' Pivot Tables'!$A$4,7),2)),1,0)</f>
        <v>0</v>
      </c>
      <c r="Y273" s="6">
        <f>1/COUNTIF(Таблица1[Order ID],Таблица1[[#This Row],[Order ID]])</f>
        <v>0.5</v>
      </c>
      <c r="Z273" s="9">
        <f>1/COUNTIFS(Таблица1[Customer Name],Таблица1[[#This Row],[Customer Name]],Таблица1[Order-Year-Month],Таблица1[[#This Row],[Order-Year-Month]])</f>
        <v>0.33333333333333331</v>
      </c>
    </row>
    <row r="274" spans="1:26" x14ac:dyDescent="0.2">
      <c r="A274" s="6">
        <v>4202</v>
      </c>
      <c r="B274" s="7">
        <v>29861</v>
      </c>
      <c r="C274" s="8">
        <f>DATE(2012,12,31)-250</f>
        <v>41024</v>
      </c>
      <c r="D274" s="8" t="str">
        <f t="shared" si="4"/>
        <v>2012-04 (апрель 2012)</v>
      </c>
      <c r="E274" s="9" t="s">
        <v>78</v>
      </c>
      <c r="F274" s="7">
        <v>11</v>
      </c>
      <c r="G274" s="7">
        <v>35.17</v>
      </c>
      <c r="H274" s="7">
        <v>0.03</v>
      </c>
      <c r="I274" s="9" t="s">
        <v>22</v>
      </c>
      <c r="J274" s="10">
        <v>5.58</v>
      </c>
      <c r="K274" s="11">
        <v>3.08</v>
      </c>
      <c r="L274" s="11">
        <v>0.99</v>
      </c>
      <c r="M274" s="9" t="s">
        <v>120</v>
      </c>
      <c r="N274" s="6" t="s">
        <v>173</v>
      </c>
      <c r="O274" s="6" t="s">
        <v>173</v>
      </c>
      <c r="P274" s="9" t="s">
        <v>25</v>
      </c>
      <c r="Q274" s="9" t="s">
        <v>26</v>
      </c>
      <c r="R274" s="9" t="s">
        <v>88</v>
      </c>
      <c r="S274" s="7" t="s">
        <v>368</v>
      </c>
      <c r="T274" s="9" t="s">
        <v>39</v>
      </c>
      <c r="U274" s="7">
        <v>0.37</v>
      </c>
      <c r="V274" s="12">
        <f>C274+1</f>
        <v>41025</v>
      </c>
      <c r="W274">
        <f>IF(D274=' Pivot Tables'!$A$4,1,0)</f>
        <v>0</v>
      </c>
      <c r="X274">
        <f>IF(AND(LEFT(D274,4)+1=LEFT(' Pivot Tables'!$A$4,4)+0,RIGHT(LEFT(D274,7),2)=RIGHT(LEFT(' Pivot Tables'!$A$4,7),2)),1,0)</f>
        <v>0</v>
      </c>
      <c r="Y274" s="6">
        <f>1/COUNTIF(Таблица1[Order ID],Таблица1[[#This Row],[Order ID]])</f>
        <v>1</v>
      </c>
      <c r="Z274" s="9">
        <f>1/COUNTIFS(Таблица1[Customer Name],Таблица1[[#This Row],[Customer Name]],Таблица1[Order-Year-Month],Таблица1[[#This Row],[Order-Year-Month]])</f>
        <v>1</v>
      </c>
    </row>
    <row r="275" spans="1:26" x14ac:dyDescent="0.2">
      <c r="A275" s="6">
        <v>4305</v>
      </c>
      <c r="B275" s="7">
        <v>30658</v>
      </c>
      <c r="C275" s="8">
        <f>DATE(2012,12,31)-646</f>
        <v>40628</v>
      </c>
      <c r="D275" s="8" t="str">
        <f t="shared" si="4"/>
        <v>2011-03 (март 2011)</v>
      </c>
      <c r="E275" s="9" t="s">
        <v>63</v>
      </c>
      <c r="F275" s="7">
        <v>35</v>
      </c>
      <c r="G275" s="7">
        <v>17387.650000000001</v>
      </c>
      <c r="H275" s="7">
        <v>0.08</v>
      </c>
      <c r="I275" s="9" t="s">
        <v>22</v>
      </c>
      <c r="J275" s="10">
        <v>6907.6130000000003</v>
      </c>
      <c r="K275" s="11">
        <v>499.99</v>
      </c>
      <c r="L275" s="11">
        <v>24.49</v>
      </c>
      <c r="M275" s="9" t="s">
        <v>321</v>
      </c>
      <c r="N275" s="6" t="s">
        <v>173</v>
      </c>
      <c r="O275" s="6" t="s">
        <v>173</v>
      </c>
      <c r="P275" s="9" t="s">
        <v>41</v>
      </c>
      <c r="Q275" s="9" t="s">
        <v>42</v>
      </c>
      <c r="R275" s="9" t="s">
        <v>99</v>
      </c>
      <c r="S275" s="7" t="s">
        <v>217</v>
      </c>
      <c r="T275" s="9" t="s">
        <v>29</v>
      </c>
      <c r="U275" s="7">
        <v>0.36</v>
      </c>
      <c r="V275" s="12">
        <f>C275+1</f>
        <v>40629</v>
      </c>
      <c r="W275">
        <f>IF(D275=' Pivot Tables'!$A$4,1,0)</f>
        <v>0</v>
      </c>
      <c r="X275">
        <f>IF(AND(LEFT(D275,4)+1=LEFT(' Pivot Tables'!$A$4,4)+0,RIGHT(LEFT(D275,7),2)=RIGHT(LEFT(' Pivot Tables'!$A$4,7),2)),1,0)</f>
        <v>0</v>
      </c>
      <c r="Y275" s="6">
        <f>1/COUNTIF(Таблица1[Order ID],Таблица1[[#This Row],[Order ID]])</f>
        <v>0.5</v>
      </c>
      <c r="Z275" s="9">
        <f>1/COUNTIFS(Таблица1[Customer Name],Таблица1[[#This Row],[Customer Name]],Таблица1[Order-Year-Month],Таблица1[[#This Row],[Order-Year-Month]])</f>
        <v>0.33333333333333331</v>
      </c>
    </row>
    <row r="276" spans="1:26" x14ac:dyDescent="0.2">
      <c r="A276" s="6">
        <v>4306</v>
      </c>
      <c r="B276" s="7">
        <v>30658</v>
      </c>
      <c r="C276" s="8">
        <f>DATE(2012,12,31)-646</f>
        <v>40628</v>
      </c>
      <c r="D276" s="8" t="str">
        <f t="shared" si="4"/>
        <v>2011-03 (март 2011)</v>
      </c>
      <c r="E276" s="9" t="s">
        <v>63</v>
      </c>
      <c r="F276" s="7">
        <v>44</v>
      </c>
      <c r="G276" s="7">
        <v>6040.22</v>
      </c>
      <c r="H276" s="7">
        <v>0.05</v>
      </c>
      <c r="I276" s="9" t="s">
        <v>22</v>
      </c>
      <c r="J276" s="10">
        <v>-942.5</v>
      </c>
      <c r="K276" s="11">
        <v>138.13999999999999</v>
      </c>
      <c r="L276" s="11">
        <v>35</v>
      </c>
      <c r="M276" s="9" t="s">
        <v>321</v>
      </c>
      <c r="N276" s="6" t="s">
        <v>173</v>
      </c>
      <c r="O276" s="6" t="s">
        <v>173</v>
      </c>
      <c r="P276" s="9" t="s">
        <v>41</v>
      </c>
      <c r="Q276" s="9" t="s">
        <v>26</v>
      </c>
      <c r="R276" s="9" t="s">
        <v>27</v>
      </c>
      <c r="S276" s="7" t="s">
        <v>58</v>
      </c>
      <c r="T276" s="9" t="s">
        <v>29</v>
      </c>
      <c r="U276" s="7"/>
      <c r="V276" s="12">
        <f>C276+2</f>
        <v>40630</v>
      </c>
      <c r="W276">
        <f>IF(D276=' Pivot Tables'!$A$4,1,0)</f>
        <v>0</v>
      </c>
      <c r="X276">
        <f>IF(AND(LEFT(D276,4)+1=LEFT(' Pivot Tables'!$A$4,4)+0,RIGHT(LEFT(D276,7),2)=RIGHT(LEFT(' Pivot Tables'!$A$4,7),2)),1,0)</f>
        <v>0</v>
      </c>
      <c r="Y276" s="6">
        <f>1/COUNTIF(Таблица1[Order ID],Таблица1[[#This Row],[Order ID]])</f>
        <v>0.5</v>
      </c>
      <c r="Z276" s="9">
        <f>1/COUNTIFS(Таблица1[Customer Name],Таблица1[[#This Row],[Customer Name]],Таблица1[Order-Year-Month],Таблица1[[#This Row],[Order-Year-Month]])</f>
        <v>0.33333333333333331</v>
      </c>
    </row>
    <row r="277" spans="1:26" x14ac:dyDescent="0.2">
      <c r="A277" s="6">
        <v>4346</v>
      </c>
      <c r="B277" s="7">
        <v>30947</v>
      </c>
      <c r="C277" s="8">
        <f>DATE(2012,12,31)-901</f>
        <v>40373</v>
      </c>
      <c r="D277" s="8" t="str">
        <f t="shared" si="4"/>
        <v>2010-07 (июль 2010)</v>
      </c>
      <c r="E277" s="9" t="s">
        <v>21</v>
      </c>
      <c r="F277" s="7">
        <v>17</v>
      </c>
      <c r="G277" s="7">
        <v>691.59</v>
      </c>
      <c r="H277" s="7">
        <v>0.03</v>
      </c>
      <c r="I277" s="9" t="s">
        <v>22</v>
      </c>
      <c r="J277" s="10">
        <v>261.23899999999998</v>
      </c>
      <c r="K277" s="11">
        <v>41.94</v>
      </c>
      <c r="L277" s="11">
        <v>2.99</v>
      </c>
      <c r="M277" s="9" t="s">
        <v>321</v>
      </c>
      <c r="N277" s="6" t="s">
        <v>173</v>
      </c>
      <c r="O277" s="6" t="s">
        <v>173</v>
      </c>
      <c r="P277" s="9" t="s">
        <v>41</v>
      </c>
      <c r="Q277" s="9" t="s">
        <v>26</v>
      </c>
      <c r="R277" s="9" t="s">
        <v>37</v>
      </c>
      <c r="S277" s="7" t="s">
        <v>369</v>
      </c>
      <c r="T277" s="9" t="s">
        <v>39</v>
      </c>
      <c r="U277" s="7">
        <v>0.35</v>
      </c>
      <c r="V277" s="12">
        <f>C277+4</f>
        <v>40377</v>
      </c>
      <c r="W277">
        <f>IF(D277=' Pivot Tables'!$A$4,1,0)</f>
        <v>0</v>
      </c>
      <c r="X277">
        <f>IF(AND(LEFT(D277,4)+1=LEFT(' Pivot Tables'!$A$4,4)+0,RIGHT(LEFT(D277,7),2)=RIGHT(LEFT(' Pivot Tables'!$A$4,7),2)),1,0)</f>
        <v>0</v>
      </c>
      <c r="Y277" s="6">
        <f>1/COUNTIF(Таблица1[Order ID],Таблица1[[#This Row],[Order ID]])</f>
        <v>0.5</v>
      </c>
      <c r="Z277" s="9">
        <f>1/COUNTIFS(Таблица1[Customer Name],Таблица1[[#This Row],[Customer Name]],Таблица1[Order-Year-Month],Таблица1[[#This Row],[Order-Year-Month]])</f>
        <v>0.5</v>
      </c>
    </row>
    <row r="278" spans="1:26" x14ac:dyDescent="0.2">
      <c r="A278" s="6">
        <v>4347</v>
      </c>
      <c r="B278" s="7">
        <v>30947</v>
      </c>
      <c r="C278" s="8">
        <f>DATE(2012,12,31)-901</f>
        <v>40373</v>
      </c>
      <c r="D278" s="8" t="str">
        <f t="shared" si="4"/>
        <v>2010-07 (июль 2010)</v>
      </c>
      <c r="E278" s="9" t="s">
        <v>21</v>
      </c>
      <c r="F278" s="7">
        <v>45</v>
      </c>
      <c r="G278" s="7">
        <v>345.2</v>
      </c>
      <c r="H278" s="7">
        <v>0.01</v>
      </c>
      <c r="I278" s="9" t="s">
        <v>22</v>
      </c>
      <c r="J278" s="10">
        <v>183.53</v>
      </c>
      <c r="K278" s="11">
        <v>7.31</v>
      </c>
      <c r="L278" s="11">
        <v>0.49</v>
      </c>
      <c r="M278" s="9" t="s">
        <v>321</v>
      </c>
      <c r="N278" s="6" t="s">
        <v>173</v>
      </c>
      <c r="O278" s="6" t="s">
        <v>173</v>
      </c>
      <c r="P278" s="9" t="s">
        <v>41</v>
      </c>
      <c r="Q278" s="9" t="s">
        <v>26</v>
      </c>
      <c r="R278" s="9" t="s">
        <v>88</v>
      </c>
      <c r="S278" s="7" t="s">
        <v>107</v>
      </c>
      <c r="T278" s="9" t="s">
        <v>39</v>
      </c>
      <c r="U278" s="7">
        <v>0.38</v>
      </c>
      <c r="V278" s="12">
        <f>C278+4</f>
        <v>40377</v>
      </c>
      <c r="W278">
        <f>IF(D278=' Pivot Tables'!$A$4,1,0)</f>
        <v>0</v>
      </c>
      <c r="X278">
        <f>IF(AND(LEFT(D278,4)+1=LEFT(' Pivot Tables'!$A$4,4)+0,RIGHT(LEFT(D278,7),2)=RIGHT(LEFT(' Pivot Tables'!$A$4,7),2)),1,0)</f>
        <v>0</v>
      </c>
      <c r="Y278" s="6">
        <f>1/COUNTIF(Таблица1[Order ID],Таблица1[[#This Row],[Order ID]])</f>
        <v>0.5</v>
      </c>
      <c r="Z278" s="9">
        <f>1/COUNTIFS(Таблица1[Customer Name],Таблица1[[#This Row],[Customer Name]],Таблица1[Order-Year-Month],Таблица1[[#This Row],[Order-Year-Month]])</f>
        <v>0.5</v>
      </c>
    </row>
    <row r="279" spans="1:26" x14ac:dyDescent="0.2">
      <c r="A279" s="6">
        <v>4362</v>
      </c>
      <c r="B279" s="7">
        <v>31077</v>
      </c>
      <c r="C279" s="8">
        <f>DATE(2012,12,31)-800</f>
        <v>40474</v>
      </c>
      <c r="D279" s="8" t="str">
        <f t="shared" si="4"/>
        <v>2010-10 (октябрь 2010)</v>
      </c>
      <c r="E279" s="9" t="s">
        <v>45</v>
      </c>
      <c r="F279" s="7">
        <v>36</v>
      </c>
      <c r="G279" s="7">
        <v>1955.0765000000001</v>
      </c>
      <c r="H279" s="7">
        <v>0.06</v>
      </c>
      <c r="I279" s="9" t="s">
        <v>22</v>
      </c>
      <c r="J279" s="10">
        <v>470.82599999999996</v>
      </c>
      <c r="K279" s="11">
        <v>65.989999999999995</v>
      </c>
      <c r="L279" s="11">
        <v>3.9</v>
      </c>
      <c r="M279" s="9" t="s">
        <v>283</v>
      </c>
      <c r="N279" s="6" t="s">
        <v>173</v>
      </c>
      <c r="O279" s="6" t="s">
        <v>173</v>
      </c>
      <c r="P279" s="9" t="s">
        <v>25</v>
      </c>
      <c r="Q279" s="9" t="s">
        <v>42</v>
      </c>
      <c r="R279" s="9" t="s">
        <v>43</v>
      </c>
      <c r="S279" s="7" t="s">
        <v>370</v>
      </c>
      <c r="T279" s="9" t="s">
        <v>39</v>
      </c>
      <c r="U279" s="7">
        <v>0.55000000000000004</v>
      </c>
      <c r="V279" s="12">
        <f>C279+2</f>
        <v>40476</v>
      </c>
      <c r="W279">
        <f>IF(D279=' Pivot Tables'!$A$4,1,0)</f>
        <v>0</v>
      </c>
      <c r="X279">
        <f>IF(AND(LEFT(D279,4)+1=LEFT(' Pivot Tables'!$A$4,4)+0,RIGHT(LEFT(D279,7),2)=RIGHT(LEFT(' Pivot Tables'!$A$4,7),2)),1,0)</f>
        <v>0</v>
      </c>
      <c r="Y279" s="6">
        <f>1/COUNTIF(Таблица1[Order ID],Таблица1[[#This Row],[Order ID]])</f>
        <v>1</v>
      </c>
      <c r="Z279" s="9">
        <f>1/COUNTIFS(Таблица1[Customer Name],Таблица1[[#This Row],[Customer Name]],Таблица1[Order-Year-Month],Таблица1[[#This Row],[Order-Year-Month]])</f>
        <v>1</v>
      </c>
    </row>
    <row r="280" spans="1:26" x14ac:dyDescent="0.2">
      <c r="A280" s="6">
        <v>4369</v>
      </c>
      <c r="B280" s="7">
        <v>31111</v>
      </c>
      <c r="C280" s="8">
        <f>DATE(2012,12,31)-1225</f>
        <v>40049</v>
      </c>
      <c r="D280" s="8" t="str">
        <f t="shared" si="4"/>
        <v>2009-08 (август 2009)</v>
      </c>
      <c r="E280" s="9" t="s">
        <v>45</v>
      </c>
      <c r="F280" s="7">
        <v>27</v>
      </c>
      <c r="G280" s="7">
        <v>217.93</v>
      </c>
      <c r="H280" s="7">
        <v>0.03</v>
      </c>
      <c r="I280" s="9" t="s">
        <v>22</v>
      </c>
      <c r="J280" s="10">
        <v>-29.02</v>
      </c>
      <c r="K280" s="11">
        <v>7.64</v>
      </c>
      <c r="L280" s="11">
        <v>5.83</v>
      </c>
      <c r="M280" s="9" t="s">
        <v>57</v>
      </c>
      <c r="N280" s="6" t="s">
        <v>173</v>
      </c>
      <c r="O280" s="6" t="s">
        <v>173</v>
      </c>
      <c r="P280" s="9" t="s">
        <v>41</v>
      </c>
      <c r="Q280" s="9" t="s">
        <v>26</v>
      </c>
      <c r="R280" s="9" t="s">
        <v>61</v>
      </c>
      <c r="S280" s="7" t="s">
        <v>371</v>
      </c>
      <c r="T280" s="9" t="s">
        <v>68</v>
      </c>
      <c r="U280" s="7">
        <v>0.36</v>
      </c>
      <c r="V280" s="12">
        <f>C280+2</f>
        <v>40051</v>
      </c>
      <c r="W280">
        <f>IF(D280=' Pivot Tables'!$A$4,1,0)</f>
        <v>0</v>
      </c>
      <c r="X280">
        <f>IF(AND(LEFT(D280,4)+1=LEFT(' Pivot Tables'!$A$4,4)+0,RIGHT(LEFT(D280,7),2)=RIGHT(LEFT(' Pivot Tables'!$A$4,7),2)),1,0)</f>
        <v>0</v>
      </c>
      <c r="Y280" s="6">
        <f>1/COUNTIF(Таблица1[Order ID],Таблица1[[#This Row],[Order ID]])</f>
        <v>1</v>
      </c>
      <c r="Z280" s="9">
        <f>1/COUNTIFS(Таблица1[Customer Name],Таблица1[[#This Row],[Customer Name]],Таблица1[Order-Year-Month],Таблица1[[#This Row],[Order-Year-Month]])</f>
        <v>1</v>
      </c>
    </row>
    <row r="281" spans="1:26" x14ac:dyDescent="0.2">
      <c r="A281" s="6">
        <v>4372</v>
      </c>
      <c r="B281" s="7">
        <v>31169</v>
      </c>
      <c r="C281" s="8">
        <f>DATE(2012,12,31)-571</f>
        <v>40703</v>
      </c>
      <c r="D281" s="8" t="str">
        <f t="shared" si="4"/>
        <v>2011-06 (июнь 2011)</v>
      </c>
      <c r="E281" s="9" t="s">
        <v>21</v>
      </c>
      <c r="F281" s="7">
        <v>6</v>
      </c>
      <c r="G281" s="7">
        <v>254.76</v>
      </c>
      <c r="H281" s="7">
        <v>0.06</v>
      </c>
      <c r="I281" s="9" t="s">
        <v>22</v>
      </c>
      <c r="J281" s="10">
        <v>109.88</v>
      </c>
      <c r="K281" s="11">
        <v>40.97</v>
      </c>
      <c r="L281" s="11">
        <v>14.45</v>
      </c>
      <c r="M281" s="9" t="s">
        <v>139</v>
      </c>
      <c r="N281" s="6" t="s">
        <v>173</v>
      </c>
      <c r="O281" s="6" t="s">
        <v>173</v>
      </c>
      <c r="P281" s="9" t="s">
        <v>60</v>
      </c>
      <c r="Q281" s="9" t="s">
        <v>49</v>
      </c>
      <c r="R281" s="9" t="s">
        <v>50</v>
      </c>
      <c r="S281" s="7" t="s">
        <v>310</v>
      </c>
      <c r="T281" s="9" t="s">
        <v>29</v>
      </c>
      <c r="U281" s="7">
        <v>0.56999999999999995</v>
      </c>
      <c r="V281" s="12">
        <f>C281+4</f>
        <v>40707</v>
      </c>
      <c r="W281">
        <f>IF(D281=' Pivot Tables'!$A$4,1,0)</f>
        <v>0</v>
      </c>
      <c r="X281">
        <f>IF(AND(LEFT(D281,4)+1=LEFT(' Pivot Tables'!$A$4,4)+0,RIGHT(LEFT(D281,7),2)=RIGHT(LEFT(' Pivot Tables'!$A$4,7),2)),1,0)</f>
        <v>0</v>
      </c>
      <c r="Y281" s="6">
        <f>1/COUNTIF(Таблица1[Order ID],Таблица1[[#This Row],[Order ID]])</f>
        <v>1</v>
      </c>
      <c r="Z281" s="9">
        <f>1/COUNTIFS(Таблица1[Customer Name],Таблица1[[#This Row],[Customer Name]],Таблица1[Order-Year-Month],Таблица1[[#This Row],[Order-Year-Month]])</f>
        <v>0.5</v>
      </c>
    </row>
    <row r="282" spans="1:26" x14ac:dyDescent="0.2">
      <c r="A282" s="6">
        <v>4390</v>
      </c>
      <c r="B282" s="7">
        <v>31270</v>
      </c>
      <c r="C282" s="8">
        <f>DATE(2012,12,31)-38</f>
        <v>41236</v>
      </c>
      <c r="D282" s="8" t="str">
        <f t="shared" si="4"/>
        <v>2012-11 (ноябрь 2012)</v>
      </c>
      <c r="E282" s="9" t="s">
        <v>63</v>
      </c>
      <c r="F282" s="7">
        <v>21</v>
      </c>
      <c r="G282" s="7">
        <v>6806.66</v>
      </c>
      <c r="H282" s="7">
        <v>0</v>
      </c>
      <c r="I282" s="9" t="s">
        <v>31</v>
      </c>
      <c r="J282" s="10">
        <v>801.72</v>
      </c>
      <c r="K282" s="11">
        <v>299.05</v>
      </c>
      <c r="L282" s="11">
        <v>87.01</v>
      </c>
      <c r="M282" s="9" t="s">
        <v>139</v>
      </c>
      <c r="N282" s="6" t="s">
        <v>173</v>
      </c>
      <c r="O282" s="6" t="s">
        <v>173</v>
      </c>
      <c r="P282" s="9" t="s">
        <v>41</v>
      </c>
      <c r="Q282" s="9" t="s">
        <v>49</v>
      </c>
      <c r="R282" s="9" t="s">
        <v>112</v>
      </c>
      <c r="S282" s="7" t="s">
        <v>372</v>
      </c>
      <c r="T282" s="9" t="s">
        <v>36</v>
      </c>
      <c r="U282" s="7">
        <v>0.56999999999999995</v>
      </c>
      <c r="V282" s="12">
        <f>C282+1</f>
        <v>41237</v>
      </c>
      <c r="W282">
        <f>IF(D282=' Pivot Tables'!$A$4,1,0)</f>
        <v>0</v>
      </c>
      <c r="X282">
        <f>IF(AND(LEFT(D282,4)+1=LEFT(' Pivot Tables'!$A$4,4)+0,RIGHT(LEFT(D282,7),2)=RIGHT(LEFT(' Pivot Tables'!$A$4,7),2)),1,0)</f>
        <v>0</v>
      </c>
      <c r="Y282" s="6">
        <f>1/COUNTIF(Таблица1[Order ID],Таблица1[[#This Row],[Order ID]])</f>
        <v>0.33333333333333331</v>
      </c>
      <c r="Z282" s="9">
        <f>1/COUNTIFS(Таблица1[Customer Name],Таблица1[[#This Row],[Customer Name]],Таблица1[Order-Year-Month],Таблица1[[#This Row],[Order-Year-Month]])</f>
        <v>0.33333333333333331</v>
      </c>
    </row>
    <row r="283" spans="1:26" x14ac:dyDescent="0.2">
      <c r="A283" s="6">
        <v>4391</v>
      </c>
      <c r="B283" s="7">
        <v>31270</v>
      </c>
      <c r="C283" s="8">
        <f>DATE(2012,12,31)-38</f>
        <v>41236</v>
      </c>
      <c r="D283" s="8" t="str">
        <f t="shared" si="4"/>
        <v>2012-11 (ноябрь 2012)</v>
      </c>
      <c r="E283" s="9" t="s">
        <v>63</v>
      </c>
      <c r="F283" s="7">
        <v>3</v>
      </c>
      <c r="G283" s="7">
        <v>891.61</v>
      </c>
      <c r="H283" s="7">
        <v>0.1</v>
      </c>
      <c r="I283" s="9" t="s">
        <v>31</v>
      </c>
      <c r="J283" s="10">
        <v>-328.36</v>
      </c>
      <c r="K283" s="11">
        <v>291.73</v>
      </c>
      <c r="L283" s="11">
        <v>48.8</v>
      </c>
      <c r="M283" s="9" t="s">
        <v>139</v>
      </c>
      <c r="N283" s="6" t="s">
        <v>173</v>
      </c>
      <c r="O283" s="6" t="s">
        <v>173</v>
      </c>
      <c r="P283" s="9" t="s">
        <v>41</v>
      </c>
      <c r="Q283" s="9" t="s">
        <v>49</v>
      </c>
      <c r="R283" s="9" t="s">
        <v>112</v>
      </c>
      <c r="S283" s="7" t="s">
        <v>373</v>
      </c>
      <c r="T283" s="9" t="s">
        <v>36</v>
      </c>
      <c r="U283" s="7">
        <v>0.56000000000000005</v>
      </c>
      <c r="V283" s="12">
        <f>C283+2</f>
        <v>41238</v>
      </c>
      <c r="W283">
        <f>IF(D283=' Pivot Tables'!$A$4,1,0)</f>
        <v>0</v>
      </c>
      <c r="X283">
        <f>IF(AND(LEFT(D283,4)+1=LEFT(' Pivot Tables'!$A$4,4)+0,RIGHT(LEFT(D283,7),2)=RIGHT(LEFT(' Pivot Tables'!$A$4,7),2)),1,0)</f>
        <v>0</v>
      </c>
      <c r="Y283" s="6">
        <f>1/COUNTIF(Таблица1[Order ID],Таблица1[[#This Row],[Order ID]])</f>
        <v>0.33333333333333331</v>
      </c>
      <c r="Z283" s="9">
        <f>1/COUNTIFS(Таблица1[Customer Name],Таблица1[[#This Row],[Customer Name]],Таблица1[Order-Year-Month],Таблица1[[#This Row],[Order-Year-Month]])</f>
        <v>0.33333333333333331</v>
      </c>
    </row>
    <row r="284" spans="1:26" x14ac:dyDescent="0.2">
      <c r="A284" s="6">
        <v>4392</v>
      </c>
      <c r="B284" s="7">
        <v>31270</v>
      </c>
      <c r="C284" s="8">
        <f>DATE(2012,12,31)-38</f>
        <v>41236</v>
      </c>
      <c r="D284" s="8" t="str">
        <f t="shared" si="4"/>
        <v>2012-11 (ноябрь 2012)</v>
      </c>
      <c r="E284" s="9" t="s">
        <v>63</v>
      </c>
      <c r="F284" s="7">
        <v>5</v>
      </c>
      <c r="G284" s="7">
        <v>165.04</v>
      </c>
      <c r="H284" s="7">
        <v>0.03</v>
      </c>
      <c r="I284" s="9" t="s">
        <v>22</v>
      </c>
      <c r="J284" s="10">
        <v>-112.44</v>
      </c>
      <c r="K284" s="11">
        <v>30.42</v>
      </c>
      <c r="L284" s="11">
        <v>8.65</v>
      </c>
      <c r="M284" s="9" t="s">
        <v>139</v>
      </c>
      <c r="N284" s="6" t="s">
        <v>173</v>
      </c>
      <c r="O284" s="6" t="s">
        <v>173</v>
      </c>
      <c r="P284" s="9" t="s">
        <v>41</v>
      </c>
      <c r="Q284" s="9" t="s">
        <v>42</v>
      </c>
      <c r="R284" s="9" t="s">
        <v>70</v>
      </c>
      <c r="S284" s="7" t="s">
        <v>374</v>
      </c>
      <c r="T284" s="9" t="s">
        <v>39</v>
      </c>
      <c r="U284" s="7">
        <v>0.74</v>
      </c>
      <c r="V284" s="12">
        <f>C284+2</f>
        <v>41238</v>
      </c>
      <c r="W284">
        <f>IF(D284=' Pivot Tables'!$A$4,1,0)</f>
        <v>0</v>
      </c>
      <c r="X284">
        <f>IF(AND(LEFT(D284,4)+1=LEFT(' Pivot Tables'!$A$4,4)+0,RIGHT(LEFT(D284,7),2)=RIGHT(LEFT(' Pivot Tables'!$A$4,7),2)),1,0)</f>
        <v>0</v>
      </c>
      <c r="Y284" s="6">
        <f>1/COUNTIF(Таблица1[Order ID],Таблица1[[#This Row],[Order ID]])</f>
        <v>0.33333333333333331</v>
      </c>
      <c r="Z284" s="9">
        <f>1/COUNTIFS(Таблица1[Customer Name],Таблица1[[#This Row],[Customer Name]],Таблица1[Order-Year-Month],Таблица1[[#This Row],[Order-Year-Month]])</f>
        <v>0.33333333333333331</v>
      </c>
    </row>
    <row r="285" spans="1:26" x14ac:dyDescent="0.2">
      <c r="A285" s="6">
        <v>4401</v>
      </c>
      <c r="B285" s="7">
        <v>31364</v>
      </c>
      <c r="C285" s="8">
        <f>DATE(2012,12,31)-1340</f>
        <v>39934</v>
      </c>
      <c r="D285" s="8" t="str">
        <f t="shared" si="4"/>
        <v>2009-05 (май 2009)</v>
      </c>
      <c r="E285" s="9" t="s">
        <v>45</v>
      </c>
      <c r="F285" s="7">
        <v>2</v>
      </c>
      <c r="G285" s="7">
        <v>789.01</v>
      </c>
      <c r="H285" s="7">
        <v>7.0000000000000007E-2</v>
      </c>
      <c r="I285" s="9" t="s">
        <v>22</v>
      </c>
      <c r="J285" s="10">
        <v>-539.59</v>
      </c>
      <c r="K285" s="11">
        <v>415.88</v>
      </c>
      <c r="L285" s="11">
        <v>11.37</v>
      </c>
      <c r="M285" s="9" t="s">
        <v>135</v>
      </c>
      <c r="N285" s="6" t="s">
        <v>173</v>
      </c>
      <c r="O285" s="6" t="s">
        <v>173</v>
      </c>
      <c r="P285" s="9" t="s">
        <v>41</v>
      </c>
      <c r="Q285" s="9" t="s">
        <v>26</v>
      </c>
      <c r="R285" s="9" t="s">
        <v>27</v>
      </c>
      <c r="S285" s="7" t="s">
        <v>358</v>
      </c>
      <c r="T285" s="9" t="s">
        <v>39</v>
      </c>
      <c r="U285" s="7">
        <v>0.56999999999999995</v>
      </c>
      <c r="V285" s="12">
        <f>C285+0</f>
        <v>39934</v>
      </c>
      <c r="W285">
        <f>IF(D285=' Pivot Tables'!$A$4,1,0)</f>
        <v>0</v>
      </c>
      <c r="X285">
        <f>IF(AND(LEFT(D285,4)+1=LEFT(' Pivot Tables'!$A$4,4)+0,RIGHT(LEFT(D285,7),2)=RIGHT(LEFT(' Pivot Tables'!$A$4,7),2)),1,0)</f>
        <v>0</v>
      </c>
      <c r="Y285" s="6">
        <f>1/COUNTIF(Таблица1[Order ID],Таблица1[[#This Row],[Order ID]])</f>
        <v>1</v>
      </c>
      <c r="Z285" s="9">
        <f>1/COUNTIFS(Таблица1[Customer Name],Таблица1[[#This Row],[Customer Name]],Таблица1[Order-Year-Month],Таблица1[[#This Row],[Order-Year-Month]])</f>
        <v>1</v>
      </c>
    </row>
    <row r="286" spans="1:26" x14ac:dyDescent="0.2">
      <c r="A286" s="6">
        <v>4404</v>
      </c>
      <c r="B286" s="7">
        <v>31393</v>
      </c>
      <c r="C286" s="8">
        <f>DATE(2012,12,31)-234</f>
        <v>41040</v>
      </c>
      <c r="D286" s="8" t="str">
        <f t="shared" si="4"/>
        <v>2012-05 (май 2012)</v>
      </c>
      <c r="E286" s="9" t="s">
        <v>78</v>
      </c>
      <c r="F286" s="7">
        <v>4</v>
      </c>
      <c r="G286" s="7">
        <v>97.57</v>
      </c>
      <c r="H286" s="7">
        <v>0.04</v>
      </c>
      <c r="I286" s="9" t="s">
        <v>22</v>
      </c>
      <c r="J286" s="10">
        <v>-27.31</v>
      </c>
      <c r="K286" s="11">
        <v>19.940000000000001</v>
      </c>
      <c r="L286" s="11">
        <v>14.87</v>
      </c>
      <c r="M286" s="9" t="s">
        <v>360</v>
      </c>
      <c r="N286" s="6" t="s">
        <v>173</v>
      </c>
      <c r="O286" s="6" t="s">
        <v>173</v>
      </c>
      <c r="P286" s="9" t="s">
        <v>41</v>
      </c>
      <c r="Q286" s="9" t="s">
        <v>49</v>
      </c>
      <c r="R286" s="9" t="s">
        <v>50</v>
      </c>
      <c r="S286" s="7" t="s">
        <v>375</v>
      </c>
      <c r="T286" s="9" t="s">
        <v>29</v>
      </c>
      <c r="U286" s="7">
        <v>0.56999999999999995</v>
      </c>
      <c r="V286" s="12">
        <f>C286+1</f>
        <v>41041</v>
      </c>
      <c r="W286">
        <f>IF(D286=' Pivot Tables'!$A$4,1,0)</f>
        <v>0</v>
      </c>
      <c r="X286">
        <f>IF(AND(LEFT(D286,4)+1=LEFT(' Pivot Tables'!$A$4,4)+0,RIGHT(LEFT(D286,7),2)=RIGHT(LEFT(' Pivot Tables'!$A$4,7),2)),1,0)</f>
        <v>0</v>
      </c>
      <c r="Y286" s="6">
        <f>1/COUNTIF(Таблица1[Order ID],Таблица1[[#This Row],[Order ID]])</f>
        <v>0.5</v>
      </c>
      <c r="Z286" s="9">
        <f>1/COUNTIFS(Таблица1[Customer Name],Таблица1[[#This Row],[Customer Name]],Таблица1[Order-Year-Month],Таблица1[[#This Row],[Order-Year-Month]])</f>
        <v>0.5</v>
      </c>
    </row>
    <row r="287" spans="1:26" x14ac:dyDescent="0.2">
      <c r="A287" s="6">
        <v>4405</v>
      </c>
      <c r="B287" s="7">
        <v>31393</v>
      </c>
      <c r="C287" s="8">
        <f>DATE(2012,12,31)-234</f>
        <v>41040</v>
      </c>
      <c r="D287" s="8" t="str">
        <f t="shared" si="4"/>
        <v>2012-05 (май 2012)</v>
      </c>
      <c r="E287" s="9" t="s">
        <v>78</v>
      </c>
      <c r="F287" s="7">
        <v>31</v>
      </c>
      <c r="G287" s="7">
        <v>110.32</v>
      </c>
      <c r="H287" s="7">
        <v>0.09</v>
      </c>
      <c r="I287" s="9" t="s">
        <v>22</v>
      </c>
      <c r="J287" s="10">
        <v>-32.65</v>
      </c>
      <c r="K287" s="11">
        <v>3.68</v>
      </c>
      <c r="L287" s="11">
        <v>1.32</v>
      </c>
      <c r="M287" s="9" t="s">
        <v>360</v>
      </c>
      <c r="N287" s="6" t="s">
        <v>173</v>
      </c>
      <c r="O287" s="6" t="s">
        <v>173</v>
      </c>
      <c r="P287" s="9" t="s">
        <v>41</v>
      </c>
      <c r="Q287" s="9" t="s">
        <v>26</v>
      </c>
      <c r="R287" s="9" t="s">
        <v>150</v>
      </c>
      <c r="S287" s="7" t="s">
        <v>252</v>
      </c>
      <c r="T287" s="9" t="s">
        <v>68</v>
      </c>
      <c r="U287" s="7">
        <v>0.83</v>
      </c>
      <c r="V287" s="12">
        <f>C287+2</f>
        <v>41042</v>
      </c>
      <c r="W287">
        <f>IF(D287=' Pivot Tables'!$A$4,1,0)</f>
        <v>0</v>
      </c>
      <c r="X287">
        <f>IF(AND(LEFT(D287,4)+1=LEFT(' Pivot Tables'!$A$4,4)+0,RIGHT(LEFT(D287,7),2)=RIGHT(LEFT(' Pivot Tables'!$A$4,7),2)),1,0)</f>
        <v>0</v>
      </c>
      <c r="Y287" s="6">
        <f>1/COUNTIF(Таблица1[Order ID],Таблица1[[#This Row],[Order ID]])</f>
        <v>0.5</v>
      </c>
      <c r="Z287" s="9">
        <f>1/COUNTIFS(Таблица1[Customer Name],Таблица1[[#This Row],[Customer Name]],Таблица1[Order-Year-Month],Таблица1[[#This Row],[Order-Year-Month]])</f>
        <v>0.5</v>
      </c>
    </row>
    <row r="288" spans="1:26" x14ac:dyDescent="0.2">
      <c r="A288" s="6">
        <v>4411</v>
      </c>
      <c r="B288" s="7">
        <v>31492</v>
      </c>
      <c r="C288" s="8">
        <f>DATE(2012,12,31)-808</f>
        <v>40466</v>
      </c>
      <c r="D288" s="8" t="str">
        <f t="shared" si="4"/>
        <v>2010-10 (октябрь 2010)</v>
      </c>
      <c r="E288" s="9" t="s">
        <v>78</v>
      </c>
      <c r="F288" s="7">
        <v>26</v>
      </c>
      <c r="G288" s="7">
        <v>321.68</v>
      </c>
      <c r="H288" s="7">
        <v>0.04</v>
      </c>
      <c r="I288" s="9" t="s">
        <v>22</v>
      </c>
      <c r="J288" s="10">
        <v>-12.25</v>
      </c>
      <c r="K288" s="11">
        <v>11.97</v>
      </c>
      <c r="L288" s="11">
        <v>4.9800000000000004</v>
      </c>
      <c r="M288" s="9" t="s">
        <v>122</v>
      </c>
      <c r="N288" s="6" t="s">
        <v>173</v>
      </c>
      <c r="O288" s="6" t="s">
        <v>173</v>
      </c>
      <c r="P288" s="9" t="s">
        <v>25</v>
      </c>
      <c r="Q288" s="9" t="s">
        <v>26</v>
      </c>
      <c r="R288" s="9" t="s">
        <v>34</v>
      </c>
      <c r="S288" s="7" t="s">
        <v>274</v>
      </c>
      <c r="T288" s="9" t="s">
        <v>39</v>
      </c>
      <c r="U288" s="7">
        <v>0.57999999999999996</v>
      </c>
      <c r="V288" s="12">
        <f>C288+2</f>
        <v>40468</v>
      </c>
      <c r="W288">
        <f>IF(D288=' Pivot Tables'!$A$4,1,0)</f>
        <v>0</v>
      </c>
      <c r="X288">
        <f>IF(AND(LEFT(D288,4)+1=LEFT(' Pivot Tables'!$A$4,4)+0,RIGHT(LEFT(D288,7),2)=RIGHT(LEFT(' Pivot Tables'!$A$4,7),2)),1,0)</f>
        <v>0</v>
      </c>
      <c r="Y288" s="6">
        <f>1/COUNTIF(Таблица1[Order ID],Таблица1[[#This Row],[Order ID]])</f>
        <v>0.33333333333333331</v>
      </c>
      <c r="Z288" s="9">
        <f>1/COUNTIFS(Таблица1[Customer Name],Таблица1[[#This Row],[Customer Name]],Таблица1[Order-Year-Month],Таблица1[[#This Row],[Order-Year-Month]])</f>
        <v>0.33333333333333331</v>
      </c>
    </row>
    <row r="289" spans="1:26" x14ac:dyDescent="0.2">
      <c r="A289" s="6">
        <v>4412</v>
      </c>
      <c r="B289" s="7">
        <v>31492</v>
      </c>
      <c r="C289" s="8">
        <f>DATE(2012,12,31)-808</f>
        <v>40466</v>
      </c>
      <c r="D289" s="8" t="str">
        <f t="shared" si="4"/>
        <v>2010-10 (октябрь 2010)</v>
      </c>
      <c r="E289" s="9" t="s">
        <v>78</v>
      </c>
      <c r="F289" s="7">
        <v>34</v>
      </c>
      <c r="G289" s="7">
        <v>971.95</v>
      </c>
      <c r="H289" s="7">
        <v>0.09</v>
      </c>
      <c r="I289" s="9" t="s">
        <v>56</v>
      </c>
      <c r="J289" s="10">
        <v>-21.1</v>
      </c>
      <c r="K289" s="11">
        <v>29.74</v>
      </c>
      <c r="L289" s="11">
        <v>6.64</v>
      </c>
      <c r="M289" s="9" t="s">
        <v>122</v>
      </c>
      <c r="N289" s="6" t="s">
        <v>173</v>
      </c>
      <c r="O289" s="6" t="s">
        <v>173</v>
      </c>
      <c r="P289" s="9" t="s">
        <v>25</v>
      </c>
      <c r="Q289" s="9" t="s">
        <v>26</v>
      </c>
      <c r="R289" s="9" t="s">
        <v>27</v>
      </c>
      <c r="S289" s="7" t="s">
        <v>376</v>
      </c>
      <c r="T289" s="9" t="s">
        <v>39</v>
      </c>
      <c r="U289" s="7">
        <v>0.7</v>
      </c>
      <c r="V289" s="12">
        <f>C289+3</f>
        <v>40469</v>
      </c>
      <c r="W289">
        <f>IF(D289=' Pivot Tables'!$A$4,1,0)</f>
        <v>0</v>
      </c>
      <c r="X289">
        <f>IF(AND(LEFT(D289,4)+1=LEFT(' Pivot Tables'!$A$4,4)+0,RIGHT(LEFT(D289,7),2)=RIGHT(LEFT(' Pivot Tables'!$A$4,7),2)),1,0)</f>
        <v>0</v>
      </c>
      <c r="Y289" s="6">
        <f>1/COUNTIF(Таблица1[Order ID],Таблица1[[#This Row],[Order ID]])</f>
        <v>0.33333333333333331</v>
      </c>
      <c r="Z289" s="9">
        <f>1/COUNTIFS(Таблица1[Customer Name],Таблица1[[#This Row],[Customer Name]],Таблица1[Order-Year-Month],Таблица1[[#This Row],[Order-Year-Month]])</f>
        <v>0.33333333333333331</v>
      </c>
    </row>
    <row r="290" spans="1:26" x14ac:dyDescent="0.2">
      <c r="A290" s="6">
        <v>4413</v>
      </c>
      <c r="B290" s="7">
        <v>31492</v>
      </c>
      <c r="C290" s="8">
        <f>DATE(2012,12,31)-808</f>
        <v>40466</v>
      </c>
      <c r="D290" s="8" t="str">
        <f t="shared" si="4"/>
        <v>2010-10 (октябрь 2010)</v>
      </c>
      <c r="E290" s="9" t="s">
        <v>78</v>
      </c>
      <c r="F290" s="7">
        <v>23</v>
      </c>
      <c r="G290" s="7">
        <v>2149.0300000000002</v>
      </c>
      <c r="H290" s="7">
        <v>0.03</v>
      </c>
      <c r="I290" s="9" t="s">
        <v>22</v>
      </c>
      <c r="J290" s="10">
        <v>-235.56</v>
      </c>
      <c r="K290" s="11">
        <v>95.43</v>
      </c>
      <c r="L290" s="11">
        <v>19.989999999999998</v>
      </c>
      <c r="M290" s="9" t="s">
        <v>122</v>
      </c>
      <c r="N290" s="6" t="s">
        <v>173</v>
      </c>
      <c r="O290" s="6" t="s">
        <v>173</v>
      </c>
      <c r="P290" s="9" t="s">
        <v>25</v>
      </c>
      <c r="Q290" s="9" t="s">
        <v>26</v>
      </c>
      <c r="R290" s="9" t="s">
        <v>27</v>
      </c>
      <c r="S290" s="7" t="s">
        <v>377</v>
      </c>
      <c r="T290" s="9" t="s">
        <v>39</v>
      </c>
      <c r="U290" s="7">
        <v>0.79</v>
      </c>
      <c r="V290" s="12">
        <f>C290+1</f>
        <v>40467</v>
      </c>
      <c r="W290">
        <f>IF(D290=' Pivot Tables'!$A$4,1,0)</f>
        <v>0</v>
      </c>
      <c r="X290">
        <f>IF(AND(LEFT(D290,4)+1=LEFT(' Pivot Tables'!$A$4,4)+0,RIGHT(LEFT(D290,7),2)=RIGHT(LEFT(' Pivot Tables'!$A$4,7),2)),1,0)</f>
        <v>0</v>
      </c>
      <c r="Y290" s="6">
        <f>1/COUNTIF(Таблица1[Order ID],Таблица1[[#This Row],[Order ID]])</f>
        <v>0.33333333333333331</v>
      </c>
      <c r="Z290" s="9">
        <f>1/COUNTIFS(Таблица1[Customer Name],Таблица1[[#This Row],[Customer Name]],Таблица1[Order-Year-Month],Таблица1[[#This Row],[Order-Year-Month]])</f>
        <v>0.33333333333333331</v>
      </c>
    </row>
    <row r="291" spans="1:26" x14ac:dyDescent="0.2">
      <c r="A291" s="6">
        <v>4429</v>
      </c>
      <c r="B291" s="7">
        <v>31558</v>
      </c>
      <c r="C291" s="8">
        <f>DATE(2012,12,31)-527</f>
        <v>40747</v>
      </c>
      <c r="D291" s="8" t="str">
        <f t="shared" si="4"/>
        <v>2011-07 (июль 2011)</v>
      </c>
      <c r="E291" s="9" t="s">
        <v>21</v>
      </c>
      <c r="F291" s="7">
        <v>12</v>
      </c>
      <c r="G291" s="7">
        <v>3671.3</v>
      </c>
      <c r="H291" s="7">
        <v>0.04</v>
      </c>
      <c r="I291" s="9" t="s">
        <v>22</v>
      </c>
      <c r="J291" s="10">
        <v>900.06</v>
      </c>
      <c r="K291" s="11">
        <v>300.64999999999998</v>
      </c>
      <c r="L291" s="11">
        <v>24.49</v>
      </c>
      <c r="M291" s="9" t="s">
        <v>279</v>
      </c>
      <c r="N291" s="6" t="s">
        <v>173</v>
      </c>
      <c r="O291" s="6" t="s">
        <v>173</v>
      </c>
      <c r="P291" s="9" t="s">
        <v>60</v>
      </c>
      <c r="Q291" s="9" t="s">
        <v>26</v>
      </c>
      <c r="R291" s="9" t="s">
        <v>34</v>
      </c>
      <c r="S291" s="7" t="s">
        <v>378</v>
      </c>
      <c r="T291" s="9" t="s">
        <v>29</v>
      </c>
      <c r="U291" s="7">
        <v>0.52</v>
      </c>
      <c r="V291" s="12">
        <f>C291+5</f>
        <v>40752</v>
      </c>
      <c r="W291">
        <f>IF(D291=' Pivot Tables'!$A$4,1,0)</f>
        <v>0</v>
      </c>
      <c r="X291">
        <f>IF(AND(LEFT(D291,4)+1=LEFT(' Pivot Tables'!$A$4,4)+0,RIGHT(LEFT(D291,7),2)=RIGHT(LEFT(' Pivot Tables'!$A$4,7),2)),1,0)</f>
        <v>0</v>
      </c>
      <c r="Y291" s="6">
        <f>1/COUNTIF(Таблица1[Order ID],Таблица1[[#This Row],[Order ID]])</f>
        <v>0.5</v>
      </c>
      <c r="Z291" s="9">
        <f>1/COUNTIFS(Таблица1[Customer Name],Таблица1[[#This Row],[Customer Name]],Таблица1[Order-Year-Month],Таблица1[[#This Row],[Order-Year-Month]])</f>
        <v>0.5</v>
      </c>
    </row>
    <row r="292" spans="1:26" x14ac:dyDescent="0.2">
      <c r="A292" s="6">
        <v>4430</v>
      </c>
      <c r="B292" s="7">
        <v>31558</v>
      </c>
      <c r="C292" s="8">
        <f>DATE(2012,12,31)-527</f>
        <v>40747</v>
      </c>
      <c r="D292" s="8" t="str">
        <f t="shared" si="4"/>
        <v>2011-07 (июль 2011)</v>
      </c>
      <c r="E292" s="9" t="s">
        <v>21</v>
      </c>
      <c r="F292" s="7">
        <v>42</v>
      </c>
      <c r="G292" s="7">
        <v>1763.6</v>
      </c>
      <c r="H292" s="7">
        <v>0.08</v>
      </c>
      <c r="I292" s="9" t="s">
        <v>22</v>
      </c>
      <c r="J292" s="10">
        <v>455.37</v>
      </c>
      <c r="K292" s="11">
        <v>45.19</v>
      </c>
      <c r="L292" s="11">
        <v>1.99</v>
      </c>
      <c r="M292" s="9" t="s">
        <v>279</v>
      </c>
      <c r="N292" s="6" t="s">
        <v>173</v>
      </c>
      <c r="O292" s="6" t="s">
        <v>173</v>
      </c>
      <c r="P292" s="9" t="s">
        <v>60</v>
      </c>
      <c r="Q292" s="9" t="s">
        <v>42</v>
      </c>
      <c r="R292" s="9" t="s">
        <v>70</v>
      </c>
      <c r="S292" s="7" t="s">
        <v>379</v>
      </c>
      <c r="T292" s="9" t="s">
        <v>52</v>
      </c>
      <c r="U292" s="7">
        <v>0.55000000000000004</v>
      </c>
      <c r="V292" s="12">
        <f>C292+0</f>
        <v>40747</v>
      </c>
      <c r="W292">
        <f>IF(D292=' Pivot Tables'!$A$4,1,0)</f>
        <v>0</v>
      </c>
      <c r="X292">
        <f>IF(AND(LEFT(D292,4)+1=LEFT(' Pivot Tables'!$A$4,4)+0,RIGHT(LEFT(D292,7),2)=RIGHT(LEFT(' Pivot Tables'!$A$4,7),2)),1,0)</f>
        <v>0</v>
      </c>
      <c r="Y292" s="6">
        <f>1/COUNTIF(Таблица1[Order ID],Таблица1[[#This Row],[Order ID]])</f>
        <v>0.5</v>
      </c>
      <c r="Z292" s="9">
        <f>1/COUNTIFS(Таблица1[Customer Name],Таблица1[[#This Row],[Customer Name]],Таблица1[Order-Year-Month],Таблица1[[#This Row],[Order-Year-Month]])</f>
        <v>0.5</v>
      </c>
    </row>
    <row r="293" spans="1:26" x14ac:dyDescent="0.2">
      <c r="A293" s="6">
        <v>4437</v>
      </c>
      <c r="B293" s="7">
        <v>31618</v>
      </c>
      <c r="C293" s="8">
        <f>DATE(2012,12,31)-539</f>
        <v>40735</v>
      </c>
      <c r="D293" s="8" t="str">
        <f t="shared" si="4"/>
        <v>2011-07 (июль 2011)</v>
      </c>
      <c r="E293" s="9" t="s">
        <v>78</v>
      </c>
      <c r="F293" s="7">
        <v>14</v>
      </c>
      <c r="G293" s="7">
        <v>403.17</v>
      </c>
      <c r="H293" s="7">
        <v>0.02</v>
      </c>
      <c r="I293" s="9" t="s">
        <v>22</v>
      </c>
      <c r="J293" s="10">
        <v>147.4495</v>
      </c>
      <c r="K293" s="11">
        <v>28.53</v>
      </c>
      <c r="L293" s="11">
        <v>1.49</v>
      </c>
      <c r="M293" s="9" t="s">
        <v>347</v>
      </c>
      <c r="N293" s="6" t="s">
        <v>173</v>
      </c>
      <c r="O293" s="6" t="s">
        <v>173</v>
      </c>
      <c r="P293" s="9" t="s">
        <v>41</v>
      </c>
      <c r="Q293" s="9" t="s">
        <v>26</v>
      </c>
      <c r="R293" s="9" t="s">
        <v>37</v>
      </c>
      <c r="S293" s="7" t="s">
        <v>380</v>
      </c>
      <c r="T293" s="9" t="s">
        <v>39</v>
      </c>
      <c r="U293" s="7">
        <v>0.38</v>
      </c>
      <c r="V293" s="12">
        <f>C293+0</f>
        <v>40735</v>
      </c>
      <c r="W293">
        <f>IF(D293=' Pivot Tables'!$A$4,1,0)</f>
        <v>0</v>
      </c>
      <c r="X293">
        <f>IF(AND(LEFT(D293,4)+1=LEFT(' Pivot Tables'!$A$4,4)+0,RIGHT(LEFT(D293,7),2)=RIGHT(LEFT(' Pivot Tables'!$A$4,7),2)),1,0)</f>
        <v>0</v>
      </c>
      <c r="Y293" s="6">
        <f>1/COUNTIF(Таблица1[Order ID],Таблица1[[#This Row],[Order ID]])</f>
        <v>1</v>
      </c>
      <c r="Z293" s="9">
        <f>1/COUNTIFS(Таблица1[Customer Name],Таблица1[[#This Row],[Customer Name]],Таблица1[Order-Year-Month],Таблица1[[#This Row],[Order-Year-Month]])</f>
        <v>1</v>
      </c>
    </row>
    <row r="294" spans="1:26" x14ac:dyDescent="0.2">
      <c r="A294" s="6">
        <v>4446</v>
      </c>
      <c r="B294" s="7">
        <v>31684</v>
      </c>
      <c r="C294" s="8">
        <f>DATE(2012,12,31)-106</f>
        <v>41168</v>
      </c>
      <c r="D294" s="8" t="str">
        <f t="shared" si="4"/>
        <v>2012-09 (сентябрь 2012)</v>
      </c>
      <c r="E294" s="9" t="s">
        <v>78</v>
      </c>
      <c r="F294" s="7">
        <v>15</v>
      </c>
      <c r="G294" s="7">
        <v>89.97</v>
      </c>
      <c r="H294" s="7">
        <v>0.02</v>
      </c>
      <c r="I294" s="9" t="s">
        <v>22</v>
      </c>
      <c r="J294" s="10">
        <v>23.48</v>
      </c>
      <c r="K294" s="11">
        <v>5.68</v>
      </c>
      <c r="L294" s="11">
        <v>1.46</v>
      </c>
      <c r="M294" s="9" t="s">
        <v>381</v>
      </c>
      <c r="N294" s="6" t="s">
        <v>173</v>
      </c>
      <c r="O294" s="6" t="s">
        <v>173</v>
      </c>
      <c r="P294" s="9" t="s">
        <v>41</v>
      </c>
      <c r="Q294" s="9" t="s">
        <v>26</v>
      </c>
      <c r="R294" s="9" t="s">
        <v>61</v>
      </c>
      <c r="S294" s="7" t="s">
        <v>382</v>
      </c>
      <c r="T294" s="9" t="s">
        <v>68</v>
      </c>
      <c r="U294" s="7">
        <v>0.39</v>
      </c>
      <c r="V294" s="12">
        <f>C294+3</f>
        <v>41171</v>
      </c>
      <c r="W294">
        <f>IF(D294=' Pivot Tables'!$A$4,1,0)</f>
        <v>0</v>
      </c>
      <c r="X294">
        <f>IF(AND(LEFT(D294,4)+1=LEFT(' Pivot Tables'!$A$4,4)+0,RIGHT(LEFT(D294,7),2)=RIGHT(LEFT(' Pivot Tables'!$A$4,7),2)),1,0)</f>
        <v>0</v>
      </c>
      <c r="Y294" s="6">
        <f>1/COUNTIF(Таблица1[Order ID],Таблица1[[#This Row],[Order ID]])</f>
        <v>0.5</v>
      </c>
      <c r="Z294" s="9">
        <f>1/COUNTIFS(Таблица1[Customer Name],Таблица1[[#This Row],[Customer Name]],Таблица1[Order-Year-Month],Таблица1[[#This Row],[Order-Year-Month]])</f>
        <v>0.5</v>
      </c>
    </row>
    <row r="295" spans="1:26" x14ac:dyDescent="0.2">
      <c r="A295" s="6">
        <v>4447</v>
      </c>
      <c r="B295" s="7">
        <v>31684</v>
      </c>
      <c r="C295" s="8">
        <f>DATE(2012,12,31)-106</f>
        <v>41168</v>
      </c>
      <c r="D295" s="8" t="str">
        <f t="shared" si="4"/>
        <v>2012-09 (сентябрь 2012)</v>
      </c>
      <c r="E295" s="9" t="s">
        <v>78</v>
      </c>
      <c r="F295" s="7">
        <v>28</v>
      </c>
      <c r="G295" s="7">
        <v>456.91</v>
      </c>
      <c r="H295" s="7">
        <v>0.04</v>
      </c>
      <c r="I295" s="9" t="s">
        <v>56</v>
      </c>
      <c r="J295" s="10">
        <v>-328.18</v>
      </c>
      <c r="K295" s="11">
        <v>15.51</v>
      </c>
      <c r="L295" s="11">
        <v>17.78</v>
      </c>
      <c r="M295" s="9" t="s">
        <v>381</v>
      </c>
      <c r="N295" s="6" t="s">
        <v>173</v>
      </c>
      <c r="O295" s="6" t="s">
        <v>173</v>
      </c>
      <c r="P295" s="9" t="s">
        <v>41</v>
      </c>
      <c r="Q295" s="9" t="s">
        <v>26</v>
      </c>
      <c r="R295" s="9" t="s">
        <v>27</v>
      </c>
      <c r="S295" s="7" t="s">
        <v>383</v>
      </c>
      <c r="T295" s="9" t="s">
        <v>39</v>
      </c>
      <c r="U295" s="7">
        <v>0.59</v>
      </c>
      <c r="V295" s="12">
        <f>C295+2</f>
        <v>41170</v>
      </c>
      <c r="W295">
        <f>IF(D295=' Pivot Tables'!$A$4,1,0)</f>
        <v>0</v>
      </c>
      <c r="X295">
        <f>IF(AND(LEFT(D295,4)+1=LEFT(' Pivot Tables'!$A$4,4)+0,RIGHT(LEFT(D295,7),2)=RIGHT(LEFT(' Pivot Tables'!$A$4,7),2)),1,0)</f>
        <v>0</v>
      </c>
      <c r="Y295" s="6">
        <f>1/COUNTIF(Таблица1[Order ID],Таблица1[[#This Row],[Order ID]])</f>
        <v>0.5</v>
      </c>
      <c r="Z295" s="9">
        <f>1/COUNTIFS(Таблица1[Customer Name],Таблица1[[#This Row],[Customer Name]],Таблица1[Order-Year-Month],Таблица1[[#This Row],[Order-Year-Month]])</f>
        <v>0.5</v>
      </c>
    </row>
    <row r="296" spans="1:26" x14ac:dyDescent="0.2">
      <c r="A296" s="6">
        <v>4459</v>
      </c>
      <c r="B296" s="7">
        <v>31781</v>
      </c>
      <c r="C296" s="8">
        <f>DATE(2012,12,31)-1445</f>
        <v>39829</v>
      </c>
      <c r="D296" s="8" t="str">
        <f t="shared" si="4"/>
        <v>2009-01 (январь 2009)</v>
      </c>
      <c r="E296" s="9" t="s">
        <v>63</v>
      </c>
      <c r="F296" s="7">
        <v>46</v>
      </c>
      <c r="G296" s="7">
        <v>249.02</v>
      </c>
      <c r="H296" s="7">
        <v>0.1</v>
      </c>
      <c r="I296" s="9" t="s">
        <v>22</v>
      </c>
      <c r="J296" s="10">
        <v>-282.61250000000001</v>
      </c>
      <c r="K296" s="11">
        <v>5.81</v>
      </c>
      <c r="L296" s="11">
        <v>8.49</v>
      </c>
      <c r="M296" s="9" t="s">
        <v>79</v>
      </c>
      <c r="N296" s="6" t="s">
        <v>173</v>
      </c>
      <c r="O296" s="6" t="s">
        <v>173</v>
      </c>
      <c r="P296" s="9" t="s">
        <v>41</v>
      </c>
      <c r="Q296" s="9" t="s">
        <v>26</v>
      </c>
      <c r="R296" s="9" t="s">
        <v>37</v>
      </c>
      <c r="S296" s="7" t="s">
        <v>213</v>
      </c>
      <c r="T296" s="9" t="s">
        <v>39</v>
      </c>
      <c r="U296" s="7">
        <v>0.39</v>
      </c>
      <c r="V296" s="12">
        <f>C296+1</f>
        <v>39830</v>
      </c>
      <c r="W296">
        <f>IF(D296=' Pivot Tables'!$A$4,1,0)</f>
        <v>0</v>
      </c>
      <c r="X296">
        <f>IF(AND(LEFT(D296,4)+1=LEFT(' Pivot Tables'!$A$4,4)+0,RIGHT(LEFT(D296,7),2)=RIGHT(LEFT(' Pivot Tables'!$A$4,7),2)),1,0)</f>
        <v>1</v>
      </c>
      <c r="Y296" s="6">
        <f>1/COUNTIF(Таблица1[Order ID],Таблица1[[#This Row],[Order ID]])</f>
        <v>0.5</v>
      </c>
      <c r="Z296" s="9">
        <f>1/COUNTIFS(Таблица1[Customer Name],Таблица1[[#This Row],[Customer Name]],Таблица1[Order-Year-Month],Таблица1[[#This Row],[Order-Year-Month]])</f>
        <v>0.5</v>
      </c>
    </row>
    <row r="297" spans="1:26" x14ac:dyDescent="0.2">
      <c r="A297" s="6">
        <v>4460</v>
      </c>
      <c r="B297" s="7">
        <v>31781</v>
      </c>
      <c r="C297" s="8">
        <f>DATE(2012,12,31)-1445</f>
        <v>39829</v>
      </c>
      <c r="D297" s="8" t="str">
        <f t="shared" si="4"/>
        <v>2009-01 (январь 2009)</v>
      </c>
      <c r="E297" s="9" t="s">
        <v>63</v>
      </c>
      <c r="F297" s="7">
        <v>41</v>
      </c>
      <c r="G297" s="7">
        <v>78.489999999999995</v>
      </c>
      <c r="H297" s="7">
        <v>0.03</v>
      </c>
      <c r="I297" s="9" t="s">
        <v>22</v>
      </c>
      <c r="J297" s="10">
        <v>5.53</v>
      </c>
      <c r="K297" s="11">
        <v>1.81</v>
      </c>
      <c r="L297" s="11">
        <v>0.75</v>
      </c>
      <c r="M297" s="9" t="s">
        <v>79</v>
      </c>
      <c r="N297" s="6" t="s">
        <v>173</v>
      </c>
      <c r="O297" s="6" t="s">
        <v>173</v>
      </c>
      <c r="P297" s="9" t="s">
        <v>41</v>
      </c>
      <c r="Q297" s="9" t="s">
        <v>26</v>
      </c>
      <c r="R297" s="9" t="s">
        <v>66</v>
      </c>
      <c r="S297" s="7" t="s">
        <v>384</v>
      </c>
      <c r="T297" s="9" t="s">
        <v>68</v>
      </c>
      <c r="U297" s="7">
        <v>0.52</v>
      </c>
      <c r="V297" s="12">
        <f>C297+1</f>
        <v>39830</v>
      </c>
      <c r="W297">
        <f>IF(D297=' Pivot Tables'!$A$4,1,0)</f>
        <v>0</v>
      </c>
      <c r="X297">
        <f>IF(AND(LEFT(D297,4)+1=LEFT(' Pivot Tables'!$A$4,4)+0,RIGHT(LEFT(D297,7),2)=RIGHT(LEFT(' Pivot Tables'!$A$4,7),2)),1,0)</f>
        <v>1</v>
      </c>
      <c r="Y297" s="6">
        <f>1/COUNTIF(Таблица1[Order ID],Таблица1[[#This Row],[Order ID]])</f>
        <v>0.5</v>
      </c>
      <c r="Z297" s="9">
        <f>1/COUNTIFS(Таблица1[Customer Name],Таблица1[[#This Row],[Customer Name]],Таблица1[Order-Year-Month],Таблица1[[#This Row],[Order-Year-Month]])</f>
        <v>0.5</v>
      </c>
    </row>
    <row r="298" spans="1:26" x14ac:dyDescent="0.2">
      <c r="A298" s="6">
        <v>4524</v>
      </c>
      <c r="B298" s="7">
        <v>32193</v>
      </c>
      <c r="C298" s="8">
        <f>DATE(2012,12,31)-803</f>
        <v>40471</v>
      </c>
      <c r="D298" s="8" t="str">
        <f t="shared" si="4"/>
        <v>2010-10 (октябрь 2010)</v>
      </c>
      <c r="E298" s="9" t="s">
        <v>21</v>
      </c>
      <c r="F298" s="7">
        <v>4</v>
      </c>
      <c r="G298" s="7">
        <v>40.72</v>
      </c>
      <c r="H298" s="7">
        <v>0.1</v>
      </c>
      <c r="I298" s="9" t="s">
        <v>56</v>
      </c>
      <c r="J298" s="10">
        <v>-10.25</v>
      </c>
      <c r="K298" s="11">
        <v>6.68</v>
      </c>
      <c r="L298" s="11">
        <v>6.93</v>
      </c>
      <c r="M298" s="9" t="s">
        <v>281</v>
      </c>
      <c r="N298" s="6" t="s">
        <v>173</v>
      </c>
      <c r="O298" s="6" t="s">
        <v>173</v>
      </c>
      <c r="P298" s="9" t="s">
        <v>25</v>
      </c>
      <c r="Q298" s="9" t="s">
        <v>26</v>
      </c>
      <c r="R298" s="9" t="s">
        <v>61</v>
      </c>
      <c r="S298" s="7" t="s">
        <v>385</v>
      </c>
      <c r="T298" s="9" t="s">
        <v>39</v>
      </c>
      <c r="U298" s="7">
        <v>0.37</v>
      </c>
      <c r="V298" s="12">
        <f>C298+2</f>
        <v>40473</v>
      </c>
      <c r="W298">
        <f>IF(D298=' Pivot Tables'!$A$4,1,0)</f>
        <v>0</v>
      </c>
      <c r="X298">
        <f>IF(AND(LEFT(D298,4)+1=LEFT(' Pivot Tables'!$A$4,4)+0,RIGHT(LEFT(D298,7),2)=RIGHT(LEFT(' Pivot Tables'!$A$4,7),2)),1,0)</f>
        <v>0</v>
      </c>
      <c r="Y298" s="6">
        <f>1/COUNTIF(Таблица1[Order ID],Таблица1[[#This Row],[Order ID]])</f>
        <v>0.5</v>
      </c>
      <c r="Z298" s="9">
        <f>1/COUNTIFS(Таблица1[Customer Name],Таблица1[[#This Row],[Customer Name]],Таблица1[Order-Year-Month],Таблица1[[#This Row],[Order-Year-Month]])</f>
        <v>0.5</v>
      </c>
    </row>
    <row r="299" spans="1:26" x14ac:dyDescent="0.2">
      <c r="A299" s="6">
        <v>4525</v>
      </c>
      <c r="B299" s="7">
        <v>32193</v>
      </c>
      <c r="C299" s="8">
        <f>DATE(2012,12,31)-803</f>
        <v>40471</v>
      </c>
      <c r="D299" s="8" t="str">
        <f t="shared" si="4"/>
        <v>2010-10 (октябрь 2010)</v>
      </c>
      <c r="E299" s="9" t="s">
        <v>21</v>
      </c>
      <c r="F299" s="7">
        <v>27</v>
      </c>
      <c r="G299" s="7">
        <v>113.3</v>
      </c>
      <c r="H299" s="7">
        <v>0.02</v>
      </c>
      <c r="I299" s="9" t="s">
        <v>22</v>
      </c>
      <c r="J299" s="10">
        <v>37.33</v>
      </c>
      <c r="K299" s="11">
        <v>3.93</v>
      </c>
      <c r="L299" s="11">
        <v>0.99</v>
      </c>
      <c r="M299" s="9" t="s">
        <v>281</v>
      </c>
      <c r="N299" s="6" t="s">
        <v>173</v>
      </c>
      <c r="O299" s="6" t="s">
        <v>173</v>
      </c>
      <c r="P299" s="9" t="s">
        <v>25</v>
      </c>
      <c r="Q299" s="9" t="s">
        <v>26</v>
      </c>
      <c r="R299" s="9" t="s">
        <v>66</v>
      </c>
      <c r="S299" s="7" t="s">
        <v>386</v>
      </c>
      <c r="T299" s="9" t="s">
        <v>68</v>
      </c>
      <c r="U299" s="7">
        <v>0.39</v>
      </c>
      <c r="V299" s="12">
        <f>C299+5</f>
        <v>40476</v>
      </c>
      <c r="W299">
        <f>IF(D299=' Pivot Tables'!$A$4,1,0)</f>
        <v>0</v>
      </c>
      <c r="X299">
        <f>IF(AND(LEFT(D299,4)+1=LEFT(' Pivot Tables'!$A$4,4)+0,RIGHT(LEFT(D299,7),2)=RIGHT(LEFT(' Pivot Tables'!$A$4,7),2)),1,0)</f>
        <v>0</v>
      </c>
      <c r="Y299" s="6">
        <f>1/COUNTIF(Таблица1[Order ID],Таблица1[[#This Row],[Order ID]])</f>
        <v>0.5</v>
      </c>
      <c r="Z299" s="9">
        <f>1/COUNTIFS(Таблица1[Customer Name],Таблица1[[#This Row],[Customer Name]],Таблица1[Order-Year-Month],Таблица1[[#This Row],[Order-Year-Month]])</f>
        <v>0.5</v>
      </c>
    </row>
    <row r="300" spans="1:26" x14ac:dyDescent="0.2">
      <c r="A300" s="6">
        <v>4532</v>
      </c>
      <c r="B300" s="7">
        <v>32229</v>
      </c>
      <c r="C300" s="8">
        <f>DATE(2012,12,31)-854</f>
        <v>40420</v>
      </c>
      <c r="D300" s="8" t="str">
        <f t="shared" si="4"/>
        <v>2010-08 (август 2010)</v>
      </c>
      <c r="E300" s="9" t="s">
        <v>30</v>
      </c>
      <c r="F300" s="7">
        <v>8</v>
      </c>
      <c r="G300" s="7">
        <v>1219.19</v>
      </c>
      <c r="H300" s="7">
        <v>0.02</v>
      </c>
      <c r="I300" s="9" t="s">
        <v>22</v>
      </c>
      <c r="J300" s="10">
        <v>44.369999999999948</v>
      </c>
      <c r="K300" s="11">
        <v>150.97999999999999</v>
      </c>
      <c r="L300" s="11">
        <v>13.99</v>
      </c>
      <c r="M300" s="9" t="s">
        <v>69</v>
      </c>
      <c r="N300" s="6" t="s">
        <v>173</v>
      </c>
      <c r="O300" s="6" t="s">
        <v>173</v>
      </c>
      <c r="P300" s="9" t="s">
        <v>41</v>
      </c>
      <c r="Q300" s="9" t="s">
        <v>42</v>
      </c>
      <c r="R300" s="9" t="s">
        <v>210</v>
      </c>
      <c r="S300" s="7" t="s">
        <v>341</v>
      </c>
      <c r="T300" s="9" t="s">
        <v>48</v>
      </c>
      <c r="U300" s="7">
        <v>0.38</v>
      </c>
      <c r="V300" s="12">
        <f>C300+0</f>
        <v>40420</v>
      </c>
      <c r="W300">
        <f>IF(D300=' Pivot Tables'!$A$4,1,0)</f>
        <v>0</v>
      </c>
      <c r="X300">
        <f>IF(AND(LEFT(D300,4)+1=LEFT(' Pivot Tables'!$A$4,4)+0,RIGHT(LEFT(D300,7),2)=RIGHT(LEFT(' Pivot Tables'!$A$4,7),2)),1,0)</f>
        <v>0</v>
      </c>
      <c r="Y300" s="6">
        <f>1/COUNTIF(Таблица1[Order ID],Таблица1[[#This Row],[Order ID]])</f>
        <v>0.5</v>
      </c>
      <c r="Z300" s="9">
        <f>1/COUNTIFS(Таблица1[Customer Name],Таблица1[[#This Row],[Customer Name]],Таблица1[Order-Year-Month],Таблица1[[#This Row],[Order-Year-Month]])</f>
        <v>0.5</v>
      </c>
    </row>
    <row r="301" spans="1:26" x14ac:dyDescent="0.2">
      <c r="A301" s="6">
        <v>4533</v>
      </c>
      <c r="B301" s="7">
        <v>32229</v>
      </c>
      <c r="C301" s="8">
        <f>DATE(2012,12,31)-854</f>
        <v>40420</v>
      </c>
      <c r="D301" s="8" t="str">
        <f t="shared" si="4"/>
        <v>2010-08 (август 2010)</v>
      </c>
      <c r="E301" s="9" t="s">
        <v>30</v>
      </c>
      <c r="F301" s="7">
        <v>15</v>
      </c>
      <c r="G301" s="7">
        <v>28.68</v>
      </c>
      <c r="H301" s="7">
        <v>0</v>
      </c>
      <c r="I301" s="9" t="s">
        <v>22</v>
      </c>
      <c r="J301" s="10">
        <v>-0.12</v>
      </c>
      <c r="K301" s="11">
        <v>1.76</v>
      </c>
      <c r="L301" s="11">
        <v>0.7</v>
      </c>
      <c r="M301" s="9" t="s">
        <v>69</v>
      </c>
      <c r="N301" s="6" t="s">
        <v>173</v>
      </c>
      <c r="O301" s="6" t="s">
        <v>173</v>
      </c>
      <c r="P301" s="9" t="s">
        <v>41</v>
      </c>
      <c r="Q301" s="9" t="s">
        <v>26</v>
      </c>
      <c r="R301" s="9" t="s">
        <v>95</v>
      </c>
      <c r="S301" s="7" t="s">
        <v>387</v>
      </c>
      <c r="T301" s="9" t="s">
        <v>68</v>
      </c>
      <c r="U301" s="7">
        <v>0.56000000000000005</v>
      </c>
      <c r="V301" s="12">
        <f>C301+1</f>
        <v>40421</v>
      </c>
      <c r="W301">
        <f>IF(D301=' Pivot Tables'!$A$4,1,0)</f>
        <v>0</v>
      </c>
      <c r="X301">
        <f>IF(AND(LEFT(D301,4)+1=LEFT(' Pivot Tables'!$A$4,4)+0,RIGHT(LEFT(D301,7),2)=RIGHT(LEFT(' Pivot Tables'!$A$4,7),2)),1,0)</f>
        <v>0</v>
      </c>
      <c r="Y301" s="6">
        <f>1/COUNTIF(Таблица1[Order ID],Таблица1[[#This Row],[Order ID]])</f>
        <v>0.5</v>
      </c>
      <c r="Z301" s="9">
        <f>1/COUNTIFS(Таблица1[Customer Name],Таблица1[[#This Row],[Customer Name]],Таблица1[Order-Year-Month],Таблица1[[#This Row],[Order-Year-Month]])</f>
        <v>0.5</v>
      </c>
    </row>
    <row r="302" spans="1:26" x14ac:dyDescent="0.2">
      <c r="A302" s="6">
        <v>4599</v>
      </c>
      <c r="B302" s="7">
        <v>32743</v>
      </c>
      <c r="C302" s="8">
        <f>DATE(2012,12,31)-969</f>
        <v>40305</v>
      </c>
      <c r="D302" s="8" t="str">
        <f t="shared" si="4"/>
        <v>2010-05 (май 2010)</v>
      </c>
      <c r="E302" s="9" t="s">
        <v>78</v>
      </c>
      <c r="F302" s="7">
        <v>19</v>
      </c>
      <c r="G302" s="7">
        <v>3548.67</v>
      </c>
      <c r="H302" s="7">
        <v>0.01</v>
      </c>
      <c r="I302" s="9" t="s">
        <v>22</v>
      </c>
      <c r="J302" s="10">
        <v>1280.19</v>
      </c>
      <c r="K302" s="11">
        <v>177.98</v>
      </c>
      <c r="L302" s="11">
        <v>0.99</v>
      </c>
      <c r="M302" s="9" t="s">
        <v>102</v>
      </c>
      <c r="N302" s="6" t="s">
        <v>173</v>
      </c>
      <c r="O302" s="6" t="s">
        <v>173</v>
      </c>
      <c r="P302" s="9" t="s">
        <v>41</v>
      </c>
      <c r="Q302" s="9" t="s">
        <v>26</v>
      </c>
      <c r="R302" s="9" t="s">
        <v>34</v>
      </c>
      <c r="S302" s="7" t="s">
        <v>388</v>
      </c>
      <c r="T302" s="9" t="s">
        <v>39</v>
      </c>
      <c r="U302" s="7">
        <v>0.56000000000000005</v>
      </c>
      <c r="V302" s="12">
        <f>C302+2</f>
        <v>40307</v>
      </c>
      <c r="W302">
        <f>IF(D302=' Pivot Tables'!$A$4,1,0)</f>
        <v>0</v>
      </c>
      <c r="X302">
        <f>IF(AND(LEFT(D302,4)+1=LEFT(' Pivot Tables'!$A$4,4)+0,RIGHT(LEFT(D302,7),2)=RIGHT(LEFT(' Pivot Tables'!$A$4,7),2)),1,0)</f>
        <v>0</v>
      </c>
      <c r="Y302" s="6">
        <f>1/COUNTIF(Таблица1[Order ID],Таблица1[[#This Row],[Order ID]])</f>
        <v>1</v>
      </c>
      <c r="Z302" s="9">
        <f>1/COUNTIFS(Таблица1[Customer Name],Таблица1[[#This Row],[Customer Name]],Таблица1[Order-Year-Month],Таблица1[[#This Row],[Order-Year-Month]])</f>
        <v>1</v>
      </c>
    </row>
    <row r="303" spans="1:26" x14ac:dyDescent="0.2">
      <c r="A303" s="6">
        <v>4607</v>
      </c>
      <c r="B303" s="7">
        <v>32806</v>
      </c>
      <c r="C303" s="8">
        <f>DATE(2012,12,31)-559</f>
        <v>40715</v>
      </c>
      <c r="D303" s="8" t="str">
        <f t="shared" si="4"/>
        <v>2011-06 (июнь 2011)</v>
      </c>
      <c r="E303" s="9" t="s">
        <v>78</v>
      </c>
      <c r="F303" s="7">
        <v>8</v>
      </c>
      <c r="G303" s="7">
        <v>178.78</v>
      </c>
      <c r="H303" s="7">
        <v>0.02</v>
      </c>
      <c r="I303" s="9" t="s">
        <v>22</v>
      </c>
      <c r="J303" s="10">
        <v>-28.34</v>
      </c>
      <c r="K303" s="11">
        <v>20.239999999999998</v>
      </c>
      <c r="L303" s="11">
        <v>8.99</v>
      </c>
      <c r="M303" s="9" t="s">
        <v>111</v>
      </c>
      <c r="N303" s="6" t="s">
        <v>173</v>
      </c>
      <c r="O303" s="6" t="s">
        <v>173</v>
      </c>
      <c r="P303" s="9" t="s">
        <v>60</v>
      </c>
      <c r="Q303" s="9" t="s">
        <v>49</v>
      </c>
      <c r="R303" s="9" t="s">
        <v>50</v>
      </c>
      <c r="S303" s="7" t="s">
        <v>389</v>
      </c>
      <c r="T303" s="9" t="s">
        <v>52</v>
      </c>
      <c r="U303" s="7">
        <v>0.46</v>
      </c>
      <c r="V303" s="12">
        <f>C303+1</f>
        <v>40716</v>
      </c>
      <c r="W303">
        <f>IF(D303=' Pivot Tables'!$A$4,1,0)</f>
        <v>0</v>
      </c>
      <c r="X303">
        <f>IF(AND(LEFT(D303,4)+1=LEFT(' Pivot Tables'!$A$4,4)+0,RIGHT(LEFT(D303,7),2)=RIGHT(LEFT(' Pivot Tables'!$A$4,7),2)),1,0)</f>
        <v>0</v>
      </c>
      <c r="Y303" s="6">
        <f>1/COUNTIF(Таблица1[Order ID],Таблица1[[#This Row],[Order ID]])</f>
        <v>0.33333333333333331</v>
      </c>
      <c r="Z303" s="9">
        <f>1/COUNTIFS(Таблица1[Customer Name],Таблица1[[#This Row],[Customer Name]],Таблица1[Order-Year-Month],Таблица1[[#This Row],[Order-Year-Month]])</f>
        <v>0.5</v>
      </c>
    </row>
    <row r="304" spans="1:26" x14ac:dyDescent="0.2">
      <c r="A304" s="6">
        <v>4651</v>
      </c>
      <c r="B304" s="7">
        <v>33123</v>
      </c>
      <c r="C304" s="8">
        <f>DATE(2012,12,31)-768</f>
        <v>40506</v>
      </c>
      <c r="D304" s="8" t="str">
        <f t="shared" si="4"/>
        <v>2010-11 (ноябрь 2010)</v>
      </c>
      <c r="E304" s="9" t="s">
        <v>63</v>
      </c>
      <c r="F304" s="7">
        <v>41</v>
      </c>
      <c r="G304" s="7">
        <v>6045.98</v>
      </c>
      <c r="H304" s="7">
        <v>0.08</v>
      </c>
      <c r="I304" s="9" t="s">
        <v>31</v>
      </c>
      <c r="J304" s="10">
        <v>-996.67</v>
      </c>
      <c r="K304" s="11">
        <v>150.97999999999999</v>
      </c>
      <c r="L304" s="11">
        <v>66.27</v>
      </c>
      <c r="M304" s="9" t="s">
        <v>347</v>
      </c>
      <c r="N304" s="6" t="s">
        <v>173</v>
      </c>
      <c r="O304" s="6" t="s">
        <v>173</v>
      </c>
      <c r="P304" s="9" t="s">
        <v>41</v>
      </c>
      <c r="Q304" s="9" t="s">
        <v>49</v>
      </c>
      <c r="R304" s="9" t="s">
        <v>80</v>
      </c>
      <c r="S304" s="7" t="s">
        <v>325</v>
      </c>
      <c r="T304" s="9" t="s">
        <v>82</v>
      </c>
      <c r="U304" s="7">
        <v>0.65</v>
      </c>
      <c r="V304" s="12">
        <f>C304+2</f>
        <v>40508</v>
      </c>
      <c r="W304">
        <f>IF(D304=' Pivot Tables'!$A$4,1,0)</f>
        <v>0</v>
      </c>
      <c r="X304">
        <f>IF(AND(LEFT(D304,4)+1=LEFT(' Pivot Tables'!$A$4,4)+0,RIGHT(LEFT(D304,7),2)=RIGHT(LEFT(' Pivot Tables'!$A$4,7),2)),1,0)</f>
        <v>0</v>
      </c>
      <c r="Y304" s="6">
        <f>1/COUNTIF(Таблица1[Order ID],Таблица1[[#This Row],[Order ID]])</f>
        <v>1</v>
      </c>
      <c r="Z304" s="9">
        <f>1/COUNTIFS(Таблица1[Customer Name],Таблица1[[#This Row],[Customer Name]],Таблица1[Order-Year-Month],Таблица1[[#This Row],[Order-Year-Month]])</f>
        <v>1</v>
      </c>
    </row>
    <row r="305" spans="1:26" x14ac:dyDescent="0.2">
      <c r="A305" s="6">
        <v>4656</v>
      </c>
      <c r="B305" s="7">
        <v>33159</v>
      </c>
      <c r="C305" s="8">
        <f>DATE(2012,12,31)-248</f>
        <v>41026</v>
      </c>
      <c r="D305" s="8" t="str">
        <f t="shared" si="4"/>
        <v>2012-04 (апрель 2012)</v>
      </c>
      <c r="E305" s="9" t="s">
        <v>63</v>
      </c>
      <c r="F305" s="7">
        <v>3</v>
      </c>
      <c r="G305" s="7">
        <v>56.695</v>
      </c>
      <c r="H305" s="7">
        <v>0.01</v>
      </c>
      <c r="I305" s="9" t="s">
        <v>22</v>
      </c>
      <c r="J305" s="10">
        <v>-70.971999999999994</v>
      </c>
      <c r="K305" s="11">
        <v>20.99</v>
      </c>
      <c r="L305" s="11">
        <v>0.99</v>
      </c>
      <c r="M305" s="9" t="s">
        <v>360</v>
      </c>
      <c r="N305" s="6" t="s">
        <v>173</v>
      </c>
      <c r="O305" s="6" t="s">
        <v>173</v>
      </c>
      <c r="P305" s="9" t="s">
        <v>41</v>
      </c>
      <c r="Q305" s="9" t="s">
        <v>42</v>
      </c>
      <c r="R305" s="9" t="s">
        <v>43</v>
      </c>
      <c r="S305" s="7" t="s">
        <v>272</v>
      </c>
      <c r="T305" s="9" t="s">
        <v>68</v>
      </c>
      <c r="U305" s="7">
        <v>0.37</v>
      </c>
      <c r="V305" s="12">
        <f>C305+2</f>
        <v>41028</v>
      </c>
      <c r="W305">
        <f>IF(D305=' Pivot Tables'!$A$4,1,0)</f>
        <v>0</v>
      </c>
      <c r="X305">
        <f>IF(AND(LEFT(D305,4)+1=LEFT(' Pivot Tables'!$A$4,4)+0,RIGHT(LEFT(D305,7),2)=RIGHT(LEFT(' Pivot Tables'!$A$4,7),2)),1,0)</f>
        <v>0</v>
      </c>
      <c r="Y305" s="6">
        <f>1/COUNTIF(Таблица1[Order ID],Таблица1[[#This Row],[Order ID]])</f>
        <v>1</v>
      </c>
      <c r="Z305" s="9">
        <f>1/COUNTIFS(Таблица1[Customer Name],Таблица1[[#This Row],[Customer Name]],Таблица1[Order-Year-Month],Таблица1[[#This Row],[Order-Year-Month]])</f>
        <v>1</v>
      </c>
    </row>
    <row r="306" spans="1:26" x14ac:dyDescent="0.2">
      <c r="A306" s="6">
        <v>4659</v>
      </c>
      <c r="B306" s="7">
        <v>33186</v>
      </c>
      <c r="C306" s="8">
        <f>DATE(2012,12,31)-125</f>
        <v>41149</v>
      </c>
      <c r="D306" s="8" t="str">
        <f t="shared" si="4"/>
        <v>2012-08 (август 2012)</v>
      </c>
      <c r="E306" s="9" t="s">
        <v>21</v>
      </c>
      <c r="F306" s="7">
        <v>24</v>
      </c>
      <c r="G306" s="7">
        <v>1350.5309999999999</v>
      </c>
      <c r="H306" s="7">
        <v>0.01</v>
      </c>
      <c r="I306" s="9" t="s">
        <v>22</v>
      </c>
      <c r="J306" s="10">
        <v>221.184</v>
      </c>
      <c r="K306" s="11">
        <v>65.989999999999995</v>
      </c>
      <c r="L306" s="11">
        <v>5.26</v>
      </c>
      <c r="M306" s="9" t="s">
        <v>133</v>
      </c>
      <c r="N306" s="6" t="s">
        <v>173</v>
      </c>
      <c r="O306" s="6" t="s">
        <v>173</v>
      </c>
      <c r="P306" s="9" t="s">
        <v>41</v>
      </c>
      <c r="Q306" s="9" t="s">
        <v>42</v>
      </c>
      <c r="R306" s="9" t="s">
        <v>43</v>
      </c>
      <c r="S306" s="7" t="s">
        <v>390</v>
      </c>
      <c r="T306" s="9" t="s">
        <v>39</v>
      </c>
      <c r="U306" s="7">
        <v>0.56000000000000005</v>
      </c>
      <c r="V306" s="12">
        <f>C306+2</f>
        <v>41151</v>
      </c>
      <c r="W306">
        <f>IF(D306=' Pivot Tables'!$A$4,1,0)</f>
        <v>0</v>
      </c>
      <c r="X306">
        <f>IF(AND(LEFT(D306,4)+1=LEFT(' Pivot Tables'!$A$4,4)+0,RIGHT(LEFT(D306,7),2)=RIGHT(LEFT(' Pivot Tables'!$A$4,7),2)),1,0)</f>
        <v>0</v>
      </c>
      <c r="Y306" s="6">
        <f>1/COUNTIF(Таблица1[Order ID],Таблица1[[#This Row],[Order ID]])</f>
        <v>1</v>
      </c>
      <c r="Z306" s="9">
        <f>1/COUNTIFS(Таблица1[Customer Name],Таблица1[[#This Row],[Customer Name]],Таблица1[Order-Year-Month],Таблица1[[#This Row],[Order-Year-Month]])</f>
        <v>1</v>
      </c>
    </row>
    <row r="307" spans="1:26" x14ac:dyDescent="0.2">
      <c r="A307" s="6">
        <v>4687</v>
      </c>
      <c r="B307" s="7">
        <v>33377</v>
      </c>
      <c r="C307" s="8">
        <f>DATE(2012,12,31)-519</f>
        <v>40755</v>
      </c>
      <c r="D307" s="8" t="str">
        <f t="shared" si="4"/>
        <v>2011-07 (июль 2011)</v>
      </c>
      <c r="E307" s="9" t="s">
        <v>30</v>
      </c>
      <c r="F307" s="7">
        <v>20</v>
      </c>
      <c r="G307" s="7">
        <v>100.4</v>
      </c>
      <c r="H307" s="7">
        <v>0.06</v>
      </c>
      <c r="I307" s="9" t="s">
        <v>22</v>
      </c>
      <c r="J307" s="10">
        <v>11.94</v>
      </c>
      <c r="K307" s="11">
        <v>5.18</v>
      </c>
      <c r="L307" s="11">
        <v>2.04</v>
      </c>
      <c r="M307" s="9" t="s">
        <v>135</v>
      </c>
      <c r="N307" s="6" t="s">
        <v>173</v>
      </c>
      <c r="O307" s="6" t="s">
        <v>173</v>
      </c>
      <c r="P307" s="9" t="s">
        <v>41</v>
      </c>
      <c r="Q307" s="9" t="s">
        <v>26</v>
      </c>
      <c r="R307" s="9" t="s">
        <v>61</v>
      </c>
      <c r="S307" s="7" t="s">
        <v>391</v>
      </c>
      <c r="T307" s="9" t="s">
        <v>68</v>
      </c>
      <c r="U307" s="7">
        <v>0.36</v>
      </c>
      <c r="V307" s="12">
        <f>C307+2</f>
        <v>40757</v>
      </c>
      <c r="W307">
        <f>IF(D307=' Pivot Tables'!$A$4,1,0)</f>
        <v>0</v>
      </c>
      <c r="X307">
        <f>IF(AND(LEFT(D307,4)+1=LEFT(' Pivot Tables'!$A$4,4)+0,RIGHT(LEFT(D307,7),2)=RIGHT(LEFT(' Pivot Tables'!$A$4,7),2)),1,0)</f>
        <v>0</v>
      </c>
      <c r="Y307" s="6">
        <f>1/COUNTIF(Таблица1[Order ID],Таблица1[[#This Row],[Order ID]])</f>
        <v>0.5</v>
      </c>
      <c r="Z307" s="9">
        <f>1/COUNTIFS(Таблица1[Customer Name],Таблица1[[#This Row],[Customer Name]],Таблица1[Order-Year-Month],Таблица1[[#This Row],[Order-Year-Month]])</f>
        <v>0.33333333333333331</v>
      </c>
    </row>
    <row r="308" spans="1:26" x14ac:dyDescent="0.2">
      <c r="A308" s="6">
        <v>4688</v>
      </c>
      <c r="B308" s="7">
        <v>33377</v>
      </c>
      <c r="C308" s="8">
        <f>DATE(2012,12,31)-519</f>
        <v>40755</v>
      </c>
      <c r="D308" s="8" t="str">
        <f t="shared" si="4"/>
        <v>2011-07 (июль 2011)</v>
      </c>
      <c r="E308" s="9" t="s">
        <v>30</v>
      </c>
      <c r="F308" s="7">
        <v>19</v>
      </c>
      <c r="G308" s="7">
        <v>327.14999999999998</v>
      </c>
      <c r="H308" s="7">
        <v>0.04</v>
      </c>
      <c r="I308" s="9" t="s">
        <v>22</v>
      </c>
      <c r="J308" s="10">
        <v>47.3</v>
      </c>
      <c r="K308" s="11">
        <v>17.239999999999998</v>
      </c>
      <c r="L308" s="11">
        <v>3.26</v>
      </c>
      <c r="M308" s="9" t="s">
        <v>135</v>
      </c>
      <c r="N308" s="6" t="s">
        <v>173</v>
      </c>
      <c r="O308" s="6" t="s">
        <v>173</v>
      </c>
      <c r="P308" s="9" t="s">
        <v>41</v>
      </c>
      <c r="Q308" s="9" t="s">
        <v>26</v>
      </c>
      <c r="R308" s="9" t="s">
        <v>150</v>
      </c>
      <c r="S308" s="7" t="s">
        <v>392</v>
      </c>
      <c r="T308" s="9" t="s">
        <v>52</v>
      </c>
      <c r="U308" s="7">
        <v>0.56000000000000005</v>
      </c>
      <c r="V308" s="12">
        <f>C308+1</f>
        <v>40756</v>
      </c>
      <c r="W308">
        <f>IF(D308=' Pivot Tables'!$A$4,1,0)</f>
        <v>0</v>
      </c>
      <c r="X308">
        <f>IF(AND(LEFT(D308,4)+1=LEFT(' Pivot Tables'!$A$4,4)+0,RIGHT(LEFT(D308,7),2)=RIGHT(LEFT(' Pivot Tables'!$A$4,7),2)),1,0)</f>
        <v>0</v>
      </c>
      <c r="Y308" s="6">
        <f>1/COUNTIF(Таблица1[Order ID],Таблица1[[#This Row],[Order ID]])</f>
        <v>0.5</v>
      </c>
      <c r="Z308" s="9">
        <f>1/COUNTIFS(Таблица1[Customer Name],Таблица1[[#This Row],[Customer Name]],Таблица1[Order-Year-Month],Таблица1[[#This Row],[Order-Year-Month]])</f>
        <v>0.33333333333333331</v>
      </c>
    </row>
    <row r="309" spans="1:26" x14ac:dyDescent="0.2">
      <c r="A309" s="6">
        <v>4691</v>
      </c>
      <c r="B309" s="7">
        <v>33444</v>
      </c>
      <c r="C309" s="8">
        <f>DATE(2012,12,31)-86</f>
        <v>41188</v>
      </c>
      <c r="D309" s="8" t="str">
        <f t="shared" si="4"/>
        <v>2012-10 (октябрь 2012)</v>
      </c>
      <c r="E309" s="9" t="s">
        <v>63</v>
      </c>
      <c r="F309" s="7">
        <v>11</v>
      </c>
      <c r="G309" s="7">
        <v>30.51</v>
      </c>
      <c r="H309" s="7">
        <v>0.09</v>
      </c>
      <c r="I309" s="9" t="s">
        <v>22</v>
      </c>
      <c r="J309" s="10">
        <v>-17.68</v>
      </c>
      <c r="K309" s="11">
        <v>2.6</v>
      </c>
      <c r="L309" s="11">
        <v>2.4</v>
      </c>
      <c r="M309" s="9" t="s">
        <v>106</v>
      </c>
      <c r="N309" s="6" t="s">
        <v>173</v>
      </c>
      <c r="O309" s="6" t="s">
        <v>173</v>
      </c>
      <c r="P309" s="9" t="s">
        <v>41</v>
      </c>
      <c r="Q309" s="9" t="s">
        <v>26</v>
      </c>
      <c r="R309" s="9" t="s">
        <v>95</v>
      </c>
      <c r="S309" s="7" t="s">
        <v>393</v>
      </c>
      <c r="T309" s="9" t="s">
        <v>68</v>
      </c>
      <c r="U309" s="7">
        <v>0.57999999999999996</v>
      </c>
      <c r="V309" s="12">
        <f>C309+1</f>
        <v>41189</v>
      </c>
      <c r="W309">
        <f>IF(D309=' Pivot Tables'!$A$4,1,0)</f>
        <v>0</v>
      </c>
      <c r="X309">
        <f>IF(AND(LEFT(D309,4)+1=LEFT(' Pivot Tables'!$A$4,4)+0,RIGHT(LEFT(D309,7),2)=RIGHT(LEFT(' Pivot Tables'!$A$4,7),2)),1,0)</f>
        <v>0</v>
      </c>
      <c r="Y309" s="6">
        <f>1/COUNTIF(Таблица1[Order ID],Таблица1[[#This Row],[Order ID]])</f>
        <v>0.5</v>
      </c>
      <c r="Z309" s="9">
        <f>1/COUNTIFS(Таблица1[Customer Name],Таблица1[[#This Row],[Customer Name]],Таблица1[Order-Year-Month],Таблица1[[#This Row],[Order-Year-Month]])</f>
        <v>0.5</v>
      </c>
    </row>
    <row r="310" spans="1:26" x14ac:dyDescent="0.2">
      <c r="A310" s="6">
        <v>4692</v>
      </c>
      <c r="B310" s="7">
        <v>33444</v>
      </c>
      <c r="C310" s="8">
        <f>DATE(2012,12,31)-86</f>
        <v>41188</v>
      </c>
      <c r="D310" s="8" t="str">
        <f t="shared" si="4"/>
        <v>2012-10 (октябрь 2012)</v>
      </c>
      <c r="E310" s="9" t="s">
        <v>63</v>
      </c>
      <c r="F310" s="7">
        <v>8</v>
      </c>
      <c r="G310" s="7">
        <v>127.8</v>
      </c>
      <c r="H310" s="7">
        <v>7.0000000000000007E-2</v>
      </c>
      <c r="I310" s="9" t="s">
        <v>22</v>
      </c>
      <c r="J310" s="10">
        <v>-30.48</v>
      </c>
      <c r="K310" s="11">
        <v>14.97</v>
      </c>
      <c r="L310" s="11">
        <v>7.51</v>
      </c>
      <c r="M310" s="9" t="s">
        <v>106</v>
      </c>
      <c r="N310" s="6" t="s">
        <v>173</v>
      </c>
      <c r="O310" s="6" t="s">
        <v>173</v>
      </c>
      <c r="P310" s="9" t="s">
        <v>41</v>
      </c>
      <c r="Q310" s="9" t="s">
        <v>26</v>
      </c>
      <c r="R310" s="9" t="s">
        <v>27</v>
      </c>
      <c r="S310" s="7" t="s">
        <v>394</v>
      </c>
      <c r="T310" s="9" t="s">
        <v>39</v>
      </c>
      <c r="U310" s="7">
        <v>0.56999999999999995</v>
      </c>
      <c r="V310" s="12">
        <f>C310+2</f>
        <v>41190</v>
      </c>
      <c r="W310">
        <f>IF(D310=' Pivot Tables'!$A$4,1,0)</f>
        <v>0</v>
      </c>
      <c r="X310">
        <f>IF(AND(LEFT(D310,4)+1=LEFT(' Pivot Tables'!$A$4,4)+0,RIGHT(LEFT(D310,7),2)=RIGHT(LEFT(' Pivot Tables'!$A$4,7),2)),1,0)</f>
        <v>0</v>
      </c>
      <c r="Y310" s="6">
        <f>1/COUNTIF(Таблица1[Order ID],Таблица1[[#This Row],[Order ID]])</f>
        <v>0.5</v>
      </c>
      <c r="Z310" s="9">
        <f>1/COUNTIFS(Таблица1[Customer Name],Таблица1[[#This Row],[Customer Name]],Таблица1[Order-Year-Month],Таблица1[[#This Row],[Order-Year-Month]])</f>
        <v>0.5</v>
      </c>
    </row>
    <row r="311" spans="1:26" x14ac:dyDescent="0.2">
      <c r="A311" s="6">
        <v>4738</v>
      </c>
      <c r="B311" s="7">
        <v>33703</v>
      </c>
      <c r="C311" s="8">
        <f>DATE(2012,12,31)-1059</f>
        <v>40215</v>
      </c>
      <c r="D311" s="8" t="str">
        <f t="shared" si="4"/>
        <v>2010-02 (февраль 2010)</v>
      </c>
      <c r="E311" s="9" t="s">
        <v>45</v>
      </c>
      <c r="F311" s="7">
        <v>4</v>
      </c>
      <c r="G311" s="7">
        <v>242.36</v>
      </c>
      <c r="H311" s="7">
        <v>0.08</v>
      </c>
      <c r="I311" s="9" t="s">
        <v>22</v>
      </c>
      <c r="J311" s="10">
        <v>-131.47999999999999</v>
      </c>
      <c r="K311" s="11">
        <v>60.98</v>
      </c>
      <c r="L311" s="11">
        <v>1.99</v>
      </c>
      <c r="M311" s="9" t="s">
        <v>91</v>
      </c>
      <c r="N311" s="6" t="s">
        <v>173</v>
      </c>
      <c r="O311" s="6" t="s">
        <v>173</v>
      </c>
      <c r="P311" s="9" t="s">
        <v>41</v>
      </c>
      <c r="Q311" s="9" t="s">
        <v>42</v>
      </c>
      <c r="R311" s="9" t="s">
        <v>70</v>
      </c>
      <c r="S311" s="7" t="s">
        <v>395</v>
      </c>
      <c r="T311" s="9" t="s">
        <v>52</v>
      </c>
      <c r="U311" s="7">
        <v>0.5</v>
      </c>
      <c r="V311" s="12">
        <f>C311+1</f>
        <v>40216</v>
      </c>
      <c r="W311">
        <f>IF(D311=' Pivot Tables'!$A$4,1,0)</f>
        <v>0</v>
      </c>
      <c r="X311">
        <f>IF(AND(LEFT(D311,4)+1=LEFT(' Pivot Tables'!$A$4,4)+0,RIGHT(LEFT(D311,7),2)=RIGHT(LEFT(' Pivot Tables'!$A$4,7),2)),1,0)</f>
        <v>0</v>
      </c>
      <c r="Y311" s="6">
        <f>1/COUNTIF(Таблица1[Order ID],Таблица1[[#This Row],[Order ID]])</f>
        <v>0.33333333333333331</v>
      </c>
      <c r="Z311" s="9">
        <f>1/COUNTIFS(Таблица1[Customer Name],Таблица1[[#This Row],[Customer Name]],Таблица1[Order-Year-Month],Таблица1[[#This Row],[Order-Year-Month]])</f>
        <v>0.33333333333333331</v>
      </c>
    </row>
    <row r="312" spans="1:26" x14ac:dyDescent="0.2">
      <c r="A312" s="6">
        <v>4739</v>
      </c>
      <c r="B312" s="7">
        <v>33703</v>
      </c>
      <c r="C312" s="8">
        <f>DATE(2012,12,31)-1059</f>
        <v>40215</v>
      </c>
      <c r="D312" s="8" t="str">
        <f t="shared" si="4"/>
        <v>2010-02 (февраль 2010)</v>
      </c>
      <c r="E312" s="9" t="s">
        <v>45</v>
      </c>
      <c r="F312" s="7">
        <v>25</v>
      </c>
      <c r="G312" s="7">
        <v>802.19</v>
      </c>
      <c r="H312" s="7">
        <v>0</v>
      </c>
      <c r="I312" s="9" t="s">
        <v>22</v>
      </c>
      <c r="J312" s="10">
        <v>56.26</v>
      </c>
      <c r="K312" s="11">
        <v>29.74</v>
      </c>
      <c r="L312" s="11">
        <v>6.64</v>
      </c>
      <c r="M312" s="9" t="s">
        <v>91</v>
      </c>
      <c r="N312" s="6" t="s">
        <v>173</v>
      </c>
      <c r="O312" s="6" t="s">
        <v>173</v>
      </c>
      <c r="P312" s="9" t="s">
        <v>41</v>
      </c>
      <c r="Q312" s="9" t="s">
        <v>26</v>
      </c>
      <c r="R312" s="9" t="s">
        <v>27</v>
      </c>
      <c r="S312" s="7" t="s">
        <v>376</v>
      </c>
      <c r="T312" s="9" t="s">
        <v>39</v>
      </c>
      <c r="U312" s="7">
        <v>0.7</v>
      </c>
      <c r="V312" s="12">
        <f>C312+1</f>
        <v>40216</v>
      </c>
      <c r="W312">
        <f>IF(D312=' Pivot Tables'!$A$4,1,0)</f>
        <v>0</v>
      </c>
      <c r="X312">
        <f>IF(AND(LEFT(D312,4)+1=LEFT(' Pivot Tables'!$A$4,4)+0,RIGHT(LEFT(D312,7),2)=RIGHT(LEFT(' Pivot Tables'!$A$4,7),2)),1,0)</f>
        <v>0</v>
      </c>
      <c r="Y312" s="6">
        <f>1/COUNTIF(Таблица1[Order ID],Таблица1[[#This Row],[Order ID]])</f>
        <v>0.33333333333333331</v>
      </c>
      <c r="Z312" s="9">
        <f>1/COUNTIFS(Таблица1[Customer Name],Таблица1[[#This Row],[Customer Name]],Таблица1[Order-Year-Month],Таблица1[[#This Row],[Order-Year-Month]])</f>
        <v>0.33333333333333331</v>
      </c>
    </row>
    <row r="313" spans="1:26" x14ac:dyDescent="0.2">
      <c r="A313" s="6">
        <v>4740</v>
      </c>
      <c r="B313" s="7">
        <v>33703</v>
      </c>
      <c r="C313" s="8">
        <f>DATE(2012,12,31)-1059</f>
        <v>40215</v>
      </c>
      <c r="D313" s="8" t="str">
        <f t="shared" si="4"/>
        <v>2010-02 (февраль 2010)</v>
      </c>
      <c r="E313" s="9" t="s">
        <v>45</v>
      </c>
      <c r="F313" s="7">
        <v>4</v>
      </c>
      <c r="G313" s="7">
        <v>63.52</v>
      </c>
      <c r="H313" s="7">
        <v>0.08</v>
      </c>
      <c r="I313" s="9" t="s">
        <v>56</v>
      </c>
      <c r="J313" s="10">
        <v>-8.4700000000000006</v>
      </c>
      <c r="K313" s="11">
        <v>12.21</v>
      </c>
      <c r="L313" s="11">
        <v>4.8099999999999996</v>
      </c>
      <c r="M313" s="9" t="s">
        <v>91</v>
      </c>
      <c r="N313" s="6" t="s">
        <v>173</v>
      </c>
      <c r="O313" s="6" t="s">
        <v>173</v>
      </c>
      <c r="P313" s="9" t="s">
        <v>41</v>
      </c>
      <c r="Q313" s="9" t="s">
        <v>26</v>
      </c>
      <c r="R313" s="9" t="s">
        <v>27</v>
      </c>
      <c r="S313" s="7" t="s">
        <v>396</v>
      </c>
      <c r="T313" s="9" t="s">
        <v>39</v>
      </c>
      <c r="U313" s="7">
        <v>0.57999999999999996</v>
      </c>
      <c r="V313" s="12">
        <f>C313+2</f>
        <v>40217</v>
      </c>
      <c r="W313">
        <f>IF(D313=' Pivot Tables'!$A$4,1,0)</f>
        <v>0</v>
      </c>
      <c r="X313">
        <f>IF(AND(LEFT(D313,4)+1=LEFT(' Pivot Tables'!$A$4,4)+0,RIGHT(LEFT(D313,7),2)=RIGHT(LEFT(' Pivot Tables'!$A$4,7),2)),1,0)</f>
        <v>0</v>
      </c>
      <c r="Y313" s="6">
        <f>1/COUNTIF(Таблица1[Order ID],Таблица1[[#This Row],[Order ID]])</f>
        <v>0.33333333333333331</v>
      </c>
      <c r="Z313" s="9">
        <f>1/COUNTIFS(Таблица1[Customer Name],Таблица1[[#This Row],[Customer Name]],Таблица1[Order-Year-Month],Таблица1[[#This Row],[Order-Year-Month]])</f>
        <v>0.33333333333333331</v>
      </c>
    </row>
    <row r="314" spans="1:26" x14ac:dyDescent="0.2">
      <c r="A314" s="6">
        <v>4746</v>
      </c>
      <c r="B314" s="7">
        <v>33734</v>
      </c>
      <c r="C314" s="8">
        <f>DATE(2012,12,31)-441</f>
        <v>40833</v>
      </c>
      <c r="D314" s="8" t="str">
        <f t="shared" si="4"/>
        <v>2011-10 (октябрь 2011)</v>
      </c>
      <c r="E314" s="9" t="s">
        <v>45</v>
      </c>
      <c r="F314" s="7">
        <v>13</v>
      </c>
      <c r="G314" s="7">
        <v>371.94</v>
      </c>
      <c r="H314" s="7">
        <v>0.05</v>
      </c>
      <c r="I314" s="9" t="s">
        <v>22</v>
      </c>
      <c r="J314" s="10">
        <v>106.53</v>
      </c>
      <c r="K314" s="11">
        <v>29.14</v>
      </c>
      <c r="L314" s="11">
        <v>4.8600000000000003</v>
      </c>
      <c r="M314" s="9" t="s">
        <v>194</v>
      </c>
      <c r="N314" s="6" t="s">
        <v>173</v>
      </c>
      <c r="O314" s="6" t="s">
        <v>173</v>
      </c>
      <c r="P314" s="9" t="s">
        <v>41</v>
      </c>
      <c r="Q314" s="9" t="s">
        <v>26</v>
      </c>
      <c r="R314" s="9" t="s">
        <v>61</v>
      </c>
      <c r="S314" s="7" t="s">
        <v>397</v>
      </c>
      <c r="T314" s="9" t="s">
        <v>68</v>
      </c>
      <c r="U314" s="7">
        <v>0.38</v>
      </c>
      <c r="V314" s="12">
        <f>C314+1</f>
        <v>40834</v>
      </c>
      <c r="W314">
        <f>IF(D314=' Pivot Tables'!$A$4,1,0)</f>
        <v>0</v>
      </c>
      <c r="X314">
        <f>IF(AND(LEFT(D314,4)+1=LEFT(' Pivot Tables'!$A$4,4)+0,RIGHT(LEFT(D314,7),2)=RIGHT(LEFT(' Pivot Tables'!$A$4,7),2)),1,0)</f>
        <v>0</v>
      </c>
      <c r="Y314" s="6">
        <f>1/COUNTIF(Таблица1[Order ID],Таблица1[[#This Row],[Order ID]])</f>
        <v>1</v>
      </c>
      <c r="Z314" s="9">
        <f>1/COUNTIFS(Таблица1[Customer Name],Таблица1[[#This Row],[Customer Name]],Таблица1[Order-Year-Month],Таблица1[[#This Row],[Order-Year-Month]])</f>
        <v>1</v>
      </c>
    </row>
    <row r="315" spans="1:26" x14ac:dyDescent="0.2">
      <c r="A315" s="6">
        <v>4763</v>
      </c>
      <c r="B315" s="7">
        <v>33888</v>
      </c>
      <c r="C315" s="8">
        <f>DATE(2012,12,31)-1229</f>
        <v>40045</v>
      </c>
      <c r="D315" s="8" t="str">
        <f t="shared" si="4"/>
        <v>2009-08 (август 2009)</v>
      </c>
      <c r="E315" s="9" t="s">
        <v>45</v>
      </c>
      <c r="F315" s="7">
        <v>31</v>
      </c>
      <c r="G315" s="7">
        <v>349.43</v>
      </c>
      <c r="H315" s="7">
        <v>0.04</v>
      </c>
      <c r="I315" s="9" t="s">
        <v>22</v>
      </c>
      <c r="J315" s="10">
        <v>-44.919000000000004</v>
      </c>
      <c r="K315" s="11">
        <v>11.5</v>
      </c>
      <c r="L315" s="11">
        <v>7.19</v>
      </c>
      <c r="M315" s="9" t="s">
        <v>289</v>
      </c>
      <c r="N315" s="6" t="s">
        <v>173</v>
      </c>
      <c r="O315" s="6" t="s">
        <v>173</v>
      </c>
      <c r="P315" s="9" t="s">
        <v>60</v>
      </c>
      <c r="Q315" s="9" t="s">
        <v>26</v>
      </c>
      <c r="R315" s="9" t="s">
        <v>37</v>
      </c>
      <c r="S315" s="7" t="s">
        <v>398</v>
      </c>
      <c r="T315" s="9" t="s">
        <v>39</v>
      </c>
      <c r="U315" s="7">
        <v>0.4</v>
      </c>
      <c r="V315" s="12">
        <f>C315+3</f>
        <v>40048</v>
      </c>
      <c r="W315">
        <f>IF(D315=' Pivot Tables'!$A$4,1,0)</f>
        <v>0</v>
      </c>
      <c r="X315">
        <f>IF(AND(LEFT(D315,4)+1=LEFT(' Pivot Tables'!$A$4,4)+0,RIGHT(LEFT(D315,7),2)=RIGHT(LEFT(' Pivot Tables'!$A$4,7),2)),1,0)</f>
        <v>0</v>
      </c>
      <c r="Y315" s="6">
        <f>1/COUNTIF(Таблица1[Order ID],Таблица1[[#This Row],[Order ID]])</f>
        <v>0.33333333333333331</v>
      </c>
      <c r="Z315" s="9">
        <f>1/COUNTIFS(Таблица1[Customer Name],Таблица1[[#This Row],[Customer Name]],Таблица1[Order-Year-Month],Таблица1[[#This Row],[Order-Year-Month]])</f>
        <v>0.33333333333333331</v>
      </c>
    </row>
    <row r="316" spans="1:26" x14ac:dyDescent="0.2">
      <c r="A316" s="6">
        <v>4764</v>
      </c>
      <c r="B316" s="7">
        <v>33888</v>
      </c>
      <c r="C316" s="8">
        <f>DATE(2012,12,31)-1229</f>
        <v>40045</v>
      </c>
      <c r="D316" s="8" t="str">
        <f t="shared" si="4"/>
        <v>2009-08 (август 2009)</v>
      </c>
      <c r="E316" s="9" t="s">
        <v>45</v>
      </c>
      <c r="F316" s="7">
        <v>3</v>
      </c>
      <c r="G316" s="7">
        <v>58.33</v>
      </c>
      <c r="H316" s="7">
        <v>0.02</v>
      </c>
      <c r="I316" s="9" t="s">
        <v>22</v>
      </c>
      <c r="J316" s="10">
        <v>-35.08</v>
      </c>
      <c r="K316" s="11">
        <v>15.7</v>
      </c>
      <c r="L316" s="11">
        <v>11.25</v>
      </c>
      <c r="M316" s="9" t="s">
        <v>289</v>
      </c>
      <c r="N316" s="6" t="s">
        <v>173</v>
      </c>
      <c r="O316" s="6" t="s">
        <v>173</v>
      </c>
      <c r="P316" s="9" t="s">
        <v>60</v>
      </c>
      <c r="Q316" s="9" t="s">
        <v>26</v>
      </c>
      <c r="R316" s="9" t="s">
        <v>27</v>
      </c>
      <c r="S316" s="7" t="s">
        <v>206</v>
      </c>
      <c r="T316" s="9" t="s">
        <v>39</v>
      </c>
      <c r="U316" s="7">
        <v>0.6</v>
      </c>
      <c r="V316" s="12">
        <f>C316+1</f>
        <v>40046</v>
      </c>
      <c r="W316">
        <f>IF(D316=' Pivot Tables'!$A$4,1,0)</f>
        <v>0</v>
      </c>
      <c r="X316">
        <f>IF(AND(LEFT(D316,4)+1=LEFT(' Pivot Tables'!$A$4,4)+0,RIGHT(LEFT(D316,7),2)=RIGHT(LEFT(' Pivot Tables'!$A$4,7),2)),1,0)</f>
        <v>0</v>
      </c>
      <c r="Y316" s="6">
        <f>1/COUNTIF(Таблица1[Order ID],Таблица1[[#This Row],[Order ID]])</f>
        <v>0.33333333333333331</v>
      </c>
      <c r="Z316" s="9">
        <f>1/COUNTIFS(Таблица1[Customer Name],Таблица1[[#This Row],[Customer Name]],Таблица1[Order-Year-Month],Таблица1[[#This Row],[Order-Year-Month]])</f>
        <v>0.33333333333333331</v>
      </c>
    </row>
    <row r="317" spans="1:26" x14ac:dyDescent="0.2">
      <c r="A317" s="6">
        <v>4765</v>
      </c>
      <c r="B317" s="7">
        <v>33888</v>
      </c>
      <c r="C317" s="8">
        <f>DATE(2012,12,31)-1229</f>
        <v>40045</v>
      </c>
      <c r="D317" s="8" t="str">
        <f t="shared" si="4"/>
        <v>2009-08 (август 2009)</v>
      </c>
      <c r="E317" s="9" t="s">
        <v>45</v>
      </c>
      <c r="F317" s="7">
        <v>47</v>
      </c>
      <c r="G317" s="7">
        <v>10377.219999999999</v>
      </c>
      <c r="H317" s="7">
        <v>0.05</v>
      </c>
      <c r="I317" s="9" t="s">
        <v>31</v>
      </c>
      <c r="J317" s="10">
        <v>965.48</v>
      </c>
      <c r="K317" s="11">
        <v>225.02</v>
      </c>
      <c r="L317" s="11">
        <v>28.66</v>
      </c>
      <c r="M317" s="9" t="s">
        <v>289</v>
      </c>
      <c r="N317" s="6" t="s">
        <v>173</v>
      </c>
      <c r="O317" s="6" t="s">
        <v>173</v>
      </c>
      <c r="P317" s="9" t="s">
        <v>60</v>
      </c>
      <c r="Q317" s="9" t="s">
        <v>26</v>
      </c>
      <c r="R317" s="9" t="s">
        <v>27</v>
      </c>
      <c r="S317" s="7" t="s">
        <v>399</v>
      </c>
      <c r="T317" s="9" t="s">
        <v>36</v>
      </c>
      <c r="U317" s="7">
        <v>0.72</v>
      </c>
      <c r="V317" s="12">
        <f>C317+2</f>
        <v>40047</v>
      </c>
      <c r="W317">
        <f>IF(D317=' Pivot Tables'!$A$4,1,0)</f>
        <v>0</v>
      </c>
      <c r="X317">
        <f>IF(AND(LEFT(D317,4)+1=LEFT(' Pivot Tables'!$A$4,4)+0,RIGHT(LEFT(D317,7),2)=RIGHT(LEFT(' Pivot Tables'!$A$4,7),2)),1,0)</f>
        <v>0</v>
      </c>
      <c r="Y317" s="6">
        <f>1/COUNTIF(Таблица1[Order ID],Таблица1[[#This Row],[Order ID]])</f>
        <v>0.33333333333333331</v>
      </c>
      <c r="Z317" s="9">
        <f>1/COUNTIFS(Таблица1[Customer Name],Таблица1[[#This Row],[Customer Name]],Таблица1[Order-Year-Month],Таблица1[[#This Row],[Order-Year-Month]])</f>
        <v>0.33333333333333331</v>
      </c>
    </row>
    <row r="318" spans="1:26" x14ac:dyDescent="0.2">
      <c r="A318" s="6">
        <v>4772</v>
      </c>
      <c r="B318" s="7">
        <v>33894</v>
      </c>
      <c r="C318" s="8">
        <f>DATE(2012,12,31)-931</f>
        <v>40343</v>
      </c>
      <c r="D318" s="8" t="str">
        <f t="shared" si="4"/>
        <v>2010-06 (июнь 2010)</v>
      </c>
      <c r="E318" s="9" t="s">
        <v>78</v>
      </c>
      <c r="F318" s="7">
        <v>14</v>
      </c>
      <c r="G318" s="7">
        <v>140.66</v>
      </c>
      <c r="H318" s="7">
        <v>0</v>
      </c>
      <c r="I318" s="9" t="s">
        <v>22</v>
      </c>
      <c r="J318" s="10">
        <v>11.34</v>
      </c>
      <c r="K318" s="11">
        <v>9.27</v>
      </c>
      <c r="L318" s="11">
        <v>4.3899999999999997</v>
      </c>
      <c r="M318" s="9" t="s">
        <v>190</v>
      </c>
      <c r="N318" s="6" t="s">
        <v>173</v>
      </c>
      <c r="O318" s="6" t="s">
        <v>173</v>
      </c>
      <c r="P318" s="9" t="s">
        <v>41</v>
      </c>
      <c r="Q318" s="9" t="s">
        <v>26</v>
      </c>
      <c r="R318" s="9" t="s">
        <v>61</v>
      </c>
      <c r="S318" s="7" t="s">
        <v>400</v>
      </c>
      <c r="T318" s="9" t="s">
        <v>68</v>
      </c>
      <c r="U318" s="7">
        <v>0.38</v>
      </c>
      <c r="V318" s="12">
        <f>C318+3</f>
        <v>40346</v>
      </c>
      <c r="W318">
        <f>IF(D318=' Pivot Tables'!$A$4,1,0)</f>
        <v>0</v>
      </c>
      <c r="X318">
        <f>IF(AND(LEFT(D318,4)+1=LEFT(' Pivot Tables'!$A$4,4)+0,RIGHT(LEFT(D318,7),2)=RIGHT(LEFT(' Pivot Tables'!$A$4,7),2)),1,0)</f>
        <v>0</v>
      </c>
      <c r="Y318" s="6">
        <f>1/COUNTIF(Таблица1[Order ID],Таблица1[[#This Row],[Order ID]])</f>
        <v>0.25</v>
      </c>
      <c r="Z318" s="9">
        <f>1/COUNTIFS(Таблица1[Customer Name],Таблица1[[#This Row],[Customer Name]],Таблица1[Order-Year-Month],Таблица1[[#This Row],[Order-Year-Month]])</f>
        <v>0.25</v>
      </c>
    </row>
    <row r="319" spans="1:26" x14ac:dyDescent="0.2">
      <c r="A319" s="6">
        <v>4773</v>
      </c>
      <c r="B319" s="7">
        <v>33894</v>
      </c>
      <c r="C319" s="8">
        <f>DATE(2012,12,31)-931</f>
        <v>40343</v>
      </c>
      <c r="D319" s="8" t="str">
        <f t="shared" si="4"/>
        <v>2010-06 (июнь 2010)</v>
      </c>
      <c r="E319" s="9" t="s">
        <v>78</v>
      </c>
      <c r="F319" s="7">
        <v>5</v>
      </c>
      <c r="G319" s="7">
        <v>42.89</v>
      </c>
      <c r="H319" s="7">
        <v>0.02</v>
      </c>
      <c r="I319" s="9" t="s">
        <v>22</v>
      </c>
      <c r="J319" s="10">
        <v>-32.479999999999997</v>
      </c>
      <c r="K319" s="11">
        <v>6.84</v>
      </c>
      <c r="L319" s="11">
        <v>8.3699999999999992</v>
      </c>
      <c r="M319" s="9" t="s">
        <v>190</v>
      </c>
      <c r="N319" s="6" t="s">
        <v>173</v>
      </c>
      <c r="O319" s="6" t="s">
        <v>173</v>
      </c>
      <c r="P319" s="9" t="s">
        <v>41</v>
      </c>
      <c r="Q319" s="9" t="s">
        <v>26</v>
      </c>
      <c r="R319" s="9" t="s">
        <v>150</v>
      </c>
      <c r="S319" s="7" t="s">
        <v>401</v>
      </c>
      <c r="T319" s="9" t="s">
        <v>52</v>
      </c>
      <c r="U319" s="7">
        <v>0.57999999999999996</v>
      </c>
      <c r="V319" s="12">
        <f>C319+1</f>
        <v>40344</v>
      </c>
      <c r="W319">
        <f>IF(D319=' Pivot Tables'!$A$4,1,0)</f>
        <v>0</v>
      </c>
      <c r="X319">
        <f>IF(AND(LEFT(D319,4)+1=LEFT(' Pivot Tables'!$A$4,4)+0,RIGHT(LEFT(D319,7),2)=RIGHT(LEFT(' Pivot Tables'!$A$4,7),2)),1,0)</f>
        <v>0</v>
      </c>
      <c r="Y319" s="6">
        <f>1/COUNTIF(Таблица1[Order ID],Таблица1[[#This Row],[Order ID]])</f>
        <v>0.25</v>
      </c>
      <c r="Z319" s="9">
        <f>1/COUNTIFS(Таблица1[Customer Name],Таблица1[[#This Row],[Customer Name]],Таблица1[Order-Year-Month],Таблица1[[#This Row],[Order-Year-Month]])</f>
        <v>0.25</v>
      </c>
    </row>
    <row r="320" spans="1:26" x14ac:dyDescent="0.2">
      <c r="A320" s="6">
        <v>4774</v>
      </c>
      <c r="B320" s="7">
        <v>33894</v>
      </c>
      <c r="C320" s="8">
        <f>DATE(2012,12,31)-931</f>
        <v>40343</v>
      </c>
      <c r="D320" s="8" t="str">
        <f t="shared" si="4"/>
        <v>2010-06 (июнь 2010)</v>
      </c>
      <c r="E320" s="9" t="s">
        <v>78</v>
      </c>
      <c r="F320" s="7">
        <v>48</v>
      </c>
      <c r="G320" s="7">
        <v>226.5</v>
      </c>
      <c r="H320" s="7">
        <v>0.09</v>
      </c>
      <c r="I320" s="9" t="s">
        <v>22</v>
      </c>
      <c r="J320" s="10">
        <v>-173.15</v>
      </c>
      <c r="K320" s="11">
        <v>4.9800000000000004</v>
      </c>
      <c r="L320" s="11">
        <v>4.62</v>
      </c>
      <c r="M320" s="9" t="s">
        <v>190</v>
      </c>
      <c r="N320" s="6" t="s">
        <v>173</v>
      </c>
      <c r="O320" s="6" t="s">
        <v>173</v>
      </c>
      <c r="P320" s="9" t="s">
        <v>41</v>
      </c>
      <c r="Q320" s="9" t="s">
        <v>42</v>
      </c>
      <c r="R320" s="9" t="s">
        <v>70</v>
      </c>
      <c r="S320" s="7" t="s">
        <v>402</v>
      </c>
      <c r="T320" s="9" t="s">
        <v>52</v>
      </c>
      <c r="U320" s="7">
        <v>0.64</v>
      </c>
      <c r="V320" s="12">
        <f>C320+2</f>
        <v>40345</v>
      </c>
      <c r="W320">
        <f>IF(D320=' Pivot Tables'!$A$4,1,0)</f>
        <v>0</v>
      </c>
      <c r="X320">
        <f>IF(AND(LEFT(D320,4)+1=LEFT(' Pivot Tables'!$A$4,4)+0,RIGHT(LEFT(D320,7),2)=RIGHT(LEFT(' Pivot Tables'!$A$4,7),2)),1,0)</f>
        <v>0</v>
      </c>
      <c r="Y320" s="6">
        <f>1/COUNTIF(Таблица1[Order ID],Таблица1[[#This Row],[Order ID]])</f>
        <v>0.25</v>
      </c>
      <c r="Z320" s="9">
        <f>1/COUNTIFS(Таблица1[Customer Name],Таблица1[[#This Row],[Customer Name]],Таблица1[Order-Year-Month],Таблица1[[#This Row],[Order-Year-Month]])</f>
        <v>0.25</v>
      </c>
    </row>
    <row r="321" spans="1:26" x14ac:dyDescent="0.2">
      <c r="A321" s="6">
        <v>4775</v>
      </c>
      <c r="B321" s="7">
        <v>33894</v>
      </c>
      <c r="C321" s="8">
        <f>DATE(2012,12,31)-931</f>
        <v>40343</v>
      </c>
      <c r="D321" s="8" t="str">
        <f t="shared" si="4"/>
        <v>2010-06 (июнь 2010)</v>
      </c>
      <c r="E321" s="9" t="s">
        <v>78</v>
      </c>
      <c r="F321" s="7">
        <v>13</v>
      </c>
      <c r="G321" s="7">
        <v>438.93</v>
      </c>
      <c r="H321" s="7">
        <v>0.04</v>
      </c>
      <c r="I321" s="9" t="s">
        <v>56</v>
      </c>
      <c r="J321" s="10">
        <v>-119.02</v>
      </c>
      <c r="K321" s="11">
        <v>32.979999999999997</v>
      </c>
      <c r="L321" s="11">
        <v>5.5</v>
      </c>
      <c r="M321" s="9" t="s">
        <v>190</v>
      </c>
      <c r="N321" s="6" t="s">
        <v>173</v>
      </c>
      <c r="O321" s="6" t="s">
        <v>173</v>
      </c>
      <c r="P321" s="9" t="s">
        <v>41</v>
      </c>
      <c r="Q321" s="9" t="s">
        <v>42</v>
      </c>
      <c r="R321" s="9" t="s">
        <v>70</v>
      </c>
      <c r="S321" s="7" t="s">
        <v>403</v>
      </c>
      <c r="T321" s="9" t="s">
        <v>39</v>
      </c>
      <c r="U321" s="7">
        <v>0.75</v>
      </c>
      <c r="V321" s="12">
        <f>C321+2</f>
        <v>40345</v>
      </c>
      <c r="W321">
        <f>IF(D321=' Pivot Tables'!$A$4,1,0)</f>
        <v>0</v>
      </c>
      <c r="X321">
        <f>IF(AND(LEFT(D321,4)+1=LEFT(' Pivot Tables'!$A$4,4)+0,RIGHT(LEFT(D321,7),2)=RIGHT(LEFT(' Pivot Tables'!$A$4,7),2)),1,0)</f>
        <v>0</v>
      </c>
      <c r="Y321" s="6">
        <f>1/COUNTIF(Таблица1[Order ID],Таблица1[[#This Row],[Order ID]])</f>
        <v>0.25</v>
      </c>
      <c r="Z321" s="9">
        <f>1/COUNTIFS(Таблица1[Customer Name],Таблица1[[#This Row],[Customer Name]],Таблица1[Order-Year-Month],Таблица1[[#This Row],[Order-Year-Month]])</f>
        <v>0.25</v>
      </c>
    </row>
    <row r="322" spans="1:26" x14ac:dyDescent="0.2">
      <c r="A322" s="6">
        <v>4777</v>
      </c>
      <c r="B322" s="7">
        <v>33922</v>
      </c>
      <c r="C322" s="8">
        <f>DATE(2012,12,31)-1038</f>
        <v>40236</v>
      </c>
      <c r="D322" s="8" t="str">
        <f t="shared" si="4"/>
        <v>2010-02 (февраль 2010)</v>
      </c>
      <c r="E322" s="9" t="s">
        <v>45</v>
      </c>
      <c r="F322" s="7">
        <v>31</v>
      </c>
      <c r="G322" s="7">
        <v>15251.5</v>
      </c>
      <c r="H322" s="7">
        <v>0.06</v>
      </c>
      <c r="I322" s="9" t="s">
        <v>31</v>
      </c>
      <c r="J322" s="10">
        <v>5353.19</v>
      </c>
      <c r="K322" s="11">
        <v>500.97</v>
      </c>
      <c r="L322" s="11">
        <v>69.3</v>
      </c>
      <c r="M322" s="9" t="s">
        <v>69</v>
      </c>
      <c r="N322" s="6" t="s">
        <v>173</v>
      </c>
      <c r="O322" s="6" t="s">
        <v>173</v>
      </c>
      <c r="P322" s="9" t="s">
        <v>60</v>
      </c>
      <c r="Q322" s="9" t="s">
        <v>42</v>
      </c>
      <c r="R322" s="9" t="s">
        <v>210</v>
      </c>
      <c r="S322" s="7" t="s">
        <v>404</v>
      </c>
      <c r="T322" s="9" t="s">
        <v>36</v>
      </c>
      <c r="U322" s="7">
        <v>0.37</v>
      </c>
      <c r="V322" s="12">
        <f>C322+0</f>
        <v>40236</v>
      </c>
      <c r="W322">
        <f>IF(D322=' Pivot Tables'!$A$4,1,0)</f>
        <v>0</v>
      </c>
      <c r="X322">
        <f>IF(AND(LEFT(D322,4)+1=LEFT(' Pivot Tables'!$A$4,4)+0,RIGHT(LEFT(D322,7),2)=RIGHT(LEFT(' Pivot Tables'!$A$4,7),2)),1,0)</f>
        <v>0</v>
      </c>
      <c r="Y322" s="6">
        <f>1/COUNTIF(Таблица1[Order ID],Таблица1[[#This Row],[Order ID]])</f>
        <v>1</v>
      </c>
      <c r="Z322" s="9">
        <f>1/COUNTIFS(Таблица1[Customer Name],Таблица1[[#This Row],[Customer Name]],Таблица1[Order-Year-Month],Таблица1[[#This Row],[Order-Year-Month]])</f>
        <v>1</v>
      </c>
    </row>
    <row r="323" spans="1:26" x14ac:dyDescent="0.2">
      <c r="A323" s="6">
        <v>4803</v>
      </c>
      <c r="B323" s="7">
        <v>34177</v>
      </c>
      <c r="C323" s="8">
        <f>DATE(2012,12,31)-1234</f>
        <v>40040</v>
      </c>
      <c r="D323" s="8" t="str">
        <f t="shared" ref="D323:D386" si="5">TEXT(C323,"гггг-ММ (ММММ гггг)")</f>
        <v>2009-08 (август 2009)</v>
      </c>
      <c r="E323" s="9" t="s">
        <v>30</v>
      </c>
      <c r="F323" s="7">
        <v>13</v>
      </c>
      <c r="G323" s="7">
        <v>34.42</v>
      </c>
      <c r="H323" s="7">
        <v>0.02</v>
      </c>
      <c r="I323" s="9" t="s">
        <v>22</v>
      </c>
      <c r="J323" s="10">
        <v>9.4700000000000006</v>
      </c>
      <c r="K323" s="11">
        <v>2.61</v>
      </c>
      <c r="L323" s="11">
        <v>0.5</v>
      </c>
      <c r="M323" s="9" t="s">
        <v>405</v>
      </c>
      <c r="N323" s="6" t="s">
        <v>173</v>
      </c>
      <c r="O323" s="6" t="s">
        <v>173</v>
      </c>
      <c r="P323" s="9" t="s">
        <v>41</v>
      </c>
      <c r="Q323" s="9" t="s">
        <v>26</v>
      </c>
      <c r="R323" s="9" t="s">
        <v>88</v>
      </c>
      <c r="S323" s="7" t="s">
        <v>406</v>
      </c>
      <c r="T323" s="9" t="s">
        <v>39</v>
      </c>
      <c r="U323" s="7">
        <v>0.39</v>
      </c>
      <c r="V323" s="12">
        <f>C323+3</f>
        <v>40043</v>
      </c>
      <c r="W323">
        <f>IF(D323=' Pivot Tables'!$A$4,1,0)</f>
        <v>0</v>
      </c>
      <c r="X323">
        <f>IF(AND(LEFT(D323,4)+1=LEFT(' Pivot Tables'!$A$4,4)+0,RIGHT(LEFT(D323,7),2)=RIGHT(LEFT(' Pivot Tables'!$A$4,7),2)),1,0)</f>
        <v>0</v>
      </c>
      <c r="Y323" s="6">
        <f>1/COUNTIF(Таблица1[Order ID],Таблица1[[#This Row],[Order ID]])</f>
        <v>0.33333333333333331</v>
      </c>
      <c r="Z323" s="9">
        <f>1/COUNTIFS(Таблица1[Customer Name],Таблица1[[#This Row],[Customer Name]],Таблица1[Order-Year-Month],Таблица1[[#This Row],[Order-Year-Month]])</f>
        <v>0.33333333333333331</v>
      </c>
    </row>
    <row r="324" spans="1:26" x14ac:dyDescent="0.2">
      <c r="A324" s="6">
        <v>4804</v>
      </c>
      <c r="B324" s="7">
        <v>34177</v>
      </c>
      <c r="C324" s="8">
        <f>DATE(2012,12,31)-1234</f>
        <v>40040</v>
      </c>
      <c r="D324" s="8" t="str">
        <f t="shared" si="5"/>
        <v>2009-08 (август 2009)</v>
      </c>
      <c r="E324" s="9" t="s">
        <v>30</v>
      </c>
      <c r="F324" s="7">
        <v>26</v>
      </c>
      <c r="G324" s="7">
        <v>172.76</v>
      </c>
      <c r="H324" s="7">
        <v>0.1</v>
      </c>
      <c r="I324" s="9" t="s">
        <v>22</v>
      </c>
      <c r="J324" s="10">
        <v>73.180000000000007</v>
      </c>
      <c r="K324" s="11">
        <v>7.31</v>
      </c>
      <c r="L324" s="11">
        <v>0.49</v>
      </c>
      <c r="M324" s="9" t="s">
        <v>405</v>
      </c>
      <c r="N324" s="6" t="s">
        <v>173</v>
      </c>
      <c r="O324" s="6" t="s">
        <v>173</v>
      </c>
      <c r="P324" s="9" t="s">
        <v>41</v>
      </c>
      <c r="Q324" s="9" t="s">
        <v>26</v>
      </c>
      <c r="R324" s="9" t="s">
        <v>88</v>
      </c>
      <c r="S324" s="7" t="s">
        <v>107</v>
      </c>
      <c r="T324" s="9" t="s">
        <v>39</v>
      </c>
      <c r="U324" s="7">
        <v>0.38</v>
      </c>
      <c r="V324" s="12">
        <f>C324+1</f>
        <v>40041</v>
      </c>
      <c r="W324">
        <f>IF(D324=' Pivot Tables'!$A$4,1,0)</f>
        <v>0</v>
      </c>
      <c r="X324">
        <f>IF(AND(LEFT(D324,4)+1=LEFT(' Pivot Tables'!$A$4,4)+0,RIGHT(LEFT(D324,7),2)=RIGHT(LEFT(' Pivot Tables'!$A$4,7),2)),1,0)</f>
        <v>0</v>
      </c>
      <c r="Y324" s="6">
        <f>1/COUNTIF(Таблица1[Order ID],Таблица1[[#This Row],[Order ID]])</f>
        <v>0.33333333333333331</v>
      </c>
      <c r="Z324" s="9">
        <f>1/COUNTIFS(Таблица1[Customer Name],Таблица1[[#This Row],[Customer Name]],Таблица1[Order-Year-Month],Таблица1[[#This Row],[Order-Year-Month]])</f>
        <v>0.33333333333333331</v>
      </c>
    </row>
    <row r="325" spans="1:26" x14ac:dyDescent="0.2">
      <c r="A325" s="6">
        <v>4805</v>
      </c>
      <c r="B325" s="7">
        <v>34177</v>
      </c>
      <c r="C325" s="8">
        <f>DATE(2012,12,31)-1234</f>
        <v>40040</v>
      </c>
      <c r="D325" s="8" t="str">
        <f t="shared" si="5"/>
        <v>2009-08 (август 2009)</v>
      </c>
      <c r="E325" s="9" t="s">
        <v>30</v>
      </c>
      <c r="F325" s="7">
        <v>50</v>
      </c>
      <c r="G325" s="7">
        <v>853.16200000000003</v>
      </c>
      <c r="H325" s="7">
        <v>0.1</v>
      </c>
      <c r="I325" s="9" t="s">
        <v>22</v>
      </c>
      <c r="J325" s="10">
        <v>-83.951999999999998</v>
      </c>
      <c r="K325" s="11">
        <v>20.99</v>
      </c>
      <c r="L325" s="11">
        <v>2.5</v>
      </c>
      <c r="M325" s="9" t="s">
        <v>405</v>
      </c>
      <c r="N325" s="6" t="s">
        <v>173</v>
      </c>
      <c r="O325" s="6" t="s">
        <v>173</v>
      </c>
      <c r="P325" s="9" t="s">
        <v>41</v>
      </c>
      <c r="Q325" s="9" t="s">
        <v>42</v>
      </c>
      <c r="R325" s="9" t="s">
        <v>43</v>
      </c>
      <c r="S325" s="7" t="s">
        <v>108</v>
      </c>
      <c r="T325" s="9" t="s">
        <v>68</v>
      </c>
      <c r="U325" s="7">
        <v>0.81</v>
      </c>
      <c r="V325" s="12">
        <f>C325+1</f>
        <v>40041</v>
      </c>
      <c r="W325">
        <f>IF(D325=' Pivot Tables'!$A$4,1,0)</f>
        <v>0</v>
      </c>
      <c r="X325">
        <f>IF(AND(LEFT(D325,4)+1=LEFT(' Pivot Tables'!$A$4,4)+0,RIGHT(LEFT(D325,7),2)=RIGHT(LEFT(' Pivot Tables'!$A$4,7),2)),1,0)</f>
        <v>0</v>
      </c>
      <c r="Y325" s="6">
        <f>1/COUNTIF(Таблица1[Order ID],Таблица1[[#This Row],[Order ID]])</f>
        <v>0.33333333333333331</v>
      </c>
      <c r="Z325" s="9">
        <f>1/COUNTIFS(Таблица1[Customer Name],Таблица1[[#This Row],[Customer Name]],Таблица1[Order-Year-Month],Таблица1[[#This Row],[Order-Year-Month]])</f>
        <v>0.33333333333333331</v>
      </c>
    </row>
    <row r="326" spans="1:26" x14ac:dyDescent="0.2">
      <c r="A326" s="6">
        <v>4812</v>
      </c>
      <c r="B326" s="7">
        <v>34215</v>
      </c>
      <c r="C326" s="8">
        <f>DATE(2012,12,31)-597</f>
        <v>40677</v>
      </c>
      <c r="D326" s="8" t="str">
        <f t="shared" si="5"/>
        <v>2011-05 (май 2011)</v>
      </c>
      <c r="E326" s="9" t="s">
        <v>30</v>
      </c>
      <c r="F326" s="7">
        <v>6</v>
      </c>
      <c r="G326" s="7">
        <v>35.65</v>
      </c>
      <c r="H326" s="7">
        <v>0.02</v>
      </c>
      <c r="I326" s="9" t="s">
        <v>22</v>
      </c>
      <c r="J326" s="10">
        <v>-5.9225000000000003</v>
      </c>
      <c r="K326" s="11">
        <v>5.34</v>
      </c>
      <c r="L326" s="11">
        <v>2.99</v>
      </c>
      <c r="M326" s="9" t="s">
        <v>279</v>
      </c>
      <c r="N326" s="6" t="s">
        <v>173</v>
      </c>
      <c r="O326" s="6" t="s">
        <v>173</v>
      </c>
      <c r="P326" s="9" t="s">
        <v>60</v>
      </c>
      <c r="Q326" s="9" t="s">
        <v>26</v>
      </c>
      <c r="R326" s="9" t="s">
        <v>37</v>
      </c>
      <c r="S326" s="7" t="s">
        <v>407</v>
      </c>
      <c r="T326" s="9" t="s">
        <v>39</v>
      </c>
      <c r="U326" s="7">
        <v>0.38</v>
      </c>
      <c r="V326" s="12">
        <f>C326+1</f>
        <v>40678</v>
      </c>
      <c r="W326">
        <f>IF(D326=' Pivot Tables'!$A$4,1,0)</f>
        <v>0</v>
      </c>
      <c r="X326">
        <f>IF(AND(LEFT(D326,4)+1=LEFT(' Pivot Tables'!$A$4,4)+0,RIGHT(LEFT(D326,7),2)=RIGHT(LEFT(' Pivot Tables'!$A$4,7),2)),1,0)</f>
        <v>0</v>
      </c>
      <c r="Y326" s="6">
        <f>1/COUNTIF(Таблица1[Order ID],Таблица1[[#This Row],[Order ID]])</f>
        <v>1</v>
      </c>
      <c r="Z326" s="9">
        <f>1/COUNTIFS(Таблица1[Customer Name],Таблица1[[#This Row],[Customer Name]],Таблица1[Order-Year-Month],Таблица1[[#This Row],[Order-Year-Month]])</f>
        <v>1</v>
      </c>
    </row>
    <row r="327" spans="1:26" x14ac:dyDescent="0.2">
      <c r="A327" s="6">
        <v>4820</v>
      </c>
      <c r="B327" s="7">
        <v>34246</v>
      </c>
      <c r="C327" s="8">
        <f>DATE(2012,12,31)-816</f>
        <v>40458</v>
      </c>
      <c r="D327" s="8" t="str">
        <f t="shared" si="5"/>
        <v>2010-10 (октябрь 2010)</v>
      </c>
      <c r="E327" s="9" t="s">
        <v>78</v>
      </c>
      <c r="F327" s="7">
        <v>49</v>
      </c>
      <c r="G327" s="7">
        <v>199.86</v>
      </c>
      <c r="H327" s="7">
        <v>0.03</v>
      </c>
      <c r="I327" s="9" t="s">
        <v>22</v>
      </c>
      <c r="J327" s="10">
        <v>-257.11</v>
      </c>
      <c r="K327" s="11">
        <v>4.0599999999999996</v>
      </c>
      <c r="L327" s="11">
        <v>6.89</v>
      </c>
      <c r="M327" s="9" t="s">
        <v>240</v>
      </c>
      <c r="N327" s="6" t="s">
        <v>173</v>
      </c>
      <c r="O327" s="6" t="s">
        <v>173</v>
      </c>
      <c r="P327" s="9" t="s">
        <v>60</v>
      </c>
      <c r="Q327" s="9" t="s">
        <v>26</v>
      </c>
      <c r="R327" s="9" t="s">
        <v>34</v>
      </c>
      <c r="S327" s="7" t="s">
        <v>408</v>
      </c>
      <c r="T327" s="9" t="s">
        <v>39</v>
      </c>
      <c r="U327" s="7">
        <v>0.6</v>
      </c>
      <c r="V327" s="12">
        <f>C327+1</f>
        <v>40459</v>
      </c>
      <c r="W327">
        <f>IF(D327=' Pivot Tables'!$A$4,1,0)</f>
        <v>0</v>
      </c>
      <c r="X327">
        <f>IF(AND(LEFT(D327,4)+1=LEFT(' Pivot Tables'!$A$4,4)+0,RIGHT(LEFT(D327,7),2)=RIGHT(LEFT(' Pivot Tables'!$A$4,7),2)),1,0)</f>
        <v>0</v>
      </c>
      <c r="Y327" s="6">
        <f>1/COUNTIF(Таблица1[Order ID],Таблица1[[#This Row],[Order ID]])</f>
        <v>0.33333333333333331</v>
      </c>
      <c r="Z327" s="9">
        <f>1/COUNTIFS(Таблица1[Customer Name],Таблица1[[#This Row],[Customer Name]],Таблица1[Order-Year-Month],Таблица1[[#This Row],[Order-Year-Month]])</f>
        <v>0.33333333333333331</v>
      </c>
    </row>
    <row r="328" spans="1:26" x14ac:dyDescent="0.2">
      <c r="A328" s="6">
        <v>4821</v>
      </c>
      <c r="B328" s="7">
        <v>34246</v>
      </c>
      <c r="C328" s="8">
        <f>DATE(2012,12,31)-816</f>
        <v>40458</v>
      </c>
      <c r="D328" s="8" t="str">
        <f t="shared" si="5"/>
        <v>2010-10 (октябрь 2010)</v>
      </c>
      <c r="E328" s="9" t="s">
        <v>78</v>
      </c>
      <c r="F328" s="7">
        <v>18</v>
      </c>
      <c r="G328" s="7">
        <v>1888.02</v>
      </c>
      <c r="H328" s="7">
        <v>0.03</v>
      </c>
      <c r="I328" s="9" t="s">
        <v>22</v>
      </c>
      <c r="J328" s="10">
        <v>192.33</v>
      </c>
      <c r="K328" s="11">
        <v>99.99</v>
      </c>
      <c r="L328" s="11">
        <v>19.989999999999998</v>
      </c>
      <c r="M328" s="9" t="s">
        <v>240</v>
      </c>
      <c r="N328" s="6" t="s">
        <v>173</v>
      </c>
      <c r="O328" s="6" t="s">
        <v>173</v>
      </c>
      <c r="P328" s="9" t="s">
        <v>60</v>
      </c>
      <c r="Q328" s="9" t="s">
        <v>42</v>
      </c>
      <c r="R328" s="9" t="s">
        <v>210</v>
      </c>
      <c r="S328" s="7" t="s">
        <v>409</v>
      </c>
      <c r="T328" s="9" t="s">
        <v>39</v>
      </c>
      <c r="U328" s="7">
        <v>0.52</v>
      </c>
      <c r="V328" s="12">
        <f>C328+1</f>
        <v>40459</v>
      </c>
      <c r="W328">
        <f>IF(D328=' Pivot Tables'!$A$4,1,0)</f>
        <v>0</v>
      </c>
      <c r="X328">
        <f>IF(AND(LEFT(D328,4)+1=LEFT(' Pivot Tables'!$A$4,4)+0,RIGHT(LEFT(D328,7),2)=RIGHT(LEFT(' Pivot Tables'!$A$4,7),2)),1,0)</f>
        <v>0</v>
      </c>
      <c r="Y328" s="6">
        <f>1/COUNTIF(Таблица1[Order ID],Таблица1[[#This Row],[Order ID]])</f>
        <v>0.33333333333333331</v>
      </c>
      <c r="Z328" s="9">
        <f>1/COUNTIFS(Таблица1[Customer Name],Таблица1[[#This Row],[Customer Name]],Таблица1[Order-Year-Month],Таблица1[[#This Row],[Order-Year-Month]])</f>
        <v>0.33333333333333331</v>
      </c>
    </row>
    <row r="329" spans="1:26" x14ac:dyDescent="0.2">
      <c r="A329" s="6">
        <v>4822</v>
      </c>
      <c r="B329" s="7">
        <v>34246</v>
      </c>
      <c r="C329" s="8">
        <f>DATE(2012,12,31)-816</f>
        <v>40458</v>
      </c>
      <c r="D329" s="8" t="str">
        <f t="shared" si="5"/>
        <v>2010-10 (октябрь 2010)</v>
      </c>
      <c r="E329" s="9" t="s">
        <v>78</v>
      </c>
      <c r="F329" s="7">
        <v>27</v>
      </c>
      <c r="G329" s="7">
        <v>322.69</v>
      </c>
      <c r="H329" s="7">
        <v>0.01</v>
      </c>
      <c r="I329" s="9" t="s">
        <v>22</v>
      </c>
      <c r="J329" s="10">
        <v>1.91</v>
      </c>
      <c r="K329" s="11">
        <v>11.58</v>
      </c>
      <c r="L329" s="11">
        <v>6.97</v>
      </c>
      <c r="M329" s="9" t="s">
        <v>240</v>
      </c>
      <c r="N329" s="6" t="s">
        <v>173</v>
      </c>
      <c r="O329" s="6" t="s">
        <v>173</v>
      </c>
      <c r="P329" s="9" t="s">
        <v>60</v>
      </c>
      <c r="Q329" s="9" t="s">
        <v>26</v>
      </c>
      <c r="R329" s="9" t="s">
        <v>76</v>
      </c>
      <c r="S329" s="7" t="s">
        <v>304</v>
      </c>
      <c r="T329" s="9" t="s">
        <v>39</v>
      </c>
      <c r="U329" s="7">
        <v>0.35</v>
      </c>
      <c r="V329" s="12">
        <f>C329+2</f>
        <v>40460</v>
      </c>
      <c r="W329">
        <f>IF(D329=' Pivot Tables'!$A$4,1,0)</f>
        <v>0</v>
      </c>
      <c r="X329">
        <f>IF(AND(LEFT(D329,4)+1=LEFT(' Pivot Tables'!$A$4,4)+0,RIGHT(LEFT(D329,7),2)=RIGHT(LEFT(' Pivot Tables'!$A$4,7),2)),1,0)</f>
        <v>0</v>
      </c>
      <c r="Y329" s="6">
        <f>1/COUNTIF(Таблица1[Order ID],Таблица1[[#This Row],[Order ID]])</f>
        <v>0.33333333333333331</v>
      </c>
      <c r="Z329" s="9">
        <f>1/COUNTIFS(Таблица1[Customer Name],Таблица1[[#This Row],[Customer Name]],Таблица1[Order-Year-Month],Таблица1[[#This Row],[Order-Year-Month]])</f>
        <v>0.33333333333333331</v>
      </c>
    </row>
    <row r="330" spans="1:26" x14ac:dyDescent="0.2">
      <c r="A330" s="6">
        <v>4864</v>
      </c>
      <c r="B330" s="7">
        <v>34631</v>
      </c>
      <c r="C330" s="8">
        <f>DATE(2012,12,31)-1165</f>
        <v>40109</v>
      </c>
      <c r="D330" s="8" t="str">
        <f t="shared" si="5"/>
        <v>2009-10 (октябрь 2009)</v>
      </c>
      <c r="E330" s="9" t="s">
        <v>45</v>
      </c>
      <c r="F330" s="7">
        <v>5</v>
      </c>
      <c r="G330" s="7">
        <v>22.06</v>
      </c>
      <c r="H330" s="7">
        <v>0.06</v>
      </c>
      <c r="I330" s="9" t="s">
        <v>22</v>
      </c>
      <c r="J330" s="10">
        <v>-22.275500000000001</v>
      </c>
      <c r="K330" s="11">
        <v>3.36</v>
      </c>
      <c r="L330" s="11">
        <v>6.27</v>
      </c>
      <c r="M330" s="9" t="s">
        <v>203</v>
      </c>
      <c r="N330" s="6" t="s">
        <v>173</v>
      </c>
      <c r="O330" s="6" t="s">
        <v>173</v>
      </c>
      <c r="P330" s="9" t="s">
        <v>41</v>
      </c>
      <c r="Q330" s="9" t="s">
        <v>26</v>
      </c>
      <c r="R330" s="9" t="s">
        <v>37</v>
      </c>
      <c r="S330" s="7" t="s">
        <v>410</v>
      </c>
      <c r="T330" s="9" t="s">
        <v>39</v>
      </c>
      <c r="U330" s="7">
        <v>0.4</v>
      </c>
      <c r="V330" s="12">
        <f>C330+1</f>
        <v>40110</v>
      </c>
      <c r="W330">
        <f>IF(D330=' Pivot Tables'!$A$4,1,0)</f>
        <v>0</v>
      </c>
      <c r="X330">
        <f>IF(AND(LEFT(D330,4)+1=LEFT(' Pivot Tables'!$A$4,4)+0,RIGHT(LEFT(D330,7),2)=RIGHT(LEFT(' Pivot Tables'!$A$4,7),2)),1,0)</f>
        <v>0</v>
      </c>
      <c r="Y330" s="6">
        <f>1/COUNTIF(Таблица1[Order ID],Таблица1[[#This Row],[Order ID]])</f>
        <v>0.5</v>
      </c>
      <c r="Z330" s="9">
        <f>1/COUNTIFS(Таблица1[Customer Name],Таблица1[[#This Row],[Customer Name]],Таблица1[Order-Year-Month],Таблица1[[#This Row],[Order-Year-Month]])</f>
        <v>0.5</v>
      </c>
    </row>
    <row r="331" spans="1:26" x14ac:dyDescent="0.2">
      <c r="A331" s="6">
        <v>4865</v>
      </c>
      <c r="B331" s="7">
        <v>34631</v>
      </c>
      <c r="C331" s="8">
        <f>DATE(2012,12,31)-1165</f>
        <v>40109</v>
      </c>
      <c r="D331" s="8" t="str">
        <f t="shared" si="5"/>
        <v>2009-10 (октябрь 2009)</v>
      </c>
      <c r="E331" s="9" t="s">
        <v>45</v>
      </c>
      <c r="F331" s="7">
        <v>19</v>
      </c>
      <c r="G331" s="7">
        <v>12616.2</v>
      </c>
      <c r="H331" s="7">
        <v>7.0000000000000007E-2</v>
      </c>
      <c r="I331" s="9" t="s">
        <v>22</v>
      </c>
      <c r="J331" s="10">
        <v>2808.2190000000001</v>
      </c>
      <c r="K331" s="11">
        <v>699.99</v>
      </c>
      <c r="L331" s="11">
        <v>24.49</v>
      </c>
      <c r="M331" s="9" t="s">
        <v>203</v>
      </c>
      <c r="N331" s="6" t="s">
        <v>173</v>
      </c>
      <c r="O331" s="6" t="s">
        <v>173</v>
      </c>
      <c r="P331" s="9" t="s">
        <v>41</v>
      </c>
      <c r="Q331" s="9" t="s">
        <v>42</v>
      </c>
      <c r="R331" s="9" t="s">
        <v>99</v>
      </c>
      <c r="S331" s="7" t="s">
        <v>411</v>
      </c>
      <c r="T331" s="9" t="s">
        <v>29</v>
      </c>
      <c r="U331" s="7">
        <v>0.41</v>
      </c>
      <c r="V331" s="12">
        <f>C331+2</f>
        <v>40111</v>
      </c>
      <c r="W331">
        <f>IF(D331=' Pivot Tables'!$A$4,1,0)</f>
        <v>0</v>
      </c>
      <c r="X331">
        <f>IF(AND(LEFT(D331,4)+1=LEFT(' Pivot Tables'!$A$4,4)+0,RIGHT(LEFT(D331,7),2)=RIGHT(LEFT(' Pivot Tables'!$A$4,7),2)),1,0)</f>
        <v>0</v>
      </c>
      <c r="Y331" s="6">
        <f>1/COUNTIF(Таблица1[Order ID],Таблица1[[#This Row],[Order ID]])</f>
        <v>0.5</v>
      </c>
      <c r="Z331" s="9">
        <f>1/COUNTIFS(Таблица1[Customer Name],Таблица1[[#This Row],[Customer Name]],Таблица1[Order-Year-Month],Таблица1[[#This Row],[Order-Year-Month]])</f>
        <v>0.5</v>
      </c>
    </row>
    <row r="332" spans="1:26" x14ac:dyDescent="0.2">
      <c r="A332" s="6">
        <v>4929</v>
      </c>
      <c r="B332" s="7">
        <v>35047</v>
      </c>
      <c r="C332" s="8">
        <f>DATE(2012,12,31)-936</f>
        <v>40338</v>
      </c>
      <c r="D332" s="8" t="str">
        <f t="shared" si="5"/>
        <v>2010-06 (июнь 2010)</v>
      </c>
      <c r="E332" s="9" t="s">
        <v>63</v>
      </c>
      <c r="F332" s="7">
        <v>31</v>
      </c>
      <c r="G332" s="7">
        <v>148.16999999999999</v>
      </c>
      <c r="H332" s="7">
        <v>0</v>
      </c>
      <c r="I332" s="9" t="s">
        <v>22</v>
      </c>
      <c r="J332" s="10">
        <v>-7.06</v>
      </c>
      <c r="K332" s="11">
        <v>4.71</v>
      </c>
      <c r="L332" s="11">
        <v>0.7</v>
      </c>
      <c r="M332" s="9" t="s">
        <v>334</v>
      </c>
      <c r="N332" s="6" t="s">
        <v>173</v>
      </c>
      <c r="O332" s="6" t="s">
        <v>173</v>
      </c>
      <c r="P332" s="9" t="s">
        <v>60</v>
      </c>
      <c r="Q332" s="9" t="s">
        <v>26</v>
      </c>
      <c r="R332" s="9" t="s">
        <v>66</v>
      </c>
      <c r="S332" s="7" t="s">
        <v>412</v>
      </c>
      <c r="T332" s="9" t="s">
        <v>68</v>
      </c>
      <c r="U332" s="7">
        <v>0.85</v>
      </c>
      <c r="V332" s="12">
        <f>C332+2</f>
        <v>40340</v>
      </c>
      <c r="W332">
        <f>IF(D332=' Pivot Tables'!$A$4,1,0)</f>
        <v>0</v>
      </c>
      <c r="X332">
        <f>IF(AND(LEFT(D332,4)+1=LEFT(' Pivot Tables'!$A$4,4)+0,RIGHT(LEFT(D332,7),2)=RIGHT(LEFT(' Pivot Tables'!$A$4,7),2)),1,0)</f>
        <v>0</v>
      </c>
      <c r="Y332" s="6">
        <f>1/COUNTIF(Таблица1[Order ID],Таблица1[[#This Row],[Order ID]])</f>
        <v>1</v>
      </c>
      <c r="Z332" s="9">
        <f>1/COUNTIFS(Таблица1[Customer Name],Таблица1[[#This Row],[Customer Name]],Таблица1[Order-Year-Month],Таблица1[[#This Row],[Order-Year-Month]])</f>
        <v>1</v>
      </c>
    </row>
    <row r="333" spans="1:26" x14ac:dyDescent="0.2">
      <c r="A333" s="6">
        <v>4957</v>
      </c>
      <c r="B333" s="7">
        <v>35266</v>
      </c>
      <c r="C333" s="8">
        <f>DATE(2012,12,31)-721</f>
        <v>40553</v>
      </c>
      <c r="D333" s="8" t="str">
        <f t="shared" si="5"/>
        <v>2011-01 (январь 2011)</v>
      </c>
      <c r="E333" s="9" t="s">
        <v>45</v>
      </c>
      <c r="F333" s="7">
        <v>39</v>
      </c>
      <c r="G333" s="7">
        <v>217.25</v>
      </c>
      <c r="H333" s="7">
        <v>7.0000000000000007E-2</v>
      </c>
      <c r="I333" s="9" t="s">
        <v>22</v>
      </c>
      <c r="J333" s="10">
        <v>33.5</v>
      </c>
      <c r="K333" s="11">
        <v>5.84</v>
      </c>
      <c r="L333" s="11">
        <v>1.2</v>
      </c>
      <c r="M333" s="9" t="s">
        <v>135</v>
      </c>
      <c r="N333" s="6" t="s">
        <v>173</v>
      </c>
      <c r="O333" s="6" t="s">
        <v>173</v>
      </c>
      <c r="P333" s="9" t="s">
        <v>41</v>
      </c>
      <c r="Q333" s="9" t="s">
        <v>26</v>
      </c>
      <c r="R333" s="9" t="s">
        <v>95</v>
      </c>
      <c r="S333" s="7" t="s">
        <v>413</v>
      </c>
      <c r="T333" s="9" t="s">
        <v>68</v>
      </c>
      <c r="U333" s="7">
        <v>0.55000000000000004</v>
      </c>
      <c r="V333" s="12">
        <f>C333+0</f>
        <v>40553</v>
      </c>
      <c r="W333">
        <f>IF(D333=' Pivot Tables'!$A$4,1,0)</f>
        <v>0</v>
      </c>
      <c r="X333">
        <f>IF(AND(LEFT(D333,4)+1=LEFT(' Pivot Tables'!$A$4,4)+0,RIGHT(LEFT(D333,7),2)=RIGHT(LEFT(' Pivot Tables'!$A$4,7),2)),1,0)</f>
        <v>0</v>
      </c>
      <c r="Y333" s="6">
        <f>1/COUNTIF(Таблица1[Order ID],Таблица1[[#This Row],[Order ID]])</f>
        <v>0.5</v>
      </c>
      <c r="Z333" s="9">
        <f>1/COUNTIFS(Таблица1[Customer Name],Таблица1[[#This Row],[Customer Name]],Таблица1[Order-Year-Month],Таблица1[[#This Row],[Order-Year-Month]])</f>
        <v>0.25</v>
      </c>
    </row>
    <row r="334" spans="1:26" x14ac:dyDescent="0.2">
      <c r="A334" s="6">
        <v>4958</v>
      </c>
      <c r="B334" s="7">
        <v>35266</v>
      </c>
      <c r="C334" s="8">
        <f>DATE(2012,12,31)-721</f>
        <v>40553</v>
      </c>
      <c r="D334" s="8" t="str">
        <f t="shared" si="5"/>
        <v>2011-01 (январь 2011)</v>
      </c>
      <c r="E334" s="9" t="s">
        <v>45</v>
      </c>
      <c r="F334" s="7">
        <v>28</v>
      </c>
      <c r="G334" s="7">
        <v>5993.74</v>
      </c>
      <c r="H334" s="7">
        <v>7.0000000000000007E-2</v>
      </c>
      <c r="I334" s="9" t="s">
        <v>31</v>
      </c>
      <c r="J334" s="10">
        <v>-998.93700000000013</v>
      </c>
      <c r="K334" s="11">
        <v>218.75</v>
      </c>
      <c r="L334" s="11">
        <v>69.64</v>
      </c>
      <c r="M334" s="9" t="s">
        <v>135</v>
      </c>
      <c r="N334" s="6" t="s">
        <v>173</v>
      </c>
      <c r="O334" s="6" t="s">
        <v>173</v>
      </c>
      <c r="P334" s="9" t="s">
        <v>41</v>
      </c>
      <c r="Q334" s="9" t="s">
        <v>49</v>
      </c>
      <c r="R334" s="9" t="s">
        <v>83</v>
      </c>
      <c r="S334" s="7" t="s">
        <v>254</v>
      </c>
      <c r="T334" s="9" t="s">
        <v>82</v>
      </c>
      <c r="U334" s="7">
        <v>0.77</v>
      </c>
      <c r="V334" s="12">
        <f>C334+2</f>
        <v>40555</v>
      </c>
      <c r="W334">
        <f>IF(D334=' Pivot Tables'!$A$4,1,0)</f>
        <v>0</v>
      </c>
      <c r="X334">
        <f>IF(AND(LEFT(D334,4)+1=LEFT(' Pivot Tables'!$A$4,4)+0,RIGHT(LEFT(D334,7),2)=RIGHT(LEFT(' Pivot Tables'!$A$4,7),2)),1,0)</f>
        <v>0</v>
      </c>
      <c r="Y334" s="6">
        <f>1/COUNTIF(Таблица1[Order ID],Таблица1[[#This Row],[Order ID]])</f>
        <v>0.5</v>
      </c>
      <c r="Z334" s="9">
        <f>1/COUNTIFS(Таблица1[Customer Name],Таблица1[[#This Row],[Customer Name]],Таблица1[Order-Year-Month],Таблица1[[#This Row],[Order-Year-Month]])</f>
        <v>0.25</v>
      </c>
    </row>
    <row r="335" spans="1:26" x14ac:dyDescent="0.2">
      <c r="A335" s="6">
        <v>5031</v>
      </c>
      <c r="B335" s="7">
        <v>35847</v>
      </c>
      <c r="C335" s="8">
        <f>DATE(2012,12,31)-1431</f>
        <v>39843</v>
      </c>
      <c r="D335" s="8" t="str">
        <f t="shared" si="5"/>
        <v>2009-01 (январь 2009)</v>
      </c>
      <c r="E335" s="9" t="s">
        <v>78</v>
      </c>
      <c r="F335" s="7">
        <v>23</v>
      </c>
      <c r="G335" s="7">
        <v>361.65</v>
      </c>
      <c r="H335" s="7">
        <v>0.08</v>
      </c>
      <c r="I335" s="9" t="s">
        <v>56</v>
      </c>
      <c r="J335" s="10">
        <v>-144.27000000000001</v>
      </c>
      <c r="K335" s="11">
        <v>15.98</v>
      </c>
      <c r="L335" s="11">
        <v>8.99</v>
      </c>
      <c r="M335" s="9" t="s">
        <v>114</v>
      </c>
      <c r="N335" s="6" t="s">
        <v>173</v>
      </c>
      <c r="O335" s="6" t="s">
        <v>173</v>
      </c>
      <c r="P335" s="9" t="s">
        <v>41</v>
      </c>
      <c r="Q335" s="9" t="s">
        <v>42</v>
      </c>
      <c r="R335" s="9" t="s">
        <v>70</v>
      </c>
      <c r="S335" s="7" t="s">
        <v>414</v>
      </c>
      <c r="T335" s="9" t="s">
        <v>52</v>
      </c>
      <c r="U335" s="7">
        <v>0.64</v>
      </c>
      <c r="V335" s="12">
        <f>C335+0</f>
        <v>39843</v>
      </c>
      <c r="W335">
        <f>IF(D335=' Pivot Tables'!$A$4,1,0)</f>
        <v>0</v>
      </c>
      <c r="X335">
        <f>IF(AND(LEFT(D335,4)+1=LEFT(' Pivot Tables'!$A$4,4)+0,RIGHT(LEFT(D335,7),2)=RIGHT(LEFT(' Pivot Tables'!$A$4,7),2)),1,0)</f>
        <v>1</v>
      </c>
      <c r="Y335" s="6">
        <f>1/COUNTIF(Таблица1[Order ID],Таблица1[[#This Row],[Order ID]])</f>
        <v>1</v>
      </c>
      <c r="Z335" s="9">
        <f>1/COUNTIFS(Таблица1[Customer Name],Таблица1[[#This Row],[Customer Name]],Таблица1[Order-Year-Month],Таблица1[[#This Row],[Order-Year-Month]])</f>
        <v>1</v>
      </c>
    </row>
    <row r="336" spans="1:26" x14ac:dyDescent="0.2">
      <c r="A336" s="6">
        <v>5048</v>
      </c>
      <c r="B336" s="7">
        <v>36001</v>
      </c>
      <c r="C336" s="8">
        <f>DATE(2012,12,31)-644</f>
        <v>40630</v>
      </c>
      <c r="D336" s="8" t="str">
        <f t="shared" si="5"/>
        <v>2011-03 (март 2011)</v>
      </c>
      <c r="E336" s="9" t="s">
        <v>21</v>
      </c>
      <c r="F336" s="7">
        <v>45</v>
      </c>
      <c r="G336" s="7">
        <v>1038.82</v>
      </c>
      <c r="H336" s="7">
        <v>0.05</v>
      </c>
      <c r="I336" s="9" t="s">
        <v>22</v>
      </c>
      <c r="J336" s="10">
        <v>-78.361000000000004</v>
      </c>
      <c r="K336" s="11">
        <v>22.38</v>
      </c>
      <c r="L336" s="11">
        <v>15.1</v>
      </c>
      <c r="M336" s="9" t="s">
        <v>139</v>
      </c>
      <c r="N336" s="6" t="s">
        <v>173</v>
      </c>
      <c r="O336" s="6" t="s">
        <v>173</v>
      </c>
      <c r="P336" s="9" t="s">
        <v>60</v>
      </c>
      <c r="Q336" s="9" t="s">
        <v>26</v>
      </c>
      <c r="R336" s="9" t="s">
        <v>37</v>
      </c>
      <c r="S336" s="7" t="s">
        <v>415</v>
      </c>
      <c r="T336" s="9" t="s">
        <v>39</v>
      </c>
      <c r="U336" s="7">
        <v>0.38</v>
      </c>
      <c r="V336" s="12">
        <f>C336+2</f>
        <v>40632</v>
      </c>
      <c r="W336">
        <f>IF(D336=' Pivot Tables'!$A$4,1,0)</f>
        <v>0</v>
      </c>
      <c r="X336">
        <f>IF(AND(LEFT(D336,4)+1=LEFT(' Pivot Tables'!$A$4,4)+0,RIGHT(LEFT(D336,7),2)=RIGHT(LEFT(' Pivot Tables'!$A$4,7),2)),1,0)</f>
        <v>0</v>
      </c>
      <c r="Y336" s="6">
        <f>1/COUNTIF(Таблица1[Order ID],Таблица1[[#This Row],[Order ID]])</f>
        <v>0.5</v>
      </c>
      <c r="Z336" s="9">
        <f>1/COUNTIFS(Таблица1[Customer Name],Таблица1[[#This Row],[Customer Name]],Таблица1[Order-Year-Month],Таблица1[[#This Row],[Order-Year-Month]])</f>
        <v>0.5</v>
      </c>
    </row>
    <row r="337" spans="1:26" x14ac:dyDescent="0.2">
      <c r="A337" s="6">
        <v>5049</v>
      </c>
      <c r="B337" s="7">
        <v>36001</v>
      </c>
      <c r="C337" s="8">
        <f>DATE(2012,12,31)-644</f>
        <v>40630</v>
      </c>
      <c r="D337" s="8" t="str">
        <f t="shared" si="5"/>
        <v>2011-03 (март 2011)</v>
      </c>
      <c r="E337" s="9" t="s">
        <v>21</v>
      </c>
      <c r="F337" s="7">
        <v>47</v>
      </c>
      <c r="G337" s="7">
        <v>564.39</v>
      </c>
      <c r="H337" s="7">
        <v>0.09</v>
      </c>
      <c r="I337" s="9" t="s">
        <v>22</v>
      </c>
      <c r="J337" s="10">
        <v>51.8245</v>
      </c>
      <c r="K337" s="11">
        <v>12.95</v>
      </c>
      <c r="L337" s="11">
        <v>4.9800000000000004</v>
      </c>
      <c r="M337" s="9" t="s">
        <v>139</v>
      </c>
      <c r="N337" s="6" t="s">
        <v>173</v>
      </c>
      <c r="O337" s="6" t="s">
        <v>173</v>
      </c>
      <c r="P337" s="9" t="s">
        <v>60</v>
      </c>
      <c r="Q337" s="9" t="s">
        <v>26</v>
      </c>
      <c r="R337" s="9" t="s">
        <v>37</v>
      </c>
      <c r="S337" s="7" t="s">
        <v>278</v>
      </c>
      <c r="T337" s="9" t="s">
        <v>39</v>
      </c>
      <c r="U337" s="7">
        <v>0.4</v>
      </c>
      <c r="V337" s="12">
        <f>C337+4</f>
        <v>40634</v>
      </c>
      <c r="W337">
        <f>IF(D337=' Pivot Tables'!$A$4,1,0)</f>
        <v>0</v>
      </c>
      <c r="X337">
        <f>IF(AND(LEFT(D337,4)+1=LEFT(' Pivot Tables'!$A$4,4)+0,RIGHT(LEFT(D337,7),2)=RIGHT(LEFT(' Pivot Tables'!$A$4,7),2)),1,0)</f>
        <v>0</v>
      </c>
      <c r="Y337" s="6">
        <f>1/COUNTIF(Таблица1[Order ID],Таблица1[[#This Row],[Order ID]])</f>
        <v>0.5</v>
      </c>
      <c r="Z337" s="9">
        <f>1/COUNTIFS(Таблица1[Customer Name],Таблица1[[#This Row],[Customer Name]],Таблица1[Order-Year-Month],Таблица1[[#This Row],[Order-Year-Month]])</f>
        <v>0.5</v>
      </c>
    </row>
    <row r="338" spans="1:26" x14ac:dyDescent="0.2">
      <c r="A338" s="6">
        <v>5074</v>
      </c>
      <c r="B338" s="7">
        <v>36134</v>
      </c>
      <c r="C338" s="8">
        <f>DATE(2012,12,31)-770</f>
        <v>40504</v>
      </c>
      <c r="D338" s="8" t="str">
        <f t="shared" si="5"/>
        <v>2010-11 (ноябрь 2010)</v>
      </c>
      <c r="E338" s="9" t="s">
        <v>21</v>
      </c>
      <c r="F338" s="7">
        <v>6</v>
      </c>
      <c r="G338" s="7">
        <v>826.97349999999994</v>
      </c>
      <c r="H338" s="7">
        <v>0.01</v>
      </c>
      <c r="I338" s="9" t="s">
        <v>22</v>
      </c>
      <c r="J338" s="10">
        <v>-413.32499999999999</v>
      </c>
      <c r="K338" s="11">
        <v>155.99</v>
      </c>
      <c r="L338" s="11">
        <v>8.99</v>
      </c>
      <c r="M338" s="9" t="s">
        <v>102</v>
      </c>
      <c r="N338" s="6" t="s">
        <v>173</v>
      </c>
      <c r="O338" s="6" t="s">
        <v>173</v>
      </c>
      <c r="P338" s="9" t="s">
        <v>41</v>
      </c>
      <c r="Q338" s="9" t="s">
        <v>42</v>
      </c>
      <c r="R338" s="9" t="s">
        <v>43</v>
      </c>
      <c r="S338" s="7" t="s">
        <v>416</v>
      </c>
      <c r="T338" s="9" t="s">
        <v>39</v>
      </c>
      <c r="U338" s="7">
        <v>0.55000000000000004</v>
      </c>
      <c r="V338" s="12">
        <f>C338+0</f>
        <v>40504</v>
      </c>
      <c r="W338">
        <f>IF(D338=' Pivot Tables'!$A$4,1,0)</f>
        <v>0</v>
      </c>
      <c r="X338">
        <f>IF(AND(LEFT(D338,4)+1=LEFT(' Pivot Tables'!$A$4,4)+0,RIGHT(LEFT(D338,7),2)=RIGHT(LEFT(' Pivot Tables'!$A$4,7),2)),1,0)</f>
        <v>0</v>
      </c>
      <c r="Y338" s="6">
        <f>1/COUNTIF(Таблица1[Order ID],Таблица1[[#This Row],[Order ID]])</f>
        <v>1</v>
      </c>
      <c r="Z338" s="9">
        <f>1/COUNTIFS(Таблица1[Customer Name],Таблица1[[#This Row],[Customer Name]],Таблица1[Order-Year-Month],Таблица1[[#This Row],[Order-Year-Month]])</f>
        <v>1</v>
      </c>
    </row>
    <row r="339" spans="1:26" x14ac:dyDescent="0.2">
      <c r="A339" s="6">
        <v>5075</v>
      </c>
      <c r="B339" s="7">
        <v>36135</v>
      </c>
      <c r="C339" s="8">
        <f>DATE(2012,12,31)-581</f>
        <v>40693</v>
      </c>
      <c r="D339" s="8" t="str">
        <f t="shared" si="5"/>
        <v>2011-05 (май 2011)</v>
      </c>
      <c r="E339" s="9" t="s">
        <v>45</v>
      </c>
      <c r="F339" s="7">
        <v>33</v>
      </c>
      <c r="G339" s="7">
        <v>999.22599999999989</v>
      </c>
      <c r="H339" s="7">
        <v>0.02</v>
      </c>
      <c r="I339" s="9" t="s">
        <v>22</v>
      </c>
      <c r="J339" s="10">
        <v>381.16800000000001</v>
      </c>
      <c r="K339" s="11">
        <v>35.99</v>
      </c>
      <c r="L339" s="11">
        <v>3.3</v>
      </c>
      <c r="M339" s="9" t="s">
        <v>166</v>
      </c>
      <c r="N339" s="6" t="s">
        <v>173</v>
      </c>
      <c r="O339" s="6" t="s">
        <v>173</v>
      </c>
      <c r="P339" s="9" t="s">
        <v>33</v>
      </c>
      <c r="Q339" s="9" t="s">
        <v>42</v>
      </c>
      <c r="R339" s="9" t="s">
        <v>43</v>
      </c>
      <c r="S339" s="7" t="s">
        <v>417</v>
      </c>
      <c r="T339" s="9" t="s">
        <v>52</v>
      </c>
      <c r="U339" s="7">
        <v>0.39</v>
      </c>
      <c r="V339" s="12">
        <f>C339+1</f>
        <v>40694</v>
      </c>
      <c r="W339">
        <f>IF(D339=' Pivot Tables'!$A$4,1,0)</f>
        <v>0</v>
      </c>
      <c r="X339">
        <f>IF(AND(LEFT(D339,4)+1=LEFT(' Pivot Tables'!$A$4,4)+0,RIGHT(LEFT(D339,7),2)=RIGHT(LEFT(' Pivot Tables'!$A$4,7),2)),1,0)</f>
        <v>0</v>
      </c>
      <c r="Y339" s="6">
        <f>1/COUNTIF(Таблица1[Order ID],Таблица1[[#This Row],[Order ID]])</f>
        <v>1</v>
      </c>
      <c r="Z339" s="9">
        <f>1/COUNTIFS(Таблица1[Customer Name],Таблица1[[#This Row],[Customer Name]],Таблица1[Order-Year-Month],Таблица1[[#This Row],[Order-Year-Month]])</f>
        <v>0.16666666666666666</v>
      </c>
    </row>
    <row r="340" spans="1:26" x14ac:dyDescent="0.2">
      <c r="A340" s="6">
        <v>5138</v>
      </c>
      <c r="B340" s="7">
        <v>36644</v>
      </c>
      <c r="C340" s="8">
        <f>DATE(2012,12,31)-232</f>
        <v>41042</v>
      </c>
      <c r="D340" s="8" t="str">
        <f t="shared" si="5"/>
        <v>2012-05 (май 2012)</v>
      </c>
      <c r="E340" s="9" t="s">
        <v>30</v>
      </c>
      <c r="F340" s="7">
        <v>24</v>
      </c>
      <c r="G340" s="7">
        <v>2298.3200000000002</v>
      </c>
      <c r="H340" s="7">
        <v>0.06</v>
      </c>
      <c r="I340" s="9" t="s">
        <v>22</v>
      </c>
      <c r="J340" s="10">
        <v>218.72</v>
      </c>
      <c r="K340" s="11">
        <v>99.99</v>
      </c>
      <c r="L340" s="11">
        <v>19.989999999999998</v>
      </c>
      <c r="M340" s="9" t="s">
        <v>124</v>
      </c>
      <c r="N340" s="6" t="s">
        <v>173</v>
      </c>
      <c r="O340" s="6" t="s">
        <v>173</v>
      </c>
      <c r="P340" s="9" t="s">
        <v>41</v>
      </c>
      <c r="Q340" s="9" t="s">
        <v>42</v>
      </c>
      <c r="R340" s="9" t="s">
        <v>70</v>
      </c>
      <c r="S340" s="7" t="s">
        <v>306</v>
      </c>
      <c r="T340" s="9" t="s">
        <v>39</v>
      </c>
      <c r="U340" s="7">
        <v>0.5</v>
      </c>
      <c r="V340" s="12">
        <f>C340+1</f>
        <v>41043</v>
      </c>
      <c r="W340">
        <f>IF(D340=' Pivot Tables'!$A$4,1,0)</f>
        <v>0</v>
      </c>
      <c r="X340">
        <f>IF(AND(LEFT(D340,4)+1=LEFT(' Pivot Tables'!$A$4,4)+0,RIGHT(LEFT(D340,7),2)=RIGHT(LEFT(' Pivot Tables'!$A$4,7),2)),1,0)</f>
        <v>0</v>
      </c>
      <c r="Y340" s="6">
        <f>1/COUNTIF(Таблица1[Order ID],Таблица1[[#This Row],[Order ID]])</f>
        <v>1</v>
      </c>
      <c r="Z340" s="9">
        <f>1/COUNTIFS(Таблица1[Customer Name],Таблица1[[#This Row],[Customer Name]],Таблица1[Order-Year-Month],Таблица1[[#This Row],[Order-Year-Month]])</f>
        <v>1</v>
      </c>
    </row>
    <row r="341" spans="1:26" x14ac:dyDescent="0.2">
      <c r="A341" s="6">
        <v>5139</v>
      </c>
      <c r="B341" s="7">
        <v>36646</v>
      </c>
      <c r="C341" s="8">
        <f>DATE(2012,12,31)-937</f>
        <v>40337</v>
      </c>
      <c r="D341" s="8" t="str">
        <f t="shared" si="5"/>
        <v>2010-06 (июнь 2010)</v>
      </c>
      <c r="E341" s="9" t="s">
        <v>63</v>
      </c>
      <c r="F341" s="7">
        <v>24</v>
      </c>
      <c r="G341" s="7">
        <v>1168.1500000000001</v>
      </c>
      <c r="H341" s="7">
        <v>0.04</v>
      </c>
      <c r="I341" s="9" t="s">
        <v>56</v>
      </c>
      <c r="J341" s="10">
        <v>-743.96</v>
      </c>
      <c r="K341" s="11">
        <v>48.91</v>
      </c>
      <c r="L341" s="11">
        <v>35</v>
      </c>
      <c r="M341" s="9" t="s">
        <v>23</v>
      </c>
      <c r="N341" s="6" t="s">
        <v>173</v>
      </c>
      <c r="O341" s="6" t="s">
        <v>173</v>
      </c>
      <c r="P341" s="9" t="s">
        <v>25</v>
      </c>
      <c r="Q341" s="9" t="s">
        <v>26</v>
      </c>
      <c r="R341" s="9" t="s">
        <v>27</v>
      </c>
      <c r="S341" s="7" t="s">
        <v>418</v>
      </c>
      <c r="T341" s="9" t="s">
        <v>29</v>
      </c>
      <c r="U341" s="7">
        <v>0.83</v>
      </c>
      <c r="V341" s="12">
        <f>C341+1</f>
        <v>40338</v>
      </c>
      <c r="W341">
        <f>IF(D341=' Pivot Tables'!$A$4,1,0)</f>
        <v>0</v>
      </c>
      <c r="X341">
        <f>IF(AND(LEFT(D341,4)+1=LEFT(' Pivot Tables'!$A$4,4)+0,RIGHT(LEFT(D341,7),2)=RIGHT(LEFT(' Pivot Tables'!$A$4,7),2)),1,0)</f>
        <v>0</v>
      </c>
      <c r="Y341" s="6">
        <f>1/COUNTIF(Таблица1[Order ID],Таблица1[[#This Row],[Order ID]])</f>
        <v>1</v>
      </c>
      <c r="Z341" s="9">
        <f>1/COUNTIFS(Таблица1[Customer Name],Таблица1[[#This Row],[Customer Name]],Таблица1[Order-Year-Month],Таблица1[[#This Row],[Order-Year-Month]])</f>
        <v>1</v>
      </c>
    </row>
    <row r="342" spans="1:26" x14ac:dyDescent="0.2">
      <c r="A342" s="6">
        <v>5154</v>
      </c>
      <c r="B342" s="7">
        <v>36707</v>
      </c>
      <c r="C342" s="8">
        <f>DATE(2012,12,31)-1128</f>
        <v>40146</v>
      </c>
      <c r="D342" s="8" t="str">
        <f t="shared" si="5"/>
        <v>2009-11 (ноябрь 2009)</v>
      </c>
      <c r="E342" s="9" t="s">
        <v>63</v>
      </c>
      <c r="F342" s="7">
        <v>47</v>
      </c>
      <c r="G342" s="7">
        <v>181.78</v>
      </c>
      <c r="H342" s="7">
        <v>0.02</v>
      </c>
      <c r="I342" s="9" t="s">
        <v>22</v>
      </c>
      <c r="J342" s="10">
        <v>71.56</v>
      </c>
      <c r="K342" s="11">
        <v>3.78</v>
      </c>
      <c r="L342" s="11">
        <v>0.71</v>
      </c>
      <c r="M342" s="9" t="s">
        <v>334</v>
      </c>
      <c r="N342" s="6" t="s">
        <v>173</v>
      </c>
      <c r="O342" s="6" t="s">
        <v>173</v>
      </c>
      <c r="P342" s="9" t="s">
        <v>60</v>
      </c>
      <c r="Q342" s="9" t="s">
        <v>26</v>
      </c>
      <c r="R342" s="9" t="s">
        <v>66</v>
      </c>
      <c r="S342" s="7" t="s">
        <v>419</v>
      </c>
      <c r="T342" s="9" t="s">
        <v>68</v>
      </c>
      <c r="U342" s="7">
        <v>0.39</v>
      </c>
      <c r="V342" s="12">
        <f>C342+1</f>
        <v>40147</v>
      </c>
      <c r="W342">
        <f>IF(D342=' Pivot Tables'!$A$4,1,0)</f>
        <v>0</v>
      </c>
      <c r="X342">
        <f>IF(AND(LEFT(D342,4)+1=LEFT(' Pivot Tables'!$A$4,4)+0,RIGHT(LEFT(D342,7),2)=RIGHT(LEFT(' Pivot Tables'!$A$4,7),2)),1,0)</f>
        <v>0</v>
      </c>
      <c r="Y342" s="6">
        <f>1/COUNTIF(Таблица1[Order ID],Таблица1[[#This Row],[Order ID]])</f>
        <v>1</v>
      </c>
      <c r="Z342" s="9">
        <f>1/COUNTIFS(Таблица1[Customer Name],Таблица1[[#This Row],[Customer Name]],Таблица1[Order-Year-Month],Таблица1[[#This Row],[Order-Year-Month]])</f>
        <v>1</v>
      </c>
    </row>
    <row r="343" spans="1:26" x14ac:dyDescent="0.2">
      <c r="A343" s="6">
        <v>5236</v>
      </c>
      <c r="B343" s="7">
        <v>37253</v>
      </c>
      <c r="C343" s="8">
        <f>DATE(2012,12,31)-121</f>
        <v>41153</v>
      </c>
      <c r="D343" s="8" t="str">
        <f t="shared" si="5"/>
        <v>2012-09 (сентябрь 2012)</v>
      </c>
      <c r="E343" s="9" t="s">
        <v>30</v>
      </c>
      <c r="F343" s="7">
        <v>46</v>
      </c>
      <c r="G343" s="7">
        <v>1184.32</v>
      </c>
      <c r="H343" s="7">
        <v>0.09</v>
      </c>
      <c r="I343" s="9" t="s">
        <v>22</v>
      </c>
      <c r="J343" s="10">
        <v>-99.55</v>
      </c>
      <c r="K343" s="11">
        <v>26.31</v>
      </c>
      <c r="L343" s="11">
        <v>5.89</v>
      </c>
      <c r="M343" s="9" t="s">
        <v>23</v>
      </c>
      <c r="N343" s="6" t="s">
        <v>173</v>
      </c>
      <c r="O343" s="6" t="s">
        <v>173</v>
      </c>
      <c r="P343" s="9" t="s">
        <v>25</v>
      </c>
      <c r="Q343" s="9" t="s">
        <v>42</v>
      </c>
      <c r="R343" s="9" t="s">
        <v>70</v>
      </c>
      <c r="S343" s="7" t="s">
        <v>420</v>
      </c>
      <c r="T343" s="9" t="s">
        <v>39</v>
      </c>
      <c r="U343" s="7">
        <v>0.75</v>
      </c>
      <c r="V343" s="12">
        <f>C343+0</f>
        <v>41153</v>
      </c>
      <c r="W343">
        <f>IF(D343=' Pivot Tables'!$A$4,1,0)</f>
        <v>0</v>
      </c>
      <c r="X343">
        <f>IF(AND(LEFT(D343,4)+1=LEFT(' Pivot Tables'!$A$4,4)+0,RIGHT(LEFT(D343,7),2)=RIGHT(LEFT(' Pivot Tables'!$A$4,7),2)),1,0)</f>
        <v>0</v>
      </c>
      <c r="Y343" s="6">
        <f>1/COUNTIF(Таблица1[Order ID],Таблица1[[#This Row],[Order ID]])</f>
        <v>1</v>
      </c>
      <c r="Z343" s="9">
        <f>1/COUNTIFS(Таблица1[Customer Name],Таблица1[[#This Row],[Customer Name]],Таблица1[Order-Year-Month],Таблица1[[#This Row],[Order-Year-Month]])</f>
        <v>1</v>
      </c>
    </row>
    <row r="344" spans="1:26" x14ac:dyDescent="0.2">
      <c r="A344" s="6">
        <v>5275</v>
      </c>
      <c r="B344" s="7">
        <v>37541</v>
      </c>
      <c r="C344" s="8">
        <f>DATE(2012,12,31)-1039</f>
        <v>40235</v>
      </c>
      <c r="D344" s="8" t="str">
        <f t="shared" si="5"/>
        <v>2010-02 (февраль 2010)</v>
      </c>
      <c r="E344" s="9" t="s">
        <v>63</v>
      </c>
      <c r="F344" s="7">
        <v>3</v>
      </c>
      <c r="G344" s="7">
        <v>71.94</v>
      </c>
      <c r="H344" s="7">
        <v>0.01</v>
      </c>
      <c r="I344" s="9" t="s">
        <v>22</v>
      </c>
      <c r="J344" s="10">
        <v>-70.680000000000007</v>
      </c>
      <c r="K344" s="11">
        <v>20.95</v>
      </c>
      <c r="L344" s="11">
        <v>5.99</v>
      </c>
      <c r="M344" s="9" t="s">
        <v>72</v>
      </c>
      <c r="N344" s="6" t="s">
        <v>173</v>
      </c>
      <c r="O344" s="6" t="s">
        <v>173</v>
      </c>
      <c r="P344" s="9" t="s">
        <v>25</v>
      </c>
      <c r="Q344" s="9" t="s">
        <v>42</v>
      </c>
      <c r="R344" s="9" t="s">
        <v>70</v>
      </c>
      <c r="S344" s="7" t="s">
        <v>231</v>
      </c>
      <c r="T344" s="9" t="s">
        <v>39</v>
      </c>
      <c r="U344" s="7">
        <v>0.65</v>
      </c>
      <c r="V344" s="12">
        <f>C344+2</f>
        <v>40237</v>
      </c>
      <c r="W344">
        <f>IF(D344=' Pivot Tables'!$A$4,1,0)</f>
        <v>0</v>
      </c>
      <c r="X344">
        <f>IF(AND(LEFT(D344,4)+1=LEFT(' Pivot Tables'!$A$4,4)+0,RIGHT(LEFT(D344,7),2)=RIGHT(LEFT(' Pivot Tables'!$A$4,7),2)),1,0)</f>
        <v>0</v>
      </c>
      <c r="Y344" s="6">
        <f>1/COUNTIF(Таблица1[Order ID],Таблица1[[#This Row],[Order ID]])</f>
        <v>0.33333333333333331</v>
      </c>
      <c r="Z344" s="9">
        <f>1/COUNTIFS(Таблица1[Customer Name],Таблица1[[#This Row],[Customer Name]],Таблица1[Order-Year-Month],Таблица1[[#This Row],[Order-Year-Month]])</f>
        <v>0.2</v>
      </c>
    </row>
    <row r="345" spans="1:26" x14ac:dyDescent="0.2">
      <c r="A345" s="6">
        <v>5276</v>
      </c>
      <c r="B345" s="7">
        <v>37541</v>
      </c>
      <c r="C345" s="8">
        <f>DATE(2012,12,31)-1039</f>
        <v>40235</v>
      </c>
      <c r="D345" s="8" t="str">
        <f t="shared" si="5"/>
        <v>2010-02 (февраль 2010)</v>
      </c>
      <c r="E345" s="9" t="s">
        <v>63</v>
      </c>
      <c r="F345" s="7">
        <v>10</v>
      </c>
      <c r="G345" s="7">
        <v>550.61</v>
      </c>
      <c r="H345" s="7">
        <v>0.08</v>
      </c>
      <c r="I345" s="9" t="s">
        <v>56</v>
      </c>
      <c r="J345" s="10">
        <v>98.32</v>
      </c>
      <c r="K345" s="11">
        <v>55.98</v>
      </c>
      <c r="L345" s="11">
        <v>13.88</v>
      </c>
      <c r="M345" s="9" t="s">
        <v>72</v>
      </c>
      <c r="N345" s="6" t="s">
        <v>173</v>
      </c>
      <c r="O345" s="6" t="s">
        <v>173</v>
      </c>
      <c r="P345" s="9" t="s">
        <v>25</v>
      </c>
      <c r="Q345" s="9" t="s">
        <v>26</v>
      </c>
      <c r="R345" s="9" t="s">
        <v>61</v>
      </c>
      <c r="S345" s="7" t="s">
        <v>421</v>
      </c>
      <c r="T345" s="9" t="s">
        <v>39</v>
      </c>
      <c r="U345" s="7">
        <v>0.36</v>
      </c>
      <c r="V345" s="12">
        <f>C345+1</f>
        <v>40236</v>
      </c>
      <c r="W345">
        <f>IF(D345=' Pivot Tables'!$A$4,1,0)</f>
        <v>0</v>
      </c>
      <c r="X345">
        <f>IF(AND(LEFT(D345,4)+1=LEFT(' Pivot Tables'!$A$4,4)+0,RIGHT(LEFT(D345,7),2)=RIGHT(LEFT(' Pivot Tables'!$A$4,7),2)),1,0)</f>
        <v>0</v>
      </c>
      <c r="Y345" s="6">
        <f>1/COUNTIF(Таблица1[Order ID],Таблица1[[#This Row],[Order ID]])</f>
        <v>0.33333333333333331</v>
      </c>
      <c r="Z345" s="9">
        <f>1/COUNTIFS(Таблица1[Customer Name],Таблица1[[#This Row],[Customer Name]],Таблица1[Order-Year-Month],Таблица1[[#This Row],[Order-Year-Month]])</f>
        <v>0.2</v>
      </c>
    </row>
    <row r="346" spans="1:26" x14ac:dyDescent="0.2">
      <c r="A346" s="6">
        <v>5277</v>
      </c>
      <c r="B346" s="7">
        <v>37541</v>
      </c>
      <c r="C346" s="8">
        <f>DATE(2012,12,31)-1039</f>
        <v>40235</v>
      </c>
      <c r="D346" s="8" t="str">
        <f t="shared" si="5"/>
        <v>2010-02 (февраль 2010)</v>
      </c>
      <c r="E346" s="9" t="s">
        <v>63</v>
      </c>
      <c r="F346" s="7">
        <v>18</v>
      </c>
      <c r="G346" s="7">
        <v>1373.11</v>
      </c>
      <c r="H346" s="7">
        <v>0.1</v>
      </c>
      <c r="I346" s="9" t="s">
        <v>22</v>
      </c>
      <c r="J346" s="10">
        <v>-599.54</v>
      </c>
      <c r="K346" s="11">
        <v>80.98</v>
      </c>
      <c r="L346" s="11">
        <v>35</v>
      </c>
      <c r="M346" s="9" t="s">
        <v>72</v>
      </c>
      <c r="N346" s="6" t="s">
        <v>173</v>
      </c>
      <c r="O346" s="6" t="s">
        <v>173</v>
      </c>
      <c r="P346" s="9" t="s">
        <v>25</v>
      </c>
      <c r="Q346" s="9" t="s">
        <v>26</v>
      </c>
      <c r="R346" s="9" t="s">
        <v>27</v>
      </c>
      <c r="S346" s="7" t="s">
        <v>171</v>
      </c>
      <c r="T346" s="9" t="s">
        <v>29</v>
      </c>
      <c r="U346" s="7">
        <v>0.81</v>
      </c>
      <c r="V346" s="12">
        <f>C346+2</f>
        <v>40237</v>
      </c>
      <c r="W346">
        <f>IF(D346=' Pivot Tables'!$A$4,1,0)</f>
        <v>0</v>
      </c>
      <c r="X346">
        <f>IF(AND(LEFT(D346,4)+1=LEFT(' Pivot Tables'!$A$4,4)+0,RIGHT(LEFT(D346,7),2)=RIGHT(LEFT(' Pivot Tables'!$A$4,7),2)),1,0)</f>
        <v>0</v>
      </c>
      <c r="Y346" s="6">
        <f>1/COUNTIF(Таблица1[Order ID],Таблица1[[#This Row],[Order ID]])</f>
        <v>0.33333333333333331</v>
      </c>
      <c r="Z346" s="9">
        <f>1/COUNTIFS(Таблица1[Customer Name],Таблица1[[#This Row],[Customer Name]],Таблица1[Order-Year-Month],Таблица1[[#This Row],[Order-Year-Month]])</f>
        <v>0.2</v>
      </c>
    </row>
    <row r="347" spans="1:26" x14ac:dyDescent="0.2">
      <c r="A347" s="6">
        <v>5286</v>
      </c>
      <c r="B347" s="7">
        <v>37634</v>
      </c>
      <c r="C347" s="8">
        <f>DATE(2012,12,31)-224</f>
        <v>41050</v>
      </c>
      <c r="D347" s="8" t="str">
        <f t="shared" si="5"/>
        <v>2012-05 (май 2012)</v>
      </c>
      <c r="E347" s="9" t="s">
        <v>63</v>
      </c>
      <c r="F347" s="7">
        <v>32</v>
      </c>
      <c r="G347" s="7">
        <v>368.18</v>
      </c>
      <c r="H347" s="7">
        <v>7.0000000000000007E-2</v>
      </c>
      <c r="I347" s="9" t="s">
        <v>22</v>
      </c>
      <c r="J347" s="10">
        <v>-36.78</v>
      </c>
      <c r="K347" s="11">
        <v>12.21</v>
      </c>
      <c r="L347" s="11">
        <v>4.8099999999999996</v>
      </c>
      <c r="M347" s="9" t="s">
        <v>203</v>
      </c>
      <c r="N347" s="6" t="s">
        <v>173</v>
      </c>
      <c r="O347" s="6" t="s">
        <v>173</v>
      </c>
      <c r="P347" s="9" t="s">
        <v>41</v>
      </c>
      <c r="Q347" s="9" t="s">
        <v>26</v>
      </c>
      <c r="R347" s="9" t="s">
        <v>27</v>
      </c>
      <c r="S347" s="7" t="s">
        <v>396</v>
      </c>
      <c r="T347" s="9" t="s">
        <v>39</v>
      </c>
      <c r="U347" s="7">
        <v>0.57999999999999996</v>
      </c>
      <c r="V347" s="12">
        <f>C347+1</f>
        <v>41051</v>
      </c>
      <c r="W347">
        <f>IF(D347=' Pivot Tables'!$A$4,1,0)</f>
        <v>0</v>
      </c>
      <c r="X347">
        <f>IF(AND(LEFT(D347,4)+1=LEFT(' Pivot Tables'!$A$4,4)+0,RIGHT(LEFT(D347,7),2)=RIGHT(LEFT(' Pivot Tables'!$A$4,7),2)),1,0)</f>
        <v>0</v>
      </c>
      <c r="Y347" s="6">
        <f>1/COUNTIF(Таблица1[Order ID],Таблица1[[#This Row],[Order ID]])</f>
        <v>1</v>
      </c>
      <c r="Z347" s="9">
        <f>1/COUNTIFS(Таблица1[Customer Name],Таблица1[[#This Row],[Customer Name]],Таблица1[Order-Year-Month],Таблица1[[#This Row],[Order-Year-Month]])</f>
        <v>1</v>
      </c>
    </row>
    <row r="348" spans="1:26" x14ac:dyDescent="0.2">
      <c r="A348" s="6">
        <v>5312</v>
      </c>
      <c r="B348" s="7">
        <v>37793</v>
      </c>
      <c r="C348" s="8">
        <f>DATE(2012,12,31)-1149</f>
        <v>40125</v>
      </c>
      <c r="D348" s="8" t="str">
        <f t="shared" si="5"/>
        <v>2009-11 (ноябрь 2009)</v>
      </c>
      <c r="E348" s="9" t="s">
        <v>45</v>
      </c>
      <c r="F348" s="7">
        <v>16</v>
      </c>
      <c r="G348" s="7">
        <v>224.47</v>
      </c>
      <c r="H348" s="7">
        <v>0.08</v>
      </c>
      <c r="I348" s="9" t="s">
        <v>22</v>
      </c>
      <c r="J348" s="10">
        <v>-49.31</v>
      </c>
      <c r="K348" s="11">
        <v>13.9</v>
      </c>
      <c r="L348" s="11">
        <v>7.59</v>
      </c>
      <c r="M348" s="9" t="s">
        <v>124</v>
      </c>
      <c r="N348" s="6" t="s">
        <v>173</v>
      </c>
      <c r="O348" s="6" t="s">
        <v>173</v>
      </c>
      <c r="P348" s="9" t="s">
        <v>41</v>
      </c>
      <c r="Q348" s="9" t="s">
        <v>26</v>
      </c>
      <c r="R348" s="9" t="s">
        <v>150</v>
      </c>
      <c r="S348" s="7" t="s">
        <v>422</v>
      </c>
      <c r="T348" s="9" t="s">
        <v>52</v>
      </c>
      <c r="U348" s="7">
        <v>0.56000000000000005</v>
      </c>
      <c r="V348" s="12">
        <f>C348+1</f>
        <v>40126</v>
      </c>
      <c r="W348">
        <f>IF(D348=' Pivot Tables'!$A$4,1,0)</f>
        <v>0</v>
      </c>
      <c r="X348">
        <f>IF(AND(LEFT(D348,4)+1=LEFT(' Pivot Tables'!$A$4,4)+0,RIGHT(LEFT(D348,7),2)=RIGHT(LEFT(' Pivot Tables'!$A$4,7),2)),1,0)</f>
        <v>0</v>
      </c>
      <c r="Y348" s="6">
        <f>1/COUNTIF(Таблица1[Order ID],Таблица1[[#This Row],[Order ID]])</f>
        <v>1</v>
      </c>
      <c r="Z348" s="9">
        <f>1/COUNTIFS(Таблица1[Customer Name],Таблица1[[#This Row],[Customer Name]],Таблица1[Order-Year-Month],Таблица1[[#This Row],[Order-Year-Month]])</f>
        <v>1</v>
      </c>
    </row>
    <row r="349" spans="1:26" x14ac:dyDescent="0.2">
      <c r="A349" s="6">
        <v>5325</v>
      </c>
      <c r="B349" s="7">
        <v>37860</v>
      </c>
      <c r="C349" s="8">
        <f>DATE(2012,12,31)-857</f>
        <v>40417</v>
      </c>
      <c r="D349" s="8" t="str">
        <f t="shared" si="5"/>
        <v>2010-08 (август 2010)</v>
      </c>
      <c r="E349" s="9" t="s">
        <v>63</v>
      </c>
      <c r="F349" s="7">
        <v>1</v>
      </c>
      <c r="G349" s="7">
        <v>104.85</v>
      </c>
      <c r="H349" s="7">
        <v>7.0000000000000007E-2</v>
      </c>
      <c r="I349" s="9" t="s">
        <v>22</v>
      </c>
      <c r="J349" s="10">
        <v>-98.31</v>
      </c>
      <c r="K349" s="11">
        <v>55.5</v>
      </c>
      <c r="L349" s="11">
        <v>52.2</v>
      </c>
      <c r="M349" s="9" t="s">
        <v>317</v>
      </c>
      <c r="N349" s="6" t="s">
        <v>173</v>
      </c>
      <c r="O349" s="6" t="s">
        <v>173</v>
      </c>
      <c r="P349" s="9" t="s">
        <v>41</v>
      </c>
      <c r="Q349" s="9" t="s">
        <v>49</v>
      </c>
      <c r="R349" s="9" t="s">
        <v>50</v>
      </c>
      <c r="S349" s="7" t="s">
        <v>423</v>
      </c>
      <c r="T349" s="9" t="s">
        <v>48</v>
      </c>
      <c r="U349" s="7">
        <v>0.72</v>
      </c>
      <c r="V349" s="12">
        <f>C349+2</f>
        <v>40419</v>
      </c>
      <c r="W349">
        <f>IF(D349=' Pivot Tables'!$A$4,1,0)</f>
        <v>0</v>
      </c>
      <c r="X349">
        <f>IF(AND(LEFT(D349,4)+1=LEFT(' Pivot Tables'!$A$4,4)+0,RIGHT(LEFT(D349,7),2)=RIGHT(LEFT(' Pivot Tables'!$A$4,7),2)),1,0)</f>
        <v>0</v>
      </c>
      <c r="Y349" s="6">
        <f>1/COUNTIF(Таблица1[Order ID],Таблица1[[#This Row],[Order ID]])</f>
        <v>1</v>
      </c>
      <c r="Z349" s="9">
        <f>1/COUNTIFS(Таблица1[Customer Name],Таблица1[[#This Row],[Customer Name]],Таблица1[Order-Year-Month],Таблица1[[#This Row],[Order-Year-Month]])</f>
        <v>1</v>
      </c>
    </row>
    <row r="350" spans="1:26" x14ac:dyDescent="0.2">
      <c r="A350" s="6">
        <v>5472</v>
      </c>
      <c r="B350" s="7">
        <v>38884</v>
      </c>
      <c r="C350" s="8">
        <f>DATE(2012,12,31)-136</f>
        <v>41138</v>
      </c>
      <c r="D350" s="8" t="str">
        <f t="shared" si="5"/>
        <v>2012-08 (август 2012)</v>
      </c>
      <c r="E350" s="9" t="s">
        <v>30</v>
      </c>
      <c r="F350" s="7">
        <v>47</v>
      </c>
      <c r="G350" s="7">
        <v>256</v>
      </c>
      <c r="H350" s="7">
        <v>0.03</v>
      </c>
      <c r="I350" s="9" t="s">
        <v>22</v>
      </c>
      <c r="J350" s="10">
        <v>-119.84</v>
      </c>
      <c r="K350" s="11">
        <v>5.28</v>
      </c>
      <c r="L350" s="11">
        <v>5.66</v>
      </c>
      <c r="M350" s="9" t="s">
        <v>118</v>
      </c>
      <c r="N350" s="6" t="s">
        <v>173</v>
      </c>
      <c r="O350" s="6" t="s">
        <v>173</v>
      </c>
      <c r="P350" s="9" t="s">
        <v>33</v>
      </c>
      <c r="Q350" s="9" t="s">
        <v>26</v>
      </c>
      <c r="R350" s="9" t="s">
        <v>61</v>
      </c>
      <c r="S350" s="7" t="s">
        <v>424</v>
      </c>
      <c r="T350" s="9" t="s">
        <v>39</v>
      </c>
      <c r="U350" s="7">
        <v>0.4</v>
      </c>
      <c r="V350" s="12">
        <f>C350+1</f>
        <v>41139</v>
      </c>
      <c r="W350">
        <f>IF(D350=' Pivot Tables'!$A$4,1,0)</f>
        <v>0</v>
      </c>
      <c r="X350">
        <f>IF(AND(LEFT(D350,4)+1=LEFT(' Pivot Tables'!$A$4,4)+0,RIGHT(LEFT(D350,7),2)=RIGHT(LEFT(' Pivot Tables'!$A$4,7),2)),1,0)</f>
        <v>0</v>
      </c>
      <c r="Y350" s="6">
        <f>1/COUNTIF(Таблица1[Order ID],Таблица1[[#This Row],[Order ID]])</f>
        <v>0.5</v>
      </c>
      <c r="Z350" s="9">
        <f>1/COUNTIFS(Таблица1[Customer Name],Таблица1[[#This Row],[Customer Name]],Таблица1[Order-Year-Month],Таблица1[[#This Row],[Order-Year-Month]])</f>
        <v>0.5</v>
      </c>
    </row>
    <row r="351" spans="1:26" x14ac:dyDescent="0.2">
      <c r="A351" s="6">
        <v>5473</v>
      </c>
      <c r="B351" s="7">
        <v>38884</v>
      </c>
      <c r="C351" s="8">
        <f>DATE(2012,12,31)-136</f>
        <v>41138</v>
      </c>
      <c r="D351" s="8" t="str">
        <f t="shared" si="5"/>
        <v>2012-08 (август 2012)</v>
      </c>
      <c r="E351" s="9" t="s">
        <v>30</v>
      </c>
      <c r="F351" s="7">
        <v>20</v>
      </c>
      <c r="G351" s="7">
        <v>6067.76</v>
      </c>
      <c r="H351" s="7">
        <v>0.06</v>
      </c>
      <c r="I351" s="9" t="s">
        <v>31</v>
      </c>
      <c r="J351" s="10">
        <v>-98.046000000000006</v>
      </c>
      <c r="K351" s="11">
        <v>296.18</v>
      </c>
      <c r="L351" s="11">
        <v>54.12</v>
      </c>
      <c r="M351" s="9" t="s">
        <v>118</v>
      </c>
      <c r="N351" s="6" t="s">
        <v>173</v>
      </c>
      <c r="O351" s="6" t="s">
        <v>173</v>
      </c>
      <c r="P351" s="9" t="s">
        <v>33</v>
      </c>
      <c r="Q351" s="9" t="s">
        <v>49</v>
      </c>
      <c r="R351" s="9" t="s">
        <v>83</v>
      </c>
      <c r="S351" s="7" t="s">
        <v>425</v>
      </c>
      <c r="T351" s="9" t="s">
        <v>82</v>
      </c>
      <c r="U351" s="7">
        <v>0.76</v>
      </c>
      <c r="V351" s="12">
        <f>C351+1</f>
        <v>41139</v>
      </c>
      <c r="W351">
        <f>IF(D351=' Pivot Tables'!$A$4,1,0)</f>
        <v>0</v>
      </c>
      <c r="X351">
        <f>IF(AND(LEFT(D351,4)+1=LEFT(' Pivot Tables'!$A$4,4)+0,RIGHT(LEFT(D351,7),2)=RIGHT(LEFT(' Pivot Tables'!$A$4,7),2)),1,0)</f>
        <v>0</v>
      </c>
      <c r="Y351" s="6">
        <f>1/COUNTIF(Таблица1[Order ID],Таблица1[[#This Row],[Order ID]])</f>
        <v>0.5</v>
      </c>
      <c r="Z351" s="9">
        <f>1/COUNTIFS(Таблица1[Customer Name],Таблица1[[#This Row],[Customer Name]],Таблица1[Order-Year-Month],Таблица1[[#This Row],[Order-Year-Month]])</f>
        <v>0.5</v>
      </c>
    </row>
    <row r="352" spans="1:26" x14ac:dyDescent="0.2">
      <c r="A352" s="6">
        <v>5559</v>
      </c>
      <c r="B352" s="7">
        <v>39364</v>
      </c>
      <c r="C352" s="8">
        <f>DATE(2012,12,31)-52</f>
        <v>41222</v>
      </c>
      <c r="D352" s="8" t="str">
        <f t="shared" si="5"/>
        <v>2012-11 (ноябрь 2012)</v>
      </c>
      <c r="E352" s="9" t="s">
        <v>30</v>
      </c>
      <c r="F352" s="7">
        <v>29</v>
      </c>
      <c r="G352" s="7">
        <v>2754.93</v>
      </c>
      <c r="H352" s="7">
        <v>0.06</v>
      </c>
      <c r="I352" s="9" t="s">
        <v>22</v>
      </c>
      <c r="J352" s="10">
        <v>-1.3299999999999841</v>
      </c>
      <c r="K352" s="11">
        <v>92.23</v>
      </c>
      <c r="L352" s="11">
        <v>39.61</v>
      </c>
      <c r="M352" s="9" t="s">
        <v>194</v>
      </c>
      <c r="N352" s="6" t="s">
        <v>173</v>
      </c>
      <c r="O352" s="6" t="s">
        <v>173</v>
      </c>
      <c r="P352" s="9" t="s">
        <v>41</v>
      </c>
      <c r="Q352" s="9" t="s">
        <v>49</v>
      </c>
      <c r="R352" s="9" t="s">
        <v>50</v>
      </c>
      <c r="S352" s="7" t="s">
        <v>145</v>
      </c>
      <c r="T352" s="9" t="s">
        <v>48</v>
      </c>
      <c r="U352" s="7">
        <v>0.67</v>
      </c>
      <c r="V352" s="12">
        <f>C352+1</f>
        <v>41223</v>
      </c>
      <c r="W352">
        <f>IF(D352=' Pivot Tables'!$A$4,1,0)</f>
        <v>0</v>
      </c>
      <c r="X352">
        <f>IF(AND(LEFT(D352,4)+1=LEFT(' Pivot Tables'!$A$4,4)+0,RIGHT(LEFT(D352,7),2)=RIGHT(LEFT(' Pivot Tables'!$A$4,7),2)),1,0)</f>
        <v>0</v>
      </c>
      <c r="Y352" s="6">
        <f>1/COUNTIF(Таблица1[Order ID],Таблица1[[#This Row],[Order ID]])</f>
        <v>0.5</v>
      </c>
      <c r="Z352" s="9">
        <f>1/COUNTIFS(Таблица1[Customer Name],Таблица1[[#This Row],[Customer Name]],Таблица1[Order-Year-Month],Таблица1[[#This Row],[Order-Year-Month]])</f>
        <v>0.5</v>
      </c>
    </row>
    <row r="353" spans="1:26" x14ac:dyDescent="0.2">
      <c r="A353" s="6">
        <v>5560</v>
      </c>
      <c r="B353" s="7">
        <v>39364</v>
      </c>
      <c r="C353" s="8">
        <f>DATE(2012,12,31)-52</f>
        <v>41222</v>
      </c>
      <c r="D353" s="8" t="str">
        <f t="shared" si="5"/>
        <v>2012-11 (ноябрь 2012)</v>
      </c>
      <c r="E353" s="9" t="s">
        <v>30</v>
      </c>
      <c r="F353" s="7">
        <v>15</v>
      </c>
      <c r="G353" s="7">
        <v>19417.55</v>
      </c>
      <c r="H353" s="7">
        <v>0.03</v>
      </c>
      <c r="I353" s="9" t="s">
        <v>22</v>
      </c>
      <c r="J353" s="10">
        <v>8417.5670000000009</v>
      </c>
      <c r="K353" s="11">
        <v>1270.99</v>
      </c>
      <c r="L353" s="11">
        <v>19.989999999999998</v>
      </c>
      <c r="M353" s="9" t="s">
        <v>194</v>
      </c>
      <c r="N353" s="6" t="s">
        <v>173</v>
      </c>
      <c r="O353" s="6" t="s">
        <v>173</v>
      </c>
      <c r="P353" s="9" t="s">
        <v>41</v>
      </c>
      <c r="Q353" s="9" t="s">
        <v>26</v>
      </c>
      <c r="R353" s="9" t="s">
        <v>37</v>
      </c>
      <c r="S353" s="7" t="s">
        <v>273</v>
      </c>
      <c r="T353" s="9" t="s">
        <v>39</v>
      </c>
      <c r="U353" s="7">
        <v>0.35</v>
      </c>
      <c r="V353" s="12">
        <f>C353+2</f>
        <v>41224</v>
      </c>
      <c r="W353">
        <f>IF(D353=' Pivot Tables'!$A$4,1,0)</f>
        <v>0</v>
      </c>
      <c r="X353">
        <f>IF(AND(LEFT(D353,4)+1=LEFT(' Pivot Tables'!$A$4,4)+0,RIGHT(LEFT(D353,7),2)=RIGHT(LEFT(' Pivot Tables'!$A$4,7),2)),1,0)</f>
        <v>0</v>
      </c>
      <c r="Y353" s="6">
        <f>1/COUNTIF(Таблица1[Order ID],Таблица1[[#This Row],[Order ID]])</f>
        <v>0.5</v>
      </c>
      <c r="Z353" s="9">
        <f>1/COUNTIFS(Таблица1[Customer Name],Таблица1[[#This Row],[Customer Name]],Таблица1[Order-Year-Month],Таблица1[[#This Row],[Order-Year-Month]])</f>
        <v>0.5</v>
      </c>
    </row>
    <row r="354" spans="1:26" x14ac:dyDescent="0.2">
      <c r="A354" s="6">
        <v>5569</v>
      </c>
      <c r="B354" s="7">
        <v>39457</v>
      </c>
      <c r="C354" s="8">
        <f>DATE(2012,12,31)-578</f>
        <v>40696</v>
      </c>
      <c r="D354" s="8" t="str">
        <f t="shared" si="5"/>
        <v>2011-06 (июнь 2011)</v>
      </c>
      <c r="E354" s="9" t="s">
        <v>78</v>
      </c>
      <c r="F354" s="7">
        <v>40</v>
      </c>
      <c r="G354" s="7">
        <v>4842.21</v>
      </c>
      <c r="H354" s="7">
        <v>0.03</v>
      </c>
      <c r="I354" s="9" t="s">
        <v>31</v>
      </c>
      <c r="J354" s="10">
        <v>-1975.26</v>
      </c>
      <c r="K354" s="11">
        <v>122.99</v>
      </c>
      <c r="L354" s="11">
        <v>70.2</v>
      </c>
      <c r="M354" s="9" t="s">
        <v>111</v>
      </c>
      <c r="N354" s="6" t="s">
        <v>173</v>
      </c>
      <c r="O354" s="6" t="s">
        <v>173</v>
      </c>
      <c r="P354" s="9" t="s">
        <v>60</v>
      </c>
      <c r="Q354" s="9" t="s">
        <v>49</v>
      </c>
      <c r="R354" s="9" t="s">
        <v>112</v>
      </c>
      <c r="S354" s="7" t="s">
        <v>426</v>
      </c>
      <c r="T354" s="9" t="s">
        <v>36</v>
      </c>
      <c r="U354" s="7">
        <v>0.74</v>
      </c>
      <c r="V354" s="12">
        <f>C354+0</f>
        <v>40696</v>
      </c>
      <c r="W354">
        <f>IF(D354=' Pivot Tables'!$A$4,1,0)</f>
        <v>0</v>
      </c>
      <c r="X354">
        <f>IF(AND(LEFT(D354,4)+1=LEFT(' Pivot Tables'!$A$4,4)+0,RIGHT(LEFT(D354,7),2)=RIGHT(LEFT(' Pivot Tables'!$A$4,7),2)),1,0)</f>
        <v>0</v>
      </c>
      <c r="Y354" s="6">
        <f>1/COUNTIF(Таблица1[Order ID],Таблица1[[#This Row],[Order ID]])</f>
        <v>1</v>
      </c>
      <c r="Z354" s="9">
        <f>1/COUNTIFS(Таблица1[Customer Name],Таблица1[[#This Row],[Customer Name]],Таблица1[Order-Year-Month],Таблица1[[#This Row],[Order-Year-Month]])</f>
        <v>0.5</v>
      </c>
    </row>
    <row r="355" spans="1:26" x14ac:dyDescent="0.2">
      <c r="A355" s="6">
        <v>5598</v>
      </c>
      <c r="B355" s="7">
        <v>39683</v>
      </c>
      <c r="C355" s="8">
        <f>DATE(2012,12,31)-509</f>
        <v>40765</v>
      </c>
      <c r="D355" s="8" t="str">
        <f t="shared" si="5"/>
        <v>2011-08 (август 2011)</v>
      </c>
      <c r="E355" s="9" t="s">
        <v>30</v>
      </c>
      <c r="F355" s="7">
        <v>31</v>
      </c>
      <c r="G355" s="7">
        <v>615.58000000000004</v>
      </c>
      <c r="H355" s="7">
        <v>0.04</v>
      </c>
      <c r="I355" s="9" t="s">
        <v>22</v>
      </c>
      <c r="J355" s="10">
        <v>168.0025</v>
      </c>
      <c r="K355" s="11">
        <v>18.989999999999998</v>
      </c>
      <c r="L355" s="11">
        <v>5.23</v>
      </c>
      <c r="M355" s="9" t="s">
        <v>354</v>
      </c>
      <c r="N355" s="6" t="s">
        <v>173</v>
      </c>
      <c r="O355" s="6" t="s">
        <v>173</v>
      </c>
      <c r="P355" s="9" t="s">
        <v>41</v>
      </c>
      <c r="Q355" s="9" t="s">
        <v>26</v>
      </c>
      <c r="R355" s="9" t="s">
        <v>37</v>
      </c>
      <c r="S355" s="7" t="s">
        <v>353</v>
      </c>
      <c r="T355" s="9" t="s">
        <v>39</v>
      </c>
      <c r="U355" s="7">
        <v>0.37</v>
      </c>
      <c r="V355" s="12">
        <f>C355+3</f>
        <v>40768</v>
      </c>
      <c r="W355">
        <f>IF(D355=' Pivot Tables'!$A$4,1,0)</f>
        <v>0</v>
      </c>
      <c r="X355">
        <f>IF(AND(LEFT(D355,4)+1=LEFT(' Pivot Tables'!$A$4,4)+0,RIGHT(LEFT(D355,7),2)=RIGHT(LEFT(' Pivot Tables'!$A$4,7),2)),1,0)</f>
        <v>0</v>
      </c>
      <c r="Y355" s="6">
        <f>1/COUNTIF(Таблица1[Order ID],Таблица1[[#This Row],[Order ID]])</f>
        <v>0.25</v>
      </c>
      <c r="Z355" s="9">
        <f>1/COUNTIFS(Таблица1[Customer Name],Таблица1[[#This Row],[Customer Name]],Таблица1[Order-Year-Month],Таблица1[[#This Row],[Order-Year-Month]])</f>
        <v>0.25</v>
      </c>
    </row>
    <row r="356" spans="1:26" x14ac:dyDescent="0.2">
      <c r="A356" s="6">
        <v>5599</v>
      </c>
      <c r="B356" s="7">
        <v>39683</v>
      </c>
      <c r="C356" s="8">
        <f>DATE(2012,12,31)-509</f>
        <v>40765</v>
      </c>
      <c r="D356" s="8" t="str">
        <f t="shared" si="5"/>
        <v>2011-08 (август 2011)</v>
      </c>
      <c r="E356" s="9" t="s">
        <v>30</v>
      </c>
      <c r="F356" s="7">
        <v>41</v>
      </c>
      <c r="G356" s="7">
        <v>8387.1</v>
      </c>
      <c r="H356" s="7">
        <v>0.1</v>
      </c>
      <c r="I356" s="9" t="s">
        <v>22</v>
      </c>
      <c r="J356" s="10">
        <v>2113.9499999999998</v>
      </c>
      <c r="K356" s="11">
        <v>218.08</v>
      </c>
      <c r="L356" s="11">
        <v>18.059999999999999</v>
      </c>
      <c r="M356" s="9" t="s">
        <v>354</v>
      </c>
      <c r="N356" s="6" t="s">
        <v>173</v>
      </c>
      <c r="O356" s="6" t="s">
        <v>173</v>
      </c>
      <c r="P356" s="9" t="s">
        <v>41</v>
      </c>
      <c r="Q356" s="9" t="s">
        <v>49</v>
      </c>
      <c r="R356" s="9" t="s">
        <v>112</v>
      </c>
      <c r="S356" s="7" t="s">
        <v>186</v>
      </c>
      <c r="T356" s="9" t="s">
        <v>29</v>
      </c>
      <c r="U356" s="7">
        <v>0.56999999999999995</v>
      </c>
      <c r="V356" s="12">
        <f>C356+1</f>
        <v>40766</v>
      </c>
      <c r="W356">
        <f>IF(D356=' Pivot Tables'!$A$4,1,0)</f>
        <v>0</v>
      </c>
      <c r="X356">
        <f>IF(AND(LEFT(D356,4)+1=LEFT(' Pivot Tables'!$A$4,4)+0,RIGHT(LEFT(D356,7),2)=RIGHT(LEFT(' Pivot Tables'!$A$4,7),2)),1,0)</f>
        <v>0</v>
      </c>
      <c r="Y356" s="6">
        <f>1/COUNTIF(Таблица1[Order ID],Таблица1[[#This Row],[Order ID]])</f>
        <v>0.25</v>
      </c>
      <c r="Z356" s="9">
        <f>1/COUNTIFS(Таблица1[Customer Name],Таблица1[[#This Row],[Customer Name]],Таблица1[Order-Year-Month],Таблица1[[#This Row],[Order-Year-Month]])</f>
        <v>0.25</v>
      </c>
    </row>
    <row r="357" spans="1:26" x14ac:dyDescent="0.2">
      <c r="A357" s="6">
        <v>5600</v>
      </c>
      <c r="B357" s="7">
        <v>39683</v>
      </c>
      <c r="C357" s="8">
        <f>DATE(2012,12,31)-509</f>
        <v>40765</v>
      </c>
      <c r="D357" s="8" t="str">
        <f t="shared" si="5"/>
        <v>2011-08 (август 2011)</v>
      </c>
      <c r="E357" s="9" t="s">
        <v>30</v>
      </c>
      <c r="F357" s="7">
        <v>6</v>
      </c>
      <c r="G357" s="7">
        <v>126.02</v>
      </c>
      <c r="H357" s="7">
        <v>0.09</v>
      </c>
      <c r="I357" s="9" t="s">
        <v>22</v>
      </c>
      <c r="J357" s="10">
        <v>66.97</v>
      </c>
      <c r="K357" s="11">
        <v>20.239999999999998</v>
      </c>
      <c r="L357" s="11">
        <v>6.67</v>
      </c>
      <c r="M357" s="9" t="s">
        <v>354</v>
      </c>
      <c r="N357" s="6" t="s">
        <v>173</v>
      </c>
      <c r="O357" s="6" t="s">
        <v>173</v>
      </c>
      <c r="P357" s="9" t="s">
        <v>41</v>
      </c>
      <c r="Q357" s="9" t="s">
        <v>49</v>
      </c>
      <c r="R357" s="9" t="s">
        <v>50</v>
      </c>
      <c r="S357" s="7" t="s">
        <v>427</v>
      </c>
      <c r="T357" s="9" t="s">
        <v>52</v>
      </c>
      <c r="U357" s="7">
        <v>0.49</v>
      </c>
      <c r="V357" s="12">
        <f>C357+1</f>
        <v>40766</v>
      </c>
      <c r="W357">
        <f>IF(D357=' Pivot Tables'!$A$4,1,0)</f>
        <v>0</v>
      </c>
      <c r="X357">
        <f>IF(AND(LEFT(D357,4)+1=LEFT(' Pivot Tables'!$A$4,4)+0,RIGHT(LEFT(D357,7),2)=RIGHT(LEFT(' Pivot Tables'!$A$4,7),2)),1,0)</f>
        <v>0</v>
      </c>
      <c r="Y357" s="6">
        <f>1/COUNTIF(Таблица1[Order ID],Таблица1[[#This Row],[Order ID]])</f>
        <v>0.25</v>
      </c>
      <c r="Z357" s="9">
        <f>1/COUNTIFS(Таблица1[Customer Name],Таблица1[[#This Row],[Customer Name]],Таблица1[Order-Year-Month],Таблица1[[#This Row],[Order-Year-Month]])</f>
        <v>0.25</v>
      </c>
    </row>
    <row r="358" spans="1:26" x14ac:dyDescent="0.2">
      <c r="A358" s="6">
        <v>5601</v>
      </c>
      <c r="B358" s="7">
        <v>39683</v>
      </c>
      <c r="C358" s="8">
        <f>DATE(2012,12,31)-509</f>
        <v>40765</v>
      </c>
      <c r="D358" s="8" t="str">
        <f t="shared" si="5"/>
        <v>2011-08 (август 2011)</v>
      </c>
      <c r="E358" s="9" t="s">
        <v>30</v>
      </c>
      <c r="F358" s="7">
        <v>30</v>
      </c>
      <c r="G358" s="7">
        <v>68.14</v>
      </c>
      <c r="H358" s="7">
        <v>0</v>
      </c>
      <c r="I358" s="9" t="s">
        <v>22</v>
      </c>
      <c r="J358" s="10">
        <v>6.37</v>
      </c>
      <c r="K358" s="11">
        <v>2.1800000000000002</v>
      </c>
      <c r="L358" s="11">
        <v>0.78</v>
      </c>
      <c r="M358" s="9" t="s">
        <v>354</v>
      </c>
      <c r="N358" s="6" t="s">
        <v>173</v>
      </c>
      <c r="O358" s="6" t="s">
        <v>173</v>
      </c>
      <c r="P358" s="9" t="s">
        <v>41</v>
      </c>
      <c r="Q358" s="9" t="s">
        <v>26</v>
      </c>
      <c r="R358" s="9" t="s">
        <v>66</v>
      </c>
      <c r="S358" s="7" t="s">
        <v>428</v>
      </c>
      <c r="T358" s="9" t="s">
        <v>68</v>
      </c>
      <c r="U358" s="7">
        <v>0.52</v>
      </c>
      <c r="V358" s="12">
        <f>C358+2</f>
        <v>40767</v>
      </c>
      <c r="W358">
        <f>IF(D358=' Pivot Tables'!$A$4,1,0)</f>
        <v>0</v>
      </c>
      <c r="X358">
        <f>IF(AND(LEFT(D358,4)+1=LEFT(' Pivot Tables'!$A$4,4)+0,RIGHT(LEFT(D358,7),2)=RIGHT(LEFT(' Pivot Tables'!$A$4,7),2)),1,0)</f>
        <v>0</v>
      </c>
      <c r="Y358" s="6">
        <f>1/COUNTIF(Таблица1[Order ID],Таблица1[[#This Row],[Order ID]])</f>
        <v>0.25</v>
      </c>
      <c r="Z358" s="9">
        <f>1/COUNTIFS(Таблица1[Customer Name],Таблица1[[#This Row],[Customer Name]],Таблица1[Order-Year-Month],Таблица1[[#This Row],[Order-Year-Month]])</f>
        <v>0.25</v>
      </c>
    </row>
    <row r="359" spans="1:26" x14ac:dyDescent="0.2">
      <c r="A359" s="6">
        <v>5628</v>
      </c>
      <c r="B359" s="7">
        <v>39846</v>
      </c>
      <c r="C359" s="8">
        <f>DATE(2012,12,31)-1403</f>
        <v>39871</v>
      </c>
      <c r="D359" s="8" t="str">
        <f t="shared" si="5"/>
        <v>2009-02 (февраль 2009)</v>
      </c>
      <c r="E359" s="9" t="s">
        <v>21</v>
      </c>
      <c r="F359" s="7">
        <v>14</v>
      </c>
      <c r="G359" s="7">
        <v>71.47</v>
      </c>
      <c r="H359" s="7">
        <v>0.06</v>
      </c>
      <c r="I359" s="9" t="s">
        <v>22</v>
      </c>
      <c r="J359" s="10">
        <v>-62.73</v>
      </c>
      <c r="K359" s="11">
        <v>4.9800000000000004</v>
      </c>
      <c r="L359" s="11">
        <v>4.62</v>
      </c>
      <c r="M359" s="9" t="s">
        <v>360</v>
      </c>
      <c r="N359" s="6" t="s">
        <v>173</v>
      </c>
      <c r="O359" s="6" t="s">
        <v>173</v>
      </c>
      <c r="P359" s="9" t="s">
        <v>41</v>
      </c>
      <c r="Q359" s="9" t="s">
        <v>42</v>
      </c>
      <c r="R359" s="9" t="s">
        <v>70</v>
      </c>
      <c r="S359" s="7" t="s">
        <v>402</v>
      </c>
      <c r="T359" s="9" t="s">
        <v>52</v>
      </c>
      <c r="U359" s="7">
        <v>0.64</v>
      </c>
      <c r="V359" s="12">
        <f>C359+7</f>
        <v>39878</v>
      </c>
      <c r="W359">
        <f>IF(D359=' Pivot Tables'!$A$4,1,0)</f>
        <v>0</v>
      </c>
      <c r="X359">
        <f>IF(AND(LEFT(D359,4)+1=LEFT(' Pivot Tables'!$A$4,4)+0,RIGHT(LEFT(D359,7),2)=RIGHT(LEFT(' Pivot Tables'!$A$4,7),2)),1,0)</f>
        <v>0</v>
      </c>
      <c r="Y359" s="6">
        <f>1/COUNTIF(Таблица1[Order ID],Таблица1[[#This Row],[Order ID]])</f>
        <v>0.5</v>
      </c>
      <c r="Z359" s="9">
        <f>1/COUNTIFS(Таблица1[Customer Name],Таблица1[[#This Row],[Customer Name]],Таблица1[Order-Year-Month],Таблица1[[#This Row],[Order-Year-Month]])</f>
        <v>0.5</v>
      </c>
    </row>
    <row r="360" spans="1:26" x14ac:dyDescent="0.2">
      <c r="A360" s="6">
        <v>5659</v>
      </c>
      <c r="B360" s="7">
        <v>40036</v>
      </c>
      <c r="C360" s="8">
        <f>DATE(2012,12,31)-938</f>
        <v>40336</v>
      </c>
      <c r="D360" s="8" t="str">
        <f t="shared" si="5"/>
        <v>2010-06 (июнь 2010)</v>
      </c>
      <c r="E360" s="9" t="s">
        <v>45</v>
      </c>
      <c r="F360" s="7">
        <v>10</v>
      </c>
      <c r="G360" s="7">
        <v>568.33550000000002</v>
      </c>
      <c r="H360" s="7">
        <v>0.02</v>
      </c>
      <c r="I360" s="9" t="s">
        <v>22</v>
      </c>
      <c r="J360" s="10">
        <v>-147.35599999999999</v>
      </c>
      <c r="K360" s="11">
        <v>65.989999999999995</v>
      </c>
      <c r="L360" s="11">
        <v>8.99</v>
      </c>
      <c r="M360" s="9" t="s">
        <v>289</v>
      </c>
      <c r="N360" s="6" t="s">
        <v>173</v>
      </c>
      <c r="O360" s="6" t="s">
        <v>173</v>
      </c>
      <c r="P360" s="9" t="s">
        <v>60</v>
      </c>
      <c r="Q360" s="9" t="s">
        <v>42</v>
      </c>
      <c r="R360" s="9" t="s">
        <v>43</v>
      </c>
      <c r="S360" s="7" t="s">
        <v>429</v>
      </c>
      <c r="T360" s="9" t="s">
        <v>39</v>
      </c>
      <c r="U360" s="7">
        <v>0.57999999999999996</v>
      </c>
      <c r="V360" s="12">
        <f>C360+1</f>
        <v>40337</v>
      </c>
      <c r="W360">
        <f>IF(D360=' Pivot Tables'!$A$4,1,0)</f>
        <v>0</v>
      </c>
      <c r="X360">
        <f>IF(AND(LEFT(D360,4)+1=LEFT(' Pivot Tables'!$A$4,4)+0,RIGHT(LEFT(D360,7),2)=RIGHT(LEFT(' Pivot Tables'!$A$4,7),2)),1,0)</f>
        <v>0</v>
      </c>
      <c r="Y360" s="6">
        <f>1/COUNTIF(Таблица1[Order ID],Таблица1[[#This Row],[Order ID]])</f>
        <v>1</v>
      </c>
      <c r="Z360" s="9">
        <f>1/COUNTIFS(Таблица1[Customer Name],Таблица1[[#This Row],[Customer Name]],Таблица1[Order-Year-Month],Таблица1[[#This Row],[Order-Year-Month]])</f>
        <v>1</v>
      </c>
    </row>
    <row r="361" spans="1:26" x14ac:dyDescent="0.2">
      <c r="A361" s="6">
        <v>5662</v>
      </c>
      <c r="B361" s="7">
        <v>40067</v>
      </c>
      <c r="C361" s="8">
        <f>DATE(2012,12,31)-318</f>
        <v>40956</v>
      </c>
      <c r="D361" s="8" t="str">
        <f t="shared" si="5"/>
        <v>2012-02 (февраль 2012)</v>
      </c>
      <c r="E361" s="9" t="s">
        <v>21</v>
      </c>
      <c r="F361" s="7">
        <v>38</v>
      </c>
      <c r="G361" s="7">
        <v>2157.3085000000001</v>
      </c>
      <c r="H361" s="7">
        <v>0</v>
      </c>
      <c r="I361" s="9" t="s">
        <v>22</v>
      </c>
      <c r="J361" s="10">
        <v>519.24600000000009</v>
      </c>
      <c r="K361" s="11">
        <v>65.989999999999995</v>
      </c>
      <c r="L361" s="11">
        <v>5.31</v>
      </c>
      <c r="M361" s="9" t="s">
        <v>106</v>
      </c>
      <c r="N361" s="6" t="s">
        <v>173</v>
      </c>
      <c r="O361" s="6" t="s">
        <v>173</v>
      </c>
      <c r="P361" s="9" t="s">
        <v>41</v>
      </c>
      <c r="Q361" s="9" t="s">
        <v>42</v>
      </c>
      <c r="R361" s="9" t="s">
        <v>43</v>
      </c>
      <c r="S361" s="7" t="s">
        <v>430</v>
      </c>
      <c r="T361" s="9" t="s">
        <v>39</v>
      </c>
      <c r="U361" s="7">
        <v>0.56999999999999995</v>
      </c>
      <c r="V361" s="12">
        <f>C361+2</f>
        <v>40958</v>
      </c>
      <c r="W361">
        <f>IF(D361=' Pivot Tables'!$A$4,1,0)</f>
        <v>0</v>
      </c>
      <c r="X361">
        <f>IF(AND(LEFT(D361,4)+1=LEFT(' Pivot Tables'!$A$4,4)+0,RIGHT(LEFT(D361,7),2)=RIGHT(LEFT(' Pivot Tables'!$A$4,7),2)),1,0)</f>
        <v>0</v>
      </c>
      <c r="Y361" s="6">
        <f>1/COUNTIF(Таблица1[Order ID],Таблица1[[#This Row],[Order ID]])</f>
        <v>1</v>
      </c>
      <c r="Z361" s="9">
        <f>1/COUNTIFS(Таблица1[Customer Name],Таблица1[[#This Row],[Customer Name]],Таблица1[Order-Year-Month],Таблица1[[#This Row],[Order-Year-Month]])</f>
        <v>1</v>
      </c>
    </row>
    <row r="362" spans="1:26" x14ac:dyDescent="0.2">
      <c r="A362" s="6">
        <v>5675</v>
      </c>
      <c r="B362" s="7">
        <v>40132</v>
      </c>
      <c r="C362" s="8">
        <f>DATE(2012,12,31)-312</f>
        <v>40962</v>
      </c>
      <c r="D362" s="8" t="str">
        <f t="shared" si="5"/>
        <v>2012-02 (февраль 2012)</v>
      </c>
      <c r="E362" s="9" t="s">
        <v>21</v>
      </c>
      <c r="F362" s="7">
        <v>26</v>
      </c>
      <c r="G362" s="7">
        <v>1363</v>
      </c>
      <c r="H362" s="7">
        <v>0.04</v>
      </c>
      <c r="I362" s="9" t="s">
        <v>31</v>
      </c>
      <c r="J362" s="10">
        <v>149.83000000000001</v>
      </c>
      <c r="K362" s="11">
        <v>50.98</v>
      </c>
      <c r="L362" s="11">
        <v>14.19</v>
      </c>
      <c r="M362" s="9" t="s">
        <v>212</v>
      </c>
      <c r="N362" s="6" t="s">
        <v>173</v>
      </c>
      <c r="O362" s="6" t="s">
        <v>173</v>
      </c>
      <c r="P362" s="9" t="s">
        <v>41</v>
      </c>
      <c r="Q362" s="9" t="s">
        <v>49</v>
      </c>
      <c r="R362" s="9" t="s">
        <v>112</v>
      </c>
      <c r="S362" s="7" t="s">
        <v>431</v>
      </c>
      <c r="T362" s="9" t="s">
        <v>36</v>
      </c>
      <c r="U362" s="7">
        <v>0.56000000000000005</v>
      </c>
      <c r="V362" s="12">
        <f>C362+6</f>
        <v>40968</v>
      </c>
      <c r="W362">
        <f>IF(D362=' Pivot Tables'!$A$4,1,0)</f>
        <v>0</v>
      </c>
      <c r="X362">
        <f>IF(AND(LEFT(D362,4)+1=LEFT(' Pivot Tables'!$A$4,4)+0,RIGHT(LEFT(D362,7),2)=RIGHT(LEFT(' Pivot Tables'!$A$4,7),2)),1,0)</f>
        <v>0</v>
      </c>
      <c r="Y362" s="6">
        <f>1/COUNTIF(Таблица1[Order ID],Таблица1[[#This Row],[Order ID]])</f>
        <v>0.33333333333333331</v>
      </c>
      <c r="Z362" s="9">
        <f>1/COUNTIFS(Таблица1[Customer Name],Таблица1[[#This Row],[Customer Name]],Таблица1[Order-Year-Month],Таблица1[[#This Row],[Order-Year-Month]])</f>
        <v>0.33333333333333331</v>
      </c>
    </row>
    <row r="363" spans="1:26" x14ac:dyDescent="0.2">
      <c r="A363" s="6">
        <v>5676</v>
      </c>
      <c r="B363" s="7">
        <v>40132</v>
      </c>
      <c r="C363" s="8">
        <f>DATE(2012,12,31)-312</f>
        <v>40962</v>
      </c>
      <c r="D363" s="8" t="str">
        <f t="shared" si="5"/>
        <v>2012-02 (февраль 2012)</v>
      </c>
      <c r="E363" s="9" t="s">
        <v>21</v>
      </c>
      <c r="F363" s="7">
        <v>36</v>
      </c>
      <c r="G363" s="7">
        <v>4698.5</v>
      </c>
      <c r="H363" s="7">
        <v>0.04</v>
      </c>
      <c r="I363" s="9" t="s">
        <v>31</v>
      </c>
      <c r="J363" s="10">
        <v>-219.375</v>
      </c>
      <c r="K363" s="11">
        <v>124.49</v>
      </c>
      <c r="L363" s="11">
        <v>51.94</v>
      </c>
      <c r="M363" s="9" t="s">
        <v>212</v>
      </c>
      <c r="N363" s="6" t="s">
        <v>173</v>
      </c>
      <c r="O363" s="6" t="s">
        <v>173</v>
      </c>
      <c r="P363" s="9" t="s">
        <v>41</v>
      </c>
      <c r="Q363" s="9" t="s">
        <v>49</v>
      </c>
      <c r="R363" s="9" t="s">
        <v>83</v>
      </c>
      <c r="S363" s="7" t="s">
        <v>432</v>
      </c>
      <c r="T363" s="9" t="s">
        <v>82</v>
      </c>
      <c r="U363" s="7">
        <v>0.63</v>
      </c>
      <c r="V363" s="12">
        <f>C363+6</f>
        <v>40968</v>
      </c>
      <c r="W363">
        <f>IF(D363=' Pivot Tables'!$A$4,1,0)</f>
        <v>0</v>
      </c>
      <c r="X363">
        <f>IF(AND(LEFT(D363,4)+1=LEFT(' Pivot Tables'!$A$4,4)+0,RIGHT(LEFT(D363,7),2)=RIGHT(LEFT(' Pivot Tables'!$A$4,7),2)),1,0)</f>
        <v>0</v>
      </c>
      <c r="Y363" s="6">
        <f>1/COUNTIF(Таблица1[Order ID],Таблица1[[#This Row],[Order ID]])</f>
        <v>0.33333333333333331</v>
      </c>
      <c r="Z363" s="9">
        <f>1/COUNTIFS(Таблица1[Customer Name],Таблица1[[#This Row],[Customer Name]],Таблица1[Order-Year-Month],Таблица1[[#This Row],[Order-Year-Month]])</f>
        <v>0.33333333333333331</v>
      </c>
    </row>
    <row r="364" spans="1:26" x14ac:dyDescent="0.2">
      <c r="A364" s="6">
        <v>5677</v>
      </c>
      <c r="B364" s="7">
        <v>40132</v>
      </c>
      <c r="C364" s="8">
        <f>DATE(2012,12,31)-312</f>
        <v>40962</v>
      </c>
      <c r="D364" s="8" t="str">
        <f t="shared" si="5"/>
        <v>2012-02 (февраль 2012)</v>
      </c>
      <c r="E364" s="9" t="s">
        <v>21</v>
      </c>
      <c r="F364" s="7">
        <v>16</v>
      </c>
      <c r="G364" s="7">
        <v>347.47</v>
      </c>
      <c r="H364" s="7">
        <v>0.09</v>
      </c>
      <c r="I364" s="9" t="s">
        <v>22</v>
      </c>
      <c r="J364" s="10">
        <v>-86.203999999999994</v>
      </c>
      <c r="K364" s="11">
        <v>22.38</v>
      </c>
      <c r="L364" s="11">
        <v>15.1</v>
      </c>
      <c r="M364" s="9" t="s">
        <v>212</v>
      </c>
      <c r="N364" s="6" t="s">
        <v>173</v>
      </c>
      <c r="O364" s="6" t="s">
        <v>173</v>
      </c>
      <c r="P364" s="9" t="s">
        <v>41</v>
      </c>
      <c r="Q364" s="9" t="s">
        <v>26</v>
      </c>
      <c r="R364" s="9" t="s">
        <v>37</v>
      </c>
      <c r="S364" s="7" t="s">
        <v>415</v>
      </c>
      <c r="T364" s="9" t="s">
        <v>39</v>
      </c>
      <c r="U364" s="7">
        <v>0.38</v>
      </c>
      <c r="V364" s="12">
        <f>C364+8</f>
        <v>40970</v>
      </c>
      <c r="W364">
        <f>IF(D364=' Pivot Tables'!$A$4,1,0)</f>
        <v>0</v>
      </c>
      <c r="X364">
        <f>IF(AND(LEFT(D364,4)+1=LEFT(' Pivot Tables'!$A$4,4)+0,RIGHT(LEFT(D364,7),2)=RIGHT(LEFT(' Pivot Tables'!$A$4,7),2)),1,0)</f>
        <v>0</v>
      </c>
      <c r="Y364" s="6">
        <f>1/COUNTIF(Таблица1[Order ID],Таблица1[[#This Row],[Order ID]])</f>
        <v>0.33333333333333331</v>
      </c>
      <c r="Z364" s="9">
        <f>1/COUNTIFS(Таблица1[Customer Name],Таблица1[[#This Row],[Customer Name]],Таблица1[Order-Year-Month],Таблица1[[#This Row],[Order-Year-Month]])</f>
        <v>0.33333333333333331</v>
      </c>
    </row>
    <row r="365" spans="1:26" x14ac:dyDescent="0.2">
      <c r="A365" s="6">
        <v>5681</v>
      </c>
      <c r="B365" s="7">
        <v>40160</v>
      </c>
      <c r="C365" s="8">
        <f>DATE(2012,12,31)-1173</f>
        <v>40101</v>
      </c>
      <c r="D365" s="8" t="str">
        <f t="shared" si="5"/>
        <v>2009-10 (октябрь 2009)</v>
      </c>
      <c r="E365" s="9" t="s">
        <v>78</v>
      </c>
      <c r="F365" s="7">
        <v>23</v>
      </c>
      <c r="G365" s="7">
        <v>1404.22</v>
      </c>
      <c r="H365" s="7">
        <v>0.1</v>
      </c>
      <c r="I365" s="9" t="s">
        <v>22</v>
      </c>
      <c r="J365" s="10">
        <v>202.87</v>
      </c>
      <c r="K365" s="11">
        <v>63.94</v>
      </c>
      <c r="L365" s="11">
        <v>14.48</v>
      </c>
      <c r="M365" s="9" t="s">
        <v>111</v>
      </c>
      <c r="N365" s="6" t="s">
        <v>173</v>
      </c>
      <c r="O365" s="6" t="s">
        <v>173</v>
      </c>
      <c r="P365" s="9" t="s">
        <v>33</v>
      </c>
      <c r="Q365" s="9" t="s">
        <v>49</v>
      </c>
      <c r="R365" s="9" t="s">
        <v>50</v>
      </c>
      <c r="S365" s="7" t="s">
        <v>433</v>
      </c>
      <c r="T365" s="9" t="s">
        <v>39</v>
      </c>
      <c r="U365" s="7">
        <v>0.46</v>
      </c>
      <c r="V365" s="12">
        <f>C365+1</f>
        <v>40102</v>
      </c>
      <c r="W365">
        <f>IF(D365=' Pivot Tables'!$A$4,1,0)</f>
        <v>0</v>
      </c>
      <c r="X365">
        <f>IF(AND(LEFT(D365,4)+1=LEFT(' Pivot Tables'!$A$4,4)+0,RIGHT(LEFT(D365,7),2)=RIGHT(LEFT(' Pivot Tables'!$A$4,7),2)),1,0)</f>
        <v>0</v>
      </c>
      <c r="Y365" s="6">
        <f>1/COUNTIF(Таблица1[Order ID],Таблица1[[#This Row],[Order ID]])</f>
        <v>1</v>
      </c>
      <c r="Z365" s="9">
        <f>1/COUNTIFS(Таблица1[Customer Name],Таблица1[[#This Row],[Customer Name]],Таблица1[Order-Year-Month],Таблица1[[#This Row],[Order-Year-Month]])</f>
        <v>1</v>
      </c>
    </row>
    <row r="366" spans="1:26" x14ac:dyDescent="0.2">
      <c r="A366" s="6">
        <v>5719</v>
      </c>
      <c r="B366" s="7">
        <v>40518</v>
      </c>
      <c r="C366" s="8">
        <f>DATE(2012,12,31)-1389</f>
        <v>39885</v>
      </c>
      <c r="D366" s="8" t="str">
        <f t="shared" si="5"/>
        <v>2009-03 (март 2009)</v>
      </c>
      <c r="E366" s="9" t="s">
        <v>78</v>
      </c>
      <c r="F366" s="7">
        <v>3</v>
      </c>
      <c r="G366" s="7">
        <v>17.52</v>
      </c>
      <c r="H366" s="7">
        <v>0.05</v>
      </c>
      <c r="I366" s="9" t="s">
        <v>22</v>
      </c>
      <c r="J366" s="10">
        <v>-12.1555</v>
      </c>
      <c r="K366" s="11">
        <v>4.13</v>
      </c>
      <c r="L366" s="11">
        <v>5.04</v>
      </c>
      <c r="M366" s="9" t="s">
        <v>69</v>
      </c>
      <c r="N366" s="6" t="s">
        <v>173</v>
      </c>
      <c r="O366" s="6" t="s">
        <v>173</v>
      </c>
      <c r="P366" s="9" t="s">
        <v>60</v>
      </c>
      <c r="Q366" s="9" t="s">
        <v>26</v>
      </c>
      <c r="R366" s="9" t="s">
        <v>37</v>
      </c>
      <c r="S366" s="7" t="s">
        <v>434</v>
      </c>
      <c r="T366" s="9" t="s">
        <v>39</v>
      </c>
      <c r="U366" s="7">
        <v>0.38</v>
      </c>
      <c r="V366" s="12">
        <f>C366+1</f>
        <v>39886</v>
      </c>
      <c r="W366">
        <f>IF(D366=' Pivot Tables'!$A$4,1,0)</f>
        <v>0</v>
      </c>
      <c r="X366">
        <f>IF(AND(LEFT(D366,4)+1=LEFT(' Pivot Tables'!$A$4,4)+0,RIGHT(LEFT(D366,7),2)=RIGHT(LEFT(' Pivot Tables'!$A$4,7),2)),1,0)</f>
        <v>0</v>
      </c>
      <c r="Y366" s="6">
        <f>1/COUNTIF(Таблица1[Order ID],Таблица1[[#This Row],[Order ID]])</f>
        <v>1</v>
      </c>
      <c r="Z366" s="9">
        <f>1/COUNTIFS(Таблица1[Customer Name],Таблица1[[#This Row],[Customer Name]],Таблица1[Order-Year-Month],Таблица1[[#This Row],[Order-Year-Month]])</f>
        <v>1</v>
      </c>
    </row>
    <row r="367" spans="1:26" x14ac:dyDescent="0.2">
      <c r="A367" s="6">
        <v>5746</v>
      </c>
      <c r="B367" s="7">
        <v>40804</v>
      </c>
      <c r="C367" s="8">
        <f>DATE(2012,12,31)-1025</f>
        <v>40249</v>
      </c>
      <c r="D367" s="8" t="str">
        <f t="shared" si="5"/>
        <v>2010-03 (март 2010)</v>
      </c>
      <c r="E367" s="9" t="s">
        <v>63</v>
      </c>
      <c r="F367" s="7">
        <v>36</v>
      </c>
      <c r="G367" s="7">
        <v>4273.8</v>
      </c>
      <c r="H367" s="7">
        <v>0.06</v>
      </c>
      <c r="I367" s="9" t="s">
        <v>31</v>
      </c>
      <c r="J367" s="10">
        <v>-1775.83</v>
      </c>
      <c r="K367" s="11">
        <v>122.99</v>
      </c>
      <c r="L367" s="11">
        <v>70.2</v>
      </c>
      <c r="M367" s="9" t="s">
        <v>32</v>
      </c>
      <c r="N367" s="6" t="s">
        <v>173</v>
      </c>
      <c r="O367" s="6" t="s">
        <v>173</v>
      </c>
      <c r="P367" s="9" t="s">
        <v>33</v>
      </c>
      <c r="Q367" s="9" t="s">
        <v>49</v>
      </c>
      <c r="R367" s="9" t="s">
        <v>112</v>
      </c>
      <c r="S367" s="7" t="s">
        <v>426</v>
      </c>
      <c r="T367" s="9" t="s">
        <v>36</v>
      </c>
      <c r="U367" s="7">
        <v>0.74</v>
      </c>
      <c r="V367" s="12">
        <f>C367+2</f>
        <v>40251</v>
      </c>
      <c r="W367">
        <f>IF(D367=' Pivot Tables'!$A$4,1,0)</f>
        <v>0</v>
      </c>
      <c r="X367">
        <f>IF(AND(LEFT(D367,4)+1=LEFT(' Pivot Tables'!$A$4,4)+0,RIGHT(LEFT(D367,7),2)=RIGHT(LEFT(' Pivot Tables'!$A$4,7),2)),1,0)</f>
        <v>0</v>
      </c>
      <c r="Y367" s="6">
        <f>1/COUNTIF(Таблица1[Order ID],Таблица1[[#This Row],[Order ID]])</f>
        <v>1</v>
      </c>
      <c r="Z367" s="9">
        <f>1/COUNTIFS(Таблица1[Customer Name],Таблица1[[#This Row],[Customer Name]],Таблица1[Order-Year-Month],Таблица1[[#This Row],[Order-Year-Month]])</f>
        <v>1</v>
      </c>
    </row>
    <row r="368" spans="1:26" x14ac:dyDescent="0.2">
      <c r="A368" s="6">
        <v>5764</v>
      </c>
      <c r="B368" s="7">
        <v>40902</v>
      </c>
      <c r="C368" s="8">
        <f>DATE(2012,12,31)-1273</f>
        <v>40001</v>
      </c>
      <c r="D368" s="8" t="str">
        <f t="shared" si="5"/>
        <v>2009-07 (июль 2009)</v>
      </c>
      <c r="E368" s="9" t="s">
        <v>21</v>
      </c>
      <c r="F368" s="7">
        <v>25</v>
      </c>
      <c r="G368" s="7">
        <v>192.18</v>
      </c>
      <c r="H368" s="7">
        <v>0.02</v>
      </c>
      <c r="I368" s="9" t="s">
        <v>22</v>
      </c>
      <c r="J368" s="10">
        <v>-48.875</v>
      </c>
      <c r="K368" s="11">
        <v>7.1</v>
      </c>
      <c r="L368" s="11">
        <v>6.05</v>
      </c>
      <c r="M368" s="9" t="s">
        <v>381</v>
      </c>
      <c r="N368" s="6" t="s">
        <v>173</v>
      </c>
      <c r="O368" s="6" t="s">
        <v>173</v>
      </c>
      <c r="P368" s="9" t="s">
        <v>60</v>
      </c>
      <c r="Q368" s="9" t="s">
        <v>26</v>
      </c>
      <c r="R368" s="9" t="s">
        <v>37</v>
      </c>
      <c r="S368" s="7" t="s">
        <v>435</v>
      </c>
      <c r="T368" s="9" t="s">
        <v>39</v>
      </c>
      <c r="U368" s="7">
        <v>0.39</v>
      </c>
      <c r="V368" s="12">
        <f>C368+2</f>
        <v>40003</v>
      </c>
      <c r="W368">
        <f>IF(D368=' Pivot Tables'!$A$4,1,0)</f>
        <v>0</v>
      </c>
      <c r="X368">
        <f>IF(AND(LEFT(D368,4)+1=LEFT(' Pivot Tables'!$A$4,4)+0,RIGHT(LEFT(D368,7),2)=RIGHT(LEFT(' Pivot Tables'!$A$4,7),2)),1,0)</f>
        <v>0</v>
      </c>
      <c r="Y368" s="6">
        <f>1/COUNTIF(Таблица1[Order ID],Таблица1[[#This Row],[Order ID]])</f>
        <v>1</v>
      </c>
      <c r="Z368" s="9">
        <f>1/COUNTIFS(Таблица1[Customer Name],Таблица1[[#This Row],[Customer Name]],Таблица1[Order-Year-Month],Таблица1[[#This Row],[Order-Year-Month]])</f>
        <v>1</v>
      </c>
    </row>
    <row r="369" spans="1:26" x14ac:dyDescent="0.2">
      <c r="A369" s="6">
        <v>5790</v>
      </c>
      <c r="B369" s="7">
        <v>41063</v>
      </c>
      <c r="C369" s="8">
        <f>DATE(2012,12,31)-40</f>
        <v>41234</v>
      </c>
      <c r="D369" s="8" t="str">
        <f t="shared" si="5"/>
        <v>2012-11 (ноябрь 2012)</v>
      </c>
      <c r="E369" s="9" t="s">
        <v>21</v>
      </c>
      <c r="F369" s="7">
        <v>22</v>
      </c>
      <c r="G369" s="7">
        <v>483.96</v>
      </c>
      <c r="H369" s="7">
        <v>0.01</v>
      </c>
      <c r="I369" s="9" t="s">
        <v>22</v>
      </c>
      <c r="J369" s="10">
        <v>-34.090000000000003</v>
      </c>
      <c r="K369" s="11">
        <v>21.38</v>
      </c>
      <c r="L369" s="11">
        <v>8.99</v>
      </c>
      <c r="M369" s="9" t="s">
        <v>53</v>
      </c>
      <c r="N369" s="6" t="s">
        <v>173</v>
      </c>
      <c r="O369" s="6" t="s">
        <v>173</v>
      </c>
      <c r="P369" s="9" t="s">
        <v>60</v>
      </c>
      <c r="Q369" s="9" t="s">
        <v>26</v>
      </c>
      <c r="R369" s="9" t="s">
        <v>95</v>
      </c>
      <c r="S369" s="7" t="s">
        <v>436</v>
      </c>
      <c r="T369" s="9" t="s">
        <v>52</v>
      </c>
      <c r="U369" s="7">
        <v>0.59</v>
      </c>
      <c r="V369" s="12">
        <f>C369+2</f>
        <v>41236</v>
      </c>
      <c r="W369">
        <f>IF(D369=' Pivot Tables'!$A$4,1,0)</f>
        <v>0</v>
      </c>
      <c r="X369">
        <f>IF(AND(LEFT(D369,4)+1=LEFT(' Pivot Tables'!$A$4,4)+0,RIGHT(LEFT(D369,7),2)=RIGHT(LEFT(' Pivot Tables'!$A$4,7),2)),1,0)</f>
        <v>0</v>
      </c>
      <c r="Y369" s="6">
        <f>1/COUNTIF(Таблица1[Order ID],Таблица1[[#This Row],[Order ID]])</f>
        <v>0.33333333333333331</v>
      </c>
      <c r="Z369" s="9">
        <f>1/COUNTIFS(Таблица1[Customer Name],Таблица1[[#This Row],[Customer Name]],Таблица1[Order-Year-Month],Таблица1[[#This Row],[Order-Year-Month]])</f>
        <v>0.33333333333333331</v>
      </c>
    </row>
    <row r="370" spans="1:26" x14ac:dyDescent="0.2">
      <c r="A370" s="6">
        <v>5791</v>
      </c>
      <c r="B370" s="7">
        <v>41063</v>
      </c>
      <c r="C370" s="8">
        <f>DATE(2012,12,31)-40</f>
        <v>41234</v>
      </c>
      <c r="D370" s="8" t="str">
        <f t="shared" si="5"/>
        <v>2012-11 (ноябрь 2012)</v>
      </c>
      <c r="E370" s="9" t="s">
        <v>21</v>
      </c>
      <c r="F370" s="7">
        <v>10</v>
      </c>
      <c r="G370" s="7">
        <v>308.36299999999994</v>
      </c>
      <c r="H370" s="7">
        <v>0.04</v>
      </c>
      <c r="I370" s="9" t="s">
        <v>22</v>
      </c>
      <c r="J370" s="10">
        <v>42.272999999999954</v>
      </c>
      <c r="K370" s="11">
        <v>35.99</v>
      </c>
      <c r="L370" s="11">
        <v>0.99</v>
      </c>
      <c r="M370" s="9" t="s">
        <v>53</v>
      </c>
      <c r="N370" s="6" t="s">
        <v>173</v>
      </c>
      <c r="O370" s="6" t="s">
        <v>173</v>
      </c>
      <c r="P370" s="9" t="s">
        <v>60</v>
      </c>
      <c r="Q370" s="9" t="s">
        <v>42</v>
      </c>
      <c r="R370" s="9" t="s">
        <v>43</v>
      </c>
      <c r="S370" s="7" t="s">
        <v>437</v>
      </c>
      <c r="T370" s="9" t="s">
        <v>52</v>
      </c>
      <c r="U370" s="7">
        <v>0.35</v>
      </c>
      <c r="V370" s="12">
        <f>C370+7</f>
        <v>41241</v>
      </c>
      <c r="W370">
        <f>IF(D370=' Pivot Tables'!$A$4,1,0)</f>
        <v>0</v>
      </c>
      <c r="X370">
        <f>IF(AND(LEFT(D370,4)+1=LEFT(' Pivot Tables'!$A$4,4)+0,RIGHT(LEFT(D370,7),2)=RIGHT(LEFT(' Pivot Tables'!$A$4,7),2)),1,0)</f>
        <v>0</v>
      </c>
      <c r="Y370" s="6">
        <f>1/COUNTIF(Таблица1[Order ID],Таблица1[[#This Row],[Order ID]])</f>
        <v>0.33333333333333331</v>
      </c>
      <c r="Z370" s="9">
        <f>1/COUNTIFS(Таблица1[Customer Name],Таблица1[[#This Row],[Customer Name]],Таблица1[Order-Year-Month],Таблица1[[#This Row],[Order-Year-Month]])</f>
        <v>0.33333333333333331</v>
      </c>
    </row>
    <row r="371" spans="1:26" x14ac:dyDescent="0.2">
      <c r="A371" s="6">
        <v>5792</v>
      </c>
      <c r="B371" s="7">
        <v>41063</v>
      </c>
      <c r="C371" s="8">
        <f>DATE(2012,12,31)-40</f>
        <v>41234</v>
      </c>
      <c r="D371" s="8" t="str">
        <f t="shared" si="5"/>
        <v>2012-11 (ноябрь 2012)</v>
      </c>
      <c r="E371" s="9" t="s">
        <v>21</v>
      </c>
      <c r="F371" s="7">
        <v>26</v>
      </c>
      <c r="G371" s="7">
        <v>1911.4034999999999</v>
      </c>
      <c r="H371" s="7">
        <v>0.06</v>
      </c>
      <c r="I371" s="9" t="s">
        <v>22</v>
      </c>
      <c r="J371" s="10">
        <v>822.88800000000003</v>
      </c>
      <c r="K371" s="11">
        <v>85.99</v>
      </c>
      <c r="L371" s="11">
        <v>1.25</v>
      </c>
      <c r="M371" s="9" t="s">
        <v>53</v>
      </c>
      <c r="N371" s="6" t="s">
        <v>173</v>
      </c>
      <c r="O371" s="6" t="s">
        <v>173</v>
      </c>
      <c r="P371" s="9" t="s">
        <v>60</v>
      </c>
      <c r="Q371" s="9" t="s">
        <v>42</v>
      </c>
      <c r="R371" s="9" t="s">
        <v>43</v>
      </c>
      <c r="S371" s="7" t="s">
        <v>438</v>
      </c>
      <c r="T371" s="9" t="s">
        <v>52</v>
      </c>
      <c r="U371" s="7">
        <v>0.39</v>
      </c>
      <c r="V371" s="12">
        <f>C371+7</f>
        <v>41241</v>
      </c>
      <c r="W371">
        <f>IF(D371=' Pivot Tables'!$A$4,1,0)</f>
        <v>0</v>
      </c>
      <c r="X371">
        <f>IF(AND(LEFT(D371,4)+1=LEFT(' Pivot Tables'!$A$4,4)+0,RIGHT(LEFT(D371,7),2)=RIGHT(LEFT(' Pivot Tables'!$A$4,7),2)),1,0)</f>
        <v>0</v>
      </c>
      <c r="Y371" s="6">
        <f>1/COUNTIF(Таблица1[Order ID],Таблица1[[#This Row],[Order ID]])</f>
        <v>0.33333333333333331</v>
      </c>
      <c r="Z371" s="9">
        <f>1/COUNTIFS(Таблица1[Customer Name],Таблица1[[#This Row],[Customer Name]],Таблица1[Order-Year-Month],Таблица1[[#This Row],[Order-Year-Month]])</f>
        <v>0.33333333333333331</v>
      </c>
    </row>
    <row r="372" spans="1:26" x14ac:dyDescent="0.2">
      <c r="A372" s="6">
        <v>5802</v>
      </c>
      <c r="B372" s="7">
        <v>41153</v>
      </c>
      <c r="C372" s="8">
        <f>DATE(2012,12,31)-1400</f>
        <v>39874</v>
      </c>
      <c r="D372" s="8" t="str">
        <f t="shared" si="5"/>
        <v>2009-03 (март 2009)</v>
      </c>
      <c r="E372" s="9" t="s">
        <v>63</v>
      </c>
      <c r="F372" s="7">
        <v>29</v>
      </c>
      <c r="G372" s="7">
        <v>862.2</v>
      </c>
      <c r="H372" s="7">
        <v>0.1</v>
      </c>
      <c r="I372" s="9" t="s">
        <v>22</v>
      </c>
      <c r="J372" s="10">
        <v>-45.1</v>
      </c>
      <c r="K372" s="11">
        <v>30.73</v>
      </c>
      <c r="L372" s="11">
        <v>4</v>
      </c>
      <c r="M372" s="9" t="s">
        <v>106</v>
      </c>
      <c r="N372" s="6" t="s">
        <v>173</v>
      </c>
      <c r="O372" s="6" t="s">
        <v>173</v>
      </c>
      <c r="P372" s="9" t="s">
        <v>41</v>
      </c>
      <c r="Q372" s="9" t="s">
        <v>42</v>
      </c>
      <c r="R372" s="9" t="s">
        <v>70</v>
      </c>
      <c r="S372" s="7" t="s">
        <v>270</v>
      </c>
      <c r="T372" s="9" t="s">
        <v>39</v>
      </c>
      <c r="U372" s="7">
        <v>0.75</v>
      </c>
      <c r="V372" s="12">
        <f>C372+1</f>
        <v>39875</v>
      </c>
      <c r="W372">
        <f>IF(D372=' Pivot Tables'!$A$4,1,0)</f>
        <v>0</v>
      </c>
      <c r="X372">
        <f>IF(AND(LEFT(D372,4)+1=LEFT(' Pivot Tables'!$A$4,4)+0,RIGHT(LEFT(D372,7),2)=RIGHT(LEFT(' Pivot Tables'!$A$4,7),2)),1,0)</f>
        <v>0</v>
      </c>
      <c r="Y372" s="6">
        <f>1/COUNTIF(Таблица1[Order ID],Таблица1[[#This Row],[Order ID]])</f>
        <v>1</v>
      </c>
      <c r="Z372" s="9">
        <f>1/COUNTIFS(Таблица1[Customer Name],Таблица1[[#This Row],[Customer Name]],Таблица1[Order-Year-Month],Таблица1[[#This Row],[Order-Year-Month]])</f>
        <v>1</v>
      </c>
    </row>
    <row r="373" spans="1:26" x14ac:dyDescent="0.2">
      <c r="A373" s="6">
        <v>5805</v>
      </c>
      <c r="B373" s="7">
        <v>41184</v>
      </c>
      <c r="C373" s="8">
        <f>DATE(2012,12,31)-466</f>
        <v>40808</v>
      </c>
      <c r="D373" s="8" t="str">
        <f t="shared" si="5"/>
        <v>2011-09 (сентябрь 2011)</v>
      </c>
      <c r="E373" s="9" t="s">
        <v>30</v>
      </c>
      <c r="F373" s="7">
        <v>7</v>
      </c>
      <c r="G373" s="7">
        <v>120.03</v>
      </c>
      <c r="H373" s="7">
        <v>0.02</v>
      </c>
      <c r="I373" s="9" t="s">
        <v>22</v>
      </c>
      <c r="J373" s="10">
        <v>-56.06</v>
      </c>
      <c r="K373" s="11">
        <v>15.7</v>
      </c>
      <c r="L373" s="11">
        <v>11.25</v>
      </c>
      <c r="M373" s="9" t="s">
        <v>334</v>
      </c>
      <c r="N373" s="6" t="s">
        <v>173</v>
      </c>
      <c r="O373" s="6" t="s">
        <v>173</v>
      </c>
      <c r="P373" s="9" t="s">
        <v>60</v>
      </c>
      <c r="Q373" s="9" t="s">
        <v>26</v>
      </c>
      <c r="R373" s="9" t="s">
        <v>27</v>
      </c>
      <c r="S373" s="7" t="s">
        <v>206</v>
      </c>
      <c r="T373" s="9" t="s">
        <v>39</v>
      </c>
      <c r="U373" s="7">
        <v>0.6</v>
      </c>
      <c r="V373" s="12">
        <f>C373+2</f>
        <v>40810</v>
      </c>
      <c r="W373">
        <f>IF(D373=' Pivot Tables'!$A$4,1,0)</f>
        <v>0</v>
      </c>
      <c r="X373">
        <f>IF(AND(LEFT(D373,4)+1=LEFT(' Pivot Tables'!$A$4,4)+0,RIGHT(LEFT(D373,7),2)=RIGHT(LEFT(' Pivot Tables'!$A$4,7),2)),1,0)</f>
        <v>0</v>
      </c>
      <c r="Y373" s="6">
        <f>1/COUNTIF(Таблица1[Order ID],Таблица1[[#This Row],[Order ID]])</f>
        <v>1</v>
      </c>
      <c r="Z373" s="9">
        <f>1/COUNTIFS(Таблица1[Customer Name],Таблица1[[#This Row],[Customer Name]],Таблица1[Order-Year-Month],Таблица1[[#This Row],[Order-Year-Month]])</f>
        <v>1</v>
      </c>
    </row>
    <row r="374" spans="1:26" x14ac:dyDescent="0.2">
      <c r="A374" s="6">
        <v>5835</v>
      </c>
      <c r="B374" s="7">
        <v>41409</v>
      </c>
      <c r="C374" s="8">
        <f>DATE(2012,12,31)-529</f>
        <v>40745</v>
      </c>
      <c r="D374" s="8" t="str">
        <f t="shared" si="5"/>
        <v>2011-07 (июль 2011)</v>
      </c>
      <c r="E374" s="9" t="s">
        <v>45</v>
      </c>
      <c r="F374" s="7">
        <v>1</v>
      </c>
      <c r="G374" s="7">
        <v>18.920000000000002</v>
      </c>
      <c r="H374" s="7">
        <v>0</v>
      </c>
      <c r="I374" s="9" t="s">
        <v>22</v>
      </c>
      <c r="J374" s="10">
        <v>-18.250499999999999</v>
      </c>
      <c r="K374" s="11">
        <v>11.5</v>
      </c>
      <c r="L374" s="11">
        <v>7.19</v>
      </c>
      <c r="M374" s="9" t="s">
        <v>135</v>
      </c>
      <c r="N374" s="6" t="s">
        <v>173</v>
      </c>
      <c r="O374" s="6" t="s">
        <v>173</v>
      </c>
      <c r="P374" s="9" t="s">
        <v>41</v>
      </c>
      <c r="Q374" s="9" t="s">
        <v>26</v>
      </c>
      <c r="R374" s="9" t="s">
        <v>37</v>
      </c>
      <c r="S374" s="7" t="s">
        <v>398</v>
      </c>
      <c r="T374" s="9" t="s">
        <v>39</v>
      </c>
      <c r="U374" s="7">
        <v>0.4</v>
      </c>
      <c r="V374" s="12">
        <f>C374+2</f>
        <v>40747</v>
      </c>
      <c r="W374">
        <f>IF(D374=' Pivot Tables'!$A$4,1,0)</f>
        <v>0</v>
      </c>
      <c r="X374">
        <f>IF(AND(LEFT(D374,4)+1=LEFT(' Pivot Tables'!$A$4,4)+0,RIGHT(LEFT(D374,7),2)=RIGHT(LEFT(' Pivot Tables'!$A$4,7),2)),1,0)</f>
        <v>0</v>
      </c>
      <c r="Y374" s="6">
        <f>1/COUNTIF(Таблица1[Order ID],Таблица1[[#This Row],[Order ID]])</f>
        <v>1</v>
      </c>
      <c r="Z374" s="9">
        <f>1/COUNTIFS(Таблица1[Customer Name],Таблица1[[#This Row],[Customer Name]],Таблица1[Order-Year-Month],Таблица1[[#This Row],[Order-Year-Month]])</f>
        <v>0.33333333333333331</v>
      </c>
    </row>
    <row r="375" spans="1:26" x14ac:dyDescent="0.2">
      <c r="A375" s="6">
        <v>5877</v>
      </c>
      <c r="B375" s="7">
        <v>41696</v>
      </c>
      <c r="C375" s="8">
        <f>DATE(2012,12,31)-1267</f>
        <v>40007</v>
      </c>
      <c r="D375" s="8" t="str">
        <f t="shared" si="5"/>
        <v>2009-07 (июль 2009)</v>
      </c>
      <c r="E375" s="9" t="s">
        <v>45</v>
      </c>
      <c r="F375" s="7">
        <v>45</v>
      </c>
      <c r="G375" s="7">
        <v>237.28</v>
      </c>
      <c r="H375" s="7">
        <v>0.03</v>
      </c>
      <c r="I375" s="9" t="s">
        <v>56</v>
      </c>
      <c r="J375" s="10">
        <v>-2088.6799999999998</v>
      </c>
      <c r="K375" s="11">
        <v>4.4800000000000004</v>
      </c>
      <c r="L375" s="11">
        <v>49</v>
      </c>
      <c r="M375" s="9" t="s">
        <v>283</v>
      </c>
      <c r="N375" s="6" t="s">
        <v>173</v>
      </c>
      <c r="O375" s="6" t="s">
        <v>173</v>
      </c>
      <c r="P375" s="9" t="s">
        <v>25</v>
      </c>
      <c r="Q375" s="9" t="s">
        <v>26</v>
      </c>
      <c r="R375" s="9" t="s">
        <v>34</v>
      </c>
      <c r="S375" s="7" t="s">
        <v>128</v>
      </c>
      <c r="T375" s="9" t="s">
        <v>29</v>
      </c>
      <c r="U375" s="7">
        <v>0.6</v>
      </c>
      <c r="V375" s="12">
        <f>C375+2</f>
        <v>40009</v>
      </c>
      <c r="W375">
        <f>IF(D375=' Pivot Tables'!$A$4,1,0)</f>
        <v>0</v>
      </c>
      <c r="X375">
        <f>IF(AND(LEFT(D375,4)+1=LEFT(' Pivot Tables'!$A$4,4)+0,RIGHT(LEFT(D375,7),2)=RIGHT(LEFT(' Pivot Tables'!$A$4,7),2)),1,0)</f>
        <v>0</v>
      </c>
      <c r="Y375" s="6">
        <f>1/COUNTIF(Таблица1[Order ID],Таблица1[[#This Row],[Order ID]])</f>
        <v>1</v>
      </c>
      <c r="Z375" s="9">
        <f>1/COUNTIFS(Таблица1[Customer Name],Таблица1[[#This Row],[Customer Name]],Таблица1[Order-Year-Month],Таблица1[[#This Row],[Order-Year-Month]])</f>
        <v>1</v>
      </c>
    </row>
    <row r="376" spans="1:26" x14ac:dyDescent="0.2">
      <c r="A376" s="6">
        <v>5944</v>
      </c>
      <c r="B376" s="7">
        <v>42209</v>
      </c>
      <c r="C376" s="8">
        <f>DATE(2012,12,31)-1008</f>
        <v>40266</v>
      </c>
      <c r="D376" s="8" t="str">
        <f t="shared" si="5"/>
        <v>2010-03 (март 2010)</v>
      </c>
      <c r="E376" s="9" t="s">
        <v>30</v>
      </c>
      <c r="F376" s="7">
        <v>5</v>
      </c>
      <c r="G376" s="7">
        <v>324.55</v>
      </c>
      <c r="H376" s="7">
        <v>0.08</v>
      </c>
      <c r="I376" s="9" t="s">
        <v>22</v>
      </c>
      <c r="J376" s="10">
        <v>-12.82</v>
      </c>
      <c r="K376" s="11">
        <v>67.84</v>
      </c>
      <c r="L376" s="11">
        <v>0.99</v>
      </c>
      <c r="M376" s="9" t="s">
        <v>106</v>
      </c>
      <c r="N376" s="6" t="s">
        <v>173</v>
      </c>
      <c r="O376" s="6" t="s">
        <v>173</v>
      </c>
      <c r="P376" s="9" t="s">
        <v>41</v>
      </c>
      <c r="Q376" s="9" t="s">
        <v>26</v>
      </c>
      <c r="R376" s="9" t="s">
        <v>34</v>
      </c>
      <c r="S376" s="7" t="s">
        <v>439</v>
      </c>
      <c r="T376" s="9" t="s">
        <v>39</v>
      </c>
      <c r="U376" s="7">
        <v>0.57999999999999996</v>
      </c>
      <c r="V376" s="12">
        <f>C376+0</f>
        <v>40266</v>
      </c>
      <c r="W376">
        <f>IF(D376=' Pivot Tables'!$A$4,1,0)</f>
        <v>0</v>
      </c>
      <c r="X376">
        <f>IF(AND(LEFT(D376,4)+1=LEFT(' Pivot Tables'!$A$4,4)+0,RIGHT(LEFT(D376,7),2)=RIGHT(LEFT(' Pivot Tables'!$A$4,7),2)),1,0)</f>
        <v>0</v>
      </c>
      <c r="Y376" s="6">
        <f>1/COUNTIF(Таблица1[Order ID],Таблица1[[#This Row],[Order ID]])</f>
        <v>0.5</v>
      </c>
      <c r="Z376" s="9">
        <f>1/COUNTIFS(Таблица1[Customer Name],Таблица1[[#This Row],[Customer Name]],Таблица1[Order-Year-Month],Таблица1[[#This Row],[Order-Year-Month]])</f>
        <v>0.5</v>
      </c>
    </row>
    <row r="377" spans="1:26" x14ac:dyDescent="0.2">
      <c r="A377" s="6">
        <v>5945</v>
      </c>
      <c r="B377" s="7">
        <v>42209</v>
      </c>
      <c r="C377" s="8">
        <f>DATE(2012,12,31)-1008</f>
        <v>40266</v>
      </c>
      <c r="D377" s="8" t="str">
        <f t="shared" si="5"/>
        <v>2010-03 (март 2010)</v>
      </c>
      <c r="E377" s="9" t="s">
        <v>30</v>
      </c>
      <c r="F377" s="7">
        <v>31</v>
      </c>
      <c r="G377" s="7">
        <v>8901.7800000000007</v>
      </c>
      <c r="H377" s="7">
        <v>0.04</v>
      </c>
      <c r="I377" s="9" t="s">
        <v>22</v>
      </c>
      <c r="J377" s="10">
        <v>2795.36</v>
      </c>
      <c r="K377" s="11">
        <v>276.2</v>
      </c>
      <c r="L377" s="11">
        <v>24.49</v>
      </c>
      <c r="M377" s="9" t="s">
        <v>106</v>
      </c>
      <c r="N377" s="6" t="s">
        <v>173</v>
      </c>
      <c r="O377" s="6" t="s">
        <v>173</v>
      </c>
      <c r="P377" s="9" t="s">
        <v>41</v>
      </c>
      <c r="Q377" s="9" t="s">
        <v>49</v>
      </c>
      <c r="R377" s="9" t="s">
        <v>112</v>
      </c>
      <c r="S377" s="7" t="s">
        <v>164</v>
      </c>
      <c r="T377" s="9" t="s">
        <v>29</v>
      </c>
      <c r="U377" s="7"/>
      <c r="V377" s="12">
        <f>C377+3</f>
        <v>40269</v>
      </c>
      <c r="W377">
        <f>IF(D377=' Pivot Tables'!$A$4,1,0)</f>
        <v>0</v>
      </c>
      <c r="X377">
        <f>IF(AND(LEFT(D377,4)+1=LEFT(' Pivot Tables'!$A$4,4)+0,RIGHT(LEFT(D377,7),2)=RIGHT(LEFT(' Pivot Tables'!$A$4,7),2)),1,0)</f>
        <v>0</v>
      </c>
      <c r="Y377" s="6">
        <f>1/COUNTIF(Таблица1[Order ID],Таблица1[[#This Row],[Order ID]])</f>
        <v>0.5</v>
      </c>
      <c r="Z377" s="9">
        <f>1/COUNTIFS(Таблица1[Customer Name],Таблица1[[#This Row],[Customer Name]],Таблица1[Order-Year-Month],Таблица1[[#This Row],[Order-Year-Month]])</f>
        <v>0.5</v>
      </c>
    </row>
    <row r="378" spans="1:26" x14ac:dyDescent="0.2">
      <c r="A378" s="6">
        <v>6007</v>
      </c>
      <c r="B378" s="7">
        <v>42561</v>
      </c>
      <c r="C378" s="8">
        <f>DATE(2012,12,31)-1059</f>
        <v>40215</v>
      </c>
      <c r="D378" s="8" t="str">
        <f t="shared" si="5"/>
        <v>2010-02 (февраль 2010)</v>
      </c>
      <c r="E378" s="9" t="s">
        <v>21</v>
      </c>
      <c r="F378" s="7">
        <v>15</v>
      </c>
      <c r="G378" s="7">
        <v>1062.9589999999998</v>
      </c>
      <c r="H378" s="7">
        <v>7.0000000000000007E-2</v>
      </c>
      <c r="I378" s="9" t="s">
        <v>56</v>
      </c>
      <c r="J378" s="10">
        <v>298.476</v>
      </c>
      <c r="K378" s="11">
        <v>85.99</v>
      </c>
      <c r="L378" s="11">
        <v>2.5</v>
      </c>
      <c r="M378" s="9" t="s">
        <v>166</v>
      </c>
      <c r="N378" s="6" t="s">
        <v>173</v>
      </c>
      <c r="O378" s="6" t="s">
        <v>173</v>
      </c>
      <c r="P378" s="9" t="s">
        <v>33</v>
      </c>
      <c r="Q378" s="9" t="s">
        <v>42</v>
      </c>
      <c r="R378" s="9" t="s">
        <v>43</v>
      </c>
      <c r="S378" s="7" t="s">
        <v>440</v>
      </c>
      <c r="T378" s="9" t="s">
        <v>39</v>
      </c>
      <c r="U378" s="7">
        <v>0.35</v>
      </c>
      <c r="V378" s="12">
        <f>C378+2</f>
        <v>40217</v>
      </c>
      <c r="W378">
        <f>IF(D378=' Pivot Tables'!$A$4,1,0)</f>
        <v>0</v>
      </c>
      <c r="X378">
        <f>IF(AND(LEFT(D378,4)+1=LEFT(' Pivot Tables'!$A$4,4)+0,RIGHT(LEFT(D378,7),2)=RIGHT(LEFT(' Pivot Tables'!$A$4,7),2)),1,0)</f>
        <v>0</v>
      </c>
      <c r="Y378" s="6">
        <f>1/COUNTIF(Таблица1[Order ID],Таблица1[[#This Row],[Order ID]])</f>
        <v>1</v>
      </c>
      <c r="Z378" s="9">
        <f>1/COUNTIFS(Таблица1[Customer Name],Таблица1[[#This Row],[Customer Name]],Таблица1[Order-Year-Month],Таблица1[[#This Row],[Order-Year-Month]])</f>
        <v>1</v>
      </c>
    </row>
    <row r="379" spans="1:26" x14ac:dyDescent="0.2">
      <c r="A379" s="6">
        <v>6009</v>
      </c>
      <c r="B379" s="7">
        <v>42564</v>
      </c>
      <c r="C379" s="8">
        <f>DATE(2012,12,31)-110</f>
        <v>41164</v>
      </c>
      <c r="D379" s="8" t="str">
        <f t="shared" si="5"/>
        <v>2012-09 (сентябрь 2012)</v>
      </c>
      <c r="E379" s="9" t="s">
        <v>21</v>
      </c>
      <c r="F379" s="7">
        <v>35</v>
      </c>
      <c r="G379" s="7">
        <v>7468.86</v>
      </c>
      <c r="H379" s="7">
        <v>0.02</v>
      </c>
      <c r="I379" s="9" t="s">
        <v>31</v>
      </c>
      <c r="J379" s="10">
        <v>2155.41</v>
      </c>
      <c r="K379" s="11">
        <v>200.98</v>
      </c>
      <c r="L379" s="11">
        <v>23.76</v>
      </c>
      <c r="M379" s="9" t="s">
        <v>317</v>
      </c>
      <c r="N379" s="6" t="s">
        <v>173</v>
      </c>
      <c r="O379" s="6" t="s">
        <v>173</v>
      </c>
      <c r="P379" s="9" t="s">
        <v>25</v>
      </c>
      <c r="Q379" s="9" t="s">
        <v>49</v>
      </c>
      <c r="R379" s="9" t="s">
        <v>112</v>
      </c>
      <c r="S379" s="7" t="s">
        <v>441</v>
      </c>
      <c r="T379" s="9" t="s">
        <v>36</v>
      </c>
      <c r="U379" s="7">
        <v>0.57999999999999996</v>
      </c>
      <c r="V379" s="12">
        <f>C379+7</f>
        <v>41171</v>
      </c>
      <c r="W379">
        <f>IF(D379=' Pivot Tables'!$A$4,1,0)</f>
        <v>0</v>
      </c>
      <c r="X379">
        <f>IF(AND(LEFT(D379,4)+1=LEFT(' Pivot Tables'!$A$4,4)+0,RIGHT(LEFT(D379,7),2)=RIGHT(LEFT(' Pivot Tables'!$A$4,7),2)),1,0)</f>
        <v>0</v>
      </c>
      <c r="Y379" s="6">
        <f>1/COUNTIF(Таблица1[Order ID],Таблица1[[#This Row],[Order ID]])</f>
        <v>1</v>
      </c>
      <c r="Z379" s="9">
        <f>1/COUNTIFS(Таблица1[Customer Name],Таблица1[[#This Row],[Customer Name]],Таблица1[Order-Year-Month],Таблица1[[#This Row],[Order-Year-Month]])</f>
        <v>1</v>
      </c>
    </row>
    <row r="380" spans="1:26" x14ac:dyDescent="0.2">
      <c r="A380" s="6">
        <v>6029</v>
      </c>
      <c r="B380" s="7">
        <v>42695</v>
      </c>
      <c r="C380" s="8">
        <f>DATE(2012,12,31)-740</f>
        <v>40534</v>
      </c>
      <c r="D380" s="8" t="str">
        <f t="shared" si="5"/>
        <v>2010-12 (декабрь 2010)</v>
      </c>
      <c r="E380" s="9" t="s">
        <v>45</v>
      </c>
      <c r="F380" s="7">
        <v>12</v>
      </c>
      <c r="G380" s="7">
        <v>710.32799999999997</v>
      </c>
      <c r="H380" s="7">
        <v>0.02</v>
      </c>
      <c r="I380" s="9" t="s">
        <v>22</v>
      </c>
      <c r="J380" s="10">
        <v>-10.295999999999992</v>
      </c>
      <c r="K380" s="11">
        <v>65.989999999999995</v>
      </c>
      <c r="L380" s="11">
        <v>5.31</v>
      </c>
      <c r="M380" s="9" t="s">
        <v>188</v>
      </c>
      <c r="N380" s="6" t="s">
        <v>173</v>
      </c>
      <c r="O380" s="6" t="s">
        <v>173</v>
      </c>
      <c r="P380" s="9" t="s">
        <v>25</v>
      </c>
      <c r="Q380" s="9" t="s">
        <v>42</v>
      </c>
      <c r="R380" s="9" t="s">
        <v>43</v>
      </c>
      <c r="S380" s="7" t="s">
        <v>430</v>
      </c>
      <c r="T380" s="9" t="s">
        <v>39</v>
      </c>
      <c r="U380" s="7">
        <v>0.56999999999999995</v>
      </c>
      <c r="V380" s="12">
        <f>C380+2</f>
        <v>40536</v>
      </c>
      <c r="W380">
        <f>IF(D380=' Pivot Tables'!$A$4,1,0)</f>
        <v>0</v>
      </c>
      <c r="X380">
        <f>IF(AND(LEFT(D380,4)+1=LEFT(' Pivot Tables'!$A$4,4)+0,RIGHT(LEFT(D380,7),2)=RIGHT(LEFT(' Pivot Tables'!$A$4,7),2)),1,0)</f>
        <v>0</v>
      </c>
      <c r="Y380" s="6">
        <f>1/COUNTIF(Таблица1[Order ID],Таблица1[[#This Row],[Order ID]])</f>
        <v>1</v>
      </c>
      <c r="Z380" s="9">
        <f>1/COUNTIFS(Таблица1[Customer Name],Таблица1[[#This Row],[Customer Name]],Таблица1[Order-Year-Month],Таблица1[[#This Row],[Order-Year-Month]])</f>
        <v>1</v>
      </c>
    </row>
    <row r="381" spans="1:26" x14ac:dyDescent="0.2">
      <c r="A381" s="6">
        <v>6067</v>
      </c>
      <c r="B381" s="7">
        <v>42981</v>
      </c>
      <c r="C381" s="8">
        <f>DATE(2012,12,31)-1311</f>
        <v>39963</v>
      </c>
      <c r="D381" s="8" t="str">
        <f t="shared" si="5"/>
        <v>2009-05 (май 2009)</v>
      </c>
      <c r="E381" s="9" t="s">
        <v>78</v>
      </c>
      <c r="F381" s="7">
        <v>4</v>
      </c>
      <c r="G381" s="7">
        <v>3510.82</v>
      </c>
      <c r="H381" s="7">
        <v>0.05</v>
      </c>
      <c r="I381" s="9" t="s">
        <v>22</v>
      </c>
      <c r="J381" s="10">
        <v>232.44099999999997</v>
      </c>
      <c r="K381" s="11">
        <v>896.99</v>
      </c>
      <c r="L381" s="11">
        <v>19.989999999999998</v>
      </c>
      <c r="M381" s="9" t="s">
        <v>381</v>
      </c>
      <c r="N381" s="6" t="s">
        <v>173</v>
      </c>
      <c r="O381" s="6" t="s">
        <v>173</v>
      </c>
      <c r="P381" s="9" t="s">
        <v>60</v>
      </c>
      <c r="Q381" s="9" t="s">
        <v>26</v>
      </c>
      <c r="R381" s="9" t="s">
        <v>37</v>
      </c>
      <c r="S381" s="7" t="s">
        <v>442</v>
      </c>
      <c r="T381" s="9" t="s">
        <v>39</v>
      </c>
      <c r="U381" s="7">
        <v>0.38</v>
      </c>
      <c r="V381" s="12">
        <f>C381+2</f>
        <v>39965</v>
      </c>
      <c r="W381">
        <f>IF(D381=' Pivot Tables'!$A$4,1,0)</f>
        <v>0</v>
      </c>
      <c r="X381">
        <f>IF(AND(LEFT(D381,4)+1=LEFT(' Pivot Tables'!$A$4,4)+0,RIGHT(LEFT(D381,7),2)=RIGHT(LEFT(' Pivot Tables'!$A$4,7),2)),1,0)</f>
        <v>0</v>
      </c>
      <c r="Y381" s="6">
        <f>1/COUNTIF(Таблица1[Order ID],Таблица1[[#This Row],[Order ID]])</f>
        <v>1</v>
      </c>
      <c r="Z381" s="9">
        <f>1/COUNTIFS(Таблица1[Customer Name],Таблица1[[#This Row],[Customer Name]],Таблица1[Order-Year-Month],Таблица1[[#This Row],[Order-Year-Month]])</f>
        <v>0.5</v>
      </c>
    </row>
    <row r="382" spans="1:26" x14ac:dyDescent="0.2">
      <c r="A382" s="6">
        <v>6082</v>
      </c>
      <c r="B382" s="7">
        <v>43109</v>
      </c>
      <c r="C382" s="8">
        <f>DATE(2012,12,31)-10</f>
        <v>41264</v>
      </c>
      <c r="D382" s="8" t="str">
        <f t="shared" si="5"/>
        <v>2012-12 (декабрь 2012)</v>
      </c>
      <c r="E382" s="9" t="s">
        <v>78</v>
      </c>
      <c r="F382" s="7">
        <v>19</v>
      </c>
      <c r="G382" s="7">
        <v>281.83999999999997</v>
      </c>
      <c r="H382" s="7">
        <v>0.06</v>
      </c>
      <c r="I382" s="9" t="s">
        <v>22</v>
      </c>
      <c r="J382" s="10">
        <v>-21.85</v>
      </c>
      <c r="K382" s="11">
        <v>15.01</v>
      </c>
      <c r="L382" s="11">
        <v>8.4</v>
      </c>
      <c r="M382" s="9" t="s">
        <v>124</v>
      </c>
      <c r="N382" s="6" t="s">
        <v>173</v>
      </c>
      <c r="O382" s="6" t="s">
        <v>173</v>
      </c>
      <c r="P382" s="9" t="s">
        <v>41</v>
      </c>
      <c r="Q382" s="9" t="s">
        <v>26</v>
      </c>
      <c r="R382" s="9" t="s">
        <v>37</v>
      </c>
      <c r="S382" s="7" t="s">
        <v>443</v>
      </c>
      <c r="T382" s="9" t="s">
        <v>39</v>
      </c>
      <c r="U382" s="7">
        <v>0.39</v>
      </c>
      <c r="V382" s="12">
        <f>C382+1</f>
        <v>41265</v>
      </c>
      <c r="W382">
        <f>IF(D382=' Pivot Tables'!$A$4,1,0)</f>
        <v>0</v>
      </c>
      <c r="X382">
        <f>IF(AND(LEFT(D382,4)+1=LEFT(' Pivot Tables'!$A$4,4)+0,RIGHT(LEFT(D382,7),2)=RIGHT(LEFT(' Pivot Tables'!$A$4,7),2)),1,0)</f>
        <v>0</v>
      </c>
      <c r="Y382" s="6">
        <f>1/COUNTIF(Таблица1[Order ID],Таблица1[[#This Row],[Order ID]])</f>
        <v>0.33333333333333331</v>
      </c>
      <c r="Z382" s="9">
        <f>1/COUNTIFS(Таблица1[Customer Name],Таблица1[[#This Row],[Customer Name]],Таблица1[Order-Year-Month],Таблица1[[#This Row],[Order-Year-Month]])</f>
        <v>0.33333333333333331</v>
      </c>
    </row>
    <row r="383" spans="1:26" x14ac:dyDescent="0.2">
      <c r="A383" s="6">
        <v>6083</v>
      </c>
      <c r="B383" s="7">
        <v>43109</v>
      </c>
      <c r="C383" s="8">
        <f>DATE(2012,12,31)-10</f>
        <v>41264</v>
      </c>
      <c r="D383" s="8" t="str">
        <f t="shared" si="5"/>
        <v>2012-12 (декабрь 2012)</v>
      </c>
      <c r="E383" s="9" t="s">
        <v>78</v>
      </c>
      <c r="F383" s="7">
        <v>25</v>
      </c>
      <c r="G383" s="7">
        <v>509.52</v>
      </c>
      <c r="H383" s="7">
        <v>0.05</v>
      </c>
      <c r="I383" s="9" t="s">
        <v>22</v>
      </c>
      <c r="J383" s="10">
        <v>-145.78</v>
      </c>
      <c r="K383" s="11">
        <v>20.97</v>
      </c>
      <c r="L383" s="11">
        <v>6.5</v>
      </c>
      <c r="M383" s="9" t="s">
        <v>124</v>
      </c>
      <c r="N383" s="6" t="s">
        <v>173</v>
      </c>
      <c r="O383" s="6" t="s">
        <v>173</v>
      </c>
      <c r="P383" s="9" t="s">
        <v>41</v>
      </c>
      <c r="Q383" s="9" t="s">
        <v>42</v>
      </c>
      <c r="R383" s="9" t="s">
        <v>70</v>
      </c>
      <c r="S383" s="7" t="s">
        <v>262</v>
      </c>
      <c r="T383" s="9" t="s">
        <v>39</v>
      </c>
      <c r="U383" s="7">
        <v>0.78</v>
      </c>
      <c r="V383" s="12">
        <f>C383+1</f>
        <v>41265</v>
      </c>
      <c r="W383">
        <f>IF(D383=' Pivot Tables'!$A$4,1,0)</f>
        <v>0</v>
      </c>
      <c r="X383">
        <f>IF(AND(LEFT(D383,4)+1=LEFT(' Pivot Tables'!$A$4,4)+0,RIGHT(LEFT(D383,7),2)=RIGHT(LEFT(' Pivot Tables'!$A$4,7),2)),1,0)</f>
        <v>0</v>
      </c>
      <c r="Y383" s="6">
        <f>1/COUNTIF(Таблица1[Order ID],Таблица1[[#This Row],[Order ID]])</f>
        <v>0.33333333333333331</v>
      </c>
      <c r="Z383" s="9">
        <f>1/COUNTIFS(Таблица1[Customer Name],Таблица1[[#This Row],[Customer Name]],Таблица1[Order-Year-Month],Таблица1[[#This Row],[Order-Year-Month]])</f>
        <v>0.33333333333333331</v>
      </c>
    </row>
    <row r="384" spans="1:26" x14ac:dyDescent="0.2">
      <c r="A384" s="6">
        <v>6084</v>
      </c>
      <c r="B384" s="7">
        <v>43109</v>
      </c>
      <c r="C384" s="8">
        <f>DATE(2012,12,31)-10</f>
        <v>41264</v>
      </c>
      <c r="D384" s="8" t="str">
        <f t="shared" si="5"/>
        <v>2012-12 (декабрь 2012)</v>
      </c>
      <c r="E384" s="9" t="s">
        <v>78</v>
      </c>
      <c r="F384" s="7">
        <v>10</v>
      </c>
      <c r="G384" s="7">
        <v>97.02</v>
      </c>
      <c r="H384" s="7">
        <v>0.06</v>
      </c>
      <c r="I384" s="9" t="s">
        <v>22</v>
      </c>
      <c r="J384" s="10">
        <v>-3.96</v>
      </c>
      <c r="K384" s="11">
        <v>10.01</v>
      </c>
      <c r="L384" s="11">
        <v>1.99</v>
      </c>
      <c r="M384" s="9" t="s">
        <v>124</v>
      </c>
      <c r="N384" s="6" t="s">
        <v>173</v>
      </c>
      <c r="O384" s="6" t="s">
        <v>173</v>
      </c>
      <c r="P384" s="9" t="s">
        <v>41</v>
      </c>
      <c r="Q384" s="9" t="s">
        <v>42</v>
      </c>
      <c r="R384" s="9" t="s">
        <v>70</v>
      </c>
      <c r="S384" s="7" t="s">
        <v>444</v>
      </c>
      <c r="T384" s="9" t="s">
        <v>52</v>
      </c>
      <c r="U384" s="7">
        <v>0.41</v>
      </c>
      <c r="V384" s="12">
        <f>C384+1</f>
        <v>41265</v>
      </c>
      <c r="W384">
        <f>IF(D384=' Pivot Tables'!$A$4,1,0)</f>
        <v>0</v>
      </c>
      <c r="X384">
        <f>IF(AND(LEFT(D384,4)+1=LEFT(' Pivot Tables'!$A$4,4)+0,RIGHT(LEFT(D384,7),2)=RIGHT(LEFT(' Pivot Tables'!$A$4,7),2)),1,0)</f>
        <v>0</v>
      </c>
      <c r="Y384" s="6">
        <f>1/COUNTIF(Таблица1[Order ID],Таблица1[[#This Row],[Order ID]])</f>
        <v>0.33333333333333331</v>
      </c>
      <c r="Z384" s="9">
        <f>1/COUNTIFS(Таблица1[Customer Name],Таблица1[[#This Row],[Customer Name]],Таблица1[Order-Year-Month],Таблица1[[#This Row],[Order-Year-Month]])</f>
        <v>0.33333333333333331</v>
      </c>
    </row>
    <row r="385" spans="1:26" x14ac:dyDescent="0.2">
      <c r="A385" s="6">
        <v>6097</v>
      </c>
      <c r="B385" s="7">
        <v>43203</v>
      </c>
      <c r="C385" s="8">
        <f>DATE(2012,12,31)-321</f>
        <v>40953</v>
      </c>
      <c r="D385" s="8" t="str">
        <f t="shared" si="5"/>
        <v>2012-02 (февраль 2012)</v>
      </c>
      <c r="E385" s="9" t="s">
        <v>45</v>
      </c>
      <c r="F385" s="7">
        <v>32</v>
      </c>
      <c r="G385" s="7">
        <v>225.16</v>
      </c>
      <c r="H385" s="7">
        <v>0.02</v>
      </c>
      <c r="I385" s="9" t="s">
        <v>22</v>
      </c>
      <c r="J385" s="10">
        <v>-33.69</v>
      </c>
      <c r="K385" s="11">
        <v>6.68</v>
      </c>
      <c r="L385" s="11">
        <v>5.2</v>
      </c>
      <c r="M385" s="9" t="s">
        <v>381</v>
      </c>
      <c r="N385" s="6" t="s">
        <v>173</v>
      </c>
      <c r="O385" s="6" t="s">
        <v>173</v>
      </c>
      <c r="P385" s="9" t="s">
        <v>60</v>
      </c>
      <c r="Q385" s="9" t="s">
        <v>26</v>
      </c>
      <c r="R385" s="9" t="s">
        <v>61</v>
      </c>
      <c r="S385" s="7" t="s">
        <v>445</v>
      </c>
      <c r="T385" s="9" t="s">
        <v>39</v>
      </c>
      <c r="U385" s="7">
        <v>0.37</v>
      </c>
      <c r="V385" s="12">
        <f>C385+2</f>
        <v>40955</v>
      </c>
      <c r="W385">
        <f>IF(D385=' Pivot Tables'!$A$4,1,0)</f>
        <v>0</v>
      </c>
      <c r="X385">
        <f>IF(AND(LEFT(D385,4)+1=LEFT(' Pivot Tables'!$A$4,4)+0,RIGHT(LEFT(D385,7),2)=RIGHT(LEFT(' Pivot Tables'!$A$4,7),2)),1,0)</f>
        <v>0</v>
      </c>
      <c r="Y385" s="6">
        <f>1/COUNTIF(Таблица1[Order ID],Таблица1[[#This Row],[Order ID]])</f>
        <v>1</v>
      </c>
      <c r="Z385" s="9">
        <f>1/COUNTIFS(Таблица1[Customer Name],Таблица1[[#This Row],[Customer Name]],Таблица1[Order-Year-Month],Таблица1[[#This Row],[Order-Year-Month]])</f>
        <v>1</v>
      </c>
    </row>
    <row r="386" spans="1:26" x14ac:dyDescent="0.2">
      <c r="A386" s="6">
        <v>6103</v>
      </c>
      <c r="B386" s="7">
        <v>43236</v>
      </c>
      <c r="C386" s="8">
        <f>DATE(2012,12,31)-912</f>
        <v>40362</v>
      </c>
      <c r="D386" s="8" t="str">
        <f t="shared" si="5"/>
        <v>2010-07 (июль 2010)</v>
      </c>
      <c r="E386" s="9" t="s">
        <v>45</v>
      </c>
      <c r="F386" s="7">
        <v>20</v>
      </c>
      <c r="G386" s="7">
        <v>205.33</v>
      </c>
      <c r="H386" s="7">
        <v>0</v>
      </c>
      <c r="I386" s="9" t="s">
        <v>22</v>
      </c>
      <c r="J386" s="10">
        <v>10.68</v>
      </c>
      <c r="K386" s="11">
        <v>9.77</v>
      </c>
      <c r="L386" s="11">
        <v>6.02</v>
      </c>
      <c r="M386" s="9" t="s">
        <v>194</v>
      </c>
      <c r="N386" s="6" t="s">
        <v>173</v>
      </c>
      <c r="O386" s="6" t="s">
        <v>173</v>
      </c>
      <c r="P386" s="9" t="s">
        <v>41</v>
      </c>
      <c r="Q386" s="9" t="s">
        <v>49</v>
      </c>
      <c r="R386" s="9" t="s">
        <v>50</v>
      </c>
      <c r="S386" s="7" t="s">
        <v>446</v>
      </c>
      <c r="T386" s="9" t="s">
        <v>48</v>
      </c>
      <c r="U386" s="7">
        <v>0.48</v>
      </c>
      <c r="V386" s="12">
        <f>C386+2</f>
        <v>40364</v>
      </c>
      <c r="W386">
        <f>IF(D386=' Pivot Tables'!$A$4,1,0)</f>
        <v>0</v>
      </c>
      <c r="X386">
        <f>IF(AND(LEFT(D386,4)+1=LEFT(' Pivot Tables'!$A$4,4)+0,RIGHT(LEFT(D386,7),2)=RIGHT(LEFT(' Pivot Tables'!$A$4,7),2)),1,0)</f>
        <v>0</v>
      </c>
      <c r="Y386" s="6">
        <f>1/COUNTIF(Таблица1[Order ID],Таблица1[[#This Row],[Order ID]])</f>
        <v>1</v>
      </c>
      <c r="Z386" s="9">
        <f>1/COUNTIFS(Таблица1[Customer Name],Таблица1[[#This Row],[Customer Name]],Таблица1[Order-Year-Month],Таблица1[[#This Row],[Order-Year-Month]])</f>
        <v>1</v>
      </c>
    </row>
    <row r="387" spans="1:26" x14ac:dyDescent="0.2">
      <c r="A387" s="6">
        <v>6105</v>
      </c>
      <c r="B387" s="7">
        <v>43267</v>
      </c>
      <c r="C387" s="8">
        <f>DATE(2012,12,31)-595</f>
        <v>40679</v>
      </c>
      <c r="D387" s="8" t="str">
        <f t="shared" ref="D387:D450" si="6">TEXT(C387,"гггг-ММ (ММММ гггг)")</f>
        <v>2011-05 (май 2011)</v>
      </c>
      <c r="E387" s="9" t="s">
        <v>78</v>
      </c>
      <c r="F387" s="7">
        <v>17</v>
      </c>
      <c r="G387" s="7">
        <v>1368.14</v>
      </c>
      <c r="H387" s="7">
        <v>0.05</v>
      </c>
      <c r="I387" s="9" t="s">
        <v>56</v>
      </c>
      <c r="J387" s="10">
        <v>171.26</v>
      </c>
      <c r="K387" s="11">
        <v>76.72</v>
      </c>
      <c r="L387" s="11">
        <v>19.95</v>
      </c>
      <c r="M387" s="9" t="s">
        <v>291</v>
      </c>
      <c r="N387" s="6" t="s">
        <v>173</v>
      </c>
      <c r="O387" s="6" t="s">
        <v>173</v>
      </c>
      <c r="P387" s="9" t="s">
        <v>60</v>
      </c>
      <c r="Q387" s="9" t="s">
        <v>26</v>
      </c>
      <c r="R387" s="9" t="s">
        <v>34</v>
      </c>
      <c r="S387" s="7" t="s">
        <v>447</v>
      </c>
      <c r="T387" s="9" t="s">
        <v>29</v>
      </c>
      <c r="U387" s="7">
        <v>0.54</v>
      </c>
      <c r="V387" s="12">
        <f>C387+2</f>
        <v>40681</v>
      </c>
      <c r="W387">
        <f>IF(D387=' Pivot Tables'!$A$4,1,0)</f>
        <v>0</v>
      </c>
      <c r="X387">
        <f>IF(AND(LEFT(D387,4)+1=LEFT(' Pivot Tables'!$A$4,4)+0,RIGHT(LEFT(D387,7),2)=RIGHT(LEFT(' Pivot Tables'!$A$4,7),2)),1,0)</f>
        <v>0</v>
      </c>
      <c r="Y387" s="6">
        <f>1/COUNTIF(Таблица1[Order ID],Таблица1[[#This Row],[Order ID]])</f>
        <v>1</v>
      </c>
      <c r="Z387" s="9">
        <f>1/COUNTIFS(Таблица1[Customer Name],Таблица1[[#This Row],[Customer Name]],Таблица1[Order-Year-Month],Таблица1[[#This Row],[Order-Year-Month]])</f>
        <v>1</v>
      </c>
    </row>
    <row r="388" spans="1:26" x14ac:dyDescent="0.2">
      <c r="A388" s="6">
        <v>6118</v>
      </c>
      <c r="B388" s="7">
        <v>43329</v>
      </c>
      <c r="C388" s="8">
        <f>DATE(2012,12,31)-1030</f>
        <v>40244</v>
      </c>
      <c r="D388" s="8" t="str">
        <f t="shared" si="6"/>
        <v>2010-03 (март 2010)</v>
      </c>
      <c r="E388" s="9" t="s">
        <v>63</v>
      </c>
      <c r="F388" s="7">
        <v>42</v>
      </c>
      <c r="G388" s="7">
        <v>2475.83</v>
      </c>
      <c r="H388" s="7">
        <v>0.09</v>
      </c>
      <c r="I388" s="9" t="s">
        <v>22</v>
      </c>
      <c r="J388" s="10">
        <v>752.37</v>
      </c>
      <c r="K388" s="11">
        <v>59.98</v>
      </c>
      <c r="L388" s="11">
        <v>3.99</v>
      </c>
      <c r="M388" s="9" t="s">
        <v>190</v>
      </c>
      <c r="N388" s="6" t="s">
        <v>173</v>
      </c>
      <c r="O388" s="6" t="s">
        <v>173</v>
      </c>
      <c r="P388" s="9" t="s">
        <v>41</v>
      </c>
      <c r="Q388" s="9" t="s">
        <v>26</v>
      </c>
      <c r="R388" s="9" t="s">
        <v>34</v>
      </c>
      <c r="S388" s="7" t="s">
        <v>448</v>
      </c>
      <c r="T388" s="9" t="s">
        <v>39</v>
      </c>
      <c r="U388" s="7">
        <v>0.56999999999999995</v>
      </c>
      <c r="V388" s="12">
        <f>C388+3</f>
        <v>40247</v>
      </c>
      <c r="W388">
        <f>IF(D388=' Pivot Tables'!$A$4,1,0)</f>
        <v>0</v>
      </c>
      <c r="X388">
        <f>IF(AND(LEFT(D388,4)+1=LEFT(' Pivot Tables'!$A$4,4)+0,RIGHT(LEFT(D388,7),2)=RIGHT(LEFT(' Pivot Tables'!$A$4,7),2)),1,0)</f>
        <v>0</v>
      </c>
      <c r="Y388" s="6">
        <f>1/COUNTIF(Таблица1[Order ID],Таблица1[[#This Row],[Order ID]])</f>
        <v>1</v>
      </c>
      <c r="Z388" s="9">
        <f>1/COUNTIFS(Таблица1[Customer Name],Таблица1[[#This Row],[Customer Name]],Таблица1[Order-Year-Month],Таблица1[[#This Row],[Order-Year-Month]])</f>
        <v>1</v>
      </c>
    </row>
    <row r="389" spans="1:26" x14ac:dyDescent="0.2">
      <c r="A389" s="6">
        <v>6119</v>
      </c>
      <c r="B389" s="7">
        <v>43330</v>
      </c>
      <c r="C389" s="8">
        <f>DATE(2012,12,31)-1344</f>
        <v>39930</v>
      </c>
      <c r="D389" s="8" t="str">
        <f t="shared" si="6"/>
        <v>2009-04 (апрель 2009)</v>
      </c>
      <c r="E389" s="9" t="s">
        <v>45</v>
      </c>
      <c r="F389" s="7">
        <v>40</v>
      </c>
      <c r="G389" s="7">
        <v>2205.7584999999999</v>
      </c>
      <c r="H389" s="7">
        <v>0.03</v>
      </c>
      <c r="I389" s="9" t="s">
        <v>22</v>
      </c>
      <c r="J389" s="10">
        <v>337.041</v>
      </c>
      <c r="K389" s="11">
        <v>65.989999999999995</v>
      </c>
      <c r="L389" s="11">
        <v>8.99</v>
      </c>
      <c r="M389" s="9" t="s">
        <v>291</v>
      </c>
      <c r="N389" s="6" t="s">
        <v>173</v>
      </c>
      <c r="O389" s="6" t="s">
        <v>173</v>
      </c>
      <c r="P389" s="9" t="s">
        <v>60</v>
      </c>
      <c r="Q389" s="9" t="s">
        <v>42</v>
      </c>
      <c r="R389" s="9" t="s">
        <v>43</v>
      </c>
      <c r="S389" s="7" t="s">
        <v>429</v>
      </c>
      <c r="T389" s="9" t="s">
        <v>39</v>
      </c>
      <c r="U389" s="7">
        <v>0.57999999999999996</v>
      </c>
      <c r="V389" s="12">
        <f>C389+1</f>
        <v>39931</v>
      </c>
      <c r="W389">
        <f>IF(D389=' Pivot Tables'!$A$4,1,0)</f>
        <v>0</v>
      </c>
      <c r="X389">
        <f>IF(AND(LEFT(D389,4)+1=LEFT(' Pivot Tables'!$A$4,4)+0,RIGHT(LEFT(D389,7),2)=RIGHT(LEFT(' Pivot Tables'!$A$4,7),2)),1,0)</f>
        <v>0</v>
      </c>
      <c r="Y389" s="6">
        <f>1/COUNTIF(Таблица1[Order ID],Таблица1[[#This Row],[Order ID]])</f>
        <v>1</v>
      </c>
      <c r="Z389" s="9">
        <f>1/COUNTIFS(Таблица1[Customer Name],Таблица1[[#This Row],[Customer Name]],Таблица1[Order-Year-Month],Таблица1[[#This Row],[Order-Year-Month]])</f>
        <v>1</v>
      </c>
    </row>
    <row r="390" spans="1:26" x14ac:dyDescent="0.2">
      <c r="A390" s="6">
        <v>6125</v>
      </c>
      <c r="B390" s="7">
        <v>43364</v>
      </c>
      <c r="C390" s="8">
        <f>DATE(2012,12,31)-268</f>
        <v>41006</v>
      </c>
      <c r="D390" s="8" t="str">
        <f t="shared" si="6"/>
        <v>2012-04 (апрель 2012)</v>
      </c>
      <c r="E390" s="9" t="s">
        <v>30</v>
      </c>
      <c r="F390" s="7">
        <v>21</v>
      </c>
      <c r="G390" s="7">
        <v>524.20000000000005</v>
      </c>
      <c r="H390" s="7">
        <v>0.04</v>
      </c>
      <c r="I390" s="9" t="s">
        <v>22</v>
      </c>
      <c r="J390" s="10">
        <v>158.97999999999999</v>
      </c>
      <c r="K390" s="11">
        <v>23.99</v>
      </c>
      <c r="L390" s="11">
        <v>6.71</v>
      </c>
      <c r="M390" s="9" t="s">
        <v>381</v>
      </c>
      <c r="N390" s="6" t="s">
        <v>173</v>
      </c>
      <c r="O390" s="6" t="s">
        <v>173</v>
      </c>
      <c r="P390" s="9" t="s">
        <v>41</v>
      </c>
      <c r="Q390" s="9" t="s">
        <v>26</v>
      </c>
      <c r="R390" s="9" t="s">
        <v>76</v>
      </c>
      <c r="S390" s="7" t="s">
        <v>318</v>
      </c>
      <c r="T390" s="9" t="s">
        <v>39</v>
      </c>
      <c r="U390" s="7">
        <v>0.35</v>
      </c>
      <c r="V390" s="12">
        <f>C390+3</f>
        <v>41009</v>
      </c>
      <c r="W390">
        <f>IF(D390=' Pivot Tables'!$A$4,1,0)</f>
        <v>0</v>
      </c>
      <c r="X390">
        <f>IF(AND(LEFT(D390,4)+1=LEFT(' Pivot Tables'!$A$4,4)+0,RIGHT(LEFT(D390,7),2)=RIGHT(LEFT(' Pivot Tables'!$A$4,7),2)),1,0)</f>
        <v>0</v>
      </c>
      <c r="Y390" s="6">
        <f>1/COUNTIF(Таблица1[Order ID],Таблица1[[#This Row],[Order ID]])</f>
        <v>1</v>
      </c>
      <c r="Z390" s="9">
        <f>1/COUNTIFS(Таблица1[Customer Name],Таблица1[[#This Row],[Customer Name]],Таблица1[Order-Year-Month],Таблица1[[#This Row],[Order-Year-Month]])</f>
        <v>0.5</v>
      </c>
    </row>
    <row r="391" spans="1:26" x14ac:dyDescent="0.2">
      <c r="A391" s="6">
        <v>6129</v>
      </c>
      <c r="B391" s="7">
        <v>43392</v>
      </c>
      <c r="C391" s="8">
        <f>DATE(2012,12,31)-731</f>
        <v>40543</v>
      </c>
      <c r="D391" s="8" t="str">
        <f t="shared" si="6"/>
        <v>2010-12 (декабрь 2010)</v>
      </c>
      <c r="E391" s="9" t="s">
        <v>63</v>
      </c>
      <c r="F391" s="7">
        <v>39</v>
      </c>
      <c r="G391" s="7">
        <v>6553.45</v>
      </c>
      <c r="H391" s="7">
        <v>0.03</v>
      </c>
      <c r="I391" s="9" t="s">
        <v>22</v>
      </c>
      <c r="J391" s="10">
        <v>2969.81</v>
      </c>
      <c r="K391" s="11">
        <v>162.93</v>
      </c>
      <c r="L391" s="11">
        <v>19.989999999999998</v>
      </c>
      <c r="M391" s="9" t="s">
        <v>190</v>
      </c>
      <c r="N391" s="6" t="s">
        <v>173</v>
      </c>
      <c r="O391" s="6" t="s">
        <v>173</v>
      </c>
      <c r="P391" s="9" t="s">
        <v>25</v>
      </c>
      <c r="Q391" s="9" t="s">
        <v>26</v>
      </c>
      <c r="R391" s="9" t="s">
        <v>76</v>
      </c>
      <c r="S391" s="7" t="s">
        <v>449</v>
      </c>
      <c r="T391" s="9" t="s">
        <v>39</v>
      </c>
      <c r="U391" s="7">
        <v>0.39</v>
      </c>
      <c r="V391" s="12">
        <f>C391+2</f>
        <v>40545</v>
      </c>
      <c r="W391">
        <f>IF(D391=' Pivot Tables'!$A$4,1,0)</f>
        <v>0</v>
      </c>
      <c r="X391">
        <f>IF(AND(LEFT(D391,4)+1=LEFT(' Pivot Tables'!$A$4,4)+0,RIGHT(LEFT(D391,7),2)=RIGHT(LEFT(' Pivot Tables'!$A$4,7),2)),1,0)</f>
        <v>0</v>
      </c>
      <c r="Y391" s="6">
        <f>1/COUNTIF(Таблица1[Order ID],Таблица1[[#This Row],[Order ID]])</f>
        <v>1</v>
      </c>
      <c r="Z391" s="9">
        <f>1/COUNTIFS(Таблица1[Customer Name],Таблица1[[#This Row],[Customer Name]],Таблица1[Order-Year-Month],Таблица1[[#This Row],[Order-Year-Month]])</f>
        <v>1</v>
      </c>
    </row>
    <row r="392" spans="1:26" x14ac:dyDescent="0.2">
      <c r="A392" s="6">
        <v>6176</v>
      </c>
      <c r="B392" s="7">
        <v>43781</v>
      </c>
      <c r="C392" s="8">
        <f>DATE(2012,12,31)-1063</f>
        <v>40211</v>
      </c>
      <c r="D392" s="8" t="str">
        <f t="shared" si="6"/>
        <v>2010-02 (февраль 2010)</v>
      </c>
      <c r="E392" s="9" t="s">
        <v>45</v>
      </c>
      <c r="F392" s="7">
        <v>45</v>
      </c>
      <c r="G392" s="7">
        <v>497.14</v>
      </c>
      <c r="H392" s="7">
        <v>0.05</v>
      </c>
      <c r="I392" s="9" t="s">
        <v>22</v>
      </c>
      <c r="J392" s="10">
        <v>240.41</v>
      </c>
      <c r="K392" s="11">
        <v>10.94</v>
      </c>
      <c r="L392" s="11">
        <v>1.39</v>
      </c>
      <c r="M392" s="9" t="s">
        <v>72</v>
      </c>
      <c r="N392" s="6" t="s">
        <v>173</v>
      </c>
      <c r="O392" s="6" t="s">
        <v>173</v>
      </c>
      <c r="P392" s="9" t="s">
        <v>25</v>
      </c>
      <c r="Q392" s="9" t="s">
        <v>26</v>
      </c>
      <c r="R392" s="9" t="s">
        <v>76</v>
      </c>
      <c r="S392" s="7" t="s">
        <v>450</v>
      </c>
      <c r="T392" s="9" t="s">
        <v>39</v>
      </c>
      <c r="U392" s="7">
        <v>0.35</v>
      </c>
      <c r="V392" s="12">
        <f>C392+0</f>
        <v>40211</v>
      </c>
      <c r="W392">
        <f>IF(D392=' Pivot Tables'!$A$4,1,0)</f>
        <v>0</v>
      </c>
      <c r="X392">
        <f>IF(AND(LEFT(D392,4)+1=LEFT(' Pivot Tables'!$A$4,4)+0,RIGHT(LEFT(D392,7),2)=RIGHT(LEFT(' Pivot Tables'!$A$4,7),2)),1,0)</f>
        <v>0</v>
      </c>
      <c r="Y392" s="6">
        <f>1/COUNTIF(Таблица1[Order ID],Таблица1[[#This Row],[Order ID]])</f>
        <v>0.5</v>
      </c>
      <c r="Z392" s="9">
        <f>1/COUNTIFS(Таблица1[Customer Name],Таблица1[[#This Row],[Customer Name]],Таблица1[Order-Year-Month],Таблица1[[#This Row],[Order-Year-Month]])</f>
        <v>0.2</v>
      </c>
    </row>
    <row r="393" spans="1:26" x14ac:dyDescent="0.2">
      <c r="A393" s="6">
        <v>6177</v>
      </c>
      <c r="B393" s="7">
        <v>43781</v>
      </c>
      <c r="C393" s="8">
        <f>DATE(2012,12,31)-1063</f>
        <v>40211</v>
      </c>
      <c r="D393" s="8" t="str">
        <f t="shared" si="6"/>
        <v>2010-02 (февраль 2010)</v>
      </c>
      <c r="E393" s="9" t="s">
        <v>45</v>
      </c>
      <c r="F393" s="7">
        <v>21</v>
      </c>
      <c r="G393" s="7">
        <v>917.39</v>
      </c>
      <c r="H393" s="7">
        <v>0.02</v>
      </c>
      <c r="I393" s="9" t="s">
        <v>56</v>
      </c>
      <c r="J393" s="10">
        <v>393.40549999999996</v>
      </c>
      <c r="K393" s="11">
        <v>40.98</v>
      </c>
      <c r="L393" s="11">
        <v>2.99</v>
      </c>
      <c r="M393" s="9" t="s">
        <v>72</v>
      </c>
      <c r="N393" s="6" t="s">
        <v>173</v>
      </c>
      <c r="O393" s="6" t="s">
        <v>173</v>
      </c>
      <c r="P393" s="9" t="s">
        <v>25</v>
      </c>
      <c r="Q393" s="9" t="s">
        <v>26</v>
      </c>
      <c r="R393" s="9" t="s">
        <v>37</v>
      </c>
      <c r="S393" s="7" t="s">
        <v>451</v>
      </c>
      <c r="T393" s="9" t="s">
        <v>39</v>
      </c>
      <c r="U393" s="7">
        <v>0.36</v>
      </c>
      <c r="V393" s="12">
        <f t="shared" ref="V393:V399" si="7">C393+1</f>
        <v>40212</v>
      </c>
      <c r="W393">
        <f>IF(D393=' Pivot Tables'!$A$4,1,0)</f>
        <v>0</v>
      </c>
      <c r="X393">
        <f>IF(AND(LEFT(D393,4)+1=LEFT(' Pivot Tables'!$A$4,4)+0,RIGHT(LEFT(D393,7),2)=RIGHT(LEFT(' Pivot Tables'!$A$4,7),2)),1,0)</f>
        <v>0</v>
      </c>
      <c r="Y393" s="6">
        <f>1/COUNTIF(Таблица1[Order ID],Таблица1[[#This Row],[Order ID]])</f>
        <v>0.5</v>
      </c>
      <c r="Z393" s="9">
        <f>1/COUNTIFS(Таблица1[Customer Name],Таблица1[[#This Row],[Customer Name]],Таблица1[Order-Year-Month],Таблица1[[#This Row],[Order-Year-Month]])</f>
        <v>0.2</v>
      </c>
    </row>
    <row r="394" spans="1:26" x14ac:dyDescent="0.2">
      <c r="A394" s="6">
        <v>6226</v>
      </c>
      <c r="B394" s="7">
        <v>44071</v>
      </c>
      <c r="C394" s="8">
        <f>DATE(2012,12,31)-260</f>
        <v>41014</v>
      </c>
      <c r="D394" s="8" t="str">
        <f t="shared" si="6"/>
        <v>2012-04 (апрель 2012)</v>
      </c>
      <c r="E394" s="9" t="s">
        <v>45</v>
      </c>
      <c r="F394" s="7">
        <v>19</v>
      </c>
      <c r="G394" s="7">
        <v>110.67</v>
      </c>
      <c r="H394" s="7">
        <v>0.08</v>
      </c>
      <c r="I394" s="9" t="s">
        <v>22</v>
      </c>
      <c r="J394" s="10">
        <v>-43.745999999999995</v>
      </c>
      <c r="K394" s="11">
        <v>5.99</v>
      </c>
      <c r="L394" s="11">
        <v>4.92</v>
      </c>
      <c r="M394" s="9" t="s">
        <v>137</v>
      </c>
      <c r="N394" s="6" t="s">
        <v>173</v>
      </c>
      <c r="O394" s="6" t="s">
        <v>173</v>
      </c>
      <c r="P394" s="9" t="s">
        <v>41</v>
      </c>
      <c r="Q394" s="9" t="s">
        <v>26</v>
      </c>
      <c r="R394" s="9" t="s">
        <v>37</v>
      </c>
      <c r="S394" s="7" t="s">
        <v>452</v>
      </c>
      <c r="T394" s="9" t="s">
        <v>39</v>
      </c>
      <c r="U394" s="7">
        <v>0.38</v>
      </c>
      <c r="V394" s="12">
        <f t="shared" si="7"/>
        <v>41015</v>
      </c>
      <c r="W394">
        <f>IF(D394=' Pivot Tables'!$A$4,1,0)</f>
        <v>0</v>
      </c>
      <c r="X394">
        <f>IF(AND(LEFT(D394,4)+1=LEFT(' Pivot Tables'!$A$4,4)+0,RIGHT(LEFT(D394,7),2)=RIGHT(LEFT(' Pivot Tables'!$A$4,7),2)),1,0)</f>
        <v>0</v>
      </c>
      <c r="Y394" s="6">
        <f>1/COUNTIF(Таблица1[Order ID],Таблица1[[#This Row],[Order ID]])</f>
        <v>0.5</v>
      </c>
      <c r="Z394" s="9">
        <f>1/COUNTIFS(Таблица1[Customer Name],Таблица1[[#This Row],[Customer Name]],Таблица1[Order-Year-Month],Таблица1[[#This Row],[Order-Year-Month]])</f>
        <v>0.25</v>
      </c>
    </row>
    <row r="395" spans="1:26" x14ac:dyDescent="0.2">
      <c r="A395" s="6">
        <v>6227</v>
      </c>
      <c r="B395" s="7">
        <v>44071</v>
      </c>
      <c r="C395" s="8">
        <f>DATE(2012,12,31)-260</f>
        <v>41014</v>
      </c>
      <c r="D395" s="8" t="str">
        <f t="shared" si="6"/>
        <v>2012-04 (апрель 2012)</v>
      </c>
      <c r="E395" s="9" t="s">
        <v>45</v>
      </c>
      <c r="F395" s="7">
        <v>20</v>
      </c>
      <c r="G395" s="7">
        <v>1163.123</v>
      </c>
      <c r="H395" s="7">
        <v>0</v>
      </c>
      <c r="I395" s="9" t="s">
        <v>22</v>
      </c>
      <c r="J395" s="10">
        <v>83.834999999999994</v>
      </c>
      <c r="K395" s="11">
        <v>65.989999999999995</v>
      </c>
      <c r="L395" s="11">
        <v>8.99</v>
      </c>
      <c r="M395" s="9" t="s">
        <v>137</v>
      </c>
      <c r="N395" s="6" t="s">
        <v>173</v>
      </c>
      <c r="O395" s="6" t="s">
        <v>173</v>
      </c>
      <c r="P395" s="9" t="s">
        <v>41</v>
      </c>
      <c r="Q395" s="9" t="s">
        <v>42</v>
      </c>
      <c r="R395" s="9" t="s">
        <v>43</v>
      </c>
      <c r="S395" s="7" t="s">
        <v>429</v>
      </c>
      <c r="T395" s="9" t="s">
        <v>39</v>
      </c>
      <c r="U395" s="7">
        <v>0.57999999999999996</v>
      </c>
      <c r="V395" s="12">
        <f t="shared" si="7"/>
        <v>41015</v>
      </c>
      <c r="W395">
        <f>IF(D395=' Pivot Tables'!$A$4,1,0)</f>
        <v>0</v>
      </c>
      <c r="X395">
        <f>IF(AND(LEFT(D395,4)+1=LEFT(' Pivot Tables'!$A$4,4)+0,RIGHT(LEFT(D395,7),2)=RIGHT(LEFT(' Pivot Tables'!$A$4,7),2)),1,0)</f>
        <v>0</v>
      </c>
      <c r="Y395" s="6">
        <f>1/COUNTIF(Таблица1[Order ID],Таблица1[[#This Row],[Order ID]])</f>
        <v>0.5</v>
      </c>
      <c r="Z395" s="9">
        <f>1/COUNTIFS(Таблица1[Customer Name],Таблица1[[#This Row],[Customer Name]],Таблица1[Order-Year-Month],Таблица1[[#This Row],[Order-Year-Month]])</f>
        <v>0.25</v>
      </c>
    </row>
    <row r="396" spans="1:26" x14ac:dyDescent="0.2">
      <c r="A396" s="6">
        <v>6290</v>
      </c>
      <c r="B396" s="7">
        <v>44519</v>
      </c>
      <c r="C396" s="8">
        <f>DATE(2012,12,31)-957</f>
        <v>40317</v>
      </c>
      <c r="D396" s="8" t="str">
        <f t="shared" si="6"/>
        <v>2010-05 (май 2010)</v>
      </c>
      <c r="E396" s="9" t="s">
        <v>30</v>
      </c>
      <c r="F396" s="7">
        <v>48</v>
      </c>
      <c r="G396" s="7">
        <v>224.58</v>
      </c>
      <c r="H396" s="7">
        <v>0.03</v>
      </c>
      <c r="I396" s="9" t="s">
        <v>22</v>
      </c>
      <c r="J396" s="10">
        <v>-144.762</v>
      </c>
      <c r="K396" s="11">
        <v>4.57</v>
      </c>
      <c r="L396" s="11">
        <v>5.42</v>
      </c>
      <c r="M396" s="9" t="s">
        <v>124</v>
      </c>
      <c r="N396" s="6" t="s">
        <v>173</v>
      </c>
      <c r="O396" s="6" t="s">
        <v>173</v>
      </c>
      <c r="P396" s="9" t="s">
        <v>41</v>
      </c>
      <c r="Q396" s="9" t="s">
        <v>26</v>
      </c>
      <c r="R396" s="9" t="s">
        <v>37</v>
      </c>
      <c r="S396" s="7" t="s">
        <v>453</v>
      </c>
      <c r="T396" s="9" t="s">
        <v>39</v>
      </c>
      <c r="U396" s="7">
        <v>0.37</v>
      </c>
      <c r="V396" s="12">
        <f t="shared" si="7"/>
        <v>40318</v>
      </c>
      <c r="W396">
        <f>IF(D396=' Pivot Tables'!$A$4,1,0)</f>
        <v>0</v>
      </c>
      <c r="X396">
        <f>IF(AND(LEFT(D396,4)+1=LEFT(' Pivot Tables'!$A$4,4)+0,RIGHT(LEFT(D396,7),2)=RIGHT(LEFT(' Pivot Tables'!$A$4,7),2)),1,0)</f>
        <v>0</v>
      </c>
      <c r="Y396" s="6">
        <f>1/COUNTIF(Таблица1[Order ID],Таблица1[[#This Row],[Order ID]])</f>
        <v>0.33333333333333331</v>
      </c>
      <c r="Z396" s="9">
        <f>1/COUNTIFS(Таблица1[Customer Name],Таблица1[[#This Row],[Customer Name]],Таблица1[Order-Year-Month],Таблица1[[#This Row],[Order-Year-Month]])</f>
        <v>0.33333333333333331</v>
      </c>
    </row>
    <row r="397" spans="1:26" x14ac:dyDescent="0.2">
      <c r="A397" s="6">
        <v>6291</v>
      </c>
      <c r="B397" s="7">
        <v>44519</v>
      </c>
      <c r="C397" s="8">
        <f>DATE(2012,12,31)-957</f>
        <v>40317</v>
      </c>
      <c r="D397" s="8" t="str">
        <f t="shared" si="6"/>
        <v>2010-05 (май 2010)</v>
      </c>
      <c r="E397" s="9" t="s">
        <v>30</v>
      </c>
      <c r="F397" s="7">
        <v>34</v>
      </c>
      <c r="G397" s="7">
        <v>365.77</v>
      </c>
      <c r="H397" s="7">
        <v>7.0000000000000007E-2</v>
      </c>
      <c r="I397" s="9" t="s">
        <v>22</v>
      </c>
      <c r="J397" s="10">
        <v>155.69</v>
      </c>
      <c r="K397" s="11">
        <v>10.67</v>
      </c>
      <c r="L397" s="11">
        <v>1.39</v>
      </c>
      <c r="M397" s="9" t="s">
        <v>124</v>
      </c>
      <c r="N397" s="6" t="s">
        <v>173</v>
      </c>
      <c r="O397" s="6" t="s">
        <v>173</v>
      </c>
      <c r="P397" s="9" t="s">
        <v>41</v>
      </c>
      <c r="Q397" s="9" t="s">
        <v>26</v>
      </c>
      <c r="R397" s="9" t="s">
        <v>76</v>
      </c>
      <c r="S397" s="7" t="s">
        <v>454</v>
      </c>
      <c r="T397" s="9" t="s">
        <v>39</v>
      </c>
      <c r="U397" s="7">
        <v>0.39</v>
      </c>
      <c r="V397" s="12">
        <f t="shared" si="7"/>
        <v>40318</v>
      </c>
      <c r="W397">
        <f>IF(D397=' Pivot Tables'!$A$4,1,0)</f>
        <v>0</v>
      </c>
      <c r="X397">
        <f>IF(AND(LEFT(D397,4)+1=LEFT(' Pivot Tables'!$A$4,4)+0,RIGHT(LEFT(D397,7),2)=RIGHT(LEFT(' Pivot Tables'!$A$4,7),2)),1,0)</f>
        <v>0</v>
      </c>
      <c r="Y397" s="6">
        <f>1/COUNTIF(Таблица1[Order ID],Таблица1[[#This Row],[Order ID]])</f>
        <v>0.33333333333333331</v>
      </c>
      <c r="Z397" s="9">
        <f>1/COUNTIFS(Таблица1[Customer Name],Таблица1[[#This Row],[Customer Name]],Таблица1[Order-Year-Month],Таблица1[[#This Row],[Order-Year-Month]])</f>
        <v>0.33333333333333331</v>
      </c>
    </row>
    <row r="398" spans="1:26" x14ac:dyDescent="0.2">
      <c r="A398" s="6">
        <v>6292</v>
      </c>
      <c r="B398" s="7">
        <v>44519</v>
      </c>
      <c r="C398" s="8">
        <f>DATE(2012,12,31)-957</f>
        <v>40317</v>
      </c>
      <c r="D398" s="8" t="str">
        <f t="shared" si="6"/>
        <v>2010-05 (май 2010)</v>
      </c>
      <c r="E398" s="9" t="s">
        <v>30</v>
      </c>
      <c r="F398" s="7">
        <v>34</v>
      </c>
      <c r="G398" s="7">
        <v>16073.03</v>
      </c>
      <c r="H398" s="7">
        <v>0.01</v>
      </c>
      <c r="I398" s="9" t="s">
        <v>31</v>
      </c>
      <c r="J398" s="10">
        <v>5386.32</v>
      </c>
      <c r="K398" s="11">
        <v>442.14</v>
      </c>
      <c r="L398" s="11">
        <v>14.7</v>
      </c>
      <c r="M398" s="9" t="s">
        <v>124</v>
      </c>
      <c r="N398" s="6" t="s">
        <v>173</v>
      </c>
      <c r="O398" s="6" t="s">
        <v>173</v>
      </c>
      <c r="P398" s="9" t="s">
        <v>41</v>
      </c>
      <c r="Q398" s="9" t="s">
        <v>42</v>
      </c>
      <c r="R398" s="9" t="s">
        <v>210</v>
      </c>
      <c r="S398" s="7" t="s">
        <v>455</v>
      </c>
      <c r="T398" s="9" t="s">
        <v>36</v>
      </c>
      <c r="U398" s="7">
        <v>0.56000000000000005</v>
      </c>
      <c r="V398" s="12">
        <f t="shared" si="7"/>
        <v>40318</v>
      </c>
      <c r="W398">
        <f>IF(D398=' Pivot Tables'!$A$4,1,0)</f>
        <v>0</v>
      </c>
      <c r="X398">
        <f>IF(AND(LEFT(D398,4)+1=LEFT(' Pivot Tables'!$A$4,4)+0,RIGHT(LEFT(D398,7),2)=RIGHT(LEFT(' Pivot Tables'!$A$4,7),2)),1,0)</f>
        <v>0</v>
      </c>
      <c r="Y398" s="6">
        <f>1/COUNTIF(Таблица1[Order ID],Таблица1[[#This Row],[Order ID]])</f>
        <v>0.33333333333333331</v>
      </c>
      <c r="Z398" s="9">
        <f>1/COUNTIFS(Таблица1[Customer Name],Таблица1[[#This Row],[Customer Name]],Таблица1[Order-Year-Month],Таблица1[[#This Row],[Order-Year-Month]])</f>
        <v>0.33333333333333331</v>
      </c>
    </row>
    <row r="399" spans="1:26" x14ac:dyDescent="0.2">
      <c r="A399" s="6">
        <v>6319</v>
      </c>
      <c r="B399" s="7">
        <v>44708</v>
      </c>
      <c r="C399" s="8">
        <f>DATE(2012,12,31)-1253</f>
        <v>40021</v>
      </c>
      <c r="D399" s="8" t="str">
        <f t="shared" si="6"/>
        <v>2009-07 (июль 2009)</v>
      </c>
      <c r="E399" s="9" t="s">
        <v>45</v>
      </c>
      <c r="F399" s="7">
        <v>15</v>
      </c>
      <c r="G399" s="7">
        <v>30.68</v>
      </c>
      <c r="H399" s="7">
        <v>0.02</v>
      </c>
      <c r="I399" s="9" t="s">
        <v>22</v>
      </c>
      <c r="J399" s="10">
        <v>-37.39</v>
      </c>
      <c r="K399" s="11">
        <v>1.74</v>
      </c>
      <c r="L399" s="11">
        <v>4.08</v>
      </c>
      <c r="M399" s="9" t="s">
        <v>75</v>
      </c>
      <c r="N399" s="6" t="s">
        <v>173</v>
      </c>
      <c r="O399" s="6" t="s">
        <v>173</v>
      </c>
      <c r="P399" s="9" t="s">
        <v>25</v>
      </c>
      <c r="Q399" s="9" t="s">
        <v>49</v>
      </c>
      <c r="R399" s="9" t="s">
        <v>50</v>
      </c>
      <c r="S399" s="7" t="s">
        <v>456</v>
      </c>
      <c r="T399" s="9" t="s">
        <v>52</v>
      </c>
      <c r="U399" s="7">
        <v>0.53</v>
      </c>
      <c r="V399" s="12">
        <f t="shared" si="7"/>
        <v>40022</v>
      </c>
      <c r="W399">
        <f>IF(D399=' Pivot Tables'!$A$4,1,0)</f>
        <v>0</v>
      </c>
      <c r="X399">
        <f>IF(AND(LEFT(D399,4)+1=LEFT(' Pivot Tables'!$A$4,4)+0,RIGHT(LEFT(D399,7),2)=RIGHT(LEFT(' Pivot Tables'!$A$4,7),2)),1,0)</f>
        <v>0</v>
      </c>
      <c r="Y399" s="6">
        <f>1/COUNTIF(Таблица1[Order ID],Таблица1[[#This Row],[Order ID]])</f>
        <v>1</v>
      </c>
      <c r="Z399" s="9">
        <f>1/COUNTIFS(Таблица1[Customer Name],Таблица1[[#This Row],[Customer Name]],Таблица1[Order-Year-Month],Таблица1[[#This Row],[Order-Year-Month]])</f>
        <v>1</v>
      </c>
    </row>
    <row r="400" spans="1:26" x14ac:dyDescent="0.2">
      <c r="A400" s="6">
        <v>6324</v>
      </c>
      <c r="B400" s="7">
        <v>44772</v>
      </c>
      <c r="C400" s="8">
        <f>DATE(2012,12,31)-1371</f>
        <v>39903</v>
      </c>
      <c r="D400" s="8" t="str">
        <f t="shared" si="6"/>
        <v>2009-03 (март 2009)</v>
      </c>
      <c r="E400" s="9" t="s">
        <v>45</v>
      </c>
      <c r="F400" s="7">
        <v>1</v>
      </c>
      <c r="G400" s="7">
        <v>54.076999999999998</v>
      </c>
      <c r="H400" s="7">
        <v>7.0000000000000007E-2</v>
      </c>
      <c r="I400" s="9" t="s">
        <v>56</v>
      </c>
      <c r="J400" s="10">
        <v>-232.99100000000001</v>
      </c>
      <c r="K400" s="11">
        <v>55.99</v>
      </c>
      <c r="L400" s="11">
        <v>5</v>
      </c>
      <c r="M400" s="9" t="s">
        <v>124</v>
      </c>
      <c r="N400" s="6" t="s">
        <v>173</v>
      </c>
      <c r="O400" s="6" t="s">
        <v>173</v>
      </c>
      <c r="P400" s="9" t="s">
        <v>41</v>
      </c>
      <c r="Q400" s="9" t="s">
        <v>42</v>
      </c>
      <c r="R400" s="9" t="s">
        <v>43</v>
      </c>
      <c r="S400" s="7" t="s">
        <v>248</v>
      </c>
      <c r="T400" s="9" t="s">
        <v>52</v>
      </c>
      <c r="U400" s="7">
        <v>0.83</v>
      </c>
      <c r="V400" s="12">
        <f>C400+2</f>
        <v>39905</v>
      </c>
      <c r="W400">
        <f>IF(D400=' Pivot Tables'!$A$4,1,0)</f>
        <v>0</v>
      </c>
      <c r="X400">
        <f>IF(AND(LEFT(D400,4)+1=LEFT(' Pivot Tables'!$A$4,4)+0,RIGHT(LEFT(D400,7),2)=RIGHT(LEFT(' Pivot Tables'!$A$4,7),2)),1,0)</f>
        <v>0</v>
      </c>
      <c r="Y400" s="6">
        <f>1/COUNTIF(Таблица1[Order ID],Таблица1[[#This Row],[Order ID]])</f>
        <v>1</v>
      </c>
      <c r="Z400" s="9">
        <f>1/COUNTIFS(Таблица1[Customer Name],Таблица1[[#This Row],[Customer Name]],Таблица1[Order-Year-Month],Таблица1[[#This Row],[Order-Year-Month]])</f>
        <v>1</v>
      </c>
    </row>
    <row r="401" spans="1:26" x14ac:dyDescent="0.2">
      <c r="A401" s="6">
        <v>6330</v>
      </c>
      <c r="B401" s="7">
        <v>44839</v>
      </c>
      <c r="C401" s="8">
        <f>DATE(2012,12,31)-203</f>
        <v>41071</v>
      </c>
      <c r="D401" s="8" t="str">
        <f t="shared" si="6"/>
        <v>2012-06 (июнь 2012)</v>
      </c>
      <c r="E401" s="9" t="s">
        <v>78</v>
      </c>
      <c r="F401" s="7">
        <v>27</v>
      </c>
      <c r="G401" s="7">
        <v>899.97</v>
      </c>
      <c r="H401" s="7">
        <v>0.09</v>
      </c>
      <c r="I401" s="9" t="s">
        <v>56</v>
      </c>
      <c r="J401" s="10">
        <v>-246.3</v>
      </c>
      <c r="K401" s="11">
        <v>33.979999999999997</v>
      </c>
      <c r="L401" s="11">
        <v>19.989999999999998</v>
      </c>
      <c r="M401" s="9" t="s">
        <v>111</v>
      </c>
      <c r="N401" s="6" t="s">
        <v>173</v>
      </c>
      <c r="O401" s="6" t="s">
        <v>173</v>
      </c>
      <c r="P401" s="9" t="s">
        <v>33</v>
      </c>
      <c r="Q401" s="9" t="s">
        <v>49</v>
      </c>
      <c r="R401" s="9" t="s">
        <v>50</v>
      </c>
      <c r="S401" s="7" t="s">
        <v>192</v>
      </c>
      <c r="T401" s="9" t="s">
        <v>39</v>
      </c>
      <c r="U401" s="7">
        <v>0.55000000000000004</v>
      </c>
      <c r="V401" s="12">
        <f>C401+2</f>
        <v>41073</v>
      </c>
      <c r="W401">
        <f>IF(D401=' Pivot Tables'!$A$4,1,0)</f>
        <v>0</v>
      </c>
      <c r="X401">
        <f>IF(AND(LEFT(D401,4)+1=LEFT(' Pivot Tables'!$A$4,4)+0,RIGHT(LEFT(D401,7),2)=RIGHT(LEFT(' Pivot Tables'!$A$4,7),2)),1,0)</f>
        <v>0</v>
      </c>
      <c r="Y401" s="6">
        <f>1/COUNTIF(Таблица1[Order ID],Таблица1[[#This Row],[Order ID]])</f>
        <v>1</v>
      </c>
      <c r="Z401" s="9">
        <f>1/COUNTIFS(Таблица1[Customer Name],Таблица1[[#This Row],[Customer Name]],Таблица1[Order-Year-Month],Таблица1[[#This Row],[Order-Year-Month]])</f>
        <v>1</v>
      </c>
    </row>
    <row r="402" spans="1:26" x14ac:dyDescent="0.2">
      <c r="A402" s="6">
        <v>6372</v>
      </c>
      <c r="B402" s="7">
        <v>45217</v>
      </c>
      <c r="C402" s="8">
        <f>DATE(2012,12,31)-852</f>
        <v>40422</v>
      </c>
      <c r="D402" s="8" t="str">
        <f t="shared" si="6"/>
        <v>2010-09 (сентябрь 2010)</v>
      </c>
      <c r="E402" s="9" t="s">
        <v>45</v>
      </c>
      <c r="F402" s="7">
        <v>40</v>
      </c>
      <c r="G402" s="7">
        <v>6789.9274999999998</v>
      </c>
      <c r="H402" s="7">
        <v>0.08</v>
      </c>
      <c r="I402" s="9" t="s">
        <v>22</v>
      </c>
      <c r="J402" s="10">
        <v>1864.6560000000002</v>
      </c>
      <c r="K402" s="11">
        <v>200.99</v>
      </c>
      <c r="L402" s="11">
        <v>4.2</v>
      </c>
      <c r="M402" s="9" t="s">
        <v>160</v>
      </c>
      <c r="N402" s="6" t="s">
        <v>173</v>
      </c>
      <c r="O402" s="6" t="s">
        <v>173</v>
      </c>
      <c r="P402" s="9" t="s">
        <v>33</v>
      </c>
      <c r="Q402" s="9" t="s">
        <v>42</v>
      </c>
      <c r="R402" s="9" t="s">
        <v>43</v>
      </c>
      <c r="S402" s="7" t="s">
        <v>457</v>
      </c>
      <c r="T402" s="9" t="s">
        <v>39</v>
      </c>
      <c r="U402" s="7">
        <v>0.59</v>
      </c>
      <c r="V402" s="12">
        <f>C402+1</f>
        <v>40423</v>
      </c>
      <c r="W402">
        <f>IF(D402=' Pivot Tables'!$A$4,1,0)</f>
        <v>0</v>
      </c>
      <c r="X402">
        <f>IF(AND(LEFT(D402,4)+1=LEFT(' Pivot Tables'!$A$4,4)+0,RIGHT(LEFT(D402,7),2)=RIGHT(LEFT(' Pivot Tables'!$A$4,7),2)),1,0)</f>
        <v>0</v>
      </c>
      <c r="Y402" s="6">
        <f>1/COUNTIF(Таблица1[Order ID],Таблица1[[#This Row],[Order ID]])</f>
        <v>1</v>
      </c>
      <c r="Z402" s="9">
        <f>1/COUNTIFS(Таблица1[Customer Name],Таблица1[[#This Row],[Customer Name]],Таблица1[Order-Year-Month],Таблица1[[#This Row],[Order-Year-Month]])</f>
        <v>1</v>
      </c>
    </row>
    <row r="403" spans="1:26" x14ac:dyDescent="0.2">
      <c r="A403" s="6">
        <v>6402</v>
      </c>
      <c r="B403" s="7">
        <v>45440</v>
      </c>
      <c r="C403" s="8">
        <f>DATE(2012,12,31)-144</f>
        <v>41130</v>
      </c>
      <c r="D403" s="8" t="str">
        <f t="shared" si="6"/>
        <v>2012-08 (август 2012)</v>
      </c>
      <c r="E403" s="9" t="s">
        <v>78</v>
      </c>
      <c r="F403" s="7">
        <v>5</v>
      </c>
      <c r="G403" s="7">
        <v>748.29</v>
      </c>
      <c r="H403" s="7">
        <v>0.02</v>
      </c>
      <c r="I403" s="9" t="s">
        <v>31</v>
      </c>
      <c r="J403" s="10">
        <v>-183.6</v>
      </c>
      <c r="K403" s="11">
        <v>135.99</v>
      </c>
      <c r="L403" s="11">
        <v>28.63</v>
      </c>
      <c r="M403" s="9" t="s">
        <v>139</v>
      </c>
      <c r="N403" s="6" t="s">
        <v>173</v>
      </c>
      <c r="O403" s="6" t="s">
        <v>173</v>
      </c>
      <c r="P403" s="9" t="s">
        <v>41</v>
      </c>
      <c r="Q403" s="9" t="s">
        <v>49</v>
      </c>
      <c r="R403" s="9" t="s">
        <v>112</v>
      </c>
      <c r="S403" s="7" t="s">
        <v>458</v>
      </c>
      <c r="T403" s="9" t="s">
        <v>36</v>
      </c>
      <c r="U403" s="7">
        <v>0.76</v>
      </c>
      <c r="V403" s="12">
        <f>C403+2</f>
        <v>41132</v>
      </c>
      <c r="W403">
        <f>IF(D403=' Pivot Tables'!$A$4,1,0)</f>
        <v>0</v>
      </c>
      <c r="X403">
        <f>IF(AND(LEFT(D403,4)+1=LEFT(' Pivot Tables'!$A$4,4)+0,RIGHT(LEFT(D403,7),2)=RIGHT(LEFT(' Pivot Tables'!$A$4,7),2)),1,0)</f>
        <v>0</v>
      </c>
      <c r="Y403" s="6">
        <f>1/COUNTIF(Таблица1[Order ID],Таблица1[[#This Row],[Order ID]])</f>
        <v>1</v>
      </c>
      <c r="Z403" s="9">
        <f>1/COUNTIFS(Таблица1[Customer Name],Таблица1[[#This Row],[Customer Name]],Таблица1[Order-Year-Month],Таблица1[[#This Row],[Order-Year-Month]])</f>
        <v>1</v>
      </c>
    </row>
    <row r="404" spans="1:26" x14ac:dyDescent="0.2">
      <c r="A404" s="6">
        <v>6439</v>
      </c>
      <c r="B404" s="7">
        <v>45766</v>
      </c>
      <c r="C404" s="8">
        <f>DATE(2012,12,31)-969</f>
        <v>40305</v>
      </c>
      <c r="D404" s="8" t="str">
        <f t="shared" si="6"/>
        <v>2010-05 (май 2010)</v>
      </c>
      <c r="E404" s="9" t="s">
        <v>30</v>
      </c>
      <c r="F404" s="7">
        <v>37</v>
      </c>
      <c r="G404" s="7">
        <v>2522.21</v>
      </c>
      <c r="H404" s="7">
        <v>0</v>
      </c>
      <c r="I404" s="9" t="s">
        <v>22</v>
      </c>
      <c r="J404" s="10">
        <v>1026.07</v>
      </c>
      <c r="K404" s="11">
        <v>63.94</v>
      </c>
      <c r="L404" s="11">
        <v>14.48</v>
      </c>
      <c r="M404" s="9" t="s">
        <v>334</v>
      </c>
      <c r="N404" s="6" t="s">
        <v>173</v>
      </c>
      <c r="O404" s="6" t="s">
        <v>173</v>
      </c>
      <c r="P404" s="9" t="s">
        <v>60</v>
      </c>
      <c r="Q404" s="9" t="s">
        <v>49</v>
      </c>
      <c r="R404" s="9" t="s">
        <v>50</v>
      </c>
      <c r="S404" s="7" t="s">
        <v>433</v>
      </c>
      <c r="T404" s="9" t="s">
        <v>39</v>
      </c>
      <c r="U404" s="7">
        <v>0.46</v>
      </c>
      <c r="V404" s="12">
        <f>C404+2</f>
        <v>40307</v>
      </c>
      <c r="W404">
        <f>IF(D404=' Pivot Tables'!$A$4,1,0)</f>
        <v>0</v>
      </c>
      <c r="X404">
        <f>IF(AND(LEFT(D404,4)+1=LEFT(' Pivot Tables'!$A$4,4)+0,RIGHT(LEFT(D404,7),2)=RIGHT(LEFT(' Pivot Tables'!$A$4,7),2)),1,0)</f>
        <v>0</v>
      </c>
      <c r="Y404" s="6">
        <f>1/COUNTIF(Таблица1[Order ID],Таблица1[[#This Row],[Order ID]])</f>
        <v>0.5</v>
      </c>
      <c r="Z404" s="9">
        <f>1/COUNTIFS(Таблица1[Customer Name],Таблица1[[#This Row],[Customer Name]],Таблица1[Order-Year-Month],Таблица1[[#This Row],[Order-Year-Month]])</f>
        <v>0.5</v>
      </c>
    </row>
    <row r="405" spans="1:26" x14ac:dyDescent="0.2">
      <c r="A405" s="6">
        <v>6440</v>
      </c>
      <c r="B405" s="7">
        <v>45766</v>
      </c>
      <c r="C405" s="8">
        <f>DATE(2012,12,31)-969</f>
        <v>40305</v>
      </c>
      <c r="D405" s="8" t="str">
        <f t="shared" si="6"/>
        <v>2010-05 (май 2010)</v>
      </c>
      <c r="E405" s="9" t="s">
        <v>30</v>
      </c>
      <c r="F405" s="7">
        <v>28</v>
      </c>
      <c r="G405" s="7">
        <v>4181.82</v>
      </c>
      <c r="H405" s="7">
        <v>0.01</v>
      </c>
      <c r="I405" s="9" t="s">
        <v>22</v>
      </c>
      <c r="J405" s="10">
        <v>1765.48</v>
      </c>
      <c r="K405" s="11">
        <v>140.99</v>
      </c>
      <c r="L405" s="11">
        <v>13.99</v>
      </c>
      <c r="M405" s="9" t="s">
        <v>334</v>
      </c>
      <c r="N405" s="6" t="s">
        <v>173</v>
      </c>
      <c r="O405" s="6" t="s">
        <v>173</v>
      </c>
      <c r="P405" s="9" t="s">
        <v>60</v>
      </c>
      <c r="Q405" s="9" t="s">
        <v>42</v>
      </c>
      <c r="R405" s="9" t="s">
        <v>210</v>
      </c>
      <c r="S405" s="7" t="s">
        <v>459</v>
      </c>
      <c r="T405" s="9" t="s">
        <v>48</v>
      </c>
      <c r="U405" s="7">
        <v>0.37</v>
      </c>
      <c r="V405" s="12">
        <f>C405+1</f>
        <v>40306</v>
      </c>
      <c r="W405">
        <f>IF(D405=' Pivot Tables'!$A$4,1,0)</f>
        <v>0</v>
      </c>
      <c r="X405">
        <f>IF(AND(LEFT(D405,4)+1=LEFT(' Pivot Tables'!$A$4,4)+0,RIGHT(LEFT(D405,7),2)=RIGHT(LEFT(' Pivot Tables'!$A$4,7),2)),1,0)</f>
        <v>0</v>
      </c>
      <c r="Y405" s="6">
        <f>1/COUNTIF(Таблица1[Order ID],Таблица1[[#This Row],[Order ID]])</f>
        <v>0.5</v>
      </c>
      <c r="Z405" s="9">
        <f>1/COUNTIFS(Таблица1[Customer Name],Таблица1[[#This Row],[Customer Name]],Таблица1[Order-Year-Month],Таблица1[[#This Row],[Order-Year-Month]])</f>
        <v>0.5</v>
      </c>
    </row>
    <row r="406" spans="1:26" x14ac:dyDescent="0.2">
      <c r="A406" s="6">
        <v>6446</v>
      </c>
      <c r="B406" s="7">
        <v>45861</v>
      </c>
      <c r="C406" s="8">
        <f>DATE(2012,12,31)-494</f>
        <v>40780</v>
      </c>
      <c r="D406" s="8" t="str">
        <f t="shared" si="6"/>
        <v>2011-08 (август 2011)</v>
      </c>
      <c r="E406" s="9" t="s">
        <v>63</v>
      </c>
      <c r="F406" s="7">
        <v>39</v>
      </c>
      <c r="G406" s="7">
        <v>680.85849999999994</v>
      </c>
      <c r="H406" s="7">
        <v>0.05</v>
      </c>
      <c r="I406" s="9" t="s">
        <v>22</v>
      </c>
      <c r="J406" s="10">
        <v>319.10399999999998</v>
      </c>
      <c r="K406" s="11">
        <v>20.99</v>
      </c>
      <c r="L406" s="11">
        <v>0.99</v>
      </c>
      <c r="M406" s="9" t="s">
        <v>75</v>
      </c>
      <c r="N406" s="6" t="s">
        <v>173</v>
      </c>
      <c r="O406" s="6" t="s">
        <v>173</v>
      </c>
      <c r="P406" s="9" t="s">
        <v>25</v>
      </c>
      <c r="Q406" s="9" t="s">
        <v>42</v>
      </c>
      <c r="R406" s="9" t="s">
        <v>43</v>
      </c>
      <c r="S406" s="7" t="s">
        <v>272</v>
      </c>
      <c r="T406" s="9" t="s">
        <v>68</v>
      </c>
      <c r="U406" s="7">
        <v>0.37</v>
      </c>
      <c r="V406" s="12">
        <f>C406+0</f>
        <v>40780</v>
      </c>
      <c r="W406">
        <f>IF(D406=' Pivot Tables'!$A$4,1,0)</f>
        <v>0</v>
      </c>
      <c r="X406">
        <f>IF(AND(LEFT(D406,4)+1=LEFT(' Pivot Tables'!$A$4,4)+0,RIGHT(LEFT(D406,7),2)=RIGHT(LEFT(' Pivot Tables'!$A$4,7),2)),1,0)</f>
        <v>0</v>
      </c>
      <c r="Y406" s="6">
        <f>1/COUNTIF(Таблица1[Order ID],Таблица1[[#This Row],[Order ID]])</f>
        <v>1</v>
      </c>
      <c r="Z406" s="9">
        <f>1/COUNTIFS(Таблица1[Customer Name],Таблица1[[#This Row],[Customer Name]],Таблица1[Order-Year-Month],Таблица1[[#This Row],[Order-Year-Month]])</f>
        <v>1</v>
      </c>
    </row>
    <row r="407" spans="1:26" x14ac:dyDescent="0.2">
      <c r="A407" s="6">
        <v>6450</v>
      </c>
      <c r="B407" s="7">
        <v>45957</v>
      </c>
      <c r="C407" s="8">
        <f>DATE(2012,12,31)-832</f>
        <v>40442</v>
      </c>
      <c r="D407" s="8" t="str">
        <f t="shared" si="6"/>
        <v>2010-09 (сентябрь 2010)</v>
      </c>
      <c r="E407" s="9" t="s">
        <v>78</v>
      </c>
      <c r="F407" s="7">
        <v>20</v>
      </c>
      <c r="G407" s="7">
        <v>759.84</v>
      </c>
      <c r="H407" s="7">
        <v>0.06</v>
      </c>
      <c r="I407" s="9" t="s">
        <v>22</v>
      </c>
      <c r="J407" s="10">
        <v>162.83000000000001</v>
      </c>
      <c r="K407" s="11">
        <v>39.24</v>
      </c>
      <c r="L407" s="11">
        <v>1.99</v>
      </c>
      <c r="M407" s="9" t="s">
        <v>64</v>
      </c>
      <c r="N407" s="6" t="s">
        <v>173</v>
      </c>
      <c r="O407" s="6" t="s">
        <v>173</v>
      </c>
      <c r="P407" s="9" t="s">
        <v>60</v>
      </c>
      <c r="Q407" s="9" t="s">
        <v>42</v>
      </c>
      <c r="R407" s="9" t="s">
        <v>70</v>
      </c>
      <c r="S407" s="7" t="s">
        <v>276</v>
      </c>
      <c r="T407" s="9" t="s">
        <v>52</v>
      </c>
      <c r="U407" s="7">
        <v>0.51</v>
      </c>
      <c r="V407" s="12">
        <f>C407+2</f>
        <v>40444</v>
      </c>
      <c r="W407">
        <f>IF(D407=' Pivot Tables'!$A$4,1,0)</f>
        <v>0</v>
      </c>
      <c r="X407">
        <f>IF(AND(LEFT(D407,4)+1=LEFT(' Pivot Tables'!$A$4,4)+0,RIGHT(LEFT(D407,7),2)=RIGHT(LEFT(' Pivot Tables'!$A$4,7),2)),1,0)</f>
        <v>0</v>
      </c>
      <c r="Y407" s="6">
        <f>1/COUNTIF(Таблица1[Order ID],Таблица1[[#This Row],[Order ID]])</f>
        <v>0.5</v>
      </c>
      <c r="Z407" s="9">
        <f>1/COUNTIFS(Таблица1[Customer Name],Таблица1[[#This Row],[Customer Name]],Таблица1[Order-Year-Month],Таблица1[[#This Row],[Order-Year-Month]])</f>
        <v>0.5</v>
      </c>
    </row>
    <row r="408" spans="1:26" x14ac:dyDescent="0.2">
      <c r="A408" s="6">
        <v>6451</v>
      </c>
      <c r="B408" s="7">
        <v>45957</v>
      </c>
      <c r="C408" s="8">
        <f>DATE(2012,12,31)-832</f>
        <v>40442</v>
      </c>
      <c r="D408" s="8" t="str">
        <f t="shared" si="6"/>
        <v>2010-09 (сентябрь 2010)</v>
      </c>
      <c r="E408" s="9" t="s">
        <v>78</v>
      </c>
      <c r="F408" s="7">
        <v>19</v>
      </c>
      <c r="G408" s="7">
        <v>147.38999999999999</v>
      </c>
      <c r="H408" s="7">
        <v>0.08</v>
      </c>
      <c r="I408" s="9" t="s">
        <v>22</v>
      </c>
      <c r="J408" s="10">
        <v>-30.92</v>
      </c>
      <c r="K408" s="11">
        <v>7.64</v>
      </c>
      <c r="L408" s="11">
        <v>5.83</v>
      </c>
      <c r="M408" s="9" t="s">
        <v>64</v>
      </c>
      <c r="N408" s="6" t="s">
        <v>173</v>
      </c>
      <c r="O408" s="6" t="s">
        <v>173</v>
      </c>
      <c r="P408" s="9" t="s">
        <v>60</v>
      </c>
      <c r="Q408" s="9" t="s">
        <v>26</v>
      </c>
      <c r="R408" s="9" t="s">
        <v>61</v>
      </c>
      <c r="S408" s="7" t="s">
        <v>371</v>
      </c>
      <c r="T408" s="9" t="s">
        <v>68</v>
      </c>
      <c r="U408" s="7">
        <v>0.36</v>
      </c>
      <c r="V408" s="12">
        <f>C408+2</f>
        <v>40444</v>
      </c>
      <c r="W408">
        <f>IF(D408=' Pivot Tables'!$A$4,1,0)</f>
        <v>0</v>
      </c>
      <c r="X408">
        <f>IF(AND(LEFT(D408,4)+1=LEFT(' Pivot Tables'!$A$4,4)+0,RIGHT(LEFT(D408,7),2)=RIGHT(LEFT(' Pivot Tables'!$A$4,7),2)),1,0)</f>
        <v>0</v>
      </c>
      <c r="Y408" s="6">
        <f>1/COUNTIF(Таблица1[Order ID],Таблица1[[#This Row],[Order ID]])</f>
        <v>0.5</v>
      </c>
      <c r="Z408" s="9">
        <f>1/COUNTIFS(Таблица1[Customer Name],Таблица1[[#This Row],[Customer Name]],Таблица1[Order-Year-Month],Таблица1[[#This Row],[Order-Year-Month]])</f>
        <v>0.5</v>
      </c>
    </row>
    <row r="409" spans="1:26" x14ac:dyDescent="0.2">
      <c r="A409" s="6">
        <v>6591</v>
      </c>
      <c r="B409" s="7">
        <v>46912</v>
      </c>
      <c r="C409" s="8">
        <f>DATE(2012,12,31)-184</f>
        <v>41090</v>
      </c>
      <c r="D409" s="8" t="str">
        <f t="shared" si="6"/>
        <v>2012-06 (июнь 2012)</v>
      </c>
      <c r="E409" s="9" t="s">
        <v>21</v>
      </c>
      <c r="F409" s="7">
        <v>5</v>
      </c>
      <c r="G409" s="7">
        <v>294</v>
      </c>
      <c r="H409" s="7">
        <v>0</v>
      </c>
      <c r="I409" s="9" t="s">
        <v>22</v>
      </c>
      <c r="J409" s="10">
        <v>181.53</v>
      </c>
      <c r="K409" s="11">
        <v>54.74</v>
      </c>
      <c r="L409" s="11">
        <v>14.83</v>
      </c>
      <c r="M409" s="9" t="s">
        <v>144</v>
      </c>
      <c r="N409" s="6" t="s">
        <v>173</v>
      </c>
      <c r="O409" s="6" t="s">
        <v>173</v>
      </c>
      <c r="P409" s="9" t="s">
        <v>60</v>
      </c>
      <c r="Q409" s="9" t="s">
        <v>49</v>
      </c>
      <c r="R409" s="9" t="s">
        <v>50</v>
      </c>
      <c r="S409" s="7" t="s">
        <v>460</v>
      </c>
      <c r="T409" s="9" t="s">
        <v>39</v>
      </c>
      <c r="U409" s="7">
        <v>0.54</v>
      </c>
      <c r="V409" s="12">
        <f>C409+0</f>
        <v>41090</v>
      </c>
      <c r="W409">
        <f>IF(D409=' Pivot Tables'!$A$4,1,0)</f>
        <v>0</v>
      </c>
      <c r="X409">
        <f>IF(AND(LEFT(D409,4)+1=LEFT(' Pivot Tables'!$A$4,4)+0,RIGHT(LEFT(D409,7),2)=RIGHT(LEFT(' Pivot Tables'!$A$4,7),2)),1,0)</f>
        <v>0</v>
      </c>
      <c r="Y409" s="6">
        <f>1/COUNTIF(Таблица1[Order ID],Таблица1[[#This Row],[Order ID]])</f>
        <v>1</v>
      </c>
      <c r="Z409" s="9">
        <f>1/COUNTIFS(Таблица1[Customer Name],Таблица1[[#This Row],[Customer Name]],Таблица1[Order-Year-Month],Таблица1[[#This Row],[Order-Year-Month]])</f>
        <v>1</v>
      </c>
    </row>
    <row r="410" spans="1:26" x14ac:dyDescent="0.2">
      <c r="A410" s="6">
        <v>6603</v>
      </c>
      <c r="B410" s="7">
        <v>46980</v>
      </c>
      <c r="C410" s="8">
        <f>DATE(2012,12,31)-714</f>
        <v>40560</v>
      </c>
      <c r="D410" s="8" t="str">
        <f t="shared" si="6"/>
        <v>2011-01 (январь 2011)</v>
      </c>
      <c r="E410" s="9" t="s">
        <v>78</v>
      </c>
      <c r="F410" s="7">
        <v>34</v>
      </c>
      <c r="G410" s="7">
        <v>216.3</v>
      </c>
      <c r="H410" s="7">
        <v>0.01</v>
      </c>
      <c r="I410" s="9" t="s">
        <v>22</v>
      </c>
      <c r="J410" s="10">
        <v>103.16</v>
      </c>
      <c r="K410" s="11">
        <v>6.3</v>
      </c>
      <c r="L410" s="11">
        <v>0.5</v>
      </c>
      <c r="M410" s="9" t="s">
        <v>57</v>
      </c>
      <c r="N410" s="6" t="s">
        <v>173</v>
      </c>
      <c r="O410" s="6" t="s">
        <v>173</v>
      </c>
      <c r="P410" s="9" t="s">
        <v>41</v>
      </c>
      <c r="Q410" s="9" t="s">
        <v>26</v>
      </c>
      <c r="R410" s="9" t="s">
        <v>88</v>
      </c>
      <c r="S410" s="7" t="s">
        <v>461</v>
      </c>
      <c r="T410" s="9" t="s">
        <v>39</v>
      </c>
      <c r="U410" s="7">
        <v>0.39</v>
      </c>
      <c r="V410" s="12">
        <f>C410+0</f>
        <v>40560</v>
      </c>
      <c r="W410">
        <f>IF(D410=' Pivot Tables'!$A$4,1,0)</f>
        <v>0</v>
      </c>
      <c r="X410">
        <f>IF(AND(LEFT(D410,4)+1=LEFT(' Pivot Tables'!$A$4,4)+0,RIGHT(LEFT(D410,7),2)=RIGHT(LEFT(' Pivot Tables'!$A$4,7),2)),1,0)</f>
        <v>0</v>
      </c>
      <c r="Y410" s="6">
        <f>1/COUNTIF(Таблица1[Order ID],Таблица1[[#This Row],[Order ID]])</f>
        <v>1</v>
      </c>
      <c r="Z410" s="9">
        <f>1/COUNTIFS(Таблица1[Customer Name],Таблица1[[#This Row],[Customer Name]],Таблица1[Order-Year-Month],Таблица1[[#This Row],[Order-Year-Month]])</f>
        <v>1</v>
      </c>
    </row>
    <row r="411" spans="1:26" x14ac:dyDescent="0.2">
      <c r="A411" s="6">
        <v>6665</v>
      </c>
      <c r="B411" s="7">
        <v>47460</v>
      </c>
      <c r="C411" s="8">
        <f>DATE(2012,12,31)-813</f>
        <v>40461</v>
      </c>
      <c r="D411" s="8" t="str">
        <f t="shared" si="6"/>
        <v>2010-10 (октябрь 2010)</v>
      </c>
      <c r="E411" s="9" t="s">
        <v>78</v>
      </c>
      <c r="F411" s="7">
        <v>12</v>
      </c>
      <c r="G411" s="7">
        <v>31.6</v>
      </c>
      <c r="H411" s="7">
        <v>0.1</v>
      </c>
      <c r="I411" s="9" t="s">
        <v>22</v>
      </c>
      <c r="J411" s="10">
        <v>-3.64</v>
      </c>
      <c r="K411" s="11">
        <v>2.84</v>
      </c>
      <c r="L411" s="11">
        <v>0.93</v>
      </c>
      <c r="M411" s="9" t="s">
        <v>194</v>
      </c>
      <c r="N411" s="6" t="s">
        <v>173</v>
      </c>
      <c r="O411" s="6" t="s">
        <v>173</v>
      </c>
      <c r="P411" s="9" t="s">
        <v>41</v>
      </c>
      <c r="Q411" s="9" t="s">
        <v>26</v>
      </c>
      <c r="R411" s="9" t="s">
        <v>95</v>
      </c>
      <c r="S411" s="7" t="s">
        <v>98</v>
      </c>
      <c r="T411" s="9" t="s">
        <v>68</v>
      </c>
      <c r="U411" s="7">
        <v>0.54</v>
      </c>
      <c r="V411" s="12">
        <f>C411+2</f>
        <v>40463</v>
      </c>
      <c r="W411">
        <f>IF(D411=' Pivot Tables'!$A$4,1,0)</f>
        <v>0</v>
      </c>
      <c r="X411">
        <f>IF(AND(LEFT(D411,4)+1=LEFT(' Pivot Tables'!$A$4,4)+0,RIGHT(LEFT(D411,7),2)=RIGHT(LEFT(' Pivot Tables'!$A$4,7),2)),1,0)</f>
        <v>0</v>
      </c>
      <c r="Y411" s="6">
        <f>1/COUNTIF(Таблица1[Order ID],Таблица1[[#This Row],[Order ID]])</f>
        <v>1</v>
      </c>
      <c r="Z411" s="9">
        <f>1/COUNTIFS(Таблица1[Customer Name],Таблица1[[#This Row],[Customer Name]],Таблица1[Order-Year-Month],Таблица1[[#This Row],[Order-Year-Month]])</f>
        <v>1</v>
      </c>
    </row>
    <row r="412" spans="1:26" x14ac:dyDescent="0.2">
      <c r="A412" s="6">
        <v>6669</v>
      </c>
      <c r="B412" s="7">
        <v>47462</v>
      </c>
      <c r="C412" s="8">
        <f>DATE(2012,12,31)-571</f>
        <v>40703</v>
      </c>
      <c r="D412" s="8" t="str">
        <f t="shared" si="6"/>
        <v>2011-06 (июнь 2011)</v>
      </c>
      <c r="E412" s="9" t="s">
        <v>30</v>
      </c>
      <c r="F412" s="7">
        <v>43</v>
      </c>
      <c r="G412" s="7">
        <v>154.18</v>
      </c>
      <c r="H412" s="7">
        <v>0.08</v>
      </c>
      <c r="I412" s="9" t="s">
        <v>22</v>
      </c>
      <c r="J412" s="10">
        <v>-166.92250000000001</v>
      </c>
      <c r="K412" s="11">
        <v>3.58</v>
      </c>
      <c r="L412" s="11">
        <v>5.47</v>
      </c>
      <c r="M412" s="9" t="s">
        <v>381</v>
      </c>
      <c r="N412" s="6" t="s">
        <v>173</v>
      </c>
      <c r="O412" s="6" t="s">
        <v>173</v>
      </c>
      <c r="P412" s="9" t="s">
        <v>41</v>
      </c>
      <c r="Q412" s="9" t="s">
        <v>26</v>
      </c>
      <c r="R412" s="9" t="s">
        <v>37</v>
      </c>
      <c r="S412" s="7" t="s">
        <v>462</v>
      </c>
      <c r="T412" s="9" t="s">
        <v>39</v>
      </c>
      <c r="U412" s="7">
        <v>0.37</v>
      </c>
      <c r="V412" s="12">
        <f>C412+2</f>
        <v>40705</v>
      </c>
      <c r="W412">
        <f>IF(D412=' Pivot Tables'!$A$4,1,0)</f>
        <v>0</v>
      </c>
      <c r="X412">
        <f>IF(AND(LEFT(D412,4)+1=LEFT(' Pivot Tables'!$A$4,4)+0,RIGHT(LEFT(D412,7),2)=RIGHT(LEFT(' Pivot Tables'!$A$4,7),2)),1,0)</f>
        <v>0</v>
      </c>
      <c r="Y412" s="6">
        <f>1/COUNTIF(Таблица1[Order ID],Таблица1[[#This Row],[Order ID]])</f>
        <v>0.33333333333333331</v>
      </c>
      <c r="Z412" s="9">
        <f>1/COUNTIFS(Таблица1[Customer Name],Таблица1[[#This Row],[Customer Name]],Таблица1[Order-Year-Month],Таблица1[[#This Row],[Order-Year-Month]])</f>
        <v>0.33333333333333331</v>
      </c>
    </row>
    <row r="413" spans="1:26" x14ac:dyDescent="0.2">
      <c r="A413" s="6">
        <v>6670</v>
      </c>
      <c r="B413" s="7">
        <v>47462</v>
      </c>
      <c r="C413" s="8">
        <f>DATE(2012,12,31)-571</f>
        <v>40703</v>
      </c>
      <c r="D413" s="8" t="str">
        <f t="shared" si="6"/>
        <v>2011-06 (июнь 2011)</v>
      </c>
      <c r="E413" s="9" t="s">
        <v>30</v>
      </c>
      <c r="F413" s="7">
        <v>18</v>
      </c>
      <c r="G413" s="7">
        <v>110.31</v>
      </c>
      <c r="H413" s="7">
        <v>0.05</v>
      </c>
      <c r="I413" s="9" t="s">
        <v>22</v>
      </c>
      <c r="J413" s="10">
        <v>-1.22</v>
      </c>
      <c r="K413" s="11">
        <v>5.85</v>
      </c>
      <c r="L413" s="11">
        <v>2.27</v>
      </c>
      <c r="M413" s="9" t="s">
        <v>381</v>
      </c>
      <c r="N413" s="6" t="s">
        <v>173</v>
      </c>
      <c r="O413" s="6" t="s">
        <v>173</v>
      </c>
      <c r="P413" s="9" t="s">
        <v>41</v>
      </c>
      <c r="Q413" s="9" t="s">
        <v>26</v>
      </c>
      <c r="R413" s="9" t="s">
        <v>95</v>
      </c>
      <c r="S413" s="7" t="s">
        <v>463</v>
      </c>
      <c r="T413" s="9" t="s">
        <v>68</v>
      </c>
      <c r="U413" s="7">
        <v>0.56000000000000005</v>
      </c>
      <c r="V413" s="12">
        <f>C413+2</f>
        <v>40705</v>
      </c>
      <c r="W413">
        <f>IF(D413=' Pivot Tables'!$A$4,1,0)</f>
        <v>0</v>
      </c>
      <c r="X413">
        <f>IF(AND(LEFT(D413,4)+1=LEFT(' Pivot Tables'!$A$4,4)+0,RIGHT(LEFT(D413,7),2)=RIGHT(LEFT(' Pivot Tables'!$A$4,7),2)),1,0)</f>
        <v>0</v>
      </c>
      <c r="Y413" s="6">
        <f>1/COUNTIF(Таблица1[Order ID],Таблица1[[#This Row],[Order ID]])</f>
        <v>0.33333333333333331</v>
      </c>
      <c r="Z413" s="9">
        <f>1/COUNTIFS(Таблица1[Customer Name],Таблица1[[#This Row],[Customer Name]],Таблица1[Order-Year-Month],Таблица1[[#This Row],[Order-Year-Month]])</f>
        <v>0.33333333333333331</v>
      </c>
    </row>
    <row r="414" spans="1:26" x14ac:dyDescent="0.2">
      <c r="A414" s="6">
        <v>6671</v>
      </c>
      <c r="B414" s="7">
        <v>47462</v>
      </c>
      <c r="C414" s="8">
        <f>DATE(2012,12,31)-571</f>
        <v>40703</v>
      </c>
      <c r="D414" s="8" t="str">
        <f t="shared" si="6"/>
        <v>2011-06 (июнь 2011)</v>
      </c>
      <c r="E414" s="9" t="s">
        <v>30</v>
      </c>
      <c r="F414" s="7">
        <v>41</v>
      </c>
      <c r="G414" s="7">
        <v>137.51</v>
      </c>
      <c r="H414" s="7">
        <v>0.02</v>
      </c>
      <c r="I414" s="9" t="s">
        <v>22</v>
      </c>
      <c r="J414" s="10">
        <v>21.62</v>
      </c>
      <c r="K414" s="11">
        <v>3.29</v>
      </c>
      <c r="L414" s="11">
        <v>1.35</v>
      </c>
      <c r="M414" s="9" t="s">
        <v>381</v>
      </c>
      <c r="N414" s="6" t="s">
        <v>173</v>
      </c>
      <c r="O414" s="6" t="s">
        <v>173</v>
      </c>
      <c r="P414" s="9" t="s">
        <v>41</v>
      </c>
      <c r="Q414" s="9" t="s">
        <v>26</v>
      </c>
      <c r="R414" s="9" t="s">
        <v>66</v>
      </c>
      <c r="S414" s="7" t="s">
        <v>464</v>
      </c>
      <c r="T414" s="9" t="s">
        <v>68</v>
      </c>
      <c r="U414" s="7">
        <v>0.4</v>
      </c>
      <c r="V414" s="12">
        <f>C414+2</f>
        <v>40705</v>
      </c>
      <c r="W414">
        <f>IF(D414=' Pivot Tables'!$A$4,1,0)</f>
        <v>0</v>
      </c>
      <c r="X414">
        <f>IF(AND(LEFT(D414,4)+1=LEFT(' Pivot Tables'!$A$4,4)+0,RIGHT(LEFT(D414,7),2)=RIGHT(LEFT(' Pivot Tables'!$A$4,7),2)),1,0)</f>
        <v>0</v>
      </c>
      <c r="Y414" s="6">
        <f>1/COUNTIF(Таблица1[Order ID],Таблица1[[#This Row],[Order ID]])</f>
        <v>0.33333333333333331</v>
      </c>
      <c r="Z414" s="9">
        <f>1/COUNTIFS(Таблица1[Customer Name],Таблица1[[#This Row],[Customer Name]],Таблица1[Order-Year-Month],Таблица1[[#This Row],[Order-Year-Month]])</f>
        <v>0.33333333333333331</v>
      </c>
    </row>
    <row r="415" spans="1:26" x14ac:dyDescent="0.2">
      <c r="A415" s="6">
        <v>6692</v>
      </c>
      <c r="B415" s="7">
        <v>47620</v>
      </c>
      <c r="C415" s="8">
        <f>DATE(2012,12,31)-188</f>
        <v>41086</v>
      </c>
      <c r="D415" s="8" t="str">
        <f t="shared" si="6"/>
        <v>2012-06 (июнь 2012)</v>
      </c>
      <c r="E415" s="9" t="s">
        <v>21</v>
      </c>
      <c r="F415" s="7">
        <v>27</v>
      </c>
      <c r="G415" s="7">
        <v>302.2</v>
      </c>
      <c r="H415" s="7">
        <v>0.04</v>
      </c>
      <c r="I415" s="9" t="s">
        <v>22</v>
      </c>
      <c r="J415" s="10">
        <v>20.27</v>
      </c>
      <c r="K415" s="11">
        <v>10.98</v>
      </c>
      <c r="L415" s="11">
        <v>3.37</v>
      </c>
      <c r="M415" s="9" t="s">
        <v>321</v>
      </c>
      <c r="N415" s="6" t="s">
        <v>173</v>
      </c>
      <c r="O415" s="6" t="s">
        <v>173</v>
      </c>
      <c r="P415" s="9" t="s">
        <v>41</v>
      </c>
      <c r="Q415" s="9" t="s">
        <v>26</v>
      </c>
      <c r="R415" s="9" t="s">
        <v>150</v>
      </c>
      <c r="S415" s="7" t="s">
        <v>465</v>
      </c>
      <c r="T415" s="9" t="s">
        <v>52</v>
      </c>
      <c r="U415" s="7">
        <v>0.56999999999999995</v>
      </c>
      <c r="V415" s="12">
        <f>C415+9</f>
        <v>41095</v>
      </c>
      <c r="W415">
        <f>IF(D415=' Pivot Tables'!$A$4,1,0)</f>
        <v>0</v>
      </c>
      <c r="X415">
        <f>IF(AND(LEFT(D415,4)+1=LEFT(' Pivot Tables'!$A$4,4)+0,RIGHT(LEFT(D415,7),2)=RIGHT(LEFT(' Pivot Tables'!$A$4,7),2)),1,0)</f>
        <v>0</v>
      </c>
      <c r="Y415" s="6">
        <f>1/COUNTIF(Таблица1[Order ID],Таблица1[[#This Row],[Order ID]])</f>
        <v>1</v>
      </c>
      <c r="Z415" s="9">
        <f>1/COUNTIFS(Таблица1[Customer Name],Таблица1[[#This Row],[Customer Name]],Таблица1[Order-Year-Month],Таблица1[[#This Row],[Order-Year-Month]])</f>
        <v>1</v>
      </c>
    </row>
    <row r="416" spans="1:26" x14ac:dyDescent="0.2">
      <c r="A416" s="6">
        <v>6704</v>
      </c>
      <c r="B416" s="7">
        <v>47749</v>
      </c>
      <c r="C416" s="8">
        <f>DATE(2012,12,31)-1021</f>
        <v>40253</v>
      </c>
      <c r="D416" s="8" t="str">
        <f t="shared" si="6"/>
        <v>2010-03 (март 2010)</v>
      </c>
      <c r="E416" s="9" t="s">
        <v>63</v>
      </c>
      <c r="F416" s="7">
        <v>46</v>
      </c>
      <c r="G416" s="7">
        <v>399.58</v>
      </c>
      <c r="H416" s="7">
        <v>0.04</v>
      </c>
      <c r="I416" s="9" t="s">
        <v>22</v>
      </c>
      <c r="J416" s="10">
        <v>-188.53</v>
      </c>
      <c r="K416" s="11">
        <v>8.4499999999999993</v>
      </c>
      <c r="L416" s="11">
        <v>7.77</v>
      </c>
      <c r="M416" s="9" t="s">
        <v>279</v>
      </c>
      <c r="N416" s="6" t="s">
        <v>173</v>
      </c>
      <c r="O416" s="6" t="s">
        <v>173</v>
      </c>
      <c r="P416" s="9" t="s">
        <v>25</v>
      </c>
      <c r="Q416" s="9" t="s">
        <v>26</v>
      </c>
      <c r="R416" s="9" t="s">
        <v>150</v>
      </c>
      <c r="S416" s="7" t="s">
        <v>466</v>
      </c>
      <c r="T416" s="9" t="s">
        <v>52</v>
      </c>
      <c r="U416" s="7">
        <v>0.55000000000000004</v>
      </c>
      <c r="V416" s="12">
        <f>C416+0</f>
        <v>40253</v>
      </c>
      <c r="W416">
        <f>IF(D416=' Pivot Tables'!$A$4,1,0)</f>
        <v>0</v>
      </c>
      <c r="X416">
        <f>IF(AND(LEFT(D416,4)+1=LEFT(' Pivot Tables'!$A$4,4)+0,RIGHT(LEFT(D416,7),2)=RIGHT(LEFT(' Pivot Tables'!$A$4,7),2)),1,0)</f>
        <v>0</v>
      </c>
      <c r="Y416" s="6">
        <f>1/COUNTIF(Таблица1[Order ID],Таблица1[[#This Row],[Order ID]])</f>
        <v>1</v>
      </c>
      <c r="Z416" s="9">
        <f>1/COUNTIFS(Таблица1[Customer Name],Таблица1[[#This Row],[Customer Name]],Таблица1[Order-Year-Month],Таблица1[[#This Row],[Order-Year-Month]])</f>
        <v>1</v>
      </c>
    </row>
    <row r="417" spans="1:26" x14ac:dyDescent="0.2">
      <c r="A417" s="6">
        <v>6721</v>
      </c>
      <c r="B417" s="7">
        <v>47873</v>
      </c>
      <c r="C417" s="8">
        <f>DATE(2012,12,31)-779</f>
        <v>40495</v>
      </c>
      <c r="D417" s="8" t="str">
        <f t="shared" si="6"/>
        <v>2010-11 (ноябрь 2010)</v>
      </c>
      <c r="E417" s="9" t="s">
        <v>78</v>
      </c>
      <c r="F417" s="7">
        <v>8</v>
      </c>
      <c r="G417" s="7">
        <v>52.39</v>
      </c>
      <c r="H417" s="7">
        <v>0.08</v>
      </c>
      <c r="I417" s="9" t="s">
        <v>22</v>
      </c>
      <c r="J417" s="10">
        <v>-17.38</v>
      </c>
      <c r="K417" s="11">
        <v>5.89</v>
      </c>
      <c r="L417" s="11">
        <v>5.57</v>
      </c>
      <c r="M417" s="9" t="s">
        <v>190</v>
      </c>
      <c r="N417" s="6" t="s">
        <v>173</v>
      </c>
      <c r="O417" s="6" t="s">
        <v>173</v>
      </c>
      <c r="P417" s="9" t="s">
        <v>41</v>
      </c>
      <c r="Q417" s="9" t="s">
        <v>49</v>
      </c>
      <c r="R417" s="9" t="s">
        <v>50</v>
      </c>
      <c r="S417" s="7" t="s">
        <v>467</v>
      </c>
      <c r="T417" s="9" t="s">
        <v>39</v>
      </c>
      <c r="U417" s="7">
        <v>0.41</v>
      </c>
      <c r="V417" s="12">
        <f>C417+2</f>
        <v>40497</v>
      </c>
      <c r="W417">
        <f>IF(D417=' Pivot Tables'!$A$4,1,0)</f>
        <v>0</v>
      </c>
      <c r="X417">
        <f>IF(AND(LEFT(D417,4)+1=LEFT(' Pivot Tables'!$A$4,4)+0,RIGHT(LEFT(D417,7),2)=RIGHT(LEFT(' Pivot Tables'!$A$4,7),2)),1,0)</f>
        <v>0</v>
      </c>
      <c r="Y417" s="6">
        <f>1/COUNTIF(Таблица1[Order ID],Таблица1[[#This Row],[Order ID]])</f>
        <v>1</v>
      </c>
      <c r="Z417" s="9">
        <f>1/COUNTIFS(Таблица1[Customer Name],Таблица1[[#This Row],[Customer Name]],Таблица1[Order-Year-Month],Таблица1[[#This Row],[Order-Year-Month]])</f>
        <v>0.5</v>
      </c>
    </row>
    <row r="418" spans="1:26" x14ac:dyDescent="0.2">
      <c r="A418" s="6">
        <v>6736</v>
      </c>
      <c r="B418" s="7">
        <v>47943</v>
      </c>
      <c r="C418" s="8">
        <f>DATE(2012,12,31)-1143</f>
        <v>40131</v>
      </c>
      <c r="D418" s="8" t="str">
        <f t="shared" si="6"/>
        <v>2009-11 (ноябрь 2009)</v>
      </c>
      <c r="E418" s="9" t="s">
        <v>63</v>
      </c>
      <c r="F418" s="7">
        <v>12</v>
      </c>
      <c r="G418" s="7">
        <v>61.09</v>
      </c>
      <c r="H418" s="7">
        <v>0.04</v>
      </c>
      <c r="I418" s="9" t="s">
        <v>22</v>
      </c>
      <c r="J418" s="10">
        <v>24.06</v>
      </c>
      <c r="K418" s="11">
        <v>4.91</v>
      </c>
      <c r="L418" s="11">
        <v>0.5</v>
      </c>
      <c r="M418" s="9" t="s">
        <v>94</v>
      </c>
      <c r="N418" s="6" t="s">
        <v>173</v>
      </c>
      <c r="O418" s="6" t="s">
        <v>173</v>
      </c>
      <c r="P418" s="9" t="s">
        <v>60</v>
      </c>
      <c r="Q418" s="9" t="s">
        <v>26</v>
      </c>
      <c r="R418" s="9" t="s">
        <v>88</v>
      </c>
      <c r="S418" s="7" t="s">
        <v>468</v>
      </c>
      <c r="T418" s="9" t="s">
        <v>39</v>
      </c>
      <c r="U418" s="7">
        <v>0.36</v>
      </c>
      <c r="V418" s="12">
        <f>C418+0</f>
        <v>40131</v>
      </c>
      <c r="W418">
        <f>IF(D418=' Pivot Tables'!$A$4,1,0)</f>
        <v>0</v>
      </c>
      <c r="X418">
        <f>IF(AND(LEFT(D418,4)+1=LEFT(' Pivot Tables'!$A$4,4)+0,RIGHT(LEFT(D418,7),2)=RIGHT(LEFT(' Pivot Tables'!$A$4,7),2)),1,0)</f>
        <v>0</v>
      </c>
      <c r="Y418" s="6">
        <f>1/COUNTIF(Таблица1[Order ID],Таблица1[[#This Row],[Order ID]])</f>
        <v>0.5</v>
      </c>
      <c r="Z418" s="9">
        <f>1/COUNTIFS(Таблица1[Customer Name],Таблица1[[#This Row],[Customer Name]],Таблица1[Order-Year-Month],Таблица1[[#This Row],[Order-Year-Month]])</f>
        <v>0.5</v>
      </c>
    </row>
    <row r="419" spans="1:26" x14ac:dyDescent="0.2">
      <c r="A419" s="6">
        <v>6737</v>
      </c>
      <c r="B419" s="7">
        <v>47943</v>
      </c>
      <c r="C419" s="8">
        <f>DATE(2012,12,31)-1143</f>
        <v>40131</v>
      </c>
      <c r="D419" s="8" t="str">
        <f t="shared" si="6"/>
        <v>2009-11 (ноябрь 2009)</v>
      </c>
      <c r="E419" s="9" t="s">
        <v>63</v>
      </c>
      <c r="F419" s="7">
        <v>48</v>
      </c>
      <c r="G419" s="7">
        <v>777.76</v>
      </c>
      <c r="H419" s="7">
        <v>0.02</v>
      </c>
      <c r="I419" s="9" t="s">
        <v>22</v>
      </c>
      <c r="J419" s="10">
        <v>63.46</v>
      </c>
      <c r="K419" s="11">
        <v>15.94</v>
      </c>
      <c r="L419" s="11">
        <v>5.45</v>
      </c>
      <c r="M419" s="9" t="s">
        <v>94</v>
      </c>
      <c r="N419" s="6" t="s">
        <v>173</v>
      </c>
      <c r="O419" s="6" t="s">
        <v>173</v>
      </c>
      <c r="P419" s="9" t="s">
        <v>60</v>
      </c>
      <c r="Q419" s="9" t="s">
        <v>26</v>
      </c>
      <c r="R419" s="9" t="s">
        <v>95</v>
      </c>
      <c r="S419" s="7" t="s">
        <v>469</v>
      </c>
      <c r="T419" s="9" t="s">
        <v>52</v>
      </c>
      <c r="U419" s="7">
        <v>0.55000000000000004</v>
      </c>
      <c r="V419" s="12">
        <f>C419+1</f>
        <v>40132</v>
      </c>
      <c r="W419">
        <f>IF(D419=' Pivot Tables'!$A$4,1,0)</f>
        <v>0</v>
      </c>
      <c r="X419">
        <f>IF(AND(LEFT(D419,4)+1=LEFT(' Pivot Tables'!$A$4,4)+0,RIGHT(LEFT(D419,7),2)=RIGHT(LEFT(' Pivot Tables'!$A$4,7),2)),1,0)</f>
        <v>0</v>
      </c>
      <c r="Y419" s="6">
        <f>1/COUNTIF(Таблица1[Order ID],Таблица1[[#This Row],[Order ID]])</f>
        <v>0.5</v>
      </c>
      <c r="Z419" s="9">
        <f>1/COUNTIFS(Таблица1[Customer Name],Таблица1[[#This Row],[Customer Name]],Таблица1[Order-Year-Month],Таблица1[[#This Row],[Order-Year-Month]])</f>
        <v>0.5</v>
      </c>
    </row>
    <row r="420" spans="1:26" x14ac:dyDescent="0.2">
      <c r="A420" s="6">
        <v>6754</v>
      </c>
      <c r="B420" s="7">
        <v>48101</v>
      </c>
      <c r="C420" s="8">
        <f>DATE(2012,12,31)-476</f>
        <v>40798</v>
      </c>
      <c r="D420" s="8" t="str">
        <f t="shared" si="6"/>
        <v>2011-09 (сентябрь 2011)</v>
      </c>
      <c r="E420" s="9" t="s">
        <v>30</v>
      </c>
      <c r="F420" s="7">
        <v>4</v>
      </c>
      <c r="G420" s="7">
        <v>108.87</v>
      </c>
      <c r="H420" s="7">
        <v>0.05</v>
      </c>
      <c r="I420" s="9" t="s">
        <v>22</v>
      </c>
      <c r="J420" s="10">
        <v>-39.92</v>
      </c>
      <c r="K420" s="11">
        <v>22.84</v>
      </c>
      <c r="L420" s="11">
        <v>16.87</v>
      </c>
      <c r="M420" s="9" t="s">
        <v>291</v>
      </c>
      <c r="N420" s="6" t="s">
        <v>173</v>
      </c>
      <c r="O420" s="6" t="s">
        <v>173</v>
      </c>
      <c r="P420" s="9" t="s">
        <v>60</v>
      </c>
      <c r="Q420" s="9" t="s">
        <v>26</v>
      </c>
      <c r="R420" s="9" t="s">
        <v>61</v>
      </c>
      <c r="S420" s="7" t="s">
        <v>258</v>
      </c>
      <c r="T420" s="9" t="s">
        <v>39</v>
      </c>
      <c r="U420" s="7">
        <v>0.39</v>
      </c>
      <c r="V420" s="12">
        <f>C420+2</f>
        <v>40800</v>
      </c>
      <c r="W420">
        <f>IF(D420=' Pivot Tables'!$A$4,1,0)</f>
        <v>0</v>
      </c>
      <c r="X420">
        <f>IF(AND(LEFT(D420,4)+1=LEFT(' Pivot Tables'!$A$4,4)+0,RIGHT(LEFT(D420,7),2)=RIGHT(LEFT(' Pivot Tables'!$A$4,7),2)),1,0)</f>
        <v>0</v>
      </c>
      <c r="Y420" s="6">
        <f>1/COUNTIF(Таблица1[Order ID],Таблица1[[#This Row],[Order ID]])</f>
        <v>1</v>
      </c>
      <c r="Z420" s="9">
        <f>1/COUNTIFS(Таблица1[Customer Name],Таблица1[[#This Row],[Customer Name]],Таблица1[Order-Year-Month],Таблица1[[#This Row],[Order-Year-Month]])</f>
        <v>1</v>
      </c>
    </row>
    <row r="421" spans="1:26" x14ac:dyDescent="0.2">
      <c r="A421" s="6">
        <v>6783</v>
      </c>
      <c r="B421" s="7">
        <v>48295</v>
      </c>
      <c r="C421" s="8">
        <f>DATE(2012,12,31)-1134</f>
        <v>40140</v>
      </c>
      <c r="D421" s="8" t="str">
        <f t="shared" si="6"/>
        <v>2009-11 (ноябрь 2009)</v>
      </c>
      <c r="E421" s="9" t="s">
        <v>63</v>
      </c>
      <c r="F421" s="7">
        <v>48</v>
      </c>
      <c r="G421" s="7">
        <v>10051.52</v>
      </c>
      <c r="H421" s="7">
        <v>0.05</v>
      </c>
      <c r="I421" s="9" t="s">
        <v>22</v>
      </c>
      <c r="J421" s="10">
        <v>4938.78</v>
      </c>
      <c r="K421" s="11">
        <v>204.1</v>
      </c>
      <c r="L421" s="11">
        <v>13.99</v>
      </c>
      <c r="M421" s="9" t="s">
        <v>283</v>
      </c>
      <c r="N421" s="6" t="s">
        <v>173</v>
      </c>
      <c r="O421" s="6" t="s">
        <v>173</v>
      </c>
      <c r="P421" s="9" t="s">
        <v>25</v>
      </c>
      <c r="Q421" s="9" t="s">
        <v>42</v>
      </c>
      <c r="R421" s="9" t="s">
        <v>210</v>
      </c>
      <c r="S421" s="7" t="s">
        <v>470</v>
      </c>
      <c r="T421" s="9" t="s">
        <v>48</v>
      </c>
      <c r="U421" s="7">
        <v>0.37</v>
      </c>
      <c r="V421" s="12">
        <f>C421+2</f>
        <v>40142</v>
      </c>
      <c r="W421">
        <f>IF(D421=' Pivot Tables'!$A$4,1,0)</f>
        <v>0</v>
      </c>
      <c r="X421">
        <f>IF(AND(LEFT(D421,4)+1=LEFT(' Pivot Tables'!$A$4,4)+0,RIGHT(LEFT(D421,7),2)=RIGHT(LEFT(' Pivot Tables'!$A$4,7),2)),1,0)</f>
        <v>0</v>
      </c>
      <c r="Y421" s="6">
        <f>1/COUNTIF(Таблица1[Order ID],Таблица1[[#This Row],[Order ID]])</f>
        <v>1</v>
      </c>
      <c r="Z421" s="9">
        <f>1/COUNTIFS(Таблица1[Customer Name],Таблица1[[#This Row],[Customer Name]],Таблица1[Order-Year-Month],Таблица1[[#This Row],[Order-Year-Month]])</f>
        <v>0.33333333333333331</v>
      </c>
    </row>
    <row r="422" spans="1:26" x14ac:dyDescent="0.2">
      <c r="A422" s="6">
        <v>6858</v>
      </c>
      <c r="B422" s="7">
        <v>48839</v>
      </c>
      <c r="C422" s="8">
        <f>DATE(2012,12,31)-905</f>
        <v>40369</v>
      </c>
      <c r="D422" s="8" t="str">
        <f t="shared" si="6"/>
        <v>2010-07 (июль 2010)</v>
      </c>
      <c r="E422" s="9" t="s">
        <v>78</v>
      </c>
      <c r="F422" s="7">
        <v>1</v>
      </c>
      <c r="G422" s="7">
        <v>97.13</v>
      </c>
      <c r="H422" s="7">
        <v>0.05</v>
      </c>
      <c r="I422" s="9" t="s">
        <v>22</v>
      </c>
      <c r="J422" s="10">
        <v>-37.06</v>
      </c>
      <c r="K422" s="11">
        <v>98.31</v>
      </c>
      <c r="L422" s="11">
        <v>0.49</v>
      </c>
      <c r="M422" s="9" t="s">
        <v>69</v>
      </c>
      <c r="N422" s="6" t="s">
        <v>173</v>
      </c>
      <c r="O422" s="6" t="s">
        <v>173</v>
      </c>
      <c r="P422" s="9" t="s">
        <v>41</v>
      </c>
      <c r="Q422" s="9" t="s">
        <v>26</v>
      </c>
      <c r="R422" s="9" t="s">
        <v>88</v>
      </c>
      <c r="S422" s="7" t="s">
        <v>471</v>
      </c>
      <c r="T422" s="9" t="s">
        <v>39</v>
      </c>
      <c r="U422" s="7">
        <v>0.36</v>
      </c>
      <c r="V422" s="12">
        <f>C422+2</f>
        <v>40371</v>
      </c>
      <c r="W422">
        <f>IF(D422=' Pivot Tables'!$A$4,1,0)</f>
        <v>0</v>
      </c>
      <c r="X422">
        <f>IF(AND(LEFT(D422,4)+1=LEFT(' Pivot Tables'!$A$4,4)+0,RIGHT(LEFT(D422,7),2)=RIGHT(LEFT(' Pivot Tables'!$A$4,7),2)),1,0)</f>
        <v>0</v>
      </c>
      <c r="Y422" s="6">
        <f>1/COUNTIF(Таблица1[Order ID],Таблица1[[#This Row],[Order ID]])</f>
        <v>1</v>
      </c>
      <c r="Z422" s="9">
        <f>1/COUNTIFS(Таблица1[Customer Name],Таблица1[[#This Row],[Customer Name]],Таблица1[Order-Year-Month],Таблица1[[#This Row],[Order-Year-Month]])</f>
        <v>1</v>
      </c>
    </row>
    <row r="423" spans="1:26" x14ac:dyDescent="0.2">
      <c r="A423" s="6">
        <v>6894</v>
      </c>
      <c r="B423" s="7">
        <v>49154</v>
      </c>
      <c r="C423" s="8">
        <f>DATE(2012,12,31)-1396</f>
        <v>39878</v>
      </c>
      <c r="D423" s="8" t="str">
        <f t="shared" si="6"/>
        <v>2009-03 (март 2009)</v>
      </c>
      <c r="E423" s="9" t="s">
        <v>63</v>
      </c>
      <c r="F423" s="7">
        <v>26</v>
      </c>
      <c r="G423" s="7">
        <v>1523.5</v>
      </c>
      <c r="H423" s="7">
        <v>7.0000000000000007E-2</v>
      </c>
      <c r="I423" s="9" t="s">
        <v>22</v>
      </c>
      <c r="J423" s="10">
        <v>-807.89</v>
      </c>
      <c r="K423" s="11">
        <v>60.98</v>
      </c>
      <c r="L423" s="11">
        <v>49</v>
      </c>
      <c r="M423" s="9" t="s">
        <v>144</v>
      </c>
      <c r="N423" s="6" t="s">
        <v>173</v>
      </c>
      <c r="O423" s="6" t="s">
        <v>173</v>
      </c>
      <c r="P423" s="9" t="s">
        <v>60</v>
      </c>
      <c r="Q423" s="9" t="s">
        <v>26</v>
      </c>
      <c r="R423" s="9" t="s">
        <v>34</v>
      </c>
      <c r="S423" s="7" t="s">
        <v>472</v>
      </c>
      <c r="T423" s="9" t="s">
        <v>29</v>
      </c>
      <c r="U423" s="7">
        <v>0.59</v>
      </c>
      <c r="V423" s="12">
        <f>C423+1</f>
        <v>39879</v>
      </c>
      <c r="W423">
        <f>IF(D423=' Pivot Tables'!$A$4,1,0)</f>
        <v>0</v>
      </c>
      <c r="X423">
        <f>IF(AND(LEFT(D423,4)+1=LEFT(' Pivot Tables'!$A$4,4)+0,RIGHT(LEFT(D423,7),2)=RIGHT(LEFT(' Pivot Tables'!$A$4,7),2)),1,0)</f>
        <v>0</v>
      </c>
      <c r="Y423" s="6">
        <f>1/COUNTIF(Таблица1[Order ID],Таблица1[[#This Row],[Order ID]])</f>
        <v>1</v>
      </c>
      <c r="Z423" s="9">
        <f>1/COUNTIFS(Таблица1[Customer Name],Таблица1[[#This Row],[Customer Name]],Таблица1[Order-Year-Month],Таблица1[[#This Row],[Order-Year-Month]])</f>
        <v>1</v>
      </c>
    </row>
    <row r="424" spans="1:26" x14ac:dyDescent="0.2">
      <c r="A424" s="6">
        <v>6983</v>
      </c>
      <c r="B424" s="7">
        <v>49921</v>
      </c>
      <c r="C424" s="8">
        <f>DATE(2012,12,31)-683</f>
        <v>40591</v>
      </c>
      <c r="D424" s="8" t="str">
        <f t="shared" si="6"/>
        <v>2011-02 (февраль 2011)</v>
      </c>
      <c r="E424" s="9" t="s">
        <v>21</v>
      </c>
      <c r="F424" s="7">
        <v>5</v>
      </c>
      <c r="G424" s="7">
        <v>756.15</v>
      </c>
      <c r="H424" s="7">
        <v>0.06</v>
      </c>
      <c r="I424" s="9" t="s">
        <v>31</v>
      </c>
      <c r="J424" s="10">
        <v>-280.2792</v>
      </c>
      <c r="K424" s="11">
        <v>145.44999999999999</v>
      </c>
      <c r="L424" s="11">
        <v>17.850000000000001</v>
      </c>
      <c r="M424" s="9" t="s">
        <v>72</v>
      </c>
      <c r="N424" s="6" t="s">
        <v>173</v>
      </c>
      <c r="O424" s="6" t="s">
        <v>173</v>
      </c>
      <c r="P424" s="9" t="s">
        <v>25</v>
      </c>
      <c r="Q424" s="9" t="s">
        <v>42</v>
      </c>
      <c r="R424" s="9" t="s">
        <v>210</v>
      </c>
      <c r="S424" s="7" t="s">
        <v>234</v>
      </c>
      <c r="T424" s="9" t="s">
        <v>36</v>
      </c>
      <c r="U424" s="7">
        <v>0.56000000000000005</v>
      </c>
      <c r="V424" s="12">
        <f>C424+4</f>
        <v>40595</v>
      </c>
      <c r="W424">
        <f>IF(D424=' Pivot Tables'!$A$4,1,0)</f>
        <v>0</v>
      </c>
      <c r="X424">
        <f>IF(AND(LEFT(D424,4)+1=LEFT(' Pivot Tables'!$A$4,4)+0,RIGHT(LEFT(D424,7),2)=RIGHT(LEFT(' Pivot Tables'!$A$4,7),2)),1,0)</f>
        <v>0</v>
      </c>
      <c r="Y424" s="6">
        <f>1/COUNTIF(Таблица1[Order ID],Таблица1[[#This Row],[Order ID]])</f>
        <v>0.5</v>
      </c>
      <c r="Z424" s="9">
        <f>1/COUNTIFS(Таблица1[Customer Name],Таблица1[[#This Row],[Customer Name]],Таблица1[Order-Year-Month],Таблица1[[#This Row],[Order-Year-Month]])</f>
        <v>0.5</v>
      </c>
    </row>
    <row r="425" spans="1:26" x14ac:dyDescent="0.2">
      <c r="A425" s="6">
        <v>6984</v>
      </c>
      <c r="B425" s="7">
        <v>49921</v>
      </c>
      <c r="C425" s="8">
        <f>DATE(2012,12,31)-683</f>
        <v>40591</v>
      </c>
      <c r="D425" s="8" t="str">
        <f t="shared" si="6"/>
        <v>2011-02 (февраль 2011)</v>
      </c>
      <c r="E425" s="9" t="s">
        <v>21</v>
      </c>
      <c r="F425" s="7">
        <v>1</v>
      </c>
      <c r="G425" s="7">
        <v>18.149999999999999</v>
      </c>
      <c r="H425" s="7">
        <v>0.04</v>
      </c>
      <c r="I425" s="9" t="s">
        <v>22</v>
      </c>
      <c r="J425" s="10">
        <v>-7.26</v>
      </c>
      <c r="K425" s="11">
        <v>12.28</v>
      </c>
      <c r="L425" s="11">
        <v>6.13</v>
      </c>
      <c r="M425" s="9" t="s">
        <v>72</v>
      </c>
      <c r="N425" s="6" t="s">
        <v>173</v>
      </c>
      <c r="O425" s="6" t="s">
        <v>173</v>
      </c>
      <c r="P425" s="9" t="s">
        <v>25</v>
      </c>
      <c r="Q425" s="9" t="s">
        <v>26</v>
      </c>
      <c r="R425" s="9" t="s">
        <v>27</v>
      </c>
      <c r="S425" s="7" t="s">
        <v>275</v>
      </c>
      <c r="T425" s="9" t="s">
        <v>39</v>
      </c>
      <c r="U425" s="7">
        <v>0.56999999999999995</v>
      </c>
      <c r="V425" s="12">
        <f>C425+2</f>
        <v>40593</v>
      </c>
      <c r="W425">
        <f>IF(D425=' Pivot Tables'!$A$4,1,0)</f>
        <v>0</v>
      </c>
      <c r="X425">
        <f>IF(AND(LEFT(D425,4)+1=LEFT(' Pivot Tables'!$A$4,4)+0,RIGHT(LEFT(D425,7),2)=RIGHT(LEFT(' Pivot Tables'!$A$4,7),2)),1,0)</f>
        <v>0</v>
      </c>
      <c r="Y425" s="6">
        <f>1/COUNTIF(Таблица1[Order ID],Таблица1[[#This Row],[Order ID]])</f>
        <v>0.5</v>
      </c>
      <c r="Z425" s="9">
        <f>1/COUNTIFS(Таблица1[Customer Name],Таблица1[[#This Row],[Customer Name]],Таблица1[Order-Year-Month],Таблица1[[#This Row],[Order-Year-Month]])</f>
        <v>0.5</v>
      </c>
    </row>
    <row r="426" spans="1:26" x14ac:dyDescent="0.2">
      <c r="A426" s="6">
        <v>6991</v>
      </c>
      <c r="B426" s="7">
        <v>49952</v>
      </c>
      <c r="C426" s="8">
        <f>DATE(2012,12,31)-408</f>
        <v>40866</v>
      </c>
      <c r="D426" s="8" t="str">
        <f t="shared" si="6"/>
        <v>2011-11 (ноябрь 2011)</v>
      </c>
      <c r="E426" s="9" t="s">
        <v>30</v>
      </c>
      <c r="F426" s="7">
        <v>12</v>
      </c>
      <c r="G426" s="7">
        <v>1323.67</v>
      </c>
      <c r="H426" s="7">
        <v>0.04</v>
      </c>
      <c r="I426" s="9" t="s">
        <v>56</v>
      </c>
      <c r="J426" s="10">
        <v>630.28</v>
      </c>
      <c r="K426" s="11">
        <v>107.53</v>
      </c>
      <c r="L426" s="11">
        <v>5.81</v>
      </c>
      <c r="M426" s="9" t="s">
        <v>135</v>
      </c>
      <c r="N426" s="6" t="s">
        <v>173</v>
      </c>
      <c r="O426" s="6" t="s">
        <v>173</v>
      </c>
      <c r="P426" s="9" t="s">
        <v>41</v>
      </c>
      <c r="Q426" s="9" t="s">
        <v>49</v>
      </c>
      <c r="R426" s="9" t="s">
        <v>50</v>
      </c>
      <c r="S426" s="7" t="s">
        <v>473</v>
      </c>
      <c r="T426" s="9" t="s">
        <v>48</v>
      </c>
      <c r="U426" s="7">
        <v>0.65</v>
      </c>
      <c r="V426" s="12">
        <f>C426+1</f>
        <v>40867</v>
      </c>
      <c r="W426">
        <f>IF(D426=' Pivot Tables'!$A$4,1,0)</f>
        <v>0</v>
      </c>
      <c r="X426">
        <f>IF(AND(LEFT(D426,4)+1=LEFT(' Pivot Tables'!$A$4,4)+0,RIGHT(LEFT(D426,7),2)=RIGHT(LEFT(' Pivot Tables'!$A$4,7),2)),1,0)</f>
        <v>0</v>
      </c>
      <c r="Y426" s="6">
        <f>1/COUNTIF(Таблица1[Order ID],Таблица1[[#This Row],[Order ID]])</f>
        <v>1</v>
      </c>
      <c r="Z426" s="9">
        <f>1/COUNTIFS(Таблица1[Customer Name],Таблица1[[#This Row],[Customer Name]],Таблица1[Order-Year-Month],Таблица1[[#This Row],[Order-Year-Month]])</f>
        <v>1</v>
      </c>
    </row>
    <row r="427" spans="1:26" x14ac:dyDescent="0.2">
      <c r="A427" s="6">
        <v>7021</v>
      </c>
      <c r="B427" s="7">
        <v>50117</v>
      </c>
      <c r="C427" s="8">
        <f>DATE(2012,12,31)-577</f>
        <v>40697</v>
      </c>
      <c r="D427" s="8" t="str">
        <f t="shared" si="6"/>
        <v>2011-06 (июнь 2011)</v>
      </c>
      <c r="E427" s="9" t="s">
        <v>78</v>
      </c>
      <c r="F427" s="7">
        <v>17</v>
      </c>
      <c r="G427" s="7">
        <v>47.44</v>
      </c>
      <c r="H427" s="7">
        <v>0.09</v>
      </c>
      <c r="I427" s="9" t="s">
        <v>22</v>
      </c>
      <c r="J427" s="10">
        <v>14.49</v>
      </c>
      <c r="K427" s="11">
        <v>2.89</v>
      </c>
      <c r="L427" s="11">
        <v>0.5</v>
      </c>
      <c r="M427" s="9" t="s">
        <v>75</v>
      </c>
      <c r="N427" s="6" t="s">
        <v>173</v>
      </c>
      <c r="O427" s="6" t="s">
        <v>173</v>
      </c>
      <c r="P427" s="9" t="s">
        <v>25</v>
      </c>
      <c r="Q427" s="9" t="s">
        <v>26</v>
      </c>
      <c r="R427" s="9" t="s">
        <v>88</v>
      </c>
      <c r="S427" s="7" t="s">
        <v>474</v>
      </c>
      <c r="T427" s="9" t="s">
        <v>39</v>
      </c>
      <c r="U427" s="7">
        <v>0.38</v>
      </c>
      <c r="V427" s="12">
        <f>C427+2</f>
        <v>40699</v>
      </c>
      <c r="W427">
        <f>IF(D427=' Pivot Tables'!$A$4,1,0)</f>
        <v>0</v>
      </c>
      <c r="X427">
        <f>IF(AND(LEFT(D427,4)+1=LEFT(' Pivot Tables'!$A$4,4)+0,RIGHT(LEFT(D427,7),2)=RIGHT(LEFT(' Pivot Tables'!$A$4,7),2)),1,0)</f>
        <v>0</v>
      </c>
      <c r="Y427" s="6">
        <f>1/COUNTIF(Таблица1[Order ID],Таблица1[[#This Row],[Order ID]])</f>
        <v>1</v>
      </c>
      <c r="Z427" s="9">
        <f>1/COUNTIFS(Таблица1[Customer Name],Таблица1[[#This Row],[Customer Name]],Таблица1[Order-Year-Month],Таблица1[[#This Row],[Order-Year-Month]])</f>
        <v>1</v>
      </c>
    </row>
    <row r="428" spans="1:26" x14ac:dyDescent="0.2">
      <c r="A428" s="6">
        <v>7042</v>
      </c>
      <c r="B428" s="7">
        <v>50278</v>
      </c>
      <c r="C428" s="8">
        <f>DATE(2012,12,31)-951</f>
        <v>40323</v>
      </c>
      <c r="D428" s="8" t="str">
        <f t="shared" si="6"/>
        <v>2010-05 (май 2010)</v>
      </c>
      <c r="E428" s="9" t="s">
        <v>30</v>
      </c>
      <c r="F428" s="7">
        <v>2</v>
      </c>
      <c r="G428" s="7">
        <v>51.21</v>
      </c>
      <c r="H428" s="7">
        <v>0</v>
      </c>
      <c r="I428" s="9" t="s">
        <v>22</v>
      </c>
      <c r="J428" s="10">
        <v>-27.531000000000002</v>
      </c>
      <c r="K428" s="11">
        <v>20.98</v>
      </c>
      <c r="L428" s="11">
        <v>8.83</v>
      </c>
      <c r="M428" s="9" t="s">
        <v>135</v>
      </c>
      <c r="N428" s="6" t="s">
        <v>173</v>
      </c>
      <c r="O428" s="6" t="s">
        <v>173</v>
      </c>
      <c r="P428" s="9" t="s">
        <v>41</v>
      </c>
      <c r="Q428" s="9" t="s">
        <v>26</v>
      </c>
      <c r="R428" s="9" t="s">
        <v>37</v>
      </c>
      <c r="S428" s="7" t="s">
        <v>475</v>
      </c>
      <c r="T428" s="9" t="s">
        <v>39</v>
      </c>
      <c r="U428" s="7">
        <v>0.37</v>
      </c>
      <c r="V428" s="12">
        <f>C428+0</f>
        <v>40323</v>
      </c>
      <c r="W428">
        <f>IF(D428=' Pivot Tables'!$A$4,1,0)</f>
        <v>0</v>
      </c>
      <c r="X428">
        <f>IF(AND(LEFT(D428,4)+1=LEFT(' Pivot Tables'!$A$4,4)+0,RIGHT(LEFT(D428,7),2)=RIGHT(LEFT(' Pivot Tables'!$A$4,7),2)),1,0)</f>
        <v>0</v>
      </c>
      <c r="Y428" s="6">
        <f>1/COUNTIF(Таблица1[Order ID],Таблица1[[#This Row],[Order ID]])</f>
        <v>0.5</v>
      </c>
      <c r="Z428" s="9">
        <f>1/COUNTIFS(Таблица1[Customer Name],Таблица1[[#This Row],[Customer Name]],Таблица1[Order-Year-Month],Таблица1[[#This Row],[Order-Year-Month]])</f>
        <v>0.5</v>
      </c>
    </row>
    <row r="429" spans="1:26" x14ac:dyDescent="0.2">
      <c r="A429" s="6">
        <v>7043</v>
      </c>
      <c r="B429" s="7">
        <v>50278</v>
      </c>
      <c r="C429" s="8">
        <f>DATE(2012,12,31)-951</f>
        <v>40323</v>
      </c>
      <c r="D429" s="8" t="str">
        <f t="shared" si="6"/>
        <v>2010-05 (май 2010)</v>
      </c>
      <c r="E429" s="9" t="s">
        <v>30</v>
      </c>
      <c r="F429" s="7">
        <v>20</v>
      </c>
      <c r="G429" s="7">
        <v>2195.5500000000002</v>
      </c>
      <c r="H429" s="7">
        <v>0.01</v>
      </c>
      <c r="I429" s="9" t="s">
        <v>31</v>
      </c>
      <c r="J429" s="10">
        <v>-355.94100000000003</v>
      </c>
      <c r="K429" s="11">
        <v>100.8</v>
      </c>
      <c r="L429" s="11">
        <v>60</v>
      </c>
      <c r="M429" s="9" t="s">
        <v>135</v>
      </c>
      <c r="N429" s="6" t="s">
        <v>173</v>
      </c>
      <c r="O429" s="6" t="s">
        <v>173</v>
      </c>
      <c r="P429" s="9" t="s">
        <v>41</v>
      </c>
      <c r="Q429" s="9" t="s">
        <v>49</v>
      </c>
      <c r="R429" s="9" t="s">
        <v>83</v>
      </c>
      <c r="S429" s="7" t="s">
        <v>476</v>
      </c>
      <c r="T429" s="9" t="s">
        <v>36</v>
      </c>
      <c r="U429" s="7">
        <v>0.59</v>
      </c>
      <c r="V429" s="12">
        <f>C429+2</f>
        <v>40325</v>
      </c>
      <c r="W429">
        <f>IF(D429=' Pivot Tables'!$A$4,1,0)</f>
        <v>0</v>
      </c>
      <c r="X429">
        <f>IF(AND(LEFT(D429,4)+1=LEFT(' Pivot Tables'!$A$4,4)+0,RIGHT(LEFT(D429,7),2)=RIGHT(LEFT(' Pivot Tables'!$A$4,7),2)),1,0)</f>
        <v>0</v>
      </c>
      <c r="Y429" s="6">
        <f>1/COUNTIF(Таблица1[Order ID],Таблица1[[#This Row],[Order ID]])</f>
        <v>0.5</v>
      </c>
      <c r="Z429" s="9">
        <f>1/COUNTIFS(Таблица1[Customer Name],Таблица1[[#This Row],[Customer Name]],Таблица1[Order-Year-Month],Таблица1[[#This Row],[Order-Year-Month]])</f>
        <v>0.5</v>
      </c>
    </row>
    <row r="430" spans="1:26" x14ac:dyDescent="0.2">
      <c r="A430" s="6">
        <v>7060</v>
      </c>
      <c r="B430" s="7">
        <v>50374</v>
      </c>
      <c r="C430" s="8">
        <f>DATE(2012,12,31)-1311</f>
        <v>39963</v>
      </c>
      <c r="D430" s="8" t="str">
        <f t="shared" si="6"/>
        <v>2009-05 (май 2009)</v>
      </c>
      <c r="E430" s="9" t="s">
        <v>45</v>
      </c>
      <c r="F430" s="7">
        <v>30</v>
      </c>
      <c r="G430" s="7">
        <v>3482.41</v>
      </c>
      <c r="H430" s="7">
        <v>0.05</v>
      </c>
      <c r="I430" s="9" t="s">
        <v>22</v>
      </c>
      <c r="J430" s="10">
        <v>1443.3509999999999</v>
      </c>
      <c r="K430" s="11">
        <v>120.98</v>
      </c>
      <c r="L430" s="11">
        <v>9.07</v>
      </c>
      <c r="M430" s="9" t="s">
        <v>381</v>
      </c>
      <c r="N430" s="6" t="s">
        <v>173</v>
      </c>
      <c r="O430" s="6" t="s">
        <v>173</v>
      </c>
      <c r="P430" s="9" t="s">
        <v>60</v>
      </c>
      <c r="Q430" s="9" t="s">
        <v>26</v>
      </c>
      <c r="R430" s="9" t="s">
        <v>37</v>
      </c>
      <c r="S430" s="7" t="s">
        <v>477</v>
      </c>
      <c r="T430" s="9" t="s">
        <v>39</v>
      </c>
      <c r="U430" s="7">
        <v>0.35</v>
      </c>
      <c r="V430" s="12">
        <f>C430+1</f>
        <v>39964</v>
      </c>
      <c r="W430">
        <f>IF(D430=' Pivot Tables'!$A$4,1,0)</f>
        <v>0</v>
      </c>
      <c r="X430">
        <f>IF(AND(LEFT(D430,4)+1=LEFT(' Pivot Tables'!$A$4,4)+0,RIGHT(LEFT(D430,7),2)=RIGHT(LEFT(' Pivot Tables'!$A$4,7),2)),1,0)</f>
        <v>0</v>
      </c>
      <c r="Y430" s="6">
        <f>1/COUNTIF(Таблица1[Order ID],Таблица1[[#This Row],[Order ID]])</f>
        <v>1</v>
      </c>
      <c r="Z430" s="9">
        <f>1/COUNTIFS(Таблица1[Customer Name],Таблица1[[#This Row],[Customer Name]],Таблица1[Order-Year-Month],Таблица1[[#This Row],[Order-Year-Month]])</f>
        <v>0.5</v>
      </c>
    </row>
    <row r="431" spans="1:26" x14ac:dyDescent="0.2">
      <c r="A431" s="6">
        <v>7087</v>
      </c>
      <c r="B431" s="7">
        <v>50565</v>
      </c>
      <c r="C431" s="8">
        <f>DATE(2012,12,31)-123</f>
        <v>41151</v>
      </c>
      <c r="D431" s="8" t="str">
        <f t="shared" si="6"/>
        <v>2012-08 (август 2012)</v>
      </c>
      <c r="E431" s="9" t="s">
        <v>30</v>
      </c>
      <c r="F431" s="7">
        <v>43</v>
      </c>
      <c r="G431" s="7">
        <v>683.46</v>
      </c>
      <c r="H431" s="7">
        <v>0.09</v>
      </c>
      <c r="I431" s="9" t="s">
        <v>22</v>
      </c>
      <c r="J431" s="10">
        <v>-138.82</v>
      </c>
      <c r="K431" s="11">
        <v>16.98</v>
      </c>
      <c r="L431" s="11">
        <v>12.39</v>
      </c>
      <c r="M431" s="9" t="s">
        <v>79</v>
      </c>
      <c r="N431" s="6" t="s">
        <v>173</v>
      </c>
      <c r="O431" s="6" t="s">
        <v>173</v>
      </c>
      <c r="P431" s="9" t="s">
        <v>41</v>
      </c>
      <c r="Q431" s="9" t="s">
        <v>26</v>
      </c>
      <c r="R431" s="9" t="s">
        <v>76</v>
      </c>
      <c r="S431" s="7" t="s">
        <v>478</v>
      </c>
      <c r="T431" s="9" t="s">
        <v>39</v>
      </c>
      <c r="U431" s="7">
        <v>0.35</v>
      </c>
      <c r="V431" s="12">
        <f>C431+0</f>
        <v>41151</v>
      </c>
      <c r="W431">
        <f>IF(D431=' Pivot Tables'!$A$4,1,0)</f>
        <v>0</v>
      </c>
      <c r="X431">
        <f>IF(AND(LEFT(D431,4)+1=LEFT(' Pivot Tables'!$A$4,4)+0,RIGHT(LEFT(D431,7),2)=RIGHT(LEFT(' Pivot Tables'!$A$4,7),2)),1,0)</f>
        <v>0</v>
      </c>
      <c r="Y431" s="6">
        <f>1/COUNTIF(Таблица1[Order ID],Таблица1[[#This Row],[Order ID]])</f>
        <v>1</v>
      </c>
      <c r="Z431" s="9">
        <f>1/COUNTIFS(Таблица1[Customer Name],Таблица1[[#This Row],[Customer Name]],Таблица1[Order-Year-Month],Таблица1[[#This Row],[Order-Year-Month]])</f>
        <v>1</v>
      </c>
    </row>
    <row r="432" spans="1:26" x14ac:dyDescent="0.2">
      <c r="A432" s="6">
        <v>7103</v>
      </c>
      <c r="B432" s="7">
        <v>50688</v>
      </c>
      <c r="C432" s="8">
        <f>DATE(2012,12,31)-381</f>
        <v>40893</v>
      </c>
      <c r="D432" s="8" t="str">
        <f t="shared" si="6"/>
        <v>2011-12 (декабрь 2011)</v>
      </c>
      <c r="E432" s="9" t="s">
        <v>78</v>
      </c>
      <c r="F432" s="7">
        <v>50</v>
      </c>
      <c r="G432" s="7">
        <v>600.22</v>
      </c>
      <c r="H432" s="7">
        <v>0.08</v>
      </c>
      <c r="I432" s="9" t="s">
        <v>22</v>
      </c>
      <c r="J432" s="10">
        <v>27.86</v>
      </c>
      <c r="K432" s="11">
        <v>12.98</v>
      </c>
      <c r="L432" s="11">
        <v>3.14</v>
      </c>
      <c r="M432" s="9" t="s">
        <v>144</v>
      </c>
      <c r="N432" s="6" t="s">
        <v>173</v>
      </c>
      <c r="O432" s="6" t="s">
        <v>173</v>
      </c>
      <c r="P432" s="9" t="s">
        <v>60</v>
      </c>
      <c r="Q432" s="9" t="s">
        <v>26</v>
      </c>
      <c r="R432" s="9" t="s">
        <v>150</v>
      </c>
      <c r="S432" s="7" t="s">
        <v>356</v>
      </c>
      <c r="T432" s="9" t="s">
        <v>52</v>
      </c>
      <c r="U432" s="7">
        <v>0.6</v>
      </c>
      <c r="V432" s="12">
        <f>C432+1</f>
        <v>40894</v>
      </c>
      <c r="W432">
        <f>IF(D432=' Pivot Tables'!$A$4,1,0)</f>
        <v>0</v>
      </c>
      <c r="X432">
        <f>IF(AND(LEFT(D432,4)+1=LEFT(' Pivot Tables'!$A$4,4)+0,RIGHT(LEFT(D432,7),2)=RIGHT(LEFT(' Pivot Tables'!$A$4,7),2)),1,0)</f>
        <v>0</v>
      </c>
      <c r="Y432" s="6">
        <f>1/COUNTIF(Таблица1[Order ID],Таблица1[[#This Row],[Order ID]])</f>
        <v>1</v>
      </c>
      <c r="Z432" s="9">
        <f>1/COUNTIFS(Таблица1[Customer Name],Таблица1[[#This Row],[Customer Name]],Таблица1[Order-Year-Month],Таблица1[[#This Row],[Order-Year-Month]])</f>
        <v>1</v>
      </c>
    </row>
    <row r="433" spans="1:26" x14ac:dyDescent="0.2">
      <c r="A433" s="6">
        <v>7111</v>
      </c>
      <c r="B433" s="7">
        <v>50754</v>
      </c>
      <c r="C433" s="8">
        <f>DATE(2012,12,31)-1118</f>
        <v>40156</v>
      </c>
      <c r="D433" s="8" t="str">
        <f t="shared" si="6"/>
        <v>2009-12 (декабрь 2009)</v>
      </c>
      <c r="E433" s="9" t="s">
        <v>45</v>
      </c>
      <c r="F433" s="7">
        <v>9</v>
      </c>
      <c r="G433" s="7">
        <v>64.030500000000004</v>
      </c>
      <c r="H433" s="7">
        <v>0.06</v>
      </c>
      <c r="I433" s="9" t="s">
        <v>22</v>
      </c>
      <c r="J433" s="10">
        <v>-58.344000000000001</v>
      </c>
      <c r="K433" s="11">
        <v>7.99</v>
      </c>
      <c r="L433" s="11">
        <v>5.03</v>
      </c>
      <c r="M433" s="9" t="s">
        <v>264</v>
      </c>
      <c r="N433" s="6" t="s">
        <v>173</v>
      </c>
      <c r="O433" s="6" t="s">
        <v>173</v>
      </c>
      <c r="P433" s="9" t="s">
        <v>33</v>
      </c>
      <c r="Q433" s="9" t="s">
        <v>42</v>
      </c>
      <c r="R433" s="9" t="s">
        <v>43</v>
      </c>
      <c r="S433" s="7" t="s">
        <v>140</v>
      </c>
      <c r="T433" s="9" t="s">
        <v>48</v>
      </c>
      <c r="U433" s="7">
        <v>0.6</v>
      </c>
      <c r="V433" s="12">
        <f>C433+1</f>
        <v>40157</v>
      </c>
      <c r="W433">
        <f>IF(D433=' Pivot Tables'!$A$4,1,0)</f>
        <v>0</v>
      </c>
      <c r="X433">
        <f>IF(AND(LEFT(D433,4)+1=LEFT(' Pivot Tables'!$A$4,4)+0,RIGHT(LEFT(D433,7),2)=RIGHT(LEFT(' Pivot Tables'!$A$4,7),2)),1,0)</f>
        <v>0</v>
      </c>
      <c r="Y433" s="6">
        <f>1/COUNTIF(Таблица1[Order ID],Таблица1[[#This Row],[Order ID]])</f>
        <v>1</v>
      </c>
      <c r="Z433" s="9">
        <f>1/COUNTIFS(Таблица1[Customer Name],Таблица1[[#This Row],[Customer Name]],Таблица1[Order-Year-Month],Таблица1[[#This Row],[Order-Year-Month]])</f>
        <v>1</v>
      </c>
    </row>
    <row r="434" spans="1:26" x14ac:dyDescent="0.2">
      <c r="A434" s="6">
        <v>7136</v>
      </c>
      <c r="B434" s="7">
        <v>50914</v>
      </c>
      <c r="C434" s="8">
        <f>DATE(2012,12,31)-181</f>
        <v>41093</v>
      </c>
      <c r="D434" s="8" t="str">
        <f t="shared" si="6"/>
        <v>2012-07 (июль 2012)</v>
      </c>
      <c r="E434" s="9" t="s">
        <v>78</v>
      </c>
      <c r="F434" s="7">
        <v>49</v>
      </c>
      <c r="G434" s="7">
        <v>8551.5439999999999</v>
      </c>
      <c r="H434" s="7">
        <v>0.03</v>
      </c>
      <c r="I434" s="9" t="s">
        <v>22</v>
      </c>
      <c r="J434" s="10">
        <v>2763.1259999999997</v>
      </c>
      <c r="K434" s="11">
        <v>195.99</v>
      </c>
      <c r="L434" s="11">
        <v>8.99</v>
      </c>
      <c r="M434" s="9" t="s">
        <v>69</v>
      </c>
      <c r="N434" s="6" t="s">
        <v>173</v>
      </c>
      <c r="O434" s="6" t="s">
        <v>173</v>
      </c>
      <c r="P434" s="9" t="s">
        <v>41</v>
      </c>
      <c r="Q434" s="9" t="s">
        <v>42</v>
      </c>
      <c r="R434" s="9" t="s">
        <v>43</v>
      </c>
      <c r="S434" s="7" t="s">
        <v>479</v>
      </c>
      <c r="T434" s="9" t="s">
        <v>39</v>
      </c>
      <c r="U434" s="7">
        <v>0.57999999999999996</v>
      </c>
      <c r="V434" s="12">
        <f>C434+0</f>
        <v>41093</v>
      </c>
      <c r="W434">
        <f>IF(D434=' Pivot Tables'!$A$4,1,0)</f>
        <v>0</v>
      </c>
      <c r="X434">
        <f>IF(AND(LEFT(D434,4)+1=LEFT(' Pivot Tables'!$A$4,4)+0,RIGHT(LEFT(D434,7),2)=RIGHT(LEFT(' Pivot Tables'!$A$4,7),2)),1,0)</f>
        <v>0</v>
      </c>
      <c r="Y434" s="6">
        <f>1/COUNTIF(Таблица1[Order ID],Таблица1[[#This Row],[Order ID]])</f>
        <v>1</v>
      </c>
      <c r="Z434" s="9">
        <f>1/COUNTIFS(Таблица1[Customer Name],Таблица1[[#This Row],[Customer Name]],Таблица1[Order-Year-Month],Таблица1[[#This Row],[Order-Year-Month]])</f>
        <v>1</v>
      </c>
    </row>
    <row r="435" spans="1:26" x14ac:dyDescent="0.2">
      <c r="A435" s="6">
        <v>7168</v>
      </c>
      <c r="B435" s="7">
        <v>51169</v>
      </c>
      <c r="C435" s="8">
        <f>DATE(2012,12,31)-738</f>
        <v>40536</v>
      </c>
      <c r="D435" s="8" t="str">
        <f t="shared" si="6"/>
        <v>2010-12 (декабрь 2010)</v>
      </c>
      <c r="E435" s="9" t="s">
        <v>30</v>
      </c>
      <c r="F435" s="7">
        <v>2</v>
      </c>
      <c r="G435" s="7">
        <v>291.66000000000003</v>
      </c>
      <c r="H435" s="7">
        <v>0.08</v>
      </c>
      <c r="I435" s="9" t="s">
        <v>22</v>
      </c>
      <c r="J435" s="10">
        <v>-192.92</v>
      </c>
      <c r="K435" s="11">
        <v>136.97999999999999</v>
      </c>
      <c r="L435" s="11">
        <v>24.49</v>
      </c>
      <c r="M435" s="9" t="s">
        <v>279</v>
      </c>
      <c r="N435" s="6" t="s">
        <v>173</v>
      </c>
      <c r="O435" s="6" t="s">
        <v>173</v>
      </c>
      <c r="P435" s="9" t="s">
        <v>60</v>
      </c>
      <c r="Q435" s="9" t="s">
        <v>49</v>
      </c>
      <c r="R435" s="9" t="s">
        <v>50</v>
      </c>
      <c r="S435" s="7" t="s">
        <v>480</v>
      </c>
      <c r="T435" s="9" t="s">
        <v>29</v>
      </c>
      <c r="U435" s="7">
        <v>0.59</v>
      </c>
      <c r="V435" s="12">
        <f>C435+2</f>
        <v>40538</v>
      </c>
      <c r="W435">
        <f>IF(D435=' Pivot Tables'!$A$4,1,0)</f>
        <v>0</v>
      </c>
      <c r="X435">
        <f>IF(AND(LEFT(D435,4)+1=LEFT(' Pivot Tables'!$A$4,4)+0,RIGHT(LEFT(D435,7),2)=RIGHT(LEFT(' Pivot Tables'!$A$4,7),2)),1,0)</f>
        <v>0</v>
      </c>
      <c r="Y435" s="6">
        <f>1/COUNTIF(Таблица1[Order ID],Таблица1[[#This Row],[Order ID]])</f>
        <v>1</v>
      </c>
      <c r="Z435" s="9">
        <f>1/COUNTIFS(Таблица1[Customer Name],Таблица1[[#This Row],[Customer Name]],Таблица1[Order-Year-Month],Таблица1[[#This Row],[Order-Year-Month]])</f>
        <v>1</v>
      </c>
    </row>
    <row r="436" spans="1:26" x14ac:dyDescent="0.2">
      <c r="A436" s="6">
        <v>7277</v>
      </c>
      <c r="B436" s="7">
        <v>51938</v>
      </c>
      <c r="C436" s="8">
        <f>DATE(2012,12,31)-594</f>
        <v>40680</v>
      </c>
      <c r="D436" s="8" t="str">
        <f t="shared" si="6"/>
        <v>2011-05 (май 2011)</v>
      </c>
      <c r="E436" s="9" t="s">
        <v>21</v>
      </c>
      <c r="F436" s="7">
        <v>5</v>
      </c>
      <c r="G436" s="7">
        <v>503.32749999999999</v>
      </c>
      <c r="H436" s="7">
        <v>0.06</v>
      </c>
      <c r="I436" s="9" t="s">
        <v>22</v>
      </c>
      <c r="J436" s="10">
        <v>-488.31200000000001</v>
      </c>
      <c r="K436" s="11">
        <v>125.99</v>
      </c>
      <c r="L436" s="11">
        <v>5.63</v>
      </c>
      <c r="M436" s="9" t="s">
        <v>85</v>
      </c>
      <c r="N436" s="6" t="s">
        <v>173</v>
      </c>
      <c r="O436" s="6" t="s">
        <v>173</v>
      </c>
      <c r="P436" s="9" t="s">
        <v>41</v>
      </c>
      <c r="Q436" s="9" t="s">
        <v>42</v>
      </c>
      <c r="R436" s="9" t="s">
        <v>43</v>
      </c>
      <c r="S436" s="7" t="s">
        <v>481</v>
      </c>
      <c r="T436" s="9" t="s">
        <v>39</v>
      </c>
      <c r="U436" s="7">
        <v>0.6</v>
      </c>
      <c r="V436" s="12">
        <f>C436+4</f>
        <v>40684</v>
      </c>
      <c r="W436">
        <f>IF(D436=' Pivot Tables'!$A$4,1,0)</f>
        <v>0</v>
      </c>
      <c r="X436">
        <f>IF(AND(LEFT(D436,4)+1=LEFT(' Pivot Tables'!$A$4,4)+0,RIGHT(LEFT(D436,7),2)=RIGHT(LEFT(' Pivot Tables'!$A$4,7),2)),1,0)</f>
        <v>0</v>
      </c>
      <c r="Y436" s="6">
        <f>1/COUNTIF(Таблица1[Order ID],Таблица1[[#This Row],[Order ID]])</f>
        <v>1</v>
      </c>
      <c r="Z436" s="9">
        <f>1/COUNTIFS(Таблица1[Customer Name],Таблица1[[#This Row],[Customer Name]],Таблица1[Order-Year-Month],Таблица1[[#This Row],[Order-Year-Month]])</f>
        <v>1</v>
      </c>
    </row>
    <row r="437" spans="1:26" x14ac:dyDescent="0.2">
      <c r="A437" s="6">
        <v>7285</v>
      </c>
      <c r="B437" s="7">
        <v>51970</v>
      </c>
      <c r="C437" s="8">
        <f>DATE(2012,12,31)-355</f>
        <v>40919</v>
      </c>
      <c r="D437" s="8" t="str">
        <f t="shared" si="6"/>
        <v>2012-01 (январь 2012)</v>
      </c>
      <c r="E437" s="9" t="s">
        <v>45</v>
      </c>
      <c r="F437" s="7">
        <v>1</v>
      </c>
      <c r="G437" s="7">
        <v>171.71</v>
      </c>
      <c r="H437" s="7">
        <v>0.06</v>
      </c>
      <c r="I437" s="9" t="s">
        <v>31</v>
      </c>
      <c r="J437" s="10">
        <v>-343.46730000000002</v>
      </c>
      <c r="K437" s="11">
        <v>115.99</v>
      </c>
      <c r="L437" s="11">
        <v>56.14</v>
      </c>
      <c r="M437" s="9" t="s">
        <v>75</v>
      </c>
      <c r="N437" s="6" t="s">
        <v>173</v>
      </c>
      <c r="O437" s="6" t="s">
        <v>173</v>
      </c>
      <c r="P437" s="9" t="s">
        <v>25</v>
      </c>
      <c r="Q437" s="9" t="s">
        <v>42</v>
      </c>
      <c r="R437" s="9" t="s">
        <v>210</v>
      </c>
      <c r="S437" s="7" t="s">
        <v>482</v>
      </c>
      <c r="T437" s="9" t="s">
        <v>36</v>
      </c>
      <c r="U437" s="7">
        <v>0.4</v>
      </c>
      <c r="V437" s="12">
        <f t="shared" ref="V437:V442" si="8">C437+2</f>
        <v>40921</v>
      </c>
      <c r="W437">
        <f>IF(D437=' Pivot Tables'!$A$4,1,0)</f>
        <v>0</v>
      </c>
      <c r="X437">
        <f>IF(AND(LEFT(D437,4)+1=LEFT(' Pivot Tables'!$A$4,4)+0,RIGHT(LEFT(D437,7),2)=RIGHT(LEFT(' Pivot Tables'!$A$4,7),2)),1,0)</f>
        <v>0</v>
      </c>
      <c r="Y437" s="6">
        <f>1/COUNTIF(Таблица1[Order ID],Таблица1[[#This Row],[Order ID]])</f>
        <v>1</v>
      </c>
      <c r="Z437" s="9">
        <f>1/COUNTIFS(Таблица1[Customer Name],Таблица1[[#This Row],[Customer Name]],Таблица1[Order-Year-Month],Таблица1[[#This Row],[Order-Year-Month]])</f>
        <v>1</v>
      </c>
    </row>
    <row r="438" spans="1:26" x14ac:dyDescent="0.2">
      <c r="A438" s="6">
        <v>7286</v>
      </c>
      <c r="B438" s="7">
        <v>51971</v>
      </c>
      <c r="C438" s="8">
        <f>DATE(2012,12,31)-455</f>
        <v>40819</v>
      </c>
      <c r="D438" s="8" t="str">
        <f t="shared" si="6"/>
        <v>2011-10 (октябрь 2011)</v>
      </c>
      <c r="E438" s="9" t="s">
        <v>45</v>
      </c>
      <c r="F438" s="7">
        <v>39</v>
      </c>
      <c r="G438" s="7">
        <v>1326.04</v>
      </c>
      <c r="H438" s="7">
        <v>0.02</v>
      </c>
      <c r="I438" s="9" t="s">
        <v>22</v>
      </c>
      <c r="J438" s="10">
        <v>-1129.96</v>
      </c>
      <c r="K438" s="11">
        <v>32.479999999999997</v>
      </c>
      <c r="L438" s="11">
        <v>35</v>
      </c>
      <c r="M438" s="9" t="s">
        <v>59</v>
      </c>
      <c r="N438" s="6" t="s">
        <v>173</v>
      </c>
      <c r="O438" s="6" t="s">
        <v>173</v>
      </c>
      <c r="P438" s="9" t="s">
        <v>60</v>
      </c>
      <c r="Q438" s="9" t="s">
        <v>26</v>
      </c>
      <c r="R438" s="9" t="s">
        <v>27</v>
      </c>
      <c r="S438" s="7" t="s">
        <v>483</v>
      </c>
      <c r="T438" s="9" t="s">
        <v>29</v>
      </c>
      <c r="U438" s="7">
        <v>0.81</v>
      </c>
      <c r="V438" s="12">
        <f t="shared" si="8"/>
        <v>40821</v>
      </c>
      <c r="W438">
        <f>IF(D438=' Pivot Tables'!$A$4,1,0)</f>
        <v>0</v>
      </c>
      <c r="X438">
        <f>IF(AND(LEFT(D438,4)+1=LEFT(' Pivot Tables'!$A$4,4)+0,RIGHT(LEFT(D438,7),2)=RIGHT(LEFT(' Pivot Tables'!$A$4,7),2)),1,0)</f>
        <v>0</v>
      </c>
      <c r="Y438" s="6">
        <f>1/COUNTIF(Таблица1[Order ID],Таблица1[[#This Row],[Order ID]])</f>
        <v>0.5</v>
      </c>
      <c r="Z438" s="9">
        <f>1/COUNTIFS(Таблица1[Customer Name],Таблица1[[#This Row],[Customer Name]],Таблица1[Order-Year-Month],Таблица1[[#This Row],[Order-Year-Month]])</f>
        <v>0.5</v>
      </c>
    </row>
    <row r="439" spans="1:26" x14ac:dyDescent="0.2">
      <c r="A439" s="6">
        <v>7287</v>
      </c>
      <c r="B439" s="7">
        <v>51971</v>
      </c>
      <c r="C439" s="8">
        <f>DATE(2012,12,31)-455</f>
        <v>40819</v>
      </c>
      <c r="D439" s="8" t="str">
        <f t="shared" si="6"/>
        <v>2011-10 (октябрь 2011)</v>
      </c>
      <c r="E439" s="9" t="s">
        <v>45</v>
      </c>
      <c r="F439" s="7">
        <v>22</v>
      </c>
      <c r="G439" s="7">
        <v>3881.89</v>
      </c>
      <c r="H439" s="7">
        <v>0.06</v>
      </c>
      <c r="I439" s="9" t="s">
        <v>22</v>
      </c>
      <c r="J439" s="10">
        <v>-803.52</v>
      </c>
      <c r="K439" s="11">
        <v>182.55</v>
      </c>
      <c r="L439" s="11">
        <v>69</v>
      </c>
      <c r="M439" s="9" t="s">
        <v>59</v>
      </c>
      <c r="N439" s="6" t="s">
        <v>173</v>
      </c>
      <c r="O439" s="6" t="s">
        <v>173</v>
      </c>
      <c r="P439" s="9" t="s">
        <v>60</v>
      </c>
      <c r="Q439" s="9" t="s">
        <v>49</v>
      </c>
      <c r="R439" s="9" t="s">
        <v>83</v>
      </c>
      <c r="S439" s="7" t="s">
        <v>484</v>
      </c>
      <c r="T439" s="9" t="s">
        <v>29</v>
      </c>
      <c r="U439" s="7">
        <v>0.72</v>
      </c>
      <c r="V439" s="12">
        <f t="shared" si="8"/>
        <v>40821</v>
      </c>
      <c r="W439">
        <f>IF(D439=' Pivot Tables'!$A$4,1,0)</f>
        <v>0</v>
      </c>
      <c r="X439">
        <f>IF(AND(LEFT(D439,4)+1=LEFT(' Pivot Tables'!$A$4,4)+0,RIGHT(LEFT(D439,7),2)=RIGHT(LEFT(' Pivot Tables'!$A$4,7),2)),1,0)</f>
        <v>0</v>
      </c>
      <c r="Y439" s="6">
        <f>1/COUNTIF(Таблица1[Order ID],Таблица1[[#This Row],[Order ID]])</f>
        <v>0.5</v>
      </c>
      <c r="Z439" s="9">
        <f>1/COUNTIFS(Таблица1[Customer Name],Таблица1[[#This Row],[Customer Name]],Таблица1[Order-Year-Month],Таблица1[[#This Row],[Order-Year-Month]])</f>
        <v>0.5</v>
      </c>
    </row>
    <row r="440" spans="1:26" x14ac:dyDescent="0.2">
      <c r="A440" s="6">
        <v>7318</v>
      </c>
      <c r="B440" s="7">
        <v>52193</v>
      </c>
      <c r="C440" s="8">
        <f>DATE(2012,12,31)-1032</f>
        <v>40242</v>
      </c>
      <c r="D440" s="8" t="str">
        <f t="shared" si="6"/>
        <v>2010-03 (март 2010)</v>
      </c>
      <c r="E440" s="9" t="s">
        <v>45</v>
      </c>
      <c r="F440" s="7">
        <v>1</v>
      </c>
      <c r="G440" s="7">
        <v>17.89</v>
      </c>
      <c r="H440" s="7">
        <v>0.04</v>
      </c>
      <c r="I440" s="9" t="s">
        <v>56</v>
      </c>
      <c r="J440" s="10">
        <v>10.51</v>
      </c>
      <c r="K440" s="11">
        <v>2.88</v>
      </c>
      <c r="L440" s="11">
        <v>0.5</v>
      </c>
      <c r="M440" s="9" t="s">
        <v>317</v>
      </c>
      <c r="N440" s="6" t="s">
        <v>173</v>
      </c>
      <c r="O440" s="6" t="s">
        <v>173</v>
      </c>
      <c r="P440" s="9" t="s">
        <v>41</v>
      </c>
      <c r="Q440" s="9" t="s">
        <v>26</v>
      </c>
      <c r="R440" s="9" t="s">
        <v>88</v>
      </c>
      <c r="S440" s="7" t="s">
        <v>485</v>
      </c>
      <c r="T440" s="9" t="s">
        <v>39</v>
      </c>
      <c r="U440" s="7">
        <v>0.39</v>
      </c>
      <c r="V440" s="12">
        <f t="shared" si="8"/>
        <v>40244</v>
      </c>
      <c r="W440">
        <f>IF(D440=' Pivot Tables'!$A$4,1,0)</f>
        <v>0</v>
      </c>
      <c r="X440">
        <f>IF(AND(LEFT(D440,4)+1=LEFT(' Pivot Tables'!$A$4,4)+0,RIGHT(LEFT(D440,7),2)=RIGHT(LEFT(' Pivot Tables'!$A$4,7),2)),1,0)</f>
        <v>0</v>
      </c>
      <c r="Y440" s="6">
        <f>1/COUNTIF(Таблица1[Order ID],Таблица1[[#This Row],[Order ID]])</f>
        <v>0.5</v>
      </c>
      <c r="Z440" s="9">
        <f>1/COUNTIFS(Таблица1[Customer Name],Таблица1[[#This Row],[Customer Name]],Таблица1[Order-Year-Month],Таблица1[[#This Row],[Order-Year-Month]])</f>
        <v>0.5</v>
      </c>
    </row>
    <row r="441" spans="1:26" x14ac:dyDescent="0.2">
      <c r="A441" s="6">
        <v>7319</v>
      </c>
      <c r="B441" s="7">
        <v>52193</v>
      </c>
      <c r="C441" s="8">
        <f>DATE(2012,12,31)-1032</f>
        <v>40242</v>
      </c>
      <c r="D441" s="8" t="str">
        <f t="shared" si="6"/>
        <v>2010-03 (март 2010)</v>
      </c>
      <c r="E441" s="9" t="s">
        <v>45</v>
      </c>
      <c r="F441" s="7">
        <v>47</v>
      </c>
      <c r="G441" s="7">
        <v>137.18</v>
      </c>
      <c r="H441" s="7">
        <v>7.0000000000000007E-2</v>
      </c>
      <c r="I441" s="9" t="s">
        <v>22</v>
      </c>
      <c r="J441" s="10">
        <v>6.04</v>
      </c>
      <c r="K441" s="11">
        <v>2.94</v>
      </c>
      <c r="L441" s="11">
        <v>0.96</v>
      </c>
      <c r="M441" s="9" t="s">
        <v>317</v>
      </c>
      <c r="N441" s="6" t="s">
        <v>173</v>
      </c>
      <c r="O441" s="6" t="s">
        <v>173</v>
      </c>
      <c r="P441" s="9" t="s">
        <v>41</v>
      </c>
      <c r="Q441" s="9" t="s">
        <v>26</v>
      </c>
      <c r="R441" s="9" t="s">
        <v>95</v>
      </c>
      <c r="S441" s="7" t="s">
        <v>486</v>
      </c>
      <c r="T441" s="9" t="s">
        <v>68</v>
      </c>
      <c r="U441" s="7">
        <v>0.57999999999999996</v>
      </c>
      <c r="V441" s="12">
        <f t="shared" si="8"/>
        <v>40244</v>
      </c>
      <c r="W441">
        <f>IF(D441=' Pivot Tables'!$A$4,1,0)</f>
        <v>0</v>
      </c>
      <c r="X441">
        <f>IF(AND(LEFT(D441,4)+1=LEFT(' Pivot Tables'!$A$4,4)+0,RIGHT(LEFT(D441,7),2)=RIGHT(LEFT(' Pivot Tables'!$A$4,7),2)),1,0)</f>
        <v>0</v>
      </c>
      <c r="Y441" s="6">
        <f>1/COUNTIF(Таблица1[Order ID],Таблица1[[#This Row],[Order ID]])</f>
        <v>0.5</v>
      </c>
      <c r="Z441" s="9">
        <f>1/COUNTIFS(Таблица1[Customer Name],Таблица1[[#This Row],[Customer Name]],Таблица1[Order-Year-Month],Таблица1[[#This Row],[Order-Year-Month]])</f>
        <v>0.5</v>
      </c>
    </row>
    <row r="442" spans="1:26" x14ac:dyDescent="0.2">
      <c r="A442" s="6">
        <v>7343</v>
      </c>
      <c r="B442" s="7">
        <v>52321</v>
      </c>
      <c r="C442" s="8">
        <f>DATE(2012,12,31)-422</f>
        <v>40852</v>
      </c>
      <c r="D442" s="8" t="str">
        <f t="shared" si="6"/>
        <v>2011-11 (ноябрь 2011)</v>
      </c>
      <c r="E442" s="9" t="s">
        <v>30</v>
      </c>
      <c r="F442" s="7">
        <v>48</v>
      </c>
      <c r="G442" s="7">
        <v>617.26</v>
      </c>
      <c r="H442" s="7">
        <v>0.04</v>
      </c>
      <c r="I442" s="9" t="s">
        <v>22</v>
      </c>
      <c r="J442" s="10">
        <v>-37.520000000000003</v>
      </c>
      <c r="K442" s="11">
        <v>12.28</v>
      </c>
      <c r="L442" s="11">
        <v>6.13</v>
      </c>
      <c r="M442" s="9" t="s">
        <v>190</v>
      </c>
      <c r="N442" s="6" t="s">
        <v>173</v>
      </c>
      <c r="O442" s="6" t="s">
        <v>173</v>
      </c>
      <c r="P442" s="9" t="s">
        <v>25</v>
      </c>
      <c r="Q442" s="9" t="s">
        <v>26</v>
      </c>
      <c r="R442" s="9" t="s">
        <v>27</v>
      </c>
      <c r="S442" s="7" t="s">
        <v>275</v>
      </c>
      <c r="T442" s="9" t="s">
        <v>39</v>
      </c>
      <c r="U442" s="7">
        <v>0.56999999999999995</v>
      </c>
      <c r="V442" s="12">
        <f t="shared" si="8"/>
        <v>40854</v>
      </c>
      <c r="W442">
        <f>IF(D442=' Pivot Tables'!$A$4,1,0)</f>
        <v>0</v>
      </c>
      <c r="X442">
        <f>IF(AND(LEFT(D442,4)+1=LEFT(' Pivot Tables'!$A$4,4)+0,RIGHT(LEFT(D442,7),2)=RIGHT(LEFT(' Pivot Tables'!$A$4,7),2)),1,0)</f>
        <v>0</v>
      </c>
      <c r="Y442" s="6">
        <f>1/COUNTIF(Таблица1[Order ID],Таблица1[[#This Row],[Order ID]])</f>
        <v>0.5</v>
      </c>
      <c r="Z442" s="9">
        <f>1/COUNTIFS(Таблица1[Customer Name],Таблица1[[#This Row],[Customer Name]],Таблица1[Order-Year-Month],Таблица1[[#This Row],[Order-Year-Month]])</f>
        <v>0.5</v>
      </c>
    </row>
    <row r="443" spans="1:26" x14ac:dyDescent="0.2">
      <c r="A443" s="6">
        <v>7344</v>
      </c>
      <c r="B443" s="7">
        <v>52321</v>
      </c>
      <c r="C443" s="8">
        <f>DATE(2012,12,31)-422</f>
        <v>40852</v>
      </c>
      <c r="D443" s="8" t="str">
        <f t="shared" si="6"/>
        <v>2011-11 (ноябрь 2011)</v>
      </c>
      <c r="E443" s="9" t="s">
        <v>30</v>
      </c>
      <c r="F443" s="7">
        <v>45</v>
      </c>
      <c r="G443" s="7">
        <v>13104.992</v>
      </c>
      <c r="H443" s="7">
        <v>0.03</v>
      </c>
      <c r="I443" s="9" t="s">
        <v>31</v>
      </c>
      <c r="J443" s="10">
        <v>5626.42</v>
      </c>
      <c r="K443" s="11">
        <v>349.45</v>
      </c>
      <c r="L443" s="11">
        <v>60</v>
      </c>
      <c r="M443" s="9" t="s">
        <v>190</v>
      </c>
      <c r="N443" s="6" t="s">
        <v>173</v>
      </c>
      <c r="O443" s="6" t="s">
        <v>173</v>
      </c>
      <c r="P443" s="9" t="s">
        <v>25</v>
      </c>
      <c r="Q443" s="9" t="s">
        <v>49</v>
      </c>
      <c r="R443" s="9" t="s">
        <v>83</v>
      </c>
      <c r="S443" s="7" t="s">
        <v>311</v>
      </c>
      <c r="T443" s="9" t="s">
        <v>36</v>
      </c>
      <c r="U443" s="7"/>
      <c r="V443" s="12">
        <f>C443+0</f>
        <v>40852</v>
      </c>
      <c r="W443">
        <f>IF(D443=' Pivot Tables'!$A$4,1,0)</f>
        <v>0</v>
      </c>
      <c r="X443">
        <f>IF(AND(LEFT(D443,4)+1=LEFT(' Pivot Tables'!$A$4,4)+0,RIGHT(LEFT(D443,7),2)=RIGHT(LEFT(' Pivot Tables'!$A$4,7),2)),1,0)</f>
        <v>0</v>
      </c>
      <c r="Y443" s="6">
        <f>1/COUNTIF(Таблица1[Order ID],Таблица1[[#This Row],[Order ID]])</f>
        <v>0.5</v>
      </c>
      <c r="Z443" s="9">
        <f>1/COUNTIFS(Таблица1[Customer Name],Таблица1[[#This Row],[Customer Name]],Таблица1[Order-Year-Month],Таблица1[[#This Row],[Order-Year-Month]])</f>
        <v>0.5</v>
      </c>
    </row>
    <row r="444" spans="1:26" x14ac:dyDescent="0.2">
      <c r="A444" s="6">
        <v>7352</v>
      </c>
      <c r="B444" s="7">
        <v>52386</v>
      </c>
      <c r="C444" s="8">
        <f>DATE(2012,12,31)-1456</f>
        <v>39818</v>
      </c>
      <c r="D444" s="8" t="str">
        <f t="shared" si="6"/>
        <v>2009-01 (январь 2009)</v>
      </c>
      <c r="E444" s="9" t="s">
        <v>30</v>
      </c>
      <c r="F444" s="7">
        <v>6</v>
      </c>
      <c r="G444" s="7">
        <v>700.73</v>
      </c>
      <c r="H444" s="7">
        <v>0.08</v>
      </c>
      <c r="I444" s="9" t="s">
        <v>31</v>
      </c>
      <c r="J444" s="10">
        <v>-188.5812</v>
      </c>
      <c r="K444" s="11">
        <v>120.97</v>
      </c>
      <c r="L444" s="11">
        <v>26.3</v>
      </c>
      <c r="M444" s="9" t="s">
        <v>381</v>
      </c>
      <c r="N444" s="6" t="s">
        <v>173</v>
      </c>
      <c r="O444" s="6" t="s">
        <v>173</v>
      </c>
      <c r="P444" s="9" t="s">
        <v>60</v>
      </c>
      <c r="Q444" s="9" t="s">
        <v>42</v>
      </c>
      <c r="R444" s="9" t="s">
        <v>210</v>
      </c>
      <c r="S444" s="7" t="s">
        <v>487</v>
      </c>
      <c r="T444" s="9" t="s">
        <v>36</v>
      </c>
      <c r="U444" s="7">
        <v>0.38</v>
      </c>
      <c r="V444" s="12">
        <f>C444+2</f>
        <v>39820</v>
      </c>
      <c r="W444">
        <f>IF(D444=' Pivot Tables'!$A$4,1,0)</f>
        <v>0</v>
      </c>
      <c r="X444">
        <f>IF(AND(LEFT(D444,4)+1=LEFT(' Pivot Tables'!$A$4,4)+0,RIGHT(LEFT(D444,7),2)=RIGHT(LEFT(' Pivot Tables'!$A$4,7),2)),1,0)</f>
        <v>1</v>
      </c>
      <c r="Y444" s="6">
        <f>1/COUNTIF(Таблица1[Order ID],Таблица1[[#This Row],[Order ID]])</f>
        <v>1</v>
      </c>
      <c r="Z444" s="9">
        <f>1/COUNTIFS(Таблица1[Customer Name],Таблица1[[#This Row],[Customer Name]],Таблица1[Order-Year-Month],Таблица1[[#This Row],[Order-Year-Month]])</f>
        <v>1</v>
      </c>
    </row>
    <row r="445" spans="1:26" x14ac:dyDescent="0.2">
      <c r="A445" s="6">
        <v>7404</v>
      </c>
      <c r="B445" s="7">
        <v>52807</v>
      </c>
      <c r="C445" s="8">
        <f>DATE(2012,12,31)-767</f>
        <v>40507</v>
      </c>
      <c r="D445" s="8" t="str">
        <f t="shared" si="6"/>
        <v>2010-11 (ноябрь 2010)</v>
      </c>
      <c r="E445" s="9" t="s">
        <v>63</v>
      </c>
      <c r="F445" s="7">
        <v>28</v>
      </c>
      <c r="G445" s="7">
        <v>667.55</v>
      </c>
      <c r="H445" s="7">
        <v>0</v>
      </c>
      <c r="I445" s="9" t="s">
        <v>22</v>
      </c>
      <c r="J445" s="10">
        <v>204.74</v>
      </c>
      <c r="K445" s="11">
        <v>21.98</v>
      </c>
      <c r="L445" s="11">
        <v>2.87</v>
      </c>
      <c r="M445" s="9" t="s">
        <v>158</v>
      </c>
      <c r="N445" s="6" t="s">
        <v>173</v>
      </c>
      <c r="O445" s="6" t="s">
        <v>173</v>
      </c>
      <c r="P445" s="9" t="s">
        <v>33</v>
      </c>
      <c r="Q445" s="9" t="s">
        <v>26</v>
      </c>
      <c r="R445" s="9" t="s">
        <v>95</v>
      </c>
      <c r="S445" s="7" t="s">
        <v>488</v>
      </c>
      <c r="T445" s="9" t="s">
        <v>52</v>
      </c>
      <c r="U445" s="7">
        <v>0.55000000000000004</v>
      </c>
      <c r="V445" s="12">
        <f>C445+2</f>
        <v>40509</v>
      </c>
      <c r="W445">
        <f>IF(D445=' Pivot Tables'!$A$4,1,0)</f>
        <v>0</v>
      </c>
      <c r="X445">
        <f>IF(AND(LEFT(D445,4)+1=LEFT(' Pivot Tables'!$A$4,4)+0,RIGHT(LEFT(D445,7),2)=RIGHT(LEFT(' Pivot Tables'!$A$4,7),2)),1,0)</f>
        <v>0</v>
      </c>
      <c r="Y445" s="6">
        <f>1/COUNTIF(Таблица1[Order ID],Таблица1[[#This Row],[Order ID]])</f>
        <v>1</v>
      </c>
      <c r="Z445" s="9">
        <f>1/COUNTIFS(Таблица1[Customer Name],Таблица1[[#This Row],[Customer Name]],Таблица1[Order-Year-Month],Таблица1[[#This Row],[Order-Year-Month]])</f>
        <v>1</v>
      </c>
    </row>
    <row r="446" spans="1:26" x14ac:dyDescent="0.2">
      <c r="A446" s="6">
        <v>7419</v>
      </c>
      <c r="B446" s="7">
        <v>52929</v>
      </c>
      <c r="C446" s="8">
        <f>DATE(2012,12,31)-633</f>
        <v>40641</v>
      </c>
      <c r="D446" s="8" t="str">
        <f t="shared" si="6"/>
        <v>2011-04 (апрель 2011)</v>
      </c>
      <c r="E446" s="9" t="s">
        <v>30</v>
      </c>
      <c r="F446" s="7">
        <v>43</v>
      </c>
      <c r="G446" s="7">
        <v>701.46</v>
      </c>
      <c r="H446" s="7">
        <v>0.04</v>
      </c>
      <c r="I446" s="9" t="s">
        <v>56</v>
      </c>
      <c r="J446" s="10">
        <v>-90.140699999999995</v>
      </c>
      <c r="K446" s="11">
        <v>15.99</v>
      </c>
      <c r="L446" s="11">
        <v>9.4</v>
      </c>
      <c r="M446" s="9" t="s">
        <v>23</v>
      </c>
      <c r="N446" s="6" t="s">
        <v>173</v>
      </c>
      <c r="O446" s="6" t="s">
        <v>173</v>
      </c>
      <c r="P446" s="9" t="s">
        <v>25</v>
      </c>
      <c r="Q446" s="9" t="s">
        <v>42</v>
      </c>
      <c r="R446" s="9" t="s">
        <v>210</v>
      </c>
      <c r="S446" s="7" t="s">
        <v>489</v>
      </c>
      <c r="T446" s="9" t="s">
        <v>39</v>
      </c>
      <c r="U446" s="7">
        <v>0.49</v>
      </c>
      <c r="V446" s="12">
        <f t="shared" ref="V446:V451" si="9">C446+1</f>
        <v>40642</v>
      </c>
      <c r="W446">
        <f>IF(D446=' Pivot Tables'!$A$4,1,0)</f>
        <v>0</v>
      </c>
      <c r="X446">
        <f>IF(AND(LEFT(D446,4)+1=LEFT(' Pivot Tables'!$A$4,4)+0,RIGHT(LEFT(D446,7),2)=RIGHT(LEFT(' Pivot Tables'!$A$4,7),2)),1,0)</f>
        <v>0</v>
      </c>
      <c r="Y446" s="6">
        <f>1/COUNTIF(Таблица1[Order ID],Таблица1[[#This Row],[Order ID]])</f>
        <v>0.25</v>
      </c>
      <c r="Z446" s="9">
        <f>1/COUNTIFS(Таблица1[Customer Name],Таблица1[[#This Row],[Customer Name]],Таблица1[Order-Year-Month],Таблица1[[#This Row],[Order-Year-Month]])</f>
        <v>0.14285714285714285</v>
      </c>
    </row>
    <row r="447" spans="1:26" x14ac:dyDescent="0.2">
      <c r="A447" s="6">
        <v>7420</v>
      </c>
      <c r="B447" s="7">
        <v>52929</v>
      </c>
      <c r="C447" s="8">
        <f>DATE(2012,12,31)-633</f>
        <v>40641</v>
      </c>
      <c r="D447" s="8" t="str">
        <f t="shared" si="6"/>
        <v>2011-04 (апрель 2011)</v>
      </c>
      <c r="E447" s="9" t="s">
        <v>30</v>
      </c>
      <c r="F447" s="7">
        <v>19</v>
      </c>
      <c r="G447" s="7">
        <v>53.94</v>
      </c>
      <c r="H447" s="7">
        <v>0.05</v>
      </c>
      <c r="I447" s="9" t="s">
        <v>22</v>
      </c>
      <c r="J447" s="10">
        <v>-6.53</v>
      </c>
      <c r="K447" s="11">
        <v>2.78</v>
      </c>
      <c r="L447" s="11">
        <v>1.25</v>
      </c>
      <c r="M447" s="9" t="s">
        <v>23</v>
      </c>
      <c r="N447" s="6" t="s">
        <v>173</v>
      </c>
      <c r="O447" s="6" t="s">
        <v>173</v>
      </c>
      <c r="P447" s="9" t="s">
        <v>25</v>
      </c>
      <c r="Q447" s="9" t="s">
        <v>26</v>
      </c>
      <c r="R447" s="9" t="s">
        <v>95</v>
      </c>
      <c r="S447" s="7" t="s">
        <v>490</v>
      </c>
      <c r="T447" s="9" t="s">
        <v>68</v>
      </c>
      <c r="U447" s="7">
        <v>0.59</v>
      </c>
      <c r="V447" s="12">
        <f t="shared" si="9"/>
        <v>40642</v>
      </c>
      <c r="W447">
        <f>IF(D447=' Pivot Tables'!$A$4,1,0)</f>
        <v>0</v>
      </c>
      <c r="X447">
        <f>IF(AND(LEFT(D447,4)+1=LEFT(' Pivot Tables'!$A$4,4)+0,RIGHT(LEFT(D447,7),2)=RIGHT(LEFT(' Pivot Tables'!$A$4,7),2)),1,0)</f>
        <v>0</v>
      </c>
      <c r="Y447" s="6">
        <f>1/COUNTIF(Таблица1[Order ID],Таблица1[[#This Row],[Order ID]])</f>
        <v>0.25</v>
      </c>
      <c r="Z447" s="9">
        <f>1/COUNTIFS(Таблица1[Customer Name],Таблица1[[#This Row],[Customer Name]],Таблица1[Order-Year-Month],Таблица1[[#This Row],[Order-Year-Month]])</f>
        <v>0.14285714285714285</v>
      </c>
    </row>
    <row r="448" spans="1:26" x14ac:dyDescent="0.2">
      <c r="A448" s="6">
        <v>7421</v>
      </c>
      <c r="B448" s="7">
        <v>52929</v>
      </c>
      <c r="C448" s="8">
        <f>DATE(2012,12,31)-633</f>
        <v>40641</v>
      </c>
      <c r="D448" s="8" t="str">
        <f t="shared" si="6"/>
        <v>2011-04 (апрель 2011)</v>
      </c>
      <c r="E448" s="9" t="s">
        <v>30</v>
      </c>
      <c r="F448" s="7">
        <v>7</v>
      </c>
      <c r="G448" s="7">
        <v>46.94</v>
      </c>
      <c r="H448" s="7">
        <v>0.02</v>
      </c>
      <c r="I448" s="9" t="s">
        <v>22</v>
      </c>
      <c r="J448" s="10">
        <v>7.34</v>
      </c>
      <c r="K448" s="11">
        <v>6.47</v>
      </c>
      <c r="L448" s="11">
        <v>1.22</v>
      </c>
      <c r="M448" s="9" t="s">
        <v>23</v>
      </c>
      <c r="N448" s="6" t="s">
        <v>173</v>
      </c>
      <c r="O448" s="6" t="s">
        <v>173</v>
      </c>
      <c r="P448" s="9" t="s">
        <v>25</v>
      </c>
      <c r="Q448" s="9" t="s">
        <v>26</v>
      </c>
      <c r="R448" s="9" t="s">
        <v>95</v>
      </c>
      <c r="S448" s="7" t="s">
        <v>491</v>
      </c>
      <c r="T448" s="9" t="s">
        <v>68</v>
      </c>
      <c r="U448" s="7">
        <v>0.4</v>
      </c>
      <c r="V448" s="12">
        <f t="shared" si="9"/>
        <v>40642</v>
      </c>
      <c r="W448">
        <f>IF(D448=' Pivot Tables'!$A$4,1,0)</f>
        <v>0</v>
      </c>
      <c r="X448">
        <f>IF(AND(LEFT(D448,4)+1=LEFT(' Pivot Tables'!$A$4,4)+0,RIGHT(LEFT(D448,7),2)=RIGHT(LEFT(' Pivot Tables'!$A$4,7),2)),1,0)</f>
        <v>0</v>
      </c>
      <c r="Y448" s="6">
        <f>1/COUNTIF(Таблица1[Order ID],Таблица1[[#This Row],[Order ID]])</f>
        <v>0.25</v>
      </c>
      <c r="Z448" s="9">
        <f>1/COUNTIFS(Таблица1[Customer Name],Таблица1[[#This Row],[Customer Name]],Таблица1[Order-Year-Month],Таблица1[[#This Row],[Order-Year-Month]])</f>
        <v>0.14285714285714285</v>
      </c>
    </row>
    <row r="449" spans="1:26" x14ac:dyDescent="0.2">
      <c r="A449" s="6">
        <v>7422</v>
      </c>
      <c r="B449" s="7">
        <v>52929</v>
      </c>
      <c r="C449" s="8">
        <f>DATE(2012,12,31)-633</f>
        <v>40641</v>
      </c>
      <c r="D449" s="8" t="str">
        <f t="shared" si="6"/>
        <v>2011-04 (апрель 2011)</v>
      </c>
      <c r="E449" s="9" t="s">
        <v>30</v>
      </c>
      <c r="F449" s="7">
        <v>20</v>
      </c>
      <c r="G449" s="7">
        <v>77.989999999999995</v>
      </c>
      <c r="H449" s="7">
        <v>0.03</v>
      </c>
      <c r="I449" s="9" t="s">
        <v>22</v>
      </c>
      <c r="J449" s="10">
        <v>19.68</v>
      </c>
      <c r="K449" s="11">
        <v>3.93</v>
      </c>
      <c r="L449" s="11">
        <v>0.99</v>
      </c>
      <c r="M449" s="9" t="s">
        <v>23</v>
      </c>
      <c r="N449" s="6" t="s">
        <v>173</v>
      </c>
      <c r="O449" s="6" t="s">
        <v>173</v>
      </c>
      <c r="P449" s="9" t="s">
        <v>25</v>
      </c>
      <c r="Q449" s="9" t="s">
        <v>26</v>
      </c>
      <c r="R449" s="9" t="s">
        <v>66</v>
      </c>
      <c r="S449" s="7" t="s">
        <v>386</v>
      </c>
      <c r="T449" s="9" t="s">
        <v>68</v>
      </c>
      <c r="U449" s="7">
        <v>0.39</v>
      </c>
      <c r="V449" s="12">
        <f t="shared" si="9"/>
        <v>40642</v>
      </c>
      <c r="W449">
        <f>IF(D449=' Pivot Tables'!$A$4,1,0)</f>
        <v>0</v>
      </c>
      <c r="X449">
        <f>IF(AND(LEFT(D449,4)+1=LEFT(' Pivot Tables'!$A$4,4)+0,RIGHT(LEFT(D449,7),2)=RIGHT(LEFT(' Pivot Tables'!$A$4,7),2)),1,0)</f>
        <v>0</v>
      </c>
      <c r="Y449" s="6">
        <f>1/COUNTIF(Таблица1[Order ID],Таблица1[[#This Row],[Order ID]])</f>
        <v>0.25</v>
      </c>
      <c r="Z449" s="9">
        <f>1/COUNTIFS(Таблица1[Customer Name],Таблица1[[#This Row],[Customer Name]],Таблица1[Order-Year-Month],Таблица1[[#This Row],[Order-Year-Month]])</f>
        <v>0.14285714285714285</v>
      </c>
    </row>
    <row r="450" spans="1:26" x14ac:dyDescent="0.2">
      <c r="A450" s="6">
        <v>7430</v>
      </c>
      <c r="B450" s="7">
        <v>52964</v>
      </c>
      <c r="C450" s="8">
        <f>DATE(2012,12,31)-1006</f>
        <v>40268</v>
      </c>
      <c r="D450" s="8" t="str">
        <f t="shared" si="6"/>
        <v>2010-03 (март 2010)</v>
      </c>
      <c r="E450" s="9" t="s">
        <v>78</v>
      </c>
      <c r="F450" s="7">
        <v>44</v>
      </c>
      <c r="G450" s="7">
        <v>5735.79</v>
      </c>
      <c r="H450" s="7">
        <v>0.08</v>
      </c>
      <c r="I450" s="9" t="s">
        <v>22</v>
      </c>
      <c r="J450" s="10">
        <v>828.27</v>
      </c>
      <c r="K450" s="11">
        <v>136.97999999999999</v>
      </c>
      <c r="L450" s="11">
        <v>24.49</v>
      </c>
      <c r="M450" s="9" t="s">
        <v>85</v>
      </c>
      <c r="N450" s="6" t="s">
        <v>173</v>
      </c>
      <c r="O450" s="6" t="s">
        <v>173</v>
      </c>
      <c r="P450" s="9" t="s">
        <v>41</v>
      </c>
      <c r="Q450" s="9" t="s">
        <v>49</v>
      </c>
      <c r="R450" s="9" t="s">
        <v>50</v>
      </c>
      <c r="S450" s="7" t="s">
        <v>480</v>
      </c>
      <c r="T450" s="9" t="s">
        <v>29</v>
      </c>
      <c r="U450" s="7">
        <v>0.59</v>
      </c>
      <c r="V450" s="12">
        <f t="shared" si="9"/>
        <v>40269</v>
      </c>
      <c r="W450">
        <f>IF(D450=' Pivot Tables'!$A$4,1,0)</f>
        <v>0</v>
      </c>
      <c r="X450">
        <f>IF(AND(LEFT(D450,4)+1=LEFT(' Pivot Tables'!$A$4,4)+0,RIGHT(LEFT(D450,7),2)=RIGHT(LEFT(' Pivot Tables'!$A$4,7),2)),1,0)</f>
        <v>0</v>
      </c>
      <c r="Y450" s="6">
        <f>1/COUNTIF(Таблица1[Order ID],Таблица1[[#This Row],[Order ID]])</f>
        <v>1</v>
      </c>
      <c r="Z450" s="9">
        <f>1/COUNTIFS(Таблица1[Customer Name],Таблица1[[#This Row],[Customer Name]],Таблица1[Order-Year-Month],Таблица1[[#This Row],[Order-Year-Month]])</f>
        <v>1</v>
      </c>
    </row>
    <row r="451" spans="1:26" x14ac:dyDescent="0.2">
      <c r="A451" s="6">
        <v>7453</v>
      </c>
      <c r="B451" s="7">
        <v>53156</v>
      </c>
      <c r="C451" s="8">
        <f>DATE(2012,12,31)-296</f>
        <v>40978</v>
      </c>
      <c r="D451" s="8" t="str">
        <f t="shared" ref="D451:D514" si="10">TEXT(C451,"гггг-ММ (ММММ гггг)")</f>
        <v>2012-03 (март 2012)</v>
      </c>
      <c r="E451" s="9" t="s">
        <v>45</v>
      </c>
      <c r="F451" s="7">
        <v>47</v>
      </c>
      <c r="G451" s="7">
        <v>186.93</v>
      </c>
      <c r="H451" s="7">
        <v>7.0000000000000007E-2</v>
      </c>
      <c r="I451" s="9" t="s">
        <v>22</v>
      </c>
      <c r="J451" s="10">
        <v>56.44</v>
      </c>
      <c r="K451" s="11">
        <v>4.13</v>
      </c>
      <c r="L451" s="11">
        <v>0.99</v>
      </c>
      <c r="M451" s="9" t="s">
        <v>179</v>
      </c>
      <c r="N451" s="6" t="s">
        <v>173</v>
      </c>
      <c r="O451" s="6" t="s">
        <v>173</v>
      </c>
      <c r="P451" s="9" t="s">
        <v>41</v>
      </c>
      <c r="Q451" s="9" t="s">
        <v>26</v>
      </c>
      <c r="R451" s="9" t="s">
        <v>88</v>
      </c>
      <c r="S451" s="7" t="s">
        <v>492</v>
      </c>
      <c r="T451" s="9" t="s">
        <v>39</v>
      </c>
      <c r="U451" s="7">
        <v>0.39</v>
      </c>
      <c r="V451" s="12">
        <f t="shared" si="9"/>
        <v>40979</v>
      </c>
      <c r="W451">
        <f>IF(D451=' Pivot Tables'!$A$4,1,0)</f>
        <v>0</v>
      </c>
      <c r="X451">
        <f>IF(AND(LEFT(D451,4)+1=LEFT(' Pivot Tables'!$A$4,4)+0,RIGHT(LEFT(D451,7),2)=RIGHT(LEFT(' Pivot Tables'!$A$4,7),2)),1,0)</f>
        <v>0</v>
      </c>
      <c r="Y451" s="6">
        <f>1/COUNTIF(Таблица1[Order ID],Таблица1[[#This Row],[Order ID]])</f>
        <v>1</v>
      </c>
      <c r="Z451" s="9">
        <f>1/COUNTIFS(Таблица1[Customer Name],Таблица1[[#This Row],[Customer Name]],Таблица1[Order-Year-Month],Таблица1[[#This Row],[Order-Year-Month]])</f>
        <v>1</v>
      </c>
    </row>
    <row r="452" spans="1:26" x14ac:dyDescent="0.2">
      <c r="A452" s="6">
        <v>7500</v>
      </c>
      <c r="B452" s="7">
        <v>53511</v>
      </c>
      <c r="C452" s="8">
        <f>DATE(2012,12,31)-1410</f>
        <v>39864</v>
      </c>
      <c r="D452" s="8" t="str">
        <f t="shared" si="10"/>
        <v>2009-02 (февраль 2009)</v>
      </c>
      <c r="E452" s="9" t="s">
        <v>63</v>
      </c>
      <c r="F452" s="7">
        <v>41</v>
      </c>
      <c r="G452" s="7">
        <v>241.1</v>
      </c>
      <c r="H452" s="7">
        <v>7.0000000000000007E-2</v>
      </c>
      <c r="I452" s="9" t="s">
        <v>22</v>
      </c>
      <c r="J452" s="10">
        <v>-243.23649999999998</v>
      </c>
      <c r="K452" s="11">
        <v>5.81</v>
      </c>
      <c r="L452" s="11">
        <v>8.49</v>
      </c>
      <c r="M452" s="9" t="s">
        <v>196</v>
      </c>
      <c r="N452" s="6" t="s">
        <v>173</v>
      </c>
      <c r="O452" s="6" t="s">
        <v>173</v>
      </c>
      <c r="P452" s="9" t="s">
        <v>25</v>
      </c>
      <c r="Q452" s="9" t="s">
        <v>26</v>
      </c>
      <c r="R452" s="9" t="s">
        <v>37</v>
      </c>
      <c r="S452" s="7" t="s">
        <v>213</v>
      </c>
      <c r="T452" s="9" t="s">
        <v>39</v>
      </c>
      <c r="U452" s="7">
        <v>0.39</v>
      </c>
      <c r="V452" s="12">
        <f>C452+2</f>
        <v>39866</v>
      </c>
      <c r="W452">
        <f>IF(D452=' Pivot Tables'!$A$4,1,0)</f>
        <v>0</v>
      </c>
      <c r="X452">
        <f>IF(AND(LEFT(D452,4)+1=LEFT(' Pivot Tables'!$A$4,4)+0,RIGHT(LEFT(D452,7),2)=RIGHT(LEFT(' Pivot Tables'!$A$4,7),2)),1,0)</f>
        <v>0</v>
      </c>
      <c r="Y452" s="6">
        <f>1/COUNTIF(Таблица1[Order ID],Таблица1[[#This Row],[Order ID]])</f>
        <v>0.5</v>
      </c>
      <c r="Z452" s="9">
        <f>1/COUNTIFS(Таблица1[Customer Name],Таблица1[[#This Row],[Customer Name]],Таблица1[Order-Year-Month],Таблица1[[#This Row],[Order-Year-Month]])</f>
        <v>0.33333333333333331</v>
      </c>
    </row>
    <row r="453" spans="1:26" x14ac:dyDescent="0.2">
      <c r="A453" s="6">
        <v>7501</v>
      </c>
      <c r="B453" s="7">
        <v>53511</v>
      </c>
      <c r="C453" s="8">
        <f>DATE(2012,12,31)-1410</f>
        <v>39864</v>
      </c>
      <c r="D453" s="8" t="str">
        <f t="shared" si="10"/>
        <v>2009-02 (февраль 2009)</v>
      </c>
      <c r="E453" s="9" t="s">
        <v>63</v>
      </c>
      <c r="F453" s="7">
        <v>49</v>
      </c>
      <c r="G453" s="7">
        <v>491.93</v>
      </c>
      <c r="H453" s="7">
        <v>0.04</v>
      </c>
      <c r="I453" s="9" t="s">
        <v>22</v>
      </c>
      <c r="J453" s="10">
        <v>-53.62</v>
      </c>
      <c r="K453" s="11">
        <v>9.65</v>
      </c>
      <c r="L453" s="11">
        <v>6.22</v>
      </c>
      <c r="M453" s="9" t="s">
        <v>196</v>
      </c>
      <c r="N453" s="6" t="s">
        <v>173</v>
      </c>
      <c r="O453" s="6" t="s">
        <v>173</v>
      </c>
      <c r="P453" s="9" t="s">
        <v>25</v>
      </c>
      <c r="Q453" s="9" t="s">
        <v>49</v>
      </c>
      <c r="R453" s="9" t="s">
        <v>50</v>
      </c>
      <c r="S453" s="7" t="s">
        <v>138</v>
      </c>
      <c r="T453" s="9" t="s">
        <v>39</v>
      </c>
      <c r="U453" s="7">
        <v>0.55000000000000004</v>
      </c>
      <c r="V453" s="12">
        <f>C453+1</f>
        <v>39865</v>
      </c>
      <c r="W453">
        <f>IF(D453=' Pivot Tables'!$A$4,1,0)</f>
        <v>0</v>
      </c>
      <c r="X453">
        <f>IF(AND(LEFT(D453,4)+1=LEFT(' Pivot Tables'!$A$4,4)+0,RIGHT(LEFT(D453,7),2)=RIGHT(LEFT(' Pivot Tables'!$A$4,7),2)),1,0)</f>
        <v>0</v>
      </c>
      <c r="Y453" s="6">
        <f>1/COUNTIF(Таблица1[Order ID],Таблица1[[#This Row],[Order ID]])</f>
        <v>0.5</v>
      </c>
      <c r="Z453" s="9">
        <f>1/COUNTIFS(Таблица1[Customer Name],Таблица1[[#This Row],[Customer Name]],Таблица1[Order-Year-Month],Таблица1[[#This Row],[Order-Year-Month]])</f>
        <v>0.33333333333333331</v>
      </c>
    </row>
    <row r="454" spans="1:26" x14ac:dyDescent="0.2">
      <c r="A454" s="6">
        <v>7530</v>
      </c>
      <c r="B454" s="7">
        <v>53797</v>
      </c>
      <c r="C454" s="8">
        <f>DATE(2012,12,31)-1187</f>
        <v>40087</v>
      </c>
      <c r="D454" s="8" t="str">
        <f t="shared" si="10"/>
        <v>2009-10 (октябрь 2009)</v>
      </c>
      <c r="E454" s="9" t="s">
        <v>78</v>
      </c>
      <c r="F454" s="7">
        <v>10</v>
      </c>
      <c r="G454" s="7">
        <v>623.71</v>
      </c>
      <c r="H454" s="7">
        <v>0.01</v>
      </c>
      <c r="I454" s="9" t="s">
        <v>31</v>
      </c>
      <c r="J454" s="10">
        <v>-213.32</v>
      </c>
      <c r="K454" s="11">
        <v>58.14</v>
      </c>
      <c r="L454" s="11">
        <v>36.61</v>
      </c>
      <c r="M454" s="9" t="s">
        <v>190</v>
      </c>
      <c r="N454" s="6" t="s">
        <v>173</v>
      </c>
      <c r="O454" s="6" t="s">
        <v>173</v>
      </c>
      <c r="P454" s="9" t="s">
        <v>25</v>
      </c>
      <c r="Q454" s="9" t="s">
        <v>49</v>
      </c>
      <c r="R454" s="9" t="s">
        <v>80</v>
      </c>
      <c r="S454" s="7" t="s">
        <v>233</v>
      </c>
      <c r="T454" s="9" t="s">
        <v>82</v>
      </c>
      <c r="U454" s="7">
        <v>0.61</v>
      </c>
      <c r="V454" s="12">
        <f>C454+0</f>
        <v>40087</v>
      </c>
      <c r="W454">
        <f>IF(D454=' Pivot Tables'!$A$4,1,0)</f>
        <v>0</v>
      </c>
      <c r="X454">
        <f>IF(AND(LEFT(D454,4)+1=LEFT(' Pivot Tables'!$A$4,4)+0,RIGHT(LEFT(D454,7),2)=RIGHT(LEFT(' Pivot Tables'!$A$4,7),2)),1,0)</f>
        <v>0</v>
      </c>
      <c r="Y454" s="6">
        <f>1/COUNTIF(Таблица1[Order ID],Таблица1[[#This Row],[Order ID]])</f>
        <v>1</v>
      </c>
      <c r="Z454" s="9">
        <f>1/COUNTIFS(Таблица1[Customer Name],Таблица1[[#This Row],[Customer Name]],Таблица1[Order-Year-Month],Таблица1[[#This Row],[Order-Year-Month]])</f>
        <v>1</v>
      </c>
    </row>
    <row r="455" spans="1:26" x14ac:dyDescent="0.2">
      <c r="A455" s="6">
        <v>7548</v>
      </c>
      <c r="B455" s="7">
        <v>53990</v>
      </c>
      <c r="C455" s="8">
        <f>DATE(2012,12,31)-60</f>
        <v>41214</v>
      </c>
      <c r="D455" s="8" t="str">
        <f t="shared" si="10"/>
        <v>2012-11 (ноябрь 2012)</v>
      </c>
      <c r="E455" s="9" t="s">
        <v>45</v>
      </c>
      <c r="F455" s="7">
        <v>44</v>
      </c>
      <c r="G455" s="7">
        <v>4263.9315000000006</v>
      </c>
      <c r="H455" s="7">
        <v>0.04</v>
      </c>
      <c r="I455" s="9" t="s">
        <v>22</v>
      </c>
      <c r="J455" s="10">
        <v>1411.029</v>
      </c>
      <c r="K455" s="11">
        <v>110.99</v>
      </c>
      <c r="L455" s="11">
        <v>2.5</v>
      </c>
      <c r="M455" s="9" t="s">
        <v>69</v>
      </c>
      <c r="N455" s="6" t="s">
        <v>173</v>
      </c>
      <c r="O455" s="6" t="s">
        <v>173</v>
      </c>
      <c r="P455" s="9" t="s">
        <v>41</v>
      </c>
      <c r="Q455" s="9" t="s">
        <v>42</v>
      </c>
      <c r="R455" s="9" t="s">
        <v>43</v>
      </c>
      <c r="S455" s="7" t="s">
        <v>493</v>
      </c>
      <c r="T455" s="9" t="s">
        <v>39</v>
      </c>
      <c r="U455" s="7">
        <v>0.56999999999999995</v>
      </c>
      <c r="V455" s="12">
        <f>C455+1</f>
        <v>41215</v>
      </c>
      <c r="W455">
        <f>IF(D455=' Pivot Tables'!$A$4,1,0)</f>
        <v>0</v>
      </c>
      <c r="X455">
        <f>IF(AND(LEFT(D455,4)+1=LEFT(' Pivot Tables'!$A$4,4)+0,RIGHT(LEFT(D455,7),2)=RIGHT(LEFT(' Pivot Tables'!$A$4,7),2)),1,0)</f>
        <v>0</v>
      </c>
      <c r="Y455" s="6">
        <f>1/COUNTIF(Таблица1[Order ID],Таблица1[[#This Row],[Order ID]])</f>
        <v>1</v>
      </c>
      <c r="Z455" s="9">
        <f>1/COUNTIFS(Таблица1[Customer Name],Таблица1[[#This Row],[Customer Name]],Таблица1[Order-Year-Month],Таблица1[[#This Row],[Order-Year-Month]])</f>
        <v>1</v>
      </c>
    </row>
    <row r="456" spans="1:26" x14ac:dyDescent="0.2">
      <c r="A456" s="6">
        <v>7559</v>
      </c>
      <c r="B456" s="7">
        <v>54083</v>
      </c>
      <c r="C456" s="8">
        <f>DATE(2012,12,31)-529</f>
        <v>40745</v>
      </c>
      <c r="D456" s="8" t="str">
        <f t="shared" si="10"/>
        <v>2011-07 (июль 2011)</v>
      </c>
      <c r="E456" s="9" t="s">
        <v>30</v>
      </c>
      <c r="F456" s="7">
        <v>10</v>
      </c>
      <c r="G456" s="7">
        <v>2700.41</v>
      </c>
      <c r="H456" s="7">
        <v>0.08</v>
      </c>
      <c r="I456" s="9" t="s">
        <v>31</v>
      </c>
      <c r="J456" s="10">
        <v>258.01</v>
      </c>
      <c r="K456" s="11">
        <v>279.81</v>
      </c>
      <c r="L456" s="11">
        <v>23.19</v>
      </c>
      <c r="M456" s="9" t="s">
        <v>94</v>
      </c>
      <c r="N456" s="6" t="s">
        <v>173</v>
      </c>
      <c r="O456" s="6" t="s">
        <v>173</v>
      </c>
      <c r="P456" s="9" t="s">
        <v>60</v>
      </c>
      <c r="Q456" s="9" t="s">
        <v>26</v>
      </c>
      <c r="R456" s="9" t="s">
        <v>34</v>
      </c>
      <c r="S456" s="7" t="s">
        <v>494</v>
      </c>
      <c r="T456" s="9" t="s">
        <v>36</v>
      </c>
      <c r="U456" s="7">
        <v>0.59</v>
      </c>
      <c r="V456" s="12">
        <f>C456+2</f>
        <v>40747</v>
      </c>
      <c r="W456">
        <f>IF(D456=' Pivot Tables'!$A$4,1,0)</f>
        <v>0</v>
      </c>
      <c r="X456">
        <f>IF(AND(LEFT(D456,4)+1=LEFT(' Pivot Tables'!$A$4,4)+0,RIGHT(LEFT(D456,7),2)=RIGHT(LEFT(' Pivot Tables'!$A$4,7),2)),1,0)</f>
        <v>0</v>
      </c>
      <c r="Y456" s="6">
        <f>1/COUNTIF(Таблица1[Order ID],Таблица1[[#This Row],[Order ID]])</f>
        <v>1</v>
      </c>
      <c r="Z456" s="9">
        <f>1/COUNTIFS(Таблица1[Customer Name],Таблица1[[#This Row],[Customer Name]],Таблица1[Order-Year-Month],Таблица1[[#This Row],[Order-Year-Month]])</f>
        <v>1</v>
      </c>
    </row>
    <row r="457" spans="1:26" x14ac:dyDescent="0.2">
      <c r="A457" s="6">
        <v>7584</v>
      </c>
      <c r="B457" s="7">
        <v>54274</v>
      </c>
      <c r="C457" s="8">
        <f>DATE(2012,12,31)-769</f>
        <v>40505</v>
      </c>
      <c r="D457" s="8" t="str">
        <f t="shared" si="10"/>
        <v>2010-11 (ноябрь 2010)</v>
      </c>
      <c r="E457" s="9" t="s">
        <v>45</v>
      </c>
      <c r="F457" s="7">
        <v>20</v>
      </c>
      <c r="G457" s="7">
        <v>1583.06</v>
      </c>
      <c r="H457" s="7">
        <v>0.05</v>
      </c>
      <c r="I457" s="9" t="s">
        <v>22</v>
      </c>
      <c r="J457" s="10">
        <v>328</v>
      </c>
      <c r="K457" s="11">
        <v>78.650000000000006</v>
      </c>
      <c r="L457" s="11">
        <v>13.99</v>
      </c>
      <c r="M457" s="9" t="s">
        <v>133</v>
      </c>
      <c r="N457" s="6" t="s">
        <v>173</v>
      </c>
      <c r="O457" s="6" t="s">
        <v>173</v>
      </c>
      <c r="P457" s="9" t="s">
        <v>41</v>
      </c>
      <c r="Q457" s="9" t="s">
        <v>26</v>
      </c>
      <c r="R457" s="9" t="s">
        <v>34</v>
      </c>
      <c r="S457" s="7" t="s">
        <v>495</v>
      </c>
      <c r="T457" s="9" t="s">
        <v>48</v>
      </c>
      <c r="U457" s="7">
        <v>0.52</v>
      </c>
      <c r="V457" s="12">
        <f>C457+2</f>
        <v>40507</v>
      </c>
      <c r="W457">
        <f>IF(D457=' Pivot Tables'!$A$4,1,0)</f>
        <v>0</v>
      </c>
      <c r="X457">
        <f>IF(AND(LEFT(D457,4)+1=LEFT(' Pivot Tables'!$A$4,4)+0,RIGHT(LEFT(D457,7),2)=RIGHT(LEFT(' Pivot Tables'!$A$4,7),2)),1,0)</f>
        <v>0</v>
      </c>
      <c r="Y457" s="6">
        <f>1/COUNTIF(Таблица1[Order ID],Таблица1[[#This Row],[Order ID]])</f>
        <v>1</v>
      </c>
      <c r="Z457" s="9">
        <f>1/COUNTIFS(Таблица1[Customer Name],Таблица1[[#This Row],[Customer Name]],Таблица1[Order-Year-Month],Таблица1[[#This Row],[Order-Year-Month]])</f>
        <v>1</v>
      </c>
    </row>
    <row r="458" spans="1:26" x14ac:dyDescent="0.2">
      <c r="A458" s="6">
        <v>7585</v>
      </c>
      <c r="B458" s="7">
        <v>54276</v>
      </c>
      <c r="C458" s="8">
        <f>DATE(2012,12,31)-1059</f>
        <v>40215</v>
      </c>
      <c r="D458" s="8" t="str">
        <f t="shared" si="10"/>
        <v>2010-02 (февраль 2010)</v>
      </c>
      <c r="E458" s="9" t="s">
        <v>45</v>
      </c>
      <c r="F458" s="7">
        <v>21</v>
      </c>
      <c r="G458" s="7">
        <v>756.6</v>
      </c>
      <c r="H458" s="7">
        <v>0</v>
      </c>
      <c r="I458" s="9" t="s">
        <v>22</v>
      </c>
      <c r="J458" s="10">
        <v>299.58999999999997</v>
      </c>
      <c r="K458" s="11">
        <v>35.44</v>
      </c>
      <c r="L458" s="11">
        <v>4.92</v>
      </c>
      <c r="M458" s="9" t="s">
        <v>281</v>
      </c>
      <c r="N458" s="6" t="s">
        <v>173</v>
      </c>
      <c r="O458" s="6" t="s">
        <v>173</v>
      </c>
      <c r="P458" s="9" t="s">
        <v>25</v>
      </c>
      <c r="Q458" s="9" t="s">
        <v>26</v>
      </c>
      <c r="R458" s="9" t="s">
        <v>61</v>
      </c>
      <c r="S458" s="7" t="s">
        <v>496</v>
      </c>
      <c r="T458" s="9" t="s">
        <v>39</v>
      </c>
      <c r="U458" s="7">
        <v>0.38</v>
      </c>
      <c r="V458" s="12">
        <f>C458+1</f>
        <v>40216</v>
      </c>
      <c r="W458">
        <f>IF(D458=' Pivot Tables'!$A$4,1,0)</f>
        <v>0</v>
      </c>
      <c r="X458">
        <f>IF(AND(LEFT(D458,4)+1=LEFT(' Pivot Tables'!$A$4,4)+0,RIGHT(LEFT(D458,7),2)=RIGHT(LEFT(' Pivot Tables'!$A$4,7),2)),1,0)</f>
        <v>0</v>
      </c>
      <c r="Y458" s="6">
        <f>1/COUNTIF(Таблица1[Order ID],Таблица1[[#This Row],[Order ID]])</f>
        <v>1</v>
      </c>
      <c r="Z458" s="9">
        <f>1/COUNTIFS(Таблица1[Customer Name],Таблица1[[#This Row],[Customer Name]],Таблица1[Order-Year-Month],Таблица1[[#This Row],[Order-Year-Month]])</f>
        <v>1</v>
      </c>
    </row>
    <row r="459" spans="1:26" x14ac:dyDescent="0.2">
      <c r="A459" s="6">
        <v>7620</v>
      </c>
      <c r="B459" s="7">
        <v>54528</v>
      </c>
      <c r="C459" s="8">
        <f>DATE(2012,12,31)-727</f>
        <v>40547</v>
      </c>
      <c r="D459" s="8" t="str">
        <f t="shared" si="10"/>
        <v>2011-01 (январь 2011)</v>
      </c>
      <c r="E459" s="9" t="s">
        <v>63</v>
      </c>
      <c r="F459" s="7">
        <v>17</v>
      </c>
      <c r="G459" s="7">
        <v>207.19</v>
      </c>
      <c r="H459" s="7">
        <v>0.01</v>
      </c>
      <c r="I459" s="9" t="s">
        <v>22</v>
      </c>
      <c r="J459" s="10">
        <v>-85.91</v>
      </c>
      <c r="K459" s="11">
        <v>11.66</v>
      </c>
      <c r="L459" s="11">
        <v>8.99</v>
      </c>
      <c r="M459" s="9" t="s">
        <v>497</v>
      </c>
      <c r="N459" s="6" t="s">
        <v>173</v>
      </c>
      <c r="O459" s="6" t="s">
        <v>173</v>
      </c>
      <c r="P459" s="9" t="s">
        <v>33</v>
      </c>
      <c r="Q459" s="9" t="s">
        <v>26</v>
      </c>
      <c r="R459" s="9" t="s">
        <v>95</v>
      </c>
      <c r="S459" s="7" t="s">
        <v>498</v>
      </c>
      <c r="T459" s="9" t="s">
        <v>52</v>
      </c>
      <c r="U459" s="7">
        <v>0.59</v>
      </c>
      <c r="V459" s="12">
        <f>C459+2</f>
        <v>40549</v>
      </c>
      <c r="W459">
        <f>IF(D459=' Pivot Tables'!$A$4,1,0)</f>
        <v>0</v>
      </c>
      <c r="X459">
        <f>IF(AND(LEFT(D459,4)+1=LEFT(' Pivot Tables'!$A$4,4)+0,RIGHT(LEFT(D459,7),2)=RIGHT(LEFT(' Pivot Tables'!$A$4,7),2)),1,0)</f>
        <v>0</v>
      </c>
      <c r="Y459" s="6">
        <f>1/COUNTIF(Таблица1[Order ID],Таблица1[[#This Row],[Order ID]])</f>
        <v>0.33333333333333331</v>
      </c>
      <c r="Z459" s="9">
        <f>1/COUNTIFS(Таблица1[Customer Name],Таблица1[[#This Row],[Customer Name]],Таблица1[Order-Year-Month],Таблица1[[#This Row],[Order-Year-Month]])</f>
        <v>0.16666666666666666</v>
      </c>
    </row>
    <row r="460" spans="1:26" x14ac:dyDescent="0.2">
      <c r="A460" s="6">
        <v>7621</v>
      </c>
      <c r="B460" s="7">
        <v>54528</v>
      </c>
      <c r="C460" s="8">
        <f>DATE(2012,12,31)-727</f>
        <v>40547</v>
      </c>
      <c r="D460" s="8" t="str">
        <f t="shared" si="10"/>
        <v>2011-01 (январь 2011)</v>
      </c>
      <c r="E460" s="9" t="s">
        <v>63</v>
      </c>
      <c r="F460" s="7">
        <v>8</v>
      </c>
      <c r="G460" s="7">
        <v>88</v>
      </c>
      <c r="H460" s="7">
        <v>0.06</v>
      </c>
      <c r="I460" s="9" t="s">
        <v>22</v>
      </c>
      <c r="J460" s="10">
        <v>-6.38</v>
      </c>
      <c r="K460" s="11">
        <v>10.48</v>
      </c>
      <c r="L460" s="11">
        <v>2.89</v>
      </c>
      <c r="M460" s="9" t="s">
        <v>497</v>
      </c>
      <c r="N460" s="6" t="s">
        <v>173</v>
      </c>
      <c r="O460" s="6" t="s">
        <v>173</v>
      </c>
      <c r="P460" s="9" t="s">
        <v>33</v>
      </c>
      <c r="Q460" s="9" t="s">
        <v>26</v>
      </c>
      <c r="R460" s="9" t="s">
        <v>95</v>
      </c>
      <c r="S460" s="7" t="s">
        <v>499</v>
      </c>
      <c r="T460" s="9" t="s">
        <v>52</v>
      </c>
      <c r="U460" s="7">
        <v>0.6</v>
      </c>
      <c r="V460" s="12">
        <f>C460+2</f>
        <v>40549</v>
      </c>
      <c r="W460">
        <f>IF(D460=' Pivot Tables'!$A$4,1,0)</f>
        <v>0</v>
      </c>
      <c r="X460">
        <f>IF(AND(LEFT(D460,4)+1=LEFT(' Pivot Tables'!$A$4,4)+0,RIGHT(LEFT(D460,7),2)=RIGHT(LEFT(' Pivot Tables'!$A$4,7),2)),1,0)</f>
        <v>0</v>
      </c>
      <c r="Y460" s="6">
        <f>1/COUNTIF(Таблица1[Order ID],Таблица1[[#This Row],[Order ID]])</f>
        <v>0.33333333333333331</v>
      </c>
      <c r="Z460" s="9">
        <f>1/COUNTIFS(Таблица1[Customer Name],Таблица1[[#This Row],[Customer Name]],Таблица1[Order-Year-Month],Таблица1[[#This Row],[Order-Year-Month]])</f>
        <v>0.16666666666666666</v>
      </c>
    </row>
    <row r="461" spans="1:26" x14ac:dyDescent="0.2">
      <c r="A461" s="6">
        <v>7628</v>
      </c>
      <c r="B461" s="7">
        <v>54567</v>
      </c>
      <c r="C461" s="8">
        <f>DATE(2012,12,31)-1247</f>
        <v>40027</v>
      </c>
      <c r="D461" s="8" t="str">
        <f t="shared" si="10"/>
        <v>2009-08 (август 2009)</v>
      </c>
      <c r="E461" s="9" t="s">
        <v>63</v>
      </c>
      <c r="F461" s="7">
        <v>31</v>
      </c>
      <c r="G461" s="7">
        <v>196.74</v>
      </c>
      <c r="H461" s="7">
        <v>0.09</v>
      </c>
      <c r="I461" s="9" t="s">
        <v>22</v>
      </c>
      <c r="J461" s="10">
        <v>-61.59</v>
      </c>
      <c r="K461" s="11">
        <v>6.28</v>
      </c>
      <c r="L461" s="11">
        <v>5.41</v>
      </c>
      <c r="M461" s="9" t="s">
        <v>122</v>
      </c>
      <c r="N461" s="6" t="s">
        <v>173</v>
      </c>
      <c r="O461" s="6" t="s">
        <v>173</v>
      </c>
      <c r="P461" s="9" t="s">
        <v>25</v>
      </c>
      <c r="Q461" s="9" t="s">
        <v>49</v>
      </c>
      <c r="R461" s="9" t="s">
        <v>50</v>
      </c>
      <c r="S461" s="7" t="s">
        <v>500</v>
      </c>
      <c r="T461" s="9" t="s">
        <v>39</v>
      </c>
      <c r="U461" s="7">
        <v>0.53</v>
      </c>
      <c r="V461" s="12">
        <f>C461+2</f>
        <v>40029</v>
      </c>
      <c r="W461">
        <f>IF(D461=' Pivot Tables'!$A$4,1,0)</f>
        <v>0</v>
      </c>
      <c r="X461">
        <f>IF(AND(LEFT(D461,4)+1=LEFT(' Pivot Tables'!$A$4,4)+0,RIGHT(LEFT(D461,7),2)=RIGHT(LEFT(' Pivot Tables'!$A$4,7),2)),1,0)</f>
        <v>0</v>
      </c>
      <c r="Y461" s="6">
        <f>1/COUNTIF(Таблица1[Order ID],Таблица1[[#This Row],[Order ID]])</f>
        <v>1</v>
      </c>
      <c r="Z461" s="9">
        <f>1/COUNTIFS(Таблица1[Customer Name],Таблица1[[#This Row],[Customer Name]],Таблица1[Order-Year-Month],Таблица1[[#This Row],[Order-Year-Month]])</f>
        <v>0.5</v>
      </c>
    </row>
    <row r="462" spans="1:26" x14ac:dyDescent="0.2">
      <c r="A462" s="6">
        <v>7633</v>
      </c>
      <c r="B462" s="7">
        <v>54628</v>
      </c>
      <c r="C462" s="8">
        <f>DATE(2012,12,31)-940</f>
        <v>40334</v>
      </c>
      <c r="D462" s="8" t="str">
        <f t="shared" si="10"/>
        <v>2010-06 (июнь 2010)</v>
      </c>
      <c r="E462" s="9" t="s">
        <v>30</v>
      </c>
      <c r="F462" s="7">
        <v>21</v>
      </c>
      <c r="G462" s="7">
        <v>471.24</v>
      </c>
      <c r="H462" s="7">
        <v>7.0000000000000007E-2</v>
      </c>
      <c r="I462" s="9" t="s">
        <v>22</v>
      </c>
      <c r="J462" s="10">
        <v>115.54</v>
      </c>
      <c r="K462" s="11">
        <v>22.98</v>
      </c>
      <c r="L462" s="11">
        <v>1.99</v>
      </c>
      <c r="M462" s="9" t="s">
        <v>291</v>
      </c>
      <c r="N462" s="6" t="s">
        <v>173</v>
      </c>
      <c r="O462" s="6" t="s">
        <v>173</v>
      </c>
      <c r="P462" s="9" t="s">
        <v>60</v>
      </c>
      <c r="Q462" s="9" t="s">
        <v>42</v>
      </c>
      <c r="R462" s="9" t="s">
        <v>70</v>
      </c>
      <c r="S462" s="7" t="s">
        <v>501</v>
      </c>
      <c r="T462" s="9" t="s">
        <v>52</v>
      </c>
      <c r="U462" s="7">
        <v>0.46</v>
      </c>
      <c r="V462" s="12">
        <f>C462+1</f>
        <v>40335</v>
      </c>
      <c r="W462">
        <f>IF(D462=' Pivot Tables'!$A$4,1,0)</f>
        <v>0</v>
      </c>
      <c r="X462">
        <f>IF(AND(LEFT(D462,4)+1=LEFT(' Pivot Tables'!$A$4,4)+0,RIGHT(LEFT(D462,7),2)=RIGHT(LEFT(' Pivot Tables'!$A$4,7),2)),1,0)</f>
        <v>0</v>
      </c>
      <c r="Y462" s="6">
        <f>1/COUNTIF(Таблица1[Order ID],Таблица1[[#This Row],[Order ID]])</f>
        <v>1</v>
      </c>
      <c r="Z462" s="9">
        <f>1/COUNTIFS(Таблица1[Customer Name],Таблица1[[#This Row],[Customer Name]],Таблица1[Order-Year-Month],Таблица1[[#This Row],[Order-Year-Month]])</f>
        <v>1</v>
      </c>
    </row>
    <row r="463" spans="1:26" x14ac:dyDescent="0.2">
      <c r="A463" s="6">
        <v>7716</v>
      </c>
      <c r="B463" s="7">
        <v>55298</v>
      </c>
      <c r="C463" s="8">
        <f>DATE(2012,12,31)-1247</f>
        <v>40027</v>
      </c>
      <c r="D463" s="8" t="str">
        <f t="shared" si="10"/>
        <v>2009-08 (август 2009)</v>
      </c>
      <c r="E463" s="9" t="s">
        <v>78</v>
      </c>
      <c r="F463" s="7">
        <v>1</v>
      </c>
      <c r="G463" s="7">
        <v>368.66</v>
      </c>
      <c r="H463" s="7">
        <v>0.01</v>
      </c>
      <c r="I463" s="9" t="s">
        <v>31</v>
      </c>
      <c r="J463" s="10">
        <v>-165.6</v>
      </c>
      <c r="K463" s="11">
        <v>300.98</v>
      </c>
      <c r="L463" s="11">
        <v>64.73</v>
      </c>
      <c r="M463" s="9" t="s">
        <v>283</v>
      </c>
      <c r="N463" s="6" t="s">
        <v>173</v>
      </c>
      <c r="O463" s="6" t="s">
        <v>173</v>
      </c>
      <c r="P463" s="9" t="s">
        <v>41</v>
      </c>
      <c r="Q463" s="9" t="s">
        <v>49</v>
      </c>
      <c r="R463" s="9" t="s">
        <v>112</v>
      </c>
      <c r="S463" s="7" t="s">
        <v>168</v>
      </c>
      <c r="T463" s="9" t="s">
        <v>36</v>
      </c>
      <c r="U463" s="7">
        <v>0.56000000000000005</v>
      </c>
      <c r="V463" s="12">
        <f>C463+1</f>
        <v>40028</v>
      </c>
      <c r="W463">
        <f>IF(D463=' Pivot Tables'!$A$4,1,0)</f>
        <v>0</v>
      </c>
      <c r="X463">
        <f>IF(AND(LEFT(D463,4)+1=LEFT(' Pivot Tables'!$A$4,4)+0,RIGHT(LEFT(D463,7),2)=RIGHT(LEFT(' Pivot Tables'!$A$4,7),2)),1,0)</f>
        <v>0</v>
      </c>
      <c r="Y463" s="6">
        <f>1/COUNTIF(Таблица1[Order ID],Таблица1[[#This Row],[Order ID]])</f>
        <v>1</v>
      </c>
      <c r="Z463" s="9">
        <f>1/COUNTIFS(Таблица1[Customer Name],Таблица1[[#This Row],[Customer Name]],Таблица1[Order-Year-Month],Таблица1[[#This Row],[Order-Year-Month]])</f>
        <v>1</v>
      </c>
    </row>
    <row r="464" spans="1:26" x14ac:dyDescent="0.2">
      <c r="A464" s="6">
        <v>7729</v>
      </c>
      <c r="B464" s="7">
        <v>55363</v>
      </c>
      <c r="C464" s="8">
        <f>DATE(2012,12,31)-734</f>
        <v>40540</v>
      </c>
      <c r="D464" s="8" t="str">
        <f t="shared" si="10"/>
        <v>2010-12 (декабрь 2010)</v>
      </c>
      <c r="E464" s="9" t="s">
        <v>30</v>
      </c>
      <c r="F464" s="7">
        <v>14</v>
      </c>
      <c r="G464" s="7">
        <v>2232.06</v>
      </c>
      <c r="H464" s="7">
        <v>0.03</v>
      </c>
      <c r="I464" s="9" t="s">
        <v>22</v>
      </c>
      <c r="J464" s="10">
        <v>542.16</v>
      </c>
      <c r="K464" s="11">
        <v>155.06</v>
      </c>
      <c r="L464" s="11">
        <v>7.07</v>
      </c>
      <c r="M464" s="9" t="s">
        <v>497</v>
      </c>
      <c r="N464" s="6" t="s">
        <v>173</v>
      </c>
      <c r="O464" s="6" t="s">
        <v>173</v>
      </c>
      <c r="P464" s="9" t="s">
        <v>33</v>
      </c>
      <c r="Q464" s="9" t="s">
        <v>26</v>
      </c>
      <c r="R464" s="9" t="s">
        <v>27</v>
      </c>
      <c r="S464" s="7" t="s">
        <v>502</v>
      </c>
      <c r="T464" s="9" t="s">
        <v>39</v>
      </c>
      <c r="U464" s="7">
        <v>0.59</v>
      </c>
      <c r="V464" s="12">
        <f>C464+2</f>
        <v>40542</v>
      </c>
      <c r="W464">
        <f>IF(D464=' Pivot Tables'!$A$4,1,0)</f>
        <v>0</v>
      </c>
      <c r="X464">
        <f>IF(AND(LEFT(D464,4)+1=LEFT(' Pivot Tables'!$A$4,4)+0,RIGHT(LEFT(D464,7),2)=RIGHT(LEFT(' Pivot Tables'!$A$4,7),2)),1,0)</f>
        <v>0</v>
      </c>
      <c r="Y464" s="6">
        <f>1/COUNTIF(Таблица1[Order ID],Таблица1[[#This Row],[Order ID]])</f>
        <v>1</v>
      </c>
      <c r="Z464" s="9">
        <f>1/COUNTIFS(Таблица1[Customer Name],Таблица1[[#This Row],[Customer Name]],Таблица1[Order-Year-Month],Таблица1[[#This Row],[Order-Year-Month]])</f>
        <v>1</v>
      </c>
    </row>
    <row r="465" spans="1:26" x14ac:dyDescent="0.2">
      <c r="A465" s="6">
        <v>7730</v>
      </c>
      <c r="B465" s="7">
        <v>55366</v>
      </c>
      <c r="C465" s="8">
        <f>DATE(2012,12,31)-82</f>
        <v>41192</v>
      </c>
      <c r="D465" s="8" t="str">
        <f t="shared" si="10"/>
        <v>2012-10 (октябрь 2012)</v>
      </c>
      <c r="E465" s="9" t="s">
        <v>78</v>
      </c>
      <c r="F465" s="7">
        <v>7</v>
      </c>
      <c r="G465" s="7">
        <v>387.17</v>
      </c>
      <c r="H465" s="7">
        <v>0.1</v>
      </c>
      <c r="I465" s="9" t="s">
        <v>22</v>
      </c>
      <c r="J465" s="10">
        <v>-204.65</v>
      </c>
      <c r="K465" s="11">
        <v>55.94</v>
      </c>
      <c r="L465" s="11">
        <v>6.55</v>
      </c>
      <c r="M465" s="9" t="s">
        <v>190</v>
      </c>
      <c r="N465" s="6" t="s">
        <v>173</v>
      </c>
      <c r="O465" s="6" t="s">
        <v>173</v>
      </c>
      <c r="P465" s="9" t="s">
        <v>41</v>
      </c>
      <c r="Q465" s="9" t="s">
        <v>42</v>
      </c>
      <c r="R465" s="9" t="s">
        <v>70</v>
      </c>
      <c r="S465" s="7" t="s">
        <v>503</v>
      </c>
      <c r="T465" s="9" t="s">
        <v>39</v>
      </c>
      <c r="U465" s="7">
        <v>0.68</v>
      </c>
      <c r="V465" s="12">
        <f>C465+1</f>
        <v>41193</v>
      </c>
      <c r="W465">
        <f>IF(D465=' Pivot Tables'!$A$4,1,0)</f>
        <v>0</v>
      </c>
      <c r="X465">
        <f>IF(AND(LEFT(D465,4)+1=LEFT(' Pivot Tables'!$A$4,4)+0,RIGHT(LEFT(D465,7),2)=RIGHT(LEFT(' Pivot Tables'!$A$4,7),2)),1,0)</f>
        <v>0</v>
      </c>
      <c r="Y465" s="6">
        <f>1/COUNTIF(Таблица1[Order ID],Таблица1[[#This Row],[Order ID]])</f>
        <v>1</v>
      </c>
      <c r="Z465" s="9">
        <f>1/COUNTIFS(Таблица1[Customer Name],Таблица1[[#This Row],[Customer Name]],Таблица1[Order-Year-Month],Таблица1[[#This Row],[Order-Year-Month]])</f>
        <v>1</v>
      </c>
    </row>
    <row r="466" spans="1:26" x14ac:dyDescent="0.2">
      <c r="A466" s="6">
        <v>7787</v>
      </c>
      <c r="B466" s="7">
        <v>55715</v>
      </c>
      <c r="C466" s="8">
        <f>DATE(2012,12,31)-639</f>
        <v>40635</v>
      </c>
      <c r="D466" s="8" t="str">
        <f t="shared" si="10"/>
        <v>2011-04 (апрель 2011)</v>
      </c>
      <c r="E466" s="9" t="s">
        <v>78</v>
      </c>
      <c r="F466" s="7">
        <v>28</v>
      </c>
      <c r="G466" s="7">
        <v>168.57</v>
      </c>
      <c r="H466" s="7">
        <v>0.02</v>
      </c>
      <c r="I466" s="9" t="s">
        <v>56</v>
      </c>
      <c r="J466" s="10">
        <v>16.651499999999999</v>
      </c>
      <c r="K466" s="11">
        <v>5.28</v>
      </c>
      <c r="L466" s="11">
        <v>2.99</v>
      </c>
      <c r="M466" s="9" t="s">
        <v>114</v>
      </c>
      <c r="N466" s="6" t="s">
        <v>173</v>
      </c>
      <c r="O466" s="6" t="s">
        <v>173</v>
      </c>
      <c r="P466" s="9" t="s">
        <v>41</v>
      </c>
      <c r="Q466" s="9" t="s">
        <v>26</v>
      </c>
      <c r="R466" s="9" t="s">
        <v>37</v>
      </c>
      <c r="S466" s="7" t="s">
        <v>73</v>
      </c>
      <c r="T466" s="9" t="s">
        <v>39</v>
      </c>
      <c r="U466" s="7">
        <v>0.37</v>
      </c>
      <c r="V466" s="12">
        <f>C466+2</f>
        <v>40637</v>
      </c>
      <c r="W466">
        <f>IF(D466=' Pivot Tables'!$A$4,1,0)</f>
        <v>0</v>
      </c>
      <c r="X466">
        <f>IF(AND(LEFT(D466,4)+1=LEFT(' Pivot Tables'!$A$4,4)+0,RIGHT(LEFT(D466,7),2)=RIGHT(LEFT(' Pivot Tables'!$A$4,7),2)),1,0)</f>
        <v>0</v>
      </c>
      <c r="Y466" s="6">
        <f>1/COUNTIF(Таблица1[Order ID],Таблица1[[#This Row],[Order ID]])</f>
        <v>1</v>
      </c>
      <c r="Z466" s="9">
        <f>1/COUNTIFS(Таблица1[Customer Name],Таблица1[[#This Row],[Customer Name]],Таблица1[Order-Year-Month],Таблица1[[#This Row],[Order-Year-Month]])</f>
        <v>1</v>
      </c>
    </row>
    <row r="467" spans="1:26" x14ac:dyDescent="0.2">
      <c r="A467" s="6">
        <v>7813</v>
      </c>
      <c r="B467" s="7">
        <v>55875</v>
      </c>
      <c r="C467" s="8">
        <f>DATE(2012,12,31)-1132</f>
        <v>40142</v>
      </c>
      <c r="D467" s="8" t="str">
        <f t="shared" si="10"/>
        <v>2009-11 (ноябрь 2009)</v>
      </c>
      <c r="E467" s="9" t="s">
        <v>78</v>
      </c>
      <c r="F467" s="7">
        <v>50</v>
      </c>
      <c r="G467" s="7">
        <v>413.86</v>
      </c>
      <c r="H467" s="7">
        <v>0</v>
      </c>
      <c r="I467" s="9" t="s">
        <v>22</v>
      </c>
      <c r="J467" s="10">
        <v>39.29</v>
      </c>
      <c r="K467" s="11">
        <v>7.59</v>
      </c>
      <c r="L467" s="11">
        <v>4</v>
      </c>
      <c r="M467" s="9" t="s">
        <v>120</v>
      </c>
      <c r="N467" s="6" t="s">
        <v>173</v>
      </c>
      <c r="O467" s="6" t="s">
        <v>173</v>
      </c>
      <c r="P467" s="9" t="s">
        <v>25</v>
      </c>
      <c r="Q467" s="9" t="s">
        <v>49</v>
      </c>
      <c r="R467" s="9" t="s">
        <v>50</v>
      </c>
      <c r="S467" s="7" t="s">
        <v>504</v>
      </c>
      <c r="T467" s="9" t="s">
        <v>68</v>
      </c>
      <c r="U467" s="7">
        <v>0.42</v>
      </c>
      <c r="V467" s="12">
        <f>C467+3</f>
        <v>40145</v>
      </c>
      <c r="W467">
        <f>IF(D467=' Pivot Tables'!$A$4,1,0)</f>
        <v>0</v>
      </c>
      <c r="X467">
        <f>IF(AND(LEFT(D467,4)+1=LEFT(' Pivot Tables'!$A$4,4)+0,RIGHT(LEFT(D467,7),2)=RIGHT(LEFT(' Pivot Tables'!$A$4,7),2)),1,0)</f>
        <v>0</v>
      </c>
      <c r="Y467" s="6">
        <f>1/COUNTIF(Таблица1[Order ID],Таблица1[[#This Row],[Order ID]])</f>
        <v>0.5</v>
      </c>
      <c r="Z467" s="9">
        <f>1/COUNTIFS(Таблица1[Customer Name],Таблица1[[#This Row],[Customer Name]],Таблица1[Order-Year-Month],Таблица1[[#This Row],[Order-Year-Month]])</f>
        <v>0.5</v>
      </c>
    </row>
    <row r="468" spans="1:26" x14ac:dyDescent="0.2">
      <c r="A468" s="6">
        <v>7814</v>
      </c>
      <c r="B468" s="7">
        <v>55875</v>
      </c>
      <c r="C468" s="8">
        <f>DATE(2012,12,31)-1132</f>
        <v>40142</v>
      </c>
      <c r="D468" s="8" t="str">
        <f t="shared" si="10"/>
        <v>2009-11 (ноябрь 2009)</v>
      </c>
      <c r="E468" s="9" t="s">
        <v>78</v>
      </c>
      <c r="F468" s="7">
        <v>31</v>
      </c>
      <c r="G468" s="7">
        <v>178.45</v>
      </c>
      <c r="H468" s="7">
        <v>0.09</v>
      </c>
      <c r="I468" s="9" t="s">
        <v>22</v>
      </c>
      <c r="J468" s="10">
        <v>-104.96</v>
      </c>
      <c r="K468" s="11">
        <v>5.98</v>
      </c>
      <c r="L468" s="11">
        <v>4.6900000000000004</v>
      </c>
      <c r="M468" s="9" t="s">
        <v>120</v>
      </c>
      <c r="N468" s="6" t="s">
        <v>173</v>
      </c>
      <c r="O468" s="6" t="s">
        <v>173</v>
      </c>
      <c r="P468" s="9" t="s">
        <v>25</v>
      </c>
      <c r="Q468" s="9" t="s">
        <v>26</v>
      </c>
      <c r="R468" s="9" t="s">
        <v>27</v>
      </c>
      <c r="S468" s="7" t="s">
        <v>505</v>
      </c>
      <c r="T468" s="9" t="s">
        <v>39</v>
      </c>
      <c r="U468" s="7">
        <v>0.68</v>
      </c>
      <c r="V468" s="12">
        <f>C468+0</f>
        <v>40142</v>
      </c>
      <c r="W468">
        <f>IF(D468=' Pivot Tables'!$A$4,1,0)</f>
        <v>0</v>
      </c>
      <c r="X468">
        <f>IF(AND(LEFT(D468,4)+1=LEFT(' Pivot Tables'!$A$4,4)+0,RIGHT(LEFT(D468,7),2)=RIGHT(LEFT(' Pivot Tables'!$A$4,7),2)),1,0)</f>
        <v>0</v>
      </c>
      <c r="Y468" s="6">
        <f>1/COUNTIF(Таблица1[Order ID],Таблица1[[#This Row],[Order ID]])</f>
        <v>0.5</v>
      </c>
      <c r="Z468" s="9">
        <f>1/COUNTIFS(Таблица1[Customer Name],Таблица1[[#This Row],[Customer Name]],Таблица1[Order-Year-Month],Таблица1[[#This Row],[Order-Year-Month]])</f>
        <v>0.5</v>
      </c>
    </row>
    <row r="469" spans="1:26" x14ac:dyDescent="0.2">
      <c r="A469" s="6">
        <v>7894</v>
      </c>
      <c r="B469" s="7">
        <v>56453</v>
      </c>
      <c r="C469" s="8">
        <f>DATE(2012,12,31)-264</f>
        <v>41010</v>
      </c>
      <c r="D469" s="8" t="str">
        <f t="shared" si="10"/>
        <v>2012-04 (апрель 2012)</v>
      </c>
      <c r="E469" s="9" t="s">
        <v>78</v>
      </c>
      <c r="F469" s="7">
        <v>1</v>
      </c>
      <c r="G469" s="7">
        <v>2728.65</v>
      </c>
      <c r="H469" s="7">
        <v>0</v>
      </c>
      <c r="I469" s="9" t="s">
        <v>31</v>
      </c>
      <c r="J469" s="10">
        <v>-5572.3935000000001</v>
      </c>
      <c r="K469" s="11">
        <v>2550.14</v>
      </c>
      <c r="L469" s="11">
        <v>29.7</v>
      </c>
      <c r="M469" s="9" t="s">
        <v>124</v>
      </c>
      <c r="N469" s="6" t="s">
        <v>173</v>
      </c>
      <c r="O469" s="6" t="s">
        <v>173</v>
      </c>
      <c r="P469" s="9" t="s">
        <v>41</v>
      </c>
      <c r="Q469" s="9" t="s">
        <v>42</v>
      </c>
      <c r="R469" s="9" t="s">
        <v>210</v>
      </c>
      <c r="S469" s="7" t="s">
        <v>506</v>
      </c>
      <c r="T469" s="9" t="s">
        <v>36</v>
      </c>
      <c r="U469" s="7">
        <v>0.56999999999999995</v>
      </c>
      <c r="V469" s="12">
        <f>C469+1</f>
        <v>41011</v>
      </c>
      <c r="W469">
        <f>IF(D469=' Pivot Tables'!$A$4,1,0)</f>
        <v>0</v>
      </c>
      <c r="X469">
        <f>IF(AND(LEFT(D469,4)+1=LEFT(' Pivot Tables'!$A$4,4)+0,RIGHT(LEFT(D469,7),2)=RIGHT(LEFT(' Pivot Tables'!$A$4,7),2)),1,0)</f>
        <v>0</v>
      </c>
      <c r="Y469" s="6">
        <f>1/COUNTIF(Таблица1[Order ID],Таблица1[[#This Row],[Order ID]])</f>
        <v>1</v>
      </c>
      <c r="Z469" s="9">
        <f>1/COUNTIFS(Таблица1[Customer Name],Таблица1[[#This Row],[Customer Name]],Таблица1[Order-Year-Month],Таблица1[[#This Row],[Order-Year-Month]])</f>
        <v>1</v>
      </c>
    </row>
    <row r="470" spans="1:26" x14ac:dyDescent="0.2">
      <c r="A470" s="6">
        <v>7993</v>
      </c>
      <c r="B470" s="7">
        <v>57127</v>
      </c>
      <c r="C470" s="8">
        <f>DATE(2012,12,31)-1049</f>
        <v>40225</v>
      </c>
      <c r="D470" s="8" t="str">
        <f t="shared" si="10"/>
        <v>2010-02 (февраль 2010)</v>
      </c>
      <c r="E470" s="9" t="s">
        <v>21</v>
      </c>
      <c r="F470" s="7">
        <v>13</v>
      </c>
      <c r="G470" s="7">
        <v>735.54</v>
      </c>
      <c r="H470" s="7">
        <v>0</v>
      </c>
      <c r="I470" s="9" t="s">
        <v>22</v>
      </c>
      <c r="J470" s="10">
        <v>171.82</v>
      </c>
      <c r="K470" s="11">
        <v>55.48</v>
      </c>
      <c r="L470" s="11">
        <v>14.3</v>
      </c>
      <c r="M470" s="9" t="s">
        <v>160</v>
      </c>
      <c r="N470" s="6" t="s">
        <v>173</v>
      </c>
      <c r="O470" s="6" t="s">
        <v>173</v>
      </c>
      <c r="P470" s="9" t="s">
        <v>33</v>
      </c>
      <c r="Q470" s="9" t="s">
        <v>26</v>
      </c>
      <c r="R470" s="9" t="s">
        <v>61</v>
      </c>
      <c r="S470" s="7" t="s">
        <v>507</v>
      </c>
      <c r="T470" s="9" t="s">
        <v>39</v>
      </c>
      <c r="U470" s="7">
        <v>0.37</v>
      </c>
      <c r="V470" s="12">
        <f>C470+2</f>
        <v>40227</v>
      </c>
      <c r="W470">
        <f>IF(D470=' Pivot Tables'!$A$4,1,0)</f>
        <v>0</v>
      </c>
      <c r="X470">
        <f>IF(AND(LEFT(D470,4)+1=LEFT(' Pivot Tables'!$A$4,4)+0,RIGHT(LEFT(D470,7),2)=RIGHT(LEFT(' Pivot Tables'!$A$4,7),2)),1,0)</f>
        <v>0</v>
      </c>
      <c r="Y470" s="6">
        <f>1/COUNTIF(Таблица1[Order ID],Таблица1[[#This Row],[Order ID]])</f>
        <v>1</v>
      </c>
      <c r="Z470" s="9">
        <f>1/COUNTIFS(Таблица1[Customer Name],Таблица1[[#This Row],[Customer Name]],Таблица1[Order-Year-Month],Таблица1[[#This Row],[Order-Year-Month]])</f>
        <v>0.5</v>
      </c>
    </row>
    <row r="471" spans="1:26" x14ac:dyDescent="0.2">
      <c r="A471" s="6">
        <v>8024</v>
      </c>
      <c r="B471" s="7">
        <v>57344</v>
      </c>
      <c r="C471" s="8">
        <f>DATE(2012,12,31)-829</f>
        <v>40445</v>
      </c>
      <c r="D471" s="8" t="str">
        <f t="shared" si="10"/>
        <v>2010-09 (сентябрь 2010)</v>
      </c>
      <c r="E471" s="9" t="s">
        <v>30</v>
      </c>
      <c r="F471" s="7">
        <v>47</v>
      </c>
      <c r="G471" s="7">
        <v>1060.0605</v>
      </c>
      <c r="H471" s="7">
        <v>0.1</v>
      </c>
      <c r="I471" s="9" t="s">
        <v>22</v>
      </c>
      <c r="J471" s="10">
        <v>-71.026999999999987</v>
      </c>
      <c r="K471" s="11">
        <v>28.99</v>
      </c>
      <c r="L471" s="11">
        <v>8.59</v>
      </c>
      <c r="M471" s="9" t="s">
        <v>79</v>
      </c>
      <c r="N471" s="6" t="s">
        <v>173</v>
      </c>
      <c r="O471" s="6" t="s">
        <v>173</v>
      </c>
      <c r="P471" s="9" t="s">
        <v>41</v>
      </c>
      <c r="Q471" s="9" t="s">
        <v>42</v>
      </c>
      <c r="R471" s="9" t="s">
        <v>43</v>
      </c>
      <c r="S471" s="7" t="s">
        <v>508</v>
      </c>
      <c r="T471" s="9" t="s">
        <v>48</v>
      </c>
      <c r="U471" s="7">
        <v>0.56000000000000005</v>
      </c>
      <c r="V471" s="12">
        <f>C471+2</f>
        <v>40447</v>
      </c>
      <c r="W471">
        <f>IF(D471=' Pivot Tables'!$A$4,1,0)</f>
        <v>0</v>
      </c>
      <c r="X471">
        <f>IF(AND(LEFT(D471,4)+1=LEFT(' Pivot Tables'!$A$4,4)+0,RIGHT(LEFT(D471,7),2)=RIGHT(LEFT(' Pivot Tables'!$A$4,7),2)),1,0)</f>
        <v>0</v>
      </c>
      <c r="Y471" s="6">
        <f>1/COUNTIF(Таблица1[Order ID],Таблица1[[#This Row],[Order ID]])</f>
        <v>1</v>
      </c>
      <c r="Z471" s="9">
        <f>1/COUNTIFS(Таблица1[Customer Name],Таблица1[[#This Row],[Customer Name]],Таблица1[Order-Year-Month],Таблица1[[#This Row],[Order-Year-Month]])</f>
        <v>1</v>
      </c>
    </row>
    <row r="472" spans="1:26" x14ac:dyDescent="0.2">
      <c r="A472" s="6">
        <v>8057</v>
      </c>
      <c r="B472" s="7">
        <v>57509</v>
      </c>
      <c r="C472" s="8">
        <f>DATE(2012,12,31)-1409</f>
        <v>39865</v>
      </c>
      <c r="D472" s="8" t="str">
        <f t="shared" si="10"/>
        <v>2009-02 (февраль 2009)</v>
      </c>
      <c r="E472" s="9" t="s">
        <v>21</v>
      </c>
      <c r="F472" s="7">
        <v>39</v>
      </c>
      <c r="G472" s="7">
        <v>199.39</v>
      </c>
      <c r="H472" s="7">
        <v>0.1</v>
      </c>
      <c r="I472" s="9" t="s">
        <v>56</v>
      </c>
      <c r="J472" s="10">
        <v>101.13</v>
      </c>
      <c r="K472" s="11">
        <v>4.91</v>
      </c>
      <c r="L472" s="11">
        <v>0.5</v>
      </c>
      <c r="M472" s="9" t="s">
        <v>64</v>
      </c>
      <c r="N472" s="6" t="s">
        <v>173</v>
      </c>
      <c r="O472" s="6" t="s">
        <v>173</v>
      </c>
      <c r="P472" s="9" t="s">
        <v>60</v>
      </c>
      <c r="Q472" s="9" t="s">
        <v>26</v>
      </c>
      <c r="R472" s="9" t="s">
        <v>88</v>
      </c>
      <c r="S472" s="7" t="s">
        <v>509</v>
      </c>
      <c r="T472" s="9" t="s">
        <v>39</v>
      </c>
      <c r="U472" s="7">
        <v>0.36</v>
      </c>
      <c r="V472" s="12">
        <f>C472+0</f>
        <v>39865</v>
      </c>
      <c r="W472">
        <f>IF(D472=' Pivot Tables'!$A$4,1,0)</f>
        <v>0</v>
      </c>
      <c r="X472">
        <f>IF(AND(LEFT(D472,4)+1=LEFT(' Pivot Tables'!$A$4,4)+0,RIGHT(LEFT(D472,7),2)=RIGHT(LEFT(' Pivot Tables'!$A$4,7),2)),1,0)</f>
        <v>0</v>
      </c>
      <c r="Y472" s="6">
        <f>1/COUNTIF(Таблица1[Order ID],Таблица1[[#This Row],[Order ID]])</f>
        <v>0.5</v>
      </c>
      <c r="Z472" s="9">
        <f>1/COUNTIFS(Таблица1[Customer Name],Таблица1[[#This Row],[Customer Name]],Таблица1[Order-Year-Month],Таблица1[[#This Row],[Order-Year-Month]])</f>
        <v>0.5</v>
      </c>
    </row>
    <row r="473" spans="1:26" x14ac:dyDescent="0.2">
      <c r="A473" s="6">
        <v>8058</v>
      </c>
      <c r="B473" s="7">
        <v>57509</v>
      </c>
      <c r="C473" s="8">
        <f>DATE(2012,12,31)-1409</f>
        <v>39865</v>
      </c>
      <c r="D473" s="8" t="str">
        <f t="shared" si="10"/>
        <v>2009-02 (февраль 2009)</v>
      </c>
      <c r="E473" s="9" t="s">
        <v>21</v>
      </c>
      <c r="F473" s="7">
        <v>11</v>
      </c>
      <c r="G473" s="7">
        <v>2770.35</v>
      </c>
      <c r="H473" s="7">
        <v>0.09</v>
      </c>
      <c r="I473" s="9" t="s">
        <v>31</v>
      </c>
      <c r="J473" s="10">
        <v>-202.58100000000002</v>
      </c>
      <c r="K473" s="11">
        <v>259.70999999999998</v>
      </c>
      <c r="L473" s="11">
        <v>66.67</v>
      </c>
      <c r="M473" s="9" t="s">
        <v>64</v>
      </c>
      <c r="N473" s="6" t="s">
        <v>173</v>
      </c>
      <c r="O473" s="6" t="s">
        <v>173</v>
      </c>
      <c r="P473" s="9" t="s">
        <v>60</v>
      </c>
      <c r="Q473" s="9" t="s">
        <v>49</v>
      </c>
      <c r="R473" s="9" t="s">
        <v>83</v>
      </c>
      <c r="S473" s="7" t="s">
        <v>510</v>
      </c>
      <c r="T473" s="9" t="s">
        <v>82</v>
      </c>
      <c r="U473" s="7">
        <v>0.61</v>
      </c>
      <c r="V473" s="12">
        <f>C473+5</f>
        <v>39870</v>
      </c>
      <c r="W473">
        <f>IF(D473=' Pivot Tables'!$A$4,1,0)</f>
        <v>0</v>
      </c>
      <c r="X473">
        <f>IF(AND(LEFT(D473,4)+1=LEFT(' Pivot Tables'!$A$4,4)+0,RIGHT(LEFT(D473,7),2)=RIGHT(LEFT(' Pivot Tables'!$A$4,7),2)),1,0)</f>
        <v>0</v>
      </c>
      <c r="Y473" s="6">
        <f>1/COUNTIF(Таблица1[Order ID],Таблица1[[#This Row],[Order ID]])</f>
        <v>0.5</v>
      </c>
      <c r="Z473" s="9">
        <f>1/COUNTIFS(Таблица1[Customer Name],Таблица1[[#This Row],[Customer Name]],Таблица1[Order-Year-Month],Таблица1[[#This Row],[Order-Year-Month]])</f>
        <v>0.5</v>
      </c>
    </row>
    <row r="474" spans="1:26" x14ac:dyDescent="0.2">
      <c r="A474" s="6">
        <v>8073</v>
      </c>
      <c r="B474" s="7">
        <v>57600</v>
      </c>
      <c r="C474" s="8">
        <f>DATE(2012,12,31)-50</f>
        <v>41224</v>
      </c>
      <c r="D474" s="8" t="str">
        <f t="shared" si="10"/>
        <v>2012-11 (ноябрь 2012)</v>
      </c>
      <c r="E474" s="9" t="s">
        <v>78</v>
      </c>
      <c r="F474" s="7">
        <v>32</v>
      </c>
      <c r="G474" s="7">
        <v>1882.12</v>
      </c>
      <c r="H474" s="7">
        <v>0.05</v>
      </c>
      <c r="I474" s="9" t="s">
        <v>22</v>
      </c>
      <c r="J474" s="10">
        <v>584.14549999999997</v>
      </c>
      <c r="K474" s="11">
        <v>59.78</v>
      </c>
      <c r="L474" s="11">
        <v>10.29</v>
      </c>
      <c r="M474" s="9" t="s">
        <v>102</v>
      </c>
      <c r="N474" s="6" t="s">
        <v>173</v>
      </c>
      <c r="O474" s="6" t="s">
        <v>173</v>
      </c>
      <c r="P474" s="9" t="s">
        <v>25</v>
      </c>
      <c r="Q474" s="9" t="s">
        <v>26</v>
      </c>
      <c r="R474" s="9" t="s">
        <v>37</v>
      </c>
      <c r="S474" s="7" t="s">
        <v>284</v>
      </c>
      <c r="T474" s="9" t="s">
        <v>39</v>
      </c>
      <c r="U474" s="7">
        <v>0.39</v>
      </c>
      <c r="V474" s="12">
        <f>C474+2</f>
        <v>41226</v>
      </c>
      <c r="W474">
        <f>IF(D474=' Pivot Tables'!$A$4,1,0)</f>
        <v>0</v>
      </c>
      <c r="X474">
        <f>IF(AND(LEFT(D474,4)+1=LEFT(' Pivot Tables'!$A$4,4)+0,RIGHT(LEFT(D474,7),2)=RIGHT(LEFT(' Pivot Tables'!$A$4,7),2)),1,0)</f>
        <v>0</v>
      </c>
      <c r="Y474" s="6">
        <f>1/COUNTIF(Таблица1[Order ID],Таблица1[[#This Row],[Order ID]])</f>
        <v>0.33333333333333331</v>
      </c>
      <c r="Z474" s="9">
        <f>1/COUNTIFS(Таблица1[Customer Name],Таблица1[[#This Row],[Customer Name]],Таблица1[Order-Year-Month],Таблица1[[#This Row],[Order-Year-Month]])</f>
        <v>0.33333333333333331</v>
      </c>
    </row>
    <row r="475" spans="1:26" x14ac:dyDescent="0.2">
      <c r="A475" s="6">
        <v>8074</v>
      </c>
      <c r="B475" s="7">
        <v>57600</v>
      </c>
      <c r="C475" s="8">
        <f>DATE(2012,12,31)-50</f>
        <v>41224</v>
      </c>
      <c r="D475" s="8" t="str">
        <f t="shared" si="10"/>
        <v>2012-11 (ноябрь 2012)</v>
      </c>
      <c r="E475" s="9" t="s">
        <v>78</v>
      </c>
      <c r="F475" s="7">
        <v>44</v>
      </c>
      <c r="G475" s="7">
        <v>186.94</v>
      </c>
      <c r="H475" s="7">
        <v>0.05</v>
      </c>
      <c r="I475" s="9" t="s">
        <v>22</v>
      </c>
      <c r="J475" s="10">
        <v>85.81</v>
      </c>
      <c r="K475" s="11">
        <v>4.13</v>
      </c>
      <c r="L475" s="11">
        <v>0.5</v>
      </c>
      <c r="M475" s="9" t="s">
        <v>102</v>
      </c>
      <c r="N475" s="6" t="s">
        <v>511</v>
      </c>
      <c r="O475" s="6" t="s">
        <v>512</v>
      </c>
      <c r="P475" s="9" t="s">
        <v>25</v>
      </c>
      <c r="Q475" s="9" t="s">
        <v>26</v>
      </c>
      <c r="R475" s="9" t="s">
        <v>88</v>
      </c>
      <c r="S475" s="7" t="s">
        <v>184</v>
      </c>
      <c r="T475" s="9" t="s">
        <v>39</v>
      </c>
      <c r="U475" s="7">
        <v>0.39</v>
      </c>
      <c r="V475" s="12">
        <f>C475+2</f>
        <v>41226</v>
      </c>
      <c r="W475">
        <f>IF(D475=' Pivot Tables'!$A$4,1,0)</f>
        <v>0</v>
      </c>
      <c r="X475">
        <f>IF(AND(LEFT(D475,4)+1=LEFT(' Pivot Tables'!$A$4,4)+0,RIGHT(LEFT(D475,7),2)=RIGHT(LEFT(' Pivot Tables'!$A$4,7),2)),1,0)</f>
        <v>0</v>
      </c>
      <c r="Y475" s="6">
        <f>1/COUNTIF(Таблица1[Order ID],Таблица1[[#This Row],[Order ID]])</f>
        <v>0.33333333333333331</v>
      </c>
      <c r="Z475" s="9">
        <f>1/COUNTIFS(Таблица1[Customer Name],Таблица1[[#This Row],[Customer Name]],Таблица1[Order-Year-Month],Таблица1[[#This Row],[Order-Year-Month]])</f>
        <v>0.33333333333333331</v>
      </c>
    </row>
    <row r="476" spans="1:26" x14ac:dyDescent="0.2">
      <c r="A476" s="6">
        <v>8075</v>
      </c>
      <c r="B476" s="7">
        <v>57600</v>
      </c>
      <c r="C476" s="8">
        <f>DATE(2012,12,31)-50</f>
        <v>41224</v>
      </c>
      <c r="D476" s="8" t="str">
        <f t="shared" si="10"/>
        <v>2012-11 (ноябрь 2012)</v>
      </c>
      <c r="E476" s="9" t="s">
        <v>78</v>
      </c>
      <c r="F476" s="7">
        <v>12</v>
      </c>
      <c r="G476" s="7">
        <v>407.2</v>
      </c>
      <c r="H476" s="7">
        <v>0.01</v>
      </c>
      <c r="I476" s="9" t="s">
        <v>22</v>
      </c>
      <c r="J476" s="10">
        <v>-8.42</v>
      </c>
      <c r="K476" s="11">
        <v>30.98</v>
      </c>
      <c r="L476" s="11">
        <v>17.079999999999998</v>
      </c>
      <c r="M476" s="9" t="s">
        <v>102</v>
      </c>
      <c r="N476" s="6" t="s">
        <v>511</v>
      </c>
      <c r="O476" s="6" t="s">
        <v>512</v>
      </c>
      <c r="P476" s="9" t="s">
        <v>25</v>
      </c>
      <c r="Q476" s="9" t="s">
        <v>26</v>
      </c>
      <c r="R476" s="9" t="s">
        <v>61</v>
      </c>
      <c r="S476" s="7" t="s">
        <v>513</v>
      </c>
      <c r="T476" s="9" t="s">
        <v>39</v>
      </c>
      <c r="U476" s="7">
        <v>0.4</v>
      </c>
      <c r="V476" s="12">
        <f>C476+2</f>
        <v>41226</v>
      </c>
      <c r="W476">
        <f>IF(D476=' Pivot Tables'!$A$4,1,0)</f>
        <v>0</v>
      </c>
      <c r="X476">
        <f>IF(AND(LEFT(D476,4)+1=LEFT(' Pivot Tables'!$A$4,4)+0,RIGHT(LEFT(D476,7),2)=RIGHT(LEFT(' Pivot Tables'!$A$4,7),2)),1,0)</f>
        <v>0</v>
      </c>
      <c r="Y476" s="6">
        <f>1/COUNTIF(Таблица1[Order ID],Таблица1[[#This Row],[Order ID]])</f>
        <v>0.33333333333333331</v>
      </c>
      <c r="Z476" s="9">
        <f>1/COUNTIFS(Таблица1[Customer Name],Таблица1[[#This Row],[Customer Name]],Таблица1[Order-Year-Month],Таблица1[[#This Row],[Order-Year-Month]])</f>
        <v>0.33333333333333331</v>
      </c>
    </row>
    <row r="477" spans="1:26" x14ac:dyDescent="0.2">
      <c r="A477" s="6">
        <v>8124</v>
      </c>
      <c r="B477" s="7">
        <v>58055</v>
      </c>
      <c r="C477" s="8">
        <f>DATE(2012,12,31)-431</f>
        <v>40843</v>
      </c>
      <c r="D477" s="8" t="str">
        <f t="shared" si="10"/>
        <v>2011-10 (октябрь 2011)</v>
      </c>
      <c r="E477" s="9" t="s">
        <v>78</v>
      </c>
      <c r="F477" s="7">
        <v>26</v>
      </c>
      <c r="G477" s="7">
        <v>208.6</v>
      </c>
      <c r="H477" s="7">
        <v>0</v>
      </c>
      <c r="I477" s="9" t="s">
        <v>22</v>
      </c>
      <c r="J477" s="10">
        <v>-56.45</v>
      </c>
      <c r="K477" s="11">
        <v>7.38</v>
      </c>
      <c r="L477" s="11">
        <v>5.21</v>
      </c>
      <c r="M477" s="9" t="s">
        <v>111</v>
      </c>
      <c r="N477" s="6" t="s">
        <v>511</v>
      </c>
      <c r="O477" s="6" t="s">
        <v>512</v>
      </c>
      <c r="P477" s="9" t="s">
        <v>33</v>
      </c>
      <c r="Q477" s="9" t="s">
        <v>49</v>
      </c>
      <c r="R477" s="9" t="s">
        <v>50</v>
      </c>
      <c r="S477" s="7" t="s">
        <v>514</v>
      </c>
      <c r="T477" s="9" t="s">
        <v>39</v>
      </c>
      <c r="U477" s="7">
        <v>0.56000000000000005</v>
      </c>
      <c r="V477" s="12">
        <f>C477+2</f>
        <v>40845</v>
      </c>
      <c r="W477">
        <f>IF(D477=' Pivot Tables'!$A$4,1,0)</f>
        <v>0</v>
      </c>
      <c r="X477">
        <f>IF(AND(LEFT(D477,4)+1=LEFT(' Pivot Tables'!$A$4,4)+0,RIGHT(LEFT(D477,7),2)=RIGHT(LEFT(' Pivot Tables'!$A$4,7),2)),1,0)</f>
        <v>0</v>
      </c>
      <c r="Y477" s="6">
        <f>1/COUNTIF(Таблица1[Order ID],Таблица1[[#This Row],[Order ID]])</f>
        <v>1</v>
      </c>
      <c r="Z477" s="9">
        <f>1/COUNTIFS(Таблица1[Customer Name],Таблица1[[#This Row],[Customer Name]],Таблица1[Order-Year-Month],Таблица1[[#This Row],[Order-Year-Month]])</f>
        <v>1</v>
      </c>
    </row>
    <row r="478" spans="1:26" x14ac:dyDescent="0.2">
      <c r="A478" s="6">
        <v>8133</v>
      </c>
      <c r="B478" s="7">
        <v>58144</v>
      </c>
      <c r="C478" s="8">
        <f>DATE(2012,12,31)-1111</f>
        <v>40163</v>
      </c>
      <c r="D478" s="8" t="str">
        <f t="shared" si="10"/>
        <v>2009-12 (декабрь 2009)</v>
      </c>
      <c r="E478" s="9" t="s">
        <v>21</v>
      </c>
      <c r="F478" s="7">
        <v>29</v>
      </c>
      <c r="G478" s="7">
        <v>778.38</v>
      </c>
      <c r="H478" s="7">
        <v>0.01</v>
      </c>
      <c r="I478" s="9" t="s">
        <v>22</v>
      </c>
      <c r="J478" s="10">
        <v>257.32</v>
      </c>
      <c r="K478" s="11">
        <v>26.38</v>
      </c>
      <c r="L478" s="11">
        <v>5.86</v>
      </c>
      <c r="M478" s="9" t="s">
        <v>23</v>
      </c>
      <c r="N478" s="6" t="s">
        <v>511</v>
      </c>
      <c r="O478" s="6" t="s">
        <v>512</v>
      </c>
      <c r="P478" s="9" t="s">
        <v>25</v>
      </c>
      <c r="Q478" s="9" t="s">
        <v>26</v>
      </c>
      <c r="R478" s="9" t="s">
        <v>61</v>
      </c>
      <c r="S478" s="7" t="s">
        <v>515</v>
      </c>
      <c r="T478" s="9" t="s">
        <v>39</v>
      </c>
      <c r="U478" s="7">
        <v>0.39</v>
      </c>
      <c r="V478" s="12">
        <f>C478+7</f>
        <v>40170</v>
      </c>
      <c r="W478">
        <f>IF(D478=' Pivot Tables'!$A$4,1,0)</f>
        <v>0</v>
      </c>
      <c r="X478">
        <f>IF(AND(LEFT(D478,4)+1=LEFT(' Pivot Tables'!$A$4,4)+0,RIGHT(LEFT(D478,7),2)=RIGHT(LEFT(' Pivot Tables'!$A$4,7),2)),1,0)</f>
        <v>0</v>
      </c>
      <c r="Y478" s="6">
        <f>1/COUNTIF(Таблица1[Order ID],Таблица1[[#This Row],[Order ID]])</f>
        <v>1</v>
      </c>
      <c r="Z478" s="9">
        <f>1/COUNTIFS(Таблица1[Customer Name],Таблица1[[#This Row],[Customer Name]],Таблица1[Order-Year-Month],Таблица1[[#This Row],[Order-Year-Month]])</f>
        <v>1</v>
      </c>
    </row>
    <row r="479" spans="1:26" x14ac:dyDescent="0.2">
      <c r="A479" s="6">
        <v>8136</v>
      </c>
      <c r="B479" s="7">
        <v>58150</v>
      </c>
      <c r="C479" s="8">
        <f>DATE(2012,12,31)-969</f>
        <v>40305</v>
      </c>
      <c r="D479" s="8" t="str">
        <f t="shared" si="10"/>
        <v>2010-05 (май 2010)</v>
      </c>
      <c r="E479" s="9" t="s">
        <v>78</v>
      </c>
      <c r="F479" s="7">
        <v>24</v>
      </c>
      <c r="G479" s="7">
        <v>60.36</v>
      </c>
      <c r="H479" s="7">
        <v>0.03</v>
      </c>
      <c r="I479" s="9" t="s">
        <v>22</v>
      </c>
      <c r="J479" s="10">
        <v>-119.62299999999999</v>
      </c>
      <c r="K479" s="11">
        <v>2.16</v>
      </c>
      <c r="L479" s="11">
        <v>6.05</v>
      </c>
      <c r="M479" s="9" t="s">
        <v>381</v>
      </c>
      <c r="N479" s="6" t="s">
        <v>511</v>
      </c>
      <c r="O479" s="6" t="s">
        <v>512</v>
      </c>
      <c r="P479" s="9" t="s">
        <v>41</v>
      </c>
      <c r="Q479" s="9" t="s">
        <v>26</v>
      </c>
      <c r="R479" s="9" t="s">
        <v>37</v>
      </c>
      <c r="S479" s="7" t="s">
        <v>516</v>
      </c>
      <c r="T479" s="9" t="s">
        <v>39</v>
      </c>
      <c r="U479" s="7">
        <v>0.37</v>
      </c>
      <c r="V479" s="12">
        <f>C479+0</f>
        <v>40305</v>
      </c>
      <c r="W479">
        <f>IF(D479=' Pivot Tables'!$A$4,1,0)</f>
        <v>0</v>
      </c>
      <c r="X479">
        <f>IF(AND(LEFT(D479,4)+1=LEFT(' Pivot Tables'!$A$4,4)+0,RIGHT(LEFT(D479,7),2)=RIGHT(LEFT(' Pivot Tables'!$A$4,7),2)),1,0)</f>
        <v>0</v>
      </c>
      <c r="Y479" s="6">
        <f>1/COUNTIF(Таблица1[Order ID],Таблица1[[#This Row],[Order ID]])</f>
        <v>1</v>
      </c>
      <c r="Z479" s="9">
        <f>1/COUNTIFS(Таблица1[Customer Name],Таблица1[[#This Row],[Customer Name]],Таблица1[Order-Year-Month],Таблица1[[#This Row],[Order-Year-Month]])</f>
        <v>1</v>
      </c>
    </row>
    <row r="480" spans="1:26" x14ac:dyDescent="0.2">
      <c r="A480" s="6">
        <v>8159</v>
      </c>
      <c r="B480" s="7">
        <v>58340</v>
      </c>
      <c r="C480" s="8">
        <f>DATE(2012,12,31)-723</f>
        <v>40551</v>
      </c>
      <c r="D480" s="8" t="str">
        <f t="shared" si="10"/>
        <v>2011-01 (январь 2011)</v>
      </c>
      <c r="E480" s="9" t="s">
        <v>63</v>
      </c>
      <c r="F480" s="7">
        <v>36</v>
      </c>
      <c r="G480" s="7">
        <v>1936.3</v>
      </c>
      <c r="H480" s="7">
        <v>0.03</v>
      </c>
      <c r="I480" s="9" t="s">
        <v>22</v>
      </c>
      <c r="J480" s="10">
        <v>278.12</v>
      </c>
      <c r="K480" s="11">
        <v>50.98</v>
      </c>
      <c r="L480" s="11">
        <v>13.66</v>
      </c>
      <c r="M480" s="9" t="s">
        <v>79</v>
      </c>
      <c r="N480" s="6" t="s">
        <v>511</v>
      </c>
      <c r="O480" s="6" t="s">
        <v>512</v>
      </c>
      <c r="P480" s="9" t="s">
        <v>41</v>
      </c>
      <c r="Q480" s="9" t="s">
        <v>26</v>
      </c>
      <c r="R480" s="9" t="s">
        <v>34</v>
      </c>
      <c r="S480" s="7" t="s">
        <v>517</v>
      </c>
      <c r="T480" s="9" t="s">
        <v>39</v>
      </c>
      <c r="U480" s="7">
        <v>0.57999999999999996</v>
      </c>
      <c r="V480" s="12">
        <f>C480+1</f>
        <v>40552</v>
      </c>
      <c r="W480">
        <f>IF(D480=' Pivot Tables'!$A$4,1,0)</f>
        <v>0</v>
      </c>
      <c r="X480">
        <f>IF(AND(LEFT(D480,4)+1=LEFT(' Pivot Tables'!$A$4,4)+0,RIGHT(LEFT(D480,7),2)=RIGHT(LEFT(' Pivot Tables'!$A$4,7),2)),1,0)</f>
        <v>0</v>
      </c>
      <c r="Y480" s="6">
        <f>1/COUNTIF(Таблица1[Order ID],Таблица1[[#This Row],[Order ID]])</f>
        <v>1</v>
      </c>
      <c r="Z480" s="9">
        <f>1/COUNTIFS(Таблица1[Customer Name],Таблица1[[#This Row],[Customer Name]],Таблица1[Order-Year-Month],Таблица1[[#This Row],[Order-Year-Month]])</f>
        <v>1</v>
      </c>
    </row>
    <row r="481" spans="1:26" x14ac:dyDescent="0.2">
      <c r="A481" s="6">
        <v>8162</v>
      </c>
      <c r="B481" s="7">
        <v>58368</v>
      </c>
      <c r="C481" s="8">
        <f>DATE(2012,12,31)-175</f>
        <v>41099</v>
      </c>
      <c r="D481" s="8" t="str">
        <f t="shared" si="10"/>
        <v>2012-07 (июль 2012)</v>
      </c>
      <c r="E481" s="9" t="s">
        <v>30</v>
      </c>
      <c r="F481" s="7">
        <v>4</v>
      </c>
      <c r="G481" s="7">
        <v>14.23</v>
      </c>
      <c r="H481" s="7">
        <v>0</v>
      </c>
      <c r="I481" s="9" t="s">
        <v>22</v>
      </c>
      <c r="J481" s="10">
        <v>-4.43</v>
      </c>
      <c r="K481" s="11">
        <v>2.08</v>
      </c>
      <c r="L481" s="11">
        <v>5.33</v>
      </c>
      <c r="M481" s="9" t="s">
        <v>190</v>
      </c>
      <c r="N481" s="6" t="s">
        <v>511</v>
      </c>
      <c r="O481" s="6" t="s">
        <v>512</v>
      </c>
      <c r="P481" s="9" t="s">
        <v>41</v>
      </c>
      <c r="Q481" s="9" t="s">
        <v>49</v>
      </c>
      <c r="R481" s="9" t="s">
        <v>50</v>
      </c>
      <c r="S481" s="7" t="s">
        <v>216</v>
      </c>
      <c r="T481" s="9" t="s">
        <v>39</v>
      </c>
      <c r="U481" s="7">
        <v>0.43</v>
      </c>
      <c r="V481" s="12">
        <f>C481+2</f>
        <v>41101</v>
      </c>
      <c r="W481">
        <f>IF(D481=' Pivot Tables'!$A$4,1,0)</f>
        <v>0</v>
      </c>
      <c r="X481">
        <f>IF(AND(LEFT(D481,4)+1=LEFT(' Pivot Tables'!$A$4,4)+0,RIGHT(LEFT(D481,7),2)=RIGHT(LEFT(' Pivot Tables'!$A$4,7),2)),1,0)</f>
        <v>0</v>
      </c>
      <c r="Y481" s="6">
        <f>1/COUNTIF(Таблица1[Order ID],Таблица1[[#This Row],[Order ID]])</f>
        <v>0.33333333333333331</v>
      </c>
      <c r="Z481" s="9">
        <f>1/COUNTIFS(Таблица1[Customer Name],Таблица1[[#This Row],[Customer Name]],Таблица1[Order-Year-Month],Таблица1[[#This Row],[Order-Year-Month]])</f>
        <v>0.33333333333333331</v>
      </c>
    </row>
    <row r="482" spans="1:26" x14ac:dyDescent="0.2">
      <c r="A482" s="6">
        <v>8163</v>
      </c>
      <c r="B482" s="7">
        <v>58368</v>
      </c>
      <c r="C482" s="8">
        <f>DATE(2012,12,31)-175</f>
        <v>41099</v>
      </c>
      <c r="D482" s="8" t="str">
        <f t="shared" si="10"/>
        <v>2012-07 (июль 2012)</v>
      </c>
      <c r="E482" s="9" t="s">
        <v>30</v>
      </c>
      <c r="F482" s="7">
        <v>39</v>
      </c>
      <c r="G482" s="7">
        <v>272.07</v>
      </c>
      <c r="H482" s="7">
        <v>0.02</v>
      </c>
      <c r="I482" s="9" t="s">
        <v>22</v>
      </c>
      <c r="J482" s="10">
        <v>-206.46</v>
      </c>
      <c r="K482" s="11">
        <v>6.48</v>
      </c>
      <c r="L482" s="11">
        <v>9.5399999999999991</v>
      </c>
      <c r="M482" s="9" t="s">
        <v>190</v>
      </c>
      <c r="N482" s="6" t="s">
        <v>511</v>
      </c>
      <c r="O482" s="6" t="s">
        <v>512</v>
      </c>
      <c r="P482" s="9" t="s">
        <v>41</v>
      </c>
      <c r="Q482" s="9" t="s">
        <v>26</v>
      </c>
      <c r="R482" s="9" t="s">
        <v>61</v>
      </c>
      <c r="S482" s="7" t="s">
        <v>518</v>
      </c>
      <c r="T482" s="9" t="s">
        <v>39</v>
      </c>
      <c r="U482" s="7">
        <v>0.37</v>
      </c>
      <c r="V482" s="12">
        <f>C482+1</f>
        <v>41100</v>
      </c>
      <c r="W482">
        <f>IF(D482=' Pivot Tables'!$A$4,1,0)</f>
        <v>0</v>
      </c>
      <c r="X482">
        <f>IF(AND(LEFT(D482,4)+1=LEFT(' Pivot Tables'!$A$4,4)+0,RIGHT(LEFT(D482,7),2)=RIGHT(LEFT(' Pivot Tables'!$A$4,7),2)),1,0)</f>
        <v>0</v>
      </c>
      <c r="Y482" s="6">
        <f>1/COUNTIF(Таблица1[Order ID],Таблица1[[#This Row],[Order ID]])</f>
        <v>0.33333333333333331</v>
      </c>
      <c r="Z482" s="9">
        <f>1/COUNTIFS(Таблица1[Customer Name],Таблица1[[#This Row],[Customer Name]],Таблица1[Order-Year-Month],Таблица1[[#This Row],[Order-Year-Month]])</f>
        <v>0.33333333333333331</v>
      </c>
    </row>
    <row r="483" spans="1:26" x14ac:dyDescent="0.2">
      <c r="A483" s="6">
        <v>8164</v>
      </c>
      <c r="B483" s="7">
        <v>58368</v>
      </c>
      <c r="C483" s="8">
        <f>DATE(2012,12,31)-175</f>
        <v>41099</v>
      </c>
      <c r="D483" s="8" t="str">
        <f t="shared" si="10"/>
        <v>2012-07 (июль 2012)</v>
      </c>
      <c r="E483" s="9" t="s">
        <v>30</v>
      </c>
      <c r="F483" s="7">
        <v>5</v>
      </c>
      <c r="G483" s="7">
        <v>325.43</v>
      </c>
      <c r="H483" s="7">
        <v>0.09</v>
      </c>
      <c r="I483" s="9" t="s">
        <v>56</v>
      </c>
      <c r="J483" s="10">
        <v>-76.11</v>
      </c>
      <c r="K483" s="11">
        <v>64.98</v>
      </c>
      <c r="L483" s="11">
        <v>6.88</v>
      </c>
      <c r="M483" s="9" t="s">
        <v>190</v>
      </c>
      <c r="N483" s="6" t="s">
        <v>511</v>
      </c>
      <c r="O483" s="6" t="s">
        <v>512</v>
      </c>
      <c r="P483" s="9" t="s">
        <v>41</v>
      </c>
      <c r="Q483" s="9" t="s">
        <v>26</v>
      </c>
      <c r="R483" s="9" t="s">
        <v>27</v>
      </c>
      <c r="S483" s="7" t="s">
        <v>519</v>
      </c>
      <c r="T483" s="9" t="s">
        <v>39</v>
      </c>
      <c r="U483" s="7">
        <v>0.73</v>
      </c>
      <c r="V483" s="12">
        <f>C483+0</f>
        <v>41099</v>
      </c>
      <c r="W483">
        <f>IF(D483=' Pivot Tables'!$A$4,1,0)</f>
        <v>0</v>
      </c>
      <c r="X483">
        <f>IF(AND(LEFT(D483,4)+1=LEFT(' Pivot Tables'!$A$4,4)+0,RIGHT(LEFT(D483,7),2)=RIGHT(LEFT(' Pivot Tables'!$A$4,7),2)),1,0)</f>
        <v>0</v>
      </c>
      <c r="Y483" s="6">
        <f>1/COUNTIF(Таблица1[Order ID],Таблица1[[#This Row],[Order ID]])</f>
        <v>0.33333333333333331</v>
      </c>
      <c r="Z483" s="9">
        <f>1/COUNTIFS(Таблица1[Customer Name],Таблица1[[#This Row],[Customer Name]],Таблица1[Order-Year-Month],Таблица1[[#This Row],[Order-Year-Month]])</f>
        <v>0.33333333333333331</v>
      </c>
    </row>
    <row r="484" spans="1:26" x14ac:dyDescent="0.2">
      <c r="A484" s="6">
        <v>8176</v>
      </c>
      <c r="B484" s="7">
        <v>58434</v>
      </c>
      <c r="C484" s="8">
        <f>DATE(2012,12,31)-1393</f>
        <v>39881</v>
      </c>
      <c r="D484" s="8" t="str">
        <f t="shared" si="10"/>
        <v>2009-03 (март 2009)</v>
      </c>
      <c r="E484" s="9" t="s">
        <v>30</v>
      </c>
      <c r="F484" s="7">
        <v>42</v>
      </c>
      <c r="G484" s="7">
        <v>843.53</v>
      </c>
      <c r="H484" s="7">
        <v>0.04</v>
      </c>
      <c r="I484" s="9" t="s">
        <v>22</v>
      </c>
      <c r="J484" s="10">
        <v>268.32</v>
      </c>
      <c r="K484" s="11">
        <v>19.23</v>
      </c>
      <c r="L484" s="11">
        <v>6.15</v>
      </c>
      <c r="M484" s="9" t="s">
        <v>59</v>
      </c>
      <c r="N484" s="6" t="s">
        <v>511</v>
      </c>
      <c r="O484" s="6" t="s">
        <v>512</v>
      </c>
      <c r="P484" s="9" t="s">
        <v>60</v>
      </c>
      <c r="Q484" s="9" t="s">
        <v>49</v>
      </c>
      <c r="R484" s="9" t="s">
        <v>50</v>
      </c>
      <c r="S484" s="7" t="s">
        <v>520</v>
      </c>
      <c r="T484" s="9" t="s">
        <v>52</v>
      </c>
      <c r="U484" s="7">
        <v>0.44</v>
      </c>
      <c r="V484" s="12">
        <f>C484+1</f>
        <v>39882</v>
      </c>
      <c r="W484">
        <f>IF(D484=' Pivot Tables'!$A$4,1,0)</f>
        <v>0</v>
      </c>
      <c r="X484">
        <f>IF(AND(LEFT(D484,4)+1=LEFT(' Pivot Tables'!$A$4,4)+0,RIGHT(LEFT(D484,7),2)=RIGHT(LEFT(' Pivot Tables'!$A$4,7),2)),1,0)</f>
        <v>0</v>
      </c>
      <c r="Y484" s="6">
        <f>1/COUNTIF(Таблица1[Order ID],Таблица1[[#This Row],[Order ID]])</f>
        <v>1</v>
      </c>
      <c r="Z484" s="9">
        <f>1/COUNTIFS(Таблица1[Customer Name],Таблица1[[#This Row],[Customer Name]],Таблица1[Order-Year-Month],Таблица1[[#This Row],[Order-Year-Month]])</f>
        <v>1</v>
      </c>
    </row>
    <row r="485" spans="1:26" x14ac:dyDescent="0.2">
      <c r="A485" s="6">
        <v>8197</v>
      </c>
      <c r="B485" s="7">
        <v>58626</v>
      </c>
      <c r="C485" s="8">
        <f>DATE(2012,12,31)-367</f>
        <v>40907</v>
      </c>
      <c r="D485" s="8" t="str">
        <f t="shared" si="10"/>
        <v>2011-12 (декабрь 2011)</v>
      </c>
      <c r="E485" s="9" t="s">
        <v>30</v>
      </c>
      <c r="F485" s="7">
        <v>23</v>
      </c>
      <c r="G485" s="7">
        <v>6641.14</v>
      </c>
      <c r="H485" s="7">
        <v>0.05</v>
      </c>
      <c r="I485" s="9" t="s">
        <v>31</v>
      </c>
      <c r="J485" s="10">
        <v>673.77</v>
      </c>
      <c r="K485" s="11">
        <v>300.98</v>
      </c>
      <c r="L485" s="11">
        <v>64.73</v>
      </c>
      <c r="M485" s="9" t="s">
        <v>339</v>
      </c>
      <c r="N485" s="6" t="s">
        <v>511</v>
      </c>
      <c r="O485" s="6" t="s">
        <v>512</v>
      </c>
      <c r="P485" s="9" t="s">
        <v>25</v>
      </c>
      <c r="Q485" s="9" t="s">
        <v>49</v>
      </c>
      <c r="R485" s="9" t="s">
        <v>112</v>
      </c>
      <c r="S485" s="7" t="s">
        <v>168</v>
      </c>
      <c r="T485" s="9" t="s">
        <v>36</v>
      </c>
      <c r="U485" s="7">
        <v>0.56000000000000005</v>
      </c>
      <c r="V485" s="12">
        <f>C485+2</f>
        <v>40909</v>
      </c>
      <c r="W485">
        <f>IF(D485=' Pivot Tables'!$A$4,1,0)</f>
        <v>0</v>
      </c>
      <c r="X485">
        <f>IF(AND(LEFT(D485,4)+1=LEFT(' Pivot Tables'!$A$4,4)+0,RIGHT(LEFT(D485,7),2)=RIGHT(LEFT(' Pivot Tables'!$A$4,7),2)),1,0)</f>
        <v>0</v>
      </c>
      <c r="Y485" s="6">
        <f>1/COUNTIF(Таблица1[Order ID],Таблица1[[#This Row],[Order ID]])</f>
        <v>0.33333333333333331</v>
      </c>
      <c r="Z485" s="9">
        <f>1/COUNTIFS(Таблица1[Customer Name],Таблица1[[#This Row],[Customer Name]],Таблица1[Order-Year-Month],Таблица1[[#This Row],[Order-Year-Month]])</f>
        <v>0.33333333333333331</v>
      </c>
    </row>
    <row r="486" spans="1:26" x14ac:dyDescent="0.2">
      <c r="A486" s="6">
        <v>8198</v>
      </c>
      <c r="B486" s="7">
        <v>58626</v>
      </c>
      <c r="C486" s="8">
        <f>DATE(2012,12,31)-367</f>
        <v>40907</v>
      </c>
      <c r="D486" s="8" t="str">
        <f t="shared" si="10"/>
        <v>2011-12 (декабрь 2011)</v>
      </c>
      <c r="E486" s="9" t="s">
        <v>30</v>
      </c>
      <c r="F486" s="7">
        <v>21</v>
      </c>
      <c r="G486" s="7">
        <v>10469.030000000001</v>
      </c>
      <c r="H486" s="7">
        <v>7.0000000000000007E-2</v>
      </c>
      <c r="I486" s="9" t="s">
        <v>31</v>
      </c>
      <c r="J486" s="10">
        <v>2608.7199999999998</v>
      </c>
      <c r="K486" s="11">
        <v>500.98</v>
      </c>
      <c r="L486" s="11">
        <v>26</v>
      </c>
      <c r="M486" s="9" t="s">
        <v>339</v>
      </c>
      <c r="N486" s="6" t="s">
        <v>511</v>
      </c>
      <c r="O486" s="6" t="s">
        <v>512</v>
      </c>
      <c r="P486" s="9" t="s">
        <v>25</v>
      </c>
      <c r="Q486" s="9" t="s">
        <v>49</v>
      </c>
      <c r="R486" s="9" t="s">
        <v>112</v>
      </c>
      <c r="S486" s="7" t="s">
        <v>119</v>
      </c>
      <c r="T486" s="9" t="s">
        <v>36</v>
      </c>
      <c r="U486" s="7">
        <v>0.6</v>
      </c>
      <c r="V486" s="12">
        <f>C486+3</f>
        <v>40910</v>
      </c>
      <c r="W486">
        <f>IF(D486=' Pivot Tables'!$A$4,1,0)</f>
        <v>0</v>
      </c>
      <c r="X486">
        <f>IF(AND(LEFT(D486,4)+1=LEFT(' Pivot Tables'!$A$4,4)+0,RIGHT(LEFT(D486,7),2)=RIGHT(LEFT(' Pivot Tables'!$A$4,7),2)),1,0)</f>
        <v>0</v>
      </c>
      <c r="Y486" s="6">
        <f>1/COUNTIF(Таблица1[Order ID],Таблица1[[#This Row],[Order ID]])</f>
        <v>0.33333333333333331</v>
      </c>
      <c r="Z486" s="9">
        <f>1/COUNTIFS(Таблица1[Customer Name],Таблица1[[#This Row],[Customer Name]],Таблица1[Order-Year-Month],Таблица1[[#This Row],[Order-Year-Month]])</f>
        <v>0.33333333333333331</v>
      </c>
    </row>
    <row r="487" spans="1:26" x14ac:dyDescent="0.2">
      <c r="A487" s="6">
        <v>8199</v>
      </c>
      <c r="B487" s="7">
        <v>58626</v>
      </c>
      <c r="C487" s="8">
        <f>DATE(2012,12,31)-367</f>
        <v>40907</v>
      </c>
      <c r="D487" s="8" t="str">
        <f t="shared" si="10"/>
        <v>2011-12 (декабрь 2011)</v>
      </c>
      <c r="E487" s="9" t="s">
        <v>30</v>
      </c>
      <c r="F487" s="7">
        <v>18</v>
      </c>
      <c r="G487" s="7">
        <v>835.55</v>
      </c>
      <c r="H487" s="7">
        <v>0.04</v>
      </c>
      <c r="I487" s="9" t="s">
        <v>22</v>
      </c>
      <c r="J487" s="10">
        <v>171.59</v>
      </c>
      <c r="K487" s="11">
        <v>45.19</v>
      </c>
      <c r="L487" s="11">
        <v>1.99</v>
      </c>
      <c r="M487" s="9" t="s">
        <v>339</v>
      </c>
      <c r="N487" s="6" t="s">
        <v>511</v>
      </c>
      <c r="O487" s="6" t="s">
        <v>512</v>
      </c>
      <c r="P487" s="9" t="s">
        <v>25</v>
      </c>
      <c r="Q487" s="9" t="s">
        <v>42</v>
      </c>
      <c r="R487" s="9" t="s">
        <v>70</v>
      </c>
      <c r="S487" s="7" t="s">
        <v>379</v>
      </c>
      <c r="T487" s="9" t="s">
        <v>52</v>
      </c>
      <c r="U487" s="7">
        <v>0.55000000000000004</v>
      </c>
      <c r="V487" s="12">
        <f>C487+1</f>
        <v>40908</v>
      </c>
      <c r="W487">
        <f>IF(D487=' Pivot Tables'!$A$4,1,0)</f>
        <v>0</v>
      </c>
      <c r="X487">
        <f>IF(AND(LEFT(D487,4)+1=LEFT(' Pivot Tables'!$A$4,4)+0,RIGHT(LEFT(D487,7),2)=RIGHT(LEFT(' Pivot Tables'!$A$4,7),2)),1,0)</f>
        <v>0</v>
      </c>
      <c r="Y487" s="6">
        <f>1/COUNTIF(Таблица1[Order ID],Таблица1[[#This Row],[Order ID]])</f>
        <v>0.33333333333333331</v>
      </c>
      <c r="Z487" s="9">
        <f>1/COUNTIFS(Таблица1[Customer Name],Таблица1[[#This Row],[Customer Name]],Таблица1[Order-Year-Month],Таблица1[[#This Row],[Order-Year-Month]])</f>
        <v>0.33333333333333331</v>
      </c>
    </row>
    <row r="488" spans="1:26" x14ac:dyDescent="0.2">
      <c r="A488" s="6">
        <v>8208</v>
      </c>
      <c r="B488" s="7">
        <v>58688</v>
      </c>
      <c r="C488" s="8">
        <f>DATE(2012,12,31)-1373</f>
        <v>39901</v>
      </c>
      <c r="D488" s="8" t="str">
        <f t="shared" si="10"/>
        <v>2009-03 (март 2009)</v>
      </c>
      <c r="E488" s="9" t="s">
        <v>45</v>
      </c>
      <c r="F488" s="7">
        <v>18</v>
      </c>
      <c r="G488" s="7">
        <v>215.93</v>
      </c>
      <c r="H488" s="7">
        <v>0.08</v>
      </c>
      <c r="I488" s="9" t="s">
        <v>22</v>
      </c>
      <c r="J488" s="10">
        <v>-41.87</v>
      </c>
      <c r="K488" s="11">
        <v>11.97</v>
      </c>
      <c r="L488" s="11">
        <v>5.81</v>
      </c>
      <c r="M488" s="9" t="s">
        <v>102</v>
      </c>
      <c r="N488" s="6" t="s">
        <v>511</v>
      </c>
      <c r="O488" s="6" t="s">
        <v>512</v>
      </c>
      <c r="P488" s="9" t="s">
        <v>25</v>
      </c>
      <c r="Q488" s="9" t="s">
        <v>26</v>
      </c>
      <c r="R488" s="9" t="s">
        <v>95</v>
      </c>
      <c r="S488" s="7" t="s">
        <v>521</v>
      </c>
      <c r="T488" s="9" t="s">
        <v>52</v>
      </c>
      <c r="U488" s="7">
        <v>0.6</v>
      </c>
      <c r="V488" s="12">
        <f>C488+2</f>
        <v>39903</v>
      </c>
      <c r="W488">
        <f>IF(D488=' Pivot Tables'!$A$4,1,0)</f>
        <v>0</v>
      </c>
      <c r="X488">
        <f>IF(AND(LEFT(D488,4)+1=LEFT(' Pivot Tables'!$A$4,4)+0,RIGHT(LEFT(D488,7),2)=RIGHT(LEFT(' Pivot Tables'!$A$4,7),2)),1,0)</f>
        <v>0</v>
      </c>
      <c r="Y488" s="6">
        <f>1/COUNTIF(Таблица1[Order ID],Таблица1[[#This Row],[Order ID]])</f>
        <v>1</v>
      </c>
      <c r="Z488" s="9">
        <f>1/COUNTIFS(Таблица1[Customer Name],Таблица1[[#This Row],[Customer Name]],Таблица1[Order-Year-Month],Таблица1[[#This Row],[Order-Year-Month]])</f>
        <v>1</v>
      </c>
    </row>
    <row r="489" spans="1:26" x14ac:dyDescent="0.2">
      <c r="A489" s="6">
        <v>8256</v>
      </c>
      <c r="B489" s="7">
        <v>59045</v>
      </c>
      <c r="C489" s="8">
        <f>DATE(2012,12,31)-687</f>
        <v>40587</v>
      </c>
      <c r="D489" s="8" t="str">
        <f t="shared" si="10"/>
        <v>2011-02 (февраль 2011)</v>
      </c>
      <c r="E489" s="9" t="s">
        <v>78</v>
      </c>
      <c r="F489" s="7">
        <v>30</v>
      </c>
      <c r="G489" s="7">
        <v>140.24</v>
      </c>
      <c r="H489" s="7">
        <v>0.05</v>
      </c>
      <c r="I489" s="9" t="s">
        <v>22</v>
      </c>
      <c r="J489" s="10">
        <v>32.869500000000002</v>
      </c>
      <c r="K489" s="11">
        <v>4.55</v>
      </c>
      <c r="L489" s="11">
        <v>1.49</v>
      </c>
      <c r="M489" s="9" t="s">
        <v>281</v>
      </c>
      <c r="N489" s="6" t="s">
        <v>511</v>
      </c>
      <c r="O489" s="6" t="s">
        <v>512</v>
      </c>
      <c r="P489" s="9" t="s">
        <v>25</v>
      </c>
      <c r="Q489" s="9" t="s">
        <v>26</v>
      </c>
      <c r="R489" s="9" t="s">
        <v>37</v>
      </c>
      <c r="S489" s="7" t="s">
        <v>522</v>
      </c>
      <c r="T489" s="9" t="s">
        <v>39</v>
      </c>
      <c r="U489" s="7">
        <v>0.35</v>
      </c>
      <c r="V489" s="12">
        <f>C489+2</f>
        <v>40589</v>
      </c>
      <c r="W489">
        <f>IF(D489=' Pivot Tables'!$A$4,1,0)</f>
        <v>0</v>
      </c>
      <c r="X489">
        <f>IF(AND(LEFT(D489,4)+1=LEFT(' Pivot Tables'!$A$4,4)+0,RIGHT(LEFT(D489,7),2)=RIGHT(LEFT(' Pivot Tables'!$A$4,7),2)),1,0)</f>
        <v>0</v>
      </c>
      <c r="Y489" s="6">
        <f>1/COUNTIF(Таблица1[Order ID],Таблица1[[#This Row],[Order ID]])</f>
        <v>1</v>
      </c>
      <c r="Z489" s="9">
        <f>1/COUNTIFS(Таблица1[Customer Name],Таблица1[[#This Row],[Customer Name]],Таблица1[Order-Year-Month],Таблица1[[#This Row],[Order-Year-Month]])</f>
        <v>1</v>
      </c>
    </row>
    <row r="490" spans="1:26" x14ac:dyDescent="0.2">
      <c r="A490" s="6">
        <v>8257</v>
      </c>
      <c r="B490" s="7">
        <v>59047</v>
      </c>
      <c r="C490" s="8">
        <f>DATE(2012,12,31)-703</f>
        <v>40571</v>
      </c>
      <c r="D490" s="8" t="str">
        <f t="shared" si="10"/>
        <v>2011-01 (январь 2011)</v>
      </c>
      <c r="E490" s="9" t="s">
        <v>45</v>
      </c>
      <c r="F490" s="7">
        <v>10</v>
      </c>
      <c r="G490" s="7">
        <v>266.94</v>
      </c>
      <c r="H490" s="7">
        <v>0.09</v>
      </c>
      <c r="I490" s="9" t="s">
        <v>22</v>
      </c>
      <c r="J490" s="10">
        <v>19.2</v>
      </c>
      <c r="K490" s="11">
        <v>28.48</v>
      </c>
      <c r="L490" s="11">
        <v>1.99</v>
      </c>
      <c r="M490" s="9" t="s">
        <v>135</v>
      </c>
      <c r="N490" s="6" t="s">
        <v>511</v>
      </c>
      <c r="O490" s="6" t="s">
        <v>512</v>
      </c>
      <c r="P490" s="9" t="s">
        <v>41</v>
      </c>
      <c r="Q490" s="9" t="s">
        <v>42</v>
      </c>
      <c r="R490" s="9" t="s">
        <v>70</v>
      </c>
      <c r="S490" s="7" t="s">
        <v>523</v>
      </c>
      <c r="T490" s="9" t="s">
        <v>52</v>
      </c>
      <c r="U490" s="7">
        <v>0.4</v>
      </c>
      <c r="V490" s="12">
        <f>C490+0</f>
        <v>40571</v>
      </c>
      <c r="W490">
        <f>IF(D490=' Pivot Tables'!$A$4,1,0)</f>
        <v>0</v>
      </c>
      <c r="X490">
        <f>IF(AND(LEFT(D490,4)+1=LEFT(' Pivot Tables'!$A$4,4)+0,RIGHT(LEFT(D490,7),2)=RIGHT(LEFT(' Pivot Tables'!$A$4,7),2)),1,0)</f>
        <v>0</v>
      </c>
      <c r="Y490" s="6">
        <f>1/COUNTIF(Таблица1[Order ID],Таблица1[[#This Row],[Order ID]])</f>
        <v>0.5</v>
      </c>
      <c r="Z490" s="9">
        <f>1/COUNTIFS(Таблица1[Customer Name],Таблица1[[#This Row],[Customer Name]],Таблица1[Order-Year-Month],Таблица1[[#This Row],[Order-Year-Month]])</f>
        <v>0.25</v>
      </c>
    </row>
    <row r="491" spans="1:26" x14ac:dyDescent="0.2">
      <c r="A491" s="6">
        <v>8258</v>
      </c>
      <c r="B491" s="7">
        <v>59047</v>
      </c>
      <c r="C491" s="8">
        <f>DATE(2012,12,31)-703</f>
        <v>40571</v>
      </c>
      <c r="D491" s="8" t="str">
        <f t="shared" si="10"/>
        <v>2011-01 (январь 2011)</v>
      </c>
      <c r="E491" s="9" t="s">
        <v>45</v>
      </c>
      <c r="F491" s="7">
        <v>26</v>
      </c>
      <c r="G491" s="7">
        <v>113.85</v>
      </c>
      <c r="H491" s="7">
        <v>0.06</v>
      </c>
      <c r="I491" s="9" t="s">
        <v>22</v>
      </c>
      <c r="J491" s="10">
        <v>-93.93</v>
      </c>
      <c r="K491" s="11">
        <v>4.1399999999999997</v>
      </c>
      <c r="L491" s="11">
        <v>6.6</v>
      </c>
      <c r="M491" s="9" t="s">
        <v>135</v>
      </c>
      <c r="N491" s="6" t="s">
        <v>511</v>
      </c>
      <c r="O491" s="6" t="s">
        <v>512</v>
      </c>
      <c r="P491" s="9" t="s">
        <v>41</v>
      </c>
      <c r="Q491" s="9" t="s">
        <v>49</v>
      </c>
      <c r="R491" s="9" t="s">
        <v>50</v>
      </c>
      <c r="S491" s="7" t="s">
        <v>524</v>
      </c>
      <c r="T491" s="9" t="s">
        <v>39</v>
      </c>
      <c r="U491" s="7">
        <v>0.49</v>
      </c>
      <c r="V491" s="12">
        <f>C491+2</f>
        <v>40573</v>
      </c>
      <c r="W491">
        <f>IF(D491=' Pivot Tables'!$A$4,1,0)</f>
        <v>0</v>
      </c>
      <c r="X491">
        <f>IF(AND(LEFT(D491,4)+1=LEFT(' Pivot Tables'!$A$4,4)+0,RIGHT(LEFT(D491,7),2)=RIGHT(LEFT(' Pivot Tables'!$A$4,7),2)),1,0)</f>
        <v>0</v>
      </c>
      <c r="Y491" s="6">
        <f>1/COUNTIF(Таблица1[Order ID],Таблица1[[#This Row],[Order ID]])</f>
        <v>0.5</v>
      </c>
      <c r="Z491" s="9">
        <f>1/COUNTIFS(Таблица1[Customer Name],Таблица1[[#This Row],[Customer Name]],Таблица1[Order-Year-Month],Таблица1[[#This Row],[Order-Year-Month]])</f>
        <v>0.25</v>
      </c>
    </row>
    <row r="492" spans="1:26" x14ac:dyDescent="0.2">
      <c r="A492" s="6">
        <v>8282</v>
      </c>
      <c r="B492" s="7">
        <v>59202</v>
      </c>
      <c r="C492" s="8">
        <f>DATE(2012,12,31)-114</f>
        <v>41160</v>
      </c>
      <c r="D492" s="8" t="str">
        <f t="shared" si="10"/>
        <v>2012-09 (сентябрь 2012)</v>
      </c>
      <c r="E492" s="9" t="s">
        <v>63</v>
      </c>
      <c r="F492" s="7">
        <v>7</v>
      </c>
      <c r="G492" s="7">
        <v>83.81</v>
      </c>
      <c r="H492" s="7">
        <v>0.09</v>
      </c>
      <c r="I492" s="9" t="s">
        <v>22</v>
      </c>
      <c r="J492" s="10">
        <v>21.92</v>
      </c>
      <c r="K492" s="11">
        <v>12.53</v>
      </c>
      <c r="L492" s="11">
        <v>0.5</v>
      </c>
      <c r="M492" s="9" t="s">
        <v>158</v>
      </c>
      <c r="N492" s="6" t="s">
        <v>511</v>
      </c>
      <c r="O492" s="6" t="s">
        <v>512</v>
      </c>
      <c r="P492" s="9" t="s">
        <v>33</v>
      </c>
      <c r="Q492" s="9" t="s">
        <v>26</v>
      </c>
      <c r="R492" s="9" t="s">
        <v>88</v>
      </c>
      <c r="S492" s="7" t="s">
        <v>525</v>
      </c>
      <c r="T492" s="9" t="s">
        <v>39</v>
      </c>
      <c r="U492" s="7">
        <v>0.38</v>
      </c>
      <c r="V492" s="12">
        <f>C492+0</f>
        <v>41160</v>
      </c>
      <c r="W492">
        <f>IF(D492=' Pivot Tables'!$A$4,1,0)</f>
        <v>0</v>
      </c>
      <c r="X492">
        <f>IF(AND(LEFT(D492,4)+1=LEFT(' Pivot Tables'!$A$4,4)+0,RIGHT(LEFT(D492,7),2)=RIGHT(LEFT(' Pivot Tables'!$A$4,7),2)),1,0)</f>
        <v>0</v>
      </c>
      <c r="Y492" s="6">
        <f>1/COUNTIF(Таблица1[Order ID],Таблица1[[#This Row],[Order ID]])</f>
        <v>0.5</v>
      </c>
      <c r="Z492" s="9">
        <f>1/COUNTIFS(Таблица1[Customer Name],Таблица1[[#This Row],[Customer Name]],Таблица1[Order-Year-Month],Таблица1[[#This Row],[Order-Year-Month]])</f>
        <v>0.5</v>
      </c>
    </row>
    <row r="493" spans="1:26" x14ac:dyDescent="0.2">
      <c r="A493" s="6">
        <v>8283</v>
      </c>
      <c r="B493" s="7">
        <v>59202</v>
      </c>
      <c r="C493" s="8">
        <f>DATE(2012,12,31)-114</f>
        <v>41160</v>
      </c>
      <c r="D493" s="8" t="str">
        <f t="shared" si="10"/>
        <v>2012-09 (сентябрь 2012)</v>
      </c>
      <c r="E493" s="9" t="s">
        <v>63</v>
      </c>
      <c r="F493" s="7">
        <v>36</v>
      </c>
      <c r="G493" s="7">
        <v>218.81</v>
      </c>
      <c r="H493" s="7">
        <v>0.03</v>
      </c>
      <c r="I493" s="9" t="s">
        <v>22</v>
      </c>
      <c r="J493" s="10">
        <v>7.45</v>
      </c>
      <c r="K493" s="11">
        <v>5.85</v>
      </c>
      <c r="L493" s="11">
        <v>2.27</v>
      </c>
      <c r="M493" s="9" t="s">
        <v>158</v>
      </c>
      <c r="N493" s="6" t="s">
        <v>511</v>
      </c>
      <c r="O493" s="6" t="s">
        <v>512</v>
      </c>
      <c r="P493" s="9" t="s">
        <v>33</v>
      </c>
      <c r="Q493" s="9" t="s">
        <v>26</v>
      </c>
      <c r="R493" s="9" t="s">
        <v>95</v>
      </c>
      <c r="S493" s="7" t="s">
        <v>463</v>
      </c>
      <c r="T493" s="9" t="s">
        <v>68</v>
      </c>
      <c r="U493" s="7">
        <v>0.56000000000000005</v>
      </c>
      <c r="V493" s="12">
        <f>C493+1</f>
        <v>41161</v>
      </c>
      <c r="W493">
        <f>IF(D493=' Pivot Tables'!$A$4,1,0)</f>
        <v>0</v>
      </c>
      <c r="X493">
        <f>IF(AND(LEFT(D493,4)+1=LEFT(' Pivot Tables'!$A$4,4)+0,RIGHT(LEFT(D493,7),2)=RIGHT(LEFT(' Pivot Tables'!$A$4,7),2)),1,0)</f>
        <v>0</v>
      </c>
      <c r="Y493" s="6">
        <f>1/COUNTIF(Таблица1[Order ID],Таблица1[[#This Row],[Order ID]])</f>
        <v>0.5</v>
      </c>
      <c r="Z493" s="9">
        <f>1/COUNTIFS(Таблица1[Customer Name],Таблица1[[#This Row],[Customer Name]],Таблица1[Order-Year-Month],Таблица1[[#This Row],[Order-Year-Month]])</f>
        <v>0.5</v>
      </c>
    </row>
    <row r="494" spans="1:26" x14ac:dyDescent="0.2">
      <c r="A494" s="6">
        <v>8290</v>
      </c>
      <c r="B494" s="7">
        <v>59207</v>
      </c>
      <c r="C494" s="8">
        <f>DATE(2012,12,31)-1323</f>
        <v>39951</v>
      </c>
      <c r="D494" s="8" t="str">
        <f t="shared" si="10"/>
        <v>2009-05 (май 2009)</v>
      </c>
      <c r="E494" s="9" t="s">
        <v>78</v>
      </c>
      <c r="F494" s="7">
        <v>42</v>
      </c>
      <c r="G494" s="7">
        <v>9502.7360000000008</v>
      </c>
      <c r="H494" s="7">
        <v>0.02</v>
      </c>
      <c r="I494" s="9" t="s">
        <v>31</v>
      </c>
      <c r="J494" s="10">
        <v>-945.55799999999988</v>
      </c>
      <c r="K494" s="11">
        <v>280.98</v>
      </c>
      <c r="L494" s="11">
        <v>81.98</v>
      </c>
      <c r="M494" s="9" t="s">
        <v>79</v>
      </c>
      <c r="N494" s="6" t="s">
        <v>511</v>
      </c>
      <c r="O494" s="6" t="s">
        <v>512</v>
      </c>
      <c r="P494" s="9" t="s">
        <v>41</v>
      </c>
      <c r="Q494" s="9" t="s">
        <v>49</v>
      </c>
      <c r="R494" s="9" t="s">
        <v>83</v>
      </c>
      <c r="S494" s="7" t="s">
        <v>526</v>
      </c>
      <c r="T494" s="9" t="s">
        <v>82</v>
      </c>
      <c r="U494" s="7">
        <v>0.78</v>
      </c>
      <c r="V494" s="12">
        <f>C494+0</f>
        <v>39951</v>
      </c>
      <c r="W494">
        <f>IF(D494=' Pivot Tables'!$A$4,1,0)</f>
        <v>0</v>
      </c>
      <c r="X494">
        <f>IF(AND(LEFT(D494,4)+1=LEFT(' Pivot Tables'!$A$4,4)+0,RIGHT(LEFT(D494,7),2)=RIGHT(LEFT(' Pivot Tables'!$A$4,7),2)),1,0)</f>
        <v>0</v>
      </c>
      <c r="Y494" s="6">
        <f>1/COUNTIF(Таблица1[Order ID],Таблица1[[#This Row],[Order ID]])</f>
        <v>0.5</v>
      </c>
      <c r="Z494" s="9">
        <f>1/COUNTIFS(Таблица1[Customer Name],Таблица1[[#This Row],[Customer Name]],Таблица1[Order-Year-Month],Таблица1[[#This Row],[Order-Year-Month]])</f>
        <v>1</v>
      </c>
    </row>
    <row r="495" spans="1:26" x14ac:dyDescent="0.2">
      <c r="A495" s="6">
        <v>8294</v>
      </c>
      <c r="B495" s="7">
        <v>59234</v>
      </c>
      <c r="C495" s="8">
        <f>DATE(2012,12,31)-155</f>
        <v>41119</v>
      </c>
      <c r="D495" s="8" t="str">
        <f t="shared" si="10"/>
        <v>2012-07 (июль 2012)</v>
      </c>
      <c r="E495" s="9" t="s">
        <v>21</v>
      </c>
      <c r="F495" s="7">
        <v>32</v>
      </c>
      <c r="G495" s="7">
        <v>5686.25</v>
      </c>
      <c r="H495" s="7">
        <v>0.04</v>
      </c>
      <c r="I495" s="9" t="s">
        <v>22</v>
      </c>
      <c r="J495" s="10">
        <v>2109.21</v>
      </c>
      <c r="K495" s="11">
        <v>177.98</v>
      </c>
      <c r="L495" s="11">
        <v>0.99</v>
      </c>
      <c r="M495" s="9" t="s">
        <v>139</v>
      </c>
      <c r="N495" s="6" t="s">
        <v>511</v>
      </c>
      <c r="O495" s="6" t="s">
        <v>512</v>
      </c>
      <c r="P495" s="9" t="s">
        <v>41</v>
      </c>
      <c r="Q495" s="9" t="s">
        <v>26</v>
      </c>
      <c r="R495" s="9" t="s">
        <v>34</v>
      </c>
      <c r="S495" s="7" t="s">
        <v>388</v>
      </c>
      <c r="T495" s="9" t="s">
        <v>39</v>
      </c>
      <c r="U495" s="7">
        <v>0.56000000000000005</v>
      </c>
      <c r="V495" s="12">
        <f>C495+4</f>
        <v>41123</v>
      </c>
      <c r="W495">
        <f>IF(D495=' Pivot Tables'!$A$4,1,0)</f>
        <v>0</v>
      </c>
      <c r="X495">
        <f>IF(AND(LEFT(D495,4)+1=LEFT(' Pivot Tables'!$A$4,4)+0,RIGHT(LEFT(D495,7),2)=RIGHT(LEFT(' Pivot Tables'!$A$4,7),2)),1,0)</f>
        <v>0</v>
      </c>
      <c r="Y495" s="6">
        <f>1/COUNTIF(Таблица1[Order ID],Таблица1[[#This Row],[Order ID]])</f>
        <v>0.5</v>
      </c>
      <c r="Z495" s="9">
        <f>1/COUNTIFS(Таблица1[Customer Name],Таблица1[[#This Row],[Customer Name]],Таблица1[Order-Year-Month],Таблица1[[#This Row],[Order-Year-Month]])</f>
        <v>0.5</v>
      </c>
    </row>
    <row r="496" spans="1:26" x14ac:dyDescent="0.2">
      <c r="A496" s="6">
        <v>8295</v>
      </c>
      <c r="B496" s="7">
        <v>59234</v>
      </c>
      <c r="C496" s="8">
        <f>DATE(2012,12,31)-155</f>
        <v>41119</v>
      </c>
      <c r="D496" s="8" t="str">
        <f t="shared" si="10"/>
        <v>2012-07 (июль 2012)</v>
      </c>
      <c r="E496" s="9" t="s">
        <v>21</v>
      </c>
      <c r="F496" s="7">
        <v>16</v>
      </c>
      <c r="G496" s="7">
        <v>797.24</v>
      </c>
      <c r="H496" s="7">
        <v>0.04</v>
      </c>
      <c r="I496" s="9" t="s">
        <v>31</v>
      </c>
      <c r="J496" s="10">
        <v>11.46</v>
      </c>
      <c r="K496" s="11">
        <v>50.98</v>
      </c>
      <c r="L496" s="11">
        <v>14.19</v>
      </c>
      <c r="M496" s="9" t="s">
        <v>139</v>
      </c>
      <c r="N496" s="6" t="s">
        <v>511</v>
      </c>
      <c r="O496" s="6" t="s">
        <v>512</v>
      </c>
      <c r="P496" s="9" t="s">
        <v>41</v>
      </c>
      <c r="Q496" s="9" t="s">
        <v>49</v>
      </c>
      <c r="R496" s="9" t="s">
        <v>112</v>
      </c>
      <c r="S496" s="7" t="s">
        <v>431</v>
      </c>
      <c r="T496" s="9" t="s">
        <v>36</v>
      </c>
      <c r="U496" s="7">
        <v>0.56000000000000005</v>
      </c>
      <c r="V496" s="12">
        <f>C496+5</f>
        <v>41124</v>
      </c>
      <c r="W496">
        <f>IF(D496=' Pivot Tables'!$A$4,1,0)</f>
        <v>0</v>
      </c>
      <c r="X496">
        <f>IF(AND(LEFT(D496,4)+1=LEFT(' Pivot Tables'!$A$4,4)+0,RIGHT(LEFT(D496,7),2)=RIGHT(LEFT(' Pivot Tables'!$A$4,7),2)),1,0)</f>
        <v>0</v>
      </c>
      <c r="Y496" s="6">
        <f>1/COUNTIF(Таблица1[Order ID],Таблица1[[#This Row],[Order ID]])</f>
        <v>0.5</v>
      </c>
      <c r="Z496" s="9">
        <f>1/COUNTIFS(Таблица1[Customer Name],Таблица1[[#This Row],[Customer Name]],Таблица1[Order-Year-Month],Таблица1[[#This Row],[Order-Year-Month]])</f>
        <v>0.5</v>
      </c>
    </row>
    <row r="497" spans="1:26" x14ac:dyDescent="0.2">
      <c r="A497" s="6">
        <v>8314</v>
      </c>
      <c r="B497" s="7">
        <v>59395</v>
      </c>
      <c r="C497" s="8">
        <f>DATE(2012,12,31)-253</f>
        <v>41021</v>
      </c>
      <c r="D497" s="8" t="str">
        <f t="shared" si="10"/>
        <v>2012-04 (апрель 2012)</v>
      </c>
      <c r="E497" s="9" t="s">
        <v>78</v>
      </c>
      <c r="F497" s="7">
        <v>20</v>
      </c>
      <c r="G497" s="7">
        <v>963.3</v>
      </c>
      <c r="H497" s="7">
        <v>0.06</v>
      </c>
      <c r="I497" s="9" t="s">
        <v>56</v>
      </c>
      <c r="J497" s="10">
        <v>367.12</v>
      </c>
      <c r="K497" s="11">
        <v>48.04</v>
      </c>
      <c r="L497" s="11">
        <v>7.23</v>
      </c>
      <c r="M497" s="9" t="s">
        <v>279</v>
      </c>
      <c r="N497" s="6" t="s">
        <v>511</v>
      </c>
      <c r="O497" s="6" t="s">
        <v>512</v>
      </c>
      <c r="P497" s="9" t="s">
        <v>25</v>
      </c>
      <c r="Q497" s="9" t="s">
        <v>26</v>
      </c>
      <c r="R497" s="9" t="s">
        <v>61</v>
      </c>
      <c r="S497" s="7" t="s">
        <v>527</v>
      </c>
      <c r="T497" s="9" t="s">
        <v>39</v>
      </c>
      <c r="U497" s="7">
        <v>0.37</v>
      </c>
      <c r="V497" s="12">
        <f>C497+2</f>
        <v>41023</v>
      </c>
      <c r="W497">
        <f>IF(D497=' Pivot Tables'!$A$4,1,0)</f>
        <v>0</v>
      </c>
      <c r="X497">
        <f>IF(AND(LEFT(D497,4)+1=LEFT(' Pivot Tables'!$A$4,4)+0,RIGHT(LEFT(D497,7),2)=RIGHT(LEFT(' Pivot Tables'!$A$4,7),2)),1,0)</f>
        <v>0</v>
      </c>
      <c r="Y497" s="6">
        <f>1/COUNTIF(Таблица1[Order ID],Таблица1[[#This Row],[Order ID]])</f>
        <v>1</v>
      </c>
      <c r="Z497" s="9">
        <f>1/COUNTIFS(Таблица1[Customer Name],Таблица1[[#This Row],[Customer Name]],Таблица1[Order-Year-Month],Таблица1[[#This Row],[Order-Year-Month]])</f>
        <v>1</v>
      </c>
    </row>
    <row r="498" spans="1:26" x14ac:dyDescent="0.2">
      <c r="A498" s="6">
        <v>8333</v>
      </c>
      <c r="B498" s="7">
        <v>59558</v>
      </c>
      <c r="C498" s="8">
        <f>DATE(2012,12,31)-168</f>
        <v>41106</v>
      </c>
      <c r="D498" s="8" t="str">
        <f t="shared" si="10"/>
        <v>2012-07 (июль 2012)</v>
      </c>
      <c r="E498" s="9" t="s">
        <v>45</v>
      </c>
      <c r="F498" s="7">
        <v>34</v>
      </c>
      <c r="G498" s="7">
        <v>94.56</v>
      </c>
      <c r="H498" s="7">
        <v>0</v>
      </c>
      <c r="I498" s="9" t="s">
        <v>22</v>
      </c>
      <c r="J498" s="10">
        <v>37.729999999999997</v>
      </c>
      <c r="K498" s="11">
        <v>2.61</v>
      </c>
      <c r="L498" s="11">
        <v>0.5</v>
      </c>
      <c r="M498" s="9" t="s">
        <v>339</v>
      </c>
      <c r="N498" s="6" t="s">
        <v>511</v>
      </c>
      <c r="O498" s="6" t="s">
        <v>512</v>
      </c>
      <c r="P498" s="9" t="s">
        <v>25</v>
      </c>
      <c r="Q498" s="9" t="s">
        <v>26</v>
      </c>
      <c r="R498" s="9" t="s">
        <v>88</v>
      </c>
      <c r="S498" s="7" t="s">
        <v>528</v>
      </c>
      <c r="T498" s="9" t="s">
        <v>39</v>
      </c>
      <c r="U498" s="7">
        <v>0.39</v>
      </c>
      <c r="V498" s="12">
        <f>C498+3</f>
        <v>41109</v>
      </c>
      <c r="W498">
        <f>IF(D498=' Pivot Tables'!$A$4,1,0)</f>
        <v>0</v>
      </c>
      <c r="X498">
        <f>IF(AND(LEFT(D498,4)+1=LEFT(' Pivot Tables'!$A$4,4)+0,RIGHT(LEFT(D498,7),2)=RIGHT(LEFT(' Pivot Tables'!$A$4,7),2)),1,0)</f>
        <v>0</v>
      </c>
      <c r="Y498" s="6">
        <f>1/COUNTIF(Таблица1[Order ID],Таблица1[[#This Row],[Order ID]])</f>
        <v>1</v>
      </c>
      <c r="Z498" s="9">
        <f>1/COUNTIFS(Таблица1[Customer Name],Таблица1[[#This Row],[Customer Name]],Таблица1[Order-Year-Month],Таблица1[[#This Row],[Order-Year-Month]])</f>
        <v>1</v>
      </c>
    </row>
    <row r="499" spans="1:26" x14ac:dyDescent="0.2">
      <c r="A499" s="6">
        <v>8337</v>
      </c>
      <c r="B499" s="7">
        <v>59585</v>
      </c>
      <c r="C499" s="8">
        <f>DATE(2012,12,31)-100</f>
        <v>41174</v>
      </c>
      <c r="D499" s="8" t="str">
        <f t="shared" si="10"/>
        <v>2012-09 (сентябрь 2012)</v>
      </c>
      <c r="E499" s="9" t="s">
        <v>30</v>
      </c>
      <c r="F499" s="7">
        <v>45</v>
      </c>
      <c r="G499" s="7">
        <v>712.04</v>
      </c>
      <c r="H499" s="7">
        <v>7.0000000000000007E-2</v>
      </c>
      <c r="I499" s="9" t="s">
        <v>22</v>
      </c>
      <c r="J499" s="10">
        <v>-110.925</v>
      </c>
      <c r="K499" s="11">
        <v>15.99</v>
      </c>
      <c r="L499" s="11">
        <v>9.4</v>
      </c>
      <c r="M499" s="9" t="s">
        <v>118</v>
      </c>
      <c r="N499" s="6" t="s">
        <v>511</v>
      </c>
      <c r="O499" s="6" t="s">
        <v>512</v>
      </c>
      <c r="P499" s="9" t="s">
        <v>33</v>
      </c>
      <c r="Q499" s="9" t="s">
        <v>42</v>
      </c>
      <c r="R499" s="9" t="s">
        <v>210</v>
      </c>
      <c r="S499" s="7" t="s">
        <v>489</v>
      </c>
      <c r="T499" s="9" t="s">
        <v>39</v>
      </c>
      <c r="U499" s="7">
        <v>0.49</v>
      </c>
      <c r="V499" s="12">
        <f>C499+1</f>
        <v>41175</v>
      </c>
      <c r="W499">
        <f>IF(D499=' Pivot Tables'!$A$4,1,0)</f>
        <v>0</v>
      </c>
      <c r="X499">
        <f>IF(AND(LEFT(D499,4)+1=LEFT(' Pivot Tables'!$A$4,4)+0,RIGHT(LEFT(D499,7),2)=RIGHT(LEFT(' Pivot Tables'!$A$4,7),2)),1,0)</f>
        <v>0</v>
      </c>
      <c r="Y499" s="6">
        <f>1/COUNTIF(Таблица1[Order ID],Таблица1[[#This Row],[Order ID]])</f>
        <v>1</v>
      </c>
      <c r="Z499" s="9">
        <f>1/COUNTIFS(Таблица1[Customer Name],Таблица1[[#This Row],[Customer Name]],Таблица1[Order-Year-Month],Таблица1[[#This Row],[Order-Year-Month]])</f>
        <v>1</v>
      </c>
    </row>
    <row r="500" spans="1:26" x14ac:dyDescent="0.2">
      <c r="A500" s="6">
        <v>8344</v>
      </c>
      <c r="B500" s="7">
        <v>59651</v>
      </c>
      <c r="C500" s="8">
        <f>DATE(2012,12,31)-956</f>
        <v>40318</v>
      </c>
      <c r="D500" s="8" t="str">
        <f t="shared" si="10"/>
        <v>2010-05 (май 2010)</v>
      </c>
      <c r="E500" s="9" t="s">
        <v>78</v>
      </c>
      <c r="F500" s="7">
        <v>36</v>
      </c>
      <c r="G500" s="7">
        <v>283.20999999999998</v>
      </c>
      <c r="H500" s="7">
        <v>0.08</v>
      </c>
      <c r="I500" s="9" t="s">
        <v>22</v>
      </c>
      <c r="J500" s="10">
        <v>-196.0635</v>
      </c>
      <c r="K500" s="11">
        <v>8.0399999999999991</v>
      </c>
      <c r="L500" s="11">
        <v>8.94</v>
      </c>
      <c r="M500" s="9" t="s">
        <v>203</v>
      </c>
      <c r="N500" s="6" t="s">
        <v>511</v>
      </c>
      <c r="O500" s="6" t="s">
        <v>512</v>
      </c>
      <c r="P500" s="9" t="s">
        <v>41</v>
      </c>
      <c r="Q500" s="9" t="s">
        <v>26</v>
      </c>
      <c r="R500" s="9" t="s">
        <v>37</v>
      </c>
      <c r="S500" s="7" t="s">
        <v>529</v>
      </c>
      <c r="T500" s="9" t="s">
        <v>39</v>
      </c>
      <c r="U500" s="7">
        <v>0.4</v>
      </c>
      <c r="V500" s="12">
        <f>C500+2</f>
        <v>40320</v>
      </c>
      <c r="W500">
        <f>IF(D500=' Pivot Tables'!$A$4,1,0)</f>
        <v>0</v>
      </c>
      <c r="X500">
        <f>IF(AND(LEFT(D500,4)+1=LEFT(' Pivot Tables'!$A$4,4)+0,RIGHT(LEFT(D500,7),2)=RIGHT(LEFT(' Pivot Tables'!$A$4,7),2)),1,0)</f>
        <v>0</v>
      </c>
      <c r="Y500" s="6">
        <f>1/COUNTIF(Таблица1[Order ID],Таблица1[[#This Row],[Order ID]])</f>
        <v>0.5</v>
      </c>
      <c r="Z500" s="9">
        <f>1/COUNTIFS(Таблица1[Customer Name],Таблица1[[#This Row],[Customer Name]],Таблица1[Order-Year-Month],Таблица1[[#This Row],[Order-Year-Month]])</f>
        <v>0.5</v>
      </c>
    </row>
    <row r="501" spans="1:26" x14ac:dyDescent="0.2">
      <c r="A501" s="6">
        <v>8345</v>
      </c>
      <c r="B501" s="7">
        <v>59651</v>
      </c>
      <c r="C501" s="8">
        <f>DATE(2012,12,31)-956</f>
        <v>40318</v>
      </c>
      <c r="D501" s="8" t="str">
        <f t="shared" si="10"/>
        <v>2010-05 (май 2010)</v>
      </c>
      <c r="E501" s="9" t="s">
        <v>78</v>
      </c>
      <c r="F501" s="7">
        <v>18</v>
      </c>
      <c r="G501" s="7">
        <v>45.8</v>
      </c>
      <c r="H501" s="7">
        <v>0.04</v>
      </c>
      <c r="I501" s="9" t="s">
        <v>22</v>
      </c>
      <c r="J501" s="10">
        <v>-52.92</v>
      </c>
      <c r="K501" s="11">
        <v>2.23</v>
      </c>
      <c r="L501" s="11">
        <v>4.57</v>
      </c>
      <c r="M501" s="9" t="s">
        <v>203</v>
      </c>
      <c r="N501" s="6" t="s">
        <v>511</v>
      </c>
      <c r="O501" s="6" t="s">
        <v>512</v>
      </c>
      <c r="P501" s="9" t="s">
        <v>41</v>
      </c>
      <c r="Q501" s="9" t="s">
        <v>49</v>
      </c>
      <c r="R501" s="9" t="s">
        <v>50</v>
      </c>
      <c r="S501" s="7" t="s">
        <v>530</v>
      </c>
      <c r="T501" s="9" t="s">
        <v>52</v>
      </c>
      <c r="U501" s="7">
        <v>0.41</v>
      </c>
      <c r="V501" s="12">
        <f>C501+2</f>
        <v>40320</v>
      </c>
      <c r="W501">
        <f>IF(D501=' Pivot Tables'!$A$4,1,0)</f>
        <v>0</v>
      </c>
      <c r="X501">
        <f>IF(AND(LEFT(D501,4)+1=LEFT(' Pivot Tables'!$A$4,4)+0,RIGHT(LEFT(D501,7),2)=RIGHT(LEFT(' Pivot Tables'!$A$4,7),2)),1,0)</f>
        <v>0</v>
      </c>
      <c r="Y501" s="6">
        <f>1/COUNTIF(Таблица1[Order ID],Таблица1[[#This Row],[Order ID]])</f>
        <v>0.5</v>
      </c>
      <c r="Z501" s="9">
        <f>1/COUNTIFS(Таблица1[Customer Name],Таблица1[[#This Row],[Customer Name]],Таблица1[Order-Year-Month],Таблица1[[#This Row],[Order-Year-Month]])</f>
        <v>0.5</v>
      </c>
    </row>
    <row r="502" spans="1:26" x14ac:dyDescent="0.2">
      <c r="A502" s="6">
        <v>105</v>
      </c>
      <c r="B502" s="7">
        <v>645</v>
      </c>
      <c r="C502" s="8">
        <f>DATE(2012,12,31)-1125</f>
        <v>40149</v>
      </c>
      <c r="D502" s="8" t="str">
        <f t="shared" si="10"/>
        <v>2009-12 (декабрь 2009)</v>
      </c>
      <c r="E502" s="9" t="s">
        <v>30</v>
      </c>
      <c r="F502" s="7">
        <v>42</v>
      </c>
      <c r="G502" s="7">
        <v>557.85</v>
      </c>
      <c r="H502" s="7">
        <v>0.05</v>
      </c>
      <c r="I502" s="9" t="s">
        <v>22</v>
      </c>
      <c r="J502" s="10">
        <v>89.44550000000001</v>
      </c>
      <c r="K502" s="11">
        <v>12.95</v>
      </c>
      <c r="L502" s="11">
        <v>4.9800000000000004</v>
      </c>
      <c r="M502" s="9" t="s">
        <v>531</v>
      </c>
      <c r="N502" s="6" t="s">
        <v>511</v>
      </c>
      <c r="O502" s="6" t="s">
        <v>512</v>
      </c>
      <c r="P502" s="9" t="s">
        <v>33</v>
      </c>
      <c r="Q502" s="9" t="s">
        <v>26</v>
      </c>
      <c r="R502" s="9" t="s">
        <v>37</v>
      </c>
      <c r="S502" s="7" t="s">
        <v>278</v>
      </c>
      <c r="T502" s="9" t="s">
        <v>39</v>
      </c>
      <c r="U502" s="7">
        <v>0.4</v>
      </c>
      <c r="V502" s="12">
        <f>C502+2</f>
        <v>40151</v>
      </c>
      <c r="W502">
        <f>IF(D502=' Pivot Tables'!$A$4,1,0)</f>
        <v>0</v>
      </c>
      <c r="X502">
        <f>IF(AND(LEFT(D502,4)+1=LEFT(' Pivot Tables'!$A$4,4)+0,RIGHT(LEFT(D502,7),2)=RIGHT(LEFT(' Pivot Tables'!$A$4,7),2)),1,0)</f>
        <v>0</v>
      </c>
      <c r="Y502" s="6">
        <f>1/COUNTIF(Таблица1[Order ID],Таблица1[[#This Row],[Order ID]])</f>
        <v>1</v>
      </c>
      <c r="Z502" s="9">
        <f>1/COUNTIFS(Таблица1[Customer Name],Таблица1[[#This Row],[Customer Name]],Таблица1[Order-Year-Month],Таблица1[[#This Row],[Order-Year-Month]])</f>
        <v>1</v>
      </c>
    </row>
    <row r="503" spans="1:26" x14ac:dyDescent="0.2">
      <c r="A503" s="6">
        <v>115</v>
      </c>
      <c r="B503" s="7">
        <v>769</v>
      </c>
      <c r="C503" s="8">
        <f>DATE(2012,12,31)-944</f>
        <v>40330</v>
      </c>
      <c r="D503" s="8" t="str">
        <f t="shared" si="10"/>
        <v>2010-06 (июнь 2010)</v>
      </c>
      <c r="E503" s="9" t="s">
        <v>63</v>
      </c>
      <c r="F503" s="7">
        <v>37</v>
      </c>
      <c r="G503" s="7">
        <v>4261.9399999999996</v>
      </c>
      <c r="H503" s="7">
        <v>0.02</v>
      </c>
      <c r="I503" s="9" t="s">
        <v>31</v>
      </c>
      <c r="J503" s="10">
        <v>4.1500000000000057</v>
      </c>
      <c r="K503" s="11">
        <v>115.99</v>
      </c>
      <c r="L503" s="11">
        <v>56.14</v>
      </c>
      <c r="M503" s="9" t="s">
        <v>532</v>
      </c>
      <c r="N503" s="6" t="s">
        <v>511</v>
      </c>
      <c r="O503" s="6" t="s">
        <v>512</v>
      </c>
      <c r="P503" s="9" t="s">
        <v>33</v>
      </c>
      <c r="Q503" s="9" t="s">
        <v>42</v>
      </c>
      <c r="R503" s="9" t="s">
        <v>210</v>
      </c>
      <c r="S503" s="7" t="s">
        <v>482</v>
      </c>
      <c r="T503" s="9" t="s">
        <v>36</v>
      </c>
      <c r="U503" s="7">
        <v>0.4</v>
      </c>
      <c r="V503" s="12">
        <f>C503+1</f>
        <v>40331</v>
      </c>
      <c r="W503">
        <f>IF(D503=' Pivot Tables'!$A$4,1,0)</f>
        <v>0</v>
      </c>
      <c r="X503">
        <f>IF(AND(LEFT(D503,4)+1=LEFT(' Pivot Tables'!$A$4,4)+0,RIGHT(LEFT(D503,7),2)=RIGHT(LEFT(' Pivot Tables'!$A$4,7),2)),1,0)</f>
        <v>0</v>
      </c>
      <c r="Y503" s="6">
        <f>1/COUNTIF(Таблица1[Order ID],Таблица1[[#This Row],[Order ID]])</f>
        <v>1</v>
      </c>
      <c r="Z503" s="9">
        <f>1/COUNTIFS(Таблица1[Customer Name],Таблица1[[#This Row],[Customer Name]],Таблица1[Order-Year-Month],Таблица1[[#This Row],[Order-Year-Month]])</f>
        <v>1</v>
      </c>
    </row>
    <row r="504" spans="1:26" x14ac:dyDescent="0.2">
      <c r="A504" s="6">
        <v>119</v>
      </c>
      <c r="B504" s="7">
        <v>773</v>
      </c>
      <c r="C504" s="8">
        <f>DATE(2012,12,31)-828</f>
        <v>40446</v>
      </c>
      <c r="D504" s="8" t="str">
        <f t="shared" si="10"/>
        <v>2010-09 (сентябрь 2010)</v>
      </c>
      <c r="E504" s="9" t="s">
        <v>63</v>
      </c>
      <c r="F504" s="7">
        <v>38</v>
      </c>
      <c r="G504" s="7">
        <v>2071.3395</v>
      </c>
      <c r="H504" s="7">
        <v>0.06</v>
      </c>
      <c r="I504" s="9" t="s">
        <v>22</v>
      </c>
      <c r="J504" s="10">
        <v>324.92699999999996</v>
      </c>
      <c r="K504" s="11">
        <v>65.989999999999995</v>
      </c>
      <c r="L504" s="11">
        <v>8.99</v>
      </c>
      <c r="M504" s="9" t="s">
        <v>533</v>
      </c>
      <c r="N504" s="6" t="s">
        <v>511</v>
      </c>
      <c r="O504" s="6" t="s">
        <v>512</v>
      </c>
      <c r="P504" s="9" t="s">
        <v>60</v>
      </c>
      <c r="Q504" s="9" t="s">
        <v>42</v>
      </c>
      <c r="R504" s="9" t="s">
        <v>43</v>
      </c>
      <c r="S504" s="7" t="s">
        <v>534</v>
      </c>
      <c r="T504" s="9" t="s">
        <v>39</v>
      </c>
      <c r="U504" s="7">
        <v>0.56000000000000005</v>
      </c>
      <c r="V504" s="12">
        <f>C504+1</f>
        <v>40447</v>
      </c>
      <c r="W504">
        <f>IF(D504=' Pivot Tables'!$A$4,1,0)</f>
        <v>0</v>
      </c>
      <c r="X504">
        <f>IF(AND(LEFT(D504,4)+1=LEFT(' Pivot Tables'!$A$4,4)+0,RIGHT(LEFT(D504,7),2)=RIGHT(LEFT(' Pivot Tables'!$A$4,7),2)),1,0)</f>
        <v>0</v>
      </c>
      <c r="Y504" s="6">
        <f>1/COUNTIF(Таблица1[Order ID],Таблица1[[#This Row],[Order ID]])</f>
        <v>1</v>
      </c>
      <c r="Z504" s="9">
        <f>1/COUNTIFS(Таблица1[Customer Name],Таблица1[[#This Row],[Customer Name]],Таблица1[Order-Year-Month],Таблица1[[#This Row],[Order-Year-Month]])</f>
        <v>1</v>
      </c>
    </row>
    <row r="505" spans="1:26" x14ac:dyDescent="0.2">
      <c r="A505" s="6">
        <v>180</v>
      </c>
      <c r="B505" s="7">
        <v>1187</v>
      </c>
      <c r="C505" s="8">
        <f>DATE(2012,12,31)-42</f>
        <v>41232</v>
      </c>
      <c r="D505" s="8" t="str">
        <f t="shared" si="10"/>
        <v>2012-11 (ноябрь 2012)</v>
      </c>
      <c r="E505" s="9" t="s">
        <v>63</v>
      </c>
      <c r="F505" s="7">
        <v>14</v>
      </c>
      <c r="G505" s="7">
        <v>222.91</v>
      </c>
      <c r="H505" s="7">
        <v>0.05</v>
      </c>
      <c r="I505" s="9" t="s">
        <v>22</v>
      </c>
      <c r="J505" s="10">
        <v>20.21</v>
      </c>
      <c r="K505" s="11">
        <v>15.98</v>
      </c>
      <c r="L505" s="11">
        <v>4</v>
      </c>
      <c r="M505" s="9" t="s">
        <v>535</v>
      </c>
      <c r="N505" s="6" t="s">
        <v>511</v>
      </c>
      <c r="O505" s="6" t="s">
        <v>512</v>
      </c>
      <c r="P505" s="9" t="s">
        <v>41</v>
      </c>
      <c r="Q505" s="9" t="s">
        <v>42</v>
      </c>
      <c r="R505" s="9" t="s">
        <v>70</v>
      </c>
      <c r="S505" s="7" t="s">
        <v>536</v>
      </c>
      <c r="T505" s="9" t="s">
        <v>39</v>
      </c>
      <c r="U505" s="7">
        <v>0.37</v>
      </c>
      <c r="V505" s="12">
        <f>C505+1</f>
        <v>41233</v>
      </c>
      <c r="W505">
        <f>IF(D505=' Pivot Tables'!$A$4,1,0)</f>
        <v>0</v>
      </c>
      <c r="X505">
        <f>IF(AND(LEFT(D505,4)+1=LEFT(' Pivot Tables'!$A$4,4)+0,RIGHT(LEFT(D505,7),2)=RIGHT(LEFT(' Pivot Tables'!$A$4,7),2)),1,0)</f>
        <v>0</v>
      </c>
      <c r="Y505" s="6">
        <f>1/COUNTIF(Таблица1[Order ID],Таблица1[[#This Row],[Order ID]])</f>
        <v>1</v>
      </c>
      <c r="Z505" s="9">
        <f>1/COUNTIFS(Таблица1[Customer Name],Таблица1[[#This Row],[Customer Name]],Таблица1[Order-Year-Month],Таблица1[[#This Row],[Order-Year-Month]])</f>
        <v>0.25</v>
      </c>
    </row>
    <row r="506" spans="1:26" x14ac:dyDescent="0.2">
      <c r="A506" s="6">
        <v>342</v>
      </c>
      <c r="B506" s="7">
        <v>2339</v>
      </c>
      <c r="C506" s="8">
        <f>DATE(2012,12,31)-748</f>
        <v>40526</v>
      </c>
      <c r="D506" s="8" t="str">
        <f t="shared" si="10"/>
        <v>2010-12 (декабрь 2010)</v>
      </c>
      <c r="E506" s="9" t="s">
        <v>21</v>
      </c>
      <c r="F506" s="7">
        <v>12</v>
      </c>
      <c r="G506" s="7">
        <v>1634.98</v>
      </c>
      <c r="H506" s="7">
        <v>0.09</v>
      </c>
      <c r="I506" s="9" t="s">
        <v>22</v>
      </c>
      <c r="J506" s="10">
        <v>-120.45</v>
      </c>
      <c r="K506" s="11">
        <v>140.85</v>
      </c>
      <c r="L506" s="11">
        <v>19.989999999999998</v>
      </c>
      <c r="M506" s="9" t="s">
        <v>537</v>
      </c>
      <c r="N506" s="6" t="s">
        <v>511</v>
      </c>
      <c r="O506" s="6" t="s">
        <v>512</v>
      </c>
      <c r="P506" s="9" t="s">
        <v>25</v>
      </c>
      <c r="Q506" s="9" t="s">
        <v>26</v>
      </c>
      <c r="R506" s="9" t="s">
        <v>27</v>
      </c>
      <c r="S506" s="7" t="s">
        <v>538</v>
      </c>
      <c r="T506" s="9" t="s">
        <v>39</v>
      </c>
      <c r="U506" s="7">
        <v>0.73</v>
      </c>
      <c r="V506" s="12">
        <f>C506+2</f>
        <v>40528</v>
      </c>
      <c r="W506">
        <f>IF(D506=' Pivot Tables'!$A$4,1,0)</f>
        <v>0</v>
      </c>
      <c r="X506">
        <f>IF(AND(LEFT(D506,4)+1=LEFT(' Pivot Tables'!$A$4,4)+0,RIGHT(LEFT(D506,7),2)=RIGHT(LEFT(' Pivot Tables'!$A$4,7),2)),1,0)</f>
        <v>0</v>
      </c>
      <c r="Y506" s="6">
        <f>1/COUNTIF(Таблица1[Order ID],Таблица1[[#This Row],[Order ID]])</f>
        <v>1</v>
      </c>
      <c r="Z506" s="9">
        <f>1/COUNTIFS(Таблица1[Customer Name],Таблица1[[#This Row],[Customer Name]],Таблица1[Order-Year-Month],Таблица1[[#This Row],[Order-Year-Month]])</f>
        <v>0.5</v>
      </c>
    </row>
    <row r="507" spans="1:26" x14ac:dyDescent="0.2">
      <c r="A507" s="6">
        <v>510</v>
      </c>
      <c r="B507" s="7">
        <v>3521</v>
      </c>
      <c r="C507" s="8">
        <f>DATE(2012,12,31)-67</f>
        <v>41207</v>
      </c>
      <c r="D507" s="8" t="str">
        <f t="shared" si="10"/>
        <v>2012-10 (октябрь 2012)</v>
      </c>
      <c r="E507" s="9" t="s">
        <v>21</v>
      </c>
      <c r="F507" s="7">
        <v>50</v>
      </c>
      <c r="G507" s="7">
        <v>204.11</v>
      </c>
      <c r="H507" s="7">
        <v>0.06</v>
      </c>
      <c r="I507" s="9" t="s">
        <v>22</v>
      </c>
      <c r="J507" s="10">
        <v>28.71</v>
      </c>
      <c r="K507" s="11">
        <v>4.28</v>
      </c>
      <c r="L507" s="11">
        <v>0.94</v>
      </c>
      <c r="M507" s="9" t="s">
        <v>539</v>
      </c>
      <c r="N507" s="6" t="s">
        <v>511</v>
      </c>
      <c r="O507" s="6" t="s">
        <v>512</v>
      </c>
      <c r="P507" s="9" t="s">
        <v>60</v>
      </c>
      <c r="Q507" s="9" t="s">
        <v>26</v>
      </c>
      <c r="R507" s="9" t="s">
        <v>95</v>
      </c>
      <c r="S507" s="7" t="s">
        <v>540</v>
      </c>
      <c r="T507" s="9" t="s">
        <v>68</v>
      </c>
      <c r="U507" s="7">
        <v>0.56000000000000005</v>
      </c>
      <c r="V507" s="12">
        <f>C507+2</f>
        <v>41209</v>
      </c>
      <c r="W507">
        <f>IF(D507=' Pivot Tables'!$A$4,1,0)</f>
        <v>0</v>
      </c>
      <c r="X507">
        <f>IF(AND(LEFT(D507,4)+1=LEFT(' Pivot Tables'!$A$4,4)+0,RIGHT(LEFT(D507,7),2)=RIGHT(LEFT(' Pivot Tables'!$A$4,7),2)),1,0)</f>
        <v>0</v>
      </c>
      <c r="Y507" s="6">
        <f>1/COUNTIF(Таблица1[Order ID],Таблица1[[#This Row],[Order ID]])</f>
        <v>1</v>
      </c>
      <c r="Z507" s="9">
        <f>1/COUNTIFS(Таблица1[Customer Name],Таблица1[[#This Row],[Customer Name]],Таблица1[Order-Year-Month],Таблица1[[#This Row],[Order-Year-Month]])</f>
        <v>1</v>
      </c>
    </row>
    <row r="508" spans="1:26" x14ac:dyDescent="0.2">
      <c r="A508" s="6">
        <v>587</v>
      </c>
      <c r="B508" s="7">
        <v>4007</v>
      </c>
      <c r="C508" s="8">
        <f>DATE(2012,12,31)-928</f>
        <v>40346</v>
      </c>
      <c r="D508" s="8" t="str">
        <f t="shared" si="10"/>
        <v>2010-06 (июнь 2010)</v>
      </c>
      <c r="E508" s="9" t="s">
        <v>30</v>
      </c>
      <c r="F508" s="7">
        <v>18</v>
      </c>
      <c r="G508" s="7">
        <v>1038.4000000000001</v>
      </c>
      <c r="H508" s="7">
        <v>0.01</v>
      </c>
      <c r="I508" s="9" t="s">
        <v>22</v>
      </c>
      <c r="J508" s="10">
        <v>112.36</v>
      </c>
      <c r="K508" s="11">
        <v>56.96</v>
      </c>
      <c r="L508" s="11">
        <v>13.22</v>
      </c>
      <c r="M508" s="9" t="s">
        <v>296</v>
      </c>
      <c r="N508" s="6" t="s">
        <v>511</v>
      </c>
      <c r="O508" s="6" t="s">
        <v>512</v>
      </c>
      <c r="P508" s="9" t="s">
        <v>41</v>
      </c>
      <c r="Q508" s="9" t="s">
        <v>26</v>
      </c>
      <c r="R508" s="9" t="s">
        <v>34</v>
      </c>
      <c r="S508" s="7" t="s">
        <v>541</v>
      </c>
      <c r="T508" s="9" t="s">
        <v>39</v>
      </c>
      <c r="U508" s="7">
        <v>0.56000000000000005</v>
      </c>
      <c r="V508" s="12">
        <f>C508+1</f>
        <v>40347</v>
      </c>
      <c r="W508">
        <f>IF(D508=' Pivot Tables'!$A$4,1,0)</f>
        <v>0</v>
      </c>
      <c r="X508">
        <f>IF(AND(LEFT(D508,4)+1=LEFT(' Pivot Tables'!$A$4,4)+0,RIGHT(LEFT(D508,7),2)=RIGHT(LEFT(' Pivot Tables'!$A$4,7),2)),1,0)</f>
        <v>0</v>
      </c>
      <c r="Y508" s="6">
        <f>1/COUNTIF(Таблица1[Order ID],Таблица1[[#This Row],[Order ID]])</f>
        <v>0.5</v>
      </c>
      <c r="Z508" s="9">
        <f>1/COUNTIFS(Таблица1[Customer Name],Таблица1[[#This Row],[Customer Name]],Таблица1[Order-Year-Month],Таблица1[[#This Row],[Order-Year-Month]])</f>
        <v>0.5</v>
      </c>
    </row>
    <row r="509" spans="1:26" x14ac:dyDescent="0.2">
      <c r="A509" s="6">
        <v>588</v>
      </c>
      <c r="B509" s="7">
        <v>4007</v>
      </c>
      <c r="C509" s="8">
        <f>DATE(2012,12,31)-928</f>
        <v>40346</v>
      </c>
      <c r="D509" s="8" t="str">
        <f t="shared" si="10"/>
        <v>2010-06 (июнь 2010)</v>
      </c>
      <c r="E509" s="9" t="s">
        <v>30</v>
      </c>
      <c r="F509" s="7">
        <v>1</v>
      </c>
      <c r="G509" s="7">
        <v>305.82</v>
      </c>
      <c r="H509" s="7">
        <v>0.05</v>
      </c>
      <c r="I509" s="9" t="s">
        <v>22</v>
      </c>
      <c r="J509" s="10">
        <v>-232.24</v>
      </c>
      <c r="K509" s="11">
        <v>279.48</v>
      </c>
      <c r="L509" s="11">
        <v>35</v>
      </c>
      <c r="M509" s="9" t="s">
        <v>296</v>
      </c>
      <c r="N509" s="6" t="s">
        <v>511</v>
      </c>
      <c r="O509" s="6" t="s">
        <v>512</v>
      </c>
      <c r="P509" s="9" t="s">
        <v>41</v>
      </c>
      <c r="Q509" s="9" t="s">
        <v>26</v>
      </c>
      <c r="R509" s="9" t="s">
        <v>27</v>
      </c>
      <c r="S509" s="7" t="s">
        <v>180</v>
      </c>
      <c r="T509" s="9" t="s">
        <v>29</v>
      </c>
      <c r="U509" s="7">
        <v>0.8</v>
      </c>
      <c r="V509" s="12">
        <f>C509+1</f>
        <v>40347</v>
      </c>
      <c r="W509">
        <f>IF(D509=' Pivot Tables'!$A$4,1,0)</f>
        <v>0</v>
      </c>
      <c r="X509">
        <f>IF(AND(LEFT(D509,4)+1=LEFT(' Pivot Tables'!$A$4,4)+0,RIGHT(LEFT(D509,7),2)=RIGHT(LEFT(' Pivot Tables'!$A$4,7),2)),1,0)</f>
        <v>0</v>
      </c>
      <c r="Y509" s="6">
        <f>1/COUNTIF(Таблица1[Order ID],Таблица1[[#This Row],[Order ID]])</f>
        <v>0.5</v>
      </c>
      <c r="Z509" s="9">
        <f>1/COUNTIFS(Таблица1[Customer Name],Таблица1[[#This Row],[Customer Name]],Таблица1[Order-Year-Month],Таблица1[[#This Row],[Order-Year-Month]])</f>
        <v>0.5</v>
      </c>
    </row>
    <row r="510" spans="1:26" x14ac:dyDescent="0.2">
      <c r="A510" s="6">
        <v>632</v>
      </c>
      <c r="B510" s="7">
        <v>4416</v>
      </c>
      <c r="C510" s="8">
        <f>DATE(2012,12,31)-185</f>
        <v>41089</v>
      </c>
      <c r="D510" s="8" t="str">
        <f t="shared" si="10"/>
        <v>2012-06 (июнь 2012)</v>
      </c>
      <c r="E510" s="9" t="s">
        <v>21</v>
      </c>
      <c r="F510" s="7">
        <v>46</v>
      </c>
      <c r="G510" s="7">
        <v>7441.29</v>
      </c>
      <c r="H510" s="7">
        <v>0.1</v>
      </c>
      <c r="I510" s="9" t="s">
        <v>22</v>
      </c>
      <c r="J510" s="10">
        <v>2665.3960000000002</v>
      </c>
      <c r="K510" s="11">
        <v>165.98</v>
      </c>
      <c r="L510" s="11">
        <v>19.989999999999998</v>
      </c>
      <c r="M510" s="9" t="s">
        <v>542</v>
      </c>
      <c r="N510" s="6" t="s">
        <v>511</v>
      </c>
      <c r="O510" s="6" t="s">
        <v>512</v>
      </c>
      <c r="P510" s="9" t="s">
        <v>41</v>
      </c>
      <c r="Q510" s="9" t="s">
        <v>26</v>
      </c>
      <c r="R510" s="9" t="s">
        <v>37</v>
      </c>
      <c r="S510" s="7" t="s">
        <v>543</v>
      </c>
      <c r="T510" s="9" t="s">
        <v>39</v>
      </c>
      <c r="U510" s="7">
        <v>0.4</v>
      </c>
      <c r="V510" s="12">
        <f>C510+4</f>
        <v>41093</v>
      </c>
      <c r="W510">
        <f>IF(D510=' Pivot Tables'!$A$4,1,0)</f>
        <v>0</v>
      </c>
      <c r="X510">
        <f>IF(AND(LEFT(D510,4)+1=LEFT(' Pivot Tables'!$A$4,4)+0,RIGHT(LEFT(D510,7),2)=RIGHT(LEFT(' Pivot Tables'!$A$4,7),2)),1,0)</f>
        <v>0</v>
      </c>
      <c r="Y510" s="6">
        <f>1/COUNTIF(Таблица1[Order ID],Таблица1[[#This Row],[Order ID]])</f>
        <v>1</v>
      </c>
      <c r="Z510" s="9">
        <f>1/COUNTIFS(Таблица1[Customer Name],Таблица1[[#This Row],[Customer Name]],Таблица1[Order-Year-Month],Таблица1[[#This Row],[Order-Year-Month]])</f>
        <v>1</v>
      </c>
    </row>
    <row r="511" spans="1:26" x14ac:dyDescent="0.2">
      <c r="A511" s="6">
        <v>636</v>
      </c>
      <c r="B511" s="7">
        <v>4454</v>
      </c>
      <c r="C511" s="8">
        <f>DATE(2012,12,31)-1429</f>
        <v>39845</v>
      </c>
      <c r="D511" s="8" t="str">
        <f t="shared" si="10"/>
        <v>2009-02 (февраль 2009)</v>
      </c>
      <c r="E511" s="9" t="s">
        <v>21</v>
      </c>
      <c r="F511" s="7">
        <v>17</v>
      </c>
      <c r="G511" s="7">
        <v>55.45</v>
      </c>
      <c r="H511" s="7">
        <v>0.01</v>
      </c>
      <c r="I511" s="9" t="s">
        <v>22</v>
      </c>
      <c r="J511" s="10">
        <v>21.42</v>
      </c>
      <c r="K511" s="11">
        <v>3.08</v>
      </c>
      <c r="L511" s="11">
        <v>0.5</v>
      </c>
      <c r="M511" s="9" t="s">
        <v>542</v>
      </c>
      <c r="N511" s="6" t="s">
        <v>511</v>
      </c>
      <c r="O511" s="6" t="s">
        <v>512</v>
      </c>
      <c r="P511" s="9" t="s">
        <v>41</v>
      </c>
      <c r="Q511" s="9" t="s">
        <v>26</v>
      </c>
      <c r="R511" s="9" t="s">
        <v>88</v>
      </c>
      <c r="S511" s="7" t="s">
        <v>544</v>
      </c>
      <c r="T511" s="9" t="s">
        <v>39</v>
      </c>
      <c r="U511" s="7">
        <v>0.37</v>
      </c>
      <c r="V511" s="12">
        <f>C511+5</f>
        <v>39850</v>
      </c>
      <c r="W511">
        <f>IF(D511=' Pivot Tables'!$A$4,1,0)</f>
        <v>0</v>
      </c>
      <c r="X511">
        <f>IF(AND(LEFT(D511,4)+1=LEFT(' Pivot Tables'!$A$4,4)+0,RIGHT(LEFT(D511,7),2)=RIGHT(LEFT(' Pivot Tables'!$A$4,7),2)),1,0)</f>
        <v>0</v>
      </c>
      <c r="Y511" s="6">
        <f>1/COUNTIF(Таблица1[Order ID],Таблица1[[#This Row],[Order ID]])</f>
        <v>1</v>
      </c>
      <c r="Z511" s="9">
        <f>1/COUNTIFS(Таблица1[Customer Name],Таблица1[[#This Row],[Customer Name]],Таблица1[Order-Year-Month],Таблица1[[#This Row],[Order-Year-Month]])</f>
        <v>0.2</v>
      </c>
    </row>
    <row r="512" spans="1:26" x14ac:dyDescent="0.2">
      <c r="A512" s="6">
        <v>719</v>
      </c>
      <c r="B512" s="7">
        <v>5153</v>
      </c>
      <c r="C512" s="8">
        <f>DATE(2012,12,31)-494</f>
        <v>40780</v>
      </c>
      <c r="D512" s="8" t="str">
        <f t="shared" si="10"/>
        <v>2011-08 (август 2011)</v>
      </c>
      <c r="E512" s="9" t="s">
        <v>78</v>
      </c>
      <c r="F512" s="7">
        <v>37</v>
      </c>
      <c r="G512" s="7">
        <v>4896.93</v>
      </c>
      <c r="H512" s="7">
        <v>0.04</v>
      </c>
      <c r="I512" s="9" t="s">
        <v>56</v>
      </c>
      <c r="J512" s="10">
        <v>1467.82</v>
      </c>
      <c r="K512" s="11">
        <v>128.24</v>
      </c>
      <c r="L512" s="11">
        <v>12.65</v>
      </c>
      <c r="M512" s="9" t="s">
        <v>533</v>
      </c>
      <c r="N512" s="6" t="s">
        <v>511</v>
      </c>
      <c r="O512" s="6" t="s">
        <v>512</v>
      </c>
      <c r="P512" s="9" t="s">
        <v>60</v>
      </c>
      <c r="Q512" s="9" t="s">
        <v>49</v>
      </c>
      <c r="R512" s="9" t="s">
        <v>112</v>
      </c>
      <c r="S512" s="7" t="s">
        <v>545</v>
      </c>
      <c r="T512" s="9" t="s">
        <v>48</v>
      </c>
      <c r="U512" s="7"/>
      <c r="V512" s="12">
        <f>C512+2</f>
        <v>40782</v>
      </c>
      <c r="W512">
        <f>IF(D512=' Pivot Tables'!$A$4,1,0)</f>
        <v>0</v>
      </c>
      <c r="X512">
        <f>IF(AND(LEFT(D512,4)+1=LEFT(' Pivot Tables'!$A$4,4)+0,RIGHT(LEFT(D512,7),2)=RIGHT(LEFT(' Pivot Tables'!$A$4,7),2)),1,0)</f>
        <v>0</v>
      </c>
      <c r="Y512" s="6">
        <f>1/COUNTIF(Таблица1[Order ID],Таблица1[[#This Row],[Order ID]])</f>
        <v>1</v>
      </c>
      <c r="Z512" s="9">
        <f>1/COUNTIFS(Таблица1[Customer Name],Таблица1[[#This Row],[Customer Name]],Таблица1[Order-Year-Month],Таблица1[[#This Row],[Order-Year-Month]])</f>
        <v>1</v>
      </c>
    </row>
    <row r="513" spans="1:26" x14ac:dyDescent="0.2">
      <c r="A513" s="6">
        <v>762</v>
      </c>
      <c r="B513" s="7">
        <v>5446</v>
      </c>
      <c r="C513" s="8">
        <f>DATE(2012,12,31)-1290</f>
        <v>39984</v>
      </c>
      <c r="D513" s="8" t="str">
        <f t="shared" si="10"/>
        <v>2009-06 (июнь 2009)</v>
      </c>
      <c r="E513" s="9" t="s">
        <v>21</v>
      </c>
      <c r="F513" s="7">
        <v>42</v>
      </c>
      <c r="G513" s="7">
        <v>433.68</v>
      </c>
      <c r="H513" s="7">
        <v>7.0000000000000007E-2</v>
      </c>
      <c r="I513" s="9" t="s">
        <v>22</v>
      </c>
      <c r="J513" s="10">
        <v>44.1</v>
      </c>
      <c r="K513" s="11">
        <v>10.98</v>
      </c>
      <c r="L513" s="11">
        <v>4.8</v>
      </c>
      <c r="M513" s="9" t="s">
        <v>535</v>
      </c>
      <c r="N513" s="6" t="s">
        <v>511</v>
      </c>
      <c r="O513" s="6" t="s">
        <v>512</v>
      </c>
      <c r="P513" s="9" t="s">
        <v>41</v>
      </c>
      <c r="Q513" s="9" t="s">
        <v>26</v>
      </c>
      <c r="R513" s="9" t="s">
        <v>76</v>
      </c>
      <c r="S513" s="7" t="s">
        <v>546</v>
      </c>
      <c r="T513" s="9" t="s">
        <v>39</v>
      </c>
      <c r="U513" s="7">
        <v>0.36</v>
      </c>
      <c r="V513" s="12">
        <f>C513+7</f>
        <v>39991</v>
      </c>
      <c r="W513">
        <f>IF(D513=' Pivot Tables'!$A$4,1,0)</f>
        <v>0</v>
      </c>
      <c r="X513">
        <f>IF(AND(LEFT(D513,4)+1=LEFT(' Pivot Tables'!$A$4,4)+0,RIGHT(LEFT(D513,7),2)=RIGHT(LEFT(' Pivot Tables'!$A$4,7),2)),1,0)</f>
        <v>0</v>
      </c>
      <c r="Y513" s="6">
        <f>1/COUNTIF(Таблица1[Order ID],Таблица1[[#This Row],[Order ID]])</f>
        <v>1</v>
      </c>
      <c r="Z513" s="9">
        <f>1/COUNTIFS(Таблица1[Customer Name],Таблица1[[#This Row],[Customer Name]],Таблица1[Order-Year-Month],Таблица1[[#This Row],[Order-Year-Month]])</f>
        <v>1</v>
      </c>
    </row>
    <row r="514" spans="1:26" x14ac:dyDescent="0.2">
      <c r="A514" s="6">
        <v>1106</v>
      </c>
      <c r="B514" s="7">
        <v>8131</v>
      </c>
      <c r="C514" s="8">
        <f>DATE(2012,12,31)-973</f>
        <v>40301</v>
      </c>
      <c r="D514" s="8" t="str">
        <f t="shared" si="10"/>
        <v>2010-05 (май 2010)</v>
      </c>
      <c r="E514" s="9" t="s">
        <v>78</v>
      </c>
      <c r="F514" s="7">
        <v>24</v>
      </c>
      <c r="G514" s="7">
        <v>717.29</v>
      </c>
      <c r="H514" s="7">
        <v>0.01</v>
      </c>
      <c r="I514" s="9" t="s">
        <v>22</v>
      </c>
      <c r="J514" s="10">
        <v>191.29</v>
      </c>
      <c r="K514" s="11">
        <v>29.89</v>
      </c>
      <c r="L514" s="11">
        <v>1.99</v>
      </c>
      <c r="M514" s="9" t="s">
        <v>533</v>
      </c>
      <c r="N514" s="6" t="s">
        <v>511</v>
      </c>
      <c r="O514" s="6" t="s">
        <v>512</v>
      </c>
      <c r="P514" s="9" t="s">
        <v>60</v>
      </c>
      <c r="Q514" s="9" t="s">
        <v>42</v>
      </c>
      <c r="R514" s="9" t="s">
        <v>70</v>
      </c>
      <c r="S514" s="7" t="s">
        <v>547</v>
      </c>
      <c r="T514" s="9" t="s">
        <v>52</v>
      </c>
      <c r="U514" s="7">
        <v>0.5</v>
      </c>
      <c r="V514" s="12">
        <f>C514+0</f>
        <v>40301</v>
      </c>
      <c r="W514">
        <f>IF(D514=' Pivot Tables'!$A$4,1,0)</f>
        <v>0</v>
      </c>
      <c r="X514">
        <f>IF(AND(LEFT(D514,4)+1=LEFT(' Pivot Tables'!$A$4,4)+0,RIGHT(LEFT(D514,7),2)=RIGHT(LEFT(' Pivot Tables'!$A$4,7),2)),1,0)</f>
        <v>0</v>
      </c>
      <c r="Y514" s="6">
        <f>1/COUNTIF(Таблица1[Order ID],Таблица1[[#This Row],[Order ID]])</f>
        <v>1</v>
      </c>
      <c r="Z514" s="9">
        <f>1/COUNTIFS(Таблица1[Customer Name],Таблица1[[#This Row],[Customer Name]],Таблица1[Order-Year-Month],Таблица1[[#This Row],[Order-Year-Month]])</f>
        <v>1</v>
      </c>
    </row>
    <row r="515" spans="1:26" x14ac:dyDescent="0.2">
      <c r="A515" s="6">
        <v>1225</v>
      </c>
      <c r="B515" s="7">
        <v>8994</v>
      </c>
      <c r="C515" s="8">
        <f>DATE(2012,12,31)-1364</f>
        <v>39910</v>
      </c>
      <c r="D515" s="8" t="str">
        <f t="shared" ref="D515:D578" si="11">TEXT(C515,"гггг-ММ (ММММ гггг)")</f>
        <v>2009-04 (апрель 2009)</v>
      </c>
      <c r="E515" s="9" t="s">
        <v>21</v>
      </c>
      <c r="F515" s="7">
        <v>36</v>
      </c>
      <c r="G515" s="7">
        <v>1423.35</v>
      </c>
      <c r="H515" s="7">
        <v>0.1</v>
      </c>
      <c r="I515" s="9" t="s">
        <v>22</v>
      </c>
      <c r="J515" s="10">
        <v>-580.32000000000005</v>
      </c>
      <c r="K515" s="11">
        <v>40.479999999999997</v>
      </c>
      <c r="L515" s="11">
        <v>19.989999999999998</v>
      </c>
      <c r="M515" s="9" t="s">
        <v>548</v>
      </c>
      <c r="N515" s="6" t="s">
        <v>511</v>
      </c>
      <c r="O515" s="6" t="s">
        <v>512</v>
      </c>
      <c r="P515" s="9" t="s">
        <v>41</v>
      </c>
      <c r="Q515" s="9" t="s">
        <v>42</v>
      </c>
      <c r="R515" s="9" t="s">
        <v>70</v>
      </c>
      <c r="S515" s="7" t="s">
        <v>549</v>
      </c>
      <c r="T515" s="9" t="s">
        <v>39</v>
      </c>
      <c r="U515" s="7">
        <v>0.77</v>
      </c>
      <c r="V515" s="12">
        <f>C515+2</f>
        <v>39912</v>
      </c>
      <c r="W515">
        <f>IF(D515=' Pivot Tables'!$A$4,1,0)</f>
        <v>0</v>
      </c>
      <c r="X515">
        <f>IF(AND(LEFT(D515,4)+1=LEFT(' Pivot Tables'!$A$4,4)+0,RIGHT(LEFT(D515,7),2)=RIGHT(LEFT(' Pivot Tables'!$A$4,7),2)),1,0)</f>
        <v>0</v>
      </c>
      <c r="Y515" s="6">
        <f>1/COUNTIF(Таблица1[Order ID],Таблица1[[#This Row],[Order ID]])</f>
        <v>1</v>
      </c>
      <c r="Z515" s="9">
        <f>1/COUNTIFS(Таблица1[Customer Name],Таблица1[[#This Row],[Customer Name]],Таблица1[Order-Year-Month],Таблица1[[#This Row],[Order-Year-Month]])</f>
        <v>0.5</v>
      </c>
    </row>
    <row r="516" spans="1:26" x14ac:dyDescent="0.2">
      <c r="A516" s="6">
        <v>1241</v>
      </c>
      <c r="B516" s="7">
        <v>9027</v>
      </c>
      <c r="C516" s="8">
        <f>DATE(2012,12,31)-486</f>
        <v>40788</v>
      </c>
      <c r="D516" s="8" t="str">
        <f t="shared" si="11"/>
        <v>2011-09 (сентябрь 2011)</v>
      </c>
      <c r="E516" s="9" t="s">
        <v>21</v>
      </c>
      <c r="F516" s="7">
        <v>30</v>
      </c>
      <c r="G516" s="7">
        <v>932.89199999999994</v>
      </c>
      <c r="H516" s="7">
        <v>0.05</v>
      </c>
      <c r="I516" s="9" t="s">
        <v>22</v>
      </c>
      <c r="J516" s="10">
        <v>458.98200000000003</v>
      </c>
      <c r="K516" s="11">
        <v>35.99</v>
      </c>
      <c r="L516" s="11">
        <v>0.99</v>
      </c>
      <c r="M516" s="9" t="s">
        <v>532</v>
      </c>
      <c r="N516" s="6" t="s">
        <v>511</v>
      </c>
      <c r="O516" s="6" t="s">
        <v>512</v>
      </c>
      <c r="P516" s="9" t="s">
        <v>33</v>
      </c>
      <c r="Q516" s="9" t="s">
        <v>42</v>
      </c>
      <c r="R516" s="9" t="s">
        <v>43</v>
      </c>
      <c r="S516" s="7" t="s">
        <v>437</v>
      </c>
      <c r="T516" s="9" t="s">
        <v>52</v>
      </c>
      <c r="U516" s="7">
        <v>0.35</v>
      </c>
      <c r="V516" s="12">
        <f>C516+9</f>
        <v>40797</v>
      </c>
      <c r="W516">
        <f>IF(D516=' Pivot Tables'!$A$4,1,0)</f>
        <v>0</v>
      </c>
      <c r="X516">
        <f>IF(AND(LEFT(D516,4)+1=LEFT(' Pivot Tables'!$A$4,4)+0,RIGHT(LEFT(D516,7),2)=RIGHT(LEFT(' Pivot Tables'!$A$4,7),2)),1,0)</f>
        <v>0</v>
      </c>
      <c r="Y516" s="6">
        <f>1/COUNTIF(Таблица1[Order ID],Таблица1[[#This Row],[Order ID]])</f>
        <v>1</v>
      </c>
      <c r="Z516" s="9">
        <f>1/COUNTIFS(Таблица1[Customer Name],Таблица1[[#This Row],[Customer Name]],Таблица1[Order-Year-Month],Таблица1[[#This Row],[Order-Year-Month]])</f>
        <v>1</v>
      </c>
    </row>
    <row r="517" spans="1:26" x14ac:dyDescent="0.2">
      <c r="A517" s="6">
        <v>1264</v>
      </c>
      <c r="B517" s="7">
        <v>9216</v>
      </c>
      <c r="C517" s="8">
        <f>DATE(2012,12,31)-627</f>
        <v>40647</v>
      </c>
      <c r="D517" s="8" t="str">
        <f t="shared" si="11"/>
        <v>2011-04 (апрель 2011)</v>
      </c>
      <c r="E517" s="9" t="s">
        <v>63</v>
      </c>
      <c r="F517" s="7">
        <v>36</v>
      </c>
      <c r="G517" s="7">
        <v>5977.63</v>
      </c>
      <c r="H517" s="7">
        <v>0.1</v>
      </c>
      <c r="I517" s="9" t="s">
        <v>31</v>
      </c>
      <c r="J517" s="10">
        <v>-86.68</v>
      </c>
      <c r="K517" s="11">
        <v>180.98</v>
      </c>
      <c r="L517" s="11">
        <v>55.24</v>
      </c>
      <c r="M517" s="9" t="s">
        <v>532</v>
      </c>
      <c r="N517" s="6" t="s">
        <v>511</v>
      </c>
      <c r="O517" s="6" t="s">
        <v>512</v>
      </c>
      <c r="P517" s="9" t="s">
        <v>33</v>
      </c>
      <c r="Q517" s="9" t="s">
        <v>26</v>
      </c>
      <c r="R517" s="9" t="s">
        <v>34</v>
      </c>
      <c r="S517" s="7" t="s">
        <v>550</v>
      </c>
      <c r="T517" s="9" t="s">
        <v>36</v>
      </c>
      <c r="U517" s="7">
        <v>0.56999999999999995</v>
      </c>
      <c r="V517" s="12">
        <f>C517+2</f>
        <v>40649</v>
      </c>
      <c r="W517">
        <f>IF(D517=' Pivot Tables'!$A$4,1,0)</f>
        <v>0</v>
      </c>
      <c r="X517">
        <f>IF(AND(LEFT(D517,4)+1=LEFT(' Pivot Tables'!$A$4,4)+0,RIGHT(LEFT(D517,7),2)=RIGHT(LEFT(' Pivot Tables'!$A$4,7),2)),1,0)</f>
        <v>0</v>
      </c>
      <c r="Y517" s="6">
        <f>1/COUNTIF(Таблица1[Order ID],Таблица1[[#This Row],[Order ID]])</f>
        <v>1</v>
      </c>
      <c r="Z517" s="9">
        <f>1/COUNTIFS(Таблица1[Customer Name],Таблица1[[#This Row],[Customer Name]],Таблица1[Order-Year-Month],Таблица1[[#This Row],[Order-Year-Month]])</f>
        <v>1</v>
      </c>
    </row>
    <row r="518" spans="1:26" x14ac:dyDescent="0.2">
      <c r="A518" s="6">
        <v>1302</v>
      </c>
      <c r="B518" s="7">
        <v>9537</v>
      </c>
      <c r="C518" s="8">
        <f>DATE(2012,12,31)-687</f>
        <v>40587</v>
      </c>
      <c r="D518" s="8" t="str">
        <f t="shared" si="11"/>
        <v>2011-02 (февраль 2011)</v>
      </c>
      <c r="E518" s="9" t="s">
        <v>45</v>
      </c>
      <c r="F518" s="7">
        <v>6</v>
      </c>
      <c r="G518" s="7">
        <v>906.02</v>
      </c>
      <c r="H518" s="7">
        <v>0.1</v>
      </c>
      <c r="I518" s="9" t="s">
        <v>31</v>
      </c>
      <c r="J518" s="10">
        <v>-382.38</v>
      </c>
      <c r="K518" s="11">
        <v>150.97999999999999</v>
      </c>
      <c r="L518" s="11">
        <v>66.27</v>
      </c>
      <c r="M518" s="9" t="s">
        <v>537</v>
      </c>
      <c r="N518" s="6" t="s">
        <v>511</v>
      </c>
      <c r="O518" s="6" t="s">
        <v>512</v>
      </c>
      <c r="P518" s="9" t="s">
        <v>25</v>
      </c>
      <c r="Q518" s="9" t="s">
        <v>49</v>
      </c>
      <c r="R518" s="9" t="s">
        <v>80</v>
      </c>
      <c r="S518" s="7" t="s">
        <v>325</v>
      </c>
      <c r="T518" s="9" t="s">
        <v>82</v>
      </c>
      <c r="U518" s="7">
        <v>0.65</v>
      </c>
      <c r="V518" s="12">
        <f>C518+2</f>
        <v>40589</v>
      </c>
      <c r="W518">
        <f>IF(D518=' Pivot Tables'!$A$4,1,0)</f>
        <v>0</v>
      </c>
      <c r="X518">
        <f>IF(AND(LEFT(D518,4)+1=LEFT(' Pivot Tables'!$A$4,4)+0,RIGHT(LEFT(D518,7),2)=RIGHT(LEFT(' Pivot Tables'!$A$4,7),2)),1,0)</f>
        <v>0</v>
      </c>
      <c r="Y518" s="6">
        <f>1/COUNTIF(Таблица1[Order ID],Таблица1[[#This Row],[Order ID]])</f>
        <v>0.5</v>
      </c>
      <c r="Z518" s="9">
        <f>1/COUNTIFS(Таблица1[Customer Name],Таблица1[[#This Row],[Customer Name]],Таблица1[Order-Year-Month],Таблица1[[#This Row],[Order-Year-Month]])</f>
        <v>0.5</v>
      </c>
    </row>
    <row r="519" spans="1:26" x14ac:dyDescent="0.2">
      <c r="A519" s="6">
        <v>1303</v>
      </c>
      <c r="B519" s="7">
        <v>9537</v>
      </c>
      <c r="C519" s="8">
        <f>DATE(2012,12,31)-687</f>
        <v>40587</v>
      </c>
      <c r="D519" s="8" t="str">
        <f t="shared" si="11"/>
        <v>2011-02 (февраль 2011)</v>
      </c>
      <c r="E519" s="9" t="s">
        <v>45</v>
      </c>
      <c r="F519" s="7">
        <v>43</v>
      </c>
      <c r="G519" s="7">
        <v>170.88</v>
      </c>
      <c r="H519" s="7">
        <v>0.01</v>
      </c>
      <c r="I519" s="9" t="s">
        <v>22</v>
      </c>
      <c r="J519" s="10">
        <v>-149.08599999999998</v>
      </c>
      <c r="K519" s="11">
        <v>3.81</v>
      </c>
      <c r="L519" s="11">
        <v>5.44</v>
      </c>
      <c r="M519" s="9" t="s">
        <v>537</v>
      </c>
      <c r="N519" s="6" t="s">
        <v>511</v>
      </c>
      <c r="O519" s="6" t="s">
        <v>512</v>
      </c>
      <c r="P519" s="9" t="s">
        <v>25</v>
      </c>
      <c r="Q519" s="9" t="s">
        <v>26</v>
      </c>
      <c r="R519" s="9" t="s">
        <v>37</v>
      </c>
      <c r="S519" s="7" t="s">
        <v>551</v>
      </c>
      <c r="T519" s="9" t="s">
        <v>39</v>
      </c>
      <c r="U519" s="7">
        <v>0.36</v>
      </c>
      <c r="V519" s="12">
        <f>C519+2</f>
        <v>40589</v>
      </c>
      <c r="W519">
        <f>IF(D519=' Pivot Tables'!$A$4,1,0)</f>
        <v>0</v>
      </c>
      <c r="X519">
        <f>IF(AND(LEFT(D519,4)+1=LEFT(' Pivot Tables'!$A$4,4)+0,RIGHT(LEFT(D519,7),2)=RIGHT(LEFT(' Pivot Tables'!$A$4,7),2)),1,0)</f>
        <v>0</v>
      </c>
      <c r="Y519" s="6">
        <f>1/COUNTIF(Таблица1[Order ID],Таблица1[[#This Row],[Order ID]])</f>
        <v>0.5</v>
      </c>
      <c r="Z519" s="9">
        <f>1/COUNTIFS(Таблица1[Customer Name],Таблица1[[#This Row],[Customer Name]],Таблица1[Order-Year-Month],Таблица1[[#This Row],[Order-Year-Month]])</f>
        <v>0.5</v>
      </c>
    </row>
    <row r="520" spans="1:26" x14ac:dyDescent="0.2">
      <c r="A520" s="6">
        <v>1307</v>
      </c>
      <c r="B520" s="7">
        <v>9574</v>
      </c>
      <c r="C520" s="8">
        <f>DATE(2012,12,31)-520</f>
        <v>40754</v>
      </c>
      <c r="D520" s="8" t="str">
        <f t="shared" si="11"/>
        <v>2011-07 (июль 2011)</v>
      </c>
      <c r="E520" s="9" t="s">
        <v>63</v>
      </c>
      <c r="F520" s="7">
        <v>40</v>
      </c>
      <c r="G520" s="7">
        <v>434.62</v>
      </c>
      <c r="H520" s="7">
        <v>0.08</v>
      </c>
      <c r="I520" s="9" t="s">
        <v>22</v>
      </c>
      <c r="J520" s="10">
        <v>-68.977000000000004</v>
      </c>
      <c r="K520" s="11">
        <v>11.5</v>
      </c>
      <c r="L520" s="11">
        <v>7.19</v>
      </c>
      <c r="M520" s="9" t="s">
        <v>552</v>
      </c>
      <c r="N520" s="6" t="s">
        <v>511</v>
      </c>
      <c r="O520" s="6" t="s">
        <v>512</v>
      </c>
      <c r="P520" s="9" t="s">
        <v>41</v>
      </c>
      <c r="Q520" s="9" t="s">
        <v>26</v>
      </c>
      <c r="R520" s="9" t="s">
        <v>37</v>
      </c>
      <c r="S520" s="7" t="s">
        <v>398</v>
      </c>
      <c r="T520" s="9" t="s">
        <v>39</v>
      </c>
      <c r="U520" s="7">
        <v>0.4</v>
      </c>
      <c r="V520" s="12">
        <f>C520+1</f>
        <v>40755</v>
      </c>
      <c r="W520">
        <f>IF(D520=' Pivot Tables'!$A$4,1,0)</f>
        <v>0</v>
      </c>
      <c r="X520">
        <f>IF(AND(LEFT(D520,4)+1=LEFT(' Pivot Tables'!$A$4,4)+0,RIGHT(LEFT(D520,7),2)=RIGHT(LEFT(' Pivot Tables'!$A$4,7),2)),1,0)</f>
        <v>0</v>
      </c>
      <c r="Y520" s="6">
        <f>1/COUNTIF(Таблица1[Order ID],Таблица1[[#This Row],[Order ID]])</f>
        <v>1</v>
      </c>
      <c r="Z520" s="9">
        <f>1/COUNTIFS(Таблица1[Customer Name],Таблица1[[#This Row],[Customer Name]],Таблица1[Order-Year-Month],Таблица1[[#This Row],[Order-Year-Month]])</f>
        <v>1</v>
      </c>
    </row>
    <row r="521" spans="1:26" x14ac:dyDescent="0.2">
      <c r="A521" s="6">
        <v>1442</v>
      </c>
      <c r="B521" s="7">
        <v>10435</v>
      </c>
      <c r="C521" s="8">
        <f>DATE(2012,12,31)-874</f>
        <v>40400</v>
      </c>
      <c r="D521" s="8" t="str">
        <f t="shared" si="11"/>
        <v>2010-08 (август 2010)</v>
      </c>
      <c r="E521" s="9" t="s">
        <v>63</v>
      </c>
      <c r="F521" s="7">
        <v>38</v>
      </c>
      <c r="G521" s="7">
        <v>871.25</v>
      </c>
      <c r="H521" s="7">
        <v>0.06</v>
      </c>
      <c r="I521" s="9" t="s">
        <v>22</v>
      </c>
      <c r="J521" s="10">
        <v>-14.31</v>
      </c>
      <c r="K521" s="11">
        <v>22.99</v>
      </c>
      <c r="L521" s="11">
        <v>8.99</v>
      </c>
      <c r="M521" s="9" t="s">
        <v>553</v>
      </c>
      <c r="N521" s="6" t="s">
        <v>511</v>
      </c>
      <c r="O521" s="6" t="s">
        <v>512</v>
      </c>
      <c r="P521" s="9" t="s">
        <v>41</v>
      </c>
      <c r="Q521" s="9" t="s">
        <v>26</v>
      </c>
      <c r="R521" s="9" t="s">
        <v>95</v>
      </c>
      <c r="S521" s="7" t="s">
        <v>554</v>
      </c>
      <c r="T521" s="9" t="s">
        <v>52</v>
      </c>
      <c r="U521" s="7">
        <v>0.56999999999999995</v>
      </c>
      <c r="V521" s="12">
        <f>C521+2</f>
        <v>40402</v>
      </c>
      <c r="W521">
        <f>IF(D521=' Pivot Tables'!$A$4,1,0)</f>
        <v>0</v>
      </c>
      <c r="X521">
        <f>IF(AND(LEFT(D521,4)+1=LEFT(' Pivot Tables'!$A$4,4)+0,RIGHT(LEFT(D521,7),2)=RIGHT(LEFT(' Pivot Tables'!$A$4,7),2)),1,0)</f>
        <v>0</v>
      </c>
      <c r="Y521" s="6">
        <f>1/COUNTIF(Таблица1[Order ID],Таблица1[[#This Row],[Order ID]])</f>
        <v>0.5</v>
      </c>
      <c r="Z521" s="9">
        <f>1/COUNTIFS(Таблица1[Customer Name],Таблица1[[#This Row],[Customer Name]],Таблица1[Order-Year-Month],Таблица1[[#This Row],[Order-Year-Month]])</f>
        <v>0.5</v>
      </c>
    </row>
    <row r="522" spans="1:26" x14ac:dyDescent="0.2">
      <c r="A522" s="6">
        <v>1443</v>
      </c>
      <c r="B522" s="7">
        <v>10435</v>
      </c>
      <c r="C522" s="8">
        <f>DATE(2012,12,31)-874</f>
        <v>40400</v>
      </c>
      <c r="D522" s="8" t="str">
        <f t="shared" si="11"/>
        <v>2010-08 (август 2010)</v>
      </c>
      <c r="E522" s="9" t="s">
        <v>63</v>
      </c>
      <c r="F522" s="7">
        <v>46</v>
      </c>
      <c r="G522" s="7">
        <v>537.87</v>
      </c>
      <c r="H522" s="7">
        <v>0.05</v>
      </c>
      <c r="I522" s="9" t="s">
        <v>22</v>
      </c>
      <c r="J522" s="10">
        <v>-162.24</v>
      </c>
      <c r="K522" s="11">
        <v>11.66</v>
      </c>
      <c r="L522" s="11">
        <v>7.95</v>
      </c>
      <c r="M522" s="9" t="s">
        <v>553</v>
      </c>
      <c r="N522" s="6" t="s">
        <v>511</v>
      </c>
      <c r="O522" s="6" t="s">
        <v>512</v>
      </c>
      <c r="P522" s="9" t="s">
        <v>41</v>
      </c>
      <c r="Q522" s="9" t="s">
        <v>26</v>
      </c>
      <c r="R522" s="9" t="s">
        <v>95</v>
      </c>
      <c r="S522" s="7" t="s">
        <v>555</v>
      </c>
      <c r="T522" s="9" t="s">
        <v>52</v>
      </c>
      <c r="U522" s="7">
        <v>0.57999999999999996</v>
      </c>
      <c r="V522" s="12">
        <f>C522+1</f>
        <v>40401</v>
      </c>
      <c r="W522">
        <f>IF(D522=' Pivot Tables'!$A$4,1,0)</f>
        <v>0</v>
      </c>
      <c r="X522">
        <f>IF(AND(LEFT(D522,4)+1=LEFT(' Pivot Tables'!$A$4,4)+0,RIGHT(LEFT(D522,7),2)=RIGHT(LEFT(' Pivot Tables'!$A$4,7),2)),1,0)</f>
        <v>0</v>
      </c>
      <c r="Y522" s="6">
        <f>1/COUNTIF(Таблица1[Order ID],Таблица1[[#This Row],[Order ID]])</f>
        <v>0.5</v>
      </c>
      <c r="Z522" s="9">
        <f>1/COUNTIFS(Таблица1[Customer Name],Таблица1[[#This Row],[Customer Name]],Таблица1[Order-Year-Month],Таблица1[[#This Row],[Order-Year-Month]])</f>
        <v>0.5</v>
      </c>
    </row>
    <row r="523" spans="1:26" x14ac:dyDescent="0.2">
      <c r="A523" s="6">
        <v>1501</v>
      </c>
      <c r="B523" s="7">
        <v>10851</v>
      </c>
      <c r="C523" s="8">
        <f>DATE(2012,12,31)-1365</f>
        <v>39909</v>
      </c>
      <c r="D523" s="8" t="str">
        <f t="shared" si="11"/>
        <v>2009-04 (апрель 2009)</v>
      </c>
      <c r="E523" s="9" t="s">
        <v>30</v>
      </c>
      <c r="F523" s="7">
        <v>50</v>
      </c>
      <c r="G523" s="7">
        <v>608.21</v>
      </c>
      <c r="H523" s="7">
        <v>0.09</v>
      </c>
      <c r="I523" s="9" t="s">
        <v>22</v>
      </c>
      <c r="J523" s="10">
        <v>-175.13</v>
      </c>
      <c r="K523" s="11">
        <v>12.88</v>
      </c>
      <c r="L523" s="11">
        <v>4.59</v>
      </c>
      <c r="M523" s="9" t="s">
        <v>556</v>
      </c>
      <c r="N523" s="6" t="s">
        <v>511</v>
      </c>
      <c r="O523" s="6" t="s">
        <v>512</v>
      </c>
      <c r="P523" s="9" t="s">
        <v>33</v>
      </c>
      <c r="Q523" s="9" t="s">
        <v>26</v>
      </c>
      <c r="R523" s="9" t="s">
        <v>150</v>
      </c>
      <c r="S523" s="7" t="s">
        <v>557</v>
      </c>
      <c r="T523" s="9" t="s">
        <v>68</v>
      </c>
      <c r="U523" s="7">
        <v>0.82</v>
      </c>
      <c r="V523" s="12">
        <f>C523+0</f>
        <v>39909</v>
      </c>
      <c r="W523">
        <f>IF(D523=' Pivot Tables'!$A$4,1,0)</f>
        <v>0</v>
      </c>
      <c r="X523">
        <f>IF(AND(LEFT(D523,4)+1=LEFT(' Pivot Tables'!$A$4,4)+0,RIGHT(LEFT(D523,7),2)=RIGHT(LEFT(' Pivot Tables'!$A$4,7),2)),1,0)</f>
        <v>0</v>
      </c>
      <c r="Y523" s="6">
        <f>1/COUNTIF(Таблица1[Order ID],Таблица1[[#This Row],[Order ID]])</f>
        <v>0.5</v>
      </c>
      <c r="Z523" s="9">
        <f>1/COUNTIFS(Таблица1[Customer Name],Таблица1[[#This Row],[Customer Name]],Таблица1[Order-Year-Month],Таблица1[[#This Row],[Order-Year-Month]])</f>
        <v>0.5</v>
      </c>
    </row>
    <row r="524" spans="1:26" x14ac:dyDescent="0.2">
      <c r="A524" s="6">
        <v>1503</v>
      </c>
      <c r="B524" s="7">
        <v>10852</v>
      </c>
      <c r="C524" s="8">
        <f>DATE(2012,12,31)-797</f>
        <v>40477</v>
      </c>
      <c r="D524" s="8" t="str">
        <f t="shared" si="11"/>
        <v>2010-10 (октябрь 2010)</v>
      </c>
      <c r="E524" s="9" t="s">
        <v>30</v>
      </c>
      <c r="F524" s="7">
        <v>17</v>
      </c>
      <c r="G524" s="7">
        <v>285.83999999999997</v>
      </c>
      <c r="H524" s="7">
        <v>0.02</v>
      </c>
      <c r="I524" s="9" t="s">
        <v>22</v>
      </c>
      <c r="J524" s="10">
        <v>-27.254999999999999</v>
      </c>
      <c r="K524" s="11">
        <v>15.28</v>
      </c>
      <c r="L524" s="11">
        <v>10.91</v>
      </c>
      <c r="M524" s="9" t="s">
        <v>531</v>
      </c>
      <c r="N524" s="6" t="s">
        <v>511</v>
      </c>
      <c r="O524" s="6" t="s">
        <v>512</v>
      </c>
      <c r="P524" s="9" t="s">
        <v>60</v>
      </c>
      <c r="Q524" s="9" t="s">
        <v>26</v>
      </c>
      <c r="R524" s="9" t="s">
        <v>37</v>
      </c>
      <c r="S524" s="7" t="s">
        <v>558</v>
      </c>
      <c r="T524" s="9" t="s">
        <v>39</v>
      </c>
      <c r="U524" s="7">
        <v>0.36</v>
      </c>
      <c r="V524" s="12">
        <f>C524+2</f>
        <v>40479</v>
      </c>
      <c r="W524">
        <f>IF(D524=' Pivot Tables'!$A$4,1,0)</f>
        <v>0</v>
      </c>
      <c r="X524">
        <f>IF(AND(LEFT(D524,4)+1=LEFT(' Pivot Tables'!$A$4,4)+0,RIGHT(LEFT(D524,7),2)=RIGHT(LEFT(' Pivot Tables'!$A$4,7),2)),1,0)</f>
        <v>0</v>
      </c>
      <c r="Y524" s="6">
        <f>1/COUNTIF(Таблица1[Order ID],Таблица1[[#This Row],[Order ID]])</f>
        <v>0.5</v>
      </c>
      <c r="Z524" s="9">
        <f>1/COUNTIFS(Таблица1[Customer Name],Таблица1[[#This Row],[Customer Name]],Таблица1[Order-Year-Month],Таблица1[[#This Row],[Order-Year-Month]])</f>
        <v>0.5</v>
      </c>
    </row>
    <row r="525" spans="1:26" x14ac:dyDescent="0.2">
      <c r="A525" s="6">
        <v>1504</v>
      </c>
      <c r="B525" s="7">
        <v>10852</v>
      </c>
      <c r="C525" s="8">
        <f>DATE(2012,12,31)-797</f>
        <v>40477</v>
      </c>
      <c r="D525" s="8" t="str">
        <f t="shared" si="11"/>
        <v>2010-10 (октябрь 2010)</v>
      </c>
      <c r="E525" s="9" t="s">
        <v>30</v>
      </c>
      <c r="F525" s="7">
        <v>40</v>
      </c>
      <c r="G525" s="7">
        <v>12450.48</v>
      </c>
      <c r="H525" s="7">
        <v>0.01</v>
      </c>
      <c r="I525" s="9" t="s">
        <v>31</v>
      </c>
      <c r="J525" s="10">
        <v>3030.16</v>
      </c>
      <c r="K525" s="11">
        <v>300.98</v>
      </c>
      <c r="L525" s="11">
        <v>54.92</v>
      </c>
      <c r="M525" s="9" t="s">
        <v>531</v>
      </c>
      <c r="N525" s="6" t="s">
        <v>511</v>
      </c>
      <c r="O525" s="6" t="s">
        <v>512</v>
      </c>
      <c r="P525" s="9" t="s">
        <v>60</v>
      </c>
      <c r="Q525" s="9" t="s">
        <v>49</v>
      </c>
      <c r="R525" s="9" t="s">
        <v>80</v>
      </c>
      <c r="S525" s="7" t="s">
        <v>559</v>
      </c>
      <c r="T525" s="9" t="s">
        <v>82</v>
      </c>
      <c r="U525" s="7">
        <v>0.55000000000000004</v>
      </c>
      <c r="V525" s="12">
        <f>C525+1</f>
        <v>40478</v>
      </c>
      <c r="W525">
        <f>IF(D525=' Pivot Tables'!$A$4,1,0)</f>
        <v>0</v>
      </c>
      <c r="X525">
        <f>IF(AND(LEFT(D525,4)+1=LEFT(' Pivot Tables'!$A$4,4)+0,RIGHT(LEFT(D525,7),2)=RIGHT(LEFT(' Pivot Tables'!$A$4,7),2)),1,0)</f>
        <v>0</v>
      </c>
      <c r="Y525" s="6">
        <f>1/COUNTIF(Таблица1[Order ID],Таблица1[[#This Row],[Order ID]])</f>
        <v>0.5</v>
      </c>
      <c r="Z525" s="9">
        <f>1/COUNTIFS(Таблица1[Customer Name],Таблица1[[#This Row],[Customer Name]],Таблица1[Order-Year-Month],Таблица1[[#This Row],[Order-Year-Month]])</f>
        <v>0.5</v>
      </c>
    </row>
    <row r="526" spans="1:26" x14ac:dyDescent="0.2">
      <c r="A526" s="6">
        <v>1560</v>
      </c>
      <c r="B526" s="7">
        <v>11269</v>
      </c>
      <c r="C526" s="8">
        <f>DATE(2012,12,31)-219</f>
        <v>41055</v>
      </c>
      <c r="D526" s="8" t="str">
        <f t="shared" si="11"/>
        <v>2012-05 (май 2012)</v>
      </c>
      <c r="E526" s="9" t="s">
        <v>21</v>
      </c>
      <c r="F526" s="7">
        <v>39</v>
      </c>
      <c r="G526" s="7">
        <v>2083.0525000000002</v>
      </c>
      <c r="H526" s="7">
        <v>0.09</v>
      </c>
      <c r="I526" s="9" t="s">
        <v>56</v>
      </c>
      <c r="J526" s="10">
        <v>354.96</v>
      </c>
      <c r="K526" s="11">
        <v>65.989999999999995</v>
      </c>
      <c r="L526" s="11">
        <v>5.99</v>
      </c>
      <c r="M526" s="9" t="s">
        <v>531</v>
      </c>
      <c r="N526" s="6" t="s">
        <v>511</v>
      </c>
      <c r="O526" s="6" t="s">
        <v>512</v>
      </c>
      <c r="P526" s="9" t="s">
        <v>60</v>
      </c>
      <c r="Q526" s="9" t="s">
        <v>42</v>
      </c>
      <c r="R526" s="9" t="s">
        <v>43</v>
      </c>
      <c r="S526" s="7" t="s">
        <v>560</v>
      </c>
      <c r="T526" s="9" t="s">
        <v>39</v>
      </c>
      <c r="U526" s="7">
        <v>0.57999999999999996</v>
      </c>
      <c r="V526" s="12">
        <f>C526+4</f>
        <v>41059</v>
      </c>
      <c r="W526">
        <f>IF(D526=' Pivot Tables'!$A$4,1,0)</f>
        <v>0</v>
      </c>
      <c r="X526">
        <f>IF(AND(LEFT(D526,4)+1=LEFT(' Pivot Tables'!$A$4,4)+0,RIGHT(LEFT(D526,7),2)=RIGHT(LEFT(' Pivot Tables'!$A$4,7),2)),1,0)</f>
        <v>0</v>
      </c>
      <c r="Y526" s="6">
        <f>1/COUNTIF(Таблица1[Order ID],Таблица1[[#This Row],[Order ID]])</f>
        <v>0.33333333333333331</v>
      </c>
      <c r="Z526" s="9">
        <f>1/COUNTIFS(Таблица1[Customer Name],Таблица1[[#This Row],[Customer Name]],Таблица1[Order-Year-Month],Таблица1[[#This Row],[Order-Year-Month]])</f>
        <v>0.33333333333333331</v>
      </c>
    </row>
    <row r="527" spans="1:26" x14ac:dyDescent="0.2">
      <c r="A527" s="6">
        <v>1561</v>
      </c>
      <c r="B527" s="7">
        <v>11269</v>
      </c>
      <c r="C527" s="8">
        <f>DATE(2012,12,31)-219</f>
        <v>41055</v>
      </c>
      <c r="D527" s="8" t="str">
        <f t="shared" si="11"/>
        <v>2012-05 (май 2012)</v>
      </c>
      <c r="E527" s="9" t="s">
        <v>21</v>
      </c>
      <c r="F527" s="7">
        <v>49</v>
      </c>
      <c r="G527" s="7">
        <v>233.28</v>
      </c>
      <c r="H527" s="7">
        <v>0.04</v>
      </c>
      <c r="I527" s="9" t="s">
        <v>22</v>
      </c>
      <c r="J527" s="10">
        <v>112.35</v>
      </c>
      <c r="K527" s="11">
        <v>4.91</v>
      </c>
      <c r="L527" s="11">
        <v>0.5</v>
      </c>
      <c r="M527" s="9" t="s">
        <v>531</v>
      </c>
      <c r="N527" s="6" t="s">
        <v>511</v>
      </c>
      <c r="O527" s="6" t="s">
        <v>512</v>
      </c>
      <c r="P527" s="9" t="s">
        <v>60</v>
      </c>
      <c r="Q527" s="9" t="s">
        <v>26</v>
      </c>
      <c r="R527" s="9" t="s">
        <v>88</v>
      </c>
      <c r="S527" s="7" t="s">
        <v>509</v>
      </c>
      <c r="T527" s="9" t="s">
        <v>39</v>
      </c>
      <c r="U527" s="7">
        <v>0.36</v>
      </c>
      <c r="V527" s="12">
        <f>C527+7</f>
        <v>41062</v>
      </c>
      <c r="W527">
        <f>IF(D527=' Pivot Tables'!$A$4,1,0)</f>
        <v>0</v>
      </c>
      <c r="X527">
        <f>IF(AND(LEFT(D527,4)+1=LEFT(' Pivot Tables'!$A$4,4)+0,RIGHT(LEFT(D527,7),2)=RIGHT(LEFT(' Pivot Tables'!$A$4,7),2)),1,0)</f>
        <v>0</v>
      </c>
      <c r="Y527" s="6">
        <f>1/COUNTIF(Таблица1[Order ID],Таблица1[[#This Row],[Order ID]])</f>
        <v>0.33333333333333331</v>
      </c>
      <c r="Z527" s="9">
        <f>1/COUNTIFS(Таблица1[Customer Name],Таблица1[[#This Row],[Customer Name]],Таблица1[Order-Year-Month],Таблица1[[#This Row],[Order-Year-Month]])</f>
        <v>0.33333333333333331</v>
      </c>
    </row>
    <row r="528" spans="1:26" x14ac:dyDescent="0.2">
      <c r="A528" s="6">
        <v>1562</v>
      </c>
      <c r="B528" s="7">
        <v>11269</v>
      </c>
      <c r="C528" s="8">
        <f>DATE(2012,12,31)-219</f>
        <v>41055</v>
      </c>
      <c r="D528" s="8" t="str">
        <f t="shared" si="11"/>
        <v>2012-05 (май 2012)</v>
      </c>
      <c r="E528" s="9" t="s">
        <v>21</v>
      </c>
      <c r="F528" s="7">
        <v>1</v>
      </c>
      <c r="G528" s="7">
        <v>47.01</v>
      </c>
      <c r="H528" s="7">
        <v>0.09</v>
      </c>
      <c r="I528" s="9" t="s">
        <v>22</v>
      </c>
      <c r="J528" s="10">
        <v>-19.32</v>
      </c>
      <c r="K528" s="11">
        <v>27.75</v>
      </c>
      <c r="L528" s="11">
        <v>19.989999999999998</v>
      </c>
      <c r="M528" s="9" t="s">
        <v>531</v>
      </c>
      <c r="N528" s="6" t="s">
        <v>511</v>
      </c>
      <c r="O528" s="6" t="s">
        <v>512</v>
      </c>
      <c r="P528" s="9" t="s">
        <v>60</v>
      </c>
      <c r="Q528" s="9" t="s">
        <v>26</v>
      </c>
      <c r="R528" s="9" t="s">
        <v>27</v>
      </c>
      <c r="S528" s="7" t="s">
        <v>561</v>
      </c>
      <c r="T528" s="9" t="s">
        <v>39</v>
      </c>
      <c r="U528" s="7">
        <v>0.67</v>
      </c>
      <c r="V528" s="12">
        <f>C528+7</f>
        <v>41062</v>
      </c>
      <c r="W528">
        <f>IF(D528=' Pivot Tables'!$A$4,1,0)</f>
        <v>0</v>
      </c>
      <c r="X528">
        <f>IF(AND(LEFT(D528,4)+1=LEFT(' Pivot Tables'!$A$4,4)+0,RIGHT(LEFT(D528,7),2)=RIGHT(LEFT(' Pivot Tables'!$A$4,7),2)),1,0)</f>
        <v>0</v>
      </c>
      <c r="Y528" s="6">
        <f>1/COUNTIF(Таблица1[Order ID],Таблица1[[#This Row],[Order ID]])</f>
        <v>0.33333333333333331</v>
      </c>
      <c r="Z528" s="9">
        <f>1/COUNTIFS(Таблица1[Customer Name],Таблица1[[#This Row],[Customer Name]],Таблица1[Order-Year-Month],Таблица1[[#This Row],[Order-Year-Month]])</f>
        <v>0.33333333333333331</v>
      </c>
    </row>
    <row r="529" spans="1:26" x14ac:dyDescent="0.2">
      <c r="A529" s="6">
        <v>1571</v>
      </c>
      <c r="B529" s="7">
        <v>11362</v>
      </c>
      <c r="C529" s="8">
        <f>DATE(2012,12,31)-112</f>
        <v>41162</v>
      </c>
      <c r="D529" s="8" t="str">
        <f t="shared" si="11"/>
        <v>2012-09 (сентябрь 2012)</v>
      </c>
      <c r="E529" s="9" t="s">
        <v>21</v>
      </c>
      <c r="F529" s="7">
        <v>32</v>
      </c>
      <c r="G529" s="7">
        <v>3245.73</v>
      </c>
      <c r="H529" s="7">
        <v>0.09</v>
      </c>
      <c r="I529" s="9" t="s">
        <v>22</v>
      </c>
      <c r="J529" s="10">
        <v>569.57000000000005</v>
      </c>
      <c r="K529" s="11">
        <v>110.98</v>
      </c>
      <c r="L529" s="11">
        <v>13.99</v>
      </c>
      <c r="M529" s="9" t="s">
        <v>562</v>
      </c>
      <c r="N529" s="6" t="s">
        <v>511</v>
      </c>
      <c r="O529" s="6" t="s">
        <v>512</v>
      </c>
      <c r="P529" s="9" t="s">
        <v>41</v>
      </c>
      <c r="Q529" s="9" t="s">
        <v>49</v>
      </c>
      <c r="R529" s="9" t="s">
        <v>50</v>
      </c>
      <c r="S529" s="7" t="s">
        <v>563</v>
      </c>
      <c r="T529" s="9" t="s">
        <v>48</v>
      </c>
      <c r="U529" s="7">
        <v>0.69</v>
      </c>
      <c r="V529" s="12">
        <f>C529+2</f>
        <v>41164</v>
      </c>
      <c r="W529">
        <f>IF(D529=' Pivot Tables'!$A$4,1,0)</f>
        <v>0</v>
      </c>
      <c r="X529">
        <f>IF(AND(LEFT(D529,4)+1=LEFT(' Pivot Tables'!$A$4,4)+0,RIGHT(LEFT(D529,7),2)=RIGHT(LEFT(' Pivot Tables'!$A$4,7),2)),1,0)</f>
        <v>0</v>
      </c>
      <c r="Y529" s="6">
        <f>1/COUNTIF(Таблица1[Order ID],Таблица1[[#This Row],[Order ID]])</f>
        <v>0.25</v>
      </c>
      <c r="Z529" s="9">
        <f>1/COUNTIFS(Таблица1[Customer Name],Таблица1[[#This Row],[Customer Name]],Таблица1[Order-Year-Month],Таблица1[[#This Row],[Order-Year-Month]])</f>
        <v>0.25</v>
      </c>
    </row>
    <row r="530" spans="1:26" x14ac:dyDescent="0.2">
      <c r="A530" s="6">
        <v>1572</v>
      </c>
      <c r="B530" s="7">
        <v>11362</v>
      </c>
      <c r="C530" s="8">
        <f>DATE(2012,12,31)-112</f>
        <v>41162</v>
      </c>
      <c r="D530" s="8" t="str">
        <f t="shared" si="11"/>
        <v>2012-09 (сентябрь 2012)</v>
      </c>
      <c r="E530" s="9" t="s">
        <v>21</v>
      </c>
      <c r="F530" s="7">
        <v>27</v>
      </c>
      <c r="G530" s="7">
        <v>63.02</v>
      </c>
      <c r="H530" s="7">
        <v>7.0000000000000007E-2</v>
      </c>
      <c r="I530" s="9" t="s">
        <v>22</v>
      </c>
      <c r="J530" s="10">
        <v>-119.66</v>
      </c>
      <c r="K530" s="11">
        <v>2.1800000000000002</v>
      </c>
      <c r="L530" s="11">
        <v>5</v>
      </c>
      <c r="M530" s="9" t="s">
        <v>562</v>
      </c>
      <c r="N530" s="6" t="s">
        <v>511</v>
      </c>
      <c r="O530" s="6" t="s">
        <v>512</v>
      </c>
      <c r="P530" s="9" t="s">
        <v>41</v>
      </c>
      <c r="Q530" s="9" t="s">
        <v>26</v>
      </c>
      <c r="R530" s="9" t="s">
        <v>150</v>
      </c>
      <c r="S530" s="7" t="s">
        <v>564</v>
      </c>
      <c r="T530" s="9" t="s">
        <v>68</v>
      </c>
      <c r="U530" s="7">
        <v>0.81</v>
      </c>
      <c r="V530" s="12">
        <f>C530+2</f>
        <v>41164</v>
      </c>
      <c r="W530">
        <f>IF(D530=' Pivot Tables'!$A$4,1,0)</f>
        <v>0</v>
      </c>
      <c r="X530">
        <f>IF(AND(LEFT(D530,4)+1=LEFT(' Pivot Tables'!$A$4,4)+0,RIGHT(LEFT(D530,7),2)=RIGHT(LEFT(' Pivot Tables'!$A$4,7),2)),1,0)</f>
        <v>0</v>
      </c>
      <c r="Y530" s="6">
        <f>1/COUNTIF(Таблица1[Order ID],Таблица1[[#This Row],[Order ID]])</f>
        <v>0.25</v>
      </c>
      <c r="Z530" s="9">
        <f>1/COUNTIFS(Таблица1[Customer Name],Таблица1[[#This Row],[Customer Name]],Таблица1[Order-Year-Month],Таблица1[[#This Row],[Order-Year-Month]])</f>
        <v>0.25</v>
      </c>
    </row>
    <row r="531" spans="1:26" x14ac:dyDescent="0.2">
      <c r="A531" s="6">
        <v>1573</v>
      </c>
      <c r="B531" s="7">
        <v>11362</v>
      </c>
      <c r="C531" s="8">
        <f>DATE(2012,12,31)-112</f>
        <v>41162</v>
      </c>
      <c r="D531" s="8" t="str">
        <f t="shared" si="11"/>
        <v>2012-09 (сентябрь 2012)</v>
      </c>
      <c r="E531" s="9" t="s">
        <v>21</v>
      </c>
      <c r="F531" s="7">
        <v>9</v>
      </c>
      <c r="G531" s="7">
        <v>6420.87</v>
      </c>
      <c r="H531" s="7">
        <v>0.02</v>
      </c>
      <c r="I531" s="9" t="s">
        <v>22</v>
      </c>
      <c r="J531" s="10">
        <v>-690.21</v>
      </c>
      <c r="K531" s="11">
        <v>699.99</v>
      </c>
      <c r="L531" s="11">
        <v>24.49</v>
      </c>
      <c r="M531" s="9" t="s">
        <v>562</v>
      </c>
      <c r="N531" s="6" t="s">
        <v>511</v>
      </c>
      <c r="O531" s="6" t="s">
        <v>512</v>
      </c>
      <c r="P531" s="9" t="s">
        <v>41</v>
      </c>
      <c r="Q531" s="9" t="s">
        <v>42</v>
      </c>
      <c r="R531" s="9" t="s">
        <v>99</v>
      </c>
      <c r="S531" s="7" t="s">
        <v>411</v>
      </c>
      <c r="T531" s="9" t="s">
        <v>29</v>
      </c>
      <c r="U531" s="7">
        <v>0.41</v>
      </c>
      <c r="V531" s="12">
        <f>C531+5</f>
        <v>41167</v>
      </c>
      <c r="W531">
        <f>IF(D531=' Pivot Tables'!$A$4,1,0)</f>
        <v>0</v>
      </c>
      <c r="X531">
        <f>IF(AND(LEFT(D531,4)+1=LEFT(' Pivot Tables'!$A$4,4)+0,RIGHT(LEFT(D531,7),2)=RIGHT(LEFT(' Pivot Tables'!$A$4,7),2)),1,0)</f>
        <v>0</v>
      </c>
      <c r="Y531" s="6">
        <f>1/COUNTIF(Таблица1[Order ID],Таблица1[[#This Row],[Order ID]])</f>
        <v>0.25</v>
      </c>
      <c r="Z531" s="9">
        <f>1/COUNTIFS(Таблица1[Customer Name],Таблица1[[#This Row],[Customer Name]],Таблица1[Order-Year-Month],Таблица1[[#This Row],[Order-Year-Month]])</f>
        <v>0.25</v>
      </c>
    </row>
    <row r="532" spans="1:26" x14ac:dyDescent="0.2">
      <c r="A532" s="6">
        <v>1574</v>
      </c>
      <c r="B532" s="7">
        <v>11362</v>
      </c>
      <c r="C532" s="8">
        <f>DATE(2012,12,31)-112</f>
        <v>41162</v>
      </c>
      <c r="D532" s="8" t="str">
        <f t="shared" si="11"/>
        <v>2012-09 (сентябрь 2012)</v>
      </c>
      <c r="E532" s="9" t="s">
        <v>21</v>
      </c>
      <c r="F532" s="7">
        <v>25</v>
      </c>
      <c r="G532" s="7">
        <v>2407.6929999999998</v>
      </c>
      <c r="H532" s="7">
        <v>0.04</v>
      </c>
      <c r="I532" s="9" t="s">
        <v>22</v>
      </c>
      <c r="J532" s="10">
        <v>424.14299999999997</v>
      </c>
      <c r="K532" s="11">
        <v>110.99</v>
      </c>
      <c r="L532" s="11">
        <v>8.99</v>
      </c>
      <c r="M532" s="9" t="s">
        <v>562</v>
      </c>
      <c r="N532" s="6" t="s">
        <v>511</v>
      </c>
      <c r="O532" s="6" t="s">
        <v>512</v>
      </c>
      <c r="P532" s="9" t="s">
        <v>41</v>
      </c>
      <c r="Q532" s="9" t="s">
        <v>42</v>
      </c>
      <c r="R532" s="9" t="s">
        <v>43</v>
      </c>
      <c r="S532" s="7" t="s">
        <v>565</v>
      </c>
      <c r="T532" s="9" t="s">
        <v>39</v>
      </c>
      <c r="U532" s="7">
        <v>0.56999999999999995</v>
      </c>
      <c r="V532" s="12">
        <f>C532+4</f>
        <v>41166</v>
      </c>
      <c r="W532">
        <f>IF(D532=' Pivot Tables'!$A$4,1,0)</f>
        <v>0</v>
      </c>
      <c r="X532">
        <f>IF(AND(LEFT(D532,4)+1=LEFT(' Pivot Tables'!$A$4,4)+0,RIGHT(LEFT(D532,7),2)=RIGHT(LEFT(' Pivot Tables'!$A$4,7),2)),1,0)</f>
        <v>0</v>
      </c>
      <c r="Y532" s="6">
        <f>1/COUNTIF(Таблица1[Order ID],Таблица1[[#This Row],[Order ID]])</f>
        <v>0.25</v>
      </c>
      <c r="Z532" s="9">
        <f>1/COUNTIFS(Таблица1[Customer Name],Таблица1[[#This Row],[Customer Name]],Таблица1[Order-Year-Month],Таблица1[[#This Row],[Order-Year-Month]])</f>
        <v>0.25</v>
      </c>
    </row>
    <row r="533" spans="1:26" x14ac:dyDescent="0.2">
      <c r="A533" s="6">
        <v>1659</v>
      </c>
      <c r="B533" s="7">
        <v>11968</v>
      </c>
      <c r="C533" s="8">
        <f>DATE(2012,12,31)-656</f>
        <v>40618</v>
      </c>
      <c r="D533" s="8" t="str">
        <f t="shared" si="11"/>
        <v>2011-03 (март 2011)</v>
      </c>
      <c r="E533" s="9" t="s">
        <v>21</v>
      </c>
      <c r="F533" s="7">
        <v>31</v>
      </c>
      <c r="G533" s="7">
        <v>109.49</v>
      </c>
      <c r="H533" s="7">
        <v>0.04</v>
      </c>
      <c r="I533" s="9" t="s">
        <v>22</v>
      </c>
      <c r="J533" s="10">
        <v>26.09</v>
      </c>
      <c r="K533" s="11">
        <v>3.38</v>
      </c>
      <c r="L533" s="11">
        <v>0.85</v>
      </c>
      <c r="M533" s="9" t="s">
        <v>548</v>
      </c>
      <c r="N533" s="6" t="s">
        <v>511</v>
      </c>
      <c r="O533" s="6" t="s">
        <v>512</v>
      </c>
      <c r="P533" s="9" t="s">
        <v>41</v>
      </c>
      <c r="Q533" s="9" t="s">
        <v>26</v>
      </c>
      <c r="R533" s="9" t="s">
        <v>95</v>
      </c>
      <c r="S533" s="7" t="s">
        <v>566</v>
      </c>
      <c r="T533" s="9" t="s">
        <v>68</v>
      </c>
      <c r="U533" s="7">
        <v>0.48</v>
      </c>
      <c r="V533" s="12">
        <f>C533+0</f>
        <v>40618</v>
      </c>
      <c r="W533">
        <f>IF(D533=' Pivot Tables'!$A$4,1,0)</f>
        <v>0</v>
      </c>
      <c r="X533">
        <f>IF(AND(LEFT(D533,4)+1=LEFT(' Pivot Tables'!$A$4,4)+0,RIGHT(LEFT(D533,7),2)=RIGHT(LEFT(' Pivot Tables'!$A$4,7),2)),1,0)</f>
        <v>0</v>
      </c>
      <c r="Y533" s="6">
        <f>1/COUNTIF(Таблица1[Order ID],Таблица1[[#This Row],[Order ID]])</f>
        <v>1</v>
      </c>
      <c r="Z533" s="9">
        <f>1/COUNTIFS(Таблица1[Customer Name],Таблица1[[#This Row],[Customer Name]],Таблица1[Order-Year-Month],Таблица1[[#This Row],[Order-Year-Month]])</f>
        <v>0.5</v>
      </c>
    </row>
    <row r="534" spans="1:26" x14ac:dyDescent="0.2">
      <c r="A534" s="6">
        <v>1712</v>
      </c>
      <c r="B534" s="7">
        <v>12293</v>
      </c>
      <c r="C534" s="8">
        <f>DATE(2012,12,31)-562</f>
        <v>40712</v>
      </c>
      <c r="D534" s="8" t="str">
        <f t="shared" si="11"/>
        <v>2011-06 (июнь 2011)</v>
      </c>
      <c r="E534" s="9" t="s">
        <v>30</v>
      </c>
      <c r="F534" s="7">
        <v>31</v>
      </c>
      <c r="G534" s="7">
        <v>283.17</v>
      </c>
      <c r="H534" s="7">
        <v>0</v>
      </c>
      <c r="I534" s="9" t="s">
        <v>22</v>
      </c>
      <c r="J534" s="10">
        <v>119.64</v>
      </c>
      <c r="K534" s="11">
        <v>8.74</v>
      </c>
      <c r="L534" s="11">
        <v>1.39</v>
      </c>
      <c r="M534" s="9" t="s">
        <v>531</v>
      </c>
      <c r="N534" s="6" t="s">
        <v>511</v>
      </c>
      <c r="O534" s="6" t="s">
        <v>512</v>
      </c>
      <c r="P534" s="9" t="s">
        <v>60</v>
      </c>
      <c r="Q534" s="9" t="s">
        <v>26</v>
      </c>
      <c r="R534" s="9" t="s">
        <v>76</v>
      </c>
      <c r="S534" s="7" t="s">
        <v>567</v>
      </c>
      <c r="T534" s="9" t="s">
        <v>39</v>
      </c>
      <c r="U534" s="7">
        <v>0.38</v>
      </c>
      <c r="V534" s="12">
        <f>C534+1</f>
        <v>40713</v>
      </c>
      <c r="W534">
        <f>IF(D534=' Pivot Tables'!$A$4,1,0)</f>
        <v>0</v>
      </c>
      <c r="X534">
        <f>IF(AND(LEFT(D534,4)+1=LEFT(' Pivot Tables'!$A$4,4)+0,RIGHT(LEFT(D534,7),2)=RIGHT(LEFT(' Pivot Tables'!$A$4,7),2)),1,0)</f>
        <v>0</v>
      </c>
      <c r="Y534" s="6">
        <f>1/COUNTIF(Таблица1[Order ID],Таблица1[[#This Row],[Order ID]])</f>
        <v>1</v>
      </c>
      <c r="Z534" s="9">
        <f>1/COUNTIFS(Таблица1[Customer Name],Таблица1[[#This Row],[Customer Name]],Таблица1[Order-Year-Month],Таблица1[[#This Row],[Order-Year-Month]])</f>
        <v>1</v>
      </c>
    </row>
    <row r="535" spans="1:26" x14ac:dyDescent="0.2">
      <c r="A535" s="6">
        <v>1783</v>
      </c>
      <c r="B535" s="7">
        <v>12773</v>
      </c>
      <c r="C535" s="8">
        <f>DATE(2012,12,31)-720</f>
        <v>40554</v>
      </c>
      <c r="D535" s="8" t="str">
        <f t="shared" si="11"/>
        <v>2011-01 (январь 2011)</v>
      </c>
      <c r="E535" s="9" t="s">
        <v>21</v>
      </c>
      <c r="F535" s="7">
        <v>6</v>
      </c>
      <c r="G535" s="7">
        <v>17</v>
      </c>
      <c r="H535" s="7">
        <v>7.0000000000000007E-2</v>
      </c>
      <c r="I535" s="9" t="s">
        <v>22</v>
      </c>
      <c r="J535" s="10">
        <v>-4.6114999999999995</v>
      </c>
      <c r="K535" s="11">
        <v>2.78</v>
      </c>
      <c r="L535" s="11">
        <v>1.49</v>
      </c>
      <c r="M535" s="9" t="s">
        <v>568</v>
      </c>
      <c r="N535" s="6" t="s">
        <v>511</v>
      </c>
      <c r="O535" s="6" t="s">
        <v>512</v>
      </c>
      <c r="P535" s="9" t="s">
        <v>41</v>
      </c>
      <c r="Q535" s="9" t="s">
        <v>26</v>
      </c>
      <c r="R535" s="9" t="s">
        <v>37</v>
      </c>
      <c r="S535" s="7" t="s">
        <v>569</v>
      </c>
      <c r="T535" s="9" t="s">
        <v>39</v>
      </c>
      <c r="U535" s="7">
        <v>0.39</v>
      </c>
      <c r="V535" s="12">
        <f>C535+2</f>
        <v>40556</v>
      </c>
      <c r="W535">
        <f>IF(D535=' Pivot Tables'!$A$4,1,0)</f>
        <v>0</v>
      </c>
      <c r="X535">
        <f>IF(AND(LEFT(D535,4)+1=LEFT(' Pivot Tables'!$A$4,4)+0,RIGHT(LEFT(D535,7),2)=RIGHT(LEFT(' Pivot Tables'!$A$4,7),2)),1,0)</f>
        <v>0</v>
      </c>
      <c r="Y535" s="6">
        <f>1/COUNTIF(Таблица1[Order ID],Таблица1[[#This Row],[Order ID]])</f>
        <v>0.25</v>
      </c>
      <c r="Z535" s="9">
        <f>1/COUNTIFS(Таблица1[Customer Name],Таблица1[[#This Row],[Customer Name]],Таблица1[Order-Year-Month],Таблица1[[#This Row],[Order-Year-Month]])</f>
        <v>0.16666666666666666</v>
      </c>
    </row>
    <row r="536" spans="1:26" x14ac:dyDescent="0.2">
      <c r="A536" s="6">
        <v>1784</v>
      </c>
      <c r="B536" s="7">
        <v>12773</v>
      </c>
      <c r="C536" s="8">
        <f>DATE(2012,12,31)-720</f>
        <v>40554</v>
      </c>
      <c r="D536" s="8" t="str">
        <f t="shared" si="11"/>
        <v>2011-01 (январь 2011)</v>
      </c>
      <c r="E536" s="9" t="s">
        <v>21</v>
      </c>
      <c r="F536" s="7">
        <v>15</v>
      </c>
      <c r="G536" s="7">
        <v>67.41</v>
      </c>
      <c r="H536" s="7">
        <v>0.04</v>
      </c>
      <c r="I536" s="9" t="s">
        <v>22</v>
      </c>
      <c r="J536" s="10">
        <v>-49.6</v>
      </c>
      <c r="K536" s="11">
        <v>4.1399999999999997</v>
      </c>
      <c r="L536" s="11">
        <v>6.6</v>
      </c>
      <c r="M536" s="9" t="s">
        <v>568</v>
      </c>
      <c r="N536" s="6" t="s">
        <v>511</v>
      </c>
      <c r="O536" s="6" t="s">
        <v>512</v>
      </c>
      <c r="P536" s="9" t="s">
        <v>41</v>
      </c>
      <c r="Q536" s="9" t="s">
        <v>49</v>
      </c>
      <c r="R536" s="9" t="s">
        <v>50</v>
      </c>
      <c r="S536" s="7" t="s">
        <v>524</v>
      </c>
      <c r="T536" s="9" t="s">
        <v>39</v>
      </c>
      <c r="U536" s="7">
        <v>0.49</v>
      </c>
      <c r="V536" s="12">
        <f>C536+9</f>
        <v>40563</v>
      </c>
      <c r="W536">
        <f>IF(D536=' Pivot Tables'!$A$4,1,0)</f>
        <v>0</v>
      </c>
      <c r="X536">
        <f>IF(AND(LEFT(D536,4)+1=LEFT(' Pivot Tables'!$A$4,4)+0,RIGHT(LEFT(D536,7),2)=RIGHT(LEFT(' Pivot Tables'!$A$4,7),2)),1,0)</f>
        <v>0</v>
      </c>
      <c r="Y536" s="6">
        <f>1/COUNTIF(Таблица1[Order ID],Таблица1[[#This Row],[Order ID]])</f>
        <v>0.25</v>
      </c>
      <c r="Z536" s="9">
        <f>1/COUNTIFS(Таблица1[Customer Name],Таблица1[[#This Row],[Customer Name]],Таблица1[Order-Year-Month],Таблица1[[#This Row],[Order-Year-Month]])</f>
        <v>0.16666666666666666</v>
      </c>
    </row>
    <row r="537" spans="1:26" x14ac:dyDescent="0.2">
      <c r="A537" s="6">
        <v>1785</v>
      </c>
      <c r="B537" s="7">
        <v>12773</v>
      </c>
      <c r="C537" s="8">
        <f>DATE(2012,12,31)-720</f>
        <v>40554</v>
      </c>
      <c r="D537" s="8" t="str">
        <f t="shared" si="11"/>
        <v>2011-01 (январь 2011)</v>
      </c>
      <c r="E537" s="9" t="s">
        <v>21</v>
      </c>
      <c r="F537" s="7">
        <v>19</v>
      </c>
      <c r="G537" s="7">
        <v>130.66999999999999</v>
      </c>
      <c r="H537" s="7">
        <v>0.05</v>
      </c>
      <c r="I537" s="9" t="s">
        <v>22</v>
      </c>
      <c r="J537" s="10">
        <v>-77.180000000000007</v>
      </c>
      <c r="K537" s="11">
        <v>6.48</v>
      </c>
      <c r="L537" s="11">
        <v>7.86</v>
      </c>
      <c r="M537" s="9" t="s">
        <v>568</v>
      </c>
      <c r="N537" s="6" t="s">
        <v>511</v>
      </c>
      <c r="O537" s="6" t="s">
        <v>512</v>
      </c>
      <c r="P537" s="9" t="s">
        <v>41</v>
      </c>
      <c r="Q537" s="9" t="s">
        <v>26</v>
      </c>
      <c r="R537" s="9" t="s">
        <v>61</v>
      </c>
      <c r="S537" s="7" t="s">
        <v>153</v>
      </c>
      <c r="T537" s="9" t="s">
        <v>39</v>
      </c>
      <c r="U537" s="7">
        <v>0.37</v>
      </c>
      <c r="V537" s="12">
        <f>C537+5</f>
        <v>40559</v>
      </c>
      <c r="W537">
        <f>IF(D537=' Pivot Tables'!$A$4,1,0)</f>
        <v>0</v>
      </c>
      <c r="X537">
        <f>IF(AND(LEFT(D537,4)+1=LEFT(' Pivot Tables'!$A$4,4)+0,RIGHT(LEFT(D537,7),2)=RIGHT(LEFT(' Pivot Tables'!$A$4,7),2)),1,0)</f>
        <v>0</v>
      </c>
      <c r="Y537" s="6">
        <f>1/COUNTIF(Таблица1[Order ID],Таблица1[[#This Row],[Order ID]])</f>
        <v>0.25</v>
      </c>
      <c r="Z537" s="9">
        <f>1/COUNTIFS(Таблица1[Customer Name],Таблица1[[#This Row],[Customer Name]],Таблица1[Order-Year-Month],Таблица1[[#This Row],[Order-Year-Month]])</f>
        <v>0.16666666666666666</v>
      </c>
    </row>
    <row r="538" spans="1:26" x14ac:dyDescent="0.2">
      <c r="A538" s="6">
        <v>1786</v>
      </c>
      <c r="B538" s="7">
        <v>12773</v>
      </c>
      <c r="C538" s="8">
        <f>DATE(2012,12,31)-720</f>
        <v>40554</v>
      </c>
      <c r="D538" s="8" t="str">
        <f t="shared" si="11"/>
        <v>2011-01 (январь 2011)</v>
      </c>
      <c r="E538" s="9" t="s">
        <v>21</v>
      </c>
      <c r="F538" s="7">
        <v>21</v>
      </c>
      <c r="G538" s="7">
        <v>77.62</v>
      </c>
      <c r="H538" s="7">
        <v>0.01</v>
      </c>
      <c r="I538" s="9" t="s">
        <v>22</v>
      </c>
      <c r="J538" s="10">
        <v>-50.88</v>
      </c>
      <c r="K538" s="11">
        <v>3.28</v>
      </c>
      <c r="L538" s="11">
        <v>3.97</v>
      </c>
      <c r="M538" s="9" t="s">
        <v>568</v>
      </c>
      <c r="N538" s="6" t="s">
        <v>511</v>
      </c>
      <c r="O538" s="6" t="s">
        <v>512</v>
      </c>
      <c r="P538" s="9" t="s">
        <v>41</v>
      </c>
      <c r="Q538" s="9" t="s">
        <v>26</v>
      </c>
      <c r="R538" s="9" t="s">
        <v>95</v>
      </c>
      <c r="S538" s="7" t="s">
        <v>570</v>
      </c>
      <c r="T538" s="9" t="s">
        <v>68</v>
      </c>
      <c r="U538" s="7">
        <v>0.56000000000000005</v>
      </c>
      <c r="V538" s="12">
        <f>C538+5</f>
        <v>40559</v>
      </c>
      <c r="W538">
        <f>IF(D538=' Pivot Tables'!$A$4,1,0)</f>
        <v>0</v>
      </c>
      <c r="X538">
        <f>IF(AND(LEFT(D538,4)+1=LEFT(' Pivot Tables'!$A$4,4)+0,RIGHT(LEFT(D538,7),2)=RIGHT(LEFT(' Pivot Tables'!$A$4,7),2)),1,0)</f>
        <v>0</v>
      </c>
      <c r="Y538" s="6">
        <f>1/COUNTIF(Таблица1[Order ID],Таблица1[[#This Row],[Order ID]])</f>
        <v>0.25</v>
      </c>
      <c r="Z538" s="9">
        <f>1/COUNTIFS(Таблица1[Customer Name],Таблица1[[#This Row],[Customer Name]],Таблица1[Order-Year-Month],Таблица1[[#This Row],[Order-Year-Month]])</f>
        <v>0.16666666666666666</v>
      </c>
    </row>
    <row r="539" spans="1:26" x14ac:dyDescent="0.2">
      <c r="A539" s="6">
        <v>1810</v>
      </c>
      <c r="B539" s="7">
        <v>12934</v>
      </c>
      <c r="C539" s="8">
        <f>DATE(2012,12,31)-1397</f>
        <v>39877</v>
      </c>
      <c r="D539" s="8" t="str">
        <f t="shared" si="11"/>
        <v>2009-03 (март 2009)</v>
      </c>
      <c r="E539" s="9" t="s">
        <v>45</v>
      </c>
      <c r="F539" s="7">
        <v>45</v>
      </c>
      <c r="G539" s="7">
        <v>440.39</v>
      </c>
      <c r="H539" s="7">
        <v>0.05</v>
      </c>
      <c r="I539" s="9" t="s">
        <v>22</v>
      </c>
      <c r="J539" s="10">
        <v>186.64</v>
      </c>
      <c r="K539" s="11">
        <v>9.7799999999999994</v>
      </c>
      <c r="L539" s="11">
        <v>1.39</v>
      </c>
      <c r="M539" s="9" t="s">
        <v>535</v>
      </c>
      <c r="N539" s="6" t="s">
        <v>511</v>
      </c>
      <c r="O539" s="6" t="s">
        <v>512</v>
      </c>
      <c r="P539" s="9" t="s">
        <v>41</v>
      </c>
      <c r="Q539" s="9" t="s">
        <v>26</v>
      </c>
      <c r="R539" s="9" t="s">
        <v>76</v>
      </c>
      <c r="S539" s="7" t="s">
        <v>571</v>
      </c>
      <c r="T539" s="9" t="s">
        <v>39</v>
      </c>
      <c r="U539" s="7">
        <v>0.39</v>
      </c>
      <c r="V539" s="12">
        <f>C539+1</f>
        <v>39878</v>
      </c>
      <c r="W539">
        <f>IF(D539=' Pivot Tables'!$A$4,1,0)</f>
        <v>0</v>
      </c>
      <c r="X539">
        <f>IF(AND(LEFT(D539,4)+1=LEFT(' Pivot Tables'!$A$4,4)+0,RIGHT(LEFT(D539,7),2)=RIGHT(LEFT(' Pivot Tables'!$A$4,7),2)),1,0)</f>
        <v>0</v>
      </c>
      <c r="Y539" s="6">
        <f>1/COUNTIF(Таблица1[Order ID],Таблица1[[#This Row],[Order ID]])</f>
        <v>0.5</v>
      </c>
      <c r="Z539" s="9">
        <f>1/COUNTIFS(Таблица1[Customer Name],Таблица1[[#This Row],[Customer Name]],Таблица1[Order-Year-Month],Таблица1[[#This Row],[Order-Year-Month]])</f>
        <v>0.5</v>
      </c>
    </row>
    <row r="540" spans="1:26" x14ac:dyDescent="0.2">
      <c r="A540" s="6">
        <v>1811</v>
      </c>
      <c r="B540" s="7">
        <v>12934</v>
      </c>
      <c r="C540" s="8">
        <f>DATE(2012,12,31)-1397</f>
        <v>39877</v>
      </c>
      <c r="D540" s="8" t="str">
        <f t="shared" si="11"/>
        <v>2009-03 (март 2009)</v>
      </c>
      <c r="E540" s="9" t="s">
        <v>45</v>
      </c>
      <c r="F540" s="7">
        <v>27</v>
      </c>
      <c r="G540" s="7">
        <v>96.99</v>
      </c>
      <c r="H540" s="7">
        <v>0.02</v>
      </c>
      <c r="I540" s="9" t="s">
        <v>56</v>
      </c>
      <c r="J540" s="10">
        <v>-66.349999999999994</v>
      </c>
      <c r="K540" s="11">
        <v>3.28</v>
      </c>
      <c r="L540" s="11">
        <v>3.97</v>
      </c>
      <c r="M540" s="9" t="s">
        <v>535</v>
      </c>
      <c r="N540" s="6" t="s">
        <v>511</v>
      </c>
      <c r="O540" s="6" t="s">
        <v>512</v>
      </c>
      <c r="P540" s="9" t="s">
        <v>41</v>
      </c>
      <c r="Q540" s="9" t="s">
        <v>26</v>
      </c>
      <c r="R540" s="9" t="s">
        <v>95</v>
      </c>
      <c r="S540" s="7" t="s">
        <v>572</v>
      </c>
      <c r="T540" s="9" t="s">
        <v>68</v>
      </c>
      <c r="U540" s="7">
        <v>0.56000000000000005</v>
      </c>
      <c r="V540" s="12">
        <f>C540+1</f>
        <v>39878</v>
      </c>
      <c r="W540">
        <f>IF(D540=' Pivot Tables'!$A$4,1,0)</f>
        <v>0</v>
      </c>
      <c r="X540">
        <f>IF(AND(LEFT(D540,4)+1=LEFT(' Pivot Tables'!$A$4,4)+0,RIGHT(LEFT(D540,7),2)=RIGHT(LEFT(' Pivot Tables'!$A$4,7),2)),1,0)</f>
        <v>0</v>
      </c>
      <c r="Y540" s="6">
        <f>1/COUNTIF(Таблица1[Order ID],Таблица1[[#This Row],[Order ID]])</f>
        <v>0.5</v>
      </c>
      <c r="Z540" s="9">
        <f>1/COUNTIFS(Таблица1[Customer Name],Таблица1[[#This Row],[Customer Name]],Таблица1[Order-Year-Month],Таблица1[[#This Row],[Order-Year-Month]])</f>
        <v>0.5</v>
      </c>
    </row>
    <row r="541" spans="1:26" x14ac:dyDescent="0.2">
      <c r="A541" s="6">
        <v>1826</v>
      </c>
      <c r="B541" s="7">
        <v>13120</v>
      </c>
      <c r="C541" s="8">
        <f>DATE(2012,12,31)-1113</f>
        <v>40161</v>
      </c>
      <c r="D541" s="8" t="str">
        <f t="shared" si="11"/>
        <v>2009-12 (декабрь 2009)</v>
      </c>
      <c r="E541" s="9" t="s">
        <v>21</v>
      </c>
      <c r="F541" s="7">
        <v>46</v>
      </c>
      <c r="G541" s="7">
        <v>590.42999999999995</v>
      </c>
      <c r="H541" s="7">
        <v>0.09</v>
      </c>
      <c r="I541" s="9" t="s">
        <v>22</v>
      </c>
      <c r="J541" s="10">
        <v>82.594499999999996</v>
      </c>
      <c r="K541" s="11">
        <v>12.95</v>
      </c>
      <c r="L541" s="11">
        <v>4.9800000000000004</v>
      </c>
      <c r="M541" s="9" t="s">
        <v>552</v>
      </c>
      <c r="N541" s="6" t="s">
        <v>511</v>
      </c>
      <c r="O541" s="6" t="s">
        <v>512</v>
      </c>
      <c r="P541" s="9" t="s">
        <v>33</v>
      </c>
      <c r="Q541" s="9" t="s">
        <v>26</v>
      </c>
      <c r="R541" s="9" t="s">
        <v>37</v>
      </c>
      <c r="S541" s="7" t="s">
        <v>278</v>
      </c>
      <c r="T541" s="9" t="s">
        <v>39</v>
      </c>
      <c r="U541" s="7">
        <v>0.4</v>
      </c>
      <c r="V541" s="12">
        <f>C541+7</f>
        <v>40168</v>
      </c>
      <c r="W541">
        <f>IF(D541=' Pivot Tables'!$A$4,1,0)</f>
        <v>0</v>
      </c>
      <c r="X541">
        <f>IF(AND(LEFT(D541,4)+1=LEFT(' Pivot Tables'!$A$4,4)+0,RIGHT(LEFT(D541,7),2)=RIGHT(LEFT(' Pivot Tables'!$A$4,7),2)),1,0)</f>
        <v>0</v>
      </c>
      <c r="Y541" s="6">
        <f>1/COUNTIF(Таблица1[Order ID],Таблица1[[#This Row],[Order ID]])</f>
        <v>0.5</v>
      </c>
      <c r="Z541" s="9">
        <f>1/COUNTIFS(Таблица1[Customer Name],Таблица1[[#This Row],[Customer Name]],Таблица1[Order-Year-Month],Таблица1[[#This Row],[Order-Year-Month]])</f>
        <v>0.5</v>
      </c>
    </row>
    <row r="542" spans="1:26" x14ac:dyDescent="0.2">
      <c r="A542" s="6">
        <v>1827</v>
      </c>
      <c r="B542" s="7">
        <v>13120</v>
      </c>
      <c r="C542" s="8">
        <f>DATE(2012,12,31)-1113</f>
        <v>40161</v>
      </c>
      <c r="D542" s="8" t="str">
        <f t="shared" si="11"/>
        <v>2009-12 (декабрь 2009)</v>
      </c>
      <c r="E542" s="9" t="s">
        <v>21</v>
      </c>
      <c r="F542" s="7">
        <v>8</v>
      </c>
      <c r="G542" s="7">
        <v>216.33</v>
      </c>
      <c r="H542" s="7">
        <v>0</v>
      </c>
      <c r="I542" s="9" t="s">
        <v>22</v>
      </c>
      <c r="J542" s="10">
        <v>-17.364999999999998</v>
      </c>
      <c r="K542" s="11">
        <v>24.92</v>
      </c>
      <c r="L542" s="11">
        <v>12.98</v>
      </c>
      <c r="M542" s="9" t="s">
        <v>552</v>
      </c>
      <c r="N542" s="6" t="s">
        <v>511</v>
      </c>
      <c r="O542" s="6" t="s">
        <v>512</v>
      </c>
      <c r="P542" s="9" t="s">
        <v>33</v>
      </c>
      <c r="Q542" s="9" t="s">
        <v>26</v>
      </c>
      <c r="R542" s="9" t="s">
        <v>37</v>
      </c>
      <c r="S542" s="7" t="s">
        <v>319</v>
      </c>
      <c r="T542" s="9" t="s">
        <v>39</v>
      </c>
      <c r="U542" s="7">
        <v>0.39</v>
      </c>
      <c r="V542" s="12">
        <f>C542+0</f>
        <v>40161</v>
      </c>
      <c r="W542">
        <f>IF(D542=' Pivot Tables'!$A$4,1,0)</f>
        <v>0</v>
      </c>
      <c r="X542">
        <f>IF(AND(LEFT(D542,4)+1=LEFT(' Pivot Tables'!$A$4,4)+0,RIGHT(LEFT(D542,7),2)=RIGHT(LEFT(' Pivot Tables'!$A$4,7),2)),1,0)</f>
        <v>0</v>
      </c>
      <c r="Y542" s="6">
        <f>1/COUNTIF(Таблица1[Order ID],Таблица1[[#This Row],[Order ID]])</f>
        <v>0.5</v>
      </c>
      <c r="Z542" s="9">
        <f>1/COUNTIFS(Таблица1[Customer Name],Таблица1[[#This Row],[Customer Name]],Таблица1[Order-Year-Month],Таблица1[[#This Row],[Order-Year-Month]])</f>
        <v>0.5</v>
      </c>
    </row>
    <row r="543" spans="1:26" x14ac:dyDescent="0.2">
      <c r="A543" s="6">
        <v>1896</v>
      </c>
      <c r="B543" s="7">
        <v>13604</v>
      </c>
      <c r="C543" s="8">
        <f>DATE(2012,12,31)-1428</f>
        <v>39846</v>
      </c>
      <c r="D543" s="8" t="str">
        <f t="shared" si="11"/>
        <v>2009-02 (февраль 2009)</v>
      </c>
      <c r="E543" s="9" t="s">
        <v>45</v>
      </c>
      <c r="F543" s="7">
        <v>38</v>
      </c>
      <c r="G543" s="7">
        <v>3152.75</v>
      </c>
      <c r="H543" s="7">
        <v>0.04</v>
      </c>
      <c r="I543" s="9" t="s">
        <v>22</v>
      </c>
      <c r="J543" s="10">
        <v>1166.4000000000001</v>
      </c>
      <c r="K543" s="11">
        <v>83.1</v>
      </c>
      <c r="L543" s="11">
        <v>6.13</v>
      </c>
      <c r="M543" s="9" t="s">
        <v>542</v>
      </c>
      <c r="N543" s="6" t="s">
        <v>511</v>
      </c>
      <c r="O543" s="6" t="s">
        <v>512</v>
      </c>
      <c r="P543" s="9" t="s">
        <v>41</v>
      </c>
      <c r="Q543" s="9" t="s">
        <v>42</v>
      </c>
      <c r="R543" s="9" t="s">
        <v>70</v>
      </c>
      <c r="S543" s="7" t="s">
        <v>573</v>
      </c>
      <c r="T543" s="9" t="s">
        <v>39</v>
      </c>
      <c r="U543" s="7">
        <v>0.45</v>
      </c>
      <c r="V543" s="12">
        <f>C543+2</f>
        <v>39848</v>
      </c>
      <c r="W543">
        <f>IF(D543=' Pivot Tables'!$A$4,1,0)</f>
        <v>0</v>
      </c>
      <c r="X543">
        <f>IF(AND(LEFT(D543,4)+1=LEFT(' Pivot Tables'!$A$4,4)+0,RIGHT(LEFT(D543,7),2)=RIGHT(LEFT(' Pivot Tables'!$A$4,7),2)),1,0)</f>
        <v>0</v>
      </c>
      <c r="Y543" s="6">
        <f>1/COUNTIF(Таблица1[Order ID],Таблица1[[#This Row],[Order ID]])</f>
        <v>0.5</v>
      </c>
      <c r="Z543" s="9">
        <f>1/COUNTIFS(Таблица1[Customer Name],Таблица1[[#This Row],[Customer Name]],Таблица1[Order-Year-Month],Таблица1[[#This Row],[Order-Year-Month]])</f>
        <v>0.2</v>
      </c>
    </row>
    <row r="544" spans="1:26" x14ac:dyDescent="0.2">
      <c r="A544" s="6">
        <v>1897</v>
      </c>
      <c r="B544" s="7">
        <v>13604</v>
      </c>
      <c r="C544" s="8">
        <f>DATE(2012,12,31)-1428</f>
        <v>39846</v>
      </c>
      <c r="D544" s="8" t="str">
        <f t="shared" si="11"/>
        <v>2009-02 (февраль 2009)</v>
      </c>
      <c r="E544" s="9" t="s">
        <v>45</v>
      </c>
      <c r="F544" s="7">
        <v>42</v>
      </c>
      <c r="G544" s="7">
        <v>3609.88</v>
      </c>
      <c r="H544" s="7">
        <v>7.0000000000000007E-2</v>
      </c>
      <c r="I544" s="9" t="s">
        <v>22</v>
      </c>
      <c r="J544" s="10">
        <v>-1396.22</v>
      </c>
      <c r="K544" s="11">
        <v>90.98</v>
      </c>
      <c r="L544" s="11">
        <v>56.2</v>
      </c>
      <c r="M544" s="9" t="s">
        <v>542</v>
      </c>
      <c r="N544" s="6" t="s">
        <v>511</v>
      </c>
      <c r="O544" s="6" t="s">
        <v>512</v>
      </c>
      <c r="P544" s="9" t="s">
        <v>41</v>
      </c>
      <c r="Q544" s="9" t="s">
        <v>49</v>
      </c>
      <c r="R544" s="9" t="s">
        <v>50</v>
      </c>
      <c r="S544" s="7" t="s">
        <v>574</v>
      </c>
      <c r="T544" s="9" t="s">
        <v>48</v>
      </c>
      <c r="U544" s="7">
        <v>0.74</v>
      </c>
      <c r="V544" s="12">
        <f>C544+3</f>
        <v>39849</v>
      </c>
      <c r="W544">
        <f>IF(D544=' Pivot Tables'!$A$4,1,0)</f>
        <v>0</v>
      </c>
      <c r="X544">
        <f>IF(AND(LEFT(D544,4)+1=LEFT(' Pivot Tables'!$A$4,4)+0,RIGHT(LEFT(D544,7),2)=RIGHT(LEFT(' Pivot Tables'!$A$4,7),2)),1,0)</f>
        <v>0</v>
      </c>
      <c r="Y544" s="6">
        <f>1/COUNTIF(Таблица1[Order ID],Таблица1[[#This Row],[Order ID]])</f>
        <v>0.5</v>
      </c>
      <c r="Z544" s="9">
        <f>1/COUNTIFS(Таблица1[Customer Name],Таблица1[[#This Row],[Customer Name]],Таблица1[Order-Year-Month],Таблица1[[#This Row],[Order-Year-Month]])</f>
        <v>0.2</v>
      </c>
    </row>
    <row r="545" spans="1:26" x14ac:dyDescent="0.2">
      <c r="A545" s="6">
        <v>1947</v>
      </c>
      <c r="B545" s="7">
        <v>13927</v>
      </c>
      <c r="C545" s="8">
        <f>DATE(2012,12,31)-1223</f>
        <v>40051</v>
      </c>
      <c r="D545" s="8" t="str">
        <f t="shared" si="11"/>
        <v>2009-08 (август 2009)</v>
      </c>
      <c r="E545" s="9" t="s">
        <v>21</v>
      </c>
      <c r="F545" s="7">
        <v>26</v>
      </c>
      <c r="G545" s="7">
        <v>188.05</v>
      </c>
      <c r="H545" s="7">
        <v>0.04</v>
      </c>
      <c r="I545" s="9" t="s">
        <v>56</v>
      </c>
      <c r="J545" s="10">
        <v>-21.41</v>
      </c>
      <c r="K545" s="11">
        <v>6.48</v>
      </c>
      <c r="L545" s="11">
        <v>5.16</v>
      </c>
      <c r="M545" s="9" t="s">
        <v>575</v>
      </c>
      <c r="N545" s="6" t="s">
        <v>511</v>
      </c>
      <c r="O545" s="6" t="s">
        <v>512</v>
      </c>
      <c r="P545" s="9" t="s">
        <v>41</v>
      </c>
      <c r="Q545" s="9" t="s">
        <v>26</v>
      </c>
      <c r="R545" s="9" t="s">
        <v>61</v>
      </c>
      <c r="S545" s="7" t="s">
        <v>576</v>
      </c>
      <c r="T545" s="9" t="s">
        <v>39</v>
      </c>
      <c r="U545" s="7">
        <v>0.37</v>
      </c>
      <c r="V545" s="12">
        <f>C545+7</f>
        <v>40058</v>
      </c>
      <c r="W545">
        <f>IF(D545=' Pivot Tables'!$A$4,1,0)</f>
        <v>0</v>
      </c>
      <c r="X545">
        <f>IF(AND(LEFT(D545,4)+1=LEFT(' Pivot Tables'!$A$4,4)+0,RIGHT(LEFT(D545,7),2)=RIGHT(LEFT(' Pivot Tables'!$A$4,7),2)),1,0)</f>
        <v>0</v>
      </c>
      <c r="Y545" s="6">
        <f>1/COUNTIF(Таблица1[Order ID],Таблица1[[#This Row],[Order ID]])</f>
        <v>1</v>
      </c>
      <c r="Z545" s="9">
        <f>1/COUNTIFS(Таблица1[Customer Name],Таблица1[[#This Row],[Customer Name]],Таблица1[Order-Year-Month],Таблица1[[#This Row],[Order-Year-Month]])</f>
        <v>1</v>
      </c>
    </row>
    <row r="546" spans="1:26" x14ac:dyDescent="0.2">
      <c r="A546" s="6">
        <v>2104</v>
      </c>
      <c r="B546" s="7">
        <v>15044</v>
      </c>
      <c r="C546" s="8">
        <f>DATE(2012,12,31)-300</f>
        <v>40974</v>
      </c>
      <c r="D546" s="8" t="str">
        <f t="shared" si="11"/>
        <v>2012-03 (март 2012)</v>
      </c>
      <c r="E546" s="9" t="s">
        <v>21</v>
      </c>
      <c r="F546" s="7">
        <v>42</v>
      </c>
      <c r="G546" s="7">
        <v>1681.6</v>
      </c>
      <c r="H546" s="7">
        <v>7.0000000000000007E-2</v>
      </c>
      <c r="I546" s="9" t="s">
        <v>22</v>
      </c>
      <c r="J546" s="10">
        <v>167.37</v>
      </c>
      <c r="K546" s="11">
        <v>39.99</v>
      </c>
      <c r="L546" s="11">
        <v>10.25</v>
      </c>
      <c r="M546" s="9" t="s">
        <v>542</v>
      </c>
      <c r="N546" s="6" t="s">
        <v>511</v>
      </c>
      <c r="O546" s="6" t="s">
        <v>512</v>
      </c>
      <c r="P546" s="9" t="s">
        <v>41</v>
      </c>
      <c r="Q546" s="9" t="s">
        <v>42</v>
      </c>
      <c r="R546" s="9" t="s">
        <v>70</v>
      </c>
      <c r="S546" s="7" t="s">
        <v>577</v>
      </c>
      <c r="T546" s="9" t="s">
        <v>39</v>
      </c>
      <c r="U546" s="7">
        <v>0.55000000000000004</v>
      </c>
      <c r="V546" s="12">
        <f>C546+4</f>
        <v>40978</v>
      </c>
      <c r="W546">
        <f>IF(D546=' Pivot Tables'!$A$4,1,0)</f>
        <v>0</v>
      </c>
      <c r="X546">
        <f>IF(AND(LEFT(D546,4)+1=LEFT(' Pivot Tables'!$A$4,4)+0,RIGHT(LEFT(D546,7),2)=RIGHT(LEFT(' Pivot Tables'!$A$4,7),2)),1,0)</f>
        <v>0</v>
      </c>
      <c r="Y546" s="6">
        <f>1/COUNTIF(Таблица1[Order ID],Таблица1[[#This Row],[Order ID]])</f>
        <v>1</v>
      </c>
      <c r="Z546" s="9">
        <f>1/COUNTIFS(Таблица1[Customer Name],Таблица1[[#This Row],[Customer Name]],Таблица1[Order-Year-Month],Таблица1[[#This Row],[Order-Year-Month]])</f>
        <v>1</v>
      </c>
    </row>
    <row r="547" spans="1:26" x14ac:dyDescent="0.2">
      <c r="A547" s="6">
        <v>2124</v>
      </c>
      <c r="B547" s="7">
        <v>15139</v>
      </c>
      <c r="C547" s="8">
        <f>DATE(2012,12,31)-1138</f>
        <v>40136</v>
      </c>
      <c r="D547" s="8" t="str">
        <f t="shared" si="11"/>
        <v>2009-11 (ноябрь 2009)</v>
      </c>
      <c r="E547" s="9" t="s">
        <v>30</v>
      </c>
      <c r="F547" s="7">
        <v>17</v>
      </c>
      <c r="G547" s="7">
        <v>5203.8999999999996</v>
      </c>
      <c r="H547" s="7">
        <v>7.0000000000000007E-2</v>
      </c>
      <c r="I547" s="9" t="s">
        <v>31</v>
      </c>
      <c r="J547" s="10">
        <v>636.20000000000005</v>
      </c>
      <c r="K547" s="11">
        <v>300.98</v>
      </c>
      <c r="L547" s="11">
        <v>64.73</v>
      </c>
      <c r="M547" s="9" t="s">
        <v>535</v>
      </c>
      <c r="N547" s="6" t="s">
        <v>511</v>
      </c>
      <c r="O547" s="6" t="s">
        <v>512</v>
      </c>
      <c r="P547" s="9" t="s">
        <v>41</v>
      </c>
      <c r="Q547" s="9" t="s">
        <v>49</v>
      </c>
      <c r="R547" s="9" t="s">
        <v>112</v>
      </c>
      <c r="S547" s="7" t="s">
        <v>168</v>
      </c>
      <c r="T547" s="9" t="s">
        <v>36</v>
      </c>
      <c r="U547" s="7">
        <v>0.56000000000000005</v>
      </c>
      <c r="V547" s="12">
        <f>C547+2</f>
        <v>40138</v>
      </c>
      <c r="W547">
        <f>IF(D547=' Pivot Tables'!$A$4,1,0)</f>
        <v>0</v>
      </c>
      <c r="X547">
        <f>IF(AND(LEFT(D547,4)+1=LEFT(' Pivot Tables'!$A$4,4)+0,RIGHT(LEFT(D547,7),2)=RIGHT(LEFT(' Pivot Tables'!$A$4,7),2)),1,0)</f>
        <v>0</v>
      </c>
      <c r="Y547" s="6">
        <f>1/COUNTIF(Таблица1[Order ID],Таблица1[[#This Row],[Order ID]])</f>
        <v>0.5</v>
      </c>
      <c r="Z547" s="9">
        <f>1/COUNTIFS(Таблица1[Customer Name],Таблица1[[#This Row],[Customer Name]],Таблица1[Order-Year-Month],Таблица1[[#This Row],[Order-Year-Month]])</f>
        <v>0.33333333333333331</v>
      </c>
    </row>
    <row r="548" spans="1:26" x14ac:dyDescent="0.2">
      <c r="A548" s="6">
        <v>2125</v>
      </c>
      <c r="B548" s="7">
        <v>15139</v>
      </c>
      <c r="C548" s="8">
        <f>DATE(2012,12,31)-1138</f>
        <v>40136</v>
      </c>
      <c r="D548" s="8" t="str">
        <f t="shared" si="11"/>
        <v>2009-11 (ноябрь 2009)</v>
      </c>
      <c r="E548" s="9" t="s">
        <v>30</v>
      </c>
      <c r="F548" s="7">
        <v>33</v>
      </c>
      <c r="G548" s="7">
        <v>744.12</v>
      </c>
      <c r="H548" s="7">
        <v>0.01</v>
      </c>
      <c r="I548" s="9" t="s">
        <v>31</v>
      </c>
      <c r="J548" s="10">
        <v>-1163.21</v>
      </c>
      <c r="K548" s="11">
        <v>20.98</v>
      </c>
      <c r="L548" s="11">
        <v>45</v>
      </c>
      <c r="M548" s="9" t="s">
        <v>535</v>
      </c>
      <c r="N548" s="6" t="s">
        <v>511</v>
      </c>
      <c r="O548" s="6" t="s">
        <v>512</v>
      </c>
      <c r="P548" s="9" t="s">
        <v>41</v>
      </c>
      <c r="Q548" s="9" t="s">
        <v>26</v>
      </c>
      <c r="R548" s="9" t="s">
        <v>27</v>
      </c>
      <c r="S548" s="7" t="s">
        <v>578</v>
      </c>
      <c r="T548" s="9" t="s">
        <v>36</v>
      </c>
      <c r="U548" s="7">
        <v>0.61</v>
      </c>
      <c r="V548" s="12">
        <f>C548+0</f>
        <v>40136</v>
      </c>
      <c r="W548">
        <f>IF(D548=' Pivot Tables'!$A$4,1,0)</f>
        <v>0</v>
      </c>
      <c r="X548">
        <f>IF(AND(LEFT(D548,4)+1=LEFT(' Pivot Tables'!$A$4,4)+0,RIGHT(LEFT(D548,7),2)=RIGHT(LEFT(' Pivot Tables'!$A$4,7),2)),1,0)</f>
        <v>0</v>
      </c>
      <c r="Y548" s="6">
        <f>1/COUNTIF(Таблица1[Order ID],Таблица1[[#This Row],[Order ID]])</f>
        <v>0.5</v>
      </c>
      <c r="Z548" s="9">
        <f>1/COUNTIFS(Таблица1[Customer Name],Таблица1[[#This Row],[Customer Name]],Таблица1[Order-Year-Month],Таблица1[[#This Row],[Order-Year-Month]])</f>
        <v>0.33333333333333331</v>
      </c>
    </row>
    <row r="549" spans="1:26" x14ac:dyDescent="0.2">
      <c r="A549" s="6">
        <v>2158</v>
      </c>
      <c r="B549" s="7">
        <v>15463</v>
      </c>
      <c r="C549" s="8">
        <f>DATE(2012,12,31)-891</f>
        <v>40383</v>
      </c>
      <c r="D549" s="8" t="str">
        <f t="shared" si="11"/>
        <v>2010-07 (июль 2010)</v>
      </c>
      <c r="E549" s="9" t="s">
        <v>21</v>
      </c>
      <c r="F549" s="7">
        <v>48</v>
      </c>
      <c r="G549" s="7">
        <v>293.3</v>
      </c>
      <c r="H549" s="7">
        <v>0.04</v>
      </c>
      <c r="I549" s="9" t="s">
        <v>56</v>
      </c>
      <c r="J549" s="10">
        <v>-193.48</v>
      </c>
      <c r="K549" s="11">
        <v>5.98</v>
      </c>
      <c r="L549" s="11">
        <v>7.5</v>
      </c>
      <c r="M549" s="9" t="s">
        <v>553</v>
      </c>
      <c r="N549" s="6" t="s">
        <v>511</v>
      </c>
      <c r="O549" s="6" t="s">
        <v>512</v>
      </c>
      <c r="P549" s="9" t="s">
        <v>41</v>
      </c>
      <c r="Q549" s="9" t="s">
        <v>26</v>
      </c>
      <c r="R549" s="9" t="s">
        <v>61</v>
      </c>
      <c r="S549" s="7" t="s">
        <v>579</v>
      </c>
      <c r="T549" s="9" t="s">
        <v>39</v>
      </c>
      <c r="U549" s="7">
        <v>0.4</v>
      </c>
      <c r="V549" s="12">
        <f>C549+2</f>
        <v>40385</v>
      </c>
      <c r="W549">
        <f>IF(D549=' Pivot Tables'!$A$4,1,0)</f>
        <v>0</v>
      </c>
      <c r="X549">
        <f>IF(AND(LEFT(D549,4)+1=LEFT(' Pivot Tables'!$A$4,4)+0,RIGHT(LEFT(D549,7),2)=RIGHT(LEFT(' Pivot Tables'!$A$4,7),2)),1,0)</f>
        <v>0</v>
      </c>
      <c r="Y549" s="6">
        <f>1/COUNTIF(Таблица1[Order ID],Таблица1[[#This Row],[Order ID]])</f>
        <v>1</v>
      </c>
      <c r="Z549" s="9">
        <f>1/COUNTIFS(Таблица1[Customer Name],Таблица1[[#This Row],[Customer Name]],Таблица1[Order-Year-Month],Таблица1[[#This Row],[Order-Year-Month]])</f>
        <v>1</v>
      </c>
    </row>
    <row r="550" spans="1:26" x14ac:dyDescent="0.2">
      <c r="A550" s="6">
        <v>2164</v>
      </c>
      <c r="B550" s="7">
        <v>15618</v>
      </c>
      <c r="C550" s="8">
        <f>DATE(2012,12,31)-880</f>
        <v>40394</v>
      </c>
      <c r="D550" s="8" t="str">
        <f t="shared" si="11"/>
        <v>2010-08 (август 2010)</v>
      </c>
      <c r="E550" s="9" t="s">
        <v>63</v>
      </c>
      <c r="F550" s="7">
        <v>9</v>
      </c>
      <c r="G550" s="7">
        <v>50.93</v>
      </c>
      <c r="H550" s="7">
        <v>0.06</v>
      </c>
      <c r="I550" s="9" t="s">
        <v>22</v>
      </c>
      <c r="J550" s="10">
        <v>-34.979999999999997</v>
      </c>
      <c r="K550" s="11">
        <v>5.28</v>
      </c>
      <c r="L550" s="11">
        <v>6.26</v>
      </c>
      <c r="M550" s="9" t="s">
        <v>552</v>
      </c>
      <c r="N550" s="6" t="s">
        <v>511</v>
      </c>
      <c r="O550" s="6" t="s">
        <v>512</v>
      </c>
      <c r="P550" s="9" t="s">
        <v>33</v>
      </c>
      <c r="Q550" s="9" t="s">
        <v>26</v>
      </c>
      <c r="R550" s="9" t="s">
        <v>61</v>
      </c>
      <c r="S550" s="7" t="s">
        <v>580</v>
      </c>
      <c r="T550" s="9" t="s">
        <v>39</v>
      </c>
      <c r="U550" s="7">
        <v>0.4</v>
      </c>
      <c r="V550" s="12">
        <f>C550+3</f>
        <v>40397</v>
      </c>
      <c r="W550">
        <f>IF(D550=' Pivot Tables'!$A$4,1,0)</f>
        <v>0</v>
      </c>
      <c r="X550">
        <f>IF(AND(LEFT(D550,4)+1=LEFT(' Pivot Tables'!$A$4,4)+0,RIGHT(LEFT(D550,7),2)=RIGHT(LEFT(' Pivot Tables'!$A$4,7),2)),1,0)</f>
        <v>0</v>
      </c>
      <c r="Y550" s="6">
        <f>1/COUNTIF(Таблица1[Order ID],Таблица1[[#This Row],[Order ID]])</f>
        <v>0.33333333333333331</v>
      </c>
      <c r="Z550" s="9">
        <f>1/COUNTIFS(Таблица1[Customer Name],Таблица1[[#This Row],[Customer Name]],Таблица1[Order-Year-Month],Таблица1[[#This Row],[Order-Year-Month]])</f>
        <v>0.33333333333333331</v>
      </c>
    </row>
    <row r="551" spans="1:26" x14ac:dyDescent="0.2">
      <c r="A551" s="6">
        <v>2165</v>
      </c>
      <c r="B551" s="7">
        <v>15618</v>
      </c>
      <c r="C551" s="8">
        <f>DATE(2012,12,31)-880</f>
        <v>40394</v>
      </c>
      <c r="D551" s="8" t="str">
        <f t="shared" si="11"/>
        <v>2010-08 (август 2010)</v>
      </c>
      <c r="E551" s="9" t="s">
        <v>63</v>
      </c>
      <c r="F551" s="7">
        <v>44</v>
      </c>
      <c r="G551" s="7">
        <v>792.8</v>
      </c>
      <c r="H551" s="7">
        <v>0.08</v>
      </c>
      <c r="I551" s="9" t="s">
        <v>22</v>
      </c>
      <c r="J551" s="10">
        <v>26.27</v>
      </c>
      <c r="K551" s="11">
        <v>18.97</v>
      </c>
      <c r="L551" s="11">
        <v>9.5399999999999991</v>
      </c>
      <c r="M551" s="9" t="s">
        <v>552</v>
      </c>
      <c r="N551" s="6" t="s">
        <v>511</v>
      </c>
      <c r="O551" s="6" t="s">
        <v>512</v>
      </c>
      <c r="P551" s="9" t="s">
        <v>33</v>
      </c>
      <c r="Q551" s="9" t="s">
        <v>26</v>
      </c>
      <c r="R551" s="9" t="s">
        <v>61</v>
      </c>
      <c r="S551" s="7" t="s">
        <v>581</v>
      </c>
      <c r="T551" s="9" t="s">
        <v>39</v>
      </c>
      <c r="U551" s="7">
        <v>0.37</v>
      </c>
      <c r="V551" s="12">
        <f>C551+2</f>
        <v>40396</v>
      </c>
      <c r="W551">
        <f>IF(D551=' Pivot Tables'!$A$4,1,0)</f>
        <v>0</v>
      </c>
      <c r="X551">
        <f>IF(AND(LEFT(D551,4)+1=LEFT(' Pivot Tables'!$A$4,4)+0,RIGHT(LEFT(D551,7),2)=RIGHT(LEFT(' Pivot Tables'!$A$4,7),2)),1,0)</f>
        <v>0</v>
      </c>
      <c r="Y551" s="6">
        <f>1/COUNTIF(Таблица1[Order ID],Таблица1[[#This Row],[Order ID]])</f>
        <v>0.33333333333333331</v>
      </c>
      <c r="Z551" s="9">
        <f>1/COUNTIFS(Таблица1[Customer Name],Таблица1[[#This Row],[Customer Name]],Таблица1[Order-Year-Month],Таблица1[[#This Row],[Order-Year-Month]])</f>
        <v>0.33333333333333331</v>
      </c>
    </row>
    <row r="552" spans="1:26" x14ac:dyDescent="0.2">
      <c r="A552" s="6">
        <v>2166</v>
      </c>
      <c r="B552" s="7">
        <v>15618</v>
      </c>
      <c r="C552" s="8">
        <f>DATE(2012,12,31)-880</f>
        <v>40394</v>
      </c>
      <c r="D552" s="8" t="str">
        <f t="shared" si="11"/>
        <v>2010-08 (август 2010)</v>
      </c>
      <c r="E552" s="9" t="s">
        <v>63</v>
      </c>
      <c r="F552" s="7">
        <v>14</v>
      </c>
      <c r="G552" s="7">
        <v>782.45049999999992</v>
      </c>
      <c r="H552" s="7">
        <v>0.06</v>
      </c>
      <c r="I552" s="9" t="s">
        <v>22</v>
      </c>
      <c r="J552" s="10">
        <v>-11.395999999999999</v>
      </c>
      <c r="K552" s="11">
        <v>65.989999999999995</v>
      </c>
      <c r="L552" s="11">
        <v>3.99</v>
      </c>
      <c r="M552" s="9" t="s">
        <v>552</v>
      </c>
      <c r="N552" s="6" t="s">
        <v>511</v>
      </c>
      <c r="O552" s="6" t="s">
        <v>512</v>
      </c>
      <c r="P552" s="9" t="s">
        <v>33</v>
      </c>
      <c r="Q552" s="9" t="s">
        <v>42</v>
      </c>
      <c r="R552" s="9" t="s">
        <v>43</v>
      </c>
      <c r="S552" s="7" t="s">
        <v>582</v>
      </c>
      <c r="T552" s="9" t="s">
        <v>39</v>
      </c>
      <c r="U552" s="7">
        <v>0.59</v>
      </c>
      <c r="V552" s="12">
        <f>C552+2</f>
        <v>40396</v>
      </c>
      <c r="W552">
        <f>IF(D552=' Pivot Tables'!$A$4,1,0)</f>
        <v>0</v>
      </c>
      <c r="X552">
        <f>IF(AND(LEFT(D552,4)+1=LEFT(' Pivot Tables'!$A$4,4)+0,RIGHT(LEFT(D552,7),2)=RIGHT(LEFT(' Pivot Tables'!$A$4,7),2)),1,0)</f>
        <v>0</v>
      </c>
      <c r="Y552" s="6">
        <f>1/COUNTIF(Таблица1[Order ID],Таблица1[[#This Row],[Order ID]])</f>
        <v>0.33333333333333331</v>
      </c>
      <c r="Z552" s="9">
        <f>1/COUNTIFS(Таблица1[Customer Name],Таблица1[[#This Row],[Customer Name]],Таблица1[Order-Year-Month],Таблица1[[#This Row],[Order-Year-Month]])</f>
        <v>0.33333333333333331</v>
      </c>
    </row>
    <row r="553" spans="1:26" x14ac:dyDescent="0.2">
      <c r="A553" s="6">
        <v>2227</v>
      </c>
      <c r="B553" s="7">
        <v>16100</v>
      </c>
      <c r="C553" s="8">
        <f>DATE(2012,12,31)-665</f>
        <v>40609</v>
      </c>
      <c r="D553" s="8" t="str">
        <f t="shared" si="11"/>
        <v>2011-03 (март 2011)</v>
      </c>
      <c r="E553" s="9" t="s">
        <v>63</v>
      </c>
      <c r="F553" s="7">
        <v>44</v>
      </c>
      <c r="G553" s="7">
        <v>226.18</v>
      </c>
      <c r="H553" s="7">
        <v>0.01</v>
      </c>
      <c r="I553" s="9" t="s">
        <v>22</v>
      </c>
      <c r="J553" s="10">
        <v>-115.54</v>
      </c>
      <c r="K553" s="11">
        <v>4.82</v>
      </c>
      <c r="L553" s="11">
        <v>5.72</v>
      </c>
      <c r="M553" s="9" t="s">
        <v>583</v>
      </c>
      <c r="N553" s="6" t="s">
        <v>511</v>
      </c>
      <c r="O553" s="6" t="s">
        <v>512</v>
      </c>
      <c r="P553" s="9" t="s">
        <v>41</v>
      </c>
      <c r="Q553" s="9" t="s">
        <v>49</v>
      </c>
      <c r="R553" s="9" t="s">
        <v>50</v>
      </c>
      <c r="S553" s="7" t="s">
        <v>584</v>
      </c>
      <c r="T553" s="9" t="s">
        <v>52</v>
      </c>
      <c r="U553" s="7">
        <v>0.47</v>
      </c>
      <c r="V553" s="12">
        <f>C553+1</f>
        <v>40610</v>
      </c>
      <c r="W553">
        <f>IF(D553=' Pivot Tables'!$A$4,1,0)</f>
        <v>0</v>
      </c>
      <c r="X553">
        <f>IF(AND(LEFT(D553,4)+1=LEFT(' Pivot Tables'!$A$4,4)+0,RIGHT(LEFT(D553,7),2)=RIGHT(LEFT(' Pivot Tables'!$A$4,7),2)),1,0)</f>
        <v>0</v>
      </c>
      <c r="Y553" s="6">
        <f>1/COUNTIF(Таблица1[Order ID],Таблица1[[#This Row],[Order ID]])</f>
        <v>1</v>
      </c>
      <c r="Z553" s="9">
        <f>1/COUNTIFS(Таблица1[Customer Name],Таблица1[[#This Row],[Customer Name]],Таблица1[Order-Year-Month],Таблица1[[#This Row],[Order-Year-Month]])</f>
        <v>1</v>
      </c>
    </row>
    <row r="554" spans="1:26" x14ac:dyDescent="0.2">
      <c r="A554" s="6">
        <v>2269</v>
      </c>
      <c r="B554" s="7">
        <v>16320</v>
      </c>
      <c r="C554" s="8">
        <f>DATE(2012,12,31)-438</f>
        <v>40836</v>
      </c>
      <c r="D554" s="8" t="str">
        <f t="shared" si="11"/>
        <v>2011-10 (октябрь 2011)</v>
      </c>
      <c r="E554" s="9" t="s">
        <v>45</v>
      </c>
      <c r="F554" s="7">
        <v>17</v>
      </c>
      <c r="G554" s="7">
        <v>1856.9694999999999</v>
      </c>
      <c r="H554" s="7">
        <v>0</v>
      </c>
      <c r="I554" s="9" t="s">
        <v>22</v>
      </c>
      <c r="J554" s="10">
        <v>176.86799999999999</v>
      </c>
      <c r="K554" s="11">
        <v>125.99</v>
      </c>
      <c r="L554" s="11">
        <v>8.08</v>
      </c>
      <c r="M554" s="9" t="s">
        <v>585</v>
      </c>
      <c r="N554" s="6" t="s">
        <v>511</v>
      </c>
      <c r="O554" s="6" t="s">
        <v>512</v>
      </c>
      <c r="P554" s="9" t="s">
        <v>25</v>
      </c>
      <c r="Q554" s="9" t="s">
        <v>42</v>
      </c>
      <c r="R554" s="9" t="s">
        <v>43</v>
      </c>
      <c r="S554" s="7" t="s">
        <v>586</v>
      </c>
      <c r="T554" s="9" t="s">
        <v>39</v>
      </c>
      <c r="U554" s="7">
        <v>0.56999999999999995</v>
      </c>
      <c r="V554" s="12">
        <f>C554+2</f>
        <v>40838</v>
      </c>
      <c r="W554">
        <f>IF(D554=' Pivot Tables'!$A$4,1,0)</f>
        <v>0</v>
      </c>
      <c r="X554">
        <f>IF(AND(LEFT(D554,4)+1=LEFT(' Pivot Tables'!$A$4,4)+0,RIGHT(LEFT(D554,7),2)=RIGHT(LEFT(' Pivot Tables'!$A$4,7),2)),1,0)</f>
        <v>0</v>
      </c>
      <c r="Y554" s="6">
        <f>1/COUNTIF(Таблица1[Order ID],Таблица1[[#This Row],[Order ID]])</f>
        <v>1</v>
      </c>
      <c r="Z554" s="9">
        <f>1/COUNTIFS(Таблица1[Customer Name],Таблица1[[#This Row],[Customer Name]],Таблица1[Order-Year-Month],Таблица1[[#This Row],[Order-Year-Month]])</f>
        <v>1</v>
      </c>
    </row>
    <row r="555" spans="1:26" x14ac:dyDescent="0.2">
      <c r="A555" s="6">
        <v>2278</v>
      </c>
      <c r="B555" s="7">
        <v>16419</v>
      </c>
      <c r="C555" s="8">
        <f>DATE(2012,12,31)-1245</f>
        <v>40029</v>
      </c>
      <c r="D555" s="8" t="str">
        <f t="shared" si="11"/>
        <v>2009-08 (август 2009)</v>
      </c>
      <c r="E555" s="9" t="s">
        <v>45</v>
      </c>
      <c r="F555" s="7">
        <v>43</v>
      </c>
      <c r="G555" s="7">
        <v>241.19</v>
      </c>
      <c r="H555" s="7">
        <v>0.08</v>
      </c>
      <c r="I555" s="9" t="s">
        <v>22</v>
      </c>
      <c r="J555" s="10">
        <v>-103.65</v>
      </c>
      <c r="K555" s="11">
        <v>5.78</v>
      </c>
      <c r="L555" s="11">
        <v>5.67</v>
      </c>
      <c r="M555" s="9" t="s">
        <v>552</v>
      </c>
      <c r="N555" s="6" t="s">
        <v>511</v>
      </c>
      <c r="O555" s="6" t="s">
        <v>512</v>
      </c>
      <c r="P555" s="9" t="s">
        <v>33</v>
      </c>
      <c r="Q555" s="9" t="s">
        <v>26</v>
      </c>
      <c r="R555" s="9" t="s">
        <v>61</v>
      </c>
      <c r="S555" s="7" t="s">
        <v>587</v>
      </c>
      <c r="T555" s="9" t="s">
        <v>39</v>
      </c>
      <c r="U555" s="7">
        <v>0.36</v>
      </c>
      <c r="V555" s="12">
        <f>C555+1</f>
        <v>40030</v>
      </c>
      <c r="W555">
        <f>IF(D555=' Pivot Tables'!$A$4,1,0)</f>
        <v>0</v>
      </c>
      <c r="X555">
        <f>IF(AND(LEFT(D555,4)+1=LEFT(' Pivot Tables'!$A$4,4)+0,RIGHT(LEFT(D555,7),2)=RIGHT(LEFT(' Pivot Tables'!$A$4,7),2)),1,0)</f>
        <v>0</v>
      </c>
      <c r="Y555" s="6">
        <f>1/COUNTIF(Таблица1[Order ID],Таблица1[[#This Row],[Order ID]])</f>
        <v>1</v>
      </c>
      <c r="Z555" s="9">
        <f>1/COUNTIFS(Таблица1[Customer Name],Таблица1[[#This Row],[Customer Name]],Таблица1[Order-Year-Month],Таблица1[[#This Row],[Order-Year-Month]])</f>
        <v>1</v>
      </c>
    </row>
    <row r="556" spans="1:26" x14ac:dyDescent="0.2">
      <c r="A556" s="6">
        <v>2362</v>
      </c>
      <c r="B556" s="7">
        <v>17090</v>
      </c>
      <c r="C556" s="8">
        <f>DATE(2012,12,31)-978</f>
        <v>40296</v>
      </c>
      <c r="D556" s="8" t="str">
        <f t="shared" si="11"/>
        <v>2010-04 (апрель 2010)</v>
      </c>
      <c r="E556" s="9" t="s">
        <v>21</v>
      </c>
      <c r="F556" s="7">
        <v>30</v>
      </c>
      <c r="G556" s="7">
        <v>4177.5200000000004</v>
      </c>
      <c r="H556" s="7">
        <v>0.04</v>
      </c>
      <c r="I556" s="9" t="s">
        <v>31</v>
      </c>
      <c r="J556" s="10">
        <v>-443.78</v>
      </c>
      <c r="K556" s="11">
        <v>140.97999999999999</v>
      </c>
      <c r="L556" s="11">
        <v>36.090000000000003</v>
      </c>
      <c r="M556" s="9" t="s">
        <v>568</v>
      </c>
      <c r="N556" s="6" t="s">
        <v>511</v>
      </c>
      <c r="O556" s="6" t="s">
        <v>512</v>
      </c>
      <c r="P556" s="9" t="s">
        <v>41</v>
      </c>
      <c r="Q556" s="9" t="s">
        <v>49</v>
      </c>
      <c r="R556" s="9" t="s">
        <v>80</v>
      </c>
      <c r="S556" s="7" t="s">
        <v>349</v>
      </c>
      <c r="T556" s="9" t="s">
        <v>82</v>
      </c>
      <c r="U556" s="7">
        <v>0.77</v>
      </c>
      <c r="V556" s="12">
        <f>C556+2</f>
        <v>40298</v>
      </c>
      <c r="W556">
        <f>IF(D556=' Pivot Tables'!$A$4,1,0)</f>
        <v>0</v>
      </c>
      <c r="X556">
        <f>IF(AND(LEFT(D556,4)+1=LEFT(' Pivot Tables'!$A$4,4)+0,RIGHT(LEFT(D556,7),2)=RIGHT(LEFT(' Pivot Tables'!$A$4,7),2)),1,0)</f>
        <v>0</v>
      </c>
      <c r="Y556" s="6">
        <f>1/COUNTIF(Таблица1[Order ID],Таблица1[[#This Row],[Order ID]])</f>
        <v>0.5</v>
      </c>
      <c r="Z556" s="9">
        <f>1/COUNTIFS(Таблица1[Customer Name],Таблица1[[#This Row],[Customer Name]],Таблица1[Order-Year-Month],Таблица1[[#This Row],[Order-Year-Month]])</f>
        <v>0.5</v>
      </c>
    </row>
    <row r="557" spans="1:26" x14ac:dyDescent="0.2">
      <c r="A557" s="6">
        <v>2363</v>
      </c>
      <c r="B557" s="7">
        <v>17090</v>
      </c>
      <c r="C557" s="8">
        <f>DATE(2012,12,31)-978</f>
        <v>40296</v>
      </c>
      <c r="D557" s="8" t="str">
        <f t="shared" si="11"/>
        <v>2010-04 (апрель 2010)</v>
      </c>
      <c r="E557" s="9" t="s">
        <v>21</v>
      </c>
      <c r="F557" s="7">
        <v>26</v>
      </c>
      <c r="G557" s="7">
        <v>3351.08</v>
      </c>
      <c r="H557" s="7">
        <v>0.05</v>
      </c>
      <c r="I557" s="9" t="s">
        <v>31</v>
      </c>
      <c r="J557" s="10">
        <v>-1086.43</v>
      </c>
      <c r="K557" s="11">
        <v>122.99</v>
      </c>
      <c r="L557" s="11">
        <v>70.2</v>
      </c>
      <c r="M557" s="9" t="s">
        <v>568</v>
      </c>
      <c r="N557" s="6" t="s">
        <v>511</v>
      </c>
      <c r="O557" s="6" t="s">
        <v>512</v>
      </c>
      <c r="P557" s="9" t="s">
        <v>41</v>
      </c>
      <c r="Q557" s="9" t="s">
        <v>49</v>
      </c>
      <c r="R557" s="9" t="s">
        <v>112</v>
      </c>
      <c r="S557" s="7" t="s">
        <v>426</v>
      </c>
      <c r="T557" s="9" t="s">
        <v>36</v>
      </c>
      <c r="U557" s="7">
        <v>0.74</v>
      </c>
      <c r="V557" s="12">
        <f>C557+5</f>
        <v>40301</v>
      </c>
      <c r="W557">
        <f>IF(D557=' Pivot Tables'!$A$4,1,0)</f>
        <v>0</v>
      </c>
      <c r="X557">
        <f>IF(AND(LEFT(D557,4)+1=LEFT(' Pivot Tables'!$A$4,4)+0,RIGHT(LEFT(D557,7),2)=RIGHT(LEFT(' Pivot Tables'!$A$4,7),2)),1,0)</f>
        <v>0</v>
      </c>
      <c r="Y557" s="6">
        <f>1/COUNTIF(Таблица1[Order ID],Таблица1[[#This Row],[Order ID]])</f>
        <v>0.5</v>
      </c>
      <c r="Z557" s="9">
        <f>1/COUNTIFS(Таблица1[Customer Name],Таблица1[[#This Row],[Customer Name]],Таблица1[Order-Year-Month],Таблица1[[#This Row],[Order-Year-Month]])</f>
        <v>0.5</v>
      </c>
    </row>
    <row r="558" spans="1:26" x14ac:dyDescent="0.2">
      <c r="A558" s="6">
        <v>2391</v>
      </c>
      <c r="B558" s="7">
        <v>17315</v>
      </c>
      <c r="C558" s="8">
        <f>DATE(2012,12,31)-1349</f>
        <v>39925</v>
      </c>
      <c r="D558" s="8" t="str">
        <f t="shared" si="11"/>
        <v>2009-04 (апрель 2009)</v>
      </c>
      <c r="E558" s="9" t="s">
        <v>21</v>
      </c>
      <c r="F558" s="7">
        <v>29</v>
      </c>
      <c r="G558" s="7">
        <v>159.11000000000001</v>
      </c>
      <c r="H558" s="7">
        <v>7.0000000000000007E-2</v>
      </c>
      <c r="I558" s="9" t="s">
        <v>22</v>
      </c>
      <c r="J558" s="10">
        <v>64.010000000000005</v>
      </c>
      <c r="K558" s="11">
        <v>5.43</v>
      </c>
      <c r="L558" s="11">
        <v>0.95</v>
      </c>
      <c r="M558" s="9" t="s">
        <v>552</v>
      </c>
      <c r="N558" s="6" t="s">
        <v>511</v>
      </c>
      <c r="O558" s="6" t="s">
        <v>512</v>
      </c>
      <c r="P558" s="9" t="s">
        <v>33</v>
      </c>
      <c r="Q558" s="9" t="s">
        <v>26</v>
      </c>
      <c r="R558" s="9" t="s">
        <v>61</v>
      </c>
      <c r="S558" s="7" t="s">
        <v>588</v>
      </c>
      <c r="T558" s="9" t="s">
        <v>68</v>
      </c>
      <c r="U558" s="7">
        <v>0.36</v>
      </c>
      <c r="V558" s="12">
        <f>C558+4</f>
        <v>39929</v>
      </c>
      <c r="W558">
        <f>IF(D558=' Pivot Tables'!$A$4,1,0)</f>
        <v>0</v>
      </c>
      <c r="X558">
        <f>IF(AND(LEFT(D558,4)+1=LEFT(' Pivot Tables'!$A$4,4)+0,RIGHT(LEFT(D558,7),2)=RIGHT(LEFT(' Pivot Tables'!$A$4,7),2)),1,0)</f>
        <v>0</v>
      </c>
      <c r="Y558" s="6">
        <f>1/COUNTIF(Таблица1[Order ID],Таблица1[[#This Row],[Order ID]])</f>
        <v>1</v>
      </c>
      <c r="Z558" s="9">
        <f>1/COUNTIFS(Таблица1[Customer Name],Таблица1[[#This Row],[Customer Name]],Таблица1[Order-Year-Month],Таблица1[[#This Row],[Order-Year-Month]])</f>
        <v>1</v>
      </c>
    </row>
    <row r="559" spans="1:26" x14ac:dyDescent="0.2">
      <c r="A559" s="6">
        <v>2395</v>
      </c>
      <c r="B559" s="7">
        <v>17376</v>
      </c>
      <c r="C559" s="8">
        <f>DATE(2012,12,31)-393</f>
        <v>40881</v>
      </c>
      <c r="D559" s="8" t="str">
        <f t="shared" si="11"/>
        <v>2011-12 (декабрь 2011)</v>
      </c>
      <c r="E559" s="9" t="s">
        <v>30</v>
      </c>
      <c r="F559" s="7">
        <v>44</v>
      </c>
      <c r="G559" s="7">
        <v>1127.81</v>
      </c>
      <c r="H559" s="7">
        <v>0.1</v>
      </c>
      <c r="I559" s="9" t="s">
        <v>22</v>
      </c>
      <c r="J559" s="10">
        <v>425.08</v>
      </c>
      <c r="K559" s="11">
        <v>28.48</v>
      </c>
      <c r="L559" s="11">
        <v>1.99</v>
      </c>
      <c r="M559" s="9" t="s">
        <v>552</v>
      </c>
      <c r="N559" s="6" t="s">
        <v>511</v>
      </c>
      <c r="O559" s="6" t="s">
        <v>512</v>
      </c>
      <c r="P559" s="9" t="s">
        <v>41</v>
      </c>
      <c r="Q559" s="9" t="s">
        <v>42</v>
      </c>
      <c r="R559" s="9" t="s">
        <v>70</v>
      </c>
      <c r="S559" s="7" t="s">
        <v>523</v>
      </c>
      <c r="T559" s="9" t="s">
        <v>52</v>
      </c>
      <c r="U559" s="7">
        <v>0.4</v>
      </c>
      <c r="V559" s="12">
        <f>C559+2</f>
        <v>40883</v>
      </c>
      <c r="W559">
        <f>IF(D559=' Pivot Tables'!$A$4,1,0)</f>
        <v>0</v>
      </c>
      <c r="X559">
        <f>IF(AND(LEFT(D559,4)+1=LEFT(' Pivot Tables'!$A$4,4)+0,RIGHT(LEFT(D559,7),2)=RIGHT(LEFT(' Pivot Tables'!$A$4,7),2)),1,0)</f>
        <v>0</v>
      </c>
      <c r="Y559" s="6">
        <f>1/COUNTIF(Таблица1[Order ID],Таблица1[[#This Row],[Order ID]])</f>
        <v>1</v>
      </c>
      <c r="Z559" s="9">
        <f>1/COUNTIFS(Таблица1[Customer Name],Таблица1[[#This Row],[Customer Name]],Таблица1[Order-Year-Month],Таблица1[[#This Row],[Order-Year-Month]])</f>
        <v>1</v>
      </c>
    </row>
    <row r="560" spans="1:26" x14ac:dyDescent="0.2">
      <c r="A560" s="6">
        <v>2506</v>
      </c>
      <c r="B560" s="7">
        <v>18210</v>
      </c>
      <c r="C560" s="8">
        <f>DATE(2012,12,31)-878</f>
        <v>40396</v>
      </c>
      <c r="D560" s="8" t="str">
        <f t="shared" si="11"/>
        <v>2010-08 (август 2010)</v>
      </c>
      <c r="E560" s="9" t="s">
        <v>45</v>
      </c>
      <c r="F560" s="7">
        <v>27</v>
      </c>
      <c r="G560" s="7">
        <v>9293.82</v>
      </c>
      <c r="H560" s="7">
        <v>0.08</v>
      </c>
      <c r="I560" s="9" t="s">
        <v>22</v>
      </c>
      <c r="J560" s="10">
        <v>2437.17</v>
      </c>
      <c r="K560" s="11">
        <v>363.25</v>
      </c>
      <c r="L560" s="11">
        <v>19.989999999999998</v>
      </c>
      <c r="M560" s="9" t="s">
        <v>568</v>
      </c>
      <c r="N560" s="6" t="s">
        <v>511</v>
      </c>
      <c r="O560" s="6" t="s">
        <v>512</v>
      </c>
      <c r="P560" s="9" t="s">
        <v>25</v>
      </c>
      <c r="Q560" s="9" t="s">
        <v>26</v>
      </c>
      <c r="R560" s="9" t="s">
        <v>34</v>
      </c>
      <c r="S560" s="7" t="s">
        <v>589</v>
      </c>
      <c r="T560" s="9" t="s">
        <v>39</v>
      </c>
      <c r="U560" s="7">
        <v>0.56999999999999995</v>
      </c>
      <c r="V560" s="12">
        <f>C560+1</f>
        <v>40397</v>
      </c>
      <c r="W560">
        <f>IF(D560=' Pivot Tables'!$A$4,1,0)</f>
        <v>0</v>
      </c>
      <c r="X560">
        <f>IF(AND(LEFT(D560,4)+1=LEFT(' Pivot Tables'!$A$4,4)+0,RIGHT(LEFT(D560,7),2)=RIGHT(LEFT(' Pivot Tables'!$A$4,7),2)),1,0)</f>
        <v>0</v>
      </c>
      <c r="Y560" s="6">
        <f>1/COUNTIF(Таблица1[Order ID],Таблица1[[#This Row],[Order ID]])</f>
        <v>0.5</v>
      </c>
      <c r="Z560" s="9">
        <f>1/COUNTIFS(Таблица1[Customer Name],Таблица1[[#This Row],[Customer Name]],Таблица1[Order-Year-Month],Таблица1[[#This Row],[Order-Year-Month]])</f>
        <v>0.5</v>
      </c>
    </row>
    <row r="561" spans="1:26" x14ac:dyDescent="0.2">
      <c r="A561" s="6">
        <v>2507</v>
      </c>
      <c r="B561" s="7">
        <v>18210</v>
      </c>
      <c r="C561" s="8">
        <f>DATE(2012,12,31)-878</f>
        <v>40396</v>
      </c>
      <c r="D561" s="8" t="str">
        <f t="shared" si="11"/>
        <v>2010-08 (август 2010)</v>
      </c>
      <c r="E561" s="9" t="s">
        <v>45</v>
      </c>
      <c r="F561" s="7">
        <v>27</v>
      </c>
      <c r="G561" s="7">
        <v>80.790000000000006</v>
      </c>
      <c r="H561" s="7">
        <v>0</v>
      </c>
      <c r="I561" s="9" t="s">
        <v>22</v>
      </c>
      <c r="J561" s="10">
        <v>12.58</v>
      </c>
      <c r="K561" s="11">
        <v>2.88</v>
      </c>
      <c r="L561" s="11">
        <v>0.7</v>
      </c>
      <c r="M561" s="9" t="s">
        <v>568</v>
      </c>
      <c r="N561" s="6" t="s">
        <v>511</v>
      </c>
      <c r="O561" s="6" t="s">
        <v>512</v>
      </c>
      <c r="P561" s="9" t="s">
        <v>25</v>
      </c>
      <c r="Q561" s="9" t="s">
        <v>26</v>
      </c>
      <c r="R561" s="9" t="s">
        <v>95</v>
      </c>
      <c r="S561" s="7" t="s">
        <v>96</v>
      </c>
      <c r="T561" s="9" t="s">
        <v>68</v>
      </c>
      <c r="U561" s="7">
        <v>0.56000000000000005</v>
      </c>
      <c r="V561" s="12">
        <f>C561+1</f>
        <v>40397</v>
      </c>
      <c r="W561">
        <f>IF(D561=' Pivot Tables'!$A$4,1,0)</f>
        <v>0</v>
      </c>
      <c r="X561">
        <f>IF(AND(LEFT(D561,4)+1=LEFT(' Pivot Tables'!$A$4,4)+0,RIGHT(LEFT(D561,7),2)=RIGHT(LEFT(' Pivot Tables'!$A$4,7),2)),1,0)</f>
        <v>0</v>
      </c>
      <c r="Y561" s="6">
        <f>1/COUNTIF(Таблица1[Order ID],Таблица1[[#This Row],[Order ID]])</f>
        <v>0.5</v>
      </c>
      <c r="Z561" s="9">
        <f>1/COUNTIFS(Таблица1[Customer Name],Таблица1[[#This Row],[Customer Name]],Таблица1[Order-Year-Month],Таблица1[[#This Row],[Order-Year-Month]])</f>
        <v>0.5</v>
      </c>
    </row>
    <row r="562" spans="1:26" x14ac:dyDescent="0.2">
      <c r="A562" s="6">
        <v>2514</v>
      </c>
      <c r="B562" s="7">
        <v>18273</v>
      </c>
      <c r="C562" s="8">
        <f>DATE(2012,12,31)-473</f>
        <v>40801</v>
      </c>
      <c r="D562" s="8" t="str">
        <f t="shared" si="11"/>
        <v>2011-09 (сентябрь 2011)</v>
      </c>
      <c r="E562" s="9" t="s">
        <v>21</v>
      </c>
      <c r="F562" s="7">
        <v>18</v>
      </c>
      <c r="G562" s="7">
        <v>925.03</v>
      </c>
      <c r="H562" s="7">
        <v>0.06</v>
      </c>
      <c r="I562" s="9" t="s">
        <v>22</v>
      </c>
      <c r="J562" s="10">
        <v>-3.680000000000021</v>
      </c>
      <c r="K562" s="11">
        <v>49.99</v>
      </c>
      <c r="L562" s="11">
        <v>19.989999999999998</v>
      </c>
      <c r="M562" s="9" t="s">
        <v>296</v>
      </c>
      <c r="N562" s="6" t="s">
        <v>511</v>
      </c>
      <c r="O562" s="6" t="s">
        <v>512</v>
      </c>
      <c r="P562" s="9" t="s">
        <v>41</v>
      </c>
      <c r="Q562" s="9" t="s">
        <v>42</v>
      </c>
      <c r="R562" s="9" t="s">
        <v>70</v>
      </c>
      <c r="S562" s="7" t="s">
        <v>590</v>
      </c>
      <c r="T562" s="9" t="s">
        <v>39</v>
      </c>
      <c r="U562" s="7">
        <v>0.41</v>
      </c>
      <c r="V562" s="12">
        <f>C562+2</f>
        <v>40803</v>
      </c>
      <c r="W562">
        <f>IF(D562=' Pivot Tables'!$A$4,1,0)</f>
        <v>0</v>
      </c>
      <c r="X562">
        <f>IF(AND(LEFT(D562,4)+1=LEFT(' Pivot Tables'!$A$4,4)+0,RIGHT(LEFT(D562,7),2)=RIGHT(LEFT(' Pivot Tables'!$A$4,7),2)),1,0)</f>
        <v>0</v>
      </c>
      <c r="Y562" s="6">
        <f>1/COUNTIF(Таблица1[Order ID],Таблица1[[#This Row],[Order ID]])</f>
        <v>1</v>
      </c>
      <c r="Z562" s="9">
        <f>1/COUNTIFS(Таблица1[Customer Name],Таблица1[[#This Row],[Customer Name]],Таблица1[Order-Year-Month],Таблица1[[#This Row],[Order-Year-Month]])</f>
        <v>1</v>
      </c>
    </row>
    <row r="563" spans="1:26" x14ac:dyDescent="0.2">
      <c r="A563" s="6">
        <v>2600</v>
      </c>
      <c r="B563" s="7">
        <v>18788</v>
      </c>
      <c r="C563" s="8">
        <f>DATE(2012,12,31)-1186</f>
        <v>40088</v>
      </c>
      <c r="D563" s="8" t="str">
        <f t="shared" si="11"/>
        <v>2009-10 (октябрь 2009)</v>
      </c>
      <c r="E563" s="9" t="s">
        <v>45</v>
      </c>
      <c r="F563" s="7">
        <v>27</v>
      </c>
      <c r="G563" s="7">
        <v>566.12</v>
      </c>
      <c r="H563" s="7">
        <v>0.03</v>
      </c>
      <c r="I563" s="9" t="s">
        <v>22</v>
      </c>
      <c r="J563" s="10">
        <v>-19.329999999999998</v>
      </c>
      <c r="K563" s="11">
        <v>19.989999999999998</v>
      </c>
      <c r="L563" s="11">
        <v>11.17</v>
      </c>
      <c r="M563" s="9" t="s">
        <v>552</v>
      </c>
      <c r="N563" s="6" t="s">
        <v>511</v>
      </c>
      <c r="O563" s="6" t="s">
        <v>512</v>
      </c>
      <c r="P563" s="9" t="s">
        <v>41</v>
      </c>
      <c r="Q563" s="9" t="s">
        <v>49</v>
      </c>
      <c r="R563" s="9" t="s">
        <v>50</v>
      </c>
      <c r="S563" s="7" t="s">
        <v>340</v>
      </c>
      <c r="T563" s="9" t="s">
        <v>29</v>
      </c>
      <c r="U563" s="7">
        <v>0.6</v>
      </c>
      <c r="V563" s="12">
        <f>C563+1</f>
        <v>40089</v>
      </c>
      <c r="W563">
        <f>IF(D563=' Pivot Tables'!$A$4,1,0)</f>
        <v>0</v>
      </c>
      <c r="X563">
        <f>IF(AND(LEFT(D563,4)+1=LEFT(' Pivot Tables'!$A$4,4)+0,RIGHT(LEFT(D563,7),2)=RIGHT(LEFT(' Pivot Tables'!$A$4,7),2)),1,0)</f>
        <v>0</v>
      </c>
      <c r="Y563" s="6">
        <f>1/COUNTIF(Таблица1[Order ID],Таблица1[[#This Row],[Order ID]])</f>
        <v>1</v>
      </c>
      <c r="Z563" s="9">
        <f>1/COUNTIFS(Таблица1[Customer Name],Таблица1[[#This Row],[Customer Name]],Таблица1[Order-Year-Month],Таблица1[[#This Row],[Order-Year-Month]])</f>
        <v>1</v>
      </c>
    </row>
    <row r="564" spans="1:26" x14ac:dyDescent="0.2">
      <c r="A564" s="6">
        <v>2628</v>
      </c>
      <c r="B564" s="7">
        <v>19042</v>
      </c>
      <c r="C564" s="8">
        <f>DATE(2012,12,31)-1401</f>
        <v>39873</v>
      </c>
      <c r="D564" s="8" t="str">
        <f t="shared" si="11"/>
        <v>2009-03 (март 2009)</v>
      </c>
      <c r="E564" s="9" t="s">
        <v>78</v>
      </c>
      <c r="F564" s="7">
        <v>8</v>
      </c>
      <c r="G564" s="7">
        <v>327.61</v>
      </c>
      <c r="H564" s="7">
        <v>7.0000000000000007E-2</v>
      </c>
      <c r="I564" s="9" t="s">
        <v>22</v>
      </c>
      <c r="J564" s="10">
        <v>54.901500000000006</v>
      </c>
      <c r="K564" s="11">
        <v>40.98</v>
      </c>
      <c r="L564" s="11">
        <v>7.47</v>
      </c>
      <c r="M564" s="9" t="s">
        <v>553</v>
      </c>
      <c r="N564" s="6" t="s">
        <v>511</v>
      </c>
      <c r="O564" s="6" t="s">
        <v>512</v>
      </c>
      <c r="P564" s="9" t="s">
        <v>41</v>
      </c>
      <c r="Q564" s="9" t="s">
        <v>26</v>
      </c>
      <c r="R564" s="9" t="s">
        <v>37</v>
      </c>
      <c r="S564" s="7" t="s">
        <v>591</v>
      </c>
      <c r="T564" s="9" t="s">
        <v>39</v>
      </c>
      <c r="U564" s="7">
        <v>0.37</v>
      </c>
      <c r="V564" s="12">
        <f>C564+1</f>
        <v>39874</v>
      </c>
      <c r="W564">
        <f>IF(D564=' Pivot Tables'!$A$4,1,0)</f>
        <v>0</v>
      </c>
      <c r="X564">
        <f>IF(AND(LEFT(D564,4)+1=LEFT(' Pivot Tables'!$A$4,4)+0,RIGHT(LEFT(D564,7),2)=RIGHT(LEFT(' Pivot Tables'!$A$4,7),2)),1,0)</f>
        <v>0</v>
      </c>
      <c r="Y564" s="6">
        <f>1/COUNTIF(Таблица1[Order ID],Таблица1[[#This Row],[Order ID]])</f>
        <v>1</v>
      </c>
      <c r="Z564" s="9">
        <f>1/COUNTIFS(Таблица1[Customer Name],Таблица1[[#This Row],[Customer Name]],Таблица1[Order-Year-Month],Таблица1[[#This Row],[Order-Year-Month]])</f>
        <v>1</v>
      </c>
    </row>
    <row r="565" spans="1:26" x14ac:dyDescent="0.2">
      <c r="A565" s="6">
        <v>2633</v>
      </c>
      <c r="B565" s="7">
        <v>19073</v>
      </c>
      <c r="C565" s="8">
        <f>DATE(2012,12,31)-1286</f>
        <v>39988</v>
      </c>
      <c r="D565" s="8" t="str">
        <f t="shared" si="11"/>
        <v>2009-06 (июнь 2009)</v>
      </c>
      <c r="E565" s="9" t="s">
        <v>45</v>
      </c>
      <c r="F565" s="7">
        <v>16</v>
      </c>
      <c r="G565" s="7">
        <v>178.4</v>
      </c>
      <c r="H565" s="7">
        <v>0.04</v>
      </c>
      <c r="I565" s="9" t="s">
        <v>22</v>
      </c>
      <c r="J565" s="10">
        <v>20.079999999999998</v>
      </c>
      <c r="K565" s="11">
        <v>10.64</v>
      </c>
      <c r="L565" s="11">
        <v>5.16</v>
      </c>
      <c r="M565" s="9" t="s">
        <v>592</v>
      </c>
      <c r="N565" s="6" t="s">
        <v>511</v>
      </c>
      <c r="O565" s="6" t="s">
        <v>512</v>
      </c>
      <c r="P565" s="9" t="s">
        <v>41</v>
      </c>
      <c r="Q565" s="9" t="s">
        <v>49</v>
      </c>
      <c r="R565" s="9" t="s">
        <v>50</v>
      </c>
      <c r="S565" s="7" t="s">
        <v>593</v>
      </c>
      <c r="T565" s="9" t="s">
        <v>39</v>
      </c>
      <c r="U565" s="7">
        <v>0.56999999999999995</v>
      </c>
      <c r="V565" s="12">
        <f>C565+1</f>
        <v>39989</v>
      </c>
      <c r="W565">
        <f>IF(D565=' Pivot Tables'!$A$4,1,0)</f>
        <v>0</v>
      </c>
      <c r="X565">
        <f>IF(AND(LEFT(D565,4)+1=LEFT(' Pivot Tables'!$A$4,4)+0,RIGHT(LEFT(D565,7),2)=RIGHT(LEFT(' Pivot Tables'!$A$4,7),2)),1,0)</f>
        <v>0</v>
      </c>
      <c r="Y565" s="6">
        <f>1/COUNTIF(Таблица1[Order ID],Таблица1[[#This Row],[Order ID]])</f>
        <v>0.5</v>
      </c>
      <c r="Z565" s="9">
        <f>1/COUNTIFS(Таблица1[Customer Name],Таблица1[[#This Row],[Customer Name]],Таблица1[Order-Year-Month],Таблица1[[#This Row],[Order-Year-Month]])</f>
        <v>0.5</v>
      </c>
    </row>
    <row r="566" spans="1:26" x14ac:dyDescent="0.2">
      <c r="A566" s="6">
        <v>2634</v>
      </c>
      <c r="B566" s="7">
        <v>19073</v>
      </c>
      <c r="C566" s="8">
        <f>DATE(2012,12,31)-1286</f>
        <v>39988</v>
      </c>
      <c r="D566" s="8" t="str">
        <f t="shared" si="11"/>
        <v>2009-06 (июнь 2009)</v>
      </c>
      <c r="E566" s="9" t="s">
        <v>45</v>
      </c>
      <c r="F566" s="7">
        <v>40</v>
      </c>
      <c r="G566" s="7">
        <v>115.01</v>
      </c>
      <c r="H566" s="7">
        <v>0.03</v>
      </c>
      <c r="I566" s="9" t="s">
        <v>56</v>
      </c>
      <c r="J566" s="10">
        <v>5.81</v>
      </c>
      <c r="K566" s="11">
        <v>2.78</v>
      </c>
      <c r="L566" s="11">
        <v>1.34</v>
      </c>
      <c r="M566" s="9" t="s">
        <v>592</v>
      </c>
      <c r="N566" s="6" t="s">
        <v>511</v>
      </c>
      <c r="O566" s="6" t="s">
        <v>512</v>
      </c>
      <c r="P566" s="9" t="s">
        <v>41</v>
      </c>
      <c r="Q566" s="9" t="s">
        <v>26</v>
      </c>
      <c r="R566" s="9" t="s">
        <v>95</v>
      </c>
      <c r="S566" s="7" t="s">
        <v>256</v>
      </c>
      <c r="T566" s="9" t="s">
        <v>68</v>
      </c>
      <c r="U566" s="7">
        <v>0.45</v>
      </c>
      <c r="V566" s="12">
        <f>C566+2</f>
        <v>39990</v>
      </c>
      <c r="W566">
        <f>IF(D566=' Pivot Tables'!$A$4,1,0)</f>
        <v>0</v>
      </c>
      <c r="X566">
        <f>IF(AND(LEFT(D566,4)+1=LEFT(' Pivot Tables'!$A$4,4)+0,RIGHT(LEFT(D566,7),2)=RIGHT(LEFT(' Pivot Tables'!$A$4,7),2)),1,0)</f>
        <v>0</v>
      </c>
      <c r="Y566" s="6">
        <f>1/COUNTIF(Таблица1[Order ID],Таблица1[[#This Row],[Order ID]])</f>
        <v>0.5</v>
      </c>
      <c r="Z566" s="9">
        <f>1/COUNTIFS(Таблица1[Customer Name],Таблица1[[#This Row],[Customer Name]],Таблица1[Order-Year-Month],Таблица1[[#This Row],[Order-Year-Month]])</f>
        <v>0.5</v>
      </c>
    </row>
    <row r="567" spans="1:26" x14ac:dyDescent="0.2">
      <c r="A567" s="6">
        <v>2678</v>
      </c>
      <c r="B567" s="7">
        <v>19365</v>
      </c>
      <c r="C567" s="8">
        <f>DATE(2012,12,31)-715</f>
        <v>40559</v>
      </c>
      <c r="D567" s="8" t="str">
        <f t="shared" si="11"/>
        <v>2011-01 (январь 2011)</v>
      </c>
      <c r="E567" s="9" t="s">
        <v>63</v>
      </c>
      <c r="F567" s="7">
        <v>29</v>
      </c>
      <c r="G567" s="7">
        <v>181.83</v>
      </c>
      <c r="H567" s="7">
        <v>0.03</v>
      </c>
      <c r="I567" s="9" t="s">
        <v>22</v>
      </c>
      <c r="J567" s="10">
        <v>-43.36</v>
      </c>
      <c r="K567" s="11">
        <v>5.98</v>
      </c>
      <c r="L567" s="11">
        <v>5.2</v>
      </c>
      <c r="M567" s="9" t="s">
        <v>585</v>
      </c>
      <c r="N567" s="6" t="s">
        <v>511</v>
      </c>
      <c r="O567" s="6" t="s">
        <v>512</v>
      </c>
      <c r="P567" s="9" t="s">
        <v>25</v>
      </c>
      <c r="Q567" s="9" t="s">
        <v>26</v>
      </c>
      <c r="R567" s="9" t="s">
        <v>61</v>
      </c>
      <c r="S567" s="7" t="s">
        <v>594</v>
      </c>
      <c r="T567" s="9" t="s">
        <v>39</v>
      </c>
      <c r="U567" s="7">
        <v>0.36</v>
      </c>
      <c r="V567" s="12">
        <f>C567+1</f>
        <v>40560</v>
      </c>
      <c r="W567">
        <f>IF(D567=' Pivot Tables'!$A$4,1,0)</f>
        <v>0</v>
      </c>
      <c r="X567">
        <f>IF(AND(LEFT(D567,4)+1=LEFT(' Pivot Tables'!$A$4,4)+0,RIGHT(LEFT(D567,7),2)=RIGHT(LEFT(' Pivot Tables'!$A$4,7),2)),1,0)</f>
        <v>0</v>
      </c>
      <c r="Y567" s="6">
        <f>1/COUNTIF(Таблица1[Order ID],Таблица1[[#This Row],[Order ID]])</f>
        <v>1</v>
      </c>
      <c r="Z567" s="9">
        <f>1/COUNTIFS(Таблица1[Customer Name],Таблица1[[#This Row],[Customer Name]],Таблица1[Order-Year-Month],Таблица1[[#This Row],[Order-Year-Month]])</f>
        <v>1</v>
      </c>
    </row>
    <row r="568" spans="1:26" x14ac:dyDescent="0.2">
      <c r="A568" s="6">
        <v>2716</v>
      </c>
      <c r="B568" s="7">
        <v>19617</v>
      </c>
      <c r="C568" s="8">
        <f>DATE(2012,12,31)-346</f>
        <v>40928</v>
      </c>
      <c r="D568" s="8" t="str">
        <f t="shared" si="11"/>
        <v>2012-01 (январь 2012)</v>
      </c>
      <c r="E568" s="9" t="s">
        <v>21</v>
      </c>
      <c r="F568" s="7">
        <v>38</v>
      </c>
      <c r="G568" s="7">
        <v>952.47</v>
      </c>
      <c r="H568" s="7">
        <v>0.03</v>
      </c>
      <c r="I568" s="9" t="s">
        <v>22</v>
      </c>
      <c r="J568" s="10">
        <v>270.69</v>
      </c>
      <c r="K568" s="11">
        <v>23.99</v>
      </c>
      <c r="L568" s="11">
        <v>6.3</v>
      </c>
      <c r="M568" s="9" t="s">
        <v>296</v>
      </c>
      <c r="N568" s="6" t="s">
        <v>511</v>
      </c>
      <c r="O568" s="6" t="s">
        <v>512</v>
      </c>
      <c r="P568" s="9" t="s">
        <v>41</v>
      </c>
      <c r="Q568" s="9" t="s">
        <v>42</v>
      </c>
      <c r="R568" s="9" t="s">
        <v>210</v>
      </c>
      <c r="S568" s="7" t="s">
        <v>595</v>
      </c>
      <c r="T568" s="9" t="s">
        <v>48</v>
      </c>
      <c r="U568" s="7">
        <v>0.38</v>
      </c>
      <c r="V568" s="12">
        <f>C568+2</f>
        <v>40930</v>
      </c>
      <c r="W568">
        <f>IF(D568=' Pivot Tables'!$A$4,1,0)</f>
        <v>0</v>
      </c>
      <c r="X568">
        <f>IF(AND(LEFT(D568,4)+1=LEFT(' Pivot Tables'!$A$4,4)+0,RIGHT(LEFT(D568,7),2)=RIGHT(LEFT(' Pivot Tables'!$A$4,7),2)),1,0)</f>
        <v>0</v>
      </c>
      <c r="Y568" s="6">
        <f>1/COUNTIF(Таблица1[Order ID],Таблица1[[#This Row],[Order ID]])</f>
        <v>0.5</v>
      </c>
      <c r="Z568" s="9">
        <f>1/COUNTIFS(Таблица1[Customer Name],Таблица1[[#This Row],[Customer Name]],Таблица1[Order-Year-Month],Таблица1[[#This Row],[Order-Year-Month]])</f>
        <v>0.5</v>
      </c>
    </row>
    <row r="569" spans="1:26" x14ac:dyDescent="0.2">
      <c r="A569" s="6">
        <v>2717</v>
      </c>
      <c r="B569" s="7">
        <v>19617</v>
      </c>
      <c r="C569" s="8">
        <f>DATE(2012,12,31)-346</f>
        <v>40928</v>
      </c>
      <c r="D569" s="8" t="str">
        <f t="shared" si="11"/>
        <v>2012-01 (январь 2012)</v>
      </c>
      <c r="E569" s="9" t="s">
        <v>21</v>
      </c>
      <c r="F569" s="7">
        <v>3</v>
      </c>
      <c r="G569" s="7">
        <v>171.96350000000001</v>
      </c>
      <c r="H569" s="7">
        <v>7.0000000000000007E-2</v>
      </c>
      <c r="I569" s="9" t="s">
        <v>22</v>
      </c>
      <c r="J569" s="10">
        <v>-296.37299999999999</v>
      </c>
      <c r="K569" s="11">
        <v>65.989999999999995</v>
      </c>
      <c r="L569" s="11">
        <v>8.99</v>
      </c>
      <c r="M569" s="9" t="s">
        <v>296</v>
      </c>
      <c r="N569" s="6" t="s">
        <v>511</v>
      </c>
      <c r="O569" s="6" t="s">
        <v>512</v>
      </c>
      <c r="P569" s="9" t="s">
        <v>41</v>
      </c>
      <c r="Q569" s="9" t="s">
        <v>42</v>
      </c>
      <c r="R569" s="9" t="s">
        <v>43</v>
      </c>
      <c r="S569" s="7" t="s">
        <v>596</v>
      </c>
      <c r="T569" s="9" t="s">
        <v>39</v>
      </c>
      <c r="U569" s="7">
        <v>0.57999999999999996</v>
      </c>
      <c r="V569" s="12">
        <f>C569+0</f>
        <v>40928</v>
      </c>
      <c r="W569">
        <f>IF(D569=' Pivot Tables'!$A$4,1,0)</f>
        <v>0</v>
      </c>
      <c r="X569">
        <f>IF(AND(LEFT(D569,4)+1=LEFT(' Pivot Tables'!$A$4,4)+0,RIGHT(LEFT(D569,7),2)=RIGHT(LEFT(' Pivot Tables'!$A$4,7),2)),1,0)</f>
        <v>0</v>
      </c>
      <c r="Y569" s="6">
        <f>1/COUNTIF(Таблица1[Order ID],Таблица1[[#This Row],[Order ID]])</f>
        <v>0.5</v>
      </c>
      <c r="Z569" s="9">
        <f>1/COUNTIFS(Таблица1[Customer Name],Таблица1[[#This Row],[Customer Name]],Таблица1[Order-Year-Month],Таблица1[[#This Row],[Order-Year-Month]])</f>
        <v>0.5</v>
      </c>
    </row>
    <row r="570" spans="1:26" x14ac:dyDescent="0.2">
      <c r="A570" s="6">
        <v>2770</v>
      </c>
      <c r="B570" s="7">
        <v>20033</v>
      </c>
      <c r="C570" s="8">
        <f>DATE(2012,12,31)-955</f>
        <v>40319</v>
      </c>
      <c r="D570" s="8" t="str">
        <f t="shared" si="11"/>
        <v>2010-05 (май 2010)</v>
      </c>
      <c r="E570" s="9" t="s">
        <v>78</v>
      </c>
      <c r="F570" s="7">
        <v>5</v>
      </c>
      <c r="G570" s="7">
        <v>2543.9499999999998</v>
      </c>
      <c r="H570" s="7">
        <v>0.04</v>
      </c>
      <c r="I570" s="9" t="s">
        <v>22</v>
      </c>
      <c r="J570" s="10">
        <v>-1011.32</v>
      </c>
      <c r="K570" s="11">
        <v>499.99</v>
      </c>
      <c r="L570" s="11">
        <v>24.49</v>
      </c>
      <c r="M570" s="9" t="s">
        <v>296</v>
      </c>
      <c r="N570" s="6" t="s">
        <v>511</v>
      </c>
      <c r="O570" s="6" t="s">
        <v>512</v>
      </c>
      <c r="P570" s="9" t="s">
        <v>41</v>
      </c>
      <c r="Q570" s="9" t="s">
        <v>42</v>
      </c>
      <c r="R570" s="9" t="s">
        <v>99</v>
      </c>
      <c r="S570" s="7" t="s">
        <v>217</v>
      </c>
      <c r="T570" s="9" t="s">
        <v>29</v>
      </c>
      <c r="U570" s="7">
        <v>0.36</v>
      </c>
      <c r="V570" s="12">
        <f>C570+2</f>
        <v>40321</v>
      </c>
      <c r="W570">
        <f>IF(D570=' Pivot Tables'!$A$4,1,0)</f>
        <v>0</v>
      </c>
      <c r="X570">
        <f>IF(AND(LEFT(D570,4)+1=LEFT(' Pivot Tables'!$A$4,4)+0,RIGHT(LEFT(D570,7),2)=RIGHT(LEFT(' Pivot Tables'!$A$4,7),2)),1,0)</f>
        <v>0</v>
      </c>
      <c r="Y570" s="6">
        <f>1/COUNTIF(Таблица1[Order ID],Таблица1[[#This Row],[Order ID]])</f>
        <v>1</v>
      </c>
      <c r="Z570" s="9">
        <f>1/COUNTIFS(Таблица1[Customer Name],Таблица1[[#This Row],[Customer Name]],Таблица1[Order-Year-Month],Таблица1[[#This Row],[Order-Year-Month]])</f>
        <v>1</v>
      </c>
    </row>
    <row r="571" spans="1:26" x14ac:dyDescent="0.2">
      <c r="A571" s="6">
        <v>2930</v>
      </c>
      <c r="B571" s="7">
        <v>21223</v>
      </c>
      <c r="C571" s="8">
        <f>DATE(2012,12,31)-291</f>
        <v>40983</v>
      </c>
      <c r="D571" s="8" t="str">
        <f t="shared" si="11"/>
        <v>2012-03 (март 2012)</v>
      </c>
      <c r="E571" s="9" t="s">
        <v>45</v>
      </c>
      <c r="F571" s="7">
        <v>3</v>
      </c>
      <c r="G571" s="7">
        <v>317.95</v>
      </c>
      <c r="H571" s="7">
        <v>0.1</v>
      </c>
      <c r="I571" s="9" t="s">
        <v>31</v>
      </c>
      <c r="J571" s="10">
        <v>-144.43</v>
      </c>
      <c r="K571" s="11">
        <v>100.98</v>
      </c>
      <c r="L571" s="11">
        <v>26.22</v>
      </c>
      <c r="M571" s="9" t="s">
        <v>531</v>
      </c>
      <c r="N571" s="6" t="s">
        <v>511</v>
      </c>
      <c r="O571" s="6" t="s">
        <v>512</v>
      </c>
      <c r="P571" s="9" t="s">
        <v>33</v>
      </c>
      <c r="Q571" s="9" t="s">
        <v>49</v>
      </c>
      <c r="R571" s="9" t="s">
        <v>80</v>
      </c>
      <c r="S571" s="7" t="s">
        <v>81</v>
      </c>
      <c r="T571" s="9" t="s">
        <v>82</v>
      </c>
      <c r="U571" s="7">
        <v>0.6</v>
      </c>
      <c r="V571" s="12">
        <f>C571+1</f>
        <v>40984</v>
      </c>
      <c r="W571">
        <f>IF(D571=' Pivot Tables'!$A$4,1,0)</f>
        <v>0</v>
      </c>
      <c r="X571">
        <f>IF(AND(LEFT(D571,4)+1=LEFT(' Pivot Tables'!$A$4,4)+0,RIGHT(LEFT(D571,7),2)=RIGHT(LEFT(' Pivot Tables'!$A$4,7),2)),1,0)</f>
        <v>0</v>
      </c>
      <c r="Y571" s="6">
        <f>1/COUNTIF(Таблица1[Order ID],Таблица1[[#This Row],[Order ID]])</f>
        <v>0.5</v>
      </c>
      <c r="Z571" s="9">
        <f>1/COUNTIFS(Таблица1[Customer Name],Таблица1[[#This Row],[Customer Name]],Таблица1[Order-Year-Month],Таблица1[[#This Row],[Order-Year-Month]])</f>
        <v>0.5</v>
      </c>
    </row>
    <row r="572" spans="1:26" x14ac:dyDescent="0.2">
      <c r="A572" s="6">
        <v>2931</v>
      </c>
      <c r="B572" s="7">
        <v>21223</v>
      </c>
      <c r="C572" s="8">
        <f>DATE(2012,12,31)-291</f>
        <v>40983</v>
      </c>
      <c r="D572" s="8" t="str">
        <f t="shared" si="11"/>
        <v>2012-03 (март 2012)</v>
      </c>
      <c r="E572" s="9" t="s">
        <v>45</v>
      </c>
      <c r="F572" s="7">
        <v>8</v>
      </c>
      <c r="G572" s="7">
        <v>435.29</v>
      </c>
      <c r="H572" s="7">
        <v>0.03</v>
      </c>
      <c r="I572" s="9" t="s">
        <v>22</v>
      </c>
      <c r="J572" s="10">
        <v>122.41</v>
      </c>
      <c r="K572" s="11">
        <v>51.65</v>
      </c>
      <c r="L572" s="11">
        <v>18.45</v>
      </c>
      <c r="M572" s="9" t="s">
        <v>531</v>
      </c>
      <c r="N572" s="6" t="s">
        <v>511</v>
      </c>
      <c r="O572" s="6" t="s">
        <v>512</v>
      </c>
      <c r="P572" s="9" t="s">
        <v>33</v>
      </c>
      <c r="Q572" s="9" t="s">
        <v>49</v>
      </c>
      <c r="R572" s="9" t="s">
        <v>50</v>
      </c>
      <c r="S572" s="7" t="s">
        <v>597</v>
      </c>
      <c r="T572" s="9" t="s">
        <v>48</v>
      </c>
      <c r="U572" s="7">
        <v>0.65</v>
      </c>
      <c r="V572" s="12">
        <f>C572+1</f>
        <v>40984</v>
      </c>
      <c r="W572">
        <f>IF(D572=' Pivot Tables'!$A$4,1,0)</f>
        <v>0</v>
      </c>
      <c r="X572">
        <f>IF(AND(LEFT(D572,4)+1=LEFT(' Pivot Tables'!$A$4,4)+0,RIGHT(LEFT(D572,7),2)=RIGHT(LEFT(' Pivot Tables'!$A$4,7),2)),1,0)</f>
        <v>0</v>
      </c>
      <c r="Y572" s="6">
        <f>1/COUNTIF(Таблица1[Order ID],Таблица1[[#This Row],[Order ID]])</f>
        <v>0.5</v>
      </c>
      <c r="Z572" s="9">
        <f>1/COUNTIFS(Таблица1[Customer Name],Таблица1[[#This Row],[Customer Name]],Таблица1[Order-Year-Month],Таблица1[[#This Row],[Order-Year-Month]])</f>
        <v>0.5</v>
      </c>
    </row>
    <row r="573" spans="1:26" x14ac:dyDescent="0.2">
      <c r="A573" s="6">
        <v>2950</v>
      </c>
      <c r="B573" s="7">
        <v>21378</v>
      </c>
      <c r="C573" s="8">
        <f>DATE(2012,12,31)-512</f>
        <v>40762</v>
      </c>
      <c r="D573" s="8" t="str">
        <f t="shared" si="11"/>
        <v>2011-08 (август 2011)</v>
      </c>
      <c r="E573" s="9" t="s">
        <v>63</v>
      </c>
      <c r="F573" s="7">
        <v>34</v>
      </c>
      <c r="G573" s="7">
        <v>937.04</v>
      </c>
      <c r="H573" s="7">
        <v>0.08</v>
      </c>
      <c r="I573" s="9" t="s">
        <v>22</v>
      </c>
      <c r="J573" s="10">
        <v>391.6035</v>
      </c>
      <c r="K573" s="11">
        <v>28.53</v>
      </c>
      <c r="L573" s="11">
        <v>1.49</v>
      </c>
      <c r="M573" s="9" t="s">
        <v>296</v>
      </c>
      <c r="N573" s="6" t="s">
        <v>511</v>
      </c>
      <c r="O573" s="6" t="s">
        <v>512</v>
      </c>
      <c r="P573" s="9" t="s">
        <v>41</v>
      </c>
      <c r="Q573" s="9" t="s">
        <v>26</v>
      </c>
      <c r="R573" s="9" t="s">
        <v>37</v>
      </c>
      <c r="S573" s="7" t="s">
        <v>380</v>
      </c>
      <c r="T573" s="9" t="s">
        <v>39</v>
      </c>
      <c r="U573" s="7">
        <v>0.38</v>
      </c>
      <c r="V573" s="12">
        <f>C573+1</f>
        <v>40763</v>
      </c>
      <c r="W573">
        <f>IF(D573=' Pivot Tables'!$A$4,1,0)</f>
        <v>0</v>
      </c>
      <c r="X573">
        <f>IF(AND(LEFT(D573,4)+1=LEFT(' Pivot Tables'!$A$4,4)+0,RIGHT(LEFT(D573,7),2)=RIGHT(LEFT(' Pivot Tables'!$A$4,7),2)),1,0)</f>
        <v>0</v>
      </c>
      <c r="Y573" s="6">
        <f>1/COUNTIF(Таблица1[Order ID],Таблица1[[#This Row],[Order ID]])</f>
        <v>0.5</v>
      </c>
      <c r="Z573" s="9">
        <f>1/COUNTIFS(Таблица1[Customer Name],Таблица1[[#This Row],[Customer Name]],Таблица1[Order-Year-Month],Таблица1[[#This Row],[Order-Year-Month]])</f>
        <v>0.5</v>
      </c>
    </row>
    <row r="574" spans="1:26" x14ac:dyDescent="0.2">
      <c r="A574" s="6">
        <v>2951</v>
      </c>
      <c r="B574" s="7">
        <v>21378</v>
      </c>
      <c r="C574" s="8">
        <f>DATE(2012,12,31)-512</f>
        <v>40762</v>
      </c>
      <c r="D574" s="8" t="str">
        <f t="shared" si="11"/>
        <v>2011-08 (август 2011)</v>
      </c>
      <c r="E574" s="9" t="s">
        <v>63</v>
      </c>
      <c r="F574" s="7">
        <v>17</v>
      </c>
      <c r="G574" s="7">
        <v>1616.64</v>
      </c>
      <c r="H574" s="7">
        <v>7.0000000000000007E-2</v>
      </c>
      <c r="I574" s="9" t="s">
        <v>22</v>
      </c>
      <c r="J574" s="10">
        <v>26.94</v>
      </c>
      <c r="K574" s="11">
        <v>99.99</v>
      </c>
      <c r="L574" s="11">
        <v>19.989999999999998</v>
      </c>
      <c r="M574" s="9" t="s">
        <v>296</v>
      </c>
      <c r="N574" s="6" t="s">
        <v>511</v>
      </c>
      <c r="O574" s="6" t="s">
        <v>512</v>
      </c>
      <c r="P574" s="9" t="s">
        <v>41</v>
      </c>
      <c r="Q574" s="9" t="s">
        <v>42</v>
      </c>
      <c r="R574" s="9" t="s">
        <v>70</v>
      </c>
      <c r="S574" s="7" t="s">
        <v>306</v>
      </c>
      <c r="T574" s="9" t="s">
        <v>39</v>
      </c>
      <c r="U574" s="7">
        <v>0.5</v>
      </c>
      <c r="V574" s="12">
        <f>C574+3</f>
        <v>40765</v>
      </c>
      <c r="W574">
        <f>IF(D574=' Pivot Tables'!$A$4,1,0)</f>
        <v>0</v>
      </c>
      <c r="X574">
        <f>IF(AND(LEFT(D574,4)+1=LEFT(' Pivot Tables'!$A$4,4)+0,RIGHT(LEFT(D574,7),2)=RIGHT(LEFT(' Pivot Tables'!$A$4,7),2)),1,0)</f>
        <v>0</v>
      </c>
      <c r="Y574" s="6">
        <f>1/COUNTIF(Таблица1[Order ID],Таблица1[[#This Row],[Order ID]])</f>
        <v>0.5</v>
      </c>
      <c r="Z574" s="9">
        <f>1/COUNTIFS(Таблица1[Customer Name],Таблица1[[#This Row],[Customer Name]],Таблица1[Order-Year-Month],Таблица1[[#This Row],[Order-Year-Month]])</f>
        <v>0.5</v>
      </c>
    </row>
    <row r="575" spans="1:26" x14ac:dyDescent="0.2">
      <c r="A575" s="6">
        <v>2984</v>
      </c>
      <c r="B575" s="7">
        <v>21542</v>
      </c>
      <c r="C575" s="8">
        <f>DATE(2012,12,31)-590</f>
        <v>40684</v>
      </c>
      <c r="D575" s="8" t="str">
        <f t="shared" si="11"/>
        <v>2011-05 (май 2011)</v>
      </c>
      <c r="E575" s="9" t="s">
        <v>30</v>
      </c>
      <c r="F575" s="7">
        <v>18</v>
      </c>
      <c r="G575" s="7">
        <v>404.3</v>
      </c>
      <c r="H575" s="7">
        <v>0.04</v>
      </c>
      <c r="I575" s="9" t="s">
        <v>22</v>
      </c>
      <c r="J575" s="10">
        <v>-27.34</v>
      </c>
      <c r="K575" s="11">
        <v>21.38</v>
      </c>
      <c r="L575" s="11">
        <v>8.99</v>
      </c>
      <c r="M575" s="9" t="s">
        <v>598</v>
      </c>
      <c r="N575" s="6" t="s">
        <v>511</v>
      </c>
      <c r="O575" s="6" t="s">
        <v>512</v>
      </c>
      <c r="P575" s="9" t="s">
        <v>41</v>
      </c>
      <c r="Q575" s="9" t="s">
        <v>26</v>
      </c>
      <c r="R575" s="9" t="s">
        <v>95</v>
      </c>
      <c r="S575" s="7" t="s">
        <v>436</v>
      </c>
      <c r="T575" s="9" t="s">
        <v>52</v>
      </c>
      <c r="U575" s="7">
        <v>0.59</v>
      </c>
      <c r="V575" s="12">
        <f>C575+1</f>
        <v>40685</v>
      </c>
      <c r="W575">
        <f>IF(D575=' Pivot Tables'!$A$4,1,0)</f>
        <v>0</v>
      </c>
      <c r="X575">
        <f>IF(AND(LEFT(D575,4)+1=LEFT(' Pivot Tables'!$A$4,4)+0,RIGHT(LEFT(D575,7),2)=RIGHT(LEFT(' Pivot Tables'!$A$4,7),2)),1,0)</f>
        <v>0</v>
      </c>
      <c r="Y575" s="6">
        <f>1/COUNTIF(Таблица1[Order ID],Таблица1[[#This Row],[Order ID]])</f>
        <v>0.5</v>
      </c>
      <c r="Z575" s="9">
        <f>1/COUNTIFS(Таблица1[Customer Name],Таблица1[[#This Row],[Customer Name]],Таблица1[Order-Year-Month],Таблица1[[#This Row],[Order-Year-Month]])</f>
        <v>0.5</v>
      </c>
    </row>
    <row r="576" spans="1:26" x14ac:dyDescent="0.2">
      <c r="A576" s="6">
        <v>2985</v>
      </c>
      <c r="B576" s="7">
        <v>21542</v>
      </c>
      <c r="C576" s="8">
        <f>DATE(2012,12,31)-590</f>
        <v>40684</v>
      </c>
      <c r="D576" s="8" t="str">
        <f t="shared" si="11"/>
        <v>2011-05 (май 2011)</v>
      </c>
      <c r="E576" s="9" t="s">
        <v>30</v>
      </c>
      <c r="F576" s="7">
        <v>43</v>
      </c>
      <c r="G576" s="7">
        <v>11674.968000000001</v>
      </c>
      <c r="H576" s="7">
        <v>0.05</v>
      </c>
      <c r="I576" s="9" t="s">
        <v>31</v>
      </c>
      <c r="J576" s="10">
        <v>715.18</v>
      </c>
      <c r="K576" s="11">
        <v>348.21</v>
      </c>
      <c r="L576" s="11">
        <v>84.84</v>
      </c>
      <c r="M576" s="9" t="s">
        <v>598</v>
      </c>
      <c r="N576" s="6" t="s">
        <v>511</v>
      </c>
      <c r="O576" s="6" t="s">
        <v>512</v>
      </c>
      <c r="P576" s="9" t="s">
        <v>41</v>
      </c>
      <c r="Q576" s="9" t="s">
        <v>49</v>
      </c>
      <c r="R576" s="9" t="s">
        <v>83</v>
      </c>
      <c r="S576" s="7" t="s">
        <v>599</v>
      </c>
      <c r="T576" s="9" t="s">
        <v>82</v>
      </c>
      <c r="U576" s="7">
        <v>0.66</v>
      </c>
      <c r="V576" s="12">
        <f>C576+1</f>
        <v>40685</v>
      </c>
      <c r="W576">
        <f>IF(D576=' Pivot Tables'!$A$4,1,0)</f>
        <v>0</v>
      </c>
      <c r="X576">
        <f>IF(AND(LEFT(D576,4)+1=LEFT(' Pivot Tables'!$A$4,4)+0,RIGHT(LEFT(D576,7),2)=RIGHT(LEFT(' Pivot Tables'!$A$4,7),2)),1,0)</f>
        <v>0</v>
      </c>
      <c r="Y576" s="6">
        <f>1/COUNTIF(Таблица1[Order ID],Таблица1[[#This Row],[Order ID]])</f>
        <v>0.5</v>
      </c>
      <c r="Z576" s="9">
        <f>1/COUNTIFS(Таблица1[Customer Name],Таблица1[[#This Row],[Customer Name]],Таблица1[Order-Year-Month],Таблица1[[#This Row],[Order-Year-Month]])</f>
        <v>0.5</v>
      </c>
    </row>
    <row r="577" spans="1:26" x14ac:dyDescent="0.2">
      <c r="A577" s="6">
        <v>3133</v>
      </c>
      <c r="B577" s="7">
        <v>22469</v>
      </c>
      <c r="C577" s="8">
        <f>DATE(2012,12,31)-812</f>
        <v>40462</v>
      </c>
      <c r="D577" s="8" t="str">
        <f t="shared" si="11"/>
        <v>2010-10 (октябрь 2010)</v>
      </c>
      <c r="E577" s="9" t="s">
        <v>30</v>
      </c>
      <c r="F577" s="7">
        <v>24</v>
      </c>
      <c r="G577" s="7">
        <v>1482.81</v>
      </c>
      <c r="H577" s="7">
        <v>0.03</v>
      </c>
      <c r="I577" s="9" t="s">
        <v>22</v>
      </c>
      <c r="J577" s="10">
        <v>-678.63</v>
      </c>
      <c r="K577" s="11">
        <v>60.98</v>
      </c>
      <c r="L577" s="11">
        <v>49</v>
      </c>
      <c r="M577" s="9" t="s">
        <v>296</v>
      </c>
      <c r="N577" s="6" t="s">
        <v>511</v>
      </c>
      <c r="O577" s="6" t="s">
        <v>512</v>
      </c>
      <c r="P577" s="9" t="s">
        <v>41</v>
      </c>
      <c r="Q577" s="9" t="s">
        <v>26</v>
      </c>
      <c r="R577" s="9" t="s">
        <v>34</v>
      </c>
      <c r="S577" s="7" t="s">
        <v>472</v>
      </c>
      <c r="T577" s="9" t="s">
        <v>29</v>
      </c>
      <c r="U577" s="7">
        <v>0.59</v>
      </c>
      <c r="V577" s="12">
        <f>C577+2</f>
        <v>40464</v>
      </c>
      <c r="W577">
        <f>IF(D577=' Pivot Tables'!$A$4,1,0)</f>
        <v>0</v>
      </c>
      <c r="X577">
        <f>IF(AND(LEFT(D577,4)+1=LEFT(' Pivot Tables'!$A$4,4)+0,RIGHT(LEFT(D577,7),2)=RIGHT(LEFT(' Pivot Tables'!$A$4,7),2)),1,0)</f>
        <v>0</v>
      </c>
      <c r="Y577" s="6">
        <f>1/COUNTIF(Таблица1[Order ID],Таблица1[[#This Row],[Order ID]])</f>
        <v>0.33333333333333331</v>
      </c>
      <c r="Z577" s="9">
        <f>1/COUNTIFS(Таблица1[Customer Name],Таблица1[[#This Row],[Customer Name]],Таблица1[Order-Year-Month],Таблица1[[#This Row],[Order-Year-Month]])</f>
        <v>0.33333333333333331</v>
      </c>
    </row>
    <row r="578" spans="1:26" x14ac:dyDescent="0.2">
      <c r="A578" s="6">
        <v>3134</v>
      </c>
      <c r="B578" s="7">
        <v>22469</v>
      </c>
      <c r="C578" s="8">
        <f>DATE(2012,12,31)-812</f>
        <v>40462</v>
      </c>
      <c r="D578" s="8" t="str">
        <f t="shared" si="11"/>
        <v>2010-10 (октябрь 2010)</v>
      </c>
      <c r="E578" s="9" t="s">
        <v>30</v>
      </c>
      <c r="F578" s="7">
        <v>23</v>
      </c>
      <c r="G578" s="7">
        <v>6693.28</v>
      </c>
      <c r="H578" s="7">
        <v>0.02</v>
      </c>
      <c r="I578" s="9" t="s">
        <v>22</v>
      </c>
      <c r="J578" s="10">
        <v>40.319999999999936</v>
      </c>
      <c r="K578" s="11">
        <v>290.98</v>
      </c>
      <c r="L578" s="11">
        <v>69</v>
      </c>
      <c r="M578" s="9" t="s">
        <v>296</v>
      </c>
      <c r="N578" s="6" t="s">
        <v>511</v>
      </c>
      <c r="O578" s="6" t="s">
        <v>512</v>
      </c>
      <c r="P578" s="9" t="s">
        <v>41</v>
      </c>
      <c r="Q578" s="9" t="s">
        <v>49</v>
      </c>
      <c r="R578" s="9" t="s">
        <v>83</v>
      </c>
      <c r="S578" s="7" t="s">
        <v>600</v>
      </c>
      <c r="T578" s="9" t="s">
        <v>29</v>
      </c>
      <c r="U578" s="7">
        <v>0.67</v>
      </c>
      <c r="V578" s="12">
        <f>C578+2</f>
        <v>40464</v>
      </c>
      <c r="W578">
        <f>IF(D578=' Pivot Tables'!$A$4,1,0)</f>
        <v>0</v>
      </c>
      <c r="X578">
        <f>IF(AND(LEFT(D578,4)+1=LEFT(' Pivot Tables'!$A$4,4)+0,RIGHT(LEFT(D578,7),2)=RIGHT(LEFT(' Pivot Tables'!$A$4,7),2)),1,0)</f>
        <v>0</v>
      </c>
      <c r="Y578" s="6">
        <f>1/COUNTIF(Таблица1[Order ID],Таблица1[[#This Row],[Order ID]])</f>
        <v>0.33333333333333331</v>
      </c>
      <c r="Z578" s="9">
        <f>1/COUNTIFS(Таблица1[Customer Name],Таблица1[[#This Row],[Customer Name]],Таблица1[Order-Year-Month],Таблица1[[#This Row],[Order-Year-Month]])</f>
        <v>0.33333333333333331</v>
      </c>
    </row>
    <row r="579" spans="1:26" x14ac:dyDescent="0.2">
      <c r="A579" s="6">
        <v>3155</v>
      </c>
      <c r="B579" s="7">
        <v>22656</v>
      </c>
      <c r="C579" s="8">
        <f>DATE(2012,12,31)-740</f>
        <v>40534</v>
      </c>
      <c r="D579" s="8" t="str">
        <f t="shared" ref="D579:D642" si="12">TEXT(C579,"гггг-ММ (ММММ гггг)")</f>
        <v>2010-12 (декабрь 2010)</v>
      </c>
      <c r="E579" s="9" t="s">
        <v>45</v>
      </c>
      <c r="F579" s="7">
        <v>10</v>
      </c>
      <c r="G579" s="7">
        <v>309.3</v>
      </c>
      <c r="H579" s="7">
        <v>0.05</v>
      </c>
      <c r="I579" s="9" t="s">
        <v>56</v>
      </c>
      <c r="J579" s="10">
        <v>-77.89</v>
      </c>
      <c r="K579" s="11">
        <v>30.98</v>
      </c>
      <c r="L579" s="11">
        <v>6.5</v>
      </c>
      <c r="M579" s="9" t="s">
        <v>553</v>
      </c>
      <c r="N579" s="6" t="s">
        <v>511</v>
      </c>
      <c r="O579" s="6" t="s">
        <v>512</v>
      </c>
      <c r="P579" s="9" t="s">
        <v>41</v>
      </c>
      <c r="Q579" s="9" t="s">
        <v>42</v>
      </c>
      <c r="R579" s="9" t="s">
        <v>70</v>
      </c>
      <c r="S579" s="7" t="s">
        <v>601</v>
      </c>
      <c r="T579" s="9" t="s">
        <v>39</v>
      </c>
      <c r="U579" s="7">
        <v>0.64</v>
      </c>
      <c r="V579" s="12">
        <f>C579+2</f>
        <v>40536</v>
      </c>
      <c r="W579">
        <f>IF(D579=' Pivot Tables'!$A$4,1,0)</f>
        <v>0</v>
      </c>
      <c r="X579">
        <f>IF(AND(LEFT(D579,4)+1=LEFT(' Pivot Tables'!$A$4,4)+0,RIGHT(LEFT(D579,7),2)=RIGHT(LEFT(' Pivot Tables'!$A$4,7),2)),1,0)</f>
        <v>0</v>
      </c>
      <c r="Y579" s="6">
        <f>1/COUNTIF(Таблица1[Order ID],Таблица1[[#This Row],[Order ID]])</f>
        <v>1</v>
      </c>
      <c r="Z579" s="9">
        <f>1/COUNTIFS(Таблица1[Customer Name],Таблица1[[#This Row],[Customer Name]],Таблица1[Order-Year-Month],Таблица1[[#This Row],[Order-Year-Month]])</f>
        <v>1</v>
      </c>
    </row>
    <row r="580" spans="1:26" x14ac:dyDescent="0.2">
      <c r="A580" s="6">
        <v>3163</v>
      </c>
      <c r="B580" s="7">
        <v>22695</v>
      </c>
      <c r="C580" s="8">
        <f>DATE(2012,12,31)-1277</f>
        <v>39997</v>
      </c>
      <c r="D580" s="8" t="str">
        <f t="shared" si="12"/>
        <v>2009-07 (июль 2009)</v>
      </c>
      <c r="E580" s="9" t="s">
        <v>21</v>
      </c>
      <c r="F580" s="7">
        <v>44</v>
      </c>
      <c r="G580" s="7">
        <v>444.52</v>
      </c>
      <c r="H580" s="7">
        <v>0.02</v>
      </c>
      <c r="I580" s="9" t="s">
        <v>22</v>
      </c>
      <c r="J580" s="10">
        <v>161.13</v>
      </c>
      <c r="K580" s="11">
        <v>10.06</v>
      </c>
      <c r="L580" s="11">
        <v>2.06</v>
      </c>
      <c r="M580" s="9" t="s">
        <v>552</v>
      </c>
      <c r="N580" s="6" t="s">
        <v>511</v>
      </c>
      <c r="O580" s="6" t="s">
        <v>512</v>
      </c>
      <c r="P580" s="9" t="s">
        <v>33</v>
      </c>
      <c r="Q580" s="9" t="s">
        <v>26</v>
      </c>
      <c r="R580" s="9" t="s">
        <v>61</v>
      </c>
      <c r="S580" s="7" t="s">
        <v>602</v>
      </c>
      <c r="T580" s="9" t="s">
        <v>68</v>
      </c>
      <c r="U580" s="7">
        <v>0.39</v>
      </c>
      <c r="V580" s="12">
        <f>C580+5</f>
        <v>40002</v>
      </c>
      <c r="W580">
        <f>IF(D580=' Pivot Tables'!$A$4,1,0)</f>
        <v>0</v>
      </c>
      <c r="X580">
        <f>IF(AND(LEFT(D580,4)+1=LEFT(' Pivot Tables'!$A$4,4)+0,RIGHT(LEFT(D580,7),2)=RIGHT(LEFT(' Pivot Tables'!$A$4,7),2)),1,0)</f>
        <v>0</v>
      </c>
      <c r="Y580" s="6">
        <f>1/COUNTIF(Таблица1[Order ID],Таблица1[[#This Row],[Order ID]])</f>
        <v>1</v>
      </c>
      <c r="Z580" s="9">
        <f>1/COUNTIFS(Таблица1[Customer Name],Таблица1[[#This Row],[Customer Name]],Таблица1[Order-Year-Month],Таблица1[[#This Row],[Order-Year-Month]])</f>
        <v>1</v>
      </c>
    </row>
    <row r="581" spans="1:26" x14ac:dyDescent="0.2">
      <c r="A581" s="6">
        <v>3214</v>
      </c>
      <c r="B581" s="7">
        <v>23076</v>
      </c>
      <c r="C581" s="8">
        <f>DATE(2012,12,31)-1314</f>
        <v>39960</v>
      </c>
      <c r="D581" s="8" t="str">
        <f t="shared" si="12"/>
        <v>2009-05 (май 2009)</v>
      </c>
      <c r="E581" s="9" t="s">
        <v>78</v>
      </c>
      <c r="F581" s="7">
        <v>50</v>
      </c>
      <c r="G581" s="7">
        <v>742.21</v>
      </c>
      <c r="H581" s="7">
        <v>0.03</v>
      </c>
      <c r="I581" s="9" t="s">
        <v>22</v>
      </c>
      <c r="J581" s="10">
        <v>122.21</v>
      </c>
      <c r="K581" s="11">
        <v>14.2</v>
      </c>
      <c r="L581" s="11">
        <v>5.3</v>
      </c>
      <c r="M581" s="9" t="s">
        <v>575</v>
      </c>
      <c r="N581" s="6" t="s">
        <v>511</v>
      </c>
      <c r="O581" s="6" t="s">
        <v>512</v>
      </c>
      <c r="P581" s="9" t="s">
        <v>41</v>
      </c>
      <c r="Q581" s="9" t="s">
        <v>49</v>
      </c>
      <c r="R581" s="9" t="s">
        <v>50</v>
      </c>
      <c r="S581" s="7" t="s">
        <v>603</v>
      </c>
      <c r="T581" s="9" t="s">
        <v>68</v>
      </c>
      <c r="U581" s="7">
        <v>0.46</v>
      </c>
      <c r="V581" s="12">
        <f>C581+1</f>
        <v>39961</v>
      </c>
      <c r="W581">
        <f>IF(D581=' Pivot Tables'!$A$4,1,0)</f>
        <v>0</v>
      </c>
      <c r="X581">
        <f>IF(AND(LEFT(D581,4)+1=LEFT(' Pivot Tables'!$A$4,4)+0,RIGHT(LEFT(D581,7),2)=RIGHT(LEFT(' Pivot Tables'!$A$4,7),2)),1,0)</f>
        <v>0</v>
      </c>
      <c r="Y581" s="6">
        <f>1/COUNTIF(Таблица1[Order ID],Таблица1[[#This Row],[Order ID]])</f>
        <v>1</v>
      </c>
      <c r="Z581" s="9">
        <f>1/COUNTIFS(Таблица1[Customer Name],Таблица1[[#This Row],[Customer Name]],Таблица1[Order-Year-Month],Таблица1[[#This Row],[Order-Year-Month]])</f>
        <v>1</v>
      </c>
    </row>
    <row r="582" spans="1:26" x14ac:dyDescent="0.2">
      <c r="A582" s="6">
        <v>3360</v>
      </c>
      <c r="B582" s="7">
        <v>24038</v>
      </c>
      <c r="C582" s="8">
        <f>DATE(2012,12,31)-560</f>
        <v>40714</v>
      </c>
      <c r="D582" s="8" t="str">
        <f t="shared" si="12"/>
        <v>2011-06 (июнь 2011)</v>
      </c>
      <c r="E582" s="9" t="s">
        <v>30</v>
      </c>
      <c r="F582" s="7">
        <v>15</v>
      </c>
      <c r="G582" s="7">
        <v>896.18049999999994</v>
      </c>
      <c r="H582" s="7">
        <v>0</v>
      </c>
      <c r="I582" s="9" t="s">
        <v>56</v>
      </c>
      <c r="J582" s="10">
        <v>82.043999999999997</v>
      </c>
      <c r="K582" s="11">
        <v>65.989999999999995</v>
      </c>
      <c r="L582" s="11">
        <v>5.26</v>
      </c>
      <c r="M582" s="9" t="s">
        <v>296</v>
      </c>
      <c r="N582" s="6" t="s">
        <v>511</v>
      </c>
      <c r="O582" s="6" t="s">
        <v>512</v>
      </c>
      <c r="P582" s="9" t="s">
        <v>41</v>
      </c>
      <c r="Q582" s="9" t="s">
        <v>42</v>
      </c>
      <c r="R582" s="9" t="s">
        <v>43</v>
      </c>
      <c r="S582" s="7" t="s">
        <v>390</v>
      </c>
      <c r="T582" s="9" t="s">
        <v>39</v>
      </c>
      <c r="U582" s="7">
        <v>0.56000000000000005</v>
      </c>
      <c r="V582" s="12">
        <f>C582+2</f>
        <v>40716</v>
      </c>
      <c r="W582">
        <f>IF(D582=' Pivot Tables'!$A$4,1,0)</f>
        <v>0</v>
      </c>
      <c r="X582">
        <f>IF(AND(LEFT(D582,4)+1=LEFT(' Pivot Tables'!$A$4,4)+0,RIGHT(LEFT(D582,7),2)=RIGHT(LEFT(' Pivot Tables'!$A$4,7),2)),1,0)</f>
        <v>0</v>
      </c>
      <c r="Y582" s="6">
        <f>1/COUNTIF(Таблица1[Order ID],Таблица1[[#This Row],[Order ID]])</f>
        <v>0.5</v>
      </c>
      <c r="Z582" s="9">
        <f>1/COUNTIFS(Таблица1[Customer Name],Таблица1[[#This Row],[Customer Name]],Таблица1[Order-Year-Month],Таблица1[[#This Row],[Order-Year-Month]])</f>
        <v>0.5</v>
      </c>
    </row>
    <row r="583" spans="1:26" x14ac:dyDescent="0.2">
      <c r="A583" s="6">
        <v>3365</v>
      </c>
      <c r="B583" s="7">
        <v>24067</v>
      </c>
      <c r="C583" s="8">
        <f>DATE(2012,12,31)-131</f>
        <v>41143</v>
      </c>
      <c r="D583" s="8" t="str">
        <f t="shared" si="12"/>
        <v>2012-08 (август 2012)</v>
      </c>
      <c r="E583" s="9" t="s">
        <v>30</v>
      </c>
      <c r="F583" s="7">
        <v>19</v>
      </c>
      <c r="G583" s="7">
        <v>120.56</v>
      </c>
      <c r="H583" s="7">
        <v>7.0000000000000007E-2</v>
      </c>
      <c r="I583" s="9" t="s">
        <v>22</v>
      </c>
      <c r="J583" s="10">
        <v>-79.349999999999994</v>
      </c>
      <c r="K583" s="11">
        <v>5.98</v>
      </c>
      <c r="L583" s="11">
        <v>7.5</v>
      </c>
      <c r="M583" s="9" t="s">
        <v>598</v>
      </c>
      <c r="N583" s="6" t="s">
        <v>511</v>
      </c>
      <c r="O583" s="6" t="s">
        <v>512</v>
      </c>
      <c r="P583" s="9" t="s">
        <v>41</v>
      </c>
      <c r="Q583" s="9" t="s">
        <v>26</v>
      </c>
      <c r="R583" s="9" t="s">
        <v>61</v>
      </c>
      <c r="S583" s="7" t="s">
        <v>579</v>
      </c>
      <c r="T583" s="9" t="s">
        <v>39</v>
      </c>
      <c r="U583" s="7">
        <v>0.4</v>
      </c>
      <c r="V583" s="12">
        <f>C583+1</f>
        <v>41144</v>
      </c>
      <c r="W583">
        <f>IF(D583=' Pivot Tables'!$A$4,1,0)</f>
        <v>0</v>
      </c>
      <c r="X583">
        <f>IF(AND(LEFT(D583,4)+1=LEFT(' Pivot Tables'!$A$4,4)+0,RIGHT(LEFT(D583,7),2)=RIGHT(LEFT(' Pivot Tables'!$A$4,7),2)),1,0)</f>
        <v>0</v>
      </c>
      <c r="Y583" s="6">
        <f>1/COUNTIF(Таблица1[Order ID],Таблица1[[#This Row],[Order ID]])</f>
        <v>0.33333333333333331</v>
      </c>
      <c r="Z583" s="9">
        <f>1/COUNTIFS(Таблица1[Customer Name],Таблица1[[#This Row],[Customer Name]],Таблица1[Order-Year-Month],Таблица1[[#This Row],[Order-Year-Month]])</f>
        <v>0.33333333333333331</v>
      </c>
    </row>
    <row r="584" spans="1:26" x14ac:dyDescent="0.2">
      <c r="A584" s="6">
        <v>3366</v>
      </c>
      <c r="B584" s="7">
        <v>24067</v>
      </c>
      <c r="C584" s="8">
        <f>DATE(2012,12,31)-131</f>
        <v>41143</v>
      </c>
      <c r="D584" s="8" t="str">
        <f t="shared" si="12"/>
        <v>2012-08 (август 2012)</v>
      </c>
      <c r="E584" s="9" t="s">
        <v>30</v>
      </c>
      <c r="F584" s="7">
        <v>46</v>
      </c>
      <c r="G584" s="7">
        <v>2640.6864999999998</v>
      </c>
      <c r="H584" s="7">
        <v>0.03</v>
      </c>
      <c r="I584" s="9" t="s">
        <v>56</v>
      </c>
      <c r="J584" s="10">
        <v>751.38300000000004</v>
      </c>
      <c r="K584" s="11">
        <v>65.989999999999995</v>
      </c>
      <c r="L584" s="11">
        <v>5.92</v>
      </c>
      <c r="M584" s="9" t="s">
        <v>598</v>
      </c>
      <c r="N584" s="6" t="s">
        <v>511</v>
      </c>
      <c r="O584" s="6" t="s">
        <v>512</v>
      </c>
      <c r="P584" s="9" t="s">
        <v>41</v>
      </c>
      <c r="Q584" s="9" t="s">
        <v>42</v>
      </c>
      <c r="R584" s="9" t="s">
        <v>43</v>
      </c>
      <c r="S584" s="7" t="s">
        <v>359</v>
      </c>
      <c r="T584" s="9" t="s">
        <v>39</v>
      </c>
      <c r="U584" s="7">
        <v>0.55000000000000004</v>
      </c>
      <c r="V584" s="12">
        <f>C584+1</f>
        <v>41144</v>
      </c>
      <c r="W584">
        <f>IF(D584=' Pivot Tables'!$A$4,1,0)</f>
        <v>0</v>
      </c>
      <c r="X584">
        <f>IF(AND(LEFT(D584,4)+1=LEFT(' Pivot Tables'!$A$4,4)+0,RIGHT(LEFT(D584,7),2)=RIGHT(LEFT(' Pivot Tables'!$A$4,7),2)),1,0)</f>
        <v>0</v>
      </c>
      <c r="Y584" s="6">
        <f>1/COUNTIF(Таблица1[Order ID],Таблица1[[#This Row],[Order ID]])</f>
        <v>0.33333333333333331</v>
      </c>
      <c r="Z584" s="9">
        <f>1/COUNTIFS(Таблица1[Customer Name],Таблица1[[#This Row],[Customer Name]],Таблица1[Order-Year-Month],Таблица1[[#This Row],[Order-Year-Month]])</f>
        <v>0.33333333333333331</v>
      </c>
    </row>
    <row r="585" spans="1:26" x14ac:dyDescent="0.2">
      <c r="A585" s="6">
        <v>3420</v>
      </c>
      <c r="B585" s="7">
        <v>24388</v>
      </c>
      <c r="C585" s="8">
        <f>DATE(2012,12,31)-705</f>
        <v>40569</v>
      </c>
      <c r="D585" s="8" t="str">
        <f t="shared" si="12"/>
        <v>2011-01 (январь 2011)</v>
      </c>
      <c r="E585" s="9" t="s">
        <v>78</v>
      </c>
      <c r="F585" s="7">
        <v>15</v>
      </c>
      <c r="G585" s="7">
        <v>8662.34</v>
      </c>
      <c r="H585" s="7">
        <v>0</v>
      </c>
      <c r="I585" s="9" t="s">
        <v>31</v>
      </c>
      <c r="J585" s="10">
        <v>-704.66</v>
      </c>
      <c r="K585" s="11">
        <v>549.99</v>
      </c>
      <c r="L585" s="11">
        <v>49</v>
      </c>
      <c r="M585" s="9" t="s">
        <v>542</v>
      </c>
      <c r="N585" s="6" t="s">
        <v>511</v>
      </c>
      <c r="O585" s="6" t="s">
        <v>512</v>
      </c>
      <c r="P585" s="9" t="s">
        <v>41</v>
      </c>
      <c r="Q585" s="9" t="s">
        <v>42</v>
      </c>
      <c r="R585" s="9" t="s">
        <v>99</v>
      </c>
      <c r="S585" s="7" t="s">
        <v>604</v>
      </c>
      <c r="T585" s="9" t="s">
        <v>36</v>
      </c>
      <c r="U585" s="7">
        <v>0.35</v>
      </c>
      <c r="V585" s="12">
        <f>C585+1</f>
        <v>40570</v>
      </c>
      <c r="W585">
        <f>IF(D585=' Pivot Tables'!$A$4,1,0)</f>
        <v>0</v>
      </c>
      <c r="X585">
        <f>IF(AND(LEFT(D585,4)+1=LEFT(' Pivot Tables'!$A$4,4)+0,RIGHT(LEFT(D585,7),2)=RIGHT(LEFT(' Pivot Tables'!$A$4,7),2)),1,0)</f>
        <v>0</v>
      </c>
      <c r="Y585" s="6">
        <f>1/COUNTIF(Таблица1[Order ID],Таблица1[[#This Row],[Order ID]])</f>
        <v>1</v>
      </c>
      <c r="Z585" s="9">
        <f>1/COUNTIFS(Таблица1[Customer Name],Таблица1[[#This Row],[Customer Name]],Таблица1[Order-Year-Month],Таблица1[[#This Row],[Order-Year-Month]])</f>
        <v>1</v>
      </c>
    </row>
    <row r="586" spans="1:26" x14ac:dyDescent="0.2">
      <c r="A586" s="6">
        <v>3428</v>
      </c>
      <c r="B586" s="7">
        <v>24451</v>
      </c>
      <c r="C586" s="8">
        <f>DATE(2012,12,31)-28</f>
        <v>41246</v>
      </c>
      <c r="D586" s="8" t="str">
        <f t="shared" si="12"/>
        <v>2012-12 (декабрь 2012)</v>
      </c>
      <c r="E586" s="9" t="s">
        <v>78</v>
      </c>
      <c r="F586" s="7">
        <v>24</v>
      </c>
      <c r="G586" s="7">
        <v>1689.97</v>
      </c>
      <c r="H586" s="7">
        <v>0.06</v>
      </c>
      <c r="I586" s="9" t="s">
        <v>31</v>
      </c>
      <c r="J586" s="10">
        <v>-564.74</v>
      </c>
      <c r="K586" s="11">
        <v>68.81</v>
      </c>
      <c r="L586" s="11">
        <v>60</v>
      </c>
      <c r="M586" s="9" t="s">
        <v>296</v>
      </c>
      <c r="N586" s="6" t="s">
        <v>511</v>
      </c>
      <c r="O586" s="6" t="s">
        <v>512</v>
      </c>
      <c r="P586" s="9" t="s">
        <v>41</v>
      </c>
      <c r="Q586" s="9" t="s">
        <v>26</v>
      </c>
      <c r="R586" s="9" t="s">
        <v>34</v>
      </c>
      <c r="S586" s="7" t="s">
        <v>605</v>
      </c>
      <c r="T586" s="9" t="s">
        <v>36</v>
      </c>
      <c r="U586" s="7">
        <v>0.41</v>
      </c>
      <c r="V586" s="12">
        <f>C586+1</f>
        <v>41247</v>
      </c>
      <c r="W586">
        <f>IF(D586=' Pivot Tables'!$A$4,1,0)</f>
        <v>0</v>
      </c>
      <c r="X586">
        <f>IF(AND(LEFT(D586,4)+1=LEFT(' Pivot Tables'!$A$4,4)+0,RIGHT(LEFT(D586,7),2)=RIGHT(LEFT(' Pivot Tables'!$A$4,7),2)),1,0)</f>
        <v>0</v>
      </c>
      <c r="Y586" s="6">
        <f>1/COUNTIF(Таблица1[Order ID],Таблица1[[#This Row],[Order ID]])</f>
        <v>1</v>
      </c>
      <c r="Z586" s="9">
        <f>1/COUNTIFS(Таблица1[Customer Name],Таблица1[[#This Row],[Customer Name]],Таблица1[Order-Year-Month],Таблица1[[#This Row],[Order-Year-Month]])</f>
        <v>1</v>
      </c>
    </row>
    <row r="587" spans="1:26" x14ac:dyDescent="0.2">
      <c r="A587" s="6">
        <v>3487</v>
      </c>
      <c r="B587" s="7">
        <v>24806</v>
      </c>
      <c r="C587" s="8">
        <f>DATE(2012,12,31)-847</f>
        <v>40427</v>
      </c>
      <c r="D587" s="8" t="str">
        <f t="shared" si="12"/>
        <v>2010-09 (сентябрь 2010)</v>
      </c>
      <c r="E587" s="9" t="s">
        <v>45</v>
      </c>
      <c r="F587" s="7">
        <v>20</v>
      </c>
      <c r="G587" s="7">
        <v>112.03</v>
      </c>
      <c r="H587" s="7">
        <v>0.05</v>
      </c>
      <c r="I587" s="9" t="s">
        <v>22</v>
      </c>
      <c r="J587" s="10">
        <v>-57.994500000000002</v>
      </c>
      <c r="K587" s="11">
        <v>5.18</v>
      </c>
      <c r="L587" s="11">
        <v>5.74</v>
      </c>
      <c r="M587" s="9" t="s">
        <v>585</v>
      </c>
      <c r="N587" s="6" t="s">
        <v>511</v>
      </c>
      <c r="O587" s="6" t="s">
        <v>512</v>
      </c>
      <c r="P587" s="9" t="s">
        <v>25</v>
      </c>
      <c r="Q587" s="9" t="s">
        <v>26</v>
      </c>
      <c r="R587" s="9" t="s">
        <v>37</v>
      </c>
      <c r="S587" s="7" t="s">
        <v>606</v>
      </c>
      <c r="T587" s="9" t="s">
        <v>39</v>
      </c>
      <c r="U587" s="7">
        <v>0.36</v>
      </c>
      <c r="V587" s="12">
        <f>C587+2</f>
        <v>40429</v>
      </c>
      <c r="W587">
        <f>IF(D587=' Pivot Tables'!$A$4,1,0)</f>
        <v>0</v>
      </c>
      <c r="X587">
        <f>IF(AND(LEFT(D587,4)+1=LEFT(' Pivot Tables'!$A$4,4)+0,RIGHT(LEFT(D587,7),2)=RIGHT(LEFT(' Pivot Tables'!$A$4,7),2)),1,0)</f>
        <v>0</v>
      </c>
      <c r="Y587" s="6">
        <f>1/COUNTIF(Таблица1[Order ID],Таблица1[[#This Row],[Order ID]])</f>
        <v>1</v>
      </c>
      <c r="Z587" s="9">
        <f>1/COUNTIFS(Таблица1[Customer Name],Таблица1[[#This Row],[Customer Name]],Таблица1[Order-Year-Month],Таблица1[[#This Row],[Order-Year-Month]])</f>
        <v>1</v>
      </c>
    </row>
    <row r="588" spans="1:26" x14ac:dyDescent="0.2">
      <c r="A588" s="6">
        <v>3505</v>
      </c>
      <c r="B588" s="7">
        <v>24965</v>
      </c>
      <c r="C588" s="8">
        <f>DATE(2012,12,31)-643</f>
        <v>40631</v>
      </c>
      <c r="D588" s="8" t="str">
        <f t="shared" si="12"/>
        <v>2011-03 (март 2011)</v>
      </c>
      <c r="E588" s="9" t="s">
        <v>21</v>
      </c>
      <c r="F588" s="7">
        <v>6</v>
      </c>
      <c r="G588" s="7">
        <v>2528.4899999999998</v>
      </c>
      <c r="H588" s="7">
        <v>7.0000000000000007E-2</v>
      </c>
      <c r="I588" s="9" t="s">
        <v>56</v>
      </c>
      <c r="J588" s="10">
        <v>580.15049999999997</v>
      </c>
      <c r="K588" s="11">
        <v>420.98</v>
      </c>
      <c r="L588" s="11">
        <v>19.989999999999998</v>
      </c>
      <c r="M588" s="9" t="s">
        <v>296</v>
      </c>
      <c r="N588" s="6" t="s">
        <v>511</v>
      </c>
      <c r="O588" s="6" t="s">
        <v>512</v>
      </c>
      <c r="P588" s="9" t="s">
        <v>41</v>
      </c>
      <c r="Q588" s="9" t="s">
        <v>26</v>
      </c>
      <c r="R588" s="9" t="s">
        <v>37</v>
      </c>
      <c r="S588" s="7" t="s">
        <v>607</v>
      </c>
      <c r="T588" s="9" t="s">
        <v>39</v>
      </c>
      <c r="U588" s="7">
        <v>0.35</v>
      </c>
      <c r="V588" s="12">
        <f>C588+5</f>
        <v>40636</v>
      </c>
      <c r="W588">
        <f>IF(D588=' Pivot Tables'!$A$4,1,0)</f>
        <v>0</v>
      </c>
      <c r="X588">
        <f>IF(AND(LEFT(D588,4)+1=LEFT(' Pivot Tables'!$A$4,4)+0,RIGHT(LEFT(D588,7),2)=RIGHT(LEFT(' Pivot Tables'!$A$4,7),2)),1,0)</f>
        <v>0</v>
      </c>
      <c r="Y588" s="6">
        <f>1/COUNTIF(Таблица1[Order ID],Таблица1[[#This Row],[Order ID]])</f>
        <v>0.5</v>
      </c>
      <c r="Z588" s="9">
        <f>1/COUNTIFS(Таблица1[Customer Name],Таблица1[[#This Row],[Customer Name]],Таблица1[Order-Year-Month],Таблица1[[#This Row],[Order-Year-Month]])</f>
        <v>0.5</v>
      </c>
    </row>
    <row r="589" spans="1:26" x14ac:dyDescent="0.2">
      <c r="A589" s="6">
        <v>3506</v>
      </c>
      <c r="B589" s="7">
        <v>24965</v>
      </c>
      <c r="C589" s="8">
        <f>DATE(2012,12,31)-643</f>
        <v>40631</v>
      </c>
      <c r="D589" s="8" t="str">
        <f t="shared" si="12"/>
        <v>2011-03 (март 2011)</v>
      </c>
      <c r="E589" s="9" t="s">
        <v>21</v>
      </c>
      <c r="F589" s="7">
        <v>42</v>
      </c>
      <c r="G589" s="7">
        <v>1146.1099999999999</v>
      </c>
      <c r="H589" s="7">
        <v>0.09</v>
      </c>
      <c r="I589" s="9" t="s">
        <v>22</v>
      </c>
      <c r="J589" s="10">
        <v>330.63</v>
      </c>
      <c r="K589" s="11">
        <v>29.18</v>
      </c>
      <c r="L589" s="11">
        <v>8.5500000000000007</v>
      </c>
      <c r="M589" s="9" t="s">
        <v>296</v>
      </c>
      <c r="N589" s="6" t="s">
        <v>511</v>
      </c>
      <c r="O589" s="6" t="s">
        <v>512</v>
      </c>
      <c r="P589" s="9" t="s">
        <v>41</v>
      </c>
      <c r="Q589" s="9" t="s">
        <v>49</v>
      </c>
      <c r="R589" s="9" t="s">
        <v>50</v>
      </c>
      <c r="S589" s="7" t="s">
        <v>608</v>
      </c>
      <c r="T589" s="9" t="s">
        <v>39</v>
      </c>
      <c r="U589" s="7">
        <v>0.42</v>
      </c>
      <c r="V589" s="12">
        <f>C589+0</f>
        <v>40631</v>
      </c>
      <c r="W589">
        <f>IF(D589=' Pivot Tables'!$A$4,1,0)</f>
        <v>0</v>
      </c>
      <c r="X589">
        <f>IF(AND(LEFT(D589,4)+1=LEFT(' Pivot Tables'!$A$4,4)+0,RIGHT(LEFT(D589,7),2)=RIGHT(LEFT(' Pivot Tables'!$A$4,7),2)),1,0)</f>
        <v>0</v>
      </c>
      <c r="Y589" s="6">
        <f>1/COUNTIF(Таблица1[Order ID],Таблица1[[#This Row],[Order ID]])</f>
        <v>0.5</v>
      </c>
      <c r="Z589" s="9">
        <f>1/COUNTIFS(Таблица1[Customer Name],Таблица1[[#This Row],[Customer Name]],Таблица1[Order-Year-Month],Таблица1[[#This Row],[Order-Year-Month]])</f>
        <v>0.5</v>
      </c>
    </row>
    <row r="590" spans="1:26" x14ac:dyDescent="0.2">
      <c r="A590" s="6">
        <v>3533</v>
      </c>
      <c r="B590" s="7">
        <v>25154</v>
      </c>
      <c r="C590" s="8">
        <f>DATE(2012,12,31)-864</f>
        <v>40410</v>
      </c>
      <c r="D590" s="8" t="str">
        <f t="shared" si="12"/>
        <v>2010-08 (август 2010)</v>
      </c>
      <c r="E590" s="9" t="s">
        <v>30</v>
      </c>
      <c r="F590" s="7">
        <v>16</v>
      </c>
      <c r="G590" s="7">
        <v>102.5</v>
      </c>
      <c r="H590" s="7">
        <v>0.1</v>
      </c>
      <c r="I590" s="9" t="s">
        <v>22</v>
      </c>
      <c r="J590" s="10">
        <v>13.84</v>
      </c>
      <c r="K590" s="11">
        <v>6.68</v>
      </c>
      <c r="L590" s="11">
        <v>1.5</v>
      </c>
      <c r="M590" s="9" t="s">
        <v>539</v>
      </c>
      <c r="N590" s="6" t="s">
        <v>511</v>
      </c>
      <c r="O590" s="6" t="s">
        <v>512</v>
      </c>
      <c r="P590" s="9" t="s">
        <v>60</v>
      </c>
      <c r="Q590" s="9" t="s">
        <v>26</v>
      </c>
      <c r="R590" s="9" t="s">
        <v>95</v>
      </c>
      <c r="S590" s="7" t="s">
        <v>609</v>
      </c>
      <c r="T590" s="9" t="s">
        <v>68</v>
      </c>
      <c r="U590" s="7">
        <v>0.48</v>
      </c>
      <c r="V590" s="12">
        <f>C590+1</f>
        <v>40411</v>
      </c>
      <c r="W590">
        <f>IF(D590=' Pivot Tables'!$A$4,1,0)</f>
        <v>0</v>
      </c>
      <c r="X590">
        <f>IF(AND(LEFT(D590,4)+1=LEFT(' Pivot Tables'!$A$4,4)+0,RIGHT(LEFT(D590,7),2)=RIGHT(LEFT(' Pivot Tables'!$A$4,7),2)),1,0)</f>
        <v>0</v>
      </c>
      <c r="Y590" s="6">
        <f>1/COUNTIF(Таблица1[Order ID],Таблица1[[#This Row],[Order ID]])</f>
        <v>1</v>
      </c>
      <c r="Z590" s="9">
        <f>1/COUNTIFS(Таблица1[Customer Name],Таблица1[[#This Row],[Customer Name]],Таблица1[Order-Year-Month],Таблица1[[#This Row],[Order-Year-Month]])</f>
        <v>1</v>
      </c>
    </row>
    <row r="591" spans="1:26" x14ac:dyDescent="0.2">
      <c r="A591" s="6">
        <v>3549</v>
      </c>
      <c r="B591" s="7">
        <v>25315</v>
      </c>
      <c r="C591" s="8">
        <f>DATE(2012,12,31)-760</f>
        <v>40514</v>
      </c>
      <c r="D591" s="8" t="str">
        <f t="shared" si="12"/>
        <v>2010-12 (декабрь 2010)</v>
      </c>
      <c r="E591" s="9" t="s">
        <v>21</v>
      </c>
      <c r="F591" s="7">
        <v>36</v>
      </c>
      <c r="G591" s="7">
        <v>7783.36</v>
      </c>
      <c r="H591" s="7">
        <v>7.0000000000000007E-2</v>
      </c>
      <c r="I591" s="9" t="s">
        <v>56</v>
      </c>
      <c r="J591" s="10">
        <v>3506.24</v>
      </c>
      <c r="K591" s="11">
        <v>225.04</v>
      </c>
      <c r="L591" s="11">
        <v>11.79</v>
      </c>
      <c r="M591" s="9" t="s">
        <v>552</v>
      </c>
      <c r="N591" s="6" t="s">
        <v>511</v>
      </c>
      <c r="O591" s="6" t="s">
        <v>512</v>
      </c>
      <c r="P591" s="9" t="s">
        <v>33</v>
      </c>
      <c r="Q591" s="9" t="s">
        <v>26</v>
      </c>
      <c r="R591" s="9" t="s">
        <v>34</v>
      </c>
      <c r="S591" s="7" t="s">
        <v>610</v>
      </c>
      <c r="T591" s="9" t="s">
        <v>48</v>
      </c>
      <c r="U591" s="7">
        <v>0.42</v>
      </c>
      <c r="V591" s="12">
        <f>C591+0</f>
        <v>40514</v>
      </c>
      <c r="W591">
        <f>IF(D591=' Pivot Tables'!$A$4,1,0)</f>
        <v>0</v>
      </c>
      <c r="X591">
        <f>IF(AND(LEFT(D591,4)+1=LEFT(' Pivot Tables'!$A$4,4)+0,RIGHT(LEFT(D591,7),2)=RIGHT(LEFT(' Pivot Tables'!$A$4,7),2)),1,0)</f>
        <v>0</v>
      </c>
      <c r="Y591" s="6">
        <f>1/COUNTIF(Таблица1[Order ID],Таблица1[[#This Row],[Order ID]])</f>
        <v>0.33333333333333331</v>
      </c>
      <c r="Z591" s="9">
        <f>1/COUNTIFS(Таблица1[Customer Name],Таблица1[[#This Row],[Customer Name]],Таблица1[Order-Year-Month],Таблица1[[#This Row],[Order-Year-Month]])</f>
        <v>0.33333333333333331</v>
      </c>
    </row>
    <row r="592" spans="1:26" x14ac:dyDescent="0.2">
      <c r="A592" s="6">
        <v>3550</v>
      </c>
      <c r="B592" s="7">
        <v>25315</v>
      </c>
      <c r="C592" s="8">
        <f>DATE(2012,12,31)-760</f>
        <v>40514</v>
      </c>
      <c r="D592" s="8" t="str">
        <f t="shared" si="12"/>
        <v>2010-12 (декабрь 2010)</v>
      </c>
      <c r="E592" s="9" t="s">
        <v>21</v>
      </c>
      <c r="F592" s="7">
        <v>21</v>
      </c>
      <c r="G592" s="7">
        <v>61.76</v>
      </c>
      <c r="H592" s="7">
        <v>0</v>
      </c>
      <c r="I592" s="9" t="s">
        <v>22</v>
      </c>
      <c r="J592" s="10">
        <v>4.34</v>
      </c>
      <c r="K592" s="11">
        <v>2.84</v>
      </c>
      <c r="L592" s="11">
        <v>0.93</v>
      </c>
      <c r="M592" s="9" t="s">
        <v>552</v>
      </c>
      <c r="N592" s="6" t="s">
        <v>511</v>
      </c>
      <c r="O592" s="6" t="s">
        <v>512</v>
      </c>
      <c r="P592" s="9" t="s">
        <v>33</v>
      </c>
      <c r="Q592" s="9" t="s">
        <v>26</v>
      </c>
      <c r="R592" s="9" t="s">
        <v>95</v>
      </c>
      <c r="S592" s="7" t="s">
        <v>98</v>
      </c>
      <c r="T592" s="9" t="s">
        <v>68</v>
      </c>
      <c r="U592" s="7">
        <v>0.54</v>
      </c>
      <c r="V592" s="12">
        <f>C592+0</f>
        <v>40514</v>
      </c>
      <c r="W592">
        <f>IF(D592=' Pivot Tables'!$A$4,1,0)</f>
        <v>0</v>
      </c>
      <c r="X592">
        <f>IF(AND(LEFT(D592,4)+1=LEFT(' Pivot Tables'!$A$4,4)+0,RIGHT(LEFT(D592,7),2)=RIGHT(LEFT(' Pivot Tables'!$A$4,7),2)),1,0)</f>
        <v>0</v>
      </c>
      <c r="Y592" s="6">
        <f>1/COUNTIF(Таблица1[Order ID],Таблица1[[#This Row],[Order ID]])</f>
        <v>0.33333333333333331</v>
      </c>
      <c r="Z592" s="9">
        <f>1/COUNTIFS(Таблица1[Customer Name],Таблица1[[#This Row],[Customer Name]],Таблица1[Order-Year-Month],Таблица1[[#This Row],[Order-Year-Month]])</f>
        <v>0.33333333333333331</v>
      </c>
    </row>
    <row r="593" spans="1:26" x14ac:dyDescent="0.2">
      <c r="A593" s="6">
        <v>3551</v>
      </c>
      <c r="B593" s="7">
        <v>25315</v>
      </c>
      <c r="C593" s="8">
        <f>DATE(2012,12,31)-760</f>
        <v>40514</v>
      </c>
      <c r="D593" s="8" t="str">
        <f t="shared" si="12"/>
        <v>2010-12 (декабрь 2010)</v>
      </c>
      <c r="E593" s="9" t="s">
        <v>21</v>
      </c>
      <c r="F593" s="7">
        <v>36</v>
      </c>
      <c r="G593" s="7">
        <v>1280.3399999999999</v>
      </c>
      <c r="H593" s="7">
        <v>0</v>
      </c>
      <c r="I593" s="9" t="s">
        <v>31</v>
      </c>
      <c r="J593" s="10">
        <v>-1048.248</v>
      </c>
      <c r="K593" s="11">
        <v>31.76</v>
      </c>
      <c r="L593" s="11">
        <v>45.51</v>
      </c>
      <c r="M593" s="9" t="s">
        <v>552</v>
      </c>
      <c r="N593" s="6" t="s">
        <v>511</v>
      </c>
      <c r="O593" s="6" t="s">
        <v>512</v>
      </c>
      <c r="P593" s="9" t="s">
        <v>33</v>
      </c>
      <c r="Q593" s="9" t="s">
        <v>49</v>
      </c>
      <c r="R593" s="9" t="s">
        <v>83</v>
      </c>
      <c r="S593" s="7" t="s">
        <v>611</v>
      </c>
      <c r="T593" s="9" t="s">
        <v>82</v>
      </c>
      <c r="U593" s="7">
        <v>0.65</v>
      </c>
      <c r="V593" s="12">
        <f>C593+2</f>
        <v>40516</v>
      </c>
      <c r="W593">
        <f>IF(D593=' Pivot Tables'!$A$4,1,0)</f>
        <v>0</v>
      </c>
      <c r="X593">
        <f>IF(AND(LEFT(D593,4)+1=LEFT(' Pivot Tables'!$A$4,4)+0,RIGHT(LEFT(D593,7),2)=RIGHT(LEFT(' Pivot Tables'!$A$4,7),2)),1,0)</f>
        <v>0</v>
      </c>
      <c r="Y593" s="6">
        <f>1/COUNTIF(Таблица1[Order ID],Таблица1[[#This Row],[Order ID]])</f>
        <v>0.33333333333333331</v>
      </c>
      <c r="Z593" s="9">
        <f>1/COUNTIFS(Таблица1[Customer Name],Таблица1[[#This Row],[Customer Name]],Таблица1[Order-Year-Month],Таблица1[[#This Row],[Order-Year-Month]])</f>
        <v>0.33333333333333331</v>
      </c>
    </row>
    <row r="594" spans="1:26" x14ac:dyDescent="0.2">
      <c r="A594" s="6">
        <v>3559</v>
      </c>
      <c r="B594" s="7">
        <v>25376</v>
      </c>
      <c r="C594" s="8">
        <f>DATE(2012,12,31)-646</f>
        <v>40628</v>
      </c>
      <c r="D594" s="8" t="str">
        <f t="shared" si="12"/>
        <v>2011-03 (март 2011)</v>
      </c>
      <c r="E594" s="9" t="s">
        <v>78</v>
      </c>
      <c r="F594" s="7">
        <v>12</v>
      </c>
      <c r="G594" s="7">
        <v>76.61</v>
      </c>
      <c r="H594" s="7">
        <v>0.09</v>
      </c>
      <c r="I594" s="9" t="s">
        <v>22</v>
      </c>
      <c r="J594" s="10">
        <v>-31.83</v>
      </c>
      <c r="K594" s="11">
        <v>6.28</v>
      </c>
      <c r="L594" s="11">
        <v>5.29</v>
      </c>
      <c r="M594" s="9" t="s">
        <v>568</v>
      </c>
      <c r="N594" s="6" t="s">
        <v>511</v>
      </c>
      <c r="O594" s="6" t="s">
        <v>512</v>
      </c>
      <c r="P594" s="9" t="s">
        <v>41</v>
      </c>
      <c r="Q594" s="9" t="s">
        <v>49</v>
      </c>
      <c r="R594" s="9" t="s">
        <v>50</v>
      </c>
      <c r="S594" s="7" t="s">
        <v>612</v>
      </c>
      <c r="T594" s="9" t="s">
        <v>39</v>
      </c>
      <c r="U594" s="7">
        <v>0.43</v>
      </c>
      <c r="V594" s="12">
        <f>C594+1</f>
        <v>40629</v>
      </c>
      <c r="W594">
        <f>IF(D594=' Pivot Tables'!$A$4,1,0)</f>
        <v>0</v>
      </c>
      <c r="X594">
        <f>IF(AND(LEFT(D594,4)+1=LEFT(' Pivot Tables'!$A$4,4)+0,RIGHT(LEFT(D594,7),2)=RIGHT(LEFT(' Pivot Tables'!$A$4,7),2)),1,0)</f>
        <v>0</v>
      </c>
      <c r="Y594" s="6">
        <f>1/COUNTIF(Таблица1[Order ID],Таблица1[[#This Row],[Order ID]])</f>
        <v>1</v>
      </c>
      <c r="Z594" s="9">
        <f>1/COUNTIFS(Таблица1[Customer Name],Таблица1[[#This Row],[Customer Name]],Таблица1[Order-Year-Month],Таблица1[[#This Row],[Order-Year-Month]])</f>
        <v>1</v>
      </c>
    </row>
    <row r="595" spans="1:26" x14ac:dyDescent="0.2">
      <c r="A595" s="6">
        <v>3662</v>
      </c>
      <c r="B595" s="7">
        <v>26240</v>
      </c>
      <c r="C595" s="8">
        <f>DATE(2012,12,31)-1108</f>
        <v>40166</v>
      </c>
      <c r="D595" s="8" t="str">
        <f t="shared" si="12"/>
        <v>2009-12 (декабрь 2009)</v>
      </c>
      <c r="E595" s="9" t="s">
        <v>78</v>
      </c>
      <c r="F595" s="7">
        <v>38</v>
      </c>
      <c r="G595" s="7">
        <v>1483.44</v>
      </c>
      <c r="H595" s="7">
        <v>0.04</v>
      </c>
      <c r="I595" s="9" t="s">
        <v>22</v>
      </c>
      <c r="J595" s="10">
        <v>439.77</v>
      </c>
      <c r="K595" s="11">
        <v>39.479999999999997</v>
      </c>
      <c r="L595" s="11">
        <v>1.99</v>
      </c>
      <c r="M595" s="9" t="s">
        <v>46</v>
      </c>
      <c r="N595" s="6" t="s">
        <v>511</v>
      </c>
      <c r="O595" s="6" t="s">
        <v>512</v>
      </c>
      <c r="P595" s="9" t="s">
        <v>33</v>
      </c>
      <c r="Q595" s="9" t="s">
        <v>42</v>
      </c>
      <c r="R595" s="9" t="s">
        <v>70</v>
      </c>
      <c r="S595" s="7" t="s">
        <v>161</v>
      </c>
      <c r="T595" s="9" t="s">
        <v>52</v>
      </c>
      <c r="U595" s="7">
        <v>0.54</v>
      </c>
      <c r="V595" s="12">
        <f>C595+3</f>
        <v>40169</v>
      </c>
      <c r="W595">
        <f>IF(D595=' Pivot Tables'!$A$4,1,0)</f>
        <v>0</v>
      </c>
      <c r="X595">
        <f>IF(AND(LEFT(D595,4)+1=LEFT(' Pivot Tables'!$A$4,4)+0,RIGHT(LEFT(D595,7),2)=RIGHT(LEFT(' Pivot Tables'!$A$4,7),2)),1,0)</f>
        <v>0</v>
      </c>
      <c r="Y595" s="6">
        <f>1/COUNTIF(Таблица1[Order ID],Таблица1[[#This Row],[Order ID]])</f>
        <v>0.5</v>
      </c>
      <c r="Z595" s="9">
        <f>1/COUNTIFS(Таблица1[Customer Name],Таблица1[[#This Row],[Customer Name]],Таблица1[Order-Year-Month],Таблица1[[#This Row],[Order-Year-Month]])</f>
        <v>0.33333333333333331</v>
      </c>
    </row>
    <row r="596" spans="1:26" x14ac:dyDescent="0.2">
      <c r="A596" s="6">
        <v>3663</v>
      </c>
      <c r="B596" s="7">
        <v>26240</v>
      </c>
      <c r="C596" s="8">
        <f>DATE(2012,12,31)-1108</f>
        <v>40166</v>
      </c>
      <c r="D596" s="8" t="str">
        <f t="shared" si="12"/>
        <v>2009-12 (декабрь 2009)</v>
      </c>
      <c r="E596" s="9" t="s">
        <v>78</v>
      </c>
      <c r="F596" s="7">
        <v>39</v>
      </c>
      <c r="G596" s="7">
        <v>145.68</v>
      </c>
      <c r="H596" s="7">
        <v>0.04</v>
      </c>
      <c r="I596" s="9" t="s">
        <v>22</v>
      </c>
      <c r="J596" s="10">
        <v>12</v>
      </c>
      <c r="K596" s="11">
        <v>3.7</v>
      </c>
      <c r="L596" s="11">
        <v>1.61</v>
      </c>
      <c r="M596" s="9" t="s">
        <v>46</v>
      </c>
      <c r="N596" s="6" t="s">
        <v>511</v>
      </c>
      <c r="O596" s="6" t="s">
        <v>512</v>
      </c>
      <c r="P596" s="9" t="s">
        <v>33</v>
      </c>
      <c r="Q596" s="9" t="s">
        <v>49</v>
      </c>
      <c r="R596" s="9" t="s">
        <v>50</v>
      </c>
      <c r="S596" s="7" t="s">
        <v>613</v>
      </c>
      <c r="T596" s="9" t="s">
        <v>68</v>
      </c>
      <c r="U596" s="7">
        <v>0.44</v>
      </c>
      <c r="V596" s="12">
        <f>C596+1</f>
        <v>40167</v>
      </c>
      <c r="W596">
        <f>IF(D596=' Pivot Tables'!$A$4,1,0)</f>
        <v>0</v>
      </c>
      <c r="X596">
        <f>IF(AND(LEFT(D596,4)+1=LEFT(' Pivot Tables'!$A$4,4)+0,RIGHT(LEFT(D596,7),2)=RIGHT(LEFT(' Pivot Tables'!$A$4,7),2)),1,0)</f>
        <v>0</v>
      </c>
      <c r="Y596" s="6">
        <f>1/COUNTIF(Таблица1[Order ID],Таблица1[[#This Row],[Order ID]])</f>
        <v>0.5</v>
      </c>
      <c r="Z596" s="9">
        <f>1/COUNTIFS(Таблица1[Customer Name],Таблица1[[#This Row],[Customer Name]],Таблица1[Order-Year-Month],Таблица1[[#This Row],[Order-Year-Month]])</f>
        <v>0.33333333333333331</v>
      </c>
    </row>
    <row r="597" spans="1:26" x14ac:dyDescent="0.2">
      <c r="A597" s="6">
        <v>3753</v>
      </c>
      <c r="B597" s="7">
        <v>26791</v>
      </c>
      <c r="C597" s="8">
        <f>DATE(2012,12,31)-612</f>
        <v>40662</v>
      </c>
      <c r="D597" s="8" t="str">
        <f t="shared" si="12"/>
        <v>2011-04 (апрель 2011)</v>
      </c>
      <c r="E597" s="9" t="s">
        <v>21</v>
      </c>
      <c r="F597" s="7">
        <v>45</v>
      </c>
      <c r="G597" s="7">
        <v>500.48</v>
      </c>
      <c r="H597" s="7">
        <v>0.08</v>
      </c>
      <c r="I597" s="9" t="s">
        <v>22</v>
      </c>
      <c r="J597" s="10">
        <v>-48.2</v>
      </c>
      <c r="K597" s="11">
        <v>11.29</v>
      </c>
      <c r="L597" s="11">
        <v>5.03</v>
      </c>
      <c r="M597" s="9" t="s">
        <v>531</v>
      </c>
      <c r="N597" s="6" t="s">
        <v>511</v>
      </c>
      <c r="O597" s="6" t="s">
        <v>512</v>
      </c>
      <c r="P597" s="9" t="s">
        <v>60</v>
      </c>
      <c r="Q597" s="9" t="s">
        <v>26</v>
      </c>
      <c r="R597" s="9" t="s">
        <v>27</v>
      </c>
      <c r="S597" s="7" t="s">
        <v>614</v>
      </c>
      <c r="T597" s="9" t="s">
        <v>39</v>
      </c>
      <c r="U597" s="7">
        <v>0.59</v>
      </c>
      <c r="V597" s="12">
        <f>C597+7</f>
        <v>40669</v>
      </c>
      <c r="W597">
        <f>IF(D597=' Pivot Tables'!$A$4,1,0)</f>
        <v>0</v>
      </c>
      <c r="X597">
        <f>IF(AND(LEFT(D597,4)+1=LEFT(' Pivot Tables'!$A$4,4)+0,RIGHT(LEFT(D597,7),2)=RIGHT(LEFT(' Pivot Tables'!$A$4,7),2)),1,0)</f>
        <v>0</v>
      </c>
      <c r="Y597" s="6">
        <f>1/COUNTIF(Таблица1[Order ID],Таблица1[[#This Row],[Order ID]])</f>
        <v>1</v>
      </c>
      <c r="Z597" s="9">
        <f>1/COUNTIFS(Таблица1[Customer Name],Таблица1[[#This Row],[Customer Name]],Таблица1[Order-Year-Month],Таблица1[[#This Row],[Order-Year-Month]])</f>
        <v>1</v>
      </c>
    </row>
    <row r="598" spans="1:26" x14ac:dyDescent="0.2">
      <c r="A598" s="6">
        <v>4042</v>
      </c>
      <c r="B598" s="7">
        <v>28836</v>
      </c>
      <c r="C598" s="8">
        <f>DATE(2012,12,31)-799</f>
        <v>40475</v>
      </c>
      <c r="D598" s="8" t="str">
        <f t="shared" si="12"/>
        <v>2010-10 (октябрь 2010)</v>
      </c>
      <c r="E598" s="9" t="s">
        <v>30</v>
      </c>
      <c r="F598" s="7">
        <v>50</v>
      </c>
      <c r="G598" s="7">
        <v>8221.2934999999998</v>
      </c>
      <c r="H598" s="7">
        <v>0.06</v>
      </c>
      <c r="I598" s="9" t="s">
        <v>22</v>
      </c>
      <c r="J598" s="10">
        <v>2342.2139999999999</v>
      </c>
      <c r="K598" s="11">
        <v>195.99</v>
      </c>
      <c r="L598" s="11">
        <v>4.2</v>
      </c>
      <c r="M598" s="9" t="s">
        <v>542</v>
      </c>
      <c r="N598" s="6" t="s">
        <v>511</v>
      </c>
      <c r="O598" s="6" t="s">
        <v>512</v>
      </c>
      <c r="P598" s="9" t="s">
        <v>41</v>
      </c>
      <c r="Q598" s="9" t="s">
        <v>42</v>
      </c>
      <c r="R598" s="9" t="s">
        <v>43</v>
      </c>
      <c r="S598" s="7" t="s">
        <v>615</v>
      </c>
      <c r="T598" s="9" t="s">
        <v>39</v>
      </c>
      <c r="U598" s="7">
        <v>0.6</v>
      </c>
      <c r="V598" s="12">
        <f>C598+1</f>
        <v>40476</v>
      </c>
      <c r="W598">
        <f>IF(D598=' Pivot Tables'!$A$4,1,0)</f>
        <v>0</v>
      </c>
      <c r="X598">
        <f>IF(AND(LEFT(D598,4)+1=LEFT(' Pivot Tables'!$A$4,4)+0,RIGHT(LEFT(D598,7),2)=RIGHT(LEFT(' Pivot Tables'!$A$4,7),2)),1,0)</f>
        <v>0</v>
      </c>
      <c r="Y598" s="6">
        <f>1/COUNTIF(Таблица1[Order ID],Таблица1[[#This Row],[Order ID]])</f>
        <v>0.5</v>
      </c>
      <c r="Z598" s="9">
        <f>1/COUNTIFS(Таблица1[Customer Name],Таблица1[[#This Row],[Customer Name]],Таблица1[Order-Year-Month],Таблица1[[#This Row],[Order-Year-Month]])</f>
        <v>0.5</v>
      </c>
    </row>
    <row r="599" spans="1:26" x14ac:dyDescent="0.2">
      <c r="A599" s="6">
        <v>4043</v>
      </c>
      <c r="B599" s="7">
        <v>28836</v>
      </c>
      <c r="C599" s="8">
        <f>DATE(2012,12,31)-799</f>
        <v>40475</v>
      </c>
      <c r="D599" s="8" t="str">
        <f t="shared" si="12"/>
        <v>2010-10 (октябрь 2010)</v>
      </c>
      <c r="E599" s="9" t="s">
        <v>30</v>
      </c>
      <c r="F599" s="7">
        <v>7</v>
      </c>
      <c r="G599" s="7">
        <v>1158.26</v>
      </c>
      <c r="H599" s="7">
        <v>0.06</v>
      </c>
      <c r="I599" s="9" t="s">
        <v>22</v>
      </c>
      <c r="J599" s="10">
        <v>170.07650000000001</v>
      </c>
      <c r="K599" s="11">
        <v>172.99</v>
      </c>
      <c r="L599" s="11">
        <v>19.989999999999998</v>
      </c>
      <c r="M599" s="9" t="s">
        <v>542</v>
      </c>
      <c r="N599" s="6" t="s">
        <v>511</v>
      </c>
      <c r="O599" s="6" t="s">
        <v>512</v>
      </c>
      <c r="P599" s="9" t="s">
        <v>41</v>
      </c>
      <c r="Q599" s="9" t="s">
        <v>26</v>
      </c>
      <c r="R599" s="9" t="s">
        <v>37</v>
      </c>
      <c r="S599" s="7" t="s">
        <v>616</v>
      </c>
      <c r="T599" s="9" t="s">
        <v>39</v>
      </c>
      <c r="U599" s="7">
        <v>0.39</v>
      </c>
      <c r="V599" s="12">
        <f>C599+2</f>
        <v>40477</v>
      </c>
      <c r="W599">
        <f>IF(D599=' Pivot Tables'!$A$4,1,0)</f>
        <v>0</v>
      </c>
      <c r="X599">
        <f>IF(AND(LEFT(D599,4)+1=LEFT(' Pivot Tables'!$A$4,4)+0,RIGHT(LEFT(D599,7),2)=RIGHT(LEFT(' Pivot Tables'!$A$4,7),2)),1,0)</f>
        <v>0</v>
      </c>
      <c r="Y599" s="6">
        <f>1/COUNTIF(Таблица1[Order ID],Таблица1[[#This Row],[Order ID]])</f>
        <v>0.5</v>
      </c>
      <c r="Z599" s="9">
        <f>1/COUNTIFS(Таблица1[Customer Name],Таблица1[[#This Row],[Customer Name]],Таблица1[Order-Year-Month],Таблица1[[#This Row],[Order-Year-Month]])</f>
        <v>0.5</v>
      </c>
    </row>
    <row r="600" spans="1:26" x14ac:dyDescent="0.2">
      <c r="A600" s="6">
        <v>4071</v>
      </c>
      <c r="B600" s="7">
        <v>28995</v>
      </c>
      <c r="C600" s="8">
        <f>DATE(2012,12,31)-964</f>
        <v>40310</v>
      </c>
      <c r="D600" s="8" t="str">
        <f t="shared" si="12"/>
        <v>2010-05 (май 2010)</v>
      </c>
      <c r="E600" s="9" t="s">
        <v>30</v>
      </c>
      <c r="F600" s="7">
        <v>9</v>
      </c>
      <c r="G600" s="7">
        <v>298.52</v>
      </c>
      <c r="H600" s="7">
        <v>0</v>
      </c>
      <c r="I600" s="9" t="s">
        <v>22</v>
      </c>
      <c r="J600" s="10">
        <v>73.19</v>
      </c>
      <c r="K600" s="11">
        <v>30.98</v>
      </c>
      <c r="L600" s="11">
        <v>5.76</v>
      </c>
      <c r="M600" s="9" t="s">
        <v>562</v>
      </c>
      <c r="N600" s="6" t="s">
        <v>511</v>
      </c>
      <c r="O600" s="6" t="s">
        <v>512</v>
      </c>
      <c r="P600" s="9" t="s">
        <v>41</v>
      </c>
      <c r="Q600" s="9" t="s">
        <v>26</v>
      </c>
      <c r="R600" s="9" t="s">
        <v>61</v>
      </c>
      <c r="S600" s="7" t="s">
        <v>117</v>
      </c>
      <c r="T600" s="9" t="s">
        <v>39</v>
      </c>
      <c r="U600" s="7">
        <v>0.4</v>
      </c>
      <c r="V600" s="12">
        <f>C600+1</f>
        <v>40311</v>
      </c>
      <c r="W600">
        <f>IF(D600=' Pivot Tables'!$A$4,1,0)</f>
        <v>0</v>
      </c>
      <c r="X600">
        <f>IF(AND(LEFT(D600,4)+1=LEFT(' Pivot Tables'!$A$4,4)+0,RIGHT(LEFT(D600,7),2)=RIGHT(LEFT(' Pivot Tables'!$A$4,7),2)),1,0)</f>
        <v>0</v>
      </c>
      <c r="Y600" s="6">
        <f>1/COUNTIF(Таблица1[Order ID],Таблица1[[#This Row],[Order ID]])</f>
        <v>0.5</v>
      </c>
      <c r="Z600" s="9">
        <f>1/COUNTIFS(Таблица1[Customer Name],Таблица1[[#This Row],[Customer Name]],Таблица1[Order-Year-Month],Таблица1[[#This Row],[Order-Year-Month]])</f>
        <v>0.25</v>
      </c>
    </row>
    <row r="601" spans="1:26" x14ac:dyDescent="0.2">
      <c r="A601" s="6">
        <v>4072</v>
      </c>
      <c r="B601" s="7">
        <v>28995</v>
      </c>
      <c r="C601" s="8">
        <f>DATE(2012,12,31)-964</f>
        <v>40310</v>
      </c>
      <c r="D601" s="8" t="str">
        <f t="shared" si="12"/>
        <v>2010-05 (май 2010)</v>
      </c>
      <c r="E601" s="9" t="s">
        <v>30</v>
      </c>
      <c r="F601" s="7">
        <v>34</v>
      </c>
      <c r="G601" s="7">
        <v>667.35</v>
      </c>
      <c r="H601" s="7">
        <v>0.04</v>
      </c>
      <c r="I601" s="9" t="s">
        <v>22</v>
      </c>
      <c r="J601" s="10">
        <v>80.92</v>
      </c>
      <c r="K601" s="11">
        <v>19.98</v>
      </c>
      <c r="L601" s="11">
        <v>8.68</v>
      </c>
      <c r="M601" s="9" t="s">
        <v>562</v>
      </c>
      <c r="N601" s="6" t="s">
        <v>511</v>
      </c>
      <c r="O601" s="6" t="s">
        <v>512</v>
      </c>
      <c r="P601" s="9" t="s">
        <v>41</v>
      </c>
      <c r="Q601" s="9" t="s">
        <v>26</v>
      </c>
      <c r="R601" s="9" t="s">
        <v>61</v>
      </c>
      <c r="S601" s="7" t="s">
        <v>617</v>
      </c>
      <c r="T601" s="9" t="s">
        <v>39</v>
      </c>
      <c r="U601" s="7">
        <v>0.37</v>
      </c>
      <c r="V601" s="12">
        <f>C601+1</f>
        <v>40311</v>
      </c>
      <c r="W601">
        <f>IF(D601=' Pivot Tables'!$A$4,1,0)</f>
        <v>0</v>
      </c>
      <c r="X601">
        <f>IF(AND(LEFT(D601,4)+1=LEFT(' Pivot Tables'!$A$4,4)+0,RIGHT(LEFT(D601,7),2)=RIGHT(LEFT(' Pivot Tables'!$A$4,7),2)),1,0)</f>
        <v>0</v>
      </c>
      <c r="Y601" s="6">
        <f>1/COUNTIF(Таблица1[Order ID],Таблица1[[#This Row],[Order ID]])</f>
        <v>0.5</v>
      </c>
      <c r="Z601" s="9">
        <f>1/COUNTIFS(Таблица1[Customer Name],Таблица1[[#This Row],[Customer Name]],Таблица1[Order-Year-Month],Таблица1[[#This Row],[Order-Year-Month]])</f>
        <v>0.25</v>
      </c>
    </row>
    <row r="602" spans="1:26" x14ac:dyDescent="0.2">
      <c r="A602" s="6">
        <v>4085</v>
      </c>
      <c r="B602" s="7">
        <v>29121</v>
      </c>
      <c r="C602" s="8">
        <f>DATE(2012,12,31)-995</f>
        <v>40279</v>
      </c>
      <c r="D602" s="8" t="str">
        <f t="shared" si="12"/>
        <v>2010-04 (апрель 2010)</v>
      </c>
      <c r="E602" s="9" t="s">
        <v>63</v>
      </c>
      <c r="F602" s="7">
        <v>31</v>
      </c>
      <c r="G602" s="7">
        <v>3206.9650000000001</v>
      </c>
      <c r="H602" s="7">
        <v>0.08</v>
      </c>
      <c r="I602" s="9" t="s">
        <v>22</v>
      </c>
      <c r="J602" s="10">
        <v>575.33399999999995</v>
      </c>
      <c r="K602" s="11">
        <v>125.99</v>
      </c>
      <c r="L602" s="11">
        <v>7.69</v>
      </c>
      <c r="M602" s="9" t="s">
        <v>296</v>
      </c>
      <c r="N602" s="6" t="s">
        <v>511</v>
      </c>
      <c r="O602" s="6" t="s">
        <v>512</v>
      </c>
      <c r="P602" s="9" t="s">
        <v>41</v>
      </c>
      <c r="Q602" s="9" t="s">
        <v>42</v>
      </c>
      <c r="R602" s="9" t="s">
        <v>43</v>
      </c>
      <c r="S602" s="7" t="s">
        <v>129</v>
      </c>
      <c r="T602" s="9" t="s">
        <v>39</v>
      </c>
      <c r="U602" s="7">
        <v>0.57999999999999996</v>
      </c>
      <c r="V602" s="12">
        <f>C602+2</f>
        <v>40281</v>
      </c>
      <c r="W602">
        <f>IF(D602=' Pivot Tables'!$A$4,1,0)</f>
        <v>0</v>
      </c>
      <c r="X602">
        <f>IF(AND(LEFT(D602,4)+1=LEFT(' Pivot Tables'!$A$4,4)+0,RIGHT(LEFT(D602,7),2)=RIGHT(LEFT(' Pivot Tables'!$A$4,7),2)),1,0)</f>
        <v>0</v>
      </c>
      <c r="Y602" s="6">
        <f>1/COUNTIF(Таблица1[Order ID],Таблица1[[#This Row],[Order ID]])</f>
        <v>1</v>
      </c>
      <c r="Z602" s="9">
        <f>1/COUNTIFS(Таблица1[Customer Name],Таблица1[[#This Row],[Customer Name]],Таблица1[Order-Year-Month],Таблица1[[#This Row],[Order-Year-Month]])</f>
        <v>1</v>
      </c>
    </row>
    <row r="603" spans="1:26" x14ac:dyDescent="0.2">
      <c r="A603" s="6">
        <v>4125</v>
      </c>
      <c r="B603" s="7">
        <v>29319</v>
      </c>
      <c r="C603" s="8">
        <f>DATE(2012,12,31)-1437</f>
        <v>39837</v>
      </c>
      <c r="D603" s="8" t="str">
        <f t="shared" si="12"/>
        <v>2009-01 (январь 2009)</v>
      </c>
      <c r="E603" s="9" t="s">
        <v>21</v>
      </c>
      <c r="F603" s="7">
        <v>30</v>
      </c>
      <c r="G603" s="7">
        <v>6654.39</v>
      </c>
      <c r="H603" s="7">
        <v>0.1</v>
      </c>
      <c r="I603" s="9" t="s">
        <v>22</v>
      </c>
      <c r="J603" s="10">
        <v>1151.69</v>
      </c>
      <c r="K603" s="11">
        <v>238.4</v>
      </c>
      <c r="L603" s="11">
        <v>24.49</v>
      </c>
      <c r="M603" s="9" t="s">
        <v>585</v>
      </c>
      <c r="N603" s="6" t="s">
        <v>511</v>
      </c>
      <c r="O603" s="6" t="s">
        <v>512</v>
      </c>
      <c r="P603" s="9" t="s">
        <v>25</v>
      </c>
      <c r="Q603" s="9" t="s">
        <v>49</v>
      </c>
      <c r="R603" s="9" t="s">
        <v>112</v>
      </c>
      <c r="S603" s="7" t="s">
        <v>618</v>
      </c>
      <c r="T603" s="9" t="s">
        <v>29</v>
      </c>
      <c r="U603" s="7"/>
      <c r="V603" s="12">
        <f>C603+2</f>
        <v>39839</v>
      </c>
      <c r="W603">
        <f>IF(D603=' Pivot Tables'!$A$4,1,0)</f>
        <v>0</v>
      </c>
      <c r="X603">
        <f>IF(AND(LEFT(D603,4)+1=LEFT(' Pivot Tables'!$A$4,4)+0,RIGHT(LEFT(D603,7),2)=RIGHT(LEFT(' Pivot Tables'!$A$4,7),2)),1,0)</f>
        <v>1</v>
      </c>
      <c r="Y603" s="6">
        <f>1/COUNTIF(Таблица1[Order ID],Таблица1[[#This Row],[Order ID]])</f>
        <v>0.5</v>
      </c>
      <c r="Z603" s="9">
        <f>1/COUNTIFS(Таблица1[Customer Name],Таблица1[[#This Row],[Customer Name]],Таблица1[Order-Year-Month],Таблица1[[#This Row],[Order-Year-Month]])</f>
        <v>0.5</v>
      </c>
    </row>
    <row r="604" spans="1:26" x14ac:dyDescent="0.2">
      <c r="A604" s="6">
        <v>4126</v>
      </c>
      <c r="B604" s="7">
        <v>29319</v>
      </c>
      <c r="C604" s="8">
        <f>DATE(2012,12,31)-1437</f>
        <v>39837</v>
      </c>
      <c r="D604" s="8" t="str">
        <f t="shared" si="12"/>
        <v>2009-01 (январь 2009)</v>
      </c>
      <c r="E604" s="9" t="s">
        <v>21</v>
      </c>
      <c r="F604" s="7">
        <v>21</v>
      </c>
      <c r="G604" s="7">
        <v>4429.6899999999996</v>
      </c>
      <c r="H604" s="7">
        <v>0.03</v>
      </c>
      <c r="I604" s="9" t="s">
        <v>56</v>
      </c>
      <c r="J604" s="10">
        <v>983.55</v>
      </c>
      <c r="K604" s="11">
        <v>199.99</v>
      </c>
      <c r="L604" s="11">
        <v>24.49</v>
      </c>
      <c r="M604" s="9" t="s">
        <v>585</v>
      </c>
      <c r="N604" s="6" t="s">
        <v>511</v>
      </c>
      <c r="O604" s="6" t="s">
        <v>512</v>
      </c>
      <c r="P604" s="9" t="s">
        <v>25</v>
      </c>
      <c r="Q604" s="9" t="s">
        <v>42</v>
      </c>
      <c r="R604" s="9" t="s">
        <v>99</v>
      </c>
      <c r="S604" s="7" t="s">
        <v>619</v>
      </c>
      <c r="T604" s="9" t="s">
        <v>29</v>
      </c>
      <c r="U604" s="7">
        <v>0.46</v>
      </c>
      <c r="V604" s="12">
        <f>C604+2</f>
        <v>39839</v>
      </c>
      <c r="W604">
        <f>IF(D604=' Pivot Tables'!$A$4,1,0)</f>
        <v>0</v>
      </c>
      <c r="X604">
        <f>IF(AND(LEFT(D604,4)+1=LEFT(' Pivot Tables'!$A$4,4)+0,RIGHT(LEFT(D604,7),2)=RIGHT(LEFT(' Pivot Tables'!$A$4,7),2)),1,0)</f>
        <v>1</v>
      </c>
      <c r="Y604" s="6">
        <f>1/COUNTIF(Таблица1[Order ID],Таблица1[[#This Row],[Order ID]])</f>
        <v>0.5</v>
      </c>
      <c r="Z604" s="9">
        <f>1/COUNTIFS(Таблица1[Customer Name],Таблица1[[#This Row],[Customer Name]],Таблица1[Order-Year-Month],Таблица1[[#This Row],[Order-Year-Month]])</f>
        <v>0.5</v>
      </c>
    </row>
    <row r="605" spans="1:26" x14ac:dyDescent="0.2">
      <c r="A605" s="6">
        <v>4137</v>
      </c>
      <c r="B605" s="7">
        <v>29382</v>
      </c>
      <c r="C605" s="8">
        <f>DATE(2012,12,31)-775</f>
        <v>40499</v>
      </c>
      <c r="D605" s="8" t="str">
        <f t="shared" si="12"/>
        <v>2010-11 (ноябрь 2010)</v>
      </c>
      <c r="E605" s="9" t="s">
        <v>30</v>
      </c>
      <c r="F605" s="7">
        <v>42</v>
      </c>
      <c r="G605" s="7">
        <v>239.35</v>
      </c>
      <c r="H605" s="7">
        <v>0.05</v>
      </c>
      <c r="I605" s="9" t="s">
        <v>22</v>
      </c>
      <c r="J605" s="10">
        <v>78.959999999999994</v>
      </c>
      <c r="K605" s="11">
        <v>5.68</v>
      </c>
      <c r="L605" s="11">
        <v>1.39</v>
      </c>
      <c r="M605" s="9" t="s">
        <v>568</v>
      </c>
      <c r="N605" s="6" t="s">
        <v>511</v>
      </c>
      <c r="O605" s="6" t="s">
        <v>512</v>
      </c>
      <c r="P605" s="9" t="s">
        <v>25</v>
      </c>
      <c r="Q605" s="9" t="s">
        <v>26</v>
      </c>
      <c r="R605" s="9" t="s">
        <v>76</v>
      </c>
      <c r="S605" s="7" t="s">
        <v>620</v>
      </c>
      <c r="T605" s="9" t="s">
        <v>39</v>
      </c>
      <c r="U605" s="7">
        <v>0.38</v>
      </c>
      <c r="V605" s="12">
        <f>C605+3</f>
        <v>40502</v>
      </c>
      <c r="W605">
        <f>IF(D605=' Pivot Tables'!$A$4,1,0)</f>
        <v>0</v>
      </c>
      <c r="X605">
        <f>IF(AND(LEFT(D605,4)+1=LEFT(' Pivot Tables'!$A$4,4)+0,RIGHT(LEFT(D605,7),2)=RIGHT(LEFT(' Pivot Tables'!$A$4,7),2)),1,0)</f>
        <v>0</v>
      </c>
      <c r="Y605" s="6">
        <f>1/COUNTIF(Таблица1[Order ID],Таблица1[[#This Row],[Order ID]])</f>
        <v>0.5</v>
      </c>
      <c r="Z605" s="9">
        <f>1/COUNTIFS(Таблица1[Customer Name],Таблица1[[#This Row],[Customer Name]],Таблица1[Order-Year-Month],Таблица1[[#This Row],[Order-Year-Month]])</f>
        <v>0.5</v>
      </c>
    </row>
    <row r="606" spans="1:26" x14ac:dyDescent="0.2">
      <c r="A606" s="6">
        <v>4138</v>
      </c>
      <c r="B606" s="7">
        <v>29382</v>
      </c>
      <c r="C606" s="8">
        <f>DATE(2012,12,31)-775</f>
        <v>40499</v>
      </c>
      <c r="D606" s="8" t="str">
        <f t="shared" si="12"/>
        <v>2010-11 (ноябрь 2010)</v>
      </c>
      <c r="E606" s="9" t="s">
        <v>30</v>
      </c>
      <c r="F606" s="7">
        <v>34</v>
      </c>
      <c r="G606" s="7">
        <v>684.66</v>
      </c>
      <c r="H606" s="7">
        <v>7.0000000000000007E-2</v>
      </c>
      <c r="I606" s="9" t="s">
        <v>56</v>
      </c>
      <c r="J606" s="10">
        <v>35.090000000000003</v>
      </c>
      <c r="K606" s="11">
        <v>19.98</v>
      </c>
      <c r="L606" s="11">
        <v>10.49</v>
      </c>
      <c r="M606" s="9" t="s">
        <v>568</v>
      </c>
      <c r="N606" s="6" t="s">
        <v>511</v>
      </c>
      <c r="O606" s="6" t="s">
        <v>512</v>
      </c>
      <c r="P606" s="9" t="s">
        <v>25</v>
      </c>
      <c r="Q606" s="9" t="s">
        <v>49</v>
      </c>
      <c r="R606" s="9" t="s">
        <v>50</v>
      </c>
      <c r="S606" s="7" t="s">
        <v>163</v>
      </c>
      <c r="T606" s="9" t="s">
        <v>39</v>
      </c>
      <c r="U606" s="7">
        <v>0.49</v>
      </c>
      <c r="V606" s="12">
        <f t="shared" ref="V606:V614" si="13">C606+2</f>
        <v>40501</v>
      </c>
      <c r="W606">
        <f>IF(D606=' Pivot Tables'!$A$4,1,0)</f>
        <v>0</v>
      </c>
      <c r="X606">
        <f>IF(AND(LEFT(D606,4)+1=LEFT(' Pivot Tables'!$A$4,4)+0,RIGHT(LEFT(D606,7),2)=RIGHT(LEFT(' Pivot Tables'!$A$4,7),2)),1,0)</f>
        <v>0</v>
      </c>
      <c r="Y606" s="6">
        <f>1/COUNTIF(Таблица1[Order ID],Таблица1[[#This Row],[Order ID]])</f>
        <v>0.5</v>
      </c>
      <c r="Z606" s="9">
        <f>1/COUNTIFS(Таблица1[Customer Name],Таблица1[[#This Row],[Customer Name]],Таблица1[Order-Year-Month],Таблица1[[#This Row],[Order-Year-Month]])</f>
        <v>0.5</v>
      </c>
    </row>
    <row r="607" spans="1:26" x14ac:dyDescent="0.2">
      <c r="A607" s="6">
        <v>4151</v>
      </c>
      <c r="B607" s="7">
        <v>29445</v>
      </c>
      <c r="C607" s="8">
        <f>DATE(2012,12,31)-824</f>
        <v>40450</v>
      </c>
      <c r="D607" s="8" t="str">
        <f t="shared" si="12"/>
        <v>2010-09 (сентябрь 2010)</v>
      </c>
      <c r="E607" s="9" t="s">
        <v>30</v>
      </c>
      <c r="F607" s="7">
        <v>28</v>
      </c>
      <c r="G607" s="7">
        <v>2531.35</v>
      </c>
      <c r="H607" s="7">
        <v>0.09</v>
      </c>
      <c r="I607" s="9" t="s">
        <v>31</v>
      </c>
      <c r="J607" s="10">
        <v>415.55</v>
      </c>
      <c r="K607" s="11">
        <v>90.97</v>
      </c>
      <c r="L607" s="11">
        <v>28</v>
      </c>
      <c r="M607" s="9" t="s">
        <v>531</v>
      </c>
      <c r="N607" s="6" t="s">
        <v>511</v>
      </c>
      <c r="O607" s="6" t="s">
        <v>512</v>
      </c>
      <c r="P607" s="9" t="s">
        <v>33</v>
      </c>
      <c r="Q607" s="9" t="s">
        <v>42</v>
      </c>
      <c r="R607" s="9" t="s">
        <v>210</v>
      </c>
      <c r="S607" s="7" t="s">
        <v>621</v>
      </c>
      <c r="T607" s="9" t="s">
        <v>36</v>
      </c>
      <c r="U607" s="7">
        <v>0.38</v>
      </c>
      <c r="V607" s="12">
        <f t="shared" si="13"/>
        <v>40452</v>
      </c>
      <c r="W607">
        <f>IF(D607=' Pivot Tables'!$A$4,1,0)</f>
        <v>0</v>
      </c>
      <c r="X607">
        <f>IF(AND(LEFT(D607,4)+1=LEFT(' Pivot Tables'!$A$4,4)+0,RIGHT(LEFT(D607,7),2)=RIGHT(LEFT(' Pivot Tables'!$A$4,7),2)),1,0)</f>
        <v>0</v>
      </c>
      <c r="Y607" s="6">
        <f>1/COUNTIF(Таблица1[Order ID],Таблица1[[#This Row],[Order ID]])</f>
        <v>1</v>
      </c>
      <c r="Z607" s="9">
        <f>1/COUNTIFS(Таблица1[Customer Name],Таблица1[[#This Row],[Customer Name]],Таблица1[Order-Year-Month],Таблица1[[#This Row],[Order-Year-Month]])</f>
        <v>1</v>
      </c>
    </row>
    <row r="608" spans="1:26" x14ac:dyDescent="0.2">
      <c r="A608" s="6">
        <v>4187</v>
      </c>
      <c r="B608" s="7">
        <v>29762</v>
      </c>
      <c r="C608" s="8">
        <f>DATE(2012,12,31)-881</f>
        <v>40393</v>
      </c>
      <c r="D608" s="8" t="str">
        <f t="shared" si="12"/>
        <v>2010-08 (август 2010)</v>
      </c>
      <c r="E608" s="9" t="s">
        <v>78</v>
      </c>
      <c r="F608" s="7">
        <v>15</v>
      </c>
      <c r="G608" s="7">
        <v>22.45</v>
      </c>
      <c r="H608" s="7">
        <v>0.03</v>
      </c>
      <c r="I608" s="9" t="s">
        <v>22</v>
      </c>
      <c r="J608" s="10">
        <v>0.78</v>
      </c>
      <c r="K608" s="11">
        <v>1.48</v>
      </c>
      <c r="L608" s="11">
        <v>0.7</v>
      </c>
      <c r="M608" s="9" t="s">
        <v>622</v>
      </c>
      <c r="N608" s="6" t="s">
        <v>511</v>
      </c>
      <c r="O608" s="6" t="s">
        <v>512</v>
      </c>
      <c r="P608" s="9" t="s">
        <v>60</v>
      </c>
      <c r="Q608" s="9" t="s">
        <v>26</v>
      </c>
      <c r="R608" s="9" t="s">
        <v>66</v>
      </c>
      <c r="S608" s="7" t="s">
        <v>623</v>
      </c>
      <c r="T608" s="9" t="s">
        <v>68</v>
      </c>
      <c r="U608" s="7">
        <v>0.37</v>
      </c>
      <c r="V608" s="12">
        <f t="shared" si="13"/>
        <v>40395</v>
      </c>
      <c r="W608">
        <f>IF(D608=' Pivot Tables'!$A$4,1,0)</f>
        <v>0</v>
      </c>
      <c r="X608">
        <f>IF(AND(LEFT(D608,4)+1=LEFT(' Pivot Tables'!$A$4,4)+0,RIGHT(LEFT(D608,7),2)=RIGHT(LEFT(' Pivot Tables'!$A$4,7),2)),1,0)</f>
        <v>0</v>
      </c>
      <c r="Y608" s="6">
        <f>1/COUNTIF(Таблица1[Order ID],Таблица1[[#This Row],[Order ID]])</f>
        <v>0.5</v>
      </c>
      <c r="Z608" s="9">
        <f>1/COUNTIFS(Таблица1[Customer Name],Таблица1[[#This Row],[Customer Name]],Таблица1[Order-Year-Month],Таблица1[[#This Row],[Order-Year-Month]])</f>
        <v>0.5</v>
      </c>
    </row>
    <row r="609" spans="1:26" x14ac:dyDescent="0.2">
      <c r="A609" s="6">
        <v>4229</v>
      </c>
      <c r="B609" s="7">
        <v>30048</v>
      </c>
      <c r="C609" s="8">
        <f>DATE(2012,12,31)-567</f>
        <v>40707</v>
      </c>
      <c r="D609" s="8" t="str">
        <f t="shared" si="12"/>
        <v>2011-06 (июнь 2011)</v>
      </c>
      <c r="E609" s="9" t="s">
        <v>63</v>
      </c>
      <c r="F609" s="7">
        <v>44</v>
      </c>
      <c r="G609" s="7">
        <v>7765.13</v>
      </c>
      <c r="H609" s="7">
        <v>0.06</v>
      </c>
      <c r="I609" s="9" t="s">
        <v>31</v>
      </c>
      <c r="J609" s="10">
        <v>433.63</v>
      </c>
      <c r="K609" s="11">
        <v>180.98</v>
      </c>
      <c r="L609" s="11">
        <v>55.24</v>
      </c>
      <c r="M609" s="9" t="s">
        <v>533</v>
      </c>
      <c r="N609" s="6" t="s">
        <v>511</v>
      </c>
      <c r="O609" s="6" t="s">
        <v>512</v>
      </c>
      <c r="P609" s="9" t="s">
        <v>60</v>
      </c>
      <c r="Q609" s="9" t="s">
        <v>26</v>
      </c>
      <c r="R609" s="9" t="s">
        <v>34</v>
      </c>
      <c r="S609" s="7" t="s">
        <v>550</v>
      </c>
      <c r="T609" s="9" t="s">
        <v>36</v>
      </c>
      <c r="U609" s="7">
        <v>0.56999999999999995</v>
      </c>
      <c r="V609" s="12">
        <f t="shared" si="13"/>
        <v>40709</v>
      </c>
      <c r="W609">
        <f>IF(D609=' Pivot Tables'!$A$4,1,0)</f>
        <v>0</v>
      </c>
      <c r="X609">
        <f>IF(AND(LEFT(D609,4)+1=LEFT(' Pivot Tables'!$A$4,4)+0,RIGHT(LEFT(D609,7),2)=RIGHT(LEFT(' Pivot Tables'!$A$4,7),2)),1,0)</f>
        <v>0</v>
      </c>
      <c r="Y609" s="6">
        <f>1/COUNTIF(Таблица1[Order ID],Таблица1[[#This Row],[Order ID]])</f>
        <v>1</v>
      </c>
      <c r="Z609" s="9">
        <f>1/COUNTIFS(Таблица1[Customer Name],Таблица1[[#This Row],[Customer Name]],Таблица1[Order-Year-Month],Таблица1[[#This Row],[Order-Year-Month]])</f>
        <v>1</v>
      </c>
    </row>
    <row r="610" spans="1:26" x14ac:dyDescent="0.2">
      <c r="A610" s="6">
        <v>4249</v>
      </c>
      <c r="B610" s="7">
        <v>30243</v>
      </c>
      <c r="C610" s="8">
        <f>DATE(2012,12,31)-971</f>
        <v>40303</v>
      </c>
      <c r="D610" s="8" t="str">
        <f t="shared" si="12"/>
        <v>2010-05 (май 2010)</v>
      </c>
      <c r="E610" s="9" t="s">
        <v>78</v>
      </c>
      <c r="F610" s="7">
        <v>44</v>
      </c>
      <c r="G610" s="7">
        <v>2435.3200000000002</v>
      </c>
      <c r="H610" s="7">
        <v>0.09</v>
      </c>
      <c r="I610" s="9" t="s">
        <v>22</v>
      </c>
      <c r="J610" s="10">
        <v>650.55999999999995</v>
      </c>
      <c r="K610" s="11">
        <v>60.22</v>
      </c>
      <c r="L610" s="11">
        <v>3.5</v>
      </c>
      <c r="M610" s="9" t="s">
        <v>562</v>
      </c>
      <c r="N610" s="6" t="s">
        <v>511</v>
      </c>
      <c r="O610" s="6" t="s">
        <v>512</v>
      </c>
      <c r="P610" s="9" t="s">
        <v>41</v>
      </c>
      <c r="Q610" s="9" t="s">
        <v>26</v>
      </c>
      <c r="R610" s="9" t="s">
        <v>34</v>
      </c>
      <c r="S610" s="7" t="s">
        <v>624</v>
      </c>
      <c r="T610" s="9" t="s">
        <v>39</v>
      </c>
      <c r="U610" s="7">
        <v>0.56999999999999995</v>
      </c>
      <c r="V610" s="12">
        <f t="shared" si="13"/>
        <v>40305</v>
      </c>
      <c r="W610">
        <f>IF(D610=' Pivot Tables'!$A$4,1,0)</f>
        <v>0</v>
      </c>
      <c r="X610">
        <f>IF(AND(LEFT(D610,4)+1=LEFT(' Pivot Tables'!$A$4,4)+0,RIGHT(LEFT(D610,7),2)=RIGHT(LEFT(' Pivot Tables'!$A$4,7),2)),1,0)</f>
        <v>0</v>
      </c>
      <c r="Y610" s="6">
        <f>1/COUNTIF(Таблица1[Order ID],Таблица1[[#This Row],[Order ID]])</f>
        <v>0.5</v>
      </c>
      <c r="Z610" s="9">
        <f>1/COUNTIFS(Таблица1[Customer Name],Таблица1[[#This Row],[Customer Name]],Таблица1[Order-Year-Month],Таблица1[[#This Row],[Order-Year-Month]])</f>
        <v>0.25</v>
      </c>
    </row>
    <row r="611" spans="1:26" x14ac:dyDescent="0.2">
      <c r="A611" s="6">
        <v>4250</v>
      </c>
      <c r="B611" s="7">
        <v>30243</v>
      </c>
      <c r="C611" s="8">
        <f>DATE(2012,12,31)-971</f>
        <v>40303</v>
      </c>
      <c r="D611" s="8" t="str">
        <f t="shared" si="12"/>
        <v>2010-05 (май 2010)</v>
      </c>
      <c r="E611" s="9" t="s">
        <v>78</v>
      </c>
      <c r="F611" s="7">
        <v>21</v>
      </c>
      <c r="G611" s="7">
        <v>4242.76</v>
      </c>
      <c r="H611" s="7">
        <v>7.0000000000000007E-2</v>
      </c>
      <c r="I611" s="9" t="s">
        <v>22</v>
      </c>
      <c r="J611" s="10">
        <v>340.88</v>
      </c>
      <c r="K611" s="11">
        <v>199.99</v>
      </c>
      <c r="L611" s="11">
        <v>24.49</v>
      </c>
      <c r="M611" s="9" t="s">
        <v>562</v>
      </c>
      <c r="N611" s="6" t="s">
        <v>511</v>
      </c>
      <c r="O611" s="6" t="s">
        <v>512</v>
      </c>
      <c r="P611" s="9" t="s">
        <v>41</v>
      </c>
      <c r="Q611" s="9" t="s">
        <v>42</v>
      </c>
      <c r="R611" s="9" t="s">
        <v>99</v>
      </c>
      <c r="S611" s="7" t="s">
        <v>619</v>
      </c>
      <c r="T611" s="9" t="s">
        <v>29</v>
      </c>
      <c r="U611" s="7">
        <v>0.46</v>
      </c>
      <c r="V611" s="12">
        <f t="shared" si="13"/>
        <v>40305</v>
      </c>
      <c r="W611">
        <f>IF(D611=' Pivot Tables'!$A$4,1,0)</f>
        <v>0</v>
      </c>
      <c r="X611">
        <f>IF(AND(LEFT(D611,4)+1=LEFT(' Pivot Tables'!$A$4,4)+0,RIGHT(LEFT(D611,7),2)=RIGHT(LEFT(' Pivot Tables'!$A$4,7),2)),1,0)</f>
        <v>0</v>
      </c>
      <c r="Y611" s="6">
        <f>1/COUNTIF(Таблица1[Order ID],Таблица1[[#This Row],[Order ID]])</f>
        <v>0.5</v>
      </c>
      <c r="Z611" s="9">
        <f>1/COUNTIFS(Таблица1[Customer Name],Таблица1[[#This Row],[Customer Name]],Таблица1[Order-Year-Month],Таблица1[[#This Row],[Order-Year-Month]])</f>
        <v>0.25</v>
      </c>
    </row>
    <row r="612" spans="1:26" x14ac:dyDescent="0.2">
      <c r="A612" s="6">
        <v>4267</v>
      </c>
      <c r="B612" s="7">
        <v>30372</v>
      </c>
      <c r="C612" s="8">
        <f>DATE(2012,12,31)-854</f>
        <v>40420</v>
      </c>
      <c r="D612" s="8" t="str">
        <f t="shared" si="12"/>
        <v>2010-08 (август 2010)</v>
      </c>
      <c r="E612" s="9" t="s">
        <v>30</v>
      </c>
      <c r="F612" s="7">
        <v>1</v>
      </c>
      <c r="G612" s="7">
        <v>14.4</v>
      </c>
      <c r="H612" s="7">
        <v>0.1</v>
      </c>
      <c r="I612" s="9" t="s">
        <v>22</v>
      </c>
      <c r="J612" s="10">
        <v>-7.39</v>
      </c>
      <c r="K612" s="11">
        <v>12.22</v>
      </c>
      <c r="L612" s="11">
        <v>2.85</v>
      </c>
      <c r="M612" s="9" t="s">
        <v>548</v>
      </c>
      <c r="N612" s="6" t="s">
        <v>511</v>
      </c>
      <c r="O612" s="6" t="s">
        <v>512</v>
      </c>
      <c r="P612" s="9" t="s">
        <v>41</v>
      </c>
      <c r="Q612" s="9" t="s">
        <v>49</v>
      </c>
      <c r="R612" s="9" t="s">
        <v>50</v>
      </c>
      <c r="S612" s="7" t="s">
        <v>245</v>
      </c>
      <c r="T612" s="9" t="s">
        <v>52</v>
      </c>
      <c r="U612" s="7">
        <v>0.55000000000000004</v>
      </c>
      <c r="V612" s="12">
        <f t="shared" si="13"/>
        <v>40422</v>
      </c>
      <c r="W612">
        <f>IF(D612=' Pivot Tables'!$A$4,1,0)</f>
        <v>0</v>
      </c>
      <c r="X612">
        <f>IF(AND(LEFT(D612,4)+1=LEFT(' Pivot Tables'!$A$4,4)+0,RIGHT(LEFT(D612,7),2)=RIGHT(LEFT(' Pivot Tables'!$A$4,7),2)),1,0)</f>
        <v>0</v>
      </c>
      <c r="Y612" s="6">
        <f>1/COUNTIF(Таблица1[Order ID],Таблица1[[#This Row],[Order ID]])</f>
        <v>1</v>
      </c>
      <c r="Z612" s="9">
        <f>1/COUNTIFS(Таблица1[Customer Name],Таблица1[[#This Row],[Customer Name]],Таблица1[Order-Year-Month],Таблица1[[#This Row],[Order-Year-Month]])</f>
        <v>1</v>
      </c>
    </row>
    <row r="613" spans="1:26" x14ac:dyDescent="0.2">
      <c r="A613" s="6">
        <v>4282</v>
      </c>
      <c r="B613" s="7">
        <v>30499</v>
      </c>
      <c r="C613" s="8">
        <f>DATE(2012,12,31)-62</f>
        <v>41212</v>
      </c>
      <c r="D613" s="8" t="str">
        <f t="shared" si="12"/>
        <v>2012-10 (октябрь 2012)</v>
      </c>
      <c r="E613" s="9" t="s">
        <v>30</v>
      </c>
      <c r="F613" s="7">
        <v>16</v>
      </c>
      <c r="G613" s="7">
        <v>92.06</v>
      </c>
      <c r="H613" s="7">
        <v>0.1</v>
      </c>
      <c r="I613" s="9" t="s">
        <v>22</v>
      </c>
      <c r="J613" s="10">
        <v>5.66</v>
      </c>
      <c r="K613" s="11">
        <v>5.98</v>
      </c>
      <c r="L613" s="11">
        <v>2.5</v>
      </c>
      <c r="M613" s="9" t="s">
        <v>46</v>
      </c>
      <c r="N613" s="6" t="s">
        <v>511</v>
      </c>
      <c r="O613" s="6" t="s">
        <v>512</v>
      </c>
      <c r="P613" s="9" t="s">
        <v>33</v>
      </c>
      <c r="Q613" s="9" t="s">
        <v>26</v>
      </c>
      <c r="R613" s="9" t="s">
        <v>76</v>
      </c>
      <c r="S613" s="7" t="s">
        <v>625</v>
      </c>
      <c r="T613" s="9" t="s">
        <v>39</v>
      </c>
      <c r="U613" s="7">
        <v>0.36</v>
      </c>
      <c r="V613" s="12">
        <f t="shared" si="13"/>
        <v>41214</v>
      </c>
      <c r="W613">
        <f>IF(D613=' Pivot Tables'!$A$4,1,0)</f>
        <v>0</v>
      </c>
      <c r="X613">
        <f>IF(AND(LEFT(D613,4)+1=LEFT(' Pivot Tables'!$A$4,4)+0,RIGHT(LEFT(D613,7),2)=RIGHT(LEFT(' Pivot Tables'!$A$4,7),2)),1,0)</f>
        <v>0</v>
      </c>
      <c r="Y613" s="6">
        <f>1/COUNTIF(Таблица1[Order ID],Таблица1[[#This Row],[Order ID]])</f>
        <v>0.5</v>
      </c>
      <c r="Z613" s="9">
        <f>1/COUNTIFS(Таблица1[Customer Name],Таблица1[[#This Row],[Customer Name]],Таблица1[Order-Year-Month],Таблица1[[#This Row],[Order-Year-Month]])</f>
        <v>0.33333333333333331</v>
      </c>
    </row>
    <row r="614" spans="1:26" x14ac:dyDescent="0.2">
      <c r="A614" s="6">
        <v>4283</v>
      </c>
      <c r="B614" s="7">
        <v>30499</v>
      </c>
      <c r="C614" s="8">
        <f>DATE(2012,12,31)-62</f>
        <v>41212</v>
      </c>
      <c r="D614" s="8" t="str">
        <f t="shared" si="12"/>
        <v>2012-10 (октябрь 2012)</v>
      </c>
      <c r="E614" s="9" t="s">
        <v>30</v>
      </c>
      <c r="F614" s="7">
        <v>33</v>
      </c>
      <c r="G614" s="7">
        <v>199.62</v>
      </c>
      <c r="H614" s="7">
        <v>0.01</v>
      </c>
      <c r="I614" s="9" t="s">
        <v>22</v>
      </c>
      <c r="J614" s="10">
        <v>42.34</v>
      </c>
      <c r="K614" s="11">
        <v>5.84</v>
      </c>
      <c r="L614" s="11">
        <v>1.2</v>
      </c>
      <c r="M614" s="9" t="s">
        <v>46</v>
      </c>
      <c r="N614" s="6" t="s">
        <v>511</v>
      </c>
      <c r="O614" s="6" t="s">
        <v>512</v>
      </c>
      <c r="P614" s="9" t="s">
        <v>33</v>
      </c>
      <c r="Q614" s="9" t="s">
        <v>26</v>
      </c>
      <c r="R614" s="9" t="s">
        <v>95</v>
      </c>
      <c r="S614" s="7" t="s">
        <v>413</v>
      </c>
      <c r="T614" s="9" t="s">
        <v>68</v>
      </c>
      <c r="U614" s="7">
        <v>0.55000000000000004</v>
      </c>
      <c r="V614" s="12">
        <f t="shared" si="13"/>
        <v>41214</v>
      </c>
      <c r="W614">
        <f>IF(D614=' Pivot Tables'!$A$4,1,0)</f>
        <v>0</v>
      </c>
      <c r="X614">
        <f>IF(AND(LEFT(D614,4)+1=LEFT(' Pivot Tables'!$A$4,4)+0,RIGHT(LEFT(D614,7),2)=RIGHT(LEFT(' Pivot Tables'!$A$4,7),2)),1,0)</f>
        <v>0</v>
      </c>
      <c r="Y614" s="6">
        <f>1/COUNTIF(Таблица1[Order ID],Таблица1[[#This Row],[Order ID]])</f>
        <v>0.5</v>
      </c>
      <c r="Z614" s="9">
        <f>1/COUNTIFS(Таблица1[Customer Name],Таблица1[[#This Row],[Customer Name]],Таблица1[Order-Year-Month],Таблица1[[#This Row],[Order-Year-Month]])</f>
        <v>0.33333333333333331</v>
      </c>
    </row>
    <row r="615" spans="1:26" x14ac:dyDescent="0.2">
      <c r="A615" s="6">
        <v>4528</v>
      </c>
      <c r="B615" s="7">
        <v>32199</v>
      </c>
      <c r="C615" s="8">
        <f>DATE(2012,12,31)-1265</f>
        <v>40009</v>
      </c>
      <c r="D615" s="8" t="str">
        <f t="shared" si="12"/>
        <v>2009-07 (июль 2009)</v>
      </c>
      <c r="E615" s="9" t="s">
        <v>30</v>
      </c>
      <c r="F615" s="7">
        <v>40</v>
      </c>
      <c r="G615" s="7">
        <v>196.5</v>
      </c>
      <c r="H615" s="7">
        <v>0.08</v>
      </c>
      <c r="I615" s="9" t="s">
        <v>22</v>
      </c>
      <c r="J615" s="10">
        <v>-99.762500000000003</v>
      </c>
      <c r="K615" s="11">
        <v>4.91</v>
      </c>
      <c r="L615" s="11">
        <v>4.97</v>
      </c>
      <c r="M615" s="9" t="s">
        <v>542</v>
      </c>
      <c r="N615" s="6" t="s">
        <v>511</v>
      </c>
      <c r="O615" s="6" t="s">
        <v>512</v>
      </c>
      <c r="P615" s="9" t="s">
        <v>41</v>
      </c>
      <c r="Q615" s="9" t="s">
        <v>26</v>
      </c>
      <c r="R615" s="9" t="s">
        <v>37</v>
      </c>
      <c r="S615" s="7" t="s">
        <v>626</v>
      </c>
      <c r="T615" s="9" t="s">
        <v>39</v>
      </c>
      <c r="U615" s="7">
        <v>0.38</v>
      </c>
      <c r="V615" s="12">
        <f>C615+1</f>
        <v>40010</v>
      </c>
      <c r="W615">
        <f>IF(D615=' Pivot Tables'!$A$4,1,0)</f>
        <v>0</v>
      </c>
      <c r="X615">
        <f>IF(AND(LEFT(D615,4)+1=LEFT(' Pivot Tables'!$A$4,4)+0,RIGHT(LEFT(D615,7),2)=RIGHT(LEFT(' Pivot Tables'!$A$4,7),2)),1,0)</f>
        <v>0</v>
      </c>
      <c r="Y615" s="6">
        <f>1/COUNTIF(Таблица1[Order ID],Таблица1[[#This Row],[Order ID]])</f>
        <v>0.33333333333333331</v>
      </c>
      <c r="Z615" s="9">
        <f>1/COUNTIFS(Таблица1[Customer Name],Таблица1[[#This Row],[Customer Name]],Таблица1[Order-Year-Month],Таблица1[[#This Row],[Order-Year-Month]])</f>
        <v>0.33333333333333331</v>
      </c>
    </row>
    <row r="616" spans="1:26" x14ac:dyDescent="0.2">
      <c r="A616" s="6">
        <v>4529</v>
      </c>
      <c r="B616" s="7">
        <v>32199</v>
      </c>
      <c r="C616" s="8">
        <f>DATE(2012,12,31)-1265</f>
        <v>40009</v>
      </c>
      <c r="D616" s="8" t="str">
        <f t="shared" si="12"/>
        <v>2009-07 (июль 2009)</v>
      </c>
      <c r="E616" s="9" t="s">
        <v>30</v>
      </c>
      <c r="F616" s="7">
        <v>1</v>
      </c>
      <c r="G616" s="7">
        <v>3672.89</v>
      </c>
      <c r="H616" s="7">
        <v>0.01</v>
      </c>
      <c r="I616" s="9" t="s">
        <v>22</v>
      </c>
      <c r="J616" s="10">
        <v>-3061.82</v>
      </c>
      <c r="K616" s="11">
        <v>3499.99</v>
      </c>
      <c r="L616" s="11">
        <v>24.49</v>
      </c>
      <c r="M616" s="9" t="s">
        <v>542</v>
      </c>
      <c r="N616" s="6" t="s">
        <v>511</v>
      </c>
      <c r="O616" s="6" t="s">
        <v>512</v>
      </c>
      <c r="P616" s="9" t="s">
        <v>41</v>
      </c>
      <c r="Q616" s="9" t="s">
        <v>42</v>
      </c>
      <c r="R616" s="9" t="s">
        <v>99</v>
      </c>
      <c r="S616" s="7" t="s">
        <v>627</v>
      </c>
      <c r="T616" s="9" t="s">
        <v>29</v>
      </c>
      <c r="U616" s="7">
        <v>0.37</v>
      </c>
      <c r="V616" s="12">
        <f>C616+1</f>
        <v>40010</v>
      </c>
      <c r="W616">
        <f>IF(D616=' Pivot Tables'!$A$4,1,0)</f>
        <v>0</v>
      </c>
      <c r="X616">
        <f>IF(AND(LEFT(D616,4)+1=LEFT(' Pivot Tables'!$A$4,4)+0,RIGHT(LEFT(D616,7),2)=RIGHT(LEFT(' Pivot Tables'!$A$4,7),2)),1,0)</f>
        <v>0</v>
      </c>
      <c r="Y616" s="6">
        <f>1/COUNTIF(Таблица1[Order ID],Таблица1[[#This Row],[Order ID]])</f>
        <v>0.33333333333333331</v>
      </c>
      <c r="Z616" s="9">
        <f>1/COUNTIFS(Таблица1[Customer Name],Таблица1[[#This Row],[Customer Name]],Таблица1[Order-Year-Month],Таблица1[[#This Row],[Order-Year-Month]])</f>
        <v>0.33333333333333331</v>
      </c>
    </row>
    <row r="617" spans="1:26" x14ac:dyDescent="0.2">
      <c r="A617" s="6">
        <v>4530</v>
      </c>
      <c r="B617" s="7">
        <v>32199</v>
      </c>
      <c r="C617" s="8">
        <f>DATE(2012,12,31)-1265</f>
        <v>40009</v>
      </c>
      <c r="D617" s="8" t="str">
        <f t="shared" si="12"/>
        <v>2009-07 (июль 2009)</v>
      </c>
      <c r="E617" s="9" t="s">
        <v>30</v>
      </c>
      <c r="F617" s="7">
        <v>8</v>
      </c>
      <c r="G617" s="7">
        <v>46.97</v>
      </c>
      <c r="H617" s="7">
        <v>0.03</v>
      </c>
      <c r="I617" s="9" t="s">
        <v>22</v>
      </c>
      <c r="J617" s="10">
        <v>-9.9999999999997868E-3</v>
      </c>
      <c r="K617" s="11">
        <v>5.84</v>
      </c>
      <c r="L617" s="11">
        <v>1.2</v>
      </c>
      <c r="M617" s="9" t="s">
        <v>542</v>
      </c>
      <c r="N617" s="6" t="s">
        <v>511</v>
      </c>
      <c r="O617" s="6" t="s">
        <v>512</v>
      </c>
      <c r="P617" s="9" t="s">
        <v>41</v>
      </c>
      <c r="Q617" s="9" t="s">
        <v>26</v>
      </c>
      <c r="R617" s="9" t="s">
        <v>95</v>
      </c>
      <c r="S617" s="7" t="s">
        <v>413</v>
      </c>
      <c r="T617" s="9" t="s">
        <v>68</v>
      </c>
      <c r="U617" s="7">
        <v>0.55000000000000004</v>
      </c>
      <c r="V617" s="12">
        <f>C617+2</f>
        <v>40011</v>
      </c>
      <c r="W617">
        <f>IF(D617=' Pivot Tables'!$A$4,1,0)</f>
        <v>0</v>
      </c>
      <c r="X617">
        <f>IF(AND(LEFT(D617,4)+1=LEFT(' Pivot Tables'!$A$4,4)+0,RIGHT(LEFT(D617,7),2)=RIGHT(LEFT(' Pivot Tables'!$A$4,7),2)),1,0)</f>
        <v>0</v>
      </c>
      <c r="Y617" s="6">
        <f>1/COUNTIF(Таблица1[Order ID],Таблица1[[#This Row],[Order ID]])</f>
        <v>0.33333333333333331</v>
      </c>
      <c r="Z617" s="9">
        <f>1/COUNTIFS(Таблица1[Customer Name],Таблица1[[#This Row],[Customer Name]],Таблица1[Order-Year-Month],Таблица1[[#This Row],[Order-Year-Month]])</f>
        <v>0.33333333333333331</v>
      </c>
    </row>
    <row r="618" spans="1:26" x14ac:dyDescent="0.2">
      <c r="A618" s="6">
        <v>4546</v>
      </c>
      <c r="B618" s="7">
        <v>32327</v>
      </c>
      <c r="C618" s="8">
        <f>DATE(2012,12,31)-146</f>
        <v>41128</v>
      </c>
      <c r="D618" s="8" t="str">
        <f t="shared" si="12"/>
        <v>2012-08 (август 2012)</v>
      </c>
      <c r="E618" s="9" t="s">
        <v>21</v>
      </c>
      <c r="F618" s="7">
        <v>45</v>
      </c>
      <c r="G618" s="7">
        <v>20333.816000000003</v>
      </c>
      <c r="H618" s="7">
        <v>0.02</v>
      </c>
      <c r="I618" s="9" t="s">
        <v>31</v>
      </c>
      <c r="J618" s="10">
        <v>-1430.451</v>
      </c>
      <c r="K618" s="11">
        <v>550.98</v>
      </c>
      <c r="L618" s="11">
        <v>147.12</v>
      </c>
      <c r="M618" s="9" t="s">
        <v>542</v>
      </c>
      <c r="N618" s="6" t="s">
        <v>511</v>
      </c>
      <c r="O618" s="6" t="s">
        <v>512</v>
      </c>
      <c r="P618" s="9" t="s">
        <v>25</v>
      </c>
      <c r="Q618" s="9" t="s">
        <v>49</v>
      </c>
      <c r="R618" s="9" t="s">
        <v>83</v>
      </c>
      <c r="S618" s="7" t="s">
        <v>628</v>
      </c>
      <c r="T618" s="9" t="s">
        <v>82</v>
      </c>
      <c r="U618" s="7">
        <v>0.8</v>
      </c>
      <c r="V618" s="12">
        <f>C618+7</f>
        <v>41135</v>
      </c>
      <c r="W618">
        <f>IF(D618=' Pivot Tables'!$A$4,1,0)</f>
        <v>0</v>
      </c>
      <c r="X618">
        <f>IF(AND(LEFT(D618,4)+1=LEFT(' Pivot Tables'!$A$4,4)+0,RIGHT(LEFT(D618,7),2)=RIGHT(LEFT(' Pivot Tables'!$A$4,7),2)),1,0)</f>
        <v>0</v>
      </c>
      <c r="Y618" s="6">
        <f>1/COUNTIF(Таблица1[Order ID],Таблица1[[#This Row],[Order ID]])</f>
        <v>1</v>
      </c>
      <c r="Z618" s="9">
        <f>1/COUNTIFS(Таблица1[Customer Name],Таблица1[[#This Row],[Customer Name]],Таблица1[Order-Year-Month],Таблица1[[#This Row],[Order-Year-Month]])</f>
        <v>1</v>
      </c>
    </row>
    <row r="619" spans="1:26" x14ac:dyDescent="0.2">
      <c r="A619" s="6">
        <v>4594</v>
      </c>
      <c r="B619" s="7">
        <v>32676</v>
      </c>
      <c r="C619" s="8">
        <f>DATE(2012,12,31)-1429</f>
        <v>39845</v>
      </c>
      <c r="D619" s="8" t="str">
        <f t="shared" si="12"/>
        <v>2009-02 (февраль 2009)</v>
      </c>
      <c r="E619" s="9" t="s">
        <v>78</v>
      </c>
      <c r="F619" s="7">
        <v>37</v>
      </c>
      <c r="G619" s="7">
        <v>1697.44</v>
      </c>
      <c r="H619" s="7">
        <v>0.06</v>
      </c>
      <c r="I619" s="9" t="s">
        <v>22</v>
      </c>
      <c r="J619" s="10">
        <v>523.42999999999995</v>
      </c>
      <c r="K619" s="11">
        <v>45.19</v>
      </c>
      <c r="L619" s="11">
        <v>1.99</v>
      </c>
      <c r="M619" s="9" t="s">
        <v>552</v>
      </c>
      <c r="N619" s="6" t="s">
        <v>511</v>
      </c>
      <c r="O619" s="6" t="s">
        <v>512</v>
      </c>
      <c r="P619" s="9" t="s">
        <v>41</v>
      </c>
      <c r="Q619" s="9" t="s">
        <v>42</v>
      </c>
      <c r="R619" s="9" t="s">
        <v>70</v>
      </c>
      <c r="S619" s="7" t="s">
        <v>379</v>
      </c>
      <c r="T619" s="9" t="s">
        <v>52</v>
      </c>
      <c r="U619" s="7">
        <v>0.55000000000000004</v>
      </c>
      <c r="V619" s="12">
        <f>C619+3</f>
        <v>39848</v>
      </c>
      <c r="W619">
        <f>IF(D619=' Pivot Tables'!$A$4,1,0)</f>
        <v>0</v>
      </c>
      <c r="X619">
        <f>IF(AND(LEFT(D619,4)+1=LEFT(' Pivot Tables'!$A$4,4)+0,RIGHT(LEFT(D619,7),2)=RIGHT(LEFT(' Pivot Tables'!$A$4,7),2)),1,0)</f>
        <v>0</v>
      </c>
      <c r="Y619" s="6">
        <f>1/COUNTIF(Таблица1[Order ID],Таблица1[[#This Row],[Order ID]])</f>
        <v>1</v>
      </c>
      <c r="Z619" s="9">
        <f>1/COUNTIFS(Таблица1[Customer Name],Таблица1[[#This Row],[Customer Name]],Таблица1[Order-Year-Month],Таблица1[[#This Row],[Order-Year-Month]])</f>
        <v>1</v>
      </c>
    </row>
    <row r="620" spans="1:26" x14ac:dyDescent="0.2">
      <c r="A620" s="6">
        <v>4611</v>
      </c>
      <c r="B620" s="7">
        <v>32835</v>
      </c>
      <c r="C620" s="8">
        <f>DATE(2012,12,31)-177</f>
        <v>41097</v>
      </c>
      <c r="D620" s="8" t="str">
        <f t="shared" si="12"/>
        <v>2012-07 (июль 2012)</v>
      </c>
      <c r="E620" s="9" t="s">
        <v>63</v>
      </c>
      <c r="F620" s="7">
        <v>15</v>
      </c>
      <c r="G620" s="7">
        <v>572.4325</v>
      </c>
      <c r="H620" s="7">
        <v>0.05</v>
      </c>
      <c r="I620" s="9" t="s">
        <v>22</v>
      </c>
      <c r="J620" s="10">
        <v>-19.437000000000001</v>
      </c>
      <c r="K620" s="11">
        <v>45.99</v>
      </c>
      <c r="L620" s="11">
        <v>4.99</v>
      </c>
      <c r="M620" s="9" t="s">
        <v>552</v>
      </c>
      <c r="N620" s="6" t="s">
        <v>511</v>
      </c>
      <c r="O620" s="6" t="s">
        <v>512</v>
      </c>
      <c r="P620" s="9" t="s">
        <v>41</v>
      </c>
      <c r="Q620" s="9" t="s">
        <v>42</v>
      </c>
      <c r="R620" s="9" t="s">
        <v>43</v>
      </c>
      <c r="S620" s="7" t="s">
        <v>629</v>
      </c>
      <c r="T620" s="9" t="s">
        <v>39</v>
      </c>
      <c r="U620" s="7">
        <v>0.56000000000000005</v>
      </c>
      <c r="V620" s="12">
        <f>C620+2</f>
        <v>41099</v>
      </c>
      <c r="W620">
        <f>IF(D620=' Pivot Tables'!$A$4,1,0)</f>
        <v>0</v>
      </c>
      <c r="X620">
        <f>IF(AND(LEFT(D620,4)+1=LEFT(' Pivot Tables'!$A$4,4)+0,RIGHT(LEFT(D620,7),2)=RIGHT(LEFT(' Pivot Tables'!$A$4,7),2)),1,0)</f>
        <v>0</v>
      </c>
      <c r="Y620" s="6">
        <f>1/COUNTIF(Таблица1[Order ID],Таблица1[[#This Row],[Order ID]])</f>
        <v>1</v>
      </c>
      <c r="Z620" s="9">
        <f>1/COUNTIFS(Таблица1[Customer Name],Таблица1[[#This Row],[Customer Name]],Таблица1[Order-Year-Month],Таблица1[[#This Row],[Order-Year-Month]])</f>
        <v>1</v>
      </c>
    </row>
    <row r="621" spans="1:26" x14ac:dyDescent="0.2">
      <c r="A621" s="6">
        <v>4613</v>
      </c>
      <c r="B621" s="7">
        <v>32869</v>
      </c>
      <c r="C621" s="8">
        <f>DATE(2012,12,31)-1375</f>
        <v>39899</v>
      </c>
      <c r="D621" s="8" t="str">
        <f t="shared" si="12"/>
        <v>2009-03 (март 2009)</v>
      </c>
      <c r="E621" s="9" t="s">
        <v>63</v>
      </c>
      <c r="F621" s="7">
        <v>41</v>
      </c>
      <c r="G621" s="7">
        <v>322.02999999999997</v>
      </c>
      <c r="H621" s="7">
        <v>0.06</v>
      </c>
      <c r="I621" s="9" t="s">
        <v>22</v>
      </c>
      <c r="J621" s="10">
        <v>-82.83</v>
      </c>
      <c r="K621" s="11">
        <v>8.1199999999999992</v>
      </c>
      <c r="L621" s="11">
        <v>2.83</v>
      </c>
      <c r="M621" s="9" t="s">
        <v>548</v>
      </c>
      <c r="N621" s="6" t="s">
        <v>511</v>
      </c>
      <c r="O621" s="6" t="s">
        <v>512</v>
      </c>
      <c r="P621" s="9" t="s">
        <v>41</v>
      </c>
      <c r="Q621" s="9" t="s">
        <v>42</v>
      </c>
      <c r="R621" s="9" t="s">
        <v>70</v>
      </c>
      <c r="S621" s="7" t="s">
        <v>630</v>
      </c>
      <c r="T621" s="9" t="s">
        <v>52</v>
      </c>
      <c r="U621" s="7">
        <v>0.77</v>
      </c>
      <c r="V621" s="12">
        <f>C621+1</f>
        <v>39900</v>
      </c>
      <c r="W621">
        <f>IF(D621=' Pivot Tables'!$A$4,1,0)</f>
        <v>0</v>
      </c>
      <c r="X621">
        <f>IF(AND(LEFT(D621,4)+1=LEFT(' Pivot Tables'!$A$4,4)+0,RIGHT(LEFT(D621,7),2)=RIGHT(LEFT(' Pivot Tables'!$A$4,7),2)),1,0)</f>
        <v>0</v>
      </c>
      <c r="Y621" s="6">
        <f>1/COUNTIF(Таблица1[Order ID],Таблица1[[#This Row],[Order ID]])</f>
        <v>0.25</v>
      </c>
      <c r="Z621" s="9">
        <f>1/COUNTIFS(Таблица1[Customer Name],Таблица1[[#This Row],[Customer Name]],Таблица1[Order-Year-Month],Таблица1[[#This Row],[Order-Year-Month]])</f>
        <v>0.25</v>
      </c>
    </row>
    <row r="622" spans="1:26" x14ac:dyDescent="0.2">
      <c r="A622" s="6">
        <v>4614</v>
      </c>
      <c r="B622" s="7">
        <v>32869</v>
      </c>
      <c r="C622" s="8">
        <f>DATE(2012,12,31)-1375</f>
        <v>39899</v>
      </c>
      <c r="D622" s="8" t="str">
        <f t="shared" si="12"/>
        <v>2009-03 (март 2009)</v>
      </c>
      <c r="E622" s="9" t="s">
        <v>63</v>
      </c>
      <c r="F622" s="7">
        <v>49</v>
      </c>
      <c r="G622" s="7">
        <v>2470.84</v>
      </c>
      <c r="H622" s="7">
        <v>0.05</v>
      </c>
      <c r="I622" s="9" t="s">
        <v>22</v>
      </c>
      <c r="J622" s="10">
        <v>25.04</v>
      </c>
      <c r="K622" s="11">
        <v>51.65</v>
      </c>
      <c r="L622" s="11">
        <v>18.45</v>
      </c>
      <c r="M622" s="9" t="s">
        <v>548</v>
      </c>
      <c r="N622" s="6" t="s">
        <v>511</v>
      </c>
      <c r="O622" s="6" t="s">
        <v>512</v>
      </c>
      <c r="P622" s="9" t="s">
        <v>41</v>
      </c>
      <c r="Q622" s="9" t="s">
        <v>49</v>
      </c>
      <c r="R622" s="9" t="s">
        <v>50</v>
      </c>
      <c r="S622" s="7" t="s">
        <v>597</v>
      </c>
      <c r="T622" s="9" t="s">
        <v>48</v>
      </c>
      <c r="U622" s="7">
        <v>0.65</v>
      </c>
      <c r="V622" s="12">
        <f>C622+1</f>
        <v>39900</v>
      </c>
      <c r="W622">
        <f>IF(D622=' Pivot Tables'!$A$4,1,0)</f>
        <v>0</v>
      </c>
      <c r="X622">
        <f>IF(AND(LEFT(D622,4)+1=LEFT(' Pivot Tables'!$A$4,4)+0,RIGHT(LEFT(D622,7),2)=RIGHT(LEFT(' Pivot Tables'!$A$4,7),2)),1,0)</f>
        <v>0</v>
      </c>
      <c r="Y622" s="6">
        <f>1/COUNTIF(Таблица1[Order ID],Таблица1[[#This Row],[Order ID]])</f>
        <v>0.25</v>
      </c>
      <c r="Z622" s="9">
        <f>1/COUNTIFS(Таблица1[Customer Name],Таблица1[[#This Row],[Customer Name]],Таблица1[Order-Year-Month],Таблица1[[#This Row],[Order-Year-Month]])</f>
        <v>0.25</v>
      </c>
    </row>
    <row r="623" spans="1:26" x14ac:dyDescent="0.2">
      <c r="A623" s="6">
        <v>4615</v>
      </c>
      <c r="B623" s="7">
        <v>32869</v>
      </c>
      <c r="C623" s="8">
        <f>DATE(2012,12,31)-1375</f>
        <v>39899</v>
      </c>
      <c r="D623" s="8" t="str">
        <f t="shared" si="12"/>
        <v>2009-03 (март 2009)</v>
      </c>
      <c r="E623" s="9" t="s">
        <v>63</v>
      </c>
      <c r="F623" s="7">
        <v>2</v>
      </c>
      <c r="G623" s="7">
        <v>15.26</v>
      </c>
      <c r="H623" s="7">
        <v>0.01</v>
      </c>
      <c r="I623" s="9" t="s">
        <v>22</v>
      </c>
      <c r="J623" s="10">
        <v>-7.51</v>
      </c>
      <c r="K623" s="11">
        <v>6.68</v>
      </c>
      <c r="L623" s="11">
        <v>1.5</v>
      </c>
      <c r="M623" s="9" t="s">
        <v>548</v>
      </c>
      <c r="N623" s="6" t="s">
        <v>511</v>
      </c>
      <c r="O623" s="6" t="s">
        <v>512</v>
      </c>
      <c r="P623" s="9" t="s">
        <v>41</v>
      </c>
      <c r="Q623" s="9" t="s">
        <v>26</v>
      </c>
      <c r="R623" s="9" t="s">
        <v>95</v>
      </c>
      <c r="S623" s="7" t="s">
        <v>609</v>
      </c>
      <c r="T623" s="9" t="s">
        <v>68</v>
      </c>
      <c r="U623" s="7">
        <v>0.48</v>
      </c>
      <c r="V623" s="12">
        <f>C623+1</f>
        <v>39900</v>
      </c>
      <c r="W623">
        <f>IF(D623=' Pivot Tables'!$A$4,1,0)</f>
        <v>0</v>
      </c>
      <c r="X623">
        <f>IF(AND(LEFT(D623,4)+1=LEFT(' Pivot Tables'!$A$4,4)+0,RIGHT(LEFT(D623,7),2)=RIGHT(LEFT(' Pivot Tables'!$A$4,7),2)),1,0)</f>
        <v>0</v>
      </c>
      <c r="Y623" s="6">
        <f>1/COUNTIF(Таблица1[Order ID],Таблица1[[#This Row],[Order ID]])</f>
        <v>0.25</v>
      </c>
      <c r="Z623" s="9">
        <f>1/COUNTIFS(Таблица1[Customer Name],Таблица1[[#This Row],[Customer Name]],Таблица1[Order-Year-Month],Таблица1[[#This Row],[Order-Year-Month]])</f>
        <v>0.25</v>
      </c>
    </row>
    <row r="624" spans="1:26" x14ac:dyDescent="0.2">
      <c r="A624" s="6">
        <v>4616</v>
      </c>
      <c r="B624" s="7">
        <v>32869</v>
      </c>
      <c r="C624" s="8">
        <f>DATE(2012,12,31)-1375</f>
        <v>39899</v>
      </c>
      <c r="D624" s="8" t="str">
        <f t="shared" si="12"/>
        <v>2009-03 (март 2009)</v>
      </c>
      <c r="E624" s="9" t="s">
        <v>63</v>
      </c>
      <c r="F624" s="7">
        <v>39</v>
      </c>
      <c r="G624" s="7">
        <v>5250.6624999999995</v>
      </c>
      <c r="H624" s="7">
        <v>0.1</v>
      </c>
      <c r="I624" s="9" t="s">
        <v>22</v>
      </c>
      <c r="J624" s="10">
        <v>930.98700000000008</v>
      </c>
      <c r="K624" s="11">
        <v>175.99</v>
      </c>
      <c r="L624" s="11">
        <v>8.99</v>
      </c>
      <c r="M624" s="9" t="s">
        <v>548</v>
      </c>
      <c r="N624" s="6" t="s">
        <v>511</v>
      </c>
      <c r="O624" s="6" t="s">
        <v>512</v>
      </c>
      <c r="P624" s="9" t="s">
        <v>41</v>
      </c>
      <c r="Q624" s="9" t="s">
        <v>42</v>
      </c>
      <c r="R624" s="9" t="s">
        <v>43</v>
      </c>
      <c r="S624" s="7" t="s">
        <v>631</v>
      </c>
      <c r="T624" s="9" t="s">
        <v>39</v>
      </c>
      <c r="U624" s="7">
        <v>0.56999999999999995</v>
      </c>
      <c r="V624" s="12">
        <f>C624+1</f>
        <v>39900</v>
      </c>
      <c r="W624">
        <f>IF(D624=' Pivot Tables'!$A$4,1,0)</f>
        <v>0</v>
      </c>
      <c r="X624">
        <f>IF(AND(LEFT(D624,4)+1=LEFT(' Pivot Tables'!$A$4,4)+0,RIGHT(LEFT(D624,7),2)=RIGHT(LEFT(' Pivot Tables'!$A$4,7),2)),1,0)</f>
        <v>0</v>
      </c>
      <c r="Y624" s="6">
        <f>1/COUNTIF(Таблица1[Order ID],Таблица1[[#This Row],[Order ID]])</f>
        <v>0.25</v>
      </c>
      <c r="Z624" s="9">
        <f>1/COUNTIFS(Таблица1[Customer Name],Таблица1[[#This Row],[Customer Name]],Таблица1[Order-Year-Month],Таблица1[[#This Row],[Order-Year-Month]])</f>
        <v>0.25</v>
      </c>
    </row>
    <row r="625" spans="1:26" x14ac:dyDescent="0.2">
      <c r="A625" s="6">
        <v>4748</v>
      </c>
      <c r="B625" s="7">
        <v>33763</v>
      </c>
      <c r="C625" s="8">
        <f>DATE(2012,12,31)-830</f>
        <v>40444</v>
      </c>
      <c r="D625" s="8" t="str">
        <f t="shared" si="12"/>
        <v>2010-09 (сентябрь 2010)</v>
      </c>
      <c r="E625" s="9" t="s">
        <v>45</v>
      </c>
      <c r="F625" s="7">
        <v>23</v>
      </c>
      <c r="G625" s="7">
        <v>10791.38</v>
      </c>
      <c r="H625" s="7">
        <v>0.08</v>
      </c>
      <c r="I625" s="9" t="s">
        <v>22</v>
      </c>
      <c r="J625" s="10">
        <v>-234.79</v>
      </c>
      <c r="K625" s="11">
        <v>499.99</v>
      </c>
      <c r="L625" s="11">
        <v>24.49</v>
      </c>
      <c r="M625" s="9" t="s">
        <v>553</v>
      </c>
      <c r="N625" s="6" t="s">
        <v>511</v>
      </c>
      <c r="O625" s="6" t="s">
        <v>512</v>
      </c>
      <c r="P625" s="9" t="s">
        <v>41</v>
      </c>
      <c r="Q625" s="9" t="s">
        <v>42</v>
      </c>
      <c r="R625" s="9" t="s">
        <v>99</v>
      </c>
      <c r="S625" s="7" t="s">
        <v>217</v>
      </c>
      <c r="T625" s="9" t="s">
        <v>29</v>
      </c>
      <c r="U625" s="7">
        <v>0.36</v>
      </c>
      <c r="V625" s="12">
        <f>C625+2</f>
        <v>40446</v>
      </c>
      <c r="W625">
        <f>IF(D625=' Pivot Tables'!$A$4,1,0)</f>
        <v>0</v>
      </c>
      <c r="X625">
        <f>IF(AND(LEFT(D625,4)+1=LEFT(' Pivot Tables'!$A$4,4)+0,RIGHT(LEFT(D625,7),2)=RIGHT(LEFT(' Pivot Tables'!$A$4,7),2)),1,0)</f>
        <v>0</v>
      </c>
      <c r="Y625" s="6">
        <f>1/COUNTIF(Таблица1[Order ID],Таблица1[[#This Row],[Order ID]])</f>
        <v>1</v>
      </c>
      <c r="Z625" s="9">
        <f>1/COUNTIFS(Таблица1[Customer Name],Таблица1[[#This Row],[Customer Name]],Таблица1[Order-Year-Month],Таблица1[[#This Row],[Order-Year-Month]])</f>
        <v>1</v>
      </c>
    </row>
    <row r="626" spans="1:26" x14ac:dyDescent="0.2">
      <c r="A626" s="6">
        <v>4792</v>
      </c>
      <c r="B626" s="7">
        <v>34048</v>
      </c>
      <c r="C626" s="8">
        <f>DATE(2012,12,31)-644</f>
        <v>40630</v>
      </c>
      <c r="D626" s="8" t="str">
        <f t="shared" si="12"/>
        <v>2011-03 (март 2011)</v>
      </c>
      <c r="E626" s="9" t="s">
        <v>21</v>
      </c>
      <c r="F626" s="7">
        <v>1</v>
      </c>
      <c r="G626" s="7">
        <v>26.68</v>
      </c>
      <c r="H626" s="7">
        <v>0.04</v>
      </c>
      <c r="I626" s="9" t="s">
        <v>22</v>
      </c>
      <c r="J626" s="10">
        <v>-10.74</v>
      </c>
      <c r="K626" s="11">
        <v>22.23</v>
      </c>
      <c r="L626" s="11">
        <v>3.63</v>
      </c>
      <c r="M626" s="9" t="s">
        <v>548</v>
      </c>
      <c r="N626" s="6" t="s">
        <v>511</v>
      </c>
      <c r="O626" s="6" t="s">
        <v>512</v>
      </c>
      <c r="P626" s="9" t="s">
        <v>41</v>
      </c>
      <c r="Q626" s="9" t="s">
        <v>49</v>
      </c>
      <c r="R626" s="9" t="s">
        <v>50</v>
      </c>
      <c r="S626" s="7" t="s">
        <v>632</v>
      </c>
      <c r="T626" s="9" t="s">
        <v>52</v>
      </c>
      <c r="U626" s="7">
        <v>0.52</v>
      </c>
      <c r="V626" s="12">
        <f>C626+2</f>
        <v>40632</v>
      </c>
      <c r="W626">
        <f>IF(D626=' Pivot Tables'!$A$4,1,0)</f>
        <v>0</v>
      </c>
      <c r="X626">
        <f>IF(AND(LEFT(D626,4)+1=LEFT(' Pivot Tables'!$A$4,4)+0,RIGHT(LEFT(D626,7),2)=RIGHT(LEFT(' Pivot Tables'!$A$4,7),2)),1,0)</f>
        <v>0</v>
      </c>
      <c r="Y626" s="6">
        <f>1/COUNTIF(Таблица1[Order ID],Таблица1[[#This Row],[Order ID]])</f>
        <v>1</v>
      </c>
      <c r="Z626" s="9">
        <f>1/COUNTIFS(Таблица1[Customer Name],Таблица1[[#This Row],[Customer Name]],Таблица1[Order-Year-Month],Таблица1[[#This Row],[Order-Year-Month]])</f>
        <v>0.5</v>
      </c>
    </row>
    <row r="627" spans="1:26" x14ac:dyDescent="0.2">
      <c r="A627" s="6">
        <v>4823</v>
      </c>
      <c r="B627" s="7">
        <v>34275</v>
      </c>
      <c r="C627" s="8">
        <f>DATE(2012,12,31)-1279</f>
        <v>39995</v>
      </c>
      <c r="D627" s="8" t="str">
        <f t="shared" si="12"/>
        <v>2009-07 (июль 2009)</v>
      </c>
      <c r="E627" s="9" t="s">
        <v>21</v>
      </c>
      <c r="F627" s="7">
        <v>27</v>
      </c>
      <c r="G627" s="7">
        <v>123.46</v>
      </c>
      <c r="H627" s="7">
        <v>7.0000000000000007E-2</v>
      </c>
      <c r="I627" s="9" t="s">
        <v>22</v>
      </c>
      <c r="J627" s="10">
        <v>26.66</v>
      </c>
      <c r="K627" s="11">
        <v>4.84</v>
      </c>
      <c r="L627" s="11">
        <v>0.71</v>
      </c>
      <c r="M627" s="9" t="s">
        <v>568</v>
      </c>
      <c r="N627" s="6" t="s">
        <v>511</v>
      </c>
      <c r="O627" s="6" t="s">
        <v>512</v>
      </c>
      <c r="P627" s="9" t="s">
        <v>25</v>
      </c>
      <c r="Q627" s="9" t="s">
        <v>26</v>
      </c>
      <c r="R627" s="9" t="s">
        <v>95</v>
      </c>
      <c r="S627" s="7" t="s">
        <v>633</v>
      </c>
      <c r="T627" s="9" t="s">
        <v>68</v>
      </c>
      <c r="U627" s="7">
        <v>0.52</v>
      </c>
      <c r="V627" s="12">
        <f>C627+2</f>
        <v>39997</v>
      </c>
      <c r="W627">
        <f>IF(D627=' Pivot Tables'!$A$4,1,0)</f>
        <v>0</v>
      </c>
      <c r="X627">
        <f>IF(AND(LEFT(D627,4)+1=LEFT(' Pivot Tables'!$A$4,4)+0,RIGHT(LEFT(D627,7),2)=RIGHT(LEFT(' Pivot Tables'!$A$4,7),2)),1,0)</f>
        <v>0</v>
      </c>
      <c r="Y627" s="6">
        <f>1/COUNTIF(Таблица1[Order ID],Таблица1[[#This Row],[Order ID]])</f>
        <v>0.5</v>
      </c>
      <c r="Z627" s="9">
        <f>1/COUNTIFS(Таблица1[Customer Name],Таблица1[[#This Row],[Customer Name]],Таблица1[Order-Year-Month],Таблица1[[#This Row],[Order-Year-Month]])</f>
        <v>1</v>
      </c>
    </row>
    <row r="628" spans="1:26" x14ac:dyDescent="0.2">
      <c r="A628" s="6">
        <v>4844</v>
      </c>
      <c r="B628" s="7">
        <v>34438</v>
      </c>
      <c r="C628" s="8">
        <f>DATE(2012,12,31)-751</f>
        <v>40523</v>
      </c>
      <c r="D628" s="8" t="str">
        <f t="shared" si="12"/>
        <v>2010-12 (декабрь 2010)</v>
      </c>
      <c r="E628" s="9" t="s">
        <v>30</v>
      </c>
      <c r="F628" s="7">
        <v>28</v>
      </c>
      <c r="G628" s="7">
        <v>588.54</v>
      </c>
      <c r="H628" s="7">
        <v>0.04</v>
      </c>
      <c r="I628" s="9" t="s">
        <v>22</v>
      </c>
      <c r="J628" s="10">
        <v>-30.72</v>
      </c>
      <c r="K628" s="11">
        <v>20.149999999999999</v>
      </c>
      <c r="L628" s="11">
        <v>8.99</v>
      </c>
      <c r="M628" s="9" t="s">
        <v>531</v>
      </c>
      <c r="N628" s="6" t="s">
        <v>511</v>
      </c>
      <c r="O628" s="6" t="s">
        <v>512</v>
      </c>
      <c r="P628" s="9" t="s">
        <v>33</v>
      </c>
      <c r="Q628" s="9" t="s">
        <v>26</v>
      </c>
      <c r="R628" s="9" t="s">
        <v>95</v>
      </c>
      <c r="S628" s="7" t="s">
        <v>634</v>
      </c>
      <c r="T628" s="9" t="s">
        <v>52</v>
      </c>
      <c r="U628" s="7">
        <v>0.57999999999999996</v>
      </c>
      <c r="V628" s="12">
        <f>C628+1</f>
        <v>40524</v>
      </c>
      <c r="W628">
        <f>IF(D628=' Pivot Tables'!$A$4,1,0)</f>
        <v>0</v>
      </c>
      <c r="X628">
        <f>IF(AND(LEFT(D628,4)+1=LEFT(' Pivot Tables'!$A$4,4)+0,RIGHT(LEFT(D628,7),2)=RIGHT(LEFT(' Pivot Tables'!$A$4,7),2)),1,0)</f>
        <v>0</v>
      </c>
      <c r="Y628" s="6">
        <f>1/COUNTIF(Таблица1[Order ID],Таблица1[[#This Row],[Order ID]])</f>
        <v>1</v>
      </c>
      <c r="Z628" s="9">
        <f>1/COUNTIFS(Таблица1[Customer Name],Таблица1[[#This Row],[Customer Name]],Таблица1[Order-Year-Month],Таблица1[[#This Row],[Order-Year-Month]])</f>
        <v>0.5</v>
      </c>
    </row>
    <row r="629" spans="1:26" x14ac:dyDescent="0.2">
      <c r="A629" s="6">
        <v>4901</v>
      </c>
      <c r="B629" s="7">
        <v>34880</v>
      </c>
      <c r="C629" s="8">
        <f>DATE(2012,12,31)-1202</f>
        <v>40072</v>
      </c>
      <c r="D629" s="8" t="str">
        <f t="shared" si="12"/>
        <v>2009-09 (сентябрь 2009)</v>
      </c>
      <c r="E629" s="9" t="s">
        <v>30</v>
      </c>
      <c r="F629" s="7">
        <v>44</v>
      </c>
      <c r="G629" s="7">
        <v>284.38</v>
      </c>
      <c r="H629" s="7">
        <v>0.04</v>
      </c>
      <c r="I629" s="9" t="s">
        <v>22</v>
      </c>
      <c r="J629" s="10">
        <v>-62.43</v>
      </c>
      <c r="K629" s="11">
        <v>6.48</v>
      </c>
      <c r="L629" s="11">
        <v>5.19</v>
      </c>
      <c r="M629" s="9" t="s">
        <v>622</v>
      </c>
      <c r="N629" s="6" t="s">
        <v>511</v>
      </c>
      <c r="O629" s="6" t="s">
        <v>512</v>
      </c>
      <c r="P629" s="9" t="s">
        <v>60</v>
      </c>
      <c r="Q629" s="9" t="s">
        <v>26</v>
      </c>
      <c r="R629" s="9" t="s">
        <v>61</v>
      </c>
      <c r="S629" s="7" t="s">
        <v>635</v>
      </c>
      <c r="T629" s="9" t="s">
        <v>39</v>
      </c>
      <c r="U629" s="7">
        <v>0.37</v>
      </c>
      <c r="V629" s="12">
        <f>C629+1</f>
        <v>40073</v>
      </c>
      <c r="W629">
        <f>IF(D629=' Pivot Tables'!$A$4,1,0)</f>
        <v>0</v>
      </c>
      <c r="X629">
        <f>IF(AND(LEFT(D629,4)+1=LEFT(' Pivot Tables'!$A$4,4)+0,RIGHT(LEFT(D629,7),2)=RIGHT(LEFT(' Pivot Tables'!$A$4,7),2)),1,0)</f>
        <v>0</v>
      </c>
      <c r="Y629" s="6">
        <f>1/COUNTIF(Таблица1[Order ID],Таблица1[[#This Row],[Order ID]])</f>
        <v>1</v>
      </c>
      <c r="Z629" s="9">
        <f>1/COUNTIFS(Таблица1[Customer Name],Таблица1[[#This Row],[Customer Name]],Таблица1[Order-Year-Month],Таблица1[[#This Row],[Order-Year-Month]])</f>
        <v>1</v>
      </c>
    </row>
    <row r="630" spans="1:26" x14ac:dyDescent="0.2">
      <c r="A630" s="6">
        <v>4912</v>
      </c>
      <c r="B630" s="7">
        <v>34978</v>
      </c>
      <c r="C630" s="8">
        <f>DATE(2012,12,31)-696</f>
        <v>40578</v>
      </c>
      <c r="D630" s="8" t="str">
        <f t="shared" si="12"/>
        <v>2011-02 (февраль 2011)</v>
      </c>
      <c r="E630" s="9" t="s">
        <v>30</v>
      </c>
      <c r="F630" s="7">
        <v>49</v>
      </c>
      <c r="G630" s="7">
        <v>165.51</v>
      </c>
      <c r="H630" s="7">
        <v>0.08</v>
      </c>
      <c r="I630" s="9" t="s">
        <v>22</v>
      </c>
      <c r="J630" s="10">
        <v>-269.90499999999997</v>
      </c>
      <c r="K630" s="11">
        <v>3.52</v>
      </c>
      <c r="L630" s="11">
        <v>6.83</v>
      </c>
      <c r="M630" s="9" t="s">
        <v>46</v>
      </c>
      <c r="N630" s="6" t="s">
        <v>511</v>
      </c>
      <c r="O630" s="6" t="s">
        <v>512</v>
      </c>
      <c r="P630" s="9" t="s">
        <v>33</v>
      </c>
      <c r="Q630" s="9" t="s">
        <v>26</v>
      </c>
      <c r="R630" s="9" t="s">
        <v>37</v>
      </c>
      <c r="S630" s="7" t="s">
        <v>636</v>
      </c>
      <c r="T630" s="9" t="s">
        <v>39</v>
      </c>
      <c r="U630" s="7">
        <v>0.38</v>
      </c>
      <c r="V630" s="12">
        <f>C630+2</f>
        <v>40580</v>
      </c>
      <c r="W630">
        <f>IF(D630=' Pivot Tables'!$A$4,1,0)</f>
        <v>0</v>
      </c>
      <c r="X630">
        <f>IF(AND(LEFT(D630,4)+1=LEFT(' Pivot Tables'!$A$4,4)+0,RIGHT(LEFT(D630,7),2)=RIGHT(LEFT(' Pivot Tables'!$A$4,7),2)),1,0)</f>
        <v>0</v>
      </c>
      <c r="Y630" s="6">
        <f>1/COUNTIF(Таблица1[Order ID],Таблица1[[#This Row],[Order ID]])</f>
        <v>1</v>
      </c>
      <c r="Z630" s="9">
        <f>1/COUNTIFS(Таблица1[Customer Name],Таблица1[[#This Row],[Customer Name]],Таблица1[Order-Year-Month],Таблица1[[#This Row],[Order-Year-Month]])</f>
        <v>0.5</v>
      </c>
    </row>
    <row r="631" spans="1:26" x14ac:dyDescent="0.2">
      <c r="A631" s="6">
        <v>4945</v>
      </c>
      <c r="B631" s="7">
        <v>35141</v>
      </c>
      <c r="C631" s="8">
        <f>DATE(2012,12,31)-842</f>
        <v>40432</v>
      </c>
      <c r="D631" s="8" t="str">
        <f t="shared" si="12"/>
        <v>2010-09 (сентябрь 2010)</v>
      </c>
      <c r="E631" s="9" t="s">
        <v>63</v>
      </c>
      <c r="F631" s="7">
        <v>29</v>
      </c>
      <c r="G631" s="7">
        <v>2046.81</v>
      </c>
      <c r="H631" s="7">
        <v>0.02</v>
      </c>
      <c r="I631" s="9" t="s">
        <v>22</v>
      </c>
      <c r="J631" s="10">
        <v>469.27650000000006</v>
      </c>
      <c r="K631" s="11">
        <v>67.28</v>
      </c>
      <c r="L631" s="11">
        <v>19.989999999999998</v>
      </c>
      <c r="M631" s="9" t="s">
        <v>537</v>
      </c>
      <c r="N631" s="6" t="s">
        <v>511</v>
      </c>
      <c r="O631" s="6" t="s">
        <v>512</v>
      </c>
      <c r="P631" s="9" t="s">
        <v>25</v>
      </c>
      <c r="Q631" s="9" t="s">
        <v>26</v>
      </c>
      <c r="R631" s="9" t="s">
        <v>37</v>
      </c>
      <c r="S631" s="7" t="s">
        <v>637</v>
      </c>
      <c r="T631" s="9" t="s">
        <v>39</v>
      </c>
      <c r="U631" s="7">
        <v>0.4</v>
      </c>
      <c r="V631" s="12">
        <f>C631+1</f>
        <v>40433</v>
      </c>
      <c r="W631">
        <f>IF(D631=' Pivot Tables'!$A$4,1,0)</f>
        <v>0</v>
      </c>
      <c r="X631">
        <f>IF(AND(LEFT(D631,4)+1=LEFT(' Pivot Tables'!$A$4,4)+0,RIGHT(LEFT(D631,7),2)=RIGHT(LEFT(' Pivot Tables'!$A$4,7),2)),1,0)</f>
        <v>0</v>
      </c>
      <c r="Y631" s="6">
        <f>1/COUNTIF(Таблица1[Order ID],Таблица1[[#This Row],[Order ID]])</f>
        <v>1</v>
      </c>
      <c r="Z631" s="9">
        <f>1/COUNTIFS(Таблица1[Customer Name],Таблица1[[#This Row],[Customer Name]],Таблица1[Order-Year-Month],Таблица1[[#This Row],[Order-Year-Month]])</f>
        <v>1</v>
      </c>
    </row>
    <row r="632" spans="1:26" x14ac:dyDescent="0.2">
      <c r="A632" s="6">
        <v>4962</v>
      </c>
      <c r="B632" s="7">
        <v>35300</v>
      </c>
      <c r="C632" s="8">
        <f>DATE(2012,12,31)-1035</f>
        <v>40239</v>
      </c>
      <c r="D632" s="8" t="str">
        <f t="shared" si="12"/>
        <v>2010-03 (март 2010)</v>
      </c>
      <c r="E632" s="9" t="s">
        <v>63</v>
      </c>
      <c r="F632" s="7">
        <v>10</v>
      </c>
      <c r="G632" s="7">
        <v>28.81</v>
      </c>
      <c r="H632" s="7">
        <v>0.02</v>
      </c>
      <c r="I632" s="9" t="s">
        <v>22</v>
      </c>
      <c r="J632" s="10">
        <v>7.15</v>
      </c>
      <c r="K632" s="11">
        <v>2.89</v>
      </c>
      <c r="L632" s="11">
        <v>0.49</v>
      </c>
      <c r="M632" s="9" t="s">
        <v>575</v>
      </c>
      <c r="N632" s="6" t="s">
        <v>511</v>
      </c>
      <c r="O632" s="6" t="s">
        <v>512</v>
      </c>
      <c r="P632" s="9" t="s">
        <v>41</v>
      </c>
      <c r="Q632" s="9" t="s">
        <v>26</v>
      </c>
      <c r="R632" s="9" t="s">
        <v>88</v>
      </c>
      <c r="S632" s="7" t="s">
        <v>638</v>
      </c>
      <c r="T632" s="9" t="s">
        <v>39</v>
      </c>
      <c r="U632" s="7">
        <v>0.38</v>
      </c>
      <c r="V632" s="12">
        <f>C632+1</f>
        <v>40240</v>
      </c>
      <c r="W632">
        <f>IF(D632=' Pivot Tables'!$A$4,1,0)</f>
        <v>0</v>
      </c>
      <c r="X632">
        <f>IF(AND(LEFT(D632,4)+1=LEFT(' Pivot Tables'!$A$4,4)+0,RIGHT(LEFT(D632,7),2)=RIGHT(LEFT(' Pivot Tables'!$A$4,7),2)),1,0)</f>
        <v>0</v>
      </c>
      <c r="Y632" s="6">
        <f>1/COUNTIF(Таблица1[Order ID],Таблица1[[#This Row],[Order ID]])</f>
        <v>0.33333333333333331</v>
      </c>
      <c r="Z632" s="9">
        <f>1/COUNTIFS(Таблица1[Customer Name],Таблица1[[#This Row],[Customer Name]],Таблица1[Order-Year-Month],Таблица1[[#This Row],[Order-Year-Month]])</f>
        <v>0.33333333333333331</v>
      </c>
    </row>
    <row r="633" spans="1:26" x14ac:dyDescent="0.2">
      <c r="A633" s="6">
        <v>4963</v>
      </c>
      <c r="B633" s="7">
        <v>35300</v>
      </c>
      <c r="C633" s="8">
        <f>DATE(2012,12,31)-1035</f>
        <v>40239</v>
      </c>
      <c r="D633" s="8" t="str">
        <f t="shared" si="12"/>
        <v>2010-03 (март 2010)</v>
      </c>
      <c r="E633" s="9" t="s">
        <v>63</v>
      </c>
      <c r="F633" s="7">
        <v>35</v>
      </c>
      <c r="G633" s="7">
        <v>1445.6</v>
      </c>
      <c r="H633" s="7">
        <v>0.08</v>
      </c>
      <c r="I633" s="9" t="s">
        <v>22</v>
      </c>
      <c r="J633" s="10">
        <v>126.03</v>
      </c>
      <c r="K633" s="11">
        <v>41.32</v>
      </c>
      <c r="L633" s="11">
        <v>8.66</v>
      </c>
      <c r="M633" s="9" t="s">
        <v>575</v>
      </c>
      <c r="N633" s="6" t="s">
        <v>511</v>
      </c>
      <c r="O633" s="6" t="s">
        <v>512</v>
      </c>
      <c r="P633" s="9" t="s">
        <v>41</v>
      </c>
      <c r="Q633" s="9" t="s">
        <v>49</v>
      </c>
      <c r="R633" s="9" t="s">
        <v>50</v>
      </c>
      <c r="S633" s="7" t="s">
        <v>639</v>
      </c>
      <c r="T633" s="9" t="s">
        <v>48</v>
      </c>
      <c r="U633" s="7">
        <v>0.76</v>
      </c>
      <c r="V633" s="12">
        <f>C633+3</f>
        <v>40242</v>
      </c>
      <c r="W633">
        <f>IF(D633=' Pivot Tables'!$A$4,1,0)</f>
        <v>0</v>
      </c>
      <c r="X633">
        <f>IF(AND(LEFT(D633,4)+1=LEFT(' Pivot Tables'!$A$4,4)+0,RIGHT(LEFT(D633,7),2)=RIGHT(LEFT(' Pivot Tables'!$A$4,7),2)),1,0)</f>
        <v>0</v>
      </c>
      <c r="Y633" s="6">
        <f>1/COUNTIF(Таблица1[Order ID],Таблица1[[#This Row],[Order ID]])</f>
        <v>0.33333333333333331</v>
      </c>
      <c r="Z633" s="9">
        <f>1/COUNTIFS(Таблица1[Customer Name],Таблица1[[#This Row],[Customer Name]],Таблица1[Order-Year-Month],Таблица1[[#This Row],[Order-Year-Month]])</f>
        <v>0.33333333333333331</v>
      </c>
    </row>
    <row r="634" spans="1:26" x14ac:dyDescent="0.2">
      <c r="A634" s="6">
        <v>4964</v>
      </c>
      <c r="B634" s="7">
        <v>35300</v>
      </c>
      <c r="C634" s="8">
        <f>DATE(2012,12,31)-1035</f>
        <v>40239</v>
      </c>
      <c r="D634" s="8" t="str">
        <f t="shared" si="12"/>
        <v>2010-03 (март 2010)</v>
      </c>
      <c r="E634" s="9" t="s">
        <v>63</v>
      </c>
      <c r="F634" s="7">
        <v>13</v>
      </c>
      <c r="G634" s="7">
        <v>119.03</v>
      </c>
      <c r="H634" s="7">
        <v>0.06</v>
      </c>
      <c r="I634" s="9" t="s">
        <v>22</v>
      </c>
      <c r="J634" s="10">
        <v>29.62</v>
      </c>
      <c r="K634" s="11">
        <v>8.9499999999999993</v>
      </c>
      <c r="L634" s="11">
        <v>2.0099999999999998</v>
      </c>
      <c r="M634" s="9" t="s">
        <v>575</v>
      </c>
      <c r="N634" s="6" t="s">
        <v>511</v>
      </c>
      <c r="O634" s="6" t="s">
        <v>512</v>
      </c>
      <c r="P634" s="9" t="s">
        <v>41</v>
      </c>
      <c r="Q634" s="9" t="s">
        <v>26</v>
      </c>
      <c r="R634" s="9" t="s">
        <v>61</v>
      </c>
      <c r="S634" s="7" t="s">
        <v>640</v>
      </c>
      <c r="T634" s="9" t="s">
        <v>68</v>
      </c>
      <c r="U634" s="7">
        <v>0.39</v>
      </c>
      <c r="V634" s="12">
        <f>C634+1</f>
        <v>40240</v>
      </c>
      <c r="W634">
        <f>IF(D634=' Pivot Tables'!$A$4,1,0)</f>
        <v>0</v>
      </c>
      <c r="X634">
        <f>IF(AND(LEFT(D634,4)+1=LEFT(' Pivot Tables'!$A$4,4)+0,RIGHT(LEFT(D634,7),2)=RIGHT(LEFT(' Pivot Tables'!$A$4,7),2)),1,0)</f>
        <v>0</v>
      </c>
      <c r="Y634" s="6">
        <f>1/COUNTIF(Таблица1[Order ID],Таблица1[[#This Row],[Order ID]])</f>
        <v>0.33333333333333331</v>
      </c>
      <c r="Z634" s="9">
        <f>1/COUNTIFS(Таблица1[Customer Name],Таблица1[[#This Row],[Customer Name]],Таблица1[Order-Year-Month],Таблица1[[#This Row],[Order-Year-Month]])</f>
        <v>0.33333333333333331</v>
      </c>
    </row>
    <row r="635" spans="1:26" x14ac:dyDescent="0.2">
      <c r="A635" s="6">
        <v>4996</v>
      </c>
      <c r="B635" s="7">
        <v>35558</v>
      </c>
      <c r="C635" s="8">
        <f>DATE(2012,12,31)-1203</f>
        <v>40071</v>
      </c>
      <c r="D635" s="8" t="str">
        <f t="shared" si="12"/>
        <v>2009-09 (сентябрь 2009)</v>
      </c>
      <c r="E635" s="9" t="s">
        <v>78</v>
      </c>
      <c r="F635" s="7">
        <v>2</v>
      </c>
      <c r="G635" s="7">
        <v>34.880000000000003</v>
      </c>
      <c r="H635" s="7">
        <v>0.09</v>
      </c>
      <c r="I635" s="9" t="s">
        <v>22</v>
      </c>
      <c r="J635" s="10">
        <v>-22.12</v>
      </c>
      <c r="K635" s="11">
        <v>13.79</v>
      </c>
      <c r="L635" s="11">
        <v>8.7799999999999994</v>
      </c>
      <c r="M635" s="9" t="s">
        <v>46</v>
      </c>
      <c r="N635" s="6" t="s">
        <v>511</v>
      </c>
      <c r="O635" s="6" t="s">
        <v>512</v>
      </c>
      <c r="P635" s="9" t="s">
        <v>33</v>
      </c>
      <c r="Q635" s="9" t="s">
        <v>49</v>
      </c>
      <c r="R635" s="9" t="s">
        <v>50</v>
      </c>
      <c r="S635" s="7" t="s">
        <v>641</v>
      </c>
      <c r="T635" s="9" t="s">
        <v>39</v>
      </c>
      <c r="U635" s="7">
        <v>0.43</v>
      </c>
      <c r="V635" s="12">
        <f>C635+2</f>
        <v>40073</v>
      </c>
      <c r="W635">
        <f>IF(D635=' Pivot Tables'!$A$4,1,0)</f>
        <v>0</v>
      </c>
      <c r="X635">
        <f>IF(AND(LEFT(D635,4)+1=LEFT(' Pivot Tables'!$A$4,4)+0,RIGHT(LEFT(D635,7),2)=RIGHT(LEFT(' Pivot Tables'!$A$4,7),2)),1,0)</f>
        <v>0</v>
      </c>
      <c r="Y635" s="6">
        <f>1/COUNTIF(Таблица1[Order ID],Таблица1[[#This Row],[Order ID]])</f>
        <v>1</v>
      </c>
      <c r="Z635" s="9">
        <f>1/COUNTIFS(Таблица1[Customer Name],Таблица1[[#This Row],[Customer Name]],Таблица1[Order-Year-Month],Таблица1[[#This Row],[Order-Year-Month]])</f>
        <v>1</v>
      </c>
    </row>
    <row r="636" spans="1:26" x14ac:dyDescent="0.2">
      <c r="A636" s="6">
        <v>5091</v>
      </c>
      <c r="B636" s="7">
        <v>36293</v>
      </c>
      <c r="C636" s="8">
        <f>DATE(2012,12,31)-732</f>
        <v>40542</v>
      </c>
      <c r="D636" s="8" t="str">
        <f t="shared" si="12"/>
        <v>2010-12 (декабрь 2010)</v>
      </c>
      <c r="E636" s="9" t="s">
        <v>63</v>
      </c>
      <c r="F636" s="7">
        <v>13</v>
      </c>
      <c r="G636" s="7">
        <v>1272.83</v>
      </c>
      <c r="H636" s="7">
        <v>0.04</v>
      </c>
      <c r="I636" s="9" t="s">
        <v>22</v>
      </c>
      <c r="J636" s="10">
        <v>250.47</v>
      </c>
      <c r="K636" s="11">
        <v>100.98</v>
      </c>
      <c r="L636" s="11">
        <v>7.18</v>
      </c>
      <c r="M636" s="9" t="s">
        <v>46</v>
      </c>
      <c r="N636" s="6" t="s">
        <v>511</v>
      </c>
      <c r="O636" s="6" t="s">
        <v>512</v>
      </c>
      <c r="P636" s="9" t="s">
        <v>25</v>
      </c>
      <c r="Q636" s="9" t="s">
        <v>42</v>
      </c>
      <c r="R636" s="9" t="s">
        <v>70</v>
      </c>
      <c r="S636" s="7" t="s">
        <v>642</v>
      </c>
      <c r="T636" s="9" t="s">
        <v>39</v>
      </c>
      <c r="U636" s="7">
        <v>0.4</v>
      </c>
      <c r="V636" s="12">
        <f>C636+11</f>
        <v>40553</v>
      </c>
      <c r="W636">
        <f>IF(D636=' Pivot Tables'!$A$4,1,0)</f>
        <v>0</v>
      </c>
      <c r="X636">
        <f>IF(AND(LEFT(D636,4)+1=LEFT(' Pivot Tables'!$A$4,4)+0,RIGHT(LEFT(D636,7),2)=RIGHT(LEFT(' Pivot Tables'!$A$4,7),2)),1,0)</f>
        <v>0</v>
      </c>
      <c r="Y636" s="6">
        <f>1/COUNTIF(Таблица1[Order ID],Таблица1[[#This Row],[Order ID]])</f>
        <v>0.5</v>
      </c>
      <c r="Z636" s="9">
        <f>1/COUNTIFS(Таблица1[Customer Name],Таблица1[[#This Row],[Customer Name]],Таблица1[Order-Year-Month],Таблица1[[#This Row],[Order-Year-Month]])</f>
        <v>0.5</v>
      </c>
    </row>
    <row r="637" spans="1:26" x14ac:dyDescent="0.2">
      <c r="A637" s="6">
        <v>5092</v>
      </c>
      <c r="B637" s="7">
        <v>36293</v>
      </c>
      <c r="C637" s="8">
        <f>DATE(2012,12,31)-732</f>
        <v>40542</v>
      </c>
      <c r="D637" s="8" t="str">
        <f t="shared" si="12"/>
        <v>2010-12 (декабрь 2010)</v>
      </c>
      <c r="E637" s="9" t="s">
        <v>63</v>
      </c>
      <c r="F637" s="7">
        <v>25</v>
      </c>
      <c r="G637" s="7">
        <v>165.36</v>
      </c>
      <c r="H637" s="7">
        <v>0.09</v>
      </c>
      <c r="I637" s="9" t="s">
        <v>56</v>
      </c>
      <c r="J637" s="10">
        <v>-94.79</v>
      </c>
      <c r="K637" s="11">
        <v>6.48</v>
      </c>
      <c r="L637" s="11">
        <v>7.49</v>
      </c>
      <c r="M637" s="9" t="s">
        <v>46</v>
      </c>
      <c r="N637" s="6" t="s">
        <v>511</v>
      </c>
      <c r="O637" s="6" t="s">
        <v>512</v>
      </c>
      <c r="P637" s="9" t="s">
        <v>25</v>
      </c>
      <c r="Q637" s="9" t="s">
        <v>26</v>
      </c>
      <c r="R637" s="9" t="s">
        <v>61</v>
      </c>
      <c r="S637" s="7" t="s">
        <v>643</v>
      </c>
      <c r="T637" s="9" t="s">
        <v>39</v>
      </c>
      <c r="U637" s="7">
        <v>0.37</v>
      </c>
      <c r="V637" s="12">
        <f>C637+15</f>
        <v>40557</v>
      </c>
      <c r="W637">
        <f>IF(D637=' Pivot Tables'!$A$4,1,0)</f>
        <v>0</v>
      </c>
      <c r="X637">
        <f>IF(AND(LEFT(D637,4)+1=LEFT(' Pivot Tables'!$A$4,4)+0,RIGHT(LEFT(D637,7),2)=RIGHT(LEFT(' Pivot Tables'!$A$4,7),2)),1,0)</f>
        <v>0</v>
      </c>
      <c r="Y637" s="6">
        <f>1/COUNTIF(Таблица1[Order ID],Таблица1[[#This Row],[Order ID]])</f>
        <v>0.5</v>
      </c>
      <c r="Z637" s="9">
        <f>1/COUNTIFS(Таблица1[Customer Name],Таблица1[[#This Row],[Customer Name]],Таблица1[Order-Year-Month],Таблица1[[#This Row],[Order-Year-Month]])</f>
        <v>0.5</v>
      </c>
    </row>
    <row r="638" spans="1:26" x14ac:dyDescent="0.2">
      <c r="A638" s="6">
        <v>5128</v>
      </c>
      <c r="B638" s="7">
        <v>36516</v>
      </c>
      <c r="C638" s="8">
        <f>DATE(2012,12,31)-525</f>
        <v>40749</v>
      </c>
      <c r="D638" s="8" t="str">
        <f t="shared" si="12"/>
        <v>2011-07 (июль 2011)</v>
      </c>
      <c r="E638" s="9" t="s">
        <v>63</v>
      </c>
      <c r="F638" s="7">
        <v>9</v>
      </c>
      <c r="G638" s="7">
        <v>883.37</v>
      </c>
      <c r="H638" s="7">
        <v>0.1</v>
      </c>
      <c r="I638" s="9" t="s">
        <v>22</v>
      </c>
      <c r="J638" s="10">
        <v>51.3</v>
      </c>
      <c r="K638" s="11">
        <v>100.98</v>
      </c>
      <c r="L638" s="11">
        <v>7.18</v>
      </c>
      <c r="M638" s="9" t="s">
        <v>539</v>
      </c>
      <c r="N638" s="6" t="s">
        <v>511</v>
      </c>
      <c r="O638" s="6" t="s">
        <v>512</v>
      </c>
      <c r="P638" s="9" t="s">
        <v>60</v>
      </c>
      <c r="Q638" s="9" t="s">
        <v>42</v>
      </c>
      <c r="R638" s="9" t="s">
        <v>70</v>
      </c>
      <c r="S638" s="7" t="s">
        <v>642</v>
      </c>
      <c r="T638" s="9" t="s">
        <v>39</v>
      </c>
      <c r="U638" s="7">
        <v>0.4</v>
      </c>
      <c r="V638" s="12">
        <f>C638+3</f>
        <v>40752</v>
      </c>
      <c r="W638">
        <f>IF(D638=' Pivot Tables'!$A$4,1,0)</f>
        <v>0</v>
      </c>
      <c r="X638">
        <f>IF(AND(LEFT(D638,4)+1=LEFT(' Pivot Tables'!$A$4,4)+0,RIGHT(LEFT(D638,7),2)=RIGHT(LEFT(' Pivot Tables'!$A$4,7),2)),1,0)</f>
        <v>0</v>
      </c>
      <c r="Y638" s="6">
        <f>1/COUNTIF(Таблица1[Order ID],Таблица1[[#This Row],[Order ID]])</f>
        <v>1</v>
      </c>
      <c r="Z638" s="9">
        <f>1/COUNTIFS(Таблица1[Customer Name],Таблица1[[#This Row],[Customer Name]],Таблица1[Order-Year-Month],Таблица1[[#This Row],[Order-Year-Month]])</f>
        <v>1</v>
      </c>
    </row>
    <row r="639" spans="1:26" x14ac:dyDescent="0.2">
      <c r="A639" s="6">
        <v>5147</v>
      </c>
      <c r="B639" s="7">
        <v>36677</v>
      </c>
      <c r="C639" s="8">
        <f>DATE(2012,12,31)-1104</f>
        <v>40170</v>
      </c>
      <c r="D639" s="8" t="str">
        <f t="shared" si="12"/>
        <v>2009-12 (декабрь 2009)</v>
      </c>
      <c r="E639" s="9" t="s">
        <v>21</v>
      </c>
      <c r="F639" s="7">
        <v>38</v>
      </c>
      <c r="G639" s="7">
        <v>23255.61</v>
      </c>
      <c r="H639" s="7">
        <v>0</v>
      </c>
      <c r="I639" s="9" t="s">
        <v>22</v>
      </c>
      <c r="J639" s="10">
        <v>-734.33</v>
      </c>
      <c r="K639" s="11">
        <v>599.99</v>
      </c>
      <c r="L639" s="11">
        <v>24.49</v>
      </c>
      <c r="M639" s="9" t="s">
        <v>296</v>
      </c>
      <c r="N639" s="6" t="s">
        <v>511</v>
      </c>
      <c r="O639" s="6" t="s">
        <v>512</v>
      </c>
      <c r="P639" s="9" t="s">
        <v>41</v>
      </c>
      <c r="Q639" s="9" t="s">
        <v>42</v>
      </c>
      <c r="R639" s="9" t="s">
        <v>99</v>
      </c>
      <c r="S639" s="7" t="s">
        <v>644</v>
      </c>
      <c r="T639" s="9" t="s">
        <v>29</v>
      </c>
      <c r="U639" s="7">
        <v>0.44</v>
      </c>
      <c r="V639" s="12">
        <f>C639+2</f>
        <v>40172</v>
      </c>
      <c r="W639">
        <f>IF(D639=' Pivot Tables'!$A$4,1,0)</f>
        <v>0</v>
      </c>
      <c r="X639">
        <f>IF(AND(LEFT(D639,4)+1=LEFT(' Pivot Tables'!$A$4,4)+0,RIGHT(LEFT(D639,7),2)=RIGHT(LEFT(' Pivot Tables'!$A$4,7),2)),1,0)</f>
        <v>0</v>
      </c>
      <c r="Y639" s="6">
        <f>1/COUNTIF(Таблица1[Order ID],Таблица1[[#This Row],[Order ID]])</f>
        <v>1</v>
      </c>
      <c r="Z639" s="9">
        <f>1/COUNTIFS(Таблица1[Customer Name],Таблица1[[#This Row],[Customer Name]],Таблица1[Order-Year-Month],Таблица1[[#This Row],[Order-Year-Month]])</f>
        <v>1</v>
      </c>
    </row>
    <row r="640" spans="1:26" x14ac:dyDescent="0.2">
      <c r="A640" s="6">
        <v>5223</v>
      </c>
      <c r="B640" s="7">
        <v>37185</v>
      </c>
      <c r="C640" s="8">
        <f>DATE(2012,12,31)-61</f>
        <v>41213</v>
      </c>
      <c r="D640" s="8" t="str">
        <f t="shared" si="12"/>
        <v>2012-10 (октябрь 2012)</v>
      </c>
      <c r="E640" s="9" t="s">
        <v>30</v>
      </c>
      <c r="F640" s="7">
        <v>8</v>
      </c>
      <c r="G640" s="7">
        <v>23.19</v>
      </c>
      <c r="H640" s="7">
        <v>0.02</v>
      </c>
      <c r="I640" s="9" t="s">
        <v>22</v>
      </c>
      <c r="J640" s="10">
        <v>-13.27</v>
      </c>
      <c r="K640" s="11">
        <v>2.6</v>
      </c>
      <c r="L640" s="11">
        <v>2.4</v>
      </c>
      <c r="M640" s="9" t="s">
        <v>535</v>
      </c>
      <c r="N640" s="6" t="s">
        <v>511</v>
      </c>
      <c r="O640" s="6" t="s">
        <v>512</v>
      </c>
      <c r="P640" s="9" t="s">
        <v>41</v>
      </c>
      <c r="Q640" s="9" t="s">
        <v>26</v>
      </c>
      <c r="R640" s="9" t="s">
        <v>95</v>
      </c>
      <c r="S640" s="7" t="s">
        <v>393</v>
      </c>
      <c r="T640" s="9" t="s">
        <v>68</v>
      </c>
      <c r="U640" s="7">
        <v>0.57999999999999996</v>
      </c>
      <c r="V640" s="12">
        <f>C640+1</f>
        <v>41214</v>
      </c>
      <c r="W640">
        <f>IF(D640=' Pivot Tables'!$A$4,1,0)</f>
        <v>0</v>
      </c>
      <c r="X640">
        <f>IF(AND(LEFT(D640,4)+1=LEFT(' Pivot Tables'!$A$4,4)+0,RIGHT(LEFT(D640,7),2)=RIGHT(LEFT(' Pivot Tables'!$A$4,7),2)),1,0)</f>
        <v>0</v>
      </c>
      <c r="Y640" s="6">
        <f>1/COUNTIF(Таблица1[Order ID],Таблица1[[#This Row],[Order ID]])</f>
        <v>1</v>
      </c>
      <c r="Z640" s="9">
        <f>1/COUNTIFS(Таблица1[Customer Name],Таблица1[[#This Row],[Customer Name]],Таблица1[Order-Year-Month],Таблица1[[#This Row],[Order-Year-Month]])</f>
        <v>1</v>
      </c>
    </row>
    <row r="641" spans="1:26" x14ac:dyDescent="0.2">
      <c r="A641" s="6">
        <v>5329</v>
      </c>
      <c r="B641" s="7">
        <v>37888</v>
      </c>
      <c r="C641" s="8">
        <f>DATE(2012,12,31)-1105</f>
        <v>40169</v>
      </c>
      <c r="D641" s="8" t="str">
        <f t="shared" si="12"/>
        <v>2009-12 (декабрь 2009)</v>
      </c>
      <c r="E641" s="9" t="s">
        <v>78</v>
      </c>
      <c r="F641" s="7">
        <v>31</v>
      </c>
      <c r="G641" s="7">
        <v>639.19000000000005</v>
      </c>
      <c r="H641" s="7">
        <v>0.09</v>
      </c>
      <c r="I641" s="9" t="s">
        <v>22</v>
      </c>
      <c r="J641" s="10">
        <v>274.89850000000001</v>
      </c>
      <c r="K641" s="11">
        <v>20.98</v>
      </c>
      <c r="L641" s="11">
        <v>1.49</v>
      </c>
      <c r="M641" s="9" t="s">
        <v>562</v>
      </c>
      <c r="N641" s="6" t="s">
        <v>511</v>
      </c>
      <c r="O641" s="6" t="s">
        <v>512</v>
      </c>
      <c r="P641" s="9" t="s">
        <v>41</v>
      </c>
      <c r="Q641" s="9" t="s">
        <v>26</v>
      </c>
      <c r="R641" s="9" t="s">
        <v>37</v>
      </c>
      <c r="S641" s="7" t="s">
        <v>645</v>
      </c>
      <c r="T641" s="9" t="s">
        <v>39</v>
      </c>
      <c r="U641" s="7">
        <v>0.35</v>
      </c>
      <c r="V641" s="12">
        <f>C641+2</f>
        <v>40171</v>
      </c>
      <c r="W641">
        <f>IF(D641=' Pivot Tables'!$A$4,1,0)</f>
        <v>0</v>
      </c>
      <c r="X641">
        <f>IF(AND(LEFT(D641,4)+1=LEFT(' Pivot Tables'!$A$4,4)+0,RIGHT(LEFT(D641,7),2)=RIGHT(LEFT(' Pivot Tables'!$A$4,7),2)),1,0)</f>
        <v>0</v>
      </c>
      <c r="Y641" s="6">
        <f>1/COUNTIF(Таблица1[Order ID],Таблица1[[#This Row],[Order ID]])</f>
        <v>1</v>
      </c>
      <c r="Z641" s="9">
        <f>1/COUNTIFS(Таблица1[Customer Name],Таблица1[[#This Row],[Customer Name]],Таблица1[Order-Year-Month],Таблица1[[#This Row],[Order-Year-Month]])</f>
        <v>1</v>
      </c>
    </row>
    <row r="642" spans="1:26" x14ac:dyDescent="0.2">
      <c r="A642" s="6">
        <v>5387</v>
      </c>
      <c r="B642" s="7">
        <v>38310</v>
      </c>
      <c r="C642" s="8">
        <f>DATE(2012,12,31)-261</f>
        <v>41013</v>
      </c>
      <c r="D642" s="8" t="str">
        <f t="shared" si="12"/>
        <v>2012-04 (апрель 2012)</v>
      </c>
      <c r="E642" s="9" t="s">
        <v>30</v>
      </c>
      <c r="F642" s="7">
        <v>4</v>
      </c>
      <c r="G642" s="7">
        <v>62.45</v>
      </c>
      <c r="H642" s="7">
        <v>0.08</v>
      </c>
      <c r="I642" s="9" t="s">
        <v>22</v>
      </c>
      <c r="J642" s="10">
        <v>-141.76</v>
      </c>
      <c r="K642" s="11">
        <v>3.48</v>
      </c>
      <c r="L642" s="11">
        <v>49</v>
      </c>
      <c r="M642" s="9" t="s">
        <v>296</v>
      </c>
      <c r="N642" s="6" t="s">
        <v>511</v>
      </c>
      <c r="O642" s="6" t="s">
        <v>512</v>
      </c>
      <c r="P642" s="9" t="s">
        <v>41</v>
      </c>
      <c r="Q642" s="9" t="s">
        <v>26</v>
      </c>
      <c r="R642" s="9" t="s">
        <v>34</v>
      </c>
      <c r="S642" s="7" t="s">
        <v>646</v>
      </c>
      <c r="T642" s="9" t="s">
        <v>29</v>
      </c>
      <c r="U642" s="7">
        <v>0.59</v>
      </c>
      <c r="V642" s="12">
        <f>C642+3</f>
        <v>41016</v>
      </c>
      <c r="W642">
        <f>IF(D642=' Pivot Tables'!$A$4,1,0)</f>
        <v>0</v>
      </c>
      <c r="X642">
        <f>IF(AND(LEFT(D642,4)+1=LEFT(' Pivot Tables'!$A$4,4)+0,RIGHT(LEFT(D642,7),2)=RIGHT(LEFT(' Pivot Tables'!$A$4,7),2)),1,0)</f>
        <v>0</v>
      </c>
      <c r="Y642" s="6">
        <f>1/COUNTIF(Таблица1[Order ID],Таблица1[[#This Row],[Order ID]])</f>
        <v>1</v>
      </c>
      <c r="Z642" s="9">
        <f>1/COUNTIFS(Таблица1[Customer Name],Таблица1[[#This Row],[Customer Name]],Таблица1[Order-Year-Month],Таблица1[[#This Row],[Order-Year-Month]])</f>
        <v>1</v>
      </c>
    </row>
    <row r="643" spans="1:26" x14ac:dyDescent="0.2">
      <c r="A643" s="6">
        <v>5702</v>
      </c>
      <c r="B643" s="7">
        <v>40327</v>
      </c>
      <c r="C643" s="8">
        <f>DATE(2012,12,31)-598</f>
        <v>40676</v>
      </c>
      <c r="D643" s="8" t="str">
        <f t="shared" ref="D643:D706" si="14">TEXT(C643,"гггг-ММ (ММММ гггг)")</f>
        <v>2011-05 (май 2011)</v>
      </c>
      <c r="E643" s="9" t="s">
        <v>63</v>
      </c>
      <c r="F643" s="7">
        <v>42</v>
      </c>
      <c r="G643" s="7">
        <v>152.55000000000001</v>
      </c>
      <c r="H643" s="7">
        <v>0.06</v>
      </c>
      <c r="I643" s="9" t="s">
        <v>22</v>
      </c>
      <c r="J643" s="10">
        <v>-20.27</v>
      </c>
      <c r="K643" s="11">
        <v>3.69</v>
      </c>
      <c r="L643" s="11">
        <v>2.5</v>
      </c>
      <c r="M643" s="9" t="s">
        <v>542</v>
      </c>
      <c r="N643" s="6" t="s">
        <v>511</v>
      </c>
      <c r="O643" s="6" t="s">
        <v>512</v>
      </c>
      <c r="P643" s="9" t="s">
        <v>41</v>
      </c>
      <c r="Q643" s="9" t="s">
        <v>26</v>
      </c>
      <c r="R643" s="9" t="s">
        <v>76</v>
      </c>
      <c r="S643" s="7" t="s">
        <v>647</v>
      </c>
      <c r="T643" s="9" t="s">
        <v>39</v>
      </c>
      <c r="U643" s="7">
        <v>0.39</v>
      </c>
      <c r="V643" s="12">
        <f>C643+2</f>
        <v>40678</v>
      </c>
      <c r="W643">
        <f>IF(D643=' Pivot Tables'!$A$4,1,0)</f>
        <v>0</v>
      </c>
      <c r="X643">
        <f>IF(AND(LEFT(D643,4)+1=LEFT(' Pivot Tables'!$A$4,4)+0,RIGHT(LEFT(D643,7),2)=RIGHT(LEFT(' Pivot Tables'!$A$4,7),2)),1,0)</f>
        <v>0</v>
      </c>
      <c r="Y643" s="6">
        <f>1/COUNTIF(Таблица1[Order ID],Таблица1[[#This Row],[Order ID]])</f>
        <v>0.5</v>
      </c>
      <c r="Z643" s="9">
        <f>1/COUNTIFS(Таблица1[Customer Name],Таблица1[[#This Row],[Customer Name]],Таблица1[Order-Year-Month],Таблица1[[#This Row],[Order-Year-Month]])</f>
        <v>0.5</v>
      </c>
    </row>
    <row r="644" spans="1:26" x14ac:dyDescent="0.2">
      <c r="A644" s="6">
        <v>5703</v>
      </c>
      <c r="B644" s="7">
        <v>40327</v>
      </c>
      <c r="C644" s="8">
        <f>DATE(2012,12,31)-598</f>
        <v>40676</v>
      </c>
      <c r="D644" s="8" t="str">
        <f t="shared" si="14"/>
        <v>2011-05 (май 2011)</v>
      </c>
      <c r="E644" s="9" t="s">
        <v>63</v>
      </c>
      <c r="F644" s="7">
        <v>36</v>
      </c>
      <c r="G644" s="7">
        <v>152.96</v>
      </c>
      <c r="H644" s="7">
        <v>0.09</v>
      </c>
      <c r="I644" s="9" t="s">
        <v>22</v>
      </c>
      <c r="J644" s="10">
        <v>-123.87</v>
      </c>
      <c r="K644" s="11">
        <v>4.28</v>
      </c>
      <c r="L644" s="11">
        <v>5.74</v>
      </c>
      <c r="M644" s="9" t="s">
        <v>542</v>
      </c>
      <c r="N644" s="6" t="s">
        <v>511</v>
      </c>
      <c r="O644" s="6" t="s">
        <v>512</v>
      </c>
      <c r="P644" s="9" t="s">
        <v>41</v>
      </c>
      <c r="Q644" s="9" t="s">
        <v>26</v>
      </c>
      <c r="R644" s="9" t="s">
        <v>61</v>
      </c>
      <c r="S644" s="7" t="s">
        <v>648</v>
      </c>
      <c r="T644" s="9" t="s">
        <v>39</v>
      </c>
      <c r="U644" s="7">
        <v>0.4</v>
      </c>
      <c r="V644" s="12">
        <f>C644+2</f>
        <v>40678</v>
      </c>
      <c r="W644">
        <f>IF(D644=' Pivot Tables'!$A$4,1,0)</f>
        <v>0</v>
      </c>
      <c r="X644">
        <f>IF(AND(LEFT(D644,4)+1=LEFT(' Pivot Tables'!$A$4,4)+0,RIGHT(LEFT(D644,7),2)=RIGHT(LEFT(' Pivot Tables'!$A$4,7),2)),1,0)</f>
        <v>0</v>
      </c>
      <c r="Y644" s="6">
        <f>1/COUNTIF(Таблица1[Order ID],Таблица1[[#This Row],[Order ID]])</f>
        <v>0.5</v>
      </c>
      <c r="Z644" s="9">
        <f>1/COUNTIFS(Таблица1[Customer Name],Таблица1[[#This Row],[Customer Name]],Таблица1[Order-Year-Month],Таблица1[[#This Row],[Order-Year-Month]])</f>
        <v>0.5</v>
      </c>
    </row>
    <row r="645" spans="1:26" x14ac:dyDescent="0.2">
      <c r="A645" s="6">
        <v>5714</v>
      </c>
      <c r="B645" s="7">
        <v>40480</v>
      </c>
      <c r="C645" s="8">
        <f>DATE(2012,12,31)-390</f>
        <v>40884</v>
      </c>
      <c r="D645" s="8" t="str">
        <f t="shared" si="14"/>
        <v>2011-12 (декабрь 2011)</v>
      </c>
      <c r="E645" s="9" t="s">
        <v>78</v>
      </c>
      <c r="F645" s="7">
        <v>19</v>
      </c>
      <c r="G645" s="7">
        <v>7608.88</v>
      </c>
      <c r="H645" s="7">
        <v>0.06</v>
      </c>
      <c r="I645" s="9" t="s">
        <v>56</v>
      </c>
      <c r="J645" s="10">
        <v>3049.4515000000001</v>
      </c>
      <c r="K645" s="11">
        <v>420.98</v>
      </c>
      <c r="L645" s="11">
        <v>19.989999999999998</v>
      </c>
      <c r="M645" s="9" t="s">
        <v>531</v>
      </c>
      <c r="N645" s="6" t="s">
        <v>511</v>
      </c>
      <c r="O645" s="6" t="s">
        <v>512</v>
      </c>
      <c r="P645" s="9" t="s">
        <v>60</v>
      </c>
      <c r="Q645" s="9" t="s">
        <v>26</v>
      </c>
      <c r="R645" s="9" t="s">
        <v>37</v>
      </c>
      <c r="S645" s="7" t="s">
        <v>607</v>
      </c>
      <c r="T645" s="9" t="s">
        <v>39</v>
      </c>
      <c r="U645" s="7">
        <v>0.35</v>
      </c>
      <c r="V645" s="12">
        <f>C645+0</f>
        <v>40884</v>
      </c>
      <c r="W645">
        <f>IF(D645=' Pivot Tables'!$A$4,1,0)</f>
        <v>0</v>
      </c>
      <c r="X645">
        <f>IF(AND(LEFT(D645,4)+1=LEFT(' Pivot Tables'!$A$4,4)+0,RIGHT(LEFT(D645,7),2)=RIGHT(LEFT(' Pivot Tables'!$A$4,7),2)),1,0)</f>
        <v>0</v>
      </c>
      <c r="Y645" s="6">
        <f>1/COUNTIF(Таблица1[Order ID],Таблица1[[#This Row],[Order ID]])</f>
        <v>0.5</v>
      </c>
      <c r="Z645" s="9">
        <f>1/COUNTIFS(Таблица1[Customer Name],Таблица1[[#This Row],[Customer Name]],Таблица1[Order-Year-Month],Таблица1[[#This Row],[Order-Year-Month]])</f>
        <v>0.5</v>
      </c>
    </row>
    <row r="646" spans="1:26" x14ac:dyDescent="0.2">
      <c r="A646" s="6">
        <v>5715</v>
      </c>
      <c r="B646" s="7">
        <v>40480</v>
      </c>
      <c r="C646" s="8">
        <f>DATE(2012,12,31)-390</f>
        <v>40884</v>
      </c>
      <c r="D646" s="8" t="str">
        <f t="shared" si="14"/>
        <v>2011-12 (декабрь 2011)</v>
      </c>
      <c r="E646" s="9" t="s">
        <v>78</v>
      </c>
      <c r="F646" s="7">
        <v>50</v>
      </c>
      <c r="G646" s="7">
        <v>1270.03</v>
      </c>
      <c r="H646" s="7">
        <v>0.1</v>
      </c>
      <c r="I646" s="9" t="s">
        <v>22</v>
      </c>
      <c r="J646" s="10">
        <v>221.81</v>
      </c>
      <c r="K646" s="11">
        <v>26.48</v>
      </c>
      <c r="L646" s="11">
        <v>6.93</v>
      </c>
      <c r="M646" s="9" t="s">
        <v>531</v>
      </c>
      <c r="N646" s="6" t="s">
        <v>511</v>
      </c>
      <c r="O646" s="6" t="s">
        <v>512</v>
      </c>
      <c r="P646" s="9" t="s">
        <v>60</v>
      </c>
      <c r="Q646" s="9" t="s">
        <v>49</v>
      </c>
      <c r="R646" s="9" t="s">
        <v>50</v>
      </c>
      <c r="S646" s="7" t="s">
        <v>649</v>
      </c>
      <c r="T646" s="9" t="s">
        <v>39</v>
      </c>
      <c r="U646" s="7">
        <v>0.49</v>
      </c>
      <c r="V646" s="12">
        <f>C646+2</f>
        <v>40886</v>
      </c>
      <c r="W646">
        <f>IF(D646=' Pivot Tables'!$A$4,1,0)</f>
        <v>0</v>
      </c>
      <c r="X646">
        <f>IF(AND(LEFT(D646,4)+1=LEFT(' Pivot Tables'!$A$4,4)+0,RIGHT(LEFT(D646,7),2)=RIGHT(LEFT(' Pivot Tables'!$A$4,7),2)),1,0)</f>
        <v>0</v>
      </c>
      <c r="Y646" s="6">
        <f>1/COUNTIF(Таблица1[Order ID],Таблица1[[#This Row],[Order ID]])</f>
        <v>0.5</v>
      </c>
      <c r="Z646" s="9">
        <f>1/COUNTIFS(Таблица1[Customer Name],Таблица1[[#This Row],[Customer Name]],Таблица1[Order-Year-Month],Таблица1[[#This Row],[Order-Year-Month]])</f>
        <v>0.5</v>
      </c>
    </row>
    <row r="647" spans="1:26" x14ac:dyDescent="0.2">
      <c r="A647" s="6">
        <v>5741</v>
      </c>
      <c r="B647" s="7">
        <v>40800</v>
      </c>
      <c r="C647" s="8">
        <f>DATE(2012,12,31)-758</f>
        <v>40516</v>
      </c>
      <c r="D647" s="8" t="str">
        <f t="shared" si="14"/>
        <v>2010-12 (декабрь 2010)</v>
      </c>
      <c r="E647" s="9" t="s">
        <v>45</v>
      </c>
      <c r="F647" s="7">
        <v>18</v>
      </c>
      <c r="G647" s="7">
        <v>101.34</v>
      </c>
      <c r="H647" s="7">
        <v>0.06</v>
      </c>
      <c r="I647" s="9" t="s">
        <v>22</v>
      </c>
      <c r="J647" s="10">
        <v>26.11</v>
      </c>
      <c r="K647" s="11">
        <v>5.68</v>
      </c>
      <c r="L647" s="11">
        <v>1.39</v>
      </c>
      <c r="M647" s="9" t="s">
        <v>650</v>
      </c>
      <c r="N647" s="6" t="s">
        <v>511</v>
      </c>
      <c r="O647" s="6" t="s">
        <v>512</v>
      </c>
      <c r="P647" s="9" t="s">
        <v>41</v>
      </c>
      <c r="Q647" s="9" t="s">
        <v>26</v>
      </c>
      <c r="R647" s="9" t="s">
        <v>76</v>
      </c>
      <c r="S647" s="7" t="s">
        <v>620</v>
      </c>
      <c r="T647" s="9" t="s">
        <v>39</v>
      </c>
      <c r="U647" s="7">
        <v>0.38</v>
      </c>
      <c r="V647" s="12">
        <f>C647+2</f>
        <v>40518</v>
      </c>
      <c r="W647">
        <f>IF(D647=' Pivot Tables'!$A$4,1,0)</f>
        <v>0</v>
      </c>
      <c r="X647">
        <f>IF(AND(LEFT(D647,4)+1=LEFT(' Pivot Tables'!$A$4,4)+0,RIGHT(LEFT(D647,7),2)=RIGHT(LEFT(' Pivot Tables'!$A$4,7),2)),1,0)</f>
        <v>0</v>
      </c>
      <c r="Y647" s="6">
        <f>1/COUNTIF(Таблица1[Order ID],Таблица1[[#This Row],[Order ID]])</f>
        <v>0.5</v>
      </c>
      <c r="Z647" s="9">
        <f>1/COUNTIFS(Таблица1[Customer Name],Таблица1[[#This Row],[Customer Name]],Таблица1[Order-Year-Month],Таблица1[[#This Row],[Order-Year-Month]])</f>
        <v>0.5</v>
      </c>
    </row>
    <row r="648" spans="1:26" x14ac:dyDescent="0.2">
      <c r="A648" s="6">
        <v>5750</v>
      </c>
      <c r="B648" s="7">
        <v>40835</v>
      </c>
      <c r="C648" s="8">
        <f>DATE(2012,12,31)-1133</f>
        <v>40141</v>
      </c>
      <c r="D648" s="8" t="str">
        <f t="shared" si="14"/>
        <v>2009-11 (ноябрь 2009)</v>
      </c>
      <c r="E648" s="9" t="s">
        <v>30</v>
      </c>
      <c r="F648" s="7">
        <v>26</v>
      </c>
      <c r="G648" s="7">
        <v>393.59</v>
      </c>
      <c r="H648" s="7">
        <v>0.06</v>
      </c>
      <c r="I648" s="9" t="s">
        <v>22</v>
      </c>
      <c r="J648" s="10">
        <v>-8.0845000000000002</v>
      </c>
      <c r="K648" s="11">
        <v>15.01</v>
      </c>
      <c r="L648" s="11">
        <v>8.4</v>
      </c>
      <c r="M648" s="9" t="s">
        <v>537</v>
      </c>
      <c r="N648" s="6" t="s">
        <v>511</v>
      </c>
      <c r="O648" s="6" t="s">
        <v>512</v>
      </c>
      <c r="P648" s="9" t="s">
        <v>25</v>
      </c>
      <c r="Q648" s="9" t="s">
        <v>26</v>
      </c>
      <c r="R648" s="9" t="s">
        <v>37</v>
      </c>
      <c r="S648" s="7" t="s">
        <v>443</v>
      </c>
      <c r="T648" s="9" t="s">
        <v>39</v>
      </c>
      <c r="U648" s="7">
        <v>0.39</v>
      </c>
      <c r="V648" s="12">
        <f>C648+2</f>
        <v>40143</v>
      </c>
      <c r="W648">
        <f>IF(D648=' Pivot Tables'!$A$4,1,0)</f>
        <v>0</v>
      </c>
      <c r="X648">
        <f>IF(AND(LEFT(D648,4)+1=LEFT(' Pivot Tables'!$A$4,4)+0,RIGHT(LEFT(D648,7),2)=RIGHT(LEFT(' Pivot Tables'!$A$4,7),2)),1,0)</f>
        <v>0</v>
      </c>
      <c r="Y648" s="6">
        <f>1/COUNTIF(Таблица1[Order ID],Таблица1[[#This Row],[Order ID]])</f>
        <v>0.33333333333333331</v>
      </c>
      <c r="Z648" s="9">
        <f>1/COUNTIFS(Таблица1[Customer Name],Таблица1[[#This Row],[Customer Name]],Таблица1[Order-Year-Month],Таблица1[[#This Row],[Order-Year-Month]])</f>
        <v>0.33333333333333331</v>
      </c>
    </row>
    <row r="649" spans="1:26" x14ac:dyDescent="0.2">
      <c r="A649" s="6">
        <v>5751</v>
      </c>
      <c r="B649" s="7">
        <v>40835</v>
      </c>
      <c r="C649" s="8">
        <f>DATE(2012,12,31)-1133</f>
        <v>40141</v>
      </c>
      <c r="D649" s="8" t="str">
        <f t="shared" si="14"/>
        <v>2009-11 (ноябрь 2009)</v>
      </c>
      <c r="E649" s="9" t="s">
        <v>30</v>
      </c>
      <c r="F649" s="7">
        <v>14</v>
      </c>
      <c r="G649" s="7">
        <v>551.17999999999995</v>
      </c>
      <c r="H649" s="7">
        <v>0.09</v>
      </c>
      <c r="I649" s="9" t="s">
        <v>22</v>
      </c>
      <c r="J649" s="10">
        <v>-326.97000000000003</v>
      </c>
      <c r="K649" s="11">
        <v>40.479999999999997</v>
      </c>
      <c r="L649" s="11">
        <v>19.989999999999998</v>
      </c>
      <c r="M649" s="9" t="s">
        <v>537</v>
      </c>
      <c r="N649" s="6" t="s">
        <v>511</v>
      </c>
      <c r="O649" s="6" t="s">
        <v>512</v>
      </c>
      <c r="P649" s="9" t="s">
        <v>25</v>
      </c>
      <c r="Q649" s="9" t="s">
        <v>42</v>
      </c>
      <c r="R649" s="9" t="s">
        <v>70</v>
      </c>
      <c r="S649" s="7" t="s">
        <v>549</v>
      </c>
      <c r="T649" s="9" t="s">
        <v>39</v>
      </c>
      <c r="U649" s="7">
        <v>0.77</v>
      </c>
      <c r="V649" s="12">
        <f>C649+2</f>
        <v>40143</v>
      </c>
      <c r="W649">
        <f>IF(D649=' Pivot Tables'!$A$4,1,0)</f>
        <v>0</v>
      </c>
      <c r="X649">
        <f>IF(AND(LEFT(D649,4)+1=LEFT(' Pivot Tables'!$A$4,4)+0,RIGHT(LEFT(D649,7),2)=RIGHT(LEFT(' Pivot Tables'!$A$4,7),2)),1,0)</f>
        <v>0</v>
      </c>
      <c r="Y649" s="6">
        <f>1/COUNTIF(Таблица1[Order ID],Таблица1[[#This Row],[Order ID]])</f>
        <v>0.33333333333333331</v>
      </c>
      <c r="Z649" s="9">
        <f>1/COUNTIFS(Таблица1[Customer Name],Таблица1[[#This Row],[Customer Name]],Таблица1[Order-Year-Month],Таблица1[[#This Row],[Order-Year-Month]])</f>
        <v>0.33333333333333331</v>
      </c>
    </row>
    <row r="650" spans="1:26" x14ac:dyDescent="0.2">
      <c r="A650" s="6">
        <v>5752</v>
      </c>
      <c r="B650" s="7">
        <v>40835</v>
      </c>
      <c r="C650" s="8">
        <f>DATE(2012,12,31)-1133</f>
        <v>40141</v>
      </c>
      <c r="D650" s="8" t="str">
        <f t="shared" si="14"/>
        <v>2009-11 (ноябрь 2009)</v>
      </c>
      <c r="E650" s="9" t="s">
        <v>30</v>
      </c>
      <c r="F650" s="7">
        <v>1</v>
      </c>
      <c r="G650" s="7">
        <v>18.73</v>
      </c>
      <c r="H650" s="7">
        <v>0.05</v>
      </c>
      <c r="I650" s="9" t="s">
        <v>22</v>
      </c>
      <c r="J650" s="10">
        <v>-6.68</v>
      </c>
      <c r="K650" s="11">
        <v>12.28</v>
      </c>
      <c r="L650" s="11">
        <v>6.13</v>
      </c>
      <c r="M650" s="9" t="s">
        <v>537</v>
      </c>
      <c r="N650" s="6" t="s">
        <v>511</v>
      </c>
      <c r="O650" s="6" t="s">
        <v>512</v>
      </c>
      <c r="P650" s="9" t="s">
        <v>25</v>
      </c>
      <c r="Q650" s="9" t="s">
        <v>26</v>
      </c>
      <c r="R650" s="9" t="s">
        <v>27</v>
      </c>
      <c r="S650" s="7" t="s">
        <v>275</v>
      </c>
      <c r="T650" s="9" t="s">
        <v>39</v>
      </c>
      <c r="U650" s="7">
        <v>0.56999999999999995</v>
      </c>
      <c r="V650" s="12">
        <f>C650+1</f>
        <v>40142</v>
      </c>
      <c r="W650">
        <f>IF(D650=' Pivot Tables'!$A$4,1,0)</f>
        <v>0</v>
      </c>
      <c r="X650">
        <f>IF(AND(LEFT(D650,4)+1=LEFT(' Pivot Tables'!$A$4,4)+0,RIGHT(LEFT(D650,7),2)=RIGHT(LEFT(' Pivot Tables'!$A$4,7),2)),1,0)</f>
        <v>0</v>
      </c>
      <c r="Y650" s="6">
        <f>1/COUNTIF(Таблица1[Order ID],Таблица1[[#This Row],[Order ID]])</f>
        <v>0.33333333333333331</v>
      </c>
      <c r="Z650" s="9">
        <f>1/COUNTIFS(Таблица1[Customer Name],Таблица1[[#This Row],[Customer Name]],Таблица1[Order-Year-Month],Таблица1[[#This Row],[Order-Year-Month]])</f>
        <v>0.33333333333333331</v>
      </c>
    </row>
    <row r="651" spans="1:26" x14ac:dyDescent="0.2">
      <c r="A651" s="6">
        <v>5759</v>
      </c>
      <c r="B651" s="7">
        <v>40871</v>
      </c>
      <c r="C651" s="8">
        <f>DATE(2012,12,31)-475</f>
        <v>40799</v>
      </c>
      <c r="D651" s="8" t="str">
        <f t="shared" si="14"/>
        <v>2011-09 (сентябрь 2011)</v>
      </c>
      <c r="E651" s="9" t="s">
        <v>45</v>
      </c>
      <c r="F651" s="7">
        <v>32</v>
      </c>
      <c r="G651" s="7">
        <v>294.04000000000002</v>
      </c>
      <c r="H651" s="7">
        <v>0.03</v>
      </c>
      <c r="I651" s="9" t="s">
        <v>22</v>
      </c>
      <c r="J651" s="10">
        <v>-5.5314999999999994</v>
      </c>
      <c r="K651" s="11">
        <v>8.85</v>
      </c>
      <c r="L651" s="11">
        <v>5.6</v>
      </c>
      <c r="M651" s="9" t="s">
        <v>552</v>
      </c>
      <c r="N651" s="6" t="s">
        <v>511</v>
      </c>
      <c r="O651" s="6" t="s">
        <v>512</v>
      </c>
      <c r="P651" s="9" t="s">
        <v>41</v>
      </c>
      <c r="Q651" s="9" t="s">
        <v>26</v>
      </c>
      <c r="R651" s="9" t="s">
        <v>37</v>
      </c>
      <c r="S651" s="7" t="s">
        <v>298</v>
      </c>
      <c r="T651" s="9" t="s">
        <v>39</v>
      </c>
      <c r="U651" s="7">
        <v>0.36</v>
      </c>
      <c r="V651" s="12">
        <f>C651+2</f>
        <v>40801</v>
      </c>
      <c r="W651">
        <f>IF(D651=' Pivot Tables'!$A$4,1,0)</f>
        <v>0</v>
      </c>
      <c r="X651">
        <f>IF(AND(LEFT(D651,4)+1=LEFT(' Pivot Tables'!$A$4,4)+0,RIGHT(LEFT(D651,7),2)=RIGHT(LEFT(' Pivot Tables'!$A$4,7),2)),1,0)</f>
        <v>0</v>
      </c>
      <c r="Y651" s="6">
        <f>1/COUNTIF(Таблица1[Order ID],Таблица1[[#This Row],[Order ID]])</f>
        <v>0.5</v>
      </c>
      <c r="Z651" s="9">
        <f>1/COUNTIFS(Таблица1[Customer Name],Таблица1[[#This Row],[Customer Name]],Таблица1[Order-Year-Month],Таблица1[[#This Row],[Order-Year-Month]])</f>
        <v>0.5</v>
      </c>
    </row>
    <row r="652" spans="1:26" x14ac:dyDescent="0.2">
      <c r="A652" s="6">
        <v>5760</v>
      </c>
      <c r="B652" s="7">
        <v>40871</v>
      </c>
      <c r="C652" s="8">
        <f>DATE(2012,12,31)-475</f>
        <v>40799</v>
      </c>
      <c r="D652" s="8" t="str">
        <f t="shared" si="14"/>
        <v>2011-09 (сентябрь 2011)</v>
      </c>
      <c r="E652" s="9" t="s">
        <v>45</v>
      </c>
      <c r="F652" s="7">
        <v>18</v>
      </c>
      <c r="G652" s="7">
        <v>2022.65</v>
      </c>
      <c r="H652" s="7">
        <v>0.05</v>
      </c>
      <c r="I652" s="9" t="s">
        <v>31</v>
      </c>
      <c r="J652" s="10">
        <v>-157.63</v>
      </c>
      <c r="K652" s="11">
        <v>110.98</v>
      </c>
      <c r="L652" s="11">
        <v>30</v>
      </c>
      <c r="M652" s="9" t="s">
        <v>552</v>
      </c>
      <c r="N652" s="6" t="s">
        <v>511</v>
      </c>
      <c r="O652" s="6" t="s">
        <v>512</v>
      </c>
      <c r="P652" s="9" t="s">
        <v>41</v>
      </c>
      <c r="Q652" s="9" t="s">
        <v>49</v>
      </c>
      <c r="R652" s="9" t="s">
        <v>112</v>
      </c>
      <c r="S652" s="7" t="s">
        <v>651</v>
      </c>
      <c r="T652" s="9" t="s">
        <v>36</v>
      </c>
      <c r="U652" s="7">
        <v>0.71</v>
      </c>
      <c r="V652" s="12">
        <f>C652+2</f>
        <v>40801</v>
      </c>
      <c r="W652">
        <f>IF(D652=' Pivot Tables'!$A$4,1,0)</f>
        <v>0</v>
      </c>
      <c r="X652">
        <f>IF(AND(LEFT(D652,4)+1=LEFT(' Pivot Tables'!$A$4,4)+0,RIGHT(LEFT(D652,7),2)=RIGHT(LEFT(' Pivot Tables'!$A$4,7),2)),1,0)</f>
        <v>0</v>
      </c>
      <c r="Y652" s="6">
        <f>1/COUNTIF(Таблица1[Order ID],Таблица1[[#This Row],[Order ID]])</f>
        <v>0.5</v>
      </c>
      <c r="Z652" s="9">
        <f>1/COUNTIFS(Таблица1[Customer Name],Таблица1[[#This Row],[Customer Name]],Таблица1[Order-Year-Month],Таблица1[[#This Row],[Order-Year-Month]])</f>
        <v>0.5</v>
      </c>
    </row>
    <row r="653" spans="1:26" x14ac:dyDescent="0.2">
      <c r="A653" s="6">
        <v>5857</v>
      </c>
      <c r="B653" s="7">
        <v>41570</v>
      </c>
      <c r="C653" s="8">
        <f>DATE(2012,12,31)-759</f>
        <v>40515</v>
      </c>
      <c r="D653" s="8" t="str">
        <f t="shared" si="14"/>
        <v>2010-12 (декабрь 2010)</v>
      </c>
      <c r="E653" s="9" t="s">
        <v>45</v>
      </c>
      <c r="F653" s="7">
        <v>24</v>
      </c>
      <c r="G653" s="7">
        <v>2289.92</v>
      </c>
      <c r="H653" s="7">
        <v>0.09</v>
      </c>
      <c r="I653" s="9" t="s">
        <v>22</v>
      </c>
      <c r="J653" s="10">
        <v>1037.55</v>
      </c>
      <c r="K653" s="11">
        <v>104.85</v>
      </c>
      <c r="L653" s="11">
        <v>4.6500000000000004</v>
      </c>
      <c r="M653" s="9" t="s">
        <v>531</v>
      </c>
      <c r="N653" s="6" t="s">
        <v>511</v>
      </c>
      <c r="O653" s="6" t="s">
        <v>512</v>
      </c>
      <c r="P653" s="9" t="s">
        <v>33</v>
      </c>
      <c r="Q653" s="9" t="s">
        <v>26</v>
      </c>
      <c r="R653" s="9" t="s">
        <v>61</v>
      </c>
      <c r="S653" s="7" t="s">
        <v>652</v>
      </c>
      <c r="T653" s="9" t="s">
        <v>39</v>
      </c>
      <c r="U653" s="7">
        <v>0.37</v>
      </c>
      <c r="V653" s="12">
        <f>C653+2</f>
        <v>40517</v>
      </c>
      <c r="W653">
        <f>IF(D653=' Pivot Tables'!$A$4,1,0)</f>
        <v>0</v>
      </c>
      <c r="X653">
        <f>IF(AND(LEFT(D653,4)+1=LEFT(' Pivot Tables'!$A$4,4)+0,RIGHT(LEFT(D653,7),2)=RIGHT(LEFT(' Pivot Tables'!$A$4,7),2)),1,0)</f>
        <v>0</v>
      </c>
      <c r="Y653" s="6">
        <f>1/COUNTIF(Таблица1[Order ID],Таблица1[[#This Row],[Order ID]])</f>
        <v>1</v>
      </c>
      <c r="Z653" s="9">
        <f>1/COUNTIFS(Таблица1[Customer Name],Таблица1[[#This Row],[Customer Name]],Таблица1[Order-Year-Month],Таблица1[[#This Row],[Order-Year-Month]])</f>
        <v>0.5</v>
      </c>
    </row>
    <row r="654" spans="1:26" x14ac:dyDescent="0.2">
      <c r="A654" s="6">
        <v>5922</v>
      </c>
      <c r="B654" s="7">
        <v>41991</v>
      </c>
      <c r="C654" s="8">
        <f>DATE(2012,12,31)-379</f>
        <v>40895</v>
      </c>
      <c r="D654" s="8" t="str">
        <f t="shared" si="14"/>
        <v>2011-12 (декабрь 2011)</v>
      </c>
      <c r="E654" s="9" t="s">
        <v>21</v>
      </c>
      <c r="F654" s="7">
        <v>36</v>
      </c>
      <c r="G654" s="7">
        <v>1773.86</v>
      </c>
      <c r="H654" s="7">
        <v>0.06</v>
      </c>
      <c r="I654" s="9" t="s">
        <v>31</v>
      </c>
      <c r="J654" s="10">
        <v>133.30000000000001</v>
      </c>
      <c r="K654" s="11">
        <v>50.98</v>
      </c>
      <c r="L654" s="11">
        <v>14.19</v>
      </c>
      <c r="M654" s="9" t="s">
        <v>622</v>
      </c>
      <c r="N654" s="6" t="s">
        <v>511</v>
      </c>
      <c r="O654" s="6" t="s">
        <v>512</v>
      </c>
      <c r="P654" s="9" t="s">
        <v>41</v>
      </c>
      <c r="Q654" s="9" t="s">
        <v>49</v>
      </c>
      <c r="R654" s="9" t="s">
        <v>112</v>
      </c>
      <c r="S654" s="7" t="s">
        <v>431</v>
      </c>
      <c r="T654" s="9" t="s">
        <v>36</v>
      </c>
      <c r="U654" s="7">
        <v>0.56000000000000005</v>
      </c>
      <c r="V654" s="12">
        <f>C654+5</f>
        <v>40900</v>
      </c>
      <c r="W654">
        <f>IF(D654=' Pivot Tables'!$A$4,1,0)</f>
        <v>0</v>
      </c>
      <c r="X654">
        <f>IF(AND(LEFT(D654,4)+1=LEFT(' Pivot Tables'!$A$4,4)+0,RIGHT(LEFT(D654,7),2)=RIGHT(LEFT(' Pivot Tables'!$A$4,7),2)),1,0)</f>
        <v>0</v>
      </c>
      <c r="Y654" s="6">
        <f>1/COUNTIF(Таблица1[Order ID],Таблица1[[#This Row],[Order ID]])</f>
        <v>0.33333333333333331</v>
      </c>
      <c r="Z654" s="9">
        <f>1/COUNTIFS(Таблица1[Customer Name],Таблица1[[#This Row],[Customer Name]],Таблица1[Order-Year-Month],Таблица1[[#This Row],[Order-Year-Month]])</f>
        <v>0.33333333333333331</v>
      </c>
    </row>
    <row r="655" spans="1:26" x14ac:dyDescent="0.2">
      <c r="A655" s="6">
        <v>5923</v>
      </c>
      <c r="B655" s="7">
        <v>41991</v>
      </c>
      <c r="C655" s="8">
        <f>DATE(2012,12,31)-379</f>
        <v>40895</v>
      </c>
      <c r="D655" s="8" t="str">
        <f t="shared" si="14"/>
        <v>2011-12 (декабрь 2011)</v>
      </c>
      <c r="E655" s="9" t="s">
        <v>21</v>
      </c>
      <c r="F655" s="7">
        <v>35</v>
      </c>
      <c r="G655" s="7">
        <v>543.22</v>
      </c>
      <c r="H655" s="7">
        <v>0</v>
      </c>
      <c r="I655" s="9" t="s">
        <v>22</v>
      </c>
      <c r="J655" s="10">
        <v>68.44</v>
      </c>
      <c r="K655" s="11">
        <v>14.58</v>
      </c>
      <c r="L655" s="11">
        <v>7.4</v>
      </c>
      <c r="M655" s="9" t="s">
        <v>622</v>
      </c>
      <c r="N655" s="6" t="s">
        <v>511</v>
      </c>
      <c r="O655" s="6" t="s">
        <v>512</v>
      </c>
      <c r="P655" s="9" t="s">
        <v>41</v>
      </c>
      <c r="Q655" s="9" t="s">
        <v>49</v>
      </c>
      <c r="R655" s="9" t="s">
        <v>50</v>
      </c>
      <c r="S655" s="7" t="s">
        <v>653</v>
      </c>
      <c r="T655" s="9" t="s">
        <v>39</v>
      </c>
      <c r="U655" s="7">
        <v>0.48</v>
      </c>
      <c r="V655" s="12">
        <f>C655+4</f>
        <v>40899</v>
      </c>
      <c r="W655">
        <f>IF(D655=' Pivot Tables'!$A$4,1,0)</f>
        <v>0</v>
      </c>
      <c r="X655">
        <f>IF(AND(LEFT(D655,4)+1=LEFT(' Pivot Tables'!$A$4,4)+0,RIGHT(LEFT(D655,7),2)=RIGHT(LEFT(' Pivot Tables'!$A$4,7),2)),1,0)</f>
        <v>0</v>
      </c>
      <c r="Y655" s="6">
        <f>1/COUNTIF(Таблица1[Order ID],Таблица1[[#This Row],[Order ID]])</f>
        <v>0.33333333333333331</v>
      </c>
      <c r="Z655" s="9">
        <f>1/COUNTIFS(Таблица1[Customer Name],Таблица1[[#This Row],[Customer Name]],Таблица1[Order-Year-Month],Таблица1[[#This Row],[Order-Year-Month]])</f>
        <v>0.33333333333333331</v>
      </c>
    </row>
    <row r="656" spans="1:26" x14ac:dyDescent="0.2">
      <c r="A656" s="6">
        <v>5924</v>
      </c>
      <c r="B656" s="7">
        <v>41991</v>
      </c>
      <c r="C656" s="8">
        <f>DATE(2012,12,31)-379</f>
        <v>40895</v>
      </c>
      <c r="D656" s="8" t="str">
        <f t="shared" si="14"/>
        <v>2011-12 (декабрь 2011)</v>
      </c>
      <c r="E656" s="9" t="s">
        <v>21</v>
      </c>
      <c r="F656" s="7">
        <v>18</v>
      </c>
      <c r="G656" s="7">
        <v>813.9</v>
      </c>
      <c r="H656" s="7">
        <v>0.06</v>
      </c>
      <c r="I656" s="9" t="s">
        <v>22</v>
      </c>
      <c r="J656" s="10">
        <v>256.66000000000003</v>
      </c>
      <c r="K656" s="11">
        <v>45.98</v>
      </c>
      <c r="L656" s="11">
        <v>4.8</v>
      </c>
      <c r="M656" s="9" t="s">
        <v>622</v>
      </c>
      <c r="N656" s="6" t="s">
        <v>511</v>
      </c>
      <c r="O656" s="6" t="s">
        <v>512</v>
      </c>
      <c r="P656" s="9" t="s">
        <v>41</v>
      </c>
      <c r="Q656" s="9" t="s">
        <v>49</v>
      </c>
      <c r="R656" s="9" t="s">
        <v>50</v>
      </c>
      <c r="S656" s="7" t="s">
        <v>654</v>
      </c>
      <c r="T656" s="9" t="s">
        <v>68</v>
      </c>
      <c r="U656" s="7">
        <v>0.68</v>
      </c>
      <c r="V656" s="12">
        <f>C656+4</f>
        <v>40899</v>
      </c>
      <c r="W656">
        <f>IF(D656=' Pivot Tables'!$A$4,1,0)</f>
        <v>0</v>
      </c>
      <c r="X656">
        <f>IF(AND(LEFT(D656,4)+1=LEFT(' Pivot Tables'!$A$4,4)+0,RIGHT(LEFT(D656,7),2)=RIGHT(LEFT(' Pivot Tables'!$A$4,7),2)),1,0)</f>
        <v>0</v>
      </c>
      <c r="Y656" s="6">
        <f>1/COUNTIF(Таблица1[Order ID],Таблица1[[#This Row],[Order ID]])</f>
        <v>0.33333333333333331</v>
      </c>
      <c r="Z656" s="9">
        <f>1/COUNTIFS(Таблица1[Customer Name],Таблица1[[#This Row],[Customer Name]],Таблица1[Order-Year-Month],Таблица1[[#This Row],[Order-Year-Month]])</f>
        <v>0.33333333333333331</v>
      </c>
    </row>
    <row r="657" spans="1:26" x14ac:dyDescent="0.2">
      <c r="A657" s="6">
        <v>5981</v>
      </c>
      <c r="B657" s="7">
        <v>42400</v>
      </c>
      <c r="C657" s="8">
        <f>DATE(2012,12,31)-144</f>
        <v>41130</v>
      </c>
      <c r="D657" s="8" t="str">
        <f t="shared" si="14"/>
        <v>2012-08 (август 2012)</v>
      </c>
      <c r="E657" s="9" t="s">
        <v>21</v>
      </c>
      <c r="F657" s="7">
        <v>44</v>
      </c>
      <c r="G657" s="7">
        <v>865.27</v>
      </c>
      <c r="H657" s="7">
        <v>0.03</v>
      </c>
      <c r="I657" s="9" t="s">
        <v>22</v>
      </c>
      <c r="J657" s="10">
        <v>11.55</v>
      </c>
      <c r="K657" s="11">
        <v>19.98</v>
      </c>
      <c r="L657" s="11">
        <v>4</v>
      </c>
      <c r="M657" s="9" t="s">
        <v>539</v>
      </c>
      <c r="N657" s="6" t="s">
        <v>511</v>
      </c>
      <c r="O657" s="6" t="s">
        <v>512</v>
      </c>
      <c r="P657" s="9" t="s">
        <v>60</v>
      </c>
      <c r="Q657" s="9" t="s">
        <v>42</v>
      </c>
      <c r="R657" s="9" t="s">
        <v>70</v>
      </c>
      <c r="S657" s="7" t="s">
        <v>655</v>
      </c>
      <c r="T657" s="9" t="s">
        <v>39</v>
      </c>
      <c r="U657" s="7">
        <v>0.68</v>
      </c>
      <c r="V657" s="12">
        <f>C657+2</f>
        <v>41132</v>
      </c>
      <c r="W657">
        <f>IF(D657=' Pivot Tables'!$A$4,1,0)</f>
        <v>0</v>
      </c>
      <c r="X657">
        <f>IF(AND(LEFT(D657,4)+1=LEFT(' Pivot Tables'!$A$4,4)+0,RIGHT(LEFT(D657,7),2)=RIGHT(LEFT(' Pivot Tables'!$A$4,7),2)),1,0)</f>
        <v>0</v>
      </c>
      <c r="Y657" s="6">
        <f>1/COUNTIF(Таблица1[Order ID],Таблица1[[#This Row],[Order ID]])</f>
        <v>0.5</v>
      </c>
      <c r="Z657" s="9">
        <f>1/COUNTIFS(Таблица1[Customer Name],Таблица1[[#This Row],[Customer Name]],Таблица1[Order-Year-Month],Таблица1[[#This Row],[Order-Year-Month]])</f>
        <v>0.5</v>
      </c>
    </row>
    <row r="658" spans="1:26" x14ac:dyDescent="0.2">
      <c r="A658" s="6">
        <v>5982</v>
      </c>
      <c r="B658" s="7">
        <v>42400</v>
      </c>
      <c r="C658" s="8">
        <f>DATE(2012,12,31)-144</f>
        <v>41130</v>
      </c>
      <c r="D658" s="8" t="str">
        <f t="shared" si="14"/>
        <v>2012-08 (август 2012)</v>
      </c>
      <c r="E658" s="9" t="s">
        <v>21</v>
      </c>
      <c r="F658" s="7">
        <v>41</v>
      </c>
      <c r="G658" s="7">
        <v>429.28</v>
      </c>
      <c r="H658" s="7">
        <v>0.06</v>
      </c>
      <c r="I658" s="9" t="s">
        <v>22</v>
      </c>
      <c r="J658" s="10">
        <v>-168.95</v>
      </c>
      <c r="K658" s="11">
        <v>10.97</v>
      </c>
      <c r="L658" s="11">
        <v>6.5</v>
      </c>
      <c r="M658" s="9" t="s">
        <v>539</v>
      </c>
      <c r="N658" s="6" t="s">
        <v>511</v>
      </c>
      <c r="O658" s="6" t="s">
        <v>512</v>
      </c>
      <c r="P658" s="9" t="s">
        <v>60</v>
      </c>
      <c r="Q658" s="9" t="s">
        <v>42</v>
      </c>
      <c r="R658" s="9" t="s">
        <v>70</v>
      </c>
      <c r="S658" s="7" t="s">
        <v>336</v>
      </c>
      <c r="T658" s="9" t="s">
        <v>39</v>
      </c>
      <c r="U658" s="7">
        <v>0.64</v>
      </c>
      <c r="V658" s="12">
        <f>C658+5</f>
        <v>41135</v>
      </c>
      <c r="W658">
        <f>IF(D658=' Pivot Tables'!$A$4,1,0)</f>
        <v>0</v>
      </c>
      <c r="X658">
        <f>IF(AND(LEFT(D658,4)+1=LEFT(' Pivot Tables'!$A$4,4)+0,RIGHT(LEFT(D658,7),2)=RIGHT(LEFT(' Pivot Tables'!$A$4,7),2)),1,0)</f>
        <v>0</v>
      </c>
      <c r="Y658" s="6">
        <f>1/COUNTIF(Таблица1[Order ID],Таблица1[[#This Row],[Order ID]])</f>
        <v>0.5</v>
      </c>
      <c r="Z658" s="9">
        <f>1/COUNTIFS(Таблица1[Customer Name],Таблица1[[#This Row],[Customer Name]],Таблица1[Order-Year-Month],Таблица1[[#This Row],[Order-Year-Month]])</f>
        <v>0.5</v>
      </c>
    </row>
    <row r="659" spans="1:26" x14ac:dyDescent="0.2">
      <c r="A659" s="6">
        <v>6036</v>
      </c>
      <c r="B659" s="7">
        <v>42754</v>
      </c>
      <c r="C659" s="8">
        <f>DATE(2012,12,31)-860</f>
        <v>40414</v>
      </c>
      <c r="D659" s="8" t="str">
        <f t="shared" si="14"/>
        <v>2010-08 (август 2010)</v>
      </c>
      <c r="E659" s="9" t="s">
        <v>78</v>
      </c>
      <c r="F659" s="7">
        <v>31</v>
      </c>
      <c r="G659" s="7">
        <v>341.71</v>
      </c>
      <c r="H659" s="7">
        <v>0.04</v>
      </c>
      <c r="I659" s="9" t="s">
        <v>22</v>
      </c>
      <c r="J659" s="10">
        <v>32.189499999999995</v>
      </c>
      <c r="K659" s="11">
        <v>10.98</v>
      </c>
      <c r="L659" s="11">
        <v>5.14</v>
      </c>
      <c r="M659" s="9" t="s">
        <v>583</v>
      </c>
      <c r="N659" s="6" t="s">
        <v>511</v>
      </c>
      <c r="O659" s="6" t="s">
        <v>512</v>
      </c>
      <c r="P659" s="9" t="s">
        <v>41</v>
      </c>
      <c r="Q659" s="9" t="s">
        <v>26</v>
      </c>
      <c r="R659" s="9" t="s">
        <v>37</v>
      </c>
      <c r="S659" s="7" t="s">
        <v>656</v>
      </c>
      <c r="T659" s="9" t="s">
        <v>39</v>
      </c>
      <c r="U659" s="7">
        <v>0.36</v>
      </c>
      <c r="V659" s="12">
        <f>C659+1</f>
        <v>40415</v>
      </c>
      <c r="W659">
        <f>IF(D659=' Pivot Tables'!$A$4,1,0)</f>
        <v>0</v>
      </c>
      <c r="X659">
        <f>IF(AND(LEFT(D659,4)+1=LEFT(' Pivot Tables'!$A$4,4)+0,RIGHT(LEFT(D659,7),2)=RIGHT(LEFT(' Pivot Tables'!$A$4,7),2)),1,0)</f>
        <v>0</v>
      </c>
      <c r="Y659" s="6">
        <f>1/COUNTIF(Таблица1[Order ID],Таблица1[[#This Row],[Order ID]])</f>
        <v>1</v>
      </c>
      <c r="Z659" s="9">
        <f>1/COUNTIFS(Таблица1[Customer Name],Таблица1[[#This Row],[Customer Name]],Таблица1[Order-Year-Month],Таблица1[[#This Row],[Order-Year-Month]])</f>
        <v>1</v>
      </c>
    </row>
    <row r="660" spans="1:26" x14ac:dyDescent="0.2">
      <c r="A660" s="6">
        <v>6055</v>
      </c>
      <c r="B660" s="7">
        <v>42918</v>
      </c>
      <c r="C660" s="8">
        <f>DATE(2012,12,31)-589</f>
        <v>40685</v>
      </c>
      <c r="D660" s="8" t="str">
        <f t="shared" si="14"/>
        <v>2011-05 (май 2011)</v>
      </c>
      <c r="E660" s="9" t="s">
        <v>30</v>
      </c>
      <c r="F660" s="7">
        <v>46</v>
      </c>
      <c r="G660" s="7">
        <v>648.26</v>
      </c>
      <c r="H660" s="7">
        <v>7.0000000000000007E-2</v>
      </c>
      <c r="I660" s="9" t="s">
        <v>22</v>
      </c>
      <c r="J660" s="10">
        <v>30.481000000000002</v>
      </c>
      <c r="K660" s="11">
        <v>14.27</v>
      </c>
      <c r="L660" s="11">
        <v>7.27</v>
      </c>
      <c r="M660" s="9" t="s">
        <v>657</v>
      </c>
      <c r="N660" s="6" t="s">
        <v>511</v>
      </c>
      <c r="O660" s="6" t="s">
        <v>512</v>
      </c>
      <c r="P660" s="9" t="s">
        <v>41</v>
      </c>
      <c r="Q660" s="9" t="s">
        <v>26</v>
      </c>
      <c r="R660" s="9" t="s">
        <v>37</v>
      </c>
      <c r="S660" s="7" t="s">
        <v>658</v>
      </c>
      <c r="T660" s="9" t="s">
        <v>39</v>
      </c>
      <c r="U660" s="7">
        <v>0.38</v>
      </c>
      <c r="V660" s="12">
        <f>C660+2</f>
        <v>40687</v>
      </c>
      <c r="W660">
        <f>IF(D660=' Pivot Tables'!$A$4,1,0)</f>
        <v>0</v>
      </c>
      <c r="X660">
        <f>IF(AND(LEFT(D660,4)+1=LEFT(' Pivot Tables'!$A$4,4)+0,RIGHT(LEFT(D660,7),2)=RIGHT(LEFT(' Pivot Tables'!$A$4,7),2)),1,0)</f>
        <v>0</v>
      </c>
      <c r="Y660" s="6">
        <f>1/COUNTIF(Таблица1[Order ID],Таблица1[[#This Row],[Order ID]])</f>
        <v>0.33333333333333331</v>
      </c>
      <c r="Z660" s="9">
        <f>1/COUNTIFS(Таблица1[Customer Name],Таблица1[[#This Row],[Customer Name]],Таблица1[Order-Year-Month],Таблица1[[#This Row],[Order-Year-Month]])</f>
        <v>0.33333333333333331</v>
      </c>
    </row>
    <row r="661" spans="1:26" x14ac:dyDescent="0.2">
      <c r="A661" s="6">
        <v>6056</v>
      </c>
      <c r="B661" s="7">
        <v>42918</v>
      </c>
      <c r="C661" s="8">
        <f>DATE(2012,12,31)-589</f>
        <v>40685</v>
      </c>
      <c r="D661" s="8" t="str">
        <f t="shared" si="14"/>
        <v>2011-05 (май 2011)</v>
      </c>
      <c r="E661" s="9" t="s">
        <v>30</v>
      </c>
      <c r="F661" s="7">
        <v>46</v>
      </c>
      <c r="G661" s="7">
        <v>410.43</v>
      </c>
      <c r="H661" s="7">
        <v>0.1</v>
      </c>
      <c r="I661" s="9" t="s">
        <v>22</v>
      </c>
      <c r="J661" s="10">
        <v>-54.583800000000004</v>
      </c>
      <c r="K661" s="11">
        <v>9.49</v>
      </c>
      <c r="L661" s="11">
        <v>5.76</v>
      </c>
      <c r="M661" s="9" t="s">
        <v>657</v>
      </c>
      <c r="N661" s="6" t="s">
        <v>511</v>
      </c>
      <c r="O661" s="6" t="s">
        <v>512</v>
      </c>
      <c r="P661" s="9" t="s">
        <v>41</v>
      </c>
      <c r="Q661" s="9" t="s">
        <v>42</v>
      </c>
      <c r="R661" s="9" t="s">
        <v>210</v>
      </c>
      <c r="S661" s="7" t="s">
        <v>659</v>
      </c>
      <c r="T661" s="9" t="s">
        <v>48</v>
      </c>
      <c r="U661" s="7">
        <v>0.39</v>
      </c>
      <c r="V661" s="12">
        <f>C661+2</f>
        <v>40687</v>
      </c>
      <c r="W661">
        <f>IF(D661=' Pivot Tables'!$A$4,1,0)</f>
        <v>0</v>
      </c>
      <c r="X661">
        <f>IF(AND(LEFT(D661,4)+1=LEFT(' Pivot Tables'!$A$4,4)+0,RIGHT(LEFT(D661,7),2)=RIGHT(LEFT(' Pivot Tables'!$A$4,7),2)),1,0)</f>
        <v>0</v>
      </c>
      <c r="Y661" s="6">
        <f>1/COUNTIF(Таблица1[Order ID],Таблица1[[#This Row],[Order ID]])</f>
        <v>0.33333333333333331</v>
      </c>
      <c r="Z661" s="9">
        <f>1/COUNTIFS(Таблица1[Customer Name],Таблица1[[#This Row],[Customer Name]],Таблица1[Order-Year-Month],Таблица1[[#This Row],[Order-Year-Month]])</f>
        <v>0.33333333333333331</v>
      </c>
    </row>
    <row r="662" spans="1:26" x14ac:dyDescent="0.2">
      <c r="A662" s="6">
        <v>6059</v>
      </c>
      <c r="B662" s="7">
        <v>42944</v>
      </c>
      <c r="C662" s="8">
        <f>DATE(2012,12,31)-43</f>
        <v>41231</v>
      </c>
      <c r="D662" s="8" t="str">
        <f t="shared" si="14"/>
        <v>2012-11 (ноябрь 2012)</v>
      </c>
      <c r="E662" s="9" t="s">
        <v>78</v>
      </c>
      <c r="F662" s="7">
        <v>43</v>
      </c>
      <c r="G662" s="7">
        <v>9750.5499999999993</v>
      </c>
      <c r="H662" s="7">
        <v>0</v>
      </c>
      <c r="I662" s="9" t="s">
        <v>31</v>
      </c>
      <c r="J662" s="10">
        <v>1061.6099999999999</v>
      </c>
      <c r="K662" s="11">
        <v>216.6</v>
      </c>
      <c r="L662" s="11">
        <v>64.2</v>
      </c>
      <c r="M662" s="9" t="s">
        <v>585</v>
      </c>
      <c r="N662" s="6" t="s">
        <v>511</v>
      </c>
      <c r="O662" s="6" t="s">
        <v>512</v>
      </c>
      <c r="P662" s="9" t="s">
        <v>25</v>
      </c>
      <c r="Q662" s="9" t="s">
        <v>49</v>
      </c>
      <c r="R662" s="9" t="s">
        <v>112</v>
      </c>
      <c r="S662" s="7" t="s">
        <v>313</v>
      </c>
      <c r="T662" s="9" t="s">
        <v>36</v>
      </c>
      <c r="U662" s="7">
        <v>0.59</v>
      </c>
      <c r="V662" s="12">
        <f>C662+1</f>
        <v>41232</v>
      </c>
      <c r="W662">
        <f>IF(D662=' Pivot Tables'!$A$4,1,0)</f>
        <v>0</v>
      </c>
      <c r="X662">
        <f>IF(AND(LEFT(D662,4)+1=LEFT(' Pivot Tables'!$A$4,4)+0,RIGHT(LEFT(D662,7),2)=RIGHT(LEFT(' Pivot Tables'!$A$4,7),2)),1,0)</f>
        <v>0</v>
      </c>
      <c r="Y662" s="6">
        <f>1/COUNTIF(Таблица1[Order ID],Таблица1[[#This Row],[Order ID]])</f>
        <v>1</v>
      </c>
      <c r="Z662" s="9">
        <f>1/COUNTIFS(Таблица1[Customer Name],Таблица1[[#This Row],[Customer Name]],Таблица1[Order-Year-Month],Таблица1[[#This Row],[Order-Year-Month]])</f>
        <v>1</v>
      </c>
    </row>
    <row r="663" spans="1:26" x14ac:dyDescent="0.2">
      <c r="A663" s="6">
        <v>6219</v>
      </c>
      <c r="B663" s="7">
        <v>44037</v>
      </c>
      <c r="C663" s="8">
        <f>DATE(2012,12,31)-186</f>
        <v>41088</v>
      </c>
      <c r="D663" s="8" t="str">
        <f t="shared" si="14"/>
        <v>2012-06 (июнь 2012)</v>
      </c>
      <c r="E663" s="9" t="s">
        <v>30</v>
      </c>
      <c r="F663" s="7">
        <v>39</v>
      </c>
      <c r="G663" s="7">
        <v>835.55</v>
      </c>
      <c r="H663" s="7">
        <v>7.0000000000000007E-2</v>
      </c>
      <c r="I663" s="9" t="s">
        <v>22</v>
      </c>
      <c r="J663" s="10">
        <v>326.43</v>
      </c>
      <c r="K663" s="11">
        <v>22.23</v>
      </c>
      <c r="L663" s="11">
        <v>5.08</v>
      </c>
      <c r="M663" s="9" t="s">
        <v>46</v>
      </c>
      <c r="N663" s="6" t="s">
        <v>511</v>
      </c>
      <c r="O663" s="6" t="s">
        <v>512</v>
      </c>
      <c r="P663" s="9" t="s">
        <v>33</v>
      </c>
      <c r="Q663" s="9" t="s">
        <v>49</v>
      </c>
      <c r="R663" s="9" t="s">
        <v>50</v>
      </c>
      <c r="S663" s="7" t="s">
        <v>660</v>
      </c>
      <c r="T663" s="9" t="s">
        <v>52</v>
      </c>
      <c r="U663" s="7">
        <v>0.41</v>
      </c>
      <c r="V663" s="12">
        <f>C663+2</f>
        <v>41090</v>
      </c>
      <c r="W663">
        <f>IF(D663=' Pivot Tables'!$A$4,1,0)</f>
        <v>0</v>
      </c>
      <c r="X663">
        <f>IF(AND(LEFT(D663,4)+1=LEFT(' Pivot Tables'!$A$4,4)+0,RIGHT(LEFT(D663,7),2)=RIGHT(LEFT(' Pivot Tables'!$A$4,7),2)),1,0)</f>
        <v>0</v>
      </c>
      <c r="Y663" s="6">
        <f>1/COUNTIF(Таблица1[Order ID],Таблица1[[#This Row],[Order ID]])</f>
        <v>0.5</v>
      </c>
      <c r="Z663" s="9">
        <f>1/COUNTIFS(Таблица1[Customer Name],Таблица1[[#This Row],[Customer Name]],Таблица1[Order-Year-Month],Таблица1[[#This Row],[Order-Year-Month]])</f>
        <v>0.5</v>
      </c>
    </row>
    <row r="664" spans="1:26" x14ac:dyDescent="0.2">
      <c r="A664" s="6">
        <v>6220</v>
      </c>
      <c r="B664" s="7">
        <v>44037</v>
      </c>
      <c r="C664" s="8">
        <f>DATE(2012,12,31)-186</f>
        <v>41088</v>
      </c>
      <c r="D664" s="8" t="str">
        <f t="shared" si="14"/>
        <v>2012-06 (июнь 2012)</v>
      </c>
      <c r="E664" s="9" t="s">
        <v>30</v>
      </c>
      <c r="F664" s="7">
        <v>38</v>
      </c>
      <c r="G664" s="7">
        <v>1799.6115</v>
      </c>
      <c r="H664" s="7">
        <v>7.0000000000000007E-2</v>
      </c>
      <c r="I664" s="9" t="s">
        <v>22</v>
      </c>
      <c r="J664" s="10">
        <v>557.59500000000003</v>
      </c>
      <c r="K664" s="11">
        <v>55.99</v>
      </c>
      <c r="L664" s="11">
        <v>1.25</v>
      </c>
      <c r="M664" s="9" t="s">
        <v>46</v>
      </c>
      <c r="N664" s="6" t="s">
        <v>511</v>
      </c>
      <c r="O664" s="6" t="s">
        <v>512</v>
      </c>
      <c r="P664" s="9" t="s">
        <v>33</v>
      </c>
      <c r="Q664" s="9" t="s">
        <v>42</v>
      </c>
      <c r="R664" s="9" t="s">
        <v>43</v>
      </c>
      <c r="S664" s="7" t="s">
        <v>661</v>
      </c>
      <c r="T664" s="9" t="s">
        <v>52</v>
      </c>
      <c r="U664" s="7">
        <v>0.55000000000000004</v>
      </c>
      <c r="V664" s="12">
        <f>C664+2</f>
        <v>41090</v>
      </c>
      <c r="W664">
        <f>IF(D664=' Pivot Tables'!$A$4,1,0)</f>
        <v>0</v>
      </c>
      <c r="X664">
        <f>IF(AND(LEFT(D664,4)+1=LEFT(' Pivot Tables'!$A$4,4)+0,RIGHT(LEFT(D664,7),2)=RIGHT(LEFT(' Pivot Tables'!$A$4,7),2)),1,0)</f>
        <v>0</v>
      </c>
      <c r="Y664" s="6">
        <f>1/COUNTIF(Таблица1[Order ID],Таблица1[[#This Row],[Order ID]])</f>
        <v>0.5</v>
      </c>
      <c r="Z664" s="9">
        <f>1/COUNTIFS(Таблица1[Customer Name],Таблица1[[#This Row],[Customer Name]],Таблица1[Order-Year-Month],Таблица1[[#This Row],[Order-Year-Month]])</f>
        <v>0.5</v>
      </c>
    </row>
    <row r="665" spans="1:26" x14ac:dyDescent="0.2">
      <c r="A665" s="6">
        <v>6270</v>
      </c>
      <c r="B665" s="7">
        <v>44387</v>
      </c>
      <c r="C665" s="8">
        <f>DATE(2012,12,31)-1426</f>
        <v>39848</v>
      </c>
      <c r="D665" s="8" t="str">
        <f t="shared" si="14"/>
        <v>2009-02 (февраль 2009)</v>
      </c>
      <c r="E665" s="9" t="s">
        <v>21</v>
      </c>
      <c r="F665" s="7">
        <v>50</v>
      </c>
      <c r="G665" s="7">
        <v>1441.57</v>
      </c>
      <c r="H665" s="7">
        <v>7.0000000000000007E-2</v>
      </c>
      <c r="I665" s="9" t="s">
        <v>56</v>
      </c>
      <c r="J665" s="10">
        <v>475.26</v>
      </c>
      <c r="K665" s="11">
        <v>29.89</v>
      </c>
      <c r="L665" s="11">
        <v>1.99</v>
      </c>
      <c r="M665" s="9" t="s">
        <v>542</v>
      </c>
      <c r="N665" s="6" t="s">
        <v>511</v>
      </c>
      <c r="O665" s="6" t="s">
        <v>512</v>
      </c>
      <c r="P665" s="9" t="s">
        <v>41</v>
      </c>
      <c r="Q665" s="9" t="s">
        <v>42</v>
      </c>
      <c r="R665" s="9" t="s">
        <v>70</v>
      </c>
      <c r="S665" s="7" t="s">
        <v>547</v>
      </c>
      <c r="T665" s="9" t="s">
        <v>52</v>
      </c>
      <c r="U665" s="7">
        <v>0.5</v>
      </c>
      <c r="V665" s="12">
        <f>C665+5</f>
        <v>39853</v>
      </c>
      <c r="W665">
        <f>IF(D665=' Pivot Tables'!$A$4,1,0)</f>
        <v>0</v>
      </c>
      <c r="X665">
        <f>IF(AND(LEFT(D665,4)+1=LEFT(' Pivot Tables'!$A$4,4)+0,RIGHT(LEFT(D665,7),2)=RIGHT(LEFT(' Pivot Tables'!$A$4,7),2)),1,0)</f>
        <v>0</v>
      </c>
      <c r="Y665" s="6">
        <f>1/COUNTIF(Таблица1[Order ID],Таблица1[[#This Row],[Order ID]])</f>
        <v>0.5</v>
      </c>
      <c r="Z665" s="9">
        <f>1/COUNTIFS(Таблица1[Customer Name],Таблица1[[#This Row],[Customer Name]],Таблица1[Order-Year-Month],Таблица1[[#This Row],[Order-Year-Month]])</f>
        <v>0.2</v>
      </c>
    </row>
    <row r="666" spans="1:26" x14ac:dyDescent="0.2">
      <c r="A666" s="6">
        <v>6271</v>
      </c>
      <c r="B666" s="7">
        <v>44387</v>
      </c>
      <c r="C666" s="8">
        <f>DATE(2012,12,31)-1426</f>
        <v>39848</v>
      </c>
      <c r="D666" s="8" t="str">
        <f t="shared" si="14"/>
        <v>2009-02 (февраль 2009)</v>
      </c>
      <c r="E666" s="9" t="s">
        <v>21</v>
      </c>
      <c r="F666" s="7">
        <v>20</v>
      </c>
      <c r="G666" s="7">
        <v>173.09</v>
      </c>
      <c r="H666" s="7">
        <v>0.03</v>
      </c>
      <c r="I666" s="9" t="s">
        <v>22</v>
      </c>
      <c r="J666" s="10">
        <v>-6.71</v>
      </c>
      <c r="K666" s="11">
        <v>8.34</v>
      </c>
      <c r="L666" s="11">
        <v>4.82</v>
      </c>
      <c r="M666" s="9" t="s">
        <v>542</v>
      </c>
      <c r="N666" s="6" t="s">
        <v>511</v>
      </c>
      <c r="O666" s="6" t="s">
        <v>512</v>
      </c>
      <c r="P666" s="9" t="s">
        <v>41</v>
      </c>
      <c r="Q666" s="9" t="s">
        <v>26</v>
      </c>
      <c r="R666" s="9" t="s">
        <v>61</v>
      </c>
      <c r="S666" s="7" t="s">
        <v>662</v>
      </c>
      <c r="T666" s="9" t="s">
        <v>39</v>
      </c>
      <c r="U666" s="7">
        <v>0.4</v>
      </c>
      <c r="V666" s="12">
        <f>C666+4</f>
        <v>39852</v>
      </c>
      <c r="W666">
        <f>IF(D666=' Pivot Tables'!$A$4,1,0)</f>
        <v>0</v>
      </c>
      <c r="X666">
        <f>IF(AND(LEFT(D666,4)+1=LEFT(' Pivot Tables'!$A$4,4)+0,RIGHT(LEFT(D666,7),2)=RIGHT(LEFT(' Pivot Tables'!$A$4,7),2)),1,0)</f>
        <v>0</v>
      </c>
      <c r="Y666" s="6">
        <f>1/COUNTIF(Таблица1[Order ID],Таблица1[[#This Row],[Order ID]])</f>
        <v>0.5</v>
      </c>
      <c r="Z666" s="9">
        <f>1/COUNTIFS(Таблица1[Customer Name],Таблица1[[#This Row],[Customer Name]],Таблица1[Order-Year-Month],Таблица1[[#This Row],[Order-Year-Month]])</f>
        <v>0.2</v>
      </c>
    </row>
    <row r="667" spans="1:26" x14ac:dyDescent="0.2">
      <c r="A667" s="6">
        <v>6295</v>
      </c>
      <c r="B667" s="7">
        <v>44576</v>
      </c>
      <c r="C667" s="8">
        <f>DATE(2012,12,31)-1102</f>
        <v>40172</v>
      </c>
      <c r="D667" s="8" t="str">
        <f t="shared" si="14"/>
        <v>2009-12 (декабрь 2009)</v>
      </c>
      <c r="E667" s="9" t="s">
        <v>45</v>
      </c>
      <c r="F667" s="7">
        <v>38</v>
      </c>
      <c r="G667" s="7">
        <v>5016.25</v>
      </c>
      <c r="H667" s="7">
        <v>0.01</v>
      </c>
      <c r="I667" s="9" t="s">
        <v>31</v>
      </c>
      <c r="J667" s="10">
        <v>-189.34929</v>
      </c>
      <c r="K667" s="11">
        <v>124.49</v>
      </c>
      <c r="L667" s="11">
        <v>51.94</v>
      </c>
      <c r="M667" s="9" t="s">
        <v>568</v>
      </c>
      <c r="N667" s="6" t="s">
        <v>511</v>
      </c>
      <c r="O667" s="6" t="s">
        <v>512</v>
      </c>
      <c r="P667" s="9" t="s">
        <v>25</v>
      </c>
      <c r="Q667" s="9" t="s">
        <v>49</v>
      </c>
      <c r="R667" s="9" t="s">
        <v>83</v>
      </c>
      <c r="S667" s="7" t="s">
        <v>432</v>
      </c>
      <c r="T667" s="9" t="s">
        <v>82</v>
      </c>
      <c r="U667" s="7">
        <v>0.63</v>
      </c>
      <c r="V667" s="12">
        <f>C667+1</f>
        <v>40173</v>
      </c>
      <c r="W667">
        <f>IF(D667=' Pivot Tables'!$A$4,1,0)</f>
        <v>0</v>
      </c>
      <c r="X667">
        <f>IF(AND(LEFT(D667,4)+1=LEFT(' Pivot Tables'!$A$4,4)+0,RIGHT(LEFT(D667,7),2)=RIGHT(LEFT(' Pivot Tables'!$A$4,7),2)),1,0)</f>
        <v>0</v>
      </c>
      <c r="Y667" s="6">
        <f>1/COUNTIF(Таблица1[Order ID],Таблица1[[#This Row],[Order ID]])</f>
        <v>0.5</v>
      </c>
      <c r="Z667" s="9">
        <f>1/COUNTIFS(Таблица1[Customer Name],Таблица1[[#This Row],[Customer Name]],Таблица1[Order-Year-Month],Таблица1[[#This Row],[Order-Year-Month]])</f>
        <v>0.5</v>
      </c>
    </row>
    <row r="668" spans="1:26" x14ac:dyDescent="0.2">
      <c r="A668" s="6">
        <v>6417</v>
      </c>
      <c r="B668" s="7">
        <v>45601</v>
      </c>
      <c r="C668" s="8">
        <f>DATE(2012,12,31)-462</f>
        <v>40812</v>
      </c>
      <c r="D668" s="8" t="str">
        <f t="shared" si="14"/>
        <v>2011-09 (сентябрь 2011)</v>
      </c>
      <c r="E668" s="9" t="s">
        <v>30</v>
      </c>
      <c r="F668" s="7">
        <v>47</v>
      </c>
      <c r="G668" s="7">
        <v>945.03</v>
      </c>
      <c r="H668" s="7">
        <v>0</v>
      </c>
      <c r="I668" s="9" t="s">
        <v>22</v>
      </c>
      <c r="J668" s="10">
        <v>267.64</v>
      </c>
      <c r="K668" s="11">
        <v>19.98</v>
      </c>
      <c r="L668" s="11">
        <v>5.97</v>
      </c>
      <c r="M668" s="9" t="s">
        <v>575</v>
      </c>
      <c r="N668" s="6" t="s">
        <v>511</v>
      </c>
      <c r="O668" s="6" t="s">
        <v>512</v>
      </c>
      <c r="P668" s="9" t="s">
        <v>41</v>
      </c>
      <c r="Q668" s="9" t="s">
        <v>26</v>
      </c>
      <c r="R668" s="9" t="s">
        <v>61</v>
      </c>
      <c r="S668" s="7" t="s">
        <v>169</v>
      </c>
      <c r="T668" s="9" t="s">
        <v>39</v>
      </c>
      <c r="U668" s="7">
        <v>0.38</v>
      </c>
      <c r="V668" s="12">
        <f>C668+2</f>
        <v>40814</v>
      </c>
      <c r="W668">
        <f>IF(D668=' Pivot Tables'!$A$4,1,0)</f>
        <v>0</v>
      </c>
      <c r="X668">
        <f>IF(AND(LEFT(D668,4)+1=LEFT(' Pivot Tables'!$A$4,4)+0,RIGHT(LEFT(D668,7),2)=RIGHT(LEFT(' Pivot Tables'!$A$4,7),2)),1,0)</f>
        <v>0</v>
      </c>
      <c r="Y668" s="6">
        <f>1/COUNTIF(Таблица1[Order ID],Таблица1[[#This Row],[Order ID]])</f>
        <v>1</v>
      </c>
      <c r="Z668" s="9">
        <f>1/COUNTIFS(Таблица1[Customer Name],Таблица1[[#This Row],[Customer Name]],Таблица1[Order-Year-Month],Таблица1[[#This Row],[Order-Year-Month]])</f>
        <v>1</v>
      </c>
    </row>
    <row r="669" spans="1:26" x14ac:dyDescent="0.2">
      <c r="A669" s="6">
        <v>6419</v>
      </c>
      <c r="B669" s="7">
        <v>45606</v>
      </c>
      <c r="C669" s="8">
        <f>DATE(2012,12,31)-466</f>
        <v>40808</v>
      </c>
      <c r="D669" s="8" t="str">
        <f t="shared" si="14"/>
        <v>2011-09 (сентябрь 2011)</v>
      </c>
      <c r="E669" s="9" t="s">
        <v>63</v>
      </c>
      <c r="F669" s="7">
        <v>38</v>
      </c>
      <c r="G669" s="7">
        <v>325.75</v>
      </c>
      <c r="H669" s="7">
        <v>0.1</v>
      </c>
      <c r="I669" s="9" t="s">
        <v>22</v>
      </c>
      <c r="J669" s="10">
        <v>-124.25</v>
      </c>
      <c r="K669" s="11">
        <v>8.75</v>
      </c>
      <c r="L669" s="11">
        <v>8.5399999999999991</v>
      </c>
      <c r="M669" s="9" t="s">
        <v>650</v>
      </c>
      <c r="N669" s="6" t="s">
        <v>511</v>
      </c>
      <c r="O669" s="6" t="s">
        <v>512</v>
      </c>
      <c r="P669" s="9" t="s">
        <v>41</v>
      </c>
      <c r="Q669" s="9" t="s">
        <v>49</v>
      </c>
      <c r="R669" s="9" t="s">
        <v>50</v>
      </c>
      <c r="S669" s="7" t="s">
        <v>663</v>
      </c>
      <c r="T669" s="9" t="s">
        <v>52</v>
      </c>
      <c r="U669" s="7">
        <v>0.43</v>
      </c>
      <c r="V669" s="12">
        <f>C669+2</f>
        <v>40810</v>
      </c>
      <c r="W669">
        <f>IF(D669=' Pivot Tables'!$A$4,1,0)</f>
        <v>0</v>
      </c>
      <c r="X669">
        <f>IF(AND(LEFT(D669,4)+1=LEFT(' Pivot Tables'!$A$4,4)+0,RIGHT(LEFT(D669,7),2)=RIGHT(LEFT(' Pivot Tables'!$A$4,7),2)),1,0)</f>
        <v>0</v>
      </c>
      <c r="Y669" s="6">
        <f>1/COUNTIF(Таблица1[Order ID],Таблица1[[#This Row],[Order ID]])</f>
        <v>0.5</v>
      </c>
      <c r="Z669" s="9">
        <f>1/COUNTIFS(Таблица1[Customer Name],Таблица1[[#This Row],[Customer Name]],Таблица1[Order-Year-Month],Таблица1[[#This Row],[Order-Year-Month]])</f>
        <v>0.5</v>
      </c>
    </row>
    <row r="670" spans="1:26" x14ac:dyDescent="0.2">
      <c r="A670" s="6">
        <v>6420</v>
      </c>
      <c r="B670" s="7">
        <v>45606</v>
      </c>
      <c r="C670" s="8">
        <f>DATE(2012,12,31)-466</f>
        <v>40808</v>
      </c>
      <c r="D670" s="8" t="str">
        <f t="shared" si="14"/>
        <v>2011-09 (сентябрь 2011)</v>
      </c>
      <c r="E670" s="9" t="s">
        <v>63</v>
      </c>
      <c r="F670" s="7">
        <v>24</v>
      </c>
      <c r="G670" s="7">
        <v>136.41999999999999</v>
      </c>
      <c r="H670" s="7">
        <v>0.09</v>
      </c>
      <c r="I670" s="9" t="s">
        <v>22</v>
      </c>
      <c r="J670" s="10">
        <v>-8.3800000000000008</v>
      </c>
      <c r="K670" s="11">
        <v>5.85</v>
      </c>
      <c r="L670" s="11">
        <v>2.27</v>
      </c>
      <c r="M670" s="9" t="s">
        <v>650</v>
      </c>
      <c r="N670" s="6" t="s">
        <v>511</v>
      </c>
      <c r="O670" s="6" t="s">
        <v>512</v>
      </c>
      <c r="P670" s="9" t="s">
        <v>41</v>
      </c>
      <c r="Q670" s="9" t="s">
        <v>26</v>
      </c>
      <c r="R670" s="9" t="s">
        <v>95</v>
      </c>
      <c r="S670" s="7" t="s">
        <v>463</v>
      </c>
      <c r="T670" s="9" t="s">
        <v>68</v>
      </c>
      <c r="U670" s="7">
        <v>0.56000000000000005</v>
      </c>
      <c r="V670" s="12">
        <f>C670+1</f>
        <v>40809</v>
      </c>
      <c r="W670">
        <f>IF(D670=' Pivot Tables'!$A$4,1,0)</f>
        <v>0</v>
      </c>
      <c r="X670">
        <f>IF(AND(LEFT(D670,4)+1=LEFT(' Pivot Tables'!$A$4,4)+0,RIGHT(LEFT(D670,7),2)=RIGHT(LEFT(' Pivot Tables'!$A$4,7),2)),1,0)</f>
        <v>0</v>
      </c>
      <c r="Y670" s="6">
        <f>1/COUNTIF(Таблица1[Order ID],Таблица1[[#This Row],[Order ID]])</f>
        <v>0.5</v>
      </c>
      <c r="Z670" s="9">
        <f>1/COUNTIFS(Таблица1[Customer Name],Таблица1[[#This Row],[Customer Name]],Таблица1[Order-Year-Month],Таблица1[[#This Row],[Order-Year-Month]])</f>
        <v>0.5</v>
      </c>
    </row>
    <row r="671" spans="1:26" x14ac:dyDescent="0.2">
      <c r="A671" s="6">
        <v>6480</v>
      </c>
      <c r="B671" s="7">
        <v>46119</v>
      </c>
      <c r="C671" s="8">
        <f>DATE(2012,12,31)-1415</f>
        <v>39859</v>
      </c>
      <c r="D671" s="8" t="str">
        <f t="shared" si="14"/>
        <v>2009-02 (февраль 2009)</v>
      </c>
      <c r="E671" s="9" t="s">
        <v>78</v>
      </c>
      <c r="F671" s="7">
        <v>23</v>
      </c>
      <c r="G671" s="7">
        <v>93.05</v>
      </c>
      <c r="H671" s="7">
        <v>0.03</v>
      </c>
      <c r="I671" s="9" t="s">
        <v>22</v>
      </c>
      <c r="J671" s="10">
        <v>15.2745</v>
      </c>
      <c r="K671" s="11">
        <v>3.8</v>
      </c>
      <c r="L671" s="11">
        <v>1.49</v>
      </c>
      <c r="M671" s="9" t="s">
        <v>46</v>
      </c>
      <c r="N671" s="6" t="s">
        <v>511</v>
      </c>
      <c r="O671" s="6" t="s">
        <v>512</v>
      </c>
      <c r="P671" s="9" t="s">
        <v>33</v>
      </c>
      <c r="Q671" s="9" t="s">
        <v>26</v>
      </c>
      <c r="R671" s="9" t="s">
        <v>37</v>
      </c>
      <c r="S671" s="7" t="s">
        <v>269</v>
      </c>
      <c r="T671" s="9" t="s">
        <v>39</v>
      </c>
      <c r="U671" s="7">
        <v>0.38</v>
      </c>
      <c r="V671" s="12">
        <f>C671+2</f>
        <v>39861</v>
      </c>
      <c r="W671">
        <f>IF(D671=' Pivot Tables'!$A$4,1,0)</f>
        <v>0</v>
      </c>
      <c r="X671">
        <f>IF(AND(LEFT(D671,4)+1=LEFT(' Pivot Tables'!$A$4,4)+0,RIGHT(LEFT(D671,7),2)=RIGHT(LEFT(' Pivot Tables'!$A$4,7),2)),1,0)</f>
        <v>0</v>
      </c>
      <c r="Y671" s="6">
        <f>1/COUNTIF(Таблица1[Order ID],Таблица1[[#This Row],[Order ID]])</f>
        <v>0.33333333333333331</v>
      </c>
      <c r="Z671" s="9">
        <f>1/COUNTIFS(Таблица1[Customer Name],Таблица1[[#This Row],[Customer Name]],Таблица1[Order-Year-Month],Таблица1[[#This Row],[Order-Year-Month]])</f>
        <v>0.33333333333333331</v>
      </c>
    </row>
    <row r="672" spans="1:26" x14ac:dyDescent="0.2">
      <c r="A672" s="6">
        <v>6481</v>
      </c>
      <c r="B672" s="7">
        <v>46119</v>
      </c>
      <c r="C672" s="8">
        <f>DATE(2012,12,31)-1415</f>
        <v>39859</v>
      </c>
      <c r="D672" s="8" t="str">
        <f t="shared" si="14"/>
        <v>2009-02 (февраль 2009)</v>
      </c>
      <c r="E672" s="9" t="s">
        <v>78</v>
      </c>
      <c r="F672" s="7">
        <v>20</v>
      </c>
      <c r="G672" s="7">
        <v>154.13</v>
      </c>
      <c r="H672" s="7">
        <v>7.0000000000000007E-2</v>
      </c>
      <c r="I672" s="9" t="s">
        <v>22</v>
      </c>
      <c r="J672" s="10">
        <v>57.31</v>
      </c>
      <c r="K672" s="11">
        <v>7.98</v>
      </c>
      <c r="L672" s="11">
        <v>1.25</v>
      </c>
      <c r="M672" s="9" t="s">
        <v>46</v>
      </c>
      <c r="N672" s="6" t="s">
        <v>511</v>
      </c>
      <c r="O672" s="6" t="s">
        <v>512</v>
      </c>
      <c r="P672" s="9" t="s">
        <v>33</v>
      </c>
      <c r="Q672" s="9" t="s">
        <v>26</v>
      </c>
      <c r="R672" s="9" t="s">
        <v>61</v>
      </c>
      <c r="S672" s="7" t="s">
        <v>664</v>
      </c>
      <c r="T672" s="9" t="s">
        <v>68</v>
      </c>
      <c r="U672" s="7">
        <v>0.35</v>
      </c>
      <c r="V672" s="12">
        <f>C672+2</f>
        <v>39861</v>
      </c>
      <c r="W672">
        <f>IF(D672=' Pivot Tables'!$A$4,1,0)</f>
        <v>0</v>
      </c>
      <c r="X672">
        <f>IF(AND(LEFT(D672,4)+1=LEFT(' Pivot Tables'!$A$4,4)+0,RIGHT(LEFT(D672,7),2)=RIGHT(LEFT(' Pivot Tables'!$A$4,7),2)),1,0)</f>
        <v>0</v>
      </c>
      <c r="Y672" s="6">
        <f>1/COUNTIF(Таблица1[Order ID],Таблица1[[#This Row],[Order ID]])</f>
        <v>0.33333333333333331</v>
      </c>
      <c r="Z672" s="9">
        <f>1/COUNTIFS(Таблица1[Customer Name],Таблица1[[#This Row],[Customer Name]],Таблица1[Order-Year-Month],Таблица1[[#This Row],[Order-Year-Month]])</f>
        <v>0.33333333333333331</v>
      </c>
    </row>
    <row r="673" spans="1:26" x14ac:dyDescent="0.2">
      <c r="A673" s="6">
        <v>6482</v>
      </c>
      <c r="B673" s="7">
        <v>46119</v>
      </c>
      <c r="C673" s="8">
        <f>DATE(2012,12,31)-1415</f>
        <v>39859</v>
      </c>
      <c r="D673" s="8" t="str">
        <f t="shared" si="14"/>
        <v>2009-02 (февраль 2009)</v>
      </c>
      <c r="E673" s="9" t="s">
        <v>78</v>
      </c>
      <c r="F673" s="7">
        <v>46</v>
      </c>
      <c r="G673" s="7">
        <v>18824.419999999998</v>
      </c>
      <c r="H673" s="7">
        <v>7.0000000000000007E-2</v>
      </c>
      <c r="I673" s="9" t="s">
        <v>31</v>
      </c>
      <c r="J673" s="10">
        <v>-575.35199999999998</v>
      </c>
      <c r="K673" s="11">
        <v>417.4</v>
      </c>
      <c r="L673" s="11">
        <v>75.23</v>
      </c>
      <c r="M673" s="9" t="s">
        <v>46</v>
      </c>
      <c r="N673" s="6" t="s">
        <v>511</v>
      </c>
      <c r="O673" s="6" t="s">
        <v>512</v>
      </c>
      <c r="P673" s="9" t="s">
        <v>33</v>
      </c>
      <c r="Q673" s="9" t="s">
        <v>49</v>
      </c>
      <c r="R673" s="9" t="s">
        <v>83</v>
      </c>
      <c r="S673" s="7" t="s">
        <v>665</v>
      </c>
      <c r="T673" s="9" t="s">
        <v>82</v>
      </c>
      <c r="U673" s="7">
        <v>0.79</v>
      </c>
      <c r="V673" s="12">
        <f>C673+1</f>
        <v>39860</v>
      </c>
      <c r="W673">
        <f>IF(D673=' Pivot Tables'!$A$4,1,0)</f>
        <v>0</v>
      </c>
      <c r="X673">
        <f>IF(AND(LEFT(D673,4)+1=LEFT(' Pivot Tables'!$A$4,4)+0,RIGHT(LEFT(D673,7),2)=RIGHT(LEFT(' Pivot Tables'!$A$4,7),2)),1,0)</f>
        <v>0</v>
      </c>
      <c r="Y673" s="6">
        <f>1/COUNTIF(Таблица1[Order ID],Таблица1[[#This Row],[Order ID]])</f>
        <v>0.33333333333333331</v>
      </c>
      <c r="Z673" s="9">
        <f>1/COUNTIFS(Таблица1[Customer Name],Таблица1[[#This Row],[Customer Name]],Таблица1[Order-Year-Month],Таблица1[[#This Row],[Order-Year-Month]])</f>
        <v>0.33333333333333331</v>
      </c>
    </row>
    <row r="674" spans="1:26" x14ac:dyDescent="0.2">
      <c r="A674" s="6">
        <v>6574</v>
      </c>
      <c r="B674" s="7">
        <v>46756</v>
      </c>
      <c r="C674" s="8">
        <f>DATE(2012,12,31)-1177</f>
        <v>40097</v>
      </c>
      <c r="D674" s="8" t="str">
        <f t="shared" si="14"/>
        <v>2009-10 (октябрь 2009)</v>
      </c>
      <c r="E674" s="9" t="s">
        <v>63</v>
      </c>
      <c r="F674" s="7">
        <v>3</v>
      </c>
      <c r="G674" s="7">
        <v>33.64</v>
      </c>
      <c r="H674" s="7">
        <v>0.01</v>
      </c>
      <c r="I674" s="9" t="s">
        <v>22</v>
      </c>
      <c r="J674" s="10">
        <v>-22.45</v>
      </c>
      <c r="K674" s="11">
        <v>7.28</v>
      </c>
      <c r="L674" s="11">
        <v>11.15</v>
      </c>
      <c r="M674" s="9" t="s">
        <v>592</v>
      </c>
      <c r="N674" s="6" t="s">
        <v>511</v>
      </c>
      <c r="O674" s="6" t="s">
        <v>512</v>
      </c>
      <c r="P674" s="9" t="s">
        <v>41</v>
      </c>
      <c r="Q674" s="9" t="s">
        <v>26</v>
      </c>
      <c r="R674" s="9" t="s">
        <v>61</v>
      </c>
      <c r="S674" s="7" t="s">
        <v>666</v>
      </c>
      <c r="T674" s="9" t="s">
        <v>39</v>
      </c>
      <c r="U674" s="7">
        <v>0.37</v>
      </c>
      <c r="V674" s="12">
        <f>C674+2</f>
        <v>40099</v>
      </c>
      <c r="W674">
        <f>IF(D674=' Pivot Tables'!$A$4,1,0)</f>
        <v>0</v>
      </c>
      <c r="X674">
        <f>IF(AND(LEFT(D674,4)+1=LEFT(' Pivot Tables'!$A$4,4)+0,RIGHT(LEFT(D674,7),2)=RIGHT(LEFT(' Pivot Tables'!$A$4,7),2)),1,0)</f>
        <v>0</v>
      </c>
      <c r="Y674" s="6">
        <f>1/COUNTIF(Таблица1[Order ID],Таблица1[[#This Row],[Order ID]])</f>
        <v>1</v>
      </c>
      <c r="Z674" s="9">
        <f>1/COUNTIFS(Таблица1[Customer Name],Таблица1[[#This Row],[Customer Name]],Таблица1[Order-Year-Month],Таблица1[[#This Row],[Order-Year-Month]])</f>
        <v>1</v>
      </c>
    </row>
    <row r="675" spans="1:26" x14ac:dyDescent="0.2">
      <c r="A675" s="6">
        <v>6700</v>
      </c>
      <c r="B675" s="7">
        <v>47714</v>
      </c>
      <c r="C675" s="8">
        <f>DATE(2012,12,31)-662</f>
        <v>40612</v>
      </c>
      <c r="D675" s="8" t="str">
        <f t="shared" si="14"/>
        <v>2011-03 (март 2011)</v>
      </c>
      <c r="E675" s="9" t="s">
        <v>63</v>
      </c>
      <c r="F675" s="7">
        <v>30</v>
      </c>
      <c r="G675" s="7">
        <v>176.15</v>
      </c>
      <c r="H675" s="7">
        <v>0.01</v>
      </c>
      <c r="I675" s="9" t="s">
        <v>22</v>
      </c>
      <c r="J675" s="10">
        <v>-125.36150000000001</v>
      </c>
      <c r="K675" s="11">
        <v>5.53</v>
      </c>
      <c r="L675" s="11">
        <v>6.98</v>
      </c>
      <c r="M675" s="9" t="s">
        <v>622</v>
      </c>
      <c r="N675" s="6" t="s">
        <v>511</v>
      </c>
      <c r="O675" s="6" t="s">
        <v>512</v>
      </c>
      <c r="P675" s="9" t="s">
        <v>41</v>
      </c>
      <c r="Q675" s="9" t="s">
        <v>26</v>
      </c>
      <c r="R675" s="9" t="s">
        <v>37</v>
      </c>
      <c r="S675" s="7" t="s">
        <v>667</v>
      </c>
      <c r="T675" s="9" t="s">
        <v>39</v>
      </c>
      <c r="U675" s="7">
        <v>0.39</v>
      </c>
      <c r="V675" s="12">
        <f>C675+1</f>
        <v>40613</v>
      </c>
      <c r="W675">
        <f>IF(D675=' Pivot Tables'!$A$4,1,0)</f>
        <v>0</v>
      </c>
      <c r="X675">
        <f>IF(AND(LEFT(D675,4)+1=LEFT(' Pivot Tables'!$A$4,4)+0,RIGHT(LEFT(D675,7),2)=RIGHT(LEFT(' Pivot Tables'!$A$4,7),2)),1,0)</f>
        <v>0</v>
      </c>
      <c r="Y675" s="6">
        <f>1/COUNTIF(Таблица1[Order ID],Таблица1[[#This Row],[Order ID]])</f>
        <v>0.5</v>
      </c>
      <c r="Z675" s="9">
        <f>1/COUNTIFS(Таблица1[Customer Name],Таблица1[[#This Row],[Customer Name]],Таблица1[Order-Year-Month],Таблица1[[#This Row],[Order-Year-Month]])</f>
        <v>0.5</v>
      </c>
    </row>
    <row r="676" spans="1:26" x14ac:dyDescent="0.2">
      <c r="A676" s="6">
        <v>6715</v>
      </c>
      <c r="B676" s="7">
        <v>47846</v>
      </c>
      <c r="C676" s="8">
        <f>DATE(2012,12,31)-142</f>
        <v>41132</v>
      </c>
      <c r="D676" s="8" t="str">
        <f t="shared" si="14"/>
        <v>2012-08 (август 2012)</v>
      </c>
      <c r="E676" s="9" t="s">
        <v>30</v>
      </c>
      <c r="F676" s="7">
        <v>5</v>
      </c>
      <c r="G676" s="7">
        <v>66.430000000000007</v>
      </c>
      <c r="H676" s="7">
        <v>0.01</v>
      </c>
      <c r="I676" s="9" t="s">
        <v>22</v>
      </c>
      <c r="J676" s="10">
        <v>-9.4499999999999993</v>
      </c>
      <c r="K676" s="11">
        <v>10.68</v>
      </c>
      <c r="L676" s="11">
        <v>13.04</v>
      </c>
      <c r="M676" s="9" t="s">
        <v>562</v>
      </c>
      <c r="N676" s="6" t="s">
        <v>511</v>
      </c>
      <c r="O676" s="6" t="s">
        <v>512</v>
      </c>
      <c r="P676" s="9" t="s">
        <v>41</v>
      </c>
      <c r="Q676" s="9" t="s">
        <v>49</v>
      </c>
      <c r="R676" s="9" t="s">
        <v>50</v>
      </c>
      <c r="S676" s="7" t="s">
        <v>668</v>
      </c>
      <c r="T676" s="9" t="s">
        <v>29</v>
      </c>
      <c r="U676" s="7">
        <v>0.6</v>
      </c>
      <c r="V676" s="12">
        <f>C676+2</f>
        <v>41134</v>
      </c>
      <c r="W676">
        <f>IF(D676=' Pivot Tables'!$A$4,1,0)</f>
        <v>0</v>
      </c>
      <c r="X676">
        <f>IF(AND(LEFT(D676,4)+1=LEFT(' Pivot Tables'!$A$4,4)+0,RIGHT(LEFT(D676,7),2)=RIGHT(LEFT(' Pivot Tables'!$A$4,7),2)),1,0)</f>
        <v>0</v>
      </c>
      <c r="Y676" s="6">
        <f>1/COUNTIF(Таблица1[Order ID],Таблица1[[#This Row],[Order ID]])</f>
        <v>0.25</v>
      </c>
      <c r="Z676" s="9">
        <f>1/COUNTIFS(Таблица1[Customer Name],Таблица1[[#This Row],[Customer Name]],Таблица1[Order-Year-Month],Таблица1[[#This Row],[Order-Year-Month]])</f>
        <v>0.25</v>
      </c>
    </row>
    <row r="677" spans="1:26" x14ac:dyDescent="0.2">
      <c r="A677" s="6">
        <v>6716</v>
      </c>
      <c r="B677" s="7">
        <v>47846</v>
      </c>
      <c r="C677" s="8">
        <f>DATE(2012,12,31)-142</f>
        <v>41132</v>
      </c>
      <c r="D677" s="8" t="str">
        <f t="shared" si="14"/>
        <v>2012-08 (август 2012)</v>
      </c>
      <c r="E677" s="9" t="s">
        <v>30</v>
      </c>
      <c r="F677" s="7">
        <v>25</v>
      </c>
      <c r="G677" s="7">
        <v>2674.18</v>
      </c>
      <c r="H677" s="7">
        <v>0.06</v>
      </c>
      <c r="I677" s="9" t="s">
        <v>22</v>
      </c>
      <c r="J677" s="10">
        <v>631.99</v>
      </c>
      <c r="K677" s="11">
        <v>110.98</v>
      </c>
      <c r="L677" s="11">
        <v>13.99</v>
      </c>
      <c r="M677" s="9" t="s">
        <v>562</v>
      </c>
      <c r="N677" s="6" t="s">
        <v>511</v>
      </c>
      <c r="O677" s="6" t="s">
        <v>512</v>
      </c>
      <c r="P677" s="9" t="s">
        <v>41</v>
      </c>
      <c r="Q677" s="9" t="s">
        <v>49</v>
      </c>
      <c r="R677" s="9" t="s">
        <v>50</v>
      </c>
      <c r="S677" s="7" t="s">
        <v>563</v>
      </c>
      <c r="T677" s="9" t="s">
        <v>48</v>
      </c>
      <c r="U677" s="7">
        <v>0.69</v>
      </c>
      <c r="V677" s="12">
        <f>C677+2</f>
        <v>41134</v>
      </c>
      <c r="W677">
        <f>IF(D677=' Pivot Tables'!$A$4,1,0)</f>
        <v>0</v>
      </c>
      <c r="X677">
        <f>IF(AND(LEFT(D677,4)+1=LEFT(' Pivot Tables'!$A$4,4)+0,RIGHT(LEFT(D677,7),2)=RIGHT(LEFT(' Pivot Tables'!$A$4,7),2)),1,0)</f>
        <v>0</v>
      </c>
      <c r="Y677" s="6">
        <f>1/COUNTIF(Таблица1[Order ID],Таблица1[[#This Row],[Order ID]])</f>
        <v>0.25</v>
      </c>
      <c r="Z677" s="9">
        <f>1/COUNTIFS(Таблица1[Customer Name],Таблица1[[#This Row],[Customer Name]],Таблица1[Order-Year-Month],Таблица1[[#This Row],[Order-Year-Month]])</f>
        <v>0.25</v>
      </c>
    </row>
    <row r="678" spans="1:26" x14ac:dyDescent="0.2">
      <c r="A678" s="6">
        <v>6717</v>
      </c>
      <c r="B678" s="7">
        <v>47846</v>
      </c>
      <c r="C678" s="8">
        <f>DATE(2012,12,31)-142</f>
        <v>41132</v>
      </c>
      <c r="D678" s="8" t="str">
        <f t="shared" si="14"/>
        <v>2012-08 (август 2012)</v>
      </c>
      <c r="E678" s="9" t="s">
        <v>30</v>
      </c>
      <c r="F678" s="7">
        <v>50</v>
      </c>
      <c r="G678" s="7">
        <v>5513.82</v>
      </c>
      <c r="H678" s="7">
        <v>0.03</v>
      </c>
      <c r="I678" s="9" t="s">
        <v>22</v>
      </c>
      <c r="J678" s="10">
        <v>1581.93</v>
      </c>
      <c r="K678" s="11">
        <v>105.98</v>
      </c>
      <c r="L678" s="11">
        <v>13.99</v>
      </c>
      <c r="M678" s="9" t="s">
        <v>562</v>
      </c>
      <c r="N678" s="6" t="s">
        <v>511</v>
      </c>
      <c r="O678" s="6" t="s">
        <v>512</v>
      </c>
      <c r="P678" s="9" t="s">
        <v>41</v>
      </c>
      <c r="Q678" s="9" t="s">
        <v>49</v>
      </c>
      <c r="R678" s="9" t="s">
        <v>50</v>
      </c>
      <c r="S678" s="7" t="s">
        <v>242</v>
      </c>
      <c r="T678" s="9" t="s">
        <v>48</v>
      </c>
      <c r="U678" s="7">
        <v>0.65</v>
      </c>
      <c r="V678" s="12">
        <f>C678+1</f>
        <v>41133</v>
      </c>
      <c r="W678">
        <f>IF(D678=' Pivot Tables'!$A$4,1,0)</f>
        <v>0</v>
      </c>
      <c r="X678">
        <f>IF(AND(LEFT(D678,4)+1=LEFT(' Pivot Tables'!$A$4,4)+0,RIGHT(LEFT(D678,7),2)=RIGHT(LEFT(' Pivot Tables'!$A$4,7),2)),1,0)</f>
        <v>0</v>
      </c>
      <c r="Y678" s="6">
        <f>1/COUNTIF(Таблица1[Order ID],Таблица1[[#This Row],[Order ID]])</f>
        <v>0.25</v>
      </c>
      <c r="Z678" s="9">
        <f>1/COUNTIFS(Таблица1[Customer Name],Таблица1[[#This Row],[Customer Name]],Таблица1[Order-Year-Month],Таблица1[[#This Row],[Order-Year-Month]])</f>
        <v>0.25</v>
      </c>
    </row>
    <row r="679" spans="1:26" x14ac:dyDescent="0.2">
      <c r="A679" s="6">
        <v>6718</v>
      </c>
      <c r="B679" s="7">
        <v>47846</v>
      </c>
      <c r="C679" s="8">
        <f>DATE(2012,12,31)-142</f>
        <v>41132</v>
      </c>
      <c r="D679" s="8" t="str">
        <f t="shared" si="14"/>
        <v>2012-08 (август 2012)</v>
      </c>
      <c r="E679" s="9" t="s">
        <v>30</v>
      </c>
      <c r="F679" s="7">
        <v>37</v>
      </c>
      <c r="G679" s="7">
        <v>241.14</v>
      </c>
      <c r="H679" s="7">
        <v>0.08</v>
      </c>
      <c r="I679" s="9" t="s">
        <v>22</v>
      </c>
      <c r="J679" s="10">
        <v>-120.08</v>
      </c>
      <c r="K679" s="11">
        <v>6.68</v>
      </c>
      <c r="L679" s="11">
        <v>6.93</v>
      </c>
      <c r="M679" s="9" t="s">
        <v>562</v>
      </c>
      <c r="N679" s="6" t="s">
        <v>511</v>
      </c>
      <c r="O679" s="6" t="s">
        <v>512</v>
      </c>
      <c r="P679" s="9" t="s">
        <v>41</v>
      </c>
      <c r="Q679" s="9" t="s">
        <v>26</v>
      </c>
      <c r="R679" s="9" t="s">
        <v>61</v>
      </c>
      <c r="S679" s="7" t="s">
        <v>385</v>
      </c>
      <c r="T679" s="9" t="s">
        <v>39</v>
      </c>
      <c r="U679" s="7">
        <v>0.37</v>
      </c>
      <c r="V679" s="12">
        <f>C679+1</f>
        <v>41133</v>
      </c>
      <c r="W679">
        <f>IF(D679=' Pivot Tables'!$A$4,1,0)</f>
        <v>0</v>
      </c>
      <c r="X679">
        <f>IF(AND(LEFT(D679,4)+1=LEFT(' Pivot Tables'!$A$4,4)+0,RIGHT(LEFT(D679,7),2)=RIGHT(LEFT(' Pivot Tables'!$A$4,7),2)),1,0)</f>
        <v>0</v>
      </c>
      <c r="Y679" s="6">
        <f>1/COUNTIF(Таблица1[Order ID],Таблица1[[#This Row],[Order ID]])</f>
        <v>0.25</v>
      </c>
      <c r="Z679" s="9">
        <f>1/COUNTIFS(Таблица1[Customer Name],Таблица1[[#This Row],[Customer Name]],Таблица1[Order-Year-Month],Таблица1[[#This Row],[Order-Year-Month]])</f>
        <v>0.25</v>
      </c>
    </row>
    <row r="680" spans="1:26" x14ac:dyDescent="0.2">
      <c r="A680" s="6">
        <v>6722</v>
      </c>
      <c r="B680" s="7">
        <v>47876</v>
      </c>
      <c r="C680" s="8">
        <f>DATE(2012,12,31)-1102</f>
        <v>40172</v>
      </c>
      <c r="D680" s="8" t="str">
        <f t="shared" si="14"/>
        <v>2009-12 (декабрь 2009)</v>
      </c>
      <c r="E680" s="9" t="s">
        <v>30</v>
      </c>
      <c r="F680" s="7">
        <v>8</v>
      </c>
      <c r="G680" s="7">
        <v>365.22</v>
      </c>
      <c r="H680" s="7">
        <v>0.04</v>
      </c>
      <c r="I680" s="9" t="s">
        <v>22</v>
      </c>
      <c r="J680" s="10">
        <v>58.08</v>
      </c>
      <c r="K680" s="11">
        <v>46.89</v>
      </c>
      <c r="L680" s="11">
        <v>5.0999999999999996</v>
      </c>
      <c r="M680" s="9" t="s">
        <v>568</v>
      </c>
      <c r="N680" s="6" t="s">
        <v>511</v>
      </c>
      <c r="O680" s="6" t="s">
        <v>512</v>
      </c>
      <c r="P680" s="9" t="s">
        <v>25</v>
      </c>
      <c r="Q680" s="9" t="s">
        <v>26</v>
      </c>
      <c r="R680" s="9" t="s">
        <v>34</v>
      </c>
      <c r="S680" s="7" t="s">
        <v>355</v>
      </c>
      <c r="T680" s="9" t="s">
        <v>48</v>
      </c>
      <c r="U680" s="7">
        <v>0.46</v>
      </c>
      <c r="V680" s="12">
        <f>C680+2</f>
        <v>40174</v>
      </c>
      <c r="W680">
        <f>IF(D680=' Pivot Tables'!$A$4,1,0)</f>
        <v>0</v>
      </c>
      <c r="X680">
        <f>IF(AND(LEFT(D680,4)+1=LEFT(' Pivot Tables'!$A$4,4)+0,RIGHT(LEFT(D680,7),2)=RIGHT(LEFT(' Pivot Tables'!$A$4,7),2)),1,0)</f>
        <v>0</v>
      </c>
      <c r="Y680" s="6">
        <f>1/COUNTIF(Таблица1[Order ID],Таблица1[[#This Row],[Order ID]])</f>
        <v>1</v>
      </c>
      <c r="Z680" s="9">
        <f>1/COUNTIFS(Таблица1[Customer Name],Таблица1[[#This Row],[Customer Name]],Таблица1[Order-Year-Month],Таблица1[[#This Row],[Order-Year-Month]])</f>
        <v>0.5</v>
      </c>
    </row>
    <row r="681" spans="1:26" x14ac:dyDescent="0.2">
      <c r="A681" s="6">
        <v>6749</v>
      </c>
      <c r="B681" s="7">
        <v>48067</v>
      </c>
      <c r="C681" s="8">
        <f>DATE(2012,12,31)-185</f>
        <v>41089</v>
      </c>
      <c r="D681" s="8" t="str">
        <f t="shared" si="14"/>
        <v>2012-06 (июнь 2012)</v>
      </c>
      <c r="E681" s="9" t="s">
        <v>21</v>
      </c>
      <c r="F681" s="7">
        <v>31</v>
      </c>
      <c r="G681" s="7">
        <v>3229.66</v>
      </c>
      <c r="H681" s="7">
        <v>0.05</v>
      </c>
      <c r="I681" s="9" t="s">
        <v>56</v>
      </c>
      <c r="J681" s="10">
        <v>695.06099999999992</v>
      </c>
      <c r="K681" s="11">
        <v>125.99</v>
      </c>
      <c r="L681" s="11">
        <v>3</v>
      </c>
      <c r="M681" s="9" t="s">
        <v>537</v>
      </c>
      <c r="N681" s="6" t="s">
        <v>511</v>
      </c>
      <c r="O681" s="6" t="s">
        <v>512</v>
      </c>
      <c r="P681" s="9" t="s">
        <v>25</v>
      </c>
      <c r="Q681" s="9" t="s">
        <v>42</v>
      </c>
      <c r="R681" s="9" t="s">
        <v>43</v>
      </c>
      <c r="S681" s="7" t="s">
        <v>669</v>
      </c>
      <c r="T681" s="9" t="s">
        <v>39</v>
      </c>
      <c r="U681" s="7">
        <v>0.59</v>
      </c>
      <c r="V681" s="12">
        <f>C681+2</f>
        <v>41091</v>
      </c>
      <c r="W681">
        <f>IF(D681=' Pivot Tables'!$A$4,1,0)</f>
        <v>0</v>
      </c>
      <c r="X681">
        <f>IF(AND(LEFT(D681,4)+1=LEFT(' Pivot Tables'!$A$4,4)+0,RIGHT(LEFT(D681,7),2)=RIGHT(LEFT(' Pivot Tables'!$A$4,7),2)),1,0)</f>
        <v>0</v>
      </c>
      <c r="Y681" s="6">
        <f>1/COUNTIF(Таблица1[Order ID],Таблица1[[#This Row],[Order ID]])</f>
        <v>0.5</v>
      </c>
      <c r="Z681" s="9">
        <f>1/COUNTIFS(Таблица1[Customer Name],Таблица1[[#This Row],[Customer Name]],Таблица1[Order-Year-Month],Таблица1[[#This Row],[Order-Year-Month]])</f>
        <v>0.5</v>
      </c>
    </row>
    <row r="682" spans="1:26" x14ac:dyDescent="0.2">
      <c r="A682" s="6">
        <v>6750</v>
      </c>
      <c r="B682" s="7">
        <v>48067</v>
      </c>
      <c r="C682" s="8">
        <f>DATE(2012,12,31)-185</f>
        <v>41089</v>
      </c>
      <c r="D682" s="8" t="str">
        <f t="shared" si="14"/>
        <v>2012-06 (июнь 2012)</v>
      </c>
      <c r="E682" s="9" t="s">
        <v>21</v>
      </c>
      <c r="F682" s="7">
        <v>24</v>
      </c>
      <c r="G682" s="7">
        <v>4010.9375</v>
      </c>
      <c r="H682" s="7">
        <v>0</v>
      </c>
      <c r="I682" s="9" t="s">
        <v>56</v>
      </c>
      <c r="J682" s="10">
        <v>630.702</v>
      </c>
      <c r="K682" s="11">
        <v>195.99</v>
      </c>
      <c r="L682" s="11">
        <v>8.99</v>
      </c>
      <c r="M682" s="9" t="s">
        <v>537</v>
      </c>
      <c r="N682" s="6" t="s">
        <v>511</v>
      </c>
      <c r="O682" s="6" t="s">
        <v>512</v>
      </c>
      <c r="P682" s="9" t="s">
        <v>25</v>
      </c>
      <c r="Q682" s="9" t="s">
        <v>42</v>
      </c>
      <c r="R682" s="9" t="s">
        <v>43</v>
      </c>
      <c r="S682" s="7" t="s">
        <v>670</v>
      </c>
      <c r="T682" s="9" t="s">
        <v>39</v>
      </c>
      <c r="U682" s="7">
        <v>0.6</v>
      </c>
      <c r="V682" s="12">
        <f>C682+0</f>
        <v>41089</v>
      </c>
      <c r="W682">
        <f>IF(D682=' Pivot Tables'!$A$4,1,0)</f>
        <v>0</v>
      </c>
      <c r="X682">
        <f>IF(AND(LEFT(D682,4)+1=LEFT(' Pivot Tables'!$A$4,4)+0,RIGHT(LEFT(D682,7),2)=RIGHT(LEFT(' Pivot Tables'!$A$4,7),2)),1,0)</f>
        <v>0</v>
      </c>
      <c r="Y682" s="6">
        <f>1/COUNTIF(Таблица1[Order ID],Таблица1[[#This Row],[Order ID]])</f>
        <v>0.5</v>
      </c>
      <c r="Z682" s="9">
        <f>1/COUNTIFS(Таблица1[Customer Name],Таблица1[[#This Row],[Customer Name]],Таблица1[Order-Year-Month],Таблица1[[#This Row],[Order-Year-Month]])</f>
        <v>0.5</v>
      </c>
    </row>
    <row r="683" spans="1:26" x14ac:dyDescent="0.2">
      <c r="A683" s="6">
        <v>6772</v>
      </c>
      <c r="B683" s="7">
        <v>48199</v>
      </c>
      <c r="C683" s="8">
        <f>DATE(2012,12,31)-1443</f>
        <v>39831</v>
      </c>
      <c r="D683" s="8" t="str">
        <f t="shared" si="14"/>
        <v>2009-01 (январь 2009)</v>
      </c>
      <c r="E683" s="9" t="s">
        <v>45</v>
      </c>
      <c r="F683" s="7">
        <v>47</v>
      </c>
      <c r="G683" s="7">
        <v>672.46</v>
      </c>
      <c r="H683" s="7">
        <v>0.1</v>
      </c>
      <c r="I683" s="9" t="s">
        <v>22</v>
      </c>
      <c r="J683" s="10">
        <v>279.74</v>
      </c>
      <c r="K683" s="11">
        <v>15.74</v>
      </c>
      <c r="L683" s="11">
        <v>1.39</v>
      </c>
      <c r="M683" s="9" t="s">
        <v>542</v>
      </c>
      <c r="N683" s="6" t="s">
        <v>511</v>
      </c>
      <c r="O683" s="6" t="s">
        <v>512</v>
      </c>
      <c r="P683" s="9" t="s">
        <v>41</v>
      </c>
      <c r="Q683" s="9" t="s">
        <v>26</v>
      </c>
      <c r="R683" s="9" t="s">
        <v>76</v>
      </c>
      <c r="S683" s="7" t="s">
        <v>77</v>
      </c>
      <c r="T683" s="9" t="s">
        <v>39</v>
      </c>
      <c r="U683" s="7">
        <v>0.4</v>
      </c>
      <c r="V683" s="12">
        <f>C683+3</f>
        <v>39834</v>
      </c>
      <c r="W683">
        <f>IF(D683=' Pivot Tables'!$A$4,1,0)</f>
        <v>0</v>
      </c>
      <c r="X683">
        <f>IF(AND(LEFT(D683,4)+1=LEFT(' Pivot Tables'!$A$4,4)+0,RIGHT(LEFT(D683,7),2)=RIGHT(LEFT(' Pivot Tables'!$A$4,7),2)),1,0)</f>
        <v>1</v>
      </c>
      <c r="Y683" s="6">
        <f>1/COUNTIF(Таблица1[Order ID],Таблица1[[#This Row],[Order ID]])</f>
        <v>1</v>
      </c>
      <c r="Z683" s="9">
        <f>1/COUNTIFS(Таблица1[Customer Name],Таблица1[[#This Row],[Customer Name]],Таблица1[Order-Year-Month],Таблица1[[#This Row],[Order-Year-Month]])</f>
        <v>1</v>
      </c>
    </row>
    <row r="684" spans="1:26" x14ac:dyDescent="0.2">
      <c r="A684" s="6">
        <v>6879</v>
      </c>
      <c r="B684" s="7">
        <v>49029</v>
      </c>
      <c r="C684" s="8">
        <f>DATE(2012,12,31)-225</f>
        <v>41049</v>
      </c>
      <c r="D684" s="8" t="str">
        <f t="shared" si="14"/>
        <v>2012-05 (май 2012)</v>
      </c>
      <c r="E684" s="9" t="s">
        <v>30</v>
      </c>
      <c r="F684" s="7">
        <v>49</v>
      </c>
      <c r="G684" s="7">
        <v>8223.07</v>
      </c>
      <c r="H684" s="7">
        <v>0.06</v>
      </c>
      <c r="I684" s="9" t="s">
        <v>56</v>
      </c>
      <c r="J684" s="10">
        <v>2549.4030000000002</v>
      </c>
      <c r="K684" s="11">
        <v>195.99</v>
      </c>
      <c r="L684" s="11">
        <v>3.99</v>
      </c>
      <c r="M684" s="9" t="s">
        <v>650</v>
      </c>
      <c r="N684" s="6" t="s">
        <v>511</v>
      </c>
      <c r="O684" s="6" t="s">
        <v>512</v>
      </c>
      <c r="P684" s="9" t="s">
        <v>41</v>
      </c>
      <c r="Q684" s="9" t="s">
        <v>42</v>
      </c>
      <c r="R684" s="9" t="s">
        <v>43</v>
      </c>
      <c r="S684" s="7" t="s">
        <v>309</v>
      </c>
      <c r="T684" s="9" t="s">
        <v>39</v>
      </c>
      <c r="U684" s="7">
        <v>0.59</v>
      </c>
      <c r="V684" s="12">
        <f>C684+2</f>
        <v>41051</v>
      </c>
      <c r="W684">
        <f>IF(D684=' Pivot Tables'!$A$4,1,0)</f>
        <v>0</v>
      </c>
      <c r="X684">
        <f>IF(AND(LEFT(D684,4)+1=LEFT(' Pivot Tables'!$A$4,4)+0,RIGHT(LEFT(D684,7),2)=RIGHT(LEFT(' Pivot Tables'!$A$4,7),2)),1,0)</f>
        <v>0</v>
      </c>
      <c r="Y684" s="6">
        <f>1/COUNTIF(Таблица1[Order ID],Таблица1[[#This Row],[Order ID]])</f>
        <v>1</v>
      </c>
      <c r="Z684" s="9">
        <f>1/COUNTIFS(Таблица1[Customer Name],Таблица1[[#This Row],[Customer Name]],Таблица1[Order-Year-Month],Таблица1[[#This Row],[Order-Year-Month]])</f>
        <v>1</v>
      </c>
    </row>
    <row r="685" spans="1:26" x14ac:dyDescent="0.2">
      <c r="A685" s="6">
        <v>6899</v>
      </c>
      <c r="B685" s="7">
        <v>49216</v>
      </c>
      <c r="C685" s="8">
        <f>DATE(2012,12,31)-1383</f>
        <v>39891</v>
      </c>
      <c r="D685" s="8" t="str">
        <f t="shared" si="14"/>
        <v>2009-03 (март 2009)</v>
      </c>
      <c r="E685" s="9" t="s">
        <v>30</v>
      </c>
      <c r="F685" s="7">
        <v>11</v>
      </c>
      <c r="G685" s="7">
        <v>259.69</v>
      </c>
      <c r="H685" s="7">
        <v>0.1</v>
      </c>
      <c r="I685" s="9" t="s">
        <v>22</v>
      </c>
      <c r="J685" s="10">
        <v>-45.816000000000003</v>
      </c>
      <c r="K685" s="11">
        <v>24.92</v>
      </c>
      <c r="L685" s="11">
        <v>12.98</v>
      </c>
      <c r="M685" s="9" t="s">
        <v>671</v>
      </c>
      <c r="N685" s="6" t="s">
        <v>511</v>
      </c>
      <c r="O685" s="6" t="s">
        <v>512</v>
      </c>
      <c r="P685" s="9" t="s">
        <v>60</v>
      </c>
      <c r="Q685" s="9" t="s">
        <v>26</v>
      </c>
      <c r="R685" s="9" t="s">
        <v>37</v>
      </c>
      <c r="S685" s="7" t="s">
        <v>319</v>
      </c>
      <c r="T685" s="9" t="s">
        <v>39</v>
      </c>
      <c r="U685" s="7">
        <v>0.39</v>
      </c>
      <c r="V685" s="12">
        <f>C685+0</f>
        <v>39891</v>
      </c>
      <c r="W685">
        <f>IF(D685=' Pivot Tables'!$A$4,1,0)</f>
        <v>0</v>
      </c>
      <c r="X685">
        <f>IF(AND(LEFT(D685,4)+1=LEFT(' Pivot Tables'!$A$4,4)+0,RIGHT(LEFT(D685,7),2)=RIGHT(LEFT(' Pivot Tables'!$A$4,7),2)),1,0)</f>
        <v>0</v>
      </c>
      <c r="Y685" s="6">
        <f>1/COUNTIF(Таблица1[Order ID],Таблица1[[#This Row],[Order ID]])</f>
        <v>0.25</v>
      </c>
      <c r="Z685" s="9">
        <f>1/COUNTIFS(Таблица1[Customer Name],Таблица1[[#This Row],[Customer Name]],Таблица1[Order-Year-Month],Таблица1[[#This Row],[Order-Year-Month]])</f>
        <v>0.25</v>
      </c>
    </row>
    <row r="686" spans="1:26" x14ac:dyDescent="0.2">
      <c r="A686" s="6">
        <v>6900</v>
      </c>
      <c r="B686" s="7">
        <v>49216</v>
      </c>
      <c r="C686" s="8">
        <f>DATE(2012,12,31)-1383</f>
        <v>39891</v>
      </c>
      <c r="D686" s="8" t="str">
        <f t="shared" si="14"/>
        <v>2009-03 (март 2009)</v>
      </c>
      <c r="E686" s="9" t="s">
        <v>30</v>
      </c>
      <c r="F686" s="7">
        <v>9</v>
      </c>
      <c r="G686" s="7">
        <v>2503.86</v>
      </c>
      <c r="H686" s="7">
        <v>0.06</v>
      </c>
      <c r="I686" s="9" t="s">
        <v>31</v>
      </c>
      <c r="J686" s="10">
        <v>-172.47749999999999</v>
      </c>
      <c r="K686" s="11">
        <v>270.97000000000003</v>
      </c>
      <c r="L686" s="11">
        <v>28.06</v>
      </c>
      <c r="M686" s="9" t="s">
        <v>671</v>
      </c>
      <c r="N686" s="6" t="s">
        <v>672</v>
      </c>
      <c r="O686" s="6" t="s">
        <v>673</v>
      </c>
      <c r="P686" s="9" t="s">
        <v>60</v>
      </c>
      <c r="Q686" s="9" t="s">
        <v>42</v>
      </c>
      <c r="R686" s="9" t="s">
        <v>210</v>
      </c>
      <c r="S686" s="7" t="s">
        <v>364</v>
      </c>
      <c r="T686" s="9" t="s">
        <v>36</v>
      </c>
      <c r="U686" s="7">
        <v>0.56000000000000005</v>
      </c>
      <c r="V686" s="12">
        <f>C686+0</f>
        <v>39891</v>
      </c>
      <c r="W686">
        <f>IF(D686=' Pivot Tables'!$A$4,1,0)</f>
        <v>0</v>
      </c>
      <c r="X686">
        <f>IF(AND(LEFT(D686,4)+1=LEFT(' Pivot Tables'!$A$4,4)+0,RIGHT(LEFT(D686,7),2)=RIGHT(LEFT(' Pivot Tables'!$A$4,7),2)),1,0)</f>
        <v>0</v>
      </c>
      <c r="Y686" s="6">
        <f>1/COUNTIF(Таблица1[Order ID],Таблица1[[#This Row],[Order ID]])</f>
        <v>0.25</v>
      </c>
      <c r="Z686" s="9">
        <f>1/COUNTIFS(Таблица1[Customer Name],Таблица1[[#This Row],[Customer Name]],Таблица1[Order-Year-Month],Таблица1[[#This Row],[Order-Year-Month]])</f>
        <v>0.25</v>
      </c>
    </row>
    <row r="687" spans="1:26" x14ac:dyDescent="0.2">
      <c r="A687" s="6">
        <v>6901</v>
      </c>
      <c r="B687" s="7">
        <v>49216</v>
      </c>
      <c r="C687" s="8">
        <f>DATE(2012,12,31)-1383</f>
        <v>39891</v>
      </c>
      <c r="D687" s="8" t="str">
        <f t="shared" si="14"/>
        <v>2009-03 (март 2009)</v>
      </c>
      <c r="E687" s="9" t="s">
        <v>30</v>
      </c>
      <c r="F687" s="7">
        <v>29</v>
      </c>
      <c r="G687" s="7">
        <v>374.67</v>
      </c>
      <c r="H687" s="7">
        <v>0</v>
      </c>
      <c r="I687" s="9" t="s">
        <v>56</v>
      </c>
      <c r="J687" s="10">
        <v>30.63</v>
      </c>
      <c r="K687" s="11">
        <v>12.28</v>
      </c>
      <c r="L687" s="11">
        <v>6.35</v>
      </c>
      <c r="M687" s="9" t="s">
        <v>671</v>
      </c>
      <c r="N687" s="6" t="s">
        <v>672</v>
      </c>
      <c r="O687" s="6" t="s">
        <v>673</v>
      </c>
      <c r="P687" s="9" t="s">
        <v>60</v>
      </c>
      <c r="Q687" s="9" t="s">
        <v>26</v>
      </c>
      <c r="R687" s="9" t="s">
        <v>61</v>
      </c>
      <c r="S687" s="7" t="s">
        <v>674</v>
      </c>
      <c r="T687" s="9" t="s">
        <v>39</v>
      </c>
      <c r="U687" s="7">
        <v>0.38</v>
      </c>
      <c r="V687" s="12">
        <f>C687+1</f>
        <v>39892</v>
      </c>
      <c r="W687">
        <f>IF(D687=' Pivot Tables'!$A$4,1,0)</f>
        <v>0</v>
      </c>
      <c r="X687">
        <f>IF(AND(LEFT(D687,4)+1=LEFT(' Pivot Tables'!$A$4,4)+0,RIGHT(LEFT(D687,7),2)=RIGHT(LEFT(' Pivot Tables'!$A$4,7),2)),1,0)</f>
        <v>0</v>
      </c>
      <c r="Y687" s="6">
        <f>1/COUNTIF(Таблица1[Order ID],Таблица1[[#This Row],[Order ID]])</f>
        <v>0.25</v>
      </c>
      <c r="Z687" s="9">
        <f>1/COUNTIFS(Таблица1[Customer Name],Таблица1[[#This Row],[Customer Name]],Таблица1[Order-Year-Month],Таблица1[[#This Row],[Order-Year-Month]])</f>
        <v>0.25</v>
      </c>
    </row>
    <row r="688" spans="1:26" x14ac:dyDescent="0.2">
      <c r="A688" s="6">
        <v>7005</v>
      </c>
      <c r="B688" s="7">
        <v>49990</v>
      </c>
      <c r="C688" s="8">
        <f>DATE(2012,12,31)-1213</f>
        <v>40061</v>
      </c>
      <c r="D688" s="8" t="str">
        <f t="shared" si="14"/>
        <v>2009-09 (сентябрь 2009)</v>
      </c>
      <c r="E688" s="9" t="s">
        <v>45</v>
      </c>
      <c r="F688" s="7">
        <v>11</v>
      </c>
      <c r="G688" s="7">
        <v>5155.3500000000004</v>
      </c>
      <c r="H688" s="7">
        <v>0</v>
      </c>
      <c r="I688" s="9" t="s">
        <v>31</v>
      </c>
      <c r="J688" s="10">
        <v>501.51</v>
      </c>
      <c r="K688" s="11">
        <v>442.14</v>
      </c>
      <c r="L688" s="11">
        <v>14.7</v>
      </c>
      <c r="M688" s="9" t="s">
        <v>553</v>
      </c>
      <c r="N688" s="6" t="s">
        <v>672</v>
      </c>
      <c r="O688" s="6" t="s">
        <v>673</v>
      </c>
      <c r="P688" s="9" t="s">
        <v>41</v>
      </c>
      <c r="Q688" s="9" t="s">
        <v>42</v>
      </c>
      <c r="R688" s="9" t="s">
        <v>210</v>
      </c>
      <c r="S688" s="7" t="s">
        <v>455</v>
      </c>
      <c r="T688" s="9" t="s">
        <v>36</v>
      </c>
      <c r="U688" s="7">
        <v>0.56000000000000005</v>
      </c>
      <c r="V688" s="12">
        <f>C688+0</f>
        <v>40061</v>
      </c>
      <c r="W688">
        <f>IF(D688=' Pivot Tables'!$A$4,1,0)</f>
        <v>0</v>
      </c>
      <c r="X688">
        <f>IF(AND(LEFT(D688,4)+1=LEFT(' Pivot Tables'!$A$4,4)+0,RIGHT(LEFT(D688,7),2)=RIGHT(LEFT(' Pivot Tables'!$A$4,7),2)),1,0)</f>
        <v>0</v>
      </c>
      <c r="Y688" s="6">
        <f>1/COUNTIF(Таблица1[Order ID],Таблица1[[#This Row],[Order ID]])</f>
        <v>1</v>
      </c>
      <c r="Z688" s="9">
        <f>1/COUNTIFS(Таблица1[Customer Name],Таблица1[[#This Row],[Customer Name]],Таблица1[Order-Year-Month],Таблица1[[#This Row],[Order-Year-Month]])</f>
        <v>1</v>
      </c>
    </row>
    <row r="689" spans="1:26" x14ac:dyDescent="0.2">
      <c r="A689" s="6">
        <v>7018</v>
      </c>
      <c r="B689" s="7">
        <v>50081</v>
      </c>
      <c r="C689" s="8">
        <f>DATE(2012,12,31)-1154</f>
        <v>40120</v>
      </c>
      <c r="D689" s="8" t="str">
        <f t="shared" si="14"/>
        <v>2009-11 (ноябрь 2009)</v>
      </c>
      <c r="E689" s="9" t="s">
        <v>45</v>
      </c>
      <c r="F689" s="7">
        <v>7</v>
      </c>
      <c r="G689" s="7">
        <v>538.51</v>
      </c>
      <c r="H689" s="7">
        <v>0</v>
      </c>
      <c r="I689" s="9" t="s">
        <v>31</v>
      </c>
      <c r="J689" s="10">
        <v>-88.75</v>
      </c>
      <c r="K689" s="11">
        <v>70.98</v>
      </c>
      <c r="L689" s="11">
        <v>26.74</v>
      </c>
      <c r="M689" s="9" t="s">
        <v>535</v>
      </c>
      <c r="N689" s="6" t="s">
        <v>672</v>
      </c>
      <c r="O689" s="6" t="s">
        <v>673</v>
      </c>
      <c r="P689" s="9" t="s">
        <v>41</v>
      </c>
      <c r="Q689" s="9" t="s">
        <v>49</v>
      </c>
      <c r="R689" s="9" t="s">
        <v>80</v>
      </c>
      <c r="S689" s="7" t="s">
        <v>675</v>
      </c>
      <c r="T689" s="9" t="s">
        <v>82</v>
      </c>
      <c r="U689" s="7">
        <v>0.6</v>
      </c>
      <c r="V689" s="12">
        <f>C689+1</f>
        <v>40121</v>
      </c>
      <c r="W689">
        <f>IF(D689=' Pivot Tables'!$A$4,1,0)</f>
        <v>0</v>
      </c>
      <c r="X689">
        <f>IF(AND(LEFT(D689,4)+1=LEFT(' Pivot Tables'!$A$4,4)+0,RIGHT(LEFT(D689,7),2)=RIGHT(LEFT(' Pivot Tables'!$A$4,7),2)),1,0)</f>
        <v>0</v>
      </c>
      <c r="Y689" s="6">
        <f>1/COUNTIF(Таблица1[Order ID],Таблица1[[#This Row],[Order ID]])</f>
        <v>1</v>
      </c>
      <c r="Z689" s="9">
        <f>1/COUNTIFS(Таблица1[Customer Name],Таблица1[[#This Row],[Customer Name]],Таблица1[Order-Year-Month],Таблица1[[#This Row],[Order-Year-Month]])</f>
        <v>0.33333333333333331</v>
      </c>
    </row>
    <row r="690" spans="1:26" x14ac:dyDescent="0.2">
      <c r="A690" s="6">
        <v>7063</v>
      </c>
      <c r="B690" s="7">
        <v>50404</v>
      </c>
      <c r="C690" s="8">
        <f>DATE(2012,12,31)-646</f>
        <v>40628</v>
      </c>
      <c r="D690" s="8" t="str">
        <f t="shared" si="14"/>
        <v>2011-03 (март 2011)</v>
      </c>
      <c r="E690" s="9" t="s">
        <v>30</v>
      </c>
      <c r="F690" s="7">
        <v>18</v>
      </c>
      <c r="G690" s="7">
        <v>3780.43</v>
      </c>
      <c r="H690" s="7">
        <v>0.05</v>
      </c>
      <c r="I690" s="9" t="s">
        <v>22</v>
      </c>
      <c r="J690" s="10">
        <v>905.57</v>
      </c>
      <c r="K690" s="11">
        <v>210.55</v>
      </c>
      <c r="L690" s="11">
        <v>9.99</v>
      </c>
      <c r="M690" s="9" t="s">
        <v>535</v>
      </c>
      <c r="N690" s="6" t="s">
        <v>672</v>
      </c>
      <c r="O690" s="6" t="s">
        <v>673</v>
      </c>
      <c r="P690" s="9" t="s">
        <v>41</v>
      </c>
      <c r="Q690" s="9" t="s">
        <v>26</v>
      </c>
      <c r="R690" s="9" t="s">
        <v>27</v>
      </c>
      <c r="S690" s="7" t="s">
        <v>676</v>
      </c>
      <c r="T690" s="9" t="s">
        <v>39</v>
      </c>
      <c r="U690" s="7">
        <v>0.6</v>
      </c>
      <c r="V690" s="12">
        <f>C690+1</f>
        <v>40629</v>
      </c>
      <c r="W690">
        <f>IF(D690=' Pivot Tables'!$A$4,1,0)</f>
        <v>0</v>
      </c>
      <c r="X690">
        <f>IF(AND(LEFT(D690,4)+1=LEFT(' Pivot Tables'!$A$4,4)+0,RIGHT(LEFT(D690,7),2)=RIGHT(LEFT(' Pivot Tables'!$A$4,7),2)),1,0)</f>
        <v>0</v>
      </c>
      <c r="Y690" s="6">
        <f>1/COUNTIF(Таблица1[Order ID],Таблица1[[#This Row],[Order ID]])</f>
        <v>0.5</v>
      </c>
      <c r="Z690" s="9">
        <f>1/COUNTIFS(Таблица1[Customer Name],Таблица1[[#This Row],[Customer Name]],Таблица1[Order-Year-Month],Таблица1[[#This Row],[Order-Year-Month]])</f>
        <v>0.5</v>
      </c>
    </row>
    <row r="691" spans="1:26" x14ac:dyDescent="0.2">
      <c r="A691" s="6">
        <v>7064</v>
      </c>
      <c r="B691" s="7">
        <v>50404</v>
      </c>
      <c r="C691" s="8">
        <f>DATE(2012,12,31)-646</f>
        <v>40628</v>
      </c>
      <c r="D691" s="8" t="str">
        <f t="shared" si="14"/>
        <v>2011-03 (март 2011)</v>
      </c>
      <c r="E691" s="9" t="s">
        <v>30</v>
      </c>
      <c r="F691" s="7">
        <v>10</v>
      </c>
      <c r="G691" s="7">
        <v>1961.68</v>
      </c>
      <c r="H691" s="7">
        <v>0.04</v>
      </c>
      <c r="I691" s="9" t="s">
        <v>22</v>
      </c>
      <c r="J691" s="10">
        <v>-367.00200000000001</v>
      </c>
      <c r="K691" s="11">
        <v>182.55</v>
      </c>
      <c r="L691" s="11">
        <v>69</v>
      </c>
      <c r="M691" s="9" t="s">
        <v>535</v>
      </c>
      <c r="N691" s="6" t="s">
        <v>672</v>
      </c>
      <c r="O691" s="6" t="s">
        <v>673</v>
      </c>
      <c r="P691" s="9" t="s">
        <v>41</v>
      </c>
      <c r="Q691" s="9" t="s">
        <v>49</v>
      </c>
      <c r="R691" s="9" t="s">
        <v>83</v>
      </c>
      <c r="S691" s="7" t="s">
        <v>484</v>
      </c>
      <c r="T691" s="9" t="s">
        <v>29</v>
      </c>
      <c r="U691" s="7">
        <v>0.72</v>
      </c>
      <c r="V691" s="12">
        <f>C691+2</f>
        <v>40630</v>
      </c>
      <c r="W691">
        <f>IF(D691=' Pivot Tables'!$A$4,1,0)</f>
        <v>0</v>
      </c>
      <c r="X691">
        <f>IF(AND(LEFT(D691,4)+1=LEFT(' Pivot Tables'!$A$4,4)+0,RIGHT(LEFT(D691,7),2)=RIGHT(LEFT(' Pivot Tables'!$A$4,7),2)),1,0)</f>
        <v>0</v>
      </c>
      <c r="Y691" s="6">
        <f>1/COUNTIF(Таблица1[Order ID],Таблица1[[#This Row],[Order ID]])</f>
        <v>0.5</v>
      </c>
      <c r="Z691" s="9">
        <f>1/COUNTIFS(Таблица1[Customer Name],Таблица1[[#This Row],[Customer Name]],Таблица1[Order-Year-Month],Таблица1[[#This Row],[Order-Year-Month]])</f>
        <v>0.5</v>
      </c>
    </row>
    <row r="692" spans="1:26" x14ac:dyDescent="0.2">
      <c r="A692" s="6">
        <v>7116</v>
      </c>
      <c r="B692" s="7">
        <v>50784</v>
      </c>
      <c r="C692" s="8">
        <f>DATE(2012,12,31)-325</f>
        <v>40949</v>
      </c>
      <c r="D692" s="8" t="str">
        <f t="shared" si="14"/>
        <v>2012-02 (февраль 2012)</v>
      </c>
      <c r="E692" s="9" t="s">
        <v>30</v>
      </c>
      <c r="F692" s="7">
        <v>20</v>
      </c>
      <c r="G692" s="7">
        <v>638.72</v>
      </c>
      <c r="H692" s="7">
        <v>0.04</v>
      </c>
      <c r="I692" s="9" t="s">
        <v>22</v>
      </c>
      <c r="J692" s="10">
        <v>-130.88</v>
      </c>
      <c r="K692" s="11">
        <v>32.979999999999997</v>
      </c>
      <c r="L692" s="11">
        <v>5.5</v>
      </c>
      <c r="M692" s="9" t="s">
        <v>592</v>
      </c>
      <c r="N692" s="6" t="s">
        <v>672</v>
      </c>
      <c r="O692" s="6" t="s">
        <v>673</v>
      </c>
      <c r="P692" s="9" t="s">
        <v>41</v>
      </c>
      <c r="Q692" s="9" t="s">
        <v>42</v>
      </c>
      <c r="R692" s="9" t="s">
        <v>70</v>
      </c>
      <c r="S692" s="7" t="s">
        <v>403</v>
      </c>
      <c r="T692" s="9" t="s">
        <v>39</v>
      </c>
      <c r="U692" s="7">
        <v>0.75</v>
      </c>
      <c r="V692" s="12">
        <f>C692+1</f>
        <v>40950</v>
      </c>
      <c r="W692">
        <f>IF(D692=' Pivot Tables'!$A$4,1,0)</f>
        <v>0</v>
      </c>
      <c r="X692">
        <f>IF(AND(LEFT(D692,4)+1=LEFT(' Pivot Tables'!$A$4,4)+0,RIGHT(LEFT(D692,7),2)=RIGHT(LEFT(' Pivot Tables'!$A$4,7),2)),1,0)</f>
        <v>0</v>
      </c>
      <c r="Y692" s="6">
        <f>1/COUNTIF(Таблица1[Order ID],Таблица1[[#This Row],[Order ID]])</f>
        <v>1</v>
      </c>
      <c r="Z692" s="9">
        <f>1/COUNTIFS(Таблица1[Customer Name],Таблица1[[#This Row],[Customer Name]],Таблица1[Order-Year-Month],Таблица1[[#This Row],[Order-Year-Month]])</f>
        <v>1</v>
      </c>
    </row>
    <row r="693" spans="1:26" x14ac:dyDescent="0.2">
      <c r="A693" s="6">
        <v>7128</v>
      </c>
      <c r="B693" s="7">
        <v>50850</v>
      </c>
      <c r="C693" s="8">
        <f>DATE(2012,12,31)-1335</f>
        <v>39939</v>
      </c>
      <c r="D693" s="8" t="str">
        <f t="shared" si="14"/>
        <v>2009-05 (май 2009)</v>
      </c>
      <c r="E693" s="9" t="s">
        <v>78</v>
      </c>
      <c r="F693" s="7">
        <v>37</v>
      </c>
      <c r="G693" s="7">
        <v>1599.54</v>
      </c>
      <c r="H693" s="7">
        <v>0</v>
      </c>
      <c r="I693" s="9" t="s">
        <v>22</v>
      </c>
      <c r="J693" s="10">
        <v>578.14449999999999</v>
      </c>
      <c r="K693" s="11">
        <v>40.98</v>
      </c>
      <c r="L693" s="11">
        <v>7.47</v>
      </c>
      <c r="M693" s="9" t="s">
        <v>568</v>
      </c>
      <c r="N693" s="6" t="s">
        <v>672</v>
      </c>
      <c r="O693" s="6" t="s">
        <v>673</v>
      </c>
      <c r="P693" s="9" t="s">
        <v>25</v>
      </c>
      <c r="Q693" s="9" t="s">
        <v>26</v>
      </c>
      <c r="R693" s="9" t="s">
        <v>37</v>
      </c>
      <c r="S693" s="7" t="s">
        <v>591</v>
      </c>
      <c r="T693" s="9" t="s">
        <v>39</v>
      </c>
      <c r="U693" s="7">
        <v>0.37</v>
      </c>
      <c r="V693" s="12">
        <f>C693+2</f>
        <v>39941</v>
      </c>
      <c r="W693">
        <f>IF(D693=' Pivot Tables'!$A$4,1,0)</f>
        <v>0</v>
      </c>
      <c r="X693">
        <f>IF(AND(LEFT(D693,4)+1=LEFT(' Pivot Tables'!$A$4,4)+0,RIGHT(LEFT(D693,7),2)=RIGHT(LEFT(' Pivot Tables'!$A$4,7),2)),1,0)</f>
        <v>0</v>
      </c>
      <c r="Y693" s="6">
        <f>1/COUNTIF(Таблица1[Order ID],Таблица1[[#This Row],[Order ID]])</f>
        <v>0.5</v>
      </c>
      <c r="Z693" s="9">
        <f>1/COUNTIFS(Таблица1[Customer Name],Таблица1[[#This Row],[Customer Name]],Таблица1[Order-Year-Month],Таблица1[[#This Row],[Order-Year-Month]])</f>
        <v>0.5</v>
      </c>
    </row>
    <row r="694" spans="1:26" x14ac:dyDescent="0.2">
      <c r="A694" s="6">
        <v>7129</v>
      </c>
      <c r="B694" s="7">
        <v>50850</v>
      </c>
      <c r="C694" s="8">
        <f>DATE(2012,12,31)-1335</f>
        <v>39939</v>
      </c>
      <c r="D694" s="8" t="str">
        <f t="shared" si="14"/>
        <v>2009-05 (май 2009)</v>
      </c>
      <c r="E694" s="9" t="s">
        <v>78</v>
      </c>
      <c r="F694" s="7">
        <v>2</v>
      </c>
      <c r="G694" s="7">
        <v>942.42</v>
      </c>
      <c r="H694" s="7">
        <v>0.02</v>
      </c>
      <c r="I694" s="9" t="s">
        <v>31</v>
      </c>
      <c r="J694" s="10">
        <v>-634.86540000000002</v>
      </c>
      <c r="K694" s="11">
        <v>417.4</v>
      </c>
      <c r="L694" s="11">
        <v>75.23</v>
      </c>
      <c r="M694" s="9" t="s">
        <v>568</v>
      </c>
      <c r="N694" s="6" t="s">
        <v>672</v>
      </c>
      <c r="O694" s="6" t="s">
        <v>673</v>
      </c>
      <c r="P694" s="9" t="s">
        <v>25</v>
      </c>
      <c r="Q694" s="9" t="s">
        <v>49</v>
      </c>
      <c r="R694" s="9" t="s">
        <v>83</v>
      </c>
      <c r="S694" s="7" t="s">
        <v>665</v>
      </c>
      <c r="T694" s="9" t="s">
        <v>82</v>
      </c>
      <c r="U694" s="7">
        <v>0.79</v>
      </c>
      <c r="V694" s="12">
        <f>C694+1</f>
        <v>39940</v>
      </c>
      <c r="W694">
        <f>IF(D694=' Pivot Tables'!$A$4,1,0)</f>
        <v>0</v>
      </c>
      <c r="X694">
        <f>IF(AND(LEFT(D694,4)+1=LEFT(' Pivot Tables'!$A$4,4)+0,RIGHT(LEFT(D694,7),2)=RIGHT(LEFT(' Pivot Tables'!$A$4,7),2)),1,0)</f>
        <v>0</v>
      </c>
      <c r="Y694" s="6">
        <f>1/COUNTIF(Таблица1[Order ID],Таблица1[[#This Row],[Order ID]])</f>
        <v>0.5</v>
      </c>
      <c r="Z694" s="9">
        <f>1/COUNTIFS(Таблица1[Customer Name],Таблица1[[#This Row],[Customer Name]],Таблица1[Order-Year-Month],Таблица1[[#This Row],[Order-Year-Month]])</f>
        <v>0.5</v>
      </c>
    </row>
    <row r="695" spans="1:26" x14ac:dyDescent="0.2">
      <c r="A695" s="6">
        <v>7161</v>
      </c>
      <c r="B695" s="7">
        <v>51075</v>
      </c>
      <c r="C695" s="8">
        <f>DATE(2012,12,31)-769</f>
        <v>40505</v>
      </c>
      <c r="D695" s="8" t="str">
        <f t="shared" si="14"/>
        <v>2010-11 (ноябрь 2010)</v>
      </c>
      <c r="E695" s="9" t="s">
        <v>45</v>
      </c>
      <c r="F695" s="7">
        <v>43</v>
      </c>
      <c r="G695" s="7">
        <v>1290.2065</v>
      </c>
      <c r="H695" s="7">
        <v>0.06</v>
      </c>
      <c r="I695" s="9" t="s">
        <v>56</v>
      </c>
      <c r="J695" s="10">
        <v>-160.67699999999999</v>
      </c>
      <c r="K695" s="11">
        <v>35.99</v>
      </c>
      <c r="L695" s="11">
        <v>5</v>
      </c>
      <c r="M695" s="9" t="s">
        <v>46</v>
      </c>
      <c r="N695" s="6" t="s">
        <v>672</v>
      </c>
      <c r="O695" s="6" t="s">
        <v>673</v>
      </c>
      <c r="P695" s="9" t="s">
        <v>25</v>
      </c>
      <c r="Q695" s="9" t="s">
        <v>42</v>
      </c>
      <c r="R695" s="9" t="s">
        <v>43</v>
      </c>
      <c r="S695" s="7" t="s">
        <v>677</v>
      </c>
      <c r="T695" s="9" t="s">
        <v>68</v>
      </c>
      <c r="U695" s="7">
        <v>0.82</v>
      </c>
      <c r="V695" s="12">
        <f>C695+2</f>
        <v>40507</v>
      </c>
      <c r="W695">
        <f>IF(D695=' Pivot Tables'!$A$4,1,0)</f>
        <v>0</v>
      </c>
      <c r="X695">
        <f>IF(AND(LEFT(D695,4)+1=LEFT(' Pivot Tables'!$A$4,4)+0,RIGHT(LEFT(D695,7),2)=RIGHT(LEFT(' Pivot Tables'!$A$4,7),2)),1,0)</f>
        <v>0</v>
      </c>
      <c r="Y695" s="6">
        <f>1/COUNTIF(Таблица1[Order ID],Таблица1[[#This Row],[Order ID]])</f>
        <v>1</v>
      </c>
      <c r="Z695" s="9">
        <f>1/COUNTIFS(Таблица1[Customer Name],Таблица1[[#This Row],[Customer Name]],Таблица1[Order-Year-Month],Таблица1[[#This Row],[Order-Year-Month]])</f>
        <v>0.5</v>
      </c>
    </row>
    <row r="696" spans="1:26" x14ac:dyDescent="0.2">
      <c r="A696" s="6">
        <v>7209</v>
      </c>
      <c r="B696" s="7">
        <v>51461</v>
      </c>
      <c r="C696" s="8">
        <f>DATE(2012,12,31)-690</f>
        <v>40584</v>
      </c>
      <c r="D696" s="8" t="str">
        <f t="shared" si="14"/>
        <v>2011-02 (февраль 2011)</v>
      </c>
      <c r="E696" s="9" t="s">
        <v>45</v>
      </c>
      <c r="F696" s="7">
        <v>43</v>
      </c>
      <c r="G696" s="7">
        <v>858.53</v>
      </c>
      <c r="H696" s="7">
        <v>7.0000000000000007E-2</v>
      </c>
      <c r="I696" s="9" t="s">
        <v>22</v>
      </c>
      <c r="J696" s="10">
        <v>-97.54</v>
      </c>
      <c r="K696" s="11">
        <v>19.989999999999998</v>
      </c>
      <c r="L696" s="11">
        <v>11.17</v>
      </c>
      <c r="M696" s="9" t="s">
        <v>568</v>
      </c>
      <c r="N696" s="6" t="s">
        <v>672</v>
      </c>
      <c r="O696" s="6" t="s">
        <v>673</v>
      </c>
      <c r="P696" s="9" t="s">
        <v>41</v>
      </c>
      <c r="Q696" s="9" t="s">
        <v>49</v>
      </c>
      <c r="R696" s="9" t="s">
        <v>50</v>
      </c>
      <c r="S696" s="7" t="s">
        <v>340</v>
      </c>
      <c r="T696" s="9" t="s">
        <v>29</v>
      </c>
      <c r="U696" s="7">
        <v>0.6</v>
      </c>
      <c r="V696" s="12">
        <f>C696+2</f>
        <v>40586</v>
      </c>
      <c r="W696">
        <f>IF(D696=' Pivot Tables'!$A$4,1,0)</f>
        <v>0</v>
      </c>
      <c r="X696">
        <f>IF(AND(LEFT(D696,4)+1=LEFT(' Pivot Tables'!$A$4,4)+0,RIGHT(LEFT(D696,7),2)=RIGHT(LEFT(' Pivot Tables'!$A$4,7),2)),1,0)</f>
        <v>0</v>
      </c>
      <c r="Y696" s="6">
        <f>1/COUNTIF(Таблица1[Order ID],Таблица1[[#This Row],[Order ID]])</f>
        <v>1</v>
      </c>
      <c r="Z696" s="9">
        <f>1/COUNTIFS(Таблица1[Customer Name],Таблица1[[#This Row],[Customer Name]],Таблица1[Order-Year-Month],Таблица1[[#This Row],[Order-Year-Month]])</f>
        <v>1</v>
      </c>
    </row>
    <row r="697" spans="1:26" x14ac:dyDescent="0.2">
      <c r="A697" s="6">
        <v>7232</v>
      </c>
      <c r="B697" s="7">
        <v>51558</v>
      </c>
      <c r="C697" s="8">
        <f>DATE(2012,12,31)-1008</f>
        <v>40266</v>
      </c>
      <c r="D697" s="8" t="str">
        <f t="shared" si="14"/>
        <v>2010-03 (март 2010)</v>
      </c>
      <c r="E697" s="9" t="s">
        <v>45</v>
      </c>
      <c r="F697" s="7">
        <v>34</v>
      </c>
      <c r="G697" s="7">
        <v>245.4</v>
      </c>
      <c r="H697" s="7">
        <v>0</v>
      </c>
      <c r="I697" s="9" t="s">
        <v>22</v>
      </c>
      <c r="J697" s="10">
        <v>-87.27</v>
      </c>
      <c r="K697" s="11">
        <v>6.68</v>
      </c>
      <c r="L697" s="11">
        <v>6.92</v>
      </c>
      <c r="M697" s="9" t="s">
        <v>568</v>
      </c>
      <c r="N697" s="6" t="s">
        <v>672</v>
      </c>
      <c r="O697" s="6" t="s">
        <v>673</v>
      </c>
      <c r="P697" s="9" t="s">
        <v>41</v>
      </c>
      <c r="Q697" s="9" t="s">
        <v>26</v>
      </c>
      <c r="R697" s="9" t="s">
        <v>61</v>
      </c>
      <c r="S697" s="7" t="s">
        <v>678</v>
      </c>
      <c r="T697" s="9" t="s">
        <v>39</v>
      </c>
      <c r="U697" s="7">
        <v>0.37</v>
      </c>
      <c r="V697" s="12">
        <f>C697+0</f>
        <v>40266</v>
      </c>
      <c r="W697">
        <f>IF(D697=' Pivot Tables'!$A$4,1,0)</f>
        <v>0</v>
      </c>
      <c r="X697">
        <f>IF(AND(LEFT(D697,4)+1=LEFT(' Pivot Tables'!$A$4,4)+0,RIGHT(LEFT(D697,7),2)=RIGHT(LEFT(' Pivot Tables'!$A$4,7),2)),1,0)</f>
        <v>0</v>
      </c>
      <c r="Y697" s="6">
        <f>1/COUNTIF(Таблица1[Order ID],Таблица1[[#This Row],[Order ID]])</f>
        <v>0.5</v>
      </c>
      <c r="Z697" s="9">
        <f>1/COUNTIFS(Таблица1[Customer Name],Таблица1[[#This Row],[Customer Name]],Таблица1[Order-Year-Month],Таблица1[[#This Row],[Order-Year-Month]])</f>
        <v>0.5</v>
      </c>
    </row>
    <row r="698" spans="1:26" x14ac:dyDescent="0.2">
      <c r="A698" s="6">
        <v>7233</v>
      </c>
      <c r="B698" s="7">
        <v>51558</v>
      </c>
      <c r="C698" s="8">
        <f>DATE(2012,12,31)-1008</f>
        <v>40266</v>
      </c>
      <c r="D698" s="8" t="str">
        <f t="shared" si="14"/>
        <v>2010-03 (март 2010)</v>
      </c>
      <c r="E698" s="9" t="s">
        <v>45</v>
      </c>
      <c r="F698" s="7">
        <v>47</v>
      </c>
      <c r="G698" s="7">
        <v>4177.66</v>
      </c>
      <c r="H698" s="7">
        <v>0.04</v>
      </c>
      <c r="I698" s="9" t="s">
        <v>31</v>
      </c>
      <c r="J698" s="10">
        <v>85.29</v>
      </c>
      <c r="K698" s="11">
        <v>85.29</v>
      </c>
      <c r="L698" s="11">
        <v>60</v>
      </c>
      <c r="M698" s="9" t="s">
        <v>568</v>
      </c>
      <c r="N698" s="6" t="s">
        <v>672</v>
      </c>
      <c r="O698" s="6" t="s">
        <v>673</v>
      </c>
      <c r="P698" s="9" t="s">
        <v>41</v>
      </c>
      <c r="Q698" s="9" t="s">
        <v>49</v>
      </c>
      <c r="R698" s="9" t="s">
        <v>83</v>
      </c>
      <c r="S698" s="7" t="s">
        <v>679</v>
      </c>
      <c r="T698" s="9" t="s">
        <v>36</v>
      </c>
      <c r="U698" s="7">
        <v>0.56000000000000005</v>
      </c>
      <c r="V698" s="12">
        <f>C698+0</f>
        <v>40266</v>
      </c>
      <c r="W698">
        <f>IF(D698=' Pivot Tables'!$A$4,1,0)</f>
        <v>0</v>
      </c>
      <c r="X698">
        <f>IF(AND(LEFT(D698,4)+1=LEFT(' Pivot Tables'!$A$4,4)+0,RIGHT(LEFT(D698,7),2)=RIGHT(LEFT(' Pivot Tables'!$A$4,7),2)),1,0)</f>
        <v>0</v>
      </c>
      <c r="Y698" s="6">
        <f>1/COUNTIF(Таблица1[Order ID],Таблица1[[#This Row],[Order ID]])</f>
        <v>0.5</v>
      </c>
      <c r="Z698" s="9">
        <f>1/COUNTIFS(Таблица1[Customer Name],Таблица1[[#This Row],[Customer Name]],Таблица1[Order-Year-Month],Таблица1[[#This Row],[Order-Year-Month]])</f>
        <v>0.5</v>
      </c>
    </row>
    <row r="699" spans="1:26" x14ac:dyDescent="0.2">
      <c r="A699" s="6">
        <v>7310</v>
      </c>
      <c r="B699" s="7">
        <v>52130</v>
      </c>
      <c r="C699" s="8">
        <f>DATE(2012,12,31)-117</f>
        <v>41157</v>
      </c>
      <c r="D699" s="8" t="str">
        <f t="shared" si="14"/>
        <v>2012-09 (сентябрь 2012)</v>
      </c>
      <c r="E699" s="9" t="s">
        <v>21</v>
      </c>
      <c r="F699" s="7">
        <v>13</v>
      </c>
      <c r="G699" s="7">
        <v>63.33</v>
      </c>
      <c r="H699" s="7">
        <v>0</v>
      </c>
      <c r="I699" s="9" t="s">
        <v>22</v>
      </c>
      <c r="J699" s="10">
        <v>-39.962499999999999</v>
      </c>
      <c r="K699" s="11">
        <v>4.13</v>
      </c>
      <c r="L699" s="11">
        <v>5.34</v>
      </c>
      <c r="M699" s="9" t="s">
        <v>46</v>
      </c>
      <c r="N699" s="6" t="s">
        <v>672</v>
      </c>
      <c r="O699" s="6" t="s">
        <v>673</v>
      </c>
      <c r="P699" s="9" t="s">
        <v>33</v>
      </c>
      <c r="Q699" s="9" t="s">
        <v>26</v>
      </c>
      <c r="R699" s="9" t="s">
        <v>37</v>
      </c>
      <c r="S699" s="7" t="s">
        <v>680</v>
      </c>
      <c r="T699" s="9" t="s">
        <v>39</v>
      </c>
      <c r="U699" s="7">
        <v>0.38</v>
      </c>
      <c r="V699" s="12">
        <f>C699+2</f>
        <v>41159</v>
      </c>
      <c r="W699">
        <f>IF(D699=' Pivot Tables'!$A$4,1,0)</f>
        <v>0</v>
      </c>
      <c r="X699">
        <f>IF(AND(LEFT(D699,4)+1=LEFT(' Pivot Tables'!$A$4,4)+0,RIGHT(LEFT(D699,7),2)=RIGHT(LEFT(' Pivot Tables'!$A$4,7),2)),1,0)</f>
        <v>0</v>
      </c>
      <c r="Y699" s="6">
        <f>1/COUNTIF(Таблица1[Order ID],Таблица1[[#This Row],[Order ID]])</f>
        <v>0.5</v>
      </c>
      <c r="Z699" s="9">
        <f>1/COUNTIFS(Таблица1[Customer Name],Таблица1[[#This Row],[Customer Name]],Таблица1[Order-Year-Month],Таблица1[[#This Row],[Order-Year-Month]])</f>
        <v>0.5</v>
      </c>
    </row>
    <row r="700" spans="1:26" x14ac:dyDescent="0.2">
      <c r="A700" s="6">
        <v>7311</v>
      </c>
      <c r="B700" s="7">
        <v>52130</v>
      </c>
      <c r="C700" s="8">
        <f>DATE(2012,12,31)-117</f>
        <v>41157</v>
      </c>
      <c r="D700" s="8" t="str">
        <f t="shared" si="14"/>
        <v>2012-09 (сентябрь 2012)</v>
      </c>
      <c r="E700" s="9" t="s">
        <v>21</v>
      </c>
      <c r="F700" s="7">
        <v>36</v>
      </c>
      <c r="G700" s="7">
        <v>1436.55</v>
      </c>
      <c r="H700" s="7">
        <v>0.1</v>
      </c>
      <c r="I700" s="9" t="s">
        <v>22</v>
      </c>
      <c r="J700" s="10">
        <v>-4.0099999999999909</v>
      </c>
      <c r="K700" s="11">
        <v>40.89</v>
      </c>
      <c r="L700" s="11">
        <v>18.98</v>
      </c>
      <c r="M700" s="9" t="s">
        <v>46</v>
      </c>
      <c r="N700" s="6" t="s">
        <v>672</v>
      </c>
      <c r="O700" s="6" t="s">
        <v>673</v>
      </c>
      <c r="P700" s="9" t="s">
        <v>33</v>
      </c>
      <c r="Q700" s="9" t="s">
        <v>49</v>
      </c>
      <c r="R700" s="9" t="s">
        <v>50</v>
      </c>
      <c r="S700" s="7" t="s">
        <v>681</v>
      </c>
      <c r="T700" s="9" t="s">
        <v>39</v>
      </c>
      <c r="U700" s="7">
        <v>0.56999999999999995</v>
      </c>
      <c r="V700" s="12">
        <f>C700+2</f>
        <v>41159</v>
      </c>
      <c r="W700">
        <f>IF(D700=' Pivot Tables'!$A$4,1,0)</f>
        <v>0</v>
      </c>
      <c r="X700">
        <f>IF(AND(LEFT(D700,4)+1=LEFT(' Pivot Tables'!$A$4,4)+0,RIGHT(LEFT(D700,7),2)=RIGHT(LEFT(' Pivot Tables'!$A$4,7),2)),1,0)</f>
        <v>0</v>
      </c>
      <c r="Y700" s="6">
        <f>1/COUNTIF(Таблица1[Order ID],Таблица1[[#This Row],[Order ID]])</f>
        <v>0.5</v>
      </c>
      <c r="Z700" s="9">
        <f>1/COUNTIFS(Таблица1[Customer Name],Таблица1[[#This Row],[Customer Name]],Таблица1[Order-Year-Month],Таблица1[[#This Row],[Order-Year-Month]])</f>
        <v>0.5</v>
      </c>
    </row>
    <row r="701" spans="1:26" x14ac:dyDescent="0.2">
      <c r="A701" s="6">
        <v>7363</v>
      </c>
      <c r="B701" s="7">
        <v>52482</v>
      </c>
      <c r="C701" s="8">
        <f>DATE(2012,12,31)-700</f>
        <v>40574</v>
      </c>
      <c r="D701" s="8" t="str">
        <f t="shared" si="14"/>
        <v>2011-01 (январь 2011)</v>
      </c>
      <c r="E701" s="9" t="s">
        <v>78</v>
      </c>
      <c r="F701" s="7">
        <v>21</v>
      </c>
      <c r="G701" s="7">
        <v>848.2</v>
      </c>
      <c r="H701" s="7">
        <v>0.06</v>
      </c>
      <c r="I701" s="9" t="s">
        <v>56</v>
      </c>
      <c r="J701" s="10">
        <v>163.78</v>
      </c>
      <c r="K701" s="11">
        <v>40.98</v>
      </c>
      <c r="L701" s="11">
        <v>5.33</v>
      </c>
      <c r="M701" s="9" t="s">
        <v>568</v>
      </c>
      <c r="N701" s="6" t="s">
        <v>672</v>
      </c>
      <c r="O701" s="6" t="s">
        <v>673</v>
      </c>
      <c r="P701" s="9" t="s">
        <v>41</v>
      </c>
      <c r="Q701" s="9" t="s">
        <v>26</v>
      </c>
      <c r="R701" s="9" t="s">
        <v>34</v>
      </c>
      <c r="S701" s="7" t="s">
        <v>682</v>
      </c>
      <c r="T701" s="9" t="s">
        <v>39</v>
      </c>
      <c r="U701" s="7">
        <v>0.56999999999999995</v>
      </c>
      <c r="V701" s="12">
        <f>C701+0</f>
        <v>40574</v>
      </c>
      <c r="W701">
        <f>IF(D701=' Pivot Tables'!$A$4,1,0)</f>
        <v>0</v>
      </c>
      <c r="X701">
        <f>IF(AND(LEFT(D701,4)+1=LEFT(' Pivot Tables'!$A$4,4)+0,RIGHT(LEFT(D701,7),2)=RIGHT(LEFT(' Pivot Tables'!$A$4,7),2)),1,0)</f>
        <v>0</v>
      </c>
      <c r="Y701" s="6">
        <f>1/COUNTIF(Таблица1[Order ID],Таблица1[[#This Row],[Order ID]])</f>
        <v>0.5</v>
      </c>
      <c r="Z701" s="9">
        <f>1/COUNTIFS(Таблица1[Customer Name],Таблица1[[#This Row],[Customer Name]],Таблица1[Order-Year-Month],Таблица1[[#This Row],[Order-Year-Month]])</f>
        <v>0.16666666666666666</v>
      </c>
    </row>
    <row r="702" spans="1:26" x14ac:dyDescent="0.2">
      <c r="A702" s="6">
        <v>7364</v>
      </c>
      <c r="B702" s="7">
        <v>52482</v>
      </c>
      <c r="C702" s="8">
        <f>DATE(2012,12,31)-700</f>
        <v>40574</v>
      </c>
      <c r="D702" s="8" t="str">
        <f t="shared" si="14"/>
        <v>2011-01 (январь 2011)</v>
      </c>
      <c r="E702" s="9" t="s">
        <v>78</v>
      </c>
      <c r="F702" s="7">
        <v>30</v>
      </c>
      <c r="G702" s="7">
        <v>717.21</v>
      </c>
      <c r="H702" s="7">
        <v>0</v>
      </c>
      <c r="I702" s="9" t="s">
        <v>22</v>
      </c>
      <c r="J702" s="10">
        <v>217.06</v>
      </c>
      <c r="K702" s="11">
        <v>22.23</v>
      </c>
      <c r="L702" s="11">
        <v>3.63</v>
      </c>
      <c r="M702" s="9" t="s">
        <v>568</v>
      </c>
      <c r="N702" s="6" t="s">
        <v>672</v>
      </c>
      <c r="O702" s="6" t="s">
        <v>673</v>
      </c>
      <c r="P702" s="9" t="s">
        <v>41</v>
      </c>
      <c r="Q702" s="9" t="s">
        <v>49</v>
      </c>
      <c r="R702" s="9" t="s">
        <v>50</v>
      </c>
      <c r="S702" s="7" t="s">
        <v>632</v>
      </c>
      <c r="T702" s="9" t="s">
        <v>52</v>
      </c>
      <c r="U702" s="7">
        <v>0.52</v>
      </c>
      <c r="V702" s="12">
        <f>C702+2</f>
        <v>40576</v>
      </c>
      <c r="W702">
        <f>IF(D702=' Pivot Tables'!$A$4,1,0)</f>
        <v>0</v>
      </c>
      <c r="X702">
        <f>IF(AND(LEFT(D702,4)+1=LEFT(' Pivot Tables'!$A$4,4)+0,RIGHT(LEFT(D702,7),2)=RIGHT(LEFT(' Pivot Tables'!$A$4,7),2)),1,0)</f>
        <v>0</v>
      </c>
      <c r="Y702" s="6">
        <f>1/COUNTIF(Таблица1[Order ID],Таблица1[[#This Row],[Order ID]])</f>
        <v>0.5</v>
      </c>
      <c r="Z702" s="9">
        <f>1/COUNTIFS(Таблица1[Customer Name],Таблица1[[#This Row],[Customer Name]],Таблица1[Order-Year-Month],Таблица1[[#This Row],[Order-Year-Month]])</f>
        <v>0.16666666666666666</v>
      </c>
    </row>
    <row r="703" spans="1:26" x14ac:dyDescent="0.2">
      <c r="A703" s="6">
        <v>7480</v>
      </c>
      <c r="B703" s="7">
        <v>53410</v>
      </c>
      <c r="C703" s="8">
        <f>DATE(2012,12,31)-1242</f>
        <v>40032</v>
      </c>
      <c r="D703" s="8" t="str">
        <f t="shared" si="14"/>
        <v>2009-08 (август 2009)</v>
      </c>
      <c r="E703" s="9" t="s">
        <v>78</v>
      </c>
      <c r="F703" s="7">
        <v>44</v>
      </c>
      <c r="G703" s="7">
        <v>642.79999999999995</v>
      </c>
      <c r="H703" s="7">
        <v>0.08</v>
      </c>
      <c r="I703" s="9" t="s">
        <v>22</v>
      </c>
      <c r="J703" s="10">
        <v>-253.11</v>
      </c>
      <c r="K703" s="11">
        <v>14.81</v>
      </c>
      <c r="L703" s="11">
        <v>13.32</v>
      </c>
      <c r="M703" s="9" t="s">
        <v>548</v>
      </c>
      <c r="N703" s="6" t="s">
        <v>672</v>
      </c>
      <c r="O703" s="6" t="s">
        <v>673</v>
      </c>
      <c r="P703" s="9" t="s">
        <v>41</v>
      </c>
      <c r="Q703" s="9" t="s">
        <v>26</v>
      </c>
      <c r="R703" s="9" t="s">
        <v>34</v>
      </c>
      <c r="S703" s="7" t="s">
        <v>683</v>
      </c>
      <c r="T703" s="9" t="s">
        <v>39</v>
      </c>
      <c r="U703" s="7">
        <v>0.43</v>
      </c>
      <c r="V703" s="12">
        <f>C703+2</f>
        <v>40034</v>
      </c>
      <c r="W703">
        <f>IF(D703=' Pivot Tables'!$A$4,1,0)</f>
        <v>0</v>
      </c>
      <c r="X703">
        <f>IF(AND(LEFT(D703,4)+1=LEFT(' Pivot Tables'!$A$4,4)+0,RIGHT(LEFT(D703,7),2)=RIGHT(LEFT(' Pivot Tables'!$A$4,7),2)),1,0)</f>
        <v>0</v>
      </c>
      <c r="Y703" s="6">
        <f>1/COUNTIF(Таблица1[Order ID],Таблица1[[#This Row],[Order ID]])</f>
        <v>1</v>
      </c>
      <c r="Z703" s="9">
        <f>1/COUNTIFS(Таблица1[Customer Name],Таблица1[[#This Row],[Customer Name]],Таблица1[Order-Year-Month],Таблица1[[#This Row],[Order-Year-Month]])</f>
        <v>1</v>
      </c>
    </row>
    <row r="704" spans="1:26" x14ac:dyDescent="0.2">
      <c r="A704" s="6">
        <v>7493</v>
      </c>
      <c r="B704" s="7">
        <v>53477</v>
      </c>
      <c r="C704" s="8">
        <f>DATE(2012,12,31)-240</f>
        <v>41034</v>
      </c>
      <c r="D704" s="8" t="str">
        <f t="shared" si="14"/>
        <v>2012-05 (май 2012)</v>
      </c>
      <c r="E704" s="9" t="s">
        <v>30</v>
      </c>
      <c r="F704" s="7">
        <v>32</v>
      </c>
      <c r="G704" s="7">
        <v>3114.05</v>
      </c>
      <c r="H704" s="7">
        <v>0.01</v>
      </c>
      <c r="I704" s="9" t="s">
        <v>31</v>
      </c>
      <c r="J704" s="10">
        <v>-1207.18</v>
      </c>
      <c r="K704" s="11">
        <v>95.95</v>
      </c>
      <c r="L704" s="11">
        <v>74.349999999999994</v>
      </c>
      <c r="M704" s="9" t="s">
        <v>552</v>
      </c>
      <c r="N704" s="6" t="s">
        <v>672</v>
      </c>
      <c r="O704" s="6" t="s">
        <v>673</v>
      </c>
      <c r="P704" s="9" t="s">
        <v>41</v>
      </c>
      <c r="Q704" s="9" t="s">
        <v>49</v>
      </c>
      <c r="R704" s="9" t="s">
        <v>112</v>
      </c>
      <c r="S704" s="7" t="s">
        <v>113</v>
      </c>
      <c r="T704" s="9" t="s">
        <v>36</v>
      </c>
      <c r="U704" s="7">
        <v>0.56999999999999995</v>
      </c>
      <c r="V704" s="12">
        <f>C704+2</f>
        <v>41036</v>
      </c>
      <c r="W704">
        <f>IF(D704=' Pivot Tables'!$A$4,1,0)</f>
        <v>0</v>
      </c>
      <c r="X704">
        <f>IF(AND(LEFT(D704,4)+1=LEFT(' Pivot Tables'!$A$4,4)+0,RIGHT(LEFT(D704,7),2)=RIGHT(LEFT(' Pivot Tables'!$A$4,7),2)),1,0)</f>
        <v>0</v>
      </c>
      <c r="Y704" s="6">
        <f>1/COUNTIF(Таблица1[Order ID],Таблица1[[#This Row],[Order ID]])</f>
        <v>0.25</v>
      </c>
      <c r="Z704" s="9">
        <f>1/COUNTIFS(Таблица1[Customer Name],Таблица1[[#This Row],[Customer Name]],Таблица1[Order-Year-Month],Таблица1[[#This Row],[Order-Year-Month]])</f>
        <v>0.25</v>
      </c>
    </row>
    <row r="705" spans="1:26" x14ac:dyDescent="0.2">
      <c r="A705" s="6">
        <v>7494</v>
      </c>
      <c r="B705" s="7">
        <v>53477</v>
      </c>
      <c r="C705" s="8">
        <f>DATE(2012,12,31)-240</f>
        <v>41034</v>
      </c>
      <c r="D705" s="8" t="str">
        <f t="shared" si="14"/>
        <v>2012-05 (май 2012)</v>
      </c>
      <c r="E705" s="9" t="s">
        <v>30</v>
      </c>
      <c r="F705" s="7">
        <v>27</v>
      </c>
      <c r="G705" s="7">
        <v>8161.93</v>
      </c>
      <c r="H705" s="7">
        <v>0.06</v>
      </c>
      <c r="I705" s="9" t="s">
        <v>31</v>
      </c>
      <c r="J705" s="10">
        <v>1261.44</v>
      </c>
      <c r="K705" s="11">
        <v>300.98</v>
      </c>
      <c r="L705" s="11">
        <v>64.73</v>
      </c>
      <c r="M705" s="9" t="s">
        <v>552</v>
      </c>
      <c r="N705" s="6" t="s">
        <v>672</v>
      </c>
      <c r="O705" s="6" t="s">
        <v>673</v>
      </c>
      <c r="P705" s="9" t="s">
        <v>41</v>
      </c>
      <c r="Q705" s="9" t="s">
        <v>49</v>
      </c>
      <c r="R705" s="9" t="s">
        <v>112</v>
      </c>
      <c r="S705" s="7" t="s">
        <v>168</v>
      </c>
      <c r="T705" s="9" t="s">
        <v>36</v>
      </c>
      <c r="U705" s="7">
        <v>0.56000000000000005</v>
      </c>
      <c r="V705" s="12">
        <f>C705+1</f>
        <v>41035</v>
      </c>
      <c r="W705">
        <f>IF(D705=' Pivot Tables'!$A$4,1,0)</f>
        <v>0</v>
      </c>
      <c r="X705">
        <f>IF(AND(LEFT(D705,4)+1=LEFT(' Pivot Tables'!$A$4,4)+0,RIGHT(LEFT(D705,7),2)=RIGHT(LEFT(' Pivot Tables'!$A$4,7),2)),1,0)</f>
        <v>0</v>
      </c>
      <c r="Y705" s="6">
        <f>1/COUNTIF(Таблица1[Order ID],Таблица1[[#This Row],[Order ID]])</f>
        <v>0.25</v>
      </c>
      <c r="Z705" s="9">
        <f>1/COUNTIFS(Таблица1[Customer Name],Таблица1[[#This Row],[Customer Name]],Таблица1[Order-Year-Month],Таблица1[[#This Row],[Order-Year-Month]])</f>
        <v>0.25</v>
      </c>
    </row>
    <row r="706" spans="1:26" x14ac:dyDescent="0.2">
      <c r="A706" s="6">
        <v>7495</v>
      </c>
      <c r="B706" s="7">
        <v>53477</v>
      </c>
      <c r="C706" s="8">
        <f>DATE(2012,12,31)-240</f>
        <v>41034</v>
      </c>
      <c r="D706" s="8" t="str">
        <f t="shared" si="14"/>
        <v>2012-05 (май 2012)</v>
      </c>
      <c r="E706" s="9" t="s">
        <v>30</v>
      </c>
      <c r="F706" s="7">
        <v>36</v>
      </c>
      <c r="G706" s="7">
        <v>1314.65</v>
      </c>
      <c r="H706" s="7">
        <v>0.06</v>
      </c>
      <c r="I706" s="9" t="s">
        <v>22</v>
      </c>
      <c r="J706" s="10">
        <v>536.87</v>
      </c>
      <c r="K706" s="11">
        <v>37.94</v>
      </c>
      <c r="L706" s="11">
        <v>5.08</v>
      </c>
      <c r="M706" s="9" t="s">
        <v>552</v>
      </c>
      <c r="N706" s="6" t="s">
        <v>672</v>
      </c>
      <c r="O706" s="6" t="s">
        <v>673</v>
      </c>
      <c r="P706" s="9" t="s">
        <v>41</v>
      </c>
      <c r="Q706" s="9" t="s">
        <v>26</v>
      </c>
      <c r="R706" s="9" t="s">
        <v>61</v>
      </c>
      <c r="S706" s="7" t="s">
        <v>684</v>
      </c>
      <c r="T706" s="9" t="s">
        <v>68</v>
      </c>
      <c r="U706" s="7">
        <v>0.38</v>
      </c>
      <c r="V706" s="12">
        <f>C706+2</f>
        <v>41036</v>
      </c>
      <c r="W706">
        <f>IF(D706=' Pivot Tables'!$A$4,1,0)</f>
        <v>0</v>
      </c>
      <c r="X706">
        <f>IF(AND(LEFT(D706,4)+1=LEFT(' Pivot Tables'!$A$4,4)+0,RIGHT(LEFT(D706,7),2)=RIGHT(LEFT(' Pivot Tables'!$A$4,7),2)),1,0)</f>
        <v>0</v>
      </c>
      <c r="Y706" s="6">
        <f>1/COUNTIF(Таблица1[Order ID],Таблица1[[#This Row],[Order ID]])</f>
        <v>0.25</v>
      </c>
      <c r="Z706" s="9">
        <f>1/COUNTIFS(Таблица1[Customer Name],Таблица1[[#This Row],[Customer Name]],Таблица1[Order-Year-Month],Таблица1[[#This Row],[Order-Year-Month]])</f>
        <v>0.25</v>
      </c>
    </row>
    <row r="707" spans="1:26" x14ac:dyDescent="0.2">
      <c r="A707" s="6">
        <v>7496</v>
      </c>
      <c r="B707" s="7">
        <v>53477</v>
      </c>
      <c r="C707" s="8">
        <f>DATE(2012,12,31)-240</f>
        <v>41034</v>
      </c>
      <c r="D707" s="8" t="str">
        <f t="shared" ref="D707:D770" si="15">TEXT(C707,"гггг-ММ (ММММ гггг)")</f>
        <v>2012-05 (май 2012)</v>
      </c>
      <c r="E707" s="9" t="s">
        <v>30</v>
      </c>
      <c r="F707" s="7">
        <v>28</v>
      </c>
      <c r="G707" s="7">
        <v>4479.16</v>
      </c>
      <c r="H707" s="7">
        <v>7.0000000000000007E-2</v>
      </c>
      <c r="I707" s="9" t="s">
        <v>22</v>
      </c>
      <c r="J707" s="10">
        <v>610.9</v>
      </c>
      <c r="K707" s="11">
        <v>161.55000000000001</v>
      </c>
      <c r="L707" s="11">
        <v>19.989999999999998</v>
      </c>
      <c r="M707" s="9" t="s">
        <v>552</v>
      </c>
      <c r="N707" s="6" t="s">
        <v>672</v>
      </c>
      <c r="O707" s="6" t="s">
        <v>673</v>
      </c>
      <c r="P707" s="9" t="s">
        <v>41</v>
      </c>
      <c r="Q707" s="9" t="s">
        <v>26</v>
      </c>
      <c r="R707" s="9" t="s">
        <v>27</v>
      </c>
      <c r="S707" s="7" t="s">
        <v>685</v>
      </c>
      <c r="T707" s="9" t="s">
        <v>39</v>
      </c>
      <c r="U707" s="7">
        <v>0.66</v>
      </c>
      <c r="V707" s="12">
        <f>C707+2</f>
        <v>41036</v>
      </c>
      <c r="W707">
        <f>IF(D707=' Pivot Tables'!$A$4,1,0)</f>
        <v>0</v>
      </c>
      <c r="X707">
        <f>IF(AND(LEFT(D707,4)+1=LEFT(' Pivot Tables'!$A$4,4)+0,RIGHT(LEFT(D707,7),2)=RIGHT(LEFT(' Pivot Tables'!$A$4,7),2)),1,0)</f>
        <v>0</v>
      </c>
      <c r="Y707" s="6">
        <f>1/COUNTIF(Таблица1[Order ID],Таблица1[[#This Row],[Order ID]])</f>
        <v>0.25</v>
      </c>
      <c r="Z707" s="9">
        <f>1/COUNTIFS(Таблица1[Customer Name],Таблица1[[#This Row],[Customer Name]],Таблица1[Order-Year-Month],Таблица1[[#This Row],[Order-Year-Month]])</f>
        <v>0.25</v>
      </c>
    </row>
    <row r="708" spans="1:26" x14ac:dyDescent="0.2">
      <c r="A708" s="6">
        <v>7497</v>
      </c>
      <c r="B708" s="7">
        <v>53508</v>
      </c>
      <c r="C708" s="8">
        <f>DATE(2012,12,31)-1147</f>
        <v>40127</v>
      </c>
      <c r="D708" s="8" t="str">
        <f t="shared" si="15"/>
        <v>2009-11 (ноябрь 2009)</v>
      </c>
      <c r="E708" s="9" t="s">
        <v>30</v>
      </c>
      <c r="F708" s="7">
        <v>13</v>
      </c>
      <c r="G708" s="7">
        <v>1072.22</v>
      </c>
      <c r="H708" s="7">
        <v>0.03</v>
      </c>
      <c r="I708" s="9" t="s">
        <v>22</v>
      </c>
      <c r="J708" s="10">
        <v>149.63999999999999</v>
      </c>
      <c r="K708" s="11">
        <v>80.98</v>
      </c>
      <c r="L708" s="11">
        <v>7.18</v>
      </c>
      <c r="M708" s="9" t="s">
        <v>552</v>
      </c>
      <c r="N708" s="6" t="s">
        <v>672</v>
      </c>
      <c r="O708" s="6" t="s">
        <v>673</v>
      </c>
      <c r="P708" s="9" t="s">
        <v>33</v>
      </c>
      <c r="Q708" s="9" t="s">
        <v>42</v>
      </c>
      <c r="R708" s="9" t="s">
        <v>70</v>
      </c>
      <c r="S708" s="7" t="s">
        <v>686</v>
      </c>
      <c r="T708" s="9" t="s">
        <v>39</v>
      </c>
      <c r="U708" s="7">
        <v>0.48</v>
      </c>
      <c r="V708" s="12">
        <f>C708+2</f>
        <v>40129</v>
      </c>
      <c r="W708">
        <f>IF(D708=' Pivot Tables'!$A$4,1,0)</f>
        <v>0</v>
      </c>
      <c r="X708">
        <f>IF(AND(LEFT(D708,4)+1=LEFT(' Pivot Tables'!$A$4,4)+0,RIGHT(LEFT(D708,7),2)=RIGHT(LEFT(' Pivot Tables'!$A$4,7),2)),1,0)</f>
        <v>0</v>
      </c>
      <c r="Y708" s="6">
        <f>1/COUNTIF(Таблица1[Order ID],Таблица1[[#This Row],[Order ID]])</f>
        <v>0.33333333333333331</v>
      </c>
      <c r="Z708" s="9">
        <f>1/COUNTIFS(Таблица1[Customer Name],Таблица1[[#This Row],[Customer Name]],Таблица1[Order-Year-Month],Таблица1[[#This Row],[Order-Year-Month]])</f>
        <v>0.33333333333333331</v>
      </c>
    </row>
    <row r="709" spans="1:26" x14ac:dyDescent="0.2">
      <c r="A709" s="6">
        <v>7498</v>
      </c>
      <c r="B709" s="7">
        <v>53508</v>
      </c>
      <c r="C709" s="8">
        <f>DATE(2012,12,31)-1147</f>
        <v>40127</v>
      </c>
      <c r="D709" s="8" t="str">
        <f t="shared" si="15"/>
        <v>2009-11 (ноябрь 2009)</v>
      </c>
      <c r="E709" s="9" t="s">
        <v>30</v>
      </c>
      <c r="F709" s="7">
        <v>25</v>
      </c>
      <c r="G709" s="7">
        <v>342.85</v>
      </c>
      <c r="H709" s="7">
        <v>0.06</v>
      </c>
      <c r="I709" s="9" t="s">
        <v>22</v>
      </c>
      <c r="J709" s="10">
        <v>-32.416199999999996</v>
      </c>
      <c r="K709" s="11">
        <v>13.99</v>
      </c>
      <c r="L709" s="11">
        <v>7.51</v>
      </c>
      <c r="M709" s="9" t="s">
        <v>552</v>
      </c>
      <c r="N709" s="6" t="s">
        <v>672</v>
      </c>
      <c r="O709" s="6" t="s">
        <v>673</v>
      </c>
      <c r="P709" s="9" t="s">
        <v>33</v>
      </c>
      <c r="Q709" s="9" t="s">
        <v>42</v>
      </c>
      <c r="R709" s="9" t="s">
        <v>210</v>
      </c>
      <c r="S709" s="7" t="s">
        <v>687</v>
      </c>
      <c r="T709" s="9" t="s">
        <v>48</v>
      </c>
      <c r="U709" s="7">
        <v>0.39</v>
      </c>
      <c r="V709" s="12">
        <f>C709+2</f>
        <v>40129</v>
      </c>
      <c r="W709">
        <f>IF(D709=' Pivot Tables'!$A$4,1,0)</f>
        <v>0</v>
      </c>
      <c r="X709">
        <f>IF(AND(LEFT(D709,4)+1=LEFT(' Pivot Tables'!$A$4,4)+0,RIGHT(LEFT(D709,7),2)=RIGHT(LEFT(' Pivot Tables'!$A$4,7),2)),1,0)</f>
        <v>0</v>
      </c>
      <c r="Y709" s="6">
        <f>1/COUNTIF(Таблица1[Order ID],Таблица1[[#This Row],[Order ID]])</f>
        <v>0.33333333333333331</v>
      </c>
      <c r="Z709" s="9">
        <f>1/COUNTIFS(Таблица1[Customer Name],Таблица1[[#This Row],[Customer Name]],Таблица1[Order-Year-Month],Таблица1[[#This Row],[Order-Year-Month]])</f>
        <v>0.33333333333333331</v>
      </c>
    </row>
    <row r="710" spans="1:26" x14ac:dyDescent="0.2">
      <c r="A710" s="6">
        <v>7499</v>
      </c>
      <c r="B710" s="7">
        <v>53508</v>
      </c>
      <c r="C710" s="8">
        <f>DATE(2012,12,31)-1147</f>
        <v>40127</v>
      </c>
      <c r="D710" s="8" t="str">
        <f t="shared" si="15"/>
        <v>2009-11 (ноябрь 2009)</v>
      </c>
      <c r="E710" s="9" t="s">
        <v>30</v>
      </c>
      <c r="F710" s="7">
        <v>4</v>
      </c>
      <c r="G710" s="7">
        <v>62.48</v>
      </c>
      <c r="H710" s="7">
        <v>0.06</v>
      </c>
      <c r="I710" s="9" t="s">
        <v>22</v>
      </c>
      <c r="J710" s="10">
        <v>1.06</v>
      </c>
      <c r="K710" s="11">
        <v>15.04</v>
      </c>
      <c r="L710" s="11">
        <v>1.97</v>
      </c>
      <c r="M710" s="9" t="s">
        <v>552</v>
      </c>
      <c r="N710" s="6" t="s">
        <v>672</v>
      </c>
      <c r="O710" s="6" t="s">
        <v>673</v>
      </c>
      <c r="P710" s="9" t="s">
        <v>33</v>
      </c>
      <c r="Q710" s="9" t="s">
        <v>26</v>
      </c>
      <c r="R710" s="9" t="s">
        <v>61</v>
      </c>
      <c r="S710" s="7" t="s">
        <v>688</v>
      </c>
      <c r="T710" s="9" t="s">
        <v>68</v>
      </c>
      <c r="U710" s="7">
        <v>0.39</v>
      </c>
      <c r="V710" s="12">
        <f>C710+0</f>
        <v>40127</v>
      </c>
      <c r="W710">
        <f>IF(D710=' Pivot Tables'!$A$4,1,0)</f>
        <v>0</v>
      </c>
      <c r="X710">
        <f>IF(AND(LEFT(D710,4)+1=LEFT(' Pivot Tables'!$A$4,4)+0,RIGHT(LEFT(D710,7),2)=RIGHT(LEFT(' Pivot Tables'!$A$4,7),2)),1,0)</f>
        <v>0</v>
      </c>
      <c r="Y710" s="6">
        <f>1/COUNTIF(Таблица1[Order ID],Таблица1[[#This Row],[Order ID]])</f>
        <v>0.33333333333333331</v>
      </c>
      <c r="Z710" s="9">
        <f>1/COUNTIFS(Таблица1[Customer Name],Таблица1[[#This Row],[Customer Name]],Таблица1[Order-Year-Month],Таблица1[[#This Row],[Order-Year-Month]])</f>
        <v>0.33333333333333331</v>
      </c>
    </row>
    <row r="711" spans="1:26" x14ac:dyDescent="0.2">
      <c r="A711" s="6">
        <v>7522</v>
      </c>
      <c r="B711" s="7">
        <v>53703</v>
      </c>
      <c r="C711" s="8">
        <f>DATE(2012,12,31)-931</f>
        <v>40343</v>
      </c>
      <c r="D711" s="8" t="str">
        <f t="shared" si="15"/>
        <v>2010-06 (июнь 2010)</v>
      </c>
      <c r="E711" s="9" t="s">
        <v>45</v>
      </c>
      <c r="F711" s="7">
        <v>14</v>
      </c>
      <c r="G711" s="7">
        <v>1966.26</v>
      </c>
      <c r="H711" s="7">
        <v>0.06</v>
      </c>
      <c r="I711" s="9" t="s">
        <v>22</v>
      </c>
      <c r="J711" s="10">
        <v>-34.79</v>
      </c>
      <c r="K711" s="11">
        <v>140.85</v>
      </c>
      <c r="L711" s="11">
        <v>19.989999999999998</v>
      </c>
      <c r="M711" s="9" t="s">
        <v>535</v>
      </c>
      <c r="N711" s="6" t="s">
        <v>672</v>
      </c>
      <c r="O711" s="6" t="s">
        <v>673</v>
      </c>
      <c r="P711" s="9" t="s">
        <v>41</v>
      </c>
      <c r="Q711" s="9" t="s">
        <v>26</v>
      </c>
      <c r="R711" s="9" t="s">
        <v>27</v>
      </c>
      <c r="S711" s="7" t="s">
        <v>538</v>
      </c>
      <c r="T711" s="9" t="s">
        <v>39</v>
      </c>
      <c r="U711" s="7">
        <v>0.73</v>
      </c>
      <c r="V711" s="12">
        <f>C711+1</f>
        <v>40344</v>
      </c>
      <c r="W711">
        <f>IF(D711=' Pivot Tables'!$A$4,1,0)</f>
        <v>0</v>
      </c>
      <c r="X711">
        <f>IF(AND(LEFT(D711,4)+1=LEFT(' Pivot Tables'!$A$4,4)+0,RIGHT(LEFT(D711,7),2)=RIGHT(LEFT(' Pivot Tables'!$A$4,7),2)),1,0)</f>
        <v>0</v>
      </c>
      <c r="Y711" s="6">
        <f>1/COUNTIF(Таблица1[Order ID],Таблица1[[#This Row],[Order ID]])</f>
        <v>1</v>
      </c>
      <c r="Z711" s="9">
        <f>1/COUNTIFS(Таблица1[Customer Name],Таблица1[[#This Row],[Customer Name]],Таблица1[Order-Year-Month],Таблица1[[#This Row],[Order-Year-Month]])</f>
        <v>1</v>
      </c>
    </row>
    <row r="712" spans="1:26" x14ac:dyDescent="0.2">
      <c r="A712" s="6">
        <v>7562</v>
      </c>
      <c r="B712" s="7">
        <v>54115</v>
      </c>
      <c r="C712" s="8">
        <f>DATE(2012,12,31)-359</f>
        <v>40915</v>
      </c>
      <c r="D712" s="8" t="str">
        <f t="shared" si="15"/>
        <v>2012-01 (январь 2012)</v>
      </c>
      <c r="E712" s="9" t="s">
        <v>21</v>
      </c>
      <c r="F712" s="7">
        <v>24</v>
      </c>
      <c r="G712" s="7">
        <v>114.17</v>
      </c>
      <c r="H712" s="7">
        <v>0.01</v>
      </c>
      <c r="I712" s="9" t="s">
        <v>22</v>
      </c>
      <c r="J712" s="10">
        <v>-80.05</v>
      </c>
      <c r="K712" s="11">
        <v>4.37</v>
      </c>
      <c r="L712" s="11">
        <v>5.15</v>
      </c>
      <c r="M712" s="9" t="s">
        <v>689</v>
      </c>
      <c r="N712" s="6" t="s">
        <v>672</v>
      </c>
      <c r="O712" s="6" t="s">
        <v>673</v>
      </c>
      <c r="P712" s="9" t="s">
        <v>41</v>
      </c>
      <c r="Q712" s="9" t="s">
        <v>26</v>
      </c>
      <c r="R712" s="9" t="s">
        <v>34</v>
      </c>
      <c r="S712" s="7" t="s">
        <v>690</v>
      </c>
      <c r="T712" s="9" t="s">
        <v>39</v>
      </c>
      <c r="U712" s="7">
        <v>0.59</v>
      </c>
      <c r="V712" s="12">
        <f>C712+5</f>
        <v>40920</v>
      </c>
      <c r="W712">
        <f>IF(D712=' Pivot Tables'!$A$4,1,0)</f>
        <v>0</v>
      </c>
      <c r="X712">
        <f>IF(AND(LEFT(D712,4)+1=LEFT(' Pivot Tables'!$A$4,4)+0,RIGHT(LEFT(D712,7),2)=RIGHT(LEFT(' Pivot Tables'!$A$4,7),2)),1,0)</f>
        <v>0</v>
      </c>
      <c r="Y712" s="6">
        <f>1/COUNTIF(Таблица1[Order ID],Таблица1[[#This Row],[Order ID]])</f>
        <v>0.5</v>
      </c>
      <c r="Z712" s="9">
        <f>1/COUNTIFS(Таблица1[Customer Name],Таблица1[[#This Row],[Customer Name]],Таблица1[Order-Year-Month],Таблица1[[#This Row],[Order-Year-Month]])</f>
        <v>0.33333333333333331</v>
      </c>
    </row>
    <row r="713" spans="1:26" x14ac:dyDescent="0.2">
      <c r="A713" s="6">
        <v>7563</v>
      </c>
      <c r="B713" s="7">
        <v>54115</v>
      </c>
      <c r="C713" s="8">
        <f>DATE(2012,12,31)-359</f>
        <v>40915</v>
      </c>
      <c r="D713" s="8" t="str">
        <f t="shared" si="15"/>
        <v>2012-01 (январь 2012)</v>
      </c>
      <c r="E713" s="9" t="s">
        <v>21</v>
      </c>
      <c r="F713" s="7">
        <v>39</v>
      </c>
      <c r="G713" s="7">
        <v>197.11</v>
      </c>
      <c r="H713" s="7">
        <v>0.03</v>
      </c>
      <c r="I713" s="9" t="s">
        <v>22</v>
      </c>
      <c r="J713" s="10">
        <v>-89.424000000000007</v>
      </c>
      <c r="K713" s="11">
        <v>4.9800000000000004</v>
      </c>
      <c r="L713" s="11">
        <v>4.95</v>
      </c>
      <c r="M713" s="9" t="s">
        <v>689</v>
      </c>
      <c r="N713" s="6" t="s">
        <v>672</v>
      </c>
      <c r="O713" s="6" t="s">
        <v>673</v>
      </c>
      <c r="P713" s="9" t="s">
        <v>41</v>
      </c>
      <c r="Q713" s="9" t="s">
        <v>26</v>
      </c>
      <c r="R713" s="9" t="s">
        <v>37</v>
      </c>
      <c r="S713" s="7" t="s">
        <v>691</v>
      </c>
      <c r="T713" s="9" t="s">
        <v>39</v>
      </c>
      <c r="U713" s="7">
        <v>0.37</v>
      </c>
      <c r="V713" s="12">
        <f>C713+5</f>
        <v>40920</v>
      </c>
      <c r="W713">
        <f>IF(D713=' Pivot Tables'!$A$4,1,0)</f>
        <v>0</v>
      </c>
      <c r="X713">
        <f>IF(AND(LEFT(D713,4)+1=LEFT(' Pivot Tables'!$A$4,4)+0,RIGHT(LEFT(D713,7),2)=RIGHT(LEFT(' Pivot Tables'!$A$4,7),2)),1,0)</f>
        <v>0</v>
      </c>
      <c r="Y713" s="6">
        <f>1/COUNTIF(Таблица1[Order ID],Таблица1[[#This Row],[Order ID]])</f>
        <v>0.5</v>
      </c>
      <c r="Z713" s="9">
        <f>1/COUNTIFS(Таблица1[Customer Name],Таблица1[[#This Row],[Customer Name]],Таблица1[Order-Year-Month],Таблица1[[#This Row],[Order-Year-Month]])</f>
        <v>0.33333333333333331</v>
      </c>
    </row>
    <row r="714" spans="1:26" x14ac:dyDescent="0.2">
      <c r="A714" s="6">
        <v>7607</v>
      </c>
      <c r="B714" s="7">
        <v>54437</v>
      </c>
      <c r="C714" s="8">
        <f>DATE(2012,12,31)-743</f>
        <v>40531</v>
      </c>
      <c r="D714" s="8" t="str">
        <f t="shared" si="15"/>
        <v>2010-12 (декабрь 2010)</v>
      </c>
      <c r="E714" s="9" t="s">
        <v>30</v>
      </c>
      <c r="F714" s="7">
        <v>15</v>
      </c>
      <c r="G714" s="7">
        <v>653.87099999999998</v>
      </c>
      <c r="H714" s="7">
        <v>0.09</v>
      </c>
      <c r="I714" s="9" t="s">
        <v>22</v>
      </c>
      <c r="J714" s="10">
        <v>-311.04699999999997</v>
      </c>
      <c r="K714" s="11">
        <v>55.99</v>
      </c>
      <c r="L714" s="11">
        <v>5</v>
      </c>
      <c r="M714" s="9" t="s">
        <v>657</v>
      </c>
      <c r="N714" s="6" t="s">
        <v>672</v>
      </c>
      <c r="O714" s="6" t="s">
        <v>673</v>
      </c>
      <c r="P714" s="9" t="s">
        <v>41</v>
      </c>
      <c r="Q714" s="9" t="s">
        <v>42</v>
      </c>
      <c r="R714" s="9" t="s">
        <v>43</v>
      </c>
      <c r="S714" s="7" t="s">
        <v>248</v>
      </c>
      <c r="T714" s="9" t="s">
        <v>52</v>
      </c>
      <c r="U714" s="7">
        <v>0.83</v>
      </c>
      <c r="V714" s="12">
        <f>C714+0</f>
        <v>40531</v>
      </c>
      <c r="W714">
        <f>IF(D714=' Pivot Tables'!$A$4,1,0)</f>
        <v>0</v>
      </c>
      <c r="X714">
        <f>IF(AND(LEFT(D714,4)+1=LEFT(' Pivot Tables'!$A$4,4)+0,RIGHT(LEFT(D714,7),2)=RIGHT(LEFT(' Pivot Tables'!$A$4,7),2)),1,0)</f>
        <v>0</v>
      </c>
      <c r="Y714" s="6">
        <f>1/COUNTIF(Таблица1[Order ID],Таблица1[[#This Row],[Order ID]])</f>
        <v>1</v>
      </c>
      <c r="Z714" s="9">
        <f>1/COUNTIFS(Таблица1[Customer Name],Таблица1[[#This Row],[Customer Name]],Таблица1[Order-Year-Month],Таблица1[[#This Row],[Order-Year-Month]])</f>
        <v>0.5</v>
      </c>
    </row>
    <row r="715" spans="1:26" x14ac:dyDescent="0.2">
      <c r="A715" s="6">
        <v>7616</v>
      </c>
      <c r="B715" s="7">
        <v>54501</v>
      </c>
      <c r="C715" s="8">
        <f>DATE(2012,12,31)-32</f>
        <v>41242</v>
      </c>
      <c r="D715" s="8" t="str">
        <f t="shared" si="15"/>
        <v>2012-11 (ноябрь 2012)</v>
      </c>
      <c r="E715" s="9" t="s">
        <v>78</v>
      </c>
      <c r="F715" s="7">
        <v>36</v>
      </c>
      <c r="G715" s="7">
        <v>2039.0820000000001</v>
      </c>
      <c r="H715" s="7">
        <v>0.01</v>
      </c>
      <c r="I715" s="9" t="s">
        <v>22</v>
      </c>
      <c r="J715" s="10">
        <v>481.69800000000004</v>
      </c>
      <c r="K715" s="11">
        <v>65.989999999999995</v>
      </c>
      <c r="L715" s="11">
        <v>4.99</v>
      </c>
      <c r="M715" s="9" t="s">
        <v>535</v>
      </c>
      <c r="N715" s="6" t="s">
        <v>672</v>
      </c>
      <c r="O715" s="6" t="s">
        <v>673</v>
      </c>
      <c r="P715" s="9" t="s">
        <v>41</v>
      </c>
      <c r="Q715" s="9" t="s">
        <v>42</v>
      </c>
      <c r="R715" s="9" t="s">
        <v>43</v>
      </c>
      <c r="S715" s="7" t="s">
        <v>692</v>
      </c>
      <c r="T715" s="9" t="s">
        <v>39</v>
      </c>
      <c r="U715" s="7">
        <v>0.56999999999999995</v>
      </c>
      <c r="V715" s="12">
        <f>C715+1</f>
        <v>41243</v>
      </c>
      <c r="W715">
        <f>IF(D715=' Pivot Tables'!$A$4,1,0)</f>
        <v>0</v>
      </c>
      <c r="X715">
        <f>IF(AND(LEFT(D715,4)+1=LEFT(' Pivot Tables'!$A$4,4)+0,RIGHT(LEFT(D715,7),2)=RIGHT(LEFT(' Pivot Tables'!$A$4,7),2)),1,0)</f>
        <v>0</v>
      </c>
      <c r="Y715" s="6">
        <f>1/COUNTIF(Таблица1[Order ID],Таблица1[[#This Row],[Order ID]])</f>
        <v>0.33333333333333331</v>
      </c>
      <c r="Z715" s="9">
        <f>1/COUNTIFS(Таблица1[Customer Name],Таблица1[[#This Row],[Customer Name]],Таблица1[Order-Year-Month],Таблица1[[#This Row],[Order-Year-Month]])</f>
        <v>0.25</v>
      </c>
    </row>
    <row r="716" spans="1:26" x14ac:dyDescent="0.2">
      <c r="A716" s="6">
        <v>7617</v>
      </c>
      <c r="B716" s="7">
        <v>54501</v>
      </c>
      <c r="C716" s="8">
        <f>DATE(2012,12,31)-32</f>
        <v>41242</v>
      </c>
      <c r="D716" s="8" t="str">
        <f t="shared" si="15"/>
        <v>2012-11 (ноябрь 2012)</v>
      </c>
      <c r="E716" s="9" t="s">
        <v>78</v>
      </c>
      <c r="F716" s="7">
        <v>16</v>
      </c>
      <c r="G716" s="7">
        <v>225.46</v>
      </c>
      <c r="H716" s="7">
        <v>0.09</v>
      </c>
      <c r="I716" s="9" t="s">
        <v>22</v>
      </c>
      <c r="J716" s="10">
        <v>-33.025199999999998</v>
      </c>
      <c r="K716" s="11">
        <v>13.99</v>
      </c>
      <c r="L716" s="11">
        <v>7.51</v>
      </c>
      <c r="M716" s="9" t="s">
        <v>535</v>
      </c>
      <c r="N716" s="6" t="s">
        <v>672</v>
      </c>
      <c r="O716" s="6" t="s">
        <v>673</v>
      </c>
      <c r="P716" s="9" t="s">
        <v>41</v>
      </c>
      <c r="Q716" s="9" t="s">
        <v>42</v>
      </c>
      <c r="R716" s="9" t="s">
        <v>210</v>
      </c>
      <c r="S716" s="7" t="s">
        <v>687</v>
      </c>
      <c r="T716" s="9" t="s">
        <v>48</v>
      </c>
      <c r="U716" s="7">
        <v>0.39</v>
      </c>
      <c r="V716" s="12">
        <f>C716+2</f>
        <v>41244</v>
      </c>
      <c r="W716">
        <f>IF(D716=' Pivot Tables'!$A$4,1,0)</f>
        <v>0</v>
      </c>
      <c r="X716">
        <f>IF(AND(LEFT(D716,4)+1=LEFT(' Pivot Tables'!$A$4,4)+0,RIGHT(LEFT(D716,7),2)=RIGHT(LEFT(' Pivot Tables'!$A$4,7),2)),1,0)</f>
        <v>0</v>
      </c>
      <c r="Y716" s="6">
        <f>1/COUNTIF(Таблица1[Order ID],Таблица1[[#This Row],[Order ID]])</f>
        <v>0.33333333333333331</v>
      </c>
      <c r="Z716" s="9">
        <f>1/COUNTIFS(Таблица1[Customer Name],Таблица1[[#This Row],[Customer Name]],Таблица1[Order-Year-Month],Таблица1[[#This Row],[Order-Year-Month]])</f>
        <v>0.25</v>
      </c>
    </row>
    <row r="717" spans="1:26" x14ac:dyDescent="0.2">
      <c r="A717" s="6">
        <v>7618</v>
      </c>
      <c r="B717" s="7">
        <v>54501</v>
      </c>
      <c r="C717" s="8">
        <f>DATE(2012,12,31)-32</f>
        <v>41242</v>
      </c>
      <c r="D717" s="8" t="str">
        <f t="shared" si="15"/>
        <v>2012-11 (ноябрь 2012)</v>
      </c>
      <c r="E717" s="9" t="s">
        <v>78</v>
      </c>
      <c r="F717" s="7">
        <v>38</v>
      </c>
      <c r="G717" s="7">
        <v>783.96</v>
      </c>
      <c r="H717" s="7">
        <v>0.05</v>
      </c>
      <c r="I717" s="9" t="s">
        <v>22</v>
      </c>
      <c r="J717" s="10">
        <v>-1195.29</v>
      </c>
      <c r="K717" s="11">
        <v>20.34</v>
      </c>
      <c r="L717" s="11">
        <v>35</v>
      </c>
      <c r="M717" s="9" t="s">
        <v>535</v>
      </c>
      <c r="N717" s="6" t="s">
        <v>672</v>
      </c>
      <c r="O717" s="6" t="s">
        <v>673</v>
      </c>
      <c r="P717" s="9" t="s">
        <v>41</v>
      </c>
      <c r="Q717" s="9" t="s">
        <v>26</v>
      </c>
      <c r="R717" s="9" t="s">
        <v>27</v>
      </c>
      <c r="S717" s="7" t="s">
        <v>693</v>
      </c>
      <c r="T717" s="9" t="s">
        <v>29</v>
      </c>
      <c r="U717" s="7">
        <v>0.84</v>
      </c>
      <c r="V717" s="12">
        <f>C717+2</f>
        <v>41244</v>
      </c>
      <c r="W717">
        <f>IF(D717=' Pivot Tables'!$A$4,1,0)</f>
        <v>0</v>
      </c>
      <c r="X717">
        <f>IF(AND(LEFT(D717,4)+1=LEFT(' Pivot Tables'!$A$4,4)+0,RIGHT(LEFT(D717,7),2)=RIGHT(LEFT(' Pivot Tables'!$A$4,7),2)),1,0)</f>
        <v>0</v>
      </c>
      <c r="Y717" s="6">
        <f>1/COUNTIF(Таблица1[Order ID],Таблица1[[#This Row],[Order ID]])</f>
        <v>0.33333333333333331</v>
      </c>
      <c r="Z717" s="9">
        <f>1/COUNTIFS(Таблица1[Customer Name],Таблица1[[#This Row],[Customer Name]],Таблица1[Order-Year-Month],Таблица1[[#This Row],[Order-Year-Month]])</f>
        <v>0.25</v>
      </c>
    </row>
    <row r="718" spans="1:26" x14ac:dyDescent="0.2">
      <c r="A718" s="6">
        <v>7642</v>
      </c>
      <c r="B718" s="7">
        <v>54753</v>
      </c>
      <c r="C718" s="8">
        <f>DATE(2012,12,31)-1353</f>
        <v>39921</v>
      </c>
      <c r="D718" s="8" t="str">
        <f t="shared" si="15"/>
        <v>2009-04 (апрель 2009)</v>
      </c>
      <c r="E718" s="9" t="s">
        <v>63</v>
      </c>
      <c r="F718" s="7">
        <v>36</v>
      </c>
      <c r="G718" s="7">
        <v>4711.2440000000006</v>
      </c>
      <c r="H718" s="7">
        <v>0.06</v>
      </c>
      <c r="I718" s="9" t="s">
        <v>22</v>
      </c>
      <c r="J718" s="10">
        <v>1380.3210000000001</v>
      </c>
      <c r="K718" s="11">
        <v>155.99</v>
      </c>
      <c r="L718" s="11">
        <v>3.9</v>
      </c>
      <c r="M718" s="9" t="s">
        <v>548</v>
      </c>
      <c r="N718" s="6" t="s">
        <v>672</v>
      </c>
      <c r="O718" s="6" t="s">
        <v>673</v>
      </c>
      <c r="P718" s="9" t="s">
        <v>41</v>
      </c>
      <c r="Q718" s="9" t="s">
        <v>42</v>
      </c>
      <c r="R718" s="9" t="s">
        <v>43</v>
      </c>
      <c r="S718" s="7" t="s">
        <v>257</v>
      </c>
      <c r="T718" s="9" t="s">
        <v>39</v>
      </c>
      <c r="U718" s="7">
        <v>0.55000000000000004</v>
      </c>
      <c r="V718" s="12">
        <f>C718+1</f>
        <v>39922</v>
      </c>
      <c r="W718">
        <f>IF(D718=' Pivot Tables'!$A$4,1,0)</f>
        <v>0</v>
      </c>
      <c r="X718">
        <f>IF(AND(LEFT(D718,4)+1=LEFT(' Pivot Tables'!$A$4,4)+0,RIGHT(LEFT(D718,7),2)=RIGHT(LEFT(' Pivot Tables'!$A$4,7),2)),1,0)</f>
        <v>0</v>
      </c>
      <c r="Y718" s="6">
        <f>1/COUNTIF(Таблица1[Order ID],Таблица1[[#This Row],[Order ID]])</f>
        <v>1</v>
      </c>
      <c r="Z718" s="9">
        <f>1/COUNTIFS(Таблица1[Customer Name],Таблица1[[#This Row],[Customer Name]],Таблица1[Order-Year-Month],Таблица1[[#This Row],[Order-Year-Month]])</f>
        <v>0.5</v>
      </c>
    </row>
    <row r="719" spans="1:26" x14ac:dyDescent="0.2">
      <c r="A719" s="6">
        <v>7690</v>
      </c>
      <c r="B719" s="7">
        <v>55138</v>
      </c>
      <c r="C719" s="8">
        <f>DATE(2012,12,31)-1194</f>
        <v>40080</v>
      </c>
      <c r="D719" s="8" t="str">
        <f t="shared" si="15"/>
        <v>2009-09 (сентябрь 2009)</v>
      </c>
      <c r="E719" s="9" t="s">
        <v>30</v>
      </c>
      <c r="F719" s="7">
        <v>22</v>
      </c>
      <c r="G719" s="7">
        <v>1132.54</v>
      </c>
      <c r="H719" s="7">
        <v>0</v>
      </c>
      <c r="I719" s="9" t="s">
        <v>22</v>
      </c>
      <c r="J719" s="10">
        <v>-628.38</v>
      </c>
      <c r="K719" s="11">
        <v>48.91</v>
      </c>
      <c r="L719" s="11">
        <v>35</v>
      </c>
      <c r="M719" s="9" t="s">
        <v>650</v>
      </c>
      <c r="N719" s="6" t="s">
        <v>672</v>
      </c>
      <c r="O719" s="6" t="s">
        <v>673</v>
      </c>
      <c r="P719" s="9" t="s">
        <v>41</v>
      </c>
      <c r="Q719" s="9" t="s">
        <v>26</v>
      </c>
      <c r="R719" s="9" t="s">
        <v>27</v>
      </c>
      <c r="S719" s="7" t="s">
        <v>418</v>
      </c>
      <c r="T719" s="9" t="s">
        <v>29</v>
      </c>
      <c r="U719" s="7">
        <v>0.83</v>
      </c>
      <c r="V719" s="12">
        <f>C719+1</f>
        <v>40081</v>
      </c>
      <c r="W719">
        <f>IF(D719=' Pivot Tables'!$A$4,1,0)</f>
        <v>0</v>
      </c>
      <c r="X719">
        <f>IF(AND(LEFT(D719,4)+1=LEFT(' Pivot Tables'!$A$4,4)+0,RIGHT(LEFT(D719,7),2)=RIGHT(LEFT(' Pivot Tables'!$A$4,7),2)),1,0)</f>
        <v>0</v>
      </c>
      <c r="Y719" s="6">
        <f>1/COUNTIF(Таблица1[Order ID],Таблица1[[#This Row],[Order ID]])</f>
        <v>1</v>
      </c>
      <c r="Z719" s="9">
        <f>1/COUNTIFS(Таблица1[Customer Name],Таблица1[[#This Row],[Customer Name]],Таблица1[Order-Year-Month],Таблица1[[#This Row],[Order-Year-Month]])</f>
        <v>1</v>
      </c>
    </row>
    <row r="720" spans="1:26" x14ac:dyDescent="0.2">
      <c r="A720" s="6">
        <v>7713</v>
      </c>
      <c r="B720" s="7">
        <v>55271</v>
      </c>
      <c r="C720" s="8">
        <f>DATE(2012,12,31)-661</f>
        <v>40613</v>
      </c>
      <c r="D720" s="8" t="str">
        <f t="shared" si="15"/>
        <v>2011-03 (март 2011)</v>
      </c>
      <c r="E720" s="9" t="s">
        <v>63</v>
      </c>
      <c r="F720" s="7">
        <v>16</v>
      </c>
      <c r="G720" s="7">
        <v>1648.33</v>
      </c>
      <c r="H720" s="7">
        <v>7.0000000000000007E-2</v>
      </c>
      <c r="I720" s="9" t="s">
        <v>31</v>
      </c>
      <c r="J720" s="10">
        <v>-210.14</v>
      </c>
      <c r="K720" s="11">
        <v>100.89</v>
      </c>
      <c r="L720" s="11">
        <v>42</v>
      </c>
      <c r="M720" s="9" t="s">
        <v>46</v>
      </c>
      <c r="N720" s="6" t="s">
        <v>672</v>
      </c>
      <c r="O720" s="6" t="s">
        <v>673</v>
      </c>
      <c r="P720" s="9" t="s">
        <v>33</v>
      </c>
      <c r="Q720" s="9" t="s">
        <v>49</v>
      </c>
      <c r="R720" s="9" t="s">
        <v>112</v>
      </c>
      <c r="S720" s="7" t="s">
        <v>694</v>
      </c>
      <c r="T720" s="9" t="s">
        <v>36</v>
      </c>
      <c r="U720" s="7">
        <v>0.61</v>
      </c>
      <c r="V720" s="12">
        <f>C720+2</f>
        <v>40615</v>
      </c>
      <c r="W720">
        <f>IF(D720=' Pivot Tables'!$A$4,1,0)</f>
        <v>0</v>
      </c>
      <c r="X720">
        <f>IF(AND(LEFT(D720,4)+1=LEFT(' Pivot Tables'!$A$4,4)+0,RIGHT(LEFT(D720,7),2)=RIGHT(LEFT(' Pivot Tables'!$A$4,7),2)),1,0)</f>
        <v>0</v>
      </c>
      <c r="Y720" s="6">
        <f>1/COUNTIF(Таблица1[Order ID],Таблица1[[#This Row],[Order ID]])</f>
        <v>1</v>
      </c>
      <c r="Z720" s="9">
        <f>1/COUNTIFS(Таблица1[Customer Name],Таблица1[[#This Row],[Customer Name]],Таблица1[Order-Year-Month],Таблица1[[#This Row],[Order-Year-Month]])</f>
        <v>1</v>
      </c>
    </row>
    <row r="721" spans="1:26" x14ac:dyDescent="0.2">
      <c r="A721" s="6">
        <v>7722</v>
      </c>
      <c r="B721" s="7">
        <v>55331</v>
      </c>
      <c r="C721" s="8">
        <f>DATE(2012,12,31)-749</f>
        <v>40525</v>
      </c>
      <c r="D721" s="8" t="str">
        <f t="shared" si="15"/>
        <v>2010-12 (декабрь 2010)</v>
      </c>
      <c r="E721" s="9" t="s">
        <v>30</v>
      </c>
      <c r="F721" s="7">
        <v>13</v>
      </c>
      <c r="G721" s="7">
        <v>50.35</v>
      </c>
      <c r="H721" s="7">
        <v>0.05</v>
      </c>
      <c r="I721" s="9" t="s">
        <v>22</v>
      </c>
      <c r="J721" s="10">
        <v>-8.24</v>
      </c>
      <c r="K721" s="11">
        <v>3.69</v>
      </c>
      <c r="L721" s="11">
        <v>2.5</v>
      </c>
      <c r="M721" s="9" t="s">
        <v>537</v>
      </c>
      <c r="N721" s="6" t="s">
        <v>672</v>
      </c>
      <c r="O721" s="6" t="s">
        <v>673</v>
      </c>
      <c r="P721" s="9" t="s">
        <v>25</v>
      </c>
      <c r="Q721" s="9" t="s">
        <v>26</v>
      </c>
      <c r="R721" s="9" t="s">
        <v>76</v>
      </c>
      <c r="S721" s="7" t="s">
        <v>647</v>
      </c>
      <c r="T721" s="9" t="s">
        <v>39</v>
      </c>
      <c r="U721" s="7">
        <v>0.39</v>
      </c>
      <c r="V721" s="12">
        <f>C721+2</f>
        <v>40527</v>
      </c>
      <c r="W721">
        <f>IF(D721=' Pivot Tables'!$A$4,1,0)</f>
        <v>0</v>
      </c>
      <c r="X721">
        <f>IF(AND(LEFT(D721,4)+1=LEFT(' Pivot Tables'!$A$4,4)+0,RIGHT(LEFT(D721,7),2)=RIGHT(LEFT(' Pivot Tables'!$A$4,7),2)),1,0)</f>
        <v>0</v>
      </c>
      <c r="Y721" s="6">
        <f>1/COUNTIF(Таблица1[Order ID],Таблица1[[#This Row],[Order ID]])</f>
        <v>1</v>
      </c>
      <c r="Z721" s="9">
        <f>1/COUNTIFS(Таблица1[Customer Name],Таблица1[[#This Row],[Customer Name]],Таблица1[Order-Year-Month],Таблица1[[#This Row],[Order-Year-Month]])</f>
        <v>0.5</v>
      </c>
    </row>
    <row r="722" spans="1:26" x14ac:dyDescent="0.2">
      <c r="A722" s="6">
        <v>7769</v>
      </c>
      <c r="B722" s="7">
        <v>55618</v>
      </c>
      <c r="C722" s="8">
        <f>DATE(2012,12,31)-345</f>
        <v>40929</v>
      </c>
      <c r="D722" s="8" t="str">
        <f t="shared" si="15"/>
        <v>2012-01 (январь 2012)</v>
      </c>
      <c r="E722" s="9" t="s">
        <v>63</v>
      </c>
      <c r="F722" s="7">
        <v>48</v>
      </c>
      <c r="G722" s="7">
        <v>1494.232</v>
      </c>
      <c r="H722" s="7">
        <v>0.04</v>
      </c>
      <c r="I722" s="9" t="s">
        <v>22</v>
      </c>
      <c r="J722" s="10">
        <v>479.952</v>
      </c>
      <c r="K722" s="11">
        <v>35.99</v>
      </c>
      <c r="L722" s="11">
        <v>1.25</v>
      </c>
      <c r="M722" s="9" t="s">
        <v>689</v>
      </c>
      <c r="N722" s="6" t="s">
        <v>672</v>
      </c>
      <c r="O722" s="6" t="s">
        <v>673</v>
      </c>
      <c r="P722" s="9" t="s">
        <v>41</v>
      </c>
      <c r="Q722" s="9" t="s">
        <v>42</v>
      </c>
      <c r="R722" s="9" t="s">
        <v>43</v>
      </c>
      <c r="S722" s="7" t="s">
        <v>695</v>
      </c>
      <c r="T722" s="9" t="s">
        <v>52</v>
      </c>
      <c r="U722" s="7">
        <v>0.56999999999999995</v>
      </c>
      <c r="V722" s="12">
        <f>C722+1</f>
        <v>40930</v>
      </c>
      <c r="W722">
        <f>IF(D722=' Pivot Tables'!$A$4,1,0)</f>
        <v>0</v>
      </c>
      <c r="X722">
        <f>IF(AND(LEFT(D722,4)+1=LEFT(' Pivot Tables'!$A$4,4)+0,RIGHT(LEFT(D722,7),2)=RIGHT(LEFT(' Pivot Tables'!$A$4,7),2)),1,0)</f>
        <v>0</v>
      </c>
      <c r="Y722" s="6">
        <f>1/COUNTIF(Таблица1[Order ID],Таблица1[[#This Row],[Order ID]])</f>
        <v>1</v>
      </c>
      <c r="Z722" s="9">
        <f>1/COUNTIFS(Таблица1[Customer Name],Таблица1[[#This Row],[Customer Name]],Таблица1[Order-Year-Month],Таблица1[[#This Row],[Order-Year-Month]])</f>
        <v>0.33333333333333331</v>
      </c>
    </row>
    <row r="723" spans="1:26" x14ac:dyDescent="0.2">
      <c r="A723" s="6">
        <v>7924</v>
      </c>
      <c r="B723" s="7">
        <v>56645</v>
      </c>
      <c r="C723" s="8">
        <f>DATE(2012,12,31)-360</f>
        <v>40914</v>
      </c>
      <c r="D723" s="8" t="str">
        <f t="shared" si="15"/>
        <v>2012-01 (январь 2012)</v>
      </c>
      <c r="E723" s="9" t="s">
        <v>21</v>
      </c>
      <c r="F723" s="7">
        <v>46</v>
      </c>
      <c r="G723" s="7">
        <v>1483.49</v>
      </c>
      <c r="H723" s="7">
        <v>0.02</v>
      </c>
      <c r="I723" s="9" t="s">
        <v>22</v>
      </c>
      <c r="J723" s="10">
        <v>65.819999999999993</v>
      </c>
      <c r="K723" s="11">
        <v>30.98</v>
      </c>
      <c r="L723" s="11">
        <v>17.079999999999998</v>
      </c>
      <c r="M723" s="9" t="s">
        <v>531</v>
      </c>
      <c r="N723" s="6" t="s">
        <v>672</v>
      </c>
      <c r="O723" s="6" t="s">
        <v>673</v>
      </c>
      <c r="P723" s="9" t="s">
        <v>60</v>
      </c>
      <c r="Q723" s="9" t="s">
        <v>26</v>
      </c>
      <c r="R723" s="9" t="s">
        <v>61</v>
      </c>
      <c r="S723" s="7" t="s">
        <v>513</v>
      </c>
      <c r="T723" s="9" t="s">
        <v>39</v>
      </c>
      <c r="U723" s="7">
        <v>0.4</v>
      </c>
      <c r="V723" s="12">
        <f>C723+0</f>
        <v>40914</v>
      </c>
      <c r="W723">
        <f>IF(D723=' Pivot Tables'!$A$4,1,0)</f>
        <v>0</v>
      </c>
      <c r="X723">
        <f>IF(AND(LEFT(D723,4)+1=LEFT(' Pivot Tables'!$A$4,4)+0,RIGHT(LEFT(D723,7),2)=RIGHT(LEFT(' Pivot Tables'!$A$4,7),2)),1,0)</f>
        <v>0</v>
      </c>
      <c r="Y723" s="6">
        <f>1/COUNTIF(Таблица1[Order ID],Таблица1[[#This Row],[Order ID]])</f>
        <v>0.5</v>
      </c>
      <c r="Z723" s="9">
        <f>1/COUNTIFS(Таблица1[Customer Name],Таблица1[[#This Row],[Customer Name]],Таблица1[Order-Year-Month],Таблица1[[#This Row],[Order-Year-Month]])</f>
        <v>0.5</v>
      </c>
    </row>
    <row r="724" spans="1:26" x14ac:dyDescent="0.2">
      <c r="A724" s="6">
        <v>7925</v>
      </c>
      <c r="B724" s="7">
        <v>56645</v>
      </c>
      <c r="C724" s="8">
        <f>DATE(2012,12,31)-360</f>
        <v>40914</v>
      </c>
      <c r="D724" s="8" t="str">
        <f t="shared" si="15"/>
        <v>2012-01 (январь 2012)</v>
      </c>
      <c r="E724" s="9" t="s">
        <v>21</v>
      </c>
      <c r="F724" s="7">
        <v>42</v>
      </c>
      <c r="G724" s="7">
        <v>14729.36</v>
      </c>
      <c r="H724" s="7">
        <v>7.0000000000000007E-2</v>
      </c>
      <c r="I724" s="9" t="s">
        <v>31</v>
      </c>
      <c r="J724" s="10">
        <v>3277.57</v>
      </c>
      <c r="K724" s="11">
        <v>348.21</v>
      </c>
      <c r="L724" s="11">
        <v>40.19</v>
      </c>
      <c r="M724" s="9" t="s">
        <v>531</v>
      </c>
      <c r="N724" s="6" t="s">
        <v>672</v>
      </c>
      <c r="O724" s="6" t="s">
        <v>673</v>
      </c>
      <c r="P724" s="9" t="s">
        <v>60</v>
      </c>
      <c r="Q724" s="9" t="s">
        <v>49</v>
      </c>
      <c r="R724" s="9" t="s">
        <v>83</v>
      </c>
      <c r="S724" s="7" t="s">
        <v>599</v>
      </c>
      <c r="T724" s="9" t="s">
        <v>82</v>
      </c>
      <c r="U724" s="7">
        <v>0.62</v>
      </c>
      <c r="V724" s="12">
        <f>C724+2</f>
        <v>40916</v>
      </c>
      <c r="W724">
        <f>IF(D724=' Pivot Tables'!$A$4,1,0)</f>
        <v>0</v>
      </c>
      <c r="X724">
        <f>IF(AND(LEFT(D724,4)+1=LEFT(' Pivot Tables'!$A$4,4)+0,RIGHT(LEFT(D724,7),2)=RIGHT(LEFT(' Pivot Tables'!$A$4,7),2)),1,0)</f>
        <v>0</v>
      </c>
      <c r="Y724" s="6">
        <f>1/COUNTIF(Таблица1[Order ID],Таблица1[[#This Row],[Order ID]])</f>
        <v>0.5</v>
      </c>
      <c r="Z724" s="9">
        <f>1/COUNTIFS(Таблица1[Customer Name],Таблица1[[#This Row],[Customer Name]],Таблица1[Order-Year-Month],Таблица1[[#This Row],[Order-Year-Month]])</f>
        <v>0.5</v>
      </c>
    </row>
    <row r="725" spans="1:26" x14ac:dyDescent="0.2">
      <c r="A725" s="6">
        <v>7949</v>
      </c>
      <c r="B725" s="7">
        <v>56803</v>
      </c>
      <c r="C725" s="8">
        <f>DATE(2012,12,31)-1117</f>
        <v>40157</v>
      </c>
      <c r="D725" s="8" t="str">
        <f t="shared" si="15"/>
        <v>2009-12 (декабрь 2009)</v>
      </c>
      <c r="E725" s="9" t="s">
        <v>45</v>
      </c>
      <c r="F725" s="7">
        <v>42</v>
      </c>
      <c r="G725" s="7">
        <v>258.19</v>
      </c>
      <c r="H725" s="7">
        <v>0.1</v>
      </c>
      <c r="I725" s="9" t="s">
        <v>22</v>
      </c>
      <c r="J725" s="10">
        <v>-103.27</v>
      </c>
      <c r="K725" s="11">
        <v>6.48</v>
      </c>
      <c r="L725" s="11">
        <v>5.9</v>
      </c>
      <c r="M725" s="9" t="s">
        <v>46</v>
      </c>
      <c r="N725" s="6" t="s">
        <v>672</v>
      </c>
      <c r="O725" s="6" t="s">
        <v>673</v>
      </c>
      <c r="P725" s="9" t="s">
        <v>25</v>
      </c>
      <c r="Q725" s="9" t="s">
        <v>26</v>
      </c>
      <c r="R725" s="9" t="s">
        <v>61</v>
      </c>
      <c r="S725" s="7" t="s">
        <v>696</v>
      </c>
      <c r="T725" s="9" t="s">
        <v>39</v>
      </c>
      <c r="U725" s="7">
        <v>0.37</v>
      </c>
      <c r="V725" s="12">
        <f>C725+0</f>
        <v>40157</v>
      </c>
      <c r="W725">
        <f>IF(D725=' Pivot Tables'!$A$4,1,0)</f>
        <v>0</v>
      </c>
      <c r="X725">
        <f>IF(AND(LEFT(D725,4)+1=LEFT(' Pivot Tables'!$A$4,4)+0,RIGHT(LEFT(D725,7),2)=RIGHT(LEFT(' Pivot Tables'!$A$4,7),2)),1,0)</f>
        <v>0</v>
      </c>
      <c r="Y725" s="6">
        <f>1/COUNTIF(Таблица1[Order ID],Таблица1[[#This Row],[Order ID]])</f>
        <v>1</v>
      </c>
      <c r="Z725" s="9">
        <f>1/COUNTIFS(Таблица1[Customer Name],Таблица1[[#This Row],[Customer Name]],Таблица1[Order-Year-Month],Таблица1[[#This Row],[Order-Year-Month]])</f>
        <v>0.33333333333333331</v>
      </c>
    </row>
    <row r="726" spans="1:26" x14ac:dyDescent="0.2">
      <c r="A726" s="6">
        <v>8001</v>
      </c>
      <c r="B726" s="7">
        <v>57159</v>
      </c>
      <c r="C726" s="8">
        <f>DATE(2012,12,31)-1053</f>
        <v>40221</v>
      </c>
      <c r="D726" s="8" t="str">
        <f t="shared" si="15"/>
        <v>2010-02 (февраль 2010)</v>
      </c>
      <c r="E726" s="9" t="s">
        <v>78</v>
      </c>
      <c r="F726" s="7">
        <v>17</v>
      </c>
      <c r="G726" s="7">
        <v>4621.1000000000004</v>
      </c>
      <c r="H726" s="7">
        <v>0.09</v>
      </c>
      <c r="I726" s="9" t="s">
        <v>31</v>
      </c>
      <c r="J726" s="10">
        <v>-635.65</v>
      </c>
      <c r="K726" s="11">
        <v>280.98</v>
      </c>
      <c r="L726" s="11">
        <v>57</v>
      </c>
      <c r="M726" s="9" t="s">
        <v>562</v>
      </c>
      <c r="N726" s="6" t="s">
        <v>672</v>
      </c>
      <c r="O726" s="6" t="s">
        <v>673</v>
      </c>
      <c r="P726" s="9" t="s">
        <v>41</v>
      </c>
      <c r="Q726" s="9" t="s">
        <v>49</v>
      </c>
      <c r="R726" s="9" t="s">
        <v>112</v>
      </c>
      <c r="S726" s="7" t="s">
        <v>697</v>
      </c>
      <c r="T726" s="9" t="s">
        <v>36</v>
      </c>
      <c r="U726" s="7">
        <v>0.78</v>
      </c>
      <c r="V726" s="12">
        <f>C726+1</f>
        <v>40222</v>
      </c>
      <c r="W726">
        <f>IF(D726=' Pivot Tables'!$A$4,1,0)</f>
        <v>0</v>
      </c>
      <c r="X726">
        <f>IF(AND(LEFT(D726,4)+1=LEFT(' Pivot Tables'!$A$4,4)+0,RIGHT(LEFT(D726,7),2)=RIGHT(LEFT(' Pivot Tables'!$A$4,7),2)),1,0)</f>
        <v>0</v>
      </c>
      <c r="Y726" s="6">
        <f>1/COUNTIF(Таблица1[Order ID],Таблица1[[#This Row],[Order ID]])</f>
        <v>0.5</v>
      </c>
      <c r="Z726" s="9">
        <f>1/COUNTIFS(Таблица1[Customer Name],Таблица1[[#This Row],[Customer Name]],Таблица1[Order-Year-Month],Таблица1[[#This Row],[Order-Year-Month]])</f>
        <v>0.5</v>
      </c>
    </row>
    <row r="727" spans="1:26" x14ac:dyDescent="0.2">
      <c r="A727" s="6">
        <v>8002</v>
      </c>
      <c r="B727" s="7">
        <v>57159</v>
      </c>
      <c r="C727" s="8">
        <f>DATE(2012,12,31)-1053</f>
        <v>40221</v>
      </c>
      <c r="D727" s="8" t="str">
        <f t="shared" si="15"/>
        <v>2010-02 (февраль 2010)</v>
      </c>
      <c r="E727" s="9" t="s">
        <v>78</v>
      </c>
      <c r="F727" s="7">
        <v>42</v>
      </c>
      <c r="G727" s="7">
        <v>460.2</v>
      </c>
      <c r="H727" s="7">
        <v>0.01</v>
      </c>
      <c r="I727" s="9" t="s">
        <v>22</v>
      </c>
      <c r="J727" s="10">
        <v>-214.39</v>
      </c>
      <c r="K727" s="11">
        <v>9.99</v>
      </c>
      <c r="L727" s="11">
        <v>11.59</v>
      </c>
      <c r="M727" s="9" t="s">
        <v>562</v>
      </c>
      <c r="N727" s="6" t="s">
        <v>672</v>
      </c>
      <c r="O727" s="6" t="s">
        <v>673</v>
      </c>
      <c r="P727" s="9" t="s">
        <v>41</v>
      </c>
      <c r="Q727" s="9" t="s">
        <v>26</v>
      </c>
      <c r="R727" s="9" t="s">
        <v>61</v>
      </c>
      <c r="S727" s="7" t="s">
        <v>698</v>
      </c>
      <c r="T727" s="9" t="s">
        <v>39</v>
      </c>
      <c r="U727" s="7">
        <v>0.4</v>
      </c>
      <c r="V727" s="12">
        <f>C727+0</f>
        <v>40221</v>
      </c>
      <c r="W727">
        <f>IF(D727=' Pivot Tables'!$A$4,1,0)</f>
        <v>0</v>
      </c>
      <c r="X727">
        <f>IF(AND(LEFT(D727,4)+1=LEFT(' Pivot Tables'!$A$4,4)+0,RIGHT(LEFT(D727,7),2)=RIGHT(LEFT(' Pivot Tables'!$A$4,7),2)),1,0)</f>
        <v>0</v>
      </c>
      <c r="Y727" s="6">
        <f>1/COUNTIF(Таблица1[Order ID],Таблица1[[#This Row],[Order ID]])</f>
        <v>0.5</v>
      </c>
      <c r="Z727" s="9">
        <f>1/COUNTIFS(Таблица1[Customer Name],Таблица1[[#This Row],[Customer Name]],Таблица1[Order-Year-Month],Таблица1[[#This Row],[Order-Year-Month]])</f>
        <v>0.5</v>
      </c>
    </row>
    <row r="728" spans="1:26" x14ac:dyDescent="0.2">
      <c r="A728" s="6">
        <v>8056</v>
      </c>
      <c r="B728" s="7">
        <v>57507</v>
      </c>
      <c r="C728" s="8">
        <f>DATE(2012,12,31)-1284</f>
        <v>39990</v>
      </c>
      <c r="D728" s="8" t="str">
        <f t="shared" si="15"/>
        <v>2009-06 (июнь 2009)</v>
      </c>
      <c r="E728" s="9" t="s">
        <v>78</v>
      </c>
      <c r="F728" s="7">
        <v>10</v>
      </c>
      <c r="G728" s="7">
        <v>155.44999999999999</v>
      </c>
      <c r="H728" s="7">
        <v>0.03</v>
      </c>
      <c r="I728" s="9" t="s">
        <v>22</v>
      </c>
      <c r="J728" s="10">
        <v>-19.676500000000001</v>
      </c>
      <c r="K728" s="11">
        <v>15.01</v>
      </c>
      <c r="L728" s="11">
        <v>8.4</v>
      </c>
      <c r="M728" s="9" t="s">
        <v>657</v>
      </c>
      <c r="N728" s="6" t="s">
        <v>672</v>
      </c>
      <c r="O728" s="6" t="s">
        <v>673</v>
      </c>
      <c r="P728" s="9" t="s">
        <v>41</v>
      </c>
      <c r="Q728" s="9" t="s">
        <v>26</v>
      </c>
      <c r="R728" s="9" t="s">
        <v>37</v>
      </c>
      <c r="S728" s="7" t="s">
        <v>443</v>
      </c>
      <c r="T728" s="9" t="s">
        <v>39</v>
      </c>
      <c r="U728" s="7">
        <v>0.39</v>
      </c>
      <c r="V728" s="12">
        <f>C728+3</f>
        <v>39993</v>
      </c>
      <c r="W728">
        <f>IF(D728=' Pivot Tables'!$A$4,1,0)</f>
        <v>0</v>
      </c>
      <c r="X728">
        <f>IF(AND(LEFT(D728,4)+1=LEFT(' Pivot Tables'!$A$4,4)+0,RIGHT(LEFT(D728,7),2)=RIGHT(LEFT(' Pivot Tables'!$A$4,7),2)),1,0)</f>
        <v>0</v>
      </c>
      <c r="Y728" s="6">
        <f>1/COUNTIF(Таблица1[Order ID],Таблица1[[#This Row],[Order ID]])</f>
        <v>1</v>
      </c>
      <c r="Z728" s="9">
        <f>1/COUNTIFS(Таблица1[Customer Name],Таблица1[[#This Row],[Customer Name]],Таблица1[Order-Year-Month],Таблица1[[#This Row],[Order-Year-Month]])</f>
        <v>1</v>
      </c>
    </row>
    <row r="729" spans="1:26" x14ac:dyDescent="0.2">
      <c r="A729" s="6">
        <v>8114</v>
      </c>
      <c r="B729" s="7">
        <v>57922</v>
      </c>
      <c r="C729" s="8">
        <f>DATE(2012,12,31)-692</f>
        <v>40582</v>
      </c>
      <c r="D729" s="8" t="str">
        <f t="shared" si="15"/>
        <v>2011-02 (февраль 2011)</v>
      </c>
      <c r="E729" s="9" t="s">
        <v>78</v>
      </c>
      <c r="F729" s="7">
        <v>50</v>
      </c>
      <c r="G729" s="7">
        <v>343.26</v>
      </c>
      <c r="H729" s="7">
        <v>0.04</v>
      </c>
      <c r="I729" s="9" t="s">
        <v>22</v>
      </c>
      <c r="J729" s="10">
        <v>-287.27999999999997</v>
      </c>
      <c r="K729" s="11">
        <v>6.84</v>
      </c>
      <c r="L729" s="11">
        <v>8.3699999999999992</v>
      </c>
      <c r="M729" s="9" t="s">
        <v>535</v>
      </c>
      <c r="N729" s="6" t="s">
        <v>672</v>
      </c>
      <c r="O729" s="6" t="s">
        <v>673</v>
      </c>
      <c r="P729" s="9" t="s">
        <v>41</v>
      </c>
      <c r="Q729" s="9" t="s">
        <v>26</v>
      </c>
      <c r="R729" s="9" t="s">
        <v>150</v>
      </c>
      <c r="S729" s="7" t="s">
        <v>401</v>
      </c>
      <c r="T729" s="9" t="s">
        <v>52</v>
      </c>
      <c r="U729" s="7">
        <v>0.57999999999999996</v>
      </c>
      <c r="V729" s="12">
        <f>C729+0</f>
        <v>40582</v>
      </c>
      <c r="W729">
        <f>IF(D729=' Pivot Tables'!$A$4,1,0)</f>
        <v>0</v>
      </c>
      <c r="X729">
        <f>IF(AND(LEFT(D729,4)+1=LEFT(' Pivot Tables'!$A$4,4)+0,RIGHT(LEFT(D729,7),2)=RIGHT(LEFT(' Pivot Tables'!$A$4,7),2)),1,0)</f>
        <v>0</v>
      </c>
      <c r="Y729" s="6">
        <f>1/COUNTIF(Таблица1[Order ID],Таблица1[[#This Row],[Order ID]])</f>
        <v>1</v>
      </c>
      <c r="Z729" s="9">
        <f>1/COUNTIFS(Таблица1[Customer Name],Таблица1[[#This Row],[Customer Name]],Таблица1[Order-Year-Month],Таблица1[[#This Row],[Order-Year-Month]])</f>
        <v>1</v>
      </c>
    </row>
    <row r="730" spans="1:26" x14ac:dyDescent="0.2">
      <c r="A730" s="6">
        <v>8132</v>
      </c>
      <c r="B730" s="7">
        <v>58117</v>
      </c>
      <c r="C730" s="8">
        <f>DATE(2012,12,31)-680</f>
        <v>40594</v>
      </c>
      <c r="D730" s="8" t="str">
        <f t="shared" si="15"/>
        <v>2011-02 (февраль 2011)</v>
      </c>
      <c r="E730" s="9" t="s">
        <v>78</v>
      </c>
      <c r="F730" s="7">
        <v>42</v>
      </c>
      <c r="G730" s="7">
        <v>134.86000000000001</v>
      </c>
      <c r="H730" s="7">
        <v>0.04</v>
      </c>
      <c r="I730" s="9" t="s">
        <v>22</v>
      </c>
      <c r="J730" s="10">
        <v>-62.84</v>
      </c>
      <c r="K730" s="11">
        <v>3.14</v>
      </c>
      <c r="L730" s="11">
        <v>1.92</v>
      </c>
      <c r="M730" s="9" t="s">
        <v>542</v>
      </c>
      <c r="N730" s="6" t="s">
        <v>672</v>
      </c>
      <c r="O730" s="6" t="s">
        <v>673</v>
      </c>
      <c r="P730" s="9" t="s">
        <v>41</v>
      </c>
      <c r="Q730" s="9" t="s">
        <v>26</v>
      </c>
      <c r="R730" s="9" t="s">
        <v>150</v>
      </c>
      <c r="S730" s="7" t="s">
        <v>699</v>
      </c>
      <c r="T730" s="9" t="s">
        <v>68</v>
      </c>
      <c r="U730" s="7">
        <v>0.84</v>
      </c>
      <c r="V730" s="12">
        <f>C730+1</f>
        <v>40595</v>
      </c>
      <c r="W730">
        <f>IF(D730=' Pivot Tables'!$A$4,1,0)</f>
        <v>0</v>
      </c>
      <c r="X730">
        <f>IF(AND(LEFT(D730,4)+1=LEFT(' Pivot Tables'!$A$4,4)+0,RIGHT(LEFT(D730,7),2)=RIGHT(LEFT(' Pivot Tables'!$A$4,7),2)),1,0)</f>
        <v>0</v>
      </c>
      <c r="Y730" s="6">
        <f>1/COUNTIF(Таблица1[Order ID],Таблица1[[#This Row],[Order ID]])</f>
        <v>1</v>
      </c>
      <c r="Z730" s="9">
        <f>1/COUNTIFS(Таблица1[Customer Name],Таблица1[[#This Row],[Customer Name]],Таблица1[Order-Year-Month],Таблица1[[#This Row],[Order-Year-Month]])</f>
        <v>1</v>
      </c>
    </row>
    <row r="731" spans="1:26" x14ac:dyDescent="0.2">
      <c r="A731" s="6">
        <v>8149</v>
      </c>
      <c r="B731" s="7">
        <v>58278</v>
      </c>
      <c r="C731" s="8">
        <f>DATE(2012,12,31)-112</f>
        <v>41162</v>
      </c>
      <c r="D731" s="8" t="str">
        <f t="shared" si="15"/>
        <v>2012-09 (сентябрь 2012)</v>
      </c>
      <c r="E731" s="9" t="s">
        <v>30</v>
      </c>
      <c r="F731" s="7">
        <v>37</v>
      </c>
      <c r="G731" s="7">
        <v>3512.9</v>
      </c>
      <c r="H731" s="7">
        <v>0.08</v>
      </c>
      <c r="I731" s="9" t="s">
        <v>22</v>
      </c>
      <c r="J731" s="10">
        <v>2093.6999999999998</v>
      </c>
      <c r="K731" s="11">
        <v>99.23</v>
      </c>
      <c r="L731" s="11">
        <v>8.99</v>
      </c>
      <c r="M731" s="9" t="s">
        <v>657</v>
      </c>
      <c r="N731" s="6" t="s">
        <v>672</v>
      </c>
      <c r="O731" s="6" t="s">
        <v>673</v>
      </c>
      <c r="P731" s="9" t="s">
        <v>41</v>
      </c>
      <c r="Q731" s="9" t="s">
        <v>49</v>
      </c>
      <c r="R731" s="9" t="s">
        <v>50</v>
      </c>
      <c r="S731" s="7" t="s">
        <v>700</v>
      </c>
      <c r="T731" s="9" t="s">
        <v>52</v>
      </c>
      <c r="U731" s="7">
        <v>0.35</v>
      </c>
      <c r="V731" s="12">
        <f>C731+2</f>
        <v>41164</v>
      </c>
      <c r="W731">
        <f>IF(D731=' Pivot Tables'!$A$4,1,0)</f>
        <v>0</v>
      </c>
      <c r="X731">
        <f>IF(AND(LEFT(D731,4)+1=LEFT(' Pivot Tables'!$A$4,4)+0,RIGHT(LEFT(D731,7),2)=RIGHT(LEFT(' Pivot Tables'!$A$4,7),2)),1,0)</f>
        <v>0</v>
      </c>
      <c r="Y731" s="6">
        <f>1/COUNTIF(Таблица1[Order ID],Таблица1[[#This Row],[Order ID]])</f>
        <v>0.5</v>
      </c>
      <c r="Z731" s="9">
        <f>1/COUNTIFS(Таблица1[Customer Name],Таблица1[[#This Row],[Customer Name]],Таблица1[Order-Year-Month],Таблица1[[#This Row],[Order-Year-Month]])</f>
        <v>0.33333333333333331</v>
      </c>
    </row>
    <row r="732" spans="1:26" x14ac:dyDescent="0.2">
      <c r="A732" s="6">
        <v>8150</v>
      </c>
      <c r="B732" s="7">
        <v>58278</v>
      </c>
      <c r="C732" s="8">
        <f>DATE(2012,12,31)-112</f>
        <v>41162</v>
      </c>
      <c r="D732" s="8" t="str">
        <f t="shared" si="15"/>
        <v>2012-09 (сентябрь 2012)</v>
      </c>
      <c r="E732" s="9" t="s">
        <v>30</v>
      </c>
      <c r="F732" s="7">
        <v>4</v>
      </c>
      <c r="G732" s="7">
        <v>281.5455</v>
      </c>
      <c r="H732" s="7">
        <v>0.1</v>
      </c>
      <c r="I732" s="9" t="s">
        <v>22</v>
      </c>
      <c r="J732" s="10">
        <v>-434.55500000000001</v>
      </c>
      <c r="K732" s="11">
        <v>85.99</v>
      </c>
      <c r="L732" s="11">
        <v>0.99</v>
      </c>
      <c r="M732" s="9" t="s">
        <v>657</v>
      </c>
      <c r="N732" s="6" t="s">
        <v>672</v>
      </c>
      <c r="O732" s="6" t="s">
        <v>673</v>
      </c>
      <c r="P732" s="9" t="s">
        <v>41</v>
      </c>
      <c r="Q732" s="9" t="s">
        <v>42</v>
      </c>
      <c r="R732" s="9" t="s">
        <v>43</v>
      </c>
      <c r="S732" s="7" t="s">
        <v>146</v>
      </c>
      <c r="T732" s="9" t="s">
        <v>68</v>
      </c>
      <c r="U732" s="7">
        <v>0.85</v>
      </c>
      <c r="V732" s="12">
        <f>C732+3</f>
        <v>41165</v>
      </c>
      <c r="W732">
        <f>IF(D732=' Pivot Tables'!$A$4,1,0)</f>
        <v>0</v>
      </c>
      <c r="X732">
        <f>IF(AND(LEFT(D732,4)+1=LEFT(' Pivot Tables'!$A$4,4)+0,RIGHT(LEFT(D732,7),2)=RIGHT(LEFT(' Pivot Tables'!$A$4,7),2)),1,0)</f>
        <v>0</v>
      </c>
      <c r="Y732" s="6">
        <f>1/COUNTIF(Таблица1[Order ID],Таблица1[[#This Row],[Order ID]])</f>
        <v>0.5</v>
      </c>
      <c r="Z732" s="9">
        <f>1/COUNTIFS(Таблица1[Customer Name],Таблица1[[#This Row],[Customer Name]],Таблица1[Order-Year-Month],Таблица1[[#This Row],[Order-Year-Month]])</f>
        <v>0.33333333333333331</v>
      </c>
    </row>
    <row r="733" spans="1:26" x14ac:dyDescent="0.2">
      <c r="A733" s="6">
        <v>8185</v>
      </c>
      <c r="B733" s="7">
        <v>58502</v>
      </c>
      <c r="C733" s="8">
        <f>DATE(2012,12,31)-1053</f>
        <v>40221</v>
      </c>
      <c r="D733" s="8" t="str">
        <f t="shared" si="15"/>
        <v>2010-02 (февраль 2010)</v>
      </c>
      <c r="E733" s="9" t="s">
        <v>78</v>
      </c>
      <c r="F733" s="7">
        <v>23</v>
      </c>
      <c r="G733" s="7">
        <v>5186.3100000000004</v>
      </c>
      <c r="H733" s="7">
        <v>0.03</v>
      </c>
      <c r="I733" s="9" t="s">
        <v>31</v>
      </c>
      <c r="J733" s="10">
        <v>1009.38</v>
      </c>
      <c r="K733" s="11">
        <v>226.67</v>
      </c>
      <c r="L733" s="11">
        <v>28.16</v>
      </c>
      <c r="M733" s="9" t="s">
        <v>531</v>
      </c>
      <c r="N733" s="6" t="s">
        <v>672</v>
      </c>
      <c r="O733" s="6" t="s">
        <v>673</v>
      </c>
      <c r="P733" s="9" t="s">
        <v>33</v>
      </c>
      <c r="Q733" s="9" t="s">
        <v>49</v>
      </c>
      <c r="R733" s="9" t="s">
        <v>112</v>
      </c>
      <c r="S733" s="7" t="s">
        <v>215</v>
      </c>
      <c r="T733" s="9" t="s">
        <v>36</v>
      </c>
      <c r="U733" s="7">
        <v>0.59</v>
      </c>
      <c r="V733" s="12">
        <f>C733+2</f>
        <v>40223</v>
      </c>
      <c r="W733">
        <f>IF(D733=' Pivot Tables'!$A$4,1,0)</f>
        <v>0</v>
      </c>
      <c r="X733">
        <f>IF(AND(LEFT(D733,4)+1=LEFT(' Pivot Tables'!$A$4,4)+0,RIGHT(LEFT(D733,7),2)=RIGHT(LEFT(' Pivot Tables'!$A$4,7),2)),1,0)</f>
        <v>0</v>
      </c>
      <c r="Y733" s="6">
        <f>1/COUNTIF(Таблица1[Order ID],Таблица1[[#This Row],[Order ID]])</f>
        <v>1</v>
      </c>
      <c r="Z733" s="9">
        <f>1/COUNTIFS(Таблица1[Customer Name],Таблица1[[#This Row],[Customer Name]],Таблица1[Order-Year-Month],Таблица1[[#This Row],[Order-Year-Month]])</f>
        <v>1</v>
      </c>
    </row>
    <row r="734" spans="1:26" x14ac:dyDescent="0.2">
      <c r="A734" s="6">
        <v>8225</v>
      </c>
      <c r="B734" s="7">
        <v>58788</v>
      </c>
      <c r="C734" s="8">
        <f>DATE(2012,12,31)-1064</f>
        <v>40210</v>
      </c>
      <c r="D734" s="8" t="str">
        <f t="shared" si="15"/>
        <v>2010-02 (февраль 2010)</v>
      </c>
      <c r="E734" s="9" t="s">
        <v>21</v>
      </c>
      <c r="F734" s="7">
        <v>31</v>
      </c>
      <c r="G734" s="7">
        <v>983.78</v>
      </c>
      <c r="H734" s="7">
        <v>0.04</v>
      </c>
      <c r="I734" s="9" t="s">
        <v>22</v>
      </c>
      <c r="J734" s="10">
        <v>43.72</v>
      </c>
      <c r="K734" s="11">
        <v>30.98</v>
      </c>
      <c r="L734" s="11">
        <v>6.5</v>
      </c>
      <c r="M734" s="9" t="s">
        <v>548</v>
      </c>
      <c r="N734" s="6" t="s">
        <v>672</v>
      </c>
      <c r="O734" s="6" t="s">
        <v>673</v>
      </c>
      <c r="P734" s="9" t="s">
        <v>41</v>
      </c>
      <c r="Q734" s="9" t="s">
        <v>42</v>
      </c>
      <c r="R734" s="9" t="s">
        <v>70</v>
      </c>
      <c r="S734" s="7" t="s">
        <v>601</v>
      </c>
      <c r="T734" s="9" t="s">
        <v>39</v>
      </c>
      <c r="U734" s="7">
        <v>0.64</v>
      </c>
      <c r="V734" s="12">
        <f>C734+2</f>
        <v>40212</v>
      </c>
      <c r="W734">
        <f>IF(D734=' Pivot Tables'!$A$4,1,0)</f>
        <v>0</v>
      </c>
      <c r="X734">
        <f>IF(AND(LEFT(D734,4)+1=LEFT(' Pivot Tables'!$A$4,4)+0,RIGHT(LEFT(D734,7),2)=RIGHT(LEFT(' Pivot Tables'!$A$4,7),2)),1,0)</f>
        <v>0</v>
      </c>
      <c r="Y734" s="6">
        <f>1/COUNTIF(Таблица1[Order ID],Таблица1[[#This Row],[Order ID]])</f>
        <v>1</v>
      </c>
      <c r="Z734" s="9">
        <f>1/COUNTIFS(Таблица1[Customer Name],Таблица1[[#This Row],[Customer Name]],Таблица1[Order-Year-Month],Таблица1[[#This Row],[Order-Year-Month]])</f>
        <v>1</v>
      </c>
    </row>
    <row r="735" spans="1:26" x14ac:dyDescent="0.2">
      <c r="A735" s="6">
        <v>8245</v>
      </c>
      <c r="B735" s="7">
        <v>58947</v>
      </c>
      <c r="C735" s="8">
        <f>DATE(2012,12,31)-462</f>
        <v>40812</v>
      </c>
      <c r="D735" s="8" t="str">
        <f t="shared" si="15"/>
        <v>2011-09 (сентябрь 2011)</v>
      </c>
      <c r="E735" s="9" t="s">
        <v>45</v>
      </c>
      <c r="F735" s="7">
        <v>48</v>
      </c>
      <c r="G735" s="7">
        <v>410.15</v>
      </c>
      <c r="H735" s="7">
        <v>0.01</v>
      </c>
      <c r="I735" s="9" t="s">
        <v>22</v>
      </c>
      <c r="J735" s="10">
        <v>102.58</v>
      </c>
      <c r="K735" s="11">
        <v>8.01</v>
      </c>
      <c r="L735" s="11">
        <v>2.87</v>
      </c>
      <c r="M735" s="9" t="s">
        <v>533</v>
      </c>
      <c r="N735" s="6" t="s">
        <v>672</v>
      </c>
      <c r="O735" s="6" t="s">
        <v>673</v>
      </c>
      <c r="P735" s="9" t="s">
        <v>60</v>
      </c>
      <c r="Q735" s="9" t="s">
        <v>26</v>
      </c>
      <c r="R735" s="9" t="s">
        <v>61</v>
      </c>
      <c r="S735" s="7" t="s">
        <v>701</v>
      </c>
      <c r="T735" s="9" t="s">
        <v>68</v>
      </c>
      <c r="U735" s="7">
        <v>0.4</v>
      </c>
      <c r="V735" s="12">
        <f>C735+0</f>
        <v>40812</v>
      </c>
      <c r="W735">
        <f>IF(D735=' Pivot Tables'!$A$4,1,0)</f>
        <v>0</v>
      </c>
      <c r="X735">
        <f>IF(AND(LEFT(D735,4)+1=LEFT(' Pivot Tables'!$A$4,4)+0,RIGHT(LEFT(D735,7),2)=RIGHT(LEFT(' Pivot Tables'!$A$4,7),2)),1,0)</f>
        <v>0</v>
      </c>
      <c r="Y735" s="6">
        <f>1/COUNTIF(Таблица1[Order ID],Таблица1[[#This Row],[Order ID]])</f>
        <v>0.5</v>
      </c>
      <c r="Z735" s="9">
        <f>1/COUNTIFS(Таблица1[Customer Name],Таблица1[[#This Row],[Customer Name]],Таблица1[Order-Year-Month],Таблица1[[#This Row],[Order-Year-Month]])</f>
        <v>0.5</v>
      </c>
    </row>
    <row r="736" spans="1:26" x14ac:dyDescent="0.2">
      <c r="A736" s="6">
        <v>8246</v>
      </c>
      <c r="B736" s="7">
        <v>58947</v>
      </c>
      <c r="C736" s="8">
        <f>DATE(2012,12,31)-462</f>
        <v>40812</v>
      </c>
      <c r="D736" s="8" t="str">
        <f t="shared" si="15"/>
        <v>2011-09 (сентябрь 2011)</v>
      </c>
      <c r="E736" s="9" t="s">
        <v>45</v>
      </c>
      <c r="F736" s="7">
        <v>28</v>
      </c>
      <c r="G736" s="7">
        <v>135.72</v>
      </c>
      <c r="H736" s="7">
        <v>0.09</v>
      </c>
      <c r="I736" s="9" t="s">
        <v>22</v>
      </c>
      <c r="J736" s="10">
        <v>-67.790000000000006</v>
      </c>
      <c r="K736" s="11">
        <v>4.9800000000000004</v>
      </c>
      <c r="L736" s="11">
        <v>5.0199999999999996</v>
      </c>
      <c r="M736" s="9" t="s">
        <v>533</v>
      </c>
      <c r="N736" s="6" t="s">
        <v>672</v>
      </c>
      <c r="O736" s="6" t="s">
        <v>673</v>
      </c>
      <c r="P736" s="9" t="s">
        <v>60</v>
      </c>
      <c r="Q736" s="9" t="s">
        <v>26</v>
      </c>
      <c r="R736" s="9" t="s">
        <v>61</v>
      </c>
      <c r="S736" s="7" t="s">
        <v>702</v>
      </c>
      <c r="T736" s="9" t="s">
        <v>39</v>
      </c>
      <c r="U736" s="7">
        <v>0.38</v>
      </c>
      <c r="V736" s="12">
        <f>C736+1</f>
        <v>40813</v>
      </c>
      <c r="W736">
        <f>IF(D736=' Pivot Tables'!$A$4,1,0)</f>
        <v>0</v>
      </c>
      <c r="X736">
        <f>IF(AND(LEFT(D736,4)+1=LEFT(' Pivot Tables'!$A$4,4)+0,RIGHT(LEFT(D736,7),2)=RIGHT(LEFT(' Pivot Tables'!$A$4,7),2)),1,0)</f>
        <v>0</v>
      </c>
      <c r="Y736" s="6">
        <f>1/COUNTIF(Таблица1[Order ID],Таблица1[[#This Row],[Order ID]])</f>
        <v>0.5</v>
      </c>
      <c r="Z736" s="9">
        <f>1/COUNTIFS(Таблица1[Customer Name],Таблица1[[#This Row],[Customer Name]],Таблица1[Order-Year-Month],Таблица1[[#This Row],[Order-Year-Month]])</f>
        <v>0.5</v>
      </c>
    </row>
    <row r="737" spans="1:26" x14ac:dyDescent="0.2">
      <c r="A737" s="6">
        <v>8263</v>
      </c>
      <c r="B737" s="7">
        <v>59074</v>
      </c>
      <c r="C737" s="8">
        <f>DATE(2012,12,31)-872</f>
        <v>40402</v>
      </c>
      <c r="D737" s="8" t="str">
        <f t="shared" si="15"/>
        <v>2010-08 (август 2010)</v>
      </c>
      <c r="E737" s="9" t="s">
        <v>21</v>
      </c>
      <c r="F737" s="7">
        <v>37</v>
      </c>
      <c r="G737" s="7">
        <v>589.63</v>
      </c>
      <c r="H737" s="7">
        <v>0.03</v>
      </c>
      <c r="I737" s="9" t="s">
        <v>22</v>
      </c>
      <c r="J737" s="10">
        <v>70.8</v>
      </c>
      <c r="K737" s="11">
        <v>14.98</v>
      </c>
      <c r="L737" s="11">
        <v>8.99</v>
      </c>
      <c r="M737" s="9" t="s">
        <v>296</v>
      </c>
      <c r="N737" s="6" t="s">
        <v>703</v>
      </c>
      <c r="O737" s="6" t="s">
        <v>704</v>
      </c>
      <c r="P737" s="9" t="s">
        <v>41</v>
      </c>
      <c r="Q737" s="9" t="s">
        <v>49</v>
      </c>
      <c r="R737" s="9" t="s">
        <v>50</v>
      </c>
      <c r="S737" s="7" t="s">
        <v>332</v>
      </c>
      <c r="T737" s="9" t="s">
        <v>52</v>
      </c>
      <c r="U737" s="7">
        <v>0.39</v>
      </c>
      <c r="V737" s="12">
        <f>C737+2</f>
        <v>40404</v>
      </c>
      <c r="W737">
        <f>IF(D737=' Pivot Tables'!$A$4,1,0)</f>
        <v>0</v>
      </c>
      <c r="X737">
        <f>IF(AND(LEFT(D737,4)+1=LEFT(' Pivot Tables'!$A$4,4)+0,RIGHT(LEFT(D737,7),2)=RIGHT(LEFT(' Pivot Tables'!$A$4,7),2)),1,0)</f>
        <v>0</v>
      </c>
      <c r="Y737" s="6">
        <f>1/COUNTIF(Таблица1[Order ID],Таблица1[[#This Row],[Order ID]])</f>
        <v>1</v>
      </c>
      <c r="Z737" s="9">
        <f>1/COUNTIFS(Таблица1[Customer Name],Таблица1[[#This Row],[Customer Name]],Таблица1[Order-Year-Month],Таблица1[[#This Row],[Order-Year-Month]])</f>
        <v>0.33333333333333331</v>
      </c>
    </row>
    <row r="738" spans="1:26" x14ac:dyDescent="0.2">
      <c r="A738" s="6">
        <v>8292</v>
      </c>
      <c r="B738" s="7">
        <v>59233</v>
      </c>
      <c r="C738" s="8">
        <f>DATE(2012,12,31)-864</f>
        <v>40410</v>
      </c>
      <c r="D738" s="8" t="str">
        <f t="shared" si="15"/>
        <v>2010-08 (август 2010)</v>
      </c>
      <c r="E738" s="9" t="s">
        <v>30</v>
      </c>
      <c r="F738" s="7">
        <v>3</v>
      </c>
      <c r="G738" s="7">
        <v>336.84</v>
      </c>
      <c r="H738" s="7">
        <v>0.08</v>
      </c>
      <c r="I738" s="9" t="s">
        <v>31</v>
      </c>
      <c r="J738" s="10">
        <v>-160.46</v>
      </c>
      <c r="K738" s="11">
        <v>100.98</v>
      </c>
      <c r="L738" s="11">
        <v>35.840000000000003</v>
      </c>
      <c r="M738" s="9" t="s">
        <v>296</v>
      </c>
      <c r="N738" s="6" t="s">
        <v>703</v>
      </c>
      <c r="O738" s="6" t="s">
        <v>704</v>
      </c>
      <c r="P738" s="9" t="s">
        <v>41</v>
      </c>
      <c r="Q738" s="9" t="s">
        <v>49</v>
      </c>
      <c r="R738" s="9" t="s">
        <v>80</v>
      </c>
      <c r="S738" s="7" t="s">
        <v>705</v>
      </c>
      <c r="T738" s="9" t="s">
        <v>82</v>
      </c>
      <c r="U738" s="7">
        <v>0.62</v>
      </c>
      <c r="V738" s="12">
        <f>C738+2</f>
        <v>40412</v>
      </c>
      <c r="W738">
        <f>IF(D738=' Pivot Tables'!$A$4,1,0)</f>
        <v>0</v>
      </c>
      <c r="X738">
        <f>IF(AND(LEFT(D738,4)+1=LEFT(' Pivot Tables'!$A$4,4)+0,RIGHT(LEFT(D738,7),2)=RIGHT(LEFT(' Pivot Tables'!$A$4,7),2)),1,0)</f>
        <v>0</v>
      </c>
      <c r="Y738" s="6">
        <f>1/COUNTIF(Таблица1[Order ID],Таблица1[[#This Row],[Order ID]])</f>
        <v>0.5</v>
      </c>
      <c r="Z738" s="9">
        <f>1/COUNTIFS(Таблица1[Customer Name],Таблица1[[#This Row],[Customer Name]],Таблица1[Order-Year-Month],Таблица1[[#This Row],[Order-Year-Month]])</f>
        <v>0.33333333333333331</v>
      </c>
    </row>
    <row r="739" spans="1:26" x14ac:dyDescent="0.2">
      <c r="A739" s="6">
        <v>8293</v>
      </c>
      <c r="B739" s="7">
        <v>59233</v>
      </c>
      <c r="C739" s="8">
        <f>DATE(2012,12,31)-864</f>
        <v>40410</v>
      </c>
      <c r="D739" s="8" t="str">
        <f t="shared" si="15"/>
        <v>2010-08 (август 2010)</v>
      </c>
      <c r="E739" s="9" t="s">
        <v>30</v>
      </c>
      <c r="F739" s="7">
        <v>30</v>
      </c>
      <c r="G739" s="7">
        <v>397.17</v>
      </c>
      <c r="H739" s="7">
        <v>0.1</v>
      </c>
      <c r="I739" s="9" t="s">
        <v>56</v>
      </c>
      <c r="J739" s="10">
        <v>7.69</v>
      </c>
      <c r="K739" s="11">
        <v>14.34</v>
      </c>
      <c r="L739" s="11">
        <v>5</v>
      </c>
      <c r="M739" s="9" t="s">
        <v>296</v>
      </c>
      <c r="N739" s="6" t="s">
        <v>703</v>
      </c>
      <c r="O739" s="6" t="s">
        <v>704</v>
      </c>
      <c r="P739" s="9" t="s">
        <v>41</v>
      </c>
      <c r="Q739" s="9" t="s">
        <v>49</v>
      </c>
      <c r="R739" s="9" t="s">
        <v>50</v>
      </c>
      <c r="S739" s="7" t="s">
        <v>706</v>
      </c>
      <c r="T739" s="9" t="s">
        <v>52</v>
      </c>
      <c r="U739" s="7">
        <v>0.49</v>
      </c>
      <c r="V739" s="12">
        <f>C739+0</f>
        <v>40410</v>
      </c>
      <c r="W739">
        <f>IF(D739=' Pivot Tables'!$A$4,1,0)</f>
        <v>0</v>
      </c>
      <c r="X739">
        <f>IF(AND(LEFT(D739,4)+1=LEFT(' Pivot Tables'!$A$4,4)+0,RIGHT(LEFT(D739,7),2)=RIGHT(LEFT(' Pivot Tables'!$A$4,7),2)),1,0)</f>
        <v>0</v>
      </c>
      <c r="Y739" s="6">
        <f>1/COUNTIF(Таблица1[Order ID],Таблица1[[#This Row],[Order ID]])</f>
        <v>0.5</v>
      </c>
      <c r="Z739" s="9">
        <f>1/COUNTIFS(Таблица1[Customer Name],Таблица1[[#This Row],[Customer Name]],Таблица1[Order-Year-Month],Таблица1[[#This Row],[Order-Year-Month]])</f>
        <v>0.33333333333333331</v>
      </c>
    </row>
    <row r="740" spans="1:26" x14ac:dyDescent="0.2">
      <c r="A740" s="6">
        <v>8316</v>
      </c>
      <c r="B740" s="7">
        <v>59425</v>
      </c>
      <c r="C740" s="8">
        <f>DATE(2012,12,31)-228</f>
        <v>41046</v>
      </c>
      <c r="D740" s="8" t="str">
        <f t="shared" si="15"/>
        <v>2012-05 (май 2012)</v>
      </c>
      <c r="E740" s="9" t="s">
        <v>63</v>
      </c>
      <c r="F740" s="7">
        <v>24</v>
      </c>
      <c r="G740" s="7">
        <v>2094.12</v>
      </c>
      <c r="H740" s="7">
        <v>0</v>
      </c>
      <c r="I740" s="9" t="s">
        <v>22</v>
      </c>
      <c r="J740" s="10">
        <v>717.12</v>
      </c>
      <c r="K740" s="11">
        <v>83.1</v>
      </c>
      <c r="L740" s="11">
        <v>6.13</v>
      </c>
      <c r="M740" s="9" t="s">
        <v>539</v>
      </c>
      <c r="N740" s="6" t="s">
        <v>703</v>
      </c>
      <c r="O740" s="6" t="s">
        <v>704</v>
      </c>
      <c r="P740" s="9" t="s">
        <v>60</v>
      </c>
      <c r="Q740" s="9" t="s">
        <v>42</v>
      </c>
      <c r="R740" s="9" t="s">
        <v>70</v>
      </c>
      <c r="S740" s="7" t="s">
        <v>573</v>
      </c>
      <c r="T740" s="9" t="s">
        <v>39</v>
      </c>
      <c r="U740" s="7">
        <v>0.45</v>
      </c>
      <c r="V740" s="12">
        <f>C740+2</f>
        <v>41048</v>
      </c>
      <c r="W740">
        <f>IF(D740=' Pivot Tables'!$A$4,1,0)</f>
        <v>0</v>
      </c>
      <c r="X740">
        <f>IF(AND(LEFT(D740,4)+1=LEFT(' Pivot Tables'!$A$4,4)+0,RIGHT(LEFT(D740,7),2)=RIGHT(LEFT(' Pivot Tables'!$A$4,7),2)),1,0)</f>
        <v>0</v>
      </c>
      <c r="Y740" s="6">
        <f>1/COUNTIF(Таблица1[Order ID],Таблица1[[#This Row],[Order ID]])</f>
        <v>0.5</v>
      </c>
      <c r="Z740" s="9">
        <f>1/COUNTIFS(Таблица1[Customer Name],Таблица1[[#This Row],[Customer Name]],Таблица1[Order-Year-Month],Таблица1[[#This Row],[Order-Year-Month]])</f>
        <v>0.5</v>
      </c>
    </row>
    <row r="741" spans="1:26" x14ac:dyDescent="0.2">
      <c r="A741" s="6">
        <v>8317</v>
      </c>
      <c r="B741" s="7">
        <v>59425</v>
      </c>
      <c r="C741" s="8">
        <f>DATE(2012,12,31)-228</f>
        <v>41046</v>
      </c>
      <c r="D741" s="8" t="str">
        <f t="shared" si="15"/>
        <v>2012-05 (май 2012)</v>
      </c>
      <c r="E741" s="9" t="s">
        <v>63</v>
      </c>
      <c r="F741" s="7">
        <v>46</v>
      </c>
      <c r="G741" s="7">
        <v>1714.02</v>
      </c>
      <c r="H741" s="7">
        <v>0.04</v>
      </c>
      <c r="I741" s="9" t="s">
        <v>22</v>
      </c>
      <c r="J741" s="10">
        <v>741.27</v>
      </c>
      <c r="K741" s="11">
        <v>37.94</v>
      </c>
      <c r="L741" s="11">
        <v>5.08</v>
      </c>
      <c r="M741" s="9" t="s">
        <v>539</v>
      </c>
      <c r="N741" s="6" t="s">
        <v>703</v>
      </c>
      <c r="O741" s="6" t="s">
        <v>704</v>
      </c>
      <c r="P741" s="9" t="s">
        <v>60</v>
      </c>
      <c r="Q741" s="9" t="s">
        <v>26</v>
      </c>
      <c r="R741" s="9" t="s">
        <v>61</v>
      </c>
      <c r="S741" s="7" t="s">
        <v>684</v>
      </c>
      <c r="T741" s="9" t="s">
        <v>68</v>
      </c>
      <c r="U741" s="7">
        <v>0.38</v>
      </c>
      <c r="V741" s="12">
        <f>C741+3</f>
        <v>41049</v>
      </c>
      <c r="W741">
        <f>IF(D741=' Pivot Tables'!$A$4,1,0)</f>
        <v>0</v>
      </c>
      <c r="X741">
        <f>IF(AND(LEFT(D741,4)+1=LEFT(' Pivot Tables'!$A$4,4)+0,RIGHT(LEFT(D741,7),2)=RIGHT(LEFT(' Pivot Tables'!$A$4,7),2)),1,0)</f>
        <v>0</v>
      </c>
      <c r="Y741" s="6">
        <f>1/COUNTIF(Таблица1[Order ID],Таблица1[[#This Row],[Order ID]])</f>
        <v>0.5</v>
      </c>
      <c r="Z741" s="9">
        <f>1/COUNTIFS(Таблица1[Customer Name],Таблица1[[#This Row],[Customer Name]],Таблица1[Order-Year-Month],Таблица1[[#This Row],[Order-Year-Month]])</f>
        <v>0.5</v>
      </c>
    </row>
    <row r="742" spans="1:26" x14ac:dyDescent="0.2">
      <c r="A742" s="6">
        <v>8360</v>
      </c>
      <c r="B742" s="7">
        <v>59750</v>
      </c>
      <c r="C742" s="8">
        <f>DATE(2012,12,31)-906</f>
        <v>40368</v>
      </c>
      <c r="D742" s="8" t="str">
        <f t="shared" si="15"/>
        <v>2010-07 (июль 2010)</v>
      </c>
      <c r="E742" s="9" t="s">
        <v>21</v>
      </c>
      <c r="F742" s="7">
        <v>34</v>
      </c>
      <c r="G742" s="7">
        <v>223.59</v>
      </c>
      <c r="H742" s="7">
        <v>0.04</v>
      </c>
      <c r="I742" s="9" t="s">
        <v>22</v>
      </c>
      <c r="J742" s="10">
        <v>-66.05</v>
      </c>
      <c r="K742" s="11">
        <v>6.48</v>
      </c>
      <c r="L742" s="11">
        <v>5.74</v>
      </c>
      <c r="M742" s="9" t="s">
        <v>650</v>
      </c>
      <c r="N742" s="6" t="s">
        <v>703</v>
      </c>
      <c r="O742" s="6" t="s">
        <v>704</v>
      </c>
      <c r="P742" s="9" t="s">
        <v>41</v>
      </c>
      <c r="Q742" s="9" t="s">
        <v>26</v>
      </c>
      <c r="R742" s="9" t="s">
        <v>61</v>
      </c>
      <c r="S742" s="7" t="s">
        <v>707</v>
      </c>
      <c r="T742" s="9" t="s">
        <v>39</v>
      </c>
      <c r="U742" s="7">
        <v>0.37</v>
      </c>
      <c r="V742" s="12">
        <f>C742+4</f>
        <v>40372</v>
      </c>
      <c r="W742">
        <f>IF(D742=' Pivot Tables'!$A$4,1,0)</f>
        <v>0</v>
      </c>
      <c r="X742">
        <f>IF(AND(LEFT(D742,4)+1=LEFT(' Pivot Tables'!$A$4,4)+0,RIGHT(LEFT(D742,7),2)=RIGHT(LEFT(' Pivot Tables'!$A$4,7),2)),1,0)</f>
        <v>0</v>
      </c>
      <c r="Y742" s="6">
        <f>1/COUNTIF(Таблица1[Order ID],Таблица1[[#This Row],[Order ID]])</f>
        <v>1</v>
      </c>
      <c r="Z742" s="9">
        <f>1/COUNTIFS(Таблица1[Customer Name],Таблица1[[#This Row],[Customer Name]],Таблица1[Order-Year-Month],Таблица1[[#This Row],[Order-Year-Month]])</f>
        <v>1</v>
      </c>
    </row>
    <row r="743" spans="1:26" x14ac:dyDescent="0.2">
      <c r="A743" s="6">
        <v>7</v>
      </c>
      <c r="B743" s="7">
        <v>35</v>
      </c>
      <c r="C743" s="8">
        <f>DATE(2012,12,31)-436</f>
        <v>40838</v>
      </c>
      <c r="D743" s="8" t="str">
        <f t="shared" si="15"/>
        <v>2011-10 (октябрь 2011)</v>
      </c>
      <c r="E743" s="9" t="s">
        <v>45</v>
      </c>
      <c r="F743" s="7">
        <v>30</v>
      </c>
      <c r="G743" s="7">
        <v>288.56</v>
      </c>
      <c r="H743" s="7">
        <v>0.03</v>
      </c>
      <c r="I743" s="9" t="s">
        <v>22</v>
      </c>
      <c r="J743" s="10">
        <v>60.72</v>
      </c>
      <c r="K743" s="11">
        <v>9.11</v>
      </c>
      <c r="L743" s="11">
        <v>2.25</v>
      </c>
      <c r="M743" s="9" t="s">
        <v>708</v>
      </c>
      <c r="N743" s="6" t="s">
        <v>703</v>
      </c>
      <c r="O743" s="6" t="s">
        <v>704</v>
      </c>
      <c r="P743" s="9" t="s">
        <v>41</v>
      </c>
      <c r="Q743" s="9" t="s">
        <v>26</v>
      </c>
      <c r="R743" s="9" t="s">
        <v>95</v>
      </c>
      <c r="S743" s="7" t="s">
        <v>709</v>
      </c>
      <c r="T743" s="9" t="s">
        <v>68</v>
      </c>
      <c r="U743" s="7">
        <v>0.52</v>
      </c>
      <c r="V743" s="12">
        <f>C743+1</f>
        <v>40839</v>
      </c>
      <c r="W743">
        <f>IF(D743=' Pivot Tables'!$A$4,1,0)</f>
        <v>0</v>
      </c>
      <c r="X743">
        <f>IF(AND(LEFT(D743,4)+1=LEFT(' Pivot Tables'!$A$4,4)+0,RIGHT(LEFT(D743,7),2)=RIGHT(LEFT(' Pivot Tables'!$A$4,7),2)),1,0)</f>
        <v>0</v>
      </c>
      <c r="Y743" s="6">
        <f>1/COUNTIF(Таблица1[Order ID],Таблица1[[#This Row],[Order ID]])</f>
        <v>0.5</v>
      </c>
      <c r="Z743" s="9">
        <f>1/COUNTIFS(Таблица1[Customer Name],Таблица1[[#This Row],[Customer Name]],Таблица1[Order-Year-Month],Таблица1[[#This Row],[Order-Year-Month]])</f>
        <v>0.5</v>
      </c>
    </row>
    <row r="744" spans="1:26" x14ac:dyDescent="0.2">
      <c r="A744" s="6">
        <v>8</v>
      </c>
      <c r="B744" s="7">
        <v>35</v>
      </c>
      <c r="C744" s="8">
        <f>DATE(2012,12,31)-436</f>
        <v>40838</v>
      </c>
      <c r="D744" s="8" t="str">
        <f t="shared" si="15"/>
        <v>2011-10 (октябрь 2011)</v>
      </c>
      <c r="E744" s="9" t="s">
        <v>45</v>
      </c>
      <c r="F744" s="7">
        <v>14</v>
      </c>
      <c r="G744" s="7">
        <v>1892.848</v>
      </c>
      <c r="H744" s="7">
        <v>0.01</v>
      </c>
      <c r="I744" s="9" t="s">
        <v>22</v>
      </c>
      <c r="J744" s="10">
        <v>48.987000000000002</v>
      </c>
      <c r="K744" s="11">
        <v>155.99</v>
      </c>
      <c r="L744" s="11">
        <v>8.99</v>
      </c>
      <c r="M744" s="9" t="s">
        <v>708</v>
      </c>
      <c r="N744" s="6" t="s">
        <v>703</v>
      </c>
      <c r="O744" s="6" t="s">
        <v>704</v>
      </c>
      <c r="P744" s="9" t="s">
        <v>41</v>
      </c>
      <c r="Q744" s="9" t="s">
        <v>42</v>
      </c>
      <c r="R744" s="9" t="s">
        <v>43</v>
      </c>
      <c r="S744" s="7" t="s">
        <v>710</v>
      </c>
      <c r="T744" s="9" t="s">
        <v>39</v>
      </c>
      <c r="U744" s="7">
        <v>0.57999999999999996</v>
      </c>
      <c r="V744" s="12">
        <f>C744+2</f>
        <v>40840</v>
      </c>
      <c r="W744">
        <f>IF(D744=' Pivot Tables'!$A$4,1,0)</f>
        <v>0</v>
      </c>
      <c r="X744">
        <f>IF(AND(LEFT(D744,4)+1=LEFT(' Pivot Tables'!$A$4,4)+0,RIGHT(LEFT(D744,7),2)=RIGHT(LEFT(' Pivot Tables'!$A$4,7),2)),1,0)</f>
        <v>0</v>
      </c>
      <c r="Y744" s="6">
        <f>1/COUNTIF(Таблица1[Order ID],Таблица1[[#This Row],[Order ID]])</f>
        <v>0.5</v>
      </c>
      <c r="Z744" s="9">
        <f>1/COUNTIFS(Таблица1[Customer Name],Таблица1[[#This Row],[Customer Name]],Таблица1[Order-Year-Month],Таблица1[[#This Row],[Order-Year-Month]])</f>
        <v>0.5</v>
      </c>
    </row>
    <row r="745" spans="1:26" x14ac:dyDescent="0.2">
      <c r="A745" s="6">
        <v>51</v>
      </c>
      <c r="B745" s="7">
        <v>294</v>
      </c>
      <c r="C745" s="8">
        <f>DATE(2012,12,31)-900</f>
        <v>40374</v>
      </c>
      <c r="D745" s="8" t="str">
        <f t="shared" si="15"/>
        <v>2010-07 (июль 2010)</v>
      </c>
      <c r="E745" s="9" t="s">
        <v>63</v>
      </c>
      <c r="F745" s="7">
        <v>35</v>
      </c>
      <c r="G745" s="7">
        <v>6375.28</v>
      </c>
      <c r="H745" s="7">
        <v>0.06</v>
      </c>
      <c r="I745" s="9" t="s">
        <v>22</v>
      </c>
      <c r="J745" s="10">
        <v>489.02</v>
      </c>
      <c r="K745" s="11">
        <v>193.17</v>
      </c>
      <c r="L745" s="11">
        <v>19.989999999999998</v>
      </c>
      <c r="M745" s="9" t="s">
        <v>711</v>
      </c>
      <c r="N745" s="6" t="s">
        <v>703</v>
      </c>
      <c r="O745" s="6" t="s">
        <v>704</v>
      </c>
      <c r="P745" s="9" t="s">
        <v>60</v>
      </c>
      <c r="Q745" s="9" t="s">
        <v>26</v>
      </c>
      <c r="R745" s="9" t="s">
        <v>27</v>
      </c>
      <c r="S745" s="7" t="s">
        <v>338</v>
      </c>
      <c r="T745" s="9" t="s">
        <v>39</v>
      </c>
      <c r="U745" s="7">
        <v>0.71</v>
      </c>
      <c r="V745" s="12">
        <f>C745+1</f>
        <v>40375</v>
      </c>
      <c r="W745">
        <f>IF(D745=' Pivot Tables'!$A$4,1,0)</f>
        <v>0</v>
      </c>
      <c r="X745">
        <f>IF(AND(LEFT(D745,4)+1=LEFT(' Pivot Tables'!$A$4,4)+0,RIGHT(LEFT(D745,7),2)=RIGHT(LEFT(' Pivot Tables'!$A$4,7),2)),1,0)</f>
        <v>0</v>
      </c>
      <c r="Y745" s="6">
        <f>1/COUNTIF(Таблица1[Order ID],Таблица1[[#This Row],[Order ID]])</f>
        <v>1</v>
      </c>
      <c r="Z745" s="9">
        <f>1/COUNTIFS(Таблица1[Customer Name],Таблица1[[#This Row],[Customer Name]],Таблица1[Order-Year-Month],Таблица1[[#This Row],[Order-Year-Month]])</f>
        <v>0.5</v>
      </c>
    </row>
    <row r="746" spans="1:26" x14ac:dyDescent="0.2">
      <c r="A746" s="6">
        <v>76</v>
      </c>
      <c r="B746" s="7">
        <v>450</v>
      </c>
      <c r="C746" s="8">
        <f>DATE(2012,12,31)-668</f>
        <v>40606</v>
      </c>
      <c r="D746" s="8" t="str">
        <f t="shared" si="15"/>
        <v>2011-03 (март 2011)</v>
      </c>
      <c r="E746" s="9" t="s">
        <v>45</v>
      </c>
      <c r="F746" s="7">
        <v>29</v>
      </c>
      <c r="G746" s="7">
        <v>1000.78</v>
      </c>
      <c r="H746" s="7">
        <v>0.05</v>
      </c>
      <c r="I746" s="9" t="s">
        <v>56</v>
      </c>
      <c r="J746" s="10">
        <v>109.33</v>
      </c>
      <c r="K746" s="11">
        <v>34.58</v>
      </c>
      <c r="L746" s="11">
        <v>8.99</v>
      </c>
      <c r="M746" s="9" t="s">
        <v>712</v>
      </c>
      <c r="N746" s="6" t="s">
        <v>703</v>
      </c>
      <c r="O746" s="6" t="s">
        <v>704</v>
      </c>
      <c r="P746" s="9" t="s">
        <v>33</v>
      </c>
      <c r="Q746" s="9" t="s">
        <v>26</v>
      </c>
      <c r="R746" s="9" t="s">
        <v>95</v>
      </c>
      <c r="S746" s="7" t="s">
        <v>713</v>
      </c>
      <c r="T746" s="9" t="s">
        <v>52</v>
      </c>
      <c r="U746" s="7">
        <v>0.56000000000000005</v>
      </c>
      <c r="V746" s="12">
        <f>C746+1</f>
        <v>40607</v>
      </c>
      <c r="W746">
        <f>IF(D746=' Pivot Tables'!$A$4,1,0)</f>
        <v>0</v>
      </c>
      <c r="X746">
        <f>IF(AND(LEFT(D746,4)+1=LEFT(' Pivot Tables'!$A$4,4)+0,RIGHT(LEFT(D746,7),2)=RIGHT(LEFT(' Pivot Tables'!$A$4,7),2)),1,0)</f>
        <v>0</v>
      </c>
      <c r="Y746" s="6">
        <f>1/COUNTIF(Таблица1[Order ID],Таблица1[[#This Row],[Order ID]])</f>
        <v>0.5</v>
      </c>
      <c r="Z746" s="9">
        <f>1/COUNTIFS(Таблица1[Customer Name],Таблица1[[#This Row],[Customer Name]],Таблица1[Order-Year-Month],Таблица1[[#This Row],[Order-Year-Month]])</f>
        <v>0.5</v>
      </c>
    </row>
    <row r="747" spans="1:26" x14ac:dyDescent="0.2">
      <c r="A747" s="6">
        <v>77</v>
      </c>
      <c r="B747" s="7">
        <v>450</v>
      </c>
      <c r="C747" s="8">
        <f>DATE(2012,12,31)-668</f>
        <v>40606</v>
      </c>
      <c r="D747" s="8" t="str">
        <f t="shared" si="15"/>
        <v>2011-03 (март 2011)</v>
      </c>
      <c r="E747" s="9" t="s">
        <v>45</v>
      </c>
      <c r="F747" s="7">
        <v>35</v>
      </c>
      <c r="G747" s="7">
        <v>543.72</v>
      </c>
      <c r="H747" s="7">
        <v>0.05</v>
      </c>
      <c r="I747" s="9" t="s">
        <v>22</v>
      </c>
      <c r="J747" s="10">
        <v>-211.13</v>
      </c>
      <c r="K747" s="11">
        <v>15.7</v>
      </c>
      <c r="L747" s="11">
        <v>11.25</v>
      </c>
      <c r="M747" s="9" t="s">
        <v>712</v>
      </c>
      <c r="N747" s="6" t="s">
        <v>703</v>
      </c>
      <c r="O747" s="6" t="s">
        <v>704</v>
      </c>
      <c r="P747" s="9" t="s">
        <v>33</v>
      </c>
      <c r="Q747" s="9" t="s">
        <v>26</v>
      </c>
      <c r="R747" s="9" t="s">
        <v>27</v>
      </c>
      <c r="S747" s="7" t="s">
        <v>206</v>
      </c>
      <c r="T747" s="9" t="s">
        <v>39</v>
      </c>
      <c r="U747" s="7">
        <v>0.6</v>
      </c>
      <c r="V747" s="12">
        <f>C747+2</f>
        <v>40608</v>
      </c>
      <c r="W747">
        <f>IF(D747=' Pivot Tables'!$A$4,1,0)</f>
        <v>0</v>
      </c>
      <c r="X747">
        <f>IF(AND(LEFT(D747,4)+1=LEFT(' Pivot Tables'!$A$4,4)+0,RIGHT(LEFT(D747,7),2)=RIGHT(LEFT(' Pivot Tables'!$A$4,7),2)),1,0)</f>
        <v>0</v>
      </c>
      <c r="Y747" s="6">
        <f>1/COUNTIF(Таблица1[Order ID],Таблица1[[#This Row],[Order ID]])</f>
        <v>0.5</v>
      </c>
      <c r="Z747" s="9">
        <f>1/COUNTIFS(Таблица1[Customer Name],Таблица1[[#This Row],[Customer Name]],Таблица1[Order-Year-Month],Таблица1[[#This Row],[Order-Year-Month]])</f>
        <v>0.5</v>
      </c>
    </row>
    <row r="748" spans="1:26" x14ac:dyDescent="0.2">
      <c r="A748" s="6">
        <v>164</v>
      </c>
      <c r="B748" s="7">
        <v>1028</v>
      </c>
      <c r="C748" s="8">
        <f>DATE(2012,12,31)-1456</f>
        <v>39818</v>
      </c>
      <c r="D748" s="8" t="str">
        <f t="shared" si="15"/>
        <v>2009-01 (январь 2009)</v>
      </c>
      <c r="E748" s="9" t="s">
        <v>30</v>
      </c>
      <c r="F748" s="7">
        <v>6</v>
      </c>
      <c r="G748" s="7">
        <v>165.75</v>
      </c>
      <c r="H748" s="7">
        <v>0.03</v>
      </c>
      <c r="I748" s="9" t="s">
        <v>22</v>
      </c>
      <c r="J748" s="10">
        <v>-28.46</v>
      </c>
      <c r="K748" s="11">
        <v>28.48</v>
      </c>
      <c r="L748" s="11">
        <v>1.99</v>
      </c>
      <c r="M748" s="9" t="s">
        <v>712</v>
      </c>
      <c r="N748" s="6" t="s">
        <v>703</v>
      </c>
      <c r="O748" s="6" t="s">
        <v>704</v>
      </c>
      <c r="P748" s="9" t="s">
        <v>33</v>
      </c>
      <c r="Q748" s="9" t="s">
        <v>42</v>
      </c>
      <c r="R748" s="9" t="s">
        <v>70</v>
      </c>
      <c r="S748" s="7" t="s">
        <v>523</v>
      </c>
      <c r="T748" s="9" t="s">
        <v>52</v>
      </c>
      <c r="U748" s="7">
        <v>0.4</v>
      </c>
      <c r="V748" s="12">
        <f>C748+1</f>
        <v>39819</v>
      </c>
      <c r="W748">
        <f>IF(D748=' Pivot Tables'!$A$4,1,0)</f>
        <v>0</v>
      </c>
      <c r="X748">
        <f>IF(AND(LEFT(D748,4)+1=LEFT(' Pivot Tables'!$A$4,4)+0,RIGHT(LEFT(D748,7),2)=RIGHT(LEFT(' Pivot Tables'!$A$4,7),2)),1,0)</f>
        <v>1</v>
      </c>
      <c r="Y748" s="6">
        <f>1/COUNTIF(Таблица1[Order ID],Таблица1[[#This Row],[Order ID]])</f>
        <v>0.5</v>
      </c>
      <c r="Z748" s="9">
        <f>1/COUNTIFS(Таблица1[Customer Name],Таблица1[[#This Row],[Customer Name]],Таблица1[Order-Year-Month],Таблица1[[#This Row],[Order-Year-Month]])</f>
        <v>0.5</v>
      </c>
    </row>
    <row r="749" spans="1:26" x14ac:dyDescent="0.2">
      <c r="A749" s="6">
        <v>165</v>
      </c>
      <c r="B749" s="7">
        <v>1028</v>
      </c>
      <c r="C749" s="8">
        <f>DATE(2012,12,31)-1456</f>
        <v>39818</v>
      </c>
      <c r="D749" s="8" t="str">
        <f t="shared" si="15"/>
        <v>2009-01 (январь 2009)</v>
      </c>
      <c r="E749" s="9" t="s">
        <v>30</v>
      </c>
      <c r="F749" s="7">
        <v>11</v>
      </c>
      <c r="G749" s="7">
        <v>2021.1470000000002</v>
      </c>
      <c r="H749" s="7">
        <v>0.01</v>
      </c>
      <c r="I749" s="9" t="s">
        <v>22</v>
      </c>
      <c r="J749" s="10">
        <v>-60.39</v>
      </c>
      <c r="K749" s="11">
        <v>205.99</v>
      </c>
      <c r="L749" s="11">
        <v>5.99</v>
      </c>
      <c r="M749" s="9" t="s">
        <v>712</v>
      </c>
      <c r="N749" s="6" t="s">
        <v>703</v>
      </c>
      <c r="O749" s="6" t="s">
        <v>704</v>
      </c>
      <c r="P749" s="9" t="s">
        <v>33</v>
      </c>
      <c r="Q749" s="9" t="s">
        <v>42</v>
      </c>
      <c r="R749" s="9" t="s">
        <v>43</v>
      </c>
      <c r="S749" s="7" t="s">
        <v>714</v>
      </c>
      <c r="T749" s="9" t="s">
        <v>39</v>
      </c>
      <c r="U749" s="7">
        <v>0.59</v>
      </c>
      <c r="V749" s="12">
        <f>C749+2</f>
        <v>39820</v>
      </c>
      <c r="W749">
        <f>IF(D749=' Pivot Tables'!$A$4,1,0)</f>
        <v>0</v>
      </c>
      <c r="X749">
        <f>IF(AND(LEFT(D749,4)+1=LEFT(' Pivot Tables'!$A$4,4)+0,RIGHT(LEFT(D749,7),2)=RIGHT(LEFT(' Pivot Tables'!$A$4,7),2)),1,0)</f>
        <v>1</v>
      </c>
      <c r="Y749" s="6">
        <f>1/COUNTIF(Таблица1[Order ID],Таблица1[[#This Row],[Order ID]])</f>
        <v>0.5</v>
      </c>
      <c r="Z749" s="9">
        <f>1/COUNTIFS(Таблица1[Customer Name],Таблица1[[#This Row],[Customer Name]],Таблица1[Order-Year-Month],Таблица1[[#This Row],[Order-Year-Month]])</f>
        <v>0.5</v>
      </c>
    </row>
    <row r="750" spans="1:26" x14ac:dyDescent="0.2">
      <c r="A750" s="6">
        <v>199</v>
      </c>
      <c r="B750" s="7">
        <v>1314</v>
      </c>
      <c r="C750" s="8">
        <f>DATE(2012,12,31)-1329</f>
        <v>39945</v>
      </c>
      <c r="D750" s="8" t="str">
        <f t="shared" si="15"/>
        <v>2009-05 (май 2009)</v>
      </c>
      <c r="E750" s="9" t="s">
        <v>63</v>
      </c>
      <c r="F750" s="7">
        <v>4</v>
      </c>
      <c r="G750" s="7">
        <v>42.58</v>
      </c>
      <c r="H750" s="7">
        <v>0</v>
      </c>
      <c r="I750" s="9" t="s">
        <v>22</v>
      </c>
      <c r="J750" s="10">
        <v>-7.61</v>
      </c>
      <c r="K750" s="11">
        <v>9.27</v>
      </c>
      <c r="L750" s="11">
        <v>4.3899999999999997</v>
      </c>
      <c r="M750" s="9" t="s">
        <v>715</v>
      </c>
      <c r="N750" s="6" t="s">
        <v>703</v>
      </c>
      <c r="O750" s="6" t="s">
        <v>704</v>
      </c>
      <c r="P750" s="9" t="s">
        <v>41</v>
      </c>
      <c r="Q750" s="9" t="s">
        <v>26</v>
      </c>
      <c r="R750" s="9" t="s">
        <v>61</v>
      </c>
      <c r="S750" s="7" t="s">
        <v>400</v>
      </c>
      <c r="T750" s="9" t="s">
        <v>68</v>
      </c>
      <c r="U750" s="7">
        <v>0.38</v>
      </c>
      <c r="V750" s="12">
        <f>C750+2</f>
        <v>39947</v>
      </c>
      <c r="W750">
        <f>IF(D750=' Pivot Tables'!$A$4,1,0)</f>
        <v>0</v>
      </c>
      <c r="X750">
        <f>IF(AND(LEFT(D750,4)+1=LEFT(' Pivot Tables'!$A$4,4)+0,RIGHT(LEFT(D750,7),2)=RIGHT(LEFT(' Pivot Tables'!$A$4,7),2)),1,0)</f>
        <v>0</v>
      </c>
      <c r="Y750" s="6">
        <f>1/COUNTIF(Таблица1[Order ID],Таблица1[[#This Row],[Order ID]])</f>
        <v>1</v>
      </c>
      <c r="Z750" s="9">
        <f>1/COUNTIFS(Таблица1[Customer Name],Таблица1[[#This Row],[Customer Name]],Таблица1[Order-Year-Month],Таблица1[[#This Row],[Order-Year-Month]])</f>
        <v>1</v>
      </c>
    </row>
    <row r="751" spans="1:26" x14ac:dyDescent="0.2">
      <c r="A751" s="6">
        <v>333</v>
      </c>
      <c r="B751" s="7">
        <v>2279</v>
      </c>
      <c r="C751" s="8">
        <f>DATE(2012,12,31)-1043</f>
        <v>40231</v>
      </c>
      <c r="D751" s="8" t="str">
        <f t="shared" si="15"/>
        <v>2010-02 (февраль 2010)</v>
      </c>
      <c r="E751" s="9" t="s">
        <v>63</v>
      </c>
      <c r="F751" s="7">
        <v>49</v>
      </c>
      <c r="G751" s="7">
        <v>4577.18</v>
      </c>
      <c r="H751" s="7">
        <v>0</v>
      </c>
      <c r="I751" s="9" t="s">
        <v>31</v>
      </c>
      <c r="J751" s="10">
        <v>205.83</v>
      </c>
      <c r="K751" s="11">
        <v>90.98</v>
      </c>
      <c r="L751" s="11">
        <v>30</v>
      </c>
      <c r="M751" s="9" t="s">
        <v>716</v>
      </c>
      <c r="N751" s="6" t="s">
        <v>703</v>
      </c>
      <c r="O751" s="6" t="s">
        <v>704</v>
      </c>
      <c r="P751" s="9" t="s">
        <v>41</v>
      </c>
      <c r="Q751" s="9" t="s">
        <v>49</v>
      </c>
      <c r="R751" s="9" t="s">
        <v>112</v>
      </c>
      <c r="S751" s="7" t="s">
        <v>717</v>
      </c>
      <c r="T751" s="9" t="s">
        <v>36</v>
      </c>
      <c r="U751" s="7">
        <v>0.61</v>
      </c>
      <c r="V751" s="12">
        <f>C751+1</f>
        <v>40232</v>
      </c>
      <c r="W751">
        <f>IF(D751=' Pivot Tables'!$A$4,1,0)</f>
        <v>0</v>
      </c>
      <c r="X751">
        <f>IF(AND(LEFT(D751,4)+1=LEFT(' Pivot Tables'!$A$4,4)+0,RIGHT(LEFT(D751,7),2)=RIGHT(LEFT(' Pivot Tables'!$A$4,7),2)),1,0)</f>
        <v>0</v>
      </c>
      <c r="Y751" s="6">
        <f>1/COUNTIF(Таблица1[Order ID],Таблица1[[#This Row],[Order ID]])</f>
        <v>0.5</v>
      </c>
      <c r="Z751" s="9">
        <f>1/COUNTIFS(Таблица1[Customer Name],Таблица1[[#This Row],[Customer Name]],Таблица1[Order-Year-Month],Таблица1[[#This Row],[Order-Year-Month]])</f>
        <v>0.5</v>
      </c>
    </row>
    <row r="752" spans="1:26" x14ac:dyDescent="0.2">
      <c r="A752" s="6">
        <v>334</v>
      </c>
      <c r="B752" s="7">
        <v>2279</v>
      </c>
      <c r="C752" s="8">
        <f>DATE(2012,12,31)-1043</f>
        <v>40231</v>
      </c>
      <c r="D752" s="8" t="str">
        <f t="shared" si="15"/>
        <v>2010-02 (февраль 2010)</v>
      </c>
      <c r="E752" s="9" t="s">
        <v>63</v>
      </c>
      <c r="F752" s="7">
        <v>39</v>
      </c>
      <c r="G752" s="7">
        <v>845.9</v>
      </c>
      <c r="H752" s="7">
        <v>0.04</v>
      </c>
      <c r="I752" s="9" t="s">
        <v>22</v>
      </c>
      <c r="J752" s="10">
        <v>52.53</v>
      </c>
      <c r="K752" s="11">
        <v>20.98</v>
      </c>
      <c r="L752" s="11">
        <v>5.42</v>
      </c>
      <c r="M752" s="9" t="s">
        <v>716</v>
      </c>
      <c r="N752" s="6" t="s">
        <v>703</v>
      </c>
      <c r="O752" s="6" t="s">
        <v>704</v>
      </c>
      <c r="P752" s="9" t="s">
        <v>41</v>
      </c>
      <c r="Q752" s="9" t="s">
        <v>26</v>
      </c>
      <c r="R752" s="9" t="s">
        <v>27</v>
      </c>
      <c r="S752" s="7" t="s">
        <v>718</v>
      </c>
      <c r="T752" s="9" t="s">
        <v>39</v>
      </c>
      <c r="U752" s="7">
        <v>0.66</v>
      </c>
      <c r="V752" s="12">
        <f>C752+2</f>
        <v>40233</v>
      </c>
      <c r="W752">
        <f>IF(D752=' Pivot Tables'!$A$4,1,0)</f>
        <v>0</v>
      </c>
      <c r="X752">
        <f>IF(AND(LEFT(D752,4)+1=LEFT(' Pivot Tables'!$A$4,4)+0,RIGHT(LEFT(D752,7),2)=RIGHT(LEFT(' Pivot Tables'!$A$4,7),2)),1,0)</f>
        <v>0</v>
      </c>
      <c r="Y752" s="6">
        <f>1/COUNTIF(Таблица1[Order ID],Таблица1[[#This Row],[Order ID]])</f>
        <v>0.5</v>
      </c>
      <c r="Z752" s="9">
        <f>1/COUNTIFS(Таблица1[Customer Name],Таблица1[[#This Row],[Customer Name]],Таблица1[Order-Year-Month],Таблица1[[#This Row],[Order-Year-Month]])</f>
        <v>0.5</v>
      </c>
    </row>
    <row r="753" spans="1:26" x14ac:dyDescent="0.2">
      <c r="A753" s="6">
        <v>353</v>
      </c>
      <c r="B753" s="7">
        <v>2465</v>
      </c>
      <c r="C753" s="8">
        <f>DATE(2012,12,31)-557</f>
        <v>40717</v>
      </c>
      <c r="D753" s="8" t="str">
        <f t="shared" si="15"/>
        <v>2011-06 (июнь 2011)</v>
      </c>
      <c r="E753" s="9" t="s">
        <v>78</v>
      </c>
      <c r="F753" s="7">
        <v>28</v>
      </c>
      <c r="G753" s="7">
        <v>1082.45</v>
      </c>
      <c r="H753" s="7">
        <v>0.04</v>
      </c>
      <c r="I753" s="9" t="s">
        <v>22</v>
      </c>
      <c r="J753" s="10">
        <v>271.87</v>
      </c>
      <c r="K753" s="11">
        <v>39.479999999999997</v>
      </c>
      <c r="L753" s="11">
        <v>1.99</v>
      </c>
      <c r="M753" s="9" t="s">
        <v>716</v>
      </c>
      <c r="N753" s="6" t="s">
        <v>703</v>
      </c>
      <c r="O753" s="6" t="s">
        <v>704</v>
      </c>
      <c r="P753" s="9" t="s">
        <v>33</v>
      </c>
      <c r="Q753" s="9" t="s">
        <v>42</v>
      </c>
      <c r="R753" s="9" t="s">
        <v>70</v>
      </c>
      <c r="S753" s="7" t="s">
        <v>161</v>
      </c>
      <c r="T753" s="9" t="s">
        <v>52</v>
      </c>
      <c r="U753" s="7">
        <v>0.54</v>
      </c>
      <c r="V753" s="12">
        <f>C753+2</f>
        <v>40719</v>
      </c>
      <c r="W753">
        <f>IF(D753=' Pivot Tables'!$A$4,1,0)</f>
        <v>0</v>
      </c>
      <c r="X753">
        <f>IF(AND(LEFT(D753,4)+1=LEFT(' Pivot Tables'!$A$4,4)+0,RIGHT(LEFT(D753,7),2)=RIGHT(LEFT(' Pivot Tables'!$A$4,7),2)),1,0)</f>
        <v>0</v>
      </c>
      <c r="Y753" s="6">
        <f>1/COUNTIF(Таблица1[Order ID],Таблица1[[#This Row],[Order ID]])</f>
        <v>1</v>
      </c>
      <c r="Z753" s="9">
        <f>1/COUNTIFS(Таблица1[Customer Name],Таблица1[[#This Row],[Customer Name]],Таблица1[Order-Year-Month],Таблица1[[#This Row],[Order-Year-Month]])</f>
        <v>1</v>
      </c>
    </row>
    <row r="754" spans="1:26" x14ac:dyDescent="0.2">
      <c r="A754" s="6">
        <v>361</v>
      </c>
      <c r="B754" s="7">
        <v>2530</v>
      </c>
      <c r="C754" s="8">
        <f>DATE(2012,12,31)-1382</f>
        <v>39892</v>
      </c>
      <c r="D754" s="8" t="str">
        <f t="shared" si="15"/>
        <v>2009-03 (март 2009)</v>
      </c>
      <c r="E754" s="9" t="s">
        <v>63</v>
      </c>
      <c r="F754" s="7">
        <v>9</v>
      </c>
      <c r="G754" s="7">
        <v>23.46</v>
      </c>
      <c r="H754" s="7">
        <v>0.06</v>
      </c>
      <c r="I754" s="9" t="s">
        <v>22</v>
      </c>
      <c r="J754" s="10">
        <v>4.58</v>
      </c>
      <c r="K754" s="11">
        <v>2.61</v>
      </c>
      <c r="L754" s="11">
        <v>0.5</v>
      </c>
      <c r="M754" s="9" t="s">
        <v>716</v>
      </c>
      <c r="N754" s="6" t="s">
        <v>703</v>
      </c>
      <c r="O754" s="6" t="s">
        <v>704</v>
      </c>
      <c r="P754" s="9" t="s">
        <v>41</v>
      </c>
      <c r="Q754" s="9" t="s">
        <v>26</v>
      </c>
      <c r="R754" s="9" t="s">
        <v>88</v>
      </c>
      <c r="S754" s="7" t="s">
        <v>528</v>
      </c>
      <c r="T754" s="9" t="s">
        <v>39</v>
      </c>
      <c r="U754" s="7">
        <v>0.39</v>
      </c>
      <c r="V754" s="12">
        <f>C754+2</f>
        <v>39894</v>
      </c>
      <c r="W754">
        <f>IF(D754=' Pivot Tables'!$A$4,1,0)</f>
        <v>0</v>
      </c>
      <c r="X754">
        <f>IF(AND(LEFT(D754,4)+1=LEFT(' Pivot Tables'!$A$4,4)+0,RIGHT(LEFT(D754,7),2)=RIGHT(LEFT(' Pivot Tables'!$A$4,7),2)),1,0)</f>
        <v>0</v>
      </c>
      <c r="Y754" s="6">
        <f>1/COUNTIF(Таблица1[Order ID],Таблица1[[#This Row],[Order ID]])</f>
        <v>1</v>
      </c>
      <c r="Z754" s="9">
        <f>1/COUNTIFS(Таблица1[Customer Name],Таблица1[[#This Row],[Customer Name]],Таблица1[Order-Year-Month],Таблица1[[#This Row],[Order-Year-Month]])</f>
        <v>1</v>
      </c>
    </row>
    <row r="755" spans="1:26" x14ac:dyDescent="0.2">
      <c r="A755" s="6">
        <v>431</v>
      </c>
      <c r="B755" s="7">
        <v>2883</v>
      </c>
      <c r="C755" s="8">
        <f>DATE(2012,12,31)-709</f>
        <v>40565</v>
      </c>
      <c r="D755" s="8" t="str">
        <f t="shared" si="15"/>
        <v>2011-01 (январь 2011)</v>
      </c>
      <c r="E755" s="9" t="s">
        <v>21</v>
      </c>
      <c r="F755" s="7">
        <v>34</v>
      </c>
      <c r="G755" s="7">
        <v>2154.34</v>
      </c>
      <c r="H755" s="7">
        <v>0.1</v>
      </c>
      <c r="I755" s="9" t="s">
        <v>22</v>
      </c>
      <c r="J755" s="10">
        <v>177.66</v>
      </c>
      <c r="K755" s="11">
        <v>64.98</v>
      </c>
      <c r="L755" s="11">
        <v>6.88</v>
      </c>
      <c r="M755" s="9" t="s">
        <v>716</v>
      </c>
      <c r="N755" s="6" t="s">
        <v>703</v>
      </c>
      <c r="O755" s="6" t="s">
        <v>704</v>
      </c>
      <c r="P755" s="9" t="s">
        <v>33</v>
      </c>
      <c r="Q755" s="9" t="s">
        <v>26</v>
      </c>
      <c r="R755" s="9" t="s">
        <v>27</v>
      </c>
      <c r="S755" s="7" t="s">
        <v>519</v>
      </c>
      <c r="T755" s="9" t="s">
        <v>39</v>
      </c>
      <c r="U755" s="7">
        <v>0.73</v>
      </c>
      <c r="V755" s="12">
        <f>C755+2</f>
        <v>40567</v>
      </c>
      <c r="W755">
        <f>IF(D755=' Pivot Tables'!$A$4,1,0)</f>
        <v>0</v>
      </c>
      <c r="X755">
        <f>IF(AND(LEFT(D755,4)+1=LEFT(' Pivot Tables'!$A$4,4)+0,RIGHT(LEFT(D755,7),2)=RIGHT(LEFT(' Pivot Tables'!$A$4,7),2)),1,0)</f>
        <v>0</v>
      </c>
      <c r="Y755" s="6">
        <f>1/COUNTIF(Таблица1[Order ID],Таблица1[[#This Row],[Order ID]])</f>
        <v>1</v>
      </c>
      <c r="Z755" s="9">
        <f>1/COUNTIFS(Таблица1[Customer Name],Таблица1[[#This Row],[Customer Name]],Таблица1[Order-Year-Month],Таблица1[[#This Row],[Order-Year-Month]])</f>
        <v>1</v>
      </c>
    </row>
    <row r="756" spans="1:26" x14ac:dyDescent="0.2">
      <c r="A756" s="6">
        <v>485</v>
      </c>
      <c r="B756" s="7">
        <v>3362</v>
      </c>
      <c r="C756" s="8">
        <f>DATE(2012,12,31)-522</f>
        <v>40752</v>
      </c>
      <c r="D756" s="8" t="str">
        <f t="shared" si="15"/>
        <v>2011-07 (июль 2011)</v>
      </c>
      <c r="E756" s="9" t="s">
        <v>21</v>
      </c>
      <c r="F756" s="7">
        <v>40</v>
      </c>
      <c r="G756" s="7">
        <v>1699.52</v>
      </c>
      <c r="H756" s="7">
        <v>0.04</v>
      </c>
      <c r="I756" s="9" t="s">
        <v>22</v>
      </c>
      <c r="J756" s="10">
        <v>734.75</v>
      </c>
      <c r="K756" s="11">
        <v>40.98</v>
      </c>
      <c r="L756" s="11">
        <v>1.99</v>
      </c>
      <c r="M756" s="9" t="s">
        <v>719</v>
      </c>
      <c r="N756" s="6" t="s">
        <v>703</v>
      </c>
      <c r="O756" s="6" t="s">
        <v>704</v>
      </c>
      <c r="P756" s="9" t="s">
        <v>25</v>
      </c>
      <c r="Q756" s="9" t="s">
        <v>42</v>
      </c>
      <c r="R756" s="9" t="s">
        <v>70</v>
      </c>
      <c r="S756" s="7" t="s">
        <v>720</v>
      </c>
      <c r="T756" s="9" t="s">
        <v>52</v>
      </c>
      <c r="U756" s="7">
        <v>0.44</v>
      </c>
      <c r="V756" s="12">
        <f>C756+4</f>
        <v>40756</v>
      </c>
      <c r="W756">
        <f>IF(D756=' Pivot Tables'!$A$4,1,0)</f>
        <v>0</v>
      </c>
      <c r="X756">
        <f>IF(AND(LEFT(D756,4)+1=LEFT(' Pivot Tables'!$A$4,4)+0,RIGHT(LEFT(D756,7),2)=RIGHT(LEFT(' Pivot Tables'!$A$4,7),2)),1,0)</f>
        <v>0</v>
      </c>
      <c r="Y756" s="6">
        <f>1/COUNTIF(Таблица1[Order ID],Таблица1[[#This Row],[Order ID]])</f>
        <v>0.5</v>
      </c>
      <c r="Z756" s="9">
        <f>1/COUNTIFS(Таблица1[Customer Name],Таблица1[[#This Row],[Customer Name]],Таблица1[Order-Year-Month],Таблица1[[#This Row],[Order-Year-Month]])</f>
        <v>0.5</v>
      </c>
    </row>
    <row r="757" spans="1:26" x14ac:dyDescent="0.2">
      <c r="A757" s="6">
        <v>486</v>
      </c>
      <c r="B757" s="7">
        <v>3362</v>
      </c>
      <c r="C757" s="8">
        <f>DATE(2012,12,31)-522</f>
        <v>40752</v>
      </c>
      <c r="D757" s="8" t="str">
        <f t="shared" si="15"/>
        <v>2011-07 (июль 2011)</v>
      </c>
      <c r="E757" s="9" t="s">
        <v>21</v>
      </c>
      <c r="F757" s="7">
        <v>50</v>
      </c>
      <c r="G757" s="7">
        <v>760.85</v>
      </c>
      <c r="H757" s="7">
        <v>0.03</v>
      </c>
      <c r="I757" s="9" t="s">
        <v>22</v>
      </c>
      <c r="J757" s="10">
        <v>-109.1</v>
      </c>
      <c r="K757" s="11">
        <v>15.14</v>
      </c>
      <c r="L757" s="11">
        <v>4.53</v>
      </c>
      <c r="M757" s="9" t="s">
        <v>719</v>
      </c>
      <c r="N757" s="6" t="s">
        <v>703</v>
      </c>
      <c r="O757" s="6" t="s">
        <v>704</v>
      </c>
      <c r="P757" s="9" t="s">
        <v>25</v>
      </c>
      <c r="Q757" s="9" t="s">
        <v>26</v>
      </c>
      <c r="R757" s="9" t="s">
        <v>27</v>
      </c>
      <c r="S757" s="7" t="s">
        <v>721</v>
      </c>
      <c r="T757" s="9" t="s">
        <v>39</v>
      </c>
      <c r="U757" s="7">
        <v>0.81</v>
      </c>
      <c r="V757" s="12">
        <f>C757+9</f>
        <v>40761</v>
      </c>
      <c r="W757">
        <f>IF(D757=' Pivot Tables'!$A$4,1,0)</f>
        <v>0</v>
      </c>
      <c r="X757">
        <f>IF(AND(LEFT(D757,4)+1=LEFT(' Pivot Tables'!$A$4,4)+0,RIGHT(LEFT(D757,7),2)=RIGHT(LEFT(' Pivot Tables'!$A$4,7),2)),1,0)</f>
        <v>0</v>
      </c>
      <c r="Y757" s="6">
        <f>1/COUNTIF(Таблица1[Order ID],Таблица1[[#This Row],[Order ID]])</f>
        <v>0.5</v>
      </c>
      <c r="Z757" s="9">
        <f>1/COUNTIFS(Таблица1[Customer Name],Таблица1[[#This Row],[Customer Name]],Таблица1[Order-Year-Month],Таблица1[[#This Row],[Order-Year-Month]])</f>
        <v>0.5</v>
      </c>
    </row>
    <row r="758" spans="1:26" x14ac:dyDescent="0.2">
      <c r="A758" s="6">
        <v>739</v>
      </c>
      <c r="B758" s="7">
        <v>5318</v>
      </c>
      <c r="C758" s="8">
        <f>DATE(2012,12,31)-1003</f>
        <v>40271</v>
      </c>
      <c r="D758" s="8" t="str">
        <f t="shared" si="15"/>
        <v>2010-04 (апрель 2010)</v>
      </c>
      <c r="E758" s="9" t="s">
        <v>30</v>
      </c>
      <c r="F758" s="7">
        <v>8</v>
      </c>
      <c r="G758" s="7">
        <v>1042.25</v>
      </c>
      <c r="H758" s="7">
        <v>0.08</v>
      </c>
      <c r="I758" s="9" t="s">
        <v>22</v>
      </c>
      <c r="J758" s="10">
        <v>195.16</v>
      </c>
      <c r="K758" s="11">
        <v>131.12</v>
      </c>
      <c r="L758" s="11">
        <v>0.99</v>
      </c>
      <c r="M758" s="9" t="s">
        <v>712</v>
      </c>
      <c r="N758" s="6" t="s">
        <v>703</v>
      </c>
      <c r="O758" s="6" t="s">
        <v>704</v>
      </c>
      <c r="P758" s="9" t="s">
        <v>33</v>
      </c>
      <c r="Q758" s="9" t="s">
        <v>26</v>
      </c>
      <c r="R758" s="9" t="s">
        <v>34</v>
      </c>
      <c r="S758" s="7" t="s">
        <v>722</v>
      </c>
      <c r="T758" s="9" t="s">
        <v>39</v>
      </c>
      <c r="U758" s="7">
        <v>0.55000000000000004</v>
      </c>
      <c r="V758" s="12">
        <f>C758+2</f>
        <v>40273</v>
      </c>
      <c r="W758">
        <f>IF(D758=' Pivot Tables'!$A$4,1,0)</f>
        <v>0</v>
      </c>
      <c r="X758">
        <f>IF(AND(LEFT(D758,4)+1=LEFT(' Pivot Tables'!$A$4,4)+0,RIGHT(LEFT(D758,7),2)=RIGHT(LEFT(' Pivot Tables'!$A$4,7),2)),1,0)</f>
        <v>0</v>
      </c>
      <c r="Y758" s="6">
        <f>1/COUNTIF(Таблица1[Order ID],Таблица1[[#This Row],[Order ID]])</f>
        <v>0.5</v>
      </c>
      <c r="Z758" s="9">
        <f>1/COUNTIFS(Таблица1[Customer Name],Таблица1[[#This Row],[Customer Name]],Таблица1[Order-Year-Month],Таблица1[[#This Row],[Order-Year-Month]])</f>
        <v>0.5</v>
      </c>
    </row>
    <row r="759" spans="1:26" x14ac:dyDescent="0.2">
      <c r="A759" s="6">
        <v>740</v>
      </c>
      <c r="B759" s="7">
        <v>5318</v>
      </c>
      <c r="C759" s="8">
        <f>DATE(2012,12,31)-1003</f>
        <v>40271</v>
      </c>
      <c r="D759" s="8" t="str">
        <f t="shared" si="15"/>
        <v>2010-04 (апрель 2010)</v>
      </c>
      <c r="E759" s="9" t="s">
        <v>30</v>
      </c>
      <c r="F759" s="7">
        <v>29</v>
      </c>
      <c r="G759" s="7">
        <v>5010.7415000000001</v>
      </c>
      <c r="H759" s="7">
        <v>0.03</v>
      </c>
      <c r="I759" s="9" t="s">
        <v>56</v>
      </c>
      <c r="J759" s="10">
        <v>1196.3699999999999</v>
      </c>
      <c r="K759" s="11">
        <v>200.99</v>
      </c>
      <c r="L759" s="11">
        <v>4.2</v>
      </c>
      <c r="M759" s="9" t="s">
        <v>712</v>
      </c>
      <c r="N759" s="6" t="s">
        <v>703</v>
      </c>
      <c r="O759" s="6" t="s">
        <v>704</v>
      </c>
      <c r="P759" s="9" t="s">
        <v>33</v>
      </c>
      <c r="Q759" s="9" t="s">
        <v>42</v>
      </c>
      <c r="R759" s="9" t="s">
        <v>43</v>
      </c>
      <c r="S759" s="7" t="s">
        <v>457</v>
      </c>
      <c r="T759" s="9" t="s">
        <v>39</v>
      </c>
      <c r="U759" s="7">
        <v>0.59</v>
      </c>
      <c r="V759" s="12">
        <f>C759+1</f>
        <v>40272</v>
      </c>
      <c r="W759">
        <f>IF(D759=' Pivot Tables'!$A$4,1,0)</f>
        <v>0</v>
      </c>
      <c r="X759">
        <f>IF(AND(LEFT(D759,4)+1=LEFT(' Pivot Tables'!$A$4,4)+0,RIGHT(LEFT(D759,7),2)=RIGHT(LEFT(' Pivot Tables'!$A$4,7),2)),1,0)</f>
        <v>0</v>
      </c>
      <c r="Y759" s="6">
        <f>1/COUNTIF(Таблица1[Order ID],Таблица1[[#This Row],[Order ID]])</f>
        <v>0.5</v>
      </c>
      <c r="Z759" s="9">
        <f>1/COUNTIFS(Таблица1[Customer Name],Таблица1[[#This Row],[Customer Name]],Таблица1[Order-Year-Month],Таблица1[[#This Row],[Order-Year-Month]])</f>
        <v>0.5</v>
      </c>
    </row>
    <row r="760" spans="1:26" x14ac:dyDescent="0.2">
      <c r="A760" s="6">
        <v>835</v>
      </c>
      <c r="B760" s="7">
        <v>5988</v>
      </c>
      <c r="C760" s="8">
        <f>DATE(2012,12,31)-771</f>
        <v>40503</v>
      </c>
      <c r="D760" s="8" t="str">
        <f t="shared" si="15"/>
        <v>2010-11 (ноябрь 2010)</v>
      </c>
      <c r="E760" s="9" t="s">
        <v>45</v>
      </c>
      <c r="F760" s="7">
        <v>40</v>
      </c>
      <c r="G760" s="7">
        <v>19109.61</v>
      </c>
      <c r="H760" s="7">
        <v>0.1</v>
      </c>
      <c r="I760" s="9" t="s">
        <v>56</v>
      </c>
      <c r="J760" s="10">
        <v>-379.29</v>
      </c>
      <c r="K760" s="11">
        <v>499.99</v>
      </c>
      <c r="L760" s="11">
        <v>24.49</v>
      </c>
      <c r="M760" s="9" t="s">
        <v>711</v>
      </c>
      <c r="N760" s="6" t="s">
        <v>703</v>
      </c>
      <c r="O760" s="6" t="s">
        <v>704</v>
      </c>
      <c r="P760" s="9" t="s">
        <v>60</v>
      </c>
      <c r="Q760" s="9" t="s">
        <v>42</v>
      </c>
      <c r="R760" s="9" t="s">
        <v>99</v>
      </c>
      <c r="S760" s="7" t="s">
        <v>217</v>
      </c>
      <c r="T760" s="9" t="s">
        <v>29</v>
      </c>
      <c r="U760" s="7">
        <v>0.36</v>
      </c>
      <c r="V760" s="12">
        <f>C760+1</f>
        <v>40504</v>
      </c>
      <c r="W760">
        <f>IF(D760=' Pivot Tables'!$A$4,1,0)</f>
        <v>0</v>
      </c>
      <c r="X760">
        <f>IF(AND(LEFT(D760,4)+1=LEFT(' Pivot Tables'!$A$4,4)+0,RIGHT(LEFT(D760,7),2)=RIGHT(LEFT(' Pivot Tables'!$A$4,7),2)),1,0)</f>
        <v>0</v>
      </c>
      <c r="Y760" s="6">
        <f>1/COUNTIF(Таблица1[Order ID],Таблица1[[#This Row],[Order ID]])</f>
        <v>1</v>
      </c>
      <c r="Z760" s="9">
        <f>1/COUNTIFS(Таблица1[Customer Name],Таблица1[[#This Row],[Customer Name]],Таблица1[Order-Year-Month],Таблица1[[#This Row],[Order-Year-Month]])</f>
        <v>0.25</v>
      </c>
    </row>
    <row r="761" spans="1:26" x14ac:dyDescent="0.2">
      <c r="A761" s="6">
        <v>851</v>
      </c>
      <c r="B761" s="7">
        <v>6115</v>
      </c>
      <c r="C761" s="8">
        <f>DATE(2012,12,31)-842</f>
        <v>40432</v>
      </c>
      <c r="D761" s="8" t="str">
        <f t="shared" si="15"/>
        <v>2010-09 (сентябрь 2010)</v>
      </c>
      <c r="E761" s="9" t="s">
        <v>63</v>
      </c>
      <c r="F761" s="7">
        <v>25</v>
      </c>
      <c r="G761" s="7">
        <v>409.08</v>
      </c>
      <c r="H761" s="7">
        <v>0.1</v>
      </c>
      <c r="I761" s="9" t="s">
        <v>22</v>
      </c>
      <c r="J761" s="10">
        <v>78.86</v>
      </c>
      <c r="K761" s="11">
        <v>17.78</v>
      </c>
      <c r="L761" s="11">
        <v>5.03</v>
      </c>
      <c r="M761" s="9" t="s">
        <v>712</v>
      </c>
      <c r="N761" s="6" t="s">
        <v>703</v>
      </c>
      <c r="O761" s="6" t="s">
        <v>704</v>
      </c>
      <c r="P761" s="9" t="s">
        <v>33</v>
      </c>
      <c r="Q761" s="9" t="s">
        <v>49</v>
      </c>
      <c r="R761" s="9" t="s">
        <v>50</v>
      </c>
      <c r="S761" s="7" t="s">
        <v>723</v>
      </c>
      <c r="T761" s="9" t="s">
        <v>39</v>
      </c>
      <c r="U761" s="7">
        <v>0.54</v>
      </c>
      <c r="V761" s="12">
        <f>C761+1</f>
        <v>40433</v>
      </c>
      <c r="W761">
        <f>IF(D761=' Pivot Tables'!$A$4,1,0)</f>
        <v>0</v>
      </c>
      <c r="X761">
        <f>IF(AND(LEFT(D761,4)+1=LEFT(' Pivot Tables'!$A$4,4)+0,RIGHT(LEFT(D761,7),2)=RIGHT(LEFT(' Pivot Tables'!$A$4,7),2)),1,0)</f>
        <v>0</v>
      </c>
      <c r="Y761" s="6">
        <f>1/COUNTIF(Таблица1[Order ID],Таблица1[[#This Row],[Order ID]])</f>
        <v>1</v>
      </c>
      <c r="Z761" s="9">
        <f>1/COUNTIFS(Таблица1[Customer Name],Таблица1[[#This Row],[Customer Name]],Таблица1[Order-Year-Month],Таблица1[[#This Row],[Order-Year-Month]])</f>
        <v>1</v>
      </c>
    </row>
    <row r="762" spans="1:26" x14ac:dyDescent="0.2">
      <c r="A762" s="6">
        <v>882</v>
      </c>
      <c r="B762" s="7">
        <v>6337</v>
      </c>
      <c r="C762" s="8">
        <f>DATE(2012,12,31)-488</f>
        <v>40786</v>
      </c>
      <c r="D762" s="8" t="str">
        <f t="shared" si="15"/>
        <v>2011-08 (август 2011)</v>
      </c>
      <c r="E762" s="9" t="s">
        <v>45</v>
      </c>
      <c r="F762" s="7">
        <v>48</v>
      </c>
      <c r="G762" s="7">
        <v>3397.72</v>
      </c>
      <c r="H762" s="7">
        <v>0.01</v>
      </c>
      <c r="I762" s="9" t="s">
        <v>22</v>
      </c>
      <c r="J762" s="10">
        <v>-912.08</v>
      </c>
      <c r="K762" s="11">
        <v>70.709999999999994</v>
      </c>
      <c r="L762" s="11">
        <v>37.58</v>
      </c>
      <c r="M762" s="9" t="s">
        <v>715</v>
      </c>
      <c r="N762" s="6" t="s">
        <v>703</v>
      </c>
      <c r="O762" s="6" t="s">
        <v>704</v>
      </c>
      <c r="P762" s="9" t="s">
        <v>41</v>
      </c>
      <c r="Q762" s="9" t="s">
        <v>49</v>
      </c>
      <c r="R762" s="9" t="s">
        <v>50</v>
      </c>
      <c r="S762" s="7" t="s">
        <v>724</v>
      </c>
      <c r="T762" s="9" t="s">
        <v>68</v>
      </c>
      <c r="U762" s="7">
        <v>0.78</v>
      </c>
      <c r="V762" s="12">
        <f>C762+2</f>
        <v>40788</v>
      </c>
      <c r="W762">
        <f>IF(D762=' Pivot Tables'!$A$4,1,0)</f>
        <v>0</v>
      </c>
      <c r="X762">
        <f>IF(AND(LEFT(D762,4)+1=LEFT(' Pivot Tables'!$A$4,4)+0,RIGHT(LEFT(D762,7),2)=RIGHT(LEFT(' Pivot Tables'!$A$4,7),2)),1,0)</f>
        <v>0</v>
      </c>
      <c r="Y762" s="6">
        <f>1/COUNTIF(Таблица1[Order ID],Таблица1[[#This Row],[Order ID]])</f>
        <v>0.5</v>
      </c>
      <c r="Z762" s="9">
        <f>1/COUNTIFS(Таблица1[Customer Name],Таблица1[[#This Row],[Customer Name]],Таблица1[Order-Year-Month],Таблица1[[#This Row],[Order-Year-Month]])</f>
        <v>0.5</v>
      </c>
    </row>
    <row r="763" spans="1:26" x14ac:dyDescent="0.2">
      <c r="A763" s="6">
        <v>883</v>
      </c>
      <c r="B763" s="7">
        <v>6337</v>
      </c>
      <c r="C763" s="8">
        <f>DATE(2012,12,31)-488</f>
        <v>40786</v>
      </c>
      <c r="D763" s="8" t="str">
        <f t="shared" si="15"/>
        <v>2011-08 (август 2011)</v>
      </c>
      <c r="E763" s="9" t="s">
        <v>45</v>
      </c>
      <c r="F763" s="7">
        <v>1</v>
      </c>
      <c r="G763" s="7">
        <v>449.42</v>
      </c>
      <c r="H763" s="7">
        <v>7.0000000000000007E-2</v>
      </c>
      <c r="I763" s="9" t="s">
        <v>31</v>
      </c>
      <c r="J763" s="10">
        <v>-261.61200000000002</v>
      </c>
      <c r="K763" s="11">
        <v>376.13</v>
      </c>
      <c r="L763" s="11">
        <v>85.63</v>
      </c>
      <c r="M763" s="9" t="s">
        <v>715</v>
      </c>
      <c r="N763" s="6" t="s">
        <v>703</v>
      </c>
      <c r="O763" s="6" t="s">
        <v>704</v>
      </c>
      <c r="P763" s="9" t="s">
        <v>41</v>
      </c>
      <c r="Q763" s="9" t="s">
        <v>49</v>
      </c>
      <c r="R763" s="9" t="s">
        <v>83</v>
      </c>
      <c r="S763" s="7" t="s">
        <v>725</v>
      </c>
      <c r="T763" s="9" t="s">
        <v>82</v>
      </c>
      <c r="U763" s="7">
        <v>0.74</v>
      </c>
      <c r="V763" s="12">
        <f>C763+1</f>
        <v>40787</v>
      </c>
      <c r="W763">
        <f>IF(D763=' Pivot Tables'!$A$4,1,0)</f>
        <v>0</v>
      </c>
      <c r="X763">
        <f>IF(AND(LEFT(D763,4)+1=LEFT(' Pivot Tables'!$A$4,4)+0,RIGHT(LEFT(D763,7),2)=RIGHT(LEFT(' Pivot Tables'!$A$4,7),2)),1,0)</f>
        <v>0</v>
      </c>
      <c r="Y763" s="6">
        <f>1/COUNTIF(Таблица1[Order ID],Таблица1[[#This Row],[Order ID]])</f>
        <v>0.5</v>
      </c>
      <c r="Z763" s="9">
        <f>1/COUNTIFS(Таблица1[Customer Name],Таблица1[[#This Row],[Customer Name]],Таблица1[Order-Year-Month],Таблица1[[#This Row],[Order-Year-Month]])</f>
        <v>0.5</v>
      </c>
    </row>
    <row r="764" spans="1:26" x14ac:dyDescent="0.2">
      <c r="A764" s="6">
        <v>895</v>
      </c>
      <c r="B764" s="7">
        <v>6434</v>
      </c>
      <c r="C764" s="8">
        <f>DATE(2012,12,31)-1303</f>
        <v>39971</v>
      </c>
      <c r="D764" s="8" t="str">
        <f t="shared" si="15"/>
        <v>2009-06 (июнь 2009)</v>
      </c>
      <c r="E764" s="9" t="s">
        <v>30</v>
      </c>
      <c r="F764" s="7">
        <v>13</v>
      </c>
      <c r="G764" s="7">
        <v>59.58</v>
      </c>
      <c r="H764" s="7">
        <v>7.0000000000000007E-2</v>
      </c>
      <c r="I764" s="9" t="s">
        <v>22</v>
      </c>
      <c r="J764" s="10">
        <v>14.49</v>
      </c>
      <c r="K764" s="11">
        <v>4.76</v>
      </c>
      <c r="L764" s="11">
        <v>0.88</v>
      </c>
      <c r="M764" s="9" t="s">
        <v>716</v>
      </c>
      <c r="N764" s="6" t="s">
        <v>703</v>
      </c>
      <c r="O764" s="6" t="s">
        <v>704</v>
      </c>
      <c r="P764" s="9" t="s">
        <v>41</v>
      </c>
      <c r="Q764" s="9" t="s">
        <v>26</v>
      </c>
      <c r="R764" s="9" t="s">
        <v>61</v>
      </c>
      <c r="S764" s="7" t="s">
        <v>726</v>
      </c>
      <c r="T764" s="9" t="s">
        <v>68</v>
      </c>
      <c r="U764" s="7">
        <v>0.39</v>
      </c>
      <c r="V764" s="12">
        <f>C764+0</f>
        <v>39971</v>
      </c>
      <c r="W764">
        <f>IF(D764=' Pivot Tables'!$A$4,1,0)</f>
        <v>0</v>
      </c>
      <c r="X764">
        <f>IF(AND(LEFT(D764,4)+1=LEFT(' Pivot Tables'!$A$4,4)+0,RIGHT(LEFT(D764,7),2)=RIGHT(LEFT(' Pivot Tables'!$A$4,7),2)),1,0)</f>
        <v>0</v>
      </c>
      <c r="Y764" s="6">
        <f>1/COUNTIF(Таблица1[Order ID],Таблица1[[#This Row],[Order ID]])</f>
        <v>1</v>
      </c>
      <c r="Z764" s="9">
        <f>1/COUNTIFS(Таблица1[Customer Name],Таблица1[[#This Row],[Customer Name]],Таблица1[Order-Year-Month],Таблица1[[#This Row],[Order-Year-Month]])</f>
        <v>1</v>
      </c>
    </row>
    <row r="765" spans="1:26" x14ac:dyDescent="0.2">
      <c r="A765" s="6">
        <v>989</v>
      </c>
      <c r="B765" s="7">
        <v>7136</v>
      </c>
      <c r="C765" s="8">
        <f>DATE(2012,12,31)-1380</f>
        <v>39894</v>
      </c>
      <c r="D765" s="8" t="str">
        <f t="shared" si="15"/>
        <v>2009-03 (март 2009)</v>
      </c>
      <c r="E765" s="9" t="s">
        <v>30</v>
      </c>
      <c r="F765" s="7">
        <v>17</v>
      </c>
      <c r="G765" s="7">
        <v>642.9</v>
      </c>
      <c r="H765" s="7">
        <v>7.0000000000000007E-2</v>
      </c>
      <c r="I765" s="9" t="s">
        <v>22</v>
      </c>
      <c r="J765" s="10">
        <v>88.72</v>
      </c>
      <c r="K765" s="11">
        <v>39.479999999999997</v>
      </c>
      <c r="L765" s="11">
        <v>1.99</v>
      </c>
      <c r="M765" s="9" t="s">
        <v>727</v>
      </c>
      <c r="N765" s="6" t="s">
        <v>703</v>
      </c>
      <c r="O765" s="6" t="s">
        <v>704</v>
      </c>
      <c r="P765" s="9" t="s">
        <v>60</v>
      </c>
      <c r="Q765" s="9" t="s">
        <v>42</v>
      </c>
      <c r="R765" s="9" t="s">
        <v>70</v>
      </c>
      <c r="S765" s="7" t="s">
        <v>161</v>
      </c>
      <c r="T765" s="9" t="s">
        <v>52</v>
      </c>
      <c r="U765" s="7">
        <v>0.54</v>
      </c>
      <c r="V765" s="12">
        <f>C765+2</f>
        <v>39896</v>
      </c>
      <c r="W765">
        <f>IF(D765=' Pivot Tables'!$A$4,1,0)</f>
        <v>0</v>
      </c>
      <c r="X765">
        <f>IF(AND(LEFT(D765,4)+1=LEFT(' Pivot Tables'!$A$4,4)+0,RIGHT(LEFT(D765,7),2)=RIGHT(LEFT(' Pivot Tables'!$A$4,7),2)),1,0)</f>
        <v>0</v>
      </c>
      <c r="Y765" s="6">
        <f>1/COUNTIF(Таблица1[Order ID],Таблица1[[#This Row],[Order ID]])</f>
        <v>0.5</v>
      </c>
      <c r="Z765" s="9">
        <f>1/COUNTIFS(Таблица1[Customer Name],Таблица1[[#This Row],[Customer Name]],Таблица1[Order-Year-Month],Таблица1[[#This Row],[Order-Year-Month]])</f>
        <v>0.5</v>
      </c>
    </row>
    <row r="766" spans="1:26" x14ac:dyDescent="0.2">
      <c r="A766" s="6">
        <v>990</v>
      </c>
      <c r="B766" s="7">
        <v>7136</v>
      </c>
      <c r="C766" s="8">
        <f>DATE(2012,12,31)-1380</f>
        <v>39894</v>
      </c>
      <c r="D766" s="8" t="str">
        <f t="shared" si="15"/>
        <v>2009-03 (март 2009)</v>
      </c>
      <c r="E766" s="9" t="s">
        <v>30</v>
      </c>
      <c r="F766" s="7">
        <v>9</v>
      </c>
      <c r="G766" s="7">
        <v>47.28</v>
      </c>
      <c r="H766" s="7">
        <v>0</v>
      </c>
      <c r="I766" s="9" t="s">
        <v>22</v>
      </c>
      <c r="J766" s="10">
        <v>17.05</v>
      </c>
      <c r="K766" s="11">
        <v>4.91</v>
      </c>
      <c r="L766" s="11">
        <v>0.5</v>
      </c>
      <c r="M766" s="9" t="s">
        <v>727</v>
      </c>
      <c r="N766" s="6" t="s">
        <v>703</v>
      </c>
      <c r="O766" s="6" t="s">
        <v>704</v>
      </c>
      <c r="P766" s="9" t="s">
        <v>60</v>
      </c>
      <c r="Q766" s="9" t="s">
        <v>26</v>
      </c>
      <c r="R766" s="9" t="s">
        <v>88</v>
      </c>
      <c r="S766" s="7" t="s">
        <v>509</v>
      </c>
      <c r="T766" s="9" t="s">
        <v>39</v>
      </c>
      <c r="U766" s="7">
        <v>0.36</v>
      </c>
      <c r="V766" s="12">
        <f>C766+2</f>
        <v>39896</v>
      </c>
      <c r="W766">
        <f>IF(D766=' Pivot Tables'!$A$4,1,0)</f>
        <v>0</v>
      </c>
      <c r="X766">
        <f>IF(AND(LEFT(D766,4)+1=LEFT(' Pivot Tables'!$A$4,4)+0,RIGHT(LEFT(D766,7),2)=RIGHT(LEFT(' Pivot Tables'!$A$4,7),2)),1,0)</f>
        <v>0</v>
      </c>
      <c r="Y766" s="6">
        <f>1/COUNTIF(Таблица1[Order ID],Таблица1[[#This Row],[Order ID]])</f>
        <v>0.5</v>
      </c>
      <c r="Z766" s="9">
        <f>1/COUNTIFS(Таблица1[Customer Name],Таблица1[[#This Row],[Customer Name]],Таблица1[Order-Year-Month],Таблица1[[#This Row],[Order-Year-Month]])</f>
        <v>0.5</v>
      </c>
    </row>
    <row r="767" spans="1:26" x14ac:dyDescent="0.2">
      <c r="A767" s="6">
        <v>1029</v>
      </c>
      <c r="B767" s="7">
        <v>7489</v>
      </c>
      <c r="C767" s="8">
        <f>DATE(2012,12,31)-823</f>
        <v>40451</v>
      </c>
      <c r="D767" s="8" t="str">
        <f t="shared" si="15"/>
        <v>2010-09 (сентябрь 2010)</v>
      </c>
      <c r="E767" s="9" t="s">
        <v>78</v>
      </c>
      <c r="F767" s="7">
        <v>38</v>
      </c>
      <c r="G767" s="7">
        <v>6900.13</v>
      </c>
      <c r="H767" s="7">
        <v>0.01</v>
      </c>
      <c r="I767" s="9" t="s">
        <v>31</v>
      </c>
      <c r="J767" s="10">
        <v>552.97</v>
      </c>
      <c r="K767" s="11">
        <v>180.98</v>
      </c>
      <c r="L767" s="11">
        <v>23.58</v>
      </c>
      <c r="M767" s="9" t="s">
        <v>728</v>
      </c>
      <c r="N767" s="6" t="s">
        <v>703</v>
      </c>
      <c r="O767" s="6" t="s">
        <v>704</v>
      </c>
      <c r="P767" s="9" t="s">
        <v>60</v>
      </c>
      <c r="Q767" s="9" t="s">
        <v>49</v>
      </c>
      <c r="R767" s="9" t="s">
        <v>80</v>
      </c>
      <c r="S767" s="7" t="s">
        <v>729</v>
      </c>
      <c r="T767" s="9" t="s">
        <v>82</v>
      </c>
      <c r="U767" s="7">
        <v>0.74</v>
      </c>
      <c r="V767" s="12">
        <f>C767+3</f>
        <v>40454</v>
      </c>
      <c r="W767">
        <f>IF(D767=' Pivot Tables'!$A$4,1,0)</f>
        <v>0</v>
      </c>
      <c r="X767">
        <f>IF(AND(LEFT(D767,4)+1=LEFT(' Pivot Tables'!$A$4,4)+0,RIGHT(LEFT(D767,7),2)=RIGHT(LEFT(' Pivot Tables'!$A$4,7),2)),1,0)</f>
        <v>0</v>
      </c>
      <c r="Y767" s="6">
        <f>1/COUNTIF(Таблица1[Order ID],Таблица1[[#This Row],[Order ID]])</f>
        <v>1</v>
      </c>
      <c r="Z767" s="9">
        <f>1/COUNTIFS(Таблица1[Customer Name],Таблица1[[#This Row],[Customer Name]],Таблица1[Order-Year-Month],Таблица1[[#This Row],[Order-Year-Month]])</f>
        <v>1</v>
      </c>
    </row>
    <row r="768" spans="1:26" x14ac:dyDescent="0.2">
      <c r="A768" s="6">
        <v>1083</v>
      </c>
      <c r="B768" s="7">
        <v>7968</v>
      </c>
      <c r="C768" s="8">
        <f>DATE(2012,12,31)-838</f>
        <v>40436</v>
      </c>
      <c r="D768" s="8" t="str">
        <f t="shared" si="15"/>
        <v>2010-09 (сентябрь 2010)</v>
      </c>
      <c r="E768" s="9" t="s">
        <v>21</v>
      </c>
      <c r="F768" s="7">
        <v>10</v>
      </c>
      <c r="G768" s="7">
        <v>1449.21</v>
      </c>
      <c r="H768" s="7">
        <v>0.06</v>
      </c>
      <c r="I768" s="9" t="s">
        <v>31</v>
      </c>
      <c r="J768" s="10">
        <v>-270</v>
      </c>
      <c r="K768" s="11">
        <v>150.97999999999999</v>
      </c>
      <c r="L768" s="11">
        <v>30</v>
      </c>
      <c r="M768" s="9" t="s">
        <v>730</v>
      </c>
      <c r="N768" s="6" t="s">
        <v>703</v>
      </c>
      <c r="O768" s="6" t="s">
        <v>704</v>
      </c>
      <c r="P768" s="9" t="s">
        <v>33</v>
      </c>
      <c r="Q768" s="9" t="s">
        <v>49</v>
      </c>
      <c r="R768" s="9" t="s">
        <v>112</v>
      </c>
      <c r="S768" s="7" t="s">
        <v>731</v>
      </c>
      <c r="T768" s="9" t="s">
        <v>36</v>
      </c>
      <c r="U768" s="7">
        <v>0.74</v>
      </c>
      <c r="V768" s="12">
        <f>C768+0</f>
        <v>40436</v>
      </c>
      <c r="W768">
        <f>IF(D768=' Pivot Tables'!$A$4,1,0)</f>
        <v>0</v>
      </c>
      <c r="X768">
        <f>IF(AND(LEFT(D768,4)+1=LEFT(' Pivot Tables'!$A$4,4)+0,RIGHT(LEFT(D768,7),2)=RIGHT(LEFT(' Pivot Tables'!$A$4,7),2)),1,0)</f>
        <v>0</v>
      </c>
      <c r="Y768" s="6">
        <f>1/COUNTIF(Таблица1[Order ID],Таблица1[[#This Row],[Order ID]])</f>
        <v>1</v>
      </c>
      <c r="Z768" s="9">
        <f>1/COUNTIFS(Таблица1[Customer Name],Таблица1[[#This Row],[Customer Name]],Таблица1[Order-Year-Month],Таблица1[[#This Row],[Order-Year-Month]])</f>
        <v>1</v>
      </c>
    </row>
    <row r="769" spans="1:26" x14ac:dyDescent="0.2">
      <c r="A769" s="6">
        <v>1122</v>
      </c>
      <c r="B769" s="7">
        <v>8227</v>
      </c>
      <c r="C769" s="8">
        <f>DATE(2012,12,31)-1086</f>
        <v>40188</v>
      </c>
      <c r="D769" s="8" t="str">
        <f t="shared" si="15"/>
        <v>2010-01 (январь 2010)</v>
      </c>
      <c r="E769" s="9" t="s">
        <v>45</v>
      </c>
      <c r="F769" s="7">
        <v>32</v>
      </c>
      <c r="G769" s="7">
        <v>162.25</v>
      </c>
      <c r="H769" s="7">
        <v>0.05</v>
      </c>
      <c r="I769" s="9" t="s">
        <v>56</v>
      </c>
      <c r="J769" s="10">
        <v>-43.21</v>
      </c>
      <c r="K769" s="11">
        <v>4.7699999999999996</v>
      </c>
      <c r="L769" s="11">
        <v>2.39</v>
      </c>
      <c r="M769" s="9" t="s">
        <v>719</v>
      </c>
      <c r="N769" s="6" t="s">
        <v>703</v>
      </c>
      <c r="O769" s="6" t="s">
        <v>704</v>
      </c>
      <c r="P769" s="9" t="s">
        <v>25</v>
      </c>
      <c r="Q769" s="9" t="s">
        <v>42</v>
      </c>
      <c r="R769" s="9" t="s">
        <v>70</v>
      </c>
      <c r="S769" s="7" t="s">
        <v>732</v>
      </c>
      <c r="T769" s="9" t="s">
        <v>52</v>
      </c>
      <c r="U769" s="7">
        <v>0.72</v>
      </c>
      <c r="V769" s="12">
        <f>C769+1</f>
        <v>40189</v>
      </c>
      <c r="W769">
        <f>IF(D769=' Pivot Tables'!$A$4,1,0)</f>
        <v>1</v>
      </c>
      <c r="X769">
        <f>IF(AND(LEFT(D769,4)+1=LEFT(' Pivot Tables'!$A$4,4)+0,RIGHT(LEFT(D769,7),2)=RIGHT(LEFT(' Pivot Tables'!$A$4,7),2)),1,0)</f>
        <v>0</v>
      </c>
      <c r="Y769" s="6">
        <f>1/COUNTIF(Таблица1[Order ID],Таблица1[[#This Row],[Order ID]])</f>
        <v>1</v>
      </c>
      <c r="Z769" s="9">
        <f>1/COUNTIFS(Таблица1[Customer Name],Таблица1[[#This Row],[Customer Name]],Таблица1[Order-Year-Month],Таблица1[[#This Row],[Order-Year-Month]])</f>
        <v>1</v>
      </c>
    </row>
    <row r="770" spans="1:26" x14ac:dyDescent="0.2">
      <c r="A770" s="6">
        <v>1255</v>
      </c>
      <c r="B770" s="7">
        <v>9123</v>
      </c>
      <c r="C770" s="8">
        <f>DATE(2012,12,31)-919</f>
        <v>40355</v>
      </c>
      <c r="D770" s="8" t="str">
        <f t="shared" si="15"/>
        <v>2010-06 (июнь 2010)</v>
      </c>
      <c r="E770" s="9" t="s">
        <v>78</v>
      </c>
      <c r="F770" s="7">
        <v>27</v>
      </c>
      <c r="G770" s="7">
        <v>384.9</v>
      </c>
      <c r="H770" s="7">
        <v>7.0000000000000007E-2</v>
      </c>
      <c r="I770" s="9" t="s">
        <v>56</v>
      </c>
      <c r="J770" s="10">
        <v>-108.28</v>
      </c>
      <c r="K770" s="11">
        <v>14.03</v>
      </c>
      <c r="L770" s="11">
        <v>9.3699999999999992</v>
      </c>
      <c r="M770" s="9" t="s">
        <v>712</v>
      </c>
      <c r="N770" s="6" t="s">
        <v>703</v>
      </c>
      <c r="O770" s="6" t="s">
        <v>704</v>
      </c>
      <c r="P770" s="9" t="s">
        <v>33</v>
      </c>
      <c r="Q770" s="9" t="s">
        <v>26</v>
      </c>
      <c r="R770" s="9" t="s">
        <v>27</v>
      </c>
      <c r="S770" s="7" t="s">
        <v>733</v>
      </c>
      <c r="T770" s="9" t="s">
        <v>39</v>
      </c>
      <c r="U770" s="7">
        <v>0.56000000000000005</v>
      </c>
      <c r="V770" s="12">
        <f>C770+1</f>
        <v>40356</v>
      </c>
      <c r="W770">
        <f>IF(D770=' Pivot Tables'!$A$4,1,0)</f>
        <v>0</v>
      </c>
      <c r="X770">
        <f>IF(AND(LEFT(D770,4)+1=LEFT(' Pivot Tables'!$A$4,4)+0,RIGHT(LEFT(D770,7),2)=RIGHT(LEFT(' Pivot Tables'!$A$4,7),2)),1,0)</f>
        <v>0</v>
      </c>
      <c r="Y770" s="6">
        <f>1/COUNTIF(Таблица1[Order ID],Таблица1[[#This Row],[Order ID]])</f>
        <v>1</v>
      </c>
      <c r="Z770" s="9">
        <f>1/COUNTIFS(Таблица1[Customer Name],Таблица1[[#This Row],[Customer Name]],Таблица1[Order-Year-Month],Таблица1[[#This Row],[Order-Year-Month]])</f>
        <v>1</v>
      </c>
    </row>
    <row r="771" spans="1:26" x14ac:dyDescent="0.2">
      <c r="A771" s="6">
        <v>1339</v>
      </c>
      <c r="B771" s="7">
        <v>9792</v>
      </c>
      <c r="C771" s="8">
        <f>DATE(2012,12,31)-527</f>
        <v>40747</v>
      </c>
      <c r="D771" s="8" t="str">
        <f t="shared" ref="D771:D834" si="16">TEXT(C771,"гггг-ММ (ММММ гггг)")</f>
        <v>2011-07 (июль 2011)</v>
      </c>
      <c r="E771" s="9" t="s">
        <v>21</v>
      </c>
      <c r="F771" s="7">
        <v>14</v>
      </c>
      <c r="G771" s="7">
        <v>84.09</v>
      </c>
      <c r="H771" s="7">
        <v>0.02</v>
      </c>
      <c r="I771" s="9" t="s">
        <v>22</v>
      </c>
      <c r="J771" s="10">
        <v>-73.14</v>
      </c>
      <c r="K771" s="11">
        <v>5.4</v>
      </c>
      <c r="L771" s="11">
        <v>7.78</v>
      </c>
      <c r="M771" s="9" t="s">
        <v>734</v>
      </c>
      <c r="N771" s="6" t="s">
        <v>703</v>
      </c>
      <c r="O771" s="6" t="s">
        <v>704</v>
      </c>
      <c r="P771" s="9" t="s">
        <v>33</v>
      </c>
      <c r="Q771" s="9" t="s">
        <v>26</v>
      </c>
      <c r="R771" s="9" t="s">
        <v>37</v>
      </c>
      <c r="S771" s="7" t="s">
        <v>330</v>
      </c>
      <c r="T771" s="9" t="s">
        <v>39</v>
      </c>
      <c r="U771" s="7">
        <v>0.37</v>
      </c>
      <c r="V771" s="12">
        <f>C771+0</f>
        <v>40747</v>
      </c>
      <c r="W771">
        <f>IF(D771=' Pivot Tables'!$A$4,1,0)</f>
        <v>0</v>
      </c>
      <c r="X771">
        <f>IF(AND(LEFT(D771,4)+1=LEFT(' Pivot Tables'!$A$4,4)+0,RIGHT(LEFT(D771,7),2)=RIGHT(LEFT(' Pivot Tables'!$A$4,7),2)),1,0)</f>
        <v>0</v>
      </c>
      <c r="Y771" s="6">
        <f>1/COUNTIF(Таблица1[Order ID],Таблица1[[#This Row],[Order ID]])</f>
        <v>1</v>
      </c>
      <c r="Z771" s="9">
        <f>1/COUNTIFS(Таблица1[Customer Name],Таблица1[[#This Row],[Customer Name]],Таблица1[Order-Year-Month],Таблица1[[#This Row],[Order-Year-Month]])</f>
        <v>1</v>
      </c>
    </row>
    <row r="772" spans="1:26" x14ac:dyDescent="0.2">
      <c r="A772" s="6">
        <v>1352</v>
      </c>
      <c r="B772" s="7">
        <v>9860</v>
      </c>
      <c r="C772" s="8">
        <f>DATE(2012,12,31)-813</f>
        <v>40461</v>
      </c>
      <c r="D772" s="8" t="str">
        <f t="shared" si="16"/>
        <v>2010-10 (октябрь 2010)</v>
      </c>
      <c r="E772" s="9" t="s">
        <v>78</v>
      </c>
      <c r="F772" s="7">
        <v>43</v>
      </c>
      <c r="G772" s="7">
        <v>319.69</v>
      </c>
      <c r="H772" s="7">
        <v>0</v>
      </c>
      <c r="I772" s="9" t="s">
        <v>22</v>
      </c>
      <c r="J772" s="10">
        <v>-73.66</v>
      </c>
      <c r="K772" s="11">
        <v>7.28</v>
      </c>
      <c r="L772" s="11">
        <v>3.52</v>
      </c>
      <c r="M772" s="9" t="s">
        <v>728</v>
      </c>
      <c r="N772" s="6" t="s">
        <v>703</v>
      </c>
      <c r="O772" s="6" t="s">
        <v>704</v>
      </c>
      <c r="P772" s="9" t="s">
        <v>60</v>
      </c>
      <c r="Q772" s="9" t="s">
        <v>42</v>
      </c>
      <c r="R772" s="9" t="s">
        <v>70</v>
      </c>
      <c r="S772" s="7" t="s">
        <v>735</v>
      </c>
      <c r="T772" s="9" t="s">
        <v>52</v>
      </c>
      <c r="U772" s="7">
        <v>0.68</v>
      </c>
      <c r="V772" s="12">
        <f>C772+1</f>
        <v>40462</v>
      </c>
      <c r="W772">
        <f>IF(D772=' Pivot Tables'!$A$4,1,0)</f>
        <v>0</v>
      </c>
      <c r="X772">
        <f>IF(AND(LEFT(D772,4)+1=LEFT(' Pivot Tables'!$A$4,4)+0,RIGHT(LEFT(D772,7),2)=RIGHT(LEFT(' Pivot Tables'!$A$4,7),2)),1,0)</f>
        <v>0</v>
      </c>
      <c r="Y772" s="6">
        <f>1/COUNTIF(Таблица1[Order ID],Таблица1[[#This Row],[Order ID]])</f>
        <v>1</v>
      </c>
      <c r="Z772" s="9">
        <f>1/COUNTIFS(Таблица1[Customer Name],Таблица1[[#This Row],[Customer Name]],Таблица1[Order-Year-Month],Таблица1[[#This Row],[Order-Year-Month]])</f>
        <v>1</v>
      </c>
    </row>
    <row r="773" spans="1:26" x14ac:dyDescent="0.2">
      <c r="A773" s="6">
        <v>1423</v>
      </c>
      <c r="B773" s="7">
        <v>10310</v>
      </c>
      <c r="C773" s="8">
        <f>DATE(2012,12,31)-1425</f>
        <v>39849</v>
      </c>
      <c r="D773" s="8" t="str">
        <f t="shared" si="16"/>
        <v>2009-02 (февраль 2009)</v>
      </c>
      <c r="E773" s="9" t="s">
        <v>21</v>
      </c>
      <c r="F773" s="7">
        <v>48</v>
      </c>
      <c r="G773" s="7">
        <v>139.86000000000001</v>
      </c>
      <c r="H773" s="7">
        <v>7.0000000000000007E-2</v>
      </c>
      <c r="I773" s="9" t="s">
        <v>22</v>
      </c>
      <c r="J773" s="10">
        <v>9.59</v>
      </c>
      <c r="K773" s="11">
        <v>2.88</v>
      </c>
      <c r="L773" s="11">
        <v>1.01</v>
      </c>
      <c r="M773" s="9" t="s">
        <v>719</v>
      </c>
      <c r="N773" s="6" t="s">
        <v>703</v>
      </c>
      <c r="O773" s="6" t="s">
        <v>704</v>
      </c>
      <c r="P773" s="9" t="s">
        <v>25</v>
      </c>
      <c r="Q773" s="9" t="s">
        <v>26</v>
      </c>
      <c r="R773" s="9" t="s">
        <v>95</v>
      </c>
      <c r="S773" s="7" t="s">
        <v>736</v>
      </c>
      <c r="T773" s="9" t="s">
        <v>68</v>
      </c>
      <c r="U773" s="7">
        <v>0.55000000000000004</v>
      </c>
      <c r="V773" s="12">
        <f>C773+4</f>
        <v>39853</v>
      </c>
      <c r="W773">
        <f>IF(D773=' Pivot Tables'!$A$4,1,0)</f>
        <v>0</v>
      </c>
      <c r="X773">
        <f>IF(AND(LEFT(D773,4)+1=LEFT(' Pivot Tables'!$A$4,4)+0,RIGHT(LEFT(D773,7),2)=RIGHT(LEFT(' Pivot Tables'!$A$4,7),2)),1,0)</f>
        <v>0</v>
      </c>
      <c r="Y773" s="6">
        <f>1/COUNTIF(Таблица1[Order ID],Таблица1[[#This Row],[Order ID]])</f>
        <v>0.5</v>
      </c>
      <c r="Z773" s="9">
        <f>1/COUNTIFS(Таблица1[Customer Name],Таблица1[[#This Row],[Customer Name]],Таблица1[Order-Year-Month],Таблица1[[#This Row],[Order-Year-Month]])</f>
        <v>0.5</v>
      </c>
    </row>
    <row r="774" spans="1:26" x14ac:dyDescent="0.2">
      <c r="A774" s="6">
        <v>1424</v>
      </c>
      <c r="B774" s="7">
        <v>10310</v>
      </c>
      <c r="C774" s="8">
        <f>DATE(2012,12,31)-1425</f>
        <v>39849</v>
      </c>
      <c r="D774" s="8" t="str">
        <f t="shared" si="16"/>
        <v>2009-02 (февраль 2009)</v>
      </c>
      <c r="E774" s="9" t="s">
        <v>21</v>
      </c>
      <c r="F774" s="7">
        <v>6</v>
      </c>
      <c r="G774" s="7">
        <v>926.58500000000004</v>
      </c>
      <c r="H774" s="7">
        <v>0.1</v>
      </c>
      <c r="I774" s="9" t="s">
        <v>22</v>
      </c>
      <c r="J774" s="10">
        <v>-655.42399999999998</v>
      </c>
      <c r="K774" s="11">
        <v>195.99</v>
      </c>
      <c r="L774" s="11">
        <v>3.99</v>
      </c>
      <c r="M774" s="9" t="s">
        <v>719</v>
      </c>
      <c r="N774" s="6" t="s">
        <v>703</v>
      </c>
      <c r="O774" s="6" t="s">
        <v>704</v>
      </c>
      <c r="P774" s="9" t="s">
        <v>25</v>
      </c>
      <c r="Q774" s="9" t="s">
        <v>42</v>
      </c>
      <c r="R774" s="9" t="s">
        <v>43</v>
      </c>
      <c r="S774" s="7" t="s">
        <v>44</v>
      </c>
      <c r="T774" s="9" t="s">
        <v>39</v>
      </c>
      <c r="U774" s="7">
        <v>0.57999999999999996</v>
      </c>
      <c r="V774" s="12">
        <f>C774+7</f>
        <v>39856</v>
      </c>
      <c r="W774">
        <f>IF(D774=' Pivot Tables'!$A$4,1,0)</f>
        <v>0</v>
      </c>
      <c r="X774">
        <f>IF(AND(LEFT(D774,4)+1=LEFT(' Pivot Tables'!$A$4,4)+0,RIGHT(LEFT(D774,7),2)=RIGHT(LEFT(' Pivot Tables'!$A$4,7),2)),1,0)</f>
        <v>0</v>
      </c>
      <c r="Y774" s="6">
        <f>1/COUNTIF(Таблица1[Order ID],Таблица1[[#This Row],[Order ID]])</f>
        <v>0.5</v>
      </c>
      <c r="Z774" s="9">
        <f>1/COUNTIFS(Таблица1[Customer Name],Таблица1[[#This Row],[Customer Name]],Таблица1[Order-Year-Month],Таблица1[[#This Row],[Order-Year-Month]])</f>
        <v>0.5</v>
      </c>
    </row>
    <row r="775" spans="1:26" x14ac:dyDescent="0.2">
      <c r="A775" s="6">
        <v>1436</v>
      </c>
      <c r="B775" s="7">
        <v>10369</v>
      </c>
      <c r="C775" s="8">
        <f>DATE(2012,12,31)-418</f>
        <v>40856</v>
      </c>
      <c r="D775" s="8" t="str">
        <f t="shared" si="16"/>
        <v>2011-11 (ноябрь 2011)</v>
      </c>
      <c r="E775" s="9" t="s">
        <v>21</v>
      </c>
      <c r="F775" s="7">
        <v>4</v>
      </c>
      <c r="G775" s="7">
        <v>27.34</v>
      </c>
      <c r="H775" s="7">
        <v>0.06</v>
      </c>
      <c r="I775" s="9" t="s">
        <v>22</v>
      </c>
      <c r="J775" s="10">
        <v>-12.38</v>
      </c>
      <c r="K775" s="11">
        <v>5.78</v>
      </c>
      <c r="L775" s="11">
        <v>4.96</v>
      </c>
      <c r="M775" s="9" t="s">
        <v>728</v>
      </c>
      <c r="N775" s="6" t="s">
        <v>703</v>
      </c>
      <c r="O775" s="6" t="s">
        <v>704</v>
      </c>
      <c r="P775" s="9" t="s">
        <v>60</v>
      </c>
      <c r="Q775" s="9" t="s">
        <v>26</v>
      </c>
      <c r="R775" s="9" t="s">
        <v>61</v>
      </c>
      <c r="S775" s="7" t="s">
        <v>737</v>
      </c>
      <c r="T775" s="9" t="s">
        <v>39</v>
      </c>
      <c r="U775" s="7">
        <v>0.36</v>
      </c>
      <c r="V775" s="12">
        <f>C775+2</f>
        <v>40858</v>
      </c>
      <c r="W775">
        <f>IF(D775=' Pivot Tables'!$A$4,1,0)</f>
        <v>0</v>
      </c>
      <c r="X775">
        <f>IF(AND(LEFT(D775,4)+1=LEFT(' Pivot Tables'!$A$4,4)+0,RIGHT(LEFT(D775,7),2)=RIGHT(LEFT(' Pivot Tables'!$A$4,7),2)),1,0)</f>
        <v>0</v>
      </c>
      <c r="Y775" s="6">
        <f>1/COUNTIF(Таблица1[Order ID],Таблица1[[#This Row],[Order ID]])</f>
        <v>0.5</v>
      </c>
      <c r="Z775" s="9">
        <f>1/COUNTIFS(Таблица1[Customer Name],Таблица1[[#This Row],[Customer Name]],Таблица1[Order-Year-Month],Таблица1[[#This Row],[Order-Year-Month]])</f>
        <v>0.16666666666666666</v>
      </c>
    </row>
    <row r="776" spans="1:26" x14ac:dyDescent="0.2">
      <c r="A776" s="6">
        <v>1437</v>
      </c>
      <c r="B776" s="7">
        <v>10369</v>
      </c>
      <c r="C776" s="8">
        <f>DATE(2012,12,31)-418</f>
        <v>40856</v>
      </c>
      <c r="D776" s="8" t="str">
        <f t="shared" si="16"/>
        <v>2011-11 (ноябрь 2011)</v>
      </c>
      <c r="E776" s="9" t="s">
        <v>21</v>
      </c>
      <c r="F776" s="7">
        <v>23</v>
      </c>
      <c r="G776" s="7">
        <v>683.68</v>
      </c>
      <c r="H776" s="7">
        <v>0</v>
      </c>
      <c r="I776" s="9" t="s">
        <v>22</v>
      </c>
      <c r="J776" s="10">
        <v>-95.54</v>
      </c>
      <c r="K776" s="11">
        <v>28.48</v>
      </c>
      <c r="L776" s="11">
        <v>8.99</v>
      </c>
      <c r="M776" s="9" t="s">
        <v>728</v>
      </c>
      <c r="N776" s="6" t="s">
        <v>703</v>
      </c>
      <c r="O776" s="6" t="s">
        <v>704</v>
      </c>
      <c r="P776" s="9" t="s">
        <v>60</v>
      </c>
      <c r="Q776" s="9" t="s">
        <v>42</v>
      </c>
      <c r="R776" s="9" t="s">
        <v>70</v>
      </c>
      <c r="S776" s="7" t="s">
        <v>738</v>
      </c>
      <c r="T776" s="9" t="s">
        <v>52</v>
      </c>
      <c r="U776" s="7">
        <v>0.7</v>
      </c>
      <c r="V776" s="12">
        <f>C776+5</f>
        <v>40861</v>
      </c>
      <c r="W776">
        <f>IF(D776=' Pivot Tables'!$A$4,1,0)</f>
        <v>0</v>
      </c>
      <c r="X776">
        <f>IF(AND(LEFT(D776,4)+1=LEFT(' Pivot Tables'!$A$4,4)+0,RIGHT(LEFT(D776,7),2)=RIGHT(LEFT(' Pivot Tables'!$A$4,7),2)),1,0)</f>
        <v>0</v>
      </c>
      <c r="Y776" s="6">
        <f>1/COUNTIF(Таблица1[Order ID],Таблица1[[#This Row],[Order ID]])</f>
        <v>0.5</v>
      </c>
      <c r="Z776" s="9">
        <f>1/COUNTIFS(Таблица1[Customer Name],Таблица1[[#This Row],[Customer Name]],Таблица1[Order-Year-Month],Таблица1[[#This Row],[Order-Year-Month]])</f>
        <v>0.16666666666666666</v>
      </c>
    </row>
    <row r="777" spans="1:26" x14ac:dyDescent="0.2">
      <c r="A777" s="6">
        <v>1486</v>
      </c>
      <c r="B777" s="7">
        <v>10692</v>
      </c>
      <c r="C777" s="8">
        <f>DATE(2012,12,31)-1254</f>
        <v>40020</v>
      </c>
      <c r="D777" s="8" t="str">
        <f t="shared" si="16"/>
        <v>2009-07 (июль 2009)</v>
      </c>
      <c r="E777" s="9" t="s">
        <v>21</v>
      </c>
      <c r="F777" s="7">
        <v>26</v>
      </c>
      <c r="G777" s="7">
        <v>100.41</v>
      </c>
      <c r="H777" s="7">
        <v>0.04</v>
      </c>
      <c r="I777" s="9" t="s">
        <v>22</v>
      </c>
      <c r="J777" s="10">
        <v>-69.91</v>
      </c>
      <c r="K777" s="11">
        <v>3.57</v>
      </c>
      <c r="L777" s="11">
        <v>4.17</v>
      </c>
      <c r="M777" s="9" t="s">
        <v>716</v>
      </c>
      <c r="N777" s="6" t="s">
        <v>703</v>
      </c>
      <c r="O777" s="6" t="s">
        <v>704</v>
      </c>
      <c r="P777" s="9" t="s">
        <v>41</v>
      </c>
      <c r="Q777" s="9" t="s">
        <v>26</v>
      </c>
      <c r="R777" s="9" t="s">
        <v>95</v>
      </c>
      <c r="S777" s="7" t="s">
        <v>739</v>
      </c>
      <c r="T777" s="9" t="s">
        <v>52</v>
      </c>
      <c r="U777" s="7">
        <v>0.59</v>
      </c>
      <c r="V777" s="12">
        <f>C777+2</f>
        <v>40022</v>
      </c>
      <c r="W777">
        <f>IF(D777=' Pivot Tables'!$A$4,1,0)</f>
        <v>0</v>
      </c>
      <c r="X777">
        <f>IF(AND(LEFT(D777,4)+1=LEFT(' Pivot Tables'!$A$4,4)+0,RIGHT(LEFT(D777,7),2)=RIGHT(LEFT(' Pivot Tables'!$A$4,7),2)),1,0)</f>
        <v>0</v>
      </c>
      <c r="Y777" s="6">
        <f>1/COUNTIF(Таблица1[Order ID],Таблица1[[#This Row],[Order ID]])</f>
        <v>0.33333333333333331</v>
      </c>
      <c r="Z777" s="9">
        <f>1/COUNTIFS(Таблица1[Customer Name],Таблица1[[#This Row],[Customer Name]],Таблица1[Order-Year-Month],Таблица1[[#This Row],[Order-Year-Month]])</f>
        <v>0.33333333333333331</v>
      </c>
    </row>
    <row r="778" spans="1:26" x14ac:dyDescent="0.2">
      <c r="A778" s="6">
        <v>1487</v>
      </c>
      <c r="B778" s="7">
        <v>10692</v>
      </c>
      <c r="C778" s="8">
        <f>DATE(2012,12,31)-1254</f>
        <v>40020</v>
      </c>
      <c r="D778" s="8" t="str">
        <f t="shared" si="16"/>
        <v>2009-07 (июль 2009)</v>
      </c>
      <c r="E778" s="9" t="s">
        <v>21</v>
      </c>
      <c r="F778" s="7">
        <v>48</v>
      </c>
      <c r="G778" s="7">
        <v>8101.9875000000002</v>
      </c>
      <c r="H778" s="7">
        <v>0.05</v>
      </c>
      <c r="I778" s="9" t="s">
        <v>22</v>
      </c>
      <c r="J778" s="10">
        <v>2369.8440000000001</v>
      </c>
      <c r="K778" s="11">
        <v>200.99</v>
      </c>
      <c r="L778" s="11">
        <v>4.2</v>
      </c>
      <c r="M778" s="9" t="s">
        <v>716</v>
      </c>
      <c r="N778" s="6" t="s">
        <v>703</v>
      </c>
      <c r="O778" s="6" t="s">
        <v>704</v>
      </c>
      <c r="P778" s="9" t="s">
        <v>41</v>
      </c>
      <c r="Q778" s="9" t="s">
        <v>42</v>
      </c>
      <c r="R778" s="9" t="s">
        <v>43</v>
      </c>
      <c r="S778" s="7" t="s">
        <v>457</v>
      </c>
      <c r="T778" s="9" t="s">
        <v>39</v>
      </c>
      <c r="U778" s="7">
        <v>0.59</v>
      </c>
      <c r="V778" s="12">
        <f>C778+4</f>
        <v>40024</v>
      </c>
      <c r="W778">
        <f>IF(D778=' Pivot Tables'!$A$4,1,0)</f>
        <v>0</v>
      </c>
      <c r="X778">
        <f>IF(AND(LEFT(D778,4)+1=LEFT(' Pivot Tables'!$A$4,4)+0,RIGHT(LEFT(D778,7),2)=RIGHT(LEFT(' Pivot Tables'!$A$4,7),2)),1,0)</f>
        <v>0</v>
      </c>
      <c r="Y778" s="6">
        <f>1/COUNTIF(Таблица1[Order ID],Таблица1[[#This Row],[Order ID]])</f>
        <v>0.33333333333333331</v>
      </c>
      <c r="Z778" s="9">
        <f>1/COUNTIFS(Таблица1[Customer Name],Таблица1[[#This Row],[Customer Name]],Таблица1[Order-Year-Month],Таблица1[[#This Row],[Order-Year-Month]])</f>
        <v>0.33333333333333331</v>
      </c>
    </row>
    <row r="779" spans="1:26" x14ac:dyDescent="0.2">
      <c r="A779" s="6">
        <v>1488</v>
      </c>
      <c r="B779" s="7">
        <v>10692</v>
      </c>
      <c r="C779" s="8">
        <f>DATE(2012,12,31)-1254</f>
        <v>40020</v>
      </c>
      <c r="D779" s="8" t="str">
        <f t="shared" si="16"/>
        <v>2009-07 (июль 2009)</v>
      </c>
      <c r="E779" s="9" t="s">
        <v>21</v>
      </c>
      <c r="F779" s="7">
        <v>8</v>
      </c>
      <c r="G779" s="7">
        <v>1313.8109999999999</v>
      </c>
      <c r="H779" s="7">
        <v>7.0000000000000007E-2</v>
      </c>
      <c r="I779" s="9" t="s">
        <v>22</v>
      </c>
      <c r="J779" s="10">
        <v>-457.16</v>
      </c>
      <c r="K779" s="11">
        <v>195.99</v>
      </c>
      <c r="L779" s="11">
        <v>8.99</v>
      </c>
      <c r="M779" s="9" t="s">
        <v>716</v>
      </c>
      <c r="N779" s="6" t="s">
        <v>703</v>
      </c>
      <c r="O779" s="6" t="s">
        <v>704</v>
      </c>
      <c r="P779" s="9" t="s">
        <v>41</v>
      </c>
      <c r="Q779" s="9" t="s">
        <v>42</v>
      </c>
      <c r="R779" s="9" t="s">
        <v>43</v>
      </c>
      <c r="S779" s="7" t="s">
        <v>479</v>
      </c>
      <c r="T779" s="9" t="s">
        <v>39</v>
      </c>
      <c r="U779" s="7">
        <v>0.57999999999999996</v>
      </c>
      <c r="V779" s="12">
        <f>C779+0</f>
        <v>40020</v>
      </c>
      <c r="W779">
        <f>IF(D779=' Pivot Tables'!$A$4,1,0)</f>
        <v>0</v>
      </c>
      <c r="X779">
        <f>IF(AND(LEFT(D779,4)+1=LEFT(' Pivot Tables'!$A$4,4)+0,RIGHT(LEFT(D779,7),2)=RIGHT(LEFT(' Pivot Tables'!$A$4,7),2)),1,0)</f>
        <v>0</v>
      </c>
      <c r="Y779" s="6">
        <f>1/COUNTIF(Таблица1[Order ID],Таблица1[[#This Row],[Order ID]])</f>
        <v>0.33333333333333331</v>
      </c>
      <c r="Z779" s="9">
        <f>1/COUNTIFS(Таблица1[Customer Name],Таблица1[[#This Row],[Customer Name]],Таблица1[Order-Year-Month],Таблица1[[#This Row],[Order-Year-Month]])</f>
        <v>0.33333333333333331</v>
      </c>
    </row>
    <row r="780" spans="1:26" x14ac:dyDescent="0.2">
      <c r="A780" s="6">
        <v>1596</v>
      </c>
      <c r="B780" s="7">
        <v>11553</v>
      </c>
      <c r="C780" s="8">
        <f>DATE(2012,12,31)-1353</f>
        <v>39921</v>
      </c>
      <c r="D780" s="8" t="str">
        <f t="shared" si="16"/>
        <v>2009-04 (апрель 2009)</v>
      </c>
      <c r="E780" s="9" t="s">
        <v>63</v>
      </c>
      <c r="F780" s="7">
        <v>28</v>
      </c>
      <c r="G780" s="7">
        <v>1350.34</v>
      </c>
      <c r="H780" s="7">
        <v>0.1</v>
      </c>
      <c r="I780" s="9" t="s">
        <v>56</v>
      </c>
      <c r="J780" s="10">
        <v>-517.16999999999996</v>
      </c>
      <c r="K780" s="11">
        <v>52.99</v>
      </c>
      <c r="L780" s="11">
        <v>19.989999999999998</v>
      </c>
      <c r="M780" s="9" t="s">
        <v>715</v>
      </c>
      <c r="N780" s="6" t="s">
        <v>703</v>
      </c>
      <c r="O780" s="6" t="s">
        <v>704</v>
      </c>
      <c r="P780" s="9" t="s">
        <v>41</v>
      </c>
      <c r="Q780" s="9" t="s">
        <v>26</v>
      </c>
      <c r="R780" s="9" t="s">
        <v>27</v>
      </c>
      <c r="S780" s="7" t="s">
        <v>740</v>
      </c>
      <c r="T780" s="9" t="s">
        <v>39</v>
      </c>
      <c r="U780" s="7">
        <v>0.81</v>
      </c>
      <c r="V780" s="12">
        <f>C780+1</f>
        <v>39922</v>
      </c>
      <c r="W780">
        <f>IF(D780=' Pivot Tables'!$A$4,1,0)</f>
        <v>0</v>
      </c>
      <c r="X780">
        <f>IF(AND(LEFT(D780,4)+1=LEFT(' Pivot Tables'!$A$4,4)+0,RIGHT(LEFT(D780,7),2)=RIGHT(LEFT(' Pivot Tables'!$A$4,7),2)),1,0)</f>
        <v>0</v>
      </c>
      <c r="Y780" s="6">
        <f>1/COUNTIF(Таблица1[Order ID],Таблица1[[#This Row],[Order ID]])</f>
        <v>0.33333333333333331</v>
      </c>
      <c r="Z780" s="9">
        <f>1/COUNTIFS(Таблица1[Customer Name],Таблица1[[#This Row],[Customer Name]],Таблица1[Order-Year-Month],Таблица1[[#This Row],[Order-Year-Month]])</f>
        <v>0.33333333333333331</v>
      </c>
    </row>
    <row r="781" spans="1:26" x14ac:dyDescent="0.2">
      <c r="A781" s="6">
        <v>1597</v>
      </c>
      <c r="B781" s="7">
        <v>11553</v>
      </c>
      <c r="C781" s="8">
        <f>DATE(2012,12,31)-1353</f>
        <v>39921</v>
      </c>
      <c r="D781" s="8" t="str">
        <f t="shared" si="16"/>
        <v>2009-04 (апрель 2009)</v>
      </c>
      <c r="E781" s="9" t="s">
        <v>63</v>
      </c>
      <c r="F781" s="7">
        <v>8</v>
      </c>
      <c r="G781" s="7">
        <v>861.26</v>
      </c>
      <c r="H781" s="7">
        <v>7.0000000000000007E-2</v>
      </c>
      <c r="I781" s="9" t="s">
        <v>31</v>
      </c>
      <c r="J781" s="10">
        <v>-429.86</v>
      </c>
      <c r="K781" s="11">
        <v>100.98</v>
      </c>
      <c r="L781" s="11">
        <v>57.38</v>
      </c>
      <c r="M781" s="9" t="s">
        <v>715</v>
      </c>
      <c r="N781" s="6" t="s">
        <v>703</v>
      </c>
      <c r="O781" s="6" t="s">
        <v>704</v>
      </c>
      <c r="P781" s="9" t="s">
        <v>41</v>
      </c>
      <c r="Q781" s="9" t="s">
        <v>49</v>
      </c>
      <c r="R781" s="9" t="s">
        <v>80</v>
      </c>
      <c r="S781" s="7" t="s">
        <v>162</v>
      </c>
      <c r="T781" s="9" t="s">
        <v>82</v>
      </c>
      <c r="U781" s="7">
        <v>0.78</v>
      </c>
      <c r="V781" s="12">
        <f>C781+3</f>
        <v>39924</v>
      </c>
      <c r="W781">
        <f>IF(D781=' Pivot Tables'!$A$4,1,0)</f>
        <v>0</v>
      </c>
      <c r="X781">
        <f>IF(AND(LEFT(D781,4)+1=LEFT(' Pivot Tables'!$A$4,4)+0,RIGHT(LEFT(D781,7),2)=RIGHT(LEFT(' Pivot Tables'!$A$4,7),2)),1,0)</f>
        <v>0</v>
      </c>
      <c r="Y781" s="6">
        <f>1/COUNTIF(Таблица1[Order ID],Таблица1[[#This Row],[Order ID]])</f>
        <v>0.33333333333333331</v>
      </c>
      <c r="Z781" s="9">
        <f>1/COUNTIFS(Таблица1[Customer Name],Таблица1[[#This Row],[Customer Name]],Таблица1[Order-Year-Month],Таблица1[[#This Row],[Order-Year-Month]])</f>
        <v>0.33333333333333331</v>
      </c>
    </row>
    <row r="782" spans="1:26" x14ac:dyDescent="0.2">
      <c r="A782" s="6">
        <v>1598</v>
      </c>
      <c r="B782" s="7">
        <v>11553</v>
      </c>
      <c r="C782" s="8">
        <f>DATE(2012,12,31)-1353</f>
        <v>39921</v>
      </c>
      <c r="D782" s="8" t="str">
        <f t="shared" si="16"/>
        <v>2009-04 (апрель 2009)</v>
      </c>
      <c r="E782" s="9" t="s">
        <v>63</v>
      </c>
      <c r="F782" s="7">
        <v>20</v>
      </c>
      <c r="G782" s="7">
        <v>1531.4110000000001</v>
      </c>
      <c r="H782" s="7">
        <v>0.03</v>
      </c>
      <c r="I782" s="9" t="s">
        <v>22</v>
      </c>
      <c r="J782" s="10">
        <v>365.41800000000001</v>
      </c>
      <c r="K782" s="11">
        <v>85.99</v>
      </c>
      <c r="L782" s="11">
        <v>0.99</v>
      </c>
      <c r="M782" s="9" t="s">
        <v>715</v>
      </c>
      <c r="N782" s="6" t="s">
        <v>703</v>
      </c>
      <c r="O782" s="6" t="s">
        <v>704</v>
      </c>
      <c r="P782" s="9" t="s">
        <v>41</v>
      </c>
      <c r="Q782" s="9" t="s">
        <v>42</v>
      </c>
      <c r="R782" s="9" t="s">
        <v>43</v>
      </c>
      <c r="S782" s="7" t="s">
        <v>741</v>
      </c>
      <c r="T782" s="9" t="s">
        <v>68</v>
      </c>
      <c r="U782" s="7">
        <v>0.55000000000000004</v>
      </c>
      <c r="V782" s="12">
        <f>C782+2</f>
        <v>39923</v>
      </c>
      <c r="W782">
        <f>IF(D782=' Pivot Tables'!$A$4,1,0)</f>
        <v>0</v>
      </c>
      <c r="X782">
        <f>IF(AND(LEFT(D782,4)+1=LEFT(' Pivot Tables'!$A$4,4)+0,RIGHT(LEFT(D782,7),2)=RIGHT(LEFT(' Pivot Tables'!$A$4,7),2)),1,0)</f>
        <v>0</v>
      </c>
      <c r="Y782" s="6">
        <f>1/COUNTIF(Таблица1[Order ID],Таблица1[[#This Row],[Order ID]])</f>
        <v>0.33333333333333331</v>
      </c>
      <c r="Z782" s="9">
        <f>1/COUNTIFS(Таблица1[Customer Name],Таблица1[[#This Row],[Customer Name]],Таблица1[Order-Year-Month],Таблица1[[#This Row],[Order-Year-Month]])</f>
        <v>0.33333333333333331</v>
      </c>
    </row>
    <row r="783" spans="1:26" x14ac:dyDescent="0.2">
      <c r="A783" s="6">
        <v>1626</v>
      </c>
      <c r="B783" s="7">
        <v>11776</v>
      </c>
      <c r="C783" s="8">
        <f>DATE(2012,12,31)-311</f>
        <v>40963</v>
      </c>
      <c r="D783" s="8" t="str">
        <f t="shared" si="16"/>
        <v>2012-02 (февраль 2012)</v>
      </c>
      <c r="E783" s="9" t="s">
        <v>21</v>
      </c>
      <c r="F783" s="7">
        <v>40</v>
      </c>
      <c r="G783" s="7">
        <v>57.24</v>
      </c>
      <c r="H783" s="7">
        <v>0.04</v>
      </c>
      <c r="I783" s="9" t="s">
        <v>56</v>
      </c>
      <c r="J783" s="10">
        <v>-14.1</v>
      </c>
      <c r="K783" s="11">
        <v>1.26</v>
      </c>
      <c r="L783" s="11">
        <v>0.7</v>
      </c>
      <c r="M783" s="9" t="s">
        <v>719</v>
      </c>
      <c r="N783" s="6" t="s">
        <v>703</v>
      </c>
      <c r="O783" s="6" t="s">
        <v>704</v>
      </c>
      <c r="P783" s="9" t="s">
        <v>25</v>
      </c>
      <c r="Q783" s="9" t="s">
        <v>26</v>
      </c>
      <c r="R783" s="9" t="s">
        <v>66</v>
      </c>
      <c r="S783" s="7" t="s">
        <v>351</v>
      </c>
      <c r="T783" s="9" t="s">
        <v>68</v>
      </c>
      <c r="U783" s="7">
        <v>0.81</v>
      </c>
      <c r="V783" s="12">
        <f>C783+0</f>
        <v>40963</v>
      </c>
      <c r="W783">
        <f>IF(D783=' Pivot Tables'!$A$4,1,0)</f>
        <v>0</v>
      </c>
      <c r="X783">
        <f>IF(AND(LEFT(D783,4)+1=LEFT(' Pivot Tables'!$A$4,4)+0,RIGHT(LEFT(D783,7),2)=RIGHT(LEFT(' Pivot Tables'!$A$4,7),2)),1,0)</f>
        <v>0</v>
      </c>
      <c r="Y783" s="6">
        <f>1/COUNTIF(Таблица1[Order ID],Таблица1[[#This Row],[Order ID]])</f>
        <v>1</v>
      </c>
      <c r="Z783" s="9">
        <f>1/COUNTIFS(Таблица1[Customer Name],Таблица1[[#This Row],[Customer Name]],Таблица1[Order-Year-Month],Таблица1[[#This Row],[Order-Year-Month]])</f>
        <v>1</v>
      </c>
    </row>
    <row r="784" spans="1:26" x14ac:dyDescent="0.2">
      <c r="A784" s="6">
        <v>1631</v>
      </c>
      <c r="B784" s="7">
        <v>11782</v>
      </c>
      <c r="C784" s="8">
        <f>DATE(2012,12,31)-156</f>
        <v>41118</v>
      </c>
      <c r="D784" s="8" t="str">
        <f t="shared" si="16"/>
        <v>2012-07 (июль 2012)</v>
      </c>
      <c r="E784" s="9" t="s">
        <v>21</v>
      </c>
      <c r="F784" s="7">
        <v>46</v>
      </c>
      <c r="G784" s="7">
        <v>247.21</v>
      </c>
      <c r="H784" s="7">
        <v>0.02</v>
      </c>
      <c r="I784" s="9" t="s">
        <v>22</v>
      </c>
      <c r="J784" s="10">
        <v>-63.72</v>
      </c>
      <c r="K784" s="11">
        <v>4.9800000000000004</v>
      </c>
      <c r="L784" s="11">
        <v>4.75</v>
      </c>
      <c r="M784" s="9" t="s">
        <v>742</v>
      </c>
      <c r="N784" s="6" t="s">
        <v>703</v>
      </c>
      <c r="O784" s="6" t="s">
        <v>704</v>
      </c>
      <c r="P784" s="9" t="s">
        <v>41</v>
      </c>
      <c r="Q784" s="9" t="s">
        <v>26</v>
      </c>
      <c r="R784" s="9" t="s">
        <v>61</v>
      </c>
      <c r="S784" s="7" t="s">
        <v>156</v>
      </c>
      <c r="T784" s="9" t="s">
        <v>39</v>
      </c>
      <c r="U784" s="7">
        <v>0.36</v>
      </c>
      <c r="V784" s="12">
        <f>C784+5</f>
        <v>41123</v>
      </c>
      <c r="W784">
        <f>IF(D784=' Pivot Tables'!$A$4,1,0)</f>
        <v>0</v>
      </c>
      <c r="X784">
        <f>IF(AND(LEFT(D784,4)+1=LEFT(' Pivot Tables'!$A$4,4)+0,RIGHT(LEFT(D784,7),2)=RIGHT(LEFT(' Pivot Tables'!$A$4,7),2)),1,0)</f>
        <v>0</v>
      </c>
      <c r="Y784" s="6">
        <f>1/COUNTIF(Таблица1[Order ID],Таблица1[[#This Row],[Order ID]])</f>
        <v>0.5</v>
      </c>
      <c r="Z784" s="9">
        <f>1/COUNTIFS(Таблица1[Customer Name],Таблица1[[#This Row],[Customer Name]],Таблица1[Order-Year-Month],Таблица1[[#This Row],[Order-Year-Month]])</f>
        <v>0.5</v>
      </c>
    </row>
    <row r="785" spans="1:26" x14ac:dyDescent="0.2">
      <c r="A785" s="6">
        <v>1632</v>
      </c>
      <c r="B785" s="7">
        <v>11782</v>
      </c>
      <c r="C785" s="8">
        <f>DATE(2012,12,31)-156</f>
        <v>41118</v>
      </c>
      <c r="D785" s="8" t="str">
        <f t="shared" si="16"/>
        <v>2012-07 (июль 2012)</v>
      </c>
      <c r="E785" s="9" t="s">
        <v>21</v>
      </c>
      <c r="F785" s="7">
        <v>27</v>
      </c>
      <c r="G785" s="7">
        <v>1541.7809999999999</v>
      </c>
      <c r="H785" s="7">
        <v>7.0000000000000007E-2</v>
      </c>
      <c r="I785" s="9" t="s">
        <v>22</v>
      </c>
      <c r="J785" s="10">
        <v>14.346</v>
      </c>
      <c r="K785" s="11">
        <v>66.989999999999995</v>
      </c>
      <c r="L785" s="11">
        <v>13.99</v>
      </c>
      <c r="M785" s="9" t="s">
        <v>742</v>
      </c>
      <c r="N785" s="6" t="s">
        <v>703</v>
      </c>
      <c r="O785" s="6" t="s">
        <v>704</v>
      </c>
      <c r="P785" s="9" t="s">
        <v>41</v>
      </c>
      <c r="Q785" s="9" t="s">
        <v>42</v>
      </c>
      <c r="R785" s="9" t="s">
        <v>43</v>
      </c>
      <c r="S785" s="7" t="s">
        <v>743</v>
      </c>
      <c r="T785" s="9" t="s">
        <v>48</v>
      </c>
      <c r="U785" s="7">
        <v>0.6</v>
      </c>
      <c r="V785" s="12">
        <f>C785+7</f>
        <v>41125</v>
      </c>
      <c r="W785">
        <f>IF(D785=' Pivot Tables'!$A$4,1,0)</f>
        <v>0</v>
      </c>
      <c r="X785">
        <f>IF(AND(LEFT(D785,4)+1=LEFT(' Pivot Tables'!$A$4,4)+0,RIGHT(LEFT(D785,7),2)=RIGHT(LEFT(' Pivot Tables'!$A$4,7),2)),1,0)</f>
        <v>0</v>
      </c>
      <c r="Y785" s="6">
        <f>1/COUNTIF(Таблица1[Order ID],Таблица1[[#This Row],[Order ID]])</f>
        <v>0.5</v>
      </c>
      <c r="Z785" s="9">
        <f>1/COUNTIFS(Таблица1[Customer Name],Таблица1[[#This Row],[Customer Name]],Таблица1[Order-Year-Month],Таблица1[[#This Row],[Order-Year-Month]])</f>
        <v>0.5</v>
      </c>
    </row>
    <row r="786" spans="1:26" x14ac:dyDescent="0.2">
      <c r="A786" s="6">
        <v>1690</v>
      </c>
      <c r="B786" s="7">
        <v>12199</v>
      </c>
      <c r="C786" s="8">
        <f>DATE(2012,12,31)-383</f>
        <v>40891</v>
      </c>
      <c r="D786" s="8" t="str">
        <f t="shared" si="16"/>
        <v>2011-12 (декабрь 2011)</v>
      </c>
      <c r="E786" s="9" t="s">
        <v>21</v>
      </c>
      <c r="F786" s="7">
        <v>2</v>
      </c>
      <c r="G786" s="7">
        <v>19</v>
      </c>
      <c r="H786" s="7">
        <v>0.01</v>
      </c>
      <c r="I786" s="9" t="s">
        <v>22</v>
      </c>
      <c r="J786" s="10">
        <v>-10.7295</v>
      </c>
      <c r="K786" s="11">
        <v>6.54</v>
      </c>
      <c r="L786" s="11">
        <v>5.27</v>
      </c>
      <c r="M786" s="9" t="s">
        <v>715</v>
      </c>
      <c r="N786" s="6" t="s">
        <v>703</v>
      </c>
      <c r="O786" s="6" t="s">
        <v>704</v>
      </c>
      <c r="P786" s="9" t="s">
        <v>41</v>
      </c>
      <c r="Q786" s="9" t="s">
        <v>26</v>
      </c>
      <c r="R786" s="9" t="s">
        <v>37</v>
      </c>
      <c r="S786" s="7" t="s">
        <v>744</v>
      </c>
      <c r="T786" s="9" t="s">
        <v>39</v>
      </c>
      <c r="U786" s="7">
        <v>0.36</v>
      </c>
      <c r="V786" s="12">
        <f>C786+5</f>
        <v>40896</v>
      </c>
      <c r="W786">
        <f>IF(D786=' Pivot Tables'!$A$4,1,0)</f>
        <v>0</v>
      </c>
      <c r="X786">
        <f>IF(AND(LEFT(D786,4)+1=LEFT(' Pivot Tables'!$A$4,4)+0,RIGHT(LEFT(D786,7),2)=RIGHT(LEFT(' Pivot Tables'!$A$4,7),2)),1,0)</f>
        <v>0</v>
      </c>
      <c r="Y786" s="6">
        <f>1/COUNTIF(Таблица1[Order ID],Таблица1[[#This Row],[Order ID]])</f>
        <v>0.5</v>
      </c>
      <c r="Z786" s="9">
        <f>1/COUNTIFS(Таблица1[Customer Name],Таблица1[[#This Row],[Customer Name]],Таблица1[Order-Year-Month],Таблица1[[#This Row],[Order-Year-Month]])</f>
        <v>0.5</v>
      </c>
    </row>
    <row r="787" spans="1:26" x14ac:dyDescent="0.2">
      <c r="A787" s="6">
        <v>1691</v>
      </c>
      <c r="B787" s="7">
        <v>12199</v>
      </c>
      <c r="C787" s="8">
        <f>DATE(2012,12,31)-383</f>
        <v>40891</v>
      </c>
      <c r="D787" s="8" t="str">
        <f t="shared" si="16"/>
        <v>2011-12 (декабрь 2011)</v>
      </c>
      <c r="E787" s="9" t="s">
        <v>21</v>
      </c>
      <c r="F787" s="7">
        <v>50</v>
      </c>
      <c r="G787" s="7">
        <v>8289.51</v>
      </c>
      <c r="H787" s="7">
        <v>0.01</v>
      </c>
      <c r="I787" s="9" t="s">
        <v>22</v>
      </c>
      <c r="J787" s="10">
        <v>3051.62</v>
      </c>
      <c r="K787" s="11">
        <v>155.06</v>
      </c>
      <c r="L787" s="11">
        <v>7.07</v>
      </c>
      <c r="M787" s="9" t="s">
        <v>715</v>
      </c>
      <c r="N787" s="6" t="s">
        <v>703</v>
      </c>
      <c r="O787" s="6" t="s">
        <v>704</v>
      </c>
      <c r="P787" s="9" t="s">
        <v>41</v>
      </c>
      <c r="Q787" s="9" t="s">
        <v>26</v>
      </c>
      <c r="R787" s="9" t="s">
        <v>27</v>
      </c>
      <c r="S787" s="7" t="s">
        <v>502</v>
      </c>
      <c r="T787" s="9" t="s">
        <v>39</v>
      </c>
      <c r="U787" s="7">
        <v>0.59</v>
      </c>
      <c r="V787" s="12">
        <f>C787+4</f>
        <v>40895</v>
      </c>
      <c r="W787">
        <f>IF(D787=' Pivot Tables'!$A$4,1,0)</f>
        <v>0</v>
      </c>
      <c r="X787">
        <f>IF(AND(LEFT(D787,4)+1=LEFT(' Pivot Tables'!$A$4,4)+0,RIGHT(LEFT(D787,7),2)=RIGHT(LEFT(' Pivot Tables'!$A$4,7),2)),1,0)</f>
        <v>0</v>
      </c>
      <c r="Y787" s="6">
        <f>1/COUNTIF(Таблица1[Order ID],Таблица1[[#This Row],[Order ID]])</f>
        <v>0.5</v>
      </c>
      <c r="Z787" s="9">
        <f>1/COUNTIFS(Таблица1[Customer Name],Таблица1[[#This Row],[Customer Name]],Таблица1[Order-Year-Month],Таблица1[[#This Row],[Order-Year-Month]])</f>
        <v>0.5</v>
      </c>
    </row>
    <row r="788" spans="1:26" x14ac:dyDescent="0.2">
      <c r="A788" s="6">
        <v>2004</v>
      </c>
      <c r="B788" s="7">
        <v>14275</v>
      </c>
      <c r="C788" s="8">
        <f>DATE(2012,12,31)-932</f>
        <v>40342</v>
      </c>
      <c r="D788" s="8" t="str">
        <f t="shared" si="16"/>
        <v>2010-06 (июнь 2010)</v>
      </c>
      <c r="E788" s="9" t="s">
        <v>21</v>
      </c>
      <c r="F788" s="7">
        <v>20</v>
      </c>
      <c r="G788" s="7">
        <v>42.22</v>
      </c>
      <c r="H788" s="7">
        <v>0.04</v>
      </c>
      <c r="I788" s="9" t="s">
        <v>22</v>
      </c>
      <c r="J788" s="10">
        <v>-7.7279999999999998</v>
      </c>
      <c r="K788" s="11">
        <v>2.08</v>
      </c>
      <c r="L788" s="11">
        <v>1.49</v>
      </c>
      <c r="M788" s="9" t="s">
        <v>730</v>
      </c>
      <c r="N788" s="6" t="s">
        <v>703</v>
      </c>
      <c r="O788" s="6" t="s">
        <v>704</v>
      </c>
      <c r="P788" s="9" t="s">
        <v>33</v>
      </c>
      <c r="Q788" s="9" t="s">
        <v>26</v>
      </c>
      <c r="R788" s="9" t="s">
        <v>37</v>
      </c>
      <c r="S788" s="7" t="s">
        <v>745</v>
      </c>
      <c r="T788" s="9" t="s">
        <v>39</v>
      </c>
      <c r="U788" s="7">
        <v>0.36</v>
      </c>
      <c r="V788" s="12">
        <f>C788+2</f>
        <v>40344</v>
      </c>
      <c r="W788">
        <f>IF(D788=' Pivot Tables'!$A$4,1,0)</f>
        <v>0</v>
      </c>
      <c r="X788">
        <f>IF(AND(LEFT(D788,4)+1=LEFT(' Pivot Tables'!$A$4,4)+0,RIGHT(LEFT(D788,7),2)=RIGHT(LEFT(' Pivot Tables'!$A$4,7),2)),1,0)</f>
        <v>0</v>
      </c>
      <c r="Y788" s="6">
        <f>1/COUNTIF(Таблица1[Order ID],Таблица1[[#This Row],[Order ID]])</f>
        <v>0.5</v>
      </c>
      <c r="Z788" s="9">
        <f>1/COUNTIFS(Таблица1[Customer Name],Таблица1[[#This Row],[Customer Name]],Таблица1[Order-Year-Month],Таблица1[[#This Row],[Order-Year-Month]])</f>
        <v>0.5</v>
      </c>
    </row>
    <row r="789" spans="1:26" x14ac:dyDescent="0.2">
      <c r="A789" s="6">
        <v>2005</v>
      </c>
      <c r="B789" s="7">
        <v>14275</v>
      </c>
      <c r="C789" s="8">
        <f>DATE(2012,12,31)-932</f>
        <v>40342</v>
      </c>
      <c r="D789" s="8" t="str">
        <f t="shared" si="16"/>
        <v>2010-06 (июнь 2010)</v>
      </c>
      <c r="E789" s="9" t="s">
        <v>21</v>
      </c>
      <c r="F789" s="7">
        <v>4</v>
      </c>
      <c r="G789" s="7">
        <v>653.44000000000005</v>
      </c>
      <c r="H789" s="7">
        <v>0.06</v>
      </c>
      <c r="I789" s="9" t="s">
        <v>31</v>
      </c>
      <c r="J789" s="10">
        <v>-187.75</v>
      </c>
      <c r="K789" s="11">
        <v>160.97999999999999</v>
      </c>
      <c r="L789" s="11">
        <v>30</v>
      </c>
      <c r="M789" s="9" t="s">
        <v>730</v>
      </c>
      <c r="N789" s="6" t="s">
        <v>703</v>
      </c>
      <c r="O789" s="6" t="s">
        <v>704</v>
      </c>
      <c r="P789" s="9" t="s">
        <v>33</v>
      </c>
      <c r="Q789" s="9" t="s">
        <v>49</v>
      </c>
      <c r="R789" s="9" t="s">
        <v>112</v>
      </c>
      <c r="S789" s="7" t="s">
        <v>746</v>
      </c>
      <c r="T789" s="9" t="s">
        <v>36</v>
      </c>
      <c r="U789" s="7">
        <v>0.62</v>
      </c>
      <c r="V789" s="12">
        <f>C789+2</f>
        <v>40344</v>
      </c>
      <c r="W789">
        <f>IF(D789=' Pivot Tables'!$A$4,1,0)</f>
        <v>0</v>
      </c>
      <c r="X789">
        <f>IF(AND(LEFT(D789,4)+1=LEFT(' Pivot Tables'!$A$4,4)+0,RIGHT(LEFT(D789,7),2)=RIGHT(LEFT(' Pivot Tables'!$A$4,7),2)),1,0)</f>
        <v>0</v>
      </c>
      <c r="Y789" s="6">
        <f>1/COUNTIF(Таблица1[Order ID],Таблица1[[#This Row],[Order ID]])</f>
        <v>0.5</v>
      </c>
      <c r="Z789" s="9">
        <f>1/COUNTIFS(Таблица1[Customer Name],Таблица1[[#This Row],[Customer Name]],Таблица1[Order-Year-Month],Таблица1[[#This Row],[Order-Year-Month]])</f>
        <v>0.5</v>
      </c>
    </row>
    <row r="790" spans="1:26" x14ac:dyDescent="0.2">
      <c r="A790" s="6">
        <v>2043</v>
      </c>
      <c r="B790" s="7">
        <v>14535</v>
      </c>
      <c r="C790" s="8">
        <f>DATE(2012,12,31)-822</f>
        <v>40452</v>
      </c>
      <c r="D790" s="8" t="str">
        <f t="shared" si="16"/>
        <v>2010-10 (октябрь 2010)</v>
      </c>
      <c r="E790" s="9" t="s">
        <v>45</v>
      </c>
      <c r="F790" s="7">
        <v>22</v>
      </c>
      <c r="G790" s="7">
        <v>245.96</v>
      </c>
      <c r="H790" s="7">
        <v>0.03</v>
      </c>
      <c r="I790" s="9" t="s">
        <v>22</v>
      </c>
      <c r="J790" s="10">
        <v>-33.82</v>
      </c>
      <c r="K790" s="11">
        <v>11.29</v>
      </c>
      <c r="L790" s="11">
        <v>5.03</v>
      </c>
      <c r="M790" s="9" t="s">
        <v>730</v>
      </c>
      <c r="N790" s="6" t="s">
        <v>703</v>
      </c>
      <c r="O790" s="6" t="s">
        <v>704</v>
      </c>
      <c r="P790" s="9" t="s">
        <v>33</v>
      </c>
      <c r="Q790" s="9" t="s">
        <v>26</v>
      </c>
      <c r="R790" s="9" t="s">
        <v>27</v>
      </c>
      <c r="S790" s="7" t="s">
        <v>614</v>
      </c>
      <c r="T790" s="9" t="s">
        <v>39</v>
      </c>
      <c r="U790" s="7">
        <v>0.59</v>
      </c>
      <c r="V790" s="12">
        <f>C790+1</f>
        <v>40453</v>
      </c>
      <c r="W790">
        <f>IF(D790=' Pivot Tables'!$A$4,1,0)</f>
        <v>0</v>
      </c>
      <c r="X790">
        <f>IF(AND(LEFT(D790,4)+1=LEFT(' Pivot Tables'!$A$4,4)+0,RIGHT(LEFT(D790,7),2)=RIGHT(LEFT(' Pivot Tables'!$A$4,7),2)),1,0)</f>
        <v>0</v>
      </c>
      <c r="Y790" s="6">
        <f>1/COUNTIF(Таблица1[Order ID],Таблица1[[#This Row],[Order ID]])</f>
        <v>1</v>
      </c>
      <c r="Z790" s="9">
        <f>1/COUNTIFS(Таблица1[Customer Name],Таблица1[[#This Row],[Customer Name]],Таблица1[Order-Year-Month],Таблица1[[#This Row],[Order-Year-Month]])</f>
        <v>1</v>
      </c>
    </row>
    <row r="791" spans="1:26" x14ac:dyDescent="0.2">
      <c r="A791" s="6">
        <v>2145</v>
      </c>
      <c r="B791" s="7">
        <v>15329</v>
      </c>
      <c r="C791" s="8">
        <f>DATE(2012,12,31)-248</f>
        <v>41026</v>
      </c>
      <c r="D791" s="8" t="str">
        <f t="shared" si="16"/>
        <v>2012-04 (апрель 2012)</v>
      </c>
      <c r="E791" s="9" t="s">
        <v>30</v>
      </c>
      <c r="F791" s="7">
        <v>34</v>
      </c>
      <c r="G791" s="7">
        <v>1014.87</v>
      </c>
      <c r="H791" s="7">
        <v>0.04</v>
      </c>
      <c r="I791" s="9" t="s">
        <v>56</v>
      </c>
      <c r="J791" s="10">
        <v>319.52</v>
      </c>
      <c r="K791" s="11">
        <v>29.89</v>
      </c>
      <c r="L791" s="11">
        <v>1.99</v>
      </c>
      <c r="M791" s="9" t="s">
        <v>716</v>
      </c>
      <c r="N791" s="6" t="s">
        <v>703</v>
      </c>
      <c r="O791" s="6" t="s">
        <v>704</v>
      </c>
      <c r="P791" s="9" t="s">
        <v>33</v>
      </c>
      <c r="Q791" s="9" t="s">
        <v>42</v>
      </c>
      <c r="R791" s="9" t="s">
        <v>70</v>
      </c>
      <c r="S791" s="7" t="s">
        <v>547</v>
      </c>
      <c r="T791" s="9" t="s">
        <v>52</v>
      </c>
      <c r="U791" s="7">
        <v>0.5</v>
      </c>
      <c r="V791" s="12">
        <f>C791+0</f>
        <v>41026</v>
      </c>
      <c r="W791">
        <f>IF(D791=' Pivot Tables'!$A$4,1,0)</f>
        <v>0</v>
      </c>
      <c r="X791">
        <f>IF(AND(LEFT(D791,4)+1=LEFT(' Pivot Tables'!$A$4,4)+0,RIGHT(LEFT(D791,7),2)=RIGHT(LEFT(' Pivot Tables'!$A$4,7),2)),1,0)</f>
        <v>0</v>
      </c>
      <c r="Y791" s="6">
        <f>1/COUNTIF(Таблица1[Order ID],Таблица1[[#This Row],[Order ID]])</f>
        <v>1</v>
      </c>
      <c r="Z791" s="9">
        <f>1/COUNTIFS(Таблица1[Customer Name],Таблица1[[#This Row],[Customer Name]],Таблица1[Order-Year-Month],Таблица1[[#This Row],[Order-Year-Month]])</f>
        <v>1</v>
      </c>
    </row>
    <row r="792" spans="1:26" x14ac:dyDescent="0.2">
      <c r="A792" s="6">
        <v>2169</v>
      </c>
      <c r="B792" s="7">
        <v>15621</v>
      </c>
      <c r="C792" s="8">
        <f>DATE(2012,12,31)-464</f>
        <v>40810</v>
      </c>
      <c r="D792" s="8" t="str">
        <f t="shared" si="16"/>
        <v>2011-09 (сентябрь 2011)</v>
      </c>
      <c r="E792" s="9" t="s">
        <v>78</v>
      </c>
      <c r="F792" s="7">
        <v>18</v>
      </c>
      <c r="G792" s="7">
        <v>35.51</v>
      </c>
      <c r="H792" s="7">
        <v>0.02</v>
      </c>
      <c r="I792" s="9" t="s">
        <v>56</v>
      </c>
      <c r="J792" s="10">
        <v>-13.95</v>
      </c>
      <c r="K792" s="11">
        <v>1.68</v>
      </c>
      <c r="L792" s="11">
        <v>1.57</v>
      </c>
      <c r="M792" s="9" t="s">
        <v>730</v>
      </c>
      <c r="N792" s="6" t="s">
        <v>703</v>
      </c>
      <c r="O792" s="6" t="s">
        <v>704</v>
      </c>
      <c r="P792" s="9" t="s">
        <v>33</v>
      </c>
      <c r="Q792" s="9" t="s">
        <v>26</v>
      </c>
      <c r="R792" s="9" t="s">
        <v>95</v>
      </c>
      <c r="S792" s="7" t="s">
        <v>220</v>
      </c>
      <c r="T792" s="9" t="s">
        <v>68</v>
      </c>
      <c r="U792" s="7">
        <v>0.59</v>
      </c>
      <c r="V792" s="12">
        <f>C792+1</f>
        <v>40811</v>
      </c>
      <c r="W792">
        <f>IF(D792=' Pivot Tables'!$A$4,1,0)</f>
        <v>0</v>
      </c>
      <c r="X792">
        <f>IF(AND(LEFT(D792,4)+1=LEFT(' Pivot Tables'!$A$4,4)+0,RIGHT(LEFT(D792,7),2)=RIGHT(LEFT(' Pivot Tables'!$A$4,7),2)),1,0)</f>
        <v>0</v>
      </c>
      <c r="Y792" s="6">
        <f>1/COUNTIF(Таблица1[Order ID],Таблица1[[#This Row],[Order ID]])</f>
        <v>0.5</v>
      </c>
      <c r="Z792" s="9">
        <f>1/COUNTIFS(Таблица1[Customer Name],Таблица1[[#This Row],[Customer Name]],Таблица1[Order-Year-Month],Таблица1[[#This Row],[Order-Year-Month]])</f>
        <v>0.5</v>
      </c>
    </row>
    <row r="793" spans="1:26" x14ac:dyDescent="0.2">
      <c r="A793" s="6">
        <v>2170</v>
      </c>
      <c r="B793" s="7">
        <v>15621</v>
      </c>
      <c r="C793" s="8">
        <f>DATE(2012,12,31)-464</f>
        <v>40810</v>
      </c>
      <c r="D793" s="8" t="str">
        <f t="shared" si="16"/>
        <v>2011-09 (сентябрь 2011)</v>
      </c>
      <c r="E793" s="9" t="s">
        <v>78</v>
      </c>
      <c r="F793" s="7">
        <v>39</v>
      </c>
      <c r="G793" s="7">
        <v>1105.6600000000001</v>
      </c>
      <c r="H793" s="7">
        <v>0.02</v>
      </c>
      <c r="I793" s="9" t="s">
        <v>22</v>
      </c>
      <c r="J793" s="10">
        <v>-136.19999999999999</v>
      </c>
      <c r="K793" s="11">
        <v>28.28</v>
      </c>
      <c r="L793" s="11">
        <v>13.99</v>
      </c>
      <c r="M793" s="9" t="s">
        <v>730</v>
      </c>
      <c r="N793" s="6" t="s">
        <v>703</v>
      </c>
      <c r="O793" s="6" t="s">
        <v>704</v>
      </c>
      <c r="P793" s="9" t="s">
        <v>33</v>
      </c>
      <c r="Q793" s="9" t="s">
        <v>26</v>
      </c>
      <c r="R793" s="9" t="s">
        <v>27</v>
      </c>
      <c r="S793" s="7" t="s">
        <v>267</v>
      </c>
      <c r="T793" s="9" t="s">
        <v>48</v>
      </c>
      <c r="U793" s="7">
        <v>0.57999999999999996</v>
      </c>
      <c r="V793" s="12">
        <f>C793+0</f>
        <v>40810</v>
      </c>
      <c r="W793">
        <f>IF(D793=' Pivot Tables'!$A$4,1,0)</f>
        <v>0</v>
      </c>
      <c r="X793">
        <f>IF(AND(LEFT(D793,4)+1=LEFT(' Pivot Tables'!$A$4,4)+0,RIGHT(LEFT(D793,7),2)=RIGHT(LEFT(' Pivot Tables'!$A$4,7),2)),1,0)</f>
        <v>0</v>
      </c>
      <c r="Y793" s="6">
        <f>1/COUNTIF(Таблица1[Order ID],Таблица1[[#This Row],[Order ID]])</f>
        <v>0.5</v>
      </c>
      <c r="Z793" s="9">
        <f>1/COUNTIFS(Таблица1[Customer Name],Таблица1[[#This Row],[Customer Name]],Таблица1[Order-Year-Month],Таблица1[[#This Row],[Order-Year-Month]])</f>
        <v>0.5</v>
      </c>
    </row>
    <row r="794" spans="1:26" x14ac:dyDescent="0.2">
      <c r="A794" s="6">
        <v>2452</v>
      </c>
      <c r="B794" s="7">
        <v>17826</v>
      </c>
      <c r="C794" s="8">
        <f>DATE(2012,12,31)-184</f>
        <v>41090</v>
      </c>
      <c r="D794" s="8" t="str">
        <f t="shared" si="16"/>
        <v>2012-06 (июнь 2012)</v>
      </c>
      <c r="E794" s="9" t="s">
        <v>30</v>
      </c>
      <c r="F794" s="7">
        <v>18</v>
      </c>
      <c r="G794" s="7">
        <v>78.930000000000007</v>
      </c>
      <c r="H794" s="7">
        <v>0.04</v>
      </c>
      <c r="I794" s="9" t="s">
        <v>22</v>
      </c>
      <c r="J794" s="10">
        <v>-88.607500000000002</v>
      </c>
      <c r="K794" s="11">
        <v>3.89</v>
      </c>
      <c r="L794" s="11">
        <v>7.01</v>
      </c>
      <c r="M794" s="9" t="s">
        <v>747</v>
      </c>
      <c r="N794" s="6" t="s">
        <v>703</v>
      </c>
      <c r="O794" s="6" t="s">
        <v>704</v>
      </c>
      <c r="P794" s="9" t="s">
        <v>60</v>
      </c>
      <c r="Q794" s="9" t="s">
        <v>26</v>
      </c>
      <c r="R794" s="9" t="s">
        <v>37</v>
      </c>
      <c r="S794" s="7" t="s">
        <v>115</v>
      </c>
      <c r="T794" s="9" t="s">
        <v>39</v>
      </c>
      <c r="U794" s="7">
        <v>0.37</v>
      </c>
      <c r="V794" s="12">
        <f>C794+1</f>
        <v>41091</v>
      </c>
      <c r="W794">
        <f>IF(D794=' Pivot Tables'!$A$4,1,0)</f>
        <v>0</v>
      </c>
      <c r="X794">
        <f>IF(AND(LEFT(D794,4)+1=LEFT(' Pivot Tables'!$A$4,4)+0,RIGHT(LEFT(D794,7),2)=RIGHT(LEFT(' Pivot Tables'!$A$4,7),2)),1,0)</f>
        <v>0</v>
      </c>
      <c r="Y794" s="6">
        <f>1/COUNTIF(Таблица1[Order ID],Таблица1[[#This Row],[Order ID]])</f>
        <v>1</v>
      </c>
      <c r="Z794" s="9">
        <f>1/COUNTIFS(Таблица1[Customer Name],Таблица1[[#This Row],[Customer Name]],Таблица1[Order-Year-Month],Таблица1[[#This Row],[Order-Year-Month]])</f>
        <v>1</v>
      </c>
    </row>
    <row r="795" spans="1:26" x14ac:dyDescent="0.2">
      <c r="A795" s="6">
        <v>2463</v>
      </c>
      <c r="B795" s="7">
        <v>17926</v>
      </c>
      <c r="C795" s="8">
        <f>DATE(2012,12,31)-417</f>
        <v>40857</v>
      </c>
      <c r="D795" s="8" t="str">
        <f t="shared" si="16"/>
        <v>2011-11 (ноябрь 2011)</v>
      </c>
      <c r="E795" s="9" t="s">
        <v>78</v>
      </c>
      <c r="F795" s="7">
        <v>37</v>
      </c>
      <c r="G795" s="7">
        <v>608.33000000000004</v>
      </c>
      <c r="H795" s="7">
        <v>0.02</v>
      </c>
      <c r="I795" s="9" t="s">
        <v>22</v>
      </c>
      <c r="J795" s="10">
        <v>-70.040000000000006</v>
      </c>
      <c r="K795" s="11">
        <v>15.31</v>
      </c>
      <c r="L795" s="11">
        <v>8.7799999999999994</v>
      </c>
      <c r="M795" s="9" t="s">
        <v>734</v>
      </c>
      <c r="N795" s="6" t="s">
        <v>703</v>
      </c>
      <c r="O795" s="6" t="s">
        <v>704</v>
      </c>
      <c r="P795" s="9" t="s">
        <v>33</v>
      </c>
      <c r="Q795" s="9" t="s">
        <v>26</v>
      </c>
      <c r="R795" s="9" t="s">
        <v>27</v>
      </c>
      <c r="S795" s="7" t="s">
        <v>748</v>
      </c>
      <c r="T795" s="9" t="s">
        <v>39</v>
      </c>
      <c r="U795" s="7">
        <v>0.56999999999999995</v>
      </c>
      <c r="V795" s="12">
        <f>C795+2</f>
        <v>40859</v>
      </c>
      <c r="W795">
        <f>IF(D795=' Pivot Tables'!$A$4,1,0)</f>
        <v>0</v>
      </c>
      <c r="X795">
        <f>IF(AND(LEFT(D795,4)+1=LEFT(' Pivot Tables'!$A$4,4)+0,RIGHT(LEFT(D795,7),2)=RIGHT(LEFT(' Pivot Tables'!$A$4,7),2)),1,0)</f>
        <v>0</v>
      </c>
      <c r="Y795" s="6">
        <f>1/COUNTIF(Таблица1[Order ID],Таблица1[[#This Row],[Order ID]])</f>
        <v>1</v>
      </c>
      <c r="Z795" s="9">
        <f>1/COUNTIFS(Таблица1[Customer Name],Таблица1[[#This Row],[Customer Name]],Таблица1[Order-Year-Month],Таблица1[[#This Row],[Order-Year-Month]])</f>
        <v>0.25</v>
      </c>
    </row>
    <row r="796" spans="1:26" x14ac:dyDescent="0.2">
      <c r="A796" s="6">
        <v>2513</v>
      </c>
      <c r="B796" s="7">
        <v>18247</v>
      </c>
      <c r="C796" s="8">
        <f>DATE(2012,12,31)-1152</f>
        <v>40122</v>
      </c>
      <c r="D796" s="8" t="str">
        <f t="shared" si="16"/>
        <v>2009-11 (ноябрь 2009)</v>
      </c>
      <c r="E796" s="9" t="s">
        <v>45</v>
      </c>
      <c r="F796" s="7">
        <v>20</v>
      </c>
      <c r="G796" s="7">
        <v>155.80000000000001</v>
      </c>
      <c r="H796" s="7">
        <v>0</v>
      </c>
      <c r="I796" s="9" t="s">
        <v>22</v>
      </c>
      <c r="J796" s="10">
        <v>27.22</v>
      </c>
      <c r="K796" s="11">
        <v>7.59</v>
      </c>
      <c r="L796" s="11">
        <v>4</v>
      </c>
      <c r="M796" s="9" t="s">
        <v>716</v>
      </c>
      <c r="N796" s="6" t="s">
        <v>703</v>
      </c>
      <c r="O796" s="6" t="s">
        <v>704</v>
      </c>
      <c r="P796" s="9" t="s">
        <v>41</v>
      </c>
      <c r="Q796" s="9" t="s">
        <v>49</v>
      </c>
      <c r="R796" s="9" t="s">
        <v>50</v>
      </c>
      <c r="S796" s="7" t="s">
        <v>504</v>
      </c>
      <c r="T796" s="9" t="s">
        <v>68</v>
      </c>
      <c r="U796" s="7">
        <v>0.42</v>
      </c>
      <c r="V796" s="12">
        <f>C796+1</f>
        <v>40123</v>
      </c>
      <c r="W796">
        <f>IF(D796=' Pivot Tables'!$A$4,1,0)</f>
        <v>0</v>
      </c>
      <c r="X796">
        <f>IF(AND(LEFT(D796,4)+1=LEFT(' Pivot Tables'!$A$4,4)+0,RIGHT(LEFT(D796,7),2)=RIGHT(LEFT(' Pivot Tables'!$A$4,7),2)),1,0)</f>
        <v>0</v>
      </c>
      <c r="Y796" s="6">
        <f>1/COUNTIF(Таблица1[Order ID],Таблица1[[#This Row],[Order ID]])</f>
        <v>1</v>
      </c>
      <c r="Z796" s="9">
        <f>1/COUNTIFS(Таблица1[Customer Name],Таблица1[[#This Row],[Customer Name]],Таблица1[Order-Year-Month],Таблица1[[#This Row],[Order-Year-Month]])</f>
        <v>1</v>
      </c>
    </row>
    <row r="797" spans="1:26" x14ac:dyDescent="0.2">
      <c r="A797" s="6">
        <v>2551</v>
      </c>
      <c r="B797" s="7">
        <v>18471</v>
      </c>
      <c r="C797" s="8">
        <f>DATE(2012,12,31)-1411</f>
        <v>39863</v>
      </c>
      <c r="D797" s="8" t="str">
        <f t="shared" si="16"/>
        <v>2009-02 (февраль 2009)</v>
      </c>
      <c r="E797" s="9" t="s">
        <v>45</v>
      </c>
      <c r="F797" s="7">
        <v>37</v>
      </c>
      <c r="G797" s="7">
        <v>226.65</v>
      </c>
      <c r="H797" s="7">
        <v>0</v>
      </c>
      <c r="I797" s="9" t="s">
        <v>22</v>
      </c>
      <c r="J797" s="10">
        <v>46.41</v>
      </c>
      <c r="K797" s="11">
        <v>5.98</v>
      </c>
      <c r="L797" s="11">
        <v>0.96</v>
      </c>
      <c r="M797" s="9" t="s">
        <v>715</v>
      </c>
      <c r="N797" s="6" t="s">
        <v>703</v>
      </c>
      <c r="O797" s="6" t="s">
        <v>704</v>
      </c>
      <c r="P797" s="9" t="s">
        <v>41</v>
      </c>
      <c r="Q797" s="9" t="s">
        <v>26</v>
      </c>
      <c r="R797" s="9" t="s">
        <v>95</v>
      </c>
      <c r="S797" s="7" t="s">
        <v>749</v>
      </c>
      <c r="T797" s="9" t="s">
        <v>68</v>
      </c>
      <c r="U797" s="7">
        <v>0.6</v>
      </c>
      <c r="V797" s="12">
        <f>C797+1</f>
        <v>39864</v>
      </c>
      <c r="W797">
        <f>IF(D797=' Pivot Tables'!$A$4,1,0)</f>
        <v>0</v>
      </c>
      <c r="X797">
        <f>IF(AND(LEFT(D797,4)+1=LEFT(' Pivot Tables'!$A$4,4)+0,RIGHT(LEFT(D797,7),2)=RIGHT(LEFT(' Pivot Tables'!$A$4,7),2)),1,0)</f>
        <v>0</v>
      </c>
      <c r="Y797" s="6">
        <f>1/COUNTIF(Таблица1[Order ID],Таблица1[[#This Row],[Order ID]])</f>
        <v>0.33333333333333331</v>
      </c>
      <c r="Z797" s="9">
        <f>1/COUNTIFS(Таблица1[Customer Name],Таблица1[[#This Row],[Customer Name]],Таблица1[Order-Year-Month],Таблица1[[#This Row],[Order-Year-Month]])</f>
        <v>0.33333333333333331</v>
      </c>
    </row>
    <row r="798" spans="1:26" x14ac:dyDescent="0.2">
      <c r="A798" s="6">
        <v>2552</v>
      </c>
      <c r="B798" s="7">
        <v>18471</v>
      </c>
      <c r="C798" s="8">
        <f>DATE(2012,12,31)-1411</f>
        <v>39863</v>
      </c>
      <c r="D798" s="8" t="str">
        <f t="shared" si="16"/>
        <v>2009-02 (февраль 2009)</v>
      </c>
      <c r="E798" s="9" t="s">
        <v>45</v>
      </c>
      <c r="F798" s="7">
        <v>4</v>
      </c>
      <c r="G798" s="7">
        <v>10.96</v>
      </c>
      <c r="H798" s="7">
        <v>0.02</v>
      </c>
      <c r="I798" s="9" t="s">
        <v>22</v>
      </c>
      <c r="J798" s="10">
        <v>-8.02</v>
      </c>
      <c r="K798" s="11">
        <v>2.08</v>
      </c>
      <c r="L798" s="11">
        <v>2.56</v>
      </c>
      <c r="M798" s="9" t="s">
        <v>715</v>
      </c>
      <c r="N798" s="6" t="s">
        <v>703</v>
      </c>
      <c r="O798" s="6" t="s">
        <v>704</v>
      </c>
      <c r="P798" s="9" t="s">
        <v>41</v>
      </c>
      <c r="Q798" s="9" t="s">
        <v>26</v>
      </c>
      <c r="R798" s="9" t="s">
        <v>150</v>
      </c>
      <c r="S798" s="7" t="s">
        <v>750</v>
      </c>
      <c r="T798" s="9" t="s">
        <v>52</v>
      </c>
      <c r="U798" s="7">
        <v>0.55000000000000004</v>
      </c>
      <c r="V798" s="12">
        <f>C798+1</f>
        <v>39864</v>
      </c>
      <c r="W798">
        <f>IF(D798=' Pivot Tables'!$A$4,1,0)</f>
        <v>0</v>
      </c>
      <c r="X798">
        <f>IF(AND(LEFT(D798,4)+1=LEFT(' Pivot Tables'!$A$4,4)+0,RIGHT(LEFT(D798,7),2)=RIGHT(LEFT(' Pivot Tables'!$A$4,7),2)),1,0)</f>
        <v>0</v>
      </c>
      <c r="Y798" s="6">
        <f>1/COUNTIF(Таблица1[Order ID],Таблица1[[#This Row],[Order ID]])</f>
        <v>0.33333333333333331</v>
      </c>
      <c r="Z798" s="9">
        <f>1/COUNTIFS(Таблица1[Customer Name],Таблица1[[#This Row],[Customer Name]],Таблица1[Order-Year-Month],Таблица1[[#This Row],[Order-Year-Month]])</f>
        <v>0.33333333333333331</v>
      </c>
    </row>
    <row r="799" spans="1:26" x14ac:dyDescent="0.2">
      <c r="A799" s="6">
        <v>2553</v>
      </c>
      <c r="B799" s="7">
        <v>18471</v>
      </c>
      <c r="C799" s="8">
        <f>DATE(2012,12,31)-1411</f>
        <v>39863</v>
      </c>
      <c r="D799" s="8" t="str">
        <f t="shared" si="16"/>
        <v>2009-02 (февраль 2009)</v>
      </c>
      <c r="E799" s="9" t="s">
        <v>45</v>
      </c>
      <c r="F799" s="7">
        <v>29</v>
      </c>
      <c r="G799" s="7">
        <v>185.61</v>
      </c>
      <c r="H799" s="7">
        <v>0.02</v>
      </c>
      <c r="I799" s="9" t="s">
        <v>22</v>
      </c>
      <c r="J799" s="10">
        <v>-47.12</v>
      </c>
      <c r="K799" s="11">
        <v>5.98</v>
      </c>
      <c r="L799" s="11">
        <v>5.46</v>
      </c>
      <c r="M799" s="9" t="s">
        <v>715</v>
      </c>
      <c r="N799" s="6" t="s">
        <v>703</v>
      </c>
      <c r="O799" s="6" t="s">
        <v>704</v>
      </c>
      <c r="P799" s="9" t="s">
        <v>41</v>
      </c>
      <c r="Q799" s="9" t="s">
        <v>26</v>
      </c>
      <c r="R799" s="9" t="s">
        <v>61</v>
      </c>
      <c r="S799" s="7" t="s">
        <v>751</v>
      </c>
      <c r="T799" s="9" t="s">
        <v>39</v>
      </c>
      <c r="U799" s="7">
        <v>0.36</v>
      </c>
      <c r="V799" s="12">
        <f>C799+1</f>
        <v>39864</v>
      </c>
      <c r="W799">
        <f>IF(D799=' Pivot Tables'!$A$4,1,0)</f>
        <v>0</v>
      </c>
      <c r="X799">
        <f>IF(AND(LEFT(D799,4)+1=LEFT(' Pivot Tables'!$A$4,4)+0,RIGHT(LEFT(D799,7),2)=RIGHT(LEFT(' Pivot Tables'!$A$4,7),2)),1,0)</f>
        <v>0</v>
      </c>
      <c r="Y799" s="6">
        <f>1/COUNTIF(Таблица1[Order ID],Таблица1[[#This Row],[Order ID]])</f>
        <v>0.33333333333333331</v>
      </c>
      <c r="Z799" s="9">
        <f>1/COUNTIFS(Таблица1[Customer Name],Таблица1[[#This Row],[Customer Name]],Таблица1[Order-Year-Month],Таблица1[[#This Row],[Order-Year-Month]])</f>
        <v>0.33333333333333331</v>
      </c>
    </row>
    <row r="800" spans="1:26" x14ac:dyDescent="0.2">
      <c r="A800" s="6">
        <v>2745</v>
      </c>
      <c r="B800" s="7">
        <v>19813</v>
      </c>
      <c r="C800" s="8">
        <f>DATE(2012,12,31)-1035</f>
        <v>40239</v>
      </c>
      <c r="D800" s="8" t="str">
        <f t="shared" si="16"/>
        <v>2010-03 (март 2010)</v>
      </c>
      <c r="E800" s="9" t="s">
        <v>78</v>
      </c>
      <c r="F800" s="7">
        <v>29</v>
      </c>
      <c r="G800" s="7">
        <v>1098.5059999999999</v>
      </c>
      <c r="H800" s="7">
        <v>0.05</v>
      </c>
      <c r="I800" s="9" t="s">
        <v>22</v>
      </c>
      <c r="J800" s="10">
        <v>218.727</v>
      </c>
      <c r="K800" s="11">
        <v>45.99</v>
      </c>
      <c r="L800" s="11">
        <v>2.5</v>
      </c>
      <c r="M800" s="9" t="s">
        <v>727</v>
      </c>
      <c r="N800" s="6" t="s">
        <v>703</v>
      </c>
      <c r="O800" s="6" t="s">
        <v>704</v>
      </c>
      <c r="P800" s="9" t="s">
        <v>60</v>
      </c>
      <c r="Q800" s="9" t="s">
        <v>42</v>
      </c>
      <c r="R800" s="9" t="s">
        <v>43</v>
      </c>
      <c r="S800" s="7" t="s">
        <v>752</v>
      </c>
      <c r="T800" s="9" t="s">
        <v>39</v>
      </c>
      <c r="U800" s="7">
        <v>0.56000000000000005</v>
      </c>
      <c r="V800" s="12">
        <f>C800+1</f>
        <v>40240</v>
      </c>
      <c r="W800">
        <f>IF(D800=' Pivot Tables'!$A$4,1,0)</f>
        <v>0</v>
      </c>
      <c r="X800">
        <f>IF(AND(LEFT(D800,4)+1=LEFT(' Pivot Tables'!$A$4,4)+0,RIGHT(LEFT(D800,7),2)=RIGHT(LEFT(' Pivot Tables'!$A$4,7),2)),1,0)</f>
        <v>0</v>
      </c>
      <c r="Y800" s="6">
        <f>1/COUNTIF(Таблица1[Order ID],Таблица1[[#This Row],[Order ID]])</f>
        <v>1</v>
      </c>
      <c r="Z800" s="9">
        <f>1/COUNTIFS(Таблица1[Customer Name],Таблица1[[#This Row],[Customer Name]],Таблица1[Order-Year-Month],Таблица1[[#This Row],[Order-Year-Month]])</f>
        <v>1</v>
      </c>
    </row>
    <row r="801" spans="1:26" x14ac:dyDescent="0.2">
      <c r="A801" s="6">
        <v>2815</v>
      </c>
      <c r="B801" s="7">
        <v>20322</v>
      </c>
      <c r="C801" s="8">
        <f>DATE(2012,12,31)-1282</f>
        <v>39992</v>
      </c>
      <c r="D801" s="8" t="str">
        <f t="shared" si="16"/>
        <v>2009-06 (июнь 2009)</v>
      </c>
      <c r="E801" s="9" t="s">
        <v>78</v>
      </c>
      <c r="F801" s="7">
        <v>46</v>
      </c>
      <c r="G801" s="7">
        <v>160.27000000000001</v>
      </c>
      <c r="H801" s="7">
        <v>0.06</v>
      </c>
      <c r="I801" s="9" t="s">
        <v>22</v>
      </c>
      <c r="J801" s="10">
        <v>-183.35599999999999</v>
      </c>
      <c r="K801" s="11">
        <v>3.58</v>
      </c>
      <c r="L801" s="11">
        <v>5.47</v>
      </c>
      <c r="M801" s="9" t="s">
        <v>753</v>
      </c>
      <c r="N801" s="6" t="s">
        <v>703</v>
      </c>
      <c r="O801" s="6" t="s">
        <v>704</v>
      </c>
      <c r="P801" s="9" t="s">
        <v>60</v>
      </c>
      <c r="Q801" s="9" t="s">
        <v>26</v>
      </c>
      <c r="R801" s="9" t="s">
        <v>37</v>
      </c>
      <c r="S801" s="7" t="s">
        <v>462</v>
      </c>
      <c r="T801" s="9" t="s">
        <v>39</v>
      </c>
      <c r="U801" s="7">
        <v>0.37</v>
      </c>
      <c r="V801" s="12">
        <f>C801+2</f>
        <v>39994</v>
      </c>
      <c r="W801">
        <f>IF(D801=' Pivot Tables'!$A$4,1,0)</f>
        <v>0</v>
      </c>
      <c r="X801">
        <f>IF(AND(LEFT(D801,4)+1=LEFT(' Pivot Tables'!$A$4,4)+0,RIGHT(LEFT(D801,7),2)=RIGHT(LEFT(' Pivot Tables'!$A$4,7),2)),1,0)</f>
        <v>0</v>
      </c>
      <c r="Y801" s="6">
        <f>1/COUNTIF(Таблица1[Order ID],Таблица1[[#This Row],[Order ID]])</f>
        <v>0.33333333333333331</v>
      </c>
      <c r="Z801" s="9">
        <f>1/COUNTIFS(Таблица1[Customer Name],Таблица1[[#This Row],[Customer Name]],Таблица1[Order-Year-Month],Таблица1[[#This Row],[Order-Year-Month]])</f>
        <v>0.33333333333333331</v>
      </c>
    </row>
    <row r="802" spans="1:26" x14ac:dyDescent="0.2">
      <c r="A802" s="6">
        <v>2816</v>
      </c>
      <c r="B802" s="7">
        <v>20322</v>
      </c>
      <c r="C802" s="8">
        <f>DATE(2012,12,31)-1282</f>
        <v>39992</v>
      </c>
      <c r="D802" s="8" t="str">
        <f t="shared" si="16"/>
        <v>2009-06 (июнь 2009)</v>
      </c>
      <c r="E802" s="9" t="s">
        <v>78</v>
      </c>
      <c r="F802" s="7">
        <v>46</v>
      </c>
      <c r="G802" s="7">
        <v>4601.0200000000004</v>
      </c>
      <c r="H802" s="7">
        <v>0.09</v>
      </c>
      <c r="I802" s="9" t="s">
        <v>31</v>
      </c>
      <c r="J802" s="10">
        <v>-129.53</v>
      </c>
      <c r="K802" s="11">
        <v>100.98</v>
      </c>
      <c r="L802" s="11">
        <v>35.840000000000003</v>
      </c>
      <c r="M802" s="9" t="s">
        <v>753</v>
      </c>
      <c r="N802" s="6" t="s">
        <v>703</v>
      </c>
      <c r="O802" s="6" t="s">
        <v>704</v>
      </c>
      <c r="P802" s="9" t="s">
        <v>60</v>
      </c>
      <c r="Q802" s="9" t="s">
        <v>49</v>
      </c>
      <c r="R802" s="9" t="s">
        <v>80</v>
      </c>
      <c r="S802" s="7" t="s">
        <v>705</v>
      </c>
      <c r="T802" s="9" t="s">
        <v>82</v>
      </c>
      <c r="U802" s="7">
        <v>0.62</v>
      </c>
      <c r="V802" s="12">
        <f>C802+0</f>
        <v>39992</v>
      </c>
      <c r="W802">
        <f>IF(D802=' Pivot Tables'!$A$4,1,0)</f>
        <v>0</v>
      </c>
      <c r="X802">
        <f>IF(AND(LEFT(D802,4)+1=LEFT(' Pivot Tables'!$A$4,4)+0,RIGHT(LEFT(D802,7),2)=RIGHT(LEFT(' Pivot Tables'!$A$4,7),2)),1,0)</f>
        <v>0</v>
      </c>
      <c r="Y802" s="6">
        <f>1/COUNTIF(Таблица1[Order ID],Таблица1[[#This Row],[Order ID]])</f>
        <v>0.33333333333333331</v>
      </c>
      <c r="Z802" s="9">
        <f>1/COUNTIFS(Таблица1[Customer Name],Таблица1[[#This Row],[Customer Name]],Таблица1[Order-Year-Month],Таблица1[[#This Row],[Order-Year-Month]])</f>
        <v>0.33333333333333331</v>
      </c>
    </row>
    <row r="803" spans="1:26" x14ac:dyDescent="0.2">
      <c r="A803" s="6">
        <v>2817</v>
      </c>
      <c r="B803" s="7">
        <v>20322</v>
      </c>
      <c r="C803" s="8">
        <f>DATE(2012,12,31)-1282</f>
        <v>39992</v>
      </c>
      <c r="D803" s="8" t="str">
        <f t="shared" si="16"/>
        <v>2009-06 (июнь 2009)</v>
      </c>
      <c r="E803" s="9" t="s">
        <v>78</v>
      </c>
      <c r="F803" s="7">
        <v>15</v>
      </c>
      <c r="G803" s="7">
        <v>89.89</v>
      </c>
      <c r="H803" s="7">
        <v>0.1</v>
      </c>
      <c r="I803" s="9" t="s">
        <v>22</v>
      </c>
      <c r="J803" s="10">
        <v>-72.28</v>
      </c>
      <c r="K803" s="11">
        <v>5.78</v>
      </c>
      <c r="L803" s="11">
        <v>7.96</v>
      </c>
      <c r="M803" s="9" t="s">
        <v>753</v>
      </c>
      <c r="N803" s="6" t="s">
        <v>703</v>
      </c>
      <c r="O803" s="6" t="s">
        <v>704</v>
      </c>
      <c r="P803" s="9" t="s">
        <v>60</v>
      </c>
      <c r="Q803" s="9" t="s">
        <v>26</v>
      </c>
      <c r="R803" s="9" t="s">
        <v>61</v>
      </c>
      <c r="S803" s="7" t="s">
        <v>754</v>
      </c>
      <c r="T803" s="9" t="s">
        <v>39</v>
      </c>
      <c r="U803" s="7">
        <v>0.36</v>
      </c>
      <c r="V803" s="12">
        <f>C803+0</f>
        <v>39992</v>
      </c>
      <c r="W803">
        <f>IF(D803=' Pivot Tables'!$A$4,1,0)</f>
        <v>0</v>
      </c>
      <c r="X803">
        <f>IF(AND(LEFT(D803,4)+1=LEFT(' Pivot Tables'!$A$4,4)+0,RIGHT(LEFT(D803,7),2)=RIGHT(LEFT(' Pivot Tables'!$A$4,7),2)),1,0)</f>
        <v>0</v>
      </c>
      <c r="Y803" s="6">
        <f>1/COUNTIF(Таблица1[Order ID],Таблица1[[#This Row],[Order ID]])</f>
        <v>0.33333333333333331</v>
      </c>
      <c r="Z803" s="9">
        <f>1/COUNTIFS(Таблица1[Customer Name],Таблица1[[#This Row],[Customer Name]],Таблица1[Order-Year-Month],Таблица1[[#This Row],[Order-Year-Month]])</f>
        <v>0.33333333333333331</v>
      </c>
    </row>
    <row r="804" spans="1:26" x14ac:dyDescent="0.2">
      <c r="A804" s="6">
        <v>2830</v>
      </c>
      <c r="B804" s="7">
        <v>20422</v>
      </c>
      <c r="C804" s="8">
        <f>DATE(2012,12,31)-1435</f>
        <v>39839</v>
      </c>
      <c r="D804" s="8" t="str">
        <f t="shared" si="16"/>
        <v>2009-01 (январь 2009)</v>
      </c>
      <c r="E804" s="9" t="s">
        <v>30</v>
      </c>
      <c r="F804" s="7">
        <v>30</v>
      </c>
      <c r="G804" s="7">
        <v>447.33</v>
      </c>
      <c r="H804" s="7">
        <v>0.03</v>
      </c>
      <c r="I804" s="9" t="s">
        <v>22</v>
      </c>
      <c r="J804" s="10">
        <v>115.21</v>
      </c>
      <c r="K804" s="11">
        <v>14.34</v>
      </c>
      <c r="L804" s="11">
        <v>5</v>
      </c>
      <c r="M804" s="9" t="s">
        <v>730</v>
      </c>
      <c r="N804" s="6" t="s">
        <v>703</v>
      </c>
      <c r="O804" s="6" t="s">
        <v>704</v>
      </c>
      <c r="P804" s="9" t="s">
        <v>33</v>
      </c>
      <c r="Q804" s="9" t="s">
        <v>49</v>
      </c>
      <c r="R804" s="9" t="s">
        <v>50</v>
      </c>
      <c r="S804" s="7" t="s">
        <v>706</v>
      </c>
      <c r="T804" s="9" t="s">
        <v>52</v>
      </c>
      <c r="U804" s="7">
        <v>0.49</v>
      </c>
      <c r="V804" s="12">
        <f>C804+1</f>
        <v>39840</v>
      </c>
      <c r="W804">
        <f>IF(D804=' Pivot Tables'!$A$4,1,0)</f>
        <v>0</v>
      </c>
      <c r="X804">
        <f>IF(AND(LEFT(D804,4)+1=LEFT(' Pivot Tables'!$A$4,4)+0,RIGHT(LEFT(D804,7),2)=RIGHT(LEFT(' Pivot Tables'!$A$4,7),2)),1,0)</f>
        <v>1</v>
      </c>
      <c r="Y804" s="6">
        <f>1/COUNTIF(Таблица1[Order ID],Таблица1[[#This Row],[Order ID]])</f>
        <v>0.5</v>
      </c>
      <c r="Z804" s="9">
        <f>1/COUNTIFS(Таблица1[Customer Name],Таблица1[[#This Row],[Customer Name]],Таблица1[Order-Year-Month],Таблица1[[#This Row],[Order-Year-Month]])</f>
        <v>0.5</v>
      </c>
    </row>
    <row r="805" spans="1:26" x14ac:dyDescent="0.2">
      <c r="A805" s="6">
        <v>2831</v>
      </c>
      <c r="B805" s="7">
        <v>20448</v>
      </c>
      <c r="C805" s="8">
        <f>DATE(2012,12,31)-517</f>
        <v>40757</v>
      </c>
      <c r="D805" s="8" t="str">
        <f t="shared" si="16"/>
        <v>2011-08 (август 2011)</v>
      </c>
      <c r="E805" s="9" t="s">
        <v>78</v>
      </c>
      <c r="F805" s="7">
        <v>23</v>
      </c>
      <c r="G805" s="7">
        <v>104.82</v>
      </c>
      <c r="H805" s="7">
        <v>0.02</v>
      </c>
      <c r="I805" s="9" t="s">
        <v>56</v>
      </c>
      <c r="J805" s="10">
        <v>6.84</v>
      </c>
      <c r="K805" s="11">
        <v>3.69</v>
      </c>
      <c r="L805" s="11">
        <v>2.5</v>
      </c>
      <c r="M805" s="9" t="s">
        <v>755</v>
      </c>
      <c r="N805" s="6" t="s">
        <v>703</v>
      </c>
      <c r="O805" s="6" t="s">
        <v>704</v>
      </c>
      <c r="P805" s="9" t="s">
        <v>41</v>
      </c>
      <c r="Q805" s="9" t="s">
        <v>26</v>
      </c>
      <c r="R805" s="9" t="s">
        <v>76</v>
      </c>
      <c r="S805" s="7" t="s">
        <v>647</v>
      </c>
      <c r="T805" s="9" t="s">
        <v>39</v>
      </c>
      <c r="U805" s="7">
        <v>0.39</v>
      </c>
      <c r="V805" s="12">
        <f>C805+1</f>
        <v>40758</v>
      </c>
      <c r="W805">
        <f>IF(D805=' Pivot Tables'!$A$4,1,0)</f>
        <v>0</v>
      </c>
      <c r="X805">
        <f>IF(AND(LEFT(D805,4)+1=LEFT(' Pivot Tables'!$A$4,4)+0,RIGHT(LEFT(D805,7),2)=RIGHT(LEFT(' Pivot Tables'!$A$4,7),2)),1,0)</f>
        <v>0</v>
      </c>
      <c r="Y805" s="6">
        <f>1/COUNTIF(Таблица1[Order ID],Таблица1[[#This Row],[Order ID]])</f>
        <v>1</v>
      </c>
      <c r="Z805" s="9">
        <f>1/COUNTIFS(Таблица1[Customer Name],Таблица1[[#This Row],[Customer Name]],Таблица1[Order-Year-Month],Таблица1[[#This Row],[Order-Year-Month]])</f>
        <v>1</v>
      </c>
    </row>
    <row r="806" spans="1:26" x14ac:dyDescent="0.2">
      <c r="A806" s="6">
        <v>3056</v>
      </c>
      <c r="B806" s="7">
        <v>21892</v>
      </c>
      <c r="C806" s="8">
        <f>DATE(2012,12,31)-911</f>
        <v>40363</v>
      </c>
      <c r="D806" s="8" t="str">
        <f t="shared" si="16"/>
        <v>2010-07 (июль 2010)</v>
      </c>
      <c r="E806" s="9" t="s">
        <v>30</v>
      </c>
      <c r="F806" s="7">
        <v>6</v>
      </c>
      <c r="G806" s="7">
        <v>34.880000000000003</v>
      </c>
      <c r="H806" s="7">
        <v>0.06</v>
      </c>
      <c r="I806" s="9" t="s">
        <v>22</v>
      </c>
      <c r="J806" s="10">
        <v>-18.342500000000001</v>
      </c>
      <c r="K806" s="11">
        <v>4.91</v>
      </c>
      <c r="L806" s="11">
        <v>4.97</v>
      </c>
      <c r="M806" s="9" t="s">
        <v>715</v>
      </c>
      <c r="N806" s="6" t="s">
        <v>703</v>
      </c>
      <c r="O806" s="6" t="s">
        <v>704</v>
      </c>
      <c r="P806" s="9" t="s">
        <v>41</v>
      </c>
      <c r="Q806" s="9" t="s">
        <v>26</v>
      </c>
      <c r="R806" s="9" t="s">
        <v>37</v>
      </c>
      <c r="S806" s="7" t="s">
        <v>626</v>
      </c>
      <c r="T806" s="9" t="s">
        <v>39</v>
      </c>
      <c r="U806" s="7">
        <v>0.38</v>
      </c>
      <c r="V806" s="12">
        <f>C806+2</f>
        <v>40365</v>
      </c>
      <c r="W806">
        <f>IF(D806=' Pivot Tables'!$A$4,1,0)</f>
        <v>0</v>
      </c>
      <c r="X806">
        <f>IF(AND(LEFT(D806,4)+1=LEFT(' Pivot Tables'!$A$4,4)+0,RIGHT(LEFT(D806,7),2)=RIGHT(LEFT(' Pivot Tables'!$A$4,7),2)),1,0)</f>
        <v>0</v>
      </c>
      <c r="Y806" s="6">
        <f>1/COUNTIF(Таблица1[Order ID],Таблица1[[#This Row],[Order ID]])</f>
        <v>1</v>
      </c>
      <c r="Z806" s="9">
        <f>1/COUNTIFS(Таблица1[Customer Name],Таблица1[[#This Row],[Customer Name]],Таблица1[Order-Year-Month],Таблица1[[#This Row],[Order-Year-Month]])</f>
        <v>1</v>
      </c>
    </row>
    <row r="807" spans="1:26" x14ac:dyDescent="0.2">
      <c r="A807" s="6">
        <v>3204</v>
      </c>
      <c r="B807" s="7">
        <v>22980</v>
      </c>
      <c r="C807" s="8">
        <f>DATE(2012,12,31)-91</f>
        <v>41183</v>
      </c>
      <c r="D807" s="8" t="str">
        <f t="shared" si="16"/>
        <v>2012-10 (октябрь 2012)</v>
      </c>
      <c r="E807" s="9" t="s">
        <v>45</v>
      </c>
      <c r="F807" s="7">
        <v>17</v>
      </c>
      <c r="G807" s="7">
        <v>224.09</v>
      </c>
      <c r="H807" s="7">
        <v>0</v>
      </c>
      <c r="I807" s="9" t="s">
        <v>22</v>
      </c>
      <c r="J807" s="10">
        <v>-27.92</v>
      </c>
      <c r="K807" s="11">
        <v>12.44</v>
      </c>
      <c r="L807" s="11">
        <v>6.27</v>
      </c>
      <c r="M807" s="9" t="s">
        <v>716</v>
      </c>
      <c r="N807" s="6" t="s">
        <v>703</v>
      </c>
      <c r="O807" s="6" t="s">
        <v>704</v>
      </c>
      <c r="P807" s="9" t="s">
        <v>33</v>
      </c>
      <c r="Q807" s="9" t="s">
        <v>26</v>
      </c>
      <c r="R807" s="9" t="s">
        <v>27</v>
      </c>
      <c r="S807" s="7" t="s">
        <v>756</v>
      </c>
      <c r="T807" s="9" t="s">
        <v>48</v>
      </c>
      <c r="U807" s="7">
        <v>0.56999999999999995</v>
      </c>
      <c r="V807" s="12">
        <f>C807+1</f>
        <v>41184</v>
      </c>
      <c r="W807">
        <f>IF(D807=' Pivot Tables'!$A$4,1,0)</f>
        <v>0</v>
      </c>
      <c r="X807">
        <f>IF(AND(LEFT(D807,4)+1=LEFT(' Pivot Tables'!$A$4,4)+0,RIGHT(LEFT(D807,7),2)=RIGHT(LEFT(' Pivot Tables'!$A$4,7),2)),1,0)</f>
        <v>0</v>
      </c>
      <c r="Y807" s="6">
        <f>1/COUNTIF(Таблица1[Order ID],Таблица1[[#This Row],[Order ID]])</f>
        <v>0.5</v>
      </c>
      <c r="Z807" s="9">
        <f>1/COUNTIFS(Таблица1[Customer Name],Таблица1[[#This Row],[Customer Name]],Таблица1[Order-Year-Month],Таблица1[[#This Row],[Order-Year-Month]])</f>
        <v>0.33333333333333331</v>
      </c>
    </row>
    <row r="808" spans="1:26" x14ac:dyDescent="0.2">
      <c r="A808" s="6">
        <v>3341</v>
      </c>
      <c r="B808" s="7">
        <v>23907</v>
      </c>
      <c r="C808" s="8">
        <f>DATE(2012,12,31)-536</f>
        <v>40738</v>
      </c>
      <c r="D808" s="8" t="str">
        <f t="shared" si="16"/>
        <v>2011-07 (июль 2011)</v>
      </c>
      <c r="E808" s="9" t="s">
        <v>45</v>
      </c>
      <c r="F808" s="7">
        <v>7</v>
      </c>
      <c r="G808" s="7">
        <v>384.2</v>
      </c>
      <c r="H808" s="7">
        <v>0.05</v>
      </c>
      <c r="I808" s="9" t="s">
        <v>22</v>
      </c>
      <c r="J808" s="10">
        <v>-164.46099999999998</v>
      </c>
      <c r="K808" s="11">
        <v>65.989999999999995</v>
      </c>
      <c r="L808" s="11">
        <v>2.5</v>
      </c>
      <c r="M808" s="9" t="s">
        <v>708</v>
      </c>
      <c r="N808" s="6" t="s">
        <v>703</v>
      </c>
      <c r="O808" s="6" t="s">
        <v>704</v>
      </c>
      <c r="P808" s="9" t="s">
        <v>41</v>
      </c>
      <c r="Q808" s="9" t="s">
        <v>42</v>
      </c>
      <c r="R808" s="9" t="s">
        <v>43</v>
      </c>
      <c r="S808" s="7" t="s">
        <v>757</v>
      </c>
      <c r="T808" s="9" t="s">
        <v>39</v>
      </c>
      <c r="U808" s="7">
        <v>0.55000000000000004</v>
      </c>
      <c r="V808" s="12">
        <f>C808+0</f>
        <v>40738</v>
      </c>
      <c r="W808">
        <f>IF(D808=' Pivot Tables'!$A$4,1,0)</f>
        <v>0</v>
      </c>
      <c r="X808">
        <f>IF(AND(LEFT(D808,4)+1=LEFT(' Pivot Tables'!$A$4,4)+0,RIGHT(LEFT(D808,7),2)=RIGHT(LEFT(' Pivot Tables'!$A$4,7),2)),1,0)</f>
        <v>0</v>
      </c>
      <c r="Y808" s="6">
        <f>1/COUNTIF(Таблица1[Order ID],Таблица1[[#This Row],[Order ID]])</f>
        <v>1</v>
      </c>
      <c r="Z808" s="9">
        <f>1/COUNTIFS(Таблица1[Customer Name],Таблица1[[#This Row],[Customer Name]],Таблица1[Order-Year-Month],Таблица1[[#This Row],[Order-Year-Month]])</f>
        <v>1</v>
      </c>
    </row>
    <row r="809" spans="1:26" x14ac:dyDescent="0.2">
      <c r="A809" s="6">
        <v>3362</v>
      </c>
      <c r="B809" s="7">
        <v>24064</v>
      </c>
      <c r="C809" s="8">
        <f>DATE(2012,12,31)-890</f>
        <v>40384</v>
      </c>
      <c r="D809" s="8" t="str">
        <f t="shared" si="16"/>
        <v>2010-07 (июль 2010)</v>
      </c>
      <c r="E809" s="9" t="s">
        <v>63</v>
      </c>
      <c r="F809" s="7">
        <v>23</v>
      </c>
      <c r="G809" s="7">
        <v>6366.52</v>
      </c>
      <c r="H809" s="7">
        <v>7.0000000000000007E-2</v>
      </c>
      <c r="I809" s="9" t="s">
        <v>31</v>
      </c>
      <c r="J809" s="10">
        <v>935.80000000000052</v>
      </c>
      <c r="K809" s="11">
        <v>297.64</v>
      </c>
      <c r="L809" s="11">
        <v>14.7</v>
      </c>
      <c r="M809" s="9" t="s">
        <v>711</v>
      </c>
      <c r="N809" s="6" t="s">
        <v>703</v>
      </c>
      <c r="O809" s="6" t="s">
        <v>704</v>
      </c>
      <c r="P809" s="9" t="s">
        <v>60</v>
      </c>
      <c r="Q809" s="9" t="s">
        <v>42</v>
      </c>
      <c r="R809" s="9" t="s">
        <v>210</v>
      </c>
      <c r="S809" s="7" t="s">
        <v>758</v>
      </c>
      <c r="T809" s="9" t="s">
        <v>36</v>
      </c>
      <c r="U809" s="7">
        <v>0.56999999999999995</v>
      </c>
      <c r="V809" s="12">
        <f>C809+3</f>
        <v>40387</v>
      </c>
      <c r="W809">
        <f>IF(D809=' Pivot Tables'!$A$4,1,0)</f>
        <v>0</v>
      </c>
      <c r="X809">
        <f>IF(AND(LEFT(D809,4)+1=LEFT(' Pivot Tables'!$A$4,4)+0,RIGHT(LEFT(D809,7),2)=RIGHT(LEFT(' Pivot Tables'!$A$4,7),2)),1,0)</f>
        <v>0</v>
      </c>
      <c r="Y809" s="6">
        <f>1/COUNTIF(Таблица1[Order ID],Таблица1[[#This Row],[Order ID]])</f>
        <v>1</v>
      </c>
      <c r="Z809" s="9">
        <f>1/COUNTIFS(Таблица1[Customer Name],Таблица1[[#This Row],[Customer Name]],Таблица1[Order-Year-Month],Таблица1[[#This Row],[Order-Year-Month]])</f>
        <v>0.5</v>
      </c>
    </row>
    <row r="810" spans="1:26" x14ac:dyDescent="0.2">
      <c r="A810" s="6">
        <v>3382</v>
      </c>
      <c r="B810" s="7">
        <v>24132</v>
      </c>
      <c r="C810" s="8">
        <f t="shared" ref="C810:C815" si="17">DATE(2012,12,31)-1274</f>
        <v>40000</v>
      </c>
      <c r="D810" s="8" t="str">
        <f t="shared" si="16"/>
        <v>2009-07 (июль 2009)</v>
      </c>
      <c r="E810" s="9" t="s">
        <v>21</v>
      </c>
      <c r="F810" s="7">
        <v>4</v>
      </c>
      <c r="G810" s="7">
        <v>31.01</v>
      </c>
      <c r="H810" s="7">
        <v>0.03</v>
      </c>
      <c r="I810" s="9" t="s">
        <v>22</v>
      </c>
      <c r="J810" s="10">
        <v>-4.4850000000000003</v>
      </c>
      <c r="K810" s="11">
        <v>6.75</v>
      </c>
      <c r="L810" s="11">
        <v>2.99</v>
      </c>
      <c r="M810" s="9" t="s">
        <v>715</v>
      </c>
      <c r="N810" s="6" t="s">
        <v>703</v>
      </c>
      <c r="O810" s="6" t="s">
        <v>704</v>
      </c>
      <c r="P810" s="9" t="s">
        <v>41</v>
      </c>
      <c r="Q810" s="9" t="s">
        <v>26</v>
      </c>
      <c r="R810" s="9" t="s">
        <v>37</v>
      </c>
      <c r="S810" s="7" t="s">
        <v>362</v>
      </c>
      <c r="T810" s="9" t="s">
        <v>39</v>
      </c>
      <c r="U810" s="7">
        <v>0.35</v>
      </c>
      <c r="V810" s="12">
        <f>C810+5</f>
        <v>40005</v>
      </c>
      <c r="W810">
        <f>IF(D810=' Pivot Tables'!$A$4,1,0)</f>
        <v>0</v>
      </c>
      <c r="X810">
        <f>IF(AND(LEFT(D810,4)+1=LEFT(' Pivot Tables'!$A$4,4)+0,RIGHT(LEFT(D810,7),2)=RIGHT(LEFT(' Pivot Tables'!$A$4,7),2)),1,0)</f>
        <v>0</v>
      </c>
      <c r="Y810" s="6">
        <f>1/COUNTIF(Таблица1[Order ID],Таблица1[[#This Row],[Order ID]])</f>
        <v>0.16666666666666666</v>
      </c>
      <c r="Z810" s="9">
        <f>1/COUNTIFS(Таблица1[Customer Name],Таблица1[[#This Row],[Customer Name]],Таблица1[Order-Year-Month],Таблица1[[#This Row],[Order-Year-Month]])</f>
        <v>0.16666666666666666</v>
      </c>
    </row>
    <row r="811" spans="1:26" x14ac:dyDescent="0.2">
      <c r="A811" s="6">
        <v>3383</v>
      </c>
      <c r="B811" s="7">
        <v>24132</v>
      </c>
      <c r="C811" s="8">
        <f t="shared" si="17"/>
        <v>40000</v>
      </c>
      <c r="D811" s="8" t="str">
        <f t="shared" si="16"/>
        <v>2009-07 (июль 2009)</v>
      </c>
      <c r="E811" s="9" t="s">
        <v>21</v>
      </c>
      <c r="F811" s="7">
        <v>46</v>
      </c>
      <c r="G811" s="7">
        <v>331.83</v>
      </c>
      <c r="H811" s="7">
        <v>0.05</v>
      </c>
      <c r="I811" s="9" t="s">
        <v>22</v>
      </c>
      <c r="J811" s="10">
        <v>-101.24600000000001</v>
      </c>
      <c r="K811" s="11">
        <v>7.1</v>
      </c>
      <c r="L811" s="11">
        <v>6.05</v>
      </c>
      <c r="M811" s="9" t="s">
        <v>715</v>
      </c>
      <c r="N811" s="6" t="s">
        <v>703</v>
      </c>
      <c r="O811" s="6" t="s">
        <v>704</v>
      </c>
      <c r="P811" s="9" t="s">
        <v>41</v>
      </c>
      <c r="Q811" s="9" t="s">
        <v>26</v>
      </c>
      <c r="R811" s="9" t="s">
        <v>37</v>
      </c>
      <c r="S811" s="7" t="s">
        <v>435</v>
      </c>
      <c r="T811" s="9" t="s">
        <v>39</v>
      </c>
      <c r="U811" s="7">
        <v>0.39</v>
      </c>
      <c r="V811" s="12">
        <f>C811+0</f>
        <v>40000</v>
      </c>
      <c r="W811">
        <f>IF(D811=' Pivot Tables'!$A$4,1,0)</f>
        <v>0</v>
      </c>
      <c r="X811">
        <f>IF(AND(LEFT(D811,4)+1=LEFT(' Pivot Tables'!$A$4,4)+0,RIGHT(LEFT(D811,7),2)=RIGHT(LEFT(' Pivot Tables'!$A$4,7),2)),1,0)</f>
        <v>0</v>
      </c>
      <c r="Y811" s="6">
        <f>1/COUNTIF(Таблица1[Order ID],Таблица1[[#This Row],[Order ID]])</f>
        <v>0.16666666666666666</v>
      </c>
      <c r="Z811" s="9">
        <f>1/COUNTIFS(Таблица1[Customer Name],Таблица1[[#This Row],[Customer Name]],Таблица1[Order-Year-Month],Таблица1[[#This Row],[Order-Year-Month]])</f>
        <v>0.16666666666666666</v>
      </c>
    </row>
    <row r="812" spans="1:26" x14ac:dyDescent="0.2">
      <c r="A812" s="6">
        <v>3384</v>
      </c>
      <c r="B812" s="7">
        <v>24132</v>
      </c>
      <c r="C812" s="8">
        <f t="shared" si="17"/>
        <v>40000</v>
      </c>
      <c r="D812" s="8" t="str">
        <f t="shared" si="16"/>
        <v>2009-07 (июль 2009)</v>
      </c>
      <c r="E812" s="9" t="s">
        <v>21</v>
      </c>
      <c r="F812" s="7">
        <v>22</v>
      </c>
      <c r="G812" s="7">
        <v>446.46</v>
      </c>
      <c r="H812" s="7">
        <v>0.04</v>
      </c>
      <c r="I812" s="9" t="s">
        <v>22</v>
      </c>
      <c r="J812" s="10">
        <v>-1.88</v>
      </c>
      <c r="K812" s="11">
        <v>20.95</v>
      </c>
      <c r="L812" s="11">
        <v>4</v>
      </c>
      <c r="M812" s="9" t="s">
        <v>715</v>
      </c>
      <c r="N812" s="6" t="s">
        <v>703</v>
      </c>
      <c r="O812" s="6" t="s">
        <v>704</v>
      </c>
      <c r="P812" s="9" t="s">
        <v>41</v>
      </c>
      <c r="Q812" s="9" t="s">
        <v>42</v>
      </c>
      <c r="R812" s="9" t="s">
        <v>70</v>
      </c>
      <c r="S812" s="7" t="s">
        <v>231</v>
      </c>
      <c r="T812" s="9" t="s">
        <v>39</v>
      </c>
      <c r="U812" s="7">
        <v>0.6</v>
      </c>
      <c r="V812" s="12">
        <f>C812+5</f>
        <v>40005</v>
      </c>
      <c r="W812">
        <f>IF(D812=' Pivot Tables'!$A$4,1,0)</f>
        <v>0</v>
      </c>
      <c r="X812">
        <f>IF(AND(LEFT(D812,4)+1=LEFT(' Pivot Tables'!$A$4,4)+0,RIGHT(LEFT(D812,7),2)=RIGHT(LEFT(' Pivot Tables'!$A$4,7),2)),1,0)</f>
        <v>0</v>
      </c>
      <c r="Y812" s="6">
        <f>1/COUNTIF(Таблица1[Order ID],Таблица1[[#This Row],[Order ID]])</f>
        <v>0.16666666666666666</v>
      </c>
      <c r="Z812" s="9">
        <f>1/COUNTIFS(Таблица1[Customer Name],Таблица1[[#This Row],[Customer Name]],Таблица1[Order-Year-Month],Таблица1[[#This Row],[Order-Year-Month]])</f>
        <v>0.16666666666666666</v>
      </c>
    </row>
    <row r="813" spans="1:26" x14ac:dyDescent="0.2">
      <c r="A813" s="6">
        <v>3385</v>
      </c>
      <c r="B813" s="7">
        <v>24132</v>
      </c>
      <c r="C813" s="8">
        <f t="shared" si="17"/>
        <v>40000</v>
      </c>
      <c r="D813" s="8" t="str">
        <f t="shared" si="16"/>
        <v>2009-07 (июль 2009)</v>
      </c>
      <c r="E813" s="9" t="s">
        <v>21</v>
      </c>
      <c r="F813" s="7">
        <v>31</v>
      </c>
      <c r="G813" s="7">
        <v>1252.8900000000001</v>
      </c>
      <c r="H813" s="7">
        <v>0.05</v>
      </c>
      <c r="I813" s="9" t="s">
        <v>22</v>
      </c>
      <c r="J813" s="10">
        <v>339.745</v>
      </c>
      <c r="K813" s="11">
        <v>39.06</v>
      </c>
      <c r="L813" s="11">
        <v>10.55</v>
      </c>
      <c r="M813" s="9" t="s">
        <v>715</v>
      </c>
      <c r="N813" s="6" t="s">
        <v>703</v>
      </c>
      <c r="O813" s="6" t="s">
        <v>704</v>
      </c>
      <c r="P813" s="9" t="s">
        <v>41</v>
      </c>
      <c r="Q813" s="9" t="s">
        <v>26</v>
      </c>
      <c r="R813" s="9" t="s">
        <v>37</v>
      </c>
      <c r="S813" s="7" t="s">
        <v>759</v>
      </c>
      <c r="T813" s="9" t="s">
        <v>39</v>
      </c>
      <c r="U813" s="7">
        <v>0.37</v>
      </c>
      <c r="V813" s="12">
        <f>C813+7</f>
        <v>40007</v>
      </c>
      <c r="W813">
        <f>IF(D813=' Pivot Tables'!$A$4,1,0)</f>
        <v>0</v>
      </c>
      <c r="X813">
        <f>IF(AND(LEFT(D813,4)+1=LEFT(' Pivot Tables'!$A$4,4)+0,RIGHT(LEFT(D813,7),2)=RIGHT(LEFT(' Pivot Tables'!$A$4,7),2)),1,0)</f>
        <v>0</v>
      </c>
      <c r="Y813" s="6">
        <f>1/COUNTIF(Таблица1[Order ID],Таблица1[[#This Row],[Order ID]])</f>
        <v>0.16666666666666666</v>
      </c>
      <c r="Z813" s="9">
        <f>1/COUNTIFS(Таблица1[Customer Name],Таблица1[[#This Row],[Customer Name]],Таблица1[Order-Year-Month],Таблица1[[#This Row],[Order-Year-Month]])</f>
        <v>0.16666666666666666</v>
      </c>
    </row>
    <row r="814" spans="1:26" x14ac:dyDescent="0.2">
      <c r="A814" s="6">
        <v>3386</v>
      </c>
      <c r="B814" s="7">
        <v>24132</v>
      </c>
      <c r="C814" s="8">
        <f t="shared" si="17"/>
        <v>40000</v>
      </c>
      <c r="D814" s="8" t="str">
        <f t="shared" si="16"/>
        <v>2009-07 (июль 2009)</v>
      </c>
      <c r="E814" s="9" t="s">
        <v>21</v>
      </c>
      <c r="F814" s="7">
        <v>12</v>
      </c>
      <c r="G814" s="7">
        <v>47.79</v>
      </c>
      <c r="H814" s="7">
        <v>0.04</v>
      </c>
      <c r="I814" s="9" t="s">
        <v>22</v>
      </c>
      <c r="J814" s="10">
        <v>-57.753</v>
      </c>
      <c r="K814" s="11">
        <v>3.52</v>
      </c>
      <c r="L814" s="11">
        <v>6.83</v>
      </c>
      <c r="M814" s="9" t="s">
        <v>715</v>
      </c>
      <c r="N814" s="6" t="s">
        <v>703</v>
      </c>
      <c r="O814" s="6" t="s">
        <v>704</v>
      </c>
      <c r="P814" s="9" t="s">
        <v>41</v>
      </c>
      <c r="Q814" s="9" t="s">
        <v>26</v>
      </c>
      <c r="R814" s="9" t="s">
        <v>37</v>
      </c>
      <c r="S814" s="7" t="s">
        <v>636</v>
      </c>
      <c r="T814" s="9" t="s">
        <v>39</v>
      </c>
      <c r="U814" s="7">
        <v>0.38</v>
      </c>
      <c r="V814" s="12">
        <f>C814+9</f>
        <v>40009</v>
      </c>
      <c r="W814">
        <f>IF(D814=' Pivot Tables'!$A$4,1,0)</f>
        <v>0</v>
      </c>
      <c r="X814">
        <f>IF(AND(LEFT(D814,4)+1=LEFT(' Pivot Tables'!$A$4,4)+0,RIGHT(LEFT(D814,7),2)=RIGHT(LEFT(' Pivot Tables'!$A$4,7),2)),1,0)</f>
        <v>0</v>
      </c>
      <c r="Y814" s="6">
        <f>1/COUNTIF(Таблица1[Order ID],Таблица1[[#This Row],[Order ID]])</f>
        <v>0.16666666666666666</v>
      </c>
      <c r="Z814" s="9">
        <f>1/COUNTIFS(Таблица1[Customer Name],Таблица1[[#This Row],[Customer Name]],Таблица1[Order-Year-Month],Таблица1[[#This Row],[Order-Year-Month]])</f>
        <v>0.16666666666666666</v>
      </c>
    </row>
    <row r="815" spans="1:26" x14ac:dyDescent="0.2">
      <c r="A815" s="6">
        <v>3387</v>
      </c>
      <c r="B815" s="7">
        <v>24132</v>
      </c>
      <c r="C815" s="8">
        <f t="shared" si="17"/>
        <v>40000</v>
      </c>
      <c r="D815" s="8" t="str">
        <f t="shared" si="16"/>
        <v>2009-07 (июль 2009)</v>
      </c>
      <c r="E815" s="9" t="s">
        <v>21</v>
      </c>
      <c r="F815" s="7">
        <v>3</v>
      </c>
      <c r="G815" s="7">
        <v>63.84</v>
      </c>
      <c r="H815" s="7">
        <v>0.02</v>
      </c>
      <c r="I815" s="9" t="s">
        <v>22</v>
      </c>
      <c r="J815" s="10">
        <v>-47.97</v>
      </c>
      <c r="K815" s="11">
        <v>15.51</v>
      </c>
      <c r="L815" s="11">
        <v>17.78</v>
      </c>
      <c r="M815" s="9" t="s">
        <v>715</v>
      </c>
      <c r="N815" s="6" t="s">
        <v>703</v>
      </c>
      <c r="O815" s="6" t="s">
        <v>704</v>
      </c>
      <c r="P815" s="9" t="s">
        <v>41</v>
      </c>
      <c r="Q815" s="9" t="s">
        <v>26</v>
      </c>
      <c r="R815" s="9" t="s">
        <v>27</v>
      </c>
      <c r="S815" s="7" t="s">
        <v>383</v>
      </c>
      <c r="T815" s="9" t="s">
        <v>39</v>
      </c>
      <c r="U815" s="7">
        <v>0.59</v>
      </c>
      <c r="V815" s="12">
        <f>C815+7</f>
        <v>40007</v>
      </c>
      <c r="W815">
        <f>IF(D815=' Pivot Tables'!$A$4,1,0)</f>
        <v>0</v>
      </c>
      <c r="X815">
        <f>IF(AND(LEFT(D815,4)+1=LEFT(' Pivot Tables'!$A$4,4)+0,RIGHT(LEFT(D815,7),2)=RIGHT(LEFT(' Pivot Tables'!$A$4,7),2)),1,0)</f>
        <v>0</v>
      </c>
      <c r="Y815" s="6">
        <f>1/COUNTIF(Таблица1[Order ID],Таблица1[[#This Row],[Order ID]])</f>
        <v>0.16666666666666666</v>
      </c>
      <c r="Z815" s="9">
        <f>1/COUNTIFS(Таблица1[Customer Name],Таблица1[[#This Row],[Customer Name]],Таблица1[Order-Year-Month],Таблица1[[#This Row],[Order-Year-Month]])</f>
        <v>0.16666666666666666</v>
      </c>
    </row>
    <row r="816" spans="1:26" x14ac:dyDescent="0.2">
      <c r="A816" s="6">
        <v>3441</v>
      </c>
      <c r="B816" s="7">
        <v>24576</v>
      </c>
      <c r="C816" s="8">
        <f>DATE(2012,12,31)-20</f>
        <v>41254</v>
      </c>
      <c r="D816" s="8" t="str">
        <f t="shared" si="16"/>
        <v>2012-12 (декабрь 2012)</v>
      </c>
      <c r="E816" s="9" t="s">
        <v>45</v>
      </c>
      <c r="F816" s="7">
        <v>29</v>
      </c>
      <c r="G816" s="7">
        <v>531.06299999999999</v>
      </c>
      <c r="H816" s="7">
        <v>0.03</v>
      </c>
      <c r="I816" s="9" t="s">
        <v>22</v>
      </c>
      <c r="J816" s="10">
        <v>24.561</v>
      </c>
      <c r="K816" s="11">
        <v>20.99</v>
      </c>
      <c r="L816" s="11">
        <v>4.8099999999999996</v>
      </c>
      <c r="M816" s="9" t="s">
        <v>755</v>
      </c>
      <c r="N816" s="6" t="s">
        <v>703</v>
      </c>
      <c r="O816" s="6" t="s">
        <v>704</v>
      </c>
      <c r="P816" s="9" t="s">
        <v>41</v>
      </c>
      <c r="Q816" s="9" t="s">
        <v>42</v>
      </c>
      <c r="R816" s="9" t="s">
        <v>43</v>
      </c>
      <c r="S816" s="7" t="s">
        <v>760</v>
      </c>
      <c r="T816" s="9" t="s">
        <v>48</v>
      </c>
      <c r="U816" s="7">
        <v>0.57999999999999996</v>
      </c>
      <c r="V816" s="12">
        <f>C816+2</f>
        <v>41256</v>
      </c>
      <c r="W816">
        <f>IF(D816=' Pivot Tables'!$A$4,1,0)</f>
        <v>0</v>
      </c>
      <c r="X816">
        <f>IF(AND(LEFT(D816,4)+1=LEFT(' Pivot Tables'!$A$4,4)+0,RIGHT(LEFT(D816,7),2)=RIGHT(LEFT(' Pivot Tables'!$A$4,7),2)),1,0)</f>
        <v>0</v>
      </c>
      <c r="Y816" s="6">
        <f>1/COUNTIF(Таблица1[Order ID],Таблица1[[#This Row],[Order ID]])</f>
        <v>0.5</v>
      </c>
      <c r="Z816" s="9">
        <f>1/COUNTIFS(Таблица1[Customer Name],Таблица1[[#This Row],[Customer Name]],Таблица1[Order-Year-Month],Таблица1[[#This Row],[Order-Year-Month]])</f>
        <v>0.33333333333333331</v>
      </c>
    </row>
    <row r="817" spans="1:26" x14ac:dyDescent="0.2">
      <c r="A817" s="6">
        <v>3442</v>
      </c>
      <c r="B817" s="7">
        <v>24576</v>
      </c>
      <c r="C817" s="8">
        <f>DATE(2012,12,31)-20</f>
        <v>41254</v>
      </c>
      <c r="D817" s="8" t="str">
        <f t="shared" si="16"/>
        <v>2012-12 (декабрь 2012)</v>
      </c>
      <c r="E817" s="9" t="s">
        <v>45</v>
      </c>
      <c r="F817" s="7">
        <v>10</v>
      </c>
      <c r="G817" s="7">
        <v>152.84</v>
      </c>
      <c r="H817" s="7">
        <v>0.05</v>
      </c>
      <c r="I817" s="9" t="s">
        <v>22</v>
      </c>
      <c r="J817" s="10">
        <v>38.020000000000003</v>
      </c>
      <c r="K817" s="11">
        <v>14.58</v>
      </c>
      <c r="L817" s="11">
        <v>7.4</v>
      </c>
      <c r="M817" s="9" t="s">
        <v>755</v>
      </c>
      <c r="N817" s="6" t="s">
        <v>703</v>
      </c>
      <c r="O817" s="6" t="s">
        <v>704</v>
      </c>
      <c r="P817" s="9" t="s">
        <v>41</v>
      </c>
      <c r="Q817" s="9" t="s">
        <v>49</v>
      </c>
      <c r="R817" s="9" t="s">
        <v>50</v>
      </c>
      <c r="S817" s="7" t="s">
        <v>653</v>
      </c>
      <c r="T817" s="9" t="s">
        <v>39</v>
      </c>
      <c r="U817" s="7">
        <v>0.48</v>
      </c>
      <c r="V817" s="12">
        <f>C817+2</f>
        <v>41256</v>
      </c>
      <c r="W817">
        <f>IF(D817=' Pivot Tables'!$A$4,1,0)</f>
        <v>0</v>
      </c>
      <c r="X817">
        <f>IF(AND(LEFT(D817,4)+1=LEFT(' Pivot Tables'!$A$4,4)+0,RIGHT(LEFT(D817,7),2)=RIGHT(LEFT(' Pivot Tables'!$A$4,7),2)),1,0)</f>
        <v>0</v>
      </c>
      <c r="Y817" s="6">
        <f>1/COUNTIF(Таблица1[Order ID],Таблица1[[#This Row],[Order ID]])</f>
        <v>0.5</v>
      </c>
      <c r="Z817" s="9">
        <f>1/COUNTIFS(Таблица1[Customer Name],Таблица1[[#This Row],[Customer Name]],Таблица1[Order-Year-Month],Таблица1[[#This Row],[Order-Year-Month]])</f>
        <v>0.33333333333333331</v>
      </c>
    </row>
    <row r="818" spans="1:26" x14ac:dyDescent="0.2">
      <c r="A818" s="6">
        <v>3541</v>
      </c>
      <c r="B818" s="7">
        <v>25248</v>
      </c>
      <c r="C818" s="8">
        <f>DATE(2012,12,31)-396</f>
        <v>40878</v>
      </c>
      <c r="D818" s="8" t="str">
        <f t="shared" si="16"/>
        <v>2011-12 (декабрь 2011)</v>
      </c>
      <c r="E818" s="9" t="s">
        <v>63</v>
      </c>
      <c r="F818" s="7">
        <v>33</v>
      </c>
      <c r="G818" s="7">
        <v>271.14</v>
      </c>
      <c r="H818" s="7">
        <v>0.05</v>
      </c>
      <c r="I818" s="9" t="s">
        <v>56</v>
      </c>
      <c r="J818" s="10">
        <v>29.21</v>
      </c>
      <c r="K818" s="11">
        <v>8.33</v>
      </c>
      <c r="L818" s="11">
        <v>1.99</v>
      </c>
      <c r="M818" s="9" t="s">
        <v>719</v>
      </c>
      <c r="N818" s="6" t="s">
        <v>703</v>
      </c>
      <c r="O818" s="6" t="s">
        <v>704</v>
      </c>
      <c r="P818" s="9" t="s">
        <v>25</v>
      </c>
      <c r="Q818" s="9" t="s">
        <v>42</v>
      </c>
      <c r="R818" s="9" t="s">
        <v>70</v>
      </c>
      <c r="S818" s="7" t="s">
        <v>324</v>
      </c>
      <c r="T818" s="9" t="s">
        <v>52</v>
      </c>
      <c r="U818" s="7">
        <v>0.52</v>
      </c>
      <c r="V818" s="12">
        <f>C818+2</f>
        <v>40880</v>
      </c>
      <c r="W818">
        <f>IF(D818=' Pivot Tables'!$A$4,1,0)</f>
        <v>0</v>
      </c>
      <c r="X818">
        <f>IF(AND(LEFT(D818,4)+1=LEFT(' Pivot Tables'!$A$4,4)+0,RIGHT(LEFT(D818,7),2)=RIGHT(LEFT(' Pivot Tables'!$A$4,7),2)),1,0)</f>
        <v>0</v>
      </c>
      <c r="Y818" s="6">
        <f>1/COUNTIF(Таблица1[Order ID],Таблица1[[#This Row],[Order ID]])</f>
        <v>0.5</v>
      </c>
      <c r="Z818" s="9">
        <f>1/COUNTIFS(Таблица1[Customer Name],Таблица1[[#This Row],[Customer Name]],Таблица1[Order-Year-Month],Таблица1[[#This Row],[Order-Year-Month]])</f>
        <v>0.5</v>
      </c>
    </row>
    <row r="819" spans="1:26" x14ac:dyDescent="0.2">
      <c r="A819" s="6">
        <v>3542</v>
      </c>
      <c r="B819" s="7">
        <v>25248</v>
      </c>
      <c r="C819" s="8">
        <f>DATE(2012,12,31)-396</f>
        <v>40878</v>
      </c>
      <c r="D819" s="8" t="str">
        <f t="shared" si="16"/>
        <v>2011-12 (декабрь 2011)</v>
      </c>
      <c r="E819" s="9" t="s">
        <v>63</v>
      </c>
      <c r="F819" s="7">
        <v>26</v>
      </c>
      <c r="G819" s="7">
        <v>1150.3</v>
      </c>
      <c r="H819" s="7">
        <v>0.1</v>
      </c>
      <c r="I819" s="9" t="s">
        <v>22</v>
      </c>
      <c r="J819" s="10">
        <v>418.19</v>
      </c>
      <c r="K819" s="11">
        <v>48.91</v>
      </c>
      <c r="L819" s="11">
        <v>5.81</v>
      </c>
      <c r="M819" s="9" t="s">
        <v>719</v>
      </c>
      <c r="N819" s="6" t="s">
        <v>703</v>
      </c>
      <c r="O819" s="6" t="s">
        <v>704</v>
      </c>
      <c r="P819" s="9" t="s">
        <v>25</v>
      </c>
      <c r="Q819" s="9" t="s">
        <v>26</v>
      </c>
      <c r="R819" s="9" t="s">
        <v>61</v>
      </c>
      <c r="S819" s="7" t="s">
        <v>183</v>
      </c>
      <c r="T819" s="9" t="s">
        <v>39</v>
      </c>
      <c r="U819" s="7">
        <v>0.38</v>
      </c>
      <c r="V819" s="12">
        <f>C819+1</f>
        <v>40879</v>
      </c>
      <c r="W819">
        <f>IF(D819=' Pivot Tables'!$A$4,1,0)</f>
        <v>0</v>
      </c>
      <c r="X819">
        <f>IF(AND(LEFT(D819,4)+1=LEFT(' Pivot Tables'!$A$4,4)+0,RIGHT(LEFT(D819,7),2)=RIGHT(LEFT(' Pivot Tables'!$A$4,7),2)),1,0)</f>
        <v>0</v>
      </c>
      <c r="Y819" s="6">
        <f>1/COUNTIF(Таблица1[Order ID],Таблица1[[#This Row],[Order ID]])</f>
        <v>0.5</v>
      </c>
      <c r="Z819" s="9">
        <f>1/COUNTIFS(Таблица1[Customer Name],Таблица1[[#This Row],[Customer Name]],Таблица1[Order-Year-Month],Таблица1[[#This Row],[Order-Year-Month]])</f>
        <v>0.5</v>
      </c>
    </row>
    <row r="820" spans="1:26" x14ac:dyDescent="0.2">
      <c r="A820" s="6">
        <v>3573</v>
      </c>
      <c r="B820" s="7">
        <v>25475</v>
      </c>
      <c r="C820" s="8">
        <f>DATE(2012,12,31)-1367</f>
        <v>39907</v>
      </c>
      <c r="D820" s="8" t="str">
        <f t="shared" si="16"/>
        <v>2009-04 (апрель 2009)</v>
      </c>
      <c r="E820" s="9" t="s">
        <v>78</v>
      </c>
      <c r="F820" s="7">
        <v>49</v>
      </c>
      <c r="G820" s="7">
        <v>305.95999999999998</v>
      </c>
      <c r="H820" s="7">
        <v>0.06</v>
      </c>
      <c r="I820" s="9" t="s">
        <v>22</v>
      </c>
      <c r="J820" s="10">
        <v>-191.49</v>
      </c>
      <c r="K820" s="11">
        <v>6.48</v>
      </c>
      <c r="L820" s="11">
        <v>7.49</v>
      </c>
      <c r="M820" s="9" t="s">
        <v>727</v>
      </c>
      <c r="N820" s="6" t="s">
        <v>703</v>
      </c>
      <c r="O820" s="6" t="s">
        <v>704</v>
      </c>
      <c r="P820" s="9" t="s">
        <v>60</v>
      </c>
      <c r="Q820" s="9" t="s">
        <v>26</v>
      </c>
      <c r="R820" s="9" t="s">
        <v>61</v>
      </c>
      <c r="S820" s="7" t="s">
        <v>643</v>
      </c>
      <c r="T820" s="9" t="s">
        <v>39</v>
      </c>
      <c r="U820" s="7">
        <v>0.37</v>
      </c>
      <c r="V820" s="12">
        <f>C820+0</f>
        <v>39907</v>
      </c>
      <c r="W820">
        <f>IF(D820=' Pivot Tables'!$A$4,1,0)</f>
        <v>0</v>
      </c>
      <c r="X820">
        <f>IF(AND(LEFT(D820,4)+1=LEFT(' Pivot Tables'!$A$4,4)+0,RIGHT(LEFT(D820,7),2)=RIGHT(LEFT(' Pivot Tables'!$A$4,7),2)),1,0)</f>
        <v>0</v>
      </c>
      <c r="Y820" s="6">
        <f>1/COUNTIF(Таблица1[Order ID],Таблица1[[#This Row],[Order ID]])</f>
        <v>1</v>
      </c>
      <c r="Z820" s="9">
        <f>1/COUNTIFS(Таблица1[Customer Name],Таблица1[[#This Row],[Customer Name]],Таблица1[Order-Year-Month],Таблица1[[#This Row],[Order-Year-Month]])</f>
        <v>1</v>
      </c>
    </row>
    <row r="821" spans="1:26" x14ac:dyDescent="0.2">
      <c r="A821" s="6">
        <v>3784</v>
      </c>
      <c r="B821" s="7">
        <v>26978</v>
      </c>
      <c r="C821" s="8">
        <f>DATE(2012,12,31)-920</f>
        <v>40354</v>
      </c>
      <c r="D821" s="8" t="str">
        <f t="shared" si="16"/>
        <v>2010-06 (июнь 2010)</v>
      </c>
      <c r="E821" s="9" t="s">
        <v>63</v>
      </c>
      <c r="F821" s="7">
        <v>2</v>
      </c>
      <c r="G821" s="7">
        <v>48.84</v>
      </c>
      <c r="H821" s="7">
        <v>0.01</v>
      </c>
      <c r="I821" s="9" t="s">
        <v>22</v>
      </c>
      <c r="J821" s="10">
        <v>-21.2</v>
      </c>
      <c r="K821" s="11">
        <v>18.97</v>
      </c>
      <c r="L821" s="11">
        <v>9.0299999999999994</v>
      </c>
      <c r="M821" s="9" t="s">
        <v>753</v>
      </c>
      <c r="N821" s="6" t="s">
        <v>703</v>
      </c>
      <c r="O821" s="6" t="s">
        <v>704</v>
      </c>
      <c r="P821" s="9" t="s">
        <v>60</v>
      </c>
      <c r="Q821" s="9" t="s">
        <v>26</v>
      </c>
      <c r="R821" s="9" t="s">
        <v>61</v>
      </c>
      <c r="S821" s="7" t="s">
        <v>123</v>
      </c>
      <c r="T821" s="9" t="s">
        <v>39</v>
      </c>
      <c r="U821" s="7">
        <v>0.37</v>
      </c>
      <c r="V821" s="12">
        <f>C821+1</f>
        <v>40355</v>
      </c>
      <c r="W821">
        <f>IF(D821=' Pivot Tables'!$A$4,1,0)</f>
        <v>0</v>
      </c>
      <c r="X821">
        <f>IF(AND(LEFT(D821,4)+1=LEFT(' Pivot Tables'!$A$4,4)+0,RIGHT(LEFT(D821,7),2)=RIGHT(LEFT(' Pivot Tables'!$A$4,7),2)),1,0)</f>
        <v>0</v>
      </c>
      <c r="Y821" s="6">
        <f>1/COUNTIF(Таблица1[Order ID],Таблица1[[#This Row],[Order ID]])</f>
        <v>0.25</v>
      </c>
      <c r="Z821" s="9">
        <f>1/COUNTIFS(Таблица1[Customer Name],Таблица1[[#This Row],[Customer Name]],Таблица1[Order-Year-Month],Таблица1[[#This Row],[Order-Year-Month]])</f>
        <v>0.25</v>
      </c>
    </row>
    <row r="822" spans="1:26" x14ac:dyDescent="0.2">
      <c r="A822" s="6">
        <v>3798</v>
      </c>
      <c r="B822" s="7">
        <v>27105</v>
      </c>
      <c r="C822" s="8">
        <f>DATE(2012,12,31)-684</f>
        <v>40590</v>
      </c>
      <c r="D822" s="8" t="str">
        <f t="shared" si="16"/>
        <v>2011-02 (февраль 2011)</v>
      </c>
      <c r="E822" s="9" t="s">
        <v>45</v>
      </c>
      <c r="F822" s="7">
        <v>37</v>
      </c>
      <c r="G822" s="7">
        <v>223.74</v>
      </c>
      <c r="H822" s="7">
        <v>0.01</v>
      </c>
      <c r="I822" s="9" t="s">
        <v>22</v>
      </c>
      <c r="J822" s="10">
        <v>39.630000000000003</v>
      </c>
      <c r="K822" s="11">
        <v>5.98</v>
      </c>
      <c r="L822" s="11">
        <v>2.5</v>
      </c>
      <c r="M822" s="9" t="s">
        <v>711</v>
      </c>
      <c r="N822" s="6" t="s">
        <v>703</v>
      </c>
      <c r="O822" s="6" t="s">
        <v>704</v>
      </c>
      <c r="P822" s="9" t="s">
        <v>60</v>
      </c>
      <c r="Q822" s="9" t="s">
        <v>26</v>
      </c>
      <c r="R822" s="9" t="s">
        <v>76</v>
      </c>
      <c r="S822" s="7" t="s">
        <v>625</v>
      </c>
      <c r="T822" s="9" t="s">
        <v>39</v>
      </c>
      <c r="U822" s="7">
        <v>0.36</v>
      </c>
      <c r="V822" s="12">
        <f>C822+1</f>
        <v>40591</v>
      </c>
      <c r="W822">
        <f>IF(D822=' Pivot Tables'!$A$4,1,0)</f>
        <v>0</v>
      </c>
      <c r="X822">
        <f>IF(AND(LEFT(D822,4)+1=LEFT(' Pivot Tables'!$A$4,4)+0,RIGHT(LEFT(D822,7),2)=RIGHT(LEFT(' Pivot Tables'!$A$4,7),2)),1,0)</f>
        <v>0</v>
      </c>
      <c r="Y822" s="6">
        <f>1/COUNTIF(Таблица1[Order ID],Таблица1[[#This Row],[Order ID]])</f>
        <v>0.5</v>
      </c>
      <c r="Z822" s="9">
        <f>1/COUNTIFS(Таблица1[Customer Name],Таблица1[[#This Row],[Customer Name]],Таблица1[Order-Year-Month],Таблица1[[#This Row],[Order-Year-Month]])</f>
        <v>0.5</v>
      </c>
    </row>
    <row r="823" spans="1:26" x14ac:dyDescent="0.2">
      <c r="A823" s="6">
        <v>3799</v>
      </c>
      <c r="B823" s="7">
        <v>27105</v>
      </c>
      <c r="C823" s="8">
        <f>DATE(2012,12,31)-684</f>
        <v>40590</v>
      </c>
      <c r="D823" s="8" t="str">
        <f t="shared" si="16"/>
        <v>2011-02 (февраль 2011)</v>
      </c>
      <c r="E823" s="9" t="s">
        <v>45</v>
      </c>
      <c r="F823" s="7">
        <v>2</v>
      </c>
      <c r="G823" s="7">
        <v>26.82</v>
      </c>
      <c r="H823" s="7">
        <v>0</v>
      </c>
      <c r="I823" s="9" t="s">
        <v>22</v>
      </c>
      <c r="J823" s="10">
        <v>26.21</v>
      </c>
      <c r="K823" s="11">
        <v>10.4</v>
      </c>
      <c r="L823" s="11">
        <v>5.4</v>
      </c>
      <c r="M823" s="9" t="s">
        <v>711</v>
      </c>
      <c r="N823" s="6" t="s">
        <v>703</v>
      </c>
      <c r="O823" s="6" t="s">
        <v>704</v>
      </c>
      <c r="P823" s="9" t="s">
        <v>60</v>
      </c>
      <c r="Q823" s="9" t="s">
        <v>49</v>
      </c>
      <c r="R823" s="9" t="s">
        <v>50</v>
      </c>
      <c r="S823" s="7" t="s">
        <v>761</v>
      </c>
      <c r="T823" s="9" t="s">
        <v>52</v>
      </c>
      <c r="U823" s="7">
        <v>0.51</v>
      </c>
      <c r="V823" s="12">
        <f>C823+1</f>
        <v>40591</v>
      </c>
      <c r="W823">
        <f>IF(D823=' Pivot Tables'!$A$4,1,0)</f>
        <v>0</v>
      </c>
      <c r="X823">
        <f>IF(AND(LEFT(D823,4)+1=LEFT(' Pivot Tables'!$A$4,4)+0,RIGHT(LEFT(D823,7),2)=RIGHT(LEFT(' Pivot Tables'!$A$4,7),2)),1,0)</f>
        <v>0</v>
      </c>
      <c r="Y823" s="6">
        <f>1/COUNTIF(Таблица1[Order ID],Таблица1[[#This Row],[Order ID]])</f>
        <v>0.5</v>
      </c>
      <c r="Z823" s="9">
        <f>1/COUNTIFS(Таблица1[Customer Name],Таблица1[[#This Row],[Customer Name]],Таблица1[Order-Year-Month],Таблица1[[#This Row],[Order-Year-Month]])</f>
        <v>0.5</v>
      </c>
    </row>
    <row r="824" spans="1:26" x14ac:dyDescent="0.2">
      <c r="A824" s="6">
        <v>3940</v>
      </c>
      <c r="B824" s="7">
        <v>28068</v>
      </c>
      <c r="C824" s="8">
        <f>DATE(2012,12,31)-858</f>
        <v>40416</v>
      </c>
      <c r="D824" s="8" t="str">
        <f t="shared" si="16"/>
        <v>2010-08 (август 2010)</v>
      </c>
      <c r="E824" s="9" t="s">
        <v>21</v>
      </c>
      <c r="F824" s="7">
        <v>23</v>
      </c>
      <c r="G824" s="7">
        <v>631.99</v>
      </c>
      <c r="H824" s="7">
        <v>0.08</v>
      </c>
      <c r="I824" s="9" t="s">
        <v>22</v>
      </c>
      <c r="J824" s="10">
        <v>-43.96</v>
      </c>
      <c r="K824" s="11">
        <v>27.48</v>
      </c>
      <c r="L824" s="11">
        <v>4</v>
      </c>
      <c r="M824" s="9" t="s">
        <v>708</v>
      </c>
      <c r="N824" s="6" t="s">
        <v>703</v>
      </c>
      <c r="O824" s="6" t="s">
        <v>704</v>
      </c>
      <c r="P824" s="9" t="s">
        <v>41</v>
      </c>
      <c r="Q824" s="9" t="s">
        <v>42</v>
      </c>
      <c r="R824" s="9" t="s">
        <v>70</v>
      </c>
      <c r="S824" s="7" t="s">
        <v>762</v>
      </c>
      <c r="T824" s="9" t="s">
        <v>39</v>
      </c>
      <c r="U824" s="7">
        <v>0.75</v>
      </c>
      <c r="V824" s="12">
        <f>C824+2</f>
        <v>40418</v>
      </c>
      <c r="W824">
        <f>IF(D824=' Pivot Tables'!$A$4,1,0)</f>
        <v>0</v>
      </c>
      <c r="X824">
        <f>IF(AND(LEFT(D824,4)+1=LEFT(' Pivot Tables'!$A$4,4)+0,RIGHT(LEFT(D824,7),2)=RIGHT(LEFT(' Pivot Tables'!$A$4,7),2)),1,0)</f>
        <v>0</v>
      </c>
      <c r="Y824" s="6">
        <f>1/COUNTIF(Таблица1[Order ID],Таблица1[[#This Row],[Order ID]])</f>
        <v>1</v>
      </c>
      <c r="Z824" s="9">
        <f>1/COUNTIFS(Таблица1[Customer Name],Таблица1[[#This Row],[Customer Name]],Таблица1[Order-Year-Month],Таблица1[[#This Row],[Order-Year-Month]])</f>
        <v>1</v>
      </c>
    </row>
    <row r="825" spans="1:26" x14ac:dyDescent="0.2">
      <c r="A825" s="6">
        <v>4032</v>
      </c>
      <c r="B825" s="7">
        <v>28802</v>
      </c>
      <c r="C825" s="8">
        <f>DATE(2012,12,31)-788</f>
        <v>40486</v>
      </c>
      <c r="D825" s="8" t="str">
        <f t="shared" si="16"/>
        <v>2010-11 (ноябрь 2010)</v>
      </c>
      <c r="E825" s="9" t="s">
        <v>30</v>
      </c>
      <c r="F825" s="7">
        <v>23</v>
      </c>
      <c r="G825" s="7">
        <v>413.8</v>
      </c>
      <c r="H825" s="7">
        <v>0.08</v>
      </c>
      <c r="I825" s="9" t="s">
        <v>56</v>
      </c>
      <c r="J825" s="10">
        <v>51.36</v>
      </c>
      <c r="K825" s="11">
        <v>17.670000000000002</v>
      </c>
      <c r="L825" s="11">
        <v>8.99</v>
      </c>
      <c r="M825" s="9" t="s">
        <v>711</v>
      </c>
      <c r="N825" s="6" t="s">
        <v>703</v>
      </c>
      <c r="O825" s="6" t="s">
        <v>704</v>
      </c>
      <c r="P825" s="9" t="s">
        <v>60</v>
      </c>
      <c r="Q825" s="9" t="s">
        <v>49</v>
      </c>
      <c r="R825" s="9" t="s">
        <v>50</v>
      </c>
      <c r="S825" s="7" t="s">
        <v>763</v>
      </c>
      <c r="T825" s="9" t="s">
        <v>52</v>
      </c>
      <c r="U825" s="7">
        <v>0.47</v>
      </c>
      <c r="V825" s="12">
        <f>C825+2</f>
        <v>40488</v>
      </c>
      <c r="W825">
        <f>IF(D825=' Pivot Tables'!$A$4,1,0)</f>
        <v>0</v>
      </c>
      <c r="X825">
        <f>IF(AND(LEFT(D825,4)+1=LEFT(' Pivot Tables'!$A$4,4)+0,RIGHT(LEFT(D825,7),2)=RIGHT(LEFT(' Pivot Tables'!$A$4,7),2)),1,0)</f>
        <v>0</v>
      </c>
      <c r="Y825" s="6">
        <f>1/COUNTIF(Таблица1[Order ID],Таблица1[[#This Row],[Order ID]])</f>
        <v>0.33333333333333331</v>
      </c>
      <c r="Z825" s="9">
        <f>1/COUNTIFS(Таблица1[Customer Name],Таблица1[[#This Row],[Customer Name]],Таблица1[Order-Year-Month],Таблица1[[#This Row],[Order-Year-Month]])</f>
        <v>0.25</v>
      </c>
    </row>
    <row r="826" spans="1:26" x14ac:dyDescent="0.2">
      <c r="A826" s="6">
        <v>4033</v>
      </c>
      <c r="B826" s="7">
        <v>28802</v>
      </c>
      <c r="C826" s="8">
        <f>DATE(2012,12,31)-788</f>
        <v>40486</v>
      </c>
      <c r="D826" s="8" t="str">
        <f t="shared" si="16"/>
        <v>2010-11 (ноябрь 2010)</v>
      </c>
      <c r="E826" s="9" t="s">
        <v>30</v>
      </c>
      <c r="F826" s="7">
        <v>36</v>
      </c>
      <c r="G826" s="7">
        <v>336.25</v>
      </c>
      <c r="H826" s="7">
        <v>0</v>
      </c>
      <c r="I826" s="9" t="s">
        <v>56</v>
      </c>
      <c r="J826" s="10">
        <v>25.95</v>
      </c>
      <c r="K826" s="11">
        <v>8.34</v>
      </c>
      <c r="L826" s="11">
        <v>4.82</v>
      </c>
      <c r="M826" s="9" t="s">
        <v>711</v>
      </c>
      <c r="N826" s="6" t="s">
        <v>703</v>
      </c>
      <c r="O826" s="6" t="s">
        <v>704</v>
      </c>
      <c r="P826" s="9" t="s">
        <v>60</v>
      </c>
      <c r="Q826" s="9" t="s">
        <v>26</v>
      </c>
      <c r="R826" s="9" t="s">
        <v>61</v>
      </c>
      <c r="S826" s="7" t="s">
        <v>662</v>
      </c>
      <c r="T826" s="9" t="s">
        <v>39</v>
      </c>
      <c r="U826" s="7">
        <v>0.4</v>
      </c>
      <c r="V826" s="12">
        <f>C826+3</f>
        <v>40489</v>
      </c>
      <c r="W826">
        <f>IF(D826=' Pivot Tables'!$A$4,1,0)</f>
        <v>0</v>
      </c>
      <c r="X826">
        <f>IF(AND(LEFT(D826,4)+1=LEFT(' Pivot Tables'!$A$4,4)+0,RIGHT(LEFT(D826,7),2)=RIGHT(LEFT(' Pivot Tables'!$A$4,7),2)),1,0)</f>
        <v>0</v>
      </c>
      <c r="Y826" s="6">
        <f>1/COUNTIF(Таблица1[Order ID],Таблица1[[#This Row],[Order ID]])</f>
        <v>0.33333333333333331</v>
      </c>
      <c r="Z826" s="9">
        <f>1/COUNTIFS(Таблица1[Customer Name],Таблица1[[#This Row],[Customer Name]],Таблица1[Order-Year-Month],Таблица1[[#This Row],[Order-Year-Month]])</f>
        <v>0.25</v>
      </c>
    </row>
    <row r="827" spans="1:26" x14ac:dyDescent="0.2">
      <c r="A827" s="6">
        <v>4034</v>
      </c>
      <c r="B827" s="7">
        <v>28802</v>
      </c>
      <c r="C827" s="8">
        <f>DATE(2012,12,31)-788</f>
        <v>40486</v>
      </c>
      <c r="D827" s="8" t="str">
        <f t="shared" si="16"/>
        <v>2010-11 (ноябрь 2010)</v>
      </c>
      <c r="E827" s="9" t="s">
        <v>30</v>
      </c>
      <c r="F827" s="7">
        <v>22</v>
      </c>
      <c r="G827" s="7">
        <v>4001.4684999999995</v>
      </c>
      <c r="H827" s="7">
        <v>0.02</v>
      </c>
      <c r="I827" s="9" t="s">
        <v>22</v>
      </c>
      <c r="J827" s="10">
        <v>884.90700000000004</v>
      </c>
      <c r="K827" s="11">
        <v>205.99</v>
      </c>
      <c r="L827" s="11">
        <v>3</v>
      </c>
      <c r="M827" s="9" t="s">
        <v>711</v>
      </c>
      <c r="N827" s="6" t="s">
        <v>703</v>
      </c>
      <c r="O827" s="6" t="s">
        <v>704</v>
      </c>
      <c r="P827" s="9" t="s">
        <v>60</v>
      </c>
      <c r="Q827" s="9" t="s">
        <v>42</v>
      </c>
      <c r="R827" s="9" t="s">
        <v>43</v>
      </c>
      <c r="S827" s="7" t="s">
        <v>764</v>
      </c>
      <c r="T827" s="9" t="s">
        <v>39</v>
      </c>
      <c r="U827" s="7">
        <v>0.57999999999999996</v>
      </c>
      <c r="V827" s="12">
        <f>C827+2</f>
        <v>40488</v>
      </c>
      <c r="W827">
        <f>IF(D827=' Pivot Tables'!$A$4,1,0)</f>
        <v>0</v>
      </c>
      <c r="X827">
        <f>IF(AND(LEFT(D827,4)+1=LEFT(' Pivot Tables'!$A$4,4)+0,RIGHT(LEFT(D827,7),2)=RIGHT(LEFT(' Pivot Tables'!$A$4,7),2)),1,0)</f>
        <v>0</v>
      </c>
      <c r="Y827" s="6">
        <f>1/COUNTIF(Таблица1[Order ID],Таблица1[[#This Row],[Order ID]])</f>
        <v>0.33333333333333331</v>
      </c>
      <c r="Z827" s="9">
        <f>1/COUNTIFS(Таблица1[Customer Name],Таблица1[[#This Row],[Customer Name]],Таблица1[Order-Year-Month],Таблица1[[#This Row],[Order-Year-Month]])</f>
        <v>0.25</v>
      </c>
    </row>
    <row r="828" spans="1:26" x14ac:dyDescent="0.2">
      <c r="A828" s="6">
        <v>4044</v>
      </c>
      <c r="B828" s="7">
        <v>28839</v>
      </c>
      <c r="C828" s="8">
        <f>DATE(2012,12,31)-1343</f>
        <v>39931</v>
      </c>
      <c r="D828" s="8" t="str">
        <f t="shared" si="16"/>
        <v>2009-04 (апрель 2009)</v>
      </c>
      <c r="E828" s="9" t="s">
        <v>21</v>
      </c>
      <c r="F828" s="7">
        <v>30</v>
      </c>
      <c r="G828" s="7">
        <v>102.95</v>
      </c>
      <c r="H828" s="7">
        <v>0.06</v>
      </c>
      <c r="I828" s="9" t="s">
        <v>56</v>
      </c>
      <c r="J828" s="10">
        <v>-175.86</v>
      </c>
      <c r="K828" s="11">
        <v>3.34</v>
      </c>
      <c r="L828" s="11">
        <v>7.49</v>
      </c>
      <c r="M828" s="9" t="s">
        <v>196</v>
      </c>
      <c r="N828" s="6" t="s">
        <v>703</v>
      </c>
      <c r="O828" s="6" t="s">
        <v>704</v>
      </c>
      <c r="P828" s="9" t="s">
        <v>25</v>
      </c>
      <c r="Q828" s="9" t="s">
        <v>26</v>
      </c>
      <c r="R828" s="9" t="s">
        <v>95</v>
      </c>
      <c r="S828" s="7" t="s">
        <v>765</v>
      </c>
      <c r="T828" s="9" t="s">
        <v>68</v>
      </c>
      <c r="U828" s="7">
        <v>0.54</v>
      </c>
      <c r="V828" s="12">
        <f>C828+2</f>
        <v>39933</v>
      </c>
      <c r="W828">
        <f>IF(D828=' Pivot Tables'!$A$4,1,0)</f>
        <v>0</v>
      </c>
      <c r="X828">
        <f>IF(AND(LEFT(D828,4)+1=LEFT(' Pivot Tables'!$A$4,4)+0,RIGHT(LEFT(D828,7),2)=RIGHT(LEFT(' Pivot Tables'!$A$4,7),2)),1,0)</f>
        <v>0</v>
      </c>
      <c r="Y828" s="6">
        <f>1/COUNTIF(Таблица1[Order ID],Таблица1[[#This Row],[Order ID]])</f>
        <v>1</v>
      </c>
      <c r="Z828" s="9">
        <f>1/COUNTIFS(Таблица1[Customer Name],Таблица1[[#This Row],[Customer Name]],Таблица1[Order-Year-Month],Таблица1[[#This Row],[Order-Year-Month]])</f>
        <v>1</v>
      </c>
    </row>
    <row r="829" spans="1:26" x14ac:dyDescent="0.2">
      <c r="A829" s="6">
        <v>4111</v>
      </c>
      <c r="B829" s="7">
        <v>29252</v>
      </c>
      <c r="C829" s="8">
        <f>DATE(2012,12,31)-1243</f>
        <v>40031</v>
      </c>
      <c r="D829" s="8" t="str">
        <f t="shared" si="16"/>
        <v>2009-08 (август 2009)</v>
      </c>
      <c r="E829" s="9" t="s">
        <v>21</v>
      </c>
      <c r="F829" s="7">
        <v>9</v>
      </c>
      <c r="G829" s="7">
        <v>65.81</v>
      </c>
      <c r="H829" s="7">
        <v>0.01</v>
      </c>
      <c r="I829" s="9" t="s">
        <v>22</v>
      </c>
      <c r="J829" s="10">
        <v>-15.44</v>
      </c>
      <c r="K829" s="11">
        <v>6.48</v>
      </c>
      <c r="L829" s="11">
        <v>5.19</v>
      </c>
      <c r="M829" s="9" t="s">
        <v>196</v>
      </c>
      <c r="N829" s="6" t="s">
        <v>703</v>
      </c>
      <c r="O829" s="6" t="s">
        <v>704</v>
      </c>
      <c r="P829" s="9" t="s">
        <v>25</v>
      </c>
      <c r="Q829" s="9" t="s">
        <v>26</v>
      </c>
      <c r="R829" s="9" t="s">
        <v>61</v>
      </c>
      <c r="S829" s="7" t="s">
        <v>635</v>
      </c>
      <c r="T829" s="9" t="s">
        <v>39</v>
      </c>
      <c r="U829" s="7">
        <v>0.37</v>
      </c>
      <c r="V829" s="12">
        <f>C829+4</f>
        <v>40035</v>
      </c>
      <c r="W829">
        <f>IF(D829=' Pivot Tables'!$A$4,1,0)</f>
        <v>0</v>
      </c>
      <c r="X829">
        <f>IF(AND(LEFT(D829,4)+1=LEFT(' Pivot Tables'!$A$4,4)+0,RIGHT(LEFT(D829,7),2)=RIGHT(LEFT(' Pivot Tables'!$A$4,7),2)),1,0)</f>
        <v>0</v>
      </c>
      <c r="Y829" s="6">
        <f>1/COUNTIF(Таблица1[Order ID],Таблица1[[#This Row],[Order ID]])</f>
        <v>1</v>
      </c>
      <c r="Z829" s="9">
        <f>1/COUNTIFS(Таблица1[Customer Name],Таблица1[[#This Row],[Customer Name]],Таблица1[Order-Year-Month],Таблица1[[#This Row],[Order-Year-Month]])</f>
        <v>1</v>
      </c>
    </row>
    <row r="830" spans="1:26" x14ac:dyDescent="0.2">
      <c r="A830" s="6">
        <v>4488</v>
      </c>
      <c r="B830" s="7">
        <v>31941</v>
      </c>
      <c r="C830" s="8">
        <f>DATE(2012,12,31)-1384</f>
        <v>39890</v>
      </c>
      <c r="D830" s="8" t="str">
        <f t="shared" si="16"/>
        <v>2009-03 (март 2009)</v>
      </c>
      <c r="E830" s="9" t="s">
        <v>63</v>
      </c>
      <c r="F830" s="7">
        <v>32</v>
      </c>
      <c r="G830" s="7">
        <v>2564.4499999999998</v>
      </c>
      <c r="H830" s="7">
        <v>0.01</v>
      </c>
      <c r="I830" s="9" t="s">
        <v>56</v>
      </c>
      <c r="J830" s="10">
        <v>650.73</v>
      </c>
      <c r="K830" s="11">
        <v>78.650000000000006</v>
      </c>
      <c r="L830" s="11">
        <v>13.99</v>
      </c>
      <c r="M830" s="9" t="s">
        <v>728</v>
      </c>
      <c r="N830" s="6" t="s">
        <v>703</v>
      </c>
      <c r="O830" s="6" t="s">
        <v>704</v>
      </c>
      <c r="P830" s="9" t="s">
        <v>25</v>
      </c>
      <c r="Q830" s="9" t="s">
        <v>26</v>
      </c>
      <c r="R830" s="9" t="s">
        <v>34</v>
      </c>
      <c r="S830" s="7" t="s">
        <v>495</v>
      </c>
      <c r="T830" s="9" t="s">
        <v>48</v>
      </c>
      <c r="U830" s="7">
        <v>0.52</v>
      </c>
      <c r="V830" s="12">
        <f>C830+1</f>
        <v>39891</v>
      </c>
      <c r="W830">
        <f>IF(D830=' Pivot Tables'!$A$4,1,0)</f>
        <v>0</v>
      </c>
      <c r="X830">
        <f>IF(AND(LEFT(D830,4)+1=LEFT(' Pivot Tables'!$A$4,4)+0,RIGHT(LEFT(D830,7),2)=RIGHT(LEFT(' Pivot Tables'!$A$4,7),2)),1,0)</f>
        <v>0</v>
      </c>
      <c r="Y830" s="6">
        <f>1/COUNTIF(Таблица1[Order ID],Таблица1[[#This Row],[Order ID]])</f>
        <v>0.5</v>
      </c>
      <c r="Z830" s="9">
        <f>1/COUNTIFS(Таблица1[Customer Name],Таблица1[[#This Row],[Customer Name]],Таблица1[Order-Year-Month],Таблица1[[#This Row],[Order-Year-Month]])</f>
        <v>0.5</v>
      </c>
    </row>
    <row r="831" spans="1:26" x14ac:dyDescent="0.2">
      <c r="A831" s="6">
        <v>4489</v>
      </c>
      <c r="B831" s="7">
        <v>31941</v>
      </c>
      <c r="C831" s="8">
        <f>DATE(2012,12,31)-1384</f>
        <v>39890</v>
      </c>
      <c r="D831" s="8" t="str">
        <f t="shared" si="16"/>
        <v>2009-03 (март 2009)</v>
      </c>
      <c r="E831" s="9" t="s">
        <v>63</v>
      </c>
      <c r="F831" s="7">
        <v>7</v>
      </c>
      <c r="G831" s="7">
        <v>53.55</v>
      </c>
      <c r="H831" s="7">
        <v>7.0000000000000007E-2</v>
      </c>
      <c r="I831" s="9" t="s">
        <v>22</v>
      </c>
      <c r="J831" s="10">
        <v>-43.5</v>
      </c>
      <c r="K831" s="11">
        <v>6.48</v>
      </c>
      <c r="L831" s="11">
        <v>9.68</v>
      </c>
      <c r="M831" s="9" t="s">
        <v>728</v>
      </c>
      <c r="N831" s="6" t="s">
        <v>703</v>
      </c>
      <c r="O831" s="6" t="s">
        <v>704</v>
      </c>
      <c r="P831" s="9" t="s">
        <v>25</v>
      </c>
      <c r="Q831" s="9" t="s">
        <v>26</v>
      </c>
      <c r="R831" s="9" t="s">
        <v>61</v>
      </c>
      <c r="S831" s="7" t="s">
        <v>766</v>
      </c>
      <c r="T831" s="9" t="s">
        <v>39</v>
      </c>
      <c r="U831" s="7">
        <v>0.36</v>
      </c>
      <c r="V831" s="12">
        <f>C831+2</f>
        <v>39892</v>
      </c>
      <c r="W831">
        <f>IF(D831=' Pivot Tables'!$A$4,1,0)</f>
        <v>0</v>
      </c>
      <c r="X831">
        <f>IF(AND(LEFT(D831,4)+1=LEFT(' Pivot Tables'!$A$4,4)+0,RIGHT(LEFT(D831,7),2)=RIGHT(LEFT(' Pivot Tables'!$A$4,7),2)),1,0)</f>
        <v>0</v>
      </c>
      <c r="Y831" s="6">
        <f>1/COUNTIF(Таблица1[Order ID],Таблица1[[#This Row],[Order ID]])</f>
        <v>0.5</v>
      </c>
      <c r="Z831" s="9">
        <f>1/COUNTIFS(Таблица1[Customer Name],Таблица1[[#This Row],[Customer Name]],Таблица1[Order-Year-Month],Таблица1[[#This Row],[Order-Year-Month]])</f>
        <v>0.5</v>
      </c>
    </row>
    <row r="832" spans="1:26" x14ac:dyDescent="0.2">
      <c r="A832" s="6">
        <v>4555</v>
      </c>
      <c r="B832" s="7">
        <v>32418</v>
      </c>
      <c r="C832" s="8">
        <f>DATE(2012,12,31)-1456</f>
        <v>39818</v>
      </c>
      <c r="D832" s="8" t="str">
        <f t="shared" si="16"/>
        <v>2009-01 (январь 2009)</v>
      </c>
      <c r="E832" s="9" t="s">
        <v>45</v>
      </c>
      <c r="F832" s="7">
        <v>5</v>
      </c>
      <c r="G832" s="7">
        <v>1244.19</v>
      </c>
      <c r="H832" s="7">
        <v>0.08</v>
      </c>
      <c r="I832" s="9" t="s">
        <v>31</v>
      </c>
      <c r="J832" s="10">
        <v>-131.31</v>
      </c>
      <c r="K832" s="11">
        <v>243.98</v>
      </c>
      <c r="L832" s="11">
        <v>43.32</v>
      </c>
      <c r="M832" s="9" t="s">
        <v>742</v>
      </c>
      <c r="N832" s="6" t="s">
        <v>703</v>
      </c>
      <c r="O832" s="6" t="s">
        <v>704</v>
      </c>
      <c r="P832" s="9" t="s">
        <v>41</v>
      </c>
      <c r="Q832" s="9" t="s">
        <v>49</v>
      </c>
      <c r="R832" s="9" t="s">
        <v>112</v>
      </c>
      <c r="S832" s="7" t="s">
        <v>237</v>
      </c>
      <c r="T832" s="9" t="s">
        <v>36</v>
      </c>
      <c r="U832" s="7">
        <v>0.55000000000000004</v>
      </c>
      <c r="V832" s="12">
        <f>C832+1</f>
        <v>39819</v>
      </c>
      <c r="W832">
        <f>IF(D832=' Pivot Tables'!$A$4,1,0)</f>
        <v>0</v>
      </c>
      <c r="X832">
        <f>IF(AND(LEFT(D832,4)+1=LEFT(' Pivot Tables'!$A$4,4)+0,RIGHT(LEFT(D832,7),2)=RIGHT(LEFT(' Pivot Tables'!$A$4,7),2)),1,0)</f>
        <v>1</v>
      </c>
      <c r="Y832" s="6">
        <f>1/COUNTIF(Таблица1[Order ID],Таблица1[[#This Row],[Order ID]])</f>
        <v>1</v>
      </c>
      <c r="Z832" s="9">
        <f>1/COUNTIFS(Таблица1[Customer Name],Таблица1[[#This Row],[Customer Name]],Таблица1[Order-Year-Month],Таблица1[[#This Row],[Order-Year-Month]])</f>
        <v>1</v>
      </c>
    </row>
    <row r="833" spans="1:26" x14ac:dyDescent="0.2">
      <c r="A833" s="6">
        <v>4813</v>
      </c>
      <c r="B833" s="7">
        <v>34241</v>
      </c>
      <c r="C833" s="8">
        <f>DATE(2012,12,31)-84</f>
        <v>41190</v>
      </c>
      <c r="D833" s="8" t="str">
        <f t="shared" si="16"/>
        <v>2012-10 (октябрь 2012)</v>
      </c>
      <c r="E833" s="9" t="s">
        <v>21</v>
      </c>
      <c r="F833" s="7">
        <v>4</v>
      </c>
      <c r="G833" s="7">
        <v>207.55</v>
      </c>
      <c r="H833" s="7">
        <v>0.08</v>
      </c>
      <c r="I833" s="9" t="s">
        <v>22</v>
      </c>
      <c r="J833" s="10">
        <v>16.23</v>
      </c>
      <c r="K833" s="11">
        <v>52.71</v>
      </c>
      <c r="L833" s="11">
        <v>2.5</v>
      </c>
      <c r="M833" s="9" t="s">
        <v>711</v>
      </c>
      <c r="N833" s="6" t="s">
        <v>703</v>
      </c>
      <c r="O833" s="6" t="s">
        <v>704</v>
      </c>
      <c r="P833" s="9" t="s">
        <v>60</v>
      </c>
      <c r="Q833" s="9" t="s">
        <v>26</v>
      </c>
      <c r="R833" s="9" t="s">
        <v>76</v>
      </c>
      <c r="S833" s="7" t="s">
        <v>767</v>
      </c>
      <c r="T833" s="9" t="s">
        <v>39</v>
      </c>
      <c r="U833" s="7">
        <v>0.36</v>
      </c>
      <c r="V833" s="12">
        <f>C833+0</f>
        <v>41190</v>
      </c>
      <c r="W833">
        <f>IF(D833=' Pivot Tables'!$A$4,1,0)</f>
        <v>0</v>
      </c>
      <c r="X833">
        <f>IF(AND(LEFT(D833,4)+1=LEFT(' Pivot Tables'!$A$4,4)+0,RIGHT(LEFT(D833,7),2)=RIGHT(LEFT(' Pivot Tables'!$A$4,7),2)),1,0)</f>
        <v>0</v>
      </c>
      <c r="Y833" s="6">
        <f>1/COUNTIF(Таблица1[Order ID],Таблица1[[#This Row],[Order ID]])</f>
        <v>1</v>
      </c>
      <c r="Z833" s="9">
        <f>1/COUNTIFS(Таблица1[Customer Name],Таблица1[[#This Row],[Customer Name]],Таблица1[Order-Year-Month],Таблица1[[#This Row],[Order-Year-Month]])</f>
        <v>0.33333333333333331</v>
      </c>
    </row>
    <row r="834" spans="1:26" x14ac:dyDescent="0.2">
      <c r="A834" s="6">
        <v>4893</v>
      </c>
      <c r="B834" s="7">
        <v>34816</v>
      </c>
      <c r="C834" s="8">
        <f>DATE(2012,12,31)-787</f>
        <v>40487</v>
      </c>
      <c r="D834" s="8" t="str">
        <f t="shared" si="16"/>
        <v>2010-11 (ноябрь 2010)</v>
      </c>
      <c r="E834" s="9" t="s">
        <v>45</v>
      </c>
      <c r="F834" s="7">
        <v>29</v>
      </c>
      <c r="G834" s="7">
        <v>1158.45</v>
      </c>
      <c r="H834" s="7">
        <v>0.1</v>
      </c>
      <c r="I834" s="9" t="s">
        <v>22</v>
      </c>
      <c r="J834" s="10">
        <v>267.16000000000003</v>
      </c>
      <c r="K834" s="11">
        <v>41.71</v>
      </c>
      <c r="L834" s="11">
        <v>4.5</v>
      </c>
      <c r="M834" s="9" t="s">
        <v>734</v>
      </c>
      <c r="N834" s="6" t="s">
        <v>703</v>
      </c>
      <c r="O834" s="6" t="s">
        <v>704</v>
      </c>
      <c r="P834" s="9" t="s">
        <v>41</v>
      </c>
      <c r="Q834" s="9" t="s">
        <v>26</v>
      </c>
      <c r="R834" s="9" t="s">
        <v>34</v>
      </c>
      <c r="S834" s="7" t="s">
        <v>768</v>
      </c>
      <c r="T834" s="9" t="s">
        <v>39</v>
      </c>
      <c r="U834" s="7">
        <v>0.56000000000000005</v>
      </c>
      <c r="V834" s="12">
        <f>C834+0</f>
        <v>40487</v>
      </c>
      <c r="W834">
        <f>IF(D834=' Pivot Tables'!$A$4,1,0)</f>
        <v>0</v>
      </c>
      <c r="X834">
        <f>IF(AND(LEFT(D834,4)+1=LEFT(' Pivot Tables'!$A$4,4)+0,RIGHT(LEFT(D834,7),2)=RIGHT(LEFT(' Pivot Tables'!$A$4,7),2)),1,0)</f>
        <v>0</v>
      </c>
      <c r="Y834" s="6">
        <f>1/COUNTIF(Таблица1[Order ID],Таблица1[[#This Row],[Order ID]])</f>
        <v>0.5</v>
      </c>
      <c r="Z834" s="9">
        <f>1/COUNTIFS(Таблица1[Customer Name],Таблица1[[#This Row],[Customer Name]],Таблица1[Order-Year-Month],Таблица1[[#This Row],[Order-Year-Month]])</f>
        <v>0.5</v>
      </c>
    </row>
    <row r="835" spans="1:26" x14ac:dyDescent="0.2">
      <c r="A835" s="6">
        <v>4894</v>
      </c>
      <c r="B835" s="7">
        <v>34816</v>
      </c>
      <c r="C835" s="8">
        <f>DATE(2012,12,31)-787</f>
        <v>40487</v>
      </c>
      <c r="D835" s="8" t="str">
        <f t="shared" ref="D835:D898" si="18">TEXT(C835,"гггг-ММ (ММММ гггг)")</f>
        <v>2010-11 (ноябрь 2010)</v>
      </c>
      <c r="E835" s="9" t="s">
        <v>45</v>
      </c>
      <c r="F835" s="7">
        <v>43</v>
      </c>
      <c r="G835" s="7">
        <v>2568.71</v>
      </c>
      <c r="H835" s="7">
        <v>0.1</v>
      </c>
      <c r="I835" s="9" t="s">
        <v>22</v>
      </c>
      <c r="J835" s="10">
        <v>590.77</v>
      </c>
      <c r="K835" s="11">
        <v>60.98</v>
      </c>
      <c r="L835" s="11">
        <v>19.989999999999998</v>
      </c>
      <c r="M835" s="9" t="s">
        <v>734</v>
      </c>
      <c r="N835" s="6" t="s">
        <v>703</v>
      </c>
      <c r="O835" s="6" t="s">
        <v>704</v>
      </c>
      <c r="P835" s="9" t="s">
        <v>41</v>
      </c>
      <c r="Q835" s="9" t="s">
        <v>26</v>
      </c>
      <c r="R835" s="9" t="s">
        <v>76</v>
      </c>
      <c r="S835" s="7" t="s">
        <v>769</v>
      </c>
      <c r="T835" s="9" t="s">
        <v>39</v>
      </c>
      <c r="U835" s="7">
        <v>0.38</v>
      </c>
      <c r="V835" s="12">
        <f>C835+2</f>
        <v>40489</v>
      </c>
      <c r="W835">
        <f>IF(D835=' Pivot Tables'!$A$4,1,0)</f>
        <v>0</v>
      </c>
      <c r="X835">
        <f>IF(AND(LEFT(D835,4)+1=LEFT(' Pivot Tables'!$A$4,4)+0,RIGHT(LEFT(D835,7),2)=RIGHT(LEFT(' Pivot Tables'!$A$4,7),2)),1,0)</f>
        <v>0</v>
      </c>
      <c r="Y835" s="6">
        <f>1/COUNTIF(Таблица1[Order ID],Таблица1[[#This Row],[Order ID]])</f>
        <v>0.5</v>
      </c>
      <c r="Z835" s="9">
        <f>1/COUNTIFS(Таблица1[Customer Name],Таблица1[[#This Row],[Customer Name]],Таблица1[Order-Year-Month],Таблица1[[#This Row],[Order-Year-Month]])</f>
        <v>0.5</v>
      </c>
    </row>
    <row r="836" spans="1:26" x14ac:dyDescent="0.2">
      <c r="A836" s="6">
        <v>4917</v>
      </c>
      <c r="B836" s="7">
        <v>35011</v>
      </c>
      <c r="C836" s="8">
        <f>DATE(2012,12,31)-21</f>
        <v>41253</v>
      </c>
      <c r="D836" s="8" t="str">
        <f t="shared" si="18"/>
        <v>2012-12 (декабрь 2012)</v>
      </c>
      <c r="E836" s="9" t="s">
        <v>45</v>
      </c>
      <c r="F836" s="7">
        <v>14</v>
      </c>
      <c r="G836" s="7">
        <v>154.44999999999999</v>
      </c>
      <c r="H836" s="7">
        <v>0.09</v>
      </c>
      <c r="I836" s="9" t="s">
        <v>22</v>
      </c>
      <c r="J836" s="10">
        <v>-2.31</v>
      </c>
      <c r="K836" s="11">
        <v>10.98</v>
      </c>
      <c r="L836" s="11">
        <v>3.37</v>
      </c>
      <c r="M836" s="9" t="s">
        <v>755</v>
      </c>
      <c r="N836" s="6" t="s">
        <v>703</v>
      </c>
      <c r="O836" s="6" t="s">
        <v>704</v>
      </c>
      <c r="P836" s="9" t="s">
        <v>41</v>
      </c>
      <c r="Q836" s="9" t="s">
        <v>26</v>
      </c>
      <c r="R836" s="9" t="s">
        <v>150</v>
      </c>
      <c r="S836" s="7" t="s">
        <v>465</v>
      </c>
      <c r="T836" s="9" t="s">
        <v>52</v>
      </c>
      <c r="U836" s="7">
        <v>0.56999999999999995</v>
      </c>
      <c r="V836" s="12">
        <f>C836+2</f>
        <v>41255</v>
      </c>
      <c r="W836">
        <f>IF(D836=' Pivot Tables'!$A$4,1,0)</f>
        <v>0</v>
      </c>
      <c r="X836">
        <f>IF(AND(LEFT(D836,4)+1=LEFT(' Pivot Tables'!$A$4,4)+0,RIGHT(LEFT(D836,7),2)=RIGHT(LEFT(' Pivot Tables'!$A$4,7),2)),1,0)</f>
        <v>0</v>
      </c>
      <c r="Y836" s="6">
        <f>1/COUNTIF(Таблица1[Order ID],Таблица1[[#This Row],[Order ID]])</f>
        <v>1</v>
      </c>
      <c r="Z836" s="9">
        <f>1/COUNTIFS(Таблица1[Customer Name],Таблица1[[#This Row],[Customer Name]],Таблица1[Order-Year-Month],Таблица1[[#This Row],[Order-Year-Month]])</f>
        <v>0.33333333333333331</v>
      </c>
    </row>
    <row r="837" spans="1:26" x14ac:dyDescent="0.2">
      <c r="A837" s="6">
        <v>5058</v>
      </c>
      <c r="B837" s="7">
        <v>36068</v>
      </c>
      <c r="C837" s="8">
        <f>DATE(2012,12,31)-1425</f>
        <v>39849</v>
      </c>
      <c r="D837" s="8" t="str">
        <f t="shared" si="18"/>
        <v>2009-02 (февраль 2009)</v>
      </c>
      <c r="E837" s="9" t="s">
        <v>78</v>
      </c>
      <c r="F837" s="7">
        <v>23</v>
      </c>
      <c r="G837" s="7">
        <v>6133.18</v>
      </c>
      <c r="H837" s="7">
        <v>0.06</v>
      </c>
      <c r="I837" s="9" t="s">
        <v>31</v>
      </c>
      <c r="J837" s="10">
        <v>1243.17</v>
      </c>
      <c r="K837" s="11">
        <v>279.81</v>
      </c>
      <c r="L837" s="11">
        <v>23.19</v>
      </c>
      <c r="M837" s="9" t="s">
        <v>196</v>
      </c>
      <c r="N837" s="6" t="s">
        <v>703</v>
      </c>
      <c r="O837" s="6" t="s">
        <v>704</v>
      </c>
      <c r="P837" s="9" t="s">
        <v>25</v>
      </c>
      <c r="Q837" s="9" t="s">
        <v>26</v>
      </c>
      <c r="R837" s="9" t="s">
        <v>34</v>
      </c>
      <c r="S837" s="7" t="s">
        <v>494</v>
      </c>
      <c r="T837" s="9" t="s">
        <v>36</v>
      </c>
      <c r="U837" s="7">
        <v>0.59</v>
      </c>
      <c r="V837" s="12">
        <f>C837+1</f>
        <v>39850</v>
      </c>
      <c r="W837">
        <f>IF(D837=' Pivot Tables'!$A$4,1,0)</f>
        <v>0</v>
      </c>
      <c r="X837">
        <f>IF(AND(LEFT(D837,4)+1=LEFT(' Pivot Tables'!$A$4,4)+0,RIGHT(LEFT(D837,7),2)=RIGHT(LEFT(' Pivot Tables'!$A$4,7),2)),1,0)</f>
        <v>0</v>
      </c>
      <c r="Y837" s="6">
        <f>1/COUNTIF(Таблица1[Order ID],Таблица1[[#This Row],[Order ID]])</f>
        <v>1</v>
      </c>
      <c r="Z837" s="9">
        <f>1/COUNTIFS(Таблица1[Customer Name],Таблица1[[#This Row],[Customer Name]],Таблица1[Order-Year-Month],Таблица1[[#This Row],[Order-Year-Month]])</f>
        <v>0.33333333333333331</v>
      </c>
    </row>
    <row r="838" spans="1:26" x14ac:dyDescent="0.2">
      <c r="A838" s="6">
        <v>5196</v>
      </c>
      <c r="B838" s="7">
        <v>36930</v>
      </c>
      <c r="C838" s="8">
        <f>DATE(2012,12,31)-460</f>
        <v>40814</v>
      </c>
      <c r="D838" s="8" t="str">
        <f t="shared" si="18"/>
        <v>2011-09 (сентябрь 2011)</v>
      </c>
      <c r="E838" s="9" t="s">
        <v>63</v>
      </c>
      <c r="F838" s="7">
        <v>34</v>
      </c>
      <c r="G838" s="7">
        <v>2632.4755</v>
      </c>
      <c r="H838" s="7">
        <v>0.01</v>
      </c>
      <c r="I838" s="9" t="s">
        <v>22</v>
      </c>
      <c r="J838" s="10">
        <v>1325.817</v>
      </c>
      <c r="K838" s="11">
        <v>85.99</v>
      </c>
      <c r="L838" s="11">
        <v>3.3</v>
      </c>
      <c r="M838" s="9" t="s">
        <v>747</v>
      </c>
      <c r="N838" s="6" t="s">
        <v>703</v>
      </c>
      <c r="O838" s="6" t="s">
        <v>704</v>
      </c>
      <c r="P838" s="9" t="s">
        <v>60</v>
      </c>
      <c r="Q838" s="9" t="s">
        <v>42</v>
      </c>
      <c r="R838" s="9" t="s">
        <v>43</v>
      </c>
      <c r="S838" s="7" t="s">
        <v>770</v>
      </c>
      <c r="T838" s="9" t="s">
        <v>52</v>
      </c>
      <c r="U838" s="7">
        <v>0.37</v>
      </c>
      <c r="V838" s="12">
        <f>C838+2</f>
        <v>40816</v>
      </c>
      <c r="W838">
        <f>IF(D838=' Pivot Tables'!$A$4,1,0)</f>
        <v>0</v>
      </c>
      <c r="X838">
        <f>IF(AND(LEFT(D838,4)+1=LEFT(' Pivot Tables'!$A$4,4)+0,RIGHT(LEFT(D838,7),2)=RIGHT(LEFT(' Pivot Tables'!$A$4,7),2)),1,0)</f>
        <v>0</v>
      </c>
      <c r="Y838" s="6">
        <f>1/COUNTIF(Таблица1[Order ID],Таблица1[[#This Row],[Order ID]])</f>
        <v>1</v>
      </c>
      <c r="Z838" s="9">
        <f>1/COUNTIFS(Таблица1[Customer Name],Таблица1[[#This Row],[Customer Name]],Таблица1[Order-Year-Month],Таблица1[[#This Row],[Order-Year-Month]])</f>
        <v>1</v>
      </c>
    </row>
    <row r="839" spans="1:26" x14ac:dyDescent="0.2">
      <c r="A839" s="6">
        <v>5245</v>
      </c>
      <c r="B839" s="7">
        <v>37315</v>
      </c>
      <c r="C839" s="8">
        <f>DATE(2012,12,31)-209</f>
        <v>41065</v>
      </c>
      <c r="D839" s="8" t="str">
        <f t="shared" si="18"/>
        <v>2012-06 (июнь 2012)</v>
      </c>
      <c r="E839" s="9" t="s">
        <v>21</v>
      </c>
      <c r="F839" s="7">
        <v>43</v>
      </c>
      <c r="G839" s="7">
        <v>170.81</v>
      </c>
      <c r="H839" s="7">
        <v>0.1</v>
      </c>
      <c r="I839" s="9" t="s">
        <v>22</v>
      </c>
      <c r="J839" s="10">
        <v>-133.68</v>
      </c>
      <c r="K839" s="11">
        <v>4.28</v>
      </c>
      <c r="L839" s="11">
        <v>5.17</v>
      </c>
      <c r="M839" s="9" t="s">
        <v>755</v>
      </c>
      <c r="N839" s="6" t="s">
        <v>703</v>
      </c>
      <c r="O839" s="6" t="s">
        <v>704</v>
      </c>
      <c r="P839" s="9" t="s">
        <v>41</v>
      </c>
      <c r="Q839" s="9" t="s">
        <v>26</v>
      </c>
      <c r="R839" s="9" t="s">
        <v>61</v>
      </c>
      <c r="S839" s="7" t="s">
        <v>266</v>
      </c>
      <c r="T839" s="9" t="s">
        <v>39</v>
      </c>
      <c r="U839" s="7">
        <v>0.4</v>
      </c>
      <c r="V839" s="12">
        <f>C839+7</f>
        <v>41072</v>
      </c>
      <c r="W839">
        <f>IF(D839=' Pivot Tables'!$A$4,1,0)</f>
        <v>0</v>
      </c>
      <c r="X839">
        <f>IF(AND(LEFT(D839,4)+1=LEFT(' Pivot Tables'!$A$4,4)+0,RIGHT(LEFT(D839,7),2)=RIGHT(LEFT(' Pivot Tables'!$A$4,7),2)),1,0)</f>
        <v>0</v>
      </c>
      <c r="Y839" s="6">
        <f>1/COUNTIF(Таблица1[Order ID],Таблица1[[#This Row],[Order ID]])</f>
        <v>0.5</v>
      </c>
      <c r="Z839" s="9">
        <f>1/COUNTIFS(Таблица1[Customer Name],Таблица1[[#This Row],[Customer Name]],Таблица1[Order-Year-Month],Таблица1[[#This Row],[Order-Year-Month]])</f>
        <v>0.5</v>
      </c>
    </row>
    <row r="840" spans="1:26" x14ac:dyDescent="0.2">
      <c r="A840" s="6">
        <v>5246</v>
      </c>
      <c r="B840" s="7">
        <v>37315</v>
      </c>
      <c r="C840" s="8">
        <f>DATE(2012,12,31)-209</f>
        <v>41065</v>
      </c>
      <c r="D840" s="8" t="str">
        <f t="shared" si="18"/>
        <v>2012-06 (июнь 2012)</v>
      </c>
      <c r="E840" s="9" t="s">
        <v>21</v>
      </c>
      <c r="F840" s="7">
        <v>31</v>
      </c>
      <c r="G840" s="7">
        <v>4726.5949999999993</v>
      </c>
      <c r="H840" s="7">
        <v>0.05</v>
      </c>
      <c r="I840" s="9" t="s">
        <v>56</v>
      </c>
      <c r="J840" s="10">
        <v>1176.48</v>
      </c>
      <c r="K840" s="11">
        <v>175.99</v>
      </c>
      <c r="L840" s="11">
        <v>4.99</v>
      </c>
      <c r="M840" s="9" t="s">
        <v>755</v>
      </c>
      <c r="N840" s="6" t="s">
        <v>703</v>
      </c>
      <c r="O840" s="6" t="s">
        <v>704</v>
      </c>
      <c r="P840" s="9" t="s">
        <v>41</v>
      </c>
      <c r="Q840" s="9" t="s">
        <v>42</v>
      </c>
      <c r="R840" s="9" t="s">
        <v>43</v>
      </c>
      <c r="S840" s="7" t="s">
        <v>771</v>
      </c>
      <c r="T840" s="9" t="s">
        <v>39</v>
      </c>
      <c r="U840" s="7">
        <v>0.59</v>
      </c>
      <c r="V840" s="12">
        <f>C840+7</f>
        <v>41072</v>
      </c>
      <c r="W840">
        <f>IF(D840=' Pivot Tables'!$A$4,1,0)</f>
        <v>0</v>
      </c>
      <c r="X840">
        <f>IF(AND(LEFT(D840,4)+1=LEFT(' Pivot Tables'!$A$4,4)+0,RIGHT(LEFT(D840,7),2)=RIGHT(LEFT(' Pivot Tables'!$A$4,7),2)),1,0)</f>
        <v>0</v>
      </c>
      <c r="Y840" s="6">
        <f>1/COUNTIF(Таблица1[Order ID],Таблица1[[#This Row],[Order ID]])</f>
        <v>0.5</v>
      </c>
      <c r="Z840" s="9">
        <f>1/COUNTIFS(Таблица1[Customer Name],Таблица1[[#This Row],[Customer Name]],Таблица1[Order-Year-Month],Таблица1[[#This Row],[Order-Year-Month]])</f>
        <v>0.5</v>
      </c>
    </row>
    <row r="841" spans="1:26" x14ac:dyDescent="0.2">
      <c r="A841" s="6">
        <v>5340</v>
      </c>
      <c r="B841" s="7">
        <v>37925</v>
      </c>
      <c r="C841" s="8">
        <f>DATE(2012,12,31)-827</f>
        <v>40447</v>
      </c>
      <c r="D841" s="8" t="str">
        <f t="shared" si="18"/>
        <v>2010-09 (сентябрь 2010)</v>
      </c>
      <c r="E841" s="9" t="s">
        <v>63</v>
      </c>
      <c r="F841" s="7">
        <v>46</v>
      </c>
      <c r="G841" s="7">
        <v>3780.16</v>
      </c>
      <c r="H841" s="7">
        <v>0.1</v>
      </c>
      <c r="I841" s="9" t="s">
        <v>31</v>
      </c>
      <c r="J841" s="10">
        <v>1265.82</v>
      </c>
      <c r="K841" s="11">
        <v>90.97</v>
      </c>
      <c r="L841" s="11">
        <v>14</v>
      </c>
      <c r="M841" s="9" t="s">
        <v>755</v>
      </c>
      <c r="N841" s="6" t="s">
        <v>703</v>
      </c>
      <c r="O841" s="6" t="s">
        <v>704</v>
      </c>
      <c r="P841" s="9" t="s">
        <v>41</v>
      </c>
      <c r="Q841" s="9" t="s">
        <v>42</v>
      </c>
      <c r="R841" s="9" t="s">
        <v>210</v>
      </c>
      <c r="S841" s="7" t="s">
        <v>772</v>
      </c>
      <c r="T841" s="9" t="s">
        <v>36</v>
      </c>
      <c r="U841" s="7">
        <v>0.36</v>
      </c>
      <c r="V841" s="12">
        <f>C841+1</f>
        <v>40448</v>
      </c>
      <c r="W841">
        <f>IF(D841=' Pivot Tables'!$A$4,1,0)</f>
        <v>0</v>
      </c>
      <c r="X841">
        <f>IF(AND(LEFT(D841,4)+1=LEFT(' Pivot Tables'!$A$4,4)+0,RIGHT(LEFT(D841,7),2)=RIGHT(LEFT(' Pivot Tables'!$A$4,7),2)),1,0)</f>
        <v>0</v>
      </c>
      <c r="Y841" s="6">
        <f>1/COUNTIF(Таблица1[Order ID],Таблица1[[#This Row],[Order ID]])</f>
        <v>0.5</v>
      </c>
      <c r="Z841" s="9">
        <f>1/COUNTIFS(Таблица1[Customer Name],Таблица1[[#This Row],[Customer Name]],Таблица1[Order-Year-Month],Таблица1[[#This Row],[Order-Year-Month]])</f>
        <v>0.5</v>
      </c>
    </row>
    <row r="842" spans="1:26" x14ac:dyDescent="0.2">
      <c r="A842" s="6">
        <v>5341</v>
      </c>
      <c r="B842" s="7">
        <v>37925</v>
      </c>
      <c r="C842" s="8">
        <f>DATE(2012,12,31)-827</f>
        <v>40447</v>
      </c>
      <c r="D842" s="8" t="str">
        <f t="shared" si="18"/>
        <v>2010-09 (сентябрь 2010)</v>
      </c>
      <c r="E842" s="9" t="s">
        <v>63</v>
      </c>
      <c r="F842" s="7">
        <v>31</v>
      </c>
      <c r="G842" s="7">
        <v>1784.048</v>
      </c>
      <c r="H842" s="7">
        <v>0.05</v>
      </c>
      <c r="I842" s="9" t="s">
        <v>22</v>
      </c>
      <c r="J842" s="10">
        <v>394.452</v>
      </c>
      <c r="K842" s="11">
        <v>65.989999999999995</v>
      </c>
      <c r="L842" s="11">
        <v>3.99</v>
      </c>
      <c r="M842" s="9" t="s">
        <v>755</v>
      </c>
      <c r="N842" s="6" t="s">
        <v>703</v>
      </c>
      <c r="O842" s="6" t="s">
        <v>704</v>
      </c>
      <c r="P842" s="9" t="s">
        <v>41</v>
      </c>
      <c r="Q842" s="9" t="s">
        <v>42</v>
      </c>
      <c r="R842" s="9" t="s">
        <v>43</v>
      </c>
      <c r="S842" s="7" t="s">
        <v>582</v>
      </c>
      <c r="T842" s="9" t="s">
        <v>39</v>
      </c>
      <c r="U842" s="7">
        <v>0.59</v>
      </c>
      <c r="V842" s="12">
        <f>C842+1</f>
        <v>40448</v>
      </c>
      <c r="W842">
        <f>IF(D842=' Pivot Tables'!$A$4,1,0)</f>
        <v>0</v>
      </c>
      <c r="X842">
        <f>IF(AND(LEFT(D842,4)+1=LEFT(' Pivot Tables'!$A$4,4)+0,RIGHT(LEFT(D842,7),2)=RIGHT(LEFT(' Pivot Tables'!$A$4,7),2)),1,0)</f>
        <v>0</v>
      </c>
      <c r="Y842" s="6">
        <f>1/COUNTIF(Таблица1[Order ID],Таблица1[[#This Row],[Order ID]])</f>
        <v>0.5</v>
      </c>
      <c r="Z842" s="9">
        <f>1/COUNTIFS(Таблица1[Customer Name],Таблица1[[#This Row],[Customer Name]],Таблица1[Order-Year-Month],Таблица1[[#This Row],[Order-Year-Month]])</f>
        <v>0.5</v>
      </c>
    </row>
    <row r="843" spans="1:26" x14ac:dyDescent="0.2">
      <c r="A843" s="6">
        <v>5351</v>
      </c>
      <c r="B843" s="7">
        <v>38021</v>
      </c>
      <c r="C843" s="8">
        <f>DATE(2012,12,31)-1440</f>
        <v>39834</v>
      </c>
      <c r="D843" s="8" t="str">
        <f t="shared" si="18"/>
        <v>2009-01 (январь 2009)</v>
      </c>
      <c r="E843" s="9" t="s">
        <v>63</v>
      </c>
      <c r="F843" s="7">
        <v>46</v>
      </c>
      <c r="G843" s="7">
        <v>1482.01</v>
      </c>
      <c r="H843" s="7">
        <v>0.02</v>
      </c>
      <c r="I843" s="9" t="s">
        <v>22</v>
      </c>
      <c r="J843" s="10">
        <v>709.32500000000005</v>
      </c>
      <c r="K843" s="11">
        <v>30.44</v>
      </c>
      <c r="L843" s="11">
        <v>1.49</v>
      </c>
      <c r="M843" s="9" t="s">
        <v>716</v>
      </c>
      <c r="N843" s="6" t="s">
        <v>703</v>
      </c>
      <c r="O843" s="6" t="s">
        <v>704</v>
      </c>
      <c r="P843" s="9" t="s">
        <v>41</v>
      </c>
      <c r="Q843" s="9" t="s">
        <v>26</v>
      </c>
      <c r="R843" s="9" t="s">
        <v>37</v>
      </c>
      <c r="S843" s="7" t="s">
        <v>773</v>
      </c>
      <c r="T843" s="9" t="s">
        <v>39</v>
      </c>
      <c r="U843" s="7">
        <v>0.37</v>
      </c>
      <c r="V843" s="12">
        <f>C843+2</f>
        <v>39836</v>
      </c>
      <c r="W843">
        <f>IF(D843=' Pivot Tables'!$A$4,1,0)</f>
        <v>0</v>
      </c>
      <c r="X843">
        <f>IF(AND(LEFT(D843,4)+1=LEFT(' Pivot Tables'!$A$4,4)+0,RIGHT(LEFT(D843,7),2)=RIGHT(LEFT(' Pivot Tables'!$A$4,7),2)),1,0)</f>
        <v>1</v>
      </c>
      <c r="Y843" s="6">
        <f>1/COUNTIF(Таблица1[Order ID],Таблица1[[#This Row],[Order ID]])</f>
        <v>0.33333333333333331</v>
      </c>
      <c r="Z843" s="9">
        <f>1/COUNTIFS(Таблица1[Customer Name],Таблица1[[#This Row],[Customer Name]],Таблица1[Order-Year-Month],Таблица1[[#This Row],[Order-Year-Month]])</f>
        <v>0.25</v>
      </c>
    </row>
    <row r="844" spans="1:26" x14ac:dyDescent="0.2">
      <c r="A844" s="6">
        <v>5389</v>
      </c>
      <c r="B844" s="7">
        <v>38336</v>
      </c>
      <c r="C844" s="8">
        <f>DATE(2012,12,31)-87</f>
        <v>41187</v>
      </c>
      <c r="D844" s="8" t="str">
        <f t="shared" si="18"/>
        <v>2012-10 (октябрь 2012)</v>
      </c>
      <c r="E844" s="9" t="s">
        <v>78</v>
      </c>
      <c r="F844" s="7">
        <v>14</v>
      </c>
      <c r="G844" s="7">
        <v>91.75</v>
      </c>
      <c r="H844" s="7">
        <v>7.0000000000000007E-2</v>
      </c>
      <c r="I844" s="9" t="s">
        <v>22</v>
      </c>
      <c r="J844" s="10">
        <v>2.8220000000000001</v>
      </c>
      <c r="K844" s="11">
        <v>6.75</v>
      </c>
      <c r="L844" s="11">
        <v>2.99</v>
      </c>
      <c r="M844" s="9" t="s">
        <v>708</v>
      </c>
      <c r="N844" s="6" t="s">
        <v>703</v>
      </c>
      <c r="O844" s="6" t="s">
        <v>704</v>
      </c>
      <c r="P844" s="9" t="s">
        <v>41</v>
      </c>
      <c r="Q844" s="9" t="s">
        <v>26</v>
      </c>
      <c r="R844" s="9" t="s">
        <v>37</v>
      </c>
      <c r="S844" s="7" t="s">
        <v>362</v>
      </c>
      <c r="T844" s="9" t="s">
        <v>39</v>
      </c>
      <c r="U844" s="7">
        <v>0.35</v>
      </c>
      <c r="V844" s="12">
        <f>C844+1</f>
        <v>41188</v>
      </c>
      <c r="W844">
        <f>IF(D844=' Pivot Tables'!$A$4,1,0)</f>
        <v>0</v>
      </c>
      <c r="X844">
        <f>IF(AND(LEFT(D844,4)+1=LEFT(' Pivot Tables'!$A$4,4)+0,RIGHT(LEFT(D844,7),2)=RIGHT(LEFT(' Pivot Tables'!$A$4,7),2)),1,0)</f>
        <v>0</v>
      </c>
      <c r="Y844" s="6">
        <f>1/COUNTIF(Таблица1[Order ID],Таблица1[[#This Row],[Order ID]])</f>
        <v>0.5</v>
      </c>
      <c r="Z844" s="9">
        <f>1/COUNTIFS(Таблица1[Customer Name],Таблица1[[#This Row],[Customer Name]],Таблица1[Order-Year-Month],Таблица1[[#This Row],[Order-Year-Month]])</f>
        <v>0.5</v>
      </c>
    </row>
    <row r="845" spans="1:26" x14ac:dyDescent="0.2">
      <c r="A845" s="6">
        <v>5390</v>
      </c>
      <c r="B845" s="7">
        <v>38336</v>
      </c>
      <c r="C845" s="8">
        <f>DATE(2012,12,31)-87</f>
        <v>41187</v>
      </c>
      <c r="D845" s="8" t="str">
        <f t="shared" si="18"/>
        <v>2012-10 (октябрь 2012)</v>
      </c>
      <c r="E845" s="9" t="s">
        <v>78</v>
      </c>
      <c r="F845" s="7">
        <v>31</v>
      </c>
      <c r="G845" s="7">
        <v>346.57</v>
      </c>
      <c r="H845" s="7">
        <v>0</v>
      </c>
      <c r="I845" s="9" t="s">
        <v>22</v>
      </c>
      <c r="J845" s="10">
        <v>-116.45</v>
      </c>
      <c r="K845" s="11">
        <v>10.97</v>
      </c>
      <c r="L845" s="11">
        <v>6.5</v>
      </c>
      <c r="M845" s="9" t="s">
        <v>708</v>
      </c>
      <c r="N845" s="6" t="s">
        <v>703</v>
      </c>
      <c r="O845" s="6" t="s">
        <v>704</v>
      </c>
      <c r="P845" s="9" t="s">
        <v>41</v>
      </c>
      <c r="Q845" s="9" t="s">
        <v>42</v>
      </c>
      <c r="R845" s="9" t="s">
        <v>70</v>
      </c>
      <c r="S845" s="7" t="s">
        <v>336</v>
      </c>
      <c r="T845" s="9" t="s">
        <v>39</v>
      </c>
      <c r="U845" s="7">
        <v>0.64</v>
      </c>
      <c r="V845" s="12">
        <f>C845+1</f>
        <v>41188</v>
      </c>
      <c r="W845">
        <f>IF(D845=' Pivot Tables'!$A$4,1,0)</f>
        <v>0</v>
      </c>
      <c r="X845">
        <f>IF(AND(LEFT(D845,4)+1=LEFT(' Pivot Tables'!$A$4,4)+0,RIGHT(LEFT(D845,7),2)=RIGHT(LEFT(' Pivot Tables'!$A$4,7),2)),1,0)</f>
        <v>0</v>
      </c>
      <c r="Y845" s="6">
        <f>1/COUNTIF(Таблица1[Order ID],Таблица1[[#This Row],[Order ID]])</f>
        <v>0.5</v>
      </c>
      <c r="Z845" s="9">
        <f>1/COUNTIFS(Таблица1[Customer Name],Таблица1[[#This Row],[Customer Name]],Таблица1[Order-Year-Month],Таблица1[[#This Row],[Order-Year-Month]])</f>
        <v>0.5</v>
      </c>
    </row>
    <row r="846" spans="1:26" x14ac:dyDescent="0.2">
      <c r="A846" s="6">
        <v>5430</v>
      </c>
      <c r="B846" s="7">
        <v>38565</v>
      </c>
      <c r="C846" s="8">
        <f>DATE(2012,12,31)-1377</f>
        <v>39897</v>
      </c>
      <c r="D846" s="8" t="str">
        <f t="shared" si="18"/>
        <v>2009-03 (март 2009)</v>
      </c>
      <c r="E846" s="9" t="s">
        <v>78</v>
      </c>
      <c r="F846" s="7">
        <v>20</v>
      </c>
      <c r="G846" s="7">
        <v>234.09</v>
      </c>
      <c r="H846" s="7">
        <v>0.01</v>
      </c>
      <c r="I846" s="9" t="s">
        <v>56</v>
      </c>
      <c r="J846" s="10">
        <v>-11.69</v>
      </c>
      <c r="K846" s="11">
        <v>10.64</v>
      </c>
      <c r="L846" s="11">
        <v>5.16</v>
      </c>
      <c r="M846" s="9" t="s">
        <v>715</v>
      </c>
      <c r="N846" s="6" t="s">
        <v>703</v>
      </c>
      <c r="O846" s="6" t="s">
        <v>704</v>
      </c>
      <c r="P846" s="9" t="s">
        <v>41</v>
      </c>
      <c r="Q846" s="9" t="s">
        <v>49</v>
      </c>
      <c r="R846" s="9" t="s">
        <v>50</v>
      </c>
      <c r="S846" s="7" t="s">
        <v>593</v>
      </c>
      <c r="T846" s="9" t="s">
        <v>39</v>
      </c>
      <c r="U846" s="7">
        <v>0.56999999999999995</v>
      </c>
      <c r="V846" s="12">
        <f>C846+2</f>
        <v>39899</v>
      </c>
      <c r="W846">
        <f>IF(D846=' Pivot Tables'!$A$4,1,0)</f>
        <v>0</v>
      </c>
      <c r="X846">
        <f>IF(AND(LEFT(D846,4)+1=LEFT(' Pivot Tables'!$A$4,4)+0,RIGHT(LEFT(D846,7),2)=RIGHT(LEFT(' Pivot Tables'!$A$4,7),2)),1,0)</f>
        <v>0</v>
      </c>
      <c r="Y846" s="6">
        <f>1/COUNTIF(Таблица1[Order ID],Таблица1[[#This Row],[Order ID]])</f>
        <v>1</v>
      </c>
      <c r="Z846" s="9">
        <f>1/COUNTIFS(Таблица1[Customer Name],Таблица1[[#This Row],[Customer Name]],Таблица1[Order-Year-Month],Таблица1[[#This Row],[Order-Year-Month]])</f>
        <v>1</v>
      </c>
    </row>
    <row r="847" spans="1:26" x14ac:dyDescent="0.2">
      <c r="A847" s="6">
        <v>5615</v>
      </c>
      <c r="B847" s="7">
        <v>39783</v>
      </c>
      <c r="C847" s="8">
        <f>DATE(2012,12,31)-102</f>
        <v>41172</v>
      </c>
      <c r="D847" s="8" t="str">
        <f t="shared" si="18"/>
        <v>2012-09 (сентябрь 2012)</v>
      </c>
      <c r="E847" s="9" t="s">
        <v>45</v>
      </c>
      <c r="F847" s="7">
        <v>19</v>
      </c>
      <c r="G847" s="7">
        <v>82.43</v>
      </c>
      <c r="H847" s="7">
        <v>0.04</v>
      </c>
      <c r="I847" s="9" t="s">
        <v>22</v>
      </c>
      <c r="J847" s="10">
        <v>-94.76</v>
      </c>
      <c r="K847" s="11">
        <v>4.0599999999999996</v>
      </c>
      <c r="L847" s="11">
        <v>6.89</v>
      </c>
      <c r="M847" s="9" t="s">
        <v>734</v>
      </c>
      <c r="N847" s="6" t="s">
        <v>703</v>
      </c>
      <c r="O847" s="6" t="s">
        <v>704</v>
      </c>
      <c r="P847" s="9" t="s">
        <v>41</v>
      </c>
      <c r="Q847" s="9" t="s">
        <v>26</v>
      </c>
      <c r="R847" s="9" t="s">
        <v>34</v>
      </c>
      <c r="S847" s="7" t="s">
        <v>408</v>
      </c>
      <c r="T847" s="9" t="s">
        <v>39</v>
      </c>
      <c r="U847" s="7">
        <v>0.6</v>
      </c>
      <c r="V847" s="12">
        <f>C847+2</f>
        <v>41174</v>
      </c>
      <c r="W847">
        <f>IF(D847=' Pivot Tables'!$A$4,1,0)</f>
        <v>0</v>
      </c>
      <c r="X847">
        <f>IF(AND(LEFT(D847,4)+1=LEFT(' Pivot Tables'!$A$4,4)+0,RIGHT(LEFT(D847,7),2)=RIGHT(LEFT(' Pivot Tables'!$A$4,7),2)),1,0)</f>
        <v>0</v>
      </c>
      <c r="Y847" s="6">
        <f>1/COUNTIF(Таблица1[Order ID],Таблица1[[#This Row],[Order ID]])</f>
        <v>0.33333333333333331</v>
      </c>
      <c r="Z847" s="9">
        <f>1/COUNTIFS(Таблица1[Customer Name],Таблица1[[#This Row],[Customer Name]],Таблица1[Order-Year-Month],Таблица1[[#This Row],[Order-Year-Month]])</f>
        <v>0.33333333333333331</v>
      </c>
    </row>
    <row r="848" spans="1:26" x14ac:dyDescent="0.2">
      <c r="A848" s="6">
        <v>5616</v>
      </c>
      <c r="B848" s="7">
        <v>39783</v>
      </c>
      <c r="C848" s="8">
        <f>DATE(2012,12,31)-102</f>
        <v>41172</v>
      </c>
      <c r="D848" s="8" t="str">
        <f t="shared" si="18"/>
        <v>2012-09 (сентябрь 2012)</v>
      </c>
      <c r="E848" s="9" t="s">
        <v>45</v>
      </c>
      <c r="F848" s="7">
        <v>31</v>
      </c>
      <c r="G848" s="7">
        <v>295.97000000000003</v>
      </c>
      <c r="H848" s="7">
        <v>0.02</v>
      </c>
      <c r="I848" s="9" t="s">
        <v>22</v>
      </c>
      <c r="J848" s="10">
        <v>5.0149999999999997</v>
      </c>
      <c r="K848" s="11">
        <v>8.85</v>
      </c>
      <c r="L848" s="11">
        <v>5.6</v>
      </c>
      <c r="M848" s="9" t="s">
        <v>734</v>
      </c>
      <c r="N848" s="6" t="s">
        <v>703</v>
      </c>
      <c r="O848" s="6" t="s">
        <v>704</v>
      </c>
      <c r="P848" s="9" t="s">
        <v>41</v>
      </c>
      <c r="Q848" s="9" t="s">
        <v>26</v>
      </c>
      <c r="R848" s="9" t="s">
        <v>37</v>
      </c>
      <c r="S848" s="7" t="s">
        <v>298</v>
      </c>
      <c r="T848" s="9" t="s">
        <v>39</v>
      </c>
      <c r="U848" s="7">
        <v>0.36</v>
      </c>
      <c r="V848" s="12">
        <f>C848+2</f>
        <v>41174</v>
      </c>
      <c r="W848">
        <f>IF(D848=' Pivot Tables'!$A$4,1,0)</f>
        <v>0</v>
      </c>
      <c r="X848">
        <f>IF(AND(LEFT(D848,4)+1=LEFT(' Pivot Tables'!$A$4,4)+0,RIGHT(LEFT(D848,7),2)=RIGHT(LEFT(' Pivot Tables'!$A$4,7),2)),1,0)</f>
        <v>0</v>
      </c>
      <c r="Y848" s="6">
        <f>1/COUNTIF(Таблица1[Order ID],Таблица1[[#This Row],[Order ID]])</f>
        <v>0.33333333333333331</v>
      </c>
      <c r="Z848" s="9">
        <f>1/COUNTIFS(Таблица1[Customer Name],Таблица1[[#This Row],[Customer Name]],Таблица1[Order-Year-Month],Таблица1[[#This Row],[Order-Year-Month]])</f>
        <v>0.33333333333333331</v>
      </c>
    </row>
    <row r="849" spans="1:26" x14ac:dyDescent="0.2">
      <c r="A849" s="6">
        <v>5617</v>
      </c>
      <c r="B849" s="7">
        <v>39783</v>
      </c>
      <c r="C849" s="8">
        <f>DATE(2012,12,31)-102</f>
        <v>41172</v>
      </c>
      <c r="D849" s="8" t="str">
        <f t="shared" si="18"/>
        <v>2012-09 (сентябрь 2012)</v>
      </c>
      <c r="E849" s="9" t="s">
        <v>45</v>
      </c>
      <c r="F849" s="7">
        <v>29</v>
      </c>
      <c r="G849" s="7">
        <v>94.5</v>
      </c>
      <c r="H849" s="7">
        <v>0.02</v>
      </c>
      <c r="I849" s="9" t="s">
        <v>22</v>
      </c>
      <c r="J849" s="10">
        <v>39.9</v>
      </c>
      <c r="K849" s="11">
        <v>3.15</v>
      </c>
      <c r="L849" s="11">
        <v>0.5</v>
      </c>
      <c r="M849" s="9" t="s">
        <v>734</v>
      </c>
      <c r="N849" s="6" t="s">
        <v>703</v>
      </c>
      <c r="O849" s="6" t="s">
        <v>704</v>
      </c>
      <c r="P849" s="9" t="s">
        <v>41</v>
      </c>
      <c r="Q849" s="9" t="s">
        <v>26</v>
      </c>
      <c r="R849" s="9" t="s">
        <v>88</v>
      </c>
      <c r="S849" s="7" t="s">
        <v>774</v>
      </c>
      <c r="T849" s="9" t="s">
        <v>39</v>
      </c>
      <c r="U849" s="7">
        <v>0.37</v>
      </c>
      <c r="V849" s="12">
        <f>C849+1</f>
        <v>41173</v>
      </c>
      <c r="W849">
        <f>IF(D849=' Pivot Tables'!$A$4,1,0)</f>
        <v>0</v>
      </c>
      <c r="X849">
        <f>IF(AND(LEFT(D849,4)+1=LEFT(' Pivot Tables'!$A$4,4)+0,RIGHT(LEFT(D849,7),2)=RIGHT(LEFT(' Pivot Tables'!$A$4,7),2)),1,0)</f>
        <v>0</v>
      </c>
      <c r="Y849" s="6">
        <f>1/COUNTIF(Таблица1[Order ID],Таблица1[[#This Row],[Order ID]])</f>
        <v>0.33333333333333331</v>
      </c>
      <c r="Z849" s="9">
        <f>1/COUNTIFS(Таблица1[Customer Name],Таблица1[[#This Row],[Customer Name]],Таблица1[Order-Year-Month],Таблица1[[#This Row],[Order-Year-Month]])</f>
        <v>0.33333333333333331</v>
      </c>
    </row>
    <row r="850" spans="1:26" x14ac:dyDescent="0.2">
      <c r="A850" s="6">
        <v>5997</v>
      </c>
      <c r="B850" s="7">
        <v>42500</v>
      </c>
      <c r="C850" s="8">
        <f>DATE(2012,12,31)-1060</f>
        <v>40214</v>
      </c>
      <c r="D850" s="8" t="str">
        <f t="shared" si="18"/>
        <v>2010-02 (февраль 2010)</v>
      </c>
      <c r="E850" s="9" t="s">
        <v>45</v>
      </c>
      <c r="F850" s="7">
        <v>39</v>
      </c>
      <c r="G850" s="7">
        <v>1836.06</v>
      </c>
      <c r="H850" s="7">
        <v>0.04</v>
      </c>
      <c r="I850" s="9" t="s">
        <v>22</v>
      </c>
      <c r="J850" s="10">
        <v>437.07</v>
      </c>
      <c r="K850" s="11">
        <v>48.92</v>
      </c>
      <c r="L850" s="11">
        <v>4.5</v>
      </c>
      <c r="M850" s="9" t="s">
        <v>747</v>
      </c>
      <c r="N850" s="6" t="s">
        <v>703</v>
      </c>
      <c r="O850" s="6" t="s">
        <v>704</v>
      </c>
      <c r="P850" s="9" t="s">
        <v>60</v>
      </c>
      <c r="Q850" s="9" t="s">
        <v>26</v>
      </c>
      <c r="R850" s="9" t="s">
        <v>34</v>
      </c>
      <c r="S850" s="7" t="s">
        <v>775</v>
      </c>
      <c r="T850" s="9" t="s">
        <v>39</v>
      </c>
      <c r="U850" s="7">
        <v>0.59</v>
      </c>
      <c r="V850" s="12">
        <f>C850+2</f>
        <v>40216</v>
      </c>
      <c r="W850">
        <f>IF(D850=' Pivot Tables'!$A$4,1,0)</f>
        <v>0</v>
      </c>
      <c r="X850">
        <f>IF(AND(LEFT(D850,4)+1=LEFT(' Pivot Tables'!$A$4,4)+0,RIGHT(LEFT(D850,7),2)=RIGHT(LEFT(' Pivot Tables'!$A$4,7),2)),1,0)</f>
        <v>0</v>
      </c>
      <c r="Y850" s="6">
        <f>1/COUNTIF(Таблица1[Order ID],Таблица1[[#This Row],[Order ID]])</f>
        <v>0.5</v>
      </c>
      <c r="Z850" s="9">
        <f>1/COUNTIFS(Таблица1[Customer Name],Таблица1[[#This Row],[Customer Name]],Таблица1[Order-Year-Month],Таблица1[[#This Row],[Order-Year-Month]])</f>
        <v>0.5</v>
      </c>
    </row>
    <row r="851" spans="1:26" x14ac:dyDescent="0.2">
      <c r="A851" s="6">
        <v>5998</v>
      </c>
      <c r="B851" s="7">
        <v>42500</v>
      </c>
      <c r="C851" s="8">
        <f>DATE(2012,12,31)-1060</f>
        <v>40214</v>
      </c>
      <c r="D851" s="8" t="str">
        <f t="shared" si="18"/>
        <v>2010-02 (февраль 2010)</v>
      </c>
      <c r="E851" s="9" t="s">
        <v>45</v>
      </c>
      <c r="F851" s="7">
        <v>2</v>
      </c>
      <c r="G851" s="7">
        <v>21.03</v>
      </c>
      <c r="H851" s="7">
        <v>0.03</v>
      </c>
      <c r="I851" s="9" t="s">
        <v>22</v>
      </c>
      <c r="J851" s="10">
        <v>-10.4765</v>
      </c>
      <c r="K851" s="11">
        <v>8.69</v>
      </c>
      <c r="L851" s="11">
        <v>2.99</v>
      </c>
      <c r="M851" s="9" t="s">
        <v>747</v>
      </c>
      <c r="N851" s="6" t="s">
        <v>703</v>
      </c>
      <c r="O851" s="6" t="s">
        <v>704</v>
      </c>
      <c r="P851" s="9" t="s">
        <v>60</v>
      </c>
      <c r="Q851" s="9" t="s">
        <v>26</v>
      </c>
      <c r="R851" s="9" t="s">
        <v>37</v>
      </c>
      <c r="S851" s="7" t="s">
        <v>38</v>
      </c>
      <c r="T851" s="9" t="s">
        <v>39</v>
      </c>
      <c r="U851" s="7">
        <v>0.39</v>
      </c>
      <c r="V851" s="12">
        <f>C851+2</f>
        <v>40216</v>
      </c>
      <c r="W851">
        <f>IF(D851=' Pivot Tables'!$A$4,1,0)</f>
        <v>0</v>
      </c>
      <c r="X851">
        <f>IF(AND(LEFT(D851,4)+1=LEFT(' Pivot Tables'!$A$4,4)+0,RIGHT(LEFT(D851,7),2)=RIGHT(LEFT(' Pivot Tables'!$A$4,7),2)),1,0)</f>
        <v>0</v>
      </c>
      <c r="Y851" s="6">
        <f>1/COUNTIF(Таблица1[Order ID],Таблица1[[#This Row],[Order ID]])</f>
        <v>0.5</v>
      </c>
      <c r="Z851" s="9">
        <f>1/COUNTIFS(Таблица1[Customer Name],Таблица1[[#This Row],[Customer Name]],Таблица1[Order-Year-Month],Таблица1[[#This Row],[Order-Year-Month]])</f>
        <v>0.5</v>
      </c>
    </row>
    <row r="852" spans="1:26" x14ac:dyDescent="0.2">
      <c r="A852" s="6">
        <v>6233</v>
      </c>
      <c r="B852" s="7">
        <v>44162</v>
      </c>
      <c r="C852" s="8">
        <f>DATE(2012,12,31)-1018</f>
        <v>40256</v>
      </c>
      <c r="D852" s="8" t="str">
        <f t="shared" si="18"/>
        <v>2010-03 (март 2010)</v>
      </c>
      <c r="E852" s="9" t="s">
        <v>30</v>
      </c>
      <c r="F852" s="7">
        <v>46</v>
      </c>
      <c r="G852" s="7">
        <v>507.64</v>
      </c>
      <c r="H852" s="7">
        <v>0.04</v>
      </c>
      <c r="I852" s="9" t="s">
        <v>22</v>
      </c>
      <c r="J852" s="10">
        <v>42.76</v>
      </c>
      <c r="K852" s="11">
        <v>10.98</v>
      </c>
      <c r="L852" s="11">
        <v>3.37</v>
      </c>
      <c r="M852" s="9" t="s">
        <v>708</v>
      </c>
      <c r="N852" s="6" t="s">
        <v>703</v>
      </c>
      <c r="O852" s="6" t="s">
        <v>704</v>
      </c>
      <c r="P852" s="9" t="s">
        <v>41</v>
      </c>
      <c r="Q852" s="9" t="s">
        <v>26</v>
      </c>
      <c r="R852" s="9" t="s">
        <v>150</v>
      </c>
      <c r="S852" s="7" t="s">
        <v>465</v>
      </c>
      <c r="T852" s="9" t="s">
        <v>52</v>
      </c>
      <c r="U852" s="7">
        <v>0.56999999999999995</v>
      </c>
      <c r="V852" s="12">
        <f>C852+1</f>
        <v>40257</v>
      </c>
      <c r="W852">
        <f>IF(D852=' Pivot Tables'!$A$4,1,0)</f>
        <v>0</v>
      </c>
      <c r="X852">
        <f>IF(AND(LEFT(D852,4)+1=LEFT(' Pivot Tables'!$A$4,4)+0,RIGHT(LEFT(D852,7),2)=RIGHT(LEFT(' Pivot Tables'!$A$4,7),2)),1,0)</f>
        <v>0</v>
      </c>
      <c r="Y852" s="6">
        <f>1/COUNTIF(Таблица1[Order ID],Таблица1[[#This Row],[Order ID]])</f>
        <v>1</v>
      </c>
      <c r="Z852" s="9">
        <f>1/COUNTIFS(Таблица1[Customer Name],Таблица1[[#This Row],[Customer Name]],Таблица1[Order-Year-Month],Таблица1[[#This Row],[Order-Year-Month]])</f>
        <v>1</v>
      </c>
    </row>
    <row r="853" spans="1:26" x14ac:dyDescent="0.2">
      <c r="A853" s="6">
        <v>6246</v>
      </c>
      <c r="B853" s="7">
        <v>44256</v>
      </c>
      <c r="C853" s="8">
        <f>DATE(2012,12,31)-408</f>
        <v>40866</v>
      </c>
      <c r="D853" s="8" t="str">
        <f t="shared" si="18"/>
        <v>2011-11 (ноябрь 2011)</v>
      </c>
      <c r="E853" s="9" t="s">
        <v>21</v>
      </c>
      <c r="F853" s="7">
        <v>39</v>
      </c>
      <c r="G853" s="7">
        <v>301.36</v>
      </c>
      <c r="H853" s="7">
        <v>0.09</v>
      </c>
      <c r="I853" s="9" t="s">
        <v>22</v>
      </c>
      <c r="J853" s="10">
        <v>48.45</v>
      </c>
      <c r="K853" s="11">
        <v>8.01</v>
      </c>
      <c r="L853" s="11">
        <v>2.87</v>
      </c>
      <c r="M853" s="9" t="s">
        <v>734</v>
      </c>
      <c r="N853" s="6" t="s">
        <v>703</v>
      </c>
      <c r="O853" s="6" t="s">
        <v>704</v>
      </c>
      <c r="P853" s="9" t="s">
        <v>41</v>
      </c>
      <c r="Q853" s="9" t="s">
        <v>26</v>
      </c>
      <c r="R853" s="9" t="s">
        <v>61</v>
      </c>
      <c r="S853" s="7" t="s">
        <v>701</v>
      </c>
      <c r="T853" s="9" t="s">
        <v>68</v>
      </c>
      <c r="U853" s="7">
        <v>0.4</v>
      </c>
      <c r="V853" s="12">
        <f>C853+9</f>
        <v>40875</v>
      </c>
      <c r="W853">
        <f>IF(D853=' Pivot Tables'!$A$4,1,0)</f>
        <v>0</v>
      </c>
      <c r="X853">
        <f>IF(AND(LEFT(D853,4)+1=LEFT(' Pivot Tables'!$A$4,4)+0,RIGHT(LEFT(D853,7),2)=RIGHT(LEFT(' Pivot Tables'!$A$4,7),2)),1,0)</f>
        <v>0</v>
      </c>
      <c r="Y853" s="6">
        <f>1/COUNTIF(Таблица1[Order ID],Таблица1[[#This Row],[Order ID]])</f>
        <v>0.33333333333333331</v>
      </c>
      <c r="Z853" s="9">
        <f>1/COUNTIFS(Таблица1[Customer Name],Таблица1[[#This Row],[Customer Name]],Таблица1[Order-Year-Month],Таблица1[[#This Row],[Order-Year-Month]])</f>
        <v>0.25</v>
      </c>
    </row>
    <row r="854" spans="1:26" x14ac:dyDescent="0.2">
      <c r="A854" s="6">
        <v>6247</v>
      </c>
      <c r="B854" s="7">
        <v>44256</v>
      </c>
      <c r="C854" s="8">
        <f>DATE(2012,12,31)-408</f>
        <v>40866</v>
      </c>
      <c r="D854" s="8" t="str">
        <f t="shared" si="18"/>
        <v>2011-11 (ноябрь 2011)</v>
      </c>
      <c r="E854" s="9" t="s">
        <v>21</v>
      </c>
      <c r="F854" s="7">
        <v>17</v>
      </c>
      <c r="G854" s="7">
        <v>114.28</v>
      </c>
      <c r="H854" s="7">
        <v>0.08</v>
      </c>
      <c r="I854" s="9" t="s">
        <v>22</v>
      </c>
      <c r="J854" s="10">
        <v>-38.72</v>
      </c>
      <c r="K854" s="11">
        <v>6.48</v>
      </c>
      <c r="L854" s="11">
        <v>5.84</v>
      </c>
      <c r="M854" s="9" t="s">
        <v>734</v>
      </c>
      <c r="N854" s="6" t="s">
        <v>703</v>
      </c>
      <c r="O854" s="6" t="s">
        <v>704</v>
      </c>
      <c r="P854" s="9" t="s">
        <v>41</v>
      </c>
      <c r="Q854" s="9" t="s">
        <v>26</v>
      </c>
      <c r="R854" s="9" t="s">
        <v>61</v>
      </c>
      <c r="S854" s="7" t="s">
        <v>776</v>
      </c>
      <c r="T854" s="9" t="s">
        <v>39</v>
      </c>
      <c r="U854" s="7">
        <v>0.37</v>
      </c>
      <c r="V854" s="12">
        <f>C854+5</f>
        <v>40871</v>
      </c>
      <c r="W854">
        <f>IF(D854=' Pivot Tables'!$A$4,1,0)</f>
        <v>0</v>
      </c>
      <c r="X854">
        <f>IF(AND(LEFT(D854,4)+1=LEFT(' Pivot Tables'!$A$4,4)+0,RIGHT(LEFT(D854,7),2)=RIGHT(LEFT(' Pivot Tables'!$A$4,7),2)),1,0)</f>
        <v>0</v>
      </c>
      <c r="Y854" s="6">
        <f>1/COUNTIF(Таблица1[Order ID],Таблица1[[#This Row],[Order ID]])</f>
        <v>0.33333333333333331</v>
      </c>
      <c r="Z854" s="9">
        <f>1/COUNTIFS(Таблица1[Customer Name],Таблица1[[#This Row],[Customer Name]],Таблица1[Order-Year-Month],Таблица1[[#This Row],[Order-Year-Month]])</f>
        <v>0.25</v>
      </c>
    </row>
    <row r="855" spans="1:26" x14ac:dyDescent="0.2">
      <c r="A855" s="6">
        <v>6248</v>
      </c>
      <c r="B855" s="7">
        <v>44256</v>
      </c>
      <c r="C855" s="8">
        <f>DATE(2012,12,31)-408</f>
        <v>40866</v>
      </c>
      <c r="D855" s="8" t="str">
        <f t="shared" si="18"/>
        <v>2011-11 (ноябрь 2011)</v>
      </c>
      <c r="E855" s="9" t="s">
        <v>21</v>
      </c>
      <c r="F855" s="7">
        <v>49</v>
      </c>
      <c r="G855" s="7">
        <v>1889.04</v>
      </c>
      <c r="H855" s="7">
        <v>0.1</v>
      </c>
      <c r="I855" s="9" t="s">
        <v>56</v>
      </c>
      <c r="J855" s="10">
        <v>182.15</v>
      </c>
      <c r="K855" s="11">
        <v>40.97</v>
      </c>
      <c r="L855" s="11">
        <v>8.99</v>
      </c>
      <c r="M855" s="9" t="s">
        <v>734</v>
      </c>
      <c r="N855" s="6" t="s">
        <v>703</v>
      </c>
      <c r="O855" s="6" t="s">
        <v>704</v>
      </c>
      <c r="P855" s="9" t="s">
        <v>41</v>
      </c>
      <c r="Q855" s="9" t="s">
        <v>26</v>
      </c>
      <c r="R855" s="9" t="s">
        <v>95</v>
      </c>
      <c r="S855" s="7" t="s">
        <v>777</v>
      </c>
      <c r="T855" s="9" t="s">
        <v>52</v>
      </c>
      <c r="U855" s="7">
        <v>0.59</v>
      </c>
      <c r="V855" s="12">
        <f>C855+7</f>
        <v>40873</v>
      </c>
      <c r="W855">
        <f>IF(D855=' Pivot Tables'!$A$4,1,0)</f>
        <v>0</v>
      </c>
      <c r="X855">
        <f>IF(AND(LEFT(D855,4)+1=LEFT(' Pivot Tables'!$A$4,4)+0,RIGHT(LEFT(D855,7),2)=RIGHT(LEFT(' Pivot Tables'!$A$4,7),2)),1,0)</f>
        <v>0</v>
      </c>
      <c r="Y855" s="6">
        <f>1/COUNTIF(Таблица1[Order ID],Таблица1[[#This Row],[Order ID]])</f>
        <v>0.33333333333333331</v>
      </c>
      <c r="Z855" s="9">
        <f>1/COUNTIFS(Таблица1[Customer Name],Таблица1[[#This Row],[Customer Name]],Таблица1[Order-Year-Month],Таблица1[[#This Row],[Order-Year-Month]])</f>
        <v>0.25</v>
      </c>
    </row>
    <row r="856" spans="1:26" x14ac:dyDescent="0.2">
      <c r="A856" s="6">
        <v>6261</v>
      </c>
      <c r="B856" s="7">
        <v>44320</v>
      </c>
      <c r="C856" s="8">
        <f>DATE(2012,12,31)-1342</f>
        <v>39932</v>
      </c>
      <c r="D856" s="8" t="str">
        <f t="shared" si="18"/>
        <v>2009-04 (апрель 2009)</v>
      </c>
      <c r="E856" s="9" t="s">
        <v>63</v>
      </c>
      <c r="F856" s="7">
        <v>49</v>
      </c>
      <c r="G856" s="7">
        <v>7002.08</v>
      </c>
      <c r="H856" s="7">
        <v>0.1</v>
      </c>
      <c r="I856" s="9" t="s">
        <v>22</v>
      </c>
      <c r="J856" s="10">
        <v>-1640.511</v>
      </c>
      <c r="K856" s="11">
        <v>154.13</v>
      </c>
      <c r="L856" s="11">
        <v>69</v>
      </c>
      <c r="M856" s="9" t="s">
        <v>734</v>
      </c>
      <c r="N856" s="6" t="s">
        <v>703</v>
      </c>
      <c r="O856" s="6" t="s">
        <v>704</v>
      </c>
      <c r="P856" s="9" t="s">
        <v>41</v>
      </c>
      <c r="Q856" s="9" t="s">
        <v>49</v>
      </c>
      <c r="R856" s="9" t="s">
        <v>83</v>
      </c>
      <c r="S856" s="7" t="s">
        <v>778</v>
      </c>
      <c r="T856" s="9" t="s">
        <v>29</v>
      </c>
      <c r="U856" s="7">
        <v>0.68</v>
      </c>
      <c r="V856" s="12">
        <f>C856+1</f>
        <v>39933</v>
      </c>
      <c r="W856">
        <f>IF(D856=' Pivot Tables'!$A$4,1,0)</f>
        <v>0</v>
      </c>
      <c r="X856">
        <f>IF(AND(LEFT(D856,4)+1=LEFT(' Pivot Tables'!$A$4,4)+0,RIGHT(LEFT(D856,7),2)=RIGHT(LEFT(' Pivot Tables'!$A$4,7),2)),1,0)</f>
        <v>0</v>
      </c>
      <c r="Y856" s="6">
        <f>1/COUNTIF(Таблица1[Order ID],Таблица1[[#This Row],[Order ID]])</f>
        <v>1</v>
      </c>
      <c r="Z856" s="9">
        <f>1/COUNTIFS(Таблица1[Customer Name],Таблица1[[#This Row],[Customer Name]],Таблица1[Order-Year-Month],Таблица1[[#This Row],[Order-Year-Month]])</f>
        <v>1</v>
      </c>
    </row>
    <row r="857" spans="1:26" x14ac:dyDescent="0.2">
      <c r="A857" s="6">
        <v>6386</v>
      </c>
      <c r="B857" s="7">
        <v>45377</v>
      </c>
      <c r="C857" s="8">
        <f>DATE(2012,12,31)-638</f>
        <v>40636</v>
      </c>
      <c r="D857" s="8" t="str">
        <f t="shared" si="18"/>
        <v>2011-04 (апрель 2011)</v>
      </c>
      <c r="E857" s="9" t="s">
        <v>21</v>
      </c>
      <c r="F857" s="7">
        <v>47</v>
      </c>
      <c r="G857" s="7">
        <v>91.43</v>
      </c>
      <c r="H857" s="7">
        <v>0.08</v>
      </c>
      <c r="I857" s="9" t="s">
        <v>22</v>
      </c>
      <c r="J857" s="10">
        <v>-22.8965</v>
      </c>
      <c r="K857" s="11">
        <v>2.08</v>
      </c>
      <c r="L857" s="11">
        <v>1.49</v>
      </c>
      <c r="M857" s="9" t="s">
        <v>728</v>
      </c>
      <c r="N857" s="6" t="s">
        <v>703</v>
      </c>
      <c r="O857" s="6" t="s">
        <v>704</v>
      </c>
      <c r="P857" s="9" t="s">
        <v>60</v>
      </c>
      <c r="Q857" s="9" t="s">
        <v>26</v>
      </c>
      <c r="R857" s="9" t="s">
        <v>37</v>
      </c>
      <c r="S857" s="7" t="s">
        <v>779</v>
      </c>
      <c r="T857" s="9" t="s">
        <v>39</v>
      </c>
      <c r="U857" s="7">
        <v>0.38</v>
      </c>
      <c r="V857" s="12">
        <f>C857+2</f>
        <v>40638</v>
      </c>
      <c r="W857">
        <f>IF(D857=' Pivot Tables'!$A$4,1,0)</f>
        <v>0</v>
      </c>
      <c r="X857">
        <f>IF(AND(LEFT(D857,4)+1=LEFT(' Pivot Tables'!$A$4,4)+0,RIGHT(LEFT(D857,7),2)=RIGHT(LEFT(' Pivot Tables'!$A$4,7),2)),1,0)</f>
        <v>0</v>
      </c>
      <c r="Y857" s="6">
        <f>1/COUNTIF(Таблица1[Order ID],Таблица1[[#This Row],[Order ID]])</f>
        <v>1</v>
      </c>
      <c r="Z857" s="9">
        <f>1/COUNTIFS(Таблица1[Customer Name],Таблица1[[#This Row],[Customer Name]],Таблица1[Order-Year-Month],Таблица1[[#This Row],[Order-Year-Month]])</f>
        <v>1</v>
      </c>
    </row>
    <row r="858" spans="1:26" x14ac:dyDescent="0.2">
      <c r="A858" s="6">
        <v>6658</v>
      </c>
      <c r="B858" s="7">
        <v>47367</v>
      </c>
      <c r="C858" s="8">
        <f>DATE(2012,12,31)-625</f>
        <v>40649</v>
      </c>
      <c r="D858" s="8" t="str">
        <f t="shared" si="18"/>
        <v>2011-04 (апрель 2011)</v>
      </c>
      <c r="E858" s="9" t="s">
        <v>63</v>
      </c>
      <c r="F858" s="7">
        <v>7</v>
      </c>
      <c r="G858" s="7">
        <v>27.99</v>
      </c>
      <c r="H858" s="7">
        <v>0.06</v>
      </c>
      <c r="I858" s="9" t="s">
        <v>22</v>
      </c>
      <c r="J858" s="10">
        <v>-0.17249999999999938</v>
      </c>
      <c r="K858" s="11">
        <v>3.8</v>
      </c>
      <c r="L858" s="11">
        <v>1.49</v>
      </c>
      <c r="M858" s="9" t="s">
        <v>716</v>
      </c>
      <c r="N858" s="6" t="s">
        <v>703</v>
      </c>
      <c r="O858" s="6" t="s">
        <v>704</v>
      </c>
      <c r="P858" s="9" t="s">
        <v>41</v>
      </c>
      <c r="Q858" s="9" t="s">
        <v>26</v>
      </c>
      <c r="R858" s="9" t="s">
        <v>37</v>
      </c>
      <c r="S858" s="7" t="s">
        <v>269</v>
      </c>
      <c r="T858" s="9" t="s">
        <v>39</v>
      </c>
      <c r="U858" s="7">
        <v>0.38</v>
      </c>
      <c r="V858" s="12">
        <f>C858+0</f>
        <v>40649</v>
      </c>
      <c r="W858">
        <f>IF(D858=' Pivot Tables'!$A$4,1,0)</f>
        <v>0</v>
      </c>
      <c r="X858">
        <f>IF(AND(LEFT(D858,4)+1=LEFT(' Pivot Tables'!$A$4,4)+0,RIGHT(LEFT(D858,7),2)=RIGHT(LEFT(' Pivot Tables'!$A$4,7),2)),1,0)</f>
        <v>0</v>
      </c>
      <c r="Y858" s="6">
        <f>1/COUNTIF(Таблица1[Order ID],Таблица1[[#This Row],[Order ID]])</f>
        <v>0.5</v>
      </c>
      <c r="Z858" s="9">
        <f>1/COUNTIFS(Таблица1[Customer Name],Таблица1[[#This Row],[Customer Name]],Таблица1[Order-Year-Month],Таблица1[[#This Row],[Order-Year-Month]])</f>
        <v>0.5</v>
      </c>
    </row>
    <row r="859" spans="1:26" x14ac:dyDescent="0.2">
      <c r="A859" s="6">
        <v>6659</v>
      </c>
      <c r="B859" s="7">
        <v>47367</v>
      </c>
      <c r="C859" s="8">
        <f>DATE(2012,12,31)-625</f>
        <v>40649</v>
      </c>
      <c r="D859" s="8" t="str">
        <f t="shared" si="18"/>
        <v>2011-04 (апрель 2011)</v>
      </c>
      <c r="E859" s="9" t="s">
        <v>63</v>
      </c>
      <c r="F859" s="7">
        <v>6</v>
      </c>
      <c r="G859" s="7">
        <v>21.07</v>
      </c>
      <c r="H859" s="7">
        <v>0.08</v>
      </c>
      <c r="I859" s="9" t="s">
        <v>22</v>
      </c>
      <c r="J859" s="10">
        <v>2.2799999999999998</v>
      </c>
      <c r="K859" s="11">
        <v>3.69</v>
      </c>
      <c r="L859" s="11">
        <v>0.5</v>
      </c>
      <c r="M859" s="9" t="s">
        <v>716</v>
      </c>
      <c r="N859" s="6" t="s">
        <v>703</v>
      </c>
      <c r="O859" s="6" t="s">
        <v>704</v>
      </c>
      <c r="P859" s="9" t="s">
        <v>41</v>
      </c>
      <c r="Q859" s="9" t="s">
        <v>26</v>
      </c>
      <c r="R859" s="9" t="s">
        <v>88</v>
      </c>
      <c r="S859" s="7" t="s">
        <v>89</v>
      </c>
      <c r="T859" s="9" t="s">
        <v>39</v>
      </c>
      <c r="U859" s="7">
        <v>0.38</v>
      </c>
      <c r="V859" s="12">
        <f>C859+1</f>
        <v>40650</v>
      </c>
      <c r="W859">
        <f>IF(D859=' Pivot Tables'!$A$4,1,0)</f>
        <v>0</v>
      </c>
      <c r="X859">
        <f>IF(AND(LEFT(D859,4)+1=LEFT(' Pivot Tables'!$A$4,4)+0,RIGHT(LEFT(D859,7),2)=RIGHT(LEFT(' Pivot Tables'!$A$4,7),2)),1,0)</f>
        <v>0</v>
      </c>
      <c r="Y859" s="6">
        <f>1/COUNTIF(Таблица1[Order ID],Таблица1[[#This Row],[Order ID]])</f>
        <v>0.5</v>
      </c>
      <c r="Z859" s="9">
        <f>1/COUNTIFS(Таблица1[Customer Name],Таблица1[[#This Row],[Customer Name]],Таблица1[Order-Year-Month],Таблица1[[#This Row],[Order-Year-Month]])</f>
        <v>0.5</v>
      </c>
    </row>
    <row r="860" spans="1:26" x14ac:dyDescent="0.2">
      <c r="A860" s="6">
        <v>6705</v>
      </c>
      <c r="B860" s="7">
        <v>47750</v>
      </c>
      <c r="C860" s="8">
        <f>DATE(2012,12,31)-930</f>
        <v>40344</v>
      </c>
      <c r="D860" s="8" t="str">
        <f t="shared" si="18"/>
        <v>2010-06 (июнь 2010)</v>
      </c>
      <c r="E860" s="9" t="s">
        <v>21</v>
      </c>
      <c r="F860" s="7">
        <v>37</v>
      </c>
      <c r="G860" s="7">
        <v>102.46</v>
      </c>
      <c r="H860" s="7">
        <v>0.08</v>
      </c>
      <c r="I860" s="9" t="s">
        <v>22</v>
      </c>
      <c r="J860" s="10">
        <v>36.64</v>
      </c>
      <c r="K860" s="11">
        <v>2.88</v>
      </c>
      <c r="L860" s="11">
        <v>0.5</v>
      </c>
      <c r="M860" s="9" t="s">
        <v>734</v>
      </c>
      <c r="N860" s="6" t="s">
        <v>703</v>
      </c>
      <c r="O860" s="6" t="s">
        <v>704</v>
      </c>
      <c r="P860" s="9" t="s">
        <v>41</v>
      </c>
      <c r="Q860" s="9" t="s">
        <v>26</v>
      </c>
      <c r="R860" s="9" t="s">
        <v>88</v>
      </c>
      <c r="S860" s="7" t="s">
        <v>485</v>
      </c>
      <c r="T860" s="9" t="s">
        <v>39</v>
      </c>
      <c r="U860" s="7">
        <v>0.39</v>
      </c>
      <c r="V860" s="12">
        <f>C860+5</f>
        <v>40349</v>
      </c>
      <c r="W860">
        <f>IF(D860=' Pivot Tables'!$A$4,1,0)</f>
        <v>0</v>
      </c>
      <c r="X860">
        <f>IF(AND(LEFT(D860,4)+1=LEFT(' Pivot Tables'!$A$4,4)+0,RIGHT(LEFT(D860,7),2)=RIGHT(LEFT(' Pivot Tables'!$A$4,7),2)),1,0)</f>
        <v>0</v>
      </c>
      <c r="Y860" s="6">
        <f>1/COUNTIF(Таблица1[Order ID],Таблица1[[#This Row],[Order ID]])</f>
        <v>0.33333333333333331</v>
      </c>
      <c r="Z860" s="9">
        <f>1/COUNTIFS(Таблица1[Customer Name],Таблица1[[#This Row],[Customer Name]],Таблица1[Order-Year-Month],Таблица1[[#This Row],[Order-Year-Month]])</f>
        <v>0.33333333333333331</v>
      </c>
    </row>
    <row r="861" spans="1:26" x14ac:dyDescent="0.2">
      <c r="A861" s="6">
        <v>6706</v>
      </c>
      <c r="B861" s="7">
        <v>47750</v>
      </c>
      <c r="C861" s="8">
        <f>DATE(2012,12,31)-930</f>
        <v>40344</v>
      </c>
      <c r="D861" s="8" t="str">
        <f t="shared" si="18"/>
        <v>2010-06 (июнь 2010)</v>
      </c>
      <c r="E861" s="9" t="s">
        <v>21</v>
      </c>
      <c r="F861" s="7">
        <v>43</v>
      </c>
      <c r="G861" s="7">
        <v>1097.5999999999999</v>
      </c>
      <c r="H861" s="7">
        <v>0.05</v>
      </c>
      <c r="I861" s="9" t="s">
        <v>22</v>
      </c>
      <c r="J861" s="10">
        <v>216.12</v>
      </c>
      <c r="K861" s="11">
        <v>25.38</v>
      </c>
      <c r="L861" s="11">
        <v>8.99</v>
      </c>
      <c r="M861" s="9" t="s">
        <v>734</v>
      </c>
      <c r="N861" s="6" t="s">
        <v>703</v>
      </c>
      <c r="O861" s="6" t="s">
        <v>704</v>
      </c>
      <c r="P861" s="9" t="s">
        <v>41</v>
      </c>
      <c r="Q861" s="9" t="s">
        <v>49</v>
      </c>
      <c r="R861" s="9" t="s">
        <v>50</v>
      </c>
      <c r="S861" s="7" t="s">
        <v>335</v>
      </c>
      <c r="T861" s="9" t="s">
        <v>52</v>
      </c>
      <c r="U861" s="7">
        <v>0.5</v>
      </c>
      <c r="V861" s="12">
        <f>C861+5</f>
        <v>40349</v>
      </c>
      <c r="W861">
        <f>IF(D861=' Pivot Tables'!$A$4,1,0)</f>
        <v>0</v>
      </c>
      <c r="X861">
        <f>IF(AND(LEFT(D861,4)+1=LEFT(' Pivot Tables'!$A$4,4)+0,RIGHT(LEFT(D861,7),2)=RIGHT(LEFT(' Pivot Tables'!$A$4,7),2)),1,0)</f>
        <v>0</v>
      </c>
      <c r="Y861" s="6">
        <f>1/COUNTIF(Таблица1[Order ID],Таблица1[[#This Row],[Order ID]])</f>
        <v>0.33333333333333331</v>
      </c>
      <c r="Z861" s="9">
        <f>1/COUNTIFS(Таблица1[Customer Name],Таблица1[[#This Row],[Customer Name]],Таблица1[Order-Year-Month],Таблица1[[#This Row],[Order-Year-Month]])</f>
        <v>0.33333333333333331</v>
      </c>
    </row>
    <row r="862" spans="1:26" x14ac:dyDescent="0.2">
      <c r="A862" s="6">
        <v>6791</v>
      </c>
      <c r="B862" s="7">
        <v>48388</v>
      </c>
      <c r="C862" s="8">
        <f>DATE(2012,12,31)-1240</f>
        <v>40034</v>
      </c>
      <c r="D862" s="8" t="str">
        <f t="shared" si="18"/>
        <v>2009-08 (август 2009)</v>
      </c>
      <c r="E862" s="9" t="s">
        <v>30</v>
      </c>
      <c r="F862" s="7">
        <v>3</v>
      </c>
      <c r="G862" s="7">
        <v>21.64</v>
      </c>
      <c r="H862" s="7">
        <v>0.08</v>
      </c>
      <c r="I862" s="9" t="s">
        <v>22</v>
      </c>
      <c r="J862" s="10">
        <v>-13.3285</v>
      </c>
      <c r="K862" s="11">
        <v>5.74</v>
      </c>
      <c r="L862" s="11">
        <v>5.01</v>
      </c>
      <c r="M862" s="9" t="s">
        <v>742</v>
      </c>
      <c r="N862" s="6" t="s">
        <v>703</v>
      </c>
      <c r="O862" s="6" t="s">
        <v>704</v>
      </c>
      <c r="P862" s="9" t="s">
        <v>41</v>
      </c>
      <c r="Q862" s="9" t="s">
        <v>26</v>
      </c>
      <c r="R862" s="9" t="s">
        <v>37</v>
      </c>
      <c r="S862" s="7" t="s">
        <v>363</v>
      </c>
      <c r="T862" s="9" t="s">
        <v>39</v>
      </c>
      <c r="U862" s="7">
        <v>0.39</v>
      </c>
      <c r="V862" s="12">
        <f>C862+2</f>
        <v>40036</v>
      </c>
      <c r="W862">
        <f>IF(D862=' Pivot Tables'!$A$4,1,0)</f>
        <v>0</v>
      </c>
      <c r="X862">
        <f>IF(AND(LEFT(D862,4)+1=LEFT(' Pivot Tables'!$A$4,4)+0,RIGHT(LEFT(D862,7),2)=RIGHT(LEFT(' Pivot Tables'!$A$4,7),2)),1,0)</f>
        <v>0</v>
      </c>
      <c r="Y862" s="6">
        <f>1/COUNTIF(Таблица1[Order ID],Таблица1[[#This Row],[Order ID]])</f>
        <v>1</v>
      </c>
      <c r="Z862" s="9">
        <f>1/COUNTIFS(Таблица1[Customer Name],Таблица1[[#This Row],[Customer Name]],Таблица1[Order-Year-Month],Таблица1[[#This Row],[Order-Year-Month]])</f>
        <v>1</v>
      </c>
    </row>
    <row r="863" spans="1:26" x14ac:dyDescent="0.2">
      <c r="A863" s="6">
        <v>6882</v>
      </c>
      <c r="B863" s="7">
        <v>49059</v>
      </c>
      <c r="C863" s="8">
        <f>DATE(2012,12,31)-1198</f>
        <v>40076</v>
      </c>
      <c r="D863" s="8" t="str">
        <f t="shared" si="18"/>
        <v>2009-09 (сентябрь 2009)</v>
      </c>
      <c r="E863" s="9" t="s">
        <v>63</v>
      </c>
      <c r="F863" s="7">
        <v>48</v>
      </c>
      <c r="G863" s="7">
        <v>128</v>
      </c>
      <c r="H863" s="7">
        <v>0.09</v>
      </c>
      <c r="I863" s="9" t="s">
        <v>22</v>
      </c>
      <c r="J863" s="10">
        <v>45.51</v>
      </c>
      <c r="K863" s="11">
        <v>2.89</v>
      </c>
      <c r="L863" s="11">
        <v>0.5</v>
      </c>
      <c r="M863" s="9" t="s">
        <v>780</v>
      </c>
      <c r="N863" s="6" t="s">
        <v>703</v>
      </c>
      <c r="O863" s="6" t="s">
        <v>704</v>
      </c>
      <c r="P863" s="9" t="s">
        <v>60</v>
      </c>
      <c r="Q863" s="9" t="s">
        <v>26</v>
      </c>
      <c r="R863" s="9" t="s">
        <v>88</v>
      </c>
      <c r="S863" s="7" t="s">
        <v>474</v>
      </c>
      <c r="T863" s="9" t="s">
        <v>39</v>
      </c>
      <c r="U863" s="7">
        <v>0.38</v>
      </c>
      <c r="V863" s="12">
        <f>C863+2</f>
        <v>40078</v>
      </c>
      <c r="W863">
        <f>IF(D863=' Pivot Tables'!$A$4,1,0)</f>
        <v>0</v>
      </c>
      <c r="X863">
        <f>IF(AND(LEFT(D863,4)+1=LEFT(' Pivot Tables'!$A$4,4)+0,RIGHT(LEFT(D863,7),2)=RIGHT(LEFT(' Pivot Tables'!$A$4,7),2)),1,0)</f>
        <v>0</v>
      </c>
      <c r="Y863" s="6">
        <f>1/COUNTIF(Таблица1[Order ID],Таблица1[[#This Row],[Order ID]])</f>
        <v>0.5</v>
      </c>
      <c r="Z863" s="9">
        <f>1/COUNTIFS(Таблица1[Customer Name],Таблица1[[#This Row],[Customer Name]],Таблица1[Order-Year-Month],Таблица1[[#This Row],[Order-Year-Month]])</f>
        <v>0.5</v>
      </c>
    </row>
    <row r="864" spans="1:26" x14ac:dyDescent="0.2">
      <c r="A864" s="6">
        <v>6883</v>
      </c>
      <c r="B864" s="7">
        <v>49059</v>
      </c>
      <c r="C864" s="8">
        <f>DATE(2012,12,31)-1198</f>
        <v>40076</v>
      </c>
      <c r="D864" s="8" t="str">
        <f t="shared" si="18"/>
        <v>2009-09 (сентябрь 2009)</v>
      </c>
      <c r="E864" s="9" t="s">
        <v>63</v>
      </c>
      <c r="F864" s="7">
        <v>5</v>
      </c>
      <c r="G864" s="7">
        <v>252.66</v>
      </c>
      <c r="H864" s="7">
        <v>0.02</v>
      </c>
      <c r="I864" s="9" t="s">
        <v>22</v>
      </c>
      <c r="J864" s="10">
        <v>32.86</v>
      </c>
      <c r="K864" s="11">
        <v>48.91</v>
      </c>
      <c r="L864" s="11">
        <v>5.81</v>
      </c>
      <c r="M864" s="9" t="s">
        <v>780</v>
      </c>
      <c r="N864" s="6" t="s">
        <v>703</v>
      </c>
      <c r="O864" s="6" t="s">
        <v>704</v>
      </c>
      <c r="P864" s="9" t="s">
        <v>60</v>
      </c>
      <c r="Q864" s="9" t="s">
        <v>26</v>
      </c>
      <c r="R864" s="9" t="s">
        <v>61</v>
      </c>
      <c r="S864" s="7" t="s">
        <v>183</v>
      </c>
      <c r="T864" s="9" t="s">
        <v>39</v>
      </c>
      <c r="U864" s="7">
        <v>0.38</v>
      </c>
      <c r="V864" s="12">
        <f>C864+1</f>
        <v>40077</v>
      </c>
      <c r="W864">
        <f>IF(D864=' Pivot Tables'!$A$4,1,0)</f>
        <v>0</v>
      </c>
      <c r="X864">
        <f>IF(AND(LEFT(D864,4)+1=LEFT(' Pivot Tables'!$A$4,4)+0,RIGHT(LEFT(D864,7),2)=RIGHT(LEFT(' Pivot Tables'!$A$4,7),2)),1,0)</f>
        <v>0</v>
      </c>
      <c r="Y864" s="6">
        <f>1/COUNTIF(Таблица1[Order ID],Таблица1[[#This Row],[Order ID]])</f>
        <v>0.5</v>
      </c>
      <c r="Z864" s="9">
        <f>1/COUNTIFS(Таблица1[Customer Name],Таблица1[[#This Row],[Customer Name]],Таблица1[Order-Year-Month],Таблица1[[#This Row],[Order-Year-Month]])</f>
        <v>0.5</v>
      </c>
    </row>
    <row r="865" spans="1:26" x14ac:dyDescent="0.2">
      <c r="A865" s="6">
        <v>6938</v>
      </c>
      <c r="B865" s="7">
        <v>49510</v>
      </c>
      <c r="C865" s="8">
        <f>DATE(2012,12,31)-286</f>
        <v>40988</v>
      </c>
      <c r="D865" s="8" t="str">
        <f t="shared" si="18"/>
        <v>2012-03 (март 2012)</v>
      </c>
      <c r="E865" s="9" t="s">
        <v>78</v>
      </c>
      <c r="F865" s="7">
        <v>16</v>
      </c>
      <c r="G865" s="7">
        <v>44.1</v>
      </c>
      <c r="H865" s="7">
        <v>0.04</v>
      </c>
      <c r="I865" s="9" t="s">
        <v>22</v>
      </c>
      <c r="J865" s="10">
        <v>-6.22</v>
      </c>
      <c r="K865" s="11">
        <v>2.58</v>
      </c>
      <c r="L865" s="11">
        <v>1.3</v>
      </c>
      <c r="M865" s="9" t="s">
        <v>755</v>
      </c>
      <c r="N865" s="6" t="s">
        <v>703</v>
      </c>
      <c r="O865" s="6" t="s">
        <v>704</v>
      </c>
      <c r="P865" s="9" t="s">
        <v>41</v>
      </c>
      <c r="Q865" s="9" t="s">
        <v>26</v>
      </c>
      <c r="R865" s="9" t="s">
        <v>95</v>
      </c>
      <c r="S865" s="7" t="s">
        <v>781</v>
      </c>
      <c r="T865" s="9" t="s">
        <v>68</v>
      </c>
      <c r="U865" s="7">
        <v>0.59</v>
      </c>
      <c r="V865" s="12">
        <f>C865+1</f>
        <v>40989</v>
      </c>
      <c r="W865">
        <f>IF(D865=' Pivot Tables'!$A$4,1,0)</f>
        <v>0</v>
      </c>
      <c r="X865">
        <f>IF(AND(LEFT(D865,4)+1=LEFT(' Pivot Tables'!$A$4,4)+0,RIGHT(LEFT(D865,7),2)=RIGHT(LEFT(' Pivot Tables'!$A$4,7),2)),1,0)</f>
        <v>0</v>
      </c>
      <c r="Y865" s="6">
        <f>1/COUNTIF(Таблица1[Order ID],Таблица1[[#This Row],[Order ID]])</f>
        <v>1</v>
      </c>
      <c r="Z865" s="9">
        <f>1/COUNTIFS(Таблица1[Customer Name],Таблица1[[#This Row],[Customer Name]],Таблица1[Order-Year-Month],Таблица1[[#This Row],[Order-Year-Month]])</f>
        <v>1</v>
      </c>
    </row>
    <row r="866" spans="1:26" x14ac:dyDescent="0.2">
      <c r="A866" s="6">
        <v>6949</v>
      </c>
      <c r="B866" s="7">
        <v>49634</v>
      </c>
      <c r="C866" s="8">
        <f>DATE(2012,12,31)-283</f>
        <v>40991</v>
      </c>
      <c r="D866" s="8" t="str">
        <f t="shared" si="18"/>
        <v>2012-03 (март 2012)</v>
      </c>
      <c r="E866" s="9" t="s">
        <v>45</v>
      </c>
      <c r="F866" s="7">
        <v>45</v>
      </c>
      <c r="G866" s="7">
        <v>132.31</v>
      </c>
      <c r="H866" s="7">
        <v>0.02</v>
      </c>
      <c r="I866" s="9" t="s">
        <v>22</v>
      </c>
      <c r="J866" s="10">
        <v>10.914</v>
      </c>
      <c r="K866" s="11">
        <v>2.88</v>
      </c>
      <c r="L866" s="11">
        <v>1.49</v>
      </c>
      <c r="M866" s="9" t="s">
        <v>734</v>
      </c>
      <c r="N866" s="6" t="s">
        <v>703</v>
      </c>
      <c r="O866" s="6" t="s">
        <v>704</v>
      </c>
      <c r="P866" s="9" t="s">
        <v>33</v>
      </c>
      <c r="Q866" s="9" t="s">
        <v>26</v>
      </c>
      <c r="R866" s="9" t="s">
        <v>37</v>
      </c>
      <c r="S866" s="7" t="s">
        <v>782</v>
      </c>
      <c r="T866" s="9" t="s">
        <v>39</v>
      </c>
      <c r="U866" s="7">
        <v>0.36</v>
      </c>
      <c r="V866" s="12">
        <f>C866+2</f>
        <v>40993</v>
      </c>
      <c r="W866">
        <f>IF(D866=' Pivot Tables'!$A$4,1,0)</f>
        <v>0</v>
      </c>
      <c r="X866">
        <f>IF(AND(LEFT(D866,4)+1=LEFT(' Pivot Tables'!$A$4,4)+0,RIGHT(LEFT(D866,7),2)=RIGHT(LEFT(' Pivot Tables'!$A$4,7),2)),1,0)</f>
        <v>0</v>
      </c>
      <c r="Y866" s="6">
        <f>1/COUNTIF(Таблица1[Order ID],Таблица1[[#This Row],[Order ID]])</f>
        <v>0.33333333333333331</v>
      </c>
      <c r="Z866" s="9">
        <f>1/COUNTIFS(Таблица1[Customer Name],Таблица1[[#This Row],[Customer Name]],Таблица1[Order-Year-Month],Таблица1[[#This Row],[Order-Year-Month]])</f>
        <v>0.33333333333333331</v>
      </c>
    </row>
    <row r="867" spans="1:26" x14ac:dyDescent="0.2">
      <c r="A867" s="6">
        <v>7035</v>
      </c>
      <c r="B867" s="7">
        <v>50210</v>
      </c>
      <c r="C867" s="8">
        <f>DATE(2012,12,31)-896</f>
        <v>40378</v>
      </c>
      <c r="D867" s="8" t="str">
        <f t="shared" si="18"/>
        <v>2010-07 (июль 2010)</v>
      </c>
      <c r="E867" s="9" t="s">
        <v>21</v>
      </c>
      <c r="F867" s="7">
        <v>47</v>
      </c>
      <c r="G867" s="7">
        <v>178.51</v>
      </c>
      <c r="H867" s="7">
        <v>0</v>
      </c>
      <c r="I867" s="9" t="s">
        <v>22</v>
      </c>
      <c r="J867" s="10">
        <v>82.3</v>
      </c>
      <c r="K867" s="11">
        <v>3.75</v>
      </c>
      <c r="L867" s="11">
        <v>0.5</v>
      </c>
      <c r="M867" s="9" t="s">
        <v>747</v>
      </c>
      <c r="N867" s="6" t="s">
        <v>703</v>
      </c>
      <c r="O867" s="6" t="s">
        <v>704</v>
      </c>
      <c r="P867" s="9" t="s">
        <v>60</v>
      </c>
      <c r="Q867" s="9" t="s">
        <v>26</v>
      </c>
      <c r="R867" s="9" t="s">
        <v>88</v>
      </c>
      <c r="S867" s="7" t="s">
        <v>130</v>
      </c>
      <c r="T867" s="9" t="s">
        <v>39</v>
      </c>
      <c r="U867" s="7">
        <v>0.37</v>
      </c>
      <c r="V867" s="12">
        <f>C867+5</f>
        <v>40383</v>
      </c>
      <c r="W867">
        <f>IF(D867=' Pivot Tables'!$A$4,1,0)</f>
        <v>0</v>
      </c>
      <c r="X867">
        <f>IF(AND(LEFT(D867,4)+1=LEFT(' Pivot Tables'!$A$4,4)+0,RIGHT(LEFT(D867,7),2)=RIGHT(LEFT(' Pivot Tables'!$A$4,7),2)),1,0)</f>
        <v>0</v>
      </c>
      <c r="Y867" s="6">
        <f>1/COUNTIF(Таблица1[Order ID],Таблица1[[#This Row],[Order ID]])</f>
        <v>0.5</v>
      </c>
      <c r="Z867" s="9">
        <f>1/COUNTIFS(Таблица1[Customer Name],Таблица1[[#This Row],[Customer Name]],Таблица1[Order-Year-Month],Таблица1[[#This Row],[Order-Year-Month]])</f>
        <v>0.5</v>
      </c>
    </row>
    <row r="868" spans="1:26" x14ac:dyDescent="0.2">
      <c r="A868" s="6">
        <v>7036</v>
      </c>
      <c r="B868" s="7">
        <v>50210</v>
      </c>
      <c r="C868" s="8">
        <f>DATE(2012,12,31)-896</f>
        <v>40378</v>
      </c>
      <c r="D868" s="8" t="str">
        <f t="shared" si="18"/>
        <v>2010-07 (июль 2010)</v>
      </c>
      <c r="E868" s="9" t="s">
        <v>21</v>
      </c>
      <c r="F868" s="7">
        <v>15</v>
      </c>
      <c r="G868" s="7">
        <v>31.32</v>
      </c>
      <c r="H868" s="7">
        <v>0</v>
      </c>
      <c r="I868" s="9" t="s">
        <v>22</v>
      </c>
      <c r="J868" s="10">
        <v>-30.26</v>
      </c>
      <c r="K868" s="11">
        <v>1.86</v>
      </c>
      <c r="L868" s="11">
        <v>2.58</v>
      </c>
      <c r="M868" s="9" t="s">
        <v>747</v>
      </c>
      <c r="N868" s="6" t="s">
        <v>703</v>
      </c>
      <c r="O868" s="6" t="s">
        <v>704</v>
      </c>
      <c r="P868" s="9" t="s">
        <v>60</v>
      </c>
      <c r="Q868" s="9" t="s">
        <v>26</v>
      </c>
      <c r="R868" s="9" t="s">
        <v>66</v>
      </c>
      <c r="S868" s="7" t="s">
        <v>783</v>
      </c>
      <c r="T868" s="9" t="s">
        <v>68</v>
      </c>
      <c r="U868" s="7">
        <v>0.82</v>
      </c>
      <c r="V868" s="12">
        <f>C868+9</f>
        <v>40387</v>
      </c>
      <c r="W868">
        <f>IF(D868=' Pivot Tables'!$A$4,1,0)</f>
        <v>0</v>
      </c>
      <c r="X868">
        <f>IF(AND(LEFT(D868,4)+1=LEFT(' Pivot Tables'!$A$4,4)+0,RIGHT(LEFT(D868,7),2)=RIGHT(LEFT(' Pivot Tables'!$A$4,7),2)),1,0)</f>
        <v>0</v>
      </c>
      <c r="Y868" s="6">
        <f>1/COUNTIF(Таблица1[Order ID],Таблица1[[#This Row],[Order ID]])</f>
        <v>0.5</v>
      </c>
      <c r="Z868" s="9">
        <f>1/COUNTIFS(Таблица1[Customer Name],Таблица1[[#This Row],[Customer Name]],Таблица1[Order-Year-Month],Таблица1[[#This Row],[Order-Year-Month]])</f>
        <v>0.5</v>
      </c>
    </row>
    <row r="869" spans="1:26" x14ac:dyDescent="0.2">
      <c r="A869" s="6">
        <v>7079</v>
      </c>
      <c r="B869" s="7">
        <v>50503</v>
      </c>
      <c r="C869" s="8">
        <f>DATE(2012,12,31)-40</f>
        <v>41234</v>
      </c>
      <c r="D869" s="8" t="str">
        <f t="shared" si="18"/>
        <v>2012-11 (ноябрь 2012)</v>
      </c>
      <c r="E869" s="9" t="s">
        <v>63</v>
      </c>
      <c r="F869" s="7">
        <v>28</v>
      </c>
      <c r="G869" s="7">
        <v>1538.8655000000001</v>
      </c>
      <c r="H869" s="7">
        <v>0.05</v>
      </c>
      <c r="I869" s="9" t="s">
        <v>22</v>
      </c>
      <c r="J869" s="10">
        <v>-186.32899999999998</v>
      </c>
      <c r="K869" s="11">
        <v>65.989999999999995</v>
      </c>
      <c r="L869" s="11">
        <v>19.989999999999998</v>
      </c>
      <c r="M869" s="9" t="s">
        <v>711</v>
      </c>
      <c r="N869" s="6" t="s">
        <v>703</v>
      </c>
      <c r="O869" s="6" t="s">
        <v>704</v>
      </c>
      <c r="P869" s="9" t="s">
        <v>60</v>
      </c>
      <c r="Q869" s="9" t="s">
        <v>42</v>
      </c>
      <c r="R869" s="9" t="s">
        <v>43</v>
      </c>
      <c r="S869" s="7" t="s">
        <v>784</v>
      </c>
      <c r="T869" s="9" t="s">
        <v>39</v>
      </c>
      <c r="U869" s="7">
        <v>0.59</v>
      </c>
      <c r="V869" s="12">
        <f>C869+2</f>
        <v>41236</v>
      </c>
      <c r="W869">
        <f>IF(D869=' Pivot Tables'!$A$4,1,0)</f>
        <v>0</v>
      </c>
      <c r="X869">
        <f>IF(AND(LEFT(D869,4)+1=LEFT(' Pivot Tables'!$A$4,4)+0,RIGHT(LEFT(D869,7),2)=RIGHT(LEFT(' Pivot Tables'!$A$4,7),2)),1,0)</f>
        <v>0</v>
      </c>
      <c r="Y869" s="6">
        <f>1/COUNTIF(Таблица1[Order ID],Таблица1[[#This Row],[Order ID]])</f>
        <v>1</v>
      </c>
      <c r="Z869" s="9">
        <f>1/COUNTIFS(Таблица1[Customer Name],Таблица1[[#This Row],[Customer Name]],Таблица1[Order-Year-Month],Таблица1[[#This Row],[Order-Year-Month]])</f>
        <v>1</v>
      </c>
    </row>
    <row r="870" spans="1:26" x14ac:dyDescent="0.2">
      <c r="A870" s="6">
        <v>7120</v>
      </c>
      <c r="B870" s="7">
        <v>50816</v>
      </c>
      <c r="C870" s="8">
        <f>DATE(2012,12,31)-1375</f>
        <v>39899</v>
      </c>
      <c r="D870" s="8" t="str">
        <f t="shared" si="18"/>
        <v>2009-03 (март 2009)</v>
      </c>
      <c r="E870" s="9" t="s">
        <v>30</v>
      </c>
      <c r="F870" s="7">
        <v>25</v>
      </c>
      <c r="G870" s="7">
        <v>286.07</v>
      </c>
      <c r="H870" s="7">
        <v>7.0000000000000007E-2</v>
      </c>
      <c r="I870" s="9" t="s">
        <v>22</v>
      </c>
      <c r="J870" s="10">
        <v>-35.94</v>
      </c>
      <c r="K870" s="11">
        <v>11.97</v>
      </c>
      <c r="L870" s="11">
        <v>4.9800000000000004</v>
      </c>
      <c r="M870" s="9" t="s">
        <v>196</v>
      </c>
      <c r="N870" s="6" t="s">
        <v>703</v>
      </c>
      <c r="O870" s="6" t="s">
        <v>704</v>
      </c>
      <c r="P870" s="9" t="s">
        <v>25</v>
      </c>
      <c r="Q870" s="9" t="s">
        <v>26</v>
      </c>
      <c r="R870" s="9" t="s">
        <v>34</v>
      </c>
      <c r="S870" s="7" t="s">
        <v>274</v>
      </c>
      <c r="T870" s="9" t="s">
        <v>39</v>
      </c>
      <c r="U870" s="7">
        <v>0.57999999999999996</v>
      </c>
      <c r="V870" s="12">
        <f>C870+2</f>
        <v>39901</v>
      </c>
      <c r="W870">
        <f>IF(D870=' Pivot Tables'!$A$4,1,0)</f>
        <v>0</v>
      </c>
      <c r="X870">
        <f>IF(AND(LEFT(D870,4)+1=LEFT(' Pivot Tables'!$A$4,4)+0,RIGHT(LEFT(D870,7),2)=RIGHT(LEFT(' Pivot Tables'!$A$4,7),2)),1,0)</f>
        <v>0</v>
      </c>
      <c r="Y870" s="6">
        <f>1/COUNTIF(Таблица1[Order ID],Таблица1[[#This Row],[Order ID]])</f>
        <v>0.33333333333333331</v>
      </c>
      <c r="Z870" s="9">
        <f>1/COUNTIFS(Таблица1[Customer Name],Таблица1[[#This Row],[Customer Name]],Таблица1[Order-Year-Month],Таблица1[[#This Row],[Order-Year-Month]])</f>
        <v>0.33333333333333331</v>
      </c>
    </row>
    <row r="871" spans="1:26" x14ac:dyDescent="0.2">
      <c r="A871" s="6">
        <v>7121</v>
      </c>
      <c r="B871" s="7">
        <v>50816</v>
      </c>
      <c r="C871" s="8">
        <f>DATE(2012,12,31)-1375</f>
        <v>39899</v>
      </c>
      <c r="D871" s="8" t="str">
        <f t="shared" si="18"/>
        <v>2009-03 (март 2009)</v>
      </c>
      <c r="E871" s="9" t="s">
        <v>30</v>
      </c>
      <c r="F871" s="7">
        <v>26</v>
      </c>
      <c r="G871" s="7">
        <v>733.92</v>
      </c>
      <c r="H871" s="7">
        <v>0.03</v>
      </c>
      <c r="I871" s="9" t="s">
        <v>22</v>
      </c>
      <c r="J871" s="10">
        <v>302.80400000000003</v>
      </c>
      <c r="K871" s="11">
        <v>28.53</v>
      </c>
      <c r="L871" s="11">
        <v>1.49</v>
      </c>
      <c r="M871" s="9" t="s">
        <v>196</v>
      </c>
      <c r="N871" s="6" t="s">
        <v>703</v>
      </c>
      <c r="O871" s="6" t="s">
        <v>704</v>
      </c>
      <c r="P871" s="9" t="s">
        <v>25</v>
      </c>
      <c r="Q871" s="9" t="s">
        <v>26</v>
      </c>
      <c r="R871" s="9" t="s">
        <v>37</v>
      </c>
      <c r="S871" s="7" t="s">
        <v>380</v>
      </c>
      <c r="T871" s="9" t="s">
        <v>39</v>
      </c>
      <c r="U871" s="7">
        <v>0.38</v>
      </c>
      <c r="V871" s="12">
        <f>C871+2</f>
        <v>39901</v>
      </c>
      <c r="W871">
        <f>IF(D871=' Pivot Tables'!$A$4,1,0)</f>
        <v>0</v>
      </c>
      <c r="X871">
        <f>IF(AND(LEFT(D871,4)+1=LEFT(' Pivot Tables'!$A$4,4)+0,RIGHT(LEFT(D871,7),2)=RIGHT(LEFT(' Pivot Tables'!$A$4,7),2)),1,0)</f>
        <v>0</v>
      </c>
      <c r="Y871" s="6">
        <f>1/COUNTIF(Таблица1[Order ID],Таблица1[[#This Row],[Order ID]])</f>
        <v>0.33333333333333331</v>
      </c>
      <c r="Z871" s="9">
        <f>1/COUNTIFS(Таблица1[Customer Name],Таблица1[[#This Row],[Customer Name]],Таблица1[Order-Year-Month],Таблица1[[#This Row],[Order-Year-Month]])</f>
        <v>0.33333333333333331</v>
      </c>
    </row>
    <row r="872" spans="1:26" x14ac:dyDescent="0.2">
      <c r="A872" s="6">
        <v>7122</v>
      </c>
      <c r="B872" s="7">
        <v>50816</v>
      </c>
      <c r="C872" s="8">
        <f>DATE(2012,12,31)-1375</f>
        <v>39899</v>
      </c>
      <c r="D872" s="8" t="str">
        <f t="shared" si="18"/>
        <v>2009-03 (март 2009)</v>
      </c>
      <c r="E872" s="9" t="s">
        <v>30</v>
      </c>
      <c r="F872" s="7">
        <v>6</v>
      </c>
      <c r="G872" s="7">
        <v>99.11</v>
      </c>
      <c r="H872" s="7">
        <v>0.01</v>
      </c>
      <c r="I872" s="9" t="s">
        <v>22</v>
      </c>
      <c r="J872" s="10">
        <v>-12.46</v>
      </c>
      <c r="K872" s="11">
        <v>15.28</v>
      </c>
      <c r="L872" s="11">
        <v>1.99</v>
      </c>
      <c r="M872" s="9" t="s">
        <v>196</v>
      </c>
      <c r="N872" s="6" t="s">
        <v>703</v>
      </c>
      <c r="O872" s="6" t="s">
        <v>704</v>
      </c>
      <c r="P872" s="9" t="s">
        <v>25</v>
      </c>
      <c r="Q872" s="9" t="s">
        <v>42</v>
      </c>
      <c r="R872" s="9" t="s">
        <v>70</v>
      </c>
      <c r="S872" s="7" t="s">
        <v>785</v>
      </c>
      <c r="T872" s="9" t="s">
        <v>52</v>
      </c>
      <c r="U872" s="7">
        <v>0.42</v>
      </c>
      <c r="V872" s="12">
        <f>C872+2</f>
        <v>39901</v>
      </c>
      <c r="W872">
        <f>IF(D872=' Pivot Tables'!$A$4,1,0)</f>
        <v>0</v>
      </c>
      <c r="X872">
        <f>IF(AND(LEFT(D872,4)+1=LEFT(' Pivot Tables'!$A$4,4)+0,RIGHT(LEFT(D872,7),2)=RIGHT(LEFT(' Pivot Tables'!$A$4,7),2)),1,0)</f>
        <v>0</v>
      </c>
      <c r="Y872" s="6">
        <f>1/COUNTIF(Таблица1[Order ID],Таблица1[[#This Row],[Order ID]])</f>
        <v>0.33333333333333331</v>
      </c>
      <c r="Z872" s="9">
        <f>1/COUNTIFS(Таблица1[Customer Name],Таблица1[[#This Row],[Customer Name]],Таблица1[Order-Year-Month],Таблица1[[#This Row],[Order-Year-Month]])</f>
        <v>0.33333333333333331</v>
      </c>
    </row>
    <row r="873" spans="1:26" x14ac:dyDescent="0.2">
      <c r="A873" s="6">
        <v>7159</v>
      </c>
      <c r="B873" s="7">
        <v>51073</v>
      </c>
      <c r="C873" s="8">
        <f>DATE(2012,12,31)-962</f>
        <v>40312</v>
      </c>
      <c r="D873" s="8" t="str">
        <f t="shared" si="18"/>
        <v>2010-05 (май 2010)</v>
      </c>
      <c r="E873" s="9" t="s">
        <v>45</v>
      </c>
      <c r="F873" s="7">
        <v>17</v>
      </c>
      <c r="G873" s="7">
        <v>2475.08</v>
      </c>
      <c r="H873" s="7">
        <v>0</v>
      </c>
      <c r="I873" s="9" t="s">
        <v>56</v>
      </c>
      <c r="J873" s="10">
        <v>958.8</v>
      </c>
      <c r="K873" s="11">
        <v>136.97999999999999</v>
      </c>
      <c r="L873" s="11">
        <v>24.49</v>
      </c>
      <c r="M873" s="9" t="s">
        <v>755</v>
      </c>
      <c r="N873" s="6" t="s">
        <v>703</v>
      </c>
      <c r="O873" s="6" t="s">
        <v>704</v>
      </c>
      <c r="P873" s="9" t="s">
        <v>41</v>
      </c>
      <c r="Q873" s="9" t="s">
        <v>49</v>
      </c>
      <c r="R873" s="9" t="s">
        <v>50</v>
      </c>
      <c r="S873" s="7" t="s">
        <v>480</v>
      </c>
      <c r="T873" s="9" t="s">
        <v>29</v>
      </c>
      <c r="U873" s="7">
        <v>0.59</v>
      </c>
      <c r="V873" s="12">
        <f>C873+2</f>
        <v>40314</v>
      </c>
      <c r="W873">
        <f>IF(D873=' Pivot Tables'!$A$4,1,0)</f>
        <v>0</v>
      </c>
      <c r="X873">
        <f>IF(AND(LEFT(D873,4)+1=LEFT(' Pivot Tables'!$A$4,4)+0,RIGHT(LEFT(D873,7),2)=RIGHT(LEFT(' Pivot Tables'!$A$4,7),2)),1,0)</f>
        <v>0</v>
      </c>
      <c r="Y873" s="6">
        <f>1/COUNTIF(Таблица1[Order ID],Таблица1[[#This Row],[Order ID]])</f>
        <v>0.5</v>
      </c>
      <c r="Z873" s="9">
        <f>1/COUNTIFS(Таблица1[Customer Name],Таблица1[[#This Row],[Customer Name]],Таблица1[Order-Year-Month],Таблица1[[#This Row],[Order-Year-Month]])</f>
        <v>0.5</v>
      </c>
    </row>
    <row r="874" spans="1:26" x14ac:dyDescent="0.2">
      <c r="A874" s="6">
        <v>7160</v>
      </c>
      <c r="B874" s="7">
        <v>51073</v>
      </c>
      <c r="C874" s="8">
        <f>DATE(2012,12,31)-962</f>
        <v>40312</v>
      </c>
      <c r="D874" s="8" t="str">
        <f t="shared" si="18"/>
        <v>2010-05 (май 2010)</v>
      </c>
      <c r="E874" s="9" t="s">
        <v>45</v>
      </c>
      <c r="F874" s="7">
        <v>49</v>
      </c>
      <c r="G874" s="7">
        <v>1610.42</v>
      </c>
      <c r="H874" s="7">
        <v>0</v>
      </c>
      <c r="I874" s="9" t="s">
        <v>22</v>
      </c>
      <c r="J874" s="10">
        <v>813.35</v>
      </c>
      <c r="K874" s="11">
        <v>30.93</v>
      </c>
      <c r="L874" s="11">
        <v>3.92</v>
      </c>
      <c r="M874" s="9" t="s">
        <v>755</v>
      </c>
      <c r="N874" s="6" t="s">
        <v>703</v>
      </c>
      <c r="O874" s="6" t="s">
        <v>704</v>
      </c>
      <c r="P874" s="9" t="s">
        <v>41</v>
      </c>
      <c r="Q874" s="9" t="s">
        <v>49</v>
      </c>
      <c r="R874" s="9" t="s">
        <v>50</v>
      </c>
      <c r="S874" s="7" t="s">
        <v>786</v>
      </c>
      <c r="T874" s="9" t="s">
        <v>52</v>
      </c>
      <c r="U874" s="7">
        <v>0.44</v>
      </c>
      <c r="V874" s="12">
        <f>C874+1</f>
        <v>40313</v>
      </c>
      <c r="W874">
        <f>IF(D874=' Pivot Tables'!$A$4,1,0)</f>
        <v>0</v>
      </c>
      <c r="X874">
        <f>IF(AND(LEFT(D874,4)+1=LEFT(' Pivot Tables'!$A$4,4)+0,RIGHT(LEFT(D874,7),2)=RIGHT(LEFT(' Pivot Tables'!$A$4,7),2)),1,0)</f>
        <v>0</v>
      </c>
      <c r="Y874" s="6">
        <f>1/COUNTIF(Таблица1[Order ID],Таблица1[[#This Row],[Order ID]])</f>
        <v>0.5</v>
      </c>
      <c r="Z874" s="9">
        <f>1/COUNTIFS(Таблица1[Customer Name],Таблица1[[#This Row],[Customer Name]],Таблица1[Order-Year-Month],Таблица1[[#This Row],[Order-Year-Month]])</f>
        <v>0.5</v>
      </c>
    </row>
    <row r="875" spans="1:26" x14ac:dyDescent="0.2">
      <c r="A875" s="6">
        <v>7235</v>
      </c>
      <c r="B875" s="7">
        <v>51584</v>
      </c>
      <c r="C875" s="8">
        <f>DATE(2012,12,31)-806</f>
        <v>40468</v>
      </c>
      <c r="D875" s="8" t="str">
        <f t="shared" si="18"/>
        <v>2010-10 (октябрь 2010)</v>
      </c>
      <c r="E875" s="9" t="s">
        <v>78</v>
      </c>
      <c r="F875" s="7">
        <v>48</v>
      </c>
      <c r="G875" s="7">
        <v>5620.2</v>
      </c>
      <c r="H875" s="7">
        <v>0.01</v>
      </c>
      <c r="I875" s="9" t="s">
        <v>31</v>
      </c>
      <c r="J875" s="10">
        <v>176.04</v>
      </c>
      <c r="K875" s="11">
        <v>110.98</v>
      </c>
      <c r="L875" s="11">
        <v>30</v>
      </c>
      <c r="M875" s="9" t="s">
        <v>716</v>
      </c>
      <c r="N875" s="6" t="s">
        <v>703</v>
      </c>
      <c r="O875" s="6" t="s">
        <v>704</v>
      </c>
      <c r="P875" s="9" t="s">
        <v>41</v>
      </c>
      <c r="Q875" s="9" t="s">
        <v>49</v>
      </c>
      <c r="R875" s="9" t="s">
        <v>112</v>
      </c>
      <c r="S875" s="7" t="s">
        <v>651</v>
      </c>
      <c r="T875" s="9" t="s">
        <v>36</v>
      </c>
      <c r="U875" s="7">
        <v>0.71</v>
      </c>
      <c r="V875" s="12">
        <f>C875+1</f>
        <v>40469</v>
      </c>
      <c r="W875">
        <f>IF(D875=' Pivot Tables'!$A$4,1,0)</f>
        <v>0</v>
      </c>
      <c r="X875">
        <f>IF(AND(LEFT(D875,4)+1=LEFT(' Pivot Tables'!$A$4,4)+0,RIGHT(LEFT(D875,7),2)=RIGHT(LEFT(' Pivot Tables'!$A$4,7),2)),1,0)</f>
        <v>0</v>
      </c>
      <c r="Y875" s="6">
        <f>1/COUNTIF(Таблица1[Order ID],Таблица1[[#This Row],[Order ID]])</f>
        <v>1</v>
      </c>
      <c r="Z875" s="9">
        <f>1/COUNTIFS(Таблица1[Customer Name],Таблица1[[#This Row],[Customer Name]],Таблица1[Order-Year-Month],Таблица1[[#This Row],[Order-Year-Month]])</f>
        <v>1</v>
      </c>
    </row>
    <row r="876" spans="1:26" x14ac:dyDescent="0.2">
      <c r="A876" s="6">
        <v>7273</v>
      </c>
      <c r="B876" s="7">
        <v>51879</v>
      </c>
      <c r="C876" s="8">
        <f>DATE(2012,12,31)-860</f>
        <v>40414</v>
      </c>
      <c r="D876" s="8" t="str">
        <f t="shared" si="18"/>
        <v>2010-08 (август 2010)</v>
      </c>
      <c r="E876" s="9" t="s">
        <v>45</v>
      </c>
      <c r="F876" s="7">
        <v>26</v>
      </c>
      <c r="G876" s="7">
        <v>1382.31</v>
      </c>
      <c r="H876" s="7">
        <v>0.03</v>
      </c>
      <c r="I876" s="9" t="s">
        <v>22</v>
      </c>
      <c r="J876" s="10">
        <v>372.26</v>
      </c>
      <c r="K876" s="11">
        <v>51.94</v>
      </c>
      <c r="L876" s="11">
        <v>19.989999999999998</v>
      </c>
      <c r="M876" s="9" t="s">
        <v>57</v>
      </c>
      <c r="N876" s="6" t="s">
        <v>703</v>
      </c>
      <c r="O876" s="6" t="s">
        <v>704</v>
      </c>
      <c r="P876" s="9" t="s">
        <v>41</v>
      </c>
      <c r="Q876" s="9" t="s">
        <v>49</v>
      </c>
      <c r="R876" s="9" t="s">
        <v>50</v>
      </c>
      <c r="S876" s="7" t="s">
        <v>787</v>
      </c>
      <c r="T876" s="9" t="s">
        <v>39</v>
      </c>
      <c r="U876" s="7">
        <v>0.44</v>
      </c>
      <c r="V876" s="12">
        <f>C876+2</f>
        <v>40416</v>
      </c>
      <c r="W876">
        <f>IF(D876=' Pivot Tables'!$A$4,1,0)</f>
        <v>0</v>
      </c>
      <c r="X876">
        <f>IF(AND(LEFT(D876,4)+1=LEFT(' Pivot Tables'!$A$4,4)+0,RIGHT(LEFT(D876,7),2)=RIGHT(LEFT(' Pivot Tables'!$A$4,7),2)),1,0)</f>
        <v>0</v>
      </c>
      <c r="Y876" s="6">
        <f>1/COUNTIF(Таблица1[Order ID],Таблица1[[#This Row],[Order ID]])</f>
        <v>0.5</v>
      </c>
      <c r="Z876" s="9">
        <f>1/COUNTIFS(Таблица1[Customer Name],Таблица1[[#This Row],[Customer Name]],Таблица1[Order-Year-Month],Таблица1[[#This Row],[Order-Year-Month]])</f>
        <v>0.5</v>
      </c>
    </row>
    <row r="877" spans="1:26" x14ac:dyDescent="0.2">
      <c r="A877" s="6">
        <v>7274</v>
      </c>
      <c r="B877" s="7">
        <v>51879</v>
      </c>
      <c r="C877" s="8">
        <f>DATE(2012,12,31)-860</f>
        <v>40414</v>
      </c>
      <c r="D877" s="8" t="str">
        <f t="shared" si="18"/>
        <v>2010-08 (август 2010)</v>
      </c>
      <c r="E877" s="9" t="s">
        <v>45</v>
      </c>
      <c r="F877" s="7">
        <v>46</v>
      </c>
      <c r="G877" s="7">
        <v>991.36</v>
      </c>
      <c r="H877" s="7">
        <v>0.01</v>
      </c>
      <c r="I877" s="9" t="s">
        <v>22</v>
      </c>
      <c r="J877" s="10">
        <v>212.06</v>
      </c>
      <c r="K877" s="11">
        <v>19.98</v>
      </c>
      <c r="L877" s="11">
        <v>8.68</v>
      </c>
      <c r="M877" s="9" t="s">
        <v>57</v>
      </c>
      <c r="N877" s="6" t="s">
        <v>703</v>
      </c>
      <c r="O877" s="6" t="s">
        <v>704</v>
      </c>
      <c r="P877" s="9" t="s">
        <v>41</v>
      </c>
      <c r="Q877" s="9" t="s">
        <v>26</v>
      </c>
      <c r="R877" s="9" t="s">
        <v>61</v>
      </c>
      <c r="S877" s="7" t="s">
        <v>617</v>
      </c>
      <c r="T877" s="9" t="s">
        <v>39</v>
      </c>
      <c r="U877" s="7">
        <v>0.37</v>
      </c>
      <c r="V877" s="12">
        <f>C877+1</f>
        <v>40415</v>
      </c>
      <c r="W877">
        <f>IF(D877=' Pivot Tables'!$A$4,1,0)</f>
        <v>0</v>
      </c>
      <c r="X877">
        <f>IF(AND(LEFT(D877,4)+1=LEFT(' Pivot Tables'!$A$4,4)+0,RIGHT(LEFT(D877,7),2)=RIGHT(LEFT(' Pivot Tables'!$A$4,7),2)),1,0)</f>
        <v>0</v>
      </c>
      <c r="Y877" s="6">
        <f>1/COUNTIF(Таблица1[Order ID],Таблица1[[#This Row],[Order ID]])</f>
        <v>0.5</v>
      </c>
      <c r="Z877" s="9">
        <f>1/COUNTIFS(Таблица1[Customer Name],Таблица1[[#This Row],[Customer Name]],Таблица1[Order-Year-Month],Таблица1[[#This Row],[Order-Year-Month]])</f>
        <v>0.5</v>
      </c>
    </row>
    <row r="878" spans="1:26" x14ac:dyDescent="0.2">
      <c r="A878" s="6">
        <v>7335</v>
      </c>
      <c r="B878" s="7">
        <v>52288</v>
      </c>
      <c r="C878" s="8">
        <f>DATE(2012,12,31)-509</f>
        <v>40765</v>
      </c>
      <c r="D878" s="8" t="str">
        <f t="shared" si="18"/>
        <v>2011-08 (август 2011)</v>
      </c>
      <c r="E878" s="9" t="s">
        <v>30</v>
      </c>
      <c r="F878" s="7">
        <v>19</v>
      </c>
      <c r="G878" s="7">
        <v>1410.44</v>
      </c>
      <c r="H878" s="7">
        <v>7.0000000000000007E-2</v>
      </c>
      <c r="I878" s="9" t="s">
        <v>22</v>
      </c>
      <c r="J878" s="10">
        <v>545.11</v>
      </c>
      <c r="K878" s="11">
        <v>78.69</v>
      </c>
      <c r="L878" s="11">
        <v>19.989999999999998</v>
      </c>
      <c r="M878" s="9" t="s">
        <v>728</v>
      </c>
      <c r="N878" s="6" t="s">
        <v>703</v>
      </c>
      <c r="O878" s="6" t="s">
        <v>704</v>
      </c>
      <c r="P878" s="9" t="s">
        <v>60</v>
      </c>
      <c r="Q878" s="9" t="s">
        <v>49</v>
      </c>
      <c r="R878" s="9" t="s">
        <v>50</v>
      </c>
      <c r="S878" s="7" t="s">
        <v>788</v>
      </c>
      <c r="T878" s="9" t="s">
        <v>39</v>
      </c>
      <c r="U878" s="7">
        <v>0.43</v>
      </c>
      <c r="V878" s="12">
        <f>C878+1</f>
        <v>40766</v>
      </c>
      <c r="W878">
        <f>IF(D878=' Pivot Tables'!$A$4,1,0)</f>
        <v>0</v>
      </c>
      <c r="X878">
        <f>IF(AND(LEFT(D878,4)+1=LEFT(' Pivot Tables'!$A$4,4)+0,RIGHT(LEFT(D878,7),2)=RIGHT(LEFT(' Pivot Tables'!$A$4,7),2)),1,0)</f>
        <v>0</v>
      </c>
      <c r="Y878" s="6">
        <f>1/COUNTIF(Таблица1[Order ID],Таблица1[[#This Row],[Order ID]])</f>
        <v>1</v>
      </c>
      <c r="Z878" s="9">
        <f>1/COUNTIFS(Таблица1[Customer Name],Таблица1[[#This Row],[Customer Name]],Таблица1[Order-Year-Month],Таблица1[[#This Row],[Order-Year-Month]])</f>
        <v>1</v>
      </c>
    </row>
    <row r="879" spans="1:26" x14ac:dyDescent="0.2">
      <c r="A879" s="6">
        <v>7456</v>
      </c>
      <c r="B879" s="7">
        <v>53190</v>
      </c>
      <c r="C879" s="8">
        <f>DATE(2012,12,31)-1194</f>
        <v>40080</v>
      </c>
      <c r="D879" s="8" t="str">
        <f t="shared" si="18"/>
        <v>2009-09 (сентябрь 2009)</v>
      </c>
      <c r="E879" s="9" t="s">
        <v>63</v>
      </c>
      <c r="F879" s="7">
        <v>10</v>
      </c>
      <c r="G879" s="7">
        <v>268.18</v>
      </c>
      <c r="H879" s="7">
        <v>0.06</v>
      </c>
      <c r="I879" s="9" t="s">
        <v>22</v>
      </c>
      <c r="J879" s="10">
        <v>74.638500000000008</v>
      </c>
      <c r="K879" s="11">
        <v>28.53</v>
      </c>
      <c r="L879" s="11">
        <v>1.49</v>
      </c>
      <c r="M879" s="9" t="s">
        <v>747</v>
      </c>
      <c r="N879" s="6" t="s">
        <v>703</v>
      </c>
      <c r="O879" s="6" t="s">
        <v>704</v>
      </c>
      <c r="P879" s="9" t="s">
        <v>60</v>
      </c>
      <c r="Q879" s="9" t="s">
        <v>26</v>
      </c>
      <c r="R879" s="9" t="s">
        <v>37</v>
      </c>
      <c r="S879" s="7" t="s">
        <v>380</v>
      </c>
      <c r="T879" s="9" t="s">
        <v>39</v>
      </c>
      <c r="U879" s="7">
        <v>0.38</v>
      </c>
      <c r="V879" s="12">
        <f>C879+3</f>
        <v>40083</v>
      </c>
      <c r="W879">
        <f>IF(D879=' Pivot Tables'!$A$4,1,0)</f>
        <v>0</v>
      </c>
      <c r="X879">
        <f>IF(AND(LEFT(D879,4)+1=LEFT(' Pivot Tables'!$A$4,4)+0,RIGHT(LEFT(D879,7),2)=RIGHT(LEFT(' Pivot Tables'!$A$4,7),2)),1,0)</f>
        <v>0</v>
      </c>
      <c r="Y879" s="6">
        <f>1/COUNTIF(Таблица1[Order ID],Таблица1[[#This Row],[Order ID]])</f>
        <v>0.5</v>
      </c>
      <c r="Z879" s="9">
        <f>1/COUNTIFS(Таблица1[Customer Name],Таблица1[[#This Row],[Customer Name]],Таблица1[Order-Year-Month],Таблица1[[#This Row],[Order-Year-Month]])</f>
        <v>0.5</v>
      </c>
    </row>
    <row r="880" spans="1:26" x14ac:dyDescent="0.2">
      <c r="A880" s="6">
        <v>7457</v>
      </c>
      <c r="B880" s="7">
        <v>53190</v>
      </c>
      <c r="C880" s="8">
        <f>DATE(2012,12,31)-1194</f>
        <v>40080</v>
      </c>
      <c r="D880" s="8" t="str">
        <f t="shared" si="18"/>
        <v>2009-09 (сентябрь 2009)</v>
      </c>
      <c r="E880" s="9" t="s">
        <v>63</v>
      </c>
      <c r="F880" s="7">
        <v>9</v>
      </c>
      <c r="G880" s="7">
        <v>477.05399999999997</v>
      </c>
      <c r="H880" s="7">
        <v>0.1</v>
      </c>
      <c r="I880" s="9" t="s">
        <v>22</v>
      </c>
      <c r="J880" s="10">
        <v>-170.53300000000002</v>
      </c>
      <c r="K880" s="11">
        <v>65.989999999999995</v>
      </c>
      <c r="L880" s="11">
        <v>3.99</v>
      </c>
      <c r="M880" s="9" t="s">
        <v>747</v>
      </c>
      <c r="N880" s="6" t="s">
        <v>703</v>
      </c>
      <c r="O880" s="6" t="s">
        <v>704</v>
      </c>
      <c r="P880" s="9" t="s">
        <v>60</v>
      </c>
      <c r="Q880" s="9" t="s">
        <v>42</v>
      </c>
      <c r="R880" s="9" t="s">
        <v>43</v>
      </c>
      <c r="S880" s="7" t="s">
        <v>582</v>
      </c>
      <c r="T880" s="9" t="s">
        <v>39</v>
      </c>
      <c r="U880" s="7">
        <v>0.59</v>
      </c>
      <c r="V880" s="12">
        <f>C880+1</f>
        <v>40081</v>
      </c>
      <c r="W880">
        <f>IF(D880=' Pivot Tables'!$A$4,1,0)</f>
        <v>0</v>
      </c>
      <c r="X880">
        <f>IF(AND(LEFT(D880,4)+1=LEFT(' Pivot Tables'!$A$4,4)+0,RIGHT(LEFT(D880,7),2)=RIGHT(LEFT(' Pivot Tables'!$A$4,7),2)),1,0)</f>
        <v>0</v>
      </c>
      <c r="Y880" s="6">
        <f>1/COUNTIF(Таблица1[Order ID],Таблица1[[#This Row],[Order ID]])</f>
        <v>0.5</v>
      </c>
      <c r="Z880" s="9">
        <f>1/COUNTIFS(Таблица1[Customer Name],Таблица1[[#This Row],[Customer Name]],Таблица1[Order-Year-Month],Таблица1[[#This Row],[Order-Year-Month]])</f>
        <v>0.5</v>
      </c>
    </row>
    <row r="881" spans="1:26" x14ac:dyDescent="0.2">
      <c r="A881" s="6">
        <v>7502</v>
      </c>
      <c r="B881" s="7">
        <v>53536</v>
      </c>
      <c r="C881" s="8">
        <f>DATE(2012,12,31)-62</f>
        <v>41212</v>
      </c>
      <c r="D881" s="8" t="str">
        <f t="shared" si="18"/>
        <v>2012-10 (октябрь 2012)</v>
      </c>
      <c r="E881" s="9" t="s">
        <v>30</v>
      </c>
      <c r="F881" s="7">
        <v>35</v>
      </c>
      <c r="G881" s="7">
        <v>738.69</v>
      </c>
      <c r="H881" s="7">
        <v>0.1</v>
      </c>
      <c r="I881" s="9" t="s">
        <v>22</v>
      </c>
      <c r="J881" s="10">
        <v>109.16</v>
      </c>
      <c r="K881" s="11">
        <v>22.98</v>
      </c>
      <c r="L881" s="11">
        <v>7.58</v>
      </c>
      <c r="M881" s="9" t="s">
        <v>711</v>
      </c>
      <c r="N881" s="6" t="s">
        <v>703</v>
      </c>
      <c r="O881" s="6" t="s">
        <v>704</v>
      </c>
      <c r="P881" s="9" t="s">
        <v>60</v>
      </c>
      <c r="Q881" s="9" t="s">
        <v>49</v>
      </c>
      <c r="R881" s="9" t="s">
        <v>50</v>
      </c>
      <c r="S881" s="7" t="s">
        <v>789</v>
      </c>
      <c r="T881" s="9" t="s">
        <v>39</v>
      </c>
      <c r="U881" s="7">
        <v>0.51</v>
      </c>
      <c r="V881" s="12">
        <f>C881+2</f>
        <v>41214</v>
      </c>
      <c r="W881">
        <f>IF(D881=' Pivot Tables'!$A$4,1,0)</f>
        <v>0</v>
      </c>
      <c r="X881">
        <f>IF(AND(LEFT(D881,4)+1=LEFT(' Pivot Tables'!$A$4,4)+0,RIGHT(LEFT(D881,7),2)=RIGHT(LEFT(' Pivot Tables'!$A$4,7),2)),1,0)</f>
        <v>0</v>
      </c>
      <c r="Y881" s="6">
        <f>1/COUNTIF(Таблица1[Order ID],Таблица1[[#This Row],[Order ID]])</f>
        <v>0.5</v>
      </c>
      <c r="Z881" s="9">
        <f>1/COUNTIFS(Таблица1[Customer Name],Таблица1[[#This Row],[Customer Name]],Таблица1[Order-Year-Month],Таблица1[[#This Row],[Order-Year-Month]])</f>
        <v>0.33333333333333331</v>
      </c>
    </row>
    <row r="882" spans="1:26" x14ac:dyDescent="0.2">
      <c r="A882" s="6">
        <v>7503</v>
      </c>
      <c r="B882" s="7">
        <v>53536</v>
      </c>
      <c r="C882" s="8">
        <f>DATE(2012,12,31)-62</f>
        <v>41212</v>
      </c>
      <c r="D882" s="8" t="str">
        <f t="shared" si="18"/>
        <v>2012-10 (октябрь 2012)</v>
      </c>
      <c r="E882" s="9" t="s">
        <v>30</v>
      </c>
      <c r="F882" s="7">
        <v>5</v>
      </c>
      <c r="G882" s="7">
        <v>1015.4</v>
      </c>
      <c r="H882" s="7">
        <v>0</v>
      </c>
      <c r="I882" s="9" t="s">
        <v>31</v>
      </c>
      <c r="J882" s="10">
        <v>-234.59400000000002</v>
      </c>
      <c r="K882" s="11">
        <v>179.29</v>
      </c>
      <c r="L882" s="11">
        <v>56.2</v>
      </c>
      <c r="M882" s="9" t="s">
        <v>711</v>
      </c>
      <c r="N882" s="6" t="s">
        <v>703</v>
      </c>
      <c r="O882" s="6" t="s">
        <v>704</v>
      </c>
      <c r="P882" s="9" t="s">
        <v>60</v>
      </c>
      <c r="Q882" s="9" t="s">
        <v>49</v>
      </c>
      <c r="R882" s="9" t="s">
        <v>83</v>
      </c>
      <c r="S882" s="7" t="s">
        <v>790</v>
      </c>
      <c r="T882" s="9" t="s">
        <v>82</v>
      </c>
      <c r="U882" s="7">
        <v>0.71</v>
      </c>
      <c r="V882" s="12">
        <f>C882+2</f>
        <v>41214</v>
      </c>
      <c r="W882">
        <f>IF(D882=' Pivot Tables'!$A$4,1,0)</f>
        <v>0</v>
      </c>
      <c r="X882">
        <f>IF(AND(LEFT(D882,4)+1=LEFT(' Pivot Tables'!$A$4,4)+0,RIGHT(LEFT(D882,7),2)=RIGHT(LEFT(' Pivot Tables'!$A$4,7),2)),1,0)</f>
        <v>0</v>
      </c>
      <c r="Y882" s="6">
        <f>1/COUNTIF(Таблица1[Order ID],Таблица1[[#This Row],[Order ID]])</f>
        <v>0.5</v>
      </c>
      <c r="Z882" s="9">
        <f>1/COUNTIFS(Таблица1[Customer Name],Таблица1[[#This Row],[Customer Name]],Таблица1[Order-Year-Month],Таблица1[[#This Row],[Order-Year-Month]])</f>
        <v>0.33333333333333331</v>
      </c>
    </row>
    <row r="883" spans="1:26" x14ac:dyDescent="0.2">
      <c r="A883" s="6">
        <v>7506</v>
      </c>
      <c r="B883" s="7">
        <v>53572</v>
      </c>
      <c r="C883" s="8">
        <f>DATE(2012,12,31)-969</f>
        <v>40305</v>
      </c>
      <c r="D883" s="8" t="str">
        <f t="shared" si="18"/>
        <v>2010-05 (май 2010)</v>
      </c>
      <c r="E883" s="9" t="s">
        <v>63</v>
      </c>
      <c r="F883" s="7">
        <v>17</v>
      </c>
      <c r="G883" s="7">
        <v>184.09</v>
      </c>
      <c r="H883" s="7">
        <v>7.0000000000000007E-2</v>
      </c>
      <c r="I883" s="9" t="s">
        <v>22</v>
      </c>
      <c r="J883" s="10">
        <v>4.79</v>
      </c>
      <c r="K883" s="11">
        <v>11.09</v>
      </c>
      <c r="L883" s="11">
        <v>5.25</v>
      </c>
      <c r="M883" s="9" t="s">
        <v>742</v>
      </c>
      <c r="N883" s="6" t="s">
        <v>703</v>
      </c>
      <c r="O883" s="6" t="s">
        <v>704</v>
      </c>
      <c r="P883" s="9" t="s">
        <v>41</v>
      </c>
      <c r="Q883" s="9" t="s">
        <v>26</v>
      </c>
      <c r="R883" s="9" t="s">
        <v>76</v>
      </c>
      <c r="S883" s="7" t="s">
        <v>791</v>
      </c>
      <c r="T883" s="9" t="s">
        <v>39</v>
      </c>
      <c r="U883" s="7">
        <v>0.36</v>
      </c>
      <c r="V883" s="12">
        <f>C883+1</f>
        <v>40306</v>
      </c>
      <c r="W883">
        <f>IF(D883=' Pivot Tables'!$A$4,1,0)</f>
        <v>0</v>
      </c>
      <c r="X883">
        <f>IF(AND(LEFT(D883,4)+1=LEFT(' Pivot Tables'!$A$4,4)+0,RIGHT(LEFT(D883,7),2)=RIGHT(LEFT(' Pivot Tables'!$A$4,7),2)),1,0)</f>
        <v>0</v>
      </c>
      <c r="Y883" s="6">
        <f>1/COUNTIF(Таблица1[Order ID],Таблица1[[#This Row],[Order ID]])</f>
        <v>1</v>
      </c>
      <c r="Z883" s="9">
        <f>1/COUNTIFS(Таблица1[Customer Name],Таблица1[[#This Row],[Customer Name]],Таблица1[Order-Year-Month],Таблица1[[#This Row],[Order-Year-Month]])</f>
        <v>1</v>
      </c>
    </row>
    <row r="884" spans="1:26" x14ac:dyDescent="0.2">
      <c r="A884" s="6">
        <v>7533</v>
      </c>
      <c r="B884" s="7">
        <v>53825</v>
      </c>
      <c r="C884" s="8">
        <f>DATE(2012,12,31)-632</f>
        <v>40642</v>
      </c>
      <c r="D884" s="8" t="str">
        <f t="shared" si="18"/>
        <v>2011-04 (апрель 2011)</v>
      </c>
      <c r="E884" s="9" t="s">
        <v>21</v>
      </c>
      <c r="F884" s="7">
        <v>36</v>
      </c>
      <c r="G884" s="7">
        <v>1646.05</v>
      </c>
      <c r="H884" s="7">
        <v>0.08</v>
      </c>
      <c r="I884" s="9" t="s">
        <v>22</v>
      </c>
      <c r="J884" s="10">
        <v>649.79999999999995</v>
      </c>
      <c r="K884" s="11">
        <v>48.04</v>
      </c>
      <c r="L884" s="11">
        <v>7.23</v>
      </c>
      <c r="M884" s="9" t="s">
        <v>552</v>
      </c>
      <c r="N884" s="6" t="s">
        <v>703</v>
      </c>
      <c r="O884" s="6" t="s">
        <v>704</v>
      </c>
      <c r="P884" s="9" t="s">
        <v>33</v>
      </c>
      <c r="Q884" s="9" t="s">
        <v>26</v>
      </c>
      <c r="R884" s="9" t="s">
        <v>61</v>
      </c>
      <c r="S884" s="7" t="s">
        <v>527</v>
      </c>
      <c r="T884" s="9" t="s">
        <v>39</v>
      </c>
      <c r="U884" s="7">
        <v>0.37</v>
      </c>
      <c r="V884" s="12">
        <f>C884+2</f>
        <v>40644</v>
      </c>
      <c r="W884">
        <f>IF(D884=' Pivot Tables'!$A$4,1,0)</f>
        <v>0</v>
      </c>
      <c r="X884">
        <f>IF(AND(LEFT(D884,4)+1=LEFT(' Pivot Tables'!$A$4,4)+0,RIGHT(LEFT(D884,7),2)=RIGHT(LEFT(' Pivot Tables'!$A$4,7),2)),1,0)</f>
        <v>0</v>
      </c>
      <c r="Y884" s="6">
        <f>1/COUNTIF(Таблица1[Order ID],Таблица1[[#This Row],[Order ID]])</f>
        <v>1</v>
      </c>
      <c r="Z884" s="9">
        <f>1/COUNTIFS(Таблица1[Customer Name],Таблица1[[#This Row],[Customer Name]],Таблица1[Order-Year-Month],Таблица1[[#This Row],[Order-Year-Month]])</f>
        <v>1</v>
      </c>
    </row>
    <row r="885" spans="1:26" x14ac:dyDescent="0.2">
      <c r="A885" s="6">
        <v>7534</v>
      </c>
      <c r="B885" s="7">
        <v>53863</v>
      </c>
      <c r="C885" s="8">
        <f>DATE(2012,12,31)-942</f>
        <v>40332</v>
      </c>
      <c r="D885" s="8" t="str">
        <f t="shared" si="18"/>
        <v>2010-06 (июнь 2010)</v>
      </c>
      <c r="E885" s="9" t="s">
        <v>30</v>
      </c>
      <c r="F885" s="7">
        <v>46</v>
      </c>
      <c r="G885" s="7">
        <v>7807.45</v>
      </c>
      <c r="H885" s="7">
        <v>0.02</v>
      </c>
      <c r="I885" s="9" t="s">
        <v>56</v>
      </c>
      <c r="J885" s="10">
        <v>1660.15</v>
      </c>
      <c r="K885" s="11">
        <v>161.55000000000001</v>
      </c>
      <c r="L885" s="11">
        <v>19.989999999999998</v>
      </c>
      <c r="M885" s="9" t="s">
        <v>780</v>
      </c>
      <c r="N885" s="6" t="s">
        <v>703</v>
      </c>
      <c r="O885" s="6" t="s">
        <v>704</v>
      </c>
      <c r="P885" s="9" t="s">
        <v>60</v>
      </c>
      <c r="Q885" s="9" t="s">
        <v>26</v>
      </c>
      <c r="R885" s="9" t="s">
        <v>27</v>
      </c>
      <c r="S885" s="7" t="s">
        <v>685</v>
      </c>
      <c r="T885" s="9" t="s">
        <v>39</v>
      </c>
      <c r="U885" s="7">
        <v>0.66</v>
      </c>
      <c r="V885" s="12">
        <f>C885+3</f>
        <v>40335</v>
      </c>
      <c r="W885">
        <f>IF(D885=' Pivot Tables'!$A$4,1,0)</f>
        <v>0</v>
      </c>
      <c r="X885">
        <f>IF(AND(LEFT(D885,4)+1=LEFT(' Pivot Tables'!$A$4,4)+0,RIGHT(LEFT(D885,7),2)=RIGHT(LEFT(' Pivot Tables'!$A$4,7),2)),1,0)</f>
        <v>0</v>
      </c>
      <c r="Y885" s="6">
        <f>1/COUNTIF(Таблица1[Order ID],Таблица1[[#This Row],[Order ID]])</f>
        <v>1</v>
      </c>
      <c r="Z885" s="9">
        <f>1/COUNTIFS(Таблица1[Customer Name],Таблица1[[#This Row],[Customer Name]],Таблица1[Order-Year-Month],Таблица1[[#This Row],[Order-Year-Month]])</f>
        <v>1</v>
      </c>
    </row>
    <row r="886" spans="1:26" x14ac:dyDescent="0.2">
      <c r="A886" s="6">
        <v>7565</v>
      </c>
      <c r="B886" s="7">
        <v>54119</v>
      </c>
      <c r="C886" s="8">
        <f>DATE(2012,12,31)-954</f>
        <v>40320</v>
      </c>
      <c r="D886" s="8" t="str">
        <f t="shared" si="18"/>
        <v>2010-05 (май 2010)</v>
      </c>
      <c r="E886" s="9" t="s">
        <v>63</v>
      </c>
      <c r="F886" s="7">
        <v>45</v>
      </c>
      <c r="G886" s="7">
        <v>261</v>
      </c>
      <c r="H886" s="7">
        <v>0.04</v>
      </c>
      <c r="I886" s="9" t="s">
        <v>56</v>
      </c>
      <c r="J886" s="10">
        <v>-43.45</v>
      </c>
      <c r="K886" s="11">
        <v>5.81</v>
      </c>
      <c r="L886" s="11">
        <v>3.37</v>
      </c>
      <c r="M886" s="9" t="s">
        <v>57</v>
      </c>
      <c r="N886" s="6" t="s">
        <v>703</v>
      </c>
      <c r="O886" s="6" t="s">
        <v>704</v>
      </c>
      <c r="P886" s="9" t="s">
        <v>41</v>
      </c>
      <c r="Q886" s="9" t="s">
        <v>26</v>
      </c>
      <c r="R886" s="9" t="s">
        <v>66</v>
      </c>
      <c r="S886" s="7" t="s">
        <v>792</v>
      </c>
      <c r="T886" s="9" t="s">
        <v>68</v>
      </c>
      <c r="U886" s="7">
        <v>0.54</v>
      </c>
      <c r="V886" s="12">
        <f>C886+1</f>
        <v>40321</v>
      </c>
      <c r="W886">
        <f>IF(D886=' Pivot Tables'!$A$4,1,0)</f>
        <v>0</v>
      </c>
      <c r="X886">
        <f>IF(AND(LEFT(D886,4)+1=LEFT(' Pivot Tables'!$A$4,4)+0,RIGHT(LEFT(D886,7),2)=RIGHT(LEFT(' Pivot Tables'!$A$4,7),2)),1,0)</f>
        <v>0</v>
      </c>
      <c r="Y886" s="6">
        <f>1/COUNTIF(Таблица1[Order ID],Таблица1[[#This Row],[Order ID]])</f>
        <v>0.5</v>
      </c>
      <c r="Z886" s="9">
        <f>1/COUNTIFS(Таблица1[Customer Name],Таблица1[[#This Row],[Customer Name]],Таблица1[Order-Year-Month],Таблица1[[#This Row],[Order-Year-Month]])</f>
        <v>0.5</v>
      </c>
    </row>
    <row r="887" spans="1:26" x14ac:dyDescent="0.2">
      <c r="A887" s="6">
        <v>7566</v>
      </c>
      <c r="B887" s="7">
        <v>54119</v>
      </c>
      <c r="C887" s="8">
        <f>DATE(2012,12,31)-954</f>
        <v>40320</v>
      </c>
      <c r="D887" s="8" t="str">
        <f t="shared" si="18"/>
        <v>2010-05 (май 2010)</v>
      </c>
      <c r="E887" s="9" t="s">
        <v>63</v>
      </c>
      <c r="F887" s="7">
        <v>4</v>
      </c>
      <c r="G887" s="7">
        <v>127.56</v>
      </c>
      <c r="H887" s="7">
        <v>0.05</v>
      </c>
      <c r="I887" s="9" t="s">
        <v>22</v>
      </c>
      <c r="J887" s="10">
        <v>-41.75</v>
      </c>
      <c r="K887" s="11">
        <v>29.74</v>
      </c>
      <c r="L887" s="11">
        <v>6.64</v>
      </c>
      <c r="M887" s="9" t="s">
        <v>57</v>
      </c>
      <c r="N887" s="6" t="s">
        <v>703</v>
      </c>
      <c r="O887" s="6" t="s">
        <v>704</v>
      </c>
      <c r="P887" s="9" t="s">
        <v>41</v>
      </c>
      <c r="Q887" s="9" t="s">
        <v>26</v>
      </c>
      <c r="R887" s="9" t="s">
        <v>27</v>
      </c>
      <c r="S887" s="7" t="s">
        <v>376</v>
      </c>
      <c r="T887" s="9" t="s">
        <v>39</v>
      </c>
      <c r="U887" s="7">
        <v>0.7</v>
      </c>
      <c r="V887" s="12">
        <f>C887+3</f>
        <v>40323</v>
      </c>
      <c r="W887">
        <f>IF(D887=' Pivot Tables'!$A$4,1,0)</f>
        <v>0</v>
      </c>
      <c r="X887">
        <f>IF(AND(LEFT(D887,4)+1=LEFT(' Pivot Tables'!$A$4,4)+0,RIGHT(LEFT(D887,7),2)=RIGHT(LEFT(' Pivot Tables'!$A$4,7),2)),1,0)</f>
        <v>0</v>
      </c>
      <c r="Y887" s="6">
        <f>1/COUNTIF(Таблица1[Order ID],Таблица1[[#This Row],[Order ID]])</f>
        <v>0.5</v>
      </c>
      <c r="Z887" s="9">
        <f>1/COUNTIFS(Таблица1[Customer Name],Таблица1[[#This Row],[Customer Name]],Таблица1[Order-Year-Month],Таблица1[[#This Row],[Order-Year-Month]])</f>
        <v>0.5</v>
      </c>
    </row>
    <row r="888" spans="1:26" x14ac:dyDescent="0.2">
      <c r="A888" s="6">
        <v>7861</v>
      </c>
      <c r="B888" s="7">
        <v>56224</v>
      </c>
      <c r="C888" s="8">
        <f>DATE(2012,12,31)-67</f>
        <v>41207</v>
      </c>
      <c r="D888" s="8" t="str">
        <f t="shared" si="18"/>
        <v>2012-10 (октябрь 2012)</v>
      </c>
      <c r="E888" s="9" t="s">
        <v>63</v>
      </c>
      <c r="F888" s="7">
        <v>35</v>
      </c>
      <c r="G888" s="7">
        <v>144.06</v>
      </c>
      <c r="H888" s="7">
        <v>0.01</v>
      </c>
      <c r="I888" s="9" t="s">
        <v>22</v>
      </c>
      <c r="J888" s="10">
        <v>-117.2655</v>
      </c>
      <c r="K888" s="11">
        <v>3.81</v>
      </c>
      <c r="L888" s="11">
        <v>5.44</v>
      </c>
      <c r="M888" s="9" t="s">
        <v>747</v>
      </c>
      <c r="N888" s="6" t="s">
        <v>703</v>
      </c>
      <c r="O888" s="6" t="s">
        <v>704</v>
      </c>
      <c r="P888" s="9" t="s">
        <v>60</v>
      </c>
      <c r="Q888" s="9" t="s">
        <v>26</v>
      </c>
      <c r="R888" s="9" t="s">
        <v>37</v>
      </c>
      <c r="S888" s="7" t="s">
        <v>551</v>
      </c>
      <c r="T888" s="9" t="s">
        <v>39</v>
      </c>
      <c r="U888" s="7">
        <v>0.36</v>
      </c>
      <c r="V888" s="12">
        <f>C888+2</f>
        <v>41209</v>
      </c>
      <c r="W888">
        <f>IF(D888=' Pivot Tables'!$A$4,1,0)</f>
        <v>0</v>
      </c>
      <c r="X888">
        <f>IF(AND(LEFT(D888,4)+1=LEFT(' Pivot Tables'!$A$4,4)+0,RIGHT(LEFT(D888,7),2)=RIGHT(LEFT(' Pivot Tables'!$A$4,7),2)),1,0)</f>
        <v>0</v>
      </c>
      <c r="Y888" s="6">
        <f>1/COUNTIF(Таблица1[Order ID],Таблица1[[#This Row],[Order ID]])</f>
        <v>0.25</v>
      </c>
      <c r="Z888" s="9">
        <f>1/COUNTIFS(Таблица1[Customer Name],Таблица1[[#This Row],[Customer Name]],Таблица1[Order-Year-Month],Таблица1[[#This Row],[Order-Year-Month]])</f>
        <v>0.25</v>
      </c>
    </row>
    <row r="889" spans="1:26" x14ac:dyDescent="0.2">
      <c r="A889" s="6">
        <v>7862</v>
      </c>
      <c r="B889" s="7">
        <v>56224</v>
      </c>
      <c r="C889" s="8">
        <f>DATE(2012,12,31)-67</f>
        <v>41207</v>
      </c>
      <c r="D889" s="8" t="str">
        <f t="shared" si="18"/>
        <v>2012-10 (октябрь 2012)</v>
      </c>
      <c r="E889" s="9" t="s">
        <v>63</v>
      </c>
      <c r="F889" s="7">
        <v>32</v>
      </c>
      <c r="G889" s="7">
        <v>3205.24</v>
      </c>
      <c r="H889" s="7">
        <v>0.01</v>
      </c>
      <c r="I889" s="9" t="s">
        <v>31</v>
      </c>
      <c r="J889" s="10">
        <v>-1115.99</v>
      </c>
      <c r="K889" s="11">
        <v>95.95</v>
      </c>
      <c r="L889" s="11">
        <v>74.349999999999994</v>
      </c>
      <c r="M889" s="9" t="s">
        <v>747</v>
      </c>
      <c r="N889" s="6" t="s">
        <v>703</v>
      </c>
      <c r="O889" s="6" t="s">
        <v>704</v>
      </c>
      <c r="P889" s="9" t="s">
        <v>60</v>
      </c>
      <c r="Q889" s="9" t="s">
        <v>49</v>
      </c>
      <c r="R889" s="9" t="s">
        <v>112</v>
      </c>
      <c r="S889" s="7" t="s">
        <v>113</v>
      </c>
      <c r="T889" s="9" t="s">
        <v>36</v>
      </c>
      <c r="U889" s="7">
        <v>0.56999999999999995</v>
      </c>
      <c r="V889" s="12">
        <f>C889+1</f>
        <v>41208</v>
      </c>
      <c r="W889">
        <f>IF(D889=' Pivot Tables'!$A$4,1,0)</f>
        <v>0</v>
      </c>
      <c r="X889">
        <f>IF(AND(LEFT(D889,4)+1=LEFT(' Pivot Tables'!$A$4,4)+0,RIGHT(LEFT(D889,7),2)=RIGHT(LEFT(' Pivot Tables'!$A$4,7),2)),1,0)</f>
        <v>0</v>
      </c>
      <c r="Y889" s="6">
        <f>1/COUNTIF(Таблица1[Order ID],Таблица1[[#This Row],[Order ID]])</f>
        <v>0.25</v>
      </c>
      <c r="Z889" s="9">
        <f>1/COUNTIFS(Таблица1[Customer Name],Таблица1[[#This Row],[Customer Name]],Таблица1[Order-Year-Month],Таблица1[[#This Row],[Order-Year-Month]])</f>
        <v>0.25</v>
      </c>
    </row>
    <row r="890" spans="1:26" x14ac:dyDescent="0.2">
      <c r="A890" s="6">
        <v>7863</v>
      </c>
      <c r="B890" s="7">
        <v>56224</v>
      </c>
      <c r="C890" s="8">
        <f>DATE(2012,12,31)-67</f>
        <v>41207</v>
      </c>
      <c r="D890" s="8" t="str">
        <f t="shared" si="18"/>
        <v>2012-10 (октябрь 2012)</v>
      </c>
      <c r="E890" s="9" t="s">
        <v>63</v>
      </c>
      <c r="F890" s="7">
        <v>46</v>
      </c>
      <c r="G890" s="7">
        <v>339.27</v>
      </c>
      <c r="H890" s="7">
        <v>0.1</v>
      </c>
      <c r="I890" s="9" t="s">
        <v>22</v>
      </c>
      <c r="J890" s="10">
        <v>48.59</v>
      </c>
      <c r="K890" s="11">
        <v>7.89</v>
      </c>
      <c r="L890" s="11">
        <v>2.82</v>
      </c>
      <c r="M890" s="9" t="s">
        <v>747</v>
      </c>
      <c r="N890" s="6" t="s">
        <v>703</v>
      </c>
      <c r="O890" s="6" t="s">
        <v>704</v>
      </c>
      <c r="P890" s="9" t="s">
        <v>60</v>
      </c>
      <c r="Q890" s="9" t="s">
        <v>26</v>
      </c>
      <c r="R890" s="9" t="s">
        <v>66</v>
      </c>
      <c r="S890" s="7" t="s">
        <v>793</v>
      </c>
      <c r="T890" s="9" t="s">
        <v>68</v>
      </c>
      <c r="U890" s="7">
        <v>0.4</v>
      </c>
      <c r="V890" s="12">
        <f>C890+0</f>
        <v>41207</v>
      </c>
      <c r="W890">
        <f>IF(D890=' Pivot Tables'!$A$4,1,0)</f>
        <v>0</v>
      </c>
      <c r="X890">
        <f>IF(AND(LEFT(D890,4)+1=LEFT(' Pivot Tables'!$A$4,4)+0,RIGHT(LEFT(D890,7),2)=RIGHT(LEFT(' Pivot Tables'!$A$4,7),2)),1,0)</f>
        <v>0</v>
      </c>
      <c r="Y890" s="6">
        <f>1/COUNTIF(Таблица1[Order ID],Таблица1[[#This Row],[Order ID]])</f>
        <v>0.25</v>
      </c>
      <c r="Z890" s="9">
        <f>1/COUNTIFS(Таблица1[Customer Name],Таблица1[[#This Row],[Customer Name]],Таблица1[Order-Year-Month],Таблица1[[#This Row],[Order-Year-Month]])</f>
        <v>0.25</v>
      </c>
    </row>
    <row r="891" spans="1:26" x14ac:dyDescent="0.2">
      <c r="A891" s="6">
        <v>7864</v>
      </c>
      <c r="B891" s="7">
        <v>56224</v>
      </c>
      <c r="C891" s="8">
        <f>DATE(2012,12,31)-67</f>
        <v>41207</v>
      </c>
      <c r="D891" s="8" t="str">
        <f t="shared" si="18"/>
        <v>2012-10 (октябрь 2012)</v>
      </c>
      <c r="E891" s="9" t="s">
        <v>63</v>
      </c>
      <c r="F891" s="7">
        <v>9</v>
      </c>
      <c r="G891" s="7">
        <v>902.024</v>
      </c>
      <c r="H891" s="7">
        <v>0.04</v>
      </c>
      <c r="I891" s="9" t="s">
        <v>31</v>
      </c>
      <c r="J891" s="10">
        <v>-153.25200000000001</v>
      </c>
      <c r="K891" s="11">
        <v>124.49</v>
      </c>
      <c r="L891" s="11">
        <v>51.94</v>
      </c>
      <c r="M891" s="9" t="s">
        <v>747</v>
      </c>
      <c r="N891" s="6" t="s">
        <v>703</v>
      </c>
      <c r="O891" s="6" t="s">
        <v>704</v>
      </c>
      <c r="P891" s="9" t="s">
        <v>60</v>
      </c>
      <c r="Q891" s="9" t="s">
        <v>49</v>
      </c>
      <c r="R891" s="9" t="s">
        <v>83</v>
      </c>
      <c r="S891" s="7" t="s">
        <v>432</v>
      </c>
      <c r="T891" s="9" t="s">
        <v>82</v>
      </c>
      <c r="U891" s="7">
        <v>0.63</v>
      </c>
      <c r="V891" s="12">
        <f>C891+1</f>
        <v>41208</v>
      </c>
      <c r="W891">
        <f>IF(D891=' Pivot Tables'!$A$4,1,0)</f>
        <v>0</v>
      </c>
      <c r="X891">
        <f>IF(AND(LEFT(D891,4)+1=LEFT(' Pivot Tables'!$A$4,4)+0,RIGHT(LEFT(D891,7),2)=RIGHT(LEFT(' Pivot Tables'!$A$4,7),2)),1,0)</f>
        <v>0</v>
      </c>
      <c r="Y891" s="6">
        <f>1/COUNTIF(Таблица1[Order ID],Таблица1[[#This Row],[Order ID]])</f>
        <v>0.25</v>
      </c>
      <c r="Z891" s="9">
        <f>1/COUNTIFS(Таблица1[Customer Name],Таблица1[[#This Row],[Customer Name]],Таблица1[Order-Year-Month],Таблица1[[#This Row],[Order-Year-Month]])</f>
        <v>0.25</v>
      </c>
    </row>
    <row r="892" spans="1:26" x14ac:dyDescent="0.2">
      <c r="A892" s="6">
        <v>7873</v>
      </c>
      <c r="B892" s="7">
        <v>56293</v>
      </c>
      <c r="C892" s="8">
        <f>DATE(2012,12,31)-1091</f>
        <v>40183</v>
      </c>
      <c r="D892" s="8" t="str">
        <f t="shared" si="18"/>
        <v>2010-01 (январь 2010)</v>
      </c>
      <c r="E892" s="9" t="s">
        <v>45</v>
      </c>
      <c r="F892" s="7">
        <v>34</v>
      </c>
      <c r="G892" s="7">
        <v>702.79</v>
      </c>
      <c r="H892" s="7">
        <v>0.04</v>
      </c>
      <c r="I892" s="9" t="s">
        <v>22</v>
      </c>
      <c r="J892" s="10">
        <v>-44.81</v>
      </c>
      <c r="K892" s="11">
        <v>19.989999999999998</v>
      </c>
      <c r="L892" s="11">
        <v>11.17</v>
      </c>
      <c r="M892" s="9" t="s">
        <v>747</v>
      </c>
      <c r="N892" s="6" t="s">
        <v>703</v>
      </c>
      <c r="O892" s="6" t="s">
        <v>704</v>
      </c>
      <c r="P892" s="9" t="s">
        <v>60</v>
      </c>
      <c r="Q892" s="9" t="s">
        <v>49</v>
      </c>
      <c r="R892" s="9" t="s">
        <v>50</v>
      </c>
      <c r="S892" s="7" t="s">
        <v>340</v>
      </c>
      <c r="T892" s="9" t="s">
        <v>29</v>
      </c>
      <c r="U892" s="7">
        <v>0.6</v>
      </c>
      <c r="V892" s="12">
        <f>C892+0</f>
        <v>40183</v>
      </c>
      <c r="W892">
        <f>IF(D892=' Pivot Tables'!$A$4,1,0)</f>
        <v>1</v>
      </c>
      <c r="X892">
        <f>IF(AND(LEFT(D892,4)+1=LEFT(' Pivot Tables'!$A$4,4)+0,RIGHT(LEFT(D892,7),2)=RIGHT(LEFT(' Pivot Tables'!$A$4,7),2)),1,0)</f>
        <v>0</v>
      </c>
      <c r="Y892" s="6">
        <f>1/COUNTIF(Таблица1[Order ID],Таблица1[[#This Row],[Order ID]])</f>
        <v>0.5</v>
      </c>
      <c r="Z892" s="9">
        <f>1/COUNTIFS(Таблица1[Customer Name],Таблица1[[#This Row],[Customer Name]],Таблица1[Order-Year-Month],Таблица1[[#This Row],[Order-Year-Month]])</f>
        <v>0.5</v>
      </c>
    </row>
    <row r="893" spans="1:26" x14ac:dyDescent="0.2">
      <c r="A893" s="6">
        <v>7874</v>
      </c>
      <c r="B893" s="7">
        <v>56293</v>
      </c>
      <c r="C893" s="8">
        <f>DATE(2012,12,31)-1091</f>
        <v>40183</v>
      </c>
      <c r="D893" s="8" t="str">
        <f t="shared" si="18"/>
        <v>2010-01 (январь 2010)</v>
      </c>
      <c r="E893" s="9" t="s">
        <v>45</v>
      </c>
      <c r="F893" s="7">
        <v>44</v>
      </c>
      <c r="G893" s="7">
        <v>712.64</v>
      </c>
      <c r="H893" s="7">
        <v>0.06</v>
      </c>
      <c r="I893" s="9" t="s">
        <v>22</v>
      </c>
      <c r="J893" s="10">
        <v>-27.72</v>
      </c>
      <c r="K893" s="11">
        <v>16.91</v>
      </c>
      <c r="L893" s="11">
        <v>6.25</v>
      </c>
      <c r="M893" s="9" t="s">
        <v>747</v>
      </c>
      <c r="N893" s="6" t="s">
        <v>703</v>
      </c>
      <c r="O893" s="6" t="s">
        <v>704</v>
      </c>
      <c r="P893" s="9" t="s">
        <v>60</v>
      </c>
      <c r="Q893" s="9" t="s">
        <v>26</v>
      </c>
      <c r="R893" s="9" t="s">
        <v>27</v>
      </c>
      <c r="S893" s="7" t="s">
        <v>794</v>
      </c>
      <c r="T893" s="9" t="s">
        <v>39</v>
      </c>
      <c r="U893" s="7">
        <v>0.57999999999999996</v>
      </c>
      <c r="V893" s="12">
        <f>C893+1</f>
        <v>40184</v>
      </c>
      <c r="W893">
        <f>IF(D893=' Pivot Tables'!$A$4,1,0)</f>
        <v>1</v>
      </c>
      <c r="X893">
        <f>IF(AND(LEFT(D893,4)+1=LEFT(' Pivot Tables'!$A$4,4)+0,RIGHT(LEFT(D893,7),2)=RIGHT(LEFT(' Pivot Tables'!$A$4,7),2)),1,0)</f>
        <v>0</v>
      </c>
      <c r="Y893" s="6">
        <f>1/COUNTIF(Таблица1[Order ID],Таблица1[[#This Row],[Order ID]])</f>
        <v>0.5</v>
      </c>
      <c r="Z893" s="9">
        <f>1/COUNTIFS(Таблица1[Customer Name],Таблица1[[#This Row],[Customer Name]],Таблица1[Order-Year-Month],Таблица1[[#This Row],[Order-Year-Month]])</f>
        <v>0.5</v>
      </c>
    </row>
    <row r="894" spans="1:26" x14ac:dyDescent="0.2">
      <c r="A894" s="6">
        <v>8116</v>
      </c>
      <c r="B894" s="7">
        <v>57959</v>
      </c>
      <c r="C894" s="8">
        <f>DATE(2012,12,31)-367</f>
        <v>40907</v>
      </c>
      <c r="D894" s="8" t="str">
        <f t="shared" si="18"/>
        <v>2011-12 (декабрь 2011)</v>
      </c>
      <c r="E894" s="9" t="s">
        <v>63</v>
      </c>
      <c r="F894" s="7">
        <v>40</v>
      </c>
      <c r="G894" s="7">
        <v>239.86</v>
      </c>
      <c r="H894" s="7">
        <v>0.04</v>
      </c>
      <c r="I894" s="9" t="s">
        <v>22</v>
      </c>
      <c r="J894" s="10">
        <v>-32.06</v>
      </c>
      <c r="K894" s="11">
        <v>5.81</v>
      </c>
      <c r="L894" s="11">
        <v>3.37</v>
      </c>
      <c r="M894" s="9" t="s">
        <v>734</v>
      </c>
      <c r="N894" s="6" t="s">
        <v>703</v>
      </c>
      <c r="O894" s="6" t="s">
        <v>704</v>
      </c>
      <c r="P894" s="9" t="s">
        <v>33</v>
      </c>
      <c r="Q894" s="9" t="s">
        <v>26</v>
      </c>
      <c r="R894" s="9" t="s">
        <v>66</v>
      </c>
      <c r="S894" s="7" t="s">
        <v>792</v>
      </c>
      <c r="T894" s="9" t="s">
        <v>68</v>
      </c>
      <c r="U894" s="7">
        <v>0.54</v>
      </c>
      <c r="V894" s="12">
        <f>C894+1</f>
        <v>40908</v>
      </c>
      <c r="W894">
        <f>IF(D894=' Pivot Tables'!$A$4,1,0)</f>
        <v>0</v>
      </c>
      <c r="X894">
        <f>IF(AND(LEFT(D894,4)+1=LEFT(' Pivot Tables'!$A$4,4)+0,RIGHT(LEFT(D894,7),2)=RIGHT(LEFT(' Pivot Tables'!$A$4,7),2)),1,0)</f>
        <v>0</v>
      </c>
      <c r="Y894" s="6">
        <f>1/COUNTIF(Таблица1[Order ID],Таблица1[[#This Row],[Order ID]])</f>
        <v>0.5</v>
      </c>
      <c r="Z894" s="9">
        <f>1/COUNTIFS(Таблица1[Customer Name],Таблица1[[#This Row],[Customer Name]],Таблица1[Order-Year-Month],Таблица1[[#This Row],[Order-Year-Month]])</f>
        <v>0.5</v>
      </c>
    </row>
    <row r="895" spans="1:26" x14ac:dyDescent="0.2">
      <c r="A895" s="6">
        <v>8117</v>
      </c>
      <c r="B895" s="7">
        <v>57959</v>
      </c>
      <c r="C895" s="8">
        <f>DATE(2012,12,31)-367</f>
        <v>40907</v>
      </c>
      <c r="D895" s="8" t="str">
        <f t="shared" si="18"/>
        <v>2011-12 (декабрь 2011)</v>
      </c>
      <c r="E895" s="9" t="s">
        <v>63</v>
      </c>
      <c r="F895" s="7">
        <v>48</v>
      </c>
      <c r="G895" s="7">
        <v>1269.79</v>
      </c>
      <c r="H895" s="7">
        <v>0.08</v>
      </c>
      <c r="I895" s="9" t="s">
        <v>56</v>
      </c>
      <c r="J895" s="10">
        <v>-65.33</v>
      </c>
      <c r="K895" s="11">
        <v>26.31</v>
      </c>
      <c r="L895" s="11">
        <v>5.89</v>
      </c>
      <c r="M895" s="9" t="s">
        <v>734</v>
      </c>
      <c r="N895" s="6" t="s">
        <v>703</v>
      </c>
      <c r="O895" s="6" t="s">
        <v>704</v>
      </c>
      <c r="P895" s="9" t="s">
        <v>33</v>
      </c>
      <c r="Q895" s="9" t="s">
        <v>42</v>
      </c>
      <c r="R895" s="9" t="s">
        <v>70</v>
      </c>
      <c r="S895" s="7" t="s">
        <v>420</v>
      </c>
      <c r="T895" s="9" t="s">
        <v>39</v>
      </c>
      <c r="U895" s="7">
        <v>0.75</v>
      </c>
      <c r="V895" s="12">
        <f>C895+1</f>
        <v>40908</v>
      </c>
      <c r="W895">
        <f>IF(D895=' Pivot Tables'!$A$4,1,0)</f>
        <v>0</v>
      </c>
      <c r="X895">
        <f>IF(AND(LEFT(D895,4)+1=LEFT(' Pivot Tables'!$A$4,4)+0,RIGHT(LEFT(D895,7),2)=RIGHT(LEFT(' Pivot Tables'!$A$4,7),2)),1,0)</f>
        <v>0</v>
      </c>
      <c r="Y895" s="6">
        <f>1/COUNTIF(Таблица1[Order ID],Таблица1[[#This Row],[Order ID]])</f>
        <v>0.5</v>
      </c>
      <c r="Z895" s="9">
        <f>1/COUNTIFS(Таблица1[Customer Name],Таблица1[[#This Row],[Customer Name]],Таблица1[Order-Year-Month],Таблица1[[#This Row],[Order-Year-Month]])</f>
        <v>0.5</v>
      </c>
    </row>
    <row r="896" spans="1:26" x14ac:dyDescent="0.2">
      <c r="A896" s="6">
        <v>8184</v>
      </c>
      <c r="B896" s="7">
        <v>58500</v>
      </c>
      <c r="C896" s="8">
        <f>DATE(2012,12,31)-686</f>
        <v>40588</v>
      </c>
      <c r="D896" s="8" t="str">
        <f t="shared" si="18"/>
        <v>2011-02 (февраль 2011)</v>
      </c>
      <c r="E896" s="9" t="s">
        <v>21</v>
      </c>
      <c r="F896" s="7">
        <v>17</v>
      </c>
      <c r="G896" s="7">
        <v>1529.0139999999999</v>
      </c>
      <c r="H896" s="7">
        <v>7.0000000000000007E-2</v>
      </c>
      <c r="I896" s="9" t="s">
        <v>22</v>
      </c>
      <c r="J896" s="10">
        <v>14.013</v>
      </c>
      <c r="K896" s="11">
        <v>110.99</v>
      </c>
      <c r="L896" s="11">
        <v>8.99</v>
      </c>
      <c r="M896" s="9" t="s">
        <v>780</v>
      </c>
      <c r="N896" s="6" t="s">
        <v>703</v>
      </c>
      <c r="O896" s="6" t="s">
        <v>704</v>
      </c>
      <c r="P896" s="9" t="s">
        <v>60</v>
      </c>
      <c r="Q896" s="9" t="s">
        <v>42</v>
      </c>
      <c r="R896" s="9" t="s">
        <v>43</v>
      </c>
      <c r="S896" s="7" t="s">
        <v>565</v>
      </c>
      <c r="T896" s="9" t="s">
        <v>39</v>
      </c>
      <c r="U896" s="7">
        <v>0.56999999999999995</v>
      </c>
      <c r="V896" s="12">
        <f>C896+0</f>
        <v>40588</v>
      </c>
      <c r="W896">
        <f>IF(D896=' Pivot Tables'!$A$4,1,0)</f>
        <v>0</v>
      </c>
      <c r="X896">
        <f>IF(AND(LEFT(D896,4)+1=LEFT(' Pivot Tables'!$A$4,4)+0,RIGHT(LEFT(D896,7),2)=RIGHT(LEFT(' Pivot Tables'!$A$4,7),2)),1,0)</f>
        <v>0</v>
      </c>
      <c r="Y896" s="6">
        <f>1/COUNTIF(Таблица1[Order ID],Таблица1[[#This Row],[Order ID]])</f>
        <v>1</v>
      </c>
      <c r="Z896" s="9">
        <f>1/COUNTIFS(Таблица1[Customer Name],Таблица1[[#This Row],[Customer Name]],Таблица1[Order-Year-Month],Таблица1[[#This Row],[Order-Year-Month]])</f>
        <v>1</v>
      </c>
    </row>
    <row r="897" spans="1:26" x14ac:dyDescent="0.2">
      <c r="A897" s="6">
        <v>8335</v>
      </c>
      <c r="B897" s="7">
        <v>59584</v>
      </c>
      <c r="C897" s="8">
        <f>DATE(2012,12,31)-948</f>
        <v>40326</v>
      </c>
      <c r="D897" s="8" t="str">
        <f t="shared" si="18"/>
        <v>2010-05 (май 2010)</v>
      </c>
      <c r="E897" s="9" t="s">
        <v>63</v>
      </c>
      <c r="F897" s="7">
        <v>3</v>
      </c>
      <c r="G897" s="7">
        <v>336.84</v>
      </c>
      <c r="H897" s="7">
        <v>0.08</v>
      </c>
      <c r="I897" s="9" t="s">
        <v>31</v>
      </c>
      <c r="J897" s="10">
        <v>-160.46</v>
      </c>
      <c r="K897" s="11">
        <v>100.98</v>
      </c>
      <c r="L897" s="11">
        <v>35.840000000000003</v>
      </c>
      <c r="M897" s="9" t="s">
        <v>552</v>
      </c>
      <c r="N897" s="6" t="s">
        <v>703</v>
      </c>
      <c r="O897" s="6" t="s">
        <v>704</v>
      </c>
      <c r="P897" s="9" t="s">
        <v>33</v>
      </c>
      <c r="Q897" s="9" t="s">
        <v>49</v>
      </c>
      <c r="R897" s="9" t="s">
        <v>80</v>
      </c>
      <c r="S897" s="7" t="s">
        <v>705</v>
      </c>
      <c r="T897" s="9" t="s">
        <v>82</v>
      </c>
      <c r="U897" s="7">
        <v>0.62</v>
      </c>
      <c r="V897" s="12">
        <f>C897+1</f>
        <v>40327</v>
      </c>
      <c r="W897">
        <f>IF(D897=' Pivot Tables'!$A$4,1,0)</f>
        <v>0</v>
      </c>
      <c r="X897">
        <f>IF(AND(LEFT(D897,4)+1=LEFT(' Pivot Tables'!$A$4,4)+0,RIGHT(LEFT(D897,7),2)=RIGHT(LEFT(' Pivot Tables'!$A$4,7),2)),1,0)</f>
        <v>0</v>
      </c>
      <c r="Y897" s="6">
        <f>1/COUNTIF(Таблица1[Order ID],Таблица1[[#This Row],[Order ID]])</f>
        <v>0.5</v>
      </c>
      <c r="Z897" s="9">
        <f>1/COUNTIFS(Таблица1[Customer Name],Таблица1[[#This Row],[Customer Name]],Таблица1[Order-Year-Month],Таблица1[[#This Row],[Order-Year-Month]])</f>
        <v>0.5</v>
      </c>
    </row>
    <row r="898" spans="1:26" x14ac:dyDescent="0.2">
      <c r="A898" s="6">
        <v>8336</v>
      </c>
      <c r="B898" s="7">
        <v>59584</v>
      </c>
      <c r="C898" s="8">
        <f>DATE(2012,12,31)-948</f>
        <v>40326</v>
      </c>
      <c r="D898" s="8" t="str">
        <f t="shared" si="18"/>
        <v>2010-05 (май 2010)</v>
      </c>
      <c r="E898" s="9" t="s">
        <v>63</v>
      </c>
      <c r="F898" s="7">
        <v>7</v>
      </c>
      <c r="G898" s="7">
        <v>1120.27</v>
      </c>
      <c r="H898" s="7">
        <v>0</v>
      </c>
      <c r="I898" s="9" t="s">
        <v>22</v>
      </c>
      <c r="J898" s="10">
        <v>16.809999999999999</v>
      </c>
      <c r="K898" s="11">
        <v>150.97999999999999</v>
      </c>
      <c r="L898" s="11">
        <v>13.99</v>
      </c>
      <c r="M898" s="9" t="s">
        <v>552</v>
      </c>
      <c r="N898" s="6" t="s">
        <v>703</v>
      </c>
      <c r="O898" s="6" t="s">
        <v>704</v>
      </c>
      <c r="P898" s="9" t="s">
        <v>33</v>
      </c>
      <c r="Q898" s="9" t="s">
        <v>42</v>
      </c>
      <c r="R898" s="9" t="s">
        <v>210</v>
      </c>
      <c r="S898" s="7" t="s">
        <v>341</v>
      </c>
      <c r="T898" s="9" t="s">
        <v>48</v>
      </c>
      <c r="U898" s="7">
        <v>0.38</v>
      </c>
      <c r="V898" s="12">
        <f>C898+0</f>
        <v>40326</v>
      </c>
      <c r="W898">
        <f>IF(D898=' Pivot Tables'!$A$4,1,0)</f>
        <v>0</v>
      </c>
      <c r="X898">
        <f>IF(AND(LEFT(D898,4)+1=LEFT(' Pivot Tables'!$A$4,4)+0,RIGHT(LEFT(D898,7),2)=RIGHT(LEFT(' Pivot Tables'!$A$4,7),2)),1,0)</f>
        <v>0</v>
      </c>
      <c r="Y898" s="6">
        <f>1/COUNTIF(Таблица1[Order ID],Таблица1[[#This Row],[Order ID]])</f>
        <v>0.5</v>
      </c>
      <c r="Z898" s="9">
        <f>1/COUNTIFS(Таблица1[Customer Name],Таблица1[[#This Row],[Customer Name]],Таблица1[Order-Year-Month],Таблица1[[#This Row],[Order-Year-Month]])</f>
        <v>0.5</v>
      </c>
    </row>
    <row r="899" spans="1:26" x14ac:dyDescent="0.2">
      <c r="A899" s="6">
        <v>45</v>
      </c>
      <c r="B899" s="7">
        <v>261</v>
      </c>
      <c r="C899" s="8">
        <f>DATE(2012,12,31)-917</f>
        <v>40357</v>
      </c>
      <c r="D899" s="8" t="str">
        <f t="shared" ref="D899:D962" si="19">TEXT(C899,"гггг-ММ (ММММ гггг)")</f>
        <v>2010-06 (июнь 2010)</v>
      </c>
      <c r="E899" s="9" t="s">
        <v>63</v>
      </c>
      <c r="F899" s="7">
        <v>47</v>
      </c>
      <c r="G899" s="7">
        <v>5677.6089999999995</v>
      </c>
      <c r="H899" s="7">
        <v>0.04</v>
      </c>
      <c r="I899" s="9" t="s">
        <v>22</v>
      </c>
      <c r="J899" s="10">
        <v>1680.7860000000001</v>
      </c>
      <c r="K899" s="11">
        <v>140.99</v>
      </c>
      <c r="L899" s="11">
        <v>4.2</v>
      </c>
      <c r="M899" s="9" t="s">
        <v>795</v>
      </c>
      <c r="N899" s="6" t="s">
        <v>703</v>
      </c>
      <c r="O899" s="6" t="s">
        <v>704</v>
      </c>
      <c r="P899" s="9" t="s">
        <v>25</v>
      </c>
      <c r="Q899" s="9" t="s">
        <v>42</v>
      </c>
      <c r="R899" s="9" t="s">
        <v>43</v>
      </c>
      <c r="S899" s="7" t="s">
        <v>796</v>
      </c>
      <c r="T899" s="9" t="s">
        <v>39</v>
      </c>
      <c r="U899" s="7">
        <v>0.59</v>
      </c>
      <c r="V899" s="12">
        <f>C899+1</f>
        <v>40358</v>
      </c>
      <c r="W899">
        <f>IF(D899=' Pivot Tables'!$A$4,1,0)</f>
        <v>0</v>
      </c>
      <c r="X899">
        <f>IF(AND(LEFT(D899,4)+1=LEFT(' Pivot Tables'!$A$4,4)+0,RIGHT(LEFT(D899,7),2)=RIGHT(LEFT(' Pivot Tables'!$A$4,7),2)),1,0)</f>
        <v>0</v>
      </c>
      <c r="Y899" s="6">
        <f>1/COUNTIF(Таблица1[Order ID],Таблица1[[#This Row],[Order ID]])</f>
        <v>1</v>
      </c>
      <c r="Z899" s="9">
        <f>1/COUNTIFS(Таблица1[Customer Name],Таблица1[[#This Row],[Customer Name]],Таблица1[Order-Year-Month],Таблица1[[#This Row],[Order-Year-Month]])</f>
        <v>0.5</v>
      </c>
    </row>
    <row r="900" spans="1:26" x14ac:dyDescent="0.2">
      <c r="A900" s="6">
        <v>143</v>
      </c>
      <c r="B900" s="7">
        <v>928</v>
      </c>
      <c r="C900" s="8">
        <f>DATE(2012,12,31)-671</f>
        <v>40603</v>
      </c>
      <c r="D900" s="8" t="str">
        <f t="shared" si="19"/>
        <v>2011-03 (март 2011)</v>
      </c>
      <c r="E900" s="9" t="s">
        <v>21</v>
      </c>
      <c r="F900" s="7">
        <v>21</v>
      </c>
      <c r="G900" s="7">
        <v>1222.68</v>
      </c>
      <c r="H900" s="7">
        <v>0.06</v>
      </c>
      <c r="I900" s="9" t="s">
        <v>56</v>
      </c>
      <c r="J900" s="10">
        <v>300.97000000000003</v>
      </c>
      <c r="K900" s="11">
        <v>59.98</v>
      </c>
      <c r="L900" s="11">
        <v>3.99</v>
      </c>
      <c r="M900" s="9" t="s">
        <v>797</v>
      </c>
      <c r="N900" s="6" t="s">
        <v>703</v>
      </c>
      <c r="O900" s="6" t="s">
        <v>704</v>
      </c>
      <c r="P900" s="9" t="s">
        <v>33</v>
      </c>
      <c r="Q900" s="9" t="s">
        <v>26</v>
      </c>
      <c r="R900" s="9" t="s">
        <v>34</v>
      </c>
      <c r="S900" s="7" t="s">
        <v>448</v>
      </c>
      <c r="T900" s="9" t="s">
        <v>39</v>
      </c>
      <c r="U900" s="7">
        <v>0.56999999999999995</v>
      </c>
      <c r="V900" s="12">
        <f>C900+5</f>
        <v>40608</v>
      </c>
      <c r="W900">
        <f>IF(D900=' Pivot Tables'!$A$4,1,0)</f>
        <v>0</v>
      </c>
      <c r="X900">
        <f>IF(AND(LEFT(D900,4)+1=LEFT(' Pivot Tables'!$A$4,4)+0,RIGHT(LEFT(D900,7),2)=RIGHT(LEFT(' Pivot Tables'!$A$4,7),2)),1,0)</f>
        <v>0</v>
      </c>
      <c r="Y900" s="6">
        <f>1/COUNTIF(Таблица1[Order ID],Таблица1[[#This Row],[Order ID]])</f>
        <v>0.5</v>
      </c>
      <c r="Z900" s="9">
        <f>1/COUNTIFS(Таблица1[Customer Name],Таблица1[[#This Row],[Customer Name]],Таблица1[Order-Year-Month],Таблица1[[#This Row],[Order-Year-Month]])</f>
        <v>0.5</v>
      </c>
    </row>
    <row r="901" spans="1:26" x14ac:dyDescent="0.2">
      <c r="A901" s="6">
        <v>144</v>
      </c>
      <c r="B901" s="7">
        <v>928</v>
      </c>
      <c r="C901" s="8">
        <f>DATE(2012,12,31)-671</f>
        <v>40603</v>
      </c>
      <c r="D901" s="8" t="str">
        <f t="shared" si="19"/>
        <v>2011-03 (март 2011)</v>
      </c>
      <c r="E901" s="9" t="s">
        <v>21</v>
      </c>
      <c r="F901" s="7">
        <v>26</v>
      </c>
      <c r="G901" s="7">
        <v>390.2</v>
      </c>
      <c r="H901" s="7">
        <v>0.02</v>
      </c>
      <c r="I901" s="9" t="s">
        <v>56</v>
      </c>
      <c r="J901" s="10">
        <v>45</v>
      </c>
      <c r="K901" s="11">
        <v>14.58</v>
      </c>
      <c r="L901" s="11">
        <v>7.4</v>
      </c>
      <c r="M901" s="9" t="s">
        <v>797</v>
      </c>
      <c r="N901" s="6" t="s">
        <v>703</v>
      </c>
      <c r="O901" s="6" t="s">
        <v>704</v>
      </c>
      <c r="P901" s="9" t="s">
        <v>33</v>
      </c>
      <c r="Q901" s="9" t="s">
        <v>49</v>
      </c>
      <c r="R901" s="9" t="s">
        <v>50</v>
      </c>
      <c r="S901" s="7" t="s">
        <v>653</v>
      </c>
      <c r="T901" s="9" t="s">
        <v>39</v>
      </c>
      <c r="U901" s="7">
        <v>0.48</v>
      </c>
      <c r="V901" s="12">
        <f>C901+2</f>
        <v>40605</v>
      </c>
      <c r="W901">
        <f>IF(D901=' Pivot Tables'!$A$4,1,0)</f>
        <v>0</v>
      </c>
      <c r="X901">
        <f>IF(AND(LEFT(D901,4)+1=LEFT(' Pivot Tables'!$A$4,4)+0,RIGHT(LEFT(D901,7),2)=RIGHT(LEFT(' Pivot Tables'!$A$4,7),2)),1,0)</f>
        <v>0</v>
      </c>
      <c r="Y901" s="6">
        <f>1/COUNTIF(Таблица1[Order ID],Таблица1[[#This Row],[Order ID]])</f>
        <v>0.5</v>
      </c>
      <c r="Z901" s="9">
        <f>1/COUNTIFS(Таблица1[Customer Name],Таблица1[[#This Row],[Customer Name]],Таблица1[Order-Year-Month],Таблица1[[#This Row],[Order-Year-Month]])</f>
        <v>0.5</v>
      </c>
    </row>
    <row r="902" spans="1:26" x14ac:dyDescent="0.2">
      <c r="A902" s="6">
        <v>191</v>
      </c>
      <c r="B902" s="7">
        <v>1282</v>
      </c>
      <c r="C902" s="8">
        <f>DATE(2012,12,31)-308</f>
        <v>40966</v>
      </c>
      <c r="D902" s="8" t="str">
        <f t="shared" si="19"/>
        <v>2012-02 (февраль 2012)</v>
      </c>
      <c r="E902" s="9" t="s">
        <v>45</v>
      </c>
      <c r="F902" s="7">
        <v>26</v>
      </c>
      <c r="G902" s="7">
        <v>892.38</v>
      </c>
      <c r="H902" s="7">
        <v>0</v>
      </c>
      <c r="I902" s="9" t="s">
        <v>22</v>
      </c>
      <c r="J902" s="10">
        <v>366.48</v>
      </c>
      <c r="K902" s="11">
        <v>31.78</v>
      </c>
      <c r="L902" s="11">
        <v>1.99</v>
      </c>
      <c r="M902" s="9" t="s">
        <v>798</v>
      </c>
      <c r="N902" s="6" t="s">
        <v>703</v>
      </c>
      <c r="O902" s="6" t="s">
        <v>704</v>
      </c>
      <c r="P902" s="9" t="s">
        <v>60</v>
      </c>
      <c r="Q902" s="9" t="s">
        <v>42</v>
      </c>
      <c r="R902" s="9" t="s">
        <v>70</v>
      </c>
      <c r="S902" s="7" t="s">
        <v>132</v>
      </c>
      <c r="T902" s="9" t="s">
        <v>52</v>
      </c>
      <c r="U902" s="7">
        <v>0.42</v>
      </c>
      <c r="V902" s="12">
        <f>C902+2</f>
        <v>40968</v>
      </c>
      <c r="W902">
        <f>IF(D902=' Pivot Tables'!$A$4,1,0)</f>
        <v>0</v>
      </c>
      <c r="X902">
        <f>IF(AND(LEFT(D902,4)+1=LEFT(' Pivot Tables'!$A$4,4)+0,RIGHT(LEFT(D902,7),2)=RIGHT(LEFT(' Pivot Tables'!$A$4,7),2)),1,0)</f>
        <v>0</v>
      </c>
      <c r="Y902" s="6">
        <f>1/COUNTIF(Таблица1[Order ID],Таблица1[[#This Row],[Order ID]])</f>
        <v>0.5</v>
      </c>
      <c r="Z902" s="9">
        <f>1/COUNTIFS(Таблица1[Customer Name],Таблица1[[#This Row],[Customer Name]],Таблица1[Order-Year-Month],Таблица1[[#This Row],[Order-Year-Month]])</f>
        <v>0.5</v>
      </c>
    </row>
    <row r="903" spans="1:26" x14ac:dyDescent="0.2">
      <c r="A903" s="6">
        <v>192</v>
      </c>
      <c r="B903" s="7">
        <v>1282</v>
      </c>
      <c r="C903" s="8">
        <f>DATE(2012,12,31)-308</f>
        <v>40966</v>
      </c>
      <c r="D903" s="8" t="str">
        <f t="shared" si="19"/>
        <v>2012-02 (февраль 2012)</v>
      </c>
      <c r="E903" s="9" t="s">
        <v>45</v>
      </c>
      <c r="F903" s="7">
        <v>10</v>
      </c>
      <c r="G903" s="7">
        <v>29.41</v>
      </c>
      <c r="H903" s="7">
        <v>0.01</v>
      </c>
      <c r="I903" s="9" t="s">
        <v>22</v>
      </c>
      <c r="J903" s="10">
        <v>-2.06</v>
      </c>
      <c r="K903" s="11">
        <v>2.78</v>
      </c>
      <c r="L903" s="11">
        <v>1.34</v>
      </c>
      <c r="M903" s="9" t="s">
        <v>798</v>
      </c>
      <c r="N903" s="6" t="s">
        <v>703</v>
      </c>
      <c r="O903" s="6" t="s">
        <v>704</v>
      </c>
      <c r="P903" s="9" t="s">
        <v>60</v>
      </c>
      <c r="Q903" s="9" t="s">
        <v>26</v>
      </c>
      <c r="R903" s="9" t="s">
        <v>95</v>
      </c>
      <c r="S903" s="7" t="s">
        <v>256</v>
      </c>
      <c r="T903" s="9" t="s">
        <v>68</v>
      </c>
      <c r="U903" s="7">
        <v>0.45</v>
      </c>
      <c r="V903" s="12">
        <f>C903+2</f>
        <v>40968</v>
      </c>
      <c r="W903">
        <f>IF(D903=' Pivot Tables'!$A$4,1,0)</f>
        <v>0</v>
      </c>
      <c r="X903">
        <f>IF(AND(LEFT(D903,4)+1=LEFT(' Pivot Tables'!$A$4,4)+0,RIGHT(LEFT(D903,7),2)=RIGHT(LEFT(' Pivot Tables'!$A$4,7),2)),1,0)</f>
        <v>0</v>
      </c>
      <c r="Y903" s="6">
        <f>1/COUNTIF(Таблица1[Order ID],Таблица1[[#This Row],[Order ID]])</f>
        <v>0.5</v>
      </c>
      <c r="Z903" s="9">
        <f>1/COUNTIFS(Таблица1[Customer Name],Таблица1[[#This Row],[Customer Name]],Таблица1[Order-Year-Month],Таблица1[[#This Row],[Order-Year-Month]])</f>
        <v>0.5</v>
      </c>
    </row>
    <row r="904" spans="1:26" x14ac:dyDescent="0.2">
      <c r="A904" s="6">
        <v>267</v>
      </c>
      <c r="B904" s="7">
        <v>1856</v>
      </c>
      <c r="C904" s="8">
        <f>DATE(2012,12,31)-287</f>
        <v>40987</v>
      </c>
      <c r="D904" s="8" t="str">
        <f t="shared" si="19"/>
        <v>2012-03 (март 2012)</v>
      </c>
      <c r="E904" s="9" t="s">
        <v>45</v>
      </c>
      <c r="F904" s="7">
        <v>24</v>
      </c>
      <c r="G904" s="7">
        <v>1449.3</v>
      </c>
      <c r="H904" s="7">
        <v>0.08</v>
      </c>
      <c r="I904" s="9" t="s">
        <v>22</v>
      </c>
      <c r="J904" s="10">
        <v>-712.14</v>
      </c>
      <c r="K904" s="11">
        <v>60.98</v>
      </c>
      <c r="L904" s="11">
        <v>49</v>
      </c>
      <c r="M904" s="9" t="s">
        <v>799</v>
      </c>
      <c r="N904" s="6" t="s">
        <v>703</v>
      </c>
      <c r="O904" s="6" t="s">
        <v>704</v>
      </c>
      <c r="P904" s="9" t="s">
        <v>60</v>
      </c>
      <c r="Q904" s="9" t="s">
        <v>26</v>
      </c>
      <c r="R904" s="9" t="s">
        <v>34</v>
      </c>
      <c r="S904" s="7" t="s">
        <v>472</v>
      </c>
      <c r="T904" s="9" t="s">
        <v>29</v>
      </c>
      <c r="U904" s="7">
        <v>0.59</v>
      </c>
      <c r="V904" s="12">
        <f>C904+2</f>
        <v>40989</v>
      </c>
      <c r="W904">
        <f>IF(D904=' Pivot Tables'!$A$4,1,0)</f>
        <v>0</v>
      </c>
      <c r="X904">
        <f>IF(AND(LEFT(D904,4)+1=LEFT(' Pivot Tables'!$A$4,4)+0,RIGHT(LEFT(D904,7),2)=RIGHT(LEFT(' Pivot Tables'!$A$4,7),2)),1,0)</f>
        <v>0</v>
      </c>
      <c r="Y904" s="6">
        <f>1/COUNTIF(Таблица1[Order ID],Таблица1[[#This Row],[Order ID]])</f>
        <v>0.33333333333333331</v>
      </c>
      <c r="Z904" s="9">
        <f>1/COUNTIFS(Таблица1[Customer Name],Таблица1[[#This Row],[Customer Name]],Таблица1[Order-Year-Month],Таблица1[[#This Row],[Order-Year-Month]])</f>
        <v>0.33333333333333331</v>
      </c>
    </row>
    <row r="905" spans="1:26" x14ac:dyDescent="0.2">
      <c r="A905" s="6">
        <v>268</v>
      </c>
      <c r="B905" s="7">
        <v>1856</v>
      </c>
      <c r="C905" s="8">
        <f>DATE(2012,12,31)-287</f>
        <v>40987</v>
      </c>
      <c r="D905" s="8" t="str">
        <f t="shared" si="19"/>
        <v>2012-03 (март 2012)</v>
      </c>
      <c r="E905" s="9" t="s">
        <v>45</v>
      </c>
      <c r="F905" s="7">
        <v>43</v>
      </c>
      <c r="G905" s="7">
        <v>4374.6864999999998</v>
      </c>
      <c r="H905" s="7">
        <v>0.05</v>
      </c>
      <c r="I905" s="9" t="s">
        <v>22</v>
      </c>
      <c r="J905" s="10">
        <v>973.16099999999994</v>
      </c>
      <c r="K905" s="11">
        <v>125.99</v>
      </c>
      <c r="L905" s="11">
        <v>8.08</v>
      </c>
      <c r="M905" s="9" t="s">
        <v>799</v>
      </c>
      <c r="N905" s="6" t="s">
        <v>703</v>
      </c>
      <c r="O905" s="6" t="s">
        <v>704</v>
      </c>
      <c r="P905" s="9" t="s">
        <v>60</v>
      </c>
      <c r="Q905" s="9" t="s">
        <v>42</v>
      </c>
      <c r="R905" s="9" t="s">
        <v>43</v>
      </c>
      <c r="S905" s="7" t="s">
        <v>586</v>
      </c>
      <c r="T905" s="9" t="s">
        <v>39</v>
      </c>
      <c r="U905" s="7">
        <v>0.56999999999999995</v>
      </c>
      <c r="V905" s="12">
        <f>C905+1</f>
        <v>40988</v>
      </c>
      <c r="W905">
        <f>IF(D905=' Pivot Tables'!$A$4,1,0)</f>
        <v>0</v>
      </c>
      <c r="X905">
        <f>IF(AND(LEFT(D905,4)+1=LEFT(' Pivot Tables'!$A$4,4)+0,RIGHT(LEFT(D905,7),2)=RIGHT(LEFT(' Pivot Tables'!$A$4,7),2)),1,0)</f>
        <v>0</v>
      </c>
      <c r="Y905" s="6">
        <f>1/COUNTIF(Таблица1[Order ID],Таблица1[[#This Row],[Order ID]])</f>
        <v>0.33333333333333331</v>
      </c>
      <c r="Z905" s="9">
        <f>1/COUNTIFS(Таблица1[Customer Name],Таблица1[[#This Row],[Customer Name]],Таблица1[Order-Year-Month],Таблица1[[#This Row],[Order-Year-Month]])</f>
        <v>0.33333333333333331</v>
      </c>
    </row>
    <row r="906" spans="1:26" x14ac:dyDescent="0.2">
      <c r="A906" s="6">
        <v>269</v>
      </c>
      <c r="B906" s="7">
        <v>1856</v>
      </c>
      <c r="C906" s="8">
        <f>DATE(2012,12,31)-287</f>
        <v>40987</v>
      </c>
      <c r="D906" s="8" t="str">
        <f t="shared" si="19"/>
        <v>2012-03 (март 2012)</v>
      </c>
      <c r="E906" s="9" t="s">
        <v>45</v>
      </c>
      <c r="F906" s="7">
        <v>44</v>
      </c>
      <c r="G906" s="7">
        <v>4283.2350000000006</v>
      </c>
      <c r="H906" s="7">
        <v>0.1</v>
      </c>
      <c r="I906" s="9" t="s">
        <v>22</v>
      </c>
      <c r="J906" s="10">
        <v>676.125</v>
      </c>
      <c r="K906" s="11">
        <v>125.99</v>
      </c>
      <c r="L906" s="11">
        <v>8.8000000000000007</v>
      </c>
      <c r="M906" s="9" t="s">
        <v>799</v>
      </c>
      <c r="N906" s="6" t="s">
        <v>703</v>
      </c>
      <c r="O906" s="6" t="s">
        <v>704</v>
      </c>
      <c r="P906" s="9" t="s">
        <v>60</v>
      </c>
      <c r="Q906" s="9" t="s">
        <v>42</v>
      </c>
      <c r="R906" s="9" t="s">
        <v>43</v>
      </c>
      <c r="S906" s="7" t="s">
        <v>800</v>
      </c>
      <c r="T906" s="9" t="s">
        <v>39</v>
      </c>
      <c r="U906" s="7">
        <v>0.59</v>
      </c>
      <c r="V906" s="12">
        <f>C906+1</f>
        <v>40988</v>
      </c>
      <c r="W906">
        <f>IF(D906=' Pivot Tables'!$A$4,1,0)</f>
        <v>0</v>
      </c>
      <c r="X906">
        <f>IF(AND(LEFT(D906,4)+1=LEFT(' Pivot Tables'!$A$4,4)+0,RIGHT(LEFT(D906,7),2)=RIGHT(LEFT(' Pivot Tables'!$A$4,7),2)),1,0)</f>
        <v>0</v>
      </c>
      <c r="Y906" s="6">
        <f>1/COUNTIF(Таблица1[Order ID],Таблица1[[#This Row],[Order ID]])</f>
        <v>0.33333333333333331</v>
      </c>
      <c r="Z906" s="9">
        <f>1/COUNTIFS(Таблица1[Customer Name],Таблица1[[#This Row],[Customer Name]],Таблица1[Order-Year-Month],Таблица1[[#This Row],[Order-Year-Month]])</f>
        <v>0.33333333333333331</v>
      </c>
    </row>
    <row r="907" spans="1:26" x14ac:dyDescent="0.2">
      <c r="A907" s="6">
        <v>280</v>
      </c>
      <c r="B907" s="7">
        <v>1925</v>
      </c>
      <c r="C907" s="8">
        <f>DATE(2012,12,31)-302</f>
        <v>40972</v>
      </c>
      <c r="D907" s="8" t="str">
        <f t="shared" si="19"/>
        <v>2012-03 (март 2012)</v>
      </c>
      <c r="E907" s="9" t="s">
        <v>78</v>
      </c>
      <c r="F907" s="7">
        <v>7</v>
      </c>
      <c r="G907" s="7">
        <v>1874.37</v>
      </c>
      <c r="H907" s="7">
        <v>0.08</v>
      </c>
      <c r="I907" s="9" t="s">
        <v>22</v>
      </c>
      <c r="J907" s="10">
        <v>67.84</v>
      </c>
      <c r="K907" s="11">
        <v>276.2</v>
      </c>
      <c r="L907" s="11">
        <v>24.49</v>
      </c>
      <c r="M907" s="9" t="s">
        <v>689</v>
      </c>
      <c r="N907" s="6" t="s">
        <v>703</v>
      </c>
      <c r="O907" s="6" t="s">
        <v>704</v>
      </c>
      <c r="P907" s="9" t="s">
        <v>41</v>
      </c>
      <c r="Q907" s="9" t="s">
        <v>49</v>
      </c>
      <c r="R907" s="9" t="s">
        <v>112</v>
      </c>
      <c r="S907" s="7" t="s">
        <v>164</v>
      </c>
      <c r="T907" s="9" t="s">
        <v>29</v>
      </c>
      <c r="U907" s="7"/>
      <c r="V907" s="12">
        <f>C907+1</f>
        <v>40973</v>
      </c>
      <c r="W907">
        <f>IF(D907=' Pivot Tables'!$A$4,1,0)</f>
        <v>0</v>
      </c>
      <c r="X907">
        <f>IF(AND(LEFT(D907,4)+1=LEFT(' Pivot Tables'!$A$4,4)+0,RIGHT(LEFT(D907,7),2)=RIGHT(LEFT(' Pivot Tables'!$A$4,7),2)),1,0)</f>
        <v>0</v>
      </c>
      <c r="Y907" s="6">
        <f>1/COUNTIF(Таблица1[Order ID],Таблица1[[#This Row],[Order ID]])</f>
        <v>0.5</v>
      </c>
      <c r="Z907" s="9">
        <f>1/COUNTIFS(Таблица1[Customer Name],Таблица1[[#This Row],[Customer Name]],Таблица1[Order-Year-Month],Таблица1[[#This Row],[Order-Year-Month]])</f>
        <v>0.5</v>
      </c>
    </row>
    <row r="908" spans="1:26" x14ac:dyDescent="0.2">
      <c r="A908" s="6">
        <v>424</v>
      </c>
      <c r="B908" s="7">
        <v>2848</v>
      </c>
      <c r="C908" s="8">
        <f>DATE(2012,12,31)-297</f>
        <v>40977</v>
      </c>
      <c r="D908" s="8" t="str">
        <f t="shared" si="19"/>
        <v>2012-03 (март 2012)</v>
      </c>
      <c r="E908" s="9" t="s">
        <v>78</v>
      </c>
      <c r="F908" s="7">
        <v>35</v>
      </c>
      <c r="G908" s="7">
        <v>1476.39</v>
      </c>
      <c r="H908" s="7">
        <v>0.06</v>
      </c>
      <c r="I908" s="9" t="s">
        <v>56</v>
      </c>
      <c r="J908" s="10">
        <v>-303.62</v>
      </c>
      <c r="K908" s="11">
        <v>43.31</v>
      </c>
      <c r="L908" s="11">
        <v>15.9</v>
      </c>
      <c r="M908" s="9" t="s">
        <v>798</v>
      </c>
      <c r="N908" s="6" t="s">
        <v>703</v>
      </c>
      <c r="O908" s="6" t="s">
        <v>704</v>
      </c>
      <c r="P908" s="9" t="s">
        <v>60</v>
      </c>
      <c r="Q908" s="9" t="s">
        <v>49</v>
      </c>
      <c r="R908" s="9" t="s">
        <v>50</v>
      </c>
      <c r="S908" s="7" t="s">
        <v>801</v>
      </c>
      <c r="T908" s="9" t="s">
        <v>48</v>
      </c>
      <c r="U908" s="7">
        <v>0.75</v>
      </c>
      <c r="V908" s="12">
        <f>C908+2</f>
        <v>40979</v>
      </c>
      <c r="W908">
        <f>IF(D908=' Pivot Tables'!$A$4,1,0)</f>
        <v>0</v>
      </c>
      <c r="X908">
        <f>IF(AND(LEFT(D908,4)+1=LEFT(' Pivot Tables'!$A$4,4)+0,RIGHT(LEFT(D908,7),2)=RIGHT(LEFT(' Pivot Tables'!$A$4,7),2)),1,0)</f>
        <v>0</v>
      </c>
      <c r="Y908" s="6">
        <f>1/COUNTIF(Таблица1[Order ID],Таблица1[[#This Row],[Order ID]])</f>
        <v>0.5</v>
      </c>
      <c r="Z908" s="9">
        <f>1/COUNTIFS(Таблица1[Customer Name],Таблица1[[#This Row],[Customer Name]],Таблица1[Order-Year-Month],Таблица1[[#This Row],[Order-Year-Month]])</f>
        <v>0.5</v>
      </c>
    </row>
    <row r="909" spans="1:26" x14ac:dyDescent="0.2">
      <c r="A909" s="6">
        <v>425</v>
      </c>
      <c r="B909" s="7">
        <v>2848</v>
      </c>
      <c r="C909" s="8">
        <f>DATE(2012,12,31)-297</f>
        <v>40977</v>
      </c>
      <c r="D909" s="8" t="str">
        <f t="shared" si="19"/>
        <v>2012-03 (март 2012)</v>
      </c>
      <c r="E909" s="9" t="s">
        <v>78</v>
      </c>
      <c r="F909" s="7">
        <v>8</v>
      </c>
      <c r="G909" s="7">
        <v>863.58299999999997</v>
      </c>
      <c r="H909" s="7">
        <v>0.04</v>
      </c>
      <c r="I909" s="9" t="s">
        <v>22</v>
      </c>
      <c r="J909" s="10">
        <v>-264.27499999999998</v>
      </c>
      <c r="K909" s="11">
        <v>125.99</v>
      </c>
      <c r="L909" s="11">
        <v>8.99</v>
      </c>
      <c r="M909" s="9" t="s">
        <v>798</v>
      </c>
      <c r="N909" s="6" t="s">
        <v>703</v>
      </c>
      <c r="O909" s="6" t="s">
        <v>704</v>
      </c>
      <c r="P909" s="9" t="s">
        <v>60</v>
      </c>
      <c r="Q909" s="9" t="s">
        <v>42</v>
      </c>
      <c r="R909" s="9" t="s">
        <v>43</v>
      </c>
      <c r="S909" s="7" t="s">
        <v>802</v>
      </c>
      <c r="T909" s="9" t="s">
        <v>39</v>
      </c>
      <c r="U909" s="7">
        <v>0.55000000000000004</v>
      </c>
      <c r="V909" s="12">
        <f>C909+2</f>
        <v>40979</v>
      </c>
      <c r="W909">
        <f>IF(D909=' Pivot Tables'!$A$4,1,0)</f>
        <v>0</v>
      </c>
      <c r="X909">
        <f>IF(AND(LEFT(D909,4)+1=LEFT(' Pivot Tables'!$A$4,4)+0,RIGHT(LEFT(D909,7),2)=RIGHT(LEFT(' Pivot Tables'!$A$4,7),2)),1,0)</f>
        <v>0</v>
      </c>
      <c r="Y909" s="6">
        <f>1/COUNTIF(Таблица1[Order ID],Таблица1[[#This Row],[Order ID]])</f>
        <v>0.5</v>
      </c>
      <c r="Z909" s="9">
        <f>1/COUNTIFS(Таблица1[Customer Name],Таблица1[[#This Row],[Customer Name]],Таблица1[Order-Year-Month],Таблица1[[#This Row],[Order-Year-Month]])</f>
        <v>0.5</v>
      </c>
    </row>
    <row r="910" spans="1:26" x14ac:dyDescent="0.2">
      <c r="A910" s="6">
        <v>767</v>
      </c>
      <c r="B910" s="7">
        <v>5504</v>
      </c>
      <c r="C910" s="8">
        <f>DATE(2012,12,31)-1091</f>
        <v>40183</v>
      </c>
      <c r="D910" s="8" t="str">
        <f t="shared" si="19"/>
        <v>2010-01 (январь 2010)</v>
      </c>
      <c r="E910" s="9" t="s">
        <v>30</v>
      </c>
      <c r="F910" s="7">
        <v>6</v>
      </c>
      <c r="G910" s="7">
        <v>49.55</v>
      </c>
      <c r="H910" s="7">
        <v>0.06</v>
      </c>
      <c r="I910" s="9" t="s">
        <v>56</v>
      </c>
      <c r="J910" s="10">
        <v>-20.329999999999998</v>
      </c>
      <c r="K910" s="11">
        <v>5.78</v>
      </c>
      <c r="L910" s="11">
        <v>7.64</v>
      </c>
      <c r="M910" s="9" t="s">
        <v>803</v>
      </c>
      <c r="N910" s="6" t="s">
        <v>703</v>
      </c>
      <c r="O910" s="6" t="s">
        <v>704</v>
      </c>
      <c r="P910" s="9" t="s">
        <v>25</v>
      </c>
      <c r="Q910" s="9" t="s">
        <v>26</v>
      </c>
      <c r="R910" s="9" t="s">
        <v>61</v>
      </c>
      <c r="S910" s="7" t="s">
        <v>804</v>
      </c>
      <c r="T910" s="9" t="s">
        <v>39</v>
      </c>
      <c r="U910" s="7">
        <v>0.36</v>
      </c>
      <c r="V910" s="12">
        <f>C910+2</f>
        <v>40185</v>
      </c>
      <c r="W910">
        <f>IF(D910=' Pivot Tables'!$A$4,1,0)</f>
        <v>1</v>
      </c>
      <c r="X910">
        <f>IF(AND(LEFT(D910,4)+1=LEFT(' Pivot Tables'!$A$4,4)+0,RIGHT(LEFT(D910,7),2)=RIGHT(LEFT(' Pivot Tables'!$A$4,7),2)),1,0)</f>
        <v>0</v>
      </c>
      <c r="Y910" s="6">
        <f>1/COUNTIF(Таблица1[Order ID],Таблица1[[#This Row],[Order ID]])</f>
        <v>0.5</v>
      </c>
      <c r="Z910" s="9">
        <f>1/COUNTIFS(Таблица1[Customer Name],Таблица1[[#This Row],[Customer Name]],Таблица1[Order-Year-Month],Таблица1[[#This Row],[Order-Year-Month]])</f>
        <v>0.5</v>
      </c>
    </row>
    <row r="911" spans="1:26" x14ac:dyDescent="0.2">
      <c r="A911" s="6">
        <v>768</v>
      </c>
      <c r="B911" s="7">
        <v>5504</v>
      </c>
      <c r="C911" s="8">
        <f>DATE(2012,12,31)-1091</f>
        <v>40183</v>
      </c>
      <c r="D911" s="8" t="str">
        <f t="shared" si="19"/>
        <v>2010-01 (январь 2010)</v>
      </c>
      <c r="E911" s="9" t="s">
        <v>30</v>
      </c>
      <c r="F911" s="7">
        <v>15</v>
      </c>
      <c r="G911" s="7">
        <v>606.55999999999995</v>
      </c>
      <c r="H911" s="7">
        <v>0.04</v>
      </c>
      <c r="I911" s="9" t="s">
        <v>22</v>
      </c>
      <c r="J911" s="10">
        <v>20.231999999999999</v>
      </c>
      <c r="K911" s="11">
        <v>45.99</v>
      </c>
      <c r="L911" s="11">
        <v>4.99</v>
      </c>
      <c r="M911" s="9" t="s">
        <v>803</v>
      </c>
      <c r="N911" s="6" t="s">
        <v>703</v>
      </c>
      <c r="O911" s="6" t="s">
        <v>704</v>
      </c>
      <c r="P911" s="9" t="s">
        <v>25</v>
      </c>
      <c r="Q911" s="9" t="s">
        <v>42</v>
      </c>
      <c r="R911" s="9" t="s">
        <v>43</v>
      </c>
      <c r="S911" s="7" t="s">
        <v>629</v>
      </c>
      <c r="T911" s="9" t="s">
        <v>39</v>
      </c>
      <c r="U911" s="7">
        <v>0.56000000000000005</v>
      </c>
      <c r="V911" s="12">
        <f>C911+2</f>
        <v>40185</v>
      </c>
      <c r="W911">
        <f>IF(D911=' Pivot Tables'!$A$4,1,0)</f>
        <v>1</v>
      </c>
      <c r="X911">
        <f>IF(AND(LEFT(D911,4)+1=LEFT(' Pivot Tables'!$A$4,4)+0,RIGHT(LEFT(D911,7),2)=RIGHT(LEFT(' Pivot Tables'!$A$4,7),2)),1,0)</f>
        <v>0</v>
      </c>
      <c r="Y911" s="6">
        <f>1/COUNTIF(Таблица1[Order ID],Таблица1[[#This Row],[Order ID]])</f>
        <v>0.5</v>
      </c>
      <c r="Z911" s="9">
        <f>1/COUNTIFS(Таблица1[Customer Name],Таблица1[[#This Row],[Customer Name]],Таблица1[Order-Year-Month],Таблица1[[#This Row],[Order-Year-Month]])</f>
        <v>0.5</v>
      </c>
    </row>
    <row r="912" spans="1:26" x14ac:dyDescent="0.2">
      <c r="A912" s="6">
        <v>1153</v>
      </c>
      <c r="B912" s="7">
        <v>8390</v>
      </c>
      <c r="C912" s="8">
        <f>DATE(2012,12,31)-254</f>
        <v>41020</v>
      </c>
      <c r="D912" s="8" t="str">
        <f t="shared" si="19"/>
        <v>2012-04 (апрель 2012)</v>
      </c>
      <c r="E912" s="9" t="s">
        <v>63</v>
      </c>
      <c r="F912" s="7">
        <v>24</v>
      </c>
      <c r="G912" s="7">
        <v>715.4</v>
      </c>
      <c r="H912" s="7">
        <v>0.08</v>
      </c>
      <c r="I912" s="9" t="s">
        <v>22</v>
      </c>
      <c r="J912" s="10">
        <v>-99.34</v>
      </c>
      <c r="K912" s="11">
        <v>30.98</v>
      </c>
      <c r="L912" s="11">
        <v>4</v>
      </c>
      <c r="M912" s="9" t="s">
        <v>798</v>
      </c>
      <c r="N912" s="6" t="s">
        <v>703</v>
      </c>
      <c r="O912" s="6" t="s">
        <v>704</v>
      </c>
      <c r="P912" s="9" t="s">
        <v>60</v>
      </c>
      <c r="Q912" s="9" t="s">
        <v>42</v>
      </c>
      <c r="R912" s="9" t="s">
        <v>70</v>
      </c>
      <c r="S912" s="7" t="s">
        <v>805</v>
      </c>
      <c r="T912" s="9" t="s">
        <v>39</v>
      </c>
      <c r="U912" s="7">
        <v>0.8</v>
      </c>
      <c r="V912" s="12">
        <f>C912+0</f>
        <v>41020</v>
      </c>
      <c r="W912">
        <f>IF(D912=' Pivot Tables'!$A$4,1,0)</f>
        <v>0</v>
      </c>
      <c r="X912">
        <f>IF(AND(LEFT(D912,4)+1=LEFT(' Pivot Tables'!$A$4,4)+0,RIGHT(LEFT(D912,7),2)=RIGHT(LEFT(' Pivot Tables'!$A$4,7),2)),1,0)</f>
        <v>0</v>
      </c>
      <c r="Y912" s="6">
        <f>1/COUNTIF(Таблица1[Order ID],Таблица1[[#This Row],[Order ID]])</f>
        <v>1</v>
      </c>
      <c r="Z912" s="9">
        <f>1/COUNTIFS(Таблица1[Customer Name],Таблица1[[#This Row],[Customer Name]],Таблица1[Order-Year-Month],Таблица1[[#This Row],[Order-Year-Month]])</f>
        <v>1</v>
      </c>
    </row>
    <row r="913" spans="1:26" x14ac:dyDescent="0.2">
      <c r="A913" s="6">
        <v>1168</v>
      </c>
      <c r="B913" s="7">
        <v>8545</v>
      </c>
      <c r="C913" s="8">
        <f>DATE(2012,12,31)-1293</f>
        <v>39981</v>
      </c>
      <c r="D913" s="8" t="str">
        <f t="shared" si="19"/>
        <v>2009-06 (июнь 2009)</v>
      </c>
      <c r="E913" s="9" t="s">
        <v>21</v>
      </c>
      <c r="F913" s="7">
        <v>25</v>
      </c>
      <c r="G913" s="7">
        <v>113.75</v>
      </c>
      <c r="H913" s="7">
        <v>0</v>
      </c>
      <c r="I913" s="9" t="s">
        <v>22</v>
      </c>
      <c r="J913" s="10">
        <v>-77.337500000000006</v>
      </c>
      <c r="K913" s="11">
        <v>4.13</v>
      </c>
      <c r="L913" s="11">
        <v>5.34</v>
      </c>
      <c r="M913" s="9" t="s">
        <v>806</v>
      </c>
      <c r="N913" s="6" t="s">
        <v>703</v>
      </c>
      <c r="O913" s="6" t="s">
        <v>704</v>
      </c>
      <c r="P913" s="9" t="s">
        <v>25</v>
      </c>
      <c r="Q913" s="9" t="s">
        <v>26</v>
      </c>
      <c r="R913" s="9" t="s">
        <v>37</v>
      </c>
      <c r="S913" s="7" t="s">
        <v>680</v>
      </c>
      <c r="T913" s="9" t="s">
        <v>39</v>
      </c>
      <c r="U913" s="7">
        <v>0.38</v>
      </c>
      <c r="V913" s="12">
        <f>C913+4</f>
        <v>39985</v>
      </c>
      <c r="W913">
        <f>IF(D913=' Pivot Tables'!$A$4,1,0)</f>
        <v>0</v>
      </c>
      <c r="X913">
        <f>IF(AND(LEFT(D913,4)+1=LEFT(' Pivot Tables'!$A$4,4)+0,RIGHT(LEFT(D913,7),2)=RIGHT(LEFT(' Pivot Tables'!$A$4,7),2)),1,0)</f>
        <v>0</v>
      </c>
      <c r="Y913" s="6">
        <f>1/COUNTIF(Таблица1[Order ID],Таблица1[[#This Row],[Order ID]])</f>
        <v>0.5</v>
      </c>
      <c r="Z913" s="9">
        <f>1/COUNTIFS(Таблица1[Customer Name],Таблица1[[#This Row],[Customer Name]],Таблица1[Order-Year-Month],Таблица1[[#This Row],[Order-Year-Month]])</f>
        <v>0.5</v>
      </c>
    </row>
    <row r="914" spans="1:26" x14ac:dyDescent="0.2">
      <c r="A914" s="6">
        <v>1169</v>
      </c>
      <c r="B914" s="7">
        <v>8545</v>
      </c>
      <c r="C914" s="8">
        <f>DATE(2012,12,31)-1293</f>
        <v>39981</v>
      </c>
      <c r="D914" s="8" t="str">
        <f t="shared" si="19"/>
        <v>2009-06 (июнь 2009)</v>
      </c>
      <c r="E914" s="9" t="s">
        <v>21</v>
      </c>
      <c r="F914" s="7">
        <v>24</v>
      </c>
      <c r="G914" s="7">
        <v>3081.95</v>
      </c>
      <c r="H914" s="7">
        <v>0.1</v>
      </c>
      <c r="I914" s="9" t="s">
        <v>31</v>
      </c>
      <c r="J914" s="10">
        <v>-662.8</v>
      </c>
      <c r="K914" s="11">
        <v>130.97999999999999</v>
      </c>
      <c r="L914" s="11">
        <v>54.74</v>
      </c>
      <c r="M914" s="9" t="s">
        <v>806</v>
      </c>
      <c r="N914" s="6" t="s">
        <v>703</v>
      </c>
      <c r="O914" s="6" t="s">
        <v>704</v>
      </c>
      <c r="P914" s="9" t="s">
        <v>25</v>
      </c>
      <c r="Q914" s="9" t="s">
        <v>49</v>
      </c>
      <c r="R914" s="9" t="s">
        <v>80</v>
      </c>
      <c r="S914" s="7" t="s">
        <v>807</v>
      </c>
      <c r="T914" s="9" t="s">
        <v>82</v>
      </c>
      <c r="U914" s="7">
        <v>0.69</v>
      </c>
      <c r="V914" s="12">
        <f>C914+4</f>
        <v>39985</v>
      </c>
      <c r="W914">
        <f>IF(D914=' Pivot Tables'!$A$4,1,0)</f>
        <v>0</v>
      </c>
      <c r="X914">
        <f>IF(AND(LEFT(D914,4)+1=LEFT(' Pivot Tables'!$A$4,4)+0,RIGHT(LEFT(D914,7),2)=RIGHT(LEFT(' Pivot Tables'!$A$4,7),2)),1,0)</f>
        <v>0</v>
      </c>
      <c r="Y914" s="6">
        <f>1/COUNTIF(Таблица1[Order ID],Таблица1[[#This Row],[Order ID]])</f>
        <v>0.5</v>
      </c>
      <c r="Z914" s="9">
        <f>1/COUNTIFS(Таблица1[Customer Name],Таблица1[[#This Row],[Customer Name]],Таблица1[Order-Year-Month],Таблица1[[#This Row],[Order-Year-Month]])</f>
        <v>0.5</v>
      </c>
    </row>
    <row r="915" spans="1:26" x14ac:dyDescent="0.2">
      <c r="A915" s="6">
        <v>1305</v>
      </c>
      <c r="B915" s="7">
        <v>9573</v>
      </c>
      <c r="C915" s="8">
        <f>DATE(2012,12,31)-201</f>
        <v>41073</v>
      </c>
      <c r="D915" s="8" t="str">
        <f t="shared" si="19"/>
        <v>2012-06 (июнь 2012)</v>
      </c>
      <c r="E915" s="9" t="s">
        <v>63</v>
      </c>
      <c r="F915" s="7">
        <v>41</v>
      </c>
      <c r="G915" s="7">
        <v>133.22999999999999</v>
      </c>
      <c r="H915" s="7">
        <v>0</v>
      </c>
      <c r="I915" s="9" t="s">
        <v>22</v>
      </c>
      <c r="J915" s="10">
        <v>-59.91</v>
      </c>
      <c r="K915" s="11">
        <v>3.14</v>
      </c>
      <c r="L915" s="11">
        <v>1.92</v>
      </c>
      <c r="M915" s="9" t="s">
        <v>798</v>
      </c>
      <c r="N915" s="6" t="s">
        <v>703</v>
      </c>
      <c r="O915" s="6" t="s">
        <v>704</v>
      </c>
      <c r="P915" s="9" t="s">
        <v>60</v>
      </c>
      <c r="Q915" s="9" t="s">
        <v>26</v>
      </c>
      <c r="R915" s="9" t="s">
        <v>150</v>
      </c>
      <c r="S915" s="7" t="s">
        <v>699</v>
      </c>
      <c r="T915" s="9" t="s">
        <v>68</v>
      </c>
      <c r="U915" s="7">
        <v>0.84</v>
      </c>
      <c r="V915" s="12">
        <f>C915+1</f>
        <v>41074</v>
      </c>
      <c r="W915">
        <f>IF(D915=' Pivot Tables'!$A$4,1,0)</f>
        <v>0</v>
      </c>
      <c r="X915">
        <f>IF(AND(LEFT(D915,4)+1=LEFT(' Pivot Tables'!$A$4,4)+0,RIGHT(LEFT(D915,7),2)=RIGHT(LEFT(' Pivot Tables'!$A$4,7),2)),1,0)</f>
        <v>0</v>
      </c>
      <c r="Y915" s="6">
        <f>1/COUNTIF(Таблица1[Order ID],Таблица1[[#This Row],[Order ID]])</f>
        <v>0.5</v>
      </c>
      <c r="Z915" s="9">
        <f>1/COUNTIFS(Таблица1[Customer Name],Таблица1[[#This Row],[Customer Name]],Таблица1[Order-Year-Month],Таблица1[[#This Row],[Order-Year-Month]])</f>
        <v>0.5</v>
      </c>
    </row>
    <row r="916" spans="1:26" x14ac:dyDescent="0.2">
      <c r="A916" s="6">
        <v>1356</v>
      </c>
      <c r="B916" s="7">
        <v>9892</v>
      </c>
      <c r="C916" s="8">
        <f>DATE(2012,12,31)-168</f>
        <v>41106</v>
      </c>
      <c r="D916" s="8" t="str">
        <f t="shared" si="19"/>
        <v>2012-07 (июль 2012)</v>
      </c>
      <c r="E916" s="9" t="s">
        <v>63</v>
      </c>
      <c r="F916" s="7">
        <v>50</v>
      </c>
      <c r="G916" s="7">
        <v>1406.64</v>
      </c>
      <c r="H916" s="7">
        <v>0.02</v>
      </c>
      <c r="I916" s="9" t="s">
        <v>22</v>
      </c>
      <c r="J916" s="10">
        <v>424.36</v>
      </c>
      <c r="K916" s="11">
        <v>27.18</v>
      </c>
      <c r="L916" s="11">
        <v>8.23</v>
      </c>
      <c r="M916" s="9" t="s">
        <v>808</v>
      </c>
      <c r="N916" s="6" t="s">
        <v>703</v>
      </c>
      <c r="O916" s="6" t="s">
        <v>704</v>
      </c>
      <c r="P916" s="9" t="s">
        <v>41</v>
      </c>
      <c r="Q916" s="9" t="s">
        <v>26</v>
      </c>
      <c r="R916" s="9" t="s">
        <v>76</v>
      </c>
      <c r="S916" s="7" t="s">
        <v>809</v>
      </c>
      <c r="T916" s="9" t="s">
        <v>39</v>
      </c>
      <c r="U916" s="7">
        <v>0.38</v>
      </c>
      <c r="V916" s="12">
        <f>C916+1</f>
        <v>41107</v>
      </c>
      <c r="W916">
        <f>IF(D916=' Pivot Tables'!$A$4,1,0)</f>
        <v>0</v>
      </c>
      <c r="X916">
        <f>IF(AND(LEFT(D916,4)+1=LEFT(' Pivot Tables'!$A$4,4)+0,RIGHT(LEFT(D916,7),2)=RIGHT(LEFT(' Pivot Tables'!$A$4,7),2)),1,0)</f>
        <v>0</v>
      </c>
      <c r="Y916" s="6">
        <f>1/COUNTIF(Таблица1[Order ID],Таблица1[[#This Row],[Order ID]])</f>
        <v>1</v>
      </c>
      <c r="Z916" s="9">
        <f>1/COUNTIFS(Таблица1[Customer Name],Таблица1[[#This Row],[Customer Name]],Таблица1[Order-Year-Month],Таблица1[[#This Row],[Order-Year-Month]])</f>
        <v>1</v>
      </c>
    </row>
    <row r="917" spans="1:26" x14ac:dyDescent="0.2">
      <c r="A917" s="6">
        <v>1381</v>
      </c>
      <c r="B917" s="7">
        <v>10048</v>
      </c>
      <c r="C917" s="8">
        <f>DATE(2012,12,31)-1326</f>
        <v>39948</v>
      </c>
      <c r="D917" s="8" t="str">
        <f t="shared" si="19"/>
        <v>2009-05 (май 2009)</v>
      </c>
      <c r="E917" s="9" t="s">
        <v>45</v>
      </c>
      <c r="F917" s="7">
        <v>46</v>
      </c>
      <c r="G917" s="7">
        <v>3197.45</v>
      </c>
      <c r="H917" s="7">
        <v>0.08</v>
      </c>
      <c r="I917" s="9" t="s">
        <v>22</v>
      </c>
      <c r="J917" s="10">
        <v>97.159999999999926</v>
      </c>
      <c r="K917" s="11">
        <v>73.98</v>
      </c>
      <c r="L917" s="11">
        <v>4</v>
      </c>
      <c r="M917" s="9" t="s">
        <v>795</v>
      </c>
      <c r="N917" s="6" t="s">
        <v>703</v>
      </c>
      <c r="O917" s="6" t="s">
        <v>704</v>
      </c>
      <c r="P917" s="9" t="s">
        <v>41</v>
      </c>
      <c r="Q917" s="9" t="s">
        <v>42</v>
      </c>
      <c r="R917" s="9" t="s">
        <v>70</v>
      </c>
      <c r="S917" s="7" t="s">
        <v>810</v>
      </c>
      <c r="T917" s="9" t="s">
        <v>39</v>
      </c>
      <c r="U917" s="7">
        <v>0.77</v>
      </c>
      <c r="V917" s="12">
        <f>C917+3</f>
        <v>39951</v>
      </c>
      <c r="W917">
        <f>IF(D917=' Pivot Tables'!$A$4,1,0)</f>
        <v>0</v>
      </c>
      <c r="X917">
        <f>IF(AND(LEFT(D917,4)+1=LEFT(' Pivot Tables'!$A$4,4)+0,RIGHT(LEFT(D917,7),2)=RIGHT(LEFT(' Pivot Tables'!$A$4,7),2)),1,0)</f>
        <v>0</v>
      </c>
      <c r="Y917" s="6">
        <f>1/COUNTIF(Таблица1[Order ID],Таблица1[[#This Row],[Order ID]])</f>
        <v>0.5</v>
      </c>
      <c r="Z917" s="9">
        <f>1/COUNTIFS(Таблица1[Customer Name],Таблица1[[#This Row],[Customer Name]],Таблица1[Order-Year-Month],Таблица1[[#This Row],[Order-Year-Month]])</f>
        <v>0.5</v>
      </c>
    </row>
    <row r="918" spans="1:26" x14ac:dyDescent="0.2">
      <c r="A918" s="6">
        <v>1382</v>
      </c>
      <c r="B918" s="7">
        <v>10048</v>
      </c>
      <c r="C918" s="8">
        <f>DATE(2012,12,31)-1326</f>
        <v>39948</v>
      </c>
      <c r="D918" s="8" t="str">
        <f t="shared" si="19"/>
        <v>2009-05 (май 2009)</v>
      </c>
      <c r="E918" s="9" t="s">
        <v>45</v>
      </c>
      <c r="F918" s="7">
        <v>21</v>
      </c>
      <c r="G918" s="7">
        <v>78.569999999999993</v>
      </c>
      <c r="H918" s="7">
        <v>0.02</v>
      </c>
      <c r="I918" s="9" t="s">
        <v>22</v>
      </c>
      <c r="J918" s="10">
        <v>-20.65</v>
      </c>
      <c r="K918" s="11">
        <v>3.68</v>
      </c>
      <c r="L918" s="11">
        <v>1.32</v>
      </c>
      <c r="M918" s="9" t="s">
        <v>795</v>
      </c>
      <c r="N918" s="6" t="s">
        <v>703</v>
      </c>
      <c r="O918" s="6" t="s">
        <v>704</v>
      </c>
      <c r="P918" s="9" t="s">
        <v>41</v>
      </c>
      <c r="Q918" s="9" t="s">
        <v>26</v>
      </c>
      <c r="R918" s="9" t="s">
        <v>150</v>
      </c>
      <c r="S918" s="7" t="s">
        <v>252</v>
      </c>
      <c r="T918" s="9" t="s">
        <v>68</v>
      </c>
      <c r="U918" s="7">
        <v>0.83</v>
      </c>
      <c r="V918" s="12">
        <f>C918+2</f>
        <v>39950</v>
      </c>
      <c r="W918">
        <f>IF(D918=' Pivot Tables'!$A$4,1,0)</f>
        <v>0</v>
      </c>
      <c r="X918">
        <f>IF(AND(LEFT(D918,4)+1=LEFT(' Pivot Tables'!$A$4,4)+0,RIGHT(LEFT(D918,7),2)=RIGHT(LEFT(' Pivot Tables'!$A$4,7),2)),1,0)</f>
        <v>0</v>
      </c>
      <c r="Y918" s="6">
        <f>1/COUNTIF(Таблица1[Order ID],Таблица1[[#This Row],[Order ID]])</f>
        <v>0.5</v>
      </c>
      <c r="Z918" s="9">
        <f>1/COUNTIFS(Таблица1[Customer Name],Таблица1[[#This Row],[Customer Name]],Таблица1[Order-Year-Month],Таблица1[[#This Row],[Order-Year-Month]])</f>
        <v>0.5</v>
      </c>
    </row>
    <row r="919" spans="1:26" x14ac:dyDescent="0.2">
      <c r="A919" s="6">
        <v>1395</v>
      </c>
      <c r="B919" s="7">
        <v>10144</v>
      </c>
      <c r="C919" s="8">
        <f>DATE(2012,12,31)-729</f>
        <v>40545</v>
      </c>
      <c r="D919" s="8" t="str">
        <f t="shared" si="19"/>
        <v>2011-01 (январь 2011)</v>
      </c>
      <c r="E919" s="9" t="s">
        <v>78</v>
      </c>
      <c r="F919" s="7">
        <v>16</v>
      </c>
      <c r="G919" s="7">
        <v>5403.75</v>
      </c>
      <c r="H919" s="7">
        <v>0.08</v>
      </c>
      <c r="I919" s="9" t="s">
        <v>31</v>
      </c>
      <c r="J919" s="10">
        <v>103.83</v>
      </c>
      <c r="K919" s="11">
        <v>355.98</v>
      </c>
      <c r="L919" s="11">
        <v>58.92</v>
      </c>
      <c r="M919" s="9" t="s">
        <v>795</v>
      </c>
      <c r="N919" s="6" t="s">
        <v>703</v>
      </c>
      <c r="O919" s="6" t="s">
        <v>704</v>
      </c>
      <c r="P919" s="9" t="s">
        <v>41</v>
      </c>
      <c r="Q919" s="9" t="s">
        <v>49</v>
      </c>
      <c r="R919" s="9" t="s">
        <v>112</v>
      </c>
      <c r="S919" s="7" t="s">
        <v>253</v>
      </c>
      <c r="T919" s="9" t="s">
        <v>36</v>
      </c>
      <c r="U919" s="7">
        <v>0.64</v>
      </c>
      <c r="V919" s="12">
        <f>C919+2</f>
        <v>40547</v>
      </c>
      <c r="W919">
        <f>IF(D919=' Pivot Tables'!$A$4,1,0)</f>
        <v>0</v>
      </c>
      <c r="X919">
        <f>IF(AND(LEFT(D919,4)+1=LEFT(' Pivot Tables'!$A$4,4)+0,RIGHT(LEFT(D919,7),2)=RIGHT(LEFT(' Pivot Tables'!$A$4,7),2)),1,0)</f>
        <v>0</v>
      </c>
      <c r="Y919" s="6">
        <f>1/COUNTIF(Таблица1[Order ID],Таблица1[[#This Row],[Order ID]])</f>
        <v>0.33333333333333331</v>
      </c>
      <c r="Z919" s="9">
        <f>1/COUNTIFS(Таблица1[Customer Name],Таблица1[[#This Row],[Customer Name]],Таблица1[Order-Year-Month],Таблица1[[#This Row],[Order-Year-Month]])</f>
        <v>0.33333333333333331</v>
      </c>
    </row>
    <row r="920" spans="1:26" x14ac:dyDescent="0.2">
      <c r="A920" s="6">
        <v>1396</v>
      </c>
      <c r="B920" s="7">
        <v>10144</v>
      </c>
      <c r="C920" s="8">
        <f>DATE(2012,12,31)-729</f>
        <v>40545</v>
      </c>
      <c r="D920" s="8" t="str">
        <f t="shared" si="19"/>
        <v>2011-01 (январь 2011)</v>
      </c>
      <c r="E920" s="9" t="s">
        <v>78</v>
      </c>
      <c r="F920" s="7">
        <v>1</v>
      </c>
      <c r="G920" s="7">
        <v>192.49</v>
      </c>
      <c r="H920" s="7">
        <v>0.02</v>
      </c>
      <c r="I920" s="9" t="s">
        <v>31</v>
      </c>
      <c r="J920" s="10">
        <v>-98.3</v>
      </c>
      <c r="K920" s="11">
        <v>160.97999999999999</v>
      </c>
      <c r="L920" s="11">
        <v>30</v>
      </c>
      <c r="M920" s="9" t="s">
        <v>795</v>
      </c>
      <c r="N920" s="6" t="s">
        <v>703</v>
      </c>
      <c r="O920" s="6" t="s">
        <v>704</v>
      </c>
      <c r="P920" s="9" t="s">
        <v>41</v>
      </c>
      <c r="Q920" s="9" t="s">
        <v>49</v>
      </c>
      <c r="R920" s="9" t="s">
        <v>112</v>
      </c>
      <c r="S920" s="7" t="s">
        <v>746</v>
      </c>
      <c r="T920" s="9" t="s">
        <v>36</v>
      </c>
      <c r="U920" s="7">
        <v>0.62</v>
      </c>
      <c r="V920" s="12">
        <f>C920+2</f>
        <v>40547</v>
      </c>
      <c r="W920">
        <f>IF(D920=' Pivot Tables'!$A$4,1,0)</f>
        <v>0</v>
      </c>
      <c r="X920">
        <f>IF(AND(LEFT(D920,4)+1=LEFT(' Pivot Tables'!$A$4,4)+0,RIGHT(LEFT(D920,7),2)=RIGHT(LEFT(' Pivot Tables'!$A$4,7),2)),1,0)</f>
        <v>0</v>
      </c>
      <c r="Y920" s="6">
        <f>1/COUNTIF(Таблица1[Order ID],Таблица1[[#This Row],[Order ID]])</f>
        <v>0.33333333333333331</v>
      </c>
      <c r="Z920" s="9">
        <f>1/COUNTIFS(Таблица1[Customer Name],Таблица1[[#This Row],[Customer Name]],Таблица1[Order-Year-Month],Таблица1[[#This Row],[Order-Year-Month]])</f>
        <v>0.33333333333333331</v>
      </c>
    </row>
    <row r="921" spans="1:26" x14ac:dyDescent="0.2">
      <c r="A921" s="6">
        <v>1397</v>
      </c>
      <c r="B921" s="7">
        <v>10144</v>
      </c>
      <c r="C921" s="8">
        <f>DATE(2012,12,31)-729</f>
        <v>40545</v>
      </c>
      <c r="D921" s="8" t="str">
        <f t="shared" si="19"/>
        <v>2011-01 (январь 2011)</v>
      </c>
      <c r="E921" s="9" t="s">
        <v>78</v>
      </c>
      <c r="F921" s="7">
        <v>24</v>
      </c>
      <c r="G921" s="7">
        <v>6408.3</v>
      </c>
      <c r="H921" s="7">
        <v>0.1</v>
      </c>
      <c r="I921" s="9" t="s">
        <v>31</v>
      </c>
      <c r="J921" s="10">
        <v>539.54</v>
      </c>
      <c r="K921" s="11">
        <v>280.98</v>
      </c>
      <c r="L921" s="11">
        <v>35.67</v>
      </c>
      <c r="M921" s="9" t="s">
        <v>795</v>
      </c>
      <c r="N921" s="6" t="s">
        <v>703</v>
      </c>
      <c r="O921" s="6" t="s">
        <v>704</v>
      </c>
      <c r="P921" s="9" t="s">
        <v>41</v>
      </c>
      <c r="Q921" s="9" t="s">
        <v>49</v>
      </c>
      <c r="R921" s="9" t="s">
        <v>83</v>
      </c>
      <c r="S921" s="7" t="s">
        <v>526</v>
      </c>
      <c r="T921" s="9" t="s">
        <v>82</v>
      </c>
      <c r="U921" s="7">
        <v>0.66</v>
      </c>
      <c r="V921" s="12">
        <f>C921+0</f>
        <v>40545</v>
      </c>
      <c r="W921">
        <f>IF(D921=' Pivot Tables'!$A$4,1,0)</f>
        <v>0</v>
      </c>
      <c r="X921">
        <f>IF(AND(LEFT(D921,4)+1=LEFT(' Pivot Tables'!$A$4,4)+0,RIGHT(LEFT(D921,7),2)=RIGHT(LEFT(' Pivot Tables'!$A$4,7),2)),1,0)</f>
        <v>0</v>
      </c>
      <c r="Y921" s="6">
        <f>1/COUNTIF(Таблица1[Order ID],Таблица1[[#This Row],[Order ID]])</f>
        <v>0.33333333333333331</v>
      </c>
      <c r="Z921" s="9">
        <f>1/COUNTIFS(Таблица1[Customer Name],Таблица1[[#This Row],[Customer Name]],Таблица1[Order-Year-Month],Таблица1[[#This Row],[Order-Year-Month]])</f>
        <v>0.33333333333333331</v>
      </c>
    </row>
    <row r="922" spans="1:26" x14ac:dyDescent="0.2">
      <c r="A922" s="6">
        <v>1440</v>
      </c>
      <c r="B922" s="7">
        <v>10432</v>
      </c>
      <c r="C922" s="8">
        <f>DATE(2012,12,31)-361</f>
        <v>40913</v>
      </c>
      <c r="D922" s="8" t="str">
        <f t="shared" si="19"/>
        <v>2012-01 (январь 2012)</v>
      </c>
      <c r="E922" s="9" t="s">
        <v>21</v>
      </c>
      <c r="F922" s="7">
        <v>13</v>
      </c>
      <c r="G922" s="7">
        <v>2323.36</v>
      </c>
      <c r="H922" s="7">
        <v>0.08</v>
      </c>
      <c r="I922" s="9" t="s">
        <v>22</v>
      </c>
      <c r="J922" s="10">
        <v>220.39</v>
      </c>
      <c r="K922" s="11">
        <v>179.99</v>
      </c>
      <c r="L922" s="11">
        <v>19.989999999999998</v>
      </c>
      <c r="M922" s="9" t="s">
        <v>795</v>
      </c>
      <c r="N922" s="6" t="s">
        <v>703</v>
      </c>
      <c r="O922" s="6" t="s">
        <v>704</v>
      </c>
      <c r="P922" s="9" t="s">
        <v>41</v>
      </c>
      <c r="Q922" s="9" t="s">
        <v>42</v>
      </c>
      <c r="R922" s="9" t="s">
        <v>70</v>
      </c>
      <c r="S922" s="7" t="s">
        <v>811</v>
      </c>
      <c r="T922" s="9" t="s">
        <v>39</v>
      </c>
      <c r="U922" s="7">
        <v>0.48</v>
      </c>
      <c r="V922" s="12">
        <f>C922+7</f>
        <v>40920</v>
      </c>
      <c r="W922">
        <f>IF(D922=' Pivot Tables'!$A$4,1,0)</f>
        <v>0</v>
      </c>
      <c r="X922">
        <f>IF(AND(LEFT(D922,4)+1=LEFT(' Pivot Tables'!$A$4,4)+0,RIGHT(LEFT(D922,7),2)=RIGHT(LEFT(' Pivot Tables'!$A$4,7),2)),1,0)</f>
        <v>0</v>
      </c>
      <c r="Y922" s="6">
        <f>1/COUNTIF(Таблица1[Order ID],Таблица1[[#This Row],[Order ID]])</f>
        <v>1</v>
      </c>
      <c r="Z922" s="9">
        <f>1/COUNTIFS(Таблица1[Customer Name],Таблица1[[#This Row],[Customer Name]],Таблица1[Order-Year-Month],Таблица1[[#This Row],[Order-Year-Month]])</f>
        <v>1</v>
      </c>
    </row>
    <row r="923" spans="1:26" x14ac:dyDescent="0.2">
      <c r="A923" s="6">
        <v>1481</v>
      </c>
      <c r="B923" s="7">
        <v>10661</v>
      </c>
      <c r="C923" s="8">
        <f>DATE(2012,12,31)-1438</f>
        <v>39836</v>
      </c>
      <c r="D923" s="8" t="str">
        <f t="shared" si="19"/>
        <v>2009-01 (январь 2009)</v>
      </c>
      <c r="E923" s="9" t="s">
        <v>45</v>
      </c>
      <c r="F923" s="7">
        <v>18</v>
      </c>
      <c r="G923" s="7">
        <v>136.41</v>
      </c>
      <c r="H923" s="7">
        <v>0</v>
      </c>
      <c r="I923" s="9" t="s">
        <v>22</v>
      </c>
      <c r="J923" s="10">
        <v>-99.34</v>
      </c>
      <c r="K923" s="11">
        <v>6.84</v>
      </c>
      <c r="L923" s="11">
        <v>8.3699999999999992</v>
      </c>
      <c r="M923" s="9" t="s">
        <v>812</v>
      </c>
      <c r="N923" s="6" t="s">
        <v>703</v>
      </c>
      <c r="O923" s="6" t="s">
        <v>704</v>
      </c>
      <c r="P923" s="9" t="s">
        <v>33</v>
      </c>
      <c r="Q923" s="9" t="s">
        <v>26</v>
      </c>
      <c r="R923" s="9" t="s">
        <v>150</v>
      </c>
      <c r="S923" s="7" t="s">
        <v>401</v>
      </c>
      <c r="T923" s="9" t="s">
        <v>52</v>
      </c>
      <c r="U923" s="7">
        <v>0.57999999999999996</v>
      </c>
      <c r="V923" s="12">
        <f>C923+1</f>
        <v>39837</v>
      </c>
      <c r="W923">
        <f>IF(D923=' Pivot Tables'!$A$4,1,0)</f>
        <v>0</v>
      </c>
      <c r="X923">
        <f>IF(AND(LEFT(D923,4)+1=LEFT(' Pivot Tables'!$A$4,4)+0,RIGHT(LEFT(D923,7),2)=RIGHT(LEFT(' Pivot Tables'!$A$4,7),2)),1,0)</f>
        <v>1</v>
      </c>
      <c r="Y923" s="6">
        <f>1/COUNTIF(Таблица1[Order ID],Таблица1[[#This Row],[Order ID]])</f>
        <v>0.5</v>
      </c>
      <c r="Z923" s="9">
        <f>1/COUNTIFS(Таблица1[Customer Name],Таблица1[[#This Row],[Customer Name]],Таблица1[Order-Year-Month],Таблица1[[#This Row],[Order-Year-Month]])</f>
        <v>0.5</v>
      </c>
    </row>
    <row r="924" spans="1:26" x14ac:dyDescent="0.2">
      <c r="A924" s="6">
        <v>1791</v>
      </c>
      <c r="B924" s="7">
        <v>12806</v>
      </c>
      <c r="C924" s="8">
        <f>DATE(2012,12,31)-373</f>
        <v>40901</v>
      </c>
      <c r="D924" s="8" t="str">
        <f t="shared" si="19"/>
        <v>2011-12 (декабрь 2011)</v>
      </c>
      <c r="E924" s="9" t="s">
        <v>45</v>
      </c>
      <c r="F924" s="7">
        <v>20</v>
      </c>
      <c r="G924" s="7">
        <v>761.23</v>
      </c>
      <c r="H924" s="7">
        <v>0</v>
      </c>
      <c r="I924" s="9" t="s">
        <v>22</v>
      </c>
      <c r="J924" s="10">
        <v>107.93</v>
      </c>
      <c r="K924" s="11">
        <v>35.89</v>
      </c>
      <c r="L924" s="11">
        <v>14.72</v>
      </c>
      <c r="M924" s="9" t="s">
        <v>795</v>
      </c>
      <c r="N924" s="6" t="s">
        <v>703</v>
      </c>
      <c r="O924" s="6" t="s">
        <v>704</v>
      </c>
      <c r="P924" s="9" t="s">
        <v>25</v>
      </c>
      <c r="Q924" s="9" t="s">
        <v>26</v>
      </c>
      <c r="R924" s="9" t="s">
        <v>76</v>
      </c>
      <c r="S924" s="7" t="s">
        <v>813</v>
      </c>
      <c r="T924" s="9" t="s">
        <v>39</v>
      </c>
      <c r="U924" s="7">
        <v>0.4</v>
      </c>
      <c r="V924" s="12">
        <f>C924+1</f>
        <v>40902</v>
      </c>
      <c r="W924">
        <f>IF(D924=' Pivot Tables'!$A$4,1,0)</f>
        <v>0</v>
      </c>
      <c r="X924">
        <f>IF(AND(LEFT(D924,4)+1=LEFT(' Pivot Tables'!$A$4,4)+0,RIGHT(LEFT(D924,7),2)=RIGHT(LEFT(' Pivot Tables'!$A$4,7),2)),1,0)</f>
        <v>0</v>
      </c>
      <c r="Y924" s="6">
        <f>1/COUNTIF(Таблица1[Order ID],Таблица1[[#This Row],[Order ID]])</f>
        <v>1</v>
      </c>
      <c r="Z924" s="9">
        <f>1/COUNTIFS(Таблица1[Customer Name],Таблица1[[#This Row],[Customer Name]],Таблица1[Order-Year-Month],Таблица1[[#This Row],[Order-Year-Month]])</f>
        <v>1</v>
      </c>
    </row>
    <row r="925" spans="1:26" x14ac:dyDescent="0.2">
      <c r="A925" s="6">
        <v>1837</v>
      </c>
      <c r="B925" s="7">
        <v>13158</v>
      </c>
      <c r="C925" s="8">
        <f>DATE(2012,12,31)-41</f>
        <v>41233</v>
      </c>
      <c r="D925" s="8" t="str">
        <f t="shared" si="19"/>
        <v>2012-11 (ноябрь 2012)</v>
      </c>
      <c r="E925" s="9" t="s">
        <v>78</v>
      </c>
      <c r="F925" s="7">
        <v>26</v>
      </c>
      <c r="G925" s="7">
        <v>187.16</v>
      </c>
      <c r="H925" s="7">
        <v>0.01</v>
      </c>
      <c r="I925" s="9" t="s">
        <v>22</v>
      </c>
      <c r="J925" s="10">
        <v>29.324999999999999</v>
      </c>
      <c r="K925" s="11">
        <v>6.75</v>
      </c>
      <c r="L925" s="11">
        <v>2.99</v>
      </c>
      <c r="M925" s="9" t="s">
        <v>808</v>
      </c>
      <c r="N925" s="6" t="s">
        <v>703</v>
      </c>
      <c r="O925" s="6" t="s">
        <v>704</v>
      </c>
      <c r="P925" s="9" t="s">
        <v>41</v>
      </c>
      <c r="Q925" s="9" t="s">
        <v>26</v>
      </c>
      <c r="R925" s="9" t="s">
        <v>37</v>
      </c>
      <c r="S925" s="7" t="s">
        <v>362</v>
      </c>
      <c r="T925" s="9" t="s">
        <v>39</v>
      </c>
      <c r="U925" s="7">
        <v>0.35</v>
      </c>
      <c r="V925" s="12">
        <f>C925+2</f>
        <v>41235</v>
      </c>
      <c r="W925">
        <f>IF(D925=' Pivot Tables'!$A$4,1,0)</f>
        <v>0</v>
      </c>
      <c r="X925">
        <f>IF(AND(LEFT(D925,4)+1=LEFT(' Pivot Tables'!$A$4,4)+0,RIGHT(LEFT(D925,7),2)=RIGHT(LEFT(' Pivot Tables'!$A$4,7),2)),1,0)</f>
        <v>0</v>
      </c>
      <c r="Y925" s="6">
        <f>1/COUNTIF(Таблица1[Order ID],Таблица1[[#This Row],[Order ID]])</f>
        <v>1</v>
      </c>
      <c r="Z925" s="9">
        <f>1/COUNTIFS(Таблица1[Customer Name],Таблица1[[#This Row],[Customer Name]],Таблица1[Order-Year-Month],Таблица1[[#This Row],[Order-Year-Month]])</f>
        <v>1</v>
      </c>
    </row>
    <row r="926" spans="1:26" x14ac:dyDescent="0.2">
      <c r="A926" s="6">
        <v>1876</v>
      </c>
      <c r="B926" s="7">
        <v>13507</v>
      </c>
      <c r="C926" s="8">
        <f>DATE(2012,12,31)-2</f>
        <v>41272</v>
      </c>
      <c r="D926" s="8" t="str">
        <f t="shared" si="19"/>
        <v>2012-12 (декабрь 2012)</v>
      </c>
      <c r="E926" s="9" t="s">
        <v>63</v>
      </c>
      <c r="F926" s="7">
        <v>27</v>
      </c>
      <c r="G926" s="7">
        <v>176.1</v>
      </c>
      <c r="H926" s="7">
        <v>0.09</v>
      </c>
      <c r="I926" s="9" t="s">
        <v>22</v>
      </c>
      <c r="J926" s="10">
        <v>-75.709999999999994</v>
      </c>
      <c r="K926" s="11">
        <v>6.78</v>
      </c>
      <c r="L926" s="11">
        <v>6.18</v>
      </c>
      <c r="M926" s="9" t="s">
        <v>803</v>
      </c>
      <c r="N926" s="6" t="s">
        <v>703</v>
      </c>
      <c r="O926" s="6" t="s">
        <v>704</v>
      </c>
      <c r="P926" s="9" t="s">
        <v>25</v>
      </c>
      <c r="Q926" s="9" t="s">
        <v>26</v>
      </c>
      <c r="R926" s="9" t="s">
        <v>61</v>
      </c>
      <c r="S926" s="7" t="s">
        <v>814</v>
      </c>
      <c r="T926" s="9" t="s">
        <v>39</v>
      </c>
      <c r="U926" s="7">
        <v>0.39</v>
      </c>
      <c r="V926" s="12">
        <f>C926+1</f>
        <v>41273</v>
      </c>
      <c r="W926">
        <f>IF(D926=' Pivot Tables'!$A$4,1,0)</f>
        <v>0</v>
      </c>
      <c r="X926">
        <f>IF(AND(LEFT(D926,4)+1=LEFT(' Pivot Tables'!$A$4,4)+0,RIGHT(LEFT(D926,7),2)=RIGHT(LEFT(' Pivot Tables'!$A$4,7),2)),1,0)</f>
        <v>0</v>
      </c>
      <c r="Y926" s="6">
        <f>1/COUNTIF(Таблица1[Order ID],Таблица1[[#This Row],[Order ID]])</f>
        <v>1</v>
      </c>
      <c r="Z926" s="9">
        <f>1/COUNTIFS(Таблица1[Customer Name],Таблица1[[#This Row],[Customer Name]],Таблица1[Order-Year-Month],Таблица1[[#This Row],[Order-Year-Month]])</f>
        <v>1</v>
      </c>
    </row>
    <row r="927" spans="1:26" x14ac:dyDescent="0.2">
      <c r="A927" s="6">
        <v>2014</v>
      </c>
      <c r="B927" s="7">
        <v>14375</v>
      </c>
      <c r="C927" s="8">
        <f>DATE(2012,12,31)-1065</f>
        <v>40209</v>
      </c>
      <c r="D927" s="8" t="str">
        <f t="shared" si="19"/>
        <v>2010-01 (январь 2010)</v>
      </c>
      <c r="E927" s="9" t="s">
        <v>63</v>
      </c>
      <c r="F927" s="7">
        <v>7</v>
      </c>
      <c r="G927" s="7">
        <v>44.05</v>
      </c>
      <c r="H927" s="7">
        <v>7.0000000000000007E-2</v>
      </c>
      <c r="I927" s="9" t="s">
        <v>22</v>
      </c>
      <c r="J927" s="10">
        <v>-21.77</v>
      </c>
      <c r="K927" s="11">
        <v>5.78</v>
      </c>
      <c r="L927" s="11">
        <v>5.67</v>
      </c>
      <c r="M927" s="9" t="s">
        <v>815</v>
      </c>
      <c r="N927" s="6" t="s">
        <v>703</v>
      </c>
      <c r="O927" s="6" t="s">
        <v>704</v>
      </c>
      <c r="P927" s="9" t="s">
        <v>41</v>
      </c>
      <c r="Q927" s="9" t="s">
        <v>26</v>
      </c>
      <c r="R927" s="9" t="s">
        <v>61</v>
      </c>
      <c r="S927" s="7" t="s">
        <v>587</v>
      </c>
      <c r="T927" s="9" t="s">
        <v>39</v>
      </c>
      <c r="U927" s="7">
        <v>0.36</v>
      </c>
      <c r="V927" s="12">
        <f>C927+1</f>
        <v>40210</v>
      </c>
      <c r="W927">
        <f>IF(D927=' Pivot Tables'!$A$4,1,0)</f>
        <v>1</v>
      </c>
      <c r="X927">
        <f>IF(AND(LEFT(D927,4)+1=LEFT(' Pivot Tables'!$A$4,4)+0,RIGHT(LEFT(D927,7),2)=RIGHT(LEFT(' Pivot Tables'!$A$4,7),2)),1,0)</f>
        <v>0</v>
      </c>
      <c r="Y927" s="6">
        <f>1/COUNTIF(Таблица1[Order ID],Таблица1[[#This Row],[Order ID]])</f>
        <v>0.5</v>
      </c>
      <c r="Z927" s="9">
        <f>1/COUNTIFS(Таблица1[Customer Name],Таблица1[[#This Row],[Customer Name]],Таблица1[Order-Year-Month],Таблица1[[#This Row],[Order-Year-Month]])</f>
        <v>0.5</v>
      </c>
    </row>
    <row r="928" spans="1:26" x14ac:dyDescent="0.2">
      <c r="A928" s="6">
        <v>2049</v>
      </c>
      <c r="B928" s="7">
        <v>14627</v>
      </c>
      <c r="C928" s="8">
        <f>DATE(2012,12,31)-1426</f>
        <v>39848</v>
      </c>
      <c r="D928" s="8" t="str">
        <f t="shared" si="19"/>
        <v>2009-02 (февраль 2009)</v>
      </c>
      <c r="E928" s="9" t="s">
        <v>63</v>
      </c>
      <c r="F928" s="7">
        <v>47</v>
      </c>
      <c r="G928" s="7">
        <v>671.03</v>
      </c>
      <c r="H928" s="7">
        <v>7.0000000000000007E-2</v>
      </c>
      <c r="I928" s="9" t="s">
        <v>22</v>
      </c>
      <c r="J928" s="10">
        <v>67.864000000000004</v>
      </c>
      <c r="K928" s="11">
        <v>14.48</v>
      </c>
      <c r="L928" s="11">
        <v>6.46</v>
      </c>
      <c r="M928" s="9" t="s">
        <v>795</v>
      </c>
      <c r="N928" s="6" t="s">
        <v>703</v>
      </c>
      <c r="O928" s="6" t="s">
        <v>704</v>
      </c>
      <c r="P928" s="9" t="s">
        <v>25</v>
      </c>
      <c r="Q928" s="9" t="s">
        <v>26</v>
      </c>
      <c r="R928" s="9" t="s">
        <v>37</v>
      </c>
      <c r="S928" s="7" t="s">
        <v>816</v>
      </c>
      <c r="T928" s="9" t="s">
        <v>39</v>
      </c>
      <c r="U928" s="7">
        <v>0.38</v>
      </c>
      <c r="V928" s="12">
        <f>C928+1</f>
        <v>39849</v>
      </c>
      <c r="W928">
        <f>IF(D928=' Pivot Tables'!$A$4,1,0)</f>
        <v>0</v>
      </c>
      <c r="X928">
        <f>IF(AND(LEFT(D928,4)+1=LEFT(' Pivot Tables'!$A$4,4)+0,RIGHT(LEFT(D928,7),2)=RIGHT(LEFT(' Pivot Tables'!$A$4,7),2)),1,0)</f>
        <v>0</v>
      </c>
      <c r="Y928" s="6">
        <f>1/COUNTIF(Таблица1[Order ID],Таблица1[[#This Row],[Order ID]])</f>
        <v>1</v>
      </c>
      <c r="Z928" s="9">
        <f>1/COUNTIFS(Таблица1[Customer Name],Таблица1[[#This Row],[Customer Name]],Таблица1[Order-Year-Month],Таблица1[[#This Row],[Order-Year-Month]])</f>
        <v>1</v>
      </c>
    </row>
    <row r="929" spans="1:26" x14ac:dyDescent="0.2">
      <c r="A929" s="6">
        <v>2077</v>
      </c>
      <c r="B929" s="7">
        <v>14852</v>
      </c>
      <c r="C929" s="8">
        <f>DATE(2012,12,31)-373</f>
        <v>40901</v>
      </c>
      <c r="D929" s="8" t="str">
        <f t="shared" si="19"/>
        <v>2011-12 (декабрь 2011)</v>
      </c>
      <c r="E929" s="9" t="s">
        <v>63</v>
      </c>
      <c r="F929" s="7">
        <v>9</v>
      </c>
      <c r="G929" s="7">
        <v>3800.4</v>
      </c>
      <c r="H929" s="7">
        <v>0.03</v>
      </c>
      <c r="I929" s="9" t="s">
        <v>56</v>
      </c>
      <c r="J929" s="10">
        <v>1234.5740000000001</v>
      </c>
      <c r="K929" s="11">
        <v>420.98</v>
      </c>
      <c r="L929" s="11">
        <v>19.989999999999998</v>
      </c>
      <c r="M929" s="9" t="s">
        <v>817</v>
      </c>
      <c r="N929" s="6" t="s">
        <v>703</v>
      </c>
      <c r="O929" s="6" t="s">
        <v>704</v>
      </c>
      <c r="P929" s="9" t="s">
        <v>33</v>
      </c>
      <c r="Q929" s="9" t="s">
        <v>26</v>
      </c>
      <c r="R929" s="9" t="s">
        <v>37</v>
      </c>
      <c r="S929" s="7" t="s">
        <v>607</v>
      </c>
      <c r="T929" s="9" t="s">
        <v>39</v>
      </c>
      <c r="U929" s="7">
        <v>0.35</v>
      </c>
      <c r="V929" s="12">
        <f>C929+0</f>
        <v>40901</v>
      </c>
      <c r="W929">
        <f>IF(D929=' Pivot Tables'!$A$4,1,0)</f>
        <v>0</v>
      </c>
      <c r="X929">
        <f>IF(AND(LEFT(D929,4)+1=LEFT(' Pivot Tables'!$A$4,4)+0,RIGHT(LEFT(D929,7),2)=RIGHT(LEFT(' Pivot Tables'!$A$4,7),2)),1,0)</f>
        <v>0</v>
      </c>
      <c r="Y929" s="6">
        <f>1/COUNTIF(Таблица1[Order ID],Таблица1[[#This Row],[Order ID]])</f>
        <v>1</v>
      </c>
      <c r="Z929" s="9">
        <f>1/COUNTIFS(Таблица1[Customer Name],Таблица1[[#This Row],[Customer Name]],Таблица1[Order-Year-Month],Таблица1[[#This Row],[Order-Year-Month]])</f>
        <v>1</v>
      </c>
    </row>
    <row r="930" spans="1:26" x14ac:dyDescent="0.2">
      <c r="A930" s="6">
        <v>2256</v>
      </c>
      <c r="B930" s="7">
        <v>16230</v>
      </c>
      <c r="C930" s="8">
        <f>DATE(2012,12,31)-1038</f>
        <v>40236</v>
      </c>
      <c r="D930" s="8" t="str">
        <f t="shared" si="19"/>
        <v>2010-02 (февраль 2010)</v>
      </c>
      <c r="E930" s="9" t="s">
        <v>21</v>
      </c>
      <c r="F930" s="7">
        <v>2</v>
      </c>
      <c r="G930" s="7">
        <v>13.3</v>
      </c>
      <c r="H930" s="7">
        <v>0.09</v>
      </c>
      <c r="I930" s="9" t="s">
        <v>22</v>
      </c>
      <c r="J930" s="10">
        <v>-7.86</v>
      </c>
      <c r="K930" s="11">
        <v>7.31</v>
      </c>
      <c r="L930" s="11">
        <v>0.49</v>
      </c>
      <c r="M930" s="9" t="s">
        <v>795</v>
      </c>
      <c r="N930" s="6" t="s">
        <v>703</v>
      </c>
      <c r="O930" s="6" t="s">
        <v>704</v>
      </c>
      <c r="P930" s="9" t="s">
        <v>41</v>
      </c>
      <c r="Q930" s="9" t="s">
        <v>26</v>
      </c>
      <c r="R930" s="9" t="s">
        <v>88</v>
      </c>
      <c r="S930" s="7" t="s">
        <v>107</v>
      </c>
      <c r="T930" s="9" t="s">
        <v>39</v>
      </c>
      <c r="U930" s="7">
        <v>0.38</v>
      </c>
      <c r="V930" s="12">
        <f>C930+2</f>
        <v>40238</v>
      </c>
      <c r="W930">
        <f>IF(D930=' Pivot Tables'!$A$4,1,0)</f>
        <v>0</v>
      </c>
      <c r="X930">
        <f>IF(AND(LEFT(D930,4)+1=LEFT(' Pivot Tables'!$A$4,4)+0,RIGHT(LEFT(D930,7),2)=RIGHT(LEFT(' Pivot Tables'!$A$4,7),2)),1,0)</f>
        <v>0</v>
      </c>
      <c r="Y930" s="6">
        <f>1/COUNTIF(Таблица1[Order ID],Таблица1[[#This Row],[Order ID]])</f>
        <v>0.25</v>
      </c>
      <c r="Z930" s="9">
        <f>1/COUNTIFS(Таблица1[Customer Name],Таблица1[[#This Row],[Customer Name]],Таблица1[Order-Year-Month],Таблица1[[#This Row],[Order-Year-Month]])</f>
        <v>0.25</v>
      </c>
    </row>
    <row r="931" spans="1:26" x14ac:dyDescent="0.2">
      <c r="A931" s="6">
        <v>2257</v>
      </c>
      <c r="B931" s="7">
        <v>16230</v>
      </c>
      <c r="C931" s="8">
        <f>DATE(2012,12,31)-1038</f>
        <v>40236</v>
      </c>
      <c r="D931" s="8" t="str">
        <f t="shared" si="19"/>
        <v>2010-02 (февраль 2010)</v>
      </c>
      <c r="E931" s="9" t="s">
        <v>21</v>
      </c>
      <c r="F931" s="7">
        <v>27</v>
      </c>
      <c r="G931" s="7">
        <v>3379.01</v>
      </c>
      <c r="H931" s="7">
        <v>0.06</v>
      </c>
      <c r="I931" s="9" t="s">
        <v>31</v>
      </c>
      <c r="J931" s="10">
        <v>-801.09</v>
      </c>
      <c r="K931" s="11">
        <v>130.97999999999999</v>
      </c>
      <c r="L931" s="11">
        <v>54.74</v>
      </c>
      <c r="M931" s="9" t="s">
        <v>795</v>
      </c>
      <c r="N931" s="6" t="s">
        <v>703</v>
      </c>
      <c r="O931" s="6" t="s">
        <v>704</v>
      </c>
      <c r="P931" s="9" t="s">
        <v>41</v>
      </c>
      <c r="Q931" s="9" t="s">
        <v>49</v>
      </c>
      <c r="R931" s="9" t="s">
        <v>80</v>
      </c>
      <c r="S931" s="7" t="s">
        <v>807</v>
      </c>
      <c r="T931" s="9" t="s">
        <v>82</v>
      </c>
      <c r="U931" s="7">
        <v>0.69</v>
      </c>
      <c r="V931" s="12">
        <f>C931+2</f>
        <v>40238</v>
      </c>
      <c r="W931">
        <f>IF(D931=' Pivot Tables'!$A$4,1,0)</f>
        <v>0</v>
      </c>
      <c r="X931">
        <f>IF(AND(LEFT(D931,4)+1=LEFT(' Pivot Tables'!$A$4,4)+0,RIGHT(LEFT(D931,7),2)=RIGHT(LEFT(' Pivot Tables'!$A$4,7),2)),1,0)</f>
        <v>0</v>
      </c>
      <c r="Y931" s="6">
        <f>1/COUNTIF(Таблица1[Order ID],Таблица1[[#This Row],[Order ID]])</f>
        <v>0.25</v>
      </c>
      <c r="Z931" s="9">
        <f>1/COUNTIFS(Таблица1[Customer Name],Таблица1[[#This Row],[Customer Name]],Таблица1[Order-Year-Month],Таблица1[[#This Row],[Order-Year-Month]])</f>
        <v>0.25</v>
      </c>
    </row>
    <row r="932" spans="1:26" x14ac:dyDescent="0.2">
      <c r="A932" s="6">
        <v>2258</v>
      </c>
      <c r="B932" s="7">
        <v>16230</v>
      </c>
      <c r="C932" s="8">
        <f>DATE(2012,12,31)-1038</f>
        <v>40236</v>
      </c>
      <c r="D932" s="8" t="str">
        <f t="shared" si="19"/>
        <v>2010-02 (февраль 2010)</v>
      </c>
      <c r="E932" s="9" t="s">
        <v>21</v>
      </c>
      <c r="F932" s="7">
        <v>15</v>
      </c>
      <c r="G932" s="7">
        <v>687.52</v>
      </c>
      <c r="H932" s="7">
        <v>0.08</v>
      </c>
      <c r="I932" s="9" t="s">
        <v>22</v>
      </c>
      <c r="J932" s="10">
        <v>223.76</v>
      </c>
      <c r="K932" s="11">
        <v>48.91</v>
      </c>
      <c r="L932" s="11">
        <v>5.81</v>
      </c>
      <c r="M932" s="9" t="s">
        <v>795</v>
      </c>
      <c r="N932" s="6" t="s">
        <v>703</v>
      </c>
      <c r="O932" s="6" t="s">
        <v>704</v>
      </c>
      <c r="P932" s="9" t="s">
        <v>41</v>
      </c>
      <c r="Q932" s="9" t="s">
        <v>26</v>
      </c>
      <c r="R932" s="9" t="s">
        <v>61</v>
      </c>
      <c r="S932" s="7" t="s">
        <v>183</v>
      </c>
      <c r="T932" s="9" t="s">
        <v>39</v>
      </c>
      <c r="U932" s="7">
        <v>0.38</v>
      </c>
      <c r="V932" s="12">
        <f>C932+7</f>
        <v>40243</v>
      </c>
      <c r="W932">
        <f>IF(D932=' Pivot Tables'!$A$4,1,0)</f>
        <v>0</v>
      </c>
      <c r="X932">
        <f>IF(AND(LEFT(D932,4)+1=LEFT(' Pivot Tables'!$A$4,4)+0,RIGHT(LEFT(D932,7),2)=RIGHT(LEFT(' Pivot Tables'!$A$4,7),2)),1,0)</f>
        <v>0</v>
      </c>
      <c r="Y932" s="6">
        <f>1/COUNTIF(Таблица1[Order ID],Таблица1[[#This Row],[Order ID]])</f>
        <v>0.25</v>
      </c>
      <c r="Z932" s="9">
        <f>1/COUNTIFS(Таблица1[Customer Name],Таблица1[[#This Row],[Customer Name]],Таблица1[Order-Year-Month],Таблица1[[#This Row],[Order-Year-Month]])</f>
        <v>0.25</v>
      </c>
    </row>
    <row r="933" spans="1:26" x14ac:dyDescent="0.2">
      <c r="A933" s="6">
        <v>2259</v>
      </c>
      <c r="B933" s="7">
        <v>16230</v>
      </c>
      <c r="C933" s="8">
        <f>DATE(2012,12,31)-1038</f>
        <v>40236</v>
      </c>
      <c r="D933" s="8" t="str">
        <f t="shared" si="19"/>
        <v>2010-02 (февраль 2010)</v>
      </c>
      <c r="E933" s="9" t="s">
        <v>21</v>
      </c>
      <c r="F933" s="7">
        <v>40</v>
      </c>
      <c r="G933" s="7">
        <v>4538.66</v>
      </c>
      <c r="H933" s="7">
        <v>0</v>
      </c>
      <c r="I933" s="9" t="s">
        <v>22</v>
      </c>
      <c r="J933" s="10">
        <v>506.86</v>
      </c>
      <c r="K933" s="11">
        <v>111.03</v>
      </c>
      <c r="L933" s="11">
        <v>8.64</v>
      </c>
      <c r="M933" s="9" t="s">
        <v>795</v>
      </c>
      <c r="N933" s="6" t="s">
        <v>703</v>
      </c>
      <c r="O933" s="6" t="s">
        <v>704</v>
      </c>
      <c r="P933" s="9" t="s">
        <v>41</v>
      </c>
      <c r="Q933" s="9" t="s">
        <v>26</v>
      </c>
      <c r="R933" s="9" t="s">
        <v>27</v>
      </c>
      <c r="S933" s="7" t="s">
        <v>199</v>
      </c>
      <c r="T933" s="9" t="s">
        <v>39</v>
      </c>
      <c r="U933" s="7">
        <v>0.78</v>
      </c>
      <c r="V933" s="12">
        <f>C933+5</f>
        <v>40241</v>
      </c>
      <c r="W933">
        <f>IF(D933=' Pivot Tables'!$A$4,1,0)</f>
        <v>0</v>
      </c>
      <c r="X933">
        <f>IF(AND(LEFT(D933,4)+1=LEFT(' Pivot Tables'!$A$4,4)+0,RIGHT(LEFT(D933,7),2)=RIGHT(LEFT(' Pivot Tables'!$A$4,7),2)),1,0)</f>
        <v>0</v>
      </c>
      <c r="Y933" s="6">
        <f>1/COUNTIF(Таблица1[Order ID],Таблица1[[#This Row],[Order ID]])</f>
        <v>0.25</v>
      </c>
      <c r="Z933" s="9">
        <f>1/COUNTIFS(Таблица1[Customer Name],Таблица1[[#This Row],[Customer Name]],Таблица1[Order-Year-Month],Таблица1[[#This Row],[Order-Year-Month]])</f>
        <v>0.25</v>
      </c>
    </row>
    <row r="934" spans="1:26" x14ac:dyDescent="0.2">
      <c r="A934" s="6">
        <v>2635</v>
      </c>
      <c r="B934" s="7">
        <v>19074</v>
      </c>
      <c r="C934" s="8">
        <f>DATE(2012,12,31)-189</f>
        <v>41085</v>
      </c>
      <c r="D934" s="8" t="str">
        <f t="shared" si="19"/>
        <v>2012-06 (июнь 2012)</v>
      </c>
      <c r="E934" s="9" t="s">
        <v>78</v>
      </c>
      <c r="F934" s="7">
        <v>17</v>
      </c>
      <c r="G934" s="7">
        <v>3816.59</v>
      </c>
      <c r="H934" s="7">
        <v>0.01</v>
      </c>
      <c r="I934" s="9" t="s">
        <v>31</v>
      </c>
      <c r="J934" s="10">
        <v>191.47</v>
      </c>
      <c r="K934" s="11">
        <v>208.16</v>
      </c>
      <c r="L934" s="11">
        <v>68.02</v>
      </c>
      <c r="M934" s="9" t="s">
        <v>795</v>
      </c>
      <c r="N934" s="6" t="s">
        <v>703</v>
      </c>
      <c r="O934" s="6" t="s">
        <v>704</v>
      </c>
      <c r="P934" s="9" t="s">
        <v>41</v>
      </c>
      <c r="Q934" s="9" t="s">
        <v>26</v>
      </c>
      <c r="R934" s="9" t="s">
        <v>34</v>
      </c>
      <c r="S934" s="7" t="s">
        <v>35</v>
      </c>
      <c r="T934" s="9" t="s">
        <v>36</v>
      </c>
      <c r="U934" s="7">
        <v>0.57999999999999996</v>
      </c>
      <c r="V934" s="12">
        <f>C934+2</f>
        <v>41087</v>
      </c>
      <c r="W934">
        <f>IF(D934=' Pivot Tables'!$A$4,1,0)</f>
        <v>0</v>
      </c>
      <c r="X934">
        <f>IF(AND(LEFT(D934,4)+1=LEFT(' Pivot Tables'!$A$4,4)+0,RIGHT(LEFT(D934,7),2)=RIGHT(LEFT(' Pivot Tables'!$A$4,7),2)),1,0)</f>
        <v>0</v>
      </c>
      <c r="Y934" s="6">
        <f>1/COUNTIF(Таблица1[Order ID],Таблица1[[#This Row],[Order ID]])</f>
        <v>1</v>
      </c>
      <c r="Z934" s="9">
        <f>1/COUNTIFS(Таблица1[Customer Name],Таблица1[[#This Row],[Customer Name]],Таблица1[Order-Year-Month],Таблица1[[#This Row],[Order-Year-Month]])</f>
        <v>1</v>
      </c>
    </row>
    <row r="935" spans="1:26" x14ac:dyDescent="0.2">
      <c r="A935" s="6">
        <v>2801</v>
      </c>
      <c r="B935" s="7">
        <v>20194</v>
      </c>
      <c r="C935" s="8">
        <f>DATE(2012,12,31)-293</f>
        <v>40981</v>
      </c>
      <c r="D935" s="8" t="str">
        <f t="shared" si="19"/>
        <v>2012-03 (март 2012)</v>
      </c>
      <c r="E935" s="9" t="s">
        <v>30</v>
      </c>
      <c r="F935" s="7">
        <v>10</v>
      </c>
      <c r="G935" s="7">
        <v>194.29</v>
      </c>
      <c r="H935" s="7">
        <v>0.1</v>
      </c>
      <c r="I935" s="9" t="s">
        <v>22</v>
      </c>
      <c r="J935" s="10">
        <v>68.89</v>
      </c>
      <c r="K935" s="11">
        <v>20.239999999999998</v>
      </c>
      <c r="L935" s="11">
        <v>6.67</v>
      </c>
      <c r="M935" s="9" t="s">
        <v>818</v>
      </c>
      <c r="N935" s="6" t="s">
        <v>703</v>
      </c>
      <c r="O935" s="6" t="s">
        <v>704</v>
      </c>
      <c r="P935" s="9" t="s">
        <v>33</v>
      </c>
      <c r="Q935" s="9" t="s">
        <v>49</v>
      </c>
      <c r="R935" s="9" t="s">
        <v>50</v>
      </c>
      <c r="S935" s="7" t="s">
        <v>427</v>
      </c>
      <c r="T935" s="9" t="s">
        <v>52</v>
      </c>
      <c r="U935" s="7">
        <v>0.49</v>
      </c>
      <c r="V935" s="12">
        <f>C935+2</f>
        <v>40983</v>
      </c>
      <c r="W935">
        <f>IF(D935=' Pivot Tables'!$A$4,1,0)</f>
        <v>0</v>
      </c>
      <c r="X935">
        <f>IF(AND(LEFT(D935,4)+1=LEFT(' Pivot Tables'!$A$4,4)+0,RIGHT(LEFT(D935,7),2)=RIGHT(LEFT(' Pivot Tables'!$A$4,7),2)),1,0)</f>
        <v>0</v>
      </c>
      <c r="Y935" s="6">
        <f>1/COUNTIF(Таблица1[Order ID],Таблица1[[#This Row],[Order ID]])</f>
        <v>1</v>
      </c>
      <c r="Z935" s="9">
        <f>1/COUNTIFS(Таблица1[Customer Name],Таблица1[[#This Row],[Customer Name]],Таблица1[Order-Year-Month],Таблица1[[#This Row],[Order-Year-Month]])</f>
        <v>1</v>
      </c>
    </row>
    <row r="936" spans="1:26" x14ac:dyDescent="0.2">
      <c r="A936" s="6">
        <v>2912</v>
      </c>
      <c r="B936" s="7">
        <v>21024</v>
      </c>
      <c r="C936" s="8">
        <f>DATE(2012,12,31)-734</f>
        <v>40540</v>
      </c>
      <c r="D936" s="8" t="str">
        <f t="shared" si="19"/>
        <v>2010-12 (декабрь 2010)</v>
      </c>
      <c r="E936" s="9" t="s">
        <v>63</v>
      </c>
      <c r="F936" s="7">
        <v>34</v>
      </c>
      <c r="G936" s="7">
        <v>195.49</v>
      </c>
      <c r="H936" s="7">
        <v>0.05</v>
      </c>
      <c r="I936" s="9" t="s">
        <v>22</v>
      </c>
      <c r="J936" s="10">
        <v>33.799999999999997</v>
      </c>
      <c r="K936" s="11">
        <v>5.84</v>
      </c>
      <c r="L936" s="11">
        <v>1.2</v>
      </c>
      <c r="M936" s="9" t="s">
        <v>819</v>
      </c>
      <c r="N936" s="6" t="s">
        <v>703</v>
      </c>
      <c r="O936" s="6" t="s">
        <v>704</v>
      </c>
      <c r="P936" s="9" t="s">
        <v>41</v>
      </c>
      <c r="Q936" s="9" t="s">
        <v>26</v>
      </c>
      <c r="R936" s="9" t="s">
        <v>95</v>
      </c>
      <c r="S936" s="7" t="s">
        <v>413</v>
      </c>
      <c r="T936" s="9" t="s">
        <v>68</v>
      </c>
      <c r="U936" s="7">
        <v>0.55000000000000004</v>
      </c>
      <c r="V936" s="12">
        <f>C936+2</f>
        <v>40542</v>
      </c>
      <c r="W936">
        <f>IF(D936=' Pivot Tables'!$A$4,1,0)</f>
        <v>0</v>
      </c>
      <c r="X936">
        <f>IF(AND(LEFT(D936,4)+1=LEFT(' Pivot Tables'!$A$4,4)+0,RIGHT(LEFT(D936,7),2)=RIGHT(LEFT(' Pivot Tables'!$A$4,7),2)),1,0)</f>
        <v>0</v>
      </c>
      <c r="Y936" s="6">
        <f>1/COUNTIF(Таблица1[Order ID],Таблица1[[#This Row],[Order ID]])</f>
        <v>1</v>
      </c>
      <c r="Z936" s="9">
        <f>1/COUNTIFS(Таблица1[Customer Name],Таблица1[[#This Row],[Customer Name]],Таблица1[Order-Year-Month],Таблица1[[#This Row],[Order-Year-Month]])</f>
        <v>1</v>
      </c>
    </row>
    <row r="937" spans="1:26" x14ac:dyDescent="0.2">
      <c r="A937" s="6">
        <v>2978</v>
      </c>
      <c r="B937" s="7">
        <v>21509</v>
      </c>
      <c r="C937" s="8">
        <f>DATE(2012,12,31)-181</f>
        <v>41093</v>
      </c>
      <c r="D937" s="8" t="str">
        <f t="shared" si="19"/>
        <v>2012-07 (июль 2012)</v>
      </c>
      <c r="E937" s="9" t="s">
        <v>30</v>
      </c>
      <c r="F937" s="7">
        <v>13</v>
      </c>
      <c r="G937" s="7">
        <v>47.93</v>
      </c>
      <c r="H937" s="7">
        <v>0.04</v>
      </c>
      <c r="I937" s="9" t="s">
        <v>22</v>
      </c>
      <c r="J937" s="10">
        <v>15.82</v>
      </c>
      <c r="K937" s="11">
        <v>3.69</v>
      </c>
      <c r="L937" s="11">
        <v>0.5</v>
      </c>
      <c r="M937" s="9" t="s">
        <v>818</v>
      </c>
      <c r="N937" s="6" t="s">
        <v>703</v>
      </c>
      <c r="O937" s="6" t="s">
        <v>704</v>
      </c>
      <c r="P937" s="9" t="s">
        <v>33</v>
      </c>
      <c r="Q937" s="9" t="s">
        <v>26</v>
      </c>
      <c r="R937" s="9" t="s">
        <v>88</v>
      </c>
      <c r="S937" s="7" t="s">
        <v>202</v>
      </c>
      <c r="T937" s="9" t="s">
        <v>39</v>
      </c>
      <c r="U937" s="7">
        <v>0.38</v>
      </c>
      <c r="V937" s="12">
        <f>C937+2</f>
        <v>41095</v>
      </c>
      <c r="W937">
        <f>IF(D937=' Pivot Tables'!$A$4,1,0)</f>
        <v>0</v>
      </c>
      <c r="X937">
        <f>IF(AND(LEFT(D937,4)+1=LEFT(' Pivot Tables'!$A$4,4)+0,RIGHT(LEFT(D937,7),2)=RIGHT(LEFT(' Pivot Tables'!$A$4,7),2)),1,0)</f>
        <v>0</v>
      </c>
      <c r="Y937" s="6">
        <f>1/COUNTIF(Таблица1[Order ID],Таблица1[[#This Row],[Order ID]])</f>
        <v>1</v>
      </c>
      <c r="Z937" s="9">
        <f>1/COUNTIFS(Таблица1[Customer Name],Таблица1[[#This Row],[Customer Name]],Таблица1[Order-Year-Month],Таблица1[[#This Row],[Order-Year-Month]])</f>
        <v>1</v>
      </c>
    </row>
    <row r="938" spans="1:26" x14ac:dyDescent="0.2">
      <c r="A938" s="6">
        <v>3042</v>
      </c>
      <c r="B938" s="7">
        <v>21856</v>
      </c>
      <c r="C938" s="8">
        <f>DATE(2012,12,31)-270</f>
        <v>41004</v>
      </c>
      <c r="D938" s="8" t="str">
        <f t="shared" si="19"/>
        <v>2012-04 (апрель 2012)</v>
      </c>
      <c r="E938" s="9" t="s">
        <v>45</v>
      </c>
      <c r="F938" s="7">
        <v>47</v>
      </c>
      <c r="G938" s="7">
        <v>168.55</v>
      </c>
      <c r="H938" s="7">
        <v>0.05</v>
      </c>
      <c r="I938" s="9" t="s">
        <v>22</v>
      </c>
      <c r="J938" s="10">
        <v>71.77</v>
      </c>
      <c r="K938" s="11">
        <v>3.69</v>
      </c>
      <c r="L938" s="11">
        <v>0.5</v>
      </c>
      <c r="M938" s="9" t="s">
        <v>795</v>
      </c>
      <c r="N938" s="6" t="s">
        <v>703</v>
      </c>
      <c r="O938" s="6" t="s">
        <v>704</v>
      </c>
      <c r="P938" s="9" t="s">
        <v>41</v>
      </c>
      <c r="Q938" s="9" t="s">
        <v>26</v>
      </c>
      <c r="R938" s="9" t="s">
        <v>88</v>
      </c>
      <c r="S938" s="7" t="s">
        <v>202</v>
      </c>
      <c r="T938" s="9" t="s">
        <v>39</v>
      </c>
      <c r="U938" s="7">
        <v>0.38</v>
      </c>
      <c r="V938" s="12">
        <f>C938+2</f>
        <v>41006</v>
      </c>
      <c r="W938">
        <f>IF(D938=' Pivot Tables'!$A$4,1,0)</f>
        <v>0</v>
      </c>
      <c r="X938">
        <f>IF(AND(LEFT(D938,4)+1=LEFT(' Pivot Tables'!$A$4,4)+0,RIGHT(LEFT(D938,7),2)=RIGHT(LEFT(' Pivot Tables'!$A$4,7),2)),1,0)</f>
        <v>0</v>
      </c>
      <c r="Y938" s="6">
        <f>1/COUNTIF(Таблица1[Order ID],Таблица1[[#This Row],[Order ID]])</f>
        <v>0.5</v>
      </c>
      <c r="Z938" s="9">
        <f>1/COUNTIFS(Таблица1[Customer Name],Таблица1[[#This Row],[Customer Name]],Таблица1[Order-Year-Month],Таблица1[[#This Row],[Order-Year-Month]])</f>
        <v>0.5</v>
      </c>
    </row>
    <row r="939" spans="1:26" x14ac:dyDescent="0.2">
      <c r="A939" s="6">
        <v>3043</v>
      </c>
      <c r="B939" s="7">
        <v>21856</v>
      </c>
      <c r="C939" s="8">
        <f>DATE(2012,12,31)-270</f>
        <v>41004</v>
      </c>
      <c r="D939" s="8" t="str">
        <f t="shared" si="19"/>
        <v>2012-04 (апрель 2012)</v>
      </c>
      <c r="E939" s="9" t="s">
        <v>45</v>
      </c>
      <c r="F939" s="7">
        <v>26</v>
      </c>
      <c r="G939" s="7">
        <v>77.03</v>
      </c>
      <c r="H939" s="7">
        <v>0.08</v>
      </c>
      <c r="I939" s="9" t="s">
        <v>22</v>
      </c>
      <c r="J939" s="10">
        <v>-47.75</v>
      </c>
      <c r="K939" s="11">
        <v>3.14</v>
      </c>
      <c r="L939" s="11">
        <v>1.92</v>
      </c>
      <c r="M939" s="9" t="s">
        <v>795</v>
      </c>
      <c r="N939" s="6" t="s">
        <v>703</v>
      </c>
      <c r="O939" s="6" t="s">
        <v>704</v>
      </c>
      <c r="P939" s="9" t="s">
        <v>41</v>
      </c>
      <c r="Q939" s="9" t="s">
        <v>26</v>
      </c>
      <c r="R939" s="9" t="s">
        <v>150</v>
      </c>
      <c r="S939" s="7" t="s">
        <v>699</v>
      </c>
      <c r="T939" s="9" t="s">
        <v>68</v>
      </c>
      <c r="U939" s="7">
        <v>0.84</v>
      </c>
      <c r="V939" s="12">
        <f>C939+0</f>
        <v>41004</v>
      </c>
      <c r="W939">
        <f>IF(D939=' Pivot Tables'!$A$4,1,0)</f>
        <v>0</v>
      </c>
      <c r="X939">
        <f>IF(AND(LEFT(D939,4)+1=LEFT(' Pivot Tables'!$A$4,4)+0,RIGHT(LEFT(D939,7),2)=RIGHT(LEFT(' Pivot Tables'!$A$4,7),2)),1,0)</f>
        <v>0</v>
      </c>
      <c r="Y939" s="6">
        <f>1/COUNTIF(Таблица1[Order ID],Таблица1[[#This Row],[Order ID]])</f>
        <v>0.5</v>
      </c>
      <c r="Z939" s="9">
        <f>1/COUNTIFS(Таблица1[Customer Name],Таблица1[[#This Row],[Customer Name]],Таблица1[Order-Year-Month],Таблица1[[#This Row],[Order-Year-Month]])</f>
        <v>0.5</v>
      </c>
    </row>
    <row r="940" spans="1:26" x14ac:dyDescent="0.2">
      <c r="A940" s="6">
        <v>3085</v>
      </c>
      <c r="B940" s="7">
        <v>22119</v>
      </c>
      <c r="C940" s="8">
        <f>DATE(2012,12,31)-1256</f>
        <v>40018</v>
      </c>
      <c r="D940" s="8" t="str">
        <f t="shared" si="19"/>
        <v>2009-07 (июль 2009)</v>
      </c>
      <c r="E940" s="9" t="s">
        <v>21</v>
      </c>
      <c r="F940" s="7">
        <v>20</v>
      </c>
      <c r="G940" s="7">
        <v>939.39</v>
      </c>
      <c r="H940" s="7">
        <v>7.0000000000000007E-2</v>
      </c>
      <c r="I940" s="9" t="s">
        <v>22</v>
      </c>
      <c r="J940" s="10">
        <v>-122.77</v>
      </c>
      <c r="K940" s="11">
        <v>49.43</v>
      </c>
      <c r="L940" s="11">
        <v>19.989999999999998</v>
      </c>
      <c r="M940" s="9" t="s">
        <v>819</v>
      </c>
      <c r="N940" s="6" t="s">
        <v>703</v>
      </c>
      <c r="O940" s="6" t="s">
        <v>704</v>
      </c>
      <c r="P940" s="9" t="s">
        <v>41</v>
      </c>
      <c r="Q940" s="9" t="s">
        <v>26</v>
      </c>
      <c r="R940" s="9" t="s">
        <v>34</v>
      </c>
      <c r="S940" s="7" t="s">
        <v>820</v>
      </c>
      <c r="T940" s="9" t="s">
        <v>39</v>
      </c>
      <c r="U940" s="7">
        <v>0.56999999999999995</v>
      </c>
      <c r="V940" s="12">
        <f>C940+5</f>
        <v>40023</v>
      </c>
      <c r="W940">
        <f>IF(D940=' Pivot Tables'!$A$4,1,0)</f>
        <v>0</v>
      </c>
      <c r="X940">
        <f>IF(AND(LEFT(D940,4)+1=LEFT(' Pivot Tables'!$A$4,4)+0,RIGHT(LEFT(D940,7),2)=RIGHT(LEFT(' Pivot Tables'!$A$4,7),2)),1,0)</f>
        <v>0</v>
      </c>
      <c r="Y940" s="6">
        <f>1/COUNTIF(Таблица1[Order ID],Таблица1[[#This Row],[Order ID]])</f>
        <v>1</v>
      </c>
      <c r="Z940" s="9">
        <f>1/COUNTIFS(Таблица1[Customer Name],Таблица1[[#This Row],[Customer Name]],Таблица1[Order-Year-Month],Таблица1[[#This Row],[Order-Year-Month]])</f>
        <v>1</v>
      </c>
    </row>
    <row r="941" spans="1:26" x14ac:dyDescent="0.2">
      <c r="A941" s="6">
        <v>3141</v>
      </c>
      <c r="B941" s="7">
        <v>22534</v>
      </c>
      <c r="C941" s="8">
        <f>DATE(2012,12,31)-532</f>
        <v>40742</v>
      </c>
      <c r="D941" s="8" t="str">
        <f t="shared" si="19"/>
        <v>2011-07 (июль 2011)</v>
      </c>
      <c r="E941" s="9" t="s">
        <v>63</v>
      </c>
      <c r="F941" s="7">
        <v>3</v>
      </c>
      <c r="G941" s="7">
        <v>279.33</v>
      </c>
      <c r="H941" s="7">
        <v>0</v>
      </c>
      <c r="I941" s="9" t="s">
        <v>22</v>
      </c>
      <c r="J941" s="10">
        <v>-44.18</v>
      </c>
      <c r="K941" s="11">
        <v>83.93</v>
      </c>
      <c r="L941" s="11">
        <v>19.989999999999998</v>
      </c>
      <c r="M941" s="9" t="s">
        <v>808</v>
      </c>
      <c r="N941" s="6" t="s">
        <v>703</v>
      </c>
      <c r="O941" s="6" t="s">
        <v>704</v>
      </c>
      <c r="P941" s="9" t="s">
        <v>41</v>
      </c>
      <c r="Q941" s="9" t="s">
        <v>26</v>
      </c>
      <c r="R941" s="9" t="s">
        <v>76</v>
      </c>
      <c r="S941" s="7" t="s">
        <v>821</v>
      </c>
      <c r="T941" s="9" t="s">
        <v>39</v>
      </c>
      <c r="U941" s="7">
        <v>0.38</v>
      </c>
      <c r="V941" s="12">
        <f>C941+2</f>
        <v>40744</v>
      </c>
      <c r="W941">
        <f>IF(D941=' Pivot Tables'!$A$4,1,0)</f>
        <v>0</v>
      </c>
      <c r="X941">
        <f>IF(AND(LEFT(D941,4)+1=LEFT(' Pivot Tables'!$A$4,4)+0,RIGHT(LEFT(D941,7),2)=RIGHT(LEFT(' Pivot Tables'!$A$4,7),2)),1,0)</f>
        <v>0</v>
      </c>
      <c r="Y941" s="6">
        <f>1/COUNTIF(Таблица1[Order ID],Таблица1[[#This Row],[Order ID]])</f>
        <v>1</v>
      </c>
      <c r="Z941" s="9">
        <f>1/COUNTIFS(Таблица1[Customer Name],Таблица1[[#This Row],[Customer Name]],Таблица1[Order-Year-Month],Таблица1[[#This Row],[Order-Year-Month]])</f>
        <v>1</v>
      </c>
    </row>
    <row r="942" spans="1:26" x14ac:dyDescent="0.2">
      <c r="A942" s="6">
        <v>3154</v>
      </c>
      <c r="B942" s="7">
        <v>22629</v>
      </c>
      <c r="C942" s="8">
        <f>DATE(2012,12,31)-991</f>
        <v>40283</v>
      </c>
      <c r="D942" s="8" t="str">
        <f t="shared" si="19"/>
        <v>2010-04 (апрель 2010)</v>
      </c>
      <c r="E942" s="9" t="s">
        <v>21</v>
      </c>
      <c r="F942" s="7">
        <v>5</v>
      </c>
      <c r="G942" s="7">
        <v>365.93</v>
      </c>
      <c r="H942" s="7">
        <v>0.05</v>
      </c>
      <c r="I942" s="9" t="s">
        <v>22</v>
      </c>
      <c r="J942" s="10">
        <v>-243.02</v>
      </c>
      <c r="K942" s="11">
        <v>73.98</v>
      </c>
      <c r="L942" s="11">
        <v>14.52</v>
      </c>
      <c r="M942" s="9" t="s">
        <v>795</v>
      </c>
      <c r="N942" s="6" t="s">
        <v>703</v>
      </c>
      <c r="O942" s="6" t="s">
        <v>704</v>
      </c>
      <c r="P942" s="9" t="s">
        <v>25</v>
      </c>
      <c r="Q942" s="9" t="s">
        <v>42</v>
      </c>
      <c r="R942" s="9" t="s">
        <v>70</v>
      </c>
      <c r="S942" s="7" t="s">
        <v>822</v>
      </c>
      <c r="T942" s="9" t="s">
        <v>39</v>
      </c>
      <c r="U942" s="7">
        <v>0.65</v>
      </c>
      <c r="V942" s="12">
        <f>C942+5</f>
        <v>40288</v>
      </c>
      <c r="W942">
        <f>IF(D942=' Pivot Tables'!$A$4,1,0)</f>
        <v>0</v>
      </c>
      <c r="X942">
        <f>IF(AND(LEFT(D942,4)+1=LEFT(' Pivot Tables'!$A$4,4)+0,RIGHT(LEFT(D942,7),2)=RIGHT(LEFT(' Pivot Tables'!$A$4,7),2)),1,0)</f>
        <v>0</v>
      </c>
      <c r="Y942" s="6">
        <f>1/COUNTIF(Таблица1[Order ID],Таблица1[[#This Row],[Order ID]])</f>
        <v>1</v>
      </c>
      <c r="Z942" s="9">
        <f>1/COUNTIFS(Таблица1[Customer Name],Таблица1[[#This Row],[Customer Name]],Таблица1[Order-Year-Month],Таблица1[[#This Row],[Order-Year-Month]])</f>
        <v>1</v>
      </c>
    </row>
    <row r="943" spans="1:26" x14ac:dyDescent="0.2">
      <c r="A943" s="6">
        <v>3208</v>
      </c>
      <c r="B943" s="7">
        <v>23011</v>
      </c>
      <c r="C943" s="8">
        <f>DATE(2012,12,31)-930</f>
        <v>40344</v>
      </c>
      <c r="D943" s="8" t="str">
        <f t="shared" si="19"/>
        <v>2010-06 (июнь 2010)</v>
      </c>
      <c r="E943" s="9" t="s">
        <v>21</v>
      </c>
      <c r="F943" s="7">
        <v>1</v>
      </c>
      <c r="G943" s="7">
        <v>12.2</v>
      </c>
      <c r="H943" s="7">
        <v>0.01</v>
      </c>
      <c r="I943" s="9" t="s">
        <v>22</v>
      </c>
      <c r="J943" s="10">
        <v>-33.93</v>
      </c>
      <c r="K943" s="11">
        <v>10.01</v>
      </c>
      <c r="L943" s="11">
        <v>1.99</v>
      </c>
      <c r="M943" s="9" t="s">
        <v>808</v>
      </c>
      <c r="N943" s="6" t="s">
        <v>703</v>
      </c>
      <c r="O943" s="6" t="s">
        <v>704</v>
      </c>
      <c r="P943" s="9" t="s">
        <v>41</v>
      </c>
      <c r="Q943" s="9" t="s">
        <v>42</v>
      </c>
      <c r="R943" s="9" t="s">
        <v>70</v>
      </c>
      <c r="S943" s="7" t="s">
        <v>444</v>
      </c>
      <c r="T943" s="9" t="s">
        <v>52</v>
      </c>
      <c r="U943" s="7">
        <v>0.41</v>
      </c>
      <c r="V943" s="12">
        <f>C943+7</f>
        <v>40351</v>
      </c>
      <c r="W943">
        <f>IF(D943=' Pivot Tables'!$A$4,1,0)</f>
        <v>0</v>
      </c>
      <c r="X943">
        <f>IF(AND(LEFT(D943,4)+1=LEFT(' Pivot Tables'!$A$4,4)+0,RIGHT(LEFT(D943,7),2)=RIGHT(LEFT(' Pivot Tables'!$A$4,7),2)),1,0)</f>
        <v>0</v>
      </c>
      <c r="Y943" s="6">
        <f>1/COUNTIF(Таблица1[Order ID],Таблица1[[#This Row],[Order ID]])</f>
        <v>1</v>
      </c>
      <c r="Z943" s="9">
        <f>1/COUNTIFS(Таблица1[Customer Name],Таблица1[[#This Row],[Customer Name]],Таблица1[Order-Year-Month],Таблица1[[#This Row],[Order-Year-Month]])</f>
        <v>1</v>
      </c>
    </row>
    <row r="944" spans="1:26" x14ac:dyDescent="0.2">
      <c r="A944" s="6">
        <v>3368</v>
      </c>
      <c r="B944" s="7">
        <v>24070</v>
      </c>
      <c r="C944" s="8">
        <f>DATE(2012,12,31)-657</f>
        <v>40617</v>
      </c>
      <c r="D944" s="8" t="str">
        <f t="shared" si="19"/>
        <v>2011-03 (март 2011)</v>
      </c>
      <c r="E944" s="9" t="s">
        <v>30</v>
      </c>
      <c r="F944" s="7">
        <v>36</v>
      </c>
      <c r="G944" s="7">
        <v>170.42</v>
      </c>
      <c r="H944" s="7">
        <v>0.1</v>
      </c>
      <c r="I944" s="9" t="s">
        <v>22</v>
      </c>
      <c r="J944" s="10">
        <v>-98.313499999999991</v>
      </c>
      <c r="K944" s="11">
        <v>4.91</v>
      </c>
      <c r="L944" s="11">
        <v>4.97</v>
      </c>
      <c r="M944" s="9" t="s">
        <v>795</v>
      </c>
      <c r="N944" s="6" t="s">
        <v>703</v>
      </c>
      <c r="O944" s="6" t="s">
        <v>704</v>
      </c>
      <c r="P944" s="9" t="s">
        <v>41</v>
      </c>
      <c r="Q944" s="9" t="s">
        <v>26</v>
      </c>
      <c r="R944" s="9" t="s">
        <v>37</v>
      </c>
      <c r="S944" s="7" t="s">
        <v>626</v>
      </c>
      <c r="T944" s="9" t="s">
        <v>39</v>
      </c>
      <c r="U944" s="7">
        <v>0.38</v>
      </c>
      <c r="V944" s="12">
        <f>C944+1</f>
        <v>40618</v>
      </c>
      <c r="W944">
        <f>IF(D944=' Pivot Tables'!$A$4,1,0)</f>
        <v>0</v>
      </c>
      <c r="X944">
        <f>IF(AND(LEFT(D944,4)+1=LEFT(' Pivot Tables'!$A$4,4)+0,RIGHT(LEFT(D944,7),2)=RIGHT(LEFT(' Pivot Tables'!$A$4,7),2)),1,0)</f>
        <v>0</v>
      </c>
      <c r="Y944" s="6">
        <f>1/COUNTIF(Таблица1[Order ID],Таблица1[[#This Row],[Order ID]])</f>
        <v>0.33333333333333331</v>
      </c>
      <c r="Z944" s="9">
        <f>1/COUNTIFS(Таблица1[Customer Name],Таблица1[[#This Row],[Customer Name]],Таблица1[Order-Year-Month],Таблица1[[#This Row],[Order-Year-Month]])</f>
        <v>0.33333333333333331</v>
      </c>
    </row>
    <row r="945" spans="1:26" x14ac:dyDescent="0.2">
      <c r="A945" s="6">
        <v>3369</v>
      </c>
      <c r="B945" s="7">
        <v>24070</v>
      </c>
      <c r="C945" s="8">
        <f>DATE(2012,12,31)-657</f>
        <v>40617</v>
      </c>
      <c r="D945" s="8" t="str">
        <f t="shared" si="19"/>
        <v>2011-03 (март 2011)</v>
      </c>
      <c r="E945" s="9" t="s">
        <v>30</v>
      </c>
      <c r="F945" s="7">
        <v>3</v>
      </c>
      <c r="G945" s="7">
        <v>431.29</v>
      </c>
      <c r="H945" s="7">
        <v>0.1</v>
      </c>
      <c r="I945" s="9" t="s">
        <v>22</v>
      </c>
      <c r="J945" s="10">
        <v>-164.59</v>
      </c>
      <c r="K945" s="11">
        <v>140.81</v>
      </c>
      <c r="L945" s="11">
        <v>24.49</v>
      </c>
      <c r="M945" s="9" t="s">
        <v>795</v>
      </c>
      <c r="N945" s="6" t="s">
        <v>703</v>
      </c>
      <c r="O945" s="6" t="s">
        <v>704</v>
      </c>
      <c r="P945" s="9" t="s">
        <v>41</v>
      </c>
      <c r="Q945" s="9" t="s">
        <v>49</v>
      </c>
      <c r="R945" s="9" t="s">
        <v>112</v>
      </c>
      <c r="S945" s="7" t="s">
        <v>314</v>
      </c>
      <c r="T945" s="9" t="s">
        <v>29</v>
      </c>
      <c r="U945" s="7">
        <v>0.56999999999999995</v>
      </c>
      <c r="V945" s="12">
        <f>C945+1</f>
        <v>40618</v>
      </c>
      <c r="W945">
        <f>IF(D945=' Pivot Tables'!$A$4,1,0)</f>
        <v>0</v>
      </c>
      <c r="X945">
        <f>IF(AND(LEFT(D945,4)+1=LEFT(' Pivot Tables'!$A$4,4)+0,RIGHT(LEFT(D945,7),2)=RIGHT(LEFT(' Pivot Tables'!$A$4,7),2)),1,0)</f>
        <v>0</v>
      </c>
      <c r="Y945" s="6">
        <f>1/COUNTIF(Таблица1[Order ID],Таблица1[[#This Row],[Order ID]])</f>
        <v>0.33333333333333331</v>
      </c>
      <c r="Z945" s="9">
        <f>1/COUNTIFS(Таблица1[Customer Name],Таблица1[[#This Row],[Customer Name]],Таблица1[Order-Year-Month],Таблица1[[#This Row],[Order-Year-Month]])</f>
        <v>0.33333333333333331</v>
      </c>
    </row>
    <row r="946" spans="1:26" x14ac:dyDescent="0.2">
      <c r="A946" s="6">
        <v>3370</v>
      </c>
      <c r="B946" s="7">
        <v>24070</v>
      </c>
      <c r="C946" s="8">
        <f>DATE(2012,12,31)-657</f>
        <v>40617</v>
      </c>
      <c r="D946" s="8" t="str">
        <f t="shared" si="19"/>
        <v>2011-03 (март 2011)</v>
      </c>
      <c r="E946" s="9" t="s">
        <v>30</v>
      </c>
      <c r="F946" s="7">
        <v>48</v>
      </c>
      <c r="G946" s="7">
        <v>294.26</v>
      </c>
      <c r="H946" s="7">
        <v>0</v>
      </c>
      <c r="I946" s="9" t="s">
        <v>56</v>
      </c>
      <c r="J946" s="10">
        <v>88.8</v>
      </c>
      <c r="K946" s="11">
        <v>5.58</v>
      </c>
      <c r="L946" s="11">
        <v>0.7</v>
      </c>
      <c r="M946" s="9" t="s">
        <v>795</v>
      </c>
      <c r="N946" s="6" t="s">
        <v>703</v>
      </c>
      <c r="O946" s="6" t="s">
        <v>704</v>
      </c>
      <c r="P946" s="9" t="s">
        <v>41</v>
      </c>
      <c r="Q946" s="9" t="s">
        <v>26</v>
      </c>
      <c r="R946" s="9" t="s">
        <v>95</v>
      </c>
      <c r="S946" s="7" t="s">
        <v>823</v>
      </c>
      <c r="T946" s="9" t="s">
        <v>68</v>
      </c>
      <c r="U946" s="7">
        <v>0.6</v>
      </c>
      <c r="V946" s="12">
        <f>C946+1</f>
        <v>40618</v>
      </c>
      <c r="W946">
        <f>IF(D946=' Pivot Tables'!$A$4,1,0)</f>
        <v>0</v>
      </c>
      <c r="X946">
        <f>IF(AND(LEFT(D946,4)+1=LEFT(' Pivot Tables'!$A$4,4)+0,RIGHT(LEFT(D946,7),2)=RIGHT(LEFT(' Pivot Tables'!$A$4,7),2)),1,0)</f>
        <v>0</v>
      </c>
      <c r="Y946" s="6">
        <f>1/COUNTIF(Таблица1[Order ID],Таблица1[[#This Row],[Order ID]])</f>
        <v>0.33333333333333331</v>
      </c>
      <c r="Z946" s="9">
        <f>1/COUNTIFS(Таблица1[Customer Name],Таблица1[[#This Row],[Customer Name]],Таблица1[Order-Year-Month],Таблица1[[#This Row],[Order-Year-Month]])</f>
        <v>0.33333333333333331</v>
      </c>
    </row>
    <row r="947" spans="1:26" x14ac:dyDescent="0.2">
      <c r="A947" s="6">
        <v>3474</v>
      </c>
      <c r="B947" s="7">
        <v>24737</v>
      </c>
      <c r="C947" s="8">
        <f>DATE(2012,12,31)-1121</f>
        <v>40153</v>
      </c>
      <c r="D947" s="8" t="str">
        <f t="shared" si="19"/>
        <v>2009-12 (декабрь 2009)</v>
      </c>
      <c r="E947" s="9" t="s">
        <v>30</v>
      </c>
      <c r="F947" s="7">
        <v>3</v>
      </c>
      <c r="G947" s="7">
        <v>549.91999999999996</v>
      </c>
      <c r="H947" s="7">
        <v>0.09</v>
      </c>
      <c r="I947" s="9" t="s">
        <v>31</v>
      </c>
      <c r="J947" s="10">
        <v>-210.97</v>
      </c>
      <c r="K947" s="11">
        <v>180.98</v>
      </c>
      <c r="L947" s="11">
        <v>26.2</v>
      </c>
      <c r="M947" s="9" t="s">
        <v>795</v>
      </c>
      <c r="N947" s="6" t="s">
        <v>703</v>
      </c>
      <c r="O947" s="6" t="s">
        <v>704</v>
      </c>
      <c r="P947" s="9" t="s">
        <v>25</v>
      </c>
      <c r="Q947" s="9" t="s">
        <v>49</v>
      </c>
      <c r="R947" s="9" t="s">
        <v>112</v>
      </c>
      <c r="S947" s="7" t="s">
        <v>263</v>
      </c>
      <c r="T947" s="9" t="s">
        <v>36</v>
      </c>
      <c r="U947" s="7">
        <v>0.59</v>
      </c>
      <c r="V947" s="12">
        <f>C947+3</f>
        <v>40156</v>
      </c>
      <c r="W947">
        <f>IF(D947=' Pivot Tables'!$A$4,1,0)</f>
        <v>0</v>
      </c>
      <c r="X947">
        <f>IF(AND(LEFT(D947,4)+1=LEFT(' Pivot Tables'!$A$4,4)+0,RIGHT(LEFT(D947,7),2)=RIGHT(LEFT(' Pivot Tables'!$A$4,7),2)),1,0)</f>
        <v>0</v>
      </c>
      <c r="Y947" s="6">
        <f>1/COUNTIF(Таблица1[Order ID],Таблица1[[#This Row],[Order ID]])</f>
        <v>0.5</v>
      </c>
      <c r="Z947" s="9">
        <f>1/COUNTIFS(Таблица1[Customer Name],Таблица1[[#This Row],[Customer Name]],Таблица1[Order-Year-Month],Таблица1[[#This Row],[Order-Year-Month]])</f>
        <v>0.5</v>
      </c>
    </row>
    <row r="948" spans="1:26" x14ac:dyDescent="0.2">
      <c r="A948" s="6">
        <v>3475</v>
      </c>
      <c r="B948" s="7">
        <v>24737</v>
      </c>
      <c r="C948" s="8">
        <f>DATE(2012,12,31)-1121</f>
        <v>40153</v>
      </c>
      <c r="D948" s="8" t="str">
        <f t="shared" si="19"/>
        <v>2009-12 (декабрь 2009)</v>
      </c>
      <c r="E948" s="9" t="s">
        <v>30</v>
      </c>
      <c r="F948" s="7">
        <v>26</v>
      </c>
      <c r="G948" s="7">
        <v>182.09</v>
      </c>
      <c r="H948" s="7">
        <v>0</v>
      </c>
      <c r="I948" s="9" t="s">
        <v>22</v>
      </c>
      <c r="J948" s="10">
        <v>-28.15</v>
      </c>
      <c r="K948" s="11">
        <v>6.48</v>
      </c>
      <c r="L948" s="11">
        <v>5.19</v>
      </c>
      <c r="M948" s="9" t="s">
        <v>795</v>
      </c>
      <c r="N948" s="6" t="s">
        <v>703</v>
      </c>
      <c r="O948" s="6" t="s">
        <v>704</v>
      </c>
      <c r="P948" s="9" t="s">
        <v>25</v>
      </c>
      <c r="Q948" s="9" t="s">
        <v>26</v>
      </c>
      <c r="R948" s="9" t="s">
        <v>61</v>
      </c>
      <c r="S948" s="7" t="s">
        <v>635</v>
      </c>
      <c r="T948" s="9" t="s">
        <v>39</v>
      </c>
      <c r="U948" s="7">
        <v>0.37</v>
      </c>
      <c r="V948" s="12">
        <f>C948+1</f>
        <v>40154</v>
      </c>
      <c r="W948">
        <f>IF(D948=' Pivot Tables'!$A$4,1,0)</f>
        <v>0</v>
      </c>
      <c r="X948">
        <f>IF(AND(LEFT(D948,4)+1=LEFT(' Pivot Tables'!$A$4,4)+0,RIGHT(LEFT(D948,7),2)=RIGHT(LEFT(' Pivot Tables'!$A$4,7),2)),1,0)</f>
        <v>0</v>
      </c>
      <c r="Y948" s="6">
        <f>1/COUNTIF(Таблица1[Order ID],Таблица1[[#This Row],[Order ID]])</f>
        <v>0.5</v>
      </c>
      <c r="Z948" s="9">
        <f>1/COUNTIFS(Таблица1[Customer Name],Таблица1[[#This Row],[Customer Name]],Таблица1[Order-Year-Month],Таблица1[[#This Row],[Order-Year-Month]])</f>
        <v>0.5</v>
      </c>
    </row>
    <row r="949" spans="1:26" x14ac:dyDescent="0.2">
      <c r="A949" s="6">
        <v>3691</v>
      </c>
      <c r="B949" s="7">
        <v>26373</v>
      </c>
      <c r="C949" s="8">
        <f>DATE(2012,12,31)-893</f>
        <v>40381</v>
      </c>
      <c r="D949" s="8" t="str">
        <f t="shared" si="19"/>
        <v>2010-07 (июль 2010)</v>
      </c>
      <c r="E949" s="9" t="s">
        <v>63</v>
      </c>
      <c r="F949" s="7">
        <v>7</v>
      </c>
      <c r="G949" s="7">
        <v>285.08</v>
      </c>
      <c r="H949" s="7">
        <v>0.08</v>
      </c>
      <c r="I949" s="9" t="s">
        <v>22</v>
      </c>
      <c r="J949" s="10">
        <v>2.3000000000000114</v>
      </c>
      <c r="K949" s="11">
        <v>40.98</v>
      </c>
      <c r="L949" s="11">
        <v>5.33</v>
      </c>
      <c r="M949" s="9" t="s">
        <v>803</v>
      </c>
      <c r="N949" s="6" t="s">
        <v>703</v>
      </c>
      <c r="O949" s="6" t="s">
        <v>704</v>
      </c>
      <c r="P949" s="9" t="s">
        <v>25</v>
      </c>
      <c r="Q949" s="9" t="s">
        <v>26</v>
      </c>
      <c r="R949" s="9" t="s">
        <v>34</v>
      </c>
      <c r="S949" s="7" t="s">
        <v>682</v>
      </c>
      <c r="T949" s="9" t="s">
        <v>39</v>
      </c>
      <c r="U949" s="7">
        <v>0.56999999999999995</v>
      </c>
      <c r="V949" s="12">
        <f>C949+3</f>
        <v>40384</v>
      </c>
      <c r="W949">
        <f>IF(D949=' Pivot Tables'!$A$4,1,0)</f>
        <v>0</v>
      </c>
      <c r="X949">
        <f>IF(AND(LEFT(D949,4)+1=LEFT(' Pivot Tables'!$A$4,4)+0,RIGHT(LEFT(D949,7),2)=RIGHT(LEFT(' Pivot Tables'!$A$4,7),2)),1,0)</f>
        <v>0</v>
      </c>
      <c r="Y949" s="6">
        <f>1/COUNTIF(Таблица1[Order ID],Таблица1[[#This Row],[Order ID]])</f>
        <v>1</v>
      </c>
      <c r="Z949" s="9">
        <f>1/COUNTIFS(Таблица1[Customer Name],Таблица1[[#This Row],[Customer Name]],Таблица1[Order-Year-Month],Таблица1[[#This Row],[Order-Year-Month]])</f>
        <v>1</v>
      </c>
    </row>
    <row r="950" spans="1:26" x14ac:dyDescent="0.2">
      <c r="A950" s="6">
        <v>3781</v>
      </c>
      <c r="B950" s="7">
        <v>26978</v>
      </c>
      <c r="C950" s="8">
        <f>DATE(2012,12,31)-920</f>
        <v>40354</v>
      </c>
      <c r="D950" s="8" t="str">
        <f t="shared" si="19"/>
        <v>2010-06 (июнь 2010)</v>
      </c>
      <c r="E950" s="9" t="s">
        <v>63</v>
      </c>
      <c r="F950" s="7">
        <v>46</v>
      </c>
      <c r="G950" s="7">
        <v>27875.54</v>
      </c>
      <c r="H950" s="7">
        <v>0</v>
      </c>
      <c r="I950" s="9" t="s">
        <v>22</v>
      </c>
      <c r="J950" s="10">
        <v>-635.69000000000005</v>
      </c>
      <c r="K950" s="11">
        <v>599.99</v>
      </c>
      <c r="L950" s="11">
        <v>24.49</v>
      </c>
      <c r="M950" s="9" t="s">
        <v>753</v>
      </c>
      <c r="N950" s="6" t="s">
        <v>703</v>
      </c>
      <c r="O950" s="6" t="s">
        <v>704</v>
      </c>
      <c r="P950" s="9" t="s">
        <v>60</v>
      </c>
      <c r="Q950" s="9" t="s">
        <v>42</v>
      </c>
      <c r="R950" s="9" t="s">
        <v>99</v>
      </c>
      <c r="S950" s="7" t="s">
        <v>644</v>
      </c>
      <c r="T950" s="9" t="s">
        <v>29</v>
      </c>
      <c r="U950" s="7">
        <v>0.44</v>
      </c>
      <c r="V950" s="12">
        <f>C950+2</f>
        <v>40356</v>
      </c>
      <c r="W950">
        <f>IF(D950=' Pivot Tables'!$A$4,1,0)</f>
        <v>0</v>
      </c>
      <c r="X950">
        <f>IF(AND(LEFT(D950,4)+1=LEFT(' Pivot Tables'!$A$4,4)+0,RIGHT(LEFT(D950,7),2)=RIGHT(LEFT(' Pivot Tables'!$A$4,7),2)),1,0)</f>
        <v>0</v>
      </c>
      <c r="Y950" s="6">
        <f>1/COUNTIF(Таблица1[Order ID],Таблица1[[#This Row],[Order ID]])</f>
        <v>0.25</v>
      </c>
      <c r="Z950" s="9">
        <f>1/COUNTIFS(Таблица1[Customer Name],Таблица1[[#This Row],[Customer Name]],Таблица1[Order-Year-Month],Таблица1[[#This Row],[Order-Year-Month]])</f>
        <v>0.25</v>
      </c>
    </row>
    <row r="951" spans="1:26" x14ac:dyDescent="0.2">
      <c r="A951" s="6">
        <v>3782</v>
      </c>
      <c r="B951" s="7">
        <v>26978</v>
      </c>
      <c r="C951" s="8">
        <f>DATE(2012,12,31)-920</f>
        <v>40354</v>
      </c>
      <c r="D951" s="8" t="str">
        <f t="shared" si="19"/>
        <v>2010-06 (июнь 2010)</v>
      </c>
      <c r="E951" s="9" t="s">
        <v>63</v>
      </c>
      <c r="F951" s="7">
        <v>49</v>
      </c>
      <c r="G951" s="7">
        <v>2030.44</v>
      </c>
      <c r="H951" s="7">
        <v>0.04</v>
      </c>
      <c r="I951" s="9" t="s">
        <v>22</v>
      </c>
      <c r="J951" s="10">
        <v>938.26</v>
      </c>
      <c r="K951" s="11">
        <v>40.99</v>
      </c>
      <c r="L951" s="11">
        <v>5.86</v>
      </c>
      <c r="M951" s="9" t="s">
        <v>753</v>
      </c>
      <c r="N951" s="6" t="s">
        <v>703</v>
      </c>
      <c r="O951" s="6" t="s">
        <v>704</v>
      </c>
      <c r="P951" s="9" t="s">
        <v>60</v>
      </c>
      <c r="Q951" s="9" t="s">
        <v>26</v>
      </c>
      <c r="R951" s="9" t="s">
        <v>61</v>
      </c>
      <c r="S951" s="7" t="s">
        <v>824</v>
      </c>
      <c r="T951" s="9" t="s">
        <v>39</v>
      </c>
      <c r="U951" s="7">
        <v>0.36</v>
      </c>
      <c r="V951" s="12">
        <f>C951+2</f>
        <v>40356</v>
      </c>
      <c r="W951">
        <f>IF(D951=' Pivot Tables'!$A$4,1,0)</f>
        <v>0</v>
      </c>
      <c r="X951">
        <f>IF(AND(LEFT(D951,4)+1=LEFT(' Pivot Tables'!$A$4,4)+0,RIGHT(LEFT(D951,7),2)=RIGHT(LEFT(' Pivot Tables'!$A$4,7),2)),1,0)</f>
        <v>0</v>
      </c>
      <c r="Y951" s="6">
        <f>1/COUNTIF(Таблица1[Order ID],Таблица1[[#This Row],[Order ID]])</f>
        <v>0.25</v>
      </c>
      <c r="Z951" s="9">
        <f>1/COUNTIFS(Таблица1[Customer Name],Таблица1[[#This Row],[Customer Name]],Таблица1[Order-Year-Month],Таблица1[[#This Row],[Order-Year-Month]])</f>
        <v>0.25</v>
      </c>
    </row>
    <row r="952" spans="1:26" x14ac:dyDescent="0.2">
      <c r="A952" s="6">
        <v>3783</v>
      </c>
      <c r="B952" s="7">
        <v>26978</v>
      </c>
      <c r="C952" s="8">
        <f>DATE(2012,12,31)-920</f>
        <v>40354</v>
      </c>
      <c r="D952" s="8" t="str">
        <f t="shared" si="19"/>
        <v>2010-06 (июнь 2010)</v>
      </c>
      <c r="E952" s="9" t="s">
        <v>63</v>
      </c>
      <c r="F952" s="7">
        <v>47</v>
      </c>
      <c r="G952" s="7">
        <v>695.99</v>
      </c>
      <c r="H952" s="7">
        <v>0.09</v>
      </c>
      <c r="I952" s="9" t="s">
        <v>56</v>
      </c>
      <c r="J952" s="10">
        <v>-157.44</v>
      </c>
      <c r="K952" s="11">
        <v>15.31</v>
      </c>
      <c r="L952" s="11">
        <v>8.7799999999999994</v>
      </c>
      <c r="M952" s="9" t="s">
        <v>753</v>
      </c>
      <c r="N952" s="6" t="s">
        <v>703</v>
      </c>
      <c r="O952" s="6" t="s">
        <v>704</v>
      </c>
      <c r="P952" s="9" t="s">
        <v>60</v>
      </c>
      <c r="Q952" s="9" t="s">
        <v>26</v>
      </c>
      <c r="R952" s="9" t="s">
        <v>27</v>
      </c>
      <c r="S952" s="7" t="s">
        <v>748</v>
      </c>
      <c r="T952" s="9" t="s">
        <v>39</v>
      </c>
      <c r="U952" s="7">
        <v>0.56999999999999995</v>
      </c>
      <c r="V952" s="12">
        <f>C952+2</f>
        <v>40356</v>
      </c>
      <c r="W952">
        <f>IF(D952=' Pivot Tables'!$A$4,1,0)</f>
        <v>0</v>
      </c>
      <c r="X952">
        <f>IF(AND(LEFT(D952,4)+1=LEFT(' Pivot Tables'!$A$4,4)+0,RIGHT(LEFT(D952,7),2)=RIGHT(LEFT(' Pivot Tables'!$A$4,7),2)),1,0)</f>
        <v>0</v>
      </c>
      <c r="Y952" s="6">
        <f>1/COUNTIF(Таблица1[Order ID],Таблица1[[#This Row],[Order ID]])</f>
        <v>0.25</v>
      </c>
      <c r="Z952" s="9">
        <f>1/COUNTIFS(Таблица1[Customer Name],Таблица1[[#This Row],[Customer Name]],Таблица1[Order-Year-Month],Таблица1[[#This Row],[Order-Year-Month]])</f>
        <v>0.25</v>
      </c>
    </row>
    <row r="953" spans="1:26" x14ac:dyDescent="0.2">
      <c r="A953" s="6">
        <v>3815</v>
      </c>
      <c r="B953" s="7">
        <v>27174</v>
      </c>
      <c r="C953" s="8">
        <f>DATE(2012,12,31)-450</f>
        <v>40824</v>
      </c>
      <c r="D953" s="8" t="str">
        <f t="shared" si="19"/>
        <v>2011-10 (октябрь 2011)</v>
      </c>
      <c r="E953" s="9" t="s">
        <v>78</v>
      </c>
      <c r="F953" s="7">
        <v>17</v>
      </c>
      <c r="G953" s="7">
        <v>477.50449999999995</v>
      </c>
      <c r="H953" s="7">
        <v>0.09</v>
      </c>
      <c r="I953" s="9" t="s">
        <v>22</v>
      </c>
      <c r="J953" s="10">
        <v>-245.56400000000002</v>
      </c>
      <c r="K953" s="11">
        <v>35.99</v>
      </c>
      <c r="L953" s="11">
        <v>5</v>
      </c>
      <c r="M953" s="9" t="s">
        <v>799</v>
      </c>
      <c r="N953" s="6" t="s">
        <v>703</v>
      </c>
      <c r="O953" s="6" t="s">
        <v>704</v>
      </c>
      <c r="P953" s="9" t="s">
        <v>41</v>
      </c>
      <c r="Q953" s="9" t="s">
        <v>42</v>
      </c>
      <c r="R953" s="9" t="s">
        <v>43</v>
      </c>
      <c r="S953" s="7" t="s">
        <v>825</v>
      </c>
      <c r="T953" s="9" t="s">
        <v>39</v>
      </c>
      <c r="U953" s="7">
        <v>0.85</v>
      </c>
      <c r="V953" s="12">
        <f>C953+2</f>
        <v>40826</v>
      </c>
      <c r="W953">
        <f>IF(D953=' Pivot Tables'!$A$4,1,0)</f>
        <v>0</v>
      </c>
      <c r="X953">
        <f>IF(AND(LEFT(D953,4)+1=LEFT(' Pivot Tables'!$A$4,4)+0,RIGHT(LEFT(D953,7),2)=RIGHT(LEFT(' Pivot Tables'!$A$4,7),2)),1,0)</f>
        <v>0</v>
      </c>
      <c r="Y953" s="6">
        <f>1/COUNTIF(Таблица1[Order ID],Таблица1[[#This Row],[Order ID]])</f>
        <v>1</v>
      </c>
      <c r="Z953" s="9">
        <f>1/COUNTIFS(Таблица1[Customer Name],Таблица1[[#This Row],[Customer Name]],Таблица1[Order-Year-Month],Таблица1[[#This Row],[Order-Year-Month]])</f>
        <v>1</v>
      </c>
    </row>
    <row r="954" spans="1:26" x14ac:dyDescent="0.2">
      <c r="A954" s="6">
        <v>3910</v>
      </c>
      <c r="B954" s="7">
        <v>27876</v>
      </c>
      <c r="C954" s="8">
        <f>DATE(2012,12,31)-846</f>
        <v>40428</v>
      </c>
      <c r="D954" s="8" t="str">
        <f t="shared" si="19"/>
        <v>2010-09 (сентябрь 2010)</v>
      </c>
      <c r="E954" s="9" t="s">
        <v>21</v>
      </c>
      <c r="F954" s="7">
        <v>44</v>
      </c>
      <c r="G954" s="7">
        <v>777.63</v>
      </c>
      <c r="H954" s="7">
        <v>0.03</v>
      </c>
      <c r="I954" s="9" t="s">
        <v>22</v>
      </c>
      <c r="J954" s="10">
        <v>-70.540000000000006</v>
      </c>
      <c r="K954" s="11">
        <v>16.989999999999998</v>
      </c>
      <c r="L954" s="11">
        <v>8.99</v>
      </c>
      <c r="M954" s="9" t="s">
        <v>826</v>
      </c>
      <c r="N954" s="6" t="s">
        <v>703</v>
      </c>
      <c r="O954" s="6" t="s">
        <v>704</v>
      </c>
      <c r="P954" s="9" t="s">
        <v>41</v>
      </c>
      <c r="Q954" s="9" t="s">
        <v>26</v>
      </c>
      <c r="R954" s="9" t="s">
        <v>95</v>
      </c>
      <c r="S954" s="7" t="s">
        <v>827</v>
      </c>
      <c r="T954" s="9" t="s">
        <v>52</v>
      </c>
      <c r="U954" s="7">
        <v>0.56000000000000005</v>
      </c>
      <c r="V954" s="12">
        <f>C954+7</f>
        <v>40435</v>
      </c>
      <c r="W954">
        <f>IF(D954=' Pivot Tables'!$A$4,1,0)</f>
        <v>0</v>
      </c>
      <c r="X954">
        <f>IF(AND(LEFT(D954,4)+1=LEFT(' Pivot Tables'!$A$4,4)+0,RIGHT(LEFT(D954,7),2)=RIGHT(LEFT(' Pivot Tables'!$A$4,7),2)),1,0)</f>
        <v>0</v>
      </c>
      <c r="Y954" s="6">
        <f>1/COUNTIF(Таблица1[Order ID],Таблица1[[#This Row],[Order ID]])</f>
        <v>1</v>
      </c>
      <c r="Z954" s="9">
        <f>1/COUNTIFS(Таблица1[Customer Name],Таблица1[[#This Row],[Customer Name]],Таблица1[Order-Year-Month],Таблица1[[#This Row],[Order-Year-Month]])</f>
        <v>1</v>
      </c>
    </row>
    <row r="955" spans="1:26" x14ac:dyDescent="0.2">
      <c r="A955" s="6">
        <v>4005</v>
      </c>
      <c r="B955" s="7">
        <v>28582</v>
      </c>
      <c r="C955" s="8">
        <f>DATE(2012,12,31)-344</f>
        <v>40930</v>
      </c>
      <c r="D955" s="8" t="str">
        <f t="shared" si="19"/>
        <v>2012-01 (январь 2012)</v>
      </c>
      <c r="E955" s="9" t="s">
        <v>45</v>
      </c>
      <c r="F955" s="7">
        <v>40</v>
      </c>
      <c r="G955" s="7">
        <v>1500.17</v>
      </c>
      <c r="H955" s="7">
        <v>0.06</v>
      </c>
      <c r="I955" s="9" t="s">
        <v>56</v>
      </c>
      <c r="J955" s="10">
        <v>423.87</v>
      </c>
      <c r="K955" s="11">
        <v>39.24</v>
      </c>
      <c r="L955" s="11">
        <v>1.99</v>
      </c>
      <c r="M955" s="9" t="s">
        <v>799</v>
      </c>
      <c r="N955" s="6" t="s">
        <v>703</v>
      </c>
      <c r="O955" s="6" t="s">
        <v>704</v>
      </c>
      <c r="P955" s="9" t="s">
        <v>60</v>
      </c>
      <c r="Q955" s="9" t="s">
        <v>42</v>
      </c>
      <c r="R955" s="9" t="s">
        <v>70</v>
      </c>
      <c r="S955" s="7" t="s">
        <v>276</v>
      </c>
      <c r="T955" s="9" t="s">
        <v>52</v>
      </c>
      <c r="U955" s="7">
        <v>0.51</v>
      </c>
      <c r="V955" s="12">
        <f>C955+1</f>
        <v>40931</v>
      </c>
      <c r="W955">
        <f>IF(D955=' Pivot Tables'!$A$4,1,0)</f>
        <v>0</v>
      </c>
      <c r="X955">
        <f>IF(AND(LEFT(D955,4)+1=LEFT(' Pivot Tables'!$A$4,4)+0,RIGHT(LEFT(D955,7),2)=RIGHT(LEFT(' Pivot Tables'!$A$4,7),2)),1,0)</f>
        <v>0</v>
      </c>
      <c r="Y955" s="6">
        <f>1/COUNTIF(Таблица1[Order ID],Таблица1[[#This Row],[Order ID]])</f>
        <v>0.5</v>
      </c>
      <c r="Z955" s="9">
        <f>1/COUNTIFS(Таблица1[Customer Name],Таблица1[[#This Row],[Customer Name]],Таблица1[Order-Year-Month],Таблица1[[#This Row],[Order-Year-Month]])</f>
        <v>0.5</v>
      </c>
    </row>
    <row r="956" spans="1:26" x14ac:dyDescent="0.2">
      <c r="A956" s="6">
        <v>4006</v>
      </c>
      <c r="B956" s="7">
        <v>28582</v>
      </c>
      <c r="C956" s="8">
        <f>DATE(2012,12,31)-344</f>
        <v>40930</v>
      </c>
      <c r="D956" s="8" t="str">
        <f t="shared" si="19"/>
        <v>2012-01 (январь 2012)</v>
      </c>
      <c r="E956" s="9" t="s">
        <v>45</v>
      </c>
      <c r="F956" s="7">
        <v>45</v>
      </c>
      <c r="G956" s="7">
        <v>377.31</v>
      </c>
      <c r="H956" s="7">
        <v>0.02</v>
      </c>
      <c r="I956" s="9" t="s">
        <v>22</v>
      </c>
      <c r="J956" s="10">
        <v>87.96</v>
      </c>
      <c r="K956" s="11">
        <v>8.01</v>
      </c>
      <c r="L956" s="11">
        <v>2.87</v>
      </c>
      <c r="M956" s="9" t="s">
        <v>799</v>
      </c>
      <c r="N956" s="6" t="s">
        <v>703</v>
      </c>
      <c r="O956" s="6" t="s">
        <v>704</v>
      </c>
      <c r="P956" s="9" t="s">
        <v>60</v>
      </c>
      <c r="Q956" s="9" t="s">
        <v>26</v>
      </c>
      <c r="R956" s="9" t="s">
        <v>61</v>
      </c>
      <c r="S956" s="7" t="s">
        <v>701</v>
      </c>
      <c r="T956" s="9" t="s">
        <v>68</v>
      </c>
      <c r="U956" s="7">
        <v>0.4</v>
      </c>
      <c r="V956" s="12">
        <f>C956+1</f>
        <v>40931</v>
      </c>
      <c r="W956">
        <f>IF(D956=' Pivot Tables'!$A$4,1,0)</f>
        <v>0</v>
      </c>
      <c r="X956">
        <f>IF(AND(LEFT(D956,4)+1=LEFT(' Pivot Tables'!$A$4,4)+0,RIGHT(LEFT(D956,7),2)=RIGHT(LEFT(' Pivot Tables'!$A$4,7),2)),1,0)</f>
        <v>0</v>
      </c>
      <c r="Y956" s="6">
        <f>1/COUNTIF(Таблица1[Order ID],Таблица1[[#This Row],[Order ID]])</f>
        <v>0.5</v>
      </c>
      <c r="Z956" s="9">
        <f>1/COUNTIFS(Таблица1[Customer Name],Таблица1[[#This Row],[Customer Name]],Таблица1[Order-Year-Month],Таблица1[[#This Row],[Order-Year-Month]])</f>
        <v>0.5</v>
      </c>
    </row>
    <row r="957" spans="1:26" x14ac:dyDescent="0.2">
      <c r="A957" s="6">
        <v>4048</v>
      </c>
      <c r="B957" s="7">
        <v>28868</v>
      </c>
      <c r="C957" s="8">
        <f>DATE(2012,12,31)-270</f>
        <v>41004</v>
      </c>
      <c r="D957" s="8" t="str">
        <f t="shared" si="19"/>
        <v>2012-04 (апрель 2012)</v>
      </c>
      <c r="E957" s="9" t="s">
        <v>30</v>
      </c>
      <c r="F957" s="7">
        <v>30</v>
      </c>
      <c r="G957" s="7">
        <v>204.49</v>
      </c>
      <c r="H957" s="7">
        <v>0.05</v>
      </c>
      <c r="I957" s="9" t="s">
        <v>22</v>
      </c>
      <c r="J957" s="10">
        <v>-142.30000000000001</v>
      </c>
      <c r="K957" s="11">
        <v>6.48</v>
      </c>
      <c r="L957" s="11">
        <v>8.73</v>
      </c>
      <c r="M957" s="9" t="s">
        <v>803</v>
      </c>
      <c r="N957" s="6" t="s">
        <v>703</v>
      </c>
      <c r="O957" s="6" t="s">
        <v>704</v>
      </c>
      <c r="P957" s="9" t="s">
        <v>25</v>
      </c>
      <c r="Q957" s="9" t="s">
        <v>26</v>
      </c>
      <c r="R957" s="9" t="s">
        <v>61</v>
      </c>
      <c r="S957" s="7" t="s">
        <v>828</v>
      </c>
      <c r="T957" s="9" t="s">
        <v>39</v>
      </c>
      <c r="U957" s="7">
        <v>0.37</v>
      </c>
      <c r="V957" s="12">
        <f>C957+1</f>
        <v>41005</v>
      </c>
      <c r="W957">
        <f>IF(D957=' Pivot Tables'!$A$4,1,0)</f>
        <v>0</v>
      </c>
      <c r="X957">
        <f>IF(AND(LEFT(D957,4)+1=LEFT(' Pivot Tables'!$A$4,4)+0,RIGHT(LEFT(D957,7),2)=RIGHT(LEFT(' Pivot Tables'!$A$4,7),2)),1,0)</f>
        <v>0</v>
      </c>
      <c r="Y957" s="6">
        <f>1/COUNTIF(Таблица1[Order ID],Таблица1[[#This Row],[Order ID]])</f>
        <v>1</v>
      </c>
      <c r="Z957" s="9">
        <f>1/COUNTIFS(Таблица1[Customer Name],Таблица1[[#This Row],[Customer Name]],Таблица1[Order-Year-Month],Таблица1[[#This Row],[Order-Year-Month]])</f>
        <v>1</v>
      </c>
    </row>
    <row r="958" spans="1:26" x14ac:dyDescent="0.2">
      <c r="A958" s="6">
        <v>4200</v>
      </c>
      <c r="B958" s="7">
        <v>29857</v>
      </c>
      <c r="C958" s="8">
        <f>DATE(2012,12,31)-1115</f>
        <v>40159</v>
      </c>
      <c r="D958" s="8" t="str">
        <f t="shared" si="19"/>
        <v>2009-12 (декабрь 2009)</v>
      </c>
      <c r="E958" s="9" t="s">
        <v>63</v>
      </c>
      <c r="F958" s="7">
        <v>41</v>
      </c>
      <c r="G958" s="7">
        <v>5572.92</v>
      </c>
      <c r="H958" s="7">
        <v>7.0000000000000007E-2</v>
      </c>
      <c r="I958" s="9" t="s">
        <v>31</v>
      </c>
      <c r="J958" s="10">
        <v>-639.47</v>
      </c>
      <c r="K958" s="11">
        <v>140.97999999999999</v>
      </c>
      <c r="L958" s="11">
        <v>36.090000000000003</v>
      </c>
      <c r="M958" s="9" t="s">
        <v>817</v>
      </c>
      <c r="N958" s="6" t="s">
        <v>703</v>
      </c>
      <c r="O958" s="6" t="s">
        <v>704</v>
      </c>
      <c r="P958" s="9" t="s">
        <v>33</v>
      </c>
      <c r="Q958" s="9" t="s">
        <v>49</v>
      </c>
      <c r="R958" s="9" t="s">
        <v>80</v>
      </c>
      <c r="S958" s="7" t="s">
        <v>349</v>
      </c>
      <c r="T958" s="9" t="s">
        <v>82</v>
      </c>
      <c r="U958" s="7">
        <v>0.77</v>
      </c>
      <c r="V958" s="12">
        <f>C958+2</f>
        <v>40161</v>
      </c>
      <c r="W958">
        <f>IF(D958=' Pivot Tables'!$A$4,1,0)</f>
        <v>0</v>
      </c>
      <c r="X958">
        <f>IF(AND(LEFT(D958,4)+1=LEFT(' Pivot Tables'!$A$4,4)+0,RIGHT(LEFT(D958,7),2)=RIGHT(LEFT(' Pivot Tables'!$A$4,7),2)),1,0)</f>
        <v>0</v>
      </c>
      <c r="Y958" s="6">
        <f>1/COUNTIF(Таблица1[Order ID],Таблица1[[#This Row],[Order ID]])</f>
        <v>1</v>
      </c>
      <c r="Z958" s="9">
        <f>1/COUNTIFS(Таблица1[Customer Name],Таблица1[[#This Row],[Customer Name]],Таблица1[Order-Year-Month],Таблица1[[#This Row],[Order-Year-Month]])</f>
        <v>1</v>
      </c>
    </row>
    <row r="959" spans="1:26" x14ac:dyDescent="0.2">
      <c r="A959" s="6">
        <v>4209</v>
      </c>
      <c r="B959" s="7">
        <v>29921</v>
      </c>
      <c r="C959" s="8">
        <f>DATE(2012,12,31)-283</f>
        <v>40991</v>
      </c>
      <c r="D959" s="8" t="str">
        <f t="shared" si="19"/>
        <v>2012-03 (март 2012)</v>
      </c>
      <c r="E959" s="9" t="s">
        <v>63</v>
      </c>
      <c r="F959" s="7">
        <v>33</v>
      </c>
      <c r="G959" s="7">
        <v>3977.97</v>
      </c>
      <c r="H959" s="7">
        <v>0.06</v>
      </c>
      <c r="I959" s="9" t="s">
        <v>22</v>
      </c>
      <c r="J959" s="10">
        <v>1733.4730000000002</v>
      </c>
      <c r="K959" s="11">
        <v>120.98</v>
      </c>
      <c r="L959" s="11">
        <v>9.07</v>
      </c>
      <c r="M959" s="9" t="s">
        <v>795</v>
      </c>
      <c r="N959" s="6" t="s">
        <v>703</v>
      </c>
      <c r="O959" s="6" t="s">
        <v>704</v>
      </c>
      <c r="P959" s="9" t="s">
        <v>25</v>
      </c>
      <c r="Q959" s="9" t="s">
        <v>26</v>
      </c>
      <c r="R959" s="9" t="s">
        <v>37</v>
      </c>
      <c r="S959" s="7" t="s">
        <v>477</v>
      </c>
      <c r="T959" s="9" t="s">
        <v>39</v>
      </c>
      <c r="U959" s="7">
        <v>0.35</v>
      </c>
      <c r="V959" s="12">
        <f>C959+2</f>
        <v>40993</v>
      </c>
      <c r="W959">
        <f>IF(D959=' Pivot Tables'!$A$4,1,0)</f>
        <v>0</v>
      </c>
      <c r="X959">
        <f>IF(AND(LEFT(D959,4)+1=LEFT(' Pivot Tables'!$A$4,4)+0,RIGHT(LEFT(D959,7),2)=RIGHT(LEFT(' Pivot Tables'!$A$4,7),2)),1,0)</f>
        <v>0</v>
      </c>
      <c r="Y959" s="6">
        <f>1/COUNTIF(Таблица1[Order ID],Таблица1[[#This Row],[Order ID]])</f>
        <v>1</v>
      </c>
      <c r="Z959" s="9">
        <f>1/COUNTIFS(Таблица1[Customer Name],Таблица1[[#This Row],[Customer Name]],Таблица1[Order-Year-Month],Таблица1[[#This Row],[Order-Year-Month]])</f>
        <v>1</v>
      </c>
    </row>
    <row r="960" spans="1:26" x14ac:dyDescent="0.2">
      <c r="A960" s="6">
        <v>4307</v>
      </c>
      <c r="B960" s="7">
        <v>30659</v>
      </c>
      <c r="C960" s="8">
        <f>DATE(2012,12,31)-475</f>
        <v>40799</v>
      </c>
      <c r="D960" s="8" t="str">
        <f t="shared" si="19"/>
        <v>2011-09 (сентябрь 2011)</v>
      </c>
      <c r="E960" s="9" t="s">
        <v>78</v>
      </c>
      <c r="F960" s="7">
        <v>45</v>
      </c>
      <c r="G960" s="7">
        <v>3116.7714999999998</v>
      </c>
      <c r="H960" s="7">
        <v>0.08</v>
      </c>
      <c r="I960" s="9" t="s">
        <v>22</v>
      </c>
      <c r="J960" s="10">
        <v>-106.51300000000001</v>
      </c>
      <c r="K960" s="11">
        <v>85.99</v>
      </c>
      <c r="L960" s="11">
        <v>0.99</v>
      </c>
      <c r="M960" s="9" t="s">
        <v>808</v>
      </c>
      <c r="N960" s="6" t="s">
        <v>703</v>
      </c>
      <c r="O960" s="6" t="s">
        <v>704</v>
      </c>
      <c r="P960" s="9" t="s">
        <v>41</v>
      </c>
      <c r="Q960" s="9" t="s">
        <v>42</v>
      </c>
      <c r="R960" s="9" t="s">
        <v>43</v>
      </c>
      <c r="S960" s="7" t="s">
        <v>146</v>
      </c>
      <c r="T960" s="9" t="s">
        <v>68</v>
      </c>
      <c r="U960" s="7">
        <v>0.85</v>
      </c>
      <c r="V960" s="12">
        <f>C960+2</f>
        <v>40801</v>
      </c>
      <c r="W960">
        <f>IF(D960=' Pivot Tables'!$A$4,1,0)</f>
        <v>0</v>
      </c>
      <c r="X960">
        <f>IF(AND(LEFT(D960,4)+1=LEFT(' Pivot Tables'!$A$4,4)+0,RIGHT(LEFT(D960,7),2)=RIGHT(LEFT(' Pivot Tables'!$A$4,7),2)),1,0)</f>
        <v>0</v>
      </c>
      <c r="Y960" s="6">
        <f>1/COUNTIF(Таблица1[Order ID],Таблица1[[#This Row],[Order ID]])</f>
        <v>1</v>
      </c>
      <c r="Z960" s="9">
        <f>1/COUNTIFS(Таблица1[Customer Name],Таблица1[[#This Row],[Customer Name]],Таблица1[Order-Year-Month],Таблица1[[#This Row],[Order-Year-Month]])</f>
        <v>1</v>
      </c>
    </row>
    <row r="961" spans="1:26" x14ac:dyDescent="0.2">
      <c r="A961" s="6">
        <v>4308</v>
      </c>
      <c r="B961" s="7">
        <v>30660</v>
      </c>
      <c r="C961" s="8">
        <f>DATE(2012,12,31)-117</f>
        <v>41157</v>
      </c>
      <c r="D961" s="8" t="str">
        <f t="shared" si="19"/>
        <v>2012-09 (сентябрь 2012)</v>
      </c>
      <c r="E961" s="9" t="s">
        <v>78</v>
      </c>
      <c r="F961" s="7">
        <v>16</v>
      </c>
      <c r="G961" s="7">
        <v>986.27199999999993</v>
      </c>
      <c r="H961" s="7">
        <v>0.02</v>
      </c>
      <c r="I961" s="9" t="s">
        <v>22</v>
      </c>
      <c r="J961" s="10">
        <v>-647.13599999999997</v>
      </c>
      <c r="K961" s="11">
        <v>71.37</v>
      </c>
      <c r="L961" s="11">
        <v>69</v>
      </c>
      <c r="M961" s="9" t="s">
        <v>803</v>
      </c>
      <c r="N961" s="6" t="s">
        <v>703</v>
      </c>
      <c r="O961" s="6" t="s">
        <v>704</v>
      </c>
      <c r="P961" s="9" t="s">
        <v>25</v>
      </c>
      <c r="Q961" s="9" t="s">
        <v>49</v>
      </c>
      <c r="R961" s="9" t="s">
        <v>83</v>
      </c>
      <c r="S961" s="7" t="s">
        <v>84</v>
      </c>
      <c r="T961" s="9" t="s">
        <v>29</v>
      </c>
      <c r="U961" s="7">
        <v>0.68</v>
      </c>
      <c r="V961" s="12">
        <f>C961+3</f>
        <v>41160</v>
      </c>
      <c r="W961">
        <f>IF(D961=' Pivot Tables'!$A$4,1,0)</f>
        <v>0</v>
      </c>
      <c r="X961">
        <f>IF(AND(LEFT(D961,4)+1=LEFT(' Pivot Tables'!$A$4,4)+0,RIGHT(LEFT(D961,7),2)=RIGHT(LEFT(' Pivot Tables'!$A$4,7),2)),1,0)</f>
        <v>0</v>
      </c>
      <c r="Y961" s="6">
        <f>1/COUNTIF(Таблица1[Order ID],Таблица1[[#This Row],[Order ID]])</f>
        <v>1</v>
      </c>
      <c r="Z961" s="9">
        <f>1/COUNTIFS(Таблица1[Customer Name],Таблица1[[#This Row],[Customer Name]],Таблица1[Order-Year-Month],Таблица1[[#This Row],[Order-Year-Month]])</f>
        <v>1</v>
      </c>
    </row>
    <row r="962" spans="1:26" x14ac:dyDescent="0.2">
      <c r="A962" s="6">
        <v>4332</v>
      </c>
      <c r="B962" s="7">
        <v>30883</v>
      </c>
      <c r="C962" s="8">
        <f>DATE(2012,12,31)-863</f>
        <v>40411</v>
      </c>
      <c r="D962" s="8" t="str">
        <f t="shared" si="19"/>
        <v>2010-08 (август 2010)</v>
      </c>
      <c r="E962" s="9" t="s">
        <v>63</v>
      </c>
      <c r="F962" s="7">
        <v>30</v>
      </c>
      <c r="G962" s="7">
        <v>201.37</v>
      </c>
      <c r="H962" s="7">
        <v>0.1</v>
      </c>
      <c r="I962" s="9" t="s">
        <v>22</v>
      </c>
      <c r="J962" s="10">
        <v>59.84</v>
      </c>
      <c r="K962" s="11">
        <v>6.98</v>
      </c>
      <c r="L962" s="11">
        <v>1.6</v>
      </c>
      <c r="M962" s="9" t="s">
        <v>799</v>
      </c>
      <c r="N962" s="6" t="s">
        <v>703</v>
      </c>
      <c r="O962" s="6" t="s">
        <v>704</v>
      </c>
      <c r="P962" s="9" t="s">
        <v>60</v>
      </c>
      <c r="Q962" s="9" t="s">
        <v>26</v>
      </c>
      <c r="R962" s="9" t="s">
        <v>61</v>
      </c>
      <c r="S962" s="7" t="s">
        <v>829</v>
      </c>
      <c r="T962" s="9" t="s">
        <v>68</v>
      </c>
      <c r="U962" s="7">
        <v>0.38</v>
      </c>
      <c r="V962" s="12">
        <f>C962+1</f>
        <v>40412</v>
      </c>
      <c r="W962">
        <f>IF(D962=' Pivot Tables'!$A$4,1,0)</f>
        <v>0</v>
      </c>
      <c r="X962">
        <f>IF(AND(LEFT(D962,4)+1=LEFT(' Pivot Tables'!$A$4,4)+0,RIGHT(LEFT(D962,7),2)=RIGHT(LEFT(' Pivot Tables'!$A$4,7),2)),1,0)</f>
        <v>0</v>
      </c>
      <c r="Y962" s="6">
        <f>1/COUNTIF(Таблица1[Order ID],Таблица1[[#This Row],[Order ID]])</f>
        <v>1</v>
      </c>
      <c r="Z962" s="9">
        <f>1/COUNTIFS(Таблица1[Customer Name],Таблица1[[#This Row],[Customer Name]],Таблица1[Order-Year-Month],Таблица1[[#This Row],[Order-Year-Month]])</f>
        <v>1</v>
      </c>
    </row>
    <row r="963" spans="1:26" x14ac:dyDescent="0.2">
      <c r="A963" s="6">
        <v>4619</v>
      </c>
      <c r="B963" s="7">
        <v>32871</v>
      </c>
      <c r="C963" s="8">
        <f>DATE(2012,12,31)-66</f>
        <v>41208</v>
      </c>
      <c r="D963" s="8" t="str">
        <f t="shared" ref="D963:D1026" si="20">TEXT(C963,"гггг-ММ (ММММ гггг)")</f>
        <v>2012-10 (октябрь 2012)</v>
      </c>
      <c r="E963" s="9" t="s">
        <v>30</v>
      </c>
      <c r="F963" s="7">
        <v>42</v>
      </c>
      <c r="G963" s="7">
        <v>939.77</v>
      </c>
      <c r="H963" s="7">
        <v>0</v>
      </c>
      <c r="I963" s="9" t="s">
        <v>56</v>
      </c>
      <c r="J963" s="10">
        <v>9.7200000000000006</v>
      </c>
      <c r="K963" s="11">
        <v>20.97</v>
      </c>
      <c r="L963" s="11">
        <v>4</v>
      </c>
      <c r="M963" s="9" t="s">
        <v>830</v>
      </c>
      <c r="N963" s="6" t="s">
        <v>703</v>
      </c>
      <c r="O963" s="6" t="s">
        <v>704</v>
      </c>
      <c r="P963" s="9" t="s">
        <v>25</v>
      </c>
      <c r="Q963" s="9" t="s">
        <v>42</v>
      </c>
      <c r="R963" s="9" t="s">
        <v>70</v>
      </c>
      <c r="S963" s="7" t="s">
        <v>262</v>
      </c>
      <c r="T963" s="9" t="s">
        <v>39</v>
      </c>
      <c r="U963" s="7">
        <v>0.77</v>
      </c>
      <c r="V963" s="12">
        <f>C963+3</f>
        <v>41211</v>
      </c>
      <c r="W963">
        <f>IF(D963=' Pivot Tables'!$A$4,1,0)</f>
        <v>0</v>
      </c>
      <c r="X963">
        <f>IF(AND(LEFT(D963,4)+1=LEFT(' Pivot Tables'!$A$4,4)+0,RIGHT(LEFT(D963,7),2)=RIGHT(LEFT(' Pivot Tables'!$A$4,7),2)),1,0)</f>
        <v>0</v>
      </c>
      <c r="Y963" s="6">
        <f>1/COUNTIF(Таблица1[Order ID],Таблица1[[#This Row],[Order ID]])</f>
        <v>0.33333333333333331</v>
      </c>
      <c r="Z963" s="9">
        <f>1/COUNTIFS(Таблица1[Customer Name],Таблица1[[#This Row],[Customer Name]],Таблица1[Order-Year-Month],Таблица1[[#This Row],[Order-Year-Month]])</f>
        <v>0.33333333333333331</v>
      </c>
    </row>
    <row r="964" spans="1:26" x14ac:dyDescent="0.2">
      <c r="A964" s="6">
        <v>4718</v>
      </c>
      <c r="B964" s="7">
        <v>33600</v>
      </c>
      <c r="C964" s="8">
        <f>DATE(2012,12,31)-817</f>
        <v>40457</v>
      </c>
      <c r="D964" s="8" t="str">
        <f t="shared" si="20"/>
        <v>2010-10 (октябрь 2010)</v>
      </c>
      <c r="E964" s="9" t="s">
        <v>21</v>
      </c>
      <c r="F964" s="7">
        <v>42</v>
      </c>
      <c r="G964" s="7">
        <v>187.28</v>
      </c>
      <c r="H964" s="7">
        <v>0.06</v>
      </c>
      <c r="I964" s="9" t="s">
        <v>22</v>
      </c>
      <c r="J964" s="10">
        <v>-94.36</v>
      </c>
      <c r="K964" s="11">
        <v>4.28</v>
      </c>
      <c r="L964" s="11">
        <v>4.79</v>
      </c>
      <c r="M964" s="9" t="s">
        <v>795</v>
      </c>
      <c r="N964" s="6" t="s">
        <v>703</v>
      </c>
      <c r="O964" s="6" t="s">
        <v>704</v>
      </c>
      <c r="P964" s="9" t="s">
        <v>41</v>
      </c>
      <c r="Q964" s="9" t="s">
        <v>26</v>
      </c>
      <c r="R964" s="9" t="s">
        <v>61</v>
      </c>
      <c r="S964" s="7" t="s">
        <v>831</v>
      </c>
      <c r="T964" s="9" t="s">
        <v>39</v>
      </c>
      <c r="U964" s="7">
        <v>0.4</v>
      </c>
      <c r="V964" s="12">
        <f>C964+2</f>
        <v>40459</v>
      </c>
      <c r="W964">
        <f>IF(D964=' Pivot Tables'!$A$4,1,0)</f>
        <v>0</v>
      </c>
      <c r="X964">
        <f>IF(AND(LEFT(D964,4)+1=LEFT(' Pivot Tables'!$A$4,4)+0,RIGHT(LEFT(D964,7),2)=RIGHT(LEFT(' Pivot Tables'!$A$4,7),2)),1,0)</f>
        <v>0</v>
      </c>
      <c r="Y964" s="6">
        <f>1/COUNTIF(Таблица1[Order ID],Таблица1[[#This Row],[Order ID]])</f>
        <v>1</v>
      </c>
      <c r="Z964" s="9">
        <f>1/COUNTIFS(Таблица1[Customer Name],Таблица1[[#This Row],[Customer Name]],Таблица1[Order-Year-Month],Таблица1[[#This Row],[Order-Year-Month]])</f>
        <v>1</v>
      </c>
    </row>
    <row r="965" spans="1:26" x14ac:dyDescent="0.2">
      <c r="A965" s="6">
        <v>4722</v>
      </c>
      <c r="B965" s="7">
        <v>33632</v>
      </c>
      <c r="C965" s="8">
        <f>DATE(2012,12,31)-1024</f>
        <v>40250</v>
      </c>
      <c r="D965" s="8" t="str">
        <f t="shared" si="20"/>
        <v>2010-03 (март 2010)</v>
      </c>
      <c r="E965" s="9" t="s">
        <v>78</v>
      </c>
      <c r="F965" s="7">
        <v>8</v>
      </c>
      <c r="G965" s="7">
        <v>763.6484999999999</v>
      </c>
      <c r="H965" s="7">
        <v>0.06</v>
      </c>
      <c r="I965" s="9" t="s">
        <v>22</v>
      </c>
      <c r="J965" s="10">
        <v>-277.78300000000002</v>
      </c>
      <c r="K965" s="11">
        <v>115.99</v>
      </c>
      <c r="L965" s="11">
        <v>5.26</v>
      </c>
      <c r="M965" s="9" t="s">
        <v>799</v>
      </c>
      <c r="N965" s="6" t="s">
        <v>703</v>
      </c>
      <c r="O965" s="6" t="s">
        <v>704</v>
      </c>
      <c r="P965" s="9" t="s">
        <v>60</v>
      </c>
      <c r="Q965" s="9" t="s">
        <v>42</v>
      </c>
      <c r="R965" s="9" t="s">
        <v>43</v>
      </c>
      <c r="S965" s="7" t="s">
        <v>832</v>
      </c>
      <c r="T965" s="9" t="s">
        <v>39</v>
      </c>
      <c r="U965" s="7">
        <v>0.56999999999999995</v>
      </c>
      <c r="V965" s="12">
        <f>C965+1</f>
        <v>40251</v>
      </c>
      <c r="W965">
        <f>IF(D965=' Pivot Tables'!$A$4,1,0)</f>
        <v>0</v>
      </c>
      <c r="X965">
        <f>IF(AND(LEFT(D965,4)+1=LEFT(' Pivot Tables'!$A$4,4)+0,RIGHT(LEFT(D965,7),2)=RIGHT(LEFT(' Pivot Tables'!$A$4,7),2)),1,0)</f>
        <v>0</v>
      </c>
      <c r="Y965" s="6">
        <f>1/COUNTIF(Таблица1[Order ID],Таблица1[[#This Row],[Order ID]])</f>
        <v>1</v>
      </c>
      <c r="Z965" s="9">
        <f>1/COUNTIFS(Таблица1[Customer Name],Таблица1[[#This Row],[Customer Name]],Таблица1[Order-Year-Month],Таблица1[[#This Row],[Order-Year-Month]])</f>
        <v>1</v>
      </c>
    </row>
    <row r="966" spans="1:26" x14ac:dyDescent="0.2">
      <c r="A966" s="6">
        <v>4727</v>
      </c>
      <c r="B966" s="7">
        <v>33665</v>
      </c>
      <c r="C966" s="8">
        <f>DATE(2012,12,31)-586</f>
        <v>40688</v>
      </c>
      <c r="D966" s="8" t="str">
        <f t="shared" si="20"/>
        <v>2011-05 (май 2011)</v>
      </c>
      <c r="E966" s="9" t="s">
        <v>21</v>
      </c>
      <c r="F966" s="7">
        <v>45</v>
      </c>
      <c r="G966" s="7">
        <v>12457.63</v>
      </c>
      <c r="H966" s="7">
        <v>0.08</v>
      </c>
      <c r="I966" s="9" t="s">
        <v>31</v>
      </c>
      <c r="J966" s="10">
        <v>1063.46</v>
      </c>
      <c r="K966" s="11">
        <v>284.98</v>
      </c>
      <c r="L966" s="11">
        <v>69.55</v>
      </c>
      <c r="M966" s="9" t="s">
        <v>833</v>
      </c>
      <c r="N966" s="6" t="s">
        <v>703</v>
      </c>
      <c r="O966" s="6" t="s">
        <v>704</v>
      </c>
      <c r="P966" s="9" t="s">
        <v>41</v>
      </c>
      <c r="Q966" s="9" t="s">
        <v>49</v>
      </c>
      <c r="R966" s="9" t="s">
        <v>112</v>
      </c>
      <c r="S966" s="7" t="s">
        <v>834</v>
      </c>
      <c r="T966" s="9" t="s">
        <v>36</v>
      </c>
      <c r="U966" s="7">
        <v>0.6</v>
      </c>
      <c r="V966" s="12">
        <f>C966+5</f>
        <v>40693</v>
      </c>
      <c r="W966">
        <f>IF(D966=' Pivot Tables'!$A$4,1,0)</f>
        <v>0</v>
      </c>
      <c r="X966">
        <f>IF(AND(LEFT(D966,4)+1=LEFT(' Pivot Tables'!$A$4,4)+0,RIGHT(LEFT(D966,7),2)=RIGHT(LEFT(' Pivot Tables'!$A$4,7),2)),1,0)</f>
        <v>0</v>
      </c>
      <c r="Y966" s="6">
        <f>1/COUNTIF(Таблица1[Order ID],Таблица1[[#This Row],[Order ID]])</f>
        <v>1</v>
      </c>
      <c r="Z966" s="9">
        <f>1/COUNTIFS(Таблица1[Customer Name],Таблица1[[#This Row],[Customer Name]],Таблица1[Order-Year-Month],Таблица1[[#This Row],[Order-Year-Month]])</f>
        <v>1</v>
      </c>
    </row>
    <row r="967" spans="1:26" x14ac:dyDescent="0.2">
      <c r="A967" s="6">
        <v>4841</v>
      </c>
      <c r="B967" s="7">
        <v>34434</v>
      </c>
      <c r="C967" s="8">
        <f>DATE(2012,12,31)-602</f>
        <v>40672</v>
      </c>
      <c r="D967" s="8" t="str">
        <f t="shared" si="20"/>
        <v>2011-05 (май 2011)</v>
      </c>
      <c r="E967" s="9" t="s">
        <v>45</v>
      </c>
      <c r="F967" s="7">
        <v>16</v>
      </c>
      <c r="G967" s="7">
        <v>32.35</v>
      </c>
      <c r="H967" s="7">
        <v>0.08</v>
      </c>
      <c r="I967" s="9" t="s">
        <v>22</v>
      </c>
      <c r="J967" s="10">
        <v>-63.192500000000003</v>
      </c>
      <c r="K967" s="11">
        <v>1.8</v>
      </c>
      <c r="L967" s="11">
        <v>4.79</v>
      </c>
      <c r="M967" s="9" t="s">
        <v>806</v>
      </c>
      <c r="N967" s="6" t="s">
        <v>703</v>
      </c>
      <c r="O967" s="6" t="s">
        <v>704</v>
      </c>
      <c r="P967" s="9" t="s">
        <v>25</v>
      </c>
      <c r="Q967" s="9" t="s">
        <v>26</v>
      </c>
      <c r="R967" s="9" t="s">
        <v>37</v>
      </c>
      <c r="S967" s="7" t="s">
        <v>835</v>
      </c>
      <c r="T967" s="9" t="s">
        <v>39</v>
      </c>
      <c r="U967" s="7">
        <v>0.37</v>
      </c>
      <c r="V967" s="12">
        <f>C967+1</f>
        <v>40673</v>
      </c>
      <c r="W967">
        <f>IF(D967=' Pivot Tables'!$A$4,1,0)</f>
        <v>0</v>
      </c>
      <c r="X967">
        <f>IF(AND(LEFT(D967,4)+1=LEFT(' Pivot Tables'!$A$4,4)+0,RIGHT(LEFT(D967,7),2)=RIGHT(LEFT(' Pivot Tables'!$A$4,7),2)),1,0)</f>
        <v>0</v>
      </c>
      <c r="Y967" s="6">
        <f>1/COUNTIF(Таблица1[Order ID],Таблица1[[#This Row],[Order ID]])</f>
        <v>0.5</v>
      </c>
      <c r="Z967" s="9">
        <f>1/COUNTIFS(Таблица1[Customer Name],Таблица1[[#This Row],[Customer Name]],Таблица1[Order-Year-Month],Таблица1[[#This Row],[Order-Year-Month]])</f>
        <v>0.5</v>
      </c>
    </row>
    <row r="968" spans="1:26" x14ac:dyDescent="0.2">
      <c r="A968" s="6">
        <v>4842</v>
      </c>
      <c r="B968" s="7">
        <v>34434</v>
      </c>
      <c r="C968" s="8">
        <f>DATE(2012,12,31)-602</f>
        <v>40672</v>
      </c>
      <c r="D968" s="8" t="str">
        <f t="shared" si="20"/>
        <v>2011-05 (май 2011)</v>
      </c>
      <c r="E968" s="9" t="s">
        <v>45</v>
      </c>
      <c r="F968" s="7">
        <v>23</v>
      </c>
      <c r="G968" s="7">
        <v>116.56</v>
      </c>
      <c r="H968" s="7">
        <v>0.04</v>
      </c>
      <c r="I968" s="9" t="s">
        <v>22</v>
      </c>
      <c r="J968" s="10">
        <v>50.66</v>
      </c>
      <c r="K968" s="11">
        <v>4.9800000000000004</v>
      </c>
      <c r="L968" s="11">
        <v>0.49</v>
      </c>
      <c r="M968" s="9" t="s">
        <v>806</v>
      </c>
      <c r="N968" s="6" t="s">
        <v>703</v>
      </c>
      <c r="O968" s="6" t="s">
        <v>704</v>
      </c>
      <c r="P968" s="9" t="s">
        <v>25</v>
      </c>
      <c r="Q968" s="9" t="s">
        <v>26</v>
      </c>
      <c r="R968" s="9" t="s">
        <v>88</v>
      </c>
      <c r="S968" s="7" t="s">
        <v>836</v>
      </c>
      <c r="T968" s="9" t="s">
        <v>39</v>
      </c>
      <c r="U968" s="7">
        <v>0.39</v>
      </c>
      <c r="V968" s="12">
        <f>C968+2</f>
        <v>40674</v>
      </c>
      <c r="W968">
        <f>IF(D968=' Pivot Tables'!$A$4,1,0)</f>
        <v>0</v>
      </c>
      <c r="X968">
        <f>IF(AND(LEFT(D968,4)+1=LEFT(' Pivot Tables'!$A$4,4)+0,RIGHT(LEFT(D968,7),2)=RIGHT(LEFT(' Pivot Tables'!$A$4,7),2)),1,0)</f>
        <v>0</v>
      </c>
      <c r="Y968" s="6">
        <f>1/COUNTIF(Таблица1[Order ID],Таблица1[[#This Row],[Order ID]])</f>
        <v>0.5</v>
      </c>
      <c r="Z968" s="9">
        <f>1/COUNTIFS(Таблица1[Customer Name],Таблица1[[#This Row],[Customer Name]],Таблица1[Order-Year-Month],Таблица1[[#This Row],[Order-Year-Month]])</f>
        <v>0.5</v>
      </c>
    </row>
    <row r="969" spans="1:26" x14ac:dyDescent="0.2">
      <c r="A969" s="6">
        <v>4885</v>
      </c>
      <c r="B969" s="7">
        <v>34753</v>
      </c>
      <c r="C969" s="8">
        <f>DATE(2012,12,31)-1078</f>
        <v>40196</v>
      </c>
      <c r="D969" s="8" t="str">
        <f t="shared" si="20"/>
        <v>2010-01 (январь 2010)</v>
      </c>
      <c r="E969" s="9" t="s">
        <v>45</v>
      </c>
      <c r="F969" s="7">
        <v>7</v>
      </c>
      <c r="G969" s="7">
        <v>117.062</v>
      </c>
      <c r="H969" s="7">
        <v>0.09</v>
      </c>
      <c r="I969" s="9" t="s">
        <v>22</v>
      </c>
      <c r="J969" s="10">
        <v>-63.700999999999993</v>
      </c>
      <c r="K969" s="11">
        <v>20.99</v>
      </c>
      <c r="L969" s="11">
        <v>0.99</v>
      </c>
      <c r="M969" s="9" t="s">
        <v>806</v>
      </c>
      <c r="N969" s="6" t="s">
        <v>703</v>
      </c>
      <c r="O969" s="6" t="s">
        <v>704</v>
      </c>
      <c r="P969" s="9" t="s">
        <v>25</v>
      </c>
      <c r="Q969" s="9" t="s">
        <v>42</v>
      </c>
      <c r="R969" s="9" t="s">
        <v>43</v>
      </c>
      <c r="S969" s="7" t="s">
        <v>837</v>
      </c>
      <c r="T969" s="9" t="s">
        <v>68</v>
      </c>
      <c r="U969" s="7">
        <v>0.56999999999999995</v>
      </c>
      <c r="V969" s="12">
        <f>C969+2</f>
        <v>40198</v>
      </c>
      <c r="W969">
        <f>IF(D969=' Pivot Tables'!$A$4,1,0)</f>
        <v>1</v>
      </c>
      <c r="X969">
        <f>IF(AND(LEFT(D969,4)+1=LEFT(' Pivot Tables'!$A$4,4)+0,RIGHT(LEFT(D969,7),2)=RIGHT(LEFT(' Pivot Tables'!$A$4,7),2)),1,0)</f>
        <v>0</v>
      </c>
      <c r="Y969" s="6">
        <f>1/COUNTIF(Таблица1[Order ID],Таблица1[[#This Row],[Order ID]])</f>
        <v>1</v>
      </c>
      <c r="Z969" s="9">
        <f>1/COUNTIFS(Таблица1[Customer Name],Таблица1[[#This Row],[Customer Name]],Таблица1[Order-Year-Month],Таблица1[[#This Row],[Order-Year-Month]])</f>
        <v>0.25</v>
      </c>
    </row>
    <row r="970" spans="1:26" x14ac:dyDescent="0.2">
      <c r="A970" s="6">
        <v>4970</v>
      </c>
      <c r="B970" s="7">
        <v>35364</v>
      </c>
      <c r="C970" s="8">
        <f>DATE(2012,12,31)-1115</f>
        <v>40159</v>
      </c>
      <c r="D970" s="8" t="str">
        <f t="shared" si="20"/>
        <v>2009-12 (декабрь 2009)</v>
      </c>
      <c r="E970" s="9" t="s">
        <v>78</v>
      </c>
      <c r="F970" s="7">
        <v>16</v>
      </c>
      <c r="G970" s="7">
        <v>72.08</v>
      </c>
      <c r="H970" s="7">
        <v>0.04</v>
      </c>
      <c r="I970" s="9" t="s">
        <v>22</v>
      </c>
      <c r="J970" s="10">
        <v>-54.75</v>
      </c>
      <c r="K970" s="11">
        <v>4.28</v>
      </c>
      <c r="L970" s="11">
        <v>5.68</v>
      </c>
      <c r="M970" s="9" t="s">
        <v>833</v>
      </c>
      <c r="N970" s="6" t="s">
        <v>703</v>
      </c>
      <c r="O970" s="6" t="s">
        <v>704</v>
      </c>
      <c r="P970" s="9" t="s">
        <v>41</v>
      </c>
      <c r="Q970" s="9" t="s">
        <v>26</v>
      </c>
      <c r="R970" s="9" t="s">
        <v>61</v>
      </c>
      <c r="S970" s="7" t="s">
        <v>838</v>
      </c>
      <c r="T970" s="9" t="s">
        <v>39</v>
      </c>
      <c r="U970" s="7">
        <v>0.4</v>
      </c>
      <c r="V970" s="12">
        <f>C970+2</f>
        <v>40161</v>
      </c>
      <c r="W970">
        <f>IF(D970=' Pivot Tables'!$A$4,1,0)</f>
        <v>0</v>
      </c>
      <c r="X970">
        <f>IF(AND(LEFT(D970,4)+1=LEFT(' Pivot Tables'!$A$4,4)+0,RIGHT(LEFT(D970,7),2)=RIGHT(LEFT(' Pivot Tables'!$A$4,7),2)),1,0)</f>
        <v>0</v>
      </c>
      <c r="Y970" s="6">
        <f>1/COUNTIF(Таблица1[Order ID],Таблица1[[#This Row],[Order ID]])</f>
        <v>0.25</v>
      </c>
      <c r="Z970" s="9">
        <f>1/COUNTIFS(Таблица1[Customer Name],Таблица1[[#This Row],[Customer Name]],Таблица1[Order-Year-Month],Таблица1[[#This Row],[Order-Year-Month]])</f>
        <v>0.16666666666666666</v>
      </c>
    </row>
    <row r="971" spans="1:26" x14ac:dyDescent="0.2">
      <c r="A971" s="6">
        <v>4971</v>
      </c>
      <c r="B971" s="7">
        <v>35364</v>
      </c>
      <c r="C971" s="8">
        <f>DATE(2012,12,31)-1115</f>
        <v>40159</v>
      </c>
      <c r="D971" s="8" t="str">
        <f t="shared" si="20"/>
        <v>2009-12 (декабрь 2009)</v>
      </c>
      <c r="E971" s="9" t="s">
        <v>78</v>
      </c>
      <c r="F971" s="7">
        <v>29</v>
      </c>
      <c r="G971" s="7">
        <v>10338.93</v>
      </c>
      <c r="H971" s="7">
        <v>0.06</v>
      </c>
      <c r="I971" s="9" t="s">
        <v>31</v>
      </c>
      <c r="J971" s="10">
        <v>-871.51499999999999</v>
      </c>
      <c r="K971" s="11">
        <v>376.13</v>
      </c>
      <c r="L971" s="11">
        <v>85.63</v>
      </c>
      <c r="M971" s="9" t="s">
        <v>833</v>
      </c>
      <c r="N971" s="6" t="s">
        <v>703</v>
      </c>
      <c r="O971" s="6" t="s">
        <v>704</v>
      </c>
      <c r="P971" s="9" t="s">
        <v>41</v>
      </c>
      <c r="Q971" s="9" t="s">
        <v>49</v>
      </c>
      <c r="R971" s="9" t="s">
        <v>83</v>
      </c>
      <c r="S971" s="7" t="s">
        <v>725</v>
      </c>
      <c r="T971" s="9" t="s">
        <v>82</v>
      </c>
      <c r="U971" s="7">
        <v>0.74</v>
      </c>
      <c r="V971" s="12">
        <f>C971+2</f>
        <v>40161</v>
      </c>
      <c r="W971">
        <f>IF(D971=' Pivot Tables'!$A$4,1,0)</f>
        <v>0</v>
      </c>
      <c r="X971">
        <f>IF(AND(LEFT(D971,4)+1=LEFT(' Pivot Tables'!$A$4,4)+0,RIGHT(LEFT(D971,7),2)=RIGHT(LEFT(' Pivot Tables'!$A$4,7),2)),1,0)</f>
        <v>0</v>
      </c>
      <c r="Y971" s="6">
        <f>1/COUNTIF(Таблица1[Order ID],Таблица1[[#This Row],[Order ID]])</f>
        <v>0.25</v>
      </c>
      <c r="Z971" s="9">
        <f>1/COUNTIFS(Таблица1[Customer Name],Таблица1[[#This Row],[Customer Name]],Таблица1[Order-Year-Month],Таблица1[[#This Row],[Order-Year-Month]])</f>
        <v>0.16666666666666666</v>
      </c>
    </row>
    <row r="972" spans="1:26" x14ac:dyDescent="0.2">
      <c r="A972" s="6">
        <v>4972</v>
      </c>
      <c r="B972" s="7">
        <v>35364</v>
      </c>
      <c r="C972" s="8">
        <f>DATE(2012,12,31)-1115</f>
        <v>40159</v>
      </c>
      <c r="D972" s="8" t="str">
        <f t="shared" si="20"/>
        <v>2009-12 (декабрь 2009)</v>
      </c>
      <c r="E972" s="9" t="s">
        <v>78</v>
      </c>
      <c r="F972" s="7">
        <v>37</v>
      </c>
      <c r="G972" s="7">
        <v>15897.01</v>
      </c>
      <c r="H972" s="7">
        <v>0.06</v>
      </c>
      <c r="I972" s="9" t="s">
        <v>31</v>
      </c>
      <c r="J972" s="10">
        <v>455.02</v>
      </c>
      <c r="K972" s="11">
        <v>424.21</v>
      </c>
      <c r="L972" s="11">
        <v>110.2</v>
      </c>
      <c r="M972" s="9" t="s">
        <v>833</v>
      </c>
      <c r="N972" s="6" t="s">
        <v>703</v>
      </c>
      <c r="O972" s="6" t="s">
        <v>704</v>
      </c>
      <c r="P972" s="9" t="s">
        <v>41</v>
      </c>
      <c r="Q972" s="9" t="s">
        <v>49</v>
      </c>
      <c r="R972" s="9" t="s">
        <v>83</v>
      </c>
      <c r="S972" s="7" t="s">
        <v>839</v>
      </c>
      <c r="T972" s="9" t="s">
        <v>82</v>
      </c>
      <c r="U972" s="7">
        <v>0.67</v>
      </c>
      <c r="V972" s="12">
        <f>C972+1</f>
        <v>40160</v>
      </c>
      <c r="W972">
        <f>IF(D972=' Pivot Tables'!$A$4,1,0)</f>
        <v>0</v>
      </c>
      <c r="X972">
        <f>IF(AND(LEFT(D972,4)+1=LEFT(' Pivot Tables'!$A$4,4)+0,RIGHT(LEFT(D972,7),2)=RIGHT(LEFT(' Pivot Tables'!$A$4,7),2)),1,0)</f>
        <v>0</v>
      </c>
      <c r="Y972" s="6">
        <f>1/COUNTIF(Таблица1[Order ID],Таблица1[[#This Row],[Order ID]])</f>
        <v>0.25</v>
      </c>
      <c r="Z972" s="9">
        <f>1/COUNTIFS(Таблица1[Customer Name],Таблица1[[#This Row],[Customer Name]],Таблица1[Order-Year-Month],Таблица1[[#This Row],[Order-Year-Month]])</f>
        <v>0.16666666666666666</v>
      </c>
    </row>
    <row r="973" spans="1:26" x14ac:dyDescent="0.2">
      <c r="A973" s="6">
        <v>4973</v>
      </c>
      <c r="B973" s="7">
        <v>35364</v>
      </c>
      <c r="C973" s="8">
        <f>DATE(2012,12,31)-1115</f>
        <v>40159</v>
      </c>
      <c r="D973" s="8" t="str">
        <f t="shared" si="20"/>
        <v>2009-12 (декабрь 2009)</v>
      </c>
      <c r="E973" s="9" t="s">
        <v>78</v>
      </c>
      <c r="F973" s="7">
        <v>8</v>
      </c>
      <c r="G973" s="7">
        <v>1265.2929999999999</v>
      </c>
      <c r="H973" s="7">
        <v>0.06</v>
      </c>
      <c r="I973" s="9" t="s">
        <v>22</v>
      </c>
      <c r="J973" s="10">
        <v>-554.44400000000007</v>
      </c>
      <c r="K973" s="11">
        <v>195.99</v>
      </c>
      <c r="L973" s="11">
        <v>8.99</v>
      </c>
      <c r="M973" s="9" t="s">
        <v>833</v>
      </c>
      <c r="N973" s="6" t="s">
        <v>703</v>
      </c>
      <c r="O973" s="6" t="s">
        <v>704</v>
      </c>
      <c r="P973" s="9" t="s">
        <v>41</v>
      </c>
      <c r="Q973" s="9" t="s">
        <v>42</v>
      </c>
      <c r="R973" s="9" t="s">
        <v>43</v>
      </c>
      <c r="S973" s="7" t="s">
        <v>670</v>
      </c>
      <c r="T973" s="9" t="s">
        <v>39</v>
      </c>
      <c r="U973" s="7">
        <v>0.6</v>
      </c>
      <c r="V973" s="12">
        <f>C973+2</f>
        <v>40161</v>
      </c>
      <c r="W973">
        <f>IF(D973=' Pivot Tables'!$A$4,1,0)</f>
        <v>0</v>
      </c>
      <c r="X973">
        <f>IF(AND(LEFT(D973,4)+1=LEFT(' Pivot Tables'!$A$4,4)+0,RIGHT(LEFT(D973,7),2)=RIGHT(LEFT(' Pivot Tables'!$A$4,7),2)),1,0)</f>
        <v>0</v>
      </c>
      <c r="Y973" s="6">
        <f>1/COUNTIF(Таблица1[Order ID],Таблица1[[#This Row],[Order ID]])</f>
        <v>0.25</v>
      </c>
      <c r="Z973" s="9">
        <f>1/COUNTIFS(Таблица1[Customer Name],Таблица1[[#This Row],[Customer Name]],Таблица1[Order-Year-Month],Таблица1[[#This Row],[Order-Year-Month]])</f>
        <v>0.16666666666666666</v>
      </c>
    </row>
    <row r="974" spans="1:26" x14ac:dyDescent="0.2">
      <c r="A974" s="6">
        <v>5019</v>
      </c>
      <c r="B974" s="7">
        <v>35812</v>
      </c>
      <c r="C974" s="8">
        <f>DATE(2012,12,31)-1074</f>
        <v>40200</v>
      </c>
      <c r="D974" s="8" t="str">
        <f t="shared" si="20"/>
        <v>2010-01 (январь 2010)</v>
      </c>
      <c r="E974" s="9" t="s">
        <v>78</v>
      </c>
      <c r="F974" s="7">
        <v>24</v>
      </c>
      <c r="G974" s="7">
        <v>2722.85</v>
      </c>
      <c r="H974" s="7">
        <v>0.08</v>
      </c>
      <c r="I974" s="9" t="s">
        <v>31</v>
      </c>
      <c r="J974" s="10">
        <v>-112.62</v>
      </c>
      <c r="K974" s="11">
        <v>113.98</v>
      </c>
      <c r="L974" s="11">
        <v>30</v>
      </c>
      <c r="M974" s="9" t="s">
        <v>806</v>
      </c>
      <c r="N974" s="6" t="s">
        <v>703</v>
      </c>
      <c r="O974" s="6" t="s">
        <v>704</v>
      </c>
      <c r="P974" s="9" t="s">
        <v>25</v>
      </c>
      <c r="Q974" s="9" t="s">
        <v>49</v>
      </c>
      <c r="R974" s="9" t="s">
        <v>112</v>
      </c>
      <c r="S974" s="7" t="s">
        <v>840</v>
      </c>
      <c r="T974" s="9" t="s">
        <v>36</v>
      </c>
      <c r="U974" s="7">
        <v>0.69</v>
      </c>
      <c r="V974" s="12">
        <f>C974+2</f>
        <v>40202</v>
      </c>
      <c r="W974">
        <f>IF(D974=' Pivot Tables'!$A$4,1,0)</f>
        <v>1</v>
      </c>
      <c r="X974">
        <f>IF(AND(LEFT(D974,4)+1=LEFT(' Pivot Tables'!$A$4,4)+0,RIGHT(LEFT(D974,7),2)=RIGHT(LEFT(' Pivot Tables'!$A$4,7),2)),1,0)</f>
        <v>0</v>
      </c>
      <c r="Y974" s="6">
        <f>1/COUNTIF(Таблица1[Order ID],Таблица1[[#This Row],[Order ID]])</f>
        <v>0.33333333333333331</v>
      </c>
      <c r="Z974" s="9">
        <f>1/COUNTIFS(Таблица1[Customer Name],Таблица1[[#This Row],[Customer Name]],Таблица1[Order-Year-Month],Таблица1[[#This Row],[Order-Year-Month]])</f>
        <v>0.25</v>
      </c>
    </row>
    <row r="975" spans="1:26" x14ac:dyDescent="0.2">
      <c r="A975" s="6">
        <v>5020</v>
      </c>
      <c r="B975" s="7">
        <v>35812</v>
      </c>
      <c r="C975" s="8">
        <f>DATE(2012,12,31)-1074</f>
        <v>40200</v>
      </c>
      <c r="D975" s="8" t="str">
        <f t="shared" si="20"/>
        <v>2010-01 (январь 2010)</v>
      </c>
      <c r="E975" s="9" t="s">
        <v>78</v>
      </c>
      <c r="F975" s="7">
        <v>2</v>
      </c>
      <c r="G975" s="7">
        <v>59.93</v>
      </c>
      <c r="H975" s="7">
        <v>0.09</v>
      </c>
      <c r="I975" s="9" t="s">
        <v>22</v>
      </c>
      <c r="J975" s="10">
        <v>-147.81</v>
      </c>
      <c r="K975" s="11">
        <v>30.73</v>
      </c>
      <c r="L975" s="11">
        <v>4</v>
      </c>
      <c r="M975" s="9" t="s">
        <v>806</v>
      </c>
      <c r="N975" s="6" t="s">
        <v>703</v>
      </c>
      <c r="O975" s="6" t="s">
        <v>704</v>
      </c>
      <c r="P975" s="9" t="s">
        <v>25</v>
      </c>
      <c r="Q975" s="9" t="s">
        <v>42</v>
      </c>
      <c r="R975" s="9" t="s">
        <v>70</v>
      </c>
      <c r="S975" s="7" t="s">
        <v>270</v>
      </c>
      <c r="T975" s="9" t="s">
        <v>39</v>
      </c>
      <c r="U975" s="7">
        <v>0.75</v>
      </c>
      <c r="V975" s="12">
        <f>C975+2</f>
        <v>40202</v>
      </c>
      <c r="W975">
        <f>IF(D975=' Pivot Tables'!$A$4,1,0)</f>
        <v>1</v>
      </c>
      <c r="X975">
        <f>IF(AND(LEFT(D975,4)+1=LEFT(' Pivot Tables'!$A$4,4)+0,RIGHT(LEFT(D975,7),2)=RIGHT(LEFT(' Pivot Tables'!$A$4,7),2)),1,0)</f>
        <v>0</v>
      </c>
      <c r="Y975" s="6">
        <f>1/COUNTIF(Таблица1[Order ID],Таблица1[[#This Row],[Order ID]])</f>
        <v>0.33333333333333331</v>
      </c>
      <c r="Z975" s="9">
        <f>1/COUNTIFS(Таблица1[Customer Name],Таблица1[[#This Row],[Customer Name]],Таблица1[Order-Year-Month],Таблица1[[#This Row],[Order-Year-Month]])</f>
        <v>0.25</v>
      </c>
    </row>
    <row r="976" spans="1:26" x14ac:dyDescent="0.2">
      <c r="A976" s="6">
        <v>5021</v>
      </c>
      <c r="B976" s="7">
        <v>35812</v>
      </c>
      <c r="C976" s="8">
        <f>DATE(2012,12,31)-1074</f>
        <v>40200</v>
      </c>
      <c r="D976" s="8" t="str">
        <f t="shared" si="20"/>
        <v>2010-01 (январь 2010)</v>
      </c>
      <c r="E976" s="9" t="s">
        <v>78</v>
      </c>
      <c r="F976" s="7">
        <v>19</v>
      </c>
      <c r="G976" s="7">
        <v>851.52</v>
      </c>
      <c r="H976" s="7">
        <v>0.08</v>
      </c>
      <c r="I976" s="9" t="s">
        <v>22</v>
      </c>
      <c r="J976" s="10">
        <v>307.64</v>
      </c>
      <c r="K976" s="11">
        <v>47.9</v>
      </c>
      <c r="L976" s="11">
        <v>5.86</v>
      </c>
      <c r="M976" s="9" t="s">
        <v>806</v>
      </c>
      <c r="N976" s="6" t="s">
        <v>703</v>
      </c>
      <c r="O976" s="6" t="s">
        <v>704</v>
      </c>
      <c r="P976" s="9" t="s">
        <v>25</v>
      </c>
      <c r="Q976" s="9" t="s">
        <v>26</v>
      </c>
      <c r="R976" s="9" t="s">
        <v>61</v>
      </c>
      <c r="S976" s="7" t="s">
        <v>841</v>
      </c>
      <c r="T976" s="9" t="s">
        <v>39</v>
      </c>
      <c r="U976" s="7">
        <v>0.37</v>
      </c>
      <c r="V976" s="12">
        <f>C976+2</f>
        <v>40202</v>
      </c>
      <c r="W976">
        <f>IF(D976=' Pivot Tables'!$A$4,1,0)</f>
        <v>1</v>
      </c>
      <c r="X976">
        <f>IF(AND(LEFT(D976,4)+1=LEFT(' Pivot Tables'!$A$4,4)+0,RIGHT(LEFT(D976,7),2)=RIGHT(LEFT(' Pivot Tables'!$A$4,7),2)),1,0)</f>
        <v>0</v>
      </c>
      <c r="Y976" s="6">
        <f>1/COUNTIF(Таблица1[Order ID],Таблица1[[#This Row],[Order ID]])</f>
        <v>0.33333333333333331</v>
      </c>
      <c r="Z976" s="9">
        <f>1/COUNTIFS(Таблица1[Customer Name],Таблица1[[#This Row],[Customer Name]],Таблица1[Order-Year-Month],Таблица1[[#This Row],[Order-Year-Month]])</f>
        <v>0.25</v>
      </c>
    </row>
    <row r="977" spans="1:26" x14ac:dyDescent="0.2">
      <c r="A977" s="6">
        <v>5212</v>
      </c>
      <c r="B977" s="7">
        <v>37063</v>
      </c>
      <c r="C977" s="8">
        <f>DATE(2012,12,31)-22</f>
        <v>41252</v>
      </c>
      <c r="D977" s="8" t="str">
        <f t="shared" si="20"/>
        <v>2012-12 (декабрь 2012)</v>
      </c>
      <c r="E977" s="9" t="s">
        <v>45</v>
      </c>
      <c r="F977" s="7">
        <v>50</v>
      </c>
      <c r="G977" s="7">
        <v>919</v>
      </c>
      <c r="H977" s="7">
        <v>0</v>
      </c>
      <c r="I977" s="9" t="s">
        <v>22</v>
      </c>
      <c r="J977" s="10">
        <v>89.6</v>
      </c>
      <c r="K977" s="11">
        <v>17.670000000000002</v>
      </c>
      <c r="L977" s="11">
        <v>8.99</v>
      </c>
      <c r="M977" s="9" t="s">
        <v>799</v>
      </c>
      <c r="N977" s="6" t="s">
        <v>703</v>
      </c>
      <c r="O977" s="6" t="s">
        <v>704</v>
      </c>
      <c r="P977" s="9" t="s">
        <v>60</v>
      </c>
      <c r="Q977" s="9" t="s">
        <v>49</v>
      </c>
      <c r="R977" s="9" t="s">
        <v>50</v>
      </c>
      <c r="S977" s="7" t="s">
        <v>763</v>
      </c>
      <c r="T977" s="9" t="s">
        <v>52</v>
      </c>
      <c r="U977" s="7">
        <v>0.47</v>
      </c>
      <c r="V977" s="12">
        <f>C977+1</f>
        <v>41253</v>
      </c>
      <c r="W977">
        <f>IF(D977=' Pivot Tables'!$A$4,1,0)</f>
        <v>0</v>
      </c>
      <c r="X977">
        <f>IF(AND(LEFT(D977,4)+1=LEFT(' Pivot Tables'!$A$4,4)+0,RIGHT(LEFT(D977,7),2)=RIGHT(LEFT(' Pivot Tables'!$A$4,7),2)),1,0)</f>
        <v>0</v>
      </c>
      <c r="Y977" s="6">
        <f>1/COUNTIF(Таблица1[Order ID],Таблица1[[#This Row],[Order ID]])</f>
        <v>1</v>
      </c>
      <c r="Z977" s="9">
        <f>1/COUNTIFS(Таблица1[Customer Name],Таблица1[[#This Row],[Customer Name]],Таблица1[Order-Year-Month],Таблица1[[#This Row],[Order-Year-Month]])</f>
        <v>1</v>
      </c>
    </row>
    <row r="978" spans="1:26" x14ac:dyDescent="0.2">
      <c r="A978" s="6">
        <v>5238</v>
      </c>
      <c r="B978" s="7">
        <v>37281</v>
      </c>
      <c r="C978" s="8">
        <f>DATE(2012,12,31)-1221</f>
        <v>40053</v>
      </c>
      <c r="D978" s="8" t="str">
        <f t="shared" si="20"/>
        <v>2009-08 (август 2009)</v>
      </c>
      <c r="E978" s="9" t="s">
        <v>63</v>
      </c>
      <c r="F978" s="7">
        <v>25</v>
      </c>
      <c r="G978" s="7">
        <v>453.24549999999999</v>
      </c>
      <c r="H978" s="7">
        <v>0.05</v>
      </c>
      <c r="I978" s="9" t="s">
        <v>22</v>
      </c>
      <c r="J978" s="10">
        <v>3.3120000000000003</v>
      </c>
      <c r="K978" s="11">
        <v>20.99</v>
      </c>
      <c r="L978" s="11">
        <v>4.8099999999999996</v>
      </c>
      <c r="M978" s="9" t="s">
        <v>347</v>
      </c>
      <c r="N978" s="6" t="s">
        <v>703</v>
      </c>
      <c r="O978" s="6" t="s">
        <v>704</v>
      </c>
      <c r="P978" s="9" t="s">
        <v>41</v>
      </c>
      <c r="Q978" s="9" t="s">
        <v>42</v>
      </c>
      <c r="R978" s="9" t="s">
        <v>43</v>
      </c>
      <c r="S978" s="7" t="s">
        <v>760</v>
      </c>
      <c r="T978" s="9" t="s">
        <v>48</v>
      </c>
      <c r="U978" s="7">
        <v>0.57999999999999996</v>
      </c>
      <c r="V978" s="12">
        <f>C978+1</f>
        <v>40054</v>
      </c>
      <c r="W978">
        <f>IF(D978=' Pivot Tables'!$A$4,1,0)</f>
        <v>0</v>
      </c>
      <c r="X978">
        <f>IF(AND(LEFT(D978,4)+1=LEFT(' Pivot Tables'!$A$4,4)+0,RIGHT(LEFT(D978,7),2)=RIGHT(LEFT(' Pivot Tables'!$A$4,7),2)),1,0)</f>
        <v>0</v>
      </c>
      <c r="Y978" s="6">
        <f>1/COUNTIF(Таблица1[Order ID],Таблица1[[#This Row],[Order ID]])</f>
        <v>1</v>
      </c>
      <c r="Z978" s="9">
        <f>1/COUNTIFS(Таблица1[Customer Name],Таблица1[[#This Row],[Customer Name]],Таблица1[Order-Year-Month],Таблица1[[#This Row],[Order-Year-Month]])</f>
        <v>1</v>
      </c>
    </row>
    <row r="979" spans="1:26" x14ac:dyDescent="0.2">
      <c r="A979" s="6">
        <v>5315</v>
      </c>
      <c r="B979" s="7">
        <v>37798</v>
      </c>
      <c r="C979" s="8">
        <f>DATE(2012,12,31)-57</f>
        <v>41217</v>
      </c>
      <c r="D979" s="8" t="str">
        <f t="shared" si="20"/>
        <v>2012-11 (ноябрь 2012)</v>
      </c>
      <c r="E979" s="9" t="s">
        <v>30</v>
      </c>
      <c r="F979" s="7">
        <v>23</v>
      </c>
      <c r="G979" s="7">
        <v>6276.83</v>
      </c>
      <c r="H979" s="7">
        <v>0.09</v>
      </c>
      <c r="I979" s="9" t="s">
        <v>31</v>
      </c>
      <c r="J979" s="10">
        <v>813.49</v>
      </c>
      <c r="K979" s="11">
        <v>291.73</v>
      </c>
      <c r="L979" s="11">
        <v>48.8</v>
      </c>
      <c r="M979" s="9" t="s">
        <v>817</v>
      </c>
      <c r="N979" s="6" t="s">
        <v>703</v>
      </c>
      <c r="O979" s="6" t="s">
        <v>704</v>
      </c>
      <c r="P979" s="9" t="s">
        <v>33</v>
      </c>
      <c r="Q979" s="9" t="s">
        <v>49</v>
      </c>
      <c r="R979" s="9" t="s">
        <v>112</v>
      </c>
      <c r="S979" s="7" t="s">
        <v>373</v>
      </c>
      <c r="T979" s="9" t="s">
        <v>36</v>
      </c>
      <c r="U979" s="7">
        <v>0.56000000000000005</v>
      </c>
      <c r="V979" s="12">
        <f>C979+0</f>
        <v>41217</v>
      </c>
      <c r="W979">
        <f>IF(D979=' Pivot Tables'!$A$4,1,0)</f>
        <v>0</v>
      </c>
      <c r="X979">
        <f>IF(AND(LEFT(D979,4)+1=LEFT(' Pivot Tables'!$A$4,4)+0,RIGHT(LEFT(D979,7),2)=RIGHT(LEFT(' Pivot Tables'!$A$4,7),2)),1,0)</f>
        <v>0</v>
      </c>
      <c r="Y979" s="6">
        <f>1/COUNTIF(Таблица1[Order ID],Таблица1[[#This Row],[Order ID]])</f>
        <v>1</v>
      </c>
      <c r="Z979" s="9">
        <f>1/COUNTIFS(Таблица1[Customer Name],Таблица1[[#This Row],[Customer Name]],Таблица1[Order-Year-Month],Таблица1[[#This Row],[Order-Year-Month]])</f>
        <v>1</v>
      </c>
    </row>
    <row r="980" spans="1:26" x14ac:dyDescent="0.2">
      <c r="A980" s="6">
        <v>5347</v>
      </c>
      <c r="B980" s="7">
        <v>38017</v>
      </c>
      <c r="C980" s="8">
        <f>DATE(2012,12,31)-895</f>
        <v>40379</v>
      </c>
      <c r="D980" s="8" t="str">
        <f t="shared" si="20"/>
        <v>2010-07 (июль 2010)</v>
      </c>
      <c r="E980" s="9" t="s">
        <v>21</v>
      </c>
      <c r="F980" s="7">
        <v>26</v>
      </c>
      <c r="G980" s="7">
        <v>122.51</v>
      </c>
      <c r="H980" s="7">
        <v>0.06</v>
      </c>
      <c r="I980" s="9" t="s">
        <v>22</v>
      </c>
      <c r="J980" s="10">
        <v>45.14</v>
      </c>
      <c r="K980" s="11">
        <v>4.9800000000000004</v>
      </c>
      <c r="L980" s="11">
        <v>0.8</v>
      </c>
      <c r="M980" s="9" t="s">
        <v>753</v>
      </c>
      <c r="N980" s="6" t="s">
        <v>703</v>
      </c>
      <c r="O980" s="6" t="s">
        <v>704</v>
      </c>
      <c r="P980" s="9" t="s">
        <v>60</v>
      </c>
      <c r="Q980" s="9" t="s">
        <v>26</v>
      </c>
      <c r="R980" s="9" t="s">
        <v>61</v>
      </c>
      <c r="S980" s="7" t="s">
        <v>842</v>
      </c>
      <c r="T980" s="9" t="s">
        <v>68</v>
      </c>
      <c r="U980" s="7">
        <v>0.36</v>
      </c>
      <c r="V980" s="12">
        <f>C980+4</f>
        <v>40383</v>
      </c>
      <c r="W980">
        <f>IF(D980=' Pivot Tables'!$A$4,1,0)</f>
        <v>0</v>
      </c>
      <c r="X980">
        <f>IF(AND(LEFT(D980,4)+1=LEFT(' Pivot Tables'!$A$4,4)+0,RIGHT(LEFT(D980,7),2)=RIGHT(LEFT(' Pivot Tables'!$A$4,7),2)),1,0)</f>
        <v>0</v>
      </c>
      <c r="Y980" s="6">
        <f>1/COUNTIF(Таблица1[Order ID],Таблица1[[#This Row],[Order ID]])</f>
        <v>0.5</v>
      </c>
      <c r="Z980" s="9">
        <f>1/COUNTIFS(Таблица1[Customer Name],Таблица1[[#This Row],[Customer Name]],Таблица1[Order-Year-Month],Таблица1[[#This Row],[Order-Year-Month]])</f>
        <v>0.5</v>
      </c>
    </row>
    <row r="981" spans="1:26" x14ac:dyDescent="0.2">
      <c r="A981" s="6">
        <v>5348</v>
      </c>
      <c r="B981" s="7">
        <v>38017</v>
      </c>
      <c r="C981" s="8">
        <f>DATE(2012,12,31)-895</f>
        <v>40379</v>
      </c>
      <c r="D981" s="8" t="str">
        <f t="shared" si="20"/>
        <v>2010-07 (июль 2010)</v>
      </c>
      <c r="E981" s="9" t="s">
        <v>21</v>
      </c>
      <c r="F981" s="7">
        <v>27</v>
      </c>
      <c r="G981" s="7">
        <v>2846.3609999999999</v>
      </c>
      <c r="H981" s="7">
        <v>0.08</v>
      </c>
      <c r="I981" s="9" t="s">
        <v>22</v>
      </c>
      <c r="J981" s="10">
        <v>453.654</v>
      </c>
      <c r="K981" s="11">
        <v>125.99</v>
      </c>
      <c r="L981" s="11">
        <v>7.69</v>
      </c>
      <c r="M981" s="9" t="s">
        <v>753</v>
      </c>
      <c r="N981" s="6" t="s">
        <v>703</v>
      </c>
      <c r="O981" s="6" t="s">
        <v>704</v>
      </c>
      <c r="P981" s="9" t="s">
        <v>60</v>
      </c>
      <c r="Q981" s="9" t="s">
        <v>42</v>
      </c>
      <c r="R981" s="9" t="s">
        <v>43</v>
      </c>
      <c r="S981" s="7" t="s">
        <v>843</v>
      </c>
      <c r="T981" s="9" t="s">
        <v>39</v>
      </c>
      <c r="U981" s="7">
        <v>0.59</v>
      </c>
      <c r="V981" s="12">
        <f>C981+7</f>
        <v>40386</v>
      </c>
      <c r="W981">
        <f>IF(D981=' Pivot Tables'!$A$4,1,0)</f>
        <v>0</v>
      </c>
      <c r="X981">
        <f>IF(AND(LEFT(D981,4)+1=LEFT(' Pivot Tables'!$A$4,4)+0,RIGHT(LEFT(D981,7),2)=RIGHT(LEFT(' Pivot Tables'!$A$4,7),2)),1,0)</f>
        <v>0</v>
      </c>
      <c r="Y981" s="6">
        <f>1/COUNTIF(Таблица1[Order ID],Таблица1[[#This Row],[Order ID]])</f>
        <v>0.5</v>
      </c>
      <c r="Z981" s="9">
        <f>1/COUNTIFS(Таблица1[Customer Name],Таблица1[[#This Row],[Customer Name]],Таблица1[Order-Year-Month],Таблица1[[#This Row],[Order-Year-Month]])</f>
        <v>0.5</v>
      </c>
    </row>
    <row r="982" spans="1:26" x14ac:dyDescent="0.2">
      <c r="A982" s="6">
        <v>5380</v>
      </c>
      <c r="B982" s="7">
        <v>38272</v>
      </c>
      <c r="C982" s="8">
        <f>DATE(2012,12,31)-412</f>
        <v>40862</v>
      </c>
      <c r="D982" s="8" t="str">
        <f t="shared" si="20"/>
        <v>2011-11 (ноябрь 2011)</v>
      </c>
      <c r="E982" s="9" t="s">
        <v>78</v>
      </c>
      <c r="F982" s="7">
        <v>39</v>
      </c>
      <c r="G982" s="7">
        <v>71.040000000000006</v>
      </c>
      <c r="H982" s="7">
        <v>7.0000000000000007E-2</v>
      </c>
      <c r="I982" s="9" t="s">
        <v>22</v>
      </c>
      <c r="J982" s="10">
        <v>-20.654</v>
      </c>
      <c r="K982" s="11">
        <v>1.88</v>
      </c>
      <c r="L982" s="11">
        <v>1.49</v>
      </c>
      <c r="M982" s="9" t="s">
        <v>826</v>
      </c>
      <c r="N982" s="6" t="s">
        <v>703</v>
      </c>
      <c r="O982" s="6" t="s">
        <v>704</v>
      </c>
      <c r="P982" s="9" t="s">
        <v>41</v>
      </c>
      <c r="Q982" s="9" t="s">
        <v>26</v>
      </c>
      <c r="R982" s="9" t="s">
        <v>37</v>
      </c>
      <c r="S982" s="7" t="s">
        <v>172</v>
      </c>
      <c r="T982" s="9" t="s">
        <v>39</v>
      </c>
      <c r="U982" s="7">
        <v>0.37</v>
      </c>
      <c r="V982" s="12">
        <f>C982+2</f>
        <v>40864</v>
      </c>
      <c r="W982">
        <f>IF(D982=' Pivot Tables'!$A$4,1,0)</f>
        <v>0</v>
      </c>
      <c r="X982">
        <f>IF(AND(LEFT(D982,4)+1=LEFT(' Pivot Tables'!$A$4,4)+0,RIGHT(LEFT(D982,7),2)=RIGHT(LEFT(' Pivot Tables'!$A$4,7),2)),1,0)</f>
        <v>0</v>
      </c>
      <c r="Y982" s="6">
        <f>1/COUNTIF(Таблица1[Order ID],Таблица1[[#This Row],[Order ID]])</f>
        <v>1</v>
      </c>
      <c r="Z982" s="9">
        <f>1/COUNTIFS(Таблица1[Customer Name],Таблица1[[#This Row],[Customer Name]],Таблица1[Order-Year-Month],Таблица1[[#This Row],[Order-Year-Month]])</f>
        <v>0.2</v>
      </c>
    </row>
    <row r="983" spans="1:26" x14ac:dyDescent="0.2">
      <c r="A983" s="6">
        <v>5551</v>
      </c>
      <c r="B983" s="7">
        <v>39301</v>
      </c>
      <c r="C983" s="8">
        <f>DATE(2012,12,31)-1380</f>
        <v>39894</v>
      </c>
      <c r="D983" s="8" t="str">
        <f t="shared" si="20"/>
        <v>2009-03 (март 2009)</v>
      </c>
      <c r="E983" s="9" t="s">
        <v>63</v>
      </c>
      <c r="F983" s="7">
        <v>16</v>
      </c>
      <c r="G983" s="7">
        <v>2232.66</v>
      </c>
      <c r="H983" s="7">
        <v>0.1</v>
      </c>
      <c r="I983" s="9" t="s">
        <v>56</v>
      </c>
      <c r="J983" s="10">
        <v>-521.09</v>
      </c>
      <c r="K983" s="11">
        <v>152.47999999999999</v>
      </c>
      <c r="L983" s="11">
        <v>4</v>
      </c>
      <c r="M983" s="9" t="s">
        <v>808</v>
      </c>
      <c r="N983" s="6" t="s">
        <v>703</v>
      </c>
      <c r="O983" s="6" t="s">
        <v>704</v>
      </c>
      <c r="P983" s="9" t="s">
        <v>41</v>
      </c>
      <c r="Q983" s="9" t="s">
        <v>42</v>
      </c>
      <c r="R983" s="9" t="s">
        <v>70</v>
      </c>
      <c r="S983" s="7" t="s">
        <v>844</v>
      </c>
      <c r="T983" s="9" t="s">
        <v>39</v>
      </c>
      <c r="U983" s="7">
        <v>0.79</v>
      </c>
      <c r="V983" s="12">
        <f>C983+1</f>
        <v>39895</v>
      </c>
      <c r="W983">
        <f>IF(D983=' Pivot Tables'!$A$4,1,0)</f>
        <v>0</v>
      </c>
      <c r="X983">
        <f>IF(AND(LEFT(D983,4)+1=LEFT(' Pivot Tables'!$A$4,4)+0,RIGHT(LEFT(D983,7),2)=RIGHT(LEFT(' Pivot Tables'!$A$4,7),2)),1,0)</f>
        <v>0</v>
      </c>
      <c r="Y983" s="6">
        <f>1/COUNTIF(Таблица1[Order ID],Таблица1[[#This Row],[Order ID]])</f>
        <v>0.5</v>
      </c>
      <c r="Z983" s="9">
        <f>1/COUNTIFS(Таблица1[Customer Name],Таблица1[[#This Row],[Customer Name]],Таблица1[Order-Year-Month],Таблица1[[#This Row],[Order-Year-Month]])</f>
        <v>0.5</v>
      </c>
    </row>
    <row r="984" spans="1:26" x14ac:dyDescent="0.2">
      <c r="A984" s="6">
        <v>5562</v>
      </c>
      <c r="B984" s="7">
        <v>39367</v>
      </c>
      <c r="C984" s="8">
        <f>DATE(2012,12,31)-1243</f>
        <v>40031</v>
      </c>
      <c r="D984" s="8" t="str">
        <f t="shared" si="20"/>
        <v>2009-08 (август 2009)</v>
      </c>
      <c r="E984" s="9" t="s">
        <v>78</v>
      </c>
      <c r="F984" s="7">
        <v>45</v>
      </c>
      <c r="G984" s="7">
        <v>177.88</v>
      </c>
      <c r="H984" s="7">
        <v>7.0000000000000007E-2</v>
      </c>
      <c r="I984" s="9" t="s">
        <v>22</v>
      </c>
      <c r="J984" s="10">
        <v>-146.97</v>
      </c>
      <c r="K984" s="11">
        <v>4.13</v>
      </c>
      <c r="L984" s="11">
        <v>5.04</v>
      </c>
      <c r="M984" s="9" t="s">
        <v>818</v>
      </c>
      <c r="N984" s="6" t="s">
        <v>703</v>
      </c>
      <c r="O984" s="6" t="s">
        <v>704</v>
      </c>
      <c r="P984" s="9" t="s">
        <v>25</v>
      </c>
      <c r="Q984" s="9" t="s">
        <v>26</v>
      </c>
      <c r="R984" s="9" t="s">
        <v>37</v>
      </c>
      <c r="S984" s="7" t="s">
        <v>434</v>
      </c>
      <c r="T984" s="9" t="s">
        <v>39</v>
      </c>
      <c r="U984" s="7">
        <v>0.38</v>
      </c>
      <c r="V984" s="12">
        <f>C984+1</f>
        <v>40032</v>
      </c>
      <c r="W984">
        <f>IF(D984=' Pivot Tables'!$A$4,1,0)</f>
        <v>0</v>
      </c>
      <c r="X984">
        <f>IF(AND(LEFT(D984,4)+1=LEFT(' Pivot Tables'!$A$4,4)+0,RIGHT(LEFT(D984,7),2)=RIGHT(LEFT(' Pivot Tables'!$A$4,7),2)),1,0)</f>
        <v>0</v>
      </c>
      <c r="Y984" s="6">
        <f>1/COUNTIF(Таблица1[Order ID],Таблица1[[#This Row],[Order ID]])</f>
        <v>0.5</v>
      </c>
      <c r="Z984" s="9">
        <f>1/COUNTIFS(Таблица1[Customer Name],Таблица1[[#This Row],[Customer Name]],Таблица1[Order-Year-Month],Таблица1[[#This Row],[Order-Year-Month]])</f>
        <v>0.5</v>
      </c>
    </row>
    <row r="985" spans="1:26" x14ac:dyDescent="0.2">
      <c r="A985" s="6">
        <v>5563</v>
      </c>
      <c r="B985" s="7">
        <v>39367</v>
      </c>
      <c r="C985" s="8">
        <f>DATE(2012,12,31)-1243</f>
        <v>40031</v>
      </c>
      <c r="D985" s="8" t="str">
        <f t="shared" si="20"/>
        <v>2009-08 (август 2009)</v>
      </c>
      <c r="E985" s="9" t="s">
        <v>78</v>
      </c>
      <c r="F985" s="7">
        <v>30</v>
      </c>
      <c r="G985" s="7">
        <v>139.59</v>
      </c>
      <c r="H985" s="7">
        <v>0</v>
      </c>
      <c r="I985" s="9" t="s">
        <v>22</v>
      </c>
      <c r="J985" s="10">
        <v>5.9</v>
      </c>
      <c r="K985" s="11">
        <v>4.4800000000000004</v>
      </c>
      <c r="L985" s="11">
        <v>2.5</v>
      </c>
      <c r="M985" s="9" t="s">
        <v>818</v>
      </c>
      <c r="N985" s="6" t="s">
        <v>703</v>
      </c>
      <c r="O985" s="6" t="s">
        <v>704</v>
      </c>
      <c r="P985" s="9" t="s">
        <v>25</v>
      </c>
      <c r="Q985" s="9" t="s">
        <v>26</v>
      </c>
      <c r="R985" s="9" t="s">
        <v>76</v>
      </c>
      <c r="S985" s="7" t="s">
        <v>845</v>
      </c>
      <c r="T985" s="9" t="s">
        <v>39</v>
      </c>
      <c r="U985" s="7">
        <v>0.37</v>
      </c>
      <c r="V985" s="12">
        <f>C985+2</f>
        <v>40033</v>
      </c>
      <c r="W985">
        <f>IF(D985=' Pivot Tables'!$A$4,1,0)</f>
        <v>0</v>
      </c>
      <c r="X985">
        <f>IF(AND(LEFT(D985,4)+1=LEFT(' Pivot Tables'!$A$4,4)+0,RIGHT(LEFT(D985,7),2)=RIGHT(LEFT(' Pivot Tables'!$A$4,7),2)),1,0)</f>
        <v>0</v>
      </c>
      <c r="Y985" s="6">
        <f>1/COUNTIF(Таблица1[Order ID],Таблица1[[#This Row],[Order ID]])</f>
        <v>0.5</v>
      </c>
      <c r="Z985" s="9">
        <f>1/COUNTIFS(Таблица1[Customer Name],Таблица1[[#This Row],[Customer Name]],Таблица1[Order-Year-Month],Таблица1[[#This Row],[Order-Year-Month]])</f>
        <v>0.5</v>
      </c>
    </row>
    <row r="986" spans="1:26" x14ac:dyDescent="0.2">
      <c r="A986" s="6">
        <v>5596</v>
      </c>
      <c r="B986" s="7">
        <v>39655</v>
      </c>
      <c r="C986" s="8">
        <f>DATE(2012,12,31)-283</f>
        <v>40991</v>
      </c>
      <c r="D986" s="8" t="str">
        <f t="shared" si="20"/>
        <v>2012-03 (март 2012)</v>
      </c>
      <c r="E986" s="9" t="s">
        <v>30</v>
      </c>
      <c r="F986" s="7">
        <v>35</v>
      </c>
      <c r="G986" s="7">
        <v>253.15</v>
      </c>
      <c r="H986" s="7">
        <v>0.03</v>
      </c>
      <c r="I986" s="9" t="s">
        <v>22</v>
      </c>
      <c r="J986" s="10">
        <v>-72.430000000000007</v>
      </c>
      <c r="K986" s="11">
        <v>7.28</v>
      </c>
      <c r="L986" s="11">
        <v>3.52</v>
      </c>
      <c r="M986" s="9" t="s">
        <v>347</v>
      </c>
      <c r="N986" s="6" t="s">
        <v>703</v>
      </c>
      <c r="O986" s="6" t="s">
        <v>704</v>
      </c>
      <c r="P986" s="9" t="s">
        <v>41</v>
      </c>
      <c r="Q986" s="9" t="s">
        <v>42</v>
      </c>
      <c r="R986" s="9" t="s">
        <v>70</v>
      </c>
      <c r="S986" s="7" t="s">
        <v>735</v>
      </c>
      <c r="T986" s="9" t="s">
        <v>52</v>
      </c>
      <c r="U986" s="7">
        <v>0.68</v>
      </c>
      <c r="V986" s="12">
        <f>C986+0</f>
        <v>40991</v>
      </c>
      <c r="W986">
        <f>IF(D986=' Pivot Tables'!$A$4,1,0)</f>
        <v>0</v>
      </c>
      <c r="X986">
        <f>IF(AND(LEFT(D986,4)+1=LEFT(' Pivot Tables'!$A$4,4)+0,RIGHT(LEFT(D986,7),2)=RIGHT(LEFT(' Pivot Tables'!$A$4,7),2)),1,0)</f>
        <v>0</v>
      </c>
      <c r="Y986" s="6">
        <f>1/COUNTIF(Таблица1[Order ID],Таблица1[[#This Row],[Order ID]])</f>
        <v>1</v>
      </c>
      <c r="Z986" s="9">
        <f>1/COUNTIFS(Таблица1[Customer Name],Таблица1[[#This Row],[Customer Name]],Таблица1[Order-Year-Month],Таблица1[[#This Row],[Order-Year-Month]])</f>
        <v>1</v>
      </c>
    </row>
    <row r="987" spans="1:26" x14ac:dyDescent="0.2">
      <c r="A987" s="6">
        <v>5744</v>
      </c>
      <c r="B987" s="7">
        <v>40803</v>
      </c>
      <c r="C987" s="8">
        <f>DATE(2012,12,31)-628</f>
        <v>40646</v>
      </c>
      <c r="D987" s="8" t="str">
        <f t="shared" si="20"/>
        <v>2011-04 (апрель 2011)</v>
      </c>
      <c r="E987" s="9" t="s">
        <v>21</v>
      </c>
      <c r="F987" s="7">
        <v>22</v>
      </c>
      <c r="G987" s="7">
        <v>83.02</v>
      </c>
      <c r="H987" s="7">
        <v>0.08</v>
      </c>
      <c r="I987" s="9" t="s">
        <v>22</v>
      </c>
      <c r="J987" s="10">
        <v>9.2394999999999996</v>
      </c>
      <c r="K987" s="11">
        <v>3.8</v>
      </c>
      <c r="L987" s="11">
        <v>1.49</v>
      </c>
      <c r="M987" s="9" t="s">
        <v>830</v>
      </c>
      <c r="N987" s="6" t="s">
        <v>703</v>
      </c>
      <c r="O987" s="6" t="s">
        <v>704</v>
      </c>
      <c r="P987" s="9" t="s">
        <v>25</v>
      </c>
      <c r="Q987" s="9" t="s">
        <v>26</v>
      </c>
      <c r="R987" s="9" t="s">
        <v>37</v>
      </c>
      <c r="S987" s="7" t="s">
        <v>269</v>
      </c>
      <c r="T987" s="9" t="s">
        <v>39</v>
      </c>
      <c r="U987" s="7">
        <v>0.38</v>
      </c>
      <c r="V987" s="12">
        <f>C987+5</f>
        <v>40651</v>
      </c>
      <c r="W987">
        <f>IF(D987=' Pivot Tables'!$A$4,1,0)</f>
        <v>0</v>
      </c>
      <c r="X987">
        <f>IF(AND(LEFT(D987,4)+1=LEFT(' Pivot Tables'!$A$4,4)+0,RIGHT(LEFT(D987,7),2)=RIGHT(LEFT(' Pivot Tables'!$A$4,7),2)),1,0)</f>
        <v>0</v>
      </c>
      <c r="Y987" s="6">
        <f>1/COUNTIF(Таблица1[Order ID],Таблица1[[#This Row],[Order ID]])</f>
        <v>0.5</v>
      </c>
      <c r="Z987" s="9">
        <f>1/COUNTIFS(Таблица1[Customer Name],Таблица1[[#This Row],[Customer Name]],Таблица1[Order-Year-Month],Таблица1[[#This Row],[Order-Year-Month]])</f>
        <v>0.33333333333333331</v>
      </c>
    </row>
    <row r="988" spans="1:26" x14ac:dyDescent="0.2">
      <c r="A988" s="6">
        <v>5745</v>
      </c>
      <c r="B988" s="7">
        <v>40803</v>
      </c>
      <c r="C988" s="8">
        <f>DATE(2012,12,31)-628</f>
        <v>40646</v>
      </c>
      <c r="D988" s="8" t="str">
        <f t="shared" si="20"/>
        <v>2011-04 (апрель 2011)</v>
      </c>
      <c r="E988" s="9" t="s">
        <v>21</v>
      </c>
      <c r="F988" s="7">
        <v>35</v>
      </c>
      <c r="G988" s="7">
        <v>10278.790000000001</v>
      </c>
      <c r="H988" s="7">
        <v>0.04</v>
      </c>
      <c r="I988" s="9" t="s">
        <v>31</v>
      </c>
      <c r="J988" s="10">
        <v>1512.07</v>
      </c>
      <c r="K988" s="11">
        <v>300.98</v>
      </c>
      <c r="L988" s="11">
        <v>64.73</v>
      </c>
      <c r="M988" s="9" t="s">
        <v>830</v>
      </c>
      <c r="N988" s="6" t="s">
        <v>703</v>
      </c>
      <c r="O988" s="6" t="s">
        <v>704</v>
      </c>
      <c r="P988" s="9" t="s">
        <v>25</v>
      </c>
      <c r="Q988" s="9" t="s">
        <v>49</v>
      </c>
      <c r="R988" s="9" t="s">
        <v>112</v>
      </c>
      <c r="S988" s="7" t="s">
        <v>168</v>
      </c>
      <c r="T988" s="9" t="s">
        <v>36</v>
      </c>
      <c r="U988" s="7">
        <v>0.56000000000000005</v>
      </c>
      <c r="V988" s="12">
        <f>C988+2</f>
        <v>40648</v>
      </c>
      <c r="W988">
        <f>IF(D988=' Pivot Tables'!$A$4,1,0)</f>
        <v>0</v>
      </c>
      <c r="X988">
        <f>IF(AND(LEFT(D988,4)+1=LEFT(' Pivot Tables'!$A$4,4)+0,RIGHT(LEFT(D988,7),2)=RIGHT(LEFT(' Pivot Tables'!$A$4,7),2)),1,0)</f>
        <v>0</v>
      </c>
      <c r="Y988" s="6">
        <f>1/COUNTIF(Таблица1[Order ID],Таблица1[[#This Row],[Order ID]])</f>
        <v>0.5</v>
      </c>
      <c r="Z988" s="9">
        <f>1/COUNTIFS(Таблица1[Customer Name],Таблица1[[#This Row],[Customer Name]],Таблица1[Order-Year-Month],Таблица1[[#This Row],[Order-Year-Month]])</f>
        <v>0.33333333333333331</v>
      </c>
    </row>
    <row r="989" spans="1:26" x14ac:dyDescent="0.2">
      <c r="A989" s="6">
        <v>5747</v>
      </c>
      <c r="B989" s="7">
        <v>40806</v>
      </c>
      <c r="C989" s="8">
        <f>DATE(2012,12,31)-482</f>
        <v>40792</v>
      </c>
      <c r="D989" s="8" t="str">
        <f t="shared" si="20"/>
        <v>2011-09 (сентябрь 2011)</v>
      </c>
      <c r="E989" s="9" t="s">
        <v>78</v>
      </c>
      <c r="F989" s="7">
        <v>8</v>
      </c>
      <c r="G989" s="7">
        <v>53.14</v>
      </c>
      <c r="H989" s="7">
        <v>0</v>
      </c>
      <c r="I989" s="9" t="s">
        <v>22</v>
      </c>
      <c r="J989" s="10">
        <v>-41.262</v>
      </c>
      <c r="K989" s="11">
        <v>5.4</v>
      </c>
      <c r="L989" s="11">
        <v>7.78</v>
      </c>
      <c r="M989" s="9" t="s">
        <v>806</v>
      </c>
      <c r="N989" s="6" t="s">
        <v>703</v>
      </c>
      <c r="O989" s="6" t="s">
        <v>704</v>
      </c>
      <c r="P989" s="9" t="s">
        <v>25</v>
      </c>
      <c r="Q989" s="9" t="s">
        <v>26</v>
      </c>
      <c r="R989" s="9" t="s">
        <v>37</v>
      </c>
      <c r="S989" s="7" t="s">
        <v>330</v>
      </c>
      <c r="T989" s="9" t="s">
        <v>39</v>
      </c>
      <c r="U989" s="7">
        <v>0.37</v>
      </c>
      <c r="V989" s="12">
        <f>C989+1</f>
        <v>40793</v>
      </c>
      <c r="W989">
        <f>IF(D989=' Pivot Tables'!$A$4,1,0)</f>
        <v>0</v>
      </c>
      <c r="X989">
        <f>IF(AND(LEFT(D989,4)+1=LEFT(' Pivot Tables'!$A$4,4)+0,RIGHT(LEFT(D989,7),2)=RIGHT(LEFT(' Pivot Tables'!$A$4,7),2)),1,0)</f>
        <v>0</v>
      </c>
      <c r="Y989" s="6">
        <f>1/COUNTIF(Таблица1[Order ID],Таблица1[[#This Row],[Order ID]])</f>
        <v>1</v>
      </c>
      <c r="Z989" s="9">
        <f>1/COUNTIFS(Таблица1[Customer Name],Таблица1[[#This Row],[Customer Name]],Таблица1[Order-Year-Month],Таблица1[[#This Row],[Order-Year-Month]])</f>
        <v>1</v>
      </c>
    </row>
    <row r="990" spans="1:26" x14ac:dyDescent="0.2">
      <c r="A990" s="6">
        <v>6147</v>
      </c>
      <c r="B990" s="7">
        <v>43523</v>
      </c>
      <c r="C990" s="8">
        <f>DATE(2012,12,31)-222</f>
        <v>41052</v>
      </c>
      <c r="D990" s="8" t="str">
        <f t="shared" si="20"/>
        <v>2012-05 (май 2012)</v>
      </c>
      <c r="E990" s="9" t="s">
        <v>63</v>
      </c>
      <c r="F990" s="7">
        <v>50</v>
      </c>
      <c r="G990" s="7">
        <v>295.37</v>
      </c>
      <c r="H990" s="7">
        <v>0.04</v>
      </c>
      <c r="I990" s="9" t="s">
        <v>22</v>
      </c>
      <c r="J990" s="10">
        <v>-97.23</v>
      </c>
      <c r="K990" s="11">
        <v>5.98</v>
      </c>
      <c r="L990" s="11">
        <v>5.46</v>
      </c>
      <c r="M990" s="9" t="s">
        <v>803</v>
      </c>
      <c r="N990" s="6" t="s">
        <v>703</v>
      </c>
      <c r="O990" s="6" t="s">
        <v>704</v>
      </c>
      <c r="P990" s="9" t="s">
        <v>25</v>
      </c>
      <c r="Q990" s="9" t="s">
        <v>26</v>
      </c>
      <c r="R990" s="9" t="s">
        <v>61</v>
      </c>
      <c r="S990" s="7" t="s">
        <v>751</v>
      </c>
      <c r="T990" s="9" t="s">
        <v>39</v>
      </c>
      <c r="U990" s="7">
        <v>0.36</v>
      </c>
      <c r="V990" s="12">
        <f>C990+2</f>
        <v>41054</v>
      </c>
      <c r="W990">
        <f>IF(D990=' Pivot Tables'!$A$4,1,0)</f>
        <v>0</v>
      </c>
      <c r="X990">
        <f>IF(AND(LEFT(D990,4)+1=LEFT(' Pivot Tables'!$A$4,4)+0,RIGHT(LEFT(D990,7),2)=RIGHT(LEFT(' Pivot Tables'!$A$4,7),2)),1,0)</f>
        <v>0</v>
      </c>
      <c r="Y990" s="6">
        <f>1/COUNTIF(Таблица1[Order ID],Таблица1[[#This Row],[Order ID]])</f>
        <v>1</v>
      </c>
      <c r="Z990" s="9">
        <f>1/COUNTIFS(Таблица1[Customer Name],Таблица1[[#This Row],[Customer Name]],Таблица1[Order-Year-Month],Таблица1[[#This Row],[Order-Year-Month]])</f>
        <v>1</v>
      </c>
    </row>
    <row r="991" spans="1:26" x14ac:dyDescent="0.2">
      <c r="A991" s="6">
        <v>6239</v>
      </c>
      <c r="B991" s="7">
        <v>44199</v>
      </c>
      <c r="C991" s="8">
        <f>DATE(2012,12,31)-302</f>
        <v>40972</v>
      </c>
      <c r="D991" s="8" t="str">
        <f t="shared" si="20"/>
        <v>2012-03 (март 2012)</v>
      </c>
      <c r="E991" s="9" t="s">
        <v>21</v>
      </c>
      <c r="F991" s="7">
        <v>12</v>
      </c>
      <c r="G991" s="7">
        <v>50.69</v>
      </c>
      <c r="H991" s="7">
        <v>0.04</v>
      </c>
      <c r="I991" s="9" t="s">
        <v>22</v>
      </c>
      <c r="J991" s="10">
        <v>-6.33</v>
      </c>
      <c r="K991" s="11">
        <v>3.95</v>
      </c>
      <c r="L991" s="11">
        <v>2</v>
      </c>
      <c r="M991" s="9" t="s">
        <v>753</v>
      </c>
      <c r="N991" s="6" t="s">
        <v>703</v>
      </c>
      <c r="O991" s="6" t="s">
        <v>704</v>
      </c>
      <c r="P991" s="9" t="s">
        <v>60</v>
      </c>
      <c r="Q991" s="9" t="s">
        <v>26</v>
      </c>
      <c r="R991" s="9" t="s">
        <v>66</v>
      </c>
      <c r="S991" s="7" t="s">
        <v>67</v>
      </c>
      <c r="T991" s="9" t="s">
        <v>68</v>
      </c>
      <c r="U991" s="7">
        <v>0.53</v>
      </c>
      <c r="V991" s="12">
        <f>C991+4</f>
        <v>40976</v>
      </c>
      <c r="W991">
        <f>IF(D991=' Pivot Tables'!$A$4,1,0)</f>
        <v>0</v>
      </c>
      <c r="X991">
        <f>IF(AND(LEFT(D991,4)+1=LEFT(' Pivot Tables'!$A$4,4)+0,RIGHT(LEFT(D991,7),2)=RIGHT(LEFT(' Pivot Tables'!$A$4,7),2)),1,0)</f>
        <v>0</v>
      </c>
      <c r="Y991" s="6">
        <f>1/COUNTIF(Таблица1[Order ID],Таблица1[[#This Row],[Order ID]])</f>
        <v>1</v>
      </c>
      <c r="Z991" s="9">
        <f>1/COUNTIFS(Таблица1[Customer Name],Таблица1[[#This Row],[Customer Name]],Таблица1[Order-Year-Month],Таблица1[[#This Row],[Order-Year-Month]])</f>
        <v>1</v>
      </c>
    </row>
    <row r="992" spans="1:26" x14ac:dyDescent="0.2">
      <c r="A992" s="6">
        <v>6243</v>
      </c>
      <c r="B992" s="7">
        <v>44231</v>
      </c>
      <c r="C992" s="8">
        <f>DATE(2012,12,31)-1154</f>
        <v>40120</v>
      </c>
      <c r="D992" s="8" t="str">
        <f t="shared" si="20"/>
        <v>2009-11 (ноябрь 2009)</v>
      </c>
      <c r="E992" s="9" t="s">
        <v>45</v>
      </c>
      <c r="F992" s="7">
        <v>11</v>
      </c>
      <c r="G992" s="7">
        <v>1865.94</v>
      </c>
      <c r="H992" s="7">
        <v>0.04</v>
      </c>
      <c r="I992" s="9" t="s">
        <v>31</v>
      </c>
      <c r="J992" s="10">
        <v>116.1</v>
      </c>
      <c r="K992" s="11">
        <v>160.97999999999999</v>
      </c>
      <c r="L992" s="11">
        <v>30</v>
      </c>
      <c r="M992" s="9" t="s">
        <v>799</v>
      </c>
      <c r="N992" s="6" t="s">
        <v>703</v>
      </c>
      <c r="O992" s="6" t="s">
        <v>704</v>
      </c>
      <c r="P992" s="9" t="s">
        <v>60</v>
      </c>
      <c r="Q992" s="9" t="s">
        <v>49</v>
      </c>
      <c r="R992" s="9" t="s">
        <v>112</v>
      </c>
      <c r="S992" s="7" t="s">
        <v>746</v>
      </c>
      <c r="T992" s="9" t="s">
        <v>36</v>
      </c>
      <c r="U992" s="7">
        <v>0.62</v>
      </c>
      <c r="V992" s="12">
        <f>C992+2</f>
        <v>40122</v>
      </c>
      <c r="W992">
        <f>IF(D992=' Pivot Tables'!$A$4,1,0)</f>
        <v>0</v>
      </c>
      <c r="X992">
        <f>IF(AND(LEFT(D992,4)+1=LEFT(' Pivot Tables'!$A$4,4)+0,RIGHT(LEFT(D992,7),2)=RIGHT(LEFT(' Pivot Tables'!$A$4,7),2)),1,0)</f>
        <v>0</v>
      </c>
      <c r="Y992" s="6">
        <f>1/COUNTIF(Таблица1[Order ID],Таблица1[[#This Row],[Order ID]])</f>
        <v>0.33333333333333331</v>
      </c>
      <c r="Z992" s="9">
        <f>1/COUNTIFS(Таблица1[Customer Name],Таблица1[[#This Row],[Customer Name]],Таблица1[Order-Year-Month],Таблица1[[#This Row],[Order-Year-Month]])</f>
        <v>0.33333333333333331</v>
      </c>
    </row>
    <row r="993" spans="1:26" x14ac:dyDescent="0.2">
      <c r="A993" s="6">
        <v>6244</v>
      </c>
      <c r="B993" s="7">
        <v>44231</v>
      </c>
      <c r="C993" s="8">
        <f>DATE(2012,12,31)-1154</f>
        <v>40120</v>
      </c>
      <c r="D993" s="8" t="str">
        <f t="shared" si="20"/>
        <v>2009-11 (ноябрь 2009)</v>
      </c>
      <c r="E993" s="9" t="s">
        <v>45</v>
      </c>
      <c r="F993" s="7">
        <v>43</v>
      </c>
      <c r="G993" s="7">
        <v>784.72</v>
      </c>
      <c r="H993" s="7">
        <v>0.01</v>
      </c>
      <c r="I993" s="9" t="s">
        <v>22</v>
      </c>
      <c r="J993" s="10">
        <v>-87.96</v>
      </c>
      <c r="K993" s="11">
        <v>17.98</v>
      </c>
      <c r="L993" s="11">
        <v>4</v>
      </c>
      <c r="M993" s="9" t="s">
        <v>799</v>
      </c>
      <c r="N993" s="6" t="s">
        <v>703</v>
      </c>
      <c r="O993" s="6" t="s">
        <v>704</v>
      </c>
      <c r="P993" s="9" t="s">
        <v>60</v>
      </c>
      <c r="Q993" s="9" t="s">
        <v>42</v>
      </c>
      <c r="R993" s="9" t="s">
        <v>70</v>
      </c>
      <c r="S993" s="7" t="s">
        <v>846</v>
      </c>
      <c r="T993" s="9" t="s">
        <v>39</v>
      </c>
      <c r="U993" s="7">
        <v>0.79</v>
      </c>
      <c r="V993" s="12">
        <f>C993+2</f>
        <v>40122</v>
      </c>
      <c r="W993">
        <f>IF(D993=' Pivot Tables'!$A$4,1,0)</f>
        <v>0</v>
      </c>
      <c r="X993">
        <f>IF(AND(LEFT(D993,4)+1=LEFT(' Pivot Tables'!$A$4,4)+0,RIGHT(LEFT(D993,7),2)=RIGHT(LEFT(' Pivot Tables'!$A$4,7),2)),1,0)</f>
        <v>0</v>
      </c>
      <c r="Y993" s="6">
        <f>1/COUNTIF(Таблица1[Order ID],Таблица1[[#This Row],[Order ID]])</f>
        <v>0.33333333333333331</v>
      </c>
      <c r="Z993" s="9">
        <f>1/COUNTIFS(Таблица1[Customer Name],Таблица1[[#This Row],[Customer Name]],Таблица1[Order-Year-Month],Таблица1[[#This Row],[Order-Year-Month]])</f>
        <v>0.33333333333333331</v>
      </c>
    </row>
    <row r="994" spans="1:26" x14ac:dyDescent="0.2">
      <c r="A994" s="6">
        <v>6245</v>
      </c>
      <c r="B994" s="7">
        <v>44231</v>
      </c>
      <c r="C994" s="8">
        <f>DATE(2012,12,31)-1154</f>
        <v>40120</v>
      </c>
      <c r="D994" s="8" t="str">
        <f t="shared" si="20"/>
        <v>2009-11 (ноябрь 2009)</v>
      </c>
      <c r="E994" s="9" t="s">
        <v>45</v>
      </c>
      <c r="F994" s="7">
        <v>24</v>
      </c>
      <c r="G994" s="7">
        <v>2343.076</v>
      </c>
      <c r="H994" s="7">
        <v>0.06</v>
      </c>
      <c r="I994" s="9" t="s">
        <v>22</v>
      </c>
      <c r="J994" s="10">
        <v>311.64299999999997</v>
      </c>
      <c r="K994" s="11">
        <v>115.99</v>
      </c>
      <c r="L994" s="11">
        <v>8.99</v>
      </c>
      <c r="M994" s="9" t="s">
        <v>799</v>
      </c>
      <c r="N994" s="6" t="s">
        <v>703</v>
      </c>
      <c r="O994" s="6" t="s">
        <v>704</v>
      </c>
      <c r="P994" s="9" t="s">
        <v>60</v>
      </c>
      <c r="Q994" s="9" t="s">
        <v>42</v>
      </c>
      <c r="R994" s="9" t="s">
        <v>43</v>
      </c>
      <c r="S994" s="7" t="s">
        <v>847</v>
      </c>
      <c r="T994" s="9" t="s">
        <v>39</v>
      </c>
      <c r="U994" s="7">
        <v>0.57999999999999996</v>
      </c>
      <c r="V994" s="12">
        <f>C994+1</f>
        <v>40121</v>
      </c>
      <c r="W994">
        <f>IF(D994=' Pivot Tables'!$A$4,1,0)</f>
        <v>0</v>
      </c>
      <c r="X994">
        <f>IF(AND(LEFT(D994,4)+1=LEFT(' Pivot Tables'!$A$4,4)+0,RIGHT(LEFT(D994,7),2)=RIGHT(LEFT(' Pivot Tables'!$A$4,7),2)),1,0)</f>
        <v>0</v>
      </c>
      <c r="Y994" s="6">
        <f>1/COUNTIF(Таблица1[Order ID],Таблица1[[#This Row],[Order ID]])</f>
        <v>0.33333333333333331</v>
      </c>
      <c r="Z994" s="9">
        <f>1/COUNTIFS(Таблица1[Customer Name],Таблица1[[#This Row],[Customer Name]],Таблица1[Order-Year-Month],Таблица1[[#This Row],[Order-Year-Month]])</f>
        <v>0.33333333333333331</v>
      </c>
    </row>
    <row r="995" spans="1:26" x14ac:dyDescent="0.2">
      <c r="A995" s="6">
        <v>6415</v>
      </c>
      <c r="B995" s="7">
        <v>45573</v>
      </c>
      <c r="C995" s="8">
        <f>DATE(2012,12,31)-1237</f>
        <v>40037</v>
      </c>
      <c r="D995" s="8" t="str">
        <f t="shared" si="20"/>
        <v>2009-08 (август 2009)</v>
      </c>
      <c r="E995" s="9" t="s">
        <v>30</v>
      </c>
      <c r="F995" s="7">
        <v>5</v>
      </c>
      <c r="G995" s="7">
        <v>627.64</v>
      </c>
      <c r="H995" s="7">
        <v>0.05</v>
      </c>
      <c r="I995" s="9" t="s">
        <v>31</v>
      </c>
      <c r="J995" s="10">
        <v>-151.46</v>
      </c>
      <c r="K995" s="11">
        <v>120.98</v>
      </c>
      <c r="L995" s="11">
        <v>30</v>
      </c>
      <c r="M995" s="9" t="s">
        <v>795</v>
      </c>
      <c r="N995" s="6" t="s">
        <v>703</v>
      </c>
      <c r="O995" s="6" t="s">
        <v>704</v>
      </c>
      <c r="P995" s="9" t="s">
        <v>25</v>
      </c>
      <c r="Q995" s="9" t="s">
        <v>49</v>
      </c>
      <c r="R995" s="9" t="s">
        <v>112</v>
      </c>
      <c r="S995" s="7" t="s">
        <v>116</v>
      </c>
      <c r="T995" s="9" t="s">
        <v>36</v>
      </c>
      <c r="U995" s="7">
        <v>0.64</v>
      </c>
      <c r="V995" s="12">
        <f>C995+2</f>
        <v>40039</v>
      </c>
      <c r="W995">
        <f>IF(D995=' Pivot Tables'!$A$4,1,0)</f>
        <v>0</v>
      </c>
      <c r="X995">
        <f>IF(AND(LEFT(D995,4)+1=LEFT(' Pivot Tables'!$A$4,4)+0,RIGHT(LEFT(D995,7),2)=RIGHT(LEFT(' Pivot Tables'!$A$4,7),2)),1,0)</f>
        <v>0</v>
      </c>
      <c r="Y995" s="6">
        <f>1/COUNTIF(Таблица1[Order ID],Таблица1[[#This Row],[Order ID]])</f>
        <v>1</v>
      </c>
      <c r="Z995" s="9">
        <f>1/COUNTIFS(Таблица1[Customer Name],Таблица1[[#This Row],[Customer Name]],Таблица1[Order-Year-Month],Таблица1[[#This Row],[Order-Year-Month]])</f>
        <v>1</v>
      </c>
    </row>
    <row r="996" spans="1:26" x14ac:dyDescent="0.2">
      <c r="A996" s="6">
        <v>6438</v>
      </c>
      <c r="B996" s="7">
        <v>45763</v>
      </c>
      <c r="C996" s="8">
        <f>DATE(2012,12,31)-908</f>
        <v>40366</v>
      </c>
      <c r="D996" s="8" t="str">
        <f t="shared" si="20"/>
        <v>2010-07 (июль 2010)</v>
      </c>
      <c r="E996" s="9" t="s">
        <v>30</v>
      </c>
      <c r="F996" s="7">
        <v>25</v>
      </c>
      <c r="G996" s="7">
        <v>67.45</v>
      </c>
      <c r="H996" s="7">
        <v>0.05</v>
      </c>
      <c r="I996" s="9" t="s">
        <v>22</v>
      </c>
      <c r="J996" s="10">
        <v>24.28</v>
      </c>
      <c r="K996" s="11">
        <v>2.61</v>
      </c>
      <c r="L996" s="11">
        <v>0.5</v>
      </c>
      <c r="M996" s="9" t="s">
        <v>833</v>
      </c>
      <c r="N996" s="6" t="s">
        <v>703</v>
      </c>
      <c r="O996" s="6" t="s">
        <v>704</v>
      </c>
      <c r="P996" s="9" t="s">
        <v>41</v>
      </c>
      <c r="Q996" s="9" t="s">
        <v>26</v>
      </c>
      <c r="R996" s="9" t="s">
        <v>88</v>
      </c>
      <c r="S996" s="7" t="s">
        <v>406</v>
      </c>
      <c r="T996" s="9" t="s">
        <v>39</v>
      </c>
      <c r="U996" s="7">
        <v>0.39</v>
      </c>
      <c r="V996" s="12">
        <f>C996+1</f>
        <v>40367</v>
      </c>
      <c r="W996">
        <f>IF(D996=' Pivot Tables'!$A$4,1,0)</f>
        <v>0</v>
      </c>
      <c r="X996">
        <f>IF(AND(LEFT(D996,4)+1=LEFT(' Pivot Tables'!$A$4,4)+0,RIGHT(LEFT(D996,7),2)=RIGHT(LEFT(' Pivot Tables'!$A$4,7),2)),1,0)</f>
        <v>0</v>
      </c>
      <c r="Y996" s="6">
        <f>1/COUNTIF(Таблица1[Order ID],Таблица1[[#This Row],[Order ID]])</f>
        <v>1</v>
      </c>
      <c r="Z996" s="9">
        <f>1/COUNTIFS(Таблица1[Customer Name],Таблица1[[#This Row],[Customer Name]],Таблица1[Order-Year-Month],Таблица1[[#This Row],[Order-Year-Month]])</f>
        <v>1</v>
      </c>
    </row>
    <row r="997" spans="1:26" x14ac:dyDescent="0.2">
      <c r="A997" s="6">
        <v>6761</v>
      </c>
      <c r="B997" s="7">
        <v>48165</v>
      </c>
      <c r="C997" s="8">
        <f>DATE(2012,12,31)-787</f>
        <v>40487</v>
      </c>
      <c r="D997" s="8" t="str">
        <f t="shared" si="20"/>
        <v>2010-11 (ноябрь 2010)</v>
      </c>
      <c r="E997" s="9" t="s">
        <v>30</v>
      </c>
      <c r="F997" s="7">
        <v>28</v>
      </c>
      <c r="G997" s="7">
        <v>199.94</v>
      </c>
      <c r="H997" s="7">
        <v>0.01</v>
      </c>
      <c r="I997" s="9" t="s">
        <v>22</v>
      </c>
      <c r="J997" s="10">
        <v>-147.27000000000001</v>
      </c>
      <c r="K997" s="11">
        <v>6.48</v>
      </c>
      <c r="L997" s="11">
        <v>9.5399999999999991</v>
      </c>
      <c r="M997" s="9" t="s">
        <v>818</v>
      </c>
      <c r="N997" s="6" t="s">
        <v>703</v>
      </c>
      <c r="O997" s="6" t="s">
        <v>704</v>
      </c>
      <c r="P997" s="9" t="s">
        <v>25</v>
      </c>
      <c r="Q997" s="9" t="s">
        <v>26</v>
      </c>
      <c r="R997" s="9" t="s">
        <v>61</v>
      </c>
      <c r="S997" s="7" t="s">
        <v>518</v>
      </c>
      <c r="T997" s="9" t="s">
        <v>39</v>
      </c>
      <c r="U997" s="7">
        <v>0.37</v>
      </c>
      <c r="V997" s="12">
        <f>C997+2</f>
        <v>40489</v>
      </c>
      <c r="W997">
        <f>IF(D997=' Pivot Tables'!$A$4,1,0)</f>
        <v>0</v>
      </c>
      <c r="X997">
        <f>IF(AND(LEFT(D997,4)+1=LEFT(' Pivot Tables'!$A$4,4)+0,RIGHT(LEFT(D997,7),2)=RIGHT(LEFT(' Pivot Tables'!$A$4,7),2)),1,0)</f>
        <v>0</v>
      </c>
      <c r="Y997" s="6">
        <f>1/COUNTIF(Таблица1[Order ID],Таблица1[[#This Row],[Order ID]])</f>
        <v>1</v>
      </c>
      <c r="Z997" s="9">
        <f>1/COUNTIFS(Таблица1[Customer Name],Таблица1[[#This Row],[Customer Name]],Таблица1[Order-Year-Month],Таблица1[[#This Row],[Order-Year-Month]])</f>
        <v>1</v>
      </c>
    </row>
    <row r="998" spans="1:26" x14ac:dyDescent="0.2">
      <c r="A998" s="6">
        <v>6769</v>
      </c>
      <c r="B998" s="7">
        <v>48197</v>
      </c>
      <c r="C998" s="8">
        <f>DATE(2012,12,31)-240</f>
        <v>41034</v>
      </c>
      <c r="D998" s="8" t="str">
        <f t="shared" si="20"/>
        <v>2012-05 (май 2012)</v>
      </c>
      <c r="E998" s="9" t="s">
        <v>45</v>
      </c>
      <c r="F998" s="7">
        <v>32</v>
      </c>
      <c r="G998" s="7">
        <v>1282.49</v>
      </c>
      <c r="H998" s="7">
        <v>7.0000000000000007E-2</v>
      </c>
      <c r="I998" s="9" t="s">
        <v>22</v>
      </c>
      <c r="J998" s="10">
        <v>154.74</v>
      </c>
      <c r="K998" s="11">
        <v>40.97</v>
      </c>
      <c r="L998" s="11">
        <v>14.45</v>
      </c>
      <c r="M998" s="9" t="s">
        <v>797</v>
      </c>
      <c r="N998" s="6" t="s">
        <v>703</v>
      </c>
      <c r="O998" s="6" t="s">
        <v>704</v>
      </c>
      <c r="P998" s="9" t="s">
        <v>33</v>
      </c>
      <c r="Q998" s="9" t="s">
        <v>49</v>
      </c>
      <c r="R998" s="9" t="s">
        <v>50</v>
      </c>
      <c r="S998" s="7" t="s">
        <v>310</v>
      </c>
      <c r="T998" s="9" t="s">
        <v>29</v>
      </c>
      <c r="U998" s="7">
        <v>0.56999999999999995</v>
      </c>
      <c r="V998" s="12">
        <f>C998+2</f>
        <v>41036</v>
      </c>
      <c r="W998">
        <f>IF(D998=' Pivot Tables'!$A$4,1,0)</f>
        <v>0</v>
      </c>
      <c r="X998">
        <f>IF(AND(LEFT(D998,4)+1=LEFT(' Pivot Tables'!$A$4,4)+0,RIGHT(LEFT(D998,7),2)=RIGHT(LEFT(' Pivot Tables'!$A$4,7),2)),1,0)</f>
        <v>0</v>
      </c>
      <c r="Y998" s="6">
        <f>1/COUNTIF(Таблица1[Order ID],Таблица1[[#This Row],[Order ID]])</f>
        <v>1</v>
      </c>
      <c r="Z998" s="9">
        <f>1/COUNTIFS(Таблица1[Customer Name],Таблица1[[#This Row],[Customer Name]],Таблица1[Order-Year-Month],Таблица1[[#This Row],[Order-Year-Month]])</f>
        <v>1</v>
      </c>
    </row>
    <row r="999" spans="1:26" x14ac:dyDescent="0.2">
      <c r="A999" s="6">
        <v>6808</v>
      </c>
      <c r="B999" s="7">
        <v>48484</v>
      </c>
      <c r="C999" s="8">
        <f>DATE(2012,12,31)-922</f>
        <v>40352</v>
      </c>
      <c r="D999" s="8" t="str">
        <f t="shared" si="20"/>
        <v>2010-06 (июнь 2010)</v>
      </c>
      <c r="E999" s="9" t="s">
        <v>63</v>
      </c>
      <c r="F999" s="7">
        <v>22</v>
      </c>
      <c r="G999" s="7">
        <v>346.42</v>
      </c>
      <c r="H999" s="7">
        <v>0.05</v>
      </c>
      <c r="I999" s="9" t="s">
        <v>22</v>
      </c>
      <c r="J999" s="10">
        <v>67.959999999999994</v>
      </c>
      <c r="K999" s="11">
        <v>16.48</v>
      </c>
      <c r="L999" s="11">
        <v>1.99</v>
      </c>
      <c r="M999" s="9" t="s">
        <v>806</v>
      </c>
      <c r="N999" s="6" t="s">
        <v>703</v>
      </c>
      <c r="O999" s="6" t="s">
        <v>704</v>
      </c>
      <c r="P999" s="9" t="s">
        <v>25</v>
      </c>
      <c r="Q999" s="9" t="s">
        <v>42</v>
      </c>
      <c r="R999" s="9" t="s">
        <v>70</v>
      </c>
      <c r="S999" s="7" t="s">
        <v>848</v>
      </c>
      <c r="T999" s="9" t="s">
        <v>52</v>
      </c>
      <c r="U999" s="7">
        <v>0.42</v>
      </c>
      <c r="V999" s="12">
        <f>C999+1</f>
        <v>40353</v>
      </c>
      <c r="W999">
        <f>IF(D999=' Pivot Tables'!$A$4,1,0)</f>
        <v>0</v>
      </c>
      <c r="X999">
        <f>IF(AND(LEFT(D999,4)+1=LEFT(' Pivot Tables'!$A$4,4)+0,RIGHT(LEFT(D999,7),2)=RIGHT(LEFT(' Pivot Tables'!$A$4,7),2)),1,0)</f>
        <v>0</v>
      </c>
      <c r="Y999" s="6">
        <f>1/COUNTIF(Таблица1[Order ID],Таблица1[[#This Row],[Order ID]])</f>
        <v>0.25</v>
      </c>
      <c r="Z999" s="9">
        <f>1/COUNTIFS(Таблица1[Customer Name],Таблица1[[#This Row],[Customer Name]],Таблица1[Order-Year-Month],Таблица1[[#This Row],[Order-Year-Month]])</f>
        <v>0.25</v>
      </c>
    </row>
    <row r="1000" spans="1:26" x14ac:dyDescent="0.2">
      <c r="A1000" s="6">
        <v>6809</v>
      </c>
      <c r="B1000" s="7">
        <v>48484</v>
      </c>
      <c r="C1000" s="8">
        <f>DATE(2012,12,31)-922</f>
        <v>40352</v>
      </c>
      <c r="D1000" s="8" t="str">
        <f t="shared" si="20"/>
        <v>2010-06 (июнь 2010)</v>
      </c>
      <c r="E1000" s="9" t="s">
        <v>63</v>
      </c>
      <c r="F1000" s="7">
        <v>41</v>
      </c>
      <c r="G1000" s="7">
        <v>773.44</v>
      </c>
      <c r="H1000" s="7">
        <v>0.08</v>
      </c>
      <c r="I1000" s="9" t="s">
        <v>56</v>
      </c>
      <c r="J1000" s="10">
        <v>133.83000000000001</v>
      </c>
      <c r="K1000" s="11">
        <v>20.239999999999998</v>
      </c>
      <c r="L1000" s="11">
        <v>6.67</v>
      </c>
      <c r="M1000" s="9" t="s">
        <v>806</v>
      </c>
      <c r="N1000" s="6" t="s">
        <v>703</v>
      </c>
      <c r="O1000" s="6" t="s">
        <v>704</v>
      </c>
      <c r="P1000" s="9" t="s">
        <v>25</v>
      </c>
      <c r="Q1000" s="9" t="s">
        <v>49</v>
      </c>
      <c r="R1000" s="9" t="s">
        <v>50</v>
      </c>
      <c r="S1000" s="7" t="s">
        <v>427</v>
      </c>
      <c r="T1000" s="9" t="s">
        <v>52</v>
      </c>
      <c r="U1000" s="7">
        <v>0.49</v>
      </c>
      <c r="V1000" s="12">
        <f>C1000+1</f>
        <v>40353</v>
      </c>
      <c r="W1000">
        <f>IF(D1000=' Pivot Tables'!$A$4,1,0)</f>
        <v>0</v>
      </c>
      <c r="X1000">
        <f>IF(AND(LEFT(D1000,4)+1=LEFT(' Pivot Tables'!$A$4,4)+0,RIGHT(LEFT(D1000,7),2)=RIGHT(LEFT(' Pivot Tables'!$A$4,7),2)),1,0)</f>
        <v>0</v>
      </c>
      <c r="Y1000" s="6">
        <f>1/COUNTIF(Таблица1[Order ID],Таблица1[[#This Row],[Order ID]])</f>
        <v>0.25</v>
      </c>
      <c r="Z1000" s="9">
        <f>1/COUNTIFS(Таблица1[Customer Name],Таблица1[[#This Row],[Customer Name]],Таблица1[Order-Year-Month],Таблица1[[#This Row],[Order-Year-Month]])</f>
        <v>0.25</v>
      </c>
    </row>
    <row r="1001" spans="1:26" x14ac:dyDescent="0.2">
      <c r="A1001" s="6">
        <v>6810</v>
      </c>
      <c r="B1001" s="7">
        <v>48484</v>
      </c>
      <c r="C1001" s="8">
        <f>DATE(2012,12,31)-922</f>
        <v>40352</v>
      </c>
      <c r="D1001" s="8" t="str">
        <f t="shared" si="20"/>
        <v>2010-06 (июнь 2010)</v>
      </c>
      <c r="E1001" s="9" t="s">
        <v>63</v>
      </c>
      <c r="F1001" s="7">
        <v>43</v>
      </c>
      <c r="G1001" s="7">
        <v>881.84</v>
      </c>
      <c r="H1001" s="7">
        <v>0</v>
      </c>
      <c r="I1001" s="9" t="s">
        <v>22</v>
      </c>
      <c r="J1001" s="10">
        <v>153.80000000000001</v>
      </c>
      <c r="K1001" s="11">
        <v>18.97</v>
      </c>
      <c r="L1001" s="11">
        <v>9.0299999999999994</v>
      </c>
      <c r="M1001" s="9" t="s">
        <v>806</v>
      </c>
      <c r="N1001" s="6" t="s">
        <v>703</v>
      </c>
      <c r="O1001" s="6" t="s">
        <v>704</v>
      </c>
      <c r="P1001" s="9" t="s">
        <v>25</v>
      </c>
      <c r="Q1001" s="9" t="s">
        <v>26</v>
      </c>
      <c r="R1001" s="9" t="s">
        <v>61</v>
      </c>
      <c r="S1001" s="7" t="s">
        <v>123</v>
      </c>
      <c r="T1001" s="9" t="s">
        <v>39</v>
      </c>
      <c r="U1001" s="7">
        <v>0.37</v>
      </c>
      <c r="V1001" s="12">
        <f>C1001+2</f>
        <v>40354</v>
      </c>
      <c r="W1001">
        <f>IF(D1001=' Pivot Tables'!$A$4,1,0)</f>
        <v>0</v>
      </c>
      <c r="X1001">
        <f>IF(AND(LEFT(D1001,4)+1=LEFT(' Pivot Tables'!$A$4,4)+0,RIGHT(LEFT(D1001,7),2)=RIGHT(LEFT(' Pivot Tables'!$A$4,7),2)),1,0)</f>
        <v>0</v>
      </c>
      <c r="Y1001" s="6">
        <f>1/COUNTIF(Таблица1[Order ID],Таблица1[[#This Row],[Order ID]])</f>
        <v>0.25</v>
      </c>
      <c r="Z1001" s="9">
        <f>1/COUNTIFS(Таблица1[Customer Name],Таблица1[[#This Row],[Customer Name]],Таблица1[Order-Year-Month],Таблица1[[#This Row],[Order-Year-Month]])</f>
        <v>0.25</v>
      </c>
    </row>
    <row r="1002" spans="1:26" x14ac:dyDescent="0.2">
      <c r="A1002" s="6">
        <v>6811</v>
      </c>
      <c r="B1002" s="7">
        <v>48484</v>
      </c>
      <c r="C1002" s="8">
        <f>DATE(2012,12,31)-922</f>
        <v>40352</v>
      </c>
      <c r="D1002" s="8" t="str">
        <f t="shared" si="20"/>
        <v>2010-06 (июнь 2010)</v>
      </c>
      <c r="E1002" s="9" t="s">
        <v>63</v>
      </c>
      <c r="F1002" s="7">
        <v>50</v>
      </c>
      <c r="G1002" s="7">
        <v>5067.5725000000002</v>
      </c>
      <c r="H1002" s="7">
        <v>0.09</v>
      </c>
      <c r="I1002" s="9" t="s">
        <v>22</v>
      </c>
      <c r="J1002" s="10">
        <v>1275.912</v>
      </c>
      <c r="K1002" s="11">
        <v>125.99</v>
      </c>
      <c r="L1002" s="11">
        <v>8.99</v>
      </c>
      <c r="M1002" s="9" t="s">
        <v>806</v>
      </c>
      <c r="N1002" s="6" t="s">
        <v>703</v>
      </c>
      <c r="O1002" s="6" t="s">
        <v>704</v>
      </c>
      <c r="P1002" s="9" t="s">
        <v>25</v>
      </c>
      <c r="Q1002" s="9" t="s">
        <v>42</v>
      </c>
      <c r="R1002" s="9" t="s">
        <v>43</v>
      </c>
      <c r="S1002" s="7" t="s">
        <v>849</v>
      </c>
      <c r="T1002" s="9" t="s">
        <v>39</v>
      </c>
      <c r="U1002" s="7">
        <v>0.55000000000000004</v>
      </c>
      <c r="V1002" s="12">
        <f>C1002+2</f>
        <v>40354</v>
      </c>
      <c r="W1002">
        <f>IF(D1002=' Pivot Tables'!$A$4,1,0)</f>
        <v>0</v>
      </c>
      <c r="X1002">
        <f>IF(AND(LEFT(D1002,4)+1=LEFT(' Pivot Tables'!$A$4,4)+0,RIGHT(LEFT(D1002,7),2)=RIGHT(LEFT(' Pivot Tables'!$A$4,7),2)),1,0)</f>
        <v>0</v>
      </c>
      <c r="Y1002" s="6">
        <f>1/COUNTIF(Таблица1[Order ID],Таблица1[[#This Row],[Order ID]])</f>
        <v>0.25</v>
      </c>
      <c r="Z1002" s="9">
        <f>1/COUNTIFS(Таблица1[Customer Name],Таблица1[[#This Row],[Customer Name]],Таблица1[Order-Year-Month],Таблица1[[#This Row],[Order-Year-Month]])</f>
        <v>0.25</v>
      </c>
    </row>
    <row r="1003" spans="1:26" x14ac:dyDescent="0.2">
      <c r="A1003" s="6">
        <v>6893</v>
      </c>
      <c r="B1003" s="7">
        <v>49153</v>
      </c>
      <c r="C1003" s="8">
        <f>DATE(2012,12,31)-156</f>
        <v>41118</v>
      </c>
      <c r="D1003" s="8" t="str">
        <f t="shared" si="20"/>
        <v>2012-07 (июль 2012)</v>
      </c>
      <c r="E1003" s="9" t="s">
        <v>63</v>
      </c>
      <c r="F1003" s="7">
        <v>31</v>
      </c>
      <c r="G1003" s="7">
        <v>2245.7800000000002</v>
      </c>
      <c r="H1003" s="7">
        <v>0.05</v>
      </c>
      <c r="I1003" s="9" t="s">
        <v>31</v>
      </c>
      <c r="J1003" s="10">
        <v>-432.46</v>
      </c>
      <c r="K1003" s="11">
        <v>70.98</v>
      </c>
      <c r="L1003" s="11">
        <v>30</v>
      </c>
      <c r="M1003" s="9" t="s">
        <v>806</v>
      </c>
      <c r="N1003" s="6" t="s">
        <v>703</v>
      </c>
      <c r="O1003" s="6" t="s">
        <v>704</v>
      </c>
      <c r="P1003" s="9" t="s">
        <v>25</v>
      </c>
      <c r="Q1003" s="9" t="s">
        <v>49</v>
      </c>
      <c r="R1003" s="9" t="s">
        <v>112</v>
      </c>
      <c r="S1003" s="7" t="s">
        <v>850</v>
      </c>
      <c r="T1003" s="9" t="s">
        <v>36</v>
      </c>
      <c r="U1003" s="7">
        <v>0.73</v>
      </c>
      <c r="V1003" s="12">
        <f>C1003+0</f>
        <v>41118</v>
      </c>
      <c r="W1003">
        <f>IF(D1003=' Pivot Tables'!$A$4,1,0)</f>
        <v>0</v>
      </c>
      <c r="X1003">
        <f>IF(AND(LEFT(D1003,4)+1=LEFT(' Pivot Tables'!$A$4,4)+0,RIGHT(LEFT(D1003,7),2)=RIGHT(LEFT(' Pivot Tables'!$A$4,7),2)),1,0)</f>
        <v>0</v>
      </c>
      <c r="Y1003" s="6">
        <f>1/COUNTIF(Таблица1[Order ID],Таблица1[[#This Row],[Order ID]])</f>
        <v>1</v>
      </c>
      <c r="Z1003" s="9">
        <f>1/COUNTIFS(Таблица1[Customer Name],Таблица1[[#This Row],[Customer Name]],Таблица1[Order-Year-Month],Таблица1[[#This Row],[Order-Year-Month]])</f>
        <v>1</v>
      </c>
    </row>
    <row r="1004" spans="1:26" x14ac:dyDescent="0.2">
      <c r="A1004" s="6">
        <v>6926</v>
      </c>
      <c r="B1004" s="7">
        <v>49412</v>
      </c>
      <c r="C1004" s="8">
        <f>DATE(2012,12,31)-1395</f>
        <v>39879</v>
      </c>
      <c r="D1004" s="8" t="str">
        <f t="shared" si="20"/>
        <v>2009-03 (март 2009)</v>
      </c>
      <c r="E1004" s="9" t="s">
        <v>78</v>
      </c>
      <c r="F1004" s="7">
        <v>20</v>
      </c>
      <c r="G1004" s="7">
        <v>9418.14</v>
      </c>
      <c r="H1004" s="7">
        <v>0.09</v>
      </c>
      <c r="I1004" s="9" t="s">
        <v>31</v>
      </c>
      <c r="J1004" s="10">
        <v>909.36</v>
      </c>
      <c r="K1004" s="11">
        <v>517.48</v>
      </c>
      <c r="L1004" s="11">
        <v>16.63</v>
      </c>
      <c r="M1004" s="9" t="s">
        <v>818</v>
      </c>
      <c r="N1004" s="6" t="s">
        <v>703</v>
      </c>
      <c r="O1004" s="6" t="s">
        <v>704</v>
      </c>
      <c r="P1004" s="9" t="s">
        <v>25</v>
      </c>
      <c r="Q1004" s="9" t="s">
        <v>42</v>
      </c>
      <c r="R1004" s="9" t="s">
        <v>210</v>
      </c>
      <c r="S1004" s="7" t="s">
        <v>851</v>
      </c>
      <c r="T1004" s="9" t="s">
        <v>82</v>
      </c>
      <c r="U1004" s="7">
        <v>0.59</v>
      </c>
      <c r="V1004" s="12">
        <f>C1004+0</f>
        <v>39879</v>
      </c>
      <c r="W1004">
        <f>IF(D1004=' Pivot Tables'!$A$4,1,0)</f>
        <v>0</v>
      </c>
      <c r="X1004">
        <f>IF(AND(LEFT(D1004,4)+1=LEFT(' Pivot Tables'!$A$4,4)+0,RIGHT(LEFT(D1004,7),2)=RIGHT(LEFT(' Pivot Tables'!$A$4,7),2)),1,0)</f>
        <v>0</v>
      </c>
      <c r="Y1004" s="6">
        <f>1/COUNTIF(Таблица1[Order ID],Таблица1[[#This Row],[Order ID]])</f>
        <v>1</v>
      </c>
      <c r="Z1004" s="9">
        <f>1/COUNTIFS(Таблица1[Customer Name],Таблица1[[#This Row],[Customer Name]],Таблица1[Order-Year-Month],Таблица1[[#This Row],[Order-Year-Month]])</f>
        <v>1</v>
      </c>
    </row>
    <row r="1005" spans="1:26" x14ac:dyDescent="0.2">
      <c r="A1005" s="6">
        <v>6958</v>
      </c>
      <c r="B1005" s="7">
        <v>49761</v>
      </c>
      <c r="C1005" s="8">
        <f>DATE(2012,12,31)-707</f>
        <v>40567</v>
      </c>
      <c r="D1005" s="8" t="str">
        <f t="shared" si="20"/>
        <v>2011-01 (январь 2011)</v>
      </c>
      <c r="E1005" s="9" t="s">
        <v>45</v>
      </c>
      <c r="F1005" s="7">
        <v>45</v>
      </c>
      <c r="G1005" s="7">
        <v>1090.5999999999999</v>
      </c>
      <c r="H1005" s="7">
        <v>7.0000000000000007E-2</v>
      </c>
      <c r="I1005" s="9" t="s">
        <v>22</v>
      </c>
      <c r="J1005" s="10">
        <v>300.91000000000003</v>
      </c>
      <c r="K1005" s="11">
        <v>23.99</v>
      </c>
      <c r="L1005" s="11">
        <v>6.3</v>
      </c>
      <c r="M1005" s="9" t="s">
        <v>833</v>
      </c>
      <c r="N1005" s="6" t="s">
        <v>703</v>
      </c>
      <c r="O1005" s="6" t="s">
        <v>704</v>
      </c>
      <c r="P1005" s="9" t="s">
        <v>41</v>
      </c>
      <c r="Q1005" s="9" t="s">
        <v>42</v>
      </c>
      <c r="R1005" s="9" t="s">
        <v>210</v>
      </c>
      <c r="S1005" s="7" t="s">
        <v>595</v>
      </c>
      <c r="T1005" s="9" t="s">
        <v>48</v>
      </c>
      <c r="U1005" s="7">
        <v>0.38</v>
      </c>
      <c r="V1005" s="12">
        <f>C1005+1</f>
        <v>40568</v>
      </c>
      <c r="W1005">
        <f>IF(D1005=' Pivot Tables'!$A$4,1,0)</f>
        <v>0</v>
      </c>
      <c r="X1005">
        <f>IF(AND(LEFT(D1005,4)+1=LEFT(' Pivot Tables'!$A$4,4)+0,RIGHT(LEFT(D1005,7),2)=RIGHT(LEFT(' Pivot Tables'!$A$4,7),2)),1,0)</f>
        <v>0</v>
      </c>
      <c r="Y1005" s="6">
        <f>1/COUNTIF(Таблица1[Order ID],Таблица1[[#This Row],[Order ID]])</f>
        <v>1</v>
      </c>
      <c r="Z1005" s="9">
        <f>1/COUNTIFS(Таблица1[Customer Name],Таблица1[[#This Row],[Customer Name]],Таблица1[Order-Year-Month],Таблица1[[#This Row],[Order-Year-Month]])</f>
        <v>1</v>
      </c>
    </row>
    <row r="1006" spans="1:26" x14ac:dyDescent="0.2">
      <c r="A1006" s="6">
        <v>7051</v>
      </c>
      <c r="B1006" s="7">
        <v>50310</v>
      </c>
      <c r="C1006" s="8">
        <f>DATE(2012,12,31)-1234</f>
        <v>40040</v>
      </c>
      <c r="D1006" s="8" t="str">
        <f t="shared" si="20"/>
        <v>2009-08 (август 2009)</v>
      </c>
      <c r="E1006" s="9" t="s">
        <v>63</v>
      </c>
      <c r="F1006" s="7">
        <v>42</v>
      </c>
      <c r="G1006" s="7">
        <v>1811.3</v>
      </c>
      <c r="H1006" s="7">
        <v>7.0000000000000007E-2</v>
      </c>
      <c r="I1006" s="9" t="s">
        <v>56</v>
      </c>
      <c r="J1006" s="10">
        <v>520.41</v>
      </c>
      <c r="K1006" s="11">
        <v>42.98</v>
      </c>
      <c r="L1006" s="11">
        <v>4.62</v>
      </c>
      <c r="M1006" s="9" t="s">
        <v>826</v>
      </c>
      <c r="N1006" s="6" t="s">
        <v>703</v>
      </c>
      <c r="O1006" s="6" t="s">
        <v>704</v>
      </c>
      <c r="P1006" s="9" t="s">
        <v>41</v>
      </c>
      <c r="Q1006" s="9" t="s">
        <v>26</v>
      </c>
      <c r="R1006" s="9" t="s">
        <v>34</v>
      </c>
      <c r="S1006" s="7" t="s">
        <v>852</v>
      </c>
      <c r="T1006" s="9" t="s">
        <v>39</v>
      </c>
      <c r="U1006" s="7">
        <v>0.56000000000000005</v>
      </c>
      <c r="V1006" s="12">
        <f>C1006+2</f>
        <v>40042</v>
      </c>
      <c r="W1006">
        <f>IF(D1006=' Pivot Tables'!$A$4,1,0)</f>
        <v>0</v>
      </c>
      <c r="X1006">
        <f>IF(AND(LEFT(D1006,4)+1=LEFT(' Pivot Tables'!$A$4,4)+0,RIGHT(LEFT(D1006,7),2)=RIGHT(LEFT(' Pivot Tables'!$A$4,7),2)),1,0)</f>
        <v>0</v>
      </c>
      <c r="Y1006" s="6">
        <f>1/COUNTIF(Таблица1[Order ID],Таблица1[[#This Row],[Order ID]])</f>
        <v>0.33333333333333331</v>
      </c>
      <c r="Z1006" s="9">
        <f>1/COUNTIFS(Таблица1[Customer Name],Таблица1[[#This Row],[Customer Name]],Таблица1[Order-Year-Month],Таблица1[[#This Row],[Order-Year-Month]])</f>
        <v>0.33333333333333331</v>
      </c>
    </row>
    <row r="1007" spans="1:26" x14ac:dyDescent="0.2">
      <c r="A1007" s="6">
        <v>7052</v>
      </c>
      <c r="B1007" s="7">
        <v>50310</v>
      </c>
      <c r="C1007" s="8">
        <f>DATE(2012,12,31)-1234</f>
        <v>40040</v>
      </c>
      <c r="D1007" s="8" t="str">
        <f t="shared" si="20"/>
        <v>2009-08 (август 2009)</v>
      </c>
      <c r="E1007" s="9" t="s">
        <v>63</v>
      </c>
      <c r="F1007" s="7">
        <v>43</v>
      </c>
      <c r="G1007" s="7">
        <v>4095.76</v>
      </c>
      <c r="H1007" s="7">
        <v>0.03</v>
      </c>
      <c r="I1007" s="9" t="s">
        <v>31</v>
      </c>
      <c r="J1007" s="10">
        <v>-444.14</v>
      </c>
      <c r="K1007" s="11">
        <v>89.99</v>
      </c>
      <c r="L1007" s="11">
        <v>42</v>
      </c>
      <c r="M1007" s="9" t="s">
        <v>826</v>
      </c>
      <c r="N1007" s="6" t="s">
        <v>703</v>
      </c>
      <c r="O1007" s="6" t="s">
        <v>704</v>
      </c>
      <c r="P1007" s="9" t="s">
        <v>41</v>
      </c>
      <c r="Q1007" s="9" t="s">
        <v>49</v>
      </c>
      <c r="R1007" s="9" t="s">
        <v>112</v>
      </c>
      <c r="S1007" s="7" t="s">
        <v>853</v>
      </c>
      <c r="T1007" s="9" t="s">
        <v>36</v>
      </c>
      <c r="U1007" s="7">
        <v>0.66</v>
      </c>
      <c r="V1007" s="12">
        <f>C1007+3</f>
        <v>40043</v>
      </c>
      <c r="W1007">
        <f>IF(D1007=' Pivot Tables'!$A$4,1,0)</f>
        <v>0</v>
      </c>
      <c r="X1007">
        <f>IF(AND(LEFT(D1007,4)+1=LEFT(' Pivot Tables'!$A$4,4)+0,RIGHT(LEFT(D1007,7),2)=RIGHT(LEFT(' Pivot Tables'!$A$4,7),2)),1,0)</f>
        <v>0</v>
      </c>
      <c r="Y1007" s="6">
        <f>1/COUNTIF(Таблица1[Order ID],Таблица1[[#This Row],[Order ID]])</f>
        <v>0.33333333333333331</v>
      </c>
      <c r="Z1007" s="9">
        <f>1/COUNTIFS(Таблица1[Customer Name],Таблица1[[#This Row],[Customer Name]],Таблица1[Order-Year-Month],Таблица1[[#This Row],[Order-Year-Month]])</f>
        <v>0.33333333333333331</v>
      </c>
    </row>
    <row r="1008" spans="1:26" x14ac:dyDescent="0.2">
      <c r="A1008" s="6">
        <v>7053</v>
      </c>
      <c r="B1008" s="7">
        <v>50310</v>
      </c>
      <c r="C1008" s="8">
        <f>DATE(2012,12,31)-1234</f>
        <v>40040</v>
      </c>
      <c r="D1008" s="8" t="str">
        <f t="shared" si="20"/>
        <v>2009-08 (август 2009)</v>
      </c>
      <c r="E1008" s="9" t="s">
        <v>63</v>
      </c>
      <c r="F1008" s="7">
        <v>22</v>
      </c>
      <c r="G1008" s="7">
        <v>482.37</v>
      </c>
      <c r="H1008" s="7">
        <v>0.03</v>
      </c>
      <c r="I1008" s="9" t="s">
        <v>22</v>
      </c>
      <c r="J1008" s="10">
        <v>34.03</v>
      </c>
      <c r="K1008" s="11">
        <v>20.95</v>
      </c>
      <c r="L1008" s="11">
        <v>4</v>
      </c>
      <c r="M1008" s="9" t="s">
        <v>826</v>
      </c>
      <c r="N1008" s="6" t="s">
        <v>703</v>
      </c>
      <c r="O1008" s="6" t="s">
        <v>704</v>
      </c>
      <c r="P1008" s="9" t="s">
        <v>41</v>
      </c>
      <c r="Q1008" s="9" t="s">
        <v>42</v>
      </c>
      <c r="R1008" s="9" t="s">
        <v>70</v>
      </c>
      <c r="S1008" s="7" t="s">
        <v>231</v>
      </c>
      <c r="T1008" s="9" t="s">
        <v>39</v>
      </c>
      <c r="U1008" s="7">
        <v>0.6</v>
      </c>
      <c r="V1008" s="12">
        <f>C1008+2</f>
        <v>40042</v>
      </c>
      <c r="W1008">
        <f>IF(D1008=' Pivot Tables'!$A$4,1,0)</f>
        <v>0</v>
      </c>
      <c r="X1008">
        <f>IF(AND(LEFT(D1008,4)+1=LEFT(' Pivot Tables'!$A$4,4)+0,RIGHT(LEFT(D1008,7),2)=RIGHT(LEFT(' Pivot Tables'!$A$4,7),2)),1,0)</f>
        <v>0</v>
      </c>
      <c r="Y1008" s="6">
        <f>1/COUNTIF(Таблица1[Order ID],Таблица1[[#This Row],[Order ID]])</f>
        <v>0.33333333333333331</v>
      </c>
      <c r="Z1008" s="9">
        <f>1/COUNTIFS(Таблица1[Customer Name],Таблица1[[#This Row],[Customer Name]],Таблица1[Order-Year-Month],Таблица1[[#This Row],[Order-Year-Month]])</f>
        <v>0.33333333333333331</v>
      </c>
    </row>
    <row r="1009" spans="1:26" x14ac:dyDescent="0.2">
      <c r="A1009" s="6">
        <v>7158</v>
      </c>
      <c r="B1009" s="7">
        <v>51072</v>
      </c>
      <c r="C1009" s="8">
        <f>DATE(2012,12,31)-1186</f>
        <v>40088</v>
      </c>
      <c r="D1009" s="8" t="str">
        <f t="shared" si="20"/>
        <v>2009-10 (октябрь 2009)</v>
      </c>
      <c r="E1009" s="9" t="s">
        <v>78</v>
      </c>
      <c r="F1009" s="7">
        <v>43</v>
      </c>
      <c r="G1009" s="7">
        <v>7036.11</v>
      </c>
      <c r="H1009" s="7">
        <v>0</v>
      </c>
      <c r="I1009" s="9" t="s">
        <v>22</v>
      </c>
      <c r="J1009" s="10">
        <v>1268.6500000000001</v>
      </c>
      <c r="K1009" s="11">
        <v>161.55000000000001</v>
      </c>
      <c r="L1009" s="11">
        <v>19.989999999999998</v>
      </c>
      <c r="M1009" s="9" t="s">
        <v>803</v>
      </c>
      <c r="N1009" s="6" t="s">
        <v>703</v>
      </c>
      <c r="O1009" s="6" t="s">
        <v>704</v>
      </c>
      <c r="P1009" s="9" t="s">
        <v>25</v>
      </c>
      <c r="Q1009" s="9" t="s">
        <v>26</v>
      </c>
      <c r="R1009" s="9" t="s">
        <v>27</v>
      </c>
      <c r="S1009" s="7" t="s">
        <v>685</v>
      </c>
      <c r="T1009" s="9" t="s">
        <v>39</v>
      </c>
      <c r="U1009" s="7">
        <v>0.66</v>
      </c>
      <c r="V1009" s="12">
        <f>C1009+2</f>
        <v>40090</v>
      </c>
      <c r="W1009">
        <f>IF(D1009=' Pivot Tables'!$A$4,1,0)</f>
        <v>0</v>
      </c>
      <c r="X1009">
        <f>IF(AND(LEFT(D1009,4)+1=LEFT(' Pivot Tables'!$A$4,4)+0,RIGHT(LEFT(D1009,7),2)=RIGHT(LEFT(' Pivot Tables'!$A$4,7),2)),1,0)</f>
        <v>0</v>
      </c>
      <c r="Y1009" s="6">
        <f>1/COUNTIF(Таблица1[Order ID],Таблица1[[#This Row],[Order ID]])</f>
        <v>1</v>
      </c>
      <c r="Z1009" s="9">
        <f>1/COUNTIFS(Таблица1[Customer Name],Таблица1[[#This Row],[Customer Name]],Таблица1[Order-Year-Month],Таблица1[[#This Row],[Order-Year-Month]])</f>
        <v>1</v>
      </c>
    </row>
    <row r="1010" spans="1:26" x14ac:dyDescent="0.2">
      <c r="A1010" s="6">
        <v>7242</v>
      </c>
      <c r="B1010" s="7">
        <v>51648</v>
      </c>
      <c r="C1010" s="8">
        <f>DATE(2012,12,31)-365</f>
        <v>40909</v>
      </c>
      <c r="D1010" s="8" t="str">
        <f t="shared" si="20"/>
        <v>2012-01 (январь 2012)</v>
      </c>
      <c r="E1010" s="9" t="s">
        <v>21</v>
      </c>
      <c r="F1010" s="7">
        <v>45</v>
      </c>
      <c r="G1010" s="7">
        <v>2354.8000000000002</v>
      </c>
      <c r="H1010" s="7">
        <v>0.03</v>
      </c>
      <c r="I1010" s="9" t="s">
        <v>22</v>
      </c>
      <c r="J1010" s="10">
        <v>332.97</v>
      </c>
      <c r="K1010" s="11">
        <v>49.99</v>
      </c>
      <c r="L1010" s="11">
        <v>19.989999999999998</v>
      </c>
      <c r="M1010" s="9" t="s">
        <v>347</v>
      </c>
      <c r="N1010" s="6" t="s">
        <v>703</v>
      </c>
      <c r="O1010" s="6" t="s">
        <v>704</v>
      </c>
      <c r="P1010" s="9" t="s">
        <v>41</v>
      </c>
      <c r="Q1010" s="9" t="s">
        <v>42</v>
      </c>
      <c r="R1010" s="9" t="s">
        <v>70</v>
      </c>
      <c r="S1010" s="7" t="s">
        <v>590</v>
      </c>
      <c r="T1010" s="9" t="s">
        <v>39</v>
      </c>
      <c r="U1010" s="7">
        <v>0.41</v>
      </c>
      <c r="V1010" s="12">
        <f>C1010+7</f>
        <v>40916</v>
      </c>
      <c r="W1010">
        <f>IF(D1010=' Pivot Tables'!$A$4,1,0)</f>
        <v>0</v>
      </c>
      <c r="X1010">
        <f>IF(AND(LEFT(D1010,4)+1=LEFT(' Pivot Tables'!$A$4,4)+0,RIGHT(LEFT(D1010,7),2)=RIGHT(LEFT(' Pivot Tables'!$A$4,7),2)),1,0)</f>
        <v>0</v>
      </c>
      <c r="Y1010" s="6">
        <f>1/COUNTIF(Таблица1[Order ID],Таблица1[[#This Row],[Order ID]])</f>
        <v>0.5</v>
      </c>
      <c r="Z1010" s="9">
        <f>1/COUNTIFS(Таблица1[Customer Name],Таблица1[[#This Row],[Customer Name]],Таблица1[Order-Year-Month],Таблица1[[#This Row],[Order-Year-Month]])</f>
        <v>0.33333333333333331</v>
      </c>
    </row>
    <row r="1011" spans="1:26" x14ac:dyDescent="0.2">
      <c r="A1011" s="6">
        <v>7243</v>
      </c>
      <c r="B1011" s="7">
        <v>51648</v>
      </c>
      <c r="C1011" s="8">
        <f>DATE(2012,12,31)-365</f>
        <v>40909</v>
      </c>
      <c r="D1011" s="8" t="str">
        <f t="shared" si="20"/>
        <v>2012-01 (январь 2012)</v>
      </c>
      <c r="E1011" s="9" t="s">
        <v>21</v>
      </c>
      <c r="F1011" s="7">
        <v>50</v>
      </c>
      <c r="G1011" s="7">
        <v>187.88</v>
      </c>
      <c r="H1011" s="7">
        <v>0.08</v>
      </c>
      <c r="I1011" s="9" t="s">
        <v>22</v>
      </c>
      <c r="J1011" s="10">
        <v>-38.229999999999997</v>
      </c>
      <c r="K1011" s="11">
        <v>3.98</v>
      </c>
      <c r="L1011" s="11">
        <v>2.97</v>
      </c>
      <c r="M1011" s="9" t="s">
        <v>347</v>
      </c>
      <c r="N1011" s="6" t="s">
        <v>703</v>
      </c>
      <c r="O1011" s="6" t="s">
        <v>704</v>
      </c>
      <c r="P1011" s="9" t="s">
        <v>41</v>
      </c>
      <c r="Q1011" s="9" t="s">
        <v>26</v>
      </c>
      <c r="R1011" s="9" t="s">
        <v>61</v>
      </c>
      <c r="S1011" s="7" t="s">
        <v>134</v>
      </c>
      <c r="T1011" s="9" t="s">
        <v>68</v>
      </c>
      <c r="U1011" s="7">
        <v>0.35</v>
      </c>
      <c r="V1011" s="12">
        <f>C1011+5</f>
        <v>40914</v>
      </c>
      <c r="W1011">
        <f>IF(D1011=' Pivot Tables'!$A$4,1,0)</f>
        <v>0</v>
      </c>
      <c r="X1011">
        <f>IF(AND(LEFT(D1011,4)+1=LEFT(' Pivot Tables'!$A$4,4)+0,RIGHT(LEFT(D1011,7),2)=RIGHT(LEFT(' Pivot Tables'!$A$4,7),2)),1,0)</f>
        <v>0</v>
      </c>
      <c r="Y1011" s="6">
        <f>1/COUNTIF(Таблица1[Order ID],Таблица1[[#This Row],[Order ID]])</f>
        <v>0.5</v>
      </c>
      <c r="Z1011" s="9">
        <f>1/COUNTIFS(Таблица1[Customer Name],Таблица1[[#This Row],[Customer Name]],Таблица1[Order-Year-Month],Таблица1[[#This Row],[Order-Year-Month]])</f>
        <v>0.33333333333333331</v>
      </c>
    </row>
    <row r="1012" spans="1:26" x14ac:dyDescent="0.2">
      <c r="A1012" s="6">
        <v>7298</v>
      </c>
      <c r="B1012" s="7">
        <v>52035</v>
      </c>
      <c r="C1012" s="8">
        <f>DATE(2012,12,31)-1130</f>
        <v>40144</v>
      </c>
      <c r="D1012" s="8" t="str">
        <f t="shared" si="20"/>
        <v>2009-11 (ноябрь 2009)</v>
      </c>
      <c r="E1012" s="9" t="s">
        <v>30</v>
      </c>
      <c r="F1012" s="7">
        <v>29</v>
      </c>
      <c r="G1012" s="7">
        <v>20872.16</v>
      </c>
      <c r="H1012" s="7">
        <v>0.03</v>
      </c>
      <c r="I1012" s="9" t="s">
        <v>22</v>
      </c>
      <c r="J1012" s="10">
        <v>-4437.91</v>
      </c>
      <c r="K1012" s="11">
        <v>699.99</v>
      </c>
      <c r="L1012" s="11">
        <v>24.49</v>
      </c>
      <c r="M1012" s="9" t="s">
        <v>347</v>
      </c>
      <c r="N1012" s="6" t="s">
        <v>703</v>
      </c>
      <c r="O1012" s="6" t="s">
        <v>704</v>
      </c>
      <c r="P1012" s="9" t="s">
        <v>41</v>
      </c>
      <c r="Q1012" s="9" t="s">
        <v>42</v>
      </c>
      <c r="R1012" s="9" t="s">
        <v>99</v>
      </c>
      <c r="S1012" s="7" t="s">
        <v>411</v>
      </c>
      <c r="T1012" s="9" t="s">
        <v>29</v>
      </c>
      <c r="U1012" s="7">
        <v>0.41</v>
      </c>
      <c r="V1012" s="12">
        <f>C1012+3</f>
        <v>40147</v>
      </c>
      <c r="W1012">
        <f>IF(D1012=' Pivot Tables'!$A$4,1,0)</f>
        <v>0</v>
      </c>
      <c r="X1012">
        <f>IF(AND(LEFT(D1012,4)+1=LEFT(' Pivot Tables'!$A$4,4)+0,RIGHT(LEFT(D1012,7),2)=RIGHT(LEFT(' Pivot Tables'!$A$4,7),2)),1,0)</f>
        <v>0</v>
      </c>
      <c r="Y1012" s="6">
        <f>1/COUNTIF(Таблица1[Order ID],Таблица1[[#This Row],[Order ID]])</f>
        <v>1</v>
      </c>
      <c r="Z1012" s="9">
        <f>1/COUNTIFS(Таблица1[Customer Name],Таблица1[[#This Row],[Customer Name]],Таблица1[Order-Year-Month],Таблица1[[#This Row],[Order-Year-Month]])</f>
        <v>0.25</v>
      </c>
    </row>
    <row r="1013" spans="1:26" x14ac:dyDescent="0.2">
      <c r="A1013" s="6">
        <v>7348</v>
      </c>
      <c r="B1013" s="7">
        <v>52326</v>
      </c>
      <c r="C1013" s="8">
        <f>DATE(2012,12,31)-880</f>
        <v>40394</v>
      </c>
      <c r="D1013" s="8" t="str">
        <f t="shared" si="20"/>
        <v>2010-08 (август 2010)</v>
      </c>
      <c r="E1013" s="9" t="s">
        <v>21</v>
      </c>
      <c r="F1013" s="7">
        <v>41</v>
      </c>
      <c r="G1013" s="7">
        <v>152.28</v>
      </c>
      <c r="H1013" s="7">
        <v>0.06</v>
      </c>
      <c r="I1013" s="9" t="s">
        <v>22</v>
      </c>
      <c r="J1013" s="10">
        <v>-154.81300000000002</v>
      </c>
      <c r="K1013" s="11">
        <v>3.81</v>
      </c>
      <c r="L1013" s="11">
        <v>5.44</v>
      </c>
      <c r="M1013" s="9" t="s">
        <v>818</v>
      </c>
      <c r="N1013" s="6" t="s">
        <v>703</v>
      </c>
      <c r="O1013" s="6" t="s">
        <v>704</v>
      </c>
      <c r="P1013" s="9" t="s">
        <v>33</v>
      </c>
      <c r="Q1013" s="9" t="s">
        <v>26</v>
      </c>
      <c r="R1013" s="9" t="s">
        <v>37</v>
      </c>
      <c r="S1013" s="7" t="s">
        <v>551</v>
      </c>
      <c r="T1013" s="9" t="s">
        <v>39</v>
      </c>
      <c r="U1013" s="7">
        <v>0.36</v>
      </c>
      <c r="V1013" s="12">
        <f>C1013+4</f>
        <v>40398</v>
      </c>
      <c r="W1013">
        <f>IF(D1013=' Pivot Tables'!$A$4,1,0)</f>
        <v>0</v>
      </c>
      <c r="X1013">
        <f>IF(AND(LEFT(D1013,4)+1=LEFT(' Pivot Tables'!$A$4,4)+0,RIGHT(LEFT(D1013,7),2)=RIGHT(LEFT(' Pivot Tables'!$A$4,7),2)),1,0)</f>
        <v>0</v>
      </c>
      <c r="Y1013" s="6">
        <f>1/COUNTIF(Таблица1[Order ID],Таблица1[[#This Row],[Order ID]])</f>
        <v>1</v>
      </c>
      <c r="Z1013" s="9">
        <f>1/COUNTIFS(Таблица1[Customer Name],Таблица1[[#This Row],[Customer Name]],Таблица1[Order-Year-Month],Таблица1[[#This Row],[Order-Year-Month]])</f>
        <v>1</v>
      </c>
    </row>
    <row r="1014" spans="1:26" x14ac:dyDescent="0.2">
      <c r="A1014" s="6">
        <v>7400</v>
      </c>
      <c r="B1014" s="7">
        <v>52737</v>
      </c>
      <c r="C1014" s="8">
        <f>DATE(2012,12,31)-784</f>
        <v>40490</v>
      </c>
      <c r="D1014" s="8" t="str">
        <f t="shared" si="20"/>
        <v>2010-11 (ноябрь 2010)</v>
      </c>
      <c r="E1014" s="9" t="s">
        <v>45</v>
      </c>
      <c r="F1014" s="7">
        <v>14</v>
      </c>
      <c r="G1014" s="7">
        <v>125.54</v>
      </c>
      <c r="H1014" s="7">
        <v>0.03</v>
      </c>
      <c r="I1014" s="9" t="s">
        <v>56</v>
      </c>
      <c r="J1014" s="10">
        <v>-15.743499999999999</v>
      </c>
      <c r="K1014" s="11">
        <v>7.68</v>
      </c>
      <c r="L1014" s="11">
        <v>6.16</v>
      </c>
      <c r="M1014" s="9" t="s">
        <v>799</v>
      </c>
      <c r="N1014" s="6" t="s">
        <v>703</v>
      </c>
      <c r="O1014" s="6" t="s">
        <v>704</v>
      </c>
      <c r="P1014" s="9" t="s">
        <v>60</v>
      </c>
      <c r="Q1014" s="9" t="s">
        <v>26</v>
      </c>
      <c r="R1014" s="9" t="s">
        <v>37</v>
      </c>
      <c r="S1014" s="7" t="s">
        <v>854</v>
      </c>
      <c r="T1014" s="9" t="s">
        <v>39</v>
      </c>
      <c r="U1014" s="7">
        <v>0.35</v>
      </c>
      <c r="V1014" s="12">
        <f>C1014+1</f>
        <v>40491</v>
      </c>
      <c r="W1014">
        <f>IF(D1014=' Pivot Tables'!$A$4,1,0)</f>
        <v>0</v>
      </c>
      <c r="X1014">
        <f>IF(AND(LEFT(D1014,4)+1=LEFT(' Pivot Tables'!$A$4,4)+0,RIGHT(LEFT(D1014,7),2)=RIGHT(LEFT(' Pivot Tables'!$A$4,7),2)),1,0)</f>
        <v>0</v>
      </c>
      <c r="Y1014" s="6">
        <f>1/COUNTIF(Таблица1[Order ID],Таблица1[[#This Row],[Order ID]])</f>
        <v>1</v>
      </c>
      <c r="Z1014" s="9">
        <f>1/COUNTIFS(Таблица1[Customer Name],Таблица1[[#This Row],[Customer Name]],Таблица1[Order-Year-Month],Таблица1[[#This Row],[Order-Year-Month]])</f>
        <v>1</v>
      </c>
    </row>
    <row r="1015" spans="1:26" x14ac:dyDescent="0.2">
      <c r="A1015" s="6">
        <v>7458</v>
      </c>
      <c r="B1015" s="7">
        <v>53216</v>
      </c>
      <c r="C1015" s="8">
        <f>DATE(2012,12,31)-27</f>
        <v>41247</v>
      </c>
      <c r="D1015" s="8" t="str">
        <f t="shared" si="20"/>
        <v>2012-12 (декабрь 2012)</v>
      </c>
      <c r="E1015" s="9" t="s">
        <v>30</v>
      </c>
      <c r="F1015" s="7">
        <v>36</v>
      </c>
      <c r="G1015" s="7">
        <v>228.01</v>
      </c>
      <c r="H1015" s="7">
        <v>0.06</v>
      </c>
      <c r="I1015" s="9" t="s">
        <v>22</v>
      </c>
      <c r="J1015" s="10">
        <v>-185.54</v>
      </c>
      <c r="K1015" s="11">
        <v>6.48</v>
      </c>
      <c r="L1015" s="11">
        <v>8.73</v>
      </c>
      <c r="M1015" s="9" t="s">
        <v>347</v>
      </c>
      <c r="N1015" s="6" t="s">
        <v>703</v>
      </c>
      <c r="O1015" s="6" t="s">
        <v>704</v>
      </c>
      <c r="P1015" s="9" t="s">
        <v>41</v>
      </c>
      <c r="Q1015" s="9" t="s">
        <v>26</v>
      </c>
      <c r="R1015" s="9" t="s">
        <v>61</v>
      </c>
      <c r="S1015" s="7" t="s">
        <v>828</v>
      </c>
      <c r="T1015" s="9" t="s">
        <v>39</v>
      </c>
      <c r="U1015" s="7">
        <v>0.37</v>
      </c>
      <c r="V1015" s="12">
        <f>C1015+3</f>
        <v>41250</v>
      </c>
      <c r="W1015">
        <f>IF(D1015=' Pivot Tables'!$A$4,1,0)</f>
        <v>0</v>
      </c>
      <c r="X1015">
        <f>IF(AND(LEFT(D1015,4)+1=LEFT(' Pivot Tables'!$A$4,4)+0,RIGHT(LEFT(D1015,7),2)=RIGHT(LEFT(' Pivot Tables'!$A$4,7),2)),1,0)</f>
        <v>0</v>
      </c>
      <c r="Y1015" s="6">
        <f>1/COUNTIF(Таблица1[Order ID],Таблица1[[#This Row],[Order ID]])</f>
        <v>1</v>
      </c>
      <c r="Z1015" s="9">
        <f>1/COUNTIFS(Таблица1[Customer Name],Таблица1[[#This Row],[Customer Name]],Таблица1[Order-Year-Month],Таблица1[[#This Row],[Order-Year-Month]])</f>
        <v>1</v>
      </c>
    </row>
    <row r="1016" spans="1:26" x14ac:dyDescent="0.2">
      <c r="A1016" s="6">
        <v>7558</v>
      </c>
      <c r="B1016" s="7">
        <v>54081</v>
      </c>
      <c r="C1016" s="8">
        <f>DATE(2012,12,31)-662</f>
        <v>40612</v>
      </c>
      <c r="D1016" s="8" t="str">
        <f t="shared" si="20"/>
        <v>2011-03 (март 2011)</v>
      </c>
      <c r="E1016" s="9" t="s">
        <v>21</v>
      </c>
      <c r="F1016" s="7">
        <v>2</v>
      </c>
      <c r="G1016" s="7">
        <v>57.5</v>
      </c>
      <c r="H1016" s="7">
        <v>0.02</v>
      </c>
      <c r="I1016" s="9" t="s">
        <v>22</v>
      </c>
      <c r="J1016" s="10">
        <v>-83.18</v>
      </c>
      <c r="K1016" s="11">
        <v>28.48</v>
      </c>
      <c r="L1016" s="11">
        <v>1.99</v>
      </c>
      <c r="M1016" s="9" t="s">
        <v>753</v>
      </c>
      <c r="N1016" s="6" t="s">
        <v>703</v>
      </c>
      <c r="O1016" s="6" t="s">
        <v>704</v>
      </c>
      <c r="P1016" s="9" t="s">
        <v>60</v>
      </c>
      <c r="Q1016" s="9" t="s">
        <v>42</v>
      </c>
      <c r="R1016" s="9" t="s">
        <v>70</v>
      </c>
      <c r="S1016" s="7" t="s">
        <v>523</v>
      </c>
      <c r="T1016" s="9" t="s">
        <v>52</v>
      </c>
      <c r="U1016" s="7">
        <v>0.4</v>
      </c>
      <c r="V1016" s="12">
        <f>C1016+2</f>
        <v>40614</v>
      </c>
      <c r="W1016">
        <f>IF(D1016=' Pivot Tables'!$A$4,1,0)</f>
        <v>0</v>
      </c>
      <c r="X1016">
        <f>IF(AND(LEFT(D1016,4)+1=LEFT(' Pivot Tables'!$A$4,4)+0,RIGHT(LEFT(D1016,7),2)=RIGHT(LEFT(' Pivot Tables'!$A$4,7),2)),1,0)</f>
        <v>0</v>
      </c>
      <c r="Y1016" s="6">
        <f>1/COUNTIF(Таблица1[Order ID],Таблица1[[#This Row],[Order ID]])</f>
        <v>1</v>
      </c>
      <c r="Z1016" s="9">
        <f>1/COUNTIFS(Таблица1[Customer Name],Таблица1[[#This Row],[Customer Name]],Таблица1[Order-Year-Month],Таблица1[[#This Row],[Order-Year-Month]])</f>
        <v>1</v>
      </c>
    </row>
    <row r="1017" spans="1:26" x14ac:dyDescent="0.2">
      <c r="A1017" s="6">
        <v>7624</v>
      </c>
      <c r="B1017" s="7">
        <v>54560</v>
      </c>
      <c r="C1017" s="8">
        <f>DATE(2012,12,31)-1264</f>
        <v>40010</v>
      </c>
      <c r="D1017" s="8" t="str">
        <f t="shared" si="20"/>
        <v>2009-07 (июль 2009)</v>
      </c>
      <c r="E1017" s="9" t="s">
        <v>78</v>
      </c>
      <c r="F1017" s="7">
        <v>22</v>
      </c>
      <c r="G1017" s="7">
        <v>604.38</v>
      </c>
      <c r="H1017" s="7">
        <v>0.09</v>
      </c>
      <c r="I1017" s="9" t="s">
        <v>22</v>
      </c>
      <c r="J1017" s="10">
        <v>167.58</v>
      </c>
      <c r="K1017" s="11">
        <v>28.48</v>
      </c>
      <c r="L1017" s="11">
        <v>1.99</v>
      </c>
      <c r="M1017" s="9" t="s">
        <v>806</v>
      </c>
      <c r="N1017" s="6" t="s">
        <v>703</v>
      </c>
      <c r="O1017" s="6" t="s">
        <v>704</v>
      </c>
      <c r="P1017" s="9" t="s">
        <v>25</v>
      </c>
      <c r="Q1017" s="9" t="s">
        <v>42</v>
      </c>
      <c r="R1017" s="9" t="s">
        <v>70</v>
      </c>
      <c r="S1017" s="7" t="s">
        <v>523</v>
      </c>
      <c r="T1017" s="9" t="s">
        <v>52</v>
      </c>
      <c r="U1017" s="7">
        <v>0.4</v>
      </c>
      <c r="V1017" s="12">
        <f>C1017+3</f>
        <v>40013</v>
      </c>
      <c r="W1017">
        <f>IF(D1017=' Pivot Tables'!$A$4,1,0)</f>
        <v>0</v>
      </c>
      <c r="X1017">
        <f>IF(AND(LEFT(D1017,4)+1=LEFT(' Pivot Tables'!$A$4,4)+0,RIGHT(LEFT(D1017,7),2)=RIGHT(LEFT(' Pivot Tables'!$A$4,7),2)),1,0)</f>
        <v>0</v>
      </c>
      <c r="Y1017" s="6">
        <f>1/COUNTIF(Таблица1[Order ID],Таблица1[[#This Row],[Order ID]])</f>
        <v>0.5</v>
      </c>
      <c r="Z1017" s="9">
        <f>1/COUNTIFS(Таблица1[Customer Name],Таблица1[[#This Row],[Customer Name]],Таблица1[Order-Year-Month],Таблица1[[#This Row],[Order-Year-Month]])</f>
        <v>0.5</v>
      </c>
    </row>
    <row r="1018" spans="1:26" x14ac:dyDescent="0.2">
      <c r="A1018" s="6">
        <v>7625</v>
      </c>
      <c r="B1018" s="7">
        <v>54560</v>
      </c>
      <c r="C1018" s="8">
        <f>DATE(2012,12,31)-1264</f>
        <v>40010</v>
      </c>
      <c r="D1018" s="8" t="str">
        <f t="shared" si="20"/>
        <v>2009-07 (июль 2009)</v>
      </c>
      <c r="E1018" s="9" t="s">
        <v>78</v>
      </c>
      <c r="F1018" s="7">
        <v>45</v>
      </c>
      <c r="G1018" s="7">
        <v>2404.5990000000002</v>
      </c>
      <c r="H1018" s="7">
        <v>0.08</v>
      </c>
      <c r="I1018" s="9" t="s">
        <v>56</v>
      </c>
      <c r="J1018" s="10">
        <v>496.89</v>
      </c>
      <c r="K1018" s="11">
        <v>65.989999999999995</v>
      </c>
      <c r="L1018" s="11">
        <v>4.99</v>
      </c>
      <c r="M1018" s="9" t="s">
        <v>806</v>
      </c>
      <c r="N1018" s="6" t="s">
        <v>703</v>
      </c>
      <c r="O1018" s="6" t="s">
        <v>704</v>
      </c>
      <c r="P1018" s="9" t="s">
        <v>25</v>
      </c>
      <c r="Q1018" s="9" t="s">
        <v>42</v>
      </c>
      <c r="R1018" s="9" t="s">
        <v>43</v>
      </c>
      <c r="S1018" s="7" t="s">
        <v>855</v>
      </c>
      <c r="T1018" s="9" t="s">
        <v>39</v>
      </c>
      <c r="U1018" s="7">
        <v>0.57999999999999996</v>
      </c>
      <c r="V1018" s="12">
        <f>C1018+2</f>
        <v>40012</v>
      </c>
      <c r="W1018">
        <f>IF(D1018=' Pivot Tables'!$A$4,1,0)</f>
        <v>0</v>
      </c>
      <c r="X1018">
        <f>IF(AND(LEFT(D1018,4)+1=LEFT(' Pivot Tables'!$A$4,4)+0,RIGHT(LEFT(D1018,7),2)=RIGHT(LEFT(' Pivot Tables'!$A$4,7),2)),1,0)</f>
        <v>0</v>
      </c>
      <c r="Y1018" s="6">
        <f>1/COUNTIF(Таблица1[Order ID],Таблица1[[#This Row],[Order ID]])</f>
        <v>0.5</v>
      </c>
      <c r="Z1018" s="9">
        <f>1/COUNTIFS(Таблица1[Customer Name],Таблица1[[#This Row],[Customer Name]],Таблица1[Order-Year-Month],Таблица1[[#This Row],[Order-Year-Month]])</f>
        <v>0.5</v>
      </c>
    </row>
    <row r="1019" spans="1:26" x14ac:dyDescent="0.2">
      <c r="A1019" s="6">
        <v>7662</v>
      </c>
      <c r="B1019" s="7">
        <v>54947</v>
      </c>
      <c r="C1019" s="8">
        <f>DATE(2012,12,31)-1408</f>
        <v>39866</v>
      </c>
      <c r="D1019" s="8" t="str">
        <f t="shared" si="20"/>
        <v>2009-02 (февраль 2009)</v>
      </c>
      <c r="E1019" s="9" t="s">
        <v>45</v>
      </c>
      <c r="F1019" s="7">
        <v>27</v>
      </c>
      <c r="G1019" s="7">
        <v>132.36000000000001</v>
      </c>
      <c r="H1019" s="7">
        <v>0.05</v>
      </c>
      <c r="I1019" s="9" t="s">
        <v>22</v>
      </c>
      <c r="J1019" s="10">
        <v>-98.35</v>
      </c>
      <c r="K1019" s="11">
        <v>4.9800000000000004</v>
      </c>
      <c r="L1019" s="11">
        <v>4.62</v>
      </c>
      <c r="M1019" s="9" t="s">
        <v>856</v>
      </c>
      <c r="N1019" s="6" t="s">
        <v>703</v>
      </c>
      <c r="O1019" s="6" t="s">
        <v>704</v>
      </c>
      <c r="P1019" s="9" t="s">
        <v>33</v>
      </c>
      <c r="Q1019" s="9" t="s">
        <v>42</v>
      </c>
      <c r="R1019" s="9" t="s">
        <v>70</v>
      </c>
      <c r="S1019" s="7" t="s">
        <v>402</v>
      </c>
      <c r="T1019" s="9" t="s">
        <v>52</v>
      </c>
      <c r="U1019" s="7">
        <v>0.64</v>
      </c>
      <c r="V1019" s="12">
        <f>C1019+1</f>
        <v>39867</v>
      </c>
      <c r="W1019">
        <f>IF(D1019=' Pivot Tables'!$A$4,1,0)</f>
        <v>0</v>
      </c>
      <c r="X1019">
        <f>IF(AND(LEFT(D1019,4)+1=LEFT(' Pivot Tables'!$A$4,4)+0,RIGHT(LEFT(D1019,7),2)=RIGHT(LEFT(' Pivot Tables'!$A$4,7),2)),1,0)</f>
        <v>0</v>
      </c>
      <c r="Y1019" s="6">
        <f>1/COUNTIF(Таблица1[Order ID],Таблица1[[#This Row],[Order ID]])</f>
        <v>0.5</v>
      </c>
      <c r="Z1019" s="9">
        <f>1/COUNTIFS(Таблица1[Customer Name],Таблица1[[#This Row],[Customer Name]],Таблица1[Order-Year-Month],Таблица1[[#This Row],[Order-Year-Month]])</f>
        <v>0.5</v>
      </c>
    </row>
    <row r="1020" spans="1:26" x14ac:dyDescent="0.2">
      <c r="A1020" s="6">
        <v>7663</v>
      </c>
      <c r="B1020" s="7">
        <v>54947</v>
      </c>
      <c r="C1020" s="8">
        <f>DATE(2012,12,31)-1408</f>
        <v>39866</v>
      </c>
      <c r="D1020" s="8" t="str">
        <f t="shared" si="20"/>
        <v>2009-02 (февраль 2009)</v>
      </c>
      <c r="E1020" s="9" t="s">
        <v>45</v>
      </c>
      <c r="F1020" s="7">
        <v>42</v>
      </c>
      <c r="G1020" s="7">
        <v>1498.46</v>
      </c>
      <c r="H1020" s="7">
        <v>0.02</v>
      </c>
      <c r="I1020" s="9" t="s">
        <v>22</v>
      </c>
      <c r="J1020" s="10">
        <v>565.37</v>
      </c>
      <c r="K1020" s="11">
        <v>34.229999999999997</v>
      </c>
      <c r="L1020" s="11">
        <v>5.0199999999999996</v>
      </c>
      <c r="M1020" s="9" t="s">
        <v>856</v>
      </c>
      <c r="N1020" s="6" t="s">
        <v>703</v>
      </c>
      <c r="O1020" s="6" t="s">
        <v>704</v>
      </c>
      <c r="P1020" s="9" t="s">
        <v>33</v>
      </c>
      <c r="Q1020" s="9" t="s">
        <v>49</v>
      </c>
      <c r="R1020" s="9" t="s">
        <v>50</v>
      </c>
      <c r="S1020" s="7" t="s">
        <v>857</v>
      </c>
      <c r="T1020" s="9" t="s">
        <v>39</v>
      </c>
      <c r="U1020" s="7">
        <v>0.55000000000000004</v>
      </c>
      <c r="V1020" s="12">
        <f>C1020+2</f>
        <v>39868</v>
      </c>
      <c r="W1020">
        <f>IF(D1020=' Pivot Tables'!$A$4,1,0)</f>
        <v>0</v>
      </c>
      <c r="X1020">
        <f>IF(AND(LEFT(D1020,4)+1=LEFT(' Pivot Tables'!$A$4,4)+0,RIGHT(LEFT(D1020,7),2)=RIGHT(LEFT(' Pivot Tables'!$A$4,7),2)),1,0)</f>
        <v>0</v>
      </c>
      <c r="Y1020" s="6">
        <f>1/COUNTIF(Таблица1[Order ID],Таблица1[[#This Row],[Order ID]])</f>
        <v>0.5</v>
      </c>
      <c r="Z1020" s="9">
        <f>1/COUNTIFS(Таблица1[Customer Name],Таблица1[[#This Row],[Customer Name]],Таблица1[Order-Year-Month],Таблица1[[#This Row],[Order-Year-Month]])</f>
        <v>0.5</v>
      </c>
    </row>
    <row r="1021" spans="1:26" x14ac:dyDescent="0.2">
      <c r="A1021" s="6">
        <v>7694</v>
      </c>
      <c r="B1021" s="7">
        <v>55170</v>
      </c>
      <c r="C1021" s="8">
        <f>DATE(2012,12,31)-101</f>
        <v>41173</v>
      </c>
      <c r="D1021" s="8" t="str">
        <f t="shared" si="20"/>
        <v>2012-09 (сентябрь 2012)</v>
      </c>
      <c r="E1021" s="9" t="s">
        <v>78</v>
      </c>
      <c r="F1021" s="7">
        <v>22</v>
      </c>
      <c r="G1021" s="7">
        <v>985.29</v>
      </c>
      <c r="H1021" s="7">
        <v>0.04</v>
      </c>
      <c r="I1021" s="9" t="s">
        <v>56</v>
      </c>
      <c r="J1021" s="10">
        <v>138.37</v>
      </c>
      <c r="K1021" s="11">
        <v>43.98</v>
      </c>
      <c r="L1021" s="11">
        <v>8.99</v>
      </c>
      <c r="M1021" s="9" t="s">
        <v>818</v>
      </c>
      <c r="N1021" s="6" t="s">
        <v>703</v>
      </c>
      <c r="O1021" s="6" t="s">
        <v>704</v>
      </c>
      <c r="P1021" s="9" t="s">
        <v>25</v>
      </c>
      <c r="Q1021" s="9" t="s">
        <v>26</v>
      </c>
      <c r="R1021" s="9" t="s">
        <v>95</v>
      </c>
      <c r="S1021" s="7" t="s">
        <v>858</v>
      </c>
      <c r="T1021" s="9" t="s">
        <v>52</v>
      </c>
      <c r="U1021" s="7">
        <v>0.57999999999999996</v>
      </c>
      <c r="V1021" s="12">
        <f>C1021+2</f>
        <v>41175</v>
      </c>
      <c r="W1021">
        <f>IF(D1021=' Pivot Tables'!$A$4,1,0)</f>
        <v>0</v>
      </c>
      <c r="X1021">
        <f>IF(AND(LEFT(D1021,4)+1=LEFT(' Pivot Tables'!$A$4,4)+0,RIGHT(LEFT(D1021,7),2)=RIGHT(LEFT(' Pivot Tables'!$A$4,7),2)),1,0)</f>
        <v>0</v>
      </c>
      <c r="Y1021" s="6">
        <f>1/COUNTIF(Таблица1[Order ID],Таблица1[[#This Row],[Order ID]])</f>
        <v>1</v>
      </c>
      <c r="Z1021" s="9">
        <f>1/COUNTIFS(Таблица1[Customer Name],Таблица1[[#This Row],[Customer Name]],Таблица1[Order-Year-Month],Таблица1[[#This Row],[Order-Year-Month]])</f>
        <v>1</v>
      </c>
    </row>
    <row r="1022" spans="1:26" x14ac:dyDescent="0.2">
      <c r="A1022" s="6">
        <v>7796</v>
      </c>
      <c r="B1022" s="7">
        <v>55777</v>
      </c>
      <c r="C1022" s="8">
        <f>DATE(2012,12,31)-51</f>
        <v>41223</v>
      </c>
      <c r="D1022" s="8" t="str">
        <f t="shared" si="20"/>
        <v>2012-11 (ноябрь 2012)</v>
      </c>
      <c r="E1022" s="9" t="s">
        <v>45</v>
      </c>
      <c r="F1022" s="7">
        <v>6</v>
      </c>
      <c r="G1022" s="7">
        <v>323.52999999999997</v>
      </c>
      <c r="H1022" s="7">
        <v>0.06</v>
      </c>
      <c r="I1022" s="9" t="s">
        <v>22</v>
      </c>
      <c r="J1022" s="10">
        <v>136.32</v>
      </c>
      <c r="K1022" s="11">
        <v>51.75</v>
      </c>
      <c r="L1022" s="11">
        <v>19.989999999999998</v>
      </c>
      <c r="M1022" s="9" t="s">
        <v>347</v>
      </c>
      <c r="N1022" s="6" t="s">
        <v>703</v>
      </c>
      <c r="O1022" s="6" t="s">
        <v>704</v>
      </c>
      <c r="P1022" s="9" t="s">
        <v>41</v>
      </c>
      <c r="Q1022" s="9" t="s">
        <v>49</v>
      </c>
      <c r="R1022" s="9" t="s">
        <v>50</v>
      </c>
      <c r="S1022" s="7" t="s">
        <v>293</v>
      </c>
      <c r="T1022" s="9" t="s">
        <v>39</v>
      </c>
      <c r="U1022" s="7">
        <v>0.55000000000000004</v>
      </c>
      <c r="V1022" s="12">
        <f>C1022+1</f>
        <v>41224</v>
      </c>
      <c r="W1022">
        <f>IF(D1022=' Pivot Tables'!$A$4,1,0)</f>
        <v>0</v>
      </c>
      <c r="X1022">
        <f>IF(AND(LEFT(D1022,4)+1=LEFT(' Pivot Tables'!$A$4,4)+0,RIGHT(LEFT(D1022,7),2)=RIGHT(LEFT(' Pivot Tables'!$A$4,7),2)),1,0)</f>
        <v>0</v>
      </c>
      <c r="Y1022" s="6">
        <f>1/COUNTIF(Таблица1[Order ID],Таблица1[[#This Row],[Order ID]])</f>
        <v>0.5</v>
      </c>
      <c r="Z1022" s="9">
        <f>1/COUNTIFS(Таблица1[Customer Name],Таблица1[[#This Row],[Customer Name]],Таблица1[Order-Year-Month],Таблица1[[#This Row],[Order-Year-Month]])</f>
        <v>0.5</v>
      </c>
    </row>
    <row r="1023" spans="1:26" x14ac:dyDescent="0.2">
      <c r="A1023" s="6">
        <v>7797</v>
      </c>
      <c r="B1023" s="7">
        <v>55777</v>
      </c>
      <c r="C1023" s="8">
        <f>DATE(2012,12,31)-51</f>
        <v>41223</v>
      </c>
      <c r="D1023" s="8" t="str">
        <f t="shared" si="20"/>
        <v>2012-11 (ноябрь 2012)</v>
      </c>
      <c r="E1023" s="9" t="s">
        <v>45</v>
      </c>
      <c r="F1023" s="7">
        <v>1</v>
      </c>
      <c r="G1023" s="7">
        <v>65.747500000000002</v>
      </c>
      <c r="H1023" s="7">
        <v>0.1</v>
      </c>
      <c r="I1023" s="9" t="s">
        <v>56</v>
      </c>
      <c r="J1023" s="10">
        <v>-252.483</v>
      </c>
      <c r="K1023" s="11">
        <v>65.989999999999995</v>
      </c>
      <c r="L1023" s="11">
        <v>3.99</v>
      </c>
      <c r="M1023" s="9" t="s">
        <v>347</v>
      </c>
      <c r="N1023" s="6" t="s">
        <v>703</v>
      </c>
      <c r="O1023" s="6" t="s">
        <v>704</v>
      </c>
      <c r="P1023" s="9" t="s">
        <v>41</v>
      </c>
      <c r="Q1023" s="9" t="s">
        <v>42</v>
      </c>
      <c r="R1023" s="9" t="s">
        <v>43</v>
      </c>
      <c r="S1023" s="7" t="s">
        <v>582</v>
      </c>
      <c r="T1023" s="9" t="s">
        <v>39</v>
      </c>
      <c r="U1023" s="7">
        <v>0.59</v>
      </c>
      <c r="V1023" s="12">
        <f>C1023+2</f>
        <v>41225</v>
      </c>
      <c r="W1023">
        <f>IF(D1023=' Pivot Tables'!$A$4,1,0)</f>
        <v>0</v>
      </c>
      <c r="X1023">
        <f>IF(AND(LEFT(D1023,4)+1=LEFT(' Pivot Tables'!$A$4,4)+0,RIGHT(LEFT(D1023,7),2)=RIGHT(LEFT(' Pivot Tables'!$A$4,7),2)),1,0)</f>
        <v>0</v>
      </c>
      <c r="Y1023" s="6">
        <f>1/COUNTIF(Таблица1[Order ID],Таблица1[[#This Row],[Order ID]])</f>
        <v>0.5</v>
      </c>
      <c r="Z1023" s="9">
        <f>1/COUNTIFS(Таблица1[Customer Name],Таблица1[[#This Row],[Customer Name]],Таблица1[Order-Year-Month],Таблица1[[#This Row],[Order-Year-Month]])</f>
        <v>0.5</v>
      </c>
    </row>
    <row r="1024" spans="1:26" x14ac:dyDescent="0.2">
      <c r="A1024" s="6">
        <v>7830</v>
      </c>
      <c r="B1024" s="7">
        <v>56001</v>
      </c>
      <c r="C1024" s="8">
        <f>DATE(2012,12,31)-994</f>
        <v>40280</v>
      </c>
      <c r="D1024" s="8" t="str">
        <f t="shared" si="20"/>
        <v>2010-04 (апрель 2010)</v>
      </c>
      <c r="E1024" s="9" t="s">
        <v>21</v>
      </c>
      <c r="F1024" s="7">
        <v>17</v>
      </c>
      <c r="G1024" s="7">
        <v>118.36</v>
      </c>
      <c r="H1024" s="7">
        <v>0.08</v>
      </c>
      <c r="I1024" s="9" t="s">
        <v>56</v>
      </c>
      <c r="J1024" s="10">
        <v>-60.65</v>
      </c>
      <c r="K1024" s="11">
        <v>6.48</v>
      </c>
      <c r="L1024" s="11">
        <v>7.37</v>
      </c>
      <c r="M1024" s="9" t="s">
        <v>799</v>
      </c>
      <c r="N1024" s="6" t="s">
        <v>703</v>
      </c>
      <c r="O1024" s="6" t="s">
        <v>704</v>
      </c>
      <c r="P1024" s="9" t="s">
        <v>60</v>
      </c>
      <c r="Q1024" s="9" t="s">
        <v>26</v>
      </c>
      <c r="R1024" s="9" t="s">
        <v>61</v>
      </c>
      <c r="S1024" s="7" t="s">
        <v>859</v>
      </c>
      <c r="T1024" s="9" t="s">
        <v>39</v>
      </c>
      <c r="U1024" s="7">
        <v>0.37</v>
      </c>
      <c r="V1024" s="12">
        <f>C1024+4</f>
        <v>40284</v>
      </c>
      <c r="W1024">
        <f>IF(D1024=' Pivot Tables'!$A$4,1,0)</f>
        <v>0</v>
      </c>
      <c r="X1024">
        <f>IF(AND(LEFT(D1024,4)+1=LEFT(' Pivot Tables'!$A$4,4)+0,RIGHT(LEFT(D1024,7),2)=RIGHT(LEFT(' Pivot Tables'!$A$4,7),2)),1,0)</f>
        <v>0</v>
      </c>
      <c r="Y1024" s="6">
        <f>1/COUNTIF(Таблица1[Order ID],Таблица1[[#This Row],[Order ID]])</f>
        <v>1</v>
      </c>
      <c r="Z1024" s="9">
        <f>1/COUNTIFS(Таблица1[Customer Name],Таблица1[[#This Row],[Customer Name]],Таблица1[Order-Year-Month],Таблица1[[#This Row],[Order-Year-Month]])</f>
        <v>1</v>
      </c>
    </row>
    <row r="1025" spans="1:26" x14ac:dyDescent="0.2">
      <c r="A1025" s="6">
        <v>7921</v>
      </c>
      <c r="B1025" s="7">
        <v>56640</v>
      </c>
      <c r="C1025" s="8">
        <f>DATE(2012,12,31)-494</f>
        <v>40780</v>
      </c>
      <c r="D1025" s="8" t="str">
        <f t="shared" si="20"/>
        <v>2011-08 (август 2011)</v>
      </c>
      <c r="E1025" s="9" t="s">
        <v>30</v>
      </c>
      <c r="F1025" s="7">
        <v>2</v>
      </c>
      <c r="G1025" s="7">
        <v>29.31</v>
      </c>
      <c r="H1025" s="7">
        <v>0</v>
      </c>
      <c r="I1025" s="9" t="s">
        <v>22</v>
      </c>
      <c r="J1025" s="10">
        <v>-12.78</v>
      </c>
      <c r="K1025" s="11">
        <v>11.48</v>
      </c>
      <c r="L1025" s="11">
        <v>5.43</v>
      </c>
      <c r="M1025" s="9" t="s">
        <v>797</v>
      </c>
      <c r="N1025" s="6" t="s">
        <v>703</v>
      </c>
      <c r="O1025" s="6" t="s">
        <v>704</v>
      </c>
      <c r="P1025" s="9" t="s">
        <v>41</v>
      </c>
      <c r="Q1025" s="9" t="s">
        <v>26</v>
      </c>
      <c r="R1025" s="9" t="s">
        <v>61</v>
      </c>
      <c r="S1025" s="7" t="s">
        <v>148</v>
      </c>
      <c r="T1025" s="9" t="s">
        <v>39</v>
      </c>
      <c r="U1025" s="7">
        <v>0.36</v>
      </c>
      <c r="V1025" s="12">
        <f>C1025+1</f>
        <v>40781</v>
      </c>
      <c r="W1025">
        <f>IF(D1025=' Pivot Tables'!$A$4,1,0)</f>
        <v>0</v>
      </c>
      <c r="X1025">
        <f>IF(AND(LEFT(D1025,4)+1=LEFT(' Pivot Tables'!$A$4,4)+0,RIGHT(LEFT(D1025,7),2)=RIGHT(LEFT(' Pivot Tables'!$A$4,7),2)),1,0)</f>
        <v>0</v>
      </c>
      <c r="Y1025" s="6">
        <f>1/COUNTIF(Таблица1[Order ID],Таблица1[[#This Row],[Order ID]])</f>
        <v>0.5</v>
      </c>
      <c r="Z1025" s="9">
        <f>1/COUNTIFS(Таблица1[Customer Name],Таблица1[[#This Row],[Customer Name]],Таблица1[Order-Year-Month],Таблица1[[#This Row],[Order-Year-Month]])</f>
        <v>0.5</v>
      </c>
    </row>
    <row r="1026" spans="1:26" x14ac:dyDescent="0.2">
      <c r="A1026" s="6">
        <v>7922</v>
      </c>
      <c r="B1026" s="7">
        <v>56640</v>
      </c>
      <c r="C1026" s="8">
        <f>DATE(2012,12,31)-494</f>
        <v>40780</v>
      </c>
      <c r="D1026" s="8" t="str">
        <f t="shared" si="20"/>
        <v>2011-08 (август 2011)</v>
      </c>
      <c r="E1026" s="9" t="s">
        <v>30</v>
      </c>
      <c r="F1026" s="7">
        <v>11</v>
      </c>
      <c r="G1026" s="7">
        <v>80.260000000000005</v>
      </c>
      <c r="H1026" s="7">
        <v>0.06</v>
      </c>
      <c r="I1026" s="9" t="s">
        <v>22</v>
      </c>
      <c r="J1026" s="10">
        <v>-22.55</v>
      </c>
      <c r="K1026" s="11">
        <v>6.68</v>
      </c>
      <c r="L1026" s="11">
        <v>5.66</v>
      </c>
      <c r="M1026" s="9" t="s">
        <v>797</v>
      </c>
      <c r="N1026" s="6" t="s">
        <v>703</v>
      </c>
      <c r="O1026" s="6" t="s">
        <v>704</v>
      </c>
      <c r="P1026" s="9" t="s">
        <v>41</v>
      </c>
      <c r="Q1026" s="9" t="s">
        <v>26</v>
      </c>
      <c r="R1026" s="9" t="s">
        <v>61</v>
      </c>
      <c r="S1026" s="7" t="s">
        <v>860</v>
      </c>
      <c r="T1026" s="9" t="s">
        <v>39</v>
      </c>
      <c r="U1026" s="7">
        <v>0.37</v>
      </c>
      <c r="V1026" s="12">
        <f>C1026+1</f>
        <v>40781</v>
      </c>
      <c r="W1026">
        <f>IF(D1026=' Pivot Tables'!$A$4,1,0)</f>
        <v>0</v>
      </c>
      <c r="X1026">
        <f>IF(AND(LEFT(D1026,4)+1=LEFT(' Pivot Tables'!$A$4,4)+0,RIGHT(LEFT(D1026,7),2)=RIGHT(LEFT(' Pivot Tables'!$A$4,7),2)),1,0)</f>
        <v>0</v>
      </c>
      <c r="Y1026" s="6">
        <f>1/COUNTIF(Таблица1[Order ID],Таблица1[[#This Row],[Order ID]])</f>
        <v>0.5</v>
      </c>
      <c r="Z1026" s="9">
        <f>1/COUNTIFS(Таблица1[Customer Name],Таблица1[[#This Row],[Customer Name]],Таблица1[Order-Year-Month],Таблица1[[#This Row],[Order-Year-Month]])</f>
        <v>0.5</v>
      </c>
    </row>
    <row r="1027" spans="1:26" x14ac:dyDescent="0.2">
      <c r="A1027" s="6">
        <v>8313</v>
      </c>
      <c r="B1027" s="7">
        <v>59393</v>
      </c>
      <c r="C1027" s="8">
        <f>DATE(2012,12,31)-772</f>
        <v>40502</v>
      </c>
      <c r="D1027" s="8" t="str">
        <f t="shared" ref="D1027:D1090" si="21">TEXT(C1027,"гггг-ММ (ММММ гггг)")</f>
        <v>2010-11 (ноябрь 2010)</v>
      </c>
      <c r="E1027" s="9" t="s">
        <v>63</v>
      </c>
      <c r="F1027" s="7">
        <v>34</v>
      </c>
      <c r="G1027" s="7">
        <v>398.76</v>
      </c>
      <c r="H1027" s="7">
        <v>7.0000000000000007E-2</v>
      </c>
      <c r="I1027" s="9" t="s">
        <v>22</v>
      </c>
      <c r="J1027" s="10">
        <v>0.82</v>
      </c>
      <c r="K1027" s="11">
        <v>11.58</v>
      </c>
      <c r="L1027" s="11">
        <v>6.97</v>
      </c>
      <c r="M1027" s="9" t="s">
        <v>753</v>
      </c>
      <c r="N1027" s="6" t="s">
        <v>703</v>
      </c>
      <c r="O1027" s="6" t="s">
        <v>704</v>
      </c>
      <c r="P1027" s="9" t="s">
        <v>60</v>
      </c>
      <c r="Q1027" s="9" t="s">
        <v>26</v>
      </c>
      <c r="R1027" s="9" t="s">
        <v>76</v>
      </c>
      <c r="S1027" s="7" t="s">
        <v>304</v>
      </c>
      <c r="T1027" s="9" t="s">
        <v>39</v>
      </c>
      <c r="U1027" s="7">
        <v>0.35</v>
      </c>
      <c r="V1027" s="12">
        <f>C1027+1</f>
        <v>40503</v>
      </c>
      <c r="W1027">
        <f>IF(D1027=' Pivot Tables'!$A$4,1,0)</f>
        <v>0</v>
      </c>
      <c r="X1027">
        <f>IF(AND(LEFT(D1027,4)+1=LEFT(' Pivot Tables'!$A$4,4)+0,RIGHT(LEFT(D1027,7),2)=RIGHT(LEFT(' Pivot Tables'!$A$4,7),2)),1,0)</f>
        <v>0</v>
      </c>
      <c r="Y1027" s="6">
        <f>1/COUNTIF(Таблица1[Order ID],Таблица1[[#This Row],[Order ID]])</f>
        <v>1</v>
      </c>
      <c r="Z1027" s="9">
        <f>1/COUNTIFS(Таблица1[Customer Name],Таблица1[[#This Row],[Customer Name]],Таблица1[Order-Year-Month],Таблица1[[#This Row],[Order-Year-Month]])</f>
        <v>1</v>
      </c>
    </row>
    <row r="1028" spans="1:26" x14ac:dyDescent="0.2">
      <c r="A1028" s="6">
        <v>8357</v>
      </c>
      <c r="B1028" s="7">
        <v>59712</v>
      </c>
      <c r="C1028" s="8">
        <f>DATE(2012,12,31)-930</f>
        <v>40344</v>
      </c>
      <c r="D1028" s="8" t="str">
        <f t="shared" si="21"/>
        <v>2010-06 (июнь 2010)</v>
      </c>
      <c r="E1028" s="9" t="s">
        <v>78</v>
      </c>
      <c r="F1028" s="7">
        <v>25</v>
      </c>
      <c r="G1028" s="7">
        <v>67.58</v>
      </c>
      <c r="H1028" s="7">
        <v>0.09</v>
      </c>
      <c r="I1028" s="9" t="s">
        <v>56</v>
      </c>
      <c r="J1028" s="10">
        <v>16.8</v>
      </c>
      <c r="K1028" s="11">
        <v>2.62</v>
      </c>
      <c r="L1028" s="11">
        <v>0.8</v>
      </c>
      <c r="M1028" s="9" t="s">
        <v>795</v>
      </c>
      <c r="N1028" s="6" t="s">
        <v>703</v>
      </c>
      <c r="O1028" s="6" t="s">
        <v>704</v>
      </c>
      <c r="P1028" s="9" t="s">
        <v>25</v>
      </c>
      <c r="Q1028" s="9" t="s">
        <v>26</v>
      </c>
      <c r="R1028" s="9" t="s">
        <v>66</v>
      </c>
      <c r="S1028" s="7" t="s">
        <v>861</v>
      </c>
      <c r="T1028" s="9" t="s">
        <v>68</v>
      </c>
      <c r="U1028" s="7">
        <v>0.39</v>
      </c>
      <c r="V1028" s="12">
        <f>C1028+2</f>
        <v>40346</v>
      </c>
      <c r="W1028">
        <f>IF(D1028=' Pivot Tables'!$A$4,1,0)</f>
        <v>0</v>
      </c>
      <c r="X1028">
        <f>IF(AND(LEFT(D1028,4)+1=LEFT(' Pivot Tables'!$A$4,4)+0,RIGHT(LEFT(D1028,7),2)=RIGHT(LEFT(' Pivot Tables'!$A$4,7),2)),1,0)</f>
        <v>0</v>
      </c>
      <c r="Y1028" s="6">
        <f>1/COUNTIF(Таблица1[Order ID],Таблица1[[#This Row],[Order ID]])</f>
        <v>1</v>
      </c>
      <c r="Z1028" s="9">
        <f>1/COUNTIFS(Таблица1[Customer Name],Таблица1[[#This Row],[Customer Name]],Таблица1[Order-Year-Month],Таблица1[[#This Row],[Order-Year-Month]])</f>
        <v>0.5</v>
      </c>
    </row>
    <row r="1029" spans="1:26" x14ac:dyDescent="0.2">
      <c r="A1029" s="6">
        <v>8382</v>
      </c>
      <c r="B1029" s="7">
        <v>59905</v>
      </c>
      <c r="C1029" s="8">
        <f>DATE(2012,12,31)-261</f>
        <v>41013</v>
      </c>
      <c r="D1029" s="8" t="str">
        <f t="shared" si="21"/>
        <v>2012-04 (апрель 2012)</v>
      </c>
      <c r="E1029" s="9" t="s">
        <v>30</v>
      </c>
      <c r="F1029" s="7">
        <v>19</v>
      </c>
      <c r="G1029" s="7">
        <v>159.24</v>
      </c>
      <c r="H1029" s="7">
        <v>0.09</v>
      </c>
      <c r="I1029" s="9" t="s">
        <v>22</v>
      </c>
      <c r="J1029" s="10">
        <v>8.3000000000000007</v>
      </c>
      <c r="K1029" s="11">
        <v>8.5</v>
      </c>
      <c r="L1029" s="11">
        <v>1.99</v>
      </c>
      <c r="M1029" s="9" t="s">
        <v>862</v>
      </c>
      <c r="N1029" s="6" t="s">
        <v>703</v>
      </c>
      <c r="O1029" s="6" t="s">
        <v>704</v>
      </c>
      <c r="P1029" s="9" t="s">
        <v>25</v>
      </c>
      <c r="Q1029" s="9" t="s">
        <v>42</v>
      </c>
      <c r="R1029" s="9" t="s">
        <v>70</v>
      </c>
      <c r="S1029" s="7" t="s">
        <v>863</v>
      </c>
      <c r="T1029" s="9" t="s">
        <v>52</v>
      </c>
      <c r="U1029" s="7">
        <v>0.49</v>
      </c>
      <c r="V1029" s="12">
        <f>C1029+2</f>
        <v>41015</v>
      </c>
      <c r="W1029">
        <f>IF(D1029=' Pivot Tables'!$A$4,1,0)</f>
        <v>0</v>
      </c>
      <c r="X1029">
        <f>IF(AND(LEFT(D1029,4)+1=LEFT(' Pivot Tables'!$A$4,4)+0,RIGHT(LEFT(D1029,7),2)=RIGHT(LEFT(' Pivot Tables'!$A$4,7),2)),1,0)</f>
        <v>0</v>
      </c>
      <c r="Y1029" s="6">
        <f>1/COUNTIF(Таблица1[Order ID],Таблица1[[#This Row],[Order ID]])</f>
        <v>0.33333333333333331</v>
      </c>
      <c r="Z1029" s="9">
        <f>1/COUNTIFS(Таблица1[Customer Name],Таблица1[[#This Row],[Customer Name]],Таблица1[Order-Year-Month],Таблица1[[#This Row],[Order-Year-Month]])</f>
        <v>0.33333333333333331</v>
      </c>
    </row>
    <row r="1030" spans="1:26" x14ac:dyDescent="0.2">
      <c r="A1030" s="6">
        <v>8383</v>
      </c>
      <c r="B1030" s="7">
        <v>59905</v>
      </c>
      <c r="C1030" s="8">
        <f>DATE(2012,12,31)-261</f>
        <v>41013</v>
      </c>
      <c r="D1030" s="8" t="str">
        <f t="shared" si="21"/>
        <v>2012-04 (апрель 2012)</v>
      </c>
      <c r="E1030" s="9" t="s">
        <v>30</v>
      </c>
      <c r="F1030" s="7">
        <v>6</v>
      </c>
      <c r="G1030" s="7">
        <v>48.77</v>
      </c>
      <c r="H1030" s="7">
        <v>0</v>
      </c>
      <c r="I1030" s="9" t="s">
        <v>22</v>
      </c>
      <c r="J1030" s="10">
        <v>5.95</v>
      </c>
      <c r="K1030" s="11">
        <v>7.4</v>
      </c>
      <c r="L1030" s="11">
        <v>1.71</v>
      </c>
      <c r="M1030" s="9" t="s">
        <v>862</v>
      </c>
      <c r="N1030" s="6" t="s">
        <v>703</v>
      </c>
      <c r="O1030" s="6" t="s">
        <v>704</v>
      </c>
      <c r="P1030" s="9" t="s">
        <v>25</v>
      </c>
      <c r="Q1030" s="9" t="s">
        <v>26</v>
      </c>
      <c r="R1030" s="9" t="s">
        <v>61</v>
      </c>
      <c r="S1030" s="7" t="s">
        <v>864</v>
      </c>
      <c r="T1030" s="9" t="s">
        <v>68</v>
      </c>
      <c r="U1030" s="7">
        <v>0.4</v>
      </c>
      <c r="V1030" s="12">
        <f>C1030+2</f>
        <v>41015</v>
      </c>
      <c r="W1030">
        <f>IF(D1030=' Pivot Tables'!$A$4,1,0)</f>
        <v>0</v>
      </c>
      <c r="X1030">
        <f>IF(AND(LEFT(D1030,4)+1=LEFT(' Pivot Tables'!$A$4,4)+0,RIGHT(LEFT(D1030,7),2)=RIGHT(LEFT(' Pivot Tables'!$A$4,7),2)),1,0)</f>
        <v>0</v>
      </c>
      <c r="Y1030" s="6">
        <f>1/COUNTIF(Таблица1[Order ID],Таблица1[[#This Row],[Order ID]])</f>
        <v>0.33333333333333331</v>
      </c>
      <c r="Z1030" s="9">
        <f>1/COUNTIFS(Таблица1[Customer Name],Таблица1[[#This Row],[Customer Name]],Таблица1[Order-Year-Month],Таблица1[[#This Row],[Order-Year-Month]])</f>
        <v>0.33333333333333331</v>
      </c>
    </row>
    <row r="1031" spans="1:26" x14ac:dyDescent="0.2">
      <c r="A1031" s="6">
        <v>8384</v>
      </c>
      <c r="B1031" s="7">
        <v>59905</v>
      </c>
      <c r="C1031" s="8">
        <f>DATE(2012,12,31)-261</f>
        <v>41013</v>
      </c>
      <c r="D1031" s="8" t="str">
        <f t="shared" si="21"/>
        <v>2012-04 (апрель 2012)</v>
      </c>
      <c r="E1031" s="9" t="s">
        <v>30</v>
      </c>
      <c r="F1031" s="7">
        <v>5</v>
      </c>
      <c r="G1031" s="7">
        <v>26.5</v>
      </c>
      <c r="H1031" s="7">
        <v>0.01</v>
      </c>
      <c r="I1031" s="9" t="s">
        <v>56</v>
      </c>
      <c r="J1031" s="10">
        <v>2.61</v>
      </c>
      <c r="K1031" s="11">
        <v>4.26</v>
      </c>
      <c r="L1031" s="11">
        <v>1.2</v>
      </c>
      <c r="M1031" s="9" t="s">
        <v>862</v>
      </c>
      <c r="N1031" s="6" t="s">
        <v>703</v>
      </c>
      <c r="O1031" s="6" t="s">
        <v>704</v>
      </c>
      <c r="P1031" s="9" t="s">
        <v>25</v>
      </c>
      <c r="Q1031" s="9" t="s">
        <v>26</v>
      </c>
      <c r="R1031" s="9" t="s">
        <v>95</v>
      </c>
      <c r="S1031" s="7" t="s">
        <v>865</v>
      </c>
      <c r="T1031" s="9" t="s">
        <v>68</v>
      </c>
      <c r="U1031" s="7">
        <v>0.44</v>
      </c>
      <c r="V1031" s="12">
        <f>C1031+1</f>
        <v>41014</v>
      </c>
      <c r="W1031">
        <f>IF(D1031=' Pivot Tables'!$A$4,1,0)</f>
        <v>0</v>
      </c>
      <c r="X1031">
        <f>IF(AND(LEFT(D1031,4)+1=LEFT(' Pivot Tables'!$A$4,4)+0,RIGHT(LEFT(D1031,7),2)=RIGHT(LEFT(' Pivot Tables'!$A$4,7),2)),1,0)</f>
        <v>0</v>
      </c>
      <c r="Y1031" s="6">
        <f>1/COUNTIF(Таблица1[Order ID],Таблица1[[#This Row],[Order ID]])</f>
        <v>0.33333333333333331</v>
      </c>
      <c r="Z1031" s="9">
        <f>1/COUNTIFS(Таблица1[Customer Name],Таблица1[[#This Row],[Customer Name]],Таблица1[Order-Year-Month],Таблица1[[#This Row],[Order-Year-Month]])</f>
        <v>0.33333333333333331</v>
      </c>
    </row>
    <row r="1032" spans="1:26" x14ac:dyDescent="0.2">
      <c r="A1032" s="6">
        <v>52</v>
      </c>
      <c r="B1032" s="7">
        <v>322</v>
      </c>
      <c r="C1032" s="8">
        <f>DATE(2012,12,31)-288</f>
        <v>40986</v>
      </c>
      <c r="D1032" s="8" t="str">
        <f t="shared" si="21"/>
        <v>2012-03 (март 2012)</v>
      </c>
      <c r="E1032" s="9" t="s">
        <v>78</v>
      </c>
      <c r="F1032" s="7">
        <v>20</v>
      </c>
      <c r="G1032" s="7">
        <v>2634.8554999999997</v>
      </c>
      <c r="H1032" s="7">
        <v>0.08</v>
      </c>
      <c r="I1032" s="9" t="s">
        <v>22</v>
      </c>
      <c r="J1032" s="10">
        <v>257.76</v>
      </c>
      <c r="K1032" s="11">
        <v>155.99</v>
      </c>
      <c r="L1032" s="11">
        <v>8.08</v>
      </c>
      <c r="M1032" s="9" t="s">
        <v>866</v>
      </c>
      <c r="N1032" s="6" t="s">
        <v>703</v>
      </c>
      <c r="O1032" s="6" t="s">
        <v>704</v>
      </c>
      <c r="P1032" s="9" t="s">
        <v>41</v>
      </c>
      <c r="Q1032" s="9" t="s">
        <v>42</v>
      </c>
      <c r="R1032" s="9" t="s">
        <v>43</v>
      </c>
      <c r="S1032" s="7" t="s">
        <v>867</v>
      </c>
      <c r="T1032" s="9" t="s">
        <v>39</v>
      </c>
      <c r="U1032" s="7">
        <v>0.6</v>
      </c>
      <c r="V1032" s="12">
        <f>C1032+2</f>
        <v>40988</v>
      </c>
      <c r="W1032">
        <f>IF(D1032=' Pivot Tables'!$A$4,1,0)</f>
        <v>0</v>
      </c>
      <c r="X1032">
        <f>IF(AND(LEFT(D1032,4)+1=LEFT(' Pivot Tables'!$A$4,4)+0,RIGHT(LEFT(D1032,7),2)=RIGHT(LEFT(' Pivot Tables'!$A$4,7),2)),1,0)</f>
        <v>0</v>
      </c>
      <c r="Y1032" s="6">
        <f>1/COUNTIF(Таблица1[Order ID],Таблица1[[#This Row],[Order ID]])</f>
        <v>0.5</v>
      </c>
      <c r="Z1032" s="9">
        <f>1/COUNTIFS(Таблица1[Customer Name],Таблица1[[#This Row],[Customer Name]],Таблица1[Order-Year-Month],Таблица1[[#This Row],[Order-Year-Month]])</f>
        <v>0.5</v>
      </c>
    </row>
    <row r="1033" spans="1:26" x14ac:dyDescent="0.2">
      <c r="A1033" s="6">
        <v>53</v>
      </c>
      <c r="B1033" s="7">
        <v>322</v>
      </c>
      <c r="C1033" s="8">
        <f>DATE(2012,12,31)-288</f>
        <v>40986</v>
      </c>
      <c r="D1033" s="8" t="str">
        <f t="shared" si="21"/>
        <v>2012-03 (март 2012)</v>
      </c>
      <c r="E1033" s="9" t="s">
        <v>78</v>
      </c>
      <c r="F1033" s="7">
        <v>46</v>
      </c>
      <c r="G1033" s="7">
        <v>281</v>
      </c>
      <c r="H1033" s="7">
        <v>0.1</v>
      </c>
      <c r="I1033" s="9" t="s">
        <v>22</v>
      </c>
      <c r="J1033" s="10">
        <v>-291.58999999999997</v>
      </c>
      <c r="K1033" s="11">
        <v>6.48</v>
      </c>
      <c r="L1033" s="11">
        <v>10.050000000000001</v>
      </c>
      <c r="M1033" s="9" t="s">
        <v>866</v>
      </c>
      <c r="N1033" s="6" t="s">
        <v>703</v>
      </c>
      <c r="O1033" s="6" t="s">
        <v>704</v>
      </c>
      <c r="P1033" s="9" t="s">
        <v>41</v>
      </c>
      <c r="Q1033" s="9" t="s">
        <v>26</v>
      </c>
      <c r="R1033" s="9" t="s">
        <v>61</v>
      </c>
      <c r="S1033" s="7" t="s">
        <v>868</v>
      </c>
      <c r="T1033" s="9" t="s">
        <v>39</v>
      </c>
      <c r="U1033" s="7">
        <v>0.37</v>
      </c>
      <c r="V1033" s="12">
        <f>C1033+2</f>
        <v>40988</v>
      </c>
      <c r="W1033">
        <f>IF(D1033=' Pivot Tables'!$A$4,1,0)</f>
        <v>0</v>
      </c>
      <c r="X1033">
        <f>IF(AND(LEFT(D1033,4)+1=LEFT(' Pivot Tables'!$A$4,4)+0,RIGHT(LEFT(D1033,7),2)=RIGHT(LEFT(' Pivot Tables'!$A$4,7),2)),1,0)</f>
        <v>0</v>
      </c>
      <c r="Y1033" s="6">
        <f>1/COUNTIF(Таблица1[Order ID],Таблица1[[#This Row],[Order ID]])</f>
        <v>0.5</v>
      </c>
      <c r="Z1033" s="9">
        <f>1/COUNTIFS(Таблица1[Customer Name],Таблица1[[#This Row],[Customer Name]],Таблица1[Order-Year-Month],Таблица1[[#This Row],[Order-Year-Month]])</f>
        <v>0.5</v>
      </c>
    </row>
    <row r="1034" spans="1:26" x14ac:dyDescent="0.2">
      <c r="A1034" s="6">
        <v>151</v>
      </c>
      <c r="B1034" s="7">
        <v>962</v>
      </c>
      <c r="C1034" s="8">
        <f>DATE(2012,12,31)-1336</f>
        <v>39938</v>
      </c>
      <c r="D1034" s="8" t="str">
        <f t="shared" si="21"/>
        <v>2009-05 (май 2009)</v>
      </c>
      <c r="E1034" s="9" t="s">
        <v>21</v>
      </c>
      <c r="F1034" s="7">
        <v>33</v>
      </c>
      <c r="G1034" s="7">
        <v>4064.05</v>
      </c>
      <c r="H1034" s="7">
        <v>0.06</v>
      </c>
      <c r="I1034" s="9" t="s">
        <v>22</v>
      </c>
      <c r="J1034" s="10">
        <v>1408.1865</v>
      </c>
      <c r="K1034" s="11">
        <v>122.99</v>
      </c>
      <c r="L1034" s="11">
        <v>19.989999999999998</v>
      </c>
      <c r="M1034" s="9" t="s">
        <v>869</v>
      </c>
      <c r="N1034" s="6" t="s">
        <v>703</v>
      </c>
      <c r="O1034" s="6" t="s">
        <v>704</v>
      </c>
      <c r="P1034" s="9" t="s">
        <v>25</v>
      </c>
      <c r="Q1034" s="9" t="s">
        <v>26</v>
      </c>
      <c r="R1034" s="9" t="s">
        <v>37</v>
      </c>
      <c r="S1034" s="7" t="s">
        <v>870</v>
      </c>
      <c r="T1034" s="9" t="s">
        <v>39</v>
      </c>
      <c r="U1034" s="7">
        <v>0.37</v>
      </c>
      <c r="V1034" s="12">
        <f>C1034+2</f>
        <v>39940</v>
      </c>
      <c r="W1034">
        <f>IF(D1034=' Pivot Tables'!$A$4,1,0)</f>
        <v>0</v>
      </c>
      <c r="X1034">
        <f>IF(AND(LEFT(D1034,4)+1=LEFT(' Pivot Tables'!$A$4,4)+0,RIGHT(LEFT(D1034,7),2)=RIGHT(LEFT(' Pivot Tables'!$A$4,7),2)),1,0)</f>
        <v>0</v>
      </c>
      <c r="Y1034" s="6">
        <f>1/COUNTIF(Таблица1[Order ID],Таблица1[[#This Row],[Order ID]])</f>
        <v>0.5</v>
      </c>
      <c r="Z1034" s="9">
        <f>1/COUNTIFS(Таблица1[Customer Name],Таблица1[[#This Row],[Customer Name]],Таблица1[Order-Year-Month],Таблица1[[#This Row],[Order-Year-Month]])</f>
        <v>0.5</v>
      </c>
    </row>
    <row r="1035" spans="1:26" x14ac:dyDescent="0.2">
      <c r="A1035" s="6">
        <v>152</v>
      </c>
      <c r="B1035" s="7">
        <v>962</v>
      </c>
      <c r="C1035" s="8">
        <f>DATE(2012,12,31)-1336</f>
        <v>39938</v>
      </c>
      <c r="D1035" s="8" t="str">
        <f t="shared" si="21"/>
        <v>2009-05 (май 2009)</v>
      </c>
      <c r="E1035" s="9" t="s">
        <v>21</v>
      </c>
      <c r="F1035" s="7">
        <v>47</v>
      </c>
      <c r="G1035" s="7">
        <v>3213.87</v>
      </c>
      <c r="H1035" s="7">
        <v>0.08</v>
      </c>
      <c r="I1035" s="9" t="s">
        <v>31</v>
      </c>
      <c r="J1035" s="10">
        <v>-1069.72</v>
      </c>
      <c r="K1035" s="11">
        <v>68.81</v>
      </c>
      <c r="L1035" s="11">
        <v>60</v>
      </c>
      <c r="M1035" s="9" t="s">
        <v>869</v>
      </c>
      <c r="N1035" s="6" t="s">
        <v>703</v>
      </c>
      <c r="O1035" s="6" t="s">
        <v>704</v>
      </c>
      <c r="P1035" s="9" t="s">
        <v>25</v>
      </c>
      <c r="Q1035" s="9" t="s">
        <v>26</v>
      </c>
      <c r="R1035" s="9" t="s">
        <v>34</v>
      </c>
      <c r="S1035" s="7" t="s">
        <v>605</v>
      </c>
      <c r="T1035" s="9" t="s">
        <v>36</v>
      </c>
      <c r="U1035" s="7">
        <v>0.41</v>
      </c>
      <c r="V1035" s="12">
        <f>C1035+2</f>
        <v>39940</v>
      </c>
      <c r="W1035">
        <f>IF(D1035=' Pivot Tables'!$A$4,1,0)</f>
        <v>0</v>
      </c>
      <c r="X1035">
        <f>IF(AND(LEFT(D1035,4)+1=LEFT(' Pivot Tables'!$A$4,4)+0,RIGHT(LEFT(D1035,7),2)=RIGHT(LEFT(' Pivot Tables'!$A$4,7),2)),1,0)</f>
        <v>0</v>
      </c>
      <c r="Y1035" s="6">
        <f>1/COUNTIF(Таблица1[Order ID],Таблица1[[#This Row],[Order ID]])</f>
        <v>0.5</v>
      </c>
      <c r="Z1035" s="9">
        <f>1/COUNTIFS(Таблица1[Customer Name],Таблица1[[#This Row],[Customer Name]],Таблица1[Order-Year-Month],Таблица1[[#This Row],[Order-Year-Month]])</f>
        <v>0.5</v>
      </c>
    </row>
    <row r="1036" spans="1:26" x14ac:dyDescent="0.2">
      <c r="A1036" s="6">
        <v>185</v>
      </c>
      <c r="B1036" s="7">
        <v>1221</v>
      </c>
      <c r="C1036" s="8">
        <f>DATE(2012,12,31)-257</f>
        <v>41017</v>
      </c>
      <c r="D1036" s="8" t="str">
        <f t="shared" si="21"/>
        <v>2012-04 (апрель 2012)</v>
      </c>
      <c r="E1036" s="9" t="s">
        <v>45</v>
      </c>
      <c r="F1036" s="7">
        <v>1</v>
      </c>
      <c r="G1036" s="7">
        <v>14.68</v>
      </c>
      <c r="H1036" s="7">
        <v>0.06</v>
      </c>
      <c r="I1036" s="9" t="s">
        <v>22</v>
      </c>
      <c r="J1036" s="10">
        <v>-13.777000000000001</v>
      </c>
      <c r="K1036" s="11">
        <v>8.6</v>
      </c>
      <c r="L1036" s="11">
        <v>6.19</v>
      </c>
      <c r="M1036" s="9" t="s">
        <v>871</v>
      </c>
      <c r="N1036" s="6" t="s">
        <v>703</v>
      </c>
      <c r="O1036" s="6" t="s">
        <v>704</v>
      </c>
      <c r="P1036" s="9" t="s">
        <v>41</v>
      </c>
      <c r="Q1036" s="9" t="s">
        <v>26</v>
      </c>
      <c r="R1036" s="9" t="s">
        <v>37</v>
      </c>
      <c r="S1036" s="7" t="s">
        <v>872</v>
      </c>
      <c r="T1036" s="9" t="s">
        <v>39</v>
      </c>
      <c r="U1036" s="7">
        <v>0.38</v>
      </c>
      <c r="V1036" s="12">
        <f>C1036+0</f>
        <v>41017</v>
      </c>
      <c r="W1036">
        <f>IF(D1036=' Pivot Tables'!$A$4,1,0)</f>
        <v>0</v>
      </c>
      <c r="X1036">
        <f>IF(AND(LEFT(D1036,4)+1=LEFT(' Pivot Tables'!$A$4,4)+0,RIGHT(LEFT(D1036,7),2)=RIGHT(LEFT(' Pivot Tables'!$A$4,7),2)),1,0)</f>
        <v>0</v>
      </c>
      <c r="Y1036" s="6">
        <f>1/COUNTIF(Таблица1[Order ID],Таблица1[[#This Row],[Order ID]])</f>
        <v>0.33333333333333331</v>
      </c>
      <c r="Z1036" s="9">
        <f>1/COUNTIFS(Таблица1[Customer Name],Таблица1[[#This Row],[Customer Name]],Таблица1[Order-Year-Month],Таблица1[[#This Row],[Order-Year-Month]])</f>
        <v>0.33333333333333331</v>
      </c>
    </row>
    <row r="1037" spans="1:26" x14ac:dyDescent="0.2">
      <c r="A1037" s="6">
        <v>186</v>
      </c>
      <c r="B1037" s="7">
        <v>1221</v>
      </c>
      <c r="C1037" s="8">
        <f>DATE(2012,12,31)-257</f>
        <v>41017</v>
      </c>
      <c r="D1037" s="8" t="str">
        <f t="shared" si="21"/>
        <v>2012-04 (апрель 2012)</v>
      </c>
      <c r="E1037" s="9" t="s">
        <v>45</v>
      </c>
      <c r="F1037" s="7">
        <v>11</v>
      </c>
      <c r="G1037" s="7">
        <v>10145.14</v>
      </c>
      <c r="H1037" s="7">
        <v>0.03</v>
      </c>
      <c r="I1037" s="9" t="s">
        <v>22</v>
      </c>
      <c r="J1037" s="10">
        <v>3724.5725000000002</v>
      </c>
      <c r="K1037" s="11">
        <v>896.99</v>
      </c>
      <c r="L1037" s="11">
        <v>19.989999999999998</v>
      </c>
      <c r="M1037" s="9" t="s">
        <v>871</v>
      </c>
      <c r="N1037" s="6" t="s">
        <v>703</v>
      </c>
      <c r="O1037" s="6" t="s">
        <v>704</v>
      </c>
      <c r="P1037" s="9" t="s">
        <v>41</v>
      </c>
      <c r="Q1037" s="9" t="s">
        <v>26</v>
      </c>
      <c r="R1037" s="9" t="s">
        <v>37</v>
      </c>
      <c r="S1037" s="7" t="s">
        <v>442</v>
      </c>
      <c r="T1037" s="9" t="s">
        <v>39</v>
      </c>
      <c r="U1037" s="7">
        <v>0.38</v>
      </c>
      <c r="V1037" s="12">
        <f>C1037+2</f>
        <v>41019</v>
      </c>
      <c r="W1037">
        <f>IF(D1037=' Pivot Tables'!$A$4,1,0)</f>
        <v>0</v>
      </c>
      <c r="X1037">
        <f>IF(AND(LEFT(D1037,4)+1=LEFT(' Pivot Tables'!$A$4,4)+0,RIGHT(LEFT(D1037,7),2)=RIGHT(LEFT(' Pivot Tables'!$A$4,7),2)),1,0)</f>
        <v>0</v>
      </c>
      <c r="Y1037" s="6">
        <f>1/COUNTIF(Таблица1[Order ID],Таблица1[[#This Row],[Order ID]])</f>
        <v>0.33333333333333331</v>
      </c>
      <c r="Z1037" s="9">
        <f>1/COUNTIFS(Таблица1[Customer Name],Таблица1[[#This Row],[Customer Name]],Таблица1[Order-Year-Month],Таблица1[[#This Row],[Order-Year-Month]])</f>
        <v>0.33333333333333331</v>
      </c>
    </row>
    <row r="1038" spans="1:26" x14ac:dyDescent="0.2">
      <c r="A1038" s="6">
        <v>187</v>
      </c>
      <c r="B1038" s="7">
        <v>1221</v>
      </c>
      <c r="C1038" s="8">
        <f>DATE(2012,12,31)-257</f>
        <v>41017</v>
      </c>
      <c r="D1038" s="8" t="str">
        <f t="shared" si="21"/>
        <v>2012-04 (апрель 2012)</v>
      </c>
      <c r="E1038" s="9" t="s">
        <v>45</v>
      </c>
      <c r="F1038" s="7">
        <v>16</v>
      </c>
      <c r="G1038" s="7">
        <v>68.45</v>
      </c>
      <c r="H1038" s="7">
        <v>0.08</v>
      </c>
      <c r="I1038" s="9" t="s">
        <v>22</v>
      </c>
      <c r="J1038" s="10">
        <v>-57.8795</v>
      </c>
      <c r="K1038" s="11">
        <v>4.24</v>
      </c>
      <c r="L1038" s="11">
        <v>5.41</v>
      </c>
      <c r="M1038" s="9" t="s">
        <v>871</v>
      </c>
      <c r="N1038" s="6" t="s">
        <v>703</v>
      </c>
      <c r="O1038" s="6" t="s">
        <v>704</v>
      </c>
      <c r="P1038" s="9" t="s">
        <v>41</v>
      </c>
      <c r="Q1038" s="9" t="s">
        <v>26</v>
      </c>
      <c r="R1038" s="9" t="s">
        <v>37</v>
      </c>
      <c r="S1038" s="7" t="s">
        <v>873</v>
      </c>
      <c r="T1038" s="9" t="s">
        <v>39</v>
      </c>
      <c r="U1038" s="7">
        <v>0.35</v>
      </c>
      <c r="V1038" s="12">
        <f>C1038+2</f>
        <v>41019</v>
      </c>
      <c r="W1038">
        <f>IF(D1038=' Pivot Tables'!$A$4,1,0)</f>
        <v>0</v>
      </c>
      <c r="X1038">
        <f>IF(AND(LEFT(D1038,4)+1=LEFT(' Pivot Tables'!$A$4,4)+0,RIGHT(LEFT(D1038,7),2)=RIGHT(LEFT(' Pivot Tables'!$A$4,7),2)),1,0)</f>
        <v>0</v>
      </c>
      <c r="Y1038" s="6">
        <f>1/COUNTIF(Таблица1[Order ID],Таблица1[[#This Row],[Order ID]])</f>
        <v>0.33333333333333331</v>
      </c>
      <c r="Z1038" s="9">
        <f>1/COUNTIFS(Таблица1[Customer Name],Таблица1[[#This Row],[Customer Name]],Таблица1[Order-Year-Month],Таблица1[[#This Row],[Order-Year-Month]])</f>
        <v>0.33333333333333331</v>
      </c>
    </row>
    <row r="1039" spans="1:26" x14ac:dyDescent="0.2">
      <c r="A1039" s="6">
        <v>222</v>
      </c>
      <c r="B1039" s="7">
        <v>1445</v>
      </c>
      <c r="C1039" s="8">
        <f>DATE(2012,12,31)-722</f>
        <v>40552</v>
      </c>
      <c r="D1039" s="8" t="str">
        <f t="shared" si="21"/>
        <v>2011-01 (январь 2011)</v>
      </c>
      <c r="E1039" s="9" t="s">
        <v>63</v>
      </c>
      <c r="F1039" s="7">
        <v>3</v>
      </c>
      <c r="G1039" s="7">
        <v>1326.09</v>
      </c>
      <c r="H1039" s="7">
        <v>0</v>
      </c>
      <c r="I1039" s="9" t="s">
        <v>22</v>
      </c>
      <c r="J1039" s="10">
        <v>-20.5505</v>
      </c>
      <c r="K1039" s="11">
        <v>420.98</v>
      </c>
      <c r="L1039" s="11">
        <v>19.989999999999998</v>
      </c>
      <c r="M1039" s="9" t="s">
        <v>874</v>
      </c>
      <c r="N1039" s="6" t="s">
        <v>703</v>
      </c>
      <c r="O1039" s="6" t="s">
        <v>704</v>
      </c>
      <c r="P1039" s="9" t="s">
        <v>41</v>
      </c>
      <c r="Q1039" s="9" t="s">
        <v>26</v>
      </c>
      <c r="R1039" s="9" t="s">
        <v>37</v>
      </c>
      <c r="S1039" s="7" t="s">
        <v>607</v>
      </c>
      <c r="T1039" s="9" t="s">
        <v>39</v>
      </c>
      <c r="U1039" s="7">
        <v>0.35</v>
      </c>
      <c r="V1039" s="12">
        <f>C1039+3</f>
        <v>40555</v>
      </c>
      <c r="W1039">
        <f>IF(D1039=' Pivot Tables'!$A$4,1,0)</f>
        <v>0</v>
      </c>
      <c r="X1039">
        <f>IF(AND(LEFT(D1039,4)+1=LEFT(' Pivot Tables'!$A$4,4)+0,RIGHT(LEFT(D1039,7),2)=RIGHT(LEFT(' Pivot Tables'!$A$4,7),2)),1,0)</f>
        <v>0</v>
      </c>
      <c r="Y1039" s="6">
        <f>1/COUNTIF(Таблица1[Order ID],Таблица1[[#This Row],[Order ID]])</f>
        <v>0.5</v>
      </c>
      <c r="Z1039" s="9">
        <f>1/COUNTIFS(Таблица1[Customer Name],Таблица1[[#This Row],[Customer Name]],Таблица1[Order-Year-Month],Таблица1[[#This Row],[Order-Year-Month]])</f>
        <v>0.5</v>
      </c>
    </row>
    <row r="1040" spans="1:26" x14ac:dyDescent="0.2">
      <c r="A1040" s="6">
        <v>223</v>
      </c>
      <c r="B1040" s="7">
        <v>1445</v>
      </c>
      <c r="C1040" s="8">
        <f>DATE(2012,12,31)-722</f>
        <v>40552</v>
      </c>
      <c r="D1040" s="8" t="str">
        <f t="shared" si="21"/>
        <v>2011-01 (январь 2011)</v>
      </c>
      <c r="E1040" s="9" t="s">
        <v>63</v>
      </c>
      <c r="F1040" s="7">
        <v>30</v>
      </c>
      <c r="G1040" s="7">
        <v>339.49</v>
      </c>
      <c r="H1040" s="7">
        <v>0.08</v>
      </c>
      <c r="I1040" s="9" t="s">
        <v>22</v>
      </c>
      <c r="J1040" s="10">
        <v>-74.209999999999994</v>
      </c>
      <c r="K1040" s="11">
        <v>11.97</v>
      </c>
      <c r="L1040" s="11">
        <v>5.81</v>
      </c>
      <c r="M1040" s="9" t="s">
        <v>874</v>
      </c>
      <c r="N1040" s="6" t="s">
        <v>703</v>
      </c>
      <c r="O1040" s="6" t="s">
        <v>704</v>
      </c>
      <c r="P1040" s="9" t="s">
        <v>41</v>
      </c>
      <c r="Q1040" s="9" t="s">
        <v>26</v>
      </c>
      <c r="R1040" s="9" t="s">
        <v>95</v>
      </c>
      <c r="S1040" s="7" t="s">
        <v>521</v>
      </c>
      <c r="T1040" s="9" t="s">
        <v>52</v>
      </c>
      <c r="U1040" s="7">
        <v>0.6</v>
      </c>
      <c r="V1040" s="12">
        <f>C1040+2</f>
        <v>40554</v>
      </c>
      <c r="W1040">
        <f>IF(D1040=' Pivot Tables'!$A$4,1,0)</f>
        <v>0</v>
      </c>
      <c r="X1040">
        <f>IF(AND(LEFT(D1040,4)+1=LEFT(' Pivot Tables'!$A$4,4)+0,RIGHT(LEFT(D1040,7),2)=RIGHT(LEFT(' Pivot Tables'!$A$4,7),2)),1,0)</f>
        <v>0</v>
      </c>
      <c r="Y1040" s="6">
        <f>1/COUNTIF(Таблица1[Order ID],Таблица1[[#This Row],[Order ID]])</f>
        <v>0.5</v>
      </c>
      <c r="Z1040" s="9">
        <f>1/COUNTIFS(Таблица1[Customer Name],Таблица1[[#This Row],[Customer Name]],Таблица1[Order-Year-Month],Таблица1[[#This Row],[Order-Year-Month]])</f>
        <v>0.5</v>
      </c>
    </row>
    <row r="1041" spans="1:26" x14ac:dyDescent="0.2">
      <c r="A1041" s="6">
        <v>259</v>
      </c>
      <c r="B1041" s="7">
        <v>1799</v>
      </c>
      <c r="C1041" s="8">
        <f>DATE(2012,12,31)-1396</f>
        <v>39878</v>
      </c>
      <c r="D1041" s="8" t="str">
        <f t="shared" si="21"/>
        <v>2009-03 (март 2009)</v>
      </c>
      <c r="E1041" s="9" t="s">
        <v>45</v>
      </c>
      <c r="F1041" s="7">
        <v>10</v>
      </c>
      <c r="G1041" s="7">
        <v>1187.1199999999999</v>
      </c>
      <c r="H1041" s="7">
        <v>0.06</v>
      </c>
      <c r="I1041" s="9" t="s">
        <v>31</v>
      </c>
      <c r="J1041" s="10">
        <v>-127.3</v>
      </c>
      <c r="K1041" s="11">
        <v>113.98</v>
      </c>
      <c r="L1041" s="11">
        <v>30</v>
      </c>
      <c r="M1041" s="9" t="s">
        <v>875</v>
      </c>
      <c r="N1041" s="6" t="s">
        <v>703</v>
      </c>
      <c r="O1041" s="6" t="s">
        <v>704</v>
      </c>
      <c r="P1041" s="9" t="s">
        <v>25</v>
      </c>
      <c r="Q1041" s="9" t="s">
        <v>49</v>
      </c>
      <c r="R1041" s="9" t="s">
        <v>112</v>
      </c>
      <c r="S1041" s="7" t="s">
        <v>840</v>
      </c>
      <c r="T1041" s="9" t="s">
        <v>36</v>
      </c>
      <c r="U1041" s="7">
        <v>0.69</v>
      </c>
      <c r="V1041" s="12">
        <f>C1041+2</f>
        <v>39880</v>
      </c>
      <c r="W1041">
        <f>IF(D1041=' Pivot Tables'!$A$4,1,0)</f>
        <v>0</v>
      </c>
      <c r="X1041">
        <f>IF(AND(LEFT(D1041,4)+1=LEFT(' Pivot Tables'!$A$4,4)+0,RIGHT(LEFT(D1041,7),2)=RIGHT(LEFT(' Pivot Tables'!$A$4,7),2)),1,0)</f>
        <v>0</v>
      </c>
      <c r="Y1041" s="6">
        <f>1/COUNTIF(Таблица1[Order ID],Таблица1[[#This Row],[Order ID]])</f>
        <v>0.5</v>
      </c>
      <c r="Z1041" s="9">
        <f>1/COUNTIFS(Таблица1[Customer Name],Таблица1[[#This Row],[Customer Name]],Таблица1[Order-Year-Month],Таблица1[[#This Row],[Order-Year-Month]])</f>
        <v>0.5</v>
      </c>
    </row>
    <row r="1042" spans="1:26" x14ac:dyDescent="0.2">
      <c r="A1042" s="6">
        <v>260</v>
      </c>
      <c r="B1042" s="7">
        <v>1799</v>
      </c>
      <c r="C1042" s="8">
        <f>DATE(2012,12,31)-1396</f>
        <v>39878</v>
      </c>
      <c r="D1042" s="8" t="str">
        <f t="shared" si="21"/>
        <v>2009-03 (март 2009)</v>
      </c>
      <c r="E1042" s="9" t="s">
        <v>45</v>
      </c>
      <c r="F1042" s="7">
        <v>16</v>
      </c>
      <c r="G1042" s="7">
        <v>108.31</v>
      </c>
      <c r="H1042" s="7">
        <v>0.05</v>
      </c>
      <c r="I1042" s="9" t="s">
        <v>22</v>
      </c>
      <c r="J1042" s="10">
        <v>-52.77</v>
      </c>
      <c r="K1042" s="11">
        <v>6.48</v>
      </c>
      <c r="L1042" s="11">
        <v>6.86</v>
      </c>
      <c r="M1042" s="9" t="s">
        <v>875</v>
      </c>
      <c r="N1042" s="6" t="s">
        <v>703</v>
      </c>
      <c r="O1042" s="6" t="s">
        <v>704</v>
      </c>
      <c r="P1042" s="9" t="s">
        <v>25</v>
      </c>
      <c r="Q1042" s="9" t="s">
        <v>26</v>
      </c>
      <c r="R1042" s="9" t="s">
        <v>61</v>
      </c>
      <c r="S1042" s="7" t="s">
        <v>876</v>
      </c>
      <c r="T1042" s="9" t="s">
        <v>39</v>
      </c>
      <c r="U1042" s="7">
        <v>0.37</v>
      </c>
      <c r="V1042" s="12">
        <f>C1042+2</f>
        <v>39880</v>
      </c>
      <c r="W1042">
        <f>IF(D1042=' Pivot Tables'!$A$4,1,0)</f>
        <v>0</v>
      </c>
      <c r="X1042">
        <f>IF(AND(LEFT(D1042,4)+1=LEFT(' Pivot Tables'!$A$4,4)+0,RIGHT(LEFT(D1042,7),2)=RIGHT(LEFT(' Pivot Tables'!$A$4,7),2)),1,0)</f>
        <v>0</v>
      </c>
      <c r="Y1042" s="6">
        <f>1/COUNTIF(Таблица1[Order ID],Таблица1[[#This Row],[Order ID]])</f>
        <v>0.5</v>
      </c>
      <c r="Z1042" s="9">
        <f>1/COUNTIFS(Таблица1[Customer Name],Таблица1[[#This Row],[Customer Name]],Таблица1[Order-Year-Month],Таблица1[[#This Row],[Order-Year-Month]])</f>
        <v>0.5</v>
      </c>
    </row>
    <row r="1043" spans="1:26" x14ac:dyDescent="0.2">
      <c r="A1043" s="6">
        <v>393</v>
      </c>
      <c r="B1043" s="7">
        <v>2720</v>
      </c>
      <c r="C1043" s="8">
        <f>DATE(2012,12,31)-938</f>
        <v>40336</v>
      </c>
      <c r="D1043" s="8" t="str">
        <f t="shared" si="21"/>
        <v>2010-06 (июнь 2010)</v>
      </c>
      <c r="E1043" s="9" t="s">
        <v>78</v>
      </c>
      <c r="F1043" s="7">
        <v>36</v>
      </c>
      <c r="G1043" s="7">
        <v>2051.0160000000001</v>
      </c>
      <c r="H1043" s="7">
        <v>0.02</v>
      </c>
      <c r="I1043" s="9" t="s">
        <v>56</v>
      </c>
      <c r="J1043" s="10">
        <v>483.96600000000001</v>
      </c>
      <c r="K1043" s="11">
        <v>65.989999999999995</v>
      </c>
      <c r="L1043" s="11">
        <v>3.99</v>
      </c>
      <c r="M1043" s="9" t="s">
        <v>877</v>
      </c>
      <c r="N1043" s="6" t="s">
        <v>703</v>
      </c>
      <c r="O1043" s="6" t="s">
        <v>704</v>
      </c>
      <c r="P1043" s="9" t="s">
        <v>25</v>
      </c>
      <c r="Q1043" s="9" t="s">
        <v>42</v>
      </c>
      <c r="R1043" s="9" t="s">
        <v>43</v>
      </c>
      <c r="S1043" s="7" t="s">
        <v>582</v>
      </c>
      <c r="T1043" s="9" t="s">
        <v>39</v>
      </c>
      <c r="U1043" s="7">
        <v>0.59</v>
      </c>
      <c r="V1043" s="12">
        <f>C1043+3</f>
        <v>40339</v>
      </c>
      <c r="W1043">
        <f>IF(D1043=' Pivot Tables'!$A$4,1,0)</f>
        <v>0</v>
      </c>
      <c r="X1043">
        <f>IF(AND(LEFT(D1043,4)+1=LEFT(' Pivot Tables'!$A$4,4)+0,RIGHT(LEFT(D1043,7),2)=RIGHT(LEFT(' Pivot Tables'!$A$4,7),2)),1,0)</f>
        <v>0</v>
      </c>
      <c r="Y1043" s="6">
        <f>1/COUNTIF(Таблица1[Order ID],Таблица1[[#This Row],[Order ID]])</f>
        <v>1</v>
      </c>
      <c r="Z1043" s="9">
        <f>1/COUNTIFS(Таблица1[Customer Name],Таблица1[[#This Row],[Customer Name]],Таблица1[Order-Year-Month],Таблица1[[#This Row],[Order-Year-Month]])</f>
        <v>1</v>
      </c>
    </row>
    <row r="1044" spans="1:26" x14ac:dyDescent="0.2">
      <c r="A1044" s="6">
        <v>548</v>
      </c>
      <c r="B1044" s="7">
        <v>3685</v>
      </c>
      <c r="C1044" s="8">
        <f>DATE(2012,12,31)-350</f>
        <v>40924</v>
      </c>
      <c r="D1044" s="8" t="str">
        <f t="shared" si="21"/>
        <v>2012-01 (январь 2012)</v>
      </c>
      <c r="E1044" s="9" t="s">
        <v>63</v>
      </c>
      <c r="F1044" s="7">
        <v>29</v>
      </c>
      <c r="G1044" s="7">
        <v>106.78</v>
      </c>
      <c r="H1044" s="7">
        <v>0</v>
      </c>
      <c r="I1044" s="9" t="s">
        <v>22</v>
      </c>
      <c r="J1044" s="10">
        <v>-98.05</v>
      </c>
      <c r="K1044" s="11">
        <v>3.28</v>
      </c>
      <c r="L1044" s="11">
        <v>5</v>
      </c>
      <c r="M1044" s="9" t="s">
        <v>869</v>
      </c>
      <c r="N1044" s="6" t="s">
        <v>703</v>
      </c>
      <c r="O1044" s="6" t="s">
        <v>704</v>
      </c>
      <c r="P1044" s="9" t="s">
        <v>25</v>
      </c>
      <c r="Q1044" s="9" t="s">
        <v>26</v>
      </c>
      <c r="R1044" s="9" t="s">
        <v>95</v>
      </c>
      <c r="S1044" s="7" t="s">
        <v>878</v>
      </c>
      <c r="T1044" s="9" t="s">
        <v>68</v>
      </c>
      <c r="U1044" s="7">
        <v>0.56000000000000005</v>
      </c>
      <c r="V1044" s="12">
        <f>C1044+1</f>
        <v>40925</v>
      </c>
      <c r="W1044">
        <f>IF(D1044=' Pivot Tables'!$A$4,1,0)</f>
        <v>0</v>
      </c>
      <c r="X1044">
        <f>IF(AND(LEFT(D1044,4)+1=LEFT(' Pivot Tables'!$A$4,4)+0,RIGHT(LEFT(D1044,7),2)=RIGHT(LEFT(' Pivot Tables'!$A$4,7),2)),1,0)</f>
        <v>0</v>
      </c>
      <c r="Y1044" s="6">
        <f>1/COUNTIF(Таблица1[Order ID],Таблица1[[#This Row],[Order ID]])</f>
        <v>1</v>
      </c>
      <c r="Z1044" s="9">
        <f>1/COUNTIFS(Таблица1[Customer Name],Таблица1[[#This Row],[Customer Name]],Таблица1[Order-Year-Month],Таблица1[[#This Row],[Order-Year-Month]])</f>
        <v>1</v>
      </c>
    </row>
    <row r="1045" spans="1:26" x14ac:dyDescent="0.2">
      <c r="A1045" s="6">
        <v>549</v>
      </c>
      <c r="B1045" s="7">
        <v>3687</v>
      </c>
      <c r="C1045" s="8">
        <f>DATE(2012,12,31)-1063</f>
        <v>40211</v>
      </c>
      <c r="D1045" s="8" t="str">
        <f t="shared" si="21"/>
        <v>2010-02 (февраль 2010)</v>
      </c>
      <c r="E1045" s="9" t="s">
        <v>78</v>
      </c>
      <c r="F1045" s="7">
        <v>25</v>
      </c>
      <c r="G1045" s="7">
        <v>79.37</v>
      </c>
      <c r="H1045" s="7">
        <v>7.0000000000000007E-2</v>
      </c>
      <c r="I1045" s="9" t="s">
        <v>22</v>
      </c>
      <c r="J1045" s="10">
        <v>6.14</v>
      </c>
      <c r="K1045" s="11">
        <v>3.29</v>
      </c>
      <c r="L1045" s="11">
        <v>1.35</v>
      </c>
      <c r="M1045" s="9" t="s">
        <v>879</v>
      </c>
      <c r="N1045" s="6" t="s">
        <v>703</v>
      </c>
      <c r="O1045" s="6" t="s">
        <v>704</v>
      </c>
      <c r="P1045" s="9" t="s">
        <v>60</v>
      </c>
      <c r="Q1045" s="9" t="s">
        <v>26</v>
      </c>
      <c r="R1045" s="9" t="s">
        <v>66</v>
      </c>
      <c r="S1045" s="7" t="s">
        <v>464</v>
      </c>
      <c r="T1045" s="9" t="s">
        <v>68</v>
      </c>
      <c r="U1045" s="7">
        <v>0.4</v>
      </c>
      <c r="V1045" s="12">
        <f>C1045+0</f>
        <v>40211</v>
      </c>
      <c r="W1045">
        <f>IF(D1045=' Pivot Tables'!$A$4,1,0)</f>
        <v>0</v>
      </c>
      <c r="X1045">
        <f>IF(AND(LEFT(D1045,4)+1=LEFT(' Pivot Tables'!$A$4,4)+0,RIGHT(LEFT(D1045,7),2)=RIGHT(LEFT(' Pivot Tables'!$A$4,7),2)),1,0)</f>
        <v>0</v>
      </c>
      <c r="Y1045" s="6">
        <f>1/COUNTIF(Таблица1[Order ID],Таблица1[[#This Row],[Order ID]])</f>
        <v>1</v>
      </c>
      <c r="Z1045" s="9">
        <f>1/COUNTIFS(Таблица1[Customer Name],Таблица1[[#This Row],[Customer Name]],Таблица1[Order-Year-Month],Таблица1[[#This Row],[Order-Year-Month]])</f>
        <v>1</v>
      </c>
    </row>
    <row r="1046" spans="1:26" x14ac:dyDescent="0.2">
      <c r="A1046" s="6">
        <v>574</v>
      </c>
      <c r="B1046" s="7">
        <v>3907</v>
      </c>
      <c r="C1046" s="8">
        <f>DATE(2012,12,31)-135</f>
        <v>41139</v>
      </c>
      <c r="D1046" s="8" t="str">
        <f t="shared" si="21"/>
        <v>2012-08 (август 2012)</v>
      </c>
      <c r="E1046" s="9" t="s">
        <v>63</v>
      </c>
      <c r="F1046" s="7">
        <v>36</v>
      </c>
      <c r="G1046" s="7">
        <v>218.12</v>
      </c>
      <c r="H1046" s="7">
        <v>0.02</v>
      </c>
      <c r="I1046" s="9" t="s">
        <v>22</v>
      </c>
      <c r="J1046" s="10">
        <v>-1642.65</v>
      </c>
      <c r="K1046" s="11">
        <v>4.4800000000000004</v>
      </c>
      <c r="L1046" s="11">
        <v>49</v>
      </c>
      <c r="M1046" s="9" t="s">
        <v>877</v>
      </c>
      <c r="N1046" s="6" t="s">
        <v>703</v>
      </c>
      <c r="O1046" s="6" t="s">
        <v>704</v>
      </c>
      <c r="P1046" s="9" t="s">
        <v>25</v>
      </c>
      <c r="Q1046" s="9" t="s">
        <v>26</v>
      </c>
      <c r="R1046" s="9" t="s">
        <v>34</v>
      </c>
      <c r="S1046" s="7" t="s">
        <v>128</v>
      </c>
      <c r="T1046" s="9" t="s">
        <v>29</v>
      </c>
      <c r="U1046" s="7">
        <v>0.6</v>
      </c>
      <c r="V1046" s="12">
        <f>C1046+0</f>
        <v>41139</v>
      </c>
      <c r="W1046">
        <f>IF(D1046=' Pivot Tables'!$A$4,1,0)</f>
        <v>0</v>
      </c>
      <c r="X1046">
        <f>IF(AND(LEFT(D1046,4)+1=LEFT(' Pivot Tables'!$A$4,4)+0,RIGHT(LEFT(D1046,7),2)=RIGHT(LEFT(' Pivot Tables'!$A$4,7),2)),1,0)</f>
        <v>0</v>
      </c>
      <c r="Y1046" s="6">
        <f>1/COUNTIF(Таблица1[Order ID],Таблица1[[#This Row],[Order ID]])</f>
        <v>0.33333333333333331</v>
      </c>
      <c r="Z1046" s="9">
        <f>1/COUNTIFS(Таблица1[Customer Name],Таблица1[[#This Row],[Customer Name]],Таблица1[Order-Year-Month],Таблица1[[#This Row],[Order-Year-Month]])</f>
        <v>0.33333333333333331</v>
      </c>
    </row>
    <row r="1047" spans="1:26" x14ac:dyDescent="0.2">
      <c r="A1047" s="6">
        <v>594</v>
      </c>
      <c r="B1047" s="7">
        <v>4067</v>
      </c>
      <c r="C1047" s="8">
        <f>DATE(2012,12,31)-86</f>
        <v>41188</v>
      </c>
      <c r="D1047" s="8" t="str">
        <f t="shared" si="21"/>
        <v>2012-10 (октябрь 2012)</v>
      </c>
      <c r="E1047" s="9" t="s">
        <v>30</v>
      </c>
      <c r="F1047" s="7">
        <v>16</v>
      </c>
      <c r="G1047" s="7">
        <v>118.38</v>
      </c>
      <c r="H1047" s="7">
        <v>0.04</v>
      </c>
      <c r="I1047" s="9" t="s">
        <v>22</v>
      </c>
      <c r="J1047" s="10">
        <v>-42.457999999999998</v>
      </c>
      <c r="K1047" s="11">
        <v>7.1</v>
      </c>
      <c r="L1047" s="11">
        <v>6.05</v>
      </c>
      <c r="M1047" s="9" t="s">
        <v>874</v>
      </c>
      <c r="N1047" s="6" t="s">
        <v>703</v>
      </c>
      <c r="O1047" s="6" t="s">
        <v>704</v>
      </c>
      <c r="P1047" s="9" t="s">
        <v>41</v>
      </c>
      <c r="Q1047" s="9" t="s">
        <v>26</v>
      </c>
      <c r="R1047" s="9" t="s">
        <v>37</v>
      </c>
      <c r="S1047" s="7" t="s">
        <v>435</v>
      </c>
      <c r="T1047" s="9" t="s">
        <v>39</v>
      </c>
      <c r="U1047" s="7">
        <v>0.39</v>
      </c>
      <c r="V1047" s="12">
        <f>C1047+2</f>
        <v>41190</v>
      </c>
      <c r="W1047">
        <f>IF(D1047=' Pivot Tables'!$A$4,1,0)</f>
        <v>0</v>
      </c>
      <c r="X1047">
        <f>IF(AND(LEFT(D1047,4)+1=LEFT(' Pivot Tables'!$A$4,4)+0,RIGHT(LEFT(D1047,7),2)=RIGHT(LEFT(' Pivot Tables'!$A$4,7),2)),1,0)</f>
        <v>0</v>
      </c>
      <c r="Y1047" s="6">
        <f>1/COUNTIF(Таблица1[Order ID],Таблица1[[#This Row],[Order ID]])</f>
        <v>1</v>
      </c>
      <c r="Z1047" s="9">
        <f>1/COUNTIFS(Таблица1[Customer Name],Таблица1[[#This Row],[Customer Name]],Таблица1[Order-Year-Month],Таблица1[[#This Row],[Order-Year-Month]])</f>
        <v>1</v>
      </c>
    </row>
    <row r="1048" spans="1:26" x14ac:dyDescent="0.2">
      <c r="A1048" s="6">
        <v>617</v>
      </c>
      <c r="B1048" s="7">
        <v>4257</v>
      </c>
      <c r="C1048" s="8">
        <f>DATE(2012,12,31)-648</f>
        <v>40626</v>
      </c>
      <c r="D1048" s="8" t="str">
        <f t="shared" si="21"/>
        <v>2011-03 (март 2011)</v>
      </c>
      <c r="E1048" s="9" t="s">
        <v>63</v>
      </c>
      <c r="F1048" s="7">
        <v>45</v>
      </c>
      <c r="G1048" s="7">
        <v>253.89</v>
      </c>
      <c r="H1048" s="7">
        <v>0.01</v>
      </c>
      <c r="I1048" s="9" t="s">
        <v>22</v>
      </c>
      <c r="J1048" s="10">
        <v>-83.66</v>
      </c>
      <c r="K1048" s="11">
        <v>5.58</v>
      </c>
      <c r="L1048" s="11">
        <v>5.3</v>
      </c>
      <c r="M1048" s="9" t="s">
        <v>880</v>
      </c>
      <c r="N1048" s="6" t="s">
        <v>703</v>
      </c>
      <c r="O1048" s="6" t="s">
        <v>704</v>
      </c>
      <c r="P1048" s="9" t="s">
        <v>33</v>
      </c>
      <c r="Q1048" s="9" t="s">
        <v>26</v>
      </c>
      <c r="R1048" s="9" t="s">
        <v>76</v>
      </c>
      <c r="S1048" s="7" t="s">
        <v>881</v>
      </c>
      <c r="T1048" s="9" t="s">
        <v>39</v>
      </c>
      <c r="U1048" s="7">
        <v>0.35</v>
      </c>
      <c r="V1048" s="12">
        <f>C1048+2</f>
        <v>40628</v>
      </c>
      <c r="W1048">
        <f>IF(D1048=' Pivot Tables'!$A$4,1,0)</f>
        <v>0</v>
      </c>
      <c r="X1048">
        <f>IF(AND(LEFT(D1048,4)+1=LEFT(' Pivot Tables'!$A$4,4)+0,RIGHT(LEFT(D1048,7),2)=RIGHT(LEFT(' Pivot Tables'!$A$4,7),2)),1,0)</f>
        <v>0</v>
      </c>
      <c r="Y1048" s="6">
        <f>1/COUNTIF(Таблица1[Order ID],Таблица1[[#This Row],[Order ID]])</f>
        <v>1</v>
      </c>
      <c r="Z1048" s="9">
        <f>1/COUNTIFS(Таблица1[Customer Name],Таблица1[[#This Row],[Customer Name]],Таблица1[Order-Year-Month],Таблица1[[#This Row],[Order-Year-Month]])</f>
        <v>1</v>
      </c>
    </row>
    <row r="1049" spans="1:26" x14ac:dyDescent="0.2">
      <c r="A1049" s="6">
        <v>618</v>
      </c>
      <c r="B1049" s="7">
        <v>4261</v>
      </c>
      <c r="C1049" s="8">
        <f>DATE(2012,12,31)-90</f>
        <v>41184</v>
      </c>
      <c r="D1049" s="8" t="str">
        <f t="shared" si="21"/>
        <v>2012-10 (октябрь 2012)</v>
      </c>
      <c r="E1049" s="9" t="s">
        <v>78</v>
      </c>
      <c r="F1049" s="7">
        <v>22</v>
      </c>
      <c r="G1049" s="7">
        <v>1556.87</v>
      </c>
      <c r="H1049" s="7">
        <v>0.04</v>
      </c>
      <c r="I1049" s="9" t="s">
        <v>31</v>
      </c>
      <c r="J1049" s="10">
        <v>-521.41999999999996</v>
      </c>
      <c r="K1049" s="11">
        <v>68.81</v>
      </c>
      <c r="L1049" s="11">
        <v>60</v>
      </c>
      <c r="M1049" s="9" t="s">
        <v>871</v>
      </c>
      <c r="N1049" s="6" t="s">
        <v>703</v>
      </c>
      <c r="O1049" s="6" t="s">
        <v>704</v>
      </c>
      <c r="P1049" s="9" t="s">
        <v>41</v>
      </c>
      <c r="Q1049" s="9" t="s">
        <v>26</v>
      </c>
      <c r="R1049" s="9" t="s">
        <v>34</v>
      </c>
      <c r="S1049" s="7" t="s">
        <v>605</v>
      </c>
      <c r="T1049" s="9" t="s">
        <v>36</v>
      </c>
      <c r="U1049" s="7">
        <v>0.41</v>
      </c>
      <c r="V1049" s="12">
        <f>C1049+1</f>
        <v>41185</v>
      </c>
      <c r="W1049">
        <f>IF(D1049=' Pivot Tables'!$A$4,1,0)</f>
        <v>0</v>
      </c>
      <c r="X1049">
        <f>IF(AND(LEFT(D1049,4)+1=LEFT(' Pivot Tables'!$A$4,4)+0,RIGHT(LEFT(D1049,7),2)=RIGHT(LEFT(' Pivot Tables'!$A$4,7),2)),1,0)</f>
        <v>0</v>
      </c>
      <c r="Y1049" s="6">
        <f>1/COUNTIF(Таблица1[Order ID],Таблица1[[#This Row],[Order ID]])</f>
        <v>0.25</v>
      </c>
      <c r="Z1049" s="9">
        <f>1/COUNTIFS(Таблица1[Customer Name],Таблица1[[#This Row],[Customer Name]],Таблица1[Order-Year-Month],Таблица1[[#This Row],[Order-Year-Month]])</f>
        <v>0.25</v>
      </c>
    </row>
    <row r="1050" spans="1:26" x14ac:dyDescent="0.2">
      <c r="A1050" s="6">
        <v>619</v>
      </c>
      <c r="B1050" s="7">
        <v>4261</v>
      </c>
      <c r="C1050" s="8">
        <f>DATE(2012,12,31)-90</f>
        <v>41184</v>
      </c>
      <c r="D1050" s="8" t="str">
        <f t="shared" si="21"/>
        <v>2012-10 (октябрь 2012)</v>
      </c>
      <c r="E1050" s="9" t="s">
        <v>78</v>
      </c>
      <c r="F1050" s="7">
        <v>33</v>
      </c>
      <c r="G1050" s="7">
        <v>195.98</v>
      </c>
      <c r="H1050" s="7">
        <v>0.08</v>
      </c>
      <c r="I1050" s="9" t="s">
        <v>22</v>
      </c>
      <c r="J1050" s="10">
        <v>-71.47</v>
      </c>
      <c r="K1050" s="11">
        <v>5.98</v>
      </c>
      <c r="L1050" s="11">
        <v>5.35</v>
      </c>
      <c r="M1050" s="9" t="s">
        <v>871</v>
      </c>
      <c r="N1050" s="6" t="s">
        <v>703</v>
      </c>
      <c r="O1050" s="6" t="s">
        <v>704</v>
      </c>
      <c r="P1050" s="9" t="s">
        <v>41</v>
      </c>
      <c r="Q1050" s="9" t="s">
        <v>26</v>
      </c>
      <c r="R1050" s="9" t="s">
        <v>61</v>
      </c>
      <c r="S1050" s="7" t="s">
        <v>882</v>
      </c>
      <c r="T1050" s="9" t="s">
        <v>39</v>
      </c>
      <c r="U1050" s="7">
        <v>0.4</v>
      </c>
      <c r="V1050" s="12">
        <f>C1050+2</f>
        <v>41186</v>
      </c>
      <c r="W1050">
        <f>IF(D1050=' Pivot Tables'!$A$4,1,0)</f>
        <v>0</v>
      </c>
      <c r="X1050">
        <f>IF(AND(LEFT(D1050,4)+1=LEFT(' Pivot Tables'!$A$4,4)+0,RIGHT(LEFT(D1050,7),2)=RIGHT(LEFT(' Pivot Tables'!$A$4,7),2)),1,0)</f>
        <v>0</v>
      </c>
      <c r="Y1050" s="6">
        <f>1/COUNTIF(Таблица1[Order ID],Таблица1[[#This Row],[Order ID]])</f>
        <v>0.25</v>
      </c>
      <c r="Z1050" s="9">
        <f>1/COUNTIFS(Таблица1[Customer Name],Таблица1[[#This Row],[Customer Name]],Таблица1[Order-Year-Month],Таблица1[[#This Row],[Order-Year-Month]])</f>
        <v>0.25</v>
      </c>
    </row>
    <row r="1051" spans="1:26" x14ac:dyDescent="0.2">
      <c r="A1051" s="6">
        <v>620</v>
      </c>
      <c r="B1051" s="7">
        <v>4261</v>
      </c>
      <c r="C1051" s="8">
        <f>DATE(2012,12,31)-90</f>
        <v>41184</v>
      </c>
      <c r="D1051" s="8" t="str">
        <f t="shared" si="21"/>
        <v>2012-10 (октябрь 2012)</v>
      </c>
      <c r="E1051" s="9" t="s">
        <v>78</v>
      </c>
      <c r="F1051" s="7">
        <v>32</v>
      </c>
      <c r="G1051" s="7">
        <v>9235.9699999999993</v>
      </c>
      <c r="H1051" s="7">
        <v>0.04</v>
      </c>
      <c r="I1051" s="9" t="s">
        <v>22</v>
      </c>
      <c r="J1051" s="10">
        <v>2848.17</v>
      </c>
      <c r="K1051" s="11">
        <v>300.64999999999998</v>
      </c>
      <c r="L1051" s="11">
        <v>24.49</v>
      </c>
      <c r="M1051" s="9" t="s">
        <v>871</v>
      </c>
      <c r="N1051" s="6" t="s">
        <v>703</v>
      </c>
      <c r="O1051" s="6" t="s">
        <v>704</v>
      </c>
      <c r="P1051" s="9" t="s">
        <v>41</v>
      </c>
      <c r="Q1051" s="9" t="s">
        <v>26</v>
      </c>
      <c r="R1051" s="9" t="s">
        <v>34</v>
      </c>
      <c r="S1051" s="7" t="s">
        <v>378</v>
      </c>
      <c r="T1051" s="9" t="s">
        <v>29</v>
      </c>
      <c r="U1051" s="7">
        <v>0.52</v>
      </c>
      <c r="V1051" s="12">
        <f>C1051+2</f>
        <v>41186</v>
      </c>
      <c r="W1051">
        <f>IF(D1051=' Pivot Tables'!$A$4,1,0)</f>
        <v>0</v>
      </c>
      <c r="X1051">
        <f>IF(AND(LEFT(D1051,4)+1=LEFT(' Pivot Tables'!$A$4,4)+0,RIGHT(LEFT(D1051,7),2)=RIGHT(LEFT(' Pivot Tables'!$A$4,7),2)),1,0)</f>
        <v>0</v>
      </c>
      <c r="Y1051" s="6">
        <f>1/COUNTIF(Таблица1[Order ID],Таблица1[[#This Row],[Order ID]])</f>
        <v>0.25</v>
      </c>
      <c r="Z1051" s="9">
        <f>1/COUNTIFS(Таблица1[Customer Name],Таблица1[[#This Row],[Customer Name]],Таблица1[Order-Year-Month],Таблица1[[#This Row],[Order-Year-Month]])</f>
        <v>0.25</v>
      </c>
    </row>
    <row r="1052" spans="1:26" x14ac:dyDescent="0.2">
      <c r="A1052" s="6">
        <v>621</v>
      </c>
      <c r="B1052" s="7">
        <v>4261</v>
      </c>
      <c r="C1052" s="8">
        <f>DATE(2012,12,31)-90</f>
        <v>41184</v>
      </c>
      <c r="D1052" s="8" t="str">
        <f t="shared" si="21"/>
        <v>2012-10 (октябрь 2012)</v>
      </c>
      <c r="E1052" s="9" t="s">
        <v>78</v>
      </c>
      <c r="F1052" s="7">
        <v>48</v>
      </c>
      <c r="G1052" s="7">
        <v>274.38</v>
      </c>
      <c r="H1052" s="7">
        <v>0.04</v>
      </c>
      <c r="I1052" s="9" t="s">
        <v>22</v>
      </c>
      <c r="J1052" s="10">
        <v>-94.82</v>
      </c>
      <c r="K1052" s="11">
        <v>5.78</v>
      </c>
      <c r="L1052" s="11">
        <v>5.37</v>
      </c>
      <c r="M1052" s="9" t="s">
        <v>871</v>
      </c>
      <c r="N1052" s="6" t="s">
        <v>703</v>
      </c>
      <c r="O1052" s="6" t="s">
        <v>704</v>
      </c>
      <c r="P1052" s="9" t="s">
        <v>41</v>
      </c>
      <c r="Q1052" s="9" t="s">
        <v>26</v>
      </c>
      <c r="R1052" s="9" t="s">
        <v>61</v>
      </c>
      <c r="S1052" s="7" t="s">
        <v>883</v>
      </c>
      <c r="T1052" s="9" t="s">
        <v>39</v>
      </c>
      <c r="U1052" s="7">
        <v>0.36</v>
      </c>
      <c r="V1052" s="12">
        <f>C1052+2</f>
        <v>41186</v>
      </c>
      <c r="W1052">
        <f>IF(D1052=' Pivot Tables'!$A$4,1,0)</f>
        <v>0</v>
      </c>
      <c r="X1052">
        <f>IF(AND(LEFT(D1052,4)+1=LEFT(' Pivot Tables'!$A$4,4)+0,RIGHT(LEFT(D1052,7),2)=RIGHT(LEFT(' Pivot Tables'!$A$4,7),2)),1,0)</f>
        <v>0</v>
      </c>
      <c r="Y1052" s="6">
        <f>1/COUNTIF(Таблица1[Order ID],Таблица1[[#This Row],[Order ID]])</f>
        <v>0.25</v>
      </c>
      <c r="Z1052" s="9">
        <f>1/COUNTIFS(Таблица1[Customer Name],Таблица1[[#This Row],[Customer Name]],Таблица1[Order-Year-Month],Таблица1[[#This Row],[Order-Year-Month]])</f>
        <v>0.25</v>
      </c>
    </row>
    <row r="1053" spans="1:26" x14ac:dyDescent="0.2">
      <c r="A1053" s="6">
        <v>622</v>
      </c>
      <c r="B1053" s="7">
        <v>4294</v>
      </c>
      <c r="C1053" s="8">
        <f>DATE(2012,12,31)-139</f>
        <v>41135</v>
      </c>
      <c r="D1053" s="8" t="str">
        <f t="shared" si="21"/>
        <v>2012-08 (август 2012)</v>
      </c>
      <c r="E1053" s="9" t="s">
        <v>63</v>
      </c>
      <c r="F1053" s="7">
        <v>8</v>
      </c>
      <c r="G1053" s="7">
        <v>17.72</v>
      </c>
      <c r="H1053" s="7">
        <v>0.02</v>
      </c>
      <c r="I1053" s="9" t="s">
        <v>22</v>
      </c>
      <c r="J1053" s="10">
        <v>-15.34</v>
      </c>
      <c r="K1053" s="11">
        <v>1.74</v>
      </c>
      <c r="L1053" s="11">
        <v>4.08</v>
      </c>
      <c r="M1053" s="9" t="s">
        <v>869</v>
      </c>
      <c r="N1053" s="6" t="s">
        <v>703</v>
      </c>
      <c r="O1053" s="6" t="s">
        <v>704</v>
      </c>
      <c r="P1053" s="9" t="s">
        <v>25</v>
      </c>
      <c r="Q1053" s="9" t="s">
        <v>49</v>
      </c>
      <c r="R1053" s="9" t="s">
        <v>50</v>
      </c>
      <c r="S1053" s="7" t="s">
        <v>456</v>
      </c>
      <c r="T1053" s="9" t="s">
        <v>52</v>
      </c>
      <c r="U1053" s="7">
        <v>0.53</v>
      </c>
      <c r="V1053" s="12">
        <f>C1053+2</f>
        <v>41137</v>
      </c>
      <c r="W1053">
        <f>IF(D1053=' Pivot Tables'!$A$4,1,0)</f>
        <v>0</v>
      </c>
      <c r="X1053">
        <f>IF(AND(LEFT(D1053,4)+1=LEFT(' Pivot Tables'!$A$4,4)+0,RIGHT(LEFT(D1053,7),2)=RIGHT(LEFT(' Pivot Tables'!$A$4,7),2)),1,0)</f>
        <v>0</v>
      </c>
      <c r="Y1053" s="6">
        <f>1/COUNTIF(Таблица1[Order ID],Таблица1[[#This Row],[Order ID]])</f>
        <v>1</v>
      </c>
      <c r="Z1053" s="9">
        <f>1/COUNTIFS(Таблица1[Customer Name],Таблица1[[#This Row],[Customer Name]],Таблица1[Order-Year-Month],Таблица1[[#This Row],[Order-Year-Month]])</f>
        <v>1</v>
      </c>
    </row>
    <row r="1054" spans="1:26" x14ac:dyDescent="0.2">
      <c r="A1054" s="6">
        <v>657</v>
      </c>
      <c r="B1054" s="7">
        <v>4642</v>
      </c>
      <c r="C1054" s="8">
        <f>DATE(2012,12,31)-674</f>
        <v>40600</v>
      </c>
      <c r="D1054" s="8" t="str">
        <f t="shared" si="21"/>
        <v>2011-02 (февраль 2011)</v>
      </c>
      <c r="E1054" s="9" t="s">
        <v>78</v>
      </c>
      <c r="F1054" s="7">
        <v>9</v>
      </c>
      <c r="G1054" s="7">
        <v>65.61</v>
      </c>
      <c r="H1054" s="7">
        <v>0.08</v>
      </c>
      <c r="I1054" s="9" t="s">
        <v>22</v>
      </c>
      <c r="J1054" s="10">
        <v>-39.74</v>
      </c>
      <c r="K1054" s="11">
        <v>7.28</v>
      </c>
      <c r="L1054" s="11">
        <v>3.52</v>
      </c>
      <c r="M1054" s="9" t="s">
        <v>874</v>
      </c>
      <c r="N1054" s="6" t="s">
        <v>703</v>
      </c>
      <c r="O1054" s="6" t="s">
        <v>704</v>
      </c>
      <c r="P1054" s="9" t="s">
        <v>41</v>
      </c>
      <c r="Q1054" s="9" t="s">
        <v>42</v>
      </c>
      <c r="R1054" s="9" t="s">
        <v>70</v>
      </c>
      <c r="S1054" s="7" t="s">
        <v>735</v>
      </c>
      <c r="T1054" s="9" t="s">
        <v>52</v>
      </c>
      <c r="U1054" s="7">
        <v>0.68</v>
      </c>
      <c r="V1054" s="12">
        <f>C1054+1</f>
        <v>40601</v>
      </c>
      <c r="W1054">
        <f>IF(D1054=' Pivot Tables'!$A$4,1,0)</f>
        <v>0</v>
      </c>
      <c r="X1054">
        <f>IF(AND(LEFT(D1054,4)+1=LEFT(' Pivot Tables'!$A$4,4)+0,RIGHT(LEFT(D1054,7),2)=RIGHT(LEFT(' Pivot Tables'!$A$4,7),2)),1,0)</f>
        <v>0</v>
      </c>
      <c r="Y1054" s="6">
        <f>1/COUNTIF(Таблица1[Order ID],Таблица1[[#This Row],[Order ID]])</f>
        <v>0.5</v>
      </c>
      <c r="Z1054" s="9">
        <f>1/COUNTIFS(Таблица1[Customer Name],Таблица1[[#This Row],[Customer Name]],Таблица1[Order-Year-Month],Таблица1[[#This Row],[Order-Year-Month]])</f>
        <v>0.5</v>
      </c>
    </row>
    <row r="1055" spans="1:26" x14ac:dyDescent="0.2">
      <c r="A1055" s="6">
        <v>658</v>
      </c>
      <c r="B1055" s="7">
        <v>4642</v>
      </c>
      <c r="C1055" s="8">
        <f>DATE(2012,12,31)-674</f>
        <v>40600</v>
      </c>
      <c r="D1055" s="8" t="str">
        <f t="shared" si="21"/>
        <v>2011-02 (февраль 2011)</v>
      </c>
      <c r="E1055" s="9" t="s">
        <v>78</v>
      </c>
      <c r="F1055" s="7">
        <v>21</v>
      </c>
      <c r="G1055" s="7">
        <v>309.62</v>
      </c>
      <c r="H1055" s="7">
        <v>0</v>
      </c>
      <c r="I1055" s="9" t="s">
        <v>56</v>
      </c>
      <c r="J1055" s="10">
        <v>-80.2</v>
      </c>
      <c r="K1055" s="11">
        <v>14.03</v>
      </c>
      <c r="L1055" s="11">
        <v>9.3699999999999992</v>
      </c>
      <c r="M1055" s="9" t="s">
        <v>874</v>
      </c>
      <c r="N1055" s="6" t="s">
        <v>703</v>
      </c>
      <c r="O1055" s="6" t="s">
        <v>704</v>
      </c>
      <c r="P1055" s="9" t="s">
        <v>41</v>
      </c>
      <c r="Q1055" s="9" t="s">
        <v>26</v>
      </c>
      <c r="R1055" s="9" t="s">
        <v>27</v>
      </c>
      <c r="S1055" s="7" t="s">
        <v>733</v>
      </c>
      <c r="T1055" s="9" t="s">
        <v>39</v>
      </c>
      <c r="U1055" s="7">
        <v>0.56000000000000005</v>
      </c>
      <c r="V1055" s="12">
        <f>C1055+0</f>
        <v>40600</v>
      </c>
      <c r="W1055">
        <f>IF(D1055=' Pivot Tables'!$A$4,1,0)</f>
        <v>0</v>
      </c>
      <c r="X1055">
        <f>IF(AND(LEFT(D1055,4)+1=LEFT(' Pivot Tables'!$A$4,4)+0,RIGHT(LEFT(D1055,7),2)=RIGHT(LEFT(' Pivot Tables'!$A$4,7),2)),1,0)</f>
        <v>0</v>
      </c>
      <c r="Y1055" s="6">
        <f>1/COUNTIF(Таблица1[Order ID],Таблица1[[#This Row],[Order ID]])</f>
        <v>0.5</v>
      </c>
      <c r="Z1055" s="9">
        <f>1/COUNTIFS(Таблица1[Customer Name],Таблица1[[#This Row],[Customer Name]],Таблица1[Order-Year-Month],Таблица1[[#This Row],[Order-Year-Month]])</f>
        <v>0.5</v>
      </c>
    </row>
    <row r="1056" spans="1:26" x14ac:dyDescent="0.2">
      <c r="A1056" s="6">
        <v>695</v>
      </c>
      <c r="B1056" s="7">
        <v>4864</v>
      </c>
      <c r="C1056" s="8">
        <f>DATE(2012,12,31)-51</f>
        <v>41223</v>
      </c>
      <c r="D1056" s="8" t="str">
        <f t="shared" si="21"/>
        <v>2012-11 (ноябрь 2012)</v>
      </c>
      <c r="E1056" s="9" t="s">
        <v>21</v>
      </c>
      <c r="F1056" s="7">
        <v>16</v>
      </c>
      <c r="G1056" s="7">
        <v>4901.99</v>
      </c>
      <c r="H1056" s="7">
        <v>0.04</v>
      </c>
      <c r="I1056" s="9" t="s">
        <v>22</v>
      </c>
      <c r="J1056" s="10">
        <v>1724.6755000000001</v>
      </c>
      <c r="K1056" s="11">
        <v>315.98</v>
      </c>
      <c r="L1056" s="11">
        <v>19.989999999999998</v>
      </c>
      <c r="M1056" s="9" t="s">
        <v>884</v>
      </c>
      <c r="N1056" s="6" t="s">
        <v>703</v>
      </c>
      <c r="O1056" s="6" t="s">
        <v>704</v>
      </c>
      <c r="P1056" s="9" t="s">
        <v>41</v>
      </c>
      <c r="Q1056" s="9" t="s">
        <v>26</v>
      </c>
      <c r="R1056" s="9" t="s">
        <v>37</v>
      </c>
      <c r="S1056" s="7" t="s">
        <v>885</v>
      </c>
      <c r="T1056" s="9" t="s">
        <v>39</v>
      </c>
      <c r="U1056" s="7">
        <v>0.38</v>
      </c>
      <c r="V1056" s="12">
        <f>C1056+4</f>
        <v>41227</v>
      </c>
      <c r="W1056">
        <f>IF(D1056=' Pivot Tables'!$A$4,1,0)</f>
        <v>0</v>
      </c>
      <c r="X1056">
        <f>IF(AND(LEFT(D1056,4)+1=LEFT(' Pivot Tables'!$A$4,4)+0,RIGHT(LEFT(D1056,7),2)=RIGHT(LEFT(' Pivot Tables'!$A$4,7),2)),1,0)</f>
        <v>0</v>
      </c>
      <c r="Y1056" s="6">
        <f>1/COUNTIF(Таблица1[Order ID],Таблица1[[#This Row],[Order ID]])</f>
        <v>1</v>
      </c>
      <c r="Z1056" s="9">
        <f>1/COUNTIFS(Таблица1[Customer Name],Таблица1[[#This Row],[Customer Name]],Таблица1[Order-Year-Month],Таблица1[[#This Row],[Order-Year-Month]])</f>
        <v>1</v>
      </c>
    </row>
    <row r="1057" spans="1:26" x14ac:dyDescent="0.2">
      <c r="A1057" s="6">
        <v>710</v>
      </c>
      <c r="B1057" s="7">
        <v>4996</v>
      </c>
      <c r="C1057" s="8">
        <f>DATE(2012,12,31)-109</f>
        <v>41165</v>
      </c>
      <c r="D1057" s="8" t="str">
        <f t="shared" si="21"/>
        <v>2012-09 (сентябрь 2012)</v>
      </c>
      <c r="E1057" s="9" t="s">
        <v>63</v>
      </c>
      <c r="F1057" s="7">
        <v>30</v>
      </c>
      <c r="G1057" s="7">
        <v>4305.79</v>
      </c>
      <c r="H1057" s="7">
        <v>0</v>
      </c>
      <c r="I1057" s="9" t="s">
        <v>22</v>
      </c>
      <c r="J1057" s="10">
        <v>1020.32</v>
      </c>
      <c r="K1057" s="11">
        <v>142.86000000000001</v>
      </c>
      <c r="L1057" s="11">
        <v>19.989999999999998</v>
      </c>
      <c r="M1057" s="9" t="s">
        <v>886</v>
      </c>
      <c r="N1057" s="6" t="s">
        <v>703</v>
      </c>
      <c r="O1057" s="6" t="s">
        <v>704</v>
      </c>
      <c r="P1057" s="9" t="s">
        <v>41</v>
      </c>
      <c r="Q1057" s="9" t="s">
        <v>26</v>
      </c>
      <c r="R1057" s="9" t="s">
        <v>27</v>
      </c>
      <c r="S1057" s="7" t="s">
        <v>887</v>
      </c>
      <c r="T1057" s="9" t="s">
        <v>39</v>
      </c>
      <c r="U1057" s="7">
        <v>0.56000000000000005</v>
      </c>
      <c r="V1057" s="12">
        <f>C1057+1</f>
        <v>41166</v>
      </c>
      <c r="W1057">
        <f>IF(D1057=' Pivot Tables'!$A$4,1,0)</f>
        <v>0</v>
      </c>
      <c r="X1057">
        <f>IF(AND(LEFT(D1057,4)+1=LEFT(' Pivot Tables'!$A$4,4)+0,RIGHT(LEFT(D1057,7),2)=RIGHT(LEFT(' Pivot Tables'!$A$4,7),2)),1,0)</f>
        <v>0</v>
      </c>
      <c r="Y1057" s="6">
        <f>1/COUNTIF(Таблица1[Order ID],Таблица1[[#This Row],[Order ID]])</f>
        <v>1</v>
      </c>
      <c r="Z1057" s="9">
        <f>1/COUNTIFS(Таблица1[Customer Name],Таблица1[[#This Row],[Customer Name]],Таблица1[Order-Year-Month],Таблица1[[#This Row],[Order-Year-Month]])</f>
        <v>0.5</v>
      </c>
    </row>
    <row r="1058" spans="1:26" x14ac:dyDescent="0.2">
      <c r="A1058" s="6">
        <v>718</v>
      </c>
      <c r="B1058" s="7">
        <v>5121</v>
      </c>
      <c r="C1058" s="8">
        <f>DATE(2012,12,31)-235</f>
        <v>41039</v>
      </c>
      <c r="D1058" s="8" t="str">
        <f t="shared" si="21"/>
        <v>2012-05 (май 2012)</v>
      </c>
      <c r="E1058" s="9" t="s">
        <v>45</v>
      </c>
      <c r="F1058" s="7">
        <v>45</v>
      </c>
      <c r="G1058" s="7">
        <v>1991.7029999999997</v>
      </c>
      <c r="H1058" s="7">
        <v>7.0000000000000007E-2</v>
      </c>
      <c r="I1058" s="9" t="s">
        <v>22</v>
      </c>
      <c r="J1058" s="10">
        <v>559.10699999999997</v>
      </c>
      <c r="K1058" s="11">
        <v>55.99</v>
      </c>
      <c r="L1058" s="11">
        <v>1.25</v>
      </c>
      <c r="M1058" s="9" t="s">
        <v>884</v>
      </c>
      <c r="N1058" s="6" t="s">
        <v>703</v>
      </c>
      <c r="O1058" s="6" t="s">
        <v>704</v>
      </c>
      <c r="P1058" s="9" t="s">
        <v>41</v>
      </c>
      <c r="Q1058" s="9" t="s">
        <v>42</v>
      </c>
      <c r="R1058" s="9" t="s">
        <v>43</v>
      </c>
      <c r="S1058" s="7" t="s">
        <v>661</v>
      </c>
      <c r="T1058" s="9" t="s">
        <v>52</v>
      </c>
      <c r="U1058" s="7">
        <v>0.55000000000000004</v>
      </c>
      <c r="V1058" s="12">
        <f>C1058+1</f>
        <v>41040</v>
      </c>
      <c r="W1058">
        <f>IF(D1058=' Pivot Tables'!$A$4,1,0)</f>
        <v>0</v>
      </c>
      <c r="X1058">
        <f>IF(AND(LEFT(D1058,4)+1=LEFT(' Pivot Tables'!$A$4,4)+0,RIGHT(LEFT(D1058,7),2)=RIGHT(LEFT(' Pivot Tables'!$A$4,7),2)),1,0)</f>
        <v>0</v>
      </c>
      <c r="Y1058" s="6">
        <f>1/COUNTIF(Таблица1[Order ID],Таблица1[[#This Row],[Order ID]])</f>
        <v>1</v>
      </c>
      <c r="Z1058" s="9">
        <f>1/COUNTIFS(Таблица1[Customer Name],Таблица1[[#This Row],[Customer Name]],Таблица1[Order-Year-Month],Таблица1[[#This Row],[Order-Year-Month]])</f>
        <v>1</v>
      </c>
    </row>
    <row r="1059" spans="1:26" x14ac:dyDescent="0.2">
      <c r="A1059" s="6">
        <v>741</v>
      </c>
      <c r="B1059" s="7">
        <v>5346</v>
      </c>
      <c r="C1059" s="8">
        <f>DATE(2012,12,31)-737</f>
        <v>40537</v>
      </c>
      <c r="D1059" s="8" t="str">
        <f t="shared" si="21"/>
        <v>2010-12 (декабрь 2010)</v>
      </c>
      <c r="E1059" s="9" t="s">
        <v>78</v>
      </c>
      <c r="F1059" s="7">
        <v>34</v>
      </c>
      <c r="G1059" s="7">
        <v>2932.99</v>
      </c>
      <c r="H1059" s="7">
        <v>7.0000000000000007E-2</v>
      </c>
      <c r="I1059" s="9" t="s">
        <v>22</v>
      </c>
      <c r="J1059" s="10">
        <v>-1448.83</v>
      </c>
      <c r="K1059" s="11">
        <v>90.98</v>
      </c>
      <c r="L1059" s="11">
        <v>56.2</v>
      </c>
      <c r="M1059" s="9" t="s">
        <v>888</v>
      </c>
      <c r="N1059" s="6" t="s">
        <v>703</v>
      </c>
      <c r="O1059" s="6" t="s">
        <v>704</v>
      </c>
      <c r="P1059" s="9" t="s">
        <v>60</v>
      </c>
      <c r="Q1059" s="9" t="s">
        <v>49</v>
      </c>
      <c r="R1059" s="9" t="s">
        <v>50</v>
      </c>
      <c r="S1059" s="7" t="s">
        <v>574</v>
      </c>
      <c r="T1059" s="9" t="s">
        <v>48</v>
      </c>
      <c r="U1059" s="7">
        <v>0.74</v>
      </c>
      <c r="V1059" s="12">
        <f>C1059+1</f>
        <v>40538</v>
      </c>
      <c r="W1059">
        <f>IF(D1059=' Pivot Tables'!$A$4,1,0)</f>
        <v>0</v>
      </c>
      <c r="X1059">
        <f>IF(AND(LEFT(D1059,4)+1=LEFT(' Pivot Tables'!$A$4,4)+0,RIGHT(LEFT(D1059,7),2)=RIGHT(LEFT(' Pivot Tables'!$A$4,7),2)),1,0)</f>
        <v>0</v>
      </c>
      <c r="Y1059" s="6">
        <f>1/COUNTIF(Таблица1[Order ID],Таблица1[[#This Row],[Order ID]])</f>
        <v>0.33333333333333331</v>
      </c>
      <c r="Z1059" s="9">
        <f>1/COUNTIFS(Таблица1[Customer Name],Таблица1[[#This Row],[Customer Name]],Таблица1[Order-Year-Month],Таблица1[[#This Row],[Order-Year-Month]])</f>
        <v>0.33333333333333331</v>
      </c>
    </row>
    <row r="1060" spans="1:26" x14ac:dyDescent="0.2">
      <c r="A1060" s="6">
        <v>742</v>
      </c>
      <c r="B1060" s="7">
        <v>5346</v>
      </c>
      <c r="C1060" s="8">
        <f>DATE(2012,12,31)-737</f>
        <v>40537</v>
      </c>
      <c r="D1060" s="8" t="str">
        <f t="shared" si="21"/>
        <v>2010-12 (декабрь 2010)</v>
      </c>
      <c r="E1060" s="9" t="s">
        <v>78</v>
      </c>
      <c r="F1060" s="7">
        <v>45</v>
      </c>
      <c r="G1060" s="7">
        <v>9194.7999999999993</v>
      </c>
      <c r="H1060" s="7">
        <v>0.1</v>
      </c>
      <c r="I1060" s="9" t="s">
        <v>31</v>
      </c>
      <c r="J1060" s="10">
        <v>-1760.5710000000001</v>
      </c>
      <c r="K1060" s="11">
        <v>218.75</v>
      </c>
      <c r="L1060" s="11">
        <v>69.64</v>
      </c>
      <c r="M1060" s="9" t="s">
        <v>888</v>
      </c>
      <c r="N1060" s="6" t="s">
        <v>703</v>
      </c>
      <c r="O1060" s="6" t="s">
        <v>704</v>
      </c>
      <c r="P1060" s="9" t="s">
        <v>60</v>
      </c>
      <c r="Q1060" s="9" t="s">
        <v>49</v>
      </c>
      <c r="R1060" s="9" t="s">
        <v>83</v>
      </c>
      <c r="S1060" s="7" t="s">
        <v>254</v>
      </c>
      <c r="T1060" s="9" t="s">
        <v>82</v>
      </c>
      <c r="U1060" s="7">
        <v>0.77</v>
      </c>
      <c r="V1060" s="12">
        <f>C1060+2</f>
        <v>40539</v>
      </c>
      <c r="W1060">
        <f>IF(D1060=' Pivot Tables'!$A$4,1,0)</f>
        <v>0</v>
      </c>
      <c r="X1060">
        <f>IF(AND(LEFT(D1060,4)+1=LEFT(' Pivot Tables'!$A$4,4)+0,RIGHT(LEFT(D1060,7),2)=RIGHT(LEFT(' Pivot Tables'!$A$4,7),2)),1,0)</f>
        <v>0</v>
      </c>
      <c r="Y1060" s="6">
        <f>1/COUNTIF(Таблица1[Order ID],Таблица1[[#This Row],[Order ID]])</f>
        <v>0.33333333333333331</v>
      </c>
      <c r="Z1060" s="9">
        <f>1/COUNTIFS(Таблица1[Customer Name],Таблица1[[#This Row],[Customer Name]],Таблица1[Order-Year-Month],Таблица1[[#This Row],[Order-Year-Month]])</f>
        <v>0.33333333333333331</v>
      </c>
    </row>
    <row r="1061" spans="1:26" x14ac:dyDescent="0.2">
      <c r="A1061" s="6">
        <v>743</v>
      </c>
      <c r="B1061" s="7">
        <v>5346</v>
      </c>
      <c r="C1061" s="8">
        <f>DATE(2012,12,31)-737</f>
        <v>40537</v>
      </c>
      <c r="D1061" s="8" t="str">
        <f t="shared" si="21"/>
        <v>2010-12 (декабрь 2010)</v>
      </c>
      <c r="E1061" s="9" t="s">
        <v>78</v>
      </c>
      <c r="F1061" s="7">
        <v>17</v>
      </c>
      <c r="G1061" s="7">
        <v>2285.12</v>
      </c>
      <c r="H1061" s="7">
        <v>0.08</v>
      </c>
      <c r="I1061" s="9" t="s">
        <v>31</v>
      </c>
      <c r="J1061" s="10">
        <v>-455.8</v>
      </c>
      <c r="K1061" s="11">
        <v>140.97999999999999</v>
      </c>
      <c r="L1061" s="11">
        <v>36.090000000000003</v>
      </c>
      <c r="M1061" s="9" t="s">
        <v>888</v>
      </c>
      <c r="N1061" s="6" t="s">
        <v>703</v>
      </c>
      <c r="O1061" s="6" t="s">
        <v>704</v>
      </c>
      <c r="P1061" s="9" t="s">
        <v>60</v>
      </c>
      <c r="Q1061" s="9" t="s">
        <v>49</v>
      </c>
      <c r="R1061" s="9" t="s">
        <v>80</v>
      </c>
      <c r="S1061" s="7" t="s">
        <v>349</v>
      </c>
      <c r="T1061" s="9" t="s">
        <v>82</v>
      </c>
      <c r="U1061" s="7">
        <v>0.77</v>
      </c>
      <c r="V1061" s="12">
        <f>C1061+2</f>
        <v>40539</v>
      </c>
      <c r="W1061">
        <f>IF(D1061=' Pivot Tables'!$A$4,1,0)</f>
        <v>0</v>
      </c>
      <c r="X1061">
        <f>IF(AND(LEFT(D1061,4)+1=LEFT(' Pivot Tables'!$A$4,4)+0,RIGHT(LEFT(D1061,7),2)=RIGHT(LEFT(' Pivot Tables'!$A$4,7),2)),1,0)</f>
        <v>0</v>
      </c>
      <c r="Y1061" s="6">
        <f>1/COUNTIF(Таблица1[Order ID],Таблица1[[#This Row],[Order ID]])</f>
        <v>0.33333333333333331</v>
      </c>
      <c r="Z1061" s="9">
        <f>1/COUNTIFS(Таблица1[Customer Name],Таблица1[[#This Row],[Customer Name]],Таблица1[Order-Year-Month],Таблица1[[#This Row],[Order-Year-Month]])</f>
        <v>0.33333333333333331</v>
      </c>
    </row>
    <row r="1062" spans="1:26" x14ac:dyDescent="0.2">
      <c r="A1062" s="6">
        <v>766</v>
      </c>
      <c r="B1062" s="7">
        <v>5473</v>
      </c>
      <c r="C1062" s="8">
        <f>DATE(2012,12,31)-282</f>
        <v>40992</v>
      </c>
      <c r="D1062" s="8" t="str">
        <f t="shared" si="21"/>
        <v>2012-03 (март 2012)</v>
      </c>
      <c r="E1062" s="9" t="s">
        <v>45</v>
      </c>
      <c r="F1062" s="7">
        <v>42</v>
      </c>
      <c r="G1062" s="7">
        <v>355.69</v>
      </c>
      <c r="H1062" s="7">
        <v>0.09</v>
      </c>
      <c r="I1062" s="9" t="s">
        <v>22</v>
      </c>
      <c r="J1062" s="10">
        <v>-149.46</v>
      </c>
      <c r="K1062" s="11">
        <v>8.74</v>
      </c>
      <c r="L1062" s="11">
        <v>8.2899999999999991</v>
      </c>
      <c r="M1062" s="9" t="s">
        <v>889</v>
      </c>
      <c r="N1062" s="6" t="s">
        <v>703</v>
      </c>
      <c r="O1062" s="6" t="s">
        <v>704</v>
      </c>
      <c r="P1062" s="9" t="s">
        <v>25</v>
      </c>
      <c r="Q1062" s="9" t="s">
        <v>26</v>
      </c>
      <c r="R1062" s="9" t="s">
        <v>76</v>
      </c>
      <c r="S1062" s="7" t="s">
        <v>567</v>
      </c>
      <c r="T1062" s="9" t="s">
        <v>39</v>
      </c>
      <c r="U1062" s="7">
        <v>0.38</v>
      </c>
      <c r="V1062" s="12">
        <f>C1062+2</f>
        <v>40994</v>
      </c>
      <c r="W1062">
        <f>IF(D1062=' Pivot Tables'!$A$4,1,0)</f>
        <v>0</v>
      </c>
      <c r="X1062">
        <f>IF(AND(LEFT(D1062,4)+1=LEFT(' Pivot Tables'!$A$4,4)+0,RIGHT(LEFT(D1062,7),2)=RIGHT(LEFT(' Pivot Tables'!$A$4,7),2)),1,0)</f>
        <v>0</v>
      </c>
      <c r="Y1062" s="6">
        <f>1/COUNTIF(Таблица1[Order ID],Таблица1[[#This Row],[Order ID]])</f>
        <v>1</v>
      </c>
      <c r="Z1062" s="9">
        <f>1/COUNTIFS(Таблица1[Customer Name],Таблица1[[#This Row],[Customer Name]],Таблица1[Order-Year-Month],Таблица1[[#This Row],[Order-Year-Month]])</f>
        <v>1</v>
      </c>
    </row>
    <row r="1063" spans="1:26" x14ac:dyDescent="0.2">
      <c r="A1063" s="6">
        <v>795</v>
      </c>
      <c r="B1063" s="7">
        <v>5698</v>
      </c>
      <c r="C1063" s="8">
        <f>DATE(2012,12,31)-1321</f>
        <v>39953</v>
      </c>
      <c r="D1063" s="8" t="str">
        <f t="shared" si="21"/>
        <v>2009-05 (май 2009)</v>
      </c>
      <c r="E1063" s="9" t="s">
        <v>63</v>
      </c>
      <c r="F1063" s="7">
        <v>15</v>
      </c>
      <c r="G1063" s="7">
        <v>297.05</v>
      </c>
      <c r="H1063" s="7">
        <v>0.09</v>
      </c>
      <c r="I1063" s="9" t="s">
        <v>22</v>
      </c>
      <c r="J1063" s="10">
        <v>-16.89</v>
      </c>
      <c r="K1063" s="11">
        <v>20.48</v>
      </c>
      <c r="L1063" s="11">
        <v>6.32</v>
      </c>
      <c r="M1063" s="9" t="s">
        <v>890</v>
      </c>
      <c r="N1063" s="6" t="s">
        <v>703</v>
      </c>
      <c r="O1063" s="6" t="s">
        <v>704</v>
      </c>
      <c r="P1063" s="9" t="s">
        <v>33</v>
      </c>
      <c r="Q1063" s="9" t="s">
        <v>26</v>
      </c>
      <c r="R1063" s="9" t="s">
        <v>34</v>
      </c>
      <c r="S1063" s="7" t="s">
        <v>891</v>
      </c>
      <c r="T1063" s="9" t="s">
        <v>39</v>
      </c>
      <c r="U1063" s="7">
        <v>0.57999999999999996</v>
      </c>
      <c r="V1063" s="12">
        <f>C1063+1</f>
        <v>39954</v>
      </c>
      <c r="W1063">
        <f>IF(D1063=' Pivot Tables'!$A$4,1,0)</f>
        <v>0</v>
      </c>
      <c r="X1063">
        <f>IF(AND(LEFT(D1063,4)+1=LEFT(' Pivot Tables'!$A$4,4)+0,RIGHT(LEFT(D1063,7),2)=RIGHT(LEFT(' Pivot Tables'!$A$4,7),2)),1,0)</f>
        <v>0</v>
      </c>
      <c r="Y1063" s="6">
        <f>1/COUNTIF(Таблица1[Order ID],Таблица1[[#This Row],[Order ID]])</f>
        <v>0.5</v>
      </c>
      <c r="Z1063" s="9">
        <f>1/COUNTIFS(Таблица1[Customer Name],Таблица1[[#This Row],[Customer Name]],Таблица1[Order-Year-Month],Таблица1[[#This Row],[Order-Year-Month]])</f>
        <v>0.5</v>
      </c>
    </row>
    <row r="1064" spans="1:26" x14ac:dyDescent="0.2">
      <c r="A1064" s="6">
        <v>796</v>
      </c>
      <c r="B1064" s="7">
        <v>5698</v>
      </c>
      <c r="C1064" s="8">
        <f>DATE(2012,12,31)-1321</f>
        <v>39953</v>
      </c>
      <c r="D1064" s="8" t="str">
        <f t="shared" si="21"/>
        <v>2009-05 (май 2009)</v>
      </c>
      <c r="E1064" s="9" t="s">
        <v>63</v>
      </c>
      <c r="F1064" s="7">
        <v>7</v>
      </c>
      <c r="G1064" s="7">
        <v>108.26</v>
      </c>
      <c r="H1064" s="7">
        <v>0.06</v>
      </c>
      <c r="I1064" s="9" t="s">
        <v>22</v>
      </c>
      <c r="J1064" s="10">
        <v>25.51</v>
      </c>
      <c r="K1064" s="11">
        <v>15.67</v>
      </c>
      <c r="L1064" s="11">
        <v>1.39</v>
      </c>
      <c r="M1064" s="9" t="s">
        <v>890</v>
      </c>
      <c r="N1064" s="6" t="s">
        <v>703</v>
      </c>
      <c r="O1064" s="6" t="s">
        <v>704</v>
      </c>
      <c r="P1064" s="9" t="s">
        <v>33</v>
      </c>
      <c r="Q1064" s="9" t="s">
        <v>26</v>
      </c>
      <c r="R1064" s="9" t="s">
        <v>76</v>
      </c>
      <c r="S1064" s="7" t="s">
        <v>165</v>
      </c>
      <c r="T1064" s="9" t="s">
        <v>39</v>
      </c>
      <c r="U1064" s="7">
        <v>0.38</v>
      </c>
      <c r="V1064" s="12">
        <f>C1064+1</f>
        <v>39954</v>
      </c>
      <c r="W1064">
        <f>IF(D1064=' Pivot Tables'!$A$4,1,0)</f>
        <v>0</v>
      </c>
      <c r="X1064">
        <f>IF(AND(LEFT(D1064,4)+1=LEFT(' Pivot Tables'!$A$4,4)+0,RIGHT(LEFT(D1064,7),2)=RIGHT(LEFT(' Pivot Tables'!$A$4,7),2)),1,0)</f>
        <v>0</v>
      </c>
      <c r="Y1064" s="6">
        <f>1/COUNTIF(Таблица1[Order ID],Таблица1[[#This Row],[Order ID]])</f>
        <v>0.5</v>
      </c>
      <c r="Z1064" s="9">
        <f>1/COUNTIFS(Таблица1[Customer Name],Таблица1[[#This Row],[Customer Name]],Таблица1[Order-Year-Month],Таблица1[[#This Row],[Order-Year-Month]])</f>
        <v>0.5</v>
      </c>
    </row>
    <row r="1065" spans="1:26" x14ac:dyDescent="0.2">
      <c r="A1065" s="6">
        <v>855</v>
      </c>
      <c r="B1065" s="7">
        <v>6144</v>
      </c>
      <c r="C1065" s="8">
        <f>DATE(2012,12,31)-1289</f>
        <v>39985</v>
      </c>
      <c r="D1065" s="8" t="str">
        <f t="shared" si="21"/>
        <v>2009-06 (июнь 2009)</v>
      </c>
      <c r="E1065" s="9" t="s">
        <v>78</v>
      </c>
      <c r="F1065" s="7">
        <v>24</v>
      </c>
      <c r="G1065" s="7">
        <v>67.349999999999994</v>
      </c>
      <c r="H1065" s="7">
        <v>7.0000000000000007E-2</v>
      </c>
      <c r="I1065" s="9" t="s">
        <v>22</v>
      </c>
      <c r="J1065" s="10">
        <v>22.63</v>
      </c>
      <c r="K1065" s="11">
        <v>2.88</v>
      </c>
      <c r="L1065" s="11">
        <v>0.5</v>
      </c>
      <c r="M1065" s="9" t="s">
        <v>884</v>
      </c>
      <c r="N1065" s="6" t="s">
        <v>703</v>
      </c>
      <c r="O1065" s="6" t="s">
        <v>704</v>
      </c>
      <c r="P1065" s="9" t="s">
        <v>41</v>
      </c>
      <c r="Q1065" s="9" t="s">
        <v>26</v>
      </c>
      <c r="R1065" s="9" t="s">
        <v>88</v>
      </c>
      <c r="S1065" s="7" t="s">
        <v>485</v>
      </c>
      <c r="T1065" s="9" t="s">
        <v>39</v>
      </c>
      <c r="U1065" s="7">
        <v>0.39</v>
      </c>
      <c r="V1065" s="12">
        <f>C1065+3</f>
        <v>39988</v>
      </c>
      <c r="W1065">
        <f>IF(D1065=' Pivot Tables'!$A$4,1,0)</f>
        <v>0</v>
      </c>
      <c r="X1065">
        <f>IF(AND(LEFT(D1065,4)+1=LEFT(' Pivot Tables'!$A$4,4)+0,RIGHT(LEFT(D1065,7),2)=RIGHT(LEFT(' Pivot Tables'!$A$4,7),2)),1,0)</f>
        <v>0</v>
      </c>
      <c r="Y1065" s="6">
        <f>1/COUNTIF(Таблица1[Order ID],Таблица1[[#This Row],[Order ID]])</f>
        <v>0.5</v>
      </c>
      <c r="Z1065" s="9">
        <f>1/COUNTIFS(Таблица1[Customer Name],Таблица1[[#This Row],[Customer Name]],Таблица1[Order-Year-Month],Таблица1[[#This Row],[Order-Year-Month]])</f>
        <v>0.5</v>
      </c>
    </row>
    <row r="1066" spans="1:26" x14ac:dyDescent="0.2">
      <c r="A1066" s="6">
        <v>856</v>
      </c>
      <c r="B1066" s="7">
        <v>6144</v>
      </c>
      <c r="C1066" s="8">
        <f>DATE(2012,12,31)-1289</f>
        <v>39985</v>
      </c>
      <c r="D1066" s="8" t="str">
        <f t="shared" si="21"/>
        <v>2009-06 (июнь 2009)</v>
      </c>
      <c r="E1066" s="9" t="s">
        <v>78</v>
      </c>
      <c r="F1066" s="7">
        <v>4</v>
      </c>
      <c r="G1066" s="7">
        <v>1472.31</v>
      </c>
      <c r="H1066" s="7">
        <v>0.03</v>
      </c>
      <c r="I1066" s="9" t="s">
        <v>31</v>
      </c>
      <c r="J1066" s="10">
        <v>-223.58700000000002</v>
      </c>
      <c r="K1066" s="11">
        <v>348.21</v>
      </c>
      <c r="L1066" s="11">
        <v>40.19</v>
      </c>
      <c r="M1066" s="9" t="s">
        <v>884</v>
      </c>
      <c r="N1066" s="6" t="s">
        <v>703</v>
      </c>
      <c r="O1066" s="6" t="s">
        <v>704</v>
      </c>
      <c r="P1066" s="9" t="s">
        <v>41</v>
      </c>
      <c r="Q1066" s="9" t="s">
        <v>49</v>
      </c>
      <c r="R1066" s="9" t="s">
        <v>83</v>
      </c>
      <c r="S1066" s="7" t="s">
        <v>599</v>
      </c>
      <c r="T1066" s="9" t="s">
        <v>82</v>
      </c>
      <c r="U1066" s="7">
        <v>0.62</v>
      </c>
      <c r="V1066" s="12">
        <f>C1066+1</f>
        <v>39986</v>
      </c>
      <c r="W1066">
        <f>IF(D1066=' Pivot Tables'!$A$4,1,0)</f>
        <v>0</v>
      </c>
      <c r="X1066">
        <f>IF(AND(LEFT(D1066,4)+1=LEFT(' Pivot Tables'!$A$4,4)+0,RIGHT(LEFT(D1066,7),2)=RIGHT(LEFT(' Pivot Tables'!$A$4,7),2)),1,0)</f>
        <v>0</v>
      </c>
      <c r="Y1066" s="6">
        <f>1/COUNTIF(Таблица1[Order ID],Таблица1[[#This Row],[Order ID]])</f>
        <v>0.5</v>
      </c>
      <c r="Z1066" s="9">
        <f>1/COUNTIFS(Таблица1[Customer Name],Таблица1[[#This Row],[Customer Name]],Таблица1[Order-Year-Month],Таблица1[[#This Row],[Order-Year-Month]])</f>
        <v>0.5</v>
      </c>
    </row>
    <row r="1067" spans="1:26" x14ac:dyDescent="0.2">
      <c r="A1067" s="6">
        <v>888</v>
      </c>
      <c r="B1067" s="7">
        <v>6374</v>
      </c>
      <c r="C1067" s="8">
        <f>DATE(2012,12,31)-512</f>
        <v>40762</v>
      </c>
      <c r="D1067" s="8" t="str">
        <f t="shared" si="21"/>
        <v>2011-08 (август 2011)</v>
      </c>
      <c r="E1067" s="9" t="s">
        <v>78</v>
      </c>
      <c r="F1067" s="7">
        <v>29</v>
      </c>
      <c r="G1067" s="7">
        <v>857.42</v>
      </c>
      <c r="H1067" s="7">
        <v>7.0000000000000007E-2</v>
      </c>
      <c r="I1067" s="9" t="s">
        <v>56</v>
      </c>
      <c r="J1067" s="10">
        <v>51.18</v>
      </c>
      <c r="K1067" s="11">
        <v>31.11</v>
      </c>
      <c r="L1067" s="11">
        <v>3.6</v>
      </c>
      <c r="M1067" s="9" t="s">
        <v>892</v>
      </c>
      <c r="N1067" s="6" t="s">
        <v>703</v>
      </c>
      <c r="O1067" s="6" t="s">
        <v>704</v>
      </c>
      <c r="P1067" s="9" t="s">
        <v>41</v>
      </c>
      <c r="Q1067" s="9" t="s">
        <v>42</v>
      </c>
      <c r="R1067" s="9" t="s">
        <v>70</v>
      </c>
      <c r="S1067" s="7" t="s">
        <v>893</v>
      </c>
      <c r="T1067" s="9" t="s">
        <v>52</v>
      </c>
      <c r="U1067" s="7">
        <v>0.64</v>
      </c>
      <c r="V1067" s="12">
        <f>C1067+1</f>
        <v>40763</v>
      </c>
      <c r="W1067">
        <f>IF(D1067=' Pivot Tables'!$A$4,1,0)</f>
        <v>0</v>
      </c>
      <c r="X1067">
        <f>IF(AND(LEFT(D1067,4)+1=LEFT(' Pivot Tables'!$A$4,4)+0,RIGHT(LEFT(D1067,7),2)=RIGHT(LEFT(' Pivot Tables'!$A$4,7),2)),1,0)</f>
        <v>0</v>
      </c>
      <c r="Y1067" s="6">
        <f>1/COUNTIF(Таблица1[Order ID],Таблица1[[#This Row],[Order ID]])</f>
        <v>0.5</v>
      </c>
      <c r="Z1067" s="9">
        <f>1/COUNTIFS(Таблица1[Customer Name],Таблица1[[#This Row],[Customer Name]],Таблица1[Order-Year-Month],Таблица1[[#This Row],[Order-Year-Month]])</f>
        <v>0.5</v>
      </c>
    </row>
    <row r="1068" spans="1:26" x14ac:dyDescent="0.2">
      <c r="A1068" s="6">
        <v>889</v>
      </c>
      <c r="B1068" s="7">
        <v>6374</v>
      </c>
      <c r="C1068" s="8">
        <f>DATE(2012,12,31)-512</f>
        <v>40762</v>
      </c>
      <c r="D1068" s="8" t="str">
        <f t="shared" si="21"/>
        <v>2011-08 (август 2011)</v>
      </c>
      <c r="E1068" s="9" t="s">
        <v>78</v>
      </c>
      <c r="F1068" s="7">
        <v>1</v>
      </c>
      <c r="G1068" s="7">
        <v>2.2400000000000002</v>
      </c>
      <c r="H1068" s="7">
        <v>0.01</v>
      </c>
      <c r="I1068" s="9" t="s">
        <v>22</v>
      </c>
      <c r="J1068" s="10">
        <v>-1.97</v>
      </c>
      <c r="K1068" s="11">
        <v>1.48</v>
      </c>
      <c r="L1068" s="11">
        <v>0.7</v>
      </c>
      <c r="M1068" s="9" t="s">
        <v>892</v>
      </c>
      <c r="N1068" s="6" t="s">
        <v>703</v>
      </c>
      <c r="O1068" s="6" t="s">
        <v>704</v>
      </c>
      <c r="P1068" s="9" t="s">
        <v>41</v>
      </c>
      <c r="Q1068" s="9" t="s">
        <v>26</v>
      </c>
      <c r="R1068" s="9" t="s">
        <v>66</v>
      </c>
      <c r="S1068" s="7" t="s">
        <v>623</v>
      </c>
      <c r="T1068" s="9" t="s">
        <v>68</v>
      </c>
      <c r="U1068" s="7">
        <v>0.37</v>
      </c>
      <c r="V1068" s="12">
        <f>C1068+2</f>
        <v>40764</v>
      </c>
      <c r="W1068">
        <f>IF(D1068=' Pivot Tables'!$A$4,1,0)</f>
        <v>0</v>
      </c>
      <c r="X1068">
        <f>IF(AND(LEFT(D1068,4)+1=LEFT(' Pivot Tables'!$A$4,4)+0,RIGHT(LEFT(D1068,7),2)=RIGHT(LEFT(' Pivot Tables'!$A$4,7),2)),1,0)</f>
        <v>0</v>
      </c>
      <c r="Y1068" s="6">
        <f>1/COUNTIF(Таблица1[Order ID],Таблица1[[#This Row],[Order ID]])</f>
        <v>0.5</v>
      </c>
      <c r="Z1068" s="9">
        <f>1/COUNTIFS(Таблица1[Customer Name],Таблица1[[#This Row],[Customer Name]],Таблица1[Order-Year-Month],Таблица1[[#This Row],[Order-Year-Month]])</f>
        <v>0.5</v>
      </c>
    </row>
    <row r="1069" spans="1:26" x14ac:dyDescent="0.2">
      <c r="A1069" s="6">
        <v>992</v>
      </c>
      <c r="B1069" s="7">
        <v>7169</v>
      </c>
      <c r="C1069" s="8">
        <f>DATE(2012,12,31)-1011</f>
        <v>40263</v>
      </c>
      <c r="D1069" s="8" t="str">
        <f t="shared" si="21"/>
        <v>2010-03 (март 2010)</v>
      </c>
      <c r="E1069" s="9" t="s">
        <v>63</v>
      </c>
      <c r="F1069" s="7">
        <v>22</v>
      </c>
      <c r="G1069" s="7">
        <v>446.72</v>
      </c>
      <c r="H1069" s="7">
        <v>0.05</v>
      </c>
      <c r="I1069" s="9" t="s">
        <v>22</v>
      </c>
      <c r="J1069" s="10">
        <v>-39</v>
      </c>
      <c r="K1069" s="11">
        <v>20.28</v>
      </c>
      <c r="L1069" s="11">
        <v>14.39</v>
      </c>
      <c r="M1069" s="9" t="s">
        <v>871</v>
      </c>
      <c r="N1069" s="6" t="s">
        <v>703</v>
      </c>
      <c r="O1069" s="6" t="s">
        <v>704</v>
      </c>
      <c r="P1069" s="9" t="s">
        <v>41</v>
      </c>
      <c r="Q1069" s="9" t="s">
        <v>49</v>
      </c>
      <c r="R1069" s="9" t="s">
        <v>50</v>
      </c>
      <c r="S1069" s="7" t="s">
        <v>894</v>
      </c>
      <c r="T1069" s="9" t="s">
        <v>39</v>
      </c>
      <c r="U1069" s="7">
        <v>0.47</v>
      </c>
      <c r="V1069" s="12">
        <f>C1069+2</f>
        <v>40265</v>
      </c>
      <c r="W1069">
        <f>IF(D1069=' Pivot Tables'!$A$4,1,0)</f>
        <v>0</v>
      </c>
      <c r="X1069">
        <f>IF(AND(LEFT(D1069,4)+1=LEFT(' Pivot Tables'!$A$4,4)+0,RIGHT(LEFT(D1069,7),2)=RIGHT(LEFT(' Pivot Tables'!$A$4,7),2)),1,0)</f>
        <v>0</v>
      </c>
      <c r="Y1069" s="6">
        <f>1/COUNTIF(Таблица1[Order ID],Таблица1[[#This Row],[Order ID]])</f>
        <v>0.5</v>
      </c>
      <c r="Z1069" s="9">
        <f>1/COUNTIFS(Таблица1[Customer Name],Таблица1[[#This Row],[Customer Name]],Таблица1[Order-Year-Month],Таблица1[[#This Row],[Order-Year-Month]])</f>
        <v>0.5</v>
      </c>
    </row>
    <row r="1070" spans="1:26" x14ac:dyDescent="0.2">
      <c r="A1070" s="6">
        <v>993</v>
      </c>
      <c r="B1070" s="7">
        <v>7169</v>
      </c>
      <c r="C1070" s="8">
        <f>DATE(2012,12,31)-1011</f>
        <v>40263</v>
      </c>
      <c r="D1070" s="8" t="str">
        <f t="shared" si="21"/>
        <v>2010-03 (март 2010)</v>
      </c>
      <c r="E1070" s="9" t="s">
        <v>63</v>
      </c>
      <c r="F1070" s="7">
        <v>30</v>
      </c>
      <c r="G1070" s="7">
        <v>1580.6005</v>
      </c>
      <c r="H1070" s="7">
        <v>7.0000000000000007E-2</v>
      </c>
      <c r="I1070" s="9" t="s">
        <v>22</v>
      </c>
      <c r="J1070" s="10">
        <v>303.52499999999998</v>
      </c>
      <c r="K1070" s="11">
        <v>65.989999999999995</v>
      </c>
      <c r="L1070" s="11">
        <v>2.79</v>
      </c>
      <c r="M1070" s="9" t="s">
        <v>871</v>
      </c>
      <c r="N1070" s="6" t="s">
        <v>703</v>
      </c>
      <c r="O1070" s="6" t="s">
        <v>704</v>
      </c>
      <c r="P1070" s="9" t="s">
        <v>41</v>
      </c>
      <c r="Q1070" s="9" t="s">
        <v>42</v>
      </c>
      <c r="R1070" s="9" t="s">
        <v>43</v>
      </c>
      <c r="S1070" s="7" t="s">
        <v>895</v>
      </c>
      <c r="T1070" s="9" t="s">
        <v>39</v>
      </c>
      <c r="U1070" s="7">
        <v>0.56000000000000005</v>
      </c>
      <c r="V1070" s="12">
        <f>C1070+2</f>
        <v>40265</v>
      </c>
      <c r="W1070">
        <f>IF(D1070=' Pivot Tables'!$A$4,1,0)</f>
        <v>0</v>
      </c>
      <c r="X1070">
        <f>IF(AND(LEFT(D1070,4)+1=LEFT(' Pivot Tables'!$A$4,4)+0,RIGHT(LEFT(D1070,7),2)=RIGHT(LEFT(' Pivot Tables'!$A$4,7),2)),1,0)</f>
        <v>0</v>
      </c>
      <c r="Y1070" s="6">
        <f>1/COUNTIF(Таблица1[Order ID],Таблица1[[#This Row],[Order ID]])</f>
        <v>0.5</v>
      </c>
      <c r="Z1070" s="9">
        <f>1/COUNTIFS(Таблица1[Customer Name],Таблица1[[#This Row],[Customer Name]],Таблица1[Order-Year-Month],Таблица1[[#This Row],[Order-Year-Month]])</f>
        <v>0.5</v>
      </c>
    </row>
    <row r="1071" spans="1:26" x14ac:dyDescent="0.2">
      <c r="A1071" s="6">
        <v>1013</v>
      </c>
      <c r="B1071" s="7">
        <v>7427</v>
      </c>
      <c r="C1071" s="8">
        <f>DATE(2012,12,31)-16</f>
        <v>41258</v>
      </c>
      <c r="D1071" s="8" t="str">
        <f t="shared" si="21"/>
        <v>2012-12 (декабрь 2012)</v>
      </c>
      <c r="E1071" s="9" t="s">
        <v>45</v>
      </c>
      <c r="F1071" s="7">
        <v>47</v>
      </c>
      <c r="G1071" s="7">
        <v>16002.29</v>
      </c>
      <c r="H1071" s="7">
        <v>0.09</v>
      </c>
      <c r="I1071" s="9" t="s">
        <v>22</v>
      </c>
      <c r="J1071" s="10">
        <v>4604.79</v>
      </c>
      <c r="K1071" s="11">
        <v>363.25</v>
      </c>
      <c r="L1071" s="11">
        <v>19.989999999999998</v>
      </c>
      <c r="M1071" s="9" t="s">
        <v>892</v>
      </c>
      <c r="N1071" s="6" t="s">
        <v>703</v>
      </c>
      <c r="O1071" s="6" t="s">
        <v>704</v>
      </c>
      <c r="P1071" s="9" t="s">
        <v>41</v>
      </c>
      <c r="Q1071" s="9" t="s">
        <v>26</v>
      </c>
      <c r="R1071" s="9" t="s">
        <v>34</v>
      </c>
      <c r="S1071" s="7" t="s">
        <v>589</v>
      </c>
      <c r="T1071" s="9" t="s">
        <v>39</v>
      </c>
      <c r="U1071" s="7">
        <v>0.56999999999999995</v>
      </c>
      <c r="V1071" s="12">
        <f>C1071+0</f>
        <v>41258</v>
      </c>
      <c r="W1071">
        <f>IF(D1071=' Pivot Tables'!$A$4,1,0)</f>
        <v>0</v>
      </c>
      <c r="X1071">
        <f>IF(AND(LEFT(D1071,4)+1=LEFT(' Pivot Tables'!$A$4,4)+0,RIGHT(LEFT(D1071,7),2)=RIGHT(LEFT(' Pivot Tables'!$A$4,7),2)),1,0)</f>
        <v>0</v>
      </c>
      <c r="Y1071" s="6">
        <f>1/COUNTIF(Таблица1[Order ID],Таблица1[[#This Row],[Order ID]])</f>
        <v>0.5</v>
      </c>
      <c r="Z1071" s="9">
        <f>1/COUNTIFS(Таблица1[Customer Name],Таблица1[[#This Row],[Customer Name]],Таблица1[Order-Year-Month],Таблица1[[#This Row],[Order-Year-Month]])</f>
        <v>0.5</v>
      </c>
    </row>
    <row r="1072" spans="1:26" x14ac:dyDescent="0.2">
      <c r="A1072" s="6">
        <v>1014</v>
      </c>
      <c r="B1072" s="7">
        <v>7427</v>
      </c>
      <c r="C1072" s="8">
        <f>DATE(2012,12,31)-16</f>
        <v>41258</v>
      </c>
      <c r="D1072" s="8" t="str">
        <f t="shared" si="21"/>
        <v>2012-12 (декабрь 2012)</v>
      </c>
      <c r="E1072" s="9" t="s">
        <v>45</v>
      </c>
      <c r="F1072" s="7">
        <v>9</v>
      </c>
      <c r="G1072" s="7">
        <v>182.26</v>
      </c>
      <c r="H1072" s="7">
        <v>0.01</v>
      </c>
      <c r="I1072" s="9" t="s">
        <v>22</v>
      </c>
      <c r="J1072" s="10">
        <v>60.613500000000002</v>
      </c>
      <c r="K1072" s="11">
        <v>18.940000000000001</v>
      </c>
      <c r="L1072" s="11">
        <v>1.49</v>
      </c>
      <c r="M1072" s="9" t="s">
        <v>892</v>
      </c>
      <c r="N1072" s="6" t="s">
        <v>703</v>
      </c>
      <c r="O1072" s="6" t="s">
        <v>704</v>
      </c>
      <c r="P1072" s="9" t="s">
        <v>41</v>
      </c>
      <c r="Q1072" s="9" t="s">
        <v>26</v>
      </c>
      <c r="R1072" s="9" t="s">
        <v>37</v>
      </c>
      <c r="S1072" s="7" t="s">
        <v>896</v>
      </c>
      <c r="T1072" s="9" t="s">
        <v>39</v>
      </c>
      <c r="U1072" s="7">
        <v>0.35</v>
      </c>
      <c r="V1072" s="12">
        <f>C1072+1</f>
        <v>41259</v>
      </c>
      <c r="W1072">
        <f>IF(D1072=' Pivot Tables'!$A$4,1,0)</f>
        <v>0</v>
      </c>
      <c r="X1072">
        <f>IF(AND(LEFT(D1072,4)+1=LEFT(' Pivot Tables'!$A$4,4)+0,RIGHT(LEFT(D1072,7),2)=RIGHT(LEFT(' Pivot Tables'!$A$4,7),2)),1,0)</f>
        <v>0</v>
      </c>
      <c r="Y1072" s="6">
        <f>1/COUNTIF(Таблица1[Order ID],Таблица1[[#This Row],[Order ID]])</f>
        <v>0.5</v>
      </c>
      <c r="Z1072" s="9">
        <f>1/COUNTIFS(Таблица1[Customer Name],Таблица1[[#This Row],[Customer Name]],Таблица1[Order-Year-Month],Таблица1[[#This Row],[Order-Year-Month]])</f>
        <v>0.5</v>
      </c>
    </row>
    <row r="1073" spans="1:26" x14ac:dyDescent="0.2">
      <c r="A1073" s="6">
        <v>1123</v>
      </c>
      <c r="B1073" s="7">
        <v>8229</v>
      </c>
      <c r="C1073" s="8">
        <f>DATE(2012,12,31)-1120</f>
        <v>40154</v>
      </c>
      <c r="D1073" s="8" t="str">
        <f t="shared" si="21"/>
        <v>2009-12 (декабрь 2009)</v>
      </c>
      <c r="E1073" s="9" t="s">
        <v>63</v>
      </c>
      <c r="F1073" s="7">
        <v>7</v>
      </c>
      <c r="G1073" s="7">
        <v>3565.27</v>
      </c>
      <c r="H1073" s="7">
        <v>0.04</v>
      </c>
      <c r="I1073" s="9" t="s">
        <v>31</v>
      </c>
      <c r="J1073" s="10">
        <v>-502.80780000000004</v>
      </c>
      <c r="K1073" s="11">
        <v>510.14</v>
      </c>
      <c r="L1073" s="11">
        <v>14.7</v>
      </c>
      <c r="M1073" s="9" t="s">
        <v>897</v>
      </c>
      <c r="N1073" s="6" t="s">
        <v>703</v>
      </c>
      <c r="O1073" s="6" t="s">
        <v>704</v>
      </c>
      <c r="P1073" s="9" t="s">
        <v>60</v>
      </c>
      <c r="Q1073" s="9" t="s">
        <v>42</v>
      </c>
      <c r="R1073" s="9" t="s">
        <v>210</v>
      </c>
      <c r="S1073" s="7" t="s">
        <v>898</v>
      </c>
      <c r="T1073" s="9" t="s">
        <v>36</v>
      </c>
      <c r="U1073" s="7">
        <v>0.56000000000000005</v>
      </c>
      <c r="V1073" s="12">
        <f>C1073+2</f>
        <v>40156</v>
      </c>
      <c r="W1073">
        <f>IF(D1073=' Pivot Tables'!$A$4,1,0)</f>
        <v>0</v>
      </c>
      <c r="X1073">
        <f>IF(AND(LEFT(D1073,4)+1=LEFT(' Pivot Tables'!$A$4,4)+0,RIGHT(LEFT(D1073,7),2)=RIGHT(LEFT(' Pivot Tables'!$A$4,7),2)),1,0)</f>
        <v>0</v>
      </c>
      <c r="Y1073" s="6">
        <f>1/COUNTIF(Таблица1[Order ID],Таблица1[[#This Row],[Order ID]])</f>
        <v>0.5</v>
      </c>
      <c r="Z1073" s="9">
        <f>1/COUNTIFS(Таблица1[Customer Name],Таблица1[[#This Row],[Customer Name]],Таблица1[Order-Year-Month],Таблица1[[#This Row],[Order-Year-Month]])</f>
        <v>0.33333333333333331</v>
      </c>
    </row>
    <row r="1074" spans="1:26" x14ac:dyDescent="0.2">
      <c r="A1074" s="6">
        <v>1124</v>
      </c>
      <c r="B1074" s="7">
        <v>8229</v>
      </c>
      <c r="C1074" s="8">
        <f>DATE(2012,12,31)-1120</f>
        <v>40154</v>
      </c>
      <c r="D1074" s="8" t="str">
        <f t="shared" si="21"/>
        <v>2009-12 (декабрь 2009)</v>
      </c>
      <c r="E1074" s="9" t="s">
        <v>63</v>
      </c>
      <c r="F1074" s="7">
        <v>50</v>
      </c>
      <c r="G1074" s="7">
        <v>241.01</v>
      </c>
      <c r="H1074" s="7">
        <v>0</v>
      </c>
      <c r="I1074" s="9" t="s">
        <v>22</v>
      </c>
      <c r="J1074" s="10">
        <v>-4.6900000000000004</v>
      </c>
      <c r="K1074" s="11">
        <v>4.76</v>
      </c>
      <c r="L1074" s="11">
        <v>3.01</v>
      </c>
      <c r="M1074" s="9" t="s">
        <v>897</v>
      </c>
      <c r="N1074" s="6" t="s">
        <v>703</v>
      </c>
      <c r="O1074" s="6" t="s">
        <v>704</v>
      </c>
      <c r="P1074" s="9" t="s">
        <v>60</v>
      </c>
      <c r="Q1074" s="9" t="s">
        <v>26</v>
      </c>
      <c r="R1074" s="9" t="s">
        <v>61</v>
      </c>
      <c r="S1074" s="7" t="s">
        <v>899</v>
      </c>
      <c r="T1074" s="9" t="s">
        <v>68</v>
      </c>
      <c r="U1074" s="7">
        <v>0.36</v>
      </c>
      <c r="V1074" s="12">
        <f>C1074+2</f>
        <v>40156</v>
      </c>
      <c r="W1074">
        <f>IF(D1074=' Pivot Tables'!$A$4,1,0)</f>
        <v>0</v>
      </c>
      <c r="X1074">
        <f>IF(AND(LEFT(D1074,4)+1=LEFT(' Pivot Tables'!$A$4,4)+0,RIGHT(LEFT(D1074,7),2)=RIGHT(LEFT(' Pivot Tables'!$A$4,7),2)),1,0)</f>
        <v>0</v>
      </c>
      <c r="Y1074" s="6">
        <f>1/COUNTIF(Таблица1[Order ID],Таблица1[[#This Row],[Order ID]])</f>
        <v>0.5</v>
      </c>
      <c r="Z1074" s="9">
        <f>1/COUNTIFS(Таблица1[Customer Name],Таблица1[[#This Row],[Customer Name]],Таблица1[Order-Year-Month],Таблица1[[#This Row],[Order-Year-Month]])</f>
        <v>0.33333333333333331</v>
      </c>
    </row>
    <row r="1075" spans="1:26" x14ac:dyDescent="0.2">
      <c r="A1075" s="6">
        <v>1134</v>
      </c>
      <c r="B1075" s="7">
        <v>8290</v>
      </c>
      <c r="C1075" s="8">
        <f>DATE(2012,12,31)-1118</f>
        <v>40156</v>
      </c>
      <c r="D1075" s="8" t="str">
        <f t="shared" si="21"/>
        <v>2009-12 (декабрь 2009)</v>
      </c>
      <c r="E1075" s="9" t="s">
        <v>78</v>
      </c>
      <c r="F1075" s="7">
        <v>32</v>
      </c>
      <c r="G1075" s="7">
        <v>209.02</v>
      </c>
      <c r="H1075" s="7">
        <v>0.04</v>
      </c>
      <c r="I1075" s="9" t="s">
        <v>22</v>
      </c>
      <c r="J1075" s="10">
        <v>101.8</v>
      </c>
      <c r="K1075" s="11">
        <v>6.3</v>
      </c>
      <c r="L1075" s="11">
        <v>0.5</v>
      </c>
      <c r="M1075" s="9" t="s">
        <v>897</v>
      </c>
      <c r="N1075" s="6" t="s">
        <v>703</v>
      </c>
      <c r="O1075" s="6" t="s">
        <v>704</v>
      </c>
      <c r="P1075" s="9" t="s">
        <v>60</v>
      </c>
      <c r="Q1075" s="9" t="s">
        <v>26</v>
      </c>
      <c r="R1075" s="9" t="s">
        <v>88</v>
      </c>
      <c r="S1075" s="7" t="s">
        <v>900</v>
      </c>
      <c r="T1075" s="9" t="s">
        <v>39</v>
      </c>
      <c r="U1075" s="7">
        <v>0.39</v>
      </c>
      <c r="V1075" s="12">
        <f>C1075+2</f>
        <v>40158</v>
      </c>
      <c r="W1075">
        <f>IF(D1075=' Pivot Tables'!$A$4,1,0)</f>
        <v>0</v>
      </c>
      <c r="X1075">
        <f>IF(AND(LEFT(D1075,4)+1=LEFT(' Pivot Tables'!$A$4,4)+0,RIGHT(LEFT(D1075,7),2)=RIGHT(LEFT(' Pivot Tables'!$A$4,7),2)),1,0)</f>
        <v>0</v>
      </c>
      <c r="Y1075" s="6">
        <f>1/COUNTIF(Таблица1[Order ID],Таблица1[[#This Row],[Order ID]])</f>
        <v>1</v>
      </c>
      <c r="Z1075" s="9">
        <f>1/COUNTIFS(Таблица1[Customer Name],Таблица1[[#This Row],[Customer Name]],Таблица1[Order-Year-Month],Таблица1[[#This Row],[Order-Year-Month]])</f>
        <v>0.33333333333333331</v>
      </c>
    </row>
    <row r="1076" spans="1:26" x14ac:dyDescent="0.2">
      <c r="A1076" s="6">
        <v>1167</v>
      </c>
      <c r="B1076" s="7">
        <v>8515</v>
      </c>
      <c r="C1076" s="8">
        <f>DATE(2012,12,31)-741</f>
        <v>40533</v>
      </c>
      <c r="D1076" s="8" t="str">
        <f t="shared" si="21"/>
        <v>2010-12 (декабрь 2010)</v>
      </c>
      <c r="E1076" s="9" t="s">
        <v>78</v>
      </c>
      <c r="F1076" s="7">
        <v>33</v>
      </c>
      <c r="G1076" s="7">
        <v>729.92</v>
      </c>
      <c r="H1076" s="7">
        <v>0</v>
      </c>
      <c r="I1076" s="9" t="s">
        <v>22</v>
      </c>
      <c r="J1076" s="10">
        <v>99.31</v>
      </c>
      <c r="K1076" s="11">
        <v>20.95</v>
      </c>
      <c r="L1076" s="11">
        <v>4</v>
      </c>
      <c r="M1076" s="9" t="s">
        <v>875</v>
      </c>
      <c r="N1076" s="6" t="s">
        <v>703</v>
      </c>
      <c r="O1076" s="6" t="s">
        <v>704</v>
      </c>
      <c r="P1076" s="9" t="s">
        <v>25</v>
      </c>
      <c r="Q1076" s="9" t="s">
        <v>42</v>
      </c>
      <c r="R1076" s="9" t="s">
        <v>70</v>
      </c>
      <c r="S1076" s="7" t="s">
        <v>231</v>
      </c>
      <c r="T1076" s="9" t="s">
        <v>39</v>
      </c>
      <c r="U1076" s="7">
        <v>0.6</v>
      </c>
      <c r="V1076" s="12">
        <f>C1076+1</f>
        <v>40534</v>
      </c>
      <c r="W1076">
        <f>IF(D1076=' Pivot Tables'!$A$4,1,0)</f>
        <v>0</v>
      </c>
      <c r="X1076">
        <f>IF(AND(LEFT(D1076,4)+1=LEFT(' Pivot Tables'!$A$4,4)+0,RIGHT(LEFT(D1076,7),2)=RIGHT(LEFT(' Pivot Tables'!$A$4,7),2)),1,0)</f>
        <v>0</v>
      </c>
      <c r="Y1076" s="6">
        <f>1/COUNTIF(Таблица1[Order ID],Таблица1[[#This Row],[Order ID]])</f>
        <v>1</v>
      </c>
      <c r="Z1076" s="9">
        <f>1/COUNTIFS(Таблица1[Customer Name],Таблица1[[#This Row],[Customer Name]],Таблица1[Order-Year-Month],Таблица1[[#This Row],[Order-Year-Month]])</f>
        <v>1</v>
      </c>
    </row>
    <row r="1077" spans="1:26" x14ac:dyDescent="0.2">
      <c r="A1077" s="6">
        <v>1197</v>
      </c>
      <c r="B1077" s="7">
        <v>8801</v>
      </c>
      <c r="C1077" s="8">
        <f>DATE(2012,12,31)-143</f>
        <v>41131</v>
      </c>
      <c r="D1077" s="8" t="str">
        <f t="shared" si="21"/>
        <v>2012-08 (август 2012)</v>
      </c>
      <c r="E1077" s="9" t="s">
        <v>21</v>
      </c>
      <c r="F1077" s="7">
        <v>32</v>
      </c>
      <c r="G1077" s="7">
        <v>2593.08</v>
      </c>
      <c r="H1077" s="7">
        <v>0</v>
      </c>
      <c r="I1077" s="9" t="s">
        <v>56</v>
      </c>
      <c r="J1077" s="10">
        <v>-673.31</v>
      </c>
      <c r="K1077" s="11">
        <v>79.52</v>
      </c>
      <c r="L1077" s="11">
        <v>48.2</v>
      </c>
      <c r="M1077" s="9" t="s">
        <v>901</v>
      </c>
      <c r="N1077" s="6" t="s">
        <v>703</v>
      </c>
      <c r="O1077" s="6" t="s">
        <v>704</v>
      </c>
      <c r="P1077" s="9" t="s">
        <v>33</v>
      </c>
      <c r="Q1077" s="9" t="s">
        <v>49</v>
      </c>
      <c r="R1077" s="9" t="s">
        <v>50</v>
      </c>
      <c r="S1077" s="7" t="s">
        <v>902</v>
      </c>
      <c r="T1077" s="9" t="s">
        <v>48</v>
      </c>
      <c r="U1077" s="7">
        <v>0.74</v>
      </c>
      <c r="V1077" s="12">
        <f>C1077+5</f>
        <v>41136</v>
      </c>
      <c r="W1077">
        <f>IF(D1077=' Pivot Tables'!$A$4,1,0)</f>
        <v>0</v>
      </c>
      <c r="X1077">
        <f>IF(AND(LEFT(D1077,4)+1=LEFT(' Pivot Tables'!$A$4,4)+0,RIGHT(LEFT(D1077,7),2)=RIGHT(LEFT(' Pivot Tables'!$A$4,7),2)),1,0)</f>
        <v>0</v>
      </c>
      <c r="Y1077" s="6">
        <f>1/COUNTIF(Таблица1[Order ID],Таблица1[[#This Row],[Order ID]])</f>
        <v>0.5</v>
      </c>
      <c r="Z1077" s="9">
        <f>1/COUNTIFS(Таблица1[Customer Name],Таблица1[[#This Row],[Customer Name]],Таблица1[Order-Year-Month],Таблица1[[#This Row],[Order-Year-Month]])</f>
        <v>0.5</v>
      </c>
    </row>
    <row r="1078" spans="1:26" x14ac:dyDescent="0.2">
      <c r="A1078" s="6">
        <v>1198</v>
      </c>
      <c r="B1078" s="7">
        <v>8801</v>
      </c>
      <c r="C1078" s="8">
        <f>DATE(2012,12,31)-143</f>
        <v>41131</v>
      </c>
      <c r="D1078" s="8" t="str">
        <f t="shared" si="21"/>
        <v>2012-08 (август 2012)</v>
      </c>
      <c r="E1078" s="9" t="s">
        <v>21</v>
      </c>
      <c r="F1078" s="7">
        <v>25</v>
      </c>
      <c r="G1078" s="7">
        <v>2529.3960000000002</v>
      </c>
      <c r="H1078" s="7">
        <v>0.06</v>
      </c>
      <c r="I1078" s="9" t="s">
        <v>56</v>
      </c>
      <c r="J1078" s="10">
        <v>371.214</v>
      </c>
      <c r="K1078" s="11">
        <v>125.99</v>
      </c>
      <c r="L1078" s="11">
        <v>3</v>
      </c>
      <c r="M1078" s="9" t="s">
        <v>901</v>
      </c>
      <c r="N1078" s="6" t="s">
        <v>703</v>
      </c>
      <c r="O1078" s="6" t="s">
        <v>704</v>
      </c>
      <c r="P1078" s="9" t="s">
        <v>33</v>
      </c>
      <c r="Q1078" s="9" t="s">
        <v>42</v>
      </c>
      <c r="R1078" s="9" t="s">
        <v>43</v>
      </c>
      <c r="S1078" s="7" t="s">
        <v>669</v>
      </c>
      <c r="T1078" s="9" t="s">
        <v>39</v>
      </c>
      <c r="U1078" s="7">
        <v>0.59</v>
      </c>
      <c r="V1078" s="12">
        <f>C1078+2</f>
        <v>41133</v>
      </c>
      <c r="W1078">
        <f>IF(D1078=' Pivot Tables'!$A$4,1,0)</f>
        <v>0</v>
      </c>
      <c r="X1078">
        <f>IF(AND(LEFT(D1078,4)+1=LEFT(' Pivot Tables'!$A$4,4)+0,RIGHT(LEFT(D1078,7),2)=RIGHT(LEFT(' Pivot Tables'!$A$4,7),2)),1,0)</f>
        <v>0</v>
      </c>
      <c r="Y1078" s="6">
        <f>1/COUNTIF(Таблица1[Order ID],Таблица1[[#This Row],[Order ID]])</f>
        <v>0.5</v>
      </c>
      <c r="Z1078" s="9">
        <f>1/COUNTIFS(Таблица1[Customer Name],Таблица1[[#This Row],[Customer Name]],Таблица1[Order-Year-Month],Таблица1[[#This Row],[Order-Year-Month]])</f>
        <v>0.5</v>
      </c>
    </row>
    <row r="1079" spans="1:26" x14ac:dyDescent="0.2">
      <c r="A1079" s="6">
        <v>1221</v>
      </c>
      <c r="B1079" s="7">
        <v>8992</v>
      </c>
      <c r="C1079" s="8">
        <f>DATE(2012,12,31)-780</f>
        <v>40494</v>
      </c>
      <c r="D1079" s="8" t="str">
        <f t="shared" si="21"/>
        <v>2010-11 (ноябрь 2010)</v>
      </c>
      <c r="E1079" s="9" t="s">
        <v>30</v>
      </c>
      <c r="F1079" s="7">
        <v>3</v>
      </c>
      <c r="G1079" s="7">
        <v>441.43</v>
      </c>
      <c r="H1079" s="7">
        <v>0.06</v>
      </c>
      <c r="I1079" s="9" t="s">
        <v>22</v>
      </c>
      <c r="J1079" s="10">
        <v>-154.44999999999999</v>
      </c>
      <c r="K1079" s="11">
        <v>140.81</v>
      </c>
      <c r="L1079" s="11">
        <v>24.49</v>
      </c>
      <c r="M1079" s="9" t="s">
        <v>874</v>
      </c>
      <c r="N1079" s="6" t="s">
        <v>703</v>
      </c>
      <c r="O1079" s="6" t="s">
        <v>704</v>
      </c>
      <c r="P1079" s="9" t="s">
        <v>41</v>
      </c>
      <c r="Q1079" s="9" t="s">
        <v>49</v>
      </c>
      <c r="R1079" s="9" t="s">
        <v>112</v>
      </c>
      <c r="S1079" s="7" t="s">
        <v>314</v>
      </c>
      <c r="T1079" s="9" t="s">
        <v>29</v>
      </c>
      <c r="U1079" s="7">
        <v>0.56999999999999995</v>
      </c>
      <c r="V1079" s="12">
        <f>C1079+1</f>
        <v>40495</v>
      </c>
      <c r="W1079">
        <f>IF(D1079=' Pivot Tables'!$A$4,1,0)</f>
        <v>0</v>
      </c>
      <c r="X1079">
        <f>IF(AND(LEFT(D1079,4)+1=LEFT(' Pivot Tables'!$A$4,4)+0,RIGHT(LEFT(D1079,7),2)=RIGHT(LEFT(' Pivot Tables'!$A$4,7),2)),1,0)</f>
        <v>0</v>
      </c>
      <c r="Y1079" s="6">
        <f>1/COUNTIF(Таблица1[Order ID],Таблица1[[#This Row],[Order ID]])</f>
        <v>0.33333333333333331</v>
      </c>
      <c r="Z1079" s="9">
        <f>1/COUNTIFS(Таблица1[Customer Name],Таблица1[[#This Row],[Customer Name]],Таблица1[Order-Year-Month],Таблица1[[#This Row],[Order-Year-Month]])</f>
        <v>0.33333333333333331</v>
      </c>
    </row>
    <row r="1080" spans="1:26" x14ac:dyDescent="0.2">
      <c r="A1080" s="6">
        <v>1222</v>
      </c>
      <c r="B1080" s="7">
        <v>8992</v>
      </c>
      <c r="C1080" s="8">
        <f>DATE(2012,12,31)-780</f>
        <v>40494</v>
      </c>
      <c r="D1080" s="8" t="str">
        <f t="shared" si="21"/>
        <v>2010-11 (ноябрь 2010)</v>
      </c>
      <c r="E1080" s="9" t="s">
        <v>30</v>
      </c>
      <c r="F1080" s="7">
        <v>14</v>
      </c>
      <c r="G1080" s="7">
        <v>2145.6974999999998</v>
      </c>
      <c r="H1080" s="7">
        <v>0.08</v>
      </c>
      <c r="I1080" s="9" t="s">
        <v>22</v>
      </c>
      <c r="J1080" s="10">
        <v>-176.792</v>
      </c>
      <c r="K1080" s="11">
        <v>195.99</v>
      </c>
      <c r="L1080" s="11">
        <v>4.2</v>
      </c>
      <c r="M1080" s="9" t="s">
        <v>874</v>
      </c>
      <c r="N1080" s="6" t="s">
        <v>703</v>
      </c>
      <c r="O1080" s="6" t="s">
        <v>704</v>
      </c>
      <c r="P1080" s="9" t="s">
        <v>41</v>
      </c>
      <c r="Q1080" s="9" t="s">
        <v>42</v>
      </c>
      <c r="R1080" s="9" t="s">
        <v>43</v>
      </c>
      <c r="S1080" s="7" t="s">
        <v>615</v>
      </c>
      <c r="T1080" s="9" t="s">
        <v>39</v>
      </c>
      <c r="U1080" s="7">
        <v>0.6</v>
      </c>
      <c r="V1080" s="12">
        <f>C1080+2</f>
        <v>40496</v>
      </c>
      <c r="W1080">
        <f>IF(D1080=' Pivot Tables'!$A$4,1,0)</f>
        <v>0</v>
      </c>
      <c r="X1080">
        <f>IF(AND(LEFT(D1080,4)+1=LEFT(' Pivot Tables'!$A$4,4)+0,RIGHT(LEFT(D1080,7),2)=RIGHT(LEFT(' Pivot Tables'!$A$4,7),2)),1,0)</f>
        <v>0</v>
      </c>
      <c r="Y1080" s="6">
        <f>1/COUNTIF(Таблица1[Order ID],Таблица1[[#This Row],[Order ID]])</f>
        <v>0.33333333333333331</v>
      </c>
      <c r="Z1080" s="9">
        <f>1/COUNTIFS(Таблица1[Customer Name],Таблица1[[#This Row],[Customer Name]],Таблица1[Order-Year-Month],Таблица1[[#This Row],[Order-Year-Month]])</f>
        <v>0.33333333333333331</v>
      </c>
    </row>
    <row r="1081" spans="1:26" x14ac:dyDescent="0.2">
      <c r="A1081" s="6">
        <v>1223</v>
      </c>
      <c r="B1081" s="7">
        <v>8992</v>
      </c>
      <c r="C1081" s="8">
        <f>DATE(2012,12,31)-780</f>
        <v>40494</v>
      </c>
      <c r="D1081" s="8" t="str">
        <f t="shared" si="21"/>
        <v>2010-11 (ноябрь 2010)</v>
      </c>
      <c r="E1081" s="9" t="s">
        <v>30</v>
      </c>
      <c r="F1081" s="7">
        <v>18</v>
      </c>
      <c r="G1081" s="7">
        <v>1341.963</v>
      </c>
      <c r="H1081" s="7">
        <v>0</v>
      </c>
      <c r="I1081" s="9" t="s">
        <v>22</v>
      </c>
      <c r="J1081" s="10">
        <v>180.78300000000002</v>
      </c>
      <c r="K1081" s="11">
        <v>85.99</v>
      </c>
      <c r="L1081" s="11">
        <v>2.79</v>
      </c>
      <c r="M1081" s="9" t="s">
        <v>874</v>
      </c>
      <c r="N1081" s="6" t="s">
        <v>703</v>
      </c>
      <c r="O1081" s="6" t="s">
        <v>704</v>
      </c>
      <c r="P1081" s="9" t="s">
        <v>41</v>
      </c>
      <c r="Q1081" s="9" t="s">
        <v>42</v>
      </c>
      <c r="R1081" s="9" t="s">
        <v>43</v>
      </c>
      <c r="S1081" s="7" t="s">
        <v>903</v>
      </c>
      <c r="T1081" s="9" t="s">
        <v>39</v>
      </c>
      <c r="U1081" s="7">
        <v>0.57999999999999996</v>
      </c>
      <c r="V1081" s="12">
        <f>C1081+1</f>
        <v>40495</v>
      </c>
      <c r="W1081">
        <f>IF(D1081=' Pivot Tables'!$A$4,1,0)</f>
        <v>0</v>
      </c>
      <c r="X1081">
        <f>IF(AND(LEFT(D1081,4)+1=LEFT(' Pivot Tables'!$A$4,4)+0,RIGHT(LEFT(D1081,7),2)=RIGHT(LEFT(' Pivot Tables'!$A$4,7),2)),1,0)</f>
        <v>0</v>
      </c>
      <c r="Y1081" s="6">
        <f>1/COUNTIF(Таблица1[Order ID],Таблица1[[#This Row],[Order ID]])</f>
        <v>0.33333333333333331</v>
      </c>
      <c r="Z1081" s="9">
        <f>1/COUNTIFS(Таблица1[Customer Name],Таблица1[[#This Row],[Customer Name]],Таблица1[Order-Year-Month],Таблица1[[#This Row],[Order-Year-Month]])</f>
        <v>0.33333333333333331</v>
      </c>
    </row>
    <row r="1082" spans="1:26" x14ac:dyDescent="0.2">
      <c r="A1082" s="6">
        <v>1288</v>
      </c>
      <c r="B1082" s="7">
        <v>9409</v>
      </c>
      <c r="C1082" s="8">
        <f>DATE(2012,12,31)-240</f>
        <v>41034</v>
      </c>
      <c r="D1082" s="8" t="str">
        <f t="shared" si="21"/>
        <v>2012-05 (май 2012)</v>
      </c>
      <c r="E1082" s="9" t="s">
        <v>78</v>
      </c>
      <c r="F1082" s="7">
        <v>12</v>
      </c>
      <c r="G1082" s="7">
        <v>1712.66</v>
      </c>
      <c r="H1082" s="7">
        <v>0.1</v>
      </c>
      <c r="I1082" s="9" t="s">
        <v>22</v>
      </c>
      <c r="J1082" s="10">
        <v>-390.77</v>
      </c>
      <c r="K1082" s="11">
        <v>152.47999999999999</v>
      </c>
      <c r="L1082" s="11">
        <v>4</v>
      </c>
      <c r="M1082" s="9" t="s">
        <v>904</v>
      </c>
      <c r="N1082" s="6" t="s">
        <v>703</v>
      </c>
      <c r="O1082" s="6" t="s">
        <v>704</v>
      </c>
      <c r="P1082" s="9" t="s">
        <v>60</v>
      </c>
      <c r="Q1082" s="9" t="s">
        <v>42</v>
      </c>
      <c r="R1082" s="9" t="s">
        <v>70</v>
      </c>
      <c r="S1082" s="7" t="s">
        <v>844</v>
      </c>
      <c r="T1082" s="9" t="s">
        <v>39</v>
      </c>
      <c r="U1082" s="7">
        <v>0.79</v>
      </c>
      <c r="V1082" s="12">
        <f>C1082+2</f>
        <v>41036</v>
      </c>
      <c r="W1082">
        <f>IF(D1082=' Pivot Tables'!$A$4,1,0)</f>
        <v>0</v>
      </c>
      <c r="X1082">
        <f>IF(AND(LEFT(D1082,4)+1=LEFT(' Pivot Tables'!$A$4,4)+0,RIGHT(LEFT(D1082,7),2)=RIGHT(LEFT(' Pivot Tables'!$A$4,7),2)),1,0)</f>
        <v>0</v>
      </c>
      <c r="Y1082" s="6">
        <f>1/COUNTIF(Таблица1[Order ID],Таблица1[[#This Row],[Order ID]])</f>
        <v>1</v>
      </c>
      <c r="Z1082" s="9">
        <f>1/COUNTIFS(Таблица1[Customer Name],Таблица1[[#This Row],[Customer Name]],Таблица1[Order-Year-Month],Таблица1[[#This Row],[Order-Year-Month]])</f>
        <v>1</v>
      </c>
    </row>
    <row r="1083" spans="1:26" x14ac:dyDescent="0.2">
      <c r="A1083" s="6">
        <v>1420</v>
      </c>
      <c r="B1083" s="7">
        <v>10306</v>
      </c>
      <c r="C1083" s="8">
        <f>DATE(2012,12,31)-894</f>
        <v>40380</v>
      </c>
      <c r="D1083" s="8" t="str">
        <f t="shared" si="21"/>
        <v>2010-07 (июль 2010)</v>
      </c>
      <c r="E1083" s="9" t="s">
        <v>21</v>
      </c>
      <c r="F1083" s="7">
        <v>20</v>
      </c>
      <c r="G1083" s="7">
        <v>310.31</v>
      </c>
      <c r="H1083" s="7">
        <v>0.02</v>
      </c>
      <c r="I1083" s="9" t="s">
        <v>22</v>
      </c>
      <c r="J1083" s="10">
        <v>51.5</v>
      </c>
      <c r="K1083" s="11">
        <v>14.58</v>
      </c>
      <c r="L1083" s="11">
        <v>7.4</v>
      </c>
      <c r="M1083" s="9" t="s">
        <v>871</v>
      </c>
      <c r="N1083" s="6" t="s">
        <v>703</v>
      </c>
      <c r="O1083" s="6" t="s">
        <v>704</v>
      </c>
      <c r="P1083" s="9" t="s">
        <v>41</v>
      </c>
      <c r="Q1083" s="9" t="s">
        <v>49</v>
      </c>
      <c r="R1083" s="9" t="s">
        <v>50</v>
      </c>
      <c r="S1083" s="7" t="s">
        <v>653</v>
      </c>
      <c r="T1083" s="9" t="s">
        <v>39</v>
      </c>
      <c r="U1083" s="7">
        <v>0.48</v>
      </c>
      <c r="V1083" s="12">
        <f>C1083+0</f>
        <v>40380</v>
      </c>
      <c r="W1083">
        <f>IF(D1083=' Pivot Tables'!$A$4,1,0)</f>
        <v>0</v>
      </c>
      <c r="X1083">
        <f>IF(AND(LEFT(D1083,4)+1=LEFT(' Pivot Tables'!$A$4,4)+0,RIGHT(LEFT(D1083,7),2)=RIGHT(LEFT(' Pivot Tables'!$A$4,7),2)),1,0)</f>
        <v>0</v>
      </c>
      <c r="Y1083" s="6">
        <f>1/COUNTIF(Таблица1[Order ID],Таблица1[[#This Row],[Order ID]])</f>
        <v>1</v>
      </c>
      <c r="Z1083" s="9">
        <f>1/COUNTIFS(Таблица1[Customer Name],Таблица1[[#This Row],[Customer Name]],Таблица1[Order-Year-Month],Таблица1[[#This Row],[Order-Year-Month]])</f>
        <v>1</v>
      </c>
    </row>
    <row r="1084" spans="1:26" x14ac:dyDescent="0.2">
      <c r="A1084" s="6">
        <v>1455</v>
      </c>
      <c r="B1084" s="7">
        <v>10470</v>
      </c>
      <c r="C1084" s="8">
        <f>DATE(2012,12,31)-241</f>
        <v>41033</v>
      </c>
      <c r="D1084" s="8" t="str">
        <f t="shared" si="21"/>
        <v>2012-05 (май 2012)</v>
      </c>
      <c r="E1084" s="9" t="s">
        <v>78</v>
      </c>
      <c r="F1084" s="7">
        <v>35</v>
      </c>
      <c r="G1084" s="7">
        <v>246.98</v>
      </c>
      <c r="H1084" s="7">
        <v>0.1</v>
      </c>
      <c r="I1084" s="9" t="s">
        <v>22</v>
      </c>
      <c r="J1084" s="10">
        <v>-94.78</v>
      </c>
      <c r="K1084" s="11">
        <v>7.38</v>
      </c>
      <c r="L1084" s="11">
        <v>5.21</v>
      </c>
      <c r="M1084" s="9" t="s">
        <v>888</v>
      </c>
      <c r="N1084" s="6" t="s">
        <v>703</v>
      </c>
      <c r="O1084" s="6" t="s">
        <v>704</v>
      </c>
      <c r="P1084" s="9" t="s">
        <v>41</v>
      </c>
      <c r="Q1084" s="9" t="s">
        <v>49</v>
      </c>
      <c r="R1084" s="9" t="s">
        <v>50</v>
      </c>
      <c r="S1084" s="7" t="s">
        <v>514</v>
      </c>
      <c r="T1084" s="9" t="s">
        <v>39</v>
      </c>
      <c r="U1084" s="7">
        <v>0.56000000000000005</v>
      </c>
      <c r="V1084" s="12">
        <f>C1084+5</f>
        <v>41038</v>
      </c>
      <c r="W1084">
        <f>IF(D1084=' Pivot Tables'!$A$4,1,0)</f>
        <v>0</v>
      </c>
      <c r="X1084">
        <f>IF(AND(LEFT(D1084,4)+1=LEFT(' Pivot Tables'!$A$4,4)+0,RIGHT(LEFT(D1084,7),2)=RIGHT(LEFT(' Pivot Tables'!$A$4,7),2)),1,0)</f>
        <v>0</v>
      </c>
      <c r="Y1084" s="6">
        <f>1/COUNTIF(Таблица1[Order ID],Таблица1[[#This Row],[Order ID]])</f>
        <v>0.25</v>
      </c>
      <c r="Z1084" s="9">
        <f>1/COUNTIFS(Таблица1[Customer Name],Таблица1[[#This Row],[Customer Name]],Таблица1[Order-Year-Month],Таблица1[[#This Row],[Order-Year-Month]])</f>
        <v>1</v>
      </c>
    </row>
    <row r="1085" spans="1:26" x14ac:dyDescent="0.2">
      <c r="A1085" s="6">
        <v>1497</v>
      </c>
      <c r="B1085" s="7">
        <v>10819</v>
      </c>
      <c r="C1085" s="8">
        <f>DATE(2012,12,31)-860</f>
        <v>40414</v>
      </c>
      <c r="D1085" s="8" t="str">
        <f t="shared" si="21"/>
        <v>2010-08 (август 2010)</v>
      </c>
      <c r="E1085" s="9" t="s">
        <v>78</v>
      </c>
      <c r="F1085" s="7">
        <v>35</v>
      </c>
      <c r="G1085" s="7">
        <v>233.39</v>
      </c>
      <c r="H1085" s="7">
        <v>0.06</v>
      </c>
      <c r="I1085" s="9" t="s">
        <v>22</v>
      </c>
      <c r="J1085" s="10">
        <v>-197.39</v>
      </c>
      <c r="K1085" s="11">
        <v>6.48</v>
      </c>
      <c r="L1085" s="11">
        <v>9.5399999999999991</v>
      </c>
      <c r="M1085" s="9" t="s">
        <v>869</v>
      </c>
      <c r="N1085" s="6" t="s">
        <v>703</v>
      </c>
      <c r="O1085" s="6" t="s">
        <v>704</v>
      </c>
      <c r="P1085" s="9" t="s">
        <v>25</v>
      </c>
      <c r="Q1085" s="9" t="s">
        <v>26</v>
      </c>
      <c r="R1085" s="9" t="s">
        <v>61</v>
      </c>
      <c r="S1085" s="7" t="s">
        <v>518</v>
      </c>
      <c r="T1085" s="9" t="s">
        <v>39</v>
      </c>
      <c r="U1085" s="7">
        <v>0.37</v>
      </c>
      <c r="V1085" s="12">
        <f>C1085+0</f>
        <v>40414</v>
      </c>
      <c r="W1085">
        <f>IF(D1085=' Pivot Tables'!$A$4,1,0)</f>
        <v>0</v>
      </c>
      <c r="X1085">
        <f>IF(AND(LEFT(D1085,4)+1=LEFT(' Pivot Tables'!$A$4,4)+0,RIGHT(LEFT(D1085,7),2)=RIGHT(LEFT(' Pivot Tables'!$A$4,7),2)),1,0)</f>
        <v>0</v>
      </c>
      <c r="Y1085" s="6">
        <f>1/COUNTIF(Таблица1[Order ID],Таблица1[[#This Row],[Order ID]])</f>
        <v>1</v>
      </c>
      <c r="Z1085" s="9">
        <f>1/COUNTIFS(Таблица1[Customer Name],Таблица1[[#This Row],[Customer Name]],Таблица1[Order-Year-Month],Таблица1[[#This Row],[Order-Year-Month]])</f>
        <v>1</v>
      </c>
    </row>
    <row r="1086" spans="1:26" x14ac:dyDescent="0.2">
      <c r="A1086" s="6">
        <v>1509</v>
      </c>
      <c r="B1086" s="7">
        <v>10916</v>
      </c>
      <c r="C1086" s="8">
        <f>DATE(2012,12,31)-662</f>
        <v>40612</v>
      </c>
      <c r="D1086" s="8" t="str">
        <f t="shared" si="21"/>
        <v>2011-03 (март 2011)</v>
      </c>
      <c r="E1086" s="9" t="s">
        <v>63</v>
      </c>
      <c r="F1086" s="7">
        <v>23</v>
      </c>
      <c r="G1086" s="7">
        <v>135.31</v>
      </c>
      <c r="H1086" s="7">
        <v>0.06</v>
      </c>
      <c r="I1086" s="9" t="s">
        <v>22</v>
      </c>
      <c r="J1086" s="10">
        <v>-49.323500000000003</v>
      </c>
      <c r="K1086" s="11">
        <v>5.74</v>
      </c>
      <c r="L1086" s="11">
        <v>5.01</v>
      </c>
      <c r="M1086" s="9" t="s">
        <v>875</v>
      </c>
      <c r="N1086" s="6" t="s">
        <v>703</v>
      </c>
      <c r="O1086" s="6" t="s">
        <v>704</v>
      </c>
      <c r="P1086" s="9" t="s">
        <v>25</v>
      </c>
      <c r="Q1086" s="9" t="s">
        <v>26</v>
      </c>
      <c r="R1086" s="9" t="s">
        <v>37</v>
      </c>
      <c r="S1086" s="7" t="s">
        <v>363</v>
      </c>
      <c r="T1086" s="9" t="s">
        <v>39</v>
      </c>
      <c r="U1086" s="7">
        <v>0.39</v>
      </c>
      <c r="V1086" s="12">
        <f>C1086+0</f>
        <v>40612</v>
      </c>
      <c r="W1086">
        <f>IF(D1086=' Pivot Tables'!$A$4,1,0)</f>
        <v>0</v>
      </c>
      <c r="X1086">
        <f>IF(AND(LEFT(D1086,4)+1=LEFT(' Pivot Tables'!$A$4,4)+0,RIGHT(LEFT(D1086,7),2)=RIGHT(LEFT(' Pivot Tables'!$A$4,7),2)),1,0)</f>
        <v>0</v>
      </c>
      <c r="Y1086" s="6">
        <f>1/COUNTIF(Таблица1[Order ID],Таблица1[[#This Row],[Order ID]])</f>
        <v>1</v>
      </c>
      <c r="Z1086" s="9">
        <f>1/COUNTIFS(Таблица1[Customer Name],Таблица1[[#This Row],[Customer Name]],Таблица1[Order-Year-Month],Таблица1[[#This Row],[Order-Year-Month]])</f>
        <v>1</v>
      </c>
    </row>
    <row r="1087" spans="1:26" x14ac:dyDescent="0.2">
      <c r="A1087" s="6">
        <v>1512</v>
      </c>
      <c r="B1087" s="7">
        <v>10944</v>
      </c>
      <c r="C1087" s="8">
        <f>DATE(2012,12,31)-415</f>
        <v>40859</v>
      </c>
      <c r="D1087" s="8" t="str">
        <f t="shared" si="21"/>
        <v>2011-11 (ноябрь 2011)</v>
      </c>
      <c r="E1087" s="9" t="s">
        <v>30</v>
      </c>
      <c r="F1087" s="7">
        <v>9</v>
      </c>
      <c r="G1087" s="7">
        <v>181.66</v>
      </c>
      <c r="H1087" s="7">
        <v>0</v>
      </c>
      <c r="I1087" s="9" t="s">
        <v>22</v>
      </c>
      <c r="J1087" s="10">
        <v>-27.474599999999999</v>
      </c>
      <c r="K1087" s="11">
        <v>17.98</v>
      </c>
      <c r="L1087" s="11">
        <v>8.51</v>
      </c>
      <c r="M1087" s="9" t="s">
        <v>869</v>
      </c>
      <c r="N1087" s="6" t="s">
        <v>703</v>
      </c>
      <c r="O1087" s="6" t="s">
        <v>704</v>
      </c>
      <c r="P1087" s="9" t="s">
        <v>25</v>
      </c>
      <c r="Q1087" s="9" t="s">
        <v>42</v>
      </c>
      <c r="R1087" s="9" t="s">
        <v>210</v>
      </c>
      <c r="S1087" s="7" t="s">
        <v>277</v>
      </c>
      <c r="T1087" s="9" t="s">
        <v>48</v>
      </c>
      <c r="U1087" s="7">
        <v>0.4</v>
      </c>
      <c r="V1087" s="12">
        <f>C1087+2</f>
        <v>40861</v>
      </c>
      <c r="W1087">
        <f>IF(D1087=' Pivot Tables'!$A$4,1,0)</f>
        <v>0</v>
      </c>
      <c r="X1087">
        <f>IF(AND(LEFT(D1087,4)+1=LEFT(' Pivot Tables'!$A$4,4)+0,RIGHT(LEFT(D1087,7),2)=RIGHT(LEFT(' Pivot Tables'!$A$4,7),2)),1,0)</f>
        <v>0</v>
      </c>
      <c r="Y1087" s="6">
        <f>1/COUNTIF(Таблица1[Order ID],Таблица1[[#This Row],[Order ID]])</f>
        <v>1</v>
      </c>
      <c r="Z1087" s="9">
        <f>1/COUNTIFS(Таблица1[Customer Name],Таблица1[[#This Row],[Customer Name]],Таблица1[Order-Year-Month],Таблица1[[#This Row],[Order-Year-Month]])</f>
        <v>1</v>
      </c>
    </row>
    <row r="1088" spans="1:26" x14ac:dyDescent="0.2">
      <c r="A1088" s="6">
        <v>1565</v>
      </c>
      <c r="B1088" s="7">
        <v>11301</v>
      </c>
      <c r="C1088" s="8">
        <f>DATE(2012,12,31)-284</f>
        <v>40990</v>
      </c>
      <c r="D1088" s="8" t="str">
        <f t="shared" si="21"/>
        <v>2012-03 (март 2012)</v>
      </c>
      <c r="E1088" s="9" t="s">
        <v>63</v>
      </c>
      <c r="F1088" s="7">
        <v>29</v>
      </c>
      <c r="G1088" s="7">
        <v>1194.96</v>
      </c>
      <c r="H1088" s="7">
        <v>0.04</v>
      </c>
      <c r="I1088" s="9" t="s">
        <v>22</v>
      </c>
      <c r="J1088" s="10">
        <v>107.45</v>
      </c>
      <c r="K1088" s="11">
        <v>39.979999999999997</v>
      </c>
      <c r="L1088" s="11">
        <v>4</v>
      </c>
      <c r="M1088" s="9" t="s">
        <v>905</v>
      </c>
      <c r="N1088" s="6" t="s">
        <v>703</v>
      </c>
      <c r="O1088" s="6" t="s">
        <v>704</v>
      </c>
      <c r="P1088" s="9" t="s">
        <v>33</v>
      </c>
      <c r="Q1088" s="9" t="s">
        <v>42</v>
      </c>
      <c r="R1088" s="9" t="s">
        <v>70</v>
      </c>
      <c r="S1088" s="7" t="s">
        <v>906</v>
      </c>
      <c r="T1088" s="9" t="s">
        <v>39</v>
      </c>
      <c r="U1088" s="7">
        <v>0.7</v>
      </c>
      <c r="V1088" s="12">
        <f>C1088+0</f>
        <v>40990</v>
      </c>
      <c r="W1088">
        <f>IF(D1088=' Pivot Tables'!$A$4,1,0)</f>
        <v>0</v>
      </c>
      <c r="X1088">
        <f>IF(AND(LEFT(D1088,4)+1=LEFT(' Pivot Tables'!$A$4,4)+0,RIGHT(LEFT(D1088,7),2)=RIGHT(LEFT(' Pivot Tables'!$A$4,7),2)),1,0)</f>
        <v>0</v>
      </c>
      <c r="Y1088" s="6">
        <f>1/COUNTIF(Таблица1[Order ID],Таблица1[[#This Row],[Order ID]])</f>
        <v>1</v>
      </c>
      <c r="Z1088" s="9">
        <f>1/COUNTIFS(Таблица1[Customer Name],Таблица1[[#This Row],[Customer Name]],Таблица1[Order-Year-Month],Таблица1[[#This Row],[Order-Year-Month]])</f>
        <v>1</v>
      </c>
    </row>
    <row r="1089" spans="1:26" x14ac:dyDescent="0.2">
      <c r="A1089" s="6">
        <v>1567</v>
      </c>
      <c r="B1089" s="7">
        <v>11332</v>
      </c>
      <c r="C1089" s="8">
        <f>DATE(2012,12,31)-1141</f>
        <v>40133</v>
      </c>
      <c r="D1089" s="8" t="str">
        <f t="shared" si="21"/>
        <v>2009-11 (ноябрь 2009)</v>
      </c>
      <c r="E1089" s="9" t="s">
        <v>21</v>
      </c>
      <c r="F1089" s="7">
        <v>6</v>
      </c>
      <c r="G1089" s="7">
        <v>184.33100000000002</v>
      </c>
      <c r="H1089" s="7">
        <v>7.0000000000000007E-2</v>
      </c>
      <c r="I1089" s="9" t="s">
        <v>22</v>
      </c>
      <c r="J1089" s="10">
        <v>-89.198999999999998</v>
      </c>
      <c r="K1089" s="11">
        <v>35.99</v>
      </c>
      <c r="L1089" s="11">
        <v>5.99</v>
      </c>
      <c r="M1089" s="9" t="s">
        <v>880</v>
      </c>
      <c r="N1089" s="6" t="s">
        <v>703</v>
      </c>
      <c r="O1089" s="6" t="s">
        <v>704</v>
      </c>
      <c r="P1089" s="9" t="s">
        <v>41</v>
      </c>
      <c r="Q1089" s="9" t="s">
        <v>42</v>
      </c>
      <c r="R1089" s="9" t="s">
        <v>43</v>
      </c>
      <c r="S1089" s="7" t="s">
        <v>907</v>
      </c>
      <c r="T1089" s="9" t="s">
        <v>68</v>
      </c>
      <c r="U1089" s="7">
        <v>0.38</v>
      </c>
      <c r="V1089" s="12">
        <f>C1089+4</f>
        <v>40137</v>
      </c>
      <c r="W1089">
        <f>IF(D1089=' Pivot Tables'!$A$4,1,0)</f>
        <v>0</v>
      </c>
      <c r="X1089">
        <f>IF(AND(LEFT(D1089,4)+1=LEFT(' Pivot Tables'!$A$4,4)+0,RIGHT(LEFT(D1089,7),2)=RIGHT(LEFT(' Pivot Tables'!$A$4,7),2)),1,0)</f>
        <v>0</v>
      </c>
      <c r="Y1089" s="6">
        <f>1/COUNTIF(Таблица1[Order ID],Таблица1[[#This Row],[Order ID]])</f>
        <v>0.5</v>
      </c>
      <c r="Z1089" s="9">
        <f>1/COUNTIFS(Таблица1[Customer Name],Таблица1[[#This Row],[Customer Name]],Таблица1[Order-Year-Month],Таблица1[[#This Row],[Order-Year-Month]])</f>
        <v>0.5</v>
      </c>
    </row>
    <row r="1090" spans="1:26" x14ac:dyDescent="0.2">
      <c r="A1090" s="6">
        <v>1568</v>
      </c>
      <c r="B1090" s="7">
        <v>11332</v>
      </c>
      <c r="C1090" s="8">
        <f>DATE(2012,12,31)-1141</f>
        <v>40133</v>
      </c>
      <c r="D1090" s="8" t="str">
        <f t="shared" si="21"/>
        <v>2009-11 (ноябрь 2009)</v>
      </c>
      <c r="E1090" s="9" t="s">
        <v>21</v>
      </c>
      <c r="F1090" s="7">
        <v>23</v>
      </c>
      <c r="G1090" s="7">
        <v>1223.3795</v>
      </c>
      <c r="H1090" s="7">
        <v>0.08</v>
      </c>
      <c r="I1090" s="9" t="s">
        <v>56</v>
      </c>
      <c r="J1090" s="10">
        <v>83.564999999999998</v>
      </c>
      <c r="K1090" s="11">
        <v>65.989999999999995</v>
      </c>
      <c r="L1090" s="11">
        <v>5.92</v>
      </c>
      <c r="M1090" s="9" t="s">
        <v>880</v>
      </c>
      <c r="N1090" s="6" t="s">
        <v>703</v>
      </c>
      <c r="O1090" s="6" t="s">
        <v>704</v>
      </c>
      <c r="P1090" s="9" t="s">
        <v>41</v>
      </c>
      <c r="Q1090" s="9" t="s">
        <v>42</v>
      </c>
      <c r="R1090" s="9" t="s">
        <v>43</v>
      </c>
      <c r="S1090" s="7" t="s">
        <v>908</v>
      </c>
      <c r="T1090" s="9" t="s">
        <v>39</v>
      </c>
      <c r="U1090" s="7">
        <v>0.57999999999999996</v>
      </c>
      <c r="V1090" s="12">
        <f>C1090+7</f>
        <v>40140</v>
      </c>
      <c r="W1090">
        <f>IF(D1090=' Pivot Tables'!$A$4,1,0)</f>
        <v>0</v>
      </c>
      <c r="X1090">
        <f>IF(AND(LEFT(D1090,4)+1=LEFT(' Pivot Tables'!$A$4,4)+0,RIGHT(LEFT(D1090,7),2)=RIGHT(LEFT(' Pivot Tables'!$A$4,7),2)),1,0)</f>
        <v>0</v>
      </c>
      <c r="Y1090" s="6">
        <f>1/COUNTIF(Таблица1[Order ID],Таблица1[[#This Row],[Order ID]])</f>
        <v>0.5</v>
      </c>
      <c r="Z1090" s="9">
        <f>1/COUNTIFS(Таблица1[Customer Name],Таблица1[[#This Row],[Customer Name]],Таблица1[Order-Year-Month],Таблица1[[#This Row],[Order-Year-Month]])</f>
        <v>0.5</v>
      </c>
    </row>
    <row r="1091" spans="1:26" x14ac:dyDescent="0.2">
      <c r="A1091" s="6">
        <v>1575</v>
      </c>
      <c r="B1091" s="7">
        <v>11392</v>
      </c>
      <c r="C1091" s="8">
        <f>DATE(2012,12,31)-1213</f>
        <v>40061</v>
      </c>
      <c r="D1091" s="8" t="str">
        <f t="shared" ref="D1091:D1154" si="22">TEXT(C1091,"гггг-ММ (ММММ гггг)")</f>
        <v>2009-09 (сентябрь 2009)</v>
      </c>
      <c r="E1091" s="9" t="s">
        <v>21</v>
      </c>
      <c r="F1091" s="7">
        <v>28</v>
      </c>
      <c r="G1091" s="7">
        <v>128.69</v>
      </c>
      <c r="H1091" s="7">
        <v>0.04</v>
      </c>
      <c r="I1091" s="9" t="s">
        <v>22</v>
      </c>
      <c r="J1091" s="10">
        <v>28.288</v>
      </c>
      <c r="K1091" s="11">
        <v>4.55</v>
      </c>
      <c r="L1091" s="11">
        <v>1.49</v>
      </c>
      <c r="M1091" s="9" t="s">
        <v>909</v>
      </c>
      <c r="N1091" s="6" t="s">
        <v>703</v>
      </c>
      <c r="O1091" s="6" t="s">
        <v>704</v>
      </c>
      <c r="P1091" s="9" t="s">
        <v>41</v>
      </c>
      <c r="Q1091" s="9" t="s">
        <v>26</v>
      </c>
      <c r="R1091" s="9" t="s">
        <v>37</v>
      </c>
      <c r="S1091" s="7" t="s">
        <v>522</v>
      </c>
      <c r="T1091" s="9" t="s">
        <v>39</v>
      </c>
      <c r="U1091" s="7">
        <v>0.35</v>
      </c>
      <c r="V1091" s="12">
        <f>C1091+2</f>
        <v>40063</v>
      </c>
      <c r="W1091">
        <f>IF(D1091=' Pivot Tables'!$A$4,1,0)</f>
        <v>0</v>
      </c>
      <c r="X1091">
        <f>IF(AND(LEFT(D1091,4)+1=LEFT(' Pivot Tables'!$A$4,4)+0,RIGHT(LEFT(D1091,7),2)=RIGHT(LEFT(' Pivot Tables'!$A$4,7),2)),1,0)</f>
        <v>0</v>
      </c>
      <c r="Y1091" s="6">
        <f>1/COUNTIF(Таблица1[Order ID],Таблица1[[#This Row],[Order ID]])</f>
        <v>1</v>
      </c>
      <c r="Z1091" s="9">
        <f>1/COUNTIFS(Таблица1[Customer Name],Таблица1[[#This Row],[Customer Name]],Таблица1[Order-Year-Month],Таблица1[[#This Row],[Order-Year-Month]])</f>
        <v>1</v>
      </c>
    </row>
    <row r="1092" spans="1:26" x14ac:dyDescent="0.2">
      <c r="A1092" s="6">
        <v>1623</v>
      </c>
      <c r="B1092" s="7">
        <v>11745</v>
      </c>
      <c r="C1092" s="8">
        <f>DATE(2012,12,31)-165</f>
        <v>41109</v>
      </c>
      <c r="D1092" s="8" t="str">
        <f t="shared" si="22"/>
        <v>2012-07 (июль 2012)</v>
      </c>
      <c r="E1092" s="9" t="s">
        <v>30</v>
      </c>
      <c r="F1092" s="7">
        <v>17</v>
      </c>
      <c r="G1092" s="7">
        <v>686.27</v>
      </c>
      <c r="H1092" s="7">
        <v>0.06</v>
      </c>
      <c r="I1092" s="9" t="s">
        <v>22</v>
      </c>
      <c r="J1092" s="10">
        <v>-345.36</v>
      </c>
      <c r="K1092" s="11">
        <v>40.479999999999997</v>
      </c>
      <c r="L1092" s="11">
        <v>19.989999999999998</v>
      </c>
      <c r="M1092" s="9" t="s">
        <v>910</v>
      </c>
      <c r="N1092" s="6" t="s">
        <v>703</v>
      </c>
      <c r="O1092" s="6" t="s">
        <v>704</v>
      </c>
      <c r="P1092" s="9" t="s">
        <v>60</v>
      </c>
      <c r="Q1092" s="9" t="s">
        <v>42</v>
      </c>
      <c r="R1092" s="9" t="s">
        <v>70</v>
      </c>
      <c r="S1092" s="7" t="s">
        <v>549</v>
      </c>
      <c r="T1092" s="9" t="s">
        <v>39</v>
      </c>
      <c r="U1092" s="7">
        <v>0.77</v>
      </c>
      <c r="V1092" s="12">
        <f>C1092+1</f>
        <v>41110</v>
      </c>
      <c r="W1092">
        <f>IF(D1092=' Pivot Tables'!$A$4,1,0)</f>
        <v>0</v>
      </c>
      <c r="X1092">
        <f>IF(AND(LEFT(D1092,4)+1=LEFT(' Pivot Tables'!$A$4,4)+0,RIGHT(LEFT(D1092,7),2)=RIGHT(LEFT(' Pivot Tables'!$A$4,7),2)),1,0)</f>
        <v>0</v>
      </c>
      <c r="Y1092" s="6">
        <f>1/COUNTIF(Таблица1[Order ID],Таблица1[[#This Row],[Order ID]])</f>
        <v>1</v>
      </c>
      <c r="Z1092" s="9">
        <f>1/COUNTIFS(Таблица1[Customer Name],Таблица1[[#This Row],[Customer Name]],Таблица1[Order-Year-Month],Таблица1[[#This Row],[Order-Year-Month]])</f>
        <v>1</v>
      </c>
    </row>
    <row r="1093" spans="1:26" x14ac:dyDescent="0.2">
      <c r="A1093" s="6">
        <v>1644</v>
      </c>
      <c r="B1093" s="7">
        <v>11875</v>
      </c>
      <c r="C1093" s="8">
        <f>DATE(2012,12,31)-133</f>
        <v>41141</v>
      </c>
      <c r="D1093" s="8" t="str">
        <f t="shared" si="22"/>
        <v>2012-08 (август 2012)</v>
      </c>
      <c r="E1093" s="9" t="s">
        <v>63</v>
      </c>
      <c r="F1093" s="7">
        <v>19</v>
      </c>
      <c r="G1093" s="7">
        <v>242.63</v>
      </c>
      <c r="H1093" s="7">
        <v>0</v>
      </c>
      <c r="I1093" s="9" t="s">
        <v>22</v>
      </c>
      <c r="J1093" s="10">
        <v>-36.11</v>
      </c>
      <c r="K1093" s="11">
        <v>12.44</v>
      </c>
      <c r="L1093" s="11">
        <v>6.27</v>
      </c>
      <c r="M1093" s="9" t="s">
        <v>889</v>
      </c>
      <c r="N1093" s="6" t="s">
        <v>703</v>
      </c>
      <c r="O1093" s="6" t="s">
        <v>704</v>
      </c>
      <c r="P1093" s="9" t="s">
        <v>25</v>
      </c>
      <c r="Q1093" s="9" t="s">
        <v>26</v>
      </c>
      <c r="R1093" s="9" t="s">
        <v>27</v>
      </c>
      <c r="S1093" s="7" t="s">
        <v>756</v>
      </c>
      <c r="T1093" s="9" t="s">
        <v>48</v>
      </c>
      <c r="U1093" s="7">
        <v>0.56999999999999995</v>
      </c>
      <c r="V1093" s="12">
        <f>C1093+1</f>
        <v>41142</v>
      </c>
      <c r="W1093">
        <f>IF(D1093=' Pivot Tables'!$A$4,1,0)</f>
        <v>0</v>
      </c>
      <c r="X1093">
        <f>IF(AND(LEFT(D1093,4)+1=LEFT(' Pivot Tables'!$A$4,4)+0,RIGHT(LEFT(D1093,7),2)=RIGHT(LEFT(' Pivot Tables'!$A$4,7),2)),1,0)</f>
        <v>0</v>
      </c>
      <c r="Y1093" s="6">
        <f>1/COUNTIF(Таблица1[Order ID],Таблица1[[#This Row],[Order ID]])</f>
        <v>1</v>
      </c>
      <c r="Z1093" s="9">
        <f>1/COUNTIFS(Таблица1[Customer Name],Таблица1[[#This Row],[Customer Name]],Таблица1[Order-Year-Month],Таблица1[[#This Row],[Order-Year-Month]])</f>
        <v>1</v>
      </c>
    </row>
    <row r="1094" spans="1:26" x14ac:dyDescent="0.2">
      <c r="A1094" s="6">
        <v>1650</v>
      </c>
      <c r="B1094" s="7">
        <v>11907</v>
      </c>
      <c r="C1094" s="8">
        <f>DATE(2012,12,31)-861</f>
        <v>40413</v>
      </c>
      <c r="D1094" s="8" t="str">
        <f t="shared" si="22"/>
        <v>2010-08 (август 2010)</v>
      </c>
      <c r="E1094" s="9" t="s">
        <v>21</v>
      </c>
      <c r="F1094" s="7">
        <v>45</v>
      </c>
      <c r="G1094" s="7">
        <v>4729.8500000000004</v>
      </c>
      <c r="H1094" s="7">
        <v>0.03</v>
      </c>
      <c r="I1094" s="9" t="s">
        <v>31</v>
      </c>
      <c r="J1094" s="10">
        <v>2014.82</v>
      </c>
      <c r="K1094" s="11">
        <v>100.97</v>
      </c>
      <c r="L1094" s="11">
        <v>14</v>
      </c>
      <c r="M1094" s="9" t="s">
        <v>910</v>
      </c>
      <c r="N1094" s="6" t="s">
        <v>703</v>
      </c>
      <c r="O1094" s="6" t="s">
        <v>704</v>
      </c>
      <c r="P1094" s="9" t="s">
        <v>60</v>
      </c>
      <c r="Q1094" s="9" t="s">
        <v>42</v>
      </c>
      <c r="R1094" s="9" t="s">
        <v>210</v>
      </c>
      <c r="S1094" s="7" t="s">
        <v>911</v>
      </c>
      <c r="T1094" s="9" t="s">
        <v>36</v>
      </c>
      <c r="U1094" s="7">
        <v>0.37</v>
      </c>
      <c r="V1094" s="12">
        <f>C1094+0</f>
        <v>40413</v>
      </c>
      <c r="W1094">
        <f>IF(D1094=' Pivot Tables'!$A$4,1,0)</f>
        <v>0</v>
      </c>
      <c r="X1094">
        <f>IF(AND(LEFT(D1094,4)+1=LEFT(' Pivot Tables'!$A$4,4)+0,RIGHT(LEFT(D1094,7),2)=RIGHT(LEFT(' Pivot Tables'!$A$4,7),2)),1,0)</f>
        <v>0</v>
      </c>
      <c r="Y1094" s="6">
        <f>1/COUNTIF(Таблица1[Order ID],Таблица1[[#This Row],[Order ID]])</f>
        <v>1</v>
      </c>
      <c r="Z1094" s="9">
        <f>1/COUNTIFS(Таблица1[Customer Name],Таблица1[[#This Row],[Customer Name]],Таблица1[Order-Year-Month],Таблица1[[#This Row],[Order-Year-Month]])</f>
        <v>1</v>
      </c>
    </row>
    <row r="1095" spans="1:26" x14ac:dyDescent="0.2">
      <c r="A1095" s="6">
        <v>1681</v>
      </c>
      <c r="B1095" s="7">
        <v>12129</v>
      </c>
      <c r="C1095" s="8">
        <f>DATE(2012,12,31)-6</f>
        <v>41268</v>
      </c>
      <c r="D1095" s="8" t="str">
        <f t="shared" si="22"/>
        <v>2012-12 (декабрь 2012)</v>
      </c>
      <c r="E1095" s="9" t="s">
        <v>63</v>
      </c>
      <c r="F1095" s="7">
        <v>36</v>
      </c>
      <c r="G1095" s="7">
        <v>4852.05</v>
      </c>
      <c r="H1095" s="7">
        <v>0</v>
      </c>
      <c r="I1095" s="9" t="s">
        <v>31</v>
      </c>
      <c r="J1095" s="10">
        <v>-1197.58</v>
      </c>
      <c r="K1095" s="11">
        <v>122.99</v>
      </c>
      <c r="L1095" s="11">
        <v>70.2</v>
      </c>
      <c r="M1095" s="9" t="s">
        <v>866</v>
      </c>
      <c r="N1095" s="6" t="s">
        <v>703</v>
      </c>
      <c r="O1095" s="6" t="s">
        <v>704</v>
      </c>
      <c r="P1095" s="9" t="s">
        <v>41</v>
      </c>
      <c r="Q1095" s="9" t="s">
        <v>49</v>
      </c>
      <c r="R1095" s="9" t="s">
        <v>112</v>
      </c>
      <c r="S1095" s="7" t="s">
        <v>426</v>
      </c>
      <c r="T1095" s="9" t="s">
        <v>36</v>
      </c>
      <c r="U1095" s="7">
        <v>0.74</v>
      </c>
      <c r="V1095" s="12">
        <f>C1095+3</f>
        <v>41271</v>
      </c>
      <c r="W1095">
        <f>IF(D1095=' Pivot Tables'!$A$4,1,0)</f>
        <v>0</v>
      </c>
      <c r="X1095">
        <f>IF(AND(LEFT(D1095,4)+1=LEFT(' Pivot Tables'!$A$4,4)+0,RIGHT(LEFT(D1095,7),2)=RIGHT(LEFT(' Pivot Tables'!$A$4,7),2)),1,0)</f>
        <v>0</v>
      </c>
      <c r="Y1095" s="6">
        <f>1/COUNTIF(Таблица1[Order ID],Таблица1[[#This Row],[Order ID]])</f>
        <v>1</v>
      </c>
      <c r="Z1095" s="9">
        <f>1/COUNTIFS(Таблица1[Customer Name],Таблица1[[#This Row],[Customer Name]],Таблица1[Order-Year-Month],Таблица1[[#This Row],[Order-Year-Month]])</f>
        <v>1</v>
      </c>
    </row>
    <row r="1096" spans="1:26" x14ac:dyDescent="0.2">
      <c r="A1096" s="6">
        <v>1753</v>
      </c>
      <c r="B1096" s="7">
        <v>12579</v>
      </c>
      <c r="C1096" s="8">
        <f>DATE(2012,12,31)-564</f>
        <v>40710</v>
      </c>
      <c r="D1096" s="8" t="str">
        <f t="shared" si="22"/>
        <v>2011-06 (июнь 2011)</v>
      </c>
      <c r="E1096" s="9" t="s">
        <v>45</v>
      </c>
      <c r="F1096" s="7">
        <v>5</v>
      </c>
      <c r="G1096" s="7">
        <v>70.33</v>
      </c>
      <c r="H1096" s="7">
        <v>0.1</v>
      </c>
      <c r="I1096" s="9" t="s">
        <v>22</v>
      </c>
      <c r="J1096" s="10">
        <v>1.07</v>
      </c>
      <c r="K1096" s="11">
        <v>15.04</v>
      </c>
      <c r="L1096" s="11">
        <v>1.97</v>
      </c>
      <c r="M1096" s="9" t="s">
        <v>897</v>
      </c>
      <c r="N1096" s="6" t="s">
        <v>703</v>
      </c>
      <c r="O1096" s="6" t="s">
        <v>704</v>
      </c>
      <c r="P1096" s="9" t="s">
        <v>60</v>
      </c>
      <c r="Q1096" s="9" t="s">
        <v>26</v>
      </c>
      <c r="R1096" s="9" t="s">
        <v>61</v>
      </c>
      <c r="S1096" s="7" t="s">
        <v>688</v>
      </c>
      <c r="T1096" s="9" t="s">
        <v>68</v>
      </c>
      <c r="U1096" s="7">
        <v>0.39</v>
      </c>
      <c r="V1096" s="12">
        <f>C1096+0</f>
        <v>40710</v>
      </c>
      <c r="W1096">
        <f>IF(D1096=' Pivot Tables'!$A$4,1,0)</f>
        <v>0</v>
      </c>
      <c r="X1096">
        <f>IF(AND(LEFT(D1096,4)+1=LEFT(' Pivot Tables'!$A$4,4)+0,RIGHT(LEFT(D1096,7),2)=RIGHT(LEFT(' Pivot Tables'!$A$4,7),2)),1,0)</f>
        <v>0</v>
      </c>
      <c r="Y1096" s="6">
        <f>1/COUNTIF(Таблица1[Order ID],Таблица1[[#This Row],[Order ID]])</f>
        <v>1</v>
      </c>
      <c r="Z1096" s="9">
        <f>1/COUNTIFS(Таблица1[Customer Name],Таблица1[[#This Row],[Customer Name]],Таблица1[Order-Year-Month],Таблица1[[#This Row],[Order-Year-Month]])</f>
        <v>1</v>
      </c>
    </row>
    <row r="1097" spans="1:26" x14ac:dyDescent="0.2">
      <c r="A1097" s="6">
        <v>1779</v>
      </c>
      <c r="B1097" s="7">
        <v>12743</v>
      </c>
      <c r="C1097" s="8">
        <f>DATE(2012,12,31)-922</f>
        <v>40352</v>
      </c>
      <c r="D1097" s="8" t="str">
        <f t="shared" si="22"/>
        <v>2010-06 (июнь 2010)</v>
      </c>
      <c r="E1097" s="9" t="s">
        <v>30</v>
      </c>
      <c r="F1097" s="7">
        <v>39</v>
      </c>
      <c r="G1097" s="7">
        <v>677.51800000000003</v>
      </c>
      <c r="H1097" s="7">
        <v>0.09</v>
      </c>
      <c r="I1097" s="9" t="s">
        <v>22</v>
      </c>
      <c r="J1097" s="10">
        <v>168.21899999999999</v>
      </c>
      <c r="K1097" s="11">
        <v>20.99</v>
      </c>
      <c r="L1097" s="11">
        <v>0.99</v>
      </c>
      <c r="M1097" s="9" t="s">
        <v>910</v>
      </c>
      <c r="N1097" s="6" t="s">
        <v>703</v>
      </c>
      <c r="O1097" s="6" t="s">
        <v>704</v>
      </c>
      <c r="P1097" s="9" t="s">
        <v>41</v>
      </c>
      <c r="Q1097" s="9" t="s">
        <v>42</v>
      </c>
      <c r="R1097" s="9" t="s">
        <v>43</v>
      </c>
      <c r="S1097" s="7" t="s">
        <v>837</v>
      </c>
      <c r="T1097" s="9" t="s">
        <v>68</v>
      </c>
      <c r="U1097" s="7">
        <v>0.56999999999999995</v>
      </c>
      <c r="V1097" s="12">
        <f>C1097+2</f>
        <v>40354</v>
      </c>
      <c r="W1097">
        <f>IF(D1097=' Pivot Tables'!$A$4,1,0)</f>
        <v>0</v>
      </c>
      <c r="X1097">
        <f>IF(AND(LEFT(D1097,4)+1=LEFT(' Pivot Tables'!$A$4,4)+0,RIGHT(LEFT(D1097,7),2)=RIGHT(LEFT(' Pivot Tables'!$A$4,7),2)),1,0)</f>
        <v>0</v>
      </c>
      <c r="Y1097" s="6">
        <f>1/COUNTIF(Таблица1[Order ID],Таблица1[[#This Row],[Order ID]])</f>
        <v>1</v>
      </c>
      <c r="Z1097" s="9">
        <f>1/COUNTIFS(Таблица1[Customer Name],Таблица1[[#This Row],[Customer Name]],Таблица1[Order-Year-Month],Таблица1[[#This Row],[Order-Year-Month]])</f>
        <v>1</v>
      </c>
    </row>
    <row r="1098" spans="1:26" x14ac:dyDescent="0.2">
      <c r="A1098" s="6">
        <v>1803</v>
      </c>
      <c r="B1098" s="7">
        <v>12902</v>
      </c>
      <c r="C1098" s="8">
        <f>DATE(2012,12,31)-794</f>
        <v>40480</v>
      </c>
      <c r="D1098" s="8" t="str">
        <f t="shared" si="22"/>
        <v>2010-10 (октябрь 2010)</v>
      </c>
      <c r="E1098" s="9" t="s">
        <v>45</v>
      </c>
      <c r="F1098" s="7">
        <v>9</v>
      </c>
      <c r="G1098" s="7">
        <v>302.05</v>
      </c>
      <c r="H1098" s="7">
        <v>0</v>
      </c>
      <c r="I1098" s="9" t="s">
        <v>22</v>
      </c>
      <c r="J1098" s="10">
        <v>-58.81</v>
      </c>
      <c r="K1098" s="11">
        <v>30.98</v>
      </c>
      <c r="L1098" s="11">
        <v>6.5</v>
      </c>
      <c r="M1098" s="9" t="s">
        <v>912</v>
      </c>
      <c r="N1098" s="6" t="s">
        <v>703</v>
      </c>
      <c r="O1098" s="6" t="s">
        <v>704</v>
      </c>
      <c r="P1098" s="9" t="s">
        <v>60</v>
      </c>
      <c r="Q1098" s="9" t="s">
        <v>42</v>
      </c>
      <c r="R1098" s="9" t="s">
        <v>70</v>
      </c>
      <c r="S1098" s="7" t="s">
        <v>601</v>
      </c>
      <c r="T1098" s="9" t="s">
        <v>39</v>
      </c>
      <c r="U1098" s="7">
        <v>0.64</v>
      </c>
      <c r="V1098" s="12">
        <f>C1098+2</f>
        <v>40482</v>
      </c>
      <c r="W1098">
        <f>IF(D1098=' Pivot Tables'!$A$4,1,0)</f>
        <v>0</v>
      </c>
      <c r="X1098">
        <f>IF(AND(LEFT(D1098,4)+1=LEFT(' Pivot Tables'!$A$4,4)+0,RIGHT(LEFT(D1098,7),2)=RIGHT(LEFT(' Pivot Tables'!$A$4,7),2)),1,0)</f>
        <v>0</v>
      </c>
      <c r="Y1098" s="6">
        <f>1/COUNTIF(Таблица1[Order ID],Таблица1[[#This Row],[Order ID]])</f>
        <v>0.5</v>
      </c>
      <c r="Z1098" s="9">
        <f>1/COUNTIFS(Таблица1[Customer Name],Таблица1[[#This Row],[Customer Name]],Таблица1[Order-Year-Month],Таблица1[[#This Row],[Order-Year-Month]])</f>
        <v>0.5</v>
      </c>
    </row>
    <row r="1099" spans="1:26" x14ac:dyDescent="0.2">
      <c r="A1099" s="6">
        <v>1860</v>
      </c>
      <c r="B1099" s="7">
        <v>13380</v>
      </c>
      <c r="C1099" s="8">
        <f>DATE(2012,12,31)-1265</f>
        <v>40009</v>
      </c>
      <c r="D1099" s="8" t="str">
        <f t="shared" si="22"/>
        <v>2009-07 (июль 2009)</v>
      </c>
      <c r="E1099" s="9" t="s">
        <v>78</v>
      </c>
      <c r="F1099" s="7">
        <v>24</v>
      </c>
      <c r="G1099" s="7">
        <v>66.12</v>
      </c>
      <c r="H1099" s="7">
        <v>0.09</v>
      </c>
      <c r="I1099" s="9" t="s">
        <v>22</v>
      </c>
      <c r="J1099" s="10">
        <v>4.8499999999999996</v>
      </c>
      <c r="K1099" s="11">
        <v>2.88</v>
      </c>
      <c r="L1099" s="11">
        <v>0.7</v>
      </c>
      <c r="M1099" s="9" t="s">
        <v>886</v>
      </c>
      <c r="N1099" s="6" t="s">
        <v>703</v>
      </c>
      <c r="O1099" s="6" t="s">
        <v>704</v>
      </c>
      <c r="P1099" s="9" t="s">
        <v>41</v>
      </c>
      <c r="Q1099" s="9" t="s">
        <v>26</v>
      </c>
      <c r="R1099" s="9" t="s">
        <v>95</v>
      </c>
      <c r="S1099" s="7" t="s">
        <v>913</v>
      </c>
      <c r="T1099" s="9" t="s">
        <v>68</v>
      </c>
      <c r="U1099" s="7">
        <v>0.56000000000000005</v>
      </c>
      <c r="V1099" s="12">
        <f>C1099+0</f>
        <v>40009</v>
      </c>
      <c r="W1099">
        <f>IF(D1099=' Pivot Tables'!$A$4,1,0)</f>
        <v>0</v>
      </c>
      <c r="X1099">
        <f>IF(AND(LEFT(D1099,4)+1=LEFT(' Pivot Tables'!$A$4,4)+0,RIGHT(LEFT(D1099,7),2)=RIGHT(LEFT(' Pivot Tables'!$A$4,7),2)),1,0)</f>
        <v>0</v>
      </c>
      <c r="Y1099" s="6">
        <f>1/COUNTIF(Таблица1[Order ID],Таблица1[[#This Row],[Order ID]])</f>
        <v>1</v>
      </c>
      <c r="Z1099" s="9">
        <f>1/COUNTIFS(Таблица1[Customer Name],Таблица1[[#This Row],[Customer Name]],Таблица1[Order-Year-Month],Таблица1[[#This Row],[Order-Year-Month]])</f>
        <v>1</v>
      </c>
    </row>
    <row r="1100" spans="1:26" x14ac:dyDescent="0.2">
      <c r="A1100" s="6">
        <v>1898</v>
      </c>
      <c r="B1100" s="7">
        <v>13606</v>
      </c>
      <c r="C1100" s="8">
        <f>DATE(2012,12,31)-1345</f>
        <v>39929</v>
      </c>
      <c r="D1100" s="8" t="str">
        <f t="shared" si="22"/>
        <v>2009-04 (апрель 2009)</v>
      </c>
      <c r="E1100" s="9" t="s">
        <v>45</v>
      </c>
      <c r="F1100" s="7">
        <v>34</v>
      </c>
      <c r="G1100" s="7">
        <v>109.86</v>
      </c>
      <c r="H1100" s="7">
        <v>7.0000000000000007E-2</v>
      </c>
      <c r="I1100" s="9" t="s">
        <v>22</v>
      </c>
      <c r="J1100" s="10">
        <v>19.04</v>
      </c>
      <c r="K1100" s="11">
        <v>3.38</v>
      </c>
      <c r="L1100" s="11">
        <v>0.85</v>
      </c>
      <c r="M1100" s="9" t="s">
        <v>869</v>
      </c>
      <c r="N1100" s="6" t="s">
        <v>703</v>
      </c>
      <c r="O1100" s="6" t="s">
        <v>704</v>
      </c>
      <c r="P1100" s="9" t="s">
        <v>25</v>
      </c>
      <c r="Q1100" s="9" t="s">
        <v>26</v>
      </c>
      <c r="R1100" s="9" t="s">
        <v>95</v>
      </c>
      <c r="S1100" s="7" t="s">
        <v>566</v>
      </c>
      <c r="T1100" s="9" t="s">
        <v>68</v>
      </c>
      <c r="U1100" s="7">
        <v>0.48</v>
      </c>
      <c r="V1100" s="12">
        <f>C1100+2</f>
        <v>39931</v>
      </c>
      <c r="W1100">
        <f>IF(D1100=' Pivot Tables'!$A$4,1,0)</f>
        <v>0</v>
      </c>
      <c r="X1100">
        <f>IF(AND(LEFT(D1100,4)+1=LEFT(' Pivot Tables'!$A$4,4)+0,RIGHT(LEFT(D1100,7),2)=RIGHT(LEFT(' Pivot Tables'!$A$4,7),2)),1,0)</f>
        <v>0</v>
      </c>
      <c r="Y1100" s="6">
        <f>1/COUNTIF(Таблица1[Order ID],Таблица1[[#This Row],[Order ID]])</f>
        <v>1</v>
      </c>
      <c r="Z1100" s="9">
        <f>1/COUNTIFS(Таблица1[Customer Name],Таблица1[[#This Row],[Customer Name]],Таблица1[Order-Year-Month],Таблица1[[#This Row],[Order-Year-Month]])</f>
        <v>1</v>
      </c>
    </row>
    <row r="1101" spans="1:26" x14ac:dyDescent="0.2">
      <c r="A1101" s="6">
        <v>1936</v>
      </c>
      <c r="B1101" s="7">
        <v>13889</v>
      </c>
      <c r="C1101" s="8">
        <f>DATE(2012,12,31)-484</f>
        <v>40790</v>
      </c>
      <c r="D1101" s="8" t="str">
        <f t="shared" si="22"/>
        <v>2011-09 (сентябрь 2011)</v>
      </c>
      <c r="E1101" s="9" t="s">
        <v>63</v>
      </c>
      <c r="F1101" s="7">
        <v>49</v>
      </c>
      <c r="G1101" s="7">
        <v>12979.1</v>
      </c>
      <c r="H1101" s="7">
        <v>0.03</v>
      </c>
      <c r="I1101" s="9" t="s">
        <v>31</v>
      </c>
      <c r="J1101" s="10">
        <v>2820.44</v>
      </c>
      <c r="K1101" s="11">
        <v>258.98</v>
      </c>
      <c r="L1101" s="11">
        <v>54.31</v>
      </c>
      <c r="M1101" s="9" t="s">
        <v>914</v>
      </c>
      <c r="N1101" s="6" t="s">
        <v>703</v>
      </c>
      <c r="O1101" s="6" t="s">
        <v>704</v>
      </c>
      <c r="P1101" s="9" t="s">
        <v>25</v>
      </c>
      <c r="Q1101" s="9" t="s">
        <v>49</v>
      </c>
      <c r="R1101" s="9" t="s">
        <v>112</v>
      </c>
      <c r="S1101" s="7" t="s">
        <v>915</v>
      </c>
      <c r="T1101" s="9" t="s">
        <v>36</v>
      </c>
      <c r="U1101" s="7">
        <v>0.55000000000000004</v>
      </c>
      <c r="V1101" s="12">
        <f>C1101+1</f>
        <v>40791</v>
      </c>
      <c r="W1101">
        <f>IF(D1101=' Pivot Tables'!$A$4,1,0)</f>
        <v>0</v>
      </c>
      <c r="X1101">
        <f>IF(AND(LEFT(D1101,4)+1=LEFT(' Pivot Tables'!$A$4,4)+0,RIGHT(LEFT(D1101,7),2)=RIGHT(LEFT(' Pivot Tables'!$A$4,7),2)),1,0)</f>
        <v>0</v>
      </c>
      <c r="Y1101" s="6">
        <f>1/COUNTIF(Таблица1[Order ID],Таблица1[[#This Row],[Order ID]])</f>
        <v>1</v>
      </c>
      <c r="Z1101" s="9">
        <f>1/COUNTIFS(Таблица1[Customer Name],Таблица1[[#This Row],[Customer Name]],Таблица1[Order-Year-Month],Таблица1[[#This Row],[Order-Year-Month]])</f>
        <v>1</v>
      </c>
    </row>
    <row r="1102" spans="1:26" x14ac:dyDescent="0.2">
      <c r="A1102" s="6">
        <v>1952</v>
      </c>
      <c r="B1102" s="7">
        <v>13984</v>
      </c>
      <c r="C1102" s="8">
        <f>DATE(2012,12,31)-98</f>
        <v>41176</v>
      </c>
      <c r="D1102" s="8" t="str">
        <f t="shared" si="22"/>
        <v>2012-09 (сентябрь 2012)</v>
      </c>
      <c r="E1102" s="9" t="s">
        <v>78</v>
      </c>
      <c r="F1102" s="7">
        <v>30</v>
      </c>
      <c r="G1102" s="7">
        <v>2052.8200000000002</v>
      </c>
      <c r="H1102" s="7">
        <v>0.05</v>
      </c>
      <c r="I1102" s="9" t="s">
        <v>22</v>
      </c>
      <c r="J1102" s="10">
        <v>-870.61</v>
      </c>
      <c r="K1102" s="11">
        <v>70.709999999999994</v>
      </c>
      <c r="L1102" s="11">
        <v>37.58</v>
      </c>
      <c r="M1102" s="9" t="s">
        <v>888</v>
      </c>
      <c r="N1102" s="6" t="s">
        <v>703</v>
      </c>
      <c r="O1102" s="6" t="s">
        <v>704</v>
      </c>
      <c r="P1102" s="9" t="s">
        <v>60</v>
      </c>
      <c r="Q1102" s="9" t="s">
        <v>49</v>
      </c>
      <c r="R1102" s="9" t="s">
        <v>50</v>
      </c>
      <c r="S1102" s="7" t="s">
        <v>724</v>
      </c>
      <c r="T1102" s="9" t="s">
        <v>68</v>
      </c>
      <c r="U1102" s="7">
        <v>0.78</v>
      </c>
      <c r="V1102" s="12">
        <f>C1102+0</f>
        <v>41176</v>
      </c>
      <c r="W1102">
        <f>IF(D1102=' Pivot Tables'!$A$4,1,0)</f>
        <v>0</v>
      </c>
      <c r="X1102">
        <f>IF(AND(LEFT(D1102,4)+1=LEFT(' Pivot Tables'!$A$4,4)+0,RIGHT(LEFT(D1102,7),2)=RIGHT(LEFT(' Pivot Tables'!$A$4,7),2)),1,0)</f>
        <v>0</v>
      </c>
      <c r="Y1102" s="6">
        <f>1/COUNTIF(Таблица1[Order ID],Таблица1[[#This Row],[Order ID]])</f>
        <v>1</v>
      </c>
      <c r="Z1102" s="9">
        <f>1/COUNTIFS(Таблица1[Customer Name],Таблица1[[#This Row],[Customer Name]],Таблица1[Order-Year-Month],Таблица1[[#This Row],[Order-Year-Month]])</f>
        <v>1</v>
      </c>
    </row>
    <row r="1103" spans="1:26" x14ac:dyDescent="0.2">
      <c r="A1103" s="6">
        <v>1953</v>
      </c>
      <c r="B1103" s="7">
        <v>13986</v>
      </c>
      <c r="C1103" s="8">
        <f>DATE(2012,12,31)-447</f>
        <v>40827</v>
      </c>
      <c r="D1103" s="8" t="str">
        <f t="shared" si="22"/>
        <v>2011-10 (октябрь 2011)</v>
      </c>
      <c r="E1103" s="9" t="s">
        <v>30</v>
      </c>
      <c r="F1103" s="7">
        <v>46</v>
      </c>
      <c r="G1103" s="7">
        <v>1905.79</v>
      </c>
      <c r="H1103" s="7">
        <v>0.01</v>
      </c>
      <c r="I1103" s="9" t="s">
        <v>22</v>
      </c>
      <c r="J1103" s="10">
        <v>675.65</v>
      </c>
      <c r="K1103" s="11">
        <v>39.479999999999997</v>
      </c>
      <c r="L1103" s="11">
        <v>1.99</v>
      </c>
      <c r="M1103" s="9" t="s">
        <v>890</v>
      </c>
      <c r="N1103" s="6" t="s">
        <v>703</v>
      </c>
      <c r="O1103" s="6" t="s">
        <v>704</v>
      </c>
      <c r="P1103" s="9" t="s">
        <v>33</v>
      </c>
      <c r="Q1103" s="9" t="s">
        <v>42</v>
      </c>
      <c r="R1103" s="9" t="s">
        <v>70</v>
      </c>
      <c r="S1103" s="7" t="s">
        <v>161</v>
      </c>
      <c r="T1103" s="9" t="s">
        <v>52</v>
      </c>
      <c r="U1103" s="7">
        <v>0.54</v>
      </c>
      <c r="V1103" s="12">
        <f>C1103+3</f>
        <v>40830</v>
      </c>
      <c r="W1103">
        <f>IF(D1103=' Pivot Tables'!$A$4,1,0)</f>
        <v>0</v>
      </c>
      <c r="X1103">
        <f>IF(AND(LEFT(D1103,4)+1=LEFT(' Pivot Tables'!$A$4,4)+0,RIGHT(LEFT(D1103,7),2)=RIGHT(LEFT(' Pivot Tables'!$A$4,7),2)),1,0)</f>
        <v>0</v>
      </c>
      <c r="Y1103" s="6">
        <f>1/COUNTIF(Таблица1[Order ID],Таблица1[[#This Row],[Order ID]])</f>
        <v>1</v>
      </c>
      <c r="Z1103" s="9">
        <f>1/COUNTIFS(Таблица1[Customer Name],Таблица1[[#This Row],[Customer Name]],Таблица1[Order-Year-Month],Таблица1[[#This Row],[Order-Year-Month]])</f>
        <v>1</v>
      </c>
    </row>
    <row r="1104" spans="1:26" x14ac:dyDescent="0.2">
      <c r="A1104" s="6">
        <v>1995</v>
      </c>
      <c r="B1104" s="7">
        <v>14240</v>
      </c>
      <c r="C1104" s="8">
        <f>DATE(2012,12,31)-318</f>
        <v>40956</v>
      </c>
      <c r="D1104" s="8" t="str">
        <f t="shared" si="22"/>
        <v>2012-02 (февраль 2012)</v>
      </c>
      <c r="E1104" s="9" t="s">
        <v>30</v>
      </c>
      <c r="F1104" s="7">
        <v>24</v>
      </c>
      <c r="G1104" s="7">
        <v>68.88</v>
      </c>
      <c r="H1104" s="7">
        <v>0</v>
      </c>
      <c r="I1104" s="9" t="s">
        <v>22</v>
      </c>
      <c r="J1104" s="10">
        <v>1.3090000000000002</v>
      </c>
      <c r="K1104" s="11">
        <v>2.78</v>
      </c>
      <c r="L1104" s="11">
        <v>1.49</v>
      </c>
      <c r="M1104" s="9" t="s">
        <v>884</v>
      </c>
      <c r="N1104" s="6" t="s">
        <v>703</v>
      </c>
      <c r="O1104" s="6" t="s">
        <v>704</v>
      </c>
      <c r="P1104" s="9" t="s">
        <v>41</v>
      </c>
      <c r="Q1104" s="9" t="s">
        <v>26</v>
      </c>
      <c r="R1104" s="9" t="s">
        <v>37</v>
      </c>
      <c r="S1104" s="7" t="s">
        <v>569</v>
      </c>
      <c r="T1104" s="9" t="s">
        <v>39</v>
      </c>
      <c r="U1104" s="7">
        <v>0.39</v>
      </c>
      <c r="V1104" s="12">
        <f>C1104+1</f>
        <v>40957</v>
      </c>
      <c r="W1104">
        <f>IF(D1104=' Pivot Tables'!$A$4,1,0)</f>
        <v>0</v>
      </c>
      <c r="X1104">
        <f>IF(AND(LEFT(D1104,4)+1=LEFT(' Pivot Tables'!$A$4,4)+0,RIGHT(LEFT(D1104,7),2)=RIGHT(LEFT(' Pivot Tables'!$A$4,7),2)),1,0)</f>
        <v>0</v>
      </c>
      <c r="Y1104" s="6">
        <f>1/COUNTIF(Таблица1[Order ID],Таблица1[[#This Row],[Order ID]])</f>
        <v>1</v>
      </c>
      <c r="Z1104" s="9">
        <f>1/COUNTIFS(Таблица1[Customer Name],Таблица1[[#This Row],[Customer Name]],Таблица1[Order-Year-Month],Таблица1[[#This Row],[Order-Year-Month]])</f>
        <v>1</v>
      </c>
    </row>
    <row r="1105" spans="1:26" x14ac:dyDescent="0.2">
      <c r="A1105" s="6">
        <v>2006</v>
      </c>
      <c r="B1105" s="7">
        <v>14276</v>
      </c>
      <c r="C1105" s="8">
        <f>DATE(2012,12,31)-1292</f>
        <v>39982</v>
      </c>
      <c r="D1105" s="8" t="str">
        <f t="shared" si="22"/>
        <v>2009-06 (июнь 2009)</v>
      </c>
      <c r="E1105" s="9" t="s">
        <v>63</v>
      </c>
      <c r="F1105" s="7">
        <v>11</v>
      </c>
      <c r="G1105" s="7">
        <v>110.79</v>
      </c>
      <c r="H1105" s="7">
        <v>0.1</v>
      </c>
      <c r="I1105" s="9" t="s">
        <v>22</v>
      </c>
      <c r="J1105" s="10">
        <v>-11.13</v>
      </c>
      <c r="K1105" s="11">
        <v>10.48</v>
      </c>
      <c r="L1105" s="11">
        <v>2.89</v>
      </c>
      <c r="M1105" s="9" t="s">
        <v>871</v>
      </c>
      <c r="N1105" s="6" t="s">
        <v>703</v>
      </c>
      <c r="O1105" s="6" t="s">
        <v>704</v>
      </c>
      <c r="P1105" s="9" t="s">
        <v>41</v>
      </c>
      <c r="Q1105" s="9" t="s">
        <v>26</v>
      </c>
      <c r="R1105" s="9" t="s">
        <v>95</v>
      </c>
      <c r="S1105" s="7" t="s">
        <v>499</v>
      </c>
      <c r="T1105" s="9" t="s">
        <v>52</v>
      </c>
      <c r="U1105" s="7">
        <v>0.6</v>
      </c>
      <c r="V1105" s="12">
        <f>C1105+1</f>
        <v>39983</v>
      </c>
      <c r="W1105">
        <f>IF(D1105=' Pivot Tables'!$A$4,1,0)</f>
        <v>0</v>
      </c>
      <c r="X1105">
        <f>IF(AND(LEFT(D1105,4)+1=LEFT(' Pivot Tables'!$A$4,4)+0,RIGHT(LEFT(D1105,7),2)=RIGHT(LEFT(' Pivot Tables'!$A$4,7),2)),1,0)</f>
        <v>0</v>
      </c>
      <c r="Y1105" s="6">
        <f>1/COUNTIF(Таблица1[Order ID],Таблица1[[#This Row],[Order ID]])</f>
        <v>1</v>
      </c>
      <c r="Z1105" s="9">
        <f>1/COUNTIFS(Таблица1[Customer Name],Таблица1[[#This Row],[Customer Name]],Таблица1[Order-Year-Month],Таблица1[[#This Row],[Order-Year-Month]])</f>
        <v>1</v>
      </c>
    </row>
    <row r="1106" spans="1:26" x14ac:dyDescent="0.2">
      <c r="A1106" s="6">
        <v>2029</v>
      </c>
      <c r="B1106" s="7">
        <v>14471</v>
      </c>
      <c r="C1106" s="8">
        <f>DATE(2012,12,31)-585</f>
        <v>40689</v>
      </c>
      <c r="D1106" s="8" t="str">
        <f t="shared" si="22"/>
        <v>2011-05 (май 2011)</v>
      </c>
      <c r="E1106" s="9" t="s">
        <v>45</v>
      </c>
      <c r="F1106" s="7">
        <v>44</v>
      </c>
      <c r="G1106" s="7">
        <v>823.63</v>
      </c>
      <c r="H1106" s="7">
        <v>0.03</v>
      </c>
      <c r="I1106" s="9" t="s">
        <v>22</v>
      </c>
      <c r="J1106" s="10">
        <v>375.02</v>
      </c>
      <c r="K1106" s="11">
        <v>18.649999999999999</v>
      </c>
      <c r="L1106" s="11">
        <v>3.77</v>
      </c>
      <c r="M1106" s="9" t="s">
        <v>884</v>
      </c>
      <c r="N1106" s="6" t="s">
        <v>703</v>
      </c>
      <c r="O1106" s="6" t="s">
        <v>704</v>
      </c>
      <c r="P1106" s="9" t="s">
        <v>41</v>
      </c>
      <c r="Q1106" s="9" t="s">
        <v>49</v>
      </c>
      <c r="R1106" s="9" t="s">
        <v>50</v>
      </c>
      <c r="S1106" s="7" t="s">
        <v>916</v>
      </c>
      <c r="T1106" s="9" t="s">
        <v>52</v>
      </c>
      <c r="U1106" s="7">
        <v>0.39</v>
      </c>
      <c r="V1106" s="12">
        <f>C1106+0</f>
        <v>40689</v>
      </c>
      <c r="W1106">
        <f>IF(D1106=' Pivot Tables'!$A$4,1,0)</f>
        <v>0</v>
      </c>
      <c r="X1106">
        <f>IF(AND(LEFT(D1106,4)+1=LEFT(' Pivot Tables'!$A$4,4)+0,RIGHT(LEFT(D1106,7),2)=RIGHT(LEFT(' Pivot Tables'!$A$4,7),2)),1,0)</f>
        <v>0</v>
      </c>
      <c r="Y1106" s="6">
        <f>1/COUNTIF(Таблица1[Order ID],Таблица1[[#This Row],[Order ID]])</f>
        <v>0.5</v>
      </c>
      <c r="Z1106" s="9">
        <f>1/COUNTIFS(Таблица1[Customer Name],Таблица1[[#This Row],[Customer Name]],Таблица1[Order-Year-Month],Таблица1[[#This Row],[Order-Year-Month]])</f>
        <v>0.33333333333333331</v>
      </c>
    </row>
    <row r="1107" spans="1:26" x14ac:dyDescent="0.2">
      <c r="A1107" s="6">
        <v>2030</v>
      </c>
      <c r="B1107" s="7">
        <v>14471</v>
      </c>
      <c r="C1107" s="8">
        <f>DATE(2012,12,31)-585</f>
        <v>40689</v>
      </c>
      <c r="D1107" s="8" t="str">
        <f t="shared" si="22"/>
        <v>2011-05 (май 2011)</v>
      </c>
      <c r="E1107" s="9" t="s">
        <v>45</v>
      </c>
      <c r="F1107" s="7">
        <v>42</v>
      </c>
      <c r="G1107" s="7">
        <v>286.73</v>
      </c>
      <c r="H1107" s="7">
        <v>0.05</v>
      </c>
      <c r="I1107" s="9" t="s">
        <v>22</v>
      </c>
      <c r="J1107" s="10">
        <v>-141.51</v>
      </c>
      <c r="K1107" s="11">
        <v>6.48</v>
      </c>
      <c r="L1107" s="11">
        <v>7.49</v>
      </c>
      <c r="M1107" s="9" t="s">
        <v>884</v>
      </c>
      <c r="N1107" s="6" t="s">
        <v>703</v>
      </c>
      <c r="O1107" s="6" t="s">
        <v>704</v>
      </c>
      <c r="P1107" s="9" t="s">
        <v>41</v>
      </c>
      <c r="Q1107" s="9" t="s">
        <v>26</v>
      </c>
      <c r="R1107" s="9" t="s">
        <v>61</v>
      </c>
      <c r="S1107" s="7" t="s">
        <v>643</v>
      </c>
      <c r="T1107" s="9" t="s">
        <v>39</v>
      </c>
      <c r="U1107" s="7">
        <v>0.37</v>
      </c>
      <c r="V1107" s="12">
        <f>C1107+2</f>
        <v>40691</v>
      </c>
      <c r="W1107">
        <f>IF(D1107=' Pivot Tables'!$A$4,1,0)</f>
        <v>0</v>
      </c>
      <c r="X1107">
        <f>IF(AND(LEFT(D1107,4)+1=LEFT(' Pivot Tables'!$A$4,4)+0,RIGHT(LEFT(D1107,7),2)=RIGHT(LEFT(' Pivot Tables'!$A$4,7),2)),1,0)</f>
        <v>0</v>
      </c>
      <c r="Y1107" s="6">
        <f>1/COUNTIF(Таблица1[Order ID],Таблица1[[#This Row],[Order ID]])</f>
        <v>0.5</v>
      </c>
      <c r="Z1107" s="9">
        <f>1/COUNTIFS(Таблица1[Customer Name],Таблица1[[#This Row],[Customer Name]],Таблица1[Order-Year-Month],Таблица1[[#This Row],[Order-Year-Month]])</f>
        <v>0.33333333333333331</v>
      </c>
    </row>
    <row r="1108" spans="1:26" x14ac:dyDescent="0.2">
      <c r="A1108" s="6">
        <v>2037</v>
      </c>
      <c r="B1108" s="7">
        <v>14529</v>
      </c>
      <c r="C1108" s="8">
        <f>DATE(2012,12,31)-833</f>
        <v>40441</v>
      </c>
      <c r="D1108" s="8" t="str">
        <f t="shared" si="22"/>
        <v>2010-09 (сентябрь 2010)</v>
      </c>
      <c r="E1108" s="9" t="s">
        <v>21</v>
      </c>
      <c r="F1108" s="7">
        <v>44</v>
      </c>
      <c r="G1108" s="7">
        <v>3819.42</v>
      </c>
      <c r="H1108" s="7">
        <v>0.1</v>
      </c>
      <c r="I1108" s="9" t="s">
        <v>31</v>
      </c>
      <c r="J1108" s="10">
        <v>-821.87</v>
      </c>
      <c r="K1108" s="11">
        <v>89.99</v>
      </c>
      <c r="L1108" s="11">
        <v>42</v>
      </c>
      <c r="M1108" s="9" t="s">
        <v>917</v>
      </c>
      <c r="N1108" s="6" t="s">
        <v>703</v>
      </c>
      <c r="O1108" s="6" t="s">
        <v>704</v>
      </c>
      <c r="P1108" s="9" t="s">
        <v>60</v>
      </c>
      <c r="Q1108" s="9" t="s">
        <v>49</v>
      </c>
      <c r="R1108" s="9" t="s">
        <v>112</v>
      </c>
      <c r="S1108" s="7" t="s">
        <v>853</v>
      </c>
      <c r="T1108" s="9" t="s">
        <v>36</v>
      </c>
      <c r="U1108" s="7">
        <v>0.66</v>
      </c>
      <c r="V1108" s="12">
        <f>C1108+4</f>
        <v>40445</v>
      </c>
      <c r="W1108">
        <f>IF(D1108=' Pivot Tables'!$A$4,1,0)</f>
        <v>0</v>
      </c>
      <c r="X1108">
        <f>IF(AND(LEFT(D1108,4)+1=LEFT(' Pivot Tables'!$A$4,4)+0,RIGHT(LEFT(D1108,7),2)=RIGHT(LEFT(' Pivot Tables'!$A$4,7),2)),1,0)</f>
        <v>0</v>
      </c>
      <c r="Y1108" s="6">
        <f>1/COUNTIF(Таблица1[Order ID],Таблица1[[#This Row],[Order ID]])</f>
        <v>0.5</v>
      </c>
      <c r="Z1108" s="9">
        <f>1/COUNTIFS(Таблица1[Customer Name],Таблица1[[#This Row],[Customer Name]],Таблица1[Order-Year-Month],Таблица1[[#This Row],[Order-Year-Month]])</f>
        <v>0.5</v>
      </c>
    </row>
    <row r="1109" spans="1:26" x14ac:dyDescent="0.2">
      <c r="A1109" s="6">
        <v>2038</v>
      </c>
      <c r="B1109" s="7">
        <v>14529</v>
      </c>
      <c r="C1109" s="8">
        <f>DATE(2012,12,31)-833</f>
        <v>40441</v>
      </c>
      <c r="D1109" s="8" t="str">
        <f t="shared" si="22"/>
        <v>2010-09 (сентябрь 2010)</v>
      </c>
      <c r="E1109" s="9" t="s">
        <v>21</v>
      </c>
      <c r="F1109" s="7">
        <v>42</v>
      </c>
      <c r="G1109" s="7">
        <v>208.78</v>
      </c>
      <c r="H1109" s="7">
        <v>0.05</v>
      </c>
      <c r="I1109" s="9" t="s">
        <v>22</v>
      </c>
      <c r="J1109" s="10">
        <v>24.87</v>
      </c>
      <c r="K1109" s="11">
        <v>5.08</v>
      </c>
      <c r="L1109" s="11">
        <v>2.0299999999999998</v>
      </c>
      <c r="M1109" s="9" t="s">
        <v>917</v>
      </c>
      <c r="N1109" s="6" t="s">
        <v>703</v>
      </c>
      <c r="O1109" s="6" t="s">
        <v>704</v>
      </c>
      <c r="P1109" s="9" t="s">
        <v>60</v>
      </c>
      <c r="Q1109" s="9" t="s">
        <v>49</v>
      </c>
      <c r="R1109" s="9" t="s">
        <v>50</v>
      </c>
      <c r="S1109" s="7" t="s">
        <v>918</v>
      </c>
      <c r="T1109" s="9" t="s">
        <v>68</v>
      </c>
      <c r="U1109" s="7">
        <v>0.51</v>
      </c>
      <c r="V1109" s="12">
        <f>C1109+2</f>
        <v>40443</v>
      </c>
      <c r="W1109">
        <f>IF(D1109=' Pivot Tables'!$A$4,1,0)</f>
        <v>0</v>
      </c>
      <c r="X1109">
        <f>IF(AND(LEFT(D1109,4)+1=LEFT(' Pivot Tables'!$A$4,4)+0,RIGHT(LEFT(D1109,7),2)=RIGHT(LEFT(' Pivot Tables'!$A$4,7),2)),1,0)</f>
        <v>0</v>
      </c>
      <c r="Y1109" s="6">
        <f>1/COUNTIF(Таблица1[Order ID],Таблица1[[#This Row],[Order ID]])</f>
        <v>0.5</v>
      </c>
      <c r="Z1109" s="9">
        <f>1/COUNTIFS(Таблица1[Customer Name],Таблица1[[#This Row],[Customer Name]],Таблица1[Order-Year-Month],Таблица1[[#This Row],[Order-Year-Month]])</f>
        <v>0.5</v>
      </c>
    </row>
    <row r="1110" spans="1:26" x14ac:dyDescent="0.2">
      <c r="A1110" s="6">
        <v>2087</v>
      </c>
      <c r="B1110" s="7">
        <v>14948</v>
      </c>
      <c r="C1110" s="8">
        <f>DATE(2012,12,31)-583</f>
        <v>40691</v>
      </c>
      <c r="D1110" s="8" t="str">
        <f t="shared" si="22"/>
        <v>2011-05 (май 2011)</v>
      </c>
      <c r="E1110" s="9" t="s">
        <v>63</v>
      </c>
      <c r="F1110" s="7">
        <v>6</v>
      </c>
      <c r="G1110" s="7">
        <v>647.78</v>
      </c>
      <c r="H1110" s="7">
        <v>0</v>
      </c>
      <c r="I1110" s="9" t="s">
        <v>31</v>
      </c>
      <c r="J1110" s="10">
        <v>-144.87</v>
      </c>
      <c r="K1110" s="11">
        <v>100.98</v>
      </c>
      <c r="L1110" s="11">
        <v>35.840000000000003</v>
      </c>
      <c r="M1110" s="9" t="s">
        <v>889</v>
      </c>
      <c r="N1110" s="6" t="s">
        <v>703</v>
      </c>
      <c r="O1110" s="6" t="s">
        <v>704</v>
      </c>
      <c r="P1110" s="9" t="s">
        <v>25</v>
      </c>
      <c r="Q1110" s="9" t="s">
        <v>49</v>
      </c>
      <c r="R1110" s="9" t="s">
        <v>80</v>
      </c>
      <c r="S1110" s="7" t="s">
        <v>705</v>
      </c>
      <c r="T1110" s="9" t="s">
        <v>82</v>
      </c>
      <c r="U1110" s="7">
        <v>0.62</v>
      </c>
      <c r="V1110" s="12">
        <f>C1110+1</f>
        <v>40692</v>
      </c>
      <c r="W1110">
        <f>IF(D1110=' Pivot Tables'!$A$4,1,0)</f>
        <v>0</v>
      </c>
      <c r="X1110">
        <f>IF(AND(LEFT(D1110,4)+1=LEFT(' Pivot Tables'!$A$4,4)+0,RIGHT(LEFT(D1110,7),2)=RIGHT(LEFT(' Pivot Tables'!$A$4,7),2)),1,0)</f>
        <v>0</v>
      </c>
      <c r="Y1110" s="6">
        <f>1/COUNTIF(Таблица1[Order ID],Таблица1[[#This Row],[Order ID]])</f>
        <v>1</v>
      </c>
      <c r="Z1110" s="9">
        <f>1/COUNTIFS(Таблица1[Customer Name],Таблица1[[#This Row],[Customer Name]],Таблица1[Order-Year-Month],Таблица1[[#This Row],[Order-Year-Month]])</f>
        <v>1</v>
      </c>
    </row>
    <row r="1111" spans="1:26" x14ac:dyDescent="0.2">
      <c r="A1111" s="6">
        <v>2237</v>
      </c>
      <c r="B1111" s="7">
        <v>16161</v>
      </c>
      <c r="C1111" s="8">
        <f>DATE(2012,12,31)-156</f>
        <v>41118</v>
      </c>
      <c r="D1111" s="8" t="str">
        <f t="shared" si="22"/>
        <v>2012-07 (июль 2012)</v>
      </c>
      <c r="E1111" s="9" t="s">
        <v>63</v>
      </c>
      <c r="F1111" s="7">
        <v>49</v>
      </c>
      <c r="G1111" s="7">
        <v>2692.6895</v>
      </c>
      <c r="H1111" s="7">
        <v>0.03</v>
      </c>
      <c r="I1111" s="9" t="s">
        <v>22</v>
      </c>
      <c r="J1111" s="10">
        <v>768.32100000000003</v>
      </c>
      <c r="K1111" s="11">
        <v>65.989999999999995</v>
      </c>
      <c r="L1111" s="11">
        <v>4.2</v>
      </c>
      <c r="M1111" s="9" t="s">
        <v>890</v>
      </c>
      <c r="N1111" s="6" t="s">
        <v>703</v>
      </c>
      <c r="O1111" s="6" t="s">
        <v>704</v>
      </c>
      <c r="P1111" s="9" t="s">
        <v>33</v>
      </c>
      <c r="Q1111" s="9" t="s">
        <v>42</v>
      </c>
      <c r="R1111" s="9" t="s">
        <v>43</v>
      </c>
      <c r="S1111" s="7" t="s">
        <v>919</v>
      </c>
      <c r="T1111" s="9" t="s">
        <v>39</v>
      </c>
      <c r="U1111" s="7">
        <v>0.55000000000000004</v>
      </c>
      <c r="V1111" s="12">
        <f>C1111+1</f>
        <v>41119</v>
      </c>
      <c r="W1111">
        <f>IF(D1111=' Pivot Tables'!$A$4,1,0)</f>
        <v>0</v>
      </c>
      <c r="X1111">
        <f>IF(AND(LEFT(D1111,4)+1=LEFT(' Pivot Tables'!$A$4,4)+0,RIGHT(LEFT(D1111,7),2)=RIGHT(LEFT(' Pivot Tables'!$A$4,7),2)),1,0)</f>
        <v>0</v>
      </c>
      <c r="Y1111" s="6">
        <f>1/COUNTIF(Таблица1[Order ID],Таблица1[[#This Row],[Order ID]])</f>
        <v>0.5</v>
      </c>
      <c r="Z1111" s="9">
        <f>1/COUNTIFS(Таблица1[Customer Name],Таблица1[[#This Row],[Customer Name]],Таблица1[Order-Year-Month],Таблица1[[#This Row],[Order-Year-Month]])</f>
        <v>0.2</v>
      </c>
    </row>
    <row r="1112" spans="1:26" x14ac:dyDescent="0.2">
      <c r="A1112" s="6">
        <v>2238</v>
      </c>
      <c r="B1112" s="7">
        <v>16161</v>
      </c>
      <c r="C1112" s="8">
        <f>DATE(2012,12,31)-156</f>
        <v>41118</v>
      </c>
      <c r="D1112" s="8" t="str">
        <f t="shared" si="22"/>
        <v>2012-07 (июль 2012)</v>
      </c>
      <c r="E1112" s="9" t="s">
        <v>63</v>
      </c>
      <c r="F1112" s="7">
        <v>38</v>
      </c>
      <c r="G1112" s="7">
        <v>151.19</v>
      </c>
      <c r="H1112" s="7">
        <v>0.03</v>
      </c>
      <c r="I1112" s="9" t="s">
        <v>22</v>
      </c>
      <c r="J1112" s="10">
        <v>60.63</v>
      </c>
      <c r="K1112" s="11">
        <v>3.78</v>
      </c>
      <c r="L1112" s="11">
        <v>0.71</v>
      </c>
      <c r="M1112" s="9" t="s">
        <v>890</v>
      </c>
      <c r="N1112" s="6" t="s">
        <v>703</v>
      </c>
      <c r="O1112" s="6" t="s">
        <v>704</v>
      </c>
      <c r="P1112" s="9" t="s">
        <v>33</v>
      </c>
      <c r="Q1112" s="9" t="s">
        <v>26</v>
      </c>
      <c r="R1112" s="9" t="s">
        <v>66</v>
      </c>
      <c r="S1112" s="7" t="s">
        <v>419</v>
      </c>
      <c r="T1112" s="9" t="s">
        <v>68</v>
      </c>
      <c r="U1112" s="7">
        <v>0.39</v>
      </c>
      <c r="V1112" s="12">
        <f>C1112+2</f>
        <v>41120</v>
      </c>
      <c r="W1112">
        <f>IF(D1112=' Pivot Tables'!$A$4,1,0)</f>
        <v>0</v>
      </c>
      <c r="X1112">
        <f>IF(AND(LEFT(D1112,4)+1=LEFT(' Pivot Tables'!$A$4,4)+0,RIGHT(LEFT(D1112,7),2)=RIGHT(LEFT(' Pivot Tables'!$A$4,7),2)),1,0)</f>
        <v>0</v>
      </c>
      <c r="Y1112" s="6">
        <f>1/COUNTIF(Таблица1[Order ID],Таблица1[[#This Row],[Order ID]])</f>
        <v>0.5</v>
      </c>
      <c r="Z1112" s="9">
        <f>1/COUNTIFS(Таблица1[Customer Name],Таблица1[[#This Row],[Customer Name]],Таблица1[Order-Year-Month],Таблица1[[#This Row],[Order-Year-Month]])</f>
        <v>0.2</v>
      </c>
    </row>
    <row r="1113" spans="1:26" x14ac:dyDescent="0.2">
      <c r="A1113" s="6">
        <v>2261</v>
      </c>
      <c r="B1113" s="7">
        <v>16257</v>
      </c>
      <c r="C1113" s="8">
        <f>DATE(2012,12,31)-240</f>
        <v>41034</v>
      </c>
      <c r="D1113" s="8" t="str">
        <f t="shared" si="22"/>
        <v>2012-05 (май 2012)</v>
      </c>
      <c r="E1113" s="9" t="s">
        <v>45</v>
      </c>
      <c r="F1113" s="7">
        <v>16</v>
      </c>
      <c r="G1113" s="7">
        <v>102.73</v>
      </c>
      <c r="H1113" s="7">
        <v>0.03</v>
      </c>
      <c r="I1113" s="9" t="s">
        <v>22</v>
      </c>
      <c r="J1113" s="10">
        <v>16.329999999999998</v>
      </c>
      <c r="K1113" s="11">
        <v>5.98</v>
      </c>
      <c r="L1113" s="11">
        <v>2.5</v>
      </c>
      <c r="M1113" s="9" t="s">
        <v>920</v>
      </c>
      <c r="N1113" s="6" t="s">
        <v>703</v>
      </c>
      <c r="O1113" s="6" t="s">
        <v>704</v>
      </c>
      <c r="P1113" s="9" t="s">
        <v>60</v>
      </c>
      <c r="Q1113" s="9" t="s">
        <v>26</v>
      </c>
      <c r="R1113" s="9" t="s">
        <v>76</v>
      </c>
      <c r="S1113" s="7" t="s">
        <v>625</v>
      </c>
      <c r="T1113" s="9" t="s">
        <v>39</v>
      </c>
      <c r="U1113" s="7">
        <v>0.36</v>
      </c>
      <c r="V1113" s="12">
        <f>C1113+1</f>
        <v>41035</v>
      </c>
      <c r="W1113">
        <f>IF(D1113=' Pivot Tables'!$A$4,1,0)</f>
        <v>0</v>
      </c>
      <c r="X1113">
        <f>IF(AND(LEFT(D1113,4)+1=LEFT(' Pivot Tables'!$A$4,4)+0,RIGHT(LEFT(D1113,7),2)=RIGHT(LEFT(' Pivot Tables'!$A$4,7),2)),1,0)</f>
        <v>0</v>
      </c>
      <c r="Y1113" s="6">
        <f>1/COUNTIF(Таблица1[Order ID],Таблица1[[#This Row],[Order ID]])</f>
        <v>1</v>
      </c>
      <c r="Z1113" s="9">
        <f>1/COUNTIFS(Таблица1[Customer Name],Таблица1[[#This Row],[Customer Name]],Таблица1[Order-Year-Month],Таблица1[[#This Row],[Order-Year-Month]])</f>
        <v>1</v>
      </c>
    </row>
    <row r="1114" spans="1:26" x14ac:dyDescent="0.2">
      <c r="A1114" s="6">
        <v>2335</v>
      </c>
      <c r="B1114" s="7">
        <v>16806</v>
      </c>
      <c r="C1114" s="8">
        <f>DATE(2012,12,31)-928</f>
        <v>40346</v>
      </c>
      <c r="D1114" s="8" t="str">
        <f t="shared" si="22"/>
        <v>2010-06 (июнь 2010)</v>
      </c>
      <c r="E1114" s="9" t="s">
        <v>30</v>
      </c>
      <c r="F1114" s="7">
        <v>4</v>
      </c>
      <c r="G1114" s="7">
        <v>167.37</v>
      </c>
      <c r="H1114" s="7">
        <v>0.1</v>
      </c>
      <c r="I1114" s="9" t="s">
        <v>22</v>
      </c>
      <c r="J1114" s="10">
        <v>-132.15</v>
      </c>
      <c r="K1114" s="11">
        <v>43.22</v>
      </c>
      <c r="L1114" s="11">
        <v>4</v>
      </c>
      <c r="M1114" s="9" t="s">
        <v>904</v>
      </c>
      <c r="N1114" s="6" t="s">
        <v>703</v>
      </c>
      <c r="O1114" s="6" t="s">
        <v>704</v>
      </c>
      <c r="P1114" s="9" t="s">
        <v>60</v>
      </c>
      <c r="Q1114" s="9" t="s">
        <v>42</v>
      </c>
      <c r="R1114" s="9" t="s">
        <v>70</v>
      </c>
      <c r="S1114" s="7" t="s">
        <v>921</v>
      </c>
      <c r="T1114" s="9" t="s">
        <v>39</v>
      </c>
      <c r="U1114" s="7">
        <v>0.64</v>
      </c>
      <c r="V1114" s="12">
        <f>C1114+1</f>
        <v>40347</v>
      </c>
      <c r="W1114">
        <f>IF(D1114=' Pivot Tables'!$A$4,1,0)</f>
        <v>0</v>
      </c>
      <c r="X1114">
        <f>IF(AND(LEFT(D1114,4)+1=LEFT(' Pivot Tables'!$A$4,4)+0,RIGHT(LEFT(D1114,7),2)=RIGHT(LEFT(' Pivot Tables'!$A$4,7),2)),1,0)</f>
        <v>0</v>
      </c>
      <c r="Y1114" s="6">
        <f>1/COUNTIF(Таблица1[Order ID],Таблица1[[#This Row],[Order ID]])</f>
        <v>0.5</v>
      </c>
      <c r="Z1114" s="9">
        <f>1/COUNTIFS(Таблица1[Customer Name],Таблица1[[#This Row],[Customer Name]],Таблица1[Order-Year-Month],Таблица1[[#This Row],[Order-Year-Month]])</f>
        <v>0.5</v>
      </c>
    </row>
    <row r="1115" spans="1:26" x14ac:dyDescent="0.2">
      <c r="A1115" s="6">
        <v>2336</v>
      </c>
      <c r="B1115" s="7">
        <v>16806</v>
      </c>
      <c r="C1115" s="8">
        <f>DATE(2012,12,31)-928</f>
        <v>40346</v>
      </c>
      <c r="D1115" s="8" t="str">
        <f t="shared" si="22"/>
        <v>2010-06 (июнь 2010)</v>
      </c>
      <c r="E1115" s="9" t="s">
        <v>30</v>
      </c>
      <c r="F1115" s="7">
        <v>18</v>
      </c>
      <c r="G1115" s="7">
        <v>1026.6385</v>
      </c>
      <c r="H1115" s="7">
        <v>0</v>
      </c>
      <c r="I1115" s="9" t="s">
        <v>22</v>
      </c>
      <c r="J1115" s="10">
        <v>-201.04700000000003</v>
      </c>
      <c r="K1115" s="11">
        <v>65.989999999999995</v>
      </c>
      <c r="L1115" s="11">
        <v>19.989999999999998</v>
      </c>
      <c r="M1115" s="9" t="s">
        <v>904</v>
      </c>
      <c r="N1115" s="6" t="s">
        <v>703</v>
      </c>
      <c r="O1115" s="6" t="s">
        <v>704</v>
      </c>
      <c r="P1115" s="9" t="s">
        <v>60</v>
      </c>
      <c r="Q1115" s="9" t="s">
        <v>42</v>
      </c>
      <c r="R1115" s="9" t="s">
        <v>43</v>
      </c>
      <c r="S1115" s="7" t="s">
        <v>922</v>
      </c>
      <c r="T1115" s="9" t="s">
        <v>39</v>
      </c>
      <c r="U1115" s="7">
        <v>0.59</v>
      </c>
      <c r="V1115" s="12">
        <f>C1115+2</f>
        <v>40348</v>
      </c>
      <c r="W1115">
        <f>IF(D1115=' Pivot Tables'!$A$4,1,0)</f>
        <v>0</v>
      </c>
      <c r="X1115">
        <f>IF(AND(LEFT(D1115,4)+1=LEFT(' Pivot Tables'!$A$4,4)+0,RIGHT(LEFT(D1115,7),2)=RIGHT(LEFT(' Pivot Tables'!$A$4,7),2)),1,0)</f>
        <v>0</v>
      </c>
      <c r="Y1115" s="6">
        <f>1/COUNTIF(Таблица1[Order ID],Таблица1[[#This Row],[Order ID]])</f>
        <v>0.5</v>
      </c>
      <c r="Z1115" s="9">
        <f>1/COUNTIFS(Таблица1[Customer Name],Таблица1[[#This Row],[Customer Name]],Таблица1[Order-Year-Month],Таблица1[[#This Row],[Order-Year-Month]])</f>
        <v>0.5</v>
      </c>
    </row>
    <row r="1116" spans="1:26" x14ac:dyDescent="0.2">
      <c r="A1116" s="6">
        <v>2393</v>
      </c>
      <c r="B1116" s="7">
        <v>17344</v>
      </c>
      <c r="C1116" s="8">
        <f>DATE(2012,12,31)-896</f>
        <v>40378</v>
      </c>
      <c r="D1116" s="8" t="str">
        <f t="shared" si="22"/>
        <v>2010-07 (июль 2010)</v>
      </c>
      <c r="E1116" s="9" t="s">
        <v>78</v>
      </c>
      <c r="F1116" s="7">
        <v>40</v>
      </c>
      <c r="G1116" s="7">
        <v>2405.4575</v>
      </c>
      <c r="H1116" s="7">
        <v>0.01</v>
      </c>
      <c r="I1116" s="9" t="s">
        <v>22</v>
      </c>
      <c r="J1116" s="10">
        <v>571.53599999999994</v>
      </c>
      <c r="K1116" s="11">
        <v>65.989999999999995</v>
      </c>
      <c r="L1116" s="11">
        <v>7.69</v>
      </c>
      <c r="M1116" s="9" t="s">
        <v>886</v>
      </c>
      <c r="N1116" s="6" t="s">
        <v>703</v>
      </c>
      <c r="O1116" s="6" t="s">
        <v>704</v>
      </c>
      <c r="P1116" s="9" t="s">
        <v>41</v>
      </c>
      <c r="Q1116" s="9" t="s">
        <v>42</v>
      </c>
      <c r="R1116" s="9" t="s">
        <v>43</v>
      </c>
      <c r="S1116" s="7" t="s">
        <v>923</v>
      </c>
      <c r="T1116" s="9" t="s">
        <v>39</v>
      </c>
      <c r="U1116" s="7">
        <v>0.59</v>
      </c>
      <c r="V1116" s="12">
        <f>C1116+2</f>
        <v>40380</v>
      </c>
      <c r="W1116">
        <f>IF(D1116=' Pivot Tables'!$A$4,1,0)</f>
        <v>0</v>
      </c>
      <c r="X1116">
        <f>IF(AND(LEFT(D1116,4)+1=LEFT(' Pivot Tables'!$A$4,4)+0,RIGHT(LEFT(D1116,7),2)=RIGHT(LEFT(' Pivot Tables'!$A$4,7),2)),1,0)</f>
        <v>0</v>
      </c>
      <c r="Y1116" s="6">
        <f>1/COUNTIF(Таблица1[Order ID],Таблица1[[#This Row],[Order ID]])</f>
        <v>1</v>
      </c>
      <c r="Z1116" s="9">
        <f>1/COUNTIFS(Таблица1[Customer Name],Таблица1[[#This Row],[Customer Name]],Таблица1[Order-Year-Month],Таблица1[[#This Row],[Order-Year-Month]])</f>
        <v>1</v>
      </c>
    </row>
    <row r="1117" spans="1:26" x14ac:dyDescent="0.2">
      <c r="A1117" s="6">
        <v>2399</v>
      </c>
      <c r="B1117" s="7">
        <v>17382</v>
      </c>
      <c r="C1117" s="8">
        <f>DATE(2012,12,31)-546</f>
        <v>40728</v>
      </c>
      <c r="D1117" s="8" t="str">
        <f t="shared" si="22"/>
        <v>2011-07 (июль 2011)</v>
      </c>
      <c r="E1117" s="9" t="s">
        <v>45</v>
      </c>
      <c r="F1117" s="7">
        <v>20</v>
      </c>
      <c r="G1117" s="7">
        <v>2162.8164999999999</v>
      </c>
      <c r="H1117" s="7">
        <v>0.01</v>
      </c>
      <c r="I1117" s="9" t="s">
        <v>22</v>
      </c>
      <c r="J1117" s="10">
        <v>223.25399999999999</v>
      </c>
      <c r="K1117" s="11">
        <v>125.99</v>
      </c>
      <c r="L1117" s="11">
        <v>8.99</v>
      </c>
      <c r="M1117" s="9" t="s">
        <v>917</v>
      </c>
      <c r="N1117" s="6" t="s">
        <v>703</v>
      </c>
      <c r="O1117" s="6" t="s">
        <v>704</v>
      </c>
      <c r="P1117" s="9" t="s">
        <v>60</v>
      </c>
      <c r="Q1117" s="9" t="s">
        <v>42</v>
      </c>
      <c r="R1117" s="9" t="s">
        <v>43</v>
      </c>
      <c r="S1117" s="7" t="s">
        <v>924</v>
      </c>
      <c r="T1117" s="9" t="s">
        <v>39</v>
      </c>
      <c r="U1117" s="7">
        <v>0.59</v>
      </c>
      <c r="V1117" s="12">
        <f>C1117+1</f>
        <v>40729</v>
      </c>
      <c r="W1117">
        <f>IF(D1117=' Pivot Tables'!$A$4,1,0)</f>
        <v>0</v>
      </c>
      <c r="X1117">
        <f>IF(AND(LEFT(D1117,4)+1=LEFT(' Pivot Tables'!$A$4,4)+0,RIGHT(LEFT(D1117,7),2)=RIGHT(LEFT(' Pivot Tables'!$A$4,7),2)),1,0)</f>
        <v>0</v>
      </c>
      <c r="Y1117" s="6">
        <f>1/COUNTIF(Таблица1[Order ID],Таблица1[[#This Row],[Order ID]])</f>
        <v>1</v>
      </c>
      <c r="Z1117" s="9">
        <f>1/COUNTIFS(Таблица1[Customer Name],Таблица1[[#This Row],[Customer Name]],Таблица1[Order-Year-Month],Таблица1[[#This Row],[Order-Year-Month]])</f>
        <v>1</v>
      </c>
    </row>
    <row r="1118" spans="1:26" x14ac:dyDescent="0.2">
      <c r="A1118" s="6">
        <v>2411</v>
      </c>
      <c r="B1118" s="7">
        <v>17507</v>
      </c>
      <c r="C1118" s="8">
        <f>DATE(2012,12,31)-202</f>
        <v>41072</v>
      </c>
      <c r="D1118" s="8" t="str">
        <f t="shared" si="22"/>
        <v>2012-06 (июнь 2012)</v>
      </c>
      <c r="E1118" s="9" t="s">
        <v>63</v>
      </c>
      <c r="F1118" s="7">
        <v>27</v>
      </c>
      <c r="G1118" s="7">
        <v>399.76</v>
      </c>
      <c r="H1118" s="7">
        <v>0.04</v>
      </c>
      <c r="I1118" s="9" t="s">
        <v>22</v>
      </c>
      <c r="J1118" s="10">
        <v>48.13</v>
      </c>
      <c r="K1118" s="11">
        <v>14.56</v>
      </c>
      <c r="L1118" s="11">
        <v>3.5</v>
      </c>
      <c r="M1118" s="9" t="s">
        <v>871</v>
      </c>
      <c r="N1118" s="6" t="s">
        <v>703</v>
      </c>
      <c r="O1118" s="6" t="s">
        <v>704</v>
      </c>
      <c r="P1118" s="9" t="s">
        <v>41</v>
      </c>
      <c r="Q1118" s="9" t="s">
        <v>26</v>
      </c>
      <c r="R1118" s="9" t="s">
        <v>34</v>
      </c>
      <c r="S1118" s="7" t="s">
        <v>925</v>
      </c>
      <c r="T1118" s="9" t="s">
        <v>39</v>
      </c>
      <c r="U1118" s="7">
        <v>0.57999999999999996</v>
      </c>
      <c r="V1118" s="12">
        <f>C1118+0</f>
        <v>41072</v>
      </c>
      <c r="W1118">
        <f>IF(D1118=' Pivot Tables'!$A$4,1,0)</f>
        <v>0</v>
      </c>
      <c r="X1118">
        <f>IF(AND(LEFT(D1118,4)+1=LEFT(' Pivot Tables'!$A$4,4)+0,RIGHT(LEFT(D1118,7),2)=RIGHT(LEFT(' Pivot Tables'!$A$4,7),2)),1,0)</f>
        <v>0</v>
      </c>
      <c r="Y1118" s="6">
        <f>1/COUNTIF(Таблица1[Order ID],Таблица1[[#This Row],[Order ID]])</f>
        <v>0.5</v>
      </c>
      <c r="Z1118" s="9">
        <f>1/COUNTIFS(Таблица1[Customer Name],Таблица1[[#This Row],[Customer Name]],Таблица1[Order-Year-Month],Таблица1[[#This Row],[Order-Year-Month]])</f>
        <v>0.5</v>
      </c>
    </row>
    <row r="1119" spans="1:26" x14ac:dyDescent="0.2">
      <c r="A1119" s="6">
        <v>2412</v>
      </c>
      <c r="B1119" s="7">
        <v>17507</v>
      </c>
      <c r="C1119" s="8">
        <f>DATE(2012,12,31)-202</f>
        <v>41072</v>
      </c>
      <c r="D1119" s="8" t="str">
        <f t="shared" si="22"/>
        <v>2012-06 (июнь 2012)</v>
      </c>
      <c r="E1119" s="9" t="s">
        <v>63</v>
      </c>
      <c r="F1119" s="7">
        <v>22</v>
      </c>
      <c r="G1119" s="7">
        <v>5393.27</v>
      </c>
      <c r="H1119" s="7">
        <v>0.1</v>
      </c>
      <c r="I1119" s="9" t="s">
        <v>31</v>
      </c>
      <c r="J1119" s="10">
        <v>353.72</v>
      </c>
      <c r="K1119" s="11">
        <v>270.97000000000003</v>
      </c>
      <c r="L1119" s="11">
        <v>28.06</v>
      </c>
      <c r="M1119" s="9" t="s">
        <v>871</v>
      </c>
      <c r="N1119" s="6" t="s">
        <v>703</v>
      </c>
      <c r="O1119" s="6" t="s">
        <v>704</v>
      </c>
      <c r="P1119" s="9" t="s">
        <v>41</v>
      </c>
      <c r="Q1119" s="9" t="s">
        <v>42</v>
      </c>
      <c r="R1119" s="9" t="s">
        <v>210</v>
      </c>
      <c r="S1119" s="7" t="s">
        <v>364</v>
      </c>
      <c r="T1119" s="9" t="s">
        <v>36</v>
      </c>
      <c r="U1119" s="7">
        <v>0.56000000000000005</v>
      </c>
      <c r="V1119" s="12">
        <f>C1119+2</f>
        <v>41074</v>
      </c>
      <c r="W1119">
        <f>IF(D1119=' Pivot Tables'!$A$4,1,0)</f>
        <v>0</v>
      </c>
      <c r="X1119">
        <f>IF(AND(LEFT(D1119,4)+1=LEFT(' Pivot Tables'!$A$4,4)+0,RIGHT(LEFT(D1119,7),2)=RIGHT(LEFT(' Pivot Tables'!$A$4,7),2)),1,0)</f>
        <v>0</v>
      </c>
      <c r="Y1119" s="6">
        <f>1/COUNTIF(Таблица1[Order ID],Таблица1[[#This Row],[Order ID]])</f>
        <v>0.5</v>
      </c>
      <c r="Z1119" s="9">
        <f>1/COUNTIFS(Таблица1[Customer Name],Таблица1[[#This Row],[Customer Name]],Таблица1[Order-Year-Month],Таблица1[[#This Row],[Order-Year-Month]])</f>
        <v>0.5</v>
      </c>
    </row>
    <row r="1120" spans="1:26" x14ac:dyDescent="0.2">
      <c r="A1120" s="6">
        <v>2442</v>
      </c>
      <c r="B1120" s="7">
        <v>17702</v>
      </c>
      <c r="C1120" s="8">
        <f>DATE(2012,12,31)-262</f>
        <v>41012</v>
      </c>
      <c r="D1120" s="8" t="str">
        <f t="shared" si="22"/>
        <v>2012-04 (апрель 2012)</v>
      </c>
      <c r="E1120" s="9" t="s">
        <v>30</v>
      </c>
      <c r="F1120" s="7">
        <v>9</v>
      </c>
      <c r="G1120" s="7">
        <v>264.63</v>
      </c>
      <c r="H1120" s="7">
        <v>0.02</v>
      </c>
      <c r="I1120" s="9" t="s">
        <v>56</v>
      </c>
      <c r="J1120" s="10">
        <v>-66.78</v>
      </c>
      <c r="K1120" s="11">
        <v>27.48</v>
      </c>
      <c r="L1120" s="11">
        <v>4</v>
      </c>
      <c r="M1120" s="9" t="s">
        <v>910</v>
      </c>
      <c r="N1120" s="6" t="s">
        <v>703</v>
      </c>
      <c r="O1120" s="6" t="s">
        <v>704</v>
      </c>
      <c r="P1120" s="9" t="s">
        <v>60</v>
      </c>
      <c r="Q1120" s="9" t="s">
        <v>42</v>
      </c>
      <c r="R1120" s="9" t="s">
        <v>70</v>
      </c>
      <c r="S1120" s="7" t="s">
        <v>762</v>
      </c>
      <c r="T1120" s="9" t="s">
        <v>39</v>
      </c>
      <c r="U1120" s="7">
        <v>0.75</v>
      </c>
      <c r="V1120" s="12">
        <f>C1120+0</f>
        <v>41012</v>
      </c>
      <c r="W1120">
        <f>IF(D1120=' Pivot Tables'!$A$4,1,0)</f>
        <v>0</v>
      </c>
      <c r="X1120">
        <f>IF(AND(LEFT(D1120,4)+1=LEFT(' Pivot Tables'!$A$4,4)+0,RIGHT(LEFT(D1120,7),2)=RIGHT(LEFT(' Pivot Tables'!$A$4,7),2)),1,0)</f>
        <v>0</v>
      </c>
      <c r="Y1120" s="6">
        <f>1/COUNTIF(Таблица1[Order ID],Таблица1[[#This Row],[Order ID]])</f>
        <v>0.5</v>
      </c>
      <c r="Z1120" s="9">
        <f>1/COUNTIFS(Таблица1[Customer Name],Таблица1[[#This Row],[Customer Name]],Таблица1[Order-Year-Month],Таблица1[[#This Row],[Order-Year-Month]])</f>
        <v>0.5</v>
      </c>
    </row>
    <row r="1121" spans="1:26" x14ac:dyDescent="0.2">
      <c r="A1121" s="6">
        <v>2453</v>
      </c>
      <c r="B1121" s="7">
        <v>17831</v>
      </c>
      <c r="C1121" s="8">
        <f>DATE(2012,12,31)-67</f>
        <v>41207</v>
      </c>
      <c r="D1121" s="8" t="str">
        <f t="shared" si="22"/>
        <v>2012-10 (октябрь 2012)</v>
      </c>
      <c r="E1121" s="9" t="s">
        <v>78</v>
      </c>
      <c r="F1121" s="7">
        <v>34</v>
      </c>
      <c r="G1121" s="7">
        <v>239.3</v>
      </c>
      <c r="H1121" s="7">
        <v>0.06</v>
      </c>
      <c r="I1121" s="9" t="s">
        <v>22</v>
      </c>
      <c r="J1121" s="10">
        <v>41.31</v>
      </c>
      <c r="K1121" s="11">
        <v>6.98</v>
      </c>
      <c r="L1121" s="11">
        <v>2.83</v>
      </c>
      <c r="M1121" s="9" t="s">
        <v>892</v>
      </c>
      <c r="N1121" s="6" t="s">
        <v>703</v>
      </c>
      <c r="O1121" s="6" t="s">
        <v>704</v>
      </c>
      <c r="P1121" s="9" t="s">
        <v>41</v>
      </c>
      <c r="Q1121" s="9" t="s">
        <v>49</v>
      </c>
      <c r="R1121" s="9" t="s">
        <v>50</v>
      </c>
      <c r="S1121" s="7" t="s">
        <v>926</v>
      </c>
      <c r="T1121" s="9" t="s">
        <v>52</v>
      </c>
      <c r="U1121" s="7">
        <v>0.37</v>
      </c>
      <c r="V1121" s="12">
        <f>C1121+1</f>
        <v>41208</v>
      </c>
      <c r="W1121">
        <f>IF(D1121=' Pivot Tables'!$A$4,1,0)</f>
        <v>0</v>
      </c>
      <c r="X1121">
        <f>IF(AND(LEFT(D1121,4)+1=LEFT(' Pivot Tables'!$A$4,4)+0,RIGHT(LEFT(D1121,7),2)=RIGHT(LEFT(' Pivot Tables'!$A$4,7),2)),1,0)</f>
        <v>0</v>
      </c>
      <c r="Y1121" s="6">
        <f>1/COUNTIF(Таблица1[Order ID],Таблица1[[#This Row],[Order ID]])</f>
        <v>0.5</v>
      </c>
      <c r="Z1121" s="9">
        <f>1/COUNTIFS(Таблица1[Customer Name],Таблица1[[#This Row],[Customer Name]],Таблица1[Order-Year-Month],Таблица1[[#This Row],[Order-Year-Month]])</f>
        <v>0.5</v>
      </c>
    </row>
    <row r="1122" spans="1:26" x14ac:dyDescent="0.2">
      <c r="A1122" s="6">
        <v>2454</v>
      </c>
      <c r="B1122" s="7">
        <v>17831</v>
      </c>
      <c r="C1122" s="8">
        <f>DATE(2012,12,31)-67</f>
        <v>41207</v>
      </c>
      <c r="D1122" s="8" t="str">
        <f t="shared" si="22"/>
        <v>2012-10 (октябрь 2012)</v>
      </c>
      <c r="E1122" s="9" t="s">
        <v>78</v>
      </c>
      <c r="F1122" s="7">
        <v>38</v>
      </c>
      <c r="G1122" s="7">
        <v>260.41000000000003</v>
      </c>
      <c r="H1122" s="7">
        <v>0</v>
      </c>
      <c r="I1122" s="9" t="s">
        <v>56</v>
      </c>
      <c r="J1122" s="10">
        <v>-45.75</v>
      </c>
      <c r="K1122" s="11">
        <v>5.98</v>
      </c>
      <c r="L1122" s="11">
        <v>5.35</v>
      </c>
      <c r="M1122" s="9" t="s">
        <v>892</v>
      </c>
      <c r="N1122" s="6" t="s">
        <v>703</v>
      </c>
      <c r="O1122" s="6" t="s">
        <v>704</v>
      </c>
      <c r="P1122" s="9" t="s">
        <v>41</v>
      </c>
      <c r="Q1122" s="9" t="s">
        <v>26</v>
      </c>
      <c r="R1122" s="9" t="s">
        <v>61</v>
      </c>
      <c r="S1122" s="7" t="s">
        <v>882</v>
      </c>
      <c r="T1122" s="9" t="s">
        <v>39</v>
      </c>
      <c r="U1122" s="7">
        <v>0.4</v>
      </c>
      <c r="V1122" s="12">
        <f>C1122+3</f>
        <v>41210</v>
      </c>
      <c r="W1122">
        <f>IF(D1122=' Pivot Tables'!$A$4,1,0)</f>
        <v>0</v>
      </c>
      <c r="X1122">
        <f>IF(AND(LEFT(D1122,4)+1=LEFT(' Pivot Tables'!$A$4,4)+0,RIGHT(LEFT(D1122,7),2)=RIGHT(LEFT(' Pivot Tables'!$A$4,7),2)),1,0)</f>
        <v>0</v>
      </c>
      <c r="Y1122" s="6">
        <f>1/COUNTIF(Таблица1[Order ID],Таблица1[[#This Row],[Order ID]])</f>
        <v>0.5</v>
      </c>
      <c r="Z1122" s="9">
        <f>1/COUNTIFS(Таблица1[Customer Name],Таблица1[[#This Row],[Customer Name]],Таблица1[Order-Year-Month],Таблица1[[#This Row],[Order-Year-Month]])</f>
        <v>0.5</v>
      </c>
    </row>
    <row r="1123" spans="1:26" x14ac:dyDescent="0.2">
      <c r="A1123" s="6">
        <v>2498</v>
      </c>
      <c r="B1123" s="7">
        <v>18179</v>
      </c>
      <c r="C1123" s="8">
        <f>DATE(2012,12,31)-1248</f>
        <v>40026</v>
      </c>
      <c r="D1123" s="8" t="str">
        <f t="shared" si="22"/>
        <v>2009-08 (август 2009)</v>
      </c>
      <c r="E1123" s="9" t="s">
        <v>45</v>
      </c>
      <c r="F1123" s="7">
        <v>50</v>
      </c>
      <c r="G1123" s="7">
        <v>3075.83</v>
      </c>
      <c r="H1123" s="7">
        <v>0.03</v>
      </c>
      <c r="I1123" s="9" t="s">
        <v>22</v>
      </c>
      <c r="J1123" s="10">
        <v>1207.9100000000001</v>
      </c>
      <c r="K1123" s="11">
        <v>60.98</v>
      </c>
      <c r="L1123" s="11">
        <v>1.99</v>
      </c>
      <c r="M1123" s="9" t="s">
        <v>880</v>
      </c>
      <c r="N1123" s="6" t="s">
        <v>703</v>
      </c>
      <c r="O1123" s="6" t="s">
        <v>704</v>
      </c>
      <c r="P1123" s="9" t="s">
        <v>41</v>
      </c>
      <c r="Q1123" s="9" t="s">
        <v>42</v>
      </c>
      <c r="R1123" s="9" t="s">
        <v>70</v>
      </c>
      <c r="S1123" s="7" t="s">
        <v>395</v>
      </c>
      <c r="T1123" s="9" t="s">
        <v>52</v>
      </c>
      <c r="U1123" s="7">
        <v>0.5</v>
      </c>
      <c r="V1123" s="12">
        <f>C1123+0</f>
        <v>40026</v>
      </c>
      <c r="W1123">
        <f>IF(D1123=' Pivot Tables'!$A$4,1,0)</f>
        <v>0</v>
      </c>
      <c r="X1123">
        <f>IF(AND(LEFT(D1123,4)+1=LEFT(' Pivot Tables'!$A$4,4)+0,RIGHT(LEFT(D1123,7),2)=RIGHT(LEFT(' Pivot Tables'!$A$4,7),2)),1,0)</f>
        <v>0</v>
      </c>
      <c r="Y1123" s="6">
        <f>1/COUNTIF(Таблица1[Order ID],Таблица1[[#This Row],[Order ID]])</f>
        <v>0.33333333333333331</v>
      </c>
      <c r="Z1123" s="9">
        <f>1/COUNTIFS(Таблица1[Customer Name],Таблица1[[#This Row],[Customer Name]],Таблица1[Order-Year-Month],Таблица1[[#This Row],[Order-Year-Month]])</f>
        <v>0.16666666666666666</v>
      </c>
    </row>
    <row r="1124" spans="1:26" x14ac:dyDescent="0.2">
      <c r="A1124" s="6">
        <v>2499</v>
      </c>
      <c r="B1124" s="7">
        <v>18179</v>
      </c>
      <c r="C1124" s="8">
        <f>DATE(2012,12,31)-1248</f>
        <v>40026</v>
      </c>
      <c r="D1124" s="8" t="str">
        <f t="shared" si="22"/>
        <v>2009-08 (август 2009)</v>
      </c>
      <c r="E1124" s="9" t="s">
        <v>45</v>
      </c>
      <c r="F1124" s="7">
        <v>24</v>
      </c>
      <c r="G1124" s="7">
        <v>73.37</v>
      </c>
      <c r="H1124" s="7">
        <v>0.04</v>
      </c>
      <c r="I1124" s="9" t="s">
        <v>22</v>
      </c>
      <c r="J1124" s="10">
        <v>16.100000000000001</v>
      </c>
      <c r="K1124" s="11">
        <v>3.08</v>
      </c>
      <c r="L1124" s="11">
        <v>0.99</v>
      </c>
      <c r="M1124" s="9" t="s">
        <v>880</v>
      </c>
      <c r="N1124" s="6" t="s">
        <v>703</v>
      </c>
      <c r="O1124" s="6" t="s">
        <v>704</v>
      </c>
      <c r="P1124" s="9" t="s">
        <v>41</v>
      </c>
      <c r="Q1124" s="9" t="s">
        <v>26</v>
      </c>
      <c r="R1124" s="9" t="s">
        <v>88</v>
      </c>
      <c r="S1124" s="7" t="s">
        <v>368</v>
      </c>
      <c r="T1124" s="9" t="s">
        <v>39</v>
      </c>
      <c r="U1124" s="7">
        <v>0.37</v>
      </c>
      <c r="V1124" s="12">
        <f>C1124+1</f>
        <v>40027</v>
      </c>
      <c r="W1124">
        <f>IF(D1124=' Pivot Tables'!$A$4,1,0)</f>
        <v>0</v>
      </c>
      <c r="X1124">
        <f>IF(AND(LEFT(D1124,4)+1=LEFT(' Pivot Tables'!$A$4,4)+0,RIGHT(LEFT(D1124,7),2)=RIGHT(LEFT(' Pivot Tables'!$A$4,7),2)),1,0)</f>
        <v>0</v>
      </c>
      <c r="Y1124" s="6">
        <f>1/COUNTIF(Таблица1[Order ID],Таблица1[[#This Row],[Order ID]])</f>
        <v>0.33333333333333331</v>
      </c>
      <c r="Z1124" s="9">
        <f>1/COUNTIFS(Таблица1[Customer Name],Таблица1[[#This Row],[Customer Name]],Таблица1[Order-Year-Month],Таблица1[[#This Row],[Order-Year-Month]])</f>
        <v>0.16666666666666666</v>
      </c>
    </row>
    <row r="1125" spans="1:26" x14ac:dyDescent="0.2">
      <c r="A1125" s="6">
        <v>2500</v>
      </c>
      <c r="B1125" s="7">
        <v>18179</v>
      </c>
      <c r="C1125" s="8">
        <f>DATE(2012,12,31)-1248</f>
        <v>40026</v>
      </c>
      <c r="D1125" s="8" t="str">
        <f t="shared" si="22"/>
        <v>2009-08 (август 2009)</v>
      </c>
      <c r="E1125" s="9" t="s">
        <v>45</v>
      </c>
      <c r="F1125" s="7">
        <v>50</v>
      </c>
      <c r="G1125" s="7">
        <v>527.6</v>
      </c>
      <c r="H1125" s="7">
        <v>0</v>
      </c>
      <c r="I1125" s="9" t="s">
        <v>22</v>
      </c>
      <c r="J1125" s="10">
        <v>221.59</v>
      </c>
      <c r="K1125" s="11">
        <v>10.31</v>
      </c>
      <c r="L1125" s="11">
        <v>1.79</v>
      </c>
      <c r="M1125" s="9" t="s">
        <v>880</v>
      </c>
      <c r="N1125" s="6" t="s">
        <v>703</v>
      </c>
      <c r="O1125" s="6" t="s">
        <v>704</v>
      </c>
      <c r="P1125" s="9" t="s">
        <v>41</v>
      </c>
      <c r="Q1125" s="9" t="s">
        <v>26</v>
      </c>
      <c r="R1125" s="9" t="s">
        <v>61</v>
      </c>
      <c r="S1125" s="7" t="s">
        <v>282</v>
      </c>
      <c r="T1125" s="9" t="s">
        <v>68</v>
      </c>
      <c r="U1125" s="7">
        <v>0.38</v>
      </c>
      <c r="V1125" s="12">
        <f>C1125+2</f>
        <v>40028</v>
      </c>
      <c r="W1125">
        <f>IF(D1125=' Pivot Tables'!$A$4,1,0)</f>
        <v>0</v>
      </c>
      <c r="X1125">
        <f>IF(AND(LEFT(D1125,4)+1=LEFT(' Pivot Tables'!$A$4,4)+0,RIGHT(LEFT(D1125,7),2)=RIGHT(LEFT(' Pivot Tables'!$A$4,7),2)),1,0)</f>
        <v>0</v>
      </c>
      <c r="Y1125" s="6">
        <f>1/COUNTIF(Таблица1[Order ID],Таблица1[[#This Row],[Order ID]])</f>
        <v>0.33333333333333331</v>
      </c>
      <c r="Z1125" s="9">
        <f>1/COUNTIFS(Таблица1[Customer Name],Таблица1[[#This Row],[Customer Name]],Таблица1[Order-Year-Month],Таблица1[[#This Row],[Order-Year-Month]])</f>
        <v>0.16666666666666666</v>
      </c>
    </row>
    <row r="1126" spans="1:26" x14ac:dyDescent="0.2">
      <c r="A1126" s="6">
        <v>2629</v>
      </c>
      <c r="B1126" s="7">
        <v>19044</v>
      </c>
      <c r="C1126" s="8">
        <f>DATE(2012,12,31)-264</f>
        <v>41010</v>
      </c>
      <c r="D1126" s="8" t="str">
        <f t="shared" si="22"/>
        <v>2012-04 (апрель 2012)</v>
      </c>
      <c r="E1126" s="9" t="s">
        <v>21</v>
      </c>
      <c r="F1126" s="7">
        <v>32</v>
      </c>
      <c r="G1126" s="7">
        <v>4800.4399999999996</v>
      </c>
      <c r="H1126" s="7">
        <v>0.08</v>
      </c>
      <c r="I1126" s="9" t="s">
        <v>22</v>
      </c>
      <c r="J1126" s="10">
        <v>1912.92</v>
      </c>
      <c r="K1126" s="11">
        <v>150.97999999999999</v>
      </c>
      <c r="L1126" s="11">
        <v>13.99</v>
      </c>
      <c r="M1126" s="9" t="s">
        <v>886</v>
      </c>
      <c r="N1126" s="6" t="s">
        <v>703</v>
      </c>
      <c r="O1126" s="6" t="s">
        <v>704</v>
      </c>
      <c r="P1126" s="9" t="s">
        <v>41</v>
      </c>
      <c r="Q1126" s="9" t="s">
        <v>42</v>
      </c>
      <c r="R1126" s="9" t="s">
        <v>210</v>
      </c>
      <c r="S1126" s="7" t="s">
        <v>341</v>
      </c>
      <c r="T1126" s="9" t="s">
        <v>48</v>
      </c>
      <c r="U1126" s="7">
        <v>0.38</v>
      </c>
      <c r="V1126" s="12">
        <f>C1126+2</f>
        <v>41012</v>
      </c>
      <c r="W1126">
        <f>IF(D1126=' Pivot Tables'!$A$4,1,0)</f>
        <v>0</v>
      </c>
      <c r="X1126">
        <f>IF(AND(LEFT(D1126,4)+1=LEFT(' Pivot Tables'!$A$4,4)+0,RIGHT(LEFT(D1126,7),2)=RIGHT(LEFT(' Pivot Tables'!$A$4,7),2)),1,0)</f>
        <v>0</v>
      </c>
      <c r="Y1126" s="6">
        <f>1/COUNTIF(Таблица1[Order ID],Таблица1[[#This Row],[Order ID]])</f>
        <v>0.5</v>
      </c>
      <c r="Z1126" s="9">
        <f>1/COUNTIFS(Таблица1[Customer Name],Таблица1[[#This Row],[Customer Name]],Таблица1[Order-Year-Month],Таблица1[[#This Row],[Order-Year-Month]])</f>
        <v>0.5</v>
      </c>
    </row>
    <row r="1127" spans="1:26" x14ac:dyDescent="0.2">
      <c r="A1127" s="6">
        <v>2630</v>
      </c>
      <c r="B1127" s="7">
        <v>19044</v>
      </c>
      <c r="C1127" s="8">
        <f>DATE(2012,12,31)-264</f>
        <v>41010</v>
      </c>
      <c r="D1127" s="8" t="str">
        <f t="shared" si="22"/>
        <v>2012-04 (апрель 2012)</v>
      </c>
      <c r="E1127" s="9" t="s">
        <v>21</v>
      </c>
      <c r="F1127" s="7">
        <v>29</v>
      </c>
      <c r="G1127" s="7">
        <v>271.33</v>
      </c>
      <c r="H1127" s="7">
        <v>7.0000000000000007E-2</v>
      </c>
      <c r="I1127" s="9" t="s">
        <v>22</v>
      </c>
      <c r="J1127" s="10">
        <v>-191.09</v>
      </c>
      <c r="K1127" s="11">
        <v>9.7100000000000009</v>
      </c>
      <c r="L1127" s="11">
        <v>9.4499999999999993</v>
      </c>
      <c r="M1127" s="9" t="s">
        <v>886</v>
      </c>
      <c r="N1127" s="6" t="s">
        <v>703</v>
      </c>
      <c r="O1127" s="6" t="s">
        <v>704</v>
      </c>
      <c r="P1127" s="9" t="s">
        <v>41</v>
      </c>
      <c r="Q1127" s="9" t="s">
        <v>26</v>
      </c>
      <c r="R1127" s="9" t="s">
        <v>27</v>
      </c>
      <c r="S1127" s="7" t="s">
        <v>927</v>
      </c>
      <c r="T1127" s="9" t="s">
        <v>39</v>
      </c>
      <c r="U1127" s="7">
        <v>0.6</v>
      </c>
      <c r="V1127" s="12">
        <f>C1127+7</f>
        <v>41017</v>
      </c>
      <c r="W1127">
        <f>IF(D1127=' Pivot Tables'!$A$4,1,0)</f>
        <v>0</v>
      </c>
      <c r="X1127">
        <f>IF(AND(LEFT(D1127,4)+1=LEFT(' Pivot Tables'!$A$4,4)+0,RIGHT(LEFT(D1127,7),2)=RIGHT(LEFT(' Pivot Tables'!$A$4,7),2)),1,0)</f>
        <v>0</v>
      </c>
      <c r="Y1127" s="6">
        <f>1/COUNTIF(Таблица1[Order ID],Таблица1[[#This Row],[Order ID]])</f>
        <v>0.5</v>
      </c>
      <c r="Z1127" s="9">
        <f>1/COUNTIFS(Таблица1[Customer Name],Таблица1[[#This Row],[Customer Name]],Таблица1[Order-Year-Month],Таблица1[[#This Row],[Order-Year-Month]])</f>
        <v>0.5</v>
      </c>
    </row>
    <row r="1128" spans="1:26" x14ac:dyDescent="0.2">
      <c r="A1128" s="6">
        <v>2690</v>
      </c>
      <c r="B1128" s="7">
        <v>19462</v>
      </c>
      <c r="C1128" s="8">
        <f>DATE(2012,12,31)-468</f>
        <v>40806</v>
      </c>
      <c r="D1128" s="8" t="str">
        <f t="shared" si="22"/>
        <v>2011-09 (сентябрь 2011)</v>
      </c>
      <c r="E1128" s="9" t="s">
        <v>63</v>
      </c>
      <c r="F1128" s="7">
        <v>2</v>
      </c>
      <c r="G1128" s="7">
        <v>206.68</v>
      </c>
      <c r="H1128" s="7">
        <v>0</v>
      </c>
      <c r="I1128" s="9" t="s">
        <v>22</v>
      </c>
      <c r="J1128" s="10">
        <v>-156.47</v>
      </c>
      <c r="K1128" s="11">
        <v>80.98</v>
      </c>
      <c r="L1128" s="11">
        <v>35</v>
      </c>
      <c r="M1128" s="9" t="s">
        <v>910</v>
      </c>
      <c r="N1128" s="6" t="s">
        <v>703</v>
      </c>
      <c r="O1128" s="6" t="s">
        <v>704</v>
      </c>
      <c r="P1128" s="9" t="s">
        <v>60</v>
      </c>
      <c r="Q1128" s="9" t="s">
        <v>26</v>
      </c>
      <c r="R1128" s="9" t="s">
        <v>27</v>
      </c>
      <c r="S1128" s="7" t="s">
        <v>171</v>
      </c>
      <c r="T1128" s="9" t="s">
        <v>29</v>
      </c>
      <c r="U1128" s="7">
        <v>0.81</v>
      </c>
      <c r="V1128" s="12">
        <f>C1128+1</f>
        <v>40807</v>
      </c>
      <c r="W1128">
        <f>IF(D1128=' Pivot Tables'!$A$4,1,0)</f>
        <v>0</v>
      </c>
      <c r="X1128">
        <f>IF(AND(LEFT(D1128,4)+1=LEFT(' Pivot Tables'!$A$4,4)+0,RIGHT(LEFT(D1128,7),2)=RIGHT(LEFT(' Pivot Tables'!$A$4,7),2)),1,0)</f>
        <v>0</v>
      </c>
      <c r="Y1128" s="6">
        <f>1/COUNTIF(Таблица1[Order ID],Таблица1[[#This Row],[Order ID]])</f>
        <v>1</v>
      </c>
      <c r="Z1128" s="9">
        <f>1/COUNTIFS(Таблица1[Customer Name],Таблица1[[#This Row],[Customer Name]],Таблица1[Order-Year-Month],Таблица1[[#This Row],[Order-Year-Month]])</f>
        <v>1</v>
      </c>
    </row>
    <row r="1129" spans="1:26" x14ac:dyDescent="0.2">
      <c r="A1129" s="6">
        <v>2758</v>
      </c>
      <c r="B1129" s="7">
        <v>19936</v>
      </c>
      <c r="C1129" s="8">
        <f>DATE(2012,12,31)-48</f>
        <v>41226</v>
      </c>
      <c r="D1129" s="8" t="str">
        <f t="shared" si="22"/>
        <v>2012-11 (ноябрь 2012)</v>
      </c>
      <c r="E1129" s="9" t="s">
        <v>78</v>
      </c>
      <c r="F1129" s="7">
        <v>19</v>
      </c>
      <c r="G1129" s="7">
        <v>36.75</v>
      </c>
      <c r="H1129" s="7">
        <v>0.06</v>
      </c>
      <c r="I1129" s="9" t="s">
        <v>22</v>
      </c>
      <c r="J1129" s="10">
        <v>-9.8209999999999997</v>
      </c>
      <c r="K1129" s="11">
        <v>1.88</v>
      </c>
      <c r="L1129" s="11">
        <v>1.49</v>
      </c>
      <c r="M1129" s="9" t="s">
        <v>866</v>
      </c>
      <c r="N1129" s="6" t="s">
        <v>703</v>
      </c>
      <c r="O1129" s="6" t="s">
        <v>704</v>
      </c>
      <c r="P1129" s="9" t="s">
        <v>60</v>
      </c>
      <c r="Q1129" s="9" t="s">
        <v>26</v>
      </c>
      <c r="R1129" s="9" t="s">
        <v>37</v>
      </c>
      <c r="S1129" s="7" t="s">
        <v>172</v>
      </c>
      <c r="T1129" s="9" t="s">
        <v>39</v>
      </c>
      <c r="U1129" s="7">
        <v>0.37</v>
      </c>
      <c r="V1129" s="12">
        <f>C1129+1</f>
        <v>41227</v>
      </c>
      <c r="W1129">
        <f>IF(D1129=' Pivot Tables'!$A$4,1,0)</f>
        <v>0</v>
      </c>
      <c r="X1129">
        <f>IF(AND(LEFT(D1129,4)+1=LEFT(' Pivot Tables'!$A$4,4)+0,RIGHT(LEFT(D1129,7),2)=RIGHT(LEFT(' Pivot Tables'!$A$4,7),2)),1,0)</f>
        <v>0</v>
      </c>
      <c r="Y1129" s="6">
        <f>1/COUNTIF(Таблица1[Order ID],Таблица1[[#This Row],[Order ID]])</f>
        <v>0.5</v>
      </c>
      <c r="Z1129" s="9">
        <f>1/COUNTIFS(Таблица1[Customer Name],Таблица1[[#This Row],[Customer Name]],Таблица1[Order-Year-Month],Таблица1[[#This Row],[Order-Year-Month]])</f>
        <v>0.5</v>
      </c>
    </row>
    <row r="1130" spans="1:26" x14ac:dyDescent="0.2">
      <c r="A1130" s="6">
        <v>2759</v>
      </c>
      <c r="B1130" s="7">
        <v>19936</v>
      </c>
      <c r="C1130" s="8">
        <f>DATE(2012,12,31)-48</f>
        <v>41226</v>
      </c>
      <c r="D1130" s="8" t="str">
        <f t="shared" si="22"/>
        <v>2012-11 (ноябрь 2012)</v>
      </c>
      <c r="E1130" s="9" t="s">
        <v>78</v>
      </c>
      <c r="F1130" s="7">
        <v>41</v>
      </c>
      <c r="G1130" s="7">
        <v>1115.2</v>
      </c>
      <c r="H1130" s="7">
        <v>0.09</v>
      </c>
      <c r="I1130" s="9" t="s">
        <v>22</v>
      </c>
      <c r="J1130" s="10">
        <v>301.31</v>
      </c>
      <c r="K1130" s="11">
        <v>29.89</v>
      </c>
      <c r="L1130" s="11">
        <v>1.99</v>
      </c>
      <c r="M1130" s="9" t="s">
        <v>866</v>
      </c>
      <c r="N1130" s="6" t="s">
        <v>703</v>
      </c>
      <c r="O1130" s="6" t="s">
        <v>704</v>
      </c>
      <c r="P1130" s="9" t="s">
        <v>60</v>
      </c>
      <c r="Q1130" s="9" t="s">
        <v>42</v>
      </c>
      <c r="R1130" s="9" t="s">
        <v>70</v>
      </c>
      <c r="S1130" s="7" t="s">
        <v>547</v>
      </c>
      <c r="T1130" s="9" t="s">
        <v>52</v>
      </c>
      <c r="U1130" s="7">
        <v>0.5</v>
      </c>
      <c r="V1130" s="12">
        <f>C1130+1</f>
        <v>41227</v>
      </c>
      <c r="W1130">
        <f>IF(D1130=' Pivot Tables'!$A$4,1,0)</f>
        <v>0</v>
      </c>
      <c r="X1130">
        <f>IF(AND(LEFT(D1130,4)+1=LEFT(' Pivot Tables'!$A$4,4)+0,RIGHT(LEFT(D1130,7),2)=RIGHT(LEFT(' Pivot Tables'!$A$4,7),2)),1,0)</f>
        <v>0</v>
      </c>
      <c r="Y1130" s="6">
        <f>1/COUNTIF(Таблица1[Order ID],Таблица1[[#This Row],[Order ID]])</f>
        <v>0.5</v>
      </c>
      <c r="Z1130" s="9">
        <f>1/COUNTIFS(Таблица1[Customer Name],Таблица1[[#This Row],[Customer Name]],Таблица1[Order-Year-Month],Таблица1[[#This Row],[Order-Year-Month]])</f>
        <v>0.5</v>
      </c>
    </row>
    <row r="1131" spans="1:26" x14ac:dyDescent="0.2">
      <c r="A1131" s="6">
        <v>2761</v>
      </c>
      <c r="B1131" s="7">
        <v>19972</v>
      </c>
      <c r="C1131" s="8">
        <f>DATE(2012,12,31)-198</f>
        <v>41076</v>
      </c>
      <c r="D1131" s="8" t="str">
        <f t="shared" si="22"/>
        <v>2012-06 (июнь 2012)</v>
      </c>
      <c r="E1131" s="9" t="s">
        <v>78</v>
      </c>
      <c r="F1131" s="7">
        <v>6</v>
      </c>
      <c r="G1131" s="7">
        <v>97.86</v>
      </c>
      <c r="H1131" s="7">
        <v>0.04</v>
      </c>
      <c r="I1131" s="9" t="s">
        <v>22</v>
      </c>
      <c r="J1131" s="10">
        <v>-21.09</v>
      </c>
      <c r="K1131" s="11">
        <v>14.98</v>
      </c>
      <c r="L1131" s="11">
        <v>8.99</v>
      </c>
      <c r="M1131" s="9" t="s">
        <v>880</v>
      </c>
      <c r="N1131" s="6" t="s">
        <v>703</v>
      </c>
      <c r="O1131" s="6" t="s">
        <v>704</v>
      </c>
      <c r="P1131" s="9" t="s">
        <v>41</v>
      </c>
      <c r="Q1131" s="9" t="s">
        <v>49</v>
      </c>
      <c r="R1131" s="9" t="s">
        <v>50</v>
      </c>
      <c r="S1131" s="7" t="s">
        <v>332</v>
      </c>
      <c r="T1131" s="9" t="s">
        <v>52</v>
      </c>
      <c r="U1131" s="7">
        <v>0.39</v>
      </c>
      <c r="V1131" s="12">
        <f t="shared" ref="V1131:V1136" si="23">C1131+2</f>
        <v>41078</v>
      </c>
      <c r="W1131">
        <f>IF(D1131=' Pivot Tables'!$A$4,1,0)</f>
        <v>0</v>
      </c>
      <c r="X1131">
        <f>IF(AND(LEFT(D1131,4)+1=LEFT(' Pivot Tables'!$A$4,4)+0,RIGHT(LEFT(D1131,7),2)=RIGHT(LEFT(' Pivot Tables'!$A$4,7),2)),1,0)</f>
        <v>0</v>
      </c>
      <c r="Y1131" s="6">
        <f>1/COUNTIF(Таблица1[Order ID],Таблица1[[#This Row],[Order ID]])</f>
        <v>1</v>
      </c>
      <c r="Z1131" s="9">
        <f>1/COUNTIFS(Таблица1[Customer Name],Таблица1[[#This Row],[Customer Name]],Таблица1[Order-Year-Month],Таблица1[[#This Row],[Order-Year-Month]])</f>
        <v>1</v>
      </c>
    </row>
    <row r="1132" spans="1:26" x14ac:dyDescent="0.2">
      <c r="A1132" s="6">
        <v>2777</v>
      </c>
      <c r="B1132" s="7">
        <v>20038</v>
      </c>
      <c r="C1132" s="8">
        <f>DATE(2012,12,31)-1039</f>
        <v>40235</v>
      </c>
      <c r="D1132" s="8" t="str">
        <f t="shared" si="22"/>
        <v>2010-02 (февраль 2010)</v>
      </c>
      <c r="E1132" s="9" t="s">
        <v>21</v>
      </c>
      <c r="F1132" s="7">
        <v>42</v>
      </c>
      <c r="G1132" s="7">
        <v>173.44</v>
      </c>
      <c r="H1132" s="7">
        <v>0.05</v>
      </c>
      <c r="I1132" s="9" t="s">
        <v>22</v>
      </c>
      <c r="J1132" s="10">
        <v>-172.4</v>
      </c>
      <c r="K1132" s="11">
        <v>4.1399999999999997</v>
      </c>
      <c r="L1132" s="11">
        <v>6.6</v>
      </c>
      <c r="M1132" s="9" t="s">
        <v>734</v>
      </c>
      <c r="N1132" s="6" t="s">
        <v>703</v>
      </c>
      <c r="O1132" s="6" t="s">
        <v>704</v>
      </c>
      <c r="P1132" s="9" t="s">
        <v>33</v>
      </c>
      <c r="Q1132" s="9" t="s">
        <v>49</v>
      </c>
      <c r="R1132" s="9" t="s">
        <v>50</v>
      </c>
      <c r="S1132" s="7" t="s">
        <v>524</v>
      </c>
      <c r="T1132" s="9" t="s">
        <v>39</v>
      </c>
      <c r="U1132" s="7">
        <v>0.49</v>
      </c>
      <c r="V1132" s="12">
        <f t="shared" si="23"/>
        <v>40237</v>
      </c>
      <c r="W1132">
        <f>IF(D1132=' Pivot Tables'!$A$4,1,0)</f>
        <v>0</v>
      </c>
      <c r="X1132">
        <f>IF(AND(LEFT(D1132,4)+1=LEFT(' Pivot Tables'!$A$4,4)+0,RIGHT(LEFT(D1132,7),2)=RIGHT(LEFT(' Pivot Tables'!$A$4,7),2)),1,0)</f>
        <v>0</v>
      </c>
      <c r="Y1132" s="6">
        <f>1/COUNTIF(Таблица1[Order ID],Таблица1[[#This Row],[Order ID]])</f>
        <v>1</v>
      </c>
      <c r="Z1132" s="9">
        <f>1/COUNTIFS(Таблица1[Customer Name],Таблица1[[#This Row],[Customer Name]],Таблица1[Order-Year-Month],Таблица1[[#This Row],[Order-Year-Month]])</f>
        <v>1</v>
      </c>
    </row>
    <row r="1133" spans="1:26" x14ac:dyDescent="0.2">
      <c r="A1133" s="6">
        <v>2824</v>
      </c>
      <c r="B1133" s="7">
        <v>20389</v>
      </c>
      <c r="C1133" s="8">
        <f>DATE(2012,12,31)-1238</f>
        <v>40036</v>
      </c>
      <c r="D1133" s="8" t="str">
        <f t="shared" si="22"/>
        <v>2009-08 (август 2009)</v>
      </c>
      <c r="E1133" s="9" t="s">
        <v>30</v>
      </c>
      <c r="F1133" s="7">
        <v>31</v>
      </c>
      <c r="G1133" s="7">
        <v>7477.78</v>
      </c>
      <c r="H1133" s="7">
        <v>0.09</v>
      </c>
      <c r="I1133" s="9" t="s">
        <v>31</v>
      </c>
      <c r="J1133" s="10">
        <v>883.29</v>
      </c>
      <c r="K1133" s="11">
        <v>260.98</v>
      </c>
      <c r="L1133" s="11">
        <v>41.91</v>
      </c>
      <c r="M1133" s="9" t="s">
        <v>880</v>
      </c>
      <c r="N1133" s="6" t="s">
        <v>703</v>
      </c>
      <c r="O1133" s="6" t="s">
        <v>704</v>
      </c>
      <c r="P1133" s="9" t="s">
        <v>41</v>
      </c>
      <c r="Q1133" s="9" t="s">
        <v>49</v>
      </c>
      <c r="R1133" s="9" t="s">
        <v>80</v>
      </c>
      <c r="S1133" s="7" t="s">
        <v>365</v>
      </c>
      <c r="T1133" s="9" t="s">
        <v>82</v>
      </c>
      <c r="U1133" s="7">
        <v>0.59</v>
      </c>
      <c r="V1133" s="12">
        <f t="shared" si="23"/>
        <v>40038</v>
      </c>
      <c r="W1133">
        <f>IF(D1133=' Pivot Tables'!$A$4,1,0)</f>
        <v>0</v>
      </c>
      <c r="X1133">
        <f>IF(AND(LEFT(D1133,4)+1=LEFT(' Pivot Tables'!$A$4,4)+0,RIGHT(LEFT(D1133,7),2)=RIGHT(LEFT(' Pivot Tables'!$A$4,7),2)),1,0)</f>
        <v>0</v>
      </c>
      <c r="Y1133" s="6">
        <f>1/COUNTIF(Таблица1[Order ID],Таблица1[[#This Row],[Order ID]])</f>
        <v>0.33333333333333331</v>
      </c>
      <c r="Z1133" s="9">
        <f>1/COUNTIFS(Таблица1[Customer Name],Таблица1[[#This Row],[Customer Name]],Таблица1[Order-Year-Month],Таблица1[[#This Row],[Order-Year-Month]])</f>
        <v>0.16666666666666666</v>
      </c>
    </row>
    <row r="1134" spans="1:26" x14ac:dyDescent="0.2">
      <c r="A1134" s="6">
        <v>2825</v>
      </c>
      <c r="B1134" s="7">
        <v>20389</v>
      </c>
      <c r="C1134" s="8">
        <f>DATE(2012,12,31)-1238</f>
        <v>40036</v>
      </c>
      <c r="D1134" s="8" t="str">
        <f t="shared" si="22"/>
        <v>2009-08 (август 2009)</v>
      </c>
      <c r="E1134" s="9" t="s">
        <v>30</v>
      </c>
      <c r="F1134" s="7">
        <v>24</v>
      </c>
      <c r="G1134" s="7">
        <v>270.39</v>
      </c>
      <c r="H1134" s="7">
        <v>0.01</v>
      </c>
      <c r="I1134" s="9" t="s">
        <v>22</v>
      </c>
      <c r="J1134" s="10">
        <v>-30.42</v>
      </c>
      <c r="K1134" s="11">
        <v>10.52</v>
      </c>
      <c r="L1134" s="11">
        <v>7.94</v>
      </c>
      <c r="M1134" s="9" t="s">
        <v>880</v>
      </c>
      <c r="N1134" s="6" t="s">
        <v>703</v>
      </c>
      <c r="O1134" s="6" t="s">
        <v>704</v>
      </c>
      <c r="P1134" s="9" t="s">
        <v>41</v>
      </c>
      <c r="Q1134" s="9" t="s">
        <v>49</v>
      </c>
      <c r="R1134" s="9" t="s">
        <v>50</v>
      </c>
      <c r="S1134" s="7" t="s">
        <v>928</v>
      </c>
      <c r="T1134" s="9" t="s">
        <v>52</v>
      </c>
      <c r="U1134" s="7">
        <v>0.52</v>
      </c>
      <c r="V1134" s="12">
        <f t="shared" si="23"/>
        <v>40038</v>
      </c>
      <c r="W1134">
        <f>IF(D1134=' Pivot Tables'!$A$4,1,0)</f>
        <v>0</v>
      </c>
      <c r="X1134">
        <f>IF(AND(LEFT(D1134,4)+1=LEFT(' Pivot Tables'!$A$4,4)+0,RIGHT(LEFT(D1134,7),2)=RIGHT(LEFT(' Pivot Tables'!$A$4,7),2)),1,0)</f>
        <v>0</v>
      </c>
      <c r="Y1134" s="6">
        <f>1/COUNTIF(Таблица1[Order ID],Таблица1[[#This Row],[Order ID]])</f>
        <v>0.33333333333333331</v>
      </c>
      <c r="Z1134" s="9">
        <f>1/COUNTIFS(Таблица1[Customer Name],Таблица1[[#This Row],[Customer Name]],Таблица1[Order-Year-Month],Таблица1[[#This Row],[Order-Year-Month]])</f>
        <v>0.16666666666666666</v>
      </c>
    </row>
    <row r="1135" spans="1:26" x14ac:dyDescent="0.2">
      <c r="A1135" s="6">
        <v>2826</v>
      </c>
      <c r="B1135" s="7">
        <v>20389</v>
      </c>
      <c r="C1135" s="8">
        <f>DATE(2012,12,31)-1238</f>
        <v>40036</v>
      </c>
      <c r="D1135" s="8" t="str">
        <f t="shared" si="22"/>
        <v>2009-08 (август 2009)</v>
      </c>
      <c r="E1135" s="9" t="s">
        <v>30</v>
      </c>
      <c r="F1135" s="7">
        <v>30</v>
      </c>
      <c r="G1135" s="7">
        <v>201.35</v>
      </c>
      <c r="H1135" s="7">
        <v>0.02</v>
      </c>
      <c r="I1135" s="9" t="s">
        <v>56</v>
      </c>
      <c r="J1135" s="10">
        <v>-107.37</v>
      </c>
      <c r="K1135" s="11">
        <v>5.98</v>
      </c>
      <c r="L1135" s="11">
        <v>7.5</v>
      </c>
      <c r="M1135" s="9" t="s">
        <v>880</v>
      </c>
      <c r="N1135" s="6" t="s">
        <v>703</v>
      </c>
      <c r="O1135" s="6" t="s">
        <v>704</v>
      </c>
      <c r="P1135" s="9" t="s">
        <v>41</v>
      </c>
      <c r="Q1135" s="9" t="s">
        <v>26</v>
      </c>
      <c r="R1135" s="9" t="s">
        <v>61</v>
      </c>
      <c r="S1135" s="7" t="s">
        <v>579</v>
      </c>
      <c r="T1135" s="9" t="s">
        <v>39</v>
      </c>
      <c r="U1135" s="7">
        <v>0.4</v>
      </c>
      <c r="V1135" s="12">
        <f t="shared" si="23"/>
        <v>40038</v>
      </c>
      <c r="W1135">
        <f>IF(D1135=' Pivot Tables'!$A$4,1,0)</f>
        <v>0</v>
      </c>
      <c r="X1135">
        <f>IF(AND(LEFT(D1135,4)+1=LEFT(' Pivot Tables'!$A$4,4)+0,RIGHT(LEFT(D1135,7),2)=RIGHT(LEFT(' Pivot Tables'!$A$4,7),2)),1,0)</f>
        <v>0</v>
      </c>
      <c r="Y1135" s="6">
        <f>1/COUNTIF(Таблица1[Order ID],Таблица1[[#This Row],[Order ID]])</f>
        <v>0.33333333333333331</v>
      </c>
      <c r="Z1135" s="9">
        <f>1/COUNTIFS(Таблица1[Customer Name],Таблица1[[#This Row],[Customer Name]],Таблица1[Order-Year-Month],Таблица1[[#This Row],[Order-Year-Month]])</f>
        <v>0.16666666666666666</v>
      </c>
    </row>
    <row r="1136" spans="1:26" x14ac:dyDescent="0.2">
      <c r="A1136" s="6">
        <v>2829</v>
      </c>
      <c r="B1136" s="7">
        <v>20422</v>
      </c>
      <c r="C1136" s="8">
        <f>DATE(2012,12,31)-1435</f>
        <v>39839</v>
      </c>
      <c r="D1136" s="8" t="str">
        <f t="shared" si="22"/>
        <v>2009-01 (январь 2009)</v>
      </c>
      <c r="E1136" s="9" t="s">
        <v>30</v>
      </c>
      <c r="F1136" s="7">
        <v>5</v>
      </c>
      <c r="G1136" s="7">
        <v>15.38</v>
      </c>
      <c r="H1136" s="7">
        <v>0.01</v>
      </c>
      <c r="I1136" s="9" t="s">
        <v>22</v>
      </c>
      <c r="J1136" s="10">
        <v>1.61</v>
      </c>
      <c r="K1136" s="11">
        <v>2.89</v>
      </c>
      <c r="L1136" s="11">
        <v>0.5</v>
      </c>
      <c r="M1136" s="9" t="s">
        <v>730</v>
      </c>
      <c r="N1136" s="6" t="s">
        <v>703</v>
      </c>
      <c r="O1136" s="6" t="s">
        <v>704</v>
      </c>
      <c r="P1136" s="9" t="s">
        <v>33</v>
      </c>
      <c r="Q1136" s="9" t="s">
        <v>26</v>
      </c>
      <c r="R1136" s="9" t="s">
        <v>88</v>
      </c>
      <c r="S1136" s="7" t="s">
        <v>474</v>
      </c>
      <c r="T1136" s="9" t="s">
        <v>39</v>
      </c>
      <c r="U1136" s="7">
        <v>0.38</v>
      </c>
      <c r="V1136" s="12">
        <f t="shared" si="23"/>
        <v>39841</v>
      </c>
      <c r="W1136">
        <f>IF(D1136=' Pivot Tables'!$A$4,1,0)</f>
        <v>0</v>
      </c>
      <c r="X1136">
        <f>IF(AND(LEFT(D1136,4)+1=LEFT(' Pivot Tables'!$A$4,4)+0,RIGHT(LEFT(D1136,7),2)=RIGHT(LEFT(' Pivot Tables'!$A$4,7),2)),1,0)</f>
        <v>1</v>
      </c>
      <c r="Y1136" s="6">
        <f>1/COUNTIF(Таблица1[Order ID],Таблица1[[#This Row],[Order ID]])</f>
        <v>0.5</v>
      </c>
      <c r="Z1136" s="9">
        <f>1/COUNTIFS(Таблица1[Customer Name],Таблица1[[#This Row],[Customer Name]],Таблица1[Order-Year-Month],Таблица1[[#This Row],[Order-Year-Month]])</f>
        <v>0.5</v>
      </c>
    </row>
    <row r="1137" spans="1:26" x14ac:dyDescent="0.2">
      <c r="A1137" s="6">
        <v>2864</v>
      </c>
      <c r="B1137" s="7">
        <v>20676</v>
      </c>
      <c r="C1137" s="8">
        <f>DATE(2012,12,31)-39</f>
        <v>41235</v>
      </c>
      <c r="D1137" s="8" t="str">
        <f t="shared" si="22"/>
        <v>2012-11 (ноябрь 2012)</v>
      </c>
      <c r="E1137" s="9" t="s">
        <v>21</v>
      </c>
      <c r="F1137" s="7">
        <v>22</v>
      </c>
      <c r="G1137" s="7">
        <v>43.97</v>
      </c>
      <c r="H1137" s="7">
        <v>0.04</v>
      </c>
      <c r="I1137" s="9" t="s">
        <v>22</v>
      </c>
      <c r="J1137" s="10">
        <v>-9.0504999999999995</v>
      </c>
      <c r="K1137" s="11">
        <v>1.88</v>
      </c>
      <c r="L1137" s="11">
        <v>1.49</v>
      </c>
      <c r="M1137" s="9" t="s">
        <v>874</v>
      </c>
      <c r="N1137" s="6" t="s">
        <v>703</v>
      </c>
      <c r="O1137" s="6" t="s">
        <v>704</v>
      </c>
      <c r="P1137" s="9" t="s">
        <v>41</v>
      </c>
      <c r="Q1137" s="9" t="s">
        <v>26</v>
      </c>
      <c r="R1137" s="9" t="s">
        <v>37</v>
      </c>
      <c r="S1137" s="7" t="s">
        <v>172</v>
      </c>
      <c r="T1137" s="9" t="s">
        <v>39</v>
      </c>
      <c r="U1137" s="7">
        <v>0.37</v>
      </c>
      <c r="V1137" s="12">
        <f>C1137+4</f>
        <v>41239</v>
      </c>
      <c r="W1137">
        <f>IF(D1137=' Pivot Tables'!$A$4,1,0)</f>
        <v>0</v>
      </c>
      <c r="X1137">
        <f>IF(AND(LEFT(D1137,4)+1=LEFT(' Pivot Tables'!$A$4,4)+0,RIGHT(LEFT(D1137,7),2)=RIGHT(LEFT(' Pivot Tables'!$A$4,7),2)),1,0)</f>
        <v>0</v>
      </c>
      <c r="Y1137" s="6">
        <f>1/COUNTIF(Таблица1[Order ID],Таблица1[[#This Row],[Order ID]])</f>
        <v>1</v>
      </c>
      <c r="Z1137" s="9">
        <f>1/COUNTIFS(Таблица1[Customer Name],Таблица1[[#This Row],[Customer Name]],Таблица1[Order-Year-Month],Таблица1[[#This Row],[Order-Year-Month]])</f>
        <v>1</v>
      </c>
    </row>
    <row r="1138" spans="1:26" x14ac:dyDescent="0.2">
      <c r="A1138" s="6">
        <v>2887</v>
      </c>
      <c r="B1138" s="7">
        <v>20807</v>
      </c>
      <c r="C1138" s="8">
        <f>DATE(2012,12,31)-163</f>
        <v>41111</v>
      </c>
      <c r="D1138" s="8" t="str">
        <f t="shared" si="22"/>
        <v>2012-07 (июль 2012)</v>
      </c>
      <c r="E1138" s="9" t="s">
        <v>45</v>
      </c>
      <c r="F1138" s="7">
        <v>39</v>
      </c>
      <c r="G1138" s="7">
        <v>6152.52</v>
      </c>
      <c r="H1138" s="7">
        <v>0.08</v>
      </c>
      <c r="I1138" s="9" t="s">
        <v>31</v>
      </c>
      <c r="J1138" s="10">
        <v>768.06</v>
      </c>
      <c r="K1138" s="11">
        <v>160.97999999999999</v>
      </c>
      <c r="L1138" s="11">
        <v>30</v>
      </c>
      <c r="M1138" s="9" t="s">
        <v>929</v>
      </c>
      <c r="N1138" s="6" t="s">
        <v>703</v>
      </c>
      <c r="O1138" s="6" t="s">
        <v>704</v>
      </c>
      <c r="P1138" s="9" t="s">
        <v>33</v>
      </c>
      <c r="Q1138" s="9" t="s">
        <v>49</v>
      </c>
      <c r="R1138" s="9" t="s">
        <v>112</v>
      </c>
      <c r="S1138" s="7" t="s">
        <v>746</v>
      </c>
      <c r="T1138" s="9" t="s">
        <v>36</v>
      </c>
      <c r="U1138" s="7">
        <v>0.62</v>
      </c>
      <c r="V1138" s="12">
        <f>C1138+2</f>
        <v>41113</v>
      </c>
      <c r="W1138">
        <f>IF(D1138=' Pivot Tables'!$A$4,1,0)</f>
        <v>0</v>
      </c>
      <c r="X1138">
        <f>IF(AND(LEFT(D1138,4)+1=LEFT(' Pivot Tables'!$A$4,4)+0,RIGHT(LEFT(D1138,7),2)=RIGHT(LEFT(' Pivot Tables'!$A$4,7),2)),1,0)</f>
        <v>0</v>
      </c>
      <c r="Y1138" s="6">
        <f>1/COUNTIF(Таблица1[Order ID],Таблица1[[#This Row],[Order ID]])</f>
        <v>0.5</v>
      </c>
      <c r="Z1138" s="9">
        <f>1/COUNTIFS(Таблица1[Customer Name],Таблица1[[#This Row],[Customer Name]],Таблица1[Order-Year-Month],Таблица1[[#This Row],[Order-Year-Month]])</f>
        <v>0.5</v>
      </c>
    </row>
    <row r="1139" spans="1:26" x14ac:dyDescent="0.2">
      <c r="A1139" s="6">
        <v>2890</v>
      </c>
      <c r="B1139" s="7">
        <v>20838</v>
      </c>
      <c r="C1139" s="8">
        <f>DATE(2012,12,31)-1361</f>
        <v>39913</v>
      </c>
      <c r="D1139" s="8" t="str">
        <f t="shared" si="22"/>
        <v>2009-04 (апрель 2009)</v>
      </c>
      <c r="E1139" s="9" t="s">
        <v>45</v>
      </c>
      <c r="F1139" s="7">
        <v>5</v>
      </c>
      <c r="G1139" s="7">
        <v>20.170000000000002</v>
      </c>
      <c r="H1139" s="7">
        <v>0.05</v>
      </c>
      <c r="I1139" s="9" t="s">
        <v>22</v>
      </c>
      <c r="J1139" s="10">
        <v>-15.42</v>
      </c>
      <c r="K1139" s="11">
        <v>3.28</v>
      </c>
      <c r="L1139" s="11">
        <v>3.97</v>
      </c>
      <c r="M1139" s="9" t="s">
        <v>874</v>
      </c>
      <c r="N1139" s="6" t="s">
        <v>703</v>
      </c>
      <c r="O1139" s="6" t="s">
        <v>704</v>
      </c>
      <c r="P1139" s="9" t="s">
        <v>33</v>
      </c>
      <c r="Q1139" s="9" t="s">
        <v>26</v>
      </c>
      <c r="R1139" s="9" t="s">
        <v>95</v>
      </c>
      <c r="S1139" s="7" t="s">
        <v>570</v>
      </c>
      <c r="T1139" s="9" t="s">
        <v>68</v>
      </c>
      <c r="U1139" s="7">
        <v>0.56000000000000005</v>
      </c>
      <c r="V1139" s="12">
        <f>C1139+1</f>
        <v>39914</v>
      </c>
      <c r="W1139">
        <f>IF(D1139=' Pivot Tables'!$A$4,1,0)</f>
        <v>0</v>
      </c>
      <c r="X1139">
        <f>IF(AND(LEFT(D1139,4)+1=LEFT(' Pivot Tables'!$A$4,4)+0,RIGHT(LEFT(D1139,7),2)=RIGHT(LEFT(' Pivot Tables'!$A$4,7),2)),1,0)</f>
        <v>0</v>
      </c>
      <c r="Y1139" s="6">
        <f>1/COUNTIF(Таблица1[Order ID],Таблица1[[#This Row],[Order ID]])</f>
        <v>0.5</v>
      </c>
      <c r="Z1139" s="9">
        <f>1/COUNTIFS(Таблица1[Customer Name],Таблица1[[#This Row],[Customer Name]],Таблица1[Order-Year-Month],Таблица1[[#This Row],[Order-Year-Month]])</f>
        <v>0.5</v>
      </c>
    </row>
    <row r="1140" spans="1:26" x14ac:dyDescent="0.2">
      <c r="A1140" s="6">
        <v>2891</v>
      </c>
      <c r="B1140" s="7">
        <v>20838</v>
      </c>
      <c r="C1140" s="8">
        <f>DATE(2012,12,31)-1361</f>
        <v>39913</v>
      </c>
      <c r="D1140" s="8" t="str">
        <f t="shared" si="22"/>
        <v>2009-04 (апрель 2009)</v>
      </c>
      <c r="E1140" s="9" t="s">
        <v>45</v>
      </c>
      <c r="F1140" s="7">
        <v>21</v>
      </c>
      <c r="G1140" s="7">
        <v>235.98</v>
      </c>
      <c r="H1140" s="7">
        <v>0.03</v>
      </c>
      <c r="I1140" s="9" t="s">
        <v>22</v>
      </c>
      <c r="J1140" s="10">
        <v>11.82</v>
      </c>
      <c r="K1140" s="11">
        <v>10.98</v>
      </c>
      <c r="L1140" s="11">
        <v>3.37</v>
      </c>
      <c r="M1140" s="9" t="s">
        <v>874</v>
      </c>
      <c r="N1140" s="6" t="s">
        <v>703</v>
      </c>
      <c r="O1140" s="6" t="s">
        <v>704</v>
      </c>
      <c r="P1140" s="9" t="s">
        <v>33</v>
      </c>
      <c r="Q1140" s="9" t="s">
        <v>26</v>
      </c>
      <c r="R1140" s="9" t="s">
        <v>150</v>
      </c>
      <c r="S1140" s="7" t="s">
        <v>465</v>
      </c>
      <c r="T1140" s="9" t="s">
        <v>52</v>
      </c>
      <c r="U1140" s="7">
        <v>0.56999999999999995</v>
      </c>
      <c r="V1140" s="12">
        <f>C1140+1</f>
        <v>39914</v>
      </c>
      <c r="W1140">
        <f>IF(D1140=' Pivot Tables'!$A$4,1,0)</f>
        <v>0</v>
      </c>
      <c r="X1140">
        <f>IF(AND(LEFT(D1140,4)+1=LEFT(' Pivot Tables'!$A$4,4)+0,RIGHT(LEFT(D1140,7),2)=RIGHT(LEFT(' Pivot Tables'!$A$4,7),2)),1,0)</f>
        <v>0</v>
      </c>
      <c r="Y1140" s="6">
        <f>1/COUNTIF(Таблица1[Order ID],Таблица1[[#This Row],[Order ID]])</f>
        <v>0.5</v>
      </c>
      <c r="Z1140" s="9">
        <f>1/COUNTIFS(Таблица1[Customer Name],Таблица1[[#This Row],[Customer Name]],Таблица1[Order-Year-Month],Таблица1[[#This Row],[Order-Year-Month]])</f>
        <v>0.5</v>
      </c>
    </row>
    <row r="1141" spans="1:26" x14ac:dyDescent="0.2">
      <c r="A1141" s="6">
        <v>2901</v>
      </c>
      <c r="B1141" s="7">
        <v>20960</v>
      </c>
      <c r="C1141" s="8">
        <f>DATE(2012,12,31)-409</f>
        <v>40865</v>
      </c>
      <c r="D1141" s="8" t="str">
        <f t="shared" si="22"/>
        <v>2011-11 (ноябрь 2011)</v>
      </c>
      <c r="E1141" s="9" t="s">
        <v>21</v>
      </c>
      <c r="F1141" s="7">
        <v>19</v>
      </c>
      <c r="G1141" s="7">
        <v>195.96</v>
      </c>
      <c r="H1141" s="7">
        <v>0.1</v>
      </c>
      <c r="I1141" s="9" t="s">
        <v>22</v>
      </c>
      <c r="J1141" s="10">
        <v>-104.82</v>
      </c>
      <c r="K1141" s="11">
        <v>10.97</v>
      </c>
      <c r="L1141" s="11">
        <v>6.5</v>
      </c>
      <c r="M1141" s="9" t="s">
        <v>866</v>
      </c>
      <c r="N1141" s="6" t="s">
        <v>703</v>
      </c>
      <c r="O1141" s="6" t="s">
        <v>704</v>
      </c>
      <c r="P1141" s="9" t="s">
        <v>41</v>
      </c>
      <c r="Q1141" s="9" t="s">
        <v>42</v>
      </c>
      <c r="R1141" s="9" t="s">
        <v>70</v>
      </c>
      <c r="S1141" s="7" t="s">
        <v>336</v>
      </c>
      <c r="T1141" s="9" t="s">
        <v>39</v>
      </c>
      <c r="U1141" s="7">
        <v>0.64</v>
      </c>
      <c r="V1141" s="12">
        <f>C1141+5</f>
        <v>40870</v>
      </c>
      <c r="W1141">
        <f>IF(D1141=' Pivot Tables'!$A$4,1,0)</f>
        <v>0</v>
      </c>
      <c r="X1141">
        <f>IF(AND(LEFT(D1141,4)+1=LEFT(' Pivot Tables'!$A$4,4)+0,RIGHT(LEFT(D1141,7),2)=RIGHT(LEFT(' Pivot Tables'!$A$4,7),2)),1,0)</f>
        <v>0</v>
      </c>
      <c r="Y1141" s="6">
        <f>1/COUNTIF(Таблица1[Order ID],Таблица1[[#This Row],[Order ID]])</f>
        <v>1</v>
      </c>
      <c r="Z1141" s="9">
        <f>1/COUNTIFS(Таблица1[Customer Name],Таблица1[[#This Row],[Customer Name]],Таблица1[Order-Year-Month],Таблица1[[#This Row],[Order-Year-Month]])</f>
        <v>1</v>
      </c>
    </row>
    <row r="1142" spans="1:26" x14ac:dyDescent="0.2">
      <c r="A1142" s="6">
        <v>2902</v>
      </c>
      <c r="B1142" s="7">
        <v>20961</v>
      </c>
      <c r="C1142" s="8">
        <f>DATE(2012,12,31)-1082</f>
        <v>40192</v>
      </c>
      <c r="D1142" s="8" t="str">
        <f t="shared" si="22"/>
        <v>2010-01 (январь 2010)</v>
      </c>
      <c r="E1142" s="9" t="s">
        <v>45</v>
      </c>
      <c r="F1142" s="7">
        <v>34</v>
      </c>
      <c r="G1142" s="7">
        <v>6607.92</v>
      </c>
      <c r="H1142" s="7">
        <v>0.06</v>
      </c>
      <c r="I1142" s="9" t="s">
        <v>22</v>
      </c>
      <c r="J1142" s="10">
        <v>1462.7239999999999</v>
      </c>
      <c r="K1142" s="11">
        <v>199.99</v>
      </c>
      <c r="L1142" s="11">
        <v>24.49</v>
      </c>
      <c r="M1142" s="9" t="s">
        <v>871</v>
      </c>
      <c r="N1142" s="6" t="s">
        <v>703</v>
      </c>
      <c r="O1142" s="6" t="s">
        <v>704</v>
      </c>
      <c r="P1142" s="9" t="s">
        <v>41</v>
      </c>
      <c r="Q1142" s="9" t="s">
        <v>42</v>
      </c>
      <c r="R1142" s="9" t="s">
        <v>99</v>
      </c>
      <c r="S1142" s="7" t="s">
        <v>619</v>
      </c>
      <c r="T1142" s="9" t="s">
        <v>29</v>
      </c>
      <c r="U1142" s="7">
        <v>0.46</v>
      </c>
      <c r="V1142" s="12">
        <f>C1142+2</f>
        <v>40194</v>
      </c>
      <c r="W1142">
        <f>IF(D1142=' Pivot Tables'!$A$4,1,0)</f>
        <v>1</v>
      </c>
      <c r="X1142">
        <f>IF(AND(LEFT(D1142,4)+1=LEFT(' Pivot Tables'!$A$4,4)+0,RIGHT(LEFT(D1142,7),2)=RIGHT(LEFT(' Pivot Tables'!$A$4,7),2)),1,0)</f>
        <v>0</v>
      </c>
      <c r="Y1142" s="6">
        <f>1/COUNTIF(Таблица1[Order ID],Таблица1[[#This Row],[Order ID]])</f>
        <v>1</v>
      </c>
      <c r="Z1142" s="9">
        <f>1/COUNTIFS(Таблица1[Customer Name],Таблица1[[#This Row],[Customer Name]],Таблица1[Order-Year-Month],Таблица1[[#This Row],[Order-Year-Month]])</f>
        <v>1</v>
      </c>
    </row>
    <row r="1143" spans="1:26" x14ac:dyDescent="0.2">
      <c r="A1143" s="6">
        <v>2949</v>
      </c>
      <c r="B1143" s="7">
        <v>21350</v>
      </c>
      <c r="C1143" s="8">
        <f>DATE(2012,12,31)-676</f>
        <v>40598</v>
      </c>
      <c r="D1143" s="8" t="str">
        <f t="shared" si="22"/>
        <v>2011-02 (февраль 2011)</v>
      </c>
      <c r="E1143" s="9" t="s">
        <v>63</v>
      </c>
      <c r="F1143" s="7">
        <v>30</v>
      </c>
      <c r="G1143" s="7">
        <v>278.94</v>
      </c>
      <c r="H1143" s="7">
        <v>0.01</v>
      </c>
      <c r="I1143" s="9" t="s">
        <v>22</v>
      </c>
      <c r="J1143" s="10">
        <v>-143.69999999999999</v>
      </c>
      <c r="K1143" s="11">
        <v>9.06</v>
      </c>
      <c r="L1143" s="11">
        <v>9.86</v>
      </c>
      <c r="M1143" s="9" t="s">
        <v>884</v>
      </c>
      <c r="N1143" s="6" t="s">
        <v>703</v>
      </c>
      <c r="O1143" s="6" t="s">
        <v>704</v>
      </c>
      <c r="P1143" s="9" t="s">
        <v>41</v>
      </c>
      <c r="Q1143" s="9" t="s">
        <v>26</v>
      </c>
      <c r="R1143" s="9" t="s">
        <v>61</v>
      </c>
      <c r="S1143" s="7" t="s">
        <v>930</v>
      </c>
      <c r="T1143" s="9" t="s">
        <v>39</v>
      </c>
      <c r="U1143" s="7">
        <v>0.4</v>
      </c>
      <c r="V1143" s="12">
        <f>C1143+1</f>
        <v>40599</v>
      </c>
      <c r="W1143">
        <f>IF(D1143=' Pivot Tables'!$A$4,1,0)</f>
        <v>0</v>
      </c>
      <c r="X1143">
        <f>IF(AND(LEFT(D1143,4)+1=LEFT(' Pivot Tables'!$A$4,4)+0,RIGHT(LEFT(D1143,7),2)=RIGHT(LEFT(' Pivot Tables'!$A$4,7),2)),1,0)</f>
        <v>0</v>
      </c>
      <c r="Y1143" s="6">
        <f>1/COUNTIF(Таблица1[Order ID],Таблица1[[#This Row],[Order ID]])</f>
        <v>1</v>
      </c>
      <c r="Z1143" s="9">
        <f>1/COUNTIFS(Таблица1[Customer Name],Таблица1[[#This Row],[Customer Name]],Таблица1[Order-Year-Month],Таблица1[[#This Row],[Order-Year-Month]])</f>
        <v>0.33333333333333331</v>
      </c>
    </row>
    <row r="1144" spans="1:26" x14ac:dyDescent="0.2">
      <c r="A1144" s="6">
        <v>2986</v>
      </c>
      <c r="B1144" s="7">
        <v>21572</v>
      </c>
      <c r="C1144" s="8">
        <f>DATE(2012,12,31)-1417</f>
        <v>39857</v>
      </c>
      <c r="D1144" s="8" t="str">
        <f t="shared" si="22"/>
        <v>2009-02 (февраль 2009)</v>
      </c>
      <c r="E1144" s="9" t="s">
        <v>78</v>
      </c>
      <c r="F1144" s="7">
        <v>42</v>
      </c>
      <c r="G1144" s="7">
        <v>8549.0400000000009</v>
      </c>
      <c r="H1144" s="7">
        <v>0.03</v>
      </c>
      <c r="I1144" s="9" t="s">
        <v>22</v>
      </c>
      <c r="J1144" s="10">
        <v>2861.01</v>
      </c>
      <c r="K1144" s="11">
        <v>194.3</v>
      </c>
      <c r="L1144" s="11">
        <v>11.54</v>
      </c>
      <c r="M1144" s="9" t="s">
        <v>904</v>
      </c>
      <c r="N1144" s="6" t="s">
        <v>703</v>
      </c>
      <c r="O1144" s="6" t="s">
        <v>704</v>
      </c>
      <c r="P1144" s="9" t="s">
        <v>60</v>
      </c>
      <c r="Q1144" s="9" t="s">
        <v>49</v>
      </c>
      <c r="R1144" s="9" t="s">
        <v>50</v>
      </c>
      <c r="S1144" s="7" t="s">
        <v>209</v>
      </c>
      <c r="T1144" s="9" t="s">
        <v>29</v>
      </c>
      <c r="U1144" s="7">
        <v>0.59</v>
      </c>
      <c r="V1144" s="12">
        <f>C1144+2</f>
        <v>39859</v>
      </c>
      <c r="W1144">
        <f>IF(D1144=' Pivot Tables'!$A$4,1,0)</f>
        <v>0</v>
      </c>
      <c r="X1144">
        <f>IF(AND(LEFT(D1144,4)+1=LEFT(' Pivot Tables'!$A$4,4)+0,RIGHT(LEFT(D1144,7),2)=RIGHT(LEFT(' Pivot Tables'!$A$4,7),2)),1,0)</f>
        <v>0</v>
      </c>
      <c r="Y1144" s="6">
        <f>1/COUNTIF(Таблица1[Order ID],Таблица1[[#This Row],[Order ID]])</f>
        <v>1</v>
      </c>
      <c r="Z1144" s="9">
        <f>1/COUNTIFS(Таблица1[Customer Name],Таблица1[[#This Row],[Customer Name]],Таблица1[Order-Year-Month],Таблица1[[#This Row],[Order-Year-Month]])</f>
        <v>1</v>
      </c>
    </row>
    <row r="1145" spans="1:26" x14ac:dyDescent="0.2">
      <c r="A1145" s="6">
        <v>3014</v>
      </c>
      <c r="B1145" s="7">
        <v>21671</v>
      </c>
      <c r="C1145" s="8">
        <f>DATE(2012,12,31)-930</f>
        <v>40344</v>
      </c>
      <c r="D1145" s="8" t="str">
        <f t="shared" si="22"/>
        <v>2010-06 (июнь 2010)</v>
      </c>
      <c r="E1145" s="9" t="s">
        <v>30</v>
      </c>
      <c r="F1145" s="7">
        <v>15</v>
      </c>
      <c r="G1145" s="7">
        <v>670.94</v>
      </c>
      <c r="H1145" s="7">
        <v>0.02</v>
      </c>
      <c r="I1145" s="9" t="s">
        <v>22</v>
      </c>
      <c r="J1145" s="10">
        <v>87.51</v>
      </c>
      <c r="K1145" s="11">
        <v>45.19</v>
      </c>
      <c r="L1145" s="11">
        <v>1.99</v>
      </c>
      <c r="M1145" s="9" t="s">
        <v>901</v>
      </c>
      <c r="N1145" s="6" t="s">
        <v>703</v>
      </c>
      <c r="O1145" s="6" t="s">
        <v>704</v>
      </c>
      <c r="P1145" s="9" t="s">
        <v>33</v>
      </c>
      <c r="Q1145" s="9" t="s">
        <v>42</v>
      </c>
      <c r="R1145" s="9" t="s">
        <v>70</v>
      </c>
      <c r="S1145" s="7" t="s">
        <v>379</v>
      </c>
      <c r="T1145" s="9" t="s">
        <v>52</v>
      </c>
      <c r="U1145" s="7">
        <v>0.55000000000000004</v>
      </c>
      <c r="V1145" s="12">
        <f>C1145+3</f>
        <v>40347</v>
      </c>
      <c r="W1145">
        <f>IF(D1145=' Pivot Tables'!$A$4,1,0)</f>
        <v>0</v>
      </c>
      <c r="X1145">
        <f>IF(AND(LEFT(D1145,4)+1=LEFT(' Pivot Tables'!$A$4,4)+0,RIGHT(LEFT(D1145,7),2)=RIGHT(LEFT(' Pivot Tables'!$A$4,7),2)),1,0)</f>
        <v>0</v>
      </c>
      <c r="Y1145" s="6">
        <f>1/COUNTIF(Таблица1[Order ID],Таблица1[[#This Row],[Order ID]])</f>
        <v>1</v>
      </c>
      <c r="Z1145" s="9">
        <f>1/COUNTIFS(Таблица1[Customer Name],Таблица1[[#This Row],[Customer Name]],Таблица1[Order-Year-Month],Таблица1[[#This Row],[Order-Year-Month]])</f>
        <v>1</v>
      </c>
    </row>
    <row r="1146" spans="1:26" x14ac:dyDescent="0.2">
      <c r="A1146" s="6">
        <v>3156</v>
      </c>
      <c r="B1146" s="7">
        <v>22657</v>
      </c>
      <c r="C1146" s="8">
        <f>DATE(2012,12,31)-429</f>
        <v>40845</v>
      </c>
      <c r="D1146" s="8" t="str">
        <f t="shared" si="22"/>
        <v>2011-10 (октябрь 2011)</v>
      </c>
      <c r="E1146" s="9" t="s">
        <v>30</v>
      </c>
      <c r="F1146" s="7">
        <v>36</v>
      </c>
      <c r="G1146" s="7">
        <v>9544.18</v>
      </c>
      <c r="H1146" s="7">
        <v>0</v>
      </c>
      <c r="I1146" s="9" t="s">
        <v>56</v>
      </c>
      <c r="J1146" s="10">
        <v>3392.88</v>
      </c>
      <c r="K1146" s="11">
        <v>256.99</v>
      </c>
      <c r="L1146" s="11">
        <v>11.25</v>
      </c>
      <c r="M1146" s="9" t="s">
        <v>884</v>
      </c>
      <c r="N1146" s="6" t="s">
        <v>703</v>
      </c>
      <c r="O1146" s="6" t="s">
        <v>704</v>
      </c>
      <c r="P1146" s="9" t="s">
        <v>41</v>
      </c>
      <c r="Q1146" s="9" t="s">
        <v>42</v>
      </c>
      <c r="R1146" s="9" t="s">
        <v>70</v>
      </c>
      <c r="S1146" s="7" t="s">
        <v>931</v>
      </c>
      <c r="T1146" s="9" t="s">
        <v>39</v>
      </c>
      <c r="U1146" s="7">
        <v>0.51</v>
      </c>
      <c r="V1146" s="12">
        <f>C1146+1</f>
        <v>40846</v>
      </c>
      <c r="W1146">
        <f>IF(D1146=' Pivot Tables'!$A$4,1,0)</f>
        <v>0</v>
      </c>
      <c r="X1146">
        <f>IF(AND(LEFT(D1146,4)+1=LEFT(' Pivot Tables'!$A$4,4)+0,RIGHT(LEFT(D1146,7),2)=RIGHT(LEFT(' Pivot Tables'!$A$4,7),2)),1,0)</f>
        <v>0</v>
      </c>
      <c r="Y1146" s="6">
        <f>1/COUNTIF(Таблица1[Order ID],Таблица1[[#This Row],[Order ID]])</f>
        <v>0.5</v>
      </c>
      <c r="Z1146" s="9">
        <f>1/COUNTIFS(Таблица1[Customer Name],Таблица1[[#This Row],[Customer Name]],Таблица1[Order-Year-Month],Таблица1[[#This Row],[Order-Year-Month]])</f>
        <v>0.5</v>
      </c>
    </row>
    <row r="1147" spans="1:26" x14ac:dyDescent="0.2">
      <c r="A1147" s="6">
        <v>3157</v>
      </c>
      <c r="B1147" s="7">
        <v>22657</v>
      </c>
      <c r="C1147" s="8">
        <f>DATE(2012,12,31)-429</f>
        <v>40845</v>
      </c>
      <c r="D1147" s="8" t="str">
        <f t="shared" si="22"/>
        <v>2011-10 (октябрь 2011)</v>
      </c>
      <c r="E1147" s="9" t="s">
        <v>30</v>
      </c>
      <c r="F1147" s="7">
        <v>8</v>
      </c>
      <c r="G1147" s="7">
        <v>32.92</v>
      </c>
      <c r="H1147" s="7">
        <v>0.05</v>
      </c>
      <c r="I1147" s="9" t="s">
        <v>22</v>
      </c>
      <c r="J1147" s="10">
        <v>-7.73</v>
      </c>
      <c r="K1147" s="11">
        <v>3.95</v>
      </c>
      <c r="L1147" s="11">
        <v>2</v>
      </c>
      <c r="M1147" s="9" t="s">
        <v>884</v>
      </c>
      <c r="N1147" s="6" t="s">
        <v>703</v>
      </c>
      <c r="O1147" s="6" t="s">
        <v>704</v>
      </c>
      <c r="P1147" s="9" t="s">
        <v>41</v>
      </c>
      <c r="Q1147" s="9" t="s">
        <v>26</v>
      </c>
      <c r="R1147" s="9" t="s">
        <v>66</v>
      </c>
      <c r="S1147" s="7" t="s">
        <v>67</v>
      </c>
      <c r="T1147" s="9" t="s">
        <v>68</v>
      </c>
      <c r="U1147" s="7">
        <v>0.53</v>
      </c>
      <c r="V1147" s="12">
        <f>C1147+1</f>
        <v>40846</v>
      </c>
      <c r="W1147">
        <f>IF(D1147=' Pivot Tables'!$A$4,1,0)</f>
        <v>0</v>
      </c>
      <c r="X1147">
        <f>IF(AND(LEFT(D1147,4)+1=LEFT(' Pivot Tables'!$A$4,4)+0,RIGHT(LEFT(D1147,7),2)=RIGHT(LEFT(' Pivot Tables'!$A$4,7),2)),1,0)</f>
        <v>0</v>
      </c>
      <c r="Y1147" s="6">
        <f>1/COUNTIF(Таблица1[Order ID],Таблица1[[#This Row],[Order ID]])</f>
        <v>0.5</v>
      </c>
      <c r="Z1147" s="9">
        <f>1/COUNTIFS(Таблица1[Customer Name],Таблица1[[#This Row],[Customer Name]],Таблица1[Order-Year-Month],Таблица1[[#This Row],[Order-Year-Month]])</f>
        <v>0.5</v>
      </c>
    </row>
    <row r="1148" spans="1:26" x14ac:dyDescent="0.2">
      <c r="A1148" s="6">
        <v>3238</v>
      </c>
      <c r="B1148" s="7">
        <v>23207</v>
      </c>
      <c r="C1148" s="8">
        <f>DATE(2012,12,31)-801</f>
        <v>40473</v>
      </c>
      <c r="D1148" s="8" t="str">
        <f t="shared" si="22"/>
        <v>2010-10 (октябрь 2010)</v>
      </c>
      <c r="E1148" s="9" t="s">
        <v>78</v>
      </c>
      <c r="F1148" s="7">
        <v>11</v>
      </c>
      <c r="G1148" s="7">
        <v>336.91</v>
      </c>
      <c r="H1148" s="7">
        <v>0.1</v>
      </c>
      <c r="I1148" s="9" t="s">
        <v>22</v>
      </c>
      <c r="J1148" s="10">
        <v>42.5</v>
      </c>
      <c r="K1148" s="11">
        <v>30.98</v>
      </c>
      <c r="L1148" s="11">
        <v>8.74</v>
      </c>
      <c r="M1148" s="9" t="s">
        <v>884</v>
      </c>
      <c r="N1148" s="6" t="s">
        <v>703</v>
      </c>
      <c r="O1148" s="6" t="s">
        <v>704</v>
      </c>
      <c r="P1148" s="9" t="s">
        <v>41</v>
      </c>
      <c r="Q1148" s="9" t="s">
        <v>26</v>
      </c>
      <c r="R1148" s="9" t="s">
        <v>61</v>
      </c>
      <c r="S1148" s="7" t="s">
        <v>932</v>
      </c>
      <c r="T1148" s="9" t="s">
        <v>39</v>
      </c>
      <c r="U1148" s="7">
        <v>0.4</v>
      </c>
      <c r="V1148" s="12">
        <f>C1148+1</f>
        <v>40474</v>
      </c>
      <c r="W1148">
        <f>IF(D1148=' Pivot Tables'!$A$4,1,0)</f>
        <v>0</v>
      </c>
      <c r="X1148">
        <f>IF(AND(LEFT(D1148,4)+1=LEFT(' Pivot Tables'!$A$4,4)+0,RIGHT(LEFT(D1148,7),2)=RIGHT(LEFT(' Pivot Tables'!$A$4,7),2)),1,0)</f>
        <v>0</v>
      </c>
      <c r="Y1148" s="6">
        <f>1/COUNTIF(Таблица1[Order ID],Таблица1[[#This Row],[Order ID]])</f>
        <v>1</v>
      </c>
      <c r="Z1148" s="9">
        <f>1/COUNTIFS(Таблица1[Customer Name],Таблица1[[#This Row],[Customer Name]],Таблица1[Order-Year-Month],Таблица1[[#This Row],[Order-Year-Month]])</f>
        <v>1</v>
      </c>
    </row>
    <row r="1149" spans="1:26" x14ac:dyDescent="0.2">
      <c r="A1149" s="6">
        <v>3346</v>
      </c>
      <c r="B1149" s="7">
        <v>23940</v>
      </c>
      <c r="C1149" s="8">
        <f>DATE(2012,12,31)-633</f>
        <v>40641</v>
      </c>
      <c r="D1149" s="8" t="str">
        <f t="shared" si="22"/>
        <v>2011-04 (апрель 2011)</v>
      </c>
      <c r="E1149" s="9" t="s">
        <v>63</v>
      </c>
      <c r="F1149" s="7">
        <v>20</v>
      </c>
      <c r="G1149" s="7">
        <v>138.52000000000001</v>
      </c>
      <c r="H1149" s="7">
        <v>0.03</v>
      </c>
      <c r="I1149" s="9" t="s">
        <v>22</v>
      </c>
      <c r="J1149" s="10">
        <v>-895.24</v>
      </c>
      <c r="K1149" s="11">
        <v>4.4800000000000004</v>
      </c>
      <c r="L1149" s="11">
        <v>49</v>
      </c>
      <c r="M1149" s="9" t="s">
        <v>888</v>
      </c>
      <c r="N1149" s="6" t="s">
        <v>703</v>
      </c>
      <c r="O1149" s="6" t="s">
        <v>704</v>
      </c>
      <c r="P1149" s="9" t="s">
        <v>60</v>
      </c>
      <c r="Q1149" s="9" t="s">
        <v>26</v>
      </c>
      <c r="R1149" s="9" t="s">
        <v>34</v>
      </c>
      <c r="S1149" s="7" t="s">
        <v>128</v>
      </c>
      <c r="T1149" s="9" t="s">
        <v>29</v>
      </c>
      <c r="U1149" s="7">
        <v>0.6</v>
      </c>
      <c r="V1149" s="12">
        <f>C1149+1</f>
        <v>40642</v>
      </c>
      <c r="W1149">
        <f>IF(D1149=' Pivot Tables'!$A$4,1,0)</f>
        <v>0</v>
      </c>
      <c r="X1149">
        <f>IF(AND(LEFT(D1149,4)+1=LEFT(' Pivot Tables'!$A$4,4)+0,RIGHT(LEFT(D1149,7),2)=RIGHT(LEFT(' Pivot Tables'!$A$4,7),2)),1,0)</f>
        <v>0</v>
      </c>
      <c r="Y1149" s="6">
        <f>1/COUNTIF(Таблица1[Order ID],Таблица1[[#This Row],[Order ID]])</f>
        <v>0.5</v>
      </c>
      <c r="Z1149" s="9">
        <f>1/COUNTIFS(Таблица1[Customer Name],Таблица1[[#This Row],[Customer Name]],Таблица1[Order-Year-Month],Таблица1[[#This Row],[Order-Year-Month]])</f>
        <v>0.33333333333333331</v>
      </c>
    </row>
    <row r="1150" spans="1:26" x14ac:dyDescent="0.2">
      <c r="A1150" s="6">
        <v>3347</v>
      </c>
      <c r="B1150" s="7">
        <v>23940</v>
      </c>
      <c r="C1150" s="8">
        <f>DATE(2012,12,31)-633</f>
        <v>40641</v>
      </c>
      <c r="D1150" s="8" t="str">
        <f t="shared" si="22"/>
        <v>2011-04 (апрель 2011)</v>
      </c>
      <c r="E1150" s="9" t="s">
        <v>63</v>
      </c>
      <c r="F1150" s="7">
        <v>11</v>
      </c>
      <c r="G1150" s="7">
        <v>1735.59</v>
      </c>
      <c r="H1150" s="7">
        <v>0.02</v>
      </c>
      <c r="I1150" s="9" t="s">
        <v>31</v>
      </c>
      <c r="J1150" s="10">
        <v>-506.43</v>
      </c>
      <c r="K1150" s="11">
        <v>150.88999999999999</v>
      </c>
      <c r="L1150" s="11">
        <v>60.2</v>
      </c>
      <c r="M1150" s="9" t="s">
        <v>888</v>
      </c>
      <c r="N1150" s="6" t="s">
        <v>703</v>
      </c>
      <c r="O1150" s="6" t="s">
        <v>704</v>
      </c>
      <c r="P1150" s="9" t="s">
        <v>60</v>
      </c>
      <c r="Q1150" s="9" t="s">
        <v>49</v>
      </c>
      <c r="R1150" s="9" t="s">
        <v>112</v>
      </c>
      <c r="S1150" s="7" t="s">
        <v>933</v>
      </c>
      <c r="T1150" s="9" t="s">
        <v>36</v>
      </c>
      <c r="U1150" s="7">
        <v>0.77</v>
      </c>
      <c r="V1150" s="12">
        <f>C1150+3</f>
        <v>40644</v>
      </c>
      <c r="W1150">
        <f>IF(D1150=' Pivot Tables'!$A$4,1,0)</f>
        <v>0</v>
      </c>
      <c r="X1150">
        <f>IF(AND(LEFT(D1150,4)+1=LEFT(' Pivot Tables'!$A$4,4)+0,RIGHT(LEFT(D1150,7),2)=RIGHT(LEFT(' Pivot Tables'!$A$4,7),2)),1,0)</f>
        <v>0</v>
      </c>
      <c r="Y1150" s="6">
        <f>1/COUNTIF(Таблица1[Order ID],Таблица1[[#This Row],[Order ID]])</f>
        <v>0.5</v>
      </c>
      <c r="Z1150" s="9">
        <f>1/COUNTIFS(Таблица1[Customer Name],Таблица1[[#This Row],[Customer Name]],Таблица1[Order-Year-Month],Таблица1[[#This Row],[Order-Year-Month]])</f>
        <v>0.33333333333333331</v>
      </c>
    </row>
    <row r="1151" spans="1:26" x14ac:dyDescent="0.2">
      <c r="A1151" s="6">
        <v>3425</v>
      </c>
      <c r="B1151" s="7">
        <v>24450</v>
      </c>
      <c r="C1151" s="8">
        <f>DATE(2012,12,31)-175</f>
        <v>41099</v>
      </c>
      <c r="D1151" s="8" t="str">
        <f t="shared" si="22"/>
        <v>2012-07 (июль 2012)</v>
      </c>
      <c r="E1151" s="9" t="s">
        <v>78</v>
      </c>
      <c r="F1151" s="7">
        <v>37</v>
      </c>
      <c r="G1151" s="7">
        <v>443.35</v>
      </c>
      <c r="H1151" s="7">
        <v>0.02</v>
      </c>
      <c r="I1151" s="9" t="s">
        <v>22</v>
      </c>
      <c r="J1151" s="10">
        <v>-21.73</v>
      </c>
      <c r="K1151" s="11">
        <v>11.97</v>
      </c>
      <c r="L1151" s="11">
        <v>4.9800000000000004</v>
      </c>
      <c r="M1151" s="9" t="s">
        <v>890</v>
      </c>
      <c r="N1151" s="6" t="s">
        <v>703</v>
      </c>
      <c r="O1151" s="6" t="s">
        <v>704</v>
      </c>
      <c r="P1151" s="9" t="s">
        <v>33</v>
      </c>
      <c r="Q1151" s="9" t="s">
        <v>26</v>
      </c>
      <c r="R1151" s="9" t="s">
        <v>34</v>
      </c>
      <c r="S1151" s="7" t="s">
        <v>274</v>
      </c>
      <c r="T1151" s="9" t="s">
        <v>39</v>
      </c>
      <c r="U1151" s="7">
        <v>0.57999999999999996</v>
      </c>
      <c r="V1151" s="12">
        <f>C1151+2</f>
        <v>41101</v>
      </c>
      <c r="W1151">
        <f>IF(D1151=' Pivot Tables'!$A$4,1,0)</f>
        <v>0</v>
      </c>
      <c r="X1151">
        <f>IF(AND(LEFT(D1151,4)+1=LEFT(' Pivot Tables'!$A$4,4)+0,RIGHT(LEFT(D1151,7),2)=RIGHT(LEFT(' Pivot Tables'!$A$4,7),2)),1,0)</f>
        <v>0</v>
      </c>
      <c r="Y1151" s="6">
        <f>1/COUNTIF(Таблица1[Order ID],Таблица1[[#This Row],[Order ID]])</f>
        <v>0.33333333333333331</v>
      </c>
      <c r="Z1151" s="9">
        <f>1/COUNTIFS(Таблица1[Customer Name],Таблица1[[#This Row],[Customer Name]],Таблица1[Order-Year-Month],Таблица1[[#This Row],[Order-Year-Month]])</f>
        <v>0.2</v>
      </c>
    </row>
    <row r="1152" spans="1:26" x14ac:dyDescent="0.2">
      <c r="A1152" s="6">
        <v>3426</v>
      </c>
      <c r="B1152" s="7">
        <v>24450</v>
      </c>
      <c r="C1152" s="8">
        <f>DATE(2012,12,31)-175</f>
        <v>41099</v>
      </c>
      <c r="D1152" s="8" t="str">
        <f t="shared" si="22"/>
        <v>2012-07 (июль 2012)</v>
      </c>
      <c r="E1152" s="9" t="s">
        <v>78</v>
      </c>
      <c r="F1152" s="7">
        <v>41</v>
      </c>
      <c r="G1152" s="7">
        <v>392.61</v>
      </c>
      <c r="H1152" s="7">
        <v>0.08</v>
      </c>
      <c r="I1152" s="9" t="s">
        <v>56</v>
      </c>
      <c r="J1152" s="10">
        <v>-100.15</v>
      </c>
      <c r="K1152" s="11">
        <v>9.48</v>
      </c>
      <c r="L1152" s="11">
        <v>7.29</v>
      </c>
      <c r="M1152" s="9" t="s">
        <v>890</v>
      </c>
      <c r="N1152" s="6" t="s">
        <v>703</v>
      </c>
      <c r="O1152" s="6" t="s">
        <v>704</v>
      </c>
      <c r="P1152" s="9" t="s">
        <v>33</v>
      </c>
      <c r="Q1152" s="9" t="s">
        <v>49</v>
      </c>
      <c r="R1152" s="9" t="s">
        <v>50</v>
      </c>
      <c r="S1152" s="7" t="s">
        <v>934</v>
      </c>
      <c r="T1152" s="9" t="s">
        <v>52</v>
      </c>
      <c r="U1152" s="7">
        <v>0.45</v>
      </c>
      <c r="V1152" s="12">
        <f>C1152+3</f>
        <v>41102</v>
      </c>
      <c r="W1152">
        <f>IF(D1152=' Pivot Tables'!$A$4,1,0)</f>
        <v>0</v>
      </c>
      <c r="X1152">
        <f>IF(AND(LEFT(D1152,4)+1=LEFT(' Pivot Tables'!$A$4,4)+0,RIGHT(LEFT(D1152,7),2)=RIGHT(LEFT(' Pivot Tables'!$A$4,7),2)),1,0)</f>
        <v>0</v>
      </c>
      <c r="Y1152" s="6">
        <f>1/COUNTIF(Таблица1[Order ID],Таблица1[[#This Row],[Order ID]])</f>
        <v>0.33333333333333331</v>
      </c>
      <c r="Z1152" s="9">
        <f>1/COUNTIFS(Таблица1[Customer Name],Таблица1[[#This Row],[Customer Name]],Таблица1[Order-Year-Month],Таблица1[[#This Row],[Order-Year-Month]])</f>
        <v>0.2</v>
      </c>
    </row>
    <row r="1153" spans="1:26" x14ac:dyDescent="0.2">
      <c r="A1153" s="6">
        <v>3427</v>
      </c>
      <c r="B1153" s="7">
        <v>24450</v>
      </c>
      <c r="C1153" s="8">
        <f>DATE(2012,12,31)-175</f>
        <v>41099</v>
      </c>
      <c r="D1153" s="8" t="str">
        <f t="shared" si="22"/>
        <v>2012-07 (июль 2012)</v>
      </c>
      <c r="E1153" s="9" t="s">
        <v>78</v>
      </c>
      <c r="F1153" s="7">
        <v>4</v>
      </c>
      <c r="G1153" s="7">
        <v>30.85</v>
      </c>
      <c r="H1153" s="7">
        <v>0.03</v>
      </c>
      <c r="I1153" s="9" t="s">
        <v>22</v>
      </c>
      <c r="J1153" s="10">
        <v>-12.88</v>
      </c>
      <c r="K1153" s="11">
        <v>5.98</v>
      </c>
      <c r="L1153" s="11">
        <v>5.79</v>
      </c>
      <c r="M1153" s="9" t="s">
        <v>890</v>
      </c>
      <c r="N1153" s="6" t="s">
        <v>703</v>
      </c>
      <c r="O1153" s="6" t="s">
        <v>704</v>
      </c>
      <c r="P1153" s="9" t="s">
        <v>33</v>
      </c>
      <c r="Q1153" s="9" t="s">
        <v>26</v>
      </c>
      <c r="R1153" s="9" t="s">
        <v>61</v>
      </c>
      <c r="S1153" s="7" t="s">
        <v>935</v>
      </c>
      <c r="T1153" s="9" t="s">
        <v>39</v>
      </c>
      <c r="U1153" s="7">
        <v>0.36</v>
      </c>
      <c r="V1153" s="12">
        <f>C1153+2</f>
        <v>41101</v>
      </c>
      <c r="W1153">
        <f>IF(D1153=' Pivot Tables'!$A$4,1,0)</f>
        <v>0</v>
      </c>
      <c r="X1153">
        <f>IF(AND(LEFT(D1153,4)+1=LEFT(' Pivot Tables'!$A$4,4)+0,RIGHT(LEFT(D1153,7),2)=RIGHT(LEFT(' Pivot Tables'!$A$4,7),2)),1,0)</f>
        <v>0</v>
      </c>
      <c r="Y1153" s="6">
        <f>1/COUNTIF(Таблица1[Order ID],Таблица1[[#This Row],[Order ID]])</f>
        <v>0.33333333333333331</v>
      </c>
      <c r="Z1153" s="9">
        <f>1/COUNTIFS(Таблица1[Customer Name],Таблица1[[#This Row],[Customer Name]],Таблица1[Order-Year-Month],Таблица1[[#This Row],[Order-Year-Month]])</f>
        <v>0.2</v>
      </c>
    </row>
    <row r="1154" spans="1:26" x14ac:dyDescent="0.2">
      <c r="A1154" s="6">
        <v>3446</v>
      </c>
      <c r="B1154" s="7">
        <v>24580</v>
      </c>
      <c r="C1154" s="8">
        <f>DATE(2012,12,31)-191</f>
        <v>41083</v>
      </c>
      <c r="D1154" s="8" t="str">
        <f t="shared" si="22"/>
        <v>2012-06 (июнь 2012)</v>
      </c>
      <c r="E1154" s="9" t="s">
        <v>30</v>
      </c>
      <c r="F1154" s="7">
        <v>25</v>
      </c>
      <c r="G1154" s="7">
        <v>1081.22</v>
      </c>
      <c r="H1154" s="7">
        <v>0.08</v>
      </c>
      <c r="I1154" s="9" t="s">
        <v>22</v>
      </c>
      <c r="J1154" s="10">
        <v>130.80000000000001</v>
      </c>
      <c r="K1154" s="11">
        <v>43.98</v>
      </c>
      <c r="L1154" s="11">
        <v>8.99</v>
      </c>
      <c r="M1154" s="9" t="s">
        <v>910</v>
      </c>
      <c r="N1154" s="6" t="s">
        <v>703</v>
      </c>
      <c r="O1154" s="6" t="s">
        <v>704</v>
      </c>
      <c r="P1154" s="9" t="s">
        <v>41</v>
      </c>
      <c r="Q1154" s="9" t="s">
        <v>26</v>
      </c>
      <c r="R1154" s="9" t="s">
        <v>95</v>
      </c>
      <c r="S1154" s="7" t="s">
        <v>858</v>
      </c>
      <c r="T1154" s="9" t="s">
        <v>52</v>
      </c>
      <c r="U1154" s="7">
        <v>0.57999999999999996</v>
      </c>
      <c r="V1154" s="12">
        <f>C1154+1</f>
        <v>41084</v>
      </c>
      <c r="W1154">
        <f>IF(D1154=' Pivot Tables'!$A$4,1,0)</f>
        <v>0</v>
      </c>
      <c r="X1154">
        <f>IF(AND(LEFT(D1154,4)+1=LEFT(' Pivot Tables'!$A$4,4)+0,RIGHT(LEFT(D1154,7),2)=RIGHT(LEFT(' Pivot Tables'!$A$4,7),2)),1,0)</f>
        <v>0</v>
      </c>
      <c r="Y1154" s="6">
        <f>1/COUNTIF(Таблица1[Order ID],Таблица1[[#This Row],[Order ID]])</f>
        <v>0.5</v>
      </c>
      <c r="Z1154" s="9">
        <f>1/COUNTIFS(Таблица1[Customer Name],Таблица1[[#This Row],[Customer Name]],Таблица1[Order-Year-Month],Таблица1[[#This Row],[Order-Year-Month]])</f>
        <v>0.33333333333333331</v>
      </c>
    </row>
    <row r="1155" spans="1:26" x14ac:dyDescent="0.2">
      <c r="A1155" s="6">
        <v>3447</v>
      </c>
      <c r="B1155" s="7">
        <v>24580</v>
      </c>
      <c r="C1155" s="8">
        <f>DATE(2012,12,31)-191</f>
        <v>41083</v>
      </c>
      <c r="D1155" s="8" t="str">
        <f t="shared" ref="D1155:D1218" si="24">TEXT(C1155,"гггг-ММ (ММММ гггг)")</f>
        <v>2012-06 (июнь 2012)</v>
      </c>
      <c r="E1155" s="9" t="s">
        <v>30</v>
      </c>
      <c r="F1155" s="7">
        <v>14</v>
      </c>
      <c r="G1155" s="7">
        <v>36.409999999999997</v>
      </c>
      <c r="H1155" s="7">
        <v>0.01</v>
      </c>
      <c r="I1155" s="9" t="s">
        <v>22</v>
      </c>
      <c r="J1155" s="10">
        <v>-31.45</v>
      </c>
      <c r="K1155" s="11">
        <v>2.23</v>
      </c>
      <c r="L1155" s="11">
        <v>4.57</v>
      </c>
      <c r="M1155" s="9" t="s">
        <v>910</v>
      </c>
      <c r="N1155" s="6" t="s">
        <v>703</v>
      </c>
      <c r="O1155" s="6" t="s">
        <v>704</v>
      </c>
      <c r="P1155" s="9" t="s">
        <v>41</v>
      </c>
      <c r="Q1155" s="9" t="s">
        <v>49</v>
      </c>
      <c r="R1155" s="9" t="s">
        <v>50</v>
      </c>
      <c r="S1155" s="7" t="s">
        <v>530</v>
      </c>
      <c r="T1155" s="9" t="s">
        <v>52</v>
      </c>
      <c r="U1155" s="7">
        <v>0.41</v>
      </c>
      <c r="V1155" s="12">
        <f>C1155+2</f>
        <v>41085</v>
      </c>
      <c r="W1155">
        <f>IF(D1155=' Pivot Tables'!$A$4,1,0)</f>
        <v>0</v>
      </c>
      <c r="X1155">
        <f>IF(AND(LEFT(D1155,4)+1=LEFT(' Pivot Tables'!$A$4,4)+0,RIGHT(LEFT(D1155,7),2)=RIGHT(LEFT(' Pivot Tables'!$A$4,7),2)),1,0)</f>
        <v>0</v>
      </c>
      <c r="Y1155" s="6">
        <f>1/COUNTIF(Таблица1[Order ID],Таблица1[[#This Row],[Order ID]])</f>
        <v>0.5</v>
      </c>
      <c r="Z1155" s="9">
        <f>1/COUNTIFS(Таблица1[Customer Name],Таблица1[[#This Row],[Customer Name]],Таблица1[Order-Year-Month],Таблица1[[#This Row],[Order-Year-Month]])</f>
        <v>0.33333333333333331</v>
      </c>
    </row>
    <row r="1156" spans="1:26" x14ac:dyDescent="0.2">
      <c r="A1156" s="6">
        <v>3488</v>
      </c>
      <c r="B1156" s="7">
        <v>24833</v>
      </c>
      <c r="C1156" s="8">
        <f>DATE(2012,12,31)-899</f>
        <v>40375</v>
      </c>
      <c r="D1156" s="8" t="str">
        <f t="shared" si="24"/>
        <v>2010-07 (июль 2010)</v>
      </c>
      <c r="E1156" s="9" t="s">
        <v>45</v>
      </c>
      <c r="F1156" s="7">
        <v>45</v>
      </c>
      <c r="G1156" s="7">
        <v>5205.83</v>
      </c>
      <c r="H1156" s="7">
        <v>0.08</v>
      </c>
      <c r="I1156" s="9" t="s">
        <v>31</v>
      </c>
      <c r="J1156" s="10">
        <v>-818.76600000000008</v>
      </c>
      <c r="K1156" s="11">
        <v>124.49</v>
      </c>
      <c r="L1156" s="11">
        <v>51.94</v>
      </c>
      <c r="M1156" s="9" t="s">
        <v>734</v>
      </c>
      <c r="N1156" s="6" t="s">
        <v>703</v>
      </c>
      <c r="O1156" s="6" t="s">
        <v>704</v>
      </c>
      <c r="P1156" s="9" t="s">
        <v>25</v>
      </c>
      <c r="Q1156" s="9" t="s">
        <v>49</v>
      </c>
      <c r="R1156" s="9" t="s">
        <v>83</v>
      </c>
      <c r="S1156" s="7" t="s">
        <v>432</v>
      </c>
      <c r="T1156" s="9" t="s">
        <v>82</v>
      </c>
      <c r="U1156" s="7">
        <v>0.63</v>
      </c>
      <c r="V1156" s="12">
        <f>C1156+2</f>
        <v>40377</v>
      </c>
      <c r="W1156">
        <f>IF(D1156=' Pivot Tables'!$A$4,1,0)</f>
        <v>0</v>
      </c>
      <c r="X1156">
        <f>IF(AND(LEFT(D1156,4)+1=LEFT(' Pivot Tables'!$A$4,4)+0,RIGHT(LEFT(D1156,7),2)=RIGHT(LEFT(' Pivot Tables'!$A$4,7),2)),1,0)</f>
        <v>0</v>
      </c>
      <c r="Y1156" s="6">
        <f>1/COUNTIF(Таблица1[Order ID],Таблица1[[#This Row],[Order ID]])</f>
        <v>1</v>
      </c>
      <c r="Z1156" s="9">
        <f>1/COUNTIFS(Таблица1[Customer Name],Таблица1[[#This Row],[Customer Name]],Таблица1[Order-Year-Month],Таблица1[[#This Row],[Order-Year-Month]])</f>
        <v>1</v>
      </c>
    </row>
    <row r="1157" spans="1:26" x14ac:dyDescent="0.2">
      <c r="A1157" s="6">
        <v>3498</v>
      </c>
      <c r="B1157" s="7">
        <v>24933</v>
      </c>
      <c r="C1157" s="8">
        <f>DATE(2012,12,31)-1254</f>
        <v>40020</v>
      </c>
      <c r="D1157" s="8" t="str">
        <f t="shared" si="24"/>
        <v>2009-07 (июль 2009)</v>
      </c>
      <c r="E1157" s="9" t="s">
        <v>21</v>
      </c>
      <c r="F1157" s="7">
        <v>32</v>
      </c>
      <c r="G1157" s="7">
        <v>3416.38</v>
      </c>
      <c r="H1157" s="7">
        <v>0.01</v>
      </c>
      <c r="I1157" s="9" t="s">
        <v>31</v>
      </c>
      <c r="J1157" s="10">
        <v>-1142.2</v>
      </c>
      <c r="K1157" s="11">
        <v>100.98</v>
      </c>
      <c r="L1157" s="11">
        <v>57.38</v>
      </c>
      <c r="M1157" s="9" t="s">
        <v>874</v>
      </c>
      <c r="N1157" s="6" t="s">
        <v>703</v>
      </c>
      <c r="O1157" s="6" t="s">
        <v>704</v>
      </c>
      <c r="P1157" s="9" t="s">
        <v>33</v>
      </c>
      <c r="Q1157" s="9" t="s">
        <v>49</v>
      </c>
      <c r="R1157" s="9" t="s">
        <v>80</v>
      </c>
      <c r="S1157" s="7" t="s">
        <v>162</v>
      </c>
      <c r="T1157" s="9" t="s">
        <v>82</v>
      </c>
      <c r="U1157" s="7">
        <v>0.78</v>
      </c>
      <c r="V1157" s="12">
        <f>C1157+2</f>
        <v>40022</v>
      </c>
      <c r="W1157">
        <f>IF(D1157=' Pivot Tables'!$A$4,1,0)</f>
        <v>0</v>
      </c>
      <c r="X1157">
        <f>IF(AND(LEFT(D1157,4)+1=LEFT(' Pivot Tables'!$A$4,4)+0,RIGHT(LEFT(D1157,7),2)=RIGHT(LEFT(' Pivot Tables'!$A$4,7),2)),1,0)</f>
        <v>0</v>
      </c>
      <c r="Y1157" s="6">
        <f>1/COUNTIF(Таблица1[Order ID],Таблица1[[#This Row],[Order ID]])</f>
        <v>0.5</v>
      </c>
      <c r="Z1157" s="9">
        <f>1/COUNTIFS(Таблица1[Customer Name],Таблица1[[#This Row],[Customer Name]],Таблица1[Order-Year-Month],Таблица1[[#This Row],[Order-Year-Month]])</f>
        <v>0.5</v>
      </c>
    </row>
    <row r="1158" spans="1:26" x14ac:dyDescent="0.2">
      <c r="A1158" s="6">
        <v>3499</v>
      </c>
      <c r="B1158" s="7">
        <v>24933</v>
      </c>
      <c r="C1158" s="8">
        <f>DATE(2012,12,31)-1254</f>
        <v>40020</v>
      </c>
      <c r="D1158" s="8" t="str">
        <f t="shared" si="24"/>
        <v>2009-07 (июль 2009)</v>
      </c>
      <c r="E1158" s="9" t="s">
        <v>21</v>
      </c>
      <c r="F1158" s="7">
        <v>14</v>
      </c>
      <c r="G1158" s="7">
        <v>142.81</v>
      </c>
      <c r="H1158" s="7">
        <v>0.01</v>
      </c>
      <c r="I1158" s="9" t="s">
        <v>22</v>
      </c>
      <c r="J1158" s="10">
        <v>39.64</v>
      </c>
      <c r="K1158" s="11">
        <v>10.14</v>
      </c>
      <c r="L1158" s="11">
        <v>2.27</v>
      </c>
      <c r="M1158" s="9" t="s">
        <v>874</v>
      </c>
      <c r="N1158" s="6" t="s">
        <v>703</v>
      </c>
      <c r="O1158" s="6" t="s">
        <v>704</v>
      </c>
      <c r="P1158" s="9" t="s">
        <v>33</v>
      </c>
      <c r="Q1158" s="9" t="s">
        <v>26</v>
      </c>
      <c r="R1158" s="9" t="s">
        <v>61</v>
      </c>
      <c r="S1158" s="7" t="s">
        <v>189</v>
      </c>
      <c r="T1158" s="9" t="s">
        <v>68</v>
      </c>
      <c r="U1158" s="7">
        <v>0.36</v>
      </c>
      <c r="V1158" s="12">
        <f>C1158+2</f>
        <v>40022</v>
      </c>
      <c r="W1158">
        <f>IF(D1158=' Pivot Tables'!$A$4,1,0)</f>
        <v>0</v>
      </c>
      <c r="X1158">
        <f>IF(AND(LEFT(D1158,4)+1=LEFT(' Pivot Tables'!$A$4,4)+0,RIGHT(LEFT(D1158,7),2)=RIGHT(LEFT(' Pivot Tables'!$A$4,7),2)),1,0)</f>
        <v>0</v>
      </c>
      <c r="Y1158" s="6">
        <f>1/COUNTIF(Таблица1[Order ID],Таблица1[[#This Row],[Order ID]])</f>
        <v>0.5</v>
      </c>
      <c r="Z1158" s="9">
        <f>1/COUNTIFS(Таблица1[Customer Name],Таблица1[[#This Row],[Customer Name]],Таблица1[Order-Year-Month],Таблица1[[#This Row],[Order-Year-Month]])</f>
        <v>0.5</v>
      </c>
    </row>
    <row r="1159" spans="1:26" x14ac:dyDescent="0.2">
      <c r="A1159" s="6">
        <v>3514</v>
      </c>
      <c r="B1159" s="7">
        <v>25031</v>
      </c>
      <c r="C1159" s="8">
        <f>DATE(2012,12,31)-1226</f>
        <v>40048</v>
      </c>
      <c r="D1159" s="8" t="str">
        <f t="shared" si="24"/>
        <v>2009-08 (август 2009)</v>
      </c>
      <c r="E1159" s="9" t="s">
        <v>30</v>
      </c>
      <c r="F1159" s="7">
        <v>24</v>
      </c>
      <c r="G1159" s="7">
        <v>4636.62</v>
      </c>
      <c r="H1159" s="7">
        <v>0.1</v>
      </c>
      <c r="I1159" s="9" t="s">
        <v>22</v>
      </c>
      <c r="J1159" s="10">
        <v>-318.45177000000007</v>
      </c>
      <c r="K1159" s="11">
        <v>209.37</v>
      </c>
      <c r="L1159" s="11">
        <v>69</v>
      </c>
      <c r="M1159" s="9" t="s">
        <v>734</v>
      </c>
      <c r="N1159" s="6" t="s">
        <v>703</v>
      </c>
      <c r="O1159" s="6" t="s">
        <v>704</v>
      </c>
      <c r="P1159" s="9" t="s">
        <v>33</v>
      </c>
      <c r="Q1159" s="9" t="s">
        <v>49</v>
      </c>
      <c r="R1159" s="9" t="s">
        <v>83</v>
      </c>
      <c r="S1159" s="7" t="s">
        <v>936</v>
      </c>
      <c r="T1159" s="9" t="s">
        <v>29</v>
      </c>
      <c r="U1159" s="7">
        <v>0.79</v>
      </c>
      <c r="V1159" s="12">
        <f>C1159+2</f>
        <v>40050</v>
      </c>
      <c r="W1159">
        <f>IF(D1159=' Pivot Tables'!$A$4,1,0)</f>
        <v>0</v>
      </c>
      <c r="X1159">
        <f>IF(AND(LEFT(D1159,4)+1=LEFT(' Pivot Tables'!$A$4,4)+0,RIGHT(LEFT(D1159,7),2)=RIGHT(LEFT(' Pivot Tables'!$A$4,7),2)),1,0)</f>
        <v>0</v>
      </c>
      <c r="Y1159" s="6">
        <f>1/COUNTIF(Таблица1[Order ID],Таблица1[[#This Row],[Order ID]])</f>
        <v>0.5</v>
      </c>
      <c r="Z1159" s="9">
        <f>1/COUNTIFS(Таблица1[Customer Name],Таблица1[[#This Row],[Customer Name]],Таблица1[Order-Year-Month],Таблица1[[#This Row],[Order-Year-Month]])</f>
        <v>0.5</v>
      </c>
    </row>
    <row r="1160" spans="1:26" x14ac:dyDescent="0.2">
      <c r="A1160" s="6">
        <v>3515</v>
      </c>
      <c r="B1160" s="7">
        <v>25031</v>
      </c>
      <c r="C1160" s="8">
        <f>DATE(2012,12,31)-1226</f>
        <v>40048</v>
      </c>
      <c r="D1160" s="8" t="str">
        <f t="shared" si="24"/>
        <v>2009-08 (август 2009)</v>
      </c>
      <c r="E1160" s="9" t="s">
        <v>30</v>
      </c>
      <c r="F1160" s="7">
        <v>20</v>
      </c>
      <c r="G1160" s="7">
        <v>100.11</v>
      </c>
      <c r="H1160" s="7">
        <v>7.0000000000000007E-2</v>
      </c>
      <c r="I1160" s="9" t="s">
        <v>22</v>
      </c>
      <c r="J1160" s="10">
        <v>-41.7</v>
      </c>
      <c r="K1160" s="11">
        <v>4.9800000000000004</v>
      </c>
      <c r="L1160" s="11">
        <v>4.7</v>
      </c>
      <c r="M1160" s="9" t="s">
        <v>734</v>
      </c>
      <c r="N1160" s="6" t="s">
        <v>703</v>
      </c>
      <c r="O1160" s="6" t="s">
        <v>704</v>
      </c>
      <c r="P1160" s="9" t="s">
        <v>33</v>
      </c>
      <c r="Q1160" s="9" t="s">
        <v>26</v>
      </c>
      <c r="R1160" s="9" t="s">
        <v>61</v>
      </c>
      <c r="S1160" s="7" t="s">
        <v>937</v>
      </c>
      <c r="T1160" s="9" t="s">
        <v>39</v>
      </c>
      <c r="U1160" s="7">
        <v>0.38</v>
      </c>
      <c r="V1160" s="12">
        <f>C1160+1</f>
        <v>40049</v>
      </c>
      <c r="W1160">
        <f>IF(D1160=' Pivot Tables'!$A$4,1,0)</f>
        <v>0</v>
      </c>
      <c r="X1160">
        <f>IF(AND(LEFT(D1160,4)+1=LEFT(' Pivot Tables'!$A$4,4)+0,RIGHT(LEFT(D1160,7),2)=RIGHT(LEFT(' Pivot Tables'!$A$4,7),2)),1,0)</f>
        <v>0</v>
      </c>
      <c r="Y1160" s="6">
        <f>1/COUNTIF(Таблица1[Order ID],Таблица1[[#This Row],[Order ID]])</f>
        <v>0.5</v>
      </c>
      <c r="Z1160" s="9">
        <f>1/COUNTIFS(Таблица1[Customer Name],Таблица1[[#This Row],[Customer Name]],Таблица1[Order-Year-Month],Таблица1[[#This Row],[Order-Year-Month]])</f>
        <v>0.5</v>
      </c>
    </row>
    <row r="1161" spans="1:26" x14ac:dyDescent="0.2">
      <c r="A1161" s="6">
        <v>3590</v>
      </c>
      <c r="B1161" s="7">
        <v>25633</v>
      </c>
      <c r="C1161" s="8">
        <f>DATE(2012,12,31)-518</f>
        <v>40756</v>
      </c>
      <c r="D1161" s="8" t="str">
        <f t="shared" si="24"/>
        <v>2011-08 (август 2011)</v>
      </c>
      <c r="E1161" s="9" t="s">
        <v>21</v>
      </c>
      <c r="F1161" s="7">
        <v>36</v>
      </c>
      <c r="G1161" s="7">
        <v>5140.08</v>
      </c>
      <c r="H1161" s="7">
        <v>0.06</v>
      </c>
      <c r="I1161" s="9" t="s">
        <v>31</v>
      </c>
      <c r="J1161" s="10">
        <v>-582.42600000000004</v>
      </c>
      <c r="K1161" s="11">
        <v>145.97999999999999</v>
      </c>
      <c r="L1161" s="11">
        <v>51.92</v>
      </c>
      <c r="M1161" s="9" t="s">
        <v>734</v>
      </c>
      <c r="N1161" s="6" t="s">
        <v>703</v>
      </c>
      <c r="O1161" s="6" t="s">
        <v>704</v>
      </c>
      <c r="P1161" s="9" t="s">
        <v>60</v>
      </c>
      <c r="Q1161" s="9" t="s">
        <v>49</v>
      </c>
      <c r="R1161" s="9" t="s">
        <v>83</v>
      </c>
      <c r="S1161" s="7" t="s">
        <v>938</v>
      </c>
      <c r="T1161" s="9" t="s">
        <v>82</v>
      </c>
      <c r="U1161" s="7">
        <v>0.69</v>
      </c>
      <c r="V1161" s="12">
        <f>C1161+5</f>
        <v>40761</v>
      </c>
      <c r="W1161">
        <f>IF(D1161=' Pivot Tables'!$A$4,1,0)</f>
        <v>0</v>
      </c>
      <c r="X1161">
        <f>IF(AND(LEFT(D1161,4)+1=LEFT(' Pivot Tables'!$A$4,4)+0,RIGHT(LEFT(D1161,7),2)=RIGHT(LEFT(' Pivot Tables'!$A$4,7),2)),1,0)</f>
        <v>0</v>
      </c>
      <c r="Y1161" s="6">
        <f>1/COUNTIF(Таблица1[Order ID],Таблица1[[#This Row],[Order ID]])</f>
        <v>1</v>
      </c>
      <c r="Z1161" s="9">
        <f>1/COUNTIFS(Таблица1[Customer Name],Таблица1[[#This Row],[Customer Name]],Таблица1[Order-Year-Month],Таблица1[[#This Row],[Order-Year-Month]])</f>
        <v>1</v>
      </c>
    </row>
    <row r="1162" spans="1:26" x14ac:dyDescent="0.2">
      <c r="A1162" s="6">
        <v>3593</v>
      </c>
      <c r="B1162" s="7">
        <v>25635</v>
      </c>
      <c r="C1162" s="8">
        <f>DATE(2012,12,31)-216</f>
        <v>41058</v>
      </c>
      <c r="D1162" s="8" t="str">
        <f t="shared" si="24"/>
        <v>2012-05 (май 2012)</v>
      </c>
      <c r="E1162" s="9" t="s">
        <v>78</v>
      </c>
      <c r="F1162" s="7">
        <v>14</v>
      </c>
      <c r="G1162" s="7">
        <v>633.08000000000004</v>
      </c>
      <c r="H1162" s="7">
        <v>0.04</v>
      </c>
      <c r="I1162" s="9" t="s">
        <v>56</v>
      </c>
      <c r="J1162" s="10">
        <v>145.47999999999999</v>
      </c>
      <c r="K1162" s="11">
        <v>42.98</v>
      </c>
      <c r="L1162" s="11">
        <v>4.62</v>
      </c>
      <c r="M1162" s="9" t="s">
        <v>734</v>
      </c>
      <c r="N1162" s="6" t="s">
        <v>703</v>
      </c>
      <c r="O1162" s="6" t="s">
        <v>704</v>
      </c>
      <c r="P1162" s="9" t="s">
        <v>41</v>
      </c>
      <c r="Q1162" s="9" t="s">
        <v>26</v>
      </c>
      <c r="R1162" s="9" t="s">
        <v>34</v>
      </c>
      <c r="S1162" s="7" t="s">
        <v>852</v>
      </c>
      <c r="T1162" s="9" t="s">
        <v>39</v>
      </c>
      <c r="U1162" s="7">
        <v>0.56000000000000005</v>
      </c>
      <c r="V1162" s="12">
        <f>C1162+1</f>
        <v>41059</v>
      </c>
      <c r="W1162">
        <f>IF(D1162=' Pivot Tables'!$A$4,1,0)</f>
        <v>0</v>
      </c>
      <c r="X1162">
        <f>IF(AND(LEFT(D1162,4)+1=LEFT(' Pivot Tables'!$A$4,4)+0,RIGHT(LEFT(D1162,7),2)=RIGHT(LEFT(' Pivot Tables'!$A$4,7),2)),1,0)</f>
        <v>0</v>
      </c>
      <c r="Y1162" s="6">
        <f>1/COUNTIF(Таблица1[Order ID],Таблица1[[#This Row],[Order ID]])</f>
        <v>0.5</v>
      </c>
      <c r="Z1162" s="9">
        <f>1/COUNTIFS(Таблица1[Customer Name],Таблица1[[#This Row],[Customer Name]],Таблица1[Order-Year-Month],Таблица1[[#This Row],[Order-Year-Month]])</f>
        <v>0.5</v>
      </c>
    </row>
    <row r="1163" spans="1:26" x14ac:dyDescent="0.2">
      <c r="A1163" s="6">
        <v>3594</v>
      </c>
      <c r="B1163" s="7">
        <v>25635</v>
      </c>
      <c r="C1163" s="8">
        <f>DATE(2012,12,31)-216</f>
        <v>41058</v>
      </c>
      <c r="D1163" s="8" t="str">
        <f t="shared" si="24"/>
        <v>2012-05 (май 2012)</v>
      </c>
      <c r="E1163" s="9" t="s">
        <v>78</v>
      </c>
      <c r="F1163" s="7">
        <v>22</v>
      </c>
      <c r="G1163" s="7">
        <v>110.42</v>
      </c>
      <c r="H1163" s="7">
        <v>0.09</v>
      </c>
      <c r="I1163" s="9" t="s">
        <v>22</v>
      </c>
      <c r="J1163" s="10">
        <v>-36.6</v>
      </c>
      <c r="K1163" s="11">
        <v>5.08</v>
      </c>
      <c r="L1163" s="11">
        <v>3.63</v>
      </c>
      <c r="M1163" s="9" t="s">
        <v>734</v>
      </c>
      <c r="N1163" s="6" t="s">
        <v>703</v>
      </c>
      <c r="O1163" s="6" t="s">
        <v>704</v>
      </c>
      <c r="P1163" s="9" t="s">
        <v>41</v>
      </c>
      <c r="Q1163" s="9" t="s">
        <v>49</v>
      </c>
      <c r="R1163" s="9" t="s">
        <v>50</v>
      </c>
      <c r="S1163" s="7" t="s">
        <v>939</v>
      </c>
      <c r="T1163" s="9" t="s">
        <v>68</v>
      </c>
      <c r="U1163" s="7">
        <v>0.51</v>
      </c>
      <c r="V1163" s="12">
        <f>C1163+1</f>
        <v>41059</v>
      </c>
      <c r="W1163">
        <f>IF(D1163=' Pivot Tables'!$A$4,1,0)</f>
        <v>0</v>
      </c>
      <c r="X1163">
        <f>IF(AND(LEFT(D1163,4)+1=LEFT(' Pivot Tables'!$A$4,4)+0,RIGHT(LEFT(D1163,7),2)=RIGHT(LEFT(' Pivot Tables'!$A$4,7),2)),1,0)</f>
        <v>0</v>
      </c>
      <c r="Y1163" s="6">
        <f>1/COUNTIF(Таблица1[Order ID],Таблица1[[#This Row],[Order ID]])</f>
        <v>0.5</v>
      </c>
      <c r="Z1163" s="9">
        <f>1/COUNTIFS(Таблица1[Customer Name],Таблица1[[#This Row],[Customer Name]],Таблица1[Order-Year-Month],Таблица1[[#This Row],[Order-Year-Month]])</f>
        <v>0.5</v>
      </c>
    </row>
    <row r="1164" spans="1:26" x14ac:dyDescent="0.2">
      <c r="A1164" s="6">
        <v>3618</v>
      </c>
      <c r="B1164" s="7">
        <v>25830</v>
      </c>
      <c r="C1164" s="8">
        <f>DATE(2012,12,31)-970</f>
        <v>40304</v>
      </c>
      <c r="D1164" s="8" t="str">
        <f t="shared" si="24"/>
        <v>2010-05 (май 2010)</v>
      </c>
      <c r="E1164" s="9" t="s">
        <v>21</v>
      </c>
      <c r="F1164" s="7">
        <v>5</v>
      </c>
      <c r="G1164" s="7">
        <v>25.34</v>
      </c>
      <c r="H1164" s="7">
        <v>0.1</v>
      </c>
      <c r="I1164" s="9" t="s">
        <v>22</v>
      </c>
      <c r="J1164" s="10">
        <v>-21.29</v>
      </c>
      <c r="K1164" s="11">
        <v>4.0599999999999996</v>
      </c>
      <c r="L1164" s="11">
        <v>6.89</v>
      </c>
      <c r="M1164" s="9" t="s">
        <v>929</v>
      </c>
      <c r="N1164" s="6" t="s">
        <v>703</v>
      </c>
      <c r="O1164" s="6" t="s">
        <v>704</v>
      </c>
      <c r="P1164" s="9" t="s">
        <v>33</v>
      </c>
      <c r="Q1164" s="9" t="s">
        <v>26</v>
      </c>
      <c r="R1164" s="9" t="s">
        <v>34</v>
      </c>
      <c r="S1164" s="7" t="s">
        <v>408</v>
      </c>
      <c r="T1164" s="9" t="s">
        <v>39</v>
      </c>
      <c r="U1164" s="7">
        <v>0.6</v>
      </c>
      <c r="V1164" s="12">
        <f>C1164+0</f>
        <v>40304</v>
      </c>
      <c r="W1164">
        <f>IF(D1164=' Pivot Tables'!$A$4,1,0)</f>
        <v>0</v>
      </c>
      <c r="X1164">
        <f>IF(AND(LEFT(D1164,4)+1=LEFT(' Pivot Tables'!$A$4,4)+0,RIGHT(LEFT(D1164,7),2)=RIGHT(LEFT(' Pivot Tables'!$A$4,7),2)),1,0)</f>
        <v>0</v>
      </c>
      <c r="Y1164" s="6">
        <f>1/COUNTIF(Таблица1[Order ID],Таблица1[[#This Row],[Order ID]])</f>
        <v>0.5</v>
      </c>
      <c r="Z1164" s="9">
        <f>1/COUNTIFS(Таблица1[Customer Name],Таблица1[[#This Row],[Customer Name]],Таблица1[Order-Year-Month],Таблица1[[#This Row],[Order-Year-Month]])</f>
        <v>0.5</v>
      </c>
    </row>
    <row r="1165" spans="1:26" x14ac:dyDescent="0.2">
      <c r="A1165" s="6">
        <v>3619</v>
      </c>
      <c r="B1165" s="7">
        <v>25830</v>
      </c>
      <c r="C1165" s="8">
        <f>DATE(2012,12,31)-970</f>
        <v>40304</v>
      </c>
      <c r="D1165" s="8" t="str">
        <f t="shared" si="24"/>
        <v>2010-05 (май 2010)</v>
      </c>
      <c r="E1165" s="9" t="s">
        <v>21</v>
      </c>
      <c r="F1165" s="7">
        <v>11</v>
      </c>
      <c r="G1165" s="7">
        <v>178.57</v>
      </c>
      <c r="H1165" s="7">
        <v>0.05</v>
      </c>
      <c r="I1165" s="9" t="s">
        <v>22</v>
      </c>
      <c r="J1165" s="10">
        <v>-37.386499999999998</v>
      </c>
      <c r="K1165" s="11">
        <v>15.28</v>
      </c>
      <c r="L1165" s="11">
        <v>10.91</v>
      </c>
      <c r="M1165" s="9" t="s">
        <v>929</v>
      </c>
      <c r="N1165" s="6" t="s">
        <v>703</v>
      </c>
      <c r="O1165" s="6" t="s">
        <v>704</v>
      </c>
      <c r="P1165" s="9" t="s">
        <v>33</v>
      </c>
      <c r="Q1165" s="9" t="s">
        <v>26</v>
      </c>
      <c r="R1165" s="9" t="s">
        <v>37</v>
      </c>
      <c r="S1165" s="7" t="s">
        <v>558</v>
      </c>
      <c r="T1165" s="9" t="s">
        <v>39</v>
      </c>
      <c r="U1165" s="7">
        <v>0.36</v>
      </c>
      <c r="V1165" s="12">
        <f>C1165+5</f>
        <v>40309</v>
      </c>
      <c r="W1165">
        <f>IF(D1165=' Pivot Tables'!$A$4,1,0)</f>
        <v>0</v>
      </c>
      <c r="X1165">
        <f>IF(AND(LEFT(D1165,4)+1=LEFT(' Pivot Tables'!$A$4,4)+0,RIGHT(LEFT(D1165,7),2)=RIGHT(LEFT(' Pivot Tables'!$A$4,7),2)),1,0)</f>
        <v>0</v>
      </c>
      <c r="Y1165" s="6">
        <f>1/COUNTIF(Таблица1[Order ID],Таблица1[[#This Row],[Order ID]])</f>
        <v>0.5</v>
      </c>
      <c r="Z1165" s="9">
        <f>1/COUNTIFS(Таблица1[Customer Name],Таблица1[[#This Row],[Customer Name]],Таблица1[Order-Year-Month],Таблица1[[#This Row],[Order-Year-Month]])</f>
        <v>0.5</v>
      </c>
    </row>
    <row r="1166" spans="1:26" x14ac:dyDescent="0.2">
      <c r="A1166" s="6">
        <v>3684</v>
      </c>
      <c r="B1166" s="7">
        <v>26342</v>
      </c>
      <c r="C1166" s="8">
        <f>DATE(2012,12,31)-1170</f>
        <v>40104</v>
      </c>
      <c r="D1166" s="8" t="str">
        <f t="shared" si="24"/>
        <v>2009-10 (октябрь 2009)</v>
      </c>
      <c r="E1166" s="9" t="s">
        <v>21</v>
      </c>
      <c r="F1166" s="7">
        <v>24</v>
      </c>
      <c r="G1166" s="7">
        <v>265.35000000000002</v>
      </c>
      <c r="H1166" s="7">
        <v>0.02</v>
      </c>
      <c r="I1166" s="9" t="s">
        <v>22</v>
      </c>
      <c r="J1166" s="10">
        <v>-128.69</v>
      </c>
      <c r="K1166" s="11">
        <v>9.99</v>
      </c>
      <c r="L1166" s="11">
        <v>11.59</v>
      </c>
      <c r="M1166" s="9" t="s">
        <v>888</v>
      </c>
      <c r="N1166" s="6" t="s">
        <v>703</v>
      </c>
      <c r="O1166" s="6" t="s">
        <v>704</v>
      </c>
      <c r="P1166" s="9" t="s">
        <v>60</v>
      </c>
      <c r="Q1166" s="9" t="s">
        <v>26</v>
      </c>
      <c r="R1166" s="9" t="s">
        <v>61</v>
      </c>
      <c r="S1166" s="7" t="s">
        <v>698</v>
      </c>
      <c r="T1166" s="9" t="s">
        <v>39</v>
      </c>
      <c r="U1166" s="7">
        <v>0.4</v>
      </c>
      <c r="V1166" s="12">
        <f>C1166+9</f>
        <v>40113</v>
      </c>
      <c r="W1166">
        <f>IF(D1166=' Pivot Tables'!$A$4,1,0)</f>
        <v>0</v>
      </c>
      <c r="X1166">
        <f>IF(AND(LEFT(D1166,4)+1=LEFT(' Pivot Tables'!$A$4,4)+0,RIGHT(LEFT(D1166,7),2)=RIGHT(LEFT(' Pivot Tables'!$A$4,7),2)),1,0)</f>
        <v>0</v>
      </c>
      <c r="Y1166" s="6">
        <f>1/COUNTIF(Таблица1[Order ID],Таблица1[[#This Row],[Order ID]])</f>
        <v>0.33333333333333331</v>
      </c>
      <c r="Z1166" s="9">
        <f>1/COUNTIFS(Таблица1[Customer Name],Таблица1[[#This Row],[Customer Name]],Таблица1[Order-Year-Month],Таблица1[[#This Row],[Order-Year-Month]])</f>
        <v>0.33333333333333331</v>
      </c>
    </row>
    <row r="1167" spans="1:26" x14ac:dyDescent="0.2">
      <c r="A1167" s="6">
        <v>3685</v>
      </c>
      <c r="B1167" s="7">
        <v>26342</v>
      </c>
      <c r="C1167" s="8">
        <f>DATE(2012,12,31)-1170</f>
        <v>40104</v>
      </c>
      <c r="D1167" s="8" t="str">
        <f t="shared" si="24"/>
        <v>2009-10 (октябрь 2009)</v>
      </c>
      <c r="E1167" s="9" t="s">
        <v>21</v>
      </c>
      <c r="F1167" s="7">
        <v>41</v>
      </c>
      <c r="G1167" s="7">
        <v>1993.94</v>
      </c>
      <c r="H1167" s="7">
        <v>0.02</v>
      </c>
      <c r="I1167" s="9" t="s">
        <v>22</v>
      </c>
      <c r="J1167" s="10">
        <v>931.7</v>
      </c>
      <c r="K1167" s="11">
        <v>48.04</v>
      </c>
      <c r="L1167" s="11">
        <v>5.79</v>
      </c>
      <c r="M1167" s="9" t="s">
        <v>888</v>
      </c>
      <c r="N1167" s="6" t="s">
        <v>703</v>
      </c>
      <c r="O1167" s="6" t="s">
        <v>704</v>
      </c>
      <c r="P1167" s="9" t="s">
        <v>60</v>
      </c>
      <c r="Q1167" s="9" t="s">
        <v>26</v>
      </c>
      <c r="R1167" s="9" t="s">
        <v>61</v>
      </c>
      <c r="S1167" s="7" t="s">
        <v>940</v>
      </c>
      <c r="T1167" s="9" t="s">
        <v>39</v>
      </c>
      <c r="U1167" s="7">
        <v>0.37</v>
      </c>
      <c r="V1167" s="12">
        <f>C1167+5</f>
        <v>40109</v>
      </c>
      <c r="W1167">
        <f>IF(D1167=' Pivot Tables'!$A$4,1,0)</f>
        <v>0</v>
      </c>
      <c r="X1167">
        <f>IF(AND(LEFT(D1167,4)+1=LEFT(' Pivot Tables'!$A$4,4)+0,RIGHT(LEFT(D1167,7),2)=RIGHT(LEFT(' Pivot Tables'!$A$4,7),2)),1,0)</f>
        <v>0</v>
      </c>
      <c r="Y1167" s="6">
        <f>1/COUNTIF(Таблица1[Order ID],Таблица1[[#This Row],[Order ID]])</f>
        <v>0.33333333333333331</v>
      </c>
      <c r="Z1167" s="9">
        <f>1/COUNTIFS(Таблица1[Customer Name],Таблица1[[#This Row],[Customer Name]],Таблица1[Order-Year-Month],Таблица1[[#This Row],[Order-Year-Month]])</f>
        <v>0.33333333333333331</v>
      </c>
    </row>
    <row r="1168" spans="1:26" x14ac:dyDescent="0.2">
      <c r="A1168" s="6">
        <v>3686</v>
      </c>
      <c r="B1168" s="7">
        <v>26342</v>
      </c>
      <c r="C1168" s="8">
        <f>DATE(2012,12,31)-1170</f>
        <v>40104</v>
      </c>
      <c r="D1168" s="8" t="str">
        <f t="shared" si="24"/>
        <v>2009-10 (октябрь 2009)</v>
      </c>
      <c r="E1168" s="9" t="s">
        <v>21</v>
      </c>
      <c r="F1168" s="7">
        <v>3</v>
      </c>
      <c r="G1168" s="7">
        <v>24.73</v>
      </c>
      <c r="H1168" s="7">
        <v>0.04</v>
      </c>
      <c r="I1168" s="9" t="s">
        <v>22</v>
      </c>
      <c r="J1168" s="10">
        <v>-10.77</v>
      </c>
      <c r="K1168" s="11">
        <v>6.68</v>
      </c>
      <c r="L1168" s="11">
        <v>4.91</v>
      </c>
      <c r="M1168" s="9" t="s">
        <v>888</v>
      </c>
      <c r="N1168" s="6" t="s">
        <v>703</v>
      </c>
      <c r="O1168" s="6" t="s">
        <v>704</v>
      </c>
      <c r="P1168" s="9" t="s">
        <v>60</v>
      </c>
      <c r="Q1168" s="9" t="s">
        <v>26</v>
      </c>
      <c r="R1168" s="9" t="s">
        <v>61</v>
      </c>
      <c r="S1168" s="7" t="s">
        <v>941</v>
      </c>
      <c r="T1168" s="9" t="s">
        <v>39</v>
      </c>
      <c r="U1168" s="7">
        <v>0.37</v>
      </c>
      <c r="V1168" s="12">
        <f>C1168+7</f>
        <v>40111</v>
      </c>
      <c r="W1168">
        <f>IF(D1168=' Pivot Tables'!$A$4,1,0)</f>
        <v>0</v>
      </c>
      <c r="X1168">
        <f>IF(AND(LEFT(D1168,4)+1=LEFT(' Pivot Tables'!$A$4,4)+0,RIGHT(LEFT(D1168,7),2)=RIGHT(LEFT(' Pivot Tables'!$A$4,7),2)),1,0)</f>
        <v>0</v>
      </c>
      <c r="Y1168" s="6">
        <f>1/COUNTIF(Таблица1[Order ID],Таблица1[[#This Row],[Order ID]])</f>
        <v>0.33333333333333331</v>
      </c>
      <c r="Z1168" s="9">
        <f>1/COUNTIFS(Таблица1[Customer Name],Таблица1[[#This Row],[Customer Name]],Таблица1[Order-Year-Month],Таблица1[[#This Row],[Order-Year-Month]])</f>
        <v>0.33333333333333331</v>
      </c>
    </row>
    <row r="1169" spans="1:26" x14ac:dyDescent="0.2">
      <c r="A1169" s="6">
        <v>3687</v>
      </c>
      <c r="B1169" s="7">
        <v>26368</v>
      </c>
      <c r="C1169" s="8">
        <f>DATE(2012,12,31)-900</f>
        <v>40374</v>
      </c>
      <c r="D1169" s="8" t="str">
        <f t="shared" si="24"/>
        <v>2010-07 (июль 2010)</v>
      </c>
      <c r="E1169" s="9" t="s">
        <v>63</v>
      </c>
      <c r="F1169" s="7">
        <v>25</v>
      </c>
      <c r="G1169" s="7">
        <v>1809.0125</v>
      </c>
      <c r="H1169" s="7">
        <v>0.01</v>
      </c>
      <c r="I1169" s="9" t="s">
        <v>22</v>
      </c>
      <c r="J1169" s="10">
        <v>795.05099999999993</v>
      </c>
      <c r="K1169" s="11">
        <v>85.99</v>
      </c>
      <c r="L1169" s="11">
        <v>2.5</v>
      </c>
      <c r="M1169" s="9" t="s">
        <v>874</v>
      </c>
      <c r="N1169" s="6" t="s">
        <v>703</v>
      </c>
      <c r="O1169" s="6" t="s">
        <v>704</v>
      </c>
      <c r="P1169" s="9" t="s">
        <v>41</v>
      </c>
      <c r="Q1169" s="9" t="s">
        <v>42</v>
      </c>
      <c r="R1169" s="9" t="s">
        <v>43</v>
      </c>
      <c r="S1169" s="7" t="s">
        <v>440</v>
      </c>
      <c r="T1169" s="9" t="s">
        <v>39</v>
      </c>
      <c r="U1169" s="7">
        <v>0.35</v>
      </c>
      <c r="V1169" s="12">
        <f>C1169+2</f>
        <v>40376</v>
      </c>
      <c r="W1169">
        <f>IF(D1169=' Pivot Tables'!$A$4,1,0)</f>
        <v>0</v>
      </c>
      <c r="X1169">
        <f>IF(AND(LEFT(D1169,4)+1=LEFT(' Pivot Tables'!$A$4,4)+0,RIGHT(LEFT(D1169,7),2)=RIGHT(LEFT(' Pivot Tables'!$A$4,7),2)),1,0)</f>
        <v>0</v>
      </c>
      <c r="Y1169" s="6">
        <f>1/COUNTIF(Таблица1[Order ID],Таблица1[[#This Row],[Order ID]])</f>
        <v>1</v>
      </c>
      <c r="Z1169" s="9">
        <f>1/COUNTIFS(Таблица1[Customer Name],Таблица1[[#This Row],[Customer Name]],Таблица1[Order-Year-Month],Таблица1[[#This Row],[Order-Year-Month]])</f>
        <v>1</v>
      </c>
    </row>
    <row r="1170" spans="1:26" x14ac:dyDescent="0.2">
      <c r="A1170" s="6">
        <v>3690</v>
      </c>
      <c r="B1170" s="7">
        <v>26372</v>
      </c>
      <c r="C1170" s="8">
        <f>DATE(2012,12,31)-1268</f>
        <v>40006</v>
      </c>
      <c r="D1170" s="8" t="str">
        <f t="shared" si="24"/>
        <v>2009-07 (июль 2009)</v>
      </c>
      <c r="E1170" s="9" t="s">
        <v>21</v>
      </c>
      <c r="F1170" s="7">
        <v>1</v>
      </c>
      <c r="G1170" s="7">
        <v>31.96</v>
      </c>
      <c r="H1170" s="7">
        <v>0.01</v>
      </c>
      <c r="I1170" s="9" t="s">
        <v>22</v>
      </c>
      <c r="J1170" s="10">
        <v>-74.64</v>
      </c>
      <c r="K1170" s="11">
        <v>29.89</v>
      </c>
      <c r="L1170" s="11">
        <v>1.99</v>
      </c>
      <c r="M1170" s="9" t="s">
        <v>884</v>
      </c>
      <c r="N1170" s="6" t="s">
        <v>703</v>
      </c>
      <c r="O1170" s="6" t="s">
        <v>704</v>
      </c>
      <c r="P1170" s="9" t="s">
        <v>41</v>
      </c>
      <c r="Q1170" s="9" t="s">
        <v>42</v>
      </c>
      <c r="R1170" s="9" t="s">
        <v>70</v>
      </c>
      <c r="S1170" s="7" t="s">
        <v>547</v>
      </c>
      <c r="T1170" s="9" t="s">
        <v>52</v>
      </c>
      <c r="U1170" s="7">
        <v>0.5</v>
      </c>
      <c r="V1170" s="12">
        <f>C1170+4</f>
        <v>40010</v>
      </c>
      <c r="W1170">
        <f>IF(D1170=' Pivot Tables'!$A$4,1,0)</f>
        <v>0</v>
      </c>
      <c r="X1170">
        <f>IF(AND(LEFT(D1170,4)+1=LEFT(' Pivot Tables'!$A$4,4)+0,RIGHT(LEFT(D1170,7),2)=RIGHT(LEFT(' Pivot Tables'!$A$4,7),2)),1,0)</f>
        <v>0</v>
      </c>
      <c r="Y1170" s="6">
        <f>1/COUNTIF(Таблица1[Order ID],Таблица1[[#This Row],[Order ID]])</f>
        <v>1</v>
      </c>
      <c r="Z1170" s="9">
        <f>1/COUNTIFS(Таблица1[Customer Name],Таблица1[[#This Row],[Customer Name]],Таблица1[Order-Year-Month],Таблица1[[#This Row],[Order-Year-Month]])</f>
        <v>1</v>
      </c>
    </row>
    <row r="1171" spans="1:26" x14ac:dyDescent="0.2">
      <c r="A1171" s="6">
        <v>3743</v>
      </c>
      <c r="B1171" s="7">
        <v>26756</v>
      </c>
      <c r="C1171" s="8">
        <f>DATE(2012,12,31)-235</f>
        <v>41039</v>
      </c>
      <c r="D1171" s="8" t="str">
        <f t="shared" si="24"/>
        <v>2012-05 (май 2012)</v>
      </c>
      <c r="E1171" s="9" t="s">
        <v>63</v>
      </c>
      <c r="F1171" s="7">
        <v>25</v>
      </c>
      <c r="G1171" s="7">
        <v>767.26</v>
      </c>
      <c r="H1171" s="7">
        <v>7.0000000000000007E-2</v>
      </c>
      <c r="I1171" s="9" t="s">
        <v>22</v>
      </c>
      <c r="J1171" s="10">
        <v>-29.56</v>
      </c>
      <c r="K1171" s="11">
        <v>30.97</v>
      </c>
      <c r="L1171" s="11">
        <v>4</v>
      </c>
      <c r="M1171" s="9" t="s">
        <v>866</v>
      </c>
      <c r="N1171" s="6" t="s">
        <v>703</v>
      </c>
      <c r="O1171" s="6" t="s">
        <v>704</v>
      </c>
      <c r="P1171" s="9" t="s">
        <v>60</v>
      </c>
      <c r="Q1171" s="9" t="s">
        <v>42</v>
      </c>
      <c r="R1171" s="9" t="s">
        <v>70</v>
      </c>
      <c r="S1171" s="7" t="s">
        <v>942</v>
      </c>
      <c r="T1171" s="9" t="s">
        <v>39</v>
      </c>
      <c r="U1171" s="7">
        <v>0.74</v>
      </c>
      <c r="V1171" s="12">
        <f>C1171+0</f>
        <v>41039</v>
      </c>
      <c r="W1171">
        <f>IF(D1171=' Pivot Tables'!$A$4,1,0)</f>
        <v>0</v>
      </c>
      <c r="X1171">
        <f>IF(AND(LEFT(D1171,4)+1=LEFT(' Pivot Tables'!$A$4,4)+0,RIGHT(LEFT(D1171,7),2)=RIGHT(LEFT(' Pivot Tables'!$A$4,7),2)),1,0)</f>
        <v>0</v>
      </c>
      <c r="Y1171" s="6">
        <f>1/COUNTIF(Таблица1[Order ID],Таблица1[[#This Row],[Order ID]])</f>
        <v>0.33333333333333331</v>
      </c>
      <c r="Z1171" s="9">
        <f>1/COUNTIFS(Таблица1[Customer Name],Таблица1[[#This Row],[Customer Name]],Таблица1[Order-Year-Month],Таблица1[[#This Row],[Order-Year-Month]])</f>
        <v>0.33333333333333331</v>
      </c>
    </row>
    <row r="1172" spans="1:26" x14ac:dyDescent="0.2">
      <c r="A1172" s="6">
        <v>3744</v>
      </c>
      <c r="B1172" s="7">
        <v>26756</v>
      </c>
      <c r="C1172" s="8">
        <f>DATE(2012,12,31)-235</f>
        <v>41039</v>
      </c>
      <c r="D1172" s="8" t="str">
        <f t="shared" si="24"/>
        <v>2012-05 (май 2012)</v>
      </c>
      <c r="E1172" s="9" t="s">
        <v>63</v>
      </c>
      <c r="F1172" s="7">
        <v>40</v>
      </c>
      <c r="G1172" s="7">
        <v>253.89</v>
      </c>
      <c r="H1172" s="7">
        <v>0.09</v>
      </c>
      <c r="I1172" s="9" t="s">
        <v>22</v>
      </c>
      <c r="J1172" s="10">
        <v>-103.77</v>
      </c>
      <c r="K1172" s="11">
        <v>6.48</v>
      </c>
      <c r="L1172" s="11">
        <v>6.22</v>
      </c>
      <c r="M1172" s="9" t="s">
        <v>866</v>
      </c>
      <c r="N1172" s="6" t="s">
        <v>703</v>
      </c>
      <c r="O1172" s="6" t="s">
        <v>704</v>
      </c>
      <c r="P1172" s="9" t="s">
        <v>60</v>
      </c>
      <c r="Q1172" s="9" t="s">
        <v>26</v>
      </c>
      <c r="R1172" s="9" t="s">
        <v>61</v>
      </c>
      <c r="S1172" s="7" t="s">
        <v>943</v>
      </c>
      <c r="T1172" s="9" t="s">
        <v>39</v>
      </c>
      <c r="U1172" s="7">
        <v>0.37</v>
      </c>
      <c r="V1172" s="12">
        <f>C1172+2</f>
        <v>41041</v>
      </c>
      <c r="W1172">
        <f>IF(D1172=' Pivot Tables'!$A$4,1,0)</f>
        <v>0</v>
      </c>
      <c r="X1172">
        <f>IF(AND(LEFT(D1172,4)+1=LEFT(' Pivot Tables'!$A$4,4)+0,RIGHT(LEFT(D1172,7),2)=RIGHT(LEFT(' Pivot Tables'!$A$4,7),2)),1,0)</f>
        <v>0</v>
      </c>
      <c r="Y1172" s="6">
        <f>1/COUNTIF(Таблица1[Order ID],Таблица1[[#This Row],[Order ID]])</f>
        <v>0.33333333333333331</v>
      </c>
      <c r="Z1172" s="9">
        <f>1/COUNTIFS(Таблица1[Customer Name],Таблица1[[#This Row],[Customer Name]],Таблица1[Order-Year-Month],Таблица1[[#This Row],[Order-Year-Month]])</f>
        <v>0.33333333333333331</v>
      </c>
    </row>
    <row r="1173" spans="1:26" x14ac:dyDescent="0.2">
      <c r="A1173" s="6">
        <v>3745</v>
      </c>
      <c r="B1173" s="7">
        <v>26756</v>
      </c>
      <c r="C1173" s="8">
        <f>DATE(2012,12,31)-235</f>
        <v>41039</v>
      </c>
      <c r="D1173" s="8" t="str">
        <f t="shared" si="24"/>
        <v>2012-05 (май 2012)</v>
      </c>
      <c r="E1173" s="9" t="s">
        <v>63</v>
      </c>
      <c r="F1173" s="7">
        <v>20</v>
      </c>
      <c r="G1173" s="7">
        <v>127.9</v>
      </c>
      <c r="H1173" s="7">
        <v>7.0000000000000007E-2</v>
      </c>
      <c r="I1173" s="9" t="s">
        <v>22</v>
      </c>
      <c r="J1173" s="10">
        <v>-80.41</v>
      </c>
      <c r="K1173" s="11">
        <v>6.48</v>
      </c>
      <c r="L1173" s="11">
        <v>7.37</v>
      </c>
      <c r="M1173" s="9" t="s">
        <v>866</v>
      </c>
      <c r="N1173" s="6" t="s">
        <v>703</v>
      </c>
      <c r="O1173" s="6" t="s">
        <v>704</v>
      </c>
      <c r="P1173" s="9" t="s">
        <v>60</v>
      </c>
      <c r="Q1173" s="9" t="s">
        <v>26</v>
      </c>
      <c r="R1173" s="9" t="s">
        <v>61</v>
      </c>
      <c r="S1173" s="7" t="s">
        <v>859</v>
      </c>
      <c r="T1173" s="9" t="s">
        <v>39</v>
      </c>
      <c r="U1173" s="7">
        <v>0.37</v>
      </c>
      <c r="V1173" s="12">
        <f>C1173+2</f>
        <v>41041</v>
      </c>
      <c r="W1173">
        <f>IF(D1173=' Pivot Tables'!$A$4,1,0)</f>
        <v>0</v>
      </c>
      <c r="X1173">
        <f>IF(AND(LEFT(D1173,4)+1=LEFT(' Pivot Tables'!$A$4,4)+0,RIGHT(LEFT(D1173,7),2)=RIGHT(LEFT(' Pivot Tables'!$A$4,7),2)),1,0)</f>
        <v>0</v>
      </c>
      <c r="Y1173" s="6">
        <f>1/COUNTIF(Таблица1[Order ID],Таблица1[[#This Row],[Order ID]])</f>
        <v>0.33333333333333331</v>
      </c>
      <c r="Z1173" s="9">
        <f>1/COUNTIFS(Таблица1[Customer Name],Таблица1[[#This Row],[Customer Name]],Таблица1[Order-Year-Month],Таблица1[[#This Row],[Order-Year-Month]])</f>
        <v>0.33333333333333331</v>
      </c>
    </row>
    <row r="1174" spans="1:26" x14ac:dyDescent="0.2">
      <c r="A1174" s="6">
        <v>3757</v>
      </c>
      <c r="B1174" s="7">
        <v>26851</v>
      </c>
      <c r="C1174" s="8">
        <f>DATE(2012,12,31)-526</f>
        <v>40748</v>
      </c>
      <c r="D1174" s="8" t="str">
        <f t="shared" si="24"/>
        <v>2011-07 (июль 2011)</v>
      </c>
      <c r="E1174" s="9" t="s">
        <v>30</v>
      </c>
      <c r="F1174" s="7">
        <v>44</v>
      </c>
      <c r="G1174" s="7">
        <v>73.64</v>
      </c>
      <c r="H1174" s="7">
        <v>7.0000000000000007E-2</v>
      </c>
      <c r="I1174" s="9" t="s">
        <v>22</v>
      </c>
      <c r="J1174" s="10">
        <v>-58.87</v>
      </c>
      <c r="K1174" s="11">
        <v>1.7</v>
      </c>
      <c r="L1174" s="11">
        <v>1.99</v>
      </c>
      <c r="M1174" s="9" t="s">
        <v>944</v>
      </c>
      <c r="N1174" s="6" t="s">
        <v>703</v>
      </c>
      <c r="O1174" s="6" t="s">
        <v>704</v>
      </c>
      <c r="P1174" s="9" t="s">
        <v>41</v>
      </c>
      <c r="Q1174" s="9" t="s">
        <v>42</v>
      </c>
      <c r="R1174" s="9" t="s">
        <v>70</v>
      </c>
      <c r="S1174" s="7" t="s">
        <v>945</v>
      </c>
      <c r="T1174" s="9" t="s">
        <v>52</v>
      </c>
      <c r="U1174" s="7">
        <v>0.51</v>
      </c>
      <c r="V1174" s="12">
        <f>C1174+2</f>
        <v>40750</v>
      </c>
      <c r="W1174">
        <f>IF(D1174=' Pivot Tables'!$A$4,1,0)</f>
        <v>0</v>
      </c>
      <c r="X1174">
        <f>IF(AND(LEFT(D1174,4)+1=LEFT(' Pivot Tables'!$A$4,4)+0,RIGHT(LEFT(D1174,7),2)=RIGHT(LEFT(' Pivot Tables'!$A$4,7),2)),1,0)</f>
        <v>0</v>
      </c>
      <c r="Y1174" s="6">
        <f>1/COUNTIF(Таблица1[Order ID],Таблица1[[#This Row],[Order ID]])</f>
        <v>1</v>
      </c>
      <c r="Z1174" s="9">
        <f>1/COUNTIFS(Таблица1[Customer Name],Таблица1[[#This Row],[Customer Name]],Таблица1[Order-Year-Month],Таблица1[[#This Row],[Order-Year-Month]])</f>
        <v>1</v>
      </c>
    </row>
    <row r="1175" spans="1:26" x14ac:dyDescent="0.2">
      <c r="A1175" s="6">
        <v>3787</v>
      </c>
      <c r="B1175" s="7">
        <v>26981</v>
      </c>
      <c r="C1175" s="8">
        <f>DATE(2012,12,31)-123</f>
        <v>41151</v>
      </c>
      <c r="D1175" s="8" t="str">
        <f t="shared" si="24"/>
        <v>2012-08 (август 2012)</v>
      </c>
      <c r="E1175" s="9" t="s">
        <v>63</v>
      </c>
      <c r="F1175" s="7">
        <v>13</v>
      </c>
      <c r="G1175" s="7">
        <v>603.34699999999998</v>
      </c>
      <c r="H1175" s="7">
        <v>0.08</v>
      </c>
      <c r="I1175" s="9" t="s">
        <v>22</v>
      </c>
      <c r="J1175" s="10">
        <v>142.983</v>
      </c>
      <c r="K1175" s="11">
        <v>55.99</v>
      </c>
      <c r="L1175" s="11">
        <v>1.25</v>
      </c>
      <c r="M1175" s="9" t="s">
        <v>904</v>
      </c>
      <c r="N1175" s="6" t="s">
        <v>703</v>
      </c>
      <c r="O1175" s="6" t="s">
        <v>704</v>
      </c>
      <c r="P1175" s="9" t="s">
        <v>60</v>
      </c>
      <c r="Q1175" s="9" t="s">
        <v>42</v>
      </c>
      <c r="R1175" s="9" t="s">
        <v>43</v>
      </c>
      <c r="S1175" s="7" t="s">
        <v>946</v>
      </c>
      <c r="T1175" s="9" t="s">
        <v>52</v>
      </c>
      <c r="U1175" s="7">
        <v>0.35</v>
      </c>
      <c r="V1175" s="12">
        <f>C1175+0</f>
        <v>41151</v>
      </c>
      <c r="W1175">
        <f>IF(D1175=' Pivot Tables'!$A$4,1,0)</f>
        <v>0</v>
      </c>
      <c r="X1175">
        <f>IF(AND(LEFT(D1175,4)+1=LEFT(' Pivot Tables'!$A$4,4)+0,RIGHT(LEFT(D1175,7),2)=RIGHT(LEFT(' Pivot Tables'!$A$4,7),2)),1,0)</f>
        <v>0</v>
      </c>
      <c r="Y1175" s="6">
        <f>1/COUNTIF(Таблица1[Order ID],Таблица1[[#This Row],[Order ID]])</f>
        <v>0.5</v>
      </c>
      <c r="Z1175" s="9">
        <f>1/COUNTIFS(Таблица1[Customer Name],Таблица1[[#This Row],[Customer Name]],Таблица1[Order-Year-Month],Таблица1[[#This Row],[Order-Year-Month]])</f>
        <v>0.5</v>
      </c>
    </row>
    <row r="1176" spans="1:26" x14ac:dyDescent="0.2">
      <c r="A1176" s="6">
        <v>3788</v>
      </c>
      <c r="B1176" s="7">
        <v>26981</v>
      </c>
      <c r="C1176" s="8">
        <f>DATE(2012,12,31)-123</f>
        <v>41151</v>
      </c>
      <c r="D1176" s="8" t="str">
        <f t="shared" si="24"/>
        <v>2012-08 (август 2012)</v>
      </c>
      <c r="E1176" s="9" t="s">
        <v>63</v>
      </c>
      <c r="F1176" s="7">
        <v>44</v>
      </c>
      <c r="G1176" s="7">
        <v>770.53</v>
      </c>
      <c r="H1176" s="7">
        <v>0.04</v>
      </c>
      <c r="I1176" s="9" t="s">
        <v>22</v>
      </c>
      <c r="J1176" s="10">
        <v>30.17</v>
      </c>
      <c r="K1176" s="11">
        <v>16.91</v>
      </c>
      <c r="L1176" s="11">
        <v>6.25</v>
      </c>
      <c r="M1176" s="9" t="s">
        <v>904</v>
      </c>
      <c r="N1176" s="6" t="s">
        <v>703</v>
      </c>
      <c r="O1176" s="6" t="s">
        <v>704</v>
      </c>
      <c r="P1176" s="9" t="s">
        <v>60</v>
      </c>
      <c r="Q1176" s="9" t="s">
        <v>26</v>
      </c>
      <c r="R1176" s="9" t="s">
        <v>27</v>
      </c>
      <c r="S1176" s="7" t="s">
        <v>794</v>
      </c>
      <c r="T1176" s="9" t="s">
        <v>39</v>
      </c>
      <c r="U1176" s="7">
        <v>0.57999999999999996</v>
      </c>
      <c r="V1176" s="12">
        <f>C1176+1</f>
        <v>41152</v>
      </c>
      <c r="W1176">
        <f>IF(D1176=' Pivot Tables'!$A$4,1,0)</f>
        <v>0</v>
      </c>
      <c r="X1176">
        <f>IF(AND(LEFT(D1176,4)+1=LEFT(' Pivot Tables'!$A$4,4)+0,RIGHT(LEFT(D1176,7),2)=RIGHT(LEFT(' Pivot Tables'!$A$4,7),2)),1,0)</f>
        <v>0</v>
      </c>
      <c r="Y1176" s="6">
        <f>1/COUNTIF(Таблица1[Order ID],Таблица1[[#This Row],[Order ID]])</f>
        <v>0.5</v>
      </c>
      <c r="Z1176" s="9">
        <f>1/COUNTIFS(Таблица1[Customer Name],Таблица1[[#This Row],[Customer Name]],Таблица1[Order-Year-Month],Таблица1[[#This Row],[Order-Year-Month]])</f>
        <v>0.5</v>
      </c>
    </row>
    <row r="1177" spans="1:26" x14ac:dyDescent="0.2">
      <c r="A1177" s="6">
        <v>3827</v>
      </c>
      <c r="B1177" s="7">
        <v>27298</v>
      </c>
      <c r="C1177" s="8">
        <f>DATE(2012,12,31)-408</f>
        <v>40866</v>
      </c>
      <c r="D1177" s="8" t="str">
        <f t="shared" si="24"/>
        <v>2011-11 (ноябрь 2011)</v>
      </c>
      <c r="E1177" s="9" t="s">
        <v>21</v>
      </c>
      <c r="F1177" s="7">
        <v>40</v>
      </c>
      <c r="G1177" s="7">
        <v>7813.7</v>
      </c>
      <c r="H1177" s="7">
        <v>0.09</v>
      </c>
      <c r="I1177" s="9" t="s">
        <v>22</v>
      </c>
      <c r="J1177" s="10">
        <v>2154.33</v>
      </c>
      <c r="K1177" s="11">
        <v>199.99</v>
      </c>
      <c r="L1177" s="11">
        <v>24.49</v>
      </c>
      <c r="M1177" s="9" t="s">
        <v>947</v>
      </c>
      <c r="N1177" s="6" t="s">
        <v>703</v>
      </c>
      <c r="O1177" s="6" t="s">
        <v>704</v>
      </c>
      <c r="P1177" s="9" t="s">
        <v>25</v>
      </c>
      <c r="Q1177" s="9" t="s">
        <v>42</v>
      </c>
      <c r="R1177" s="9" t="s">
        <v>99</v>
      </c>
      <c r="S1177" s="7" t="s">
        <v>619</v>
      </c>
      <c r="T1177" s="9" t="s">
        <v>29</v>
      </c>
      <c r="U1177" s="7">
        <v>0.46</v>
      </c>
      <c r="V1177" s="12">
        <f>C1177+4</f>
        <v>40870</v>
      </c>
      <c r="W1177">
        <f>IF(D1177=' Pivot Tables'!$A$4,1,0)</f>
        <v>0</v>
      </c>
      <c r="X1177">
        <f>IF(AND(LEFT(D1177,4)+1=LEFT(' Pivot Tables'!$A$4,4)+0,RIGHT(LEFT(D1177,7),2)=RIGHT(LEFT(' Pivot Tables'!$A$4,7),2)),1,0)</f>
        <v>0</v>
      </c>
      <c r="Y1177" s="6">
        <f>1/COUNTIF(Таблица1[Order ID],Таблица1[[#This Row],[Order ID]])</f>
        <v>0.5</v>
      </c>
      <c r="Z1177" s="9">
        <f>1/COUNTIFS(Таблица1[Customer Name],Таблица1[[#This Row],[Customer Name]],Таблица1[Order-Year-Month],Таблица1[[#This Row],[Order-Year-Month]])</f>
        <v>0.5</v>
      </c>
    </row>
    <row r="1178" spans="1:26" x14ac:dyDescent="0.2">
      <c r="A1178" s="6">
        <v>3828</v>
      </c>
      <c r="B1178" s="7">
        <v>27298</v>
      </c>
      <c r="C1178" s="8">
        <f>DATE(2012,12,31)-408</f>
        <v>40866</v>
      </c>
      <c r="D1178" s="8" t="str">
        <f t="shared" si="24"/>
        <v>2011-11 (ноябрь 2011)</v>
      </c>
      <c r="E1178" s="9" t="s">
        <v>21</v>
      </c>
      <c r="F1178" s="7">
        <v>31</v>
      </c>
      <c r="G1178" s="7">
        <v>164.92</v>
      </c>
      <c r="H1178" s="7">
        <v>0.04</v>
      </c>
      <c r="I1178" s="9" t="s">
        <v>22</v>
      </c>
      <c r="J1178" s="10">
        <v>-54.36</v>
      </c>
      <c r="K1178" s="11">
        <v>4.9800000000000004</v>
      </c>
      <c r="L1178" s="11">
        <v>4.8600000000000003</v>
      </c>
      <c r="M1178" s="9" t="s">
        <v>947</v>
      </c>
      <c r="N1178" s="6" t="s">
        <v>703</v>
      </c>
      <c r="O1178" s="6" t="s">
        <v>704</v>
      </c>
      <c r="P1178" s="9" t="s">
        <v>25</v>
      </c>
      <c r="Q1178" s="9" t="s">
        <v>26</v>
      </c>
      <c r="R1178" s="9" t="s">
        <v>61</v>
      </c>
      <c r="S1178" s="7" t="s">
        <v>307</v>
      </c>
      <c r="T1178" s="9" t="s">
        <v>39</v>
      </c>
      <c r="U1178" s="7">
        <v>0.38</v>
      </c>
      <c r="V1178" s="12">
        <f>C1178+5</f>
        <v>40871</v>
      </c>
      <c r="W1178">
        <f>IF(D1178=' Pivot Tables'!$A$4,1,0)</f>
        <v>0</v>
      </c>
      <c r="X1178">
        <f>IF(AND(LEFT(D1178,4)+1=LEFT(' Pivot Tables'!$A$4,4)+0,RIGHT(LEFT(D1178,7),2)=RIGHT(LEFT(' Pivot Tables'!$A$4,7),2)),1,0)</f>
        <v>0</v>
      </c>
      <c r="Y1178" s="6">
        <f>1/COUNTIF(Таблица1[Order ID],Таблица1[[#This Row],[Order ID]])</f>
        <v>0.5</v>
      </c>
      <c r="Z1178" s="9">
        <f>1/COUNTIFS(Таблица1[Customer Name],Таблица1[[#This Row],[Customer Name]],Таблица1[Order-Year-Month],Таблица1[[#This Row],[Order-Year-Month]])</f>
        <v>0.5</v>
      </c>
    </row>
    <row r="1179" spans="1:26" x14ac:dyDescent="0.2">
      <c r="A1179" s="6">
        <v>3834</v>
      </c>
      <c r="B1179" s="7">
        <v>27330</v>
      </c>
      <c r="C1179" s="8">
        <f>DATE(2012,12,31)-1202</f>
        <v>40072</v>
      </c>
      <c r="D1179" s="8" t="str">
        <f t="shared" si="24"/>
        <v>2009-09 (сентябрь 2009)</v>
      </c>
      <c r="E1179" s="9" t="s">
        <v>21</v>
      </c>
      <c r="F1179" s="7">
        <v>8</v>
      </c>
      <c r="G1179" s="7">
        <v>507.74</v>
      </c>
      <c r="H1179" s="7">
        <v>0.05</v>
      </c>
      <c r="I1179" s="9" t="s">
        <v>22</v>
      </c>
      <c r="J1179" s="10">
        <v>-118.54</v>
      </c>
      <c r="K1179" s="11">
        <v>55.5</v>
      </c>
      <c r="L1179" s="11">
        <v>52.2</v>
      </c>
      <c r="M1179" s="9" t="s">
        <v>910</v>
      </c>
      <c r="N1179" s="6" t="s">
        <v>703</v>
      </c>
      <c r="O1179" s="6" t="s">
        <v>704</v>
      </c>
      <c r="P1179" s="9" t="s">
        <v>60</v>
      </c>
      <c r="Q1179" s="9" t="s">
        <v>49</v>
      </c>
      <c r="R1179" s="9" t="s">
        <v>50</v>
      </c>
      <c r="S1179" s="7" t="s">
        <v>423</v>
      </c>
      <c r="T1179" s="9" t="s">
        <v>48</v>
      </c>
      <c r="U1179" s="7">
        <v>0.72</v>
      </c>
      <c r="V1179" s="12">
        <f>C1179+0</f>
        <v>40072</v>
      </c>
      <c r="W1179">
        <f>IF(D1179=' Pivot Tables'!$A$4,1,0)</f>
        <v>0</v>
      </c>
      <c r="X1179">
        <f>IF(AND(LEFT(D1179,4)+1=LEFT(' Pivot Tables'!$A$4,4)+0,RIGHT(LEFT(D1179,7),2)=RIGHT(LEFT(' Pivot Tables'!$A$4,7),2)),1,0)</f>
        <v>0</v>
      </c>
      <c r="Y1179" s="6">
        <f>1/COUNTIF(Таблица1[Order ID],Таблица1[[#This Row],[Order ID]])</f>
        <v>0.5</v>
      </c>
      <c r="Z1179" s="9">
        <f>1/COUNTIFS(Таблица1[Customer Name],Таблица1[[#This Row],[Customer Name]],Таблица1[Order-Year-Month],Таблица1[[#This Row],[Order-Year-Month]])</f>
        <v>0.5</v>
      </c>
    </row>
    <row r="1180" spans="1:26" x14ac:dyDescent="0.2">
      <c r="A1180" s="6">
        <v>3835</v>
      </c>
      <c r="B1180" s="7">
        <v>27330</v>
      </c>
      <c r="C1180" s="8">
        <f>DATE(2012,12,31)-1202</f>
        <v>40072</v>
      </c>
      <c r="D1180" s="8" t="str">
        <f t="shared" si="24"/>
        <v>2009-09 (сентябрь 2009)</v>
      </c>
      <c r="E1180" s="9" t="s">
        <v>21</v>
      </c>
      <c r="F1180" s="7">
        <v>30</v>
      </c>
      <c r="G1180" s="7">
        <v>12600.99</v>
      </c>
      <c r="H1180" s="7">
        <v>0.05</v>
      </c>
      <c r="I1180" s="9" t="s">
        <v>31</v>
      </c>
      <c r="J1180" s="10">
        <v>2963.48</v>
      </c>
      <c r="K1180" s="11">
        <v>442.14</v>
      </c>
      <c r="L1180" s="11">
        <v>14.7</v>
      </c>
      <c r="M1180" s="9" t="s">
        <v>910</v>
      </c>
      <c r="N1180" s="6" t="s">
        <v>703</v>
      </c>
      <c r="O1180" s="6" t="s">
        <v>704</v>
      </c>
      <c r="P1180" s="9" t="s">
        <v>60</v>
      </c>
      <c r="Q1180" s="9" t="s">
        <v>42</v>
      </c>
      <c r="R1180" s="9" t="s">
        <v>210</v>
      </c>
      <c r="S1180" s="7" t="s">
        <v>455</v>
      </c>
      <c r="T1180" s="9" t="s">
        <v>36</v>
      </c>
      <c r="U1180" s="7">
        <v>0.56000000000000005</v>
      </c>
      <c r="V1180" s="12">
        <f>C1180+9</f>
        <v>40081</v>
      </c>
      <c r="W1180">
        <f>IF(D1180=' Pivot Tables'!$A$4,1,0)</f>
        <v>0</v>
      </c>
      <c r="X1180">
        <f>IF(AND(LEFT(D1180,4)+1=LEFT(' Pivot Tables'!$A$4,4)+0,RIGHT(LEFT(D1180,7),2)=RIGHT(LEFT(' Pivot Tables'!$A$4,7),2)),1,0)</f>
        <v>0</v>
      </c>
      <c r="Y1180" s="6">
        <f>1/COUNTIF(Таблица1[Order ID],Таблица1[[#This Row],[Order ID]])</f>
        <v>0.5</v>
      </c>
      <c r="Z1180" s="9">
        <f>1/COUNTIFS(Таблица1[Customer Name],Таблица1[[#This Row],[Customer Name]],Таблица1[Order-Year-Month],Таблица1[[#This Row],[Order-Year-Month]])</f>
        <v>0.5</v>
      </c>
    </row>
    <row r="1181" spans="1:26" x14ac:dyDescent="0.2">
      <c r="A1181" s="6">
        <v>3896</v>
      </c>
      <c r="B1181" s="7">
        <v>27781</v>
      </c>
      <c r="C1181" s="8">
        <f>DATE(2012,12,31)-473</f>
        <v>40801</v>
      </c>
      <c r="D1181" s="8" t="str">
        <f t="shared" si="24"/>
        <v>2011-09 (сентябрь 2011)</v>
      </c>
      <c r="E1181" s="9" t="s">
        <v>30</v>
      </c>
      <c r="F1181" s="7">
        <v>47</v>
      </c>
      <c r="G1181" s="7">
        <v>181.13</v>
      </c>
      <c r="H1181" s="7">
        <v>0</v>
      </c>
      <c r="I1181" s="9" t="s">
        <v>22</v>
      </c>
      <c r="J1181" s="10">
        <v>-11.39</v>
      </c>
      <c r="K1181" s="11">
        <v>3.69</v>
      </c>
      <c r="L1181" s="11">
        <v>2.5</v>
      </c>
      <c r="M1181" s="9" t="s">
        <v>889</v>
      </c>
      <c r="N1181" s="6" t="s">
        <v>703</v>
      </c>
      <c r="O1181" s="6" t="s">
        <v>704</v>
      </c>
      <c r="P1181" s="9" t="s">
        <v>25</v>
      </c>
      <c r="Q1181" s="9" t="s">
        <v>26</v>
      </c>
      <c r="R1181" s="9" t="s">
        <v>76</v>
      </c>
      <c r="S1181" s="7" t="s">
        <v>647</v>
      </c>
      <c r="T1181" s="9" t="s">
        <v>39</v>
      </c>
      <c r="U1181" s="7">
        <v>0.39</v>
      </c>
      <c r="V1181" s="12">
        <f>C1181+2</f>
        <v>40803</v>
      </c>
      <c r="W1181">
        <f>IF(D1181=' Pivot Tables'!$A$4,1,0)</f>
        <v>0</v>
      </c>
      <c r="X1181">
        <f>IF(AND(LEFT(D1181,4)+1=LEFT(' Pivot Tables'!$A$4,4)+0,RIGHT(LEFT(D1181,7),2)=RIGHT(LEFT(' Pivot Tables'!$A$4,7),2)),1,0)</f>
        <v>0</v>
      </c>
      <c r="Y1181" s="6">
        <f>1/COUNTIF(Таблица1[Order ID],Таблица1[[#This Row],[Order ID]])</f>
        <v>1</v>
      </c>
      <c r="Z1181" s="9">
        <f>1/COUNTIFS(Таблица1[Customer Name],Таблица1[[#This Row],[Customer Name]],Таблица1[Order-Year-Month],Таблица1[[#This Row],[Order-Year-Month]])</f>
        <v>1</v>
      </c>
    </row>
    <row r="1182" spans="1:26" x14ac:dyDescent="0.2">
      <c r="A1182" s="6">
        <v>3956</v>
      </c>
      <c r="B1182" s="7">
        <v>28225</v>
      </c>
      <c r="C1182" s="8">
        <f>DATE(2012,12,31)-1439</f>
        <v>39835</v>
      </c>
      <c r="D1182" s="8" t="str">
        <f t="shared" si="24"/>
        <v>2009-01 (январь 2009)</v>
      </c>
      <c r="E1182" s="9" t="s">
        <v>78</v>
      </c>
      <c r="F1182" s="7">
        <v>9</v>
      </c>
      <c r="G1182" s="7">
        <v>206.04</v>
      </c>
      <c r="H1182" s="7">
        <v>0</v>
      </c>
      <c r="I1182" s="9" t="s">
        <v>22</v>
      </c>
      <c r="J1182" s="10">
        <v>-49.81</v>
      </c>
      <c r="K1182" s="11">
        <v>20.28</v>
      </c>
      <c r="L1182" s="11">
        <v>14.39</v>
      </c>
      <c r="M1182" s="9" t="s">
        <v>888</v>
      </c>
      <c r="N1182" s="6" t="s">
        <v>703</v>
      </c>
      <c r="O1182" s="6" t="s">
        <v>704</v>
      </c>
      <c r="P1182" s="9" t="s">
        <v>41</v>
      </c>
      <c r="Q1182" s="9" t="s">
        <v>49</v>
      </c>
      <c r="R1182" s="9" t="s">
        <v>50</v>
      </c>
      <c r="S1182" s="7" t="s">
        <v>894</v>
      </c>
      <c r="T1182" s="9" t="s">
        <v>39</v>
      </c>
      <c r="U1182" s="7">
        <v>0.47</v>
      </c>
      <c r="V1182" s="12">
        <f>C1182+0</f>
        <v>39835</v>
      </c>
      <c r="W1182">
        <f>IF(D1182=' Pivot Tables'!$A$4,1,0)</f>
        <v>0</v>
      </c>
      <c r="X1182">
        <f>IF(AND(LEFT(D1182,4)+1=LEFT(' Pivot Tables'!$A$4,4)+0,RIGHT(LEFT(D1182,7),2)=RIGHT(LEFT(' Pivot Tables'!$A$4,7),2)),1,0)</f>
        <v>1</v>
      </c>
      <c r="Y1182" s="6">
        <f>1/COUNTIF(Таблица1[Order ID],Таблица1[[#This Row],[Order ID]])</f>
        <v>0.5</v>
      </c>
      <c r="Z1182" s="9">
        <f>1/COUNTIFS(Таблица1[Customer Name],Таблица1[[#This Row],[Customer Name]],Таблица1[Order-Year-Month],Таблица1[[#This Row],[Order-Year-Month]])</f>
        <v>1</v>
      </c>
    </row>
    <row r="1183" spans="1:26" x14ac:dyDescent="0.2">
      <c r="A1183" s="6">
        <v>3975</v>
      </c>
      <c r="B1183" s="7">
        <v>28389</v>
      </c>
      <c r="C1183" s="8">
        <f>DATE(2012,12,31)-1154</f>
        <v>40120</v>
      </c>
      <c r="D1183" s="8" t="str">
        <f t="shared" si="24"/>
        <v>2009-11 (ноябрь 2009)</v>
      </c>
      <c r="E1183" s="9" t="s">
        <v>30</v>
      </c>
      <c r="F1183" s="7">
        <v>22</v>
      </c>
      <c r="G1183" s="7">
        <v>668.39</v>
      </c>
      <c r="H1183" s="7">
        <v>7.0000000000000007E-2</v>
      </c>
      <c r="I1183" s="9" t="s">
        <v>22</v>
      </c>
      <c r="J1183" s="10">
        <v>344.61</v>
      </c>
      <c r="K1183" s="11">
        <v>30.93</v>
      </c>
      <c r="L1183" s="11">
        <v>3.92</v>
      </c>
      <c r="M1183" s="9" t="s">
        <v>910</v>
      </c>
      <c r="N1183" s="6" t="s">
        <v>703</v>
      </c>
      <c r="O1183" s="6" t="s">
        <v>704</v>
      </c>
      <c r="P1183" s="9" t="s">
        <v>60</v>
      </c>
      <c r="Q1183" s="9" t="s">
        <v>49</v>
      </c>
      <c r="R1183" s="9" t="s">
        <v>50</v>
      </c>
      <c r="S1183" s="7" t="s">
        <v>786</v>
      </c>
      <c r="T1183" s="9" t="s">
        <v>52</v>
      </c>
      <c r="U1183" s="7">
        <v>0.44</v>
      </c>
      <c r="V1183" s="12">
        <f>C1183+1</f>
        <v>40121</v>
      </c>
      <c r="W1183">
        <f>IF(D1183=' Pivot Tables'!$A$4,1,0)</f>
        <v>0</v>
      </c>
      <c r="X1183">
        <f>IF(AND(LEFT(D1183,4)+1=LEFT(' Pivot Tables'!$A$4,4)+0,RIGHT(LEFT(D1183,7),2)=RIGHT(LEFT(' Pivot Tables'!$A$4,7),2)),1,0)</f>
        <v>0</v>
      </c>
      <c r="Y1183" s="6">
        <f>1/COUNTIF(Таблица1[Order ID],Таблица1[[#This Row],[Order ID]])</f>
        <v>0.33333333333333331</v>
      </c>
      <c r="Z1183" s="9">
        <f>1/COUNTIFS(Таблица1[Customer Name],Таблица1[[#This Row],[Customer Name]],Таблица1[Order-Year-Month],Таблица1[[#This Row],[Order-Year-Month]])</f>
        <v>0.16666666666666666</v>
      </c>
    </row>
    <row r="1184" spans="1:26" x14ac:dyDescent="0.2">
      <c r="A1184" s="6">
        <v>3976</v>
      </c>
      <c r="B1184" s="7">
        <v>28389</v>
      </c>
      <c r="C1184" s="8">
        <f>DATE(2012,12,31)-1154</f>
        <v>40120</v>
      </c>
      <c r="D1184" s="8" t="str">
        <f t="shared" si="24"/>
        <v>2009-11 (ноябрь 2009)</v>
      </c>
      <c r="E1184" s="9" t="s">
        <v>30</v>
      </c>
      <c r="F1184" s="7">
        <v>16</v>
      </c>
      <c r="G1184" s="7">
        <v>4657.3500000000004</v>
      </c>
      <c r="H1184" s="7">
        <v>0.05</v>
      </c>
      <c r="I1184" s="9" t="s">
        <v>31</v>
      </c>
      <c r="J1184" s="10">
        <v>322.66000000000003</v>
      </c>
      <c r="K1184" s="11">
        <v>297.48</v>
      </c>
      <c r="L1184" s="11">
        <v>18.059999999999999</v>
      </c>
      <c r="M1184" s="9" t="s">
        <v>910</v>
      </c>
      <c r="N1184" s="6" t="s">
        <v>703</v>
      </c>
      <c r="O1184" s="6" t="s">
        <v>704</v>
      </c>
      <c r="P1184" s="9" t="s">
        <v>60</v>
      </c>
      <c r="Q1184" s="9" t="s">
        <v>42</v>
      </c>
      <c r="R1184" s="9" t="s">
        <v>210</v>
      </c>
      <c r="S1184" s="7" t="s">
        <v>758</v>
      </c>
      <c r="T1184" s="9" t="s">
        <v>36</v>
      </c>
      <c r="U1184" s="7">
        <v>0.6</v>
      </c>
      <c r="V1184" s="12">
        <f>C1184+1</f>
        <v>40121</v>
      </c>
      <c r="W1184">
        <f>IF(D1184=' Pivot Tables'!$A$4,1,0)</f>
        <v>0</v>
      </c>
      <c r="X1184">
        <f>IF(AND(LEFT(D1184,4)+1=LEFT(' Pivot Tables'!$A$4,4)+0,RIGHT(LEFT(D1184,7),2)=RIGHT(LEFT(' Pivot Tables'!$A$4,7),2)),1,0)</f>
        <v>0</v>
      </c>
      <c r="Y1184" s="6">
        <f>1/COUNTIF(Таблица1[Order ID],Таблица1[[#This Row],[Order ID]])</f>
        <v>0.33333333333333331</v>
      </c>
      <c r="Z1184" s="9">
        <f>1/COUNTIFS(Таблица1[Customer Name],Таблица1[[#This Row],[Customer Name]],Таблица1[Order-Year-Month],Таблица1[[#This Row],[Order-Year-Month]])</f>
        <v>0.16666666666666666</v>
      </c>
    </row>
    <row r="1185" spans="1:26" x14ac:dyDescent="0.2">
      <c r="A1185" s="6">
        <v>3977</v>
      </c>
      <c r="B1185" s="7">
        <v>28389</v>
      </c>
      <c r="C1185" s="8">
        <f>DATE(2012,12,31)-1154</f>
        <v>40120</v>
      </c>
      <c r="D1185" s="8" t="str">
        <f t="shared" si="24"/>
        <v>2009-11 (ноябрь 2009)</v>
      </c>
      <c r="E1185" s="9" t="s">
        <v>30</v>
      </c>
      <c r="F1185" s="7">
        <v>7</v>
      </c>
      <c r="G1185" s="7">
        <v>2097.94</v>
      </c>
      <c r="H1185" s="7">
        <v>7.0000000000000007E-2</v>
      </c>
      <c r="I1185" s="9" t="s">
        <v>31</v>
      </c>
      <c r="J1185" s="10">
        <v>-404.04599999999999</v>
      </c>
      <c r="K1185" s="11">
        <v>296.18</v>
      </c>
      <c r="L1185" s="11">
        <v>54.12</v>
      </c>
      <c r="M1185" s="9" t="s">
        <v>910</v>
      </c>
      <c r="N1185" s="6" t="s">
        <v>703</v>
      </c>
      <c r="O1185" s="6" t="s">
        <v>704</v>
      </c>
      <c r="P1185" s="9" t="s">
        <v>60</v>
      </c>
      <c r="Q1185" s="9" t="s">
        <v>49</v>
      </c>
      <c r="R1185" s="9" t="s">
        <v>83</v>
      </c>
      <c r="S1185" s="7" t="s">
        <v>425</v>
      </c>
      <c r="T1185" s="9" t="s">
        <v>82</v>
      </c>
      <c r="U1185" s="7">
        <v>0.76</v>
      </c>
      <c r="V1185" s="12">
        <f>C1185+2</f>
        <v>40122</v>
      </c>
      <c r="W1185">
        <f>IF(D1185=' Pivot Tables'!$A$4,1,0)</f>
        <v>0</v>
      </c>
      <c r="X1185">
        <f>IF(AND(LEFT(D1185,4)+1=LEFT(' Pivot Tables'!$A$4,4)+0,RIGHT(LEFT(D1185,7),2)=RIGHT(LEFT(' Pivot Tables'!$A$4,7),2)),1,0)</f>
        <v>0</v>
      </c>
      <c r="Y1185" s="6">
        <f>1/COUNTIF(Таблица1[Order ID],Таблица1[[#This Row],[Order ID]])</f>
        <v>0.33333333333333331</v>
      </c>
      <c r="Z1185" s="9">
        <f>1/COUNTIFS(Таблица1[Customer Name],Таблица1[[#This Row],[Customer Name]],Таблица1[Order-Year-Month],Таблица1[[#This Row],[Order-Year-Month]])</f>
        <v>0.16666666666666666</v>
      </c>
    </row>
    <row r="1186" spans="1:26" x14ac:dyDescent="0.2">
      <c r="A1186" s="6">
        <v>4054</v>
      </c>
      <c r="B1186" s="7">
        <v>28898</v>
      </c>
      <c r="C1186" s="8">
        <f>DATE(2012,12,31)-583</f>
        <v>40691</v>
      </c>
      <c r="D1186" s="8" t="str">
        <f t="shared" si="24"/>
        <v>2011-05 (май 2011)</v>
      </c>
      <c r="E1186" s="9" t="s">
        <v>21</v>
      </c>
      <c r="F1186" s="7">
        <v>44</v>
      </c>
      <c r="G1186" s="7">
        <v>246</v>
      </c>
      <c r="H1186" s="7">
        <v>0.1</v>
      </c>
      <c r="I1186" s="9" t="s">
        <v>22</v>
      </c>
      <c r="J1186" s="10">
        <v>-207.36</v>
      </c>
      <c r="K1186" s="11">
        <v>5.78</v>
      </c>
      <c r="L1186" s="11">
        <v>7.96</v>
      </c>
      <c r="M1186" s="9" t="s">
        <v>910</v>
      </c>
      <c r="N1186" s="6" t="s">
        <v>703</v>
      </c>
      <c r="O1186" s="6" t="s">
        <v>704</v>
      </c>
      <c r="P1186" s="9" t="s">
        <v>41</v>
      </c>
      <c r="Q1186" s="9" t="s">
        <v>26</v>
      </c>
      <c r="R1186" s="9" t="s">
        <v>61</v>
      </c>
      <c r="S1186" s="7" t="s">
        <v>754</v>
      </c>
      <c r="T1186" s="9" t="s">
        <v>39</v>
      </c>
      <c r="U1186" s="7">
        <v>0.36</v>
      </c>
      <c r="V1186" s="12">
        <f>C1186+0</f>
        <v>40691</v>
      </c>
      <c r="W1186">
        <f>IF(D1186=' Pivot Tables'!$A$4,1,0)</f>
        <v>0</v>
      </c>
      <c r="X1186">
        <f>IF(AND(LEFT(D1186,4)+1=LEFT(' Pivot Tables'!$A$4,4)+0,RIGHT(LEFT(D1186,7),2)=RIGHT(LEFT(' Pivot Tables'!$A$4,7),2)),1,0)</f>
        <v>0</v>
      </c>
      <c r="Y1186" s="6">
        <f>1/COUNTIF(Таблица1[Order ID],Таблица1[[#This Row],[Order ID]])</f>
        <v>1</v>
      </c>
      <c r="Z1186" s="9">
        <f>1/COUNTIFS(Таблица1[Customer Name],Таблица1[[#This Row],[Customer Name]],Таблица1[Order-Year-Month],Таблица1[[#This Row],[Order-Year-Month]])</f>
        <v>1</v>
      </c>
    </row>
    <row r="1187" spans="1:26" x14ac:dyDescent="0.2">
      <c r="A1187" s="6">
        <v>4056</v>
      </c>
      <c r="B1187" s="7">
        <v>28901</v>
      </c>
      <c r="C1187" s="8">
        <f>DATE(2012,12,31)-203</f>
        <v>41071</v>
      </c>
      <c r="D1187" s="8" t="str">
        <f t="shared" si="24"/>
        <v>2012-06 (июнь 2012)</v>
      </c>
      <c r="E1187" s="9" t="s">
        <v>30</v>
      </c>
      <c r="F1187" s="7">
        <v>23</v>
      </c>
      <c r="G1187" s="7">
        <v>871.32</v>
      </c>
      <c r="H1187" s="7">
        <v>0.1</v>
      </c>
      <c r="I1187" s="9" t="s">
        <v>22</v>
      </c>
      <c r="J1187" s="10">
        <v>315.16000000000003</v>
      </c>
      <c r="K1187" s="11">
        <v>40.99</v>
      </c>
      <c r="L1187" s="11">
        <v>5.86</v>
      </c>
      <c r="M1187" s="9" t="s">
        <v>875</v>
      </c>
      <c r="N1187" s="6" t="s">
        <v>703</v>
      </c>
      <c r="O1187" s="6" t="s">
        <v>704</v>
      </c>
      <c r="P1187" s="9" t="s">
        <v>25</v>
      </c>
      <c r="Q1187" s="9" t="s">
        <v>26</v>
      </c>
      <c r="R1187" s="9" t="s">
        <v>61</v>
      </c>
      <c r="S1187" s="7" t="s">
        <v>824</v>
      </c>
      <c r="T1187" s="9" t="s">
        <v>39</v>
      </c>
      <c r="U1187" s="7">
        <v>0.36</v>
      </c>
      <c r="V1187" s="12">
        <f>C1187+1</f>
        <v>41072</v>
      </c>
      <c r="W1187">
        <f>IF(D1187=' Pivot Tables'!$A$4,1,0)</f>
        <v>0</v>
      </c>
      <c r="X1187">
        <f>IF(AND(LEFT(D1187,4)+1=LEFT(' Pivot Tables'!$A$4,4)+0,RIGHT(LEFT(D1187,7),2)=RIGHT(LEFT(' Pivot Tables'!$A$4,7),2)),1,0)</f>
        <v>0</v>
      </c>
      <c r="Y1187" s="6">
        <f>1/COUNTIF(Таблица1[Order ID],Таблица1[[#This Row],[Order ID]])</f>
        <v>1</v>
      </c>
      <c r="Z1187" s="9">
        <f>1/COUNTIFS(Таблица1[Customer Name],Таблица1[[#This Row],[Customer Name]],Таблица1[Order-Year-Month],Таблица1[[#This Row],[Order-Year-Month]])</f>
        <v>1</v>
      </c>
    </row>
    <row r="1188" spans="1:26" x14ac:dyDescent="0.2">
      <c r="A1188" s="6">
        <v>4091</v>
      </c>
      <c r="B1188" s="7">
        <v>29185</v>
      </c>
      <c r="C1188" s="8">
        <f>DATE(2012,12,31)-1076</f>
        <v>40198</v>
      </c>
      <c r="D1188" s="8" t="str">
        <f t="shared" si="24"/>
        <v>2010-01 (январь 2010)</v>
      </c>
      <c r="E1188" s="9" t="s">
        <v>30</v>
      </c>
      <c r="F1188" s="7">
        <v>8</v>
      </c>
      <c r="G1188" s="7">
        <v>468.49</v>
      </c>
      <c r="H1188" s="7">
        <v>0.03</v>
      </c>
      <c r="I1188" s="9" t="s">
        <v>22</v>
      </c>
      <c r="J1188" s="10">
        <v>-6.37</v>
      </c>
      <c r="K1188" s="11">
        <v>56.96</v>
      </c>
      <c r="L1188" s="11">
        <v>13.22</v>
      </c>
      <c r="M1188" s="9" t="s">
        <v>886</v>
      </c>
      <c r="N1188" s="6" t="s">
        <v>703</v>
      </c>
      <c r="O1188" s="6" t="s">
        <v>704</v>
      </c>
      <c r="P1188" s="9" t="s">
        <v>41</v>
      </c>
      <c r="Q1188" s="9" t="s">
        <v>26</v>
      </c>
      <c r="R1188" s="9" t="s">
        <v>34</v>
      </c>
      <c r="S1188" s="7" t="s">
        <v>541</v>
      </c>
      <c r="T1188" s="9" t="s">
        <v>39</v>
      </c>
      <c r="U1188" s="7">
        <v>0.56000000000000005</v>
      </c>
      <c r="V1188" s="12">
        <f>C1188+1</f>
        <v>40199</v>
      </c>
      <c r="W1188">
        <f>IF(D1188=' Pivot Tables'!$A$4,1,0)</f>
        <v>1</v>
      </c>
      <c r="X1188">
        <f>IF(AND(LEFT(D1188,4)+1=LEFT(' Pivot Tables'!$A$4,4)+0,RIGHT(LEFT(D1188,7),2)=RIGHT(LEFT(' Pivot Tables'!$A$4,7),2)),1,0)</f>
        <v>0</v>
      </c>
      <c r="Y1188" s="6">
        <f>1/COUNTIF(Таблица1[Order ID],Таблица1[[#This Row],[Order ID]])</f>
        <v>0.33333333333333331</v>
      </c>
      <c r="Z1188" s="9">
        <f>1/COUNTIFS(Таблица1[Customer Name],Таблица1[[#This Row],[Customer Name]],Таблица1[Order-Year-Month],Таблица1[[#This Row],[Order-Year-Month]])</f>
        <v>0.33333333333333331</v>
      </c>
    </row>
    <row r="1189" spans="1:26" x14ac:dyDescent="0.2">
      <c r="A1189" s="6">
        <v>4092</v>
      </c>
      <c r="B1189" s="7">
        <v>29185</v>
      </c>
      <c r="C1189" s="8">
        <f>DATE(2012,12,31)-1076</f>
        <v>40198</v>
      </c>
      <c r="D1189" s="8" t="str">
        <f t="shared" si="24"/>
        <v>2010-01 (январь 2010)</v>
      </c>
      <c r="E1189" s="9" t="s">
        <v>30</v>
      </c>
      <c r="F1189" s="7">
        <v>48</v>
      </c>
      <c r="G1189" s="7">
        <v>446.53</v>
      </c>
      <c r="H1189" s="7">
        <v>0.04</v>
      </c>
      <c r="I1189" s="9" t="s">
        <v>56</v>
      </c>
      <c r="J1189" s="10">
        <v>-261.45</v>
      </c>
      <c r="K1189" s="11">
        <v>8.3699999999999992</v>
      </c>
      <c r="L1189" s="11">
        <v>10.16</v>
      </c>
      <c r="M1189" s="9" t="s">
        <v>886</v>
      </c>
      <c r="N1189" s="6" t="s">
        <v>703</v>
      </c>
      <c r="O1189" s="6" t="s">
        <v>704</v>
      </c>
      <c r="P1189" s="9" t="s">
        <v>41</v>
      </c>
      <c r="Q1189" s="9" t="s">
        <v>49</v>
      </c>
      <c r="R1189" s="9" t="s">
        <v>50</v>
      </c>
      <c r="S1189" s="7" t="s">
        <v>948</v>
      </c>
      <c r="T1189" s="9" t="s">
        <v>29</v>
      </c>
      <c r="U1189" s="7">
        <v>0.59</v>
      </c>
      <c r="V1189" s="12">
        <f>C1189+2</f>
        <v>40200</v>
      </c>
      <c r="W1189">
        <f>IF(D1189=' Pivot Tables'!$A$4,1,0)</f>
        <v>1</v>
      </c>
      <c r="X1189">
        <f>IF(AND(LEFT(D1189,4)+1=LEFT(' Pivot Tables'!$A$4,4)+0,RIGHT(LEFT(D1189,7),2)=RIGHT(LEFT(' Pivot Tables'!$A$4,7),2)),1,0)</f>
        <v>0</v>
      </c>
      <c r="Y1189" s="6">
        <f>1/COUNTIF(Таблица1[Order ID],Таблица1[[#This Row],[Order ID]])</f>
        <v>0.33333333333333331</v>
      </c>
      <c r="Z1189" s="9">
        <f>1/COUNTIFS(Таблица1[Customer Name],Таблица1[[#This Row],[Customer Name]],Таблица1[Order-Year-Month],Таблица1[[#This Row],[Order-Year-Month]])</f>
        <v>0.33333333333333331</v>
      </c>
    </row>
    <row r="1190" spans="1:26" x14ac:dyDescent="0.2">
      <c r="A1190" s="6">
        <v>4093</v>
      </c>
      <c r="B1190" s="7">
        <v>29185</v>
      </c>
      <c r="C1190" s="8">
        <f>DATE(2012,12,31)-1076</f>
        <v>40198</v>
      </c>
      <c r="D1190" s="8" t="str">
        <f t="shared" si="24"/>
        <v>2010-01 (январь 2010)</v>
      </c>
      <c r="E1190" s="9" t="s">
        <v>30</v>
      </c>
      <c r="F1190" s="7">
        <v>5</v>
      </c>
      <c r="G1190" s="7">
        <v>217.85</v>
      </c>
      <c r="H1190" s="7">
        <v>0.02</v>
      </c>
      <c r="I1190" s="9" t="s">
        <v>56</v>
      </c>
      <c r="J1190" s="10">
        <v>-25.31</v>
      </c>
      <c r="K1190" s="11">
        <v>40.99</v>
      </c>
      <c r="L1190" s="11">
        <v>17.48</v>
      </c>
      <c r="M1190" s="9" t="s">
        <v>886</v>
      </c>
      <c r="N1190" s="6" t="s">
        <v>703</v>
      </c>
      <c r="O1190" s="6" t="s">
        <v>704</v>
      </c>
      <c r="P1190" s="9" t="s">
        <v>41</v>
      </c>
      <c r="Q1190" s="9" t="s">
        <v>26</v>
      </c>
      <c r="R1190" s="9" t="s">
        <v>61</v>
      </c>
      <c r="S1190" s="7" t="s">
        <v>236</v>
      </c>
      <c r="T1190" s="9" t="s">
        <v>39</v>
      </c>
      <c r="U1190" s="7">
        <v>0.36</v>
      </c>
      <c r="V1190" s="12">
        <f>C1190+2</f>
        <v>40200</v>
      </c>
      <c r="W1190">
        <f>IF(D1190=' Pivot Tables'!$A$4,1,0)</f>
        <v>1</v>
      </c>
      <c r="X1190">
        <f>IF(AND(LEFT(D1190,4)+1=LEFT(' Pivot Tables'!$A$4,4)+0,RIGHT(LEFT(D1190,7),2)=RIGHT(LEFT(' Pivot Tables'!$A$4,7),2)),1,0)</f>
        <v>0</v>
      </c>
      <c r="Y1190" s="6">
        <f>1/COUNTIF(Таблица1[Order ID],Таблица1[[#This Row],[Order ID]])</f>
        <v>0.33333333333333331</v>
      </c>
      <c r="Z1190" s="9">
        <f>1/COUNTIFS(Таблица1[Customer Name],Таблица1[[#This Row],[Customer Name]],Таблица1[Order-Year-Month],Таблица1[[#This Row],[Order-Year-Month]])</f>
        <v>0.33333333333333331</v>
      </c>
    </row>
    <row r="1191" spans="1:26" x14ac:dyDescent="0.2">
      <c r="A1191" s="6">
        <v>4143</v>
      </c>
      <c r="B1191" s="7">
        <v>29408</v>
      </c>
      <c r="C1191" s="8">
        <f>DATE(2012,12,31)-974</f>
        <v>40300</v>
      </c>
      <c r="D1191" s="8" t="str">
        <f t="shared" si="24"/>
        <v>2010-05 (май 2010)</v>
      </c>
      <c r="E1191" s="9" t="s">
        <v>45</v>
      </c>
      <c r="F1191" s="7">
        <v>44</v>
      </c>
      <c r="G1191" s="7">
        <v>4260.7299999999996</v>
      </c>
      <c r="H1191" s="7">
        <v>7.0000000000000007E-2</v>
      </c>
      <c r="I1191" s="9" t="s">
        <v>31</v>
      </c>
      <c r="J1191" s="10">
        <v>251.58</v>
      </c>
      <c r="K1191" s="11">
        <v>119.99</v>
      </c>
      <c r="L1191" s="11">
        <v>56.14</v>
      </c>
      <c r="M1191" s="9" t="s">
        <v>949</v>
      </c>
      <c r="N1191" s="6" t="s">
        <v>703</v>
      </c>
      <c r="O1191" s="6" t="s">
        <v>704</v>
      </c>
      <c r="P1191" s="9" t="s">
        <v>60</v>
      </c>
      <c r="Q1191" s="9" t="s">
        <v>42</v>
      </c>
      <c r="R1191" s="9" t="s">
        <v>210</v>
      </c>
      <c r="S1191" s="7" t="s">
        <v>950</v>
      </c>
      <c r="T1191" s="9" t="s">
        <v>82</v>
      </c>
      <c r="U1191" s="7">
        <v>0.39</v>
      </c>
      <c r="V1191" s="12">
        <f>C1191+1</f>
        <v>40301</v>
      </c>
      <c r="W1191">
        <f>IF(D1191=' Pivot Tables'!$A$4,1,0)</f>
        <v>0</v>
      </c>
      <c r="X1191">
        <f>IF(AND(LEFT(D1191,4)+1=LEFT(' Pivot Tables'!$A$4,4)+0,RIGHT(LEFT(D1191,7),2)=RIGHT(LEFT(' Pivot Tables'!$A$4,7),2)),1,0)</f>
        <v>0</v>
      </c>
      <c r="Y1191" s="6">
        <f>1/COUNTIF(Таблица1[Order ID],Таблица1[[#This Row],[Order ID]])</f>
        <v>1</v>
      </c>
      <c r="Z1191" s="9">
        <f>1/COUNTIFS(Таблица1[Customer Name],Таблица1[[#This Row],[Customer Name]],Таблица1[Order-Year-Month],Таблица1[[#This Row],[Order-Year-Month]])</f>
        <v>0.5</v>
      </c>
    </row>
    <row r="1192" spans="1:26" x14ac:dyDescent="0.2">
      <c r="A1192" s="6">
        <v>4219</v>
      </c>
      <c r="B1192" s="7">
        <v>29985</v>
      </c>
      <c r="C1192" s="8">
        <f>DATE(2012,12,31)-173</f>
        <v>41101</v>
      </c>
      <c r="D1192" s="8" t="str">
        <f t="shared" si="24"/>
        <v>2012-07 (июль 2012)</v>
      </c>
      <c r="E1192" s="9" t="s">
        <v>78</v>
      </c>
      <c r="F1192" s="7">
        <v>22</v>
      </c>
      <c r="G1192" s="7">
        <v>196.75</v>
      </c>
      <c r="H1192" s="7">
        <v>0.03</v>
      </c>
      <c r="I1192" s="9" t="s">
        <v>56</v>
      </c>
      <c r="J1192" s="10">
        <v>0.13</v>
      </c>
      <c r="K1192" s="11">
        <v>7.96</v>
      </c>
      <c r="L1192" s="11">
        <v>4.95</v>
      </c>
      <c r="M1192" s="9" t="s">
        <v>888</v>
      </c>
      <c r="N1192" s="6" t="s">
        <v>703</v>
      </c>
      <c r="O1192" s="6" t="s">
        <v>704</v>
      </c>
      <c r="P1192" s="9" t="s">
        <v>41</v>
      </c>
      <c r="Q1192" s="9" t="s">
        <v>49</v>
      </c>
      <c r="R1192" s="9" t="s">
        <v>50</v>
      </c>
      <c r="S1192" s="7" t="s">
        <v>951</v>
      </c>
      <c r="T1192" s="9" t="s">
        <v>39</v>
      </c>
      <c r="U1192" s="7">
        <v>0.41</v>
      </c>
      <c r="V1192" s="12">
        <f>C1192+1</f>
        <v>41102</v>
      </c>
      <c r="W1192">
        <f>IF(D1192=' Pivot Tables'!$A$4,1,0)</f>
        <v>0</v>
      </c>
      <c r="X1192">
        <f>IF(AND(LEFT(D1192,4)+1=LEFT(' Pivot Tables'!$A$4,4)+0,RIGHT(LEFT(D1192,7),2)=RIGHT(LEFT(' Pivot Tables'!$A$4,7),2)),1,0)</f>
        <v>0</v>
      </c>
      <c r="Y1192" s="6">
        <f>1/COUNTIF(Таблица1[Order ID],Таблица1[[#This Row],[Order ID]])</f>
        <v>0.5</v>
      </c>
      <c r="Z1192" s="9">
        <f>1/COUNTIFS(Таблица1[Customer Name],Таблица1[[#This Row],[Customer Name]],Таблица1[Order-Year-Month],Таблица1[[#This Row],[Order-Year-Month]])</f>
        <v>1</v>
      </c>
    </row>
    <row r="1193" spans="1:26" x14ac:dyDescent="0.2">
      <c r="A1193" s="6">
        <v>4220</v>
      </c>
      <c r="B1193" s="7">
        <v>29986</v>
      </c>
      <c r="C1193" s="8">
        <f>DATE(2012,12,31)-547</f>
        <v>40727</v>
      </c>
      <c r="D1193" s="8" t="str">
        <f t="shared" si="24"/>
        <v>2011-07 (июль 2011)</v>
      </c>
      <c r="E1193" s="9" t="s">
        <v>78</v>
      </c>
      <c r="F1193" s="7">
        <v>40</v>
      </c>
      <c r="G1193" s="7">
        <v>1477.39</v>
      </c>
      <c r="H1193" s="7">
        <v>0.03</v>
      </c>
      <c r="I1193" s="9" t="s">
        <v>22</v>
      </c>
      <c r="J1193" s="10">
        <v>641.40150000000006</v>
      </c>
      <c r="K1193" s="11">
        <v>37.700000000000003</v>
      </c>
      <c r="L1193" s="11">
        <v>2.99</v>
      </c>
      <c r="M1193" s="9" t="s">
        <v>886</v>
      </c>
      <c r="N1193" s="6" t="s">
        <v>703</v>
      </c>
      <c r="O1193" s="6" t="s">
        <v>704</v>
      </c>
      <c r="P1193" s="9" t="s">
        <v>41</v>
      </c>
      <c r="Q1193" s="9" t="s">
        <v>26</v>
      </c>
      <c r="R1193" s="9" t="s">
        <v>37</v>
      </c>
      <c r="S1193" s="7" t="s">
        <v>952</v>
      </c>
      <c r="T1193" s="9" t="s">
        <v>39</v>
      </c>
      <c r="U1193" s="7">
        <v>0.35</v>
      </c>
      <c r="V1193" s="12">
        <f>C1193+0</f>
        <v>40727</v>
      </c>
      <c r="W1193">
        <f>IF(D1193=' Pivot Tables'!$A$4,1,0)</f>
        <v>0</v>
      </c>
      <c r="X1193">
        <f>IF(AND(LEFT(D1193,4)+1=LEFT(' Pivot Tables'!$A$4,4)+0,RIGHT(LEFT(D1193,7),2)=RIGHT(LEFT(' Pivot Tables'!$A$4,7),2)),1,0)</f>
        <v>0</v>
      </c>
      <c r="Y1193" s="6">
        <f>1/COUNTIF(Таблица1[Order ID],Таблица1[[#This Row],[Order ID]])</f>
        <v>1</v>
      </c>
      <c r="Z1193" s="9">
        <f>1/COUNTIFS(Таблица1[Customer Name],Таблица1[[#This Row],[Customer Name]],Таблица1[Order-Year-Month],Таблица1[[#This Row],[Order-Year-Month]])</f>
        <v>1</v>
      </c>
    </row>
    <row r="1194" spans="1:26" x14ac:dyDescent="0.2">
      <c r="A1194" s="6">
        <v>4237</v>
      </c>
      <c r="B1194" s="7">
        <v>30147</v>
      </c>
      <c r="C1194" s="8">
        <f>DATE(2012,12,31)-197</f>
        <v>41077</v>
      </c>
      <c r="D1194" s="8" t="str">
        <f t="shared" si="24"/>
        <v>2012-06 (июнь 2012)</v>
      </c>
      <c r="E1194" s="9" t="s">
        <v>45</v>
      </c>
      <c r="F1194" s="7">
        <v>37</v>
      </c>
      <c r="G1194" s="7">
        <v>740.14</v>
      </c>
      <c r="H1194" s="7">
        <v>0.06</v>
      </c>
      <c r="I1194" s="9" t="s">
        <v>22</v>
      </c>
      <c r="J1194" s="10">
        <v>29.73</v>
      </c>
      <c r="K1194" s="11">
        <v>19.98</v>
      </c>
      <c r="L1194" s="11">
        <v>10.49</v>
      </c>
      <c r="M1194" s="9" t="s">
        <v>953</v>
      </c>
      <c r="N1194" s="6" t="s">
        <v>703</v>
      </c>
      <c r="O1194" s="6" t="s">
        <v>704</v>
      </c>
      <c r="P1194" s="9" t="s">
        <v>33</v>
      </c>
      <c r="Q1194" s="9" t="s">
        <v>49</v>
      </c>
      <c r="R1194" s="9" t="s">
        <v>50</v>
      </c>
      <c r="S1194" s="7" t="s">
        <v>163</v>
      </c>
      <c r="T1194" s="9" t="s">
        <v>39</v>
      </c>
      <c r="U1194" s="7">
        <v>0.49</v>
      </c>
      <c r="V1194" s="12">
        <f>C1194+2</f>
        <v>41079</v>
      </c>
      <c r="W1194">
        <f>IF(D1194=' Pivot Tables'!$A$4,1,0)</f>
        <v>0</v>
      </c>
      <c r="X1194">
        <f>IF(AND(LEFT(D1194,4)+1=LEFT(' Pivot Tables'!$A$4,4)+0,RIGHT(LEFT(D1194,7),2)=RIGHT(LEFT(' Pivot Tables'!$A$4,7),2)),1,0)</f>
        <v>0</v>
      </c>
      <c r="Y1194" s="6">
        <f>1/COUNTIF(Таблица1[Order ID],Таблица1[[#This Row],[Order ID]])</f>
        <v>1</v>
      </c>
      <c r="Z1194" s="9">
        <f>1/COUNTIFS(Таблица1[Customer Name],Таблица1[[#This Row],[Customer Name]],Таблица1[Order-Year-Month],Таблица1[[#This Row],[Order-Year-Month]])</f>
        <v>1</v>
      </c>
    </row>
    <row r="1195" spans="1:26" x14ac:dyDescent="0.2">
      <c r="A1195" s="6">
        <v>4238</v>
      </c>
      <c r="B1195" s="7">
        <v>30149</v>
      </c>
      <c r="C1195" s="8">
        <f>DATE(2012,12,31)-750</f>
        <v>40524</v>
      </c>
      <c r="D1195" s="8" t="str">
        <f t="shared" si="24"/>
        <v>2010-12 (декабрь 2010)</v>
      </c>
      <c r="E1195" s="9" t="s">
        <v>63</v>
      </c>
      <c r="F1195" s="7">
        <v>8</v>
      </c>
      <c r="G1195" s="7">
        <v>16.47</v>
      </c>
      <c r="H1195" s="7">
        <v>0.1</v>
      </c>
      <c r="I1195" s="9" t="s">
        <v>22</v>
      </c>
      <c r="J1195" s="10">
        <v>-6.8194999999999997</v>
      </c>
      <c r="K1195" s="11">
        <v>2.08</v>
      </c>
      <c r="L1195" s="11">
        <v>1.49</v>
      </c>
      <c r="M1195" s="9" t="s">
        <v>910</v>
      </c>
      <c r="N1195" s="6" t="s">
        <v>703</v>
      </c>
      <c r="O1195" s="6" t="s">
        <v>704</v>
      </c>
      <c r="P1195" s="9" t="s">
        <v>41</v>
      </c>
      <c r="Q1195" s="9" t="s">
        <v>26</v>
      </c>
      <c r="R1195" s="9" t="s">
        <v>37</v>
      </c>
      <c r="S1195" s="7" t="s">
        <v>779</v>
      </c>
      <c r="T1195" s="9" t="s">
        <v>39</v>
      </c>
      <c r="U1195" s="7">
        <v>0.38</v>
      </c>
      <c r="V1195" s="12">
        <f>C1195+1</f>
        <v>40525</v>
      </c>
      <c r="W1195">
        <f>IF(D1195=' Pivot Tables'!$A$4,1,0)</f>
        <v>0</v>
      </c>
      <c r="X1195">
        <f>IF(AND(LEFT(D1195,4)+1=LEFT(' Pivot Tables'!$A$4,4)+0,RIGHT(LEFT(D1195,7),2)=RIGHT(LEFT(' Pivot Tables'!$A$4,7),2)),1,0)</f>
        <v>0</v>
      </c>
      <c r="Y1195" s="6">
        <f>1/COUNTIF(Таблица1[Order ID],Таблица1[[#This Row],[Order ID]])</f>
        <v>0.33333333333333331</v>
      </c>
      <c r="Z1195" s="9">
        <f>1/COUNTIFS(Таблица1[Customer Name],Таблица1[[#This Row],[Customer Name]],Таблица1[Order-Year-Month],Таблица1[[#This Row],[Order-Year-Month]])</f>
        <v>0.33333333333333331</v>
      </c>
    </row>
    <row r="1196" spans="1:26" x14ac:dyDescent="0.2">
      <c r="A1196" s="6">
        <v>4239</v>
      </c>
      <c r="B1196" s="7">
        <v>30149</v>
      </c>
      <c r="C1196" s="8">
        <f>DATE(2012,12,31)-750</f>
        <v>40524</v>
      </c>
      <c r="D1196" s="8" t="str">
        <f t="shared" si="24"/>
        <v>2010-12 (декабрь 2010)</v>
      </c>
      <c r="E1196" s="9" t="s">
        <v>63</v>
      </c>
      <c r="F1196" s="7">
        <v>5</v>
      </c>
      <c r="G1196" s="7">
        <v>173.62</v>
      </c>
      <c r="H1196" s="7">
        <v>0.09</v>
      </c>
      <c r="I1196" s="9" t="s">
        <v>31</v>
      </c>
      <c r="J1196" s="10">
        <v>-88.64</v>
      </c>
      <c r="K1196" s="11">
        <v>33.94</v>
      </c>
      <c r="L1196" s="11">
        <v>19.190000000000001</v>
      </c>
      <c r="M1196" s="9" t="s">
        <v>910</v>
      </c>
      <c r="N1196" s="6" t="s">
        <v>703</v>
      </c>
      <c r="O1196" s="6" t="s">
        <v>704</v>
      </c>
      <c r="P1196" s="9" t="s">
        <v>41</v>
      </c>
      <c r="Q1196" s="9" t="s">
        <v>49</v>
      </c>
      <c r="R1196" s="9" t="s">
        <v>112</v>
      </c>
      <c r="S1196" s="7" t="s">
        <v>323</v>
      </c>
      <c r="T1196" s="9" t="s">
        <v>36</v>
      </c>
      <c r="U1196" s="7">
        <v>0.57999999999999996</v>
      </c>
      <c r="V1196" s="12">
        <f>C1196+2</f>
        <v>40526</v>
      </c>
      <c r="W1196">
        <f>IF(D1196=' Pivot Tables'!$A$4,1,0)</f>
        <v>0</v>
      </c>
      <c r="X1196">
        <f>IF(AND(LEFT(D1196,4)+1=LEFT(' Pivot Tables'!$A$4,4)+0,RIGHT(LEFT(D1196,7),2)=RIGHT(LEFT(' Pivot Tables'!$A$4,7),2)),1,0)</f>
        <v>0</v>
      </c>
      <c r="Y1196" s="6">
        <f>1/COUNTIF(Таблица1[Order ID],Таблица1[[#This Row],[Order ID]])</f>
        <v>0.33333333333333331</v>
      </c>
      <c r="Z1196" s="9">
        <f>1/COUNTIFS(Таблица1[Customer Name],Таблица1[[#This Row],[Customer Name]],Таблица1[Order-Year-Month],Таблица1[[#This Row],[Order-Year-Month]])</f>
        <v>0.33333333333333331</v>
      </c>
    </row>
    <row r="1197" spans="1:26" x14ac:dyDescent="0.2">
      <c r="A1197" s="6">
        <v>4240</v>
      </c>
      <c r="B1197" s="7">
        <v>30149</v>
      </c>
      <c r="C1197" s="8">
        <f>DATE(2012,12,31)-750</f>
        <v>40524</v>
      </c>
      <c r="D1197" s="8" t="str">
        <f t="shared" si="24"/>
        <v>2010-12 (декабрь 2010)</v>
      </c>
      <c r="E1197" s="9" t="s">
        <v>63</v>
      </c>
      <c r="F1197" s="7">
        <v>50</v>
      </c>
      <c r="G1197" s="7">
        <v>690.97</v>
      </c>
      <c r="H1197" s="7">
        <v>0.03</v>
      </c>
      <c r="I1197" s="9" t="s">
        <v>22</v>
      </c>
      <c r="J1197" s="10">
        <v>-16.940000000000001</v>
      </c>
      <c r="K1197" s="11">
        <v>13.79</v>
      </c>
      <c r="L1197" s="11">
        <v>8.7799999999999994</v>
      </c>
      <c r="M1197" s="9" t="s">
        <v>910</v>
      </c>
      <c r="N1197" s="6" t="s">
        <v>703</v>
      </c>
      <c r="O1197" s="6" t="s">
        <v>704</v>
      </c>
      <c r="P1197" s="9" t="s">
        <v>41</v>
      </c>
      <c r="Q1197" s="9" t="s">
        <v>49</v>
      </c>
      <c r="R1197" s="9" t="s">
        <v>50</v>
      </c>
      <c r="S1197" s="7" t="s">
        <v>641</v>
      </c>
      <c r="T1197" s="9" t="s">
        <v>39</v>
      </c>
      <c r="U1197" s="7">
        <v>0.43</v>
      </c>
      <c r="V1197" s="12">
        <f>C1197+3</f>
        <v>40527</v>
      </c>
      <c r="W1197">
        <f>IF(D1197=' Pivot Tables'!$A$4,1,0)</f>
        <v>0</v>
      </c>
      <c r="X1197">
        <f>IF(AND(LEFT(D1197,4)+1=LEFT(' Pivot Tables'!$A$4,4)+0,RIGHT(LEFT(D1197,7),2)=RIGHT(LEFT(' Pivot Tables'!$A$4,7),2)),1,0)</f>
        <v>0</v>
      </c>
      <c r="Y1197" s="6">
        <f>1/COUNTIF(Таблица1[Order ID],Таблица1[[#This Row],[Order ID]])</f>
        <v>0.33333333333333331</v>
      </c>
      <c r="Z1197" s="9">
        <f>1/COUNTIFS(Таблица1[Customer Name],Таблица1[[#This Row],[Customer Name]],Таблица1[Order-Year-Month],Таблица1[[#This Row],[Order-Year-Month]])</f>
        <v>0.33333333333333331</v>
      </c>
    </row>
    <row r="1198" spans="1:26" x14ac:dyDescent="0.2">
      <c r="A1198" s="6">
        <v>4257</v>
      </c>
      <c r="B1198" s="7">
        <v>30310</v>
      </c>
      <c r="C1198" s="8">
        <f>DATE(2012,12,31)-249</f>
        <v>41025</v>
      </c>
      <c r="D1198" s="8" t="str">
        <f t="shared" si="24"/>
        <v>2012-04 (апрель 2012)</v>
      </c>
      <c r="E1198" s="9" t="s">
        <v>63</v>
      </c>
      <c r="F1198" s="7">
        <v>21</v>
      </c>
      <c r="G1198" s="7">
        <v>2024.0284999999999</v>
      </c>
      <c r="H1198" s="7">
        <v>0.1</v>
      </c>
      <c r="I1198" s="9" t="s">
        <v>22</v>
      </c>
      <c r="J1198" s="10">
        <v>4.8960000000000106</v>
      </c>
      <c r="K1198" s="11">
        <v>125.99</v>
      </c>
      <c r="L1198" s="11">
        <v>8.8000000000000007</v>
      </c>
      <c r="M1198" s="9" t="s">
        <v>901</v>
      </c>
      <c r="N1198" s="6" t="s">
        <v>703</v>
      </c>
      <c r="O1198" s="6" t="s">
        <v>704</v>
      </c>
      <c r="P1198" s="9" t="s">
        <v>33</v>
      </c>
      <c r="Q1198" s="9" t="s">
        <v>42</v>
      </c>
      <c r="R1198" s="9" t="s">
        <v>43</v>
      </c>
      <c r="S1198" s="7" t="s">
        <v>800</v>
      </c>
      <c r="T1198" s="9" t="s">
        <v>39</v>
      </c>
      <c r="U1198" s="7">
        <v>0.59</v>
      </c>
      <c r="V1198" s="12">
        <f>C1198+2</f>
        <v>41027</v>
      </c>
      <c r="W1198">
        <f>IF(D1198=' Pivot Tables'!$A$4,1,0)</f>
        <v>0</v>
      </c>
      <c r="X1198">
        <f>IF(AND(LEFT(D1198,4)+1=LEFT(' Pivot Tables'!$A$4,4)+0,RIGHT(LEFT(D1198,7),2)=RIGHT(LEFT(' Pivot Tables'!$A$4,7),2)),1,0)</f>
        <v>0</v>
      </c>
      <c r="Y1198" s="6">
        <f>1/COUNTIF(Таблица1[Order ID],Таблица1[[#This Row],[Order ID]])</f>
        <v>1</v>
      </c>
      <c r="Z1198" s="9">
        <f>1/COUNTIFS(Таблица1[Customer Name],Таблица1[[#This Row],[Customer Name]],Таблица1[Order-Year-Month],Таблица1[[#This Row],[Order-Year-Month]])</f>
        <v>1</v>
      </c>
    </row>
    <row r="1199" spans="1:26" x14ac:dyDescent="0.2">
      <c r="A1199" s="6">
        <v>4407</v>
      </c>
      <c r="B1199" s="7">
        <v>31426</v>
      </c>
      <c r="C1199" s="8">
        <f>DATE(2012,12,31)-1244</f>
        <v>40030</v>
      </c>
      <c r="D1199" s="8" t="str">
        <f t="shared" si="24"/>
        <v>2009-08 (август 2009)</v>
      </c>
      <c r="E1199" s="9" t="s">
        <v>21</v>
      </c>
      <c r="F1199" s="7">
        <v>40</v>
      </c>
      <c r="G1199" s="7">
        <v>4054.0579999999995</v>
      </c>
      <c r="H1199" s="7">
        <v>0.09</v>
      </c>
      <c r="I1199" s="9" t="s">
        <v>22</v>
      </c>
      <c r="J1199" s="10">
        <v>914.19299999999998</v>
      </c>
      <c r="K1199" s="11">
        <v>125.99</v>
      </c>
      <c r="L1199" s="11">
        <v>2.5</v>
      </c>
      <c r="M1199" s="9" t="s">
        <v>920</v>
      </c>
      <c r="N1199" s="6" t="s">
        <v>703</v>
      </c>
      <c r="O1199" s="6" t="s">
        <v>704</v>
      </c>
      <c r="P1199" s="9" t="s">
        <v>60</v>
      </c>
      <c r="Q1199" s="9" t="s">
        <v>42</v>
      </c>
      <c r="R1199" s="9" t="s">
        <v>43</v>
      </c>
      <c r="S1199" s="7" t="s">
        <v>954</v>
      </c>
      <c r="T1199" s="9" t="s">
        <v>39</v>
      </c>
      <c r="U1199" s="7">
        <v>0.6</v>
      </c>
      <c r="V1199" s="12">
        <f>C1199+4</f>
        <v>40034</v>
      </c>
      <c r="W1199">
        <f>IF(D1199=' Pivot Tables'!$A$4,1,0)</f>
        <v>0</v>
      </c>
      <c r="X1199">
        <f>IF(AND(LEFT(D1199,4)+1=LEFT(' Pivot Tables'!$A$4,4)+0,RIGHT(LEFT(D1199,7),2)=RIGHT(LEFT(' Pivot Tables'!$A$4,7),2)),1,0)</f>
        <v>0</v>
      </c>
      <c r="Y1199" s="6">
        <f>1/COUNTIF(Таблица1[Order ID],Таблица1[[#This Row],[Order ID]])</f>
        <v>1</v>
      </c>
      <c r="Z1199" s="9">
        <f>1/COUNTIFS(Таблица1[Customer Name],Таблица1[[#This Row],[Customer Name]],Таблица1[Order-Year-Month],Таблица1[[#This Row],[Order-Year-Month]])</f>
        <v>1</v>
      </c>
    </row>
    <row r="1200" spans="1:26" x14ac:dyDescent="0.2">
      <c r="A1200" s="6">
        <v>4471</v>
      </c>
      <c r="B1200" s="7">
        <v>31872</v>
      </c>
      <c r="C1200" s="8">
        <f>DATE(2012,12,31)-847</f>
        <v>40427</v>
      </c>
      <c r="D1200" s="8" t="str">
        <f t="shared" si="24"/>
        <v>2010-09 (сентябрь 2010)</v>
      </c>
      <c r="E1200" s="9" t="s">
        <v>21</v>
      </c>
      <c r="F1200" s="7">
        <v>34</v>
      </c>
      <c r="G1200" s="7">
        <v>2833.19</v>
      </c>
      <c r="H1200" s="7">
        <v>0.06</v>
      </c>
      <c r="I1200" s="9" t="s">
        <v>56</v>
      </c>
      <c r="J1200" s="10">
        <v>1409.87</v>
      </c>
      <c r="K1200" s="11">
        <v>83.98</v>
      </c>
      <c r="L1200" s="11">
        <v>5.01</v>
      </c>
      <c r="M1200" s="9" t="s">
        <v>904</v>
      </c>
      <c r="N1200" s="6" t="s">
        <v>703</v>
      </c>
      <c r="O1200" s="6" t="s">
        <v>704</v>
      </c>
      <c r="P1200" s="9" t="s">
        <v>60</v>
      </c>
      <c r="Q1200" s="9" t="s">
        <v>26</v>
      </c>
      <c r="R1200" s="9" t="s">
        <v>76</v>
      </c>
      <c r="S1200" s="7" t="s">
        <v>955</v>
      </c>
      <c r="T1200" s="9" t="s">
        <v>39</v>
      </c>
      <c r="U1200" s="7">
        <v>0.38</v>
      </c>
      <c r="V1200" s="12">
        <f>C1200+4</f>
        <v>40431</v>
      </c>
      <c r="W1200">
        <f>IF(D1200=' Pivot Tables'!$A$4,1,0)</f>
        <v>0</v>
      </c>
      <c r="X1200">
        <f>IF(AND(LEFT(D1200,4)+1=LEFT(' Pivot Tables'!$A$4,4)+0,RIGHT(LEFT(D1200,7),2)=RIGHT(LEFT(' Pivot Tables'!$A$4,7),2)),1,0)</f>
        <v>0</v>
      </c>
      <c r="Y1200" s="6">
        <f>1/COUNTIF(Таблица1[Order ID],Таблица1[[#This Row],[Order ID]])</f>
        <v>0.5</v>
      </c>
      <c r="Z1200" s="9">
        <f>1/COUNTIFS(Таблица1[Customer Name],Таблица1[[#This Row],[Customer Name]],Таблица1[Order-Year-Month],Таблица1[[#This Row],[Order-Year-Month]])</f>
        <v>0.5</v>
      </c>
    </row>
    <row r="1201" spans="1:26" x14ac:dyDescent="0.2">
      <c r="A1201" s="6">
        <v>4472</v>
      </c>
      <c r="B1201" s="7">
        <v>31872</v>
      </c>
      <c r="C1201" s="8">
        <f>DATE(2012,12,31)-847</f>
        <v>40427</v>
      </c>
      <c r="D1201" s="8" t="str">
        <f t="shared" si="24"/>
        <v>2010-09 (сентябрь 2010)</v>
      </c>
      <c r="E1201" s="9" t="s">
        <v>21</v>
      </c>
      <c r="F1201" s="7">
        <v>30</v>
      </c>
      <c r="G1201" s="7">
        <v>4452.6499999999996</v>
      </c>
      <c r="H1201" s="7">
        <v>0.09</v>
      </c>
      <c r="I1201" s="9" t="s">
        <v>31</v>
      </c>
      <c r="J1201" s="10">
        <v>-265.12200000000001</v>
      </c>
      <c r="K1201" s="11">
        <v>159.31</v>
      </c>
      <c r="L1201" s="11">
        <v>60</v>
      </c>
      <c r="M1201" s="9" t="s">
        <v>904</v>
      </c>
      <c r="N1201" s="6" t="s">
        <v>703</v>
      </c>
      <c r="O1201" s="6" t="s">
        <v>704</v>
      </c>
      <c r="P1201" s="9" t="s">
        <v>60</v>
      </c>
      <c r="Q1201" s="9" t="s">
        <v>49</v>
      </c>
      <c r="R1201" s="9" t="s">
        <v>83</v>
      </c>
      <c r="S1201" s="7" t="s">
        <v>956</v>
      </c>
      <c r="T1201" s="9" t="s">
        <v>36</v>
      </c>
      <c r="U1201" s="7">
        <v>0.55000000000000004</v>
      </c>
      <c r="V1201" s="12">
        <f>C1201+4</f>
        <v>40431</v>
      </c>
      <c r="W1201">
        <f>IF(D1201=' Pivot Tables'!$A$4,1,0)</f>
        <v>0</v>
      </c>
      <c r="X1201">
        <f>IF(AND(LEFT(D1201,4)+1=LEFT(' Pivot Tables'!$A$4,4)+0,RIGHT(LEFT(D1201,7),2)=RIGHT(LEFT(' Pivot Tables'!$A$4,7),2)),1,0)</f>
        <v>0</v>
      </c>
      <c r="Y1201" s="6">
        <f>1/COUNTIF(Таблица1[Order ID],Таблица1[[#This Row],[Order ID]])</f>
        <v>0.5</v>
      </c>
      <c r="Z1201" s="9">
        <f>1/COUNTIFS(Таблица1[Customer Name],Таблица1[[#This Row],[Customer Name]],Таблица1[Order-Year-Month],Таблица1[[#This Row],[Order-Year-Month]])</f>
        <v>0.5</v>
      </c>
    </row>
    <row r="1202" spans="1:26" x14ac:dyDescent="0.2">
      <c r="A1202" s="6">
        <v>4477</v>
      </c>
      <c r="B1202" s="7">
        <v>31874</v>
      </c>
      <c r="C1202" s="8">
        <f>DATE(2012,12,31)-107</f>
        <v>41167</v>
      </c>
      <c r="D1202" s="8" t="str">
        <f t="shared" si="24"/>
        <v>2012-09 (сентябрь 2012)</v>
      </c>
      <c r="E1202" s="9" t="s">
        <v>30</v>
      </c>
      <c r="F1202" s="7">
        <v>29</v>
      </c>
      <c r="G1202" s="7">
        <v>321.95</v>
      </c>
      <c r="H1202" s="7">
        <v>0.03</v>
      </c>
      <c r="I1202" s="9" t="s">
        <v>56</v>
      </c>
      <c r="J1202" s="10">
        <v>20.76</v>
      </c>
      <c r="K1202" s="11">
        <v>10.98</v>
      </c>
      <c r="L1202" s="11">
        <v>3.37</v>
      </c>
      <c r="M1202" s="9" t="s">
        <v>874</v>
      </c>
      <c r="N1202" s="6" t="s">
        <v>703</v>
      </c>
      <c r="O1202" s="6" t="s">
        <v>704</v>
      </c>
      <c r="P1202" s="9" t="s">
        <v>41</v>
      </c>
      <c r="Q1202" s="9" t="s">
        <v>26</v>
      </c>
      <c r="R1202" s="9" t="s">
        <v>150</v>
      </c>
      <c r="S1202" s="7" t="s">
        <v>465</v>
      </c>
      <c r="T1202" s="9" t="s">
        <v>52</v>
      </c>
      <c r="U1202" s="7">
        <v>0.56999999999999995</v>
      </c>
      <c r="V1202" s="12">
        <f>C1202+0</f>
        <v>41167</v>
      </c>
      <c r="W1202">
        <f>IF(D1202=' Pivot Tables'!$A$4,1,0)</f>
        <v>0</v>
      </c>
      <c r="X1202">
        <f>IF(AND(LEFT(D1202,4)+1=LEFT(' Pivot Tables'!$A$4,4)+0,RIGHT(LEFT(D1202,7),2)=RIGHT(LEFT(' Pivot Tables'!$A$4,7),2)),1,0)</f>
        <v>0</v>
      </c>
      <c r="Y1202" s="6">
        <f>1/COUNTIF(Таблица1[Order ID],Таблица1[[#This Row],[Order ID]])</f>
        <v>0.5</v>
      </c>
      <c r="Z1202" s="9">
        <f>1/COUNTIFS(Таблица1[Customer Name],Таблица1[[#This Row],[Customer Name]],Таблица1[Order-Year-Month],Таблица1[[#This Row],[Order-Year-Month]])</f>
        <v>0.5</v>
      </c>
    </row>
    <row r="1203" spans="1:26" x14ac:dyDescent="0.2">
      <c r="A1203" s="6">
        <v>4478</v>
      </c>
      <c r="B1203" s="7">
        <v>31874</v>
      </c>
      <c r="C1203" s="8">
        <f>DATE(2012,12,31)-107</f>
        <v>41167</v>
      </c>
      <c r="D1203" s="8" t="str">
        <f t="shared" si="24"/>
        <v>2012-09 (сентябрь 2012)</v>
      </c>
      <c r="E1203" s="9" t="s">
        <v>30</v>
      </c>
      <c r="F1203" s="7">
        <v>39</v>
      </c>
      <c r="G1203" s="7">
        <v>13244.04</v>
      </c>
      <c r="H1203" s="7">
        <v>0.05</v>
      </c>
      <c r="I1203" s="9" t="s">
        <v>31</v>
      </c>
      <c r="J1203" s="10">
        <v>275.93</v>
      </c>
      <c r="K1203" s="11">
        <v>348.21</v>
      </c>
      <c r="L1203" s="11">
        <v>84.84</v>
      </c>
      <c r="M1203" s="9" t="s">
        <v>874</v>
      </c>
      <c r="N1203" s="6" t="s">
        <v>703</v>
      </c>
      <c r="O1203" s="6" t="s">
        <v>704</v>
      </c>
      <c r="P1203" s="9" t="s">
        <v>41</v>
      </c>
      <c r="Q1203" s="9" t="s">
        <v>49</v>
      </c>
      <c r="R1203" s="9" t="s">
        <v>83</v>
      </c>
      <c r="S1203" s="7" t="s">
        <v>599</v>
      </c>
      <c r="T1203" s="9" t="s">
        <v>82</v>
      </c>
      <c r="U1203" s="7">
        <v>0.66</v>
      </c>
      <c r="V1203" s="12">
        <f>C1203+0</f>
        <v>41167</v>
      </c>
      <c r="W1203">
        <f>IF(D1203=' Pivot Tables'!$A$4,1,0)</f>
        <v>0</v>
      </c>
      <c r="X1203">
        <f>IF(AND(LEFT(D1203,4)+1=LEFT(' Pivot Tables'!$A$4,4)+0,RIGHT(LEFT(D1203,7),2)=RIGHT(LEFT(' Pivot Tables'!$A$4,7),2)),1,0)</f>
        <v>0</v>
      </c>
      <c r="Y1203" s="6">
        <f>1/COUNTIF(Таблица1[Order ID],Таблица1[[#This Row],[Order ID]])</f>
        <v>0.5</v>
      </c>
      <c r="Z1203" s="9">
        <f>1/COUNTIFS(Таблица1[Customer Name],Таблица1[[#This Row],[Customer Name]],Таблица1[Order-Year-Month],Таблица1[[#This Row],[Order-Year-Month]])</f>
        <v>0.5</v>
      </c>
    </row>
    <row r="1204" spans="1:26" x14ac:dyDescent="0.2">
      <c r="A1204" s="6">
        <v>4485</v>
      </c>
      <c r="B1204" s="7">
        <v>31938</v>
      </c>
      <c r="C1204" s="8">
        <f>DATE(2012,12,31)-523</f>
        <v>40751</v>
      </c>
      <c r="D1204" s="8" t="str">
        <f t="shared" si="24"/>
        <v>2011-07 (июль 2011)</v>
      </c>
      <c r="E1204" s="9" t="s">
        <v>63</v>
      </c>
      <c r="F1204" s="7">
        <v>13</v>
      </c>
      <c r="G1204" s="7">
        <v>1193.6199999999999</v>
      </c>
      <c r="H1204" s="7">
        <v>0.08</v>
      </c>
      <c r="I1204" s="9" t="s">
        <v>31</v>
      </c>
      <c r="J1204" s="10">
        <v>-304.47000000000003</v>
      </c>
      <c r="K1204" s="11">
        <v>89.99</v>
      </c>
      <c r="L1204" s="11">
        <v>42</v>
      </c>
      <c r="M1204" s="9" t="s">
        <v>874</v>
      </c>
      <c r="N1204" s="6" t="s">
        <v>703</v>
      </c>
      <c r="O1204" s="6" t="s">
        <v>704</v>
      </c>
      <c r="P1204" s="9" t="s">
        <v>33</v>
      </c>
      <c r="Q1204" s="9" t="s">
        <v>49</v>
      </c>
      <c r="R1204" s="9" t="s">
        <v>112</v>
      </c>
      <c r="S1204" s="7" t="s">
        <v>853</v>
      </c>
      <c r="T1204" s="9" t="s">
        <v>36</v>
      </c>
      <c r="U1204" s="7">
        <v>0.66</v>
      </c>
      <c r="V1204" s="12">
        <f>C1204+1</f>
        <v>40752</v>
      </c>
      <c r="W1204">
        <f>IF(D1204=' Pivot Tables'!$A$4,1,0)</f>
        <v>0</v>
      </c>
      <c r="X1204">
        <f>IF(AND(LEFT(D1204,4)+1=LEFT(' Pivot Tables'!$A$4,4)+0,RIGHT(LEFT(D1204,7),2)=RIGHT(LEFT(' Pivot Tables'!$A$4,7),2)),1,0)</f>
        <v>0</v>
      </c>
      <c r="Y1204" s="6">
        <f>1/COUNTIF(Таблица1[Order ID],Таблица1[[#This Row],[Order ID]])</f>
        <v>0.5</v>
      </c>
      <c r="Z1204" s="9">
        <f>1/COUNTIFS(Таблица1[Customer Name],Таблица1[[#This Row],[Customer Name]],Таблица1[Order-Year-Month],Таблица1[[#This Row],[Order-Year-Month]])</f>
        <v>0.5</v>
      </c>
    </row>
    <row r="1205" spans="1:26" x14ac:dyDescent="0.2">
      <c r="A1205" s="6">
        <v>4486</v>
      </c>
      <c r="B1205" s="7">
        <v>31938</v>
      </c>
      <c r="C1205" s="8">
        <f>DATE(2012,12,31)-523</f>
        <v>40751</v>
      </c>
      <c r="D1205" s="8" t="str">
        <f t="shared" si="24"/>
        <v>2011-07 (июль 2011)</v>
      </c>
      <c r="E1205" s="9" t="s">
        <v>63</v>
      </c>
      <c r="F1205" s="7">
        <v>47</v>
      </c>
      <c r="G1205" s="7">
        <v>363.23</v>
      </c>
      <c r="H1205" s="7">
        <v>0.05</v>
      </c>
      <c r="I1205" s="9" t="s">
        <v>22</v>
      </c>
      <c r="J1205" s="10">
        <v>40.58</v>
      </c>
      <c r="K1205" s="11">
        <v>7.59</v>
      </c>
      <c r="L1205" s="11">
        <v>4</v>
      </c>
      <c r="M1205" s="9" t="s">
        <v>874</v>
      </c>
      <c r="N1205" s="6" t="s">
        <v>703</v>
      </c>
      <c r="O1205" s="6" t="s">
        <v>704</v>
      </c>
      <c r="P1205" s="9" t="s">
        <v>33</v>
      </c>
      <c r="Q1205" s="9" t="s">
        <v>49</v>
      </c>
      <c r="R1205" s="9" t="s">
        <v>50</v>
      </c>
      <c r="S1205" s="7" t="s">
        <v>504</v>
      </c>
      <c r="T1205" s="9" t="s">
        <v>68</v>
      </c>
      <c r="U1205" s="7">
        <v>0.42</v>
      </c>
      <c r="V1205" s="12">
        <f>C1205+2</f>
        <v>40753</v>
      </c>
      <c r="W1205">
        <f>IF(D1205=' Pivot Tables'!$A$4,1,0)</f>
        <v>0</v>
      </c>
      <c r="X1205">
        <f>IF(AND(LEFT(D1205,4)+1=LEFT(' Pivot Tables'!$A$4,4)+0,RIGHT(LEFT(D1205,7),2)=RIGHT(LEFT(' Pivot Tables'!$A$4,7),2)),1,0)</f>
        <v>0</v>
      </c>
      <c r="Y1205" s="6">
        <f>1/COUNTIF(Таблица1[Order ID],Таблица1[[#This Row],[Order ID]])</f>
        <v>0.5</v>
      </c>
      <c r="Z1205" s="9">
        <f>1/COUNTIFS(Таблица1[Customer Name],Таблица1[[#This Row],[Customer Name]],Таблица1[Order-Year-Month],Таблица1[[#This Row],[Order-Year-Month]])</f>
        <v>0.5</v>
      </c>
    </row>
    <row r="1206" spans="1:26" x14ac:dyDescent="0.2">
      <c r="A1206" s="6">
        <v>4576</v>
      </c>
      <c r="B1206" s="7">
        <v>32582</v>
      </c>
      <c r="C1206" s="8">
        <f>DATE(2012,12,31)-1285</f>
        <v>39989</v>
      </c>
      <c r="D1206" s="8" t="str">
        <f t="shared" si="24"/>
        <v>2009-06 (июнь 2009)</v>
      </c>
      <c r="E1206" s="9" t="s">
        <v>45</v>
      </c>
      <c r="F1206" s="7">
        <v>27</v>
      </c>
      <c r="G1206" s="7">
        <v>2780.88</v>
      </c>
      <c r="H1206" s="7">
        <v>7.0000000000000007E-2</v>
      </c>
      <c r="I1206" s="9" t="s">
        <v>56</v>
      </c>
      <c r="J1206" s="10">
        <v>595.38</v>
      </c>
      <c r="K1206" s="11">
        <v>105.34</v>
      </c>
      <c r="L1206" s="11">
        <v>24.49</v>
      </c>
      <c r="M1206" s="9" t="s">
        <v>905</v>
      </c>
      <c r="N1206" s="6" t="s">
        <v>703</v>
      </c>
      <c r="O1206" s="6" t="s">
        <v>704</v>
      </c>
      <c r="P1206" s="9" t="s">
        <v>33</v>
      </c>
      <c r="Q1206" s="9" t="s">
        <v>49</v>
      </c>
      <c r="R1206" s="9" t="s">
        <v>50</v>
      </c>
      <c r="S1206" s="7" t="s">
        <v>201</v>
      </c>
      <c r="T1206" s="9" t="s">
        <v>29</v>
      </c>
      <c r="U1206" s="7">
        <v>0.61</v>
      </c>
      <c r="V1206" s="12">
        <f>C1206+1</f>
        <v>39990</v>
      </c>
      <c r="W1206">
        <f>IF(D1206=' Pivot Tables'!$A$4,1,0)</f>
        <v>0</v>
      </c>
      <c r="X1206">
        <f>IF(AND(LEFT(D1206,4)+1=LEFT(' Pivot Tables'!$A$4,4)+0,RIGHT(LEFT(D1206,7),2)=RIGHT(LEFT(' Pivot Tables'!$A$4,7),2)),1,0)</f>
        <v>0</v>
      </c>
      <c r="Y1206" s="6">
        <f>1/COUNTIF(Таблица1[Order ID],Таблица1[[#This Row],[Order ID]])</f>
        <v>1</v>
      </c>
      <c r="Z1206" s="9">
        <f>1/COUNTIFS(Таблица1[Customer Name],Таблица1[[#This Row],[Customer Name]],Таблица1[Order-Year-Month],Таблица1[[#This Row],[Order-Year-Month]])</f>
        <v>1</v>
      </c>
    </row>
    <row r="1207" spans="1:26" x14ac:dyDescent="0.2">
      <c r="A1207" s="6">
        <v>4580</v>
      </c>
      <c r="B1207" s="7">
        <v>32611</v>
      </c>
      <c r="C1207" s="8">
        <f>DATE(2012,12,31)-1222</f>
        <v>40052</v>
      </c>
      <c r="D1207" s="8" t="str">
        <f t="shared" si="24"/>
        <v>2009-08 (август 2009)</v>
      </c>
      <c r="E1207" s="9" t="s">
        <v>63</v>
      </c>
      <c r="F1207" s="7">
        <v>16</v>
      </c>
      <c r="G1207" s="7">
        <v>33.76</v>
      </c>
      <c r="H1207" s="7">
        <v>0.04</v>
      </c>
      <c r="I1207" s="9" t="s">
        <v>22</v>
      </c>
      <c r="J1207" s="10">
        <v>-7.1529999999999996</v>
      </c>
      <c r="K1207" s="11">
        <v>2.08</v>
      </c>
      <c r="L1207" s="11">
        <v>1.49</v>
      </c>
      <c r="M1207" s="9" t="s">
        <v>949</v>
      </c>
      <c r="N1207" s="6" t="s">
        <v>703</v>
      </c>
      <c r="O1207" s="6" t="s">
        <v>704</v>
      </c>
      <c r="P1207" s="9" t="s">
        <v>41</v>
      </c>
      <c r="Q1207" s="9" t="s">
        <v>26</v>
      </c>
      <c r="R1207" s="9" t="s">
        <v>37</v>
      </c>
      <c r="S1207" s="7" t="s">
        <v>745</v>
      </c>
      <c r="T1207" s="9" t="s">
        <v>39</v>
      </c>
      <c r="U1207" s="7">
        <v>0.36</v>
      </c>
      <c r="V1207" s="12">
        <f>C1207+2</f>
        <v>40054</v>
      </c>
      <c r="W1207">
        <f>IF(D1207=' Pivot Tables'!$A$4,1,0)</f>
        <v>0</v>
      </c>
      <c r="X1207">
        <f>IF(AND(LEFT(D1207,4)+1=LEFT(' Pivot Tables'!$A$4,4)+0,RIGHT(LEFT(D1207,7),2)=RIGHT(LEFT(' Pivot Tables'!$A$4,7),2)),1,0)</f>
        <v>0</v>
      </c>
      <c r="Y1207" s="6">
        <f>1/COUNTIF(Таблица1[Order ID],Таблица1[[#This Row],[Order ID]])</f>
        <v>0.25</v>
      </c>
      <c r="Z1207" s="9">
        <f>1/COUNTIFS(Таблица1[Customer Name],Таблица1[[#This Row],[Customer Name]],Таблица1[Order-Year-Month],Таблица1[[#This Row],[Order-Year-Month]])</f>
        <v>0.25</v>
      </c>
    </row>
    <row r="1208" spans="1:26" x14ac:dyDescent="0.2">
      <c r="A1208" s="6">
        <v>4581</v>
      </c>
      <c r="B1208" s="7">
        <v>32611</v>
      </c>
      <c r="C1208" s="8">
        <f>DATE(2012,12,31)-1222</f>
        <v>40052</v>
      </c>
      <c r="D1208" s="8" t="str">
        <f t="shared" si="24"/>
        <v>2009-08 (август 2009)</v>
      </c>
      <c r="E1208" s="9" t="s">
        <v>63</v>
      </c>
      <c r="F1208" s="7">
        <v>19</v>
      </c>
      <c r="G1208" s="7">
        <v>3537.39</v>
      </c>
      <c r="H1208" s="7">
        <v>0</v>
      </c>
      <c r="I1208" s="9" t="s">
        <v>31</v>
      </c>
      <c r="J1208" s="10">
        <v>232.78</v>
      </c>
      <c r="K1208" s="11">
        <v>180.98</v>
      </c>
      <c r="L1208" s="11">
        <v>30</v>
      </c>
      <c r="M1208" s="9" t="s">
        <v>949</v>
      </c>
      <c r="N1208" s="6" t="s">
        <v>703</v>
      </c>
      <c r="O1208" s="6" t="s">
        <v>704</v>
      </c>
      <c r="P1208" s="9" t="s">
        <v>41</v>
      </c>
      <c r="Q1208" s="9" t="s">
        <v>49</v>
      </c>
      <c r="R1208" s="9" t="s">
        <v>112</v>
      </c>
      <c r="S1208" s="7" t="s">
        <v>957</v>
      </c>
      <c r="T1208" s="9" t="s">
        <v>36</v>
      </c>
      <c r="U1208" s="7">
        <v>0.69</v>
      </c>
      <c r="V1208" s="12">
        <f>C1208+1</f>
        <v>40053</v>
      </c>
      <c r="W1208">
        <f>IF(D1208=' Pivot Tables'!$A$4,1,0)</f>
        <v>0</v>
      </c>
      <c r="X1208">
        <f>IF(AND(LEFT(D1208,4)+1=LEFT(' Pivot Tables'!$A$4,4)+0,RIGHT(LEFT(D1208,7),2)=RIGHT(LEFT(' Pivot Tables'!$A$4,7),2)),1,0)</f>
        <v>0</v>
      </c>
      <c r="Y1208" s="6">
        <f>1/COUNTIF(Таблица1[Order ID],Таблица1[[#This Row],[Order ID]])</f>
        <v>0.25</v>
      </c>
      <c r="Z1208" s="9">
        <f>1/COUNTIFS(Таблица1[Customer Name],Таблица1[[#This Row],[Customer Name]],Таблица1[Order-Year-Month],Таблица1[[#This Row],[Order-Year-Month]])</f>
        <v>0.25</v>
      </c>
    </row>
    <row r="1209" spans="1:26" x14ac:dyDescent="0.2">
      <c r="A1209" s="6">
        <v>4582</v>
      </c>
      <c r="B1209" s="7">
        <v>32611</v>
      </c>
      <c r="C1209" s="8">
        <f>DATE(2012,12,31)-1222</f>
        <v>40052</v>
      </c>
      <c r="D1209" s="8" t="str">
        <f t="shared" si="24"/>
        <v>2009-08 (август 2009)</v>
      </c>
      <c r="E1209" s="9" t="s">
        <v>63</v>
      </c>
      <c r="F1209" s="7">
        <v>18</v>
      </c>
      <c r="G1209" s="7">
        <v>986.24</v>
      </c>
      <c r="H1209" s="7">
        <v>0.02</v>
      </c>
      <c r="I1209" s="9" t="s">
        <v>56</v>
      </c>
      <c r="J1209" s="10">
        <v>68.900000000000006</v>
      </c>
      <c r="K1209" s="11">
        <v>53.98</v>
      </c>
      <c r="L1209" s="11">
        <v>5.5</v>
      </c>
      <c r="M1209" s="9" t="s">
        <v>949</v>
      </c>
      <c r="N1209" s="6" t="s">
        <v>703</v>
      </c>
      <c r="O1209" s="6" t="s">
        <v>704</v>
      </c>
      <c r="P1209" s="9" t="s">
        <v>41</v>
      </c>
      <c r="Q1209" s="9" t="s">
        <v>42</v>
      </c>
      <c r="R1209" s="9" t="s">
        <v>70</v>
      </c>
      <c r="S1209" s="7" t="s">
        <v>958</v>
      </c>
      <c r="T1209" s="9" t="s">
        <v>39</v>
      </c>
      <c r="U1209" s="7">
        <v>0.62</v>
      </c>
      <c r="V1209" s="12">
        <f>C1209+1</f>
        <v>40053</v>
      </c>
      <c r="W1209">
        <f>IF(D1209=' Pivot Tables'!$A$4,1,0)</f>
        <v>0</v>
      </c>
      <c r="X1209">
        <f>IF(AND(LEFT(D1209,4)+1=LEFT(' Pivot Tables'!$A$4,4)+0,RIGHT(LEFT(D1209,7),2)=RIGHT(LEFT(' Pivot Tables'!$A$4,7),2)),1,0)</f>
        <v>0</v>
      </c>
      <c r="Y1209" s="6">
        <f>1/COUNTIF(Таблица1[Order ID],Таблица1[[#This Row],[Order ID]])</f>
        <v>0.25</v>
      </c>
      <c r="Z1209" s="9">
        <f>1/COUNTIFS(Таблица1[Customer Name],Таблица1[[#This Row],[Customer Name]],Таблица1[Order-Year-Month],Таблица1[[#This Row],[Order-Year-Month]])</f>
        <v>0.25</v>
      </c>
    </row>
    <row r="1210" spans="1:26" x14ac:dyDescent="0.2">
      <c r="A1210" s="6">
        <v>4583</v>
      </c>
      <c r="B1210" s="7">
        <v>32611</v>
      </c>
      <c r="C1210" s="8">
        <f>DATE(2012,12,31)-1222</f>
        <v>40052</v>
      </c>
      <c r="D1210" s="8" t="str">
        <f t="shared" si="24"/>
        <v>2009-08 (август 2009)</v>
      </c>
      <c r="E1210" s="9" t="s">
        <v>63</v>
      </c>
      <c r="F1210" s="7">
        <v>15</v>
      </c>
      <c r="G1210" s="7">
        <v>81.66</v>
      </c>
      <c r="H1210" s="7">
        <v>0.05</v>
      </c>
      <c r="I1210" s="9" t="s">
        <v>22</v>
      </c>
      <c r="J1210" s="10">
        <v>-31.99</v>
      </c>
      <c r="K1210" s="11">
        <v>4.9800000000000004</v>
      </c>
      <c r="L1210" s="11">
        <v>5.0199999999999996</v>
      </c>
      <c r="M1210" s="9" t="s">
        <v>949</v>
      </c>
      <c r="N1210" s="6" t="s">
        <v>703</v>
      </c>
      <c r="O1210" s="6" t="s">
        <v>704</v>
      </c>
      <c r="P1210" s="9" t="s">
        <v>41</v>
      </c>
      <c r="Q1210" s="9" t="s">
        <v>26</v>
      </c>
      <c r="R1210" s="9" t="s">
        <v>61</v>
      </c>
      <c r="S1210" s="7" t="s">
        <v>702</v>
      </c>
      <c r="T1210" s="9" t="s">
        <v>39</v>
      </c>
      <c r="U1210" s="7">
        <v>0.38</v>
      </c>
      <c r="V1210" s="12">
        <f>C1210+0</f>
        <v>40052</v>
      </c>
      <c r="W1210">
        <f>IF(D1210=' Pivot Tables'!$A$4,1,0)</f>
        <v>0</v>
      </c>
      <c r="X1210">
        <f>IF(AND(LEFT(D1210,4)+1=LEFT(' Pivot Tables'!$A$4,4)+0,RIGHT(LEFT(D1210,7),2)=RIGHT(LEFT(' Pivot Tables'!$A$4,7),2)),1,0)</f>
        <v>0</v>
      </c>
      <c r="Y1210" s="6">
        <f>1/COUNTIF(Таблица1[Order ID],Таблица1[[#This Row],[Order ID]])</f>
        <v>0.25</v>
      </c>
      <c r="Z1210" s="9">
        <f>1/COUNTIFS(Таблица1[Customer Name],Таблица1[[#This Row],[Customer Name]],Таблица1[Order-Year-Month],Таблица1[[#This Row],[Order-Year-Month]])</f>
        <v>0.25</v>
      </c>
    </row>
    <row r="1211" spans="1:26" x14ac:dyDescent="0.2">
      <c r="A1211" s="6">
        <v>4620</v>
      </c>
      <c r="B1211" s="7">
        <v>32901</v>
      </c>
      <c r="C1211" s="8">
        <f>DATE(2012,12,31)-721</f>
        <v>40553</v>
      </c>
      <c r="D1211" s="8" t="str">
        <f t="shared" si="24"/>
        <v>2011-01 (январь 2011)</v>
      </c>
      <c r="E1211" s="9" t="s">
        <v>78</v>
      </c>
      <c r="F1211" s="7">
        <v>13</v>
      </c>
      <c r="G1211" s="7">
        <v>49.74</v>
      </c>
      <c r="H1211" s="7">
        <v>0</v>
      </c>
      <c r="I1211" s="9" t="s">
        <v>22</v>
      </c>
      <c r="J1211" s="10">
        <v>17.7</v>
      </c>
      <c r="K1211" s="11">
        <v>3.75</v>
      </c>
      <c r="L1211" s="11">
        <v>0.5</v>
      </c>
      <c r="M1211" s="9" t="s">
        <v>949</v>
      </c>
      <c r="N1211" s="6" t="s">
        <v>703</v>
      </c>
      <c r="O1211" s="6" t="s">
        <v>704</v>
      </c>
      <c r="P1211" s="9" t="s">
        <v>41</v>
      </c>
      <c r="Q1211" s="9" t="s">
        <v>26</v>
      </c>
      <c r="R1211" s="9" t="s">
        <v>88</v>
      </c>
      <c r="S1211" s="7" t="s">
        <v>959</v>
      </c>
      <c r="T1211" s="9" t="s">
        <v>39</v>
      </c>
      <c r="U1211" s="7">
        <v>0.37</v>
      </c>
      <c r="V1211" s="12">
        <f>C1211+1</f>
        <v>40554</v>
      </c>
      <c r="W1211">
        <f>IF(D1211=' Pivot Tables'!$A$4,1,0)</f>
        <v>0</v>
      </c>
      <c r="X1211">
        <f>IF(AND(LEFT(D1211,4)+1=LEFT(' Pivot Tables'!$A$4,4)+0,RIGHT(LEFT(D1211,7),2)=RIGHT(LEFT(' Pivot Tables'!$A$4,7),2)),1,0)</f>
        <v>0</v>
      </c>
      <c r="Y1211" s="6">
        <f>1/COUNTIF(Таблица1[Order ID],Таблица1[[#This Row],[Order ID]])</f>
        <v>1</v>
      </c>
      <c r="Z1211" s="9">
        <f>1/COUNTIFS(Таблица1[Customer Name],Таблица1[[#This Row],[Customer Name]],Таблица1[Order-Year-Month],Таблица1[[#This Row],[Order-Year-Month]])</f>
        <v>1</v>
      </c>
    </row>
    <row r="1212" spans="1:26" x14ac:dyDescent="0.2">
      <c r="A1212" s="6">
        <v>4678</v>
      </c>
      <c r="B1212" s="7">
        <v>33284</v>
      </c>
      <c r="C1212" s="8">
        <f>DATE(2012,12,31)-275</f>
        <v>40999</v>
      </c>
      <c r="D1212" s="8" t="str">
        <f t="shared" si="24"/>
        <v>2012-03 (март 2012)</v>
      </c>
      <c r="E1212" s="9" t="s">
        <v>21</v>
      </c>
      <c r="F1212" s="7">
        <v>21</v>
      </c>
      <c r="G1212" s="7">
        <v>480.39</v>
      </c>
      <c r="H1212" s="7">
        <v>0.01</v>
      </c>
      <c r="I1212" s="9" t="s">
        <v>22</v>
      </c>
      <c r="J1212" s="10">
        <v>144.66</v>
      </c>
      <c r="K1212" s="11">
        <v>22.23</v>
      </c>
      <c r="L1212" s="11">
        <v>8.99</v>
      </c>
      <c r="M1212" s="9" t="s">
        <v>871</v>
      </c>
      <c r="N1212" s="6" t="s">
        <v>703</v>
      </c>
      <c r="O1212" s="6" t="s">
        <v>704</v>
      </c>
      <c r="P1212" s="9" t="s">
        <v>41</v>
      </c>
      <c r="Q1212" s="9" t="s">
        <v>49</v>
      </c>
      <c r="R1212" s="9" t="s">
        <v>50</v>
      </c>
      <c r="S1212" s="7" t="s">
        <v>960</v>
      </c>
      <c r="T1212" s="9" t="s">
        <v>52</v>
      </c>
      <c r="U1212" s="7">
        <v>0.41</v>
      </c>
      <c r="V1212" s="12">
        <f>C1212+2</f>
        <v>41001</v>
      </c>
      <c r="W1212">
        <f>IF(D1212=' Pivot Tables'!$A$4,1,0)</f>
        <v>0</v>
      </c>
      <c r="X1212">
        <f>IF(AND(LEFT(D1212,4)+1=LEFT(' Pivot Tables'!$A$4,4)+0,RIGHT(LEFT(D1212,7),2)=RIGHT(LEFT(' Pivot Tables'!$A$4,7),2)),1,0)</f>
        <v>0</v>
      </c>
      <c r="Y1212" s="6">
        <f>1/COUNTIF(Таблица1[Order ID],Таблица1[[#This Row],[Order ID]])</f>
        <v>1</v>
      </c>
      <c r="Z1212" s="9">
        <f>1/COUNTIFS(Таблица1[Customer Name],Таблица1[[#This Row],[Customer Name]],Таблица1[Order-Year-Month],Таблица1[[#This Row],[Order-Year-Month]])</f>
        <v>1</v>
      </c>
    </row>
    <row r="1213" spans="1:26" x14ac:dyDescent="0.2">
      <c r="A1213" s="6">
        <v>4680</v>
      </c>
      <c r="B1213" s="7">
        <v>33287</v>
      </c>
      <c r="C1213" s="8">
        <f>DATE(2012,12,31)-619</f>
        <v>40655</v>
      </c>
      <c r="D1213" s="8" t="str">
        <f t="shared" si="24"/>
        <v>2011-04 (апрель 2011)</v>
      </c>
      <c r="E1213" s="9" t="s">
        <v>78</v>
      </c>
      <c r="F1213" s="7">
        <v>44</v>
      </c>
      <c r="G1213" s="7">
        <v>11904.55</v>
      </c>
      <c r="H1213" s="7">
        <v>0</v>
      </c>
      <c r="I1213" s="9" t="s">
        <v>31</v>
      </c>
      <c r="J1213" s="10">
        <v>3909.33</v>
      </c>
      <c r="K1213" s="11">
        <v>270.97000000000003</v>
      </c>
      <c r="L1213" s="11">
        <v>28.06</v>
      </c>
      <c r="M1213" s="9" t="s">
        <v>869</v>
      </c>
      <c r="N1213" s="6" t="s">
        <v>703</v>
      </c>
      <c r="O1213" s="6" t="s">
        <v>704</v>
      </c>
      <c r="P1213" s="9" t="s">
        <v>25</v>
      </c>
      <c r="Q1213" s="9" t="s">
        <v>42</v>
      </c>
      <c r="R1213" s="9" t="s">
        <v>210</v>
      </c>
      <c r="S1213" s="7" t="s">
        <v>364</v>
      </c>
      <c r="T1213" s="9" t="s">
        <v>36</v>
      </c>
      <c r="U1213" s="7">
        <v>0.56000000000000005</v>
      </c>
      <c r="V1213" s="12">
        <f>C1213+3</f>
        <v>40658</v>
      </c>
      <c r="W1213">
        <f>IF(D1213=' Pivot Tables'!$A$4,1,0)</f>
        <v>0</v>
      </c>
      <c r="X1213">
        <f>IF(AND(LEFT(D1213,4)+1=LEFT(' Pivot Tables'!$A$4,4)+0,RIGHT(LEFT(D1213,7),2)=RIGHT(LEFT(' Pivot Tables'!$A$4,7),2)),1,0)</f>
        <v>0</v>
      </c>
      <c r="Y1213" s="6">
        <f>1/COUNTIF(Таблица1[Order ID],Таблица1[[#This Row],[Order ID]])</f>
        <v>1</v>
      </c>
      <c r="Z1213" s="9">
        <f>1/COUNTIFS(Таблица1[Customer Name],Таблица1[[#This Row],[Customer Name]],Таблица1[Order-Year-Month],Таблица1[[#This Row],[Order-Year-Month]])</f>
        <v>1</v>
      </c>
    </row>
    <row r="1214" spans="1:26" x14ac:dyDescent="0.2">
      <c r="A1214" s="6">
        <v>4745</v>
      </c>
      <c r="B1214" s="7">
        <v>33732</v>
      </c>
      <c r="C1214" s="8">
        <f>DATE(2012,12,31)-1221</f>
        <v>40053</v>
      </c>
      <c r="D1214" s="8" t="str">
        <f t="shared" si="24"/>
        <v>2009-08 (август 2009)</v>
      </c>
      <c r="E1214" s="9" t="s">
        <v>45</v>
      </c>
      <c r="F1214" s="7">
        <v>33</v>
      </c>
      <c r="G1214" s="7">
        <v>332.95</v>
      </c>
      <c r="H1214" s="7">
        <v>0.05</v>
      </c>
      <c r="I1214" s="9" t="s">
        <v>22</v>
      </c>
      <c r="J1214" s="10">
        <v>-28.16</v>
      </c>
      <c r="K1214" s="11">
        <v>9.65</v>
      </c>
      <c r="L1214" s="11">
        <v>6.22</v>
      </c>
      <c r="M1214" s="9" t="s">
        <v>944</v>
      </c>
      <c r="N1214" s="6" t="s">
        <v>703</v>
      </c>
      <c r="O1214" s="6" t="s">
        <v>704</v>
      </c>
      <c r="P1214" s="9" t="s">
        <v>41</v>
      </c>
      <c r="Q1214" s="9" t="s">
        <v>49</v>
      </c>
      <c r="R1214" s="9" t="s">
        <v>50</v>
      </c>
      <c r="S1214" s="7" t="s">
        <v>138</v>
      </c>
      <c r="T1214" s="9" t="s">
        <v>39</v>
      </c>
      <c r="U1214" s="7">
        <v>0.55000000000000004</v>
      </c>
      <c r="V1214" s="12">
        <f>C1214+1</f>
        <v>40054</v>
      </c>
      <c r="W1214">
        <f>IF(D1214=' Pivot Tables'!$A$4,1,0)</f>
        <v>0</v>
      </c>
      <c r="X1214">
        <f>IF(AND(LEFT(D1214,4)+1=LEFT(' Pivot Tables'!$A$4,4)+0,RIGHT(LEFT(D1214,7),2)=RIGHT(LEFT(' Pivot Tables'!$A$4,7),2)),1,0)</f>
        <v>0</v>
      </c>
      <c r="Y1214" s="6">
        <f>1/COUNTIF(Таблица1[Order ID],Таблица1[[#This Row],[Order ID]])</f>
        <v>1</v>
      </c>
      <c r="Z1214" s="9">
        <f>1/COUNTIFS(Таблица1[Customer Name],Таблица1[[#This Row],[Customer Name]],Таблица1[Order-Year-Month],Таблица1[[#This Row],[Order-Year-Month]])</f>
        <v>1</v>
      </c>
    </row>
    <row r="1215" spans="1:26" x14ac:dyDescent="0.2">
      <c r="A1215" s="6">
        <v>4843</v>
      </c>
      <c r="B1215" s="7">
        <v>34435</v>
      </c>
      <c r="C1215" s="8">
        <f>DATE(2012,12,31)-1244</f>
        <v>40030</v>
      </c>
      <c r="D1215" s="8" t="str">
        <f t="shared" si="24"/>
        <v>2009-08 (август 2009)</v>
      </c>
      <c r="E1215" s="9" t="s">
        <v>21</v>
      </c>
      <c r="F1215" s="7">
        <v>42</v>
      </c>
      <c r="G1215" s="7">
        <v>447.36</v>
      </c>
      <c r="H1215" s="7">
        <v>0.01</v>
      </c>
      <c r="I1215" s="9" t="s">
        <v>22</v>
      </c>
      <c r="J1215" s="10">
        <v>40.92</v>
      </c>
      <c r="K1215" s="11">
        <v>10.48</v>
      </c>
      <c r="L1215" s="11">
        <v>2.89</v>
      </c>
      <c r="M1215" s="9" t="s">
        <v>929</v>
      </c>
      <c r="N1215" s="6" t="s">
        <v>703</v>
      </c>
      <c r="O1215" s="6" t="s">
        <v>704</v>
      </c>
      <c r="P1215" s="9" t="s">
        <v>33</v>
      </c>
      <c r="Q1215" s="9" t="s">
        <v>26</v>
      </c>
      <c r="R1215" s="9" t="s">
        <v>95</v>
      </c>
      <c r="S1215" s="7" t="s">
        <v>499</v>
      </c>
      <c r="T1215" s="9" t="s">
        <v>52</v>
      </c>
      <c r="U1215" s="7">
        <v>0.6</v>
      </c>
      <c r="V1215" s="12">
        <f>C1215+2</f>
        <v>40032</v>
      </c>
      <c r="W1215">
        <f>IF(D1215=' Pivot Tables'!$A$4,1,0)</f>
        <v>0</v>
      </c>
      <c r="X1215">
        <f>IF(AND(LEFT(D1215,4)+1=LEFT(' Pivot Tables'!$A$4,4)+0,RIGHT(LEFT(D1215,7),2)=RIGHT(LEFT(' Pivot Tables'!$A$4,7),2)),1,0)</f>
        <v>0</v>
      </c>
      <c r="Y1215" s="6">
        <f>1/COUNTIF(Таблица1[Order ID],Таблица1[[#This Row],[Order ID]])</f>
        <v>1</v>
      </c>
      <c r="Z1215" s="9">
        <f>1/COUNTIFS(Таблица1[Customer Name],Таблица1[[#This Row],[Customer Name]],Таблица1[Order-Year-Month],Таблица1[[#This Row],[Order-Year-Month]])</f>
        <v>1</v>
      </c>
    </row>
    <row r="1216" spans="1:26" x14ac:dyDescent="0.2">
      <c r="A1216" s="6">
        <v>4899</v>
      </c>
      <c r="B1216" s="7">
        <v>34852</v>
      </c>
      <c r="C1216" s="8">
        <f>DATE(2012,12,31)-117</f>
        <v>41157</v>
      </c>
      <c r="D1216" s="8" t="str">
        <f t="shared" si="24"/>
        <v>2012-09 (сентябрь 2012)</v>
      </c>
      <c r="E1216" s="9" t="s">
        <v>21</v>
      </c>
      <c r="F1216" s="7">
        <v>26</v>
      </c>
      <c r="G1216" s="7">
        <v>53.93</v>
      </c>
      <c r="H1216" s="7">
        <v>0.04</v>
      </c>
      <c r="I1216" s="9" t="s">
        <v>22</v>
      </c>
      <c r="J1216" s="10">
        <v>-10.948</v>
      </c>
      <c r="K1216" s="11">
        <v>2.08</v>
      </c>
      <c r="L1216" s="11">
        <v>1.49</v>
      </c>
      <c r="M1216" s="9" t="s">
        <v>886</v>
      </c>
      <c r="N1216" s="6" t="s">
        <v>703</v>
      </c>
      <c r="O1216" s="6" t="s">
        <v>704</v>
      </c>
      <c r="P1216" s="9" t="s">
        <v>41</v>
      </c>
      <c r="Q1216" s="9" t="s">
        <v>26</v>
      </c>
      <c r="R1216" s="9" t="s">
        <v>37</v>
      </c>
      <c r="S1216" s="7" t="s">
        <v>779</v>
      </c>
      <c r="T1216" s="9" t="s">
        <v>39</v>
      </c>
      <c r="U1216" s="7">
        <v>0.38</v>
      </c>
      <c r="V1216" s="12">
        <f>C1216+4</f>
        <v>41161</v>
      </c>
      <c r="W1216">
        <f>IF(D1216=' Pivot Tables'!$A$4,1,0)</f>
        <v>0</v>
      </c>
      <c r="X1216">
        <f>IF(AND(LEFT(D1216,4)+1=LEFT(' Pivot Tables'!$A$4,4)+0,RIGHT(LEFT(D1216,7),2)=RIGHT(LEFT(' Pivot Tables'!$A$4,7),2)),1,0)</f>
        <v>0</v>
      </c>
      <c r="Y1216" s="6">
        <f>1/COUNTIF(Таблица1[Order ID],Таблица1[[#This Row],[Order ID]])</f>
        <v>1</v>
      </c>
      <c r="Z1216" s="9">
        <f>1/COUNTIFS(Таблица1[Customer Name],Таблица1[[#This Row],[Customer Name]],Таблица1[Order-Year-Month],Таблица1[[#This Row],[Order-Year-Month]])</f>
        <v>0.5</v>
      </c>
    </row>
    <row r="1217" spans="1:26" x14ac:dyDescent="0.2">
      <c r="A1217" s="6">
        <v>5001</v>
      </c>
      <c r="B1217" s="7">
        <v>35649</v>
      </c>
      <c r="C1217" s="8">
        <f>DATE(2012,12,31)-449</f>
        <v>40825</v>
      </c>
      <c r="D1217" s="8" t="str">
        <f t="shared" si="24"/>
        <v>2011-10 (октябрь 2011)</v>
      </c>
      <c r="E1217" s="9" t="s">
        <v>63</v>
      </c>
      <c r="F1217" s="7">
        <v>9</v>
      </c>
      <c r="G1217" s="7">
        <v>43.26</v>
      </c>
      <c r="H1217" s="7">
        <v>0.1</v>
      </c>
      <c r="I1217" s="9" t="s">
        <v>22</v>
      </c>
      <c r="J1217" s="10">
        <v>3.9015</v>
      </c>
      <c r="K1217" s="11">
        <v>4.82</v>
      </c>
      <c r="L1217" s="11">
        <v>1.49</v>
      </c>
      <c r="M1217" s="9" t="s">
        <v>929</v>
      </c>
      <c r="N1217" s="6" t="s">
        <v>703</v>
      </c>
      <c r="O1217" s="6" t="s">
        <v>704</v>
      </c>
      <c r="P1217" s="9" t="s">
        <v>33</v>
      </c>
      <c r="Q1217" s="9" t="s">
        <v>26</v>
      </c>
      <c r="R1217" s="9" t="s">
        <v>37</v>
      </c>
      <c r="S1217" s="7" t="s">
        <v>961</v>
      </c>
      <c r="T1217" s="9" t="s">
        <v>39</v>
      </c>
      <c r="U1217" s="7">
        <v>0.36</v>
      </c>
      <c r="V1217" s="12">
        <f>C1217+2</f>
        <v>40827</v>
      </c>
      <c r="W1217">
        <f>IF(D1217=' Pivot Tables'!$A$4,1,0)</f>
        <v>0</v>
      </c>
      <c r="X1217">
        <f>IF(AND(LEFT(D1217,4)+1=LEFT(' Pivot Tables'!$A$4,4)+0,RIGHT(LEFT(D1217,7),2)=RIGHT(LEFT(' Pivot Tables'!$A$4,7),2)),1,0)</f>
        <v>0</v>
      </c>
      <c r="Y1217" s="6">
        <f>1/COUNTIF(Таблица1[Order ID],Таблица1[[#This Row],[Order ID]])</f>
        <v>0.5</v>
      </c>
      <c r="Z1217" s="9">
        <f>1/COUNTIFS(Таблица1[Customer Name],Таблица1[[#This Row],[Customer Name]],Таблица1[Order-Year-Month],Таблица1[[#This Row],[Order-Year-Month]])</f>
        <v>0.5</v>
      </c>
    </row>
    <row r="1218" spans="1:26" x14ac:dyDescent="0.2">
      <c r="A1218" s="6">
        <v>5002</v>
      </c>
      <c r="B1218" s="7">
        <v>35649</v>
      </c>
      <c r="C1218" s="8">
        <f>DATE(2012,12,31)-449</f>
        <v>40825</v>
      </c>
      <c r="D1218" s="8" t="str">
        <f t="shared" si="24"/>
        <v>2011-10 (октябрь 2011)</v>
      </c>
      <c r="E1218" s="9" t="s">
        <v>63</v>
      </c>
      <c r="F1218" s="7">
        <v>25</v>
      </c>
      <c r="G1218" s="7">
        <v>174.03</v>
      </c>
      <c r="H1218" s="7">
        <v>0.02</v>
      </c>
      <c r="I1218" s="9" t="s">
        <v>22</v>
      </c>
      <c r="J1218" s="10">
        <v>-42.37</v>
      </c>
      <c r="K1218" s="11">
        <v>6.48</v>
      </c>
      <c r="L1218" s="11">
        <v>5.74</v>
      </c>
      <c r="M1218" s="9" t="s">
        <v>929</v>
      </c>
      <c r="N1218" s="6" t="s">
        <v>703</v>
      </c>
      <c r="O1218" s="6" t="s">
        <v>704</v>
      </c>
      <c r="P1218" s="9" t="s">
        <v>33</v>
      </c>
      <c r="Q1218" s="9" t="s">
        <v>26</v>
      </c>
      <c r="R1218" s="9" t="s">
        <v>61</v>
      </c>
      <c r="S1218" s="7" t="s">
        <v>707</v>
      </c>
      <c r="T1218" s="9" t="s">
        <v>39</v>
      </c>
      <c r="U1218" s="7">
        <v>0.37</v>
      </c>
      <c r="V1218" s="12">
        <f>C1218+2</f>
        <v>40827</v>
      </c>
      <c r="W1218">
        <f>IF(D1218=' Pivot Tables'!$A$4,1,0)</f>
        <v>0</v>
      </c>
      <c r="X1218">
        <f>IF(AND(LEFT(D1218,4)+1=LEFT(' Pivot Tables'!$A$4,4)+0,RIGHT(LEFT(D1218,7),2)=RIGHT(LEFT(' Pivot Tables'!$A$4,7),2)),1,0)</f>
        <v>0</v>
      </c>
      <c r="Y1218" s="6">
        <f>1/COUNTIF(Таблица1[Order ID],Таблица1[[#This Row],[Order ID]])</f>
        <v>0.5</v>
      </c>
      <c r="Z1218" s="9">
        <f>1/COUNTIFS(Таблица1[Customer Name],Таблица1[[#This Row],[Customer Name]],Таблица1[Order-Year-Month],Таблица1[[#This Row],[Order-Year-Month]])</f>
        <v>0.5</v>
      </c>
    </row>
    <row r="1219" spans="1:26" x14ac:dyDescent="0.2">
      <c r="A1219" s="6">
        <v>5121</v>
      </c>
      <c r="B1219" s="7">
        <v>36480</v>
      </c>
      <c r="C1219" s="8">
        <f>DATE(2012,12,31)-862</f>
        <v>40412</v>
      </c>
      <c r="D1219" s="8" t="str">
        <f t="shared" ref="D1219:D1282" si="25">TEXT(C1219,"гггг-ММ (ММММ гггг)")</f>
        <v>2010-08 (август 2010)</v>
      </c>
      <c r="E1219" s="9" t="s">
        <v>63</v>
      </c>
      <c r="F1219" s="7">
        <v>44</v>
      </c>
      <c r="G1219" s="7">
        <v>1190.8</v>
      </c>
      <c r="H1219" s="7">
        <v>7.0000000000000007E-2</v>
      </c>
      <c r="I1219" s="9" t="s">
        <v>22</v>
      </c>
      <c r="J1219" s="10">
        <v>502.48599999999999</v>
      </c>
      <c r="K1219" s="11">
        <v>28.53</v>
      </c>
      <c r="L1219" s="11">
        <v>1.49</v>
      </c>
      <c r="M1219" s="9" t="s">
        <v>871</v>
      </c>
      <c r="N1219" s="6" t="s">
        <v>703</v>
      </c>
      <c r="O1219" s="6" t="s">
        <v>704</v>
      </c>
      <c r="P1219" s="9" t="s">
        <v>41</v>
      </c>
      <c r="Q1219" s="9" t="s">
        <v>26</v>
      </c>
      <c r="R1219" s="9" t="s">
        <v>37</v>
      </c>
      <c r="S1219" s="7" t="s">
        <v>380</v>
      </c>
      <c r="T1219" s="9" t="s">
        <v>39</v>
      </c>
      <c r="U1219" s="7">
        <v>0.38</v>
      </c>
      <c r="V1219" s="12">
        <f>C1219+1</f>
        <v>40413</v>
      </c>
      <c r="W1219">
        <f>IF(D1219=' Pivot Tables'!$A$4,1,0)</f>
        <v>0</v>
      </c>
      <c r="X1219">
        <f>IF(AND(LEFT(D1219,4)+1=LEFT(' Pivot Tables'!$A$4,4)+0,RIGHT(LEFT(D1219,7),2)=RIGHT(LEFT(' Pivot Tables'!$A$4,7),2)),1,0)</f>
        <v>0</v>
      </c>
      <c r="Y1219" s="6">
        <f>1/COUNTIF(Таблица1[Order ID],Таблица1[[#This Row],[Order ID]])</f>
        <v>1</v>
      </c>
      <c r="Z1219" s="9">
        <f>1/COUNTIFS(Таблица1[Customer Name],Таблица1[[#This Row],[Customer Name]],Таблица1[Order-Year-Month],Таблица1[[#This Row],[Order-Year-Month]])</f>
        <v>1</v>
      </c>
    </row>
    <row r="1220" spans="1:26" x14ac:dyDescent="0.2">
      <c r="A1220" s="6">
        <v>5171</v>
      </c>
      <c r="B1220" s="7">
        <v>36803</v>
      </c>
      <c r="C1220" s="8">
        <f>DATE(2012,12,31)-149</f>
        <v>41125</v>
      </c>
      <c r="D1220" s="8" t="str">
        <f t="shared" si="25"/>
        <v>2012-08 (август 2012)</v>
      </c>
      <c r="E1220" s="9" t="s">
        <v>45</v>
      </c>
      <c r="F1220" s="7">
        <v>42</v>
      </c>
      <c r="G1220" s="7">
        <v>121.65</v>
      </c>
      <c r="H1220" s="7">
        <v>0.05</v>
      </c>
      <c r="I1220" s="9" t="s">
        <v>22</v>
      </c>
      <c r="J1220" s="10">
        <v>30.76</v>
      </c>
      <c r="K1220" s="11">
        <v>2.88</v>
      </c>
      <c r="L1220" s="11">
        <v>0.99</v>
      </c>
      <c r="M1220" s="9" t="s">
        <v>884</v>
      </c>
      <c r="N1220" s="6" t="s">
        <v>703</v>
      </c>
      <c r="O1220" s="6" t="s">
        <v>704</v>
      </c>
      <c r="P1220" s="9" t="s">
        <v>41</v>
      </c>
      <c r="Q1220" s="9" t="s">
        <v>26</v>
      </c>
      <c r="R1220" s="9" t="s">
        <v>88</v>
      </c>
      <c r="S1220" s="7" t="s">
        <v>962</v>
      </c>
      <c r="T1220" s="9" t="s">
        <v>39</v>
      </c>
      <c r="U1220" s="7">
        <v>0.36</v>
      </c>
      <c r="V1220" s="12">
        <f t="shared" ref="V1220:V1226" si="26">C1220+2</f>
        <v>41127</v>
      </c>
      <c r="W1220">
        <f>IF(D1220=' Pivot Tables'!$A$4,1,0)</f>
        <v>0</v>
      </c>
      <c r="X1220">
        <f>IF(AND(LEFT(D1220,4)+1=LEFT(' Pivot Tables'!$A$4,4)+0,RIGHT(LEFT(D1220,7),2)=RIGHT(LEFT(' Pivot Tables'!$A$4,7),2)),1,0)</f>
        <v>0</v>
      </c>
      <c r="Y1220" s="6">
        <f>1/COUNTIF(Таблица1[Order ID],Таблица1[[#This Row],[Order ID]])</f>
        <v>0.33333333333333331</v>
      </c>
      <c r="Z1220" s="9">
        <f>1/COUNTIFS(Таблица1[Customer Name],Таблица1[[#This Row],[Customer Name]],Таблица1[Order-Year-Month],Таблица1[[#This Row],[Order-Year-Month]])</f>
        <v>0.33333333333333331</v>
      </c>
    </row>
    <row r="1221" spans="1:26" x14ac:dyDescent="0.2">
      <c r="A1221" s="6">
        <v>5172</v>
      </c>
      <c r="B1221" s="7">
        <v>36803</v>
      </c>
      <c r="C1221" s="8">
        <f>DATE(2012,12,31)-149</f>
        <v>41125</v>
      </c>
      <c r="D1221" s="8" t="str">
        <f t="shared" si="25"/>
        <v>2012-08 (август 2012)</v>
      </c>
      <c r="E1221" s="9" t="s">
        <v>45</v>
      </c>
      <c r="F1221" s="7">
        <v>2</v>
      </c>
      <c r="G1221" s="7">
        <v>19.02</v>
      </c>
      <c r="H1221" s="7">
        <v>0.05</v>
      </c>
      <c r="I1221" s="9" t="s">
        <v>56</v>
      </c>
      <c r="J1221" s="10">
        <v>10.73</v>
      </c>
      <c r="K1221" s="11">
        <v>2.08</v>
      </c>
      <c r="L1221" s="11">
        <v>5.33</v>
      </c>
      <c r="M1221" s="9" t="s">
        <v>884</v>
      </c>
      <c r="N1221" s="6" t="s">
        <v>703</v>
      </c>
      <c r="O1221" s="6" t="s">
        <v>704</v>
      </c>
      <c r="P1221" s="9" t="s">
        <v>41</v>
      </c>
      <c r="Q1221" s="9" t="s">
        <v>49</v>
      </c>
      <c r="R1221" s="9" t="s">
        <v>50</v>
      </c>
      <c r="S1221" s="7" t="s">
        <v>216</v>
      </c>
      <c r="T1221" s="9" t="s">
        <v>39</v>
      </c>
      <c r="U1221" s="7">
        <v>0.43</v>
      </c>
      <c r="V1221" s="12">
        <f t="shared" si="26"/>
        <v>41127</v>
      </c>
      <c r="W1221">
        <f>IF(D1221=' Pivot Tables'!$A$4,1,0)</f>
        <v>0</v>
      </c>
      <c r="X1221">
        <f>IF(AND(LEFT(D1221,4)+1=LEFT(' Pivot Tables'!$A$4,4)+0,RIGHT(LEFT(D1221,7),2)=RIGHT(LEFT(' Pivot Tables'!$A$4,7),2)),1,0)</f>
        <v>0</v>
      </c>
      <c r="Y1221" s="6">
        <f>1/COUNTIF(Таблица1[Order ID],Таблица1[[#This Row],[Order ID]])</f>
        <v>0.33333333333333331</v>
      </c>
      <c r="Z1221" s="9">
        <f>1/COUNTIFS(Таблица1[Customer Name],Таблица1[[#This Row],[Customer Name]],Таблица1[Order-Year-Month],Таблица1[[#This Row],[Order-Year-Month]])</f>
        <v>0.33333333333333331</v>
      </c>
    </row>
    <row r="1222" spans="1:26" x14ac:dyDescent="0.2">
      <c r="A1222" s="6">
        <v>5173</v>
      </c>
      <c r="B1222" s="7">
        <v>36803</v>
      </c>
      <c r="C1222" s="8">
        <f>DATE(2012,12,31)-149</f>
        <v>41125</v>
      </c>
      <c r="D1222" s="8" t="str">
        <f t="shared" si="25"/>
        <v>2012-08 (август 2012)</v>
      </c>
      <c r="E1222" s="9" t="s">
        <v>45</v>
      </c>
      <c r="F1222" s="7">
        <v>2</v>
      </c>
      <c r="G1222" s="7">
        <v>103.105</v>
      </c>
      <c r="H1222" s="7">
        <v>0.09</v>
      </c>
      <c r="I1222" s="9" t="s">
        <v>22</v>
      </c>
      <c r="J1222" s="10">
        <v>-316.31600000000003</v>
      </c>
      <c r="K1222" s="11">
        <v>65.989999999999995</v>
      </c>
      <c r="L1222" s="11">
        <v>2.5</v>
      </c>
      <c r="M1222" s="9" t="s">
        <v>884</v>
      </c>
      <c r="N1222" s="6" t="s">
        <v>703</v>
      </c>
      <c r="O1222" s="6" t="s">
        <v>704</v>
      </c>
      <c r="P1222" s="9" t="s">
        <v>41</v>
      </c>
      <c r="Q1222" s="9" t="s">
        <v>42</v>
      </c>
      <c r="R1222" s="9" t="s">
        <v>43</v>
      </c>
      <c r="S1222" s="7" t="s">
        <v>963</v>
      </c>
      <c r="T1222" s="9" t="s">
        <v>39</v>
      </c>
      <c r="U1222" s="7">
        <v>0.56000000000000005</v>
      </c>
      <c r="V1222" s="12">
        <f t="shared" si="26"/>
        <v>41127</v>
      </c>
      <c r="W1222">
        <f>IF(D1222=' Pivot Tables'!$A$4,1,0)</f>
        <v>0</v>
      </c>
      <c r="X1222">
        <f>IF(AND(LEFT(D1222,4)+1=LEFT(' Pivot Tables'!$A$4,4)+0,RIGHT(LEFT(D1222,7),2)=RIGHT(LEFT(' Pivot Tables'!$A$4,7),2)),1,0)</f>
        <v>0</v>
      </c>
      <c r="Y1222" s="6">
        <f>1/COUNTIF(Таблица1[Order ID],Таблица1[[#This Row],[Order ID]])</f>
        <v>0.33333333333333331</v>
      </c>
      <c r="Z1222" s="9">
        <f>1/COUNTIFS(Таблица1[Customer Name],Таблица1[[#This Row],[Customer Name]],Таблица1[Order-Year-Month],Таблица1[[#This Row],[Order-Year-Month]])</f>
        <v>0.33333333333333331</v>
      </c>
    </row>
    <row r="1223" spans="1:26" x14ac:dyDescent="0.2">
      <c r="A1223" s="6">
        <v>5174</v>
      </c>
      <c r="B1223" s="7">
        <v>36805</v>
      </c>
      <c r="C1223" s="8">
        <f>DATE(2012,12,31)-748</f>
        <v>40526</v>
      </c>
      <c r="D1223" s="8" t="str">
        <f t="shared" si="25"/>
        <v>2010-12 (декабрь 2010)</v>
      </c>
      <c r="E1223" s="9" t="s">
        <v>63</v>
      </c>
      <c r="F1223" s="7">
        <v>7</v>
      </c>
      <c r="G1223" s="7">
        <v>263.8</v>
      </c>
      <c r="H1223" s="7">
        <v>0</v>
      </c>
      <c r="I1223" s="9" t="s">
        <v>22</v>
      </c>
      <c r="J1223" s="10">
        <v>165.33</v>
      </c>
      <c r="K1223" s="11">
        <v>34.229999999999997</v>
      </c>
      <c r="L1223" s="11">
        <v>5.0199999999999996</v>
      </c>
      <c r="M1223" s="9" t="s">
        <v>874</v>
      </c>
      <c r="N1223" s="6" t="s">
        <v>703</v>
      </c>
      <c r="O1223" s="6" t="s">
        <v>704</v>
      </c>
      <c r="P1223" s="9" t="s">
        <v>41</v>
      </c>
      <c r="Q1223" s="9" t="s">
        <v>49</v>
      </c>
      <c r="R1223" s="9" t="s">
        <v>50</v>
      </c>
      <c r="S1223" s="7" t="s">
        <v>857</v>
      </c>
      <c r="T1223" s="9" t="s">
        <v>39</v>
      </c>
      <c r="U1223" s="7">
        <v>0.55000000000000004</v>
      </c>
      <c r="V1223" s="12">
        <f t="shared" si="26"/>
        <v>40528</v>
      </c>
      <c r="W1223">
        <f>IF(D1223=' Pivot Tables'!$A$4,1,0)</f>
        <v>0</v>
      </c>
      <c r="X1223">
        <f>IF(AND(LEFT(D1223,4)+1=LEFT(' Pivot Tables'!$A$4,4)+0,RIGHT(LEFT(D1223,7),2)=RIGHT(LEFT(' Pivot Tables'!$A$4,7),2)),1,0)</f>
        <v>0</v>
      </c>
      <c r="Y1223" s="6">
        <f>1/COUNTIF(Таблица1[Order ID],Таблица1[[#This Row],[Order ID]])</f>
        <v>0.5</v>
      </c>
      <c r="Z1223" s="9">
        <f>1/COUNTIFS(Таблица1[Customer Name],Таблица1[[#This Row],[Customer Name]],Таблица1[Order-Year-Month],Таблица1[[#This Row],[Order-Year-Month]])</f>
        <v>0.5</v>
      </c>
    </row>
    <row r="1224" spans="1:26" x14ac:dyDescent="0.2">
      <c r="A1224" s="6">
        <v>5175</v>
      </c>
      <c r="B1224" s="7">
        <v>36805</v>
      </c>
      <c r="C1224" s="8">
        <f>DATE(2012,12,31)-748</f>
        <v>40526</v>
      </c>
      <c r="D1224" s="8" t="str">
        <f t="shared" si="25"/>
        <v>2010-12 (декабрь 2010)</v>
      </c>
      <c r="E1224" s="9" t="s">
        <v>63</v>
      </c>
      <c r="F1224" s="7">
        <v>28</v>
      </c>
      <c r="G1224" s="7">
        <v>1546.3964999999998</v>
      </c>
      <c r="H1224" s="7">
        <v>7.0000000000000007E-2</v>
      </c>
      <c r="I1224" s="9" t="s">
        <v>56</v>
      </c>
      <c r="J1224" s="10">
        <v>226.71899999999999</v>
      </c>
      <c r="K1224" s="11">
        <v>65.989999999999995</v>
      </c>
      <c r="L1224" s="11">
        <v>5.26</v>
      </c>
      <c r="M1224" s="9" t="s">
        <v>874</v>
      </c>
      <c r="N1224" s="6" t="s">
        <v>703</v>
      </c>
      <c r="O1224" s="6" t="s">
        <v>704</v>
      </c>
      <c r="P1224" s="9" t="s">
        <v>41</v>
      </c>
      <c r="Q1224" s="9" t="s">
        <v>42</v>
      </c>
      <c r="R1224" s="9" t="s">
        <v>43</v>
      </c>
      <c r="S1224" s="7" t="s">
        <v>86</v>
      </c>
      <c r="T1224" s="9" t="s">
        <v>39</v>
      </c>
      <c r="U1224" s="7">
        <v>0.59</v>
      </c>
      <c r="V1224" s="12">
        <f t="shared" si="26"/>
        <v>40528</v>
      </c>
      <c r="W1224">
        <f>IF(D1224=' Pivot Tables'!$A$4,1,0)</f>
        <v>0</v>
      </c>
      <c r="X1224">
        <f>IF(AND(LEFT(D1224,4)+1=LEFT(' Pivot Tables'!$A$4,4)+0,RIGHT(LEFT(D1224,7),2)=RIGHT(LEFT(' Pivot Tables'!$A$4,7),2)),1,0)</f>
        <v>0</v>
      </c>
      <c r="Y1224" s="6">
        <f>1/COUNTIF(Таблица1[Order ID],Таблица1[[#This Row],[Order ID]])</f>
        <v>0.5</v>
      </c>
      <c r="Z1224" s="9">
        <f>1/COUNTIFS(Таблица1[Customer Name],Таблица1[[#This Row],[Customer Name]],Таблица1[Order-Year-Month],Таблица1[[#This Row],[Order-Year-Month]])</f>
        <v>0.5</v>
      </c>
    </row>
    <row r="1225" spans="1:26" x14ac:dyDescent="0.2">
      <c r="A1225" s="6">
        <v>5180</v>
      </c>
      <c r="B1225" s="7">
        <v>36834</v>
      </c>
      <c r="C1225" s="8">
        <f>DATE(2012,12,31)-1103</f>
        <v>40171</v>
      </c>
      <c r="D1225" s="8" t="str">
        <f t="shared" si="25"/>
        <v>2009-12 (декабрь 2009)</v>
      </c>
      <c r="E1225" s="9" t="s">
        <v>21</v>
      </c>
      <c r="F1225" s="7">
        <v>11</v>
      </c>
      <c r="G1225" s="7">
        <v>1935.1</v>
      </c>
      <c r="H1225" s="7">
        <v>0.01</v>
      </c>
      <c r="I1225" s="9" t="s">
        <v>31</v>
      </c>
      <c r="J1225" s="10">
        <v>-42.96</v>
      </c>
      <c r="K1225" s="11">
        <v>170.98</v>
      </c>
      <c r="L1225" s="11">
        <v>35.89</v>
      </c>
      <c r="M1225" s="9" t="s">
        <v>886</v>
      </c>
      <c r="N1225" s="6" t="s">
        <v>703</v>
      </c>
      <c r="O1225" s="6" t="s">
        <v>704</v>
      </c>
      <c r="P1225" s="9" t="s">
        <v>41</v>
      </c>
      <c r="Q1225" s="9" t="s">
        <v>49</v>
      </c>
      <c r="R1225" s="9" t="s">
        <v>80</v>
      </c>
      <c r="S1225" s="7" t="s">
        <v>964</v>
      </c>
      <c r="T1225" s="9" t="s">
        <v>82</v>
      </c>
      <c r="U1225" s="7">
        <v>0.66</v>
      </c>
      <c r="V1225" s="12">
        <f t="shared" si="26"/>
        <v>40173</v>
      </c>
      <c r="W1225">
        <f>IF(D1225=' Pivot Tables'!$A$4,1,0)</f>
        <v>0</v>
      </c>
      <c r="X1225">
        <f>IF(AND(LEFT(D1225,4)+1=LEFT(' Pivot Tables'!$A$4,4)+0,RIGHT(LEFT(D1225,7),2)=RIGHT(LEFT(' Pivot Tables'!$A$4,7),2)),1,0)</f>
        <v>0</v>
      </c>
      <c r="Y1225" s="6">
        <f>1/COUNTIF(Таблица1[Order ID],Таблица1[[#This Row],[Order ID]])</f>
        <v>1</v>
      </c>
      <c r="Z1225" s="9">
        <f>1/COUNTIFS(Таблица1[Customer Name],Таблица1[[#This Row],[Customer Name]],Таблица1[Order-Year-Month],Таблица1[[#This Row],[Order-Year-Month]])</f>
        <v>1</v>
      </c>
    </row>
    <row r="1226" spans="1:26" x14ac:dyDescent="0.2">
      <c r="A1226" s="6">
        <v>5255</v>
      </c>
      <c r="B1226" s="7">
        <v>37410</v>
      </c>
      <c r="C1226" s="8">
        <f>DATE(2012,12,31)-811</f>
        <v>40463</v>
      </c>
      <c r="D1226" s="8" t="str">
        <f t="shared" si="25"/>
        <v>2010-10 (октябрь 2010)</v>
      </c>
      <c r="E1226" s="9" t="s">
        <v>63</v>
      </c>
      <c r="F1226" s="7">
        <v>45</v>
      </c>
      <c r="G1226" s="7">
        <v>18775.759999999998</v>
      </c>
      <c r="H1226" s="7">
        <v>0.03</v>
      </c>
      <c r="I1226" s="9" t="s">
        <v>31</v>
      </c>
      <c r="J1226" s="10">
        <v>8504.4699999999993</v>
      </c>
      <c r="K1226" s="11">
        <v>400.97</v>
      </c>
      <c r="L1226" s="11">
        <v>48.26</v>
      </c>
      <c r="M1226" s="9" t="s">
        <v>965</v>
      </c>
      <c r="N1226" s="6" t="s">
        <v>703</v>
      </c>
      <c r="O1226" s="6" t="s">
        <v>704</v>
      </c>
      <c r="P1226" s="9" t="s">
        <v>41</v>
      </c>
      <c r="Q1226" s="9" t="s">
        <v>42</v>
      </c>
      <c r="R1226" s="9" t="s">
        <v>210</v>
      </c>
      <c r="S1226" s="7" t="s">
        <v>966</v>
      </c>
      <c r="T1226" s="9" t="s">
        <v>82</v>
      </c>
      <c r="U1226" s="7">
        <v>0.36</v>
      </c>
      <c r="V1226" s="12">
        <f t="shared" si="26"/>
        <v>40465</v>
      </c>
      <c r="W1226">
        <f>IF(D1226=' Pivot Tables'!$A$4,1,0)</f>
        <v>0</v>
      </c>
      <c r="X1226">
        <f>IF(AND(LEFT(D1226,4)+1=LEFT(' Pivot Tables'!$A$4,4)+0,RIGHT(LEFT(D1226,7),2)=RIGHT(LEFT(' Pivot Tables'!$A$4,7),2)),1,0)</f>
        <v>0</v>
      </c>
      <c r="Y1226" s="6">
        <f>1/COUNTIF(Таблица1[Order ID],Таблица1[[#This Row],[Order ID]])</f>
        <v>1</v>
      </c>
      <c r="Z1226" s="9">
        <f>1/COUNTIFS(Таблица1[Customer Name],Таблица1[[#This Row],[Customer Name]],Таблица1[Order-Year-Month],Таблица1[[#This Row],[Order-Year-Month]])</f>
        <v>1</v>
      </c>
    </row>
    <row r="1227" spans="1:26" x14ac:dyDescent="0.2">
      <c r="A1227" s="6">
        <v>5297</v>
      </c>
      <c r="B1227" s="7">
        <v>37729</v>
      </c>
      <c r="C1227" s="8">
        <f>DATE(2012,12,31)-1446</f>
        <v>39828</v>
      </c>
      <c r="D1227" s="8" t="str">
        <f t="shared" si="25"/>
        <v>2009-01 (январь 2009)</v>
      </c>
      <c r="E1227" s="9" t="s">
        <v>45</v>
      </c>
      <c r="F1227" s="7">
        <v>48</v>
      </c>
      <c r="G1227" s="7">
        <v>447.89</v>
      </c>
      <c r="H1227" s="7">
        <v>0</v>
      </c>
      <c r="I1227" s="9" t="s">
        <v>22</v>
      </c>
      <c r="J1227" s="10">
        <v>-26.7835</v>
      </c>
      <c r="K1227" s="11">
        <v>8.6</v>
      </c>
      <c r="L1227" s="11">
        <v>6.19</v>
      </c>
      <c r="M1227" s="9" t="s">
        <v>866</v>
      </c>
      <c r="N1227" s="6" t="s">
        <v>703</v>
      </c>
      <c r="O1227" s="6" t="s">
        <v>704</v>
      </c>
      <c r="P1227" s="9" t="s">
        <v>41</v>
      </c>
      <c r="Q1227" s="9" t="s">
        <v>26</v>
      </c>
      <c r="R1227" s="9" t="s">
        <v>37</v>
      </c>
      <c r="S1227" s="7" t="s">
        <v>872</v>
      </c>
      <c r="T1227" s="9" t="s">
        <v>39</v>
      </c>
      <c r="U1227" s="7">
        <v>0.38</v>
      </c>
      <c r="V1227" s="12">
        <f>C1227+0</f>
        <v>39828</v>
      </c>
      <c r="W1227">
        <f>IF(D1227=' Pivot Tables'!$A$4,1,0)</f>
        <v>0</v>
      </c>
      <c r="X1227">
        <f>IF(AND(LEFT(D1227,4)+1=LEFT(' Pivot Tables'!$A$4,4)+0,RIGHT(LEFT(D1227,7),2)=RIGHT(LEFT(' Pivot Tables'!$A$4,7),2)),1,0)</f>
        <v>1</v>
      </c>
      <c r="Y1227" s="6">
        <f>1/COUNTIF(Таблица1[Order ID],Таблица1[[#This Row],[Order ID]])</f>
        <v>1</v>
      </c>
      <c r="Z1227" s="9">
        <f>1/COUNTIFS(Таблица1[Customer Name],Таблица1[[#This Row],[Customer Name]],Таблица1[Order-Year-Month],Таблица1[[#This Row],[Order-Year-Month]])</f>
        <v>1</v>
      </c>
    </row>
    <row r="1228" spans="1:26" x14ac:dyDescent="0.2">
      <c r="A1228" s="6">
        <v>5346</v>
      </c>
      <c r="B1228" s="7">
        <v>37988</v>
      </c>
      <c r="C1228" s="8">
        <f>DATE(2012,12,31)-636</f>
        <v>40638</v>
      </c>
      <c r="D1228" s="8" t="str">
        <f t="shared" si="25"/>
        <v>2011-04 (апрель 2011)</v>
      </c>
      <c r="E1228" s="9" t="s">
        <v>45</v>
      </c>
      <c r="F1228" s="7">
        <v>12</v>
      </c>
      <c r="G1228" s="7">
        <v>189.19</v>
      </c>
      <c r="H1228" s="7">
        <v>0.08</v>
      </c>
      <c r="I1228" s="9" t="s">
        <v>22</v>
      </c>
      <c r="J1228" s="10">
        <v>-56.71</v>
      </c>
      <c r="K1228" s="11">
        <v>16.059999999999999</v>
      </c>
      <c r="L1228" s="11">
        <v>8.34</v>
      </c>
      <c r="M1228" s="9" t="s">
        <v>888</v>
      </c>
      <c r="N1228" s="6" t="s">
        <v>703</v>
      </c>
      <c r="O1228" s="6" t="s">
        <v>704</v>
      </c>
      <c r="P1228" s="9" t="s">
        <v>60</v>
      </c>
      <c r="Q1228" s="9" t="s">
        <v>26</v>
      </c>
      <c r="R1228" s="9" t="s">
        <v>27</v>
      </c>
      <c r="S1228" s="7" t="s">
        <v>967</v>
      </c>
      <c r="T1228" s="9" t="s">
        <v>39</v>
      </c>
      <c r="U1228" s="7">
        <v>0.59</v>
      </c>
      <c r="V1228" s="12">
        <f>C1228+0</f>
        <v>40638</v>
      </c>
      <c r="W1228">
        <f>IF(D1228=' Pivot Tables'!$A$4,1,0)</f>
        <v>0</v>
      </c>
      <c r="X1228">
        <f>IF(AND(LEFT(D1228,4)+1=LEFT(' Pivot Tables'!$A$4,4)+0,RIGHT(LEFT(D1228,7),2)=RIGHT(LEFT(' Pivot Tables'!$A$4,7),2)),1,0)</f>
        <v>0</v>
      </c>
      <c r="Y1228" s="6">
        <f>1/COUNTIF(Таблица1[Order ID],Таблица1[[#This Row],[Order ID]])</f>
        <v>1</v>
      </c>
      <c r="Z1228" s="9">
        <f>1/COUNTIFS(Таблица1[Customer Name],Таблица1[[#This Row],[Customer Name]],Таблица1[Order-Year-Month],Таблица1[[#This Row],[Order-Year-Month]])</f>
        <v>0.33333333333333331</v>
      </c>
    </row>
    <row r="1229" spans="1:26" x14ac:dyDescent="0.2">
      <c r="A1229" s="6">
        <v>5449</v>
      </c>
      <c r="B1229" s="7">
        <v>38690</v>
      </c>
      <c r="C1229" s="8">
        <f>DATE(2012,12,31)-346</f>
        <v>40928</v>
      </c>
      <c r="D1229" s="8" t="str">
        <f t="shared" si="25"/>
        <v>2012-01 (январь 2012)</v>
      </c>
      <c r="E1229" s="9" t="s">
        <v>21</v>
      </c>
      <c r="F1229" s="7">
        <v>28</v>
      </c>
      <c r="G1229" s="7">
        <v>697.5</v>
      </c>
      <c r="H1229" s="7">
        <v>0.02</v>
      </c>
      <c r="I1229" s="9" t="s">
        <v>22</v>
      </c>
      <c r="J1229" s="10">
        <v>169.89</v>
      </c>
      <c r="K1229" s="11">
        <v>23.99</v>
      </c>
      <c r="L1229" s="11">
        <v>6.3</v>
      </c>
      <c r="M1229" s="9" t="s">
        <v>874</v>
      </c>
      <c r="N1229" s="6" t="s">
        <v>703</v>
      </c>
      <c r="O1229" s="6" t="s">
        <v>704</v>
      </c>
      <c r="P1229" s="9" t="s">
        <v>41</v>
      </c>
      <c r="Q1229" s="9" t="s">
        <v>42</v>
      </c>
      <c r="R1229" s="9" t="s">
        <v>210</v>
      </c>
      <c r="S1229" s="7" t="s">
        <v>595</v>
      </c>
      <c r="T1229" s="9" t="s">
        <v>48</v>
      </c>
      <c r="U1229" s="7">
        <v>0.38</v>
      </c>
      <c r="V1229" s="12">
        <f>C1229+4</f>
        <v>40932</v>
      </c>
      <c r="W1229">
        <f>IF(D1229=' Pivot Tables'!$A$4,1,0)</f>
        <v>0</v>
      </c>
      <c r="X1229">
        <f>IF(AND(LEFT(D1229,4)+1=LEFT(' Pivot Tables'!$A$4,4)+0,RIGHT(LEFT(D1229,7),2)=RIGHT(LEFT(' Pivot Tables'!$A$4,7),2)),1,0)</f>
        <v>0</v>
      </c>
      <c r="Y1229" s="6">
        <f>1/COUNTIF(Таблица1[Order ID],Таблица1[[#This Row],[Order ID]])</f>
        <v>1</v>
      </c>
      <c r="Z1229" s="9">
        <f>1/COUNTIFS(Таблица1[Customer Name],Таблица1[[#This Row],[Customer Name]],Таблица1[Order-Year-Month],Таблица1[[#This Row],[Order-Year-Month]])</f>
        <v>1</v>
      </c>
    </row>
    <row r="1230" spans="1:26" x14ac:dyDescent="0.2">
      <c r="A1230" s="6">
        <v>5457</v>
      </c>
      <c r="B1230" s="7">
        <v>38758</v>
      </c>
      <c r="C1230" s="8">
        <f>DATE(2012,12,31)-464</f>
        <v>40810</v>
      </c>
      <c r="D1230" s="8" t="str">
        <f t="shared" si="25"/>
        <v>2011-09 (сентябрь 2011)</v>
      </c>
      <c r="E1230" s="9" t="s">
        <v>45</v>
      </c>
      <c r="F1230" s="7">
        <v>7</v>
      </c>
      <c r="G1230" s="7">
        <v>497.2</v>
      </c>
      <c r="H1230" s="7">
        <v>0</v>
      </c>
      <c r="I1230" s="9" t="s">
        <v>22</v>
      </c>
      <c r="J1230" s="10">
        <v>-219.61</v>
      </c>
      <c r="K1230" s="11">
        <v>60.98</v>
      </c>
      <c r="L1230" s="11">
        <v>49</v>
      </c>
      <c r="M1230" s="9" t="s">
        <v>929</v>
      </c>
      <c r="N1230" s="6" t="s">
        <v>703</v>
      </c>
      <c r="O1230" s="6" t="s">
        <v>704</v>
      </c>
      <c r="P1230" s="9" t="s">
        <v>33</v>
      </c>
      <c r="Q1230" s="9" t="s">
        <v>26</v>
      </c>
      <c r="R1230" s="9" t="s">
        <v>34</v>
      </c>
      <c r="S1230" s="7" t="s">
        <v>472</v>
      </c>
      <c r="T1230" s="9" t="s">
        <v>29</v>
      </c>
      <c r="U1230" s="7">
        <v>0.59</v>
      </c>
      <c r="V1230" s="12">
        <f>C1230+2</f>
        <v>40812</v>
      </c>
      <c r="W1230">
        <f>IF(D1230=' Pivot Tables'!$A$4,1,0)</f>
        <v>0</v>
      </c>
      <c r="X1230">
        <f>IF(AND(LEFT(D1230,4)+1=LEFT(' Pivot Tables'!$A$4,4)+0,RIGHT(LEFT(D1230,7),2)=RIGHT(LEFT(' Pivot Tables'!$A$4,7),2)),1,0)</f>
        <v>0</v>
      </c>
      <c r="Y1230" s="6">
        <f>1/COUNTIF(Таблица1[Order ID],Таблица1[[#This Row],[Order ID]])</f>
        <v>1</v>
      </c>
      <c r="Z1230" s="9">
        <f>1/COUNTIFS(Таблица1[Customer Name],Таблица1[[#This Row],[Customer Name]],Таблица1[Order-Year-Month],Таблица1[[#This Row],[Order-Year-Month]])</f>
        <v>1</v>
      </c>
    </row>
    <row r="1231" spans="1:26" x14ac:dyDescent="0.2">
      <c r="A1231" s="6">
        <v>5554</v>
      </c>
      <c r="B1231" s="7">
        <v>39332</v>
      </c>
      <c r="C1231" s="8">
        <f>DATE(2012,12,31)-449</f>
        <v>40825</v>
      </c>
      <c r="D1231" s="8" t="str">
        <f t="shared" si="25"/>
        <v>2011-10 (октябрь 2011)</v>
      </c>
      <c r="E1231" s="9" t="s">
        <v>78</v>
      </c>
      <c r="F1231" s="7">
        <v>4</v>
      </c>
      <c r="G1231" s="7">
        <v>198.72</v>
      </c>
      <c r="H1231" s="7">
        <v>0.01</v>
      </c>
      <c r="I1231" s="9" t="s">
        <v>56</v>
      </c>
      <c r="J1231" s="10">
        <v>-34.43</v>
      </c>
      <c r="K1231" s="11">
        <v>40.97</v>
      </c>
      <c r="L1231" s="11">
        <v>14.45</v>
      </c>
      <c r="M1231" s="9" t="s">
        <v>888</v>
      </c>
      <c r="N1231" s="6" t="s">
        <v>703</v>
      </c>
      <c r="O1231" s="6" t="s">
        <v>704</v>
      </c>
      <c r="P1231" s="9" t="s">
        <v>33</v>
      </c>
      <c r="Q1231" s="9" t="s">
        <v>49</v>
      </c>
      <c r="R1231" s="9" t="s">
        <v>50</v>
      </c>
      <c r="S1231" s="7" t="s">
        <v>310</v>
      </c>
      <c r="T1231" s="9" t="s">
        <v>29</v>
      </c>
      <c r="U1231" s="7">
        <v>0.56999999999999995</v>
      </c>
      <c r="V1231" s="12">
        <f>C1231+1</f>
        <v>40826</v>
      </c>
      <c r="W1231">
        <f>IF(D1231=' Pivot Tables'!$A$4,1,0)</f>
        <v>0</v>
      </c>
      <c r="X1231">
        <f>IF(AND(LEFT(D1231,4)+1=LEFT(' Pivot Tables'!$A$4,4)+0,RIGHT(LEFT(D1231,7),2)=RIGHT(LEFT(' Pivot Tables'!$A$4,7),2)),1,0)</f>
        <v>0</v>
      </c>
      <c r="Y1231" s="6">
        <f>1/COUNTIF(Таблица1[Order ID],Таблица1[[#This Row],[Order ID]])</f>
        <v>1</v>
      </c>
      <c r="Z1231" s="9">
        <f>1/COUNTIFS(Таблица1[Customer Name],Таблица1[[#This Row],[Customer Name]],Таблица1[Order-Year-Month],Таблица1[[#This Row],[Order-Year-Month]])</f>
        <v>1</v>
      </c>
    </row>
    <row r="1232" spans="1:26" x14ac:dyDescent="0.2">
      <c r="A1232" s="6">
        <v>5608</v>
      </c>
      <c r="B1232" s="7">
        <v>39745</v>
      </c>
      <c r="C1232" s="8">
        <f>DATE(2012,12,31)-607</f>
        <v>40667</v>
      </c>
      <c r="D1232" s="8" t="str">
        <f t="shared" si="25"/>
        <v>2011-05 (май 2011)</v>
      </c>
      <c r="E1232" s="9" t="s">
        <v>45</v>
      </c>
      <c r="F1232" s="7">
        <v>8</v>
      </c>
      <c r="G1232" s="7">
        <v>955.29</v>
      </c>
      <c r="H1232" s="7">
        <v>0.05</v>
      </c>
      <c r="I1232" s="9" t="s">
        <v>31</v>
      </c>
      <c r="J1232" s="10">
        <v>-286.1952</v>
      </c>
      <c r="K1232" s="11">
        <v>115.99</v>
      </c>
      <c r="L1232" s="11">
        <v>56.14</v>
      </c>
      <c r="M1232" s="9" t="s">
        <v>884</v>
      </c>
      <c r="N1232" s="6" t="s">
        <v>703</v>
      </c>
      <c r="O1232" s="6" t="s">
        <v>704</v>
      </c>
      <c r="P1232" s="9" t="s">
        <v>41</v>
      </c>
      <c r="Q1232" s="9" t="s">
        <v>42</v>
      </c>
      <c r="R1232" s="9" t="s">
        <v>210</v>
      </c>
      <c r="S1232" s="7" t="s">
        <v>482</v>
      </c>
      <c r="T1232" s="9" t="s">
        <v>36</v>
      </c>
      <c r="U1232" s="7">
        <v>0.4</v>
      </c>
      <c r="V1232" s="12">
        <f>C1232+1</f>
        <v>40668</v>
      </c>
      <c r="W1232">
        <f>IF(D1232=' Pivot Tables'!$A$4,1,0)</f>
        <v>0</v>
      </c>
      <c r="X1232">
        <f>IF(AND(LEFT(D1232,4)+1=LEFT(' Pivot Tables'!$A$4,4)+0,RIGHT(LEFT(D1232,7),2)=RIGHT(LEFT(' Pivot Tables'!$A$4,7),2)),1,0)</f>
        <v>0</v>
      </c>
      <c r="Y1232" s="6">
        <f>1/COUNTIF(Таблица1[Order ID],Таблица1[[#This Row],[Order ID]])</f>
        <v>1</v>
      </c>
      <c r="Z1232" s="9">
        <f>1/COUNTIFS(Таблица1[Customer Name],Таблица1[[#This Row],[Customer Name]],Таблица1[Order-Year-Month],Таблица1[[#This Row],[Order-Year-Month]])</f>
        <v>0.33333333333333331</v>
      </c>
    </row>
    <row r="1233" spans="1:26" x14ac:dyDescent="0.2">
      <c r="A1233" s="6">
        <v>5678</v>
      </c>
      <c r="B1233" s="7">
        <v>40134</v>
      </c>
      <c r="C1233" s="8">
        <f>DATE(2012,12,31)-449</f>
        <v>40825</v>
      </c>
      <c r="D1233" s="8" t="str">
        <f t="shared" si="25"/>
        <v>2011-10 (октябрь 2011)</v>
      </c>
      <c r="E1233" s="9" t="s">
        <v>21</v>
      </c>
      <c r="F1233" s="7">
        <v>10</v>
      </c>
      <c r="G1233" s="7">
        <v>109.37</v>
      </c>
      <c r="H1233" s="7">
        <v>0.1</v>
      </c>
      <c r="I1233" s="9" t="s">
        <v>22</v>
      </c>
      <c r="J1233" s="10">
        <v>-21.66</v>
      </c>
      <c r="K1233" s="11">
        <v>10.89</v>
      </c>
      <c r="L1233" s="11">
        <v>4.5</v>
      </c>
      <c r="M1233" s="9" t="s">
        <v>889</v>
      </c>
      <c r="N1233" s="6" t="s">
        <v>703</v>
      </c>
      <c r="O1233" s="6" t="s">
        <v>704</v>
      </c>
      <c r="P1233" s="9" t="s">
        <v>25</v>
      </c>
      <c r="Q1233" s="9" t="s">
        <v>26</v>
      </c>
      <c r="R1233" s="9" t="s">
        <v>34</v>
      </c>
      <c r="S1233" s="7" t="s">
        <v>345</v>
      </c>
      <c r="T1233" s="9" t="s">
        <v>39</v>
      </c>
      <c r="U1233" s="7">
        <v>0.59</v>
      </c>
      <c r="V1233" s="12">
        <f>C1233+7</f>
        <v>40832</v>
      </c>
      <c r="W1233">
        <f>IF(D1233=' Pivot Tables'!$A$4,1,0)</f>
        <v>0</v>
      </c>
      <c r="X1233">
        <f>IF(AND(LEFT(D1233,4)+1=LEFT(' Pivot Tables'!$A$4,4)+0,RIGHT(LEFT(D1233,7),2)=RIGHT(LEFT(' Pivot Tables'!$A$4,7),2)),1,0)</f>
        <v>0</v>
      </c>
      <c r="Y1233" s="6">
        <f>1/COUNTIF(Таблица1[Order ID],Таблица1[[#This Row],[Order ID]])</f>
        <v>0.33333333333333331</v>
      </c>
      <c r="Z1233" s="9">
        <f>1/COUNTIFS(Таблица1[Customer Name],Таблица1[[#This Row],[Customer Name]],Таблица1[Order-Year-Month],Таблица1[[#This Row],[Order-Year-Month]])</f>
        <v>0.33333333333333331</v>
      </c>
    </row>
    <row r="1234" spans="1:26" x14ac:dyDescent="0.2">
      <c r="A1234" s="6">
        <v>5679</v>
      </c>
      <c r="B1234" s="7">
        <v>40134</v>
      </c>
      <c r="C1234" s="8">
        <f>DATE(2012,12,31)-449</f>
        <v>40825</v>
      </c>
      <c r="D1234" s="8" t="str">
        <f t="shared" si="25"/>
        <v>2011-10 (октябрь 2011)</v>
      </c>
      <c r="E1234" s="9" t="s">
        <v>21</v>
      </c>
      <c r="F1234" s="7">
        <v>43</v>
      </c>
      <c r="G1234" s="7">
        <v>1461.1</v>
      </c>
      <c r="H1234" s="7">
        <v>0.01</v>
      </c>
      <c r="I1234" s="9" t="s">
        <v>22</v>
      </c>
      <c r="J1234" s="10">
        <v>674.46</v>
      </c>
      <c r="K1234" s="11">
        <v>31.78</v>
      </c>
      <c r="L1234" s="11">
        <v>1.99</v>
      </c>
      <c r="M1234" s="9" t="s">
        <v>889</v>
      </c>
      <c r="N1234" s="6" t="s">
        <v>703</v>
      </c>
      <c r="O1234" s="6" t="s">
        <v>704</v>
      </c>
      <c r="P1234" s="9" t="s">
        <v>25</v>
      </c>
      <c r="Q1234" s="9" t="s">
        <v>42</v>
      </c>
      <c r="R1234" s="9" t="s">
        <v>70</v>
      </c>
      <c r="S1234" s="7" t="s">
        <v>132</v>
      </c>
      <c r="T1234" s="9" t="s">
        <v>52</v>
      </c>
      <c r="U1234" s="7">
        <v>0.42</v>
      </c>
      <c r="V1234" s="12">
        <f>C1234+4</f>
        <v>40829</v>
      </c>
      <c r="W1234">
        <f>IF(D1234=' Pivot Tables'!$A$4,1,0)</f>
        <v>0</v>
      </c>
      <c r="X1234">
        <f>IF(AND(LEFT(D1234,4)+1=LEFT(' Pivot Tables'!$A$4,4)+0,RIGHT(LEFT(D1234,7),2)=RIGHT(LEFT(' Pivot Tables'!$A$4,7),2)),1,0)</f>
        <v>0</v>
      </c>
      <c r="Y1234" s="6">
        <f>1/COUNTIF(Таблица1[Order ID],Таблица1[[#This Row],[Order ID]])</f>
        <v>0.33333333333333331</v>
      </c>
      <c r="Z1234" s="9">
        <f>1/COUNTIFS(Таблица1[Customer Name],Таблица1[[#This Row],[Customer Name]],Таблица1[Order-Year-Month],Таблица1[[#This Row],[Order-Year-Month]])</f>
        <v>0.33333333333333331</v>
      </c>
    </row>
    <row r="1235" spans="1:26" x14ac:dyDescent="0.2">
      <c r="A1235" s="6">
        <v>5680</v>
      </c>
      <c r="B1235" s="7">
        <v>40134</v>
      </c>
      <c r="C1235" s="8">
        <f>DATE(2012,12,31)-449</f>
        <v>40825</v>
      </c>
      <c r="D1235" s="8" t="str">
        <f t="shared" si="25"/>
        <v>2011-10 (октябрь 2011)</v>
      </c>
      <c r="E1235" s="9" t="s">
        <v>21</v>
      </c>
      <c r="F1235" s="7">
        <v>1</v>
      </c>
      <c r="G1235" s="7">
        <v>9.75</v>
      </c>
      <c r="H1235" s="7">
        <v>0</v>
      </c>
      <c r="I1235" s="9" t="s">
        <v>22</v>
      </c>
      <c r="J1235" s="10">
        <v>-6.72</v>
      </c>
      <c r="K1235" s="11">
        <v>4.9800000000000004</v>
      </c>
      <c r="L1235" s="11">
        <v>4.72</v>
      </c>
      <c r="M1235" s="9" t="s">
        <v>889</v>
      </c>
      <c r="N1235" s="6" t="s">
        <v>703</v>
      </c>
      <c r="O1235" s="6" t="s">
        <v>704</v>
      </c>
      <c r="P1235" s="9" t="s">
        <v>25</v>
      </c>
      <c r="Q1235" s="9" t="s">
        <v>26</v>
      </c>
      <c r="R1235" s="9" t="s">
        <v>61</v>
      </c>
      <c r="S1235" s="7" t="s">
        <v>968</v>
      </c>
      <c r="T1235" s="9" t="s">
        <v>39</v>
      </c>
      <c r="U1235" s="7">
        <v>0.36</v>
      </c>
      <c r="V1235" s="12">
        <f>C1235+5</f>
        <v>40830</v>
      </c>
      <c r="W1235">
        <f>IF(D1235=' Pivot Tables'!$A$4,1,0)</f>
        <v>0</v>
      </c>
      <c r="X1235">
        <f>IF(AND(LEFT(D1235,4)+1=LEFT(' Pivot Tables'!$A$4,4)+0,RIGHT(LEFT(D1235,7),2)=RIGHT(LEFT(' Pivot Tables'!$A$4,7),2)),1,0)</f>
        <v>0</v>
      </c>
      <c r="Y1235" s="6">
        <f>1/COUNTIF(Таблица1[Order ID],Таблица1[[#This Row],[Order ID]])</f>
        <v>0.33333333333333331</v>
      </c>
      <c r="Z1235" s="9">
        <f>1/COUNTIFS(Таблица1[Customer Name],Таблица1[[#This Row],[Customer Name]],Таблица1[Order-Year-Month],Таблица1[[#This Row],[Order-Year-Month]])</f>
        <v>0.33333333333333331</v>
      </c>
    </row>
    <row r="1236" spans="1:26" x14ac:dyDescent="0.2">
      <c r="A1236" s="6">
        <v>5683</v>
      </c>
      <c r="B1236" s="7">
        <v>40164</v>
      </c>
      <c r="C1236" s="8">
        <f>DATE(2012,12,31)-996</f>
        <v>40278</v>
      </c>
      <c r="D1236" s="8" t="str">
        <f t="shared" si="25"/>
        <v>2010-04 (апрель 2010)</v>
      </c>
      <c r="E1236" s="9" t="s">
        <v>45</v>
      </c>
      <c r="F1236" s="7">
        <v>8</v>
      </c>
      <c r="G1236" s="7">
        <v>184.07</v>
      </c>
      <c r="H1236" s="7">
        <v>0.04</v>
      </c>
      <c r="I1236" s="9" t="s">
        <v>22</v>
      </c>
      <c r="J1236" s="10">
        <v>75.63</v>
      </c>
      <c r="K1236" s="11">
        <v>22.98</v>
      </c>
      <c r="L1236" s="11">
        <v>7.58</v>
      </c>
      <c r="M1236" s="9" t="s">
        <v>965</v>
      </c>
      <c r="N1236" s="6" t="s">
        <v>703</v>
      </c>
      <c r="O1236" s="6" t="s">
        <v>704</v>
      </c>
      <c r="P1236" s="9" t="s">
        <v>41</v>
      </c>
      <c r="Q1236" s="9" t="s">
        <v>49</v>
      </c>
      <c r="R1236" s="9" t="s">
        <v>50</v>
      </c>
      <c r="S1236" s="7" t="s">
        <v>789</v>
      </c>
      <c r="T1236" s="9" t="s">
        <v>39</v>
      </c>
      <c r="U1236" s="7">
        <v>0.51</v>
      </c>
      <c r="V1236" s="12">
        <f>C1236+2</f>
        <v>40280</v>
      </c>
      <c r="W1236">
        <f>IF(D1236=' Pivot Tables'!$A$4,1,0)</f>
        <v>0</v>
      </c>
      <c r="X1236">
        <f>IF(AND(LEFT(D1236,4)+1=LEFT(' Pivot Tables'!$A$4,4)+0,RIGHT(LEFT(D1236,7),2)=RIGHT(LEFT(' Pivot Tables'!$A$4,7),2)),1,0)</f>
        <v>0</v>
      </c>
      <c r="Y1236" s="6">
        <f>1/COUNTIF(Таблица1[Order ID],Таблица1[[#This Row],[Order ID]])</f>
        <v>1</v>
      </c>
      <c r="Z1236" s="9">
        <f>1/COUNTIFS(Таблица1[Customer Name],Таблица1[[#This Row],[Customer Name]],Таблица1[Order-Year-Month],Таблица1[[#This Row],[Order-Year-Month]])</f>
        <v>1</v>
      </c>
    </row>
    <row r="1237" spans="1:26" x14ac:dyDescent="0.2">
      <c r="A1237" s="6">
        <v>5723</v>
      </c>
      <c r="B1237" s="7">
        <v>40608</v>
      </c>
      <c r="C1237" s="8">
        <f>DATE(2012,12,31)-134</f>
        <v>41140</v>
      </c>
      <c r="D1237" s="8" t="str">
        <f t="shared" si="25"/>
        <v>2012-08 (август 2012)</v>
      </c>
      <c r="E1237" s="9" t="s">
        <v>45</v>
      </c>
      <c r="F1237" s="7">
        <v>29</v>
      </c>
      <c r="G1237" s="7">
        <v>573.97</v>
      </c>
      <c r="H1237" s="7">
        <v>0.05</v>
      </c>
      <c r="I1237" s="9" t="s">
        <v>22</v>
      </c>
      <c r="J1237" s="10">
        <v>55.82</v>
      </c>
      <c r="K1237" s="11">
        <v>18.97</v>
      </c>
      <c r="L1237" s="11">
        <v>9.5399999999999991</v>
      </c>
      <c r="M1237" s="9" t="s">
        <v>969</v>
      </c>
      <c r="N1237" s="6" t="s">
        <v>703</v>
      </c>
      <c r="O1237" s="6" t="s">
        <v>704</v>
      </c>
      <c r="P1237" s="9" t="s">
        <v>41</v>
      </c>
      <c r="Q1237" s="9" t="s">
        <v>26</v>
      </c>
      <c r="R1237" s="9" t="s">
        <v>61</v>
      </c>
      <c r="S1237" s="7" t="s">
        <v>581</v>
      </c>
      <c r="T1237" s="9" t="s">
        <v>39</v>
      </c>
      <c r="U1237" s="7">
        <v>0.37</v>
      </c>
      <c r="V1237" s="12">
        <f>C1237+2</f>
        <v>41142</v>
      </c>
      <c r="W1237">
        <f>IF(D1237=' Pivot Tables'!$A$4,1,0)</f>
        <v>0</v>
      </c>
      <c r="X1237">
        <f>IF(AND(LEFT(D1237,4)+1=LEFT(' Pivot Tables'!$A$4,4)+0,RIGHT(LEFT(D1237,7),2)=RIGHT(LEFT(' Pivot Tables'!$A$4,7),2)),1,0)</f>
        <v>0</v>
      </c>
      <c r="Y1237" s="6">
        <f>1/COUNTIF(Таблица1[Order ID],Таблица1[[#This Row],[Order ID]])</f>
        <v>0.5</v>
      </c>
      <c r="Z1237" s="9">
        <f>1/COUNTIFS(Таблица1[Customer Name],Таблица1[[#This Row],[Customer Name]],Таблица1[Order-Year-Month],Таблица1[[#This Row],[Order-Year-Month]])</f>
        <v>0.5</v>
      </c>
    </row>
    <row r="1238" spans="1:26" x14ac:dyDescent="0.2">
      <c r="A1238" s="6">
        <v>5724</v>
      </c>
      <c r="B1238" s="7">
        <v>40608</v>
      </c>
      <c r="C1238" s="8">
        <f>DATE(2012,12,31)-134</f>
        <v>41140</v>
      </c>
      <c r="D1238" s="8" t="str">
        <f t="shared" si="25"/>
        <v>2012-08 (август 2012)</v>
      </c>
      <c r="E1238" s="9" t="s">
        <v>45</v>
      </c>
      <c r="F1238" s="7">
        <v>39</v>
      </c>
      <c r="G1238" s="7">
        <v>223.79</v>
      </c>
      <c r="H1238" s="7">
        <v>0.01</v>
      </c>
      <c r="I1238" s="9" t="s">
        <v>22</v>
      </c>
      <c r="J1238" s="10">
        <v>-89.88</v>
      </c>
      <c r="K1238" s="11">
        <v>5.28</v>
      </c>
      <c r="L1238" s="11">
        <v>5.66</v>
      </c>
      <c r="M1238" s="9" t="s">
        <v>969</v>
      </c>
      <c r="N1238" s="6" t="s">
        <v>703</v>
      </c>
      <c r="O1238" s="6" t="s">
        <v>704</v>
      </c>
      <c r="P1238" s="9" t="s">
        <v>41</v>
      </c>
      <c r="Q1238" s="9" t="s">
        <v>26</v>
      </c>
      <c r="R1238" s="9" t="s">
        <v>61</v>
      </c>
      <c r="S1238" s="7" t="s">
        <v>424</v>
      </c>
      <c r="T1238" s="9" t="s">
        <v>39</v>
      </c>
      <c r="U1238" s="7">
        <v>0.4</v>
      </c>
      <c r="V1238" s="12">
        <f>C1238+1</f>
        <v>41141</v>
      </c>
      <c r="W1238">
        <f>IF(D1238=' Pivot Tables'!$A$4,1,0)</f>
        <v>0</v>
      </c>
      <c r="X1238">
        <f>IF(AND(LEFT(D1238,4)+1=LEFT(' Pivot Tables'!$A$4,4)+0,RIGHT(LEFT(D1238,7),2)=RIGHT(LEFT(' Pivot Tables'!$A$4,7),2)),1,0)</f>
        <v>0</v>
      </c>
      <c r="Y1238" s="6">
        <f>1/COUNTIF(Таблица1[Order ID],Таблица1[[#This Row],[Order ID]])</f>
        <v>0.5</v>
      </c>
      <c r="Z1238" s="9">
        <f>1/COUNTIFS(Таблица1[Customer Name],Таблица1[[#This Row],[Customer Name]],Таблица1[Order-Year-Month],Таблица1[[#This Row],[Order-Year-Month]])</f>
        <v>0.5</v>
      </c>
    </row>
    <row r="1239" spans="1:26" x14ac:dyDescent="0.2">
      <c r="A1239" s="6">
        <v>5742</v>
      </c>
      <c r="B1239" s="7">
        <v>40801</v>
      </c>
      <c r="C1239" s="8">
        <f>DATE(2012,12,31)-183</f>
        <v>41091</v>
      </c>
      <c r="D1239" s="8" t="str">
        <f t="shared" si="25"/>
        <v>2012-07 (июль 2012)</v>
      </c>
      <c r="E1239" s="9" t="s">
        <v>45</v>
      </c>
      <c r="F1239" s="7">
        <v>20</v>
      </c>
      <c r="G1239" s="7">
        <v>129.16</v>
      </c>
      <c r="H1239" s="7">
        <v>7.0000000000000007E-2</v>
      </c>
      <c r="I1239" s="9" t="s">
        <v>22</v>
      </c>
      <c r="J1239" s="10">
        <v>-56.15</v>
      </c>
      <c r="K1239" s="11">
        <v>6.48</v>
      </c>
      <c r="L1239" s="11">
        <v>6.22</v>
      </c>
      <c r="M1239" s="9" t="s">
        <v>909</v>
      </c>
      <c r="N1239" s="6" t="s">
        <v>703</v>
      </c>
      <c r="O1239" s="6" t="s">
        <v>704</v>
      </c>
      <c r="P1239" s="9" t="s">
        <v>41</v>
      </c>
      <c r="Q1239" s="9" t="s">
        <v>26</v>
      </c>
      <c r="R1239" s="9" t="s">
        <v>61</v>
      </c>
      <c r="S1239" s="7" t="s">
        <v>943</v>
      </c>
      <c r="T1239" s="9" t="s">
        <v>39</v>
      </c>
      <c r="U1239" s="7">
        <v>0.37</v>
      </c>
      <c r="V1239" s="12">
        <f>C1239+0</f>
        <v>41091</v>
      </c>
      <c r="W1239">
        <f>IF(D1239=' Pivot Tables'!$A$4,1,0)</f>
        <v>0</v>
      </c>
      <c r="X1239">
        <f>IF(AND(LEFT(D1239,4)+1=LEFT(' Pivot Tables'!$A$4,4)+0,RIGHT(LEFT(D1239,7),2)=RIGHT(LEFT(' Pivot Tables'!$A$4,7),2)),1,0)</f>
        <v>0</v>
      </c>
      <c r="Y1239" s="6">
        <f>1/COUNTIF(Таблица1[Order ID],Таблица1[[#This Row],[Order ID]])</f>
        <v>1</v>
      </c>
      <c r="Z1239" s="9">
        <f>1/COUNTIFS(Таблица1[Customer Name],Таблица1[[#This Row],[Customer Name]],Таблица1[Order-Year-Month],Таблица1[[#This Row],[Order-Year-Month]])</f>
        <v>1</v>
      </c>
    </row>
    <row r="1240" spans="1:26" x14ac:dyDescent="0.2">
      <c r="A1240" s="6">
        <v>5775</v>
      </c>
      <c r="B1240" s="7">
        <v>40965</v>
      </c>
      <c r="C1240" s="8">
        <f>DATE(2012,12,31)-1137</f>
        <v>40137</v>
      </c>
      <c r="D1240" s="8" t="str">
        <f t="shared" si="25"/>
        <v>2009-11 (ноябрь 2009)</v>
      </c>
      <c r="E1240" s="9" t="s">
        <v>63</v>
      </c>
      <c r="F1240" s="7">
        <v>29</v>
      </c>
      <c r="G1240" s="7">
        <v>843.55</v>
      </c>
      <c r="H1240" s="7">
        <v>0.08</v>
      </c>
      <c r="I1240" s="9" t="s">
        <v>22</v>
      </c>
      <c r="J1240" s="10">
        <v>168.76</v>
      </c>
      <c r="K1240" s="11">
        <v>30.98</v>
      </c>
      <c r="L1240" s="11">
        <v>8.74</v>
      </c>
      <c r="M1240" s="9" t="s">
        <v>910</v>
      </c>
      <c r="N1240" s="6" t="s">
        <v>703</v>
      </c>
      <c r="O1240" s="6" t="s">
        <v>704</v>
      </c>
      <c r="P1240" s="9" t="s">
        <v>41</v>
      </c>
      <c r="Q1240" s="9" t="s">
        <v>26</v>
      </c>
      <c r="R1240" s="9" t="s">
        <v>61</v>
      </c>
      <c r="S1240" s="7" t="s">
        <v>932</v>
      </c>
      <c r="T1240" s="9" t="s">
        <v>39</v>
      </c>
      <c r="U1240" s="7">
        <v>0.4</v>
      </c>
      <c r="V1240" s="12">
        <f>C1240+1</f>
        <v>40138</v>
      </c>
      <c r="W1240">
        <f>IF(D1240=' Pivot Tables'!$A$4,1,0)</f>
        <v>0</v>
      </c>
      <c r="X1240">
        <f>IF(AND(LEFT(D1240,4)+1=LEFT(' Pivot Tables'!$A$4,4)+0,RIGHT(LEFT(D1240,7),2)=RIGHT(LEFT(' Pivot Tables'!$A$4,7),2)),1,0)</f>
        <v>0</v>
      </c>
      <c r="Y1240" s="6">
        <f>1/COUNTIF(Таблица1[Order ID],Таблица1[[#This Row],[Order ID]])</f>
        <v>0.33333333333333331</v>
      </c>
      <c r="Z1240" s="9">
        <f>1/COUNTIFS(Таблица1[Customer Name],Таблица1[[#This Row],[Customer Name]],Таблица1[Order-Year-Month],Таблица1[[#This Row],[Order-Year-Month]])</f>
        <v>0.16666666666666666</v>
      </c>
    </row>
    <row r="1241" spans="1:26" x14ac:dyDescent="0.2">
      <c r="A1241" s="6">
        <v>5820</v>
      </c>
      <c r="B1241" s="7">
        <v>41286</v>
      </c>
      <c r="C1241" s="8">
        <f>DATE(2012,12,31)-106</f>
        <v>41168</v>
      </c>
      <c r="D1241" s="8" t="str">
        <f t="shared" si="25"/>
        <v>2012-09 (сентябрь 2012)</v>
      </c>
      <c r="E1241" s="9" t="s">
        <v>63</v>
      </c>
      <c r="F1241" s="7">
        <v>40</v>
      </c>
      <c r="G1241" s="7">
        <v>260.95999999999998</v>
      </c>
      <c r="H1241" s="7">
        <v>0.09</v>
      </c>
      <c r="I1241" s="9" t="s">
        <v>22</v>
      </c>
      <c r="J1241" s="10">
        <v>-96.7</v>
      </c>
      <c r="K1241" s="11">
        <v>6.48</v>
      </c>
      <c r="L1241" s="11">
        <v>6.22</v>
      </c>
      <c r="M1241" s="9" t="s">
        <v>917</v>
      </c>
      <c r="N1241" s="6" t="s">
        <v>703</v>
      </c>
      <c r="O1241" s="6" t="s">
        <v>704</v>
      </c>
      <c r="P1241" s="9" t="s">
        <v>60</v>
      </c>
      <c r="Q1241" s="9" t="s">
        <v>26</v>
      </c>
      <c r="R1241" s="9" t="s">
        <v>61</v>
      </c>
      <c r="S1241" s="7" t="s">
        <v>943</v>
      </c>
      <c r="T1241" s="9" t="s">
        <v>39</v>
      </c>
      <c r="U1241" s="7">
        <v>0.37</v>
      </c>
      <c r="V1241" s="12">
        <f>C1241+1</f>
        <v>41169</v>
      </c>
      <c r="W1241">
        <f>IF(D1241=' Pivot Tables'!$A$4,1,0)</f>
        <v>0</v>
      </c>
      <c r="X1241">
        <f>IF(AND(LEFT(D1241,4)+1=LEFT(' Pivot Tables'!$A$4,4)+0,RIGHT(LEFT(D1241,7),2)=RIGHT(LEFT(' Pivot Tables'!$A$4,7),2)),1,0)</f>
        <v>0</v>
      </c>
      <c r="Y1241" s="6">
        <f>1/COUNTIF(Таблица1[Order ID],Таблица1[[#This Row],[Order ID]])</f>
        <v>1</v>
      </c>
      <c r="Z1241" s="9">
        <f>1/COUNTIFS(Таблица1[Customer Name],Таблица1[[#This Row],[Customer Name]],Таблица1[Order-Year-Month],Таблица1[[#This Row],[Order-Year-Month]])</f>
        <v>1</v>
      </c>
    </row>
    <row r="1242" spans="1:26" x14ac:dyDescent="0.2">
      <c r="A1242" s="6">
        <v>5836</v>
      </c>
      <c r="B1242" s="7">
        <v>41412</v>
      </c>
      <c r="C1242" s="8">
        <f>DATE(2012,12,31)-1201</f>
        <v>40073</v>
      </c>
      <c r="D1242" s="8" t="str">
        <f t="shared" si="25"/>
        <v>2009-09 (сентябрь 2009)</v>
      </c>
      <c r="E1242" s="9" t="s">
        <v>45</v>
      </c>
      <c r="F1242" s="7">
        <v>47</v>
      </c>
      <c r="G1242" s="7">
        <v>263.81</v>
      </c>
      <c r="H1242" s="7">
        <v>0.03</v>
      </c>
      <c r="I1242" s="9" t="s">
        <v>22</v>
      </c>
      <c r="J1242" s="10">
        <v>-237.54400000000001</v>
      </c>
      <c r="K1242" s="11">
        <v>5.4</v>
      </c>
      <c r="L1242" s="11">
        <v>7.78</v>
      </c>
      <c r="M1242" s="9" t="s">
        <v>874</v>
      </c>
      <c r="N1242" s="6" t="s">
        <v>703</v>
      </c>
      <c r="O1242" s="6" t="s">
        <v>704</v>
      </c>
      <c r="P1242" s="9" t="s">
        <v>33</v>
      </c>
      <c r="Q1242" s="9" t="s">
        <v>26</v>
      </c>
      <c r="R1242" s="9" t="s">
        <v>37</v>
      </c>
      <c r="S1242" s="7" t="s">
        <v>330</v>
      </c>
      <c r="T1242" s="9" t="s">
        <v>39</v>
      </c>
      <c r="U1242" s="7">
        <v>0.37</v>
      </c>
      <c r="V1242" s="12">
        <f>C1242+2</f>
        <v>40075</v>
      </c>
      <c r="W1242">
        <f>IF(D1242=' Pivot Tables'!$A$4,1,0)</f>
        <v>0</v>
      </c>
      <c r="X1242">
        <f>IF(AND(LEFT(D1242,4)+1=LEFT(' Pivot Tables'!$A$4,4)+0,RIGHT(LEFT(D1242,7),2)=RIGHT(LEFT(' Pivot Tables'!$A$4,7),2)),1,0)</f>
        <v>0</v>
      </c>
      <c r="Y1242" s="6">
        <f>1/COUNTIF(Таблица1[Order ID],Таблица1[[#This Row],[Order ID]])</f>
        <v>1</v>
      </c>
      <c r="Z1242" s="9">
        <f>1/COUNTIFS(Таблица1[Customer Name],Таблица1[[#This Row],[Customer Name]],Таблица1[Order-Year-Month],Таблица1[[#This Row],[Order-Year-Month]])</f>
        <v>1</v>
      </c>
    </row>
    <row r="1243" spans="1:26" x14ac:dyDescent="0.2">
      <c r="A1243" s="6">
        <v>5856</v>
      </c>
      <c r="B1243" s="7">
        <v>41569</v>
      </c>
      <c r="C1243" s="8">
        <f>DATE(2012,12,31)-894</f>
        <v>40380</v>
      </c>
      <c r="D1243" s="8" t="str">
        <f t="shared" si="25"/>
        <v>2010-07 (июль 2010)</v>
      </c>
      <c r="E1243" s="9" t="s">
        <v>78</v>
      </c>
      <c r="F1243" s="7">
        <v>16</v>
      </c>
      <c r="G1243" s="7">
        <v>60.76</v>
      </c>
      <c r="H1243" s="7">
        <v>0.03</v>
      </c>
      <c r="I1243" s="9" t="s">
        <v>22</v>
      </c>
      <c r="J1243" s="10">
        <v>5.25</v>
      </c>
      <c r="K1243" s="11">
        <v>3.7</v>
      </c>
      <c r="L1243" s="11">
        <v>1.61</v>
      </c>
      <c r="M1243" s="9" t="s">
        <v>888</v>
      </c>
      <c r="N1243" s="6" t="s">
        <v>703</v>
      </c>
      <c r="O1243" s="6" t="s">
        <v>704</v>
      </c>
      <c r="P1243" s="9" t="s">
        <v>41</v>
      </c>
      <c r="Q1243" s="9" t="s">
        <v>49</v>
      </c>
      <c r="R1243" s="9" t="s">
        <v>50</v>
      </c>
      <c r="S1243" s="7" t="s">
        <v>613</v>
      </c>
      <c r="T1243" s="9" t="s">
        <v>68</v>
      </c>
      <c r="U1243" s="7">
        <v>0.44</v>
      </c>
      <c r="V1243" s="12">
        <f>C1243+2</f>
        <v>40382</v>
      </c>
      <c r="W1243">
        <f>IF(D1243=' Pivot Tables'!$A$4,1,0)</f>
        <v>0</v>
      </c>
      <c r="X1243">
        <f>IF(AND(LEFT(D1243,4)+1=LEFT(' Pivot Tables'!$A$4,4)+0,RIGHT(LEFT(D1243,7),2)=RIGHT(LEFT(' Pivot Tables'!$A$4,7),2)),1,0)</f>
        <v>0</v>
      </c>
      <c r="Y1243" s="6">
        <f>1/COUNTIF(Таблица1[Order ID],Таблица1[[#This Row],[Order ID]])</f>
        <v>0.5</v>
      </c>
      <c r="Z1243" s="9">
        <f>1/COUNTIFS(Таблица1[Customer Name],Таблица1[[#This Row],[Customer Name]],Таблица1[Order-Year-Month],Таблица1[[#This Row],[Order-Year-Month]])</f>
        <v>1</v>
      </c>
    </row>
    <row r="1244" spans="1:26" x14ac:dyDescent="0.2">
      <c r="A1244" s="6">
        <v>5866</v>
      </c>
      <c r="B1244" s="7">
        <v>41633</v>
      </c>
      <c r="C1244" s="8">
        <f>DATE(2012,12,31)-783</f>
        <v>40491</v>
      </c>
      <c r="D1244" s="8" t="str">
        <f t="shared" si="25"/>
        <v>2010-11 (ноябрь 2010)</v>
      </c>
      <c r="E1244" s="9" t="s">
        <v>21</v>
      </c>
      <c r="F1244" s="7">
        <v>29</v>
      </c>
      <c r="G1244" s="7">
        <v>3636.91</v>
      </c>
      <c r="H1244" s="7">
        <v>0</v>
      </c>
      <c r="I1244" s="9" t="s">
        <v>31</v>
      </c>
      <c r="J1244" s="10">
        <v>-1284.24</v>
      </c>
      <c r="K1244" s="11">
        <v>122.99</v>
      </c>
      <c r="L1244" s="11">
        <v>70.2</v>
      </c>
      <c r="M1244" s="9" t="s">
        <v>969</v>
      </c>
      <c r="N1244" s="6" t="s">
        <v>703</v>
      </c>
      <c r="O1244" s="6" t="s">
        <v>704</v>
      </c>
      <c r="P1244" s="9" t="s">
        <v>41</v>
      </c>
      <c r="Q1244" s="9" t="s">
        <v>49</v>
      </c>
      <c r="R1244" s="9" t="s">
        <v>112</v>
      </c>
      <c r="S1244" s="7" t="s">
        <v>426</v>
      </c>
      <c r="T1244" s="9" t="s">
        <v>36</v>
      </c>
      <c r="U1244" s="7">
        <v>0.74</v>
      </c>
      <c r="V1244" s="12">
        <f>C1244+0</f>
        <v>40491</v>
      </c>
      <c r="W1244">
        <f>IF(D1244=' Pivot Tables'!$A$4,1,0)</f>
        <v>0</v>
      </c>
      <c r="X1244">
        <f>IF(AND(LEFT(D1244,4)+1=LEFT(' Pivot Tables'!$A$4,4)+0,RIGHT(LEFT(D1244,7),2)=RIGHT(LEFT(' Pivot Tables'!$A$4,7),2)),1,0)</f>
        <v>0</v>
      </c>
      <c r="Y1244" s="6">
        <f>1/COUNTIF(Таблица1[Order ID],Таблица1[[#This Row],[Order ID]])</f>
        <v>1</v>
      </c>
      <c r="Z1244" s="9">
        <f>1/COUNTIFS(Таблица1[Customer Name],Таблица1[[#This Row],[Customer Name]],Таблица1[Order-Year-Month],Таблица1[[#This Row],[Order-Year-Month]])</f>
        <v>1</v>
      </c>
    </row>
    <row r="1245" spans="1:26" x14ac:dyDescent="0.2">
      <c r="A1245" s="6">
        <v>5910</v>
      </c>
      <c r="B1245" s="7">
        <v>41895</v>
      </c>
      <c r="C1245" s="8">
        <f>DATE(2012,12,31)-721</f>
        <v>40553</v>
      </c>
      <c r="D1245" s="8" t="str">
        <f t="shared" si="25"/>
        <v>2011-01 (январь 2011)</v>
      </c>
      <c r="E1245" s="9" t="s">
        <v>78</v>
      </c>
      <c r="F1245" s="7">
        <v>8</v>
      </c>
      <c r="G1245" s="7">
        <v>27663.919999999998</v>
      </c>
      <c r="H1245" s="7">
        <v>0.05</v>
      </c>
      <c r="I1245" s="9" t="s">
        <v>22</v>
      </c>
      <c r="J1245" s="10">
        <v>-391.92</v>
      </c>
      <c r="K1245" s="11">
        <v>3499.99</v>
      </c>
      <c r="L1245" s="11">
        <v>24.49</v>
      </c>
      <c r="M1245" s="9" t="s">
        <v>905</v>
      </c>
      <c r="N1245" s="6" t="s">
        <v>703</v>
      </c>
      <c r="O1245" s="6" t="s">
        <v>704</v>
      </c>
      <c r="P1245" s="9" t="s">
        <v>33</v>
      </c>
      <c r="Q1245" s="9" t="s">
        <v>42</v>
      </c>
      <c r="R1245" s="9" t="s">
        <v>99</v>
      </c>
      <c r="S1245" s="7" t="s">
        <v>627</v>
      </c>
      <c r="T1245" s="9" t="s">
        <v>29</v>
      </c>
      <c r="U1245" s="7">
        <v>0.37</v>
      </c>
      <c r="V1245" s="12">
        <f>C1245+2</f>
        <v>40555</v>
      </c>
      <c r="W1245">
        <f>IF(D1245=' Pivot Tables'!$A$4,1,0)</f>
        <v>0</v>
      </c>
      <c r="X1245">
        <f>IF(AND(LEFT(D1245,4)+1=LEFT(' Pivot Tables'!$A$4,4)+0,RIGHT(LEFT(D1245,7),2)=RIGHT(LEFT(' Pivot Tables'!$A$4,7),2)),1,0)</f>
        <v>0</v>
      </c>
      <c r="Y1245" s="6">
        <f>1/COUNTIF(Таблица1[Order ID],Таблица1[[#This Row],[Order ID]])</f>
        <v>1</v>
      </c>
      <c r="Z1245" s="9">
        <f>1/COUNTIFS(Таблица1[Customer Name],Таблица1[[#This Row],[Customer Name]],Таблица1[Order-Year-Month],Таблица1[[#This Row],[Order-Year-Month]])</f>
        <v>1</v>
      </c>
    </row>
    <row r="1246" spans="1:26" x14ac:dyDescent="0.2">
      <c r="A1246" s="6">
        <v>5936</v>
      </c>
      <c r="B1246" s="7">
        <v>42112</v>
      </c>
      <c r="C1246" s="8">
        <f>DATE(2012,12,31)-738</f>
        <v>40536</v>
      </c>
      <c r="D1246" s="8" t="str">
        <f t="shared" si="25"/>
        <v>2010-12 (декабрь 2010)</v>
      </c>
      <c r="E1246" s="9" t="s">
        <v>45</v>
      </c>
      <c r="F1246" s="7">
        <v>16</v>
      </c>
      <c r="G1246" s="7">
        <v>2744.3609999999999</v>
      </c>
      <c r="H1246" s="7">
        <v>0.01</v>
      </c>
      <c r="I1246" s="9" t="s">
        <v>22</v>
      </c>
      <c r="J1246" s="10">
        <v>201.03300000000002</v>
      </c>
      <c r="K1246" s="11">
        <v>195.99</v>
      </c>
      <c r="L1246" s="11">
        <v>8.99</v>
      </c>
      <c r="M1246" s="9" t="s">
        <v>969</v>
      </c>
      <c r="N1246" s="6" t="s">
        <v>703</v>
      </c>
      <c r="O1246" s="6" t="s">
        <v>704</v>
      </c>
      <c r="P1246" s="9" t="s">
        <v>41</v>
      </c>
      <c r="Q1246" s="9" t="s">
        <v>42</v>
      </c>
      <c r="R1246" s="9" t="s">
        <v>43</v>
      </c>
      <c r="S1246" s="7" t="s">
        <v>670</v>
      </c>
      <c r="T1246" s="9" t="s">
        <v>39</v>
      </c>
      <c r="U1246" s="7">
        <v>0.6</v>
      </c>
      <c r="V1246" s="12">
        <f>C1246+2</f>
        <v>40538</v>
      </c>
      <c r="W1246">
        <f>IF(D1246=' Pivot Tables'!$A$4,1,0)</f>
        <v>0</v>
      </c>
      <c r="X1246">
        <f>IF(AND(LEFT(D1246,4)+1=LEFT(' Pivot Tables'!$A$4,4)+0,RIGHT(LEFT(D1246,7),2)=RIGHT(LEFT(' Pivot Tables'!$A$4,7),2)),1,0)</f>
        <v>0</v>
      </c>
      <c r="Y1246" s="6">
        <f>1/COUNTIF(Таблица1[Order ID],Таблица1[[#This Row],[Order ID]])</f>
        <v>1</v>
      </c>
      <c r="Z1246" s="9">
        <f>1/COUNTIFS(Таблица1[Customer Name],Таблица1[[#This Row],[Customer Name]],Таблица1[Order-Year-Month],Таблица1[[#This Row],[Order-Year-Month]])</f>
        <v>1</v>
      </c>
    </row>
    <row r="1247" spans="1:26" x14ac:dyDescent="0.2">
      <c r="A1247" s="6">
        <v>5942</v>
      </c>
      <c r="B1247" s="7">
        <v>42177</v>
      </c>
      <c r="C1247" s="8">
        <f>DATE(2012,12,31)-215</f>
        <v>41059</v>
      </c>
      <c r="D1247" s="8" t="str">
        <f t="shared" si="25"/>
        <v>2012-05 (май 2012)</v>
      </c>
      <c r="E1247" s="9" t="s">
        <v>45</v>
      </c>
      <c r="F1247" s="7">
        <v>49</v>
      </c>
      <c r="G1247" s="7">
        <v>1201.934</v>
      </c>
      <c r="H1247" s="7">
        <v>0.03</v>
      </c>
      <c r="I1247" s="9" t="s">
        <v>22</v>
      </c>
      <c r="J1247" s="10">
        <v>47.420999999999999</v>
      </c>
      <c r="K1247" s="11">
        <v>28.99</v>
      </c>
      <c r="L1247" s="11">
        <v>8.59</v>
      </c>
      <c r="M1247" s="9" t="s">
        <v>889</v>
      </c>
      <c r="N1247" s="6" t="s">
        <v>703</v>
      </c>
      <c r="O1247" s="6" t="s">
        <v>704</v>
      </c>
      <c r="P1247" s="9" t="s">
        <v>25</v>
      </c>
      <c r="Q1247" s="9" t="s">
        <v>42</v>
      </c>
      <c r="R1247" s="9" t="s">
        <v>43</v>
      </c>
      <c r="S1247" s="7" t="s">
        <v>508</v>
      </c>
      <c r="T1247" s="9" t="s">
        <v>48</v>
      </c>
      <c r="U1247" s="7">
        <v>0.56000000000000005</v>
      </c>
      <c r="V1247" s="12">
        <f>C1247+1</f>
        <v>41060</v>
      </c>
      <c r="W1247">
        <f>IF(D1247=' Pivot Tables'!$A$4,1,0)</f>
        <v>0</v>
      </c>
      <c r="X1247">
        <f>IF(AND(LEFT(D1247,4)+1=LEFT(' Pivot Tables'!$A$4,4)+0,RIGHT(LEFT(D1247,7),2)=RIGHT(LEFT(' Pivot Tables'!$A$4,7),2)),1,0)</f>
        <v>0</v>
      </c>
      <c r="Y1247" s="6">
        <f>1/COUNTIF(Таблица1[Order ID],Таблица1[[#This Row],[Order ID]])</f>
        <v>0.5</v>
      </c>
      <c r="Z1247" s="9">
        <f>1/COUNTIFS(Таблица1[Customer Name],Таблица1[[#This Row],[Customer Name]],Таблица1[Order-Year-Month],Таблица1[[#This Row],[Order-Year-Month]])</f>
        <v>0.5</v>
      </c>
    </row>
    <row r="1248" spans="1:26" x14ac:dyDescent="0.2">
      <c r="A1248" s="6">
        <v>5943</v>
      </c>
      <c r="B1248" s="7">
        <v>42177</v>
      </c>
      <c r="C1248" s="8">
        <f>DATE(2012,12,31)-215</f>
        <v>41059</v>
      </c>
      <c r="D1248" s="8" t="str">
        <f t="shared" si="25"/>
        <v>2012-05 (май 2012)</v>
      </c>
      <c r="E1248" s="9" t="s">
        <v>45</v>
      </c>
      <c r="F1248" s="7">
        <v>38</v>
      </c>
      <c r="G1248" s="7">
        <v>395.84</v>
      </c>
      <c r="H1248" s="7">
        <v>0</v>
      </c>
      <c r="I1248" s="9" t="s">
        <v>22</v>
      </c>
      <c r="J1248" s="10">
        <v>8.42</v>
      </c>
      <c r="K1248" s="11">
        <v>9.77</v>
      </c>
      <c r="L1248" s="11">
        <v>6.02</v>
      </c>
      <c r="M1248" s="9" t="s">
        <v>889</v>
      </c>
      <c r="N1248" s="6" t="s">
        <v>703</v>
      </c>
      <c r="O1248" s="6" t="s">
        <v>704</v>
      </c>
      <c r="P1248" s="9" t="s">
        <v>25</v>
      </c>
      <c r="Q1248" s="9" t="s">
        <v>49</v>
      </c>
      <c r="R1248" s="9" t="s">
        <v>50</v>
      </c>
      <c r="S1248" s="7" t="s">
        <v>446</v>
      </c>
      <c r="T1248" s="9" t="s">
        <v>48</v>
      </c>
      <c r="U1248" s="7">
        <v>0.48</v>
      </c>
      <c r="V1248" s="12">
        <f>C1248+3</f>
        <v>41062</v>
      </c>
      <c r="W1248">
        <f>IF(D1248=' Pivot Tables'!$A$4,1,0)</f>
        <v>0</v>
      </c>
      <c r="X1248">
        <f>IF(AND(LEFT(D1248,4)+1=LEFT(' Pivot Tables'!$A$4,4)+0,RIGHT(LEFT(D1248,7),2)=RIGHT(LEFT(' Pivot Tables'!$A$4,7),2)),1,0)</f>
        <v>0</v>
      </c>
      <c r="Y1248" s="6">
        <f>1/COUNTIF(Таблица1[Order ID],Таблица1[[#This Row],[Order ID]])</f>
        <v>0.5</v>
      </c>
      <c r="Z1248" s="9">
        <f>1/COUNTIFS(Таблица1[Customer Name],Таблица1[[#This Row],[Customer Name]],Таблица1[Order-Year-Month],Таблица1[[#This Row],[Order-Year-Month]])</f>
        <v>0.5</v>
      </c>
    </row>
    <row r="1249" spans="1:26" x14ac:dyDescent="0.2">
      <c r="A1249" s="6">
        <v>5969</v>
      </c>
      <c r="B1249" s="7">
        <v>42339</v>
      </c>
      <c r="C1249" s="8">
        <f>DATE(2012,12,31)-1418</f>
        <v>39856</v>
      </c>
      <c r="D1249" s="8" t="str">
        <f t="shared" si="25"/>
        <v>2009-02 (февраль 2009)</v>
      </c>
      <c r="E1249" s="9" t="s">
        <v>78</v>
      </c>
      <c r="F1249" s="7">
        <v>31</v>
      </c>
      <c r="G1249" s="7">
        <v>206.54</v>
      </c>
      <c r="H1249" s="7">
        <v>0.02</v>
      </c>
      <c r="I1249" s="9" t="s">
        <v>22</v>
      </c>
      <c r="J1249" s="10">
        <v>-178.82</v>
      </c>
      <c r="K1249" s="11">
        <v>6.48</v>
      </c>
      <c r="L1249" s="11">
        <v>9.68</v>
      </c>
      <c r="M1249" s="9" t="s">
        <v>953</v>
      </c>
      <c r="N1249" s="6" t="s">
        <v>703</v>
      </c>
      <c r="O1249" s="6" t="s">
        <v>704</v>
      </c>
      <c r="P1249" s="9" t="s">
        <v>33</v>
      </c>
      <c r="Q1249" s="9" t="s">
        <v>26</v>
      </c>
      <c r="R1249" s="9" t="s">
        <v>61</v>
      </c>
      <c r="S1249" s="7" t="s">
        <v>766</v>
      </c>
      <c r="T1249" s="9" t="s">
        <v>39</v>
      </c>
      <c r="U1249" s="7">
        <v>0.36</v>
      </c>
      <c r="V1249" s="12">
        <f>C1249+0</f>
        <v>39856</v>
      </c>
      <c r="W1249">
        <f>IF(D1249=' Pivot Tables'!$A$4,1,0)</f>
        <v>0</v>
      </c>
      <c r="X1249">
        <f>IF(AND(LEFT(D1249,4)+1=LEFT(' Pivot Tables'!$A$4,4)+0,RIGHT(LEFT(D1249,7),2)=RIGHT(LEFT(' Pivot Tables'!$A$4,7),2)),1,0)</f>
        <v>0</v>
      </c>
      <c r="Y1249" s="6">
        <f>1/COUNTIF(Таблица1[Order ID],Таблица1[[#This Row],[Order ID]])</f>
        <v>1</v>
      </c>
      <c r="Z1249" s="9">
        <f>1/COUNTIFS(Таблица1[Customer Name],Таблица1[[#This Row],[Customer Name]],Таблица1[Order-Year-Month],Таблица1[[#This Row],[Order-Year-Month]])</f>
        <v>1</v>
      </c>
    </row>
    <row r="1250" spans="1:26" x14ac:dyDescent="0.2">
      <c r="A1250" s="6">
        <v>5971</v>
      </c>
      <c r="B1250" s="7">
        <v>42342</v>
      </c>
      <c r="C1250" s="8">
        <f>DATE(2012,12,31)-1214</f>
        <v>40060</v>
      </c>
      <c r="D1250" s="8" t="str">
        <f t="shared" si="25"/>
        <v>2009-09 (сентябрь 2009)</v>
      </c>
      <c r="E1250" s="9" t="s">
        <v>45</v>
      </c>
      <c r="F1250" s="7">
        <v>25</v>
      </c>
      <c r="G1250" s="7">
        <v>318.14</v>
      </c>
      <c r="H1250" s="7">
        <v>0.01</v>
      </c>
      <c r="I1250" s="9" t="s">
        <v>22</v>
      </c>
      <c r="J1250" s="10">
        <v>49.67</v>
      </c>
      <c r="K1250" s="11">
        <v>12.28</v>
      </c>
      <c r="L1250" s="11">
        <v>5.09</v>
      </c>
      <c r="M1250" s="9" t="s">
        <v>969</v>
      </c>
      <c r="N1250" s="6" t="s">
        <v>703</v>
      </c>
      <c r="O1250" s="6" t="s">
        <v>704</v>
      </c>
      <c r="P1250" s="9" t="s">
        <v>41</v>
      </c>
      <c r="Q1250" s="9" t="s">
        <v>26</v>
      </c>
      <c r="R1250" s="9" t="s">
        <v>61</v>
      </c>
      <c r="S1250" s="7" t="s">
        <v>970</v>
      </c>
      <c r="T1250" s="9" t="s">
        <v>39</v>
      </c>
      <c r="U1250" s="7">
        <v>0.38</v>
      </c>
      <c r="V1250" s="12">
        <f>C1250+1</f>
        <v>40061</v>
      </c>
      <c r="W1250">
        <f>IF(D1250=' Pivot Tables'!$A$4,1,0)</f>
        <v>0</v>
      </c>
      <c r="X1250">
        <f>IF(AND(LEFT(D1250,4)+1=LEFT(' Pivot Tables'!$A$4,4)+0,RIGHT(LEFT(D1250,7),2)=RIGHT(LEFT(' Pivot Tables'!$A$4,7),2)),1,0)</f>
        <v>0</v>
      </c>
      <c r="Y1250" s="6">
        <f>1/COUNTIF(Таблица1[Order ID],Таблица1[[#This Row],[Order ID]])</f>
        <v>0.5</v>
      </c>
      <c r="Z1250" s="9">
        <f>1/COUNTIFS(Таблица1[Customer Name],Таблица1[[#This Row],[Customer Name]],Таблица1[Order-Year-Month],Таблица1[[#This Row],[Order-Year-Month]])</f>
        <v>0.5</v>
      </c>
    </row>
    <row r="1251" spans="1:26" x14ac:dyDescent="0.2">
      <c r="A1251" s="6">
        <v>6061</v>
      </c>
      <c r="B1251" s="7">
        <v>42947</v>
      </c>
      <c r="C1251" s="8">
        <f>DATE(2012,12,31)-858</f>
        <v>40416</v>
      </c>
      <c r="D1251" s="8" t="str">
        <f t="shared" si="25"/>
        <v>2010-08 (август 2010)</v>
      </c>
      <c r="E1251" s="9" t="s">
        <v>21</v>
      </c>
      <c r="F1251" s="7">
        <v>5</v>
      </c>
      <c r="G1251" s="7">
        <v>177.05</v>
      </c>
      <c r="H1251" s="7">
        <v>0</v>
      </c>
      <c r="I1251" s="9" t="s">
        <v>22</v>
      </c>
      <c r="J1251" s="10">
        <v>-50.67</v>
      </c>
      <c r="K1251" s="11">
        <v>35.409999999999997</v>
      </c>
      <c r="L1251" s="11">
        <v>1.99</v>
      </c>
      <c r="M1251" s="9" t="s">
        <v>897</v>
      </c>
      <c r="N1251" s="6" t="s">
        <v>703</v>
      </c>
      <c r="O1251" s="6" t="s">
        <v>704</v>
      </c>
      <c r="P1251" s="9" t="s">
        <v>60</v>
      </c>
      <c r="Q1251" s="9" t="s">
        <v>42</v>
      </c>
      <c r="R1251" s="9" t="s">
        <v>70</v>
      </c>
      <c r="S1251" s="7" t="s">
        <v>971</v>
      </c>
      <c r="T1251" s="9" t="s">
        <v>52</v>
      </c>
      <c r="U1251" s="7">
        <v>0.43</v>
      </c>
      <c r="V1251" s="12">
        <f>C1251+2</f>
        <v>40418</v>
      </c>
      <c r="W1251">
        <f>IF(D1251=' Pivot Tables'!$A$4,1,0)</f>
        <v>0</v>
      </c>
      <c r="X1251">
        <f>IF(AND(LEFT(D1251,4)+1=LEFT(' Pivot Tables'!$A$4,4)+0,RIGHT(LEFT(D1251,7),2)=RIGHT(LEFT(' Pivot Tables'!$A$4,7),2)),1,0)</f>
        <v>0</v>
      </c>
      <c r="Y1251" s="6">
        <f>1/COUNTIF(Таблица1[Order ID],Таблица1[[#This Row],[Order ID]])</f>
        <v>1</v>
      </c>
      <c r="Z1251" s="9">
        <f>1/COUNTIFS(Таблица1[Customer Name],Таблица1[[#This Row],[Customer Name]],Таблица1[Order-Year-Month],Таблица1[[#This Row],[Order-Year-Month]])</f>
        <v>1</v>
      </c>
    </row>
    <row r="1252" spans="1:26" x14ac:dyDescent="0.2">
      <c r="A1252" s="6">
        <v>6080</v>
      </c>
      <c r="B1252" s="7">
        <v>43079</v>
      </c>
      <c r="C1252" s="8">
        <f>DATE(2012,12,31)-1259</f>
        <v>40015</v>
      </c>
      <c r="D1252" s="8" t="str">
        <f t="shared" si="25"/>
        <v>2009-07 (июль 2009)</v>
      </c>
      <c r="E1252" s="9" t="s">
        <v>63</v>
      </c>
      <c r="F1252" s="7">
        <v>40</v>
      </c>
      <c r="G1252" s="7">
        <v>1184.03</v>
      </c>
      <c r="H1252" s="7">
        <v>0.04</v>
      </c>
      <c r="I1252" s="9" t="s">
        <v>22</v>
      </c>
      <c r="J1252" s="10">
        <v>-20.79</v>
      </c>
      <c r="K1252" s="11">
        <v>30.73</v>
      </c>
      <c r="L1252" s="11">
        <v>4</v>
      </c>
      <c r="M1252" s="9" t="s">
        <v>866</v>
      </c>
      <c r="N1252" s="6" t="s">
        <v>703</v>
      </c>
      <c r="O1252" s="6" t="s">
        <v>704</v>
      </c>
      <c r="P1252" s="9" t="s">
        <v>60</v>
      </c>
      <c r="Q1252" s="9" t="s">
        <v>42</v>
      </c>
      <c r="R1252" s="9" t="s">
        <v>70</v>
      </c>
      <c r="S1252" s="7" t="s">
        <v>270</v>
      </c>
      <c r="T1252" s="9" t="s">
        <v>39</v>
      </c>
      <c r="U1252" s="7">
        <v>0.75</v>
      </c>
      <c r="V1252" s="12">
        <f>C1252+1</f>
        <v>40016</v>
      </c>
      <c r="W1252">
        <f>IF(D1252=' Pivot Tables'!$A$4,1,0)</f>
        <v>0</v>
      </c>
      <c r="X1252">
        <f>IF(AND(LEFT(D1252,4)+1=LEFT(' Pivot Tables'!$A$4,4)+0,RIGHT(LEFT(D1252,7),2)=RIGHT(LEFT(' Pivot Tables'!$A$4,7),2)),1,0)</f>
        <v>0</v>
      </c>
      <c r="Y1252" s="6">
        <f>1/COUNTIF(Таблица1[Order ID],Таблица1[[#This Row],[Order ID]])</f>
        <v>1</v>
      </c>
      <c r="Z1252" s="9">
        <f>1/COUNTIFS(Таблица1[Customer Name],Таблица1[[#This Row],[Customer Name]],Таблица1[Order-Year-Month],Таблица1[[#This Row],[Order-Year-Month]])</f>
        <v>1</v>
      </c>
    </row>
    <row r="1253" spans="1:26" x14ac:dyDescent="0.2">
      <c r="A1253" s="6">
        <v>6087</v>
      </c>
      <c r="B1253" s="7">
        <v>43111</v>
      </c>
      <c r="C1253" s="8">
        <f>DATE(2012,12,31)-476</f>
        <v>40798</v>
      </c>
      <c r="D1253" s="8" t="str">
        <f t="shared" si="25"/>
        <v>2011-09 (сентябрь 2011)</v>
      </c>
      <c r="E1253" s="9" t="s">
        <v>30</v>
      </c>
      <c r="F1253" s="7">
        <v>27</v>
      </c>
      <c r="G1253" s="7">
        <v>4722.83</v>
      </c>
      <c r="H1253" s="7">
        <v>0.01</v>
      </c>
      <c r="I1253" s="9" t="s">
        <v>22</v>
      </c>
      <c r="J1253" s="10">
        <v>1749.7759999999998</v>
      </c>
      <c r="K1253" s="11">
        <v>165.98</v>
      </c>
      <c r="L1253" s="11">
        <v>19.989999999999998</v>
      </c>
      <c r="M1253" s="9" t="s">
        <v>734</v>
      </c>
      <c r="N1253" s="6" t="s">
        <v>703</v>
      </c>
      <c r="O1253" s="6" t="s">
        <v>704</v>
      </c>
      <c r="P1253" s="9" t="s">
        <v>33</v>
      </c>
      <c r="Q1253" s="9" t="s">
        <v>26</v>
      </c>
      <c r="R1253" s="9" t="s">
        <v>37</v>
      </c>
      <c r="S1253" s="7" t="s">
        <v>543</v>
      </c>
      <c r="T1253" s="9" t="s">
        <v>39</v>
      </c>
      <c r="U1253" s="7">
        <v>0.4</v>
      </c>
      <c r="V1253" s="12">
        <f>C1253+1</f>
        <v>40799</v>
      </c>
      <c r="W1253">
        <f>IF(D1253=' Pivot Tables'!$A$4,1,0)</f>
        <v>0</v>
      </c>
      <c r="X1253">
        <f>IF(AND(LEFT(D1253,4)+1=LEFT(' Pivot Tables'!$A$4,4)+0,RIGHT(LEFT(D1253,7),2)=RIGHT(LEFT(' Pivot Tables'!$A$4,7),2)),1,0)</f>
        <v>0</v>
      </c>
      <c r="Y1253" s="6">
        <f>1/COUNTIF(Таблица1[Order ID],Таблица1[[#This Row],[Order ID]])</f>
        <v>1</v>
      </c>
      <c r="Z1253" s="9">
        <f>1/COUNTIFS(Таблица1[Customer Name],Таблица1[[#This Row],[Customer Name]],Таблица1[Order-Year-Month],Таблица1[[#This Row],[Order-Year-Month]])</f>
        <v>1</v>
      </c>
    </row>
    <row r="1254" spans="1:26" x14ac:dyDescent="0.2">
      <c r="A1254" s="6">
        <v>6091</v>
      </c>
      <c r="B1254" s="7">
        <v>43140</v>
      </c>
      <c r="C1254" s="8">
        <f>DATE(2012,12,31)-1384</f>
        <v>39890</v>
      </c>
      <c r="D1254" s="8" t="str">
        <f t="shared" si="25"/>
        <v>2009-03 (март 2009)</v>
      </c>
      <c r="E1254" s="9" t="s">
        <v>78</v>
      </c>
      <c r="F1254" s="7">
        <v>23</v>
      </c>
      <c r="G1254" s="7">
        <v>130.16</v>
      </c>
      <c r="H1254" s="7">
        <v>0.1</v>
      </c>
      <c r="I1254" s="9" t="s">
        <v>22</v>
      </c>
      <c r="J1254" s="10">
        <v>-49.53</v>
      </c>
      <c r="K1254" s="11">
        <v>5.98</v>
      </c>
      <c r="L1254" s="11">
        <v>5.14</v>
      </c>
      <c r="M1254" s="9" t="s">
        <v>879</v>
      </c>
      <c r="N1254" s="6" t="s">
        <v>703</v>
      </c>
      <c r="O1254" s="6" t="s">
        <v>704</v>
      </c>
      <c r="P1254" s="9" t="s">
        <v>60</v>
      </c>
      <c r="Q1254" s="9" t="s">
        <v>26</v>
      </c>
      <c r="R1254" s="9" t="s">
        <v>61</v>
      </c>
      <c r="S1254" s="7" t="s">
        <v>972</v>
      </c>
      <c r="T1254" s="9" t="s">
        <v>39</v>
      </c>
      <c r="U1254" s="7">
        <v>0.36</v>
      </c>
      <c r="V1254" s="12">
        <f>C1254+2</f>
        <v>39892</v>
      </c>
      <c r="W1254">
        <f>IF(D1254=' Pivot Tables'!$A$4,1,0)</f>
        <v>0</v>
      </c>
      <c r="X1254">
        <f>IF(AND(LEFT(D1254,4)+1=LEFT(' Pivot Tables'!$A$4,4)+0,RIGHT(LEFT(D1254,7),2)=RIGHT(LEFT(' Pivot Tables'!$A$4,7),2)),1,0)</f>
        <v>0</v>
      </c>
      <c r="Y1254" s="6">
        <f>1/COUNTIF(Таблица1[Order ID],Таблица1[[#This Row],[Order ID]])</f>
        <v>1</v>
      </c>
      <c r="Z1254" s="9">
        <f>1/COUNTIFS(Таблица1[Customer Name],Таблица1[[#This Row],[Customer Name]],Таблица1[Order-Year-Month],Таблица1[[#This Row],[Order-Year-Month]])</f>
        <v>1</v>
      </c>
    </row>
    <row r="1255" spans="1:26" x14ac:dyDescent="0.2">
      <c r="A1255" s="6">
        <v>6228</v>
      </c>
      <c r="B1255" s="7">
        <v>44098</v>
      </c>
      <c r="C1255" s="8">
        <f>DATE(2012,12,31)-1069</f>
        <v>40205</v>
      </c>
      <c r="D1255" s="8" t="str">
        <f t="shared" si="25"/>
        <v>2010-01 (январь 2010)</v>
      </c>
      <c r="E1255" s="9" t="s">
        <v>21</v>
      </c>
      <c r="F1255" s="7">
        <v>1</v>
      </c>
      <c r="G1255" s="7">
        <v>5.0599999999999996</v>
      </c>
      <c r="H1255" s="7">
        <v>0.01</v>
      </c>
      <c r="I1255" s="9" t="s">
        <v>22</v>
      </c>
      <c r="J1255" s="10">
        <v>-2.64</v>
      </c>
      <c r="K1255" s="11">
        <v>3.14</v>
      </c>
      <c r="L1255" s="11">
        <v>1.92</v>
      </c>
      <c r="M1255" s="9" t="s">
        <v>973</v>
      </c>
      <c r="N1255" s="6" t="s">
        <v>703</v>
      </c>
      <c r="O1255" s="6" t="s">
        <v>704</v>
      </c>
      <c r="P1255" s="9" t="s">
        <v>41</v>
      </c>
      <c r="Q1255" s="9" t="s">
        <v>26</v>
      </c>
      <c r="R1255" s="9" t="s">
        <v>150</v>
      </c>
      <c r="S1255" s="7" t="s">
        <v>699</v>
      </c>
      <c r="T1255" s="9" t="s">
        <v>68</v>
      </c>
      <c r="U1255" s="7">
        <v>0.84</v>
      </c>
      <c r="V1255" s="12">
        <f>C1255+4</f>
        <v>40209</v>
      </c>
      <c r="W1255">
        <f>IF(D1255=' Pivot Tables'!$A$4,1,0)</f>
        <v>1</v>
      </c>
      <c r="X1255">
        <f>IF(AND(LEFT(D1255,4)+1=LEFT(' Pivot Tables'!$A$4,4)+0,RIGHT(LEFT(D1255,7),2)=RIGHT(LEFT(' Pivot Tables'!$A$4,7),2)),1,0)</f>
        <v>0</v>
      </c>
      <c r="Y1255" s="6">
        <f>1/COUNTIF(Таблица1[Order ID],Таблица1[[#This Row],[Order ID]])</f>
        <v>1</v>
      </c>
      <c r="Z1255" s="9">
        <f>1/COUNTIFS(Таблица1[Customer Name],Таблица1[[#This Row],[Customer Name]],Таблица1[Order-Year-Month],Таблица1[[#This Row],[Order-Year-Month]])</f>
        <v>1</v>
      </c>
    </row>
    <row r="1256" spans="1:26" x14ac:dyDescent="0.2">
      <c r="A1256" s="6">
        <v>6282</v>
      </c>
      <c r="B1256" s="7">
        <v>44451</v>
      </c>
      <c r="C1256" s="8">
        <f>DATE(2012,12,31)-477</f>
        <v>40797</v>
      </c>
      <c r="D1256" s="8" t="str">
        <f t="shared" si="25"/>
        <v>2011-09 (сентябрь 2011)</v>
      </c>
      <c r="E1256" s="9" t="s">
        <v>78</v>
      </c>
      <c r="F1256" s="7">
        <v>4</v>
      </c>
      <c r="G1256" s="7">
        <v>103.9</v>
      </c>
      <c r="H1256" s="7">
        <v>7.0000000000000007E-2</v>
      </c>
      <c r="I1256" s="9" t="s">
        <v>56</v>
      </c>
      <c r="J1256" s="10">
        <v>-19.260000000000002</v>
      </c>
      <c r="K1256" s="11">
        <v>22.98</v>
      </c>
      <c r="L1256" s="11">
        <v>7.58</v>
      </c>
      <c r="M1256" s="9" t="s">
        <v>888</v>
      </c>
      <c r="N1256" s="6" t="s">
        <v>974</v>
      </c>
      <c r="O1256" s="6" t="s">
        <v>512</v>
      </c>
      <c r="P1256" s="9" t="s">
        <v>60</v>
      </c>
      <c r="Q1256" s="9" t="s">
        <v>49</v>
      </c>
      <c r="R1256" s="9" t="s">
        <v>50</v>
      </c>
      <c r="S1256" s="7" t="s">
        <v>789</v>
      </c>
      <c r="T1256" s="9" t="s">
        <v>39</v>
      </c>
      <c r="U1256" s="7">
        <v>0.51</v>
      </c>
      <c r="V1256" s="12">
        <f>C1256+2</f>
        <v>40799</v>
      </c>
      <c r="W1256">
        <f>IF(D1256=' Pivot Tables'!$A$4,1,0)</f>
        <v>0</v>
      </c>
      <c r="X1256">
        <f>IF(AND(LEFT(D1256,4)+1=LEFT(' Pivot Tables'!$A$4,4)+0,RIGHT(LEFT(D1256,7),2)=RIGHT(LEFT(' Pivot Tables'!$A$4,7),2)),1,0)</f>
        <v>0</v>
      </c>
      <c r="Y1256" s="6">
        <f>1/COUNTIF(Таблица1[Order ID],Таблица1[[#This Row],[Order ID]])</f>
        <v>0.5</v>
      </c>
      <c r="Z1256" s="9">
        <f>1/COUNTIFS(Таблица1[Customer Name],Таблица1[[#This Row],[Customer Name]],Таблица1[Order-Year-Month],Таблица1[[#This Row],[Order-Year-Month]])</f>
        <v>1</v>
      </c>
    </row>
    <row r="1257" spans="1:26" x14ac:dyDescent="0.2">
      <c r="A1257" s="6">
        <v>6354</v>
      </c>
      <c r="B1257" s="7">
        <v>45059</v>
      </c>
      <c r="C1257" s="8">
        <f>DATE(2012,12,31)-697</f>
        <v>40577</v>
      </c>
      <c r="D1257" s="8" t="str">
        <f t="shared" si="25"/>
        <v>2011-02 (февраль 2011)</v>
      </c>
      <c r="E1257" s="9" t="s">
        <v>45</v>
      </c>
      <c r="F1257" s="7">
        <v>35</v>
      </c>
      <c r="G1257" s="7">
        <v>1327.59</v>
      </c>
      <c r="H1257" s="7">
        <v>0.05</v>
      </c>
      <c r="I1257" s="9" t="s">
        <v>56</v>
      </c>
      <c r="J1257" s="10">
        <v>371.28</v>
      </c>
      <c r="K1257" s="11">
        <v>37.74</v>
      </c>
      <c r="L1257" s="11">
        <v>2.9</v>
      </c>
      <c r="M1257" s="9" t="s">
        <v>905</v>
      </c>
      <c r="N1257" s="6" t="s">
        <v>974</v>
      </c>
      <c r="O1257" s="6" t="s">
        <v>512</v>
      </c>
      <c r="P1257" s="9" t="s">
        <v>33</v>
      </c>
      <c r="Q1257" s="9" t="s">
        <v>26</v>
      </c>
      <c r="R1257" s="9" t="s">
        <v>95</v>
      </c>
      <c r="S1257" s="7" t="s">
        <v>975</v>
      </c>
      <c r="T1257" s="9" t="s">
        <v>52</v>
      </c>
      <c r="U1257" s="7">
        <v>0.59</v>
      </c>
      <c r="V1257" s="12">
        <f>C1257+1</f>
        <v>40578</v>
      </c>
      <c r="W1257">
        <f>IF(D1257=' Pivot Tables'!$A$4,1,0)</f>
        <v>0</v>
      </c>
      <c r="X1257">
        <f>IF(AND(LEFT(D1257,4)+1=LEFT(' Pivot Tables'!$A$4,4)+0,RIGHT(LEFT(D1257,7),2)=RIGHT(LEFT(' Pivot Tables'!$A$4,7),2)),1,0)</f>
        <v>0</v>
      </c>
      <c r="Y1257" s="6">
        <f>1/COUNTIF(Таблица1[Order ID],Таблица1[[#This Row],[Order ID]])</f>
        <v>0.33333333333333331</v>
      </c>
      <c r="Z1257" s="9">
        <f>1/COUNTIFS(Таблица1[Customer Name],Таблица1[[#This Row],[Customer Name]],Таблица1[Order-Year-Month],Таблица1[[#This Row],[Order-Year-Month]])</f>
        <v>0.33333333333333331</v>
      </c>
    </row>
    <row r="1258" spans="1:26" x14ac:dyDescent="0.2">
      <c r="A1258" s="6">
        <v>6355</v>
      </c>
      <c r="B1258" s="7">
        <v>45059</v>
      </c>
      <c r="C1258" s="8">
        <f>DATE(2012,12,31)-697</f>
        <v>40577</v>
      </c>
      <c r="D1258" s="8" t="str">
        <f t="shared" si="25"/>
        <v>2011-02 (февраль 2011)</v>
      </c>
      <c r="E1258" s="9" t="s">
        <v>45</v>
      </c>
      <c r="F1258" s="7">
        <v>39</v>
      </c>
      <c r="G1258" s="7">
        <v>3401.8</v>
      </c>
      <c r="H1258" s="7">
        <v>0.09</v>
      </c>
      <c r="I1258" s="9" t="s">
        <v>56</v>
      </c>
      <c r="J1258" s="10">
        <v>-508.87</v>
      </c>
      <c r="K1258" s="11">
        <v>95.43</v>
      </c>
      <c r="L1258" s="11">
        <v>19.989999999999998</v>
      </c>
      <c r="M1258" s="9" t="s">
        <v>905</v>
      </c>
      <c r="N1258" s="6" t="s">
        <v>974</v>
      </c>
      <c r="O1258" s="6" t="s">
        <v>512</v>
      </c>
      <c r="P1258" s="9" t="s">
        <v>33</v>
      </c>
      <c r="Q1258" s="9" t="s">
        <v>26</v>
      </c>
      <c r="R1258" s="9" t="s">
        <v>27</v>
      </c>
      <c r="S1258" s="7" t="s">
        <v>377</v>
      </c>
      <c r="T1258" s="9" t="s">
        <v>39</v>
      </c>
      <c r="U1258" s="7">
        <v>0.79</v>
      </c>
      <c r="V1258" s="12">
        <f>C1258+2</f>
        <v>40579</v>
      </c>
      <c r="W1258">
        <f>IF(D1258=' Pivot Tables'!$A$4,1,0)</f>
        <v>0</v>
      </c>
      <c r="X1258">
        <f>IF(AND(LEFT(D1258,4)+1=LEFT(' Pivot Tables'!$A$4,4)+0,RIGHT(LEFT(D1258,7),2)=RIGHT(LEFT(' Pivot Tables'!$A$4,7),2)),1,0)</f>
        <v>0</v>
      </c>
      <c r="Y1258" s="6">
        <f>1/COUNTIF(Таблица1[Order ID],Таблица1[[#This Row],[Order ID]])</f>
        <v>0.33333333333333331</v>
      </c>
      <c r="Z1258" s="9">
        <f>1/COUNTIFS(Таблица1[Customer Name],Таблица1[[#This Row],[Customer Name]],Таблица1[Order-Year-Month],Таблица1[[#This Row],[Order-Year-Month]])</f>
        <v>0.33333333333333331</v>
      </c>
    </row>
    <row r="1259" spans="1:26" x14ac:dyDescent="0.2">
      <c r="A1259" s="6">
        <v>6362</v>
      </c>
      <c r="B1259" s="7">
        <v>45155</v>
      </c>
      <c r="C1259" s="8">
        <f>DATE(2012,12,31)-685</f>
        <v>40589</v>
      </c>
      <c r="D1259" s="8" t="str">
        <f t="shared" si="25"/>
        <v>2011-02 (февраль 2011)</v>
      </c>
      <c r="E1259" s="9" t="s">
        <v>21</v>
      </c>
      <c r="F1259" s="7">
        <v>44</v>
      </c>
      <c r="G1259" s="7">
        <v>181.61</v>
      </c>
      <c r="H1259" s="7">
        <v>0.03</v>
      </c>
      <c r="I1259" s="9" t="s">
        <v>22</v>
      </c>
      <c r="J1259" s="10">
        <v>-150.25899999999999</v>
      </c>
      <c r="K1259" s="11">
        <v>4.13</v>
      </c>
      <c r="L1259" s="11">
        <v>5.34</v>
      </c>
      <c r="M1259" s="9" t="s">
        <v>884</v>
      </c>
      <c r="N1259" s="6" t="s">
        <v>974</v>
      </c>
      <c r="O1259" s="6" t="s">
        <v>512</v>
      </c>
      <c r="P1259" s="9" t="s">
        <v>41</v>
      </c>
      <c r="Q1259" s="9" t="s">
        <v>26</v>
      </c>
      <c r="R1259" s="9" t="s">
        <v>37</v>
      </c>
      <c r="S1259" s="7" t="s">
        <v>680</v>
      </c>
      <c r="T1259" s="9" t="s">
        <v>39</v>
      </c>
      <c r="U1259" s="7">
        <v>0.38</v>
      </c>
      <c r="V1259" s="12">
        <f>C1259+7</f>
        <v>40596</v>
      </c>
      <c r="W1259">
        <f>IF(D1259=' Pivot Tables'!$A$4,1,0)</f>
        <v>0</v>
      </c>
      <c r="X1259">
        <f>IF(AND(LEFT(D1259,4)+1=LEFT(' Pivot Tables'!$A$4,4)+0,RIGHT(LEFT(D1259,7),2)=RIGHT(LEFT(' Pivot Tables'!$A$4,7),2)),1,0)</f>
        <v>0</v>
      </c>
      <c r="Y1259" s="6">
        <f>1/COUNTIF(Таблица1[Order ID],Таблица1[[#This Row],[Order ID]])</f>
        <v>0.5</v>
      </c>
      <c r="Z1259" s="9">
        <f>1/COUNTIFS(Таблица1[Customer Name],Таблица1[[#This Row],[Customer Name]],Таблица1[Order-Year-Month],Таблица1[[#This Row],[Order-Year-Month]])</f>
        <v>0.33333333333333331</v>
      </c>
    </row>
    <row r="1260" spans="1:26" x14ac:dyDescent="0.2">
      <c r="A1260" s="6">
        <v>6363</v>
      </c>
      <c r="B1260" s="7">
        <v>45155</v>
      </c>
      <c r="C1260" s="8">
        <f>DATE(2012,12,31)-685</f>
        <v>40589</v>
      </c>
      <c r="D1260" s="8" t="str">
        <f t="shared" si="25"/>
        <v>2011-02 (февраль 2011)</v>
      </c>
      <c r="E1260" s="9" t="s">
        <v>21</v>
      </c>
      <c r="F1260" s="7">
        <v>35</v>
      </c>
      <c r="G1260" s="7">
        <v>111.55</v>
      </c>
      <c r="H1260" s="7">
        <v>0.05</v>
      </c>
      <c r="I1260" s="9" t="s">
        <v>22</v>
      </c>
      <c r="J1260" s="10">
        <v>-54.25</v>
      </c>
      <c r="K1260" s="11">
        <v>3.14</v>
      </c>
      <c r="L1260" s="11">
        <v>1.92</v>
      </c>
      <c r="M1260" s="9" t="s">
        <v>884</v>
      </c>
      <c r="N1260" s="6" t="s">
        <v>974</v>
      </c>
      <c r="O1260" s="6" t="s">
        <v>512</v>
      </c>
      <c r="P1260" s="9" t="s">
        <v>41</v>
      </c>
      <c r="Q1260" s="9" t="s">
        <v>26</v>
      </c>
      <c r="R1260" s="9" t="s">
        <v>150</v>
      </c>
      <c r="S1260" s="7" t="s">
        <v>699</v>
      </c>
      <c r="T1260" s="9" t="s">
        <v>68</v>
      </c>
      <c r="U1260" s="7">
        <v>0.84</v>
      </c>
      <c r="V1260" s="12">
        <f>C1260+0</f>
        <v>40589</v>
      </c>
      <c r="W1260">
        <f>IF(D1260=' Pivot Tables'!$A$4,1,0)</f>
        <v>0</v>
      </c>
      <c r="X1260">
        <f>IF(AND(LEFT(D1260,4)+1=LEFT(' Pivot Tables'!$A$4,4)+0,RIGHT(LEFT(D1260,7),2)=RIGHT(LEFT(' Pivot Tables'!$A$4,7),2)),1,0)</f>
        <v>0</v>
      </c>
      <c r="Y1260" s="6">
        <f>1/COUNTIF(Таблица1[Order ID],Таблица1[[#This Row],[Order ID]])</f>
        <v>0.5</v>
      </c>
      <c r="Z1260" s="9">
        <f>1/COUNTIFS(Таблица1[Customer Name],Таблица1[[#This Row],[Customer Name]],Таблица1[Order-Year-Month],Таблица1[[#This Row],[Order-Year-Month]])</f>
        <v>0.33333333333333331</v>
      </c>
    </row>
    <row r="1261" spans="1:26" x14ac:dyDescent="0.2">
      <c r="A1261" s="6">
        <v>6380</v>
      </c>
      <c r="B1261" s="7">
        <v>45317</v>
      </c>
      <c r="C1261" s="8">
        <f>DATE(2012,12,31)-305</f>
        <v>40969</v>
      </c>
      <c r="D1261" s="8" t="str">
        <f t="shared" si="25"/>
        <v>2012-03 (март 2012)</v>
      </c>
      <c r="E1261" s="9" t="s">
        <v>21</v>
      </c>
      <c r="F1261" s="7">
        <v>36</v>
      </c>
      <c r="G1261" s="7">
        <v>1435.95</v>
      </c>
      <c r="H1261" s="7">
        <v>0.05</v>
      </c>
      <c r="I1261" s="9" t="s">
        <v>22</v>
      </c>
      <c r="J1261" s="10">
        <v>486.9</v>
      </c>
      <c r="K1261" s="11">
        <v>39.24</v>
      </c>
      <c r="L1261" s="11">
        <v>1.99</v>
      </c>
      <c r="M1261" s="9" t="s">
        <v>875</v>
      </c>
      <c r="N1261" s="6" t="s">
        <v>974</v>
      </c>
      <c r="O1261" s="6" t="s">
        <v>512</v>
      </c>
      <c r="P1261" s="9" t="s">
        <v>25</v>
      </c>
      <c r="Q1261" s="9" t="s">
        <v>42</v>
      </c>
      <c r="R1261" s="9" t="s">
        <v>70</v>
      </c>
      <c r="S1261" s="7" t="s">
        <v>276</v>
      </c>
      <c r="T1261" s="9" t="s">
        <v>52</v>
      </c>
      <c r="U1261" s="7">
        <v>0.51</v>
      </c>
      <c r="V1261" s="12">
        <f>C1261+7</f>
        <v>40976</v>
      </c>
      <c r="W1261">
        <f>IF(D1261=' Pivot Tables'!$A$4,1,0)</f>
        <v>0</v>
      </c>
      <c r="X1261">
        <f>IF(AND(LEFT(D1261,4)+1=LEFT(' Pivot Tables'!$A$4,4)+0,RIGHT(LEFT(D1261,7),2)=RIGHT(LEFT(' Pivot Tables'!$A$4,7),2)),1,0)</f>
        <v>0</v>
      </c>
      <c r="Y1261" s="6">
        <f>1/COUNTIF(Таблица1[Order ID],Таблица1[[#This Row],[Order ID]])</f>
        <v>0.5</v>
      </c>
      <c r="Z1261" s="9">
        <f>1/COUNTIFS(Таблица1[Customer Name],Таблица1[[#This Row],[Customer Name]],Таблица1[Order-Year-Month],Таблица1[[#This Row],[Order-Year-Month]])</f>
        <v>0.5</v>
      </c>
    </row>
    <row r="1262" spans="1:26" x14ac:dyDescent="0.2">
      <c r="A1262" s="6">
        <v>6381</v>
      </c>
      <c r="B1262" s="7">
        <v>45317</v>
      </c>
      <c r="C1262" s="8">
        <f>DATE(2012,12,31)-305</f>
        <v>40969</v>
      </c>
      <c r="D1262" s="8" t="str">
        <f t="shared" si="25"/>
        <v>2012-03 (март 2012)</v>
      </c>
      <c r="E1262" s="9" t="s">
        <v>21</v>
      </c>
      <c r="F1262" s="7">
        <v>28</v>
      </c>
      <c r="G1262" s="7">
        <v>961.06</v>
      </c>
      <c r="H1262" s="7">
        <v>0.05</v>
      </c>
      <c r="I1262" s="9" t="s">
        <v>22</v>
      </c>
      <c r="J1262" s="10">
        <v>361.82</v>
      </c>
      <c r="K1262" s="11">
        <v>34.229999999999997</v>
      </c>
      <c r="L1262" s="11">
        <v>5.0199999999999996</v>
      </c>
      <c r="M1262" s="9" t="s">
        <v>875</v>
      </c>
      <c r="N1262" s="6" t="s">
        <v>974</v>
      </c>
      <c r="O1262" s="6" t="s">
        <v>512</v>
      </c>
      <c r="P1262" s="9" t="s">
        <v>25</v>
      </c>
      <c r="Q1262" s="9" t="s">
        <v>49</v>
      </c>
      <c r="R1262" s="9" t="s">
        <v>50</v>
      </c>
      <c r="S1262" s="7" t="s">
        <v>857</v>
      </c>
      <c r="T1262" s="9" t="s">
        <v>39</v>
      </c>
      <c r="U1262" s="7">
        <v>0.55000000000000004</v>
      </c>
      <c r="V1262" s="12">
        <f>C1262+7</f>
        <v>40976</v>
      </c>
      <c r="W1262">
        <f>IF(D1262=' Pivot Tables'!$A$4,1,0)</f>
        <v>0</v>
      </c>
      <c r="X1262">
        <f>IF(AND(LEFT(D1262,4)+1=LEFT(' Pivot Tables'!$A$4,4)+0,RIGHT(LEFT(D1262,7),2)=RIGHT(LEFT(' Pivot Tables'!$A$4,7),2)),1,0)</f>
        <v>0</v>
      </c>
      <c r="Y1262" s="6">
        <f>1/COUNTIF(Таблица1[Order ID],Таблица1[[#This Row],[Order ID]])</f>
        <v>0.5</v>
      </c>
      <c r="Z1262" s="9">
        <f>1/COUNTIFS(Таблица1[Customer Name],Таблица1[[#This Row],[Customer Name]],Таблица1[Order-Year-Month],Таблица1[[#This Row],[Order-Year-Month]])</f>
        <v>0.5</v>
      </c>
    </row>
    <row r="1263" spans="1:26" x14ac:dyDescent="0.2">
      <c r="A1263" s="6">
        <v>6432</v>
      </c>
      <c r="B1263" s="7">
        <v>45731</v>
      </c>
      <c r="C1263" s="8">
        <f>DATE(2012,12,31)-1239</f>
        <v>40035</v>
      </c>
      <c r="D1263" s="8" t="str">
        <f t="shared" si="25"/>
        <v>2009-08 (август 2009)</v>
      </c>
      <c r="E1263" s="9" t="s">
        <v>78</v>
      </c>
      <c r="F1263" s="7">
        <v>19</v>
      </c>
      <c r="G1263" s="7">
        <v>146.63</v>
      </c>
      <c r="H1263" s="7">
        <v>0.01</v>
      </c>
      <c r="I1263" s="9" t="s">
        <v>56</v>
      </c>
      <c r="J1263" s="10">
        <v>-30.06</v>
      </c>
      <c r="K1263" s="11">
        <v>6.48</v>
      </c>
      <c r="L1263" s="11">
        <v>6.22</v>
      </c>
      <c r="M1263" s="9" t="s">
        <v>730</v>
      </c>
      <c r="N1263" s="6" t="s">
        <v>974</v>
      </c>
      <c r="O1263" s="6" t="s">
        <v>512</v>
      </c>
      <c r="P1263" s="9" t="s">
        <v>33</v>
      </c>
      <c r="Q1263" s="9" t="s">
        <v>26</v>
      </c>
      <c r="R1263" s="9" t="s">
        <v>61</v>
      </c>
      <c r="S1263" s="7" t="s">
        <v>943</v>
      </c>
      <c r="T1263" s="9" t="s">
        <v>39</v>
      </c>
      <c r="U1263" s="7">
        <v>0.37</v>
      </c>
      <c r="V1263" s="12">
        <f>C1263+1</f>
        <v>40036</v>
      </c>
      <c r="W1263">
        <f>IF(D1263=' Pivot Tables'!$A$4,1,0)</f>
        <v>0</v>
      </c>
      <c r="X1263">
        <f>IF(AND(LEFT(D1263,4)+1=LEFT(' Pivot Tables'!$A$4,4)+0,RIGHT(LEFT(D1263,7),2)=RIGHT(LEFT(' Pivot Tables'!$A$4,7),2)),1,0)</f>
        <v>0</v>
      </c>
      <c r="Y1263" s="6">
        <f>1/COUNTIF(Таблица1[Order ID],Таблица1[[#This Row],[Order ID]])</f>
        <v>0.33333333333333331</v>
      </c>
      <c r="Z1263" s="9">
        <f>1/COUNTIFS(Таблица1[Customer Name],Таблица1[[#This Row],[Customer Name]],Таблица1[Order-Year-Month],Таблица1[[#This Row],[Order-Year-Month]])</f>
        <v>0.5</v>
      </c>
    </row>
    <row r="1264" spans="1:26" x14ac:dyDescent="0.2">
      <c r="A1264" s="6">
        <v>6433</v>
      </c>
      <c r="B1264" s="7">
        <v>45731</v>
      </c>
      <c r="C1264" s="8">
        <f>DATE(2012,12,31)-1239</f>
        <v>40035</v>
      </c>
      <c r="D1264" s="8" t="str">
        <f t="shared" si="25"/>
        <v>2009-08 (август 2009)</v>
      </c>
      <c r="E1264" s="9" t="s">
        <v>78</v>
      </c>
      <c r="F1264" s="7">
        <v>35</v>
      </c>
      <c r="G1264" s="7">
        <v>2506.2674999999999</v>
      </c>
      <c r="H1264" s="7">
        <v>0.03</v>
      </c>
      <c r="I1264" s="9" t="s">
        <v>22</v>
      </c>
      <c r="J1264" s="10">
        <v>1160.577</v>
      </c>
      <c r="K1264" s="11">
        <v>85.99</v>
      </c>
      <c r="L1264" s="11">
        <v>3.3</v>
      </c>
      <c r="M1264" s="9" t="s">
        <v>730</v>
      </c>
      <c r="N1264" s="6" t="s">
        <v>974</v>
      </c>
      <c r="O1264" s="6" t="s">
        <v>512</v>
      </c>
      <c r="P1264" s="9" t="s">
        <v>33</v>
      </c>
      <c r="Q1264" s="9" t="s">
        <v>42</v>
      </c>
      <c r="R1264" s="9" t="s">
        <v>43</v>
      </c>
      <c r="S1264" s="7" t="s">
        <v>770</v>
      </c>
      <c r="T1264" s="9" t="s">
        <v>52</v>
      </c>
      <c r="U1264" s="7">
        <v>0.37</v>
      </c>
      <c r="V1264" s="12">
        <f>C1264+2</f>
        <v>40037</v>
      </c>
      <c r="W1264">
        <f>IF(D1264=' Pivot Tables'!$A$4,1,0)</f>
        <v>0</v>
      </c>
      <c r="X1264">
        <f>IF(AND(LEFT(D1264,4)+1=LEFT(' Pivot Tables'!$A$4,4)+0,RIGHT(LEFT(D1264,7),2)=RIGHT(LEFT(' Pivot Tables'!$A$4,7),2)),1,0)</f>
        <v>0</v>
      </c>
      <c r="Y1264" s="6">
        <f>1/COUNTIF(Таблица1[Order ID],Таблица1[[#This Row],[Order ID]])</f>
        <v>0.33333333333333331</v>
      </c>
      <c r="Z1264" s="9">
        <f>1/COUNTIFS(Таблица1[Customer Name],Таблица1[[#This Row],[Customer Name]],Таблица1[Order-Year-Month],Таблица1[[#This Row],[Order-Year-Month]])</f>
        <v>0.5</v>
      </c>
    </row>
    <row r="1265" spans="1:26" x14ac:dyDescent="0.2">
      <c r="A1265" s="6">
        <v>6578</v>
      </c>
      <c r="B1265" s="7">
        <v>46849</v>
      </c>
      <c r="C1265" s="8">
        <f>DATE(2012,12,31)-749</f>
        <v>40525</v>
      </c>
      <c r="D1265" s="8" t="str">
        <f t="shared" si="25"/>
        <v>2010-12 (декабрь 2010)</v>
      </c>
      <c r="E1265" s="9" t="s">
        <v>45</v>
      </c>
      <c r="F1265" s="7">
        <v>23</v>
      </c>
      <c r="G1265" s="7">
        <v>188.54</v>
      </c>
      <c r="H1265" s="7">
        <v>0.09</v>
      </c>
      <c r="I1265" s="9" t="s">
        <v>22</v>
      </c>
      <c r="J1265" s="10">
        <v>9.8200000000000056</v>
      </c>
      <c r="K1265" s="11">
        <v>8.33</v>
      </c>
      <c r="L1265" s="11">
        <v>1.99</v>
      </c>
      <c r="M1265" s="9" t="s">
        <v>909</v>
      </c>
      <c r="N1265" s="6" t="s">
        <v>974</v>
      </c>
      <c r="O1265" s="6" t="s">
        <v>512</v>
      </c>
      <c r="P1265" s="9" t="s">
        <v>41</v>
      </c>
      <c r="Q1265" s="9" t="s">
        <v>42</v>
      </c>
      <c r="R1265" s="9" t="s">
        <v>70</v>
      </c>
      <c r="S1265" s="7" t="s">
        <v>324</v>
      </c>
      <c r="T1265" s="9" t="s">
        <v>52</v>
      </c>
      <c r="U1265" s="7">
        <v>0.52</v>
      </c>
      <c r="V1265" s="12">
        <f>C1265+1</f>
        <v>40526</v>
      </c>
      <c r="W1265">
        <f>IF(D1265=' Pivot Tables'!$A$4,1,0)</f>
        <v>0</v>
      </c>
      <c r="X1265">
        <f>IF(AND(LEFT(D1265,4)+1=LEFT(' Pivot Tables'!$A$4,4)+0,RIGHT(LEFT(D1265,7),2)=RIGHT(LEFT(' Pivot Tables'!$A$4,7),2)),1,0)</f>
        <v>0</v>
      </c>
      <c r="Y1265" s="6">
        <f>1/COUNTIF(Таблица1[Order ID],Таблица1[[#This Row],[Order ID]])</f>
        <v>1</v>
      </c>
      <c r="Z1265" s="9">
        <f>1/COUNTIFS(Таблица1[Customer Name],Таблица1[[#This Row],[Customer Name]],Таблица1[Order-Year-Month],Таблица1[[#This Row],[Order-Year-Month]])</f>
        <v>1</v>
      </c>
    </row>
    <row r="1266" spans="1:26" x14ac:dyDescent="0.2">
      <c r="A1266" s="6">
        <v>6621</v>
      </c>
      <c r="B1266" s="7">
        <v>47108</v>
      </c>
      <c r="C1266" s="8">
        <f>DATE(2012,12,31)-1173</f>
        <v>40101</v>
      </c>
      <c r="D1266" s="8" t="str">
        <f t="shared" si="25"/>
        <v>2009-10 (октябрь 2009)</v>
      </c>
      <c r="E1266" s="9" t="s">
        <v>45</v>
      </c>
      <c r="F1266" s="7">
        <v>19</v>
      </c>
      <c r="G1266" s="7">
        <v>359.68</v>
      </c>
      <c r="H1266" s="7">
        <v>7.0000000000000007E-2</v>
      </c>
      <c r="I1266" s="9" t="s">
        <v>22</v>
      </c>
      <c r="J1266" s="10">
        <v>187.15</v>
      </c>
      <c r="K1266" s="11">
        <v>18.649999999999999</v>
      </c>
      <c r="L1266" s="11">
        <v>3.77</v>
      </c>
      <c r="M1266" s="9" t="s">
        <v>929</v>
      </c>
      <c r="N1266" s="6" t="s">
        <v>974</v>
      </c>
      <c r="O1266" s="6" t="s">
        <v>512</v>
      </c>
      <c r="P1266" s="9" t="s">
        <v>33</v>
      </c>
      <c r="Q1266" s="9" t="s">
        <v>49</v>
      </c>
      <c r="R1266" s="9" t="s">
        <v>50</v>
      </c>
      <c r="S1266" s="7" t="s">
        <v>916</v>
      </c>
      <c r="T1266" s="9" t="s">
        <v>52</v>
      </c>
      <c r="U1266" s="7">
        <v>0.39</v>
      </c>
      <c r="V1266" s="12">
        <f>C1266+1</f>
        <v>40102</v>
      </c>
      <c r="W1266">
        <f>IF(D1266=' Pivot Tables'!$A$4,1,0)</f>
        <v>0</v>
      </c>
      <c r="X1266">
        <f>IF(AND(LEFT(D1266,4)+1=LEFT(' Pivot Tables'!$A$4,4)+0,RIGHT(LEFT(D1266,7),2)=RIGHT(LEFT(' Pivot Tables'!$A$4,7),2)),1,0)</f>
        <v>0</v>
      </c>
      <c r="Y1266" s="6">
        <f>1/COUNTIF(Таблица1[Order ID],Таблица1[[#This Row],[Order ID]])</f>
        <v>0.25</v>
      </c>
      <c r="Z1266" s="9">
        <f>1/COUNTIFS(Таблица1[Customer Name],Таблица1[[#This Row],[Customer Name]],Таблица1[Order-Year-Month],Таблица1[[#This Row],[Order-Year-Month]])</f>
        <v>0.25</v>
      </c>
    </row>
    <row r="1267" spans="1:26" x14ac:dyDescent="0.2">
      <c r="A1267" s="6">
        <v>6622</v>
      </c>
      <c r="B1267" s="7">
        <v>47108</v>
      </c>
      <c r="C1267" s="8">
        <f>DATE(2012,12,31)-1173</f>
        <v>40101</v>
      </c>
      <c r="D1267" s="8" t="str">
        <f t="shared" si="25"/>
        <v>2009-10 (октябрь 2009)</v>
      </c>
      <c r="E1267" s="9" t="s">
        <v>45</v>
      </c>
      <c r="F1267" s="7">
        <v>7</v>
      </c>
      <c r="G1267" s="7">
        <v>131.55000000000001</v>
      </c>
      <c r="H1267" s="7">
        <v>0.06</v>
      </c>
      <c r="I1267" s="9" t="s">
        <v>22</v>
      </c>
      <c r="J1267" s="10">
        <v>-43.743600000000001</v>
      </c>
      <c r="K1267" s="11">
        <v>17.98</v>
      </c>
      <c r="L1267" s="11">
        <v>8.51</v>
      </c>
      <c r="M1267" s="9" t="s">
        <v>929</v>
      </c>
      <c r="N1267" s="6" t="s">
        <v>974</v>
      </c>
      <c r="O1267" s="6" t="s">
        <v>512</v>
      </c>
      <c r="P1267" s="9" t="s">
        <v>33</v>
      </c>
      <c r="Q1267" s="9" t="s">
        <v>42</v>
      </c>
      <c r="R1267" s="9" t="s">
        <v>210</v>
      </c>
      <c r="S1267" s="7" t="s">
        <v>277</v>
      </c>
      <c r="T1267" s="9" t="s">
        <v>48</v>
      </c>
      <c r="U1267" s="7">
        <v>0.4</v>
      </c>
      <c r="V1267" s="12">
        <f>C1267+2</f>
        <v>40103</v>
      </c>
      <c r="W1267">
        <f>IF(D1267=' Pivot Tables'!$A$4,1,0)</f>
        <v>0</v>
      </c>
      <c r="X1267">
        <f>IF(AND(LEFT(D1267,4)+1=LEFT(' Pivot Tables'!$A$4,4)+0,RIGHT(LEFT(D1267,7),2)=RIGHT(LEFT(' Pivot Tables'!$A$4,7),2)),1,0)</f>
        <v>0</v>
      </c>
      <c r="Y1267" s="6">
        <f>1/COUNTIF(Таблица1[Order ID],Таблица1[[#This Row],[Order ID]])</f>
        <v>0.25</v>
      </c>
      <c r="Z1267" s="9">
        <f>1/COUNTIFS(Таблица1[Customer Name],Таблица1[[#This Row],[Customer Name]],Таблица1[Order-Year-Month],Таблица1[[#This Row],[Order-Year-Month]])</f>
        <v>0.25</v>
      </c>
    </row>
    <row r="1268" spans="1:26" x14ac:dyDescent="0.2">
      <c r="A1268" s="6">
        <v>6623</v>
      </c>
      <c r="B1268" s="7">
        <v>47108</v>
      </c>
      <c r="C1268" s="8">
        <f>DATE(2012,12,31)-1173</f>
        <v>40101</v>
      </c>
      <c r="D1268" s="8" t="str">
        <f t="shared" si="25"/>
        <v>2009-10 (октябрь 2009)</v>
      </c>
      <c r="E1268" s="9" t="s">
        <v>45</v>
      </c>
      <c r="F1268" s="7">
        <v>26</v>
      </c>
      <c r="G1268" s="7">
        <v>258.11</v>
      </c>
      <c r="H1268" s="7">
        <v>0.1</v>
      </c>
      <c r="I1268" s="9" t="s">
        <v>56</v>
      </c>
      <c r="J1268" s="10">
        <v>9.9499999999999993</v>
      </c>
      <c r="K1268" s="11">
        <v>9.99</v>
      </c>
      <c r="L1268" s="11">
        <v>4.78</v>
      </c>
      <c r="M1268" s="9" t="s">
        <v>929</v>
      </c>
      <c r="N1268" s="6" t="s">
        <v>974</v>
      </c>
      <c r="O1268" s="6" t="s">
        <v>512</v>
      </c>
      <c r="P1268" s="9" t="s">
        <v>33</v>
      </c>
      <c r="Q1268" s="9" t="s">
        <v>26</v>
      </c>
      <c r="R1268" s="9" t="s">
        <v>61</v>
      </c>
      <c r="S1268" s="7" t="s">
        <v>976</v>
      </c>
      <c r="T1268" s="9" t="s">
        <v>39</v>
      </c>
      <c r="U1268" s="7">
        <v>0.4</v>
      </c>
      <c r="V1268" s="12">
        <f>C1268+3</f>
        <v>40104</v>
      </c>
      <c r="W1268">
        <f>IF(D1268=' Pivot Tables'!$A$4,1,0)</f>
        <v>0</v>
      </c>
      <c r="X1268">
        <f>IF(AND(LEFT(D1268,4)+1=LEFT(' Pivot Tables'!$A$4,4)+0,RIGHT(LEFT(D1268,7),2)=RIGHT(LEFT(' Pivot Tables'!$A$4,7),2)),1,0)</f>
        <v>0</v>
      </c>
      <c r="Y1268" s="6">
        <f>1/COUNTIF(Таблица1[Order ID],Таблица1[[#This Row],[Order ID]])</f>
        <v>0.25</v>
      </c>
      <c r="Z1268" s="9">
        <f>1/COUNTIFS(Таблица1[Customer Name],Таблица1[[#This Row],[Customer Name]],Таблица1[Order-Year-Month],Таблица1[[#This Row],[Order-Year-Month]])</f>
        <v>0.25</v>
      </c>
    </row>
    <row r="1269" spans="1:26" x14ac:dyDescent="0.2">
      <c r="A1269" s="6">
        <v>6624</v>
      </c>
      <c r="B1269" s="7">
        <v>47108</v>
      </c>
      <c r="C1269" s="8">
        <f>DATE(2012,12,31)-1173</f>
        <v>40101</v>
      </c>
      <c r="D1269" s="8" t="str">
        <f t="shared" si="25"/>
        <v>2009-10 (октябрь 2009)</v>
      </c>
      <c r="E1269" s="9" t="s">
        <v>45</v>
      </c>
      <c r="F1269" s="7">
        <v>9</v>
      </c>
      <c r="G1269" s="7">
        <v>1288.5150000000001</v>
      </c>
      <c r="H1269" s="7">
        <v>0.08</v>
      </c>
      <c r="I1269" s="9" t="s">
        <v>56</v>
      </c>
      <c r="J1269" s="10">
        <v>-382.56900000000002</v>
      </c>
      <c r="K1269" s="11">
        <v>175.99</v>
      </c>
      <c r="L1269" s="11">
        <v>8.99</v>
      </c>
      <c r="M1269" s="9" t="s">
        <v>929</v>
      </c>
      <c r="N1269" s="6" t="s">
        <v>974</v>
      </c>
      <c r="O1269" s="6" t="s">
        <v>512</v>
      </c>
      <c r="P1269" s="9" t="s">
        <v>33</v>
      </c>
      <c r="Q1269" s="9" t="s">
        <v>42</v>
      </c>
      <c r="R1269" s="9" t="s">
        <v>43</v>
      </c>
      <c r="S1269" s="7" t="s">
        <v>631</v>
      </c>
      <c r="T1269" s="9" t="s">
        <v>39</v>
      </c>
      <c r="U1269" s="7">
        <v>0.56999999999999995</v>
      </c>
      <c r="V1269" s="12">
        <f>C1269+1</f>
        <v>40102</v>
      </c>
      <c r="W1269">
        <f>IF(D1269=' Pivot Tables'!$A$4,1,0)</f>
        <v>0</v>
      </c>
      <c r="X1269">
        <f>IF(AND(LEFT(D1269,4)+1=LEFT(' Pivot Tables'!$A$4,4)+0,RIGHT(LEFT(D1269,7),2)=RIGHT(LEFT(' Pivot Tables'!$A$4,7),2)),1,0)</f>
        <v>0</v>
      </c>
      <c r="Y1269" s="6">
        <f>1/COUNTIF(Таблица1[Order ID],Таблица1[[#This Row],[Order ID]])</f>
        <v>0.25</v>
      </c>
      <c r="Z1269" s="9">
        <f>1/COUNTIFS(Таблица1[Customer Name],Таблица1[[#This Row],[Customer Name]],Таблица1[Order-Year-Month],Таблица1[[#This Row],[Order-Year-Month]])</f>
        <v>0.25</v>
      </c>
    </row>
    <row r="1270" spans="1:26" x14ac:dyDescent="0.2">
      <c r="A1270" s="6">
        <v>6676</v>
      </c>
      <c r="B1270" s="7">
        <v>47520</v>
      </c>
      <c r="C1270" s="8">
        <f>DATE(2012,12,31)-1181</f>
        <v>40093</v>
      </c>
      <c r="D1270" s="8" t="str">
        <f t="shared" si="25"/>
        <v>2009-10 (октябрь 2009)</v>
      </c>
      <c r="E1270" s="9" t="s">
        <v>45</v>
      </c>
      <c r="F1270" s="7">
        <v>36</v>
      </c>
      <c r="G1270" s="7">
        <v>277.88</v>
      </c>
      <c r="H1270" s="7">
        <v>0.09</v>
      </c>
      <c r="I1270" s="9" t="s">
        <v>22</v>
      </c>
      <c r="J1270" s="10">
        <v>-64.41149999999999</v>
      </c>
      <c r="K1270" s="11">
        <v>7.68</v>
      </c>
      <c r="L1270" s="11">
        <v>6.16</v>
      </c>
      <c r="M1270" s="9" t="s">
        <v>880</v>
      </c>
      <c r="N1270" s="6" t="s">
        <v>974</v>
      </c>
      <c r="O1270" s="6" t="s">
        <v>512</v>
      </c>
      <c r="P1270" s="9" t="s">
        <v>33</v>
      </c>
      <c r="Q1270" s="9" t="s">
        <v>26</v>
      </c>
      <c r="R1270" s="9" t="s">
        <v>37</v>
      </c>
      <c r="S1270" s="7" t="s">
        <v>854</v>
      </c>
      <c r="T1270" s="9" t="s">
        <v>39</v>
      </c>
      <c r="U1270" s="7">
        <v>0.35</v>
      </c>
      <c r="V1270" s="12">
        <f>C1270+2</f>
        <v>40095</v>
      </c>
      <c r="W1270">
        <f>IF(D1270=' Pivot Tables'!$A$4,1,0)</f>
        <v>0</v>
      </c>
      <c r="X1270">
        <f>IF(AND(LEFT(D1270,4)+1=LEFT(' Pivot Tables'!$A$4,4)+0,RIGHT(LEFT(D1270,7),2)=RIGHT(LEFT(' Pivot Tables'!$A$4,7),2)),1,0)</f>
        <v>0</v>
      </c>
      <c r="Y1270" s="6">
        <f>1/COUNTIF(Таблица1[Order ID],Таблица1[[#This Row],[Order ID]])</f>
        <v>0.33333333333333331</v>
      </c>
      <c r="Z1270" s="9">
        <f>1/COUNTIFS(Таблица1[Customer Name],Таблица1[[#This Row],[Customer Name]],Таблица1[Order-Year-Month],Таблица1[[#This Row],[Order-Year-Month]])</f>
        <v>0.33333333333333331</v>
      </c>
    </row>
    <row r="1271" spans="1:26" x14ac:dyDescent="0.2">
      <c r="A1271" s="6">
        <v>6677</v>
      </c>
      <c r="B1271" s="7">
        <v>47520</v>
      </c>
      <c r="C1271" s="8">
        <f>DATE(2012,12,31)-1181</f>
        <v>40093</v>
      </c>
      <c r="D1271" s="8" t="str">
        <f t="shared" si="25"/>
        <v>2009-10 (октябрь 2009)</v>
      </c>
      <c r="E1271" s="9" t="s">
        <v>45</v>
      </c>
      <c r="F1271" s="7">
        <v>13</v>
      </c>
      <c r="G1271" s="7">
        <v>3939.89</v>
      </c>
      <c r="H1271" s="7">
        <v>0.05</v>
      </c>
      <c r="I1271" s="9" t="s">
        <v>31</v>
      </c>
      <c r="J1271" s="10">
        <v>598.24</v>
      </c>
      <c r="K1271" s="11">
        <v>291.73</v>
      </c>
      <c r="L1271" s="11">
        <v>48.8</v>
      </c>
      <c r="M1271" s="9" t="s">
        <v>880</v>
      </c>
      <c r="N1271" s="6" t="s">
        <v>974</v>
      </c>
      <c r="O1271" s="6" t="s">
        <v>512</v>
      </c>
      <c r="P1271" s="9" t="s">
        <v>33</v>
      </c>
      <c r="Q1271" s="9" t="s">
        <v>49</v>
      </c>
      <c r="R1271" s="9" t="s">
        <v>112</v>
      </c>
      <c r="S1271" s="7" t="s">
        <v>373</v>
      </c>
      <c r="T1271" s="9" t="s">
        <v>36</v>
      </c>
      <c r="U1271" s="7">
        <v>0.56000000000000005</v>
      </c>
      <c r="V1271" s="12">
        <f>C1271+2</f>
        <v>40095</v>
      </c>
      <c r="W1271">
        <f>IF(D1271=' Pivot Tables'!$A$4,1,0)</f>
        <v>0</v>
      </c>
      <c r="X1271">
        <f>IF(AND(LEFT(D1271,4)+1=LEFT(' Pivot Tables'!$A$4,4)+0,RIGHT(LEFT(D1271,7),2)=RIGHT(LEFT(' Pivot Tables'!$A$4,7),2)),1,0)</f>
        <v>0</v>
      </c>
      <c r="Y1271" s="6">
        <f>1/COUNTIF(Таблица1[Order ID],Таблица1[[#This Row],[Order ID]])</f>
        <v>0.33333333333333331</v>
      </c>
      <c r="Z1271" s="9">
        <f>1/COUNTIFS(Таблица1[Customer Name],Таблица1[[#This Row],[Customer Name]],Таблица1[Order-Year-Month],Таблица1[[#This Row],[Order-Year-Month]])</f>
        <v>0.33333333333333331</v>
      </c>
    </row>
    <row r="1272" spans="1:26" x14ac:dyDescent="0.2">
      <c r="A1272" s="6">
        <v>6678</v>
      </c>
      <c r="B1272" s="7">
        <v>47520</v>
      </c>
      <c r="C1272" s="8">
        <f>DATE(2012,12,31)-1181</f>
        <v>40093</v>
      </c>
      <c r="D1272" s="8" t="str">
        <f t="shared" si="25"/>
        <v>2009-10 (октябрь 2009)</v>
      </c>
      <c r="E1272" s="9" t="s">
        <v>45</v>
      </c>
      <c r="F1272" s="7">
        <v>47</v>
      </c>
      <c r="G1272" s="7">
        <v>925.3</v>
      </c>
      <c r="H1272" s="7">
        <v>0.04</v>
      </c>
      <c r="I1272" s="9" t="s">
        <v>22</v>
      </c>
      <c r="J1272" s="10">
        <v>257.31</v>
      </c>
      <c r="K1272" s="11">
        <v>19.98</v>
      </c>
      <c r="L1272" s="11">
        <v>5.77</v>
      </c>
      <c r="M1272" s="9" t="s">
        <v>880</v>
      </c>
      <c r="N1272" s="6" t="s">
        <v>974</v>
      </c>
      <c r="O1272" s="6" t="s">
        <v>512</v>
      </c>
      <c r="P1272" s="9" t="s">
        <v>33</v>
      </c>
      <c r="Q1272" s="9" t="s">
        <v>26</v>
      </c>
      <c r="R1272" s="9" t="s">
        <v>61</v>
      </c>
      <c r="S1272" s="7" t="s">
        <v>197</v>
      </c>
      <c r="T1272" s="9" t="s">
        <v>39</v>
      </c>
      <c r="U1272" s="7">
        <v>0.38</v>
      </c>
      <c r="V1272" s="12">
        <f>C1272+2</f>
        <v>40095</v>
      </c>
      <c r="W1272">
        <f>IF(D1272=' Pivot Tables'!$A$4,1,0)</f>
        <v>0</v>
      </c>
      <c r="X1272">
        <f>IF(AND(LEFT(D1272,4)+1=LEFT(' Pivot Tables'!$A$4,4)+0,RIGHT(LEFT(D1272,7),2)=RIGHT(LEFT(' Pivot Tables'!$A$4,7),2)),1,0)</f>
        <v>0</v>
      </c>
      <c r="Y1272" s="6">
        <f>1/COUNTIF(Таблица1[Order ID],Таблица1[[#This Row],[Order ID]])</f>
        <v>0.33333333333333331</v>
      </c>
      <c r="Z1272" s="9">
        <f>1/COUNTIFS(Таблица1[Customer Name],Таблица1[[#This Row],[Customer Name]],Таблица1[Order-Year-Month],Таблица1[[#This Row],[Order-Year-Month]])</f>
        <v>0.33333333333333331</v>
      </c>
    </row>
    <row r="1273" spans="1:26" x14ac:dyDescent="0.2">
      <c r="A1273" s="6">
        <v>6683</v>
      </c>
      <c r="B1273" s="7">
        <v>47527</v>
      </c>
      <c r="C1273" s="8">
        <f>DATE(2012,12,31)-836</f>
        <v>40438</v>
      </c>
      <c r="D1273" s="8" t="str">
        <f t="shared" si="25"/>
        <v>2010-09 (сентябрь 2010)</v>
      </c>
      <c r="E1273" s="9" t="s">
        <v>63</v>
      </c>
      <c r="F1273" s="7">
        <v>48</v>
      </c>
      <c r="G1273" s="7">
        <v>12072.9</v>
      </c>
      <c r="H1273" s="7">
        <v>0.04</v>
      </c>
      <c r="I1273" s="9" t="s">
        <v>31</v>
      </c>
      <c r="J1273" s="10">
        <v>3064.51</v>
      </c>
      <c r="K1273" s="11">
        <v>243.98</v>
      </c>
      <c r="L1273" s="11">
        <v>43.32</v>
      </c>
      <c r="M1273" s="9" t="s">
        <v>920</v>
      </c>
      <c r="N1273" s="6" t="s">
        <v>974</v>
      </c>
      <c r="O1273" s="6" t="s">
        <v>512</v>
      </c>
      <c r="P1273" s="9" t="s">
        <v>60</v>
      </c>
      <c r="Q1273" s="9" t="s">
        <v>49</v>
      </c>
      <c r="R1273" s="9" t="s">
        <v>112</v>
      </c>
      <c r="S1273" s="7" t="s">
        <v>237</v>
      </c>
      <c r="T1273" s="9" t="s">
        <v>36</v>
      </c>
      <c r="U1273" s="7">
        <v>0.55000000000000004</v>
      </c>
      <c r="V1273" s="12">
        <f>C1273+1</f>
        <v>40439</v>
      </c>
      <c r="W1273">
        <f>IF(D1273=' Pivot Tables'!$A$4,1,0)</f>
        <v>0</v>
      </c>
      <c r="X1273">
        <f>IF(AND(LEFT(D1273,4)+1=LEFT(' Pivot Tables'!$A$4,4)+0,RIGHT(LEFT(D1273,7),2)=RIGHT(LEFT(' Pivot Tables'!$A$4,7),2)),1,0)</f>
        <v>0</v>
      </c>
      <c r="Y1273" s="6">
        <f>1/COUNTIF(Таблица1[Order ID],Таблица1[[#This Row],[Order ID]])</f>
        <v>1</v>
      </c>
      <c r="Z1273" s="9">
        <f>1/COUNTIFS(Таблица1[Customer Name],Таблица1[[#This Row],[Customer Name]],Таблица1[Order-Year-Month],Таблица1[[#This Row],[Order-Year-Month]])</f>
        <v>1</v>
      </c>
    </row>
    <row r="1274" spans="1:26" x14ac:dyDescent="0.2">
      <c r="A1274" s="6">
        <v>6699</v>
      </c>
      <c r="B1274" s="7">
        <v>47713</v>
      </c>
      <c r="C1274" s="8">
        <f>DATE(2012,12,31)-1277</f>
        <v>39997</v>
      </c>
      <c r="D1274" s="8" t="str">
        <f t="shared" si="25"/>
        <v>2009-07 (июль 2009)</v>
      </c>
      <c r="E1274" s="9" t="s">
        <v>30</v>
      </c>
      <c r="F1274" s="7">
        <v>34</v>
      </c>
      <c r="G1274" s="7">
        <v>3419.1505000000002</v>
      </c>
      <c r="H1274" s="7">
        <v>0</v>
      </c>
      <c r="I1274" s="9" t="s">
        <v>22</v>
      </c>
      <c r="J1274" s="10">
        <v>858.58199999999999</v>
      </c>
      <c r="K1274" s="11">
        <v>115.99</v>
      </c>
      <c r="L1274" s="11">
        <v>5.92</v>
      </c>
      <c r="M1274" s="9" t="s">
        <v>879</v>
      </c>
      <c r="N1274" s="6" t="s">
        <v>974</v>
      </c>
      <c r="O1274" s="6" t="s">
        <v>512</v>
      </c>
      <c r="P1274" s="9" t="s">
        <v>60</v>
      </c>
      <c r="Q1274" s="9" t="s">
        <v>42</v>
      </c>
      <c r="R1274" s="9" t="s">
        <v>43</v>
      </c>
      <c r="S1274" s="7" t="s">
        <v>977</v>
      </c>
      <c r="T1274" s="9" t="s">
        <v>39</v>
      </c>
      <c r="U1274" s="7">
        <v>0.57999999999999996</v>
      </c>
      <c r="V1274" s="12">
        <f>C1274+0</f>
        <v>39997</v>
      </c>
      <c r="W1274">
        <f>IF(D1274=' Pivot Tables'!$A$4,1,0)</f>
        <v>0</v>
      </c>
      <c r="X1274">
        <f>IF(AND(LEFT(D1274,4)+1=LEFT(' Pivot Tables'!$A$4,4)+0,RIGHT(LEFT(D1274,7),2)=RIGHT(LEFT(' Pivot Tables'!$A$4,7),2)),1,0)</f>
        <v>0</v>
      </c>
      <c r="Y1274" s="6">
        <f>1/COUNTIF(Таблица1[Order ID],Таблица1[[#This Row],[Order ID]])</f>
        <v>1</v>
      </c>
      <c r="Z1274" s="9">
        <f>1/COUNTIFS(Таблица1[Customer Name],Таблица1[[#This Row],[Customer Name]],Таблица1[Order-Year-Month],Таблица1[[#This Row],[Order-Year-Month]])</f>
        <v>1</v>
      </c>
    </row>
    <row r="1275" spans="1:26" x14ac:dyDescent="0.2">
      <c r="A1275" s="6">
        <v>6707</v>
      </c>
      <c r="B1275" s="7">
        <v>47750</v>
      </c>
      <c r="C1275" s="8">
        <f>DATE(2012,12,31)-930</f>
        <v>40344</v>
      </c>
      <c r="D1275" s="8" t="str">
        <f t="shared" si="25"/>
        <v>2010-06 (июнь 2010)</v>
      </c>
      <c r="E1275" s="9" t="s">
        <v>21</v>
      </c>
      <c r="F1275" s="7">
        <v>1</v>
      </c>
      <c r="G1275" s="7">
        <v>195.04</v>
      </c>
      <c r="H1275" s="7">
        <v>0.08</v>
      </c>
      <c r="I1275" s="9" t="s">
        <v>22</v>
      </c>
      <c r="J1275" s="10">
        <v>-149.41</v>
      </c>
      <c r="K1275" s="11">
        <v>167.27</v>
      </c>
      <c r="L1275" s="11">
        <v>35</v>
      </c>
      <c r="M1275" s="9" t="s">
        <v>734</v>
      </c>
      <c r="N1275" s="6" t="s">
        <v>974</v>
      </c>
      <c r="O1275" s="6" t="s">
        <v>512</v>
      </c>
      <c r="P1275" s="9" t="s">
        <v>41</v>
      </c>
      <c r="Q1275" s="9" t="s">
        <v>26</v>
      </c>
      <c r="R1275" s="9" t="s">
        <v>27</v>
      </c>
      <c r="S1275" s="7" t="s">
        <v>978</v>
      </c>
      <c r="T1275" s="9" t="s">
        <v>29</v>
      </c>
      <c r="U1275" s="7">
        <v>0.85</v>
      </c>
      <c r="V1275" s="12">
        <f>C1275+0</f>
        <v>40344</v>
      </c>
      <c r="W1275">
        <f>IF(D1275=' Pivot Tables'!$A$4,1,0)</f>
        <v>0</v>
      </c>
      <c r="X1275">
        <f>IF(AND(LEFT(D1275,4)+1=LEFT(' Pivot Tables'!$A$4,4)+0,RIGHT(LEFT(D1275,7),2)=RIGHT(LEFT(' Pivot Tables'!$A$4,7),2)),1,0)</f>
        <v>0</v>
      </c>
      <c r="Y1275" s="6">
        <f>1/COUNTIF(Таблица1[Order ID],Таблица1[[#This Row],[Order ID]])</f>
        <v>0.33333333333333331</v>
      </c>
      <c r="Z1275" s="9">
        <f>1/COUNTIFS(Таблица1[Customer Name],Таблица1[[#This Row],[Customer Name]],Таблица1[Order-Year-Month],Таблица1[[#This Row],[Order-Year-Month]])</f>
        <v>0.33333333333333331</v>
      </c>
    </row>
    <row r="1276" spans="1:26" x14ac:dyDescent="0.2">
      <c r="A1276" s="6">
        <v>6797</v>
      </c>
      <c r="B1276" s="7">
        <v>48452</v>
      </c>
      <c r="C1276" s="8">
        <f>DATE(2012,12,31)-814</f>
        <v>40460</v>
      </c>
      <c r="D1276" s="8" t="str">
        <f t="shared" si="25"/>
        <v>2010-10 (октябрь 2010)</v>
      </c>
      <c r="E1276" s="9" t="s">
        <v>30</v>
      </c>
      <c r="F1276" s="7">
        <v>32</v>
      </c>
      <c r="G1276" s="7">
        <v>1859.01</v>
      </c>
      <c r="H1276" s="7">
        <v>0.09</v>
      </c>
      <c r="I1276" s="9" t="s">
        <v>31</v>
      </c>
      <c r="J1276" s="10">
        <v>-588.9</v>
      </c>
      <c r="K1276" s="11">
        <v>60.98</v>
      </c>
      <c r="L1276" s="11">
        <v>30</v>
      </c>
      <c r="M1276" s="9" t="s">
        <v>866</v>
      </c>
      <c r="N1276" s="6" t="s">
        <v>974</v>
      </c>
      <c r="O1276" s="6" t="s">
        <v>512</v>
      </c>
      <c r="P1276" s="9" t="s">
        <v>41</v>
      </c>
      <c r="Q1276" s="9" t="s">
        <v>49</v>
      </c>
      <c r="R1276" s="9" t="s">
        <v>112</v>
      </c>
      <c r="S1276" s="7" t="s">
        <v>979</v>
      </c>
      <c r="T1276" s="9" t="s">
        <v>36</v>
      </c>
      <c r="U1276" s="7">
        <v>0.7</v>
      </c>
      <c r="V1276" s="12">
        <f>C1276+2</f>
        <v>40462</v>
      </c>
      <c r="W1276">
        <f>IF(D1276=' Pivot Tables'!$A$4,1,0)</f>
        <v>0</v>
      </c>
      <c r="X1276">
        <f>IF(AND(LEFT(D1276,4)+1=LEFT(' Pivot Tables'!$A$4,4)+0,RIGHT(LEFT(D1276,7),2)=RIGHT(LEFT(' Pivot Tables'!$A$4,7),2)),1,0)</f>
        <v>0</v>
      </c>
      <c r="Y1276" s="6">
        <f>1/COUNTIF(Таблица1[Order ID],Таблица1[[#This Row],[Order ID]])</f>
        <v>0.2</v>
      </c>
      <c r="Z1276" s="9">
        <f>1/COUNTIFS(Таблица1[Customer Name],Таблица1[[#This Row],[Customer Name]],Таблица1[Order-Year-Month],Таблица1[[#This Row],[Order-Year-Month]])</f>
        <v>0.2</v>
      </c>
    </row>
    <row r="1277" spans="1:26" x14ac:dyDescent="0.2">
      <c r="A1277" s="6">
        <v>6798</v>
      </c>
      <c r="B1277" s="7">
        <v>48452</v>
      </c>
      <c r="C1277" s="8">
        <f>DATE(2012,12,31)-814</f>
        <v>40460</v>
      </c>
      <c r="D1277" s="8" t="str">
        <f t="shared" si="25"/>
        <v>2010-10 (октябрь 2010)</v>
      </c>
      <c r="E1277" s="9" t="s">
        <v>30</v>
      </c>
      <c r="F1277" s="7">
        <v>19</v>
      </c>
      <c r="G1277" s="7">
        <v>1781.11</v>
      </c>
      <c r="H1277" s="7">
        <v>0.1</v>
      </c>
      <c r="I1277" s="9" t="s">
        <v>22</v>
      </c>
      <c r="J1277" s="10">
        <v>51.44</v>
      </c>
      <c r="K1277" s="11">
        <v>99.99</v>
      </c>
      <c r="L1277" s="11">
        <v>19.989999999999998</v>
      </c>
      <c r="M1277" s="9" t="s">
        <v>866</v>
      </c>
      <c r="N1277" s="6" t="s">
        <v>974</v>
      </c>
      <c r="O1277" s="6" t="s">
        <v>512</v>
      </c>
      <c r="P1277" s="9" t="s">
        <v>41</v>
      </c>
      <c r="Q1277" s="9" t="s">
        <v>42</v>
      </c>
      <c r="R1277" s="9" t="s">
        <v>70</v>
      </c>
      <c r="S1277" s="7" t="s">
        <v>306</v>
      </c>
      <c r="T1277" s="9" t="s">
        <v>39</v>
      </c>
      <c r="U1277" s="7">
        <v>0.5</v>
      </c>
      <c r="V1277" s="12">
        <f>C1277+0</f>
        <v>40460</v>
      </c>
      <c r="W1277">
        <f>IF(D1277=' Pivot Tables'!$A$4,1,0)</f>
        <v>0</v>
      </c>
      <c r="X1277">
        <f>IF(AND(LEFT(D1277,4)+1=LEFT(' Pivot Tables'!$A$4,4)+0,RIGHT(LEFT(D1277,7),2)=RIGHT(LEFT(' Pivot Tables'!$A$4,7),2)),1,0)</f>
        <v>0</v>
      </c>
      <c r="Y1277" s="6">
        <f>1/COUNTIF(Таблица1[Order ID],Таблица1[[#This Row],[Order ID]])</f>
        <v>0.2</v>
      </c>
      <c r="Z1277" s="9">
        <f>1/COUNTIFS(Таблица1[Customer Name],Таблица1[[#This Row],[Customer Name]],Таблица1[Order-Year-Month],Таблица1[[#This Row],[Order-Year-Month]])</f>
        <v>0.2</v>
      </c>
    </row>
    <row r="1278" spans="1:26" x14ac:dyDescent="0.2">
      <c r="A1278" s="6">
        <v>6799</v>
      </c>
      <c r="B1278" s="7">
        <v>48452</v>
      </c>
      <c r="C1278" s="8">
        <f>DATE(2012,12,31)-814</f>
        <v>40460</v>
      </c>
      <c r="D1278" s="8" t="str">
        <f t="shared" si="25"/>
        <v>2010-10 (октябрь 2010)</v>
      </c>
      <c r="E1278" s="9" t="s">
        <v>30</v>
      </c>
      <c r="F1278" s="7">
        <v>44</v>
      </c>
      <c r="G1278" s="7">
        <v>185.32</v>
      </c>
      <c r="H1278" s="7">
        <v>0.03</v>
      </c>
      <c r="I1278" s="9" t="s">
        <v>22</v>
      </c>
      <c r="J1278" s="10">
        <v>-192.56</v>
      </c>
      <c r="K1278" s="11">
        <v>4.18</v>
      </c>
      <c r="L1278" s="11">
        <v>6.92</v>
      </c>
      <c r="M1278" s="9" t="s">
        <v>866</v>
      </c>
      <c r="N1278" s="6" t="s">
        <v>974</v>
      </c>
      <c r="O1278" s="6" t="s">
        <v>512</v>
      </c>
      <c r="P1278" s="9" t="s">
        <v>41</v>
      </c>
      <c r="Q1278" s="9" t="s">
        <v>49</v>
      </c>
      <c r="R1278" s="9" t="s">
        <v>50</v>
      </c>
      <c r="S1278" s="7" t="s">
        <v>980</v>
      </c>
      <c r="T1278" s="9" t="s">
        <v>39</v>
      </c>
      <c r="U1278" s="7">
        <v>0.49</v>
      </c>
      <c r="V1278" s="12">
        <f>C1278+1</f>
        <v>40461</v>
      </c>
      <c r="W1278">
        <f>IF(D1278=' Pivot Tables'!$A$4,1,0)</f>
        <v>0</v>
      </c>
      <c r="X1278">
        <f>IF(AND(LEFT(D1278,4)+1=LEFT(' Pivot Tables'!$A$4,4)+0,RIGHT(LEFT(D1278,7),2)=RIGHT(LEFT(' Pivot Tables'!$A$4,7),2)),1,0)</f>
        <v>0</v>
      </c>
      <c r="Y1278" s="6">
        <f>1/COUNTIF(Таблица1[Order ID],Таблица1[[#This Row],[Order ID]])</f>
        <v>0.2</v>
      </c>
      <c r="Z1278" s="9">
        <f>1/COUNTIFS(Таблица1[Customer Name],Таблица1[[#This Row],[Customer Name]],Таблица1[Order-Year-Month],Таблица1[[#This Row],[Order-Year-Month]])</f>
        <v>0.2</v>
      </c>
    </row>
    <row r="1279" spans="1:26" x14ac:dyDescent="0.2">
      <c r="A1279" s="6">
        <v>6800</v>
      </c>
      <c r="B1279" s="7">
        <v>48452</v>
      </c>
      <c r="C1279" s="8">
        <f>DATE(2012,12,31)-814</f>
        <v>40460</v>
      </c>
      <c r="D1279" s="8" t="str">
        <f t="shared" si="25"/>
        <v>2010-10 (октябрь 2010)</v>
      </c>
      <c r="E1279" s="9" t="s">
        <v>30</v>
      </c>
      <c r="F1279" s="7">
        <v>15</v>
      </c>
      <c r="G1279" s="7">
        <v>73.41</v>
      </c>
      <c r="H1279" s="7">
        <v>0.08</v>
      </c>
      <c r="I1279" s="9" t="s">
        <v>22</v>
      </c>
      <c r="J1279" s="10">
        <v>-44.792499999999997</v>
      </c>
      <c r="K1279" s="11">
        <v>4.91</v>
      </c>
      <c r="L1279" s="11">
        <v>4.97</v>
      </c>
      <c r="M1279" s="9" t="s">
        <v>866</v>
      </c>
      <c r="N1279" s="6" t="s">
        <v>974</v>
      </c>
      <c r="O1279" s="6" t="s">
        <v>512</v>
      </c>
      <c r="P1279" s="9" t="s">
        <v>41</v>
      </c>
      <c r="Q1279" s="9" t="s">
        <v>26</v>
      </c>
      <c r="R1279" s="9" t="s">
        <v>37</v>
      </c>
      <c r="S1279" s="7" t="s">
        <v>626</v>
      </c>
      <c r="T1279" s="9" t="s">
        <v>39</v>
      </c>
      <c r="U1279" s="7">
        <v>0.38</v>
      </c>
      <c r="V1279" s="12">
        <f>C1279+2</f>
        <v>40462</v>
      </c>
      <c r="W1279">
        <f>IF(D1279=' Pivot Tables'!$A$4,1,0)</f>
        <v>0</v>
      </c>
      <c r="X1279">
        <f>IF(AND(LEFT(D1279,4)+1=LEFT(' Pivot Tables'!$A$4,4)+0,RIGHT(LEFT(D1279,7),2)=RIGHT(LEFT(' Pivot Tables'!$A$4,7),2)),1,0)</f>
        <v>0</v>
      </c>
      <c r="Y1279" s="6">
        <f>1/COUNTIF(Таблица1[Order ID],Таблица1[[#This Row],[Order ID]])</f>
        <v>0.2</v>
      </c>
      <c r="Z1279" s="9">
        <f>1/COUNTIFS(Таблица1[Customer Name],Таблица1[[#This Row],[Customer Name]],Таблица1[Order-Year-Month],Таблица1[[#This Row],[Order-Year-Month]])</f>
        <v>0.2</v>
      </c>
    </row>
    <row r="1280" spans="1:26" x14ac:dyDescent="0.2">
      <c r="A1280" s="6">
        <v>6801</v>
      </c>
      <c r="B1280" s="7">
        <v>48452</v>
      </c>
      <c r="C1280" s="8">
        <f>DATE(2012,12,31)-814</f>
        <v>40460</v>
      </c>
      <c r="D1280" s="8" t="str">
        <f t="shared" si="25"/>
        <v>2010-10 (октябрь 2010)</v>
      </c>
      <c r="E1280" s="9" t="s">
        <v>30</v>
      </c>
      <c r="F1280" s="7">
        <v>28</v>
      </c>
      <c r="G1280" s="7">
        <v>43.66</v>
      </c>
      <c r="H1280" s="7">
        <v>0.04</v>
      </c>
      <c r="I1280" s="9" t="s">
        <v>22</v>
      </c>
      <c r="J1280" s="10">
        <v>5.77</v>
      </c>
      <c r="K1280" s="11">
        <v>1.48</v>
      </c>
      <c r="L1280" s="11">
        <v>0.7</v>
      </c>
      <c r="M1280" s="9" t="s">
        <v>866</v>
      </c>
      <c r="N1280" s="6" t="s">
        <v>974</v>
      </c>
      <c r="O1280" s="6" t="s">
        <v>512</v>
      </c>
      <c r="P1280" s="9" t="s">
        <v>41</v>
      </c>
      <c r="Q1280" s="9" t="s">
        <v>26</v>
      </c>
      <c r="R1280" s="9" t="s">
        <v>66</v>
      </c>
      <c r="S1280" s="7" t="s">
        <v>623</v>
      </c>
      <c r="T1280" s="9" t="s">
        <v>68</v>
      </c>
      <c r="U1280" s="7">
        <v>0.37</v>
      </c>
      <c r="V1280" s="12">
        <f>C1280+2</f>
        <v>40462</v>
      </c>
      <c r="W1280">
        <f>IF(D1280=' Pivot Tables'!$A$4,1,0)</f>
        <v>0</v>
      </c>
      <c r="X1280">
        <f>IF(AND(LEFT(D1280,4)+1=LEFT(' Pivot Tables'!$A$4,4)+0,RIGHT(LEFT(D1280,7),2)=RIGHT(LEFT(' Pivot Tables'!$A$4,7),2)),1,0)</f>
        <v>0</v>
      </c>
      <c r="Y1280" s="6">
        <f>1/COUNTIF(Таблица1[Order ID],Таблица1[[#This Row],[Order ID]])</f>
        <v>0.2</v>
      </c>
      <c r="Z1280" s="9">
        <f>1/COUNTIFS(Таблица1[Customer Name],Таблица1[[#This Row],[Customer Name]],Таблица1[Order-Year-Month],Таблица1[[#This Row],[Order-Year-Month]])</f>
        <v>0.2</v>
      </c>
    </row>
    <row r="1281" spans="1:26" x14ac:dyDescent="0.2">
      <c r="A1281" s="6">
        <v>6885</v>
      </c>
      <c r="B1281" s="7">
        <v>49088</v>
      </c>
      <c r="C1281" s="8">
        <f>DATE(2012,12,31)-1195</f>
        <v>40079</v>
      </c>
      <c r="D1281" s="8" t="str">
        <f t="shared" si="25"/>
        <v>2009-09 (сентябрь 2009)</v>
      </c>
      <c r="E1281" s="9" t="s">
        <v>78</v>
      </c>
      <c r="F1281" s="7">
        <v>16</v>
      </c>
      <c r="G1281" s="7">
        <v>130.11000000000001</v>
      </c>
      <c r="H1281" s="7">
        <v>0.03</v>
      </c>
      <c r="I1281" s="9" t="s">
        <v>22</v>
      </c>
      <c r="J1281" s="10">
        <v>-47.69</v>
      </c>
      <c r="K1281" s="11">
        <v>8.1199999999999992</v>
      </c>
      <c r="L1281" s="11">
        <v>2.83</v>
      </c>
      <c r="M1281" s="9" t="s">
        <v>890</v>
      </c>
      <c r="N1281" s="6" t="s">
        <v>974</v>
      </c>
      <c r="O1281" s="6" t="s">
        <v>512</v>
      </c>
      <c r="P1281" s="9" t="s">
        <v>33</v>
      </c>
      <c r="Q1281" s="9" t="s">
        <v>42</v>
      </c>
      <c r="R1281" s="9" t="s">
        <v>70</v>
      </c>
      <c r="S1281" s="7" t="s">
        <v>630</v>
      </c>
      <c r="T1281" s="9" t="s">
        <v>52</v>
      </c>
      <c r="U1281" s="7">
        <v>0.77</v>
      </c>
      <c r="V1281" s="12">
        <f>C1281+1</f>
        <v>40080</v>
      </c>
      <c r="W1281">
        <f>IF(D1281=' Pivot Tables'!$A$4,1,0)</f>
        <v>0</v>
      </c>
      <c r="X1281">
        <f>IF(AND(LEFT(D1281,4)+1=LEFT(' Pivot Tables'!$A$4,4)+0,RIGHT(LEFT(D1281,7),2)=RIGHT(LEFT(' Pivot Tables'!$A$4,7),2)),1,0)</f>
        <v>0</v>
      </c>
      <c r="Y1281" s="6">
        <f>1/COUNTIF(Таблица1[Order ID],Таблица1[[#This Row],[Order ID]])</f>
        <v>0.33333333333333331</v>
      </c>
      <c r="Z1281" s="9">
        <f>1/COUNTIFS(Таблица1[Customer Name],Таблица1[[#This Row],[Customer Name]],Таблица1[Order-Year-Month],Таблица1[[#This Row],[Order-Year-Month]])</f>
        <v>0.33333333333333331</v>
      </c>
    </row>
    <row r="1282" spans="1:26" x14ac:dyDescent="0.2">
      <c r="A1282" s="6">
        <v>6886</v>
      </c>
      <c r="B1282" s="7">
        <v>49088</v>
      </c>
      <c r="C1282" s="8">
        <f>DATE(2012,12,31)-1195</f>
        <v>40079</v>
      </c>
      <c r="D1282" s="8" t="str">
        <f t="shared" si="25"/>
        <v>2009-09 (сентябрь 2009)</v>
      </c>
      <c r="E1282" s="9" t="s">
        <v>78</v>
      </c>
      <c r="F1282" s="7">
        <v>15</v>
      </c>
      <c r="G1282" s="7">
        <v>4012.58</v>
      </c>
      <c r="H1282" s="7">
        <v>0.05</v>
      </c>
      <c r="I1282" s="9" t="s">
        <v>56</v>
      </c>
      <c r="J1282" s="10">
        <v>-425.14</v>
      </c>
      <c r="K1282" s="11">
        <v>279.48</v>
      </c>
      <c r="L1282" s="11">
        <v>35</v>
      </c>
      <c r="M1282" s="9" t="s">
        <v>890</v>
      </c>
      <c r="N1282" s="6" t="s">
        <v>974</v>
      </c>
      <c r="O1282" s="6" t="s">
        <v>512</v>
      </c>
      <c r="P1282" s="9" t="s">
        <v>33</v>
      </c>
      <c r="Q1282" s="9" t="s">
        <v>26</v>
      </c>
      <c r="R1282" s="9" t="s">
        <v>27</v>
      </c>
      <c r="S1282" s="7" t="s">
        <v>180</v>
      </c>
      <c r="T1282" s="9" t="s">
        <v>29</v>
      </c>
      <c r="U1282" s="7">
        <v>0.8</v>
      </c>
      <c r="V1282" s="12">
        <f>C1282+1</f>
        <v>40080</v>
      </c>
      <c r="W1282">
        <f>IF(D1282=' Pivot Tables'!$A$4,1,0)</f>
        <v>0</v>
      </c>
      <c r="X1282">
        <f>IF(AND(LEFT(D1282,4)+1=LEFT(' Pivot Tables'!$A$4,4)+0,RIGHT(LEFT(D1282,7),2)=RIGHT(LEFT(' Pivot Tables'!$A$4,7),2)),1,0)</f>
        <v>0</v>
      </c>
      <c r="Y1282" s="6">
        <f>1/COUNTIF(Таблица1[Order ID],Таблица1[[#This Row],[Order ID]])</f>
        <v>0.33333333333333331</v>
      </c>
      <c r="Z1282" s="9">
        <f>1/COUNTIFS(Таблица1[Customer Name],Таблица1[[#This Row],[Customer Name]],Таблица1[Order-Year-Month],Таблица1[[#This Row],[Order-Year-Month]])</f>
        <v>0.33333333333333331</v>
      </c>
    </row>
    <row r="1283" spans="1:26" x14ac:dyDescent="0.2">
      <c r="A1283" s="6">
        <v>6887</v>
      </c>
      <c r="B1283" s="7">
        <v>49088</v>
      </c>
      <c r="C1283" s="8">
        <f>DATE(2012,12,31)-1195</f>
        <v>40079</v>
      </c>
      <c r="D1283" s="8" t="str">
        <f t="shared" ref="D1283:D1346" si="27">TEXT(C1283,"гггг-ММ (ММММ гггг)")</f>
        <v>2009-09 (сентябрь 2009)</v>
      </c>
      <c r="E1283" s="9" t="s">
        <v>78</v>
      </c>
      <c r="F1283" s="7">
        <v>31</v>
      </c>
      <c r="G1283" s="7">
        <v>1295.54</v>
      </c>
      <c r="H1283" s="7">
        <v>0.06</v>
      </c>
      <c r="I1283" s="9" t="s">
        <v>22</v>
      </c>
      <c r="J1283" s="10">
        <v>214.23</v>
      </c>
      <c r="K1283" s="11">
        <v>40.99</v>
      </c>
      <c r="L1283" s="11">
        <v>17.48</v>
      </c>
      <c r="M1283" s="9" t="s">
        <v>890</v>
      </c>
      <c r="N1283" s="6" t="s">
        <v>974</v>
      </c>
      <c r="O1283" s="6" t="s">
        <v>512</v>
      </c>
      <c r="P1283" s="9" t="s">
        <v>33</v>
      </c>
      <c r="Q1283" s="9" t="s">
        <v>26</v>
      </c>
      <c r="R1283" s="9" t="s">
        <v>61</v>
      </c>
      <c r="S1283" s="7" t="s">
        <v>236</v>
      </c>
      <c r="T1283" s="9" t="s">
        <v>39</v>
      </c>
      <c r="U1283" s="7">
        <v>0.36</v>
      </c>
      <c r="V1283" s="12">
        <f>C1283+2</f>
        <v>40081</v>
      </c>
      <c r="W1283">
        <f>IF(D1283=' Pivot Tables'!$A$4,1,0)</f>
        <v>0</v>
      </c>
      <c r="X1283">
        <f>IF(AND(LEFT(D1283,4)+1=LEFT(' Pivot Tables'!$A$4,4)+0,RIGHT(LEFT(D1283,7),2)=RIGHT(LEFT(' Pivot Tables'!$A$4,7),2)),1,0)</f>
        <v>0</v>
      </c>
      <c r="Y1283" s="6">
        <f>1/COUNTIF(Таблица1[Order ID],Таблица1[[#This Row],[Order ID]])</f>
        <v>0.33333333333333331</v>
      </c>
      <c r="Z1283" s="9">
        <f>1/COUNTIFS(Таблица1[Customer Name],Таблица1[[#This Row],[Customer Name]],Таблица1[Order-Year-Month],Таблица1[[#This Row],[Order-Year-Month]])</f>
        <v>0.33333333333333331</v>
      </c>
    </row>
    <row r="1284" spans="1:26" x14ac:dyDescent="0.2">
      <c r="A1284" s="6">
        <v>6906</v>
      </c>
      <c r="B1284" s="7">
        <v>49223</v>
      </c>
      <c r="C1284" s="8">
        <f>DATE(2012,12,31)-456</f>
        <v>40818</v>
      </c>
      <c r="D1284" s="8" t="str">
        <f t="shared" si="27"/>
        <v>2011-10 (октябрь 2011)</v>
      </c>
      <c r="E1284" s="9" t="s">
        <v>63</v>
      </c>
      <c r="F1284" s="7">
        <v>24</v>
      </c>
      <c r="G1284" s="7">
        <v>238.25</v>
      </c>
      <c r="H1284" s="7">
        <v>0.05</v>
      </c>
      <c r="I1284" s="9" t="s">
        <v>22</v>
      </c>
      <c r="J1284" s="10">
        <v>-83.55</v>
      </c>
      <c r="K1284" s="11">
        <v>9.3800000000000008</v>
      </c>
      <c r="L1284" s="11">
        <v>7.28</v>
      </c>
      <c r="M1284" s="9" t="s">
        <v>965</v>
      </c>
      <c r="N1284" s="6" t="s">
        <v>974</v>
      </c>
      <c r="O1284" s="6" t="s">
        <v>512</v>
      </c>
      <c r="P1284" s="9" t="s">
        <v>41</v>
      </c>
      <c r="Q1284" s="9" t="s">
        <v>26</v>
      </c>
      <c r="R1284" s="9" t="s">
        <v>27</v>
      </c>
      <c r="S1284" s="7" t="s">
        <v>981</v>
      </c>
      <c r="T1284" s="9" t="s">
        <v>39</v>
      </c>
      <c r="U1284" s="7">
        <v>0.56999999999999995</v>
      </c>
      <c r="V1284" s="12">
        <f>C1284+0</f>
        <v>40818</v>
      </c>
      <c r="W1284">
        <f>IF(D1284=' Pivot Tables'!$A$4,1,0)</f>
        <v>0</v>
      </c>
      <c r="X1284">
        <f>IF(AND(LEFT(D1284,4)+1=LEFT(' Pivot Tables'!$A$4,4)+0,RIGHT(LEFT(D1284,7),2)=RIGHT(LEFT(' Pivot Tables'!$A$4,7),2)),1,0)</f>
        <v>0</v>
      </c>
      <c r="Y1284" s="6">
        <f>1/COUNTIF(Таблица1[Order ID],Таблица1[[#This Row],[Order ID]])</f>
        <v>1</v>
      </c>
      <c r="Z1284" s="9">
        <f>1/COUNTIFS(Таблица1[Customer Name],Таблица1[[#This Row],[Customer Name]],Таблица1[Order-Year-Month],Таблица1[[#This Row],[Order-Year-Month]])</f>
        <v>1</v>
      </c>
    </row>
    <row r="1285" spans="1:26" x14ac:dyDescent="0.2">
      <c r="A1285" s="6">
        <v>6947</v>
      </c>
      <c r="B1285" s="7">
        <v>49634</v>
      </c>
      <c r="C1285" s="8">
        <f>DATE(2012,12,31)-283</f>
        <v>40991</v>
      </c>
      <c r="D1285" s="8" t="str">
        <f t="shared" si="27"/>
        <v>2012-03 (март 2012)</v>
      </c>
      <c r="E1285" s="9" t="s">
        <v>45</v>
      </c>
      <c r="F1285" s="7">
        <v>39</v>
      </c>
      <c r="G1285" s="7">
        <v>403.73</v>
      </c>
      <c r="H1285" s="7">
        <v>0.06</v>
      </c>
      <c r="I1285" s="9" t="s">
        <v>22</v>
      </c>
      <c r="J1285" s="10">
        <v>-44.13</v>
      </c>
      <c r="K1285" s="11">
        <v>10.89</v>
      </c>
      <c r="L1285" s="11">
        <v>4.5</v>
      </c>
      <c r="M1285" s="9" t="s">
        <v>734</v>
      </c>
      <c r="N1285" s="6" t="s">
        <v>974</v>
      </c>
      <c r="O1285" s="6" t="s">
        <v>512</v>
      </c>
      <c r="P1285" s="9" t="s">
        <v>33</v>
      </c>
      <c r="Q1285" s="9" t="s">
        <v>26</v>
      </c>
      <c r="R1285" s="9" t="s">
        <v>34</v>
      </c>
      <c r="S1285" s="7" t="s">
        <v>345</v>
      </c>
      <c r="T1285" s="9" t="s">
        <v>39</v>
      </c>
      <c r="U1285" s="7">
        <v>0.59</v>
      </c>
      <c r="V1285" s="12">
        <f>C1285+1</f>
        <v>40992</v>
      </c>
      <c r="W1285">
        <f>IF(D1285=' Pivot Tables'!$A$4,1,0)</f>
        <v>0</v>
      </c>
      <c r="X1285">
        <f>IF(AND(LEFT(D1285,4)+1=LEFT(' Pivot Tables'!$A$4,4)+0,RIGHT(LEFT(D1285,7),2)=RIGHT(LEFT(' Pivot Tables'!$A$4,7),2)),1,0)</f>
        <v>0</v>
      </c>
      <c r="Y1285" s="6">
        <f>1/COUNTIF(Таблица1[Order ID],Таблица1[[#This Row],[Order ID]])</f>
        <v>0.33333333333333331</v>
      </c>
      <c r="Z1285" s="9">
        <f>1/COUNTIFS(Таблица1[Customer Name],Таблица1[[#This Row],[Customer Name]],Таблица1[Order-Year-Month],Таблица1[[#This Row],[Order-Year-Month]])</f>
        <v>0.33333333333333331</v>
      </c>
    </row>
    <row r="1286" spans="1:26" x14ac:dyDescent="0.2">
      <c r="A1286" s="6">
        <v>6948</v>
      </c>
      <c r="B1286" s="7">
        <v>49634</v>
      </c>
      <c r="C1286" s="8">
        <f>DATE(2012,12,31)-283</f>
        <v>40991</v>
      </c>
      <c r="D1286" s="8" t="str">
        <f t="shared" si="27"/>
        <v>2012-03 (март 2012)</v>
      </c>
      <c r="E1286" s="9" t="s">
        <v>45</v>
      </c>
      <c r="F1286" s="7">
        <v>3</v>
      </c>
      <c r="G1286" s="7">
        <v>86.85</v>
      </c>
      <c r="H1286" s="7">
        <v>0.05</v>
      </c>
      <c r="I1286" s="9" t="s">
        <v>22</v>
      </c>
      <c r="J1286" s="10">
        <v>-67.22</v>
      </c>
      <c r="K1286" s="11">
        <v>28.48</v>
      </c>
      <c r="L1286" s="11">
        <v>1.99</v>
      </c>
      <c r="M1286" s="9" t="s">
        <v>734</v>
      </c>
      <c r="N1286" s="6" t="s">
        <v>974</v>
      </c>
      <c r="O1286" s="6" t="s">
        <v>512</v>
      </c>
      <c r="P1286" s="9" t="s">
        <v>33</v>
      </c>
      <c r="Q1286" s="9" t="s">
        <v>42</v>
      </c>
      <c r="R1286" s="9" t="s">
        <v>70</v>
      </c>
      <c r="S1286" s="7" t="s">
        <v>523</v>
      </c>
      <c r="T1286" s="9" t="s">
        <v>52</v>
      </c>
      <c r="U1286" s="7">
        <v>0.4</v>
      </c>
      <c r="V1286" s="12">
        <f>C1286+2</f>
        <v>40993</v>
      </c>
      <c r="W1286">
        <f>IF(D1286=' Pivot Tables'!$A$4,1,0)</f>
        <v>0</v>
      </c>
      <c r="X1286">
        <f>IF(AND(LEFT(D1286,4)+1=LEFT(' Pivot Tables'!$A$4,4)+0,RIGHT(LEFT(D1286,7),2)=RIGHT(LEFT(' Pivot Tables'!$A$4,7),2)),1,0)</f>
        <v>0</v>
      </c>
      <c r="Y1286" s="6">
        <f>1/COUNTIF(Таблица1[Order ID],Таблица1[[#This Row],[Order ID]])</f>
        <v>0.33333333333333331</v>
      </c>
      <c r="Z1286" s="9">
        <f>1/COUNTIFS(Таблица1[Customer Name],Таблица1[[#This Row],[Customer Name]],Таблица1[Order-Year-Month],Таблица1[[#This Row],[Order-Year-Month]])</f>
        <v>0.33333333333333331</v>
      </c>
    </row>
    <row r="1287" spans="1:26" x14ac:dyDescent="0.2">
      <c r="A1287" s="6">
        <v>6999</v>
      </c>
      <c r="B1287" s="7">
        <v>49987</v>
      </c>
      <c r="C1287" s="8">
        <f>DATE(2012,12,31)-712</f>
        <v>40562</v>
      </c>
      <c r="D1287" s="8" t="str">
        <f t="shared" si="27"/>
        <v>2011-01 (январь 2011)</v>
      </c>
      <c r="E1287" s="9" t="s">
        <v>30</v>
      </c>
      <c r="F1287" s="7">
        <v>15</v>
      </c>
      <c r="G1287" s="7">
        <v>1795.49</v>
      </c>
      <c r="H1287" s="7">
        <v>0.05</v>
      </c>
      <c r="I1287" s="9" t="s">
        <v>31</v>
      </c>
      <c r="J1287" s="10">
        <v>-626.04</v>
      </c>
      <c r="K1287" s="11">
        <v>114.98</v>
      </c>
      <c r="L1287" s="11">
        <v>58.72</v>
      </c>
      <c r="M1287" s="9" t="s">
        <v>982</v>
      </c>
      <c r="N1287" s="6" t="s">
        <v>974</v>
      </c>
      <c r="O1287" s="6" t="s">
        <v>512</v>
      </c>
      <c r="P1287" s="9" t="s">
        <v>33</v>
      </c>
      <c r="Q1287" s="9" t="s">
        <v>49</v>
      </c>
      <c r="R1287" s="9" t="s">
        <v>80</v>
      </c>
      <c r="S1287" s="7" t="s">
        <v>983</v>
      </c>
      <c r="T1287" s="9" t="s">
        <v>82</v>
      </c>
      <c r="U1287" s="7">
        <v>0.76</v>
      </c>
      <c r="V1287" s="12">
        <f>C1287+3</f>
        <v>40565</v>
      </c>
      <c r="W1287">
        <f>IF(D1287=' Pivot Tables'!$A$4,1,0)</f>
        <v>0</v>
      </c>
      <c r="X1287">
        <f>IF(AND(LEFT(D1287,4)+1=LEFT(' Pivot Tables'!$A$4,4)+0,RIGHT(LEFT(D1287,7),2)=RIGHT(LEFT(' Pivot Tables'!$A$4,7),2)),1,0)</f>
        <v>0</v>
      </c>
      <c r="Y1287" s="6">
        <f>1/COUNTIF(Таблица1[Order ID],Таблица1[[#This Row],[Order ID]])</f>
        <v>0.33333333333333331</v>
      </c>
      <c r="Z1287" s="9">
        <f>1/COUNTIFS(Таблица1[Customer Name],Таблица1[[#This Row],[Customer Name]],Таблица1[Order-Year-Month],Таблица1[[#This Row],[Order-Year-Month]])</f>
        <v>0.33333333333333331</v>
      </c>
    </row>
    <row r="1288" spans="1:26" x14ac:dyDescent="0.2">
      <c r="A1288" s="6">
        <v>7000</v>
      </c>
      <c r="B1288" s="7">
        <v>49987</v>
      </c>
      <c r="C1288" s="8">
        <f>DATE(2012,12,31)-712</f>
        <v>40562</v>
      </c>
      <c r="D1288" s="8" t="str">
        <f t="shared" si="27"/>
        <v>2011-01 (январь 2011)</v>
      </c>
      <c r="E1288" s="9" t="s">
        <v>30</v>
      </c>
      <c r="F1288" s="7">
        <v>4</v>
      </c>
      <c r="G1288" s="7">
        <v>926.58</v>
      </c>
      <c r="H1288" s="7">
        <v>0.03</v>
      </c>
      <c r="I1288" s="9" t="s">
        <v>31</v>
      </c>
      <c r="J1288" s="10">
        <v>-226.512</v>
      </c>
      <c r="K1288" s="11">
        <v>212.6</v>
      </c>
      <c r="L1288" s="11">
        <v>52.2</v>
      </c>
      <c r="M1288" s="9" t="s">
        <v>982</v>
      </c>
      <c r="N1288" s="6" t="s">
        <v>974</v>
      </c>
      <c r="O1288" s="6" t="s">
        <v>512</v>
      </c>
      <c r="P1288" s="9" t="s">
        <v>33</v>
      </c>
      <c r="Q1288" s="9" t="s">
        <v>49</v>
      </c>
      <c r="R1288" s="9" t="s">
        <v>83</v>
      </c>
      <c r="S1288" s="7" t="s">
        <v>984</v>
      </c>
      <c r="T1288" s="9" t="s">
        <v>82</v>
      </c>
      <c r="U1288" s="7">
        <v>0.64</v>
      </c>
      <c r="V1288" s="12">
        <f>C1288+3</f>
        <v>40565</v>
      </c>
      <c r="W1288">
        <f>IF(D1288=' Pivot Tables'!$A$4,1,0)</f>
        <v>0</v>
      </c>
      <c r="X1288">
        <f>IF(AND(LEFT(D1288,4)+1=LEFT(' Pivot Tables'!$A$4,4)+0,RIGHT(LEFT(D1288,7),2)=RIGHT(LEFT(' Pivot Tables'!$A$4,7),2)),1,0)</f>
        <v>0</v>
      </c>
      <c r="Y1288" s="6">
        <f>1/COUNTIF(Таблица1[Order ID],Таблица1[[#This Row],[Order ID]])</f>
        <v>0.33333333333333331</v>
      </c>
      <c r="Z1288" s="9">
        <f>1/COUNTIFS(Таблица1[Customer Name],Таблица1[[#This Row],[Customer Name]],Таблица1[Order-Year-Month],Таблица1[[#This Row],[Order-Year-Month]])</f>
        <v>0.33333333333333331</v>
      </c>
    </row>
    <row r="1289" spans="1:26" x14ac:dyDescent="0.2">
      <c r="A1289" s="6">
        <v>7032</v>
      </c>
      <c r="B1289" s="7">
        <v>50208</v>
      </c>
      <c r="C1289" s="8">
        <f>DATE(2012,12,31)-709</f>
        <v>40565</v>
      </c>
      <c r="D1289" s="8" t="str">
        <f t="shared" si="27"/>
        <v>2011-01 (январь 2011)</v>
      </c>
      <c r="E1289" s="9" t="s">
        <v>63</v>
      </c>
      <c r="F1289" s="7">
        <v>4</v>
      </c>
      <c r="G1289" s="7">
        <v>38.76</v>
      </c>
      <c r="H1289" s="7">
        <v>0.1</v>
      </c>
      <c r="I1289" s="9" t="s">
        <v>56</v>
      </c>
      <c r="J1289" s="10">
        <v>-12.1325</v>
      </c>
      <c r="K1289" s="11">
        <v>6.23</v>
      </c>
      <c r="L1289" s="11">
        <v>6.97</v>
      </c>
      <c r="M1289" s="9" t="s">
        <v>909</v>
      </c>
      <c r="N1289" s="6" t="s">
        <v>974</v>
      </c>
      <c r="O1289" s="6" t="s">
        <v>512</v>
      </c>
      <c r="P1289" s="9" t="s">
        <v>41</v>
      </c>
      <c r="Q1289" s="9" t="s">
        <v>26</v>
      </c>
      <c r="R1289" s="9" t="s">
        <v>37</v>
      </c>
      <c r="S1289" s="7" t="s">
        <v>985</v>
      </c>
      <c r="T1289" s="9" t="s">
        <v>39</v>
      </c>
      <c r="U1289" s="7">
        <v>0.36</v>
      </c>
      <c r="V1289" s="12">
        <f>C1289+1</f>
        <v>40566</v>
      </c>
      <c r="W1289">
        <f>IF(D1289=' Pivot Tables'!$A$4,1,0)</f>
        <v>0</v>
      </c>
      <c r="X1289">
        <f>IF(AND(LEFT(D1289,4)+1=LEFT(' Pivot Tables'!$A$4,4)+0,RIGHT(LEFT(D1289,7),2)=RIGHT(LEFT(' Pivot Tables'!$A$4,7),2)),1,0)</f>
        <v>0</v>
      </c>
      <c r="Y1289" s="6">
        <f>1/COUNTIF(Таблица1[Order ID],Таблица1[[#This Row],[Order ID]])</f>
        <v>1</v>
      </c>
      <c r="Z1289" s="9">
        <f>1/COUNTIFS(Таблица1[Customer Name],Таблица1[[#This Row],[Customer Name]],Таблица1[Order-Year-Month],Таблица1[[#This Row],[Order-Year-Month]])</f>
        <v>1</v>
      </c>
    </row>
    <row r="1290" spans="1:26" x14ac:dyDescent="0.2">
      <c r="A1290" s="6">
        <v>7057</v>
      </c>
      <c r="B1290" s="7">
        <v>50338</v>
      </c>
      <c r="C1290" s="8">
        <f>DATE(2012,12,31)-1379</f>
        <v>39895</v>
      </c>
      <c r="D1290" s="8" t="str">
        <f t="shared" si="27"/>
        <v>2009-03 (март 2009)</v>
      </c>
      <c r="E1290" s="9" t="s">
        <v>45</v>
      </c>
      <c r="F1290" s="7">
        <v>36</v>
      </c>
      <c r="G1290" s="7">
        <v>551.44000000000005</v>
      </c>
      <c r="H1290" s="7">
        <v>0</v>
      </c>
      <c r="I1290" s="9" t="s">
        <v>22</v>
      </c>
      <c r="J1290" s="10">
        <v>28.7</v>
      </c>
      <c r="K1290" s="11">
        <v>13.99</v>
      </c>
      <c r="L1290" s="11">
        <v>7.51</v>
      </c>
      <c r="M1290" s="9" t="s">
        <v>880</v>
      </c>
      <c r="N1290" s="6" t="s">
        <v>974</v>
      </c>
      <c r="O1290" s="6" t="s">
        <v>512</v>
      </c>
      <c r="P1290" s="9" t="s">
        <v>41</v>
      </c>
      <c r="Q1290" s="9" t="s">
        <v>42</v>
      </c>
      <c r="R1290" s="9" t="s">
        <v>210</v>
      </c>
      <c r="S1290" s="7" t="s">
        <v>687</v>
      </c>
      <c r="T1290" s="9" t="s">
        <v>48</v>
      </c>
      <c r="U1290" s="7">
        <v>0.39</v>
      </c>
      <c r="V1290" s="12">
        <f t="shared" ref="V1290:V1295" si="28">C1290+2</f>
        <v>39897</v>
      </c>
      <c r="W1290">
        <f>IF(D1290=' Pivot Tables'!$A$4,1,0)</f>
        <v>0</v>
      </c>
      <c r="X1290">
        <f>IF(AND(LEFT(D1290,4)+1=LEFT(' Pivot Tables'!$A$4,4)+0,RIGHT(LEFT(D1290,7),2)=RIGHT(LEFT(' Pivot Tables'!$A$4,7),2)),1,0)</f>
        <v>0</v>
      </c>
      <c r="Y1290" s="6">
        <f>1/COUNTIF(Таблица1[Order ID],Таблица1[[#This Row],[Order ID]])</f>
        <v>1</v>
      </c>
      <c r="Z1290" s="9">
        <f>1/COUNTIFS(Таблица1[Customer Name],Таблица1[[#This Row],[Customer Name]],Таблица1[Order-Year-Month],Таблица1[[#This Row],[Order-Year-Month]])</f>
        <v>1</v>
      </c>
    </row>
    <row r="1291" spans="1:26" x14ac:dyDescent="0.2">
      <c r="A1291" s="6">
        <v>7138</v>
      </c>
      <c r="B1291" s="7">
        <v>50945</v>
      </c>
      <c r="C1291" s="8">
        <f>DATE(2012,12,31)-724</f>
        <v>40550</v>
      </c>
      <c r="D1291" s="8" t="str">
        <f t="shared" si="27"/>
        <v>2011-01 (январь 2011)</v>
      </c>
      <c r="E1291" s="9" t="s">
        <v>78</v>
      </c>
      <c r="F1291" s="7">
        <v>27</v>
      </c>
      <c r="G1291" s="7">
        <v>834.0625</v>
      </c>
      <c r="H1291" s="7">
        <v>0.01</v>
      </c>
      <c r="I1291" s="9" t="s">
        <v>22</v>
      </c>
      <c r="J1291" s="10">
        <v>192.29399999999998</v>
      </c>
      <c r="K1291" s="11">
        <v>35.99</v>
      </c>
      <c r="L1291" s="11">
        <v>1.25</v>
      </c>
      <c r="M1291" s="9" t="s">
        <v>904</v>
      </c>
      <c r="N1291" s="6" t="s">
        <v>974</v>
      </c>
      <c r="O1291" s="6" t="s">
        <v>512</v>
      </c>
      <c r="P1291" s="9" t="s">
        <v>60</v>
      </c>
      <c r="Q1291" s="9" t="s">
        <v>42</v>
      </c>
      <c r="R1291" s="9" t="s">
        <v>43</v>
      </c>
      <c r="S1291" s="7" t="s">
        <v>695</v>
      </c>
      <c r="T1291" s="9" t="s">
        <v>52</v>
      </c>
      <c r="U1291" s="7">
        <v>0.56999999999999995</v>
      </c>
      <c r="V1291" s="12">
        <f t="shared" si="28"/>
        <v>40552</v>
      </c>
      <c r="W1291">
        <f>IF(D1291=' Pivot Tables'!$A$4,1,0)</f>
        <v>0</v>
      </c>
      <c r="X1291">
        <f>IF(AND(LEFT(D1291,4)+1=LEFT(' Pivot Tables'!$A$4,4)+0,RIGHT(LEFT(D1291,7),2)=RIGHT(LEFT(' Pivot Tables'!$A$4,7),2)),1,0)</f>
        <v>0</v>
      </c>
      <c r="Y1291" s="6">
        <f>1/COUNTIF(Таблица1[Order ID],Таблица1[[#This Row],[Order ID]])</f>
        <v>1</v>
      </c>
      <c r="Z1291" s="9">
        <f>1/COUNTIFS(Таблица1[Customer Name],Таблица1[[#This Row],[Customer Name]],Таблица1[Order-Year-Month],Таблица1[[#This Row],[Order-Year-Month]])</f>
        <v>1</v>
      </c>
    </row>
    <row r="1292" spans="1:26" x14ac:dyDescent="0.2">
      <c r="A1292" s="6">
        <v>7210</v>
      </c>
      <c r="B1292" s="7">
        <v>51462</v>
      </c>
      <c r="C1292" s="8">
        <f>DATE(2012,12,31)-558</f>
        <v>40716</v>
      </c>
      <c r="D1292" s="8" t="str">
        <f t="shared" si="27"/>
        <v>2011-06 (июнь 2011)</v>
      </c>
      <c r="E1292" s="9" t="s">
        <v>63</v>
      </c>
      <c r="F1292" s="7">
        <v>15</v>
      </c>
      <c r="G1292" s="7">
        <v>417.88</v>
      </c>
      <c r="H1292" s="7">
        <v>0.08</v>
      </c>
      <c r="I1292" s="9" t="s">
        <v>56</v>
      </c>
      <c r="J1292" s="10">
        <v>-13.95</v>
      </c>
      <c r="K1292" s="11">
        <v>28.15</v>
      </c>
      <c r="L1292" s="11">
        <v>8.99</v>
      </c>
      <c r="M1292" s="9" t="s">
        <v>947</v>
      </c>
      <c r="N1292" s="6" t="s">
        <v>974</v>
      </c>
      <c r="O1292" s="6" t="s">
        <v>512</v>
      </c>
      <c r="P1292" s="9" t="s">
        <v>25</v>
      </c>
      <c r="Q1292" s="9" t="s">
        <v>26</v>
      </c>
      <c r="R1292" s="9" t="s">
        <v>95</v>
      </c>
      <c r="S1292" s="7" t="s">
        <v>155</v>
      </c>
      <c r="T1292" s="9" t="s">
        <v>52</v>
      </c>
      <c r="U1292" s="7">
        <v>0.56999999999999995</v>
      </c>
      <c r="V1292" s="12">
        <f t="shared" si="28"/>
        <v>40718</v>
      </c>
      <c r="W1292">
        <f>IF(D1292=' Pivot Tables'!$A$4,1,0)</f>
        <v>0</v>
      </c>
      <c r="X1292">
        <f>IF(AND(LEFT(D1292,4)+1=LEFT(' Pivot Tables'!$A$4,4)+0,RIGHT(LEFT(D1292,7),2)=RIGHT(LEFT(' Pivot Tables'!$A$4,7),2)),1,0)</f>
        <v>0</v>
      </c>
      <c r="Y1292" s="6">
        <f>1/COUNTIF(Таблица1[Order ID],Таблица1[[#This Row],[Order ID]])</f>
        <v>1</v>
      </c>
      <c r="Z1292" s="9">
        <f>1/COUNTIFS(Таблица1[Customer Name],Таблица1[[#This Row],[Customer Name]],Таблица1[Order-Year-Month],Таблица1[[#This Row],[Order-Year-Month]])</f>
        <v>1</v>
      </c>
    </row>
    <row r="1293" spans="1:26" x14ac:dyDescent="0.2">
      <c r="A1293" s="6">
        <v>7218</v>
      </c>
      <c r="B1293" s="7">
        <v>51494</v>
      </c>
      <c r="C1293" s="8">
        <f>DATE(2012,12,31)-516</f>
        <v>40758</v>
      </c>
      <c r="D1293" s="8" t="str">
        <f t="shared" si="27"/>
        <v>2011-08 (август 2011)</v>
      </c>
      <c r="E1293" s="9" t="s">
        <v>78</v>
      </c>
      <c r="F1293" s="7">
        <v>42</v>
      </c>
      <c r="G1293" s="7">
        <v>493.56</v>
      </c>
      <c r="H1293" s="7">
        <v>0.06</v>
      </c>
      <c r="I1293" s="9" t="s">
        <v>22</v>
      </c>
      <c r="J1293" s="10">
        <v>12.73</v>
      </c>
      <c r="K1293" s="11">
        <v>11.99</v>
      </c>
      <c r="L1293" s="11">
        <v>5.99</v>
      </c>
      <c r="M1293" s="9" t="s">
        <v>929</v>
      </c>
      <c r="N1293" s="6" t="s">
        <v>974</v>
      </c>
      <c r="O1293" s="6" t="s">
        <v>512</v>
      </c>
      <c r="P1293" s="9" t="s">
        <v>33</v>
      </c>
      <c r="Q1293" s="9" t="s">
        <v>42</v>
      </c>
      <c r="R1293" s="9" t="s">
        <v>210</v>
      </c>
      <c r="S1293" s="7" t="s">
        <v>986</v>
      </c>
      <c r="T1293" s="9" t="s">
        <v>48</v>
      </c>
      <c r="U1293" s="7">
        <v>0.36</v>
      </c>
      <c r="V1293" s="12">
        <f t="shared" si="28"/>
        <v>40760</v>
      </c>
      <c r="W1293">
        <f>IF(D1293=' Pivot Tables'!$A$4,1,0)</f>
        <v>0</v>
      </c>
      <c r="X1293">
        <f>IF(AND(LEFT(D1293,4)+1=LEFT(' Pivot Tables'!$A$4,4)+0,RIGHT(LEFT(D1293,7),2)=RIGHT(LEFT(' Pivot Tables'!$A$4,7),2)),1,0)</f>
        <v>0</v>
      </c>
      <c r="Y1293" s="6">
        <f>1/COUNTIF(Таблица1[Order ID],Таблица1[[#This Row],[Order ID]])</f>
        <v>1</v>
      </c>
      <c r="Z1293" s="9">
        <f>1/COUNTIFS(Таблица1[Customer Name],Таблица1[[#This Row],[Customer Name]],Таблица1[Order-Year-Month],Таблица1[[#This Row],[Order-Year-Month]])</f>
        <v>1</v>
      </c>
    </row>
    <row r="1294" spans="1:26" x14ac:dyDescent="0.2">
      <c r="A1294" s="6">
        <v>7221</v>
      </c>
      <c r="B1294" s="7">
        <v>51525</v>
      </c>
      <c r="C1294" s="8">
        <f>DATE(2012,12,31)-420</f>
        <v>40854</v>
      </c>
      <c r="D1294" s="8" t="str">
        <f t="shared" si="27"/>
        <v>2011-11 (ноябрь 2011)</v>
      </c>
      <c r="E1294" s="9" t="s">
        <v>78</v>
      </c>
      <c r="F1294" s="7">
        <v>18</v>
      </c>
      <c r="G1294" s="7">
        <v>360.24</v>
      </c>
      <c r="H1294" s="7">
        <v>0.04</v>
      </c>
      <c r="I1294" s="9" t="s">
        <v>56</v>
      </c>
      <c r="J1294" s="10">
        <v>-36.24</v>
      </c>
      <c r="K1294" s="11">
        <v>19.98</v>
      </c>
      <c r="L1294" s="11">
        <v>4</v>
      </c>
      <c r="M1294" s="9" t="s">
        <v>897</v>
      </c>
      <c r="N1294" s="6" t="s">
        <v>974</v>
      </c>
      <c r="O1294" s="6" t="s">
        <v>512</v>
      </c>
      <c r="P1294" s="9" t="s">
        <v>60</v>
      </c>
      <c r="Q1294" s="9" t="s">
        <v>42</v>
      </c>
      <c r="R1294" s="9" t="s">
        <v>70</v>
      </c>
      <c r="S1294" s="7" t="s">
        <v>655</v>
      </c>
      <c r="T1294" s="9" t="s">
        <v>39</v>
      </c>
      <c r="U1294" s="7">
        <v>0.68</v>
      </c>
      <c r="V1294" s="12">
        <f t="shared" si="28"/>
        <v>40856</v>
      </c>
      <c r="W1294">
        <f>IF(D1294=' Pivot Tables'!$A$4,1,0)</f>
        <v>0</v>
      </c>
      <c r="X1294">
        <f>IF(AND(LEFT(D1294,4)+1=LEFT(' Pivot Tables'!$A$4,4)+0,RIGHT(LEFT(D1294,7),2)=RIGHT(LEFT(' Pivot Tables'!$A$4,7),2)),1,0)</f>
        <v>0</v>
      </c>
      <c r="Y1294" s="6">
        <f>1/COUNTIF(Таблица1[Order ID],Таблица1[[#This Row],[Order ID]])</f>
        <v>0.5</v>
      </c>
      <c r="Z1294" s="9">
        <f>1/COUNTIFS(Таблица1[Customer Name],Таблица1[[#This Row],[Customer Name]],Таблица1[Order-Year-Month],Таблица1[[#This Row],[Order-Year-Month]])</f>
        <v>0.5</v>
      </c>
    </row>
    <row r="1295" spans="1:26" x14ac:dyDescent="0.2">
      <c r="A1295" s="6">
        <v>7222</v>
      </c>
      <c r="B1295" s="7">
        <v>51525</v>
      </c>
      <c r="C1295" s="8">
        <f>DATE(2012,12,31)-420</f>
        <v>40854</v>
      </c>
      <c r="D1295" s="8" t="str">
        <f t="shared" si="27"/>
        <v>2011-11 (ноябрь 2011)</v>
      </c>
      <c r="E1295" s="9" t="s">
        <v>78</v>
      </c>
      <c r="F1295" s="7">
        <v>46</v>
      </c>
      <c r="G1295" s="7">
        <v>1463.27</v>
      </c>
      <c r="H1295" s="7">
        <v>0.09</v>
      </c>
      <c r="I1295" s="9" t="s">
        <v>22</v>
      </c>
      <c r="J1295" s="10">
        <v>104.22</v>
      </c>
      <c r="K1295" s="11">
        <v>34.76</v>
      </c>
      <c r="L1295" s="11">
        <v>8.2200000000000006</v>
      </c>
      <c r="M1295" s="9" t="s">
        <v>897</v>
      </c>
      <c r="N1295" s="6" t="s">
        <v>974</v>
      </c>
      <c r="O1295" s="6" t="s">
        <v>512</v>
      </c>
      <c r="P1295" s="9" t="s">
        <v>60</v>
      </c>
      <c r="Q1295" s="9" t="s">
        <v>26</v>
      </c>
      <c r="R1295" s="9" t="s">
        <v>27</v>
      </c>
      <c r="S1295" s="7" t="s">
        <v>247</v>
      </c>
      <c r="T1295" s="9" t="s">
        <v>39</v>
      </c>
      <c r="U1295" s="7">
        <v>0.56999999999999995</v>
      </c>
      <c r="V1295" s="12">
        <f t="shared" si="28"/>
        <v>40856</v>
      </c>
      <c r="W1295">
        <f>IF(D1295=' Pivot Tables'!$A$4,1,0)</f>
        <v>0</v>
      </c>
      <c r="X1295">
        <f>IF(AND(LEFT(D1295,4)+1=LEFT(' Pivot Tables'!$A$4,4)+0,RIGHT(LEFT(D1295,7),2)=RIGHT(LEFT(' Pivot Tables'!$A$4,7),2)),1,0)</f>
        <v>0</v>
      </c>
      <c r="Y1295" s="6">
        <f>1/COUNTIF(Таблица1[Order ID],Таблица1[[#This Row],[Order ID]])</f>
        <v>0.5</v>
      </c>
      <c r="Z1295" s="9">
        <f>1/COUNTIFS(Таблица1[Customer Name],Таблица1[[#This Row],[Customer Name]],Таблица1[Order-Year-Month],Таблица1[[#This Row],[Order-Year-Month]])</f>
        <v>0.5</v>
      </c>
    </row>
    <row r="1296" spans="1:26" x14ac:dyDescent="0.2">
      <c r="A1296" s="6">
        <v>7428</v>
      </c>
      <c r="B1296" s="7">
        <v>52933</v>
      </c>
      <c r="C1296" s="8">
        <f>DATE(2012,12,31)-858</f>
        <v>40416</v>
      </c>
      <c r="D1296" s="8" t="str">
        <f t="shared" si="27"/>
        <v>2010-08 (август 2010)</v>
      </c>
      <c r="E1296" s="9" t="s">
        <v>21</v>
      </c>
      <c r="F1296" s="7">
        <v>44</v>
      </c>
      <c r="G1296" s="7">
        <v>210.46</v>
      </c>
      <c r="H1296" s="7">
        <v>0.03</v>
      </c>
      <c r="I1296" s="9" t="s">
        <v>56</v>
      </c>
      <c r="J1296" s="10">
        <v>50.039499999999997</v>
      </c>
      <c r="K1296" s="11">
        <v>4.49</v>
      </c>
      <c r="L1296" s="11">
        <v>1.49</v>
      </c>
      <c r="M1296" s="9" t="s">
        <v>880</v>
      </c>
      <c r="N1296" s="6" t="s">
        <v>974</v>
      </c>
      <c r="O1296" s="6" t="s">
        <v>512</v>
      </c>
      <c r="P1296" s="9" t="s">
        <v>33</v>
      </c>
      <c r="Q1296" s="9" t="s">
        <v>26</v>
      </c>
      <c r="R1296" s="9" t="s">
        <v>37</v>
      </c>
      <c r="S1296" s="7" t="s">
        <v>987</v>
      </c>
      <c r="T1296" s="9" t="s">
        <v>39</v>
      </c>
      <c r="U1296" s="7">
        <v>0.39</v>
      </c>
      <c r="V1296" s="12">
        <f>C1296+7</f>
        <v>40423</v>
      </c>
      <c r="W1296">
        <f>IF(D1296=' Pivot Tables'!$A$4,1,0)</f>
        <v>0</v>
      </c>
      <c r="X1296">
        <f>IF(AND(LEFT(D1296,4)+1=LEFT(' Pivot Tables'!$A$4,4)+0,RIGHT(LEFT(D1296,7),2)=RIGHT(LEFT(' Pivot Tables'!$A$4,7),2)),1,0)</f>
        <v>0</v>
      </c>
      <c r="Y1296" s="6">
        <f>1/COUNTIF(Таблица1[Order ID],Таблица1[[#This Row],[Order ID]])</f>
        <v>1</v>
      </c>
      <c r="Z1296" s="9">
        <f>1/COUNTIFS(Таблица1[Customer Name],Таблица1[[#This Row],[Customer Name]],Таблица1[Order-Year-Month],Таблица1[[#This Row],[Order-Year-Month]])</f>
        <v>1</v>
      </c>
    </row>
    <row r="1297" spans="1:26" x14ac:dyDescent="0.2">
      <c r="A1297" s="6">
        <v>7437</v>
      </c>
      <c r="B1297" s="7">
        <v>53025</v>
      </c>
      <c r="C1297" s="8">
        <f>DATE(2012,12,31)-1020</f>
        <v>40254</v>
      </c>
      <c r="D1297" s="8" t="str">
        <f t="shared" si="27"/>
        <v>2010-03 (март 2010)</v>
      </c>
      <c r="E1297" s="9" t="s">
        <v>78</v>
      </c>
      <c r="F1297" s="7">
        <v>32</v>
      </c>
      <c r="G1297" s="7">
        <v>195.57</v>
      </c>
      <c r="H1297" s="7">
        <v>0.09</v>
      </c>
      <c r="I1297" s="9" t="s">
        <v>22</v>
      </c>
      <c r="J1297" s="10">
        <v>-132.93</v>
      </c>
      <c r="K1297" s="11">
        <v>5.98</v>
      </c>
      <c r="L1297" s="11">
        <v>7.5</v>
      </c>
      <c r="M1297" s="9" t="s">
        <v>929</v>
      </c>
      <c r="N1297" s="6" t="s">
        <v>974</v>
      </c>
      <c r="O1297" s="6" t="s">
        <v>512</v>
      </c>
      <c r="P1297" s="9" t="s">
        <v>33</v>
      </c>
      <c r="Q1297" s="9" t="s">
        <v>26</v>
      </c>
      <c r="R1297" s="9" t="s">
        <v>61</v>
      </c>
      <c r="S1297" s="7" t="s">
        <v>579</v>
      </c>
      <c r="T1297" s="9" t="s">
        <v>39</v>
      </c>
      <c r="U1297" s="7">
        <v>0.4</v>
      </c>
      <c r="V1297" s="12">
        <f>C1297+1</f>
        <v>40255</v>
      </c>
      <c r="W1297">
        <f>IF(D1297=' Pivot Tables'!$A$4,1,0)</f>
        <v>0</v>
      </c>
      <c r="X1297">
        <f>IF(AND(LEFT(D1297,4)+1=LEFT(' Pivot Tables'!$A$4,4)+0,RIGHT(LEFT(D1297,7),2)=RIGHT(LEFT(' Pivot Tables'!$A$4,7),2)),1,0)</f>
        <v>0</v>
      </c>
      <c r="Y1297" s="6">
        <f>1/COUNTIF(Таблица1[Order ID],Таблица1[[#This Row],[Order ID]])</f>
        <v>1</v>
      </c>
      <c r="Z1297" s="9">
        <f>1/COUNTIFS(Таблица1[Customer Name],Таблица1[[#This Row],[Customer Name]],Таблица1[Order-Year-Month],Таблица1[[#This Row],[Order-Year-Month]])</f>
        <v>0.5</v>
      </c>
    </row>
    <row r="1298" spans="1:26" x14ac:dyDescent="0.2">
      <c r="A1298" s="6">
        <v>7539</v>
      </c>
      <c r="B1298" s="7">
        <v>53894</v>
      </c>
      <c r="C1298" s="8">
        <f>DATE(2012,12,31)-1273</f>
        <v>40001</v>
      </c>
      <c r="D1298" s="8" t="str">
        <f t="shared" si="27"/>
        <v>2009-07 (июль 2009)</v>
      </c>
      <c r="E1298" s="9" t="s">
        <v>78</v>
      </c>
      <c r="F1298" s="7">
        <v>47</v>
      </c>
      <c r="G1298" s="7">
        <v>691.52</v>
      </c>
      <c r="H1298" s="7">
        <v>0.03</v>
      </c>
      <c r="I1298" s="9" t="s">
        <v>22</v>
      </c>
      <c r="J1298" s="10">
        <v>107.02</v>
      </c>
      <c r="K1298" s="11">
        <v>14.2</v>
      </c>
      <c r="L1298" s="11">
        <v>5.3</v>
      </c>
      <c r="M1298" s="9" t="s">
        <v>953</v>
      </c>
      <c r="N1298" s="6" t="s">
        <v>974</v>
      </c>
      <c r="O1298" s="6" t="s">
        <v>512</v>
      </c>
      <c r="P1298" s="9" t="s">
        <v>33</v>
      </c>
      <c r="Q1298" s="9" t="s">
        <v>49</v>
      </c>
      <c r="R1298" s="9" t="s">
        <v>50</v>
      </c>
      <c r="S1298" s="7" t="s">
        <v>603</v>
      </c>
      <c r="T1298" s="9" t="s">
        <v>68</v>
      </c>
      <c r="U1298" s="7">
        <v>0.46</v>
      </c>
      <c r="V1298" s="12">
        <f>C1298+1</f>
        <v>40002</v>
      </c>
      <c r="W1298">
        <f>IF(D1298=' Pivot Tables'!$A$4,1,0)</f>
        <v>0</v>
      </c>
      <c r="X1298">
        <f>IF(AND(LEFT(D1298,4)+1=LEFT(' Pivot Tables'!$A$4,4)+0,RIGHT(LEFT(D1298,7),2)=RIGHT(LEFT(' Pivot Tables'!$A$4,7),2)),1,0)</f>
        <v>0</v>
      </c>
      <c r="Y1298" s="6">
        <f>1/COUNTIF(Таблица1[Order ID],Таблица1[[#This Row],[Order ID]])</f>
        <v>0.33333333333333331</v>
      </c>
      <c r="Z1298" s="9">
        <f>1/COUNTIFS(Таблица1[Customer Name],Таблица1[[#This Row],[Customer Name]],Таблица1[Order-Year-Month],Таблица1[[#This Row],[Order-Year-Month]])</f>
        <v>0.33333333333333331</v>
      </c>
    </row>
    <row r="1299" spans="1:26" x14ac:dyDescent="0.2">
      <c r="A1299" s="6">
        <v>7540</v>
      </c>
      <c r="B1299" s="7">
        <v>53894</v>
      </c>
      <c r="C1299" s="8">
        <f>DATE(2012,12,31)-1273</f>
        <v>40001</v>
      </c>
      <c r="D1299" s="8" t="str">
        <f t="shared" si="27"/>
        <v>2009-07 (июль 2009)</v>
      </c>
      <c r="E1299" s="9" t="s">
        <v>78</v>
      </c>
      <c r="F1299" s="7">
        <v>37</v>
      </c>
      <c r="G1299" s="7">
        <v>2756.17</v>
      </c>
      <c r="H1299" s="7">
        <v>0.04</v>
      </c>
      <c r="I1299" s="9" t="s">
        <v>22</v>
      </c>
      <c r="J1299" s="10">
        <v>-1561.7160000000001</v>
      </c>
      <c r="K1299" s="11">
        <v>71.37</v>
      </c>
      <c r="L1299" s="11">
        <v>69</v>
      </c>
      <c r="M1299" s="9" t="s">
        <v>953</v>
      </c>
      <c r="N1299" s="6" t="s">
        <v>974</v>
      </c>
      <c r="O1299" s="6" t="s">
        <v>512</v>
      </c>
      <c r="P1299" s="9" t="s">
        <v>33</v>
      </c>
      <c r="Q1299" s="9" t="s">
        <v>49</v>
      </c>
      <c r="R1299" s="9" t="s">
        <v>83</v>
      </c>
      <c r="S1299" s="7" t="s">
        <v>84</v>
      </c>
      <c r="T1299" s="9" t="s">
        <v>29</v>
      </c>
      <c r="U1299" s="7">
        <v>0.68</v>
      </c>
      <c r="V1299" s="12">
        <f>C1299+1</f>
        <v>40002</v>
      </c>
      <c r="W1299">
        <f>IF(D1299=' Pivot Tables'!$A$4,1,0)</f>
        <v>0</v>
      </c>
      <c r="X1299">
        <f>IF(AND(LEFT(D1299,4)+1=LEFT(' Pivot Tables'!$A$4,4)+0,RIGHT(LEFT(D1299,7),2)=RIGHT(LEFT(' Pivot Tables'!$A$4,7),2)),1,0)</f>
        <v>0</v>
      </c>
      <c r="Y1299" s="6">
        <f>1/COUNTIF(Таблица1[Order ID],Таблица1[[#This Row],[Order ID]])</f>
        <v>0.33333333333333331</v>
      </c>
      <c r="Z1299" s="9">
        <f>1/COUNTIFS(Таблица1[Customer Name],Таблица1[[#This Row],[Customer Name]],Таблица1[Order-Year-Month],Таблица1[[#This Row],[Order-Year-Month]])</f>
        <v>0.33333333333333331</v>
      </c>
    </row>
    <row r="1300" spans="1:26" x14ac:dyDescent="0.2">
      <c r="A1300" s="6">
        <v>7541</v>
      </c>
      <c r="B1300" s="7">
        <v>53894</v>
      </c>
      <c r="C1300" s="8">
        <f>DATE(2012,12,31)-1273</f>
        <v>40001</v>
      </c>
      <c r="D1300" s="8" t="str">
        <f t="shared" si="27"/>
        <v>2009-07 (июль 2009)</v>
      </c>
      <c r="E1300" s="9" t="s">
        <v>78</v>
      </c>
      <c r="F1300" s="7">
        <v>29</v>
      </c>
      <c r="G1300" s="7">
        <v>5159.3725000000004</v>
      </c>
      <c r="H1300" s="7">
        <v>0.02</v>
      </c>
      <c r="I1300" s="9" t="s">
        <v>56</v>
      </c>
      <c r="J1300" s="10">
        <v>1252.4760000000001</v>
      </c>
      <c r="K1300" s="11">
        <v>200.99</v>
      </c>
      <c r="L1300" s="11">
        <v>8.08</v>
      </c>
      <c r="M1300" s="9" t="s">
        <v>953</v>
      </c>
      <c r="N1300" s="6" t="s">
        <v>974</v>
      </c>
      <c r="O1300" s="6" t="s">
        <v>512</v>
      </c>
      <c r="P1300" s="9" t="s">
        <v>33</v>
      </c>
      <c r="Q1300" s="9" t="s">
        <v>42</v>
      </c>
      <c r="R1300" s="9" t="s">
        <v>43</v>
      </c>
      <c r="S1300" s="7" t="s">
        <v>208</v>
      </c>
      <c r="T1300" s="9" t="s">
        <v>39</v>
      </c>
      <c r="U1300" s="7">
        <v>0.59</v>
      </c>
      <c r="V1300" s="12">
        <f>C1300+0</f>
        <v>40001</v>
      </c>
      <c r="W1300">
        <f>IF(D1300=' Pivot Tables'!$A$4,1,0)</f>
        <v>0</v>
      </c>
      <c r="X1300">
        <f>IF(AND(LEFT(D1300,4)+1=LEFT(' Pivot Tables'!$A$4,4)+0,RIGHT(LEFT(D1300,7),2)=RIGHT(LEFT(' Pivot Tables'!$A$4,7),2)),1,0)</f>
        <v>0</v>
      </c>
      <c r="Y1300" s="6">
        <f>1/COUNTIF(Таблица1[Order ID],Таблица1[[#This Row],[Order ID]])</f>
        <v>0.33333333333333331</v>
      </c>
      <c r="Z1300" s="9">
        <f>1/COUNTIFS(Таблица1[Customer Name],Таблица1[[#This Row],[Customer Name]],Таблица1[Order-Year-Month],Таблица1[[#This Row],[Order-Year-Month]])</f>
        <v>0.33333333333333331</v>
      </c>
    </row>
    <row r="1301" spans="1:26" x14ac:dyDescent="0.2">
      <c r="A1301" s="6">
        <v>7544</v>
      </c>
      <c r="B1301" s="7">
        <v>53953</v>
      </c>
      <c r="C1301" s="8">
        <f>DATE(2012,12,31)-1375</f>
        <v>39899</v>
      </c>
      <c r="D1301" s="8" t="str">
        <f t="shared" si="27"/>
        <v>2009-03 (март 2009)</v>
      </c>
      <c r="E1301" s="9" t="s">
        <v>45</v>
      </c>
      <c r="F1301" s="7">
        <v>36</v>
      </c>
      <c r="G1301" s="7">
        <v>307.64999999999998</v>
      </c>
      <c r="H1301" s="7">
        <v>7.0000000000000007E-2</v>
      </c>
      <c r="I1301" s="9" t="s">
        <v>22</v>
      </c>
      <c r="J1301" s="10">
        <v>91.73</v>
      </c>
      <c r="K1301" s="11">
        <v>8.9499999999999993</v>
      </c>
      <c r="L1301" s="11">
        <v>2.0099999999999998</v>
      </c>
      <c r="M1301" s="9" t="s">
        <v>944</v>
      </c>
      <c r="N1301" s="6" t="s">
        <v>974</v>
      </c>
      <c r="O1301" s="6" t="s">
        <v>512</v>
      </c>
      <c r="P1301" s="9" t="s">
        <v>41</v>
      </c>
      <c r="Q1301" s="9" t="s">
        <v>26</v>
      </c>
      <c r="R1301" s="9" t="s">
        <v>61</v>
      </c>
      <c r="S1301" s="7" t="s">
        <v>640</v>
      </c>
      <c r="T1301" s="9" t="s">
        <v>68</v>
      </c>
      <c r="U1301" s="7">
        <v>0.39</v>
      </c>
      <c r="V1301" s="12">
        <f>C1301+1</f>
        <v>39900</v>
      </c>
      <c r="W1301">
        <f>IF(D1301=' Pivot Tables'!$A$4,1,0)</f>
        <v>0</v>
      </c>
      <c r="X1301">
        <f>IF(AND(LEFT(D1301,4)+1=LEFT(' Pivot Tables'!$A$4,4)+0,RIGHT(LEFT(D1301,7),2)=RIGHT(LEFT(' Pivot Tables'!$A$4,7),2)),1,0)</f>
        <v>0</v>
      </c>
      <c r="Y1301" s="6">
        <f>1/COUNTIF(Таблица1[Order ID],Таблица1[[#This Row],[Order ID]])</f>
        <v>1</v>
      </c>
      <c r="Z1301" s="9">
        <f>1/COUNTIFS(Таблица1[Customer Name],Таблица1[[#This Row],[Customer Name]],Таблица1[Order-Year-Month],Таблица1[[#This Row],[Order-Year-Month]])</f>
        <v>1</v>
      </c>
    </row>
    <row r="1302" spans="1:26" x14ac:dyDescent="0.2">
      <c r="A1302" s="6">
        <v>7587</v>
      </c>
      <c r="B1302" s="7">
        <v>54304</v>
      </c>
      <c r="C1302" s="8">
        <f>DATE(2012,12,31)-1048</f>
        <v>40226</v>
      </c>
      <c r="D1302" s="8" t="str">
        <f t="shared" si="27"/>
        <v>2010-02 (февраль 2010)</v>
      </c>
      <c r="E1302" s="9" t="s">
        <v>30</v>
      </c>
      <c r="F1302" s="7">
        <v>11</v>
      </c>
      <c r="G1302" s="7">
        <v>558.62</v>
      </c>
      <c r="H1302" s="7">
        <v>0.03</v>
      </c>
      <c r="I1302" s="9" t="s">
        <v>22</v>
      </c>
      <c r="J1302" s="10">
        <v>118.32</v>
      </c>
      <c r="K1302" s="11">
        <v>48.58</v>
      </c>
      <c r="L1302" s="11">
        <v>3.99</v>
      </c>
      <c r="M1302" s="9" t="s">
        <v>929</v>
      </c>
      <c r="N1302" s="6" t="s">
        <v>974</v>
      </c>
      <c r="O1302" s="6" t="s">
        <v>512</v>
      </c>
      <c r="P1302" s="9" t="s">
        <v>33</v>
      </c>
      <c r="Q1302" s="9" t="s">
        <v>26</v>
      </c>
      <c r="R1302" s="9" t="s">
        <v>34</v>
      </c>
      <c r="S1302" s="7" t="s">
        <v>988</v>
      </c>
      <c r="T1302" s="9" t="s">
        <v>39</v>
      </c>
      <c r="U1302" s="7">
        <v>0.56000000000000005</v>
      </c>
      <c r="V1302" s="12">
        <f>C1302+2</f>
        <v>40228</v>
      </c>
      <c r="W1302">
        <f>IF(D1302=' Pivot Tables'!$A$4,1,0)</f>
        <v>0</v>
      </c>
      <c r="X1302">
        <f>IF(AND(LEFT(D1302,4)+1=LEFT(' Pivot Tables'!$A$4,4)+0,RIGHT(LEFT(D1302,7),2)=RIGHT(LEFT(' Pivot Tables'!$A$4,7),2)),1,0)</f>
        <v>0</v>
      </c>
      <c r="Y1302" s="6">
        <f>1/COUNTIF(Таблица1[Order ID],Таблица1[[#This Row],[Order ID]])</f>
        <v>1</v>
      </c>
      <c r="Z1302" s="9">
        <f>1/COUNTIFS(Таблица1[Customer Name],Таблица1[[#This Row],[Customer Name]],Таблица1[Order-Year-Month],Таблица1[[#This Row],[Order-Year-Month]])</f>
        <v>1</v>
      </c>
    </row>
    <row r="1303" spans="1:26" x14ac:dyDescent="0.2">
      <c r="A1303" s="6">
        <v>7685</v>
      </c>
      <c r="B1303" s="7">
        <v>55075</v>
      </c>
      <c r="C1303" s="8">
        <f>DATE(2012,12,31)-699</f>
        <v>40575</v>
      </c>
      <c r="D1303" s="8" t="str">
        <f t="shared" si="27"/>
        <v>2011-02 (февраль 2011)</v>
      </c>
      <c r="E1303" s="9" t="s">
        <v>78</v>
      </c>
      <c r="F1303" s="7">
        <v>21</v>
      </c>
      <c r="G1303" s="7">
        <v>556.45000000000005</v>
      </c>
      <c r="H1303" s="7">
        <v>0.08</v>
      </c>
      <c r="I1303" s="9" t="s">
        <v>31</v>
      </c>
      <c r="J1303" s="10">
        <v>-124.42</v>
      </c>
      <c r="K1303" s="11">
        <v>25.98</v>
      </c>
      <c r="L1303" s="11">
        <v>14.36</v>
      </c>
      <c r="M1303" s="9" t="s">
        <v>917</v>
      </c>
      <c r="N1303" s="6" t="s">
        <v>974</v>
      </c>
      <c r="O1303" s="6" t="s">
        <v>512</v>
      </c>
      <c r="P1303" s="9" t="s">
        <v>60</v>
      </c>
      <c r="Q1303" s="9" t="s">
        <v>49</v>
      </c>
      <c r="R1303" s="9" t="s">
        <v>112</v>
      </c>
      <c r="S1303" s="7" t="s">
        <v>280</v>
      </c>
      <c r="T1303" s="9" t="s">
        <v>36</v>
      </c>
      <c r="U1303" s="7">
        <v>0.6</v>
      </c>
      <c r="V1303" s="12">
        <f>C1303+3</f>
        <v>40578</v>
      </c>
      <c r="W1303">
        <f>IF(D1303=' Pivot Tables'!$A$4,1,0)</f>
        <v>0</v>
      </c>
      <c r="X1303">
        <f>IF(AND(LEFT(D1303,4)+1=LEFT(' Pivot Tables'!$A$4,4)+0,RIGHT(LEFT(D1303,7),2)=RIGHT(LEFT(' Pivot Tables'!$A$4,7),2)),1,0)</f>
        <v>0</v>
      </c>
      <c r="Y1303" s="6">
        <f>1/COUNTIF(Таблица1[Order ID],Таблица1[[#This Row],[Order ID]])</f>
        <v>1</v>
      </c>
      <c r="Z1303" s="9">
        <f>1/COUNTIFS(Таблица1[Customer Name],Таблица1[[#This Row],[Customer Name]],Таблица1[Order-Year-Month],Таблица1[[#This Row],[Order-Year-Month]])</f>
        <v>1</v>
      </c>
    </row>
    <row r="1304" spans="1:26" x14ac:dyDescent="0.2">
      <c r="A1304" s="6">
        <v>7710</v>
      </c>
      <c r="B1304" s="7">
        <v>55268</v>
      </c>
      <c r="C1304" s="8">
        <f>DATE(2012,12,31)-289</f>
        <v>40985</v>
      </c>
      <c r="D1304" s="8" t="str">
        <f t="shared" si="27"/>
        <v>2012-03 (март 2012)</v>
      </c>
      <c r="E1304" s="9" t="s">
        <v>30</v>
      </c>
      <c r="F1304" s="7">
        <v>11</v>
      </c>
      <c r="G1304" s="7">
        <v>61.46</v>
      </c>
      <c r="H1304" s="7">
        <v>0.08</v>
      </c>
      <c r="I1304" s="9" t="s">
        <v>56</v>
      </c>
      <c r="J1304" s="10">
        <v>-47.83</v>
      </c>
      <c r="K1304" s="11">
        <v>4.8899999999999997</v>
      </c>
      <c r="L1304" s="11">
        <v>4.93</v>
      </c>
      <c r="M1304" s="9" t="s">
        <v>897</v>
      </c>
      <c r="N1304" s="6" t="s">
        <v>974</v>
      </c>
      <c r="O1304" s="6" t="s">
        <v>512</v>
      </c>
      <c r="P1304" s="9" t="s">
        <v>60</v>
      </c>
      <c r="Q1304" s="9" t="s">
        <v>42</v>
      </c>
      <c r="R1304" s="9" t="s">
        <v>70</v>
      </c>
      <c r="S1304" s="7" t="s">
        <v>93</v>
      </c>
      <c r="T1304" s="9" t="s">
        <v>52</v>
      </c>
      <c r="U1304" s="7">
        <v>0.66</v>
      </c>
      <c r="V1304" s="12">
        <f>C1304+1</f>
        <v>40986</v>
      </c>
      <c r="W1304">
        <f>IF(D1304=' Pivot Tables'!$A$4,1,0)</f>
        <v>0</v>
      </c>
      <c r="X1304">
        <f>IF(AND(LEFT(D1304,4)+1=LEFT(' Pivot Tables'!$A$4,4)+0,RIGHT(LEFT(D1304,7),2)=RIGHT(LEFT(' Pivot Tables'!$A$4,7),2)),1,0)</f>
        <v>0</v>
      </c>
      <c r="Y1304" s="6">
        <f>1/COUNTIF(Таблица1[Order ID],Таблица1[[#This Row],[Order ID]])</f>
        <v>1</v>
      </c>
      <c r="Z1304" s="9">
        <f>1/COUNTIFS(Таблица1[Customer Name],Таблица1[[#This Row],[Customer Name]],Таблица1[Order-Year-Month],Таблица1[[#This Row],[Order-Year-Month]])</f>
        <v>1</v>
      </c>
    </row>
    <row r="1305" spans="1:26" x14ac:dyDescent="0.2">
      <c r="A1305" s="6">
        <v>7731</v>
      </c>
      <c r="B1305" s="7">
        <v>55367</v>
      </c>
      <c r="C1305" s="8">
        <f>DATE(2012,12,31)-1451</f>
        <v>39823</v>
      </c>
      <c r="D1305" s="8" t="str">
        <f t="shared" si="27"/>
        <v>2009-01 (январь 2009)</v>
      </c>
      <c r="E1305" s="9" t="s">
        <v>78</v>
      </c>
      <c r="F1305" s="7">
        <v>31</v>
      </c>
      <c r="G1305" s="7">
        <v>2137.1</v>
      </c>
      <c r="H1305" s="7">
        <v>0.05</v>
      </c>
      <c r="I1305" s="9" t="s">
        <v>31</v>
      </c>
      <c r="J1305" s="10">
        <v>-686.01</v>
      </c>
      <c r="K1305" s="11">
        <v>70.98</v>
      </c>
      <c r="L1305" s="11">
        <v>46.74</v>
      </c>
      <c r="M1305" s="9" t="s">
        <v>890</v>
      </c>
      <c r="N1305" s="6" t="s">
        <v>974</v>
      </c>
      <c r="O1305" s="6" t="s">
        <v>512</v>
      </c>
      <c r="P1305" s="9" t="s">
        <v>33</v>
      </c>
      <c r="Q1305" s="9" t="s">
        <v>49</v>
      </c>
      <c r="R1305" s="9" t="s">
        <v>80</v>
      </c>
      <c r="S1305" s="7" t="s">
        <v>989</v>
      </c>
      <c r="T1305" s="9" t="s">
        <v>82</v>
      </c>
      <c r="U1305" s="7">
        <v>0.56000000000000005</v>
      </c>
      <c r="V1305" s="12">
        <f>C1305+1</f>
        <v>39824</v>
      </c>
      <c r="W1305">
        <f>IF(D1305=' Pivot Tables'!$A$4,1,0)</f>
        <v>0</v>
      </c>
      <c r="X1305">
        <f>IF(AND(LEFT(D1305,4)+1=LEFT(' Pivot Tables'!$A$4,4)+0,RIGHT(LEFT(D1305,7),2)=RIGHT(LEFT(' Pivot Tables'!$A$4,7),2)),1,0)</f>
        <v>1</v>
      </c>
      <c r="Y1305" s="6">
        <f>1/COUNTIF(Таблица1[Order ID],Таблица1[[#This Row],[Order ID]])</f>
        <v>0.5</v>
      </c>
      <c r="Z1305" s="9">
        <f>1/COUNTIFS(Таблица1[Customer Name],Таблица1[[#This Row],[Customer Name]],Таблица1[Order-Year-Month],Таблица1[[#This Row],[Order-Year-Month]])</f>
        <v>0.5</v>
      </c>
    </row>
    <row r="1306" spans="1:26" x14ac:dyDescent="0.2">
      <c r="A1306" s="6">
        <v>7732</v>
      </c>
      <c r="B1306" s="7">
        <v>55367</v>
      </c>
      <c r="C1306" s="8">
        <f>DATE(2012,12,31)-1451</f>
        <v>39823</v>
      </c>
      <c r="D1306" s="8" t="str">
        <f t="shared" si="27"/>
        <v>2009-01 (январь 2009)</v>
      </c>
      <c r="E1306" s="9" t="s">
        <v>78</v>
      </c>
      <c r="F1306" s="7">
        <v>48</v>
      </c>
      <c r="G1306" s="7">
        <v>571.16999999999996</v>
      </c>
      <c r="H1306" s="7">
        <v>0.05</v>
      </c>
      <c r="I1306" s="9" t="s">
        <v>22</v>
      </c>
      <c r="J1306" s="10">
        <v>129.87</v>
      </c>
      <c r="K1306" s="11">
        <v>11.55</v>
      </c>
      <c r="L1306" s="11">
        <v>2.36</v>
      </c>
      <c r="M1306" s="9" t="s">
        <v>890</v>
      </c>
      <c r="N1306" s="6" t="s">
        <v>974</v>
      </c>
      <c r="O1306" s="6" t="s">
        <v>512</v>
      </c>
      <c r="P1306" s="9" t="s">
        <v>33</v>
      </c>
      <c r="Q1306" s="9" t="s">
        <v>26</v>
      </c>
      <c r="R1306" s="9" t="s">
        <v>95</v>
      </c>
      <c r="S1306" s="7" t="s">
        <v>990</v>
      </c>
      <c r="T1306" s="9" t="s">
        <v>68</v>
      </c>
      <c r="U1306" s="7">
        <v>0.55000000000000004</v>
      </c>
      <c r="V1306" s="12">
        <f>C1306+2</f>
        <v>39825</v>
      </c>
      <c r="W1306">
        <f>IF(D1306=' Pivot Tables'!$A$4,1,0)</f>
        <v>0</v>
      </c>
      <c r="X1306">
        <f>IF(AND(LEFT(D1306,4)+1=LEFT(' Pivot Tables'!$A$4,4)+0,RIGHT(LEFT(D1306,7),2)=RIGHT(LEFT(' Pivot Tables'!$A$4,7),2)),1,0)</f>
        <v>1</v>
      </c>
      <c r="Y1306" s="6">
        <f>1/COUNTIF(Таблица1[Order ID],Таблица1[[#This Row],[Order ID]])</f>
        <v>0.5</v>
      </c>
      <c r="Z1306" s="9">
        <f>1/COUNTIFS(Таблица1[Customer Name],Таблица1[[#This Row],[Customer Name]],Таблица1[Order-Year-Month],Таблица1[[#This Row],[Order-Year-Month]])</f>
        <v>0.5</v>
      </c>
    </row>
    <row r="1307" spans="1:26" x14ac:dyDescent="0.2">
      <c r="A1307" s="6">
        <v>7875</v>
      </c>
      <c r="B1307" s="7">
        <v>56321</v>
      </c>
      <c r="C1307" s="8">
        <f>DATE(2012,12,31)-990</f>
        <v>40284</v>
      </c>
      <c r="D1307" s="8" t="str">
        <f t="shared" si="27"/>
        <v>2010-04 (апрель 2010)</v>
      </c>
      <c r="E1307" s="9" t="s">
        <v>78</v>
      </c>
      <c r="F1307" s="7">
        <v>24</v>
      </c>
      <c r="G1307" s="7">
        <v>135.88</v>
      </c>
      <c r="H1307" s="7">
        <v>0.1</v>
      </c>
      <c r="I1307" s="9" t="s">
        <v>22</v>
      </c>
      <c r="J1307" s="10">
        <v>-75.394000000000005</v>
      </c>
      <c r="K1307" s="11">
        <v>5.8</v>
      </c>
      <c r="L1307" s="11">
        <v>5.59</v>
      </c>
      <c r="M1307" s="9" t="s">
        <v>874</v>
      </c>
      <c r="N1307" s="6" t="s">
        <v>974</v>
      </c>
      <c r="O1307" s="6" t="s">
        <v>512</v>
      </c>
      <c r="P1307" s="9" t="s">
        <v>33</v>
      </c>
      <c r="Q1307" s="9" t="s">
        <v>26</v>
      </c>
      <c r="R1307" s="9" t="s">
        <v>37</v>
      </c>
      <c r="S1307" s="7" t="s">
        <v>991</v>
      </c>
      <c r="T1307" s="9" t="s">
        <v>39</v>
      </c>
      <c r="U1307" s="7">
        <v>0.4</v>
      </c>
      <c r="V1307" s="12">
        <f>C1307+2</f>
        <v>40286</v>
      </c>
      <c r="W1307">
        <f>IF(D1307=' Pivot Tables'!$A$4,1,0)</f>
        <v>0</v>
      </c>
      <c r="X1307">
        <f>IF(AND(LEFT(D1307,4)+1=LEFT(' Pivot Tables'!$A$4,4)+0,RIGHT(LEFT(D1307,7),2)=RIGHT(LEFT(' Pivot Tables'!$A$4,7),2)),1,0)</f>
        <v>0</v>
      </c>
      <c r="Y1307" s="6">
        <f>1/COUNTIF(Таблица1[Order ID],Таблица1[[#This Row],[Order ID]])</f>
        <v>1</v>
      </c>
      <c r="Z1307" s="9">
        <f>1/COUNTIFS(Таблица1[Customer Name],Таблица1[[#This Row],[Customer Name]],Таблица1[Order-Year-Month],Таблица1[[#This Row],[Order-Year-Month]])</f>
        <v>1</v>
      </c>
    </row>
    <row r="1308" spans="1:26" x14ac:dyDescent="0.2">
      <c r="A1308" s="6">
        <v>7919</v>
      </c>
      <c r="B1308" s="7">
        <v>56610</v>
      </c>
      <c r="C1308" s="8">
        <f>DATE(2012,12,31)-1030</f>
        <v>40244</v>
      </c>
      <c r="D1308" s="8" t="str">
        <f t="shared" si="27"/>
        <v>2010-03 (март 2010)</v>
      </c>
      <c r="E1308" s="9" t="s">
        <v>63</v>
      </c>
      <c r="F1308" s="7">
        <v>20</v>
      </c>
      <c r="G1308" s="7">
        <v>857.95</v>
      </c>
      <c r="H1308" s="7">
        <v>0.08</v>
      </c>
      <c r="I1308" s="9" t="s">
        <v>56</v>
      </c>
      <c r="J1308" s="10">
        <v>51.85</v>
      </c>
      <c r="K1308" s="11">
        <v>43.22</v>
      </c>
      <c r="L1308" s="11">
        <v>4</v>
      </c>
      <c r="M1308" s="9" t="s">
        <v>929</v>
      </c>
      <c r="N1308" s="6" t="s">
        <v>974</v>
      </c>
      <c r="O1308" s="6" t="s">
        <v>512</v>
      </c>
      <c r="P1308" s="9" t="s">
        <v>33</v>
      </c>
      <c r="Q1308" s="9" t="s">
        <v>42</v>
      </c>
      <c r="R1308" s="9" t="s">
        <v>70</v>
      </c>
      <c r="S1308" s="7" t="s">
        <v>921</v>
      </c>
      <c r="T1308" s="9" t="s">
        <v>39</v>
      </c>
      <c r="U1308" s="7">
        <v>0.64</v>
      </c>
      <c r="V1308" s="12">
        <f>C1308+0</f>
        <v>40244</v>
      </c>
      <c r="W1308">
        <f>IF(D1308=' Pivot Tables'!$A$4,1,0)</f>
        <v>0</v>
      </c>
      <c r="X1308">
        <f>IF(AND(LEFT(D1308,4)+1=LEFT(' Pivot Tables'!$A$4,4)+0,RIGHT(LEFT(D1308,7),2)=RIGHT(LEFT(' Pivot Tables'!$A$4,7),2)),1,0)</f>
        <v>0</v>
      </c>
      <c r="Y1308" s="6">
        <f>1/COUNTIF(Таблица1[Order ID],Таблица1[[#This Row],[Order ID]])</f>
        <v>1</v>
      </c>
      <c r="Z1308" s="9">
        <f>1/COUNTIFS(Таблица1[Customer Name],Таблица1[[#This Row],[Customer Name]],Таблица1[Order-Year-Month],Таблица1[[#This Row],[Order-Year-Month]])</f>
        <v>0.5</v>
      </c>
    </row>
    <row r="1309" spans="1:26" x14ac:dyDescent="0.2">
      <c r="A1309" s="6">
        <v>7943</v>
      </c>
      <c r="B1309" s="7">
        <v>56740</v>
      </c>
      <c r="C1309" s="8">
        <f>DATE(2012,12,31)-76</f>
        <v>41198</v>
      </c>
      <c r="D1309" s="8" t="str">
        <f t="shared" si="27"/>
        <v>2012-10 (октябрь 2012)</v>
      </c>
      <c r="E1309" s="9" t="s">
        <v>78</v>
      </c>
      <c r="F1309" s="7">
        <v>33</v>
      </c>
      <c r="G1309" s="7">
        <v>662.21</v>
      </c>
      <c r="H1309" s="7">
        <v>0.01</v>
      </c>
      <c r="I1309" s="9" t="s">
        <v>22</v>
      </c>
      <c r="J1309" s="10">
        <v>256.57</v>
      </c>
      <c r="K1309" s="11">
        <v>18.84</v>
      </c>
      <c r="L1309" s="11">
        <v>3.62</v>
      </c>
      <c r="M1309" s="9" t="s">
        <v>888</v>
      </c>
      <c r="N1309" s="6" t="s">
        <v>974</v>
      </c>
      <c r="O1309" s="6" t="s">
        <v>512</v>
      </c>
      <c r="P1309" s="9" t="s">
        <v>33</v>
      </c>
      <c r="Q1309" s="9" t="s">
        <v>49</v>
      </c>
      <c r="R1309" s="9" t="s">
        <v>50</v>
      </c>
      <c r="S1309" s="7" t="s">
        <v>992</v>
      </c>
      <c r="T1309" s="9" t="s">
        <v>68</v>
      </c>
      <c r="U1309" s="7">
        <v>0.43</v>
      </c>
      <c r="V1309" s="12">
        <f>C1309+7</f>
        <v>41205</v>
      </c>
      <c r="W1309">
        <f>IF(D1309=' Pivot Tables'!$A$4,1,0)</f>
        <v>0</v>
      </c>
      <c r="X1309">
        <f>IF(AND(LEFT(D1309,4)+1=LEFT(' Pivot Tables'!$A$4,4)+0,RIGHT(LEFT(D1309,7),2)=RIGHT(LEFT(' Pivot Tables'!$A$4,7),2)),1,0)</f>
        <v>0</v>
      </c>
      <c r="Y1309" s="6">
        <f>1/COUNTIF(Таблица1[Order ID],Таблица1[[#This Row],[Order ID]])</f>
        <v>0.33333333333333331</v>
      </c>
      <c r="Z1309" s="9">
        <f>1/COUNTIFS(Таблица1[Customer Name],Таблица1[[#This Row],[Customer Name]],Таблица1[Order-Year-Month],Таблица1[[#This Row],[Order-Year-Month]])</f>
        <v>1</v>
      </c>
    </row>
    <row r="1310" spans="1:26" x14ac:dyDescent="0.2">
      <c r="A1310" s="6">
        <v>7962</v>
      </c>
      <c r="B1310" s="7">
        <v>56901</v>
      </c>
      <c r="C1310" s="8">
        <f>DATE(2012,12,31)-1207</f>
        <v>40067</v>
      </c>
      <c r="D1310" s="8" t="str">
        <f t="shared" si="27"/>
        <v>2009-09 (сентябрь 2009)</v>
      </c>
      <c r="E1310" s="9" t="s">
        <v>78</v>
      </c>
      <c r="F1310" s="7">
        <v>36</v>
      </c>
      <c r="G1310" s="7">
        <v>100.68</v>
      </c>
      <c r="H1310" s="7">
        <v>0</v>
      </c>
      <c r="I1310" s="9" t="s">
        <v>22</v>
      </c>
      <c r="J1310" s="10">
        <v>-45.21</v>
      </c>
      <c r="K1310" s="11">
        <v>2.6</v>
      </c>
      <c r="L1310" s="11">
        <v>2.4</v>
      </c>
      <c r="M1310" s="9" t="s">
        <v>993</v>
      </c>
      <c r="N1310" s="6" t="s">
        <v>974</v>
      </c>
      <c r="O1310" s="6" t="s">
        <v>512</v>
      </c>
      <c r="P1310" s="9" t="s">
        <v>41</v>
      </c>
      <c r="Q1310" s="9" t="s">
        <v>26</v>
      </c>
      <c r="R1310" s="9" t="s">
        <v>95</v>
      </c>
      <c r="S1310" s="7" t="s">
        <v>393</v>
      </c>
      <c r="T1310" s="9" t="s">
        <v>68</v>
      </c>
      <c r="U1310" s="7">
        <v>0.57999999999999996</v>
      </c>
      <c r="V1310" s="12">
        <f>C1310+2</f>
        <v>40069</v>
      </c>
      <c r="W1310">
        <f>IF(D1310=' Pivot Tables'!$A$4,1,0)</f>
        <v>0</v>
      </c>
      <c r="X1310">
        <f>IF(AND(LEFT(D1310,4)+1=LEFT(' Pivot Tables'!$A$4,4)+0,RIGHT(LEFT(D1310,7),2)=RIGHT(LEFT(' Pivot Tables'!$A$4,7),2)),1,0)</f>
        <v>0</v>
      </c>
      <c r="Y1310" s="6">
        <f>1/COUNTIF(Таблица1[Order ID],Таблица1[[#This Row],[Order ID]])</f>
        <v>1</v>
      </c>
      <c r="Z1310" s="9">
        <f>1/COUNTIFS(Таблица1[Customer Name],Таблица1[[#This Row],[Customer Name]],Таблица1[Order-Year-Month],Таблица1[[#This Row],[Order-Year-Month]])</f>
        <v>1</v>
      </c>
    </row>
    <row r="1311" spans="1:26" x14ac:dyDescent="0.2">
      <c r="A1311" s="6">
        <v>8020</v>
      </c>
      <c r="B1311" s="7">
        <v>57314</v>
      </c>
      <c r="C1311" s="8">
        <f>DATE(2012,12,31)-811</f>
        <v>40463</v>
      </c>
      <c r="D1311" s="8" t="str">
        <f t="shared" si="27"/>
        <v>2010-10 (октябрь 2010)</v>
      </c>
      <c r="E1311" s="9" t="s">
        <v>21</v>
      </c>
      <c r="F1311" s="7">
        <v>22</v>
      </c>
      <c r="G1311" s="7">
        <v>846.35</v>
      </c>
      <c r="H1311" s="7">
        <v>0.04</v>
      </c>
      <c r="I1311" s="9" t="s">
        <v>56</v>
      </c>
      <c r="J1311" s="10">
        <v>341.53</v>
      </c>
      <c r="K1311" s="11">
        <v>37.94</v>
      </c>
      <c r="L1311" s="11">
        <v>5.08</v>
      </c>
      <c r="M1311" s="9" t="s">
        <v>897</v>
      </c>
      <c r="N1311" s="6" t="s">
        <v>974</v>
      </c>
      <c r="O1311" s="6" t="s">
        <v>512</v>
      </c>
      <c r="P1311" s="9" t="s">
        <v>60</v>
      </c>
      <c r="Q1311" s="9" t="s">
        <v>26</v>
      </c>
      <c r="R1311" s="9" t="s">
        <v>61</v>
      </c>
      <c r="S1311" s="7" t="s">
        <v>684</v>
      </c>
      <c r="T1311" s="9" t="s">
        <v>68</v>
      </c>
      <c r="U1311" s="7">
        <v>0.38</v>
      </c>
      <c r="V1311" s="12">
        <f>C1311+4</f>
        <v>40467</v>
      </c>
      <c r="W1311">
        <f>IF(D1311=' Pivot Tables'!$A$4,1,0)</f>
        <v>0</v>
      </c>
      <c r="X1311">
        <f>IF(AND(LEFT(D1311,4)+1=LEFT(' Pivot Tables'!$A$4,4)+0,RIGHT(LEFT(D1311,7),2)=RIGHT(LEFT(' Pivot Tables'!$A$4,7),2)),1,0)</f>
        <v>0</v>
      </c>
      <c r="Y1311" s="6">
        <f>1/COUNTIF(Таблица1[Order ID],Таблица1[[#This Row],[Order ID]])</f>
        <v>0.5</v>
      </c>
      <c r="Z1311" s="9">
        <f>1/COUNTIFS(Таблица1[Customer Name],Таблица1[[#This Row],[Customer Name]],Таблица1[Order-Year-Month],Таблица1[[#This Row],[Order-Year-Month]])</f>
        <v>0.5</v>
      </c>
    </row>
    <row r="1312" spans="1:26" x14ac:dyDescent="0.2">
      <c r="A1312" s="6">
        <v>8021</v>
      </c>
      <c r="B1312" s="7">
        <v>57314</v>
      </c>
      <c r="C1312" s="8">
        <f>DATE(2012,12,31)-811</f>
        <v>40463</v>
      </c>
      <c r="D1312" s="8" t="str">
        <f t="shared" si="27"/>
        <v>2010-10 (октябрь 2010)</v>
      </c>
      <c r="E1312" s="9" t="s">
        <v>21</v>
      </c>
      <c r="F1312" s="7">
        <v>26</v>
      </c>
      <c r="G1312" s="7">
        <v>1976.3945000000001</v>
      </c>
      <c r="H1312" s="7">
        <v>0</v>
      </c>
      <c r="I1312" s="9" t="s">
        <v>22</v>
      </c>
      <c r="J1312" s="10">
        <v>473.35500000000002</v>
      </c>
      <c r="K1312" s="11">
        <v>85.99</v>
      </c>
      <c r="L1312" s="11">
        <v>2.79</v>
      </c>
      <c r="M1312" s="9" t="s">
        <v>897</v>
      </c>
      <c r="N1312" s="6" t="s">
        <v>974</v>
      </c>
      <c r="O1312" s="6" t="s">
        <v>512</v>
      </c>
      <c r="P1312" s="9" t="s">
        <v>60</v>
      </c>
      <c r="Q1312" s="9" t="s">
        <v>42</v>
      </c>
      <c r="R1312" s="9" t="s">
        <v>43</v>
      </c>
      <c r="S1312" s="7" t="s">
        <v>903</v>
      </c>
      <c r="T1312" s="9" t="s">
        <v>39</v>
      </c>
      <c r="U1312" s="7">
        <v>0.57999999999999996</v>
      </c>
      <c r="V1312" s="12">
        <f>C1312+7</f>
        <v>40470</v>
      </c>
      <c r="W1312">
        <f>IF(D1312=' Pivot Tables'!$A$4,1,0)</f>
        <v>0</v>
      </c>
      <c r="X1312">
        <f>IF(AND(LEFT(D1312,4)+1=LEFT(' Pivot Tables'!$A$4,4)+0,RIGHT(LEFT(D1312,7),2)=RIGHT(LEFT(' Pivot Tables'!$A$4,7),2)),1,0)</f>
        <v>0</v>
      </c>
      <c r="Y1312" s="6">
        <f>1/COUNTIF(Таблица1[Order ID],Таблица1[[#This Row],[Order ID]])</f>
        <v>0.5</v>
      </c>
      <c r="Z1312" s="9">
        <f>1/COUNTIFS(Таблица1[Customer Name],Таблица1[[#This Row],[Customer Name]],Таблица1[Order-Year-Month],Таблица1[[#This Row],[Order-Year-Month]])</f>
        <v>0.5</v>
      </c>
    </row>
    <row r="1313" spans="1:26" x14ac:dyDescent="0.2">
      <c r="A1313" s="6">
        <v>8027</v>
      </c>
      <c r="B1313" s="7">
        <v>57376</v>
      </c>
      <c r="C1313" s="8">
        <f>DATE(2012,12,31)-561</f>
        <v>40713</v>
      </c>
      <c r="D1313" s="8" t="str">
        <f t="shared" si="27"/>
        <v>2011-06 (июнь 2011)</v>
      </c>
      <c r="E1313" s="9" t="s">
        <v>78</v>
      </c>
      <c r="F1313" s="7">
        <v>44</v>
      </c>
      <c r="G1313" s="7">
        <v>442.72</v>
      </c>
      <c r="H1313" s="7">
        <v>7.0000000000000007E-2</v>
      </c>
      <c r="I1313" s="9" t="s">
        <v>22</v>
      </c>
      <c r="J1313" s="10">
        <v>-168.38</v>
      </c>
      <c r="K1313" s="11">
        <v>10.52</v>
      </c>
      <c r="L1313" s="11">
        <v>7.94</v>
      </c>
      <c r="M1313" s="9" t="s">
        <v>869</v>
      </c>
      <c r="N1313" s="6" t="s">
        <v>974</v>
      </c>
      <c r="O1313" s="6" t="s">
        <v>512</v>
      </c>
      <c r="P1313" s="9" t="s">
        <v>25</v>
      </c>
      <c r="Q1313" s="9" t="s">
        <v>49</v>
      </c>
      <c r="R1313" s="9" t="s">
        <v>50</v>
      </c>
      <c r="S1313" s="7" t="s">
        <v>928</v>
      </c>
      <c r="T1313" s="9" t="s">
        <v>52</v>
      </c>
      <c r="U1313" s="7">
        <v>0.52</v>
      </c>
      <c r="V1313" s="12">
        <f>C1313+2</f>
        <v>40715</v>
      </c>
      <c r="W1313">
        <f>IF(D1313=' Pivot Tables'!$A$4,1,0)</f>
        <v>0</v>
      </c>
      <c r="X1313">
        <f>IF(AND(LEFT(D1313,4)+1=LEFT(' Pivot Tables'!$A$4,4)+0,RIGHT(LEFT(D1313,7),2)=RIGHT(LEFT(' Pivot Tables'!$A$4,7),2)),1,0)</f>
        <v>0</v>
      </c>
      <c r="Y1313" s="6">
        <f>1/COUNTIF(Таблица1[Order ID],Таблица1[[#This Row],[Order ID]])</f>
        <v>0.5</v>
      </c>
      <c r="Z1313" s="9">
        <f>1/COUNTIFS(Таблица1[Customer Name],Таблица1[[#This Row],[Customer Name]],Таблица1[Order-Year-Month],Таблица1[[#This Row],[Order-Year-Month]])</f>
        <v>0.5</v>
      </c>
    </row>
    <row r="1314" spans="1:26" x14ac:dyDescent="0.2">
      <c r="A1314" s="6">
        <v>8028</v>
      </c>
      <c r="B1314" s="7">
        <v>57376</v>
      </c>
      <c r="C1314" s="8">
        <f>DATE(2012,12,31)-561</f>
        <v>40713</v>
      </c>
      <c r="D1314" s="8" t="str">
        <f t="shared" si="27"/>
        <v>2011-06 (июнь 2011)</v>
      </c>
      <c r="E1314" s="9" t="s">
        <v>78</v>
      </c>
      <c r="F1314" s="7">
        <v>6</v>
      </c>
      <c r="G1314" s="7">
        <v>326.89299999999997</v>
      </c>
      <c r="H1314" s="7">
        <v>7.0000000000000007E-2</v>
      </c>
      <c r="I1314" s="9" t="s">
        <v>22</v>
      </c>
      <c r="J1314" s="10">
        <v>-223.21199999999999</v>
      </c>
      <c r="K1314" s="11">
        <v>65.989999999999995</v>
      </c>
      <c r="L1314" s="11">
        <v>5.31</v>
      </c>
      <c r="M1314" s="9" t="s">
        <v>869</v>
      </c>
      <c r="N1314" s="6" t="s">
        <v>974</v>
      </c>
      <c r="O1314" s="6" t="s">
        <v>512</v>
      </c>
      <c r="P1314" s="9" t="s">
        <v>25</v>
      </c>
      <c r="Q1314" s="9" t="s">
        <v>42</v>
      </c>
      <c r="R1314" s="9" t="s">
        <v>43</v>
      </c>
      <c r="S1314" s="7" t="s">
        <v>430</v>
      </c>
      <c r="T1314" s="9" t="s">
        <v>39</v>
      </c>
      <c r="U1314" s="7">
        <v>0.56999999999999995</v>
      </c>
      <c r="V1314" s="12">
        <f>C1314+0</f>
        <v>40713</v>
      </c>
      <c r="W1314">
        <f>IF(D1314=' Pivot Tables'!$A$4,1,0)</f>
        <v>0</v>
      </c>
      <c r="X1314">
        <f>IF(AND(LEFT(D1314,4)+1=LEFT(' Pivot Tables'!$A$4,4)+0,RIGHT(LEFT(D1314,7),2)=RIGHT(LEFT(' Pivot Tables'!$A$4,7),2)),1,0)</f>
        <v>0</v>
      </c>
      <c r="Y1314" s="6">
        <f>1/COUNTIF(Таблица1[Order ID],Таблица1[[#This Row],[Order ID]])</f>
        <v>0.5</v>
      </c>
      <c r="Z1314" s="9">
        <f>1/COUNTIFS(Таблица1[Customer Name],Таблица1[[#This Row],[Customer Name]],Таблица1[Order-Year-Month],Таблица1[[#This Row],[Order-Year-Month]])</f>
        <v>0.5</v>
      </c>
    </row>
    <row r="1315" spans="1:26" x14ac:dyDescent="0.2">
      <c r="A1315" s="6">
        <v>8086</v>
      </c>
      <c r="B1315" s="7">
        <v>57671</v>
      </c>
      <c r="C1315" s="8">
        <f>DATE(2012,12,31)-54</f>
        <v>41220</v>
      </c>
      <c r="D1315" s="8" t="str">
        <f t="shared" si="27"/>
        <v>2012-11 (ноябрь 2012)</v>
      </c>
      <c r="E1315" s="9" t="s">
        <v>45</v>
      </c>
      <c r="F1315" s="7">
        <v>6</v>
      </c>
      <c r="G1315" s="7">
        <v>22.78</v>
      </c>
      <c r="H1315" s="7">
        <v>0.01</v>
      </c>
      <c r="I1315" s="9" t="s">
        <v>22</v>
      </c>
      <c r="J1315" s="10">
        <v>3.96</v>
      </c>
      <c r="K1315" s="11">
        <v>3.75</v>
      </c>
      <c r="L1315" s="11">
        <v>0.5</v>
      </c>
      <c r="M1315" s="9" t="s">
        <v>880</v>
      </c>
      <c r="N1315" s="6" t="s">
        <v>974</v>
      </c>
      <c r="O1315" s="6" t="s">
        <v>512</v>
      </c>
      <c r="P1315" s="9" t="s">
        <v>33</v>
      </c>
      <c r="Q1315" s="9" t="s">
        <v>26</v>
      </c>
      <c r="R1315" s="9" t="s">
        <v>88</v>
      </c>
      <c r="S1315" s="7" t="s">
        <v>130</v>
      </c>
      <c r="T1315" s="9" t="s">
        <v>39</v>
      </c>
      <c r="U1315" s="7">
        <v>0.37</v>
      </c>
      <c r="V1315" s="12">
        <f>C1315+1</f>
        <v>41221</v>
      </c>
      <c r="W1315">
        <f>IF(D1315=' Pivot Tables'!$A$4,1,0)</f>
        <v>0</v>
      </c>
      <c r="X1315">
        <f>IF(AND(LEFT(D1315,4)+1=LEFT(' Pivot Tables'!$A$4,4)+0,RIGHT(LEFT(D1315,7),2)=RIGHT(LEFT(' Pivot Tables'!$A$4,7),2)),1,0)</f>
        <v>0</v>
      </c>
      <c r="Y1315" s="6">
        <f>1/COUNTIF(Таблица1[Order ID],Таблица1[[#This Row],[Order ID]])</f>
        <v>1</v>
      </c>
      <c r="Z1315" s="9">
        <f>1/COUNTIFS(Таблица1[Customer Name],Таблица1[[#This Row],[Customer Name]],Таблица1[Order-Year-Month],Таблица1[[#This Row],[Order-Year-Month]])</f>
        <v>1</v>
      </c>
    </row>
    <row r="1316" spans="1:26" x14ac:dyDescent="0.2">
      <c r="A1316" s="6">
        <v>8092</v>
      </c>
      <c r="B1316" s="7">
        <v>57700</v>
      </c>
      <c r="C1316" s="8">
        <f>DATE(2012,12,31)-415</f>
        <v>40859</v>
      </c>
      <c r="D1316" s="8" t="str">
        <f t="shared" si="27"/>
        <v>2011-11 (ноябрь 2011)</v>
      </c>
      <c r="E1316" s="9" t="s">
        <v>63</v>
      </c>
      <c r="F1316" s="7">
        <v>38</v>
      </c>
      <c r="G1316" s="7">
        <v>1806.43</v>
      </c>
      <c r="H1316" s="7">
        <v>0.04</v>
      </c>
      <c r="I1316" s="9" t="s">
        <v>22</v>
      </c>
      <c r="J1316" s="10">
        <v>134.85</v>
      </c>
      <c r="K1316" s="11">
        <v>47.98</v>
      </c>
      <c r="L1316" s="11">
        <v>3.61</v>
      </c>
      <c r="M1316" s="9" t="s">
        <v>993</v>
      </c>
      <c r="N1316" s="6" t="s">
        <v>974</v>
      </c>
      <c r="O1316" s="6" t="s">
        <v>512</v>
      </c>
      <c r="P1316" s="9" t="s">
        <v>41</v>
      </c>
      <c r="Q1316" s="9" t="s">
        <v>42</v>
      </c>
      <c r="R1316" s="9" t="s">
        <v>70</v>
      </c>
      <c r="S1316" s="7" t="s">
        <v>71</v>
      </c>
      <c r="T1316" s="9" t="s">
        <v>52</v>
      </c>
      <c r="U1316" s="7">
        <v>0.71</v>
      </c>
      <c r="V1316" s="12">
        <f>C1316+0</f>
        <v>40859</v>
      </c>
      <c r="W1316">
        <f>IF(D1316=' Pivot Tables'!$A$4,1,0)</f>
        <v>0</v>
      </c>
      <c r="X1316">
        <f>IF(AND(LEFT(D1316,4)+1=LEFT(' Pivot Tables'!$A$4,4)+0,RIGHT(LEFT(D1316,7),2)=RIGHT(LEFT(' Pivot Tables'!$A$4,7),2)),1,0)</f>
        <v>0</v>
      </c>
      <c r="Y1316" s="6">
        <f>1/COUNTIF(Таблица1[Order ID],Таблица1[[#This Row],[Order ID]])</f>
        <v>1</v>
      </c>
      <c r="Z1316" s="9">
        <f>1/COUNTIFS(Таблица1[Customer Name],Таблица1[[#This Row],[Customer Name]],Таблица1[Order-Year-Month],Таблица1[[#This Row],[Order-Year-Month]])</f>
        <v>1</v>
      </c>
    </row>
    <row r="1317" spans="1:26" x14ac:dyDescent="0.2">
      <c r="A1317" s="6">
        <v>8172</v>
      </c>
      <c r="B1317" s="7">
        <v>58407</v>
      </c>
      <c r="C1317" s="8">
        <f>DATE(2012,12,31)-605</f>
        <v>40669</v>
      </c>
      <c r="D1317" s="8" t="str">
        <f t="shared" si="27"/>
        <v>2011-05 (май 2011)</v>
      </c>
      <c r="E1317" s="9" t="s">
        <v>30</v>
      </c>
      <c r="F1317" s="7">
        <v>29</v>
      </c>
      <c r="G1317" s="7">
        <v>1669.88</v>
      </c>
      <c r="H1317" s="7">
        <v>0.02</v>
      </c>
      <c r="I1317" s="9" t="s">
        <v>22</v>
      </c>
      <c r="J1317" s="10">
        <v>548.91999999999996</v>
      </c>
      <c r="K1317" s="11">
        <v>55.48</v>
      </c>
      <c r="L1317" s="11">
        <v>14.3</v>
      </c>
      <c r="M1317" s="9" t="s">
        <v>973</v>
      </c>
      <c r="N1317" s="6" t="s">
        <v>974</v>
      </c>
      <c r="O1317" s="6" t="s">
        <v>512</v>
      </c>
      <c r="P1317" s="9" t="s">
        <v>41</v>
      </c>
      <c r="Q1317" s="9" t="s">
        <v>26</v>
      </c>
      <c r="R1317" s="9" t="s">
        <v>61</v>
      </c>
      <c r="S1317" s="7" t="s">
        <v>507</v>
      </c>
      <c r="T1317" s="9" t="s">
        <v>39</v>
      </c>
      <c r="U1317" s="7">
        <v>0.37</v>
      </c>
      <c r="V1317" s="12">
        <f>C1317+3</f>
        <v>40672</v>
      </c>
      <c r="W1317">
        <f>IF(D1317=' Pivot Tables'!$A$4,1,0)</f>
        <v>0</v>
      </c>
      <c r="X1317">
        <f>IF(AND(LEFT(D1317,4)+1=LEFT(' Pivot Tables'!$A$4,4)+0,RIGHT(LEFT(D1317,7),2)=RIGHT(LEFT(' Pivot Tables'!$A$4,7),2)),1,0)</f>
        <v>0</v>
      </c>
      <c r="Y1317" s="6">
        <f>1/COUNTIF(Таблица1[Order ID],Таблица1[[#This Row],[Order ID]])</f>
        <v>1</v>
      </c>
      <c r="Z1317" s="9">
        <f>1/COUNTIFS(Таблица1[Customer Name],Таблица1[[#This Row],[Customer Name]],Таблица1[Order-Year-Month],Таблица1[[#This Row],[Order-Year-Month]])</f>
        <v>1</v>
      </c>
    </row>
    <row r="1318" spans="1:26" x14ac:dyDescent="0.2">
      <c r="A1318" s="6">
        <v>8191</v>
      </c>
      <c r="B1318" s="7">
        <v>58593</v>
      </c>
      <c r="C1318" s="8">
        <f>DATE(2012,12,31)-480</f>
        <v>40794</v>
      </c>
      <c r="D1318" s="8" t="str">
        <f t="shared" si="27"/>
        <v>2011-09 (сентябрь 2011)</v>
      </c>
      <c r="E1318" s="9" t="s">
        <v>78</v>
      </c>
      <c r="F1318" s="7">
        <v>29</v>
      </c>
      <c r="G1318" s="7">
        <v>2018.45</v>
      </c>
      <c r="H1318" s="7">
        <v>0.08</v>
      </c>
      <c r="I1318" s="9" t="s">
        <v>22</v>
      </c>
      <c r="J1318" s="10">
        <v>-812.25</v>
      </c>
      <c r="K1318" s="11">
        <v>70.709999999999994</v>
      </c>
      <c r="L1318" s="11">
        <v>37.58</v>
      </c>
      <c r="M1318" s="9" t="s">
        <v>892</v>
      </c>
      <c r="N1318" s="6" t="s">
        <v>974</v>
      </c>
      <c r="O1318" s="6" t="s">
        <v>512</v>
      </c>
      <c r="P1318" s="9" t="s">
        <v>41</v>
      </c>
      <c r="Q1318" s="9" t="s">
        <v>49</v>
      </c>
      <c r="R1318" s="9" t="s">
        <v>50</v>
      </c>
      <c r="S1318" s="7" t="s">
        <v>724</v>
      </c>
      <c r="T1318" s="9" t="s">
        <v>68</v>
      </c>
      <c r="U1318" s="7">
        <v>0.78</v>
      </c>
      <c r="V1318" s="12">
        <f>C1318+1</f>
        <v>40795</v>
      </c>
      <c r="W1318">
        <f>IF(D1318=' Pivot Tables'!$A$4,1,0)</f>
        <v>0</v>
      </c>
      <c r="X1318">
        <f>IF(AND(LEFT(D1318,4)+1=LEFT(' Pivot Tables'!$A$4,4)+0,RIGHT(LEFT(D1318,7),2)=RIGHT(LEFT(' Pivot Tables'!$A$4,7),2)),1,0)</f>
        <v>0</v>
      </c>
      <c r="Y1318" s="6">
        <f>1/COUNTIF(Таблица1[Order ID],Таблица1[[#This Row],[Order ID]])</f>
        <v>1</v>
      </c>
      <c r="Z1318" s="9">
        <f>1/COUNTIFS(Таблица1[Customer Name],Таблица1[[#This Row],[Customer Name]],Таблица1[Order-Year-Month],Таблица1[[#This Row],[Order-Year-Month]])</f>
        <v>1</v>
      </c>
    </row>
    <row r="1319" spans="1:26" x14ac:dyDescent="0.2">
      <c r="A1319" s="6">
        <v>8238</v>
      </c>
      <c r="B1319" s="7">
        <v>58884</v>
      </c>
      <c r="C1319" s="8">
        <f>DATE(2012,12,31)-651</f>
        <v>40623</v>
      </c>
      <c r="D1319" s="8" t="str">
        <f t="shared" si="27"/>
        <v>2011-03 (март 2011)</v>
      </c>
      <c r="E1319" s="9" t="s">
        <v>21</v>
      </c>
      <c r="F1319" s="7">
        <v>29</v>
      </c>
      <c r="G1319" s="7">
        <v>87.68</v>
      </c>
      <c r="H1319" s="7">
        <v>0.03</v>
      </c>
      <c r="I1319" s="9" t="s">
        <v>22</v>
      </c>
      <c r="J1319" s="10">
        <v>23.14</v>
      </c>
      <c r="K1319" s="11">
        <v>2.88</v>
      </c>
      <c r="L1319" s="11">
        <v>0.99</v>
      </c>
      <c r="M1319" s="9" t="s">
        <v>965</v>
      </c>
      <c r="N1319" s="6" t="s">
        <v>974</v>
      </c>
      <c r="O1319" s="6" t="s">
        <v>512</v>
      </c>
      <c r="P1319" s="9" t="s">
        <v>41</v>
      </c>
      <c r="Q1319" s="9" t="s">
        <v>26</v>
      </c>
      <c r="R1319" s="9" t="s">
        <v>88</v>
      </c>
      <c r="S1319" s="7" t="s">
        <v>300</v>
      </c>
      <c r="T1319" s="9" t="s">
        <v>39</v>
      </c>
      <c r="U1319" s="7">
        <v>0.36</v>
      </c>
      <c r="V1319" s="12">
        <f>C1319+5</f>
        <v>40628</v>
      </c>
      <c r="W1319">
        <f>IF(D1319=' Pivot Tables'!$A$4,1,0)</f>
        <v>0</v>
      </c>
      <c r="X1319">
        <f>IF(AND(LEFT(D1319,4)+1=LEFT(' Pivot Tables'!$A$4,4)+0,RIGHT(LEFT(D1319,7),2)=RIGHT(LEFT(' Pivot Tables'!$A$4,7),2)),1,0)</f>
        <v>0</v>
      </c>
      <c r="Y1319" s="6">
        <f>1/COUNTIF(Таблица1[Order ID],Таблица1[[#This Row],[Order ID]])</f>
        <v>0.5</v>
      </c>
      <c r="Z1319" s="9">
        <f>1/COUNTIFS(Таблица1[Customer Name],Таблица1[[#This Row],[Customer Name]],Таблица1[Order-Year-Month],Таблица1[[#This Row],[Order-Year-Month]])</f>
        <v>0.5</v>
      </c>
    </row>
    <row r="1320" spans="1:26" x14ac:dyDescent="0.2">
      <c r="A1320" s="6">
        <v>8239</v>
      </c>
      <c r="B1320" s="7">
        <v>58884</v>
      </c>
      <c r="C1320" s="8">
        <f>DATE(2012,12,31)-651</f>
        <v>40623</v>
      </c>
      <c r="D1320" s="8" t="str">
        <f t="shared" si="27"/>
        <v>2011-03 (март 2011)</v>
      </c>
      <c r="E1320" s="9" t="s">
        <v>21</v>
      </c>
      <c r="F1320" s="7">
        <v>46</v>
      </c>
      <c r="G1320" s="7">
        <v>3732.25</v>
      </c>
      <c r="H1320" s="7">
        <v>0.1</v>
      </c>
      <c r="I1320" s="9" t="s">
        <v>31</v>
      </c>
      <c r="J1320" s="10">
        <v>-1255.8600000000001</v>
      </c>
      <c r="K1320" s="11">
        <v>85.29</v>
      </c>
      <c r="L1320" s="11">
        <v>60</v>
      </c>
      <c r="M1320" s="9" t="s">
        <v>965</v>
      </c>
      <c r="N1320" s="6" t="s">
        <v>974</v>
      </c>
      <c r="O1320" s="6" t="s">
        <v>512</v>
      </c>
      <c r="P1320" s="9" t="s">
        <v>41</v>
      </c>
      <c r="Q1320" s="9" t="s">
        <v>49</v>
      </c>
      <c r="R1320" s="9" t="s">
        <v>83</v>
      </c>
      <c r="S1320" s="7" t="s">
        <v>679</v>
      </c>
      <c r="T1320" s="9" t="s">
        <v>36</v>
      </c>
      <c r="U1320" s="7">
        <v>0.56000000000000005</v>
      </c>
      <c r="V1320" s="12">
        <f>C1320+5</f>
        <v>40628</v>
      </c>
      <c r="W1320">
        <f>IF(D1320=' Pivot Tables'!$A$4,1,0)</f>
        <v>0</v>
      </c>
      <c r="X1320">
        <f>IF(AND(LEFT(D1320,4)+1=LEFT(' Pivot Tables'!$A$4,4)+0,RIGHT(LEFT(D1320,7),2)=RIGHT(LEFT(' Pivot Tables'!$A$4,7),2)),1,0)</f>
        <v>0</v>
      </c>
      <c r="Y1320" s="6">
        <f>1/COUNTIF(Таблица1[Order ID],Таблица1[[#This Row],[Order ID]])</f>
        <v>0.5</v>
      </c>
      <c r="Z1320" s="9">
        <f>1/COUNTIFS(Таблица1[Customer Name],Таблица1[[#This Row],[Customer Name]],Таблица1[Order-Year-Month],Таблица1[[#This Row],[Order-Year-Month]])</f>
        <v>0.5</v>
      </c>
    </row>
    <row r="1321" spans="1:26" x14ac:dyDescent="0.2">
      <c r="A1321" s="6">
        <v>8240</v>
      </c>
      <c r="B1321" s="7">
        <v>58913</v>
      </c>
      <c r="C1321" s="8">
        <f>DATE(2012,12,31)-965</f>
        <v>40309</v>
      </c>
      <c r="D1321" s="8" t="str">
        <f t="shared" si="27"/>
        <v>2010-05 (май 2010)</v>
      </c>
      <c r="E1321" s="9" t="s">
        <v>63</v>
      </c>
      <c r="F1321" s="7">
        <v>23</v>
      </c>
      <c r="G1321" s="7">
        <v>144.55000000000001</v>
      </c>
      <c r="H1321" s="7">
        <v>7.0000000000000007E-2</v>
      </c>
      <c r="I1321" s="9" t="s">
        <v>22</v>
      </c>
      <c r="J1321" s="10">
        <v>-60.17</v>
      </c>
      <c r="K1321" s="11">
        <v>6.48</v>
      </c>
      <c r="L1321" s="11">
        <v>5.94</v>
      </c>
      <c r="M1321" s="9" t="s">
        <v>909</v>
      </c>
      <c r="N1321" s="6" t="s">
        <v>974</v>
      </c>
      <c r="O1321" s="6" t="s">
        <v>512</v>
      </c>
      <c r="P1321" s="9" t="s">
        <v>41</v>
      </c>
      <c r="Q1321" s="9" t="s">
        <v>26</v>
      </c>
      <c r="R1321" s="9" t="s">
        <v>61</v>
      </c>
      <c r="S1321" s="7" t="s">
        <v>994</v>
      </c>
      <c r="T1321" s="9" t="s">
        <v>39</v>
      </c>
      <c r="U1321" s="7">
        <v>0.37</v>
      </c>
      <c r="V1321" s="12">
        <f>C1321+2</f>
        <v>40311</v>
      </c>
      <c r="W1321">
        <f>IF(D1321=' Pivot Tables'!$A$4,1,0)</f>
        <v>0</v>
      </c>
      <c r="X1321">
        <f>IF(AND(LEFT(D1321,4)+1=LEFT(' Pivot Tables'!$A$4,4)+0,RIGHT(LEFT(D1321,7),2)=RIGHT(LEFT(' Pivot Tables'!$A$4,7),2)),1,0)</f>
        <v>0</v>
      </c>
      <c r="Y1321" s="6">
        <f>1/COUNTIF(Таблица1[Order ID],Таблица1[[#This Row],[Order ID]])</f>
        <v>1</v>
      </c>
      <c r="Z1321" s="9">
        <f>1/COUNTIFS(Таблица1[Customer Name],Таблица1[[#This Row],[Customer Name]],Таблица1[Order-Year-Month],Таблица1[[#This Row],[Order-Year-Month]])</f>
        <v>1</v>
      </c>
    </row>
    <row r="1322" spans="1:26" x14ac:dyDescent="0.2">
      <c r="A1322" s="6">
        <v>8248</v>
      </c>
      <c r="B1322" s="7">
        <v>58978</v>
      </c>
      <c r="C1322" s="8">
        <f>DATE(2012,12,31)-329</f>
        <v>40945</v>
      </c>
      <c r="D1322" s="8" t="str">
        <f t="shared" si="27"/>
        <v>2012-02 (февраль 2012)</v>
      </c>
      <c r="E1322" s="9" t="s">
        <v>21</v>
      </c>
      <c r="F1322" s="7">
        <v>13</v>
      </c>
      <c r="G1322" s="7">
        <v>75.89</v>
      </c>
      <c r="H1322" s="7">
        <v>0.09</v>
      </c>
      <c r="I1322" s="9" t="s">
        <v>22</v>
      </c>
      <c r="J1322" s="10">
        <v>-31.01</v>
      </c>
      <c r="K1322" s="11">
        <v>5.98</v>
      </c>
      <c r="L1322" s="11">
        <v>5.15</v>
      </c>
      <c r="M1322" s="9" t="s">
        <v>890</v>
      </c>
      <c r="N1322" s="6" t="s">
        <v>974</v>
      </c>
      <c r="O1322" s="6" t="s">
        <v>512</v>
      </c>
      <c r="P1322" s="9" t="s">
        <v>33</v>
      </c>
      <c r="Q1322" s="9" t="s">
        <v>26</v>
      </c>
      <c r="R1322" s="9" t="s">
        <v>61</v>
      </c>
      <c r="S1322" s="7" t="s">
        <v>995</v>
      </c>
      <c r="T1322" s="9" t="s">
        <v>39</v>
      </c>
      <c r="U1322" s="7">
        <v>0.36</v>
      </c>
      <c r="V1322" s="12">
        <f>C1322+7</f>
        <v>40952</v>
      </c>
      <c r="W1322">
        <f>IF(D1322=' Pivot Tables'!$A$4,1,0)</f>
        <v>0</v>
      </c>
      <c r="X1322">
        <f>IF(AND(LEFT(D1322,4)+1=LEFT(' Pivot Tables'!$A$4,4)+0,RIGHT(LEFT(D1322,7),2)=RIGHT(LEFT(' Pivot Tables'!$A$4,7),2)),1,0)</f>
        <v>0</v>
      </c>
      <c r="Y1322" s="6">
        <f>1/COUNTIF(Таблица1[Order ID],Таблица1[[#This Row],[Order ID]])</f>
        <v>1</v>
      </c>
      <c r="Z1322" s="9">
        <f>1/COUNTIFS(Таблица1[Customer Name],Таблица1[[#This Row],[Customer Name]],Таблица1[Order-Year-Month],Таблица1[[#This Row],[Order-Year-Month]])</f>
        <v>1</v>
      </c>
    </row>
    <row r="1323" spans="1:26" x14ac:dyDescent="0.2">
      <c r="A1323" s="6">
        <v>37</v>
      </c>
      <c r="B1323" s="7">
        <v>229</v>
      </c>
      <c r="C1323" s="8">
        <f>DATE(2012,12,31)-734</f>
        <v>40540</v>
      </c>
      <c r="D1323" s="8" t="str">
        <f t="shared" si="27"/>
        <v>2010-12 (декабрь 2010)</v>
      </c>
      <c r="E1323" s="9" t="s">
        <v>78</v>
      </c>
      <c r="F1323" s="7">
        <v>43</v>
      </c>
      <c r="G1323" s="7">
        <v>586.11</v>
      </c>
      <c r="H1323" s="7">
        <v>0.11</v>
      </c>
      <c r="I1323" s="9" t="s">
        <v>22</v>
      </c>
      <c r="J1323" s="10">
        <v>98.44</v>
      </c>
      <c r="K1323" s="11">
        <v>12.64</v>
      </c>
      <c r="L1323" s="11">
        <v>4.9800000000000004</v>
      </c>
      <c r="M1323" s="9" t="s">
        <v>996</v>
      </c>
      <c r="N1323" s="6" t="s">
        <v>974</v>
      </c>
      <c r="O1323" s="6" t="s">
        <v>512</v>
      </c>
      <c r="P1323" s="9" t="s">
        <v>33</v>
      </c>
      <c r="Q1323" s="9" t="s">
        <v>49</v>
      </c>
      <c r="R1323" s="9" t="s">
        <v>50</v>
      </c>
      <c r="S1323" s="7" t="s">
        <v>997</v>
      </c>
      <c r="T1323" s="9" t="s">
        <v>52</v>
      </c>
      <c r="U1323" s="7">
        <v>0.48</v>
      </c>
      <c r="V1323" s="12">
        <f>C1323+2</f>
        <v>40542</v>
      </c>
      <c r="W1323">
        <f>IF(D1323=' Pivot Tables'!$A$4,1,0)</f>
        <v>0</v>
      </c>
      <c r="X1323">
        <f>IF(AND(LEFT(D1323,4)+1=LEFT(' Pivot Tables'!$A$4,4)+0,RIGHT(LEFT(D1323,7),2)=RIGHT(LEFT(' Pivot Tables'!$A$4,7),2)),1,0)</f>
        <v>0</v>
      </c>
      <c r="Y1323" s="6">
        <f>1/COUNTIF(Таблица1[Order ID],Таблица1[[#This Row],[Order ID]])</f>
        <v>0.5</v>
      </c>
      <c r="Z1323" s="9">
        <f>1/COUNTIFS(Таблица1[Customer Name],Таблица1[[#This Row],[Customer Name]],Таблица1[Order-Year-Month],Таблица1[[#This Row],[Order-Year-Month]])</f>
        <v>1</v>
      </c>
    </row>
    <row r="1324" spans="1:26" x14ac:dyDescent="0.2">
      <c r="A1324" s="6">
        <v>108</v>
      </c>
      <c r="B1324" s="7">
        <v>706</v>
      </c>
      <c r="C1324" s="8">
        <f>DATE(2012,12,31)-480</f>
        <v>40794</v>
      </c>
      <c r="D1324" s="8" t="str">
        <f t="shared" si="27"/>
        <v>2011-09 (сентябрь 2011)</v>
      </c>
      <c r="E1324" s="9" t="s">
        <v>78</v>
      </c>
      <c r="F1324" s="7">
        <v>42</v>
      </c>
      <c r="G1324" s="7">
        <v>75.14</v>
      </c>
      <c r="H1324" s="7">
        <v>0.05</v>
      </c>
      <c r="I1324" s="9" t="s">
        <v>22</v>
      </c>
      <c r="J1324" s="10">
        <v>0.82</v>
      </c>
      <c r="K1324" s="11">
        <v>1.76</v>
      </c>
      <c r="L1324" s="11">
        <v>0.7</v>
      </c>
      <c r="M1324" s="9" t="s">
        <v>998</v>
      </c>
      <c r="N1324" s="6" t="s">
        <v>974</v>
      </c>
      <c r="O1324" s="6" t="s">
        <v>512</v>
      </c>
      <c r="P1324" s="9" t="s">
        <v>33</v>
      </c>
      <c r="Q1324" s="9" t="s">
        <v>26</v>
      </c>
      <c r="R1324" s="9" t="s">
        <v>95</v>
      </c>
      <c r="S1324" s="7" t="s">
        <v>193</v>
      </c>
      <c r="T1324" s="9" t="s">
        <v>68</v>
      </c>
      <c r="U1324" s="7">
        <v>0.56000000000000005</v>
      </c>
      <c r="V1324" s="12">
        <f>C1324+2</f>
        <v>40796</v>
      </c>
      <c r="W1324">
        <f>IF(D1324=' Pivot Tables'!$A$4,1,0)</f>
        <v>0</v>
      </c>
      <c r="X1324">
        <f>IF(AND(LEFT(D1324,4)+1=LEFT(' Pivot Tables'!$A$4,4)+0,RIGHT(LEFT(D1324,7),2)=RIGHT(LEFT(' Pivot Tables'!$A$4,7),2)),1,0)</f>
        <v>0</v>
      </c>
      <c r="Y1324" s="6">
        <f>1/COUNTIF(Таблица1[Order ID],Таблица1[[#This Row],[Order ID]])</f>
        <v>1</v>
      </c>
      <c r="Z1324" s="9">
        <f>1/COUNTIFS(Таблица1[Customer Name],Таблица1[[#This Row],[Customer Name]],Таблица1[Order-Year-Month],Таблица1[[#This Row],[Order-Year-Month]])</f>
        <v>1</v>
      </c>
    </row>
    <row r="1325" spans="1:26" x14ac:dyDescent="0.2">
      <c r="A1325" s="6">
        <v>193</v>
      </c>
      <c r="B1325" s="7">
        <v>1285</v>
      </c>
      <c r="C1325" s="8">
        <f>DATE(2012,12,31)-214</f>
        <v>41060</v>
      </c>
      <c r="D1325" s="8" t="str">
        <f t="shared" si="27"/>
        <v>2012-05 (май 2012)</v>
      </c>
      <c r="E1325" s="9" t="s">
        <v>78</v>
      </c>
      <c r="F1325" s="7">
        <v>27</v>
      </c>
      <c r="G1325" s="7">
        <v>3874.12</v>
      </c>
      <c r="H1325" s="7">
        <v>0</v>
      </c>
      <c r="I1325" s="9" t="s">
        <v>31</v>
      </c>
      <c r="J1325" s="10">
        <v>-305.98</v>
      </c>
      <c r="K1325" s="11">
        <v>130.97999999999999</v>
      </c>
      <c r="L1325" s="11">
        <v>54.74</v>
      </c>
      <c r="M1325" s="9" t="s">
        <v>999</v>
      </c>
      <c r="N1325" s="6" t="s">
        <v>974</v>
      </c>
      <c r="O1325" s="6" t="s">
        <v>512</v>
      </c>
      <c r="P1325" s="9" t="s">
        <v>41</v>
      </c>
      <c r="Q1325" s="9" t="s">
        <v>49</v>
      </c>
      <c r="R1325" s="9" t="s">
        <v>80</v>
      </c>
      <c r="S1325" s="7" t="s">
        <v>807</v>
      </c>
      <c r="T1325" s="9" t="s">
        <v>82</v>
      </c>
      <c r="U1325" s="7">
        <v>0.69</v>
      </c>
      <c r="V1325" s="12">
        <f>C1325+0</f>
        <v>41060</v>
      </c>
      <c r="W1325">
        <f>IF(D1325=' Pivot Tables'!$A$4,1,0)</f>
        <v>0</v>
      </c>
      <c r="X1325">
        <f>IF(AND(LEFT(D1325,4)+1=LEFT(' Pivot Tables'!$A$4,4)+0,RIGHT(LEFT(D1325,7),2)=RIGHT(LEFT(' Pivot Tables'!$A$4,7),2)),1,0)</f>
        <v>0</v>
      </c>
      <c r="Y1325" s="6">
        <f>1/COUNTIF(Таблица1[Order ID],Таблица1[[#This Row],[Order ID]])</f>
        <v>0.5</v>
      </c>
      <c r="Z1325" s="9">
        <f>1/COUNTIFS(Таблица1[Customer Name],Таблица1[[#This Row],[Customer Name]],Таблица1[Order-Year-Month],Таблица1[[#This Row],[Order-Year-Month]])</f>
        <v>0.5</v>
      </c>
    </row>
    <row r="1326" spans="1:26" x14ac:dyDescent="0.2">
      <c r="A1326" s="6">
        <v>194</v>
      </c>
      <c r="B1326" s="7">
        <v>1285</v>
      </c>
      <c r="C1326" s="8">
        <f>DATE(2012,12,31)-214</f>
        <v>41060</v>
      </c>
      <c r="D1326" s="8" t="str">
        <f t="shared" si="27"/>
        <v>2012-05 (май 2012)</v>
      </c>
      <c r="E1326" s="9" t="s">
        <v>78</v>
      </c>
      <c r="F1326" s="7">
        <v>8</v>
      </c>
      <c r="G1326" s="7">
        <v>1452.2160000000001</v>
      </c>
      <c r="H1326" s="7">
        <v>0.05</v>
      </c>
      <c r="I1326" s="9" t="s">
        <v>31</v>
      </c>
      <c r="J1326" s="10">
        <v>-277.29000000000002</v>
      </c>
      <c r="K1326" s="11">
        <v>218.75</v>
      </c>
      <c r="L1326" s="11">
        <v>69.64</v>
      </c>
      <c r="M1326" s="9" t="s">
        <v>999</v>
      </c>
      <c r="N1326" s="6" t="s">
        <v>974</v>
      </c>
      <c r="O1326" s="6" t="s">
        <v>512</v>
      </c>
      <c r="P1326" s="9" t="s">
        <v>41</v>
      </c>
      <c r="Q1326" s="9" t="s">
        <v>49</v>
      </c>
      <c r="R1326" s="9" t="s">
        <v>83</v>
      </c>
      <c r="S1326" s="7" t="s">
        <v>254</v>
      </c>
      <c r="T1326" s="9" t="s">
        <v>82</v>
      </c>
      <c r="U1326" s="7">
        <v>0.77</v>
      </c>
      <c r="V1326" s="12">
        <f>C1326+1</f>
        <v>41061</v>
      </c>
      <c r="W1326">
        <f>IF(D1326=' Pivot Tables'!$A$4,1,0)</f>
        <v>0</v>
      </c>
      <c r="X1326">
        <f>IF(AND(LEFT(D1326,4)+1=LEFT(' Pivot Tables'!$A$4,4)+0,RIGHT(LEFT(D1326,7),2)=RIGHT(LEFT(' Pivot Tables'!$A$4,7),2)),1,0)</f>
        <v>0</v>
      </c>
      <c r="Y1326" s="6">
        <f>1/COUNTIF(Таблица1[Order ID],Таблица1[[#This Row],[Order ID]])</f>
        <v>0.5</v>
      </c>
      <c r="Z1326" s="9">
        <f>1/COUNTIFS(Таблица1[Customer Name],Таблица1[[#This Row],[Customer Name]],Таблица1[Order-Year-Month],Таблица1[[#This Row],[Order-Year-Month]])</f>
        <v>0.5</v>
      </c>
    </row>
    <row r="1327" spans="1:26" x14ac:dyDescent="0.2">
      <c r="A1327" s="6">
        <v>198</v>
      </c>
      <c r="B1327" s="7">
        <v>1313</v>
      </c>
      <c r="C1327" s="8">
        <f>DATE(2012,12,31)-1206</f>
        <v>40068</v>
      </c>
      <c r="D1327" s="8" t="str">
        <f t="shared" si="27"/>
        <v>2009-09 (сентябрь 2009)</v>
      </c>
      <c r="E1327" s="9" t="s">
        <v>78</v>
      </c>
      <c r="F1327" s="7">
        <v>34</v>
      </c>
      <c r="G1327" s="7">
        <v>840.07</v>
      </c>
      <c r="H1327" s="7">
        <v>0</v>
      </c>
      <c r="I1327" s="9" t="s">
        <v>22</v>
      </c>
      <c r="J1327" s="10">
        <v>-83.75</v>
      </c>
      <c r="K1327" s="11">
        <v>22.84</v>
      </c>
      <c r="L1327" s="11">
        <v>16.920000000000002</v>
      </c>
      <c r="M1327" s="9" t="s">
        <v>999</v>
      </c>
      <c r="N1327" s="6" t="s">
        <v>974</v>
      </c>
      <c r="O1327" s="6" t="s">
        <v>512</v>
      </c>
      <c r="P1327" s="9" t="s">
        <v>60</v>
      </c>
      <c r="Q1327" s="9" t="s">
        <v>26</v>
      </c>
      <c r="R1327" s="9" t="s">
        <v>61</v>
      </c>
      <c r="S1327" s="7" t="s">
        <v>1000</v>
      </c>
      <c r="T1327" s="9" t="s">
        <v>39</v>
      </c>
      <c r="U1327" s="7">
        <v>0.39</v>
      </c>
      <c r="V1327" s="12">
        <f>C1327+2</f>
        <v>40070</v>
      </c>
      <c r="W1327">
        <f>IF(D1327=' Pivot Tables'!$A$4,1,0)</f>
        <v>0</v>
      </c>
      <c r="X1327">
        <f>IF(AND(LEFT(D1327,4)+1=LEFT(' Pivot Tables'!$A$4,4)+0,RIGHT(LEFT(D1327,7),2)=RIGHT(LEFT(' Pivot Tables'!$A$4,7),2)),1,0)</f>
        <v>0</v>
      </c>
      <c r="Y1327" s="6">
        <f>1/COUNTIF(Таблица1[Order ID],Таблица1[[#This Row],[Order ID]])</f>
        <v>1</v>
      </c>
      <c r="Z1327" s="9">
        <f>1/COUNTIFS(Таблица1[Customer Name],Таблица1[[#This Row],[Customer Name]],Таблица1[Order-Year-Month],Таблица1[[#This Row],[Order-Year-Month]])</f>
        <v>1</v>
      </c>
    </row>
    <row r="1328" spans="1:26" x14ac:dyDescent="0.2">
      <c r="A1328" s="6">
        <v>206</v>
      </c>
      <c r="B1328" s="7">
        <v>1346</v>
      </c>
      <c r="C1328" s="8">
        <f>DATE(2012,12,31)-197</f>
        <v>41077</v>
      </c>
      <c r="D1328" s="8" t="str">
        <f t="shared" si="27"/>
        <v>2012-06 (июнь 2012)</v>
      </c>
      <c r="E1328" s="9" t="s">
        <v>30</v>
      </c>
      <c r="F1328" s="7">
        <v>48</v>
      </c>
      <c r="G1328" s="7">
        <v>4789.8900000000003</v>
      </c>
      <c r="H1328" s="7">
        <v>0.09</v>
      </c>
      <c r="I1328" s="9" t="s">
        <v>31</v>
      </c>
      <c r="J1328" s="10">
        <v>421.15</v>
      </c>
      <c r="K1328" s="11">
        <v>100.98</v>
      </c>
      <c r="L1328" s="11">
        <v>26.22</v>
      </c>
      <c r="M1328" s="9" t="s">
        <v>1001</v>
      </c>
      <c r="N1328" s="6" t="s">
        <v>974</v>
      </c>
      <c r="O1328" s="6" t="s">
        <v>512</v>
      </c>
      <c r="P1328" s="9" t="s">
        <v>41</v>
      </c>
      <c r="Q1328" s="9" t="s">
        <v>49</v>
      </c>
      <c r="R1328" s="9" t="s">
        <v>80</v>
      </c>
      <c r="S1328" s="7" t="s">
        <v>81</v>
      </c>
      <c r="T1328" s="9" t="s">
        <v>82</v>
      </c>
      <c r="U1328" s="7">
        <v>0.6</v>
      </c>
      <c r="V1328" s="12">
        <f>C1328+2</f>
        <v>41079</v>
      </c>
      <c r="W1328">
        <f>IF(D1328=' Pivot Tables'!$A$4,1,0)</f>
        <v>0</v>
      </c>
      <c r="X1328">
        <f>IF(AND(LEFT(D1328,4)+1=LEFT(' Pivot Tables'!$A$4,4)+0,RIGHT(LEFT(D1328,7),2)=RIGHT(LEFT(' Pivot Tables'!$A$4,7),2)),1,0)</f>
        <v>0</v>
      </c>
      <c r="Y1328" s="6">
        <f>1/COUNTIF(Таблица1[Order ID],Таблица1[[#This Row],[Order ID]])</f>
        <v>1</v>
      </c>
      <c r="Z1328" s="9">
        <f>1/COUNTIFS(Таблица1[Customer Name],Таблица1[[#This Row],[Customer Name]],Таблица1[Order-Year-Month],Таблица1[[#This Row],[Order-Year-Month]])</f>
        <v>1</v>
      </c>
    </row>
    <row r="1329" spans="1:26" x14ac:dyDescent="0.2">
      <c r="A1329" s="6">
        <v>246</v>
      </c>
      <c r="B1329" s="7">
        <v>1699</v>
      </c>
      <c r="C1329" s="8">
        <f>DATE(2012,12,31)-733</f>
        <v>40541</v>
      </c>
      <c r="D1329" s="8" t="str">
        <f t="shared" si="27"/>
        <v>2010-12 (декабрь 2010)</v>
      </c>
      <c r="E1329" s="9" t="s">
        <v>78</v>
      </c>
      <c r="F1329" s="7">
        <v>40</v>
      </c>
      <c r="G1329" s="7">
        <v>430.88</v>
      </c>
      <c r="H1329" s="7">
        <v>0.05</v>
      </c>
      <c r="I1329" s="9" t="s">
        <v>22</v>
      </c>
      <c r="J1329" s="10">
        <v>39</v>
      </c>
      <c r="K1329" s="11">
        <v>11.09</v>
      </c>
      <c r="L1329" s="11">
        <v>5.25</v>
      </c>
      <c r="M1329" s="9" t="s">
        <v>1002</v>
      </c>
      <c r="N1329" s="6" t="s">
        <v>974</v>
      </c>
      <c r="O1329" s="6" t="s">
        <v>512</v>
      </c>
      <c r="P1329" s="9" t="s">
        <v>41</v>
      </c>
      <c r="Q1329" s="9" t="s">
        <v>26</v>
      </c>
      <c r="R1329" s="9" t="s">
        <v>76</v>
      </c>
      <c r="S1329" s="7" t="s">
        <v>791</v>
      </c>
      <c r="T1329" s="9" t="s">
        <v>39</v>
      </c>
      <c r="U1329" s="7">
        <v>0.36</v>
      </c>
      <c r="V1329" s="12">
        <f>C1329+84</f>
        <v>40625</v>
      </c>
      <c r="W1329">
        <f>IF(D1329=' Pivot Tables'!$A$4,1,0)</f>
        <v>0</v>
      </c>
      <c r="X1329">
        <f>IF(AND(LEFT(D1329,4)+1=LEFT(' Pivot Tables'!$A$4,4)+0,RIGHT(LEFT(D1329,7),2)=RIGHT(LEFT(' Pivot Tables'!$A$4,7),2)),1,0)</f>
        <v>0</v>
      </c>
      <c r="Y1329" s="6">
        <f>1/COUNTIF(Таблица1[Order ID],Таблица1[[#This Row],[Order ID]])</f>
        <v>1</v>
      </c>
      <c r="Z1329" s="9">
        <f>1/COUNTIFS(Таблица1[Customer Name],Таблица1[[#This Row],[Customer Name]],Таблица1[Order-Year-Month],Таблица1[[#This Row],[Order-Year-Month]])</f>
        <v>1</v>
      </c>
    </row>
    <row r="1330" spans="1:26" x14ac:dyDescent="0.2">
      <c r="A1330" s="6">
        <v>314</v>
      </c>
      <c r="B1330" s="7">
        <v>2208</v>
      </c>
      <c r="C1330" s="8">
        <f>DATE(2012,12,31)-611</f>
        <v>40663</v>
      </c>
      <c r="D1330" s="8" t="str">
        <f t="shared" si="27"/>
        <v>2011-04 (апрель 2011)</v>
      </c>
      <c r="E1330" s="9" t="s">
        <v>45</v>
      </c>
      <c r="F1330" s="7">
        <v>7</v>
      </c>
      <c r="G1330" s="7">
        <v>82.06</v>
      </c>
      <c r="H1330" s="7">
        <v>7.0000000000000007E-2</v>
      </c>
      <c r="I1330" s="9" t="s">
        <v>22</v>
      </c>
      <c r="J1330" s="10">
        <v>-26.990499999999997</v>
      </c>
      <c r="K1330" s="11">
        <v>11.5</v>
      </c>
      <c r="L1330" s="11">
        <v>7.19</v>
      </c>
      <c r="M1330" s="9" t="s">
        <v>1003</v>
      </c>
      <c r="N1330" s="6" t="s">
        <v>974</v>
      </c>
      <c r="O1330" s="6" t="s">
        <v>512</v>
      </c>
      <c r="P1330" s="9" t="s">
        <v>60</v>
      </c>
      <c r="Q1330" s="9" t="s">
        <v>26</v>
      </c>
      <c r="R1330" s="9" t="s">
        <v>37</v>
      </c>
      <c r="S1330" s="7" t="s">
        <v>398</v>
      </c>
      <c r="T1330" s="9" t="s">
        <v>39</v>
      </c>
      <c r="U1330" s="7">
        <v>0.4</v>
      </c>
      <c r="V1330" s="12">
        <f>C1330+2</f>
        <v>40665</v>
      </c>
      <c r="W1330">
        <f>IF(D1330=' Pivot Tables'!$A$4,1,0)</f>
        <v>0</v>
      </c>
      <c r="X1330">
        <f>IF(AND(LEFT(D1330,4)+1=LEFT(' Pivot Tables'!$A$4,4)+0,RIGHT(LEFT(D1330,7),2)=RIGHT(LEFT(' Pivot Tables'!$A$4,7),2)),1,0)</f>
        <v>0</v>
      </c>
      <c r="Y1330" s="6">
        <f>1/COUNTIF(Таблица1[Order ID],Таблица1[[#This Row],[Order ID]])</f>
        <v>0.5</v>
      </c>
      <c r="Z1330" s="9">
        <f>1/COUNTIFS(Таблица1[Customer Name],Таблица1[[#This Row],[Customer Name]],Таблица1[Order-Year-Month],Таблица1[[#This Row],[Order-Year-Month]])</f>
        <v>0.14285714285714285</v>
      </c>
    </row>
    <row r="1331" spans="1:26" x14ac:dyDescent="0.2">
      <c r="A1331" s="6">
        <v>315</v>
      </c>
      <c r="B1331" s="7">
        <v>2208</v>
      </c>
      <c r="C1331" s="8">
        <f>DATE(2012,12,31)-611</f>
        <v>40663</v>
      </c>
      <c r="D1331" s="8" t="str">
        <f t="shared" si="27"/>
        <v>2011-04 (апрель 2011)</v>
      </c>
      <c r="E1331" s="9" t="s">
        <v>45</v>
      </c>
      <c r="F1331" s="7">
        <v>41</v>
      </c>
      <c r="G1331" s="7">
        <v>23281.05</v>
      </c>
      <c r="H1331" s="7">
        <v>0.09</v>
      </c>
      <c r="I1331" s="9" t="s">
        <v>22</v>
      </c>
      <c r="J1331" s="10">
        <v>9097.6450000000004</v>
      </c>
      <c r="K1331" s="11">
        <v>599.99</v>
      </c>
      <c r="L1331" s="11">
        <v>24.49</v>
      </c>
      <c r="M1331" s="9" t="s">
        <v>1003</v>
      </c>
      <c r="N1331" s="6" t="s">
        <v>974</v>
      </c>
      <c r="O1331" s="6" t="s">
        <v>512</v>
      </c>
      <c r="P1331" s="9" t="s">
        <v>60</v>
      </c>
      <c r="Q1331" s="9" t="s">
        <v>42</v>
      </c>
      <c r="R1331" s="9" t="s">
        <v>99</v>
      </c>
      <c r="S1331" s="7" t="s">
        <v>1004</v>
      </c>
      <c r="T1331" s="9" t="s">
        <v>29</v>
      </c>
      <c r="U1331" s="7">
        <v>0.37</v>
      </c>
      <c r="V1331" s="12">
        <f>C1331+1</f>
        <v>40664</v>
      </c>
      <c r="W1331">
        <f>IF(D1331=' Pivot Tables'!$A$4,1,0)</f>
        <v>0</v>
      </c>
      <c r="X1331">
        <f>IF(AND(LEFT(D1331,4)+1=LEFT(' Pivot Tables'!$A$4,4)+0,RIGHT(LEFT(D1331,7),2)=RIGHT(LEFT(' Pivot Tables'!$A$4,7),2)),1,0)</f>
        <v>0</v>
      </c>
      <c r="Y1331" s="6">
        <f>1/COUNTIF(Таблица1[Order ID],Таблица1[[#This Row],[Order ID]])</f>
        <v>0.5</v>
      </c>
      <c r="Z1331" s="9">
        <f>1/COUNTIFS(Таблица1[Customer Name],Таблица1[[#This Row],[Customer Name]],Таблица1[Order-Year-Month],Таблица1[[#This Row],[Order-Year-Month]])</f>
        <v>0.14285714285714285</v>
      </c>
    </row>
    <row r="1332" spans="1:26" x14ac:dyDescent="0.2">
      <c r="A1332" s="6">
        <v>382</v>
      </c>
      <c r="B1332" s="7">
        <v>2656</v>
      </c>
      <c r="C1332" s="8">
        <f>DATE(2012,12,31)-973</f>
        <v>40301</v>
      </c>
      <c r="D1332" s="8" t="str">
        <f t="shared" si="27"/>
        <v>2010-05 (май 2010)</v>
      </c>
      <c r="E1332" s="9" t="s">
        <v>78</v>
      </c>
      <c r="F1332" s="7">
        <v>3</v>
      </c>
      <c r="G1332" s="7">
        <v>523.11</v>
      </c>
      <c r="H1332" s="7">
        <v>0.05</v>
      </c>
      <c r="I1332" s="9" t="s">
        <v>31</v>
      </c>
      <c r="J1332" s="10">
        <v>-214.53300000000002</v>
      </c>
      <c r="K1332" s="11">
        <v>159.31</v>
      </c>
      <c r="L1332" s="11">
        <v>60</v>
      </c>
      <c r="M1332" s="9" t="s">
        <v>1005</v>
      </c>
      <c r="N1332" s="6" t="s">
        <v>974</v>
      </c>
      <c r="O1332" s="6" t="s">
        <v>512</v>
      </c>
      <c r="P1332" s="9" t="s">
        <v>33</v>
      </c>
      <c r="Q1332" s="9" t="s">
        <v>49</v>
      </c>
      <c r="R1332" s="9" t="s">
        <v>83</v>
      </c>
      <c r="S1332" s="7" t="s">
        <v>956</v>
      </c>
      <c r="T1332" s="9" t="s">
        <v>36</v>
      </c>
      <c r="U1332" s="7">
        <v>0.55000000000000004</v>
      </c>
      <c r="V1332" s="12">
        <f>C1332+1</f>
        <v>40302</v>
      </c>
      <c r="W1332">
        <f>IF(D1332=' Pivot Tables'!$A$4,1,0)</f>
        <v>0</v>
      </c>
      <c r="X1332">
        <f>IF(AND(LEFT(D1332,4)+1=LEFT(' Pivot Tables'!$A$4,4)+0,RIGHT(LEFT(D1332,7),2)=RIGHT(LEFT(' Pivot Tables'!$A$4,7),2)),1,0)</f>
        <v>0</v>
      </c>
      <c r="Y1332" s="6">
        <f>1/COUNTIF(Таблица1[Order ID],Таблица1[[#This Row],[Order ID]])</f>
        <v>0.5</v>
      </c>
      <c r="Z1332" s="9">
        <f>1/COUNTIFS(Таблица1[Customer Name],Таблица1[[#This Row],[Customer Name]],Таблица1[Order-Year-Month],Таблица1[[#This Row],[Order-Year-Month]])</f>
        <v>0.5</v>
      </c>
    </row>
    <row r="1333" spans="1:26" x14ac:dyDescent="0.2">
      <c r="A1333" s="6">
        <v>383</v>
      </c>
      <c r="B1333" s="7">
        <v>2656</v>
      </c>
      <c r="C1333" s="8">
        <f>DATE(2012,12,31)-973</f>
        <v>40301</v>
      </c>
      <c r="D1333" s="8" t="str">
        <f t="shared" si="27"/>
        <v>2010-05 (май 2010)</v>
      </c>
      <c r="E1333" s="9" t="s">
        <v>78</v>
      </c>
      <c r="F1333" s="7">
        <v>29</v>
      </c>
      <c r="G1333" s="7">
        <v>913.41</v>
      </c>
      <c r="H1333" s="7">
        <v>0.01</v>
      </c>
      <c r="I1333" s="9" t="s">
        <v>22</v>
      </c>
      <c r="J1333" s="10">
        <v>237.14100000000002</v>
      </c>
      <c r="K1333" s="11">
        <v>35.99</v>
      </c>
      <c r="L1333" s="11">
        <v>1.25</v>
      </c>
      <c r="M1333" s="9" t="s">
        <v>1005</v>
      </c>
      <c r="N1333" s="6" t="s">
        <v>974</v>
      </c>
      <c r="O1333" s="6" t="s">
        <v>512</v>
      </c>
      <c r="P1333" s="9" t="s">
        <v>33</v>
      </c>
      <c r="Q1333" s="9" t="s">
        <v>42</v>
      </c>
      <c r="R1333" s="9" t="s">
        <v>43</v>
      </c>
      <c r="S1333" s="7" t="s">
        <v>695</v>
      </c>
      <c r="T1333" s="9" t="s">
        <v>52</v>
      </c>
      <c r="U1333" s="7">
        <v>0.56999999999999995</v>
      </c>
      <c r="V1333" s="12">
        <f>C1333+2</f>
        <v>40303</v>
      </c>
      <c r="W1333">
        <f>IF(D1333=' Pivot Tables'!$A$4,1,0)</f>
        <v>0</v>
      </c>
      <c r="X1333">
        <f>IF(AND(LEFT(D1333,4)+1=LEFT(' Pivot Tables'!$A$4,4)+0,RIGHT(LEFT(D1333,7),2)=RIGHT(LEFT(' Pivot Tables'!$A$4,7),2)),1,0)</f>
        <v>0</v>
      </c>
      <c r="Y1333" s="6">
        <f>1/COUNTIF(Таблица1[Order ID],Таблица1[[#This Row],[Order ID]])</f>
        <v>0.5</v>
      </c>
      <c r="Z1333" s="9">
        <f>1/COUNTIFS(Таблица1[Customer Name],Таблица1[[#This Row],[Customer Name]],Таблица1[Order-Year-Month],Таблица1[[#This Row],[Order-Year-Month]])</f>
        <v>0.5</v>
      </c>
    </row>
    <row r="1334" spans="1:26" x14ac:dyDescent="0.2">
      <c r="A1334" s="6">
        <v>483</v>
      </c>
      <c r="B1334" s="7">
        <v>3361</v>
      </c>
      <c r="C1334" s="8">
        <f>DATE(2012,12,31)-131</f>
        <v>41143</v>
      </c>
      <c r="D1334" s="8" t="str">
        <f t="shared" si="27"/>
        <v>2012-08 (август 2012)</v>
      </c>
      <c r="E1334" s="9" t="s">
        <v>45</v>
      </c>
      <c r="F1334" s="7">
        <v>49</v>
      </c>
      <c r="G1334" s="7">
        <v>213.71</v>
      </c>
      <c r="H1334" s="7">
        <v>0.06</v>
      </c>
      <c r="I1334" s="9" t="s">
        <v>22</v>
      </c>
      <c r="J1334" s="10">
        <v>-208.02</v>
      </c>
      <c r="K1334" s="11">
        <v>4.28</v>
      </c>
      <c r="L1334" s="11">
        <v>6.72</v>
      </c>
      <c r="M1334" s="9" t="s">
        <v>1006</v>
      </c>
      <c r="N1334" s="6" t="s">
        <v>974</v>
      </c>
      <c r="O1334" s="6" t="s">
        <v>512</v>
      </c>
      <c r="P1334" s="9" t="s">
        <v>41</v>
      </c>
      <c r="Q1334" s="9" t="s">
        <v>26</v>
      </c>
      <c r="R1334" s="9" t="s">
        <v>61</v>
      </c>
      <c r="S1334" s="7" t="s">
        <v>1007</v>
      </c>
      <c r="T1334" s="9" t="s">
        <v>39</v>
      </c>
      <c r="U1334" s="7">
        <v>0.4</v>
      </c>
      <c r="V1334" s="12">
        <f>C1334+0</f>
        <v>41143</v>
      </c>
      <c r="W1334">
        <f>IF(D1334=' Pivot Tables'!$A$4,1,0)</f>
        <v>0</v>
      </c>
      <c r="X1334">
        <f>IF(AND(LEFT(D1334,4)+1=LEFT(' Pivot Tables'!$A$4,4)+0,RIGHT(LEFT(D1334,7),2)=RIGHT(LEFT(' Pivot Tables'!$A$4,7),2)),1,0)</f>
        <v>0</v>
      </c>
      <c r="Y1334" s="6">
        <f>1/COUNTIF(Таблица1[Order ID],Таблица1[[#This Row],[Order ID]])</f>
        <v>0.5</v>
      </c>
      <c r="Z1334" s="9">
        <f>1/COUNTIFS(Таблица1[Customer Name],Таблица1[[#This Row],[Customer Name]],Таблица1[Order-Year-Month],Таблица1[[#This Row],[Order-Year-Month]])</f>
        <v>0.5</v>
      </c>
    </row>
    <row r="1335" spans="1:26" x14ac:dyDescent="0.2">
      <c r="A1335" s="6">
        <v>484</v>
      </c>
      <c r="B1335" s="7">
        <v>3361</v>
      </c>
      <c r="C1335" s="8">
        <f>DATE(2012,12,31)-131</f>
        <v>41143</v>
      </c>
      <c r="D1335" s="8" t="str">
        <f t="shared" si="27"/>
        <v>2012-08 (август 2012)</v>
      </c>
      <c r="E1335" s="9" t="s">
        <v>45</v>
      </c>
      <c r="F1335" s="7">
        <v>23</v>
      </c>
      <c r="G1335" s="7">
        <v>133.66</v>
      </c>
      <c r="H1335" s="7">
        <v>7.0000000000000007E-2</v>
      </c>
      <c r="I1335" s="9" t="s">
        <v>22</v>
      </c>
      <c r="J1335" s="10">
        <v>-5.6</v>
      </c>
      <c r="K1335" s="11">
        <v>5.85</v>
      </c>
      <c r="L1335" s="11">
        <v>2.27</v>
      </c>
      <c r="M1335" s="9" t="s">
        <v>1006</v>
      </c>
      <c r="N1335" s="6" t="s">
        <v>974</v>
      </c>
      <c r="O1335" s="6" t="s">
        <v>512</v>
      </c>
      <c r="P1335" s="9" t="s">
        <v>41</v>
      </c>
      <c r="Q1335" s="9" t="s">
        <v>26</v>
      </c>
      <c r="R1335" s="9" t="s">
        <v>95</v>
      </c>
      <c r="S1335" s="7" t="s">
        <v>463</v>
      </c>
      <c r="T1335" s="9" t="s">
        <v>68</v>
      </c>
      <c r="U1335" s="7">
        <v>0.56000000000000005</v>
      </c>
      <c r="V1335" s="12">
        <f>C1335+1</f>
        <v>41144</v>
      </c>
      <c r="W1335">
        <f>IF(D1335=' Pivot Tables'!$A$4,1,0)</f>
        <v>0</v>
      </c>
      <c r="X1335">
        <f>IF(AND(LEFT(D1335,4)+1=LEFT(' Pivot Tables'!$A$4,4)+0,RIGHT(LEFT(D1335,7),2)=RIGHT(LEFT(' Pivot Tables'!$A$4,7),2)),1,0)</f>
        <v>0</v>
      </c>
      <c r="Y1335" s="6">
        <f>1/COUNTIF(Таблица1[Order ID],Таблица1[[#This Row],[Order ID]])</f>
        <v>0.5</v>
      </c>
      <c r="Z1335" s="9">
        <f>1/COUNTIFS(Таблица1[Customer Name],Таблица1[[#This Row],[Customer Name]],Таблица1[Order-Year-Month],Таблица1[[#This Row],[Order-Year-Month]])</f>
        <v>0.5</v>
      </c>
    </row>
    <row r="1336" spans="1:26" x14ac:dyDescent="0.2">
      <c r="A1336" s="6">
        <v>488</v>
      </c>
      <c r="B1336" s="7">
        <v>3393</v>
      </c>
      <c r="C1336" s="8">
        <f>DATE(2012,12,31)-547</f>
        <v>40727</v>
      </c>
      <c r="D1336" s="8" t="str">
        <f t="shared" si="27"/>
        <v>2011-07 (июль 2011)</v>
      </c>
      <c r="E1336" s="9" t="s">
        <v>30</v>
      </c>
      <c r="F1336" s="7">
        <v>7</v>
      </c>
      <c r="G1336" s="7">
        <v>127.74</v>
      </c>
      <c r="H1336" s="7">
        <v>0.04</v>
      </c>
      <c r="I1336" s="9" t="s">
        <v>56</v>
      </c>
      <c r="J1336" s="10">
        <v>-5.57</v>
      </c>
      <c r="K1336" s="11">
        <v>15.98</v>
      </c>
      <c r="L1336" s="11">
        <v>4</v>
      </c>
      <c r="M1336" s="9" t="s">
        <v>1008</v>
      </c>
      <c r="N1336" s="6" t="s">
        <v>974</v>
      </c>
      <c r="O1336" s="6" t="s">
        <v>512</v>
      </c>
      <c r="P1336" s="9" t="s">
        <v>33</v>
      </c>
      <c r="Q1336" s="9" t="s">
        <v>42</v>
      </c>
      <c r="R1336" s="9" t="s">
        <v>70</v>
      </c>
      <c r="S1336" s="7" t="s">
        <v>536</v>
      </c>
      <c r="T1336" s="9" t="s">
        <v>39</v>
      </c>
      <c r="U1336" s="7">
        <v>0.37</v>
      </c>
      <c r="V1336" s="12">
        <f>C1336+1</f>
        <v>40728</v>
      </c>
      <c r="W1336">
        <f>IF(D1336=' Pivot Tables'!$A$4,1,0)</f>
        <v>0</v>
      </c>
      <c r="X1336">
        <f>IF(AND(LEFT(D1336,4)+1=LEFT(' Pivot Tables'!$A$4,4)+0,RIGHT(LEFT(D1336,7),2)=RIGHT(LEFT(' Pivot Tables'!$A$4,7),2)),1,0)</f>
        <v>0</v>
      </c>
      <c r="Y1336" s="6">
        <f>1/COUNTIF(Таблица1[Order ID],Таблица1[[#This Row],[Order ID]])</f>
        <v>0.5</v>
      </c>
      <c r="Z1336" s="9">
        <f>1/COUNTIFS(Таблица1[Customer Name],Таблица1[[#This Row],[Customer Name]],Таблица1[Order-Year-Month],Таблица1[[#This Row],[Order-Year-Month]])</f>
        <v>0.5</v>
      </c>
    </row>
    <row r="1337" spans="1:26" x14ac:dyDescent="0.2">
      <c r="A1337" s="6">
        <v>489</v>
      </c>
      <c r="B1337" s="7">
        <v>3393</v>
      </c>
      <c r="C1337" s="8">
        <f>DATE(2012,12,31)-547</f>
        <v>40727</v>
      </c>
      <c r="D1337" s="8" t="str">
        <f t="shared" si="27"/>
        <v>2011-07 (июль 2011)</v>
      </c>
      <c r="E1337" s="9" t="s">
        <v>30</v>
      </c>
      <c r="F1337" s="7">
        <v>33</v>
      </c>
      <c r="G1337" s="7">
        <v>325.92</v>
      </c>
      <c r="H1337" s="7">
        <v>0.03</v>
      </c>
      <c r="I1337" s="9" t="s">
        <v>22</v>
      </c>
      <c r="J1337" s="10">
        <v>-36.47</v>
      </c>
      <c r="K1337" s="11">
        <v>9.48</v>
      </c>
      <c r="L1337" s="11">
        <v>7.29</v>
      </c>
      <c r="M1337" s="9" t="s">
        <v>1008</v>
      </c>
      <c r="N1337" s="6" t="s">
        <v>974</v>
      </c>
      <c r="O1337" s="6" t="s">
        <v>512</v>
      </c>
      <c r="P1337" s="9" t="s">
        <v>33</v>
      </c>
      <c r="Q1337" s="9" t="s">
        <v>49</v>
      </c>
      <c r="R1337" s="9" t="s">
        <v>50</v>
      </c>
      <c r="S1337" s="7" t="s">
        <v>934</v>
      </c>
      <c r="T1337" s="9" t="s">
        <v>52</v>
      </c>
      <c r="U1337" s="7">
        <v>0.45</v>
      </c>
      <c r="V1337" s="12">
        <f>C1337+0</f>
        <v>40727</v>
      </c>
      <c r="W1337">
        <f>IF(D1337=' Pivot Tables'!$A$4,1,0)</f>
        <v>0</v>
      </c>
      <c r="X1337">
        <f>IF(AND(LEFT(D1337,4)+1=LEFT(' Pivot Tables'!$A$4,4)+0,RIGHT(LEFT(D1337,7),2)=RIGHT(LEFT(' Pivot Tables'!$A$4,7),2)),1,0)</f>
        <v>0</v>
      </c>
      <c r="Y1337" s="6">
        <f>1/COUNTIF(Таблица1[Order ID],Таблица1[[#This Row],[Order ID]])</f>
        <v>0.5</v>
      </c>
      <c r="Z1337" s="9">
        <f>1/COUNTIFS(Таблица1[Customer Name],Таблица1[[#This Row],[Customer Name]],Таблица1[Order-Year-Month],Таблица1[[#This Row],[Order-Year-Month]])</f>
        <v>0.5</v>
      </c>
    </row>
    <row r="1338" spans="1:26" x14ac:dyDescent="0.2">
      <c r="A1338" s="6">
        <v>638</v>
      </c>
      <c r="B1338" s="7">
        <v>4487</v>
      </c>
      <c r="C1338" s="8">
        <f>DATE(2012,12,31)-1043</f>
        <v>40231</v>
      </c>
      <c r="D1338" s="8" t="str">
        <f t="shared" si="27"/>
        <v>2010-02 (февраль 2010)</v>
      </c>
      <c r="E1338" s="9" t="s">
        <v>63</v>
      </c>
      <c r="F1338" s="7">
        <v>50</v>
      </c>
      <c r="G1338" s="7">
        <v>325.24</v>
      </c>
      <c r="H1338" s="7">
        <v>0.05</v>
      </c>
      <c r="I1338" s="9" t="s">
        <v>22</v>
      </c>
      <c r="J1338" s="10">
        <v>-79.418999999999997</v>
      </c>
      <c r="K1338" s="11">
        <v>6.54</v>
      </c>
      <c r="L1338" s="11">
        <v>5.27</v>
      </c>
      <c r="M1338" s="9" t="s">
        <v>1009</v>
      </c>
      <c r="N1338" s="6" t="s">
        <v>974</v>
      </c>
      <c r="O1338" s="6" t="s">
        <v>512</v>
      </c>
      <c r="P1338" s="9" t="s">
        <v>25</v>
      </c>
      <c r="Q1338" s="9" t="s">
        <v>26</v>
      </c>
      <c r="R1338" s="9" t="s">
        <v>37</v>
      </c>
      <c r="S1338" s="7" t="s">
        <v>744</v>
      </c>
      <c r="T1338" s="9" t="s">
        <v>39</v>
      </c>
      <c r="U1338" s="7">
        <v>0.36</v>
      </c>
      <c r="V1338" s="12">
        <f>C1338+1</f>
        <v>40232</v>
      </c>
      <c r="W1338">
        <f>IF(D1338=' Pivot Tables'!$A$4,1,0)</f>
        <v>0</v>
      </c>
      <c r="X1338">
        <f>IF(AND(LEFT(D1338,4)+1=LEFT(' Pivot Tables'!$A$4,4)+0,RIGHT(LEFT(D1338,7),2)=RIGHT(LEFT(' Pivot Tables'!$A$4,7),2)),1,0)</f>
        <v>0</v>
      </c>
      <c r="Y1338" s="6">
        <f>1/COUNTIF(Таблица1[Order ID],Таблица1[[#This Row],[Order ID]])</f>
        <v>1</v>
      </c>
      <c r="Z1338" s="9">
        <f>1/COUNTIFS(Таблица1[Customer Name],Таблица1[[#This Row],[Customer Name]],Таблица1[Order-Year-Month],Таблица1[[#This Row],[Order-Year-Month]])</f>
        <v>1</v>
      </c>
    </row>
    <row r="1339" spans="1:26" x14ac:dyDescent="0.2">
      <c r="A1339" s="6">
        <v>649</v>
      </c>
      <c r="B1339" s="7">
        <v>4579</v>
      </c>
      <c r="C1339" s="8">
        <f>DATE(2012,12,31)-397</f>
        <v>40877</v>
      </c>
      <c r="D1339" s="8" t="str">
        <f t="shared" si="27"/>
        <v>2011-11 (ноябрь 2011)</v>
      </c>
      <c r="E1339" s="9" t="s">
        <v>30</v>
      </c>
      <c r="F1339" s="7">
        <v>40</v>
      </c>
      <c r="G1339" s="7">
        <v>1765.05</v>
      </c>
      <c r="H1339" s="7">
        <v>0.05</v>
      </c>
      <c r="I1339" s="9" t="s">
        <v>22</v>
      </c>
      <c r="J1339" s="10">
        <v>749.21550000000002</v>
      </c>
      <c r="K1339" s="11">
        <v>43.41</v>
      </c>
      <c r="L1339" s="11">
        <v>2.99</v>
      </c>
      <c r="M1339" s="9" t="s">
        <v>818</v>
      </c>
      <c r="N1339" s="6" t="s">
        <v>974</v>
      </c>
      <c r="O1339" s="6" t="s">
        <v>512</v>
      </c>
      <c r="P1339" s="9" t="s">
        <v>25</v>
      </c>
      <c r="Q1339" s="9" t="s">
        <v>26</v>
      </c>
      <c r="R1339" s="9" t="s">
        <v>37</v>
      </c>
      <c r="S1339" s="7" t="s">
        <v>200</v>
      </c>
      <c r="T1339" s="9" t="s">
        <v>39</v>
      </c>
      <c r="U1339" s="7">
        <v>0.39</v>
      </c>
      <c r="V1339" s="12">
        <f>C1339+1</f>
        <v>40878</v>
      </c>
      <c r="W1339">
        <f>IF(D1339=' Pivot Tables'!$A$4,1,0)</f>
        <v>0</v>
      </c>
      <c r="X1339">
        <f>IF(AND(LEFT(D1339,4)+1=LEFT(' Pivot Tables'!$A$4,4)+0,RIGHT(LEFT(D1339,7),2)=RIGHT(LEFT(' Pivot Tables'!$A$4,7),2)),1,0)</f>
        <v>0</v>
      </c>
      <c r="Y1339" s="6">
        <f>1/COUNTIF(Таблица1[Order ID],Таблица1[[#This Row],[Order ID]])</f>
        <v>1</v>
      </c>
      <c r="Z1339" s="9">
        <f>1/COUNTIFS(Таблица1[Customer Name],Таблица1[[#This Row],[Customer Name]],Таблица1[Order-Year-Month],Таблица1[[#This Row],[Order-Year-Month]])</f>
        <v>1</v>
      </c>
    </row>
    <row r="1340" spans="1:26" x14ac:dyDescent="0.2">
      <c r="A1340" s="6">
        <v>713</v>
      </c>
      <c r="B1340" s="7">
        <v>5061</v>
      </c>
      <c r="C1340" s="8">
        <f>DATE(2012,12,31)-871</f>
        <v>40403</v>
      </c>
      <c r="D1340" s="8" t="str">
        <f t="shared" si="27"/>
        <v>2010-08 (август 2010)</v>
      </c>
      <c r="E1340" s="9" t="s">
        <v>78</v>
      </c>
      <c r="F1340" s="7">
        <v>4</v>
      </c>
      <c r="G1340" s="7">
        <v>12.8</v>
      </c>
      <c r="H1340" s="7">
        <v>0</v>
      </c>
      <c r="I1340" s="9" t="s">
        <v>22</v>
      </c>
      <c r="J1340" s="10">
        <v>-2.21</v>
      </c>
      <c r="K1340" s="11">
        <v>2.88</v>
      </c>
      <c r="L1340" s="11">
        <v>0.7</v>
      </c>
      <c r="M1340" s="9" t="s">
        <v>1010</v>
      </c>
      <c r="N1340" s="6" t="s">
        <v>974</v>
      </c>
      <c r="O1340" s="6" t="s">
        <v>512</v>
      </c>
      <c r="P1340" s="9" t="s">
        <v>41</v>
      </c>
      <c r="Q1340" s="9" t="s">
        <v>26</v>
      </c>
      <c r="R1340" s="9" t="s">
        <v>95</v>
      </c>
      <c r="S1340" s="7" t="s">
        <v>913</v>
      </c>
      <c r="T1340" s="9" t="s">
        <v>68</v>
      </c>
      <c r="U1340" s="7">
        <v>0.56000000000000005</v>
      </c>
      <c r="V1340" s="12">
        <f>C1340+2</f>
        <v>40405</v>
      </c>
      <c r="W1340">
        <f>IF(D1340=' Pivot Tables'!$A$4,1,0)</f>
        <v>0</v>
      </c>
      <c r="X1340">
        <f>IF(AND(LEFT(D1340,4)+1=LEFT(' Pivot Tables'!$A$4,4)+0,RIGHT(LEFT(D1340,7),2)=RIGHT(LEFT(' Pivot Tables'!$A$4,7),2)),1,0)</f>
        <v>0</v>
      </c>
      <c r="Y1340" s="6">
        <f>1/COUNTIF(Таблица1[Order ID],Таблица1[[#This Row],[Order ID]])</f>
        <v>1</v>
      </c>
      <c r="Z1340" s="9">
        <f>1/COUNTIFS(Таблица1[Customer Name],Таблица1[[#This Row],[Customer Name]],Таблица1[Order-Year-Month],Таблица1[[#This Row],[Order-Year-Month]])</f>
        <v>0.5</v>
      </c>
    </row>
    <row r="1341" spans="1:26" x14ac:dyDescent="0.2">
      <c r="A1341" s="6">
        <v>714</v>
      </c>
      <c r="B1341" s="7">
        <v>5092</v>
      </c>
      <c r="C1341" s="8">
        <f>DATE(2012,12,31)-429</f>
        <v>40845</v>
      </c>
      <c r="D1341" s="8" t="str">
        <f t="shared" si="27"/>
        <v>2011-10 (октябрь 2011)</v>
      </c>
      <c r="E1341" s="9" t="s">
        <v>21</v>
      </c>
      <c r="F1341" s="7">
        <v>3</v>
      </c>
      <c r="G1341" s="7">
        <v>709.04</v>
      </c>
      <c r="H1341" s="7">
        <v>0.1</v>
      </c>
      <c r="I1341" s="9" t="s">
        <v>31</v>
      </c>
      <c r="J1341" s="10">
        <v>-337.92</v>
      </c>
      <c r="K1341" s="11">
        <v>220.98</v>
      </c>
      <c r="L1341" s="11">
        <v>64.66</v>
      </c>
      <c r="M1341" s="9" t="s">
        <v>1011</v>
      </c>
      <c r="N1341" s="6" t="s">
        <v>974</v>
      </c>
      <c r="O1341" s="6" t="s">
        <v>512</v>
      </c>
      <c r="P1341" s="9" t="s">
        <v>33</v>
      </c>
      <c r="Q1341" s="9" t="s">
        <v>49</v>
      </c>
      <c r="R1341" s="9" t="s">
        <v>80</v>
      </c>
      <c r="S1341" s="7" t="s">
        <v>1012</v>
      </c>
      <c r="T1341" s="9" t="s">
        <v>82</v>
      </c>
      <c r="U1341" s="7">
        <v>0.62</v>
      </c>
      <c r="V1341" s="12">
        <f>C1341+0</f>
        <v>40845</v>
      </c>
      <c r="W1341">
        <f>IF(D1341=' Pivot Tables'!$A$4,1,0)</f>
        <v>0</v>
      </c>
      <c r="X1341">
        <f>IF(AND(LEFT(D1341,4)+1=LEFT(' Pivot Tables'!$A$4,4)+0,RIGHT(LEFT(D1341,7),2)=RIGHT(LEFT(' Pivot Tables'!$A$4,7),2)),1,0)</f>
        <v>0</v>
      </c>
      <c r="Y1341" s="6">
        <f>1/COUNTIF(Таблица1[Order ID],Таблица1[[#This Row],[Order ID]])</f>
        <v>0.5</v>
      </c>
      <c r="Z1341" s="9">
        <f>1/COUNTIFS(Таблица1[Customer Name],Таблица1[[#This Row],[Customer Name]],Таблица1[Order-Year-Month],Таблица1[[#This Row],[Order-Year-Month]])</f>
        <v>0.5</v>
      </c>
    </row>
    <row r="1342" spans="1:26" x14ac:dyDescent="0.2">
      <c r="A1342" s="6">
        <v>715</v>
      </c>
      <c r="B1342" s="7">
        <v>5092</v>
      </c>
      <c r="C1342" s="8">
        <f>DATE(2012,12,31)-429</f>
        <v>40845</v>
      </c>
      <c r="D1342" s="8" t="str">
        <f t="shared" si="27"/>
        <v>2011-10 (октябрь 2011)</v>
      </c>
      <c r="E1342" s="9" t="s">
        <v>21</v>
      </c>
      <c r="F1342" s="7">
        <v>25</v>
      </c>
      <c r="G1342" s="7">
        <v>978.77</v>
      </c>
      <c r="H1342" s="7">
        <v>0.06</v>
      </c>
      <c r="I1342" s="9" t="s">
        <v>22</v>
      </c>
      <c r="J1342" s="10">
        <v>220.91</v>
      </c>
      <c r="K1342" s="11">
        <v>38.76</v>
      </c>
      <c r="L1342" s="11">
        <v>13.26</v>
      </c>
      <c r="M1342" s="9" t="s">
        <v>1011</v>
      </c>
      <c r="N1342" s="6" t="s">
        <v>974</v>
      </c>
      <c r="O1342" s="6" t="s">
        <v>512</v>
      </c>
      <c r="P1342" s="9" t="s">
        <v>33</v>
      </c>
      <c r="Q1342" s="9" t="s">
        <v>26</v>
      </c>
      <c r="R1342" s="9" t="s">
        <v>61</v>
      </c>
      <c r="S1342" s="7" t="s">
        <v>320</v>
      </c>
      <c r="T1342" s="9" t="s">
        <v>39</v>
      </c>
      <c r="U1342" s="7">
        <v>0.36</v>
      </c>
      <c r="V1342" s="12">
        <f>C1342+5</f>
        <v>40850</v>
      </c>
      <c r="W1342">
        <f>IF(D1342=' Pivot Tables'!$A$4,1,0)</f>
        <v>0</v>
      </c>
      <c r="X1342">
        <f>IF(AND(LEFT(D1342,4)+1=LEFT(' Pivot Tables'!$A$4,4)+0,RIGHT(LEFT(D1342,7),2)=RIGHT(LEFT(' Pivot Tables'!$A$4,7),2)),1,0)</f>
        <v>0</v>
      </c>
      <c r="Y1342" s="6">
        <f>1/COUNTIF(Таблица1[Order ID],Таблица1[[#This Row],[Order ID]])</f>
        <v>0.5</v>
      </c>
      <c r="Z1342" s="9">
        <f>1/COUNTIFS(Таблица1[Customer Name],Таблица1[[#This Row],[Customer Name]],Таблица1[Order-Year-Month],Таблица1[[#This Row],[Order-Year-Month]])</f>
        <v>0.5</v>
      </c>
    </row>
    <row r="1343" spans="1:26" x14ac:dyDescent="0.2">
      <c r="A1343" s="6">
        <v>773</v>
      </c>
      <c r="B1343" s="7">
        <v>5511</v>
      </c>
      <c r="C1343" s="8">
        <f>DATE(2012,12,31)-1129</f>
        <v>40145</v>
      </c>
      <c r="D1343" s="8" t="str">
        <f t="shared" si="27"/>
        <v>2009-11 (ноябрь 2009)</v>
      </c>
      <c r="E1343" s="9" t="s">
        <v>78</v>
      </c>
      <c r="F1343" s="7">
        <v>46</v>
      </c>
      <c r="G1343" s="7">
        <v>129.44</v>
      </c>
      <c r="H1343" s="7">
        <v>0.02</v>
      </c>
      <c r="I1343" s="9" t="s">
        <v>56</v>
      </c>
      <c r="J1343" s="10">
        <v>-5.54</v>
      </c>
      <c r="K1343" s="11">
        <v>2.58</v>
      </c>
      <c r="L1343" s="11">
        <v>1.3</v>
      </c>
      <c r="M1343" s="9" t="s">
        <v>1002</v>
      </c>
      <c r="N1343" s="6" t="s">
        <v>974</v>
      </c>
      <c r="O1343" s="6" t="s">
        <v>512</v>
      </c>
      <c r="P1343" s="9" t="s">
        <v>41</v>
      </c>
      <c r="Q1343" s="9" t="s">
        <v>26</v>
      </c>
      <c r="R1343" s="9" t="s">
        <v>95</v>
      </c>
      <c r="S1343" s="7" t="s">
        <v>781</v>
      </c>
      <c r="T1343" s="9" t="s">
        <v>68</v>
      </c>
      <c r="U1343" s="7">
        <v>0.59</v>
      </c>
      <c r="V1343" s="12">
        <f>C1343+1</f>
        <v>40146</v>
      </c>
      <c r="W1343">
        <f>IF(D1343=' Pivot Tables'!$A$4,1,0)</f>
        <v>0</v>
      </c>
      <c r="X1343">
        <f>IF(AND(LEFT(D1343,4)+1=LEFT(' Pivot Tables'!$A$4,4)+0,RIGHT(LEFT(D1343,7),2)=RIGHT(LEFT(' Pivot Tables'!$A$4,7),2)),1,0)</f>
        <v>0</v>
      </c>
      <c r="Y1343" s="6">
        <f>1/COUNTIF(Таблица1[Order ID],Таблица1[[#This Row],[Order ID]])</f>
        <v>0.5</v>
      </c>
      <c r="Z1343" s="9">
        <f>1/COUNTIFS(Таблица1[Customer Name],Таблица1[[#This Row],[Customer Name]],Таблица1[Order-Year-Month],Таблица1[[#This Row],[Order-Year-Month]])</f>
        <v>0.5</v>
      </c>
    </row>
    <row r="1344" spans="1:26" x14ac:dyDescent="0.2">
      <c r="A1344" s="6">
        <v>774</v>
      </c>
      <c r="B1344" s="7">
        <v>5511</v>
      </c>
      <c r="C1344" s="8">
        <f>DATE(2012,12,31)-1129</f>
        <v>40145</v>
      </c>
      <c r="D1344" s="8" t="str">
        <f t="shared" si="27"/>
        <v>2009-11 (ноябрь 2009)</v>
      </c>
      <c r="E1344" s="9" t="s">
        <v>78</v>
      </c>
      <c r="F1344" s="7">
        <v>32</v>
      </c>
      <c r="G1344" s="7">
        <v>1829.3869999999997</v>
      </c>
      <c r="H1344" s="7">
        <v>0.02</v>
      </c>
      <c r="I1344" s="9" t="s">
        <v>22</v>
      </c>
      <c r="J1344" s="10">
        <v>482.44499999999999</v>
      </c>
      <c r="K1344" s="11">
        <v>65.989999999999995</v>
      </c>
      <c r="L1344" s="11">
        <v>3.9</v>
      </c>
      <c r="M1344" s="9" t="s">
        <v>1002</v>
      </c>
      <c r="N1344" s="6" t="s">
        <v>974</v>
      </c>
      <c r="O1344" s="6" t="s">
        <v>512</v>
      </c>
      <c r="P1344" s="9" t="s">
        <v>41</v>
      </c>
      <c r="Q1344" s="9" t="s">
        <v>42</v>
      </c>
      <c r="R1344" s="9" t="s">
        <v>43</v>
      </c>
      <c r="S1344" s="7" t="s">
        <v>370</v>
      </c>
      <c r="T1344" s="9" t="s">
        <v>39</v>
      </c>
      <c r="U1344" s="7">
        <v>0.55000000000000004</v>
      </c>
      <c r="V1344" s="12">
        <f>C1344+1</f>
        <v>40146</v>
      </c>
      <c r="W1344">
        <f>IF(D1344=' Pivot Tables'!$A$4,1,0)</f>
        <v>0</v>
      </c>
      <c r="X1344">
        <f>IF(AND(LEFT(D1344,4)+1=LEFT(' Pivot Tables'!$A$4,4)+0,RIGHT(LEFT(D1344,7),2)=RIGHT(LEFT(' Pivot Tables'!$A$4,7),2)),1,0)</f>
        <v>0</v>
      </c>
      <c r="Y1344" s="6">
        <f>1/COUNTIF(Таблица1[Order ID],Таблица1[[#This Row],[Order ID]])</f>
        <v>0.5</v>
      </c>
      <c r="Z1344" s="9">
        <f>1/COUNTIFS(Таблица1[Customer Name],Таблица1[[#This Row],[Customer Name]],Таблица1[Order-Year-Month],Таблица1[[#This Row],[Order-Year-Month]])</f>
        <v>0.5</v>
      </c>
    </row>
    <row r="1345" spans="1:26" x14ac:dyDescent="0.2">
      <c r="A1345" s="6">
        <v>807</v>
      </c>
      <c r="B1345" s="7">
        <v>5799</v>
      </c>
      <c r="C1345" s="8">
        <f>DATE(2012,12,31)-517</f>
        <v>40757</v>
      </c>
      <c r="D1345" s="8" t="str">
        <f t="shared" si="27"/>
        <v>2011-08 (август 2011)</v>
      </c>
      <c r="E1345" s="9" t="s">
        <v>78</v>
      </c>
      <c r="F1345" s="7">
        <v>34</v>
      </c>
      <c r="G1345" s="7">
        <v>9626.86</v>
      </c>
      <c r="H1345" s="7">
        <v>0.08</v>
      </c>
      <c r="I1345" s="9" t="s">
        <v>31</v>
      </c>
      <c r="J1345" s="10">
        <v>1882.2</v>
      </c>
      <c r="K1345" s="11">
        <v>294.62</v>
      </c>
      <c r="L1345" s="11">
        <v>42.52</v>
      </c>
      <c r="M1345" s="9" t="s">
        <v>1003</v>
      </c>
      <c r="N1345" s="6" t="s">
        <v>974</v>
      </c>
      <c r="O1345" s="6" t="s">
        <v>512</v>
      </c>
      <c r="P1345" s="9" t="s">
        <v>25</v>
      </c>
      <c r="Q1345" s="9" t="s">
        <v>26</v>
      </c>
      <c r="R1345" s="9" t="s">
        <v>34</v>
      </c>
      <c r="S1345" s="7" t="s">
        <v>1013</v>
      </c>
      <c r="T1345" s="9" t="s">
        <v>36</v>
      </c>
      <c r="U1345" s="7">
        <v>0.56999999999999995</v>
      </c>
      <c r="V1345" s="12">
        <f>C1345+2</f>
        <v>40759</v>
      </c>
      <c r="W1345">
        <f>IF(D1345=' Pivot Tables'!$A$4,1,0)</f>
        <v>0</v>
      </c>
      <c r="X1345">
        <f>IF(AND(LEFT(D1345,4)+1=LEFT(' Pivot Tables'!$A$4,4)+0,RIGHT(LEFT(D1345,7),2)=RIGHT(LEFT(' Pivot Tables'!$A$4,7),2)),1,0)</f>
        <v>0</v>
      </c>
      <c r="Y1345" s="6">
        <f>1/COUNTIF(Таблица1[Order ID],Таблица1[[#This Row],[Order ID]])</f>
        <v>1</v>
      </c>
      <c r="Z1345" s="9">
        <f>1/COUNTIFS(Таблица1[Customer Name],Таблица1[[#This Row],[Customer Name]],Таблица1[Order-Year-Month],Таблица1[[#This Row],[Order-Year-Month]])</f>
        <v>1</v>
      </c>
    </row>
    <row r="1346" spans="1:26" x14ac:dyDescent="0.2">
      <c r="A1346" s="6">
        <v>815</v>
      </c>
      <c r="B1346" s="7">
        <v>5890</v>
      </c>
      <c r="C1346" s="8">
        <f>DATE(2012,12,31)-58</f>
        <v>41216</v>
      </c>
      <c r="D1346" s="8" t="str">
        <f t="shared" si="27"/>
        <v>2012-11 (ноябрь 2012)</v>
      </c>
      <c r="E1346" s="9" t="s">
        <v>30</v>
      </c>
      <c r="F1346" s="7">
        <v>42</v>
      </c>
      <c r="G1346" s="7">
        <v>813.53499999999997</v>
      </c>
      <c r="H1346" s="7">
        <v>0</v>
      </c>
      <c r="I1346" s="9" t="s">
        <v>56</v>
      </c>
      <c r="J1346" s="10">
        <v>435.95099999999996</v>
      </c>
      <c r="K1346" s="11">
        <v>20.99</v>
      </c>
      <c r="L1346" s="11">
        <v>0.99</v>
      </c>
      <c r="M1346" s="9" t="s">
        <v>1014</v>
      </c>
      <c r="N1346" s="6" t="s">
        <v>974</v>
      </c>
      <c r="O1346" s="6" t="s">
        <v>512</v>
      </c>
      <c r="P1346" s="9" t="s">
        <v>33</v>
      </c>
      <c r="Q1346" s="9" t="s">
        <v>42</v>
      </c>
      <c r="R1346" s="9" t="s">
        <v>43</v>
      </c>
      <c r="S1346" s="7" t="s">
        <v>272</v>
      </c>
      <c r="T1346" s="9" t="s">
        <v>68</v>
      </c>
      <c r="U1346" s="7">
        <v>0.37</v>
      </c>
      <c r="V1346" s="12">
        <f>C1346+1</f>
        <v>41217</v>
      </c>
      <c r="W1346">
        <f>IF(D1346=' Pivot Tables'!$A$4,1,0)</f>
        <v>0</v>
      </c>
      <c r="X1346">
        <f>IF(AND(LEFT(D1346,4)+1=LEFT(' Pivot Tables'!$A$4,4)+0,RIGHT(LEFT(D1346,7),2)=RIGHT(LEFT(' Pivot Tables'!$A$4,7),2)),1,0)</f>
        <v>0</v>
      </c>
      <c r="Y1346" s="6">
        <f>1/COUNTIF(Таблица1[Order ID],Таблица1[[#This Row],[Order ID]])</f>
        <v>1</v>
      </c>
      <c r="Z1346" s="9">
        <f>1/COUNTIFS(Таблица1[Customer Name],Таблица1[[#This Row],[Customer Name]],Таблица1[Order-Year-Month],Таблица1[[#This Row],[Order-Year-Month]])</f>
        <v>1</v>
      </c>
    </row>
    <row r="1347" spans="1:26" x14ac:dyDescent="0.2">
      <c r="A1347" s="6">
        <v>919</v>
      </c>
      <c r="B1347" s="7">
        <v>6596</v>
      </c>
      <c r="C1347" s="8">
        <f>DATE(2012,12,31)-529</f>
        <v>40745</v>
      </c>
      <c r="D1347" s="8" t="str">
        <f t="shared" ref="D1347:D1410" si="29">TEXT(C1347,"гггг-ММ (ММММ гггг)")</f>
        <v>2011-07 (июль 2011)</v>
      </c>
      <c r="E1347" s="9" t="s">
        <v>21</v>
      </c>
      <c r="F1347" s="7">
        <v>36</v>
      </c>
      <c r="G1347" s="7">
        <v>18028.07</v>
      </c>
      <c r="H1347" s="7">
        <v>0.02</v>
      </c>
      <c r="I1347" s="9" t="s">
        <v>31</v>
      </c>
      <c r="J1347" s="10">
        <v>8157.7</v>
      </c>
      <c r="K1347" s="11">
        <v>500.98</v>
      </c>
      <c r="L1347" s="11">
        <v>28.14</v>
      </c>
      <c r="M1347" s="9" t="s">
        <v>1015</v>
      </c>
      <c r="N1347" s="6" t="s">
        <v>974</v>
      </c>
      <c r="O1347" s="6" t="s">
        <v>512</v>
      </c>
      <c r="P1347" s="9" t="s">
        <v>41</v>
      </c>
      <c r="Q1347" s="9" t="s">
        <v>42</v>
      </c>
      <c r="R1347" s="9" t="s">
        <v>210</v>
      </c>
      <c r="S1347" s="7" t="s">
        <v>1016</v>
      </c>
      <c r="T1347" s="9" t="s">
        <v>36</v>
      </c>
      <c r="U1347" s="7">
        <v>0.38</v>
      </c>
      <c r="V1347" s="12">
        <f>C1347+5</f>
        <v>40750</v>
      </c>
      <c r="W1347">
        <f>IF(D1347=' Pivot Tables'!$A$4,1,0)</f>
        <v>0</v>
      </c>
      <c r="X1347">
        <f>IF(AND(LEFT(D1347,4)+1=LEFT(' Pivot Tables'!$A$4,4)+0,RIGHT(LEFT(D1347,7),2)=RIGHT(LEFT(' Pivot Tables'!$A$4,7),2)),1,0)</f>
        <v>0</v>
      </c>
      <c r="Y1347" s="6">
        <f>1/COUNTIF(Таблица1[Order ID],Таблица1[[#This Row],[Order ID]])</f>
        <v>1</v>
      </c>
      <c r="Z1347" s="9">
        <f>1/COUNTIFS(Таблица1[Customer Name],Таблица1[[#This Row],[Customer Name]],Таблица1[Order-Year-Month],Таблица1[[#This Row],[Order-Year-Month]])</f>
        <v>1</v>
      </c>
    </row>
    <row r="1348" spans="1:26" x14ac:dyDescent="0.2">
      <c r="A1348" s="6">
        <v>967</v>
      </c>
      <c r="B1348" s="7">
        <v>7015</v>
      </c>
      <c r="C1348" s="8">
        <f>DATE(2012,12,31)-811</f>
        <v>40463</v>
      </c>
      <c r="D1348" s="8" t="str">
        <f t="shared" si="29"/>
        <v>2010-10 (октябрь 2010)</v>
      </c>
      <c r="E1348" s="9" t="s">
        <v>45</v>
      </c>
      <c r="F1348" s="7">
        <v>47</v>
      </c>
      <c r="G1348" s="7">
        <v>1880.8</v>
      </c>
      <c r="H1348" s="7">
        <v>7.0000000000000007E-2</v>
      </c>
      <c r="I1348" s="9" t="s">
        <v>22</v>
      </c>
      <c r="J1348" s="10">
        <v>775.88</v>
      </c>
      <c r="K1348" s="11">
        <v>40.98</v>
      </c>
      <c r="L1348" s="11">
        <v>1.99</v>
      </c>
      <c r="M1348" s="9" t="s">
        <v>996</v>
      </c>
      <c r="N1348" s="6" t="s">
        <v>974</v>
      </c>
      <c r="O1348" s="6" t="s">
        <v>512</v>
      </c>
      <c r="P1348" s="9" t="s">
        <v>60</v>
      </c>
      <c r="Q1348" s="9" t="s">
        <v>42</v>
      </c>
      <c r="R1348" s="9" t="s">
        <v>70</v>
      </c>
      <c r="S1348" s="7" t="s">
        <v>720</v>
      </c>
      <c r="T1348" s="9" t="s">
        <v>52</v>
      </c>
      <c r="U1348" s="7">
        <v>0.44</v>
      </c>
      <c r="V1348" s="12">
        <f>C1348+2</f>
        <v>40465</v>
      </c>
      <c r="W1348">
        <f>IF(D1348=' Pivot Tables'!$A$4,1,0)</f>
        <v>0</v>
      </c>
      <c r="X1348">
        <f>IF(AND(LEFT(D1348,4)+1=LEFT(' Pivot Tables'!$A$4,4)+0,RIGHT(LEFT(D1348,7),2)=RIGHT(LEFT(' Pivot Tables'!$A$4,7),2)),1,0)</f>
        <v>0</v>
      </c>
      <c r="Y1348" s="6">
        <f>1/COUNTIF(Таблица1[Order ID],Таблица1[[#This Row],[Order ID]])</f>
        <v>0.5</v>
      </c>
      <c r="Z1348" s="9">
        <f>1/COUNTIFS(Таблица1[Customer Name],Таблица1[[#This Row],[Customer Name]],Таблица1[Order-Year-Month],Таблица1[[#This Row],[Order-Year-Month]])</f>
        <v>0.5</v>
      </c>
    </row>
    <row r="1349" spans="1:26" x14ac:dyDescent="0.2">
      <c r="A1349" s="6">
        <v>968</v>
      </c>
      <c r="B1349" s="7">
        <v>7015</v>
      </c>
      <c r="C1349" s="8">
        <f>DATE(2012,12,31)-811</f>
        <v>40463</v>
      </c>
      <c r="D1349" s="8" t="str">
        <f t="shared" si="29"/>
        <v>2010-10 (октябрь 2010)</v>
      </c>
      <c r="E1349" s="9" t="s">
        <v>45</v>
      </c>
      <c r="F1349" s="7">
        <v>42</v>
      </c>
      <c r="G1349" s="7">
        <v>7143.9270000000006</v>
      </c>
      <c r="H1349" s="7">
        <v>0.02</v>
      </c>
      <c r="I1349" s="9" t="s">
        <v>56</v>
      </c>
      <c r="J1349" s="10">
        <v>2374.7310000000002</v>
      </c>
      <c r="K1349" s="11">
        <v>195.99</v>
      </c>
      <c r="L1349" s="11">
        <v>4.2</v>
      </c>
      <c r="M1349" s="9" t="s">
        <v>996</v>
      </c>
      <c r="N1349" s="6" t="s">
        <v>974</v>
      </c>
      <c r="O1349" s="6" t="s">
        <v>512</v>
      </c>
      <c r="P1349" s="9" t="s">
        <v>60</v>
      </c>
      <c r="Q1349" s="9" t="s">
        <v>42</v>
      </c>
      <c r="R1349" s="9" t="s">
        <v>43</v>
      </c>
      <c r="S1349" s="7" t="s">
        <v>1017</v>
      </c>
      <c r="T1349" s="9" t="s">
        <v>39</v>
      </c>
      <c r="U1349" s="7">
        <v>0.56000000000000005</v>
      </c>
      <c r="V1349" s="12">
        <f>C1349+1</f>
        <v>40464</v>
      </c>
      <c r="W1349">
        <f>IF(D1349=' Pivot Tables'!$A$4,1,0)</f>
        <v>0</v>
      </c>
      <c r="X1349">
        <f>IF(AND(LEFT(D1349,4)+1=LEFT(' Pivot Tables'!$A$4,4)+0,RIGHT(LEFT(D1349,7),2)=RIGHT(LEFT(' Pivot Tables'!$A$4,7),2)),1,0)</f>
        <v>0</v>
      </c>
      <c r="Y1349" s="6">
        <f>1/COUNTIF(Таблица1[Order ID],Таблица1[[#This Row],[Order ID]])</f>
        <v>0.5</v>
      </c>
      <c r="Z1349" s="9">
        <f>1/COUNTIFS(Таблица1[Customer Name],Таблица1[[#This Row],[Customer Name]],Таблица1[Order-Year-Month],Таблица1[[#This Row],[Order-Year-Month]])</f>
        <v>0.5</v>
      </c>
    </row>
    <row r="1350" spans="1:26" x14ac:dyDescent="0.2">
      <c r="A1350" s="6">
        <v>982</v>
      </c>
      <c r="B1350" s="7">
        <v>7106</v>
      </c>
      <c r="C1350" s="8">
        <f>DATE(2012,12,31)-235</f>
        <v>41039</v>
      </c>
      <c r="D1350" s="8" t="str">
        <f t="shared" si="29"/>
        <v>2012-05 (май 2012)</v>
      </c>
      <c r="E1350" s="9" t="s">
        <v>21</v>
      </c>
      <c r="F1350" s="7">
        <v>8</v>
      </c>
      <c r="G1350" s="7">
        <v>118.98</v>
      </c>
      <c r="H1350" s="7">
        <v>0.05</v>
      </c>
      <c r="I1350" s="9" t="s">
        <v>22</v>
      </c>
      <c r="J1350" s="10">
        <v>-12.765000000000001</v>
      </c>
      <c r="K1350" s="11">
        <v>14.27</v>
      </c>
      <c r="L1350" s="11">
        <v>7.27</v>
      </c>
      <c r="M1350" s="9" t="s">
        <v>1018</v>
      </c>
      <c r="N1350" s="6" t="s">
        <v>974</v>
      </c>
      <c r="O1350" s="6" t="s">
        <v>512</v>
      </c>
      <c r="P1350" s="9" t="s">
        <v>60</v>
      </c>
      <c r="Q1350" s="9" t="s">
        <v>26</v>
      </c>
      <c r="R1350" s="9" t="s">
        <v>37</v>
      </c>
      <c r="S1350" s="7" t="s">
        <v>658</v>
      </c>
      <c r="T1350" s="9" t="s">
        <v>39</v>
      </c>
      <c r="U1350" s="7">
        <v>0.38</v>
      </c>
      <c r="V1350" s="12">
        <f>C1350+2</f>
        <v>41041</v>
      </c>
      <c r="W1350">
        <f>IF(D1350=' Pivot Tables'!$A$4,1,0)</f>
        <v>0</v>
      </c>
      <c r="X1350">
        <f>IF(AND(LEFT(D1350,4)+1=LEFT(' Pivot Tables'!$A$4,4)+0,RIGHT(LEFT(D1350,7),2)=RIGHT(LEFT(' Pivot Tables'!$A$4,7),2)),1,0)</f>
        <v>0</v>
      </c>
      <c r="Y1350" s="6">
        <f>1/COUNTIF(Таблица1[Order ID],Таблица1[[#This Row],[Order ID]])</f>
        <v>0.33333333333333331</v>
      </c>
      <c r="Z1350" s="9">
        <f>1/COUNTIFS(Таблица1[Customer Name],Таблица1[[#This Row],[Customer Name]],Таблица1[Order-Year-Month],Таблица1[[#This Row],[Order-Year-Month]])</f>
        <v>0.33333333333333331</v>
      </c>
    </row>
    <row r="1351" spans="1:26" x14ac:dyDescent="0.2">
      <c r="A1351" s="6">
        <v>983</v>
      </c>
      <c r="B1351" s="7">
        <v>7106</v>
      </c>
      <c r="C1351" s="8">
        <f>DATE(2012,12,31)-235</f>
        <v>41039</v>
      </c>
      <c r="D1351" s="8" t="str">
        <f t="shared" si="29"/>
        <v>2012-05 (май 2012)</v>
      </c>
      <c r="E1351" s="9" t="s">
        <v>21</v>
      </c>
      <c r="F1351" s="7">
        <v>31</v>
      </c>
      <c r="G1351" s="7">
        <v>4910.09</v>
      </c>
      <c r="H1351" s="7">
        <v>0.01</v>
      </c>
      <c r="I1351" s="9" t="s">
        <v>22</v>
      </c>
      <c r="J1351" s="10">
        <v>1669.38</v>
      </c>
      <c r="K1351" s="11">
        <v>159.99</v>
      </c>
      <c r="L1351" s="11">
        <v>5.5</v>
      </c>
      <c r="M1351" s="9" t="s">
        <v>1018</v>
      </c>
      <c r="N1351" s="6" t="s">
        <v>974</v>
      </c>
      <c r="O1351" s="6" t="s">
        <v>512</v>
      </c>
      <c r="P1351" s="9" t="s">
        <v>60</v>
      </c>
      <c r="Q1351" s="9" t="s">
        <v>42</v>
      </c>
      <c r="R1351" s="9" t="s">
        <v>70</v>
      </c>
      <c r="S1351" s="7" t="s">
        <v>1019</v>
      </c>
      <c r="T1351" s="9" t="s">
        <v>39</v>
      </c>
      <c r="U1351" s="7">
        <v>0.49</v>
      </c>
      <c r="V1351" s="12">
        <f>C1351+2</f>
        <v>41041</v>
      </c>
      <c r="W1351">
        <f>IF(D1351=' Pivot Tables'!$A$4,1,0)</f>
        <v>0</v>
      </c>
      <c r="X1351">
        <f>IF(AND(LEFT(D1351,4)+1=LEFT(' Pivot Tables'!$A$4,4)+0,RIGHT(LEFT(D1351,7),2)=RIGHT(LEFT(' Pivot Tables'!$A$4,7),2)),1,0)</f>
        <v>0</v>
      </c>
      <c r="Y1351" s="6">
        <f>1/COUNTIF(Таблица1[Order ID],Таблица1[[#This Row],[Order ID]])</f>
        <v>0.33333333333333331</v>
      </c>
      <c r="Z1351" s="9">
        <f>1/COUNTIFS(Таблица1[Customer Name],Таблица1[[#This Row],[Customer Name]],Таблица1[Order-Year-Month],Таблица1[[#This Row],[Order-Year-Month]])</f>
        <v>0.33333333333333331</v>
      </c>
    </row>
    <row r="1352" spans="1:26" x14ac:dyDescent="0.2">
      <c r="A1352" s="6">
        <v>984</v>
      </c>
      <c r="B1352" s="7">
        <v>7106</v>
      </c>
      <c r="C1352" s="8">
        <f>DATE(2012,12,31)-235</f>
        <v>41039</v>
      </c>
      <c r="D1352" s="8" t="str">
        <f t="shared" si="29"/>
        <v>2012-05 (май 2012)</v>
      </c>
      <c r="E1352" s="9" t="s">
        <v>21</v>
      </c>
      <c r="F1352" s="7">
        <v>36</v>
      </c>
      <c r="G1352" s="7">
        <v>1058.45</v>
      </c>
      <c r="H1352" s="7">
        <v>0.01</v>
      </c>
      <c r="I1352" s="9" t="s">
        <v>22</v>
      </c>
      <c r="J1352" s="10">
        <v>-386.02</v>
      </c>
      <c r="K1352" s="11">
        <v>27.75</v>
      </c>
      <c r="L1352" s="11">
        <v>19.989999999999998</v>
      </c>
      <c r="M1352" s="9" t="s">
        <v>1018</v>
      </c>
      <c r="N1352" s="6" t="s">
        <v>974</v>
      </c>
      <c r="O1352" s="6" t="s">
        <v>512</v>
      </c>
      <c r="P1352" s="9" t="s">
        <v>60</v>
      </c>
      <c r="Q1352" s="9" t="s">
        <v>26</v>
      </c>
      <c r="R1352" s="9" t="s">
        <v>27</v>
      </c>
      <c r="S1352" s="7" t="s">
        <v>561</v>
      </c>
      <c r="T1352" s="9" t="s">
        <v>39</v>
      </c>
      <c r="U1352" s="7">
        <v>0.67</v>
      </c>
      <c r="V1352" s="12">
        <f>C1352+2</f>
        <v>41041</v>
      </c>
      <c r="W1352">
        <f>IF(D1352=' Pivot Tables'!$A$4,1,0)</f>
        <v>0</v>
      </c>
      <c r="X1352">
        <f>IF(AND(LEFT(D1352,4)+1=LEFT(' Pivot Tables'!$A$4,4)+0,RIGHT(LEFT(D1352,7),2)=RIGHT(LEFT(' Pivot Tables'!$A$4,7),2)),1,0)</f>
        <v>0</v>
      </c>
      <c r="Y1352" s="6">
        <f>1/COUNTIF(Таблица1[Order ID],Таблица1[[#This Row],[Order ID]])</f>
        <v>0.33333333333333331</v>
      </c>
      <c r="Z1352" s="9">
        <f>1/COUNTIFS(Таблица1[Customer Name],Таблица1[[#This Row],[Customer Name]],Таблица1[Order-Year-Month],Таблица1[[#This Row],[Order-Year-Month]])</f>
        <v>0.33333333333333331</v>
      </c>
    </row>
    <row r="1353" spans="1:26" x14ac:dyDescent="0.2">
      <c r="A1353" s="6">
        <v>1090</v>
      </c>
      <c r="B1353" s="7">
        <v>8007</v>
      </c>
      <c r="C1353" s="8">
        <f>DATE(2012,12,31)-324</f>
        <v>40950</v>
      </c>
      <c r="D1353" s="8" t="str">
        <f t="shared" si="29"/>
        <v>2012-02 (февраль 2012)</v>
      </c>
      <c r="E1353" s="9" t="s">
        <v>21</v>
      </c>
      <c r="F1353" s="7">
        <v>5</v>
      </c>
      <c r="G1353" s="7">
        <v>820.56449999999995</v>
      </c>
      <c r="H1353" s="7">
        <v>0.09</v>
      </c>
      <c r="I1353" s="9" t="s">
        <v>22</v>
      </c>
      <c r="J1353" s="10">
        <v>-800.25</v>
      </c>
      <c r="K1353" s="11">
        <v>205.99</v>
      </c>
      <c r="L1353" s="11">
        <v>8.99</v>
      </c>
      <c r="M1353" s="9" t="s">
        <v>1020</v>
      </c>
      <c r="N1353" s="6" t="s">
        <v>974</v>
      </c>
      <c r="O1353" s="6" t="s">
        <v>512</v>
      </c>
      <c r="P1353" s="9" t="s">
        <v>41</v>
      </c>
      <c r="Q1353" s="9" t="s">
        <v>42</v>
      </c>
      <c r="R1353" s="9" t="s">
        <v>43</v>
      </c>
      <c r="S1353" s="7" t="s">
        <v>1021</v>
      </c>
      <c r="T1353" s="9" t="s">
        <v>39</v>
      </c>
      <c r="U1353" s="7">
        <v>0.6</v>
      </c>
      <c r="V1353" s="12">
        <f>C1353+0</f>
        <v>40950</v>
      </c>
      <c r="W1353">
        <f>IF(D1353=' Pivot Tables'!$A$4,1,0)</f>
        <v>0</v>
      </c>
      <c r="X1353">
        <f>IF(AND(LEFT(D1353,4)+1=LEFT(' Pivot Tables'!$A$4,4)+0,RIGHT(LEFT(D1353,7),2)=RIGHT(LEFT(' Pivot Tables'!$A$4,7),2)),1,0)</f>
        <v>0</v>
      </c>
      <c r="Y1353" s="6">
        <f>1/COUNTIF(Таблица1[Order ID],Таблица1[[#This Row],[Order ID]])</f>
        <v>0.5</v>
      </c>
      <c r="Z1353" s="9">
        <f>1/COUNTIFS(Таблица1[Customer Name],Таблица1[[#This Row],[Customer Name]],Таблица1[Order-Year-Month],Таблица1[[#This Row],[Order-Year-Month]])</f>
        <v>0.33333333333333331</v>
      </c>
    </row>
    <row r="1354" spans="1:26" x14ac:dyDescent="0.2">
      <c r="A1354" s="6">
        <v>1127</v>
      </c>
      <c r="B1354" s="7">
        <v>8257</v>
      </c>
      <c r="C1354" s="8">
        <f>DATE(2012,12,31)-1380</f>
        <v>39894</v>
      </c>
      <c r="D1354" s="8" t="str">
        <f t="shared" si="29"/>
        <v>2009-03 (март 2009)</v>
      </c>
      <c r="E1354" s="9" t="s">
        <v>21</v>
      </c>
      <c r="F1354" s="7">
        <v>5</v>
      </c>
      <c r="G1354" s="7">
        <v>7486.09</v>
      </c>
      <c r="H1354" s="7">
        <v>0.05</v>
      </c>
      <c r="I1354" s="9" t="s">
        <v>31</v>
      </c>
      <c r="J1354" s="10">
        <v>-2561.3235</v>
      </c>
      <c r="K1354" s="11">
        <v>1500.97</v>
      </c>
      <c r="L1354" s="11">
        <v>29.7</v>
      </c>
      <c r="M1354" s="9" t="s">
        <v>1014</v>
      </c>
      <c r="N1354" s="6" t="s">
        <v>974</v>
      </c>
      <c r="O1354" s="6" t="s">
        <v>512</v>
      </c>
      <c r="P1354" s="9" t="s">
        <v>33</v>
      </c>
      <c r="Q1354" s="9" t="s">
        <v>42</v>
      </c>
      <c r="R1354" s="9" t="s">
        <v>210</v>
      </c>
      <c r="S1354" s="7" t="s">
        <v>316</v>
      </c>
      <c r="T1354" s="9" t="s">
        <v>36</v>
      </c>
      <c r="U1354" s="7">
        <v>0.56999999999999995</v>
      </c>
      <c r="V1354" s="12">
        <f>C1354+0</f>
        <v>39894</v>
      </c>
      <c r="W1354">
        <f>IF(D1354=' Pivot Tables'!$A$4,1,0)</f>
        <v>0</v>
      </c>
      <c r="X1354">
        <f>IF(AND(LEFT(D1354,4)+1=LEFT(' Pivot Tables'!$A$4,4)+0,RIGHT(LEFT(D1354,7),2)=RIGHT(LEFT(' Pivot Tables'!$A$4,7),2)),1,0)</f>
        <v>0</v>
      </c>
      <c r="Y1354" s="6">
        <f>1/COUNTIF(Таблица1[Order ID],Таблица1[[#This Row],[Order ID]])</f>
        <v>0.33333333333333331</v>
      </c>
      <c r="Z1354" s="9">
        <f>1/COUNTIFS(Таблица1[Customer Name],Таблица1[[#This Row],[Customer Name]],Таблица1[Order-Year-Month],Таблица1[[#This Row],[Order-Year-Month]])</f>
        <v>0.33333333333333331</v>
      </c>
    </row>
    <row r="1355" spans="1:26" x14ac:dyDescent="0.2">
      <c r="A1355" s="6">
        <v>1128</v>
      </c>
      <c r="B1355" s="7">
        <v>8257</v>
      </c>
      <c r="C1355" s="8">
        <f>DATE(2012,12,31)-1380</f>
        <v>39894</v>
      </c>
      <c r="D1355" s="8" t="str">
        <f t="shared" si="29"/>
        <v>2009-03 (март 2009)</v>
      </c>
      <c r="E1355" s="9" t="s">
        <v>21</v>
      </c>
      <c r="F1355" s="7">
        <v>18</v>
      </c>
      <c r="G1355" s="7">
        <v>881.32</v>
      </c>
      <c r="H1355" s="7">
        <v>0.02</v>
      </c>
      <c r="I1355" s="9" t="s">
        <v>22</v>
      </c>
      <c r="J1355" s="10">
        <v>373.67</v>
      </c>
      <c r="K1355" s="11">
        <v>48.04</v>
      </c>
      <c r="L1355" s="11">
        <v>5.09</v>
      </c>
      <c r="M1355" s="9" t="s">
        <v>1014</v>
      </c>
      <c r="N1355" s="6" t="s">
        <v>974</v>
      </c>
      <c r="O1355" s="6" t="s">
        <v>512</v>
      </c>
      <c r="P1355" s="9" t="s">
        <v>33</v>
      </c>
      <c r="Q1355" s="9" t="s">
        <v>26</v>
      </c>
      <c r="R1355" s="9" t="s">
        <v>61</v>
      </c>
      <c r="S1355" s="7" t="s">
        <v>1022</v>
      </c>
      <c r="T1355" s="9" t="s">
        <v>39</v>
      </c>
      <c r="U1355" s="7">
        <v>0.37</v>
      </c>
      <c r="V1355" s="12">
        <f>C1355+4</f>
        <v>39898</v>
      </c>
      <c r="W1355">
        <f>IF(D1355=' Pivot Tables'!$A$4,1,0)</f>
        <v>0</v>
      </c>
      <c r="X1355">
        <f>IF(AND(LEFT(D1355,4)+1=LEFT(' Pivot Tables'!$A$4,4)+0,RIGHT(LEFT(D1355,7),2)=RIGHT(LEFT(' Pivot Tables'!$A$4,7),2)),1,0)</f>
        <v>0</v>
      </c>
      <c r="Y1355" s="6">
        <f>1/COUNTIF(Таблица1[Order ID],Таблица1[[#This Row],[Order ID]])</f>
        <v>0.33333333333333331</v>
      </c>
      <c r="Z1355" s="9">
        <f>1/COUNTIFS(Таблица1[Customer Name],Таблица1[[#This Row],[Customer Name]],Таблица1[Order-Year-Month],Таблица1[[#This Row],[Order-Year-Month]])</f>
        <v>0.33333333333333331</v>
      </c>
    </row>
    <row r="1356" spans="1:26" x14ac:dyDescent="0.2">
      <c r="A1356" s="6">
        <v>1129</v>
      </c>
      <c r="B1356" s="7">
        <v>8257</v>
      </c>
      <c r="C1356" s="8">
        <f>DATE(2012,12,31)-1380</f>
        <v>39894</v>
      </c>
      <c r="D1356" s="8" t="str">
        <f t="shared" si="29"/>
        <v>2009-03 (март 2009)</v>
      </c>
      <c r="E1356" s="9" t="s">
        <v>21</v>
      </c>
      <c r="F1356" s="7">
        <v>5</v>
      </c>
      <c r="G1356" s="7">
        <v>22.77</v>
      </c>
      <c r="H1356" s="7">
        <v>0.03</v>
      </c>
      <c r="I1356" s="9" t="s">
        <v>22</v>
      </c>
      <c r="J1356" s="10">
        <v>-6.2</v>
      </c>
      <c r="K1356" s="11">
        <v>4.28</v>
      </c>
      <c r="L1356" s="11">
        <v>1.6</v>
      </c>
      <c r="M1356" s="9" t="s">
        <v>1014</v>
      </c>
      <c r="N1356" s="6" t="s">
        <v>974</v>
      </c>
      <c r="O1356" s="6" t="s">
        <v>512</v>
      </c>
      <c r="P1356" s="9" t="s">
        <v>33</v>
      </c>
      <c r="Q1356" s="9" t="s">
        <v>26</v>
      </c>
      <c r="R1356" s="9" t="s">
        <v>95</v>
      </c>
      <c r="S1356" s="7" t="s">
        <v>1023</v>
      </c>
      <c r="T1356" s="9" t="s">
        <v>68</v>
      </c>
      <c r="U1356" s="7">
        <v>0.57999999999999996</v>
      </c>
      <c r="V1356" s="12">
        <f>C1356+7</f>
        <v>39901</v>
      </c>
      <c r="W1356">
        <f>IF(D1356=' Pivot Tables'!$A$4,1,0)</f>
        <v>0</v>
      </c>
      <c r="X1356">
        <f>IF(AND(LEFT(D1356,4)+1=LEFT(' Pivot Tables'!$A$4,4)+0,RIGHT(LEFT(D1356,7),2)=RIGHT(LEFT(' Pivot Tables'!$A$4,7),2)),1,0)</f>
        <v>0</v>
      </c>
      <c r="Y1356" s="6">
        <f>1/COUNTIF(Таблица1[Order ID],Таблица1[[#This Row],[Order ID]])</f>
        <v>0.33333333333333331</v>
      </c>
      <c r="Z1356" s="9">
        <f>1/COUNTIFS(Таблица1[Customer Name],Таблица1[[#This Row],[Customer Name]],Таблица1[Order-Year-Month],Таблица1[[#This Row],[Order-Year-Month]])</f>
        <v>0.33333333333333331</v>
      </c>
    </row>
    <row r="1357" spans="1:26" x14ac:dyDescent="0.2">
      <c r="A1357" s="6">
        <v>1196</v>
      </c>
      <c r="B1357" s="7">
        <v>8773</v>
      </c>
      <c r="C1357" s="8">
        <f>DATE(2012,12,31)-436</f>
        <v>40838</v>
      </c>
      <c r="D1357" s="8" t="str">
        <f t="shared" si="29"/>
        <v>2011-10 (октябрь 2011)</v>
      </c>
      <c r="E1357" s="9" t="s">
        <v>78</v>
      </c>
      <c r="F1357" s="7">
        <v>5</v>
      </c>
      <c r="G1357" s="7">
        <v>220.78749999999999</v>
      </c>
      <c r="H1357" s="7">
        <v>0.09</v>
      </c>
      <c r="I1357" s="9" t="s">
        <v>22</v>
      </c>
      <c r="J1357" s="10">
        <v>-305.31600000000003</v>
      </c>
      <c r="K1357" s="11">
        <v>55.99</v>
      </c>
      <c r="L1357" s="11">
        <v>5</v>
      </c>
      <c r="M1357" s="9" t="s">
        <v>999</v>
      </c>
      <c r="N1357" s="6" t="s">
        <v>974</v>
      </c>
      <c r="O1357" s="6" t="s">
        <v>512</v>
      </c>
      <c r="P1357" s="9" t="s">
        <v>60</v>
      </c>
      <c r="Q1357" s="9" t="s">
        <v>42</v>
      </c>
      <c r="R1357" s="9" t="s">
        <v>43</v>
      </c>
      <c r="S1357" s="7" t="s">
        <v>248</v>
      </c>
      <c r="T1357" s="9" t="s">
        <v>52</v>
      </c>
      <c r="U1357" s="7">
        <v>0.83</v>
      </c>
      <c r="V1357" s="12">
        <f>C1357+0</f>
        <v>40838</v>
      </c>
      <c r="W1357">
        <f>IF(D1357=' Pivot Tables'!$A$4,1,0)</f>
        <v>0</v>
      </c>
      <c r="X1357">
        <f>IF(AND(LEFT(D1357,4)+1=LEFT(' Pivot Tables'!$A$4,4)+0,RIGHT(LEFT(D1357,7),2)=RIGHT(LEFT(' Pivot Tables'!$A$4,7),2)),1,0)</f>
        <v>0</v>
      </c>
      <c r="Y1357" s="6">
        <f>1/COUNTIF(Таблица1[Order ID],Таблица1[[#This Row],[Order ID]])</f>
        <v>1</v>
      </c>
      <c r="Z1357" s="9">
        <f>1/COUNTIFS(Таблица1[Customer Name],Таблица1[[#This Row],[Customer Name]],Таблица1[Order-Year-Month],Таблица1[[#This Row],[Order-Year-Month]])</f>
        <v>1</v>
      </c>
    </row>
    <row r="1358" spans="1:26" x14ac:dyDescent="0.2">
      <c r="A1358" s="6">
        <v>1243</v>
      </c>
      <c r="B1358" s="7">
        <v>9057</v>
      </c>
      <c r="C1358" s="8">
        <f>DATE(2012,12,31)-1153</f>
        <v>40121</v>
      </c>
      <c r="D1358" s="8" t="str">
        <f t="shared" si="29"/>
        <v>2009-11 (ноябрь 2009)</v>
      </c>
      <c r="E1358" s="9" t="s">
        <v>78</v>
      </c>
      <c r="F1358" s="7">
        <v>20</v>
      </c>
      <c r="G1358" s="7">
        <v>160.29</v>
      </c>
      <c r="H1358" s="7">
        <v>0.01</v>
      </c>
      <c r="I1358" s="9" t="s">
        <v>22</v>
      </c>
      <c r="J1358" s="10">
        <v>1.35</v>
      </c>
      <c r="K1358" s="11">
        <v>7.59</v>
      </c>
      <c r="L1358" s="11">
        <v>4</v>
      </c>
      <c r="M1358" s="9" t="s">
        <v>1006</v>
      </c>
      <c r="N1358" s="6" t="s">
        <v>974</v>
      </c>
      <c r="O1358" s="6" t="s">
        <v>512</v>
      </c>
      <c r="P1358" s="9" t="s">
        <v>60</v>
      </c>
      <c r="Q1358" s="9" t="s">
        <v>49</v>
      </c>
      <c r="R1358" s="9" t="s">
        <v>50</v>
      </c>
      <c r="S1358" s="7" t="s">
        <v>504</v>
      </c>
      <c r="T1358" s="9" t="s">
        <v>68</v>
      </c>
      <c r="U1358" s="7">
        <v>0.42</v>
      </c>
      <c r="V1358" s="12">
        <f>C1358+0</f>
        <v>40121</v>
      </c>
      <c r="W1358">
        <f>IF(D1358=' Pivot Tables'!$A$4,1,0)</f>
        <v>0</v>
      </c>
      <c r="X1358">
        <f>IF(AND(LEFT(D1358,4)+1=LEFT(' Pivot Tables'!$A$4,4)+0,RIGHT(LEFT(D1358,7),2)=RIGHT(LEFT(' Pivot Tables'!$A$4,7),2)),1,0)</f>
        <v>0</v>
      </c>
      <c r="Y1358" s="6">
        <f>1/COUNTIF(Таблица1[Order ID],Таблица1[[#This Row],[Order ID]])</f>
        <v>1</v>
      </c>
      <c r="Z1358" s="9">
        <f>1/COUNTIFS(Таблица1[Customer Name],Таблица1[[#This Row],[Customer Name]],Таблица1[Order-Year-Month],Таблица1[[#This Row],[Order-Year-Month]])</f>
        <v>1</v>
      </c>
    </row>
    <row r="1359" spans="1:26" x14ac:dyDescent="0.2">
      <c r="A1359" s="6">
        <v>1279</v>
      </c>
      <c r="B1359" s="7">
        <v>9285</v>
      </c>
      <c r="C1359" s="8">
        <f>DATE(2012,12,31)-1459</f>
        <v>39815</v>
      </c>
      <c r="D1359" s="8" t="str">
        <f t="shared" si="29"/>
        <v>2009-01 (январь 2009)</v>
      </c>
      <c r="E1359" s="9" t="s">
        <v>78</v>
      </c>
      <c r="F1359" s="7">
        <v>3</v>
      </c>
      <c r="G1359" s="7">
        <v>124.81</v>
      </c>
      <c r="H1359" s="7">
        <v>0.06</v>
      </c>
      <c r="I1359" s="9" t="s">
        <v>22</v>
      </c>
      <c r="J1359" s="10">
        <v>-11.937000000000001</v>
      </c>
      <c r="K1359" s="11">
        <v>40.98</v>
      </c>
      <c r="L1359" s="11">
        <v>2.99</v>
      </c>
      <c r="M1359" s="9" t="s">
        <v>1014</v>
      </c>
      <c r="N1359" s="6" t="s">
        <v>974</v>
      </c>
      <c r="O1359" s="6" t="s">
        <v>512</v>
      </c>
      <c r="P1359" s="9" t="s">
        <v>33</v>
      </c>
      <c r="Q1359" s="9" t="s">
        <v>26</v>
      </c>
      <c r="R1359" s="9" t="s">
        <v>37</v>
      </c>
      <c r="S1359" s="7" t="s">
        <v>451</v>
      </c>
      <c r="T1359" s="9" t="s">
        <v>39</v>
      </c>
      <c r="U1359" s="7">
        <v>0.36</v>
      </c>
      <c r="V1359" s="12">
        <f>C1359+2</f>
        <v>39817</v>
      </c>
      <c r="W1359">
        <f>IF(D1359=' Pivot Tables'!$A$4,1,0)</f>
        <v>0</v>
      </c>
      <c r="X1359">
        <f>IF(AND(LEFT(D1359,4)+1=LEFT(' Pivot Tables'!$A$4,4)+0,RIGHT(LEFT(D1359,7),2)=RIGHT(LEFT(' Pivot Tables'!$A$4,7),2)),1,0)</f>
        <v>1</v>
      </c>
      <c r="Y1359" s="6">
        <f>1/COUNTIF(Таблица1[Order ID],Таблица1[[#This Row],[Order ID]])</f>
        <v>1</v>
      </c>
      <c r="Z1359" s="9">
        <f>1/COUNTIFS(Таблица1[Customer Name],Таблица1[[#This Row],[Customer Name]],Таблица1[Order-Year-Month],Таблица1[[#This Row],[Order-Year-Month]])</f>
        <v>1</v>
      </c>
    </row>
    <row r="1360" spans="1:26" x14ac:dyDescent="0.2">
      <c r="A1360" s="6">
        <v>1353</v>
      </c>
      <c r="B1360" s="7">
        <v>9861</v>
      </c>
      <c r="C1360" s="8">
        <f>DATE(2012,12,31)-64</f>
        <v>41210</v>
      </c>
      <c r="D1360" s="8" t="str">
        <f t="shared" si="29"/>
        <v>2012-10 (октябрь 2012)</v>
      </c>
      <c r="E1360" s="9" t="s">
        <v>21</v>
      </c>
      <c r="F1360" s="7">
        <v>47</v>
      </c>
      <c r="G1360" s="7">
        <v>706.68</v>
      </c>
      <c r="H1360" s="7">
        <v>0.1</v>
      </c>
      <c r="I1360" s="9" t="s">
        <v>22</v>
      </c>
      <c r="J1360" s="10">
        <v>6.6</v>
      </c>
      <c r="K1360" s="11">
        <v>15.94</v>
      </c>
      <c r="L1360" s="11">
        <v>5.45</v>
      </c>
      <c r="M1360" s="9" t="s">
        <v>1015</v>
      </c>
      <c r="N1360" s="6" t="s">
        <v>974</v>
      </c>
      <c r="O1360" s="6" t="s">
        <v>512</v>
      </c>
      <c r="P1360" s="9" t="s">
        <v>41</v>
      </c>
      <c r="Q1360" s="9" t="s">
        <v>26</v>
      </c>
      <c r="R1360" s="9" t="s">
        <v>95</v>
      </c>
      <c r="S1360" s="7" t="s">
        <v>469</v>
      </c>
      <c r="T1360" s="9" t="s">
        <v>52</v>
      </c>
      <c r="U1360" s="7">
        <v>0.55000000000000004</v>
      </c>
      <c r="V1360" s="12">
        <f>C1360+4</f>
        <v>41214</v>
      </c>
      <c r="W1360">
        <f>IF(D1360=' Pivot Tables'!$A$4,1,0)</f>
        <v>0</v>
      </c>
      <c r="X1360">
        <f>IF(AND(LEFT(D1360,4)+1=LEFT(' Pivot Tables'!$A$4,4)+0,RIGHT(LEFT(D1360,7),2)=RIGHT(LEFT(' Pivot Tables'!$A$4,7),2)),1,0)</f>
        <v>0</v>
      </c>
      <c r="Y1360" s="6">
        <f>1/COUNTIF(Таблица1[Order ID],Таблица1[[#This Row],[Order ID]])</f>
        <v>1</v>
      </c>
      <c r="Z1360" s="9">
        <f>1/COUNTIFS(Таблица1[Customer Name],Таблица1[[#This Row],[Customer Name]],Таблица1[Order-Year-Month],Таблица1[[#This Row],[Order-Year-Month]])</f>
        <v>1</v>
      </c>
    </row>
    <row r="1361" spans="1:26" x14ac:dyDescent="0.2">
      <c r="A1361" s="6">
        <v>1363</v>
      </c>
      <c r="B1361" s="7">
        <v>9922</v>
      </c>
      <c r="C1361" s="8">
        <f>DATE(2012,12,31)-638</f>
        <v>40636</v>
      </c>
      <c r="D1361" s="8" t="str">
        <f t="shared" si="29"/>
        <v>2011-04 (апрель 2011)</v>
      </c>
      <c r="E1361" s="9" t="s">
        <v>45</v>
      </c>
      <c r="F1361" s="7">
        <v>24</v>
      </c>
      <c r="G1361" s="7">
        <v>6408.3</v>
      </c>
      <c r="H1361" s="7">
        <v>0.1</v>
      </c>
      <c r="I1361" s="9" t="s">
        <v>31</v>
      </c>
      <c r="J1361" s="10">
        <v>539.54</v>
      </c>
      <c r="K1361" s="11">
        <v>280.98</v>
      </c>
      <c r="L1361" s="11">
        <v>35.67</v>
      </c>
      <c r="M1361" s="9" t="s">
        <v>1003</v>
      </c>
      <c r="N1361" s="6" t="s">
        <v>974</v>
      </c>
      <c r="O1361" s="6" t="s">
        <v>512</v>
      </c>
      <c r="P1361" s="9" t="s">
        <v>33</v>
      </c>
      <c r="Q1361" s="9" t="s">
        <v>49</v>
      </c>
      <c r="R1361" s="9" t="s">
        <v>83</v>
      </c>
      <c r="S1361" s="7" t="s">
        <v>526</v>
      </c>
      <c r="T1361" s="9" t="s">
        <v>82</v>
      </c>
      <c r="U1361" s="7">
        <v>0.66</v>
      </c>
      <c r="V1361" s="12">
        <f>C1361+1</f>
        <v>40637</v>
      </c>
      <c r="W1361">
        <f>IF(D1361=' Pivot Tables'!$A$4,1,0)</f>
        <v>0</v>
      </c>
      <c r="X1361">
        <f>IF(AND(LEFT(D1361,4)+1=LEFT(' Pivot Tables'!$A$4,4)+0,RIGHT(LEFT(D1361,7),2)=RIGHT(LEFT(' Pivot Tables'!$A$4,7),2)),1,0)</f>
        <v>0</v>
      </c>
      <c r="Y1361" s="6">
        <f>1/COUNTIF(Таблица1[Order ID],Таблица1[[#This Row],[Order ID]])</f>
        <v>0.33333333333333331</v>
      </c>
      <c r="Z1361" s="9">
        <f>1/COUNTIFS(Таблица1[Customer Name],Таблица1[[#This Row],[Customer Name]],Таблица1[Order-Year-Month],Таблица1[[#This Row],[Order-Year-Month]])</f>
        <v>0.14285714285714285</v>
      </c>
    </row>
    <row r="1362" spans="1:26" x14ac:dyDescent="0.2">
      <c r="A1362" s="6">
        <v>1364</v>
      </c>
      <c r="B1362" s="7">
        <v>9923</v>
      </c>
      <c r="C1362" s="8">
        <f>DATE(2012,12,31)-1183</f>
        <v>40091</v>
      </c>
      <c r="D1362" s="8" t="str">
        <f t="shared" si="29"/>
        <v>2009-10 (октябрь 2009)</v>
      </c>
      <c r="E1362" s="9" t="s">
        <v>30</v>
      </c>
      <c r="F1362" s="7">
        <v>27</v>
      </c>
      <c r="G1362" s="7">
        <v>63.71</v>
      </c>
      <c r="H1362" s="7">
        <v>0.01</v>
      </c>
      <c r="I1362" s="9" t="s">
        <v>22</v>
      </c>
      <c r="J1362" s="10">
        <v>-96.03</v>
      </c>
      <c r="K1362" s="11">
        <v>2.08</v>
      </c>
      <c r="L1362" s="11">
        <v>5.33</v>
      </c>
      <c r="M1362" s="9" t="s">
        <v>1015</v>
      </c>
      <c r="N1362" s="6" t="s">
        <v>974</v>
      </c>
      <c r="O1362" s="6" t="s">
        <v>512</v>
      </c>
      <c r="P1362" s="9" t="s">
        <v>41</v>
      </c>
      <c r="Q1362" s="9" t="s">
        <v>49</v>
      </c>
      <c r="R1362" s="9" t="s">
        <v>50</v>
      </c>
      <c r="S1362" s="7" t="s">
        <v>216</v>
      </c>
      <c r="T1362" s="9" t="s">
        <v>39</v>
      </c>
      <c r="U1362" s="7">
        <v>0.43</v>
      </c>
      <c r="V1362" s="12">
        <f>C1362+0</f>
        <v>40091</v>
      </c>
      <c r="W1362">
        <f>IF(D1362=' Pivot Tables'!$A$4,1,0)</f>
        <v>0</v>
      </c>
      <c r="X1362">
        <f>IF(AND(LEFT(D1362,4)+1=LEFT(' Pivot Tables'!$A$4,4)+0,RIGHT(LEFT(D1362,7),2)=RIGHT(LEFT(' Pivot Tables'!$A$4,7),2)),1,0)</f>
        <v>0</v>
      </c>
      <c r="Y1362" s="6">
        <f>1/COUNTIF(Таблица1[Order ID],Таблица1[[#This Row],[Order ID]])</f>
        <v>0.5</v>
      </c>
      <c r="Z1362" s="9">
        <f>1/COUNTIFS(Таблица1[Customer Name],Таблица1[[#This Row],[Customer Name]],Таблица1[Order-Year-Month],Таблица1[[#This Row],[Order-Year-Month]])</f>
        <v>0.5</v>
      </c>
    </row>
    <row r="1363" spans="1:26" x14ac:dyDescent="0.2">
      <c r="A1363" s="6">
        <v>1365</v>
      </c>
      <c r="B1363" s="7">
        <v>9923</v>
      </c>
      <c r="C1363" s="8">
        <f>DATE(2012,12,31)-1183</f>
        <v>40091</v>
      </c>
      <c r="D1363" s="8" t="str">
        <f t="shared" si="29"/>
        <v>2009-10 (октябрь 2009)</v>
      </c>
      <c r="E1363" s="9" t="s">
        <v>30</v>
      </c>
      <c r="F1363" s="7">
        <v>14</v>
      </c>
      <c r="G1363" s="7">
        <v>5388.8</v>
      </c>
      <c r="H1363" s="7">
        <v>0.03</v>
      </c>
      <c r="I1363" s="9" t="s">
        <v>31</v>
      </c>
      <c r="J1363" s="10">
        <v>-115.08</v>
      </c>
      <c r="K1363" s="11">
        <v>370.98</v>
      </c>
      <c r="L1363" s="11">
        <v>99</v>
      </c>
      <c r="M1363" s="9" t="s">
        <v>1015</v>
      </c>
      <c r="N1363" s="6" t="s">
        <v>974</v>
      </c>
      <c r="O1363" s="6" t="s">
        <v>512</v>
      </c>
      <c r="P1363" s="9" t="s">
        <v>41</v>
      </c>
      <c r="Q1363" s="9" t="s">
        <v>26</v>
      </c>
      <c r="R1363" s="9" t="s">
        <v>27</v>
      </c>
      <c r="S1363" s="7" t="s">
        <v>342</v>
      </c>
      <c r="T1363" s="9" t="s">
        <v>36</v>
      </c>
      <c r="U1363" s="7">
        <v>0.65</v>
      </c>
      <c r="V1363" s="12">
        <f>C1363+1</f>
        <v>40092</v>
      </c>
      <c r="W1363">
        <f>IF(D1363=' Pivot Tables'!$A$4,1,0)</f>
        <v>0</v>
      </c>
      <c r="X1363">
        <f>IF(AND(LEFT(D1363,4)+1=LEFT(' Pivot Tables'!$A$4,4)+0,RIGHT(LEFT(D1363,7),2)=RIGHT(LEFT(' Pivot Tables'!$A$4,7),2)),1,0)</f>
        <v>0</v>
      </c>
      <c r="Y1363" s="6">
        <f>1/COUNTIF(Таблица1[Order ID],Таблица1[[#This Row],[Order ID]])</f>
        <v>0.5</v>
      </c>
      <c r="Z1363" s="9">
        <f>1/COUNTIFS(Таблица1[Customer Name],Таблица1[[#This Row],[Customer Name]],Таблица1[Order-Year-Month],Таблица1[[#This Row],[Order-Year-Month]])</f>
        <v>0.5</v>
      </c>
    </row>
    <row r="1364" spans="1:26" x14ac:dyDescent="0.2">
      <c r="A1364" s="6">
        <v>1366</v>
      </c>
      <c r="B1364" s="7">
        <v>9925</v>
      </c>
      <c r="C1364" s="8">
        <f>DATE(2012,12,31)-336</f>
        <v>40938</v>
      </c>
      <c r="D1364" s="8" t="str">
        <f t="shared" si="29"/>
        <v>2012-01 (январь 2012)</v>
      </c>
      <c r="E1364" s="9" t="s">
        <v>78</v>
      </c>
      <c r="F1364" s="7">
        <v>43</v>
      </c>
      <c r="G1364" s="7">
        <v>1751.68</v>
      </c>
      <c r="H1364" s="7">
        <v>0.1</v>
      </c>
      <c r="I1364" s="9" t="s">
        <v>56</v>
      </c>
      <c r="J1364" s="10">
        <v>771.82549999999992</v>
      </c>
      <c r="K1364" s="11">
        <v>41.94</v>
      </c>
      <c r="L1364" s="11">
        <v>2.99</v>
      </c>
      <c r="M1364" s="9" t="s">
        <v>1015</v>
      </c>
      <c r="N1364" s="6" t="s">
        <v>974</v>
      </c>
      <c r="O1364" s="6" t="s">
        <v>512</v>
      </c>
      <c r="P1364" s="9" t="s">
        <v>41</v>
      </c>
      <c r="Q1364" s="9" t="s">
        <v>26</v>
      </c>
      <c r="R1364" s="9" t="s">
        <v>37</v>
      </c>
      <c r="S1364" s="7" t="s">
        <v>369</v>
      </c>
      <c r="T1364" s="9" t="s">
        <v>39</v>
      </c>
      <c r="U1364" s="7">
        <v>0.35</v>
      </c>
      <c r="V1364" s="12">
        <f>C1364+3</f>
        <v>40941</v>
      </c>
      <c r="W1364">
        <f>IF(D1364=' Pivot Tables'!$A$4,1,0)</f>
        <v>0</v>
      </c>
      <c r="X1364">
        <f>IF(AND(LEFT(D1364,4)+1=LEFT(' Pivot Tables'!$A$4,4)+0,RIGHT(LEFT(D1364,7),2)=RIGHT(LEFT(' Pivot Tables'!$A$4,7),2)),1,0)</f>
        <v>0</v>
      </c>
      <c r="Y1364" s="6">
        <f>1/COUNTIF(Таблица1[Order ID],Таблица1[[#This Row],[Order ID]])</f>
        <v>0.33333333333333331</v>
      </c>
      <c r="Z1364" s="9">
        <f>1/COUNTIFS(Таблица1[Customer Name],Таблица1[[#This Row],[Customer Name]],Таблица1[Order-Year-Month],Таблица1[[#This Row],[Order-Year-Month]])</f>
        <v>0.33333333333333331</v>
      </c>
    </row>
    <row r="1365" spans="1:26" x14ac:dyDescent="0.2">
      <c r="A1365" s="6">
        <v>1367</v>
      </c>
      <c r="B1365" s="7">
        <v>9925</v>
      </c>
      <c r="C1365" s="8">
        <f>DATE(2012,12,31)-336</f>
        <v>40938</v>
      </c>
      <c r="D1365" s="8" t="str">
        <f t="shared" si="29"/>
        <v>2012-01 (январь 2012)</v>
      </c>
      <c r="E1365" s="9" t="s">
        <v>78</v>
      </c>
      <c r="F1365" s="7">
        <v>17</v>
      </c>
      <c r="G1365" s="7">
        <v>86.47</v>
      </c>
      <c r="H1365" s="7">
        <v>7.0000000000000007E-2</v>
      </c>
      <c r="I1365" s="9" t="s">
        <v>22</v>
      </c>
      <c r="J1365" s="10">
        <v>-9.3495000000000008</v>
      </c>
      <c r="K1365" s="11">
        <v>5.28</v>
      </c>
      <c r="L1365" s="11">
        <v>2.99</v>
      </c>
      <c r="M1365" s="9" t="s">
        <v>1015</v>
      </c>
      <c r="N1365" s="6" t="s">
        <v>974</v>
      </c>
      <c r="O1365" s="6" t="s">
        <v>512</v>
      </c>
      <c r="P1365" s="9" t="s">
        <v>41</v>
      </c>
      <c r="Q1365" s="9" t="s">
        <v>26</v>
      </c>
      <c r="R1365" s="9" t="s">
        <v>37</v>
      </c>
      <c r="S1365" s="7" t="s">
        <v>73</v>
      </c>
      <c r="T1365" s="9" t="s">
        <v>39</v>
      </c>
      <c r="U1365" s="7">
        <v>0.37</v>
      </c>
      <c r="V1365" s="12">
        <f>C1365+2</f>
        <v>40940</v>
      </c>
      <c r="W1365">
        <f>IF(D1365=' Pivot Tables'!$A$4,1,0)</f>
        <v>0</v>
      </c>
      <c r="X1365">
        <f>IF(AND(LEFT(D1365,4)+1=LEFT(' Pivot Tables'!$A$4,4)+0,RIGHT(LEFT(D1365,7),2)=RIGHT(LEFT(' Pivot Tables'!$A$4,7),2)),1,0)</f>
        <v>0</v>
      </c>
      <c r="Y1365" s="6">
        <f>1/COUNTIF(Таблица1[Order ID],Таблица1[[#This Row],[Order ID]])</f>
        <v>0.33333333333333331</v>
      </c>
      <c r="Z1365" s="9">
        <f>1/COUNTIFS(Таблица1[Customer Name],Таблица1[[#This Row],[Customer Name]],Таблица1[Order-Year-Month],Таблица1[[#This Row],[Order-Year-Month]])</f>
        <v>0.33333333333333331</v>
      </c>
    </row>
    <row r="1366" spans="1:26" x14ac:dyDescent="0.2">
      <c r="A1366" s="6">
        <v>1368</v>
      </c>
      <c r="B1366" s="7">
        <v>9925</v>
      </c>
      <c r="C1366" s="8">
        <f>DATE(2012,12,31)-336</f>
        <v>40938</v>
      </c>
      <c r="D1366" s="8" t="str">
        <f t="shared" si="29"/>
        <v>2012-01 (январь 2012)</v>
      </c>
      <c r="E1366" s="9" t="s">
        <v>78</v>
      </c>
      <c r="F1366" s="7">
        <v>31</v>
      </c>
      <c r="G1366" s="7">
        <v>684.5</v>
      </c>
      <c r="H1366" s="7">
        <v>0.02</v>
      </c>
      <c r="I1366" s="9" t="s">
        <v>22</v>
      </c>
      <c r="J1366" s="10">
        <v>-27.99</v>
      </c>
      <c r="K1366" s="11">
        <v>21.38</v>
      </c>
      <c r="L1366" s="11">
        <v>8.99</v>
      </c>
      <c r="M1366" s="9" t="s">
        <v>1015</v>
      </c>
      <c r="N1366" s="6" t="s">
        <v>974</v>
      </c>
      <c r="O1366" s="6" t="s">
        <v>512</v>
      </c>
      <c r="P1366" s="9" t="s">
        <v>41</v>
      </c>
      <c r="Q1366" s="9" t="s">
        <v>26</v>
      </c>
      <c r="R1366" s="9" t="s">
        <v>95</v>
      </c>
      <c r="S1366" s="7" t="s">
        <v>436</v>
      </c>
      <c r="T1366" s="9" t="s">
        <v>52</v>
      </c>
      <c r="U1366" s="7">
        <v>0.59</v>
      </c>
      <c r="V1366" s="12">
        <f>C1366+2</f>
        <v>40940</v>
      </c>
      <c r="W1366">
        <f>IF(D1366=' Pivot Tables'!$A$4,1,0)</f>
        <v>0</v>
      </c>
      <c r="X1366">
        <f>IF(AND(LEFT(D1366,4)+1=LEFT(' Pivot Tables'!$A$4,4)+0,RIGHT(LEFT(D1366,7),2)=RIGHT(LEFT(' Pivot Tables'!$A$4,7),2)),1,0)</f>
        <v>0</v>
      </c>
      <c r="Y1366" s="6">
        <f>1/COUNTIF(Таблица1[Order ID],Таблица1[[#This Row],[Order ID]])</f>
        <v>0.33333333333333331</v>
      </c>
      <c r="Z1366" s="9">
        <f>1/COUNTIFS(Таблица1[Customer Name],Таблица1[[#This Row],[Customer Name]],Таблица1[Order-Year-Month],Таблица1[[#This Row],[Order-Year-Month]])</f>
        <v>0.33333333333333331</v>
      </c>
    </row>
    <row r="1367" spans="1:26" x14ac:dyDescent="0.2">
      <c r="A1367" s="6">
        <v>1468</v>
      </c>
      <c r="B1367" s="7">
        <v>10593</v>
      </c>
      <c r="C1367" s="8">
        <f>DATE(2012,12,31)-323</f>
        <v>40951</v>
      </c>
      <c r="D1367" s="8" t="str">
        <f t="shared" si="29"/>
        <v>2012-02 (февраль 2012)</v>
      </c>
      <c r="E1367" s="9" t="s">
        <v>30</v>
      </c>
      <c r="F1367" s="7">
        <v>27</v>
      </c>
      <c r="G1367" s="7">
        <v>435.27</v>
      </c>
      <c r="H1367" s="7">
        <v>0.05</v>
      </c>
      <c r="I1367" s="9" t="s">
        <v>22</v>
      </c>
      <c r="J1367" s="10">
        <v>-147.51</v>
      </c>
      <c r="K1367" s="11">
        <v>15.98</v>
      </c>
      <c r="L1367" s="11">
        <v>8.99</v>
      </c>
      <c r="M1367" s="9" t="s">
        <v>999</v>
      </c>
      <c r="N1367" s="6" t="s">
        <v>974</v>
      </c>
      <c r="O1367" s="6" t="s">
        <v>512</v>
      </c>
      <c r="P1367" s="9" t="s">
        <v>60</v>
      </c>
      <c r="Q1367" s="9" t="s">
        <v>42</v>
      </c>
      <c r="R1367" s="9" t="s">
        <v>70</v>
      </c>
      <c r="S1367" s="7" t="s">
        <v>414</v>
      </c>
      <c r="T1367" s="9" t="s">
        <v>52</v>
      </c>
      <c r="U1367" s="7">
        <v>0.64</v>
      </c>
      <c r="V1367" s="12">
        <f>C1367+1</f>
        <v>40952</v>
      </c>
      <c r="W1367">
        <f>IF(D1367=' Pivot Tables'!$A$4,1,0)</f>
        <v>0</v>
      </c>
      <c r="X1367">
        <f>IF(AND(LEFT(D1367,4)+1=LEFT(' Pivot Tables'!$A$4,4)+0,RIGHT(LEFT(D1367,7),2)=RIGHT(LEFT(' Pivot Tables'!$A$4,7),2)),1,0)</f>
        <v>0</v>
      </c>
      <c r="Y1367" s="6">
        <f>1/COUNTIF(Таблица1[Order ID],Таблица1[[#This Row],[Order ID]])</f>
        <v>0.5</v>
      </c>
      <c r="Z1367" s="9">
        <f>1/COUNTIFS(Таблица1[Customer Name],Таблица1[[#This Row],[Customer Name]],Таблица1[Order-Year-Month],Таблица1[[#This Row],[Order-Year-Month]])</f>
        <v>0.5</v>
      </c>
    </row>
    <row r="1368" spans="1:26" x14ac:dyDescent="0.2">
      <c r="A1368" s="6">
        <v>1469</v>
      </c>
      <c r="B1368" s="7">
        <v>10593</v>
      </c>
      <c r="C1368" s="8">
        <f>DATE(2012,12,31)-323</f>
        <v>40951</v>
      </c>
      <c r="D1368" s="8" t="str">
        <f t="shared" si="29"/>
        <v>2012-02 (февраль 2012)</v>
      </c>
      <c r="E1368" s="9" t="s">
        <v>30</v>
      </c>
      <c r="F1368" s="7">
        <v>26</v>
      </c>
      <c r="G1368" s="7">
        <v>723.82</v>
      </c>
      <c r="H1368" s="7">
        <v>0.05</v>
      </c>
      <c r="I1368" s="9" t="s">
        <v>22</v>
      </c>
      <c r="J1368" s="10">
        <v>-40.98</v>
      </c>
      <c r="K1368" s="11">
        <v>27.42</v>
      </c>
      <c r="L1368" s="11">
        <v>19.46</v>
      </c>
      <c r="M1368" s="9" t="s">
        <v>999</v>
      </c>
      <c r="N1368" s="6" t="s">
        <v>974</v>
      </c>
      <c r="O1368" s="6" t="s">
        <v>512</v>
      </c>
      <c r="P1368" s="9" t="s">
        <v>60</v>
      </c>
      <c r="Q1368" s="9" t="s">
        <v>49</v>
      </c>
      <c r="R1368" s="9" t="s">
        <v>50</v>
      </c>
      <c r="S1368" s="7" t="s">
        <v>1024</v>
      </c>
      <c r="T1368" s="9" t="s">
        <v>39</v>
      </c>
      <c r="U1368" s="7">
        <v>0.44</v>
      </c>
      <c r="V1368" s="12">
        <f>C1368+2</f>
        <v>40953</v>
      </c>
      <c r="W1368">
        <f>IF(D1368=' Pivot Tables'!$A$4,1,0)</f>
        <v>0</v>
      </c>
      <c r="X1368">
        <f>IF(AND(LEFT(D1368,4)+1=LEFT(' Pivot Tables'!$A$4,4)+0,RIGHT(LEFT(D1368,7),2)=RIGHT(LEFT(' Pivot Tables'!$A$4,7),2)),1,0)</f>
        <v>0</v>
      </c>
      <c r="Y1368" s="6">
        <f>1/COUNTIF(Таблица1[Order ID],Таблица1[[#This Row],[Order ID]])</f>
        <v>0.5</v>
      </c>
      <c r="Z1368" s="9">
        <f>1/COUNTIFS(Таблица1[Customer Name],Таблица1[[#This Row],[Customer Name]],Таблица1[Order-Year-Month],Таблица1[[#This Row],[Order-Year-Month]])</f>
        <v>0.5</v>
      </c>
    </row>
    <row r="1369" spans="1:26" x14ac:dyDescent="0.2">
      <c r="A1369" s="6">
        <v>1660</v>
      </c>
      <c r="B1369" s="7">
        <v>11969</v>
      </c>
      <c r="C1369" s="8">
        <f>DATE(2012,12,31)-347</f>
        <v>40927</v>
      </c>
      <c r="D1369" s="8" t="str">
        <f t="shared" si="29"/>
        <v>2012-01 (январь 2012)</v>
      </c>
      <c r="E1369" s="9" t="s">
        <v>45</v>
      </c>
      <c r="F1369" s="7">
        <v>16</v>
      </c>
      <c r="G1369" s="7">
        <v>1684.96</v>
      </c>
      <c r="H1369" s="7">
        <v>0.08</v>
      </c>
      <c r="I1369" s="9" t="s">
        <v>22</v>
      </c>
      <c r="J1369" s="10">
        <v>-553.05999999999995</v>
      </c>
      <c r="K1369" s="11">
        <v>110.98</v>
      </c>
      <c r="L1369" s="11">
        <v>35</v>
      </c>
      <c r="M1369" s="9" t="s">
        <v>1025</v>
      </c>
      <c r="N1369" s="6" t="s">
        <v>974</v>
      </c>
      <c r="O1369" s="6" t="s">
        <v>512</v>
      </c>
      <c r="P1369" s="9" t="s">
        <v>33</v>
      </c>
      <c r="Q1369" s="9" t="s">
        <v>26</v>
      </c>
      <c r="R1369" s="9" t="s">
        <v>27</v>
      </c>
      <c r="S1369" s="7" t="s">
        <v>1026</v>
      </c>
      <c r="T1369" s="9" t="s">
        <v>29</v>
      </c>
      <c r="U1369" s="7">
        <v>0.82</v>
      </c>
      <c r="V1369" s="12">
        <f>C1369+1</f>
        <v>40928</v>
      </c>
      <c r="W1369">
        <f>IF(D1369=' Pivot Tables'!$A$4,1,0)</f>
        <v>0</v>
      </c>
      <c r="X1369">
        <f>IF(AND(LEFT(D1369,4)+1=LEFT(' Pivot Tables'!$A$4,4)+0,RIGHT(LEFT(D1369,7),2)=RIGHT(LEFT(' Pivot Tables'!$A$4,7),2)),1,0)</f>
        <v>0</v>
      </c>
      <c r="Y1369" s="6">
        <f>1/COUNTIF(Таблица1[Order ID],Таблица1[[#This Row],[Order ID]])</f>
        <v>0.33333333333333331</v>
      </c>
      <c r="Z1369" s="9">
        <f>1/COUNTIFS(Таблица1[Customer Name],Таблица1[[#This Row],[Customer Name]],Таблица1[Order-Year-Month],Таблица1[[#This Row],[Order-Year-Month]])</f>
        <v>0.33333333333333331</v>
      </c>
    </row>
    <row r="1370" spans="1:26" x14ac:dyDescent="0.2">
      <c r="A1370" s="6">
        <v>1661</v>
      </c>
      <c r="B1370" s="7">
        <v>11969</v>
      </c>
      <c r="C1370" s="8">
        <f>DATE(2012,12,31)-347</f>
        <v>40927</v>
      </c>
      <c r="D1370" s="8" t="str">
        <f t="shared" si="29"/>
        <v>2012-01 (январь 2012)</v>
      </c>
      <c r="E1370" s="9" t="s">
        <v>45</v>
      </c>
      <c r="F1370" s="7">
        <v>9</v>
      </c>
      <c r="G1370" s="7">
        <v>1662.048</v>
      </c>
      <c r="H1370" s="7">
        <v>0.03</v>
      </c>
      <c r="I1370" s="9" t="s">
        <v>31</v>
      </c>
      <c r="J1370" s="10">
        <v>-471.25800000000004</v>
      </c>
      <c r="K1370" s="11">
        <v>212.6</v>
      </c>
      <c r="L1370" s="11">
        <v>110.2</v>
      </c>
      <c r="M1370" s="9" t="s">
        <v>1025</v>
      </c>
      <c r="N1370" s="6" t="s">
        <v>974</v>
      </c>
      <c r="O1370" s="6" t="s">
        <v>512</v>
      </c>
      <c r="P1370" s="9" t="s">
        <v>33</v>
      </c>
      <c r="Q1370" s="9" t="s">
        <v>49</v>
      </c>
      <c r="R1370" s="9" t="s">
        <v>83</v>
      </c>
      <c r="S1370" s="7" t="s">
        <v>984</v>
      </c>
      <c r="T1370" s="9" t="s">
        <v>82</v>
      </c>
      <c r="U1370" s="7">
        <v>0.73</v>
      </c>
      <c r="V1370" s="12">
        <f>C1370+2</f>
        <v>40929</v>
      </c>
      <c r="W1370">
        <f>IF(D1370=' Pivot Tables'!$A$4,1,0)</f>
        <v>0</v>
      </c>
      <c r="X1370">
        <f>IF(AND(LEFT(D1370,4)+1=LEFT(' Pivot Tables'!$A$4,4)+0,RIGHT(LEFT(D1370,7),2)=RIGHT(LEFT(' Pivot Tables'!$A$4,7),2)),1,0)</f>
        <v>0</v>
      </c>
      <c r="Y1370" s="6">
        <f>1/COUNTIF(Таблица1[Order ID],Таблица1[[#This Row],[Order ID]])</f>
        <v>0.33333333333333331</v>
      </c>
      <c r="Z1370" s="9">
        <f>1/COUNTIFS(Таблица1[Customer Name],Таблица1[[#This Row],[Customer Name]],Таблица1[Order-Year-Month],Таблица1[[#This Row],[Order-Year-Month]])</f>
        <v>0.33333333333333331</v>
      </c>
    </row>
    <row r="1371" spans="1:26" x14ac:dyDescent="0.2">
      <c r="A1371" s="6">
        <v>1662</v>
      </c>
      <c r="B1371" s="7">
        <v>11969</v>
      </c>
      <c r="C1371" s="8">
        <f>DATE(2012,12,31)-347</f>
        <v>40927</v>
      </c>
      <c r="D1371" s="8" t="str">
        <f t="shared" si="29"/>
        <v>2012-01 (январь 2012)</v>
      </c>
      <c r="E1371" s="9" t="s">
        <v>45</v>
      </c>
      <c r="F1371" s="7">
        <v>42</v>
      </c>
      <c r="G1371" s="7">
        <v>11460.76</v>
      </c>
      <c r="H1371" s="7">
        <v>0.1</v>
      </c>
      <c r="I1371" s="9" t="s">
        <v>31</v>
      </c>
      <c r="J1371" s="10">
        <v>4264.82</v>
      </c>
      <c r="K1371" s="11">
        <v>349.45</v>
      </c>
      <c r="L1371" s="11">
        <v>60</v>
      </c>
      <c r="M1371" s="9" t="s">
        <v>1025</v>
      </c>
      <c r="N1371" s="6" t="s">
        <v>974</v>
      </c>
      <c r="O1371" s="6" t="s">
        <v>512</v>
      </c>
      <c r="P1371" s="9" t="s">
        <v>33</v>
      </c>
      <c r="Q1371" s="9" t="s">
        <v>49</v>
      </c>
      <c r="R1371" s="9" t="s">
        <v>83</v>
      </c>
      <c r="S1371" s="7" t="s">
        <v>311</v>
      </c>
      <c r="T1371" s="9" t="s">
        <v>36</v>
      </c>
      <c r="U1371" s="7"/>
      <c r="V1371" s="12">
        <f>C1371+2</f>
        <v>40929</v>
      </c>
      <c r="W1371">
        <f>IF(D1371=' Pivot Tables'!$A$4,1,0)</f>
        <v>0</v>
      </c>
      <c r="X1371">
        <f>IF(AND(LEFT(D1371,4)+1=LEFT(' Pivot Tables'!$A$4,4)+0,RIGHT(LEFT(D1371,7),2)=RIGHT(LEFT(' Pivot Tables'!$A$4,7),2)),1,0)</f>
        <v>0</v>
      </c>
      <c r="Y1371" s="6">
        <f>1/COUNTIF(Таблица1[Order ID],Таблица1[[#This Row],[Order ID]])</f>
        <v>0.33333333333333331</v>
      </c>
      <c r="Z1371" s="9">
        <f>1/COUNTIFS(Таблица1[Customer Name],Таблица1[[#This Row],[Customer Name]],Таблица1[Order-Year-Month],Таблица1[[#This Row],[Order-Year-Month]])</f>
        <v>0.33333333333333331</v>
      </c>
    </row>
    <row r="1372" spans="1:26" x14ac:dyDescent="0.2">
      <c r="A1372" s="6">
        <v>1694</v>
      </c>
      <c r="B1372" s="7">
        <v>12228</v>
      </c>
      <c r="C1372" s="8">
        <f>DATE(2012,12,31)-1285</f>
        <v>39989</v>
      </c>
      <c r="D1372" s="8" t="str">
        <f t="shared" si="29"/>
        <v>2009-06 (июнь 2009)</v>
      </c>
      <c r="E1372" s="9" t="s">
        <v>45</v>
      </c>
      <c r="F1372" s="7">
        <v>1</v>
      </c>
      <c r="G1372" s="7">
        <v>159.51</v>
      </c>
      <c r="H1372" s="7">
        <v>0.04</v>
      </c>
      <c r="I1372" s="9" t="s">
        <v>31</v>
      </c>
      <c r="J1372" s="10">
        <v>-103.63</v>
      </c>
      <c r="K1372" s="11">
        <v>130.97999999999999</v>
      </c>
      <c r="L1372" s="11">
        <v>30</v>
      </c>
      <c r="M1372" s="9" t="s">
        <v>1027</v>
      </c>
      <c r="N1372" s="6" t="s">
        <v>974</v>
      </c>
      <c r="O1372" s="6" t="s">
        <v>512</v>
      </c>
      <c r="P1372" s="9" t="s">
        <v>41</v>
      </c>
      <c r="Q1372" s="9" t="s">
        <v>49</v>
      </c>
      <c r="R1372" s="9" t="s">
        <v>112</v>
      </c>
      <c r="S1372" s="7" t="s">
        <v>265</v>
      </c>
      <c r="T1372" s="9" t="s">
        <v>36</v>
      </c>
      <c r="U1372" s="7">
        <v>0.78</v>
      </c>
      <c r="V1372" s="12">
        <f>C1372+3</f>
        <v>39992</v>
      </c>
      <c r="W1372">
        <f>IF(D1372=' Pivot Tables'!$A$4,1,0)</f>
        <v>0</v>
      </c>
      <c r="X1372">
        <f>IF(AND(LEFT(D1372,4)+1=LEFT(' Pivot Tables'!$A$4,4)+0,RIGHT(LEFT(D1372,7),2)=RIGHT(LEFT(' Pivot Tables'!$A$4,7),2)),1,0)</f>
        <v>0</v>
      </c>
      <c r="Y1372" s="6">
        <f>1/COUNTIF(Таблица1[Order ID],Таблица1[[#This Row],[Order ID]])</f>
        <v>0.5</v>
      </c>
      <c r="Z1372" s="9">
        <f>1/COUNTIFS(Таблица1[Customer Name],Таблица1[[#This Row],[Customer Name]],Таблица1[Order-Year-Month],Таблица1[[#This Row],[Order-Year-Month]])</f>
        <v>0.5</v>
      </c>
    </row>
    <row r="1373" spans="1:26" x14ac:dyDescent="0.2">
      <c r="A1373" s="6">
        <v>1695</v>
      </c>
      <c r="B1373" s="7">
        <v>12228</v>
      </c>
      <c r="C1373" s="8">
        <f>DATE(2012,12,31)-1285</f>
        <v>39989</v>
      </c>
      <c r="D1373" s="8" t="str">
        <f t="shared" si="29"/>
        <v>2009-06 (июнь 2009)</v>
      </c>
      <c r="E1373" s="9" t="s">
        <v>45</v>
      </c>
      <c r="F1373" s="7">
        <v>30</v>
      </c>
      <c r="G1373" s="7">
        <v>5015.0510000000004</v>
      </c>
      <c r="H1373" s="7">
        <v>0.05</v>
      </c>
      <c r="I1373" s="9" t="s">
        <v>22</v>
      </c>
      <c r="J1373" s="10">
        <v>1090.431</v>
      </c>
      <c r="K1373" s="11">
        <v>200.99</v>
      </c>
      <c r="L1373" s="11">
        <v>4.2</v>
      </c>
      <c r="M1373" s="9" t="s">
        <v>1027</v>
      </c>
      <c r="N1373" s="6" t="s">
        <v>974</v>
      </c>
      <c r="O1373" s="6" t="s">
        <v>512</v>
      </c>
      <c r="P1373" s="9" t="s">
        <v>41</v>
      </c>
      <c r="Q1373" s="9" t="s">
        <v>42</v>
      </c>
      <c r="R1373" s="9" t="s">
        <v>43</v>
      </c>
      <c r="S1373" s="7" t="s">
        <v>457</v>
      </c>
      <c r="T1373" s="9" t="s">
        <v>39</v>
      </c>
      <c r="U1373" s="7">
        <v>0.59</v>
      </c>
      <c r="V1373" s="12">
        <f>C1373+0</f>
        <v>39989</v>
      </c>
      <c r="W1373">
        <f>IF(D1373=' Pivot Tables'!$A$4,1,0)</f>
        <v>0</v>
      </c>
      <c r="X1373">
        <f>IF(AND(LEFT(D1373,4)+1=LEFT(' Pivot Tables'!$A$4,4)+0,RIGHT(LEFT(D1373,7),2)=RIGHT(LEFT(' Pivot Tables'!$A$4,7),2)),1,0)</f>
        <v>0</v>
      </c>
      <c r="Y1373" s="6">
        <f>1/COUNTIF(Таблица1[Order ID],Таблица1[[#This Row],[Order ID]])</f>
        <v>0.5</v>
      </c>
      <c r="Z1373" s="9">
        <f>1/COUNTIFS(Таблица1[Customer Name],Таблица1[[#This Row],[Customer Name]],Таблица1[Order-Year-Month],Таблица1[[#This Row],[Order-Year-Month]])</f>
        <v>0.5</v>
      </c>
    </row>
    <row r="1374" spans="1:26" x14ac:dyDescent="0.2">
      <c r="A1374" s="6">
        <v>1721</v>
      </c>
      <c r="B1374" s="7">
        <v>12355</v>
      </c>
      <c r="C1374" s="8">
        <f>DATE(2012,12,31)-583</f>
        <v>40691</v>
      </c>
      <c r="D1374" s="8" t="str">
        <f t="shared" si="29"/>
        <v>2011-05 (май 2011)</v>
      </c>
      <c r="E1374" s="9" t="s">
        <v>45</v>
      </c>
      <c r="F1374" s="7">
        <v>45</v>
      </c>
      <c r="G1374" s="7">
        <v>168.66</v>
      </c>
      <c r="H1374" s="7">
        <v>0.08</v>
      </c>
      <c r="I1374" s="9" t="s">
        <v>22</v>
      </c>
      <c r="J1374" s="10">
        <v>-167.06</v>
      </c>
      <c r="K1374" s="11">
        <v>3.95</v>
      </c>
      <c r="L1374" s="11">
        <v>5.13</v>
      </c>
      <c r="M1374" s="9" t="s">
        <v>1028</v>
      </c>
      <c r="N1374" s="6" t="s">
        <v>974</v>
      </c>
      <c r="O1374" s="6" t="s">
        <v>512</v>
      </c>
      <c r="P1374" s="9" t="s">
        <v>41</v>
      </c>
      <c r="Q1374" s="9" t="s">
        <v>26</v>
      </c>
      <c r="R1374" s="9" t="s">
        <v>34</v>
      </c>
      <c r="S1374" s="7" t="s">
        <v>1029</v>
      </c>
      <c r="T1374" s="9" t="s">
        <v>39</v>
      </c>
      <c r="U1374" s="7">
        <v>0.59</v>
      </c>
      <c r="V1374" s="12">
        <f>C1374+2</f>
        <v>40693</v>
      </c>
      <c r="W1374">
        <f>IF(D1374=' Pivot Tables'!$A$4,1,0)</f>
        <v>0</v>
      </c>
      <c r="X1374">
        <f>IF(AND(LEFT(D1374,4)+1=LEFT(' Pivot Tables'!$A$4,4)+0,RIGHT(LEFT(D1374,7),2)=RIGHT(LEFT(' Pivot Tables'!$A$4,7),2)),1,0)</f>
        <v>0</v>
      </c>
      <c r="Y1374" s="6">
        <f>1/COUNTIF(Таблица1[Order ID],Таблица1[[#This Row],[Order ID]])</f>
        <v>0.33333333333333331</v>
      </c>
      <c r="Z1374" s="9">
        <f>1/COUNTIFS(Таблица1[Customer Name],Таблица1[[#This Row],[Customer Name]],Таблица1[Order-Year-Month],Таблица1[[#This Row],[Order-Year-Month]])</f>
        <v>0.33333333333333331</v>
      </c>
    </row>
    <row r="1375" spans="1:26" x14ac:dyDescent="0.2">
      <c r="A1375" s="6">
        <v>1723</v>
      </c>
      <c r="B1375" s="7">
        <v>12389</v>
      </c>
      <c r="C1375" s="8">
        <f>DATE(2012,12,31)-1245</f>
        <v>40029</v>
      </c>
      <c r="D1375" s="8" t="str">
        <f t="shared" si="29"/>
        <v>2009-08 (август 2009)</v>
      </c>
      <c r="E1375" s="9" t="s">
        <v>63</v>
      </c>
      <c r="F1375" s="7">
        <v>34</v>
      </c>
      <c r="G1375" s="7">
        <v>2560.59</v>
      </c>
      <c r="H1375" s="7">
        <v>7.0000000000000007E-2</v>
      </c>
      <c r="I1375" s="9" t="s">
        <v>22</v>
      </c>
      <c r="J1375" s="10">
        <v>670.96</v>
      </c>
      <c r="K1375" s="11">
        <v>80.98</v>
      </c>
      <c r="L1375" s="11">
        <v>7.18</v>
      </c>
      <c r="M1375" s="9" t="s">
        <v>1006</v>
      </c>
      <c r="N1375" s="6" t="s">
        <v>974</v>
      </c>
      <c r="O1375" s="6" t="s">
        <v>512</v>
      </c>
      <c r="P1375" s="9" t="s">
        <v>41</v>
      </c>
      <c r="Q1375" s="9" t="s">
        <v>42</v>
      </c>
      <c r="R1375" s="9" t="s">
        <v>70</v>
      </c>
      <c r="S1375" s="7" t="s">
        <v>686</v>
      </c>
      <c r="T1375" s="9" t="s">
        <v>39</v>
      </c>
      <c r="U1375" s="7">
        <v>0.48</v>
      </c>
      <c r="V1375" s="12">
        <f>C1375+2</f>
        <v>40031</v>
      </c>
      <c r="W1375">
        <f>IF(D1375=' Pivot Tables'!$A$4,1,0)</f>
        <v>0</v>
      </c>
      <c r="X1375">
        <f>IF(AND(LEFT(D1375,4)+1=LEFT(' Pivot Tables'!$A$4,4)+0,RIGHT(LEFT(D1375,7),2)=RIGHT(LEFT(' Pivot Tables'!$A$4,7),2)),1,0)</f>
        <v>0</v>
      </c>
      <c r="Y1375" s="6">
        <f>1/COUNTIF(Таблица1[Order ID],Таблица1[[#This Row],[Order ID]])</f>
        <v>0.5</v>
      </c>
      <c r="Z1375" s="9">
        <f>1/COUNTIFS(Таблица1[Customer Name],Таблица1[[#This Row],[Customer Name]],Таблица1[Order-Year-Month],Таблица1[[#This Row],[Order-Year-Month]])</f>
        <v>0.5</v>
      </c>
    </row>
    <row r="1376" spans="1:26" x14ac:dyDescent="0.2">
      <c r="A1376" s="6">
        <v>1724</v>
      </c>
      <c r="B1376" s="7">
        <v>12389</v>
      </c>
      <c r="C1376" s="8">
        <f>DATE(2012,12,31)-1245</f>
        <v>40029</v>
      </c>
      <c r="D1376" s="8" t="str">
        <f t="shared" si="29"/>
        <v>2009-08 (август 2009)</v>
      </c>
      <c r="E1376" s="9" t="s">
        <v>63</v>
      </c>
      <c r="F1376" s="7">
        <v>16</v>
      </c>
      <c r="G1376" s="7">
        <v>189.04</v>
      </c>
      <c r="H1376" s="7">
        <v>0.08</v>
      </c>
      <c r="I1376" s="9" t="s">
        <v>22</v>
      </c>
      <c r="J1376" s="10">
        <v>-74.77</v>
      </c>
      <c r="K1376" s="11">
        <v>11.35</v>
      </c>
      <c r="L1376" s="11">
        <v>8.6</v>
      </c>
      <c r="M1376" s="9" t="s">
        <v>1006</v>
      </c>
      <c r="N1376" s="6" t="s">
        <v>974</v>
      </c>
      <c r="O1376" s="6" t="s">
        <v>512</v>
      </c>
      <c r="P1376" s="9" t="s">
        <v>41</v>
      </c>
      <c r="Q1376" s="9" t="s">
        <v>26</v>
      </c>
      <c r="R1376" s="9" t="s">
        <v>27</v>
      </c>
      <c r="S1376" s="7" t="s">
        <v>1030</v>
      </c>
      <c r="T1376" s="9" t="s">
        <v>39</v>
      </c>
      <c r="U1376" s="7">
        <v>0.56999999999999995</v>
      </c>
      <c r="V1376" s="12">
        <f>C1376+1</f>
        <v>40030</v>
      </c>
      <c r="W1376">
        <f>IF(D1376=' Pivot Tables'!$A$4,1,0)</f>
        <v>0</v>
      </c>
      <c r="X1376">
        <f>IF(AND(LEFT(D1376,4)+1=LEFT(' Pivot Tables'!$A$4,4)+0,RIGHT(LEFT(D1376,7),2)=RIGHT(LEFT(' Pivot Tables'!$A$4,7),2)),1,0)</f>
        <v>0</v>
      </c>
      <c r="Y1376" s="6">
        <f>1/COUNTIF(Таблица1[Order ID],Таблица1[[#This Row],[Order ID]])</f>
        <v>0.5</v>
      </c>
      <c r="Z1376" s="9">
        <f>1/COUNTIFS(Таблица1[Customer Name],Таблица1[[#This Row],[Customer Name]],Таблица1[Order-Year-Month],Таблица1[[#This Row],[Order-Year-Month]])</f>
        <v>0.5</v>
      </c>
    </row>
    <row r="1377" spans="1:26" x14ac:dyDescent="0.2">
      <c r="A1377" s="6">
        <v>1775</v>
      </c>
      <c r="B1377" s="7">
        <v>12710</v>
      </c>
      <c r="C1377" s="8">
        <f>DATE(2012,12,31)-867</f>
        <v>40407</v>
      </c>
      <c r="D1377" s="8" t="str">
        <f t="shared" si="29"/>
        <v>2010-08 (август 2010)</v>
      </c>
      <c r="E1377" s="9" t="s">
        <v>78</v>
      </c>
      <c r="F1377" s="7">
        <v>37</v>
      </c>
      <c r="G1377" s="7">
        <v>2116.62</v>
      </c>
      <c r="H1377" s="7">
        <v>0.06</v>
      </c>
      <c r="I1377" s="9" t="s">
        <v>22</v>
      </c>
      <c r="J1377" s="10">
        <v>745.45</v>
      </c>
      <c r="K1377" s="11">
        <v>55.98</v>
      </c>
      <c r="L1377" s="11">
        <v>13.88</v>
      </c>
      <c r="M1377" s="9" t="s">
        <v>1011</v>
      </c>
      <c r="N1377" s="6" t="s">
        <v>974</v>
      </c>
      <c r="O1377" s="6" t="s">
        <v>512</v>
      </c>
      <c r="P1377" s="9" t="s">
        <v>25</v>
      </c>
      <c r="Q1377" s="9" t="s">
        <v>26</v>
      </c>
      <c r="R1377" s="9" t="s">
        <v>61</v>
      </c>
      <c r="S1377" s="7" t="s">
        <v>421</v>
      </c>
      <c r="T1377" s="9" t="s">
        <v>39</v>
      </c>
      <c r="U1377" s="7">
        <v>0.36</v>
      </c>
      <c r="V1377" s="12">
        <f>C1377+0</f>
        <v>40407</v>
      </c>
      <c r="W1377">
        <f>IF(D1377=' Pivot Tables'!$A$4,1,0)</f>
        <v>0</v>
      </c>
      <c r="X1377">
        <f>IF(AND(LEFT(D1377,4)+1=LEFT(' Pivot Tables'!$A$4,4)+0,RIGHT(LEFT(D1377,7),2)=RIGHT(LEFT(' Pivot Tables'!$A$4,7),2)),1,0)</f>
        <v>0</v>
      </c>
      <c r="Y1377" s="6">
        <f>1/COUNTIF(Таблица1[Order ID],Таблица1[[#This Row],[Order ID]])</f>
        <v>1</v>
      </c>
      <c r="Z1377" s="9">
        <f>1/COUNTIFS(Таблица1[Customer Name],Таблица1[[#This Row],[Customer Name]],Таблица1[Order-Year-Month],Таблица1[[#This Row],[Order-Year-Month]])</f>
        <v>1</v>
      </c>
    </row>
    <row r="1378" spans="1:26" x14ac:dyDescent="0.2">
      <c r="A1378" s="6">
        <v>1909</v>
      </c>
      <c r="B1378" s="7">
        <v>13636</v>
      </c>
      <c r="C1378" s="8">
        <f>DATE(2012,12,31)-1439</f>
        <v>39835</v>
      </c>
      <c r="D1378" s="8" t="str">
        <f t="shared" si="29"/>
        <v>2009-01 (январь 2009)</v>
      </c>
      <c r="E1378" s="9" t="s">
        <v>21</v>
      </c>
      <c r="F1378" s="7">
        <v>32</v>
      </c>
      <c r="G1378" s="7">
        <v>28180.080000000002</v>
      </c>
      <c r="H1378" s="7">
        <v>0.02</v>
      </c>
      <c r="I1378" s="9" t="s">
        <v>31</v>
      </c>
      <c r="J1378" s="10">
        <v>7513.88</v>
      </c>
      <c r="K1378" s="11">
        <v>880.98</v>
      </c>
      <c r="L1378" s="11">
        <v>44.55</v>
      </c>
      <c r="M1378" s="9" t="s">
        <v>999</v>
      </c>
      <c r="N1378" s="6" t="s">
        <v>974</v>
      </c>
      <c r="O1378" s="6" t="s">
        <v>512</v>
      </c>
      <c r="P1378" s="9" t="s">
        <v>60</v>
      </c>
      <c r="Q1378" s="9" t="s">
        <v>49</v>
      </c>
      <c r="R1378" s="9" t="s">
        <v>80</v>
      </c>
      <c r="S1378" s="7" t="s">
        <v>301</v>
      </c>
      <c r="T1378" s="9" t="s">
        <v>82</v>
      </c>
      <c r="U1378" s="7">
        <v>0.62</v>
      </c>
      <c r="V1378" s="12">
        <f>C1378+4</f>
        <v>39839</v>
      </c>
      <c r="W1378">
        <f>IF(D1378=' Pivot Tables'!$A$4,1,0)</f>
        <v>0</v>
      </c>
      <c r="X1378">
        <f>IF(AND(LEFT(D1378,4)+1=LEFT(' Pivot Tables'!$A$4,4)+0,RIGHT(LEFT(D1378,7),2)=RIGHT(LEFT(' Pivot Tables'!$A$4,7),2)),1,0)</f>
        <v>1</v>
      </c>
      <c r="Y1378" s="6">
        <f>1/COUNTIF(Таблица1[Order ID],Таблица1[[#This Row],[Order ID]])</f>
        <v>1</v>
      </c>
      <c r="Z1378" s="9">
        <f>1/COUNTIFS(Таблица1[Customer Name],Таблица1[[#This Row],[Customer Name]],Таблица1[Order-Year-Month],Таблица1[[#This Row],[Order-Year-Month]])</f>
        <v>1</v>
      </c>
    </row>
    <row r="1379" spans="1:26" x14ac:dyDescent="0.2">
      <c r="A1379" s="6">
        <v>1961</v>
      </c>
      <c r="B1379" s="7">
        <v>14021</v>
      </c>
      <c r="C1379" s="8">
        <f>DATE(2012,12,31)-665</f>
        <v>40609</v>
      </c>
      <c r="D1379" s="8" t="str">
        <f t="shared" si="29"/>
        <v>2011-03 (март 2011)</v>
      </c>
      <c r="E1379" s="9" t="s">
        <v>30</v>
      </c>
      <c r="F1379" s="7">
        <v>12</v>
      </c>
      <c r="G1379" s="7">
        <v>27.05</v>
      </c>
      <c r="H1379" s="7">
        <v>0</v>
      </c>
      <c r="I1379" s="9" t="s">
        <v>56</v>
      </c>
      <c r="J1379" s="10">
        <v>0.99999999999999933</v>
      </c>
      <c r="K1379" s="11">
        <v>1.82</v>
      </c>
      <c r="L1379" s="11">
        <v>0.83</v>
      </c>
      <c r="M1379" s="9" t="s">
        <v>1028</v>
      </c>
      <c r="N1379" s="6" t="s">
        <v>974</v>
      </c>
      <c r="O1379" s="6" t="s">
        <v>512</v>
      </c>
      <c r="P1379" s="9" t="s">
        <v>41</v>
      </c>
      <c r="Q1379" s="9" t="s">
        <v>26</v>
      </c>
      <c r="R1379" s="9" t="s">
        <v>95</v>
      </c>
      <c r="S1379" s="7" t="s">
        <v>1031</v>
      </c>
      <c r="T1379" s="9" t="s">
        <v>68</v>
      </c>
      <c r="U1379" s="7">
        <v>0.56999999999999995</v>
      </c>
      <c r="V1379" s="12">
        <f>C1379+1</f>
        <v>40610</v>
      </c>
      <c r="W1379">
        <f>IF(D1379=' Pivot Tables'!$A$4,1,0)</f>
        <v>0</v>
      </c>
      <c r="X1379">
        <f>IF(AND(LEFT(D1379,4)+1=LEFT(' Pivot Tables'!$A$4,4)+0,RIGHT(LEFT(D1379,7),2)=RIGHT(LEFT(' Pivot Tables'!$A$4,7),2)),1,0)</f>
        <v>0</v>
      </c>
      <c r="Y1379" s="6">
        <f>1/COUNTIF(Таблица1[Order ID],Таблица1[[#This Row],[Order ID]])</f>
        <v>1</v>
      </c>
      <c r="Z1379" s="9">
        <f>1/COUNTIFS(Таблица1[Customer Name],Таблица1[[#This Row],[Customer Name]],Таблица1[Order-Year-Month],Таблица1[[#This Row],[Order-Year-Month]])</f>
        <v>1</v>
      </c>
    </row>
    <row r="1380" spans="1:26" x14ac:dyDescent="0.2">
      <c r="A1380" s="6">
        <v>2009</v>
      </c>
      <c r="B1380" s="7">
        <v>14338</v>
      </c>
      <c r="C1380" s="8">
        <f>DATE(2012,12,31)-1065</f>
        <v>40209</v>
      </c>
      <c r="D1380" s="8" t="str">
        <f t="shared" si="29"/>
        <v>2010-01 (январь 2010)</v>
      </c>
      <c r="E1380" s="9" t="s">
        <v>21</v>
      </c>
      <c r="F1380" s="7">
        <v>34</v>
      </c>
      <c r="G1380" s="7">
        <v>6580.16</v>
      </c>
      <c r="H1380" s="7">
        <v>0.1</v>
      </c>
      <c r="I1380" s="9" t="s">
        <v>31</v>
      </c>
      <c r="J1380" s="10">
        <v>2786.35</v>
      </c>
      <c r="K1380" s="11">
        <v>200.97</v>
      </c>
      <c r="L1380" s="11">
        <v>15.59</v>
      </c>
      <c r="M1380" s="9" t="s">
        <v>1032</v>
      </c>
      <c r="N1380" s="6" t="s">
        <v>974</v>
      </c>
      <c r="O1380" s="6" t="s">
        <v>512</v>
      </c>
      <c r="P1380" s="9" t="s">
        <v>25</v>
      </c>
      <c r="Q1380" s="9" t="s">
        <v>42</v>
      </c>
      <c r="R1380" s="9" t="s">
        <v>210</v>
      </c>
      <c r="S1380" s="7" t="s">
        <v>302</v>
      </c>
      <c r="T1380" s="9" t="s">
        <v>36</v>
      </c>
      <c r="U1380" s="7">
        <v>0.36</v>
      </c>
      <c r="V1380" s="12">
        <f>C1380+7</f>
        <v>40216</v>
      </c>
      <c r="W1380">
        <f>IF(D1380=' Pivot Tables'!$A$4,1,0)</f>
        <v>1</v>
      </c>
      <c r="X1380">
        <f>IF(AND(LEFT(D1380,4)+1=LEFT(' Pivot Tables'!$A$4,4)+0,RIGHT(LEFT(D1380,7),2)=RIGHT(LEFT(' Pivot Tables'!$A$4,7),2)),1,0)</f>
        <v>0</v>
      </c>
      <c r="Y1380" s="6">
        <f>1/COUNTIF(Таблица1[Order ID],Таблица1[[#This Row],[Order ID]])</f>
        <v>1</v>
      </c>
      <c r="Z1380" s="9">
        <f>1/COUNTIFS(Таблица1[Customer Name],Таблица1[[#This Row],[Customer Name]],Таблица1[Order-Year-Month],Таблица1[[#This Row],[Order-Year-Month]])</f>
        <v>0.5</v>
      </c>
    </row>
    <row r="1381" spans="1:26" x14ac:dyDescent="0.2">
      <c r="A1381" s="6">
        <v>2021</v>
      </c>
      <c r="B1381" s="7">
        <v>14406</v>
      </c>
      <c r="C1381" s="8">
        <f>DATE(2012,12,31)-1029</f>
        <v>40245</v>
      </c>
      <c r="D1381" s="8" t="str">
        <f t="shared" si="29"/>
        <v>2010-03 (март 2010)</v>
      </c>
      <c r="E1381" s="9" t="s">
        <v>63</v>
      </c>
      <c r="F1381" s="7">
        <v>37</v>
      </c>
      <c r="G1381" s="7">
        <v>5610.84</v>
      </c>
      <c r="H1381" s="7">
        <v>7.0000000000000007E-2</v>
      </c>
      <c r="I1381" s="9" t="s">
        <v>22</v>
      </c>
      <c r="J1381" s="10">
        <v>2366.5100000000002</v>
      </c>
      <c r="K1381" s="11">
        <v>150.97999999999999</v>
      </c>
      <c r="L1381" s="11">
        <v>13.99</v>
      </c>
      <c r="M1381" s="9" t="s">
        <v>1033</v>
      </c>
      <c r="N1381" s="6" t="s">
        <v>974</v>
      </c>
      <c r="O1381" s="6" t="s">
        <v>512</v>
      </c>
      <c r="P1381" s="9" t="s">
        <v>41</v>
      </c>
      <c r="Q1381" s="9" t="s">
        <v>42</v>
      </c>
      <c r="R1381" s="9" t="s">
        <v>210</v>
      </c>
      <c r="S1381" s="7" t="s">
        <v>341</v>
      </c>
      <c r="T1381" s="9" t="s">
        <v>48</v>
      </c>
      <c r="U1381" s="7">
        <v>0.38</v>
      </c>
      <c r="V1381" s="12">
        <f>C1381+2</f>
        <v>40247</v>
      </c>
      <c r="W1381">
        <f>IF(D1381=' Pivot Tables'!$A$4,1,0)</f>
        <v>0</v>
      </c>
      <c r="X1381">
        <f>IF(AND(LEFT(D1381,4)+1=LEFT(' Pivot Tables'!$A$4,4)+0,RIGHT(LEFT(D1381,7),2)=RIGHT(LEFT(' Pivot Tables'!$A$4,7),2)),1,0)</f>
        <v>0</v>
      </c>
      <c r="Y1381" s="6">
        <f>1/COUNTIF(Таблица1[Order ID],Таблица1[[#This Row],[Order ID]])</f>
        <v>0.33333333333333331</v>
      </c>
      <c r="Z1381" s="9">
        <f>1/COUNTIFS(Таблица1[Customer Name],Таблица1[[#This Row],[Customer Name]],Таблица1[Order-Year-Month],Таблица1[[#This Row],[Order-Year-Month]])</f>
        <v>0.33333333333333331</v>
      </c>
    </row>
    <row r="1382" spans="1:26" x14ac:dyDescent="0.2">
      <c r="A1382" s="6">
        <v>2022</v>
      </c>
      <c r="B1382" s="7">
        <v>14406</v>
      </c>
      <c r="C1382" s="8">
        <f>DATE(2012,12,31)-1029</f>
        <v>40245</v>
      </c>
      <c r="D1382" s="8" t="str">
        <f t="shared" si="29"/>
        <v>2010-03 (март 2010)</v>
      </c>
      <c r="E1382" s="9" t="s">
        <v>63</v>
      </c>
      <c r="F1382" s="7">
        <v>20</v>
      </c>
      <c r="G1382" s="7">
        <v>455.34</v>
      </c>
      <c r="H1382" s="7">
        <v>0.06</v>
      </c>
      <c r="I1382" s="9" t="s">
        <v>31</v>
      </c>
      <c r="J1382" s="10">
        <v>-932.55</v>
      </c>
      <c r="K1382" s="11">
        <v>20.98</v>
      </c>
      <c r="L1382" s="11">
        <v>53.03</v>
      </c>
      <c r="M1382" s="9" t="s">
        <v>1033</v>
      </c>
      <c r="N1382" s="6" t="s">
        <v>974</v>
      </c>
      <c r="O1382" s="6" t="s">
        <v>512</v>
      </c>
      <c r="P1382" s="9" t="s">
        <v>41</v>
      </c>
      <c r="Q1382" s="9" t="s">
        <v>26</v>
      </c>
      <c r="R1382" s="9" t="s">
        <v>27</v>
      </c>
      <c r="S1382" s="7" t="s">
        <v>218</v>
      </c>
      <c r="T1382" s="9" t="s">
        <v>36</v>
      </c>
      <c r="U1382" s="7">
        <v>0.78</v>
      </c>
      <c r="V1382" s="12">
        <f>C1382+2</f>
        <v>40247</v>
      </c>
      <c r="W1382">
        <f>IF(D1382=' Pivot Tables'!$A$4,1,0)</f>
        <v>0</v>
      </c>
      <c r="X1382">
        <f>IF(AND(LEFT(D1382,4)+1=LEFT(' Pivot Tables'!$A$4,4)+0,RIGHT(LEFT(D1382,7),2)=RIGHT(LEFT(' Pivot Tables'!$A$4,7),2)),1,0)</f>
        <v>0</v>
      </c>
      <c r="Y1382" s="6">
        <f>1/COUNTIF(Таблица1[Order ID],Таблица1[[#This Row],[Order ID]])</f>
        <v>0.33333333333333331</v>
      </c>
      <c r="Z1382" s="9">
        <f>1/COUNTIFS(Таблица1[Customer Name],Таблица1[[#This Row],[Customer Name]],Таблица1[Order-Year-Month],Таблица1[[#This Row],[Order-Year-Month]])</f>
        <v>0.33333333333333331</v>
      </c>
    </row>
    <row r="1383" spans="1:26" x14ac:dyDescent="0.2">
      <c r="A1383" s="6">
        <v>2023</v>
      </c>
      <c r="B1383" s="7">
        <v>14406</v>
      </c>
      <c r="C1383" s="8">
        <f>DATE(2012,12,31)-1029</f>
        <v>40245</v>
      </c>
      <c r="D1383" s="8" t="str">
        <f t="shared" si="29"/>
        <v>2010-03 (март 2010)</v>
      </c>
      <c r="E1383" s="9" t="s">
        <v>63</v>
      </c>
      <c r="F1383" s="7">
        <v>35</v>
      </c>
      <c r="G1383" s="7">
        <v>2329.6460000000002</v>
      </c>
      <c r="H1383" s="7">
        <v>0.1</v>
      </c>
      <c r="I1383" s="9" t="s">
        <v>56</v>
      </c>
      <c r="J1383" s="10">
        <v>-310.24400000000003</v>
      </c>
      <c r="K1383" s="11">
        <v>85.99</v>
      </c>
      <c r="L1383" s="11">
        <v>0.99</v>
      </c>
      <c r="M1383" s="9" t="s">
        <v>1033</v>
      </c>
      <c r="N1383" s="6" t="s">
        <v>974</v>
      </c>
      <c r="O1383" s="6" t="s">
        <v>512</v>
      </c>
      <c r="P1383" s="9" t="s">
        <v>41</v>
      </c>
      <c r="Q1383" s="9" t="s">
        <v>42</v>
      </c>
      <c r="R1383" s="9" t="s">
        <v>43</v>
      </c>
      <c r="S1383" s="7" t="s">
        <v>146</v>
      </c>
      <c r="T1383" s="9" t="s">
        <v>68</v>
      </c>
      <c r="U1383" s="7">
        <v>0.85</v>
      </c>
      <c r="V1383" s="12">
        <f>C1383+2</f>
        <v>40247</v>
      </c>
      <c r="W1383">
        <f>IF(D1383=' Pivot Tables'!$A$4,1,0)</f>
        <v>0</v>
      </c>
      <c r="X1383">
        <f>IF(AND(LEFT(D1383,4)+1=LEFT(' Pivot Tables'!$A$4,4)+0,RIGHT(LEFT(D1383,7),2)=RIGHT(LEFT(' Pivot Tables'!$A$4,7),2)),1,0)</f>
        <v>0</v>
      </c>
      <c r="Y1383" s="6">
        <f>1/COUNTIF(Таблица1[Order ID],Таблица1[[#This Row],[Order ID]])</f>
        <v>0.33333333333333331</v>
      </c>
      <c r="Z1383" s="9">
        <f>1/COUNTIFS(Таблица1[Customer Name],Таблица1[[#This Row],[Customer Name]],Таблица1[Order-Year-Month],Таблица1[[#This Row],[Order-Year-Month]])</f>
        <v>0.33333333333333331</v>
      </c>
    </row>
    <row r="1384" spans="1:26" x14ac:dyDescent="0.2">
      <c r="A1384" s="6">
        <v>2202</v>
      </c>
      <c r="B1384" s="7">
        <v>15878</v>
      </c>
      <c r="C1384" s="8">
        <f>DATE(2012,12,31)-788</f>
        <v>40486</v>
      </c>
      <c r="D1384" s="8" t="str">
        <f t="shared" si="29"/>
        <v>2010-11 (ноябрь 2010)</v>
      </c>
      <c r="E1384" s="9" t="s">
        <v>30</v>
      </c>
      <c r="F1384" s="7">
        <v>36</v>
      </c>
      <c r="G1384" s="7">
        <v>275.06</v>
      </c>
      <c r="H1384" s="7">
        <v>0.05</v>
      </c>
      <c r="I1384" s="9" t="s">
        <v>22</v>
      </c>
      <c r="J1384" s="10">
        <v>-237.87</v>
      </c>
      <c r="K1384" s="11">
        <v>7.28</v>
      </c>
      <c r="L1384" s="11">
        <v>11.15</v>
      </c>
      <c r="M1384" s="9" t="s">
        <v>1032</v>
      </c>
      <c r="N1384" s="6" t="s">
        <v>974</v>
      </c>
      <c r="O1384" s="6" t="s">
        <v>512</v>
      </c>
      <c r="P1384" s="9" t="s">
        <v>41</v>
      </c>
      <c r="Q1384" s="9" t="s">
        <v>26</v>
      </c>
      <c r="R1384" s="9" t="s">
        <v>61</v>
      </c>
      <c r="S1384" s="7" t="s">
        <v>666</v>
      </c>
      <c r="T1384" s="9" t="s">
        <v>39</v>
      </c>
      <c r="U1384" s="7">
        <v>0.37</v>
      </c>
      <c r="V1384" s="12">
        <f>C1384+2</f>
        <v>40488</v>
      </c>
      <c r="W1384">
        <f>IF(D1384=' Pivot Tables'!$A$4,1,0)</f>
        <v>0</v>
      </c>
      <c r="X1384">
        <f>IF(AND(LEFT(D1384,4)+1=LEFT(' Pivot Tables'!$A$4,4)+0,RIGHT(LEFT(D1384,7),2)=RIGHT(LEFT(' Pivot Tables'!$A$4,7),2)),1,0)</f>
        <v>0</v>
      </c>
      <c r="Y1384" s="6">
        <f>1/COUNTIF(Таблица1[Order ID],Таблица1[[#This Row],[Order ID]])</f>
        <v>1</v>
      </c>
      <c r="Z1384" s="9">
        <f>1/COUNTIFS(Таблица1[Customer Name],Таблица1[[#This Row],[Customer Name]],Таблица1[Order-Year-Month],Таблица1[[#This Row],[Order-Year-Month]])</f>
        <v>1</v>
      </c>
    </row>
    <row r="1385" spans="1:26" x14ac:dyDescent="0.2">
      <c r="A1385" s="6">
        <v>2234</v>
      </c>
      <c r="B1385" s="7">
        <v>16133</v>
      </c>
      <c r="C1385" s="8">
        <f>DATE(2012,12,31)-1193</f>
        <v>40081</v>
      </c>
      <c r="D1385" s="8" t="str">
        <f t="shared" si="29"/>
        <v>2009-09 (сентябрь 2009)</v>
      </c>
      <c r="E1385" s="9" t="s">
        <v>78</v>
      </c>
      <c r="F1385" s="7">
        <v>1</v>
      </c>
      <c r="G1385" s="7">
        <v>27.96</v>
      </c>
      <c r="H1385" s="7">
        <v>0.17</v>
      </c>
      <c r="I1385" s="9" t="s">
        <v>22</v>
      </c>
      <c r="J1385" s="10">
        <v>-9.1300000000000008</v>
      </c>
      <c r="K1385" s="11">
        <v>14.89</v>
      </c>
      <c r="L1385" s="11">
        <v>13.56</v>
      </c>
      <c r="M1385" s="9" t="s">
        <v>996</v>
      </c>
      <c r="N1385" s="6" t="s">
        <v>974</v>
      </c>
      <c r="O1385" s="6" t="s">
        <v>512</v>
      </c>
      <c r="P1385" s="9" t="s">
        <v>25</v>
      </c>
      <c r="Q1385" s="9" t="s">
        <v>49</v>
      </c>
      <c r="R1385" s="9" t="s">
        <v>50</v>
      </c>
      <c r="S1385" s="7" t="s">
        <v>1034</v>
      </c>
      <c r="T1385" s="9" t="s">
        <v>29</v>
      </c>
      <c r="U1385" s="7">
        <v>0.57999999999999996</v>
      </c>
      <c r="V1385" s="12">
        <f>C1385+2</f>
        <v>40083</v>
      </c>
      <c r="W1385">
        <f>IF(D1385=' Pivot Tables'!$A$4,1,0)</f>
        <v>0</v>
      </c>
      <c r="X1385">
        <f>IF(AND(LEFT(D1385,4)+1=LEFT(' Pivot Tables'!$A$4,4)+0,RIGHT(LEFT(D1385,7),2)=RIGHT(LEFT(' Pivot Tables'!$A$4,7),2)),1,0)</f>
        <v>0</v>
      </c>
      <c r="Y1385" s="6">
        <f>1/COUNTIF(Таблица1[Order ID],Таблица1[[#This Row],[Order ID]])</f>
        <v>0.5</v>
      </c>
      <c r="Z1385" s="9">
        <f>1/COUNTIFS(Таблица1[Customer Name],Таблица1[[#This Row],[Customer Name]],Таблица1[Order-Year-Month],Таблица1[[#This Row],[Order-Year-Month]])</f>
        <v>1</v>
      </c>
    </row>
    <row r="1386" spans="1:26" x14ac:dyDescent="0.2">
      <c r="A1386" s="6">
        <v>2304</v>
      </c>
      <c r="B1386" s="7">
        <v>16612</v>
      </c>
      <c r="C1386" s="8">
        <f>DATE(2012,12,31)-1417</f>
        <v>39857</v>
      </c>
      <c r="D1386" s="8" t="str">
        <f t="shared" si="29"/>
        <v>2009-02 (февраль 2009)</v>
      </c>
      <c r="E1386" s="9" t="s">
        <v>30</v>
      </c>
      <c r="F1386" s="7">
        <v>45</v>
      </c>
      <c r="G1386" s="7">
        <v>3699.22</v>
      </c>
      <c r="H1386" s="7">
        <v>0.05</v>
      </c>
      <c r="I1386" s="9" t="s">
        <v>31</v>
      </c>
      <c r="J1386" s="10">
        <v>565.17999999999995</v>
      </c>
      <c r="K1386" s="11">
        <v>80.97</v>
      </c>
      <c r="L1386" s="11">
        <v>30.06</v>
      </c>
      <c r="M1386" s="9" t="s">
        <v>999</v>
      </c>
      <c r="N1386" s="6" t="s">
        <v>974</v>
      </c>
      <c r="O1386" s="6" t="s">
        <v>512</v>
      </c>
      <c r="P1386" s="9" t="s">
        <v>60</v>
      </c>
      <c r="Q1386" s="9" t="s">
        <v>42</v>
      </c>
      <c r="R1386" s="9" t="s">
        <v>210</v>
      </c>
      <c r="S1386" s="7" t="s">
        <v>1035</v>
      </c>
      <c r="T1386" s="9" t="s">
        <v>82</v>
      </c>
      <c r="U1386" s="7">
        <v>0.4</v>
      </c>
      <c r="V1386" s="12">
        <f>C1386+1</f>
        <v>39858</v>
      </c>
      <c r="W1386">
        <f>IF(D1386=' Pivot Tables'!$A$4,1,0)</f>
        <v>0</v>
      </c>
      <c r="X1386">
        <f>IF(AND(LEFT(D1386,4)+1=LEFT(' Pivot Tables'!$A$4,4)+0,RIGHT(LEFT(D1386,7),2)=RIGHT(LEFT(' Pivot Tables'!$A$4,7),2)),1,0)</f>
        <v>0</v>
      </c>
      <c r="Y1386" s="6">
        <f>1/COUNTIF(Таблица1[Order ID],Таблица1[[#This Row],[Order ID]])</f>
        <v>0.5</v>
      </c>
      <c r="Z1386" s="9">
        <f>1/COUNTIFS(Таблица1[Customer Name],Таблица1[[#This Row],[Customer Name]],Таблица1[Order-Year-Month],Таблица1[[#This Row],[Order-Year-Month]])</f>
        <v>0.5</v>
      </c>
    </row>
    <row r="1387" spans="1:26" x14ac:dyDescent="0.2">
      <c r="A1387" s="6">
        <v>2305</v>
      </c>
      <c r="B1387" s="7">
        <v>16612</v>
      </c>
      <c r="C1387" s="8">
        <f>DATE(2012,12,31)-1417</f>
        <v>39857</v>
      </c>
      <c r="D1387" s="8" t="str">
        <f t="shared" si="29"/>
        <v>2009-02 (февраль 2009)</v>
      </c>
      <c r="E1387" s="9" t="s">
        <v>30</v>
      </c>
      <c r="F1387" s="7">
        <v>6</v>
      </c>
      <c r="G1387" s="7">
        <v>48.93</v>
      </c>
      <c r="H1387" s="7">
        <v>0</v>
      </c>
      <c r="I1387" s="9" t="s">
        <v>22</v>
      </c>
      <c r="J1387" s="10">
        <v>-38.72</v>
      </c>
      <c r="K1387" s="11">
        <v>6.48</v>
      </c>
      <c r="L1387" s="11">
        <v>10.050000000000001</v>
      </c>
      <c r="M1387" s="9" t="s">
        <v>999</v>
      </c>
      <c r="N1387" s="6" t="s">
        <v>974</v>
      </c>
      <c r="O1387" s="6" t="s">
        <v>512</v>
      </c>
      <c r="P1387" s="9" t="s">
        <v>60</v>
      </c>
      <c r="Q1387" s="9" t="s">
        <v>26</v>
      </c>
      <c r="R1387" s="9" t="s">
        <v>61</v>
      </c>
      <c r="S1387" s="7" t="s">
        <v>868</v>
      </c>
      <c r="T1387" s="9" t="s">
        <v>39</v>
      </c>
      <c r="U1387" s="7">
        <v>0.37</v>
      </c>
      <c r="V1387" s="12">
        <f>C1387+2</f>
        <v>39859</v>
      </c>
      <c r="W1387">
        <f>IF(D1387=' Pivot Tables'!$A$4,1,0)</f>
        <v>0</v>
      </c>
      <c r="X1387">
        <f>IF(AND(LEFT(D1387,4)+1=LEFT(' Pivot Tables'!$A$4,4)+0,RIGHT(LEFT(D1387,7),2)=RIGHT(LEFT(' Pivot Tables'!$A$4,7),2)),1,0)</f>
        <v>0</v>
      </c>
      <c r="Y1387" s="6">
        <f>1/COUNTIF(Таблица1[Order ID],Таблица1[[#This Row],[Order ID]])</f>
        <v>0.5</v>
      </c>
      <c r="Z1387" s="9">
        <f>1/COUNTIFS(Таблица1[Customer Name],Таблица1[[#This Row],[Customer Name]],Таблица1[Order-Year-Month],Таблица1[[#This Row],[Order-Year-Month]])</f>
        <v>0.5</v>
      </c>
    </row>
    <row r="1388" spans="1:26" x14ac:dyDescent="0.2">
      <c r="A1388" s="6">
        <v>2352</v>
      </c>
      <c r="B1388" s="7">
        <v>16967</v>
      </c>
      <c r="C1388" s="8">
        <f>DATE(2012,12,31)-500</f>
        <v>40774</v>
      </c>
      <c r="D1388" s="8" t="str">
        <f t="shared" si="29"/>
        <v>2011-08 (август 2011)</v>
      </c>
      <c r="E1388" s="9" t="s">
        <v>21</v>
      </c>
      <c r="F1388" s="7">
        <v>5</v>
      </c>
      <c r="G1388" s="7">
        <v>397.55</v>
      </c>
      <c r="H1388" s="7">
        <v>0.08</v>
      </c>
      <c r="I1388" s="9" t="s">
        <v>22</v>
      </c>
      <c r="J1388" s="10">
        <v>-152.47</v>
      </c>
      <c r="K1388" s="11">
        <v>83.1</v>
      </c>
      <c r="L1388" s="11">
        <v>6.13</v>
      </c>
      <c r="M1388" s="9" t="s">
        <v>1027</v>
      </c>
      <c r="N1388" s="6" t="s">
        <v>974</v>
      </c>
      <c r="O1388" s="6" t="s">
        <v>512</v>
      </c>
      <c r="P1388" s="9" t="s">
        <v>41</v>
      </c>
      <c r="Q1388" s="9" t="s">
        <v>42</v>
      </c>
      <c r="R1388" s="9" t="s">
        <v>70</v>
      </c>
      <c r="S1388" s="7" t="s">
        <v>573</v>
      </c>
      <c r="T1388" s="9" t="s">
        <v>39</v>
      </c>
      <c r="U1388" s="7">
        <v>0.45</v>
      </c>
      <c r="V1388" s="12">
        <f>C1388+2</f>
        <v>40776</v>
      </c>
      <c r="W1388">
        <f>IF(D1388=' Pivot Tables'!$A$4,1,0)</f>
        <v>0</v>
      </c>
      <c r="X1388">
        <f>IF(AND(LEFT(D1388,4)+1=LEFT(' Pivot Tables'!$A$4,4)+0,RIGHT(LEFT(D1388,7),2)=RIGHT(LEFT(' Pivot Tables'!$A$4,7),2)),1,0)</f>
        <v>0</v>
      </c>
      <c r="Y1388" s="6">
        <f>1/COUNTIF(Таблица1[Order ID],Таблица1[[#This Row],[Order ID]])</f>
        <v>0.5</v>
      </c>
      <c r="Z1388" s="9">
        <f>1/COUNTIFS(Таблица1[Customer Name],Таблица1[[#This Row],[Customer Name]],Таблица1[Order-Year-Month],Таблица1[[#This Row],[Order-Year-Month]])</f>
        <v>0.5</v>
      </c>
    </row>
    <row r="1389" spans="1:26" x14ac:dyDescent="0.2">
      <c r="A1389" s="6">
        <v>2353</v>
      </c>
      <c r="B1389" s="7">
        <v>16967</v>
      </c>
      <c r="C1389" s="8">
        <f>DATE(2012,12,31)-500</f>
        <v>40774</v>
      </c>
      <c r="D1389" s="8" t="str">
        <f t="shared" si="29"/>
        <v>2011-08 (август 2011)</v>
      </c>
      <c r="E1389" s="9" t="s">
        <v>21</v>
      </c>
      <c r="F1389" s="7">
        <v>34</v>
      </c>
      <c r="G1389" s="7">
        <v>676.26</v>
      </c>
      <c r="H1389" s="7">
        <v>0.06</v>
      </c>
      <c r="I1389" s="9" t="s">
        <v>22</v>
      </c>
      <c r="J1389" s="10">
        <v>181.98</v>
      </c>
      <c r="K1389" s="11">
        <v>19.98</v>
      </c>
      <c r="L1389" s="11">
        <v>5.77</v>
      </c>
      <c r="M1389" s="9" t="s">
        <v>1027</v>
      </c>
      <c r="N1389" s="6" t="s">
        <v>974</v>
      </c>
      <c r="O1389" s="6" t="s">
        <v>512</v>
      </c>
      <c r="P1389" s="9" t="s">
        <v>41</v>
      </c>
      <c r="Q1389" s="9" t="s">
        <v>26</v>
      </c>
      <c r="R1389" s="9" t="s">
        <v>61</v>
      </c>
      <c r="S1389" s="7" t="s">
        <v>197</v>
      </c>
      <c r="T1389" s="9" t="s">
        <v>39</v>
      </c>
      <c r="U1389" s="7">
        <v>0.38</v>
      </c>
      <c r="V1389" s="12">
        <f>C1389+0</f>
        <v>40774</v>
      </c>
      <c r="W1389">
        <f>IF(D1389=' Pivot Tables'!$A$4,1,0)</f>
        <v>0</v>
      </c>
      <c r="X1389">
        <f>IF(AND(LEFT(D1389,4)+1=LEFT(' Pivot Tables'!$A$4,4)+0,RIGHT(LEFT(D1389,7),2)=RIGHT(LEFT(' Pivot Tables'!$A$4,7),2)),1,0)</f>
        <v>0</v>
      </c>
      <c r="Y1389" s="6">
        <f>1/COUNTIF(Таблица1[Order ID],Таблица1[[#This Row],[Order ID]])</f>
        <v>0.5</v>
      </c>
      <c r="Z1389" s="9">
        <f>1/COUNTIFS(Таблица1[Customer Name],Таблица1[[#This Row],[Customer Name]],Таблица1[Order-Year-Month],Таблица1[[#This Row],[Order-Year-Month]])</f>
        <v>0.5</v>
      </c>
    </row>
    <row r="1390" spans="1:26" x14ac:dyDescent="0.2">
      <c r="A1390" s="6">
        <v>2540</v>
      </c>
      <c r="B1390" s="7">
        <v>18432</v>
      </c>
      <c r="C1390" s="8">
        <f>DATE(2012,12,31)-660</f>
        <v>40614</v>
      </c>
      <c r="D1390" s="8" t="str">
        <f t="shared" si="29"/>
        <v>2011-03 (март 2011)</v>
      </c>
      <c r="E1390" s="9" t="s">
        <v>30</v>
      </c>
      <c r="F1390" s="7">
        <v>42</v>
      </c>
      <c r="G1390" s="7">
        <v>451.32</v>
      </c>
      <c r="H1390" s="7">
        <v>0.04</v>
      </c>
      <c r="I1390" s="9" t="s">
        <v>22</v>
      </c>
      <c r="J1390" s="10">
        <v>1.1599999999999999</v>
      </c>
      <c r="K1390" s="11">
        <v>10.64</v>
      </c>
      <c r="L1390" s="11">
        <v>5.16</v>
      </c>
      <c r="M1390" s="9" t="s">
        <v>1002</v>
      </c>
      <c r="N1390" s="6" t="s">
        <v>974</v>
      </c>
      <c r="O1390" s="6" t="s">
        <v>512</v>
      </c>
      <c r="P1390" s="9" t="s">
        <v>41</v>
      </c>
      <c r="Q1390" s="9" t="s">
        <v>49</v>
      </c>
      <c r="R1390" s="9" t="s">
        <v>50</v>
      </c>
      <c r="S1390" s="7" t="s">
        <v>593</v>
      </c>
      <c r="T1390" s="9" t="s">
        <v>39</v>
      </c>
      <c r="U1390" s="7">
        <v>0.56999999999999995</v>
      </c>
      <c r="V1390" s="12">
        <f>C1390+0</f>
        <v>40614</v>
      </c>
      <c r="W1390">
        <f>IF(D1390=' Pivot Tables'!$A$4,1,0)</f>
        <v>0</v>
      </c>
      <c r="X1390">
        <f>IF(AND(LEFT(D1390,4)+1=LEFT(' Pivot Tables'!$A$4,4)+0,RIGHT(LEFT(D1390,7),2)=RIGHT(LEFT(' Pivot Tables'!$A$4,7),2)),1,0)</f>
        <v>0</v>
      </c>
      <c r="Y1390" s="6">
        <f>1/COUNTIF(Таблица1[Order ID],Таблица1[[#This Row],[Order ID]])</f>
        <v>0.25</v>
      </c>
      <c r="Z1390" s="9">
        <f>1/COUNTIFS(Таблица1[Customer Name],Таблица1[[#This Row],[Customer Name]],Таблица1[Order-Year-Month],Таблица1[[#This Row],[Order-Year-Month]])</f>
        <v>0.2</v>
      </c>
    </row>
    <row r="1391" spans="1:26" x14ac:dyDescent="0.2">
      <c r="A1391" s="6">
        <v>2541</v>
      </c>
      <c r="B1391" s="7">
        <v>18432</v>
      </c>
      <c r="C1391" s="8">
        <f>DATE(2012,12,31)-660</f>
        <v>40614</v>
      </c>
      <c r="D1391" s="8" t="str">
        <f t="shared" si="29"/>
        <v>2011-03 (март 2011)</v>
      </c>
      <c r="E1391" s="9" t="s">
        <v>30</v>
      </c>
      <c r="F1391" s="7">
        <v>15</v>
      </c>
      <c r="G1391" s="7">
        <v>217.66</v>
      </c>
      <c r="H1391" s="7">
        <v>0.1</v>
      </c>
      <c r="I1391" s="9" t="s">
        <v>56</v>
      </c>
      <c r="J1391" s="10">
        <v>-24.91</v>
      </c>
      <c r="K1391" s="11">
        <v>14.42</v>
      </c>
      <c r="L1391" s="11">
        <v>6.75</v>
      </c>
      <c r="M1391" s="9" t="s">
        <v>1002</v>
      </c>
      <c r="N1391" s="6" t="s">
        <v>974</v>
      </c>
      <c r="O1391" s="6" t="s">
        <v>512</v>
      </c>
      <c r="P1391" s="9" t="s">
        <v>41</v>
      </c>
      <c r="Q1391" s="9" t="s">
        <v>26</v>
      </c>
      <c r="R1391" s="9" t="s">
        <v>34</v>
      </c>
      <c r="S1391" s="7" t="s">
        <v>1036</v>
      </c>
      <c r="T1391" s="9" t="s">
        <v>48</v>
      </c>
      <c r="U1391" s="7">
        <v>0.52</v>
      </c>
      <c r="V1391" s="12">
        <f>C1391+0</f>
        <v>40614</v>
      </c>
      <c r="W1391">
        <f>IF(D1391=' Pivot Tables'!$A$4,1,0)</f>
        <v>0</v>
      </c>
      <c r="X1391">
        <f>IF(AND(LEFT(D1391,4)+1=LEFT(' Pivot Tables'!$A$4,4)+0,RIGHT(LEFT(D1391,7),2)=RIGHT(LEFT(' Pivot Tables'!$A$4,7),2)),1,0)</f>
        <v>0</v>
      </c>
      <c r="Y1391" s="6">
        <f>1/COUNTIF(Таблица1[Order ID],Таблица1[[#This Row],[Order ID]])</f>
        <v>0.25</v>
      </c>
      <c r="Z1391" s="9">
        <f>1/COUNTIFS(Таблица1[Customer Name],Таблица1[[#This Row],[Customer Name]],Таблица1[Order-Year-Month],Таблица1[[#This Row],[Order-Year-Month]])</f>
        <v>0.2</v>
      </c>
    </row>
    <row r="1392" spans="1:26" x14ac:dyDescent="0.2">
      <c r="A1392" s="6">
        <v>2542</v>
      </c>
      <c r="B1392" s="7">
        <v>18432</v>
      </c>
      <c r="C1392" s="8">
        <f>DATE(2012,12,31)-660</f>
        <v>40614</v>
      </c>
      <c r="D1392" s="8" t="str">
        <f t="shared" si="29"/>
        <v>2011-03 (март 2011)</v>
      </c>
      <c r="E1392" s="9" t="s">
        <v>30</v>
      </c>
      <c r="F1392" s="7">
        <v>5</v>
      </c>
      <c r="G1392" s="7">
        <v>1374.67</v>
      </c>
      <c r="H1392" s="7">
        <v>0.08</v>
      </c>
      <c r="I1392" s="9" t="s">
        <v>31</v>
      </c>
      <c r="J1392" s="10">
        <v>-126.34</v>
      </c>
      <c r="K1392" s="11">
        <v>279.81</v>
      </c>
      <c r="L1392" s="11">
        <v>23.19</v>
      </c>
      <c r="M1392" s="9" t="s">
        <v>1002</v>
      </c>
      <c r="N1392" s="6" t="s">
        <v>974</v>
      </c>
      <c r="O1392" s="6" t="s">
        <v>512</v>
      </c>
      <c r="P1392" s="9" t="s">
        <v>41</v>
      </c>
      <c r="Q1392" s="9" t="s">
        <v>26</v>
      </c>
      <c r="R1392" s="9" t="s">
        <v>34</v>
      </c>
      <c r="S1392" s="7" t="s">
        <v>494</v>
      </c>
      <c r="T1392" s="9" t="s">
        <v>36</v>
      </c>
      <c r="U1392" s="7">
        <v>0.59</v>
      </c>
      <c r="V1392" s="12">
        <f>C1392+2</f>
        <v>40616</v>
      </c>
      <c r="W1392">
        <f>IF(D1392=' Pivot Tables'!$A$4,1,0)</f>
        <v>0</v>
      </c>
      <c r="X1392">
        <f>IF(AND(LEFT(D1392,4)+1=LEFT(' Pivot Tables'!$A$4,4)+0,RIGHT(LEFT(D1392,7),2)=RIGHT(LEFT(' Pivot Tables'!$A$4,7),2)),1,0)</f>
        <v>0</v>
      </c>
      <c r="Y1392" s="6">
        <f>1/COUNTIF(Таблица1[Order ID],Таблица1[[#This Row],[Order ID]])</f>
        <v>0.25</v>
      </c>
      <c r="Z1392" s="9">
        <f>1/COUNTIFS(Таблица1[Customer Name],Таблица1[[#This Row],[Customer Name]],Таблица1[Order-Year-Month],Таблица1[[#This Row],[Order-Year-Month]])</f>
        <v>0.2</v>
      </c>
    </row>
    <row r="1393" spans="1:26" x14ac:dyDescent="0.2">
      <c r="A1393" s="6">
        <v>2543</v>
      </c>
      <c r="B1393" s="7">
        <v>18432</v>
      </c>
      <c r="C1393" s="8">
        <f>DATE(2012,12,31)-660</f>
        <v>40614</v>
      </c>
      <c r="D1393" s="8" t="str">
        <f t="shared" si="29"/>
        <v>2011-03 (март 2011)</v>
      </c>
      <c r="E1393" s="9" t="s">
        <v>30</v>
      </c>
      <c r="F1393" s="7">
        <v>12</v>
      </c>
      <c r="G1393" s="7">
        <v>76.42</v>
      </c>
      <c r="H1393" s="7">
        <v>0.02</v>
      </c>
      <c r="I1393" s="9" t="s">
        <v>56</v>
      </c>
      <c r="J1393" s="10">
        <v>20.440000000000001</v>
      </c>
      <c r="K1393" s="11">
        <v>5.84</v>
      </c>
      <c r="L1393" s="11">
        <v>0.83</v>
      </c>
      <c r="M1393" s="9" t="s">
        <v>1002</v>
      </c>
      <c r="N1393" s="6" t="s">
        <v>974</v>
      </c>
      <c r="O1393" s="6" t="s">
        <v>512</v>
      </c>
      <c r="P1393" s="9" t="s">
        <v>41</v>
      </c>
      <c r="Q1393" s="9" t="s">
        <v>26</v>
      </c>
      <c r="R1393" s="9" t="s">
        <v>95</v>
      </c>
      <c r="S1393" s="7" t="s">
        <v>1037</v>
      </c>
      <c r="T1393" s="9" t="s">
        <v>68</v>
      </c>
      <c r="U1393" s="7">
        <v>0.49</v>
      </c>
      <c r="V1393" s="12">
        <f>C1393+2</f>
        <v>40616</v>
      </c>
      <c r="W1393">
        <f>IF(D1393=' Pivot Tables'!$A$4,1,0)</f>
        <v>0</v>
      </c>
      <c r="X1393">
        <f>IF(AND(LEFT(D1393,4)+1=LEFT(' Pivot Tables'!$A$4,4)+0,RIGHT(LEFT(D1393,7),2)=RIGHT(LEFT(' Pivot Tables'!$A$4,7),2)),1,0)</f>
        <v>0</v>
      </c>
      <c r="Y1393" s="6">
        <f>1/COUNTIF(Таблица1[Order ID],Таблица1[[#This Row],[Order ID]])</f>
        <v>0.25</v>
      </c>
      <c r="Z1393" s="9">
        <f>1/COUNTIFS(Таблица1[Customer Name],Таблица1[[#This Row],[Customer Name]],Таблица1[Order-Year-Month],Таблица1[[#This Row],[Order-Year-Month]])</f>
        <v>0.2</v>
      </c>
    </row>
    <row r="1394" spans="1:26" x14ac:dyDescent="0.2">
      <c r="A1394" s="6">
        <v>2544</v>
      </c>
      <c r="B1394" s="7">
        <v>18464</v>
      </c>
      <c r="C1394" s="8">
        <f>DATE(2012,12,31)-278</f>
        <v>40996</v>
      </c>
      <c r="D1394" s="8" t="str">
        <f t="shared" si="29"/>
        <v>2012-03 (март 2012)</v>
      </c>
      <c r="E1394" s="9" t="s">
        <v>30</v>
      </c>
      <c r="F1394" s="7">
        <v>27</v>
      </c>
      <c r="G1394" s="7">
        <v>4891.8599999999997</v>
      </c>
      <c r="H1394" s="7">
        <v>0.02</v>
      </c>
      <c r="I1394" s="9" t="s">
        <v>31</v>
      </c>
      <c r="J1394" s="10">
        <v>253.14</v>
      </c>
      <c r="K1394" s="11">
        <v>180.98</v>
      </c>
      <c r="L1394" s="11">
        <v>55.24</v>
      </c>
      <c r="M1394" s="9" t="s">
        <v>1038</v>
      </c>
      <c r="N1394" s="6" t="s">
        <v>974</v>
      </c>
      <c r="O1394" s="6" t="s">
        <v>512</v>
      </c>
      <c r="P1394" s="9" t="s">
        <v>25</v>
      </c>
      <c r="Q1394" s="9" t="s">
        <v>26</v>
      </c>
      <c r="R1394" s="9" t="s">
        <v>34</v>
      </c>
      <c r="S1394" s="7" t="s">
        <v>550</v>
      </c>
      <c r="T1394" s="9" t="s">
        <v>36</v>
      </c>
      <c r="U1394" s="7">
        <v>0.56999999999999995</v>
      </c>
      <c r="V1394" s="12">
        <f>C1394+2</f>
        <v>40998</v>
      </c>
      <c r="W1394">
        <f>IF(D1394=' Pivot Tables'!$A$4,1,0)</f>
        <v>0</v>
      </c>
      <c r="X1394">
        <f>IF(AND(LEFT(D1394,4)+1=LEFT(' Pivot Tables'!$A$4,4)+0,RIGHT(LEFT(D1394,7),2)=RIGHT(LEFT(' Pivot Tables'!$A$4,7),2)),1,0)</f>
        <v>0</v>
      </c>
      <c r="Y1394" s="6">
        <f>1/COUNTIF(Таблица1[Order ID],Таблица1[[#This Row],[Order ID]])</f>
        <v>0.25</v>
      </c>
      <c r="Z1394" s="9">
        <f>1/COUNTIFS(Таблица1[Customer Name],Таблица1[[#This Row],[Customer Name]],Таблица1[Order-Year-Month],Таблица1[[#This Row],[Order-Year-Month]])</f>
        <v>0.25</v>
      </c>
    </row>
    <row r="1395" spans="1:26" x14ac:dyDescent="0.2">
      <c r="A1395" s="6">
        <v>2545</v>
      </c>
      <c r="B1395" s="7">
        <v>18464</v>
      </c>
      <c r="C1395" s="8">
        <f>DATE(2012,12,31)-278</f>
        <v>40996</v>
      </c>
      <c r="D1395" s="8" t="str">
        <f t="shared" si="29"/>
        <v>2012-03 (март 2012)</v>
      </c>
      <c r="E1395" s="9" t="s">
        <v>30</v>
      </c>
      <c r="F1395" s="7">
        <v>37</v>
      </c>
      <c r="G1395" s="7">
        <v>6039.1</v>
      </c>
      <c r="H1395" s="7">
        <v>0.01</v>
      </c>
      <c r="I1395" s="9" t="s">
        <v>31</v>
      </c>
      <c r="J1395" s="10">
        <v>-345.92</v>
      </c>
      <c r="K1395" s="11">
        <v>150.97999999999999</v>
      </c>
      <c r="L1395" s="11">
        <v>66.27</v>
      </c>
      <c r="M1395" s="9" t="s">
        <v>1038</v>
      </c>
      <c r="N1395" s="6" t="s">
        <v>974</v>
      </c>
      <c r="O1395" s="6" t="s">
        <v>512</v>
      </c>
      <c r="P1395" s="9" t="s">
        <v>25</v>
      </c>
      <c r="Q1395" s="9" t="s">
        <v>49</v>
      </c>
      <c r="R1395" s="9" t="s">
        <v>80</v>
      </c>
      <c r="S1395" s="7" t="s">
        <v>325</v>
      </c>
      <c r="T1395" s="9" t="s">
        <v>82</v>
      </c>
      <c r="U1395" s="7">
        <v>0.65</v>
      </c>
      <c r="V1395" s="12">
        <f>C1395+0</f>
        <v>40996</v>
      </c>
      <c r="W1395">
        <f>IF(D1395=' Pivot Tables'!$A$4,1,0)</f>
        <v>0</v>
      </c>
      <c r="X1395">
        <f>IF(AND(LEFT(D1395,4)+1=LEFT(' Pivot Tables'!$A$4,4)+0,RIGHT(LEFT(D1395,7),2)=RIGHT(LEFT(' Pivot Tables'!$A$4,7),2)),1,0)</f>
        <v>0</v>
      </c>
      <c r="Y1395" s="6">
        <f>1/COUNTIF(Таблица1[Order ID],Таблица1[[#This Row],[Order ID]])</f>
        <v>0.25</v>
      </c>
      <c r="Z1395" s="9">
        <f>1/COUNTIFS(Таблица1[Customer Name],Таблица1[[#This Row],[Customer Name]],Таблица1[Order-Year-Month],Таблица1[[#This Row],[Order-Year-Month]])</f>
        <v>0.25</v>
      </c>
    </row>
    <row r="1396" spans="1:26" x14ac:dyDescent="0.2">
      <c r="A1396" s="6">
        <v>2546</v>
      </c>
      <c r="B1396" s="7">
        <v>18464</v>
      </c>
      <c r="C1396" s="8">
        <f>DATE(2012,12,31)-278</f>
        <v>40996</v>
      </c>
      <c r="D1396" s="8" t="str">
        <f t="shared" si="29"/>
        <v>2012-03 (март 2012)</v>
      </c>
      <c r="E1396" s="9" t="s">
        <v>30</v>
      </c>
      <c r="F1396" s="7">
        <v>31</v>
      </c>
      <c r="G1396" s="7">
        <v>206.49</v>
      </c>
      <c r="H1396" s="7">
        <v>0.05</v>
      </c>
      <c r="I1396" s="9" t="s">
        <v>22</v>
      </c>
      <c r="J1396" s="10">
        <v>80.069999999999993</v>
      </c>
      <c r="K1396" s="11">
        <v>6.45</v>
      </c>
      <c r="L1396" s="11">
        <v>1.34</v>
      </c>
      <c r="M1396" s="9" t="s">
        <v>1038</v>
      </c>
      <c r="N1396" s="6" t="s">
        <v>974</v>
      </c>
      <c r="O1396" s="6" t="s">
        <v>512</v>
      </c>
      <c r="P1396" s="9" t="s">
        <v>25</v>
      </c>
      <c r="Q1396" s="9" t="s">
        <v>26</v>
      </c>
      <c r="R1396" s="9" t="s">
        <v>61</v>
      </c>
      <c r="S1396" s="7" t="s">
        <v>1039</v>
      </c>
      <c r="T1396" s="9" t="s">
        <v>68</v>
      </c>
      <c r="U1396" s="7">
        <v>0.36</v>
      </c>
      <c r="V1396" s="12">
        <f>C1396+2</f>
        <v>40998</v>
      </c>
      <c r="W1396">
        <f>IF(D1396=' Pivot Tables'!$A$4,1,0)</f>
        <v>0</v>
      </c>
      <c r="X1396">
        <f>IF(AND(LEFT(D1396,4)+1=LEFT(' Pivot Tables'!$A$4,4)+0,RIGHT(LEFT(D1396,7),2)=RIGHT(LEFT(' Pivot Tables'!$A$4,7),2)),1,0)</f>
        <v>0</v>
      </c>
      <c r="Y1396" s="6">
        <f>1/COUNTIF(Таблица1[Order ID],Таблица1[[#This Row],[Order ID]])</f>
        <v>0.25</v>
      </c>
      <c r="Z1396" s="9">
        <f>1/COUNTIFS(Таблица1[Customer Name],Таблица1[[#This Row],[Customer Name]],Таблица1[Order-Year-Month],Таблица1[[#This Row],[Order-Year-Month]])</f>
        <v>0.25</v>
      </c>
    </row>
    <row r="1397" spans="1:26" x14ac:dyDescent="0.2">
      <c r="A1397" s="6">
        <v>2547</v>
      </c>
      <c r="B1397" s="7">
        <v>18464</v>
      </c>
      <c r="C1397" s="8">
        <f>DATE(2012,12,31)-278</f>
        <v>40996</v>
      </c>
      <c r="D1397" s="8" t="str">
        <f t="shared" si="29"/>
        <v>2012-03 (март 2012)</v>
      </c>
      <c r="E1397" s="9" t="s">
        <v>30</v>
      </c>
      <c r="F1397" s="7">
        <v>41</v>
      </c>
      <c r="G1397" s="7">
        <v>80.540000000000006</v>
      </c>
      <c r="H1397" s="7">
        <v>0.01</v>
      </c>
      <c r="I1397" s="9" t="s">
        <v>22</v>
      </c>
      <c r="J1397" s="10">
        <v>-18.72</v>
      </c>
      <c r="K1397" s="11">
        <v>1.89</v>
      </c>
      <c r="L1397" s="11">
        <v>0.76</v>
      </c>
      <c r="M1397" s="9" t="s">
        <v>1038</v>
      </c>
      <c r="N1397" s="6" t="s">
        <v>974</v>
      </c>
      <c r="O1397" s="6" t="s">
        <v>512</v>
      </c>
      <c r="P1397" s="9" t="s">
        <v>25</v>
      </c>
      <c r="Q1397" s="9" t="s">
        <v>26</v>
      </c>
      <c r="R1397" s="9" t="s">
        <v>66</v>
      </c>
      <c r="S1397" s="7" t="s">
        <v>177</v>
      </c>
      <c r="T1397" s="9" t="s">
        <v>68</v>
      </c>
      <c r="U1397" s="7">
        <v>0.83</v>
      </c>
      <c r="V1397" s="12">
        <f>C1397+2</f>
        <v>40998</v>
      </c>
      <c r="W1397">
        <f>IF(D1397=' Pivot Tables'!$A$4,1,0)</f>
        <v>0</v>
      </c>
      <c r="X1397">
        <f>IF(AND(LEFT(D1397,4)+1=LEFT(' Pivot Tables'!$A$4,4)+0,RIGHT(LEFT(D1397,7),2)=RIGHT(LEFT(' Pivot Tables'!$A$4,7),2)),1,0)</f>
        <v>0</v>
      </c>
      <c r="Y1397" s="6">
        <f>1/COUNTIF(Таблица1[Order ID],Таблица1[[#This Row],[Order ID]])</f>
        <v>0.25</v>
      </c>
      <c r="Z1397" s="9">
        <f>1/COUNTIFS(Таблица1[Customer Name],Таблица1[[#This Row],[Customer Name]],Таблица1[Order-Year-Month],Таблица1[[#This Row],[Order-Year-Month]])</f>
        <v>0.25</v>
      </c>
    </row>
    <row r="1398" spans="1:26" x14ac:dyDescent="0.2">
      <c r="A1398" s="6">
        <v>2594</v>
      </c>
      <c r="B1398" s="7">
        <v>18754</v>
      </c>
      <c r="C1398" s="8">
        <f>DATE(2012,12,31)-1193</f>
        <v>40081</v>
      </c>
      <c r="D1398" s="8" t="str">
        <f t="shared" si="29"/>
        <v>2009-09 (сентябрь 2009)</v>
      </c>
      <c r="E1398" s="9" t="s">
        <v>45</v>
      </c>
      <c r="F1398" s="7">
        <v>8</v>
      </c>
      <c r="G1398" s="7">
        <v>1217.6199999999999</v>
      </c>
      <c r="H1398" s="7">
        <v>0.03</v>
      </c>
      <c r="I1398" s="9" t="s">
        <v>31</v>
      </c>
      <c r="J1398" s="10">
        <v>-221.5</v>
      </c>
      <c r="K1398" s="11">
        <v>140.97999999999999</v>
      </c>
      <c r="L1398" s="11">
        <v>36.090000000000003</v>
      </c>
      <c r="M1398" s="9" t="s">
        <v>1040</v>
      </c>
      <c r="N1398" s="6" t="s">
        <v>974</v>
      </c>
      <c r="O1398" s="6" t="s">
        <v>512</v>
      </c>
      <c r="P1398" s="9" t="s">
        <v>25</v>
      </c>
      <c r="Q1398" s="9" t="s">
        <v>49</v>
      </c>
      <c r="R1398" s="9" t="s">
        <v>80</v>
      </c>
      <c r="S1398" s="7" t="s">
        <v>349</v>
      </c>
      <c r="T1398" s="9" t="s">
        <v>82</v>
      </c>
      <c r="U1398" s="7">
        <v>0.77</v>
      </c>
      <c r="V1398" s="12">
        <f>C1398+2</f>
        <v>40083</v>
      </c>
      <c r="W1398">
        <f>IF(D1398=' Pivot Tables'!$A$4,1,0)</f>
        <v>0</v>
      </c>
      <c r="X1398">
        <f>IF(AND(LEFT(D1398,4)+1=LEFT(' Pivot Tables'!$A$4,4)+0,RIGHT(LEFT(D1398,7),2)=RIGHT(LEFT(' Pivot Tables'!$A$4,7),2)),1,0)</f>
        <v>0</v>
      </c>
      <c r="Y1398" s="6">
        <f>1/COUNTIF(Таблица1[Order ID],Таблица1[[#This Row],[Order ID]])</f>
        <v>0.5</v>
      </c>
      <c r="Z1398" s="9">
        <f>1/COUNTIFS(Таблица1[Customer Name],Таблица1[[#This Row],[Customer Name]],Таблица1[Order-Year-Month],Таблица1[[#This Row],[Order-Year-Month]])</f>
        <v>0.5</v>
      </c>
    </row>
    <row r="1399" spans="1:26" x14ac:dyDescent="0.2">
      <c r="A1399" s="6">
        <v>2595</v>
      </c>
      <c r="B1399" s="7">
        <v>18754</v>
      </c>
      <c r="C1399" s="8">
        <f>DATE(2012,12,31)-1193</f>
        <v>40081</v>
      </c>
      <c r="D1399" s="8" t="str">
        <f t="shared" si="29"/>
        <v>2009-09 (сентябрь 2009)</v>
      </c>
      <c r="E1399" s="9" t="s">
        <v>45</v>
      </c>
      <c r="F1399" s="7">
        <v>32</v>
      </c>
      <c r="G1399" s="7">
        <v>1725.0325</v>
      </c>
      <c r="H1399" s="7">
        <v>0.08</v>
      </c>
      <c r="I1399" s="9" t="s">
        <v>22</v>
      </c>
      <c r="J1399" s="10">
        <v>206.352</v>
      </c>
      <c r="K1399" s="11">
        <v>65.989999999999995</v>
      </c>
      <c r="L1399" s="11">
        <v>8.99</v>
      </c>
      <c r="M1399" s="9" t="s">
        <v>1040</v>
      </c>
      <c r="N1399" s="6" t="s">
        <v>974</v>
      </c>
      <c r="O1399" s="6" t="s">
        <v>512</v>
      </c>
      <c r="P1399" s="9" t="s">
        <v>25</v>
      </c>
      <c r="Q1399" s="9" t="s">
        <v>42</v>
      </c>
      <c r="R1399" s="9" t="s">
        <v>43</v>
      </c>
      <c r="S1399" s="7" t="s">
        <v>534</v>
      </c>
      <c r="T1399" s="9" t="s">
        <v>39</v>
      </c>
      <c r="U1399" s="7">
        <v>0.56000000000000005</v>
      </c>
      <c r="V1399" s="12">
        <f>C1399+1</f>
        <v>40082</v>
      </c>
      <c r="W1399">
        <f>IF(D1399=' Pivot Tables'!$A$4,1,0)</f>
        <v>0</v>
      </c>
      <c r="X1399">
        <f>IF(AND(LEFT(D1399,4)+1=LEFT(' Pivot Tables'!$A$4,4)+0,RIGHT(LEFT(D1399,7),2)=RIGHT(LEFT(' Pivot Tables'!$A$4,7),2)),1,0)</f>
        <v>0</v>
      </c>
      <c r="Y1399" s="6">
        <f>1/COUNTIF(Таблица1[Order ID],Таблица1[[#This Row],[Order ID]])</f>
        <v>0.5</v>
      </c>
      <c r="Z1399" s="9">
        <f>1/COUNTIFS(Таблица1[Customer Name],Таблица1[[#This Row],[Customer Name]],Таблица1[Order-Year-Month],Таблица1[[#This Row],[Order-Year-Month]])</f>
        <v>0.5</v>
      </c>
    </row>
    <row r="1400" spans="1:26" x14ac:dyDescent="0.2">
      <c r="A1400" s="6">
        <v>2753</v>
      </c>
      <c r="B1400" s="7">
        <v>19905</v>
      </c>
      <c r="C1400" s="8">
        <f>DATE(2012,12,31)-141</f>
        <v>41133</v>
      </c>
      <c r="D1400" s="8" t="str">
        <f t="shared" si="29"/>
        <v>2012-08 (август 2012)</v>
      </c>
      <c r="E1400" s="9" t="s">
        <v>78</v>
      </c>
      <c r="F1400" s="7">
        <v>20</v>
      </c>
      <c r="G1400" s="7">
        <v>82.97</v>
      </c>
      <c r="H1400" s="7">
        <v>0.04</v>
      </c>
      <c r="I1400" s="9" t="s">
        <v>22</v>
      </c>
      <c r="J1400" s="10">
        <v>32.5</v>
      </c>
      <c r="K1400" s="11">
        <v>4.13</v>
      </c>
      <c r="L1400" s="11">
        <v>0.5</v>
      </c>
      <c r="M1400" s="9" t="s">
        <v>996</v>
      </c>
      <c r="N1400" s="6" t="s">
        <v>974</v>
      </c>
      <c r="O1400" s="6" t="s">
        <v>512</v>
      </c>
      <c r="P1400" s="9" t="s">
        <v>60</v>
      </c>
      <c r="Q1400" s="9" t="s">
        <v>26</v>
      </c>
      <c r="R1400" s="9" t="s">
        <v>88</v>
      </c>
      <c r="S1400" s="7" t="s">
        <v>184</v>
      </c>
      <c r="T1400" s="9" t="s">
        <v>39</v>
      </c>
      <c r="U1400" s="7">
        <v>0.39</v>
      </c>
      <c r="V1400" s="12">
        <f>C1400+2</f>
        <v>41135</v>
      </c>
      <c r="W1400">
        <f>IF(D1400=' Pivot Tables'!$A$4,1,0)</f>
        <v>0</v>
      </c>
      <c r="X1400">
        <f>IF(AND(LEFT(D1400,4)+1=LEFT(' Pivot Tables'!$A$4,4)+0,RIGHT(LEFT(D1400,7),2)=RIGHT(LEFT(' Pivot Tables'!$A$4,7),2)),1,0)</f>
        <v>0</v>
      </c>
      <c r="Y1400" s="6">
        <f>1/COUNTIF(Таблица1[Order ID],Таблица1[[#This Row],[Order ID]])</f>
        <v>0.5</v>
      </c>
      <c r="Z1400" s="9">
        <f>1/COUNTIFS(Таблица1[Customer Name],Таблица1[[#This Row],[Customer Name]],Таблица1[Order-Year-Month],Таблица1[[#This Row],[Order-Year-Month]])</f>
        <v>0.5</v>
      </c>
    </row>
    <row r="1401" spans="1:26" x14ac:dyDescent="0.2">
      <c r="A1401" s="6">
        <v>2754</v>
      </c>
      <c r="B1401" s="7">
        <v>19905</v>
      </c>
      <c r="C1401" s="8">
        <f>DATE(2012,12,31)-141</f>
        <v>41133</v>
      </c>
      <c r="D1401" s="8" t="str">
        <f t="shared" si="29"/>
        <v>2012-08 (август 2012)</v>
      </c>
      <c r="E1401" s="9" t="s">
        <v>78</v>
      </c>
      <c r="F1401" s="7">
        <v>25</v>
      </c>
      <c r="G1401" s="7">
        <v>13701.35</v>
      </c>
      <c r="H1401" s="7">
        <v>0.01</v>
      </c>
      <c r="I1401" s="9" t="s">
        <v>31</v>
      </c>
      <c r="J1401" s="10">
        <v>-3687.6510000000003</v>
      </c>
      <c r="K1401" s="11">
        <v>550.98</v>
      </c>
      <c r="L1401" s="11">
        <v>64.59</v>
      </c>
      <c r="M1401" s="9" t="s">
        <v>996</v>
      </c>
      <c r="N1401" s="6" t="s">
        <v>974</v>
      </c>
      <c r="O1401" s="6" t="s">
        <v>512</v>
      </c>
      <c r="P1401" s="9" t="s">
        <v>60</v>
      </c>
      <c r="Q1401" s="9" t="s">
        <v>49</v>
      </c>
      <c r="R1401" s="9" t="s">
        <v>83</v>
      </c>
      <c r="S1401" s="7" t="s">
        <v>628</v>
      </c>
      <c r="T1401" s="9" t="s">
        <v>82</v>
      </c>
      <c r="U1401" s="7">
        <v>0.66</v>
      </c>
      <c r="V1401" s="12">
        <f>C1401+2</f>
        <v>41135</v>
      </c>
      <c r="W1401">
        <f>IF(D1401=' Pivot Tables'!$A$4,1,0)</f>
        <v>0</v>
      </c>
      <c r="X1401">
        <f>IF(AND(LEFT(D1401,4)+1=LEFT(' Pivot Tables'!$A$4,4)+0,RIGHT(LEFT(D1401,7),2)=RIGHT(LEFT(' Pivot Tables'!$A$4,7),2)),1,0)</f>
        <v>0</v>
      </c>
      <c r="Y1401" s="6">
        <f>1/COUNTIF(Таблица1[Order ID],Таблица1[[#This Row],[Order ID]])</f>
        <v>0.5</v>
      </c>
      <c r="Z1401" s="9">
        <f>1/COUNTIFS(Таблица1[Customer Name],Таблица1[[#This Row],[Customer Name]],Таблица1[Order-Year-Month],Таблица1[[#This Row],[Order-Year-Month]])</f>
        <v>0.5</v>
      </c>
    </row>
    <row r="1402" spans="1:26" x14ac:dyDescent="0.2">
      <c r="A1402" s="6">
        <v>2805</v>
      </c>
      <c r="B1402" s="7">
        <v>20256</v>
      </c>
      <c r="C1402" s="8">
        <f>DATE(2012,12,31)-335</f>
        <v>40939</v>
      </c>
      <c r="D1402" s="8" t="str">
        <f t="shared" si="29"/>
        <v>2012-01 (январь 2012)</v>
      </c>
      <c r="E1402" s="9" t="s">
        <v>21</v>
      </c>
      <c r="F1402" s="7">
        <v>24</v>
      </c>
      <c r="G1402" s="7">
        <v>512.83000000000004</v>
      </c>
      <c r="H1402" s="7">
        <v>0.01</v>
      </c>
      <c r="I1402" s="9" t="s">
        <v>22</v>
      </c>
      <c r="J1402" s="10">
        <v>-221.56</v>
      </c>
      <c r="K1402" s="11">
        <v>20.89</v>
      </c>
      <c r="L1402" s="11">
        <v>11.52</v>
      </c>
      <c r="M1402" s="9" t="s">
        <v>1040</v>
      </c>
      <c r="N1402" s="6" t="s">
        <v>974</v>
      </c>
      <c r="O1402" s="6" t="s">
        <v>512</v>
      </c>
      <c r="P1402" s="9" t="s">
        <v>25</v>
      </c>
      <c r="Q1402" s="9" t="s">
        <v>26</v>
      </c>
      <c r="R1402" s="9" t="s">
        <v>27</v>
      </c>
      <c r="S1402" s="7" t="s">
        <v>1041</v>
      </c>
      <c r="T1402" s="9" t="s">
        <v>39</v>
      </c>
      <c r="U1402" s="7">
        <v>0.83</v>
      </c>
      <c r="V1402" s="12">
        <f>C1402+5</f>
        <v>40944</v>
      </c>
      <c r="W1402">
        <f>IF(D1402=' Pivot Tables'!$A$4,1,0)</f>
        <v>0</v>
      </c>
      <c r="X1402">
        <f>IF(AND(LEFT(D1402,4)+1=LEFT(' Pivot Tables'!$A$4,4)+0,RIGHT(LEFT(D1402,7),2)=RIGHT(LEFT(' Pivot Tables'!$A$4,7),2)),1,0)</f>
        <v>0</v>
      </c>
      <c r="Y1402" s="6">
        <f>1/COUNTIF(Таблица1[Order ID],Таблица1[[#This Row],[Order ID]])</f>
        <v>1</v>
      </c>
      <c r="Z1402" s="9">
        <f>1/COUNTIFS(Таблица1[Customer Name],Таблица1[[#This Row],[Customer Name]],Таблица1[Order-Year-Month],Таблица1[[#This Row],[Order-Year-Month]])</f>
        <v>1</v>
      </c>
    </row>
    <row r="1403" spans="1:26" x14ac:dyDescent="0.2">
      <c r="A1403" s="6">
        <v>2823</v>
      </c>
      <c r="B1403" s="7">
        <v>20386</v>
      </c>
      <c r="C1403" s="8">
        <f>DATE(2012,12,31)-1038</f>
        <v>40236</v>
      </c>
      <c r="D1403" s="8" t="str">
        <f t="shared" si="29"/>
        <v>2010-02 (февраль 2010)</v>
      </c>
      <c r="E1403" s="9" t="s">
        <v>78</v>
      </c>
      <c r="F1403" s="7">
        <v>35</v>
      </c>
      <c r="G1403" s="7">
        <v>41.23</v>
      </c>
      <c r="H1403" s="7">
        <v>0.09</v>
      </c>
      <c r="I1403" s="9" t="s">
        <v>22</v>
      </c>
      <c r="J1403" s="10">
        <v>-21.51</v>
      </c>
      <c r="K1403" s="11">
        <v>1.26</v>
      </c>
      <c r="L1403" s="11">
        <v>0.7</v>
      </c>
      <c r="M1403" s="9" t="s">
        <v>1032</v>
      </c>
      <c r="N1403" s="6" t="s">
        <v>974</v>
      </c>
      <c r="O1403" s="6" t="s">
        <v>512</v>
      </c>
      <c r="P1403" s="9" t="s">
        <v>41</v>
      </c>
      <c r="Q1403" s="9" t="s">
        <v>26</v>
      </c>
      <c r="R1403" s="9" t="s">
        <v>66</v>
      </c>
      <c r="S1403" s="7" t="s">
        <v>351</v>
      </c>
      <c r="T1403" s="9" t="s">
        <v>68</v>
      </c>
      <c r="U1403" s="7">
        <v>0.81</v>
      </c>
      <c r="V1403" s="12">
        <f>C1403+0</f>
        <v>40236</v>
      </c>
      <c r="W1403">
        <f>IF(D1403=' Pivot Tables'!$A$4,1,0)</f>
        <v>0</v>
      </c>
      <c r="X1403">
        <f>IF(AND(LEFT(D1403,4)+1=LEFT(' Pivot Tables'!$A$4,4)+0,RIGHT(LEFT(D1403,7),2)=RIGHT(LEFT(' Pivot Tables'!$A$4,7),2)),1,0)</f>
        <v>0</v>
      </c>
      <c r="Y1403" s="6">
        <f>1/COUNTIF(Таблица1[Order ID],Таблица1[[#This Row],[Order ID]])</f>
        <v>1</v>
      </c>
      <c r="Z1403" s="9">
        <f>1/COUNTIFS(Таблица1[Customer Name],Таблица1[[#This Row],[Customer Name]],Таблица1[Order-Year-Month],Таблица1[[#This Row],[Order-Year-Month]])</f>
        <v>1</v>
      </c>
    </row>
    <row r="1404" spans="1:26" x14ac:dyDescent="0.2">
      <c r="A1404" s="6">
        <v>2839</v>
      </c>
      <c r="B1404" s="7">
        <v>20455</v>
      </c>
      <c r="C1404" s="8">
        <f>DATE(2012,12,31)-917</f>
        <v>40357</v>
      </c>
      <c r="D1404" s="8" t="str">
        <f t="shared" si="29"/>
        <v>2010-06 (июнь 2010)</v>
      </c>
      <c r="E1404" s="9" t="s">
        <v>78</v>
      </c>
      <c r="F1404" s="7">
        <v>7</v>
      </c>
      <c r="G1404" s="7">
        <v>381.1995</v>
      </c>
      <c r="H1404" s="7">
        <v>0.08</v>
      </c>
      <c r="I1404" s="9" t="s">
        <v>56</v>
      </c>
      <c r="J1404" s="10">
        <v>-233.56300000000002</v>
      </c>
      <c r="K1404" s="11">
        <v>65.989999999999995</v>
      </c>
      <c r="L1404" s="11">
        <v>8.99</v>
      </c>
      <c r="M1404" s="9" t="s">
        <v>1042</v>
      </c>
      <c r="N1404" s="6" t="s">
        <v>974</v>
      </c>
      <c r="O1404" s="6" t="s">
        <v>512</v>
      </c>
      <c r="P1404" s="9" t="s">
        <v>41</v>
      </c>
      <c r="Q1404" s="9" t="s">
        <v>42</v>
      </c>
      <c r="R1404" s="9" t="s">
        <v>43</v>
      </c>
      <c r="S1404" s="7" t="s">
        <v>596</v>
      </c>
      <c r="T1404" s="9" t="s">
        <v>39</v>
      </c>
      <c r="U1404" s="7">
        <v>0.57999999999999996</v>
      </c>
      <c r="V1404" s="12">
        <f>C1404+1</f>
        <v>40358</v>
      </c>
      <c r="W1404">
        <f>IF(D1404=' Pivot Tables'!$A$4,1,0)</f>
        <v>0</v>
      </c>
      <c r="X1404">
        <f>IF(AND(LEFT(D1404,4)+1=LEFT(' Pivot Tables'!$A$4,4)+0,RIGHT(LEFT(D1404,7),2)=RIGHT(LEFT(' Pivot Tables'!$A$4,7),2)),1,0)</f>
        <v>0</v>
      </c>
      <c r="Y1404" s="6">
        <f>1/COUNTIF(Таблица1[Order ID],Таблица1[[#This Row],[Order ID]])</f>
        <v>1</v>
      </c>
      <c r="Z1404" s="9">
        <f>1/COUNTIFS(Таблица1[Customer Name],Таблица1[[#This Row],[Customer Name]],Таблица1[Order-Year-Month],Таблица1[[#This Row],[Order-Year-Month]])</f>
        <v>1</v>
      </c>
    </row>
    <row r="1405" spans="1:26" x14ac:dyDescent="0.2">
      <c r="A1405" s="6">
        <v>2860</v>
      </c>
      <c r="B1405" s="7">
        <v>20642</v>
      </c>
      <c r="C1405" s="8">
        <f>DATE(2012,12,31)-226</f>
        <v>41048</v>
      </c>
      <c r="D1405" s="8" t="str">
        <f t="shared" si="29"/>
        <v>2012-05 (май 2012)</v>
      </c>
      <c r="E1405" s="9" t="s">
        <v>30</v>
      </c>
      <c r="F1405" s="7">
        <v>32</v>
      </c>
      <c r="G1405" s="7">
        <v>135.19999999999999</v>
      </c>
      <c r="H1405" s="7">
        <v>0.02</v>
      </c>
      <c r="I1405" s="9" t="s">
        <v>22</v>
      </c>
      <c r="J1405" s="10">
        <v>59.4</v>
      </c>
      <c r="K1405" s="11">
        <v>4.13</v>
      </c>
      <c r="L1405" s="11">
        <v>0.5</v>
      </c>
      <c r="M1405" s="9" t="s">
        <v>1043</v>
      </c>
      <c r="N1405" s="6" t="s">
        <v>974</v>
      </c>
      <c r="O1405" s="6" t="s">
        <v>512</v>
      </c>
      <c r="P1405" s="9" t="s">
        <v>33</v>
      </c>
      <c r="Q1405" s="9" t="s">
        <v>26</v>
      </c>
      <c r="R1405" s="9" t="s">
        <v>88</v>
      </c>
      <c r="S1405" s="7" t="s">
        <v>184</v>
      </c>
      <c r="T1405" s="9" t="s">
        <v>39</v>
      </c>
      <c r="U1405" s="7">
        <v>0.39</v>
      </c>
      <c r="V1405" s="12">
        <f>C1405+1</f>
        <v>41049</v>
      </c>
      <c r="W1405">
        <f>IF(D1405=' Pivot Tables'!$A$4,1,0)</f>
        <v>0</v>
      </c>
      <c r="X1405">
        <f>IF(AND(LEFT(D1405,4)+1=LEFT(' Pivot Tables'!$A$4,4)+0,RIGHT(LEFT(D1405,7),2)=RIGHT(LEFT(' Pivot Tables'!$A$4,7),2)),1,0)</f>
        <v>0</v>
      </c>
      <c r="Y1405" s="6">
        <f>1/COUNTIF(Таблица1[Order ID],Таблица1[[#This Row],[Order ID]])</f>
        <v>0.5</v>
      </c>
      <c r="Z1405" s="9">
        <f>1/COUNTIFS(Таблица1[Customer Name],Таблица1[[#This Row],[Customer Name]],Таблица1[Order-Year-Month],Таблица1[[#This Row],[Order-Year-Month]])</f>
        <v>0.5</v>
      </c>
    </row>
    <row r="1406" spans="1:26" x14ac:dyDescent="0.2">
      <c r="A1406" s="6">
        <v>2952</v>
      </c>
      <c r="B1406" s="7">
        <v>21379</v>
      </c>
      <c r="C1406" s="8">
        <f>DATE(2012,12,31)-717</f>
        <v>40557</v>
      </c>
      <c r="D1406" s="8" t="str">
        <f t="shared" si="29"/>
        <v>2011-01 (январь 2011)</v>
      </c>
      <c r="E1406" s="9" t="s">
        <v>30</v>
      </c>
      <c r="F1406" s="7">
        <v>35</v>
      </c>
      <c r="G1406" s="7">
        <v>5428.49</v>
      </c>
      <c r="H1406" s="7">
        <v>0.05</v>
      </c>
      <c r="I1406" s="9" t="s">
        <v>31</v>
      </c>
      <c r="J1406" s="10">
        <v>-1046.78</v>
      </c>
      <c r="K1406" s="11">
        <v>150.88999999999999</v>
      </c>
      <c r="L1406" s="11">
        <v>60.2</v>
      </c>
      <c r="M1406" s="9" t="s">
        <v>1033</v>
      </c>
      <c r="N1406" s="6" t="s">
        <v>974</v>
      </c>
      <c r="O1406" s="6" t="s">
        <v>512</v>
      </c>
      <c r="P1406" s="9" t="s">
        <v>41</v>
      </c>
      <c r="Q1406" s="9" t="s">
        <v>49</v>
      </c>
      <c r="R1406" s="9" t="s">
        <v>112</v>
      </c>
      <c r="S1406" s="7" t="s">
        <v>933</v>
      </c>
      <c r="T1406" s="9" t="s">
        <v>36</v>
      </c>
      <c r="U1406" s="7">
        <v>0.77</v>
      </c>
      <c r="V1406" s="12">
        <f>C1406+2</f>
        <v>40559</v>
      </c>
      <c r="W1406">
        <f>IF(D1406=' Pivot Tables'!$A$4,1,0)</f>
        <v>0</v>
      </c>
      <c r="X1406">
        <f>IF(AND(LEFT(D1406,4)+1=LEFT(' Pivot Tables'!$A$4,4)+0,RIGHT(LEFT(D1406,7),2)=RIGHT(LEFT(' Pivot Tables'!$A$4,7),2)),1,0)</f>
        <v>0</v>
      </c>
      <c r="Y1406" s="6">
        <f>1/COUNTIF(Таблица1[Order ID],Таблица1[[#This Row],[Order ID]])</f>
        <v>1</v>
      </c>
      <c r="Z1406" s="9">
        <f>1/COUNTIFS(Таблица1[Customer Name],Таблица1[[#This Row],[Customer Name]],Таблица1[Order-Year-Month],Таблица1[[#This Row],[Order-Year-Month]])</f>
        <v>1</v>
      </c>
    </row>
    <row r="1407" spans="1:26" x14ac:dyDescent="0.2">
      <c r="A1407" s="6">
        <v>3027</v>
      </c>
      <c r="B1407" s="7">
        <v>21766</v>
      </c>
      <c r="C1407" s="8">
        <f>DATE(2012,12,31)-1309</f>
        <v>39965</v>
      </c>
      <c r="D1407" s="8" t="str">
        <f t="shared" si="29"/>
        <v>2009-06 (июнь 2009)</v>
      </c>
      <c r="E1407" s="9" t="s">
        <v>30</v>
      </c>
      <c r="F1407" s="7">
        <v>41</v>
      </c>
      <c r="G1407" s="7">
        <v>5178.17</v>
      </c>
      <c r="H1407" s="7">
        <v>0.03</v>
      </c>
      <c r="I1407" s="9" t="s">
        <v>31</v>
      </c>
      <c r="J1407" s="10">
        <v>531.69000000000005</v>
      </c>
      <c r="K1407" s="11">
        <v>120.98</v>
      </c>
      <c r="L1407" s="11">
        <v>30</v>
      </c>
      <c r="M1407" s="9" t="s">
        <v>1008</v>
      </c>
      <c r="N1407" s="6" t="s">
        <v>974</v>
      </c>
      <c r="O1407" s="6" t="s">
        <v>512</v>
      </c>
      <c r="P1407" s="9" t="s">
        <v>33</v>
      </c>
      <c r="Q1407" s="9" t="s">
        <v>49</v>
      </c>
      <c r="R1407" s="9" t="s">
        <v>112</v>
      </c>
      <c r="S1407" s="7" t="s">
        <v>116</v>
      </c>
      <c r="T1407" s="9" t="s">
        <v>36</v>
      </c>
      <c r="U1407" s="7">
        <v>0.64</v>
      </c>
      <c r="V1407" s="12">
        <f>C1407+2</f>
        <v>39967</v>
      </c>
      <c r="W1407">
        <f>IF(D1407=' Pivot Tables'!$A$4,1,0)</f>
        <v>0</v>
      </c>
      <c r="X1407">
        <f>IF(AND(LEFT(D1407,4)+1=LEFT(' Pivot Tables'!$A$4,4)+0,RIGHT(LEFT(D1407,7),2)=RIGHT(LEFT(' Pivot Tables'!$A$4,7),2)),1,0)</f>
        <v>0</v>
      </c>
      <c r="Y1407" s="6">
        <f>1/COUNTIF(Таблица1[Order ID],Таблица1[[#This Row],[Order ID]])</f>
        <v>0.5</v>
      </c>
      <c r="Z1407" s="9">
        <f>1/COUNTIFS(Таблица1[Customer Name],Таблица1[[#This Row],[Customer Name]],Таблица1[Order-Year-Month],Таблица1[[#This Row],[Order-Year-Month]])</f>
        <v>0.5</v>
      </c>
    </row>
    <row r="1408" spans="1:26" x14ac:dyDescent="0.2">
      <c r="A1408" s="6">
        <v>3028</v>
      </c>
      <c r="B1408" s="7">
        <v>21766</v>
      </c>
      <c r="C1408" s="8">
        <f>DATE(2012,12,31)-1309</f>
        <v>39965</v>
      </c>
      <c r="D1408" s="8" t="str">
        <f t="shared" si="29"/>
        <v>2009-06 (июнь 2009)</v>
      </c>
      <c r="E1408" s="9" t="s">
        <v>30</v>
      </c>
      <c r="F1408" s="7">
        <v>32</v>
      </c>
      <c r="G1408" s="7">
        <v>535.24</v>
      </c>
      <c r="H1408" s="7">
        <v>0.01</v>
      </c>
      <c r="I1408" s="9" t="s">
        <v>22</v>
      </c>
      <c r="J1408" s="10">
        <v>216.43</v>
      </c>
      <c r="K1408" s="11">
        <v>15.68</v>
      </c>
      <c r="L1408" s="11">
        <v>3.73</v>
      </c>
      <c r="M1408" s="9" t="s">
        <v>1008</v>
      </c>
      <c r="N1408" s="6" t="s">
        <v>974</v>
      </c>
      <c r="O1408" s="6" t="s">
        <v>512</v>
      </c>
      <c r="P1408" s="9" t="s">
        <v>33</v>
      </c>
      <c r="Q1408" s="9" t="s">
        <v>49</v>
      </c>
      <c r="R1408" s="9" t="s">
        <v>50</v>
      </c>
      <c r="S1408" s="7" t="s">
        <v>1044</v>
      </c>
      <c r="T1408" s="9" t="s">
        <v>52</v>
      </c>
      <c r="U1408" s="7">
        <v>0.46</v>
      </c>
      <c r="V1408" s="12">
        <f>C1408+2</f>
        <v>39967</v>
      </c>
      <c r="W1408">
        <f>IF(D1408=' Pivot Tables'!$A$4,1,0)</f>
        <v>0</v>
      </c>
      <c r="X1408">
        <f>IF(AND(LEFT(D1408,4)+1=LEFT(' Pivot Tables'!$A$4,4)+0,RIGHT(LEFT(D1408,7),2)=RIGHT(LEFT(' Pivot Tables'!$A$4,7),2)),1,0)</f>
        <v>0</v>
      </c>
      <c r="Y1408" s="6">
        <f>1/COUNTIF(Таблица1[Order ID],Таблица1[[#This Row],[Order ID]])</f>
        <v>0.5</v>
      </c>
      <c r="Z1408" s="9">
        <f>1/COUNTIFS(Таблица1[Customer Name],Таблица1[[#This Row],[Customer Name]],Таблица1[Order-Year-Month],Таблица1[[#This Row],[Order-Year-Month]])</f>
        <v>0.5</v>
      </c>
    </row>
    <row r="1409" spans="1:26" x14ac:dyDescent="0.2">
      <c r="A1409" s="6">
        <v>3074</v>
      </c>
      <c r="B1409" s="7">
        <v>22053</v>
      </c>
      <c r="C1409" s="8">
        <f>DATE(2012,12,31)-863</f>
        <v>40411</v>
      </c>
      <c r="D1409" s="8" t="str">
        <f t="shared" si="29"/>
        <v>2010-08 (август 2010)</v>
      </c>
      <c r="E1409" s="9" t="s">
        <v>78</v>
      </c>
      <c r="F1409" s="7">
        <v>32</v>
      </c>
      <c r="G1409" s="7">
        <v>563.08000000000004</v>
      </c>
      <c r="H1409" s="7">
        <v>0.1</v>
      </c>
      <c r="I1409" s="9" t="s">
        <v>22</v>
      </c>
      <c r="J1409" s="10">
        <v>112.965</v>
      </c>
      <c r="K1409" s="11">
        <v>18.989999999999998</v>
      </c>
      <c r="L1409" s="11">
        <v>5.23</v>
      </c>
      <c r="M1409" s="9" t="s">
        <v>1010</v>
      </c>
      <c r="N1409" s="6" t="s">
        <v>974</v>
      </c>
      <c r="O1409" s="6" t="s">
        <v>512</v>
      </c>
      <c r="P1409" s="9" t="s">
        <v>41</v>
      </c>
      <c r="Q1409" s="9" t="s">
        <v>26</v>
      </c>
      <c r="R1409" s="9" t="s">
        <v>37</v>
      </c>
      <c r="S1409" s="7" t="s">
        <v>353</v>
      </c>
      <c r="T1409" s="9" t="s">
        <v>39</v>
      </c>
      <c r="U1409" s="7">
        <v>0.37</v>
      </c>
      <c r="V1409" s="12">
        <f>C1409+2</f>
        <v>40413</v>
      </c>
      <c r="W1409">
        <f>IF(D1409=' Pivot Tables'!$A$4,1,0)</f>
        <v>0</v>
      </c>
      <c r="X1409">
        <f>IF(AND(LEFT(D1409,4)+1=LEFT(' Pivot Tables'!$A$4,4)+0,RIGHT(LEFT(D1409,7),2)=RIGHT(LEFT(' Pivot Tables'!$A$4,7),2)),1,0)</f>
        <v>0</v>
      </c>
      <c r="Y1409" s="6">
        <f>1/COUNTIF(Таблица1[Order ID],Таблица1[[#This Row],[Order ID]])</f>
        <v>1</v>
      </c>
      <c r="Z1409" s="9">
        <f>1/COUNTIFS(Таблица1[Customer Name],Таблица1[[#This Row],[Customer Name]],Таблица1[Order-Year-Month],Таблица1[[#This Row],[Order-Year-Month]])</f>
        <v>0.5</v>
      </c>
    </row>
    <row r="1410" spans="1:26" x14ac:dyDescent="0.2">
      <c r="A1410" s="6">
        <v>3111</v>
      </c>
      <c r="B1410" s="7">
        <v>22368</v>
      </c>
      <c r="C1410" s="8">
        <f>DATE(2012,12,31)-1046</f>
        <v>40228</v>
      </c>
      <c r="D1410" s="8" t="str">
        <f t="shared" si="29"/>
        <v>2010-02 (февраль 2010)</v>
      </c>
      <c r="E1410" s="9" t="s">
        <v>63</v>
      </c>
      <c r="F1410" s="7">
        <v>5</v>
      </c>
      <c r="G1410" s="7">
        <v>192.12</v>
      </c>
      <c r="H1410" s="7">
        <v>0.04</v>
      </c>
      <c r="I1410" s="9" t="s">
        <v>22</v>
      </c>
      <c r="J1410" s="10">
        <v>-74.849999999999994</v>
      </c>
      <c r="K1410" s="11">
        <v>39.24</v>
      </c>
      <c r="L1410" s="11">
        <v>1.99</v>
      </c>
      <c r="M1410" s="9" t="s">
        <v>998</v>
      </c>
      <c r="N1410" s="6" t="s">
        <v>974</v>
      </c>
      <c r="O1410" s="6" t="s">
        <v>512</v>
      </c>
      <c r="P1410" s="9" t="s">
        <v>33</v>
      </c>
      <c r="Q1410" s="9" t="s">
        <v>42</v>
      </c>
      <c r="R1410" s="9" t="s">
        <v>70</v>
      </c>
      <c r="S1410" s="7" t="s">
        <v>276</v>
      </c>
      <c r="T1410" s="9" t="s">
        <v>52</v>
      </c>
      <c r="U1410" s="7">
        <v>0.51</v>
      </c>
      <c r="V1410" s="12">
        <f>C1410+1</f>
        <v>40229</v>
      </c>
      <c r="W1410">
        <f>IF(D1410=' Pivot Tables'!$A$4,1,0)</f>
        <v>0</v>
      </c>
      <c r="X1410">
        <f>IF(AND(LEFT(D1410,4)+1=LEFT(' Pivot Tables'!$A$4,4)+0,RIGHT(LEFT(D1410,7),2)=RIGHT(LEFT(' Pivot Tables'!$A$4,7),2)),1,0)</f>
        <v>0</v>
      </c>
      <c r="Y1410" s="6">
        <f>1/COUNTIF(Таблица1[Order ID],Таблица1[[#This Row],[Order ID]])</f>
        <v>0.33333333333333331</v>
      </c>
      <c r="Z1410" s="9">
        <f>1/COUNTIFS(Таблица1[Customer Name],Таблица1[[#This Row],[Customer Name]],Таблица1[Order-Year-Month],Таблица1[[#This Row],[Order-Year-Month]])</f>
        <v>0.33333333333333331</v>
      </c>
    </row>
    <row r="1411" spans="1:26" x14ac:dyDescent="0.2">
      <c r="A1411" s="6">
        <v>3112</v>
      </c>
      <c r="B1411" s="7">
        <v>22368</v>
      </c>
      <c r="C1411" s="8">
        <f>DATE(2012,12,31)-1046</f>
        <v>40228</v>
      </c>
      <c r="D1411" s="8" t="str">
        <f t="shared" ref="D1411:D1474" si="30">TEXT(C1411,"гггг-ММ (ММММ гггг)")</f>
        <v>2010-02 (февраль 2010)</v>
      </c>
      <c r="E1411" s="9" t="s">
        <v>63</v>
      </c>
      <c r="F1411" s="7">
        <v>33</v>
      </c>
      <c r="G1411" s="7">
        <v>3917.61</v>
      </c>
      <c r="H1411" s="7">
        <v>0.08</v>
      </c>
      <c r="I1411" s="9" t="s">
        <v>31</v>
      </c>
      <c r="J1411" s="10">
        <v>40.76</v>
      </c>
      <c r="K1411" s="11">
        <v>119.99</v>
      </c>
      <c r="L1411" s="11">
        <v>56.14</v>
      </c>
      <c r="M1411" s="9" t="s">
        <v>998</v>
      </c>
      <c r="N1411" s="6" t="s">
        <v>974</v>
      </c>
      <c r="O1411" s="6" t="s">
        <v>512</v>
      </c>
      <c r="P1411" s="9" t="s">
        <v>33</v>
      </c>
      <c r="Q1411" s="9" t="s">
        <v>42</v>
      </c>
      <c r="R1411" s="9" t="s">
        <v>210</v>
      </c>
      <c r="S1411" s="7" t="s">
        <v>950</v>
      </c>
      <c r="T1411" s="9" t="s">
        <v>82</v>
      </c>
      <c r="U1411" s="7">
        <v>0.39</v>
      </c>
      <c r="V1411" s="12">
        <f>C1411+2</f>
        <v>40230</v>
      </c>
      <c r="W1411">
        <f>IF(D1411=' Pivot Tables'!$A$4,1,0)</f>
        <v>0</v>
      </c>
      <c r="X1411">
        <f>IF(AND(LEFT(D1411,4)+1=LEFT(' Pivot Tables'!$A$4,4)+0,RIGHT(LEFT(D1411,7),2)=RIGHT(LEFT(' Pivot Tables'!$A$4,7),2)),1,0)</f>
        <v>0</v>
      </c>
      <c r="Y1411" s="6">
        <f>1/COUNTIF(Таблица1[Order ID],Таблица1[[#This Row],[Order ID]])</f>
        <v>0.33333333333333331</v>
      </c>
      <c r="Z1411" s="9">
        <f>1/COUNTIFS(Таблица1[Customer Name],Таблица1[[#This Row],[Customer Name]],Таблица1[Order-Year-Month],Таблица1[[#This Row],[Order-Year-Month]])</f>
        <v>0.33333333333333331</v>
      </c>
    </row>
    <row r="1412" spans="1:26" x14ac:dyDescent="0.2">
      <c r="A1412" s="6">
        <v>3113</v>
      </c>
      <c r="B1412" s="7">
        <v>22368</v>
      </c>
      <c r="C1412" s="8">
        <f>DATE(2012,12,31)-1046</f>
        <v>40228</v>
      </c>
      <c r="D1412" s="8" t="str">
        <f t="shared" si="30"/>
        <v>2010-02 (февраль 2010)</v>
      </c>
      <c r="E1412" s="9" t="s">
        <v>63</v>
      </c>
      <c r="F1412" s="7">
        <v>34</v>
      </c>
      <c r="G1412" s="7">
        <v>2788.04</v>
      </c>
      <c r="H1412" s="7">
        <v>0.01</v>
      </c>
      <c r="I1412" s="9" t="s">
        <v>22</v>
      </c>
      <c r="J1412" s="10">
        <v>-849.18</v>
      </c>
      <c r="K1412" s="11">
        <v>80.98</v>
      </c>
      <c r="L1412" s="11">
        <v>35</v>
      </c>
      <c r="M1412" s="9" t="s">
        <v>998</v>
      </c>
      <c r="N1412" s="6" t="s">
        <v>974</v>
      </c>
      <c r="O1412" s="6" t="s">
        <v>512</v>
      </c>
      <c r="P1412" s="9" t="s">
        <v>33</v>
      </c>
      <c r="Q1412" s="9" t="s">
        <v>26</v>
      </c>
      <c r="R1412" s="9" t="s">
        <v>27</v>
      </c>
      <c r="S1412" s="7" t="s">
        <v>1045</v>
      </c>
      <c r="T1412" s="9" t="s">
        <v>29</v>
      </c>
      <c r="U1412" s="7">
        <v>0.83</v>
      </c>
      <c r="V1412" s="12">
        <f>C1412+1</f>
        <v>40229</v>
      </c>
      <c r="W1412">
        <f>IF(D1412=' Pivot Tables'!$A$4,1,0)</f>
        <v>0</v>
      </c>
      <c r="X1412">
        <f>IF(AND(LEFT(D1412,4)+1=LEFT(' Pivot Tables'!$A$4,4)+0,RIGHT(LEFT(D1412,7),2)=RIGHT(LEFT(' Pivot Tables'!$A$4,7),2)),1,0)</f>
        <v>0</v>
      </c>
      <c r="Y1412" s="6">
        <f>1/COUNTIF(Таблица1[Order ID],Таблица1[[#This Row],[Order ID]])</f>
        <v>0.33333333333333331</v>
      </c>
      <c r="Z1412" s="9">
        <f>1/COUNTIFS(Таблица1[Customer Name],Таблица1[[#This Row],[Customer Name]],Таблица1[Order-Year-Month],Таблица1[[#This Row],[Order-Year-Month]])</f>
        <v>0.33333333333333331</v>
      </c>
    </row>
    <row r="1413" spans="1:26" x14ac:dyDescent="0.2">
      <c r="A1413" s="6">
        <v>3190</v>
      </c>
      <c r="B1413" s="7">
        <v>22885</v>
      </c>
      <c r="C1413" s="8">
        <f>DATE(2012,12,31)-1134</f>
        <v>40140</v>
      </c>
      <c r="D1413" s="8" t="str">
        <f t="shared" si="30"/>
        <v>2009-11 (ноябрь 2009)</v>
      </c>
      <c r="E1413" s="9" t="s">
        <v>63</v>
      </c>
      <c r="F1413" s="7">
        <v>4</v>
      </c>
      <c r="G1413" s="7">
        <v>56.47</v>
      </c>
      <c r="H1413" s="7">
        <v>0.05</v>
      </c>
      <c r="I1413" s="9" t="s">
        <v>22</v>
      </c>
      <c r="J1413" s="10">
        <v>-29.9</v>
      </c>
      <c r="K1413" s="11">
        <v>12.88</v>
      </c>
      <c r="L1413" s="11">
        <v>4.59</v>
      </c>
      <c r="M1413" s="9" t="s">
        <v>1046</v>
      </c>
      <c r="N1413" s="6" t="s">
        <v>974</v>
      </c>
      <c r="O1413" s="6" t="s">
        <v>512</v>
      </c>
      <c r="P1413" s="9" t="s">
        <v>60</v>
      </c>
      <c r="Q1413" s="9" t="s">
        <v>26</v>
      </c>
      <c r="R1413" s="9" t="s">
        <v>150</v>
      </c>
      <c r="S1413" s="7" t="s">
        <v>557</v>
      </c>
      <c r="T1413" s="9" t="s">
        <v>68</v>
      </c>
      <c r="U1413" s="7">
        <v>0.82</v>
      </c>
      <c r="V1413" s="12">
        <f>C1413+2</f>
        <v>40142</v>
      </c>
      <c r="W1413">
        <f>IF(D1413=' Pivot Tables'!$A$4,1,0)</f>
        <v>0</v>
      </c>
      <c r="X1413">
        <f>IF(AND(LEFT(D1413,4)+1=LEFT(' Pivot Tables'!$A$4,4)+0,RIGHT(LEFT(D1413,7),2)=RIGHT(LEFT(' Pivot Tables'!$A$4,7),2)),1,0)</f>
        <v>0</v>
      </c>
      <c r="Y1413" s="6">
        <f>1/COUNTIF(Таблица1[Order ID],Таблица1[[#This Row],[Order ID]])</f>
        <v>1</v>
      </c>
      <c r="Z1413" s="9">
        <f>1/COUNTIFS(Таблица1[Customer Name],Таблица1[[#This Row],[Customer Name]],Таблица1[Order-Year-Month],Таблица1[[#This Row],[Order-Year-Month]])</f>
        <v>1</v>
      </c>
    </row>
    <row r="1414" spans="1:26" x14ac:dyDescent="0.2">
      <c r="A1414" s="6">
        <v>3200</v>
      </c>
      <c r="B1414" s="7">
        <v>22947</v>
      </c>
      <c r="C1414" s="8">
        <f>DATE(2012,12,31)-1109</f>
        <v>40165</v>
      </c>
      <c r="D1414" s="8" t="str">
        <f t="shared" si="30"/>
        <v>2009-12 (декабрь 2009)</v>
      </c>
      <c r="E1414" s="9" t="s">
        <v>21</v>
      </c>
      <c r="F1414" s="7">
        <v>19</v>
      </c>
      <c r="G1414" s="7">
        <v>216.25</v>
      </c>
      <c r="H1414" s="7">
        <v>0.09</v>
      </c>
      <c r="I1414" s="9" t="s">
        <v>22</v>
      </c>
      <c r="J1414" s="10">
        <v>58.84</v>
      </c>
      <c r="K1414" s="11">
        <v>12.22</v>
      </c>
      <c r="L1414" s="11">
        <v>2.85</v>
      </c>
      <c r="M1414" s="9" t="s">
        <v>998</v>
      </c>
      <c r="N1414" s="6" t="s">
        <v>974</v>
      </c>
      <c r="O1414" s="6" t="s">
        <v>512</v>
      </c>
      <c r="P1414" s="9" t="s">
        <v>33</v>
      </c>
      <c r="Q1414" s="9" t="s">
        <v>49</v>
      </c>
      <c r="R1414" s="9" t="s">
        <v>50</v>
      </c>
      <c r="S1414" s="7" t="s">
        <v>245</v>
      </c>
      <c r="T1414" s="9" t="s">
        <v>52</v>
      </c>
      <c r="U1414" s="7">
        <v>0.55000000000000004</v>
      </c>
      <c r="V1414" s="12">
        <f>C1414+7</f>
        <v>40172</v>
      </c>
      <c r="W1414">
        <f>IF(D1414=' Pivot Tables'!$A$4,1,0)</f>
        <v>0</v>
      </c>
      <c r="X1414">
        <f>IF(AND(LEFT(D1414,4)+1=LEFT(' Pivot Tables'!$A$4,4)+0,RIGHT(LEFT(D1414,7),2)=RIGHT(LEFT(' Pivot Tables'!$A$4,7),2)),1,0)</f>
        <v>0</v>
      </c>
      <c r="Y1414" s="6">
        <f>1/COUNTIF(Таблица1[Order ID],Таблица1[[#This Row],[Order ID]])</f>
        <v>1</v>
      </c>
      <c r="Z1414" s="9">
        <f>1/COUNTIFS(Таблица1[Customer Name],Таблица1[[#This Row],[Customer Name]],Таблица1[Order-Year-Month],Таблица1[[#This Row],[Order-Year-Month]])</f>
        <v>1</v>
      </c>
    </row>
    <row r="1415" spans="1:26" x14ac:dyDescent="0.2">
      <c r="A1415" s="6">
        <v>3334</v>
      </c>
      <c r="B1415" s="7">
        <v>23844</v>
      </c>
      <c r="C1415" s="8">
        <f>DATE(2012,12,31)-1274</f>
        <v>40000</v>
      </c>
      <c r="D1415" s="8" t="str">
        <f t="shared" si="30"/>
        <v>2009-07 (июль 2009)</v>
      </c>
      <c r="E1415" s="9" t="s">
        <v>45</v>
      </c>
      <c r="F1415" s="7">
        <v>40</v>
      </c>
      <c r="G1415" s="7">
        <v>1861.36</v>
      </c>
      <c r="H1415" s="7">
        <v>0</v>
      </c>
      <c r="I1415" s="9" t="s">
        <v>22</v>
      </c>
      <c r="J1415" s="10">
        <v>627.85</v>
      </c>
      <c r="K1415" s="11">
        <v>42.98</v>
      </c>
      <c r="L1415" s="11">
        <v>4.62</v>
      </c>
      <c r="M1415" s="9" t="s">
        <v>1006</v>
      </c>
      <c r="N1415" s="6" t="s">
        <v>974</v>
      </c>
      <c r="O1415" s="6" t="s">
        <v>512</v>
      </c>
      <c r="P1415" s="9" t="s">
        <v>60</v>
      </c>
      <c r="Q1415" s="9" t="s">
        <v>26</v>
      </c>
      <c r="R1415" s="9" t="s">
        <v>34</v>
      </c>
      <c r="S1415" s="7" t="s">
        <v>852</v>
      </c>
      <c r="T1415" s="9" t="s">
        <v>39</v>
      </c>
      <c r="U1415" s="7">
        <v>0.56000000000000005</v>
      </c>
      <c r="V1415" s="12">
        <f>C1415+2</f>
        <v>40002</v>
      </c>
      <c r="W1415">
        <f>IF(D1415=' Pivot Tables'!$A$4,1,0)</f>
        <v>0</v>
      </c>
      <c r="X1415">
        <f>IF(AND(LEFT(D1415,4)+1=LEFT(' Pivot Tables'!$A$4,4)+0,RIGHT(LEFT(D1415,7),2)=RIGHT(LEFT(' Pivot Tables'!$A$4,7),2)),1,0)</f>
        <v>0</v>
      </c>
      <c r="Y1415" s="6">
        <f>1/COUNTIF(Таблица1[Order ID],Таблица1[[#This Row],[Order ID]])</f>
        <v>0.33333333333333331</v>
      </c>
      <c r="Z1415" s="9">
        <f>1/COUNTIFS(Таблица1[Customer Name],Таблица1[[#This Row],[Customer Name]],Таблица1[Order-Year-Month],Таблица1[[#This Row],[Order-Year-Month]])</f>
        <v>0.33333333333333331</v>
      </c>
    </row>
    <row r="1416" spans="1:26" x14ac:dyDescent="0.2">
      <c r="A1416" s="6">
        <v>3335</v>
      </c>
      <c r="B1416" s="7">
        <v>23844</v>
      </c>
      <c r="C1416" s="8">
        <f>DATE(2012,12,31)-1274</f>
        <v>40000</v>
      </c>
      <c r="D1416" s="8" t="str">
        <f t="shared" si="30"/>
        <v>2009-07 (июль 2009)</v>
      </c>
      <c r="E1416" s="9" t="s">
        <v>45</v>
      </c>
      <c r="F1416" s="7">
        <v>42</v>
      </c>
      <c r="G1416" s="7">
        <v>937.62</v>
      </c>
      <c r="H1416" s="7">
        <v>0.03</v>
      </c>
      <c r="I1416" s="9" t="s">
        <v>22</v>
      </c>
      <c r="J1416" s="10">
        <v>187.2</v>
      </c>
      <c r="K1416" s="11">
        <v>21.78</v>
      </c>
      <c r="L1416" s="11">
        <v>5.94</v>
      </c>
      <c r="M1416" s="9" t="s">
        <v>1006</v>
      </c>
      <c r="N1416" s="6" t="s">
        <v>974</v>
      </c>
      <c r="O1416" s="6" t="s">
        <v>512</v>
      </c>
      <c r="P1416" s="9" t="s">
        <v>60</v>
      </c>
      <c r="Q1416" s="9" t="s">
        <v>26</v>
      </c>
      <c r="R1416" s="9" t="s">
        <v>34</v>
      </c>
      <c r="S1416" s="7" t="s">
        <v>47</v>
      </c>
      <c r="T1416" s="9" t="s">
        <v>48</v>
      </c>
      <c r="U1416" s="7">
        <v>0.5</v>
      </c>
      <c r="V1416" s="12">
        <f>C1416+2</f>
        <v>40002</v>
      </c>
      <c r="W1416">
        <f>IF(D1416=' Pivot Tables'!$A$4,1,0)</f>
        <v>0</v>
      </c>
      <c r="X1416">
        <f>IF(AND(LEFT(D1416,4)+1=LEFT(' Pivot Tables'!$A$4,4)+0,RIGHT(LEFT(D1416,7),2)=RIGHT(LEFT(' Pivot Tables'!$A$4,7),2)),1,0)</f>
        <v>0</v>
      </c>
      <c r="Y1416" s="6">
        <f>1/COUNTIF(Таблица1[Order ID],Таблица1[[#This Row],[Order ID]])</f>
        <v>0.33333333333333331</v>
      </c>
      <c r="Z1416" s="9">
        <f>1/COUNTIFS(Таблица1[Customer Name],Таблица1[[#This Row],[Customer Name]],Таблица1[Order-Year-Month],Таблица1[[#This Row],[Order-Year-Month]])</f>
        <v>0.33333333333333331</v>
      </c>
    </row>
    <row r="1417" spans="1:26" x14ac:dyDescent="0.2">
      <c r="A1417" s="6">
        <v>3336</v>
      </c>
      <c r="B1417" s="7">
        <v>23844</v>
      </c>
      <c r="C1417" s="8">
        <f>DATE(2012,12,31)-1274</f>
        <v>40000</v>
      </c>
      <c r="D1417" s="8" t="str">
        <f t="shared" si="30"/>
        <v>2009-07 (июль 2009)</v>
      </c>
      <c r="E1417" s="9" t="s">
        <v>45</v>
      </c>
      <c r="F1417" s="7">
        <v>11</v>
      </c>
      <c r="G1417" s="7">
        <v>33.020000000000003</v>
      </c>
      <c r="H1417" s="7">
        <v>0.08</v>
      </c>
      <c r="I1417" s="9" t="s">
        <v>22</v>
      </c>
      <c r="J1417" s="10">
        <v>8.4</v>
      </c>
      <c r="K1417" s="11">
        <v>3.15</v>
      </c>
      <c r="L1417" s="11">
        <v>0.5</v>
      </c>
      <c r="M1417" s="9" t="s">
        <v>1006</v>
      </c>
      <c r="N1417" s="6" t="s">
        <v>974</v>
      </c>
      <c r="O1417" s="6" t="s">
        <v>512</v>
      </c>
      <c r="P1417" s="9" t="s">
        <v>60</v>
      </c>
      <c r="Q1417" s="9" t="s">
        <v>26</v>
      </c>
      <c r="R1417" s="9" t="s">
        <v>88</v>
      </c>
      <c r="S1417" s="7" t="s">
        <v>774</v>
      </c>
      <c r="T1417" s="9" t="s">
        <v>39</v>
      </c>
      <c r="U1417" s="7">
        <v>0.37</v>
      </c>
      <c r="V1417" s="12">
        <f>C1417+1</f>
        <v>40001</v>
      </c>
      <c r="W1417">
        <f>IF(D1417=' Pivot Tables'!$A$4,1,0)</f>
        <v>0</v>
      </c>
      <c r="X1417">
        <f>IF(AND(LEFT(D1417,4)+1=LEFT(' Pivot Tables'!$A$4,4)+0,RIGHT(LEFT(D1417,7),2)=RIGHT(LEFT(' Pivot Tables'!$A$4,7),2)),1,0)</f>
        <v>0</v>
      </c>
      <c r="Y1417" s="6">
        <f>1/COUNTIF(Таблица1[Order ID],Таблица1[[#This Row],[Order ID]])</f>
        <v>0.33333333333333331</v>
      </c>
      <c r="Z1417" s="9">
        <f>1/COUNTIFS(Таблица1[Customer Name],Таблица1[[#This Row],[Customer Name]],Таблица1[Order-Year-Month],Таблица1[[#This Row],[Order-Year-Month]])</f>
        <v>0.33333333333333331</v>
      </c>
    </row>
    <row r="1418" spans="1:26" x14ac:dyDescent="0.2">
      <c r="A1418" s="6">
        <v>3361</v>
      </c>
      <c r="B1418" s="7">
        <v>24039</v>
      </c>
      <c r="C1418" s="8">
        <f>DATE(2012,12,31)-167</f>
        <v>41107</v>
      </c>
      <c r="D1418" s="8" t="str">
        <f t="shared" si="30"/>
        <v>2012-07 (июль 2012)</v>
      </c>
      <c r="E1418" s="9" t="s">
        <v>45</v>
      </c>
      <c r="F1418" s="7">
        <v>5</v>
      </c>
      <c r="G1418" s="7">
        <v>199.16</v>
      </c>
      <c r="H1418" s="7">
        <v>0.1</v>
      </c>
      <c r="I1418" s="9" t="s">
        <v>22</v>
      </c>
      <c r="J1418" s="10">
        <v>-64.87</v>
      </c>
      <c r="K1418" s="11">
        <v>40.98</v>
      </c>
      <c r="L1418" s="11">
        <v>1.99</v>
      </c>
      <c r="M1418" s="9" t="s">
        <v>1010</v>
      </c>
      <c r="N1418" s="6" t="s">
        <v>974</v>
      </c>
      <c r="O1418" s="6" t="s">
        <v>512</v>
      </c>
      <c r="P1418" s="9" t="s">
        <v>41</v>
      </c>
      <c r="Q1418" s="9" t="s">
        <v>42</v>
      </c>
      <c r="R1418" s="9" t="s">
        <v>70</v>
      </c>
      <c r="S1418" s="7" t="s">
        <v>720</v>
      </c>
      <c r="T1418" s="9" t="s">
        <v>52</v>
      </c>
      <c r="U1418" s="7">
        <v>0.44</v>
      </c>
      <c r="V1418" s="12">
        <f>C1418+2</f>
        <v>41109</v>
      </c>
      <c r="W1418">
        <f>IF(D1418=' Pivot Tables'!$A$4,1,0)</f>
        <v>0</v>
      </c>
      <c r="X1418">
        <f>IF(AND(LEFT(D1418,4)+1=LEFT(' Pivot Tables'!$A$4,4)+0,RIGHT(LEFT(D1418,7),2)=RIGHT(LEFT(' Pivot Tables'!$A$4,7),2)),1,0)</f>
        <v>0</v>
      </c>
      <c r="Y1418" s="6">
        <f>1/COUNTIF(Таблица1[Order ID],Таблица1[[#This Row],[Order ID]])</f>
        <v>1</v>
      </c>
      <c r="Z1418" s="9">
        <f>1/COUNTIFS(Таблица1[Customer Name],Таблица1[[#This Row],[Customer Name]],Таблица1[Order-Year-Month],Таблица1[[#This Row],[Order-Year-Month]])</f>
        <v>1</v>
      </c>
    </row>
    <row r="1419" spans="1:26" x14ac:dyDescent="0.2">
      <c r="A1419" s="6">
        <v>3554</v>
      </c>
      <c r="B1419" s="7">
        <v>25347</v>
      </c>
      <c r="C1419" s="8">
        <f>DATE(2012,12,31)-1298</f>
        <v>39976</v>
      </c>
      <c r="D1419" s="8" t="str">
        <f t="shared" si="30"/>
        <v>2009-06 (июнь 2009)</v>
      </c>
      <c r="E1419" s="9" t="s">
        <v>21</v>
      </c>
      <c r="F1419" s="7">
        <v>28</v>
      </c>
      <c r="G1419" s="7">
        <v>967.27</v>
      </c>
      <c r="H1419" s="7">
        <v>7.0000000000000007E-2</v>
      </c>
      <c r="I1419" s="9" t="s">
        <v>22</v>
      </c>
      <c r="J1419" s="10">
        <v>309.31</v>
      </c>
      <c r="K1419" s="11">
        <v>35.44</v>
      </c>
      <c r="L1419" s="11">
        <v>7.5</v>
      </c>
      <c r="M1419" s="9" t="s">
        <v>1001</v>
      </c>
      <c r="N1419" s="6" t="s">
        <v>974</v>
      </c>
      <c r="O1419" s="6" t="s">
        <v>512</v>
      </c>
      <c r="P1419" s="9" t="s">
        <v>41</v>
      </c>
      <c r="Q1419" s="9" t="s">
        <v>26</v>
      </c>
      <c r="R1419" s="9" t="s">
        <v>61</v>
      </c>
      <c r="S1419" s="7" t="s">
        <v>225</v>
      </c>
      <c r="T1419" s="9" t="s">
        <v>39</v>
      </c>
      <c r="U1419" s="7">
        <v>0.38</v>
      </c>
      <c r="V1419" s="12">
        <f>C1419+7</f>
        <v>39983</v>
      </c>
      <c r="W1419">
        <f>IF(D1419=' Pivot Tables'!$A$4,1,0)</f>
        <v>0</v>
      </c>
      <c r="X1419">
        <f>IF(AND(LEFT(D1419,4)+1=LEFT(' Pivot Tables'!$A$4,4)+0,RIGHT(LEFT(D1419,7),2)=RIGHT(LEFT(' Pivot Tables'!$A$4,7),2)),1,0)</f>
        <v>0</v>
      </c>
      <c r="Y1419" s="6">
        <f>1/COUNTIF(Таблица1[Order ID],Таблица1[[#This Row],[Order ID]])</f>
        <v>1</v>
      </c>
      <c r="Z1419" s="9">
        <f>1/COUNTIFS(Таблица1[Customer Name],Таблица1[[#This Row],[Customer Name]],Таблица1[Order-Year-Month],Таблица1[[#This Row],[Order-Year-Month]])</f>
        <v>1</v>
      </c>
    </row>
    <row r="1420" spans="1:26" x14ac:dyDescent="0.2">
      <c r="A1420" s="6">
        <v>3613</v>
      </c>
      <c r="B1420" s="7">
        <v>25825</v>
      </c>
      <c r="C1420" s="8">
        <f>DATE(2012,12,31)-165</f>
        <v>41109</v>
      </c>
      <c r="D1420" s="8" t="str">
        <f t="shared" si="30"/>
        <v>2012-07 (июль 2012)</v>
      </c>
      <c r="E1420" s="9" t="s">
        <v>45</v>
      </c>
      <c r="F1420" s="7">
        <v>45</v>
      </c>
      <c r="G1420" s="7">
        <v>483.74</v>
      </c>
      <c r="H1420" s="7">
        <v>0.02</v>
      </c>
      <c r="I1420" s="9" t="s">
        <v>22</v>
      </c>
      <c r="J1420" s="10">
        <v>206.27</v>
      </c>
      <c r="K1420" s="11">
        <v>10.31</v>
      </c>
      <c r="L1420" s="11">
        <v>1.79</v>
      </c>
      <c r="M1420" s="9" t="s">
        <v>1006</v>
      </c>
      <c r="N1420" s="6" t="s">
        <v>974</v>
      </c>
      <c r="O1420" s="6" t="s">
        <v>512</v>
      </c>
      <c r="P1420" s="9" t="s">
        <v>41</v>
      </c>
      <c r="Q1420" s="9" t="s">
        <v>26</v>
      </c>
      <c r="R1420" s="9" t="s">
        <v>61</v>
      </c>
      <c r="S1420" s="7" t="s">
        <v>282</v>
      </c>
      <c r="T1420" s="9" t="s">
        <v>68</v>
      </c>
      <c r="U1420" s="7">
        <v>0.38</v>
      </c>
      <c r="V1420" s="12">
        <f>C1420+3</f>
        <v>41112</v>
      </c>
      <c r="W1420">
        <f>IF(D1420=' Pivot Tables'!$A$4,1,0)</f>
        <v>0</v>
      </c>
      <c r="X1420">
        <f>IF(AND(LEFT(D1420,4)+1=LEFT(' Pivot Tables'!$A$4,4)+0,RIGHT(LEFT(D1420,7),2)=RIGHT(LEFT(' Pivot Tables'!$A$4,7),2)),1,0)</f>
        <v>0</v>
      </c>
      <c r="Y1420" s="6">
        <f>1/COUNTIF(Таблица1[Order ID],Таблица1[[#This Row],[Order ID]])</f>
        <v>0.5</v>
      </c>
      <c r="Z1420" s="9">
        <f>1/COUNTIFS(Таблица1[Customer Name],Таблица1[[#This Row],[Customer Name]],Таблица1[Order-Year-Month],Таблица1[[#This Row],[Order-Year-Month]])</f>
        <v>0.5</v>
      </c>
    </row>
    <row r="1421" spans="1:26" x14ac:dyDescent="0.2">
      <c r="A1421" s="6">
        <v>3614</v>
      </c>
      <c r="B1421" s="7">
        <v>25825</v>
      </c>
      <c r="C1421" s="8">
        <f>DATE(2012,12,31)-165</f>
        <v>41109</v>
      </c>
      <c r="D1421" s="8" t="str">
        <f t="shared" si="30"/>
        <v>2012-07 (июль 2012)</v>
      </c>
      <c r="E1421" s="9" t="s">
        <v>45</v>
      </c>
      <c r="F1421" s="7">
        <v>27</v>
      </c>
      <c r="G1421" s="7">
        <v>159.65</v>
      </c>
      <c r="H1421" s="7">
        <v>0.06</v>
      </c>
      <c r="I1421" s="9" t="s">
        <v>22</v>
      </c>
      <c r="J1421" s="10">
        <v>-1.79</v>
      </c>
      <c r="K1421" s="11">
        <v>5.85</v>
      </c>
      <c r="L1421" s="11">
        <v>2.27</v>
      </c>
      <c r="M1421" s="9" t="s">
        <v>1006</v>
      </c>
      <c r="N1421" s="6" t="s">
        <v>974</v>
      </c>
      <c r="O1421" s="6" t="s">
        <v>512</v>
      </c>
      <c r="P1421" s="9" t="s">
        <v>41</v>
      </c>
      <c r="Q1421" s="9" t="s">
        <v>26</v>
      </c>
      <c r="R1421" s="9" t="s">
        <v>95</v>
      </c>
      <c r="S1421" s="7" t="s">
        <v>463</v>
      </c>
      <c r="T1421" s="9" t="s">
        <v>68</v>
      </c>
      <c r="U1421" s="7">
        <v>0.56000000000000005</v>
      </c>
      <c r="V1421" s="12">
        <f>C1421+0</f>
        <v>41109</v>
      </c>
      <c r="W1421">
        <f>IF(D1421=' Pivot Tables'!$A$4,1,0)</f>
        <v>0</v>
      </c>
      <c r="X1421">
        <f>IF(AND(LEFT(D1421,4)+1=LEFT(' Pivot Tables'!$A$4,4)+0,RIGHT(LEFT(D1421,7),2)=RIGHT(LEFT(' Pivot Tables'!$A$4,7),2)),1,0)</f>
        <v>0</v>
      </c>
      <c r="Y1421" s="6">
        <f>1/COUNTIF(Таблица1[Order ID],Таблица1[[#This Row],[Order ID]])</f>
        <v>0.5</v>
      </c>
      <c r="Z1421" s="9">
        <f>1/COUNTIFS(Таблица1[Customer Name],Таблица1[[#This Row],[Customer Name]],Таблица1[Order-Year-Month],Таблица1[[#This Row],[Order-Year-Month]])</f>
        <v>0.5</v>
      </c>
    </row>
    <row r="1422" spans="1:26" x14ac:dyDescent="0.2">
      <c r="A1422" s="6">
        <v>3672</v>
      </c>
      <c r="B1422" s="7">
        <v>26304</v>
      </c>
      <c r="C1422" s="8">
        <f>DATE(2012,12,31)-653</f>
        <v>40621</v>
      </c>
      <c r="D1422" s="8" t="str">
        <f t="shared" si="30"/>
        <v>2011-03 (март 2011)</v>
      </c>
      <c r="E1422" s="9" t="s">
        <v>63</v>
      </c>
      <c r="F1422" s="7">
        <v>43</v>
      </c>
      <c r="G1422" s="7">
        <v>7452.1369999999988</v>
      </c>
      <c r="H1422" s="7">
        <v>0.02</v>
      </c>
      <c r="I1422" s="9" t="s">
        <v>22</v>
      </c>
      <c r="J1422" s="10">
        <v>2028.357</v>
      </c>
      <c r="K1422" s="11">
        <v>205.99</v>
      </c>
      <c r="L1422" s="11">
        <v>5.99</v>
      </c>
      <c r="M1422" s="9" t="s">
        <v>1002</v>
      </c>
      <c r="N1422" s="6" t="s">
        <v>974</v>
      </c>
      <c r="O1422" s="6" t="s">
        <v>512</v>
      </c>
      <c r="P1422" s="9" t="s">
        <v>41</v>
      </c>
      <c r="Q1422" s="9" t="s">
        <v>42</v>
      </c>
      <c r="R1422" s="9" t="s">
        <v>43</v>
      </c>
      <c r="S1422" s="7" t="s">
        <v>714</v>
      </c>
      <c r="T1422" s="9" t="s">
        <v>39</v>
      </c>
      <c r="U1422" s="7">
        <v>0.59</v>
      </c>
      <c r="V1422" s="12">
        <f>C1422+1</f>
        <v>40622</v>
      </c>
      <c r="W1422">
        <f>IF(D1422=' Pivot Tables'!$A$4,1,0)</f>
        <v>0</v>
      </c>
      <c r="X1422">
        <f>IF(AND(LEFT(D1422,4)+1=LEFT(' Pivot Tables'!$A$4,4)+0,RIGHT(LEFT(D1422,7),2)=RIGHT(LEFT(' Pivot Tables'!$A$4,7),2)),1,0)</f>
        <v>0</v>
      </c>
      <c r="Y1422" s="6">
        <f>1/COUNTIF(Таблица1[Order ID],Таблица1[[#This Row],[Order ID]])</f>
        <v>1</v>
      </c>
      <c r="Z1422" s="9">
        <f>1/COUNTIFS(Таблица1[Customer Name],Таблица1[[#This Row],[Customer Name]],Таблица1[Order-Year-Month],Таблица1[[#This Row],[Order-Year-Month]])</f>
        <v>0.2</v>
      </c>
    </row>
    <row r="1423" spans="1:26" x14ac:dyDescent="0.2">
      <c r="A1423" s="6">
        <v>3740</v>
      </c>
      <c r="B1423" s="7">
        <v>26726</v>
      </c>
      <c r="C1423" s="8">
        <f>DATE(2012,12,31)-4</f>
        <v>41270</v>
      </c>
      <c r="D1423" s="8" t="str">
        <f t="shared" si="30"/>
        <v>2012-12 (декабрь 2012)</v>
      </c>
      <c r="E1423" s="9" t="s">
        <v>30</v>
      </c>
      <c r="F1423" s="7">
        <v>37</v>
      </c>
      <c r="G1423" s="7">
        <v>173.11</v>
      </c>
      <c r="H1423" s="7">
        <v>0.02</v>
      </c>
      <c r="I1423" s="9" t="s">
        <v>22</v>
      </c>
      <c r="J1423" s="10">
        <v>-121.58</v>
      </c>
      <c r="K1423" s="11">
        <v>4.37</v>
      </c>
      <c r="L1423" s="11">
        <v>5.15</v>
      </c>
      <c r="M1423" s="9" t="s">
        <v>1040</v>
      </c>
      <c r="N1423" s="6" t="s">
        <v>974</v>
      </c>
      <c r="O1423" s="6" t="s">
        <v>512</v>
      </c>
      <c r="P1423" s="9" t="s">
        <v>25</v>
      </c>
      <c r="Q1423" s="9" t="s">
        <v>26</v>
      </c>
      <c r="R1423" s="9" t="s">
        <v>34</v>
      </c>
      <c r="S1423" s="7" t="s">
        <v>690</v>
      </c>
      <c r="T1423" s="9" t="s">
        <v>39</v>
      </c>
      <c r="U1423" s="7">
        <v>0.59</v>
      </c>
      <c r="V1423" s="12">
        <f>C1423+0</f>
        <v>41270</v>
      </c>
      <c r="W1423">
        <f>IF(D1423=' Pivot Tables'!$A$4,1,0)</f>
        <v>0</v>
      </c>
      <c r="X1423">
        <f>IF(AND(LEFT(D1423,4)+1=LEFT(' Pivot Tables'!$A$4,4)+0,RIGHT(LEFT(D1423,7),2)=RIGHT(LEFT(' Pivot Tables'!$A$4,7),2)),1,0)</f>
        <v>0</v>
      </c>
      <c r="Y1423" s="6">
        <f>1/COUNTIF(Таблица1[Order ID],Таблица1[[#This Row],[Order ID]])</f>
        <v>0.33333333333333331</v>
      </c>
      <c r="Z1423" s="9">
        <f>1/COUNTIFS(Таблица1[Customer Name],Таблица1[[#This Row],[Customer Name]],Таблица1[Order-Year-Month],Таблица1[[#This Row],[Order-Year-Month]])</f>
        <v>0.33333333333333331</v>
      </c>
    </row>
    <row r="1424" spans="1:26" x14ac:dyDescent="0.2">
      <c r="A1424" s="6">
        <v>3741</v>
      </c>
      <c r="B1424" s="7">
        <v>26726</v>
      </c>
      <c r="C1424" s="8">
        <f>DATE(2012,12,31)-4</f>
        <v>41270</v>
      </c>
      <c r="D1424" s="8" t="str">
        <f t="shared" si="30"/>
        <v>2012-12 (декабрь 2012)</v>
      </c>
      <c r="E1424" s="9" t="s">
        <v>30</v>
      </c>
      <c r="F1424" s="7">
        <v>11</v>
      </c>
      <c r="G1424" s="7">
        <v>86.68</v>
      </c>
      <c r="H1424" s="7">
        <v>0.08</v>
      </c>
      <c r="I1424" s="9" t="s">
        <v>22</v>
      </c>
      <c r="J1424" s="10">
        <v>-474.91</v>
      </c>
      <c r="K1424" s="11">
        <v>3.48</v>
      </c>
      <c r="L1424" s="11">
        <v>49</v>
      </c>
      <c r="M1424" s="9" t="s">
        <v>1040</v>
      </c>
      <c r="N1424" s="6" t="s">
        <v>974</v>
      </c>
      <c r="O1424" s="6" t="s">
        <v>512</v>
      </c>
      <c r="P1424" s="9" t="s">
        <v>25</v>
      </c>
      <c r="Q1424" s="9" t="s">
        <v>26</v>
      </c>
      <c r="R1424" s="9" t="s">
        <v>34</v>
      </c>
      <c r="S1424" s="7" t="s">
        <v>646</v>
      </c>
      <c r="T1424" s="9" t="s">
        <v>29</v>
      </c>
      <c r="U1424" s="7">
        <v>0.59</v>
      </c>
      <c r="V1424" s="12">
        <f>C1424+2</f>
        <v>41272</v>
      </c>
      <c r="W1424">
        <f>IF(D1424=' Pivot Tables'!$A$4,1,0)</f>
        <v>0</v>
      </c>
      <c r="X1424">
        <f>IF(AND(LEFT(D1424,4)+1=LEFT(' Pivot Tables'!$A$4,4)+0,RIGHT(LEFT(D1424,7),2)=RIGHT(LEFT(' Pivot Tables'!$A$4,7),2)),1,0)</f>
        <v>0</v>
      </c>
      <c r="Y1424" s="6">
        <f>1/COUNTIF(Таблица1[Order ID],Таблица1[[#This Row],[Order ID]])</f>
        <v>0.33333333333333331</v>
      </c>
      <c r="Z1424" s="9">
        <f>1/COUNTIFS(Таблица1[Customer Name],Таблица1[[#This Row],[Customer Name]],Таблица1[Order-Year-Month],Таблица1[[#This Row],[Order-Year-Month]])</f>
        <v>0.33333333333333331</v>
      </c>
    </row>
    <row r="1425" spans="1:26" x14ac:dyDescent="0.2">
      <c r="A1425" s="6">
        <v>3742</v>
      </c>
      <c r="B1425" s="7">
        <v>26726</v>
      </c>
      <c r="C1425" s="8">
        <f>DATE(2012,12,31)-4</f>
        <v>41270</v>
      </c>
      <c r="D1425" s="8" t="str">
        <f t="shared" si="30"/>
        <v>2012-12 (декабрь 2012)</v>
      </c>
      <c r="E1425" s="9" t="s">
        <v>30</v>
      </c>
      <c r="F1425" s="7">
        <v>41</v>
      </c>
      <c r="G1425" s="7">
        <v>833.51</v>
      </c>
      <c r="H1425" s="7">
        <v>0.05</v>
      </c>
      <c r="I1425" s="9" t="s">
        <v>22</v>
      </c>
      <c r="J1425" s="10">
        <v>364.99</v>
      </c>
      <c r="K1425" s="11">
        <v>20.98</v>
      </c>
      <c r="L1425" s="11">
        <v>1.49</v>
      </c>
      <c r="M1425" s="9" t="s">
        <v>1040</v>
      </c>
      <c r="N1425" s="6" t="s">
        <v>974</v>
      </c>
      <c r="O1425" s="6" t="s">
        <v>512</v>
      </c>
      <c r="P1425" s="9" t="s">
        <v>25</v>
      </c>
      <c r="Q1425" s="9" t="s">
        <v>26</v>
      </c>
      <c r="R1425" s="9" t="s">
        <v>37</v>
      </c>
      <c r="S1425" s="7" t="s">
        <v>645</v>
      </c>
      <c r="T1425" s="9" t="s">
        <v>39</v>
      </c>
      <c r="U1425" s="7">
        <v>0.35</v>
      </c>
      <c r="V1425" s="12">
        <f>C1425+1</f>
        <v>41271</v>
      </c>
      <c r="W1425">
        <f>IF(D1425=' Pivot Tables'!$A$4,1,0)</f>
        <v>0</v>
      </c>
      <c r="X1425">
        <f>IF(AND(LEFT(D1425,4)+1=LEFT(' Pivot Tables'!$A$4,4)+0,RIGHT(LEFT(D1425,7),2)=RIGHT(LEFT(' Pivot Tables'!$A$4,7),2)),1,0)</f>
        <v>0</v>
      </c>
      <c r="Y1425" s="6">
        <f>1/COUNTIF(Таблица1[Order ID],Таблица1[[#This Row],[Order ID]])</f>
        <v>0.33333333333333331</v>
      </c>
      <c r="Z1425" s="9">
        <f>1/COUNTIFS(Таблица1[Customer Name],Таблица1[[#This Row],[Customer Name]],Таблица1[Order-Year-Month],Таблица1[[#This Row],[Order-Year-Month]])</f>
        <v>0.33333333333333331</v>
      </c>
    </row>
    <row r="1426" spans="1:26" x14ac:dyDescent="0.2">
      <c r="A1426" s="6">
        <v>3825</v>
      </c>
      <c r="B1426" s="7">
        <v>27266</v>
      </c>
      <c r="C1426" s="8">
        <f>DATE(2012,12,31)-480</f>
        <v>40794</v>
      </c>
      <c r="D1426" s="8" t="str">
        <f t="shared" si="30"/>
        <v>2011-09 (сентябрь 2011)</v>
      </c>
      <c r="E1426" s="9" t="s">
        <v>78</v>
      </c>
      <c r="F1426" s="7">
        <v>9</v>
      </c>
      <c r="G1426" s="7">
        <v>1031.06</v>
      </c>
      <c r="H1426" s="7">
        <v>0.03</v>
      </c>
      <c r="I1426" s="9" t="s">
        <v>22</v>
      </c>
      <c r="J1426" s="10">
        <v>39.359999999999914</v>
      </c>
      <c r="K1426" s="11">
        <v>115.79</v>
      </c>
      <c r="L1426" s="11">
        <v>1.99</v>
      </c>
      <c r="M1426" s="9" t="s">
        <v>1002</v>
      </c>
      <c r="N1426" s="6" t="s">
        <v>974</v>
      </c>
      <c r="O1426" s="6" t="s">
        <v>512</v>
      </c>
      <c r="P1426" s="9" t="s">
        <v>41</v>
      </c>
      <c r="Q1426" s="9" t="s">
        <v>42</v>
      </c>
      <c r="R1426" s="9" t="s">
        <v>70</v>
      </c>
      <c r="S1426" s="7" t="s">
        <v>1047</v>
      </c>
      <c r="T1426" s="9" t="s">
        <v>52</v>
      </c>
      <c r="U1426" s="7">
        <v>0.49</v>
      </c>
      <c r="V1426" s="12">
        <f>C1426+3</f>
        <v>40797</v>
      </c>
      <c r="W1426">
        <f>IF(D1426=' Pivot Tables'!$A$4,1,0)</f>
        <v>0</v>
      </c>
      <c r="X1426">
        <f>IF(AND(LEFT(D1426,4)+1=LEFT(' Pivot Tables'!$A$4,4)+0,RIGHT(LEFT(D1426,7),2)=RIGHT(LEFT(' Pivot Tables'!$A$4,7),2)),1,0)</f>
        <v>0</v>
      </c>
      <c r="Y1426" s="6">
        <f>1/COUNTIF(Таблица1[Order ID],Таблица1[[#This Row],[Order ID]])</f>
        <v>1</v>
      </c>
      <c r="Z1426" s="9">
        <f>1/COUNTIFS(Таблица1[Customer Name],Таблица1[[#This Row],[Customer Name]],Таблица1[Order-Year-Month],Таблица1[[#This Row],[Order-Year-Month]])</f>
        <v>1</v>
      </c>
    </row>
    <row r="1427" spans="1:26" x14ac:dyDescent="0.2">
      <c r="A1427" s="6">
        <v>3842</v>
      </c>
      <c r="B1427" s="7">
        <v>27396</v>
      </c>
      <c r="C1427" s="8">
        <f>DATE(2012,12,31)-754</f>
        <v>40520</v>
      </c>
      <c r="D1427" s="8" t="str">
        <f t="shared" si="30"/>
        <v>2010-12 (декабрь 2010)</v>
      </c>
      <c r="E1427" s="9" t="s">
        <v>78</v>
      </c>
      <c r="F1427" s="7">
        <v>14</v>
      </c>
      <c r="G1427" s="7">
        <v>138.31</v>
      </c>
      <c r="H1427" s="7">
        <v>7.0000000000000007E-2</v>
      </c>
      <c r="I1427" s="9" t="s">
        <v>22</v>
      </c>
      <c r="J1427" s="10">
        <v>-31.16</v>
      </c>
      <c r="K1427" s="11">
        <v>9.77</v>
      </c>
      <c r="L1427" s="11">
        <v>6.02</v>
      </c>
      <c r="M1427" s="9" t="s">
        <v>1010</v>
      </c>
      <c r="N1427" s="6" t="s">
        <v>703</v>
      </c>
      <c r="O1427" s="6" t="s">
        <v>704</v>
      </c>
      <c r="P1427" s="9" t="s">
        <v>41</v>
      </c>
      <c r="Q1427" s="9" t="s">
        <v>49</v>
      </c>
      <c r="R1427" s="9" t="s">
        <v>50</v>
      </c>
      <c r="S1427" s="7" t="s">
        <v>446</v>
      </c>
      <c r="T1427" s="9" t="s">
        <v>48</v>
      </c>
      <c r="U1427" s="7">
        <v>0.48</v>
      </c>
      <c r="V1427" s="12">
        <f>C1427+2</f>
        <v>40522</v>
      </c>
      <c r="W1427">
        <f>IF(D1427=' Pivot Tables'!$A$4,1,0)</f>
        <v>0</v>
      </c>
      <c r="X1427">
        <f>IF(AND(LEFT(D1427,4)+1=LEFT(' Pivot Tables'!$A$4,4)+0,RIGHT(LEFT(D1427,7),2)=RIGHT(LEFT(' Pivot Tables'!$A$4,7),2)),1,0)</f>
        <v>0</v>
      </c>
      <c r="Y1427" s="6">
        <f>1/COUNTIF(Таблица1[Order ID],Таблица1[[#This Row],[Order ID]])</f>
        <v>1</v>
      </c>
      <c r="Z1427" s="9">
        <f>1/COUNTIFS(Таблица1[Customer Name],Таблица1[[#This Row],[Customer Name]],Таблица1[Order-Year-Month],Таблица1[[#This Row],[Order-Year-Month]])</f>
        <v>1</v>
      </c>
    </row>
    <row r="1428" spans="1:26" x14ac:dyDescent="0.2">
      <c r="A1428" s="6">
        <v>3988</v>
      </c>
      <c r="B1428" s="7">
        <v>28480</v>
      </c>
      <c r="C1428" s="8">
        <f>DATE(2012,12,31)-1387</f>
        <v>39887</v>
      </c>
      <c r="D1428" s="8" t="str">
        <f t="shared" si="30"/>
        <v>2009-03 (март 2009)</v>
      </c>
      <c r="E1428" s="9" t="s">
        <v>63</v>
      </c>
      <c r="F1428" s="7">
        <v>17</v>
      </c>
      <c r="G1428" s="7">
        <v>30.62</v>
      </c>
      <c r="H1428" s="7">
        <v>0.01</v>
      </c>
      <c r="I1428" s="9" t="s">
        <v>22</v>
      </c>
      <c r="J1428" s="10">
        <v>-1.56</v>
      </c>
      <c r="K1428" s="11">
        <v>1.76</v>
      </c>
      <c r="L1428" s="11">
        <v>0.7</v>
      </c>
      <c r="M1428" s="9" t="s">
        <v>1032</v>
      </c>
      <c r="N1428" s="6" t="s">
        <v>703</v>
      </c>
      <c r="O1428" s="6" t="s">
        <v>704</v>
      </c>
      <c r="P1428" s="9" t="s">
        <v>41</v>
      </c>
      <c r="Q1428" s="9" t="s">
        <v>26</v>
      </c>
      <c r="R1428" s="9" t="s">
        <v>95</v>
      </c>
      <c r="S1428" s="7" t="s">
        <v>387</v>
      </c>
      <c r="T1428" s="9" t="s">
        <v>68</v>
      </c>
      <c r="U1428" s="7">
        <v>0.56000000000000005</v>
      </c>
      <c r="V1428" s="12">
        <f>C1428+1</f>
        <v>39888</v>
      </c>
      <c r="W1428">
        <f>IF(D1428=' Pivot Tables'!$A$4,1,0)</f>
        <v>0</v>
      </c>
      <c r="X1428">
        <f>IF(AND(LEFT(D1428,4)+1=LEFT(' Pivot Tables'!$A$4,4)+0,RIGHT(LEFT(D1428,7),2)=RIGHT(LEFT(' Pivot Tables'!$A$4,7),2)),1,0)</f>
        <v>0</v>
      </c>
      <c r="Y1428" s="6">
        <f>1/COUNTIF(Таблица1[Order ID],Таблица1[[#This Row],[Order ID]])</f>
        <v>1</v>
      </c>
      <c r="Z1428" s="9">
        <f>1/COUNTIFS(Таблица1[Customer Name],Таблица1[[#This Row],[Customer Name]],Таблица1[Order-Year-Month],Таблица1[[#This Row],[Order-Year-Month]])</f>
        <v>1</v>
      </c>
    </row>
    <row r="1429" spans="1:26" x14ac:dyDescent="0.2">
      <c r="A1429" s="6">
        <v>4090</v>
      </c>
      <c r="B1429" s="7">
        <v>29158</v>
      </c>
      <c r="C1429" s="8">
        <f>DATE(2012,12,31)-438</f>
        <v>40836</v>
      </c>
      <c r="D1429" s="8" t="str">
        <f t="shared" si="30"/>
        <v>2011-10 (октябрь 2011)</v>
      </c>
      <c r="E1429" s="9" t="s">
        <v>30</v>
      </c>
      <c r="F1429" s="7">
        <v>12</v>
      </c>
      <c r="G1429" s="7">
        <v>2266.6999999999998</v>
      </c>
      <c r="H1429" s="7">
        <v>7.0000000000000007E-2</v>
      </c>
      <c r="I1429" s="9" t="s">
        <v>31</v>
      </c>
      <c r="J1429" s="10">
        <v>180.8</v>
      </c>
      <c r="K1429" s="11">
        <v>200.98</v>
      </c>
      <c r="L1429" s="11">
        <v>23.76</v>
      </c>
      <c r="M1429" s="9" t="s">
        <v>996</v>
      </c>
      <c r="N1429" s="6" t="s">
        <v>703</v>
      </c>
      <c r="O1429" s="6" t="s">
        <v>704</v>
      </c>
      <c r="P1429" s="9" t="s">
        <v>60</v>
      </c>
      <c r="Q1429" s="9" t="s">
        <v>49</v>
      </c>
      <c r="R1429" s="9" t="s">
        <v>112</v>
      </c>
      <c r="S1429" s="7" t="s">
        <v>441</v>
      </c>
      <c r="T1429" s="9" t="s">
        <v>36</v>
      </c>
      <c r="U1429" s="7">
        <v>0.57999999999999996</v>
      </c>
      <c r="V1429" s="12">
        <f>C1429+1</f>
        <v>40837</v>
      </c>
      <c r="W1429">
        <f>IF(D1429=' Pivot Tables'!$A$4,1,0)</f>
        <v>0</v>
      </c>
      <c r="X1429">
        <f>IF(AND(LEFT(D1429,4)+1=LEFT(' Pivot Tables'!$A$4,4)+0,RIGHT(LEFT(D1429,7),2)=RIGHT(LEFT(' Pivot Tables'!$A$4,7),2)),1,0)</f>
        <v>0</v>
      </c>
      <c r="Y1429" s="6">
        <f>1/COUNTIF(Таблица1[Order ID],Таблица1[[#This Row],[Order ID]])</f>
        <v>1</v>
      </c>
      <c r="Z1429" s="9">
        <f>1/COUNTIFS(Таблица1[Customer Name],Таблица1[[#This Row],[Customer Name]],Таблица1[Order-Year-Month],Таблица1[[#This Row],[Order-Year-Month]])</f>
        <v>1</v>
      </c>
    </row>
    <row r="1430" spans="1:26" x14ac:dyDescent="0.2">
      <c r="A1430" s="6">
        <v>4144</v>
      </c>
      <c r="B1430" s="7">
        <v>29409</v>
      </c>
      <c r="C1430" s="8">
        <f>DATE(2012,12,31)-718</f>
        <v>40556</v>
      </c>
      <c r="D1430" s="8" t="str">
        <f t="shared" si="30"/>
        <v>2011-01 (январь 2011)</v>
      </c>
      <c r="E1430" s="9" t="s">
        <v>30</v>
      </c>
      <c r="F1430" s="7">
        <v>23</v>
      </c>
      <c r="G1430" s="7">
        <v>38.99</v>
      </c>
      <c r="H1430" s="7">
        <v>0.09</v>
      </c>
      <c r="I1430" s="9" t="s">
        <v>22</v>
      </c>
      <c r="J1430" s="10">
        <v>-33.520000000000003</v>
      </c>
      <c r="K1430" s="11">
        <v>1.7</v>
      </c>
      <c r="L1430" s="11">
        <v>1.99</v>
      </c>
      <c r="M1430" s="9" t="s">
        <v>999</v>
      </c>
      <c r="N1430" s="6" t="s">
        <v>703</v>
      </c>
      <c r="O1430" s="6" t="s">
        <v>704</v>
      </c>
      <c r="P1430" s="9" t="s">
        <v>60</v>
      </c>
      <c r="Q1430" s="9" t="s">
        <v>42</v>
      </c>
      <c r="R1430" s="9" t="s">
        <v>70</v>
      </c>
      <c r="S1430" s="7" t="s">
        <v>945</v>
      </c>
      <c r="T1430" s="9" t="s">
        <v>52</v>
      </c>
      <c r="U1430" s="7">
        <v>0.51</v>
      </c>
      <c r="V1430" s="12">
        <f>C1430+2</f>
        <v>40558</v>
      </c>
      <c r="W1430">
        <f>IF(D1430=' Pivot Tables'!$A$4,1,0)</f>
        <v>0</v>
      </c>
      <c r="X1430">
        <f>IF(AND(LEFT(D1430,4)+1=LEFT(' Pivot Tables'!$A$4,4)+0,RIGHT(LEFT(D1430,7),2)=RIGHT(LEFT(' Pivot Tables'!$A$4,7),2)),1,0)</f>
        <v>0</v>
      </c>
      <c r="Y1430" s="6">
        <f>1/COUNTIF(Таблица1[Order ID],Таблица1[[#This Row],[Order ID]])</f>
        <v>1</v>
      </c>
      <c r="Z1430" s="9">
        <f>1/COUNTIFS(Таблица1[Customer Name],Таблица1[[#This Row],[Customer Name]],Таблица1[Order-Year-Month],Таблица1[[#This Row],[Order-Year-Month]])</f>
        <v>1</v>
      </c>
    </row>
    <row r="1431" spans="1:26" x14ac:dyDescent="0.2">
      <c r="A1431" s="6">
        <v>4213</v>
      </c>
      <c r="B1431" s="7">
        <v>29956</v>
      </c>
      <c r="C1431" s="8">
        <f>DATE(2012,12,31)-1235</f>
        <v>40039</v>
      </c>
      <c r="D1431" s="8" t="str">
        <f t="shared" si="30"/>
        <v>2009-08 (август 2009)</v>
      </c>
      <c r="E1431" s="9" t="s">
        <v>78</v>
      </c>
      <c r="F1431" s="7">
        <v>48</v>
      </c>
      <c r="G1431" s="7">
        <v>80.33</v>
      </c>
      <c r="H1431" s="7">
        <v>0.09</v>
      </c>
      <c r="I1431" s="9" t="s">
        <v>22</v>
      </c>
      <c r="J1431" s="10">
        <v>-12.95</v>
      </c>
      <c r="K1431" s="11">
        <v>1.82</v>
      </c>
      <c r="L1431" s="11">
        <v>0.83</v>
      </c>
      <c r="M1431" s="9" t="s">
        <v>1008</v>
      </c>
      <c r="N1431" s="6" t="s">
        <v>703</v>
      </c>
      <c r="O1431" s="6" t="s">
        <v>704</v>
      </c>
      <c r="P1431" s="9" t="s">
        <v>33</v>
      </c>
      <c r="Q1431" s="9" t="s">
        <v>26</v>
      </c>
      <c r="R1431" s="9" t="s">
        <v>95</v>
      </c>
      <c r="S1431" s="7" t="s">
        <v>1031</v>
      </c>
      <c r="T1431" s="9" t="s">
        <v>68</v>
      </c>
      <c r="U1431" s="7">
        <v>0.56999999999999995</v>
      </c>
      <c r="V1431" s="12">
        <f>C1431+1</f>
        <v>40040</v>
      </c>
      <c r="W1431">
        <f>IF(D1431=' Pivot Tables'!$A$4,1,0)</f>
        <v>0</v>
      </c>
      <c r="X1431">
        <f>IF(AND(LEFT(D1431,4)+1=LEFT(' Pivot Tables'!$A$4,4)+0,RIGHT(LEFT(D1431,7),2)=RIGHT(LEFT(' Pivot Tables'!$A$4,7),2)),1,0)</f>
        <v>0</v>
      </c>
      <c r="Y1431" s="6">
        <f>1/COUNTIF(Таблица1[Order ID],Таблица1[[#This Row],[Order ID]])</f>
        <v>1</v>
      </c>
      <c r="Z1431" s="9">
        <f>1/COUNTIFS(Таблица1[Customer Name],Таблица1[[#This Row],[Customer Name]],Таблица1[Order-Year-Month],Таблица1[[#This Row],[Order-Year-Month]])</f>
        <v>1</v>
      </c>
    </row>
    <row r="1432" spans="1:26" x14ac:dyDescent="0.2">
      <c r="A1432" s="6">
        <v>4259</v>
      </c>
      <c r="B1432" s="7">
        <v>30341</v>
      </c>
      <c r="C1432" s="8">
        <f>DATE(2012,12,31)-1430</f>
        <v>39844</v>
      </c>
      <c r="D1432" s="8" t="str">
        <f t="shared" si="30"/>
        <v>2009-01 (январь 2009)</v>
      </c>
      <c r="E1432" s="9" t="s">
        <v>21</v>
      </c>
      <c r="F1432" s="7">
        <v>42</v>
      </c>
      <c r="G1432" s="7">
        <v>6244.18</v>
      </c>
      <c r="H1432" s="7">
        <v>0.09</v>
      </c>
      <c r="I1432" s="9" t="s">
        <v>31</v>
      </c>
      <c r="J1432" s="10">
        <v>470.3</v>
      </c>
      <c r="K1432" s="11">
        <v>160.97999999999999</v>
      </c>
      <c r="L1432" s="11">
        <v>30</v>
      </c>
      <c r="M1432" s="9" t="s">
        <v>996</v>
      </c>
      <c r="N1432" s="6" t="s">
        <v>703</v>
      </c>
      <c r="O1432" s="6" t="s">
        <v>704</v>
      </c>
      <c r="P1432" s="9" t="s">
        <v>60</v>
      </c>
      <c r="Q1432" s="9" t="s">
        <v>49</v>
      </c>
      <c r="R1432" s="9" t="s">
        <v>112</v>
      </c>
      <c r="S1432" s="7" t="s">
        <v>746</v>
      </c>
      <c r="T1432" s="9" t="s">
        <v>36</v>
      </c>
      <c r="U1432" s="7">
        <v>0.62</v>
      </c>
      <c r="V1432" s="12">
        <f>C1432+0</f>
        <v>39844</v>
      </c>
      <c r="W1432">
        <f>IF(D1432=' Pivot Tables'!$A$4,1,0)</f>
        <v>0</v>
      </c>
      <c r="X1432">
        <f>IF(AND(LEFT(D1432,4)+1=LEFT(' Pivot Tables'!$A$4,4)+0,RIGHT(LEFT(D1432,7),2)=RIGHT(LEFT(' Pivot Tables'!$A$4,7),2)),1,0)</f>
        <v>1</v>
      </c>
      <c r="Y1432" s="6">
        <f>1/COUNTIF(Таблица1[Order ID],Таблица1[[#This Row],[Order ID]])</f>
        <v>0.33333333333333331</v>
      </c>
      <c r="Z1432" s="9">
        <f>1/COUNTIFS(Таблица1[Customer Name],Таблица1[[#This Row],[Customer Name]],Таблица1[Order-Year-Month],Таблица1[[#This Row],[Order-Year-Month]])</f>
        <v>0.33333333333333331</v>
      </c>
    </row>
    <row r="1433" spans="1:26" x14ac:dyDescent="0.2">
      <c r="A1433" s="6">
        <v>4260</v>
      </c>
      <c r="B1433" s="7">
        <v>30341</v>
      </c>
      <c r="C1433" s="8">
        <f>DATE(2012,12,31)-1430</f>
        <v>39844</v>
      </c>
      <c r="D1433" s="8" t="str">
        <f t="shared" si="30"/>
        <v>2009-01 (январь 2009)</v>
      </c>
      <c r="E1433" s="9" t="s">
        <v>21</v>
      </c>
      <c r="F1433" s="7">
        <v>41</v>
      </c>
      <c r="G1433" s="7">
        <v>239.75</v>
      </c>
      <c r="H1433" s="7">
        <v>0.09</v>
      </c>
      <c r="I1433" s="9" t="s">
        <v>22</v>
      </c>
      <c r="J1433" s="10">
        <v>105.91</v>
      </c>
      <c r="K1433" s="11">
        <v>6.3</v>
      </c>
      <c r="L1433" s="11">
        <v>0.5</v>
      </c>
      <c r="M1433" s="9" t="s">
        <v>996</v>
      </c>
      <c r="N1433" s="6" t="s">
        <v>703</v>
      </c>
      <c r="O1433" s="6" t="s">
        <v>704</v>
      </c>
      <c r="P1433" s="9" t="s">
        <v>60</v>
      </c>
      <c r="Q1433" s="9" t="s">
        <v>26</v>
      </c>
      <c r="R1433" s="9" t="s">
        <v>88</v>
      </c>
      <c r="S1433" s="7" t="s">
        <v>461</v>
      </c>
      <c r="T1433" s="9" t="s">
        <v>39</v>
      </c>
      <c r="U1433" s="7">
        <v>0.39</v>
      </c>
      <c r="V1433" s="12">
        <f>C1433+0</f>
        <v>39844</v>
      </c>
      <c r="W1433">
        <f>IF(D1433=' Pivot Tables'!$A$4,1,0)</f>
        <v>0</v>
      </c>
      <c r="X1433">
        <f>IF(AND(LEFT(D1433,4)+1=LEFT(' Pivot Tables'!$A$4,4)+0,RIGHT(LEFT(D1433,7),2)=RIGHT(LEFT(' Pivot Tables'!$A$4,7),2)),1,0)</f>
        <v>1</v>
      </c>
      <c r="Y1433" s="6">
        <f>1/COUNTIF(Таблица1[Order ID],Таблица1[[#This Row],[Order ID]])</f>
        <v>0.33333333333333331</v>
      </c>
      <c r="Z1433" s="9">
        <f>1/COUNTIFS(Таблица1[Customer Name],Таблица1[[#This Row],[Customer Name]],Таблица1[Order-Year-Month],Таблица1[[#This Row],[Order-Year-Month]])</f>
        <v>0.33333333333333331</v>
      </c>
    </row>
    <row r="1434" spans="1:26" x14ac:dyDescent="0.2">
      <c r="A1434" s="6">
        <v>4261</v>
      </c>
      <c r="B1434" s="7">
        <v>30341</v>
      </c>
      <c r="C1434" s="8">
        <f>DATE(2012,12,31)-1430</f>
        <v>39844</v>
      </c>
      <c r="D1434" s="8" t="str">
        <f t="shared" si="30"/>
        <v>2009-01 (январь 2009)</v>
      </c>
      <c r="E1434" s="9" t="s">
        <v>21</v>
      </c>
      <c r="F1434" s="7">
        <v>30</v>
      </c>
      <c r="G1434" s="7">
        <v>150.19999999999999</v>
      </c>
      <c r="H1434" s="7">
        <v>0</v>
      </c>
      <c r="I1434" s="9" t="s">
        <v>22</v>
      </c>
      <c r="J1434" s="10">
        <v>62.46</v>
      </c>
      <c r="K1434" s="11">
        <v>4.9800000000000004</v>
      </c>
      <c r="L1434" s="11">
        <v>0.8</v>
      </c>
      <c r="M1434" s="9" t="s">
        <v>996</v>
      </c>
      <c r="N1434" s="6" t="s">
        <v>703</v>
      </c>
      <c r="O1434" s="6" t="s">
        <v>704</v>
      </c>
      <c r="P1434" s="9" t="s">
        <v>60</v>
      </c>
      <c r="Q1434" s="9" t="s">
        <v>26</v>
      </c>
      <c r="R1434" s="9" t="s">
        <v>61</v>
      </c>
      <c r="S1434" s="7" t="s">
        <v>842</v>
      </c>
      <c r="T1434" s="9" t="s">
        <v>68</v>
      </c>
      <c r="U1434" s="7">
        <v>0.36</v>
      </c>
      <c r="V1434" s="12">
        <f>C1434+7</f>
        <v>39851</v>
      </c>
      <c r="W1434">
        <f>IF(D1434=' Pivot Tables'!$A$4,1,0)</f>
        <v>0</v>
      </c>
      <c r="X1434">
        <f>IF(AND(LEFT(D1434,4)+1=LEFT(' Pivot Tables'!$A$4,4)+0,RIGHT(LEFT(D1434,7),2)=RIGHT(LEFT(' Pivot Tables'!$A$4,7),2)),1,0)</f>
        <v>1</v>
      </c>
      <c r="Y1434" s="6">
        <f>1/COUNTIF(Таблица1[Order ID],Таблица1[[#This Row],[Order ID]])</f>
        <v>0.33333333333333331</v>
      </c>
      <c r="Z1434" s="9">
        <f>1/COUNTIFS(Таблица1[Customer Name],Таблица1[[#This Row],[Customer Name]],Таблица1[Order-Year-Month],Таблица1[[#This Row],[Order-Year-Month]])</f>
        <v>0.33333333333333331</v>
      </c>
    </row>
    <row r="1435" spans="1:26" x14ac:dyDescent="0.2">
      <c r="A1435" s="6">
        <v>4278</v>
      </c>
      <c r="B1435" s="7">
        <v>30467</v>
      </c>
      <c r="C1435" s="8">
        <f>DATE(2012,12,31)-1234</f>
        <v>40040</v>
      </c>
      <c r="D1435" s="8" t="str">
        <f t="shared" si="30"/>
        <v>2009-08 (август 2009)</v>
      </c>
      <c r="E1435" s="9" t="s">
        <v>78</v>
      </c>
      <c r="F1435" s="7">
        <v>5</v>
      </c>
      <c r="G1435" s="7">
        <v>2019.65</v>
      </c>
      <c r="H1435" s="7">
        <v>0.05</v>
      </c>
      <c r="I1435" s="9" t="s">
        <v>22</v>
      </c>
      <c r="J1435" s="10">
        <v>289.87549999999999</v>
      </c>
      <c r="K1435" s="11">
        <v>420.98</v>
      </c>
      <c r="L1435" s="11">
        <v>19.989999999999998</v>
      </c>
      <c r="M1435" s="9" t="s">
        <v>1011</v>
      </c>
      <c r="N1435" s="6" t="s">
        <v>703</v>
      </c>
      <c r="O1435" s="6" t="s">
        <v>704</v>
      </c>
      <c r="P1435" s="9" t="s">
        <v>33</v>
      </c>
      <c r="Q1435" s="9" t="s">
        <v>26</v>
      </c>
      <c r="R1435" s="9" t="s">
        <v>37</v>
      </c>
      <c r="S1435" s="7" t="s">
        <v>607</v>
      </c>
      <c r="T1435" s="9" t="s">
        <v>39</v>
      </c>
      <c r="U1435" s="7">
        <v>0.35</v>
      </c>
      <c r="V1435" s="12">
        <f>C1435+1</f>
        <v>40041</v>
      </c>
      <c r="W1435">
        <f>IF(D1435=' Pivot Tables'!$A$4,1,0)</f>
        <v>0</v>
      </c>
      <c r="X1435">
        <f>IF(AND(LEFT(D1435,4)+1=LEFT(' Pivot Tables'!$A$4,4)+0,RIGHT(LEFT(D1435,7),2)=RIGHT(LEFT(' Pivot Tables'!$A$4,7),2)),1,0)</f>
        <v>0</v>
      </c>
      <c r="Y1435" s="6">
        <f>1/COUNTIF(Таблица1[Order ID],Таблица1[[#This Row],[Order ID]])</f>
        <v>1</v>
      </c>
      <c r="Z1435" s="9">
        <f>1/COUNTIFS(Таблица1[Customer Name],Таблица1[[#This Row],[Customer Name]],Таблица1[Order-Year-Month],Таблица1[[#This Row],[Order-Year-Month]])</f>
        <v>1</v>
      </c>
    </row>
    <row r="1436" spans="1:26" x14ac:dyDescent="0.2">
      <c r="A1436" s="6">
        <v>4321</v>
      </c>
      <c r="B1436" s="7">
        <v>30785</v>
      </c>
      <c r="C1436" s="8">
        <f>DATE(2012,12,31)-1277</f>
        <v>39997</v>
      </c>
      <c r="D1436" s="8" t="str">
        <f t="shared" si="30"/>
        <v>2009-07 (июль 2009)</v>
      </c>
      <c r="E1436" s="9" t="s">
        <v>30</v>
      </c>
      <c r="F1436" s="7">
        <v>7</v>
      </c>
      <c r="G1436" s="7">
        <v>55.81</v>
      </c>
      <c r="H1436" s="7">
        <v>0.03</v>
      </c>
      <c r="I1436" s="9" t="s">
        <v>22</v>
      </c>
      <c r="J1436" s="10">
        <v>-35.04</v>
      </c>
      <c r="K1436" s="11">
        <v>6.48</v>
      </c>
      <c r="L1436" s="11">
        <v>8.73</v>
      </c>
      <c r="M1436" s="9" t="s">
        <v>1046</v>
      </c>
      <c r="N1436" s="6" t="s">
        <v>703</v>
      </c>
      <c r="O1436" s="6" t="s">
        <v>704</v>
      </c>
      <c r="P1436" s="9" t="s">
        <v>60</v>
      </c>
      <c r="Q1436" s="9" t="s">
        <v>26</v>
      </c>
      <c r="R1436" s="9" t="s">
        <v>61</v>
      </c>
      <c r="S1436" s="7" t="s">
        <v>828</v>
      </c>
      <c r="T1436" s="9" t="s">
        <v>39</v>
      </c>
      <c r="U1436" s="7">
        <v>0.37</v>
      </c>
      <c r="V1436" s="12">
        <f>C1436+2</f>
        <v>39999</v>
      </c>
      <c r="W1436">
        <f>IF(D1436=' Pivot Tables'!$A$4,1,0)</f>
        <v>0</v>
      </c>
      <c r="X1436">
        <f>IF(AND(LEFT(D1436,4)+1=LEFT(' Pivot Tables'!$A$4,4)+0,RIGHT(LEFT(D1436,7),2)=RIGHT(LEFT(' Pivot Tables'!$A$4,7),2)),1,0)</f>
        <v>0</v>
      </c>
      <c r="Y1436" s="6">
        <f>1/COUNTIF(Таблица1[Order ID],Таблица1[[#This Row],[Order ID]])</f>
        <v>0.5</v>
      </c>
      <c r="Z1436" s="9">
        <f>1/COUNTIFS(Таблица1[Customer Name],Таблица1[[#This Row],[Customer Name]],Таблица1[Order-Year-Month],Таблица1[[#This Row],[Order-Year-Month]])</f>
        <v>0.5</v>
      </c>
    </row>
    <row r="1437" spans="1:26" x14ac:dyDescent="0.2">
      <c r="A1437" s="6">
        <v>4322</v>
      </c>
      <c r="B1437" s="7">
        <v>30785</v>
      </c>
      <c r="C1437" s="8">
        <f>DATE(2012,12,31)-1277</f>
        <v>39997</v>
      </c>
      <c r="D1437" s="8" t="str">
        <f t="shared" si="30"/>
        <v>2009-07 (июль 2009)</v>
      </c>
      <c r="E1437" s="9" t="s">
        <v>30</v>
      </c>
      <c r="F1437" s="7">
        <v>38</v>
      </c>
      <c r="G1437" s="7">
        <v>373.07</v>
      </c>
      <c r="H1437" s="7">
        <v>7.0000000000000007E-2</v>
      </c>
      <c r="I1437" s="9" t="s">
        <v>22</v>
      </c>
      <c r="J1437" s="10">
        <v>149.53</v>
      </c>
      <c r="K1437" s="11">
        <v>9.93</v>
      </c>
      <c r="L1437" s="11">
        <v>1.0900000000000001</v>
      </c>
      <c r="M1437" s="9" t="s">
        <v>1046</v>
      </c>
      <c r="N1437" s="6" t="s">
        <v>703</v>
      </c>
      <c r="O1437" s="6" t="s">
        <v>704</v>
      </c>
      <c r="P1437" s="9" t="s">
        <v>60</v>
      </c>
      <c r="Q1437" s="9" t="s">
        <v>26</v>
      </c>
      <c r="R1437" s="9" t="s">
        <v>95</v>
      </c>
      <c r="S1437" s="7" t="s">
        <v>1048</v>
      </c>
      <c r="T1437" s="9" t="s">
        <v>68</v>
      </c>
      <c r="U1437" s="7">
        <v>0.43</v>
      </c>
      <c r="V1437" s="12">
        <f>C1437+3</f>
        <v>40000</v>
      </c>
      <c r="W1437">
        <f>IF(D1437=' Pivot Tables'!$A$4,1,0)</f>
        <v>0</v>
      </c>
      <c r="X1437">
        <f>IF(AND(LEFT(D1437,4)+1=LEFT(' Pivot Tables'!$A$4,4)+0,RIGHT(LEFT(D1437,7),2)=RIGHT(LEFT(' Pivot Tables'!$A$4,7),2)),1,0)</f>
        <v>0</v>
      </c>
      <c r="Y1437" s="6">
        <f>1/COUNTIF(Таблица1[Order ID],Таблица1[[#This Row],[Order ID]])</f>
        <v>0.5</v>
      </c>
      <c r="Z1437" s="9">
        <f>1/COUNTIFS(Таблица1[Customer Name],Таблица1[[#This Row],[Customer Name]],Таблица1[Order-Year-Month],Таблица1[[#This Row],[Order-Year-Month]])</f>
        <v>0.5</v>
      </c>
    </row>
    <row r="1438" spans="1:26" x14ac:dyDescent="0.2">
      <c r="A1438" s="6">
        <v>4374</v>
      </c>
      <c r="B1438" s="7">
        <v>31171</v>
      </c>
      <c r="C1438" s="8">
        <f>DATE(2012,12,31)-1363</f>
        <v>39911</v>
      </c>
      <c r="D1438" s="8" t="str">
        <f t="shared" si="30"/>
        <v>2009-04 (апрель 2009)</v>
      </c>
      <c r="E1438" s="9" t="s">
        <v>45</v>
      </c>
      <c r="F1438" s="7">
        <v>37</v>
      </c>
      <c r="G1438" s="7">
        <v>161.02000000000001</v>
      </c>
      <c r="H1438" s="7">
        <v>0.08</v>
      </c>
      <c r="I1438" s="9" t="s">
        <v>22</v>
      </c>
      <c r="J1438" s="10">
        <v>32.189499999999995</v>
      </c>
      <c r="K1438" s="11">
        <v>4.55</v>
      </c>
      <c r="L1438" s="11">
        <v>1.49</v>
      </c>
      <c r="M1438" s="9" t="s">
        <v>1049</v>
      </c>
      <c r="N1438" s="6" t="s">
        <v>703</v>
      </c>
      <c r="O1438" s="6" t="s">
        <v>704</v>
      </c>
      <c r="P1438" s="9" t="s">
        <v>60</v>
      </c>
      <c r="Q1438" s="9" t="s">
        <v>26</v>
      </c>
      <c r="R1438" s="9" t="s">
        <v>37</v>
      </c>
      <c r="S1438" s="7" t="s">
        <v>522</v>
      </c>
      <c r="T1438" s="9" t="s">
        <v>39</v>
      </c>
      <c r="U1438" s="7">
        <v>0.35</v>
      </c>
      <c r="V1438" s="12">
        <f>C1438+1</f>
        <v>39912</v>
      </c>
      <c r="W1438">
        <f>IF(D1438=' Pivot Tables'!$A$4,1,0)</f>
        <v>0</v>
      </c>
      <c r="X1438">
        <f>IF(AND(LEFT(D1438,4)+1=LEFT(' Pivot Tables'!$A$4,4)+0,RIGHT(LEFT(D1438,7),2)=RIGHT(LEFT(' Pivot Tables'!$A$4,7),2)),1,0)</f>
        <v>0</v>
      </c>
      <c r="Y1438" s="6">
        <f>1/COUNTIF(Таблица1[Order ID],Таблица1[[#This Row],[Order ID]])</f>
        <v>1</v>
      </c>
      <c r="Z1438" s="9">
        <f>1/COUNTIFS(Таблица1[Customer Name],Таблица1[[#This Row],[Customer Name]],Таблица1[Order-Year-Month],Таблица1[[#This Row],[Order-Year-Month]])</f>
        <v>1</v>
      </c>
    </row>
    <row r="1439" spans="1:26" x14ac:dyDescent="0.2">
      <c r="A1439" s="6">
        <v>4394</v>
      </c>
      <c r="B1439" s="7">
        <v>31297</v>
      </c>
      <c r="C1439" s="8">
        <f>DATE(2012,12,31)-135</f>
        <v>41139</v>
      </c>
      <c r="D1439" s="8" t="str">
        <f t="shared" si="30"/>
        <v>2012-08 (август 2012)</v>
      </c>
      <c r="E1439" s="9" t="s">
        <v>21</v>
      </c>
      <c r="F1439" s="7">
        <v>39</v>
      </c>
      <c r="G1439" s="7">
        <v>679.95</v>
      </c>
      <c r="H1439" s="7">
        <v>0.08</v>
      </c>
      <c r="I1439" s="9" t="s">
        <v>22</v>
      </c>
      <c r="J1439" s="10">
        <v>-93.3</v>
      </c>
      <c r="K1439" s="11">
        <v>17.989999999999998</v>
      </c>
      <c r="L1439" s="11">
        <v>8.65</v>
      </c>
      <c r="M1439" s="9" t="s">
        <v>1032</v>
      </c>
      <c r="N1439" s="6" t="s">
        <v>703</v>
      </c>
      <c r="O1439" s="6" t="s">
        <v>704</v>
      </c>
      <c r="P1439" s="9" t="s">
        <v>41</v>
      </c>
      <c r="Q1439" s="9" t="s">
        <v>26</v>
      </c>
      <c r="R1439" s="9" t="s">
        <v>95</v>
      </c>
      <c r="S1439" s="7" t="s">
        <v>1050</v>
      </c>
      <c r="T1439" s="9" t="s">
        <v>39</v>
      </c>
      <c r="U1439" s="7">
        <v>0.56999999999999995</v>
      </c>
      <c r="V1439" s="12">
        <f>C1439+7</f>
        <v>41146</v>
      </c>
      <c r="W1439">
        <f>IF(D1439=' Pivot Tables'!$A$4,1,0)</f>
        <v>0</v>
      </c>
      <c r="X1439">
        <f>IF(AND(LEFT(D1439,4)+1=LEFT(' Pivot Tables'!$A$4,4)+0,RIGHT(LEFT(D1439,7),2)=RIGHT(LEFT(' Pivot Tables'!$A$4,7),2)),1,0)</f>
        <v>0</v>
      </c>
      <c r="Y1439" s="6">
        <f>1/COUNTIF(Таблица1[Order ID],Таблица1[[#This Row],[Order ID]])</f>
        <v>0.5</v>
      </c>
      <c r="Z1439" s="9">
        <f>1/COUNTIFS(Таблица1[Customer Name],Таблица1[[#This Row],[Customer Name]],Таблица1[Order-Year-Month],Таблица1[[#This Row],[Order-Year-Month]])</f>
        <v>0.5</v>
      </c>
    </row>
    <row r="1440" spans="1:26" x14ac:dyDescent="0.2">
      <c r="A1440" s="6">
        <v>4395</v>
      </c>
      <c r="B1440" s="7">
        <v>31297</v>
      </c>
      <c r="C1440" s="8">
        <f>DATE(2012,12,31)-135</f>
        <v>41139</v>
      </c>
      <c r="D1440" s="8" t="str">
        <f t="shared" si="30"/>
        <v>2012-08 (август 2012)</v>
      </c>
      <c r="E1440" s="9" t="s">
        <v>21</v>
      </c>
      <c r="F1440" s="7">
        <v>44</v>
      </c>
      <c r="G1440" s="7">
        <v>1579.56</v>
      </c>
      <c r="H1440" s="7">
        <v>0.01</v>
      </c>
      <c r="I1440" s="9" t="s">
        <v>22</v>
      </c>
      <c r="J1440" s="10">
        <v>699.64</v>
      </c>
      <c r="K1440" s="11">
        <v>35.44</v>
      </c>
      <c r="L1440" s="11">
        <v>4.92</v>
      </c>
      <c r="M1440" s="9" t="s">
        <v>1032</v>
      </c>
      <c r="N1440" s="6" t="s">
        <v>703</v>
      </c>
      <c r="O1440" s="6" t="s">
        <v>704</v>
      </c>
      <c r="P1440" s="9" t="s">
        <v>41</v>
      </c>
      <c r="Q1440" s="9" t="s">
        <v>26</v>
      </c>
      <c r="R1440" s="9" t="s">
        <v>61</v>
      </c>
      <c r="S1440" s="7" t="s">
        <v>496</v>
      </c>
      <c r="T1440" s="9" t="s">
        <v>39</v>
      </c>
      <c r="U1440" s="7">
        <v>0.38</v>
      </c>
      <c r="V1440" s="12">
        <f>C1440+9</f>
        <v>41148</v>
      </c>
      <c r="W1440">
        <f>IF(D1440=' Pivot Tables'!$A$4,1,0)</f>
        <v>0</v>
      </c>
      <c r="X1440">
        <f>IF(AND(LEFT(D1440,4)+1=LEFT(' Pivot Tables'!$A$4,4)+0,RIGHT(LEFT(D1440,7),2)=RIGHT(LEFT(' Pivot Tables'!$A$4,7),2)),1,0)</f>
        <v>0</v>
      </c>
      <c r="Y1440" s="6">
        <f>1/COUNTIF(Таблица1[Order ID],Таблица1[[#This Row],[Order ID]])</f>
        <v>0.5</v>
      </c>
      <c r="Z1440" s="9">
        <f>1/COUNTIFS(Таблица1[Customer Name],Таблица1[[#This Row],[Customer Name]],Таблица1[Order-Year-Month],Таблица1[[#This Row],[Order-Year-Month]])</f>
        <v>0.5</v>
      </c>
    </row>
    <row r="1441" spans="1:26" x14ac:dyDescent="0.2">
      <c r="A1441" s="6">
        <v>4425</v>
      </c>
      <c r="B1441" s="7">
        <v>31553</v>
      </c>
      <c r="C1441" s="8">
        <f>DATE(2012,12,31)-1451</f>
        <v>39823</v>
      </c>
      <c r="D1441" s="8" t="str">
        <f t="shared" si="30"/>
        <v>2009-01 (январь 2009)</v>
      </c>
      <c r="E1441" s="9" t="s">
        <v>78</v>
      </c>
      <c r="F1441" s="7">
        <v>32</v>
      </c>
      <c r="G1441" s="7">
        <v>4906.8500000000004</v>
      </c>
      <c r="H1441" s="7">
        <v>0.09</v>
      </c>
      <c r="I1441" s="9" t="s">
        <v>22</v>
      </c>
      <c r="J1441" s="10">
        <v>1907.94</v>
      </c>
      <c r="K1441" s="11">
        <v>162.93</v>
      </c>
      <c r="L1441" s="11">
        <v>19.989999999999998</v>
      </c>
      <c r="M1441" s="9" t="s">
        <v>1010</v>
      </c>
      <c r="N1441" s="6" t="s">
        <v>703</v>
      </c>
      <c r="O1441" s="6" t="s">
        <v>704</v>
      </c>
      <c r="P1441" s="9" t="s">
        <v>41</v>
      </c>
      <c r="Q1441" s="9" t="s">
        <v>26</v>
      </c>
      <c r="R1441" s="9" t="s">
        <v>76</v>
      </c>
      <c r="S1441" s="7" t="s">
        <v>449</v>
      </c>
      <c r="T1441" s="9" t="s">
        <v>39</v>
      </c>
      <c r="U1441" s="7">
        <v>0.39</v>
      </c>
      <c r="V1441" s="12">
        <f>C1441+2</f>
        <v>39825</v>
      </c>
      <c r="W1441">
        <f>IF(D1441=' Pivot Tables'!$A$4,1,0)</f>
        <v>0</v>
      </c>
      <c r="X1441">
        <f>IF(AND(LEFT(D1441,4)+1=LEFT(' Pivot Tables'!$A$4,4)+0,RIGHT(LEFT(D1441,7),2)=RIGHT(LEFT(' Pivot Tables'!$A$4,7),2)),1,0)</f>
        <v>1</v>
      </c>
      <c r="Y1441" s="6">
        <f>1/COUNTIF(Таблица1[Order ID],Таблица1[[#This Row],[Order ID]])</f>
        <v>1</v>
      </c>
      <c r="Z1441" s="9">
        <f>1/COUNTIFS(Таблица1[Customer Name],Таблица1[[#This Row],[Customer Name]],Таблица1[Order-Year-Month],Таблица1[[#This Row],[Order-Year-Month]])</f>
        <v>1</v>
      </c>
    </row>
    <row r="1442" spans="1:26" x14ac:dyDescent="0.2">
      <c r="A1442" s="6">
        <v>4595</v>
      </c>
      <c r="B1442" s="7">
        <v>32706</v>
      </c>
      <c r="C1442" s="8">
        <f>DATE(2012,12,31)-1276</f>
        <v>39998</v>
      </c>
      <c r="D1442" s="8" t="str">
        <f t="shared" si="30"/>
        <v>2009-07 (июль 2009)</v>
      </c>
      <c r="E1442" s="9" t="s">
        <v>78</v>
      </c>
      <c r="F1442" s="7">
        <v>5</v>
      </c>
      <c r="G1442" s="7">
        <v>2017.5</v>
      </c>
      <c r="H1442" s="7">
        <v>0.03</v>
      </c>
      <c r="I1442" s="9" t="s">
        <v>31</v>
      </c>
      <c r="J1442" s="10">
        <v>-663.51419999999996</v>
      </c>
      <c r="K1442" s="11">
        <v>399.98</v>
      </c>
      <c r="L1442" s="11">
        <v>12.06</v>
      </c>
      <c r="M1442" s="9" t="s">
        <v>996</v>
      </c>
      <c r="N1442" s="6" t="s">
        <v>703</v>
      </c>
      <c r="O1442" s="6" t="s">
        <v>704</v>
      </c>
      <c r="P1442" s="9" t="s">
        <v>60</v>
      </c>
      <c r="Q1442" s="9" t="s">
        <v>42</v>
      </c>
      <c r="R1442" s="9" t="s">
        <v>210</v>
      </c>
      <c r="S1442" s="7" t="s">
        <v>1051</v>
      </c>
      <c r="T1442" s="9" t="s">
        <v>82</v>
      </c>
      <c r="U1442" s="7">
        <v>0.56000000000000005</v>
      </c>
      <c r="V1442" s="12">
        <f>C1442+2</f>
        <v>40000</v>
      </c>
      <c r="W1442">
        <f>IF(D1442=' Pivot Tables'!$A$4,1,0)</f>
        <v>0</v>
      </c>
      <c r="X1442">
        <f>IF(AND(LEFT(D1442,4)+1=LEFT(' Pivot Tables'!$A$4,4)+0,RIGHT(LEFT(D1442,7),2)=RIGHT(LEFT(' Pivot Tables'!$A$4,7),2)),1,0)</f>
        <v>0</v>
      </c>
      <c r="Y1442" s="6">
        <f>1/COUNTIF(Таблица1[Order ID],Таблица1[[#This Row],[Order ID]])</f>
        <v>1</v>
      </c>
      <c r="Z1442" s="9">
        <f>1/COUNTIFS(Таблица1[Customer Name],Таблица1[[#This Row],[Customer Name]],Таблица1[Order-Year-Month],Таблица1[[#This Row],[Order-Year-Month]])</f>
        <v>1</v>
      </c>
    </row>
    <row r="1443" spans="1:26" x14ac:dyDescent="0.2">
      <c r="A1443" s="6">
        <v>4650</v>
      </c>
      <c r="B1443" s="7">
        <v>33122</v>
      </c>
      <c r="C1443" s="8">
        <f>DATE(2012,12,31)-926</f>
        <v>40348</v>
      </c>
      <c r="D1443" s="8" t="str">
        <f t="shared" si="30"/>
        <v>2010-06 (июнь 2010)</v>
      </c>
      <c r="E1443" s="9" t="s">
        <v>21</v>
      </c>
      <c r="F1443" s="7">
        <v>21</v>
      </c>
      <c r="G1443" s="7">
        <v>8468.6299999999992</v>
      </c>
      <c r="H1443" s="7">
        <v>0</v>
      </c>
      <c r="I1443" s="9" t="s">
        <v>31</v>
      </c>
      <c r="J1443" s="10">
        <v>2819.96</v>
      </c>
      <c r="K1443" s="11">
        <v>400.97</v>
      </c>
      <c r="L1443" s="11">
        <v>48.26</v>
      </c>
      <c r="M1443" s="9" t="s">
        <v>1040</v>
      </c>
      <c r="N1443" s="6" t="s">
        <v>703</v>
      </c>
      <c r="O1443" s="6" t="s">
        <v>704</v>
      </c>
      <c r="P1443" s="9" t="s">
        <v>25</v>
      </c>
      <c r="Q1443" s="9" t="s">
        <v>42</v>
      </c>
      <c r="R1443" s="9" t="s">
        <v>210</v>
      </c>
      <c r="S1443" s="7" t="s">
        <v>966</v>
      </c>
      <c r="T1443" s="9" t="s">
        <v>82</v>
      </c>
      <c r="U1443" s="7">
        <v>0.36</v>
      </c>
      <c r="V1443" s="12">
        <f>C1443+7</f>
        <v>40355</v>
      </c>
      <c r="W1443">
        <f>IF(D1443=' Pivot Tables'!$A$4,1,0)</f>
        <v>0</v>
      </c>
      <c r="X1443">
        <f>IF(AND(LEFT(D1443,4)+1=LEFT(' Pivot Tables'!$A$4,4)+0,RIGHT(LEFT(D1443,7),2)=RIGHT(LEFT(' Pivot Tables'!$A$4,7),2)),1,0)</f>
        <v>0</v>
      </c>
      <c r="Y1443" s="6">
        <f>1/COUNTIF(Таблица1[Order ID],Таблица1[[#This Row],[Order ID]])</f>
        <v>1</v>
      </c>
      <c r="Z1443" s="9">
        <f>1/COUNTIFS(Таблица1[Customer Name],Таблица1[[#This Row],[Customer Name]],Таблица1[Order-Year-Month],Таблица1[[#This Row],[Order-Year-Month]])</f>
        <v>1</v>
      </c>
    </row>
    <row r="1444" spans="1:26" x14ac:dyDescent="0.2">
      <c r="A1444" s="6">
        <v>4713</v>
      </c>
      <c r="B1444" s="7">
        <v>33570</v>
      </c>
      <c r="C1444" s="8">
        <f>DATE(2012,12,31)-15</f>
        <v>41259</v>
      </c>
      <c r="D1444" s="8" t="str">
        <f t="shared" si="30"/>
        <v>2012-12 (декабрь 2012)</v>
      </c>
      <c r="E1444" s="9" t="s">
        <v>45</v>
      </c>
      <c r="F1444" s="7">
        <v>46</v>
      </c>
      <c r="G1444" s="7">
        <v>265.88</v>
      </c>
      <c r="H1444" s="7">
        <v>0.05</v>
      </c>
      <c r="I1444" s="9" t="s">
        <v>22</v>
      </c>
      <c r="J1444" s="10">
        <v>-90.896000000000001</v>
      </c>
      <c r="K1444" s="11">
        <v>5.74</v>
      </c>
      <c r="L1444" s="11">
        <v>5.01</v>
      </c>
      <c r="M1444" s="9" t="s">
        <v>1028</v>
      </c>
      <c r="N1444" s="6" t="s">
        <v>703</v>
      </c>
      <c r="O1444" s="6" t="s">
        <v>704</v>
      </c>
      <c r="P1444" s="9" t="s">
        <v>41</v>
      </c>
      <c r="Q1444" s="9" t="s">
        <v>26</v>
      </c>
      <c r="R1444" s="9" t="s">
        <v>37</v>
      </c>
      <c r="S1444" s="7" t="s">
        <v>363</v>
      </c>
      <c r="T1444" s="9" t="s">
        <v>39</v>
      </c>
      <c r="U1444" s="7">
        <v>0.39</v>
      </c>
      <c r="V1444" s="12">
        <f>C1444+2</f>
        <v>41261</v>
      </c>
      <c r="W1444">
        <f>IF(D1444=' Pivot Tables'!$A$4,1,0)</f>
        <v>0</v>
      </c>
      <c r="X1444">
        <f>IF(AND(LEFT(D1444,4)+1=LEFT(' Pivot Tables'!$A$4,4)+0,RIGHT(LEFT(D1444,7),2)=RIGHT(LEFT(' Pivot Tables'!$A$4,7),2)),1,0)</f>
        <v>0</v>
      </c>
      <c r="Y1444" s="6">
        <f>1/COUNTIF(Таблица1[Order ID],Таблица1[[#This Row],[Order ID]])</f>
        <v>0.33333333333333331</v>
      </c>
      <c r="Z1444" s="9">
        <f>1/COUNTIFS(Таблица1[Customer Name],Таблица1[[#This Row],[Customer Name]],Таблица1[Order-Year-Month],Таблица1[[#This Row],[Order-Year-Month]])</f>
        <v>0.25</v>
      </c>
    </row>
    <row r="1445" spans="1:26" x14ac:dyDescent="0.2">
      <c r="A1445" s="6">
        <v>4714</v>
      </c>
      <c r="B1445" s="7">
        <v>33570</v>
      </c>
      <c r="C1445" s="8">
        <f>DATE(2012,12,31)-15</f>
        <v>41259</v>
      </c>
      <c r="D1445" s="8" t="str">
        <f t="shared" si="30"/>
        <v>2012-12 (декабрь 2012)</v>
      </c>
      <c r="E1445" s="9" t="s">
        <v>45</v>
      </c>
      <c r="F1445" s="7">
        <v>1</v>
      </c>
      <c r="G1445" s="7">
        <v>1500.82</v>
      </c>
      <c r="H1445" s="7">
        <v>0.01</v>
      </c>
      <c r="I1445" s="9" t="s">
        <v>31</v>
      </c>
      <c r="J1445" s="10">
        <v>-3381.9857999999999</v>
      </c>
      <c r="K1445" s="11">
        <v>1500.97</v>
      </c>
      <c r="L1445" s="11">
        <v>29.7</v>
      </c>
      <c r="M1445" s="9" t="s">
        <v>1028</v>
      </c>
      <c r="N1445" s="6" t="s">
        <v>703</v>
      </c>
      <c r="O1445" s="6" t="s">
        <v>704</v>
      </c>
      <c r="P1445" s="9" t="s">
        <v>41</v>
      </c>
      <c r="Q1445" s="9" t="s">
        <v>42</v>
      </c>
      <c r="R1445" s="9" t="s">
        <v>210</v>
      </c>
      <c r="S1445" s="7" t="s">
        <v>316</v>
      </c>
      <c r="T1445" s="9" t="s">
        <v>36</v>
      </c>
      <c r="U1445" s="7">
        <v>0.56999999999999995</v>
      </c>
      <c r="V1445" s="12">
        <f>C1445+2</f>
        <v>41261</v>
      </c>
      <c r="W1445">
        <f>IF(D1445=' Pivot Tables'!$A$4,1,0)</f>
        <v>0</v>
      </c>
      <c r="X1445">
        <f>IF(AND(LEFT(D1445,4)+1=LEFT(' Pivot Tables'!$A$4,4)+0,RIGHT(LEFT(D1445,7),2)=RIGHT(LEFT(' Pivot Tables'!$A$4,7),2)),1,0)</f>
        <v>0</v>
      </c>
      <c r="Y1445" s="6">
        <f>1/COUNTIF(Таблица1[Order ID],Таблица1[[#This Row],[Order ID]])</f>
        <v>0.33333333333333331</v>
      </c>
      <c r="Z1445" s="9">
        <f>1/COUNTIFS(Таблица1[Customer Name],Таблица1[[#This Row],[Customer Name]],Таблица1[Order-Year-Month],Таблица1[[#This Row],[Order-Year-Month]])</f>
        <v>0.25</v>
      </c>
    </row>
    <row r="1446" spans="1:26" x14ac:dyDescent="0.2">
      <c r="A1446" s="6">
        <v>4715</v>
      </c>
      <c r="B1446" s="7">
        <v>33570</v>
      </c>
      <c r="C1446" s="8">
        <f>DATE(2012,12,31)-15</f>
        <v>41259</v>
      </c>
      <c r="D1446" s="8" t="str">
        <f t="shared" si="30"/>
        <v>2012-12 (декабрь 2012)</v>
      </c>
      <c r="E1446" s="9" t="s">
        <v>45</v>
      </c>
      <c r="F1446" s="7">
        <v>19</v>
      </c>
      <c r="G1446" s="7">
        <v>3093.864</v>
      </c>
      <c r="H1446" s="7">
        <v>7.0000000000000007E-2</v>
      </c>
      <c r="I1446" s="9" t="s">
        <v>22</v>
      </c>
      <c r="J1446" s="10">
        <v>286.39800000000002</v>
      </c>
      <c r="K1446" s="11">
        <v>205.99</v>
      </c>
      <c r="L1446" s="11">
        <v>5.26</v>
      </c>
      <c r="M1446" s="9" t="s">
        <v>1028</v>
      </c>
      <c r="N1446" s="6" t="s">
        <v>703</v>
      </c>
      <c r="O1446" s="6" t="s">
        <v>704</v>
      </c>
      <c r="P1446" s="9" t="s">
        <v>41</v>
      </c>
      <c r="Q1446" s="9" t="s">
        <v>42</v>
      </c>
      <c r="R1446" s="9" t="s">
        <v>43</v>
      </c>
      <c r="S1446" s="7" t="s">
        <v>329</v>
      </c>
      <c r="T1446" s="9" t="s">
        <v>39</v>
      </c>
      <c r="U1446" s="7">
        <v>0.56000000000000005</v>
      </c>
      <c r="V1446" s="12">
        <f>C1446+0</f>
        <v>41259</v>
      </c>
      <c r="W1446">
        <f>IF(D1446=' Pivot Tables'!$A$4,1,0)</f>
        <v>0</v>
      </c>
      <c r="X1446">
        <f>IF(AND(LEFT(D1446,4)+1=LEFT(' Pivot Tables'!$A$4,4)+0,RIGHT(LEFT(D1446,7),2)=RIGHT(LEFT(' Pivot Tables'!$A$4,7),2)),1,0)</f>
        <v>0</v>
      </c>
      <c r="Y1446" s="6">
        <f>1/COUNTIF(Таблица1[Order ID],Таблица1[[#This Row],[Order ID]])</f>
        <v>0.33333333333333331</v>
      </c>
      <c r="Z1446" s="9">
        <f>1/COUNTIFS(Таблица1[Customer Name],Таблица1[[#This Row],[Customer Name]],Таблица1[Order-Year-Month],Таблица1[[#This Row],[Order-Year-Month]])</f>
        <v>0.25</v>
      </c>
    </row>
    <row r="1447" spans="1:26" x14ac:dyDescent="0.2">
      <c r="A1447" s="6">
        <v>4770</v>
      </c>
      <c r="B1447" s="7">
        <v>33893</v>
      </c>
      <c r="C1447" s="8">
        <f>DATE(2012,12,31)-102</f>
        <v>41172</v>
      </c>
      <c r="D1447" s="8" t="str">
        <f t="shared" si="30"/>
        <v>2012-09 (сентябрь 2012)</v>
      </c>
      <c r="E1447" s="9" t="s">
        <v>45</v>
      </c>
      <c r="F1447" s="7">
        <v>6</v>
      </c>
      <c r="G1447" s="7">
        <v>232.21</v>
      </c>
      <c r="H1447" s="7">
        <v>0</v>
      </c>
      <c r="I1447" s="9" t="s">
        <v>22</v>
      </c>
      <c r="J1447" s="10">
        <v>-14.03</v>
      </c>
      <c r="K1447" s="11">
        <v>35.89</v>
      </c>
      <c r="L1447" s="11">
        <v>14.72</v>
      </c>
      <c r="M1447" s="9" t="s">
        <v>998</v>
      </c>
      <c r="N1447" s="6" t="s">
        <v>703</v>
      </c>
      <c r="O1447" s="6" t="s">
        <v>704</v>
      </c>
      <c r="P1447" s="9" t="s">
        <v>33</v>
      </c>
      <c r="Q1447" s="9" t="s">
        <v>26</v>
      </c>
      <c r="R1447" s="9" t="s">
        <v>76</v>
      </c>
      <c r="S1447" s="7" t="s">
        <v>813</v>
      </c>
      <c r="T1447" s="9" t="s">
        <v>39</v>
      </c>
      <c r="U1447" s="7">
        <v>0.4</v>
      </c>
      <c r="V1447" s="12">
        <f>C1447+2</f>
        <v>41174</v>
      </c>
      <c r="W1447">
        <f>IF(D1447=' Pivot Tables'!$A$4,1,0)</f>
        <v>0</v>
      </c>
      <c r="X1447">
        <f>IF(AND(LEFT(D1447,4)+1=LEFT(' Pivot Tables'!$A$4,4)+0,RIGHT(LEFT(D1447,7),2)=RIGHT(LEFT(' Pivot Tables'!$A$4,7),2)),1,0)</f>
        <v>0</v>
      </c>
      <c r="Y1447" s="6">
        <f>1/COUNTIF(Таблица1[Order ID],Таблица1[[#This Row],[Order ID]])</f>
        <v>0.5</v>
      </c>
      <c r="Z1447" s="9">
        <f>1/COUNTIFS(Таблица1[Customer Name],Таблица1[[#This Row],[Customer Name]],Таблица1[Order-Year-Month],Таблица1[[#This Row],[Order-Year-Month]])</f>
        <v>0.5</v>
      </c>
    </row>
    <row r="1448" spans="1:26" x14ac:dyDescent="0.2">
      <c r="A1448" s="6">
        <v>4771</v>
      </c>
      <c r="B1448" s="7">
        <v>33893</v>
      </c>
      <c r="C1448" s="8">
        <f>DATE(2012,12,31)-102</f>
        <v>41172</v>
      </c>
      <c r="D1448" s="8" t="str">
        <f t="shared" si="30"/>
        <v>2012-09 (сентябрь 2012)</v>
      </c>
      <c r="E1448" s="9" t="s">
        <v>45</v>
      </c>
      <c r="F1448" s="7">
        <v>16</v>
      </c>
      <c r="G1448" s="7">
        <v>88.3</v>
      </c>
      <c r="H1448" s="7">
        <v>0.09</v>
      </c>
      <c r="I1448" s="9" t="s">
        <v>22</v>
      </c>
      <c r="J1448" s="10">
        <v>-12.14</v>
      </c>
      <c r="K1448" s="11">
        <v>5.85</v>
      </c>
      <c r="L1448" s="11">
        <v>2.27</v>
      </c>
      <c r="M1448" s="9" t="s">
        <v>998</v>
      </c>
      <c r="N1448" s="6" t="s">
        <v>703</v>
      </c>
      <c r="O1448" s="6" t="s">
        <v>704</v>
      </c>
      <c r="P1448" s="9" t="s">
        <v>33</v>
      </c>
      <c r="Q1448" s="9" t="s">
        <v>26</v>
      </c>
      <c r="R1448" s="9" t="s">
        <v>95</v>
      </c>
      <c r="S1448" s="7" t="s">
        <v>463</v>
      </c>
      <c r="T1448" s="9" t="s">
        <v>68</v>
      </c>
      <c r="U1448" s="7">
        <v>0.56000000000000005</v>
      </c>
      <c r="V1448" s="12">
        <f>C1448+1</f>
        <v>41173</v>
      </c>
      <c r="W1448">
        <f>IF(D1448=' Pivot Tables'!$A$4,1,0)</f>
        <v>0</v>
      </c>
      <c r="X1448">
        <f>IF(AND(LEFT(D1448,4)+1=LEFT(' Pivot Tables'!$A$4,4)+0,RIGHT(LEFT(D1448,7),2)=RIGHT(LEFT(' Pivot Tables'!$A$4,7),2)),1,0)</f>
        <v>0</v>
      </c>
      <c r="Y1448" s="6">
        <f>1/COUNTIF(Таблица1[Order ID],Таблица1[[#This Row],[Order ID]])</f>
        <v>0.5</v>
      </c>
      <c r="Z1448" s="9">
        <f>1/COUNTIFS(Таблица1[Customer Name],Таблица1[[#This Row],[Customer Name]],Таблица1[Order-Year-Month],Таблица1[[#This Row],[Order-Year-Month]])</f>
        <v>0.5</v>
      </c>
    </row>
    <row r="1449" spans="1:26" x14ac:dyDescent="0.2">
      <c r="A1449" s="6">
        <v>4862</v>
      </c>
      <c r="B1449" s="7">
        <v>34599</v>
      </c>
      <c r="C1449" s="8">
        <f>DATE(2012,12,31)-1034</f>
        <v>40240</v>
      </c>
      <c r="D1449" s="8" t="str">
        <f t="shared" si="30"/>
        <v>2010-03 (март 2010)</v>
      </c>
      <c r="E1449" s="9" t="s">
        <v>21</v>
      </c>
      <c r="F1449" s="7">
        <v>26</v>
      </c>
      <c r="G1449" s="7">
        <v>191.55</v>
      </c>
      <c r="H1449" s="7">
        <v>0.08</v>
      </c>
      <c r="I1449" s="9" t="s">
        <v>22</v>
      </c>
      <c r="J1449" s="10">
        <v>7.17</v>
      </c>
      <c r="K1449" s="11">
        <v>7.7</v>
      </c>
      <c r="L1449" s="11">
        <v>3.68</v>
      </c>
      <c r="M1449" s="9" t="s">
        <v>1011</v>
      </c>
      <c r="N1449" s="6" t="s">
        <v>703</v>
      </c>
      <c r="O1449" s="6" t="s">
        <v>704</v>
      </c>
      <c r="P1449" s="9" t="s">
        <v>25</v>
      </c>
      <c r="Q1449" s="9" t="s">
        <v>49</v>
      </c>
      <c r="R1449" s="9" t="s">
        <v>50</v>
      </c>
      <c r="S1449" s="7" t="s">
        <v>1052</v>
      </c>
      <c r="T1449" s="9" t="s">
        <v>68</v>
      </c>
      <c r="U1449" s="7">
        <v>0.52</v>
      </c>
      <c r="V1449" s="12">
        <f>C1449+4</f>
        <v>40244</v>
      </c>
      <c r="W1449">
        <f>IF(D1449=' Pivot Tables'!$A$4,1,0)</f>
        <v>0</v>
      </c>
      <c r="X1449">
        <f>IF(AND(LEFT(D1449,4)+1=LEFT(' Pivot Tables'!$A$4,4)+0,RIGHT(LEFT(D1449,7),2)=RIGHT(LEFT(' Pivot Tables'!$A$4,7),2)),1,0)</f>
        <v>0</v>
      </c>
      <c r="Y1449" s="6">
        <f>1/COUNTIF(Таблица1[Order ID],Таблица1[[#This Row],[Order ID]])</f>
        <v>0.5</v>
      </c>
      <c r="Z1449" s="9">
        <f>1/COUNTIFS(Таблица1[Customer Name],Таблица1[[#This Row],[Customer Name]],Таблица1[Order-Year-Month],Таблица1[[#This Row],[Order-Year-Month]])</f>
        <v>0.5</v>
      </c>
    </row>
    <row r="1450" spans="1:26" x14ac:dyDescent="0.2">
      <c r="A1450" s="6">
        <v>4863</v>
      </c>
      <c r="B1450" s="7">
        <v>34599</v>
      </c>
      <c r="C1450" s="8">
        <f>DATE(2012,12,31)-1034</f>
        <v>40240</v>
      </c>
      <c r="D1450" s="8" t="str">
        <f t="shared" si="30"/>
        <v>2010-03 (март 2010)</v>
      </c>
      <c r="E1450" s="9" t="s">
        <v>21</v>
      </c>
      <c r="F1450" s="7">
        <v>29</v>
      </c>
      <c r="G1450" s="7">
        <v>938.86</v>
      </c>
      <c r="H1450" s="7">
        <v>0.05</v>
      </c>
      <c r="I1450" s="9" t="s">
        <v>22</v>
      </c>
      <c r="J1450" s="10">
        <v>22.21</v>
      </c>
      <c r="K1450" s="11">
        <v>30.98</v>
      </c>
      <c r="L1450" s="11">
        <v>17.079999999999998</v>
      </c>
      <c r="M1450" s="9" t="s">
        <v>1011</v>
      </c>
      <c r="N1450" s="6" t="s">
        <v>703</v>
      </c>
      <c r="O1450" s="6" t="s">
        <v>704</v>
      </c>
      <c r="P1450" s="9" t="s">
        <v>25</v>
      </c>
      <c r="Q1450" s="9" t="s">
        <v>26</v>
      </c>
      <c r="R1450" s="9" t="s">
        <v>61</v>
      </c>
      <c r="S1450" s="7" t="s">
        <v>513</v>
      </c>
      <c r="T1450" s="9" t="s">
        <v>39</v>
      </c>
      <c r="U1450" s="7">
        <v>0.4</v>
      </c>
      <c r="V1450" s="12">
        <f>C1450+4</f>
        <v>40244</v>
      </c>
      <c r="W1450">
        <f>IF(D1450=' Pivot Tables'!$A$4,1,0)</f>
        <v>0</v>
      </c>
      <c r="X1450">
        <f>IF(AND(LEFT(D1450,4)+1=LEFT(' Pivot Tables'!$A$4,4)+0,RIGHT(LEFT(D1450,7),2)=RIGHT(LEFT(' Pivot Tables'!$A$4,7),2)),1,0)</f>
        <v>0</v>
      </c>
      <c r="Y1450" s="6">
        <f>1/COUNTIF(Таблица1[Order ID],Таблица1[[#This Row],[Order ID]])</f>
        <v>0.5</v>
      </c>
      <c r="Z1450" s="9">
        <f>1/COUNTIFS(Таблица1[Customer Name],Таблица1[[#This Row],[Customer Name]],Таблица1[Order-Year-Month],Таблица1[[#This Row],[Order-Year-Month]])</f>
        <v>0.5</v>
      </c>
    </row>
    <row r="1451" spans="1:26" x14ac:dyDescent="0.2">
      <c r="A1451" s="6">
        <v>4879</v>
      </c>
      <c r="B1451" s="7">
        <v>34721</v>
      </c>
      <c r="C1451" s="8">
        <f>DATE(2012,12,31)-791</f>
        <v>40483</v>
      </c>
      <c r="D1451" s="8" t="str">
        <f t="shared" si="30"/>
        <v>2010-11 (ноябрь 2010)</v>
      </c>
      <c r="E1451" s="9" t="s">
        <v>45</v>
      </c>
      <c r="F1451" s="7">
        <v>46</v>
      </c>
      <c r="G1451" s="7">
        <v>503.17</v>
      </c>
      <c r="H1451" s="7">
        <v>0.01</v>
      </c>
      <c r="I1451" s="9" t="s">
        <v>22</v>
      </c>
      <c r="J1451" s="10">
        <v>-10.210000000000001</v>
      </c>
      <c r="K1451" s="11">
        <v>10.23</v>
      </c>
      <c r="L1451" s="11">
        <v>4.68</v>
      </c>
      <c r="M1451" s="9" t="s">
        <v>1053</v>
      </c>
      <c r="N1451" s="6" t="s">
        <v>703</v>
      </c>
      <c r="O1451" s="6" t="s">
        <v>704</v>
      </c>
      <c r="P1451" s="9" t="s">
        <v>41</v>
      </c>
      <c r="Q1451" s="9" t="s">
        <v>26</v>
      </c>
      <c r="R1451" s="9" t="s">
        <v>150</v>
      </c>
      <c r="S1451" s="7" t="s">
        <v>1054</v>
      </c>
      <c r="T1451" s="9" t="s">
        <v>52</v>
      </c>
      <c r="U1451" s="7">
        <v>0.59</v>
      </c>
      <c r="V1451" s="12">
        <f>C1451+1</f>
        <v>40484</v>
      </c>
      <c r="W1451">
        <f>IF(D1451=' Pivot Tables'!$A$4,1,0)</f>
        <v>0</v>
      </c>
      <c r="X1451">
        <f>IF(AND(LEFT(D1451,4)+1=LEFT(' Pivot Tables'!$A$4,4)+0,RIGHT(LEFT(D1451,7),2)=RIGHT(LEFT(' Pivot Tables'!$A$4,7),2)),1,0)</f>
        <v>0</v>
      </c>
      <c r="Y1451" s="6">
        <f>1/COUNTIF(Таблица1[Order ID],Таблица1[[#This Row],[Order ID]])</f>
        <v>1</v>
      </c>
      <c r="Z1451" s="9">
        <f>1/COUNTIFS(Таблица1[Customer Name],Таблица1[[#This Row],[Customer Name]],Таблица1[Order-Year-Month],Таблица1[[#This Row],[Order-Year-Month]])</f>
        <v>1</v>
      </c>
    </row>
    <row r="1452" spans="1:26" x14ac:dyDescent="0.2">
      <c r="A1452" s="6">
        <v>4889</v>
      </c>
      <c r="B1452" s="7">
        <v>34787</v>
      </c>
      <c r="C1452" s="8">
        <f>DATE(2012,12,31)-1037</f>
        <v>40237</v>
      </c>
      <c r="D1452" s="8" t="str">
        <f t="shared" si="30"/>
        <v>2010-02 (февраль 2010)</v>
      </c>
      <c r="E1452" s="9" t="s">
        <v>21</v>
      </c>
      <c r="F1452" s="7">
        <v>14</v>
      </c>
      <c r="G1452" s="7">
        <v>453.99</v>
      </c>
      <c r="H1452" s="7">
        <v>0.05</v>
      </c>
      <c r="I1452" s="9" t="s">
        <v>22</v>
      </c>
      <c r="J1452" s="10">
        <v>14.61</v>
      </c>
      <c r="K1452" s="11">
        <v>30.98</v>
      </c>
      <c r="L1452" s="11">
        <v>8.99</v>
      </c>
      <c r="M1452" s="9" t="s">
        <v>1010</v>
      </c>
      <c r="N1452" s="6" t="s">
        <v>703</v>
      </c>
      <c r="O1452" s="6" t="s">
        <v>704</v>
      </c>
      <c r="P1452" s="9" t="s">
        <v>41</v>
      </c>
      <c r="Q1452" s="9" t="s">
        <v>26</v>
      </c>
      <c r="R1452" s="9" t="s">
        <v>95</v>
      </c>
      <c r="S1452" s="7" t="s">
        <v>1055</v>
      </c>
      <c r="T1452" s="9" t="s">
        <v>52</v>
      </c>
      <c r="U1452" s="7">
        <v>0.57999999999999996</v>
      </c>
      <c r="V1452" s="12">
        <f>C1452+2</f>
        <v>40239</v>
      </c>
      <c r="W1452">
        <f>IF(D1452=' Pivot Tables'!$A$4,1,0)</f>
        <v>0</v>
      </c>
      <c r="X1452">
        <f>IF(AND(LEFT(D1452,4)+1=LEFT(' Pivot Tables'!$A$4,4)+0,RIGHT(LEFT(D1452,7),2)=RIGHT(LEFT(' Pivot Tables'!$A$4,7),2)),1,0)</f>
        <v>0</v>
      </c>
      <c r="Y1452" s="6">
        <f>1/COUNTIF(Таблица1[Order ID],Таблица1[[#This Row],[Order ID]])</f>
        <v>1</v>
      </c>
      <c r="Z1452" s="9">
        <f>1/COUNTIFS(Таблица1[Customer Name],Таблица1[[#This Row],[Customer Name]],Таблица1[Order-Year-Month],Таблица1[[#This Row],[Order-Year-Month]])</f>
        <v>1</v>
      </c>
    </row>
    <row r="1453" spans="1:26" x14ac:dyDescent="0.2">
      <c r="A1453" s="6">
        <v>4891</v>
      </c>
      <c r="B1453" s="7">
        <v>34791</v>
      </c>
      <c r="C1453" s="8">
        <f>DATE(2012,12,31)-604</f>
        <v>40670</v>
      </c>
      <c r="D1453" s="8" t="str">
        <f t="shared" si="30"/>
        <v>2011-05 (май 2011)</v>
      </c>
      <c r="E1453" s="9" t="s">
        <v>63</v>
      </c>
      <c r="F1453" s="7">
        <v>37</v>
      </c>
      <c r="G1453" s="7">
        <v>284.58</v>
      </c>
      <c r="H1453" s="7">
        <v>0.03</v>
      </c>
      <c r="I1453" s="9" t="s">
        <v>22</v>
      </c>
      <c r="J1453" s="10">
        <v>33.81</v>
      </c>
      <c r="K1453" s="11">
        <v>7.59</v>
      </c>
      <c r="L1453" s="11">
        <v>4</v>
      </c>
      <c r="M1453" s="9" t="s">
        <v>1056</v>
      </c>
      <c r="N1453" s="6" t="s">
        <v>703</v>
      </c>
      <c r="O1453" s="6" t="s">
        <v>704</v>
      </c>
      <c r="P1453" s="9" t="s">
        <v>60</v>
      </c>
      <c r="Q1453" s="9" t="s">
        <v>49</v>
      </c>
      <c r="R1453" s="9" t="s">
        <v>50</v>
      </c>
      <c r="S1453" s="7" t="s">
        <v>504</v>
      </c>
      <c r="T1453" s="9" t="s">
        <v>68</v>
      </c>
      <c r="U1453" s="7">
        <v>0.42</v>
      </c>
      <c r="V1453" s="12">
        <f>C1453+2</f>
        <v>40672</v>
      </c>
      <c r="W1453">
        <f>IF(D1453=' Pivot Tables'!$A$4,1,0)</f>
        <v>0</v>
      </c>
      <c r="X1453">
        <f>IF(AND(LEFT(D1453,4)+1=LEFT(' Pivot Tables'!$A$4,4)+0,RIGHT(LEFT(D1453,7),2)=RIGHT(LEFT(' Pivot Tables'!$A$4,7),2)),1,0)</f>
        <v>0</v>
      </c>
      <c r="Y1453" s="6">
        <f>1/COUNTIF(Таблица1[Order ID],Таблица1[[#This Row],[Order ID]])</f>
        <v>0.5</v>
      </c>
      <c r="Z1453" s="9">
        <f>1/COUNTIFS(Таблица1[Customer Name],Таблица1[[#This Row],[Customer Name]],Таблица1[Order-Year-Month],Таблица1[[#This Row],[Order-Year-Month]])</f>
        <v>0.5</v>
      </c>
    </row>
    <row r="1454" spans="1:26" x14ac:dyDescent="0.2">
      <c r="A1454" s="6">
        <v>4892</v>
      </c>
      <c r="B1454" s="7">
        <v>34791</v>
      </c>
      <c r="C1454" s="8">
        <f>DATE(2012,12,31)-604</f>
        <v>40670</v>
      </c>
      <c r="D1454" s="8" t="str">
        <f t="shared" si="30"/>
        <v>2011-05 (май 2011)</v>
      </c>
      <c r="E1454" s="9" t="s">
        <v>63</v>
      </c>
      <c r="F1454" s="7">
        <v>9</v>
      </c>
      <c r="G1454" s="7">
        <v>1010.26</v>
      </c>
      <c r="H1454" s="7">
        <v>0.01</v>
      </c>
      <c r="I1454" s="9" t="s">
        <v>22</v>
      </c>
      <c r="J1454" s="10">
        <v>271.5</v>
      </c>
      <c r="K1454" s="11">
        <v>104.85</v>
      </c>
      <c r="L1454" s="11">
        <v>19.989999999999998</v>
      </c>
      <c r="M1454" s="9" t="s">
        <v>1056</v>
      </c>
      <c r="N1454" s="6" t="s">
        <v>703</v>
      </c>
      <c r="O1454" s="6" t="s">
        <v>704</v>
      </c>
      <c r="P1454" s="9" t="s">
        <v>60</v>
      </c>
      <c r="Q1454" s="9" t="s">
        <v>26</v>
      </c>
      <c r="R1454" s="9" t="s">
        <v>61</v>
      </c>
      <c r="S1454" s="7" t="s">
        <v>1057</v>
      </c>
      <c r="T1454" s="9" t="s">
        <v>39</v>
      </c>
      <c r="U1454" s="7">
        <v>0.37</v>
      </c>
      <c r="V1454" s="12">
        <f>C1454+0</f>
        <v>40670</v>
      </c>
      <c r="W1454">
        <f>IF(D1454=' Pivot Tables'!$A$4,1,0)</f>
        <v>0</v>
      </c>
      <c r="X1454">
        <f>IF(AND(LEFT(D1454,4)+1=LEFT(' Pivot Tables'!$A$4,4)+0,RIGHT(LEFT(D1454,7),2)=RIGHT(LEFT(' Pivot Tables'!$A$4,7),2)),1,0)</f>
        <v>0</v>
      </c>
      <c r="Y1454" s="6">
        <f>1/COUNTIF(Таблица1[Order ID],Таблица1[[#This Row],[Order ID]])</f>
        <v>0.5</v>
      </c>
      <c r="Z1454" s="9">
        <f>1/COUNTIFS(Таблица1[Customer Name],Таблица1[[#This Row],[Customer Name]],Таблица1[Order-Year-Month],Таблица1[[#This Row],[Order-Year-Month]])</f>
        <v>0.5</v>
      </c>
    </row>
    <row r="1455" spans="1:26" x14ac:dyDescent="0.2">
      <c r="A1455" s="6">
        <v>4895</v>
      </c>
      <c r="B1455" s="7">
        <v>34822</v>
      </c>
      <c r="C1455" s="8">
        <f>DATE(2012,12,31)-174</f>
        <v>41100</v>
      </c>
      <c r="D1455" s="8" t="str">
        <f t="shared" si="30"/>
        <v>2012-07 (июль 2012)</v>
      </c>
      <c r="E1455" s="9" t="s">
        <v>45</v>
      </c>
      <c r="F1455" s="7">
        <v>23</v>
      </c>
      <c r="G1455" s="7">
        <v>990.5</v>
      </c>
      <c r="H1455" s="7">
        <v>0.04</v>
      </c>
      <c r="I1455" s="9" t="s">
        <v>22</v>
      </c>
      <c r="J1455" s="10">
        <v>323.73</v>
      </c>
      <c r="K1455" s="11">
        <v>43.98</v>
      </c>
      <c r="L1455" s="11">
        <v>1.99</v>
      </c>
      <c r="M1455" s="9" t="s">
        <v>1005</v>
      </c>
      <c r="N1455" s="6" t="s">
        <v>703</v>
      </c>
      <c r="O1455" s="6" t="s">
        <v>704</v>
      </c>
      <c r="P1455" s="9" t="s">
        <v>33</v>
      </c>
      <c r="Q1455" s="9" t="s">
        <v>42</v>
      </c>
      <c r="R1455" s="9" t="s">
        <v>70</v>
      </c>
      <c r="S1455" s="7" t="s">
        <v>246</v>
      </c>
      <c r="T1455" s="9" t="s">
        <v>52</v>
      </c>
      <c r="U1455" s="7">
        <v>0.44</v>
      </c>
      <c r="V1455" s="12">
        <f>C1455+1</f>
        <v>41101</v>
      </c>
      <c r="W1455">
        <f>IF(D1455=' Pivot Tables'!$A$4,1,0)</f>
        <v>0</v>
      </c>
      <c r="X1455">
        <f>IF(AND(LEFT(D1455,4)+1=LEFT(' Pivot Tables'!$A$4,4)+0,RIGHT(LEFT(D1455,7),2)=RIGHT(LEFT(' Pivot Tables'!$A$4,7),2)),1,0)</f>
        <v>0</v>
      </c>
      <c r="Y1455" s="6">
        <f>1/COUNTIF(Таблица1[Order ID],Таблица1[[#This Row],[Order ID]])</f>
        <v>1</v>
      </c>
      <c r="Z1455" s="9">
        <f>1/COUNTIFS(Таблица1[Customer Name],Таблица1[[#This Row],[Customer Name]],Таблица1[Order-Year-Month],Таблица1[[#This Row],[Order-Year-Month]])</f>
        <v>1</v>
      </c>
    </row>
    <row r="1456" spans="1:26" x14ac:dyDescent="0.2">
      <c r="A1456" s="6">
        <v>4900</v>
      </c>
      <c r="B1456" s="7">
        <v>34853</v>
      </c>
      <c r="C1456" s="8">
        <f>DATE(2012,12,31)-459</f>
        <v>40815</v>
      </c>
      <c r="D1456" s="8" t="str">
        <f t="shared" si="30"/>
        <v>2011-09 (сентябрь 2011)</v>
      </c>
      <c r="E1456" s="9" t="s">
        <v>78</v>
      </c>
      <c r="F1456" s="7">
        <v>49</v>
      </c>
      <c r="G1456" s="7">
        <v>651.9</v>
      </c>
      <c r="H1456" s="7">
        <v>0.16</v>
      </c>
      <c r="I1456" s="9" t="s">
        <v>22</v>
      </c>
      <c r="J1456" s="10">
        <v>-74.510000000000005</v>
      </c>
      <c r="K1456" s="11">
        <v>13.73</v>
      </c>
      <c r="L1456" s="11">
        <v>6.85</v>
      </c>
      <c r="M1456" s="9" t="s">
        <v>996</v>
      </c>
      <c r="N1456" s="6" t="s">
        <v>703</v>
      </c>
      <c r="O1456" s="6" t="s">
        <v>704</v>
      </c>
      <c r="P1456" s="9" t="s">
        <v>25</v>
      </c>
      <c r="Q1456" s="9" t="s">
        <v>49</v>
      </c>
      <c r="R1456" s="9" t="s">
        <v>50</v>
      </c>
      <c r="S1456" s="7" t="s">
        <v>1058</v>
      </c>
      <c r="T1456" s="9" t="s">
        <v>68</v>
      </c>
      <c r="U1456" s="7">
        <v>0.54</v>
      </c>
      <c r="V1456" s="12">
        <f>C1456+3</f>
        <v>40818</v>
      </c>
      <c r="W1456">
        <f>IF(D1456=' Pivot Tables'!$A$4,1,0)</f>
        <v>0</v>
      </c>
      <c r="X1456">
        <f>IF(AND(LEFT(D1456,4)+1=LEFT(' Pivot Tables'!$A$4,4)+0,RIGHT(LEFT(D1456,7),2)=RIGHT(LEFT(' Pivot Tables'!$A$4,7),2)),1,0)</f>
        <v>0</v>
      </c>
      <c r="Y1456" s="6">
        <f>1/COUNTIF(Таблица1[Order ID],Таблица1[[#This Row],[Order ID]])</f>
        <v>1</v>
      </c>
      <c r="Z1456" s="9">
        <f>1/COUNTIFS(Таблица1[Customer Name],Таблица1[[#This Row],[Customer Name]],Таблица1[Order-Year-Month],Таблица1[[#This Row],[Order-Year-Month]])</f>
        <v>1</v>
      </c>
    </row>
    <row r="1457" spans="1:26" x14ac:dyDescent="0.2">
      <c r="A1457" s="6">
        <v>4991</v>
      </c>
      <c r="B1457" s="7">
        <v>35522</v>
      </c>
      <c r="C1457" s="8">
        <f>DATE(2012,12,31)-798</f>
        <v>40476</v>
      </c>
      <c r="D1457" s="8" t="str">
        <f t="shared" si="30"/>
        <v>2010-10 (октябрь 2010)</v>
      </c>
      <c r="E1457" s="9" t="s">
        <v>21</v>
      </c>
      <c r="F1457" s="7">
        <v>27</v>
      </c>
      <c r="G1457" s="7">
        <v>2575.0100000000002</v>
      </c>
      <c r="H1457" s="7">
        <v>0.09</v>
      </c>
      <c r="I1457" s="9" t="s">
        <v>22</v>
      </c>
      <c r="J1457" s="10">
        <v>231.46</v>
      </c>
      <c r="K1457" s="11">
        <v>99.99</v>
      </c>
      <c r="L1457" s="11">
        <v>19.989999999999998</v>
      </c>
      <c r="M1457" s="9" t="s">
        <v>1006</v>
      </c>
      <c r="N1457" s="6" t="s">
        <v>703</v>
      </c>
      <c r="O1457" s="6" t="s">
        <v>704</v>
      </c>
      <c r="P1457" s="9" t="s">
        <v>60</v>
      </c>
      <c r="Q1457" s="9" t="s">
        <v>42</v>
      </c>
      <c r="R1457" s="9" t="s">
        <v>70</v>
      </c>
      <c r="S1457" s="7" t="s">
        <v>337</v>
      </c>
      <c r="T1457" s="9" t="s">
        <v>39</v>
      </c>
      <c r="U1457" s="7">
        <v>0.52</v>
      </c>
      <c r="V1457" s="12">
        <f>C1457+7</f>
        <v>40483</v>
      </c>
      <c r="W1457">
        <f>IF(D1457=' Pivot Tables'!$A$4,1,0)</f>
        <v>0</v>
      </c>
      <c r="X1457">
        <f>IF(AND(LEFT(D1457,4)+1=LEFT(' Pivot Tables'!$A$4,4)+0,RIGHT(LEFT(D1457,7),2)=RIGHT(LEFT(' Pivot Tables'!$A$4,7),2)),1,0)</f>
        <v>0</v>
      </c>
      <c r="Y1457" s="6">
        <f>1/COUNTIF(Таблица1[Order ID],Таблица1[[#This Row],[Order ID]])</f>
        <v>1</v>
      </c>
      <c r="Z1457" s="9">
        <f>1/COUNTIFS(Таблица1[Customer Name],Таблица1[[#This Row],[Customer Name]],Таблица1[Order-Year-Month],Таблица1[[#This Row],[Order-Year-Month]])</f>
        <v>1</v>
      </c>
    </row>
    <row r="1458" spans="1:26" x14ac:dyDescent="0.2">
      <c r="A1458" s="6">
        <v>5062</v>
      </c>
      <c r="B1458" s="7">
        <v>36099</v>
      </c>
      <c r="C1458" s="8">
        <f>DATE(2012,12,31)-836</f>
        <v>40438</v>
      </c>
      <c r="D1458" s="8" t="str">
        <f t="shared" si="30"/>
        <v>2010-09 (сентябрь 2010)</v>
      </c>
      <c r="E1458" s="9" t="s">
        <v>21</v>
      </c>
      <c r="F1458" s="7">
        <v>32</v>
      </c>
      <c r="G1458" s="7">
        <v>85.49</v>
      </c>
      <c r="H1458" s="7">
        <v>0.08</v>
      </c>
      <c r="I1458" s="9" t="s">
        <v>22</v>
      </c>
      <c r="J1458" s="10">
        <v>5.72</v>
      </c>
      <c r="K1458" s="11">
        <v>2.88</v>
      </c>
      <c r="L1458" s="11">
        <v>0.7</v>
      </c>
      <c r="M1458" s="9" t="s">
        <v>1046</v>
      </c>
      <c r="N1458" s="6" t="s">
        <v>703</v>
      </c>
      <c r="O1458" s="6" t="s">
        <v>704</v>
      </c>
      <c r="P1458" s="9" t="s">
        <v>60</v>
      </c>
      <c r="Q1458" s="9" t="s">
        <v>26</v>
      </c>
      <c r="R1458" s="9" t="s">
        <v>95</v>
      </c>
      <c r="S1458" s="7" t="s">
        <v>1059</v>
      </c>
      <c r="T1458" s="9" t="s">
        <v>68</v>
      </c>
      <c r="U1458" s="7">
        <v>0.56000000000000005</v>
      </c>
      <c r="V1458" s="12">
        <f>C1458+5</f>
        <v>40443</v>
      </c>
      <c r="W1458">
        <f>IF(D1458=' Pivot Tables'!$A$4,1,0)</f>
        <v>0</v>
      </c>
      <c r="X1458">
        <f>IF(AND(LEFT(D1458,4)+1=LEFT(' Pivot Tables'!$A$4,4)+0,RIGHT(LEFT(D1458,7),2)=RIGHT(LEFT(' Pivot Tables'!$A$4,7),2)),1,0)</f>
        <v>0</v>
      </c>
      <c r="Y1458" s="6">
        <f>1/COUNTIF(Таблица1[Order ID],Таблица1[[#This Row],[Order ID]])</f>
        <v>0.5</v>
      </c>
      <c r="Z1458" s="9">
        <f>1/COUNTIFS(Таблица1[Customer Name],Таблица1[[#This Row],[Customer Name]],Таблица1[Order-Year-Month],Таблица1[[#This Row],[Order-Year-Month]])</f>
        <v>0.5</v>
      </c>
    </row>
    <row r="1459" spans="1:26" x14ac:dyDescent="0.2">
      <c r="A1459" s="6">
        <v>5063</v>
      </c>
      <c r="B1459" s="7">
        <v>36099</v>
      </c>
      <c r="C1459" s="8">
        <f>DATE(2012,12,31)-836</f>
        <v>40438</v>
      </c>
      <c r="D1459" s="8" t="str">
        <f t="shared" si="30"/>
        <v>2010-09 (сентябрь 2010)</v>
      </c>
      <c r="E1459" s="9" t="s">
        <v>21</v>
      </c>
      <c r="F1459" s="7">
        <v>15</v>
      </c>
      <c r="G1459" s="7">
        <v>926.3</v>
      </c>
      <c r="H1459" s="7">
        <v>0.09</v>
      </c>
      <c r="I1459" s="9" t="s">
        <v>22</v>
      </c>
      <c r="J1459" s="10">
        <v>-503.8</v>
      </c>
      <c r="K1459" s="11">
        <v>64.650000000000006</v>
      </c>
      <c r="L1459" s="11">
        <v>35</v>
      </c>
      <c r="M1459" s="9" t="s">
        <v>1046</v>
      </c>
      <c r="N1459" s="6" t="s">
        <v>703</v>
      </c>
      <c r="O1459" s="6" t="s">
        <v>704</v>
      </c>
      <c r="P1459" s="9" t="s">
        <v>60</v>
      </c>
      <c r="Q1459" s="9" t="s">
        <v>26</v>
      </c>
      <c r="R1459" s="9" t="s">
        <v>27</v>
      </c>
      <c r="S1459" s="7" t="s">
        <v>1060</v>
      </c>
      <c r="T1459" s="9" t="s">
        <v>29</v>
      </c>
      <c r="U1459" s="7">
        <v>0.8</v>
      </c>
      <c r="V1459" s="12">
        <f>C1459+5</f>
        <v>40443</v>
      </c>
      <c r="W1459">
        <f>IF(D1459=' Pivot Tables'!$A$4,1,0)</f>
        <v>0</v>
      </c>
      <c r="X1459">
        <f>IF(AND(LEFT(D1459,4)+1=LEFT(' Pivot Tables'!$A$4,4)+0,RIGHT(LEFT(D1459,7),2)=RIGHT(LEFT(' Pivot Tables'!$A$4,7),2)),1,0)</f>
        <v>0</v>
      </c>
      <c r="Y1459" s="6">
        <f>1/COUNTIF(Таблица1[Order ID],Таблица1[[#This Row],[Order ID]])</f>
        <v>0.5</v>
      </c>
      <c r="Z1459" s="9">
        <f>1/COUNTIFS(Таблица1[Customer Name],Таблица1[[#This Row],[Customer Name]],Таблица1[Order-Year-Month],Таблица1[[#This Row],[Order-Year-Month]])</f>
        <v>0.5</v>
      </c>
    </row>
    <row r="1460" spans="1:26" x14ac:dyDescent="0.2">
      <c r="A1460" s="6">
        <v>5106</v>
      </c>
      <c r="B1460" s="7">
        <v>36359</v>
      </c>
      <c r="C1460" s="8">
        <f>DATE(2012,12,31)-404</f>
        <v>40870</v>
      </c>
      <c r="D1460" s="8" t="str">
        <f t="shared" si="30"/>
        <v>2011-11 (ноябрь 2011)</v>
      </c>
      <c r="E1460" s="9" t="s">
        <v>30</v>
      </c>
      <c r="F1460" s="7">
        <v>2</v>
      </c>
      <c r="G1460" s="7">
        <v>68.66</v>
      </c>
      <c r="H1460" s="7">
        <v>0.06</v>
      </c>
      <c r="I1460" s="9" t="s">
        <v>22</v>
      </c>
      <c r="J1460" s="10">
        <v>-29.6</v>
      </c>
      <c r="K1460" s="11">
        <v>30.98</v>
      </c>
      <c r="L1460" s="11">
        <v>5.76</v>
      </c>
      <c r="M1460" s="9" t="s">
        <v>1028</v>
      </c>
      <c r="N1460" s="6" t="s">
        <v>703</v>
      </c>
      <c r="O1460" s="6" t="s">
        <v>704</v>
      </c>
      <c r="P1460" s="9" t="s">
        <v>41</v>
      </c>
      <c r="Q1460" s="9" t="s">
        <v>26</v>
      </c>
      <c r="R1460" s="9" t="s">
        <v>61</v>
      </c>
      <c r="S1460" s="7" t="s">
        <v>117</v>
      </c>
      <c r="T1460" s="9" t="s">
        <v>39</v>
      </c>
      <c r="U1460" s="7">
        <v>0.4</v>
      </c>
      <c r="V1460" s="12">
        <f>C1460+1</f>
        <v>40871</v>
      </c>
      <c r="W1460">
        <f>IF(D1460=' Pivot Tables'!$A$4,1,0)</f>
        <v>0</v>
      </c>
      <c r="X1460">
        <f>IF(AND(LEFT(D1460,4)+1=LEFT(' Pivot Tables'!$A$4,4)+0,RIGHT(LEFT(D1460,7),2)=RIGHT(LEFT(' Pivot Tables'!$A$4,7),2)),1,0)</f>
        <v>0</v>
      </c>
      <c r="Y1460" s="6">
        <f>1/COUNTIF(Таблица1[Order ID],Таблица1[[#This Row],[Order ID]])</f>
        <v>1</v>
      </c>
      <c r="Z1460" s="9">
        <f>1/COUNTIFS(Таблица1[Customer Name],Таблица1[[#This Row],[Customer Name]],Таблица1[Order-Year-Month],Таблица1[[#This Row],[Order-Year-Month]])</f>
        <v>1</v>
      </c>
    </row>
    <row r="1461" spans="1:26" x14ac:dyDescent="0.2">
      <c r="A1461" s="6">
        <v>5193</v>
      </c>
      <c r="B1461" s="7">
        <v>36901</v>
      </c>
      <c r="C1461" s="8">
        <f>DATE(2012,12,31)-109</f>
        <v>41165</v>
      </c>
      <c r="D1461" s="8" t="str">
        <f t="shared" si="30"/>
        <v>2012-09 (сентябрь 2012)</v>
      </c>
      <c r="E1461" s="9" t="s">
        <v>78</v>
      </c>
      <c r="F1461" s="7">
        <v>30</v>
      </c>
      <c r="G1461" s="7">
        <v>201.09</v>
      </c>
      <c r="H1461" s="7">
        <v>0.08</v>
      </c>
      <c r="I1461" s="9" t="s">
        <v>22</v>
      </c>
      <c r="J1461" s="10">
        <v>-56.22</v>
      </c>
      <c r="K1461" s="11">
        <v>6.68</v>
      </c>
      <c r="L1461" s="11">
        <v>5.66</v>
      </c>
      <c r="M1461" s="9" t="s">
        <v>1042</v>
      </c>
      <c r="N1461" s="6" t="s">
        <v>703</v>
      </c>
      <c r="O1461" s="6" t="s">
        <v>704</v>
      </c>
      <c r="P1461" s="9" t="s">
        <v>41</v>
      </c>
      <c r="Q1461" s="9" t="s">
        <v>26</v>
      </c>
      <c r="R1461" s="9" t="s">
        <v>61</v>
      </c>
      <c r="S1461" s="7" t="s">
        <v>860</v>
      </c>
      <c r="T1461" s="9" t="s">
        <v>39</v>
      </c>
      <c r="U1461" s="7">
        <v>0.37</v>
      </c>
      <c r="V1461" s="12">
        <f>C1461+1</f>
        <v>41166</v>
      </c>
      <c r="W1461">
        <f>IF(D1461=' Pivot Tables'!$A$4,1,0)</f>
        <v>0</v>
      </c>
      <c r="X1461">
        <f>IF(AND(LEFT(D1461,4)+1=LEFT(' Pivot Tables'!$A$4,4)+0,RIGHT(LEFT(D1461,7),2)=RIGHT(LEFT(' Pivot Tables'!$A$4,7),2)),1,0)</f>
        <v>0</v>
      </c>
      <c r="Y1461" s="6">
        <f>1/COUNTIF(Таблица1[Order ID],Таблица1[[#This Row],[Order ID]])</f>
        <v>1</v>
      </c>
      <c r="Z1461" s="9">
        <f>1/COUNTIFS(Таблица1[Customer Name],Таблица1[[#This Row],[Customer Name]],Таблица1[Order-Year-Month],Таблица1[[#This Row],[Order-Year-Month]])</f>
        <v>1</v>
      </c>
    </row>
    <row r="1462" spans="1:26" x14ac:dyDescent="0.2">
      <c r="A1462" s="6">
        <v>5256</v>
      </c>
      <c r="B1462" s="7">
        <v>37412</v>
      </c>
      <c r="C1462" s="8">
        <f>DATE(2012,12,31)-150</f>
        <v>41124</v>
      </c>
      <c r="D1462" s="8" t="str">
        <f t="shared" si="30"/>
        <v>2012-08 (август 2012)</v>
      </c>
      <c r="E1462" s="9" t="s">
        <v>30</v>
      </c>
      <c r="F1462" s="7">
        <v>17</v>
      </c>
      <c r="G1462" s="7">
        <v>191.67</v>
      </c>
      <c r="H1462" s="7">
        <v>0.03</v>
      </c>
      <c r="I1462" s="9" t="s">
        <v>22</v>
      </c>
      <c r="J1462" s="10">
        <v>6.02</v>
      </c>
      <c r="K1462" s="11">
        <v>10.98</v>
      </c>
      <c r="L1462" s="11">
        <v>3.37</v>
      </c>
      <c r="M1462" s="9" t="s">
        <v>1008</v>
      </c>
      <c r="N1462" s="6" t="s">
        <v>703</v>
      </c>
      <c r="O1462" s="6" t="s">
        <v>704</v>
      </c>
      <c r="P1462" s="9" t="s">
        <v>33</v>
      </c>
      <c r="Q1462" s="9" t="s">
        <v>26</v>
      </c>
      <c r="R1462" s="9" t="s">
        <v>150</v>
      </c>
      <c r="S1462" s="7" t="s">
        <v>465</v>
      </c>
      <c r="T1462" s="9" t="s">
        <v>52</v>
      </c>
      <c r="U1462" s="7">
        <v>0.56999999999999995</v>
      </c>
      <c r="V1462" s="12">
        <f>C1462+2</f>
        <v>41126</v>
      </c>
      <c r="W1462">
        <f>IF(D1462=' Pivot Tables'!$A$4,1,0)</f>
        <v>0</v>
      </c>
      <c r="X1462">
        <f>IF(AND(LEFT(D1462,4)+1=LEFT(' Pivot Tables'!$A$4,4)+0,RIGHT(LEFT(D1462,7),2)=RIGHT(LEFT(' Pivot Tables'!$A$4,7),2)),1,0)</f>
        <v>0</v>
      </c>
      <c r="Y1462" s="6">
        <f>1/COUNTIF(Таблица1[Order ID],Таблица1[[#This Row],[Order ID]])</f>
        <v>1</v>
      </c>
      <c r="Z1462" s="9">
        <f>1/COUNTIFS(Таблица1[Customer Name],Таблица1[[#This Row],[Customer Name]],Таблица1[Order-Year-Month],Таблица1[[#This Row],[Order-Year-Month]])</f>
        <v>1</v>
      </c>
    </row>
    <row r="1463" spans="1:26" x14ac:dyDescent="0.2">
      <c r="A1463" s="6">
        <v>5437</v>
      </c>
      <c r="B1463" s="7">
        <v>38625</v>
      </c>
      <c r="C1463" s="8">
        <f>DATE(2012,12,31)-775</f>
        <v>40499</v>
      </c>
      <c r="D1463" s="8" t="str">
        <f t="shared" si="30"/>
        <v>2010-11 (ноябрь 2010)</v>
      </c>
      <c r="E1463" s="9" t="s">
        <v>45</v>
      </c>
      <c r="F1463" s="7">
        <v>28</v>
      </c>
      <c r="G1463" s="7">
        <v>2752</v>
      </c>
      <c r="H1463" s="7">
        <v>0.06</v>
      </c>
      <c r="I1463" s="9" t="s">
        <v>56</v>
      </c>
      <c r="J1463" s="10">
        <v>336.47</v>
      </c>
      <c r="K1463" s="11">
        <v>99.99</v>
      </c>
      <c r="L1463" s="11">
        <v>19.989999999999998</v>
      </c>
      <c r="M1463" s="9" t="s">
        <v>1015</v>
      </c>
      <c r="N1463" s="6" t="s">
        <v>703</v>
      </c>
      <c r="O1463" s="6" t="s">
        <v>704</v>
      </c>
      <c r="P1463" s="9" t="s">
        <v>41</v>
      </c>
      <c r="Q1463" s="9" t="s">
        <v>42</v>
      </c>
      <c r="R1463" s="9" t="s">
        <v>70</v>
      </c>
      <c r="S1463" s="7" t="s">
        <v>337</v>
      </c>
      <c r="T1463" s="9" t="s">
        <v>39</v>
      </c>
      <c r="U1463" s="7">
        <v>0.52</v>
      </c>
      <c r="V1463" s="12">
        <f>C1463+2</f>
        <v>40501</v>
      </c>
      <c r="W1463">
        <f>IF(D1463=' Pivot Tables'!$A$4,1,0)</f>
        <v>0</v>
      </c>
      <c r="X1463">
        <f>IF(AND(LEFT(D1463,4)+1=LEFT(' Pivot Tables'!$A$4,4)+0,RIGHT(LEFT(D1463,7),2)=RIGHT(LEFT(' Pivot Tables'!$A$4,7),2)),1,0)</f>
        <v>0</v>
      </c>
      <c r="Y1463" s="6">
        <f>1/COUNTIF(Таблица1[Order ID],Таблица1[[#This Row],[Order ID]])</f>
        <v>0.5</v>
      </c>
      <c r="Z1463" s="9">
        <f>1/COUNTIFS(Таблица1[Customer Name],Таблица1[[#This Row],[Customer Name]],Таблица1[Order-Year-Month],Таблица1[[#This Row],[Order-Year-Month]])</f>
        <v>0.5</v>
      </c>
    </row>
    <row r="1464" spans="1:26" x14ac:dyDescent="0.2">
      <c r="A1464" s="6">
        <v>5438</v>
      </c>
      <c r="B1464" s="7">
        <v>38625</v>
      </c>
      <c r="C1464" s="8">
        <f>DATE(2012,12,31)-775</f>
        <v>40499</v>
      </c>
      <c r="D1464" s="8" t="str">
        <f t="shared" si="30"/>
        <v>2010-11 (ноябрь 2010)</v>
      </c>
      <c r="E1464" s="9" t="s">
        <v>45</v>
      </c>
      <c r="F1464" s="7">
        <v>12</v>
      </c>
      <c r="G1464" s="7">
        <v>72.819999999999993</v>
      </c>
      <c r="H1464" s="7">
        <v>0.02</v>
      </c>
      <c r="I1464" s="9" t="s">
        <v>22</v>
      </c>
      <c r="J1464" s="10">
        <v>5.03</v>
      </c>
      <c r="K1464" s="11">
        <v>5.98</v>
      </c>
      <c r="L1464" s="11">
        <v>2.5</v>
      </c>
      <c r="M1464" s="9" t="s">
        <v>1015</v>
      </c>
      <c r="N1464" s="6" t="s">
        <v>703</v>
      </c>
      <c r="O1464" s="6" t="s">
        <v>704</v>
      </c>
      <c r="P1464" s="9" t="s">
        <v>41</v>
      </c>
      <c r="Q1464" s="9" t="s">
        <v>26</v>
      </c>
      <c r="R1464" s="9" t="s">
        <v>76</v>
      </c>
      <c r="S1464" s="7" t="s">
        <v>625</v>
      </c>
      <c r="T1464" s="9" t="s">
        <v>39</v>
      </c>
      <c r="U1464" s="7">
        <v>0.36</v>
      </c>
      <c r="V1464" s="12">
        <f>C1464+2</f>
        <v>40501</v>
      </c>
      <c r="W1464">
        <f>IF(D1464=' Pivot Tables'!$A$4,1,0)</f>
        <v>0</v>
      </c>
      <c r="X1464">
        <f>IF(AND(LEFT(D1464,4)+1=LEFT(' Pivot Tables'!$A$4,4)+0,RIGHT(LEFT(D1464,7),2)=RIGHT(LEFT(' Pivot Tables'!$A$4,7),2)),1,0)</f>
        <v>0</v>
      </c>
      <c r="Y1464" s="6">
        <f>1/COUNTIF(Таблица1[Order ID],Таблица1[[#This Row],[Order ID]])</f>
        <v>0.5</v>
      </c>
      <c r="Z1464" s="9">
        <f>1/COUNTIFS(Таблица1[Customer Name],Таблица1[[#This Row],[Customer Name]],Таблица1[Order-Year-Month],Таблица1[[#This Row],[Order-Year-Month]])</f>
        <v>0.5</v>
      </c>
    </row>
    <row r="1465" spans="1:26" x14ac:dyDescent="0.2">
      <c r="A1465" s="6">
        <v>5443</v>
      </c>
      <c r="B1465" s="7">
        <v>38656</v>
      </c>
      <c r="C1465" s="8">
        <f>DATE(2012,12,31)-143</f>
        <v>41131</v>
      </c>
      <c r="D1465" s="8" t="str">
        <f t="shared" si="30"/>
        <v>2012-08 (август 2012)</v>
      </c>
      <c r="E1465" s="9" t="s">
        <v>21</v>
      </c>
      <c r="F1465" s="7">
        <v>13</v>
      </c>
      <c r="G1465" s="7">
        <v>64.459999999999994</v>
      </c>
      <c r="H1465" s="7">
        <v>0.01</v>
      </c>
      <c r="I1465" s="9" t="s">
        <v>22</v>
      </c>
      <c r="J1465" s="10">
        <v>25.16</v>
      </c>
      <c r="K1465" s="11">
        <v>4.91</v>
      </c>
      <c r="L1465" s="11">
        <v>0.5</v>
      </c>
      <c r="M1465" s="9" t="s">
        <v>1011</v>
      </c>
      <c r="N1465" s="6" t="s">
        <v>703</v>
      </c>
      <c r="O1465" s="6" t="s">
        <v>704</v>
      </c>
      <c r="P1465" s="9" t="s">
        <v>33</v>
      </c>
      <c r="Q1465" s="9" t="s">
        <v>26</v>
      </c>
      <c r="R1465" s="9" t="s">
        <v>88</v>
      </c>
      <c r="S1465" s="7" t="s">
        <v>468</v>
      </c>
      <c r="T1465" s="9" t="s">
        <v>39</v>
      </c>
      <c r="U1465" s="7">
        <v>0.36</v>
      </c>
      <c r="V1465" s="12">
        <f>C1465+0</f>
        <v>41131</v>
      </c>
      <c r="W1465">
        <f>IF(D1465=' Pivot Tables'!$A$4,1,0)</f>
        <v>0</v>
      </c>
      <c r="X1465">
        <f>IF(AND(LEFT(D1465,4)+1=LEFT(' Pivot Tables'!$A$4,4)+0,RIGHT(LEFT(D1465,7),2)=RIGHT(LEFT(' Pivot Tables'!$A$4,7),2)),1,0)</f>
        <v>0</v>
      </c>
      <c r="Y1465" s="6">
        <f>1/COUNTIF(Таблица1[Order ID],Таблица1[[#This Row],[Order ID]])</f>
        <v>0.33333333333333331</v>
      </c>
      <c r="Z1465" s="9">
        <f>1/COUNTIFS(Таблица1[Customer Name],Таблица1[[#This Row],[Customer Name]],Таблица1[Order-Year-Month],Таблица1[[#This Row],[Order-Year-Month]])</f>
        <v>0.33333333333333331</v>
      </c>
    </row>
    <row r="1466" spans="1:26" x14ac:dyDescent="0.2">
      <c r="A1466" s="6">
        <v>5458</v>
      </c>
      <c r="B1466" s="7">
        <v>38784</v>
      </c>
      <c r="C1466" s="8">
        <f>DATE(2012,12,31)-697</f>
        <v>40577</v>
      </c>
      <c r="D1466" s="8" t="str">
        <f t="shared" si="30"/>
        <v>2011-02 (февраль 2011)</v>
      </c>
      <c r="E1466" s="9" t="s">
        <v>63</v>
      </c>
      <c r="F1466" s="7">
        <v>50</v>
      </c>
      <c r="G1466" s="7">
        <v>298.12</v>
      </c>
      <c r="H1466" s="7">
        <v>0.09</v>
      </c>
      <c r="I1466" s="9" t="s">
        <v>22</v>
      </c>
      <c r="J1466" s="10">
        <v>137.66999999999999</v>
      </c>
      <c r="K1466" s="11">
        <v>6.3</v>
      </c>
      <c r="L1466" s="11">
        <v>0.5</v>
      </c>
      <c r="M1466" s="9" t="s">
        <v>910</v>
      </c>
      <c r="N1466" s="6" t="s">
        <v>703</v>
      </c>
      <c r="O1466" s="6" t="s">
        <v>704</v>
      </c>
      <c r="P1466" s="9" t="s">
        <v>60</v>
      </c>
      <c r="Q1466" s="9" t="s">
        <v>26</v>
      </c>
      <c r="R1466" s="9" t="s">
        <v>88</v>
      </c>
      <c r="S1466" s="7" t="s">
        <v>461</v>
      </c>
      <c r="T1466" s="9" t="s">
        <v>39</v>
      </c>
      <c r="U1466" s="7">
        <v>0.39</v>
      </c>
      <c r="V1466" s="12">
        <f>C1466+2</f>
        <v>40579</v>
      </c>
      <c r="W1466">
        <f>IF(D1466=' Pivot Tables'!$A$4,1,0)</f>
        <v>0</v>
      </c>
      <c r="X1466">
        <f>IF(AND(LEFT(D1466,4)+1=LEFT(' Pivot Tables'!$A$4,4)+0,RIGHT(LEFT(D1466,7),2)=RIGHT(LEFT(' Pivot Tables'!$A$4,7),2)),1,0)</f>
        <v>0</v>
      </c>
      <c r="Y1466" s="6">
        <f>1/COUNTIF(Таблица1[Order ID],Таблица1[[#This Row],[Order ID]])</f>
        <v>1</v>
      </c>
      <c r="Z1466" s="9">
        <f>1/COUNTIFS(Таблица1[Customer Name],Таблица1[[#This Row],[Customer Name]],Таблица1[Order-Year-Month],Таблица1[[#This Row],[Order-Year-Month]])</f>
        <v>1</v>
      </c>
    </row>
    <row r="1467" spans="1:26" x14ac:dyDescent="0.2">
      <c r="A1467" s="6">
        <v>5471</v>
      </c>
      <c r="B1467" s="7">
        <v>38882</v>
      </c>
      <c r="C1467" s="8">
        <f>DATE(2012,12,31)-1113</f>
        <v>40161</v>
      </c>
      <c r="D1467" s="8" t="str">
        <f t="shared" si="30"/>
        <v>2009-12 (декабрь 2009)</v>
      </c>
      <c r="E1467" s="9" t="s">
        <v>78</v>
      </c>
      <c r="F1467" s="7">
        <v>37</v>
      </c>
      <c r="G1467" s="7">
        <v>4411.5</v>
      </c>
      <c r="H1467" s="7">
        <v>0.1</v>
      </c>
      <c r="I1467" s="9" t="s">
        <v>31</v>
      </c>
      <c r="J1467" s="10">
        <v>-1799.35</v>
      </c>
      <c r="K1467" s="11">
        <v>122.99</v>
      </c>
      <c r="L1467" s="11">
        <v>70.2</v>
      </c>
      <c r="M1467" s="9" t="s">
        <v>1061</v>
      </c>
      <c r="N1467" s="6" t="s">
        <v>703</v>
      </c>
      <c r="O1467" s="6" t="s">
        <v>704</v>
      </c>
      <c r="P1467" s="9" t="s">
        <v>33</v>
      </c>
      <c r="Q1467" s="9" t="s">
        <v>49</v>
      </c>
      <c r="R1467" s="9" t="s">
        <v>112</v>
      </c>
      <c r="S1467" s="7" t="s">
        <v>426</v>
      </c>
      <c r="T1467" s="9" t="s">
        <v>36</v>
      </c>
      <c r="U1467" s="7">
        <v>0.74</v>
      </c>
      <c r="V1467" s="12">
        <f>C1467+1</f>
        <v>40162</v>
      </c>
      <c r="W1467">
        <f>IF(D1467=' Pivot Tables'!$A$4,1,0)</f>
        <v>0</v>
      </c>
      <c r="X1467">
        <f>IF(AND(LEFT(D1467,4)+1=LEFT(' Pivot Tables'!$A$4,4)+0,RIGHT(LEFT(D1467,7),2)=RIGHT(LEFT(' Pivot Tables'!$A$4,7),2)),1,0)</f>
        <v>0</v>
      </c>
      <c r="Y1467" s="6">
        <f>1/COUNTIF(Таблица1[Order ID],Таблица1[[#This Row],[Order ID]])</f>
        <v>0.5</v>
      </c>
      <c r="Z1467" s="9">
        <f>1/COUNTIFS(Таблица1[Customer Name],Таблица1[[#This Row],[Customer Name]],Таблица1[Order-Year-Month],Таблица1[[#This Row],[Order-Year-Month]])</f>
        <v>0.5</v>
      </c>
    </row>
    <row r="1468" spans="1:26" x14ac:dyDescent="0.2">
      <c r="A1468" s="6">
        <v>5579</v>
      </c>
      <c r="B1468" s="7">
        <v>39527</v>
      </c>
      <c r="C1468" s="8">
        <f>DATE(2012,12,31)-624</f>
        <v>40650</v>
      </c>
      <c r="D1468" s="8" t="str">
        <f t="shared" si="30"/>
        <v>2011-04 (апрель 2011)</v>
      </c>
      <c r="E1468" s="9" t="s">
        <v>21</v>
      </c>
      <c r="F1468" s="7">
        <v>29</v>
      </c>
      <c r="G1468" s="7">
        <v>213.35</v>
      </c>
      <c r="H1468" s="7">
        <v>0.01</v>
      </c>
      <c r="I1468" s="9" t="s">
        <v>22</v>
      </c>
      <c r="J1468" s="10">
        <v>63.78</v>
      </c>
      <c r="K1468" s="11">
        <v>6.88</v>
      </c>
      <c r="L1468" s="11">
        <v>2</v>
      </c>
      <c r="M1468" s="9" t="s">
        <v>1062</v>
      </c>
      <c r="N1468" s="6" t="s">
        <v>703</v>
      </c>
      <c r="O1468" s="6" t="s">
        <v>704</v>
      </c>
      <c r="P1468" s="9" t="s">
        <v>41</v>
      </c>
      <c r="Q1468" s="9" t="s">
        <v>26</v>
      </c>
      <c r="R1468" s="9" t="s">
        <v>61</v>
      </c>
      <c r="S1468" s="7" t="s">
        <v>1063</v>
      </c>
      <c r="T1468" s="9" t="s">
        <v>68</v>
      </c>
      <c r="U1468" s="7">
        <v>0.39</v>
      </c>
      <c r="V1468" s="12">
        <f>C1468+9</f>
        <v>40659</v>
      </c>
      <c r="W1468">
        <f>IF(D1468=' Pivot Tables'!$A$4,1,0)</f>
        <v>0</v>
      </c>
      <c r="X1468">
        <f>IF(AND(LEFT(D1468,4)+1=LEFT(' Pivot Tables'!$A$4,4)+0,RIGHT(LEFT(D1468,7),2)=RIGHT(LEFT(' Pivot Tables'!$A$4,7),2)),1,0)</f>
        <v>0</v>
      </c>
      <c r="Y1468" s="6">
        <f>1/COUNTIF(Таблица1[Order ID],Таблица1[[#This Row],[Order ID]])</f>
        <v>1</v>
      </c>
      <c r="Z1468" s="9">
        <f>1/COUNTIFS(Таблица1[Customer Name],Таблица1[[#This Row],[Customer Name]],Таблица1[Order-Year-Month],Таблица1[[#This Row],[Order-Year-Month]])</f>
        <v>0.33333333333333331</v>
      </c>
    </row>
    <row r="1469" spans="1:26" x14ac:dyDescent="0.2">
      <c r="A1469" s="6">
        <v>5627</v>
      </c>
      <c r="B1469" s="7">
        <v>39845</v>
      </c>
      <c r="C1469" s="8">
        <f>DATE(2012,12,31)-1212</f>
        <v>40062</v>
      </c>
      <c r="D1469" s="8" t="str">
        <f t="shared" si="30"/>
        <v>2009-09 (сентябрь 2009)</v>
      </c>
      <c r="E1469" s="9" t="s">
        <v>78</v>
      </c>
      <c r="F1469" s="7">
        <v>44</v>
      </c>
      <c r="G1469" s="7">
        <v>447.42</v>
      </c>
      <c r="H1469" s="7">
        <v>0.05</v>
      </c>
      <c r="I1469" s="9" t="s">
        <v>22</v>
      </c>
      <c r="J1469" s="10">
        <v>41.3</v>
      </c>
      <c r="K1469" s="11">
        <v>9.99</v>
      </c>
      <c r="L1469" s="11">
        <v>4.78</v>
      </c>
      <c r="M1469" s="9" t="s">
        <v>1018</v>
      </c>
      <c r="N1469" s="6" t="s">
        <v>703</v>
      </c>
      <c r="O1469" s="6" t="s">
        <v>704</v>
      </c>
      <c r="P1469" s="9" t="s">
        <v>60</v>
      </c>
      <c r="Q1469" s="9" t="s">
        <v>26</v>
      </c>
      <c r="R1469" s="9" t="s">
        <v>61</v>
      </c>
      <c r="S1469" s="7" t="s">
        <v>976</v>
      </c>
      <c r="T1469" s="9" t="s">
        <v>39</v>
      </c>
      <c r="U1469" s="7">
        <v>0.4</v>
      </c>
      <c r="V1469" s="12">
        <f>C1469+1</f>
        <v>40063</v>
      </c>
      <c r="W1469">
        <f>IF(D1469=' Pivot Tables'!$A$4,1,0)</f>
        <v>0</v>
      </c>
      <c r="X1469">
        <f>IF(AND(LEFT(D1469,4)+1=LEFT(' Pivot Tables'!$A$4,4)+0,RIGHT(LEFT(D1469,7),2)=RIGHT(LEFT(' Pivot Tables'!$A$4,7),2)),1,0)</f>
        <v>0</v>
      </c>
      <c r="Y1469" s="6">
        <f>1/COUNTIF(Таблица1[Order ID],Таблица1[[#This Row],[Order ID]])</f>
        <v>1</v>
      </c>
      <c r="Z1469" s="9">
        <f>1/COUNTIFS(Таблица1[Customer Name],Таблица1[[#This Row],[Customer Name]],Таблица1[Order-Year-Month],Таблица1[[#This Row],[Order-Year-Month]])</f>
        <v>1</v>
      </c>
    </row>
    <row r="1470" spans="1:26" x14ac:dyDescent="0.2">
      <c r="A1470" s="6">
        <v>5637</v>
      </c>
      <c r="B1470" s="7">
        <v>39877</v>
      </c>
      <c r="C1470" s="8">
        <f>DATE(2012,12,31)-137</f>
        <v>41137</v>
      </c>
      <c r="D1470" s="8" t="str">
        <f t="shared" si="30"/>
        <v>2012-08 (август 2012)</v>
      </c>
      <c r="E1470" s="9" t="s">
        <v>78</v>
      </c>
      <c r="F1470" s="7">
        <v>41</v>
      </c>
      <c r="G1470" s="7">
        <v>90.88</v>
      </c>
      <c r="H1470" s="7">
        <v>0.04</v>
      </c>
      <c r="I1470" s="9" t="s">
        <v>22</v>
      </c>
      <c r="J1470" s="10">
        <v>8.06</v>
      </c>
      <c r="K1470" s="11">
        <v>2.1800000000000002</v>
      </c>
      <c r="L1470" s="11">
        <v>0.78</v>
      </c>
      <c r="M1470" s="9" t="s">
        <v>1062</v>
      </c>
      <c r="N1470" s="6" t="s">
        <v>703</v>
      </c>
      <c r="O1470" s="6" t="s">
        <v>704</v>
      </c>
      <c r="P1470" s="9" t="s">
        <v>60</v>
      </c>
      <c r="Q1470" s="9" t="s">
        <v>26</v>
      </c>
      <c r="R1470" s="9" t="s">
        <v>66</v>
      </c>
      <c r="S1470" s="7" t="s">
        <v>428</v>
      </c>
      <c r="T1470" s="9" t="s">
        <v>68</v>
      </c>
      <c r="U1470" s="7">
        <v>0.52</v>
      </c>
      <c r="V1470" s="12">
        <f>C1470+2</f>
        <v>41139</v>
      </c>
      <c r="W1470">
        <f>IF(D1470=' Pivot Tables'!$A$4,1,0)</f>
        <v>0</v>
      </c>
      <c r="X1470">
        <f>IF(AND(LEFT(D1470,4)+1=LEFT(' Pivot Tables'!$A$4,4)+0,RIGHT(LEFT(D1470,7),2)=RIGHT(LEFT(' Pivot Tables'!$A$4,7),2)),1,0)</f>
        <v>0</v>
      </c>
      <c r="Y1470" s="6">
        <f>1/COUNTIF(Таблица1[Order ID],Таблица1[[#This Row],[Order ID]])</f>
        <v>1</v>
      </c>
      <c r="Z1470" s="9">
        <f>1/COUNTIFS(Таблица1[Customer Name],Таблица1[[#This Row],[Customer Name]],Таблица1[Order-Year-Month],Таблица1[[#This Row],[Order-Year-Month]])</f>
        <v>0.5</v>
      </c>
    </row>
    <row r="1471" spans="1:26" x14ac:dyDescent="0.2">
      <c r="A1471" s="6">
        <v>5695</v>
      </c>
      <c r="B1471" s="7">
        <v>40259</v>
      </c>
      <c r="C1471" s="8">
        <f>DATE(2012,12,31)-811</f>
        <v>40463</v>
      </c>
      <c r="D1471" s="8" t="str">
        <f t="shared" si="30"/>
        <v>2010-10 (октябрь 2010)</v>
      </c>
      <c r="E1471" s="9" t="s">
        <v>63</v>
      </c>
      <c r="F1471" s="7">
        <v>4</v>
      </c>
      <c r="G1471" s="7">
        <v>29.05</v>
      </c>
      <c r="H1471" s="7">
        <v>0.08</v>
      </c>
      <c r="I1471" s="9" t="s">
        <v>56</v>
      </c>
      <c r="J1471" s="10">
        <v>-20.9</v>
      </c>
      <c r="K1471" s="11">
        <v>4.9800000000000004</v>
      </c>
      <c r="L1471" s="11">
        <v>4.32</v>
      </c>
      <c r="M1471" s="9" t="s">
        <v>1001</v>
      </c>
      <c r="N1471" s="6" t="s">
        <v>703</v>
      </c>
      <c r="O1471" s="6" t="s">
        <v>704</v>
      </c>
      <c r="P1471" s="9" t="s">
        <v>41</v>
      </c>
      <c r="Q1471" s="9" t="s">
        <v>42</v>
      </c>
      <c r="R1471" s="9" t="s">
        <v>70</v>
      </c>
      <c r="S1471" s="7" t="s">
        <v>1064</v>
      </c>
      <c r="T1471" s="9" t="s">
        <v>52</v>
      </c>
      <c r="U1471" s="7">
        <v>0.64</v>
      </c>
      <c r="V1471" s="12">
        <f>C1471+1</f>
        <v>40464</v>
      </c>
      <c r="W1471">
        <f>IF(D1471=' Pivot Tables'!$A$4,1,0)</f>
        <v>0</v>
      </c>
      <c r="X1471">
        <f>IF(AND(LEFT(D1471,4)+1=LEFT(' Pivot Tables'!$A$4,4)+0,RIGHT(LEFT(D1471,7),2)=RIGHT(LEFT(' Pivot Tables'!$A$4,7),2)),1,0)</f>
        <v>0</v>
      </c>
      <c r="Y1471" s="6">
        <f>1/COUNTIF(Таблица1[Order ID],Таблица1[[#This Row],[Order ID]])</f>
        <v>1</v>
      </c>
      <c r="Z1471" s="9">
        <f>1/COUNTIFS(Таблица1[Customer Name],Таблица1[[#This Row],[Customer Name]],Таблица1[Order-Year-Month],Таблица1[[#This Row],[Order-Year-Month]])</f>
        <v>1</v>
      </c>
    </row>
    <row r="1472" spans="1:26" x14ac:dyDescent="0.2">
      <c r="A1472" s="6">
        <v>5814</v>
      </c>
      <c r="B1472" s="7">
        <v>41217</v>
      </c>
      <c r="C1472" s="8">
        <f>DATE(2012,12,31)-537</f>
        <v>40737</v>
      </c>
      <c r="D1472" s="8" t="str">
        <f t="shared" si="30"/>
        <v>2011-07 (июль 2011)</v>
      </c>
      <c r="E1472" s="9" t="s">
        <v>30</v>
      </c>
      <c r="F1472" s="7">
        <v>23</v>
      </c>
      <c r="G1472" s="7">
        <v>1314.64</v>
      </c>
      <c r="H1472" s="7">
        <v>0.03</v>
      </c>
      <c r="I1472" s="9" t="s">
        <v>56</v>
      </c>
      <c r="J1472" s="10">
        <v>575.38</v>
      </c>
      <c r="K1472" s="11">
        <v>55.48</v>
      </c>
      <c r="L1472" s="11">
        <v>6.79</v>
      </c>
      <c r="M1472" s="9" t="s">
        <v>1005</v>
      </c>
      <c r="N1472" s="6" t="s">
        <v>703</v>
      </c>
      <c r="O1472" s="6" t="s">
        <v>704</v>
      </c>
      <c r="P1472" s="9" t="s">
        <v>33</v>
      </c>
      <c r="Q1472" s="9" t="s">
        <v>26</v>
      </c>
      <c r="R1472" s="9" t="s">
        <v>61</v>
      </c>
      <c r="S1472" s="7" t="s">
        <v>1065</v>
      </c>
      <c r="T1472" s="9" t="s">
        <v>39</v>
      </c>
      <c r="U1472" s="7">
        <v>0.37</v>
      </c>
      <c r="V1472" s="12">
        <f>C1472+2</f>
        <v>40739</v>
      </c>
      <c r="W1472">
        <f>IF(D1472=' Pivot Tables'!$A$4,1,0)</f>
        <v>0</v>
      </c>
      <c r="X1472">
        <f>IF(AND(LEFT(D1472,4)+1=LEFT(' Pivot Tables'!$A$4,4)+0,RIGHT(LEFT(D1472,7),2)=RIGHT(LEFT(' Pivot Tables'!$A$4,7),2)),1,0)</f>
        <v>0</v>
      </c>
      <c r="Y1472" s="6">
        <f>1/COUNTIF(Таблица1[Order ID],Таблица1[[#This Row],[Order ID]])</f>
        <v>1</v>
      </c>
      <c r="Z1472" s="9">
        <f>1/COUNTIFS(Таблица1[Customer Name],Таблица1[[#This Row],[Customer Name]],Таблица1[Order-Year-Month],Таблица1[[#This Row],[Order-Year-Month]])</f>
        <v>1</v>
      </c>
    </row>
    <row r="1473" spans="1:26" x14ac:dyDescent="0.2">
      <c r="A1473" s="6">
        <v>5876</v>
      </c>
      <c r="B1473" s="7">
        <v>41671</v>
      </c>
      <c r="C1473" s="8">
        <f>DATE(2012,12,31)-28</f>
        <v>41246</v>
      </c>
      <c r="D1473" s="8" t="str">
        <f t="shared" si="30"/>
        <v>2012-12 (декабрь 2012)</v>
      </c>
      <c r="E1473" s="9" t="s">
        <v>78</v>
      </c>
      <c r="F1473" s="7">
        <v>49</v>
      </c>
      <c r="G1473" s="7">
        <v>638.91</v>
      </c>
      <c r="H1473" s="7">
        <v>0.02</v>
      </c>
      <c r="I1473" s="9" t="s">
        <v>22</v>
      </c>
      <c r="J1473" s="10">
        <v>77.48</v>
      </c>
      <c r="K1473" s="11">
        <v>12.98</v>
      </c>
      <c r="L1473" s="11">
        <v>3.14</v>
      </c>
      <c r="M1473" s="9" t="s">
        <v>1053</v>
      </c>
      <c r="N1473" s="6" t="s">
        <v>703</v>
      </c>
      <c r="O1473" s="6" t="s">
        <v>704</v>
      </c>
      <c r="P1473" s="9" t="s">
        <v>41</v>
      </c>
      <c r="Q1473" s="9" t="s">
        <v>26</v>
      </c>
      <c r="R1473" s="9" t="s">
        <v>150</v>
      </c>
      <c r="S1473" s="7" t="s">
        <v>356</v>
      </c>
      <c r="T1473" s="9" t="s">
        <v>52</v>
      </c>
      <c r="U1473" s="7">
        <v>0.6</v>
      </c>
      <c r="V1473" s="12">
        <f>C1473+2</f>
        <v>41248</v>
      </c>
      <c r="W1473">
        <f>IF(D1473=' Pivot Tables'!$A$4,1,0)</f>
        <v>0</v>
      </c>
      <c r="X1473">
        <f>IF(AND(LEFT(D1473,4)+1=LEFT(' Pivot Tables'!$A$4,4)+0,RIGHT(LEFT(D1473,7),2)=RIGHT(LEFT(' Pivot Tables'!$A$4,7),2)),1,0)</f>
        <v>0</v>
      </c>
      <c r="Y1473" s="6">
        <f>1/COUNTIF(Таблица1[Order ID],Таблица1[[#This Row],[Order ID]])</f>
        <v>1</v>
      </c>
      <c r="Z1473" s="9">
        <f>1/COUNTIFS(Таблица1[Customer Name],Таблица1[[#This Row],[Customer Name]],Таблица1[Order-Year-Month],Таблица1[[#This Row],[Order-Year-Month]])</f>
        <v>1</v>
      </c>
    </row>
    <row r="1474" spans="1:26" x14ac:dyDescent="0.2">
      <c r="A1474" s="6">
        <v>5915</v>
      </c>
      <c r="B1474" s="7">
        <v>41927</v>
      </c>
      <c r="C1474" s="8">
        <f>DATE(2012,12,31)-171</f>
        <v>41103</v>
      </c>
      <c r="D1474" s="8" t="str">
        <f t="shared" si="30"/>
        <v>2012-07 (июль 2012)</v>
      </c>
      <c r="E1474" s="9" t="s">
        <v>45</v>
      </c>
      <c r="F1474" s="7">
        <v>46</v>
      </c>
      <c r="G1474" s="7">
        <v>2332.23</v>
      </c>
      <c r="H1474" s="7">
        <v>0.02</v>
      </c>
      <c r="I1474" s="9" t="s">
        <v>56</v>
      </c>
      <c r="J1474" s="10">
        <v>1085.93</v>
      </c>
      <c r="K1474" s="11">
        <v>48.04</v>
      </c>
      <c r="L1474" s="11">
        <v>7.23</v>
      </c>
      <c r="M1474" s="9" t="s">
        <v>996</v>
      </c>
      <c r="N1474" s="6" t="s">
        <v>703</v>
      </c>
      <c r="O1474" s="6" t="s">
        <v>704</v>
      </c>
      <c r="P1474" s="9" t="s">
        <v>60</v>
      </c>
      <c r="Q1474" s="9" t="s">
        <v>26</v>
      </c>
      <c r="R1474" s="9" t="s">
        <v>61</v>
      </c>
      <c r="S1474" s="7" t="s">
        <v>527</v>
      </c>
      <c r="T1474" s="9" t="s">
        <v>39</v>
      </c>
      <c r="U1474" s="7">
        <v>0.37</v>
      </c>
      <c r="V1474" s="12">
        <f>C1474+3</f>
        <v>41106</v>
      </c>
      <c r="W1474">
        <f>IF(D1474=' Pivot Tables'!$A$4,1,0)</f>
        <v>0</v>
      </c>
      <c r="X1474">
        <f>IF(AND(LEFT(D1474,4)+1=LEFT(' Pivot Tables'!$A$4,4)+0,RIGHT(LEFT(D1474,7),2)=RIGHT(LEFT(' Pivot Tables'!$A$4,7),2)),1,0)</f>
        <v>0</v>
      </c>
      <c r="Y1474" s="6">
        <f>1/COUNTIF(Таблица1[Order ID],Таблица1[[#This Row],[Order ID]])</f>
        <v>1</v>
      </c>
      <c r="Z1474" s="9">
        <f>1/COUNTIFS(Таблица1[Customer Name],Таблица1[[#This Row],[Customer Name]],Таблица1[Order-Year-Month],Таблица1[[#This Row],[Order-Year-Month]])</f>
        <v>1</v>
      </c>
    </row>
    <row r="1475" spans="1:26" x14ac:dyDescent="0.2">
      <c r="A1475" s="6">
        <v>5919</v>
      </c>
      <c r="B1475" s="7">
        <v>41988</v>
      </c>
      <c r="C1475" s="8">
        <f>DATE(2012,12,31)-1426</f>
        <v>39848</v>
      </c>
      <c r="D1475" s="8" t="str">
        <f t="shared" ref="D1475:D1538" si="31">TEXT(C1475,"гггг-ММ (ММММ гггг)")</f>
        <v>2009-02 (февраль 2009)</v>
      </c>
      <c r="E1475" s="9" t="s">
        <v>21</v>
      </c>
      <c r="F1475" s="7">
        <v>33</v>
      </c>
      <c r="G1475" s="7">
        <v>4610.3500000000004</v>
      </c>
      <c r="H1475" s="7">
        <v>0.08</v>
      </c>
      <c r="I1475" s="9" t="s">
        <v>31</v>
      </c>
      <c r="J1475" s="10">
        <v>751.58</v>
      </c>
      <c r="K1475" s="11">
        <v>145.44999999999999</v>
      </c>
      <c r="L1475" s="11">
        <v>17.850000000000001</v>
      </c>
      <c r="M1475" s="9" t="s">
        <v>996</v>
      </c>
      <c r="N1475" s="6" t="s">
        <v>703</v>
      </c>
      <c r="O1475" s="6" t="s">
        <v>704</v>
      </c>
      <c r="P1475" s="9" t="s">
        <v>60</v>
      </c>
      <c r="Q1475" s="9" t="s">
        <v>42</v>
      </c>
      <c r="R1475" s="9" t="s">
        <v>210</v>
      </c>
      <c r="S1475" s="7" t="s">
        <v>234</v>
      </c>
      <c r="T1475" s="9" t="s">
        <v>36</v>
      </c>
      <c r="U1475" s="7">
        <v>0.56000000000000005</v>
      </c>
      <c r="V1475" s="12">
        <f>C1475+0</f>
        <v>39848</v>
      </c>
      <c r="W1475">
        <f>IF(D1475=' Pivot Tables'!$A$4,1,0)</f>
        <v>0</v>
      </c>
      <c r="X1475">
        <f>IF(AND(LEFT(D1475,4)+1=LEFT(' Pivot Tables'!$A$4,4)+0,RIGHT(LEFT(D1475,7),2)=RIGHT(LEFT(' Pivot Tables'!$A$4,7),2)),1,0)</f>
        <v>0</v>
      </c>
      <c r="Y1475" s="6">
        <f>1/COUNTIF(Таблица1[Order ID],Таблица1[[#This Row],[Order ID]])</f>
        <v>0.33333333333333331</v>
      </c>
      <c r="Z1475" s="9">
        <f>1/COUNTIFS(Таблица1[Customer Name],Таблица1[[#This Row],[Customer Name]],Таблица1[Order-Year-Month],Таблица1[[#This Row],[Order-Year-Month]])</f>
        <v>0.33333333333333331</v>
      </c>
    </row>
    <row r="1476" spans="1:26" x14ac:dyDescent="0.2">
      <c r="A1476" s="6">
        <v>5920</v>
      </c>
      <c r="B1476" s="7">
        <v>41988</v>
      </c>
      <c r="C1476" s="8">
        <f>DATE(2012,12,31)-1426</f>
        <v>39848</v>
      </c>
      <c r="D1476" s="8" t="str">
        <f t="shared" si="31"/>
        <v>2009-02 (февраль 2009)</v>
      </c>
      <c r="E1476" s="9" t="s">
        <v>21</v>
      </c>
      <c r="F1476" s="7">
        <v>18</v>
      </c>
      <c r="G1476" s="7">
        <v>610.07000000000005</v>
      </c>
      <c r="H1476" s="7">
        <v>7.0000000000000007E-2</v>
      </c>
      <c r="I1476" s="9" t="s">
        <v>31</v>
      </c>
      <c r="J1476" s="10">
        <v>-157.56</v>
      </c>
      <c r="K1476" s="11">
        <v>33.94</v>
      </c>
      <c r="L1476" s="11">
        <v>19.190000000000001</v>
      </c>
      <c r="M1476" s="9" t="s">
        <v>996</v>
      </c>
      <c r="N1476" s="6" t="s">
        <v>703</v>
      </c>
      <c r="O1476" s="6" t="s">
        <v>704</v>
      </c>
      <c r="P1476" s="9" t="s">
        <v>60</v>
      </c>
      <c r="Q1476" s="9" t="s">
        <v>49</v>
      </c>
      <c r="R1476" s="9" t="s">
        <v>112</v>
      </c>
      <c r="S1476" s="7" t="s">
        <v>323</v>
      </c>
      <c r="T1476" s="9" t="s">
        <v>36</v>
      </c>
      <c r="U1476" s="7">
        <v>0.57999999999999996</v>
      </c>
      <c r="V1476" s="12">
        <f>C1476+4</f>
        <v>39852</v>
      </c>
      <c r="W1476">
        <f>IF(D1476=' Pivot Tables'!$A$4,1,0)</f>
        <v>0</v>
      </c>
      <c r="X1476">
        <f>IF(AND(LEFT(D1476,4)+1=LEFT(' Pivot Tables'!$A$4,4)+0,RIGHT(LEFT(D1476,7),2)=RIGHT(LEFT(' Pivot Tables'!$A$4,7),2)),1,0)</f>
        <v>0</v>
      </c>
      <c r="Y1476" s="6">
        <f>1/COUNTIF(Таблица1[Order ID],Таблица1[[#This Row],[Order ID]])</f>
        <v>0.33333333333333331</v>
      </c>
      <c r="Z1476" s="9">
        <f>1/COUNTIFS(Таблица1[Customer Name],Таблица1[[#This Row],[Customer Name]],Таблица1[Order-Year-Month],Таблица1[[#This Row],[Order-Year-Month]])</f>
        <v>0.33333333333333331</v>
      </c>
    </row>
    <row r="1477" spans="1:26" x14ac:dyDescent="0.2">
      <c r="A1477" s="6">
        <v>5921</v>
      </c>
      <c r="B1477" s="7">
        <v>41988</v>
      </c>
      <c r="C1477" s="8">
        <f>DATE(2012,12,31)-1426</f>
        <v>39848</v>
      </c>
      <c r="D1477" s="8" t="str">
        <f t="shared" si="31"/>
        <v>2009-02 (февраль 2009)</v>
      </c>
      <c r="E1477" s="9" t="s">
        <v>21</v>
      </c>
      <c r="F1477" s="7">
        <v>14</v>
      </c>
      <c r="G1477" s="7">
        <v>181.49</v>
      </c>
      <c r="H1477" s="7">
        <v>0.1</v>
      </c>
      <c r="I1477" s="9" t="s">
        <v>22</v>
      </c>
      <c r="J1477" s="10">
        <v>-29.54</v>
      </c>
      <c r="K1477" s="11">
        <v>13.43</v>
      </c>
      <c r="L1477" s="11">
        <v>5.5</v>
      </c>
      <c r="M1477" s="9" t="s">
        <v>996</v>
      </c>
      <c r="N1477" s="6" t="s">
        <v>703</v>
      </c>
      <c r="O1477" s="6" t="s">
        <v>704</v>
      </c>
      <c r="P1477" s="9" t="s">
        <v>60</v>
      </c>
      <c r="Q1477" s="9" t="s">
        <v>26</v>
      </c>
      <c r="R1477" s="9" t="s">
        <v>27</v>
      </c>
      <c r="S1477" s="7" t="s">
        <v>1066</v>
      </c>
      <c r="T1477" s="9" t="s">
        <v>39</v>
      </c>
      <c r="U1477" s="7">
        <v>0.56999999999999995</v>
      </c>
      <c r="V1477" s="12">
        <f>C1477+4</f>
        <v>39852</v>
      </c>
      <c r="W1477">
        <f>IF(D1477=' Pivot Tables'!$A$4,1,0)</f>
        <v>0</v>
      </c>
      <c r="X1477">
        <f>IF(AND(LEFT(D1477,4)+1=LEFT(' Pivot Tables'!$A$4,4)+0,RIGHT(LEFT(D1477,7),2)=RIGHT(LEFT(' Pivot Tables'!$A$4,7),2)),1,0)</f>
        <v>0</v>
      </c>
      <c r="Y1477" s="6">
        <f>1/COUNTIF(Таблица1[Order ID],Таблица1[[#This Row],[Order ID]])</f>
        <v>0.33333333333333331</v>
      </c>
      <c r="Z1477" s="9">
        <f>1/COUNTIFS(Таблица1[Customer Name],Таблица1[[#This Row],[Customer Name]],Таблица1[Order-Year-Month],Таблица1[[#This Row],[Order-Year-Month]])</f>
        <v>0.33333333333333331</v>
      </c>
    </row>
    <row r="1478" spans="1:26" x14ac:dyDescent="0.2">
      <c r="A1478" s="6">
        <v>6026</v>
      </c>
      <c r="B1478" s="7">
        <v>42692</v>
      </c>
      <c r="C1478" s="8">
        <f>DATE(2012,12,31)-377</f>
        <v>40897</v>
      </c>
      <c r="D1478" s="8" t="str">
        <f t="shared" si="31"/>
        <v>2011-12 (декабрь 2011)</v>
      </c>
      <c r="E1478" s="9" t="s">
        <v>63</v>
      </c>
      <c r="F1478" s="7">
        <v>41</v>
      </c>
      <c r="G1478" s="7">
        <v>248.86</v>
      </c>
      <c r="H1478" s="7">
        <v>0.08</v>
      </c>
      <c r="I1478" s="9" t="s">
        <v>22</v>
      </c>
      <c r="J1478" s="10">
        <v>-168.67</v>
      </c>
      <c r="K1478" s="11">
        <v>5.98</v>
      </c>
      <c r="L1478" s="11">
        <v>7.5</v>
      </c>
      <c r="M1478" s="9" t="s">
        <v>1009</v>
      </c>
      <c r="N1478" s="6" t="s">
        <v>703</v>
      </c>
      <c r="O1478" s="6" t="s">
        <v>704</v>
      </c>
      <c r="P1478" s="9" t="s">
        <v>25</v>
      </c>
      <c r="Q1478" s="9" t="s">
        <v>26</v>
      </c>
      <c r="R1478" s="9" t="s">
        <v>61</v>
      </c>
      <c r="S1478" s="7" t="s">
        <v>579</v>
      </c>
      <c r="T1478" s="9" t="s">
        <v>39</v>
      </c>
      <c r="U1478" s="7">
        <v>0.4</v>
      </c>
      <c r="V1478" s="12">
        <f>C1478+2</f>
        <v>40899</v>
      </c>
      <c r="W1478">
        <f>IF(D1478=' Pivot Tables'!$A$4,1,0)</f>
        <v>0</v>
      </c>
      <c r="X1478">
        <f>IF(AND(LEFT(D1478,4)+1=LEFT(' Pivot Tables'!$A$4,4)+0,RIGHT(LEFT(D1478,7),2)=RIGHT(LEFT(' Pivot Tables'!$A$4,7),2)),1,0)</f>
        <v>0</v>
      </c>
      <c r="Y1478" s="6">
        <f>1/COUNTIF(Таблица1[Order ID],Таблица1[[#This Row],[Order ID]])</f>
        <v>0.5</v>
      </c>
      <c r="Z1478" s="9">
        <f>1/COUNTIFS(Таблица1[Customer Name],Таблица1[[#This Row],[Customer Name]],Таблица1[Order-Year-Month],Таблица1[[#This Row],[Order-Year-Month]])</f>
        <v>0.5</v>
      </c>
    </row>
    <row r="1479" spans="1:26" x14ac:dyDescent="0.2">
      <c r="A1479" s="6">
        <v>6027</v>
      </c>
      <c r="B1479" s="7">
        <v>42692</v>
      </c>
      <c r="C1479" s="8">
        <f>DATE(2012,12,31)-377</f>
        <v>40897</v>
      </c>
      <c r="D1479" s="8" t="str">
        <f t="shared" si="31"/>
        <v>2011-12 (декабрь 2011)</v>
      </c>
      <c r="E1479" s="9" t="s">
        <v>63</v>
      </c>
      <c r="F1479" s="7">
        <v>42</v>
      </c>
      <c r="G1479" s="7">
        <v>278.01</v>
      </c>
      <c r="H1479" s="7">
        <v>0.03</v>
      </c>
      <c r="I1479" s="9" t="s">
        <v>22</v>
      </c>
      <c r="J1479" s="10">
        <v>-202.31</v>
      </c>
      <c r="K1479" s="11">
        <v>6.48</v>
      </c>
      <c r="L1479" s="11">
        <v>8.73</v>
      </c>
      <c r="M1479" s="9" t="s">
        <v>1009</v>
      </c>
      <c r="N1479" s="6" t="s">
        <v>703</v>
      </c>
      <c r="O1479" s="6" t="s">
        <v>704</v>
      </c>
      <c r="P1479" s="9" t="s">
        <v>25</v>
      </c>
      <c r="Q1479" s="9" t="s">
        <v>26</v>
      </c>
      <c r="R1479" s="9" t="s">
        <v>61</v>
      </c>
      <c r="S1479" s="7" t="s">
        <v>828</v>
      </c>
      <c r="T1479" s="9" t="s">
        <v>39</v>
      </c>
      <c r="U1479" s="7">
        <v>0.37</v>
      </c>
      <c r="V1479" s="12">
        <f>C1479+1</f>
        <v>40898</v>
      </c>
      <c r="W1479">
        <f>IF(D1479=' Pivot Tables'!$A$4,1,0)</f>
        <v>0</v>
      </c>
      <c r="X1479">
        <f>IF(AND(LEFT(D1479,4)+1=LEFT(' Pivot Tables'!$A$4,4)+0,RIGHT(LEFT(D1479,7),2)=RIGHT(LEFT(' Pivot Tables'!$A$4,7),2)),1,0)</f>
        <v>0</v>
      </c>
      <c r="Y1479" s="6">
        <f>1/COUNTIF(Таблица1[Order ID],Таблица1[[#This Row],[Order ID]])</f>
        <v>0.5</v>
      </c>
      <c r="Z1479" s="9">
        <f>1/COUNTIFS(Таблица1[Customer Name],Таблица1[[#This Row],[Customer Name]],Таблица1[Order-Year-Month],Таблица1[[#This Row],[Order-Year-Month]])</f>
        <v>0.5</v>
      </c>
    </row>
    <row r="1480" spans="1:26" x14ac:dyDescent="0.2">
      <c r="A1480" s="6">
        <v>6216</v>
      </c>
      <c r="B1480" s="7">
        <v>44007</v>
      </c>
      <c r="C1480" s="8">
        <f>DATE(2012,12,31)-581</f>
        <v>40693</v>
      </c>
      <c r="D1480" s="8" t="str">
        <f t="shared" si="31"/>
        <v>2011-05 (май 2011)</v>
      </c>
      <c r="E1480" s="9" t="s">
        <v>63</v>
      </c>
      <c r="F1480" s="7">
        <v>50</v>
      </c>
      <c r="G1480" s="7">
        <v>281.81</v>
      </c>
      <c r="H1480" s="7">
        <v>7.0000000000000007E-2</v>
      </c>
      <c r="I1480" s="9" t="s">
        <v>22</v>
      </c>
      <c r="J1480" s="10">
        <v>42.45</v>
      </c>
      <c r="K1480" s="11">
        <v>5.98</v>
      </c>
      <c r="L1480" s="11">
        <v>0.96</v>
      </c>
      <c r="M1480" s="9" t="s">
        <v>1005</v>
      </c>
      <c r="N1480" s="6" t="s">
        <v>703</v>
      </c>
      <c r="O1480" s="6" t="s">
        <v>704</v>
      </c>
      <c r="P1480" s="9" t="s">
        <v>33</v>
      </c>
      <c r="Q1480" s="9" t="s">
        <v>26</v>
      </c>
      <c r="R1480" s="9" t="s">
        <v>95</v>
      </c>
      <c r="S1480" s="7" t="s">
        <v>749</v>
      </c>
      <c r="T1480" s="9" t="s">
        <v>68</v>
      </c>
      <c r="U1480" s="7">
        <v>0.6</v>
      </c>
      <c r="V1480" s="12">
        <f>C1480+0</f>
        <v>40693</v>
      </c>
      <c r="W1480">
        <f>IF(D1480=' Pivot Tables'!$A$4,1,0)</f>
        <v>0</v>
      </c>
      <c r="X1480">
        <f>IF(AND(LEFT(D1480,4)+1=LEFT(' Pivot Tables'!$A$4,4)+0,RIGHT(LEFT(D1480,7),2)=RIGHT(LEFT(' Pivot Tables'!$A$4,7),2)),1,0)</f>
        <v>0</v>
      </c>
      <c r="Y1480" s="6">
        <f>1/COUNTIF(Таблица1[Order ID],Таблица1[[#This Row],[Order ID]])</f>
        <v>1</v>
      </c>
      <c r="Z1480" s="9">
        <f>1/COUNTIFS(Таблица1[Customer Name],Таблица1[[#This Row],[Customer Name]],Таблица1[Order-Year-Month],Таблица1[[#This Row],[Order-Year-Month]])</f>
        <v>1</v>
      </c>
    </row>
    <row r="1481" spans="1:26" x14ac:dyDescent="0.2">
      <c r="A1481" s="6">
        <v>6279</v>
      </c>
      <c r="B1481" s="7">
        <v>44450</v>
      </c>
      <c r="C1481" s="8">
        <f>DATE(2012,12,31)-814</f>
        <v>40460</v>
      </c>
      <c r="D1481" s="8" t="str">
        <f t="shared" si="31"/>
        <v>2010-10 (октябрь 2010)</v>
      </c>
      <c r="E1481" s="9" t="s">
        <v>78</v>
      </c>
      <c r="F1481" s="7">
        <v>14</v>
      </c>
      <c r="G1481" s="7">
        <v>243.23</v>
      </c>
      <c r="H1481" s="7">
        <v>7.0000000000000007E-2</v>
      </c>
      <c r="I1481" s="9" t="s">
        <v>22</v>
      </c>
      <c r="J1481" s="10">
        <v>35.33</v>
      </c>
      <c r="K1481" s="11">
        <v>17.48</v>
      </c>
      <c r="L1481" s="11">
        <v>1.99</v>
      </c>
      <c r="M1481" s="9" t="s">
        <v>1010</v>
      </c>
      <c r="N1481" s="6" t="s">
        <v>703</v>
      </c>
      <c r="O1481" s="6" t="s">
        <v>704</v>
      </c>
      <c r="P1481" s="9" t="s">
        <v>41</v>
      </c>
      <c r="Q1481" s="9" t="s">
        <v>42</v>
      </c>
      <c r="R1481" s="9" t="s">
        <v>70</v>
      </c>
      <c r="S1481" s="7" t="s">
        <v>1067</v>
      </c>
      <c r="T1481" s="9" t="s">
        <v>52</v>
      </c>
      <c r="U1481" s="7">
        <v>0.45</v>
      </c>
      <c r="V1481" s="12">
        <f>C1481+1</f>
        <v>40461</v>
      </c>
      <c r="W1481">
        <f>IF(D1481=' Pivot Tables'!$A$4,1,0)</f>
        <v>0</v>
      </c>
      <c r="X1481">
        <f>IF(AND(LEFT(D1481,4)+1=LEFT(' Pivot Tables'!$A$4,4)+0,RIGHT(LEFT(D1481,7),2)=RIGHT(LEFT(' Pivot Tables'!$A$4,7),2)),1,0)</f>
        <v>0</v>
      </c>
      <c r="Y1481" s="6">
        <f>1/COUNTIF(Таблица1[Order ID],Таблица1[[#This Row],[Order ID]])</f>
        <v>0.5</v>
      </c>
      <c r="Z1481" s="9">
        <f>1/COUNTIFS(Таблица1[Customer Name],Таблица1[[#This Row],[Customer Name]],Таблица1[Order-Year-Month],Таблица1[[#This Row],[Order-Year-Month]])</f>
        <v>0.5</v>
      </c>
    </row>
    <row r="1482" spans="1:26" x14ac:dyDescent="0.2">
      <c r="A1482" s="6">
        <v>6280</v>
      </c>
      <c r="B1482" s="7">
        <v>44450</v>
      </c>
      <c r="C1482" s="8">
        <f>DATE(2012,12,31)-814</f>
        <v>40460</v>
      </c>
      <c r="D1482" s="8" t="str">
        <f t="shared" si="31"/>
        <v>2010-10 (октябрь 2010)</v>
      </c>
      <c r="E1482" s="9" t="s">
        <v>78</v>
      </c>
      <c r="F1482" s="7">
        <v>24</v>
      </c>
      <c r="G1482" s="7">
        <v>1326.51</v>
      </c>
      <c r="H1482" s="7">
        <v>0.03</v>
      </c>
      <c r="I1482" s="9" t="s">
        <v>22</v>
      </c>
      <c r="J1482" s="10">
        <v>58.166999999999994</v>
      </c>
      <c r="K1482" s="11">
        <v>65.989999999999995</v>
      </c>
      <c r="L1482" s="11">
        <v>8.99</v>
      </c>
      <c r="M1482" s="9" t="s">
        <v>1010</v>
      </c>
      <c r="N1482" s="6" t="s">
        <v>703</v>
      </c>
      <c r="O1482" s="6" t="s">
        <v>704</v>
      </c>
      <c r="P1482" s="9" t="s">
        <v>41</v>
      </c>
      <c r="Q1482" s="9" t="s">
        <v>42</v>
      </c>
      <c r="R1482" s="9" t="s">
        <v>43</v>
      </c>
      <c r="S1482" s="7" t="s">
        <v>1068</v>
      </c>
      <c r="T1482" s="9" t="s">
        <v>39</v>
      </c>
      <c r="U1482" s="7">
        <v>0.6</v>
      </c>
      <c r="V1482" s="12">
        <f>C1482+0</f>
        <v>40460</v>
      </c>
      <c r="W1482">
        <f>IF(D1482=' Pivot Tables'!$A$4,1,0)</f>
        <v>0</v>
      </c>
      <c r="X1482">
        <f>IF(AND(LEFT(D1482,4)+1=LEFT(' Pivot Tables'!$A$4,4)+0,RIGHT(LEFT(D1482,7),2)=RIGHT(LEFT(' Pivot Tables'!$A$4,7),2)),1,0)</f>
        <v>0</v>
      </c>
      <c r="Y1482" s="6">
        <f>1/COUNTIF(Таблица1[Order ID],Таблица1[[#This Row],[Order ID]])</f>
        <v>0.5</v>
      </c>
      <c r="Z1482" s="9">
        <f>1/COUNTIFS(Таблица1[Customer Name],Таблица1[[#This Row],[Customer Name]],Таблица1[Order-Year-Month],Таблица1[[#This Row],[Order-Year-Month]])</f>
        <v>0.5</v>
      </c>
    </row>
    <row r="1483" spans="1:26" x14ac:dyDescent="0.2">
      <c r="A1483" s="6">
        <v>6302</v>
      </c>
      <c r="B1483" s="7">
        <v>44610</v>
      </c>
      <c r="C1483" s="8">
        <f>DATE(2012,12,31)-662</f>
        <v>40612</v>
      </c>
      <c r="D1483" s="8" t="str">
        <f t="shared" si="31"/>
        <v>2011-03 (март 2011)</v>
      </c>
      <c r="E1483" s="9" t="s">
        <v>30</v>
      </c>
      <c r="F1483" s="7">
        <v>31</v>
      </c>
      <c r="G1483" s="7">
        <v>127.9</v>
      </c>
      <c r="H1483" s="7">
        <v>7.0000000000000007E-2</v>
      </c>
      <c r="I1483" s="9" t="s">
        <v>22</v>
      </c>
      <c r="J1483" s="10">
        <v>54.21</v>
      </c>
      <c r="K1483" s="11">
        <v>4.13</v>
      </c>
      <c r="L1483" s="11">
        <v>0.5</v>
      </c>
      <c r="M1483" s="9" t="s">
        <v>1061</v>
      </c>
      <c r="N1483" s="6" t="s">
        <v>703</v>
      </c>
      <c r="O1483" s="6" t="s">
        <v>704</v>
      </c>
      <c r="P1483" s="9" t="s">
        <v>33</v>
      </c>
      <c r="Q1483" s="9" t="s">
        <v>26</v>
      </c>
      <c r="R1483" s="9" t="s">
        <v>88</v>
      </c>
      <c r="S1483" s="7" t="s">
        <v>184</v>
      </c>
      <c r="T1483" s="9" t="s">
        <v>39</v>
      </c>
      <c r="U1483" s="7">
        <v>0.39</v>
      </c>
      <c r="V1483" s="12">
        <f>C1483+0</f>
        <v>40612</v>
      </c>
      <c r="W1483">
        <f>IF(D1483=' Pivot Tables'!$A$4,1,0)</f>
        <v>0</v>
      </c>
      <c r="X1483">
        <f>IF(AND(LEFT(D1483,4)+1=LEFT(' Pivot Tables'!$A$4,4)+0,RIGHT(LEFT(D1483,7),2)=RIGHT(LEFT(' Pivot Tables'!$A$4,7),2)),1,0)</f>
        <v>0</v>
      </c>
      <c r="Y1483" s="6">
        <f>1/COUNTIF(Таблица1[Order ID],Таблица1[[#This Row],[Order ID]])</f>
        <v>1</v>
      </c>
      <c r="Z1483" s="9">
        <f>1/COUNTIFS(Таблица1[Customer Name],Таблица1[[#This Row],[Customer Name]],Таблица1[Order-Year-Month],Таблица1[[#This Row],[Order-Year-Month]])</f>
        <v>1</v>
      </c>
    </row>
    <row r="1484" spans="1:26" x14ac:dyDescent="0.2">
      <c r="A1484" s="6">
        <v>6350</v>
      </c>
      <c r="B1484" s="7">
        <v>44999</v>
      </c>
      <c r="C1484" s="8">
        <f>DATE(2012,12,31)-1074</f>
        <v>40200</v>
      </c>
      <c r="D1484" s="8" t="str">
        <f t="shared" si="31"/>
        <v>2010-01 (январь 2010)</v>
      </c>
      <c r="E1484" s="9" t="s">
        <v>63</v>
      </c>
      <c r="F1484" s="7">
        <v>17</v>
      </c>
      <c r="G1484" s="7">
        <v>110.74</v>
      </c>
      <c r="H1484" s="7">
        <v>0.09</v>
      </c>
      <c r="I1484" s="9" t="s">
        <v>22</v>
      </c>
      <c r="J1484" s="10">
        <v>-70.31</v>
      </c>
      <c r="K1484" s="11">
        <v>6.48</v>
      </c>
      <c r="L1484" s="11">
        <v>7.49</v>
      </c>
      <c r="M1484" s="9" t="s">
        <v>1032</v>
      </c>
      <c r="N1484" s="6" t="s">
        <v>703</v>
      </c>
      <c r="O1484" s="6" t="s">
        <v>704</v>
      </c>
      <c r="P1484" s="9" t="s">
        <v>25</v>
      </c>
      <c r="Q1484" s="9" t="s">
        <v>26</v>
      </c>
      <c r="R1484" s="9" t="s">
        <v>61</v>
      </c>
      <c r="S1484" s="7" t="s">
        <v>643</v>
      </c>
      <c r="T1484" s="9" t="s">
        <v>39</v>
      </c>
      <c r="U1484" s="7">
        <v>0.37</v>
      </c>
      <c r="V1484" s="12">
        <f>C1484+1</f>
        <v>40201</v>
      </c>
      <c r="W1484">
        <f>IF(D1484=' Pivot Tables'!$A$4,1,0)</f>
        <v>1</v>
      </c>
      <c r="X1484">
        <f>IF(AND(LEFT(D1484,4)+1=LEFT(' Pivot Tables'!$A$4,4)+0,RIGHT(LEFT(D1484,7),2)=RIGHT(LEFT(' Pivot Tables'!$A$4,7),2)),1,0)</f>
        <v>0</v>
      </c>
      <c r="Y1484" s="6">
        <f>1/COUNTIF(Таблица1[Order ID],Таблица1[[#This Row],[Order ID]])</f>
        <v>1</v>
      </c>
      <c r="Z1484" s="9">
        <f>1/COUNTIFS(Таблица1[Customer Name],Таблица1[[#This Row],[Customer Name]],Таблица1[Order-Year-Month],Таблица1[[#This Row],[Order-Year-Month]])</f>
        <v>0.5</v>
      </c>
    </row>
    <row r="1485" spans="1:26" x14ac:dyDescent="0.2">
      <c r="A1485" s="6">
        <v>6351</v>
      </c>
      <c r="B1485" s="7">
        <v>45025</v>
      </c>
      <c r="C1485" s="8">
        <f>DATE(2012,12,31)-630</f>
        <v>40644</v>
      </c>
      <c r="D1485" s="8" t="str">
        <f t="shared" si="31"/>
        <v>2011-04 (апрель 2011)</v>
      </c>
      <c r="E1485" s="9" t="s">
        <v>30</v>
      </c>
      <c r="F1485" s="7">
        <v>26</v>
      </c>
      <c r="G1485" s="7">
        <v>73.819999999999993</v>
      </c>
      <c r="H1485" s="7">
        <v>0.08</v>
      </c>
      <c r="I1485" s="9" t="s">
        <v>22</v>
      </c>
      <c r="J1485" s="10">
        <v>2.0059999999999998</v>
      </c>
      <c r="K1485" s="11">
        <v>2.88</v>
      </c>
      <c r="L1485" s="11">
        <v>1.49</v>
      </c>
      <c r="M1485" s="9" t="s">
        <v>1032</v>
      </c>
      <c r="N1485" s="6" t="s">
        <v>672</v>
      </c>
      <c r="O1485" s="6" t="s">
        <v>673</v>
      </c>
      <c r="P1485" s="9" t="s">
        <v>41</v>
      </c>
      <c r="Q1485" s="9" t="s">
        <v>26</v>
      </c>
      <c r="R1485" s="9" t="s">
        <v>37</v>
      </c>
      <c r="S1485" s="7" t="s">
        <v>782</v>
      </c>
      <c r="T1485" s="9" t="s">
        <v>39</v>
      </c>
      <c r="U1485" s="7">
        <v>0.36</v>
      </c>
      <c r="V1485" s="12">
        <f>C1485+3</f>
        <v>40647</v>
      </c>
      <c r="W1485">
        <f>IF(D1485=' Pivot Tables'!$A$4,1,0)</f>
        <v>0</v>
      </c>
      <c r="X1485">
        <f>IF(AND(LEFT(D1485,4)+1=LEFT(' Pivot Tables'!$A$4,4)+0,RIGHT(LEFT(D1485,7),2)=RIGHT(LEFT(' Pivot Tables'!$A$4,7),2)),1,0)</f>
        <v>0</v>
      </c>
      <c r="Y1485" s="6">
        <f>1/COUNTIF(Таблица1[Order ID],Таблица1[[#This Row],[Order ID]])</f>
        <v>1</v>
      </c>
      <c r="Z1485" s="9">
        <f>1/COUNTIFS(Таблица1[Customer Name],Таблица1[[#This Row],[Customer Name]],Таблица1[Order-Year-Month],Таблица1[[#This Row],[Order-Year-Month]])</f>
        <v>1</v>
      </c>
    </row>
    <row r="1486" spans="1:26" x14ac:dyDescent="0.2">
      <c r="A1486" s="6">
        <v>6374</v>
      </c>
      <c r="B1486" s="7">
        <v>45248</v>
      </c>
      <c r="C1486" s="8">
        <f>DATE(2012,12,31)-625</f>
        <v>40649</v>
      </c>
      <c r="D1486" s="8" t="str">
        <f t="shared" si="31"/>
        <v>2011-04 (апрель 2011)</v>
      </c>
      <c r="E1486" s="9" t="s">
        <v>63</v>
      </c>
      <c r="F1486" s="7">
        <v>38</v>
      </c>
      <c r="G1486" s="7">
        <v>154.85</v>
      </c>
      <c r="H1486" s="7">
        <v>0.05</v>
      </c>
      <c r="I1486" s="9" t="s">
        <v>22</v>
      </c>
      <c r="J1486" s="10">
        <v>-136.55000000000001</v>
      </c>
      <c r="K1486" s="11">
        <v>3.95</v>
      </c>
      <c r="L1486" s="11">
        <v>5.13</v>
      </c>
      <c r="M1486" s="9" t="s">
        <v>910</v>
      </c>
      <c r="N1486" s="6" t="s">
        <v>672</v>
      </c>
      <c r="O1486" s="6" t="s">
        <v>673</v>
      </c>
      <c r="P1486" s="9" t="s">
        <v>41</v>
      </c>
      <c r="Q1486" s="9" t="s">
        <v>26</v>
      </c>
      <c r="R1486" s="9" t="s">
        <v>34</v>
      </c>
      <c r="S1486" s="7" t="s">
        <v>1029</v>
      </c>
      <c r="T1486" s="9" t="s">
        <v>39</v>
      </c>
      <c r="U1486" s="7">
        <v>0.59</v>
      </c>
      <c r="V1486" s="12">
        <f>C1486+2</f>
        <v>40651</v>
      </c>
      <c r="W1486">
        <f>IF(D1486=' Pivot Tables'!$A$4,1,0)</f>
        <v>0</v>
      </c>
      <c r="X1486">
        <f>IF(AND(LEFT(D1486,4)+1=LEFT(' Pivot Tables'!$A$4,4)+0,RIGHT(LEFT(D1486,7),2)=RIGHT(LEFT(' Pivot Tables'!$A$4,7),2)),1,0)</f>
        <v>0</v>
      </c>
      <c r="Y1486" s="6">
        <f>1/COUNTIF(Таблица1[Order ID],Таблица1[[#This Row],[Order ID]])</f>
        <v>0.5</v>
      </c>
      <c r="Z1486" s="9">
        <f>1/COUNTIFS(Таблица1[Customer Name],Таблица1[[#This Row],[Customer Name]],Таблица1[Order-Year-Month],Таблица1[[#This Row],[Order-Year-Month]])</f>
        <v>0.5</v>
      </c>
    </row>
    <row r="1487" spans="1:26" x14ac:dyDescent="0.2">
      <c r="A1487" s="6">
        <v>6375</v>
      </c>
      <c r="B1487" s="7">
        <v>45248</v>
      </c>
      <c r="C1487" s="8">
        <f>DATE(2012,12,31)-625</f>
        <v>40649</v>
      </c>
      <c r="D1487" s="8" t="str">
        <f t="shared" si="31"/>
        <v>2011-04 (апрель 2011)</v>
      </c>
      <c r="E1487" s="9" t="s">
        <v>63</v>
      </c>
      <c r="F1487" s="7">
        <v>32</v>
      </c>
      <c r="G1487" s="7">
        <v>4941.7725</v>
      </c>
      <c r="H1487" s="7">
        <v>0.1</v>
      </c>
      <c r="I1487" s="9" t="s">
        <v>22</v>
      </c>
      <c r="J1487" s="10">
        <v>704.88900000000001</v>
      </c>
      <c r="K1487" s="11">
        <v>195.99</v>
      </c>
      <c r="L1487" s="11">
        <v>8.99</v>
      </c>
      <c r="M1487" s="9" t="s">
        <v>910</v>
      </c>
      <c r="N1487" s="6" t="s">
        <v>672</v>
      </c>
      <c r="O1487" s="6" t="s">
        <v>673</v>
      </c>
      <c r="P1487" s="9" t="s">
        <v>41</v>
      </c>
      <c r="Q1487" s="9" t="s">
        <v>42</v>
      </c>
      <c r="R1487" s="9" t="s">
        <v>43</v>
      </c>
      <c r="S1487" s="7" t="s">
        <v>670</v>
      </c>
      <c r="T1487" s="9" t="s">
        <v>39</v>
      </c>
      <c r="U1487" s="7">
        <v>0.6</v>
      </c>
      <c r="V1487" s="12">
        <f>C1487+2</f>
        <v>40651</v>
      </c>
      <c r="W1487">
        <f>IF(D1487=' Pivot Tables'!$A$4,1,0)</f>
        <v>0</v>
      </c>
      <c r="X1487">
        <f>IF(AND(LEFT(D1487,4)+1=LEFT(' Pivot Tables'!$A$4,4)+0,RIGHT(LEFT(D1487,7),2)=RIGHT(LEFT(' Pivot Tables'!$A$4,7),2)),1,0)</f>
        <v>0</v>
      </c>
      <c r="Y1487" s="6">
        <f>1/COUNTIF(Таблица1[Order ID],Таблица1[[#This Row],[Order ID]])</f>
        <v>0.5</v>
      </c>
      <c r="Z1487" s="9">
        <f>1/COUNTIFS(Таблица1[Customer Name],Таблица1[[#This Row],[Customer Name]],Таблица1[Order-Year-Month],Таблица1[[#This Row],[Order-Year-Month]])</f>
        <v>0.5</v>
      </c>
    </row>
    <row r="1488" spans="1:26" x14ac:dyDescent="0.2">
      <c r="A1488" s="6">
        <v>6376</v>
      </c>
      <c r="B1488" s="7">
        <v>45249</v>
      </c>
      <c r="C1488" s="8">
        <f>DATE(2012,12,31)-765</f>
        <v>40509</v>
      </c>
      <c r="D1488" s="8" t="str">
        <f t="shared" si="31"/>
        <v>2010-11 (ноябрь 2010)</v>
      </c>
      <c r="E1488" s="9" t="s">
        <v>21</v>
      </c>
      <c r="F1488" s="7">
        <v>24</v>
      </c>
      <c r="G1488" s="7">
        <v>1155.5835</v>
      </c>
      <c r="H1488" s="7">
        <v>0.04</v>
      </c>
      <c r="I1488" s="9" t="s">
        <v>22</v>
      </c>
      <c r="J1488" s="10">
        <v>-126.995</v>
      </c>
      <c r="K1488" s="11">
        <v>55.99</v>
      </c>
      <c r="L1488" s="11">
        <v>5</v>
      </c>
      <c r="M1488" s="9" t="s">
        <v>1040</v>
      </c>
      <c r="N1488" s="6" t="s">
        <v>672</v>
      </c>
      <c r="O1488" s="6" t="s">
        <v>673</v>
      </c>
      <c r="P1488" s="9" t="s">
        <v>25</v>
      </c>
      <c r="Q1488" s="9" t="s">
        <v>42</v>
      </c>
      <c r="R1488" s="9" t="s">
        <v>43</v>
      </c>
      <c r="S1488" s="7" t="s">
        <v>268</v>
      </c>
      <c r="T1488" s="9" t="s">
        <v>52</v>
      </c>
      <c r="U1488" s="7">
        <v>0.8</v>
      </c>
      <c r="V1488" s="12">
        <f>C1488+5</f>
        <v>40514</v>
      </c>
      <c r="W1488">
        <f>IF(D1488=' Pivot Tables'!$A$4,1,0)</f>
        <v>0</v>
      </c>
      <c r="X1488">
        <f>IF(AND(LEFT(D1488,4)+1=LEFT(' Pivot Tables'!$A$4,4)+0,RIGHT(LEFT(D1488,7),2)=RIGHT(LEFT(' Pivot Tables'!$A$4,7),2)),1,0)</f>
        <v>0</v>
      </c>
      <c r="Y1488" s="6">
        <f>1/COUNTIF(Таблица1[Order ID],Таблица1[[#This Row],[Order ID]])</f>
        <v>1</v>
      </c>
      <c r="Z1488" s="9">
        <f>1/COUNTIFS(Таблица1[Customer Name],Таблица1[[#This Row],[Customer Name]],Таблица1[Order-Year-Month],Таблица1[[#This Row],[Order-Year-Month]])</f>
        <v>1</v>
      </c>
    </row>
    <row r="1489" spans="1:26" x14ac:dyDescent="0.2">
      <c r="A1489" s="6">
        <v>6411</v>
      </c>
      <c r="B1489" s="7">
        <v>45570</v>
      </c>
      <c r="C1489" s="8">
        <f>DATE(2012,12,31)-875</f>
        <v>40399</v>
      </c>
      <c r="D1489" s="8" t="str">
        <f t="shared" si="31"/>
        <v>2010-08 (август 2010)</v>
      </c>
      <c r="E1489" s="9" t="s">
        <v>78</v>
      </c>
      <c r="F1489" s="7">
        <v>19</v>
      </c>
      <c r="G1489" s="7">
        <v>77.569999999999993</v>
      </c>
      <c r="H1489" s="7">
        <v>0</v>
      </c>
      <c r="I1489" s="9" t="s">
        <v>22</v>
      </c>
      <c r="J1489" s="10">
        <v>-67.493499999999997</v>
      </c>
      <c r="K1489" s="11">
        <v>3.58</v>
      </c>
      <c r="L1489" s="11">
        <v>5.47</v>
      </c>
      <c r="M1489" s="9" t="s">
        <v>1053</v>
      </c>
      <c r="N1489" s="6" t="s">
        <v>672</v>
      </c>
      <c r="O1489" s="6" t="s">
        <v>673</v>
      </c>
      <c r="P1489" s="9" t="s">
        <v>41</v>
      </c>
      <c r="Q1489" s="9" t="s">
        <v>26</v>
      </c>
      <c r="R1489" s="9" t="s">
        <v>37</v>
      </c>
      <c r="S1489" s="7" t="s">
        <v>462</v>
      </c>
      <c r="T1489" s="9" t="s">
        <v>39</v>
      </c>
      <c r="U1489" s="7">
        <v>0.37</v>
      </c>
      <c r="V1489" s="12">
        <f>C1489+1</f>
        <v>40400</v>
      </c>
      <c r="W1489">
        <f>IF(D1489=' Pivot Tables'!$A$4,1,0)</f>
        <v>0</v>
      </c>
      <c r="X1489">
        <f>IF(AND(LEFT(D1489,4)+1=LEFT(' Pivot Tables'!$A$4,4)+0,RIGHT(LEFT(D1489,7),2)=RIGHT(LEFT(' Pivot Tables'!$A$4,7),2)),1,0)</f>
        <v>0</v>
      </c>
      <c r="Y1489" s="6">
        <f>1/COUNTIF(Таблица1[Order ID],Таблица1[[#This Row],[Order ID]])</f>
        <v>1</v>
      </c>
      <c r="Z1489" s="9">
        <f>1/COUNTIFS(Таблица1[Customer Name],Таблица1[[#This Row],[Customer Name]],Таблица1[Order-Year-Month],Таблица1[[#This Row],[Order-Year-Month]])</f>
        <v>1</v>
      </c>
    </row>
    <row r="1490" spans="1:26" x14ac:dyDescent="0.2">
      <c r="A1490" s="6">
        <v>6434</v>
      </c>
      <c r="B1490" s="7">
        <v>45731</v>
      </c>
      <c r="C1490" s="8">
        <f>DATE(2012,12,31)-1239</f>
        <v>40035</v>
      </c>
      <c r="D1490" s="8" t="str">
        <f t="shared" si="31"/>
        <v>2009-08 (август 2009)</v>
      </c>
      <c r="E1490" s="9" t="s">
        <v>78</v>
      </c>
      <c r="F1490" s="7">
        <v>44</v>
      </c>
      <c r="G1490" s="7">
        <v>12689.87</v>
      </c>
      <c r="H1490" s="7">
        <v>0.04</v>
      </c>
      <c r="I1490" s="9" t="s">
        <v>31</v>
      </c>
      <c r="J1490" s="10">
        <v>-169.227</v>
      </c>
      <c r="K1490" s="11">
        <v>296.18</v>
      </c>
      <c r="L1490" s="11">
        <v>154.12</v>
      </c>
      <c r="M1490" s="9" t="s">
        <v>996</v>
      </c>
      <c r="N1490" s="6" t="s">
        <v>672</v>
      </c>
      <c r="O1490" s="6" t="s">
        <v>673</v>
      </c>
      <c r="P1490" s="9" t="s">
        <v>33</v>
      </c>
      <c r="Q1490" s="9" t="s">
        <v>49</v>
      </c>
      <c r="R1490" s="9" t="s">
        <v>83</v>
      </c>
      <c r="S1490" s="7" t="s">
        <v>425</v>
      </c>
      <c r="T1490" s="9" t="s">
        <v>82</v>
      </c>
      <c r="U1490" s="7">
        <v>0.76</v>
      </c>
      <c r="V1490" s="12">
        <f>C1490+1</f>
        <v>40036</v>
      </c>
      <c r="W1490">
        <f>IF(D1490=' Pivot Tables'!$A$4,1,0)</f>
        <v>0</v>
      </c>
      <c r="X1490">
        <f>IF(AND(LEFT(D1490,4)+1=LEFT(' Pivot Tables'!$A$4,4)+0,RIGHT(LEFT(D1490,7),2)=RIGHT(LEFT(' Pivot Tables'!$A$4,7),2)),1,0)</f>
        <v>0</v>
      </c>
      <c r="Y1490" s="6">
        <f>1/COUNTIF(Таблица1[Order ID],Таблица1[[#This Row],[Order ID]])</f>
        <v>0.33333333333333331</v>
      </c>
      <c r="Z1490" s="9">
        <f>1/COUNTIFS(Таблица1[Customer Name],Таблица1[[#This Row],[Customer Name]],Таблица1[Order-Year-Month],Таблица1[[#This Row],[Order-Year-Month]])</f>
        <v>1</v>
      </c>
    </row>
    <row r="1491" spans="1:26" x14ac:dyDescent="0.2">
      <c r="A1491" s="6">
        <v>6517</v>
      </c>
      <c r="B1491" s="7">
        <v>46375</v>
      </c>
      <c r="C1491" s="8">
        <f>DATE(2012,12,31)-858</f>
        <v>40416</v>
      </c>
      <c r="D1491" s="8" t="str">
        <f t="shared" si="31"/>
        <v>2010-08 (август 2010)</v>
      </c>
      <c r="E1491" s="9" t="s">
        <v>63</v>
      </c>
      <c r="F1491" s="7">
        <v>24</v>
      </c>
      <c r="G1491" s="7">
        <v>905.32</v>
      </c>
      <c r="H1491" s="7">
        <v>0.02</v>
      </c>
      <c r="I1491" s="9" t="s">
        <v>22</v>
      </c>
      <c r="J1491" s="10">
        <v>389.07</v>
      </c>
      <c r="K1491" s="11">
        <v>35.44</v>
      </c>
      <c r="L1491" s="11">
        <v>5.09</v>
      </c>
      <c r="M1491" s="9" t="s">
        <v>1049</v>
      </c>
      <c r="N1491" s="6" t="s">
        <v>672</v>
      </c>
      <c r="O1491" s="6" t="s">
        <v>673</v>
      </c>
      <c r="P1491" s="9" t="s">
        <v>60</v>
      </c>
      <c r="Q1491" s="9" t="s">
        <v>26</v>
      </c>
      <c r="R1491" s="9" t="s">
        <v>61</v>
      </c>
      <c r="S1491" s="7" t="s">
        <v>227</v>
      </c>
      <c r="T1491" s="9" t="s">
        <v>39</v>
      </c>
      <c r="U1491" s="7">
        <v>0.38</v>
      </c>
      <c r="V1491" s="12">
        <f>C1491+2</f>
        <v>40418</v>
      </c>
      <c r="W1491">
        <f>IF(D1491=' Pivot Tables'!$A$4,1,0)</f>
        <v>0</v>
      </c>
      <c r="X1491">
        <f>IF(AND(LEFT(D1491,4)+1=LEFT(' Pivot Tables'!$A$4,4)+0,RIGHT(LEFT(D1491,7),2)=RIGHT(LEFT(' Pivot Tables'!$A$4,7),2)),1,0)</f>
        <v>0</v>
      </c>
      <c r="Y1491" s="6">
        <f>1/COUNTIF(Таблица1[Order ID],Таблица1[[#This Row],[Order ID]])</f>
        <v>0.5</v>
      </c>
      <c r="Z1491" s="9">
        <f>1/COUNTIFS(Таблица1[Customer Name],Таблица1[[#This Row],[Customer Name]],Таблица1[Order-Year-Month],Таблица1[[#This Row],[Order-Year-Month]])</f>
        <v>0.5</v>
      </c>
    </row>
    <row r="1492" spans="1:26" x14ac:dyDescent="0.2">
      <c r="A1492" s="6">
        <v>6518</v>
      </c>
      <c r="B1492" s="7">
        <v>46375</v>
      </c>
      <c r="C1492" s="8">
        <f>DATE(2012,12,31)-858</f>
        <v>40416</v>
      </c>
      <c r="D1492" s="8" t="str">
        <f t="shared" si="31"/>
        <v>2010-08 (август 2010)</v>
      </c>
      <c r="E1492" s="9" t="s">
        <v>63</v>
      </c>
      <c r="F1492" s="7">
        <v>16</v>
      </c>
      <c r="G1492" s="7">
        <v>1702.499</v>
      </c>
      <c r="H1492" s="7">
        <v>0.08</v>
      </c>
      <c r="I1492" s="9" t="s">
        <v>22</v>
      </c>
      <c r="J1492" s="10">
        <v>162.108</v>
      </c>
      <c r="K1492" s="11">
        <v>125.99</v>
      </c>
      <c r="L1492" s="11">
        <v>5.26</v>
      </c>
      <c r="M1492" s="9" t="s">
        <v>1049</v>
      </c>
      <c r="N1492" s="6" t="s">
        <v>672</v>
      </c>
      <c r="O1492" s="6" t="s">
        <v>673</v>
      </c>
      <c r="P1492" s="9" t="s">
        <v>60</v>
      </c>
      <c r="Q1492" s="9" t="s">
        <v>42</v>
      </c>
      <c r="R1492" s="9" t="s">
        <v>43</v>
      </c>
      <c r="S1492" s="7" t="s">
        <v>1069</v>
      </c>
      <c r="T1492" s="9" t="s">
        <v>39</v>
      </c>
      <c r="U1492" s="7">
        <v>0.55000000000000004</v>
      </c>
      <c r="V1492" s="12">
        <f>C1492+1</f>
        <v>40417</v>
      </c>
      <c r="W1492">
        <f>IF(D1492=' Pivot Tables'!$A$4,1,0)</f>
        <v>0</v>
      </c>
      <c r="X1492">
        <f>IF(AND(LEFT(D1492,4)+1=LEFT(' Pivot Tables'!$A$4,4)+0,RIGHT(LEFT(D1492,7),2)=RIGHT(LEFT(' Pivot Tables'!$A$4,7),2)),1,0)</f>
        <v>0</v>
      </c>
      <c r="Y1492" s="6">
        <f>1/COUNTIF(Таблица1[Order ID],Таблица1[[#This Row],[Order ID]])</f>
        <v>0.5</v>
      </c>
      <c r="Z1492" s="9">
        <f>1/COUNTIFS(Таблица1[Customer Name],Таблица1[[#This Row],[Customer Name]],Таблица1[Order-Year-Month],Таблица1[[#This Row],[Order-Year-Month]])</f>
        <v>0.5</v>
      </c>
    </row>
    <row r="1493" spans="1:26" x14ac:dyDescent="0.2">
      <c r="A1493" s="6">
        <v>6588</v>
      </c>
      <c r="B1493" s="7">
        <v>46885</v>
      </c>
      <c r="C1493" s="8">
        <f>DATE(2012,12,31)-573</f>
        <v>40701</v>
      </c>
      <c r="D1493" s="8" t="str">
        <f t="shared" si="31"/>
        <v>2011-06 (июнь 2011)</v>
      </c>
      <c r="E1493" s="9" t="s">
        <v>21</v>
      </c>
      <c r="F1493" s="7">
        <v>27</v>
      </c>
      <c r="G1493" s="7">
        <v>632.54999999999995</v>
      </c>
      <c r="H1493" s="7">
        <v>0.05</v>
      </c>
      <c r="I1493" s="9" t="s">
        <v>22</v>
      </c>
      <c r="J1493" s="10">
        <v>165.35</v>
      </c>
      <c r="K1493" s="11">
        <v>22.72</v>
      </c>
      <c r="L1493" s="11">
        <v>8.99</v>
      </c>
      <c r="M1493" s="9" t="s">
        <v>1032</v>
      </c>
      <c r="N1493" s="6" t="s">
        <v>672</v>
      </c>
      <c r="O1493" s="6" t="s">
        <v>673</v>
      </c>
      <c r="P1493" s="9" t="s">
        <v>41</v>
      </c>
      <c r="Q1493" s="9" t="s">
        <v>49</v>
      </c>
      <c r="R1493" s="9" t="s">
        <v>50</v>
      </c>
      <c r="S1493" s="7" t="s">
        <v>315</v>
      </c>
      <c r="T1493" s="9" t="s">
        <v>52</v>
      </c>
      <c r="U1493" s="7">
        <v>0.44</v>
      </c>
      <c r="V1493" s="12">
        <f>C1493+4</f>
        <v>40705</v>
      </c>
      <c r="W1493">
        <f>IF(D1493=' Pivot Tables'!$A$4,1,0)</f>
        <v>0</v>
      </c>
      <c r="X1493">
        <f>IF(AND(LEFT(D1493,4)+1=LEFT(' Pivot Tables'!$A$4,4)+0,RIGHT(LEFT(D1493,7),2)=RIGHT(LEFT(' Pivot Tables'!$A$4,7),2)),1,0)</f>
        <v>0</v>
      </c>
      <c r="Y1493" s="6">
        <f>1/COUNTIF(Таблица1[Order ID],Таблица1[[#This Row],[Order ID]])</f>
        <v>0.33333333333333331</v>
      </c>
      <c r="Z1493" s="9">
        <f>1/COUNTIFS(Таблица1[Customer Name],Таблица1[[#This Row],[Customer Name]],Таблица1[Order-Year-Month],Таблица1[[#This Row],[Order-Year-Month]])</f>
        <v>0.33333333333333331</v>
      </c>
    </row>
    <row r="1494" spans="1:26" x14ac:dyDescent="0.2">
      <c r="A1494" s="6">
        <v>6589</v>
      </c>
      <c r="B1494" s="7">
        <v>46885</v>
      </c>
      <c r="C1494" s="8">
        <f>DATE(2012,12,31)-573</f>
        <v>40701</v>
      </c>
      <c r="D1494" s="8" t="str">
        <f t="shared" si="31"/>
        <v>2011-06 (июнь 2011)</v>
      </c>
      <c r="E1494" s="9" t="s">
        <v>21</v>
      </c>
      <c r="F1494" s="7">
        <v>48</v>
      </c>
      <c r="G1494" s="7">
        <v>90.96</v>
      </c>
      <c r="H1494" s="7">
        <v>0.02</v>
      </c>
      <c r="I1494" s="9" t="s">
        <v>22</v>
      </c>
      <c r="J1494" s="10">
        <v>-30.11</v>
      </c>
      <c r="K1494" s="11">
        <v>1.81</v>
      </c>
      <c r="L1494" s="11">
        <v>1.56</v>
      </c>
      <c r="M1494" s="9" t="s">
        <v>1032</v>
      </c>
      <c r="N1494" s="6" t="s">
        <v>672</v>
      </c>
      <c r="O1494" s="6" t="s">
        <v>673</v>
      </c>
      <c r="P1494" s="9" t="s">
        <v>41</v>
      </c>
      <c r="Q1494" s="9" t="s">
        <v>26</v>
      </c>
      <c r="R1494" s="9" t="s">
        <v>66</v>
      </c>
      <c r="S1494" s="7" t="s">
        <v>1070</v>
      </c>
      <c r="T1494" s="9" t="s">
        <v>68</v>
      </c>
      <c r="U1494" s="7">
        <v>0.49</v>
      </c>
      <c r="V1494" s="12">
        <f>C1494+4</f>
        <v>40705</v>
      </c>
      <c r="W1494">
        <f>IF(D1494=' Pivot Tables'!$A$4,1,0)</f>
        <v>0</v>
      </c>
      <c r="X1494">
        <f>IF(AND(LEFT(D1494,4)+1=LEFT(' Pivot Tables'!$A$4,4)+0,RIGHT(LEFT(D1494,7),2)=RIGHT(LEFT(' Pivot Tables'!$A$4,7),2)),1,0)</f>
        <v>0</v>
      </c>
      <c r="Y1494" s="6">
        <f>1/COUNTIF(Таблица1[Order ID],Таблица1[[#This Row],[Order ID]])</f>
        <v>0.33333333333333331</v>
      </c>
      <c r="Z1494" s="9">
        <f>1/COUNTIFS(Таблица1[Customer Name],Таблица1[[#This Row],[Customer Name]],Таблица1[Order-Year-Month],Таблица1[[#This Row],[Order-Year-Month]])</f>
        <v>0.33333333333333331</v>
      </c>
    </row>
    <row r="1495" spans="1:26" x14ac:dyDescent="0.2">
      <c r="A1495" s="6">
        <v>6590</v>
      </c>
      <c r="B1495" s="7">
        <v>46885</v>
      </c>
      <c r="C1495" s="8">
        <f>DATE(2012,12,31)-573</f>
        <v>40701</v>
      </c>
      <c r="D1495" s="8" t="str">
        <f t="shared" si="31"/>
        <v>2011-06 (июнь 2011)</v>
      </c>
      <c r="E1495" s="9" t="s">
        <v>21</v>
      </c>
      <c r="F1495" s="7">
        <v>32</v>
      </c>
      <c r="G1495" s="7">
        <v>1997.13</v>
      </c>
      <c r="H1495" s="7">
        <v>0.05</v>
      </c>
      <c r="I1495" s="9" t="s">
        <v>22</v>
      </c>
      <c r="J1495" s="10">
        <v>720.45</v>
      </c>
      <c r="K1495" s="11">
        <v>63.94</v>
      </c>
      <c r="L1495" s="11">
        <v>14.48</v>
      </c>
      <c r="M1495" s="9" t="s">
        <v>1032</v>
      </c>
      <c r="N1495" s="6" t="s">
        <v>672</v>
      </c>
      <c r="O1495" s="6" t="s">
        <v>673</v>
      </c>
      <c r="P1495" s="9" t="s">
        <v>41</v>
      </c>
      <c r="Q1495" s="9" t="s">
        <v>49</v>
      </c>
      <c r="R1495" s="9" t="s">
        <v>50</v>
      </c>
      <c r="S1495" s="7" t="s">
        <v>433</v>
      </c>
      <c r="T1495" s="9" t="s">
        <v>39</v>
      </c>
      <c r="U1495" s="7">
        <v>0.46</v>
      </c>
      <c r="V1495" s="12">
        <f>C1495+5</f>
        <v>40706</v>
      </c>
      <c r="W1495">
        <f>IF(D1495=' Pivot Tables'!$A$4,1,0)</f>
        <v>0</v>
      </c>
      <c r="X1495">
        <f>IF(AND(LEFT(D1495,4)+1=LEFT(' Pivot Tables'!$A$4,4)+0,RIGHT(LEFT(D1495,7),2)=RIGHT(LEFT(' Pivot Tables'!$A$4,7),2)),1,0)</f>
        <v>0</v>
      </c>
      <c r="Y1495" s="6">
        <f>1/COUNTIF(Таблица1[Order ID],Таблица1[[#This Row],[Order ID]])</f>
        <v>0.33333333333333331</v>
      </c>
      <c r="Z1495" s="9">
        <f>1/COUNTIFS(Таблица1[Customer Name],Таблица1[[#This Row],[Customer Name]],Таблица1[Order-Year-Month],Таблица1[[#This Row],[Order-Year-Month]])</f>
        <v>0.33333333333333331</v>
      </c>
    </row>
    <row r="1496" spans="1:26" x14ac:dyDescent="0.2">
      <c r="A1496" s="6">
        <v>6596</v>
      </c>
      <c r="B1496" s="7">
        <v>46948</v>
      </c>
      <c r="C1496" s="8">
        <f>DATE(2012,12,31)-956</f>
        <v>40318</v>
      </c>
      <c r="D1496" s="8" t="str">
        <f t="shared" si="31"/>
        <v>2010-05 (май 2010)</v>
      </c>
      <c r="E1496" s="9" t="s">
        <v>21</v>
      </c>
      <c r="F1496" s="7">
        <v>10</v>
      </c>
      <c r="G1496" s="7">
        <v>64.13</v>
      </c>
      <c r="H1496" s="7">
        <v>0.1</v>
      </c>
      <c r="I1496" s="9" t="s">
        <v>22</v>
      </c>
      <c r="J1496" s="10">
        <v>-28.968500000000002</v>
      </c>
      <c r="K1496" s="11">
        <v>6.54</v>
      </c>
      <c r="L1496" s="11">
        <v>5.27</v>
      </c>
      <c r="M1496" s="9" t="s">
        <v>1032</v>
      </c>
      <c r="N1496" s="6" t="s">
        <v>672</v>
      </c>
      <c r="O1496" s="6" t="s">
        <v>673</v>
      </c>
      <c r="P1496" s="9" t="s">
        <v>41</v>
      </c>
      <c r="Q1496" s="9" t="s">
        <v>26</v>
      </c>
      <c r="R1496" s="9" t="s">
        <v>37</v>
      </c>
      <c r="S1496" s="7" t="s">
        <v>744</v>
      </c>
      <c r="T1496" s="9" t="s">
        <v>39</v>
      </c>
      <c r="U1496" s="7">
        <v>0.36</v>
      </c>
      <c r="V1496" s="12">
        <f>C1496+4</f>
        <v>40322</v>
      </c>
      <c r="W1496">
        <f>IF(D1496=' Pivot Tables'!$A$4,1,0)</f>
        <v>0</v>
      </c>
      <c r="X1496">
        <f>IF(AND(LEFT(D1496,4)+1=LEFT(' Pivot Tables'!$A$4,4)+0,RIGHT(LEFT(D1496,7),2)=RIGHT(LEFT(' Pivot Tables'!$A$4,7),2)),1,0)</f>
        <v>0</v>
      </c>
      <c r="Y1496" s="6">
        <f>1/COUNTIF(Таблица1[Order ID],Таблица1[[#This Row],[Order ID]])</f>
        <v>1</v>
      </c>
      <c r="Z1496" s="9">
        <f>1/COUNTIFS(Таблица1[Customer Name],Таблица1[[#This Row],[Customer Name]],Таблица1[Order-Year-Month],Таблица1[[#This Row],[Order-Year-Month]])</f>
        <v>1</v>
      </c>
    </row>
    <row r="1497" spans="1:26" x14ac:dyDescent="0.2">
      <c r="A1497" s="6">
        <v>6644</v>
      </c>
      <c r="B1497" s="7">
        <v>47267</v>
      </c>
      <c r="C1497" s="8">
        <f>DATE(2012,12,31)-733</f>
        <v>40541</v>
      </c>
      <c r="D1497" s="8" t="str">
        <f t="shared" si="31"/>
        <v>2010-12 (декабрь 2010)</v>
      </c>
      <c r="E1497" s="9" t="s">
        <v>63</v>
      </c>
      <c r="F1497" s="7">
        <v>24</v>
      </c>
      <c r="G1497" s="7">
        <v>492.71</v>
      </c>
      <c r="H1497" s="7">
        <v>0.02</v>
      </c>
      <c r="I1497" s="9" t="s">
        <v>22</v>
      </c>
      <c r="J1497" s="10">
        <v>67.010000000000005</v>
      </c>
      <c r="K1497" s="11">
        <v>19.98</v>
      </c>
      <c r="L1497" s="11">
        <v>8.68</v>
      </c>
      <c r="M1497" s="9" t="s">
        <v>1001</v>
      </c>
      <c r="N1497" s="6" t="s">
        <v>672</v>
      </c>
      <c r="O1497" s="6" t="s">
        <v>673</v>
      </c>
      <c r="P1497" s="9" t="s">
        <v>41</v>
      </c>
      <c r="Q1497" s="9" t="s">
        <v>26</v>
      </c>
      <c r="R1497" s="9" t="s">
        <v>61</v>
      </c>
      <c r="S1497" s="7" t="s">
        <v>617</v>
      </c>
      <c r="T1497" s="9" t="s">
        <v>39</v>
      </c>
      <c r="U1497" s="7">
        <v>0.37</v>
      </c>
      <c r="V1497" s="12">
        <f>C1497+1</f>
        <v>40542</v>
      </c>
      <c r="W1497">
        <f>IF(D1497=' Pivot Tables'!$A$4,1,0)</f>
        <v>0</v>
      </c>
      <c r="X1497">
        <f>IF(AND(LEFT(D1497,4)+1=LEFT(' Pivot Tables'!$A$4,4)+0,RIGHT(LEFT(D1497,7),2)=RIGHT(LEFT(' Pivot Tables'!$A$4,7),2)),1,0)</f>
        <v>0</v>
      </c>
      <c r="Y1497" s="6">
        <f>1/COUNTIF(Таблица1[Order ID],Таблица1[[#This Row],[Order ID]])</f>
        <v>0.5</v>
      </c>
      <c r="Z1497" s="9">
        <f>1/COUNTIFS(Таблица1[Customer Name],Таблица1[[#This Row],[Customer Name]],Таблица1[Order-Year-Month],Таблица1[[#This Row],[Order-Year-Month]])</f>
        <v>0.5</v>
      </c>
    </row>
    <row r="1498" spans="1:26" x14ac:dyDescent="0.2">
      <c r="A1498" s="6">
        <v>6645</v>
      </c>
      <c r="B1498" s="7">
        <v>47267</v>
      </c>
      <c r="C1498" s="8">
        <f>DATE(2012,12,31)-733</f>
        <v>40541</v>
      </c>
      <c r="D1498" s="8" t="str">
        <f t="shared" si="31"/>
        <v>2010-12 (декабрь 2010)</v>
      </c>
      <c r="E1498" s="9" t="s">
        <v>63</v>
      </c>
      <c r="F1498" s="7">
        <v>14</v>
      </c>
      <c r="G1498" s="7">
        <v>1042.06</v>
      </c>
      <c r="H1498" s="7">
        <v>0.04</v>
      </c>
      <c r="I1498" s="9" t="s">
        <v>31</v>
      </c>
      <c r="J1498" s="10">
        <v>-931.24800000000005</v>
      </c>
      <c r="K1498" s="11">
        <v>70.89</v>
      </c>
      <c r="L1498" s="11">
        <v>89.3</v>
      </c>
      <c r="M1498" s="9" t="s">
        <v>1001</v>
      </c>
      <c r="N1498" s="6" t="s">
        <v>672</v>
      </c>
      <c r="O1498" s="6" t="s">
        <v>673</v>
      </c>
      <c r="P1498" s="9" t="s">
        <v>41</v>
      </c>
      <c r="Q1498" s="9" t="s">
        <v>49</v>
      </c>
      <c r="R1498" s="9" t="s">
        <v>83</v>
      </c>
      <c r="S1498" s="7" t="s">
        <v>1071</v>
      </c>
      <c r="T1498" s="9" t="s">
        <v>82</v>
      </c>
      <c r="U1498" s="7">
        <v>0.69</v>
      </c>
      <c r="V1498" s="12">
        <f>C1498+1</f>
        <v>40542</v>
      </c>
      <c r="W1498">
        <f>IF(D1498=' Pivot Tables'!$A$4,1,0)</f>
        <v>0</v>
      </c>
      <c r="X1498">
        <f>IF(AND(LEFT(D1498,4)+1=LEFT(' Pivot Tables'!$A$4,4)+0,RIGHT(LEFT(D1498,7),2)=RIGHT(LEFT(' Pivot Tables'!$A$4,7),2)),1,0)</f>
        <v>0</v>
      </c>
      <c r="Y1498" s="6">
        <f>1/COUNTIF(Таблица1[Order ID],Таблица1[[#This Row],[Order ID]])</f>
        <v>0.5</v>
      </c>
      <c r="Z1498" s="9">
        <f>1/COUNTIFS(Таблица1[Customer Name],Таблица1[[#This Row],[Customer Name]],Таблица1[Order-Year-Month],Таблица1[[#This Row],[Order-Year-Month]])</f>
        <v>0.5</v>
      </c>
    </row>
    <row r="1499" spans="1:26" x14ac:dyDescent="0.2">
      <c r="A1499" s="6">
        <v>6656</v>
      </c>
      <c r="B1499" s="7">
        <v>47333</v>
      </c>
      <c r="C1499" s="8">
        <f>DATE(2012,12,31)-481</f>
        <v>40793</v>
      </c>
      <c r="D1499" s="8" t="str">
        <f t="shared" si="31"/>
        <v>2011-09 (сентябрь 2011)</v>
      </c>
      <c r="E1499" s="9" t="s">
        <v>78</v>
      </c>
      <c r="F1499" s="7">
        <v>16</v>
      </c>
      <c r="G1499" s="7">
        <v>760.24849999999992</v>
      </c>
      <c r="H1499" s="7">
        <v>0.04</v>
      </c>
      <c r="I1499" s="9" t="s">
        <v>22</v>
      </c>
      <c r="J1499" s="10">
        <v>29.798999999999999</v>
      </c>
      <c r="K1499" s="11">
        <v>55.99</v>
      </c>
      <c r="L1499" s="11">
        <v>3.3</v>
      </c>
      <c r="M1499" s="9" t="s">
        <v>999</v>
      </c>
      <c r="N1499" s="6" t="s">
        <v>672</v>
      </c>
      <c r="O1499" s="6" t="s">
        <v>673</v>
      </c>
      <c r="P1499" s="9" t="s">
        <v>60</v>
      </c>
      <c r="Q1499" s="9" t="s">
        <v>42</v>
      </c>
      <c r="R1499" s="9" t="s">
        <v>43</v>
      </c>
      <c r="S1499" s="7" t="s">
        <v>292</v>
      </c>
      <c r="T1499" s="9" t="s">
        <v>52</v>
      </c>
      <c r="U1499" s="7">
        <v>0.59</v>
      </c>
      <c r="V1499" s="12">
        <f>C1499+0</f>
        <v>40793</v>
      </c>
      <c r="W1499">
        <f>IF(D1499=' Pivot Tables'!$A$4,1,0)</f>
        <v>0</v>
      </c>
      <c r="X1499">
        <f>IF(AND(LEFT(D1499,4)+1=LEFT(' Pivot Tables'!$A$4,4)+0,RIGHT(LEFT(D1499,7),2)=RIGHT(LEFT(' Pivot Tables'!$A$4,7),2)),1,0)</f>
        <v>0</v>
      </c>
      <c r="Y1499" s="6">
        <f>1/COUNTIF(Таблица1[Order ID],Таблица1[[#This Row],[Order ID]])</f>
        <v>1</v>
      </c>
      <c r="Z1499" s="9">
        <f>1/COUNTIFS(Таблица1[Customer Name],Таблица1[[#This Row],[Customer Name]],Таблица1[Order-Year-Month],Таблица1[[#This Row],[Order-Year-Month]])</f>
        <v>1</v>
      </c>
    </row>
    <row r="1500" spans="1:26" x14ac:dyDescent="0.2">
      <c r="A1500" s="6">
        <v>6762</v>
      </c>
      <c r="B1500" s="7">
        <v>48167</v>
      </c>
      <c r="C1500" s="8">
        <f>DATE(2012,12,31)-1212</f>
        <v>40062</v>
      </c>
      <c r="D1500" s="8" t="str">
        <f t="shared" si="31"/>
        <v>2009-09 (сентябрь 2009)</v>
      </c>
      <c r="E1500" s="9" t="s">
        <v>78</v>
      </c>
      <c r="F1500" s="7">
        <v>43</v>
      </c>
      <c r="G1500" s="7">
        <v>5041.46</v>
      </c>
      <c r="H1500" s="7">
        <v>0.06</v>
      </c>
      <c r="I1500" s="9" t="s">
        <v>31</v>
      </c>
      <c r="J1500" s="10">
        <v>-2136.66</v>
      </c>
      <c r="K1500" s="11">
        <v>122.99</v>
      </c>
      <c r="L1500" s="11">
        <v>70.2</v>
      </c>
      <c r="M1500" s="9" t="s">
        <v>1042</v>
      </c>
      <c r="N1500" s="6" t="s">
        <v>672</v>
      </c>
      <c r="O1500" s="6" t="s">
        <v>673</v>
      </c>
      <c r="P1500" s="9" t="s">
        <v>41</v>
      </c>
      <c r="Q1500" s="9" t="s">
        <v>49</v>
      </c>
      <c r="R1500" s="9" t="s">
        <v>112</v>
      </c>
      <c r="S1500" s="7" t="s">
        <v>426</v>
      </c>
      <c r="T1500" s="9" t="s">
        <v>36</v>
      </c>
      <c r="U1500" s="7">
        <v>0.74</v>
      </c>
      <c r="V1500" s="12">
        <f>C1500+3</f>
        <v>40065</v>
      </c>
      <c r="W1500">
        <f>IF(D1500=' Pivot Tables'!$A$4,1,0)</f>
        <v>0</v>
      </c>
      <c r="X1500">
        <f>IF(AND(LEFT(D1500,4)+1=LEFT(' Pivot Tables'!$A$4,4)+0,RIGHT(LEFT(D1500,7),2)=RIGHT(LEFT(' Pivot Tables'!$A$4,7),2)),1,0)</f>
        <v>0</v>
      </c>
      <c r="Y1500" s="6">
        <f>1/COUNTIF(Таблица1[Order ID],Таблица1[[#This Row],[Order ID]])</f>
        <v>0.33333333333333331</v>
      </c>
      <c r="Z1500" s="9">
        <f>1/COUNTIFS(Таблица1[Customer Name],Таблица1[[#This Row],[Customer Name]],Таблица1[Order-Year-Month],Таблица1[[#This Row],[Order-Year-Month]])</f>
        <v>0.33333333333333331</v>
      </c>
    </row>
    <row r="1501" spans="1:26" x14ac:dyDescent="0.2">
      <c r="A1501" s="6">
        <v>6763</v>
      </c>
      <c r="B1501" s="7">
        <v>48167</v>
      </c>
      <c r="C1501" s="8">
        <f>DATE(2012,12,31)-1212</f>
        <v>40062</v>
      </c>
      <c r="D1501" s="8" t="str">
        <f t="shared" si="31"/>
        <v>2009-09 (сентябрь 2009)</v>
      </c>
      <c r="E1501" s="9" t="s">
        <v>78</v>
      </c>
      <c r="F1501" s="7">
        <v>45</v>
      </c>
      <c r="G1501" s="7">
        <v>282.98</v>
      </c>
      <c r="H1501" s="7">
        <v>0.06</v>
      </c>
      <c r="I1501" s="9" t="s">
        <v>22</v>
      </c>
      <c r="J1501" s="10">
        <v>-237.47</v>
      </c>
      <c r="K1501" s="11">
        <v>6.48</v>
      </c>
      <c r="L1501" s="11">
        <v>8.8800000000000008</v>
      </c>
      <c r="M1501" s="9" t="s">
        <v>1042</v>
      </c>
      <c r="N1501" s="6" t="s">
        <v>672</v>
      </c>
      <c r="O1501" s="6" t="s">
        <v>673</v>
      </c>
      <c r="P1501" s="9" t="s">
        <v>41</v>
      </c>
      <c r="Q1501" s="9" t="s">
        <v>26</v>
      </c>
      <c r="R1501" s="9" t="s">
        <v>61</v>
      </c>
      <c r="S1501" s="7" t="s">
        <v>224</v>
      </c>
      <c r="T1501" s="9" t="s">
        <v>39</v>
      </c>
      <c r="U1501" s="7">
        <v>0.37</v>
      </c>
      <c r="V1501" s="12">
        <f>C1501+1</f>
        <v>40063</v>
      </c>
      <c r="W1501">
        <f>IF(D1501=' Pivot Tables'!$A$4,1,0)</f>
        <v>0</v>
      </c>
      <c r="X1501">
        <f>IF(AND(LEFT(D1501,4)+1=LEFT(' Pivot Tables'!$A$4,4)+0,RIGHT(LEFT(D1501,7),2)=RIGHT(LEFT(' Pivot Tables'!$A$4,7),2)),1,0)</f>
        <v>0</v>
      </c>
      <c r="Y1501" s="6">
        <f>1/COUNTIF(Таблица1[Order ID],Таблица1[[#This Row],[Order ID]])</f>
        <v>0.33333333333333331</v>
      </c>
      <c r="Z1501" s="9">
        <f>1/COUNTIFS(Таблица1[Customer Name],Таблица1[[#This Row],[Customer Name]],Таблица1[Order-Year-Month],Таблица1[[#This Row],[Order-Year-Month]])</f>
        <v>0.33333333333333331</v>
      </c>
    </row>
    <row r="1502" spans="1:26" x14ac:dyDescent="0.2">
      <c r="A1502" s="6">
        <v>6764</v>
      </c>
      <c r="B1502" s="7">
        <v>48167</v>
      </c>
      <c r="C1502" s="8">
        <f>DATE(2012,12,31)-1212</f>
        <v>40062</v>
      </c>
      <c r="D1502" s="8" t="str">
        <f t="shared" si="31"/>
        <v>2009-09 (сентябрь 2009)</v>
      </c>
      <c r="E1502" s="9" t="s">
        <v>78</v>
      </c>
      <c r="F1502" s="7">
        <v>27</v>
      </c>
      <c r="G1502" s="7">
        <v>8817.7099999999991</v>
      </c>
      <c r="H1502" s="7">
        <v>0.09</v>
      </c>
      <c r="I1502" s="9" t="s">
        <v>31</v>
      </c>
      <c r="J1502" s="10">
        <v>-2946.0509999999999</v>
      </c>
      <c r="K1502" s="11">
        <v>349.45</v>
      </c>
      <c r="L1502" s="11">
        <v>60</v>
      </c>
      <c r="M1502" s="9" t="s">
        <v>1042</v>
      </c>
      <c r="N1502" s="6" t="s">
        <v>672</v>
      </c>
      <c r="O1502" s="6" t="s">
        <v>673</v>
      </c>
      <c r="P1502" s="9" t="s">
        <v>41</v>
      </c>
      <c r="Q1502" s="9" t="s">
        <v>49</v>
      </c>
      <c r="R1502" s="9" t="s">
        <v>83</v>
      </c>
      <c r="S1502" s="7" t="s">
        <v>311</v>
      </c>
      <c r="T1502" s="9" t="s">
        <v>36</v>
      </c>
      <c r="U1502" s="7"/>
      <c r="V1502" s="12">
        <f>C1502+1</f>
        <v>40063</v>
      </c>
      <c r="W1502">
        <f>IF(D1502=' Pivot Tables'!$A$4,1,0)</f>
        <v>0</v>
      </c>
      <c r="X1502">
        <f>IF(AND(LEFT(D1502,4)+1=LEFT(' Pivot Tables'!$A$4,4)+0,RIGHT(LEFT(D1502,7),2)=RIGHT(LEFT(' Pivot Tables'!$A$4,7),2)),1,0)</f>
        <v>0</v>
      </c>
      <c r="Y1502" s="6">
        <f>1/COUNTIF(Таблица1[Order ID],Таблица1[[#This Row],[Order ID]])</f>
        <v>0.33333333333333331</v>
      </c>
      <c r="Z1502" s="9">
        <f>1/COUNTIFS(Таблица1[Customer Name],Таблица1[[#This Row],[Customer Name]],Таблица1[Order-Year-Month],Таблица1[[#This Row],[Order-Year-Month]])</f>
        <v>0.33333333333333331</v>
      </c>
    </row>
    <row r="1503" spans="1:26" x14ac:dyDescent="0.2">
      <c r="A1503" s="6">
        <v>6774</v>
      </c>
      <c r="B1503" s="7">
        <v>48230</v>
      </c>
      <c r="C1503" s="8">
        <f>DATE(2012,12,31)-1405</f>
        <v>39869</v>
      </c>
      <c r="D1503" s="8" t="str">
        <f t="shared" si="31"/>
        <v>2009-02 (февраль 2009)</v>
      </c>
      <c r="E1503" s="9" t="s">
        <v>45</v>
      </c>
      <c r="F1503" s="7">
        <v>39</v>
      </c>
      <c r="G1503" s="7">
        <v>1140.26</v>
      </c>
      <c r="H1503" s="7">
        <v>0.04</v>
      </c>
      <c r="I1503" s="9" t="s">
        <v>56</v>
      </c>
      <c r="J1503" s="10">
        <v>387.2</v>
      </c>
      <c r="K1503" s="11">
        <v>29.18</v>
      </c>
      <c r="L1503" s="11">
        <v>8.5500000000000007</v>
      </c>
      <c r="M1503" s="9" t="s">
        <v>1042</v>
      </c>
      <c r="N1503" s="6" t="s">
        <v>672</v>
      </c>
      <c r="O1503" s="6" t="s">
        <v>673</v>
      </c>
      <c r="P1503" s="9" t="s">
        <v>41</v>
      </c>
      <c r="Q1503" s="9" t="s">
        <v>49</v>
      </c>
      <c r="R1503" s="9" t="s">
        <v>50</v>
      </c>
      <c r="S1503" s="7" t="s">
        <v>608</v>
      </c>
      <c r="T1503" s="9" t="s">
        <v>39</v>
      </c>
      <c r="U1503" s="7">
        <v>0.42</v>
      </c>
      <c r="V1503" s="12">
        <f>C1503+2</f>
        <v>39871</v>
      </c>
      <c r="W1503">
        <f>IF(D1503=' Pivot Tables'!$A$4,1,0)</f>
        <v>0</v>
      </c>
      <c r="X1503">
        <f>IF(AND(LEFT(D1503,4)+1=LEFT(' Pivot Tables'!$A$4,4)+0,RIGHT(LEFT(D1503,7),2)=RIGHT(LEFT(' Pivot Tables'!$A$4,7),2)),1,0)</f>
        <v>0</v>
      </c>
      <c r="Y1503" s="6">
        <f>1/COUNTIF(Таблица1[Order ID],Таблица1[[#This Row],[Order ID]])</f>
        <v>0.5</v>
      </c>
      <c r="Z1503" s="9">
        <f>1/COUNTIFS(Таблица1[Customer Name],Таблица1[[#This Row],[Customer Name]],Таблица1[Order-Year-Month],Таблица1[[#This Row],[Order-Year-Month]])</f>
        <v>0.5</v>
      </c>
    </row>
    <row r="1504" spans="1:26" x14ac:dyDescent="0.2">
      <c r="A1504" s="6">
        <v>6775</v>
      </c>
      <c r="B1504" s="7">
        <v>48230</v>
      </c>
      <c r="C1504" s="8">
        <f>DATE(2012,12,31)-1405</f>
        <v>39869</v>
      </c>
      <c r="D1504" s="8" t="str">
        <f t="shared" si="31"/>
        <v>2009-02 (февраль 2009)</v>
      </c>
      <c r="E1504" s="9" t="s">
        <v>45</v>
      </c>
      <c r="F1504" s="7">
        <v>31</v>
      </c>
      <c r="G1504" s="7">
        <v>2645.8</v>
      </c>
      <c r="H1504" s="7">
        <v>0</v>
      </c>
      <c r="I1504" s="9" t="s">
        <v>22</v>
      </c>
      <c r="J1504" s="10">
        <v>-684.78</v>
      </c>
      <c r="K1504" s="11">
        <v>80.98</v>
      </c>
      <c r="L1504" s="11">
        <v>35</v>
      </c>
      <c r="M1504" s="9" t="s">
        <v>1042</v>
      </c>
      <c r="N1504" s="6" t="s">
        <v>672</v>
      </c>
      <c r="O1504" s="6" t="s">
        <v>673</v>
      </c>
      <c r="P1504" s="9" t="s">
        <v>41</v>
      </c>
      <c r="Q1504" s="9" t="s">
        <v>26</v>
      </c>
      <c r="R1504" s="9" t="s">
        <v>27</v>
      </c>
      <c r="S1504" s="7" t="s">
        <v>1045</v>
      </c>
      <c r="T1504" s="9" t="s">
        <v>29</v>
      </c>
      <c r="U1504" s="7">
        <v>0.83</v>
      </c>
      <c r="V1504" s="12">
        <f>C1504+2</f>
        <v>39871</v>
      </c>
      <c r="W1504">
        <f>IF(D1504=' Pivot Tables'!$A$4,1,0)</f>
        <v>0</v>
      </c>
      <c r="X1504">
        <f>IF(AND(LEFT(D1504,4)+1=LEFT(' Pivot Tables'!$A$4,4)+0,RIGHT(LEFT(D1504,7),2)=RIGHT(LEFT(' Pivot Tables'!$A$4,7),2)),1,0)</f>
        <v>0</v>
      </c>
      <c r="Y1504" s="6">
        <f>1/COUNTIF(Таблица1[Order ID],Таблица1[[#This Row],[Order ID]])</f>
        <v>0.5</v>
      </c>
      <c r="Z1504" s="9">
        <f>1/COUNTIFS(Таблица1[Customer Name],Таблица1[[#This Row],[Customer Name]],Таблица1[Order-Year-Month],Таблица1[[#This Row],[Order-Year-Month]])</f>
        <v>0.5</v>
      </c>
    </row>
    <row r="1505" spans="1:26" x14ac:dyDescent="0.2">
      <c r="A1505" s="6">
        <v>6806</v>
      </c>
      <c r="B1505" s="7">
        <v>48480</v>
      </c>
      <c r="C1505" s="8">
        <f>DATE(2012,12,31)-1094</f>
        <v>40180</v>
      </c>
      <c r="D1505" s="8" t="str">
        <f t="shared" si="31"/>
        <v>2010-01 (январь 2010)</v>
      </c>
      <c r="E1505" s="9" t="s">
        <v>78</v>
      </c>
      <c r="F1505" s="7">
        <v>32</v>
      </c>
      <c r="G1505" s="7">
        <v>11103.75</v>
      </c>
      <c r="H1505" s="7">
        <v>0.1</v>
      </c>
      <c r="I1505" s="9" t="s">
        <v>31</v>
      </c>
      <c r="J1505" s="10">
        <v>-522.59</v>
      </c>
      <c r="K1505" s="11">
        <v>370.98</v>
      </c>
      <c r="L1505" s="11">
        <v>99</v>
      </c>
      <c r="M1505" s="9" t="s">
        <v>1010</v>
      </c>
      <c r="N1505" s="6" t="s">
        <v>672</v>
      </c>
      <c r="O1505" s="6" t="s">
        <v>673</v>
      </c>
      <c r="P1505" s="9" t="s">
        <v>41</v>
      </c>
      <c r="Q1505" s="9" t="s">
        <v>26</v>
      </c>
      <c r="R1505" s="9" t="s">
        <v>27</v>
      </c>
      <c r="S1505" s="7" t="s">
        <v>342</v>
      </c>
      <c r="T1505" s="9" t="s">
        <v>36</v>
      </c>
      <c r="U1505" s="7">
        <v>0.65</v>
      </c>
      <c r="V1505" s="12">
        <f>C1505+3</f>
        <v>40183</v>
      </c>
      <c r="W1505">
        <f>IF(D1505=' Pivot Tables'!$A$4,1,0)</f>
        <v>1</v>
      </c>
      <c r="X1505">
        <f>IF(AND(LEFT(D1505,4)+1=LEFT(' Pivot Tables'!$A$4,4)+0,RIGHT(LEFT(D1505,7),2)=RIGHT(LEFT(' Pivot Tables'!$A$4,7),2)),1,0)</f>
        <v>0</v>
      </c>
      <c r="Y1505" s="6">
        <f>1/COUNTIF(Таблица1[Order ID],Таблица1[[#This Row],[Order ID]])</f>
        <v>1</v>
      </c>
      <c r="Z1505" s="9">
        <f>1/COUNTIFS(Таблица1[Customer Name],Таблица1[[#This Row],[Customer Name]],Таблица1[Order-Year-Month],Таблица1[[#This Row],[Order-Year-Month]])</f>
        <v>1</v>
      </c>
    </row>
    <row r="1506" spans="1:26" x14ac:dyDescent="0.2">
      <c r="A1506" s="6">
        <v>6825</v>
      </c>
      <c r="B1506" s="7">
        <v>48614</v>
      </c>
      <c r="C1506" s="8">
        <f>DATE(2012,12,31)-214</f>
        <v>41060</v>
      </c>
      <c r="D1506" s="8" t="str">
        <f t="shared" si="31"/>
        <v>2012-05 (май 2012)</v>
      </c>
      <c r="E1506" s="9" t="s">
        <v>78</v>
      </c>
      <c r="F1506" s="7">
        <v>46</v>
      </c>
      <c r="G1506" s="7">
        <v>7965.9024999999992</v>
      </c>
      <c r="H1506" s="7">
        <v>0.01</v>
      </c>
      <c r="I1506" s="9" t="s">
        <v>22</v>
      </c>
      <c r="J1506" s="10">
        <v>2311.9560000000001</v>
      </c>
      <c r="K1506" s="11">
        <v>195.99</v>
      </c>
      <c r="L1506" s="11">
        <v>8.99</v>
      </c>
      <c r="M1506" s="9" t="s">
        <v>1062</v>
      </c>
      <c r="N1506" s="6" t="s">
        <v>672</v>
      </c>
      <c r="O1506" s="6" t="s">
        <v>673</v>
      </c>
      <c r="P1506" s="9" t="s">
        <v>41</v>
      </c>
      <c r="Q1506" s="9" t="s">
        <v>42</v>
      </c>
      <c r="R1506" s="9" t="s">
        <v>43</v>
      </c>
      <c r="S1506" s="7" t="s">
        <v>670</v>
      </c>
      <c r="T1506" s="9" t="s">
        <v>39</v>
      </c>
      <c r="U1506" s="7">
        <v>0.6</v>
      </c>
      <c r="V1506" s="12">
        <f>C1506+0</f>
        <v>41060</v>
      </c>
      <c r="W1506">
        <f>IF(D1506=' Pivot Tables'!$A$4,1,0)</f>
        <v>0</v>
      </c>
      <c r="X1506">
        <f>IF(AND(LEFT(D1506,4)+1=LEFT(' Pivot Tables'!$A$4,4)+0,RIGHT(LEFT(D1506,7),2)=RIGHT(LEFT(' Pivot Tables'!$A$4,7),2)),1,0)</f>
        <v>0</v>
      </c>
      <c r="Y1506" s="6">
        <f>1/COUNTIF(Таблица1[Order ID],Таблица1[[#This Row],[Order ID]])</f>
        <v>1</v>
      </c>
      <c r="Z1506" s="9">
        <f>1/COUNTIFS(Таблица1[Customer Name],Таблица1[[#This Row],[Customer Name]],Таблица1[Order-Year-Month],Таблица1[[#This Row],[Order-Year-Month]])</f>
        <v>0.5</v>
      </c>
    </row>
    <row r="1507" spans="1:26" x14ac:dyDescent="0.2">
      <c r="A1507" s="6">
        <v>6844</v>
      </c>
      <c r="B1507" s="7">
        <v>48772</v>
      </c>
      <c r="C1507" s="8">
        <f>DATE(2012,12,31)-1329</f>
        <v>39945</v>
      </c>
      <c r="D1507" s="8" t="str">
        <f t="shared" si="31"/>
        <v>2009-05 (май 2009)</v>
      </c>
      <c r="E1507" s="9" t="s">
        <v>63</v>
      </c>
      <c r="F1507" s="7">
        <v>44</v>
      </c>
      <c r="G1507" s="7">
        <v>3202.25</v>
      </c>
      <c r="H1507" s="7">
        <v>0.09</v>
      </c>
      <c r="I1507" s="9" t="s">
        <v>22</v>
      </c>
      <c r="J1507" s="10">
        <v>991.26</v>
      </c>
      <c r="K1507" s="11">
        <v>78.69</v>
      </c>
      <c r="L1507" s="11">
        <v>19.989999999999998</v>
      </c>
      <c r="M1507" s="9" t="s">
        <v>1072</v>
      </c>
      <c r="N1507" s="6" t="s">
        <v>672</v>
      </c>
      <c r="O1507" s="6" t="s">
        <v>673</v>
      </c>
      <c r="P1507" s="9" t="s">
        <v>25</v>
      </c>
      <c r="Q1507" s="9" t="s">
        <v>49</v>
      </c>
      <c r="R1507" s="9" t="s">
        <v>50</v>
      </c>
      <c r="S1507" s="7" t="s">
        <v>788</v>
      </c>
      <c r="T1507" s="9" t="s">
        <v>39</v>
      </c>
      <c r="U1507" s="7">
        <v>0.43</v>
      </c>
      <c r="V1507" s="12">
        <f>C1507+2</f>
        <v>39947</v>
      </c>
      <c r="W1507">
        <f>IF(D1507=' Pivot Tables'!$A$4,1,0)</f>
        <v>0</v>
      </c>
      <c r="X1507">
        <f>IF(AND(LEFT(D1507,4)+1=LEFT(' Pivot Tables'!$A$4,4)+0,RIGHT(LEFT(D1507,7),2)=RIGHT(LEFT(' Pivot Tables'!$A$4,7),2)),1,0)</f>
        <v>0</v>
      </c>
      <c r="Y1507" s="6">
        <f>1/COUNTIF(Таблица1[Order ID],Таблица1[[#This Row],[Order ID]])</f>
        <v>0.2</v>
      </c>
      <c r="Z1507" s="9">
        <f>1/COUNTIFS(Таблица1[Customer Name],Таблица1[[#This Row],[Customer Name]],Таблица1[Order-Year-Month],Таблица1[[#This Row],[Order-Year-Month]])</f>
        <v>0.16666666666666666</v>
      </c>
    </row>
    <row r="1508" spans="1:26" x14ac:dyDescent="0.2">
      <c r="A1508" s="6">
        <v>6845</v>
      </c>
      <c r="B1508" s="7">
        <v>48772</v>
      </c>
      <c r="C1508" s="8">
        <f>DATE(2012,12,31)-1329</f>
        <v>39945</v>
      </c>
      <c r="D1508" s="8" t="str">
        <f t="shared" si="31"/>
        <v>2009-05 (май 2009)</v>
      </c>
      <c r="E1508" s="9" t="s">
        <v>63</v>
      </c>
      <c r="F1508" s="7">
        <v>11</v>
      </c>
      <c r="G1508" s="7">
        <v>81.25</v>
      </c>
      <c r="H1508" s="7">
        <v>0.01</v>
      </c>
      <c r="I1508" s="9" t="s">
        <v>22</v>
      </c>
      <c r="J1508" s="10">
        <v>-44.54</v>
      </c>
      <c r="K1508" s="11">
        <v>6.48</v>
      </c>
      <c r="L1508" s="11">
        <v>7.86</v>
      </c>
      <c r="M1508" s="9" t="s">
        <v>1072</v>
      </c>
      <c r="N1508" s="6" t="s">
        <v>672</v>
      </c>
      <c r="O1508" s="6" t="s">
        <v>673</v>
      </c>
      <c r="P1508" s="9" t="s">
        <v>25</v>
      </c>
      <c r="Q1508" s="9" t="s">
        <v>26</v>
      </c>
      <c r="R1508" s="9" t="s">
        <v>61</v>
      </c>
      <c r="S1508" s="7" t="s">
        <v>153</v>
      </c>
      <c r="T1508" s="9" t="s">
        <v>39</v>
      </c>
      <c r="U1508" s="7">
        <v>0.37</v>
      </c>
      <c r="V1508" s="12">
        <f>C1508+1</f>
        <v>39946</v>
      </c>
      <c r="W1508">
        <f>IF(D1508=' Pivot Tables'!$A$4,1,0)</f>
        <v>0</v>
      </c>
      <c r="X1508">
        <f>IF(AND(LEFT(D1508,4)+1=LEFT(' Pivot Tables'!$A$4,4)+0,RIGHT(LEFT(D1508,7),2)=RIGHT(LEFT(' Pivot Tables'!$A$4,7),2)),1,0)</f>
        <v>0</v>
      </c>
      <c r="Y1508" s="6">
        <f>1/COUNTIF(Таблица1[Order ID],Таблица1[[#This Row],[Order ID]])</f>
        <v>0.2</v>
      </c>
      <c r="Z1508" s="9">
        <f>1/COUNTIFS(Таблица1[Customer Name],Таблица1[[#This Row],[Customer Name]],Таблица1[Order-Year-Month],Таблица1[[#This Row],[Order-Year-Month]])</f>
        <v>0.16666666666666666</v>
      </c>
    </row>
    <row r="1509" spans="1:26" x14ac:dyDescent="0.2">
      <c r="A1509" s="6">
        <v>6846</v>
      </c>
      <c r="B1509" s="7">
        <v>48772</v>
      </c>
      <c r="C1509" s="8">
        <f>DATE(2012,12,31)-1329</f>
        <v>39945</v>
      </c>
      <c r="D1509" s="8" t="str">
        <f t="shared" si="31"/>
        <v>2009-05 (май 2009)</v>
      </c>
      <c r="E1509" s="9" t="s">
        <v>63</v>
      </c>
      <c r="F1509" s="7">
        <v>18</v>
      </c>
      <c r="G1509" s="7">
        <v>57.17</v>
      </c>
      <c r="H1509" s="7">
        <v>0.08</v>
      </c>
      <c r="I1509" s="9" t="s">
        <v>22</v>
      </c>
      <c r="J1509" s="10">
        <v>-24.03</v>
      </c>
      <c r="K1509" s="11">
        <v>3.28</v>
      </c>
      <c r="L1509" s="11">
        <v>2.31</v>
      </c>
      <c r="M1509" s="9" t="s">
        <v>1072</v>
      </c>
      <c r="N1509" s="6" t="s">
        <v>672</v>
      </c>
      <c r="O1509" s="6" t="s">
        <v>673</v>
      </c>
      <c r="P1509" s="9" t="s">
        <v>25</v>
      </c>
      <c r="Q1509" s="9" t="s">
        <v>26</v>
      </c>
      <c r="R1509" s="9" t="s">
        <v>95</v>
      </c>
      <c r="S1509" s="7" t="s">
        <v>1073</v>
      </c>
      <c r="T1509" s="9" t="s">
        <v>68</v>
      </c>
      <c r="U1509" s="7">
        <v>0.56000000000000005</v>
      </c>
      <c r="V1509" s="12">
        <f>C1509+1</f>
        <v>39946</v>
      </c>
      <c r="W1509">
        <f>IF(D1509=' Pivot Tables'!$A$4,1,0)</f>
        <v>0</v>
      </c>
      <c r="X1509">
        <f>IF(AND(LEFT(D1509,4)+1=LEFT(' Pivot Tables'!$A$4,4)+0,RIGHT(LEFT(D1509,7),2)=RIGHT(LEFT(' Pivot Tables'!$A$4,7),2)),1,0)</f>
        <v>0</v>
      </c>
      <c r="Y1509" s="6">
        <f>1/COUNTIF(Таблица1[Order ID],Таблица1[[#This Row],[Order ID]])</f>
        <v>0.2</v>
      </c>
      <c r="Z1509" s="9">
        <f>1/COUNTIFS(Таблица1[Customer Name],Таблица1[[#This Row],[Customer Name]],Таблица1[Order-Year-Month],Таблица1[[#This Row],[Order-Year-Month]])</f>
        <v>0.16666666666666666</v>
      </c>
    </row>
    <row r="1510" spans="1:26" x14ac:dyDescent="0.2">
      <c r="A1510" s="6">
        <v>6847</v>
      </c>
      <c r="B1510" s="7">
        <v>48772</v>
      </c>
      <c r="C1510" s="8">
        <f>DATE(2012,12,31)-1329</f>
        <v>39945</v>
      </c>
      <c r="D1510" s="8" t="str">
        <f t="shared" si="31"/>
        <v>2009-05 (май 2009)</v>
      </c>
      <c r="E1510" s="9" t="s">
        <v>63</v>
      </c>
      <c r="F1510" s="7">
        <v>12</v>
      </c>
      <c r="G1510" s="7">
        <v>41.97</v>
      </c>
      <c r="H1510" s="7">
        <v>0.05</v>
      </c>
      <c r="I1510" s="9" t="s">
        <v>22</v>
      </c>
      <c r="J1510" s="10">
        <v>-37.03</v>
      </c>
      <c r="K1510" s="11">
        <v>3.28</v>
      </c>
      <c r="L1510" s="11">
        <v>4.2</v>
      </c>
      <c r="M1510" s="9" t="s">
        <v>1072</v>
      </c>
      <c r="N1510" s="6" t="s">
        <v>672</v>
      </c>
      <c r="O1510" s="6" t="s">
        <v>673</v>
      </c>
      <c r="P1510" s="9" t="s">
        <v>25</v>
      </c>
      <c r="Q1510" s="9" t="s">
        <v>26</v>
      </c>
      <c r="R1510" s="9" t="s">
        <v>95</v>
      </c>
      <c r="S1510" s="7" t="s">
        <v>1074</v>
      </c>
      <c r="T1510" s="9" t="s">
        <v>68</v>
      </c>
      <c r="U1510" s="7">
        <v>0.56000000000000005</v>
      </c>
      <c r="V1510" s="12">
        <f>C1510+1</f>
        <v>39946</v>
      </c>
      <c r="W1510">
        <f>IF(D1510=' Pivot Tables'!$A$4,1,0)</f>
        <v>0</v>
      </c>
      <c r="X1510">
        <f>IF(AND(LEFT(D1510,4)+1=LEFT(' Pivot Tables'!$A$4,4)+0,RIGHT(LEFT(D1510,7),2)=RIGHT(LEFT(' Pivot Tables'!$A$4,7),2)),1,0)</f>
        <v>0</v>
      </c>
      <c r="Y1510" s="6">
        <f>1/COUNTIF(Таблица1[Order ID],Таблица1[[#This Row],[Order ID]])</f>
        <v>0.2</v>
      </c>
      <c r="Z1510" s="9">
        <f>1/COUNTIFS(Таблица1[Customer Name],Таблица1[[#This Row],[Customer Name]],Таблица1[Order-Year-Month],Таблица1[[#This Row],[Order-Year-Month]])</f>
        <v>0.16666666666666666</v>
      </c>
    </row>
    <row r="1511" spans="1:26" x14ac:dyDescent="0.2">
      <c r="A1511" s="6">
        <v>6848</v>
      </c>
      <c r="B1511" s="7">
        <v>48772</v>
      </c>
      <c r="C1511" s="8">
        <f>DATE(2012,12,31)-1329</f>
        <v>39945</v>
      </c>
      <c r="D1511" s="8" t="str">
        <f t="shared" si="31"/>
        <v>2009-05 (май 2009)</v>
      </c>
      <c r="E1511" s="9" t="s">
        <v>63</v>
      </c>
      <c r="F1511" s="7">
        <v>10</v>
      </c>
      <c r="G1511" s="7">
        <v>35.64</v>
      </c>
      <c r="H1511" s="7">
        <v>0.05</v>
      </c>
      <c r="I1511" s="9" t="s">
        <v>22</v>
      </c>
      <c r="J1511" s="10">
        <v>-0.71</v>
      </c>
      <c r="K1511" s="11">
        <v>3.58</v>
      </c>
      <c r="L1511" s="11">
        <v>1.63</v>
      </c>
      <c r="M1511" s="9" t="s">
        <v>1072</v>
      </c>
      <c r="N1511" s="6" t="s">
        <v>672</v>
      </c>
      <c r="O1511" s="6" t="s">
        <v>673</v>
      </c>
      <c r="P1511" s="9" t="s">
        <v>25</v>
      </c>
      <c r="Q1511" s="9" t="s">
        <v>26</v>
      </c>
      <c r="R1511" s="9" t="s">
        <v>66</v>
      </c>
      <c r="S1511" s="7" t="s">
        <v>1075</v>
      </c>
      <c r="T1511" s="9" t="s">
        <v>68</v>
      </c>
      <c r="U1511" s="7">
        <v>0.36</v>
      </c>
      <c r="V1511" s="12">
        <f>C1511+1</f>
        <v>39946</v>
      </c>
      <c r="W1511">
        <f>IF(D1511=' Pivot Tables'!$A$4,1,0)</f>
        <v>0</v>
      </c>
      <c r="X1511">
        <f>IF(AND(LEFT(D1511,4)+1=LEFT(' Pivot Tables'!$A$4,4)+0,RIGHT(LEFT(D1511,7),2)=RIGHT(LEFT(' Pivot Tables'!$A$4,7),2)),1,0)</f>
        <v>0</v>
      </c>
      <c r="Y1511" s="6">
        <f>1/COUNTIF(Таблица1[Order ID],Таблица1[[#This Row],[Order ID]])</f>
        <v>0.2</v>
      </c>
      <c r="Z1511" s="9">
        <f>1/COUNTIFS(Таблица1[Customer Name],Таблица1[[#This Row],[Customer Name]],Таблица1[Order-Year-Month],Таблица1[[#This Row],[Order-Year-Month]])</f>
        <v>0.16666666666666666</v>
      </c>
    </row>
    <row r="1512" spans="1:26" x14ac:dyDescent="0.2">
      <c r="A1512" s="6">
        <v>6852</v>
      </c>
      <c r="B1512" s="7">
        <v>48800</v>
      </c>
      <c r="C1512" s="8">
        <f>DATE(2012,12,31)-801</f>
        <v>40473</v>
      </c>
      <c r="D1512" s="8" t="str">
        <f t="shared" si="31"/>
        <v>2010-10 (октябрь 2010)</v>
      </c>
      <c r="E1512" s="9" t="s">
        <v>45</v>
      </c>
      <c r="F1512" s="7">
        <v>8</v>
      </c>
      <c r="G1512" s="7">
        <v>28761.52</v>
      </c>
      <c r="H1512" s="7">
        <v>0.04</v>
      </c>
      <c r="I1512" s="9" t="s">
        <v>22</v>
      </c>
      <c r="J1512" s="10">
        <v>285.11300000000028</v>
      </c>
      <c r="K1512" s="11">
        <v>3499.99</v>
      </c>
      <c r="L1512" s="11">
        <v>24.49</v>
      </c>
      <c r="M1512" s="9" t="s">
        <v>1049</v>
      </c>
      <c r="N1512" s="6" t="s">
        <v>672</v>
      </c>
      <c r="O1512" s="6" t="s">
        <v>673</v>
      </c>
      <c r="P1512" s="9" t="s">
        <v>60</v>
      </c>
      <c r="Q1512" s="9" t="s">
        <v>42</v>
      </c>
      <c r="R1512" s="9" t="s">
        <v>99</v>
      </c>
      <c r="S1512" s="7" t="s">
        <v>627</v>
      </c>
      <c r="T1512" s="9" t="s">
        <v>29</v>
      </c>
      <c r="U1512" s="7">
        <v>0.37</v>
      </c>
      <c r="V1512" s="12">
        <f>C1512+1</f>
        <v>40474</v>
      </c>
      <c r="W1512">
        <f>IF(D1512=' Pivot Tables'!$A$4,1,0)</f>
        <v>0</v>
      </c>
      <c r="X1512">
        <f>IF(AND(LEFT(D1512,4)+1=LEFT(' Pivot Tables'!$A$4,4)+0,RIGHT(LEFT(D1512,7),2)=RIGHT(LEFT(' Pivot Tables'!$A$4,7),2)),1,0)</f>
        <v>0</v>
      </c>
      <c r="Y1512" s="6">
        <f>1/COUNTIF(Таблица1[Order ID],Таблица1[[#This Row],[Order ID]])</f>
        <v>1</v>
      </c>
      <c r="Z1512" s="9">
        <f>1/COUNTIFS(Таблица1[Customer Name],Таблица1[[#This Row],[Customer Name]],Таблица1[Order-Year-Month],Таблица1[[#This Row],[Order-Year-Month]])</f>
        <v>1</v>
      </c>
    </row>
    <row r="1513" spans="1:26" x14ac:dyDescent="0.2">
      <c r="A1513" s="6">
        <v>6867</v>
      </c>
      <c r="B1513" s="7">
        <v>48931</v>
      </c>
      <c r="C1513" s="8">
        <f>DATE(2012,12,31)-1293</f>
        <v>39981</v>
      </c>
      <c r="D1513" s="8" t="str">
        <f t="shared" si="31"/>
        <v>2009-06 (июнь 2009)</v>
      </c>
      <c r="E1513" s="9" t="s">
        <v>21</v>
      </c>
      <c r="F1513" s="7">
        <v>33</v>
      </c>
      <c r="G1513" s="7">
        <v>750.66</v>
      </c>
      <c r="H1513" s="7">
        <v>0</v>
      </c>
      <c r="I1513" s="9" t="s">
        <v>22</v>
      </c>
      <c r="J1513" s="10">
        <v>120.05</v>
      </c>
      <c r="K1513" s="11">
        <v>20.95</v>
      </c>
      <c r="L1513" s="11">
        <v>4</v>
      </c>
      <c r="M1513" s="9" t="s">
        <v>1033</v>
      </c>
      <c r="N1513" s="6" t="s">
        <v>672</v>
      </c>
      <c r="O1513" s="6" t="s">
        <v>673</v>
      </c>
      <c r="P1513" s="9" t="s">
        <v>41</v>
      </c>
      <c r="Q1513" s="9" t="s">
        <v>42</v>
      </c>
      <c r="R1513" s="9" t="s">
        <v>70</v>
      </c>
      <c r="S1513" s="7" t="s">
        <v>231</v>
      </c>
      <c r="T1513" s="9" t="s">
        <v>39</v>
      </c>
      <c r="U1513" s="7">
        <v>0.6</v>
      </c>
      <c r="V1513" s="12">
        <f>C1513+7</f>
        <v>39988</v>
      </c>
      <c r="W1513">
        <f>IF(D1513=' Pivot Tables'!$A$4,1,0)</f>
        <v>0</v>
      </c>
      <c r="X1513">
        <f>IF(AND(LEFT(D1513,4)+1=LEFT(' Pivot Tables'!$A$4,4)+0,RIGHT(LEFT(D1513,7),2)=RIGHT(LEFT(' Pivot Tables'!$A$4,7),2)),1,0)</f>
        <v>0</v>
      </c>
      <c r="Y1513" s="6">
        <f>1/COUNTIF(Таблица1[Order ID],Таблица1[[#This Row],[Order ID]])</f>
        <v>0.33333333333333331</v>
      </c>
      <c r="Z1513" s="9">
        <f>1/COUNTIFS(Таблица1[Customer Name],Таблица1[[#This Row],[Customer Name]],Таблица1[Order-Year-Month],Таблица1[[#This Row],[Order-Year-Month]])</f>
        <v>0.33333333333333331</v>
      </c>
    </row>
    <row r="1514" spans="1:26" x14ac:dyDescent="0.2">
      <c r="A1514" s="6">
        <v>6868</v>
      </c>
      <c r="B1514" s="7">
        <v>48931</v>
      </c>
      <c r="C1514" s="8">
        <f>DATE(2012,12,31)-1293</f>
        <v>39981</v>
      </c>
      <c r="D1514" s="8" t="str">
        <f t="shared" si="31"/>
        <v>2009-06 (июнь 2009)</v>
      </c>
      <c r="E1514" s="9" t="s">
        <v>21</v>
      </c>
      <c r="F1514" s="7">
        <v>8</v>
      </c>
      <c r="G1514" s="7">
        <v>254.32</v>
      </c>
      <c r="H1514" s="7">
        <v>0.01</v>
      </c>
      <c r="I1514" s="9" t="s">
        <v>22</v>
      </c>
      <c r="J1514" s="10">
        <v>-117.39</v>
      </c>
      <c r="K1514" s="11">
        <v>30.98</v>
      </c>
      <c r="L1514" s="11">
        <v>6.5</v>
      </c>
      <c r="M1514" s="9" t="s">
        <v>1033</v>
      </c>
      <c r="N1514" s="6" t="s">
        <v>672</v>
      </c>
      <c r="O1514" s="6" t="s">
        <v>673</v>
      </c>
      <c r="P1514" s="9" t="s">
        <v>41</v>
      </c>
      <c r="Q1514" s="9" t="s">
        <v>42</v>
      </c>
      <c r="R1514" s="9" t="s">
        <v>70</v>
      </c>
      <c r="S1514" s="7" t="s">
        <v>805</v>
      </c>
      <c r="T1514" s="9" t="s">
        <v>39</v>
      </c>
      <c r="U1514" s="7">
        <v>0.79</v>
      </c>
      <c r="V1514" s="12">
        <f>C1514+2</f>
        <v>39983</v>
      </c>
      <c r="W1514">
        <f>IF(D1514=' Pivot Tables'!$A$4,1,0)</f>
        <v>0</v>
      </c>
      <c r="X1514">
        <f>IF(AND(LEFT(D1514,4)+1=LEFT(' Pivot Tables'!$A$4,4)+0,RIGHT(LEFT(D1514,7),2)=RIGHT(LEFT(' Pivot Tables'!$A$4,7),2)),1,0)</f>
        <v>0</v>
      </c>
      <c r="Y1514" s="6">
        <f>1/COUNTIF(Таблица1[Order ID],Таблица1[[#This Row],[Order ID]])</f>
        <v>0.33333333333333331</v>
      </c>
      <c r="Z1514" s="9">
        <f>1/COUNTIFS(Таблица1[Customer Name],Таблица1[[#This Row],[Customer Name]],Таблица1[Order-Year-Month],Таблица1[[#This Row],[Order-Year-Month]])</f>
        <v>0.33333333333333331</v>
      </c>
    </row>
    <row r="1515" spans="1:26" x14ac:dyDescent="0.2">
      <c r="A1515" s="6">
        <v>6869</v>
      </c>
      <c r="B1515" s="7">
        <v>48931</v>
      </c>
      <c r="C1515" s="8">
        <f>DATE(2012,12,31)-1293</f>
        <v>39981</v>
      </c>
      <c r="D1515" s="8" t="str">
        <f t="shared" si="31"/>
        <v>2009-06 (июнь 2009)</v>
      </c>
      <c r="E1515" s="9" t="s">
        <v>21</v>
      </c>
      <c r="F1515" s="7">
        <v>42</v>
      </c>
      <c r="G1515" s="7">
        <v>2149.37</v>
      </c>
      <c r="H1515" s="7">
        <v>0.03</v>
      </c>
      <c r="I1515" s="9" t="s">
        <v>22</v>
      </c>
      <c r="J1515" s="10">
        <v>217.87</v>
      </c>
      <c r="K1515" s="11">
        <v>51.75</v>
      </c>
      <c r="L1515" s="11">
        <v>19.989999999999998</v>
      </c>
      <c r="M1515" s="9" t="s">
        <v>1033</v>
      </c>
      <c r="N1515" s="6" t="s">
        <v>672</v>
      </c>
      <c r="O1515" s="6" t="s">
        <v>673</v>
      </c>
      <c r="P1515" s="9" t="s">
        <v>41</v>
      </c>
      <c r="Q1515" s="9" t="s">
        <v>49</v>
      </c>
      <c r="R1515" s="9" t="s">
        <v>50</v>
      </c>
      <c r="S1515" s="7" t="s">
        <v>293</v>
      </c>
      <c r="T1515" s="9" t="s">
        <v>39</v>
      </c>
      <c r="U1515" s="7">
        <v>0.55000000000000004</v>
      </c>
      <c r="V1515" s="12">
        <f>C1515+5</f>
        <v>39986</v>
      </c>
      <c r="W1515">
        <f>IF(D1515=' Pivot Tables'!$A$4,1,0)</f>
        <v>0</v>
      </c>
      <c r="X1515">
        <f>IF(AND(LEFT(D1515,4)+1=LEFT(' Pivot Tables'!$A$4,4)+0,RIGHT(LEFT(D1515,7),2)=RIGHT(LEFT(' Pivot Tables'!$A$4,7),2)),1,0)</f>
        <v>0</v>
      </c>
      <c r="Y1515" s="6">
        <f>1/COUNTIF(Таблица1[Order ID],Таблица1[[#This Row],[Order ID]])</f>
        <v>0.33333333333333331</v>
      </c>
      <c r="Z1515" s="9">
        <f>1/COUNTIFS(Таблица1[Customer Name],Таблица1[[#This Row],[Customer Name]],Таблица1[Order-Year-Month],Таблица1[[#This Row],[Order-Year-Month]])</f>
        <v>0.33333333333333331</v>
      </c>
    </row>
    <row r="1516" spans="1:26" x14ac:dyDescent="0.2">
      <c r="A1516" s="6">
        <v>6892</v>
      </c>
      <c r="B1516" s="7">
        <v>49126</v>
      </c>
      <c r="C1516" s="8">
        <f>DATE(2012,12,31)-540</f>
        <v>40734</v>
      </c>
      <c r="D1516" s="8" t="str">
        <f t="shared" si="31"/>
        <v>2011-07 (июль 2011)</v>
      </c>
      <c r="E1516" s="9" t="s">
        <v>21</v>
      </c>
      <c r="F1516" s="7">
        <v>33</v>
      </c>
      <c r="G1516" s="7">
        <v>5661.08</v>
      </c>
      <c r="H1516" s="7">
        <v>0</v>
      </c>
      <c r="I1516" s="9" t="s">
        <v>31</v>
      </c>
      <c r="J1516" s="10">
        <v>1055.47</v>
      </c>
      <c r="K1516" s="11">
        <v>160.97999999999999</v>
      </c>
      <c r="L1516" s="11">
        <v>30</v>
      </c>
      <c r="M1516" s="9" t="s">
        <v>910</v>
      </c>
      <c r="N1516" s="6" t="s">
        <v>672</v>
      </c>
      <c r="O1516" s="6" t="s">
        <v>673</v>
      </c>
      <c r="P1516" s="9" t="s">
        <v>41</v>
      </c>
      <c r="Q1516" s="9" t="s">
        <v>49</v>
      </c>
      <c r="R1516" s="9" t="s">
        <v>112</v>
      </c>
      <c r="S1516" s="7" t="s">
        <v>746</v>
      </c>
      <c r="T1516" s="9" t="s">
        <v>36</v>
      </c>
      <c r="U1516" s="7">
        <v>0.62</v>
      </c>
      <c r="V1516" s="12">
        <f>C1516+7</f>
        <v>40741</v>
      </c>
      <c r="W1516">
        <f>IF(D1516=' Pivot Tables'!$A$4,1,0)</f>
        <v>0</v>
      </c>
      <c r="X1516">
        <f>IF(AND(LEFT(D1516,4)+1=LEFT(' Pivot Tables'!$A$4,4)+0,RIGHT(LEFT(D1516,7),2)=RIGHT(LEFT(' Pivot Tables'!$A$4,7),2)),1,0)</f>
        <v>0</v>
      </c>
      <c r="Y1516" s="6">
        <f>1/COUNTIF(Таблица1[Order ID],Таблица1[[#This Row],[Order ID]])</f>
        <v>1</v>
      </c>
      <c r="Z1516" s="9">
        <f>1/COUNTIFS(Таблица1[Customer Name],Таблица1[[#This Row],[Customer Name]],Таблица1[Order-Year-Month],Таблица1[[#This Row],[Order-Year-Month]])</f>
        <v>1</v>
      </c>
    </row>
    <row r="1517" spans="1:26" x14ac:dyDescent="0.2">
      <c r="A1517" s="6">
        <v>6908</v>
      </c>
      <c r="B1517" s="7">
        <v>49283</v>
      </c>
      <c r="C1517" s="8">
        <f>DATE(2012,12,31)-1116</f>
        <v>40158</v>
      </c>
      <c r="D1517" s="8" t="str">
        <f t="shared" si="31"/>
        <v>2009-12 (декабрь 2009)</v>
      </c>
      <c r="E1517" s="9" t="s">
        <v>30</v>
      </c>
      <c r="F1517" s="7">
        <v>25</v>
      </c>
      <c r="G1517" s="7">
        <v>334.71</v>
      </c>
      <c r="H1517" s="7">
        <v>0.01</v>
      </c>
      <c r="I1517" s="9" t="s">
        <v>22</v>
      </c>
      <c r="J1517" s="10">
        <v>31.74</v>
      </c>
      <c r="K1517" s="11">
        <v>12.28</v>
      </c>
      <c r="L1517" s="11">
        <v>6.47</v>
      </c>
      <c r="M1517" s="9" t="s">
        <v>1018</v>
      </c>
      <c r="N1517" s="6" t="s">
        <v>672</v>
      </c>
      <c r="O1517" s="6" t="s">
        <v>673</v>
      </c>
      <c r="P1517" s="9" t="s">
        <v>60</v>
      </c>
      <c r="Q1517" s="9" t="s">
        <v>26</v>
      </c>
      <c r="R1517" s="9" t="s">
        <v>61</v>
      </c>
      <c r="S1517" s="7" t="s">
        <v>131</v>
      </c>
      <c r="T1517" s="9" t="s">
        <v>39</v>
      </c>
      <c r="U1517" s="7">
        <v>0.38</v>
      </c>
      <c r="V1517" s="12">
        <f>C1517+1</f>
        <v>40159</v>
      </c>
      <c r="W1517">
        <f>IF(D1517=' Pivot Tables'!$A$4,1,0)</f>
        <v>0</v>
      </c>
      <c r="X1517">
        <f>IF(AND(LEFT(D1517,4)+1=LEFT(' Pivot Tables'!$A$4,4)+0,RIGHT(LEFT(D1517,7),2)=RIGHT(LEFT(' Pivot Tables'!$A$4,7),2)),1,0)</f>
        <v>0</v>
      </c>
      <c r="Y1517" s="6">
        <f>1/COUNTIF(Таблица1[Order ID],Таблица1[[#This Row],[Order ID]])</f>
        <v>1</v>
      </c>
      <c r="Z1517" s="9">
        <f>1/COUNTIFS(Таблица1[Customer Name],Таблица1[[#This Row],[Customer Name]],Таблица1[Order-Year-Month],Таблица1[[#This Row],[Order-Year-Month]])</f>
        <v>1</v>
      </c>
    </row>
    <row r="1518" spans="1:26" x14ac:dyDescent="0.2">
      <c r="A1518" s="6">
        <v>6927</v>
      </c>
      <c r="B1518" s="7">
        <v>49441</v>
      </c>
      <c r="C1518" s="8">
        <f>DATE(2012,12,31)-1191</f>
        <v>40083</v>
      </c>
      <c r="D1518" s="8" t="str">
        <f t="shared" si="31"/>
        <v>2009-09 (сентябрь 2009)</v>
      </c>
      <c r="E1518" s="9" t="s">
        <v>63</v>
      </c>
      <c r="F1518" s="7">
        <v>49</v>
      </c>
      <c r="G1518" s="7">
        <v>1981.26</v>
      </c>
      <c r="H1518" s="7">
        <v>7.0000000000000007E-2</v>
      </c>
      <c r="I1518" s="9" t="s">
        <v>56</v>
      </c>
      <c r="J1518" s="10">
        <v>100.8</v>
      </c>
      <c r="K1518" s="11">
        <v>41.32</v>
      </c>
      <c r="L1518" s="11">
        <v>8.66</v>
      </c>
      <c r="M1518" s="9" t="s">
        <v>1056</v>
      </c>
      <c r="N1518" s="6" t="s">
        <v>672</v>
      </c>
      <c r="O1518" s="6" t="s">
        <v>673</v>
      </c>
      <c r="P1518" s="9" t="s">
        <v>60</v>
      </c>
      <c r="Q1518" s="9" t="s">
        <v>49</v>
      </c>
      <c r="R1518" s="9" t="s">
        <v>50</v>
      </c>
      <c r="S1518" s="7" t="s">
        <v>639</v>
      </c>
      <c r="T1518" s="9" t="s">
        <v>48</v>
      </c>
      <c r="U1518" s="7">
        <v>0.76</v>
      </c>
      <c r="V1518" s="12">
        <f>C1518+1</f>
        <v>40084</v>
      </c>
      <c r="W1518">
        <f>IF(D1518=' Pivot Tables'!$A$4,1,0)</f>
        <v>0</v>
      </c>
      <c r="X1518">
        <f>IF(AND(LEFT(D1518,4)+1=LEFT(' Pivot Tables'!$A$4,4)+0,RIGHT(LEFT(D1518,7),2)=RIGHT(LEFT(' Pivot Tables'!$A$4,7),2)),1,0)</f>
        <v>0</v>
      </c>
      <c r="Y1518" s="6">
        <f>1/COUNTIF(Таблица1[Order ID],Таблица1[[#This Row],[Order ID]])</f>
        <v>1</v>
      </c>
      <c r="Z1518" s="9">
        <f>1/COUNTIFS(Таблица1[Customer Name],Таблица1[[#This Row],[Customer Name]],Таблица1[Order-Year-Month],Таблица1[[#This Row],[Order-Year-Month]])</f>
        <v>1</v>
      </c>
    </row>
    <row r="1519" spans="1:26" x14ac:dyDescent="0.2">
      <c r="A1519" s="6">
        <v>6944</v>
      </c>
      <c r="B1519" s="7">
        <v>49601</v>
      </c>
      <c r="C1519" s="8">
        <f>DATE(2012,12,31)-705</f>
        <v>40569</v>
      </c>
      <c r="D1519" s="8" t="str">
        <f t="shared" si="31"/>
        <v>2011-01 (январь 2011)</v>
      </c>
      <c r="E1519" s="9" t="s">
        <v>21</v>
      </c>
      <c r="F1519" s="7">
        <v>15</v>
      </c>
      <c r="G1519" s="7">
        <v>1756.46</v>
      </c>
      <c r="H1519" s="7">
        <v>0.01</v>
      </c>
      <c r="I1519" s="9" t="s">
        <v>31</v>
      </c>
      <c r="J1519" s="10">
        <v>-101.19</v>
      </c>
      <c r="K1519" s="11">
        <v>113.98</v>
      </c>
      <c r="L1519" s="11">
        <v>30</v>
      </c>
      <c r="M1519" s="9" t="s">
        <v>910</v>
      </c>
      <c r="N1519" s="6" t="s">
        <v>672</v>
      </c>
      <c r="O1519" s="6" t="s">
        <v>673</v>
      </c>
      <c r="P1519" s="9" t="s">
        <v>60</v>
      </c>
      <c r="Q1519" s="9" t="s">
        <v>49</v>
      </c>
      <c r="R1519" s="9" t="s">
        <v>112</v>
      </c>
      <c r="S1519" s="7" t="s">
        <v>840</v>
      </c>
      <c r="T1519" s="9" t="s">
        <v>36</v>
      </c>
      <c r="U1519" s="7">
        <v>0.69</v>
      </c>
      <c r="V1519" s="12">
        <f>C1519+7</f>
        <v>40576</v>
      </c>
      <c r="W1519">
        <f>IF(D1519=' Pivot Tables'!$A$4,1,0)</f>
        <v>0</v>
      </c>
      <c r="X1519">
        <f>IF(AND(LEFT(D1519,4)+1=LEFT(' Pivot Tables'!$A$4,4)+0,RIGHT(LEFT(D1519,7),2)=RIGHT(LEFT(' Pivot Tables'!$A$4,7),2)),1,0)</f>
        <v>0</v>
      </c>
      <c r="Y1519" s="6">
        <f>1/COUNTIF(Таблица1[Order ID],Таблица1[[#This Row],[Order ID]])</f>
        <v>1</v>
      </c>
      <c r="Z1519" s="9">
        <f>1/COUNTIFS(Таблица1[Customer Name],Таблица1[[#This Row],[Customer Name]],Таблица1[Order-Year-Month],Таблица1[[#This Row],[Order-Year-Month]])</f>
        <v>1</v>
      </c>
    </row>
    <row r="1520" spans="1:26" x14ac:dyDescent="0.2">
      <c r="A1520" s="6">
        <v>6960</v>
      </c>
      <c r="B1520" s="7">
        <v>49763</v>
      </c>
      <c r="C1520" s="8">
        <f>DATE(2012,12,31)-687</f>
        <v>40587</v>
      </c>
      <c r="D1520" s="8" t="str">
        <f t="shared" si="31"/>
        <v>2011-02 (февраль 2011)</v>
      </c>
      <c r="E1520" s="9" t="s">
        <v>78</v>
      </c>
      <c r="F1520" s="7">
        <v>8</v>
      </c>
      <c r="G1520" s="7">
        <v>49.04</v>
      </c>
      <c r="H1520" s="7">
        <v>0.02</v>
      </c>
      <c r="I1520" s="9" t="s">
        <v>22</v>
      </c>
      <c r="J1520" s="10">
        <v>9.2899999999999991</v>
      </c>
      <c r="K1520" s="11">
        <v>5.68</v>
      </c>
      <c r="L1520" s="11">
        <v>1.39</v>
      </c>
      <c r="M1520" s="9" t="s">
        <v>1027</v>
      </c>
      <c r="N1520" s="6" t="s">
        <v>672</v>
      </c>
      <c r="O1520" s="6" t="s">
        <v>673</v>
      </c>
      <c r="P1520" s="9" t="s">
        <v>41</v>
      </c>
      <c r="Q1520" s="9" t="s">
        <v>26</v>
      </c>
      <c r="R1520" s="9" t="s">
        <v>76</v>
      </c>
      <c r="S1520" s="7" t="s">
        <v>620</v>
      </c>
      <c r="T1520" s="9" t="s">
        <v>39</v>
      </c>
      <c r="U1520" s="7">
        <v>0.38</v>
      </c>
      <c r="V1520" s="12">
        <f>C1520+1</f>
        <v>40588</v>
      </c>
      <c r="W1520">
        <f>IF(D1520=' Pivot Tables'!$A$4,1,0)</f>
        <v>0</v>
      </c>
      <c r="X1520">
        <f>IF(AND(LEFT(D1520,4)+1=LEFT(' Pivot Tables'!$A$4,4)+0,RIGHT(LEFT(D1520,7),2)=RIGHT(LEFT(' Pivot Tables'!$A$4,7),2)),1,0)</f>
        <v>0</v>
      </c>
      <c r="Y1520" s="6">
        <f>1/COUNTIF(Таблица1[Order ID],Таблица1[[#This Row],[Order ID]])</f>
        <v>0.5</v>
      </c>
      <c r="Z1520" s="9">
        <f>1/COUNTIFS(Таблица1[Customer Name],Таблица1[[#This Row],[Customer Name]],Таблица1[Order-Year-Month],Таблица1[[#This Row],[Order-Year-Month]])</f>
        <v>0.5</v>
      </c>
    </row>
    <row r="1521" spans="1:26" x14ac:dyDescent="0.2">
      <c r="A1521" s="6">
        <v>6961</v>
      </c>
      <c r="B1521" s="7">
        <v>49763</v>
      </c>
      <c r="C1521" s="8">
        <f>DATE(2012,12,31)-687</f>
        <v>40587</v>
      </c>
      <c r="D1521" s="8" t="str">
        <f t="shared" si="31"/>
        <v>2011-02 (февраль 2011)</v>
      </c>
      <c r="E1521" s="9" t="s">
        <v>78</v>
      </c>
      <c r="F1521" s="7">
        <v>6</v>
      </c>
      <c r="G1521" s="7">
        <v>2320.35</v>
      </c>
      <c r="H1521" s="7">
        <v>0</v>
      </c>
      <c r="I1521" s="9" t="s">
        <v>31</v>
      </c>
      <c r="J1521" s="10">
        <v>-237.61799999999999</v>
      </c>
      <c r="K1521" s="11">
        <v>348.21</v>
      </c>
      <c r="L1521" s="11">
        <v>84.84</v>
      </c>
      <c r="M1521" s="9" t="s">
        <v>1027</v>
      </c>
      <c r="N1521" s="6" t="s">
        <v>672</v>
      </c>
      <c r="O1521" s="6" t="s">
        <v>673</v>
      </c>
      <c r="P1521" s="9" t="s">
        <v>41</v>
      </c>
      <c r="Q1521" s="9" t="s">
        <v>49</v>
      </c>
      <c r="R1521" s="9" t="s">
        <v>83</v>
      </c>
      <c r="S1521" s="7" t="s">
        <v>599</v>
      </c>
      <c r="T1521" s="9" t="s">
        <v>82</v>
      </c>
      <c r="U1521" s="7">
        <v>0.66</v>
      </c>
      <c r="V1521" s="12">
        <f>C1521+0</f>
        <v>40587</v>
      </c>
      <c r="W1521">
        <f>IF(D1521=' Pivot Tables'!$A$4,1,0)</f>
        <v>0</v>
      </c>
      <c r="X1521">
        <f>IF(AND(LEFT(D1521,4)+1=LEFT(' Pivot Tables'!$A$4,4)+0,RIGHT(LEFT(D1521,7),2)=RIGHT(LEFT(' Pivot Tables'!$A$4,7),2)),1,0)</f>
        <v>0</v>
      </c>
      <c r="Y1521" s="6">
        <f>1/COUNTIF(Таблица1[Order ID],Таблица1[[#This Row],[Order ID]])</f>
        <v>0.5</v>
      </c>
      <c r="Z1521" s="9">
        <f>1/COUNTIFS(Таблица1[Customer Name],Таблица1[[#This Row],[Customer Name]],Таблица1[Order-Year-Month],Таблица1[[#This Row],[Order-Year-Month]])</f>
        <v>0.5</v>
      </c>
    </row>
    <row r="1522" spans="1:26" x14ac:dyDescent="0.2">
      <c r="A1522" s="6">
        <v>6988</v>
      </c>
      <c r="B1522" s="7">
        <v>49927</v>
      </c>
      <c r="C1522" s="8">
        <f>DATE(2012,12,31)-164</f>
        <v>41110</v>
      </c>
      <c r="D1522" s="8" t="str">
        <f t="shared" si="31"/>
        <v>2012-07 (июль 2012)</v>
      </c>
      <c r="E1522" s="9" t="s">
        <v>45</v>
      </c>
      <c r="F1522" s="7">
        <v>26</v>
      </c>
      <c r="G1522" s="7">
        <v>139.54</v>
      </c>
      <c r="H1522" s="7">
        <v>0.01</v>
      </c>
      <c r="I1522" s="9" t="s">
        <v>22</v>
      </c>
      <c r="J1522" s="10">
        <v>-54.084499999999998</v>
      </c>
      <c r="K1522" s="11">
        <v>4.9800000000000004</v>
      </c>
      <c r="L1522" s="11">
        <v>4.95</v>
      </c>
      <c r="M1522" s="9" t="s">
        <v>1049</v>
      </c>
      <c r="N1522" s="6" t="s">
        <v>672</v>
      </c>
      <c r="O1522" s="6" t="s">
        <v>673</v>
      </c>
      <c r="P1522" s="9" t="s">
        <v>60</v>
      </c>
      <c r="Q1522" s="9" t="s">
        <v>26</v>
      </c>
      <c r="R1522" s="9" t="s">
        <v>37</v>
      </c>
      <c r="S1522" s="7" t="s">
        <v>691</v>
      </c>
      <c r="T1522" s="9" t="s">
        <v>39</v>
      </c>
      <c r="U1522" s="7">
        <v>0.37</v>
      </c>
      <c r="V1522" s="12">
        <f>C1522+0</f>
        <v>41110</v>
      </c>
      <c r="W1522">
        <f>IF(D1522=' Pivot Tables'!$A$4,1,0)</f>
        <v>0</v>
      </c>
      <c r="X1522">
        <f>IF(AND(LEFT(D1522,4)+1=LEFT(' Pivot Tables'!$A$4,4)+0,RIGHT(LEFT(D1522,7),2)=RIGHT(LEFT(' Pivot Tables'!$A$4,7),2)),1,0)</f>
        <v>0</v>
      </c>
      <c r="Y1522" s="6">
        <f>1/COUNTIF(Таблица1[Order ID],Таблица1[[#This Row],[Order ID]])</f>
        <v>0.33333333333333331</v>
      </c>
      <c r="Z1522" s="9">
        <f>1/COUNTIFS(Таблица1[Customer Name],Таблица1[[#This Row],[Customer Name]],Таблица1[Order-Year-Month],Таблица1[[#This Row],[Order-Year-Month]])</f>
        <v>0.33333333333333331</v>
      </c>
    </row>
    <row r="1523" spans="1:26" x14ac:dyDescent="0.2">
      <c r="A1523" s="6">
        <v>6989</v>
      </c>
      <c r="B1523" s="7">
        <v>49927</v>
      </c>
      <c r="C1523" s="8">
        <f>DATE(2012,12,31)-164</f>
        <v>41110</v>
      </c>
      <c r="D1523" s="8" t="str">
        <f t="shared" si="31"/>
        <v>2012-07 (июль 2012)</v>
      </c>
      <c r="E1523" s="9" t="s">
        <v>45</v>
      </c>
      <c r="F1523" s="7">
        <v>28</v>
      </c>
      <c r="G1523" s="7">
        <v>199.52</v>
      </c>
      <c r="H1523" s="7">
        <v>0.08</v>
      </c>
      <c r="I1523" s="9" t="s">
        <v>22</v>
      </c>
      <c r="J1523" s="10">
        <v>13.44</v>
      </c>
      <c r="K1523" s="11">
        <v>7.59</v>
      </c>
      <c r="L1523" s="11">
        <v>4</v>
      </c>
      <c r="M1523" s="9" t="s">
        <v>1049</v>
      </c>
      <c r="N1523" s="6" t="s">
        <v>672</v>
      </c>
      <c r="O1523" s="6" t="s">
        <v>673</v>
      </c>
      <c r="P1523" s="9" t="s">
        <v>60</v>
      </c>
      <c r="Q1523" s="9" t="s">
        <v>49</v>
      </c>
      <c r="R1523" s="9" t="s">
        <v>50</v>
      </c>
      <c r="S1523" s="7" t="s">
        <v>504</v>
      </c>
      <c r="T1523" s="9" t="s">
        <v>68</v>
      </c>
      <c r="U1523" s="7">
        <v>0.42</v>
      </c>
      <c r="V1523" s="12">
        <f>C1523+2</f>
        <v>41112</v>
      </c>
      <c r="W1523">
        <f>IF(D1523=' Pivot Tables'!$A$4,1,0)</f>
        <v>0</v>
      </c>
      <c r="X1523">
        <f>IF(AND(LEFT(D1523,4)+1=LEFT(' Pivot Tables'!$A$4,4)+0,RIGHT(LEFT(D1523,7),2)=RIGHT(LEFT(' Pivot Tables'!$A$4,7),2)),1,0)</f>
        <v>0</v>
      </c>
      <c r="Y1523" s="6">
        <f>1/COUNTIF(Таблица1[Order ID],Таблица1[[#This Row],[Order ID]])</f>
        <v>0.33333333333333331</v>
      </c>
      <c r="Z1523" s="9">
        <f>1/COUNTIFS(Таблица1[Customer Name],Таблица1[[#This Row],[Customer Name]],Таблица1[Order-Year-Month],Таблица1[[#This Row],[Order-Year-Month]])</f>
        <v>0.33333333333333331</v>
      </c>
    </row>
    <row r="1524" spans="1:26" x14ac:dyDescent="0.2">
      <c r="A1524" s="6">
        <v>6990</v>
      </c>
      <c r="B1524" s="7">
        <v>49927</v>
      </c>
      <c r="C1524" s="8">
        <f>DATE(2012,12,31)-164</f>
        <v>41110</v>
      </c>
      <c r="D1524" s="8" t="str">
        <f t="shared" si="31"/>
        <v>2012-07 (июль 2012)</v>
      </c>
      <c r="E1524" s="9" t="s">
        <v>45</v>
      </c>
      <c r="F1524" s="7">
        <v>39</v>
      </c>
      <c r="G1524" s="7">
        <v>85.66</v>
      </c>
      <c r="H1524" s="7">
        <v>0.04</v>
      </c>
      <c r="I1524" s="9" t="s">
        <v>22</v>
      </c>
      <c r="J1524" s="10">
        <v>6.67</v>
      </c>
      <c r="K1524" s="11">
        <v>2.1800000000000002</v>
      </c>
      <c r="L1524" s="11">
        <v>0.78</v>
      </c>
      <c r="M1524" s="9" t="s">
        <v>1049</v>
      </c>
      <c r="N1524" s="6" t="s">
        <v>672</v>
      </c>
      <c r="O1524" s="6" t="s">
        <v>673</v>
      </c>
      <c r="P1524" s="9" t="s">
        <v>60</v>
      </c>
      <c r="Q1524" s="9" t="s">
        <v>26</v>
      </c>
      <c r="R1524" s="9" t="s">
        <v>66</v>
      </c>
      <c r="S1524" s="7" t="s">
        <v>428</v>
      </c>
      <c r="T1524" s="9" t="s">
        <v>68</v>
      </c>
      <c r="U1524" s="7">
        <v>0.52</v>
      </c>
      <c r="V1524" s="12">
        <f>C1524+1</f>
        <v>41111</v>
      </c>
      <c r="W1524">
        <f>IF(D1524=' Pivot Tables'!$A$4,1,0)</f>
        <v>0</v>
      </c>
      <c r="X1524">
        <f>IF(AND(LEFT(D1524,4)+1=LEFT(' Pivot Tables'!$A$4,4)+0,RIGHT(LEFT(D1524,7),2)=RIGHT(LEFT(' Pivot Tables'!$A$4,7),2)),1,0)</f>
        <v>0</v>
      </c>
      <c r="Y1524" s="6">
        <f>1/COUNTIF(Таблица1[Order ID],Таблица1[[#This Row],[Order ID]])</f>
        <v>0.33333333333333331</v>
      </c>
      <c r="Z1524" s="9">
        <f>1/COUNTIFS(Таблица1[Customer Name],Таблица1[[#This Row],[Customer Name]],Таблица1[Order-Year-Month],Таблица1[[#This Row],[Order-Year-Month]])</f>
        <v>0.33333333333333331</v>
      </c>
    </row>
    <row r="1525" spans="1:26" x14ac:dyDescent="0.2">
      <c r="A1525" s="6">
        <v>7009</v>
      </c>
      <c r="B1525" s="7">
        <v>50048</v>
      </c>
      <c r="C1525" s="8">
        <f>DATE(2012,12,31)-1078</f>
        <v>40196</v>
      </c>
      <c r="D1525" s="8" t="str">
        <f t="shared" si="31"/>
        <v>2010-01 (январь 2010)</v>
      </c>
      <c r="E1525" s="9" t="s">
        <v>30</v>
      </c>
      <c r="F1525" s="7">
        <v>14</v>
      </c>
      <c r="G1525" s="7">
        <v>35.479999999999997</v>
      </c>
      <c r="H1525" s="7">
        <v>0.09</v>
      </c>
      <c r="I1525" s="9" t="s">
        <v>22</v>
      </c>
      <c r="J1525" s="10">
        <v>-9.19</v>
      </c>
      <c r="K1525" s="11">
        <v>2.58</v>
      </c>
      <c r="L1525" s="11">
        <v>1.3</v>
      </c>
      <c r="M1525" s="9" t="s">
        <v>1015</v>
      </c>
      <c r="N1525" s="6" t="s">
        <v>672</v>
      </c>
      <c r="O1525" s="6" t="s">
        <v>673</v>
      </c>
      <c r="P1525" s="9" t="s">
        <v>41</v>
      </c>
      <c r="Q1525" s="9" t="s">
        <v>26</v>
      </c>
      <c r="R1525" s="9" t="s">
        <v>95</v>
      </c>
      <c r="S1525" s="7" t="s">
        <v>781</v>
      </c>
      <c r="T1525" s="9" t="s">
        <v>68</v>
      </c>
      <c r="U1525" s="7">
        <v>0.59</v>
      </c>
      <c r="V1525" s="12">
        <f>C1525+2</f>
        <v>40198</v>
      </c>
      <c r="W1525">
        <f>IF(D1525=' Pivot Tables'!$A$4,1,0)</f>
        <v>1</v>
      </c>
      <c r="X1525">
        <f>IF(AND(LEFT(D1525,4)+1=LEFT(' Pivot Tables'!$A$4,4)+0,RIGHT(LEFT(D1525,7),2)=RIGHT(LEFT(' Pivot Tables'!$A$4,7),2)),1,0)</f>
        <v>0</v>
      </c>
      <c r="Y1525" s="6">
        <f>1/COUNTIF(Таблица1[Order ID],Таблица1[[#This Row],[Order ID]])</f>
        <v>0.5</v>
      </c>
      <c r="Z1525" s="9">
        <f>1/COUNTIFS(Таблица1[Customer Name],Таблица1[[#This Row],[Customer Name]],Таблица1[Order-Year-Month],Таблица1[[#This Row],[Order-Year-Month]])</f>
        <v>0.5</v>
      </c>
    </row>
    <row r="1526" spans="1:26" x14ac:dyDescent="0.2">
      <c r="A1526" s="6">
        <v>7010</v>
      </c>
      <c r="B1526" s="7">
        <v>50048</v>
      </c>
      <c r="C1526" s="8">
        <f>DATE(2012,12,31)-1078</f>
        <v>40196</v>
      </c>
      <c r="D1526" s="8" t="str">
        <f t="shared" si="31"/>
        <v>2010-01 (январь 2010)</v>
      </c>
      <c r="E1526" s="9" t="s">
        <v>30</v>
      </c>
      <c r="F1526" s="7">
        <v>1</v>
      </c>
      <c r="G1526" s="7">
        <v>15</v>
      </c>
      <c r="H1526" s="7">
        <v>0.05</v>
      </c>
      <c r="I1526" s="9" t="s">
        <v>22</v>
      </c>
      <c r="J1526" s="10">
        <v>-11.02</v>
      </c>
      <c r="K1526" s="11">
        <v>6.84</v>
      </c>
      <c r="L1526" s="11">
        <v>8.3699999999999992</v>
      </c>
      <c r="M1526" s="9" t="s">
        <v>1015</v>
      </c>
      <c r="N1526" s="6" t="s">
        <v>672</v>
      </c>
      <c r="O1526" s="6" t="s">
        <v>673</v>
      </c>
      <c r="P1526" s="9" t="s">
        <v>41</v>
      </c>
      <c r="Q1526" s="9" t="s">
        <v>26</v>
      </c>
      <c r="R1526" s="9" t="s">
        <v>150</v>
      </c>
      <c r="S1526" s="7" t="s">
        <v>401</v>
      </c>
      <c r="T1526" s="9" t="s">
        <v>52</v>
      </c>
      <c r="U1526" s="7">
        <v>0.57999999999999996</v>
      </c>
      <c r="V1526" s="12">
        <f>C1526+2</f>
        <v>40198</v>
      </c>
      <c r="W1526">
        <f>IF(D1526=' Pivot Tables'!$A$4,1,0)</f>
        <v>1</v>
      </c>
      <c r="X1526">
        <f>IF(AND(LEFT(D1526,4)+1=LEFT(' Pivot Tables'!$A$4,4)+0,RIGHT(LEFT(D1526,7),2)=RIGHT(LEFT(' Pivot Tables'!$A$4,7),2)),1,0)</f>
        <v>0</v>
      </c>
      <c r="Y1526" s="6">
        <f>1/COUNTIF(Таблица1[Order ID],Таблица1[[#This Row],[Order ID]])</f>
        <v>0.5</v>
      </c>
      <c r="Z1526" s="9">
        <f>1/COUNTIFS(Таблица1[Customer Name],Таблица1[[#This Row],[Customer Name]],Таблица1[Order-Year-Month],Таблица1[[#This Row],[Order-Year-Month]])</f>
        <v>0.5</v>
      </c>
    </row>
    <row r="1527" spans="1:26" x14ac:dyDescent="0.2">
      <c r="A1527" s="6">
        <v>7075</v>
      </c>
      <c r="B1527" s="7">
        <v>50499</v>
      </c>
      <c r="C1527" s="8">
        <f>DATE(2012,12,31)-446</f>
        <v>40828</v>
      </c>
      <c r="D1527" s="8" t="str">
        <f t="shared" si="31"/>
        <v>2011-10 (октябрь 2011)</v>
      </c>
      <c r="E1527" s="9" t="s">
        <v>45</v>
      </c>
      <c r="F1527" s="7">
        <v>18</v>
      </c>
      <c r="G1527" s="7">
        <v>1758.41</v>
      </c>
      <c r="H1527" s="7">
        <v>0.06</v>
      </c>
      <c r="I1527" s="9" t="s">
        <v>31</v>
      </c>
      <c r="J1527" s="10">
        <v>238.52</v>
      </c>
      <c r="K1527" s="11">
        <v>100.98</v>
      </c>
      <c r="L1527" s="11">
        <v>15.66</v>
      </c>
      <c r="M1527" s="9" t="s">
        <v>1038</v>
      </c>
      <c r="N1527" s="6" t="s">
        <v>672</v>
      </c>
      <c r="O1527" s="6" t="s">
        <v>673</v>
      </c>
      <c r="P1527" s="9" t="s">
        <v>25</v>
      </c>
      <c r="Q1527" s="9" t="s">
        <v>26</v>
      </c>
      <c r="R1527" s="9" t="s">
        <v>34</v>
      </c>
      <c r="S1527" s="7" t="s">
        <v>1076</v>
      </c>
      <c r="T1527" s="9" t="s">
        <v>36</v>
      </c>
      <c r="U1527" s="7">
        <v>0.56999999999999995</v>
      </c>
      <c r="V1527" s="12">
        <f>C1527+1</f>
        <v>40829</v>
      </c>
      <c r="W1527">
        <f>IF(D1527=' Pivot Tables'!$A$4,1,0)</f>
        <v>0</v>
      </c>
      <c r="X1527">
        <f>IF(AND(LEFT(D1527,4)+1=LEFT(' Pivot Tables'!$A$4,4)+0,RIGHT(LEFT(D1527,7),2)=RIGHT(LEFT(' Pivot Tables'!$A$4,7),2)),1,0)</f>
        <v>0</v>
      </c>
      <c r="Y1527" s="6">
        <f>1/COUNTIF(Таблица1[Order ID],Таблица1[[#This Row],[Order ID]])</f>
        <v>1</v>
      </c>
      <c r="Z1527" s="9">
        <f>1/COUNTIFS(Таблица1[Customer Name],Таблица1[[#This Row],[Customer Name]],Таблица1[Order-Year-Month],Таблица1[[#This Row],[Order-Year-Month]])</f>
        <v>1</v>
      </c>
    </row>
    <row r="1528" spans="1:26" x14ac:dyDescent="0.2">
      <c r="A1528" s="6">
        <v>7152</v>
      </c>
      <c r="B1528" s="7">
        <v>51041</v>
      </c>
      <c r="C1528" s="8">
        <f>DATE(2012,12,31)-886</f>
        <v>40388</v>
      </c>
      <c r="D1528" s="8" t="str">
        <f t="shared" si="31"/>
        <v>2010-07 (июль 2010)</v>
      </c>
      <c r="E1528" s="9" t="s">
        <v>30</v>
      </c>
      <c r="F1528" s="7">
        <v>47</v>
      </c>
      <c r="G1528" s="7">
        <v>2766.8179999999998</v>
      </c>
      <c r="H1528" s="7">
        <v>0.03</v>
      </c>
      <c r="I1528" s="9" t="s">
        <v>22</v>
      </c>
      <c r="J1528" s="10">
        <v>846.94500000000005</v>
      </c>
      <c r="K1528" s="11">
        <v>65.989999999999995</v>
      </c>
      <c r="L1528" s="11">
        <v>5.92</v>
      </c>
      <c r="M1528" s="9" t="s">
        <v>1046</v>
      </c>
      <c r="N1528" s="6" t="s">
        <v>672</v>
      </c>
      <c r="O1528" s="6" t="s">
        <v>673</v>
      </c>
      <c r="P1528" s="9" t="s">
        <v>60</v>
      </c>
      <c r="Q1528" s="9" t="s">
        <v>42</v>
      </c>
      <c r="R1528" s="9" t="s">
        <v>43</v>
      </c>
      <c r="S1528" s="7" t="s">
        <v>359</v>
      </c>
      <c r="T1528" s="9" t="s">
        <v>39</v>
      </c>
      <c r="U1528" s="7">
        <v>0.55000000000000004</v>
      </c>
      <c r="V1528" s="12">
        <f>C1528+1</f>
        <v>40389</v>
      </c>
      <c r="W1528">
        <f>IF(D1528=' Pivot Tables'!$A$4,1,0)</f>
        <v>0</v>
      </c>
      <c r="X1528">
        <f>IF(AND(LEFT(D1528,4)+1=LEFT(' Pivot Tables'!$A$4,4)+0,RIGHT(LEFT(D1528,7),2)=RIGHT(LEFT(' Pivot Tables'!$A$4,7),2)),1,0)</f>
        <v>0</v>
      </c>
      <c r="Y1528" s="6">
        <f>1/COUNTIF(Таблица1[Order ID],Таблица1[[#This Row],[Order ID]])</f>
        <v>1</v>
      </c>
      <c r="Z1528" s="9">
        <f>1/COUNTIFS(Таблица1[Customer Name],Таблица1[[#This Row],[Customer Name]],Таблица1[Order-Year-Month],Таблица1[[#This Row],[Order-Year-Month]])</f>
        <v>1</v>
      </c>
    </row>
    <row r="1529" spans="1:26" x14ac:dyDescent="0.2">
      <c r="A1529" s="6">
        <v>7194</v>
      </c>
      <c r="B1529" s="7">
        <v>51328</v>
      </c>
      <c r="C1529" s="8">
        <f>DATE(2012,12,31)-797</f>
        <v>40477</v>
      </c>
      <c r="D1529" s="8" t="str">
        <f t="shared" si="31"/>
        <v>2010-10 (октябрь 2010)</v>
      </c>
      <c r="E1529" s="9" t="s">
        <v>21</v>
      </c>
      <c r="F1529" s="7">
        <v>38</v>
      </c>
      <c r="G1529" s="7">
        <v>689.67</v>
      </c>
      <c r="H1529" s="7">
        <v>7.0000000000000007E-2</v>
      </c>
      <c r="I1529" s="9" t="s">
        <v>22</v>
      </c>
      <c r="J1529" s="10">
        <v>51.47</v>
      </c>
      <c r="K1529" s="11">
        <v>18.7</v>
      </c>
      <c r="L1529" s="11">
        <v>8.99</v>
      </c>
      <c r="M1529" s="9" t="s">
        <v>998</v>
      </c>
      <c r="N1529" s="6" t="s">
        <v>672</v>
      </c>
      <c r="O1529" s="6" t="s">
        <v>673</v>
      </c>
      <c r="P1529" s="9" t="s">
        <v>33</v>
      </c>
      <c r="Q1529" s="9" t="s">
        <v>49</v>
      </c>
      <c r="R1529" s="9" t="s">
        <v>50</v>
      </c>
      <c r="S1529" s="7" t="s">
        <v>1077</v>
      </c>
      <c r="T1529" s="9" t="s">
        <v>52</v>
      </c>
      <c r="U1529" s="7">
        <v>0.47</v>
      </c>
      <c r="V1529" s="12">
        <f>C1529+5</f>
        <v>40482</v>
      </c>
      <c r="W1529">
        <f>IF(D1529=' Pivot Tables'!$A$4,1,0)</f>
        <v>0</v>
      </c>
      <c r="X1529">
        <f>IF(AND(LEFT(D1529,4)+1=LEFT(' Pivot Tables'!$A$4,4)+0,RIGHT(LEFT(D1529,7),2)=RIGHT(LEFT(' Pivot Tables'!$A$4,7),2)),1,0)</f>
        <v>0</v>
      </c>
      <c r="Y1529" s="6">
        <f>1/COUNTIF(Таблица1[Order ID],Таблица1[[#This Row],[Order ID]])</f>
        <v>1</v>
      </c>
      <c r="Z1529" s="9">
        <f>1/COUNTIFS(Таблица1[Customer Name],Таблица1[[#This Row],[Customer Name]],Таблица1[Order-Year-Month],Таблица1[[#This Row],[Order-Year-Month]])</f>
        <v>1</v>
      </c>
    </row>
    <row r="1530" spans="1:26" x14ac:dyDescent="0.2">
      <c r="A1530" s="6">
        <v>7195</v>
      </c>
      <c r="B1530" s="7">
        <v>51333</v>
      </c>
      <c r="C1530" s="8">
        <f>DATE(2012,12,31)-88</f>
        <v>41186</v>
      </c>
      <c r="D1530" s="8" t="str">
        <f t="shared" si="31"/>
        <v>2012-10 (октябрь 2012)</v>
      </c>
      <c r="E1530" s="9" t="s">
        <v>45</v>
      </c>
      <c r="F1530" s="7">
        <v>30</v>
      </c>
      <c r="G1530" s="7">
        <v>2219.79</v>
      </c>
      <c r="H1530" s="7">
        <v>0.1</v>
      </c>
      <c r="I1530" s="9" t="s">
        <v>31</v>
      </c>
      <c r="J1530" s="10">
        <v>-9.4481999999999999</v>
      </c>
      <c r="K1530" s="11">
        <v>80.97</v>
      </c>
      <c r="L1530" s="11">
        <v>33.6</v>
      </c>
      <c r="M1530" s="9" t="s">
        <v>1001</v>
      </c>
      <c r="N1530" s="6" t="s">
        <v>672</v>
      </c>
      <c r="O1530" s="6" t="s">
        <v>673</v>
      </c>
      <c r="P1530" s="9" t="s">
        <v>41</v>
      </c>
      <c r="Q1530" s="9" t="s">
        <v>42</v>
      </c>
      <c r="R1530" s="9" t="s">
        <v>210</v>
      </c>
      <c r="S1530" s="7" t="s">
        <v>312</v>
      </c>
      <c r="T1530" s="9" t="s">
        <v>36</v>
      </c>
      <c r="U1530" s="7">
        <v>0.37</v>
      </c>
      <c r="V1530" s="12">
        <f>C1530+2</f>
        <v>41188</v>
      </c>
      <c r="W1530">
        <f>IF(D1530=' Pivot Tables'!$A$4,1,0)</f>
        <v>0</v>
      </c>
      <c r="X1530">
        <f>IF(AND(LEFT(D1530,4)+1=LEFT(' Pivot Tables'!$A$4,4)+0,RIGHT(LEFT(D1530,7),2)=RIGHT(LEFT(' Pivot Tables'!$A$4,7),2)),1,0)</f>
        <v>0</v>
      </c>
      <c r="Y1530" s="6">
        <f>1/COUNTIF(Таблица1[Order ID],Таблица1[[#This Row],[Order ID]])</f>
        <v>0.5</v>
      </c>
      <c r="Z1530" s="9">
        <f>1/COUNTIFS(Таблица1[Customer Name],Таблица1[[#This Row],[Customer Name]],Таблица1[Order-Year-Month],Таблица1[[#This Row],[Order-Year-Month]])</f>
        <v>0.5</v>
      </c>
    </row>
    <row r="1531" spans="1:26" x14ac:dyDescent="0.2">
      <c r="A1531" s="6">
        <v>7196</v>
      </c>
      <c r="B1531" s="7">
        <v>51333</v>
      </c>
      <c r="C1531" s="8">
        <f>DATE(2012,12,31)-88</f>
        <v>41186</v>
      </c>
      <c r="D1531" s="8" t="str">
        <f t="shared" si="31"/>
        <v>2012-10 (октябрь 2012)</v>
      </c>
      <c r="E1531" s="9" t="s">
        <v>45</v>
      </c>
      <c r="F1531" s="7">
        <v>25</v>
      </c>
      <c r="G1531" s="7">
        <v>237.36</v>
      </c>
      <c r="H1531" s="7">
        <v>7.0000000000000007E-2</v>
      </c>
      <c r="I1531" s="9" t="s">
        <v>22</v>
      </c>
      <c r="J1531" s="10">
        <v>-117.86</v>
      </c>
      <c r="K1531" s="11">
        <v>9.06</v>
      </c>
      <c r="L1531" s="11">
        <v>9.86</v>
      </c>
      <c r="M1531" s="9" t="s">
        <v>1001</v>
      </c>
      <c r="N1531" s="6" t="s">
        <v>672</v>
      </c>
      <c r="O1531" s="6" t="s">
        <v>673</v>
      </c>
      <c r="P1531" s="9" t="s">
        <v>41</v>
      </c>
      <c r="Q1531" s="9" t="s">
        <v>26</v>
      </c>
      <c r="R1531" s="9" t="s">
        <v>61</v>
      </c>
      <c r="S1531" s="7" t="s">
        <v>930</v>
      </c>
      <c r="T1531" s="9" t="s">
        <v>39</v>
      </c>
      <c r="U1531" s="7">
        <v>0.4</v>
      </c>
      <c r="V1531" s="12">
        <f>C1531+2</f>
        <v>41188</v>
      </c>
      <c r="W1531">
        <f>IF(D1531=' Pivot Tables'!$A$4,1,0)</f>
        <v>0</v>
      </c>
      <c r="X1531">
        <f>IF(AND(LEFT(D1531,4)+1=LEFT(' Pivot Tables'!$A$4,4)+0,RIGHT(LEFT(D1531,7),2)=RIGHT(LEFT(' Pivot Tables'!$A$4,7),2)),1,0)</f>
        <v>0</v>
      </c>
      <c r="Y1531" s="6">
        <f>1/COUNTIF(Таблица1[Order ID],Таблица1[[#This Row],[Order ID]])</f>
        <v>0.5</v>
      </c>
      <c r="Z1531" s="9">
        <f>1/COUNTIFS(Таблица1[Customer Name],Таблица1[[#This Row],[Customer Name]],Таблица1[Order-Year-Month],Таблица1[[#This Row],[Order-Year-Month]])</f>
        <v>0.5</v>
      </c>
    </row>
    <row r="1532" spans="1:26" x14ac:dyDescent="0.2">
      <c r="A1532" s="6">
        <v>7201</v>
      </c>
      <c r="B1532" s="7">
        <v>51365</v>
      </c>
      <c r="C1532" s="8">
        <f>DATE(2012,12,31)-146</f>
        <v>41128</v>
      </c>
      <c r="D1532" s="8" t="str">
        <f t="shared" si="31"/>
        <v>2012-08 (август 2012)</v>
      </c>
      <c r="E1532" s="9" t="s">
        <v>30</v>
      </c>
      <c r="F1532" s="7">
        <v>35</v>
      </c>
      <c r="G1532" s="7">
        <v>195.23</v>
      </c>
      <c r="H1532" s="7">
        <v>0.08</v>
      </c>
      <c r="I1532" s="9" t="s">
        <v>22</v>
      </c>
      <c r="J1532" s="10">
        <v>-72.459999999999994</v>
      </c>
      <c r="K1532" s="11">
        <v>5.89</v>
      </c>
      <c r="L1532" s="11">
        <v>5.57</v>
      </c>
      <c r="M1532" s="9" t="s">
        <v>1001</v>
      </c>
      <c r="N1532" s="6" t="s">
        <v>672</v>
      </c>
      <c r="O1532" s="6" t="s">
        <v>673</v>
      </c>
      <c r="P1532" s="9" t="s">
        <v>41</v>
      </c>
      <c r="Q1532" s="9" t="s">
        <v>49</v>
      </c>
      <c r="R1532" s="9" t="s">
        <v>50</v>
      </c>
      <c r="S1532" s="7" t="s">
        <v>467</v>
      </c>
      <c r="T1532" s="9" t="s">
        <v>39</v>
      </c>
      <c r="U1532" s="7">
        <v>0.41</v>
      </c>
      <c r="V1532" s="12">
        <f>C1532+2</f>
        <v>41130</v>
      </c>
      <c r="W1532">
        <f>IF(D1532=' Pivot Tables'!$A$4,1,0)</f>
        <v>0</v>
      </c>
      <c r="X1532">
        <f>IF(AND(LEFT(D1532,4)+1=LEFT(' Pivot Tables'!$A$4,4)+0,RIGHT(LEFT(D1532,7),2)=RIGHT(LEFT(' Pivot Tables'!$A$4,7),2)),1,0)</f>
        <v>0</v>
      </c>
      <c r="Y1532" s="6">
        <f>1/COUNTIF(Таблица1[Order ID],Таблица1[[#This Row],[Order ID]])</f>
        <v>0.5</v>
      </c>
      <c r="Z1532" s="9">
        <f>1/COUNTIFS(Таблица1[Customer Name],Таблица1[[#This Row],[Customer Name]],Таблица1[Order-Year-Month],Таблица1[[#This Row],[Order-Year-Month]])</f>
        <v>0.5</v>
      </c>
    </row>
    <row r="1533" spans="1:26" x14ac:dyDescent="0.2">
      <c r="A1533" s="6">
        <v>7202</v>
      </c>
      <c r="B1533" s="7">
        <v>51365</v>
      </c>
      <c r="C1533" s="8">
        <f>DATE(2012,12,31)-146</f>
        <v>41128</v>
      </c>
      <c r="D1533" s="8" t="str">
        <f t="shared" si="31"/>
        <v>2012-08 (август 2012)</v>
      </c>
      <c r="E1533" s="9" t="s">
        <v>30</v>
      </c>
      <c r="F1533" s="7">
        <v>35</v>
      </c>
      <c r="G1533" s="7">
        <v>4051.8</v>
      </c>
      <c r="H1533" s="7">
        <v>0.1</v>
      </c>
      <c r="I1533" s="9" t="s">
        <v>31</v>
      </c>
      <c r="J1533" s="10">
        <v>-684.072</v>
      </c>
      <c r="K1533" s="11">
        <v>124.49</v>
      </c>
      <c r="L1533" s="11">
        <v>51.94</v>
      </c>
      <c r="M1533" s="9" t="s">
        <v>1001</v>
      </c>
      <c r="N1533" s="6" t="s">
        <v>672</v>
      </c>
      <c r="O1533" s="6" t="s">
        <v>673</v>
      </c>
      <c r="P1533" s="9" t="s">
        <v>41</v>
      </c>
      <c r="Q1533" s="9" t="s">
        <v>49</v>
      </c>
      <c r="R1533" s="9" t="s">
        <v>83</v>
      </c>
      <c r="S1533" s="7" t="s">
        <v>432</v>
      </c>
      <c r="T1533" s="9" t="s">
        <v>82</v>
      </c>
      <c r="U1533" s="7">
        <v>0.63</v>
      </c>
      <c r="V1533" s="12">
        <f>C1533+1</f>
        <v>41129</v>
      </c>
      <c r="W1533">
        <f>IF(D1533=' Pivot Tables'!$A$4,1,0)</f>
        <v>0</v>
      </c>
      <c r="X1533">
        <f>IF(AND(LEFT(D1533,4)+1=LEFT(' Pivot Tables'!$A$4,4)+0,RIGHT(LEFT(D1533,7),2)=RIGHT(LEFT(' Pivot Tables'!$A$4,7),2)),1,0)</f>
        <v>0</v>
      </c>
      <c r="Y1533" s="6">
        <f>1/COUNTIF(Таблица1[Order ID],Таблица1[[#This Row],[Order ID]])</f>
        <v>0.5</v>
      </c>
      <c r="Z1533" s="9">
        <f>1/COUNTIFS(Таблица1[Customer Name],Таблица1[[#This Row],[Customer Name]],Таблица1[Order-Year-Month],Таблица1[[#This Row],[Order-Year-Month]])</f>
        <v>0.5</v>
      </c>
    </row>
    <row r="1534" spans="1:26" x14ac:dyDescent="0.2">
      <c r="A1534" s="6">
        <v>7253</v>
      </c>
      <c r="B1534" s="7">
        <v>51777</v>
      </c>
      <c r="C1534" s="8">
        <f>DATE(2012,12,31)-681</f>
        <v>40593</v>
      </c>
      <c r="D1534" s="8" t="str">
        <f t="shared" si="31"/>
        <v>2011-02 (февраль 2011)</v>
      </c>
      <c r="E1534" s="9" t="s">
        <v>63</v>
      </c>
      <c r="F1534" s="7">
        <v>4</v>
      </c>
      <c r="G1534" s="7">
        <v>3465.97</v>
      </c>
      <c r="H1534" s="7">
        <v>0.08</v>
      </c>
      <c r="I1534" s="9" t="s">
        <v>22</v>
      </c>
      <c r="J1534" s="10">
        <v>194.31850000000003</v>
      </c>
      <c r="K1534" s="11">
        <v>896.99</v>
      </c>
      <c r="L1534" s="11">
        <v>19.989999999999998</v>
      </c>
      <c r="M1534" s="9" t="s">
        <v>1032</v>
      </c>
      <c r="N1534" s="6" t="s">
        <v>672</v>
      </c>
      <c r="O1534" s="6" t="s">
        <v>673</v>
      </c>
      <c r="P1534" s="9" t="s">
        <v>25</v>
      </c>
      <c r="Q1534" s="9" t="s">
        <v>26</v>
      </c>
      <c r="R1534" s="9" t="s">
        <v>37</v>
      </c>
      <c r="S1534" s="7" t="s">
        <v>442</v>
      </c>
      <c r="T1534" s="9" t="s">
        <v>39</v>
      </c>
      <c r="U1534" s="7">
        <v>0.38</v>
      </c>
      <c r="V1534" s="12">
        <f>C1534+1</f>
        <v>40594</v>
      </c>
      <c r="W1534">
        <f>IF(D1534=' Pivot Tables'!$A$4,1,0)</f>
        <v>0</v>
      </c>
      <c r="X1534">
        <f>IF(AND(LEFT(D1534,4)+1=LEFT(' Pivot Tables'!$A$4,4)+0,RIGHT(LEFT(D1534,7),2)=RIGHT(LEFT(' Pivot Tables'!$A$4,7),2)),1,0)</f>
        <v>0</v>
      </c>
      <c r="Y1534" s="6">
        <f>1/COUNTIF(Таблица1[Order ID],Таблица1[[#This Row],[Order ID]])</f>
        <v>0.5</v>
      </c>
      <c r="Z1534" s="9">
        <f>1/COUNTIFS(Таблица1[Customer Name],Таблица1[[#This Row],[Customer Name]],Таблица1[Order-Year-Month],Таблица1[[#This Row],[Order-Year-Month]])</f>
        <v>0.5</v>
      </c>
    </row>
    <row r="1535" spans="1:26" x14ac:dyDescent="0.2">
      <c r="A1535" s="6">
        <v>7254</v>
      </c>
      <c r="B1535" s="7">
        <v>51777</v>
      </c>
      <c r="C1535" s="8">
        <f>DATE(2012,12,31)-681</f>
        <v>40593</v>
      </c>
      <c r="D1535" s="8" t="str">
        <f t="shared" si="31"/>
        <v>2011-02 (февраль 2011)</v>
      </c>
      <c r="E1535" s="9" t="s">
        <v>63</v>
      </c>
      <c r="F1535" s="7">
        <v>13</v>
      </c>
      <c r="G1535" s="7">
        <v>1307.8800000000001</v>
      </c>
      <c r="H1535" s="7">
        <v>0.06</v>
      </c>
      <c r="I1535" s="9" t="s">
        <v>22</v>
      </c>
      <c r="J1535" s="10">
        <v>206.86</v>
      </c>
      <c r="K1535" s="11">
        <v>100.97</v>
      </c>
      <c r="L1535" s="11">
        <v>7.18</v>
      </c>
      <c r="M1535" s="9" t="s">
        <v>1032</v>
      </c>
      <c r="N1535" s="6" t="s">
        <v>672</v>
      </c>
      <c r="O1535" s="6" t="s">
        <v>673</v>
      </c>
      <c r="P1535" s="9" t="s">
        <v>25</v>
      </c>
      <c r="Q1535" s="9" t="s">
        <v>42</v>
      </c>
      <c r="R1535" s="9" t="s">
        <v>70</v>
      </c>
      <c r="S1535" s="7" t="s">
        <v>1078</v>
      </c>
      <c r="T1535" s="9" t="s">
        <v>39</v>
      </c>
      <c r="U1535" s="7">
        <v>0.46</v>
      </c>
      <c r="V1535" s="12">
        <f>C1535+2</f>
        <v>40595</v>
      </c>
      <c r="W1535">
        <f>IF(D1535=' Pivot Tables'!$A$4,1,0)</f>
        <v>0</v>
      </c>
      <c r="X1535">
        <f>IF(AND(LEFT(D1535,4)+1=LEFT(' Pivot Tables'!$A$4,4)+0,RIGHT(LEFT(D1535,7),2)=RIGHT(LEFT(' Pivot Tables'!$A$4,7),2)),1,0)</f>
        <v>0</v>
      </c>
      <c r="Y1535" s="6">
        <f>1/COUNTIF(Таблица1[Order ID],Таблица1[[#This Row],[Order ID]])</f>
        <v>0.5</v>
      </c>
      <c r="Z1535" s="9">
        <f>1/COUNTIFS(Таблица1[Customer Name],Таблица1[[#This Row],[Customer Name]],Таблица1[Order-Year-Month],Таблица1[[#This Row],[Order-Year-Month]])</f>
        <v>0.5</v>
      </c>
    </row>
    <row r="1536" spans="1:26" x14ac:dyDescent="0.2">
      <c r="A1536" s="6">
        <v>7263</v>
      </c>
      <c r="B1536" s="7">
        <v>51814</v>
      </c>
      <c r="C1536" s="8">
        <f>DATE(2012,12,31)-829</f>
        <v>40445</v>
      </c>
      <c r="D1536" s="8" t="str">
        <f t="shared" si="31"/>
        <v>2010-09 (сентябрь 2010)</v>
      </c>
      <c r="E1536" s="9" t="s">
        <v>78</v>
      </c>
      <c r="F1536" s="7">
        <v>13</v>
      </c>
      <c r="G1536" s="7">
        <v>104.51</v>
      </c>
      <c r="H1536" s="7">
        <v>0.04</v>
      </c>
      <c r="I1536" s="9" t="s">
        <v>22</v>
      </c>
      <c r="J1536" s="10">
        <v>-9.2805</v>
      </c>
      <c r="K1536" s="11">
        <v>7.84</v>
      </c>
      <c r="L1536" s="11">
        <v>4.71</v>
      </c>
      <c r="M1536" s="9" t="s">
        <v>1006</v>
      </c>
      <c r="N1536" s="6" t="s">
        <v>672</v>
      </c>
      <c r="O1536" s="6" t="s">
        <v>673</v>
      </c>
      <c r="P1536" s="9" t="s">
        <v>60</v>
      </c>
      <c r="Q1536" s="9" t="s">
        <v>26</v>
      </c>
      <c r="R1536" s="9" t="s">
        <v>37</v>
      </c>
      <c r="S1536" s="7" t="s">
        <v>121</v>
      </c>
      <c r="T1536" s="9" t="s">
        <v>39</v>
      </c>
      <c r="U1536" s="7">
        <v>0.35</v>
      </c>
      <c r="V1536" s="12">
        <f>C1536+2</f>
        <v>40447</v>
      </c>
      <c r="W1536">
        <f>IF(D1536=' Pivot Tables'!$A$4,1,0)</f>
        <v>0</v>
      </c>
      <c r="X1536">
        <f>IF(AND(LEFT(D1536,4)+1=LEFT(' Pivot Tables'!$A$4,4)+0,RIGHT(LEFT(D1536,7),2)=RIGHT(LEFT(' Pivot Tables'!$A$4,7),2)),1,0)</f>
        <v>0</v>
      </c>
      <c r="Y1536" s="6">
        <f>1/COUNTIF(Таблица1[Order ID],Таблица1[[#This Row],[Order ID]])</f>
        <v>1</v>
      </c>
      <c r="Z1536" s="9">
        <f>1/COUNTIFS(Таблица1[Customer Name],Таблица1[[#This Row],[Customer Name]],Таблица1[Order-Year-Month],Таблица1[[#This Row],[Order-Year-Month]])</f>
        <v>1</v>
      </c>
    </row>
    <row r="1537" spans="1:26" x14ac:dyDescent="0.2">
      <c r="A1537" s="6">
        <v>7290</v>
      </c>
      <c r="B1537" s="7">
        <v>51975</v>
      </c>
      <c r="C1537" s="8">
        <f>DATE(2012,12,31)-1109</f>
        <v>40165</v>
      </c>
      <c r="D1537" s="8" t="str">
        <f t="shared" si="31"/>
        <v>2009-12 (декабрь 2009)</v>
      </c>
      <c r="E1537" s="9" t="s">
        <v>21</v>
      </c>
      <c r="F1537" s="7">
        <v>12</v>
      </c>
      <c r="G1537" s="7">
        <v>1064.7864999999999</v>
      </c>
      <c r="H1537" s="7">
        <v>0.1</v>
      </c>
      <c r="I1537" s="9" t="s">
        <v>22</v>
      </c>
      <c r="J1537" s="10">
        <v>-181.005</v>
      </c>
      <c r="K1537" s="11">
        <v>115.99</v>
      </c>
      <c r="L1537" s="11">
        <v>2.5</v>
      </c>
      <c r="M1537" s="9" t="s">
        <v>1006</v>
      </c>
      <c r="N1537" s="6" t="s">
        <v>672</v>
      </c>
      <c r="O1537" s="6" t="s">
        <v>673</v>
      </c>
      <c r="P1537" s="9" t="s">
        <v>60</v>
      </c>
      <c r="Q1537" s="9" t="s">
        <v>42</v>
      </c>
      <c r="R1537" s="9" t="s">
        <v>43</v>
      </c>
      <c r="S1537" s="7" t="s">
        <v>1079</v>
      </c>
      <c r="T1537" s="9" t="s">
        <v>39</v>
      </c>
      <c r="U1537" s="7">
        <v>0.57999999999999996</v>
      </c>
      <c r="V1537" s="12">
        <f>C1537+4</f>
        <v>40169</v>
      </c>
      <c r="W1537">
        <f>IF(D1537=' Pivot Tables'!$A$4,1,0)</f>
        <v>0</v>
      </c>
      <c r="X1537">
        <f>IF(AND(LEFT(D1537,4)+1=LEFT(' Pivot Tables'!$A$4,4)+0,RIGHT(LEFT(D1537,7),2)=RIGHT(LEFT(' Pivot Tables'!$A$4,7),2)),1,0)</f>
        <v>0</v>
      </c>
      <c r="Y1537" s="6">
        <f>1/COUNTIF(Таблица1[Order ID],Таблица1[[#This Row],[Order ID]])</f>
        <v>1</v>
      </c>
      <c r="Z1537" s="9">
        <f>1/COUNTIFS(Таблица1[Customer Name],Таблица1[[#This Row],[Customer Name]],Таблица1[Order-Year-Month],Таблица1[[#This Row],[Order-Year-Month]])</f>
        <v>1</v>
      </c>
    </row>
    <row r="1538" spans="1:26" x14ac:dyDescent="0.2">
      <c r="A1538" s="6">
        <v>7328</v>
      </c>
      <c r="B1538" s="7">
        <v>52225</v>
      </c>
      <c r="C1538" s="8">
        <f>DATE(2012,12,31)-263</f>
        <v>41011</v>
      </c>
      <c r="D1538" s="8" t="str">
        <f t="shared" si="31"/>
        <v>2012-04 (апрель 2012)</v>
      </c>
      <c r="E1538" s="9" t="s">
        <v>78</v>
      </c>
      <c r="F1538" s="7">
        <v>10</v>
      </c>
      <c r="G1538" s="7">
        <v>131.09</v>
      </c>
      <c r="H1538" s="7">
        <v>0.01</v>
      </c>
      <c r="I1538" s="9" t="s">
        <v>22</v>
      </c>
      <c r="J1538" s="10">
        <v>10.94</v>
      </c>
      <c r="K1538" s="11">
        <v>12.22</v>
      </c>
      <c r="L1538" s="11">
        <v>2.85</v>
      </c>
      <c r="M1538" s="9" t="s">
        <v>1042</v>
      </c>
      <c r="N1538" s="6" t="s">
        <v>672</v>
      </c>
      <c r="O1538" s="6" t="s">
        <v>673</v>
      </c>
      <c r="P1538" s="9" t="s">
        <v>41</v>
      </c>
      <c r="Q1538" s="9" t="s">
        <v>49</v>
      </c>
      <c r="R1538" s="9" t="s">
        <v>50</v>
      </c>
      <c r="S1538" s="7" t="s">
        <v>245</v>
      </c>
      <c r="T1538" s="9" t="s">
        <v>52</v>
      </c>
      <c r="U1538" s="7">
        <v>0.55000000000000004</v>
      </c>
      <c r="V1538" s="12">
        <f>C1538+1</f>
        <v>41012</v>
      </c>
      <c r="W1538">
        <f>IF(D1538=' Pivot Tables'!$A$4,1,0)</f>
        <v>0</v>
      </c>
      <c r="X1538">
        <f>IF(AND(LEFT(D1538,4)+1=LEFT(' Pivot Tables'!$A$4,4)+0,RIGHT(LEFT(D1538,7),2)=RIGHT(LEFT(' Pivot Tables'!$A$4,7),2)),1,0)</f>
        <v>0</v>
      </c>
      <c r="Y1538" s="6">
        <f>1/COUNTIF(Таблица1[Order ID],Таблица1[[#This Row],[Order ID]])</f>
        <v>0.5</v>
      </c>
      <c r="Z1538" s="9">
        <f>1/COUNTIFS(Таблица1[Customer Name],Таблица1[[#This Row],[Customer Name]],Таблица1[Order-Year-Month],Таблица1[[#This Row],[Order-Year-Month]])</f>
        <v>0.5</v>
      </c>
    </row>
    <row r="1539" spans="1:26" x14ac:dyDescent="0.2">
      <c r="A1539" s="6">
        <v>7329</v>
      </c>
      <c r="B1539" s="7">
        <v>52225</v>
      </c>
      <c r="C1539" s="8">
        <f>DATE(2012,12,31)-263</f>
        <v>41011</v>
      </c>
      <c r="D1539" s="8" t="str">
        <f t="shared" ref="D1539:D1602" si="32">TEXT(C1539,"гггг-ММ (ММММ гггг)")</f>
        <v>2012-04 (апрель 2012)</v>
      </c>
      <c r="E1539" s="9" t="s">
        <v>78</v>
      </c>
      <c r="F1539" s="7">
        <v>33</v>
      </c>
      <c r="G1539" s="7">
        <v>1817.9</v>
      </c>
      <c r="H1539" s="7">
        <v>0.06</v>
      </c>
      <c r="I1539" s="9" t="s">
        <v>22</v>
      </c>
      <c r="J1539" s="10">
        <v>700.31</v>
      </c>
      <c r="K1539" s="11">
        <v>54.96</v>
      </c>
      <c r="L1539" s="11">
        <v>10.75</v>
      </c>
      <c r="M1539" s="9" t="s">
        <v>1042</v>
      </c>
      <c r="N1539" s="6" t="s">
        <v>672</v>
      </c>
      <c r="O1539" s="6" t="s">
        <v>673</v>
      </c>
      <c r="P1539" s="9" t="s">
        <v>41</v>
      </c>
      <c r="Q1539" s="9" t="s">
        <v>26</v>
      </c>
      <c r="R1539" s="9" t="s">
        <v>61</v>
      </c>
      <c r="S1539" s="7" t="s">
        <v>350</v>
      </c>
      <c r="T1539" s="9" t="s">
        <v>39</v>
      </c>
      <c r="U1539" s="7">
        <v>0.36</v>
      </c>
      <c r="V1539" s="12">
        <f>C1539+1</f>
        <v>41012</v>
      </c>
      <c r="W1539">
        <f>IF(D1539=' Pivot Tables'!$A$4,1,0)</f>
        <v>0</v>
      </c>
      <c r="X1539">
        <f>IF(AND(LEFT(D1539,4)+1=LEFT(' Pivot Tables'!$A$4,4)+0,RIGHT(LEFT(D1539,7),2)=RIGHT(LEFT(' Pivot Tables'!$A$4,7),2)),1,0)</f>
        <v>0</v>
      </c>
      <c r="Y1539" s="6">
        <f>1/COUNTIF(Таблица1[Order ID],Таблица1[[#This Row],[Order ID]])</f>
        <v>0.5</v>
      </c>
      <c r="Z1539" s="9">
        <f>1/COUNTIFS(Таблица1[Customer Name],Таблица1[[#This Row],[Customer Name]],Таблица1[Order-Year-Month],Таблица1[[#This Row],[Order-Year-Month]])</f>
        <v>0.5</v>
      </c>
    </row>
    <row r="1540" spans="1:26" x14ac:dyDescent="0.2">
      <c r="A1540" s="6">
        <v>7366</v>
      </c>
      <c r="B1540" s="7">
        <v>52487</v>
      </c>
      <c r="C1540" s="8">
        <f>DATE(2012,12,31)-1309</f>
        <v>39965</v>
      </c>
      <c r="D1540" s="8" t="str">
        <f t="shared" si="32"/>
        <v>2009-06 (июнь 2009)</v>
      </c>
      <c r="E1540" s="9" t="s">
        <v>78</v>
      </c>
      <c r="F1540" s="7">
        <v>17</v>
      </c>
      <c r="G1540" s="7">
        <v>124.06</v>
      </c>
      <c r="H1540" s="7">
        <v>0.09</v>
      </c>
      <c r="I1540" s="9" t="s">
        <v>22</v>
      </c>
      <c r="J1540" s="10">
        <v>15.74</v>
      </c>
      <c r="K1540" s="11">
        <v>7.78</v>
      </c>
      <c r="L1540" s="11">
        <v>2.5</v>
      </c>
      <c r="M1540" s="9" t="s">
        <v>1062</v>
      </c>
      <c r="N1540" s="6" t="s">
        <v>672</v>
      </c>
      <c r="O1540" s="6" t="s">
        <v>673</v>
      </c>
      <c r="P1540" s="9" t="s">
        <v>41</v>
      </c>
      <c r="Q1540" s="9" t="s">
        <v>26</v>
      </c>
      <c r="R1540" s="9" t="s">
        <v>76</v>
      </c>
      <c r="S1540" s="7" t="s">
        <v>1080</v>
      </c>
      <c r="T1540" s="9" t="s">
        <v>39</v>
      </c>
      <c r="U1540" s="7">
        <v>0.38</v>
      </c>
      <c r="V1540" s="12">
        <f>C1540+1</f>
        <v>39966</v>
      </c>
      <c r="W1540">
        <f>IF(D1540=' Pivot Tables'!$A$4,1,0)</f>
        <v>0</v>
      </c>
      <c r="X1540">
        <f>IF(AND(LEFT(D1540,4)+1=LEFT(' Pivot Tables'!$A$4,4)+0,RIGHT(LEFT(D1540,7),2)=RIGHT(LEFT(' Pivot Tables'!$A$4,7),2)),1,0)</f>
        <v>0</v>
      </c>
      <c r="Y1540" s="6">
        <f>1/COUNTIF(Таблица1[Order ID],Таблица1[[#This Row],[Order ID]])</f>
        <v>1</v>
      </c>
      <c r="Z1540" s="9">
        <f>1/COUNTIFS(Таблица1[Customer Name],Таблица1[[#This Row],[Customer Name]],Таблица1[Order-Year-Month],Таблица1[[#This Row],[Order-Year-Month]])</f>
        <v>1</v>
      </c>
    </row>
    <row r="1541" spans="1:26" x14ac:dyDescent="0.2">
      <c r="A1541" s="6">
        <v>7410</v>
      </c>
      <c r="B1541" s="7">
        <v>52868</v>
      </c>
      <c r="C1541" s="8">
        <f>DATE(2012,12,31)-684</f>
        <v>40590</v>
      </c>
      <c r="D1541" s="8" t="str">
        <f t="shared" si="32"/>
        <v>2011-02 (февраль 2011)</v>
      </c>
      <c r="E1541" s="9" t="s">
        <v>21</v>
      </c>
      <c r="F1541" s="7">
        <v>19</v>
      </c>
      <c r="G1541" s="7">
        <v>138.05000000000001</v>
      </c>
      <c r="H1541" s="7">
        <v>0.09</v>
      </c>
      <c r="I1541" s="9" t="s">
        <v>22</v>
      </c>
      <c r="J1541" s="10">
        <v>-100.49</v>
      </c>
      <c r="K1541" s="11">
        <v>7.37</v>
      </c>
      <c r="L1541" s="11">
        <v>5.53</v>
      </c>
      <c r="M1541" s="9" t="s">
        <v>1028</v>
      </c>
      <c r="N1541" s="6" t="s">
        <v>672</v>
      </c>
      <c r="O1541" s="6" t="s">
        <v>673</v>
      </c>
      <c r="P1541" s="9" t="s">
        <v>41</v>
      </c>
      <c r="Q1541" s="9" t="s">
        <v>42</v>
      </c>
      <c r="R1541" s="9" t="s">
        <v>70</v>
      </c>
      <c r="S1541" s="7" t="s">
        <v>1081</v>
      </c>
      <c r="T1541" s="9" t="s">
        <v>52</v>
      </c>
      <c r="U1541" s="7">
        <v>0.69</v>
      </c>
      <c r="V1541" s="12">
        <f>C1541+2</f>
        <v>40592</v>
      </c>
      <c r="W1541">
        <f>IF(D1541=' Pivot Tables'!$A$4,1,0)</f>
        <v>0</v>
      </c>
      <c r="X1541">
        <f>IF(AND(LEFT(D1541,4)+1=LEFT(' Pivot Tables'!$A$4,4)+0,RIGHT(LEFT(D1541,7),2)=RIGHT(LEFT(' Pivot Tables'!$A$4,7),2)),1,0)</f>
        <v>0</v>
      </c>
      <c r="Y1541" s="6">
        <f>1/COUNTIF(Таблица1[Order ID],Таблица1[[#This Row],[Order ID]])</f>
        <v>1</v>
      </c>
      <c r="Z1541" s="9">
        <f>1/COUNTIFS(Таблица1[Customer Name],Таблица1[[#This Row],[Customer Name]],Таблица1[Order-Year-Month],Таблица1[[#This Row],[Order-Year-Month]])</f>
        <v>1</v>
      </c>
    </row>
    <row r="1542" spans="1:26" x14ac:dyDescent="0.2">
      <c r="A1542" s="6">
        <v>7459</v>
      </c>
      <c r="B1542" s="7">
        <v>53221</v>
      </c>
      <c r="C1542" s="8">
        <f>DATE(2012,12,31)-309</f>
        <v>40965</v>
      </c>
      <c r="D1542" s="8" t="str">
        <f t="shared" si="32"/>
        <v>2012-02 (февраль 2012)</v>
      </c>
      <c r="E1542" s="9" t="s">
        <v>45</v>
      </c>
      <c r="F1542" s="7">
        <v>29</v>
      </c>
      <c r="G1542" s="7">
        <v>433.44</v>
      </c>
      <c r="H1542" s="7">
        <v>0.1</v>
      </c>
      <c r="I1542" s="9" t="s">
        <v>22</v>
      </c>
      <c r="J1542" s="10">
        <v>147.46</v>
      </c>
      <c r="K1542" s="11">
        <v>15.68</v>
      </c>
      <c r="L1542" s="11">
        <v>3.73</v>
      </c>
      <c r="M1542" s="9" t="s">
        <v>1002</v>
      </c>
      <c r="N1542" s="6" t="s">
        <v>672</v>
      </c>
      <c r="O1542" s="6" t="s">
        <v>673</v>
      </c>
      <c r="P1542" s="9" t="s">
        <v>41</v>
      </c>
      <c r="Q1542" s="9" t="s">
        <v>49</v>
      </c>
      <c r="R1542" s="9" t="s">
        <v>50</v>
      </c>
      <c r="S1542" s="7" t="s">
        <v>1044</v>
      </c>
      <c r="T1542" s="9" t="s">
        <v>52</v>
      </c>
      <c r="U1542" s="7">
        <v>0.46</v>
      </c>
      <c r="V1542" s="12">
        <f>C1542+1</f>
        <v>40966</v>
      </c>
      <c r="W1542">
        <f>IF(D1542=' Pivot Tables'!$A$4,1,0)</f>
        <v>0</v>
      </c>
      <c r="X1542">
        <f>IF(AND(LEFT(D1542,4)+1=LEFT(' Pivot Tables'!$A$4,4)+0,RIGHT(LEFT(D1542,7),2)=RIGHT(LEFT(' Pivot Tables'!$A$4,7),2)),1,0)</f>
        <v>0</v>
      </c>
      <c r="Y1542" s="6">
        <f>1/COUNTIF(Таблица1[Order ID],Таблица1[[#This Row],[Order ID]])</f>
        <v>1</v>
      </c>
      <c r="Z1542" s="9">
        <f>1/COUNTIFS(Таблица1[Customer Name],Таблица1[[#This Row],[Customer Name]],Таблица1[Order-Year-Month],Таблица1[[#This Row],[Order-Year-Month]])</f>
        <v>1</v>
      </c>
    </row>
    <row r="1543" spans="1:26" x14ac:dyDescent="0.2">
      <c r="A1543" s="6">
        <v>7509</v>
      </c>
      <c r="B1543" s="7">
        <v>53600</v>
      </c>
      <c r="C1543" s="8">
        <f>DATE(2012,12,31)-174</f>
        <v>41100</v>
      </c>
      <c r="D1543" s="8" t="str">
        <f t="shared" si="32"/>
        <v>2012-07 (июль 2012)</v>
      </c>
      <c r="E1543" s="9" t="s">
        <v>63</v>
      </c>
      <c r="F1543" s="7">
        <v>8</v>
      </c>
      <c r="G1543" s="7">
        <v>55.59</v>
      </c>
      <c r="H1543" s="7">
        <v>0.03</v>
      </c>
      <c r="I1543" s="9" t="s">
        <v>56</v>
      </c>
      <c r="J1543" s="10">
        <v>-17.951499999999999</v>
      </c>
      <c r="K1543" s="11">
        <v>5.18</v>
      </c>
      <c r="L1543" s="11">
        <v>5.74</v>
      </c>
      <c r="M1543" s="9" t="s">
        <v>1040</v>
      </c>
      <c r="N1543" s="6" t="s">
        <v>672</v>
      </c>
      <c r="O1543" s="6" t="s">
        <v>673</v>
      </c>
      <c r="P1543" s="9" t="s">
        <v>25</v>
      </c>
      <c r="Q1543" s="9" t="s">
        <v>26</v>
      </c>
      <c r="R1543" s="9" t="s">
        <v>37</v>
      </c>
      <c r="S1543" s="7" t="s">
        <v>606</v>
      </c>
      <c r="T1543" s="9" t="s">
        <v>39</v>
      </c>
      <c r="U1543" s="7">
        <v>0.36</v>
      </c>
      <c r="V1543" s="12">
        <f>C1543+1</f>
        <v>41101</v>
      </c>
      <c r="W1543">
        <f>IF(D1543=' Pivot Tables'!$A$4,1,0)</f>
        <v>0</v>
      </c>
      <c r="X1543">
        <f>IF(AND(LEFT(D1543,4)+1=LEFT(' Pivot Tables'!$A$4,4)+0,RIGHT(LEFT(D1543,7),2)=RIGHT(LEFT(' Pivot Tables'!$A$4,7),2)),1,0)</f>
        <v>0</v>
      </c>
      <c r="Y1543" s="6">
        <f>1/COUNTIF(Таблица1[Order ID],Таблица1[[#This Row],[Order ID]])</f>
        <v>1</v>
      </c>
      <c r="Z1543" s="9">
        <f>1/COUNTIFS(Таблица1[Customer Name],Таблица1[[#This Row],[Customer Name]],Таблица1[Order-Year-Month],Таблица1[[#This Row],[Order-Year-Month]])</f>
        <v>1</v>
      </c>
    </row>
    <row r="1544" spans="1:26" x14ac:dyDescent="0.2">
      <c r="A1544" s="6">
        <v>7515</v>
      </c>
      <c r="B1544" s="7">
        <v>53667</v>
      </c>
      <c r="C1544" s="8">
        <f>DATE(2012,12,31)-228</f>
        <v>41046</v>
      </c>
      <c r="D1544" s="8" t="str">
        <f t="shared" si="32"/>
        <v>2012-05 (май 2012)</v>
      </c>
      <c r="E1544" s="9" t="s">
        <v>63</v>
      </c>
      <c r="F1544" s="7">
        <v>33</v>
      </c>
      <c r="G1544" s="7">
        <v>112.36</v>
      </c>
      <c r="H1544" s="7">
        <v>0.08</v>
      </c>
      <c r="I1544" s="9" t="s">
        <v>22</v>
      </c>
      <c r="J1544" s="10">
        <v>-159.73500000000001</v>
      </c>
      <c r="K1544" s="11">
        <v>3.36</v>
      </c>
      <c r="L1544" s="11">
        <v>6.27</v>
      </c>
      <c r="M1544" s="9" t="s">
        <v>1008</v>
      </c>
      <c r="N1544" s="6" t="s">
        <v>672</v>
      </c>
      <c r="O1544" s="6" t="s">
        <v>673</v>
      </c>
      <c r="P1544" s="9" t="s">
        <v>33</v>
      </c>
      <c r="Q1544" s="9" t="s">
        <v>26</v>
      </c>
      <c r="R1544" s="9" t="s">
        <v>37</v>
      </c>
      <c r="S1544" s="7" t="s">
        <v>410</v>
      </c>
      <c r="T1544" s="9" t="s">
        <v>39</v>
      </c>
      <c r="U1544" s="7">
        <v>0.4</v>
      </c>
      <c r="V1544" s="12">
        <f>C1544+2</f>
        <v>41048</v>
      </c>
      <c r="W1544">
        <f>IF(D1544=' Pivot Tables'!$A$4,1,0)</f>
        <v>0</v>
      </c>
      <c r="X1544">
        <f>IF(AND(LEFT(D1544,4)+1=LEFT(' Pivot Tables'!$A$4,4)+0,RIGHT(LEFT(D1544,7),2)=RIGHT(LEFT(' Pivot Tables'!$A$4,7),2)),1,0)</f>
        <v>0</v>
      </c>
      <c r="Y1544" s="6">
        <f>1/COUNTIF(Таблица1[Order ID],Таблица1[[#This Row],[Order ID]])</f>
        <v>0.5</v>
      </c>
      <c r="Z1544" s="9">
        <f>1/COUNTIFS(Таблица1[Customer Name],Таблица1[[#This Row],[Customer Name]],Таблица1[Order-Year-Month],Таблица1[[#This Row],[Order-Year-Month]])</f>
        <v>0.5</v>
      </c>
    </row>
    <row r="1545" spans="1:26" x14ac:dyDescent="0.2">
      <c r="A1545" s="6">
        <v>7516</v>
      </c>
      <c r="B1545" s="7">
        <v>53667</v>
      </c>
      <c r="C1545" s="8">
        <f>DATE(2012,12,31)-228</f>
        <v>41046</v>
      </c>
      <c r="D1545" s="8" t="str">
        <f t="shared" si="32"/>
        <v>2012-05 (май 2012)</v>
      </c>
      <c r="E1545" s="9" t="s">
        <v>63</v>
      </c>
      <c r="F1545" s="7">
        <v>16</v>
      </c>
      <c r="G1545" s="7">
        <v>481.04900000000004</v>
      </c>
      <c r="H1545" s="7">
        <v>0.09</v>
      </c>
      <c r="I1545" s="9" t="s">
        <v>22</v>
      </c>
      <c r="J1545" s="10">
        <v>46.512</v>
      </c>
      <c r="K1545" s="11">
        <v>35.99</v>
      </c>
      <c r="L1545" s="11">
        <v>1.1000000000000001</v>
      </c>
      <c r="M1545" s="9" t="s">
        <v>1008</v>
      </c>
      <c r="N1545" s="6" t="s">
        <v>672</v>
      </c>
      <c r="O1545" s="6" t="s">
        <v>673</v>
      </c>
      <c r="P1545" s="9" t="s">
        <v>33</v>
      </c>
      <c r="Q1545" s="9" t="s">
        <v>42</v>
      </c>
      <c r="R1545" s="9" t="s">
        <v>43</v>
      </c>
      <c r="S1545" s="7" t="s">
        <v>1082</v>
      </c>
      <c r="T1545" s="9" t="s">
        <v>39</v>
      </c>
      <c r="U1545" s="7">
        <v>0.55000000000000004</v>
      </c>
      <c r="V1545" s="12">
        <f>C1545+2</f>
        <v>41048</v>
      </c>
      <c r="W1545">
        <f>IF(D1545=' Pivot Tables'!$A$4,1,0)</f>
        <v>0</v>
      </c>
      <c r="X1545">
        <f>IF(AND(LEFT(D1545,4)+1=LEFT(' Pivot Tables'!$A$4,4)+0,RIGHT(LEFT(D1545,7),2)=RIGHT(LEFT(' Pivot Tables'!$A$4,7),2)),1,0)</f>
        <v>0</v>
      </c>
      <c r="Y1545" s="6">
        <f>1/COUNTIF(Таблица1[Order ID],Таблица1[[#This Row],[Order ID]])</f>
        <v>0.5</v>
      </c>
      <c r="Z1545" s="9">
        <f>1/COUNTIFS(Таблица1[Customer Name],Таблица1[[#This Row],[Customer Name]],Таблица1[Order-Year-Month],Таблица1[[#This Row],[Order-Year-Month]])</f>
        <v>0.5</v>
      </c>
    </row>
    <row r="1546" spans="1:26" x14ac:dyDescent="0.2">
      <c r="A1546" s="6">
        <v>7535</v>
      </c>
      <c r="B1546" s="7">
        <v>53891</v>
      </c>
      <c r="C1546" s="8">
        <f>DATE(2012,12,31)-1439</f>
        <v>39835</v>
      </c>
      <c r="D1546" s="8" t="str">
        <f t="shared" si="32"/>
        <v>2009-01 (январь 2009)</v>
      </c>
      <c r="E1546" s="9" t="s">
        <v>30</v>
      </c>
      <c r="F1546" s="7">
        <v>36</v>
      </c>
      <c r="G1546" s="7">
        <v>562.79999999999995</v>
      </c>
      <c r="H1546" s="7">
        <v>0.02</v>
      </c>
      <c r="I1546" s="9" t="s">
        <v>22</v>
      </c>
      <c r="J1546" s="10">
        <v>-17.445499999999999</v>
      </c>
      <c r="K1546" s="11">
        <v>15.22</v>
      </c>
      <c r="L1546" s="11">
        <v>9.73</v>
      </c>
      <c r="M1546" s="9" t="s">
        <v>1062</v>
      </c>
      <c r="N1546" s="6" t="s">
        <v>672</v>
      </c>
      <c r="O1546" s="6" t="s">
        <v>673</v>
      </c>
      <c r="P1546" s="9" t="s">
        <v>60</v>
      </c>
      <c r="Q1546" s="9" t="s">
        <v>26</v>
      </c>
      <c r="R1546" s="9" t="s">
        <v>37</v>
      </c>
      <c r="S1546" s="7" t="s">
        <v>205</v>
      </c>
      <c r="T1546" s="9" t="s">
        <v>39</v>
      </c>
      <c r="U1546" s="7">
        <v>0.36</v>
      </c>
      <c r="V1546" s="12">
        <f>C1546+0</f>
        <v>39835</v>
      </c>
      <c r="W1546">
        <f>IF(D1546=' Pivot Tables'!$A$4,1,0)</f>
        <v>0</v>
      </c>
      <c r="X1546">
        <f>IF(AND(LEFT(D1546,4)+1=LEFT(' Pivot Tables'!$A$4,4)+0,RIGHT(LEFT(D1546,7),2)=RIGHT(LEFT(' Pivot Tables'!$A$4,7),2)),1,0)</f>
        <v>1</v>
      </c>
      <c r="Y1546" s="6">
        <f>1/COUNTIF(Таблица1[Order ID],Таблица1[[#This Row],[Order ID]])</f>
        <v>0.25</v>
      </c>
      <c r="Z1546" s="9">
        <f>1/COUNTIFS(Таблица1[Customer Name],Таблица1[[#This Row],[Customer Name]],Таблица1[Order-Year-Month],Таблица1[[#This Row],[Order-Year-Month]])</f>
        <v>0.25</v>
      </c>
    </row>
    <row r="1547" spans="1:26" x14ac:dyDescent="0.2">
      <c r="A1547" s="6">
        <v>7545</v>
      </c>
      <c r="B1547" s="7">
        <v>53955</v>
      </c>
      <c r="C1547" s="8">
        <f>DATE(2012,12,31)-668</f>
        <v>40606</v>
      </c>
      <c r="D1547" s="8" t="str">
        <f t="shared" si="32"/>
        <v>2011-03 (март 2011)</v>
      </c>
      <c r="E1547" s="9" t="s">
        <v>78</v>
      </c>
      <c r="F1547" s="7">
        <v>43</v>
      </c>
      <c r="G1547" s="7">
        <v>5544.99</v>
      </c>
      <c r="H1547" s="7">
        <v>0.04</v>
      </c>
      <c r="I1547" s="9" t="s">
        <v>31</v>
      </c>
      <c r="J1547" s="10">
        <v>-3404.24</v>
      </c>
      <c r="K1547" s="11">
        <v>130.97999999999999</v>
      </c>
      <c r="L1547" s="11">
        <v>130</v>
      </c>
      <c r="M1547" s="9" t="s">
        <v>996</v>
      </c>
      <c r="N1547" s="6" t="s">
        <v>672</v>
      </c>
      <c r="O1547" s="6" t="s">
        <v>673</v>
      </c>
      <c r="P1547" s="9" t="s">
        <v>60</v>
      </c>
      <c r="Q1547" s="9" t="s">
        <v>49</v>
      </c>
      <c r="R1547" s="9" t="s">
        <v>112</v>
      </c>
      <c r="S1547" s="7" t="s">
        <v>265</v>
      </c>
      <c r="T1547" s="9" t="s">
        <v>36</v>
      </c>
      <c r="U1547" s="7">
        <v>0.78</v>
      </c>
      <c r="V1547" s="12">
        <f>C1547+2</f>
        <v>40608</v>
      </c>
      <c r="W1547">
        <f>IF(D1547=' Pivot Tables'!$A$4,1,0)</f>
        <v>0</v>
      </c>
      <c r="X1547">
        <f>IF(AND(LEFT(D1547,4)+1=LEFT(' Pivot Tables'!$A$4,4)+0,RIGHT(LEFT(D1547,7),2)=RIGHT(LEFT(' Pivot Tables'!$A$4,7),2)),1,0)</f>
        <v>0</v>
      </c>
      <c r="Y1547" s="6">
        <f>1/COUNTIF(Таблица1[Order ID],Таблица1[[#This Row],[Order ID]])</f>
        <v>1</v>
      </c>
      <c r="Z1547" s="9">
        <f>1/COUNTIFS(Таблица1[Customer Name],Таблица1[[#This Row],[Customer Name]],Таблица1[Order-Year-Month],Таблица1[[#This Row],[Order-Year-Month]])</f>
        <v>1</v>
      </c>
    </row>
    <row r="1548" spans="1:26" x14ac:dyDescent="0.2">
      <c r="A1548" s="6">
        <v>7569</v>
      </c>
      <c r="B1548" s="7">
        <v>54150</v>
      </c>
      <c r="C1548" s="8">
        <f>DATE(2012,12,31)-558</f>
        <v>40716</v>
      </c>
      <c r="D1548" s="8" t="str">
        <f t="shared" si="32"/>
        <v>2011-06 (июнь 2011)</v>
      </c>
      <c r="E1548" s="9" t="s">
        <v>78</v>
      </c>
      <c r="F1548" s="7">
        <v>12</v>
      </c>
      <c r="G1548" s="7">
        <v>2011.6355000000001</v>
      </c>
      <c r="H1548" s="7">
        <v>0.01</v>
      </c>
      <c r="I1548" s="9" t="s">
        <v>56</v>
      </c>
      <c r="J1548" s="10">
        <v>-53.691000000000003</v>
      </c>
      <c r="K1548" s="11">
        <v>195.99</v>
      </c>
      <c r="L1548" s="11">
        <v>3.99</v>
      </c>
      <c r="M1548" s="9" t="s">
        <v>1053</v>
      </c>
      <c r="N1548" s="6" t="s">
        <v>672</v>
      </c>
      <c r="O1548" s="6" t="s">
        <v>673</v>
      </c>
      <c r="P1548" s="9" t="s">
        <v>41</v>
      </c>
      <c r="Q1548" s="9" t="s">
        <v>42</v>
      </c>
      <c r="R1548" s="9" t="s">
        <v>43</v>
      </c>
      <c r="S1548" s="7" t="s">
        <v>309</v>
      </c>
      <c r="T1548" s="9" t="s">
        <v>39</v>
      </c>
      <c r="U1548" s="7">
        <v>0.59</v>
      </c>
      <c r="V1548" s="12">
        <f>C1548+0</f>
        <v>40716</v>
      </c>
      <c r="W1548">
        <f>IF(D1548=' Pivot Tables'!$A$4,1,0)</f>
        <v>0</v>
      </c>
      <c r="X1548">
        <f>IF(AND(LEFT(D1548,4)+1=LEFT(' Pivot Tables'!$A$4,4)+0,RIGHT(LEFT(D1548,7),2)=RIGHT(LEFT(' Pivot Tables'!$A$4,7),2)),1,0)</f>
        <v>0</v>
      </c>
      <c r="Y1548" s="6">
        <f>1/COUNTIF(Таблица1[Order ID],Таблица1[[#This Row],[Order ID]])</f>
        <v>1</v>
      </c>
      <c r="Z1548" s="9">
        <f>1/COUNTIFS(Таблица1[Customer Name],Таблица1[[#This Row],[Customer Name]],Таблица1[Order-Year-Month],Таблица1[[#This Row],[Order-Year-Month]])</f>
        <v>1</v>
      </c>
    </row>
    <row r="1549" spans="1:26" x14ac:dyDescent="0.2">
      <c r="A1549" s="6">
        <v>7742</v>
      </c>
      <c r="B1549" s="7">
        <v>55429</v>
      </c>
      <c r="C1549" s="8">
        <f>DATE(2012,12,31)-1281</f>
        <v>39993</v>
      </c>
      <c r="D1549" s="8" t="str">
        <f t="shared" si="32"/>
        <v>2009-06 (июнь 2009)</v>
      </c>
      <c r="E1549" s="9" t="s">
        <v>30</v>
      </c>
      <c r="F1549" s="7">
        <v>43</v>
      </c>
      <c r="G1549" s="7">
        <v>260.58999999999997</v>
      </c>
      <c r="H1549" s="7">
        <v>0.09</v>
      </c>
      <c r="I1549" s="9" t="s">
        <v>22</v>
      </c>
      <c r="J1549" s="10">
        <v>-157.76</v>
      </c>
      <c r="K1549" s="11">
        <v>6.48</v>
      </c>
      <c r="L1549" s="11">
        <v>7.03</v>
      </c>
      <c r="M1549" s="9" t="s">
        <v>1005</v>
      </c>
      <c r="N1549" s="6" t="s">
        <v>672</v>
      </c>
      <c r="O1549" s="6" t="s">
        <v>673</v>
      </c>
      <c r="P1549" s="9" t="s">
        <v>33</v>
      </c>
      <c r="Q1549" s="9" t="s">
        <v>26</v>
      </c>
      <c r="R1549" s="9" t="s">
        <v>61</v>
      </c>
      <c r="S1549" s="7" t="s">
        <v>170</v>
      </c>
      <c r="T1549" s="9" t="s">
        <v>39</v>
      </c>
      <c r="U1549" s="7">
        <v>0.37</v>
      </c>
      <c r="V1549" s="12">
        <f>C1549+2</f>
        <v>39995</v>
      </c>
      <c r="W1549">
        <f>IF(D1549=' Pivot Tables'!$A$4,1,0)</f>
        <v>0</v>
      </c>
      <c r="X1549">
        <f>IF(AND(LEFT(D1549,4)+1=LEFT(' Pivot Tables'!$A$4,4)+0,RIGHT(LEFT(D1549,7),2)=RIGHT(LEFT(' Pivot Tables'!$A$4,7),2)),1,0)</f>
        <v>0</v>
      </c>
      <c r="Y1549" s="6">
        <f>1/COUNTIF(Таблица1[Order ID],Таблица1[[#This Row],[Order ID]])</f>
        <v>1</v>
      </c>
      <c r="Z1549" s="9">
        <f>1/COUNTIFS(Таблица1[Customer Name],Таблица1[[#This Row],[Customer Name]],Таблица1[Order-Year-Month],Таблица1[[#This Row],[Order-Year-Month]])</f>
        <v>1</v>
      </c>
    </row>
    <row r="1550" spans="1:26" x14ac:dyDescent="0.2">
      <c r="A1550" s="6">
        <v>7751</v>
      </c>
      <c r="B1550" s="7">
        <v>55462</v>
      </c>
      <c r="C1550" s="8">
        <f>DATE(2012,12,31)-279</f>
        <v>40995</v>
      </c>
      <c r="D1550" s="8" t="str">
        <f t="shared" si="32"/>
        <v>2012-03 (март 2012)</v>
      </c>
      <c r="E1550" s="9" t="s">
        <v>63</v>
      </c>
      <c r="F1550" s="7">
        <v>13</v>
      </c>
      <c r="G1550" s="7">
        <v>75.27</v>
      </c>
      <c r="H1550" s="7">
        <v>0.06</v>
      </c>
      <c r="I1550" s="9" t="s">
        <v>22</v>
      </c>
      <c r="J1550" s="10">
        <v>-1.84</v>
      </c>
      <c r="K1550" s="11">
        <v>5.58</v>
      </c>
      <c r="L1550" s="11">
        <v>2.99</v>
      </c>
      <c r="M1550" s="9" t="s">
        <v>1018</v>
      </c>
      <c r="N1550" s="6" t="s">
        <v>672</v>
      </c>
      <c r="O1550" s="6" t="s">
        <v>673</v>
      </c>
      <c r="P1550" s="9" t="s">
        <v>60</v>
      </c>
      <c r="Q1550" s="9" t="s">
        <v>26</v>
      </c>
      <c r="R1550" s="9" t="s">
        <v>37</v>
      </c>
      <c r="S1550" s="7" t="s">
        <v>1083</v>
      </c>
      <c r="T1550" s="9" t="s">
        <v>39</v>
      </c>
      <c r="U1550" s="7">
        <v>0.37</v>
      </c>
      <c r="V1550" s="12">
        <f>C1550+2</f>
        <v>40997</v>
      </c>
      <c r="W1550">
        <f>IF(D1550=' Pivot Tables'!$A$4,1,0)</f>
        <v>0</v>
      </c>
      <c r="X1550">
        <f>IF(AND(LEFT(D1550,4)+1=LEFT(' Pivot Tables'!$A$4,4)+0,RIGHT(LEFT(D1550,7),2)=RIGHT(LEFT(' Pivot Tables'!$A$4,7),2)),1,0)</f>
        <v>0</v>
      </c>
      <c r="Y1550" s="6">
        <f>1/COUNTIF(Таблица1[Order ID],Таблица1[[#This Row],[Order ID]])</f>
        <v>0.33333333333333331</v>
      </c>
      <c r="Z1550" s="9">
        <f>1/COUNTIFS(Таблица1[Customer Name],Таблица1[[#This Row],[Customer Name]],Таблица1[Order-Year-Month],Таблица1[[#This Row],[Order-Year-Month]])</f>
        <v>0.33333333333333331</v>
      </c>
    </row>
    <row r="1551" spans="1:26" x14ac:dyDescent="0.2">
      <c r="A1551" s="6">
        <v>7752</v>
      </c>
      <c r="B1551" s="7">
        <v>55462</v>
      </c>
      <c r="C1551" s="8">
        <f>DATE(2012,12,31)-279</f>
        <v>40995</v>
      </c>
      <c r="D1551" s="8" t="str">
        <f t="shared" si="32"/>
        <v>2012-03 (март 2012)</v>
      </c>
      <c r="E1551" s="9" t="s">
        <v>63</v>
      </c>
      <c r="F1551" s="7">
        <v>31</v>
      </c>
      <c r="G1551" s="7">
        <v>1184.53</v>
      </c>
      <c r="H1551" s="7">
        <v>0.05</v>
      </c>
      <c r="I1551" s="9" t="s">
        <v>22</v>
      </c>
      <c r="J1551" s="10">
        <v>-26.49</v>
      </c>
      <c r="K1551" s="11">
        <v>39.979999999999997</v>
      </c>
      <c r="L1551" s="11">
        <v>7.12</v>
      </c>
      <c r="M1551" s="9" t="s">
        <v>1018</v>
      </c>
      <c r="N1551" s="6" t="s">
        <v>672</v>
      </c>
      <c r="O1551" s="6" t="s">
        <v>673</v>
      </c>
      <c r="P1551" s="9" t="s">
        <v>60</v>
      </c>
      <c r="Q1551" s="9" t="s">
        <v>42</v>
      </c>
      <c r="R1551" s="9" t="s">
        <v>70</v>
      </c>
      <c r="S1551" s="7" t="s">
        <v>1084</v>
      </c>
      <c r="T1551" s="9" t="s">
        <v>39</v>
      </c>
      <c r="U1551" s="7">
        <v>0.67</v>
      </c>
      <c r="V1551" s="12">
        <f>C1551+1</f>
        <v>40996</v>
      </c>
      <c r="W1551">
        <f>IF(D1551=' Pivot Tables'!$A$4,1,0)</f>
        <v>0</v>
      </c>
      <c r="X1551">
        <f>IF(AND(LEFT(D1551,4)+1=LEFT(' Pivot Tables'!$A$4,4)+0,RIGHT(LEFT(D1551,7),2)=RIGHT(LEFT(' Pivot Tables'!$A$4,7),2)),1,0)</f>
        <v>0</v>
      </c>
      <c r="Y1551" s="6">
        <f>1/COUNTIF(Таблица1[Order ID],Таблица1[[#This Row],[Order ID]])</f>
        <v>0.33333333333333331</v>
      </c>
      <c r="Z1551" s="9">
        <f>1/COUNTIFS(Таблица1[Customer Name],Таблица1[[#This Row],[Customer Name]],Таблица1[Order-Year-Month],Таблица1[[#This Row],[Order-Year-Month]])</f>
        <v>0.33333333333333331</v>
      </c>
    </row>
    <row r="1552" spans="1:26" x14ac:dyDescent="0.2">
      <c r="A1552" s="6">
        <v>7753</v>
      </c>
      <c r="B1552" s="7">
        <v>55462</v>
      </c>
      <c r="C1552" s="8">
        <f>DATE(2012,12,31)-279</f>
        <v>40995</v>
      </c>
      <c r="D1552" s="8" t="str">
        <f t="shared" si="32"/>
        <v>2012-03 (март 2012)</v>
      </c>
      <c r="E1552" s="9" t="s">
        <v>63</v>
      </c>
      <c r="F1552" s="7">
        <v>35</v>
      </c>
      <c r="G1552" s="7">
        <v>3683.73</v>
      </c>
      <c r="H1552" s="7">
        <v>0.09</v>
      </c>
      <c r="I1552" s="9" t="s">
        <v>22</v>
      </c>
      <c r="J1552" s="10">
        <v>708.75900000000001</v>
      </c>
      <c r="K1552" s="11">
        <v>125.99</v>
      </c>
      <c r="L1552" s="11">
        <v>8.99</v>
      </c>
      <c r="M1552" s="9" t="s">
        <v>1018</v>
      </c>
      <c r="N1552" s="6" t="s">
        <v>672</v>
      </c>
      <c r="O1552" s="6" t="s">
        <v>673</v>
      </c>
      <c r="P1552" s="9" t="s">
        <v>60</v>
      </c>
      <c r="Q1552" s="9" t="s">
        <v>42</v>
      </c>
      <c r="R1552" s="9" t="s">
        <v>43</v>
      </c>
      <c r="S1552" s="7" t="s">
        <v>924</v>
      </c>
      <c r="T1552" s="9" t="s">
        <v>39</v>
      </c>
      <c r="U1552" s="7">
        <v>0.59</v>
      </c>
      <c r="V1552" s="12">
        <f>C1552+1</f>
        <v>40996</v>
      </c>
      <c r="W1552">
        <f>IF(D1552=' Pivot Tables'!$A$4,1,0)</f>
        <v>0</v>
      </c>
      <c r="X1552">
        <f>IF(AND(LEFT(D1552,4)+1=LEFT(' Pivot Tables'!$A$4,4)+0,RIGHT(LEFT(D1552,7),2)=RIGHT(LEFT(' Pivot Tables'!$A$4,7),2)),1,0)</f>
        <v>0</v>
      </c>
      <c r="Y1552" s="6">
        <f>1/COUNTIF(Таблица1[Order ID],Таблица1[[#This Row],[Order ID]])</f>
        <v>0.33333333333333331</v>
      </c>
      <c r="Z1552" s="9">
        <f>1/COUNTIFS(Таблица1[Customer Name],Таблица1[[#This Row],[Customer Name]],Таблица1[Order-Year-Month],Таблица1[[#This Row],[Order-Year-Month]])</f>
        <v>0.33333333333333331</v>
      </c>
    </row>
    <row r="1553" spans="1:26" x14ac:dyDescent="0.2">
      <c r="A1553" s="6">
        <v>7793</v>
      </c>
      <c r="B1553" s="7">
        <v>55749</v>
      </c>
      <c r="C1553" s="8">
        <f>DATE(2012,12,31)-242</f>
        <v>41032</v>
      </c>
      <c r="D1553" s="8" t="str">
        <f t="shared" si="32"/>
        <v>2012-05 (май 2012)</v>
      </c>
      <c r="E1553" s="9" t="s">
        <v>78</v>
      </c>
      <c r="F1553" s="7">
        <v>42</v>
      </c>
      <c r="G1553" s="7">
        <v>364.8</v>
      </c>
      <c r="H1553" s="7">
        <v>0.01</v>
      </c>
      <c r="I1553" s="9" t="s">
        <v>22</v>
      </c>
      <c r="J1553" s="10">
        <v>149.44999999999999</v>
      </c>
      <c r="K1553" s="11">
        <v>8.74</v>
      </c>
      <c r="L1553" s="11">
        <v>1.39</v>
      </c>
      <c r="M1553" s="9" t="s">
        <v>1027</v>
      </c>
      <c r="N1553" s="6" t="s">
        <v>672</v>
      </c>
      <c r="O1553" s="6" t="s">
        <v>673</v>
      </c>
      <c r="P1553" s="9" t="s">
        <v>41</v>
      </c>
      <c r="Q1553" s="9" t="s">
        <v>26</v>
      </c>
      <c r="R1553" s="9" t="s">
        <v>76</v>
      </c>
      <c r="S1553" s="7" t="s">
        <v>567</v>
      </c>
      <c r="T1553" s="9" t="s">
        <v>39</v>
      </c>
      <c r="U1553" s="7">
        <v>0.38</v>
      </c>
      <c r="V1553" s="12">
        <f>C1553+1</f>
        <v>41033</v>
      </c>
      <c r="W1553">
        <f>IF(D1553=' Pivot Tables'!$A$4,1,0)</f>
        <v>0</v>
      </c>
      <c r="X1553">
        <f>IF(AND(LEFT(D1553,4)+1=LEFT(' Pivot Tables'!$A$4,4)+0,RIGHT(LEFT(D1553,7),2)=RIGHT(LEFT(' Pivot Tables'!$A$4,7),2)),1,0)</f>
        <v>0</v>
      </c>
      <c r="Y1553" s="6">
        <f>1/COUNTIF(Таблица1[Order ID],Таблица1[[#This Row],[Order ID]])</f>
        <v>1</v>
      </c>
      <c r="Z1553" s="9">
        <f>1/COUNTIFS(Таблица1[Customer Name],Таблица1[[#This Row],[Customer Name]],Таблица1[Order-Year-Month],Таблица1[[#This Row],[Order-Year-Month]])</f>
        <v>1</v>
      </c>
    </row>
    <row r="1554" spans="1:26" x14ac:dyDescent="0.2">
      <c r="A1554" s="6">
        <v>7809</v>
      </c>
      <c r="B1554" s="7">
        <v>55873</v>
      </c>
      <c r="C1554" s="8">
        <f>DATE(2012,12,31)-408</f>
        <v>40866</v>
      </c>
      <c r="D1554" s="8" t="str">
        <f t="shared" si="32"/>
        <v>2011-11 (ноябрь 2011)</v>
      </c>
      <c r="E1554" s="9" t="s">
        <v>21</v>
      </c>
      <c r="F1554" s="7">
        <v>48</v>
      </c>
      <c r="G1554" s="7">
        <v>15602.93</v>
      </c>
      <c r="H1554" s="7">
        <v>0</v>
      </c>
      <c r="I1554" s="9" t="s">
        <v>31</v>
      </c>
      <c r="J1554" s="10">
        <v>4875.8900000000003</v>
      </c>
      <c r="K1554" s="11">
        <v>306.14</v>
      </c>
      <c r="L1554" s="11">
        <v>26.53</v>
      </c>
      <c r="M1554" s="9" t="s">
        <v>1053</v>
      </c>
      <c r="N1554" s="6" t="s">
        <v>672</v>
      </c>
      <c r="O1554" s="6" t="s">
        <v>673</v>
      </c>
      <c r="P1554" s="9" t="s">
        <v>41</v>
      </c>
      <c r="Q1554" s="9" t="s">
        <v>42</v>
      </c>
      <c r="R1554" s="9" t="s">
        <v>210</v>
      </c>
      <c r="S1554" s="7" t="s">
        <v>1085</v>
      </c>
      <c r="T1554" s="9" t="s">
        <v>36</v>
      </c>
      <c r="U1554" s="7">
        <v>0.56000000000000005</v>
      </c>
      <c r="V1554" s="12">
        <f>C1554+7</f>
        <v>40873</v>
      </c>
      <c r="W1554">
        <f>IF(D1554=' Pivot Tables'!$A$4,1,0)</f>
        <v>0</v>
      </c>
      <c r="X1554">
        <f>IF(AND(LEFT(D1554,4)+1=LEFT(' Pivot Tables'!$A$4,4)+0,RIGHT(LEFT(D1554,7),2)=RIGHT(LEFT(' Pivot Tables'!$A$4,7),2)),1,0)</f>
        <v>0</v>
      </c>
      <c r="Y1554" s="6">
        <f>1/COUNTIF(Таблица1[Order ID],Таблица1[[#This Row],[Order ID]])</f>
        <v>1</v>
      </c>
      <c r="Z1554" s="9">
        <f>1/COUNTIFS(Таблица1[Customer Name],Таблица1[[#This Row],[Customer Name]],Таблица1[Order-Year-Month],Таблица1[[#This Row],[Order-Year-Month]])</f>
        <v>1</v>
      </c>
    </row>
    <row r="1555" spans="1:26" x14ac:dyDescent="0.2">
      <c r="A1555" s="6">
        <v>7852</v>
      </c>
      <c r="B1555" s="7">
        <v>56135</v>
      </c>
      <c r="C1555" s="8">
        <f>DATE(2012,12,31)-779</f>
        <v>40495</v>
      </c>
      <c r="D1555" s="8" t="str">
        <f t="shared" si="32"/>
        <v>2010-11 (ноябрь 2010)</v>
      </c>
      <c r="E1555" s="9" t="s">
        <v>63</v>
      </c>
      <c r="F1555" s="7">
        <v>8</v>
      </c>
      <c r="G1555" s="7">
        <v>1118.82</v>
      </c>
      <c r="H1555" s="7">
        <v>0.04</v>
      </c>
      <c r="I1555" s="9" t="s">
        <v>31</v>
      </c>
      <c r="J1555" s="10">
        <v>-320.3</v>
      </c>
      <c r="K1555" s="11">
        <v>140.97999999999999</v>
      </c>
      <c r="L1555" s="11">
        <v>36.090000000000003</v>
      </c>
      <c r="M1555" s="9" t="s">
        <v>1001</v>
      </c>
      <c r="N1555" s="6" t="s">
        <v>672</v>
      </c>
      <c r="O1555" s="6" t="s">
        <v>673</v>
      </c>
      <c r="P1555" s="9" t="s">
        <v>41</v>
      </c>
      <c r="Q1555" s="9" t="s">
        <v>49</v>
      </c>
      <c r="R1555" s="9" t="s">
        <v>80</v>
      </c>
      <c r="S1555" s="7" t="s">
        <v>349</v>
      </c>
      <c r="T1555" s="9" t="s">
        <v>82</v>
      </c>
      <c r="U1555" s="7">
        <v>0.77</v>
      </c>
      <c r="V1555" s="12">
        <f>C1555+2</f>
        <v>40497</v>
      </c>
      <c r="W1555">
        <f>IF(D1555=' Pivot Tables'!$A$4,1,0)</f>
        <v>0</v>
      </c>
      <c r="X1555">
        <f>IF(AND(LEFT(D1555,4)+1=LEFT(' Pivot Tables'!$A$4,4)+0,RIGHT(LEFT(D1555,7),2)=RIGHT(LEFT(' Pivot Tables'!$A$4,7),2)),1,0)</f>
        <v>0</v>
      </c>
      <c r="Y1555" s="6">
        <f>1/COUNTIF(Таблица1[Order ID],Таблица1[[#This Row],[Order ID]])</f>
        <v>0.5</v>
      </c>
      <c r="Z1555" s="9">
        <f>1/COUNTIFS(Таблица1[Customer Name],Таблица1[[#This Row],[Customer Name]],Таблица1[Order-Year-Month],Таблица1[[#This Row],[Order-Year-Month]])</f>
        <v>0.5</v>
      </c>
    </row>
    <row r="1556" spans="1:26" x14ac:dyDescent="0.2">
      <c r="A1556" s="6">
        <v>7853</v>
      </c>
      <c r="B1556" s="7">
        <v>56135</v>
      </c>
      <c r="C1556" s="8">
        <f>DATE(2012,12,31)-779</f>
        <v>40495</v>
      </c>
      <c r="D1556" s="8" t="str">
        <f t="shared" si="32"/>
        <v>2010-11 (ноябрь 2010)</v>
      </c>
      <c r="E1556" s="9" t="s">
        <v>63</v>
      </c>
      <c r="F1556" s="7">
        <v>48</v>
      </c>
      <c r="G1556" s="7">
        <v>79.75</v>
      </c>
      <c r="H1556" s="7">
        <v>0.1</v>
      </c>
      <c r="I1556" s="9" t="s">
        <v>22</v>
      </c>
      <c r="J1556" s="10">
        <v>-41.32</v>
      </c>
      <c r="K1556" s="11">
        <v>1.81</v>
      </c>
      <c r="L1556" s="11">
        <v>1.56</v>
      </c>
      <c r="M1556" s="9" t="s">
        <v>1001</v>
      </c>
      <c r="N1556" s="6" t="s">
        <v>672</v>
      </c>
      <c r="O1556" s="6" t="s">
        <v>673</v>
      </c>
      <c r="P1556" s="9" t="s">
        <v>41</v>
      </c>
      <c r="Q1556" s="9" t="s">
        <v>26</v>
      </c>
      <c r="R1556" s="9" t="s">
        <v>66</v>
      </c>
      <c r="S1556" s="7" t="s">
        <v>1070</v>
      </c>
      <c r="T1556" s="9" t="s">
        <v>68</v>
      </c>
      <c r="U1556" s="7">
        <v>0.49</v>
      </c>
      <c r="V1556" s="12">
        <f>C1556+1</f>
        <v>40496</v>
      </c>
      <c r="W1556">
        <f>IF(D1556=' Pivot Tables'!$A$4,1,0)</f>
        <v>0</v>
      </c>
      <c r="X1556">
        <f>IF(AND(LEFT(D1556,4)+1=LEFT(' Pivot Tables'!$A$4,4)+0,RIGHT(LEFT(D1556,7),2)=RIGHT(LEFT(' Pivot Tables'!$A$4,7),2)),1,0)</f>
        <v>0</v>
      </c>
      <c r="Y1556" s="6">
        <f>1/COUNTIF(Таблица1[Order ID],Таблица1[[#This Row],[Order ID]])</f>
        <v>0.5</v>
      </c>
      <c r="Z1556" s="9">
        <f>1/COUNTIFS(Таблица1[Customer Name],Таблица1[[#This Row],[Customer Name]],Таблица1[Order-Year-Month],Таблица1[[#This Row],[Order-Year-Month]])</f>
        <v>0.5</v>
      </c>
    </row>
    <row r="1557" spans="1:26" x14ac:dyDescent="0.2">
      <c r="A1557" s="6">
        <v>7934</v>
      </c>
      <c r="B1557" s="7">
        <v>56708</v>
      </c>
      <c r="C1557" s="8">
        <f>DATE(2012,12,31)-29</f>
        <v>41245</v>
      </c>
      <c r="D1557" s="8" t="str">
        <f t="shared" si="32"/>
        <v>2012-12 (декабрь 2012)</v>
      </c>
      <c r="E1557" s="9" t="s">
        <v>45</v>
      </c>
      <c r="F1557" s="7">
        <v>36</v>
      </c>
      <c r="G1557" s="7">
        <v>10006.280000000001</v>
      </c>
      <c r="H1557" s="7">
        <v>0.1</v>
      </c>
      <c r="I1557" s="9" t="s">
        <v>31</v>
      </c>
      <c r="J1557" s="10">
        <v>-760.97699999999998</v>
      </c>
      <c r="K1557" s="11">
        <v>286.85000000000002</v>
      </c>
      <c r="L1557" s="11">
        <v>61.76</v>
      </c>
      <c r="M1557" s="9" t="s">
        <v>1002</v>
      </c>
      <c r="N1557" s="6" t="s">
        <v>672</v>
      </c>
      <c r="O1557" s="6" t="s">
        <v>673</v>
      </c>
      <c r="P1557" s="9" t="s">
        <v>41</v>
      </c>
      <c r="Q1557" s="9" t="s">
        <v>49</v>
      </c>
      <c r="R1557" s="9" t="s">
        <v>83</v>
      </c>
      <c r="S1557" s="7" t="s">
        <v>1086</v>
      </c>
      <c r="T1557" s="9" t="s">
        <v>82</v>
      </c>
      <c r="U1557" s="7">
        <v>0.78</v>
      </c>
      <c r="V1557" s="12">
        <f>C1557+0</f>
        <v>41245</v>
      </c>
      <c r="W1557">
        <f>IF(D1557=' Pivot Tables'!$A$4,1,0)</f>
        <v>0</v>
      </c>
      <c r="X1557">
        <f>IF(AND(LEFT(D1557,4)+1=LEFT(' Pivot Tables'!$A$4,4)+0,RIGHT(LEFT(D1557,7),2)=RIGHT(LEFT(' Pivot Tables'!$A$4,7),2)),1,0)</f>
        <v>0</v>
      </c>
      <c r="Y1557" s="6">
        <f>1/COUNTIF(Таблица1[Order ID],Таблица1[[#This Row],[Order ID]])</f>
        <v>0.5</v>
      </c>
      <c r="Z1557" s="9">
        <f>1/COUNTIFS(Таблица1[Customer Name],Таблица1[[#This Row],[Customer Name]],Таблица1[Order-Year-Month],Таблица1[[#This Row],[Order-Year-Month]])</f>
        <v>0.5</v>
      </c>
    </row>
    <row r="1558" spans="1:26" x14ac:dyDescent="0.2">
      <c r="A1558" s="6">
        <v>7935</v>
      </c>
      <c r="B1558" s="7">
        <v>56708</v>
      </c>
      <c r="C1558" s="8">
        <f>DATE(2012,12,31)-29</f>
        <v>41245</v>
      </c>
      <c r="D1558" s="8" t="str">
        <f t="shared" si="32"/>
        <v>2012-12 (декабрь 2012)</v>
      </c>
      <c r="E1558" s="9" t="s">
        <v>45</v>
      </c>
      <c r="F1558" s="7">
        <v>36</v>
      </c>
      <c r="G1558" s="7">
        <v>407.17</v>
      </c>
      <c r="H1558" s="7">
        <v>0.04</v>
      </c>
      <c r="I1558" s="9" t="s">
        <v>22</v>
      </c>
      <c r="J1558" s="10">
        <v>-12.82</v>
      </c>
      <c r="K1558" s="11">
        <v>11.58</v>
      </c>
      <c r="L1558" s="11">
        <v>6.97</v>
      </c>
      <c r="M1558" s="9" t="s">
        <v>1002</v>
      </c>
      <c r="N1558" s="6" t="s">
        <v>672</v>
      </c>
      <c r="O1558" s="6" t="s">
        <v>673</v>
      </c>
      <c r="P1558" s="9" t="s">
        <v>41</v>
      </c>
      <c r="Q1558" s="9" t="s">
        <v>26</v>
      </c>
      <c r="R1558" s="9" t="s">
        <v>76</v>
      </c>
      <c r="S1558" s="7" t="s">
        <v>304</v>
      </c>
      <c r="T1558" s="9" t="s">
        <v>39</v>
      </c>
      <c r="U1558" s="7">
        <v>0.35</v>
      </c>
      <c r="V1558" s="12">
        <f>C1558+3</f>
        <v>41248</v>
      </c>
      <c r="W1558">
        <f>IF(D1558=' Pivot Tables'!$A$4,1,0)</f>
        <v>0</v>
      </c>
      <c r="X1558">
        <f>IF(AND(LEFT(D1558,4)+1=LEFT(' Pivot Tables'!$A$4,4)+0,RIGHT(LEFT(D1558,7),2)=RIGHT(LEFT(' Pivot Tables'!$A$4,7),2)),1,0)</f>
        <v>0</v>
      </c>
      <c r="Y1558" s="6">
        <f>1/COUNTIF(Таблица1[Order ID],Таблица1[[#This Row],[Order ID]])</f>
        <v>0.5</v>
      </c>
      <c r="Z1558" s="9">
        <f>1/COUNTIFS(Таблица1[Customer Name],Таблица1[[#This Row],[Customer Name]],Таблица1[Order-Year-Month],Таблица1[[#This Row],[Order-Year-Month]])</f>
        <v>0.5</v>
      </c>
    </row>
    <row r="1559" spans="1:26" x14ac:dyDescent="0.2">
      <c r="A1559" s="6">
        <v>8120</v>
      </c>
      <c r="B1559" s="7">
        <v>57986</v>
      </c>
      <c r="C1559" s="8">
        <f>DATE(2012,12,31)-794</f>
        <v>40480</v>
      </c>
      <c r="D1559" s="8" t="str">
        <f t="shared" si="32"/>
        <v>2010-10 (октябрь 2010)</v>
      </c>
      <c r="E1559" s="9" t="s">
        <v>30</v>
      </c>
      <c r="F1559" s="7">
        <v>14</v>
      </c>
      <c r="G1559" s="7">
        <v>199.93</v>
      </c>
      <c r="H1559" s="7">
        <v>0.1</v>
      </c>
      <c r="I1559" s="9" t="s">
        <v>22</v>
      </c>
      <c r="J1559" s="10">
        <v>-105.33</v>
      </c>
      <c r="K1559" s="11">
        <v>14.81</v>
      </c>
      <c r="L1559" s="11">
        <v>13.32</v>
      </c>
      <c r="M1559" s="9" t="s">
        <v>818</v>
      </c>
      <c r="N1559" s="6" t="s">
        <v>672</v>
      </c>
      <c r="O1559" s="6" t="s">
        <v>673</v>
      </c>
      <c r="P1559" s="9" t="s">
        <v>25</v>
      </c>
      <c r="Q1559" s="9" t="s">
        <v>26</v>
      </c>
      <c r="R1559" s="9" t="s">
        <v>34</v>
      </c>
      <c r="S1559" s="7" t="s">
        <v>683</v>
      </c>
      <c r="T1559" s="9" t="s">
        <v>39</v>
      </c>
      <c r="U1559" s="7">
        <v>0.43</v>
      </c>
      <c r="V1559" s="12">
        <f>C1559+0</f>
        <v>40480</v>
      </c>
      <c r="W1559">
        <f>IF(D1559=' Pivot Tables'!$A$4,1,0)</f>
        <v>0</v>
      </c>
      <c r="X1559">
        <f>IF(AND(LEFT(D1559,4)+1=LEFT(' Pivot Tables'!$A$4,4)+0,RIGHT(LEFT(D1559,7),2)=RIGHT(LEFT(' Pivot Tables'!$A$4,7),2)),1,0)</f>
        <v>0</v>
      </c>
      <c r="Y1559" s="6">
        <f>1/COUNTIF(Таблица1[Order ID],Таблица1[[#This Row],[Order ID]])</f>
        <v>1</v>
      </c>
      <c r="Z1559" s="9">
        <f>1/COUNTIFS(Таблица1[Customer Name],Таблица1[[#This Row],[Customer Name]],Таблица1[Order-Year-Month],Таблица1[[#This Row],[Order-Year-Month]])</f>
        <v>1</v>
      </c>
    </row>
    <row r="1560" spans="1:26" x14ac:dyDescent="0.2">
      <c r="A1560" s="6">
        <v>8155</v>
      </c>
      <c r="B1560" s="7">
        <v>58310</v>
      </c>
      <c r="C1560" s="8">
        <f>DATE(2012,12,31)-1407</f>
        <v>39867</v>
      </c>
      <c r="D1560" s="8" t="str">
        <f t="shared" si="32"/>
        <v>2009-02 (февраль 2009)</v>
      </c>
      <c r="E1560" s="9" t="s">
        <v>78</v>
      </c>
      <c r="F1560" s="7">
        <v>22</v>
      </c>
      <c r="G1560" s="7">
        <v>834.81</v>
      </c>
      <c r="H1560" s="7">
        <v>0.03</v>
      </c>
      <c r="I1560" s="9" t="s">
        <v>22</v>
      </c>
      <c r="J1560" s="10">
        <v>1.98</v>
      </c>
      <c r="K1560" s="11">
        <v>37.76</v>
      </c>
      <c r="L1560" s="11">
        <v>12.9</v>
      </c>
      <c r="M1560" s="9" t="s">
        <v>1056</v>
      </c>
      <c r="N1560" s="6" t="s">
        <v>672</v>
      </c>
      <c r="O1560" s="6" t="s">
        <v>673</v>
      </c>
      <c r="P1560" s="9" t="s">
        <v>60</v>
      </c>
      <c r="Q1560" s="9" t="s">
        <v>26</v>
      </c>
      <c r="R1560" s="9" t="s">
        <v>27</v>
      </c>
      <c r="S1560" s="7" t="s">
        <v>1087</v>
      </c>
      <c r="T1560" s="9" t="s">
        <v>39</v>
      </c>
      <c r="U1560" s="7">
        <v>0.56999999999999995</v>
      </c>
      <c r="V1560" s="12">
        <f>C1560+1</f>
        <v>39868</v>
      </c>
      <c r="W1560">
        <f>IF(D1560=' Pivot Tables'!$A$4,1,0)</f>
        <v>0</v>
      </c>
      <c r="X1560">
        <f>IF(AND(LEFT(D1560,4)+1=LEFT(' Pivot Tables'!$A$4,4)+0,RIGHT(LEFT(D1560,7),2)=RIGHT(LEFT(' Pivot Tables'!$A$4,7),2)),1,0)</f>
        <v>0</v>
      </c>
      <c r="Y1560" s="6">
        <f>1/COUNTIF(Таблица1[Order ID],Таблица1[[#This Row],[Order ID]])</f>
        <v>1</v>
      </c>
      <c r="Z1560" s="9">
        <f>1/COUNTIFS(Таблица1[Customer Name],Таблица1[[#This Row],[Customer Name]],Таблица1[Order-Year-Month],Таблица1[[#This Row],[Order-Year-Month]])</f>
        <v>1</v>
      </c>
    </row>
    <row r="1561" spans="1:26" x14ac:dyDescent="0.2">
      <c r="A1561" s="6">
        <v>8215</v>
      </c>
      <c r="B1561" s="7">
        <v>58725</v>
      </c>
      <c r="C1561" s="8">
        <f>DATE(2012,12,31)-956</f>
        <v>40318</v>
      </c>
      <c r="D1561" s="8" t="str">
        <f t="shared" si="32"/>
        <v>2010-05 (май 2010)</v>
      </c>
      <c r="E1561" s="9" t="s">
        <v>45</v>
      </c>
      <c r="F1561" s="7">
        <v>39</v>
      </c>
      <c r="G1561" s="7">
        <v>335.35</v>
      </c>
      <c r="H1561" s="7">
        <v>0.05</v>
      </c>
      <c r="I1561" s="9" t="s">
        <v>22</v>
      </c>
      <c r="J1561" s="10">
        <v>-134.97</v>
      </c>
      <c r="K1561" s="11">
        <v>8.74</v>
      </c>
      <c r="L1561" s="11">
        <v>8.2899999999999991</v>
      </c>
      <c r="M1561" s="9" t="s">
        <v>1088</v>
      </c>
      <c r="N1561" s="6" t="s">
        <v>672</v>
      </c>
      <c r="O1561" s="6" t="s">
        <v>673</v>
      </c>
      <c r="P1561" s="9" t="s">
        <v>41</v>
      </c>
      <c r="Q1561" s="9" t="s">
        <v>26</v>
      </c>
      <c r="R1561" s="9" t="s">
        <v>76</v>
      </c>
      <c r="S1561" s="7" t="s">
        <v>567</v>
      </c>
      <c r="T1561" s="9" t="s">
        <v>39</v>
      </c>
      <c r="U1561" s="7">
        <v>0.38</v>
      </c>
      <c r="V1561" s="12">
        <f>C1561+1</f>
        <v>40319</v>
      </c>
      <c r="W1561">
        <f>IF(D1561=' Pivot Tables'!$A$4,1,0)</f>
        <v>0</v>
      </c>
      <c r="X1561">
        <f>IF(AND(LEFT(D1561,4)+1=LEFT(' Pivot Tables'!$A$4,4)+0,RIGHT(LEFT(D1561,7),2)=RIGHT(LEFT(' Pivot Tables'!$A$4,7),2)),1,0)</f>
        <v>0</v>
      </c>
      <c r="Y1561" s="6">
        <f>1/COUNTIF(Таблица1[Order ID],Таблица1[[#This Row],[Order ID]])</f>
        <v>0.5</v>
      </c>
      <c r="Z1561" s="9">
        <f>1/COUNTIFS(Таблица1[Customer Name],Таблица1[[#This Row],[Customer Name]],Таблица1[Order-Year-Month],Таблица1[[#This Row],[Order-Year-Month]])</f>
        <v>0.5</v>
      </c>
    </row>
    <row r="1562" spans="1:26" x14ac:dyDescent="0.2">
      <c r="A1562" s="6">
        <v>142</v>
      </c>
      <c r="B1562" s="7">
        <v>902</v>
      </c>
      <c r="C1562" s="8">
        <f>DATE(2012,12,31)-1254</f>
        <v>40020</v>
      </c>
      <c r="D1562" s="8" t="str">
        <f t="shared" si="32"/>
        <v>2009-07 (июль 2009)</v>
      </c>
      <c r="E1562" s="9" t="s">
        <v>45</v>
      </c>
      <c r="F1562" s="7">
        <v>10</v>
      </c>
      <c r="G1562" s="7">
        <v>1925.83</v>
      </c>
      <c r="H1562" s="7">
        <v>0.09</v>
      </c>
      <c r="I1562" s="9" t="s">
        <v>22</v>
      </c>
      <c r="J1562" s="10">
        <v>359.83</v>
      </c>
      <c r="K1562" s="11">
        <v>207.48</v>
      </c>
      <c r="L1562" s="11">
        <v>0.99</v>
      </c>
      <c r="M1562" s="9" t="s">
        <v>1089</v>
      </c>
      <c r="N1562" s="6" t="s">
        <v>672</v>
      </c>
      <c r="O1562" s="6" t="s">
        <v>673</v>
      </c>
      <c r="P1562" s="9" t="s">
        <v>41</v>
      </c>
      <c r="Q1562" s="9" t="s">
        <v>26</v>
      </c>
      <c r="R1562" s="9" t="s">
        <v>34</v>
      </c>
      <c r="S1562" s="7" t="s">
        <v>232</v>
      </c>
      <c r="T1562" s="9" t="s">
        <v>39</v>
      </c>
      <c r="U1562" s="7">
        <v>0.55000000000000004</v>
      </c>
      <c r="V1562" s="12">
        <f>C1562+3</f>
        <v>40023</v>
      </c>
      <c r="W1562">
        <f>IF(D1562=' Pivot Tables'!$A$4,1,0)</f>
        <v>0</v>
      </c>
      <c r="X1562">
        <f>IF(AND(LEFT(D1562,4)+1=LEFT(' Pivot Tables'!$A$4,4)+0,RIGHT(LEFT(D1562,7),2)=RIGHT(LEFT(' Pivot Tables'!$A$4,7),2)),1,0)</f>
        <v>0</v>
      </c>
      <c r="Y1562" s="6">
        <f>1/COUNTIF(Таблица1[Order ID],Таблица1[[#This Row],[Order ID]])</f>
        <v>1</v>
      </c>
      <c r="Z1562" s="9">
        <f>1/COUNTIFS(Таблица1[Customer Name],Таблица1[[#This Row],[Customer Name]],Таблица1[Order-Year-Month],Таблица1[[#This Row],[Order-Year-Month]])</f>
        <v>0.33333333333333331</v>
      </c>
    </row>
    <row r="1563" spans="1:26" x14ac:dyDescent="0.2">
      <c r="A1563" s="6">
        <v>309</v>
      </c>
      <c r="B1563" s="7">
        <v>2147</v>
      </c>
      <c r="C1563" s="8">
        <f>DATE(2012,12,31)-117</f>
        <v>41157</v>
      </c>
      <c r="D1563" s="8" t="str">
        <f t="shared" si="32"/>
        <v>2012-09 (сентябрь 2012)</v>
      </c>
      <c r="E1563" s="9" t="s">
        <v>45</v>
      </c>
      <c r="F1563" s="7">
        <v>15</v>
      </c>
      <c r="G1563" s="7">
        <v>605.1</v>
      </c>
      <c r="H1563" s="7">
        <v>0.04</v>
      </c>
      <c r="I1563" s="9" t="s">
        <v>56</v>
      </c>
      <c r="J1563" s="10">
        <v>92.81</v>
      </c>
      <c r="K1563" s="11">
        <v>40.98</v>
      </c>
      <c r="L1563" s="11">
        <v>5.33</v>
      </c>
      <c r="M1563" s="9" t="s">
        <v>1090</v>
      </c>
      <c r="N1563" s="6" t="s">
        <v>672</v>
      </c>
      <c r="O1563" s="6" t="s">
        <v>673</v>
      </c>
      <c r="P1563" s="9" t="s">
        <v>60</v>
      </c>
      <c r="Q1563" s="9" t="s">
        <v>26</v>
      </c>
      <c r="R1563" s="9" t="s">
        <v>34</v>
      </c>
      <c r="S1563" s="7" t="s">
        <v>682</v>
      </c>
      <c r="T1563" s="9" t="s">
        <v>39</v>
      </c>
      <c r="U1563" s="7">
        <v>0.56999999999999995</v>
      </c>
      <c r="V1563" s="12">
        <f>C1563+2</f>
        <v>41159</v>
      </c>
      <c r="W1563">
        <f>IF(D1563=' Pivot Tables'!$A$4,1,0)</f>
        <v>0</v>
      </c>
      <c r="X1563">
        <f>IF(AND(LEFT(D1563,4)+1=LEFT(' Pivot Tables'!$A$4,4)+0,RIGHT(LEFT(D1563,7),2)=RIGHT(LEFT(' Pivot Tables'!$A$4,7),2)),1,0)</f>
        <v>0</v>
      </c>
      <c r="Y1563" s="6">
        <f>1/COUNTIF(Таблица1[Order ID],Таблица1[[#This Row],[Order ID]])</f>
        <v>1</v>
      </c>
      <c r="Z1563" s="9">
        <f>1/COUNTIFS(Таблица1[Customer Name],Таблица1[[#This Row],[Customer Name]],Таблица1[Order-Year-Month],Таблица1[[#This Row],[Order-Year-Month]])</f>
        <v>1</v>
      </c>
    </row>
    <row r="1564" spans="1:26" x14ac:dyDescent="0.2">
      <c r="A1564" s="6">
        <v>338</v>
      </c>
      <c r="B1564" s="7">
        <v>2306</v>
      </c>
      <c r="C1564" s="8">
        <f>DATE(2012,12,31)-525</f>
        <v>40749</v>
      </c>
      <c r="D1564" s="8" t="str">
        <f t="shared" si="32"/>
        <v>2011-07 (июль 2011)</v>
      </c>
      <c r="E1564" s="9" t="s">
        <v>30</v>
      </c>
      <c r="F1564" s="7">
        <v>15</v>
      </c>
      <c r="G1564" s="7">
        <v>113.5</v>
      </c>
      <c r="H1564" s="7">
        <v>0.05</v>
      </c>
      <c r="I1564" s="9" t="s">
        <v>22</v>
      </c>
      <c r="J1564" s="10">
        <v>-46.344999999999999</v>
      </c>
      <c r="K1564" s="11">
        <v>7.45</v>
      </c>
      <c r="L1564" s="11">
        <v>6.28</v>
      </c>
      <c r="M1564" s="9" t="s">
        <v>1091</v>
      </c>
      <c r="N1564" s="6" t="s">
        <v>672</v>
      </c>
      <c r="O1564" s="6" t="s">
        <v>673</v>
      </c>
      <c r="P1564" s="9" t="s">
        <v>41</v>
      </c>
      <c r="Q1564" s="9" t="s">
        <v>26</v>
      </c>
      <c r="R1564" s="9" t="s">
        <v>37</v>
      </c>
      <c r="S1564" s="7" t="s">
        <v>1092</v>
      </c>
      <c r="T1564" s="9" t="s">
        <v>39</v>
      </c>
      <c r="U1564" s="7">
        <v>0.4</v>
      </c>
      <c r="V1564" s="12">
        <f>C1564+2</f>
        <v>40751</v>
      </c>
      <c r="W1564">
        <f>IF(D1564=' Pivot Tables'!$A$4,1,0)</f>
        <v>0</v>
      </c>
      <c r="X1564">
        <f>IF(AND(LEFT(D1564,4)+1=LEFT(' Pivot Tables'!$A$4,4)+0,RIGHT(LEFT(D1564,7),2)=RIGHT(LEFT(' Pivot Tables'!$A$4,7),2)),1,0)</f>
        <v>0</v>
      </c>
      <c r="Y1564" s="6">
        <f>1/COUNTIF(Таблица1[Order ID],Таблица1[[#This Row],[Order ID]])</f>
        <v>1</v>
      </c>
      <c r="Z1564" s="9">
        <f>1/COUNTIFS(Таблица1[Customer Name],Таблица1[[#This Row],[Customer Name]],Таблица1[Order-Year-Month],Таблица1[[#This Row],[Order-Year-Month]])</f>
        <v>1</v>
      </c>
    </row>
    <row r="1565" spans="1:26" x14ac:dyDescent="0.2">
      <c r="A1565" s="6">
        <v>422</v>
      </c>
      <c r="B1565" s="7">
        <v>2823</v>
      </c>
      <c r="C1565" s="8">
        <f>DATE(2012,12,31)-480</f>
        <v>40794</v>
      </c>
      <c r="D1565" s="8" t="str">
        <f t="shared" si="32"/>
        <v>2011-09 (сентябрь 2011)</v>
      </c>
      <c r="E1565" s="9" t="s">
        <v>30</v>
      </c>
      <c r="F1565" s="7">
        <v>17</v>
      </c>
      <c r="G1565" s="7">
        <v>357.43</v>
      </c>
      <c r="H1565" s="7">
        <v>0.08</v>
      </c>
      <c r="I1565" s="9" t="s">
        <v>22</v>
      </c>
      <c r="J1565" s="10">
        <v>-135.97999999999999</v>
      </c>
      <c r="K1565" s="11">
        <v>20.97</v>
      </c>
      <c r="L1565" s="11">
        <v>6.5</v>
      </c>
      <c r="M1565" s="9" t="s">
        <v>1093</v>
      </c>
      <c r="N1565" s="6" t="s">
        <v>672</v>
      </c>
      <c r="O1565" s="6" t="s">
        <v>673</v>
      </c>
      <c r="P1565" s="9" t="s">
        <v>60</v>
      </c>
      <c r="Q1565" s="9" t="s">
        <v>42</v>
      </c>
      <c r="R1565" s="9" t="s">
        <v>70</v>
      </c>
      <c r="S1565" s="7" t="s">
        <v>262</v>
      </c>
      <c r="T1565" s="9" t="s">
        <v>39</v>
      </c>
      <c r="U1565" s="7">
        <v>0.78</v>
      </c>
      <c r="V1565" s="12">
        <f>C1565+1</f>
        <v>40795</v>
      </c>
      <c r="W1565">
        <f>IF(D1565=' Pivot Tables'!$A$4,1,0)</f>
        <v>0</v>
      </c>
      <c r="X1565">
        <f>IF(AND(LEFT(D1565,4)+1=LEFT(' Pivot Tables'!$A$4,4)+0,RIGHT(LEFT(D1565,7),2)=RIGHT(LEFT(' Pivot Tables'!$A$4,7),2)),1,0)</f>
        <v>0</v>
      </c>
      <c r="Y1565" s="6">
        <f>1/COUNTIF(Таблица1[Order ID],Таблица1[[#This Row],[Order ID]])</f>
        <v>0.5</v>
      </c>
      <c r="Z1565" s="9">
        <f>1/COUNTIFS(Таблица1[Customer Name],Таблица1[[#This Row],[Customer Name]],Таблица1[Order-Year-Month],Таблица1[[#This Row],[Order-Year-Month]])</f>
        <v>0.5</v>
      </c>
    </row>
    <row r="1566" spans="1:26" x14ac:dyDescent="0.2">
      <c r="A1566" s="6">
        <v>423</v>
      </c>
      <c r="B1566" s="7">
        <v>2823</v>
      </c>
      <c r="C1566" s="8">
        <f>DATE(2012,12,31)-480</f>
        <v>40794</v>
      </c>
      <c r="D1566" s="8" t="str">
        <f t="shared" si="32"/>
        <v>2011-09 (сентябрь 2011)</v>
      </c>
      <c r="E1566" s="9" t="s">
        <v>30</v>
      </c>
      <c r="F1566" s="7">
        <v>21</v>
      </c>
      <c r="G1566" s="7">
        <v>4754.08</v>
      </c>
      <c r="H1566" s="7">
        <v>0</v>
      </c>
      <c r="I1566" s="9" t="s">
        <v>31</v>
      </c>
      <c r="J1566" s="10">
        <v>299.88</v>
      </c>
      <c r="K1566" s="11">
        <v>225.02</v>
      </c>
      <c r="L1566" s="11">
        <v>28.66</v>
      </c>
      <c r="M1566" s="9" t="s">
        <v>1093</v>
      </c>
      <c r="N1566" s="6" t="s">
        <v>672</v>
      </c>
      <c r="O1566" s="6" t="s">
        <v>673</v>
      </c>
      <c r="P1566" s="9" t="s">
        <v>60</v>
      </c>
      <c r="Q1566" s="9" t="s">
        <v>26</v>
      </c>
      <c r="R1566" s="9" t="s">
        <v>27</v>
      </c>
      <c r="S1566" s="7" t="s">
        <v>399</v>
      </c>
      <c r="T1566" s="9" t="s">
        <v>36</v>
      </c>
      <c r="U1566" s="7">
        <v>0.72</v>
      </c>
      <c r="V1566" s="12">
        <f>C1566+1</f>
        <v>40795</v>
      </c>
      <c r="W1566">
        <f>IF(D1566=' Pivot Tables'!$A$4,1,0)</f>
        <v>0</v>
      </c>
      <c r="X1566">
        <f>IF(AND(LEFT(D1566,4)+1=LEFT(' Pivot Tables'!$A$4,4)+0,RIGHT(LEFT(D1566,7),2)=RIGHT(LEFT(' Pivot Tables'!$A$4,7),2)),1,0)</f>
        <v>0</v>
      </c>
      <c r="Y1566" s="6">
        <f>1/COUNTIF(Таблица1[Order ID],Таблица1[[#This Row],[Order ID]])</f>
        <v>0.5</v>
      </c>
      <c r="Z1566" s="9">
        <f>1/COUNTIFS(Таблица1[Customer Name],Таблица1[[#This Row],[Customer Name]],Таблица1[Order-Year-Month],Таблица1[[#This Row],[Order-Year-Month]])</f>
        <v>0.5</v>
      </c>
    </row>
    <row r="1567" spans="1:26" x14ac:dyDescent="0.2">
      <c r="A1567" s="6">
        <v>460</v>
      </c>
      <c r="B1567" s="7">
        <v>3110</v>
      </c>
      <c r="C1567" s="8">
        <f>DATE(2012,12,31)-1111</f>
        <v>40163</v>
      </c>
      <c r="D1567" s="8" t="str">
        <f t="shared" si="32"/>
        <v>2009-12 (декабрь 2009)</v>
      </c>
      <c r="E1567" s="9" t="s">
        <v>30</v>
      </c>
      <c r="F1567" s="7">
        <v>13</v>
      </c>
      <c r="G1567" s="7">
        <v>1601.32</v>
      </c>
      <c r="H1567" s="7">
        <v>0.04</v>
      </c>
      <c r="I1567" s="9" t="s">
        <v>31</v>
      </c>
      <c r="J1567" s="10">
        <v>377.81</v>
      </c>
      <c r="K1567" s="11">
        <v>119.99</v>
      </c>
      <c r="L1567" s="11">
        <v>14</v>
      </c>
      <c r="M1567" s="9" t="s">
        <v>1094</v>
      </c>
      <c r="N1567" s="6" t="s">
        <v>672</v>
      </c>
      <c r="O1567" s="6" t="s">
        <v>673</v>
      </c>
      <c r="P1567" s="9" t="s">
        <v>41</v>
      </c>
      <c r="Q1567" s="9" t="s">
        <v>42</v>
      </c>
      <c r="R1567" s="9" t="s">
        <v>210</v>
      </c>
      <c r="S1567" s="7" t="s">
        <v>1095</v>
      </c>
      <c r="T1567" s="9" t="s">
        <v>36</v>
      </c>
      <c r="U1567" s="7">
        <v>0.36</v>
      </c>
      <c r="V1567" s="12">
        <f>C1567+2</f>
        <v>40165</v>
      </c>
      <c r="W1567">
        <f>IF(D1567=' Pivot Tables'!$A$4,1,0)</f>
        <v>0</v>
      </c>
      <c r="X1567">
        <f>IF(AND(LEFT(D1567,4)+1=LEFT(' Pivot Tables'!$A$4,4)+0,RIGHT(LEFT(D1567,7),2)=RIGHT(LEFT(' Pivot Tables'!$A$4,7),2)),1,0)</f>
        <v>0</v>
      </c>
      <c r="Y1567" s="6">
        <f>1/COUNTIF(Таблица1[Order ID],Таблица1[[#This Row],[Order ID]])</f>
        <v>1</v>
      </c>
      <c r="Z1567" s="9">
        <f>1/COUNTIFS(Таблица1[Customer Name],Таблица1[[#This Row],[Customer Name]],Таблица1[Order-Year-Month],Таблица1[[#This Row],[Order-Year-Month]])</f>
        <v>1</v>
      </c>
    </row>
    <row r="1568" spans="1:26" x14ac:dyDescent="0.2">
      <c r="A1568" s="6">
        <v>503</v>
      </c>
      <c r="B1568" s="7">
        <v>3463</v>
      </c>
      <c r="C1568" s="8">
        <f>DATE(2012,12,31)-867</f>
        <v>40407</v>
      </c>
      <c r="D1568" s="8" t="str">
        <f t="shared" si="32"/>
        <v>2010-08 (август 2010)</v>
      </c>
      <c r="E1568" s="9" t="s">
        <v>78</v>
      </c>
      <c r="F1568" s="7">
        <v>43</v>
      </c>
      <c r="G1568" s="7">
        <v>264.75</v>
      </c>
      <c r="H1568" s="7">
        <v>0.08</v>
      </c>
      <c r="I1568" s="9" t="s">
        <v>22</v>
      </c>
      <c r="J1568" s="10">
        <v>-212.51</v>
      </c>
      <c r="K1568" s="11">
        <v>6.48</v>
      </c>
      <c r="L1568" s="11">
        <v>8.4</v>
      </c>
      <c r="M1568" s="9" t="s">
        <v>1096</v>
      </c>
      <c r="N1568" s="6" t="s">
        <v>672</v>
      </c>
      <c r="O1568" s="6" t="s">
        <v>673</v>
      </c>
      <c r="P1568" s="9" t="s">
        <v>33</v>
      </c>
      <c r="Q1568" s="9" t="s">
        <v>26</v>
      </c>
      <c r="R1568" s="9" t="s">
        <v>61</v>
      </c>
      <c r="S1568" s="7" t="s">
        <v>1097</v>
      </c>
      <c r="T1568" s="9" t="s">
        <v>39</v>
      </c>
      <c r="U1568" s="7">
        <v>0.37</v>
      </c>
      <c r="V1568" s="12">
        <f>C1568+1</f>
        <v>40408</v>
      </c>
      <c r="W1568">
        <f>IF(D1568=' Pivot Tables'!$A$4,1,0)</f>
        <v>0</v>
      </c>
      <c r="X1568">
        <f>IF(AND(LEFT(D1568,4)+1=LEFT(' Pivot Tables'!$A$4,4)+0,RIGHT(LEFT(D1568,7),2)=RIGHT(LEFT(' Pivot Tables'!$A$4,7),2)),1,0)</f>
        <v>0</v>
      </c>
      <c r="Y1568" s="6">
        <f>1/COUNTIF(Таблица1[Order ID],Таблица1[[#This Row],[Order ID]])</f>
        <v>1</v>
      </c>
      <c r="Z1568" s="9">
        <f>1/COUNTIFS(Таблица1[Customer Name],Таблица1[[#This Row],[Customer Name]],Таблица1[Order-Year-Month],Таблица1[[#This Row],[Order-Year-Month]])</f>
        <v>1</v>
      </c>
    </row>
    <row r="1569" spans="1:26" x14ac:dyDescent="0.2">
      <c r="A1569" s="6">
        <v>591</v>
      </c>
      <c r="B1569" s="7">
        <v>4034</v>
      </c>
      <c r="C1569" s="8">
        <f>DATE(2012,12,31)-779</f>
        <v>40495</v>
      </c>
      <c r="D1569" s="8" t="str">
        <f t="shared" si="32"/>
        <v>2010-11 (ноябрь 2010)</v>
      </c>
      <c r="E1569" s="9" t="s">
        <v>45</v>
      </c>
      <c r="F1569" s="7">
        <v>44</v>
      </c>
      <c r="G1569" s="7">
        <v>3367.24</v>
      </c>
      <c r="H1569" s="7">
        <v>7.0000000000000007E-2</v>
      </c>
      <c r="I1569" s="9" t="s">
        <v>22</v>
      </c>
      <c r="J1569" s="10">
        <v>-1183.69</v>
      </c>
      <c r="K1569" s="11">
        <v>79.52</v>
      </c>
      <c r="L1569" s="11">
        <v>48.2</v>
      </c>
      <c r="M1569" s="9" t="s">
        <v>1098</v>
      </c>
      <c r="N1569" s="6" t="s">
        <v>672</v>
      </c>
      <c r="O1569" s="6" t="s">
        <v>673</v>
      </c>
      <c r="P1569" s="9" t="s">
        <v>25</v>
      </c>
      <c r="Q1569" s="9" t="s">
        <v>49</v>
      </c>
      <c r="R1569" s="9" t="s">
        <v>50</v>
      </c>
      <c r="S1569" s="7" t="s">
        <v>902</v>
      </c>
      <c r="T1569" s="9" t="s">
        <v>48</v>
      </c>
      <c r="U1569" s="7">
        <v>0.74</v>
      </c>
      <c r="V1569" s="12">
        <f>C1569+1</f>
        <v>40496</v>
      </c>
      <c r="W1569">
        <f>IF(D1569=' Pivot Tables'!$A$4,1,0)</f>
        <v>0</v>
      </c>
      <c r="X1569">
        <f>IF(AND(LEFT(D1569,4)+1=LEFT(' Pivot Tables'!$A$4,4)+0,RIGHT(LEFT(D1569,7),2)=RIGHT(LEFT(' Pivot Tables'!$A$4,7),2)),1,0)</f>
        <v>0</v>
      </c>
      <c r="Y1569" s="6">
        <f>1/COUNTIF(Таблица1[Order ID],Таблица1[[#This Row],[Order ID]])</f>
        <v>0.5</v>
      </c>
      <c r="Z1569" s="9">
        <f>1/COUNTIFS(Таблица1[Customer Name],Таблица1[[#This Row],[Customer Name]],Таблица1[Order-Year-Month],Таблица1[[#This Row],[Order-Year-Month]])</f>
        <v>0.25</v>
      </c>
    </row>
    <row r="1570" spans="1:26" x14ac:dyDescent="0.2">
      <c r="A1570" s="6">
        <v>592</v>
      </c>
      <c r="B1570" s="7">
        <v>4034</v>
      </c>
      <c r="C1570" s="8">
        <f>DATE(2012,12,31)-779</f>
        <v>40495</v>
      </c>
      <c r="D1570" s="8" t="str">
        <f t="shared" si="32"/>
        <v>2010-11 (ноябрь 2010)</v>
      </c>
      <c r="E1570" s="9" t="s">
        <v>45</v>
      </c>
      <c r="F1570" s="7">
        <v>37</v>
      </c>
      <c r="G1570" s="7">
        <v>5723.24</v>
      </c>
      <c r="H1570" s="7">
        <v>0</v>
      </c>
      <c r="I1570" s="9" t="s">
        <v>31</v>
      </c>
      <c r="J1570" s="10">
        <v>-194.96700000000001</v>
      </c>
      <c r="K1570" s="11">
        <v>145.97999999999999</v>
      </c>
      <c r="L1570" s="11">
        <v>51.92</v>
      </c>
      <c r="M1570" s="9" t="s">
        <v>1098</v>
      </c>
      <c r="N1570" s="6" t="s">
        <v>672</v>
      </c>
      <c r="O1570" s="6" t="s">
        <v>673</v>
      </c>
      <c r="P1570" s="9" t="s">
        <v>25</v>
      </c>
      <c r="Q1570" s="9" t="s">
        <v>49</v>
      </c>
      <c r="R1570" s="9" t="s">
        <v>83</v>
      </c>
      <c r="S1570" s="7" t="s">
        <v>938</v>
      </c>
      <c r="T1570" s="9" t="s">
        <v>82</v>
      </c>
      <c r="U1570" s="7">
        <v>0.69</v>
      </c>
      <c r="V1570" s="12">
        <f>C1570+1</f>
        <v>40496</v>
      </c>
      <c r="W1570">
        <f>IF(D1570=' Pivot Tables'!$A$4,1,0)</f>
        <v>0</v>
      </c>
      <c r="X1570">
        <f>IF(AND(LEFT(D1570,4)+1=LEFT(' Pivot Tables'!$A$4,4)+0,RIGHT(LEFT(D1570,7),2)=RIGHT(LEFT(' Pivot Tables'!$A$4,7),2)),1,0)</f>
        <v>0</v>
      </c>
      <c r="Y1570" s="6">
        <f>1/COUNTIF(Таблица1[Order ID],Таблица1[[#This Row],[Order ID]])</f>
        <v>0.5</v>
      </c>
      <c r="Z1570" s="9">
        <f>1/COUNTIFS(Таблица1[Customer Name],Таблица1[[#This Row],[Customer Name]],Таблица1[Order-Year-Month],Таблица1[[#This Row],[Order-Year-Month]])</f>
        <v>0.25</v>
      </c>
    </row>
    <row r="1571" spans="1:26" x14ac:dyDescent="0.2">
      <c r="A1571" s="6">
        <v>593</v>
      </c>
      <c r="B1571" s="7">
        <v>4037</v>
      </c>
      <c r="C1571" s="8">
        <f>DATE(2012,12,31)-1014</f>
        <v>40260</v>
      </c>
      <c r="D1571" s="8" t="str">
        <f t="shared" si="32"/>
        <v>2010-03 (март 2010)</v>
      </c>
      <c r="E1571" s="9" t="s">
        <v>30</v>
      </c>
      <c r="F1571" s="7">
        <v>27</v>
      </c>
      <c r="G1571" s="7">
        <v>188.07</v>
      </c>
      <c r="H1571" s="7">
        <v>0</v>
      </c>
      <c r="I1571" s="9" t="s">
        <v>22</v>
      </c>
      <c r="J1571" s="10">
        <v>-101.85</v>
      </c>
      <c r="K1571" s="11">
        <v>6.48</v>
      </c>
      <c r="L1571" s="11">
        <v>7.86</v>
      </c>
      <c r="M1571" s="9" t="s">
        <v>1099</v>
      </c>
      <c r="N1571" s="6" t="s">
        <v>672</v>
      </c>
      <c r="O1571" s="6" t="s">
        <v>673</v>
      </c>
      <c r="P1571" s="9" t="s">
        <v>41</v>
      </c>
      <c r="Q1571" s="9" t="s">
        <v>26</v>
      </c>
      <c r="R1571" s="9" t="s">
        <v>61</v>
      </c>
      <c r="S1571" s="7" t="s">
        <v>153</v>
      </c>
      <c r="T1571" s="9" t="s">
        <v>39</v>
      </c>
      <c r="U1571" s="7">
        <v>0.37</v>
      </c>
      <c r="V1571" s="12">
        <f>C1571+1</f>
        <v>40261</v>
      </c>
      <c r="W1571">
        <f>IF(D1571=' Pivot Tables'!$A$4,1,0)</f>
        <v>0</v>
      </c>
      <c r="X1571">
        <f>IF(AND(LEFT(D1571,4)+1=LEFT(' Pivot Tables'!$A$4,4)+0,RIGHT(LEFT(D1571,7),2)=RIGHT(LEFT(' Pivot Tables'!$A$4,7),2)),1,0)</f>
        <v>0</v>
      </c>
      <c r="Y1571" s="6">
        <f>1/COUNTIF(Таблица1[Order ID],Таблица1[[#This Row],[Order ID]])</f>
        <v>1</v>
      </c>
      <c r="Z1571" s="9">
        <f>1/COUNTIFS(Таблица1[Customer Name],Таблица1[[#This Row],[Customer Name]],Таблица1[Order-Year-Month],Таблица1[[#This Row],[Order-Year-Month]])</f>
        <v>1</v>
      </c>
    </row>
    <row r="1572" spans="1:26" x14ac:dyDescent="0.2">
      <c r="A1572" s="6">
        <v>775</v>
      </c>
      <c r="B1572" s="7">
        <v>5538</v>
      </c>
      <c r="C1572" s="8">
        <f>DATE(2012,12,31)-738</f>
        <v>40536</v>
      </c>
      <c r="D1572" s="8" t="str">
        <f t="shared" si="32"/>
        <v>2010-12 (декабрь 2010)</v>
      </c>
      <c r="E1572" s="9" t="s">
        <v>78</v>
      </c>
      <c r="F1572" s="7">
        <v>43</v>
      </c>
      <c r="G1572" s="7">
        <v>1281.28</v>
      </c>
      <c r="H1572" s="7">
        <v>0.05</v>
      </c>
      <c r="I1572" s="9" t="s">
        <v>22</v>
      </c>
      <c r="J1572" s="10">
        <v>415.85400000000004</v>
      </c>
      <c r="K1572" s="11">
        <v>29.17</v>
      </c>
      <c r="L1572" s="11">
        <v>6.27</v>
      </c>
      <c r="M1572" s="9" t="s">
        <v>1096</v>
      </c>
      <c r="N1572" s="6" t="s">
        <v>672</v>
      </c>
      <c r="O1572" s="6" t="s">
        <v>673</v>
      </c>
      <c r="P1572" s="9" t="s">
        <v>33</v>
      </c>
      <c r="Q1572" s="9" t="s">
        <v>26</v>
      </c>
      <c r="R1572" s="9" t="s">
        <v>37</v>
      </c>
      <c r="S1572" s="7" t="s">
        <v>1100</v>
      </c>
      <c r="T1572" s="9" t="s">
        <v>39</v>
      </c>
      <c r="U1572" s="7">
        <v>0.37</v>
      </c>
      <c r="V1572" s="12">
        <f>C1572+2</f>
        <v>40538</v>
      </c>
      <c r="W1572">
        <f>IF(D1572=' Pivot Tables'!$A$4,1,0)</f>
        <v>0</v>
      </c>
      <c r="X1572">
        <f>IF(AND(LEFT(D1572,4)+1=LEFT(' Pivot Tables'!$A$4,4)+0,RIGHT(LEFT(D1572,7),2)=RIGHT(LEFT(' Pivot Tables'!$A$4,7),2)),1,0)</f>
        <v>0</v>
      </c>
      <c r="Y1572" s="6">
        <f>1/COUNTIF(Таблица1[Order ID],Таблица1[[#This Row],[Order ID]])</f>
        <v>0.33333333333333331</v>
      </c>
      <c r="Z1572" s="9">
        <f>1/COUNTIFS(Таблица1[Customer Name],Таблица1[[#This Row],[Customer Name]],Таблица1[Order-Year-Month],Таблица1[[#This Row],[Order-Year-Month]])</f>
        <v>0.33333333333333331</v>
      </c>
    </row>
    <row r="1573" spans="1:26" x14ac:dyDescent="0.2">
      <c r="A1573" s="6">
        <v>776</v>
      </c>
      <c r="B1573" s="7">
        <v>5538</v>
      </c>
      <c r="C1573" s="8">
        <f>DATE(2012,12,31)-738</f>
        <v>40536</v>
      </c>
      <c r="D1573" s="8" t="str">
        <f t="shared" si="32"/>
        <v>2010-12 (декабрь 2010)</v>
      </c>
      <c r="E1573" s="9" t="s">
        <v>78</v>
      </c>
      <c r="F1573" s="7">
        <v>13</v>
      </c>
      <c r="G1573" s="7">
        <v>1940.31</v>
      </c>
      <c r="H1573" s="7">
        <v>0.03</v>
      </c>
      <c r="I1573" s="9" t="s">
        <v>31</v>
      </c>
      <c r="J1573" s="10">
        <v>-668.18700000000001</v>
      </c>
      <c r="K1573" s="11">
        <v>146.05000000000001</v>
      </c>
      <c r="L1573" s="11">
        <v>80.2</v>
      </c>
      <c r="M1573" s="9" t="s">
        <v>1096</v>
      </c>
      <c r="N1573" s="6" t="s">
        <v>672</v>
      </c>
      <c r="O1573" s="6" t="s">
        <v>673</v>
      </c>
      <c r="P1573" s="9" t="s">
        <v>33</v>
      </c>
      <c r="Q1573" s="9" t="s">
        <v>49</v>
      </c>
      <c r="R1573" s="9" t="s">
        <v>83</v>
      </c>
      <c r="S1573" s="7" t="s">
        <v>1101</v>
      </c>
      <c r="T1573" s="9" t="s">
        <v>82</v>
      </c>
      <c r="U1573" s="7">
        <v>0.71</v>
      </c>
      <c r="V1573" s="12">
        <f>C1573+1</f>
        <v>40537</v>
      </c>
      <c r="W1573">
        <f>IF(D1573=' Pivot Tables'!$A$4,1,0)</f>
        <v>0</v>
      </c>
      <c r="X1573">
        <f>IF(AND(LEFT(D1573,4)+1=LEFT(' Pivot Tables'!$A$4,4)+0,RIGHT(LEFT(D1573,7),2)=RIGHT(LEFT(' Pivot Tables'!$A$4,7),2)),1,0)</f>
        <v>0</v>
      </c>
      <c r="Y1573" s="6">
        <f>1/COUNTIF(Таблица1[Order ID],Таблица1[[#This Row],[Order ID]])</f>
        <v>0.33333333333333331</v>
      </c>
      <c r="Z1573" s="9">
        <f>1/COUNTIFS(Таблица1[Customer Name],Таблица1[[#This Row],[Customer Name]],Таблица1[Order-Year-Month],Таблица1[[#This Row],[Order-Year-Month]])</f>
        <v>0.33333333333333331</v>
      </c>
    </row>
    <row r="1574" spans="1:26" x14ac:dyDescent="0.2">
      <c r="A1574" s="6">
        <v>777</v>
      </c>
      <c r="B1574" s="7">
        <v>5538</v>
      </c>
      <c r="C1574" s="8">
        <f>DATE(2012,12,31)-738</f>
        <v>40536</v>
      </c>
      <c r="D1574" s="8" t="str">
        <f t="shared" si="32"/>
        <v>2010-12 (декабрь 2010)</v>
      </c>
      <c r="E1574" s="9" t="s">
        <v>78</v>
      </c>
      <c r="F1574" s="7">
        <v>4</v>
      </c>
      <c r="G1574" s="7">
        <v>430.84800000000001</v>
      </c>
      <c r="H1574" s="7">
        <v>0.06</v>
      </c>
      <c r="I1574" s="9" t="s">
        <v>22</v>
      </c>
      <c r="J1574" s="10">
        <v>-492.76700000000005</v>
      </c>
      <c r="K1574" s="11">
        <v>125.99</v>
      </c>
      <c r="L1574" s="11">
        <v>5.63</v>
      </c>
      <c r="M1574" s="9" t="s">
        <v>1096</v>
      </c>
      <c r="N1574" s="6" t="s">
        <v>672</v>
      </c>
      <c r="O1574" s="6" t="s">
        <v>673</v>
      </c>
      <c r="P1574" s="9" t="s">
        <v>33</v>
      </c>
      <c r="Q1574" s="9" t="s">
        <v>42</v>
      </c>
      <c r="R1574" s="9" t="s">
        <v>43</v>
      </c>
      <c r="S1574" s="7" t="s">
        <v>481</v>
      </c>
      <c r="T1574" s="9" t="s">
        <v>39</v>
      </c>
      <c r="U1574" s="7">
        <v>0.6</v>
      </c>
      <c r="V1574" s="12">
        <f>C1574+3</f>
        <v>40539</v>
      </c>
      <c r="W1574">
        <f>IF(D1574=' Pivot Tables'!$A$4,1,0)</f>
        <v>0</v>
      </c>
      <c r="X1574">
        <f>IF(AND(LEFT(D1574,4)+1=LEFT(' Pivot Tables'!$A$4,4)+0,RIGHT(LEFT(D1574,7),2)=RIGHT(LEFT(' Pivot Tables'!$A$4,7),2)),1,0)</f>
        <v>0</v>
      </c>
      <c r="Y1574" s="6">
        <f>1/COUNTIF(Таблица1[Order ID],Таблица1[[#This Row],[Order ID]])</f>
        <v>0.33333333333333331</v>
      </c>
      <c r="Z1574" s="9">
        <f>1/COUNTIFS(Таблица1[Customer Name],Таблица1[[#This Row],[Customer Name]],Таблица1[Order-Year-Month],Таблица1[[#This Row],[Order-Year-Month]])</f>
        <v>0.33333333333333331</v>
      </c>
    </row>
    <row r="1575" spans="1:26" x14ac:dyDescent="0.2">
      <c r="A1575" s="6">
        <v>814</v>
      </c>
      <c r="B1575" s="7">
        <v>5863</v>
      </c>
      <c r="C1575" s="8">
        <f>DATE(2012,12,31)-771</f>
        <v>40503</v>
      </c>
      <c r="D1575" s="8" t="str">
        <f t="shared" si="32"/>
        <v>2010-11 (ноябрь 2010)</v>
      </c>
      <c r="E1575" s="9" t="s">
        <v>63</v>
      </c>
      <c r="F1575" s="7">
        <v>40</v>
      </c>
      <c r="G1575" s="7">
        <v>933.21</v>
      </c>
      <c r="H1575" s="7">
        <v>0.05</v>
      </c>
      <c r="I1575" s="9" t="s">
        <v>22</v>
      </c>
      <c r="J1575" s="10">
        <v>207.18</v>
      </c>
      <c r="K1575" s="11">
        <v>22.98</v>
      </c>
      <c r="L1575" s="11">
        <v>7.58</v>
      </c>
      <c r="M1575" s="9" t="s">
        <v>1102</v>
      </c>
      <c r="N1575" s="6" t="s">
        <v>672</v>
      </c>
      <c r="O1575" s="6" t="s">
        <v>673</v>
      </c>
      <c r="P1575" s="9" t="s">
        <v>41</v>
      </c>
      <c r="Q1575" s="9" t="s">
        <v>49</v>
      </c>
      <c r="R1575" s="9" t="s">
        <v>50</v>
      </c>
      <c r="S1575" s="7" t="s">
        <v>789</v>
      </c>
      <c r="T1575" s="9" t="s">
        <v>39</v>
      </c>
      <c r="U1575" s="7">
        <v>0.51</v>
      </c>
      <c r="V1575" s="12">
        <f>C1575+1</f>
        <v>40504</v>
      </c>
      <c r="W1575">
        <f>IF(D1575=' Pivot Tables'!$A$4,1,0)</f>
        <v>0</v>
      </c>
      <c r="X1575">
        <f>IF(AND(LEFT(D1575,4)+1=LEFT(' Pivot Tables'!$A$4,4)+0,RIGHT(LEFT(D1575,7),2)=RIGHT(LEFT(' Pivot Tables'!$A$4,7),2)),1,0)</f>
        <v>0</v>
      </c>
      <c r="Y1575" s="6">
        <f>1/COUNTIF(Таблица1[Order ID],Таблица1[[#This Row],[Order ID]])</f>
        <v>1</v>
      </c>
      <c r="Z1575" s="9">
        <f>1/COUNTIFS(Таблица1[Customer Name],Таблица1[[#This Row],[Customer Name]],Таблица1[Order-Year-Month],Таблица1[[#This Row],[Order-Year-Month]])</f>
        <v>1</v>
      </c>
    </row>
    <row r="1576" spans="1:26" x14ac:dyDescent="0.2">
      <c r="A1576" s="6">
        <v>997</v>
      </c>
      <c r="B1576" s="7">
        <v>7175</v>
      </c>
      <c r="C1576" s="8">
        <f>DATE(2012,12,31)-1058</f>
        <v>40216</v>
      </c>
      <c r="D1576" s="8" t="str">
        <f t="shared" si="32"/>
        <v>2010-02 (февраль 2010)</v>
      </c>
      <c r="E1576" s="9" t="s">
        <v>78</v>
      </c>
      <c r="F1576" s="7">
        <v>10</v>
      </c>
      <c r="G1576" s="7">
        <v>748.25</v>
      </c>
      <c r="H1576" s="7">
        <v>0.05</v>
      </c>
      <c r="I1576" s="9" t="s">
        <v>31</v>
      </c>
      <c r="J1576" s="10">
        <v>-86.99</v>
      </c>
      <c r="K1576" s="11">
        <v>70.98</v>
      </c>
      <c r="L1576" s="11">
        <v>26.74</v>
      </c>
      <c r="M1576" s="9" t="s">
        <v>1094</v>
      </c>
      <c r="N1576" s="6" t="s">
        <v>672</v>
      </c>
      <c r="O1576" s="6" t="s">
        <v>673</v>
      </c>
      <c r="P1576" s="9" t="s">
        <v>41</v>
      </c>
      <c r="Q1576" s="9" t="s">
        <v>49</v>
      </c>
      <c r="R1576" s="9" t="s">
        <v>80</v>
      </c>
      <c r="S1576" s="7" t="s">
        <v>675</v>
      </c>
      <c r="T1576" s="9" t="s">
        <v>82</v>
      </c>
      <c r="U1576" s="7">
        <v>0.6</v>
      </c>
      <c r="V1576" s="12">
        <f>C1576+2</f>
        <v>40218</v>
      </c>
      <c r="W1576">
        <f>IF(D1576=' Pivot Tables'!$A$4,1,0)</f>
        <v>0</v>
      </c>
      <c r="X1576">
        <f>IF(AND(LEFT(D1576,4)+1=LEFT(' Pivot Tables'!$A$4,4)+0,RIGHT(LEFT(D1576,7),2)=RIGHT(LEFT(' Pivot Tables'!$A$4,7),2)),1,0)</f>
        <v>0</v>
      </c>
      <c r="Y1576" s="6">
        <f>1/COUNTIF(Таблица1[Order ID],Таблица1[[#This Row],[Order ID]])</f>
        <v>1</v>
      </c>
      <c r="Z1576" s="9">
        <f>1/COUNTIFS(Таблица1[Customer Name],Таблица1[[#This Row],[Customer Name]],Таблица1[Order-Year-Month],Таблица1[[#This Row],[Order-Year-Month]])</f>
        <v>1</v>
      </c>
    </row>
    <row r="1577" spans="1:26" x14ac:dyDescent="0.2">
      <c r="A1577" s="6">
        <v>1008</v>
      </c>
      <c r="B1577" s="7">
        <v>7364</v>
      </c>
      <c r="C1577" s="8">
        <f>DATE(2012,12,31)-1333</f>
        <v>39941</v>
      </c>
      <c r="D1577" s="8" t="str">
        <f t="shared" si="32"/>
        <v>2009-05 (май 2009)</v>
      </c>
      <c r="E1577" s="9" t="s">
        <v>30</v>
      </c>
      <c r="F1577" s="7">
        <v>15</v>
      </c>
      <c r="G1577" s="7">
        <v>260.39</v>
      </c>
      <c r="H1577" s="7">
        <v>0.09</v>
      </c>
      <c r="I1577" s="9" t="s">
        <v>22</v>
      </c>
      <c r="J1577" s="10">
        <v>-48.57</v>
      </c>
      <c r="K1577" s="11">
        <v>16.98</v>
      </c>
      <c r="L1577" s="11">
        <v>12.39</v>
      </c>
      <c r="M1577" s="9" t="s">
        <v>1103</v>
      </c>
      <c r="N1577" s="6" t="s">
        <v>672</v>
      </c>
      <c r="O1577" s="6" t="s">
        <v>673</v>
      </c>
      <c r="P1577" s="9" t="s">
        <v>41</v>
      </c>
      <c r="Q1577" s="9" t="s">
        <v>26</v>
      </c>
      <c r="R1577" s="9" t="s">
        <v>76</v>
      </c>
      <c r="S1577" s="7" t="s">
        <v>478</v>
      </c>
      <c r="T1577" s="9" t="s">
        <v>39</v>
      </c>
      <c r="U1577" s="7">
        <v>0.35</v>
      </c>
      <c r="V1577" s="12">
        <f>C1577+2</f>
        <v>39943</v>
      </c>
      <c r="W1577">
        <f>IF(D1577=' Pivot Tables'!$A$4,1,0)</f>
        <v>0</v>
      </c>
      <c r="X1577">
        <f>IF(AND(LEFT(D1577,4)+1=LEFT(' Pivot Tables'!$A$4,4)+0,RIGHT(LEFT(D1577,7),2)=RIGHT(LEFT(' Pivot Tables'!$A$4,7),2)),1,0)</f>
        <v>0</v>
      </c>
      <c r="Y1577" s="6">
        <f>1/COUNTIF(Таблица1[Order ID],Таблица1[[#This Row],[Order ID]])</f>
        <v>1</v>
      </c>
      <c r="Z1577" s="9">
        <f>1/COUNTIFS(Таблица1[Customer Name],Таблица1[[#This Row],[Customer Name]],Таблица1[Order-Year-Month],Таблица1[[#This Row],[Order-Year-Month]])</f>
        <v>1</v>
      </c>
    </row>
    <row r="1578" spans="1:26" x14ac:dyDescent="0.2">
      <c r="A1578" s="6">
        <v>1068</v>
      </c>
      <c r="B1578" s="7">
        <v>7878</v>
      </c>
      <c r="C1578" s="8">
        <f>DATE(2012,12,31)-610</f>
        <v>40664</v>
      </c>
      <c r="D1578" s="8" t="str">
        <f t="shared" si="32"/>
        <v>2011-05 (май 2011)</v>
      </c>
      <c r="E1578" s="9" t="s">
        <v>78</v>
      </c>
      <c r="F1578" s="7">
        <v>50</v>
      </c>
      <c r="G1578" s="7">
        <v>3904.12</v>
      </c>
      <c r="H1578" s="7">
        <v>7.0000000000000007E-2</v>
      </c>
      <c r="I1578" s="9" t="s">
        <v>31</v>
      </c>
      <c r="J1578" s="10">
        <v>-1508.46</v>
      </c>
      <c r="K1578" s="11">
        <v>81.94</v>
      </c>
      <c r="L1578" s="11">
        <v>55.81</v>
      </c>
      <c r="M1578" s="9" t="s">
        <v>1089</v>
      </c>
      <c r="N1578" s="6" t="s">
        <v>672</v>
      </c>
      <c r="O1578" s="6" t="s">
        <v>673</v>
      </c>
      <c r="P1578" s="9" t="s">
        <v>41</v>
      </c>
      <c r="Q1578" s="9" t="s">
        <v>49</v>
      </c>
      <c r="R1578" s="9" t="s">
        <v>80</v>
      </c>
      <c r="S1578" s="7" t="s">
        <v>1104</v>
      </c>
      <c r="T1578" s="9" t="s">
        <v>82</v>
      </c>
      <c r="U1578" s="7">
        <v>0.6</v>
      </c>
      <c r="V1578" s="12">
        <f>C1578+5</f>
        <v>40669</v>
      </c>
      <c r="W1578">
        <f>IF(D1578=' Pivot Tables'!$A$4,1,0)</f>
        <v>0</v>
      </c>
      <c r="X1578">
        <f>IF(AND(LEFT(D1578,4)+1=LEFT(' Pivot Tables'!$A$4,4)+0,RIGHT(LEFT(D1578,7),2)=RIGHT(LEFT(' Pivot Tables'!$A$4,7),2)),1,0)</f>
        <v>0</v>
      </c>
      <c r="Y1578" s="6">
        <f>1/COUNTIF(Таблица1[Order ID],Таблица1[[#This Row],[Order ID]])</f>
        <v>0.33333333333333331</v>
      </c>
      <c r="Z1578" s="9">
        <f>1/COUNTIFS(Таблица1[Customer Name],Таблица1[[#This Row],[Customer Name]],Таблица1[Order-Year-Month],Таблица1[[#This Row],[Order-Year-Month]])</f>
        <v>0.33333333333333331</v>
      </c>
    </row>
    <row r="1579" spans="1:26" x14ac:dyDescent="0.2">
      <c r="A1579" s="6">
        <v>1069</v>
      </c>
      <c r="B1579" s="7">
        <v>7878</v>
      </c>
      <c r="C1579" s="8">
        <f>DATE(2012,12,31)-610</f>
        <v>40664</v>
      </c>
      <c r="D1579" s="8" t="str">
        <f t="shared" si="32"/>
        <v>2011-05 (май 2011)</v>
      </c>
      <c r="E1579" s="9" t="s">
        <v>78</v>
      </c>
      <c r="F1579" s="7">
        <v>41</v>
      </c>
      <c r="G1579" s="7">
        <v>343.64</v>
      </c>
      <c r="H1579" s="7">
        <v>0.06</v>
      </c>
      <c r="I1579" s="9" t="s">
        <v>22</v>
      </c>
      <c r="J1579" s="10">
        <v>13.29</v>
      </c>
      <c r="K1579" s="11">
        <v>8.57</v>
      </c>
      <c r="L1579" s="11">
        <v>3.44</v>
      </c>
      <c r="M1579" s="9" t="s">
        <v>1089</v>
      </c>
      <c r="N1579" s="6" t="s">
        <v>672</v>
      </c>
      <c r="O1579" s="6" t="s">
        <v>673</v>
      </c>
      <c r="P1579" s="9" t="s">
        <v>41</v>
      </c>
      <c r="Q1579" s="9" t="s">
        <v>49</v>
      </c>
      <c r="R1579" s="9" t="s">
        <v>50</v>
      </c>
      <c r="S1579" s="7" t="s">
        <v>1105</v>
      </c>
      <c r="T1579" s="9" t="s">
        <v>52</v>
      </c>
      <c r="U1579" s="7">
        <v>0.49</v>
      </c>
      <c r="V1579" s="12">
        <f>C1579+2</f>
        <v>40666</v>
      </c>
      <c r="W1579">
        <f>IF(D1579=' Pivot Tables'!$A$4,1,0)</f>
        <v>0</v>
      </c>
      <c r="X1579">
        <f>IF(AND(LEFT(D1579,4)+1=LEFT(' Pivot Tables'!$A$4,4)+0,RIGHT(LEFT(D1579,7),2)=RIGHT(LEFT(' Pivot Tables'!$A$4,7),2)),1,0)</f>
        <v>0</v>
      </c>
      <c r="Y1579" s="6">
        <f>1/COUNTIF(Таблица1[Order ID],Таблица1[[#This Row],[Order ID]])</f>
        <v>0.33333333333333331</v>
      </c>
      <c r="Z1579" s="9">
        <f>1/COUNTIFS(Таблица1[Customer Name],Таблица1[[#This Row],[Customer Name]],Таблица1[Order-Year-Month],Таблица1[[#This Row],[Order-Year-Month]])</f>
        <v>0.33333333333333331</v>
      </c>
    </row>
    <row r="1580" spans="1:26" x14ac:dyDescent="0.2">
      <c r="A1580" s="6">
        <v>1070</v>
      </c>
      <c r="B1580" s="7">
        <v>7878</v>
      </c>
      <c r="C1580" s="8">
        <f>DATE(2012,12,31)-610</f>
        <v>40664</v>
      </c>
      <c r="D1580" s="8" t="str">
        <f t="shared" si="32"/>
        <v>2011-05 (май 2011)</v>
      </c>
      <c r="E1580" s="9" t="s">
        <v>21</v>
      </c>
      <c r="F1580" s="7">
        <v>42</v>
      </c>
      <c r="G1580" s="7">
        <v>256.64</v>
      </c>
      <c r="H1580" s="7">
        <v>0.03</v>
      </c>
      <c r="I1580" s="9" t="s">
        <v>22</v>
      </c>
      <c r="J1580" s="10">
        <v>-28.29</v>
      </c>
      <c r="K1580" s="11">
        <v>5.81</v>
      </c>
      <c r="L1580" s="11">
        <v>3.37</v>
      </c>
      <c r="M1580" s="9" t="s">
        <v>1089</v>
      </c>
      <c r="N1580" s="6" t="s">
        <v>672</v>
      </c>
      <c r="O1580" s="6" t="s">
        <v>673</v>
      </c>
      <c r="P1580" s="9" t="s">
        <v>41</v>
      </c>
      <c r="Q1580" s="9" t="s">
        <v>26</v>
      </c>
      <c r="R1580" s="9" t="s">
        <v>66</v>
      </c>
      <c r="S1580" s="7" t="s">
        <v>792</v>
      </c>
      <c r="T1580" s="9" t="s">
        <v>68</v>
      </c>
      <c r="U1580" s="7">
        <v>0.54</v>
      </c>
      <c r="V1580" s="12">
        <f>C1580+7</f>
        <v>40671</v>
      </c>
      <c r="W1580">
        <f>IF(D1580=' Pivot Tables'!$A$4,1,0)</f>
        <v>0</v>
      </c>
      <c r="X1580">
        <f>IF(AND(LEFT(D1580,4)+1=LEFT(' Pivot Tables'!$A$4,4)+0,RIGHT(LEFT(D1580,7),2)=RIGHT(LEFT(' Pivot Tables'!$A$4,7),2)),1,0)</f>
        <v>0</v>
      </c>
      <c r="Y1580" s="6">
        <f>1/COUNTIF(Таблица1[Order ID],Таблица1[[#This Row],[Order ID]])</f>
        <v>0.33333333333333331</v>
      </c>
      <c r="Z1580" s="9">
        <f>1/COUNTIFS(Таблица1[Customer Name],Таблица1[[#This Row],[Customer Name]],Таблица1[Order-Year-Month],Таблица1[[#This Row],[Order-Year-Month]])</f>
        <v>0.33333333333333331</v>
      </c>
    </row>
    <row r="1581" spans="1:26" x14ac:dyDescent="0.2">
      <c r="A1581" s="6">
        <v>1171</v>
      </c>
      <c r="B1581" s="7">
        <v>8551</v>
      </c>
      <c r="C1581" s="8">
        <f>DATE(2012,12,31)-1251</f>
        <v>40023</v>
      </c>
      <c r="D1581" s="8" t="str">
        <f t="shared" si="32"/>
        <v>2009-07 (июль 2009)</v>
      </c>
      <c r="E1581" s="9" t="s">
        <v>78</v>
      </c>
      <c r="F1581" s="7">
        <v>25</v>
      </c>
      <c r="G1581" s="7">
        <v>185.64</v>
      </c>
      <c r="H1581" s="7">
        <v>0.1</v>
      </c>
      <c r="I1581" s="9" t="s">
        <v>22</v>
      </c>
      <c r="J1581" s="10">
        <v>-69.873999999999995</v>
      </c>
      <c r="K1581" s="11">
        <v>7.45</v>
      </c>
      <c r="L1581" s="11">
        <v>6.28</v>
      </c>
      <c r="M1581" s="9" t="s">
        <v>1089</v>
      </c>
      <c r="N1581" s="6" t="s">
        <v>672</v>
      </c>
      <c r="O1581" s="6" t="s">
        <v>673</v>
      </c>
      <c r="P1581" s="9" t="s">
        <v>41</v>
      </c>
      <c r="Q1581" s="9" t="s">
        <v>26</v>
      </c>
      <c r="R1581" s="9" t="s">
        <v>37</v>
      </c>
      <c r="S1581" s="7" t="s">
        <v>1092</v>
      </c>
      <c r="T1581" s="9" t="s">
        <v>39</v>
      </c>
      <c r="U1581" s="7">
        <v>0.4</v>
      </c>
      <c r="V1581" s="12">
        <f>C1581+3</f>
        <v>40026</v>
      </c>
      <c r="W1581">
        <f>IF(D1581=' Pivot Tables'!$A$4,1,0)</f>
        <v>0</v>
      </c>
      <c r="X1581">
        <f>IF(AND(LEFT(D1581,4)+1=LEFT(' Pivot Tables'!$A$4,4)+0,RIGHT(LEFT(D1581,7),2)=RIGHT(LEFT(' Pivot Tables'!$A$4,7),2)),1,0)</f>
        <v>0</v>
      </c>
      <c r="Y1581" s="6">
        <f>1/COUNTIF(Таблица1[Order ID],Таблица1[[#This Row],[Order ID]])</f>
        <v>0.5</v>
      </c>
      <c r="Z1581" s="9">
        <f>1/COUNTIFS(Таблица1[Customer Name],Таблица1[[#This Row],[Customer Name]],Таблица1[Order-Year-Month],Таблица1[[#This Row],[Order-Year-Month]])</f>
        <v>0.33333333333333331</v>
      </c>
    </row>
    <row r="1582" spans="1:26" x14ac:dyDescent="0.2">
      <c r="A1582" s="6">
        <v>1172</v>
      </c>
      <c r="B1582" s="7">
        <v>8551</v>
      </c>
      <c r="C1582" s="8">
        <f>DATE(2012,12,31)-1251</f>
        <v>40023</v>
      </c>
      <c r="D1582" s="8" t="str">
        <f t="shared" si="32"/>
        <v>2009-07 (июль 2009)</v>
      </c>
      <c r="E1582" s="9" t="s">
        <v>78</v>
      </c>
      <c r="F1582" s="7">
        <v>34</v>
      </c>
      <c r="G1582" s="7">
        <v>225.98</v>
      </c>
      <c r="H1582" s="7">
        <v>0.01</v>
      </c>
      <c r="I1582" s="9" t="s">
        <v>22</v>
      </c>
      <c r="J1582" s="10">
        <v>-135.74</v>
      </c>
      <c r="K1582" s="11">
        <v>6.48</v>
      </c>
      <c r="L1582" s="11">
        <v>7.86</v>
      </c>
      <c r="M1582" s="9" t="s">
        <v>1089</v>
      </c>
      <c r="N1582" s="6" t="s">
        <v>672</v>
      </c>
      <c r="O1582" s="6" t="s">
        <v>673</v>
      </c>
      <c r="P1582" s="9" t="s">
        <v>41</v>
      </c>
      <c r="Q1582" s="9" t="s">
        <v>26</v>
      </c>
      <c r="R1582" s="9" t="s">
        <v>61</v>
      </c>
      <c r="S1582" s="7" t="s">
        <v>153</v>
      </c>
      <c r="T1582" s="9" t="s">
        <v>39</v>
      </c>
      <c r="U1582" s="7">
        <v>0.37</v>
      </c>
      <c r="V1582" s="12">
        <f>C1582+2</f>
        <v>40025</v>
      </c>
      <c r="W1582">
        <f>IF(D1582=' Pivot Tables'!$A$4,1,0)</f>
        <v>0</v>
      </c>
      <c r="X1582">
        <f>IF(AND(LEFT(D1582,4)+1=LEFT(' Pivot Tables'!$A$4,4)+0,RIGHT(LEFT(D1582,7),2)=RIGHT(LEFT(' Pivot Tables'!$A$4,7),2)),1,0)</f>
        <v>0</v>
      </c>
      <c r="Y1582" s="6">
        <f>1/COUNTIF(Таблица1[Order ID],Таблица1[[#This Row],[Order ID]])</f>
        <v>0.5</v>
      </c>
      <c r="Z1582" s="9">
        <f>1/COUNTIFS(Таблица1[Customer Name],Таблица1[[#This Row],[Customer Name]],Таблица1[Order-Year-Month],Таблица1[[#This Row],[Order-Year-Month]])</f>
        <v>0.33333333333333331</v>
      </c>
    </row>
    <row r="1583" spans="1:26" x14ac:dyDescent="0.2">
      <c r="A1583" s="6">
        <v>1207</v>
      </c>
      <c r="B1583" s="7">
        <v>8834</v>
      </c>
      <c r="C1583" s="8">
        <f>DATE(2012,12,31)-784</f>
        <v>40490</v>
      </c>
      <c r="D1583" s="8" t="str">
        <f t="shared" si="32"/>
        <v>2010-11 (ноябрь 2010)</v>
      </c>
      <c r="E1583" s="9" t="s">
        <v>30</v>
      </c>
      <c r="F1583" s="7">
        <v>1</v>
      </c>
      <c r="G1583" s="7">
        <v>16.73</v>
      </c>
      <c r="H1583" s="7">
        <v>0.08</v>
      </c>
      <c r="I1583" s="9" t="s">
        <v>22</v>
      </c>
      <c r="J1583" s="10">
        <v>-6.96</v>
      </c>
      <c r="K1583" s="11">
        <v>12.64</v>
      </c>
      <c r="L1583" s="11">
        <v>4.9800000000000004</v>
      </c>
      <c r="M1583" s="9" t="s">
        <v>1106</v>
      </c>
      <c r="N1583" s="6" t="s">
        <v>672</v>
      </c>
      <c r="O1583" s="6" t="s">
        <v>673</v>
      </c>
      <c r="P1583" s="9" t="s">
        <v>33</v>
      </c>
      <c r="Q1583" s="9" t="s">
        <v>49</v>
      </c>
      <c r="R1583" s="9" t="s">
        <v>50</v>
      </c>
      <c r="S1583" s="7" t="s">
        <v>997</v>
      </c>
      <c r="T1583" s="9" t="s">
        <v>52</v>
      </c>
      <c r="U1583" s="7">
        <v>0.48</v>
      </c>
      <c r="V1583" s="12">
        <f>C1583+1</f>
        <v>40491</v>
      </c>
      <c r="W1583">
        <f>IF(D1583=' Pivot Tables'!$A$4,1,0)</f>
        <v>0</v>
      </c>
      <c r="X1583">
        <f>IF(AND(LEFT(D1583,4)+1=LEFT(' Pivot Tables'!$A$4,4)+0,RIGHT(LEFT(D1583,7),2)=RIGHT(LEFT(' Pivot Tables'!$A$4,7),2)),1,0)</f>
        <v>0</v>
      </c>
      <c r="Y1583" s="6">
        <f>1/COUNTIF(Таблица1[Order ID],Таблица1[[#This Row],[Order ID]])</f>
        <v>0.5</v>
      </c>
      <c r="Z1583" s="9">
        <f>1/COUNTIFS(Таблица1[Customer Name],Таблица1[[#This Row],[Customer Name]],Таблица1[Order-Year-Month],Таблица1[[#This Row],[Order-Year-Month]])</f>
        <v>0.5</v>
      </c>
    </row>
    <row r="1584" spans="1:26" x14ac:dyDescent="0.2">
      <c r="A1584" s="6">
        <v>1261</v>
      </c>
      <c r="B1584" s="7">
        <v>9155</v>
      </c>
      <c r="C1584" s="8">
        <f>DATE(2012,12,31)-123</f>
        <v>41151</v>
      </c>
      <c r="D1584" s="8" t="str">
        <f t="shared" si="32"/>
        <v>2012-08 (август 2012)</v>
      </c>
      <c r="E1584" s="9" t="s">
        <v>78</v>
      </c>
      <c r="F1584" s="7">
        <v>17</v>
      </c>
      <c r="G1584" s="7">
        <v>518.79999999999995</v>
      </c>
      <c r="H1584" s="7">
        <v>0.1</v>
      </c>
      <c r="I1584" s="9" t="s">
        <v>22</v>
      </c>
      <c r="J1584" s="10">
        <v>54.629499999999993</v>
      </c>
      <c r="K1584" s="11">
        <v>30.98</v>
      </c>
      <c r="L1584" s="11">
        <v>11.63</v>
      </c>
      <c r="M1584" s="9" t="s">
        <v>1106</v>
      </c>
      <c r="N1584" s="6" t="s">
        <v>672</v>
      </c>
      <c r="O1584" s="6" t="s">
        <v>673</v>
      </c>
      <c r="P1584" s="9" t="s">
        <v>33</v>
      </c>
      <c r="Q1584" s="9" t="s">
        <v>26</v>
      </c>
      <c r="R1584" s="9" t="s">
        <v>37</v>
      </c>
      <c r="S1584" s="7" t="s">
        <v>228</v>
      </c>
      <c r="T1584" s="9" t="s">
        <v>39</v>
      </c>
      <c r="U1584" s="7">
        <v>0.37</v>
      </c>
      <c r="V1584" s="12">
        <f>C1584+1</f>
        <v>41152</v>
      </c>
      <c r="W1584">
        <f>IF(D1584=' Pivot Tables'!$A$4,1,0)</f>
        <v>0</v>
      </c>
      <c r="X1584">
        <f>IF(AND(LEFT(D1584,4)+1=LEFT(' Pivot Tables'!$A$4,4)+0,RIGHT(LEFT(D1584,7),2)=RIGHT(LEFT(' Pivot Tables'!$A$4,7),2)),1,0)</f>
        <v>0</v>
      </c>
      <c r="Y1584" s="6">
        <f>1/COUNTIF(Таблица1[Order ID],Таблица1[[#This Row],[Order ID]])</f>
        <v>1</v>
      </c>
      <c r="Z1584" s="9">
        <f>1/COUNTIFS(Таблица1[Customer Name],Таблица1[[#This Row],[Customer Name]],Таблица1[Order-Year-Month],Таблица1[[#This Row],[Order-Year-Month]])</f>
        <v>1</v>
      </c>
    </row>
    <row r="1585" spans="1:26" x14ac:dyDescent="0.2">
      <c r="A1585" s="6">
        <v>1325</v>
      </c>
      <c r="B1585" s="7">
        <v>9668</v>
      </c>
      <c r="C1585" s="8">
        <f>DATE(2012,12,31)-1212</f>
        <v>40062</v>
      </c>
      <c r="D1585" s="8" t="str">
        <f t="shared" si="32"/>
        <v>2009-09 (сентябрь 2009)</v>
      </c>
      <c r="E1585" s="9" t="s">
        <v>21</v>
      </c>
      <c r="F1585" s="7">
        <v>10</v>
      </c>
      <c r="G1585" s="7">
        <v>42.67</v>
      </c>
      <c r="H1585" s="7">
        <v>0.06</v>
      </c>
      <c r="I1585" s="9" t="s">
        <v>22</v>
      </c>
      <c r="J1585" s="10">
        <v>-12.719000000000001</v>
      </c>
      <c r="K1585" s="11">
        <v>4.18</v>
      </c>
      <c r="L1585" s="11">
        <v>2.99</v>
      </c>
      <c r="M1585" s="9" t="s">
        <v>1098</v>
      </c>
      <c r="N1585" s="6" t="s">
        <v>672</v>
      </c>
      <c r="O1585" s="6" t="s">
        <v>673</v>
      </c>
      <c r="P1585" s="9" t="s">
        <v>25</v>
      </c>
      <c r="Q1585" s="9" t="s">
        <v>26</v>
      </c>
      <c r="R1585" s="9" t="s">
        <v>37</v>
      </c>
      <c r="S1585" s="7" t="s">
        <v>1107</v>
      </c>
      <c r="T1585" s="9" t="s">
        <v>39</v>
      </c>
      <c r="U1585" s="7">
        <v>0.37</v>
      </c>
      <c r="V1585" s="12">
        <f>C1585+2</f>
        <v>40064</v>
      </c>
      <c r="W1585">
        <f>IF(D1585=' Pivot Tables'!$A$4,1,0)</f>
        <v>0</v>
      </c>
      <c r="X1585">
        <f>IF(AND(LEFT(D1585,4)+1=LEFT(' Pivot Tables'!$A$4,4)+0,RIGHT(LEFT(D1585,7),2)=RIGHT(LEFT(' Pivot Tables'!$A$4,7),2)),1,0)</f>
        <v>0</v>
      </c>
      <c r="Y1585" s="6">
        <f>1/COUNTIF(Таблица1[Order ID],Таблица1[[#This Row],[Order ID]])</f>
        <v>1</v>
      </c>
      <c r="Z1585" s="9">
        <f>1/COUNTIFS(Таблица1[Customer Name],Таблица1[[#This Row],[Customer Name]],Таблица1[Order-Year-Month],Таблица1[[#This Row],[Order-Year-Month]])</f>
        <v>1</v>
      </c>
    </row>
    <row r="1586" spans="1:26" x14ac:dyDescent="0.2">
      <c r="A1586" s="6">
        <v>1408</v>
      </c>
      <c r="B1586" s="7">
        <v>10242</v>
      </c>
      <c r="C1586" s="8">
        <f>DATE(2012,12,31)-750</f>
        <v>40524</v>
      </c>
      <c r="D1586" s="8" t="str">
        <f t="shared" si="32"/>
        <v>2010-12 (декабрь 2010)</v>
      </c>
      <c r="E1586" s="9" t="s">
        <v>63</v>
      </c>
      <c r="F1586" s="7">
        <v>32</v>
      </c>
      <c r="G1586" s="7">
        <v>690.88</v>
      </c>
      <c r="H1586" s="7">
        <v>0.08</v>
      </c>
      <c r="I1586" s="9" t="s">
        <v>22</v>
      </c>
      <c r="J1586" s="10">
        <v>119.25</v>
      </c>
      <c r="K1586" s="11">
        <v>22.98</v>
      </c>
      <c r="L1586" s="11">
        <v>7.58</v>
      </c>
      <c r="M1586" s="9" t="s">
        <v>1108</v>
      </c>
      <c r="N1586" s="6" t="s">
        <v>672</v>
      </c>
      <c r="O1586" s="6" t="s">
        <v>673</v>
      </c>
      <c r="P1586" s="9" t="s">
        <v>60</v>
      </c>
      <c r="Q1586" s="9" t="s">
        <v>49</v>
      </c>
      <c r="R1586" s="9" t="s">
        <v>50</v>
      </c>
      <c r="S1586" s="7" t="s">
        <v>789</v>
      </c>
      <c r="T1586" s="9" t="s">
        <v>39</v>
      </c>
      <c r="U1586" s="7">
        <v>0.51</v>
      </c>
      <c r="V1586" s="12">
        <f>C1586+1</f>
        <v>40525</v>
      </c>
      <c r="W1586">
        <f>IF(D1586=' Pivot Tables'!$A$4,1,0)</f>
        <v>0</v>
      </c>
      <c r="X1586">
        <f>IF(AND(LEFT(D1586,4)+1=LEFT(' Pivot Tables'!$A$4,4)+0,RIGHT(LEFT(D1586,7),2)=RIGHT(LEFT(' Pivot Tables'!$A$4,7),2)),1,0)</f>
        <v>0</v>
      </c>
      <c r="Y1586" s="6">
        <f>1/COUNTIF(Таблица1[Order ID],Таблица1[[#This Row],[Order ID]])</f>
        <v>1</v>
      </c>
      <c r="Z1586" s="9">
        <f>1/COUNTIFS(Таблица1[Customer Name],Таблица1[[#This Row],[Customer Name]],Таблица1[Order-Year-Month],Таблица1[[#This Row],[Order-Year-Month]])</f>
        <v>0.16666666666666666</v>
      </c>
    </row>
    <row r="1587" spans="1:26" x14ac:dyDescent="0.2">
      <c r="A1587" s="6">
        <v>1711</v>
      </c>
      <c r="B1587" s="7">
        <v>12292</v>
      </c>
      <c r="C1587" s="8">
        <f>DATE(2012,12,31)-212</f>
        <v>41062</v>
      </c>
      <c r="D1587" s="8" t="str">
        <f t="shared" si="32"/>
        <v>2012-06 (июнь 2012)</v>
      </c>
      <c r="E1587" s="9" t="s">
        <v>45</v>
      </c>
      <c r="F1587" s="7">
        <v>32</v>
      </c>
      <c r="G1587" s="7">
        <v>824.24</v>
      </c>
      <c r="H1587" s="7">
        <v>0.1</v>
      </c>
      <c r="I1587" s="9" t="s">
        <v>22</v>
      </c>
      <c r="J1587" s="10">
        <v>-127.23</v>
      </c>
      <c r="K1587" s="11">
        <v>26.31</v>
      </c>
      <c r="L1587" s="11">
        <v>5.89</v>
      </c>
      <c r="M1587" s="9" t="s">
        <v>1106</v>
      </c>
      <c r="N1587" s="6" t="s">
        <v>672</v>
      </c>
      <c r="O1587" s="6" t="s">
        <v>673</v>
      </c>
      <c r="P1587" s="9" t="s">
        <v>33</v>
      </c>
      <c r="Q1587" s="9" t="s">
        <v>42</v>
      </c>
      <c r="R1587" s="9" t="s">
        <v>70</v>
      </c>
      <c r="S1587" s="7" t="s">
        <v>420</v>
      </c>
      <c r="T1587" s="9" t="s">
        <v>39</v>
      </c>
      <c r="U1587" s="7">
        <v>0.75</v>
      </c>
      <c r="V1587" s="12">
        <f>C1587+0</f>
        <v>41062</v>
      </c>
      <c r="W1587">
        <f>IF(D1587=' Pivot Tables'!$A$4,1,0)</f>
        <v>0</v>
      </c>
      <c r="X1587">
        <f>IF(AND(LEFT(D1587,4)+1=LEFT(' Pivot Tables'!$A$4,4)+0,RIGHT(LEFT(D1587,7),2)=RIGHT(LEFT(' Pivot Tables'!$A$4,7),2)),1,0)</f>
        <v>0</v>
      </c>
      <c r="Y1587" s="6">
        <f>1/COUNTIF(Таблица1[Order ID],Таблица1[[#This Row],[Order ID]])</f>
        <v>1</v>
      </c>
      <c r="Z1587" s="9">
        <f>1/COUNTIFS(Таблица1[Customer Name],Таблица1[[#This Row],[Customer Name]],Таблица1[Order-Year-Month],Таблица1[[#This Row],[Order-Year-Month]])</f>
        <v>1</v>
      </c>
    </row>
    <row r="1588" spans="1:26" x14ac:dyDescent="0.2">
      <c r="A1588" s="6">
        <v>2035</v>
      </c>
      <c r="B1588" s="7">
        <v>14503</v>
      </c>
      <c r="C1588" s="8">
        <f>DATE(2012,12,31)-695</f>
        <v>40579</v>
      </c>
      <c r="D1588" s="8" t="str">
        <f t="shared" si="32"/>
        <v>2011-02 (февраль 2011)</v>
      </c>
      <c r="E1588" s="9" t="s">
        <v>45</v>
      </c>
      <c r="F1588" s="7">
        <v>14</v>
      </c>
      <c r="G1588" s="7">
        <v>438.47</v>
      </c>
      <c r="H1588" s="7">
        <v>0.02</v>
      </c>
      <c r="I1588" s="9" t="s">
        <v>56</v>
      </c>
      <c r="J1588" s="10">
        <v>157.88749999999999</v>
      </c>
      <c r="K1588" s="11">
        <v>30.56</v>
      </c>
      <c r="L1588" s="11">
        <v>2.99</v>
      </c>
      <c r="M1588" s="9" t="s">
        <v>1099</v>
      </c>
      <c r="N1588" s="6" t="s">
        <v>672</v>
      </c>
      <c r="O1588" s="6" t="s">
        <v>673</v>
      </c>
      <c r="P1588" s="9" t="s">
        <v>41</v>
      </c>
      <c r="Q1588" s="9" t="s">
        <v>26</v>
      </c>
      <c r="R1588" s="9" t="s">
        <v>37</v>
      </c>
      <c r="S1588" s="7" t="s">
        <v>250</v>
      </c>
      <c r="T1588" s="9" t="s">
        <v>39</v>
      </c>
      <c r="U1588" s="7">
        <v>0.35</v>
      </c>
      <c r="V1588" s="12">
        <f>C1588+1</f>
        <v>40580</v>
      </c>
      <c r="W1588">
        <f>IF(D1588=' Pivot Tables'!$A$4,1,0)</f>
        <v>0</v>
      </c>
      <c r="X1588">
        <f>IF(AND(LEFT(D1588,4)+1=LEFT(' Pivot Tables'!$A$4,4)+0,RIGHT(LEFT(D1588,7),2)=RIGHT(LEFT(' Pivot Tables'!$A$4,7),2)),1,0)</f>
        <v>0</v>
      </c>
      <c r="Y1588" s="6">
        <f>1/COUNTIF(Таблица1[Order ID],Таблица1[[#This Row],[Order ID]])</f>
        <v>1</v>
      </c>
      <c r="Z1588" s="9">
        <f>1/COUNTIFS(Таблица1[Customer Name],Таблица1[[#This Row],[Customer Name]],Таблица1[Order-Year-Month],Таблица1[[#This Row],[Order-Year-Month]])</f>
        <v>1</v>
      </c>
    </row>
    <row r="1589" spans="1:26" x14ac:dyDescent="0.2">
      <c r="A1589" s="6">
        <v>2118</v>
      </c>
      <c r="B1589" s="7">
        <v>15109</v>
      </c>
      <c r="C1589" s="8">
        <f>DATE(2012,12,31)-748</f>
        <v>40526</v>
      </c>
      <c r="D1589" s="8" t="str">
        <f t="shared" si="32"/>
        <v>2010-12 (декабрь 2010)</v>
      </c>
      <c r="E1589" s="9" t="s">
        <v>45</v>
      </c>
      <c r="F1589" s="7">
        <v>11</v>
      </c>
      <c r="G1589" s="7">
        <v>230.72</v>
      </c>
      <c r="H1589" s="7">
        <v>0.08</v>
      </c>
      <c r="I1589" s="9" t="s">
        <v>22</v>
      </c>
      <c r="J1589" s="10">
        <v>-68.760000000000005</v>
      </c>
      <c r="K1589" s="11">
        <v>20.95</v>
      </c>
      <c r="L1589" s="11">
        <v>5.99</v>
      </c>
      <c r="M1589" s="9" t="s">
        <v>1108</v>
      </c>
      <c r="N1589" s="6" t="s">
        <v>672</v>
      </c>
      <c r="O1589" s="6" t="s">
        <v>673</v>
      </c>
      <c r="P1589" s="9" t="s">
        <v>60</v>
      </c>
      <c r="Q1589" s="9" t="s">
        <v>42</v>
      </c>
      <c r="R1589" s="9" t="s">
        <v>70</v>
      </c>
      <c r="S1589" s="7" t="s">
        <v>231</v>
      </c>
      <c r="T1589" s="9" t="s">
        <v>39</v>
      </c>
      <c r="U1589" s="7">
        <v>0.65</v>
      </c>
      <c r="V1589" s="12">
        <f>C1589+3</f>
        <v>40529</v>
      </c>
      <c r="W1589">
        <f>IF(D1589=' Pivot Tables'!$A$4,1,0)</f>
        <v>0</v>
      </c>
      <c r="X1589">
        <f>IF(AND(LEFT(D1589,4)+1=LEFT(' Pivot Tables'!$A$4,4)+0,RIGHT(LEFT(D1589,7),2)=RIGHT(LEFT(' Pivot Tables'!$A$4,7),2)),1,0)</f>
        <v>0</v>
      </c>
      <c r="Y1589" s="6">
        <f>1/COUNTIF(Таблица1[Order ID],Таблица1[[#This Row],[Order ID]])</f>
        <v>0.2</v>
      </c>
      <c r="Z1589" s="9">
        <f>1/COUNTIFS(Таблица1[Customer Name],Таблица1[[#This Row],[Customer Name]],Таблица1[Order-Year-Month],Таблица1[[#This Row],[Order-Year-Month]])</f>
        <v>0.16666666666666666</v>
      </c>
    </row>
    <row r="1590" spans="1:26" x14ac:dyDescent="0.2">
      <c r="A1590" s="6">
        <v>2119</v>
      </c>
      <c r="B1590" s="7">
        <v>15109</v>
      </c>
      <c r="C1590" s="8">
        <f>DATE(2012,12,31)-748</f>
        <v>40526</v>
      </c>
      <c r="D1590" s="8" t="str">
        <f t="shared" si="32"/>
        <v>2010-12 (декабрь 2010)</v>
      </c>
      <c r="E1590" s="9" t="s">
        <v>45</v>
      </c>
      <c r="F1590" s="7">
        <v>45</v>
      </c>
      <c r="G1590" s="7">
        <v>293.47000000000003</v>
      </c>
      <c r="H1590" s="7">
        <v>0.06</v>
      </c>
      <c r="I1590" s="9" t="s">
        <v>22</v>
      </c>
      <c r="J1590" s="10">
        <v>-205.38</v>
      </c>
      <c r="K1590" s="11">
        <v>6.48</v>
      </c>
      <c r="L1590" s="11">
        <v>8.4</v>
      </c>
      <c r="M1590" s="9" t="s">
        <v>1108</v>
      </c>
      <c r="N1590" s="6" t="s">
        <v>672</v>
      </c>
      <c r="O1590" s="6" t="s">
        <v>673</v>
      </c>
      <c r="P1590" s="9" t="s">
        <v>60</v>
      </c>
      <c r="Q1590" s="9" t="s">
        <v>26</v>
      </c>
      <c r="R1590" s="9" t="s">
        <v>61</v>
      </c>
      <c r="S1590" s="7" t="s">
        <v>1097</v>
      </c>
      <c r="T1590" s="9" t="s">
        <v>39</v>
      </c>
      <c r="U1590" s="7">
        <v>0.37</v>
      </c>
      <c r="V1590" s="12">
        <f>C1590+2</f>
        <v>40528</v>
      </c>
      <c r="W1590">
        <f>IF(D1590=' Pivot Tables'!$A$4,1,0)</f>
        <v>0</v>
      </c>
      <c r="X1590">
        <f>IF(AND(LEFT(D1590,4)+1=LEFT(' Pivot Tables'!$A$4,4)+0,RIGHT(LEFT(D1590,7),2)=RIGHT(LEFT(' Pivot Tables'!$A$4,7),2)),1,0)</f>
        <v>0</v>
      </c>
      <c r="Y1590" s="6">
        <f>1/COUNTIF(Таблица1[Order ID],Таблица1[[#This Row],[Order ID]])</f>
        <v>0.2</v>
      </c>
      <c r="Z1590" s="9">
        <f>1/COUNTIFS(Таблица1[Customer Name],Таблица1[[#This Row],[Customer Name]],Таблица1[Order-Year-Month],Таблица1[[#This Row],[Order-Year-Month]])</f>
        <v>0.16666666666666666</v>
      </c>
    </row>
    <row r="1591" spans="1:26" x14ac:dyDescent="0.2">
      <c r="A1591" s="6">
        <v>2120</v>
      </c>
      <c r="B1591" s="7">
        <v>15109</v>
      </c>
      <c r="C1591" s="8">
        <f>DATE(2012,12,31)-748</f>
        <v>40526</v>
      </c>
      <c r="D1591" s="8" t="str">
        <f t="shared" si="32"/>
        <v>2010-12 (декабрь 2010)</v>
      </c>
      <c r="E1591" s="9" t="s">
        <v>45</v>
      </c>
      <c r="F1591" s="7">
        <v>33</v>
      </c>
      <c r="G1591" s="7">
        <v>88.7</v>
      </c>
      <c r="H1591" s="7">
        <v>0.06</v>
      </c>
      <c r="I1591" s="9" t="s">
        <v>22</v>
      </c>
      <c r="J1591" s="10">
        <v>-89.13</v>
      </c>
      <c r="K1591" s="11">
        <v>2.52</v>
      </c>
      <c r="L1591" s="11">
        <v>4.28</v>
      </c>
      <c r="M1591" s="9" t="s">
        <v>1108</v>
      </c>
      <c r="N1591" s="6" t="s">
        <v>672</v>
      </c>
      <c r="O1591" s="6" t="s">
        <v>673</v>
      </c>
      <c r="P1591" s="9" t="s">
        <v>60</v>
      </c>
      <c r="Q1591" s="9" t="s">
        <v>26</v>
      </c>
      <c r="R1591" s="9" t="s">
        <v>95</v>
      </c>
      <c r="S1591" s="7" t="s">
        <v>1109</v>
      </c>
      <c r="T1591" s="9" t="s">
        <v>68</v>
      </c>
      <c r="U1591" s="7">
        <v>0.44</v>
      </c>
      <c r="V1591" s="12">
        <f>C1591+2</f>
        <v>40528</v>
      </c>
      <c r="W1591">
        <f>IF(D1591=' Pivot Tables'!$A$4,1,0)</f>
        <v>0</v>
      </c>
      <c r="X1591">
        <f>IF(AND(LEFT(D1591,4)+1=LEFT(' Pivot Tables'!$A$4,4)+0,RIGHT(LEFT(D1591,7),2)=RIGHT(LEFT(' Pivot Tables'!$A$4,7),2)),1,0)</f>
        <v>0</v>
      </c>
      <c r="Y1591" s="6">
        <f>1/COUNTIF(Таблица1[Order ID],Таблица1[[#This Row],[Order ID]])</f>
        <v>0.2</v>
      </c>
      <c r="Z1591" s="9">
        <f>1/COUNTIFS(Таблица1[Customer Name],Таблица1[[#This Row],[Customer Name]],Таблица1[Order-Year-Month],Таблица1[[#This Row],[Order-Year-Month]])</f>
        <v>0.16666666666666666</v>
      </c>
    </row>
    <row r="1592" spans="1:26" x14ac:dyDescent="0.2">
      <c r="A1592" s="6">
        <v>2121</v>
      </c>
      <c r="B1592" s="7">
        <v>15109</v>
      </c>
      <c r="C1592" s="8">
        <f>DATE(2012,12,31)-748</f>
        <v>40526</v>
      </c>
      <c r="D1592" s="8" t="str">
        <f t="shared" si="32"/>
        <v>2010-12 (декабрь 2010)</v>
      </c>
      <c r="E1592" s="9" t="s">
        <v>45</v>
      </c>
      <c r="F1592" s="7">
        <v>23</v>
      </c>
      <c r="G1592" s="7">
        <v>262.77999999999997</v>
      </c>
      <c r="H1592" s="7">
        <v>0.04</v>
      </c>
      <c r="I1592" s="9" t="s">
        <v>22</v>
      </c>
      <c r="J1592" s="10">
        <v>19.36</v>
      </c>
      <c r="K1592" s="11">
        <v>10.98</v>
      </c>
      <c r="L1592" s="11">
        <v>3.37</v>
      </c>
      <c r="M1592" s="9" t="s">
        <v>1108</v>
      </c>
      <c r="N1592" s="6" t="s">
        <v>672</v>
      </c>
      <c r="O1592" s="6" t="s">
        <v>673</v>
      </c>
      <c r="P1592" s="9" t="s">
        <v>60</v>
      </c>
      <c r="Q1592" s="9" t="s">
        <v>26</v>
      </c>
      <c r="R1592" s="9" t="s">
        <v>150</v>
      </c>
      <c r="S1592" s="7" t="s">
        <v>465</v>
      </c>
      <c r="T1592" s="9" t="s">
        <v>52</v>
      </c>
      <c r="U1592" s="7">
        <v>0.56999999999999995</v>
      </c>
      <c r="V1592" s="12">
        <f>C1592+1</f>
        <v>40527</v>
      </c>
      <c r="W1592">
        <f>IF(D1592=' Pivot Tables'!$A$4,1,0)</f>
        <v>0</v>
      </c>
      <c r="X1592">
        <f>IF(AND(LEFT(D1592,4)+1=LEFT(' Pivot Tables'!$A$4,4)+0,RIGHT(LEFT(D1592,7),2)=RIGHT(LEFT(' Pivot Tables'!$A$4,7),2)),1,0)</f>
        <v>0</v>
      </c>
      <c r="Y1592" s="6">
        <f>1/COUNTIF(Таблица1[Order ID],Таблица1[[#This Row],[Order ID]])</f>
        <v>0.2</v>
      </c>
      <c r="Z1592" s="9">
        <f>1/COUNTIFS(Таблица1[Customer Name],Таблица1[[#This Row],[Customer Name]],Таблица1[Order-Year-Month],Таблица1[[#This Row],[Order-Year-Month]])</f>
        <v>0.16666666666666666</v>
      </c>
    </row>
    <row r="1593" spans="1:26" x14ac:dyDescent="0.2">
      <c r="A1593" s="6">
        <v>2122</v>
      </c>
      <c r="B1593" s="7">
        <v>15109</v>
      </c>
      <c r="C1593" s="8">
        <f>DATE(2012,12,31)-748</f>
        <v>40526</v>
      </c>
      <c r="D1593" s="8" t="str">
        <f t="shared" si="32"/>
        <v>2010-12 (декабрь 2010)</v>
      </c>
      <c r="E1593" s="9" t="s">
        <v>45</v>
      </c>
      <c r="F1593" s="7">
        <v>10</v>
      </c>
      <c r="G1593" s="7">
        <v>142.15</v>
      </c>
      <c r="H1593" s="7">
        <v>0.09</v>
      </c>
      <c r="I1593" s="9" t="s">
        <v>22</v>
      </c>
      <c r="J1593" s="10">
        <v>-58.18</v>
      </c>
      <c r="K1593" s="11">
        <v>14.03</v>
      </c>
      <c r="L1593" s="11">
        <v>9.3699999999999992</v>
      </c>
      <c r="M1593" s="9" t="s">
        <v>1108</v>
      </c>
      <c r="N1593" s="6" t="s">
        <v>672</v>
      </c>
      <c r="O1593" s="6" t="s">
        <v>673</v>
      </c>
      <c r="P1593" s="9" t="s">
        <v>60</v>
      </c>
      <c r="Q1593" s="9" t="s">
        <v>26</v>
      </c>
      <c r="R1593" s="9" t="s">
        <v>27</v>
      </c>
      <c r="S1593" s="7" t="s">
        <v>733</v>
      </c>
      <c r="T1593" s="9" t="s">
        <v>39</v>
      </c>
      <c r="U1593" s="7">
        <v>0.56000000000000005</v>
      </c>
      <c r="V1593" s="12">
        <f>C1593+2</f>
        <v>40528</v>
      </c>
      <c r="W1593">
        <f>IF(D1593=' Pivot Tables'!$A$4,1,0)</f>
        <v>0</v>
      </c>
      <c r="X1593">
        <f>IF(AND(LEFT(D1593,4)+1=LEFT(' Pivot Tables'!$A$4,4)+0,RIGHT(LEFT(D1593,7),2)=RIGHT(LEFT(' Pivot Tables'!$A$4,7),2)),1,0)</f>
        <v>0</v>
      </c>
      <c r="Y1593" s="6">
        <f>1/COUNTIF(Таблица1[Order ID],Таблица1[[#This Row],[Order ID]])</f>
        <v>0.2</v>
      </c>
      <c r="Z1593" s="9">
        <f>1/COUNTIFS(Таблица1[Customer Name],Таблица1[[#This Row],[Customer Name]],Таблица1[Order-Year-Month],Таблица1[[#This Row],[Order-Year-Month]])</f>
        <v>0.16666666666666666</v>
      </c>
    </row>
    <row r="1594" spans="1:26" x14ac:dyDescent="0.2">
      <c r="A1594" s="6">
        <v>2126</v>
      </c>
      <c r="B1594" s="7">
        <v>15142</v>
      </c>
      <c r="C1594" s="8">
        <f>DATE(2012,12,31)-271</f>
        <v>41003</v>
      </c>
      <c r="D1594" s="8" t="str">
        <f t="shared" si="32"/>
        <v>2012-04 (апрель 2012)</v>
      </c>
      <c r="E1594" s="9" t="s">
        <v>45</v>
      </c>
      <c r="F1594" s="7">
        <v>21</v>
      </c>
      <c r="G1594" s="7">
        <v>330.22</v>
      </c>
      <c r="H1594" s="7">
        <v>7.0000000000000007E-2</v>
      </c>
      <c r="I1594" s="9" t="s">
        <v>22</v>
      </c>
      <c r="J1594" s="10">
        <v>-51.715499999999999</v>
      </c>
      <c r="K1594" s="11">
        <v>15.28</v>
      </c>
      <c r="L1594" s="11">
        <v>10.91</v>
      </c>
      <c r="M1594" s="9" t="s">
        <v>1089</v>
      </c>
      <c r="N1594" s="6" t="s">
        <v>672</v>
      </c>
      <c r="O1594" s="6" t="s">
        <v>673</v>
      </c>
      <c r="P1594" s="9" t="s">
        <v>41</v>
      </c>
      <c r="Q1594" s="9" t="s">
        <v>26</v>
      </c>
      <c r="R1594" s="9" t="s">
        <v>37</v>
      </c>
      <c r="S1594" s="7" t="s">
        <v>558</v>
      </c>
      <c r="T1594" s="9" t="s">
        <v>39</v>
      </c>
      <c r="U1594" s="7">
        <v>0.36</v>
      </c>
      <c r="V1594" s="12">
        <f>C1594+2</f>
        <v>41005</v>
      </c>
      <c r="W1594">
        <f>IF(D1594=' Pivot Tables'!$A$4,1,0)</f>
        <v>0</v>
      </c>
      <c r="X1594">
        <f>IF(AND(LEFT(D1594,4)+1=LEFT(' Pivot Tables'!$A$4,4)+0,RIGHT(LEFT(D1594,7),2)=RIGHT(LEFT(' Pivot Tables'!$A$4,7),2)),1,0)</f>
        <v>0</v>
      </c>
      <c r="Y1594" s="6">
        <f>1/COUNTIF(Таблица1[Order ID],Таблица1[[#This Row],[Order ID]])</f>
        <v>1</v>
      </c>
      <c r="Z1594" s="9">
        <f>1/COUNTIFS(Таблица1[Customer Name],Таблица1[[#This Row],[Customer Name]],Таблица1[Order-Year-Month],Таблица1[[#This Row],[Order-Year-Month]])</f>
        <v>1</v>
      </c>
    </row>
    <row r="1595" spans="1:26" x14ac:dyDescent="0.2">
      <c r="A1595" s="6">
        <v>2146</v>
      </c>
      <c r="B1595" s="7">
        <v>15332</v>
      </c>
      <c r="C1595" s="8">
        <f>DATE(2012,12,31)-946</f>
        <v>40328</v>
      </c>
      <c r="D1595" s="8" t="str">
        <f t="shared" si="32"/>
        <v>2010-05 (май 2010)</v>
      </c>
      <c r="E1595" s="9" t="s">
        <v>45</v>
      </c>
      <c r="F1595" s="7">
        <v>6</v>
      </c>
      <c r="G1595" s="7">
        <v>321.70999999999998</v>
      </c>
      <c r="H1595" s="7">
        <v>0.1</v>
      </c>
      <c r="I1595" s="9" t="s">
        <v>22</v>
      </c>
      <c r="J1595" s="10">
        <v>-2.7254999999999887</v>
      </c>
      <c r="K1595" s="11">
        <v>52.4</v>
      </c>
      <c r="L1595" s="11">
        <v>16.11</v>
      </c>
      <c r="M1595" s="9" t="s">
        <v>1108</v>
      </c>
      <c r="N1595" s="6" t="s">
        <v>672</v>
      </c>
      <c r="O1595" s="6" t="s">
        <v>673</v>
      </c>
      <c r="P1595" s="9" t="s">
        <v>60</v>
      </c>
      <c r="Q1595" s="9" t="s">
        <v>26</v>
      </c>
      <c r="R1595" s="9" t="s">
        <v>37</v>
      </c>
      <c r="S1595" s="7" t="s">
        <v>1110</v>
      </c>
      <c r="T1595" s="9" t="s">
        <v>39</v>
      </c>
      <c r="U1595" s="7">
        <v>0.39</v>
      </c>
      <c r="V1595" s="12">
        <f>C1595+2</f>
        <v>40330</v>
      </c>
      <c r="W1595">
        <f>IF(D1595=' Pivot Tables'!$A$4,1,0)</f>
        <v>0</v>
      </c>
      <c r="X1595">
        <f>IF(AND(LEFT(D1595,4)+1=LEFT(' Pivot Tables'!$A$4,4)+0,RIGHT(LEFT(D1595,7),2)=RIGHT(LEFT(' Pivot Tables'!$A$4,7),2)),1,0)</f>
        <v>0</v>
      </c>
      <c r="Y1595" s="6">
        <f>1/COUNTIF(Таблица1[Order ID],Таблица1[[#This Row],[Order ID]])</f>
        <v>1</v>
      </c>
      <c r="Z1595" s="9">
        <f>1/COUNTIFS(Таблица1[Customer Name],Таблица1[[#This Row],[Customer Name]],Таблица1[Order-Year-Month],Таблица1[[#This Row],[Order-Year-Month]])</f>
        <v>1</v>
      </c>
    </row>
    <row r="1596" spans="1:26" x14ac:dyDescent="0.2">
      <c r="A1596" s="6">
        <v>2199</v>
      </c>
      <c r="B1596" s="7">
        <v>15872</v>
      </c>
      <c r="C1596" s="8">
        <f>DATE(2012,12,31)-62</f>
        <v>41212</v>
      </c>
      <c r="D1596" s="8" t="str">
        <f t="shared" si="32"/>
        <v>2012-10 (октябрь 2012)</v>
      </c>
      <c r="E1596" s="9" t="s">
        <v>45</v>
      </c>
      <c r="F1596" s="7">
        <v>48</v>
      </c>
      <c r="G1596" s="7">
        <v>5198.12</v>
      </c>
      <c r="H1596" s="7">
        <v>0.01</v>
      </c>
      <c r="I1596" s="9" t="s">
        <v>31</v>
      </c>
      <c r="J1596" s="10">
        <v>1481.67</v>
      </c>
      <c r="K1596" s="11">
        <v>100.98</v>
      </c>
      <c r="L1596" s="11">
        <v>15.66</v>
      </c>
      <c r="M1596" s="9" t="s">
        <v>1094</v>
      </c>
      <c r="N1596" s="6" t="s">
        <v>672</v>
      </c>
      <c r="O1596" s="6" t="s">
        <v>673</v>
      </c>
      <c r="P1596" s="9" t="s">
        <v>41</v>
      </c>
      <c r="Q1596" s="9" t="s">
        <v>26</v>
      </c>
      <c r="R1596" s="9" t="s">
        <v>34</v>
      </c>
      <c r="S1596" s="7" t="s">
        <v>1076</v>
      </c>
      <c r="T1596" s="9" t="s">
        <v>36</v>
      </c>
      <c r="U1596" s="7">
        <v>0.56999999999999995</v>
      </c>
      <c r="V1596" s="12">
        <f>C1596+0</f>
        <v>41212</v>
      </c>
      <c r="W1596">
        <f>IF(D1596=' Pivot Tables'!$A$4,1,0)</f>
        <v>0</v>
      </c>
      <c r="X1596">
        <f>IF(AND(LEFT(D1596,4)+1=LEFT(' Pivot Tables'!$A$4,4)+0,RIGHT(LEFT(D1596,7),2)=RIGHT(LEFT(' Pivot Tables'!$A$4,7),2)),1,0)</f>
        <v>0</v>
      </c>
      <c r="Y1596" s="6">
        <f>1/COUNTIF(Таблица1[Order ID],Таблица1[[#This Row],[Order ID]])</f>
        <v>0.33333333333333331</v>
      </c>
      <c r="Z1596" s="9">
        <f>1/COUNTIFS(Таблица1[Customer Name],Таблица1[[#This Row],[Customer Name]],Таблица1[Order-Year-Month],Таблица1[[#This Row],[Order-Year-Month]])</f>
        <v>0.33333333333333331</v>
      </c>
    </row>
    <row r="1597" spans="1:26" x14ac:dyDescent="0.2">
      <c r="A1597" s="6">
        <v>2200</v>
      </c>
      <c r="B1597" s="7">
        <v>15872</v>
      </c>
      <c r="C1597" s="8">
        <f>DATE(2012,12,31)-62</f>
        <v>41212</v>
      </c>
      <c r="D1597" s="8" t="str">
        <f t="shared" si="32"/>
        <v>2012-10 (октябрь 2012)</v>
      </c>
      <c r="E1597" s="9" t="s">
        <v>45</v>
      </c>
      <c r="F1597" s="7">
        <v>23</v>
      </c>
      <c r="G1597" s="7">
        <v>188.53</v>
      </c>
      <c r="H1597" s="7">
        <v>0</v>
      </c>
      <c r="I1597" s="9" t="s">
        <v>22</v>
      </c>
      <c r="J1597" s="10">
        <v>-27.49</v>
      </c>
      <c r="K1597" s="11">
        <v>7.35</v>
      </c>
      <c r="L1597" s="11">
        <v>5.96</v>
      </c>
      <c r="M1597" s="9" t="s">
        <v>1094</v>
      </c>
      <c r="N1597" s="6" t="s">
        <v>672</v>
      </c>
      <c r="O1597" s="6" t="s">
        <v>673</v>
      </c>
      <c r="P1597" s="9" t="s">
        <v>41</v>
      </c>
      <c r="Q1597" s="9" t="s">
        <v>26</v>
      </c>
      <c r="R1597" s="9" t="s">
        <v>61</v>
      </c>
      <c r="S1597" s="7" t="s">
        <v>1111</v>
      </c>
      <c r="T1597" s="9" t="s">
        <v>39</v>
      </c>
      <c r="U1597" s="7">
        <v>0.38</v>
      </c>
      <c r="V1597" s="12">
        <f>C1597+2</f>
        <v>41214</v>
      </c>
      <c r="W1597">
        <f>IF(D1597=' Pivot Tables'!$A$4,1,0)</f>
        <v>0</v>
      </c>
      <c r="X1597">
        <f>IF(AND(LEFT(D1597,4)+1=LEFT(' Pivot Tables'!$A$4,4)+0,RIGHT(LEFT(D1597,7),2)=RIGHT(LEFT(' Pivot Tables'!$A$4,7),2)),1,0)</f>
        <v>0</v>
      </c>
      <c r="Y1597" s="6">
        <f>1/COUNTIF(Таблица1[Order ID],Таблица1[[#This Row],[Order ID]])</f>
        <v>0.33333333333333331</v>
      </c>
      <c r="Z1597" s="9">
        <f>1/COUNTIFS(Таблица1[Customer Name],Таблица1[[#This Row],[Customer Name]],Таблица1[Order-Year-Month],Таблица1[[#This Row],[Order-Year-Month]])</f>
        <v>0.33333333333333331</v>
      </c>
    </row>
    <row r="1598" spans="1:26" x14ac:dyDescent="0.2">
      <c r="A1598" s="6">
        <v>2201</v>
      </c>
      <c r="B1598" s="7">
        <v>15872</v>
      </c>
      <c r="C1598" s="8">
        <f>DATE(2012,12,31)-62</f>
        <v>41212</v>
      </c>
      <c r="D1598" s="8" t="str">
        <f t="shared" si="32"/>
        <v>2012-10 (октябрь 2012)</v>
      </c>
      <c r="E1598" s="9" t="s">
        <v>45</v>
      </c>
      <c r="F1598" s="7">
        <v>19</v>
      </c>
      <c r="G1598" s="7">
        <v>718.41</v>
      </c>
      <c r="H1598" s="7">
        <v>0.1</v>
      </c>
      <c r="I1598" s="9" t="s">
        <v>22</v>
      </c>
      <c r="J1598" s="10">
        <v>23.94</v>
      </c>
      <c r="K1598" s="11">
        <v>40.99</v>
      </c>
      <c r="L1598" s="11">
        <v>17.48</v>
      </c>
      <c r="M1598" s="9" t="s">
        <v>1094</v>
      </c>
      <c r="N1598" s="6" t="s">
        <v>672</v>
      </c>
      <c r="O1598" s="6" t="s">
        <v>673</v>
      </c>
      <c r="P1598" s="9" t="s">
        <v>41</v>
      </c>
      <c r="Q1598" s="9" t="s">
        <v>26</v>
      </c>
      <c r="R1598" s="9" t="s">
        <v>61</v>
      </c>
      <c r="S1598" s="7" t="s">
        <v>236</v>
      </c>
      <c r="T1598" s="9" t="s">
        <v>39</v>
      </c>
      <c r="U1598" s="7">
        <v>0.36</v>
      </c>
      <c r="V1598" s="12">
        <f>C1598+1</f>
        <v>41213</v>
      </c>
      <c r="W1598">
        <f>IF(D1598=' Pivot Tables'!$A$4,1,0)</f>
        <v>0</v>
      </c>
      <c r="X1598">
        <f>IF(AND(LEFT(D1598,4)+1=LEFT(' Pivot Tables'!$A$4,4)+0,RIGHT(LEFT(D1598,7),2)=RIGHT(LEFT(' Pivot Tables'!$A$4,7),2)),1,0)</f>
        <v>0</v>
      </c>
      <c r="Y1598" s="6">
        <f>1/COUNTIF(Таблица1[Order ID],Таблица1[[#This Row],[Order ID]])</f>
        <v>0.33333333333333331</v>
      </c>
      <c r="Z1598" s="9">
        <f>1/COUNTIFS(Таблица1[Customer Name],Таблица1[[#This Row],[Customer Name]],Таблица1[Order-Year-Month],Таблица1[[#This Row],[Order-Year-Month]])</f>
        <v>0.33333333333333331</v>
      </c>
    </row>
    <row r="1599" spans="1:26" x14ac:dyDescent="0.2">
      <c r="A1599" s="6">
        <v>2216</v>
      </c>
      <c r="B1599" s="7">
        <v>16032</v>
      </c>
      <c r="C1599" s="8">
        <f>DATE(2012,12,31)-1122</f>
        <v>40152</v>
      </c>
      <c r="D1599" s="8" t="str">
        <f t="shared" si="32"/>
        <v>2009-12 (декабрь 2009)</v>
      </c>
      <c r="E1599" s="9" t="s">
        <v>21</v>
      </c>
      <c r="F1599" s="7">
        <v>35</v>
      </c>
      <c r="G1599" s="7">
        <v>436.98</v>
      </c>
      <c r="H1599" s="7">
        <v>7.0000000000000007E-2</v>
      </c>
      <c r="I1599" s="9" t="s">
        <v>22</v>
      </c>
      <c r="J1599" s="10">
        <v>75.61</v>
      </c>
      <c r="K1599" s="11">
        <v>12.64</v>
      </c>
      <c r="L1599" s="11">
        <v>4.9800000000000004</v>
      </c>
      <c r="M1599" s="9" t="s">
        <v>1112</v>
      </c>
      <c r="N1599" s="6" t="s">
        <v>672</v>
      </c>
      <c r="O1599" s="6" t="s">
        <v>673</v>
      </c>
      <c r="P1599" s="9" t="s">
        <v>60</v>
      </c>
      <c r="Q1599" s="9" t="s">
        <v>49</v>
      </c>
      <c r="R1599" s="9" t="s">
        <v>50</v>
      </c>
      <c r="S1599" s="7" t="s">
        <v>997</v>
      </c>
      <c r="T1599" s="9" t="s">
        <v>52</v>
      </c>
      <c r="U1599" s="7">
        <v>0.48</v>
      </c>
      <c r="V1599" s="12">
        <f>C1599+7</f>
        <v>40159</v>
      </c>
      <c r="W1599">
        <f>IF(D1599=' Pivot Tables'!$A$4,1,0)</f>
        <v>0</v>
      </c>
      <c r="X1599">
        <f>IF(AND(LEFT(D1599,4)+1=LEFT(' Pivot Tables'!$A$4,4)+0,RIGHT(LEFT(D1599,7),2)=RIGHT(LEFT(' Pivot Tables'!$A$4,7),2)),1,0)</f>
        <v>0</v>
      </c>
      <c r="Y1599" s="6">
        <f>1/COUNTIF(Таблица1[Order ID],Таблица1[[#This Row],[Order ID]])</f>
        <v>1</v>
      </c>
      <c r="Z1599" s="9">
        <f>1/COUNTIFS(Таблица1[Customer Name],Таблица1[[#This Row],[Customer Name]],Таблица1[Order-Year-Month],Таблица1[[#This Row],[Order-Year-Month]])</f>
        <v>1</v>
      </c>
    </row>
    <row r="1600" spans="1:26" x14ac:dyDescent="0.2">
      <c r="A1600" s="6">
        <v>2242</v>
      </c>
      <c r="B1600" s="7">
        <v>16165</v>
      </c>
      <c r="C1600" s="8">
        <f>DATE(2012,12,31)-893</f>
        <v>40381</v>
      </c>
      <c r="D1600" s="8" t="str">
        <f t="shared" si="32"/>
        <v>2010-07 (июль 2010)</v>
      </c>
      <c r="E1600" s="9" t="s">
        <v>45</v>
      </c>
      <c r="F1600" s="7">
        <v>4</v>
      </c>
      <c r="G1600" s="7">
        <v>136.68</v>
      </c>
      <c r="H1600" s="7">
        <v>0.01</v>
      </c>
      <c r="I1600" s="9" t="s">
        <v>56</v>
      </c>
      <c r="J1600" s="10">
        <v>-125.16</v>
      </c>
      <c r="K1600" s="11">
        <v>30.73</v>
      </c>
      <c r="L1600" s="11">
        <v>4</v>
      </c>
      <c r="M1600" s="9" t="s">
        <v>1090</v>
      </c>
      <c r="N1600" s="6" t="s">
        <v>672</v>
      </c>
      <c r="O1600" s="6" t="s">
        <v>673</v>
      </c>
      <c r="P1600" s="9" t="s">
        <v>25</v>
      </c>
      <c r="Q1600" s="9" t="s">
        <v>42</v>
      </c>
      <c r="R1600" s="9" t="s">
        <v>70</v>
      </c>
      <c r="S1600" s="7" t="s">
        <v>270</v>
      </c>
      <c r="T1600" s="9" t="s">
        <v>39</v>
      </c>
      <c r="U1600" s="7">
        <v>0.75</v>
      </c>
      <c r="V1600" s="12">
        <f>C1600+2</f>
        <v>40383</v>
      </c>
      <c r="W1600">
        <f>IF(D1600=' Pivot Tables'!$A$4,1,0)</f>
        <v>0</v>
      </c>
      <c r="X1600">
        <f>IF(AND(LEFT(D1600,4)+1=LEFT(' Pivot Tables'!$A$4,4)+0,RIGHT(LEFT(D1600,7),2)=RIGHT(LEFT(' Pivot Tables'!$A$4,7),2)),1,0)</f>
        <v>0</v>
      </c>
      <c r="Y1600" s="6">
        <f>1/COUNTIF(Таблица1[Order ID],Таблица1[[#This Row],[Order ID]])</f>
        <v>0.33333333333333331</v>
      </c>
      <c r="Z1600" s="9">
        <f>1/COUNTIFS(Таблица1[Customer Name],Таблица1[[#This Row],[Customer Name]],Таблица1[Order-Year-Month],Таблица1[[#This Row],[Order-Year-Month]])</f>
        <v>0.2</v>
      </c>
    </row>
    <row r="1601" spans="1:26" x14ac:dyDescent="0.2">
      <c r="A1601" s="6">
        <v>2243</v>
      </c>
      <c r="B1601" s="7">
        <v>16165</v>
      </c>
      <c r="C1601" s="8">
        <f>DATE(2012,12,31)-893</f>
        <v>40381</v>
      </c>
      <c r="D1601" s="8" t="str">
        <f t="shared" si="32"/>
        <v>2010-07 (июль 2010)</v>
      </c>
      <c r="E1601" s="9" t="s">
        <v>45</v>
      </c>
      <c r="F1601" s="7">
        <v>24</v>
      </c>
      <c r="G1601" s="7">
        <v>1452.48</v>
      </c>
      <c r="H1601" s="7">
        <v>7.0000000000000007E-2</v>
      </c>
      <c r="I1601" s="9" t="s">
        <v>56</v>
      </c>
      <c r="J1601" s="10">
        <v>376.52</v>
      </c>
      <c r="K1601" s="11">
        <v>62.18</v>
      </c>
      <c r="L1601" s="11">
        <v>10.84</v>
      </c>
      <c r="M1601" s="9" t="s">
        <v>1090</v>
      </c>
      <c r="N1601" s="6" t="s">
        <v>672</v>
      </c>
      <c r="O1601" s="6" t="s">
        <v>673</v>
      </c>
      <c r="P1601" s="9" t="s">
        <v>25</v>
      </c>
      <c r="Q1601" s="9" t="s">
        <v>49</v>
      </c>
      <c r="R1601" s="9" t="s">
        <v>50</v>
      </c>
      <c r="S1601" s="7" t="s">
        <v>1113</v>
      </c>
      <c r="T1601" s="9" t="s">
        <v>48</v>
      </c>
      <c r="U1601" s="7">
        <v>0.63</v>
      </c>
      <c r="V1601" s="12">
        <f>C1601+1</f>
        <v>40382</v>
      </c>
      <c r="W1601">
        <f>IF(D1601=' Pivot Tables'!$A$4,1,0)</f>
        <v>0</v>
      </c>
      <c r="X1601">
        <f>IF(AND(LEFT(D1601,4)+1=LEFT(' Pivot Tables'!$A$4,4)+0,RIGHT(LEFT(D1601,7),2)=RIGHT(LEFT(' Pivot Tables'!$A$4,7),2)),1,0)</f>
        <v>0</v>
      </c>
      <c r="Y1601" s="6">
        <f>1/COUNTIF(Таблица1[Order ID],Таблица1[[#This Row],[Order ID]])</f>
        <v>0.33333333333333331</v>
      </c>
      <c r="Z1601" s="9">
        <f>1/COUNTIFS(Таблица1[Customer Name],Таблица1[[#This Row],[Customer Name]],Таблица1[Order-Year-Month],Таблица1[[#This Row],[Order-Year-Month]])</f>
        <v>0.2</v>
      </c>
    </row>
    <row r="1602" spans="1:26" x14ac:dyDescent="0.2">
      <c r="A1602" s="6">
        <v>2244</v>
      </c>
      <c r="B1602" s="7">
        <v>16165</v>
      </c>
      <c r="C1602" s="8">
        <f>DATE(2012,12,31)-893</f>
        <v>40381</v>
      </c>
      <c r="D1602" s="8" t="str">
        <f t="shared" si="32"/>
        <v>2010-07 (июль 2010)</v>
      </c>
      <c r="E1602" s="9" t="s">
        <v>45</v>
      </c>
      <c r="F1602" s="7">
        <v>19</v>
      </c>
      <c r="G1602" s="7">
        <v>3555.29</v>
      </c>
      <c r="H1602" s="7">
        <v>0.09</v>
      </c>
      <c r="I1602" s="9" t="s">
        <v>56</v>
      </c>
      <c r="J1602" s="10">
        <v>183.28</v>
      </c>
      <c r="K1602" s="11">
        <v>193.17</v>
      </c>
      <c r="L1602" s="11">
        <v>19.989999999999998</v>
      </c>
      <c r="M1602" s="9" t="s">
        <v>1090</v>
      </c>
      <c r="N1602" s="6" t="s">
        <v>672</v>
      </c>
      <c r="O1602" s="6" t="s">
        <v>673</v>
      </c>
      <c r="P1602" s="9" t="s">
        <v>25</v>
      </c>
      <c r="Q1602" s="9" t="s">
        <v>26</v>
      </c>
      <c r="R1602" s="9" t="s">
        <v>27</v>
      </c>
      <c r="S1602" s="7" t="s">
        <v>338</v>
      </c>
      <c r="T1602" s="9" t="s">
        <v>39</v>
      </c>
      <c r="U1602" s="7">
        <v>0.71</v>
      </c>
      <c r="V1602" s="12">
        <f>C1602+0</f>
        <v>40381</v>
      </c>
      <c r="W1602">
        <f>IF(D1602=' Pivot Tables'!$A$4,1,0)</f>
        <v>0</v>
      </c>
      <c r="X1602">
        <f>IF(AND(LEFT(D1602,4)+1=LEFT(' Pivot Tables'!$A$4,4)+0,RIGHT(LEFT(D1602,7),2)=RIGHT(LEFT(' Pivot Tables'!$A$4,7),2)),1,0)</f>
        <v>0</v>
      </c>
      <c r="Y1602" s="6">
        <f>1/COUNTIF(Таблица1[Order ID],Таблица1[[#This Row],[Order ID]])</f>
        <v>0.33333333333333331</v>
      </c>
      <c r="Z1602" s="9">
        <f>1/COUNTIFS(Таблица1[Customer Name],Таблица1[[#This Row],[Customer Name]],Таблица1[Order-Year-Month],Таблица1[[#This Row],[Order-Year-Month]])</f>
        <v>0.2</v>
      </c>
    </row>
    <row r="1603" spans="1:26" x14ac:dyDescent="0.2">
      <c r="A1603" s="6">
        <v>2426</v>
      </c>
      <c r="B1603" s="7">
        <v>17632</v>
      </c>
      <c r="C1603" s="8">
        <f>DATE(2012,12,31)-1044</f>
        <v>40230</v>
      </c>
      <c r="D1603" s="8" t="str">
        <f t="shared" ref="D1603:D1666" si="33">TEXT(C1603,"гггг-ММ (ММММ гггг)")</f>
        <v>2010-02 (февраль 2010)</v>
      </c>
      <c r="E1603" s="9" t="s">
        <v>63</v>
      </c>
      <c r="F1603" s="7">
        <v>38</v>
      </c>
      <c r="G1603" s="7">
        <v>71.12</v>
      </c>
      <c r="H1603" s="7">
        <v>0.1</v>
      </c>
      <c r="I1603" s="9" t="s">
        <v>22</v>
      </c>
      <c r="J1603" s="10">
        <v>-21.89</v>
      </c>
      <c r="K1603" s="11">
        <v>1.98</v>
      </c>
      <c r="L1603" s="11">
        <v>0.7</v>
      </c>
      <c r="M1603" s="9" t="s">
        <v>1091</v>
      </c>
      <c r="N1603" s="6" t="s">
        <v>672</v>
      </c>
      <c r="O1603" s="6" t="s">
        <v>673</v>
      </c>
      <c r="P1603" s="9" t="s">
        <v>41</v>
      </c>
      <c r="Q1603" s="9" t="s">
        <v>26</v>
      </c>
      <c r="R1603" s="9" t="s">
        <v>66</v>
      </c>
      <c r="S1603" s="7" t="s">
        <v>1114</v>
      </c>
      <c r="T1603" s="9" t="s">
        <v>68</v>
      </c>
      <c r="U1603" s="7">
        <v>0.83</v>
      </c>
      <c r="V1603" s="12">
        <f>C1603+1</f>
        <v>40231</v>
      </c>
      <c r="W1603">
        <f>IF(D1603=' Pivot Tables'!$A$4,1,0)</f>
        <v>0</v>
      </c>
      <c r="X1603">
        <f>IF(AND(LEFT(D1603,4)+1=LEFT(' Pivot Tables'!$A$4,4)+0,RIGHT(LEFT(D1603,7),2)=RIGHT(LEFT(' Pivot Tables'!$A$4,7),2)),1,0)</f>
        <v>0</v>
      </c>
      <c r="Y1603" s="6">
        <f>1/COUNTIF(Таблица1[Order ID],Таблица1[[#This Row],[Order ID]])</f>
        <v>1</v>
      </c>
      <c r="Z1603" s="9">
        <f>1/COUNTIFS(Таблица1[Customer Name],Таблица1[[#This Row],[Customer Name]],Таблица1[Order-Year-Month],Таблица1[[#This Row],[Order-Year-Month]])</f>
        <v>1</v>
      </c>
    </row>
    <row r="1604" spans="1:26" x14ac:dyDescent="0.2">
      <c r="A1604" s="6">
        <v>2691</v>
      </c>
      <c r="B1604" s="7">
        <v>19492</v>
      </c>
      <c r="C1604" s="8">
        <f>DATE(2012,12,31)-750</f>
        <v>40524</v>
      </c>
      <c r="D1604" s="8" t="str">
        <f t="shared" si="33"/>
        <v>2010-12 (декабрь 2010)</v>
      </c>
      <c r="E1604" s="9" t="s">
        <v>30</v>
      </c>
      <c r="F1604" s="7">
        <v>9</v>
      </c>
      <c r="G1604" s="7">
        <v>691.09</v>
      </c>
      <c r="H1604" s="7">
        <v>0.08</v>
      </c>
      <c r="I1604" s="9" t="s">
        <v>22</v>
      </c>
      <c r="J1604" s="10">
        <v>364.03</v>
      </c>
      <c r="K1604" s="11">
        <v>78.69</v>
      </c>
      <c r="L1604" s="11">
        <v>19.989999999999998</v>
      </c>
      <c r="M1604" s="9" t="s">
        <v>1115</v>
      </c>
      <c r="N1604" s="6" t="s">
        <v>672</v>
      </c>
      <c r="O1604" s="6" t="s">
        <v>673</v>
      </c>
      <c r="P1604" s="9" t="s">
        <v>25</v>
      </c>
      <c r="Q1604" s="9" t="s">
        <v>49</v>
      </c>
      <c r="R1604" s="9" t="s">
        <v>50</v>
      </c>
      <c r="S1604" s="7" t="s">
        <v>788</v>
      </c>
      <c r="T1604" s="9" t="s">
        <v>39</v>
      </c>
      <c r="U1604" s="7">
        <v>0.43</v>
      </c>
      <c r="V1604" s="12">
        <f>C1604+2</f>
        <v>40526</v>
      </c>
      <c r="W1604">
        <f>IF(D1604=' Pivot Tables'!$A$4,1,0)</f>
        <v>0</v>
      </c>
      <c r="X1604">
        <f>IF(AND(LEFT(D1604,4)+1=LEFT(' Pivot Tables'!$A$4,4)+0,RIGHT(LEFT(D1604,7),2)=RIGHT(LEFT(' Pivot Tables'!$A$4,7),2)),1,0)</f>
        <v>0</v>
      </c>
      <c r="Y1604" s="6">
        <f>1/COUNTIF(Таблица1[Order ID],Таблица1[[#This Row],[Order ID]])</f>
        <v>0.5</v>
      </c>
      <c r="Z1604" s="9">
        <f>1/COUNTIFS(Таблица1[Customer Name],Таблица1[[#This Row],[Customer Name]],Таблица1[Order-Year-Month],Таблица1[[#This Row],[Order-Year-Month]])</f>
        <v>0.5</v>
      </c>
    </row>
    <row r="1605" spans="1:26" x14ac:dyDescent="0.2">
      <c r="A1605" s="6">
        <v>2692</v>
      </c>
      <c r="B1605" s="7">
        <v>19492</v>
      </c>
      <c r="C1605" s="8">
        <f>DATE(2012,12,31)-750</f>
        <v>40524</v>
      </c>
      <c r="D1605" s="8" t="str">
        <f t="shared" si="33"/>
        <v>2010-12 (декабрь 2010)</v>
      </c>
      <c r="E1605" s="9" t="s">
        <v>30</v>
      </c>
      <c r="F1605" s="7">
        <v>33</v>
      </c>
      <c r="G1605" s="7">
        <v>713.7</v>
      </c>
      <c r="H1605" s="7">
        <v>0.02</v>
      </c>
      <c r="I1605" s="9" t="s">
        <v>22</v>
      </c>
      <c r="J1605" s="10">
        <v>176.09</v>
      </c>
      <c r="K1605" s="11">
        <v>21.98</v>
      </c>
      <c r="L1605" s="11">
        <v>2.87</v>
      </c>
      <c r="M1605" s="9" t="s">
        <v>1115</v>
      </c>
      <c r="N1605" s="6" t="s">
        <v>672</v>
      </c>
      <c r="O1605" s="6" t="s">
        <v>673</v>
      </c>
      <c r="P1605" s="9" t="s">
        <v>25</v>
      </c>
      <c r="Q1605" s="9" t="s">
        <v>26</v>
      </c>
      <c r="R1605" s="9" t="s">
        <v>95</v>
      </c>
      <c r="S1605" s="7" t="s">
        <v>488</v>
      </c>
      <c r="T1605" s="9" t="s">
        <v>52</v>
      </c>
      <c r="U1605" s="7">
        <v>0.55000000000000004</v>
      </c>
      <c r="V1605" s="12">
        <f>C1605+1</f>
        <v>40525</v>
      </c>
      <c r="W1605">
        <f>IF(D1605=' Pivot Tables'!$A$4,1,0)</f>
        <v>0</v>
      </c>
      <c r="X1605">
        <f>IF(AND(LEFT(D1605,4)+1=LEFT(' Pivot Tables'!$A$4,4)+0,RIGHT(LEFT(D1605,7),2)=RIGHT(LEFT(' Pivot Tables'!$A$4,7),2)),1,0)</f>
        <v>0</v>
      </c>
      <c r="Y1605" s="6">
        <f>1/COUNTIF(Таблица1[Order ID],Таблица1[[#This Row],[Order ID]])</f>
        <v>0.5</v>
      </c>
      <c r="Z1605" s="9">
        <f>1/COUNTIFS(Таблица1[Customer Name],Таблица1[[#This Row],[Customer Name]],Таблица1[Order-Year-Month],Таблица1[[#This Row],[Order-Year-Month]])</f>
        <v>0.5</v>
      </c>
    </row>
    <row r="1606" spans="1:26" x14ac:dyDescent="0.2">
      <c r="A1606" s="6">
        <v>2786</v>
      </c>
      <c r="B1606" s="7">
        <v>20102</v>
      </c>
      <c r="C1606" s="8">
        <f>DATE(2012,12,31)-575</f>
        <v>40699</v>
      </c>
      <c r="D1606" s="8" t="str">
        <f t="shared" si="33"/>
        <v>2011-06 (июнь 2011)</v>
      </c>
      <c r="E1606" s="9" t="s">
        <v>30</v>
      </c>
      <c r="F1606" s="7">
        <v>15</v>
      </c>
      <c r="G1606" s="7">
        <v>333.3</v>
      </c>
      <c r="H1606" s="7">
        <v>0.03</v>
      </c>
      <c r="I1606" s="9" t="s">
        <v>22</v>
      </c>
      <c r="J1606" s="10">
        <v>71.040000000000006</v>
      </c>
      <c r="K1606" s="11">
        <v>22.24</v>
      </c>
      <c r="L1606" s="11">
        <v>1.99</v>
      </c>
      <c r="M1606" s="9" t="s">
        <v>1098</v>
      </c>
      <c r="N1606" s="6" t="s">
        <v>672</v>
      </c>
      <c r="O1606" s="6" t="s">
        <v>673</v>
      </c>
      <c r="P1606" s="9" t="s">
        <v>25</v>
      </c>
      <c r="Q1606" s="9" t="s">
        <v>42</v>
      </c>
      <c r="R1606" s="9" t="s">
        <v>70</v>
      </c>
      <c r="S1606" s="7" t="s">
        <v>1116</v>
      </c>
      <c r="T1606" s="9" t="s">
        <v>52</v>
      </c>
      <c r="U1606" s="7">
        <v>0.43</v>
      </c>
      <c r="V1606" s="12">
        <f>C1606+1</f>
        <v>40700</v>
      </c>
      <c r="W1606">
        <f>IF(D1606=' Pivot Tables'!$A$4,1,0)</f>
        <v>0</v>
      </c>
      <c r="X1606">
        <f>IF(AND(LEFT(D1606,4)+1=LEFT(' Pivot Tables'!$A$4,4)+0,RIGHT(LEFT(D1606,7),2)=RIGHT(LEFT(' Pivot Tables'!$A$4,7),2)),1,0)</f>
        <v>0</v>
      </c>
      <c r="Y1606" s="6">
        <f>1/COUNTIF(Таблица1[Order ID],Таблица1[[#This Row],[Order ID]])</f>
        <v>1</v>
      </c>
      <c r="Z1606" s="9">
        <f>1/COUNTIFS(Таблица1[Customer Name],Таблица1[[#This Row],[Customer Name]],Таблица1[Order-Year-Month],Таблица1[[#This Row],[Order-Year-Month]])</f>
        <v>1</v>
      </c>
    </row>
    <row r="1607" spans="1:26" x14ac:dyDescent="0.2">
      <c r="A1607" s="6">
        <v>3050</v>
      </c>
      <c r="B1607" s="7">
        <v>21863</v>
      </c>
      <c r="C1607" s="8">
        <f>DATE(2012,12,31)-771</f>
        <v>40503</v>
      </c>
      <c r="D1607" s="8" t="str">
        <f t="shared" si="33"/>
        <v>2010-11 (ноябрь 2010)</v>
      </c>
      <c r="E1607" s="9" t="s">
        <v>45</v>
      </c>
      <c r="F1607" s="7">
        <v>27</v>
      </c>
      <c r="G1607" s="7">
        <v>85.77</v>
      </c>
      <c r="H1607" s="7">
        <v>0.03</v>
      </c>
      <c r="I1607" s="9" t="s">
        <v>22</v>
      </c>
      <c r="J1607" s="10">
        <v>-102.01649999999999</v>
      </c>
      <c r="K1607" s="11">
        <v>2.84</v>
      </c>
      <c r="L1607" s="11">
        <v>5.44</v>
      </c>
      <c r="M1607" s="9" t="s">
        <v>1098</v>
      </c>
      <c r="N1607" s="6" t="s">
        <v>672</v>
      </c>
      <c r="O1607" s="6" t="s">
        <v>673</v>
      </c>
      <c r="P1607" s="9" t="s">
        <v>25</v>
      </c>
      <c r="Q1607" s="9" t="s">
        <v>26</v>
      </c>
      <c r="R1607" s="9" t="s">
        <v>37</v>
      </c>
      <c r="S1607" s="7" t="s">
        <v>1117</v>
      </c>
      <c r="T1607" s="9" t="s">
        <v>39</v>
      </c>
      <c r="U1607" s="7">
        <v>0.36</v>
      </c>
      <c r="V1607" s="12">
        <f>C1607+1</f>
        <v>40504</v>
      </c>
      <c r="W1607">
        <f>IF(D1607=' Pivot Tables'!$A$4,1,0)</f>
        <v>0</v>
      </c>
      <c r="X1607">
        <f>IF(AND(LEFT(D1607,4)+1=LEFT(' Pivot Tables'!$A$4,4)+0,RIGHT(LEFT(D1607,7),2)=RIGHT(LEFT(' Pivot Tables'!$A$4,7),2)),1,0)</f>
        <v>0</v>
      </c>
      <c r="Y1607" s="6">
        <f>1/COUNTIF(Таблица1[Order ID],Таблица1[[#This Row],[Order ID]])</f>
        <v>0.5</v>
      </c>
      <c r="Z1607" s="9">
        <f>1/COUNTIFS(Таблица1[Customer Name],Таблица1[[#This Row],[Customer Name]],Таблица1[Order-Year-Month],Таблица1[[#This Row],[Order-Year-Month]])</f>
        <v>0.25</v>
      </c>
    </row>
    <row r="1608" spans="1:26" x14ac:dyDescent="0.2">
      <c r="A1608" s="6">
        <v>3051</v>
      </c>
      <c r="B1608" s="7">
        <v>21863</v>
      </c>
      <c r="C1608" s="8">
        <f>DATE(2012,12,31)-771</f>
        <v>40503</v>
      </c>
      <c r="D1608" s="8" t="str">
        <f t="shared" si="33"/>
        <v>2010-11 (ноябрь 2010)</v>
      </c>
      <c r="E1608" s="9" t="s">
        <v>45</v>
      </c>
      <c r="F1608" s="7">
        <v>13</v>
      </c>
      <c r="G1608" s="7">
        <v>149.31</v>
      </c>
      <c r="H1608" s="7">
        <v>0</v>
      </c>
      <c r="I1608" s="9" t="s">
        <v>22</v>
      </c>
      <c r="J1608" s="10">
        <v>7.7690000000000001</v>
      </c>
      <c r="K1608" s="11">
        <v>10.98</v>
      </c>
      <c r="L1608" s="11">
        <v>5.14</v>
      </c>
      <c r="M1608" s="9" t="s">
        <v>1098</v>
      </c>
      <c r="N1608" s="6" t="s">
        <v>672</v>
      </c>
      <c r="O1608" s="6" t="s">
        <v>673</v>
      </c>
      <c r="P1608" s="9" t="s">
        <v>25</v>
      </c>
      <c r="Q1608" s="9" t="s">
        <v>26</v>
      </c>
      <c r="R1608" s="9" t="s">
        <v>37</v>
      </c>
      <c r="S1608" s="7" t="s">
        <v>656</v>
      </c>
      <c r="T1608" s="9" t="s">
        <v>39</v>
      </c>
      <c r="U1608" s="7">
        <v>0.36</v>
      </c>
      <c r="V1608" s="12">
        <f>C1608+1</f>
        <v>40504</v>
      </c>
      <c r="W1608">
        <f>IF(D1608=' Pivot Tables'!$A$4,1,0)</f>
        <v>0</v>
      </c>
      <c r="X1608">
        <f>IF(AND(LEFT(D1608,4)+1=LEFT(' Pivot Tables'!$A$4,4)+0,RIGHT(LEFT(D1608,7),2)=RIGHT(LEFT(' Pivot Tables'!$A$4,7),2)),1,0)</f>
        <v>0</v>
      </c>
      <c r="Y1608" s="6">
        <f>1/COUNTIF(Таблица1[Order ID],Таблица1[[#This Row],[Order ID]])</f>
        <v>0.5</v>
      </c>
      <c r="Z1608" s="9">
        <f>1/COUNTIFS(Таблица1[Customer Name],Таблица1[[#This Row],[Customer Name]],Таблица1[Order-Year-Month],Таблица1[[#This Row],[Order-Year-Month]])</f>
        <v>0.25</v>
      </c>
    </row>
    <row r="1609" spans="1:26" x14ac:dyDescent="0.2">
      <c r="A1609" s="6">
        <v>3058</v>
      </c>
      <c r="B1609" s="7">
        <v>21894</v>
      </c>
      <c r="C1609" s="8">
        <f>DATE(2012,12,31)-379</f>
        <v>40895</v>
      </c>
      <c r="D1609" s="8" t="str">
        <f t="shared" si="33"/>
        <v>2011-12 (декабрь 2011)</v>
      </c>
      <c r="E1609" s="9" t="s">
        <v>78</v>
      </c>
      <c r="F1609" s="7">
        <v>6</v>
      </c>
      <c r="G1609" s="7">
        <v>54.3</v>
      </c>
      <c r="H1609" s="7">
        <v>0.1</v>
      </c>
      <c r="I1609" s="9" t="s">
        <v>22</v>
      </c>
      <c r="J1609" s="10">
        <v>1.27</v>
      </c>
      <c r="K1609" s="11">
        <v>9.68</v>
      </c>
      <c r="L1609" s="11">
        <v>2.0299999999999998</v>
      </c>
      <c r="M1609" s="9" t="s">
        <v>1118</v>
      </c>
      <c r="N1609" s="6" t="s">
        <v>672</v>
      </c>
      <c r="O1609" s="6" t="s">
        <v>673</v>
      </c>
      <c r="P1609" s="9" t="s">
        <v>33</v>
      </c>
      <c r="Q1609" s="9" t="s">
        <v>26</v>
      </c>
      <c r="R1609" s="9" t="s">
        <v>61</v>
      </c>
      <c r="S1609" s="7" t="s">
        <v>1119</v>
      </c>
      <c r="T1609" s="9" t="s">
        <v>68</v>
      </c>
      <c r="U1609" s="7">
        <v>0.37</v>
      </c>
      <c r="V1609" s="12">
        <f>C1609+2</f>
        <v>40897</v>
      </c>
      <c r="W1609">
        <f>IF(D1609=' Pivot Tables'!$A$4,1,0)</f>
        <v>0</v>
      </c>
      <c r="X1609">
        <f>IF(AND(LEFT(D1609,4)+1=LEFT(' Pivot Tables'!$A$4,4)+0,RIGHT(LEFT(D1609,7),2)=RIGHT(LEFT(' Pivot Tables'!$A$4,7),2)),1,0)</f>
        <v>0</v>
      </c>
      <c r="Y1609" s="6">
        <f>1/COUNTIF(Таблица1[Order ID],Таблица1[[#This Row],[Order ID]])</f>
        <v>1</v>
      </c>
      <c r="Z1609" s="9">
        <f>1/COUNTIFS(Таблица1[Customer Name],Таблица1[[#This Row],[Customer Name]],Таблица1[Order-Year-Month],Таблица1[[#This Row],[Order-Year-Month]])</f>
        <v>1</v>
      </c>
    </row>
    <row r="1610" spans="1:26" x14ac:dyDescent="0.2">
      <c r="A1610" s="6">
        <v>3072</v>
      </c>
      <c r="B1610" s="7">
        <v>22022</v>
      </c>
      <c r="C1610" s="8">
        <f>DATE(2012,12,31)-1003</f>
        <v>40271</v>
      </c>
      <c r="D1610" s="8" t="str">
        <f t="shared" si="33"/>
        <v>2010-04 (апрель 2010)</v>
      </c>
      <c r="E1610" s="9" t="s">
        <v>78</v>
      </c>
      <c r="F1610" s="7">
        <v>1</v>
      </c>
      <c r="G1610" s="7">
        <v>1409.86</v>
      </c>
      <c r="H1610" s="7">
        <v>7.0000000000000007E-2</v>
      </c>
      <c r="I1610" s="9" t="s">
        <v>31</v>
      </c>
      <c r="J1610" s="10">
        <v>-3461.1210000000001</v>
      </c>
      <c r="K1610" s="11">
        <v>1500.97</v>
      </c>
      <c r="L1610" s="11">
        <v>29.7</v>
      </c>
      <c r="M1610" s="9" t="s">
        <v>1090</v>
      </c>
      <c r="N1610" s="6" t="s">
        <v>672</v>
      </c>
      <c r="O1610" s="6" t="s">
        <v>673</v>
      </c>
      <c r="P1610" s="9" t="s">
        <v>25</v>
      </c>
      <c r="Q1610" s="9" t="s">
        <v>42</v>
      </c>
      <c r="R1610" s="9" t="s">
        <v>210</v>
      </c>
      <c r="S1610" s="7" t="s">
        <v>316</v>
      </c>
      <c r="T1610" s="9" t="s">
        <v>36</v>
      </c>
      <c r="U1610" s="7">
        <v>0.56999999999999995</v>
      </c>
      <c r="V1610" s="12">
        <f>C1610+1</f>
        <v>40272</v>
      </c>
      <c r="W1610">
        <f>IF(D1610=' Pivot Tables'!$A$4,1,0)</f>
        <v>0</v>
      </c>
      <c r="X1610">
        <f>IF(AND(LEFT(D1610,4)+1=LEFT(' Pivot Tables'!$A$4,4)+0,RIGHT(LEFT(D1610,7),2)=RIGHT(LEFT(' Pivot Tables'!$A$4,7),2)),1,0)</f>
        <v>0</v>
      </c>
      <c r="Y1610" s="6">
        <f>1/COUNTIF(Таблица1[Order ID],Таблица1[[#This Row],[Order ID]])</f>
        <v>1</v>
      </c>
      <c r="Z1610" s="9">
        <f>1/COUNTIFS(Таблица1[Customer Name],Таблица1[[#This Row],[Customer Name]],Таблица1[Order-Year-Month],Таблица1[[#This Row],[Order-Year-Month]])</f>
        <v>1</v>
      </c>
    </row>
    <row r="1611" spans="1:26" x14ac:dyDescent="0.2">
      <c r="A1611" s="6">
        <v>3159</v>
      </c>
      <c r="B1611" s="7">
        <v>22663</v>
      </c>
      <c r="C1611" s="8">
        <f>DATE(2012,12,31)-355</f>
        <v>40919</v>
      </c>
      <c r="D1611" s="8" t="str">
        <f t="shared" si="33"/>
        <v>2012-01 (январь 2012)</v>
      </c>
      <c r="E1611" s="9" t="s">
        <v>21</v>
      </c>
      <c r="F1611" s="7">
        <v>35</v>
      </c>
      <c r="G1611" s="7">
        <v>9843.11</v>
      </c>
      <c r="H1611" s="7">
        <v>7.0000000000000007E-2</v>
      </c>
      <c r="I1611" s="9" t="s">
        <v>31</v>
      </c>
      <c r="J1611" s="10">
        <v>-384.6</v>
      </c>
      <c r="K1611" s="11">
        <v>280.98</v>
      </c>
      <c r="L1611" s="11">
        <v>57</v>
      </c>
      <c r="M1611" s="9" t="s">
        <v>1108</v>
      </c>
      <c r="N1611" s="6" t="s">
        <v>672</v>
      </c>
      <c r="O1611" s="6" t="s">
        <v>673</v>
      </c>
      <c r="P1611" s="9" t="s">
        <v>41</v>
      </c>
      <c r="Q1611" s="9" t="s">
        <v>49</v>
      </c>
      <c r="R1611" s="9" t="s">
        <v>112</v>
      </c>
      <c r="S1611" s="7" t="s">
        <v>697</v>
      </c>
      <c r="T1611" s="9" t="s">
        <v>36</v>
      </c>
      <c r="U1611" s="7">
        <v>0.78</v>
      </c>
      <c r="V1611" s="12">
        <f>C1611+0</f>
        <v>40919</v>
      </c>
      <c r="W1611">
        <f>IF(D1611=' Pivot Tables'!$A$4,1,0)</f>
        <v>0</v>
      </c>
      <c r="X1611">
        <f>IF(AND(LEFT(D1611,4)+1=LEFT(' Pivot Tables'!$A$4,4)+0,RIGHT(LEFT(D1611,7),2)=RIGHT(LEFT(' Pivot Tables'!$A$4,7),2)),1,0)</f>
        <v>0</v>
      </c>
      <c r="Y1611" s="6">
        <f>1/COUNTIF(Таблица1[Order ID],Таблица1[[#This Row],[Order ID]])</f>
        <v>0.5</v>
      </c>
      <c r="Z1611" s="9">
        <f>1/COUNTIFS(Таблица1[Customer Name],Таблица1[[#This Row],[Customer Name]],Таблица1[Order-Year-Month],Таблица1[[#This Row],[Order-Year-Month]])</f>
        <v>0.14285714285714285</v>
      </c>
    </row>
    <row r="1612" spans="1:26" x14ac:dyDescent="0.2">
      <c r="A1612" s="6">
        <v>3160</v>
      </c>
      <c r="B1612" s="7">
        <v>22663</v>
      </c>
      <c r="C1612" s="8">
        <f>DATE(2012,12,31)-355</f>
        <v>40919</v>
      </c>
      <c r="D1612" s="8" t="str">
        <f t="shared" si="33"/>
        <v>2012-01 (январь 2012)</v>
      </c>
      <c r="E1612" s="9" t="s">
        <v>21</v>
      </c>
      <c r="F1612" s="7">
        <v>15</v>
      </c>
      <c r="G1612" s="7">
        <v>7190.06</v>
      </c>
      <c r="H1612" s="7">
        <v>0.08</v>
      </c>
      <c r="I1612" s="9" t="s">
        <v>31</v>
      </c>
      <c r="J1612" s="10">
        <v>1908.45</v>
      </c>
      <c r="K1612" s="11">
        <v>500.98</v>
      </c>
      <c r="L1612" s="11">
        <v>28.14</v>
      </c>
      <c r="M1612" s="9" t="s">
        <v>1108</v>
      </c>
      <c r="N1612" s="6" t="s">
        <v>672</v>
      </c>
      <c r="O1612" s="6" t="s">
        <v>673</v>
      </c>
      <c r="P1612" s="9" t="s">
        <v>41</v>
      </c>
      <c r="Q1612" s="9" t="s">
        <v>42</v>
      </c>
      <c r="R1612" s="9" t="s">
        <v>210</v>
      </c>
      <c r="S1612" s="7" t="s">
        <v>1016</v>
      </c>
      <c r="T1612" s="9" t="s">
        <v>36</v>
      </c>
      <c r="U1612" s="7">
        <v>0.38</v>
      </c>
      <c r="V1612" s="12">
        <f>C1612+5</f>
        <v>40924</v>
      </c>
      <c r="W1612">
        <f>IF(D1612=' Pivot Tables'!$A$4,1,0)</f>
        <v>0</v>
      </c>
      <c r="X1612">
        <f>IF(AND(LEFT(D1612,4)+1=LEFT(' Pivot Tables'!$A$4,4)+0,RIGHT(LEFT(D1612,7),2)=RIGHT(LEFT(' Pivot Tables'!$A$4,7),2)),1,0)</f>
        <v>0</v>
      </c>
      <c r="Y1612" s="6">
        <f>1/COUNTIF(Таблица1[Order ID],Таблица1[[#This Row],[Order ID]])</f>
        <v>0.5</v>
      </c>
      <c r="Z1612" s="9">
        <f>1/COUNTIFS(Таблица1[Customer Name],Таблица1[[#This Row],[Customer Name]],Таблица1[Order-Year-Month],Таблица1[[#This Row],[Order-Year-Month]])</f>
        <v>0.14285714285714285</v>
      </c>
    </row>
    <row r="1613" spans="1:26" x14ac:dyDescent="0.2">
      <c r="A1613" s="6">
        <v>3317</v>
      </c>
      <c r="B1613" s="7">
        <v>23713</v>
      </c>
      <c r="C1613" s="8">
        <f>DATE(2012,12,31)-33</f>
        <v>41241</v>
      </c>
      <c r="D1613" s="8" t="str">
        <f t="shared" si="33"/>
        <v>2012-11 (ноябрь 2012)</v>
      </c>
      <c r="E1613" s="9" t="s">
        <v>45</v>
      </c>
      <c r="F1613" s="7">
        <v>38</v>
      </c>
      <c r="G1613" s="7">
        <v>3701.5204999999996</v>
      </c>
      <c r="H1613" s="7">
        <v>0.05</v>
      </c>
      <c r="I1613" s="9" t="s">
        <v>22</v>
      </c>
      <c r="J1613" s="10">
        <v>894.06</v>
      </c>
      <c r="K1613" s="11">
        <v>115.99</v>
      </c>
      <c r="L1613" s="11">
        <v>5.92</v>
      </c>
      <c r="M1613" s="9" t="s">
        <v>1118</v>
      </c>
      <c r="N1613" s="6" t="s">
        <v>672</v>
      </c>
      <c r="O1613" s="6" t="s">
        <v>673</v>
      </c>
      <c r="P1613" s="9" t="s">
        <v>33</v>
      </c>
      <c r="Q1613" s="9" t="s">
        <v>42</v>
      </c>
      <c r="R1613" s="9" t="s">
        <v>43</v>
      </c>
      <c r="S1613" s="7" t="s">
        <v>977</v>
      </c>
      <c r="T1613" s="9" t="s">
        <v>39</v>
      </c>
      <c r="U1613" s="7">
        <v>0.57999999999999996</v>
      </c>
      <c r="V1613" s="12">
        <f>C1613+3</f>
        <v>41244</v>
      </c>
      <c r="W1613">
        <f>IF(D1613=' Pivot Tables'!$A$4,1,0)</f>
        <v>0</v>
      </c>
      <c r="X1613">
        <f>IF(AND(LEFT(D1613,4)+1=LEFT(' Pivot Tables'!$A$4,4)+0,RIGHT(LEFT(D1613,7),2)=RIGHT(LEFT(' Pivot Tables'!$A$4,7),2)),1,0)</f>
        <v>0</v>
      </c>
      <c r="Y1613" s="6">
        <f>1/COUNTIF(Таблица1[Order ID],Таблица1[[#This Row],[Order ID]])</f>
        <v>1</v>
      </c>
      <c r="Z1613" s="9">
        <f>1/COUNTIFS(Таблица1[Customer Name],Таблица1[[#This Row],[Customer Name]],Таблица1[Order-Year-Month],Таблица1[[#This Row],[Order-Year-Month]])</f>
        <v>1</v>
      </c>
    </row>
    <row r="1614" spans="1:26" x14ac:dyDescent="0.2">
      <c r="A1614" s="6">
        <v>3411</v>
      </c>
      <c r="B1614" s="7">
        <v>24358</v>
      </c>
      <c r="C1614" s="8">
        <f>DATE(2012,12,31)-1325</f>
        <v>39949</v>
      </c>
      <c r="D1614" s="8" t="str">
        <f t="shared" si="33"/>
        <v>2009-05 (май 2009)</v>
      </c>
      <c r="E1614" s="9" t="s">
        <v>78</v>
      </c>
      <c r="F1614" s="7">
        <v>27</v>
      </c>
      <c r="G1614" s="7">
        <v>7333.45</v>
      </c>
      <c r="H1614" s="7">
        <v>7.0000000000000007E-2</v>
      </c>
      <c r="I1614" s="9" t="s">
        <v>22</v>
      </c>
      <c r="J1614" s="10">
        <v>-207.28</v>
      </c>
      <c r="K1614" s="11">
        <v>279.48</v>
      </c>
      <c r="L1614" s="11">
        <v>35</v>
      </c>
      <c r="M1614" s="9" t="s">
        <v>1098</v>
      </c>
      <c r="N1614" s="6" t="s">
        <v>672</v>
      </c>
      <c r="O1614" s="6" t="s">
        <v>673</v>
      </c>
      <c r="P1614" s="9" t="s">
        <v>25</v>
      </c>
      <c r="Q1614" s="9" t="s">
        <v>26</v>
      </c>
      <c r="R1614" s="9" t="s">
        <v>27</v>
      </c>
      <c r="S1614" s="7" t="s">
        <v>180</v>
      </c>
      <c r="T1614" s="9" t="s">
        <v>29</v>
      </c>
      <c r="U1614" s="7">
        <v>0.8</v>
      </c>
      <c r="V1614" s="12">
        <f>C1614+0</f>
        <v>39949</v>
      </c>
      <c r="W1614">
        <f>IF(D1614=' Pivot Tables'!$A$4,1,0)</f>
        <v>0</v>
      </c>
      <c r="X1614">
        <f>IF(AND(LEFT(D1614,4)+1=LEFT(' Pivot Tables'!$A$4,4)+0,RIGHT(LEFT(D1614,7),2)=RIGHT(LEFT(' Pivot Tables'!$A$4,7),2)),1,0)</f>
        <v>0</v>
      </c>
      <c r="Y1614" s="6">
        <f>1/COUNTIF(Таблица1[Order ID],Таблица1[[#This Row],[Order ID]])</f>
        <v>1</v>
      </c>
      <c r="Z1614" s="9">
        <f>1/COUNTIFS(Таблица1[Customer Name],Таблица1[[#This Row],[Customer Name]],Таблица1[Order-Year-Month],Таблица1[[#This Row],[Order-Year-Month]])</f>
        <v>1</v>
      </c>
    </row>
    <row r="1615" spans="1:26" x14ac:dyDescent="0.2">
      <c r="A1615" s="6">
        <v>3415</v>
      </c>
      <c r="B1615" s="7">
        <v>24386</v>
      </c>
      <c r="C1615" s="8">
        <f>DATE(2012,12,31)-188</f>
        <v>41086</v>
      </c>
      <c r="D1615" s="8" t="str">
        <f t="shared" si="33"/>
        <v>2012-06 (июнь 2012)</v>
      </c>
      <c r="E1615" s="9" t="s">
        <v>30</v>
      </c>
      <c r="F1615" s="7">
        <v>41</v>
      </c>
      <c r="G1615" s="7">
        <v>4256.51</v>
      </c>
      <c r="H1615" s="7">
        <v>0.03</v>
      </c>
      <c r="I1615" s="9" t="s">
        <v>22</v>
      </c>
      <c r="J1615" s="10">
        <v>1653.96</v>
      </c>
      <c r="K1615" s="11">
        <v>100.97</v>
      </c>
      <c r="L1615" s="11">
        <v>7.18</v>
      </c>
      <c r="M1615" s="9" t="s">
        <v>1099</v>
      </c>
      <c r="N1615" s="6" t="s">
        <v>672</v>
      </c>
      <c r="O1615" s="6" t="s">
        <v>673</v>
      </c>
      <c r="P1615" s="9" t="s">
        <v>41</v>
      </c>
      <c r="Q1615" s="9" t="s">
        <v>42</v>
      </c>
      <c r="R1615" s="9" t="s">
        <v>70</v>
      </c>
      <c r="S1615" s="7" t="s">
        <v>1078</v>
      </c>
      <c r="T1615" s="9" t="s">
        <v>39</v>
      </c>
      <c r="U1615" s="7">
        <v>0.46</v>
      </c>
      <c r="V1615" s="12">
        <f>C1615+2</f>
        <v>41088</v>
      </c>
      <c r="W1615">
        <f>IF(D1615=' Pivot Tables'!$A$4,1,0)</f>
        <v>0</v>
      </c>
      <c r="X1615">
        <f>IF(AND(LEFT(D1615,4)+1=LEFT(' Pivot Tables'!$A$4,4)+0,RIGHT(LEFT(D1615,7),2)=RIGHT(LEFT(' Pivot Tables'!$A$4,7),2)),1,0)</f>
        <v>0</v>
      </c>
      <c r="Y1615" s="6">
        <f>1/COUNTIF(Таблица1[Order ID],Таблица1[[#This Row],[Order ID]])</f>
        <v>0.33333333333333331</v>
      </c>
      <c r="Z1615" s="9">
        <f>1/COUNTIFS(Таблица1[Customer Name],Таблица1[[#This Row],[Customer Name]],Таблица1[Order-Year-Month],Таблица1[[#This Row],[Order-Year-Month]])</f>
        <v>0.33333333333333331</v>
      </c>
    </row>
    <row r="1616" spans="1:26" x14ac:dyDescent="0.2">
      <c r="A1616" s="6">
        <v>3416</v>
      </c>
      <c r="B1616" s="7">
        <v>24386</v>
      </c>
      <c r="C1616" s="8">
        <f>DATE(2012,12,31)-188</f>
        <v>41086</v>
      </c>
      <c r="D1616" s="8" t="str">
        <f t="shared" si="33"/>
        <v>2012-06 (июнь 2012)</v>
      </c>
      <c r="E1616" s="9" t="s">
        <v>30</v>
      </c>
      <c r="F1616" s="7">
        <v>12</v>
      </c>
      <c r="G1616" s="7">
        <v>503.08</v>
      </c>
      <c r="H1616" s="7">
        <v>0.01</v>
      </c>
      <c r="I1616" s="9" t="s">
        <v>22</v>
      </c>
      <c r="J1616" s="10">
        <v>-102.74</v>
      </c>
      <c r="K1616" s="11">
        <v>40.98</v>
      </c>
      <c r="L1616" s="11">
        <v>6.5</v>
      </c>
      <c r="M1616" s="9" t="s">
        <v>1099</v>
      </c>
      <c r="N1616" s="6" t="s">
        <v>672</v>
      </c>
      <c r="O1616" s="6" t="s">
        <v>673</v>
      </c>
      <c r="P1616" s="9" t="s">
        <v>41</v>
      </c>
      <c r="Q1616" s="9" t="s">
        <v>42</v>
      </c>
      <c r="R1616" s="9" t="s">
        <v>70</v>
      </c>
      <c r="S1616" s="7" t="s">
        <v>1120</v>
      </c>
      <c r="T1616" s="9" t="s">
        <v>39</v>
      </c>
      <c r="U1616" s="7">
        <v>0.74</v>
      </c>
      <c r="V1616" s="12">
        <f>C1616+2</f>
        <v>41088</v>
      </c>
      <c r="W1616">
        <f>IF(D1616=' Pivot Tables'!$A$4,1,0)</f>
        <v>0</v>
      </c>
      <c r="X1616">
        <f>IF(AND(LEFT(D1616,4)+1=LEFT(' Pivot Tables'!$A$4,4)+0,RIGHT(LEFT(D1616,7),2)=RIGHT(LEFT(' Pivot Tables'!$A$4,7),2)),1,0)</f>
        <v>0</v>
      </c>
      <c r="Y1616" s="6">
        <f>1/COUNTIF(Таблица1[Order ID],Таблица1[[#This Row],[Order ID]])</f>
        <v>0.33333333333333331</v>
      </c>
      <c r="Z1616" s="9">
        <f>1/COUNTIFS(Таблица1[Customer Name],Таблица1[[#This Row],[Customer Name]],Таблица1[Order-Year-Month],Таблица1[[#This Row],[Order-Year-Month]])</f>
        <v>0.33333333333333331</v>
      </c>
    </row>
    <row r="1617" spans="1:26" x14ac:dyDescent="0.2">
      <c r="A1617" s="6">
        <v>3417</v>
      </c>
      <c r="B1617" s="7">
        <v>24386</v>
      </c>
      <c r="C1617" s="8">
        <f>DATE(2012,12,31)-188</f>
        <v>41086</v>
      </c>
      <c r="D1617" s="8" t="str">
        <f t="shared" si="33"/>
        <v>2012-06 (июнь 2012)</v>
      </c>
      <c r="E1617" s="9" t="s">
        <v>30</v>
      </c>
      <c r="F1617" s="7">
        <v>15</v>
      </c>
      <c r="G1617" s="7">
        <v>76.94</v>
      </c>
      <c r="H1617" s="7">
        <v>0</v>
      </c>
      <c r="I1617" s="9" t="s">
        <v>56</v>
      </c>
      <c r="J1617" s="10">
        <v>29.67</v>
      </c>
      <c r="K1617" s="11">
        <v>4.13</v>
      </c>
      <c r="L1617" s="11">
        <v>0.99</v>
      </c>
      <c r="M1617" s="9" t="s">
        <v>1099</v>
      </c>
      <c r="N1617" s="6" t="s">
        <v>672</v>
      </c>
      <c r="O1617" s="6" t="s">
        <v>673</v>
      </c>
      <c r="P1617" s="9" t="s">
        <v>41</v>
      </c>
      <c r="Q1617" s="9" t="s">
        <v>26</v>
      </c>
      <c r="R1617" s="9" t="s">
        <v>88</v>
      </c>
      <c r="S1617" s="7" t="s">
        <v>492</v>
      </c>
      <c r="T1617" s="9" t="s">
        <v>39</v>
      </c>
      <c r="U1617" s="7">
        <v>0.39</v>
      </c>
      <c r="V1617" s="12">
        <f>C1617+1</f>
        <v>41087</v>
      </c>
      <c r="W1617">
        <f>IF(D1617=' Pivot Tables'!$A$4,1,0)</f>
        <v>0</v>
      </c>
      <c r="X1617">
        <f>IF(AND(LEFT(D1617,4)+1=LEFT(' Pivot Tables'!$A$4,4)+0,RIGHT(LEFT(D1617,7),2)=RIGHT(LEFT(' Pivot Tables'!$A$4,7),2)),1,0)</f>
        <v>0</v>
      </c>
      <c r="Y1617" s="6">
        <f>1/COUNTIF(Таблица1[Order ID],Таблица1[[#This Row],[Order ID]])</f>
        <v>0.33333333333333331</v>
      </c>
      <c r="Z1617" s="9">
        <f>1/COUNTIFS(Таблица1[Customer Name],Таблица1[[#This Row],[Customer Name]],Таблица1[Order-Year-Month],Таблица1[[#This Row],[Order-Year-Month]])</f>
        <v>0.33333333333333331</v>
      </c>
    </row>
    <row r="1618" spans="1:26" x14ac:dyDescent="0.2">
      <c r="A1618" s="6">
        <v>3494</v>
      </c>
      <c r="B1618" s="7">
        <v>24899</v>
      </c>
      <c r="C1618" s="8">
        <f>DATE(2012,12,31)-499</f>
        <v>40775</v>
      </c>
      <c r="D1618" s="8" t="str">
        <f t="shared" si="33"/>
        <v>2011-08 (август 2011)</v>
      </c>
      <c r="E1618" s="9" t="s">
        <v>45</v>
      </c>
      <c r="F1618" s="7">
        <v>37</v>
      </c>
      <c r="G1618" s="7">
        <v>252.99</v>
      </c>
      <c r="H1618" s="7">
        <v>0.08</v>
      </c>
      <c r="I1618" s="9" t="s">
        <v>22</v>
      </c>
      <c r="J1618" s="10">
        <v>28.76</v>
      </c>
      <c r="K1618" s="11">
        <v>7.08</v>
      </c>
      <c r="L1618" s="11">
        <v>2.35</v>
      </c>
      <c r="M1618" s="9" t="s">
        <v>1108</v>
      </c>
      <c r="N1618" s="6" t="s">
        <v>672</v>
      </c>
      <c r="O1618" s="6" t="s">
        <v>673</v>
      </c>
      <c r="P1618" s="9" t="s">
        <v>60</v>
      </c>
      <c r="Q1618" s="9" t="s">
        <v>26</v>
      </c>
      <c r="R1618" s="9" t="s">
        <v>95</v>
      </c>
      <c r="S1618" s="7" t="s">
        <v>286</v>
      </c>
      <c r="T1618" s="9" t="s">
        <v>68</v>
      </c>
      <c r="U1618" s="7">
        <v>0.47</v>
      </c>
      <c r="V1618" s="12">
        <f>C1618+2</f>
        <v>40777</v>
      </c>
      <c r="W1618">
        <f>IF(D1618=' Pivot Tables'!$A$4,1,0)</f>
        <v>0</v>
      </c>
      <c r="X1618">
        <f>IF(AND(LEFT(D1618,4)+1=LEFT(' Pivot Tables'!$A$4,4)+0,RIGHT(LEFT(D1618,7),2)=RIGHT(LEFT(' Pivot Tables'!$A$4,7),2)),1,0)</f>
        <v>0</v>
      </c>
      <c r="Y1618" s="6">
        <f>1/COUNTIF(Таблица1[Order ID],Таблица1[[#This Row],[Order ID]])</f>
        <v>1</v>
      </c>
      <c r="Z1618" s="9">
        <f>1/COUNTIFS(Таблица1[Customer Name],Таблица1[[#This Row],[Customer Name]],Таблица1[Order-Year-Month],Таблица1[[#This Row],[Order-Year-Month]])</f>
        <v>0.5</v>
      </c>
    </row>
    <row r="1619" spans="1:26" x14ac:dyDescent="0.2">
      <c r="A1619" s="6">
        <v>3571</v>
      </c>
      <c r="B1619" s="7">
        <v>25473</v>
      </c>
      <c r="C1619" s="8">
        <f>DATE(2012,12,31)-78</f>
        <v>41196</v>
      </c>
      <c r="D1619" s="8" t="str">
        <f t="shared" si="33"/>
        <v>2012-10 (октябрь 2012)</v>
      </c>
      <c r="E1619" s="9" t="s">
        <v>30</v>
      </c>
      <c r="F1619" s="7">
        <v>36</v>
      </c>
      <c r="G1619" s="7">
        <v>17304.849999999999</v>
      </c>
      <c r="H1619" s="7">
        <v>0.05</v>
      </c>
      <c r="I1619" s="9" t="s">
        <v>31</v>
      </c>
      <c r="J1619" s="10">
        <v>7434.48</v>
      </c>
      <c r="K1619" s="11">
        <v>500.98</v>
      </c>
      <c r="L1619" s="11">
        <v>28.14</v>
      </c>
      <c r="M1619" s="9" t="s">
        <v>1103</v>
      </c>
      <c r="N1619" s="6" t="s">
        <v>672</v>
      </c>
      <c r="O1619" s="6" t="s">
        <v>673</v>
      </c>
      <c r="P1619" s="9" t="s">
        <v>41</v>
      </c>
      <c r="Q1619" s="9" t="s">
        <v>42</v>
      </c>
      <c r="R1619" s="9" t="s">
        <v>210</v>
      </c>
      <c r="S1619" s="7" t="s">
        <v>1016</v>
      </c>
      <c r="T1619" s="9" t="s">
        <v>36</v>
      </c>
      <c r="U1619" s="7">
        <v>0.38</v>
      </c>
      <c r="V1619" s="12">
        <f>C1619+2</f>
        <v>41198</v>
      </c>
      <c r="W1619">
        <f>IF(D1619=' Pivot Tables'!$A$4,1,0)</f>
        <v>0</v>
      </c>
      <c r="X1619">
        <f>IF(AND(LEFT(D1619,4)+1=LEFT(' Pivot Tables'!$A$4,4)+0,RIGHT(LEFT(D1619,7),2)=RIGHT(LEFT(' Pivot Tables'!$A$4,7),2)),1,0)</f>
        <v>0</v>
      </c>
      <c r="Y1619" s="6">
        <f>1/COUNTIF(Таблица1[Order ID],Таблица1[[#This Row],[Order ID]])</f>
        <v>0.5</v>
      </c>
      <c r="Z1619" s="9">
        <f>1/COUNTIFS(Таблица1[Customer Name],Таблица1[[#This Row],[Customer Name]],Таблица1[Order-Year-Month],Таблица1[[#This Row],[Order-Year-Month]])</f>
        <v>0.5</v>
      </c>
    </row>
    <row r="1620" spans="1:26" x14ac:dyDescent="0.2">
      <c r="A1620" s="6">
        <v>3572</v>
      </c>
      <c r="B1620" s="7">
        <v>25473</v>
      </c>
      <c r="C1620" s="8">
        <f>DATE(2012,12,31)-78</f>
        <v>41196</v>
      </c>
      <c r="D1620" s="8" t="str">
        <f t="shared" si="33"/>
        <v>2012-10 (октябрь 2012)</v>
      </c>
      <c r="E1620" s="9" t="s">
        <v>30</v>
      </c>
      <c r="F1620" s="7">
        <v>20</v>
      </c>
      <c r="G1620" s="7">
        <v>794.32</v>
      </c>
      <c r="H1620" s="7">
        <v>0.08</v>
      </c>
      <c r="I1620" s="9" t="s">
        <v>22</v>
      </c>
      <c r="J1620" s="10">
        <v>67.61</v>
      </c>
      <c r="K1620" s="11">
        <v>40.99</v>
      </c>
      <c r="L1620" s="11">
        <v>17.48</v>
      </c>
      <c r="M1620" s="9" t="s">
        <v>1103</v>
      </c>
      <c r="N1620" s="6" t="s">
        <v>672</v>
      </c>
      <c r="O1620" s="6" t="s">
        <v>673</v>
      </c>
      <c r="P1620" s="9" t="s">
        <v>41</v>
      </c>
      <c r="Q1620" s="9" t="s">
        <v>26</v>
      </c>
      <c r="R1620" s="9" t="s">
        <v>61</v>
      </c>
      <c r="S1620" s="7" t="s">
        <v>236</v>
      </c>
      <c r="T1620" s="9" t="s">
        <v>39</v>
      </c>
      <c r="U1620" s="7">
        <v>0.36</v>
      </c>
      <c r="V1620" s="12">
        <f>C1620+3</f>
        <v>41199</v>
      </c>
      <c r="W1620">
        <f>IF(D1620=' Pivot Tables'!$A$4,1,0)</f>
        <v>0</v>
      </c>
      <c r="X1620">
        <f>IF(AND(LEFT(D1620,4)+1=LEFT(' Pivot Tables'!$A$4,4)+0,RIGHT(LEFT(D1620,7),2)=RIGHT(LEFT(' Pivot Tables'!$A$4,7),2)),1,0)</f>
        <v>0</v>
      </c>
      <c r="Y1620" s="6">
        <f>1/COUNTIF(Таблица1[Order ID],Таблица1[[#This Row],[Order ID]])</f>
        <v>0.5</v>
      </c>
      <c r="Z1620" s="9">
        <f>1/COUNTIFS(Таблица1[Customer Name],Таблица1[[#This Row],[Customer Name]],Таблица1[Order-Year-Month],Таблица1[[#This Row],[Order-Year-Month]])</f>
        <v>0.5</v>
      </c>
    </row>
    <row r="1621" spans="1:26" x14ac:dyDescent="0.2">
      <c r="A1621" s="6">
        <v>3596</v>
      </c>
      <c r="B1621" s="7">
        <v>25638</v>
      </c>
      <c r="C1621" s="8">
        <f>DATE(2012,12,31)-1243</f>
        <v>40031</v>
      </c>
      <c r="D1621" s="8" t="str">
        <f t="shared" si="33"/>
        <v>2009-08 (август 2009)</v>
      </c>
      <c r="E1621" s="9" t="s">
        <v>30</v>
      </c>
      <c r="F1621" s="7">
        <v>31</v>
      </c>
      <c r="G1621" s="7">
        <v>163.89</v>
      </c>
      <c r="H1621" s="7">
        <v>0.02</v>
      </c>
      <c r="I1621" s="9" t="s">
        <v>22</v>
      </c>
      <c r="J1621" s="10">
        <v>-108.55</v>
      </c>
      <c r="K1621" s="11">
        <v>4.8899999999999997</v>
      </c>
      <c r="L1621" s="11">
        <v>4.93</v>
      </c>
      <c r="M1621" s="9" t="s">
        <v>1121</v>
      </c>
      <c r="N1621" s="6" t="s">
        <v>672</v>
      </c>
      <c r="O1621" s="6" t="s">
        <v>673</v>
      </c>
      <c r="P1621" s="9" t="s">
        <v>41</v>
      </c>
      <c r="Q1621" s="9" t="s">
        <v>42</v>
      </c>
      <c r="R1621" s="9" t="s">
        <v>70</v>
      </c>
      <c r="S1621" s="7" t="s">
        <v>93</v>
      </c>
      <c r="T1621" s="9" t="s">
        <v>52</v>
      </c>
      <c r="U1621" s="7">
        <v>0.66</v>
      </c>
      <c r="V1621" s="12">
        <f>C1621+1</f>
        <v>40032</v>
      </c>
      <c r="W1621">
        <f>IF(D1621=' Pivot Tables'!$A$4,1,0)</f>
        <v>0</v>
      </c>
      <c r="X1621">
        <f>IF(AND(LEFT(D1621,4)+1=LEFT(' Pivot Tables'!$A$4,4)+0,RIGHT(LEFT(D1621,7),2)=RIGHT(LEFT(' Pivot Tables'!$A$4,7),2)),1,0)</f>
        <v>0</v>
      </c>
      <c r="Y1621" s="6">
        <f>1/COUNTIF(Таблица1[Order ID],Таблица1[[#This Row],[Order ID]])</f>
        <v>0.5</v>
      </c>
      <c r="Z1621" s="9">
        <f>1/COUNTIFS(Таблица1[Customer Name],Таблица1[[#This Row],[Customer Name]],Таблица1[Order-Year-Month],Таблица1[[#This Row],[Order-Year-Month]])</f>
        <v>0.5</v>
      </c>
    </row>
    <row r="1622" spans="1:26" x14ac:dyDescent="0.2">
      <c r="A1622" s="6">
        <v>3597</v>
      </c>
      <c r="B1622" s="7">
        <v>25638</v>
      </c>
      <c r="C1622" s="8">
        <f>DATE(2012,12,31)-1243</f>
        <v>40031</v>
      </c>
      <c r="D1622" s="8" t="str">
        <f t="shared" si="33"/>
        <v>2009-08 (август 2009)</v>
      </c>
      <c r="E1622" s="9" t="s">
        <v>30</v>
      </c>
      <c r="F1622" s="7">
        <v>12</v>
      </c>
      <c r="G1622" s="7">
        <v>115.45</v>
      </c>
      <c r="H1622" s="7">
        <v>7.0000000000000007E-2</v>
      </c>
      <c r="I1622" s="9" t="s">
        <v>22</v>
      </c>
      <c r="J1622" s="10">
        <v>23.53</v>
      </c>
      <c r="K1622" s="11">
        <v>10.06</v>
      </c>
      <c r="L1622" s="11">
        <v>2.06</v>
      </c>
      <c r="M1622" s="9" t="s">
        <v>1121</v>
      </c>
      <c r="N1622" s="6" t="s">
        <v>672</v>
      </c>
      <c r="O1622" s="6" t="s">
        <v>673</v>
      </c>
      <c r="P1622" s="9" t="s">
        <v>41</v>
      </c>
      <c r="Q1622" s="9" t="s">
        <v>26</v>
      </c>
      <c r="R1622" s="9" t="s">
        <v>61</v>
      </c>
      <c r="S1622" s="7" t="s">
        <v>602</v>
      </c>
      <c r="T1622" s="9" t="s">
        <v>68</v>
      </c>
      <c r="U1622" s="7">
        <v>0.39</v>
      </c>
      <c r="V1622" s="12">
        <f>C1622+1</f>
        <v>40032</v>
      </c>
      <c r="W1622">
        <f>IF(D1622=' Pivot Tables'!$A$4,1,0)</f>
        <v>0</v>
      </c>
      <c r="X1622">
        <f>IF(AND(LEFT(D1622,4)+1=LEFT(' Pivot Tables'!$A$4,4)+0,RIGHT(LEFT(D1622,7),2)=RIGHT(LEFT(' Pivot Tables'!$A$4,7),2)),1,0)</f>
        <v>0</v>
      </c>
      <c r="Y1622" s="6">
        <f>1/COUNTIF(Таблица1[Order ID],Таблица1[[#This Row],[Order ID]])</f>
        <v>0.5</v>
      </c>
      <c r="Z1622" s="9">
        <f>1/COUNTIFS(Таблица1[Customer Name],Таблица1[[#This Row],[Customer Name]],Таблица1[Order-Year-Month],Таблица1[[#This Row],[Order-Year-Month]])</f>
        <v>0.5</v>
      </c>
    </row>
    <row r="1623" spans="1:26" x14ac:dyDescent="0.2">
      <c r="A1623" s="6">
        <v>3638</v>
      </c>
      <c r="B1623" s="7">
        <v>26016</v>
      </c>
      <c r="C1623" s="8">
        <f>DATE(2012,12,31)-1181</f>
        <v>40093</v>
      </c>
      <c r="D1623" s="8" t="str">
        <f t="shared" si="33"/>
        <v>2009-10 (октябрь 2009)</v>
      </c>
      <c r="E1623" s="9" t="s">
        <v>30</v>
      </c>
      <c r="F1623" s="7">
        <v>2</v>
      </c>
      <c r="G1623" s="7">
        <v>154.94</v>
      </c>
      <c r="H1623" s="7">
        <v>0.09</v>
      </c>
      <c r="I1623" s="9" t="s">
        <v>22</v>
      </c>
      <c r="J1623" s="10">
        <v>-358.43</v>
      </c>
      <c r="K1623" s="11">
        <v>77.510000000000005</v>
      </c>
      <c r="L1623" s="11">
        <v>4</v>
      </c>
      <c r="M1623" s="9" t="s">
        <v>1106</v>
      </c>
      <c r="N1623" s="6" t="s">
        <v>672</v>
      </c>
      <c r="O1623" s="6" t="s">
        <v>673</v>
      </c>
      <c r="P1623" s="9" t="s">
        <v>33</v>
      </c>
      <c r="Q1623" s="9" t="s">
        <v>42</v>
      </c>
      <c r="R1623" s="9" t="s">
        <v>70</v>
      </c>
      <c r="S1623" s="7" t="s">
        <v>1122</v>
      </c>
      <c r="T1623" s="9" t="s">
        <v>39</v>
      </c>
      <c r="U1623" s="7">
        <v>0.76</v>
      </c>
      <c r="V1623" s="12">
        <f>C1623+2</f>
        <v>40095</v>
      </c>
      <c r="W1623">
        <f>IF(D1623=' Pivot Tables'!$A$4,1,0)</f>
        <v>0</v>
      </c>
      <c r="X1623">
        <f>IF(AND(LEFT(D1623,4)+1=LEFT(' Pivot Tables'!$A$4,4)+0,RIGHT(LEFT(D1623,7),2)=RIGHT(LEFT(' Pivot Tables'!$A$4,7),2)),1,0)</f>
        <v>0</v>
      </c>
      <c r="Y1623" s="6">
        <f>1/COUNTIF(Таблица1[Order ID],Таблица1[[#This Row],[Order ID]])</f>
        <v>0.5</v>
      </c>
      <c r="Z1623" s="9">
        <f>1/COUNTIFS(Таблица1[Customer Name],Таблица1[[#This Row],[Customer Name]],Таблица1[Order-Year-Month],Таблица1[[#This Row],[Order-Year-Month]])</f>
        <v>0.5</v>
      </c>
    </row>
    <row r="1624" spans="1:26" x14ac:dyDescent="0.2">
      <c r="A1624" s="6">
        <v>3639</v>
      </c>
      <c r="B1624" s="7">
        <v>26016</v>
      </c>
      <c r="C1624" s="8">
        <f>DATE(2012,12,31)-1181</f>
        <v>40093</v>
      </c>
      <c r="D1624" s="8" t="str">
        <f t="shared" si="33"/>
        <v>2009-10 (октябрь 2009)</v>
      </c>
      <c r="E1624" s="9" t="s">
        <v>30</v>
      </c>
      <c r="F1624" s="7">
        <v>44</v>
      </c>
      <c r="G1624" s="7">
        <v>1642.6420000000001</v>
      </c>
      <c r="H1624" s="7">
        <v>0.08</v>
      </c>
      <c r="I1624" s="9" t="s">
        <v>56</v>
      </c>
      <c r="J1624" s="10">
        <v>314.83799999999997</v>
      </c>
      <c r="K1624" s="11">
        <v>45.99</v>
      </c>
      <c r="L1624" s="11">
        <v>4.99</v>
      </c>
      <c r="M1624" s="9" t="s">
        <v>1106</v>
      </c>
      <c r="N1624" s="6" t="s">
        <v>672</v>
      </c>
      <c r="O1624" s="6" t="s">
        <v>673</v>
      </c>
      <c r="P1624" s="9" t="s">
        <v>33</v>
      </c>
      <c r="Q1624" s="9" t="s">
        <v>42</v>
      </c>
      <c r="R1624" s="9" t="s">
        <v>43</v>
      </c>
      <c r="S1624" s="7" t="s">
        <v>629</v>
      </c>
      <c r="T1624" s="9" t="s">
        <v>39</v>
      </c>
      <c r="U1624" s="7">
        <v>0.56000000000000005</v>
      </c>
      <c r="V1624" s="12">
        <f>C1624+2</f>
        <v>40095</v>
      </c>
      <c r="W1624">
        <f>IF(D1624=' Pivot Tables'!$A$4,1,0)</f>
        <v>0</v>
      </c>
      <c r="X1624">
        <f>IF(AND(LEFT(D1624,4)+1=LEFT(' Pivot Tables'!$A$4,4)+0,RIGHT(LEFT(D1624,7),2)=RIGHT(LEFT(' Pivot Tables'!$A$4,7),2)),1,0)</f>
        <v>0</v>
      </c>
      <c r="Y1624" s="6">
        <f>1/COUNTIF(Таблица1[Order ID],Таблица1[[#This Row],[Order ID]])</f>
        <v>0.5</v>
      </c>
      <c r="Z1624" s="9">
        <f>1/COUNTIFS(Таблица1[Customer Name],Таблица1[[#This Row],[Customer Name]],Таблица1[Order-Year-Month],Таблица1[[#This Row],[Order-Year-Month]])</f>
        <v>0.5</v>
      </c>
    </row>
    <row r="1625" spans="1:26" x14ac:dyDescent="0.2">
      <c r="A1625" s="6">
        <v>3659</v>
      </c>
      <c r="B1625" s="7">
        <v>26182</v>
      </c>
      <c r="C1625" s="8">
        <f>DATE(2012,12,31)-1080</f>
        <v>40194</v>
      </c>
      <c r="D1625" s="8" t="str">
        <f t="shared" si="33"/>
        <v>2010-01 (январь 2010)</v>
      </c>
      <c r="E1625" s="9" t="s">
        <v>45</v>
      </c>
      <c r="F1625" s="7">
        <v>4</v>
      </c>
      <c r="G1625" s="7">
        <v>770.76</v>
      </c>
      <c r="H1625" s="7">
        <v>0.08</v>
      </c>
      <c r="I1625" s="9" t="s">
        <v>31</v>
      </c>
      <c r="J1625" s="10">
        <v>-192.51</v>
      </c>
      <c r="K1625" s="11">
        <v>200.98</v>
      </c>
      <c r="L1625" s="11">
        <v>23.76</v>
      </c>
      <c r="M1625" s="9" t="s">
        <v>190</v>
      </c>
      <c r="N1625" s="6" t="s">
        <v>1123</v>
      </c>
      <c r="O1625" s="6" t="s">
        <v>1123</v>
      </c>
      <c r="P1625" s="9" t="s">
        <v>41</v>
      </c>
      <c r="Q1625" s="9" t="s">
        <v>49</v>
      </c>
      <c r="R1625" s="9" t="s">
        <v>112</v>
      </c>
      <c r="S1625" s="7" t="s">
        <v>441</v>
      </c>
      <c r="T1625" s="9" t="s">
        <v>36</v>
      </c>
      <c r="U1625" s="7">
        <v>0.57999999999999996</v>
      </c>
      <c r="V1625" s="12">
        <f>C1625+0</f>
        <v>40194</v>
      </c>
      <c r="W1625">
        <f>IF(D1625=' Pivot Tables'!$A$4,1,0)</f>
        <v>1</v>
      </c>
      <c r="X1625">
        <f>IF(AND(LEFT(D1625,4)+1=LEFT(' Pivot Tables'!$A$4,4)+0,RIGHT(LEFT(D1625,7),2)=RIGHT(LEFT(' Pivot Tables'!$A$4,7),2)),1,0)</f>
        <v>0</v>
      </c>
      <c r="Y1625" s="6">
        <f>1/COUNTIF(Таблица1[Order ID],Таблица1[[#This Row],[Order ID]])</f>
        <v>0.5</v>
      </c>
      <c r="Z1625" s="9">
        <f>1/COUNTIFS(Таблица1[Customer Name],Таблица1[[#This Row],[Customer Name]],Таблица1[Order-Year-Month],Таблица1[[#This Row],[Order-Year-Month]])</f>
        <v>0.5</v>
      </c>
    </row>
    <row r="1626" spans="1:26" x14ac:dyDescent="0.2">
      <c r="A1626" s="6">
        <v>3735</v>
      </c>
      <c r="B1626" s="7">
        <v>26691</v>
      </c>
      <c r="C1626" s="8">
        <f>DATE(2012,12,31)-150</f>
        <v>41124</v>
      </c>
      <c r="D1626" s="8" t="str">
        <f t="shared" si="33"/>
        <v>2012-08 (август 2012)</v>
      </c>
      <c r="E1626" s="9" t="s">
        <v>45</v>
      </c>
      <c r="F1626" s="7">
        <v>37</v>
      </c>
      <c r="G1626" s="7">
        <v>270.43</v>
      </c>
      <c r="H1626" s="7">
        <v>7.0000000000000007E-2</v>
      </c>
      <c r="I1626" s="9" t="s">
        <v>22</v>
      </c>
      <c r="J1626" s="10">
        <v>-83.156500000000008</v>
      </c>
      <c r="K1626" s="11">
        <v>7.68</v>
      </c>
      <c r="L1626" s="11">
        <v>6.16</v>
      </c>
      <c r="M1626" s="9" t="s">
        <v>1091</v>
      </c>
      <c r="N1626" s="6" t="s">
        <v>1123</v>
      </c>
      <c r="O1626" s="6" t="s">
        <v>1123</v>
      </c>
      <c r="P1626" s="9" t="s">
        <v>41</v>
      </c>
      <c r="Q1626" s="9" t="s">
        <v>26</v>
      </c>
      <c r="R1626" s="9" t="s">
        <v>37</v>
      </c>
      <c r="S1626" s="7" t="s">
        <v>854</v>
      </c>
      <c r="T1626" s="9" t="s">
        <v>39</v>
      </c>
      <c r="U1626" s="7">
        <v>0.35</v>
      </c>
      <c r="V1626" s="12">
        <f>C1626+1</f>
        <v>41125</v>
      </c>
      <c r="W1626">
        <f>IF(D1626=' Pivot Tables'!$A$4,1,0)</f>
        <v>0</v>
      </c>
      <c r="X1626">
        <f>IF(AND(LEFT(D1626,4)+1=LEFT(' Pivot Tables'!$A$4,4)+0,RIGHT(LEFT(D1626,7),2)=RIGHT(LEFT(' Pivot Tables'!$A$4,7),2)),1,0)</f>
        <v>0</v>
      </c>
      <c r="Y1626" s="6">
        <f>1/COUNTIF(Таблица1[Order ID],Таблица1[[#This Row],[Order ID]])</f>
        <v>1</v>
      </c>
      <c r="Z1626" s="9">
        <f>1/COUNTIFS(Таблица1[Customer Name],Таблица1[[#This Row],[Customer Name]],Таблица1[Order-Year-Month],Таблица1[[#This Row],[Order-Year-Month]])</f>
        <v>0.5</v>
      </c>
    </row>
    <row r="1627" spans="1:26" x14ac:dyDescent="0.2">
      <c r="A1627" s="6">
        <v>3793</v>
      </c>
      <c r="B1627" s="7">
        <v>27015</v>
      </c>
      <c r="C1627" s="8">
        <f>DATE(2012,12,31)-366</f>
        <v>40908</v>
      </c>
      <c r="D1627" s="8" t="str">
        <f t="shared" si="33"/>
        <v>2011-12 (декабрь 2011)</v>
      </c>
      <c r="E1627" s="9" t="s">
        <v>21</v>
      </c>
      <c r="F1627" s="7">
        <v>24</v>
      </c>
      <c r="G1627" s="7">
        <v>1339.25</v>
      </c>
      <c r="H1627" s="7">
        <v>0.03</v>
      </c>
      <c r="I1627" s="9" t="s">
        <v>22</v>
      </c>
      <c r="J1627" s="10">
        <v>142.51</v>
      </c>
      <c r="K1627" s="11">
        <v>56.96</v>
      </c>
      <c r="L1627" s="11">
        <v>13.22</v>
      </c>
      <c r="M1627" s="9" t="s">
        <v>1108</v>
      </c>
      <c r="N1627" s="6" t="s">
        <v>1123</v>
      </c>
      <c r="O1627" s="6" t="s">
        <v>1123</v>
      </c>
      <c r="P1627" s="9" t="s">
        <v>60</v>
      </c>
      <c r="Q1627" s="9" t="s">
        <v>26</v>
      </c>
      <c r="R1627" s="9" t="s">
        <v>34</v>
      </c>
      <c r="S1627" s="7" t="s">
        <v>541</v>
      </c>
      <c r="T1627" s="9" t="s">
        <v>39</v>
      </c>
      <c r="U1627" s="7">
        <v>0.56000000000000005</v>
      </c>
      <c r="V1627" s="12">
        <f>C1627+0</f>
        <v>40908</v>
      </c>
      <c r="W1627">
        <f>IF(D1627=' Pivot Tables'!$A$4,1,0)</f>
        <v>0</v>
      </c>
      <c r="X1627">
        <f>IF(AND(LEFT(D1627,4)+1=LEFT(' Pivot Tables'!$A$4,4)+0,RIGHT(LEFT(D1627,7),2)=RIGHT(LEFT(' Pivot Tables'!$A$4,7),2)),1,0)</f>
        <v>0</v>
      </c>
      <c r="Y1627" s="6">
        <f>1/COUNTIF(Таблица1[Order ID],Таблица1[[#This Row],[Order ID]])</f>
        <v>1</v>
      </c>
      <c r="Z1627" s="9">
        <f>1/COUNTIFS(Таблица1[Customer Name],Таблица1[[#This Row],[Customer Name]],Таблица1[Order-Year-Month],Таблица1[[#This Row],[Order-Year-Month]])</f>
        <v>0.33333333333333331</v>
      </c>
    </row>
    <row r="1628" spans="1:26" x14ac:dyDescent="0.2">
      <c r="A1628" s="6">
        <v>3902</v>
      </c>
      <c r="B1628" s="7">
        <v>27840</v>
      </c>
      <c r="C1628" s="8">
        <f>DATE(2012,12,31)-1277</f>
        <v>39997</v>
      </c>
      <c r="D1628" s="8" t="str">
        <f t="shared" si="33"/>
        <v>2009-07 (июль 2009)</v>
      </c>
      <c r="E1628" s="9" t="s">
        <v>30</v>
      </c>
      <c r="F1628" s="7">
        <v>8</v>
      </c>
      <c r="G1628" s="7">
        <v>1209.3699999999999</v>
      </c>
      <c r="H1628" s="7">
        <v>0.09</v>
      </c>
      <c r="I1628" s="9" t="s">
        <v>31</v>
      </c>
      <c r="J1628" s="10">
        <v>-407.85</v>
      </c>
      <c r="K1628" s="11">
        <v>150.97999999999999</v>
      </c>
      <c r="L1628" s="11">
        <v>66.27</v>
      </c>
      <c r="M1628" s="9" t="s">
        <v>1108</v>
      </c>
      <c r="N1628" s="6" t="s">
        <v>1123</v>
      </c>
      <c r="O1628" s="6" t="s">
        <v>1123</v>
      </c>
      <c r="P1628" s="9" t="s">
        <v>60</v>
      </c>
      <c r="Q1628" s="9" t="s">
        <v>49</v>
      </c>
      <c r="R1628" s="9" t="s">
        <v>80</v>
      </c>
      <c r="S1628" s="7" t="s">
        <v>325</v>
      </c>
      <c r="T1628" s="9" t="s">
        <v>82</v>
      </c>
      <c r="U1628" s="7">
        <v>0.65</v>
      </c>
      <c r="V1628" s="12">
        <f>C1628+1</f>
        <v>39998</v>
      </c>
      <c r="W1628">
        <f>IF(D1628=' Pivot Tables'!$A$4,1,0)</f>
        <v>0</v>
      </c>
      <c r="X1628">
        <f>IF(AND(LEFT(D1628,4)+1=LEFT(' Pivot Tables'!$A$4,4)+0,RIGHT(LEFT(D1628,7),2)=RIGHT(LEFT(' Pivot Tables'!$A$4,7),2)),1,0)</f>
        <v>0</v>
      </c>
      <c r="Y1628" s="6">
        <f>1/COUNTIF(Таблица1[Order ID],Таблица1[[#This Row],[Order ID]])</f>
        <v>1</v>
      </c>
      <c r="Z1628" s="9">
        <f>1/COUNTIFS(Таблица1[Customer Name],Таблица1[[#This Row],[Customer Name]],Таблица1[Order-Year-Month],Таблица1[[#This Row],[Order-Year-Month]])</f>
        <v>1</v>
      </c>
    </row>
    <row r="1629" spans="1:26" x14ac:dyDescent="0.2">
      <c r="A1629" s="6">
        <v>3945</v>
      </c>
      <c r="B1629" s="7">
        <v>28130</v>
      </c>
      <c r="C1629" s="8">
        <f>DATE(2012,12,31)-1250</f>
        <v>40024</v>
      </c>
      <c r="D1629" s="8" t="str">
        <f t="shared" si="33"/>
        <v>2009-07 (июль 2009)</v>
      </c>
      <c r="E1629" s="9" t="s">
        <v>21</v>
      </c>
      <c r="F1629" s="7">
        <v>23</v>
      </c>
      <c r="G1629" s="7">
        <v>404.24</v>
      </c>
      <c r="H1629" s="7">
        <v>0.02</v>
      </c>
      <c r="I1629" s="9" t="s">
        <v>56</v>
      </c>
      <c r="J1629" s="10">
        <v>-76.992500000000007</v>
      </c>
      <c r="K1629" s="11">
        <v>15.99</v>
      </c>
      <c r="L1629" s="11">
        <v>13.18</v>
      </c>
      <c r="M1629" s="9" t="s">
        <v>1102</v>
      </c>
      <c r="N1629" s="6" t="s">
        <v>1123</v>
      </c>
      <c r="O1629" s="6" t="s">
        <v>1123</v>
      </c>
      <c r="P1629" s="9" t="s">
        <v>41</v>
      </c>
      <c r="Q1629" s="9" t="s">
        <v>26</v>
      </c>
      <c r="R1629" s="9" t="s">
        <v>37</v>
      </c>
      <c r="S1629" s="7" t="s">
        <v>92</v>
      </c>
      <c r="T1629" s="9" t="s">
        <v>39</v>
      </c>
      <c r="U1629" s="7">
        <v>0.37</v>
      </c>
      <c r="V1629" s="12">
        <f>C1629+4</f>
        <v>40028</v>
      </c>
      <c r="W1629">
        <f>IF(D1629=' Pivot Tables'!$A$4,1,0)</f>
        <v>0</v>
      </c>
      <c r="X1629">
        <f>IF(AND(LEFT(D1629,4)+1=LEFT(' Pivot Tables'!$A$4,4)+0,RIGHT(LEFT(D1629,7),2)=RIGHT(LEFT(' Pivot Tables'!$A$4,7),2)),1,0)</f>
        <v>0</v>
      </c>
      <c r="Y1629" s="6">
        <f>1/COUNTIF(Таблица1[Order ID],Таблица1[[#This Row],[Order ID]])</f>
        <v>0.5</v>
      </c>
      <c r="Z1629" s="9">
        <f>1/COUNTIFS(Таблица1[Customer Name],Таблица1[[#This Row],[Customer Name]],Таблица1[Order-Year-Month],Таблица1[[#This Row],[Order-Year-Month]])</f>
        <v>0.5</v>
      </c>
    </row>
    <row r="1630" spans="1:26" x14ac:dyDescent="0.2">
      <c r="A1630" s="6">
        <v>3946</v>
      </c>
      <c r="B1630" s="7">
        <v>28130</v>
      </c>
      <c r="C1630" s="8">
        <f>DATE(2012,12,31)-1250</f>
        <v>40024</v>
      </c>
      <c r="D1630" s="8" t="str">
        <f t="shared" si="33"/>
        <v>2009-07 (июль 2009)</v>
      </c>
      <c r="E1630" s="9" t="s">
        <v>21</v>
      </c>
      <c r="F1630" s="7">
        <v>32</v>
      </c>
      <c r="G1630" s="7">
        <v>1381.88</v>
      </c>
      <c r="H1630" s="7">
        <v>0.09</v>
      </c>
      <c r="I1630" s="9" t="s">
        <v>56</v>
      </c>
      <c r="J1630" s="10">
        <v>598.20000000000005</v>
      </c>
      <c r="K1630" s="11">
        <v>46.94</v>
      </c>
      <c r="L1630" s="11">
        <v>6.77</v>
      </c>
      <c r="M1630" s="9" t="s">
        <v>1102</v>
      </c>
      <c r="N1630" s="6" t="s">
        <v>1123</v>
      </c>
      <c r="O1630" s="6" t="s">
        <v>1123</v>
      </c>
      <c r="P1630" s="9" t="s">
        <v>41</v>
      </c>
      <c r="Q1630" s="9" t="s">
        <v>49</v>
      </c>
      <c r="R1630" s="9" t="s">
        <v>50</v>
      </c>
      <c r="S1630" s="7" t="s">
        <v>1124</v>
      </c>
      <c r="T1630" s="9" t="s">
        <v>39</v>
      </c>
      <c r="U1630" s="7">
        <v>0.44</v>
      </c>
      <c r="V1630" s="12">
        <f>C1630+0</f>
        <v>40024</v>
      </c>
      <c r="W1630">
        <f>IF(D1630=' Pivot Tables'!$A$4,1,0)</f>
        <v>0</v>
      </c>
      <c r="X1630">
        <f>IF(AND(LEFT(D1630,4)+1=LEFT(' Pivot Tables'!$A$4,4)+0,RIGHT(LEFT(D1630,7),2)=RIGHT(LEFT(' Pivot Tables'!$A$4,7),2)),1,0)</f>
        <v>0</v>
      </c>
      <c r="Y1630" s="6">
        <f>1/COUNTIF(Таблица1[Order ID],Таблица1[[#This Row],[Order ID]])</f>
        <v>0.5</v>
      </c>
      <c r="Z1630" s="9">
        <f>1/COUNTIFS(Таблица1[Customer Name],Таблица1[[#This Row],[Customer Name]],Таблица1[Order-Year-Month],Таблица1[[#This Row],[Order-Year-Month]])</f>
        <v>0.5</v>
      </c>
    </row>
    <row r="1631" spans="1:26" x14ac:dyDescent="0.2">
      <c r="A1631" s="6">
        <v>3964</v>
      </c>
      <c r="B1631" s="7">
        <v>28290</v>
      </c>
      <c r="C1631" s="8">
        <f>DATE(2012,12,31)-1451</f>
        <v>39823</v>
      </c>
      <c r="D1631" s="8" t="str">
        <f t="shared" si="33"/>
        <v>2009-01 (январь 2009)</v>
      </c>
      <c r="E1631" s="9" t="s">
        <v>21</v>
      </c>
      <c r="F1631" s="7">
        <v>43</v>
      </c>
      <c r="G1631" s="7">
        <v>1307.3499999999999</v>
      </c>
      <c r="H1631" s="7">
        <v>0.05</v>
      </c>
      <c r="I1631" s="9" t="s">
        <v>56</v>
      </c>
      <c r="J1631" s="10">
        <v>-154.24</v>
      </c>
      <c r="K1631" s="11">
        <v>30.42</v>
      </c>
      <c r="L1631" s="11">
        <v>8.65</v>
      </c>
      <c r="M1631" s="9" t="s">
        <v>1108</v>
      </c>
      <c r="N1631" s="6" t="s">
        <v>1123</v>
      </c>
      <c r="O1631" s="6" t="s">
        <v>1123</v>
      </c>
      <c r="P1631" s="9" t="s">
        <v>60</v>
      </c>
      <c r="Q1631" s="9" t="s">
        <v>42</v>
      </c>
      <c r="R1631" s="9" t="s">
        <v>70</v>
      </c>
      <c r="S1631" s="7" t="s">
        <v>374</v>
      </c>
      <c r="T1631" s="9" t="s">
        <v>39</v>
      </c>
      <c r="U1631" s="7">
        <v>0.74</v>
      </c>
      <c r="V1631" s="12">
        <f>C1631+4</f>
        <v>39827</v>
      </c>
      <c r="W1631">
        <f>IF(D1631=' Pivot Tables'!$A$4,1,0)</f>
        <v>0</v>
      </c>
      <c r="X1631">
        <f>IF(AND(LEFT(D1631,4)+1=LEFT(' Pivot Tables'!$A$4,4)+0,RIGHT(LEFT(D1631,7),2)=RIGHT(LEFT(' Pivot Tables'!$A$4,7),2)),1,0)</f>
        <v>1</v>
      </c>
      <c r="Y1631" s="6">
        <f>1/COUNTIF(Таблица1[Order ID],Таблица1[[#This Row],[Order ID]])</f>
        <v>0.5</v>
      </c>
      <c r="Z1631" s="9">
        <f>1/COUNTIFS(Таблица1[Customer Name],Таблица1[[#This Row],[Customer Name]],Таблица1[Order-Year-Month],Таблица1[[#This Row],[Order-Year-Month]])</f>
        <v>0.5</v>
      </c>
    </row>
    <row r="1632" spans="1:26" x14ac:dyDescent="0.2">
      <c r="A1632" s="6">
        <v>3965</v>
      </c>
      <c r="B1632" s="7">
        <v>28290</v>
      </c>
      <c r="C1632" s="8">
        <f>DATE(2012,12,31)-1451</f>
        <v>39823</v>
      </c>
      <c r="D1632" s="8" t="str">
        <f t="shared" si="33"/>
        <v>2009-01 (январь 2009)</v>
      </c>
      <c r="E1632" s="9" t="s">
        <v>21</v>
      </c>
      <c r="F1632" s="7">
        <v>3</v>
      </c>
      <c r="G1632" s="7">
        <v>523.58000000000004</v>
      </c>
      <c r="H1632" s="7">
        <v>0.01</v>
      </c>
      <c r="I1632" s="9" t="s">
        <v>56</v>
      </c>
      <c r="J1632" s="10">
        <v>-179.36</v>
      </c>
      <c r="K1632" s="11">
        <v>161.55000000000001</v>
      </c>
      <c r="L1632" s="11">
        <v>19.989999999999998</v>
      </c>
      <c r="M1632" s="9" t="s">
        <v>1108</v>
      </c>
      <c r="N1632" s="6" t="s">
        <v>1123</v>
      </c>
      <c r="O1632" s="6" t="s">
        <v>1123</v>
      </c>
      <c r="P1632" s="9" t="s">
        <v>60</v>
      </c>
      <c r="Q1632" s="9" t="s">
        <v>26</v>
      </c>
      <c r="R1632" s="9" t="s">
        <v>27</v>
      </c>
      <c r="S1632" s="7" t="s">
        <v>685</v>
      </c>
      <c r="T1632" s="9" t="s">
        <v>39</v>
      </c>
      <c r="U1632" s="7">
        <v>0.66</v>
      </c>
      <c r="V1632" s="12">
        <f>C1632+2</f>
        <v>39825</v>
      </c>
      <c r="W1632">
        <f>IF(D1632=' Pivot Tables'!$A$4,1,0)</f>
        <v>0</v>
      </c>
      <c r="X1632">
        <f>IF(AND(LEFT(D1632,4)+1=LEFT(' Pivot Tables'!$A$4,4)+0,RIGHT(LEFT(D1632,7),2)=RIGHT(LEFT(' Pivot Tables'!$A$4,7),2)),1,0)</f>
        <v>1</v>
      </c>
      <c r="Y1632" s="6">
        <f>1/COUNTIF(Таблица1[Order ID],Таблица1[[#This Row],[Order ID]])</f>
        <v>0.5</v>
      </c>
      <c r="Z1632" s="9">
        <f>1/COUNTIFS(Таблица1[Customer Name],Таблица1[[#This Row],[Customer Name]],Таблица1[Order-Year-Month],Таблица1[[#This Row],[Order-Year-Month]])</f>
        <v>0.5</v>
      </c>
    </row>
    <row r="1633" spans="1:26" x14ac:dyDescent="0.2">
      <c r="A1633" s="6">
        <v>4211</v>
      </c>
      <c r="B1633" s="7">
        <v>29927</v>
      </c>
      <c r="C1633" s="8">
        <f>DATE(2012,12,31)-54</f>
        <v>41220</v>
      </c>
      <c r="D1633" s="8" t="str">
        <f t="shared" si="33"/>
        <v>2012-11 (ноябрь 2012)</v>
      </c>
      <c r="E1633" s="9" t="s">
        <v>30</v>
      </c>
      <c r="F1633" s="7">
        <v>19</v>
      </c>
      <c r="G1633" s="7">
        <v>257.97000000000003</v>
      </c>
      <c r="H1633" s="7">
        <v>0.03</v>
      </c>
      <c r="I1633" s="9" t="s">
        <v>22</v>
      </c>
      <c r="J1633" s="10">
        <v>33.1755</v>
      </c>
      <c r="K1633" s="11">
        <v>12.95</v>
      </c>
      <c r="L1633" s="11">
        <v>4.9800000000000004</v>
      </c>
      <c r="M1633" s="9" t="s">
        <v>1099</v>
      </c>
      <c r="N1633" s="6" t="s">
        <v>1123</v>
      </c>
      <c r="O1633" s="6" t="s">
        <v>1123</v>
      </c>
      <c r="P1633" s="9" t="s">
        <v>41</v>
      </c>
      <c r="Q1633" s="9" t="s">
        <v>26</v>
      </c>
      <c r="R1633" s="9" t="s">
        <v>37</v>
      </c>
      <c r="S1633" s="7" t="s">
        <v>278</v>
      </c>
      <c r="T1633" s="9" t="s">
        <v>39</v>
      </c>
      <c r="U1633" s="7">
        <v>0.4</v>
      </c>
      <c r="V1633" s="12">
        <f>C1633+1</f>
        <v>41221</v>
      </c>
      <c r="W1633">
        <f>IF(D1633=' Pivot Tables'!$A$4,1,0)</f>
        <v>0</v>
      </c>
      <c r="X1633">
        <f>IF(AND(LEFT(D1633,4)+1=LEFT(' Pivot Tables'!$A$4,4)+0,RIGHT(LEFT(D1633,7),2)=RIGHT(LEFT(' Pivot Tables'!$A$4,7),2)),1,0)</f>
        <v>0</v>
      </c>
      <c r="Y1633" s="6">
        <f>1/COUNTIF(Таблица1[Order ID],Таблица1[[#This Row],[Order ID]])</f>
        <v>1</v>
      </c>
      <c r="Z1633" s="9">
        <f>1/COUNTIFS(Таблица1[Customer Name],Таблица1[[#This Row],[Customer Name]],Таблица1[Order-Year-Month],Таблица1[[#This Row],[Order-Year-Month]])</f>
        <v>1</v>
      </c>
    </row>
    <row r="1634" spans="1:26" x14ac:dyDescent="0.2">
      <c r="A1634" s="6">
        <v>4212</v>
      </c>
      <c r="B1634" s="7">
        <v>29953</v>
      </c>
      <c r="C1634" s="8">
        <f>DATE(2012,12,31)-693</f>
        <v>40581</v>
      </c>
      <c r="D1634" s="8" t="str">
        <f t="shared" si="33"/>
        <v>2011-02 (февраль 2011)</v>
      </c>
      <c r="E1634" s="9" t="s">
        <v>78</v>
      </c>
      <c r="F1634" s="7">
        <v>42</v>
      </c>
      <c r="G1634" s="7">
        <v>619.77</v>
      </c>
      <c r="H1634" s="7">
        <v>0.02</v>
      </c>
      <c r="I1634" s="9" t="s">
        <v>22</v>
      </c>
      <c r="J1634" s="10">
        <v>50.243499999999997</v>
      </c>
      <c r="K1634" s="11">
        <v>14.45</v>
      </c>
      <c r="L1634" s="11">
        <v>7.17</v>
      </c>
      <c r="M1634" s="9" t="s">
        <v>1112</v>
      </c>
      <c r="N1634" s="6" t="s">
        <v>1123</v>
      </c>
      <c r="O1634" s="6" t="s">
        <v>1123</v>
      </c>
      <c r="P1634" s="9" t="s">
        <v>60</v>
      </c>
      <c r="Q1634" s="9" t="s">
        <v>26</v>
      </c>
      <c r="R1634" s="9" t="s">
        <v>37</v>
      </c>
      <c r="S1634" s="7" t="s">
        <v>1125</v>
      </c>
      <c r="T1634" s="9" t="s">
        <v>39</v>
      </c>
      <c r="U1634" s="7">
        <v>0.38</v>
      </c>
      <c r="V1634" s="12">
        <f>C1634+3</f>
        <v>40584</v>
      </c>
      <c r="W1634">
        <f>IF(D1634=' Pivot Tables'!$A$4,1,0)</f>
        <v>0</v>
      </c>
      <c r="X1634">
        <f>IF(AND(LEFT(D1634,4)+1=LEFT(' Pivot Tables'!$A$4,4)+0,RIGHT(LEFT(D1634,7),2)=RIGHT(LEFT(' Pivot Tables'!$A$4,7),2)),1,0)</f>
        <v>0</v>
      </c>
      <c r="Y1634" s="6">
        <f>1/COUNTIF(Таблица1[Order ID],Таблица1[[#This Row],[Order ID]])</f>
        <v>1</v>
      </c>
      <c r="Z1634" s="9">
        <f>1/COUNTIFS(Таблица1[Customer Name],Таблица1[[#This Row],[Customer Name]],Таблица1[Order-Year-Month],Таблица1[[#This Row],[Order-Year-Month]])</f>
        <v>1</v>
      </c>
    </row>
    <row r="1635" spans="1:26" x14ac:dyDescent="0.2">
      <c r="A1635" s="6">
        <v>4387</v>
      </c>
      <c r="B1635" s="7">
        <v>31238</v>
      </c>
      <c r="C1635" s="8">
        <f>DATE(2012,12,31)-862</f>
        <v>40412</v>
      </c>
      <c r="D1635" s="8" t="str">
        <f t="shared" si="33"/>
        <v>2010-08 (август 2010)</v>
      </c>
      <c r="E1635" s="9" t="s">
        <v>63</v>
      </c>
      <c r="F1635" s="7">
        <v>21</v>
      </c>
      <c r="G1635" s="7">
        <v>7512.03</v>
      </c>
      <c r="H1635" s="7">
        <v>0.09</v>
      </c>
      <c r="I1635" s="9" t="s">
        <v>56</v>
      </c>
      <c r="J1635" s="10">
        <v>2017.64</v>
      </c>
      <c r="K1635" s="11">
        <v>363.25</v>
      </c>
      <c r="L1635" s="11">
        <v>19.989999999999998</v>
      </c>
      <c r="M1635" s="9" t="s">
        <v>1126</v>
      </c>
      <c r="N1635" s="6" t="s">
        <v>1123</v>
      </c>
      <c r="O1635" s="6" t="s">
        <v>1123</v>
      </c>
      <c r="P1635" s="9" t="s">
        <v>41</v>
      </c>
      <c r="Q1635" s="9" t="s">
        <v>26</v>
      </c>
      <c r="R1635" s="9" t="s">
        <v>34</v>
      </c>
      <c r="S1635" s="7" t="s">
        <v>589</v>
      </c>
      <c r="T1635" s="9" t="s">
        <v>39</v>
      </c>
      <c r="U1635" s="7">
        <v>0.56999999999999995</v>
      </c>
      <c r="V1635" s="12">
        <f>C1635+2</f>
        <v>40414</v>
      </c>
      <c r="W1635">
        <f>IF(D1635=' Pivot Tables'!$A$4,1,0)</f>
        <v>0</v>
      </c>
      <c r="X1635">
        <f>IF(AND(LEFT(D1635,4)+1=LEFT(' Pivot Tables'!$A$4,4)+0,RIGHT(LEFT(D1635,7),2)=RIGHT(LEFT(' Pivot Tables'!$A$4,7),2)),1,0)</f>
        <v>0</v>
      </c>
      <c r="Y1635" s="6">
        <f>1/COUNTIF(Таблица1[Order ID],Таблица1[[#This Row],[Order ID]])</f>
        <v>1</v>
      </c>
      <c r="Z1635" s="9">
        <f>1/COUNTIFS(Таблица1[Customer Name],Таблица1[[#This Row],[Customer Name]],Таблица1[Order-Year-Month],Таблица1[[#This Row],[Order-Year-Month]])</f>
        <v>1</v>
      </c>
    </row>
    <row r="1636" spans="1:26" x14ac:dyDescent="0.2">
      <c r="A1636" s="6">
        <v>4505</v>
      </c>
      <c r="B1636" s="7">
        <v>32067</v>
      </c>
      <c r="C1636" s="8">
        <f>DATE(2012,12,31)-294</f>
        <v>40980</v>
      </c>
      <c r="D1636" s="8" t="str">
        <f t="shared" si="33"/>
        <v>2012-03 (март 2012)</v>
      </c>
      <c r="E1636" s="9" t="s">
        <v>30</v>
      </c>
      <c r="F1636" s="7">
        <v>27</v>
      </c>
      <c r="G1636" s="7">
        <v>2853.8834999999999</v>
      </c>
      <c r="H1636" s="7">
        <v>0.06</v>
      </c>
      <c r="I1636" s="9" t="s">
        <v>22</v>
      </c>
      <c r="J1636" s="10">
        <v>492.23699999999997</v>
      </c>
      <c r="K1636" s="11">
        <v>125.99</v>
      </c>
      <c r="L1636" s="11">
        <v>7.69</v>
      </c>
      <c r="M1636" s="9" t="s">
        <v>719</v>
      </c>
      <c r="N1636" s="6" t="s">
        <v>1123</v>
      </c>
      <c r="O1636" s="6" t="s">
        <v>1123</v>
      </c>
      <c r="P1636" s="9" t="s">
        <v>25</v>
      </c>
      <c r="Q1636" s="9" t="s">
        <v>42</v>
      </c>
      <c r="R1636" s="9" t="s">
        <v>43</v>
      </c>
      <c r="S1636" s="7" t="s">
        <v>129</v>
      </c>
      <c r="T1636" s="9" t="s">
        <v>39</v>
      </c>
      <c r="U1636" s="7">
        <v>0.57999999999999996</v>
      </c>
      <c r="V1636" s="12">
        <f>C1636+1</f>
        <v>40981</v>
      </c>
      <c r="W1636">
        <f>IF(D1636=' Pivot Tables'!$A$4,1,0)</f>
        <v>0</v>
      </c>
      <c r="X1636">
        <f>IF(AND(LEFT(D1636,4)+1=LEFT(' Pivot Tables'!$A$4,4)+0,RIGHT(LEFT(D1636,7),2)=RIGHT(LEFT(' Pivot Tables'!$A$4,7),2)),1,0)</f>
        <v>0</v>
      </c>
      <c r="Y1636" s="6">
        <f>1/COUNTIF(Таблица1[Order ID],Таблица1[[#This Row],[Order ID]])</f>
        <v>1</v>
      </c>
      <c r="Z1636" s="9">
        <f>1/COUNTIFS(Таблица1[Customer Name],Таблица1[[#This Row],[Customer Name]],Таблица1[Order-Year-Month],Таблица1[[#This Row],[Order-Year-Month]])</f>
        <v>1</v>
      </c>
    </row>
    <row r="1637" spans="1:26" x14ac:dyDescent="0.2">
      <c r="A1637" s="6">
        <v>4527</v>
      </c>
      <c r="B1637" s="7">
        <v>32198</v>
      </c>
      <c r="C1637" s="8">
        <f>DATE(2012,12,31)-418</f>
        <v>40856</v>
      </c>
      <c r="D1637" s="8" t="str">
        <f t="shared" si="33"/>
        <v>2011-11 (ноябрь 2011)</v>
      </c>
      <c r="E1637" s="9" t="s">
        <v>63</v>
      </c>
      <c r="F1637" s="7">
        <v>31</v>
      </c>
      <c r="G1637" s="7">
        <v>240.63</v>
      </c>
      <c r="H1637" s="7">
        <v>0.02</v>
      </c>
      <c r="I1637" s="9" t="s">
        <v>22</v>
      </c>
      <c r="J1637" s="10">
        <v>-117.92</v>
      </c>
      <c r="K1637" s="11">
        <v>7.37</v>
      </c>
      <c r="L1637" s="11">
        <v>5.53</v>
      </c>
      <c r="M1637" s="9" t="s">
        <v>1126</v>
      </c>
      <c r="N1637" s="6" t="s">
        <v>1123</v>
      </c>
      <c r="O1637" s="6" t="s">
        <v>1123</v>
      </c>
      <c r="P1637" s="9" t="s">
        <v>33</v>
      </c>
      <c r="Q1637" s="9" t="s">
        <v>42</v>
      </c>
      <c r="R1637" s="9" t="s">
        <v>70</v>
      </c>
      <c r="S1637" s="7" t="s">
        <v>1081</v>
      </c>
      <c r="T1637" s="9" t="s">
        <v>52</v>
      </c>
      <c r="U1637" s="7">
        <v>0.69</v>
      </c>
      <c r="V1637" s="12">
        <f>C1637+0</f>
        <v>40856</v>
      </c>
      <c r="W1637">
        <f>IF(D1637=' Pivot Tables'!$A$4,1,0)</f>
        <v>0</v>
      </c>
      <c r="X1637">
        <f>IF(AND(LEFT(D1637,4)+1=LEFT(' Pivot Tables'!$A$4,4)+0,RIGHT(LEFT(D1637,7),2)=RIGHT(LEFT(' Pivot Tables'!$A$4,7),2)),1,0)</f>
        <v>0</v>
      </c>
      <c r="Y1637" s="6">
        <f>1/COUNTIF(Таблица1[Order ID],Таблица1[[#This Row],[Order ID]])</f>
        <v>1</v>
      </c>
      <c r="Z1637" s="9">
        <f>1/COUNTIFS(Таблица1[Customer Name],Таблица1[[#This Row],[Customer Name]],Таблица1[Order-Year-Month],Таблица1[[#This Row],[Order-Year-Month]])</f>
        <v>0.5</v>
      </c>
    </row>
    <row r="1638" spans="1:26" x14ac:dyDescent="0.2">
      <c r="A1638" s="6">
        <v>4535</v>
      </c>
      <c r="B1638" s="7">
        <v>32231</v>
      </c>
      <c r="C1638" s="8">
        <f>DATE(2012,12,31)-60</f>
        <v>41214</v>
      </c>
      <c r="D1638" s="8" t="str">
        <f t="shared" si="33"/>
        <v>2012-11 (ноябрь 2012)</v>
      </c>
      <c r="E1638" s="9" t="s">
        <v>21</v>
      </c>
      <c r="F1638" s="7">
        <v>44</v>
      </c>
      <c r="G1638" s="7">
        <v>192.33</v>
      </c>
      <c r="H1638" s="7">
        <v>0.01</v>
      </c>
      <c r="I1638" s="9" t="s">
        <v>22</v>
      </c>
      <c r="J1638" s="10">
        <v>48.54</v>
      </c>
      <c r="K1638" s="11">
        <v>4.26</v>
      </c>
      <c r="L1638" s="11">
        <v>1.2</v>
      </c>
      <c r="M1638" s="9" t="s">
        <v>1106</v>
      </c>
      <c r="N1638" s="6" t="s">
        <v>1123</v>
      </c>
      <c r="O1638" s="6" t="s">
        <v>1123</v>
      </c>
      <c r="P1638" s="9" t="s">
        <v>33</v>
      </c>
      <c r="Q1638" s="9" t="s">
        <v>26</v>
      </c>
      <c r="R1638" s="9" t="s">
        <v>95</v>
      </c>
      <c r="S1638" s="7" t="s">
        <v>865</v>
      </c>
      <c r="T1638" s="9" t="s">
        <v>68</v>
      </c>
      <c r="U1638" s="7">
        <v>0.44</v>
      </c>
      <c r="V1638" s="12">
        <f>C1638+4</f>
        <v>41218</v>
      </c>
      <c r="W1638">
        <f>IF(D1638=' Pivot Tables'!$A$4,1,0)</f>
        <v>0</v>
      </c>
      <c r="X1638">
        <f>IF(AND(LEFT(D1638,4)+1=LEFT(' Pivot Tables'!$A$4,4)+0,RIGHT(LEFT(D1638,7),2)=RIGHT(LEFT(' Pivot Tables'!$A$4,7),2)),1,0)</f>
        <v>0</v>
      </c>
      <c r="Y1638" s="6">
        <f>1/COUNTIF(Таблица1[Order ID],Таблица1[[#This Row],[Order ID]])</f>
        <v>1</v>
      </c>
      <c r="Z1638" s="9">
        <f>1/COUNTIFS(Таблица1[Customer Name],Таблица1[[#This Row],[Customer Name]],Таблица1[Order-Year-Month],Таблица1[[#This Row],[Order-Year-Month]])</f>
        <v>1</v>
      </c>
    </row>
    <row r="1639" spans="1:26" x14ac:dyDescent="0.2">
      <c r="A1639" s="6">
        <v>4563</v>
      </c>
      <c r="B1639" s="7">
        <v>32452</v>
      </c>
      <c r="C1639" s="8">
        <f>DATE(2012,12,31)-532</f>
        <v>40742</v>
      </c>
      <c r="D1639" s="8" t="str">
        <f t="shared" si="33"/>
        <v>2011-07 (июль 2011)</v>
      </c>
      <c r="E1639" s="9" t="s">
        <v>63</v>
      </c>
      <c r="F1639" s="7">
        <v>3</v>
      </c>
      <c r="G1639" s="7">
        <v>8.6</v>
      </c>
      <c r="H1639" s="7">
        <v>0.09</v>
      </c>
      <c r="I1639" s="9" t="s">
        <v>22</v>
      </c>
      <c r="J1639" s="10">
        <v>-2.0299999999999998</v>
      </c>
      <c r="K1639" s="11">
        <v>2.88</v>
      </c>
      <c r="L1639" s="11">
        <v>0.5</v>
      </c>
      <c r="M1639" s="9" t="s">
        <v>1126</v>
      </c>
      <c r="N1639" s="6" t="s">
        <v>1123</v>
      </c>
      <c r="O1639" s="6" t="s">
        <v>1123</v>
      </c>
      <c r="P1639" s="9" t="s">
        <v>33</v>
      </c>
      <c r="Q1639" s="9" t="s">
        <v>26</v>
      </c>
      <c r="R1639" s="9" t="s">
        <v>88</v>
      </c>
      <c r="S1639" s="7" t="s">
        <v>328</v>
      </c>
      <c r="T1639" s="9" t="s">
        <v>39</v>
      </c>
      <c r="U1639" s="7">
        <v>0.39</v>
      </c>
      <c r="V1639" s="12">
        <f>C1639+1</f>
        <v>40743</v>
      </c>
      <c r="W1639">
        <f>IF(D1639=' Pivot Tables'!$A$4,1,0)</f>
        <v>0</v>
      </c>
      <c r="X1639">
        <f>IF(AND(LEFT(D1639,4)+1=LEFT(' Pivot Tables'!$A$4,4)+0,RIGHT(LEFT(D1639,7),2)=RIGHT(LEFT(' Pivot Tables'!$A$4,7),2)),1,0)</f>
        <v>0</v>
      </c>
      <c r="Y1639" s="6">
        <f>1/COUNTIF(Таблица1[Order ID],Таблица1[[#This Row],[Order ID]])</f>
        <v>1</v>
      </c>
      <c r="Z1639" s="9">
        <f>1/COUNTIFS(Таблица1[Customer Name],Таблица1[[#This Row],[Customer Name]],Таблица1[Order-Year-Month],Таблица1[[#This Row],[Order-Year-Month]])</f>
        <v>1</v>
      </c>
    </row>
    <row r="1640" spans="1:26" x14ac:dyDescent="0.2">
      <c r="A1640" s="6">
        <v>4637</v>
      </c>
      <c r="B1640" s="7">
        <v>32998</v>
      </c>
      <c r="C1640" s="8">
        <f>DATE(2012,12,31)-824</f>
        <v>40450</v>
      </c>
      <c r="D1640" s="8" t="str">
        <f t="shared" si="33"/>
        <v>2010-09 (сентябрь 2010)</v>
      </c>
      <c r="E1640" s="9" t="s">
        <v>45</v>
      </c>
      <c r="F1640" s="7">
        <v>13</v>
      </c>
      <c r="G1640" s="7">
        <v>1663.83</v>
      </c>
      <c r="H1640" s="7">
        <v>0.1</v>
      </c>
      <c r="I1640" s="9" t="s">
        <v>31</v>
      </c>
      <c r="J1640" s="10">
        <v>-484.64</v>
      </c>
      <c r="K1640" s="11">
        <v>130.97999999999999</v>
      </c>
      <c r="L1640" s="11">
        <v>54.74</v>
      </c>
      <c r="M1640" s="9" t="s">
        <v>1102</v>
      </c>
      <c r="N1640" s="6" t="s">
        <v>1123</v>
      </c>
      <c r="O1640" s="6" t="s">
        <v>1123</v>
      </c>
      <c r="P1640" s="9" t="s">
        <v>41</v>
      </c>
      <c r="Q1640" s="9" t="s">
        <v>49</v>
      </c>
      <c r="R1640" s="9" t="s">
        <v>80</v>
      </c>
      <c r="S1640" s="7" t="s">
        <v>807</v>
      </c>
      <c r="T1640" s="9" t="s">
        <v>82</v>
      </c>
      <c r="U1640" s="7">
        <v>0.69</v>
      </c>
      <c r="V1640" s="12">
        <f>C1640+1</f>
        <v>40451</v>
      </c>
      <c r="W1640">
        <f>IF(D1640=' Pivot Tables'!$A$4,1,0)</f>
        <v>0</v>
      </c>
      <c r="X1640">
        <f>IF(AND(LEFT(D1640,4)+1=LEFT(' Pivot Tables'!$A$4,4)+0,RIGHT(LEFT(D1640,7),2)=RIGHT(LEFT(' Pivot Tables'!$A$4,7),2)),1,0)</f>
        <v>0</v>
      </c>
      <c r="Y1640" s="6">
        <f>1/COUNTIF(Таблица1[Order ID],Таблица1[[#This Row],[Order ID]])</f>
        <v>1</v>
      </c>
      <c r="Z1640" s="9">
        <f>1/COUNTIFS(Таблица1[Customer Name],Таблица1[[#This Row],[Customer Name]],Таблица1[Order-Year-Month],Таблица1[[#This Row],[Order-Year-Month]])</f>
        <v>1</v>
      </c>
    </row>
    <row r="1641" spans="1:26" x14ac:dyDescent="0.2">
      <c r="A1641" s="6">
        <v>4647</v>
      </c>
      <c r="B1641" s="7">
        <v>33091</v>
      </c>
      <c r="C1641" s="8">
        <f>DATE(2012,12,31)-706</f>
        <v>40568</v>
      </c>
      <c r="D1641" s="8" t="str">
        <f t="shared" si="33"/>
        <v>2011-01 (январь 2011)</v>
      </c>
      <c r="E1641" s="9" t="s">
        <v>30</v>
      </c>
      <c r="F1641" s="7">
        <v>24</v>
      </c>
      <c r="G1641" s="7">
        <v>265.35000000000002</v>
      </c>
      <c r="H1641" s="7">
        <v>0.02</v>
      </c>
      <c r="I1641" s="9" t="s">
        <v>22</v>
      </c>
      <c r="J1641" s="10">
        <v>-128.69</v>
      </c>
      <c r="K1641" s="11">
        <v>9.99</v>
      </c>
      <c r="L1641" s="11">
        <v>11.59</v>
      </c>
      <c r="M1641" s="9" t="s">
        <v>1093</v>
      </c>
      <c r="N1641" s="6" t="s">
        <v>1123</v>
      </c>
      <c r="O1641" s="6" t="s">
        <v>1123</v>
      </c>
      <c r="P1641" s="9" t="s">
        <v>60</v>
      </c>
      <c r="Q1641" s="9" t="s">
        <v>26</v>
      </c>
      <c r="R1641" s="9" t="s">
        <v>61</v>
      </c>
      <c r="S1641" s="7" t="s">
        <v>698</v>
      </c>
      <c r="T1641" s="9" t="s">
        <v>39</v>
      </c>
      <c r="U1641" s="7">
        <v>0.4</v>
      </c>
      <c r="V1641" s="12">
        <f>C1641+2</f>
        <v>40570</v>
      </c>
      <c r="W1641">
        <f>IF(D1641=' Pivot Tables'!$A$4,1,0)</f>
        <v>0</v>
      </c>
      <c r="X1641">
        <f>IF(AND(LEFT(D1641,4)+1=LEFT(' Pivot Tables'!$A$4,4)+0,RIGHT(LEFT(D1641,7),2)=RIGHT(LEFT(' Pivot Tables'!$A$4,7),2)),1,0)</f>
        <v>0</v>
      </c>
      <c r="Y1641" s="6">
        <f>1/COUNTIF(Таблица1[Order ID],Таблица1[[#This Row],[Order ID]])</f>
        <v>1</v>
      </c>
      <c r="Z1641" s="9">
        <f>1/COUNTIFS(Таблица1[Customer Name],Таблица1[[#This Row],[Customer Name]],Таблица1[Order-Year-Month],Таблица1[[#This Row],[Order-Year-Month]])</f>
        <v>1</v>
      </c>
    </row>
    <row r="1642" spans="1:26" x14ac:dyDescent="0.2">
      <c r="A1642" s="6">
        <v>4672</v>
      </c>
      <c r="B1642" s="7">
        <v>33250</v>
      </c>
      <c r="C1642" s="8">
        <f>DATE(2012,12,31)-1285</f>
        <v>39989</v>
      </c>
      <c r="D1642" s="8" t="str">
        <f t="shared" si="33"/>
        <v>2009-06 (июнь 2009)</v>
      </c>
      <c r="E1642" s="9" t="s">
        <v>45</v>
      </c>
      <c r="F1642" s="7">
        <v>40</v>
      </c>
      <c r="G1642" s="7">
        <v>7381.19</v>
      </c>
      <c r="H1642" s="7">
        <v>0.04</v>
      </c>
      <c r="I1642" s="9" t="s">
        <v>22</v>
      </c>
      <c r="J1642" s="10">
        <v>2998.88</v>
      </c>
      <c r="K1642" s="11">
        <v>177.98</v>
      </c>
      <c r="L1642" s="11">
        <v>0.99</v>
      </c>
      <c r="M1642" s="9" t="s">
        <v>1102</v>
      </c>
      <c r="N1642" s="6" t="s">
        <v>1123</v>
      </c>
      <c r="O1642" s="6" t="s">
        <v>1123</v>
      </c>
      <c r="P1642" s="9" t="s">
        <v>41</v>
      </c>
      <c r="Q1642" s="9" t="s">
        <v>26</v>
      </c>
      <c r="R1642" s="9" t="s">
        <v>34</v>
      </c>
      <c r="S1642" s="7" t="s">
        <v>388</v>
      </c>
      <c r="T1642" s="9" t="s">
        <v>39</v>
      </c>
      <c r="U1642" s="7">
        <v>0.56000000000000005</v>
      </c>
      <c r="V1642" s="12">
        <f>C1642+2</f>
        <v>39991</v>
      </c>
      <c r="W1642">
        <f>IF(D1642=' Pivot Tables'!$A$4,1,0)</f>
        <v>0</v>
      </c>
      <c r="X1642">
        <f>IF(AND(LEFT(D1642,4)+1=LEFT(' Pivot Tables'!$A$4,4)+0,RIGHT(LEFT(D1642,7),2)=RIGHT(LEFT(' Pivot Tables'!$A$4,7),2)),1,0)</f>
        <v>0</v>
      </c>
      <c r="Y1642" s="6">
        <f>1/COUNTIF(Таблица1[Order ID],Таблица1[[#This Row],[Order ID]])</f>
        <v>1</v>
      </c>
      <c r="Z1642" s="9">
        <f>1/COUNTIFS(Таблица1[Customer Name],Таблица1[[#This Row],[Customer Name]],Таблица1[Order-Year-Month],Таблица1[[#This Row],[Order-Year-Month]])</f>
        <v>1</v>
      </c>
    </row>
    <row r="1643" spans="1:26" x14ac:dyDescent="0.2">
      <c r="A1643" s="6">
        <v>4689</v>
      </c>
      <c r="B1643" s="7">
        <v>33378</v>
      </c>
      <c r="C1643" s="8">
        <f>DATE(2012,12,31)-248</f>
        <v>41026</v>
      </c>
      <c r="D1643" s="8" t="str">
        <f t="shared" si="33"/>
        <v>2012-04 (апрель 2012)</v>
      </c>
      <c r="E1643" s="9" t="s">
        <v>30</v>
      </c>
      <c r="F1643" s="7">
        <v>25</v>
      </c>
      <c r="G1643" s="7">
        <v>945.36</v>
      </c>
      <c r="H1643" s="7">
        <v>0.1</v>
      </c>
      <c r="I1643" s="9" t="s">
        <v>22</v>
      </c>
      <c r="J1643" s="10">
        <v>219.85</v>
      </c>
      <c r="K1643" s="11">
        <v>39.979999999999997</v>
      </c>
      <c r="L1643" s="11">
        <v>9.83</v>
      </c>
      <c r="M1643" s="9" t="s">
        <v>1126</v>
      </c>
      <c r="N1643" s="6" t="s">
        <v>1123</v>
      </c>
      <c r="O1643" s="6" t="s">
        <v>1123</v>
      </c>
      <c r="P1643" s="9" t="s">
        <v>33</v>
      </c>
      <c r="Q1643" s="9" t="s">
        <v>26</v>
      </c>
      <c r="R1643" s="9" t="s">
        <v>76</v>
      </c>
      <c r="S1643" s="7" t="s">
        <v>1127</v>
      </c>
      <c r="T1643" s="9" t="s">
        <v>39</v>
      </c>
      <c r="U1643" s="7">
        <v>0.4</v>
      </c>
      <c r="V1643" s="12">
        <f>C1643+1</f>
        <v>41027</v>
      </c>
      <c r="W1643">
        <f>IF(D1643=' Pivot Tables'!$A$4,1,0)</f>
        <v>0</v>
      </c>
      <c r="X1643">
        <f>IF(AND(LEFT(D1643,4)+1=LEFT(' Pivot Tables'!$A$4,4)+0,RIGHT(LEFT(D1643,7),2)=RIGHT(LEFT(' Pivot Tables'!$A$4,7),2)),1,0)</f>
        <v>0</v>
      </c>
      <c r="Y1643" s="6">
        <f>1/COUNTIF(Таблица1[Order ID],Таблица1[[#This Row],[Order ID]])</f>
        <v>1</v>
      </c>
      <c r="Z1643" s="9">
        <f>1/COUNTIFS(Таблица1[Customer Name],Таблица1[[#This Row],[Customer Name]],Таблица1[Order-Year-Month],Таблица1[[#This Row],[Order-Year-Month]])</f>
        <v>1</v>
      </c>
    </row>
    <row r="1644" spans="1:26" x14ac:dyDescent="0.2">
      <c r="A1644" s="6">
        <v>4766</v>
      </c>
      <c r="B1644" s="7">
        <v>33889</v>
      </c>
      <c r="C1644" s="8">
        <f>DATE(2012,12,31)-786</f>
        <v>40488</v>
      </c>
      <c r="D1644" s="8" t="str">
        <f t="shared" si="33"/>
        <v>2010-11 (ноябрь 2010)</v>
      </c>
      <c r="E1644" s="9" t="s">
        <v>21</v>
      </c>
      <c r="F1644" s="7">
        <v>46</v>
      </c>
      <c r="G1644" s="7">
        <v>9046.33</v>
      </c>
      <c r="H1644" s="7">
        <v>0</v>
      </c>
      <c r="I1644" s="9" t="s">
        <v>31</v>
      </c>
      <c r="J1644" s="10">
        <v>1398.03</v>
      </c>
      <c r="K1644" s="11">
        <v>180.98</v>
      </c>
      <c r="L1644" s="11">
        <v>55.24</v>
      </c>
      <c r="M1644" s="9" t="s">
        <v>719</v>
      </c>
      <c r="N1644" s="6" t="s">
        <v>1123</v>
      </c>
      <c r="O1644" s="6" t="s">
        <v>1123</v>
      </c>
      <c r="P1644" s="9" t="s">
        <v>25</v>
      </c>
      <c r="Q1644" s="9" t="s">
        <v>26</v>
      </c>
      <c r="R1644" s="9" t="s">
        <v>34</v>
      </c>
      <c r="S1644" s="7" t="s">
        <v>550</v>
      </c>
      <c r="T1644" s="9" t="s">
        <v>36</v>
      </c>
      <c r="U1644" s="7">
        <v>0.56999999999999995</v>
      </c>
      <c r="V1644" s="12">
        <f>C1644+5</f>
        <v>40493</v>
      </c>
      <c r="W1644">
        <f>IF(D1644=' Pivot Tables'!$A$4,1,0)</f>
        <v>0</v>
      </c>
      <c r="X1644">
        <f>IF(AND(LEFT(D1644,4)+1=LEFT(' Pivot Tables'!$A$4,4)+0,RIGHT(LEFT(D1644,7),2)=RIGHT(LEFT(' Pivot Tables'!$A$4,7),2)),1,0)</f>
        <v>0</v>
      </c>
      <c r="Y1644" s="6">
        <f>1/COUNTIF(Таблица1[Order ID],Таблица1[[#This Row],[Order ID]])</f>
        <v>0.25</v>
      </c>
      <c r="Z1644" s="9">
        <f>1/COUNTIFS(Таблица1[Customer Name],Таблица1[[#This Row],[Customer Name]],Таблица1[Order-Year-Month],Таблица1[[#This Row],[Order-Year-Month]])</f>
        <v>0.25</v>
      </c>
    </row>
    <row r="1645" spans="1:26" x14ac:dyDescent="0.2">
      <c r="A1645" s="6">
        <v>4767</v>
      </c>
      <c r="B1645" s="7">
        <v>33889</v>
      </c>
      <c r="C1645" s="8">
        <f>DATE(2012,12,31)-786</f>
        <v>40488</v>
      </c>
      <c r="D1645" s="8" t="str">
        <f t="shared" si="33"/>
        <v>2010-11 (ноябрь 2010)</v>
      </c>
      <c r="E1645" s="9" t="s">
        <v>21</v>
      </c>
      <c r="F1645" s="7">
        <v>43</v>
      </c>
      <c r="G1645" s="7">
        <v>367.96</v>
      </c>
      <c r="H1645" s="7">
        <v>0.06</v>
      </c>
      <c r="I1645" s="9" t="s">
        <v>22</v>
      </c>
      <c r="J1645" s="10">
        <v>-16.11</v>
      </c>
      <c r="K1645" s="11">
        <v>8.67</v>
      </c>
      <c r="L1645" s="11">
        <v>3.5</v>
      </c>
      <c r="M1645" s="9" t="s">
        <v>719</v>
      </c>
      <c r="N1645" s="6" t="s">
        <v>1123</v>
      </c>
      <c r="O1645" s="6" t="s">
        <v>1123</v>
      </c>
      <c r="P1645" s="9" t="s">
        <v>25</v>
      </c>
      <c r="Q1645" s="9" t="s">
        <v>26</v>
      </c>
      <c r="R1645" s="9" t="s">
        <v>34</v>
      </c>
      <c r="S1645" s="7" t="s">
        <v>1128</v>
      </c>
      <c r="T1645" s="9" t="s">
        <v>39</v>
      </c>
      <c r="U1645" s="7">
        <v>0.57999999999999996</v>
      </c>
      <c r="V1645" s="12">
        <f>C1645+7</f>
        <v>40495</v>
      </c>
      <c r="W1645">
        <f>IF(D1645=' Pivot Tables'!$A$4,1,0)</f>
        <v>0</v>
      </c>
      <c r="X1645">
        <f>IF(AND(LEFT(D1645,4)+1=LEFT(' Pivot Tables'!$A$4,4)+0,RIGHT(LEFT(D1645,7),2)=RIGHT(LEFT(' Pivot Tables'!$A$4,7),2)),1,0)</f>
        <v>0</v>
      </c>
      <c r="Y1645" s="6">
        <f>1/COUNTIF(Таблица1[Order ID],Таблица1[[#This Row],[Order ID]])</f>
        <v>0.25</v>
      </c>
      <c r="Z1645" s="9">
        <f>1/COUNTIFS(Таблица1[Customer Name],Таблица1[[#This Row],[Customer Name]],Таблица1[Order-Year-Month],Таблица1[[#This Row],[Order-Year-Month]])</f>
        <v>0.25</v>
      </c>
    </row>
    <row r="1646" spans="1:26" x14ac:dyDescent="0.2">
      <c r="A1646" s="6">
        <v>4768</v>
      </c>
      <c r="B1646" s="7">
        <v>33889</v>
      </c>
      <c r="C1646" s="8">
        <f>DATE(2012,12,31)-786</f>
        <v>40488</v>
      </c>
      <c r="D1646" s="8" t="str">
        <f t="shared" si="33"/>
        <v>2010-11 (ноябрь 2010)</v>
      </c>
      <c r="E1646" s="9" t="s">
        <v>21</v>
      </c>
      <c r="F1646" s="7">
        <v>27</v>
      </c>
      <c r="G1646" s="7">
        <v>159.05000000000001</v>
      </c>
      <c r="H1646" s="7">
        <v>0.04</v>
      </c>
      <c r="I1646" s="9" t="s">
        <v>22</v>
      </c>
      <c r="J1646" s="10">
        <v>21.46</v>
      </c>
      <c r="K1646" s="11">
        <v>5.98</v>
      </c>
      <c r="L1646" s="11">
        <v>2.5</v>
      </c>
      <c r="M1646" s="9" t="s">
        <v>719</v>
      </c>
      <c r="N1646" s="6" t="s">
        <v>1123</v>
      </c>
      <c r="O1646" s="6" t="s">
        <v>1123</v>
      </c>
      <c r="P1646" s="9" t="s">
        <v>25</v>
      </c>
      <c r="Q1646" s="9" t="s">
        <v>26</v>
      </c>
      <c r="R1646" s="9" t="s">
        <v>76</v>
      </c>
      <c r="S1646" s="7" t="s">
        <v>625</v>
      </c>
      <c r="T1646" s="9" t="s">
        <v>39</v>
      </c>
      <c r="U1646" s="7">
        <v>0.36</v>
      </c>
      <c r="V1646" s="12">
        <f>C1646+4</f>
        <v>40492</v>
      </c>
      <c r="W1646">
        <f>IF(D1646=' Pivot Tables'!$A$4,1,0)</f>
        <v>0</v>
      </c>
      <c r="X1646">
        <f>IF(AND(LEFT(D1646,4)+1=LEFT(' Pivot Tables'!$A$4,4)+0,RIGHT(LEFT(D1646,7),2)=RIGHT(LEFT(' Pivot Tables'!$A$4,7),2)),1,0)</f>
        <v>0</v>
      </c>
      <c r="Y1646" s="6">
        <f>1/COUNTIF(Таблица1[Order ID],Таблица1[[#This Row],[Order ID]])</f>
        <v>0.25</v>
      </c>
      <c r="Z1646" s="9">
        <f>1/COUNTIFS(Таблица1[Customer Name],Таблица1[[#This Row],[Customer Name]],Таблица1[Order-Year-Month],Таблица1[[#This Row],[Order-Year-Month]])</f>
        <v>0.25</v>
      </c>
    </row>
    <row r="1647" spans="1:26" x14ac:dyDescent="0.2">
      <c r="A1647" s="6">
        <v>4769</v>
      </c>
      <c r="B1647" s="7">
        <v>33889</v>
      </c>
      <c r="C1647" s="8">
        <f>DATE(2012,12,31)-786</f>
        <v>40488</v>
      </c>
      <c r="D1647" s="8" t="str">
        <f t="shared" si="33"/>
        <v>2010-11 (ноябрь 2010)</v>
      </c>
      <c r="E1647" s="9" t="s">
        <v>21</v>
      </c>
      <c r="F1647" s="7">
        <v>39</v>
      </c>
      <c r="G1647" s="7">
        <v>116.14</v>
      </c>
      <c r="H1647" s="7">
        <v>0.01</v>
      </c>
      <c r="I1647" s="9" t="s">
        <v>22</v>
      </c>
      <c r="J1647" s="10">
        <v>50.44</v>
      </c>
      <c r="K1647" s="11">
        <v>2.88</v>
      </c>
      <c r="L1647" s="11">
        <v>0.5</v>
      </c>
      <c r="M1647" s="9" t="s">
        <v>719</v>
      </c>
      <c r="N1647" s="6" t="s">
        <v>1123</v>
      </c>
      <c r="O1647" s="6" t="s">
        <v>1123</v>
      </c>
      <c r="P1647" s="9" t="s">
        <v>25</v>
      </c>
      <c r="Q1647" s="9" t="s">
        <v>26</v>
      </c>
      <c r="R1647" s="9" t="s">
        <v>88</v>
      </c>
      <c r="S1647" s="7" t="s">
        <v>127</v>
      </c>
      <c r="T1647" s="9" t="s">
        <v>39</v>
      </c>
      <c r="U1647" s="7">
        <v>0.36</v>
      </c>
      <c r="V1647" s="12">
        <f>C1647+2</f>
        <v>40490</v>
      </c>
      <c r="W1647">
        <f>IF(D1647=' Pivot Tables'!$A$4,1,0)</f>
        <v>0</v>
      </c>
      <c r="X1647">
        <f>IF(AND(LEFT(D1647,4)+1=LEFT(' Pivot Tables'!$A$4,4)+0,RIGHT(LEFT(D1647,7),2)=RIGHT(LEFT(' Pivot Tables'!$A$4,7),2)),1,0)</f>
        <v>0</v>
      </c>
      <c r="Y1647" s="6">
        <f>1/COUNTIF(Таблица1[Order ID],Таблица1[[#This Row],[Order ID]])</f>
        <v>0.25</v>
      </c>
      <c r="Z1647" s="9">
        <f>1/COUNTIFS(Таблица1[Customer Name],Таблица1[[#This Row],[Customer Name]],Таблица1[Order-Year-Month],Таблица1[[#This Row],[Order-Year-Month]])</f>
        <v>0.25</v>
      </c>
    </row>
    <row r="1648" spans="1:26" x14ac:dyDescent="0.2">
      <c r="A1648" s="6">
        <v>4858</v>
      </c>
      <c r="B1648" s="7">
        <v>34567</v>
      </c>
      <c r="C1648" s="8">
        <f>DATE(2012,12,31)-1345</f>
        <v>39929</v>
      </c>
      <c r="D1648" s="8" t="str">
        <f t="shared" si="33"/>
        <v>2009-04 (апрель 2009)</v>
      </c>
      <c r="E1648" s="9" t="s">
        <v>21</v>
      </c>
      <c r="F1648" s="7">
        <v>18</v>
      </c>
      <c r="G1648" s="7">
        <v>3344.11</v>
      </c>
      <c r="H1648" s="7">
        <v>0.03</v>
      </c>
      <c r="I1648" s="9" t="s">
        <v>31</v>
      </c>
      <c r="J1648" s="10">
        <v>588.54</v>
      </c>
      <c r="K1648" s="11">
        <v>180.98</v>
      </c>
      <c r="L1648" s="11">
        <v>26.2</v>
      </c>
      <c r="M1648" s="9" t="s">
        <v>1118</v>
      </c>
      <c r="N1648" s="6" t="s">
        <v>1123</v>
      </c>
      <c r="O1648" s="6" t="s">
        <v>1123</v>
      </c>
      <c r="P1648" s="9" t="s">
        <v>33</v>
      </c>
      <c r="Q1648" s="9" t="s">
        <v>49</v>
      </c>
      <c r="R1648" s="9" t="s">
        <v>112</v>
      </c>
      <c r="S1648" s="7" t="s">
        <v>263</v>
      </c>
      <c r="T1648" s="9" t="s">
        <v>36</v>
      </c>
      <c r="U1648" s="7">
        <v>0.59</v>
      </c>
      <c r="V1648" s="12">
        <f>C1648+4</f>
        <v>39933</v>
      </c>
      <c r="W1648">
        <f>IF(D1648=' Pivot Tables'!$A$4,1,0)</f>
        <v>0</v>
      </c>
      <c r="X1648">
        <f>IF(AND(LEFT(D1648,4)+1=LEFT(' Pivot Tables'!$A$4,4)+0,RIGHT(LEFT(D1648,7),2)=RIGHT(LEFT(' Pivot Tables'!$A$4,7),2)),1,0)</f>
        <v>0</v>
      </c>
      <c r="Y1648" s="6">
        <f>1/COUNTIF(Таблица1[Order ID],Таблица1[[#This Row],[Order ID]])</f>
        <v>1</v>
      </c>
      <c r="Z1648" s="9">
        <f>1/COUNTIFS(Таблица1[Customer Name],Таблица1[[#This Row],[Customer Name]],Таблица1[Order-Year-Month],Таблица1[[#This Row],[Order-Year-Month]])</f>
        <v>1</v>
      </c>
    </row>
    <row r="1649" spans="1:26" x14ac:dyDescent="0.2">
      <c r="A1649" s="6">
        <v>5078</v>
      </c>
      <c r="B1649" s="7">
        <v>36163</v>
      </c>
      <c r="C1649" s="8">
        <f>DATE(2012,12,31)-56</f>
        <v>41218</v>
      </c>
      <c r="D1649" s="8" t="str">
        <f t="shared" si="33"/>
        <v>2012-11 (ноябрь 2012)</v>
      </c>
      <c r="E1649" s="9" t="s">
        <v>21</v>
      </c>
      <c r="F1649" s="7">
        <v>32</v>
      </c>
      <c r="G1649" s="7">
        <v>463</v>
      </c>
      <c r="H1649" s="7">
        <v>7.0000000000000007E-2</v>
      </c>
      <c r="I1649" s="9" t="s">
        <v>22</v>
      </c>
      <c r="J1649" s="10">
        <v>24.607500000000002</v>
      </c>
      <c r="K1649" s="11">
        <v>14.45</v>
      </c>
      <c r="L1649" s="11">
        <v>7.17</v>
      </c>
      <c r="M1649" s="9" t="s">
        <v>1089</v>
      </c>
      <c r="N1649" s="6" t="s">
        <v>1123</v>
      </c>
      <c r="O1649" s="6" t="s">
        <v>1123</v>
      </c>
      <c r="P1649" s="9" t="s">
        <v>25</v>
      </c>
      <c r="Q1649" s="9" t="s">
        <v>26</v>
      </c>
      <c r="R1649" s="9" t="s">
        <v>37</v>
      </c>
      <c r="S1649" s="7" t="s">
        <v>1125</v>
      </c>
      <c r="T1649" s="9" t="s">
        <v>39</v>
      </c>
      <c r="U1649" s="7">
        <v>0.38</v>
      </c>
      <c r="V1649" s="12">
        <f>C1649+0</f>
        <v>41218</v>
      </c>
      <c r="W1649">
        <f>IF(D1649=' Pivot Tables'!$A$4,1,0)</f>
        <v>0</v>
      </c>
      <c r="X1649">
        <f>IF(AND(LEFT(D1649,4)+1=LEFT(' Pivot Tables'!$A$4,4)+0,RIGHT(LEFT(D1649,7),2)=RIGHT(LEFT(' Pivot Tables'!$A$4,7),2)),1,0)</f>
        <v>0</v>
      </c>
      <c r="Y1649" s="6">
        <f>1/COUNTIF(Таблица1[Order ID],Таблица1[[#This Row],[Order ID]])</f>
        <v>1</v>
      </c>
      <c r="Z1649" s="9">
        <f>1/COUNTIFS(Таблица1[Customer Name],Таблица1[[#This Row],[Customer Name]],Таблица1[Order-Year-Month],Таблица1[[#This Row],[Order-Year-Month]])</f>
        <v>1</v>
      </c>
    </row>
    <row r="1650" spans="1:26" x14ac:dyDescent="0.2">
      <c r="A1650" s="6">
        <v>5114</v>
      </c>
      <c r="B1650" s="7">
        <v>36449</v>
      </c>
      <c r="C1650" s="8">
        <f>DATE(2012,12,31)-848</f>
        <v>40426</v>
      </c>
      <c r="D1650" s="8" t="str">
        <f t="shared" si="33"/>
        <v>2010-09 (сентябрь 2010)</v>
      </c>
      <c r="E1650" s="9" t="s">
        <v>45</v>
      </c>
      <c r="F1650" s="7">
        <v>6</v>
      </c>
      <c r="G1650" s="7">
        <v>90.75</v>
      </c>
      <c r="H1650" s="7">
        <v>0.02</v>
      </c>
      <c r="I1650" s="9" t="s">
        <v>22</v>
      </c>
      <c r="J1650" s="10">
        <v>-26.39</v>
      </c>
      <c r="K1650" s="11">
        <v>12.99</v>
      </c>
      <c r="L1650" s="11">
        <v>14.37</v>
      </c>
      <c r="M1650" s="9" t="s">
        <v>1099</v>
      </c>
      <c r="N1650" s="6" t="s">
        <v>1123</v>
      </c>
      <c r="O1650" s="6" t="s">
        <v>1123</v>
      </c>
      <c r="P1650" s="9" t="s">
        <v>41</v>
      </c>
      <c r="Q1650" s="9" t="s">
        <v>49</v>
      </c>
      <c r="R1650" s="9" t="s">
        <v>50</v>
      </c>
      <c r="S1650" s="7" t="s">
        <v>1129</v>
      </c>
      <c r="T1650" s="9" t="s">
        <v>29</v>
      </c>
      <c r="U1650" s="7">
        <v>0.73</v>
      </c>
      <c r="V1650" s="12">
        <f>C1650+0</f>
        <v>40426</v>
      </c>
      <c r="W1650">
        <f>IF(D1650=' Pivot Tables'!$A$4,1,0)</f>
        <v>0</v>
      </c>
      <c r="X1650">
        <f>IF(AND(LEFT(D1650,4)+1=LEFT(' Pivot Tables'!$A$4,4)+0,RIGHT(LEFT(D1650,7),2)=RIGHT(LEFT(' Pivot Tables'!$A$4,7),2)),1,0)</f>
        <v>0</v>
      </c>
      <c r="Y1650" s="6">
        <f>1/COUNTIF(Таблица1[Order ID],Таблица1[[#This Row],[Order ID]])</f>
        <v>0.33333333333333331</v>
      </c>
      <c r="Z1650" s="9">
        <f>1/COUNTIFS(Таблица1[Customer Name],Таблица1[[#This Row],[Customer Name]],Таблица1[Order-Year-Month],Таблица1[[#This Row],[Order-Year-Month]])</f>
        <v>0.33333333333333331</v>
      </c>
    </row>
    <row r="1651" spans="1:26" x14ac:dyDescent="0.2">
      <c r="A1651" s="6">
        <v>5144</v>
      </c>
      <c r="B1651" s="7">
        <v>36675</v>
      </c>
      <c r="C1651" s="8">
        <f>DATE(2012,12,31)-547</f>
        <v>40727</v>
      </c>
      <c r="D1651" s="8" t="str">
        <f t="shared" si="33"/>
        <v>2011-07 (июль 2011)</v>
      </c>
      <c r="E1651" s="9" t="s">
        <v>30</v>
      </c>
      <c r="F1651" s="7">
        <v>39</v>
      </c>
      <c r="G1651" s="7">
        <v>113.09</v>
      </c>
      <c r="H1651" s="7">
        <v>0.04</v>
      </c>
      <c r="I1651" s="9" t="s">
        <v>22</v>
      </c>
      <c r="J1651" s="10">
        <v>29.76</v>
      </c>
      <c r="K1651" s="11">
        <v>2.94</v>
      </c>
      <c r="L1651" s="11">
        <v>0.81</v>
      </c>
      <c r="M1651" s="9" t="s">
        <v>1098</v>
      </c>
      <c r="N1651" s="6" t="s">
        <v>1123</v>
      </c>
      <c r="O1651" s="6" t="s">
        <v>1123</v>
      </c>
      <c r="P1651" s="9" t="s">
        <v>25</v>
      </c>
      <c r="Q1651" s="9" t="s">
        <v>26</v>
      </c>
      <c r="R1651" s="9" t="s">
        <v>95</v>
      </c>
      <c r="S1651" s="7" t="s">
        <v>1130</v>
      </c>
      <c r="T1651" s="9" t="s">
        <v>68</v>
      </c>
      <c r="U1651" s="7">
        <v>0.4</v>
      </c>
      <c r="V1651" s="12">
        <f>C1651+3</f>
        <v>40730</v>
      </c>
      <c r="W1651">
        <f>IF(D1651=' Pivot Tables'!$A$4,1,0)</f>
        <v>0</v>
      </c>
      <c r="X1651">
        <f>IF(AND(LEFT(D1651,4)+1=LEFT(' Pivot Tables'!$A$4,4)+0,RIGHT(LEFT(D1651,7),2)=RIGHT(LEFT(' Pivot Tables'!$A$4,7),2)),1,0)</f>
        <v>0</v>
      </c>
      <c r="Y1651" s="6">
        <f>1/COUNTIF(Таблица1[Order ID],Таблица1[[#This Row],[Order ID]])</f>
        <v>1</v>
      </c>
      <c r="Z1651" s="9">
        <f>1/COUNTIFS(Таблица1[Customer Name],Таблица1[[#This Row],[Customer Name]],Таблица1[Order-Year-Month],Таблица1[[#This Row],[Order-Year-Month]])</f>
        <v>1</v>
      </c>
    </row>
    <row r="1652" spans="1:26" x14ac:dyDescent="0.2">
      <c r="A1652" s="6">
        <v>5327</v>
      </c>
      <c r="B1652" s="7">
        <v>37862</v>
      </c>
      <c r="C1652" s="8">
        <f>DATE(2012,12,31)-1449</f>
        <v>39825</v>
      </c>
      <c r="D1652" s="8" t="str">
        <f t="shared" si="33"/>
        <v>2009-01 (январь 2009)</v>
      </c>
      <c r="E1652" s="9" t="s">
        <v>45</v>
      </c>
      <c r="F1652" s="7">
        <v>27</v>
      </c>
      <c r="G1652" s="7">
        <v>1603.27</v>
      </c>
      <c r="H1652" s="7">
        <v>0.01</v>
      </c>
      <c r="I1652" s="9" t="s">
        <v>22</v>
      </c>
      <c r="J1652" s="10">
        <v>452.49</v>
      </c>
      <c r="K1652" s="11">
        <v>59.98</v>
      </c>
      <c r="L1652" s="11">
        <v>3.99</v>
      </c>
      <c r="M1652" s="9" t="s">
        <v>1102</v>
      </c>
      <c r="N1652" s="6" t="s">
        <v>1123</v>
      </c>
      <c r="O1652" s="6" t="s">
        <v>1123</v>
      </c>
      <c r="P1652" s="9" t="s">
        <v>41</v>
      </c>
      <c r="Q1652" s="9" t="s">
        <v>26</v>
      </c>
      <c r="R1652" s="9" t="s">
        <v>34</v>
      </c>
      <c r="S1652" s="7" t="s">
        <v>448</v>
      </c>
      <c r="T1652" s="9" t="s">
        <v>39</v>
      </c>
      <c r="U1652" s="7">
        <v>0.56999999999999995</v>
      </c>
      <c r="V1652" s="12">
        <f>C1652+3</f>
        <v>39828</v>
      </c>
      <c r="W1652">
        <f>IF(D1652=' Pivot Tables'!$A$4,1,0)</f>
        <v>0</v>
      </c>
      <c r="X1652">
        <f>IF(AND(LEFT(D1652,4)+1=LEFT(' Pivot Tables'!$A$4,4)+0,RIGHT(LEFT(D1652,7),2)=RIGHT(LEFT(' Pivot Tables'!$A$4,7),2)),1,0)</f>
        <v>1</v>
      </c>
      <c r="Y1652" s="6">
        <f>1/COUNTIF(Таблица1[Order ID],Таблица1[[#This Row],[Order ID]])</f>
        <v>1</v>
      </c>
      <c r="Z1652" s="9">
        <f>1/COUNTIFS(Таблица1[Customer Name],Таблица1[[#This Row],[Customer Name]],Таблица1[Order-Year-Month],Таблица1[[#This Row],[Order-Year-Month]])</f>
        <v>1</v>
      </c>
    </row>
    <row r="1653" spans="1:26" x14ac:dyDescent="0.2">
      <c r="A1653" s="6">
        <v>5379</v>
      </c>
      <c r="B1653" s="7">
        <v>38240</v>
      </c>
      <c r="C1653" s="8">
        <f>DATE(2012,12,31)-1108</f>
        <v>40166</v>
      </c>
      <c r="D1653" s="8" t="str">
        <f t="shared" si="33"/>
        <v>2009-12 (декабрь 2009)</v>
      </c>
      <c r="E1653" s="9" t="s">
        <v>30</v>
      </c>
      <c r="F1653" s="7">
        <v>4</v>
      </c>
      <c r="G1653" s="7">
        <v>41.53</v>
      </c>
      <c r="H1653" s="7">
        <v>0.04</v>
      </c>
      <c r="I1653" s="9" t="s">
        <v>22</v>
      </c>
      <c r="J1653" s="10">
        <v>-15.525</v>
      </c>
      <c r="K1653" s="11">
        <v>8.6</v>
      </c>
      <c r="L1653" s="11">
        <v>6.19</v>
      </c>
      <c r="M1653" s="9" t="s">
        <v>1106</v>
      </c>
      <c r="N1653" s="6" t="s">
        <v>1123</v>
      </c>
      <c r="O1653" s="6" t="s">
        <v>1123</v>
      </c>
      <c r="P1653" s="9" t="s">
        <v>33</v>
      </c>
      <c r="Q1653" s="9" t="s">
        <v>26</v>
      </c>
      <c r="R1653" s="9" t="s">
        <v>37</v>
      </c>
      <c r="S1653" s="7" t="s">
        <v>872</v>
      </c>
      <c r="T1653" s="9" t="s">
        <v>39</v>
      </c>
      <c r="U1653" s="7">
        <v>0.38</v>
      </c>
      <c r="V1653" s="12">
        <f>C1653+0</f>
        <v>40166</v>
      </c>
      <c r="W1653">
        <f>IF(D1653=' Pivot Tables'!$A$4,1,0)</f>
        <v>0</v>
      </c>
      <c r="X1653">
        <f>IF(AND(LEFT(D1653,4)+1=LEFT(' Pivot Tables'!$A$4,4)+0,RIGHT(LEFT(D1653,7),2)=RIGHT(LEFT(' Pivot Tables'!$A$4,7),2)),1,0)</f>
        <v>0</v>
      </c>
      <c r="Y1653" s="6">
        <f>1/COUNTIF(Таблица1[Order ID],Таблица1[[#This Row],[Order ID]])</f>
        <v>0.5</v>
      </c>
      <c r="Z1653" s="9">
        <f>1/COUNTIFS(Таблица1[Customer Name],Таблица1[[#This Row],[Customer Name]],Таблица1[Order-Year-Month],Таблица1[[#This Row],[Order-Year-Month]])</f>
        <v>0.33333333333333331</v>
      </c>
    </row>
    <row r="1654" spans="1:26" x14ac:dyDescent="0.2">
      <c r="A1654" s="6">
        <v>5450</v>
      </c>
      <c r="B1654" s="7">
        <v>38693</v>
      </c>
      <c r="C1654" s="8">
        <f>DATE(2012,12,31)-566</f>
        <v>40708</v>
      </c>
      <c r="D1654" s="8" t="str">
        <f t="shared" si="33"/>
        <v>2011-06 (июнь 2011)</v>
      </c>
      <c r="E1654" s="9" t="s">
        <v>21</v>
      </c>
      <c r="F1654" s="7">
        <v>3</v>
      </c>
      <c r="G1654" s="7">
        <v>2222.61</v>
      </c>
      <c r="H1654" s="7">
        <v>0.02</v>
      </c>
      <c r="I1654" s="9" t="s">
        <v>22</v>
      </c>
      <c r="J1654" s="10">
        <v>196.08</v>
      </c>
      <c r="K1654" s="11">
        <v>699.99</v>
      </c>
      <c r="L1654" s="11">
        <v>24.49</v>
      </c>
      <c r="M1654" s="9" t="s">
        <v>1131</v>
      </c>
      <c r="N1654" s="6" t="s">
        <v>1123</v>
      </c>
      <c r="O1654" s="6" t="s">
        <v>1123</v>
      </c>
      <c r="P1654" s="9" t="s">
        <v>60</v>
      </c>
      <c r="Q1654" s="9" t="s">
        <v>42</v>
      </c>
      <c r="R1654" s="9" t="s">
        <v>99</v>
      </c>
      <c r="S1654" s="7" t="s">
        <v>411</v>
      </c>
      <c r="T1654" s="9" t="s">
        <v>29</v>
      </c>
      <c r="U1654" s="7">
        <v>0.41</v>
      </c>
      <c r="V1654" s="12">
        <f>C1654+7</f>
        <v>40715</v>
      </c>
      <c r="W1654">
        <f>IF(D1654=' Pivot Tables'!$A$4,1,0)</f>
        <v>0</v>
      </c>
      <c r="X1654">
        <f>IF(AND(LEFT(D1654,4)+1=LEFT(' Pivot Tables'!$A$4,4)+0,RIGHT(LEFT(D1654,7),2)=RIGHT(LEFT(' Pivot Tables'!$A$4,7),2)),1,0)</f>
        <v>0</v>
      </c>
      <c r="Y1654" s="6">
        <f>1/COUNTIF(Таблица1[Order ID],Таблица1[[#This Row],[Order ID]])</f>
        <v>1</v>
      </c>
      <c r="Z1654" s="9">
        <f>1/COUNTIFS(Таблица1[Customer Name],Таблица1[[#This Row],[Customer Name]],Таблица1[Order-Year-Month],Таблица1[[#This Row],[Order-Year-Month]])</f>
        <v>0.33333333333333331</v>
      </c>
    </row>
    <row r="1655" spans="1:26" x14ac:dyDescent="0.2">
      <c r="A1655" s="6">
        <v>5483</v>
      </c>
      <c r="B1655" s="7">
        <v>38917</v>
      </c>
      <c r="C1655" s="8">
        <f>DATE(2012,12,31)-771</f>
        <v>40503</v>
      </c>
      <c r="D1655" s="8" t="str">
        <f t="shared" si="33"/>
        <v>2010-11 (ноябрь 2010)</v>
      </c>
      <c r="E1655" s="9" t="s">
        <v>21</v>
      </c>
      <c r="F1655" s="7">
        <v>11</v>
      </c>
      <c r="G1655" s="7">
        <v>618.1964999999999</v>
      </c>
      <c r="H1655" s="7">
        <v>0.02</v>
      </c>
      <c r="I1655" s="9" t="s">
        <v>22</v>
      </c>
      <c r="J1655" s="10">
        <v>-132.52800000000002</v>
      </c>
      <c r="K1655" s="11">
        <v>65.989999999999995</v>
      </c>
      <c r="L1655" s="11">
        <v>8.8000000000000007</v>
      </c>
      <c r="M1655" s="9" t="s">
        <v>1126</v>
      </c>
      <c r="N1655" s="6" t="s">
        <v>1123</v>
      </c>
      <c r="O1655" s="6" t="s">
        <v>1123</v>
      </c>
      <c r="P1655" s="9" t="s">
        <v>33</v>
      </c>
      <c r="Q1655" s="9" t="s">
        <v>42</v>
      </c>
      <c r="R1655" s="9" t="s">
        <v>43</v>
      </c>
      <c r="S1655" s="7" t="s">
        <v>1132</v>
      </c>
      <c r="T1655" s="9" t="s">
        <v>39</v>
      </c>
      <c r="U1655" s="7">
        <v>0.57999999999999996</v>
      </c>
      <c r="V1655" s="12">
        <f>C1655+7</f>
        <v>40510</v>
      </c>
      <c r="W1655">
        <f>IF(D1655=' Pivot Tables'!$A$4,1,0)</f>
        <v>0</v>
      </c>
      <c r="X1655">
        <f>IF(AND(LEFT(D1655,4)+1=LEFT(' Pivot Tables'!$A$4,4)+0,RIGHT(LEFT(D1655,7),2)=RIGHT(LEFT(' Pivot Tables'!$A$4,7),2)),1,0)</f>
        <v>0</v>
      </c>
      <c r="Y1655" s="6">
        <f>1/COUNTIF(Таблица1[Order ID],Таблица1[[#This Row],[Order ID]])</f>
        <v>1</v>
      </c>
      <c r="Z1655" s="9">
        <f>1/COUNTIFS(Таблица1[Customer Name],Таблица1[[#This Row],[Customer Name]],Таблица1[Order-Year-Month],Таблица1[[#This Row],[Order-Year-Month]])</f>
        <v>1</v>
      </c>
    </row>
    <row r="1656" spans="1:26" x14ac:dyDescent="0.2">
      <c r="A1656" s="6">
        <v>5501</v>
      </c>
      <c r="B1656" s="7">
        <v>39015</v>
      </c>
      <c r="C1656" s="8">
        <f>DATE(2012,12,31)-1121</f>
        <v>40153</v>
      </c>
      <c r="D1656" s="8" t="str">
        <f t="shared" si="33"/>
        <v>2009-12 (декабрь 2009)</v>
      </c>
      <c r="E1656" s="9" t="s">
        <v>63</v>
      </c>
      <c r="F1656" s="7">
        <v>13</v>
      </c>
      <c r="G1656" s="7">
        <v>5236.1400000000003</v>
      </c>
      <c r="H1656" s="7">
        <v>0.05</v>
      </c>
      <c r="I1656" s="9" t="s">
        <v>31</v>
      </c>
      <c r="J1656" s="10">
        <v>567.59</v>
      </c>
      <c r="K1656" s="11">
        <v>399.98</v>
      </c>
      <c r="L1656" s="11">
        <v>12.06</v>
      </c>
      <c r="M1656" s="9" t="s">
        <v>1131</v>
      </c>
      <c r="N1656" s="6" t="s">
        <v>1123</v>
      </c>
      <c r="O1656" s="6" t="s">
        <v>1123</v>
      </c>
      <c r="P1656" s="9" t="s">
        <v>41</v>
      </c>
      <c r="Q1656" s="9" t="s">
        <v>42</v>
      </c>
      <c r="R1656" s="9" t="s">
        <v>210</v>
      </c>
      <c r="S1656" s="7" t="s">
        <v>1051</v>
      </c>
      <c r="T1656" s="9" t="s">
        <v>82</v>
      </c>
      <c r="U1656" s="7">
        <v>0.56000000000000005</v>
      </c>
      <c r="V1656" s="12">
        <f>C1656+0</f>
        <v>40153</v>
      </c>
      <c r="W1656">
        <f>IF(D1656=' Pivot Tables'!$A$4,1,0)</f>
        <v>0</v>
      </c>
      <c r="X1656">
        <f>IF(AND(LEFT(D1656,4)+1=LEFT(' Pivot Tables'!$A$4,4)+0,RIGHT(LEFT(D1656,7),2)=RIGHT(LEFT(' Pivot Tables'!$A$4,7),2)),1,0)</f>
        <v>0</v>
      </c>
      <c r="Y1656" s="6">
        <f>1/COUNTIF(Таблица1[Order ID],Таблица1[[#This Row],[Order ID]])</f>
        <v>0.5</v>
      </c>
      <c r="Z1656" s="9">
        <f>1/COUNTIFS(Таблица1[Customer Name],Таблица1[[#This Row],[Customer Name]],Таблица1[Order-Year-Month],Таблица1[[#This Row],[Order-Year-Month]])</f>
        <v>0.5</v>
      </c>
    </row>
    <row r="1657" spans="1:26" x14ac:dyDescent="0.2">
      <c r="A1657" s="6">
        <v>5502</v>
      </c>
      <c r="B1657" s="7">
        <v>39015</v>
      </c>
      <c r="C1657" s="8">
        <f>DATE(2012,12,31)-1121</f>
        <v>40153</v>
      </c>
      <c r="D1657" s="8" t="str">
        <f t="shared" si="33"/>
        <v>2009-12 (декабрь 2009)</v>
      </c>
      <c r="E1657" s="9" t="s">
        <v>63</v>
      </c>
      <c r="F1657" s="7">
        <v>11</v>
      </c>
      <c r="G1657" s="7">
        <v>74.02</v>
      </c>
      <c r="H1657" s="7">
        <v>7.0000000000000007E-2</v>
      </c>
      <c r="I1657" s="9" t="s">
        <v>22</v>
      </c>
      <c r="J1657" s="10">
        <v>-28.45</v>
      </c>
      <c r="K1657" s="11">
        <v>6.48</v>
      </c>
      <c r="L1657" s="11">
        <v>5.74</v>
      </c>
      <c r="M1657" s="9" t="s">
        <v>1131</v>
      </c>
      <c r="N1657" s="6" t="s">
        <v>1123</v>
      </c>
      <c r="O1657" s="6" t="s">
        <v>1123</v>
      </c>
      <c r="P1657" s="9" t="s">
        <v>41</v>
      </c>
      <c r="Q1657" s="9" t="s">
        <v>26</v>
      </c>
      <c r="R1657" s="9" t="s">
        <v>61</v>
      </c>
      <c r="S1657" s="7" t="s">
        <v>707</v>
      </c>
      <c r="T1657" s="9" t="s">
        <v>39</v>
      </c>
      <c r="U1657" s="7">
        <v>0.37</v>
      </c>
      <c r="V1657" s="12">
        <f>C1657+0</f>
        <v>40153</v>
      </c>
      <c r="W1657">
        <f>IF(D1657=' Pivot Tables'!$A$4,1,0)</f>
        <v>0</v>
      </c>
      <c r="X1657">
        <f>IF(AND(LEFT(D1657,4)+1=LEFT(' Pivot Tables'!$A$4,4)+0,RIGHT(LEFT(D1657,7),2)=RIGHT(LEFT(' Pivot Tables'!$A$4,7),2)),1,0)</f>
        <v>0</v>
      </c>
      <c r="Y1657" s="6">
        <f>1/COUNTIF(Таблица1[Order ID],Таблица1[[#This Row],[Order ID]])</f>
        <v>0.5</v>
      </c>
      <c r="Z1657" s="9">
        <f>1/COUNTIFS(Таблица1[Customer Name],Таблица1[[#This Row],[Customer Name]],Таблица1[Order-Year-Month],Таблица1[[#This Row],[Order-Year-Month]])</f>
        <v>0.5</v>
      </c>
    </row>
    <row r="1658" spans="1:26" x14ac:dyDescent="0.2">
      <c r="A1658" s="6">
        <v>5539</v>
      </c>
      <c r="B1658" s="7">
        <v>39265</v>
      </c>
      <c r="C1658" s="8">
        <f>DATE(2012,12,31)-969</f>
        <v>40305</v>
      </c>
      <c r="D1658" s="8" t="str">
        <f t="shared" si="33"/>
        <v>2010-05 (май 2010)</v>
      </c>
      <c r="E1658" s="9" t="s">
        <v>78</v>
      </c>
      <c r="F1658" s="7">
        <v>47</v>
      </c>
      <c r="G1658" s="7">
        <v>198.08</v>
      </c>
      <c r="H1658" s="7">
        <v>0.02</v>
      </c>
      <c r="I1658" s="9" t="s">
        <v>22</v>
      </c>
      <c r="J1658" s="10">
        <v>32.69</v>
      </c>
      <c r="K1658" s="11">
        <v>4.28</v>
      </c>
      <c r="L1658" s="11">
        <v>0.94</v>
      </c>
      <c r="M1658" s="9" t="s">
        <v>1133</v>
      </c>
      <c r="N1658" s="6" t="s">
        <v>1123</v>
      </c>
      <c r="O1658" s="6" t="s">
        <v>1123</v>
      </c>
      <c r="P1658" s="9" t="s">
        <v>41</v>
      </c>
      <c r="Q1658" s="9" t="s">
        <v>26</v>
      </c>
      <c r="R1658" s="9" t="s">
        <v>95</v>
      </c>
      <c r="S1658" s="7" t="s">
        <v>540</v>
      </c>
      <c r="T1658" s="9" t="s">
        <v>68</v>
      </c>
      <c r="U1658" s="7">
        <v>0.56000000000000005</v>
      </c>
      <c r="V1658" s="12">
        <f>C1658+1</f>
        <v>40306</v>
      </c>
      <c r="W1658">
        <f>IF(D1658=' Pivot Tables'!$A$4,1,0)</f>
        <v>0</v>
      </c>
      <c r="X1658">
        <f>IF(AND(LEFT(D1658,4)+1=LEFT(' Pivot Tables'!$A$4,4)+0,RIGHT(LEFT(D1658,7),2)=RIGHT(LEFT(' Pivot Tables'!$A$4,7),2)),1,0)</f>
        <v>0</v>
      </c>
      <c r="Y1658" s="6">
        <f>1/COUNTIF(Таблица1[Order ID],Таблица1[[#This Row],[Order ID]])</f>
        <v>1</v>
      </c>
      <c r="Z1658" s="9">
        <f>1/COUNTIFS(Таблица1[Customer Name],Таблица1[[#This Row],[Customer Name]],Таблица1[Order-Year-Month],Таблица1[[#This Row],[Order-Year-Month]])</f>
        <v>1</v>
      </c>
    </row>
    <row r="1659" spans="1:26" x14ac:dyDescent="0.2">
      <c r="A1659" s="6">
        <v>5770</v>
      </c>
      <c r="B1659" s="7">
        <v>40962</v>
      </c>
      <c r="C1659" s="8">
        <f>DATE(2012,12,31)-680</f>
        <v>40594</v>
      </c>
      <c r="D1659" s="8" t="str">
        <f t="shared" si="33"/>
        <v>2011-02 (февраль 2011)</v>
      </c>
      <c r="E1659" s="9" t="s">
        <v>78</v>
      </c>
      <c r="F1659" s="7">
        <v>28</v>
      </c>
      <c r="G1659" s="7">
        <v>1553.66</v>
      </c>
      <c r="H1659" s="7">
        <v>0.03</v>
      </c>
      <c r="I1659" s="9" t="s">
        <v>22</v>
      </c>
      <c r="J1659" s="10">
        <v>547.48</v>
      </c>
      <c r="K1659" s="11">
        <v>54.48</v>
      </c>
      <c r="L1659" s="11">
        <v>0.99</v>
      </c>
      <c r="M1659" s="9" t="s">
        <v>1103</v>
      </c>
      <c r="N1659" s="6" t="s">
        <v>1123</v>
      </c>
      <c r="O1659" s="6" t="s">
        <v>1123</v>
      </c>
      <c r="P1659" s="9" t="s">
        <v>41</v>
      </c>
      <c r="Q1659" s="9" t="s">
        <v>26</v>
      </c>
      <c r="R1659" s="9" t="s">
        <v>34</v>
      </c>
      <c r="S1659" s="7" t="s">
        <v>1134</v>
      </c>
      <c r="T1659" s="9" t="s">
        <v>39</v>
      </c>
      <c r="U1659" s="7">
        <v>0.56999999999999995</v>
      </c>
      <c r="V1659" s="12">
        <f>C1659+1</f>
        <v>40595</v>
      </c>
      <c r="W1659">
        <f>IF(D1659=' Pivot Tables'!$A$4,1,0)</f>
        <v>0</v>
      </c>
      <c r="X1659">
        <f>IF(AND(LEFT(D1659,4)+1=LEFT(' Pivot Tables'!$A$4,4)+0,RIGHT(LEFT(D1659,7),2)=RIGHT(LEFT(' Pivot Tables'!$A$4,7),2)),1,0)</f>
        <v>0</v>
      </c>
      <c r="Y1659" s="6">
        <f>1/COUNTIF(Таблица1[Order ID],Таблица1[[#This Row],[Order ID]])</f>
        <v>0.5</v>
      </c>
      <c r="Z1659" s="9">
        <f>1/COUNTIFS(Таблица1[Customer Name],Таблица1[[#This Row],[Customer Name]],Таблица1[Order-Year-Month],Таблица1[[#This Row],[Order-Year-Month]])</f>
        <v>0.5</v>
      </c>
    </row>
    <row r="1660" spans="1:26" x14ac:dyDescent="0.2">
      <c r="A1660" s="6">
        <v>5771</v>
      </c>
      <c r="B1660" s="7">
        <v>40962</v>
      </c>
      <c r="C1660" s="8">
        <f>DATE(2012,12,31)-680</f>
        <v>40594</v>
      </c>
      <c r="D1660" s="8" t="str">
        <f t="shared" si="33"/>
        <v>2011-02 (февраль 2011)</v>
      </c>
      <c r="E1660" s="9" t="s">
        <v>78</v>
      </c>
      <c r="F1660" s="7">
        <v>30</v>
      </c>
      <c r="G1660" s="7">
        <v>3276.9964999999997</v>
      </c>
      <c r="H1660" s="7">
        <v>0</v>
      </c>
      <c r="I1660" s="9" t="s">
        <v>22</v>
      </c>
      <c r="J1660" s="10">
        <v>653.05799999999999</v>
      </c>
      <c r="K1660" s="11">
        <v>125.99</v>
      </c>
      <c r="L1660" s="11">
        <v>8.99</v>
      </c>
      <c r="M1660" s="9" t="s">
        <v>1103</v>
      </c>
      <c r="N1660" s="6" t="s">
        <v>1123</v>
      </c>
      <c r="O1660" s="6" t="s">
        <v>1123</v>
      </c>
      <c r="P1660" s="9" t="s">
        <v>41</v>
      </c>
      <c r="Q1660" s="9" t="s">
        <v>42</v>
      </c>
      <c r="R1660" s="9" t="s">
        <v>43</v>
      </c>
      <c r="S1660" s="7" t="s">
        <v>924</v>
      </c>
      <c r="T1660" s="9" t="s">
        <v>39</v>
      </c>
      <c r="U1660" s="7">
        <v>0.59</v>
      </c>
      <c r="V1660" s="12">
        <f>C1660+1</f>
        <v>40595</v>
      </c>
      <c r="W1660">
        <f>IF(D1660=' Pivot Tables'!$A$4,1,0)</f>
        <v>0</v>
      </c>
      <c r="X1660">
        <f>IF(AND(LEFT(D1660,4)+1=LEFT(' Pivot Tables'!$A$4,4)+0,RIGHT(LEFT(D1660,7),2)=RIGHT(LEFT(' Pivot Tables'!$A$4,7),2)),1,0)</f>
        <v>0</v>
      </c>
      <c r="Y1660" s="6">
        <f>1/COUNTIF(Таблица1[Order ID],Таблица1[[#This Row],[Order ID]])</f>
        <v>0.5</v>
      </c>
      <c r="Z1660" s="9">
        <f>1/COUNTIFS(Таблица1[Customer Name],Таблица1[[#This Row],[Customer Name]],Таблица1[Order-Year-Month],Таблица1[[#This Row],[Order-Year-Month]])</f>
        <v>0.5</v>
      </c>
    </row>
    <row r="1661" spans="1:26" x14ac:dyDescent="0.2">
      <c r="A1661" s="6">
        <v>5786</v>
      </c>
      <c r="B1661" s="7">
        <v>41059</v>
      </c>
      <c r="C1661" s="8">
        <f>DATE(2012,12,31)-839</f>
        <v>40435</v>
      </c>
      <c r="D1661" s="8" t="str">
        <f t="shared" si="33"/>
        <v>2010-09 (сентябрь 2010)</v>
      </c>
      <c r="E1661" s="9" t="s">
        <v>63</v>
      </c>
      <c r="F1661" s="7">
        <v>26</v>
      </c>
      <c r="G1661" s="7">
        <v>363.16</v>
      </c>
      <c r="H1661" s="7">
        <v>0.08</v>
      </c>
      <c r="I1661" s="9" t="s">
        <v>56</v>
      </c>
      <c r="J1661" s="10">
        <v>3.9185000000000003</v>
      </c>
      <c r="K1661" s="11">
        <v>14.27</v>
      </c>
      <c r="L1661" s="11">
        <v>7.27</v>
      </c>
      <c r="M1661" s="9" t="s">
        <v>1131</v>
      </c>
      <c r="N1661" s="6" t="s">
        <v>1123</v>
      </c>
      <c r="O1661" s="6" t="s">
        <v>1123</v>
      </c>
      <c r="P1661" s="9" t="s">
        <v>41</v>
      </c>
      <c r="Q1661" s="9" t="s">
        <v>26</v>
      </c>
      <c r="R1661" s="9" t="s">
        <v>37</v>
      </c>
      <c r="S1661" s="7" t="s">
        <v>658</v>
      </c>
      <c r="T1661" s="9" t="s">
        <v>39</v>
      </c>
      <c r="U1661" s="7">
        <v>0.38</v>
      </c>
      <c r="V1661" s="12">
        <f>C1661+0</f>
        <v>40435</v>
      </c>
      <c r="W1661">
        <f>IF(D1661=' Pivot Tables'!$A$4,1,0)</f>
        <v>0</v>
      </c>
      <c r="X1661">
        <f>IF(AND(LEFT(D1661,4)+1=LEFT(' Pivot Tables'!$A$4,4)+0,RIGHT(LEFT(D1661,7),2)=RIGHT(LEFT(' Pivot Tables'!$A$4,7),2)),1,0)</f>
        <v>0</v>
      </c>
      <c r="Y1661" s="6">
        <f>1/COUNTIF(Таблица1[Order ID],Таблица1[[#This Row],[Order ID]])</f>
        <v>0.25</v>
      </c>
      <c r="Z1661" s="9">
        <f>1/COUNTIFS(Таблица1[Customer Name],Таблица1[[#This Row],[Customer Name]],Таблица1[Order-Year-Month],Таблица1[[#This Row],[Order-Year-Month]])</f>
        <v>0.2</v>
      </c>
    </row>
    <row r="1662" spans="1:26" x14ac:dyDescent="0.2">
      <c r="A1662" s="6">
        <v>5787</v>
      </c>
      <c r="B1662" s="7">
        <v>41059</v>
      </c>
      <c r="C1662" s="8">
        <f>DATE(2012,12,31)-839</f>
        <v>40435</v>
      </c>
      <c r="D1662" s="8" t="str">
        <f t="shared" si="33"/>
        <v>2010-09 (сентябрь 2010)</v>
      </c>
      <c r="E1662" s="9" t="s">
        <v>63</v>
      </c>
      <c r="F1662" s="7">
        <v>45</v>
      </c>
      <c r="G1662" s="7">
        <v>12571.63</v>
      </c>
      <c r="H1662" s="7">
        <v>0.09</v>
      </c>
      <c r="I1662" s="9" t="s">
        <v>22</v>
      </c>
      <c r="J1662" s="10">
        <v>5455.96</v>
      </c>
      <c r="K1662" s="11">
        <v>300.98</v>
      </c>
      <c r="L1662" s="11">
        <v>13.99</v>
      </c>
      <c r="M1662" s="9" t="s">
        <v>1131</v>
      </c>
      <c r="N1662" s="6" t="s">
        <v>1123</v>
      </c>
      <c r="O1662" s="6" t="s">
        <v>1123</v>
      </c>
      <c r="P1662" s="9" t="s">
        <v>41</v>
      </c>
      <c r="Q1662" s="9" t="s">
        <v>42</v>
      </c>
      <c r="R1662" s="9" t="s">
        <v>210</v>
      </c>
      <c r="S1662" s="7" t="s">
        <v>1135</v>
      </c>
      <c r="T1662" s="9" t="s">
        <v>48</v>
      </c>
      <c r="U1662" s="7">
        <v>0.39</v>
      </c>
      <c r="V1662" s="12">
        <f>C1662+1</f>
        <v>40436</v>
      </c>
      <c r="W1662">
        <f>IF(D1662=' Pivot Tables'!$A$4,1,0)</f>
        <v>0</v>
      </c>
      <c r="X1662">
        <f>IF(AND(LEFT(D1662,4)+1=LEFT(' Pivot Tables'!$A$4,4)+0,RIGHT(LEFT(D1662,7),2)=RIGHT(LEFT(' Pivot Tables'!$A$4,7),2)),1,0)</f>
        <v>0</v>
      </c>
      <c r="Y1662" s="6">
        <f>1/COUNTIF(Таблица1[Order ID],Таблица1[[#This Row],[Order ID]])</f>
        <v>0.25</v>
      </c>
      <c r="Z1662" s="9">
        <f>1/COUNTIFS(Таблица1[Customer Name],Таблица1[[#This Row],[Customer Name]],Таблица1[Order-Year-Month],Таблица1[[#This Row],[Order-Year-Month]])</f>
        <v>0.2</v>
      </c>
    </row>
    <row r="1663" spans="1:26" x14ac:dyDescent="0.2">
      <c r="A1663" s="6">
        <v>5788</v>
      </c>
      <c r="B1663" s="7">
        <v>41059</v>
      </c>
      <c r="C1663" s="8">
        <f>DATE(2012,12,31)-839</f>
        <v>40435</v>
      </c>
      <c r="D1663" s="8" t="str">
        <f t="shared" si="33"/>
        <v>2010-09 (сентябрь 2010)</v>
      </c>
      <c r="E1663" s="9" t="s">
        <v>63</v>
      </c>
      <c r="F1663" s="7">
        <v>21</v>
      </c>
      <c r="G1663" s="7">
        <v>128.86000000000001</v>
      </c>
      <c r="H1663" s="7">
        <v>0</v>
      </c>
      <c r="I1663" s="9" t="s">
        <v>56</v>
      </c>
      <c r="J1663" s="10">
        <v>24.53</v>
      </c>
      <c r="K1663" s="11">
        <v>5.84</v>
      </c>
      <c r="L1663" s="11">
        <v>1.2</v>
      </c>
      <c r="M1663" s="9" t="s">
        <v>1131</v>
      </c>
      <c r="N1663" s="6" t="s">
        <v>1123</v>
      </c>
      <c r="O1663" s="6" t="s">
        <v>1123</v>
      </c>
      <c r="P1663" s="9" t="s">
        <v>41</v>
      </c>
      <c r="Q1663" s="9" t="s">
        <v>26</v>
      </c>
      <c r="R1663" s="9" t="s">
        <v>95</v>
      </c>
      <c r="S1663" s="7" t="s">
        <v>413</v>
      </c>
      <c r="T1663" s="9" t="s">
        <v>68</v>
      </c>
      <c r="U1663" s="7">
        <v>0.55000000000000004</v>
      </c>
      <c r="V1663" s="12">
        <f>C1663+2</f>
        <v>40437</v>
      </c>
      <c r="W1663">
        <f>IF(D1663=' Pivot Tables'!$A$4,1,0)</f>
        <v>0</v>
      </c>
      <c r="X1663">
        <f>IF(AND(LEFT(D1663,4)+1=LEFT(' Pivot Tables'!$A$4,4)+0,RIGHT(LEFT(D1663,7),2)=RIGHT(LEFT(' Pivot Tables'!$A$4,7),2)),1,0)</f>
        <v>0</v>
      </c>
      <c r="Y1663" s="6">
        <f>1/COUNTIF(Таблица1[Order ID],Таблица1[[#This Row],[Order ID]])</f>
        <v>0.25</v>
      </c>
      <c r="Z1663" s="9">
        <f>1/COUNTIFS(Таблица1[Customer Name],Таблица1[[#This Row],[Customer Name]],Таблица1[Order-Year-Month],Таблица1[[#This Row],[Order-Year-Month]])</f>
        <v>0.2</v>
      </c>
    </row>
    <row r="1664" spans="1:26" x14ac:dyDescent="0.2">
      <c r="A1664" s="6">
        <v>5789</v>
      </c>
      <c r="B1664" s="7">
        <v>41059</v>
      </c>
      <c r="C1664" s="8">
        <f>DATE(2012,12,31)-839</f>
        <v>40435</v>
      </c>
      <c r="D1664" s="8" t="str">
        <f t="shared" si="33"/>
        <v>2010-09 (сентябрь 2010)</v>
      </c>
      <c r="E1664" s="9" t="s">
        <v>63</v>
      </c>
      <c r="F1664" s="7">
        <v>45</v>
      </c>
      <c r="G1664" s="7">
        <v>17884.53</v>
      </c>
      <c r="H1664" s="7">
        <v>0.04</v>
      </c>
      <c r="I1664" s="9" t="s">
        <v>31</v>
      </c>
      <c r="J1664" s="10">
        <v>2357.86</v>
      </c>
      <c r="K1664" s="11">
        <v>400.98</v>
      </c>
      <c r="L1664" s="11">
        <v>42.52</v>
      </c>
      <c r="M1664" s="9" t="s">
        <v>1131</v>
      </c>
      <c r="N1664" s="6" t="s">
        <v>1123</v>
      </c>
      <c r="O1664" s="6" t="s">
        <v>1123</v>
      </c>
      <c r="P1664" s="9" t="s">
        <v>41</v>
      </c>
      <c r="Q1664" s="9" t="s">
        <v>49</v>
      </c>
      <c r="R1664" s="9" t="s">
        <v>83</v>
      </c>
      <c r="S1664" s="7" t="s">
        <v>1136</v>
      </c>
      <c r="T1664" s="9" t="s">
        <v>82</v>
      </c>
      <c r="U1664" s="7">
        <v>0.71</v>
      </c>
      <c r="V1664" s="12">
        <f>C1664+1</f>
        <v>40436</v>
      </c>
      <c r="W1664">
        <f>IF(D1664=' Pivot Tables'!$A$4,1,0)</f>
        <v>0</v>
      </c>
      <c r="X1664">
        <f>IF(AND(LEFT(D1664,4)+1=LEFT(' Pivot Tables'!$A$4,4)+0,RIGHT(LEFT(D1664,7),2)=RIGHT(LEFT(' Pivot Tables'!$A$4,7),2)),1,0)</f>
        <v>0</v>
      </c>
      <c r="Y1664" s="6">
        <f>1/COUNTIF(Таблица1[Order ID],Таблица1[[#This Row],[Order ID]])</f>
        <v>0.25</v>
      </c>
      <c r="Z1664" s="9">
        <f>1/COUNTIFS(Таблица1[Customer Name],Таблица1[[#This Row],[Customer Name]],Таблица1[Order-Year-Month],Таблица1[[#This Row],[Order-Year-Month]])</f>
        <v>0.2</v>
      </c>
    </row>
    <row r="1665" spans="1:26" x14ac:dyDescent="0.2">
      <c r="A1665" s="6">
        <v>5872</v>
      </c>
      <c r="B1665" s="7">
        <v>41664</v>
      </c>
      <c r="C1665" s="8">
        <f>DATE(2012,12,31)-393</f>
        <v>40881</v>
      </c>
      <c r="D1665" s="8" t="str">
        <f t="shared" si="33"/>
        <v>2011-12 (декабрь 2011)</v>
      </c>
      <c r="E1665" s="9" t="s">
        <v>78</v>
      </c>
      <c r="F1665" s="7">
        <v>5</v>
      </c>
      <c r="G1665" s="7">
        <v>54.8</v>
      </c>
      <c r="H1665" s="7">
        <v>0</v>
      </c>
      <c r="I1665" s="9" t="s">
        <v>22</v>
      </c>
      <c r="J1665" s="10">
        <v>-15.3</v>
      </c>
      <c r="K1665" s="11">
        <v>9.7799999999999994</v>
      </c>
      <c r="L1665" s="11">
        <v>1.99</v>
      </c>
      <c r="M1665" s="9" t="s">
        <v>1137</v>
      </c>
      <c r="N1665" s="6" t="s">
        <v>1123</v>
      </c>
      <c r="O1665" s="6" t="s">
        <v>1123</v>
      </c>
      <c r="P1665" s="9" t="s">
        <v>41</v>
      </c>
      <c r="Q1665" s="9" t="s">
        <v>42</v>
      </c>
      <c r="R1665" s="9" t="s">
        <v>70</v>
      </c>
      <c r="S1665" s="7" t="s">
        <v>244</v>
      </c>
      <c r="T1665" s="9" t="s">
        <v>52</v>
      </c>
      <c r="U1665" s="7">
        <v>0.43</v>
      </c>
      <c r="V1665" s="12">
        <f>C1665+0</f>
        <v>40881</v>
      </c>
      <c r="W1665">
        <f>IF(D1665=' Pivot Tables'!$A$4,1,0)</f>
        <v>0</v>
      </c>
      <c r="X1665">
        <f>IF(AND(LEFT(D1665,4)+1=LEFT(' Pivot Tables'!$A$4,4)+0,RIGHT(LEFT(D1665,7),2)=RIGHT(LEFT(' Pivot Tables'!$A$4,7),2)),1,0)</f>
        <v>0</v>
      </c>
      <c r="Y1665" s="6">
        <f>1/COUNTIF(Таблица1[Order ID],Таблица1[[#This Row],[Order ID]])</f>
        <v>0.5</v>
      </c>
      <c r="Z1665" s="9">
        <f>1/COUNTIFS(Таблица1[Customer Name],Таблица1[[#This Row],[Customer Name]],Таблица1[Order-Year-Month],Таблица1[[#This Row],[Order-Year-Month]])</f>
        <v>0.5</v>
      </c>
    </row>
    <row r="1666" spans="1:26" x14ac:dyDescent="0.2">
      <c r="A1666" s="6">
        <v>5873</v>
      </c>
      <c r="B1666" s="7">
        <v>41664</v>
      </c>
      <c r="C1666" s="8">
        <f>DATE(2012,12,31)-393</f>
        <v>40881</v>
      </c>
      <c r="D1666" s="8" t="str">
        <f t="shared" si="33"/>
        <v>2011-12 (декабрь 2011)</v>
      </c>
      <c r="E1666" s="9" t="s">
        <v>78</v>
      </c>
      <c r="F1666" s="7">
        <v>40</v>
      </c>
      <c r="G1666" s="7">
        <v>1038.19</v>
      </c>
      <c r="H1666" s="7">
        <v>7.0000000000000007E-2</v>
      </c>
      <c r="I1666" s="9" t="s">
        <v>22</v>
      </c>
      <c r="J1666" s="10">
        <v>230.69</v>
      </c>
      <c r="K1666" s="11">
        <v>25.98</v>
      </c>
      <c r="L1666" s="11">
        <v>4.08</v>
      </c>
      <c r="M1666" s="9" t="s">
        <v>1137</v>
      </c>
      <c r="N1666" s="6" t="s">
        <v>1123</v>
      </c>
      <c r="O1666" s="6" t="s">
        <v>1123</v>
      </c>
      <c r="P1666" s="9" t="s">
        <v>41</v>
      </c>
      <c r="Q1666" s="9" t="s">
        <v>26</v>
      </c>
      <c r="R1666" s="9" t="s">
        <v>95</v>
      </c>
      <c r="S1666" s="7" t="s">
        <v>1138</v>
      </c>
      <c r="T1666" s="9" t="s">
        <v>52</v>
      </c>
      <c r="U1666" s="7">
        <v>0.56999999999999995</v>
      </c>
      <c r="V1666" s="12">
        <f>C1666+2</f>
        <v>40883</v>
      </c>
      <c r="W1666">
        <f>IF(D1666=' Pivot Tables'!$A$4,1,0)</f>
        <v>0</v>
      </c>
      <c r="X1666">
        <f>IF(AND(LEFT(D1666,4)+1=LEFT(' Pivot Tables'!$A$4,4)+0,RIGHT(LEFT(D1666,7),2)=RIGHT(LEFT(' Pivot Tables'!$A$4,7),2)),1,0)</f>
        <v>0</v>
      </c>
      <c r="Y1666" s="6">
        <f>1/COUNTIF(Таблица1[Order ID],Таблица1[[#This Row],[Order ID]])</f>
        <v>0.5</v>
      </c>
      <c r="Z1666" s="9">
        <f>1/COUNTIFS(Таблица1[Customer Name],Таблица1[[#This Row],[Customer Name]],Таблица1[Order-Year-Month],Таблица1[[#This Row],[Order-Year-Month]])</f>
        <v>0.5</v>
      </c>
    </row>
    <row r="1667" spans="1:26" x14ac:dyDescent="0.2">
      <c r="A1667" s="6">
        <v>6012</v>
      </c>
      <c r="B1667" s="7">
        <v>42596</v>
      </c>
      <c r="C1667" s="8">
        <f>DATE(2012,12,31)-139</f>
        <v>41135</v>
      </c>
      <c r="D1667" s="8" t="str">
        <f t="shared" ref="D1667:D1730" si="34">TEXT(C1667,"гггг-ММ (ММММ гггг)")</f>
        <v>2012-08 (август 2012)</v>
      </c>
      <c r="E1667" s="9" t="s">
        <v>63</v>
      </c>
      <c r="F1667" s="7">
        <v>9</v>
      </c>
      <c r="G1667" s="7">
        <v>51.75</v>
      </c>
      <c r="H1667" s="7">
        <v>0.05</v>
      </c>
      <c r="I1667" s="9" t="s">
        <v>22</v>
      </c>
      <c r="J1667" s="10">
        <v>4.16</v>
      </c>
      <c r="K1667" s="11">
        <v>5.58</v>
      </c>
      <c r="L1667" s="11">
        <v>0.7</v>
      </c>
      <c r="M1667" s="9" t="s">
        <v>1091</v>
      </c>
      <c r="N1667" s="6" t="s">
        <v>1123</v>
      </c>
      <c r="O1667" s="6" t="s">
        <v>1123</v>
      </c>
      <c r="P1667" s="9" t="s">
        <v>41</v>
      </c>
      <c r="Q1667" s="9" t="s">
        <v>26</v>
      </c>
      <c r="R1667" s="9" t="s">
        <v>95</v>
      </c>
      <c r="S1667" s="7" t="s">
        <v>823</v>
      </c>
      <c r="T1667" s="9" t="s">
        <v>68</v>
      </c>
      <c r="U1667" s="7">
        <v>0.6</v>
      </c>
      <c r="V1667" s="12">
        <f>C1667+2</f>
        <v>41137</v>
      </c>
      <c r="W1667">
        <f>IF(D1667=' Pivot Tables'!$A$4,1,0)</f>
        <v>0</v>
      </c>
      <c r="X1667">
        <f>IF(AND(LEFT(D1667,4)+1=LEFT(' Pivot Tables'!$A$4,4)+0,RIGHT(LEFT(D1667,7),2)=RIGHT(LEFT(' Pivot Tables'!$A$4,7),2)),1,0)</f>
        <v>0</v>
      </c>
      <c r="Y1667" s="6">
        <f>1/COUNTIF(Таблица1[Order ID],Таблица1[[#This Row],[Order ID]])</f>
        <v>1</v>
      </c>
      <c r="Z1667" s="9">
        <f>1/COUNTIFS(Таблица1[Customer Name],Таблица1[[#This Row],[Customer Name]],Таблица1[Order-Year-Month],Таблица1[[#This Row],[Order-Year-Month]])</f>
        <v>0.5</v>
      </c>
    </row>
    <row r="1668" spans="1:26" x14ac:dyDescent="0.2">
      <c r="A1668" s="6">
        <v>6135</v>
      </c>
      <c r="B1668" s="7">
        <v>43424</v>
      </c>
      <c r="C1668" s="8">
        <f>DATE(2012,12,31)-501</f>
        <v>40773</v>
      </c>
      <c r="D1668" s="8" t="str">
        <f t="shared" si="34"/>
        <v>2011-08 (август 2011)</v>
      </c>
      <c r="E1668" s="9" t="s">
        <v>45</v>
      </c>
      <c r="F1668" s="7">
        <v>34</v>
      </c>
      <c r="G1668" s="7">
        <v>772.56</v>
      </c>
      <c r="H1668" s="7">
        <v>0.04</v>
      </c>
      <c r="I1668" s="9" t="s">
        <v>56</v>
      </c>
      <c r="J1668" s="10">
        <v>143.87</v>
      </c>
      <c r="K1668" s="11">
        <v>22.98</v>
      </c>
      <c r="L1668" s="11">
        <v>4.5</v>
      </c>
      <c r="M1668" s="9" t="s">
        <v>1108</v>
      </c>
      <c r="N1668" s="6" t="s">
        <v>1123</v>
      </c>
      <c r="O1668" s="6" t="s">
        <v>1123</v>
      </c>
      <c r="P1668" s="9" t="s">
        <v>60</v>
      </c>
      <c r="Q1668" s="9" t="s">
        <v>26</v>
      </c>
      <c r="R1668" s="9" t="s">
        <v>34</v>
      </c>
      <c r="S1668" s="7" t="s">
        <v>1139</v>
      </c>
      <c r="T1668" s="9" t="s">
        <v>39</v>
      </c>
      <c r="U1668" s="7">
        <v>0.55000000000000004</v>
      </c>
      <c r="V1668" s="12">
        <f>C1668+2</f>
        <v>40775</v>
      </c>
      <c r="W1668">
        <f>IF(D1668=' Pivot Tables'!$A$4,1,0)</f>
        <v>0</v>
      </c>
      <c r="X1668">
        <f>IF(AND(LEFT(D1668,4)+1=LEFT(' Pivot Tables'!$A$4,4)+0,RIGHT(LEFT(D1668,7),2)=RIGHT(LEFT(' Pivot Tables'!$A$4,7),2)),1,0)</f>
        <v>0</v>
      </c>
      <c r="Y1668" s="6">
        <f>1/COUNTIF(Таблица1[Order ID],Таблица1[[#This Row],[Order ID]])</f>
        <v>1</v>
      </c>
      <c r="Z1668" s="9">
        <f>1/COUNTIFS(Таблица1[Customer Name],Таблица1[[#This Row],[Customer Name]],Таблица1[Order-Year-Month],Таблица1[[#This Row],[Order-Year-Month]])</f>
        <v>0.5</v>
      </c>
    </row>
    <row r="1669" spans="1:26" x14ac:dyDescent="0.2">
      <c r="A1669" s="6">
        <v>6179</v>
      </c>
      <c r="B1669" s="7">
        <v>43808</v>
      </c>
      <c r="C1669" s="8">
        <f>DATE(2012,12,31)-725</f>
        <v>40549</v>
      </c>
      <c r="D1669" s="8" t="str">
        <f t="shared" si="34"/>
        <v>2011-01 (январь 2011)</v>
      </c>
      <c r="E1669" s="9" t="s">
        <v>21</v>
      </c>
      <c r="F1669" s="7">
        <v>16</v>
      </c>
      <c r="G1669" s="7">
        <v>108.73</v>
      </c>
      <c r="H1669" s="7">
        <v>0.04</v>
      </c>
      <c r="I1669" s="9" t="s">
        <v>22</v>
      </c>
      <c r="J1669" s="10">
        <v>-22.21</v>
      </c>
      <c r="K1669" s="11">
        <v>6.24</v>
      </c>
      <c r="L1669" s="11">
        <v>5.22</v>
      </c>
      <c r="M1669" s="9" t="s">
        <v>1098</v>
      </c>
      <c r="N1669" s="6" t="s">
        <v>1123</v>
      </c>
      <c r="O1669" s="6" t="s">
        <v>1123</v>
      </c>
      <c r="P1669" s="9" t="s">
        <v>25</v>
      </c>
      <c r="Q1669" s="9" t="s">
        <v>49</v>
      </c>
      <c r="R1669" s="9" t="s">
        <v>50</v>
      </c>
      <c r="S1669" s="7" t="s">
        <v>1140</v>
      </c>
      <c r="T1669" s="9" t="s">
        <v>39</v>
      </c>
      <c r="U1669" s="7">
        <v>0.6</v>
      </c>
      <c r="V1669" s="12">
        <f>C1669+7</f>
        <v>40556</v>
      </c>
      <c r="W1669">
        <f>IF(D1669=' Pivot Tables'!$A$4,1,0)</f>
        <v>0</v>
      </c>
      <c r="X1669">
        <f>IF(AND(LEFT(D1669,4)+1=LEFT(' Pivot Tables'!$A$4,4)+0,RIGHT(LEFT(D1669,7),2)=RIGHT(LEFT(' Pivot Tables'!$A$4,7),2)),1,0)</f>
        <v>0</v>
      </c>
      <c r="Y1669" s="6">
        <f>1/COUNTIF(Таблица1[Order ID],Таблица1[[#This Row],[Order ID]])</f>
        <v>1</v>
      </c>
      <c r="Z1669" s="9">
        <f>1/COUNTIFS(Таблица1[Customer Name],Таблица1[[#This Row],[Customer Name]],Таблица1[Order-Year-Month],Таблица1[[#This Row],[Order-Year-Month]])</f>
        <v>1</v>
      </c>
    </row>
    <row r="1670" spans="1:26" x14ac:dyDescent="0.2">
      <c r="A1670" s="6">
        <v>6373</v>
      </c>
      <c r="B1670" s="7">
        <v>45218</v>
      </c>
      <c r="C1670" s="8">
        <f>DATE(2012,12,31)-1331</f>
        <v>39943</v>
      </c>
      <c r="D1670" s="8" t="str">
        <f t="shared" si="34"/>
        <v>2009-05 (май 2009)</v>
      </c>
      <c r="E1670" s="9" t="s">
        <v>21</v>
      </c>
      <c r="F1670" s="7">
        <v>49</v>
      </c>
      <c r="G1670" s="7">
        <v>309.45999999999998</v>
      </c>
      <c r="H1670" s="7">
        <v>0.08</v>
      </c>
      <c r="I1670" s="9" t="s">
        <v>22</v>
      </c>
      <c r="J1670" s="10">
        <v>-82.64</v>
      </c>
      <c r="K1670" s="11">
        <v>6.48</v>
      </c>
      <c r="L1670" s="11">
        <v>2.74</v>
      </c>
      <c r="M1670" s="9" t="s">
        <v>1093</v>
      </c>
      <c r="N1670" s="6" t="s">
        <v>1123</v>
      </c>
      <c r="O1670" s="6" t="s">
        <v>1123</v>
      </c>
      <c r="P1670" s="9" t="s">
        <v>60</v>
      </c>
      <c r="Q1670" s="9" t="s">
        <v>42</v>
      </c>
      <c r="R1670" s="9" t="s">
        <v>70</v>
      </c>
      <c r="S1670" s="7" t="s">
        <v>1141</v>
      </c>
      <c r="T1670" s="9" t="s">
        <v>52</v>
      </c>
      <c r="U1670" s="7">
        <v>0.71</v>
      </c>
      <c r="V1670" s="12">
        <f>C1670+2</f>
        <v>39945</v>
      </c>
      <c r="W1670">
        <f>IF(D1670=' Pivot Tables'!$A$4,1,0)</f>
        <v>0</v>
      </c>
      <c r="X1670">
        <f>IF(AND(LEFT(D1670,4)+1=LEFT(' Pivot Tables'!$A$4,4)+0,RIGHT(LEFT(D1670,7),2)=RIGHT(LEFT(' Pivot Tables'!$A$4,7),2)),1,0)</f>
        <v>0</v>
      </c>
      <c r="Y1670" s="6">
        <f>1/COUNTIF(Таблица1[Order ID],Таблица1[[#This Row],[Order ID]])</f>
        <v>1</v>
      </c>
      <c r="Z1670" s="9">
        <f>1/COUNTIFS(Таблица1[Customer Name],Таблица1[[#This Row],[Customer Name]],Таблица1[Order-Year-Month],Таблица1[[#This Row],[Order-Year-Month]])</f>
        <v>1</v>
      </c>
    </row>
    <row r="1671" spans="1:26" x14ac:dyDescent="0.2">
      <c r="A1671" s="6">
        <v>6470</v>
      </c>
      <c r="B1671" s="7">
        <v>46050</v>
      </c>
      <c r="C1671" s="8">
        <f>DATE(2012,12,31)-1092</f>
        <v>40182</v>
      </c>
      <c r="D1671" s="8" t="str">
        <f t="shared" si="34"/>
        <v>2010-01 (январь 2010)</v>
      </c>
      <c r="E1671" s="9" t="s">
        <v>30</v>
      </c>
      <c r="F1671" s="7">
        <v>3</v>
      </c>
      <c r="G1671" s="7">
        <v>876.75</v>
      </c>
      <c r="H1671" s="7">
        <v>0.02</v>
      </c>
      <c r="I1671" s="9" t="s">
        <v>22</v>
      </c>
      <c r="J1671" s="10">
        <v>-248.69</v>
      </c>
      <c r="K1671" s="11">
        <v>289.52999999999997</v>
      </c>
      <c r="L1671" s="11">
        <v>19.989999999999998</v>
      </c>
      <c r="M1671" s="9" t="s">
        <v>1142</v>
      </c>
      <c r="N1671" s="6" t="s">
        <v>1123</v>
      </c>
      <c r="O1671" s="6" t="s">
        <v>1123</v>
      </c>
      <c r="P1671" s="9" t="s">
        <v>60</v>
      </c>
      <c r="Q1671" s="9" t="s">
        <v>26</v>
      </c>
      <c r="R1671" s="9" t="s">
        <v>34</v>
      </c>
      <c r="S1671" s="7" t="s">
        <v>1143</v>
      </c>
      <c r="T1671" s="9" t="s">
        <v>39</v>
      </c>
      <c r="U1671" s="7">
        <v>0.56000000000000005</v>
      </c>
      <c r="V1671" s="12">
        <f>C1671+3</f>
        <v>40185</v>
      </c>
      <c r="W1671">
        <f>IF(D1671=' Pivot Tables'!$A$4,1,0)</f>
        <v>1</v>
      </c>
      <c r="X1671">
        <f>IF(AND(LEFT(D1671,4)+1=LEFT(' Pivot Tables'!$A$4,4)+0,RIGHT(LEFT(D1671,7),2)=RIGHT(LEFT(' Pivot Tables'!$A$4,7),2)),1,0)</f>
        <v>0</v>
      </c>
      <c r="Y1671" s="6">
        <f>1/COUNTIF(Таблица1[Order ID],Таблица1[[#This Row],[Order ID]])</f>
        <v>0.33333333333333331</v>
      </c>
      <c r="Z1671" s="9">
        <f>1/COUNTIFS(Таблица1[Customer Name],Таблица1[[#This Row],[Customer Name]],Таблица1[Order-Year-Month],Таблица1[[#This Row],[Order-Year-Month]])</f>
        <v>0.33333333333333331</v>
      </c>
    </row>
    <row r="1672" spans="1:26" x14ac:dyDescent="0.2">
      <c r="A1672" s="6">
        <v>6479</v>
      </c>
      <c r="B1672" s="7">
        <v>46117</v>
      </c>
      <c r="C1672" s="8">
        <f>DATE(2012,12,31)-589</f>
        <v>40685</v>
      </c>
      <c r="D1672" s="8" t="str">
        <f t="shared" si="34"/>
        <v>2011-05 (май 2011)</v>
      </c>
      <c r="E1672" s="9" t="s">
        <v>21</v>
      </c>
      <c r="F1672" s="7">
        <v>22</v>
      </c>
      <c r="G1672" s="7">
        <v>1168.28</v>
      </c>
      <c r="H1672" s="7">
        <v>0.02</v>
      </c>
      <c r="I1672" s="9" t="s">
        <v>31</v>
      </c>
      <c r="J1672" s="10">
        <v>126.07</v>
      </c>
      <c r="K1672" s="11">
        <v>50.98</v>
      </c>
      <c r="L1672" s="11">
        <v>14.19</v>
      </c>
      <c r="M1672" s="9" t="s">
        <v>1108</v>
      </c>
      <c r="N1672" s="6" t="s">
        <v>1123</v>
      </c>
      <c r="O1672" s="6" t="s">
        <v>1123</v>
      </c>
      <c r="P1672" s="9" t="s">
        <v>60</v>
      </c>
      <c r="Q1672" s="9" t="s">
        <v>49</v>
      </c>
      <c r="R1672" s="9" t="s">
        <v>112</v>
      </c>
      <c r="S1672" s="7" t="s">
        <v>431</v>
      </c>
      <c r="T1672" s="9" t="s">
        <v>36</v>
      </c>
      <c r="U1672" s="7">
        <v>0.56000000000000005</v>
      </c>
      <c r="V1672" s="12">
        <f>C1672+4</f>
        <v>40689</v>
      </c>
      <c r="W1672">
        <f>IF(D1672=' Pivot Tables'!$A$4,1,0)</f>
        <v>0</v>
      </c>
      <c r="X1672">
        <f>IF(AND(LEFT(D1672,4)+1=LEFT(' Pivot Tables'!$A$4,4)+0,RIGHT(LEFT(D1672,7),2)=RIGHT(LEFT(' Pivot Tables'!$A$4,7),2)),1,0)</f>
        <v>0</v>
      </c>
      <c r="Y1672" s="6">
        <f>1/COUNTIF(Таблица1[Order ID],Таблица1[[#This Row],[Order ID]])</f>
        <v>1</v>
      </c>
      <c r="Z1672" s="9">
        <f>1/COUNTIFS(Таблица1[Customer Name],Таблица1[[#This Row],[Customer Name]],Таблица1[Order-Year-Month],Таблица1[[#This Row],[Order-Year-Month]])</f>
        <v>1</v>
      </c>
    </row>
    <row r="1673" spans="1:26" x14ac:dyDescent="0.2">
      <c r="A1673" s="6">
        <v>6494</v>
      </c>
      <c r="B1673" s="7">
        <v>46243</v>
      </c>
      <c r="C1673" s="8">
        <f>DATE(2012,12,31)-342</f>
        <v>40932</v>
      </c>
      <c r="D1673" s="8" t="str">
        <f t="shared" si="34"/>
        <v>2012-01 (январь 2012)</v>
      </c>
      <c r="E1673" s="9" t="s">
        <v>21</v>
      </c>
      <c r="F1673" s="7">
        <v>31</v>
      </c>
      <c r="G1673" s="7">
        <v>614.35</v>
      </c>
      <c r="H1673" s="7">
        <v>0.02</v>
      </c>
      <c r="I1673" s="9" t="s">
        <v>56</v>
      </c>
      <c r="J1673" s="10">
        <v>78.89</v>
      </c>
      <c r="K1673" s="11">
        <v>18.97</v>
      </c>
      <c r="L1673" s="11">
        <v>9.0299999999999994</v>
      </c>
      <c r="M1673" s="9" t="s">
        <v>1108</v>
      </c>
      <c r="N1673" s="6" t="s">
        <v>1123</v>
      </c>
      <c r="O1673" s="6" t="s">
        <v>1123</v>
      </c>
      <c r="P1673" s="9" t="s">
        <v>41</v>
      </c>
      <c r="Q1673" s="9" t="s">
        <v>26</v>
      </c>
      <c r="R1673" s="9" t="s">
        <v>61</v>
      </c>
      <c r="S1673" s="7" t="s">
        <v>123</v>
      </c>
      <c r="T1673" s="9" t="s">
        <v>39</v>
      </c>
      <c r="U1673" s="7">
        <v>0.37</v>
      </c>
      <c r="V1673" s="12">
        <f>C1673+2</f>
        <v>40934</v>
      </c>
      <c r="W1673">
        <f>IF(D1673=' Pivot Tables'!$A$4,1,0)</f>
        <v>0</v>
      </c>
      <c r="X1673">
        <f>IF(AND(LEFT(D1673,4)+1=LEFT(' Pivot Tables'!$A$4,4)+0,RIGHT(LEFT(D1673,7),2)=RIGHT(LEFT(' Pivot Tables'!$A$4,7),2)),1,0)</f>
        <v>0</v>
      </c>
      <c r="Y1673" s="6">
        <f>1/COUNTIF(Таблица1[Order ID],Таблица1[[#This Row],[Order ID]])</f>
        <v>0.33333333333333331</v>
      </c>
      <c r="Z1673" s="9">
        <f>1/COUNTIFS(Таблица1[Customer Name],Таблица1[[#This Row],[Customer Name]],Таблица1[Order-Year-Month],Таблица1[[#This Row],[Order-Year-Month]])</f>
        <v>0.14285714285714285</v>
      </c>
    </row>
    <row r="1674" spans="1:26" x14ac:dyDescent="0.2">
      <c r="A1674" s="6">
        <v>6495</v>
      </c>
      <c r="B1674" s="7">
        <v>46243</v>
      </c>
      <c r="C1674" s="8">
        <f>DATE(2012,12,31)-342</f>
        <v>40932</v>
      </c>
      <c r="D1674" s="8" t="str">
        <f t="shared" si="34"/>
        <v>2012-01 (январь 2012)</v>
      </c>
      <c r="E1674" s="9" t="s">
        <v>21</v>
      </c>
      <c r="F1674" s="7">
        <v>1</v>
      </c>
      <c r="G1674" s="7">
        <v>3.63</v>
      </c>
      <c r="H1674" s="7">
        <v>0.03</v>
      </c>
      <c r="I1674" s="9" t="s">
        <v>22</v>
      </c>
      <c r="J1674" s="10">
        <v>-1.56</v>
      </c>
      <c r="K1674" s="11">
        <v>2.88</v>
      </c>
      <c r="L1674" s="11">
        <v>0.7</v>
      </c>
      <c r="M1674" s="9" t="s">
        <v>1108</v>
      </c>
      <c r="N1674" s="6" t="s">
        <v>1123</v>
      </c>
      <c r="O1674" s="6" t="s">
        <v>1123</v>
      </c>
      <c r="P1674" s="9" t="s">
        <v>41</v>
      </c>
      <c r="Q1674" s="9" t="s">
        <v>26</v>
      </c>
      <c r="R1674" s="9" t="s">
        <v>95</v>
      </c>
      <c r="S1674" s="7" t="s">
        <v>96</v>
      </c>
      <c r="T1674" s="9" t="s">
        <v>68</v>
      </c>
      <c r="U1674" s="7">
        <v>0.56000000000000005</v>
      </c>
      <c r="V1674" s="12">
        <f>C1674+5</f>
        <v>40937</v>
      </c>
      <c r="W1674">
        <f>IF(D1674=' Pivot Tables'!$A$4,1,0)</f>
        <v>0</v>
      </c>
      <c r="X1674">
        <f>IF(AND(LEFT(D1674,4)+1=LEFT(' Pivot Tables'!$A$4,4)+0,RIGHT(LEFT(D1674,7),2)=RIGHT(LEFT(' Pivot Tables'!$A$4,7),2)),1,0)</f>
        <v>0</v>
      </c>
      <c r="Y1674" s="6">
        <f>1/COUNTIF(Таблица1[Order ID],Таблица1[[#This Row],[Order ID]])</f>
        <v>0.33333333333333331</v>
      </c>
      <c r="Z1674" s="9">
        <f>1/COUNTIFS(Таблица1[Customer Name],Таблица1[[#This Row],[Customer Name]],Таблица1[Order-Year-Month],Таблица1[[#This Row],[Order-Year-Month]])</f>
        <v>0.14285714285714285</v>
      </c>
    </row>
    <row r="1675" spans="1:26" x14ac:dyDescent="0.2">
      <c r="A1675" s="6">
        <v>6496</v>
      </c>
      <c r="B1675" s="7">
        <v>46243</v>
      </c>
      <c r="C1675" s="8">
        <f>DATE(2012,12,31)-342</f>
        <v>40932</v>
      </c>
      <c r="D1675" s="8" t="str">
        <f t="shared" si="34"/>
        <v>2012-01 (январь 2012)</v>
      </c>
      <c r="E1675" s="9" t="s">
        <v>21</v>
      </c>
      <c r="F1675" s="7">
        <v>31</v>
      </c>
      <c r="G1675" s="7">
        <v>172.99</v>
      </c>
      <c r="H1675" s="7">
        <v>0.05</v>
      </c>
      <c r="I1675" s="9" t="s">
        <v>22</v>
      </c>
      <c r="J1675" s="10">
        <v>61.51</v>
      </c>
      <c r="K1675" s="11">
        <v>5.84</v>
      </c>
      <c r="L1675" s="11">
        <v>1</v>
      </c>
      <c r="M1675" s="9" t="s">
        <v>1108</v>
      </c>
      <c r="N1675" s="6" t="s">
        <v>1123</v>
      </c>
      <c r="O1675" s="6" t="s">
        <v>1123</v>
      </c>
      <c r="P1675" s="9" t="s">
        <v>41</v>
      </c>
      <c r="Q1675" s="9" t="s">
        <v>26</v>
      </c>
      <c r="R1675" s="9" t="s">
        <v>95</v>
      </c>
      <c r="S1675" s="7" t="s">
        <v>1144</v>
      </c>
      <c r="T1675" s="9" t="s">
        <v>68</v>
      </c>
      <c r="U1675" s="7">
        <v>0.38</v>
      </c>
      <c r="V1675" s="12">
        <f>C1675+7</f>
        <v>40939</v>
      </c>
      <c r="W1675">
        <f>IF(D1675=' Pivot Tables'!$A$4,1,0)</f>
        <v>0</v>
      </c>
      <c r="X1675">
        <f>IF(AND(LEFT(D1675,4)+1=LEFT(' Pivot Tables'!$A$4,4)+0,RIGHT(LEFT(D1675,7),2)=RIGHT(LEFT(' Pivot Tables'!$A$4,7),2)),1,0)</f>
        <v>0</v>
      </c>
      <c r="Y1675" s="6">
        <f>1/COUNTIF(Таблица1[Order ID],Таблица1[[#This Row],[Order ID]])</f>
        <v>0.33333333333333331</v>
      </c>
      <c r="Z1675" s="9">
        <f>1/COUNTIFS(Таблица1[Customer Name],Таблица1[[#This Row],[Customer Name]],Таблица1[Order-Year-Month],Таблица1[[#This Row],[Order-Year-Month]])</f>
        <v>0.14285714285714285</v>
      </c>
    </row>
    <row r="1676" spans="1:26" x14ac:dyDescent="0.2">
      <c r="A1676" s="6">
        <v>6504</v>
      </c>
      <c r="B1676" s="7">
        <v>46310</v>
      </c>
      <c r="C1676" s="8">
        <f>DATE(2012,12,31)-894</f>
        <v>40380</v>
      </c>
      <c r="D1676" s="8" t="str">
        <f t="shared" si="34"/>
        <v>2010-07 (июль 2010)</v>
      </c>
      <c r="E1676" s="9" t="s">
        <v>30</v>
      </c>
      <c r="F1676" s="7">
        <v>29</v>
      </c>
      <c r="G1676" s="7">
        <v>1935.25</v>
      </c>
      <c r="H1676" s="7">
        <v>0.04</v>
      </c>
      <c r="I1676" s="9" t="s">
        <v>22</v>
      </c>
      <c r="J1676" s="10">
        <v>652.18799999999999</v>
      </c>
      <c r="K1676" s="11">
        <v>63.98</v>
      </c>
      <c r="L1676" s="11">
        <v>11.55</v>
      </c>
      <c r="M1676" s="9" t="s">
        <v>1145</v>
      </c>
      <c r="N1676" s="6" t="s">
        <v>1123</v>
      </c>
      <c r="O1676" s="6" t="s">
        <v>1123</v>
      </c>
      <c r="P1676" s="9" t="s">
        <v>60</v>
      </c>
      <c r="Q1676" s="9" t="s">
        <v>26</v>
      </c>
      <c r="R1676" s="9" t="s">
        <v>37</v>
      </c>
      <c r="S1676" s="7" t="s">
        <v>1146</v>
      </c>
      <c r="T1676" s="9" t="s">
        <v>39</v>
      </c>
      <c r="U1676" s="7">
        <v>0.38</v>
      </c>
      <c r="V1676" s="12">
        <f>C1676+1</f>
        <v>40381</v>
      </c>
      <c r="W1676">
        <f>IF(D1676=' Pivot Tables'!$A$4,1,0)</f>
        <v>0</v>
      </c>
      <c r="X1676">
        <f>IF(AND(LEFT(D1676,4)+1=LEFT(' Pivot Tables'!$A$4,4)+0,RIGHT(LEFT(D1676,7),2)=RIGHT(LEFT(' Pivot Tables'!$A$4,7),2)),1,0)</f>
        <v>0</v>
      </c>
      <c r="Y1676" s="6">
        <f>1/COUNTIF(Таблица1[Order ID],Таблица1[[#This Row],[Order ID]])</f>
        <v>0.33333333333333331</v>
      </c>
      <c r="Z1676" s="9">
        <f>1/COUNTIFS(Таблица1[Customer Name],Таблица1[[#This Row],[Customer Name]],Таблица1[Order-Year-Month],Таблица1[[#This Row],[Order-Year-Month]])</f>
        <v>0.33333333333333331</v>
      </c>
    </row>
    <row r="1677" spans="1:26" x14ac:dyDescent="0.2">
      <c r="A1677" s="6">
        <v>6505</v>
      </c>
      <c r="B1677" s="7">
        <v>46310</v>
      </c>
      <c r="C1677" s="8">
        <f>DATE(2012,12,31)-894</f>
        <v>40380</v>
      </c>
      <c r="D1677" s="8" t="str">
        <f t="shared" si="34"/>
        <v>2010-07 (июль 2010)</v>
      </c>
      <c r="E1677" s="9" t="s">
        <v>30</v>
      </c>
      <c r="F1677" s="7">
        <v>13</v>
      </c>
      <c r="G1677" s="7">
        <v>278.5</v>
      </c>
      <c r="H1677" s="7">
        <v>0.1</v>
      </c>
      <c r="I1677" s="9" t="s">
        <v>22</v>
      </c>
      <c r="J1677" s="10">
        <v>-6.23</v>
      </c>
      <c r="K1677" s="11">
        <v>22.01</v>
      </c>
      <c r="L1677" s="11">
        <v>5.53</v>
      </c>
      <c r="M1677" s="9" t="s">
        <v>1145</v>
      </c>
      <c r="N1677" s="6" t="s">
        <v>1123</v>
      </c>
      <c r="O1677" s="6" t="s">
        <v>1123</v>
      </c>
      <c r="P1677" s="9" t="s">
        <v>60</v>
      </c>
      <c r="Q1677" s="9" t="s">
        <v>26</v>
      </c>
      <c r="R1677" s="9" t="s">
        <v>95</v>
      </c>
      <c r="S1677" s="7" t="s">
        <v>1147</v>
      </c>
      <c r="T1677" s="9" t="s">
        <v>52</v>
      </c>
      <c r="U1677" s="7">
        <v>0.59</v>
      </c>
      <c r="V1677" s="12">
        <f>C1677+1</f>
        <v>40381</v>
      </c>
      <c r="W1677">
        <f>IF(D1677=' Pivot Tables'!$A$4,1,0)</f>
        <v>0</v>
      </c>
      <c r="X1677">
        <f>IF(AND(LEFT(D1677,4)+1=LEFT(' Pivot Tables'!$A$4,4)+0,RIGHT(LEFT(D1677,7),2)=RIGHT(LEFT(' Pivot Tables'!$A$4,7),2)),1,0)</f>
        <v>0</v>
      </c>
      <c r="Y1677" s="6">
        <f>1/COUNTIF(Таблица1[Order ID],Таблица1[[#This Row],[Order ID]])</f>
        <v>0.33333333333333331</v>
      </c>
      <c r="Z1677" s="9">
        <f>1/COUNTIFS(Таблица1[Customer Name],Таблица1[[#This Row],[Customer Name]],Таблица1[Order-Year-Month],Таблица1[[#This Row],[Order-Year-Month]])</f>
        <v>0.33333333333333331</v>
      </c>
    </row>
    <row r="1678" spans="1:26" x14ac:dyDescent="0.2">
      <c r="A1678" s="6">
        <v>6506</v>
      </c>
      <c r="B1678" s="7">
        <v>46310</v>
      </c>
      <c r="C1678" s="8">
        <f>DATE(2012,12,31)-894</f>
        <v>40380</v>
      </c>
      <c r="D1678" s="8" t="str">
        <f t="shared" si="34"/>
        <v>2010-07 (июль 2010)</v>
      </c>
      <c r="E1678" s="9" t="s">
        <v>30</v>
      </c>
      <c r="F1678" s="7">
        <v>42</v>
      </c>
      <c r="G1678" s="7">
        <v>5423.58</v>
      </c>
      <c r="H1678" s="7">
        <v>0.01</v>
      </c>
      <c r="I1678" s="9" t="s">
        <v>22</v>
      </c>
      <c r="J1678" s="10">
        <v>1361.56</v>
      </c>
      <c r="K1678" s="11">
        <v>120.33</v>
      </c>
      <c r="L1678" s="11">
        <v>19.989999999999998</v>
      </c>
      <c r="M1678" s="9" t="s">
        <v>1145</v>
      </c>
      <c r="N1678" s="6" t="s">
        <v>1123</v>
      </c>
      <c r="O1678" s="6" t="s">
        <v>1123</v>
      </c>
      <c r="P1678" s="9" t="s">
        <v>60</v>
      </c>
      <c r="Q1678" s="9" t="s">
        <v>26</v>
      </c>
      <c r="R1678" s="9" t="s">
        <v>27</v>
      </c>
      <c r="S1678" s="7" t="s">
        <v>1148</v>
      </c>
      <c r="T1678" s="9" t="s">
        <v>39</v>
      </c>
      <c r="U1678" s="7">
        <v>0.59</v>
      </c>
      <c r="V1678" s="12">
        <f>C1678+0</f>
        <v>40380</v>
      </c>
      <c r="W1678">
        <f>IF(D1678=' Pivot Tables'!$A$4,1,0)</f>
        <v>0</v>
      </c>
      <c r="X1678">
        <f>IF(AND(LEFT(D1678,4)+1=LEFT(' Pivot Tables'!$A$4,4)+0,RIGHT(LEFT(D1678,7),2)=RIGHT(LEFT(' Pivot Tables'!$A$4,7),2)),1,0)</f>
        <v>0</v>
      </c>
      <c r="Y1678" s="6">
        <f>1/COUNTIF(Таблица1[Order ID],Таблица1[[#This Row],[Order ID]])</f>
        <v>0.33333333333333331</v>
      </c>
      <c r="Z1678" s="9">
        <f>1/COUNTIFS(Таблица1[Customer Name],Таблица1[[#This Row],[Customer Name]],Таблица1[Order-Year-Month],Таблица1[[#This Row],[Order-Year-Month]])</f>
        <v>0.33333333333333331</v>
      </c>
    </row>
    <row r="1679" spans="1:26" x14ac:dyDescent="0.2">
      <c r="A1679" s="6">
        <v>6537</v>
      </c>
      <c r="B1679" s="7">
        <v>46503</v>
      </c>
      <c r="C1679" s="8">
        <f>DATE(2012,12,31)-421</f>
        <v>40853</v>
      </c>
      <c r="D1679" s="8" t="str">
        <f t="shared" si="34"/>
        <v>2011-11 (ноябрь 2011)</v>
      </c>
      <c r="E1679" s="9" t="s">
        <v>45</v>
      </c>
      <c r="F1679" s="7">
        <v>26</v>
      </c>
      <c r="G1679" s="7">
        <v>1196.7915</v>
      </c>
      <c r="H1679" s="7">
        <v>7.0000000000000007E-2</v>
      </c>
      <c r="I1679" s="9" t="s">
        <v>22</v>
      </c>
      <c r="J1679" s="10">
        <v>265.392</v>
      </c>
      <c r="K1679" s="11">
        <v>55.99</v>
      </c>
      <c r="L1679" s="11">
        <v>1.25</v>
      </c>
      <c r="M1679" s="9" t="s">
        <v>1089</v>
      </c>
      <c r="N1679" s="6" t="s">
        <v>1123</v>
      </c>
      <c r="O1679" s="6" t="s">
        <v>1123</v>
      </c>
      <c r="P1679" s="9" t="s">
        <v>25</v>
      </c>
      <c r="Q1679" s="9" t="s">
        <v>42</v>
      </c>
      <c r="R1679" s="9" t="s">
        <v>43</v>
      </c>
      <c r="S1679" s="7" t="s">
        <v>661</v>
      </c>
      <c r="T1679" s="9" t="s">
        <v>52</v>
      </c>
      <c r="U1679" s="7">
        <v>0.55000000000000004</v>
      </c>
      <c r="V1679" s="12">
        <f>C1679+3</f>
        <v>40856</v>
      </c>
      <c r="W1679">
        <f>IF(D1679=' Pivot Tables'!$A$4,1,0)</f>
        <v>0</v>
      </c>
      <c r="X1679">
        <f>IF(AND(LEFT(D1679,4)+1=LEFT(' Pivot Tables'!$A$4,4)+0,RIGHT(LEFT(D1679,7),2)=RIGHT(LEFT(' Pivot Tables'!$A$4,7),2)),1,0)</f>
        <v>0</v>
      </c>
      <c r="Y1679" s="6">
        <f>1/COUNTIF(Таблица1[Order ID],Таблица1[[#This Row],[Order ID]])</f>
        <v>1</v>
      </c>
      <c r="Z1679" s="9">
        <f>1/COUNTIFS(Таблица1[Customer Name],Таблица1[[#This Row],[Customer Name]],Таблица1[Order-Year-Month],Таблица1[[#This Row],[Order-Year-Month]])</f>
        <v>1</v>
      </c>
    </row>
    <row r="1680" spans="1:26" x14ac:dyDescent="0.2">
      <c r="A1680" s="6">
        <v>6572</v>
      </c>
      <c r="B1680" s="7">
        <v>46726</v>
      </c>
      <c r="C1680" s="8">
        <f>DATE(2012,12,31)-179</f>
        <v>41095</v>
      </c>
      <c r="D1680" s="8" t="str">
        <f t="shared" si="34"/>
        <v>2012-07 (июль 2012)</v>
      </c>
      <c r="E1680" s="9" t="s">
        <v>45</v>
      </c>
      <c r="F1680" s="7">
        <v>46</v>
      </c>
      <c r="G1680" s="7">
        <v>325.97000000000003</v>
      </c>
      <c r="H1680" s="7">
        <v>0.02</v>
      </c>
      <c r="I1680" s="9" t="s">
        <v>22</v>
      </c>
      <c r="J1680" s="10">
        <v>-255.22</v>
      </c>
      <c r="K1680" s="11">
        <v>6.84</v>
      </c>
      <c r="L1680" s="11">
        <v>8.3699999999999992</v>
      </c>
      <c r="M1680" s="9" t="s">
        <v>1089</v>
      </c>
      <c r="N1680" s="6" t="s">
        <v>1123</v>
      </c>
      <c r="O1680" s="6" t="s">
        <v>1123</v>
      </c>
      <c r="P1680" s="9" t="s">
        <v>25</v>
      </c>
      <c r="Q1680" s="9" t="s">
        <v>26</v>
      </c>
      <c r="R1680" s="9" t="s">
        <v>150</v>
      </c>
      <c r="S1680" s="7" t="s">
        <v>401</v>
      </c>
      <c r="T1680" s="9" t="s">
        <v>52</v>
      </c>
      <c r="U1680" s="7">
        <v>0.57999999999999996</v>
      </c>
      <c r="V1680" s="12">
        <f>C1680+0</f>
        <v>41095</v>
      </c>
      <c r="W1680">
        <f>IF(D1680=' Pivot Tables'!$A$4,1,0)</f>
        <v>0</v>
      </c>
      <c r="X1680">
        <f>IF(AND(LEFT(D1680,4)+1=LEFT(' Pivot Tables'!$A$4,4)+0,RIGHT(LEFT(D1680,7),2)=RIGHT(LEFT(' Pivot Tables'!$A$4,7),2)),1,0)</f>
        <v>0</v>
      </c>
      <c r="Y1680" s="6">
        <f>1/COUNTIF(Таблица1[Order ID],Таблица1[[#This Row],[Order ID]])</f>
        <v>0.5</v>
      </c>
      <c r="Z1680" s="9">
        <f>1/COUNTIFS(Таблица1[Customer Name],Таблица1[[#This Row],[Customer Name]],Таблица1[Order-Year-Month],Таблица1[[#This Row],[Order-Year-Month]])</f>
        <v>0.5</v>
      </c>
    </row>
    <row r="1681" spans="1:26" x14ac:dyDescent="0.2">
      <c r="A1681" s="6">
        <v>6573</v>
      </c>
      <c r="B1681" s="7">
        <v>46726</v>
      </c>
      <c r="C1681" s="8">
        <f>DATE(2012,12,31)-179</f>
        <v>41095</v>
      </c>
      <c r="D1681" s="8" t="str">
        <f t="shared" si="34"/>
        <v>2012-07 (июль 2012)</v>
      </c>
      <c r="E1681" s="9" t="s">
        <v>45</v>
      </c>
      <c r="F1681" s="7">
        <v>10</v>
      </c>
      <c r="G1681" s="7">
        <v>49.65</v>
      </c>
      <c r="H1681" s="7">
        <v>0.02</v>
      </c>
      <c r="I1681" s="9" t="s">
        <v>22</v>
      </c>
      <c r="J1681" s="10">
        <v>8.2705000000000002</v>
      </c>
      <c r="K1681" s="11">
        <v>4.55</v>
      </c>
      <c r="L1681" s="11">
        <v>1.49</v>
      </c>
      <c r="M1681" s="9" t="s">
        <v>1089</v>
      </c>
      <c r="N1681" s="6" t="s">
        <v>1123</v>
      </c>
      <c r="O1681" s="6" t="s">
        <v>1123</v>
      </c>
      <c r="P1681" s="9" t="s">
        <v>25</v>
      </c>
      <c r="Q1681" s="9" t="s">
        <v>26</v>
      </c>
      <c r="R1681" s="9" t="s">
        <v>37</v>
      </c>
      <c r="S1681" s="7" t="s">
        <v>522</v>
      </c>
      <c r="T1681" s="9" t="s">
        <v>39</v>
      </c>
      <c r="U1681" s="7">
        <v>0.35</v>
      </c>
      <c r="V1681" s="12">
        <f>C1681+2</f>
        <v>41097</v>
      </c>
      <c r="W1681">
        <f>IF(D1681=' Pivot Tables'!$A$4,1,0)</f>
        <v>0</v>
      </c>
      <c r="X1681">
        <f>IF(AND(LEFT(D1681,4)+1=LEFT(' Pivot Tables'!$A$4,4)+0,RIGHT(LEFT(D1681,7),2)=RIGHT(LEFT(' Pivot Tables'!$A$4,7),2)),1,0)</f>
        <v>0</v>
      </c>
      <c r="Y1681" s="6">
        <f>1/COUNTIF(Таблица1[Order ID],Таблица1[[#This Row],[Order ID]])</f>
        <v>0.5</v>
      </c>
      <c r="Z1681" s="9">
        <f>1/COUNTIFS(Таблица1[Customer Name],Таблица1[[#This Row],[Customer Name]],Таблица1[Order-Year-Month],Таблица1[[#This Row],[Order-Year-Month]])</f>
        <v>0.5</v>
      </c>
    </row>
    <row r="1682" spans="1:26" x14ac:dyDescent="0.2">
      <c r="A1682" s="6">
        <v>6613</v>
      </c>
      <c r="B1682" s="7">
        <v>47042</v>
      </c>
      <c r="C1682" s="8">
        <f>DATE(2012,12,31)-304</f>
        <v>40970</v>
      </c>
      <c r="D1682" s="8" t="str">
        <f t="shared" si="34"/>
        <v>2012-03 (март 2012)</v>
      </c>
      <c r="E1682" s="9" t="s">
        <v>78</v>
      </c>
      <c r="F1682" s="7">
        <v>45</v>
      </c>
      <c r="G1682" s="7">
        <v>1375.3764999999999</v>
      </c>
      <c r="H1682" s="7">
        <v>0.03</v>
      </c>
      <c r="I1682" s="9" t="s">
        <v>22</v>
      </c>
      <c r="J1682" s="10">
        <v>592.21799999999996</v>
      </c>
      <c r="K1682" s="11">
        <v>35.99</v>
      </c>
      <c r="L1682" s="11">
        <v>3.3</v>
      </c>
      <c r="M1682" s="9" t="s">
        <v>1108</v>
      </c>
      <c r="N1682" s="6" t="s">
        <v>1123</v>
      </c>
      <c r="O1682" s="6" t="s">
        <v>1123</v>
      </c>
      <c r="P1682" s="9" t="s">
        <v>60</v>
      </c>
      <c r="Q1682" s="9" t="s">
        <v>42</v>
      </c>
      <c r="R1682" s="9" t="s">
        <v>43</v>
      </c>
      <c r="S1682" s="7" t="s">
        <v>417</v>
      </c>
      <c r="T1682" s="9" t="s">
        <v>52</v>
      </c>
      <c r="U1682" s="7">
        <v>0.39</v>
      </c>
      <c r="V1682" s="12">
        <f>C1682+1</f>
        <v>40971</v>
      </c>
      <c r="W1682">
        <f>IF(D1682=' Pivot Tables'!$A$4,1,0)</f>
        <v>0</v>
      </c>
      <c r="X1682">
        <f>IF(AND(LEFT(D1682,4)+1=LEFT(' Pivot Tables'!$A$4,4)+0,RIGHT(LEFT(D1682,7),2)=RIGHT(LEFT(' Pivot Tables'!$A$4,7),2)),1,0)</f>
        <v>0</v>
      </c>
      <c r="Y1682" s="6">
        <f>1/COUNTIF(Таблица1[Order ID],Таблица1[[#This Row],[Order ID]])</f>
        <v>1</v>
      </c>
      <c r="Z1682" s="9">
        <f>1/COUNTIFS(Таблица1[Customer Name],Таблица1[[#This Row],[Customer Name]],Таблица1[Order-Year-Month],Таблица1[[#This Row],[Order-Year-Month]])</f>
        <v>1</v>
      </c>
    </row>
    <row r="1683" spans="1:26" x14ac:dyDescent="0.2">
      <c r="A1683" s="6">
        <v>6635</v>
      </c>
      <c r="B1683" s="7">
        <v>47174</v>
      </c>
      <c r="C1683" s="8">
        <f>DATE(2012,12,31)-472</f>
        <v>40802</v>
      </c>
      <c r="D1683" s="8" t="str">
        <f t="shared" si="34"/>
        <v>2011-09 (сентябрь 2011)</v>
      </c>
      <c r="E1683" s="9" t="s">
        <v>78</v>
      </c>
      <c r="F1683" s="7">
        <v>42</v>
      </c>
      <c r="G1683" s="7">
        <v>642.1</v>
      </c>
      <c r="H1683" s="7">
        <v>0</v>
      </c>
      <c r="I1683" s="9" t="s">
        <v>22</v>
      </c>
      <c r="J1683" s="10">
        <v>41.56</v>
      </c>
      <c r="K1683" s="11">
        <v>13.99</v>
      </c>
      <c r="L1683" s="11">
        <v>7.51</v>
      </c>
      <c r="M1683" s="9" t="s">
        <v>1108</v>
      </c>
      <c r="N1683" s="6" t="s">
        <v>1123</v>
      </c>
      <c r="O1683" s="6" t="s">
        <v>1123</v>
      </c>
      <c r="P1683" s="9" t="s">
        <v>41</v>
      </c>
      <c r="Q1683" s="9" t="s">
        <v>42</v>
      </c>
      <c r="R1683" s="9" t="s">
        <v>210</v>
      </c>
      <c r="S1683" s="7" t="s">
        <v>687</v>
      </c>
      <c r="T1683" s="9" t="s">
        <v>48</v>
      </c>
      <c r="U1683" s="7">
        <v>0.39</v>
      </c>
      <c r="V1683" s="12">
        <f>C1683+0</f>
        <v>40802</v>
      </c>
      <c r="W1683">
        <f>IF(D1683=' Pivot Tables'!$A$4,1,0)</f>
        <v>0</v>
      </c>
      <c r="X1683">
        <f>IF(AND(LEFT(D1683,4)+1=LEFT(' Pivot Tables'!$A$4,4)+0,RIGHT(LEFT(D1683,7),2)=RIGHT(LEFT(' Pivot Tables'!$A$4,7),2)),1,0)</f>
        <v>0</v>
      </c>
      <c r="Y1683" s="6">
        <f>1/COUNTIF(Таблица1[Order ID],Таблица1[[#This Row],[Order ID]])</f>
        <v>1</v>
      </c>
      <c r="Z1683" s="9">
        <f>1/COUNTIFS(Таблица1[Customer Name],Таблица1[[#This Row],[Customer Name]],Таблица1[Order-Year-Month],Таблица1[[#This Row],[Order-Year-Month]])</f>
        <v>1</v>
      </c>
    </row>
    <row r="1684" spans="1:26" x14ac:dyDescent="0.2">
      <c r="A1684" s="6">
        <v>6746</v>
      </c>
      <c r="B1684" s="7">
        <v>48034</v>
      </c>
      <c r="C1684" s="8">
        <f>DATE(2012,12,31)-1266</f>
        <v>40008</v>
      </c>
      <c r="D1684" s="8" t="str">
        <f t="shared" si="34"/>
        <v>2009-07 (июль 2009)</v>
      </c>
      <c r="E1684" s="9" t="s">
        <v>45</v>
      </c>
      <c r="F1684" s="7">
        <v>47</v>
      </c>
      <c r="G1684" s="7">
        <v>945.86</v>
      </c>
      <c r="H1684" s="7">
        <v>0.1</v>
      </c>
      <c r="I1684" s="9" t="s">
        <v>22</v>
      </c>
      <c r="J1684" s="10">
        <v>31.59</v>
      </c>
      <c r="K1684" s="11">
        <v>22.01</v>
      </c>
      <c r="L1684" s="11">
        <v>5.53</v>
      </c>
      <c r="M1684" s="9" t="s">
        <v>1093</v>
      </c>
      <c r="N1684" s="6" t="s">
        <v>1123</v>
      </c>
      <c r="O1684" s="6" t="s">
        <v>1123</v>
      </c>
      <c r="P1684" s="9" t="s">
        <v>60</v>
      </c>
      <c r="Q1684" s="9" t="s">
        <v>26</v>
      </c>
      <c r="R1684" s="9" t="s">
        <v>95</v>
      </c>
      <c r="S1684" s="7" t="s">
        <v>1147</v>
      </c>
      <c r="T1684" s="9" t="s">
        <v>52</v>
      </c>
      <c r="U1684" s="7">
        <v>0.59</v>
      </c>
      <c r="V1684" s="12">
        <f>C1684+1</f>
        <v>40009</v>
      </c>
      <c r="W1684">
        <f>IF(D1684=' Pivot Tables'!$A$4,1,0)</f>
        <v>0</v>
      </c>
      <c r="X1684">
        <f>IF(AND(LEFT(D1684,4)+1=LEFT(' Pivot Tables'!$A$4,4)+0,RIGHT(LEFT(D1684,7),2)=RIGHT(LEFT(' Pivot Tables'!$A$4,7),2)),1,0)</f>
        <v>0</v>
      </c>
      <c r="Y1684" s="6">
        <f>1/COUNTIF(Таблица1[Order ID],Таблица1[[#This Row],[Order ID]])</f>
        <v>0.5</v>
      </c>
      <c r="Z1684" s="9">
        <f>1/COUNTIFS(Таблица1[Customer Name],Таблица1[[#This Row],[Customer Name]],Таблица1[Order-Year-Month],Таблица1[[#This Row],[Order-Year-Month]])</f>
        <v>0.5</v>
      </c>
    </row>
    <row r="1685" spans="1:26" x14ac:dyDescent="0.2">
      <c r="A1685" s="6">
        <v>6747</v>
      </c>
      <c r="B1685" s="7">
        <v>48034</v>
      </c>
      <c r="C1685" s="8">
        <f>DATE(2012,12,31)-1266</f>
        <v>40008</v>
      </c>
      <c r="D1685" s="8" t="str">
        <f t="shared" si="34"/>
        <v>2009-07 (июль 2009)</v>
      </c>
      <c r="E1685" s="9" t="s">
        <v>45</v>
      </c>
      <c r="F1685" s="7">
        <v>12</v>
      </c>
      <c r="G1685" s="7">
        <v>2340.5040000000004</v>
      </c>
      <c r="H1685" s="7">
        <v>0.04</v>
      </c>
      <c r="I1685" s="9" t="s">
        <v>31</v>
      </c>
      <c r="J1685" s="10">
        <v>243.16</v>
      </c>
      <c r="K1685" s="11">
        <v>236.97</v>
      </c>
      <c r="L1685" s="11">
        <v>59.24</v>
      </c>
      <c r="M1685" s="9" t="s">
        <v>1093</v>
      </c>
      <c r="N1685" s="6" t="s">
        <v>1123</v>
      </c>
      <c r="O1685" s="6" t="s">
        <v>1123</v>
      </c>
      <c r="P1685" s="9" t="s">
        <v>60</v>
      </c>
      <c r="Q1685" s="9" t="s">
        <v>49</v>
      </c>
      <c r="R1685" s="9" t="s">
        <v>83</v>
      </c>
      <c r="S1685" s="7" t="s">
        <v>1149</v>
      </c>
      <c r="T1685" s="9" t="s">
        <v>82</v>
      </c>
      <c r="U1685" s="7">
        <v>0.61</v>
      </c>
      <c r="V1685" s="12">
        <f>C1685+0</f>
        <v>40008</v>
      </c>
      <c r="W1685">
        <f>IF(D1685=' Pivot Tables'!$A$4,1,0)</f>
        <v>0</v>
      </c>
      <c r="X1685">
        <f>IF(AND(LEFT(D1685,4)+1=LEFT(' Pivot Tables'!$A$4,4)+0,RIGHT(LEFT(D1685,7),2)=RIGHT(LEFT(' Pivot Tables'!$A$4,7),2)),1,0)</f>
        <v>0</v>
      </c>
      <c r="Y1685" s="6">
        <f>1/COUNTIF(Таблица1[Order ID],Таблица1[[#This Row],[Order ID]])</f>
        <v>0.5</v>
      </c>
      <c r="Z1685" s="9">
        <f>1/COUNTIFS(Таблица1[Customer Name],Таблица1[[#This Row],[Customer Name]],Таблица1[Order-Year-Month],Таблица1[[#This Row],[Order-Year-Month]])</f>
        <v>0.5</v>
      </c>
    </row>
    <row r="1686" spans="1:26" x14ac:dyDescent="0.2">
      <c r="A1686" s="6">
        <v>6760</v>
      </c>
      <c r="B1686" s="7">
        <v>48164</v>
      </c>
      <c r="C1686" s="8">
        <f>DATE(2012,12,31)-429</f>
        <v>40845</v>
      </c>
      <c r="D1686" s="8" t="str">
        <f t="shared" si="34"/>
        <v>2011-10 (октябрь 2011)</v>
      </c>
      <c r="E1686" s="9" t="s">
        <v>30</v>
      </c>
      <c r="F1686" s="7">
        <v>33</v>
      </c>
      <c r="G1686" s="7">
        <v>94.39</v>
      </c>
      <c r="H1686" s="7">
        <v>7.0000000000000007E-2</v>
      </c>
      <c r="I1686" s="9" t="s">
        <v>22</v>
      </c>
      <c r="J1686" s="10">
        <v>12.31</v>
      </c>
      <c r="K1686" s="11">
        <v>2.88</v>
      </c>
      <c r="L1686" s="11">
        <v>0.7</v>
      </c>
      <c r="M1686" s="9" t="s">
        <v>1098</v>
      </c>
      <c r="N1686" s="6" t="s">
        <v>1123</v>
      </c>
      <c r="O1686" s="6" t="s">
        <v>1123</v>
      </c>
      <c r="P1686" s="9" t="s">
        <v>25</v>
      </c>
      <c r="Q1686" s="9" t="s">
        <v>26</v>
      </c>
      <c r="R1686" s="9" t="s">
        <v>95</v>
      </c>
      <c r="S1686" s="7" t="s">
        <v>1059</v>
      </c>
      <c r="T1686" s="9" t="s">
        <v>68</v>
      </c>
      <c r="U1686" s="7">
        <v>0.56000000000000005</v>
      </c>
      <c r="V1686" s="12">
        <f>C1686+2</f>
        <v>40847</v>
      </c>
      <c r="W1686">
        <f>IF(D1686=' Pivot Tables'!$A$4,1,0)</f>
        <v>0</v>
      </c>
      <c r="X1686">
        <f>IF(AND(LEFT(D1686,4)+1=LEFT(' Pivot Tables'!$A$4,4)+0,RIGHT(LEFT(D1686,7),2)=RIGHT(LEFT(' Pivot Tables'!$A$4,7),2)),1,0)</f>
        <v>0</v>
      </c>
      <c r="Y1686" s="6">
        <f>1/COUNTIF(Таблица1[Order ID],Таблица1[[#This Row],[Order ID]])</f>
        <v>1</v>
      </c>
      <c r="Z1686" s="9">
        <f>1/COUNTIFS(Таблица1[Customer Name],Таблица1[[#This Row],[Customer Name]],Таблица1[Order-Year-Month],Таблица1[[#This Row],[Order-Year-Month]])</f>
        <v>1</v>
      </c>
    </row>
    <row r="1687" spans="1:26" x14ac:dyDescent="0.2">
      <c r="A1687" s="6">
        <v>6896</v>
      </c>
      <c r="B1687" s="7">
        <v>49189</v>
      </c>
      <c r="C1687" s="8">
        <f>DATE(2012,12,31)-716</f>
        <v>40558</v>
      </c>
      <c r="D1687" s="8" t="str">
        <f t="shared" si="34"/>
        <v>2011-01 (январь 2011)</v>
      </c>
      <c r="E1687" s="9" t="s">
        <v>78</v>
      </c>
      <c r="F1687" s="7">
        <v>32</v>
      </c>
      <c r="G1687" s="7">
        <v>249.59</v>
      </c>
      <c r="H1687" s="7">
        <v>0.06</v>
      </c>
      <c r="I1687" s="9" t="s">
        <v>22</v>
      </c>
      <c r="J1687" s="10">
        <v>101.82</v>
      </c>
      <c r="K1687" s="11">
        <v>7.64</v>
      </c>
      <c r="L1687" s="11">
        <v>1.39</v>
      </c>
      <c r="M1687" s="9" t="s">
        <v>1112</v>
      </c>
      <c r="N1687" s="6" t="s">
        <v>1123</v>
      </c>
      <c r="O1687" s="6" t="s">
        <v>1123</v>
      </c>
      <c r="P1687" s="9" t="s">
        <v>60</v>
      </c>
      <c r="Q1687" s="9" t="s">
        <v>26</v>
      </c>
      <c r="R1687" s="9" t="s">
        <v>76</v>
      </c>
      <c r="S1687" s="7" t="s">
        <v>1150</v>
      </c>
      <c r="T1687" s="9" t="s">
        <v>39</v>
      </c>
      <c r="U1687" s="7">
        <v>0.36</v>
      </c>
      <c r="V1687" s="12">
        <f>C1687+3</f>
        <v>40561</v>
      </c>
      <c r="W1687">
        <f>IF(D1687=' Pivot Tables'!$A$4,1,0)</f>
        <v>0</v>
      </c>
      <c r="X1687">
        <f>IF(AND(LEFT(D1687,4)+1=LEFT(' Pivot Tables'!$A$4,4)+0,RIGHT(LEFT(D1687,7),2)=RIGHT(LEFT(' Pivot Tables'!$A$4,7),2)),1,0)</f>
        <v>0</v>
      </c>
      <c r="Y1687" s="6">
        <f>1/COUNTIF(Таблица1[Order ID],Таблица1[[#This Row],[Order ID]])</f>
        <v>1</v>
      </c>
      <c r="Z1687" s="9">
        <f>1/COUNTIFS(Таблица1[Customer Name],Таблица1[[#This Row],[Customer Name]],Таблица1[Order-Year-Month],Таблица1[[#This Row],[Order-Year-Month]])</f>
        <v>1</v>
      </c>
    </row>
    <row r="1688" spans="1:26" x14ac:dyDescent="0.2">
      <c r="A1688" s="6">
        <v>6997</v>
      </c>
      <c r="B1688" s="7">
        <v>49986</v>
      </c>
      <c r="C1688" s="8">
        <f>DATE(2012,12,31)-809</f>
        <v>40465</v>
      </c>
      <c r="D1688" s="8" t="str">
        <f t="shared" si="34"/>
        <v>2010-10 (октябрь 2010)</v>
      </c>
      <c r="E1688" s="9" t="s">
        <v>78</v>
      </c>
      <c r="F1688" s="7">
        <v>39</v>
      </c>
      <c r="G1688" s="7">
        <v>110.36</v>
      </c>
      <c r="H1688" s="7">
        <v>0.05</v>
      </c>
      <c r="I1688" s="9" t="s">
        <v>22</v>
      </c>
      <c r="J1688" s="10">
        <v>8.6</v>
      </c>
      <c r="K1688" s="11">
        <v>2.84</v>
      </c>
      <c r="L1688" s="11">
        <v>0.93</v>
      </c>
      <c r="M1688" s="9" t="s">
        <v>1126</v>
      </c>
      <c r="N1688" s="6" t="s">
        <v>1123</v>
      </c>
      <c r="O1688" s="6" t="s">
        <v>1123</v>
      </c>
      <c r="P1688" s="9" t="s">
        <v>33</v>
      </c>
      <c r="Q1688" s="9" t="s">
        <v>26</v>
      </c>
      <c r="R1688" s="9" t="s">
        <v>95</v>
      </c>
      <c r="S1688" s="7" t="s">
        <v>98</v>
      </c>
      <c r="T1688" s="9" t="s">
        <v>68</v>
      </c>
      <c r="U1688" s="7">
        <v>0.54</v>
      </c>
      <c r="V1688" s="12">
        <f>C1688+2</f>
        <v>40467</v>
      </c>
      <c r="W1688">
        <f>IF(D1688=' Pivot Tables'!$A$4,1,0)</f>
        <v>0</v>
      </c>
      <c r="X1688">
        <f>IF(AND(LEFT(D1688,4)+1=LEFT(' Pivot Tables'!$A$4,4)+0,RIGHT(LEFT(D1688,7),2)=RIGHT(LEFT(' Pivot Tables'!$A$4,7),2)),1,0)</f>
        <v>0</v>
      </c>
      <c r="Y1688" s="6">
        <f>1/COUNTIF(Таблица1[Order ID],Таблица1[[#This Row],[Order ID]])</f>
        <v>1</v>
      </c>
      <c r="Z1688" s="9">
        <f>1/COUNTIFS(Таблица1[Customer Name],Таблица1[[#This Row],[Customer Name]],Таблица1[Order-Year-Month],Таблица1[[#This Row],[Order-Year-Month]])</f>
        <v>1</v>
      </c>
    </row>
    <row r="1689" spans="1:26" x14ac:dyDescent="0.2">
      <c r="A1689" s="6">
        <v>7054</v>
      </c>
      <c r="B1689" s="7">
        <v>50336</v>
      </c>
      <c r="C1689" s="8">
        <f>DATE(2012,12,31)-1153</f>
        <v>40121</v>
      </c>
      <c r="D1689" s="8" t="str">
        <f t="shared" si="34"/>
        <v>2009-11 (ноябрь 2009)</v>
      </c>
      <c r="E1689" s="9" t="s">
        <v>45</v>
      </c>
      <c r="F1689" s="7">
        <v>9</v>
      </c>
      <c r="G1689" s="7">
        <v>58.98</v>
      </c>
      <c r="H1689" s="7">
        <v>0</v>
      </c>
      <c r="I1689" s="9" t="s">
        <v>22</v>
      </c>
      <c r="J1689" s="10">
        <v>-17.790500000000002</v>
      </c>
      <c r="K1689" s="11">
        <v>5.77</v>
      </c>
      <c r="L1689" s="11">
        <v>4.97</v>
      </c>
      <c r="M1689" s="9" t="s">
        <v>1126</v>
      </c>
      <c r="N1689" s="6" t="s">
        <v>1123</v>
      </c>
      <c r="O1689" s="6" t="s">
        <v>1123</v>
      </c>
      <c r="P1689" s="9" t="s">
        <v>33</v>
      </c>
      <c r="Q1689" s="9" t="s">
        <v>26</v>
      </c>
      <c r="R1689" s="9" t="s">
        <v>37</v>
      </c>
      <c r="S1689" s="7" t="s">
        <v>1151</v>
      </c>
      <c r="T1689" s="9" t="s">
        <v>39</v>
      </c>
      <c r="U1689" s="7">
        <v>0.35</v>
      </c>
      <c r="V1689" s="12">
        <f>C1689+1</f>
        <v>40122</v>
      </c>
      <c r="W1689">
        <f>IF(D1689=' Pivot Tables'!$A$4,1,0)</f>
        <v>0</v>
      </c>
      <c r="X1689">
        <f>IF(AND(LEFT(D1689,4)+1=LEFT(' Pivot Tables'!$A$4,4)+0,RIGHT(LEFT(D1689,7),2)=RIGHT(LEFT(' Pivot Tables'!$A$4,7),2)),1,0)</f>
        <v>0</v>
      </c>
      <c r="Y1689" s="6">
        <f>1/COUNTIF(Таблица1[Order ID],Таблица1[[#This Row],[Order ID]])</f>
        <v>1</v>
      </c>
      <c r="Z1689" s="9">
        <f>1/COUNTIFS(Таблица1[Customer Name],Таблица1[[#This Row],[Customer Name]],Таблица1[Order-Year-Month],Таблица1[[#This Row],[Order-Year-Month]])</f>
        <v>1</v>
      </c>
    </row>
    <row r="1690" spans="1:26" x14ac:dyDescent="0.2">
      <c r="A1690" s="6">
        <v>7059</v>
      </c>
      <c r="B1690" s="7">
        <v>50373</v>
      </c>
      <c r="C1690" s="8">
        <f>DATE(2012,12,31)-1278</f>
        <v>39996</v>
      </c>
      <c r="D1690" s="8" t="str">
        <f t="shared" si="34"/>
        <v>2009-07 (июль 2009)</v>
      </c>
      <c r="E1690" s="9" t="s">
        <v>78</v>
      </c>
      <c r="F1690" s="7">
        <v>9</v>
      </c>
      <c r="G1690" s="7">
        <v>1455.04</v>
      </c>
      <c r="H1690" s="7">
        <v>0.06</v>
      </c>
      <c r="I1690" s="9" t="s">
        <v>22</v>
      </c>
      <c r="J1690" s="10">
        <v>-7.5800000000000409</v>
      </c>
      <c r="K1690" s="11">
        <v>161.55000000000001</v>
      </c>
      <c r="L1690" s="11">
        <v>19.989999999999998</v>
      </c>
      <c r="M1690" s="9" t="s">
        <v>719</v>
      </c>
      <c r="N1690" s="6" t="s">
        <v>1123</v>
      </c>
      <c r="O1690" s="6" t="s">
        <v>1123</v>
      </c>
      <c r="P1690" s="9" t="s">
        <v>25</v>
      </c>
      <c r="Q1690" s="9" t="s">
        <v>26</v>
      </c>
      <c r="R1690" s="9" t="s">
        <v>27</v>
      </c>
      <c r="S1690" s="7" t="s">
        <v>685</v>
      </c>
      <c r="T1690" s="9" t="s">
        <v>39</v>
      </c>
      <c r="U1690" s="7">
        <v>0.66</v>
      </c>
      <c r="V1690" s="12">
        <f>C1690+1</f>
        <v>39997</v>
      </c>
      <c r="W1690">
        <f>IF(D1690=' Pivot Tables'!$A$4,1,0)</f>
        <v>0</v>
      </c>
      <c r="X1690">
        <f>IF(AND(LEFT(D1690,4)+1=LEFT(' Pivot Tables'!$A$4,4)+0,RIGHT(LEFT(D1690,7),2)=RIGHT(LEFT(' Pivot Tables'!$A$4,7),2)),1,0)</f>
        <v>0</v>
      </c>
      <c r="Y1690" s="6">
        <f>1/COUNTIF(Таблица1[Order ID],Таблица1[[#This Row],[Order ID]])</f>
        <v>1</v>
      </c>
      <c r="Z1690" s="9">
        <f>1/COUNTIFS(Таблица1[Customer Name],Таблица1[[#This Row],[Customer Name]],Таблица1[Order-Year-Month],Таблица1[[#This Row],[Order-Year-Month]])</f>
        <v>1</v>
      </c>
    </row>
    <row r="1691" spans="1:26" x14ac:dyDescent="0.2">
      <c r="A1691" s="6">
        <v>7086</v>
      </c>
      <c r="B1691" s="7">
        <v>50564</v>
      </c>
      <c r="C1691" s="8">
        <f>DATE(2012,12,31)-304</f>
        <v>40970</v>
      </c>
      <c r="D1691" s="8" t="str">
        <f t="shared" si="34"/>
        <v>2012-03 (март 2012)</v>
      </c>
      <c r="E1691" s="9" t="s">
        <v>30</v>
      </c>
      <c r="F1691" s="7">
        <v>30</v>
      </c>
      <c r="G1691" s="7">
        <v>11041.42</v>
      </c>
      <c r="H1691" s="7">
        <v>7.0000000000000007E-2</v>
      </c>
      <c r="I1691" s="9" t="s">
        <v>22</v>
      </c>
      <c r="J1691" s="10">
        <v>4456.2524999999996</v>
      </c>
      <c r="K1691" s="11">
        <v>387.99</v>
      </c>
      <c r="L1691" s="11">
        <v>19.989999999999998</v>
      </c>
      <c r="M1691" s="9" t="s">
        <v>1142</v>
      </c>
      <c r="N1691" s="6" t="s">
        <v>1123</v>
      </c>
      <c r="O1691" s="6" t="s">
        <v>1123</v>
      </c>
      <c r="P1691" s="9" t="s">
        <v>60</v>
      </c>
      <c r="Q1691" s="9" t="s">
        <v>26</v>
      </c>
      <c r="R1691" s="9" t="s">
        <v>37</v>
      </c>
      <c r="S1691" s="7" t="s">
        <v>366</v>
      </c>
      <c r="T1691" s="9" t="s">
        <v>39</v>
      </c>
      <c r="U1691" s="7">
        <v>0.38</v>
      </c>
      <c r="V1691" s="12">
        <f>C1691+2</f>
        <v>40972</v>
      </c>
      <c r="W1691">
        <f>IF(D1691=' Pivot Tables'!$A$4,1,0)</f>
        <v>0</v>
      </c>
      <c r="X1691">
        <f>IF(AND(LEFT(D1691,4)+1=LEFT(' Pivot Tables'!$A$4,4)+0,RIGHT(LEFT(D1691,7),2)=RIGHT(LEFT(' Pivot Tables'!$A$4,7),2)),1,0)</f>
        <v>0</v>
      </c>
      <c r="Y1691" s="6">
        <f>1/COUNTIF(Таблица1[Order ID],Таблица1[[#This Row],[Order ID]])</f>
        <v>1</v>
      </c>
      <c r="Z1691" s="9">
        <f>1/COUNTIFS(Таблица1[Customer Name],Таблица1[[#This Row],[Customer Name]],Таблица1[Order-Year-Month],Таблица1[[#This Row],[Order-Year-Month]])</f>
        <v>1</v>
      </c>
    </row>
    <row r="1692" spans="1:26" x14ac:dyDescent="0.2">
      <c r="A1692" s="6">
        <v>7139</v>
      </c>
      <c r="B1692" s="7">
        <v>50949</v>
      </c>
      <c r="C1692" s="8">
        <f>DATE(2012,12,31)-696</f>
        <v>40578</v>
      </c>
      <c r="D1692" s="8" t="str">
        <f t="shared" si="34"/>
        <v>2011-02 (февраль 2011)</v>
      </c>
      <c r="E1692" s="9" t="s">
        <v>63</v>
      </c>
      <c r="F1692" s="7">
        <v>32</v>
      </c>
      <c r="G1692" s="7">
        <v>73.55</v>
      </c>
      <c r="H1692" s="7">
        <v>0.09</v>
      </c>
      <c r="I1692" s="9" t="s">
        <v>56</v>
      </c>
      <c r="J1692" s="10">
        <v>7.95</v>
      </c>
      <c r="K1692" s="11">
        <v>2.1800000000000002</v>
      </c>
      <c r="L1692" s="11">
        <v>0.78</v>
      </c>
      <c r="M1692" s="9" t="s">
        <v>1102</v>
      </c>
      <c r="N1692" s="6" t="s">
        <v>1123</v>
      </c>
      <c r="O1692" s="6" t="s">
        <v>1123</v>
      </c>
      <c r="P1692" s="9" t="s">
        <v>41</v>
      </c>
      <c r="Q1692" s="9" t="s">
        <v>26</v>
      </c>
      <c r="R1692" s="9" t="s">
        <v>66</v>
      </c>
      <c r="S1692" s="7" t="s">
        <v>428</v>
      </c>
      <c r="T1692" s="9" t="s">
        <v>68</v>
      </c>
      <c r="U1692" s="7">
        <v>0.52</v>
      </c>
      <c r="V1692" s="12">
        <f>C1692+1</f>
        <v>40579</v>
      </c>
      <c r="W1692">
        <f>IF(D1692=' Pivot Tables'!$A$4,1,0)</f>
        <v>0</v>
      </c>
      <c r="X1692">
        <f>IF(AND(LEFT(D1692,4)+1=LEFT(' Pivot Tables'!$A$4,4)+0,RIGHT(LEFT(D1692,7),2)=RIGHT(LEFT(' Pivot Tables'!$A$4,7),2)),1,0)</f>
        <v>0</v>
      </c>
      <c r="Y1692" s="6">
        <f>1/COUNTIF(Таблица1[Order ID],Таблица1[[#This Row],[Order ID]])</f>
        <v>0.5</v>
      </c>
      <c r="Z1692" s="9">
        <f>1/COUNTIFS(Таблица1[Customer Name],Таблица1[[#This Row],[Customer Name]],Таблица1[Order-Year-Month],Таблица1[[#This Row],[Order-Year-Month]])</f>
        <v>0.5</v>
      </c>
    </row>
    <row r="1693" spans="1:26" x14ac:dyDescent="0.2">
      <c r="A1693" s="6">
        <v>7140</v>
      </c>
      <c r="B1693" s="7">
        <v>50949</v>
      </c>
      <c r="C1693" s="8">
        <f>DATE(2012,12,31)-696</f>
        <v>40578</v>
      </c>
      <c r="D1693" s="8" t="str">
        <f t="shared" si="34"/>
        <v>2011-02 (февраль 2011)</v>
      </c>
      <c r="E1693" s="9" t="s">
        <v>63</v>
      </c>
      <c r="F1693" s="7">
        <v>46</v>
      </c>
      <c r="G1693" s="7">
        <v>4804.0385000000006</v>
      </c>
      <c r="H1693" s="7">
        <v>0.08</v>
      </c>
      <c r="I1693" s="9" t="s">
        <v>22</v>
      </c>
      <c r="J1693" s="10">
        <v>1077.921</v>
      </c>
      <c r="K1693" s="11">
        <v>125.99</v>
      </c>
      <c r="L1693" s="11">
        <v>8.8000000000000007</v>
      </c>
      <c r="M1693" s="9" t="s">
        <v>1102</v>
      </c>
      <c r="N1693" s="6" t="s">
        <v>1123</v>
      </c>
      <c r="O1693" s="6" t="s">
        <v>1123</v>
      </c>
      <c r="P1693" s="9" t="s">
        <v>41</v>
      </c>
      <c r="Q1693" s="9" t="s">
        <v>42</v>
      </c>
      <c r="R1693" s="9" t="s">
        <v>43</v>
      </c>
      <c r="S1693" s="7" t="s">
        <v>800</v>
      </c>
      <c r="T1693" s="9" t="s">
        <v>39</v>
      </c>
      <c r="U1693" s="7">
        <v>0.59</v>
      </c>
      <c r="V1693" s="12">
        <f>C1693+2</f>
        <v>40580</v>
      </c>
      <c r="W1693">
        <f>IF(D1693=' Pivot Tables'!$A$4,1,0)</f>
        <v>0</v>
      </c>
      <c r="X1693">
        <f>IF(AND(LEFT(D1693,4)+1=LEFT(' Pivot Tables'!$A$4,4)+0,RIGHT(LEFT(D1693,7),2)=RIGHT(LEFT(' Pivot Tables'!$A$4,7),2)),1,0)</f>
        <v>0</v>
      </c>
      <c r="Y1693" s="6">
        <f>1/COUNTIF(Таблица1[Order ID],Таблица1[[#This Row],[Order ID]])</f>
        <v>0.5</v>
      </c>
      <c r="Z1693" s="9">
        <f>1/COUNTIFS(Таблица1[Customer Name],Таблица1[[#This Row],[Customer Name]],Таблица1[Order-Year-Month],Таблица1[[#This Row],[Order-Year-Month]])</f>
        <v>0.5</v>
      </c>
    </row>
    <row r="1694" spans="1:26" x14ac:dyDescent="0.2">
      <c r="A1694" s="6">
        <v>7198</v>
      </c>
      <c r="B1694" s="7">
        <v>51361</v>
      </c>
      <c r="C1694" s="8">
        <f>DATE(2012,12,31)-654</f>
        <v>40620</v>
      </c>
      <c r="D1694" s="8" t="str">
        <f t="shared" si="34"/>
        <v>2011-03 (март 2011)</v>
      </c>
      <c r="E1694" s="9" t="s">
        <v>21</v>
      </c>
      <c r="F1694" s="7">
        <v>14</v>
      </c>
      <c r="G1694" s="7">
        <v>76.06</v>
      </c>
      <c r="H1694" s="7">
        <v>0.02</v>
      </c>
      <c r="I1694" s="9" t="s">
        <v>56</v>
      </c>
      <c r="J1694" s="10">
        <v>-35.99</v>
      </c>
      <c r="K1694" s="11">
        <v>4.28</v>
      </c>
      <c r="L1694" s="11">
        <v>5.68</v>
      </c>
      <c r="M1694" s="9" t="s">
        <v>1089</v>
      </c>
      <c r="N1694" s="6" t="s">
        <v>1123</v>
      </c>
      <c r="O1694" s="6" t="s">
        <v>1123</v>
      </c>
      <c r="P1694" s="9" t="s">
        <v>41</v>
      </c>
      <c r="Q1694" s="9" t="s">
        <v>26</v>
      </c>
      <c r="R1694" s="9" t="s">
        <v>61</v>
      </c>
      <c r="S1694" s="7" t="s">
        <v>838</v>
      </c>
      <c r="T1694" s="9" t="s">
        <v>39</v>
      </c>
      <c r="U1694" s="7">
        <v>0.4</v>
      </c>
      <c r="V1694" s="12">
        <f>C1694+2</f>
        <v>40622</v>
      </c>
      <c r="W1694">
        <f>IF(D1694=' Pivot Tables'!$A$4,1,0)</f>
        <v>0</v>
      </c>
      <c r="X1694">
        <f>IF(AND(LEFT(D1694,4)+1=LEFT(' Pivot Tables'!$A$4,4)+0,RIGHT(LEFT(D1694,7),2)=RIGHT(LEFT(' Pivot Tables'!$A$4,7),2)),1,0)</f>
        <v>0</v>
      </c>
      <c r="Y1694" s="6">
        <f>1/COUNTIF(Таблица1[Order ID],Таблица1[[#This Row],[Order ID]])</f>
        <v>0.5</v>
      </c>
      <c r="Z1694" s="9">
        <f>1/COUNTIFS(Таблица1[Customer Name],Таблица1[[#This Row],[Customer Name]],Таблица1[Order-Year-Month],Таблица1[[#This Row],[Order-Year-Month]])</f>
        <v>0.5</v>
      </c>
    </row>
    <row r="1695" spans="1:26" x14ac:dyDescent="0.2">
      <c r="A1695" s="6">
        <v>7199</v>
      </c>
      <c r="B1695" s="7">
        <v>51361</v>
      </c>
      <c r="C1695" s="8">
        <f>DATE(2012,12,31)-654</f>
        <v>40620</v>
      </c>
      <c r="D1695" s="8" t="str">
        <f t="shared" si="34"/>
        <v>2011-03 (март 2011)</v>
      </c>
      <c r="E1695" s="9" t="s">
        <v>78</v>
      </c>
      <c r="F1695" s="7">
        <v>50</v>
      </c>
      <c r="G1695" s="7">
        <v>18056.68</v>
      </c>
      <c r="H1695" s="7">
        <v>0</v>
      </c>
      <c r="I1695" s="9" t="s">
        <v>31</v>
      </c>
      <c r="J1695" s="10">
        <v>-6474.6540000000005</v>
      </c>
      <c r="K1695" s="11">
        <v>349.45</v>
      </c>
      <c r="L1695" s="11">
        <v>60</v>
      </c>
      <c r="M1695" s="9" t="s">
        <v>1089</v>
      </c>
      <c r="N1695" s="6" t="s">
        <v>1123</v>
      </c>
      <c r="O1695" s="6" t="s">
        <v>1123</v>
      </c>
      <c r="P1695" s="9" t="s">
        <v>41</v>
      </c>
      <c r="Q1695" s="9" t="s">
        <v>49</v>
      </c>
      <c r="R1695" s="9" t="s">
        <v>83</v>
      </c>
      <c r="S1695" s="7" t="s">
        <v>311</v>
      </c>
      <c r="T1695" s="9" t="s">
        <v>36</v>
      </c>
      <c r="U1695" s="7"/>
      <c r="V1695" s="12">
        <f>C1695+4</f>
        <v>40624</v>
      </c>
      <c r="W1695">
        <f>IF(D1695=' Pivot Tables'!$A$4,1,0)</f>
        <v>0</v>
      </c>
      <c r="X1695">
        <f>IF(AND(LEFT(D1695,4)+1=LEFT(' Pivot Tables'!$A$4,4)+0,RIGHT(LEFT(D1695,7),2)=RIGHT(LEFT(' Pivot Tables'!$A$4,7),2)),1,0)</f>
        <v>0</v>
      </c>
      <c r="Y1695" s="6">
        <f>1/COUNTIF(Таблица1[Order ID],Таблица1[[#This Row],[Order ID]])</f>
        <v>0.5</v>
      </c>
      <c r="Z1695" s="9">
        <f>1/COUNTIFS(Таблица1[Customer Name],Таблица1[[#This Row],[Customer Name]],Таблица1[Order-Year-Month],Таблица1[[#This Row],[Order-Year-Month]])</f>
        <v>0.5</v>
      </c>
    </row>
    <row r="1696" spans="1:26" x14ac:dyDescent="0.2">
      <c r="A1696" s="6">
        <v>7258</v>
      </c>
      <c r="B1696" s="7">
        <v>51780</v>
      </c>
      <c r="C1696" s="8">
        <f>DATE(2012,12,31)-891</f>
        <v>40383</v>
      </c>
      <c r="D1696" s="8" t="str">
        <f t="shared" si="34"/>
        <v>2010-07 (июль 2010)</v>
      </c>
      <c r="E1696" s="9" t="s">
        <v>21</v>
      </c>
      <c r="F1696" s="7">
        <v>42</v>
      </c>
      <c r="G1696" s="7">
        <v>372.69</v>
      </c>
      <c r="H1696" s="7">
        <v>0.01</v>
      </c>
      <c r="I1696" s="9" t="s">
        <v>56</v>
      </c>
      <c r="J1696" s="10">
        <v>-177.03100000000001</v>
      </c>
      <c r="K1696" s="11">
        <v>8.0399999999999991</v>
      </c>
      <c r="L1696" s="11">
        <v>8.94</v>
      </c>
      <c r="M1696" s="9" t="s">
        <v>1152</v>
      </c>
      <c r="N1696" s="6" t="s">
        <v>1123</v>
      </c>
      <c r="O1696" s="6" t="s">
        <v>1123</v>
      </c>
      <c r="P1696" s="9" t="s">
        <v>33</v>
      </c>
      <c r="Q1696" s="9" t="s">
        <v>26</v>
      </c>
      <c r="R1696" s="9" t="s">
        <v>37</v>
      </c>
      <c r="S1696" s="7" t="s">
        <v>529</v>
      </c>
      <c r="T1696" s="9" t="s">
        <v>39</v>
      </c>
      <c r="U1696" s="7">
        <v>0.4</v>
      </c>
      <c r="V1696" s="12">
        <f>C1696+7</f>
        <v>40390</v>
      </c>
      <c r="W1696">
        <f>IF(D1696=' Pivot Tables'!$A$4,1,0)</f>
        <v>0</v>
      </c>
      <c r="X1696">
        <f>IF(AND(LEFT(D1696,4)+1=LEFT(' Pivot Tables'!$A$4,4)+0,RIGHT(LEFT(D1696,7),2)=RIGHT(LEFT(' Pivot Tables'!$A$4,7),2)),1,0)</f>
        <v>0</v>
      </c>
      <c r="Y1696" s="6">
        <f>1/COUNTIF(Таблица1[Order ID],Таблица1[[#This Row],[Order ID]])</f>
        <v>0.25</v>
      </c>
      <c r="Z1696" s="9">
        <f>1/COUNTIFS(Таблица1[Customer Name],Таблица1[[#This Row],[Customer Name]],Таблица1[Order-Year-Month],Таблица1[[#This Row],[Order-Year-Month]])</f>
        <v>0.25</v>
      </c>
    </row>
    <row r="1697" spans="1:26" x14ac:dyDescent="0.2">
      <c r="A1697" s="6">
        <v>7278</v>
      </c>
      <c r="B1697" s="7">
        <v>51940</v>
      </c>
      <c r="C1697" s="8">
        <f>DATE(2012,12,31)-75</f>
        <v>41199</v>
      </c>
      <c r="D1697" s="8" t="str">
        <f t="shared" si="34"/>
        <v>2012-10 (октябрь 2012)</v>
      </c>
      <c r="E1697" s="9" t="s">
        <v>30</v>
      </c>
      <c r="F1697" s="7">
        <v>11</v>
      </c>
      <c r="G1697" s="7">
        <v>65.5</v>
      </c>
      <c r="H1697" s="7">
        <v>0.08</v>
      </c>
      <c r="I1697" s="9" t="s">
        <v>22</v>
      </c>
      <c r="J1697" s="10">
        <v>-55.94</v>
      </c>
      <c r="K1697" s="11">
        <v>5.98</v>
      </c>
      <c r="L1697" s="11">
        <v>4.38</v>
      </c>
      <c r="M1697" s="9" t="s">
        <v>1121</v>
      </c>
      <c r="N1697" s="6" t="s">
        <v>1123</v>
      </c>
      <c r="O1697" s="6" t="s">
        <v>1123</v>
      </c>
      <c r="P1697" s="9" t="s">
        <v>41</v>
      </c>
      <c r="Q1697" s="9" t="s">
        <v>42</v>
      </c>
      <c r="R1697" s="9" t="s">
        <v>70</v>
      </c>
      <c r="S1697" s="7" t="s">
        <v>104</v>
      </c>
      <c r="T1697" s="9" t="s">
        <v>52</v>
      </c>
      <c r="U1697" s="7">
        <v>0.75</v>
      </c>
      <c r="V1697" s="12">
        <f>C1697+1</f>
        <v>41200</v>
      </c>
      <c r="W1697">
        <f>IF(D1697=' Pivot Tables'!$A$4,1,0)</f>
        <v>0</v>
      </c>
      <c r="X1697">
        <f>IF(AND(LEFT(D1697,4)+1=LEFT(' Pivot Tables'!$A$4,4)+0,RIGHT(LEFT(D1697,7),2)=RIGHT(LEFT(' Pivot Tables'!$A$4,7),2)),1,0)</f>
        <v>0</v>
      </c>
      <c r="Y1697" s="6">
        <f>1/COUNTIF(Таблица1[Order ID],Таблица1[[#This Row],[Order ID]])</f>
        <v>1</v>
      </c>
      <c r="Z1697" s="9">
        <f>1/COUNTIFS(Таблица1[Customer Name],Таблица1[[#This Row],[Customer Name]],Таблица1[Order-Year-Month],Таблица1[[#This Row],[Order-Year-Month]])</f>
        <v>1</v>
      </c>
    </row>
    <row r="1698" spans="1:26" x14ac:dyDescent="0.2">
      <c r="A1698" s="6">
        <v>7305</v>
      </c>
      <c r="B1698" s="7">
        <v>52071</v>
      </c>
      <c r="C1698" s="8">
        <f>DATE(2012,12,31)-400</f>
        <v>40874</v>
      </c>
      <c r="D1698" s="8" t="str">
        <f t="shared" si="34"/>
        <v>2011-11 (ноябрь 2011)</v>
      </c>
      <c r="E1698" s="9" t="s">
        <v>45</v>
      </c>
      <c r="F1698" s="7">
        <v>14</v>
      </c>
      <c r="G1698" s="7">
        <v>136.85</v>
      </c>
      <c r="H1698" s="7">
        <v>0.01</v>
      </c>
      <c r="I1698" s="9" t="s">
        <v>22</v>
      </c>
      <c r="J1698" s="10">
        <v>-4.4275000000000002</v>
      </c>
      <c r="K1698" s="11">
        <v>8.85</v>
      </c>
      <c r="L1698" s="11">
        <v>5.6</v>
      </c>
      <c r="M1698" s="9" t="s">
        <v>1145</v>
      </c>
      <c r="N1698" s="6" t="s">
        <v>1123</v>
      </c>
      <c r="O1698" s="6" t="s">
        <v>1123</v>
      </c>
      <c r="P1698" s="9" t="s">
        <v>33</v>
      </c>
      <c r="Q1698" s="9" t="s">
        <v>26</v>
      </c>
      <c r="R1698" s="9" t="s">
        <v>37</v>
      </c>
      <c r="S1698" s="7" t="s">
        <v>298</v>
      </c>
      <c r="T1698" s="9" t="s">
        <v>39</v>
      </c>
      <c r="U1698" s="7">
        <v>0.36</v>
      </c>
      <c r="V1698" s="12">
        <f>C1698+2</f>
        <v>40876</v>
      </c>
      <c r="W1698">
        <f>IF(D1698=' Pivot Tables'!$A$4,1,0)</f>
        <v>0</v>
      </c>
      <c r="X1698">
        <f>IF(AND(LEFT(D1698,4)+1=LEFT(' Pivot Tables'!$A$4,4)+0,RIGHT(LEFT(D1698,7),2)=RIGHT(LEFT(' Pivot Tables'!$A$4,7),2)),1,0)</f>
        <v>0</v>
      </c>
      <c r="Y1698" s="6">
        <f>1/COUNTIF(Таблица1[Order ID],Таблица1[[#This Row],[Order ID]])</f>
        <v>0.5</v>
      </c>
      <c r="Z1698" s="9">
        <f>1/COUNTIFS(Таблица1[Customer Name],Таблица1[[#This Row],[Customer Name]],Таблица1[Order-Year-Month],Таблица1[[#This Row],[Order-Year-Month]])</f>
        <v>0.5</v>
      </c>
    </row>
    <row r="1699" spans="1:26" x14ac:dyDescent="0.2">
      <c r="A1699" s="6">
        <v>7306</v>
      </c>
      <c r="B1699" s="7">
        <v>52071</v>
      </c>
      <c r="C1699" s="8">
        <f>DATE(2012,12,31)-400</f>
        <v>40874</v>
      </c>
      <c r="D1699" s="8" t="str">
        <f t="shared" si="34"/>
        <v>2011-11 (ноябрь 2011)</v>
      </c>
      <c r="E1699" s="9" t="s">
        <v>45</v>
      </c>
      <c r="F1699" s="7">
        <v>1</v>
      </c>
      <c r="G1699" s="7">
        <v>12.74</v>
      </c>
      <c r="H1699" s="7">
        <v>0.05</v>
      </c>
      <c r="I1699" s="9" t="s">
        <v>22</v>
      </c>
      <c r="J1699" s="10">
        <v>-11.39</v>
      </c>
      <c r="K1699" s="11">
        <v>7.96</v>
      </c>
      <c r="L1699" s="11">
        <v>4.95</v>
      </c>
      <c r="M1699" s="9" t="s">
        <v>1145</v>
      </c>
      <c r="N1699" s="6" t="s">
        <v>1123</v>
      </c>
      <c r="O1699" s="6" t="s">
        <v>1123</v>
      </c>
      <c r="P1699" s="9" t="s">
        <v>33</v>
      </c>
      <c r="Q1699" s="9" t="s">
        <v>49</v>
      </c>
      <c r="R1699" s="9" t="s">
        <v>50</v>
      </c>
      <c r="S1699" s="7" t="s">
        <v>951</v>
      </c>
      <c r="T1699" s="9" t="s">
        <v>39</v>
      </c>
      <c r="U1699" s="7">
        <v>0.41</v>
      </c>
      <c r="V1699" s="12">
        <f>C1699+2</f>
        <v>40876</v>
      </c>
      <c r="W1699">
        <f>IF(D1699=' Pivot Tables'!$A$4,1,0)</f>
        <v>0</v>
      </c>
      <c r="X1699">
        <f>IF(AND(LEFT(D1699,4)+1=LEFT(' Pivot Tables'!$A$4,4)+0,RIGHT(LEFT(D1699,7),2)=RIGHT(LEFT(' Pivot Tables'!$A$4,7),2)),1,0)</f>
        <v>0</v>
      </c>
      <c r="Y1699" s="6">
        <f>1/COUNTIF(Таблица1[Order ID],Таблица1[[#This Row],[Order ID]])</f>
        <v>0.5</v>
      </c>
      <c r="Z1699" s="9">
        <f>1/COUNTIFS(Таблица1[Customer Name],Таблица1[[#This Row],[Customer Name]],Таблица1[Order-Year-Month],Таблица1[[#This Row],[Order-Year-Month]])</f>
        <v>0.5</v>
      </c>
    </row>
    <row r="1700" spans="1:26" x14ac:dyDescent="0.2">
      <c r="A1700" s="6">
        <v>7449</v>
      </c>
      <c r="B1700" s="7">
        <v>53152</v>
      </c>
      <c r="C1700" s="8">
        <f>DATE(2012,12,31)-1397</f>
        <v>39877</v>
      </c>
      <c r="D1700" s="8" t="str">
        <f t="shared" si="34"/>
        <v>2009-03 (март 2009)</v>
      </c>
      <c r="E1700" s="9" t="s">
        <v>63</v>
      </c>
      <c r="F1700" s="7">
        <v>5</v>
      </c>
      <c r="G1700" s="7">
        <v>185.79</v>
      </c>
      <c r="H1700" s="7">
        <v>0.02</v>
      </c>
      <c r="I1700" s="9" t="s">
        <v>22</v>
      </c>
      <c r="J1700" s="10">
        <v>-159.68</v>
      </c>
      <c r="K1700" s="11">
        <v>34.979999999999997</v>
      </c>
      <c r="L1700" s="11">
        <v>7.53</v>
      </c>
      <c r="M1700" s="9" t="s">
        <v>969</v>
      </c>
      <c r="N1700" s="6" t="s">
        <v>1123</v>
      </c>
      <c r="O1700" s="6" t="s">
        <v>1123</v>
      </c>
      <c r="P1700" s="9" t="s">
        <v>41</v>
      </c>
      <c r="Q1700" s="9" t="s">
        <v>42</v>
      </c>
      <c r="R1700" s="9" t="s">
        <v>70</v>
      </c>
      <c r="S1700" s="7" t="s">
        <v>1153</v>
      </c>
      <c r="T1700" s="9" t="s">
        <v>39</v>
      </c>
      <c r="U1700" s="7">
        <v>0.76</v>
      </c>
      <c r="V1700" s="12">
        <f>C1700+2</f>
        <v>39879</v>
      </c>
      <c r="W1700">
        <f>IF(D1700=' Pivot Tables'!$A$4,1,0)</f>
        <v>0</v>
      </c>
      <c r="X1700">
        <f>IF(AND(LEFT(D1700,4)+1=LEFT(' Pivot Tables'!$A$4,4)+0,RIGHT(LEFT(D1700,7),2)=RIGHT(LEFT(' Pivot Tables'!$A$4,7),2)),1,0)</f>
        <v>0</v>
      </c>
      <c r="Y1700" s="6">
        <f>1/COUNTIF(Таблица1[Order ID],Таблица1[[#This Row],[Order ID]])</f>
        <v>0.25</v>
      </c>
      <c r="Z1700" s="9">
        <f>1/COUNTIFS(Таблица1[Customer Name],Таблица1[[#This Row],[Customer Name]],Таблица1[Order-Year-Month],Таблица1[[#This Row],[Order-Year-Month]])</f>
        <v>0.25</v>
      </c>
    </row>
    <row r="1701" spans="1:26" x14ac:dyDescent="0.2">
      <c r="A1701" s="6">
        <v>7450</v>
      </c>
      <c r="B1701" s="7">
        <v>53152</v>
      </c>
      <c r="C1701" s="8">
        <f>DATE(2012,12,31)-1397</f>
        <v>39877</v>
      </c>
      <c r="D1701" s="8" t="str">
        <f t="shared" si="34"/>
        <v>2009-03 (март 2009)</v>
      </c>
      <c r="E1701" s="9" t="s">
        <v>63</v>
      </c>
      <c r="F1701" s="7">
        <v>9</v>
      </c>
      <c r="G1701" s="7">
        <v>196.41</v>
      </c>
      <c r="H1701" s="7">
        <v>0.01</v>
      </c>
      <c r="I1701" s="9" t="s">
        <v>22</v>
      </c>
      <c r="J1701" s="10">
        <v>27.91</v>
      </c>
      <c r="K1701" s="11">
        <v>19.989999999999998</v>
      </c>
      <c r="L1701" s="11">
        <v>11.17</v>
      </c>
      <c r="M1701" s="9" t="s">
        <v>969</v>
      </c>
      <c r="N1701" s="6" t="s">
        <v>1123</v>
      </c>
      <c r="O1701" s="6" t="s">
        <v>1123</v>
      </c>
      <c r="P1701" s="9" t="s">
        <v>41</v>
      </c>
      <c r="Q1701" s="9" t="s">
        <v>49</v>
      </c>
      <c r="R1701" s="9" t="s">
        <v>50</v>
      </c>
      <c r="S1701" s="7" t="s">
        <v>340</v>
      </c>
      <c r="T1701" s="9" t="s">
        <v>29</v>
      </c>
      <c r="U1701" s="7">
        <v>0.6</v>
      </c>
      <c r="V1701" s="12">
        <f>C1701+3</f>
        <v>39880</v>
      </c>
      <c r="W1701">
        <f>IF(D1701=' Pivot Tables'!$A$4,1,0)</f>
        <v>0</v>
      </c>
      <c r="X1701">
        <f>IF(AND(LEFT(D1701,4)+1=LEFT(' Pivot Tables'!$A$4,4)+0,RIGHT(LEFT(D1701,7),2)=RIGHT(LEFT(' Pivot Tables'!$A$4,7),2)),1,0)</f>
        <v>0</v>
      </c>
      <c r="Y1701" s="6">
        <f>1/COUNTIF(Таблица1[Order ID],Таблица1[[#This Row],[Order ID]])</f>
        <v>0.25</v>
      </c>
      <c r="Z1701" s="9">
        <f>1/COUNTIFS(Таблица1[Customer Name],Таблица1[[#This Row],[Customer Name]],Таблица1[Order-Year-Month],Таблица1[[#This Row],[Order-Year-Month]])</f>
        <v>0.25</v>
      </c>
    </row>
    <row r="1702" spans="1:26" x14ac:dyDescent="0.2">
      <c r="A1702" s="6">
        <v>7451</v>
      </c>
      <c r="B1702" s="7">
        <v>53152</v>
      </c>
      <c r="C1702" s="8">
        <f>DATE(2012,12,31)-1397</f>
        <v>39877</v>
      </c>
      <c r="D1702" s="8" t="str">
        <f t="shared" si="34"/>
        <v>2009-03 (март 2009)</v>
      </c>
      <c r="E1702" s="9" t="s">
        <v>63</v>
      </c>
      <c r="F1702" s="7">
        <v>9</v>
      </c>
      <c r="G1702" s="7">
        <v>186.67</v>
      </c>
      <c r="H1702" s="7">
        <v>0.02</v>
      </c>
      <c r="I1702" s="9" t="s">
        <v>22</v>
      </c>
      <c r="J1702" s="10">
        <v>2.06</v>
      </c>
      <c r="K1702" s="11">
        <v>19.98</v>
      </c>
      <c r="L1702" s="11">
        <v>8.68</v>
      </c>
      <c r="M1702" s="9" t="s">
        <v>969</v>
      </c>
      <c r="N1702" s="6" t="s">
        <v>1123</v>
      </c>
      <c r="O1702" s="6" t="s">
        <v>1123</v>
      </c>
      <c r="P1702" s="9" t="s">
        <v>41</v>
      </c>
      <c r="Q1702" s="9" t="s">
        <v>26</v>
      </c>
      <c r="R1702" s="9" t="s">
        <v>61</v>
      </c>
      <c r="S1702" s="7" t="s">
        <v>617</v>
      </c>
      <c r="T1702" s="9" t="s">
        <v>39</v>
      </c>
      <c r="U1702" s="7">
        <v>0.37</v>
      </c>
      <c r="V1702" s="12">
        <f>C1702+2</f>
        <v>39879</v>
      </c>
      <c r="W1702">
        <f>IF(D1702=' Pivot Tables'!$A$4,1,0)</f>
        <v>0</v>
      </c>
      <c r="X1702">
        <f>IF(AND(LEFT(D1702,4)+1=LEFT(' Pivot Tables'!$A$4,4)+0,RIGHT(LEFT(D1702,7),2)=RIGHT(LEFT(' Pivot Tables'!$A$4,7),2)),1,0)</f>
        <v>0</v>
      </c>
      <c r="Y1702" s="6">
        <f>1/COUNTIF(Таблица1[Order ID],Таблица1[[#This Row],[Order ID]])</f>
        <v>0.25</v>
      </c>
      <c r="Z1702" s="9">
        <f>1/COUNTIFS(Таблица1[Customer Name],Таблица1[[#This Row],[Customer Name]],Таблица1[Order-Year-Month],Таблица1[[#This Row],[Order-Year-Month]])</f>
        <v>0.25</v>
      </c>
    </row>
    <row r="1703" spans="1:26" x14ac:dyDescent="0.2">
      <c r="A1703" s="6">
        <v>7573</v>
      </c>
      <c r="B1703" s="7">
        <v>54177</v>
      </c>
      <c r="C1703" s="8">
        <f>DATE(2012,12,31)-341</f>
        <v>40933</v>
      </c>
      <c r="D1703" s="8" t="str">
        <f t="shared" si="34"/>
        <v>2012-01 (январь 2012)</v>
      </c>
      <c r="E1703" s="9" t="s">
        <v>78</v>
      </c>
      <c r="F1703" s="7">
        <v>12</v>
      </c>
      <c r="G1703" s="7">
        <v>480.73</v>
      </c>
      <c r="H1703" s="7">
        <v>0.1</v>
      </c>
      <c r="I1703" s="9" t="s">
        <v>22</v>
      </c>
      <c r="J1703" s="10">
        <v>148.19749999999999</v>
      </c>
      <c r="K1703" s="11">
        <v>42.8</v>
      </c>
      <c r="L1703" s="11">
        <v>2.99</v>
      </c>
      <c r="M1703" s="9" t="s">
        <v>1108</v>
      </c>
      <c r="N1703" s="6" t="s">
        <v>1123</v>
      </c>
      <c r="O1703" s="6" t="s">
        <v>1123</v>
      </c>
      <c r="P1703" s="9" t="s">
        <v>60</v>
      </c>
      <c r="Q1703" s="9" t="s">
        <v>26</v>
      </c>
      <c r="R1703" s="9" t="s">
        <v>37</v>
      </c>
      <c r="S1703" s="7" t="s">
        <v>1154</v>
      </c>
      <c r="T1703" s="9" t="s">
        <v>39</v>
      </c>
      <c r="U1703" s="7">
        <v>0.36</v>
      </c>
      <c r="V1703" s="12">
        <f>C1703+0</f>
        <v>40933</v>
      </c>
      <c r="W1703">
        <f>IF(D1703=' Pivot Tables'!$A$4,1,0)</f>
        <v>0</v>
      </c>
      <c r="X1703">
        <f>IF(AND(LEFT(D1703,4)+1=LEFT(' Pivot Tables'!$A$4,4)+0,RIGHT(LEFT(D1703,7),2)=RIGHT(LEFT(' Pivot Tables'!$A$4,7),2)),1,0)</f>
        <v>0</v>
      </c>
      <c r="Y1703" s="6">
        <f>1/COUNTIF(Таблица1[Order ID],Таблица1[[#This Row],[Order ID]])</f>
        <v>0.5</v>
      </c>
      <c r="Z1703" s="9">
        <f>1/COUNTIFS(Таблица1[Customer Name],Таблица1[[#This Row],[Customer Name]],Таблица1[Order-Year-Month],Таблица1[[#This Row],[Order-Year-Month]])</f>
        <v>0.14285714285714285</v>
      </c>
    </row>
    <row r="1704" spans="1:26" x14ac:dyDescent="0.2">
      <c r="A1704" s="6">
        <v>7574</v>
      </c>
      <c r="B1704" s="7">
        <v>54177</v>
      </c>
      <c r="C1704" s="8">
        <f>DATE(2012,12,31)-341</f>
        <v>40933</v>
      </c>
      <c r="D1704" s="8" t="str">
        <f t="shared" si="34"/>
        <v>2012-01 (январь 2012)</v>
      </c>
      <c r="E1704" s="9" t="s">
        <v>78</v>
      </c>
      <c r="F1704" s="7">
        <v>25</v>
      </c>
      <c r="G1704" s="7">
        <v>159</v>
      </c>
      <c r="H1704" s="7">
        <v>0.1</v>
      </c>
      <c r="I1704" s="9" t="s">
        <v>22</v>
      </c>
      <c r="J1704" s="10">
        <v>-98.15</v>
      </c>
      <c r="K1704" s="11">
        <v>6.48</v>
      </c>
      <c r="L1704" s="11">
        <v>7.37</v>
      </c>
      <c r="M1704" s="9" t="s">
        <v>1108</v>
      </c>
      <c r="N1704" s="6" t="s">
        <v>1123</v>
      </c>
      <c r="O1704" s="6" t="s">
        <v>1123</v>
      </c>
      <c r="P1704" s="9" t="s">
        <v>60</v>
      </c>
      <c r="Q1704" s="9" t="s">
        <v>26</v>
      </c>
      <c r="R1704" s="9" t="s">
        <v>61</v>
      </c>
      <c r="S1704" s="7" t="s">
        <v>859</v>
      </c>
      <c r="T1704" s="9" t="s">
        <v>39</v>
      </c>
      <c r="U1704" s="7">
        <v>0.37</v>
      </c>
      <c r="V1704" s="12">
        <f>C1704+2</f>
        <v>40935</v>
      </c>
      <c r="W1704">
        <f>IF(D1704=' Pivot Tables'!$A$4,1,0)</f>
        <v>0</v>
      </c>
      <c r="X1704">
        <f>IF(AND(LEFT(D1704,4)+1=LEFT(' Pivot Tables'!$A$4,4)+0,RIGHT(LEFT(D1704,7),2)=RIGHT(LEFT(' Pivot Tables'!$A$4,7),2)),1,0)</f>
        <v>0</v>
      </c>
      <c r="Y1704" s="6">
        <f>1/COUNTIF(Таблица1[Order ID],Таблица1[[#This Row],[Order ID]])</f>
        <v>0.5</v>
      </c>
      <c r="Z1704" s="9">
        <f>1/COUNTIFS(Таблица1[Customer Name],Таблица1[[#This Row],[Customer Name]],Таблица1[Order-Year-Month],Таблица1[[#This Row],[Order-Year-Month]])</f>
        <v>0.14285714285714285</v>
      </c>
    </row>
    <row r="1705" spans="1:26" x14ac:dyDescent="0.2">
      <c r="A1705" s="6">
        <v>7688</v>
      </c>
      <c r="B1705" s="7">
        <v>55107</v>
      </c>
      <c r="C1705" s="8">
        <f>DATE(2012,12,31)-968</f>
        <v>40306</v>
      </c>
      <c r="D1705" s="8" t="str">
        <f t="shared" si="34"/>
        <v>2010-05 (май 2010)</v>
      </c>
      <c r="E1705" s="9" t="s">
        <v>21</v>
      </c>
      <c r="F1705" s="7">
        <v>32</v>
      </c>
      <c r="G1705" s="7">
        <v>171.52</v>
      </c>
      <c r="H1705" s="7">
        <v>0.1</v>
      </c>
      <c r="I1705" s="9" t="s">
        <v>22</v>
      </c>
      <c r="J1705" s="10">
        <v>46.61</v>
      </c>
      <c r="K1705" s="11">
        <v>5.68</v>
      </c>
      <c r="L1705" s="11">
        <v>1.39</v>
      </c>
      <c r="M1705" s="9" t="s">
        <v>1142</v>
      </c>
      <c r="N1705" s="6" t="s">
        <v>1123</v>
      </c>
      <c r="O1705" s="6" t="s">
        <v>1123</v>
      </c>
      <c r="P1705" s="9" t="s">
        <v>60</v>
      </c>
      <c r="Q1705" s="9" t="s">
        <v>26</v>
      </c>
      <c r="R1705" s="9" t="s">
        <v>76</v>
      </c>
      <c r="S1705" s="7" t="s">
        <v>620</v>
      </c>
      <c r="T1705" s="9" t="s">
        <v>39</v>
      </c>
      <c r="U1705" s="7">
        <v>0.38</v>
      </c>
      <c r="V1705" s="12">
        <f>C1705+5</f>
        <v>40311</v>
      </c>
      <c r="W1705">
        <f>IF(D1705=' Pivot Tables'!$A$4,1,0)</f>
        <v>0</v>
      </c>
      <c r="X1705">
        <f>IF(AND(LEFT(D1705,4)+1=LEFT(' Pivot Tables'!$A$4,4)+0,RIGHT(LEFT(D1705,7),2)=RIGHT(LEFT(' Pivot Tables'!$A$4,7),2)),1,0)</f>
        <v>0</v>
      </c>
      <c r="Y1705" s="6">
        <f>1/COUNTIF(Таблица1[Order ID],Таблица1[[#This Row],[Order ID]])</f>
        <v>1</v>
      </c>
      <c r="Z1705" s="9">
        <f>1/COUNTIFS(Таблица1[Customer Name],Таблица1[[#This Row],[Customer Name]],Таблица1[Order-Year-Month],Таблица1[[#This Row],[Order-Year-Month]])</f>
        <v>1</v>
      </c>
    </row>
    <row r="1706" spans="1:26" x14ac:dyDescent="0.2">
      <c r="A1706" s="6">
        <v>7750</v>
      </c>
      <c r="B1706" s="7">
        <v>55461</v>
      </c>
      <c r="C1706" s="8">
        <f>DATE(2012,12,31)-1190</f>
        <v>40084</v>
      </c>
      <c r="D1706" s="8" t="str">
        <f t="shared" si="34"/>
        <v>2009-09 (сентябрь 2009)</v>
      </c>
      <c r="E1706" s="9" t="s">
        <v>63</v>
      </c>
      <c r="F1706" s="7">
        <v>16</v>
      </c>
      <c r="G1706" s="7">
        <v>84.01</v>
      </c>
      <c r="H1706" s="7">
        <v>0.06</v>
      </c>
      <c r="I1706" s="9" t="s">
        <v>22</v>
      </c>
      <c r="J1706" s="10">
        <v>-34.119999999999997</v>
      </c>
      <c r="K1706" s="11">
        <v>4.82</v>
      </c>
      <c r="L1706" s="11">
        <v>5.72</v>
      </c>
      <c r="M1706" s="9" t="s">
        <v>1089</v>
      </c>
      <c r="N1706" s="6" t="s">
        <v>1123</v>
      </c>
      <c r="O1706" s="6" t="s">
        <v>1123</v>
      </c>
      <c r="P1706" s="9" t="s">
        <v>25</v>
      </c>
      <c r="Q1706" s="9" t="s">
        <v>49</v>
      </c>
      <c r="R1706" s="9" t="s">
        <v>50</v>
      </c>
      <c r="S1706" s="7" t="s">
        <v>584</v>
      </c>
      <c r="T1706" s="9" t="s">
        <v>52</v>
      </c>
      <c r="U1706" s="7">
        <v>0.47</v>
      </c>
      <c r="V1706" s="12">
        <f>C1706+1</f>
        <v>40085</v>
      </c>
      <c r="W1706">
        <f>IF(D1706=' Pivot Tables'!$A$4,1,0)</f>
        <v>0</v>
      </c>
      <c r="X1706">
        <f>IF(AND(LEFT(D1706,4)+1=LEFT(' Pivot Tables'!$A$4,4)+0,RIGHT(LEFT(D1706,7),2)=RIGHT(LEFT(' Pivot Tables'!$A$4,7),2)),1,0)</f>
        <v>0</v>
      </c>
      <c r="Y1706" s="6">
        <f>1/COUNTIF(Таблица1[Order ID],Таблица1[[#This Row],[Order ID]])</f>
        <v>1</v>
      </c>
      <c r="Z1706" s="9">
        <f>1/COUNTIFS(Таблица1[Customer Name],Таблица1[[#This Row],[Customer Name]],Таблица1[Order-Year-Month],Таблица1[[#This Row],[Order-Year-Month]])</f>
        <v>1</v>
      </c>
    </row>
    <row r="1707" spans="1:26" x14ac:dyDescent="0.2">
      <c r="A1707" s="6">
        <v>7760</v>
      </c>
      <c r="B1707" s="7">
        <v>55526</v>
      </c>
      <c r="C1707" s="8">
        <f>DATE(2012,12,31)-182</f>
        <v>41092</v>
      </c>
      <c r="D1707" s="8" t="str">
        <f t="shared" si="34"/>
        <v>2012-07 (июль 2012)</v>
      </c>
      <c r="E1707" s="9" t="s">
        <v>30</v>
      </c>
      <c r="F1707" s="7">
        <v>23</v>
      </c>
      <c r="G1707" s="7">
        <v>445.17</v>
      </c>
      <c r="H1707" s="7">
        <v>0.02</v>
      </c>
      <c r="I1707" s="9" t="s">
        <v>22</v>
      </c>
      <c r="J1707" s="10">
        <v>38.11</v>
      </c>
      <c r="K1707" s="11">
        <v>18.97</v>
      </c>
      <c r="L1707" s="11">
        <v>9.0299999999999994</v>
      </c>
      <c r="M1707" s="9" t="s">
        <v>1102</v>
      </c>
      <c r="N1707" s="6" t="s">
        <v>1123</v>
      </c>
      <c r="O1707" s="6" t="s">
        <v>1123</v>
      </c>
      <c r="P1707" s="9" t="s">
        <v>41</v>
      </c>
      <c r="Q1707" s="9" t="s">
        <v>26</v>
      </c>
      <c r="R1707" s="9" t="s">
        <v>61</v>
      </c>
      <c r="S1707" s="7" t="s">
        <v>123</v>
      </c>
      <c r="T1707" s="9" t="s">
        <v>39</v>
      </c>
      <c r="U1707" s="7">
        <v>0.37</v>
      </c>
      <c r="V1707" s="12">
        <f>C1707+1</f>
        <v>41093</v>
      </c>
      <c r="W1707">
        <f>IF(D1707=' Pivot Tables'!$A$4,1,0)</f>
        <v>0</v>
      </c>
      <c r="X1707">
        <f>IF(AND(LEFT(D1707,4)+1=LEFT(' Pivot Tables'!$A$4,4)+0,RIGHT(LEFT(D1707,7),2)=RIGHT(LEFT(' Pivot Tables'!$A$4,7),2)),1,0)</f>
        <v>0</v>
      </c>
      <c r="Y1707" s="6">
        <f>1/COUNTIF(Таблица1[Order ID],Таблица1[[#This Row],[Order ID]])</f>
        <v>1</v>
      </c>
      <c r="Z1707" s="9">
        <f>1/COUNTIFS(Таблица1[Customer Name],Таблица1[[#This Row],[Customer Name]],Таблица1[Order-Year-Month],Таблица1[[#This Row],[Order-Year-Month]])</f>
        <v>1</v>
      </c>
    </row>
    <row r="1708" spans="1:26" x14ac:dyDescent="0.2">
      <c r="A1708" s="6">
        <v>7829</v>
      </c>
      <c r="B1708" s="7">
        <v>55969</v>
      </c>
      <c r="C1708" s="8">
        <f>DATE(2012,12,31)-819</f>
        <v>40455</v>
      </c>
      <c r="D1708" s="8" t="str">
        <f t="shared" si="34"/>
        <v>2010-10 (октябрь 2010)</v>
      </c>
      <c r="E1708" s="9" t="s">
        <v>63</v>
      </c>
      <c r="F1708" s="7">
        <v>37</v>
      </c>
      <c r="G1708" s="7">
        <v>2329.4</v>
      </c>
      <c r="H1708" s="7">
        <v>0.08</v>
      </c>
      <c r="I1708" s="9" t="s">
        <v>22</v>
      </c>
      <c r="J1708" s="10">
        <v>189.77</v>
      </c>
      <c r="K1708" s="11">
        <v>64.98</v>
      </c>
      <c r="L1708" s="11">
        <v>6.88</v>
      </c>
      <c r="M1708" s="9" t="s">
        <v>1089</v>
      </c>
      <c r="N1708" s="6" t="s">
        <v>1123</v>
      </c>
      <c r="O1708" s="6" t="s">
        <v>1123</v>
      </c>
      <c r="P1708" s="9" t="s">
        <v>25</v>
      </c>
      <c r="Q1708" s="9" t="s">
        <v>26</v>
      </c>
      <c r="R1708" s="9" t="s">
        <v>27</v>
      </c>
      <c r="S1708" s="7" t="s">
        <v>519</v>
      </c>
      <c r="T1708" s="9" t="s">
        <v>39</v>
      </c>
      <c r="U1708" s="7">
        <v>0.73</v>
      </c>
      <c r="V1708" s="12">
        <f>C1708+3</f>
        <v>40458</v>
      </c>
      <c r="W1708">
        <f>IF(D1708=' Pivot Tables'!$A$4,1,0)</f>
        <v>0</v>
      </c>
      <c r="X1708">
        <f>IF(AND(LEFT(D1708,4)+1=LEFT(' Pivot Tables'!$A$4,4)+0,RIGHT(LEFT(D1708,7),2)=RIGHT(LEFT(' Pivot Tables'!$A$4,7),2)),1,0)</f>
        <v>0</v>
      </c>
      <c r="Y1708" s="6">
        <f>1/COUNTIF(Таблица1[Order ID],Таблица1[[#This Row],[Order ID]])</f>
        <v>1</v>
      </c>
      <c r="Z1708" s="9">
        <f>1/COUNTIFS(Таблица1[Customer Name],Таблица1[[#This Row],[Customer Name]],Таблица1[Order-Year-Month],Таблица1[[#This Row],[Order-Year-Month]])</f>
        <v>1</v>
      </c>
    </row>
    <row r="1709" spans="1:26" x14ac:dyDescent="0.2">
      <c r="A1709" s="6">
        <v>7996</v>
      </c>
      <c r="B1709" s="7">
        <v>57153</v>
      </c>
      <c r="C1709" s="8">
        <f>DATE(2012,12,31)-1315</f>
        <v>39959</v>
      </c>
      <c r="D1709" s="8" t="str">
        <f t="shared" si="34"/>
        <v>2009-05 (май 2009)</v>
      </c>
      <c r="E1709" s="9" t="s">
        <v>78</v>
      </c>
      <c r="F1709" s="7">
        <v>9</v>
      </c>
      <c r="G1709" s="7">
        <v>106.05</v>
      </c>
      <c r="H1709" s="7">
        <v>0.02</v>
      </c>
      <c r="I1709" s="9" t="s">
        <v>22</v>
      </c>
      <c r="J1709" s="10">
        <v>-14.52</v>
      </c>
      <c r="K1709" s="11">
        <v>11.33</v>
      </c>
      <c r="L1709" s="11">
        <v>6.12</v>
      </c>
      <c r="M1709" s="9" t="s">
        <v>1089</v>
      </c>
      <c r="N1709" s="6" t="s">
        <v>1123</v>
      </c>
      <c r="O1709" s="6" t="s">
        <v>1123</v>
      </c>
      <c r="P1709" s="9" t="s">
        <v>41</v>
      </c>
      <c r="Q1709" s="9" t="s">
        <v>26</v>
      </c>
      <c r="R1709" s="9" t="s">
        <v>34</v>
      </c>
      <c r="S1709" s="7" t="s">
        <v>1155</v>
      </c>
      <c r="T1709" s="9" t="s">
        <v>48</v>
      </c>
      <c r="U1709" s="7">
        <v>0.42</v>
      </c>
      <c r="V1709" s="12">
        <f>C1709+2</f>
        <v>39961</v>
      </c>
      <c r="W1709">
        <f>IF(D1709=' Pivot Tables'!$A$4,1,0)</f>
        <v>0</v>
      </c>
      <c r="X1709">
        <f>IF(AND(LEFT(D1709,4)+1=LEFT(' Pivot Tables'!$A$4,4)+0,RIGHT(LEFT(D1709,7),2)=RIGHT(LEFT(' Pivot Tables'!$A$4,7),2)),1,0)</f>
        <v>0</v>
      </c>
      <c r="Y1709" s="6">
        <f>1/COUNTIF(Таблица1[Order ID],Таблица1[[#This Row],[Order ID]])</f>
        <v>0.5</v>
      </c>
      <c r="Z1709" s="9">
        <f>1/COUNTIFS(Таблица1[Customer Name],Таблица1[[#This Row],[Customer Name]],Таблица1[Order-Year-Month],Таблица1[[#This Row],[Order-Year-Month]])</f>
        <v>0.5</v>
      </c>
    </row>
    <row r="1710" spans="1:26" x14ac:dyDescent="0.2">
      <c r="A1710" s="6">
        <v>7997</v>
      </c>
      <c r="B1710" s="7">
        <v>57153</v>
      </c>
      <c r="C1710" s="8">
        <f>DATE(2012,12,31)-1315</f>
        <v>39959</v>
      </c>
      <c r="D1710" s="8" t="str">
        <f t="shared" si="34"/>
        <v>2009-05 (май 2009)</v>
      </c>
      <c r="E1710" s="9" t="s">
        <v>78</v>
      </c>
      <c r="F1710" s="7">
        <v>45</v>
      </c>
      <c r="G1710" s="7">
        <v>698.1</v>
      </c>
      <c r="H1710" s="7">
        <v>0.01</v>
      </c>
      <c r="I1710" s="9" t="s">
        <v>22</v>
      </c>
      <c r="J1710" s="10">
        <v>336.25</v>
      </c>
      <c r="K1710" s="11">
        <v>15.67</v>
      </c>
      <c r="L1710" s="11">
        <v>1.39</v>
      </c>
      <c r="M1710" s="9" t="s">
        <v>1089</v>
      </c>
      <c r="N1710" s="6" t="s">
        <v>1123</v>
      </c>
      <c r="O1710" s="6" t="s">
        <v>1123</v>
      </c>
      <c r="P1710" s="9" t="s">
        <v>41</v>
      </c>
      <c r="Q1710" s="9" t="s">
        <v>26</v>
      </c>
      <c r="R1710" s="9" t="s">
        <v>76</v>
      </c>
      <c r="S1710" s="7" t="s">
        <v>165</v>
      </c>
      <c r="T1710" s="9" t="s">
        <v>39</v>
      </c>
      <c r="U1710" s="7">
        <v>0.38</v>
      </c>
      <c r="V1710" s="12">
        <f>C1710+1</f>
        <v>39960</v>
      </c>
      <c r="W1710">
        <f>IF(D1710=' Pivot Tables'!$A$4,1,0)</f>
        <v>0</v>
      </c>
      <c r="X1710">
        <f>IF(AND(LEFT(D1710,4)+1=LEFT(' Pivot Tables'!$A$4,4)+0,RIGHT(LEFT(D1710,7),2)=RIGHT(LEFT(' Pivot Tables'!$A$4,7),2)),1,0)</f>
        <v>0</v>
      </c>
      <c r="Y1710" s="6">
        <f>1/COUNTIF(Таблица1[Order ID],Таблица1[[#This Row],[Order ID]])</f>
        <v>0.5</v>
      </c>
      <c r="Z1710" s="9">
        <f>1/COUNTIFS(Таблица1[Customer Name],Таблица1[[#This Row],[Customer Name]],Таблица1[Order-Year-Month],Таблица1[[#This Row],[Order-Year-Month]])</f>
        <v>0.5</v>
      </c>
    </row>
    <row r="1711" spans="1:26" x14ac:dyDescent="0.2">
      <c r="A1711" s="6">
        <v>8065</v>
      </c>
      <c r="B1711" s="7">
        <v>57538</v>
      </c>
      <c r="C1711" s="8">
        <f>DATE(2012,12,31)-1045</f>
        <v>40229</v>
      </c>
      <c r="D1711" s="8" t="str">
        <f t="shared" si="34"/>
        <v>2010-02 (февраль 2010)</v>
      </c>
      <c r="E1711" s="9" t="s">
        <v>78</v>
      </c>
      <c r="F1711" s="7">
        <v>40</v>
      </c>
      <c r="G1711" s="7">
        <v>1370.49</v>
      </c>
      <c r="H1711" s="7">
        <v>0.08</v>
      </c>
      <c r="I1711" s="9" t="s">
        <v>22</v>
      </c>
      <c r="J1711" s="10">
        <v>-244.63</v>
      </c>
      <c r="K1711" s="11">
        <v>33.979999999999997</v>
      </c>
      <c r="L1711" s="11">
        <v>19.989999999999998</v>
      </c>
      <c r="M1711" s="9" t="s">
        <v>719</v>
      </c>
      <c r="N1711" s="6" t="s">
        <v>1123</v>
      </c>
      <c r="O1711" s="6" t="s">
        <v>1123</v>
      </c>
      <c r="P1711" s="9" t="s">
        <v>25</v>
      </c>
      <c r="Q1711" s="9" t="s">
        <v>49</v>
      </c>
      <c r="R1711" s="9" t="s">
        <v>50</v>
      </c>
      <c r="S1711" s="7" t="s">
        <v>192</v>
      </c>
      <c r="T1711" s="9" t="s">
        <v>39</v>
      </c>
      <c r="U1711" s="7">
        <v>0.55000000000000004</v>
      </c>
      <c r="V1711" s="12">
        <f>C1711+2</f>
        <v>40231</v>
      </c>
      <c r="W1711">
        <f>IF(D1711=' Pivot Tables'!$A$4,1,0)</f>
        <v>0</v>
      </c>
      <c r="X1711">
        <f>IF(AND(LEFT(D1711,4)+1=LEFT(' Pivot Tables'!$A$4,4)+0,RIGHT(LEFT(D1711,7),2)=RIGHT(LEFT(' Pivot Tables'!$A$4,7),2)),1,0)</f>
        <v>0</v>
      </c>
      <c r="Y1711" s="6">
        <f>1/COUNTIF(Таблица1[Order ID],Таблица1[[#This Row],[Order ID]])</f>
        <v>1</v>
      </c>
      <c r="Z1711" s="9">
        <f>1/COUNTIFS(Таблица1[Customer Name],Таблица1[[#This Row],[Customer Name]],Таблица1[Order-Year-Month],Таблица1[[#This Row],[Order-Year-Month]])</f>
        <v>1</v>
      </c>
    </row>
    <row r="1712" spans="1:26" x14ac:dyDescent="0.2">
      <c r="A1712" s="6">
        <v>8201</v>
      </c>
      <c r="B1712" s="7">
        <v>58656</v>
      </c>
      <c r="C1712" s="8">
        <f>DATE(2012,12,31)-758</f>
        <v>40516</v>
      </c>
      <c r="D1712" s="8" t="str">
        <f t="shared" si="34"/>
        <v>2010-12 (декабрь 2010)</v>
      </c>
      <c r="E1712" s="9" t="s">
        <v>30</v>
      </c>
      <c r="F1712" s="7">
        <v>5</v>
      </c>
      <c r="G1712" s="7">
        <v>39.44</v>
      </c>
      <c r="H1712" s="7">
        <v>0</v>
      </c>
      <c r="I1712" s="9" t="s">
        <v>22</v>
      </c>
      <c r="J1712" s="10">
        <v>-0.94299999999999995</v>
      </c>
      <c r="K1712" s="11">
        <v>6.75</v>
      </c>
      <c r="L1712" s="11">
        <v>2.99</v>
      </c>
      <c r="M1712" s="9" t="s">
        <v>1156</v>
      </c>
      <c r="N1712" s="6" t="s">
        <v>1123</v>
      </c>
      <c r="O1712" s="6" t="s">
        <v>1123</v>
      </c>
      <c r="P1712" s="9" t="s">
        <v>25</v>
      </c>
      <c r="Q1712" s="9" t="s">
        <v>26</v>
      </c>
      <c r="R1712" s="9" t="s">
        <v>37</v>
      </c>
      <c r="S1712" s="7" t="s">
        <v>362</v>
      </c>
      <c r="T1712" s="9" t="s">
        <v>39</v>
      </c>
      <c r="U1712" s="7">
        <v>0.35</v>
      </c>
      <c r="V1712" s="12">
        <f>C1712+2</f>
        <v>40518</v>
      </c>
      <c r="W1712">
        <f>IF(D1712=' Pivot Tables'!$A$4,1,0)</f>
        <v>0</v>
      </c>
      <c r="X1712">
        <f>IF(AND(LEFT(D1712,4)+1=LEFT(' Pivot Tables'!$A$4,4)+0,RIGHT(LEFT(D1712,7),2)=RIGHT(LEFT(' Pivot Tables'!$A$4,7),2)),1,0)</f>
        <v>0</v>
      </c>
      <c r="Y1712" s="6">
        <f>1/COUNTIF(Таблица1[Order ID],Таблица1[[#This Row],[Order ID]])</f>
        <v>0.5</v>
      </c>
      <c r="Z1712" s="9">
        <f>1/COUNTIFS(Таблица1[Customer Name],Таблица1[[#This Row],[Customer Name]],Таблица1[Order-Year-Month],Таблица1[[#This Row],[Order-Year-Month]])</f>
        <v>0.5</v>
      </c>
    </row>
    <row r="1713" spans="1:26" x14ac:dyDescent="0.2">
      <c r="A1713" s="6">
        <v>8202</v>
      </c>
      <c r="B1713" s="7">
        <v>58656</v>
      </c>
      <c r="C1713" s="8">
        <f>DATE(2012,12,31)-758</f>
        <v>40516</v>
      </c>
      <c r="D1713" s="8" t="str">
        <f t="shared" si="34"/>
        <v>2010-12 (декабрь 2010)</v>
      </c>
      <c r="E1713" s="9" t="s">
        <v>30</v>
      </c>
      <c r="F1713" s="7">
        <v>3</v>
      </c>
      <c r="G1713" s="7">
        <v>11.01</v>
      </c>
      <c r="H1713" s="7">
        <v>0.09</v>
      </c>
      <c r="I1713" s="9" t="s">
        <v>22</v>
      </c>
      <c r="J1713" s="10">
        <v>-1.42</v>
      </c>
      <c r="K1713" s="11">
        <v>2.08</v>
      </c>
      <c r="L1713" s="11">
        <v>5.33</v>
      </c>
      <c r="M1713" s="9" t="s">
        <v>1156</v>
      </c>
      <c r="N1713" s="6" t="s">
        <v>1123</v>
      </c>
      <c r="O1713" s="6" t="s">
        <v>1123</v>
      </c>
      <c r="P1713" s="9" t="s">
        <v>25</v>
      </c>
      <c r="Q1713" s="9" t="s">
        <v>49</v>
      </c>
      <c r="R1713" s="9" t="s">
        <v>50</v>
      </c>
      <c r="S1713" s="7" t="s">
        <v>216</v>
      </c>
      <c r="T1713" s="9" t="s">
        <v>39</v>
      </c>
      <c r="U1713" s="7">
        <v>0.43</v>
      </c>
      <c r="V1713" s="12">
        <f>C1713+2</f>
        <v>40518</v>
      </c>
      <c r="W1713">
        <f>IF(D1713=' Pivot Tables'!$A$4,1,0)</f>
        <v>0</v>
      </c>
      <c r="X1713">
        <f>IF(AND(LEFT(D1713,4)+1=LEFT(' Pivot Tables'!$A$4,4)+0,RIGHT(LEFT(D1713,7),2)=RIGHT(LEFT(' Pivot Tables'!$A$4,7),2)),1,0)</f>
        <v>0</v>
      </c>
      <c r="Y1713" s="6">
        <f>1/COUNTIF(Таблица1[Order ID],Таблица1[[#This Row],[Order ID]])</f>
        <v>0.5</v>
      </c>
      <c r="Z1713" s="9">
        <f>1/COUNTIFS(Таблица1[Customer Name],Таблица1[[#This Row],[Customer Name]],Таблица1[Order-Year-Month],Таблица1[[#This Row],[Order-Year-Month]])</f>
        <v>0.5</v>
      </c>
    </row>
    <row r="1714" spans="1:26" x14ac:dyDescent="0.2">
      <c r="A1714" s="6">
        <v>8226</v>
      </c>
      <c r="B1714" s="7">
        <v>58789</v>
      </c>
      <c r="C1714" s="8">
        <f>DATE(2012,12,31)-879</f>
        <v>40395</v>
      </c>
      <c r="D1714" s="8" t="str">
        <f t="shared" si="34"/>
        <v>2010-08 (август 2010)</v>
      </c>
      <c r="E1714" s="9" t="s">
        <v>21</v>
      </c>
      <c r="F1714" s="7">
        <v>26</v>
      </c>
      <c r="G1714" s="7">
        <v>195.51</v>
      </c>
      <c r="H1714" s="7">
        <v>0.03</v>
      </c>
      <c r="I1714" s="9" t="s">
        <v>22</v>
      </c>
      <c r="J1714" s="10">
        <v>-105.71950000000001</v>
      </c>
      <c r="K1714" s="11">
        <v>7.3</v>
      </c>
      <c r="L1714" s="11">
        <v>7.72</v>
      </c>
      <c r="M1714" s="9" t="s">
        <v>719</v>
      </c>
      <c r="N1714" s="6" t="s">
        <v>1123</v>
      </c>
      <c r="O1714" s="6" t="s">
        <v>1123</v>
      </c>
      <c r="P1714" s="9" t="s">
        <v>25</v>
      </c>
      <c r="Q1714" s="9" t="s">
        <v>26</v>
      </c>
      <c r="R1714" s="9" t="s">
        <v>37</v>
      </c>
      <c r="S1714" s="7" t="s">
        <v>54</v>
      </c>
      <c r="T1714" s="9" t="s">
        <v>39</v>
      </c>
      <c r="U1714" s="7">
        <v>0.38</v>
      </c>
      <c r="V1714" s="12">
        <f>C1714+4</f>
        <v>40399</v>
      </c>
      <c r="W1714">
        <f>IF(D1714=' Pivot Tables'!$A$4,1,0)</f>
        <v>0</v>
      </c>
      <c r="X1714">
        <f>IF(AND(LEFT(D1714,4)+1=LEFT(' Pivot Tables'!$A$4,4)+0,RIGHT(LEFT(D1714,7),2)=RIGHT(LEFT(' Pivot Tables'!$A$4,7),2)),1,0)</f>
        <v>0</v>
      </c>
      <c r="Y1714" s="6">
        <f>1/COUNTIF(Таблица1[Order ID],Таблица1[[#This Row],[Order ID]])</f>
        <v>0.5</v>
      </c>
      <c r="Z1714" s="9">
        <f>1/COUNTIFS(Таблица1[Customer Name],Таблица1[[#This Row],[Customer Name]],Таблица1[Order-Year-Month],Таблица1[[#This Row],[Order-Year-Month]])</f>
        <v>0.5</v>
      </c>
    </row>
    <row r="1715" spans="1:26" x14ac:dyDescent="0.2">
      <c r="A1715" s="6">
        <v>8227</v>
      </c>
      <c r="B1715" s="7">
        <v>58789</v>
      </c>
      <c r="C1715" s="8">
        <f>DATE(2012,12,31)-879</f>
        <v>40395</v>
      </c>
      <c r="D1715" s="8" t="str">
        <f t="shared" si="34"/>
        <v>2010-08 (август 2010)</v>
      </c>
      <c r="E1715" s="9" t="s">
        <v>21</v>
      </c>
      <c r="F1715" s="7">
        <v>38</v>
      </c>
      <c r="G1715" s="7">
        <v>377.13</v>
      </c>
      <c r="H1715" s="7">
        <v>0.02</v>
      </c>
      <c r="I1715" s="9" t="s">
        <v>22</v>
      </c>
      <c r="J1715" s="10">
        <v>-10.29</v>
      </c>
      <c r="K1715" s="11">
        <v>9.77</v>
      </c>
      <c r="L1715" s="11">
        <v>6.02</v>
      </c>
      <c r="M1715" s="9" t="s">
        <v>719</v>
      </c>
      <c r="N1715" s="6" t="s">
        <v>1123</v>
      </c>
      <c r="O1715" s="6" t="s">
        <v>1123</v>
      </c>
      <c r="P1715" s="9" t="s">
        <v>25</v>
      </c>
      <c r="Q1715" s="9" t="s">
        <v>49</v>
      </c>
      <c r="R1715" s="9" t="s">
        <v>50</v>
      </c>
      <c r="S1715" s="7" t="s">
        <v>446</v>
      </c>
      <c r="T1715" s="9" t="s">
        <v>48</v>
      </c>
      <c r="U1715" s="7">
        <v>0.48</v>
      </c>
      <c r="V1715" s="12">
        <f>C1715+5</f>
        <v>40400</v>
      </c>
      <c r="W1715">
        <f>IF(D1715=' Pivot Tables'!$A$4,1,0)</f>
        <v>0</v>
      </c>
      <c r="X1715">
        <f>IF(AND(LEFT(D1715,4)+1=LEFT(' Pivot Tables'!$A$4,4)+0,RIGHT(LEFT(D1715,7),2)=RIGHT(LEFT(' Pivot Tables'!$A$4,7),2)),1,0)</f>
        <v>0</v>
      </c>
      <c r="Y1715" s="6">
        <f>1/COUNTIF(Таблица1[Order ID],Таблица1[[#This Row],[Order ID]])</f>
        <v>0.5</v>
      </c>
      <c r="Z1715" s="9">
        <f>1/COUNTIFS(Таблица1[Customer Name],Таблица1[[#This Row],[Customer Name]],Таблица1[Order-Year-Month],Таблица1[[#This Row],[Order-Year-Month]])</f>
        <v>0.5</v>
      </c>
    </row>
    <row r="1716" spans="1:26" x14ac:dyDescent="0.2">
      <c r="A1716" s="6">
        <v>8280</v>
      </c>
      <c r="B1716" s="7">
        <v>59200</v>
      </c>
      <c r="C1716" s="8">
        <f>DATE(2012,12,31)-388</f>
        <v>40886</v>
      </c>
      <c r="D1716" s="8" t="str">
        <f t="shared" si="34"/>
        <v>2011-12 (декабрь 2011)</v>
      </c>
      <c r="E1716" s="9" t="s">
        <v>63</v>
      </c>
      <c r="F1716" s="7">
        <v>4</v>
      </c>
      <c r="G1716" s="7">
        <v>170.45</v>
      </c>
      <c r="H1716" s="7">
        <v>0.09</v>
      </c>
      <c r="I1716" s="9" t="s">
        <v>22</v>
      </c>
      <c r="J1716" s="10">
        <v>-30.27</v>
      </c>
      <c r="K1716" s="11">
        <v>42.98</v>
      </c>
      <c r="L1716" s="11">
        <v>4.62</v>
      </c>
      <c r="M1716" s="9" t="s">
        <v>1108</v>
      </c>
      <c r="N1716" s="6" t="s">
        <v>1123</v>
      </c>
      <c r="O1716" s="6" t="s">
        <v>1123</v>
      </c>
      <c r="P1716" s="9" t="s">
        <v>60</v>
      </c>
      <c r="Q1716" s="9" t="s">
        <v>26</v>
      </c>
      <c r="R1716" s="9" t="s">
        <v>34</v>
      </c>
      <c r="S1716" s="7" t="s">
        <v>852</v>
      </c>
      <c r="T1716" s="9" t="s">
        <v>39</v>
      </c>
      <c r="U1716" s="7">
        <v>0.56000000000000005</v>
      </c>
      <c r="V1716" s="12">
        <f>C1716+0</f>
        <v>40886</v>
      </c>
      <c r="W1716">
        <f>IF(D1716=' Pivot Tables'!$A$4,1,0)</f>
        <v>0</v>
      </c>
      <c r="X1716">
        <f>IF(AND(LEFT(D1716,4)+1=LEFT(' Pivot Tables'!$A$4,4)+0,RIGHT(LEFT(D1716,7),2)=RIGHT(LEFT(' Pivot Tables'!$A$4,7),2)),1,0)</f>
        <v>0</v>
      </c>
      <c r="Y1716" s="6">
        <f>1/COUNTIF(Таблица1[Order ID],Таблица1[[#This Row],[Order ID]])</f>
        <v>0.5</v>
      </c>
      <c r="Z1716" s="9">
        <f>1/COUNTIFS(Таблица1[Customer Name],Таблица1[[#This Row],[Customer Name]],Таблица1[Order-Year-Month],Таблица1[[#This Row],[Order-Year-Month]])</f>
        <v>0.33333333333333331</v>
      </c>
    </row>
    <row r="1717" spans="1:26" x14ac:dyDescent="0.2">
      <c r="A1717" s="6">
        <v>8281</v>
      </c>
      <c r="B1717" s="7">
        <v>59200</v>
      </c>
      <c r="C1717" s="8">
        <f>DATE(2012,12,31)-388</f>
        <v>40886</v>
      </c>
      <c r="D1717" s="8" t="str">
        <f t="shared" si="34"/>
        <v>2011-12 (декабрь 2011)</v>
      </c>
      <c r="E1717" s="9" t="s">
        <v>63</v>
      </c>
      <c r="F1717" s="7">
        <v>28</v>
      </c>
      <c r="G1717" s="7">
        <v>350.42</v>
      </c>
      <c r="H1717" s="7">
        <v>0.03</v>
      </c>
      <c r="I1717" s="9" t="s">
        <v>22</v>
      </c>
      <c r="J1717" s="10">
        <v>-37.299999999999997</v>
      </c>
      <c r="K1717" s="11">
        <v>11.97</v>
      </c>
      <c r="L1717" s="11">
        <v>5.81</v>
      </c>
      <c r="M1717" s="9" t="s">
        <v>1108</v>
      </c>
      <c r="N1717" s="6" t="s">
        <v>1123</v>
      </c>
      <c r="O1717" s="6" t="s">
        <v>1123</v>
      </c>
      <c r="P1717" s="9" t="s">
        <v>60</v>
      </c>
      <c r="Q1717" s="9" t="s">
        <v>26</v>
      </c>
      <c r="R1717" s="9" t="s">
        <v>95</v>
      </c>
      <c r="S1717" s="7" t="s">
        <v>521</v>
      </c>
      <c r="T1717" s="9" t="s">
        <v>52</v>
      </c>
      <c r="U1717" s="7">
        <v>0.6</v>
      </c>
      <c r="V1717" s="12">
        <f>C1717+2</f>
        <v>40888</v>
      </c>
      <c r="W1717">
        <f>IF(D1717=' Pivot Tables'!$A$4,1,0)</f>
        <v>0</v>
      </c>
      <c r="X1717">
        <f>IF(AND(LEFT(D1717,4)+1=LEFT(' Pivot Tables'!$A$4,4)+0,RIGHT(LEFT(D1717,7),2)=RIGHT(LEFT(' Pivot Tables'!$A$4,7),2)),1,0)</f>
        <v>0</v>
      </c>
      <c r="Y1717" s="6">
        <f>1/COUNTIF(Таблица1[Order ID],Таблица1[[#This Row],[Order ID]])</f>
        <v>0.5</v>
      </c>
      <c r="Z1717" s="9">
        <f>1/COUNTIFS(Таблица1[Customer Name],Таблица1[[#This Row],[Customer Name]],Таблица1[Order-Year-Month],Таблица1[[#This Row],[Order-Year-Month]])</f>
        <v>0.33333333333333331</v>
      </c>
    </row>
    <row r="1718" spans="1:26" x14ac:dyDescent="0.2">
      <c r="A1718" s="6">
        <v>8321</v>
      </c>
      <c r="B1718" s="7">
        <v>59459</v>
      </c>
      <c r="C1718" s="8">
        <f>DATE(2012,12,31)-1426</f>
        <v>39848</v>
      </c>
      <c r="D1718" s="8" t="str">
        <f t="shared" si="34"/>
        <v>2009-02 (февраль 2009)</v>
      </c>
      <c r="E1718" s="9" t="s">
        <v>63</v>
      </c>
      <c r="F1718" s="7">
        <v>40</v>
      </c>
      <c r="G1718" s="7">
        <v>69.66</v>
      </c>
      <c r="H1718" s="7">
        <v>7.0000000000000007E-2</v>
      </c>
      <c r="I1718" s="9" t="s">
        <v>22</v>
      </c>
      <c r="J1718" s="10">
        <v>-51.42</v>
      </c>
      <c r="K1718" s="11">
        <v>1.7</v>
      </c>
      <c r="L1718" s="11">
        <v>1.99</v>
      </c>
      <c r="M1718" s="9" t="s">
        <v>1098</v>
      </c>
      <c r="N1718" s="6" t="s">
        <v>1123</v>
      </c>
      <c r="O1718" s="6" t="s">
        <v>1123</v>
      </c>
      <c r="P1718" s="9" t="s">
        <v>25</v>
      </c>
      <c r="Q1718" s="9" t="s">
        <v>42</v>
      </c>
      <c r="R1718" s="9" t="s">
        <v>70</v>
      </c>
      <c r="S1718" s="7" t="s">
        <v>945</v>
      </c>
      <c r="T1718" s="9" t="s">
        <v>52</v>
      </c>
      <c r="U1718" s="7">
        <v>0.51</v>
      </c>
      <c r="V1718" s="12">
        <f>C1718+1</f>
        <v>39849</v>
      </c>
      <c r="W1718">
        <f>IF(D1718=' Pivot Tables'!$A$4,1,0)</f>
        <v>0</v>
      </c>
      <c r="X1718">
        <f>IF(AND(LEFT(D1718,4)+1=LEFT(' Pivot Tables'!$A$4,4)+0,RIGHT(LEFT(D1718,7),2)=RIGHT(LEFT(' Pivot Tables'!$A$4,7),2)),1,0)</f>
        <v>0</v>
      </c>
      <c r="Y1718" s="6">
        <f>1/COUNTIF(Таблица1[Order ID],Таблица1[[#This Row],[Order ID]])</f>
        <v>1</v>
      </c>
      <c r="Z1718" s="9">
        <f>1/COUNTIFS(Таблица1[Customer Name],Таблица1[[#This Row],[Customer Name]],Таблица1[Order-Year-Month],Таблица1[[#This Row],[Order-Year-Month]])</f>
        <v>1</v>
      </c>
    </row>
    <row r="1719" spans="1:26" x14ac:dyDescent="0.2">
      <c r="A1719" s="6">
        <v>8379</v>
      </c>
      <c r="B1719" s="7">
        <v>59878</v>
      </c>
      <c r="C1719" s="8">
        <f>DATE(2012,12,31)-217</f>
        <v>41057</v>
      </c>
      <c r="D1719" s="8" t="str">
        <f t="shared" si="34"/>
        <v>2012-05 (май 2012)</v>
      </c>
      <c r="E1719" s="9" t="s">
        <v>30</v>
      </c>
      <c r="F1719" s="7">
        <v>6</v>
      </c>
      <c r="G1719" s="7">
        <v>112.4</v>
      </c>
      <c r="H1719" s="7">
        <v>0.1</v>
      </c>
      <c r="I1719" s="9" t="s">
        <v>22</v>
      </c>
      <c r="J1719" s="10">
        <v>-46.745099999999994</v>
      </c>
      <c r="K1719" s="11">
        <v>17.98</v>
      </c>
      <c r="L1719" s="11">
        <v>8.51</v>
      </c>
      <c r="M1719" s="9" t="s">
        <v>1121</v>
      </c>
      <c r="N1719" s="6" t="s">
        <v>1123</v>
      </c>
      <c r="O1719" s="6" t="s">
        <v>1123</v>
      </c>
      <c r="P1719" s="9" t="s">
        <v>41</v>
      </c>
      <c r="Q1719" s="9" t="s">
        <v>42</v>
      </c>
      <c r="R1719" s="9" t="s">
        <v>210</v>
      </c>
      <c r="S1719" s="7" t="s">
        <v>277</v>
      </c>
      <c r="T1719" s="9" t="s">
        <v>48</v>
      </c>
      <c r="U1719" s="7">
        <v>0.4</v>
      </c>
      <c r="V1719" s="12">
        <f>C1719+1</f>
        <v>41058</v>
      </c>
      <c r="W1719">
        <f>IF(D1719=' Pivot Tables'!$A$4,1,0)</f>
        <v>0</v>
      </c>
      <c r="X1719">
        <f>IF(AND(LEFT(D1719,4)+1=LEFT(' Pivot Tables'!$A$4,4)+0,RIGHT(LEFT(D1719,7),2)=RIGHT(LEFT(' Pivot Tables'!$A$4,7),2)),1,0)</f>
        <v>0</v>
      </c>
      <c r="Y1719" s="6">
        <f>1/COUNTIF(Таблица1[Order ID],Таблица1[[#This Row],[Order ID]])</f>
        <v>0.5</v>
      </c>
      <c r="Z1719" s="9">
        <f>1/COUNTIFS(Таблица1[Customer Name],Таблица1[[#This Row],[Customer Name]],Таблица1[Order-Year-Month],Таблица1[[#This Row],[Order-Year-Month]])</f>
        <v>0.5</v>
      </c>
    </row>
    <row r="1720" spans="1:26" x14ac:dyDescent="0.2">
      <c r="A1720" s="6">
        <v>8380</v>
      </c>
      <c r="B1720" s="7">
        <v>59878</v>
      </c>
      <c r="C1720" s="8">
        <f>DATE(2012,12,31)-217</f>
        <v>41057</v>
      </c>
      <c r="D1720" s="8" t="str">
        <f t="shared" si="34"/>
        <v>2012-05 (май 2012)</v>
      </c>
      <c r="E1720" s="9" t="s">
        <v>30</v>
      </c>
      <c r="F1720" s="7">
        <v>23</v>
      </c>
      <c r="G1720" s="7">
        <v>249.64</v>
      </c>
      <c r="H1720" s="7">
        <v>0.08</v>
      </c>
      <c r="I1720" s="9" t="s">
        <v>22</v>
      </c>
      <c r="J1720" s="10">
        <v>-91.65</v>
      </c>
      <c r="K1720" s="11">
        <v>10.9</v>
      </c>
      <c r="L1720" s="11">
        <v>7.46</v>
      </c>
      <c r="M1720" s="9" t="s">
        <v>1121</v>
      </c>
      <c r="N1720" s="6" t="s">
        <v>1123</v>
      </c>
      <c r="O1720" s="6" t="s">
        <v>1123</v>
      </c>
      <c r="P1720" s="9" t="s">
        <v>41</v>
      </c>
      <c r="Q1720" s="9" t="s">
        <v>26</v>
      </c>
      <c r="R1720" s="9" t="s">
        <v>27</v>
      </c>
      <c r="S1720" s="7" t="s">
        <v>159</v>
      </c>
      <c r="T1720" s="9" t="s">
        <v>39</v>
      </c>
      <c r="U1720" s="7">
        <v>0.59</v>
      </c>
      <c r="V1720" s="12">
        <f>C1720+1</f>
        <v>41058</v>
      </c>
      <c r="W1720">
        <f>IF(D1720=' Pivot Tables'!$A$4,1,0)</f>
        <v>0</v>
      </c>
      <c r="X1720">
        <f>IF(AND(LEFT(D1720,4)+1=LEFT(' Pivot Tables'!$A$4,4)+0,RIGHT(LEFT(D1720,7),2)=RIGHT(LEFT(' Pivot Tables'!$A$4,7),2)),1,0)</f>
        <v>0</v>
      </c>
      <c r="Y1720" s="6">
        <f>1/COUNTIF(Таблица1[Order ID],Таблица1[[#This Row],[Order ID]])</f>
        <v>0.5</v>
      </c>
      <c r="Z1720" s="9">
        <f>1/COUNTIFS(Таблица1[Customer Name],Таблица1[[#This Row],[Customer Name]],Таблица1[Order-Year-Month],Таблица1[[#This Row],[Order-Year-Month]])</f>
        <v>0.5</v>
      </c>
    </row>
    <row r="1721" spans="1:26" x14ac:dyDescent="0.2">
      <c r="A1721" s="6">
        <v>8386</v>
      </c>
      <c r="B1721" s="7">
        <v>59909</v>
      </c>
      <c r="C1721" s="8">
        <f>DATE(2012,12,31)-148</f>
        <v>41126</v>
      </c>
      <c r="D1721" s="8" t="str">
        <f t="shared" si="34"/>
        <v>2012-08 (август 2012)</v>
      </c>
      <c r="E1721" s="9" t="s">
        <v>21</v>
      </c>
      <c r="F1721" s="7">
        <v>11</v>
      </c>
      <c r="G1721" s="7">
        <v>1255.48</v>
      </c>
      <c r="H1721" s="7">
        <v>0.06</v>
      </c>
      <c r="I1721" s="9" t="s">
        <v>31</v>
      </c>
      <c r="J1721" s="10">
        <v>-292.6506</v>
      </c>
      <c r="K1721" s="11">
        <v>115.99</v>
      </c>
      <c r="L1721" s="11">
        <v>56.14</v>
      </c>
      <c r="M1721" s="9" t="s">
        <v>719</v>
      </c>
      <c r="N1721" s="6" t="s">
        <v>1123</v>
      </c>
      <c r="O1721" s="6" t="s">
        <v>1123</v>
      </c>
      <c r="P1721" s="9" t="s">
        <v>25</v>
      </c>
      <c r="Q1721" s="9" t="s">
        <v>42</v>
      </c>
      <c r="R1721" s="9" t="s">
        <v>210</v>
      </c>
      <c r="S1721" s="7" t="s">
        <v>482</v>
      </c>
      <c r="T1721" s="9" t="s">
        <v>36</v>
      </c>
      <c r="U1721" s="7">
        <v>0.4</v>
      </c>
      <c r="V1721" s="12">
        <f>C1721+2</f>
        <v>41128</v>
      </c>
      <c r="W1721">
        <f>IF(D1721=' Pivot Tables'!$A$4,1,0)</f>
        <v>0</v>
      </c>
      <c r="X1721">
        <f>IF(AND(LEFT(D1721,4)+1=LEFT(' Pivot Tables'!$A$4,4)+0,RIGHT(LEFT(D1721,7),2)=RIGHT(LEFT(' Pivot Tables'!$A$4,7),2)),1,0)</f>
        <v>0</v>
      </c>
      <c r="Y1721" s="6">
        <f>1/COUNTIF(Таблица1[Order ID],Таблица1[[#This Row],[Order ID]])</f>
        <v>0.5</v>
      </c>
      <c r="Z1721" s="9">
        <f>1/COUNTIFS(Таблица1[Customer Name],Таблица1[[#This Row],[Customer Name]],Таблица1[Order-Year-Month],Таблица1[[#This Row],[Order-Year-Month]])</f>
        <v>0.5</v>
      </c>
    </row>
    <row r="1722" spans="1:26" x14ac:dyDescent="0.2">
      <c r="A1722" s="6">
        <v>8387</v>
      </c>
      <c r="B1722" s="7">
        <v>59909</v>
      </c>
      <c r="C1722" s="8">
        <f>DATE(2012,12,31)-148</f>
        <v>41126</v>
      </c>
      <c r="D1722" s="8" t="str">
        <f t="shared" si="34"/>
        <v>2012-08 (август 2012)</v>
      </c>
      <c r="E1722" s="9" t="s">
        <v>21</v>
      </c>
      <c r="F1722" s="7">
        <v>46</v>
      </c>
      <c r="G1722" s="7">
        <v>411.56</v>
      </c>
      <c r="H1722" s="7">
        <v>0.09</v>
      </c>
      <c r="I1722" s="9" t="s">
        <v>56</v>
      </c>
      <c r="J1722" s="10">
        <v>-188.02</v>
      </c>
      <c r="K1722" s="11">
        <v>9.3800000000000008</v>
      </c>
      <c r="L1722" s="11">
        <v>7.28</v>
      </c>
      <c r="M1722" s="9" t="s">
        <v>719</v>
      </c>
      <c r="N1722" s="6" t="s">
        <v>1123</v>
      </c>
      <c r="O1722" s="6" t="s">
        <v>1123</v>
      </c>
      <c r="P1722" s="9" t="s">
        <v>25</v>
      </c>
      <c r="Q1722" s="9" t="s">
        <v>26</v>
      </c>
      <c r="R1722" s="9" t="s">
        <v>27</v>
      </c>
      <c r="S1722" s="7" t="s">
        <v>981</v>
      </c>
      <c r="T1722" s="9" t="s">
        <v>39</v>
      </c>
      <c r="U1722" s="7">
        <v>0.56999999999999995</v>
      </c>
      <c r="V1722" s="12">
        <f>C1722+7</f>
        <v>41133</v>
      </c>
      <c r="W1722">
        <f>IF(D1722=' Pivot Tables'!$A$4,1,0)</f>
        <v>0</v>
      </c>
      <c r="X1722">
        <f>IF(AND(LEFT(D1722,4)+1=LEFT(' Pivot Tables'!$A$4,4)+0,RIGHT(LEFT(D1722,7),2)=RIGHT(LEFT(' Pivot Tables'!$A$4,7),2)),1,0)</f>
        <v>0</v>
      </c>
      <c r="Y1722" s="6">
        <f>1/COUNTIF(Таблица1[Order ID],Таблица1[[#This Row],[Order ID]])</f>
        <v>0.5</v>
      </c>
      <c r="Z1722" s="9">
        <f>1/COUNTIFS(Таблица1[Customer Name],Таблица1[[#This Row],[Customer Name]],Таблица1[Order-Year-Month],Таблица1[[#This Row],[Order-Year-Month]])</f>
        <v>0.5</v>
      </c>
    </row>
    <row r="1723" spans="1:26" x14ac:dyDescent="0.2">
      <c r="A1723" s="6">
        <v>184</v>
      </c>
      <c r="B1723" s="7">
        <v>1218</v>
      </c>
      <c r="C1723" s="8">
        <f>DATE(2012,12,31)-1291</f>
        <v>39983</v>
      </c>
      <c r="D1723" s="8" t="str">
        <f t="shared" si="34"/>
        <v>2009-06 (июнь 2009)</v>
      </c>
      <c r="E1723" s="9" t="s">
        <v>45</v>
      </c>
      <c r="F1723" s="7">
        <v>3</v>
      </c>
      <c r="G1723" s="7">
        <v>46.46</v>
      </c>
      <c r="H1723" s="7">
        <v>0.1</v>
      </c>
      <c r="I1723" s="9" t="s">
        <v>22</v>
      </c>
      <c r="J1723" s="10">
        <v>-25.13</v>
      </c>
      <c r="K1723" s="11">
        <v>14.42</v>
      </c>
      <c r="L1723" s="11">
        <v>6.75</v>
      </c>
      <c r="M1723" s="9" t="s">
        <v>1157</v>
      </c>
      <c r="N1723" s="6" t="s">
        <v>1123</v>
      </c>
      <c r="O1723" s="6" t="s">
        <v>1123</v>
      </c>
      <c r="P1723" s="9" t="s">
        <v>41</v>
      </c>
      <c r="Q1723" s="9" t="s">
        <v>26</v>
      </c>
      <c r="R1723" s="9" t="s">
        <v>34</v>
      </c>
      <c r="S1723" s="7" t="s">
        <v>1036</v>
      </c>
      <c r="T1723" s="9" t="s">
        <v>48</v>
      </c>
      <c r="U1723" s="7">
        <v>0.52</v>
      </c>
      <c r="V1723" s="12">
        <f>C1723+3</f>
        <v>39986</v>
      </c>
      <c r="W1723">
        <f>IF(D1723=' Pivot Tables'!$A$4,1,0)</f>
        <v>0</v>
      </c>
      <c r="X1723">
        <f>IF(AND(LEFT(D1723,4)+1=LEFT(' Pivot Tables'!$A$4,4)+0,RIGHT(LEFT(D1723,7),2)=RIGHT(LEFT(' Pivot Tables'!$A$4,7),2)),1,0)</f>
        <v>0</v>
      </c>
      <c r="Y1723" s="6">
        <f>1/COUNTIF(Таблица1[Order ID],Таблица1[[#This Row],[Order ID]])</f>
        <v>1</v>
      </c>
      <c r="Z1723" s="9">
        <f>1/COUNTIFS(Таблица1[Customer Name],Таблица1[[#This Row],[Customer Name]],Таблица1[Order-Year-Month],Таблица1[[#This Row],[Order-Year-Month]])</f>
        <v>0.33333333333333331</v>
      </c>
    </row>
    <row r="1724" spans="1:26" x14ac:dyDescent="0.2">
      <c r="A1724" s="6">
        <v>237</v>
      </c>
      <c r="B1724" s="7">
        <v>1600</v>
      </c>
      <c r="C1724" s="8">
        <f>DATE(2012,12,31)-1035</f>
        <v>40239</v>
      </c>
      <c r="D1724" s="8" t="str">
        <f t="shared" si="34"/>
        <v>2010-03 (март 2010)</v>
      </c>
      <c r="E1724" s="9" t="s">
        <v>63</v>
      </c>
      <c r="F1724" s="7">
        <v>32</v>
      </c>
      <c r="G1724" s="7">
        <v>303.58999999999997</v>
      </c>
      <c r="H1724" s="7">
        <v>0.1</v>
      </c>
      <c r="I1724" s="9" t="s">
        <v>22</v>
      </c>
      <c r="J1724" s="10">
        <v>-45.99</v>
      </c>
      <c r="K1724" s="11">
        <v>9.65</v>
      </c>
      <c r="L1724" s="11">
        <v>6.22</v>
      </c>
      <c r="M1724" s="9" t="s">
        <v>1158</v>
      </c>
      <c r="N1724" s="6" t="s">
        <v>1123</v>
      </c>
      <c r="O1724" s="6" t="s">
        <v>1123</v>
      </c>
      <c r="P1724" s="9" t="s">
        <v>41</v>
      </c>
      <c r="Q1724" s="9" t="s">
        <v>49</v>
      </c>
      <c r="R1724" s="9" t="s">
        <v>50</v>
      </c>
      <c r="S1724" s="7" t="s">
        <v>138</v>
      </c>
      <c r="T1724" s="9" t="s">
        <v>39</v>
      </c>
      <c r="U1724" s="7">
        <v>0.55000000000000004</v>
      </c>
      <c r="V1724" s="12">
        <f>C1724+2</f>
        <v>40241</v>
      </c>
      <c r="W1724">
        <f>IF(D1724=' Pivot Tables'!$A$4,1,0)</f>
        <v>0</v>
      </c>
      <c r="X1724">
        <f>IF(AND(LEFT(D1724,4)+1=LEFT(' Pivot Tables'!$A$4,4)+0,RIGHT(LEFT(D1724,7),2)=RIGHT(LEFT(' Pivot Tables'!$A$4,7),2)),1,0)</f>
        <v>0</v>
      </c>
      <c r="Y1724" s="6">
        <f>1/COUNTIF(Таблица1[Order ID],Таблица1[[#This Row],[Order ID]])</f>
        <v>0.5</v>
      </c>
      <c r="Z1724" s="9">
        <f>1/COUNTIFS(Таблица1[Customer Name],Таблица1[[#This Row],[Customer Name]],Таблица1[Order-Year-Month],Таблица1[[#This Row],[Order-Year-Month]])</f>
        <v>0.5</v>
      </c>
    </row>
    <row r="1725" spans="1:26" x14ac:dyDescent="0.2">
      <c r="A1725" s="6">
        <v>238</v>
      </c>
      <c r="B1725" s="7">
        <v>1600</v>
      </c>
      <c r="C1725" s="8">
        <f>DATE(2012,12,31)-1035</f>
        <v>40239</v>
      </c>
      <c r="D1725" s="8" t="str">
        <f t="shared" si="34"/>
        <v>2010-03 (март 2010)</v>
      </c>
      <c r="E1725" s="9" t="s">
        <v>63</v>
      </c>
      <c r="F1725" s="7">
        <v>36</v>
      </c>
      <c r="G1725" s="7">
        <v>191.6</v>
      </c>
      <c r="H1725" s="7">
        <v>0.04</v>
      </c>
      <c r="I1725" s="9" t="s">
        <v>22</v>
      </c>
      <c r="J1725" s="10">
        <v>-150.74</v>
      </c>
      <c r="K1725" s="11">
        <v>4.9800000000000004</v>
      </c>
      <c r="L1725" s="11">
        <v>7.44</v>
      </c>
      <c r="M1725" s="9" t="s">
        <v>1158</v>
      </c>
      <c r="N1725" s="6" t="s">
        <v>1123</v>
      </c>
      <c r="O1725" s="6" t="s">
        <v>1123</v>
      </c>
      <c r="P1725" s="9" t="s">
        <v>41</v>
      </c>
      <c r="Q1725" s="9" t="s">
        <v>26</v>
      </c>
      <c r="R1725" s="9" t="s">
        <v>61</v>
      </c>
      <c r="S1725" s="7" t="s">
        <v>1159</v>
      </c>
      <c r="T1725" s="9" t="s">
        <v>39</v>
      </c>
      <c r="U1725" s="7">
        <v>0.36</v>
      </c>
      <c r="V1725" s="12">
        <f>C1725+1</f>
        <v>40240</v>
      </c>
      <c r="W1725">
        <f>IF(D1725=' Pivot Tables'!$A$4,1,0)</f>
        <v>0</v>
      </c>
      <c r="X1725">
        <f>IF(AND(LEFT(D1725,4)+1=LEFT(' Pivot Tables'!$A$4,4)+0,RIGHT(LEFT(D1725,7),2)=RIGHT(LEFT(' Pivot Tables'!$A$4,7),2)),1,0)</f>
        <v>0</v>
      </c>
      <c r="Y1725" s="6">
        <f>1/COUNTIF(Таблица1[Order ID],Таблица1[[#This Row],[Order ID]])</f>
        <v>0.5</v>
      </c>
      <c r="Z1725" s="9">
        <f>1/COUNTIFS(Таблица1[Customer Name],Таблица1[[#This Row],[Customer Name]],Таблица1[Order-Year-Month],Таблица1[[#This Row],[Order-Year-Month]])</f>
        <v>0.5</v>
      </c>
    </row>
    <row r="1726" spans="1:26" x14ac:dyDescent="0.2">
      <c r="A1726" s="6">
        <v>347</v>
      </c>
      <c r="B1726" s="7">
        <v>2373</v>
      </c>
      <c r="C1726" s="8">
        <f>DATE(2012,12,31)-1391</f>
        <v>39883</v>
      </c>
      <c r="D1726" s="8" t="str">
        <f t="shared" si="34"/>
        <v>2009-03 (март 2009)</v>
      </c>
      <c r="E1726" s="9" t="s">
        <v>45</v>
      </c>
      <c r="F1726" s="7">
        <v>36</v>
      </c>
      <c r="G1726" s="7">
        <v>317.58999999999997</v>
      </c>
      <c r="H1726" s="7">
        <v>0.06</v>
      </c>
      <c r="I1726" s="9" t="s">
        <v>22</v>
      </c>
      <c r="J1726" s="10">
        <v>-46.115000000000002</v>
      </c>
      <c r="K1726" s="11">
        <v>8.6</v>
      </c>
      <c r="L1726" s="11">
        <v>6.19</v>
      </c>
      <c r="M1726" s="9" t="s">
        <v>1157</v>
      </c>
      <c r="N1726" s="6" t="s">
        <v>1123</v>
      </c>
      <c r="O1726" s="6" t="s">
        <v>1123</v>
      </c>
      <c r="P1726" s="9" t="s">
        <v>41</v>
      </c>
      <c r="Q1726" s="9" t="s">
        <v>26</v>
      </c>
      <c r="R1726" s="9" t="s">
        <v>37</v>
      </c>
      <c r="S1726" s="7" t="s">
        <v>872</v>
      </c>
      <c r="T1726" s="9" t="s">
        <v>39</v>
      </c>
      <c r="U1726" s="7">
        <v>0.38</v>
      </c>
      <c r="V1726" s="12">
        <f>C1726+1</f>
        <v>39884</v>
      </c>
      <c r="W1726">
        <f>IF(D1726=' Pivot Tables'!$A$4,1,0)</f>
        <v>0</v>
      </c>
      <c r="X1726">
        <f>IF(AND(LEFT(D1726,4)+1=LEFT(' Pivot Tables'!$A$4,4)+0,RIGHT(LEFT(D1726,7),2)=RIGHT(LEFT(' Pivot Tables'!$A$4,7),2)),1,0)</f>
        <v>0</v>
      </c>
      <c r="Y1726" s="6">
        <f>1/COUNTIF(Таблица1[Order ID],Таблица1[[#This Row],[Order ID]])</f>
        <v>1</v>
      </c>
      <c r="Z1726" s="9">
        <f>1/COUNTIFS(Таблица1[Customer Name],Таблица1[[#This Row],[Customer Name]],Таблица1[Order-Year-Month],Таблица1[[#This Row],[Order-Year-Month]])</f>
        <v>1</v>
      </c>
    </row>
    <row r="1727" spans="1:26" x14ac:dyDescent="0.2">
      <c r="A1727" s="6">
        <v>377</v>
      </c>
      <c r="B1727" s="7">
        <v>2626</v>
      </c>
      <c r="C1727" s="8">
        <f>DATE(2012,12,31)-481</f>
        <v>40793</v>
      </c>
      <c r="D1727" s="8" t="str">
        <f t="shared" si="34"/>
        <v>2011-09 (сентябрь 2011)</v>
      </c>
      <c r="E1727" s="9" t="s">
        <v>45</v>
      </c>
      <c r="F1727" s="7">
        <v>16</v>
      </c>
      <c r="G1727" s="7">
        <v>48.37</v>
      </c>
      <c r="H1727" s="7">
        <v>0.02</v>
      </c>
      <c r="I1727" s="9" t="s">
        <v>22</v>
      </c>
      <c r="J1727" s="10">
        <v>18.02</v>
      </c>
      <c r="K1727" s="11">
        <v>2.88</v>
      </c>
      <c r="L1727" s="11">
        <v>0.5</v>
      </c>
      <c r="M1727" s="9" t="s">
        <v>1160</v>
      </c>
      <c r="N1727" s="6" t="s">
        <v>1123</v>
      </c>
      <c r="O1727" s="6" t="s">
        <v>1123</v>
      </c>
      <c r="P1727" s="9" t="s">
        <v>25</v>
      </c>
      <c r="Q1727" s="9" t="s">
        <v>26</v>
      </c>
      <c r="R1727" s="9" t="s">
        <v>88</v>
      </c>
      <c r="S1727" s="7" t="s">
        <v>1161</v>
      </c>
      <c r="T1727" s="9" t="s">
        <v>39</v>
      </c>
      <c r="U1727" s="7">
        <v>0.36</v>
      </c>
      <c r="V1727" s="12">
        <f>C1727+2</f>
        <v>40795</v>
      </c>
      <c r="W1727">
        <f>IF(D1727=' Pivot Tables'!$A$4,1,0)</f>
        <v>0</v>
      </c>
      <c r="X1727">
        <f>IF(AND(LEFT(D1727,4)+1=LEFT(' Pivot Tables'!$A$4,4)+0,RIGHT(LEFT(D1727,7),2)=RIGHT(LEFT(' Pivot Tables'!$A$4,7),2)),1,0)</f>
        <v>0</v>
      </c>
      <c r="Y1727" s="6">
        <f>1/COUNTIF(Таблица1[Order ID],Таблица1[[#This Row],[Order ID]])</f>
        <v>1</v>
      </c>
      <c r="Z1727" s="9">
        <f>1/COUNTIFS(Таблица1[Customer Name],Таблица1[[#This Row],[Customer Name]],Таблица1[Order-Year-Month],Таблица1[[#This Row],[Order-Year-Month]])</f>
        <v>1</v>
      </c>
    </row>
    <row r="1728" spans="1:26" x14ac:dyDescent="0.2">
      <c r="A1728" s="6">
        <v>458</v>
      </c>
      <c r="B1728" s="7">
        <v>3109</v>
      </c>
      <c r="C1728" s="8">
        <f>DATE(2012,12,31)-892</f>
        <v>40382</v>
      </c>
      <c r="D1728" s="8" t="str">
        <f t="shared" si="34"/>
        <v>2010-07 (июль 2010)</v>
      </c>
      <c r="E1728" s="9" t="s">
        <v>21</v>
      </c>
      <c r="F1728" s="7">
        <v>47</v>
      </c>
      <c r="G1728" s="7">
        <v>1005.74</v>
      </c>
      <c r="H1728" s="7">
        <v>0.1</v>
      </c>
      <c r="I1728" s="9" t="s">
        <v>22</v>
      </c>
      <c r="J1728" s="10">
        <v>199.3</v>
      </c>
      <c r="K1728" s="11">
        <v>22.23</v>
      </c>
      <c r="L1728" s="11">
        <v>8.99</v>
      </c>
      <c r="M1728" s="9" t="s">
        <v>1158</v>
      </c>
      <c r="N1728" s="6" t="s">
        <v>1123</v>
      </c>
      <c r="O1728" s="6" t="s">
        <v>1123</v>
      </c>
      <c r="P1728" s="9" t="s">
        <v>41</v>
      </c>
      <c r="Q1728" s="9" t="s">
        <v>49</v>
      </c>
      <c r="R1728" s="9" t="s">
        <v>50</v>
      </c>
      <c r="S1728" s="7" t="s">
        <v>960</v>
      </c>
      <c r="T1728" s="9" t="s">
        <v>52</v>
      </c>
      <c r="U1728" s="7">
        <v>0.41</v>
      </c>
      <c r="V1728" s="12">
        <f>C1728+7</f>
        <v>40389</v>
      </c>
      <c r="W1728">
        <f>IF(D1728=' Pivot Tables'!$A$4,1,0)</f>
        <v>0</v>
      </c>
      <c r="X1728">
        <f>IF(AND(LEFT(D1728,4)+1=LEFT(' Pivot Tables'!$A$4,4)+0,RIGHT(LEFT(D1728,7),2)=RIGHT(LEFT(' Pivot Tables'!$A$4,7),2)),1,0)</f>
        <v>0</v>
      </c>
      <c r="Y1728" s="6">
        <f>1/COUNTIF(Таблица1[Order ID],Таблица1[[#This Row],[Order ID]])</f>
        <v>0.5</v>
      </c>
      <c r="Z1728" s="9">
        <f>1/COUNTIFS(Таблица1[Customer Name],Таблица1[[#This Row],[Customer Name]],Таблица1[Order-Year-Month],Таблица1[[#This Row],[Order-Year-Month]])</f>
        <v>0.5</v>
      </c>
    </row>
    <row r="1729" spans="1:26" x14ac:dyDescent="0.2">
      <c r="A1729" s="6">
        <v>459</v>
      </c>
      <c r="B1729" s="7">
        <v>3109</v>
      </c>
      <c r="C1729" s="8">
        <f>DATE(2012,12,31)-892</f>
        <v>40382</v>
      </c>
      <c r="D1729" s="8" t="str">
        <f t="shared" si="34"/>
        <v>2010-07 (июль 2010)</v>
      </c>
      <c r="E1729" s="9" t="s">
        <v>21</v>
      </c>
      <c r="F1729" s="7">
        <v>37</v>
      </c>
      <c r="G1729" s="7">
        <v>6477.7394999999997</v>
      </c>
      <c r="H1729" s="7">
        <v>0.01</v>
      </c>
      <c r="I1729" s="9" t="s">
        <v>22</v>
      </c>
      <c r="J1729" s="10">
        <v>1653.9659999999999</v>
      </c>
      <c r="K1729" s="11">
        <v>205.99</v>
      </c>
      <c r="L1729" s="11">
        <v>8.99</v>
      </c>
      <c r="M1729" s="9" t="s">
        <v>1158</v>
      </c>
      <c r="N1729" s="6" t="s">
        <v>1123</v>
      </c>
      <c r="O1729" s="6" t="s">
        <v>1123</v>
      </c>
      <c r="P1729" s="9" t="s">
        <v>41</v>
      </c>
      <c r="Q1729" s="9" t="s">
        <v>42</v>
      </c>
      <c r="R1729" s="9" t="s">
        <v>43</v>
      </c>
      <c r="S1729" s="7" t="s">
        <v>1162</v>
      </c>
      <c r="T1729" s="9" t="s">
        <v>39</v>
      </c>
      <c r="U1729" s="7">
        <v>0.57999999999999996</v>
      </c>
      <c r="V1729" s="12">
        <f>C1729+7</f>
        <v>40389</v>
      </c>
      <c r="W1729">
        <f>IF(D1729=' Pivot Tables'!$A$4,1,0)</f>
        <v>0</v>
      </c>
      <c r="X1729">
        <f>IF(AND(LEFT(D1729,4)+1=LEFT(' Pivot Tables'!$A$4,4)+0,RIGHT(LEFT(D1729,7),2)=RIGHT(LEFT(' Pivot Tables'!$A$4,7),2)),1,0)</f>
        <v>0</v>
      </c>
      <c r="Y1729" s="6">
        <f>1/COUNTIF(Таблица1[Order ID],Таблица1[[#This Row],[Order ID]])</f>
        <v>0.5</v>
      </c>
      <c r="Z1729" s="9">
        <f>1/COUNTIFS(Таблица1[Customer Name],Таблица1[[#This Row],[Customer Name]],Таблица1[Order-Year-Month],Таблица1[[#This Row],[Order-Year-Month]])</f>
        <v>0.5</v>
      </c>
    </row>
    <row r="1730" spans="1:26" x14ac:dyDescent="0.2">
      <c r="A1730" s="6">
        <v>555</v>
      </c>
      <c r="B1730" s="7">
        <v>3777</v>
      </c>
      <c r="C1730" s="8">
        <f>DATE(2012,12,31)-1364</f>
        <v>39910</v>
      </c>
      <c r="D1730" s="8" t="str">
        <f t="shared" si="34"/>
        <v>2009-04 (апрель 2009)</v>
      </c>
      <c r="E1730" s="9" t="s">
        <v>63</v>
      </c>
      <c r="F1730" s="7">
        <v>14</v>
      </c>
      <c r="G1730" s="7">
        <v>244.85</v>
      </c>
      <c r="H1730" s="7">
        <v>0.06</v>
      </c>
      <c r="I1730" s="9" t="s">
        <v>56</v>
      </c>
      <c r="J1730" s="10">
        <v>38.06</v>
      </c>
      <c r="K1730" s="11">
        <v>17.670000000000002</v>
      </c>
      <c r="L1730" s="11">
        <v>8.99</v>
      </c>
      <c r="M1730" s="9" t="s">
        <v>1160</v>
      </c>
      <c r="N1730" s="6" t="s">
        <v>1123</v>
      </c>
      <c r="O1730" s="6" t="s">
        <v>1123</v>
      </c>
      <c r="P1730" s="9" t="s">
        <v>25</v>
      </c>
      <c r="Q1730" s="9" t="s">
        <v>49</v>
      </c>
      <c r="R1730" s="9" t="s">
        <v>50</v>
      </c>
      <c r="S1730" s="7" t="s">
        <v>763</v>
      </c>
      <c r="T1730" s="9" t="s">
        <v>52</v>
      </c>
      <c r="U1730" s="7">
        <v>0.47</v>
      </c>
      <c r="V1730" s="12">
        <f>C1730+1</f>
        <v>39911</v>
      </c>
      <c r="W1730">
        <f>IF(D1730=' Pivot Tables'!$A$4,1,0)</f>
        <v>0</v>
      </c>
      <c r="X1730">
        <f>IF(AND(LEFT(D1730,4)+1=LEFT(' Pivot Tables'!$A$4,4)+0,RIGHT(LEFT(D1730,7),2)=RIGHT(LEFT(' Pivot Tables'!$A$4,7),2)),1,0)</f>
        <v>0</v>
      </c>
      <c r="Y1730" s="6">
        <f>1/COUNTIF(Таблица1[Order ID],Таблица1[[#This Row],[Order ID]])</f>
        <v>1</v>
      </c>
      <c r="Z1730" s="9">
        <f>1/COUNTIFS(Таблица1[Customer Name],Таблица1[[#This Row],[Customer Name]],Таблица1[Order-Year-Month],Таблица1[[#This Row],[Order-Year-Month]])</f>
        <v>1</v>
      </c>
    </row>
    <row r="1731" spans="1:26" x14ac:dyDescent="0.2">
      <c r="A1731" s="6">
        <v>583</v>
      </c>
      <c r="B1731" s="7">
        <v>3973</v>
      </c>
      <c r="C1731" s="8">
        <f>DATE(2012,12,31)-283</f>
        <v>40991</v>
      </c>
      <c r="D1731" s="8" t="str">
        <f t="shared" ref="D1731:D1794" si="35">TEXT(C1731,"гггг-ММ (ММММ гггг)")</f>
        <v>2012-03 (март 2012)</v>
      </c>
      <c r="E1731" s="9" t="s">
        <v>45</v>
      </c>
      <c r="F1731" s="7">
        <v>21</v>
      </c>
      <c r="G1731" s="7">
        <v>316.35000000000002</v>
      </c>
      <c r="H1731" s="7">
        <v>0.06</v>
      </c>
      <c r="I1731" s="9" t="s">
        <v>22</v>
      </c>
      <c r="J1731" s="10">
        <v>117.91</v>
      </c>
      <c r="K1731" s="11">
        <v>15.68</v>
      </c>
      <c r="L1731" s="11">
        <v>3.73</v>
      </c>
      <c r="M1731" s="9" t="s">
        <v>1163</v>
      </c>
      <c r="N1731" s="6" t="s">
        <v>1123</v>
      </c>
      <c r="O1731" s="6" t="s">
        <v>1123</v>
      </c>
      <c r="P1731" s="9" t="s">
        <v>41</v>
      </c>
      <c r="Q1731" s="9" t="s">
        <v>49</v>
      </c>
      <c r="R1731" s="9" t="s">
        <v>50</v>
      </c>
      <c r="S1731" s="7" t="s">
        <v>1044</v>
      </c>
      <c r="T1731" s="9" t="s">
        <v>52</v>
      </c>
      <c r="U1731" s="7">
        <v>0.46</v>
      </c>
      <c r="V1731" s="12">
        <f>C1731+2</f>
        <v>40993</v>
      </c>
      <c r="W1731">
        <f>IF(D1731=' Pivot Tables'!$A$4,1,0)</f>
        <v>0</v>
      </c>
      <c r="X1731">
        <f>IF(AND(LEFT(D1731,4)+1=LEFT(' Pivot Tables'!$A$4,4)+0,RIGHT(LEFT(D1731,7),2)=RIGHT(LEFT(' Pivot Tables'!$A$4,7),2)),1,0)</f>
        <v>0</v>
      </c>
      <c r="Y1731" s="6">
        <f>1/COUNTIF(Таблица1[Order ID],Таблица1[[#This Row],[Order ID]])</f>
        <v>1</v>
      </c>
      <c r="Z1731" s="9">
        <f>1/COUNTIFS(Таблица1[Customer Name],Таблица1[[#This Row],[Customer Name]],Таблица1[Order-Year-Month],Таблица1[[#This Row],[Order-Year-Month]])</f>
        <v>1</v>
      </c>
    </row>
    <row r="1732" spans="1:26" x14ac:dyDescent="0.2">
      <c r="A1732" s="6">
        <v>704</v>
      </c>
      <c r="B1732" s="7">
        <v>4932</v>
      </c>
      <c r="C1732" s="8">
        <f>DATE(2012,12,31)-875</f>
        <v>40399</v>
      </c>
      <c r="D1732" s="8" t="str">
        <f t="shared" si="35"/>
        <v>2010-08 (август 2010)</v>
      </c>
      <c r="E1732" s="9" t="s">
        <v>78</v>
      </c>
      <c r="F1732" s="7">
        <v>11</v>
      </c>
      <c r="G1732" s="7">
        <v>109.37</v>
      </c>
      <c r="H1732" s="7">
        <v>7.0000000000000007E-2</v>
      </c>
      <c r="I1732" s="9" t="s">
        <v>22</v>
      </c>
      <c r="J1732" s="10">
        <v>25.96</v>
      </c>
      <c r="K1732" s="11">
        <v>10.31</v>
      </c>
      <c r="L1732" s="11">
        <v>1.79</v>
      </c>
      <c r="M1732" s="9" t="s">
        <v>1163</v>
      </c>
      <c r="N1732" s="6" t="s">
        <v>1123</v>
      </c>
      <c r="O1732" s="6" t="s">
        <v>1123</v>
      </c>
      <c r="P1732" s="9" t="s">
        <v>41</v>
      </c>
      <c r="Q1732" s="9" t="s">
        <v>26</v>
      </c>
      <c r="R1732" s="9" t="s">
        <v>61</v>
      </c>
      <c r="S1732" s="7" t="s">
        <v>282</v>
      </c>
      <c r="T1732" s="9" t="s">
        <v>68</v>
      </c>
      <c r="U1732" s="7">
        <v>0.38</v>
      </c>
      <c r="V1732" s="12">
        <f>C1732+2</f>
        <v>40401</v>
      </c>
      <c r="W1732">
        <f>IF(D1732=' Pivot Tables'!$A$4,1,0)</f>
        <v>0</v>
      </c>
      <c r="X1732">
        <f>IF(AND(LEFT(D1732,4)+1=LEFT(' Pivot Tables'!$A$4,4)+0,RIGHT(LEFT(D1732,7),2)=RIGHT(LEFT(' Pivot Tables'!$A$4,7),2)),1,0)</f>
        <v>0</v>
      </c>
      <c r="Y1732" s="6">
        <f>1/COUNTIF(Таблица1[Order ID],Таблица1[[#This Row],[Order ID]])</f>
        <v>1</v>
      </c>
      <c r="Z1732" s="9">
        <f>1/COUNTIFS(Таблица1[Customer Name],Таблица1[[#This Row],[Customer Name]],Таблица1[Order-Year-Month],Таблица1[[#This Row],[Order-Year-Month]])</f>
        <v>1</v>
      </c>
    </row>
    <row r="1733" spans="1:26" x14ac:dyDescent="0.2">
      <c r="A1733" s="6">
        <v>999</v>
      </c>
      <c r="B1733" s="7">
        <v>7239</v>
      </c>
      <c r="C1733" s="8">
        <f>DATE(2012,12,31)-551</f>
        <v>40723</v>
      </c>
      <c r="D1733" s="8" t="str">
        <f t="shared" si="35"/>
        <v>2011-06 (июнь 2011)</v>
      </c>
      <c r="E1733" s="9" t="s">
        <v>63</v>
      </c>
      <c r="F1733" s="7">
        <v>50</v>
      </c>
      <c r="G1733" s="7">
        <v>6206.16</v>
      </c>
      <c r="H1733" s="7">
        <v>0.03</v>
      </c>
      <c r="I1733" s="9" t="s">
        <v>22</v>
      </c>
      <c r="J1733" s="10">
        <v>1416.27</v>
      </c>
      <c r="K1733" s="11">
        <v>120.33</v>
      </c>
      <c r="L1733" s="11">
        <v>19.989999999999998</v>
      </c>
      <c r="M1733" s="9" t="s">
        <v>1157</v>
      </c>
      <c r="N1733" s="6" t="s">
        <v>1123</v>
      </c>
      <c r="O1733" s="6" t="s">
        <v>1123</v>
      </c>
      <c r="P1733" s="9" t="s">
        <v>25</v>
      </c>
      <c r="Q1733" s="9" t="s">
        <v>26</v>
      </c>
      <c r="R1733" s="9" t="s">
        <v>27</v>
      </c>
      <c r="S1733" s="7" t="s">
        <v>1148</v>
      </c>
      <c r="T1733" s="9" t="s">
        <v>39</v>
      </c>
      <c r="U1733" s="7">
        <v>0.59</v>
      </c>
      <c r="V1733" s="12">
        <f>C1733+2</f>
        <v>40725</v>
      </c>
      <c r="W1733">
        <f>IF(D1733=' Pivot Tables'!$A$4,1,0)</f>
        <v>0</v>
      </c>
      <c r="X1733">
        <f>IF(AND(LEFT(D1733,4)+1=LEFT(' Pivot Tables'!$A$4,4)+0,RIGHT(LEFT(D1733,7),2)=RIGHT(LEFT(' Pivot Tables'!$A$4,7),2)),1,0)</f>
        <v>0</v>
      </c>
      <c r="Y1733" s="6">
        <f>1/COUNTIF(Таблица1[Order ID],Таблица1[[#This Row],[Order ID]])</f>
        <v>1</v>
      </c>
      <c r="Z1733" s="9">
        <f>1/COUNTIFS(Таблица1[Customer Name],Таблица1[[#This Row],[Customer Name]],Таблица1[Order-Year-Month],Таблица1[[#This Row],[Order-Year-Month]])</f>
        <v>1</v>
      </c>
    </row>
    <row r="1734" spans="1:26" x14ac:dyDescent="0.2">
      <c r="A1734" s="6">
        <v>1246</v>
      </c>
      <c r="B1734" s="7">
        <v>9088</v>
      </c>
      <c r="C1734" s="8">
        <f>DATE(2012,12,31)-1288</f>
        <v>39986</v>
      </c>
      <c r="D1734" s="8" t="str">
        <f t="shared" si="35"/>
        <v>2009-06 (июнь 2009)</v>
      </c>
      <c r="E1734" s="9" t="s">
        <v>78</v>
      </c>
      <c r="F1734" s="7">
        <v>50</v>
      </c>
      <c r="G1734" s="7">
        <v>15383.7</v>
      </c>
      <c r="H1734" s="7">
        <v>0.03</v>
      </c>
      <c r="I1734" s="9" t="s">
        <v>22</v>
      </c>
      <c r="J1734" s="10">
        <v>6523.2569999999996</v>
      </c>
      <c r="K1734" s="11">
        <v>304.99</v>
      </c>
      <c r="L1734" s="11">
        <v>19.989999999999998</v>
      </c>
      <c r="M1734" s="9" t="s">
        <v>1164</v>
      </c>
      <c r="N1734" s="6" t="s">
        <v>1123</v>
      </c>
      <c r="O1734" s="6" t="s">
        <v>1123</v>
      </c>
      <c r="P1734" s="9" t="s">
        <v>60</v>
      </c>
      <c r="Q1734" s="9" t="s">
        <v>26</v>
      </c>
      <c r="R1734" s="9" t="s">
        <v>37</v>
      </c>
      <c r="S1734" s="7" t="s">
        <v>1165</v>
      </c>
      <c r="T1734" s="9" t="s">
        <v>39</v>
      </c>
      <c r="U1734" s="7">
        <v>0.4</v>
      </c>
      <c r="V1734" s="12">
        <f>C1734+2</f>
        <v>39988</v>
      </c>
      <c r="W1734">
        <f>IF(D1734=' Pivot Tables'!$A$4,1,0)</f>
        <v>0</v>
      </c>
      <c r="X1734">
        <f>IF(AND(LEFT(D1734,4)+1=LEFT(' Pivot Tables'!$A$4,4)+0,RIGHT(LEFT(D1734,7),2)=RIGHT(LEFT(' Pivot Tables'!$A$4,7),2)),1,0)</f>
        <v>0</v>
      </c>
      <c r="Y1734" s="6">
        <f>1/COUNTIF(Таблица1[Order ID],Таблица1[[#This Row],[Order ID]])</f>
        <v>0.5</v>
      </c>
      <c r="Z1734" s="9">
        <f>1/COUNTIFS(Таблица1[Customer Name],Таблица1[[#This Row],[Customer Name]],Таблица1[Order-Year-Month],Таблица1[[#This Row],[Order-Year-Month]])</f>
        <v>0.5</v>
      </c>
    </row>
    <row r="1735" spans="1:26" x14ac:dyDescent="0.2">
      <c r="A1735" s="6">
        <v>1247</v>
      </c>
      <c r="B1735" s="7">
        <v>9088</v>
      </c>
      <c r="C1735" s="8">
        <f>DATE(2012,12,31)-1288</f>
        <v>39986</v>
      </c>
      <c r="D1735" s="8" t="str">
        <f t="shared" si="35"/>
        <v>2009-06 (июнь 2009)</v>
      </c>
      <c r="E1735" s="9" t="s">
        <v>78</v>
      </c>
      <c r="F1735" s="7">
        <v>31</v>
      </c>
      <c r="G1735" s="7">
        <v>1637.4570000000001</v>
      </c>
      <c r="H1735" s="7">
        <v>0.09</v>
      </c>
      <c r="I1735" s="9" t="s">
        <v>22</v>
      </c>
      <c r="J1735" s="10">
        <v>118.152</v>
      </c>
      <c r="K1735" s="11">
        <v>65.989999999999995</v>
      </c>
      <c r="L1735" s="11">
        <v>8.99</v>
      </c>
      <c r="M1735" s="9" t="s">
        <v>1164</v>
      </c>
      <c r="N1735" s="6" t="s">
        <v>1123</v>
      </c>
      <c r="O1735" s="6" t="s">
        <v>1123</v>
      </c>
      <c r="P1735" s="9" t="s">
        <v>60</v>
      </c>
      <c r="Q1735" s="9" t="s">
        <v>42</v>
      </c>
      <c r="R1735" s="9" t="s">
        <v>43</v>
      </c>
      <c r="S1735" s="7" t="s">
        <v>596</v>
      </c>
      <c r="T1735" s="9" t="s">
        <v>39</v>
      </c>
      <c r="U1735" s="7">
        <v>0.57999999999999996</v>
      </c>
      <c r="V1735" s="12">
        <f>C1735+2</f>
        <v>39988</v>
      </c>
      <c r="W1735">
        <f>IF(D1735=' Pivot Tables'!$A$4,1,0)</f>
        <v>0</v>
      </c>
      <c r="X1735">
        <f>IF(AND(LEFT(D1735,4)+1=LEFT(' Pivot Tables'!$A$4,4)+0,RIGHT(LEFT(D1735,7),2)=RIGHT(LEFT(' Pivot Tables'!$A$4,7),2)),1,0)</f>
        <v>0</v>
      </c>
      <c r="Y1735" s="6">
        <f>1/COUNTIF(Таблица1[Order ID],Таблица1[[#This Row],[Order ID]])</f>
        <v>0.5</v>
      </c>
      <c r="Z1735" s="9">
        <f>1/COUNTIFS(Таблица1[Customer Name],Таблица1[[#This Row],[Customer Name]],Таблица1[Order-Year-Month],Таблица1[[#This Row],[Order-Year-Month]])</f>
        <v>0.5</v>
      </c>
    </row>
    <row r="1736" spans="1:26" x14ac:dyDescent="0.2">
      <c r="A1736" s="6">
        <v>1584</v>
      </c>
      <c r="B1736" s="7">
        <v>11428</v>
      </c>
      <c r="C1736" s="8">
        <f>DATE(2012,12,31)-345</f>
        <v>40929</v>
      </c>
      <c r="D1736" s="8" t="str">
        <f t="shared" si="35"/>
        <v>2012-01 (январь 2012)</v>
      </c>
      <c r="E1736" s="9" t="s">
        <v>63</v>
      </c>
      <c r="F1736" s="7">
        <v>16</v>
      </c>
      <c r="G1736" s="7">
        <v>1554.53</v>
      </c>
      <c r="H1736" s="7">
        <v>0</v>
      </c>
      <c r="I1736" s="9" t="s">
        <v>22</v>
      </c>
      <c r="J1736" s="10">
        <v>474.66</v>
      </c>
      <c r="K1736" s="11">
        <v>90.48</v>
      </c>
      <c r="L1736" s="11">
        <v>19.989999999999998</v>
      </c>
      <c r="M1736" s="9" t="s">
        <v>1166</v>
      </c>
      <c r="N1736" s="6" t="s">
        <v>1123</v>
      </c>
      <c r="O1736" s="6" t="s">
        <v>1123</v>
      </c>
      <c r="P1736" s="9" t="s">
        <v>25</v>
      </c>
      <c r="Q1736" s="9" t="s">
        <v>26</v>
      </c>
      <c r="R1736" s="9" t="s">
        <v>76</v>
      </c>
      <c r="S1736" s="7" t="s">
        <v>1167</v>
      </c>
      <c r="T1736" s="9" t="s">
        <v>39</v>
      </c>
      <c r="U1736" s="7">
        <v>0.4</v>
      </c>
      <c r="V1736" s="12">
        <f>C1736+0</f>
        <v>40929</v>
      </c>
      <c r="W1736">
        <f>IF(D1736=' Pivot Tables'!$A$4,1,0)</f>
        <v>0</v>
      </c>
      <c r="X1736">
        <f>IF(AND(LEFT(D1736,4)+1=LEFT(' Pivot Tables'!$A$4,4)+0,RIGHT(LEFT(D1736,7),2)=RIGHT(LEFT(' Pivot Tables'!$A$4,7),2)),1,0)</f>
        <v>0</v>
      </c>
      <c r="Y1736" s="6">
        <f>1/COUNTIF(Таблица1[Order ID],Таблица1[[#This Row],[Order ID]])</f>
        <v>1</v>
      </c>
      <c r="Z1736" s="9">
        <f>1/COUNTIFS(Таблица1[Customer Name],Таблица1[[#This Row],[Customer Name]],Таблица1[Order-Year-Month],Таблица1[[#This Row],[Order-Year-Month]])</f>
        <v>1</v>
      </c>
    </row>
    <row r="1737" spans="1:26" x14ac:dyDescent="0.2">
      <c r="A1737" s="6">
        <v>1736</v>
      </c>
      <c r="B1737" s="7">
        <v>12452</v>
      </c>
      <c r="C1737" s="8">
        <f>DATE(2012,12,31)-755</f>
        <v>40519</v>
      </c>
      <c r="D1737" s="8" t="str">
        <f t="shared" si="35"/>
        <v>2010-12 (декабрь 2010)</v>
      </c>
      <c r="E1737" s="9" t="s">
        <v>63</v>
      </c>
      <c r="F1737" s="7">
        <v>1</v>
      </c>
      <c r="G1737" s="7">
        <v>356.95</v>
      </c>
      <c r="H1737" s="7">
        <v>0.08</v>
      </c>
      <c r="I1737" s="9" t="s">
        <v>22</v>
      </c>
      <c r="J1737" s="10">
        <v>-228.2405</v>
      </c>
      <c r="K1737" s="11">
        <v>387.99</v>
      </c>
      <c r="L1737" s="11">
        <v>19.989999999999998</v>
      </c>
      <c r="M1737" s="9" t="s">
        <v>1166</v>
      </c>
      <c r="N1737" s="6" t="s">
        <v>1123</v>
      </c>
      <c r="O1737" s="6" t="s">
        <v>1123</v>
      </c>
      <c r="P1737" s="9" t="s">
        <v>41</v>
      </c>
      <c r="Q1737" s="9" t="s">
        <v>26</v>
      </c>
      <c r="R1737" s="9" t="s">
        <v>37</v>
      </c>
      <c r="S1737" s="7" t="s">
        <v>366</v>
      </c>
      <c r="T1737" s="9" t="s">
        <v>39</v>
      </c>
      <c r="U1737" s="7">
        <v>0.38</v>
      </c>
      <c r="V1737" s="12">
        <f>C1737+1</f>
        <v>40520</v>
      </c>
      <c r="W1737">
        <f>IF(D1737=' Pivot Tables'!$A$4,1,0)</f>
        <v>0</v>
      </c>
      <c r="X1737">
        <f>IF(AND(LEFT(D1737,4)+1=LEFT(' Pivot Tables'!$A$4,4)+0,RIGHT(LEFT(D1737,7),2)=RIGHT(LEFT(' Pivot Tables'!$A$4,7),2)),1,0)</f>
        <v>0</v>
      </c>
      <c r="Y1737" s="6">
        <f>1/COUNTIF(Таблица1[Order ID],Таблица1[[#This Row],[Order ID]])</f>
        <v>0.33333333333333331</v>
      </c>
      <c r="Z1737" s="9">
        <f>1/COUNTIFS(Таблица1[Customer Name],Таблица1[[#This Row],[Customer Name]],Таблица1[Order-Year-Month],Таблица1[[#This Row],[Order-Year-Month]])</f>
        <v>0.14285714285714285</v>
      </c>
    </row>
    <row r="1738" spans="1:26" x14ac:dyDescent="0.2">
      <c r="A1738" s="6">
        <v>1737</v>
      </c>
      <c r="B1738" s="7">
        <v>12452</v>
      </c>
      <c r="C1738" s="8">
        <f>DATE(2012,12,31)-755</f>
        <v>40519</v>
      </c>
      <c r="D1738" s="8" t="str">
        <f t="shared" si="35"/>
        <v>2010-12 (декабрь 2010)</v>
      </c>
      <c r="E1738" s="9" t="s">
        <v>63</v>
      </c>
      <c r="F1738" s="7">
        <v>17</v>
      </c>
      <c r="G1738" s="7">
        <v>112.86</v>
      </c>
      <c r="H1738" s="7">
        <v>0.04</v>
      </c>
      <c r="I1738" s="9" t="s">
        <v>22</v>
      </c>
      <c r="J1738" s="10">
        <v>-56.78</v>
      </c>
      <c r="K1738" s="11">
        <v>6.6</v>
      </c>
      <c r="L1738" s="11">
        <v>4.07</v>
      </c>
      <c r="M1738" s="9" t="s">
        <v>1166</v>
      </c>
      <c r="N1738" s="6" t="s">
        <v>1123</v>
      </c>
      <c r="O1738" s="6" t="s">
        <v>1123</v>
      </c>
      <c r="P1738" s="9" t="s">
        <v>41</v>
      </c>
      <c r="Q1738" s="9" t="s">
        <v>42</v>
      </c>
      <c r="R1738" s="9" t="s">
        <v>70</v>
      </c>
      <c r="S1738" s="7" t="s">
        <v>1168</v>
      </c>
      <c r="T1738" s="9" t="s">
        <v>52</v>
      </c>
      <c r="U1738" s="7">
        <v>0.66</v>
      </c>
      <c r="V1738" s="12">
        <f>C1738+2</f>
        <v>40521</v>
      </c>
      <c r="W1738">
        <f>IF(D1738=' Pivot Tables'!$A$4,1,0)</f>
        <v>0</v>
      </c>
      <c r="X1738">
        <f>IF(AND(LEFT(D1738,4)+1=LEFT(' Pivot Tables'!$A$4,4)+0,RIGHT(LEFT(D1738,7),2)=RIGHT(LEFT(' Pivot Tables'!$A$4,7),2)),1,0)</f>
        <v>0</v>
      </c>
      <c r="Y1738" s="6">
        <f>1/COUNTIF(Таблица1[Order ID],Таблица1[[#This Row],[Order ID]])</f>
        <v>0.33333333333333331</v>
      </c>
      <c r="Z1738" s="9">
        <f>1/COUNTIFS(Таблица1[Customer Name],Таблица1[[#This Row],[Customer Name]],Таблица1[Order-Year-Month],Таблица1[[#This Row],[Order-Year-Month]])</f>
        <v>0.14285714285714285</v>
      </c>
    </row>
    <row r="1739" spans="1:26" x14ac:dyDescent="0.2">
      <c r="A1739" s="6">
        <v>1738</v>
      </c>
      <c r="B1739" s="7">
        <v>12452</v>
      </c>
      <c r="C1739" s="8">
        <f>DATE(2012,12,31)-755</f>
        <v>40519</v>
      </c>
      <c r="D1739" s="8" t="str">
        <f t="shared" si="35"/>
        <v>2010-12 (декабрь 2010)</v>
      </c>
      <c r="E1739" s="9" t="s">
        <v>63</v>
      </c>
      <c r="F1739" s="7">
        <v>38</v>
      </c>
      <c r="G1739" s="7">
        <v>2063.42</v>
      </c>
      <c r="H1739" s="7">
        <v>0.03</v>
      </c>
      <c r="I1739" s="9" t="s">
        <v>22</v>
      </c>
      <c r="J1739" s="10">
        <v>989.95</v>
      </c>
      <c r="K1739" s="11">
        <v>55.98</v>
      </c>
      <c r="L1739" s="11">
        <v>5.15</v>
      </c>
      <c r="M1739" s="9" t="s">
        <v>1166</v>
      </c>
      <c r="N1739" s="6" t="s">
        <v>1123</v>
      </c>
      <c r="O1739" s="6" t="s">
        <v>1123</v>
      </c>
      <c r="P1739" s="9" t="s">
        <v>41</v>
      </c>
      <c r="Q1739" s="9" t="s">
        <v>26</v>
      </c>
      <c r="R1739" s="9" t="s">
        <v>61</v>
      </c>
      <c r="S1739" s="7" t="s">
        <v>1169</v>
      </c>
      <c r="T1739" s="9" t="s">
        <v>39</v>
      </c>
      <c r="U1739" s="7">
        <v>0.36</v>
      </c>
      <c r="V1739" s="12">
        <f>C1739+2</f>
        <v>40521</v>
      </c>
      <c r="W1739">
        <f>IF(D1739=' Pivot Tables'!$A$4,1,0)</f>
        <v>0</v>
      </c>
      <c r="X1739">
        <f>IF(AND(LEFT(D1739,4)+1=LEFT(' Pivot Tables'!$A$4,4)+0,RIGHT(LEFT(D1739,7),2)=RIGHT(LEFT(' Pivot Tables'!$A$4,7),2)),1,0)</f>
        <v>0</v>
      </c>
      <c r="Y1739" s="6">
        <f>1/COUNTIF(Таблица1[Order ID],Таблица1[[#This Row],[Order ID]])</f>
        <v>0.33333333333333331</v>
      </c>
      <c r="Z1739" s="9">
        <f>1/COUNTIFS(Таблица1[Customer Name],Таблица1[[#This Row],[Customer Name]],Таблица1[Order-Year-Month],Таблица1[[#This Row],[Order-Year-Month]])</f>
        <v>0.14285714285714285</v>
      </c>
    </row>
    <row r="1740" spans="1:26" x14ac:dyDescent="0.2">
      <c r="A1740" s="6">
        <v>1853</v>
      </c>
      <c r="B1740" s="7">
        <v>13345</v>
      </c>
      <c r="C1740" s="8">
        <f>DATE(2012,12,31)-120</f>
        <v>41154</v>
      </c>
      <c r="D1740" s="8" t="str">
        <f t="shared" si="35"/>
        <v>2012-09 (сентябрь 2012)</v>
      </c>
      <c r="E1740" s="9" t="s">
        <v>45</v>
      </c>
      <c r="F1740" s="7">
        <v>24</v>
      </c>
      <c r="G1740" s="7">
        <v>116.82</v>
      </c>
      <c r="H1740" s="7">
        <v>0.02</v>
      </c>
      <c r="I1740" s="9" t="s">
        <v>22</v>
      </c>
      <c r="J1740" s="10">
        <v>-42.05</v>
      </c>
      <c r="K1740" s="11">
        <v>4.7699999999999996</v>
      </c>
      <c r="L1740" s="11">
        <v>2.39</v>
      </c>
      <c r="M1740" s="9" t="s">
        <v>1166</v>
      </c>
      <c r="N1740" s="6" t="s">
        <v>1123</v>
      </c>
      <c r="O1740" s="6" t="s">
        <v>1123</v>
      </c>
      <c r="P1740" s="9" t="s">
        <v>41</v>
      </c>
      <c r="Q1740" s="9" t="s">
        <v>42</v>
      </c>
      <c r="R1740" s="9" t="s">
        <v>70</v>
      </c>
      <c r="S1740" s="7" t="s">
        <v>732</v>
      </c>
      <c r="T1740" s="9" t="s">
        <v>52</v>
      </c>
      <c r="U1740" s="7">
        <v>0.72</v>
      </c>
      <c r="V1740" s="12">
        <f>C1740+1</f>
        <v>41155</v>
      </c>
      <c r="W1740">
        <f>IF(D1740=' Pivot Tables'!$A$4,1,0)</f>
        <v>0</v>
      </c>
      <c r="X1740">
        <f>IF(AND(LEFT(D1740,4)+1=LEFT(' Pivot Tables'!$A$4,4)+0,RIGHT(LEFT(D1740,7),2)=RIGHT(LEFT(' Pivot Tables'!$A$4,7),2)),1,0)</f>
        <v>0</v>
      </c>
      <c r="Y1740" s="6">
        <f>1/COUNTIF(Таблица1[Order ID],Таблица1[[#This Row],[Order ID]])</f>
        <v>0.5</v>
      </c>
      <c r="Z1740" s="9">
        <f>1/COUNTIFS(Таблица1[Customer Name],Таблица1[[#This Row],[Customer Name]],Таблица1[Order-Year-Month],Таблица1[[#This Row],[Order-Year-Month]])</f>
        <v>0.5</v>
      </c>
    </row>
    <row r="1741" spans="1:26" x14ac:dyDescent="0.2">
      <c r="A1741" s="6">
        <v>1854</v>
      </c>
      <c r="B1741" s="7">
        <v>13345</v>
      </c>
      <c r="C1741" s="8">
        <f>DATE(2012,12,31)-120</f>
        <v>41154</v>
      </c>
      <c r="D1741" s="8" t="str">
        <f t="shared" si="35"/>
        <v>2012-09 (сентябрь 2012)</v>
      </c>
      <c r="E1741" s="9" t="s">
        <v>45</v>
      </c>
      <c r="F1741" s="7">
        <v>45</v>
      </c>
      <c r="G1741" s="7">
        <v>483.64</v>
      </c>
      <c r="H1741" s="7">
        <v>0.1</v>
      </c>
      <c r="I1741" s="9" t="s">
        <v>22</v>
      </c>
      <c r="J1741" s="10">
        <v>28.39</v>
      </c>
      <c r="K1741" s="11">
        <v>10.98</v>
      </c>
      <c r="L1741" s="11">
        <v>3.37</v>
      </c>
      <c r="M1741" s="9" t="s">
        <v>1166</v>
      </c>
      <c r="N1741" s="6" t="s">
        <v>1123</v>
      </c>
      <c r="O1741" s="6" t="s">
        <v>1123</v>
      </c>
      <c r="P1741" s="9" t="s">
        <v>41</v>
      </c>
      <c r="Q1741" s="9" t="s">
        <v>26</v>
      </c>
      <c r="R1741" s="9" t="s">
        <v>150</v>
      </c>
      <c r="S1741" s="7" t="s">
        <v>465</v>
      </c>
      <c r="T1741" s="9" t="s">
        <v>52</v>
      </c>
      <c r="U1741" s="7">
        <v>0.56999999999999995</v>
      </c>
      <c r="V1741" s="12">
        <f>C1741+0</f>
        <v>41154</v>
      </c>
      <c r="W1741">
        <f>IF(D1741=' Pivot Tables'!$A$4,1,0)</f>
        <v>0</v>
      </c>
      <c r="X1741">
        <f>IF(AND(LEFT(D1741,4)+1=LEFT(' Pivot Tables'!$A$4,4)+0,RIGHT(LEFT(D1741,7),2)=RIGHT(LEFT(' Pivot Tables'!$A$4,7),2)),1,0)</f>
        <v>0</v>
      </c>
      <c r="Y1741" s="6">
        <f>1/COUNTIF(Таблица1[Order ID],Таблица1[[#This Row],[Order ID]])</f>
        <v>0.5</v>
      </c>
      <c r="Z1741" s="9">
        <f>1/COUNTIFS(Таблица1[Customer Name],Таблица1[[#This Row],[Customer Name]],Таблица1[Order-Year-Month],Таблица1[[#This Row],[Order-Year-Month]])</f>
        <v>0.5</v>
      </c>
    </row>
    <row r="1742" spans="1:26" x14ac:dyDescent="0.2">
      <c r="A1742" s="6">
        <v>1864</v>
      </c>
      <c r="B1742" s="7">
        <v>13410</v>
      </c>
      <c r="C1742" s="8">
        <f>DATE(2012,12,31)-939</f>
        <v>40335</v>
      </c>
      <c r="D1742" s="8" t="str">
        <f t="shared" si="35"/>
        <v>2010-06 (июнь 2010)</v>
      </c>
      <c r="E1742" s="9" t="s">
        <v>45</v>
      </c>
      <c r="F1742" s="7">
        <v>4</v>
      </c>
      <c r="G1742" s="7">
        <v>33.64</v>
      </c>
      <c r="H1742" s="7">
        <v>7.0000000000000007E-2</v>
      </c>
      <c r="I1742" s="9" t="s">
        <v>22</v>
      </c>
      <c r="J1742" s="10">
        <v>-35.17</v>
      </c>
      <c r="K1742" s="11">
        <v>8.1199999999999992</v>
      </c>
      <c r="L1742" s="11">
        <v>2.83</v>
      </c>
      <c r="M1742" s="9" t="s">
        <v>1163</v>
      </c>
      <c r="N1742" s="6" t="s">
        <v>1123</v>
      </c>
      <c r="O1742" s="6" t="s">
        <v>1123</v>
      </c>
      <c r="P1742" s="9" t="s">
        <v>41</v>
      </c>
      <c r="Q1742" s="9" t="s">
        <v>42</v>
      </c>
      <c r="R1742" s="9" t="s">
        <v>70</v>
      </c>
      <c r="S1742" s="7" t="s">
        <v>630</v>
      </c>
      <c r="T1742" s="9" t="s">
        <v>52</v>
      </c>
      <c r="U1742" s="7">
        <v>0.77</v>
      </c>
      <c r="V1742" s="12">
        <f>C1742+2</f>
        <v>40337</v>
      </c>
      <c r="W1742">
        <f>IF(D1742=' Pivot Tables'!$A$4,1,0)</f>
        <v>0</v>
      </c>
      <c r="X1742">
        <f>IF(AND(LEFT(D1742,4)+1=LEFT(' Pivot Tables'!$A$4,4)+0,RIGHT(LEFT(D1742,7),2)=RIGHT(LEFT(' Pivot Tables'!$A$4,7),2)),1,0)</f>
        <v>0</v>
      </c>
      <c r="Y1742" s="6">
        <f>1/COUNTIF(Таблица1[Order ID],Таблица1[[#This Row],[Order ID]])</f>
        <v>0.5</v>
      </c>
      <c r="Z1742" s="9">
        <f>1/COUNTIFS(Таблица1[Customer Name],Таблица1[[#This Row],[Customer Name]],Таблица1[Order-Year-Month],Таблица1[[#This Row],[Order-Year-Month]])</f>
        <v>0.5</v>
      </c>
    </row>
    <row r="1743" spans="1:26" x14ac:dyDescent="0.2">
      <c r="A1743" s="6">
        <v>1865</v>
      </c>
      <c r="B1743" s="7">
        <v>13410</v>
      </c>
      <c r="C1743" s="8">
        <f>DATE(2012,12,31)-939</f>
        <v>40335</v>
      </c>
      <c r="D1743" s="8" t="str">
        <f t="shared" si="35"/>
        <v>2010-06 (июнь 2010)</v>
      </c>
      <c r="E1743" s="9" t="s">
        <v>45</v>
      </c>
      <c r="F1743" s="7">
        <v>29</v>
      </c>
      <c r="G1743" s="7">
        <v>701.94</v>
      </c>
      <c r="H1743" s="7">
        <v>0.01</v>
      </c>
      <c r="I1743" s="9" t="s">
        <v>22</v>
      </c>
      <c r="J1743" s="10">
        <v>158.91</v>
      </c>
      <c r="K1743" s="11">
        <v>23.99</v>
      </c>
      <c r="L1743" s="11">
        <v>6.3</v>
      </c>
      <c r="M1743" s="9" t="s">
        <v>1163</v>
      </c>
      <c r="N1743" s="6" t="s">
        <v>1123</v>
      </c>
      <c r="O1743" s="6" t="s">
        <v>1123</v>
      </c>
      <c r="P1743" s="9" t="s">
        <v>41</v>
      </c>
      <c r="Q1743" s="9" t="s">
        <v>42</v>
      </c>
      <c r="R1743" s="9" t="s">
        <v>210</v>
      </c>
      <c r="S1743" s="7" t="s">
        <v>595</v>
      </c>
      <c r="T1743" s="9" t="s">
        <v>48</v>
      </c>
      <c r="U1743" s="7">
        <v>0.38</v>
      </c>
      <c r="V1743" s="12">
        <f>C1743+1</f>
        <v>40336</v>
      </c>
      <c r="W1743">
        <f>IF(D1743=' Pivot Tables'!$A$4,1,0)</f>
        <v>0</v>
      </c>
      <c r="X1743">
        <f>IF(AND(LEFT(D1743,4)+1=LEFT(' Pivot Tables'!$A$4,4)+0,RIGHT(LEFT(D1743,7),2)=RIGHT(LEFT(' Pivot Tables'!$A$4,7),2)),1,0)</f>
        <v>0</v>
      </c>
      <c r="Y1743" s="6">
        <f>1/COUNTIF(Таблица1[Order ID],Таблица1[[#This Row],[Order ID]])</f>
        <v>0.5</v>
      </c>
      <c r="Z1743" s="9">
        <f>1/COUNTIFS(Таблица1[Customer Name],Таблица1[[#This Row],[Customer Name]],Таблица1[Order-Year-Month],Таблица1[[#This Row],[Order-Year-Month]])</f>
        <v>0.5</v>
      </c>
    </row>
    <row r="1744" spans="1:26" x14ac:dyDescent="0.2">
      <c r="A1744" s="6">
        <v>2193</v>
      </c>
      <c r="B1744" s="7">
        <v>15808</v>
      </c>
      <c r="C1744" s="8">
        <f>DATE(2012,12,31)-748</f>
        <v>40526</v>
      </c>
      <c r="D1744" s="8" t="str">
        <f t="shared" si="35"/>
        <v>2010-12 (декабрь 2010)</v>
      </c>
      <c r="E1744" s="9" t="s">
        <v>78</v>
      </c>
      <c r="F1744" s="7">
        <v>33</v>
      </c>
      <c r="G1744" s="7">
        <v>126.88</v>
      </c>
      <c r="H1744" s="7">
        <v>0.05</v>
      </c>
      <c r="I1744" s="9" t="s">
        <v>22</v>
      </c>
      <c r="J1744" s="10">
        <v>12.63</v>
      </c>
      <c r="K1744" s="11">
        <v>3.7</v>
      </c>
      <c r="L1744" s="11">
        <v>1.61</v>
      </c>
      <c r="M1744" s="9" t="s">
        <v>1166</v>
      </c>
      <c r="N1744" s="6" t="s">
        <v>1123</v>
      </c>
      <c r="O1744" s="6" t="s">
        <v>1123</v>
      </c>
      <c r="P1744" s="9" t="s">
        <v>41</v>
      </c>
      <c r="Q1744" s="9" t="s">
        <v>49</v>
      </c>
      <c r="R1744" s="9" t="s">
        <v>50</v>
      </c>
      <c r="S1744" s="7" t="s">
        <v>613</v>
      </c>
      <c r="T1744" s="9" t="s">
        <v>68</v>
      </c>
      <c r="U1744" s="7">
        <v>0.44</v>
      </c>
      <c r="V1744" s="12">
        <f>C1744+0</f>
        <v>40526</v>
      </c>
      <c r="W1744">
        <f>IF(D1744=' Pivot Tables'!$A$4,1,0)</f>
        <v>0</v>
      </c>
      <c r="X1744">
        <f>IF(AND(LEFT(D1744,4)+1=LEFT(' Pivot Tables'!$A$4,4)+0,RIGHT(LEFT(D1744,7),2)=RIGHT(LEFT(' Pivot Tables'!$A$4,7),2)),1,0)</f>
        <v>0</v>
      </c>
      <c r="Y1744" s="6">
        <f>1/COUNTIF(Таблица1[Order ID],Таблица1[[#This Row],[Order ID]])</f>
        <v>0.25</v>
      </c>
      <c r="Z1744" s="9">
        <f>1/COUNTIFS(Таблица1[Customer Name],Таблица1[[#This Row],[Customer Name]],Таблица1[Order-Year-Month],Таблица1[[#This Row],[Order-Year-Month]])</f>
        <v>0.14285714285714285</v>
      </c>
    </row>
    <row r="1745" spans="1:26" x14ac:dyDescent="0.2">
      <c r="A1745" s="6">
        <v>2194</v>
      </c>
      <c r="B1745" s="7">
        <v>15808</v>
      </c>
      <c r="C1745" s="8">
        <f>DATE(2012,12,31)-748</f>
        <v>40526</v>
      </c>
      <c r="D1745" s="8" t="str">
        <f t="shared" si="35"/>
        <v>2010-12 (декабрь 2010)</v>
      </c>
      <c r="E1745" s="9" t="s">
        <v>78</v>
      </c>
      <c r="F1745" s="7">
        <v>42</v>
      </c>
      <c r="G1745" s="7">
        <v>906.64</v>
      </c>
      <c r="H1745" s="7">
        <v>7.0000000000000007E-2</v>
      </c>
      <c r="I1745" s="9" t="s">
        <v>56</v>
      </c>
      <c r="J1745" s="10">
        <v>-148.92500000000001</v>
      </c>
      <c r="K1745" s="11">
        <v>22.38</v>
      </c>
      <c r="L1745" s="11">
        <v>15.1</v>
      </c>
      <c r="M1745" s="9" t="s">
        <v>1166</v>
      </c>
      <c r="N1745" s="6" t="s">
        <v>1123</v>
      </c>
      <c r="O1745" s="6" t="s">
        <v>1123</v>
      </c>
      <c r="P1745" s="9" t="s">
        <v>41</v>
      </c>
      <c r="Q1745" s="9" t="s">
        <v>26</v>
      </c>
      <c r="R1745" s="9" t="s">
        <v>37</v>
      </c>
      <c r="S1745" s="7" t="s">
        <v>415</v>
      </c>
      <c r="T1745" s="9" t="s">
        <v>39</v>
      </c>
      <c r="U1745" s="7">
        <v>0.38</v>
      </c>
      <c r="V1745" s="12">
        <f>C1745+0</f>
        <v>40526</v>
      </c>
      <c r="W1745">
        <f>IF(D1745=' Pivot Tables'!$A$4,1,0)</f>
        <v>0</v>
      </c>
      <c r="X1745">
        <f>IF(AND(LEFT(D1745,4)+1=LEFT(' Pivot Tables'!$A$4,4)+0,RIGHT(LEFT(D1745,7),2)=RIGHT(LEFT(' Pivot Tables'!$A$4,7),2)),1,0)</f>
        <v>0</v>
      </c>
      <c r="Y1745" s="6">
        <f>1/COUNTIF(Таблица1[Order ID],Таблица1[[#This Row],[Order ID]])</f>
        <v>0.25</v>
      </c>
      <c r="Z1745" s="9">
        <f>1/COUNTIFS(Таблица1[Customer Name],Таблица1[[#This Row],[Customer Name]],Таблица1[Order-Year-Month],Таблица1[[#This Row],[Order-Year-Month]])</f>
        <v>0.14285714285714285</v>
      </c>
    </row>
    <row r="1746" spans="1:26" x14ac:dyDescent="0.2">
      <c r="A1746" s="6">
        <v>2195</v>
      </c>
      <c r="B1746" s="7">
        <v>15808</v>
      </c>
      <c r="C1746" s="8">
        <f>DATE(2012,12,31)-748</f>
        <v>40526</v>
      </c>
      <c r="D1746" s="8" t="str">
        <f t="shared" si="35"/>
        <v>2010-12 (декабрь 2010)</v>
      </c>
      <c r="E1746" s="9" t="s">
        <v>78</v>
      </c>
      <c r="F1746" s="7">
        <v>45</v>
      </c>
      <c r="G1746" s="7">
        <v>882.96</v>
      </c>
      <c r="H1746" s="7">
        <v>0.06</v>
      </c>
      <c r="I1746" s="9" t="s">
        <v>22</v>
      </c>
      <c r="J1746" s="10">
        <v>11.65</v>
      </c>
      <c r="K1746" s="11">
        <v>19.98</v>
      </c>
      <c r="L1746" s="11">
        <v>4</v>
      </c>
      <c r="M1746" s="9" t="s">
        <v>1166</v>
      </c>
      <c r="N1746" s="6" t="s">
        <v>1123</v>
      </c>
      <c r="O1746" s="6" t="s">
        <v>1123</v>
      </c>
      <c r="P1746" s="9" t="s">
        <v>41</v>
      </c>
      <c r="Q1746" s="9" t="s">
        <v>42</v>
      </c>
      <c r="R1746" s="9" t="s">
        <v>70</v>
      </c>
      <c r="S1746" s="7" t="s">
        <v>655</v>
      </c>
      <c r="T1746" s="9" t="s">
        <v>39</v>
      </c>
      <c r="U1746" s="7">
        <v>0.68</v>
      </c>
      <c r="V1746" s="12">
        <f>C1746+2</f>
        <v>40528</v>
      </c>
      <c r="W1746">
        <f>IF(D1746=' Pivot Tables'!$A$4,1,0)</f>
        <v>0</v>
      </c>
      <c r="X1746">
        <f>IF(AND(LEFT(D1746,4)+1=LEFT(' Pivot Tables'!$A$4,4)+0,RIGHT(LEFT(D1746,7),2)=RIGHT(LEFT(' Pivot Tables'!$A$4,7),2)),1,0)</f>
        <v>0</v>
      </c>
      <c r="Y1746" s="6">
        <f>1/COUNTIF(Таблица1[Order ID],Таблица1[[#This Row],[Order ID]])</f>
        <v>0.25</v>
      </c>
      <c r="Z1746" s="9">
        <f>1/COUNTIFS(Таблица1[Customer Name],Таблица1[[#This Row],[Customer Name]],Таблица1[Order-Year-Month],Таблица1[[#This Row],[Order-Year-Month]])</f>
        <v>0.14285714285714285</v>
      </c>
    </row>
    <row r="1747" spans="1:26" x14ac:dyDescent="0.2">
      <c r="A1747" s="6">
        <v>2196</v>
      </c>
      <c r="B1747" s="7">
        <v>15808</v>
      </c>
      <c r="C1747" s="8">
        <f>DATE(2012,12,31)-748</f>
        <v>40526</v>
      </c>
      <c r="D1747" s="8" t="str">
        <f t="shared" si="35"/>
        <v>2010-12 (декабрь 2010)</v>
      </c>
      <c r="E1747" s="9" t="s">
        <v>78</v>
      </c>
      <c r="F1747" s="7">
        <v>3</v>
      </c>
      <c r="G1747" s="7">
        <v>58.14</v>
      </c>
      <c r="H1747" s="7">
        <v>0.01</v>
      </c>
      <c r="I1747" s="9" t="s">
        <v>22</v>
      </c>
      <c r="J1747" s="10">
        <v>-96.25</v>
      </c>
      <c r="K1747" s="11">
        <v>20.99</v>
      </c>
      <c r="L1747" s="11">
        <v>4.8099999999999996</v>
      </c>
      <c r="M1747" s="9" t="s">
        <v>1166</v>
      </c>
      <c r="N1747" s="6" t="s">
        <v>1123</v>
      </c>
      <c r="O1747" s="6" t="s">
        <v>1123</v>
      </c>
      <c r="P1747" s="9" t="s">
        <v>41</v>
      </c>
      <c r="Q1747" s="9" t="s">
        <v>42</v>
      </c>
      <c r="R1747" s="9" t="s">
        <v>43</v>
      </c>
      <c r="S1747" s="7" t="s">
        <v>760</v>
      </c>
      <c r="T1747" s="9" t="s">
        <v>48</v>
      </c>
      <c r="U1747" s="7">
        <v>0.57999999999999996</v>
      </c>
      <c r="V1747" s="12">
        <f>C1747+1</f>
        <v>40527</v>
      </c>
      <c r="W1747">
        <f>IF(D1747=' Pivot Tables'!$A$4,1,0)</f>
        <v>0</v>
      </c>
      <c r="X1747">
        <f>IF(AND(LEFT(D1747,4)+1=LEFT(' Pivot Tables'!$A$4,4)+0,RIGHT(LEFT(D1747,7),2)=RIGHT(LEFT(' Pivot Tables'!$A$4,7),2)),1,0)</f>
        <v>0</v>
      </c>
      <c r="Y1747" s="6">
        <f>1/COUNTIF(Таблица1[Order ID],Таблица1[[#This Row],[Order ID]])</f>
        <v>0.25</v>
      </c>
      <c r="Z1747" s="9">
        <f>1/COUNTIFS(Таблица1[Customer Name],Таблица1[[#This Row],[Customer Name]],Таблица1[Order-Year-Month],Таблица1[[#This Row],[Order-Year-Month]])</f>
        <v>0.14285714285714285</v>
      </c>
    </row>
    <row r="1748" spans="1:26" x14ac:dyDescent="0.2">
      <c r="A1748" s="6">
        <v>2271</v>
      </c>
      <c r="B1748" s="7">
        <v>16326</v>
      </c>
      <c r="C1748" s="8">
        <f>DATE(2012,12,31)-966</f>
        <v>40308</v>
      </c>
      <c r="D1748" s="8" t="str">
        <f t="shared" si="35"/>
        <v>2010-05 (май 2010)</v>
      </c>
      <c r="E1748" s="9" t="s">
        <v>30</v>
      </c>
      <c r="F1748" s="7">
        <v>39</v>
      </c>
      <c r="G1748" s="7">
        <v>1538.33</v>
      </c>
      <c r="H1748" s="7">
        <v>0.03</v>
      </c>
      <c r="I1748" s="9" t="s">
        <v>22</v>
      </c>
      <c r="J1748" s="10">
        <v>471.35</v>
      </c>
      <c r="K1748" s="11">
        <v>39.479999999999997</v>
      </c>
      <c r="L1748" s="11">
        <v>1.99</v>
      </c>
      <c r="M1748" s="9" t="s">
        <v>1166</v>
      </c>
      <c r="N1748" s="6" t="s">
        <v>1123</v>
      </c>
      <c r="O1748" s="6" t="s">
        <v>1123</v>
      </c>
      <c r="P1748" s="9" t="s">
        <v>41</v>
      </c>
      <c r="Q1748" s="9" t="s">
        <v>42</v>
      </c>
      <c r="R1748" s="9" t="s">
        <v>70</v>
      </c>
      <c r="S1748" s="7" t="s">
        <v>161</v>
      </c>
      <c r="T1748" s="9" t="s">
        <v>52</v>
      </c>
      <c r="U1748" s="7">
        <v>0.54</v>
      </c>
      <c r="V1748" s="12">
        <f>C1748+2</f>
        <v>40310</v>
      </c>
      <c r="W1748">
        <f>IF(D1748=' Pivot Tables'!$A$4,1,0)</f>
        <v>0</v>
      </c>
      <c r="X1748">
        <f>IF(AND(LEFT(D1748,4)+1=LEFT(' Pivot Tables'!$A$4,4)+0,RIGHT(LEFT(D1748,7),2)=RIGHT(LEFT(' Pivot Tables'!$A$4,7),2)),1,0)</f>
        <v>0</v>
      </c>
      <c r="Y1748" s="6">
        <f>1/COUNTIF(Таблица1[Order ID],Таблица1[[#This Row],[Order ID]])</f>
        <v>0.5</v>
      </c>
      <c r="Z1748" s="9">
        <f>1/COUNTIFS(Таблица1[Customer Name],Таблица1[[#This Row],[Customer Name]],Таблица1[Order-Year-Month],Таблица1[[#This Row],[Order-Year-Month]])</f>
        <v>0.5</v>
      </c>
    </row>
    <row r="1749" spans="1:26" x14ac:dyDescent="0.2">
      <c r="A1749" s="6">
        <v>2272</v>
      </c>
      <c r="B1749" s="7">
        <v>16326</v>
      </c>
      <c r="C1749" s="8">
        <f>DATE(2012,12,31)-966</f>
        <v>40308</v>
      </c>
      <c r="D1749" s="8" t="str">
        <f t="shared" si="35"/>
        <v>2010-05 (май 2010)</v>
      </c>
      <c r="E1749" s="9" t="s">
        <v>30</v>
      </c>
      <c r="F1749" s="7">
        <v>39</v>
      </c>
      <c r="G1749" s="7">
        <v>147.46</v>
      </c>
      <c r="H1749" s="7">
        <v>0.06</v>
      </c>
      <c r="I1749" s="9" t="s">
        <v>22</v>
      </c>
      <c r="J1749" s="10">
        <v>14.13</v>
      </c>
      <c r="K1749" s="11">
        <v>3.71</v>
      </c>
      <c r="L1749" s="11">
        <v>1.93</v>
      </c>
      <c r="M1749" s="9" t="s">
        <v>1166</v>
      </c>
      <c r="N1749" s="6" t="s">
        <v>1123</v>
      </c>
      <c r="O1749" s="6" t="s">
        <v>1123</v>
      </c>
      <c r="P1749" s="9" t="s">
        <v>41</v>
      </c>
      <c r="Q1749" s="9" t="s">
        <v>26</v>
      </c>
      <c r="R1749" s="9" t="s">
        <v>61</v>
      </c>
      <c r="S1749" s="7" t="s">
        <v>1170</v>
      </c>
      <c r="T1749" s="9" t="s">
        <v>68</v>
      </c>
      <c r="U1749" s="7">
        <v>0.35</v>
      </c>
      <c r="V1749" s="12">
        <f>C1749+0</f>
        <v>40308</v>
      </c>
      <c r="W1749">
        <f>IF(D1749=' Pivot Tables'!$A$4,1,0)</f>
        <v>0</v>
      </c>
      <c r="X1749">
        <f>IF(AND(LEFT(D1749,4)+1=LEFT(' Pivot Tables'!$A$4,4)+0,RIGHT(LEFT(D1749,7),2)=RIGHT(LEFT(' Pivot Tables'!$A$4,7),2)),1,0)</f>
        <v>0</v>
      </c>
      <c r="Y1749" s="6">
        <f>1/COUNTIF(Таблица1[Order ID],Таблица1[[#This Row],[Order ID]])</f>
        <v>0.5</v>
      </c>
      <c r="Z1749" s="9">
        <f>1/COUNTIFS(Таблица1[Customer Name],Таблица1[[#This Row],[Customer Name]],Таблица1[Order-Year-Month],Таблица1[[#This Row],[Order-Year-Month]])</f>
        <v>0.5</v>
      </c>
    </row>
    <row r="1750" spans="1:26" x14ac:dyDescent="0.2">
      <c r="A1750" s="6">
        <v>2474</v>
      </c>
      <c r="B1750" s="7">
        <v>17985</v>
      </c>
      <c r="C1750" s="8">
        <f>DATE(2012,12,31)-629</f>
        <v>40645</v>
      </c>
      <c r="D1750" s="8" t="str">
        <f t="shared" si="35"/>
        <v>2011-04 (апрель 2011)</v>
      </c>
      <c r="E1750" s="9" t="s">
        <v>63</v>
      </c>
      <c r="F1750" s="7">
        <v>4</v>
      </c>
      <c r="G1750" s="7">
        <v>473.88</v>
      </c>
      <c r="H1750" s="7">
        <v>0.01</v>
      </c>
      <c r="I1750" s="9" t="s">
        <v>31</v>
      </c>
      <c r="J1750" s="10">
        <v>-183.26</v>
      </c>
      <c r="K1750" s="11">
        <v>110.98</v>
      </c>
      <c r="L1750" s="11">
        <v>30</v>
      </c>
      <c r="M1750" s="9" t="s">
        <v>1171</v>
      </c>
      <c r="N1750" s="6" t="s">
        <v>1123</v>
      </c>
      <c r="O1750" s="6" t="s">
        <v>1123</v>
      </c>
      <c r="P1750" s="9" t="s">
        <v>60</v>
      </c>
      <c r="Q1750" s="9" t="s">
        <v>49</v>
      </c>
      <c r="R1750" s="9" t="s">
        <v>112</v>
      </c>
      <c r="S1750" s="7" t="s">
        <v>651</v>
      </c>
      <c r="T1750" s="9" t="s">
        <v>36</v>
      </c>
      <c r="U1750" s="7">
        <v>0.71</v>
      </c>
      <c r="V1750" s="12">
        <f>C1750+1</f>
        <v>40646</v>
      </c>
      <c r="W1750">
        <f>IF(D1750=' Pivot Tables'!$A$4,1,0)</f>
        <v>0</v>
      </c>
      <c r="X1750">
        <f>IF(AND(LEFT(D1750,4)+1=LEFT(' Pivot Tables'!$A$4,4)+0,RIGHT(LEFT(D1750,7),2)=RIGHT(LEFT(' Pivot Tables'!$A$4,7),2)),1,0)</f>
        <v>0</v>
      </c>
      <c r="Y1750" s="6">
        <f>1/COUNTIF(Таблица1[Order ID],Таблица1[[#This Row],[Order ID]])</f>
        <v>0.5</v>
      </c>
      <c r="Z1750" s="9">
        <f>1/COUNTIFS(Таблица1[Customer Name],Таблица1[[#This Row],[Customer Name]],Таблица1[Order-Year-Month],Таблица1[[#This Row],[Order-Year-Month]])</f>
        <v>0.25</v>
      </c>
    </row>
    <row r="1751" spans="1:26" x14ac:dyDescent="0.2">
      <c r="A1751" s="6">
        <v>2475</v>
      </c>
      <c r="B1751" s="7">
        <v>17985</v>
      </c>
      <c r="C1751" s="8">
        <f>DATE(2012,12,31)-629</f>
        <v>40645</v>
      </c>
      <c r="D1751" s="8" t="str">
        <f t="shared" si="35"/>
        <v>2011-04 (апрель 2011)</v>
      </c>
      <c r="E1751" s="9" t="s">
        <v>63</v>
      </c>
      <c r="F1751" s="7">
        <v>50</v>
      </c>
      <c r="G1751" s="7">
        <v>849.03099999999995</v>
      </c>
      <c r="H1751" s="7">
        <v>7.0000000000000007E-2</v>
      </c>
      <c r="I1751" s="9" t="s">
        <v>22</v>
      </c>
      <c r="J1751" s="10">
        <v>-133.309</v>
      </c>
      <c r="K1751" s="11">
        <v>20.99</v>
      </c>
      <c r="L1751" s="11">
        <v>3.3</v>
      </c>
      <c r="M1751" s="9" t="s">
        <v>1171</v>
      </c>
      <c r="N1751" s="6" t="s">
        <v>1123</v>
      </c>
      <c r="O1751" s="6" t="s">
        <v>1123</v>
      </c>
      <c r="P1751" s="9" t="s">
        <v>60</v>
      </c>
      <c r="Q1751" s="9" t="s">
        <v>42</v>
      </c>
      <c r="R1751" s="9" t="s">
        <v>43</v>
      </c>
      <c r="S1751" s="7" t="s">
        <v>295</v>
      </c>
      <c r="T1751" s="9" t="s">
        <v>52</v>
      </c>
      <c r="U1751" s="7">
        <v>0.81</v>
      </c>
      <c r="V1751" s="12">
        <f>C1751+2</f>
        <v>40647</v>
      </c>
      <c r="W1751">
        <f>IF(D1751=' Pivot Tables'!$A$4,1,0)</f>
        <v>0</v>
      </c>
      <c r="X1751">
        <f>IF(AND(LEFT(D1751,4)+1=LEFT(' Pivot Tables'!$A$4,4)+0,RIGHT(LEFT(D1751,7),2)=RIGHT(LEFT(' Pivot Tables'!$A$4,7),2)),1,0)</f>
        <v>0</v>
      </c>
      <c r="Y1751" s="6">
        <f>1/COUNTIF(Таблица1[Order ID],Таблица1[[#This Row],[Order ID]])</f>
        <v>0.5</v>
      </c>
      <c r="Z1751" s="9">
        <f>1/COUNTIFS(Таблица1[Customer Name],Таблица1[[#This Row],[Customer Name]],Таблица1[Order-Year-Month],Таблица1[[#This Row],[Order-Year-Month]])</f>
        <v>0.25</v>
      </c>
    </row>
    <row r="1752" spans="1:26" x14ac:dyDescent="0.2">
      <c r="A1752" s="6">
        <v>2841</v>
      </c>
      <c r="B1752" s="7">
        <v>20480</v>
      </c>
      <c r="C1752" s="8">
        <f>DATE(2012,12,31)-1432</f>
        <v>39842</v>
      </c>
      <c r="D1752" s="8" t="str">
        <f t="shared" si="35"/>
        <v>2009-01 (январь 2009)</v>
      </c>
      <c r="E1752" s="9" t="s">
        <v>63</v>
      </c>
      <c r="F1752" s="7">
        <v>4</v>
      </c>
      <c r="G1752" s="7">
        <v>1042.6300000000001</v>
      </c>
      <c r="H1752" s="7">
        <v>0.02</v>
      </c>
      <c r="I1752" s="9" t="s">
        <v>31</v>
      </c>
      <c r="J1752" s="10">
        <v>-219.93</v>
      </c>
      <c r="K1752" s="11">
        <v>240.98</v>
      </c>
      <c r="L1752" s="11">
        <v>60.2</v>
      </c>
      <c r="M1752" s="9" t="s">
        <v>1158</v>
      </c>
      <c r="N1752" s="6" t="s">
        <v>1123</v>
      </c>
      <c r="O1752" s="6" t="s">
        <v>1123</v>
      </c>
      <c r="P1752" s="9" t="s">
        <v>41</v>
      </c>
      <c r="Q1752" s="9" t="s">
        <v>49</v>
      </c>
      <c r="R1752" s="9" t="s">
        <v>80</v>
      </c>
      <c r="S1752" s="7" t="s">
        <v>1172</v>
      </c>
      <c r="T1752" s="9" t="s">
        <v>82</v>
      </c>
      <c r="U1752" s="7">
        <v>0.56000000000000005</v>
      </c>
      <c r="V1752" s="12">
        <f>C1752+2</f>
        <v>39844</v>
      </c>
      <c r="W1752">
        <f>IF(D1752=' Pivot Tables'!$A$4,1,0)</f>
        <v>0</v>
      </c>
      <c r="X1752">
        <f>IF(AND(LEFT(D1752,4)+1=LEFT(' Pivot Tables'!$A$4,4)+0,RIGHT(LEFT(D1752,7),2)=RIGHT(LEFT(' Pivot Tables'!$A$4,7),2)),1,0)</f>
        <v>1</v>
      </c>
      <c r="Y1752" s="6">
        <f>1/COUNTIF(Таблица1[Order ID],Таблица1[[#This Row],[Order ID]])</f>
        <v>0.5</v>
      </c>
      <c r="Z1752" s="9">
        <f>1/COUNTIFS(Таблица1[Customer Name],Таблица1[[#This Row],[Customer Name]],Таблица1[Order-Year-Month],Таблица1[[#This Row],[Order-Year-Month]])</f>
        <v>0.5</v>
      </c>
    </row>
    <row r="1753" spans="1:26" x14ac:dyDescent="0.2">
      <c r="A1753" s="6">
        <v>2919</v>
      </c>
      <c r="B1753" s="7">
        <v>21091</v>
      </c>
      <c r="C1753" s="8">
        <f>DATE(2012,12,31)-1115</f>
        <v>40159</v>
      </c>
      <c r="D1753" s="8" t="str">
        <f t="shared" si="35"/>
        <v>2009-12 (декабрь 2009)</v>
      </c>
      <c r="E1753" s="9" t="s">
        <v>30</v>
      </c>
      <c r="F1753" s="7">
        <v>32</v>
      </c>
      <c r="G1753" s="7">
        <v>270.73</v>
      </c>
      <c r="H1753" s="7">
        <v>0.1</v>
      </c>
      <c r="I1753" s="9" t="s">
        <v>56</v>
      </c>
      <c r="J1753" s="10">
        <v>-54.567500000000003</v>
      </c>
      <c r="K1753" s="11">
        <v>8.8800000000000008</v>
      </c>
      <c r="L1753" s="11">
        <v>6.28</v>
      </c>
      <c r="M1753" s="9" t="s">
        <v>1166</v>
      </c>
      <c r="N1753" s="6" t="s">
        <v>1123</v>
      </c>
      <c r="O1753" s="6" t="s">
        <v>1123</v>
      </c>
      <c r="P1753" s="9" t="s">
        <v>41</v>
      </c>
      <c r="Q1753" s="9" t="s">
        <v>26</v>
      </c>
      <c r="R1753" s="9" t="s">
        <v>37</v>
      </c>
      <c r="S1753" s="7" t="s">
        <v>1173</v>
      </c>
      <c r="T1753" s="9" t="s">
        <v>39</v>
      </c>
      <c r="U1753" s="7">
        <v>0.35</v>
      </c>
      <c r="V1753" s="12">
        <f>C1753+2</f>
        <v>40161</v>
      </c>
      <c r="W1753">
        <f>IF(D1753=' Pivot Tables'!$A$4,1,0)</f>
        <v>0</v>
      </c>
      <c r="X1753">
        <f>IF(AND(LEFT(D1753,4)+1=LEFT(' Pivot Tables'!$A$4,4)+0,RIGHT(LEFT(D1753,7),2)=RIGHT(LEFT(' Pivot Tables'!$A$4,7),2)),1,0)</f>
        <v>0</v>
      </c>
      <c r="Y1753" s="6">
        <f>1/COUNTIF(Таблица1[Order ID],Таблица1[[#This Row],[Order ID]])</f>
        <v>1</v>
      </c>
      <c r="Z1753" s="9">
        <f>1/COUNTIFS(Таблица1[Customer Name],Таблица1[[#This Row],[Customer Name]],Таблица1[Order-Year-Month],Таблица1[[#This Row],[Order-Year-Month]])</f>
        <v>1</v>
      </c>
    </row>
    <row r="1754" spans="1:26" x14ac:dyDescent="0.2">
      <c r="A1754" s="6">
        <v>3748</v>
      </c>
      <c r="B1754" s="7">
        <v>26759</v>
      </c>
      <c r="C1754" s="8">
        <f>DATE(2012,12,31)-341</f>
        <v>40933</v>
      </c>
      <c r="D1754" s="8" t="str">
        <f t="shared" si="35"/>
        <v>2012-01 (январь 2012)</v>
      </c>
      <c r="E1754" s="9" t="s">
        <v>45</v>
      </c>
      <c r="F1754" s="7">
        <v>30</v>
      </c>
      <c r="G1754" s="7">
        <v>251.11</v>
      </c>
      <c r="H1754" s="7">
        <v>0.03</v>
      </c>
      <c r="I1754" s="9" t="s">
        <v>22</v>
      </c>
      <c r="J1754" s="10">
        <v>10.038500000000001</v>
      </c>
      <c r="K1754" s="11">
        <v>7.84</v>
      </c>
      <c r="L1754" s="11">
        <v>4.71</v>
      </c>
      <c r="M1754" s="9" t="s">
        <v>1163</v>
      </c>
      <c r="N1754" s="6" t="s">
        <v>1123</v>
      </c>
      <c r="O1754" s="6" t="s">
        <v>1123</v>
      </c>
      <c r="P1754" s="9" t="s">
        <v>33</v>
      </c>
      <c r="Q1754" s="9" t="s">
        <v>26</v>
      </c>
      <c r="R1754" s="9" t="s">
        <v>37</v>
      </c>
      <c r="S1754" s="7" t="s">
        <v>121</v>
      </c>
      <c r="T1754" s="9" t="s">
        <v>39</v>
      </c>
      <c r="U1754" s="7">
        <v>0.35</v>
      </c>
      <c r="V1754" s="12">
        <f>C1754+2</f>
        <v>40935</v>
      </c>
      <c r="W1754">
        <f>IF(D1754=' Pivot Tables'!$A$4,1,0)</f>
        <v>0</v>
      </c>
      <c r="X1754">
        <f>IF(AND(LEFT(D1754,4)+1=LEFT(' Pivot Tables'!$A$4,4)+0,RIGHT(LEFT(D1754,7),2)=RIGHT(LEFT(' Pivot Tables'!$A$4,7),2)),1,0)</f>
        <v>0</v>
      </c>
      <c r="Y1754" s="6">
        <f>1/COUNTIF(Таблица1[Order ID],Таблица1[[#This Row],[Order ID]])</f>
        <v>1</v>
      </c>
      <c r="Z1754" s="9">
        <f>1/COUNTIFS(Таблица1[Customer Name],Таблица1[[#This Row],[Customer Name]],Таблица1[Order-Year-Month],Таблица1[[#This Row],[Order-Year-Month]])</f>
        <v>1</v>
      </c>
    </row>
    <row r="1755" spans="1:26" x14ac:dyDescent="0.2">
      <c r="A1755" s="6">
        <v>3759</v>
      </c>
      <c r="B1755" s="7">
        <v>26853</v>
      </c>
      <c r="C1755" s="8">
        <f>DATE(2012,12,31)-202</f>
        <v>41072</v>
      </c>
      <c r="D1755" s="8" t="str">
        <f t="shared" si="35"/>
        <v>2012-06 (июнь 2012)</v>
      </c>
      <c r="E1755" s="9" t="s">
        <v>21</v>
      </c>
      <c r="F1755" s="7">
        <v>21</v>
      </c>
      <c r="G1755" s="7">
        <v>64.44</v>
      </c>
      <c r="H1755" s="7">
        <v>0</v>
      </c>
      <c r="I1755" s="9" t="s">
        <v>22</v>
      </c>
      <c r="J1755" s="10">
        <v>-89.02</v>
      </c>
      <c r="K1755" s="11">
        <v>2.66</v>
      </c>
      <c r="L1755" s="11">
        <v>6.35</v>
      </c>
      <c r="M1755" s="9" t="s">
        <v>1164</v>
      </c>
      <c r="N1755" s="6" t="s">
        <v>1123</v>
      </c>
      <c r="O1755" s="6" t="s">
        <v>1123</v>
      </c>
      <c r="P1755" s="9" t="s">
        <v>25</v>
      </c>
      <c r="Q1755" s="9" t="s">
        <v>26</v>
      </c>
      <c r="R1755" s="9" t="s">
        <v>76</v>
      </c>
      <c r="S1755" s="7" t="s">
        <v>1174</v>
      </c>
      <c r="T1755" s="9" t="s">
        <v>39</v>
      </c>
      <c r="U1755" s="7">
        <v>0.36</v>
      </c>
      <c r="V1755" s="12">
        <f>C1755+4</f>
        <v>41076</v>
      </c>
      <c r="W1755">
        <f>IF(D1755=' Pivot Tables'!$A$4,1,0)</f>
        <v>0</v>
      </c>
      <c r="X1755">
        <f>IF(AND(LEFT(D1755,4)+1=LEFT(' Pivot Tables'!$A$4,4)+0,RIGHT(LEFT(D1755,7),2)=RIGHT(LEFT(' Pivot Tables'!$A$4,7),2)),1,0)</f>
        <v>0</v>
      </c>
      <c r="Y1755" s="6">
        <f>1/COUNTIF(Таблица1[Order ID],Таблица1[[#This Row],[Order ID]])</f>
        <v>1</v>
      </c>
      <c r="Z1755" s="9">
        <f>1/COUNTIFS(Таблица1[Customer Name],Таблица1[[#This Row],[Customer Name]],Таблица1[Order-Year-Month],Таблица1[[#This Row],[Order-Year-Month]])</f>
        <v>1</v>
      </c>
    </row>
    <row r="1756" spans="1:26" x14ac:dyDescent="0.2">
      <c r="A1756" s="6">
        <v>3768</v>
      </c>
      <c r="B1756" s="7">
        <v>26918</v>
      </c>
      <c r="C1756" s="8">
        <f>DATE(2012,12,31)-1365</f>
        <v>39909</v>
      </c>
      <c r="D1756" s="8" t="str">
        <f t="shared" si="35"/>
        <v>2009-04 (апрель 2009)</v>
      </c>
      <c r="E1756" s="9" t="s">
        <v>21</v>
      </c>
      <c r="F1756" s="7">
        <v>16</v>
      </c>
      <c r="G1756" s="7">
        <v>77.959999999999994</v>
      </c>
      <c r="H1756" s="7">
        <v>0.05</v>
      </c>
      <c r="I1756" s="9" t="s">
        <v>22</v>
      </c>
      <c r="J1756" s="10">
        <v>16.649999999999999</v>
      </c>
      <c r="K1756" s="11">
        <v>4.84</v>
      </c>
      <c r="L1756" s="11">
        <v>0.71</v>
      </c>
      <c r="M1756" s="9" t="s">
        <v>1164</v>
      </c>
      <c r="N1756" s="6" t="s">
        <v>1123</v>
      </c>
      <c r="O1756" s="6" t="s">
        <v>1123</v>
      </c>
      <c r="P1756" s="9" t="s">
        <v>60</v>
      </c>
      <c r="Q1756" s="9" t="s">
        <v>26</v>
      </c>
      <c r="R1756" s="9" t="s">
        <v>95</v>
      </c>
      <c r="S1756" s="7" t="s">
        <v>633</v>
      </c>
      <c r="T1756" s="9" t="s">
        <v>68</v>
      </c>
      <c r="U1756" s="7">
        <v>0.52</v>
      </c>
      <c r="V1756" s="12">
        <f>C1756+9</f>
        <v>39918</v>
      </c>
      <c r="W1756">
        <f>IF(D1756=' Pivot Tables'!$A$4,1,0)</f>
        <v>0</v>
      </c>
      <c r="X1756">
        <f>IF(AND(LEFT(D1756,4)+1=LEFT(' Pivot Tables'!$A$4,4)+0,RIGHT(LEFT(D1756,7),2)=RIGHT(LEFT(' Pivot Tables'!$A$4,7),2)),1,0)</f>
        <v>0</v>
      </c>
      <c r="Y1756" s="6">
        <f>1/COUNTIF(Таблица1[Order ID],Таблица1[[#This Row],[Order ID]])</f>
        <v>1</v>
      </c>
      <c r="Z1756" s="9">
        <f>1/COUNTIFS(Таблица1[Customer Name],Таблица1[[#This Row],[Customer Name]],Таблица1[Order-Year-Month],Таблица1[[#This Row],[Order-Year-Month]])</f>
        <v>1</v>
      </c>
    </row>
    <row r="1757" spans="1:26" x14ac:dyDescent="0.2">
      <c r="A1757" s="6">
        <v>3847</v>
      </c>
      <c r="B1757" s="7">
        <v>27456</v>
      </c>
      <c r="C1757" s="8">
        <f>DATE(2012,12,31)-1361</f>
        <v>39913</v>
      </c>
      <c r="D1757" s="8" t="str">
        <f t="shared" si="35"/>
        <v>2009-04 (апрель 2009)</v>
      </c>
      <c r="E1757" s="9" t="s">
        <v>45</v>
      </c>
      <c r="F1757" s="7">
        <v>29</v>
      </c>
      <c r="G1757" s="7">
        <v>9492.92</v>
      </c>
      <c r="H1757" s="7">
        <v>0.05</v>
      </c>
      <c r="I1757" s="9" t="s">
        <v>31</v>
      </c>
      <c r="J1757" s="10">
        <v>772.04</v>
      </c>
      <c r="K1757" s="11">
        <v>328.14</v>
      </c>
      <c r="L1757" s="11">
        <v>91.05</v>
      </c>
      <c r="M1757" s="9" t="s">
        <v>1171</v>
      </c>
      <c r="N1757" s="6" t="s">
        <v>1123</v>
      </c>
      <c r="O1757" s="6" t="s">
        <v>1123</v>
      </c>
      <c r="P1757" s="9" t="s">
        <v>60</v>
      </c>
      <c r="Q1757" s="9" t="s">
        <v>26</v>
      </c>
      <c r="R1757" s="9" t="s">
        <v>34</v>
      </c>
      <c r="S1757" s="7" t="s">
        <v>1175</v>
      </c>
      <c r="T1757" s="9" t="s">
        <v>36</v>
      </c>
      <c r="U1757" s="7">
        <v>0.56999999999999995</v>
      </c>
      <c r="V1757" s="12">
        <f>C1757+1</f>
        <v>39914</v>
      </c>
      <c r="W1757">
        <f>IF(D1757=' Pivot Tables'!$A$4,1,0)</f>
        <v>0</v>
      </c>
      <c r="X1757">
        <f>IF(AND(LEFT(D1757,4)+1=LEFT(' Pivot Tables'!$A$4,4)+0,RIGHT(LEFT(D1757,7),2)=RIGHT(LEFT(' Pivot Tables'!$A$4,7),2)),1,0)</f>
        <v>0</v>
      </c>
      <c r="Y1757" s="6">
        <f>1/COUNTIF(Таблица1[Order ID],Таблица1[[#This Row],[Order ID]])</f>
        <v>1</v>
      </c>
      <c r="Z1757" s="9">
        <f>1/COUNTIFS(Таблица1[Customer Name],Таблица1[[#This Row],[Customer Name]],Таблица1[Order-Year-Month],Таблица1[[#This Row],[Order-Year-Month]])</f>
        <v>1</v>
      </c>
    </row>
    <row r="1758" spans="1:26" x14ac:dyDescent="0.2">
      <c r="A1758" s="6">
        <v>3980</v>
      </c>
      <c r="B1758" s="7">
        <v>28420</v>
      </c>
      <c r="C1758" s="8">
        <f>DATE(2012,12,31)-1194</f>
        <v>40080</v>
      </c>
      <c r="D1758" s="8" t="str">
        <f t="shared" si="35"/>
        <v>2009-09 (сентябрь 2009)</v>
      </c>
      <c r="E1758" s="9" t="s">
        <v>21</v>
      </c>
      <c r="F1758" s="7">
        <v>2</v>
      </c>
      <c r="G1758" s="7">
        <v>45.64</v>
      </c>
      <c r="H1758" s="7">
        <v>0.08</v>
      </c>
      <c r="I1758" s="9" t="s">
        <v>56</v>
      </c>
      <c r="J1758" s="10">
        <v>-0.10999999999999943</v>
      </c>
      <c r="K1758" s="11">
        <v>15.57</v>
      </c>
      <c r="L1758" s="11">
        <v>1.39</v>
      </c>
      <c r="M1758" s="9" t="s">
        <v>1166</v>
      </c>
      <c r="N1758" s="6" t="s">
        <v>1123</v>
      </c>
      <c r="O1758" s="6" t="s">
        <v>1123</v>
      </c>
      <c r="P1758" s="9" t="s">
        <v>41</v>
      </c>
      <c r="Q1758" s="9" t="s">
        <v>26</v>
      </c>
      <c r="R1758" s="9" t="s">
        <v>76</v>
      </c>
      <c r="S1758" s="7" t="s">
        <v>1176</v>
      </c>
      <c r="T1758" s="9" t="s">
        <v>39</v>
      </c>
      <c r="U1758" s="7">
        <v>0.38</v>
      </c>
      <c r="V1758" s="12">
        <f>C1758+0</f>
        <v>40080</v>
      </c>
      <c r="W1758">
        <f>IF(D1758=' Pivot Tables'!$A$4,1,0)</f>
        <v>0</v>
      </c>
      <c r="X1758">
        <f>IF(AND(LEFT(D1758,4)+1=LEFT(' Pivot Tables'!$A$4,4)+0,RIGHT(LEFT(D1758,7),2)=RIGHT(LEFT(' Pivot Tables'!$A$4,7),2)),1,0)</f>
        <v>0</v>
      </c>
      <c r="Y1758" s="6">
        <f>1/COUNTIF(Таблица1[Order ID],Таблица1[[#This Row],[Order ID]])</f>
        <v>1</v>
      </c>
      <c r="Z1758" s="9">
        <f>1/COUNTIFS(Таблица1[Customer Name],Таблица1[[#This Row],[Customer Name]],Таблица1[Order-Year-Month],Таблица1[[#This Row],[Order-Year-Month]])</f>
        <v>1</v>
      </c>
    </row>
    <row r="1759" spans="1:26" x14ac:dyDescent="0.2">
      <c r="A1759" s="6">
        <v>4123</v>
      </c>
      <c r="B1759" s="7">
        <v>29318</v>
      </c>
      <c r="C1759" s="8">
        <f>DATE(2012,12,31)-550</f>
        <v>40724</v>
      </c>
      <c r="D1759" s="8" t="str">
        <f t="shared" si="35"/>
        <v>2011-06 (июнь 2011)</v>
      </c>
      <c r="E1759" s="9" t="s">
        <v>45</v>
      </c>
      <c r="F1759" s="7">
        <v>21</v>
      </c>
      <c r="G1759" s="7">
        <v>2954.14</v>
      </c>
      <c r="H1759" s="7">
        <v>0.04</v>
      </c>
      <c r="I1759" s="9" t="s">
        <v>56</v>
      </c>
      <c r="J1759" s="10">
        <v>-522.94000000000005</v>
      </c>
      <c r="K1759" s="11">
        <v>138.13999999999999</v>
      </c>
      <c r="L1759" s="11">
        <v>35</v>
      </c>
      <c r="M1759" s="9" t="s">
        <v>1163</v>
      </c>
      <c r="N1759" s="6" t="s">
        <v>1123</v>
      </c>
      <c r="O1759" s="6" t="s">
        <v>1123</v>
      </c>
      <c r="P1759" s="9" t="s">
        <v>41</v>
      </c>
      <c r="Q1759" s="9" t="s">
        <v>26</v>
      </c>
      <c r="R1759" s="9" t="s">
        <v>27</v>
      </c>
      <c r="S1759" s="7" t="s">
        <v>58</v>
      </c>
      <c r="T1759" s="9" t="s">
        <v>29</v>
      </c>
      <c r="U1759" s="7"/>
      <c r="V1759" s="12">
        <f>C1759+1</f>
        <v>40725</v>
      </c>
      <c r="W1759">
        <f>IF(D1759=' Pivot Tables'!$A$4,1,0)</f>
        <v>0</v>
      </c>
      <c r="X1759">
        <f>IF(AND(LEFT(D1759,4)+1=LEFT(' Pivot Tables'!$A$4,4)+0,RIGHT(LEFT(D1759,7),2)=RIGHT(LEFT(' Pivot Tables'!$A$4,7),2)),1,0)</f>
        <v>0</v>
      </c>
      <c r="Y1759" s="6">
        <f>1/COUNTIF(Таблица1[Order ID],Таблица1[[#This Row],[Order ID]])</f>
        <v>0.5</v>
      </c>
      <c r="Z1759" s="9">
        <f>1/COUNTIFS(Таблица1[Customer Name],Таблица1[[#This Row],[Customer Name]],Таблица1[Order-Year-Month],Таблица1[[#This Row],[Order-Year-Month]])</f>
        <v>0.5</v>
      </c>
    </row>
    <row r="1760" spans="1:26" x14ac:dyDescent="0.2">
      <c r="A1760" s="6">
        <v>4124</v>
      </c>
      <c r="B1760" s="7">
        <v>29318</v>
      </c>
      <c r="C1760" s="8">
        <f>DATE(2012,12,31)-550</f>
        <v>40724</v>
      </c>
      <c r="D1760" s="8" t="str">
        <f t="shared" si="35"/>
        <v>2011-06 (июнь 2011)</v>
      </c>
      <c r="E1760" s="9" t="s">
        <v>45</v>
      </c>
      <c r="F1760" s="7">
        <v>34</v>
      </c>
      <c r="G1760" s="7">
        <v>3375.3074999999999</v>
      </c>
      <c r="H1760" s="7">
        <v>0.1</v>
      </c>
      <c r="I1760" s="9" t="s">
        <v>22</v>
      </c>
      <c r="J1760" s="10">
        <v>562.13100000000009</v>
      </c>
      <c r="K1760" s="11">
        <v>125.99</v>
      </c>
      <c r="L1760" s="11">
        <v>8.08</v>
      </c>
      <c r="M1760" s="9" t="s">
        <v>1163</v>
      </c>
      <c r="N1760" s="6" t="s">
        <v>1123</v>
      </c>
      <c r="O1760" s="6" t="s">
        <v>1123</v>
      </c>
      <c r="P1760" s="9" t="s">
        <v>41</v>
      </c>
      <c r="Q1760" s="9" t="s">
        <v>42</v>
      </c>
      <c r="R1760" s="9" t="s">
        <v>43</v>
      </c>
      <c r="S1760" s="7" t="s">
        <v>271</v>
      </c>
      <c r="T1760" s="9" t="s">
        <v>39</v>
      </c>
      <c r="U1760" s="7">
        <v>0.56999999999999995</v>
      </c>
      <c r="V1760" s="12">
        <f>C1760+1</f>
        <v>40725</v>
      </c>
      <c r="W1760">
        <f>IF(D1760=' Pivot Tables'!$A$4,1,0)</f>
        <v>0</v>
      </c>
      <c r="X1760">
        <f>IF(AND(LEFT(D1760,4)+1=LEFT(' Pivot Tables'!$A$4,4)+0,RIGHT(LEFT(D1760,7),2)=RIGHT(LEFT(' Pivot Tables'!$A$4,7),2)),1,0)</f>
        <v>0</v>
      </c>
      <c r="Y1760" s="6">
        <f>1/COUNTIF(Таблица1[Order ID],Таблица1[[#This Row],[Order ID]])</f>
        <v>0.5</v>
      </c>
      <c r="Z1760" s="9">
        <f>1/COUNTIFS(Таблица1[Customer Name],Таблица1[[#This Row],[Customer Name]],Таблица1[Order-Year-Month],Таблица1[[#This Row],[Order-Year-Month]])</f>
        <v>0.5</v>
      </c>
    </row>
    <row r="1761" spans="1:26" x14ac:dyDescent="0.2">
      <c r="A1761" s="6">
        <v>4223</v>
      </c>
      <c r="B1761" s="7">
        <v>30016</v>
      </c>
      <c r="C1761" s="8">
        <f>DATE(2012,12,31)-1458</f>
        <v>39816</v>
      </c>
      <c r="D1761" s="8" t="str">
        <f t="shared" si="35"/>
        <v>2009-01 (январь 2009)</v>
      </c>
      <c r="E1761" s="9" t="s">
        <v>78</v>
      </c>
      <c r="F1761" s="7">
        <v>15</v>
      </c>
      <c r="G1761" s="7">
        <v>85.56</v>
      </c>
      <c r="H1761" s="7">
        <v>0.03</v>
      </c>
      <c r="I1761" s="9" t="s">
        <v>22</v>
      </c>
      <c r="J1761" s="10">
        <v>-41.58</v>
      </c>
      <c r="K1761" s="11">
        <v>5.28</v>
      </c>
      <c r="L1761" s="11">
        <v>5.66</v>
      </c>
      <c r="M1761" s="9" t="s">
        <v>1166</v>
      </c>
      <c r="N1761" s="6" t="s">
        <v>1123</v>
      </c>
      <c r="O1761" s="6" t="s">
        <v>1123</v>
      </c>
      <c r="P1761" s="9" t="s">
        <v>41</v>
      </c>
      <c r="Q1761" s="9" t="s">
        <v>26</v>
      </c>
      <c r="R1761" s="9" t="s">
        <v>61</v>
      </c>
      <c r="S1761" s="7" t="s">
        <v>424</v>
      </c>
      <c r="T1761" s="9" t="s">
        <v>39</v>
      </c>
      <c r="U1761" s="7">
        <v>0.4</v>
      </c>
      <c r="V1761" s="12">
        <f>C1761+2</f>
        <v>39818</v>
      </c>
      <c r="W1761">
        <f>IF(D1761=' Pivot Tables'!$A$4,1,0)</f>
        <v>0</v>
      </c>
      <c r="X1761">
        <f>IF(AND(LEFT(D1761,4)+1=LEFT(' Pivot Tables'!$A$4,4)+0,RIGHT(LEFT(D1761,7),2)=RIGHT(LEFT(' Pivot Tables'!$A$4,7),2)),1,0)</f>
        <v>1</v>
      </c>
      <c r="Y1761" s="6">
        <f>1/COUNTIF(Таблица1[Order ID],Таблица1[[#This Row],[Order ID]])</f>
        <v>0.5</v>
      </c>
      <c r="Z1761" s="9">
        <f>1/COUNTIFS(Таблица1[Customer Name],Таблица1[[#This Row],[Customer Name]],Таблица1[Order-Year-Month],Таблица1[[#This Row],[Order-Year-Month]])</f>
        <v>0.5</v>
      </c>
    </row>
    <row r="1762" spans="1:26" x14ac:dyDescent="0.2">
      <c r="A1762" s="6">
        <v>4224</v>
      </c>
      <c r="B1762" s="7">
        <v>30016</v>
      </c>
      <c r="C1762" s="8">
        <f>DATE(2012,12,31)-1458</f>
        <v>39816</v>
      </c>
      <c r="D1762" s="8" t="str">
        <f t="shared" si="35"/>
        <v>2009-01 (январь 2009)</v>
      </c>
      <c r="E1762" s="9" t="s">
        <v>78</v>
      </c>
      <c r="F1762" s="7">
        <v>8</v>
      </c>
      <c r="G1762" s="7">
        <v>754.65549999999996</v>
      </c>
      <c r="H1762" s="7">
        <v>0.01</v>
      </c>
      <c r="I1762" s="9" t="s">
        <v>22</v>
      </c>
      <c r="J1762" s="10">
        <v>-212.553</v>
      </c>
      <c r="K1762" s="11">
        <v>110.99</v>
      </c>
      <c r="L1762" s="11">
        <v>2.5</v>
      </c>
      <c r="M1762" s="9" t="s">
        <v>1166</v>
      </c>
      <c r="N1762" s="6" t="s">
        <v>1123</v>
      </c>
      <c r="O1762" s="6" t="s">
        <v>1123</v>
      </c>
      <c r="P1762" s="9" t="s">
        <v>41</v>
      </c>
      <c r="Q1762" s="9" t="s">
        <v>42</v>
      </c>
      <c r="R1762" s="9" t="s">
        <v>43</v>
      </c>
      <c r="S1762" s="7" t="s">
        <v>493</v>
      </c>
      <c r="T1762" s="9" t="s">
        <v>39</v>
      </c>
      <c r="U1762" s="7">
        <v>0.56999999999999995</v>
      </c>
      <c r="V1762" s="12">
        <f>C1762+3</f>
        <v>39819</v>
      </c>
      <c r="W1762">
        <f>IF(D1762=' Pivot Tables'!$A$4,1,0)</f>
        <v>0</v>
      </c>
      <c r="X1762">
        <f>IF(AND(LEFT(D1762,4)+1=LEFT(' Pivot Tables'!$A$4,4)+0,RIGHT(LEFT(D1762,7),2)=RIGHT(LEFT(' Pivot Tables'!$A$4,7),2)),1,0)</f>
        <v>1</v>
      </c>
      <c r="Y1762" s="6">
        <f>1/COUNTIF(Таблица1[Order ID],Таблица1[[#This Row],[Order ID]])</f>
        <v>0.5</v>
      </c>
      <c r="Z1762" s="9">
        <f>1/COUNTIFS(Таблица1[Customer Name],Таблица1[[#This Row],[Customer Name]],Таблица1[Order-Year-Month],Таблица1[[#This Row],[Order-Year-Month]])</f>
        <v>0.5</v>
      </c>
    </row>
    <row r="1763" spans="1:26" x14ac:dyDescent="0.2">
      <c r="A1763" s="6">
        <v>4676</v>
      </c>
      <c r="B1763" s="7">
        <v>33255</v>
      </c>
      <c r="C1763" s="8">
        <f>DATE(2012,12,31)-921</f>
        <v>40353</v>
      </c>
      <c r="D1763" s="8" t="str">
        <f t="shared" si="35"/>
        <v>2010-06 (июнь 2010)</v>
      </c>
      <c r="E1763" s="9" t="s">
        <v>78</v>
      </c>
      <c r="F1763" s="7">
        <v>19</v>
      </c>
      <c r="G1763" s="7">
        <v>108.21</v>
      </c>
      <c r="H1763" s="7">
        <v>0.08</v>
      </c>
      <c r="I1763" s="9" t="s">
        <v>56</v>
      </c>
      <c r="J1763" s="10">
        <v>-50.02</v>
      </c>
      <c r="K1763" s="11">
        <v>5.28</v>
      </c>
      <c r="L1763" s="11">
        <v>5.66</v>
      </c>
      <c r="M1763" s="9" t="s">
        <v>1164</v>
      </c>
      <c r="N1763" s="6" t="s">
        <v>1123</v>
      </c>
      <c r="O1763" s="6" t="s">
        <v>1123</v>
      </c>
      <c r="P1763" s="9" t="s">
        <v>60</v>
      </c>
      <c r="Q1763" s="9" t="s">
        <v>26</v>
      </c>
      <c r="R1763" s="9" t="s">
        <v>61</v>
      </c>
      <c r="S1763" s="7" t="s">
        <v>424</v>
      </c>
      <c r="T1763" s="9" t="s">
        <v>39</v>
      </c>
      <c r="U1763" s="7">
        <v>0.4</v>
      </c>
      <c r="V1763" s="12">
        <f>C1763+1</f>
        <v>40354</v>
      </c>
      <c r="W1763">
        <f>IF(D1763=' Pivot Tables'!$A$4,1,0)</f>
        <v>0</v>
      </c>
      <c r="X1763">
        <f>IF(AND(LEFT(D1763,4)+1=LEFT(' Pivot Tables'!$A$4,4)+0,RIGHT(LEFT(D1763,7),2)=RIGHT(LEFT(' Pivot Tables'!$A$4,7),2)),1,0)</f>
        <v>0</v>
      </c>
      <c r="Y1763" s="6">
        <f>1/COUNTIF(Таблица1[Order ID],Таблица1[[#This Row],[Order ID]])</f>
        <v>1</v>
      </c>
      <c r="Z1763" s="9">
        <f>1/COUNTIFS(Таблица1[Customer Name],Таблица1[[#This Row],[Customer Name]],Таблица1[Order-Year-Month],Таблица1[[#This Row],[Order-Year-Month]])</f>
        <v>1</v>
      </c>
    </row>
    <row r="1764" spans="1:26" x14ac:dyDescent="0.2">
      <c r="A1764" s="6">
        <v>4933</v>
      </c>
      <c r="B1764" s="7">
        <v>35104</v>
      </c>
      <c r="C1764" s="8">
        <f>DATE(2012,12,31)-253</f>
        <v>41021</v>
      </c>
      <c r="D1764" s="8" t="str">
        <f t="shared" si="35"/>
        <v>2012-04 (апрель 2012)</v>
      </c>
      <c r="E1764" s="9" t="s">
        <v>30</v>
      </c>
      <c r="F1764" s="7">
        <v>1</v>
      </c>
      <c r="G1764" s="7">
        <v>36.31</v>
      </c>
      <c r="H1764" s="7">
        <v>0.04</v>
      </c>
      <c r="I1764" s="9" t="s">
        <v>22</v>
      </c>
      <c r="J1764" s="10">
        <v>-74.45</v>
      </c>
      <c r="K1764" s="11">
        <v>29.99</v>
      </c>
      <c r="L1764" s="11">
        <v>5.5</v>
      </c>
      <c r="M1764" s="9" t="s">
        <v>1166</v>
      </c>
      <c r="N1764" s="6" t="s">
        <v>1123</v>
      </c>
      <c r="O1764" s="6" t="s">
        <v>1123</v>
      </c>
      <c r="P1764" s="9" t="s">
        <v>25</v>
      </c>
      <c r="Q1764" s="9" t="s">
        <v>42</v>
      </c>
      <c r="R1764" s="9" t="s">
        <v>70</v>
      </c>
      <c r="S1764" s="7" t="s">
        <v>1177</v>
      </c>
      <c r="T1764" s="9" t="s">
        <v>39</v>
      </c>
      <c r="U1764" s="7">
        <v>0.51</v>
      </c>
      <c r="V1764" s="12">
        <f>C1764+3</f>
        <v>41024</v>
      </c>
      <c r="W1764">
        <f>IF(D1764=' Pivot Tables'!$A$4,1,0)</f>
        <v>0</v>
      </c>
      <c r="X1764">
        <f>IF(AND(LEFT(D1764,4)+1=LEFT(' Pivot Tables'!$A$4,4)+0,RIGHT(LEFT(D1764,7),2)=RIGHT(LEFT(' Pivot Tables'!$A$4,7),2)),1,0)</f>
        <v>0</v>
      </c>
      <c r="Y1764" s="6">
        <f>1/COUNTIF(Таблица1[Order ID],Таблица1[[#This Row],[Order ID]])</f>
        <v>0.5</v>
      </c>
      <c r="Z1764" s="9">
        <f>1/COUNTIFS(Таблица1[Customer Name],Таблица1[[#This Row],[Customer Name]],Таблица1[Order-Year-Month],Таблица1[[#This Row],[Order-Year-Month]])</f>
        <v>0.5</v>
      </c>
    </row>
    <row r="1765" spans="1:26" x14ac:dyDescent="0.2">
      <c r="A1765" s="6">
        <v>4934</v>
      </c>
      <c r="B1765" s="7">
        <v>35104</v>
      </c>
      <c r="C1765" s="8">
        <f>DATE(2012,12,31)-253</f>
        <v>41021</v>
      </c>
      <c r="D1765" s="8" t="str">
        <f t="shared" si="35"/>
        <v>2012-04 (апрель 2012)</v>
      </c>
      <c r="E1765" s="9" t="s">
        <v>30</v>
      </c>
      <c r="F1765" s="7">
        <v>18</v>
      </c>
      <c r="G1765" s="7">
        <v>388.15</v>
      </c>
      <c r="H1765" s="7">
        <v>0</v>
      </c>
      <c r="I1765" s="9" t="s">
        <v>22</v>
      </c>
      <c r="J1765" s="10">
        <v>-44.21</v>
      </c>
      <c r="K1765" s="11">
        <v>19.940000000000001</v>
      </c>
      <c r="L1765" s="11">
        <v>14.87</v>
      </c>
      <c r="M1765" s="9" t="s">
        <v>1166</v>
      </c>
      <c r="N1765" s="6" t="s">
        <v>1123</v>
      </c>
      <c r="O1765" s="6" t="s">
        <v>1123</v>
      </c>
      <c r="P1765" s="9" t="s">
        <v>25</v>
      </c>
      <c r="Q1765" s="9" t="s">
        <v>49</v>
      </c>
      <c r="R1765" s="9" t="s">
        <v>50</v>
      </c>
      <c r="S1765" s="7" t="s">
        <v>375</v>
      </c>
      <c r="T1765" s="9" t="s">
        <v>29</v>
      </c>
      <c r="U1765" s="7">
        <v>0.56999999999999995</v>
      </c>
      <c r="V1765" s="12">
        <f>C1765+2</f>
        <v>41023</v>
      </c>
      <c r="W1765">
        <f>IF(D1765=' Pivot Tables'!$A$4,1,0)</f>
        <v>0</v>
      </c>
      <c r="X1765">
        <f>IF(AND(LEFT(D1765,4)+1=LEFT(' Pivot Tables'!$A$4,4)+0,RIGHT(LEFT(D1765,7),2)=RIGHT(LEFT(' Pivot Tables'!$A$4,7),2)),1,0)</f>
        <v>0</v>
      </c>
      <c r="Y1765" s="6">
        <f>1/COUNTIF(Таблица1[Order ID],Таблица1[[#This Row],[Order ID]])</f>
        <v>0.5</v>
      </c>
      <c r="Z1765" s="9">
        <f>1/COUNTIFS(Таблица1[Customer Name],Таблица1[[#This Row],[Customer Name]],Таблица1[Order-Year-Month],Таблица1[[#This Row],[Order-Year-Month]])</f>
        <v>0.5</v>
      </c>
    </row>
    <row r="1766" spans="1:26" x14ac:dyDescent="0.2">
      <c r="A1766" s="6">
        <v>4946</v>
      </c>
      <c r="B1766" s="7">
        <v>35142</v>
      </c>
      <c r="C1766" s="8">
        <f>DATE(2012,12,31)-984</f>
        <v>40290</v>
      </c>
      <c r="D1766" s="8" t="str">
        <f t="shared" si="35"/>
        <v>2010-04 (апрель 2010)</v>
      </c>
      <c r="E1766" s="9" t="s">
        <v>21</v>
      </c>
      <c r="F1766" s="7">
        <v>11</v>
      </c>
      <c r="G1766" s="7">
        <v>231.27</v>
      </c>
      <c r="H1766" s="7">
        <v>0.03</v>
      </c>
      <c r="I1766" s="9" t="s">
        <v>22</v>
      </c>
      <c r="J1766" s="10">
        <v>89.29</v>
      </c>
      <c r="K1766" s="11">
        <v>20.239999999999998</v>
      </c>
      <c r="L1766" s="11">
        <v>6.67</v>
      </c>
      <c r="M1766" s="9" t="s">
        <v>1088</v>
      </c>
      <c r="N1766" s="6" t="s">
        <v>1123</v>
      </c>
      <c r="O1766" s="6" t="s">
        <v>1123</v>
      </c>
      <c r="P1766" s="9" t="s">
        <v>41</v>
      </c>
      <c r="Q1766" s="9" t="s">
        <v>49</v>
      </c>
      <c r="R1766" s="9" t="s">
        <v>50</v>
      </c>
      <c r="S1766" s="7" t="s">
        <v>427</v>
      </c>
      <c r="T1766" s="9" t="s">
        <v>52</v>
      </c>
      <c r="U1766" s="7">
        <v>0.49</v>
      </c>
      <c r="V1766" s="12">
        <f>C1766+2</f>
        <v>40292</v>
      </c>
      <c r="W1766">
        <f>IF(D1766=' Pivot Tables'!$A$4,1,0)</f>
        <v>0</v>
      </c>
      <c r="X1766">
        <f>IF(AND(LEFT(D1766,4)+1=LEFT(' Pivot Tables'!$A$4,4)+0,RIGHT(LEFT(D1766,7),2)=RIGHT(LEFT(' Pivot Tables'!$A$4,7),2)),1,0)</f>
        <v>0</v>
      </c>
      <c r="Y1766" s="6">
        <f>1/COUNTIF(Таблица1[Order ID],Таблица1[[#This Row],[Order ID]])</f>
        <v>1</v>
      </c>
      <c r="Z1766" s="9">
        <f>1/COUNTIFS(Таблица1[Customer Name],Таблица1[[#This Row],[Customer Name]],Таблица1[Order-Year-Month],Таблица1[[#This Row],[Order-Year-Month]])</f>
        <v>1</v>
      </c>
    </row>
    <row r="1767" spans="1:26" x14ac:dyDescent="0.2">
      <c r="A1767" s="6">
        <v>4997</v>
      </c>
      <c r="B1767" s="7">
        <v>35584</v>
      </c>
      <c r="C1767" s="8">
        <f>DATE(2012,12,31)-608</f>
        <v>40666</v>
      </c>
      <c r="D1767" s="8" t="str">
        <f t="shared" si="35"/>
        <v>2011-05 (май 2011)</v>
      </c>
      <c r="E1767" s="9" t="s">
        <v>63</v>
      </c>
      <c r="F1767" s="7">
        <v>15</v>
      </c>
      <c r="G1767" s="7">
        <v>150.33000000000001</v>
      </c>
      <c r="H1767" s="7">
        <v>0.08</v>
      </c>
      <c r="I1767" s="9" t="s">
        <v>56</v>
      </c>
      <c r="J1767" s="10">
        <v>-98.23</v>
      </c>
      <c r="K1767" s="11">
        <v>9.7100000000000009</v>
      </c>
      <c r="L1767" s="11">
        <v>9.4499999999999993</v>
      </c>
      <c r="M1767" s="9" t="s">
        <v>1088</v>
      </c>
      <c r="N1767" s="6" t="s">
        <v>1123</v>
      </c>
      <c r="O1767" s="6" t="s">
        <v>1123</v>
      </c>
      <c r="P1767" s="9" t="s">
        <v>41</v>
      </c>
      <c r="Q1767" s="9" t="s">
        <v>26</v>
      </c>
      <c r="R1767" s="9" t="s">
        <v>27</v>
      </c>
      <c r="S1767" s="7" t="s">
        <v>927</v>
      </c>
      <c r="T1767" s="9" t="s">
        <v>39</v>
      </c>
      <c r="U1767" s="7">
        <v>0.6</v>
      </c>
      <c r="V1767" s="12">
        <f>C1767+0</f>
        <v>40666</v>
      </c>
      <c r="W1767">
        <f>IF(D1767=' Pivot Tables'!$A$4,1,0)</f>
        <v>0</v>
      </c>
      <c r="X1767">
        <f>IF(AND(LEFT(D1767,4)+1=LEFT(' Pivot Tables'!$A$4,4)+0,RIGHT(LEFT(D1767,7),2)=RIGHT(LEFT(' Pivot Tables'!$A$4,7),2)),1,0)</f>
        <v>0</v>
      </c>
      <c r="Y1767" s="6">
        <f>1/COUNTIF(Таблица1[Order ID],Таблица1[[#This Row],[Order ID]])</f>
        <v>1</v>
      </c>
      <c r="Z1767" s="9">
        <f>1/COUNTIFS(Таблица1[Customer Name],Таблица1[[#This Row],[Customer Name]],Таблица1[Order-Year-Month],Таблица1[[#This Row],[Order-Year-Month]])</f>
        <v>1</v>
      </c>
    </row>
    <row r="1768" spans="1:26" x14ac:dyDescent="0.2">
      <c r="A1768" s="6">
        <v>5037</v>
      </c>
      <c r="B1768" s="7">
        <v>35908</v>
      </c>
      <c r="C1768" s="8">
        <f>DATE(2012,12,31)-750</f>
        <v>40524</v>
      </c>
      <c r="D1768" s="8" t="str">
        <f t="shared" si="35"/>
        <v>2010-12 (декабрь 2010)</v>
      </c>
      <c r="E1768" s="9" t="s">
        <v>45</v>
      </c>
      <c r="F1768" s="7">
        <v>40</v>
      </c>
      <c r="G1768" s="7">
        <v>240.18</v>
      </c>
      <c r="H1768" s="7">
        <v>0.06</v>
      </c>
      <c r="I1768" s="9" t="s">
        <v>22</v>
      </c>
      <c r="J1768" s="10">
        <v>-160.21</v>
      </c>
      <c r="K1768" s="11">
        <v>5.78</v>
      </c>
      <c r="L1768" s="11">
        <v>7.64</v>
      </c>
      <c r="M1768" s="9" t="s">
        <v>120</v>
      </c>
      <c r="N1768" s="6" t="s">
        <v>1123</v>
      </c>
      <c r="O1768" s="6" t="s">
        <v>1123</v>
      </c>
      <c r="P1768" s="9" t="s">
        <v>25</v>
      </c>
      <c r="Q1768" s="9" t="s">
        <v>26</v>
      </c>
      <c r="R1768" s="9" t="s">
        <v>61</v>
      </c>
      <c r="S1768" s="7" t="s">
        <v>804</v>
      </c>
      <c r="T1768" s="9" t="s">
        <v>39</v>
      </c>
      <c r="U1768" s="7">
        <v>0.36</v>
      </c>
      <c r="V1768" s="12">
        <f>C1768+2</f>
        <v>40526</v>
      </c>
      <c r="W1768">
        <f>IF(D1768=' Pivot Tables'!$A$4,1,0)</f>
        <v>0</v>
      </c>
      <c r="X1768">
        <f>IF(AND(LEFT(D1768,4)+1=LEFT(' Pivot Tables'!$A$4,4)+0,RIGHT(LEFT(D1768,7),2)=RIGHT(LEFT(' Pivot Tables'!$A$4,7),2)),1,0)</f>
        <v>0</v>
      </c>
      <c r="Y1768" s="6">
        <f>1/COUNTIF(Таблица1[Order ID],Таблица1[[#This Row],[Order ID]])</f>
        <v>0.5</v>
      </c>
      <c r="Z1768" s="9">
        <f>1/COUNTIFS(Таблица1[Customer Name],Таблица1[[#This Row],[Customer Name]],Таблица1[Order-Year-Month],Таблица1[[#This Row],[Order-Year-Month]])</f>
        <v>0.5</v>
      </c>
    </row>
    <row r="1769" spans="1:26" x14ac:dyDescent="0.2">
      <c r="A1769" s="6">
        <v>5038</v>
      </c>
      <c r="B1769" s="7">
        <v>35908</v>
      </c>
      <c r="C1769" s="8">
        <f>DATE(2012,12,31)-750</f>
        <v>40524</v>
      </c>
      <c r="D1769" s="8" t="str">
        <f t="shared" si="35"/>
        <v>2010-12 (декабрь 2010)</v>
      </c>
      <c r="E1769" s="9" t="s">
        <v>45</v>
      </c>
      <c r="F1769" s="7">
        <v>45</v>
      </c>
      <c r="G1769" s="7">
        <v>529.28</v>
      </c>
      <c r="H1769" s="7">
        <v>0.1</v>
      </c>
      <c r="I1769" s="9" t="s">
        <v>56</v>
      </c>
      <c r="J1769" s="10">
        <v>-30.27</v>
      </c>
      <c r="K1769" s="11">
        <v>12.21</v>
      </c>
      <c r="L1769" s="11">
        <v>4.8099999999999996</v>
      </c>
      <c r="M1769" s="9" t="s">
        <v>120</v>
      </c>
      <c r="N1769" s="6" t="s">
        <v>1123</v>
      </c>
      <c r="O1769" s="6" t="s">
        <v>1123</v>
      </c>
      <c r="P1769" s="9" t="s">
        <v>25</v>
      </c>
      <c r="Q1769" s="9" t="s">
        <v>26</v>
      </c>
      <c r="R1769" s="9" t="s">
        <v>27</v>
      </c>
      <c r="S1769" s="7" t="s">
        <v>396</v>
      </c>
      <c r="T1769" s="9" t="s">
        <v>39</v>
      </c>
      <c r="U1769" s="7">
        <v>0.57999999999999996</v>
      </c>
      <c r="V1769" s="12">
        <f>C1769+1</f>
        <v>40525</v>
      </c>
      <c r="W1769">
        <f>IF(D1769=' Pivot Tables'!$A$4,1,0)</f>
        <v>0</v>
      </c>
      <c r="X1769">
        <f>IF(AND(LEFT(D1769,4)+1=LEFT(' Pivot Tables'!$A$4,4)+0,RIGHT(LEFT(D1769,7),2)=RIGHT(LEFT(' Pivot Tables'!$A$4,7),2)),1,0)</f>
        <v>0</v>
      </c>
      <c r="Y1769" s="6">
        <f>1/COUNTIF(Таблица1[Order ID],Таблица1[[#This Row],[Order ID]])</f>
        <v>0.5</v>
      </c>
      <c r="Z1769" s="9">
        <f>1/COUNTIFS(Таблица1[Customer Name],Таблица1[[#This Row],[Customer Name]],Таблица1[Order-Year-Month],Таблица1[[#This Row],[Order-Year-Month]])</f>
        <v>0.5</v>
      </c>
    </row>
    <row r="1770" spans="1:26" x14ac:dyDescent="0.2">
      <c r="A1770" s="6">
        <v>5152</v>
      </c>
      <c r="B1770" s="7">
        <v>36706</v>
      </c>
      <c r="C1770" s="8">
        <f>DATE(2012,12,31)-1360</f>
        <v>39914</v>
      </c>
      <c r="D1770" s="8" t="str">
        <f t="shared" si="35"/>
        <v>2009-04 (апрель 2009)</v>
      </c>
      <c r="E1770" s="9" t="s">
        <v>45</v>
      </c>
      <c r="F1770" s="7">
        <v>47</v>
      </c>
      <c r="G1770" s="7">
        <v>887.45</v>
      </c>
      <c r="H1770" s="7">
        <v>0.1</v>
      </c>
      <c r="I1770" s="9" t="s">
        <v>22</v>
      </c>
      <c r="J1770" s="10">
        <v>365.78899999999999</v>
      </c>
      <c r="K1770" s="11">
        <v>20.98</v>
      </c>
      <c r="L1770" s="11">
        <v>1.49</v>
      </c>
      <c r="M1770" s="9" t="s">
        <v>120</v>
      </c>
      <c r="N1770" s="6" t="s">
        <v>1123</v>
      </c>
      <c r="O1770" s="6" t="s">
        <v>1123</v>
      </c>
      <c r="P1770" s="9" t="s">
        <v>25</v>
      </c>
      <c r="Q1770" s="9" t="s">
        <v>26</v>
      </c>
      <c r="R1770" s="9" t="s">
        <v>37</v>
      </c>
      <c r="S1770" s="7" t="s">
        <v>645</v>
      </c>
      <c r="T1770" s="9" t="s">
        <v>39</v>
      </c>
      <c r="U1770" s="7">
        <v>0.35</v>
      </c>
      <c r="V1770" s="12">
        <f>C1770+2</f>
        <v>39916</v>
      </c>
      <c r="W1770">
        <f>IF(D1770=' Pivot Tables'!$A$4,1,0)</f>
        <v>0</v>
      </c>
      <c r="X1770">
        <f>IF(AND(LEFT(D1770,4)+1=LEFT(' Pivot Tables'!$A$4,4)+0,RIGHT(LEFT(D1770,7),2)=RIGHT(LEFT(' Pivot Tables'!$A$4,7),2)),1,0)</f>
        <v>0</v>
      </c>
      <c r="Y1770" s="6">
        <f>1/COUNTIF(Таблица1[Order ID],Таблица1[[#This Row],[Order ID]])</f>
        <v>0.5</v>
      </c>
      <c r="Z1770" s="9">
        <f>1/COUNTIFS(Таблица1[Customer Name],Таблица1[[#This Row],[Customer Name]],Таблица1[Order-Year-Month],Таблица1[[#This Row],[Order-Year-Month]])</f>
        <v>0.5</v>
      </c>
    </row>
    <row r="1771" spans="1:26" x14ac:dyDescent="0.2">
      <c r="A1771" s="6">
        <v>5153</v>
      </c>
      <c r="B1771" s="7">
        <v>36706</v>
      </c>
      <c r="C1771" s="8">
        <f>DATE(2012,12,31)-1360</f>
        <v>39914</v>
      </c>
      <c r="D1771" s="8" t="str">
        <f t="shared" si="35"/>
        <v>2009-04 (апрель 2009)</v>
      </c>
      <c r="E1771" s="9" t="s">
        <v>45</v>
      </c>
      <c r="F1771" s="7">
        <v>7</v>
      </c>
      <c r="G1771" s="7">
        <v>355.97</v>
      </c>
      <c r="H1771" s="7">
        <v>0.03</v>
      </c>
      <c r="I1771" s="9" t="s">
        <v>22</v>
      </c>
      <c r="J1771" s="10">
        <v>-4.4599999999999937</v>
      </c>
      <c r="K1771" s="11">
        <v>48.04</v>
      </c>
      <c r="L1771" s="11">
        <v>19.989999999999998</v>
      </c>
      <c r="M1771" s="9" t="s">
        <v>120</v>
      </c>
      <c r="N1771" s="6" t="s">
        <v>1123</v>
      </c>
      <c r="O1771" s="6" t="s">
        <v>1123</v>
      </c>
      <c r="P1771" s="9" t="s">
        <v>25</v>
      </c>
      <c r="Q1771" s="9" t="s">
        <v>26</v>
      </c>
      <c r="R1771" s="9" t="s">
        <v>61</v>
      </c>
      <c r="S1771" s="7" t="s">
        <v>1178</v>
      </c>
      <c r="T1771" s="9" t="s">
        <v>39</v>
      </c>
      <c r="U1771" s="7">
        <v>0.37</v>
      </c>
      <c r="V1771" s="12">
        <f>C1771+2</f>
        <v>39916</v>
      </c>
      <c r="W1771">
        <f>IF(D1771=' Pivot Tables'!$A$4,1,0)</f>
        <v>0</v>
      </c>
      <c r="X1771">
        <f>IF(AND(LEFT(D1771,4)+1=LEFT(' Pivot Tables'!$A$4,4)+0,RIGHT(LEFT(D1771,7),2)=RIGHT(LEFT(' Pivot Tables'!$A$4,7),2)),1,0)</f>
        <v>0</v>
      </c>
      <c r="Y1771" s="6">
        <f>1/COUNTIF(Таблица1[Order ID],Таблица1[[#This Row],[Order ID]])</f>
        <v>0.5</v>
      </c>
      <c r="Z1771" s="9">
        <f>1/COUNTIFS(Таблица1[Customer Name],Таблица1[[#This Row],[Customer Name]],Таблица1[Order-Year-Month],Таблица1[[#This Row],[Order-Year-Month]])</f>
        <v>0.5</v>
      </c>
    </row>
    <row r="1772" spans="1:26" x14ac:dyDescent="0.2">
      <c r="A1772" s="6">
        <v>5214</v>
      </c>
      <c r="B1772" s="7">
        <v>37121</v>
      </c>
      <c r="C1772" s="8">
        <f>DATE(2012,12,31)-657</f>
        <v>40617</v>
      </c>
      <c r="D1772" s="8" t="str">
        <f t="shared" si="35"/>
        <v>2011-03 (март 2011)</v>
      </c>
      <c r="E1772" s="9" t="s">
        <v>45</v>
      </c>
      <c r="F1772" s="7">
        <v>44</v>
      </c>
      <c r="G1772" s="7">
        <v>9499.2999999999993</v>
      </c>
      <c r="H1772" s="7">
        <v>0.01</v>
      </c>
      <c r="I1772" s="9" t="s">
        <v>31</v>
      </c>
      <c r="J1772" s="10">
        <v>618.36</v>
      </c>
      <c r="K1772" s="11">
        <v>216.6</v>
      </c>
      <c r="L1772" s="11">
        <v>64.2</v>
      </c>
      <c r="M1772" s="9" t="s">
        <v>1166</v>
      </c>
      <c r="N1772" s="6" t="s">
        <v>1123</v>
      </c>
      <c r="O1772" s="6" t="s">
        <v>1123</v>
      </c>
      <c r="P1772" s="9" t="s">
        <v>41</v>
      </c>
      <c r="Q1772" s="9" t="s">
        <v>49</v>
      </c>
      <c r="R1772" s="9" t="s">
        <v>112</v>
      </c>
      <c r="S1772" s="7" t="s">
        <v>313</v>
      </c>
      <c r="T1772" s="9" t="s">
        <v>36</v>
      </c>
      <c r="U1772" s="7">
        <v>0.59</v>
      </c>
      <c r="V1772" s="12">
        <f>C1772+1</f>
        <v>40618</v>
      </c>
      <c r="W1772">
        <f>IF(D1772=' Pivot Tables'!$A$4,1,0)</f>
        <v>0</v>
      </c>
      <c r="X1772">
        <f>IF(AND(LEFT(D1772,4)+1=LEFT(' Pivot Tables'!$A$4,4)+0,RIGHT(LEFT(D1772,7),2)=RIGHT(LEFT(' Pivot Tables'!$A$4,7),2)),1,0)</f>
        <v>0</v>
      </c>
      <c r="Y1772" s="6">
        <f>1/COUNTIF(Таблица1[Order ID],Таблица1[[#This Row],[Order ID]])</f>
        <v>1</v>
      </c>
      <c r="Z1772" s="9">
        <f>1/COUNTIFS(Таблица1[Customer Name],Таблица1[[#This Row],[Customer Name]],Таблица1[Order-Year-Month],Таблица1[[#This Row],[Order-Year-Month]])</f>
        <v>0.5</v>
      </c>
    </row>
    <row r="1773" spans="1:26" x14ac:dyDescent="0.2">
      <c r="A1773" s="6">
        <v>5420</v>
      </c>
      <c r="B1773" s="7">
        <v>38528</v>
      </c>
      <c r="C1773" s="8">
        <f>DATE(2012,12,31)-377</f>
        <v>40897</v>
      </c>
      <c r="D1773" s="8" t="str">
        <f t="shared" si="35"/>
        <v>2011-12 (декабрь 2011)</v>
      </c>
      <c r="E1773" s="9" t="s">
        <v>78</v>
      </c>
      <c r="F1773" s="7">
        <v>36</v>
      </c>
      <c r="G1773" s="7">
        <v>2544.9850000000001</v>
      </c>
      <c r="H1773" s="7">
        <v>7.0000000000000007E-2</v>
      </c>
      <c r="I1773" s="9" t="s">
        <v>22</v>
      </c>
      <c r="J1773" s="10">
        <v>-113.05800000000001</v>
      </c>
      <c r="K1773" s="11">
        <v>85.99</v>
      </c>
      <c r="L1773" s="11">
        <v>0.99</v>
      </c>
      <c r="M1773" s="9" t="s">
        <v>1164</v>
      </c>
      <c r="N1773" s="6" t="s">
        <v>1123</v>
      </c>
      <c r="O1773" s="6" t="s">
        <v>1123</v>
      </c>
      <c r="P1773" s="9" t="s">
        <v>25</v>
      </c>
      <c r="Q1773" s="9" t="s">
        <v>42</v>
      </c>
      <c r="R1773" s="9" t="s">
        <v>43</v>
      </c>
      <c r="S1773" s="7" t="s">
        <v>146</v>
      </c>
      <c r="T1773" s="9" t="s">
        <v>68</v>
      </c>
      <c r="U1773" s="7">
        <v>0.85</v>
      </c>
      <c r="V1773" s="12">
        <f>C1773+1</f>
        <v>40898</v>
      </c>
      <c r="W1773">
        <f>IF(D1773=' Pivot Tables'!$A$4,1,0)</f>
        <v>0</v>
      </c>
      <c r="X1773">
        <f>IF(AND(LEFT(D1773,4)+1=LEFT(' Pivot Tables'!$A$4,4)+0,RIGHT(LEFT(D1773,7),2)=RIGHT(LEFT(' Pivot Tables'!$A$4,7),2)),1,0)</f>
        <v>0</v>
      </c>
      <c r="Y1773" s="6">
        <f>1/COUNTIF(Таблица1[Order ID],Таблица1[[#This Row],[Order ID]])</f>
        <v>0.5</v>
      </c>
      <c r="Z1773" s="9">
        <f>1/COUNTIFS(Таблица1[Customer Name],Таблица1[[#This Row],[Customer Name]],Таблица1[Order-Year-Month],Таблица1[[#This Row],[Order-Year-Month]])</f>
        <v>0.25</v>
      </c>
    </row>
    <row r="1774" spans="1:26" x14ac:dyDescent="0.2">
      <c r="A1774" s="6">
        <v>5469</v>
      </c>
      <c r="B1774" s="7">
        <v>38853</v>
      </c>
      <c r="C1774" s="8">
        <f>DATE(2012,12,31)-283</f>
        <v>40991</v>
      </c>
      <c r="D1774" s="8" t="str">
        <f t="shared" si="35"/>
        <v>2012-03 (март 2012)</v>
      </c>
      <c r="E1774" s="9" t="s">
        <v>21</v>
      </c>
      <c r="F1774" s="7">
        <v>13</v>
      </c>
      <c r="G1774" s="7">
        <v>728.02499999999998</v>
      </c>
      <c r="H1774" s="7">
        <v>0.04</v>
      </c>
      <c r="I1774" s="9" t="s">
        <v>22</v>
      </c>
      <c r="J1774" s="10">
        <v>19.997999999999998</v>
      </c>
      <c r="K1774" s="11">
        <v>65.989999999999995</v>
      </c>
      <c r="L1774" s="11">
        <v>2.5</v>
      </c>
      <c r="M1774" s="9" t="s">
        <v>1171</v>
      </c>
      <c r="N1774" s="6" t="s">
        <v>1123</v>
      </c>
      <c r="O1774" s="6" t="s">
        <v>1123</v>
      </c>
      <c r="P1774" s="9" t="s">
        <v>60</v>
      </c>
      <c r="Q1774" s="9" t="s">
        <v>42</v>
      </c>
      <c r="R1774" s="9" t="s">
        <v>43</v>
      </c>
      <c r="S1774" s="7" t="s">
        <v>1179</v>
      </c>
      <c r="T1774" s="9" t="s">
        <v>39</v>
      </c>
      <c r="U1774" s="7">
        <v>0.55000000000000004</v>
      </c>
      <c r="V1774" s="12">
        <f>C1774+4</f>
        <v>40995</v>
      </c>
      <c r="W1774">
        <f>IF(D1774=' Pivot Tables'!$A$4,1,0)</f>
        <v>0</v>
      </c>
      <c r="X1774">
        <f>IF(AND(LEFT(D1774,4)+1=LEFT(' Pivot Tables'!$A$4,4)+0,RIGHT(LEFT(D1774,7),2)=RIGHT(LEFT(' Pivot Tables'!$A$4,7),2)),1,0)</f>
        <v>0</v>
      </c>
      <c r="Y1774" s="6">
        <f>1/COUNTIF(Таблица1[Order ID],Таблица1[[#This Row],[Order ID]])</f>
        <v>1</v>
      </c>
      <c r="Z1774" s="9">
        <f>1/COUNTIFS(Таблица1[Customer Name],Таблица1[[#This Row],[Customer Name]],Таблица1[Order-Year-Month],Таблица1[[#This Row],[Order-Year-Month]])</f>
        <v>1</v>
      </c>
    </row>
    <row r="1775" spans="1:26" x14ac:dyDescent="0.2">
      <c r="A1775" s="6">
        <v>5585</v>
      </c>
      <c r="B1775" s="7">
        <v>39590</v>
      </c>
      <c r="C1775" s="8">
        <f>DATE(2012,12,31)-597</f>
        <v>40677</v>
      </c>
      <c r="D1775" s="8" t="str">
        <f t="shared" si="35"/>
        <v>2011-05 (май 2011)</v>
      </c>
      <c r="E1775" s="9" t="s">
        <v>21</v>
      </c>
      <c r="F1775" s="7">
        <v>9</v>
      </c>
      <c r="G1775" s="7">
        <v>79.25</v>
      </c>
      <c r="H1775" s="7">
        <v>0</v>
      </c>
      <c r="I1775" s="9" t="s">
        <v>56</v>
      </c>
      <c r="J1775" s="10">
        <v>-13.25</v>
      </c>
      <c r="K1775" s="11">
        <v>7.64</v>
      </c>
      <c r="L1775" s="11">
        <v>5.83</v>
      </c>
      <c r="M1775" s="9" t="s">
        <v>1115</v>
      </c>
      <c r="N1775" s="6" t="s">
        <v>1123</v>
      </c>
      <c r="O1775" s="6" t="s">
        <v>1123</v>
      </c>
      <c r="P1775" s="9" t="s">
        <v>25</v>
      </c>
      <c r="Q1775" s="9" t="s">
        <v>26</v>
      </c>
      <c r="R1775" s="9" t="s">
        <v>61</v>
      </c>
      <c r="S1775" s="7" t="s">
        <v>371</v>
      </c>
      <c r="T1775" s="9" t="s">
        <v>68</v>
      </c>
      <c r="U1775" s="7">
        <v>0.36</v>
      </c>
      <c r="V1775" s="12">
        <f>C1775+7</f>
        <v>40684</v>
      </c>
      <c r="W1775">
        <f>IF(D1775=' Pivot Tables'!$A$4,1,0)</f>
        <v>0</v>
      </c>
      <c r="X1775">
        <f>IF(AND(LEFT(D1775,4)+1=LEFT(' Pivot Tables'!$A$4,4)+0,RIGHT(LEFT(D1775,7),2)=RIGHT(LEFT(' Pivot Tables'!$A$4,7),2)),1,0)</f>
        <v>0</v>
      </c>
      <c r="Y1775" s="6">
        <f>1/COUNTIF(Таблица1[Order ID],Таблица1[[#This Row],[Order ID]])</f>
        <v>1</v>
      </c>
      <c r="Z1775" s="9">
        <f>1/COUNTIFS(Таблица1[Customer Name],Таблица1[[#This Row],[Customer Name]],Таблица1[Order-Year-Month],Таблица1[[#This Row],[Order-Year-Month]])</f>
        <v>1</v>
      </c>
    </row>
    <row r="1776" spans="1:26" x14ac:dyDescent="0.2">
      <c r="A1776" s="6">
        <v>5735</v>
      </c>
      <c r="B1776" s="7">
        <v>40707</v>
      </c>
      <c r="C1776" s="8">
        <f>DATE(2012,12,31)-1299</f>
        <v>39975</v>
      </c>
      <c r="D1776" s="8" t="str">
        <f t="shared" si="35"/>
        <v>2009-06 (июнь 2009)</v>
      </c>
      <c r="E1776" s="9" t="s">
        <v>30</v>
      </c>
      <c r="F1776" s="7">
        <v>26</v>
      </c>
      <c r="G1776" s="7">
        <v>1495.184</v>
      </c>
      <c r="H1776" s="7">
        <v>0</v>
      </c>
      <c r="I1776" s="9" t="s">
        <v>22</v>
      </c>
      <c r="J1776" s="10">
        <v>211.08599999999998</v>
      </c>
      <c r="K1776" s="11">
        <v>65.989999999999995</v>
      </c>
      <c r="L1776" s="11">
        <v>8.99</v>
      </c>
      <c r="M1776" s="9" t="s">
        <v>1180</v>
      </c>
      <c r="N1776" s="6" t="s">
        <v>1123</v>
      </c>
      <c r="O1776" s="6" t="s">
        <v>1123</v>
      </c>
      <c r="P1776" s="9" t="s">
        <v>25</v>
      </c>
      <c r="Q1776" s="9" t="s">
        <v>42</v>
      </c>
      <c r="R1776" s="9" t="s">
        <v>43</v>
      </c>
      <c r="S1776" s="7" t="s">
        <v>1181</v>
      </c>
      <c r="T1776" s="9" t="s">
        <v>39</v>
      </c>
      <c r="U1776" s="7">
        <v>0.56000000000000005</v>
      </c>
      <c r="V1776" s="12">
        <f>C1776+2</f>
        <v>39977</v>
      </c>
      <c r="W1776">
        <f>IF(D1776=' Pivot Tables'!$A$4,1,0)</f>
        <v>0</v>
      </c>
      <c r="X1776">
        <f>IF(AND(LEFT(D1776,4)+1=LEFT(' Pivot Tables'!$A$4,4)+0,RIGHT(LEFT(D1776,7),2)=RIGHT(LEFT(' Pivot Tables'!$A$4,7),2)),1,0)</f>
        <v>0</v>
      </c>
      <c r="Y1776" s="6">
        <f>1/COUNTIF(Таблица1[Order ID],Таблица1[[#This Row],[Order ID]])</f>
        <v>1</v>
      </c>
      <c r="Z1776" s="9">
        <f>1/COUNTIFS(Таблица1[Customer Name],Таблица1[[#This Row],[Customer Name]],Таблица1[Order-Year-Month],Таблица1[[#This Row],[Order-Year-Month]])</f>
        <v>0.25</v>
      </c>
    </row>
    <row r="1777" spans="1:26" x14ac:dyDescent="0.2">
      <c r="A1777" s="6">
        <v>5769</v>
      </c>
      <c r="B1777" s="7">
        <v>40961</v>
      </c>
      <c r="C1777" s="8">
        <f>DATE(2012,12,31)-642</f>
        <v>40632</v>
      </c>
      <c r="D1777" s="8" t="str">
        <f t="shared" si="35"/>
        <v>2011-03 (март 2011)</v>
      </c>
      <c r="E1777" s="9" t="s">
        <v>63</v>
      </c>
      <c r="F1777" s="7">
        <v>7</v>
      </c>
      <c r="G1777" s="7">
        <v>23.84</v>
      </c>
      <c r="H1777" s="7">
        <v>0.02</v>
      </c>
      <c r="I1777" s="9" t="s">
        <v>22</v>
      </c>
      <c r="J1777" s="10">
        <v>5.88</v>
      </c>
      <c r="K1777" s="11">
        <v>3.15</v>
      </c>
      <c r="L1777" s="11">
        <v>0.5</v>
      </c>
      <c r="M1777" s="9" t="s">
        <v>1166</v>
      </c>
      <c r="N1777" s="6" t="s">
        <v>1123</v>
      </c>
      <c r="O1777" s="6" t="s">
        <v>1123</v>
      </c>
      <c r="P1777" s="9" t="s">
        <v>41</v>
      </c>
      <c r="Q1777" s="9" t="s">
        <v>26</v>
      </c>
      <c r="R1777" s="9" t="s">
        <v>88</v>
      </c>
      <c r="S1777" s="7" t="s">
        <v>774</v>
      </c>
      <c r="T1777" s="9" t="s">
        <v>39</v>
      </c>
      <c r="U1777" s="7">
        <v>0.37</v>
      </c>
      <c r="V1777" s="12">
        <f>C1777+1</f>
        <v>40633</v>
      </c>
      <c r="W1777">
        <f>IF(D1777=' Pivot Tables'!$A$4,1,0)</f>
        <v>0</v>
      </c>
      <c r="X1777">
        <f>IF(AND(LEFT(D1777,4)+1=LEFT(' Pivot Tables'!$A$4,4)+0,RIGHT(LEFT(D1777,7),2)=RIGHT(LEFT(' Pivot Tables'!$A$4,7),2)),1,0)</f>
        <v>0</v>
      </c>
      <c r="Y1777" s="6">
        <f>1/COUNTIF(Таблица1[Order ID],Таблица1[[#This Row],[Order ID]])</f>
        <v>1</v>
      </c>
      <c r="Z1777" s="9">
        <f>1/COUNTIFS(Таблица1[Customer Name],Таблица1[[#This Row],[Customer Name]],Таблица1[Order-Year-Month],Таблица1[[#This Row],[Order-Year-Month]])</f>
        <v>0.5</v>
      </c>
    </row>
    <row r="1778" spans="1:26" x14ac:dyDescent="0.2">
      <c r="A1778" s="6">
        <v>5783</v>
      </c>
      <c r="B1778" s="7">
        <v>41026</v>
      </c>
      <c r="C1778" s="8">
        <f>DATE(2012,12,31)-622</f>
        <v>40652</v>
      </c>
      <c r="D1778" s="8" t="str">
        <f t="shared" si="35"/>
        <v>2011-04 (апрель 2011)</v>
      </c>
      <c r="E1778" s="9" t="s">
        <v>63</v>
      </c>
      <c r="F1778" s="7">
        <v>8</v>
      </c>
      <c r="G1778" s="7">
        <v>709.37</v>
      </c>
      <c r="H1778" s="7">
        <v>0.1</v>
      </c>
      <c r="I1778" s="9" t="s">
        <v>31</v>
      </c>
      <c r="J1778" s="10">
        <v>-281.76</v>
      </c>
      <c r="K1778" s="11">
        <v>89.99</v>
      </c>
      <c r="L1778" s="11">
        <v>42</v>
      </c>
      <c r="M1778" s="9" t="s">
        <v>1171</v>
      </c>
      <c r="N1778" s="6" t="s">
        <v>1123</v>
      </c>
      <c r="O1778" s="6" t="s">
        <v>1123</v>
      </c>
      <c r="P1778" s="9" t="s">
        <v>60</v>
      </c>
      <c r="Q1778" s="9" t="s">
        <v>49</v>
      </c>
      <c r="R1778" s="9" t="s">
        <v>112</v>
      </c>
      <c r="S1778" s="7" t="s">
        <v>853</v>
      </c>
      <c r="T1778" s="9" t="s">
        <v>36</v>
      </c>
      <c r="U1778" s="7">
        <v>0.66</v>
      </c>
      <c r="V1778" s="12">
        <f>C1778+1</f>
        <v>40653</v>
      </c>
      <c r="W1778">
        <f>IF(D1778=' Pivot Tables'!$A$4,1,0)</f>
        <v>0</v>
      </c>
      <c r="X1778">
        <f>IF(AND(LEFT(D1778,4)+1=LEFT(' Pivot Tables'!$A$4,4)+0,RIGHT(LEFT(D1778,7),2)=RIGHT(LEFT(' Pivot Tables'!$A$4,7),2)),1,0)</f>
        <v>0</v>
      </c>
      <c r="Y1778" s="6">
        <f>1/COUNTIF(Таблица1[Order ID],Таблица1[[#This Row],[Order ID]])</f>
        <v>0.5</v>
      </c>
      <c r="Z1778" s="9">
        <f>1/COUNTIFS(Таблица1[Customer Name],Таблица1[[#This Row],[Customer Name]],Таблица1[Order-Year-Month],Таблица1[[#This Row],[Order-Year-Month]])</f>
        <v>0.25</v>
      </c>
    </row>
    <row r="1779" spans="1:26" x14ac:dyDescent="0.2">
      <c r="A1779" s="6">
        <v>5784</v>
      </c>
      <c r="B1779" s="7">
        <v>41026</v>
      </c>
      <c r="C1779" s="8">
        <f>DATE(2012,12,31)-622</f>
        <v>40652</v>
      </c>
      <c r="D1779" s="8" t="str">
        <f t="shared" si="35"/>
        <v>2011-04 (апрель 2011)</v>
      </c>
      <c r="E1779" s="9" t="s">
        <v>63</v>
      </c>
      <c r="F1779" s="7">
        <v>19</v>
      </c>
      <c r="G1779" s="7">
        <v>59.76</v>
      </c>
      <c r="H1779" s="7">
        <v>0.1</v>
      </c>
      <c r="I1779" s="9" t="s">
        <v>56</v>
      </c>
      <c r="J1779" s="10">
        <v>-33.11</v>
      </c>
      <c r="K1779" s="11">
        <v>3.14</v>
      </c>
      <c r="L1779" s="11">
        <v>1.92</v>
      </c>
      <c r="M1779" s="9" t="s">
        <v>1171</v>
      </c>
      <c r="N1779" s="6" t="s">
        <v>1123</v>
      </c>
      <c r="O1779" s="6" t="s">
        <v>1123</v>
      </c>
      <c r="P1779" s="9" t="s">
        <v>60</v>
      </c>
      <c r="Q1779" s="9" t="s">
        <v>26</v>
      </c>
      <c r="R1779" s="9" t="s">
        <v>150</v>
      </c>
      <c r="S1779" s="7" t="s">
        <v>699</v>
      </c>
      <c r="T1779" s="9" t="s">
        <v>68</v>
      </c>
      <c r="U1779" s="7">
        <v>0.84</v>
      </c>
      <c r="V1779" s="12">
        <f>C1779+0</f>
        <v>40652</v>
      </c>
      <c r="W1779">
        <f>IF(D1779=' Pivot Tables'!$A$4,1,0)</f>
        <v>0</v>
      </c>
      <c r="X1779">
        <f>IF(AND(LEFT(D1779,4)+1=LEFT(' Pivot Tables'!$A$4,4)+0,RIGHT(LEFT(D1779,7),2)=RIGHT(LEFT(' Pivot Tables'!$A$4,7),2)),1,0)</f>
        <v>0</v>
      </c>
      <c r="Y1779" s="6">
        <f>1/COUNTIF(Таблица1[Order ID],Таблица1[[#This Row],[Order ID]])</f>
        <v>0.5</v>
      </c>
      <c r="Z1779" s="9">
        <f>1/COUNTIFS(Таблица1[Customer Name],Таблица1[[#This Row],[Customer Name]],Таблица1[Order-Year-Month],Таблица1[[#This Row],[Order-Year-Month]])</f>
        <v>0.25</v>
      </c>
    </row>
    <row r="1780" spans="1:26" x14ac:dyDescent="0.2">
      <c r="A1780" s="6">
        <v>5853</v>
      </c>
      <c r="B1780" s="7">
        <v>41543</v>
      </c>
      <c r="C1780" s="8">
        <f>DATE(2012,12,31)-1424</f>
        <v>39850</v>
      </c>
      <c r="D1780" s="8" t="str">
        <f t="shared" si="35"/>
        <v>2009-02 (февраль 2009)</v>
      </c>
      <c r="E1780" s="9" t="s">
        <v>21</v>
      </c>
      <c r="F1780" s="7">
        <v>45</v>
      </c>
      <c r="G1780" s="7">
        <v>7548.65</v>
      </c>
      <c r="H1780" s="7">
        <v>0.03</v>
      </c>
      <c r="I1780" s="9" t="s">
        <v>31</v>
      </c>
      <c r="J1780" s="10">
        <v>1385.35</v>
      </c>
      <c r="K1780" s="11">
        <v>160.97999999999999</v>
      </c>
      <c r="L1780" s="11">
        <v>30</v>
      </c>
      <c r="M1780" s="9" t="s">
        <v>1166</v>
      </c>
      <c r="N1780" s="6" t="s">
        <v>1123</v>
      </c>
      <c r="O1780" s="6" t="s">
        <v>1123</v>
      </c>
      <c r="P1780" s="9" t="s">
        <v>41</v>
      </c>
      <c r="Q1780" s="9" t="s">
        <v>49</v>
      </c>
      <c r="R1780" s="9" t="s">
        <v>112</v>
      </c>
      <c r="S1780" s="7" t="s">
        <v>746</v>
      </c>
      <c r="T1780" s="9" t="s">
        <v>36</v>
      </c>
      <c r="U1780" s="7">
        <v>0.62</v>
      </c>
      <c r="V1780" s="12">
        <f>C1780+4</f>
        <v>39854</v>
      </c>
      <c r="W1780">
        <f>IF(D1780=' Pivot Tables'!$A$4,1,0)</f>
        <v>0</v>
      </c>
      <c r="X1780">
        <f>IF(AND(LEFT(D1780,4)+1=LEFT(' Pivot Tables'!$A$4,4)+0,RIGHT(LEFT(D1780,7),2)=RIGHT(LEFT(' Pivot Tables'!$A$4,7),2)),1,0)</f>
        <v>0</v>
      </c>
      <c r="Y1780" s="6">
        <f>1/COUNTIF(Таблица1[Order ID],Таблица1[[#This Row],[Order ID]])</f>
        <v>0.5</v>
      </c>
      <c r="Z1780" s="9">
        <f>1/COUNTIFS(Таблица1[Customer Name],Таблица1[[#This Row],[Customer Name]],Таблица1[Order-Year-Month],Таблица1[[#This Row],[Order-Year-Month]])</f>
        <v>0.5</v>
      </c>
    </row>
    <row r="1781" spans="1:26" x14ac:dyDescent="0.2">
      <c r="A1781" s="6">
        <v>5854</v>
      </c>
      <c r="B1781" s="7">
        <v>41543</v>
      </c>
      <c r="C1781" s="8">
        <f>DATE(2012,12,31)-1424</f>
        <v>39850</v>
      </c>
      <c r="D1781" s="8" t="str">
        <f t="shared" si="35"/>
        <v>2009-02 (февраль 2009)</v>
      </c>
      <c r="E1781" s="9" t="s">
        <v>21</v>
      </c>
      <c r="F1781" s="7">
        <v>24</v>
      </c>
      <c r="G1781" s="7">
        <v>1318.8684999999998</v>
      </c>
      <c r="H1781" s="7">
        <v>0.03</v>
      </c>
      <c r="I1781" s="9" t="s">
        <v>22</v>
      </c>
      <c r="J1781" s="10">
        <v>172.33199999999999</v>
      </c>
      <c r="K1781" s="11">
        <v>65.989999999999995</v>
      </c>
      <c r="L1781" s="11">
        <v>3.99</v>
      </c>
      <c r="M1781" s="9" t="s">
        <v>1166</v>
      </c>
      <c r="N1781" s="6" t="s">
        <v>1123</v>
      </c>
      <c r="O1781" s="6" t="s">
        <v>1123</v>
      </c>
      <c r="P1781" s="9" t="s">
        <v>41</v>
      </c>
      <c r="Q1781" s="9" t="s">
        <v>42</v>
      </c>
      <c r="R1781" s="9" t="s">
        <v>43</v>
      </c>
      <c r="S1781" s="7" t="s">
        <v>582</v>
      </c>
      <c r="T1781" s="9" t="s">
        <v>39</v>
      </c>
      <c r="U1781" s="7">
        <v>0.59</v>
      </c>
      <c r="V1781" s="12">
        <f>C1781+4</f>
        <v>39854</v>
      </c>
      <c r="W1781">
        <f>IF(D1781=' Pivot Tables'!$A$4,1,0)</f>
        <v>0</v>
      </c>
      <c r="X1781">
        <f>IF(AND(LEFT(D1781,4)+1=LEFT(' Pivot Tables'!$A$4,4)+0,RIGHT(LEFT(D1781,7),2)=RIGHT(LEFT(' Pivot Tables'!$A$4,7),2)),1,0)</f>
        <v>0</v>
      </c>
      <c r="Y1781" s="6">
        <f>1/COUNTIF(Таблица1[Order ID],Таблица1[[#This Row],[Order ID]])</f>
        <v>0.5</v>
      </c>
      <c r="Z1781" s="9">
        <f>1/COUNTIFS(Таблица1[Customer Name],Таблица1[[#This Row],[Customer Name]],Таблица1[Order-Year-Month],Таблица1[[#This Row],[Order-Year-Month]])</f>
        <v>0.5</v>
      </c>
    </row>
    <row r="1782" spans="1:26" x14ac:dyDescent="0.2">
      <c r="A1782" s="6">
        <v>5862</v>
      </c>
      <c r="B1782" s="7">
        <v>41606</v>
      </c>
      <c r="C1782" s="8">
        <f>DATE(2012,12,31)-1287</f>
        <v>39987</v>
      </c>
      <c r="D1782" s="8" t="str">
        <f t="shared" si="35"/>
        <v>2009-06 (июнь 2009)</v>
      </c>
      <c r="E1782" s="9" t="s">
        <v>30</v>
      </c>
      <c r="F1782" s="7">
        <v>23</v>
      </c>
      <c r="G1782" s="7">
        <v>4514.8599999999997</v>
      </c>
      <c r="H1782" s="7">
        <v>0.09</v>
      </c>
      <c r="I1782" s="9" t="s">
        <v>31</v>
      </c>
      <c r="J1782" s="10">
        <v>-641.09</v>
      </c>
      <c r="K1782" s="11">
        <v>200.98</v>
      </c>
      <c r="L1782" s="11">
        <v>55.96</v>
      </c>
      <c r="M1782" s="9" t="s">
        <v>120</v>
      </c>
      <c r="N1782" s="6" t="s">
        <v>1123</v>
      </c>
      <c r="O1782" s="6" t="s">
        <v>1123</v>
      </c>
      <c r="P1782" s="9" t="s">
        <v>25</v>
      </c>
      <c r="Q1782" s="9" t="s">
        <v>49</v>
      </c>
      <c r="R1782" s="9" t="s">
        <v>80</v>
      </c>
      <c r="S1782" s="7" t="s">
        <v>1182</v>
      </c>
      <c r="T1782" s="9" t="s">
        <v>82</v>
      </c>
      <c r="U1782" s="7">
        <v>0.75</v>
      </c>
      <c r="V1782" s="12">
        <f>C1782+1</f>
        <v>39988</v>
      </c>
      <c r="W1782">
        <f>IF(D1782=' Pivot Tables'!$A$4,1,0)</f>
        <v>0</v>
      </c>
      <c r="X1782">
        <f>IF(AND(LEFT(D1782,4)+1=LEFT(' Pivot Tables'!$A$4,4)+0,RIGHT(LEFT(D1782,7),2)=RIGHT(LEFT(' Pivot Tables'!$A$4,7),2)),1,0)</f>
        <v>0</v>
      </c>
      <c r="Y1782" s="6">
        <f>1/COUNTIF(Таблица1[Order ID],Таблица1[[#This Row],[Order ID]])</f>
        <v>0.5</v>
      </c>
      <c r="Z1782" s="9">
        <f>1/COUNTIFS(Таблица1[Customer Name],Таблица1[[#This Row],[Customer Name]],Таблица1[Order-Year-Month],Таблица1[[#This Row],[Order-Year-Month]])</f>
        <v>0.5</v>
      </c>
    </row>
    <row r="1783" spans="1:26" x14ac:dyDescent="0.2">
      <c r="A1783" s="6">
        <v>5863</v>
      </c>
      <c r="B1783" s="7">
        <v>41606</v>
      </c>
      <c r="C1783" s="8">
        <f>DATE(2012,12,31)-1287</f>
        <v>39987</v>
      </c>
      <c r="D1783" s="8" t="str">
        <f t="shared" si="35"/>
        <v>2009-06 (июнь 2009)</v>
      </c>
      <c r="E1783" s="9" t="s">
        <v>30</v>
      </c>
      <c r="F1783" s="7">
        <v>30</v>
      </c>
      <c r="G1783" s="7">
        <v>79.14</v>
      </c>
      <c r="H1783" s="7">
        <v>0.09</v>
      </c>
      <c r="I1783" s="9" t="s">
        <v>22</v>
      </c>
      <c r="J1783" s="10">
        <v>-4.7300000000000004</v>
      </c>
      <c r="K1783" s="11">
        <v>2.78</v>
      </c>
      <c r="L1783" s="11">
        <v>0.97</v>
      </c>
      <c r="M1783" s="9" t="s">
        <v>120</v>
      </c>
      <c r="N1783" s="6" t="s">
        <v>1123</v>
      </c>
      <c r="O1783" s="6" t="s">
        <v>1123</v>
      </c>
      <c r="P1783" s="9" t="s">
        <v>25</v>
      </c>
      <c r="Q1783" s="9" t="s">
        <v>26</v>
      </c>
      <c r="R1783" s="9" t="s">
        <v>95</v>
      </c>
      <c r="S1783" s="7" t="s">
        <v>1183</v>
      </c>
      <c r="T1783" s="9" t="s">
        <v>68</v>
      </c>
      <c r="U1783" s="7">
        <v>0.59</v>
      </c>
      <c r="V1783" s="12">
        <f>C1783+1</f>
        <v>39988</v>
      </c>
      <c r="W1783">
        <f>IF(D1783=' Pivot Tables'!$A$4,1,0)</f>
        <v>0</v>
      </c>
      <c r="X1783">
        <f>IF(AND(LEFT(D1783,4)+1=LEFT(' Pivot Tables'!$A$4,4)+0,RIGHT(LEFT(D1783,7),2)=RIGHT(LEFT(' Pivot Tables'!$A$4,7),2)),1,0)</f>
        <v>0</v>
      </c>
      <c r="Y1783" s="6">
        <f>1/COUNTIF(Таблица1[Order ID],Таблица1[[#This Row],[Order ID]])</f>
        <v>0.5</v>
      </c>
      <c r="Z1783" s="9">
        <f>1/COUNTIFS(Таблица1[Customer Name],Таблица1[[#This Row],[Customer Name]],Таблица1[Order-Year-Month],Таблица1[[#This Row],[Order-Year-Month]])</f>
        <v>0.5</v>
      </c>
    </row>
    <row r="1784" spans="1:26" x14ac:dyDescent="0.2">
      <c r="A1784" s="6">
        <v>5913</v>
      </c>
      <c r="B1784" s="7">
        <v>41926</v>
      </c>
      <c r="C1784" s="8">
        <f>DATE(2012,12,31)-695</f>
        <v>40579</v>
      </c>
      <c r="D1784" s="8" t="str">
        <f t="shared" si="35"/>
        <v>2011-02 (февраль 2011)</v>
      </c>
      <c r="E1784" s="9" t="s">
        <v>30</v>
      </c>
      <c r="F1784" s="7">
        <v>17</v>
      </c>
      <c r="G1784" s="7">
        <v>112.57</v>
      </c>
      <c r="H1784" s="7">
        <v>0.08</v>
      </c>
      <c r="I1784" s="9" t="s">
        <v>22</v>
      </c>
      <c r="J1784" s="10">
        <v>-28.53</v>
      </c>
      <c r="K1784" s="11">
        <v>6.48</v>
      </c>
      <c r="L1784" s="11">
        <v>5.14</v>
      </c>
      <c r="M1784" s="9" t="s">
        <v>1180</v>
      </c>
      <c r="N1784" s="6" t="s">
        <v>1123</v>
      </c>
      <c r="O1784" s="6" t="s">
        <v>1123</v>
      </c>
      <c r="P1784" s="9" t="s">
        <v>25</v>
      </c>
      <c r="Q1784" s="9" t="s">
        <v>26</v>
      </c>
      <c r="R1784" s="9" t="s">
        <v>61</v>
      </c>
      <c r="S1784" s="7" t="s">
        <v>1184</v>
      </c>
      <c r="T1784" s="9" t="s">
        <v>39</v>
      </c>
      <c r="U1784" s="7">
        <v>0.37</v>
      </c>
      <c r="V1784" s="12">
        <f>C1784+1</f>
        <v>40580</v>
      </c>
      <c r="W1784">
        <f>IF(D1784=' Pivot Tables'!$A$4,1,0)</f>
        <v>0</v>
      </c>
      <c r="X1784">
        <f>IF(AND(LEFT(D1784,4)+1=LEFT(' Pivot Tables'!$A$4,4)+0,RIGHT(LEFT(D1784,7),2)=RIGHT(LEFT(' Pivot Tables'!$A$4,7),2)),1,0)</f>
        <v>0</v>
      </c>
      <c r="Y1784" s="6">
        <f>1/COUNTIF(Таблица1[Order ID],Таблица1[[#This Row],[Order ID]])</f>
        <v>0.5</v>
      </c>
      <c r="Z1784" s="9">
        <f>1/COUNTIFS(Таблица1[Customer Name],Таблица1[[#This Row],[Customer Name]],Таблица1[Order-Year-Month],Таблица1[[#This Row],[Order-Year-Month]])</f>
        <v>0.5</v>
      </c>
    </row>
    <row r="1785" spans="1:26" x14ac:dyDescent="0.2">
      <c r="A1785" s="6">
        <v>5914</v>
      </c>
      <c r="B1785" s="7">
        <v>41926</v>
      </c>
      <c r="C1785" s="8">
        <f>DATE(2012,12,31)-695</f>
        <v>40579</v>
      </c>
      <c r="D1785" s="8" t="str">
        <f t="shared" si="35"/>
        <v>2011-02 (февраль 2011)</v>
      </c>
      <c r="E1785" s="9" t="s">
        <v>30</v>
      </c>
      <c r="F1785" s="7">
        <v>43</v>
      </c>
      <c r="G1785" s="7">
        <v>1562.69</v>
      </c>
      <c r="H1785" s="7">
        <v>0</v>
      </c>
      <c r="I1785" s="9" t="s">
        <v>22</v>
      </c>
      <c r="J1785" s="10">
        <v>287.74</v>
      </c>
      <c r="K1785" s="11">
        <v>34.76</v>
      </c>
      <c r="L1785" s="11">
        <v>8.2200000000000006</v>
      </c>
      <c r="M1785" s="9" t="s">
        <v>1180</v>
      </c>
      <c r="N1785" s="6" t="s">
        <v>1123</v>
      </c>
      <c r="O1785" s="6" t="s">
        <v>1123</v>
      </c>
      <c r="P1785" s="9" t="s">
        <v>25</v>
      </c>
      <c r="Q1785" s="9" t="s">
        <v>26</v>
      </c>
      <c r="R1785" s="9" t="s">
        <v>27</v>
      </c>
      <c r="S1785" s="7" t="s">
        <v>247</v>
      </c>
      <c r="T1785" s="9" t="s">
        <v>39</v>
      </c>
      <c r="U1785" s="7">
        <v>0.56999999999999995</v>
      </c>
      <c r="V1785" s="12">
        <f>C1785+0</f>
        <v>40579</v>
      </c>
      <c r="W1785">
        <f>IF(D1785=' Pivot Tables'!$A$4,1,0)</f>
        <v>0</v>
      </c>
      <c r="X1785">
        <f>IF(AND(LEFT(D1785,4)+1=LEFT(' Pivot Tables'!$A$4,4)+0,RIGHT(LEFT(D1785,7),2)=RIGHT(LEFT(' Pivot Tables'!$A$4,7),2)),1,0)</f>
        <v>0</v>
      </c>
      <c r="Y1785" s="6">
        <f>1/COUNTIF(Таблица1[Order ID],Таблица1[[#This Row],[Order ID]])</f>
        <v>0.5</v>
      </c>
      <c r="Z1785" s="9">
        <f>1/COUNTIFS(Таблица1[Customer Name],Таблица1[[#This Row],[Customer Name]],Таблица1[Order-Year-Month],Таблица1[[#This Row],[Order-Year-Month]])</f>
        <v>0.5</v>
      </c>
    </row>
    <row r="1786" spans="1:26" x14ac:dyDescent="0.2">
      <c r="A1786" s="6">
        <v>7082</v>
      </c>
      <c r="B1786" s="7">
        <v>50533</v>
      </c>
      <c r="C1786" s="8">
        <f>DATE(2012,12,31)-580</f>
        <v>40694</v>
      </c>
      <c r="D1786" s="8" t="str">
        <f t="shared" si="35"/>
        <v>2011-05 (май 2011)</v>
      </c>
      <c r="E1786" s="9" t="s">
        <v>45</v>
      </c>
      <c r="F1786" s="7">
        <v>32</v>
      </c>
      <c r="G1786" s="7">
        <v>1974.66</v>
      </c>
      <c r="H1786" s="7">
        <v>0.06</v>
      </c>
      <c r="I1786" s="9" t="s">
        <v>56</v>
      </c>
      <c r="J1786" s="10">
        <v>-929.68</v>
      </c>
      <c r="K1786" s="11">
        <v>64.650000000000006</v>
      </c>
      <c r="L1786" s="11">
        <v>35</v>
      </c>
      <c r="M1786" s="9" t="s">
        <v>1185</v>
      </c>
      <c r="N1786" s="6" t="s">
        <v>1123</v>
      </c>
      <c r="O1786" s="6" t="s">
        <v>1123</v>
      </c>
      <c r="P1786" s="9" t="s">
        <v>25</v>
      </c>
      <c r="Q1786" s="9" t="s">
        <v>26</v>
      </c>
      <c r="R1786" s="9" t="s">
        <v>27</v>
      </c>
      <c r="S1786" s="7" t="s">
        <v>1060</v>
      </c>
      <c r="T1786" s="9" t="s">
        <v>29</v>
      </c>
      <c r="U1786" s="7">
        <v>0.8</v>
      </c>
      <c r="V1786" s="12">
        <f>C1786+2</f>
        <v>40696</v>
      </c>
      <c r="W1786">
        <f>IF(D1786=' Pivot Tables'!$A$4,1,0)</f>
        <v>0</v>
      </c>
      <c r="X1786">
        <f>IF(AND(LEFT(D1786,4)+1=LEFT(' Pivot Tables'!$A$4,4)+0,RIGHT(LEFT(D1786,7),2)=RIGHT(LEFT(' Pivot Tables'!$A$4,7),2)),1,0)</f>
        <v>0</v>
      </c>
      <c r="Y1786" s="6">
        <f>1/COUNTIF(Таблица1[Order ID],Таблица1[[#This Row],[Order ID]])</f>
        <v>0.5</v>
      </c>
      <c r="Z1786" s="9">
        <f>1/COUNTIFS(Таблица1[Customer Name],Таблица1[[#This Row],[Customer Name]],Таблица1[Order-Year-Month],Таблица1[[#This Row],[Order-Year-Month]])</f>
        <v>0.25</v>
      </c>
    </row>
    <row r="1787" spans="1:26" x14ac:dyDescent="0.2">
      <c r="A1787" s="6">
        <v>7083</v>
      </c>
      <c r="B1787" s="7">
        <v>50533</v>
      </c>
      <c r="C1787" s="8">
        <f>DATE(2012,12,31)-580</f>
        <v>40694</v>
      </c>
      <c r="D1787" s="8" t="str">
        <f t="shared" si="35"/>
        <v>2011-05 (май 2011)</v>
      </c>
      <c r="E1787" s="9" t="s">
        <v>45</v>
      </c>
      <c r="F1787" s="7">
        <v>3</v>
      </c>
      <c r="G1787" s="7">
        <v>73.44</v>
      </c>
      <c r="H1787" s="7">
        <v>0</v>
      </c>
      <c r="I1787" s="9" t="s">
        <v>31</v>
      </c>
      <c r="J1787" s="10">
        <v>-53.783999999999999</v>
      </c>
      <c r="K1787" s="11">
        <v>15.23</v>
      </c>
      <c r="L1787" s="11">
        <v>27.75</v>
      </c>
      <c r="M1787" s="9" t="s">
        <v>1185</v>
      </c>
      <c r="N1787" s="6" t="s">
        <v>1123</v>
      </c>
      <c r="O1787" s="6" t="s">
        <v>1123</v>
      </c>
      <c r="P1787" s="9" t="s">
        <v>25</v>
      </c>
      <c r="Q1787" s="9" t="s">
        <v>49</v>
      </c>
      <c r="R1787" s="9" t="s">
        <v>83</v>
      </c>
      <c r="S1787" s="7" t="s">
        <v>1186</v>
      </c>
      <c r="T1787" s="9" t="s">
        <v>82</v>
      </c>
      <c r="U1787" s="7">
        <v>0.76</v>
      </c>
      <c r="V1787" s="12">
        <f>C1787+1</f>
        <v>40695</v>
      </c>
      <c r="W1787">
        <f>IF(D1787=' Pivot Tables'!$A$4,1,0)</f>
        <v>0</v>
      </c>
      <c r="X1787">
        <f>IF(AND(LEFT(D1787,4)+1=LEFT(' Pivot Tables'!$A$4,4)+0,RIGHT(LEFT(D1787,7),2)=RIGHT(LEFT(' Pivot Tables'!$A$4,7),2)),1,0)</f>
        <v>0</v>
      </c>
      <c r="Y1787" s="6">
        <f>1/COUNTIF(Таблица1[Order ID],Таблица1[[#This Row],[Order ID]])</f>
        <v>0.5</v>
      </c>
      <c r="Z1787" s="9">
        <f>1/COUNTIFS(Таблица1[Customer Name],Таблица1[[#This Row],[Customer Name]],Таблица1[Order-Year-Month],Таблица1[[#This Row],[Order-Year-Month]])</f>
        <v>0.25</v>
      </c>
    </row>
    <row r="1788" spans="1:26" x14ac:dyDescent="0.2">
      <c r="A1788" s="6">
        <v>7252</v>
      </c>
      <c r="B1788" s="7">
        <v>51747</v>
      </c>
      <c r="C1788" s="8">
        <f>DATE(2012,12,31)-179</f>
        <v>41095</v>
      </c>
      <c r="D1788" s="8" t="str">
        <f t="shared" si="35"/>
        <v>2012-07 (июль 2012)</v>
      </c>
      <c r="E1788" s="9" t="s">
        <v>63</v>
      </c>
      <c r="F1788" s="7">
        <v>3</v>
      </c>
      <c r="G1788" s="7">
        <v>12.11</v>
      </c>
      <c r="H1788" s="7">
        <v>0.02</v>
      </c>
      <c r="I1788" s="9" t="s">
        <v>22</v>
      </c>
      <c r="J1788" s="10">
        <v>-0.98</v>
      </c>
      <c r="K1788" s="11">
        <v>3.69</v>
      </c>
      <c r="L1788" s="11">
        <v>0.5</v>
      </c>
      <c r="M1788" s="9" t="s">
        <v>1180</v>
      </c>
      <c r="N1788" s="6" t="s">
        <v>1123</v>
      </c>
      <c r="O1788" s="6" t="s">
        <v>1123</v>
      </c>
      <c r="P1788" s="9" t="s">
        <v>25</v>
      </c>
      <c r="Q1788" s="9" t="s">
        <v>26</v>
      </c>
      <c r="R1788" s="9" t="s">
        <v>88</v>
      </c>
      <c r="S1788" s="7" t="s">
        <v>89</v>
      </c>
      <c r="T1788" s="9" t="s">
        <v>39</v>
      </c>
      <c r="U1788" s="7">
        <v>0.38</v>
      </c>
      <c r="V1788" s="12">
        <f>C1788+1</f>
        <v>41096</v>
      </c>
      <c r="W1788">
        <f>IF(D1788=' Pivot Tables'!$A$4,1,0)</f>
        <v>0</v>
      </c>
      <c r="X1788">
        <f>IF(AND(LEFT(D1788,4)+1=LEFT(' Pivot Tables'!$A$4,4)+0,RIGHT(LEFT(D1788,7),2)=RIGHT(LEFT(' Pivot Tables'!$A$4,7),2)),1,0)</f>
        <v>0</v>
      </c>
      <c r="Y1788" s="6">
        <f>1/COUNTIF(Таблица1[Order ID],Таблица1[[#This Row],[Order ID]])</f>
        <v>1</v>
      </c>
      <c r="Z1788" s="9">
        <f>1/COUNTIFS(Таблица1[Customer Name],Таблица1[[#This Row],[Customer Name]],Таблица1[Order-Year-Month],Таблица1[[#This Row],[Order-Year-Month]])</f>
        <v>1</v>
      </c>
    </row>
    <row r="1789" spans="1:26" x14ac:dyDescent="0.2">
      <c r="A1789" s="6">
        <v>7469</v>
      </c>
      <c r="B1789" s="7">
        <v>53314</v>
      </c>
      <c r="C1789" s="8">
        <f>DATE(2012,12,31)-834</f>
        <v>40440</v>
      </c>
      <c r="D1789" s="8" t="str">
        <f t="shared" si="35"/>
        <v>2010-09 (сентябрь 2010)</v>
      </c>
      <c r="E1789" s="9" t="s">
        <v>30</v>
      </c>
      <c r="F1789" s="7">
        <v>33</v>
      </c>
      <c r="G1789" s="7">
        <v>2667.92</v>
      </c>
      <c r="H1789" s="7">
        <v>0.01</v>
      </c>
      <c r="I1789" s="9" t="s">
        <v>22</v>
      </c>
      <c r="J1789" s="10">
        <v>1049.02</v>
      </c>
      <c r="K1789" s="11">
        <v>78.69</v>
      </c>
      <c r="L1789" s="11">
        <v>19.989999999999998</v>
      </c>
      <c r="M1789" s="9" t="s">
        <v>1187</v>
      </c>
      <c r="N1789" s="6" t="s">
        <v>1123</v>
      </c>
      <c r="O1789" s="6" t="s">
        <v>1123</v>
      </c>
      <c r="P1789" s="9" t="s">
        <v>60</v>
      </c>
      <c r="Q1789" s="9" t="s">
        <v>49</v>
      </c>
      <c r="R1789" s="9" t="s">
        <v>50</v>
      </c>
      <c r="S1789" s="7" t="s">
        <v>788</v>
      </c>
      <c r="T1789" s="9" t="s">
        <v>39</v>
      </c>
      <c r="U1789" s="7">
        <v>0.43</v>
      </c>
      <c r="V1789" s="12">
        <f>C1789+0</f>
        <v>40440</v>
      </c>
      <c r="W1789">
        <f>IF(D1789=' Pivot Tables'!$A$4,1,0)</f>
        <v>0</v>
      </c>
      <c r="X1789">
        <f>IF(AND(LEFT(D1789,4)+1=LEFT(' Pivot Tables'!$A$4,4)+0,RIGHT(LEFT(D1789,7),2)=RIGHT(LEFT(' Pivot Tables'!$A$4,7),2)),1,0)</f>
        <v>0</v>
      </c>
      <c r="Y1789" s="6">
        <f>1/COUNTIF(Таблица1[Order ID],Таблица1[[#This Row],[Order ID]])</f>
        <v>0.5</v>
      </c>
      <c r="Z1789" s="9">
        <f>1/COUNTIFS(Таблица1[Customer Name],Таблица1[[#This Row],[Customer Name]],Таблица1[Order-Year-Month],Таблица1[[#This Row],[Order-Year-Month]])</f>
        <v>0.5</v>
      </c>
    </row>
    <row r="1790" spans="1:26" x14ac:dyDescent="0.2">
      <c r="A1790" s="6">
        <v>7470</v>
      </c>
      <c r="B1790" s="7">
        <v>53314</v>
      </c>
      <c r="C1790" s="8">
        <f>DATE(2012,12,31)-834</f>
        <v>40440</v>
      </c>
      <c r="D1790" s="8" t="str">
        <f t="shared" si="35"/>
        <v>2010-09 (сентябрь 2010)</v>
      </c>
      <c r="E1790" s="9" t="s">
        <v>30</v>
      </c>
      <c r="F1790" s="7">
        <v>15</v>
      </c>
      <c r="G1790" s="7">
        <v>2236.15</v>
      </c>
      <c r="H1790" s="7">
        <v>0.05</v>
      </c>
      <c r="I1790" s="9" t="s">
        <v>31</v>
      </c>
      <c r="J1790" s="10">
        <v>-310.95</v>
      </c>
      <c r="K1790" s="11">
        <v>145.97999999999999</v>
      </c>
      <c r="L1790" s="11">
        <v>51.92</v>
      </c>
      <c r="M1790" s="9" t="s">
        <v>1187</v>
      </c>
      <c r="N1790" s="6" t="s">
        <v>1123</v>
      </c>
      <c r="O1790" s="6" t="s">
        <v>1123</v>
      </c>
      <c r="P1790" s="9" t="s">
        <v>60</v>
      </c>
      <c r="Q1790" s="9" t="s">
        <v>49</v>
      </c>
      <c r="R1790" s="9" t="s">
        <v>83</v>
      </c>
      <c r="S1790" s="7" t="s">
        <v>938</v>
      </c>
      <c r="T1790" s="9" t="s">
        <v>82</v>
      </c>
      <c r="U1790" s="7">
        <v>0.69</v>
      </c>
      <c r="V1790" s="12">
        <f>C1790+2</f>
        <v>40442</v>
      </c>
      <c r="W1790">
        <f>IF(D1790=' Pivot Tables'!$A$4,1,0)</f>
        <v>0</v>
      </c>
      <c r="X1790">
        <f>IF(AND(LEFT(D1790,4)+1=LEFT(' Pivot Tables'!$A$4,4)+0,RIGHT(LEFT(D1790,7),2)=RIGHT(LEFT(' Pivot Tables'!$A$4,7),2)),1,0)</f>
        <v>0</v>
      </c>
      <c r="Y1790" s="6">
        <f>1/COUNTIF(Таблица1[Order ID],Таблица1[[#This Row],[Order ID]])</f>
        <v>0.5</v>
      </c>
      <c r="Z1790" s="9">
        <f>1/COUNTIFS(Таблица1[Customer Name],Таблица1[[#This Row],[Customer Name]],Таблица1[Order-Year-Month],Таблица1[[#This Row],[Order-Year-Month]])</f>
        <v>0.5</v>
      </c>
    </row>
    <row r="1791" spans="1:26" x14ac:dyDescent="0.2">
      <c r="A1791" s="6">
        <v>7648</v>
      </c>
      <c r="B1791" s="7">
        <v>54791</v>
      </c>
      <c r="C1791" s="8">
        <f>DATE(2012,12,31)-11</f>
        <v>41263</v>
      </c>
      <c r="D1791" s="8" t="str">
        <f t="shared" si="35"/>
        <v>2012-12 (декабрь 2012)</v>
      </c>
      <c r="E1791" s="9" t="s">
        <v>30</v>
      </c>
      <c r="F1791" s="7">
        <v>45</v>
      </c>
      <c r="G1791" s="7">
        <v>4165.04</v>
      </c>
      <c r="H1791" s="7">
        <v>0</v>
      </c>
      <c r="I1791" s="9" t="s">
        <v>31</v>
      </c>
      <c r="J1791" s="10">
        <v>135.68</v>
      </c>
      <c r="K1791" s="11">
        <v>90.98</v>
      </c>
      <c r="L1791" s="11">
        <v>30</v>
      </c>
      <c r="M1791" s="9" t="s">
        <v>833</v>
      </c>
      <c r="N1791" s="6" t="s">
        <v>1123</v>
      </c>
      <c r="O1791" s="6" t="s">
        <v>1123</v>
      </c>
      <c r="P1791" s="9" t="s">
        <v>41</v>
      </c>
      <c r="Q1791" s="9" t="s">
        <v>49</v>
      </c>
      <c r="R1791" s="9" t="s">
        <v>112</v>
      </c>
      <c r="S1791" s="7" t="s">
        <v>717</v>
      </c>
      <c r="T1791" s="9" t="s">
        <v>36</v>
      </c>
      <c r="U1791" s="7">
        <v>0.61</v>
      </c>
      <c r="V1791" s="12">
        <f>C1791+2</f>
        <v>41265</v>
      </c>
      <c r="W1791">
        <f>IF(D1791=' Pivot Tables'!$A$4,1,0)</f>
        <v>0</v>
      </c>
      <c r="X1791">
        <f>IF(AND(LEFT(D1791,4)+1=LEFT(' Pivot Tables'!$A$4,4)+0,RIGHT(LEFT(D1791,7),2)=RIGHT(LEFT(' Pivot Tables'!$A$4,7),2)),1,0)</f>
        <v>0</v>
      </c>
      <c r="Y1791" s="6">
        <f>1/COUNTIF(Таблица1[Order ID],Таблица1[[#This Row],[Order ID]])</f>
        <v>0.33333333333333331</v>
      </c>
      <c r="Z1791" s="9">
        <f>1/COUNTIFS(Таблица1[Customer Name],Таблица1[[#This Row],[Customer Name]],Таблица1[Order-Year-Month],Таблица1[[#This Row],[Order-Year-Month]])</f>
        <v>0.33333333333333331</v>
      </c>
    </row>
    <row r="1792" spans="1:26" x14ac:dyDescent="0.2">
      <c r="A1792" s="6">
        <v>7657</v>
      </c>
      <c r="B1792" s="7">
        <v>54912</v>
      </c>
      <c r="C1792" s="8">
        <f>DATE(2012,12,31)-529</f>
        <v>40745</v>
      </c>
      <c r="D1792" s="8" t="str">
        <f t="shared" si="35"/>
        <v>2011-07 (июль 2011)</v>
      </c>
      <c r="E1792" s="9" t="s">
        <v>21</v>
      </c>
      <c r="F1792" s="7">
        <v>17</v>
      </c>
      <c r="G1792" s="7">
        <v>117.33</v>
      </c>
      <c r="H1792" s="7">
        <v>7.0000000000000007E-2</v>
      </c>
      <c r="I1792" s="9" t="s">
        <v>22</v>
      </c>
      <c r="J1792" s="10">
        <v>10.31</v>
      </c>
      <c r="K1792" s="11">
        <v>6.69</v>
      </c>
      <c r="L1792" s="11">
        <v>3.1</v>
      </c>
      <c r="M1792" s="9" t="s">
        <v>1180</v>
      </c>
      <c r="N1792" s="6" t="s">
        <v>1123</v>
      </c>
      <c r="O1792" s="6" t="s">
        <v>1123</v>
      </c>
      <c r="P1792" s="9" t="s">
        <v>25</v>
      </c>
      <c r="Q1792" s="9" t="s">
        <v>26</v>
      </c>
      <c r="R1792" s="9" t="s">
        <v>61</v>
      </c>
      <c r="S1792" s="7" t="s">
        <v>1188</v>
      </c>
      <c r="T1792" s="9" t="s">
        <v>68</v>
      </c>
      <c r="U1792" s="7">
        <v>0.36</v>
      </c>
      <c r="V1792" s="12">
        <f>C1792+7</f>
        <v>40752</v>
      </c>
      <c r="W1792">
        <f>IF(D1792=' Pivot Tables'!$A$4,1,0)</f>
        <v>0</v>
      </c>
      <c r="X1792">
        <f>IF(AND(LEFT(D1792,4)+1=LEFT(' Pivot Tables'!$A$4,4)+0,RIGHT(LEFT(D1792,7),2)=RIGHT(LEFT(' Pivot Tables'!$A$4,7),2)),1,0)</f>
        <v>0</v>
      </c>
      <c r="Y1792" s="6">
        <f>1/COUNTIF(Таблица1[Order ID],Таблица1[[#This Row],[Order ID]])</f>
        <v>1</v>
      </c>
      <c r="Z1792" s="9">
        <f>1/COUNTIFS(Таблица1[Customer Name],Таблица1[[#This Row],[Customer Name]],Таблица1[Order-Year-Month],Таблица1[[#This Row],[Order-Year-Month]])</f>
        <v>0.5</v>
      </c>
    </row>
    <row r="1793" spans="1:26" x14ac:dyDescent="0.2">
      <c r="A1793" s="6">
        <v>7711</v>
      </c>
      <c r="B1793" s="7">
        <v>55269</v>
      </c>
      <c r="C1793" s="8">
        <f>DATE(2012,12,31)-1030</f>
        <v>40244</v>
      </c>
      <c r="D1793" s="8" t="str">
        <f t="shared" si="35"/>
        <v>2010-03 (март 2010)</v>
      </c>
      <c r="E1793" s="9" t="s">
        <v>63</v>
      </c>
      <c r="F1793" s="7">
        <v>1</v>
      </c>
      <c r="G1793" s="7">
        <v>49.61</v>
      </c>
      <c r="H1793" s="7">
        <v>0</v>
      </c>
      <c r="I1793" s="9" t="s">
        <v>22</v>
      </c>
      <c r="J1793" s="10">
        <v>-41.82</v>
      </c>
      <c r="K1793" s="11">
        <v>30.98</v>
      </c>
      <c r="L1793" s="11">
        <v>17.079999999999998</v>
      </c>
      <c r="M1793" s="9" t="s">
        <v>1185</v>
      </c>
      <c r="N1793" s="6" t="s">
        <v>1123</v>
      </c>
      <c r="O1793" s="6" t="s">
        <v>1123</v>
      </c>
      <c r="P1793" s="9" t="s">
        <v>25</v>
      </c>
      <c r="Q1793" s="9" t="s">
        <v>26</v>
      </c>
      <c r="R1793" s="9" t="s">
        <v>61</v>
      </c>
      <c r="S1793" s="7" t="s">
        <v>513</v>
      </c>
      <c r="T1793" s="9" t="s">
        <v>39</v>
      </c>
      <c r="U1793" s="7">
        <v>0.4</v>
      </c>
      <c r="V1793" s="12">
        <f>C1793+1</f>
        <v>40245</v>
      </c>
      <c r="W1793">
        <f>IF(D1793=' Pivot Tables'!$A$4,1,0)</f>
        <v>0</v>
      </c>
      <c r="X1793">
        <f>IF(AND(LEFT(D1793,4)+1=LEFT(' Pivot Tables'!$A$4,4)+0,RIGHT(LEFT(D1793,7),2)=RIGHT(LEFT(' Pivot Tables'!$A$4,7),2)),1,0)</f>
        <v>0</v>
      </c>
      <c r="Y1793" s="6">
        <f>1/COUNTIF(Таблица1[Order ID],Таблица1[[#This Row],[Order ID]])</f>
        <v>1</v>
      </c>
      <c r="Z1793" s="9">
        <f>1/COUNTIFS(Таблица1[Customer Name],Таблица1[[#This Row],[Customer Name]],Таблица1[Order-Year-Month],Таблица1[[#This Row],[Order-Year-Month]])</f>
        <v>1</v>
      </c>
    </row>
    <row r="1794" spans="1:26" x14ac:dyDescent="0.2">
      <c r="A1794" s="6">
        <v>7845</v>
      </c>
      <c r="B1794" s="7">
        <v>56101</v>
      </c>
      <c r="C1794" s="8">
        <f>DATE(2012,12,31)-896</f>
        <v>40378</v>
      </c>
      <c r="D1794" s="8" t="str">
        <f t="shared" si="35"/>
        <v>2010-07 (июль 2010)</v>
      </c>
      <c r="E1794" s="9" t="s">
        <v>45</v>
      </c>
      <c r="F1794" s="7">
        <v>1</v>
      </c>
      <c r="G1794" s="7">
        <v>21.45</v>
      </c>
      <c r="H1794" s="7">
        <v>0.01</v>
      </c>
      <c r="I1794" s="9" t="s">
        <v>22</v>
      </c>
      <c r="J1794" s="10">
        <v>-7.22</v>
      </c>
      <c r="K1794" s="11">
        <v>14.42</v>
      </c>
      <c r="L1794" s="11">
        <v>6.75</v>
      </c>
      <c r="M1794" s="9" t="s">
        <v>1166</v>
      </c>
      <c r="N1794" s="6" t="s">
        <v>1123</v>
      </c>
      <c r="O1794" s="6" t="s">
        <v>1123</v>
      </c>
      <c r="P1794" s="9" t="s">
        <v>41</v>
      </c>
      <c r="Q1794" s="9" t="s">
        <v>26</v>
      </c>
      <c r="R1794" s="9" t="s">
        <v>34</v>
      </c>
      <c r="S1794" s="7" t="s">
        <v>1036</v>
      </c>
      <c r="T1794" s="9" t="s">
        <v>48</v>
      </c>
      <c r="U1794" s="7">
        <v>0.52</v>
      </c>
      <c r="V1794" s="12">
        <f>C1794+2</f>
        <v>40380</v>
      </c>
      <c r="W1794">
        <f>IF(D1794=' Pivot Tables'!$A$4,1,0)</f>
        <v>0</v>
      </c>
      <c r="X1794">
        <f>IF(AND(LEFT(D1794,4)+1=LEFT(' Pivot Tables'!$A$4,4)+0,RIGHT(LEFT(D1794,7),2)=RIGHT(LEFT(' Pivot Tables'!$A$4,7),2)),1,0)</f>
        <v>0</v>
      </c>
      <c r="Y1794" s="6">
        <f>1/COUNTIF(Таблица1[Order ID],Таблица1[[#This Row],[Order ID]])</f>
        <v>0.5</v>
      </c>
      <c r="Z1794" s="9">
        <f>1/COUNTIFS(Таблица1[Customer Name],Таблица1[[#This Row],[Customer Name]],Таблица1[Order-Year-Month],Таблица1[[#This Row],[Order-Year-Month]])</f>
        <v>0.5</v>
      </c>
    </row>
    <row r="1795" spans="1:26" x14ac:dyDescent="0.2">
      <c r="A1795" s="6">
        <v>7846</v>
      </c>
      <c r="B1795" s="7">
        <v>56101</v>
      </c>
      <c r="C1795" s="8">
        <f>DATE(2012,12,31)-896</f>
        <v>40378</v>
      </c>
      <c r="D1795" s="8" t="str">
        <f t="shared" ref="D1795:D1858" si="36">TEXT(C1795,"гггг-ММ (ММММ гггг)")</f>
        <v>2010-07 (июль 2010)</v>
      </c>
      <c r="E1795" s="9" t="s">
        <v>45</v>
      </c>
      <c r="F1795" s="7">
        <v>44</v>
      </c>
      <c r="G1795" s="7">
        <v>5347.13</v>
      </c>
      <c r="H1795" s="7">
        <v>0.08</v>
      </c>
      <c r="I1795" s="9" t="s">
        <v>22</v>
      </c>
      <c r="J1795" s="10">
        <v>1886.4134999999999</v>
      </c>
      <c r="K1795" s="11">
        <v>122.99</v>
      </c>
      <c r="L1795" s="11">
        <v>19.989999999999998</v>
      </c>
      <c r="M1795" s="9" t="s">
        <v>1166</v>
      </c>
      <c r="N1795" s="6" t="s">
        <v>1123</v>
      </c>
      <c r="O1795" s="6" t="s">
        <v>1123</v>
      </c>
      <c r="P1795" s="9" t="s">
        <v>41</v>
      </c>
      <c r="Q1795" s="9" t="s">
        <v>26</v>
      </c>
      <c r="R1795" s="9" t="s">
        <v>37</v>
      </c>
      <c r="S1795" s="7" t="s">
        <v>870</v>
      </c>
      <c r="T1795" s="9" t="s">
        <v>39</v>
      </c>
      <c r="U1795" s="7">
        <v>0.37</v>
      </c>
      <c r="V1795" s="12">
        <f>C1795+3</f>
        <v>40381</v>
      </c>
      <c r="W1795">
        <f>IF(D1795=' Pivot Tables'!$A$4,1,0)</f>
        <v>0</v>
      </c>
      <c r="X1795">
        <f>IF(AND(LEFT(D1795,4)+1=LEFT(' Pivot Tables'!$A$4,4)+0,RIGHT(LEFT(D1795,7),2)=RIGHT(LEFT(' Pivot Tables'!$A$4,7),2)),1,0)</f>
        <v>0</v>
      </c>
      <c r="Y1795" s="6">
        <f>1/COUNTIF(Таблица1[Order ID],Таблица1[[#This Row],[Order ID]])</f>
        <v>0.5</v>
      </c>
      <c r="Z1795" s="9">
        <f>1/COUNTIFS(Таблица1[Customer Name],Таблица1[[#This Row],[Customer Name]],Таблица1[Order-Year-Month],Таблица1[[#This Row],[Order-Year-Month]])</f>
        <v>0.5</v>
      </c>
    </row>
    <row r="1796" spans="1:26" x14ac:dyDescent="0.2">
      <c r="A1796" s="6">
        <v>7917</v>
      </c>
      <c r="B1796" s="7">
        <v>56582</v>
      </c>
      <c r="C1796" s="8">
        <f>DATE(2012,12,31)-1298</f>
        <v>39976</v>
      </c>
      <c r="D1796" s="8" t="str">
        <f t="shared" si="36"/>
        <v>2009-06 (июнь 2009)</v>
      </c>
      <c r="E1796" s="9" t="s">
        <v>21</v>
      </c>
      <c r="F1796" s="7">
        <v>36</v>
      </c>
      <c r="G1796" s="7">
        <v>4581.41</v>
      </c>
      <c r="H1796" s="7">
        <v>0.04</v>
      </c>
      <c r="I1796" s="9" t="s">
        <v>31</v>
      </c>
      <c r="J1796" s="10">
        <v>-904.73</v>
      </c>
      <c r="K1796" s="11">
        <v>130.97999999999999</v>
      </c>
      <c r="L1796" s="11">
        <v>54.74</v>
      </c>
      <c r="M1796" s="9" t="s">
        <v>1180</v>
      </c>
      <c r="N1796" s="6" t="s">
        <v>1123</v>
      </c>
      <c r="O1796" s="6" t="s">
        <v>1123</v>
      </c>
      <c r="P1796" s="9" t="s">
        <v>25</v>
      </c>
      <c r="Q1796" s="9" t="s">
        <v>49</v>
      </c>
      <c r="R1796" s="9" t="s">
        <v>80</v>
      </c>
      <c r="S1796" s="7" t="s">
        <v>807</v>
      </c>
      <c r="T1796" s="9" t="s">
        <v>82</v>
      </c>
      <c r="U1796" s="7">
        <v>0.69</v>
      </c>
      <c r="V1796" s="12">
        <f>C1796+0</f>
        <v>39976</v>
      </c>
      <c r="W1796">
        <f>IF(D1796=' Pivot Tables'!$A$4,1,0)</f>
        <v>0</v>
      </c>
      <c r="X1796">
        <f>IF(AND(LEFT(D1796,4)+1=LEFT(' Pivot Tables'!$A$4,4)+0,RIGHT(LEFT(D1796,7),2)=RIGHT(LEFT(' Pivot Tables'!$A$4,7),2)),1,0)</f>
        <v>0</v>
      </c>
      <c r="Y1796" s="6">
        <f>1/COUNTIF(Таблица1[Order ID],Таблица1[[#This Row],[Order ID]])</f>
        <v>0.33333333333333331</v>
      </c>
      <c r="Z1796" s="9">
        <f>1/COUNTIFS(Таблица1[Customer Name],Таблица1[[#This Row],[Customer Name]],Таблица1[Order-Year-Month],Таблица1[[#This Row],[Order-Year-Month]])</f>
        <v>0.25</v>
      </c>
    </row>
    <row r="1797" spans="1:26" x14ac:dyDescent="0.2">
      <c r="A1797" s="6">
        <v>7932</v>
      </c>
      <c r="B1797" s="7">
        <v>56677</v>
      </c>
      <c r="C1797" s="8">
        <f>DATE(2012,12,31)-1360</f>
        <v>39914</v>
      </c>
      <c r="D1797" s="8" t="str">
        <f t="shared" si="36"/>
        <v>2009-04 (апрель 2009)</v>
      </c>
      <c r="E1797" s="9" t="s">
        <v>30</v>
      </c>
      <c r="F1797" s="7">
        <v>35</v>
      </c>
      <c r="G1797" s="7">
        <v>430.55</v>
      </c>
      <c r="H1797" s="7">
        <v>0</v>
      </c>
      <c r="I1797" s="9" t="s">
        <v>22</v>
      </c>
      <c r="J1797" s="10">
        <v>120.01</v>
      </c>
      <c r="K1797" s="11">
        <v>12.22</v>
      </c>
      <c r="L1797" s="11">
        <v>2.85</v>
      </c>
      <c r="M1797" s="9" t="s">
        <v>347</v>
      </c>
      <c r="N1797" s="6" t="s">
        <v>1123</v>
      </c>
      <c r="O1797" s="6" t="s">
        <v>1123</v>
      </c>
      <c r="P1797" s="9" t="s">
        <v>41</v>
      </c>
      <c r="Q1797" s="9" t="s">
        <v>49</v>
      </c>
      <c r="R1797" s="9" t="s">
        <v>50</v>
      </c>
      <c r="S1797" s="7" t="s">
        <v>245</v>
      </c>
      <c r="T1797" s="9" t="s">
        <v>52</v>
      </c>
      <c r="U1797" s="7">
        <v>0.55000000000000004</v>
      </c>
      <c r="V1797" s="12">
        <f>C1797+1</f>
        <v>39915</v>
      </c>
      <c r="W1797">
        <f>IF(D1797=' Pivot Tables'!$A$4,1,0)</f>
        <v>0</v>
      </c>
      <c r="X1797">
        <f>IF(AND(LEFT(D1797,4)+1=LEFT(' Pivot Tables'!$A$4,4)+0,RIGHT(LEFT(D1797,7),2)=RIGHT(LEFT(' Pivot Tables'!$A$4,7),2)),1,0)</f>
        <v>0</v>
      </c>
      <c r="Y1797" s="6">
        <f>1/COUNTIF(Таблица1[Order ID],Таблица1[[#This Row],[Order ID]])</f>
        <v>1</v>
      </c>
      <c r="Z1797" s="9">
        <f>1/COUNTIFS(Таблица1[Customer Name],Таблица1[[#This Row],[Customer Name]],Таблица1[Order-Year-Month],Таблица1[[#This Row],[Order-Year-Month]])</f>
        <v>1</v>
      </c>
    </row>
    <row r="1798" spans="1:26" x14ac:dyDescent="0.2">
      <c r="A1798" s="6">
        <v>8214</v>
      </c>
      <c r="B1798" s="7">
        <v>58725</v>
      </c>
      <c r="C1798" s="8">
        <f>DATE(2012,12,31)-956</f>
        <v>40318</v>
      </c>
      <c r="D1798" s="8" t="str">
        <f t="shared" si="36"/>
        <v>2010-05 (май 2010)</v>
      </c>
      <c r="E1798" s="9" t="s">
        <v>45</v>
      </c>
      <c r="F1798" s="7">
        <v>20</v>
      </c>
      <c r="G1798" s="7">
        <v>148.31</v>
      </c>
      <c r="H1798" s="7">
        <v>0.03</v>
      </c>
      <c r="I1798" s="9" t="s">
        <v>22</v>
      </c>
      <c r="J1798" s="10">
        <v>37.33</v>
      </c>
      <c r="K1798" s="11">
        <v>7.04</v>
      </c>
      <c r="L1798" s="11">
        <v>2.17</v>
      </c>
      <c r="M1798" s="9" t="s">
        <v>1088</v>
      </c>
      <c r="N1798" s="6" t="s">
        <v>1123</v>
      </c>
      <c r="O1798" s="6" t="s">
        <v>1123</v>
      </c>
      <c r="P1798" s="9" t="s">
        <v>41</v>
      </c>
      <c r="Q1798" s="9" t="s">
        <v>26</v>
      </c>
      <c r="R1798" s="9" t="s">
        <v>61</v>
      </c>
      <c r="S1798" s="7" t="s">
        <v>243</v>
      </c>
      <c r="T1798" s="9" t="s">
        <v>68</v>
      </c>
      <c r="U1798" s="7">
        <v>0.38</v>
      </c>
      <c r="V1798" s="12">
        <f>C1798+1</f>
        <v>40319</v>
      </c>
      <c r="W1798">
        <f>IF(D1798=' Pivot Tables'!$A$4,1,0)</f>
        <v>0</v>
      </c>
      <c r="X1798">
        <f>IF(AND(LEFT(D1798,4)+1=LEFT(' Pivot Tables'!$A$4,4)+0,RIGHT(LEFT(D1798,7),2)=RIGHT(LEFT(' Pivot Tables'!$A$4,7),2)),1,0)</f>
        <v>0</v>
      </c>
      <c r="Y1798" s="6">
        <f>1/COUNTIF(Таблица1[Order ID],Таблица1[[#This Row],[Order ID]])</f>
        <v>0.5</v>
      </c>
      <c r="Z1798" s="9">
        <f>1/COUNTIFS(Таблица1[Customer Name],Таблица1[[#This Row],[Customer Name]],Таблица1[Order-Year-Month],Таблица1[[#This Row],[Order-Year-Month]])</f>
        <v>0.5</v>
      </c>
    </row>
    <row r="1799" spans="1:26" x14ac:dyDescent="0.2">
      <c r="A1799" s="6">
        <v>8349</v>
      </c>
      <c r="B1799" s="7">
        <v>59683</v>
      </c>
      <c r="C1799" s="8">
        <f>DATE(2012,12,31)-79</f>
        <v>41195</v>
      </c>
      <c r="D1799" s="8" t="str">
        <f t="shared" si="36"/>
        <v>2012-10 (октябрь 2012)</v>
      </c>
      <c r="E1799" s="9" t="s">
        <v>45</v>
      </c>
      <c r="F1799" s="7">
        <v>37</v>
      </c>
      <c r="G1799" s="7">
        <v>191.36</v>
      </c>
      <c r="H1799" s="7">
        <v>0.05</v>
      </c>
      <c r="I1799" s="9" t="s">
        <v>22</v>
      </c>
      <c r="J1799" s="10">
        <v>-82.086999999999989</v>
      </c>
      <c r="K1799" s="11">
        <v>4.91</v>
      </c>
      <c r="L1799" s="11">
        <v>4.97</v>
      </c>
      <c r="M1799" s="9" t="s">
        <v>1166</v>
      </c>
      <c r="N1799" s="6" t="s">
        <v>1123</v>
      </c>
      <c r="O1799" s="6" t="s">
        <v>1123</v>
      </c>
      <c r="P1799" s="9" t="s">
        <v>25</v>
      </c>
      <c r="Q1799" s="9" t="s">
        <v>26</v>
      </c>
      <c r="R1799" s="9" t="s">
        <v>37</v>
      </c>
      <c r="S1799" s="7" t="s">
        <v>626</v>
      </c>
      <c r="T1799" s="9" t="s">
        <v>39</v>
      </c>
      <c r="U1799" s="7">
        <v>0.38</v>
      </c>
      <c r="V1799" s="12">
        <f>C1799+1</f>
        <v>41196</v>
      </c>
      <c r="W1799">
        <f>IF(D1799=' Pivot Tables'!$A$4,1,0)</f>
        <v>0</v>
      </c>
      <c r="X1799">
        <f>IF(AND(LEFT(D1799,4)+1=LEFT(' Pivot Tables'!$A$4,4)+0,RIGHT(LEFT(D1799,7),2)=RIGHT(LEFT(' Pivot Tables'!$A$4,7),2)),1,0)</f>
        <v>0</v>
      </c>
      <c r="Y1799" s="6">
        <f>1/COUNTIF(Таблица1[Order ID],Таблица1[[#This Row],[Order ID]])</f>
        <v>1</v>
      </c>
      <c r="Z1799" s="9">
        <f>1/COUNTIFS(Таблица1[Customer Name],Таблица1[[#This Row],[Customer Name]],Таблица1[Order-Year-Month],Таблица1[[#This Row],[Order-Year-Month]])</f>
        <v>1</v>
      </c>
    </row>
    <row r="1800" spans="1:26" x14ac:dyDescent="0.2">
      <c r="A1800" s="6">
        <v>133</v>
      </c>
      <c r="B1800" s="7">
        <v>837</v>
      </c>
      <c r="C1800" s="8">
        <f>DATE(2012,12,31)-1296</f>
        <v>39978</v>
      </c>
      <c r="D1800" s="8" t="str">
        <f t="shared" si="36"/>
        <v>2009-06 (июнь 2009)</v>
      </c>
      <c r="E1800" s="9" t="s">
        <v>45</v>
      </c>
      <c r="F1800" s="7">
        <v>11</v>
      </c>
      <c r="G1800" s="7">
        <v>65.7</v>
      </c>
      <c r="H1800" s="7">
        <v>0.01</v>
      </c>
      <c r="I1800" s="9" t="s">
        <v>22</v>
      </c>
      <c r="J1800" s="10">
        <v>13.41</v>
      </c>
      <c r="K1800" s="11">
        <v>5.84</v>
      </c>
      <c r="L1800" s="11">
        <v>0.83</v>
      </c>
      <c r="M1800" s="9" t="s">
        <v>1189</v>
      </c>
      <c r="N1800" s="6" t="s">
        <v>1123</v>
      </c>
      <c r="O1800" s="6" t="s">
        <v>1123</v>
      </c>
      <c r="P1800" s="9" t="s">
        <v>41</v>
      </c>
      <c r="Q1800" s="9" t="s">
        <v>26</v>
      </c>
      <c r="R1800" s="9" t="s">
        <v>95</v>
      </c>
      <c r="S1800" s="7" t="s">
        <v>1037</v>
      </c>
      <c r="T1800" s="9" t="s">
        <v>68</v>
      </c>
      <c r="U1800" s="7">
        <v>0.49</v>
      </c>
      <c r="V1800" s="12">
        <f>C1800+2</f>
        <v>39980</v>
      </c>
      <c r="W1800">
        <f>IF(D1800=' Pivot Tables'!$A$4,1,0)</f>
        <v>0</v>
      </c>
      <c r="X1800">
        <f>IF(AND(LEFT(D1800,4)+1=LEFT(' Pivot Tables'!$A$4,4)+0,RIGHT(LEFT(D1800,7),2)=RIGHT(LEFT(' Pivot Tables'!$A$4,7),2)),1,0)</f>
        <v>0</v>
      </c>
      <c r="Y1800" s="6">
        <f>1/COUNTIF(Таблица1[Order ID],Таблица1[[#This Row],[Order ID]])</f>
        <v>1</v>
      </c>
      <c r="Z1800" s="9">
        <f>1/COUNTIFS(Таблица1[Customer Name],Таблица1[[#This Row],[Customer Name]],Таблица1[Order-Year-Month],Таблица1[[#This Row],[Order-Year-Month]])</f>
        <v>1</v>
      </c>
    </row>
    <row r="1801" spans="1:26" x14ac:dyDescent="0.2">
      <c r="A1801" s="6">
        <v>169</v>
      </c>
      <c r="B1801" s="7">
        <v>1059</v>
      </c>
      <c r="C1801" s="8">
        <f>DATE(2012,12,31)-1404</f>
        <v>39870</v>
      </c>
      <c r="D1801" s="8" t="str">
        <f t="shared" si="36"/>
        <v>2009-02 (февраль 2009)</v>
      </c>
      <c r="E1801" s="9" t="s">
        <v>78</v>
      </c>
      <c r="F1801" s="7">
        <v>22</v>
      </c>
      <c r="G1801" s="7">
        <v>127.33</v>
      </c>
      <c r="H1801" s="7">
        <v>0.02</v>
      </c>
      <c r="I1801" s="9" t="s">
        <v>22</v>
      </c>
      <c r="J1801" s="10">
        <v>5.2955000000000005</v>
      </c>
      <c r="K1801" s="11">
        <v>5.34</v>
      </c>
      <c r="L1801" s="11">
        <v>2.99</v>
      </c>
      <c r="M1801" s="9" t="s">
        <v>1189</v>
      </c>
      <c r="N1801" s="6" t="s">
        <v>1123</v>
      </c>
      <c r="O1801" s="6" t="s">
        <v>1123</v>
      </c>
      <c r="P1801" s="9" t="s">
        <v>41</v>
      </c>
      <c r="Q1801" s="9" t="s">
        <v>26</v>
      </c>
      <c r="R1801" s="9" t="s">
        <v>37</v>
      </c>
      <c r="S1801" s="7" t="s">
        <v>407</v>
      </c>
      <c r="T1801" s="9" t="s">
        <v>39</v>
      </c>
      <c r="U1801" s="7">
        <v>0.38</v>
      </c>
      <c r="V1801" s="12">
        <f>C1801+2</f>
        <v>39872</v>
      </c>
      <c r="W1801">
        <f>IF(D1801=' Pivot Tables'!$A$4,1,0)</f>
        <v>0</v>
      </c>
      <c r="X1801">
        <f>IF(AND(LEFT(D1801,4)+1=LEFT(' Pivot Tables'!$A$4,4)+0,RIGHT(LEFT(D1801,7),2)=RIGHT(LEFT(' Pivot Tables'!$A$4,7),2)),1,0)</f>
        <v>0</v>
      </c>
      <c r="Y1801" s="6">
        <f>1/COUNTIF(Таблица1[Order ID],Таблица1[[#This Row],[Order ID]])</f>
        <v>0.5</v>
      </c>
      <c r="Z1801" s="9">
        <f>1/COUNTIFS(Таблица1[Customer Name],Таблица1[[#This Row],[Customer Name]],Таблица1[Order-Year-Month],Таблица1[[#This Row],[Order-Year-Month]])</f>
        <v>0.5</v>
      </c>
    </row>
    <row r="1802" spans="1:26" x14ac:dyDescent="0.2">
      <c r="A1802" s="6">
        <v>170</v>
      </c>
      <c r="B1802" s="7">
        <v>1059</v>
      </c>
      <c r="C1802" s="8">
        <f>DATE(2012,12,31)-1404</f>
        <v>39870</v>
      </c>
      <c r="D1802" s="8" t="str">
        <f t="shared" si="36"/>
        <v>2009-02 (февраль 2009)</v>
      </c>
      <c r="E1802" s="9" t="s">
        <v>78</v>
      </c>
      <c r="F1802" s="7">
        <v>24</v>
      </c>
      <c r="G1802" s="7">
        <v>990.1</v>
      </c>
      <c r="H1802" s="7">
        <v>0.03</v>
      </c>
      <c r="I1802" s="9" t="s">
        <v>22</v>
      </c>
      <c r="J1802" s="10">
        <v>310.21600000000001</v>
      </c>
      <c r="K1802" s="11">
        <v>40.98</v>
      </c>
      <c r="L1802" s="11">
        <v>7.47</v>
      </c>
      <c r="M1802" s="9" t="s">
        <v>1189</v>
      </c>
      <c r="N1802" s="6" t="s">
        <v>1123</v>
      </c>
      <c r="O1802" s="6" t="s">
        <v>1123</v>
      </c>
      <c r="P1802" s="9" t="s">
        <v>41</v>
      </c>
      <c r="Q1802" s="9" t="s">
        <v>26</v>
      </c>
      <c r="R1802" s="9" t="s">
        <v>37</v>
      </c>
      <c r="S1802" s="7" t="s">
        <v>591</v>
      </c>
      <c r="T1802" s="9" t="s">
        <v>39</v>
      </c>
      <c r="U1802" s="7">
        <v>0.37</v>
      </c>
      <c r="V1802" s="12">
        <f>C1802+1</f>
        <v>39871</v>
      </c>
      <c r="W1802">
        <f>IF(D1802=' Pivot Tables'!$A$4,1,0)</f>
        <v>0</v>
      </c>
      <c r="X1802">
        <f>IF(AND(LEFT(D1802,4)+1=LEFT(' Pivot Tables'!$A$4,4)+0,RIGHT(LEFT(D1802,7),2)=RIGHT(LEFT(' Pivot Tables'!$A$4,7),2)),1,0)</f>
        <v>0</v>
      </c>
      <c r="Y1802" s="6">
        <f>1/COUNTIF(Таблица1[Order ID],Таблица1[[#This Row],[Order ID]])</f>
        <v>0.5</v>
      </c>
      <c r="Z1802" s="9">
        <f>1/COUNTIFS(Таблица1[Customer Name],Таблица1[[#This Row],[Customer Name]],Таблица1[Order-Year-Month],Таблица1[[#This Row],[Order-Year-Month]])</f>
        <v>0.5</v>
      </c>
    </row>
    <row r="1803" spans="1:26" x14ac:dyDescent="0.2">
      <c r="A1803" s="6">
        <v>264</v>
      </c>
      <c r="B1803" s="7">
        <v>1826</v>
      </c>
      <c r="C1803" s="8">
        <f>DATE(2012,12,31)-260</f>
        <v>41014</v>
      </c>
      <c r="D1803" s="8" t="str">
        <f t="shared" si="36"/>
        <v>2012-04 (апрель 2012)</v>
      </c>
      <c r="E1803" s="9" t="s">
        <v>45</v>
      </c>
      <c r="F1803" s="7">
        <v>5</v>
      </c>
      <c r="G1803" s="7">
        <v>28.32</v>
      </c>
      <c r="H1803" s="7">
        <v>0.09</v>
      </c>
      <c r="I1803" s="9" t="s">
        <v>22</v>
      </c>
      <c r="J1803" s="10">
        <v>-14.35</v>
      </c>
      <c r="K1803" s="11">
        <v>4.9800000000000004</v>
      </c>
      <c r="L1803" s="11">
        <v>4.75</v>
      </c>
      <c r="M1803" s="9" t="s">
        <v>381</v>
      </c>
      <c r="N1803" s="6" t="s">
        <v>1123</v>
      </c>
      <c r="O1803" s="6" t="s">
        <v>1123</v>
      </c>
      <c r="P1803" s="9" t="s">
        <v>41</v>
      </c>
      <c r="Q1803" s="9" t="s">
        <v>26</v>
      </c>
      <c r="R1803" s="9" t="s">
        <v>61</v>
      </c>
      <c r="S1803" s="7" t="s">
        <v>156</v>
      </c>
      <c r="T1803" s="9" t="s">
        <v>39</v>
      </c>
      <c r="U1803" s="7">
        <v>0.36</v>
      </c>
      <c r="V1803" s="12">
        <f>C1803+1</f>
        <v>41015</v>
      </c>
      <c r="W1803">
        <f>IF(D1803=' Pivot Tables'!$A$4,1,0)</f>
        <v>0</v>
      </c>
      <c r="X1803">
        <f>IF(AND(LEFT(D1803,4)+1=LEFT(' Pivot Tables'!$A$4,4)+0,RIGHT(LEFT(D1803,7),2)=RIGHT(LEFT(' Pivot Tables'!$A$4,7),2)),1,0)</f>
        <v>0</v>
      </c>
      <c r="Y1803" s="6">
        <f>1/COUNTIF(Таблица1[Order ID],Таблица1[[#This Row],[Order ID]])</f>
        <v>1</v>
      </c>
      <c r="Z1803" s="9">
        <f>1/COUNTIFS(Таблица1[Customer Name],Таблица1[[#This Row],[Customer Name]],Таблица1[Order-Year-Month],Таблица1[[#This Row],[Order-Year-Month]])</f>
        <v>0.5</v>
      </c>
    </row>
    <row r="1804" spans="1:26" x14ac:dyDescent="0.2">
      <c r="A1804" s="6">
        <v>288</v>
      </c>
      <c r="B1804" s="7">
        <v>2020</v>
      </c>
      <c r="C1804" s="8">
        <f>DATE(2012,12,31)-925</f>
        <v>40349</v>
      </c>
      <c r="D1804" s="8" t="str">
        <f t="shared" si="36"/>
        <v>2010-06 (июнь 2010)</v>
      </c>
      <c r="E1804" s="9" t="s">
        <v>63</v>
      </c>
      <c r="F1804" s="7">
        <v>42</v>
      </c>
      <c r="G1804" s="7">
        <v>213.75</v>
      </c>
      <c r="H1804" s="7">
        <v>0.03</v>
      </c>
      <c r="I1804" s="9" t="s">
        <v>22</v>
      </c>
      <c r="J1804" s="10">
        <v>-188.77</v>
      </c>
      <c r="K1804" s="11">
        <v>5.0199999999999996</v>
      </c>
      <c r="L1804" s="11">
        <v>5.14</v>
      </c>
      <c r="M1804" s="9" t="s">
        <v>1190</v>
      </c>
      <c r="N1804" s="6" t="s">
        <v>1123</v>
      </c>
      <c r="O1804" s="6" t="s">
        <v>1123</v>
      </c>
      <c r="P1804" s="9" t="s">
        <v>60</v>
      </c>
      <c r="Q1804" s="9" t="s">
        <v>42</v>
      </c>
      <c r="R1804" s="9" t="s">
        <v>70</v>
      </c>
      <c r="S1804" s="7" t="s">
        <v>361</v>
      </c>
      <c r="T1804" s="9" t="s">
        <v>52</v>
      </c>
      <c r="U1804" s="7">
        <v>0.79</v>
      </c>
      <c r="V1804" s="12">
        <f>C1804+2</f>
        <v>40351</v>
      </c>
      <c r="W1804">
        <f>IF(D1804=' Pivot Tables'!$A$4,1,0)</f>
        <v>0</v>
      </c>
      <c r="X1804">
        <f>IF(AND(LEFT(D1804,4)+1=LEFT(' Pivot Tables'!$A$4,4)+0,RIGHT(LEFT(D1804,7),2)=RIGHT(LEFT(' Pivot Tables'!$A$4,7),2)),1,0)</f>
        <v>0</v>
      </c>
      <c r="Y1804" s="6">
        <f>1/COUNTIF(Таблица1[Order ID],Таблица1[[#This Row],[Order ID]])</f>
        <v>1</v>
      </c>
      <c r="Z1804" s="9">
        <f>1/COUNTIFS(Таблица1[Customer Name],Таблица1[[#This Row],[Customer Name]],Таблица1[Order-Year-Month],Таблица1[[#This Row],[Order-Year-Month]])</f>
        <v>1</v>
      </c>
    </row>
    <row r="1805" spans="1:26" x14ac:dyDescent="0.2">
      <c r="A1805" s="6">
        <v>1428</v>
      </c>
      <c r="B1805" s="7">
        <v>10340</v>
      </c>
      <c r="C1805" s="8">
        <f>DATE(2012,12,31)-558</f>
        <v>40716</v>
      </c>
      <c r="D1805" s="8" t="str">
        <f t="shared" si="36"/>
        <v>2011-06 (июнь 2011)</v>
      </c>
      <c r="E1805" s="9" t="s">
        <v>30</v>
      </c>
      <c r="F1805" s="7">
        <v>24</v>
      </c>
      <c r="G1805" s="7">
        <v>7547.14</v>
      </c>
      <c r="H1805" s="7">
        <v>0.03</v>
      </c>
      <c r="I1805" s="9" t="s">
        <v>22</v>
      </c>
      <c r="J1805" s="10">
        <v>2080.48</v>
      </c>
      <c r="K1805" s="11">
        <v>320.98</v>
      </c>
      <c r="L1805" s="11">
        <v>24.49</v>
      </c>
      <c r="M1805" s="9" t="s">
        <v>1190</v>
      </c>
      <c r="N1805" s="6" t="s">
        <v>1123</v>
      </c>
      <c r="O1805" s="6" t="s">
        <v>1123</v>
      </c>
      <c r="P1805" s="9" t="s">
        <v>60</v>
      </c>
      <c r="Q1805" s="9" t="s">
        <v>49</v>
      </c>
      <c r="R1805" s="9" t="s">
        <v>112</v>
      </c>
      <c r="S1805" s="7" t="s">
        <v>1191</v>
      </c>
      <c r="T1805" s="9" t="s">
        <v>29</v>
      </c>
      <c r="U1805" s="7">
        <v>0.55000000000000004</v>
      </c>
      <c r="V1805" s="12">
        <f>C1805+1</f>
        <v>40717</v>
      </c>
      <c r="W1805">
        <f>IF(D1805=' Pivot Tables'!$A$4,1,0)</f>
        <v>0</v>
      </c>
      <c r="X1805">
        <f>IF(AND(LEFT(D1805,4)+1=LEFT(' Pivot Tables'!$A$4,4)+0,RIGHT(LEFT(D1805,7),2)=RIGHT(LEFT(' Pivot Tables'!$A$4,7),2)),1,0)</f>
        <v>0</v>
      </c>
      <c r="Y1805" s="6">
        <f>1/COUNTIF(Таблица1[Order ID],Таблица1[[#This Row],[Order ID]])</f>
        <v>0.33333333333333331</v>
      </c>
      <c r="Z1805" s="9">
        <f>1/COUNTIFS(Таблица1[Customer Name],Таблица1[[#This Row],[Customer Name]],Таблица1[Order-Year-Month],Таблица1[[#This Row],[Order-Year-Month]])</f>
        <v>0.33333333333333331</v>
      </c>
    </row>
    <row r="1806" spans="1:26" x14ac:dyDescent="0.2">
      <c r="A1806" s="6">
        <v>1429</v>
      </c>
      <c r="B1806" s="7">
        <v>10340</v>
      </c>
      <c r="C1806" s="8">
        <f>DATE(2012,12,31)-558</f>
        <v>40716</v>
      </c>
      <c r="D1806" s="8" t="str">
        <f t="shared" si="36"/>
        <v>2011-06 (июнь 2011)</v>
      </c>
      <c r="E1806" s="9" t="s">
        <v>30</v>
      </c>
      <c r="F1806" s="7">
        <v>2</v>
      </c>
      <c r="G1806" s="7">
        <v>224.32</v>
      </c>
      <c r="H1806" s="7">
        <v>0.08</v>
      </c>
      <c r="I1806" s="9" t="s">
        <v>22</v>
      </c>
      <c r="J1806" s="10">
        <v>-178.77</v>
      </c>
      <c r="K1806" s="11">
        <v>110.98</v>
      </c>
      <c r="L1806" s="11">
        <v>13.99</v>
      </c>
      <c r="M1806" s="9" t="s">
        <v>1190</v>
      </c>
      <c r="N1806" s="6" t="s">
        <v>1123</v>
      </c>
      <c r="O1806" s="6" t="s">
        <v>1123</v>
      </c>
      <c r="P1806" s="9" t="s">
        <v>60</v>
      </c>
      <c r="Q1806" s="9" t="s">
        <v>49</v>
      </c>
      <c r="R1806" s="9" t="s">
        <v>50</v>
      </c>
      <c r="S1806" s="7" t="s">
        <v>563</v>
      </c>
      <c r="T1806" s="9" t="s">
        <v>48</v>
      </c>
      <c r="U1806" s="7">
        <v>0.69</v>
      </c>
      <c r="V1806" s="12">
        <f>C1806+1</f>
        <v>40717</v>
      </c>
      <c r="W1806">
        <f>IF(D1806=' Pivot Tables'!$A$4,1,0)</f>
        <v>0</v>
      </c>
      <c r="X1806">
        <f>IF(AND(LEFT(D1806,4)+1=LEFT(' Pivot Tables'!$A$4,4)+0,RIGHT(LEFT(D1806,7),2)=RIGHT(LEFT(' Pivot Tables'!$A$4,7),2)),1,0)</f>
        <v>0</v>
      </c>
      <c r="Y1806" s="6">
        <f>1/COUNTIF(Таблица1[Order ID],Таблица1[[#This Row],[Order ID]])</f>
        <v>0.33333333333333331</v>
      </c>
      <c r="Z1806" s="9">
        <f>1/COUNTIFS(Таблица1[Customer Name],Таблица1[[#This Row],[Customer Name]],Таблица1[Order-Year-Month],Таблица1[[#This Row],[Order-Year-Month]])</f>
        <v>0.33333333333333331</v>
      </c>
    </row>
    <row r="1807" spans="1:26" x14ac:dyDescent="0.2">
      <c r="A1807" s="6">
        <v>1430</v>
      </c>
      <c r="B1807" s="7">
        <v>10340</v>
      </c>
      <c r="C1807" s="8">
        <f>DATE(2012,12,31)-558</f>
        <v>40716</v>
      </c>
      <c r="D1807" s="8" t="str">
        <f t="shared" si="36"/>
        <v>2011-06 (июнь 2011)</v>
      </c>
      <c r="E1807" s="9" t="s">
        <v>30</v>
      </c>
      <c r="F1807" s="7">
        <v>15</v>
      </c>
      <c r="G1807" s="7">
        <v>311.98</v>
      </c>
      <c r="H1807" s="7">
        <v>0.09</v>
      </c>
      <c r="I1807" s="9" t="s">
        <v>22</v>
      </c>
      <c r="J1807" s="10">
        <v>-9.7799999999999994</v>
      </c>
      <c r="K1807" s="11">
        <v>22.01</v>
      </c>
      <c r="L1807" s="11">
        <v>5.53</v>
      </c>
      <c r="M1807" s="9" t="s">
        <v>1190</v>
      </c>
      <c r="N1807" s="6" t="s">
        <v>1123</v>
      </c>
      <c r="O1807" s="6" t="s">
        <v>1123</v>
      </c>
      <c r="P1807" s="9" t="s">
        <v>60</v>
      </c>
      <c r="Q1807" s="9" t="s">
        <v>26</v>
      </c>
      <c r="R1807" s="9" t="s">
        <v>95</v>
      </c>
      <c r="S1807" s="7" t="s">
        <v>1147</v>
      </c>
      <c r="T1807" s="9" t="s">
        <v>52</v>
      </c>
      <c r="U1807" s="7">
        <v>0.59</v>
      </c>
      <c r="V1807" s="12">
        <f>C1807+3</f>
        <v>40719</v>
      </c>
      <c r="W1807">
        <f>IF(D1807=' Pivot Tables'!$A$4,1,0)</f>
        <v>0</v>
      </c>
      <c r="X1807">
        <f>IF(AND(LEFT(D1807,4)+1=LEFT(' Pivot Tables'!$A$4,4)+0,RIGHT(LEFT(D1807,7),2)=RIGHT(LEFT(' Pivot Tables'!$A$4,7),2)),1,0)</f>
        <v>0</v>
      </c>
      <c r="Y1807" s="6">
        <f>1/COUNTIF(Таблица1[Order ID],Таблица1[[#This Row],[Order ID]])</f>
        <v>0.33333333333333331</v>
      </c>
      <c r="Z1807" s="9">
        <f>1/COUNTIFS(Таблица1[Customer Name],Таблица1[[#This Row],[Customer Name]],Таблица1[Order-Year-Month],Таблица1[[#This Row],[Order-Year-Month]])</f>
        <v>0.33333333333333331</v>
      </c>
    </row>
    <row r="1808" spans="1:26" x14ac:dyDescent="0.2">
      <c r="A1808" s="6">
        <v>1533</v>
      </c>
      <c r="B1808" s="7">
        <v>11044</v>
      </c>
      <c r="C1808" s="8">
        <f>DATE(2012,12,31)-190</f>
        <v>41084</v>
      </c>
      <c r="D1808" s="8" t="str">
        <f t="shared" si="36"/>
        <v>2012-06 (июнь 2012)</v>
      </c>
      <c r="E1808" s="9" t="s">
        <v>63</v>
      </c>
      <c r="F1808" s="7">
        <v>3</v>
      </c>
      <c r="G1808" s="7">
        <v>14.49</v>
      </c>
      <c r="H1808" s="7">
        <v>0.09</v>
      </c>
      <c r="I1808" s="9" t="s">
        <v>22</v>
      </c>
      <c r="J1808" s="10">
        <v>-12.58</v>
      </c>
      <c r="K1808" s="11">
        <v>3.28</v>
      </c>
      <c r="L1808" s="11">
        <v>5</v>
      </c>
      <c r="M1808" s="9" t="s">
        <v>1190</v>
      </c>
      <c r="N1808" s="6" t="s">
        <v>1123</v>
      </c>
      <c r="O1808" s="6" t="s">
        <v>1123</v>
      </c>
      <c r="P1808" s="9" t="s">
        <v>60</v>
      </c>
      <c r="Q1808" s="9" t="s">
        <v>26</v>
      </c>
      <c r="R1808" s="9" t="s">
        <v>95</v>
      </c>
      <c r="S1808" s="7" t="s">
        <v>878</v>
      </c>
      <c r="T1808" s="9" t="s">
        <v>68</v>
      </c>
      <c r="U1808" s="7">
        <v>0.56000000000000005</v>
      </c>
      <c r="V1808" s="12">
        <f>C1808+1</f>
        <v>41085</v>
      </c>
      <c r="W1808">
        <f>IF(D1808=' Pivot Tables'!$A$4,1,0)</f>
        <v>0</v>
      </c>
      <c r="X1808">
        <f>IF(AND(LEFT(D1808,4)+1=LEFT(' Pivot Tables'!$A$4,4)+0,RIGHT(LEFT(D1808,7),2)=RIGHT(LEFT(' Pivot Tables'!$A$4,7),2)),1,0)</f>
        <v>0</v>
      </c>
      <c r="Y1808" s="6">
        <f>1/COUNTIF(Таблица1[Order ID],Таблица1[[#This Row],[Order ID]])</f>
        <v>1</v>
      </c>
      <c r="Z1808" s="9">
        <f>1/COUNTIFS(Таблица1[Customer Name],Таблица1[[#This Row],[Customer Name]],Таблица1[Order-Year-Month],Таблица1[[#This Row],[Order-Year-Month]])</f>
        <v>1</v>
      </c>
    </row>
    <row r="1809" spans="1:26" x14ac:dyDescent="0.2">
      <c r="A1809" s="6">
        <v>1849</v>
      </c>
      <c r="B1809" s="7">
        <v>13313</v>
      </c>
      <c r="C1809" s="8">
        <f>DATE(2012,12,31)-1264</f>
        <v>40010</v>
      </c>
      <c r="D1809" s="8" t="str">
        <f t="shared" si="36"/>
        <v>2009-07 (июль 2009)</v>
      </c>
      <c r="E1809" s="9" t="s">
        <v>45</v>
      </c>
      <c r="F1809" s="7">
        <v>18</v>
      </c>
      <c r="G1809" s="7">
        <v>243.51</v>
      </c>
      <c r="H1809" s="7">
        <v>0.02</v>
      </c>
      <c r="I1809" s="9" t="s">
        <v>22</v>
      </c>
      <c r="J1809" s="10">
        <v>-159.86000000000001</v>
      </c>
      <c r="K1809" s="11">
        <v>12.99</v>
      </c>
      <c r="L1809" s="11">
        <v>14.37</v>
      </c>
      <c r="M1809" s="9" t="s">
        <v>147</v>
      </c>
      <c r="N1809" s="6" t="s">
        <v>1123</v>
      </c>
      <c r="O1809" s="6" t="s">
        <v>1123</v>
      </c>
      <c r="P1809" s="9" t="s">
        <v>60</v>
      </c>
      <c r="Q1809" s="9" t="s">
        <v>49</v>
      </c>
      <c r="R1809" s="9" t="s">
        <v>50</v>
      </c>
      <c r="S1809" s="7" t="s">
        <v>1129</v>
      </c>
      <c r="T1809" s="9" t="s">
        <v>29</v>
      </c>
      <c r="U1809" s="7">
        <v>0.73</v>
      </c>
      <c r="V1809" s="12">
        <f>C1809+2</f>
        <v>40012</v>
      </c>
      <c r="W1809">
        <f>IF(D1809=' Pivot Tables'!$A$4,1,0)</f>
        <v>0</v>
      </c>
      <c r="X1809">
        <f>IF(AND(LEFT(D1809,4)+1=LEFT(' Pivot Tables'!$A$4,4)+0,RIGHT(LEFT(D1809,7),2)=RIGHT(LEFT(' Pivot Tables'!$A$4,7),2)),1,0)</f>
        <v>0</v>
      </c>
      <c r="Y1809" s="6">
        <f>1/COUNTIF(Таблица1[Order ID],Таблица1[[#This Row],[Order ID]])</f>
        <v>0.25</v>
      </c>
      <c r="Z1809" s="9">
        <f>1/COUNTIFS(Таблица1[Customer Name],Таблица1[[#This Row],[Customer Name]],Таблица1[Order-Year-Month],Таблица1[[#This Row],[Order-Year-Month]])</f>
        <v>0.25</v>
      </c>
    </row>
    <row r="1810" spans="1:26" x14ac:dyDescent="0.2">
      <c r="A1810" s="6">
        <v>1850</v>
      </c>
      <c r="B1810" s="7">
        <v>13313</v>
      </c>
      <c r="C1810" s="8">
        <f>DATE(2012,12,31)-1264</f>
        <v>40010</v>
      </c>
      <c r="D1810" s="8" t="str">
        <f t="shared" si="36"/>
        <v>2009-07 (июль 2009)</v>
      </c>
      <c r="E1810" s="9" t="s">
        <v>45</v>
      </c>
      <c r="F1810" s="7">
        <v>22</v>
      </c>
      <c r="G1810" s="7">
        <v>755.6</v>
      </c>
      <c r="H1810" s="7">
        <v>0.05</v>
      </c>
      <c r="I1810" s="9" t="s">
        <v>22</v>
      </c>
      <c r="J1810" s="10">
        <v>223.44</v>
      </c>
      <c r="K1810" s="11">
        <v>35.44</v>
      </c>
      <c r="L1810" s="11">
        <v>7.5</v>
      </c>
      <c r="M1810" s="9" t="s">
        <v>147</v>
      </c>
      <c r="N1810" s="6" t="s">
        <v>1123</v>
      </c>
      <c r="O1810" s="6" t="s">
        <v>1123</v>
      </c>
      <c r="P1810" s="9" t="s">
        <v>60</v>
      </c>
      <c r="Q1810" s="9" t="s">
        <v>26</v>
      </c>
      <c r="R1810" s="9" t="s">
        <v>61</v>
      </c>
      <c r="S1810" s="7" t="s">
        <v>225</v>
      </c>
      <c r="T1810" s="9" t="s">
        <v>39</v>
      </c>
      <c r="U1810" s="7">
        <v>0.38</v>
      </c>
      <c r="V1810" s="12">
        <f>C1810+2</f>
        <v>40012</v>
      </c>
      <c r="W1810">
        <f>IF(D1810=' Pivot Tables'!$A$4,1,0)</f>
        <v>0</v>
      </c>
      <c r="X1810">
        <f>IF(AND(LEFT(D1810,4)+1=LEFT(' Pivot Tables'!$A$4,4)+0,RIGHT(LEFT(D1810,7),2)=RIGHT(LEFT(' Pivot Tables'!$A$4,7),2)),1,0)</f>
        <v>0</v>
      </c>
      <c r="Y1810" s="6">
        <f>1/COUNTIF(Таблица1[Order ID],Таблица1[[#This Row],[Order ID]])</f>
        <v>0.25</v>
      </c>
      <c r="Z1810" s="9">
        <f>1/COUNTIFS(Таблица1[Customer Name],Таблица1[[#This Row],[Customer Name]],Таблица1[Order-Year-Month],Таблица1[[#This Row],[Order-Year-Month]])</f>
        <v>0.25</v>
      </c>
    </row>
    <row r="1811" spans="1:26" x14ac:dyDescent="0.2">
      <c r="A1811" s="6">
        <v>1851</v>
      </c>
      <c r="B1811" s="7">
        <v>13313</v>
      </c>
      <c r="C1811" s="8">
        <f>DATE(2012,12,31)-1264</f>
        <v>40010</v>
      </c>
      <c r="D1811" s="8" t="str">
        <f t="shared" si="36"/>
        <v>2009-07 (июль 2009)</v>
      </c>
      <c r="E1811" s="9" t="s">
        <v>45</v>
      </c>
      <c r="F1811" s="7">
        <v>45</v>
      </c>
      <c r="G1811" s="7">
        <v>592.73</v>
      </c>
      <c r="H1811" s="7">
        <v>0.02</v>
      </c>
      <c r="I1811" s="9" t="s">
        <v>22</v>
      </c>
      <c r="J1811" s="10">
        <v>75.010000000000005</v>
      </c>
      <c r="K1811" s="11">
        <v>12.98</v>
      </c>
      <c r="L1811" s="11">
        <v>3.14</v>
      </c>
      <c r="M1811" s="9" t="s">
        <v>147</v>
      </c>
      <c r="N1811" s="6" t="s">
        <v>1123</v>
      </c>
      <c r="O1811" s="6" t="s">
        <v>1123</v>
      </c>
      <c r="P1811" s="9" t="s">
        <v>60</v>
      </c>
      <c r="Q1811" s="9" t="s">
        <v>26</v>
      </c>
      <c r="R1811" s="9" t="s">
        <v>150</v>
      </c>
      <c r="S1811" s="7" t="s">
        <v>356</v>
      </c>
      <c r="T1811" s="9" t="s">
        <v>52</v>
      </c>
      <c r="U1811" s="7">
        <v>0.6</v>
      </c>
      <c r="V1811" s="12">
        <f>C1811+3</f>
        <v>40013</v>
      </c>
      <c r="W1811">
        <f>IF(D1811=' Pivot Tables'!$A$4,1,0)</f>
        <v>0</v>
      </c>
      <c r="X1811">
        <f>IF(AND(LEFT(D1811,4)+1=LEFT(' Pivot Tables'!$A$4,4)+0,RIGHT(LEFT(D1811,7),2)=RIGHT(LEFT(' Pivot Tables'!$A$4,7),2)),1,0)</f>
        <v>0</v>
      </c>
      <c r="Y1811" s="6">
        <f>1/COUNTIF(Таблица1[Order ID],Таблица1[[#This Row],[Order ID]])</f>
        <v>0.25</v>
      </c>
      <c r="Z1811" s="9">
        <f>1/COUNTIFS(Таблица1[Customer Name],Таблица1[[#This Row],[Customer Name]],Таблица1[Order-Year-Month],Таблица1[[#This Row],[Order-Year-Month]])</f>
        <v>0.25</v>
      </c>
    </row>
    <row r="1812" spans="1:26" x14ac:dyDescent="0.2">
      <c r="A1812" s="6">
        <v>2182</v>
      </c>
      <c r="B1812" s="7">
        <v>15718</v>
      </c>
      <c r="C1812" s="8">
        <f>DATE(2012,12,31)-1434</f>
        <v>39840</v>
      </c>
      <c r="D1812" s="8" t="str">
        <f t="shared" si="36"/>
        <v>2009-01 (январь 2009)</v>
      </c>
      <c r="E1812" s="9" t="s">
        <v>78</v>
      </c>
      <c r="F1812" s="7">
        <v>36</v>
      </c>
      <c r="G1812" s="7">
        <v>100.87</v>
      </c>
      <c r="H1812" s="7">
        <v>0.09</v>
      </c>
      <c r="I1812" s="9" t="s">
        <v>22</v>
      </c>
      <c r="J1812" s="10">
        <v>8.4</v>
      </c>
      <c r="K1812" s="11">
        <v>2.94</v>
      </c>
      <c r="L1812" s="11">
        <v>0.7</v>
      </c>
      <c r="M1812" s="9" t="s">
        <v>1189</v>
      </c>
      <c r="N1812" s="6" t="s">
        <v>1123</v>
      </c>
      <c r="O1812" s="6" t="s">
        <v>1123</v>
      </c>
      <c r="P1812" s="9" t="s">
        <v>41</v>
      </c>
      <c r="Q1812" s="9" t="s">
        <v>26</v>
      </c>
      <c r="R1812" s="9" t="s">
        <v>95</v>
      </c>
      <c r="S1812" s="7" t="s">
        <v>1192</v>
      </c>
      <c r="T1812" s="9" t="s">
        <v>68</v>
      </c>
      <c r="U1812" s="7">
        <v>0.57999999999999996</v>
      </c>
      <c r="V1812" s="12">
        <f>C1812+1</f>
        <v>39841</v>
      </c>
      <c r="W1812">
        <f>IF(D1812=' Pivot Tables'!$A$4,1,0)</f>
        <v>0</v>
      </c>
      <c r="X1812">
        <f>IF(AND(LEFT(D1812,4)+1=LEFT(' Pivot Tables'!$A$4,4)+0,RIGHT(LEFT(D1812,7),2)=RIGHT(LEFT(' Pivot Tables'!$A$4,7),2)),1,0)</f>
        <v>1</v>
      </c>
      <c r="Y1812" s="6">
        <f>1/COUNTIF(Таблица1[Order ID],Таблица1[[#This Row],[Order ID]])</f>
        <v>0.33333333333333331</v>
      </c>
      <c r="Z1812" s="9">
        <f>1/COUNTIFS(Таблица1[Customer Name],Таблица1[[#This Row],[Customer Name]],Таблица1[Order-Year-Month],Таблица1[[#This Row],[Order-Year-Month]])</f>
        <v>0.33333333333333331</v>
      </c>
    </row>
    <row r="1813" spans="1:26" x14ac:dyDescent="0.2">
      <c r="A1813" s="6">
        <v>2410</v>
      </c>
      <c r="B1813" s="7">
        <v>17506</v>
      </c>
      <c r="C1813" s="8">
        <f>DATE(2012,12,31)-1037</f>
        <v>40237</v>
      </c>
      <c r="D1813" s="8" t="str">
        <f t="shared" si="36"/>
        <v>2010-02 (февраль 2010)</v>
      </c>
      <c r="E1813" s="9" t="s">
        <v>21</v>
      </c>
      <c r="F1813" s="7">
        <v>33</v>
      </c>
      <c r="G1813" s="7">
        <v>9473.31</v>
      </c>
      <c r="H1813" s="7">
        <v>0.03</v>
      </c>
      <c r="I1813" s="9" t="s">
        <v>31</v>
      </c>
      <c r="J1813" s="10">
        <v>1939.11</v>
      </c>
      <c r="K1813" s="11">
        <v>294.62</v>
      </c>
      <c r="L1813" s="11">
        <v>42.52</v>
      </c>
      <c r="M1813" s="9" t="s">
        <v>381</v>
      </c>
      <c r="N1813" s="6" t="s">
        <v>1123</v>
      </c>
      <c r="O1813" s="6" t="s">
        <v>1123</v>
      </c>
      <c r="P1813" s="9" t="s">
        <v>60</v>
      </c>
      <c r="Q1813" s="9" t="s">
        <v>26</v>
      </c>
      <c r="R1813" s="9" t="s">
        <v>34</v>
      </c>
      <c r="S1813" s="7" t="s">
        <v>1013</v>
      </c>
      <c r="T1813" s="9" t="s">
        <v>36</v>
      </c>
      <c r="U1813" s="7">
        <v>0.56999999999999995</v>
      </c>
      <c r="V1813" s="12">
        <f>C1813+4</f>
        <v>40241</v>
      </c>
      <c r="W1813">
        <f>IF(D1813=' Pivot Tables'!$A$4,1,0)</f>
        <v>0</v>
      </c>
      <c r="X1813">
        <f>IF(AND(LEFT(D1813,4)+1=LEFT(' Pivot Tables'!$A$4,4)+0,RIGHT(LEFT(D1813,7),2)=RIGHT(LEFT(' Pivot Tables'!$A$4,7),2)),1,0)</f>
        <v>0</v>
      </c>
      <c r="Y1813" s="6">
        <f>1/COUNTIF(Таблица1[Order ID],Таблица1[[#This Row],[Order ID]])</f>
        <v>1</v>
      </c>
      <c r="Z1813" s="9">
        <f>1/COUNTIFS(Таблица1[Customer Name],Таблица1[[#This Row],[Customer Name]],Таблица1[Order-Year-Month],Таблица1[[#This Row],[Order-Year-Month]])</f>
        <v>1</v>
      </c>
    </row>
    <row r="1814" spans="1:26" x14ac:dyDescent="0.2">
      <c r="A1814" s="6">
        <v>2766</v>
      </c>
      <c r="B1814" s="7">
        <v>20003</v>
      </c>
      <c r="C1814" s="8">
        <f>DATE(2012,12,31)-336</f>
        <v>40938</v>
      </c>
      <c r="D1814" s="8" t="str">
        <f t="shared" si="36"/>
        <v>2012-01 (январь 2012)</v>
      </c>
      <c r="E1814" s="9" t="s">
        <v>63</v>
      </c>
      <c r="F1814" s="7">
        <v>39</v>
      </c>
      <c r="G1814" s="7">
        <v>796.08</v>
      </c>
      <c r="H1814" s="7">
        <v>0.05</v>
      </c>
      <c r="I1814" s="9" t="s">
        <v>22</v>
      </c>
      <c r="J1814" s="10">
        <v>30.29</v>
      </c>
      <c r="K1814" s="11">
        <v>19.98</v>
      </c>
      <c r="L1814" s="11">
        <v>4</v>
      </c>
      <c r="M1814" s="9" t="s">
        <v>1193</v>
      </c>
      <c r="N1814" s="6" t="s">
        <v>1123</v>
      </c>
      <c r="O1814" s="6" t="s">
        <v>1123</v>
      </c>
      <c r="P1814" s="9" t="s">
        <v>41</v>
      </c>
      <c r="Q1814" s="9" t="s">
        <v>42</v>
      </c>
      <c r="R1814" s="9" t="s">
        <v>70</v>
      </c>
      <c r="S1814" s="7" t="s">
        <v>655</v>
      </c>
      <c r="T1814" s="9" t="s">
        <v>39</v>
      </c>
      <c r="U1814" s="7">
        <v>0.68</v>
      </c>
      <c r="V1814" s="12">
        <f>C1814+1</f>
        <v>40939</v>
      </c>
      <c r="W1814">
        <f>IF(D1814=' Pivot Tables'!$A$4,1,0)</f>
        <v>0</v>
      </c>
      <c r="X1814">
        <f>IF(AND(LEFT(D1814,4)+1=LEFT(' Pivot Tables'!$A$4,4)+0,RIGHT(LEFT(D1814,7),2)=RIGHT(LEFT(' Pivot Tables'!$A$4,7),2)),1,0)</f>
        <v>0</v>
      </c>
      <c r="Y1814" s="6">
        <f>1/COUNTIF(Таблица1[Order ID],Таблица1[[#This Row],[Order ID]])</f>
        <v>0.5</v>
      </c>
      <c r="Z1814" s="9">
        <f>1/COUNTIFS(Таблица1[Customer Name],Таблица1[[#This Row],[Customer Name]],Таблица1[Order-Year-Month],Таблица1[[#This Row],[Order-Year-Month]])</f>
        <v>0.5</v>
      </c>
    </row>
    <row r="1815" spans="1:26" x14ac:dyDescent="0.2">
      <c r="A1815" s="6">
        <v>2882</v>
      </c>
      <c r="B1815" s="7">
        <v>20805</v>
      </c>
      <c r="C1815" s="8">
        <f>DATE(2012,12,31)-721</f>
        <v>40553</v>
      </c>
      <c r="D1815" s="8" t="str">
        <f t="shared" si="36"/>
        <v>2011-01 (январь 2011)</v>
      </c>
      <c r="E1815" s="9" t="s">
        <v>30</v>
      </c>
      <c r="F1815" s="7">
        <v>12</v>
      </c>
      <c r="G1815" s="7">
        <v>69.98</v>
      </c>
      <c r="H1815" s="7">
        <v>0.06</v>
      </c>
      <c r="I1815" s="9" t="s">
        <v>22</v>
      </c>
      <c r="J1815" s="10">
        <v>-58.327999999999996</v>
      </c>
      <c r="K1815" s="11">
        <v>5.53</v>
      </c>
      <c r="L1815" s="11">
        <v>6.98</v>
      </c>
      <c r="M1815" s="9" t="s">
        <v>1190</v>
      </c>
      <c r="N1815" s="6" t="s">
        <v>1123</v>
      </c>
      <c r="O1815" s="6" t="s">
        <v>1123</v>
      </c>
      <c r="P1815" s="9" t="s">
        <v>60</v>
      </c>
      <c r="Q1815" s="9" t="s">
        <v>26</v>
      </c>
      <c r="R1815" s="9" t="s">
        <v>37</v>
      </c>
      <c r="S1815" s="7" t="s">
        <v>667</v>
      </c>
      <c r="T1815" s="9" t="s">
        <v>39</v>
      </c>
      <c r="U1815" s="7">
        <v>0.39</v>
      </c>
      <c r="V1815" s="12">
        <f>C1815+3</f>
        <v>40556</v>
      </c>
      <c r="W1815">
        <f>IF(D1815=' Pivot Tables'!$A$4,1,0)</f>
        <v>0</v>
      </c>
      <c r="X1815">
        <f>IF(AND(LEFT(D1815,4)+1=LEFT(' Pivot Tables'!$A$4,4)+0,RIGHT(LEFT(D1815,7),2)=RIGHT(LEFT(' Pivot Tables'!$A$4,7),2)),1,0)</f>
        <v>0</v>
      </c>
      <c r="Y1815" s="6">
        <f>1/COUNTIF(Таблица1[Order ID],Таблица1[[#This Row],[Order ID]])</f>
        <v>0.25</v>
      </c>
      <c r="Z1815" s="9">
        <f>1/COUNTIFS(Таблица1[Customer Name],Таблица1[[#This Row],[Customer Name]],Таблица1[Order-Year-Month],Таблица1[[#This Row],[Order-Year-Month]])</f>
        <v>0.25</v>
      </c>
    </row>
    <row r="1816" spans="1:26" x14ac:dyDescent="0.2">
      <c r="A1816" s="6">
        <v>2883</v>
      </c>
      <c r="B1816" s="7">
        <v>20805</v>
      </c>
      <c r="C1816" s="8">
        <f>DATE(2012,12,31)-721</f>
        <v>40553</v>
      </c>
      <c r="D1816" s="8" t="str">
        <f t="shared" si="36"/>
        <v>2011-01 (январь 2011)</v>
      </c>
      <c r="E1816" s="9" t="s">
        <v>30</v>
      </c>
      <c r="F1816" s="7">
        <v>35</v>
      </c>
      <c r="G1816" s="7">
        <v>418.34</v>
      </c>
      <c r="H1816" s="7">
        <v>0.08</v>
      </c>
      <c r="I1816" s="9" t="s">
        <v>22</v>
      </c>
      <c r="J1816" s="10">
        <v>73.569999999999993</v>
      </c>
      <c r="K1816" s="11">
        <v>12.58</v>
      </c>
      <c r="L1816" s="11">
        <v>5.16</v>
      </c>
      <c r="M1816" s="9" t="s">
        <v>1190</v>
      </c>
      <c r="N1816" s="6" t="s">
        <v>1123</v>
      </c>
      <c r="O1816" s="6" t="s">
        <v>1123</v>
      </c>
      <c r="P1816" s="9" t="s">
        <v>60</v>
      </c>
      <c r="Q1816" s="9" t="s">
        <v>49</v>
      </c>
      <c r="R1816" s="9" t="s">
        <v>50</v>
      </c>
      <c r="S1816" s="7" t="s">
        <v>239</v>
      </c>
      <c r="T1816" s="9" t="s">
        <v>39</v>
      </c>
      <c r="U1816" s="7">
        <v>0.43</v>
      </c>
      <c r="V1816" s="12">
        <f>C1816+2</f>
        <v>40555</v>
      </c>
      <c r="W1816">
        <f>IF(D1816=' Pivot Tables'!$A$4,1,0)</f>
        <v>0</v>
      </c>
      <c r="X1816">
        <f>IF(AND(LEFT(D1816,4)+1=LEFT(' Pivot Tables'!$A$4,4)+0,RIGHT(LEFT(D1816,7),2)=RIGHT(LEFT(' Pivot Tables'!$A$4,7),2)),1,0)</f>
        <v>0</v>
      </c>
      <c r="Y1816" s="6">
        <f>1/COUNTIF(Таблица1[Order ID],Таблица1[[#This Row],[Order ID]])</f>
        <v>0.25</v>
      </c>
      <c r="Z1816" s="9">
        <f>1/COUNTIFS(Таблица1[Customer Name],Таблица1[[#This Row],[Customer Name]],Таблица1[Order-Year-Month],Таблица1[[#This Row],[Order-Year-Month]])</f>
        <v>0.25</v>
      </c>
    </row>
    <row r="1817" spans="1:26" x14ac:dyDescent="0.2">
      <c r="A1817" s="6">
        <v>2884</v>
      </c>
      <c r="B1817" s="7">
        <v>20805</v>
      </c>
      <c r="C1817" s="8">
        <f>DATE(2012,12,31)-721</f>
        <v>40553</v>
      </c>
      <c r="D1817" s="8" t="str">
        <f t="shared" si="36"/>
        <v>2011-01 (январь 2011)</v>
      </c>
      <c r="E1817" s="9" t="s">
        <v>30</v>
      </c>
      <c r="F1817" s="7">
        <v>3</v>
      </c>
      <c r="G1817" s="7">
        <v>17.7</v>
      </c>
      <c r="H1817" s="7">
        <v>0.06</v>
      </c>
      <c r="I1817" s="9" t="s">
        <v>22</v>
      </c>
      <c r="J1817" s="10">
        <v>-10.37</v>
      </c>
      <c r="K1817" s="11">
        <v>4.28</v>
      </c>
      <c r="L1817" s="11">
        <v>4.79</v>
      </c>
      <c r="M1817" s="9" t="s">
        <v>1190</v>
      </c>
      <c r="N1817" s="6" t="s">
        <v>1123</v>
      </c>
      <c r="O1817" s="6" t="s">
        <v>1123</v>
      </c>
      <c r="P1817" s="9" t="s">
        <v>60</v>
      </c>
      <c r="Q1817" s="9" t="s">
        <v>26</v>
      </c>
      <c r="R1817" s="9" t="s">
        <v>61</v>
      </c>
      <c r="S1817" s="7" t="s">
        <v>831</v>
      </c>
      <c r="T1817" s="9" t="s">
        <v>39</v>
      </c>
      <c r="U1817" s="7">
        <v>0.4</v>
      </c>
      <c r="V1817" s="12">
        <f>C1817+1</f>
        <v>40554</v>
      </c>
      <c r="W1817">
        <f>IF(D1817=' Pivot Tables'!$A$4,1,0)</f>
        <v>0</v>
      </c>
      <c r="X1817">
        <f>IF(AND(LEFT(D1817,4)+1=LEFT(' Pivot Tables'!$A$4,4)+0,RIGHT(LEFT(D1817,7),2)=RIGHT(LEFT(' Pivot Tables'!$A$4,7),2)),1,0)</f>
        <v>0</v>
      </c>
      <c r="Y1817" s="6">
        <f>1/COUNTIF(Таблица1[Order ID],Таблица1[[#This Row],[Order ID]])</f>
        <v>0.25</v>
      </c>
      <c r="Z1817" s="9">
        <f>1/COUNTIFS(Таблица1[Customer Name],Таблица1[[#This Row],[Customer Name]],Таблица1[Order-Year-Month],Таблица1[[#This Row],[Order-Year-Month]])</f>
        <v>0.25</v>
      </c>
    </row>
    <row r="1818" spans="1:26" x14ac:dyDescent="0.2">
      <c r="A1818" s="6">
        <v>2885</v>
      </c>
      <c r="B1818" s="7">
        <v>20805</v>
      </c>
      <c r="C1818" s="8">
        <f>DATE(2012,12,31)-721</f>
        <v>40553</v>
      </c>
      <c r="D1818" s="8" t="str">
        <f t="shared" si="36"/>
        <v>2011-01 (январь 2011)</v>
      </c>
      <c r="E1818" s="9" t="s">
        <v>30</v>
      </c>
      <c r="F1818" s="7">
        <v>12</v>
      </c>
      <c r="G1818" s="7">
        <v>45.61</v>
      </c>
      <c r="H1818" s="7">
        <v>0.1</v>
      </c>
      <c r="I1818" s="9" t="s">
        <v>22</v>
      </c>
      <c r="J1818" s="10">
        <v>9.18</v>
      </c>
      <c r="K1818" s="11">
        <v>3.85</v>
      </c>
      <c r="L1818" s="11">
        <v>0.7</v>
      </c>
      <c r="M1818" s="9" t="s">
        <v>1190</v>
      </c>
      <c r="N1818" s="6" t="s">
        <v>1123</v>
      </c>
      <c r="O1818" s="6" t="s">
        <v>1123</v>
      </c>
      <c r="P1818" s="9" t="s">
        <v>60</v>
      </c>
      <c r="Q1818" s="9" t="s">
        <v>26</v>
      </c>
      <c r="R1818" s="9" t="s">
        <v>95</v>
      </c>
      <c r="S1818" s="7" t="s">
        <v>1194</v>
      </c>
      <c r="T1818" s="9" t="s">
        <v>68</v>
      </c>
      <c r="U1818" s="7">
        <v>0.44</v>
      </c>
      <c r="V1818" s="12">
        <f>C1818+1</f>
        <v>40554</v>
      </c>
      <c r="W1818">
        <f>IF(D1818=' Pivot Tables'!$A$4,1,0)</f>
        <v>0</v>
      </c>
      <c r="X1818">
        <f>IF(AND(LEFT(D1818,4)+1=LEFT(' Pivot Tables'!$A$4,4)+0,RIGHT(LEFT(D1818,7),2)=RIGHT(LEFT(' Pivot Tables'!$A$4,7),2)),1,0)</f>
        <v>0</v>
      </c>
      <c r="Y1818" s="6">
        <f>1/COUNTIF(Таблица1[Order ID],Таблица1[[#This Row],[Order ID]])</f>
        <v>0.25</v>
      </c>
      <c r="Z1818" s="9">
        <f>1/COUNTIFS(Таблица1[Customer Name],Таблица1[[#This Row],[Customer Name]],Таблица1[Order-Year-Month],Таблица1[[#This Row],[Order-Year-Month]])</f>
        <v>0.25</v>
      </c>
    </row>
    <row r="1819" spans="1:26" x14ac:dyDescent="0.2">
      <c r="A1819" s="6">
        <v>3290</v>
      </c>
      <c r="B1819" s="7">
        <v>23524</v>
      </c>
      <c r="C1819" s="8">
        <f>DATE(2012,12,31)-1343</f>
        <v>39931</v>
      </c>
      <c r="D1819" s="8" t="str">
        <f t="shared" si="36"/>
        <v>2009-04 (апрель 2009)</v>
      </c>
      <c r="E1819" s="9" t="s">
        <v>30</v>
      </c>
      <c r="F1819" s="7">
        <v>28</v>
      </c>
      <c r="G1819" s="7">
        <v>129.33000000000001</v>
      </c>
      <c r="H1819" s="7">
        <v>0.04</v>
      </c>
      <c r="I1819" s="9" t="s">
        <v>56</v>
      </c>
      <c r="J1819" s="10">
        <v>48.25</v>
      </c>
      <c r="K1819" s="11">
        <v>4.13</v>
      </c>
      <c r="L1819" s="11">
        <v>0.99</v>
      </c>
      <c r="M1819" s="9" t="s">
        <v>1190</v>
      </c>
      <c r="N1819" s="6" t="s">
        <v>1123</v>
      </c>
      <c r="O1819" s="6" t="s">
        <v>1123</v>
      </c>
      <c r="P1819" s="9" t="s">
        <v>60</v>
      </c>
      <c r="Q1819" s="9" t="s">
        <v>26</v>
      </c>
      <c r="R1819" s="9" t="s">
        <v>88</v>
      </c>
      <c r="S1819" s="7" t="s">
        <v>492</v>
      </c>
      <c r="T1819" s="9" t="s">
        <v>39</v>
      </c>
      <c r="U1819" s="7">
        <v>0.39</v>
      </c>
      <c r="V1819" s="12">
        <f>C1819+2</f>
        <v>39933</v>
      </c>
      <c r="W1819">
        <f>IF(D1819=' Pivot Tables'!$A$4,1,0)</f>
        <v>0</v>
      </c>
      <c r="X1819">
        <f>IF(AND(LEFT(D1819,4)+1=LEFT(' Pivot Tables'!$A$4,4)+0,RIGHT(LEFT(D1819,7),2)=RIGHT(LEFT(' Pivot Tables'!$A$4,7),2)),1,0)</f>
        <v>0</v>
      </c>
      <c r="Y1819" s="6">
        <f>1/COUNTIF(Таблица1[Order ID],Таблица1[[#This Row],[Order ID]])</f>
        <v>0.5</v>
      </c>
      <c r="Z1819" s="9">
        <f>1/COUNTIFS(Таблица1[Customer Name],Таблица1[[#This Row],[Customer Name]],Таблица1[Order-Year-Month],Таблица1[[#This Row],[Order-Year-Month]])</f>
        <v>0.5</v>
      </c>
    </row>
    <row r="1820" spans="1:26" x14ac:dyDescent="0.2">
      <c r="A1820" s="6">
        <v>3291</v>
      </c>
      <c r="B1820" s="7">
        <v>23524</v>
      </c>
      <c r="C1820" s="8">
        <f>DATE(2012,12,31)-1343</f>
        <v>39931</v>
      </c>
      <c r="D1820" s="8" t="str">
        <f t="shared" si="36"/>
        <v>2009-04 (апрель 2009)</v>
      </c>
      <c r="E1820" s="9" t="s">
        <v>30</v>
      </c>
      <c r="F1820" s="7">
        <v>46</v>
      </c>
      <c r="G1820" s="7">
        <v>2461.23</v>
      </c>
      <c r="H1820" s="7">
        <v>0.06</v>
      </c>
      <c r="I1820" s="9" t="s">
        <v>22</v>
      </c>
      <c r="J1820" s="10">
        <v>748.2</v>
      </c>
      <c r="K1820" s="11">
        <v>55.48</v>
      </c>
      <c r="L1820" s="11">
        <v>14.3</v>
      </c>
      <c r="M1820" s="9" t="s">
        <v>1190</v>
      </c>
      <c r="N1820" s="6" t="s">
        <v>1123</v>
      </c>
      <c r="O1820" s="6" t="s">
        <v>1123</v>
      </c>
      <c r="P1820" s="9" t="s">
        <v>60</v>
      </c>
      <c r="Q1820" s="9" t="s">
        <v>26</v>
      </c>
      <c r="R1820" s="9" t="s">
        <v>61</v>
      </c>
      <c r="S1820" s="7" t="s">
        <v>507</v>
      </c>
      <c r="T1820" s="9" t="s">
        <v>39</v>
      </c>
      <c r="U1820" s="7">
        <v>0.37</v>
      </c>
      <c r="V1820" s="12">
        <f>C1820+2</f>
        <v>39933</v>
      </c>
      <c r="W1820">
        <f>IF(D1820=' Pivot Tables'!$A$4,1,0)</f>
        <v>0</v>
      </c>
      <c r="X1820">
        <f>IF(AND(LEFT(D1820,4)+1=LEFT(' Pivot Tables'!$A$4,4)+0,RIGHT(LEFT(D1820,7),2)=RIGHT(LEFT(' Pivot Tables'!$A$4,7),2)),1,0)</f>
        <v>0</v>
      </c>
      <c r="Y1820" s="6">
        <f>1/COUNTIF(Таблица1[Order ID],Таблица1[[#This Row],[Order ID]])</f>
        <v>0.5</v>
      </c>
      <c r="Z1820" s="9">
        <f>1/COUNTIFS(Таблица1[Customer Name],Таблица1[[#This Row],[Customer Name]],Таблица1[Order-Year-Month],Таблица1[[#This Row],[Order-Year-Month]])</f>
        <v>0.5</v>
      </c>
    </row>
    <row r="1821" spans="1:26" x14ac:dyDescent="0.2">
      <c r="A1821" s="6">
        <v>4201</v>
      </c>
      <c r="B1821" s="7">
        <v>29860</v>
      </c>
      <c r="C1821" s="8">
        <f>DATE(2012,12,31)-1205</f>
        <v>40069</v>
      </c>
      <c r="D1821" s="8" t="str">
        <f t="shared" si="36"/>
        <v>2009-09 (сентябрь 2009)</v>
      </c>
      <c r="E1821" s="9" t="s">
        <v>78</v>
      </c>
      <c r="F1821" s="7">
        <v>48</v>
      </c>
      <c r="G1821" s="7">
        <v>8295.2900000000009</v>
      </c>
      <c r="H1821" s="7">
        <v>0.08</v>
      </c>
      <c r="I1821" s="9" t="s">
        <v>22</v>
      </c>
      <c r="J1821" s="10">
        <v>2267.2199999999998</v>
      </c>
      <c r="K1821" s="11">
        <v>178.47</v>
      </c>
      <c r="L1821" s="11">
        <v>19.989999999999998</v>
      </c>
      <c r="M1821" s="9" t="s">
        <v>147</v>
      </c>
      <c r="N1821" s="6" t="s">
        <v>1123</v>
      </c>
      <c r="O1821" s="6" t="s">
        <v>1123</v>
      </c>
      <c r="P1821" s="9" t="s">
        <v>60</v>
      </c>
      <c r="Q1821" s="9" t="s">
        <v>26</v>
      </c>
      <c r="R1821" s="9" t="s">
        <v>27</v>
      </c>
      <c r="S1821" s="7" t="s">
        <v>1195</v>
      </c>
      <c r="T1821" s="9" t="s">
        <v>39</v>
      </c>
      <c r="U1821" s="7">
        <v>0.55000000000000004</v>
      </c>
      <c r="V1821" s="12">
        <f>C1821+3</f>
        <v>40072</v>
      </c>
      <c r="W1821">
        <f>IF(D1821=' Pivot Tables'!$A$4,1,0)</f>
        <v>0</v>
      </c>
      <c r="X1821">
        <f>IF(AND(LEFT(D1821,4)+1=LEFT(' Pivot Tables'!$A$4,4)+0,RIGHT(LEFT(D1821,7),2)=RIGHT(LEFT(' Pivot Tables'!$A$4,7),2)),1,0)</f>
        <v>0</v>
      </c>
      <c r="Y1821" s="6">
        <f>1/COUNTIF(Таблица1[Order ID],Таблица1[[#This Row],[Order ID]])</f>
        <v>1</v>
      </c>
      <c r="Z1821" s="9">
        <f>1/COUNTIFS(Таблица1[Customer Name],Таблица1[[#This Row],[Customer Name]],Таблица1[Order-Year-Month],Таблица1[[#This Row],[Order-Year-Month]])</f>
        <v>1</v>
      </c>
    </row>
    <row r="1822" spans="1:26" x14ac:dyDescent="0.2">
      <c r="A1822" s="6">
        <v>4325</v>
      </c>
      <c r="B1822" s="7">
        <v>30787</v>
      </c>
      <c r="C1822" s="8">
        <f>DATE(2012,12,31)-461</f>
        <v>40813</v>
      </c>
      <c r="D1822" s="8" t="str">
        <f t="shared" si="36"/>
        <v>2011-09 (сентябрь 2011)</v>
      </c>
      <c r="E1822" s="9" t="s">
        <v>30</v>
      </c>
      <c r="F1822" s="7">
        <v>43</v>
      </c>
      <c r="G1822" s="7">
        <v>6477.4589999999998</v>
      </c>
      <c r="H1822" s="7">
        <v>0.05</v>
      </c>
      <c r="I1822" s="9" t="s">
        <v>22</v>
      </c>
      <c r="J1822" s="10">
        <v>1836.4590000000001</v>
      </c>
      <c r="K1822" s="11">
        <v>175.99</v>
      </c>
      <c r="L1822" s="11">
        <v>8.99</v>
      </c>
      <c r="M1822" s="9" t="s">
        <v>1190</v>
      </c>
      <c r="N1822" s="6" t="s">
        <v>1123</v>
      </c>
      <c r="O1822" s="6" t="s">
        <v>1123</v>
      </c>
      <c r="P1822" s="9" t="s">
        <v>60</v>
      </c>
      <c r="Q1822" s="9" t="s">
        <v>42</v>
      </c>
      <c r="R1822" s="9" t="s">
        <v>43</v>
      </c>
      <c r="S1822" s="7" t="s">
        <v>631</v>
      </c>
      <c r="T1822" s="9" t="s">
        <v>39</v>
      </c>
      <c r="U1822" s="7">
        <v>0.56999999999999995</v>
      </c>
      <c r="V1822" s="12">
        <f>C1822+1</f>
        <v>40814</v>
      </c>
      <c r="W1822">
        <f>IF(D1822=' Pivot Tables'!$A$4,1,0)</f>
        <v>0</v>
      </c>
      <c r="X1822">
        <f>IF(AND(LEFT(D1822,4)+1=LEFT(' Pivot Tables'!$A$4,4)+0,RIGHT(LEFT(D1822,7),2)=RIGHT(LEFT(' Pivot Tables'!$A$4,7),2)),1,0)</f>
        <v>0</v>
      </c>
      <c r="Y1822" s="6">
        <f>1/COUNTIF(Таблица1[Order ID],Таблица1[[#This Row],[Order ID]])</f>
        <v>1</v>
      </c>
      <c r="Z1822" s="9">
        <f>1/COUNTIFS(Таблица1[Customer Name],Таблица1[[#This Row],[Customer Name]],Таблица1[Order-Year-Month],Таблица1[[#This Row],[Order-Year-Month]])</f>
        <v>1</v>
      </c>
    </row>
    <row r="1823" spans="1:26" x14ac:dyDescent="0.2">
      <c r="A1823" s="6">
        <v>5258</v>
      </c>
      <c r="B1823" s="7">
        <v>37440</v>
      </c>
      <c r="C1823" s="8">
        <f>DATE(2012,12,31)-922</f>
        <v>40352</v>
      </c>
      <c r="D1823" s="8" t="str">
        <f t="shared" si="36"/>
        <v>2010-06 (июнь 2010)</v>
      </c>
      <c r="E1823" s="9" t="s">
        <v>45</v>
      </c>
      <c r="F1823" s="7">
        <v>31</v>
      </c>
      <c r="G1823" s="7">
        <v>295.45</v>
      </c>
      <c r="H1823" s="7">
        <v>0.03</v>
      </c>
      <c r="I1823" s="9" t="s">
        <v>22</v>
      </c>
      <c r="J1823" s="10">
        <v>-4.3600000000000003</v>
      </c>
      <c r="K1823" s="11">
        <v>9.3800000000000008</v>
      </c>
      <c r="L1823" s="11">
        <v>4.93</v>
      </c>
      <c r="M1823" s="9" t="s">
        <v>1196</v>
      </c>
      <c r="N1823" s="6" t="s">
        <v>1123</v>
      </c>
      <c r="O1823" s="6" t="s">
        <v>1123</v>
      </c>
      <c r="P1823" s="9" t="s">
        <v>41</v>
      </c>
      <c r="Q1823" s="9" t="s">
        <v>49</v>
      </c>
      <c r="R1823" s="9" t="s">
        <v>50</v>
      </c>
      <c r="S1823" s="7" t="s">
        <v>1197</v>
      </c>
      <c r="T1823" s="9" t="s">
        <v>39</v>
      </c>
      <c r="U1823" s="7">
        <v>0.56999999999999995</v>
      </c>
      <c r="V1823" s="12">
        <f>C1823+2</f>
        <v>40354</v>
      </c>
      <c r="W1823">
        <f>IF(D1823=' Pivot Tables'!$A$4,1,0)</f>
        <v>0</v>
      </c>
      <c r="X1823">
        <f>IF(AND(LEFT(D1823,4)+1=LEFT(' Pivot Tables'!$A$4,4)+0,RIGHT(LEFT(D1823,7),2)=RIGHT(LEFT(' Pivot Tables'!$A$4,7),2)),1,0)</f>
        <v>0</v>
      </c>
      <c r="Y1823" s="6">
        <f>1/COUNTIF(Таблица1[Order ID],Таблица1[[#This Row],[Order ID]])</f>
        <v>0.5</v>
      </c>
      <c r="Z1823" s="9">
        <f>1/COUNTIFS(Таблица1[Customer Name],Таблица1[[#This Row],[Customer Name]],Таблица1[Order-Year-Month],Таблица1[[#This Row],[Order-Year-Month]])</f>
        <v>0.5</v>
      </c>
    </row>
    <row r="1824" spans="1:26" x14ac:dyDescent="0.2">
      <c r="A1824" s="6">
        <v>5633</v>
      </c>
      <c r="B1824" s="7">
        <v>39872</v>
      </c>
      <c r="C1824" s="8">
        <f>DATE(2012,12,31)-1043</f>
        <v>40231</v>
      </c>
      <c r="D1824" s="8" t="str">
        <f t="shared" si="36"/>
        <v>2010-02 (февраль 2010)</v>
      </c>
      <c r="E1824" s="9" t="s">
        <v>78</v>
      </c>
      <c r="F1824" s="7">
        <v>5</v>
      </c>
      <c r="G1824" s="7">
        <v>16.239999999999998</v>
      </c>
      <c r="H1824" s="7">
        <v>0.01</v>
      </c>
      <c r="I1824" s="9" t="s">
        <v>22</v>
      </c>
      <c r="J1824" s="10">
        <v>0.35000000000000053</v>
      </c>
      <c r="K1824" s="11">
        <v>2.88</v>
      </c>
      <c r="L1824" s="11">
        <v>0.99</v>
      </c>
      <c r="M1824" s="9" t="s">
        <v>1190</v>
      </c>
      <c r="N1824" s="6" t="s">
        <v>1123</v>
      </c>
      <c r="O1824" s="6" t="s">
        <v>1123</v>
      </c>
      <c r="P1824" s="9" t="s">
        <v>60</v>
      </c>
      <c r="Q1824" s="9" t="s">
        <v>26</v>
      </c>
      <c r="R1824" s="9" t="s">
        <v>88</v>
      </c>
      <c r="S1824" s="7" t="s">
        <v>962</v>
      </c>
      <c r="T1824" s="9" t="s">
        <v>39</v>
      </c>
      <c r="U1824" s="7">
        <v>0.36</v>
      </c>
      <c r="V1824" s="12">
        <f>C1824+1</f>
        <v>40232</v>
      </c>
      <c r="W1824">
        <f>IF(D1824=' Pivot Tables'!$A$4,1,0)</f>
        <v>0</v>
      </c>
      <c r="X1824">
        <f>IF(AND(LEFT(D1824,4)+1=LEFT(' Pivot Tables'!$A$4,4)+0,RIGHT(LEFT(D1824,7),2)=RIGHT(LEFT(' Pivot Tables'!$A$4,7),2)),1,0)</f>
        <v>0</v>
      </c>
      <c r="Y1824" s="6">
        <f>1/COUNTIF(Таблица1[Order ID],Таблица1[[#This Row],[Order ID]])</f>
        <v>1</v>
      </c>
      <c r="Z1824" s="9">
        <f>1/COUNTIFS(Таблица1[Customer Name],Таблица1[[#This Row],[Customer Name]],Таблица1[Order-Year-Month],Таблица1[[#This Row],[Order-Year-Month]])</f>
        <v>1</v>
      </c>
    </row>
    <row r="1825" spans="1:26" x14ac:dyDescent="0.2">
      <c r="A1825" s="6">
        <v>5646</v>
      </c>
      <c r="B1825" s="7">
        <v>39943</v>
      </c>
      <c r="C1825" s="8">
        <f>DATE(2012,12,31)-207</f>
        <v>41067</v>
      </c>
      <c r="D1825" s="8" t="str">
        <f t="shared" si="36"/>
        <v>2012-06 (июнь 2012)</v>
      </c>
      <c r="E1825" s="9" t="s">
        <v>30</v>
      </c>
      <c r="F1825" s="7">
        <v>16</v>
      </c>
      <c r="G1825" s="7">
        <v>28.65</v>
      </c>
      <c r="H1825" s="7">
        <v>0.02</v>
      </c>
      <c r="I1825" s="9" t="s">
        <v>22</v>
      </c>
      <c r="J1825" s="10">
        <v>-23.86</v>
      </c>
      <c r="K1825" s="11">
        <v>1.7</v>
      </c>
      <c r="L1825" s="11">
        <v>1.99</v>
      </c>
      <c r="M1825" s="9" t="s">
        <v>1196</v>
      </c>
      <c r="N1825" s="6" t="s">
        <v>1123</v>
      </c>
      <c r="O1825" s="6" t="s">
        <v>1123</v>
      </c>
      <c r="P1825" s="9" t="s">
        <v>33</v>
      </c>
      <c r="Q1825" s="9" t="s">
        <v>42</v>
      </c>
      <c r="R1825" s="9" t="s">
        <v>70</v>
      </c>
      <c r="S1825" s="7" t="s">
        <v>945</v>
      </c>
      <c r="T1825" s="9" t="s">
        <v>52</v>
      </c>
      <c r="U1825" s="7">
        <v>0.51</v>
      </c>
      <c r="V1825" s="12">
        <f>C1825+1</f>
        <v>41068</v>
      </c>
      <c r="W1825">
        <f>IF(D1825=' Pivot Tables'!$A$4,1,0)</f>
        <v>0</v>
      </c>
      <c r="X1825">
        <f>IF(AND(LEFT(D1825,4)+1=LEFT(' Pivot Tables'!$A$4,4)+0,RIGHT(LEFT(D1825,7),2)=RIGHT(LEFT(' Pivot Tables'!$A$4,7),2)),1,0)</f>
        <v>0</v>
      </c>
      <c r="Y1825" s="6">
        <f>1/COUNTIF(Таблица1[Order ID],Таблица1[[#This Row],[Order ID]])</f>
        <v>0.5</v>
      </c>
      <c r="Z1825" s="9">
        <f>1/COUNTIFS(Таблица1[Customer Name],Таблица1[[#This Row],[Customer Name]],Таблица1[Order-Year-Month],Таблица1[[#This Row],[Order-Year-Month]])</f>
        <v>0.5</v>
      </c>
    </row>
    <row r="1826" spans="1:26" x14ac:dyDescent="0.2">
      <c r="A1826" s="6">
        <v>5647</v>
      </c>
      <c r="B1826" s="7">
        <v>39943</v>
      </c>
      <c r="C1826" s="8">
        <f>DATE(2012,12,31)-207</f>
        <v>41067</v>
      </c>
      <c r="D1826" s="8" t="str">
        <f t="shared" si="36"/>
        <v>2012-06 (июнь 2012)</v>
      </c>
      <c r="E1826" s="9" t="s">
        <v>30</v>
      </c>
      <c r="F1826" s="7">
        <v>12</v>
      </c>
      <c r="G1826" s="7">
        <v>201.535</v>
      </c>
      <c r="H1826" s="7">
        <v>0.09</v>
      </c>
      <c r="I1826" s="9" t="s">
        <v>22</v>
      </c>
      <c r="J1826" s="10">
        <v>-122.617</v>
      </c>
      <c r="K1826" s="11">
        <v>20.99</v>
      </c>
      <c r="L1826" s="11">
        <v>3.3</v>
      </c>
      <c r="M1826" s="9" t="s">
        <v>1196</v>
      </c>
      <c r="N1826" s="6" t="s">
        <v>1123</v>
      </c>
      <c r="O1826" s="6" t="s">
        <v>1123</v>
      </c>
      <c r="P1826" s="9" t="s">
        <v>33</v>
      </c>
      <c r="Q1826" s="9" t="s">
        <v>42</v>
      </c>
      <c r="R1826" s="9" t="s">
        <v>43</v>
      </c>
      <c r="S1826" s="7" t="s">
        <v>295</v>
      </c>
      <c r="T1826" s="9" t="s">
        <v>52</v>
      </c>
      <c r="U1826" s="7">
        <v>0.81</v>
      </c>
      <c r="V1826" s="12">
        <f>C1826+2</f>
        <v>41069</v>
      </c>
      <c r="W1826">
        <f>IF(D1826=' Pivot Tables'!$A$4,1,0)</f>
        <v>0</v>
      </c>
      <c r="X1826">
        <f>IF(AND(LEFT(D1826,4)+1=LEFT(' Pivot Tables'!$A$4,4)+0,RIGHT(LEFT(D1826,7),2)=RIGHT(LEFT(' Pivot Tables'!$A$4,7),2)),1,0)</f>
        <v>0</v>
      </c>
      <c r="Y1826" s="6">
        <f>1/COUNTIF(Таблица1[Order ID],Таблица1[[#This Row],[Order ID]])</f>
        <v>0.5</v>
      </c>
      <c r="Z1826" s="9">
        <f>1/COUNTIFS(Таблица1[Customer Name],Таблица1[[#This Row],[Customer Name]],Таблица1[Order-Year-Month],Таблица1[[#This Row],[Order-Year-Month]])</f>
        <v>0.5</v>
      </c>
    </row>
    <row r="1827" spans="1:26" x14ac:dyDescent="0.2">
      <c r="A1827" s="6">
        <v>5985</v>
      </c>
      <c r="B1827" s="7">
        <v>42405</v>
      </c>
      <c r="C1827" s="8">
        <f>DATE(2012,12,31)-1075</f>
        <v>40199</v>
      </c>
      <c r="D1827" s="8" t="str">
        <f t="shared" si="36"/>
        <v>2010-01 (январь 2010)</v>
      </c>
      <c r="E1827" s="9" t="s">
        <v>30</v>
      </c>
      <c r="F1827" s="7">
        <v>13</v>
      </c>
      <c r="G1827" s="7">
        <v>81.680000000000007</v>
      </c>
      <c r="H1827" s="7">
        <v>0.08</v>
      </c>
      <c r="I1827" s="9" t="s">
        <v>22</v>
      </c>
      <c r="J1827" s="10">
        <v>-25.22</v>
      </c>
      <c r="K1827" s="11">
        <v>5.98</v>
      </c>
      <c r="L1827" s="11">
        <v>5.15</v>
      </c>
      <c r="M1827" s="9" t="s">
        <v>147</v>
      </c>
      <c r="N1827" s="6" t="s">
        <v>1123</v>
      </c>
      <c r="O1827" s="6" t="s">
        <v>1123</v>
      </c>
      <c r="P1827" s="9" t="s">
        <v>60</v>
      </c>
      <c r="Q1827" s="9" t="s">
        <v>26</v>
      </c>
      <c r="R1827" s="9" t="s">
        <v>61</v>
      </c>
      <c r="S1827" s="7" t="s">
        <v>995</v>
      </c>
      <c r="T1827" s="9" t="s">
        <v>39</v>
      </c>
      <c r="U1827" s="7">
        <v>0.36</v>
      </c>
      <c r="V1827" s="12">
        <f>C1827+2</f>
        <v>40201</v>
      </c>
      <c r="W1827">
        <f>IF(D1827=' Pivot Tables'!$A$4,1,0)</f>
        <v>1</v>
      </c>
      <c r="X1827">
        <f>IF(AND(LEFT(D1827,4)+1=LEFT(' Pivot Tables'!$A$4,4)+0,RIGHT(LEFT(D1827,7),2)=RIGHT(LEFT(' Pivot Tables'!$A$4,7),2)),1,0)</f>
        <v>0</v>
      </c>
      <c r="Y1827" s="6">
        <f>1/COUNTIF(Таблица1[Order ID],Таблица1[[#This Row],[Order ID]])</f>
        <v>1</v>
      </c>
      <c r="Z1827" s="9">
        <f>1/COUNTIFS(Таблица1[Customer Name],Таблица1[[#This Row],[Customer Name]],Таблица1[Order-Year-Month],Таблица1[[#This Row],[Order-Year-Month]])</f>
        <v>1</v>
      </c>
    </row>
    <row r="1828" spans="1:26" x14ac:dyDescent="0.2">
      <c r="A1828" s="6">
        <v>6631</v>
      </c>
      <c r="B1828" s="7">
        <v>47171</v>
      </c>
      <c r="C1828" s="8">
        <f>DATE(2012,12,31)-1089</f>
        <v>40185</v>
      </c>
      <c r="D1828" s="8" t="str">
        <f t="shared" si="36"/>
        <v>2010-01 (январь 2010)</v>
      </c>
      <c r="E1828" s="9" t="s">
        <v>63</v>
      </c>
      <c r="F1828" s="7">
        <v>21</v>
      </c>
      <c r="G1828" s="7">
        <v>147.16</v>
      </c>
      <c r="H1828" s="7">
        <v>0.01</v>
      </c>
      <c r="I1828" s="9" t="s">
        <v>22</v>
      </c>
      <c r="J1828" s="10">
        <v>-92.55</v>
      </c>
      <c r="K1828" s="11">
        <v>6.48</v>
      </c>
      <c r="L1828" s="11">
        <v>8.4</v>
      </c>
      <c r="M1828" s="9" t="s">
        <v>1190</v>
      </c>
      <c r="N1828" s="6" t="s">
        <v>1123</v>
      </c>
      <c r="O1828" s="6" t="s">
        <v>1123</v>
      </c>
      <c r="P1828" s="9" t="s">
        <v>60</v>
      </c>
      <c r="Q1828" s="9" t="s">
        <v>26</v>
      </c>
      <c r="R1828" s="9" t="s">
        <v>61</v>
      </c>
      <c r="S1828" s="7" t="s">
        <v>1097</v>
      </c>
      <c r="T1828" s="9" t="s">
        <v>39</v>
      </c>
      <c r="U1828" s="7">
        <v>0.37</v>
      </c>
      <c r="V1828" s="12">
        <f>C1828+1</f>
        <v>40186</v>
      </c>
      <c r="W1828">
        <f>IF(D1828=' Pivot Tables'!$A$4,1,0)</f>
        <v>1</v>
      </c>
      <c r="X1828">
        <f>IF(AND(LEFT(D1828,4)+1=LEFT(' Pivot Tables'!$A$4,4)+0,RIGHT(LEFT(D1828,7),2)=RIGHT(LEFT(' Pivot Tables'!$A$4,7),2)),1,0)</f>
        <v>0</v>
      </c>
      <c r="Y1828" s="6">
        <f>1/COUNTIF(Таблица1[Order ID],Таблица1[[#This Row],[Order ID]])</f>
        <v>0.33333333333333331</v>
      </c>
      <c r="Z1828" s="9">
        <f>1/COUNTIFS(Таблица1[Customer Name],Таблица1[[#This Row],[Customer Name]],Таблица1[Order-Year-Month],Таблица1[[#This Row],[Order-Year-Month]])</f>
        <v>0.33333333333333331</v>
      </c>
    </row>
    <row r="1829" spans="1:26" x14ac:dyDescent="0.2">
      <c r="A1829" s="6">
        <v>6632</v>
      </c>
      <c r="B1829" s="7">
        <v>47171</v>
      </c>
      <c r="C1829" s="8">
        <f>DATE(2012,12,31)-1089</f>
        <v>40185</v>
      </c>
      <c r="D1829" s="8" t="str">
        <f t="shared" si="36"/>
        <v>2010-01 (январь 2010)</v>
      </c>
      <c r="E1829" s="9" t="s">
        <v>63</v>
      </c>
      <c r="F1829" s="7">
        <v>19</v>
      </c>
      <c r="G1829" s="7">
        <v>50.07</v>
      </c>
      <c r="H1829" s="7">
        <v>0.03</v>
      </c>
      <c r="I1829" s="9" t="s">
        <v>22</v>
      </c>
      <c r="J1829" s="10">
        <v>-0.53</v>
      </c>
      <c r="K1829" s="11">
        <v>2.67</v>
      </c>
      <c r="L1829" s="11">
        <v>0.86</v>
      </c>
      <c r="M1829" s="9" t="s">
        <v>1190</v>
      </c>
      <c r="N1829" s="6" t="s">
        <v>1123</v>
      </c>
      <c r="O1829" s="6" t="s">
        <v>1123</v>
      </c>
      <c r="P1829" s="9" t="s">
        <v>60</v>
      </c>
      <c r="Q1829" s="9" t="s">
        <v>26</v>
      </c>
      <c r="R1829" s="9" t="s">
        <v>95</v>
      </c>
      <c r="S1829" s="7" t="s">
        <v>1198</v>
      </c>
      <c r="T1829" s="9" t="s">
        <v>68</v>
      </c>
      <c r="U1829" s="7">
        <v>0.56999999999999995</v>
      </c>
      <c r="V1829" s="12">
        <f>C1829+1</f>
        <v>40186</v>
      </c>
      <c r="W1829">
        <f>IF(D1829=' Pivot Tables'!$A$4,1,0)</f>
        <v>1</v>
      </c>
      <c r="X1829">
        <f>IF(AND(LEFT(D1829,4)+1=LEFT(' Pivot Tables'!$A$4,4)+0,RIGHT(LEFT(D1829,7),2)=RIGHT(LEFT(' Pivot Tables'!$A$4,7),2)),1,0)</f>
        <v>0</v>
      </c>
      <c r="Y1829" s="6">
        <f>1/COUNTIF(Таблица1[Order ID],Таблица1[[#This Row],[Order ID]])</f>
        <v>0.33333333333333331</v>
      </c>
      <c r="Z1829" s="9">
        <f>1/COUNTIFS(Таблица1[Customer Name],Таблица1[[#This Row],[Customer Name]],Таблица1[Order-Year-Month],Таблица1[[#This Row],[Order-Year-Month]])</f>
        <v>0.33333333333333331</v>
      </c>
    </row>
    <row r="1830" spans="1:26" x14ac:dyDescent="0.2">
      <c r="A1830" s="6">
        <v>6633</v>
      </c>
      <c r="B1830" s="7">
        <v>47171</v>
      </c>
      <c r="C1830" s="8">
        <f>DATE(2012,12,31)-1089</f>
        <v>40185</v>
      </c>
      <c r="D1830" s="8" t="str">
        <f t="shared" si="36"/>
        <v>2010-01 (январь 2010)</v>
      </c>
      <c r="E1830" s="9" t="s">
        <v>63</v>
      </c>
      <c r="F1830" s="7">
        <v>32</v>
      </c>
      <c r="G1830" s="7">
        <v>6982.87</v>
      </c>
      <c r="H1830" s="7">
        <v>0.05</v>
      </c>
      <c r="I1830" s="9" t="s">
        <v>31</v>
      </c>
      <c r="J1830" s="10">
        <v>875.55</v>
      </c>
      <c r="K1830" s="11">
        <v>217.85</v>
      </c>
      <c r="L1830" s="11">
        <v>29.1</v>
      </c>
      <c r="M1830" s="9" t="s">
        <v>1190</v>
      </c>
      <c r="N1830" s="6" t="s">
        <v>1123</v>
      </c>
      <c r="O1830" s="6" t="s">
        <v>1123</v>
      </c>
      <c r="P1830" s="9" t="s">
        <v>60</v>
      </c>
      <c r="Q1830" s="9" t="s">
        <v>49</v>
      </c>
      <c r="R1830" s="9" t="s">
        <v>83</v>
      </c>
      <c r="S1830" s="7" t="s">
        <v>1199</v>
      </c>
      <c r="T1830" s="9" t="s">
        <v>82</v>
      </c>
      <c r="U1830" s="7">
        <v>0.68</v>
      </c>
      <c r="V1830" s="12">
        <f>C1830+0</f>
        <v>40185</v>
      </c>
      <c r="W1830">
        <f>IF(D1830=' Pivot Tables'!$A$4,1,0)</f>
        <v>1</v>
      </c>
      <c r="X1830">
        <f>IF(AND(LEFT(D1830,4)+1=LEFT(' Pivot Tables'!$A$4,4)+0,RIGHT(LEFT(D1830,7),2)=RIGHT(LEFT(' Pivot Tables'!$A$4,7),2)),1,0)</f>
        <v>0</v>
      </c>
      <c r="Y1830" s="6">
        <f>1/COUNTIF(Таблица1[Order ID],Таблица1[[#This Row],[Order ID]])</f>
        <v>0.33333333333333331</v>
      </c>
      <c r="Z1830" s="9">
        <f>1/COUNTIFS(Таблица1[Customer Name],Таблица1[[#This Row],[Customer Name]],Таблица1[Order-Year-Month],Таблица1[[#This Row],[Order-Year-Month]])</f>
        <v>0.33333333333333331</v>
      </c>
    </row>
    <row r="1831" spans="1:26" x14ac:dyDescent="0.2">
      <c r="A1831" s="6">
        <v>6820</v>
      </c>
      <c r="B1831" s="7">
        <v>48576</v>
      </c>
      <c r="C1831" s="8">
        <f>DATE(2012,12,31)-30</f>
        <v>41244</v>
      </c>
      <c r="D1831" s="8" t="str">
        <f t="shared" si="36"/>
        <v>2012-12 (декабрь 2012)</v>
      </c>
      <c r="E1831" s="9" t="s">
        <v>45</v>
      </c>
      <c r="F1831" s="7">
        <v>17</v>
      </c>
      <c r="G1831" s="7">
        <v>464.59</v>
      </c>
      <c r="H1831" s="7">
        <v>7.0000000000000007E-2</v>
      </c>
      <c r="I1831" s="9" t="s">
        <v>22</v>
      </c>
      <c r="J1831" s="10">
        <v>168.215</v>
      </c>
      <c r="K1831" s="11">
        <v>28.53</v>
      </c>
      <c r="L1831" s="11">
        <v>1.49</v>
      </c>
      <c r="M1831" s="9" t="s">
        <v>1190</v>
      </c>
      <c r="N1831" s="6" t="s">
        <v>1123</v>
      </c>
      <c r="O1831" s="6" t="s">
        <v>1123</v>
      </c>
      <c r="P1831" s="9" t="s">
        <v>60</v>
      </c>
      <c r="Q1831" s="9" t="s">
        <v>26</v>
      </c>
      <c r="R1831" s="9" t="s">
        <v>37</v>
      </c>
      <c r="S1831" s="7" t="s">
        <v>380</v>
      </c>
      <c r="T1831" s="9" t="s">
        <v>39</v>
      </c>
      <c r="U1831" s="7">
        <v>0.38</v>
      </c>
      <c r="V1831" s="12">
        <f>C1831+1</f>
        <v>41245</v>
      </c>
      <c r="W1831">
        <f>IF(D1831=' Pivot Tables'!$A$4,1,0)</f>
        <v>0</v>
      </c>
      <c r="X1831">
        <f>IF(AND(LEFT(D1831,4)+1=LEFT(' Pivot Tables'!$A$4,4)+0,RIGHT(LEFT(D1831,7),2)=RIGHT(LEFT(' Pivot Tables'!$A$4,7),2)),1,0)</f>
        <v>0</v>
      </c>
      <c r="Y1831" s="6">
        <f>1/COUNTIF(Таблица1[Order ID],Таблица1[[#This Row],[Order ID]])</f>
        <v>0.5</v>
      </c>
      <c r="Z1831" s="9">
        <f>1/COUNTIFS(Таблица1[Customer Name],Таблица1[[#This Row],[Customer Name]],Таблица1[Order-Year-Month],Таблица1[[#This Row],[Order-Year-Month]])</f>
        <v>0.5</v>
      </c>
    </row>
    <row r="1832" spans="1:26" x14ac:dyDescent="0.2">
      <c r="A1832" s="6">
        <v>6821</v>
      </c>
      <c r="B1832" s="7">
        <v>48576</v>
      </c>
      <c r="C1832" s="8">
        <f>DATE(2012,12,31)-30</f>
        <v>41244</v>
      </c>
      <c r="D1832" s="8" t="str">
        <f t="shared" si="36"/>
        <v>2012-12 (декабрь 2012)</v>
      </c>
      <c r="E1832" s="9" t="s">
        <v>45</v>
      </c>
      <c r="F1832" s="7">
        <v>47</v>
      </c>
      <c r="G1832" s="7">
        <v>316.68</v>
      </c>
      <c r="H1832" s="7">
        <v>0.06</v>
      </c>
      <c r="I1832" s="9" t="s">
        <v>22</v>
      </c>
      <c r="J1832" s="10">
        <v>-161</v>
      </c>
      <c r="K1832" s="11">
        <v>6.48</v>
      </c>
      <c r="L1832" s="11">
        <v>7.49</v>
      </c>
      <c r="M1832" s="9" t="s">
        <v>1190</v>
      </c>
      <c r="N1832" s="6" t="s">
        <v>1123</v>
      </c>
      <c r="O1832" s="6" t="s">
        <v>1123</v>
      </c>
      <c r="P1832" s="9" t="s">
        <v>60</v>
      </c>
      <c r="Q1832" s="9" t="s">
        <v>26</v>
      </c>
      <c r="R1832" s="9" t="s">
        <v>61</v>
      </c>
      <c r="S1832" s="7" t="s">
        <v>643</v>
      </c>
      <c r="T1832" s="9" t="s">
        <v>39</v>
      </c>
      <c r="U1832" s="7">
        <v>0.37</v>
      </c>
      <c r="V1832" s="12">
        <f>C1832+2</f>
        <v>41246</v>
      </c>
      <c r="W1832">
        <f>IF(D1832=' Pivot Tables'!$A$4,1,0)</f>
        <v>0</v>
      </c>
      <c r="X1832">
        <f>IF(AND(LEFT(D1832,4)+1=LEFT(' Pivot Tables'!$A$4,4)+0,RIGHT(LEFT(D1832,7),2)=RIGHT(LEFT(' Pivot Tables'!$A$4,7),2)),1,0)</f>
        <v>0</v>
      </c>
      <c r="Y1832" s="6">
        <f>1/COUNTIF(Таблица1[Order ID],Таблица1[[#This Row],[Order ID]])</f>
        <v>0.5</v>
      </c>
      <c r="Z1832" s="9">
        <f>1/COUNTIFS(Таблица1[Customer Name],Таблица1[[#This Row],[Customer Name]],Таблица1[Order-Year-Month],Таблица1[[#This Row],[Order-Year-Month]])</f>
        <v>0.5</v>
      </c>
    </row>
    <row r="1833" spans="1:26" x14ac:dyDescent="0.2">
      <c r="A1833" s="6">
        <v>7547</v>
      </c>
      <c r="B1833" s="7">
        <v>53984</v>
      </c>
      <c r="C1833" s="8">
        <f>DATE(2012,12,31)-21</f>
        <v>41253</v>
      </c>
      <c r="D1833" s="8" t="str">
        <f t="shared" si="36"/>
        <v>2012-12 (декабрь 2012)</v>
      </c>
      <c r="E1833" s="9" t="s">
        <v>63</v>
      </c>
      <c r="F1833" s="7">
        <v>23</v>
      </c>
      <c r="G1833" s="7">
        <v>172.9</v>
      </c>
      <c r="H1833" s="7">
        <v>0</v>
      </c>
      <c r="I1833" s="9" t="s">
        <v>22</v>
      </c>
      <c r="J1833" s="10">
        <v>51.43</v>
      </c>
      <c r="K1833" s="11">
        <v>6.88</v>
      </c>
      <c r="L1833" s="11">
        <v>2</v>
      </c>
      <c r="M1833" s="9" t="s">
        <v>1196</v>
      </c>
      <c r="N1833" s="6" t="s">
        <v>1123</v>
      </c>
      <c r="O1833" s="6" t="s">
        <v>1123</v>
      </c>
      <c r="P1833" s="9" t="s">
        <v>41</v>
      </c>
      <c r="Q1833" s="9" t="s">
        <v>26</v>
      </c>
      <c r="R1833" s="9" t="s">
        <v>61</v>
      </c>
      <c r="S1833" s="7" t="s">
        <v>1063</v>
      </c>
      <c r="T1833" s="9" t="s">
        <v>68</v>
      </c>
      <c r="U1833" s="7">
        <v>0.39</v>
      </c>
      <c r="V1833" s="12">
        <f>C1833+1</f>
        <v>41254</v>
      </c>
      <c r="W1833">
        <f>IF(D1833=' Pivot Tables'!$A$4,1,0)</f>
        <v>0</v>
      </c>
      <c r="X1833">
        <f>IF(AND(LEFT(D1833,4)+1=LEFT(' Pivot Tables'!$A$4,4)+0,RIGHT(LEFT(D1833,7),2)=RIGHT(LEFT(' Pivot Tables'!$A$4,7),2)),1,0)</f>
        <v>0</v>
      </c>
      <c r="Y1833" s="6">
        <f>1/COUNTIF(Таблица1[Order ID],Таблица1[[#This Row],[Order ID]])</f>
        <v>1</v>
      </c>
      <c r="Z1833" s="9">
        <f>1/COUNTIFS(Таблица1[Customer Name],Таблица1[[#This Row],[Customer Name]],Таблица1[Order-Year-Month],Таблица1[[#This Row],[Order-Year-Month]])</f>
        <v>1</v>
      </c>
    </row>
    <row r="1834" spans="1:26" x14ac:dyDescent="0.2">
      <c r="A1834" s="6">
        <v>18</v>
      </c>
      <c r="B1834" s="7">
        <v>129</v>
      </c>
      <c r="C1834" s="8">
        <f>DATE(2012,12,31)-43</f>
        <v>41231</v>
      </c>
      <c r="D1834" s="8" t="str">
        <f t="shared" si="36"/>
        <v>2012-11 (ноябрь 2012)</v>
      </c>
      <c r="E1834" s="9" t="s">
        <v>21</v>
      </c>
      <c r="F1834" s="7">
        <v>4</v>
      </c>
      <c r="G1834" s="7">
        <v>32.72</v>
      </c>
      <c r="H1834" s="7">
        <v>0.09</v>
      </c>
      <c r="I1834" s="9" t="s">
        <v>22</v>
      </c>
      <c r="J1834" s="10">
        <v>-22.59</v>
      </c>
      <c r="K1834" s="11">
        <v>6.48</v>
      </c>
      <c r="L1834" s="11">
        <v>8.19</v>
      </c>
      <c r="M1834" s="9" t="s">
        <v>1200</v>
      </c>
      <c r="N1834" s="6" t="s">
        <v>1123</v>
      </c>
      <c r="O1834" s="6" t="s">
        <v>1123</v>
      </c>
      <c r="P1834" s="9" t="s">
        <v>41</v>
      </c>
      <c r="Q1834" s="9" t="s">
        <v>26</v>
      </c>
      <c r="R1834" s="9" t="s">
        <v>61</v>
      </c>
      <c r="S1834" s="7" t="s">
        <v>176</v>
      </c>
      <c r="T1834" s="9" t="s">
        <v>39</v>
      </c>
      <c r="U1834" s="7">
        <v>0.37</v>
      </c>
      <c r="V1834" s="12">
        <f>C1834+9</f>
        <v>41240</v>
      </c>
      <c r="W1834">
        <f>IF(D1834=' Pivot Tables'!$A$4,1,0)</f>
        <v>0</v>
      </c>
      <c r="X1834">
        <f>IF(AND(LEFT(D1834,4)+1=LEFT(' Pivot Tables'!$A$4,4)+0,RIGHT(LEFT(D1834,7),2)=RIGHT(LEFT(' Pivot Tables'!$A$4,7),2)),1,0)</f>
        <v>0</v>
      </c>
      <c r="Y1834" s="6">
        <f>1/COUNTIF(Таблица1[Order ID],Таблица1[[#This Row],[Order ID]])</f>
        <v>1</v>
      </c>
      <c r="Z1834" s="9">
        <f>1/COUNTIFS(Таблица1[Customer Name],Таблица1[[#This Row],[Customer Name]],Таблица1[Order-Year-Month],Таблица1[[#This Row],[Order-Year-Month]])</f>
        <v>1</v>
      </c>
    </row>
    <row r="1835" spans="1:26" x14ac:dyDescent="0.2">
      <c r="A1835" s="6">
        <v>68</v>
      </c>
      <c r="B1835" s="7">
        <v>388</v>
      </c>
      <c r="C1835" s="8">
        <f>DATE(2012,12,31)-16</f>
        <v>41258</v>
      </c>
      <c r="D1835" s="8" t="str">
        <f t="shared" si="36"/>
        <v>2012-12 (декабрь 2012)</v>
      </c>
      <c r="E1835" s="9" t="s">
        <v>45</v>
      </c>
      <c r="F1835" s="7">
        <v>46</v>
      </c>
      <c r="G1835" s="7">
        <v>517.92999999999995</v>
      </c>
      <c r="H1835" s="7">
        <v>0.06</v>
      </c>
      <c r="I1835" s="9" t="s">
        <v>22</v>
      </c>
      <c r="J1835" s="10">
        <v>-94.73</v>
      </c>
      <c r="K1835" s="11">
        <v>11.7</v>
      </c>
      <c r="L1835" s="11">
        <v>6.96</v>
      </c>
      <c r="M1835" s="9" t="s">
        <v>1201</v>
      </c>
      <c r="N1835" s="6" t="s">
        <v>1123</v>
      </c>
      <c r="O1835" s="6" t="s">
        <v>1123</v>
      </c>
      <c r="P1835" s="9" t="s">
        <v>60</v>
      </c>
      <c r="Q1835" s="9" t="s">
        <v>26</v>
      </c>
      <c r="R1835" s="9" t="s">
        <v>34</v>
      </c>
      <c r="S1835" s="7" t="s">
        <v>1202</v>
      </c>
      <c r="T1835" s="9" t="s">
        <v>48</v>
      </c>
      <c r="U1835" s="7">
        <v>0.5</v>
      </c>
      <c r="V1835" s="12">
        <f>C1835+3</f>
        <v>41261</v>
      </c>
      <c r="W1835">
        <f>IF(D1835=' Pivot Tables'!$A$4,1,0)</f>
        <v>0</v>
      </c>
      <c r="X1835">
        <f>IF(AND(LEFT(D1835,4)+1=LEFT(' Pivot Tables'!$A$4,4)+0,RIGHT(LEFT(D1835,7),2)=RIGHT(LEFT(' Pivot Tables'!$A$4,7),2)),1,0)</f>
        <v>0</v>
      </c>
      <c r="Y1835" s="6">
        <f>1/COUNTIF(Таблица1[Order ID],Таблица1[[#This Row],[Order ID]])</f>
        <v>1</v>
      </c>
      <c r="Z1835" s="9">
        <f>1/COUNTIFS(Таблица1[Customer Name],Таблица1[[#This Row],[Customer Name]],Таблица1[Order-Year-Month],Таблица1[[#This Row],[Order-Year-Month]])</f>
        <v>1</v>
      </c>
    </row>
    <row r="1836" spans="1:26" x14ac:dyDescent="0.2">
      <c r="A1836" s="6">
        <v>205</v>
      </c>
      <c r="B1836" s="7">
        <v>1345</v>
      </c>
      <c r="C1836" s="8">
        <f>DATE(2012,12,31)-65</f>
        <v>41209</v>
      </c>
      <c r="D1836" s="8" t="str">
        <f t="shared" si="36"/>
        <v>2012-10 (октябрь 2012)</v>
      </c>
      <c r="E1836" s="9" t="s">
        <v>21</v>
      </c>
      <c r="F1836" s="7">
        <v>24</v>
      </c>
      <c r="G1836" s="7">
        <v>2443.85</v>
      </c>
      <c r="H1836" s="7">
        <v>0.08</v>
      </c>
      <c r="I1836" s="9" t="s">
        <v>31</v>
      </c>
      <c r="J1836" s="10">
        <v>-120.85</v>
      </c>
      <c r="K1836" s="11">
        <v>100.98</v>
      </c>
      <c r="L1836" s="11">
        <v>35.840000000000003</v>
      </c>
      <c r="M1836" s="9" t="s">
        <v>1203</v>
      </c>
      <c r="N1836" s="6" t="s">
        <v>1123</v>
      </c>
      <c r="O1836" s="6" t="s">
        <v>1123</v>
      </c>
      <c r="P1836" s="9" t="s">
        <v>41</v>
      </c>
      <c r="Q1836" s="9" t="s">
        <v>49</v>
      </c>
      <c r="R1836" s="9" t="s">
        <v>80</v>
      </c>
      <c r="S1836" s="7" t="s">
        <v>705</v>
      </c>
      <c r="T1836" s="9" t="s">
        <v>82</v>
      </c>
      <c r="U1836" s="7">
        <v>0.62</v>
      </c>
      <c r="V1836" s="12">
        <f>C1836+4</f>
        <v>41213</v>
      </c>
      <c r="W1836">
        <f>IF(D1836=' Pivot Tables'!$A$4,1,0)</f>
        <v>0</v>
      </c>
      <c r="X1836">
        <f>IF(AND(LEFT(D1836,4)+1=LEFT(' Pivot Tables'!$A$4,4)+0,RIGHT(LEFT(D1836,7),2)=RIGHT(LEFT(' Pivot Tables'!$A$4,7),2)),1,0)</f>
        <v>0</v>
      </c>
      <c r="Y1836" s="6">
        <f>1/COUNTIF(Таблица1[Order ID],Таблица1[[#This Row],[Order ID]])</f>
        <v>1</v>
      </c>
      <c r="Z1836" s="9">
        <f>1/COUNTIFS(Таблица1[Customer Name],Таблица1[[#This Row],[Customer Name]],Таблица1[Order-Year-Month],Таблица1[[#This Row],[Order-Year-Month]])</f>
        <v>1</v>
      </c>
    </row>
    <row r="1837" spans="1:26" x14ac:dyDescent="0.2">
      <c r="A1837" s="6">
        <v>257</v>
      </c>
      <c r="B1837" s="7">
        <v>1793</v>
      </c>
      <c r="C1837" s="8">
        <f>DATE(2012,12,31)-173</f>
        <v>41101</v>
      </c>
      <c r="D1837" s="8" t="str">
        <f t="shared" si="36"/>
        <v>2012-07 (июль 2012)</v>
      </c>
      <c r="E1837" s="9" t="s">
        <v>45</v>
      </c>
      <c r="F1837" s="7">
        <v>36</v>
      </c>
      <c r="G1837" s="7">
        <v>233.43</v>
      </c>
      <c r="H1837" s="7">
        <v>0.03</v>
      </c>
      <c r="I1837" s="9" t="s">
        <v>22</v>
      </c>
      <c r="J1837" s="10">
        <v>-71.897999999999996</v>
      </c>
      <c r="K1837" s="11">
        <v>6.28</v>
      </c>
      <c r="L1837" s="11">
        <v>5.36</v>
      </c>
      <c r="M1837" s="9" t="s">
        <v>1204</v>
      </c>
      <c r="N1837" s="6" t="s">
        <v>1123</v>
      </c>
      <c r="O1837" s="6" t="s">
        <v>1123</v>
      </c>
      <c r="P1837" s="9" t="s">
        <v>60</v>
      </c>
      <c r="Q1837" s="9" t="s">
        <v>26</v>
      </c>
      <c r="R1837" s="9" t="s">
        <v>37</v>
      </c>
      <c r="S1837" s="7" t="s">
        <v>1205</v>
      </c>
      <c r="T1837" s="9" t="s">
        <v>39</v>
      </c>
      <c r="U1837" s="7">
        <v>0.4</v>
      </c>
      <c r="V1837" s="12">
        <f>C1837+0</f>
        <v>41101</v>
      </c>
      <c r="W1837">
        <f>IF(D1837=' Pivot Tables'!$A$4,1,0)</f>
        <v>0</v>
      </c>
      <c r="X1837">
        <f>IF(AND(LEFT(D1837,4)+1=LEFT(' Pivot Tables'!$A$4,4)+0,RIGHT(LEFT(D1837,7),2)=RIGHT(LEFT(' Pivot Tables'!$A$4,7),2)),1,0)</f>
        <v>0</v>
      </c>
      <c r="Y1837" s="6">
        <f>1/COUNTIF(Таблица1[Order ID],Таблица1[[#This Row],[Order ID]])</f>
        <v>1</v>
      </c>
      <c r="Z1837" s="9">
        <f>1/COUNTIFS(Таблица1[Customer Name],Таблица1[[#This Row],[Customer Name]],Таблица1[Order-Year-Month],Таблица1[[#This Row],[Order-Year-Month]])</f>
        <v>1</v>
      </c>
    </row>
    <row r="1838" spans="1:26" x14ac:dyDescent="0.2">
      <c r="A1838" s="6">
        <v>316</v>
      </c>
      <c r="B1838" s="7">
        <v>2209</v>
      </c>
      <c r="C1838" s="8">
        <f>DATE(2012,12,31)-175</f>
        <v>41099</v>
      </c>
      <c r="D1838" s="8" t="str">
        <f t="shared" si="36"/>
        <v>2012-07 (июль 2012)</v>
      </c>
      <c r="E1838" s="9" t="s">
        <v>30</v>
      </c>
      <c r="F1838" s="7">
        <v>27</v>
      </c>
      <c r="G1838" s="7">
        <v>9418.73</v>
      </c>
      <c r="H1838" s="7">
        <v>0</v>
      </c>
      <c r="I1838" s="9" t="s">
        <v>31</v>
      </c>
      <c r="J1838" s="10">
        <v>2245.2399999999998</v>
      </c>
      <c r="K1838" s="11">
        <v>320.98</v>
      </c>
      <c r="L1838" s="11">
        <v>58.95</v>
      </c>
      <c r="M1838" s="9" t="s">
        <v>1206</v>
      </c>
      <c r="N1838" s="6" t="s">
        <v>1123</v>
      </c>
      <c r="O1838" s="6" t="s">
        <v>1123</v>
      </c>
      <c r="P1838" s="9" t="s">
        <v>33</v>
      </c>
      <c r="Q1838" s="9" t="s">
        <v>49</v>
      </c>
      <c r="R1838" s="9" t="s">
        <v>112</v>
      </c>
      <c r="S1838" s="7" t="s">
        <v>181</v>
      </c>
      <c r="T1838" s="9" t="s">
        <v>36</v>
      </c>
      <c r="U1838" s="7">
        <v>0.56999999999999995</v>
      </c>
      <c r="V1838" s="12">
        <f>C1838+2</f>
        <v>41101</v>
      </c>
      <c r="W1838">
        <f>IF(D1838=' Pivot Tables'!$A$4,1,0)</f>
        <v>0</v>
      </c>
      <c r="X1838">
        <f>IF(AND(LEFT(D1838,4)+1=LEFT(' Pivot Tables'!$A$4,4)+0,RIGHT(LEFT(D1838,7),2)=RIGHT(LEFT(' Pivot Tables'!$A$4,7),2)),1,0)</f>
        <v>0</v>
      </c>
      <c r="Y1838" s="6">
        <f>1/COUNTIF(Таблица1[Order ID],Таблица1[[#This Row],[Order ID]])</f>
        <v>0.25</v>
      </c>
      <c r="Z1838" s="9">
        <f>1/COUNTIFS(Таблица1[Customer Name],Таблица1[[#This Row],[Customer Name]],Таблица1[Order-Year-Month],Таблица1[[#This Row],[Order-Year-Month]])</f>
        <v>0.25</v>
      </c>
    </row>
    <row r="1839" spans="1:26" x14ac:dyDescent="0.2">
      <c r="A1839" s="6">
        <v>317</v>
      </c>
      <c r="B1839" s="7">
        <v>2209</v>
      </c>
      <c r="C1839" s="8">
        <f>DATE(2012,12,31)-175</f>
        <v>41099</v>
      </c>
      <c r="D1839" s="8" t="str">
        <f t="shared" si="36"/>
        <v>2012-07 (июль 2012)</v>
      </c>
      <c r="E1839" s="9" t="s">
        <v>30</v>
      </c>
      <c r="F1839" s="7">
        <v>1</v>
      </c>
      <c r="G1839" s="7">
        <v>5.68</v>
      </c>
      <c r="H1839" s="7">
        <v>0.02</v>
      </c>
      <c r="I1839" s="9" t="s">
        <v>22</v>
      </c>
      <c r="J1839" s="10">
        <v>-1.82</v>
      </c>
      <c r="K1839" s="11">
        <v>4.76</v>
      </c>
      <c r="L1839" s="11">
        <v>0.88</v>
      </c>
      <c r="M1839" s="9" t="s">
        <v>1206</v>
      </c>
      <c r="N1839" s="6" t="s">
        <v>1123</v>
      </c>
      <c r="O1839" s="6" t="s">
        <v>1123</v>
      </c>
      <c r="P1839" s="9" t="s">
        <v>33</v>
      </c>
      <c r="Q1839" s="9" t="s">
        <v>26</v>
      </c>
      <c r="R1839" s="9" t="s">
        <v>61</v>
      </c>
      <c r="S1839" s="7" t="s">
        <v>726</v>
      </c>
      <c r="T1839" s="9" t="s">
        <v>68</v>
      </c>
      <c r="U1839" s="7">
        <v>0.39</v>
      </c>
      <c r="V1839" s="12">
        <f>C1839+1</f>
        <v>41100</v>
      </c>
      <c r="W1839">
        <f>IF(D1839=' Pivot Tables'!$A$4,1,0)</f>
        <v>0</v>
      </c>
      <c r="X1839">
        <f>IF(AND(LEFT(D1839,4)+1=LEFT(' Pivot Tables'!$A$4,4)+0,RIGHT(LEFT(D1839,7),2)=RIGHT(LEFT(' Pivot Tables'!$A$4,7),2)),1,0)</f>
        <v>0</v>
      </c>
      <c r="Y1839" s="6">
        <f>1/COUNTIF(Таблица1[Order ID],Таблица1[[#This Row],[Order ID]])</f>
        <v>0.25</v>
      </c>
      <c r="Z1839" s="9">
        <f>1/COUNTIFS(Таблица1[Customer Name],Таблица1[[#This Row],[Customer Name]],Таблица1[Order-Year-Month],Таблица1[[#This Row],[Order-Year-Month]])</f>
        <v>0.25</v>
      </c>
    </row>
    <row r="1840" spans="1:26" x14ac:dyDescent="0.2">
      <c r="A1840" s="6">
        <v>318</v>
      </c>
      <c r="B1840" s="7">
        <v>2209</v>
      </c>
      <c r="C1840" s="8">
        <f>DATE(2012,12,31)-175</f>
        <v>41099</v>
      </c>
      <c r="D1840" s="8" t="str">
        <f t="shared" si="36"/>
        <v>2012-07 (июль 2012)</v>
      </c>
      <c r="E1840" s="9" t="s">
        <v>30</v>
      </c>
      <c r="F1840" s="7">
        <v>42</v>
      </c>
      <c r="G1840" s="7">
        <v>174.59</v>
      </c>
      <c r="H1840" s="7">
        <v>0.08</v>
      </c>
      <c r="I1840" s="9" t="s">
        <v>22</v>
      </c>
      <c r="J1840" s="10">
        <v>25.88</v>
      </c>
      <c r="K1840" s="11">
        <v>4.28</v>
      </c>
      <c r="L1840" s="11">
        <v>0.94</v>
      </c>
      <c r="M1840" s="9" t="s">
        <v>1206</v>
      </c>
      <c r="N1840" s="6" t="s">
        <v>1123</v>
      </c>
      <c r="O1840" s="6" t="s">
        <v>1123</v>
      </c>
      <c r="P1840" s="9" t="s">
        <v>33</v>
      </c>
      <c r="Q1840" s="9" t="s">
        <v>26</v>
      </c>
      <c r="R1840" s="9" t="s">
        <v>95</v>
      </c>
      <c r="S1840" s="7" t="s">
        <v>540</v>
      </c>
      <c r="T1840" s="9" t="s">
        <v>68</v>
      </c>
      <c r="U1840" s="7">
        <v>0.56000000000000005</v>
      </c>
      <c r="V1840" s="12">
        <f>C1840+0</f>
        <v>41099</v>
      </c>
      <c r="W1840">
        <f>IF(D1840=' Pivot Tables'!$A$4,1,0)</f>
        <v>0</v>
      </c>
      <c r="X1840">
        <f>IF(AND(LEFT(D1840,4)+1=LEFT(' Pivot Tables'!$A$4,4)+0,RIGHT(LEFT(D1840,7),2)=RIGHT(LEFT(' Pivot Tables'!$A$4,7),2)),1,0)</f>
        <v>0</v>
      </c>
      <c r="Y1840" s="6">
        <f>1/COUNTIF(Таблица1[Order ID],Таблица1[[#This Row],[Order ID]])</f>
        <v>0.25</v>
      </c>
      <c r="Z1840" s="9">
        <f>1/COUNTIFS(Таблица1[Customer Name],Таблица1[[#This Row],[Customer Name]],Таблица1[Order-Year-Month],Таблица1[[#This Row],[Order-Year-Month]])</f>
        <v>0.25</v>
      </c>
    </row>
    <row r="1841" spans="1:26" x14ac:dyDescent="0.2">
      <c r="A1841" s="6">
        <v>319</v>
      </c>
      <c r="B1841" s="7">
        <v>2209</v>
      </c>
      <c r="C1841" s="8">
        <f>DATE(2012,12,31)-175</f>
        <v>41099</v>
      </c>
      <c r="D1841" s="8" t="str">
        <f t="shared" si="36"/>
        <v>2012-07 (июль 2012)</v>
      </c>
      <c r="E1841" s="9" t="s">
        <v>30</v>
      </c>
      <c r="F1841" s="7">
        <v>13</v>
      </c>
      <c r="G1841" s="7">
        <v>1265.4969999999998</v>
      </c>
      <c r="H1841" s="7">
        <v>0.1</v>
      </c>
      <c r="I1841" s="9" t="s">
        <v>22</v>
      </c>
      <c r="J1841" s="10">
        <v>-161.11699999999999</v>
      </c>
      <c r="K1841" s="11">
        <v>125.99</v>
      </c>
      <c r="L1841" s="11">
        <v>3</v>
      </c>
      <c r="M1841" s="9" t="s">
        <v>1206</v>
      </c>
      <c r="N1841" s="6" t="s">
        <v>1123</v>
      </c>
      <c r="O1841" s="6" t="s">
        <v>1123</v>
      </c>
      <c r="P1841" s="9" t="s">
        <v>33</v>
      </c>
      <c r="Q1841" s="9" t="s">
        <v>42</v>
      </c>
      <c r="R1841" s="9" t="s">
        <v>43</v>
      </c>
      <c r="S1841" s="7" t="s">
        <v>669</v>
      </c>
      <c r="T1841" s="9" t="s">
        <v>39</v>
      </c>
      <c r="U1841" s="7">
        <v>0.59</v>
      </c>
      <c r="V1841" s="12">
        <f>C1841+1</f>
        <v>41100</v>
      </c>
      <c r="W1841">
        <f>IF(D1841=' Pivot Tables'!$A$4,1,0)</f>
        <v>0</v>
      </c>
      <c r="X1841">
        <f>IF(AND(LEFT(D1841,4)+1=LEFT(' Pivot Tables'!$A$4,4)+0,RIGHT(LEFT(D1841,7),2)=RIGHT(LEFT(' Pivot Tables'!$A$4,7),2)),1,0)</f>
        <v>0</v>
      </c>
      <c r="Y1841" s="6">
        <f>1/COUNTIF(Таблица1[Order ID],Таблица1[[#This Row],[Order ID]])</f>
        <v>0.25</v>
      </c>
      <c r="Z1841" s="9">
        <f>1/COUNTIFS(Таблица1[Customer Name],Таблица1[[#This Row],[Customer Name]],Таблица1[Order-Year-Month],Таблица1[[#This Row],[Order-Year-Month]])</f>
        <v>0.25</v>
      </c>
    </row>
    <row r="1842" spans="1:26" x14ac:dyDescent="0.2">
      <c r="A1842" s="6">
        <v>439</v>
      </c>
      <c r="B1842" s="7">
        <v>2947</v>
      </c>
      <c r="C1842" s="8">
        <f>DATE(2012,12,31)-616</f>
        <v>40658</v>
      </c>
      <c r="D1842" s="8" t="str">
        <f t="shared" si="36"/>
        <v>2011-04 (апрель 2011)</v>
      </c>
      <c r="E1842" s="9" t="s">
        <v>78</v>
      </c>
      <c r="F1842" s="7">
        <v>8</v>
      </c>
      <c r="G1842" s="7">
        <v>57.04</v>
      </c>
      <c r="H1842" s="7">
        <v>0.05</v>
      </c>
      <c r="I1842" s="9" t="s">
        <v>22</v>
      </c>
      <c r="J1842" s="10">
        <v>-29.06</v>
      </c>
      <c r="K1842" s="11">
        <v>6.48</v>
      </c>
      <c r="L1842" s="11">
        <v>6.81</v>
      </c>
      <c r="M1842" s="9" t="s">
        <v>1206</v>
      </c>
      <c r="N1842" s="6" t="s">
        <v>1123</v>
      </c>
      <c r="O1842" s="6" t="s">
        <v>1123</v>
      </c>
      <c r="P1842" s="9" t="s">
        <v>33</v>
      </c>
      <c r="Q1842" s="9" t="s">
        <v>26</v>
      </c>
      <c r="R1842" s="9" t="s">
        <v>61</v>
      </c>
      <c r="S1842" s="7" t="s">
        <v>299</v>
      </c>
      <c r="T1842" s="9" t="s">
        <v>39</v>
      </c>
      <c r="U1842" s="7">
        <v>0.36</v>
      </c>
      <c r="V1842" s="12">
        <f>C1842+2</f>
        <v>40660</v>
      </c>
      <c r="W1842">
        <f>IF(D1842=' Pivot Tables'!$A$4,1,0)</f>
        <v>0</v>
      </c>
      <c r="X1842">
        <f>IF(AND(LEFT(D1842,4)+1=LEFT(' Pivot Tables'!$A$4,4)+0,RIGHT(LEFT(D1842,7),2)=RIGHT(LEFT(' Pivot Tables'!$A$4,7),2)),1,0)</f>
        <v>0</v>
      </c>
      <c r="Y1842" s="6">
        <f>1/COUNTIF(Таблица1[Order ID],Таблица1[[#This Row],[Order ID]])</f>
        <v>1</v>
      </c>
      <c r="Z1842" s="9">
        <f>1/COUNTIFS(Таблица1[Customer Name],Таблица1[[#This Row],[Customer Name]],Таблица1[Order-Year-Month],Таблица1[[#This Row],[Order-Year-Month]])</f>
        <v>0.33333333333333331</v>
      </c>
    </row>
    <row r="1843" spans="1:26" x14ac:dyDescent="0.2">
      <c r="A1843" s="6">
        <v>474</v>
      </c>
      <c r="B1843" s="7">
        <v>3271</v>
      </c>
      <c r="C1843" s="8">
        <f>DATE(2012,12,31)-366</f>
        <v>40908</v>
      </c>
      <c r="D1843" s="8" t="str">
        <f t="shared" si="36"/>
        <v>2011-12 (декабрь 2011)</v>
      </c>
      <c r="E1843" s="9" t="s">
        <v>78</v>
      </c>
      <c r="F1843" s="7">
        <v>45</v>
      </c>
      <c r="G1843" s="7">
        <v>11532.99</v>
      </c>
      <c r="H1843" s="7">
        <v>7.0000000000000007E-2</v>
      </c>
      <c r="I1843" s="9" t="s">
        <v>31</v>
      </c>
      <c r="J1843" s="10">
        <v>2753.39</v>
      </c>
      <c r="K1843" s="11">
        <v>264.98</v>
      </c>
      <c r="L1843" s="11">
        <v>17.86</v>
      </c>
      <c r="M1843" s="9" t="s">
        <v>1204</v>
      </c>
      <c r="N1843" s="6" t="s">
        <v>1123</v>
      </c>
      <c r="O1843" s="6" t="s">
        <v>1123</v>
      </c>
      <c r="P1843" s="9" t="s">
        <v>60</v>
      </c>
      <c r="Q1843" s="9" t="s">
        <v>42</v>
      </c>
      <c r="R1843" s="9" t="s">
        <v>210</v>
      </c>
      <c r="S1843" s="7" t="s">
        <v>1207</v>
      </c>
      <c r="T1843" s="9" t="s">
        <v>36</v>
      </c>
      <c r="U1843" s="7">
        <v>0.57999999999999996</v>
      </c>
      <c r="V1843" s="12">
        <f>C1843+0</f>
        <v>40908</v>
      </c>
      <c r="W1843">
        <f>IF(D1843=' Pivot Tables'!$A$4,1,0)</f>
        <v>0</v>
      </c>
      <c r="X1843">
        <f>IF(AND(LEFT(D1843,4)+1=LEFT(' Pivot Tables'!$A$4,4)+0,RIGHT(LEFT(D1843,7),2)=RIGHT(LEFT(' Pivot Tables'!$A$4,7),2)),1,0)</f>
        <v>0</v>
      </c>
      <c r="Y1843" s="6">
        <f>1/COUNTIF(Таблица1[Order ID],Таблица1[[#This Row],[Order ID]])</f>
        <v>0.5</v>
      </c>
      <c r="Z1843" s="9">
        <f>1/COUNTIFS(Таблица1[Customer Name],Таблица1[[#This Row],[Customer Name]],Таблица1[Order-Year-Month],Таблица1[[#This Row],[Order-Year-Month]])</f>
        <v>0.5</v>
      </c>
    </row>
    <row r="1844" spans="1:26" x14ac:dyDescent="0.2">
      <c r="A1844" s="6">
        <v>475</v>
      </c>
      <c r="B1844" s="7">
        <v>3271</v>
      </c>
      <c r="C1844" s="8">
        <f>DATE(2012,12,31)-366</f>
        <v>40908</v>
      </c>
      <c r="D1844" s="8" t="str">
        <f t="shared" si="36"/>
        <v>2011-12 (декабрь 2011)</v>
      </c>
      <c r="E1844" s="9" t="s">
        <v>78</v>
      </c>
      <c r="F1844" s="7">
        <v>18</v>
      </c>
      <c r="G1844" s="7">
        <v>146.1</v>
      </c>
      <c r="H1844" s="7">
        <v>0.06</v>
      </c>
      <c r="I1844" s="9" t="s">
        <v>56</v>
      </c>
      <c r="J1844" s="10">
        <v>51.14</v>
      </c>
      <c r="K1844" s="11">
        <v>8.34</v>
      </c>
      <c r="L1844" s="11">
        <v>1.43</v>
      </c>
      <c r="M1844" s="9" t="s">
        <v>1204</v>
      </c>
      <c r="N1844" s="6" t="s">
        <v>1123</v>
      </c>
      <c r="O1844" s="6" t="s">
        <v>1123</v>
      </c>
      <c r="P1844" s="9" t="s">
        <v>60</v>
      </c>
      <c r="Q1844" s="9" t="s">
        <v>26</v>
      </c>
      <c r="R1844" s="9" t="s">
        <v>61</v>
      </c>
      <c r="S1844" s="7" t="s">
        <v>1208</v>
      </c>
      <c r="T1844" s="9" t="s">
        <v>68</v>
      </c>
      <c r="U1844" s="7">
        <v>0.35</v>
      </c>
      <c r="V1844" s="12">
        <f>C1844+1</f>
        <v>40909</v>
      </c>
      <c r="W1844">
        <f>IF(D1844=' Pivot Tables'!$A$4,1,0)</f>
        <v>0</v>
      </c>
      <c r="X1844">
        <f>IF(AND(LEFT(D1844,4)+1=LEFT(' Pivot Tables'!$A$4,4)+0,RIGHT(LEFT(D1844,7),2)=RIGHT(LEFT(' Pivot Tables'!$A$4,7),2)),1,0)</f>
        <v>0</v>
      </c>
      <c r="Y1844" s="6">
        <f>1/COUNTIF(Таблица1[Order ID],Таблица1[[#This Row],[Order ID]])</f>
        <v>0.5</v>
      </c>
      <c r="Z1844" s="9">
        <f>1/COUNTIFS(Таблица1[Customer Name],Таблица1[[#This Row],[Customer Name]],Таблица1[Order-Year-Month],Таблица1[[#This Row],[Order-Year-Month]])</f>
        <v>0.5</v>
      </c>
    </row>
    <row r="1845" spans="1:26" x14ac:dyDescent="0.2">
      <c r="A1845" s="6">
        <v>623</v>
      </c>
      <c r="B1845" s="7">
        <v>4321</v>
      </c>
      <c r="C1845" s="8">
        <f>DATE(2012,12,31)-1263</f>
        <v>40011</v>
      </c>
      <c r="D1845" s="8" t="str">
        <f t="shared" si="36"/>
        <v>2009-07 (июль 2009)</v>
      </c>
      <c r="E1845" s="9" t="s">
        <v>63</v>
      </c>
      <c r="F1845" s="7">
        <v>47</v>
      </c>
      <c r="G1845" s="7">
        <v>1505.57</v>
      </c>
      <c r="H1845" s="7">
        <v>0.02</v>
      </c>
      <c r="I1845" s="9" t="s">
        <v>56</v>
      </c>
      <c r="J1845" s="10">
        <v>-54.63</v>
      </c>
      <c r="K1845" s="11">
        <v>30.53</v>
      </c>
      <c r="L1845" s="11">
        <v>19.989999999999998</v>
      </c>
      <c r="M1845" s="9" t="s">
        <v>1200</v>
      </c>
      <c r="N1845" s="6" t="s">
        <v>1123</v>
      </c>
      <c r="O1845" s="6" t="s">
        <v>1123</v>
      </c>
      <c r="P1845" s="9" t="s">
        <v>41</v>
      </c>
      <c r="Q1845" s="9" t="s">
        <v>26</v>
      </c>
      <c r="R1845" s="9" t="s">
        <v>88</v>
      </c>
      <c r="S1845" s="7" t="s">
        <v>219</v>
      </c>
      <c r="T1845" s="9" t="s">
        <v>39</v>
      </c>
      <c r="U1845" s="7">
        <v>0.39</v>
      </c>
      <c r="V1845" s="12">
        <f>C1845+2</f>
        <v>40013</v>
      </c>
      <c r="W1845">
        <f>IF(D1845=' Pivot Tables'!$A$4,1,0)</f>
        <v>0</v>
      </c>
      <c r="X1845">
        <f>IF(AND(LEFT(D1845,4)+1=LEFT(' Pivot Tables'!$A$4,4)+0,RIGHT(LEFT(D1845,7),2)=RIGHT(LEFT(' Pivot Tables'!$A$4,7),2)),1,0)</f>
        <v>0</v>
      </c>
      <c r="Y1845" s="6">
        <f>1/COUNTIF(Таблица1[Order ID],Таблица1[[#This Row],[Order ID]])</f>
        <v>1</v>
      </c>
      <c r="Z1845" s="9">
        <f>1/COUNTIFS(Таблица1[Customer Name],Таблица1[[#This Row],[Customer Name]],Таблица1[Order-Year-Month],Таблица1[[#This Row],[Order-Year-Month]])</f>
        <v>1</v>
      </c>
    </row>
    <row r="1846" spans="1:26" x14ac:dyDescent="0.2">
      <c r="A1846" s="6">
        <v>643</v>
      </c>
      <c r="B1846" s="7">
        <v>4545</v>
      </c>
      <c r="C1846" s="8">
        <f>DATE(2012,12,31)-1080</f>
        <v>40194</v>
      </c>
      <c r="D1846" s="8" t="str">
        <f t="shared" si="36"/>
        <v>2010-01 (январь 2010)</v>
      </c>
      <c r="E1846" s="9" t="s">
        <v>45</v>
      </c>
      <c r="F1846" s="7">
        <v>33</v>
      </c>
      <c r="G1846" s="7">
        <v>126.38</v>
      </c>
      <c r="H1846" s="7">
        <v>0.08</v>
      </c>
      <c r="I1846" s="9" t="s">
        <v>22</v>
      </c>
      <c r="J1846" s="10">
        <v>26.64</v>
      </c>
      <c r="K1846" s="11">
        <v>4</v>
      </c>
      <c r="L1846" s="11">
        <v>1.3</v>
      </c>
      <c r="M1846" s="9" t="s">
        <v>1200</v>
      </c>
      <c r="N1846" s="6" t="s">
        <v>1123</v>
      </c>
      <c r="O1846" s="6" t="s">
        <v>1123</v>
      </c>
      <c r="P1846" s="9" t="s">
        <v>25</v>
      </c>
      <c r="Q1846" s="9" t="s">
        <v>26</v>
      </c>
      <c r="R1846" s="9" t="s">
        <v>61</v>
      </c>
      <c r="S1846" s="7" t="s">
        <v>1209</v>
      </c>
      <c r="T1846" s="9" t="s">
        <v>68</v>
      </c>
      <c r="U1846" s="7">
        <v>0.37</v>
      </c>
      <c r="V1846" s="12">
        <f>C1846+2</f>
        <v>40196</v>
      </c>
      <c r="W1846">
        <f>IF(D1846=' Pivot Tables'!$A$4,1,0)</f>
        <v>1</v>
      </c>
      <c r="X1846">
        <f>IF(AND(LEFT(D1846,4)+1=LEFT(' Pivot Tables'!$A$4,4)+0,RIGHT(LEFT(D1846,7),2)=RIGHT(LEFT(' Pivot Tables'!$A$4,7),2)),1,0)</f>
        <v>0</v>
      </c>
      <c r="Y1846" s="6">
        <f>1/COUNTIF(Таблица1[Order ID],Таблица1[[#This Row],[Order ID]])</f>
        <v>0.5</v>
      </c>
      <c r="Z1846" s="9">
        <f>1/COUNTIFS(Таблица1[Customer Name],Таблица1[[#This Row],[Customer Name]],Таблица1[Order-Year-Month],Таблица1[[#This Row],[Order-Year-Month]])</f>
        <v>0.5</v>
      </c>
    </row>
    <row r="1847" spans="1:26" x14ac:dyDescent="0.2">
      <c r="A1847" s="6">
        <v>644</v>
      </c>
      <c r="B1847" s="7">
        <v>4545</v>
      </c>
      <c r="C1847" s="8">
        <f>DATE(2012,12,31)-1080</f>
        <v>40194</v>
      </c>
      <c r="D1847" s="8" t="str">
        <f t="shared" si="36"/>
        <v>2010-01 (январь 2010)</v>
      </c>
      <c r="E1847" s="9" t="s">
        <v>45</v>
      </c>
      <c r="F1847" s="7">
        <v>4</v>
      </c>
      <c r="G1847" s="7">
        <v>33.1</v>
      </c>
      <c r="H1847" s="7">
        <v>0.06</v>
      </c>
      <c r="I1847" s="9" t="s">
        <v>22</v>
      </c>
      <c r="J1847" s="10">
        <v>-24.15</v>
      </c>
      <c r="K1847" s="11">
        <v>6.48</v>
      </c>
      <c r="L1847" s="11">
        <v>8.74</v>
      </c>
      <c r="M1847" s="9" t="s">
        <v>1200</v>
      </c>
      <c r="N1847" s="6" t="s">
        <v>1123</v>
      </c>
      <c r="O1847" s="6" t="s">
        <v>1123</v>
      </c>
      <c r="P1847" s="9" t="s">
        <v>25</v>
      </c>
      <c r="Q1847" s="9" t="s">
        <v>26</v>
      </c>
      <c r="R1847" s="9" t="s">
        <v>61</v>
      </c>
      <c r="S1847" s="7" t="s">
        <v>1210</v>
      </c>
      <c r="T1847" s="9" t="s">
        <v>39</v>
      </c>
      <c r="U1847" s="7">
        <v>0.36</v>
      </c>
      <c r="V1847" s="12">
        <f>C1847+1</f>
        <v>40195</v>
      </c>
      <c r="W1847">
        <f>IF(D1847=' Pivot Tables'!$A$4,1,0)</f>
        <v>1</v>
      </c>
      <c r="X1847">
        <f>IF(AND(LEFT(D1847,4)+1=LEFT(' Pivot Tables'!$A$4,4)+0,RIGHT(LEFT(D1847,7),2)=RIGHT(LEFT(' Pivot Tables'!$A$4,7),2)),1,0)</f>
        <v>0</v>
      </c>
      <c r="Y1847" s="6">
        <f>1/COUNTIF(Таблица1[Order ID],Таблица1[[#This Row],[Order ID]])</f>
        <v>0.5</v>
      </c>
      <c r="Z1847" s="9">
        <f>1/COUNTIFS(Таблица1[Customer Name],Таблица1[[#This Row],[Customer Name]],Таблица1[Order-Year-Month],Таблица1[[#This Row],[Order-Year-Month]])</f>
        <v>0.5</v>
      </c>
    </row>
    <row r="1848" spans="1:26" x14ac:dyDescent="0.2">
      <c r="A1848" s="6">
        <v>783</v>
      </c>
      <c r="B1848" s="7">
        <v>5572</v>
      </c>
      <c r="C1848" s="8">
        <f>DATE(2012,12,31)-1264</f>
        <v>40010</v>
      </c>
      <c r="D1848" s="8" t="str">
        <f t="shared" si="36"/>
        <v>2009-07 (июль 2009)</v>
      </c>
      <c r="E1848" s="9" t="s">
        <v>30</v>
      </c>
      <c r="F1848" s="7">
        <v>37</v>
      </c>
      <c r="G1848" s="7">
        <v>288.55</v>
      </c>
      <c r="H1848" s="7">
        <v>0.03</v>
      </c>
      <c r="I1848" s="9" t="s">
        <v>22</v>
      </c>
      <c r="J1848" s="10">
        <v>-133.69999999999999</v>
      </c>
      <c r="K1848" s="11">
        <v>7.37</v>
      </c>
      <c r="L1848" s="11">
        <v>5.53</v>
      </c>
      <c r="M1848" s="9" t="s">
        <v>1211</v>
      </c>
      <c r="N1848" s="6" t="s">
        <v>1123</v>
      </c>
      <c r="O1848" s="6" t="s">
        <v>1123</v>
      </c>
      <c r="P1848" s="9" t="s">
        <v>41</v>
      </c>
      <c r="Q1848" s="9" t="s">
        <v>42</v>
      </c>
      <c r="R1848" s="9" t="s">
        <v>70</v>
      </c>
      <c r="S1848" s="7" t="s">
        <v>1081</v>
      </c>
      <c r="T1848" s="9" t="s">
        <v>52</v>
      </c>
      <c r="U1848" s="7">
        <v>0.69</v>
      </c>
      <c r="V1848" s="12">
        <f>C1848+2</f>
        <v>40012</v>
      </c>
      <c r="W1848">
        <f>IF(D1848=' Pivot Tables'!$A$4,1,0)</f>
        <v>0</v>
      </c>
      <c r="X1848">
        <f>IF(AND(LEFT(D1848,4)+1=LEFT(' Pivot Tables'!$A$4,4)+0,RIGHT(LEFT(D1848,7),2)=RIGHT(LEFT(' Pivot Tables'!$A$4,7),2)),1,0)</f>
        <v>0</v>
      </c>
      <c r="Y1848" s="6">
        <f>1/COUNTIF(Таблица1[Order ID],Таблица1[[#This Row],[Order ID]])</f>
        <v>1</v>
      </c>
      <c r="Z1848" s="9">
        <f>1/COUNTIFS(Таблица1[Customer Name],Таблица1[[#This Row],[Customer Name]],Таблица1[Order-Year-Month],Таблица1[[#This Row],[Order-Year-Month]])</f>
        <v>1</v>
      </c>
    </row>
    <row r="1849" spans="1:26" x14ac:dyDescent="0.2">
      <c r="A1849" s="6">
        <v>800</v>
      </c>
      <c r="B1849" s="7">
        <v>5703</v>
      </c>
      <c r="C1849" s="8">
        <f>DATE(2012,12,31)-961</f>
        <v>40313</v>
      </c>
      <c r="D1849" s="8" t="str">
        <f t="shared" si="36"/>
        <v>2010-05 (май 2010)</v>
      </c>
      <c r="E1849" s="9" t="s">
        <v>63</v>
      </c>
      <c r="F1849" s="7">
        <v>29</v>
      </c>
      <c r="G1849" s="7">
        <v>357.96</v>
      </c>
      <c r="H1849" s="7">
        <v>0.06</v>
      </c>
      <c r="I1849" s="9" t="s">
        <v>22</v>
      </c>
      <c r="J1849" s="10">
        <v>10.44</v>
      </c>
      <c r="K1849" s="11">
        <v>12.28</v>
      </c>
      <c r="L1849" s="11">
        <v>6.47</v>
      </c>
      <c r="M1849" s="9" t="s">
        <v>1204</v>
      </c>
      <c r="N1849" s="6" t="s">
        <v>1123</v>
      </c>
      <c r="O1849" s="6" t="s">
        <v>1123</v>
      </c>
      <c r="P1849" s="9" t="s">
        <v>33</v>
      </c>
      <c r="Q1849" s="9" t="s">
        <v>26</v>
      </c>
      <c r="R1849" s="9" t="s">
        <v>61</v>
      </c>
      <c r="S1849" s="7" t="s">
        <v>131</v>
      </c>
      <c r="T1849" s="9" t="s">
        <v>39</v>
      </c>
      <c r="U1849" s="7">
        <v>0.38</v>
      </c>
      <c r="V1849" s="12">
        <f>C1849+1</f>
        <v>40314</v>
      </c>
      <c r="W1849">
        <f>IF(D1849=' Pivot Tables'!$A$4,1,0)</f>
        <v>0</v>
      </c>
      <c r="X1849">
        <f>IF(AND(LEFT(D1849,4)+1=LEFT(' Pivot Tables'!$A$4,4)+0,RIGHT(LEFT(D1849,7),2)=RIGHT(LEFT(' Pivot Tables'!$A$4,7),2)),1,0)</f>
        <v>0</v>
      </c>
      <c r="Y1849" s="6">
        <f>1/COUNTIF(Таблица1[Order ID],Таблица1[[#This Row],[Order ID]])</f>
        <v>1</v>
      </c>
      <c r="Z1849" s="9">
        <f>1/COUNTIFS(Таблица1[Customer Name],Таблица1[[#This Row],[Customer Name]],Таблица1[Order-Year-Month],Таблица1[[#This Row],[Order-Year-Month]])</f>
        <v>1</v>
      </c>
    </row>
    <row r="1850" spans="1:26" x14ac:dyDescent="0.2">
      <c r="A1850" s="6">
        <v>819</v>
      </c>
      <c r="B1850" s="7">
        <v>5920</v>
      </c>
      <c r="C1850" s="8">
        <f>DATE(2012,12,31)-1138</f>
        <v>40136</v>
      </c>
      <c r="D1850" s="8" t="str">
        <f t="shared" si="36"/>
        <v>2009-11 (ноябрь 2009)</v>
      </c>
      <c r="E1850" s="9" t="s">
        <v>30</v>
      </c>
      <c r="F1850" s="7">
        <v>4</v>
      </c>
      <c r="G1850" s="7">
        <v>582.59</v>
      </c>
      <c r="H1850" s="7">
        <v>7.0000000000000007E-2</v>
      </c>
      <c r="I1850" s="9" t="s">
        <v>22</v>
      </c>
      <c r="J1850" s="10">
        <v>-121.75</v>
      </c>
      <c r="K1850" s="11">
        <v>155.06</v>
      </c>
      <c r="L1850" s="11">
        <v>7.07</v>
      </c>
      <c r="M1850" s="9" t="s">
        <v>1212</v>
      </c>
      <c r="N1850" s="6" t="s">
        <v>1123</v>
      </c>
      <c r="O1850" s="6" t="s">
        <v>1123</v>
      </c>
      <c r="P1850" s="9" t="s">
        <v>33</v>
      </c>
      <c r="Q1850" s="9" t="s">
        <v>26</v>
      </c>
      <c r="R1850" s="9" t="s">
        <v>27</v>
      </c>
      <c r="S1850" s="7" t="s">
        <v>502</v>
      </c>
      <c r="T1850" s="9" t="s">
        <v>39</v>
      </c>
      <c r="U1850" s="7">
        <v>0.59</v>
      </c>
      <c r="V1850" s="12">
        <f>C1850+0</f>
        <v>40136</v>
      </c>
      <c r="W1850">
        <f>IF(D1850=' Pivot Tables'!$A$4,1,0)</f>
        <v>0</v>
      </c>
      <c r="X1850">
        <f>IF(AND(LEFT(D1850,4)+1=LEFT(' Pivot Tables'!$A$4,4)+0,RIGHT(LEFT(D1850,7),2)=RIGHT(LEFT(' Pivot Tables'!$A$4,7),2)),1,0)</f>
        <v>0</v>
      </c>
      <c r="Y1850" s="6">
        <f>1/COUNTIF(Таблица1[Order ID],Таблица1[[#This Row],[Order ID]])</f>
        <v>1</v>
      </c>
      <c r="Z1850" s="9">
        <f>1/COUNTIFS(Таблица1[Customer Name],Таблица1[[#This Row],[Customer Name]],Таблица1[Order-Year-Month],Таблица1[[#This Row],[Order-Year-Month]])</f>
        <v>1</v>
      </c>
    </row>
    <row r="1851" spans="1:26" x14ac:dyDescent="0.2">
      <c r="A1851" s="6">
        <v>880</v>
      </c>
      <c r="B1851" s="7">
        <v>6311</v>
      </c>
      <c r="C1851" s="8">
        <f>DATE(2012,12,31)-1055</f>
        <v>40219</v>
      </c>
      <c r="D1851" s="8" t="str">
        <f t="shared" si="36"/>
        <v>2010-02 (февраль 2010)</v>
      </c>
      <c r="E1851" s="9" t="s">
        <v>63</v>
      </c>
      <c r="F1851" s="7">
        <v>18</v>
      </c>
      <c r="G1851" s="7">
        <v>1297.4485</v>
      </c>
      <c r="H1851" s="7">
        <v>0.04</v>
      </c>
      <c r="I1851" s="9" t="s">
        <v>22</v>
      </c>
      <c r="J1851" s="10">
        <v>4.212000000000006</v>
      </c>
      <c r="K1851" s="11">
        <v>85.99</v>
      </c>
      <c r="L1851" s="11">
        <v>10.78</v>
      </c>
      <c r="M1851" s="9" t="s">
        <v>1211</v>
      </c>
      <c r="N1851" s="6" t="s">
        <v>1123</v>
      </c>
      <c r="O1851" s="6" t="s">
        <v>1123</v>
      </c>
      <c r="P1851" s="9" t="s">
        <v>41</v>
      </c>
      <c r="Q1851" s="9" t="s">
        <v>42</v>
      </c>
      <c r="R1851" s="9" t="s">
        <v>43</v>
      </c>
      <c r="S1851" s="7" t="s">
        <v>1213</v>
      </c>
      <c r="T1851" s="9" t="s">
        <v>39</v>
      </c>
      <c r="U1851" s="7">
        <v>0.57999999999999996</v>
      </c>
      <c r="V1851" s="12">
        <f>C1851+3</f>
        <v>40222</v>
      </c>
      <c r="W1851">
        <f>IF(D1851=' Pivot Tables'!$A$4,1,0)</f>
        <v>0</v>
      </c>
      <c r="X1851">
        <f>IF(AND(LEFT(D1851,4)+1=LEFT(' Pivot Tables'!$A$4,4)+0,RIGHT(LEFT(D1851,7),2)=RIGHT(LEFT(' Pivot Tables'!$A$4,7),2)),1,0)</f>
        <v>0</v>
      </c>
      <c r="Y1851" s="6">
        <f>1/COUNTIF(Таблица1[Order ID],Таблица1[[#This Row],[Order ID]])</f>
        <v>1</v>
      </c>
      <c r="Z1851" s="9">
        <f>1/COUNTIFS(Таблица1[Customer Name],Таблица1[[#This Row],[Customer Name]],Таблица1[Order-Year-Month],Таблица1[[#This Row],[Order-Year-Month]])</f>
        <v>1</v>
      </c>
    </row>
    <row r="1852" spans="1:26" x14ac:dyDescent="0.2">
      <c r="A1852" s="6">
        <v>1125</v>
      </c>
      <c r="B1852" s="7">
        <v>8231</v>
      </c>
      <c r="C1852" s="8">
        <f>DATE(2012,12,31)-74</f>
        <v>41200</v>
      </c>
      <c r="D1852" s="8" t="str">
        <f t="shared" si="36"/>
        <v>2012-10 (октябрь 2012)</v>
      </c>
      <c r="E1852" s="9" t="s">
        <v>78</v>
      </c>
      <c r="F1852" s="7">
        <v>27</v>
      </c>
      <c r="G1852" s="7">
        <v>79.44</v>
      </c>
      <c r="H1852" s="7">
        <v>0.06</v>
      </c>
      <c r="I1852" s="9" t="s">
        <v>22</v>
      </c>
      <c r="J1852" s="10">
        <v>29.85</v>
      </c>
      <c r="K1852" s="11">
        <v>2.88</v>
      </c>
      <c r="L1852" s="11">
        <v>0.5</v>
      </c>
      <c r="M1852" s="9" t="s">
        <v>1200</v>
      </c>
      <c r="N1852" s="6" t="s">
        <v>1123</v>
      </c>
      <c r="O1852" s="6" t="s">
        <v>1123</v>
      </c>
      <c r="P1852" s="9" t="s">
        <v>41</v>
      </c>
      <c r="Q1852" s="9" t="s">
        <v>26</v>
      </c>
      <c r="R1852" s="9" t="s">
        <v>88</v>
      </c>
      <c r="S1852" s="7" t="s">
        <v>485</v>
      </c>
      <c r="T1852" s="9" t="s">
        <v>39</v>
      </c>
      <c r="U1852" s="7">
        <v>0.39</v>
      </c>
      <c r="V1852" s="12">
        <f>C1852+2</f>
        <v>41202</v>
      </c>
      <c r="W1852">
        <f>IF(D1852=' Pivot Tables'!$A$4,1,0)</f>
        <v>0</v>
      </c>
      <c r="X1852">
        <f>IF(AND(LEFT(D1852,4)+1=LEFT(' Pivot Tables'!$A$4,4)+0,RIGHT(LEFT(D1852,7),2)=RIGHT(LEFT(' Pivot Tables'!$A$4,7),2)),1,0)</f>
        <v>0</v>
      </c>
      <c r="Y1852" s="6">
        <f>1/COUNTIF(Таблица1[Order ID],Таблица1[[#This Row],[Order ID]])</f>
        <v>0.5</v>
      </c>
      <c r="Z1852" s="9">
        <f>1/COUNTIFS(Таблица1[Customer Name],Таблица1[[#This Row],[Customer Name]],Таблица1[Order-Year-Month],Таблица1[[#This Row],[Order-Year-Month]])</f>
        <v>0.2</v>
      </c>
    </row>
    <row r="1853" spans="1:26" x14ac:dyDescent="0.2">
      <c r="A1853" s="6">
        <v>1126</v>
      </c>
      <c r="B1853" s="7">
        <v>8231</v>
      </c>
      <c r="C1853" s="8">
        <f>DATE(2012,12,31)-74</f>
        <v>41200</v>
      </c>
      <c r="D1853" s="8" t="str">
        <f t="shared" si="36"/>
        <v>2012-10 (октябрь 2012)</v>
      </c>
      <c r="E1853" s="9" t="s">
        <v>78</v>
      </c>
      <c r="F1853" s="7">
        <v>5</v>
      </c>
      <c r="G1853" s="7">
        <v>110.03</v>
      </c>
      <c r="H1853" s="7">
        <v>0.06</v>
      </c>
      <c r="I1853" s="9" t="s">
        <v>22</v>
      </c>
      <c r="J1853" s="10">
        <v>-31.33</v>
      </c>
      <c r="K1853" s="11">
        <v>19.98</v>
      </c>
      <c r="L1853" s="11">
        <v>10.49</v>
      </c>
      <c r="M1853" s="9" t="s">
        <v>1200</v>
      </c>
      <c r="N1853" s="6" t="s">
        <v>1123</v>
      </c>
      <c r="O1853" s="6" t="s">
        <v>1123</v>
      </c>
      <c r="P1853" s="9" t="s">
        <v>41</v>
      </c>
      <c r="Q1853" s="9" t="s">
        <v>49</v>
      </c>
      <c r="R1853" s="9" t="s">
        <v>50</v>
      </c>
      <c r="S1853" s="7" t="s">
        <v>163</v>
      </c>
      <c r="T1853" s="9" t="s">
        <v>39</v>
      </c>
      <c r="U1853" s="7">
        <v>0.49</v>
      </c>
      <c r="V1853" s="12">
        <f>C1853+1</f>
        <v>41201</v>
      </c>
      <c r="W1853">
        <f>IF(D1853=' Pivot Tables'!$A$4,1,0)</f>
        <v>0</v>
      </c>
      <c r="X1853">
        <f>IF(AND(LEFT(D1853,4)+1=LEFT(' Pivot Tables'!$A$4,4)+0,RIGHT(LEFT(D1853,7),2)=RIGHT(LEFT(' Pivot Tables'!$A$4,7),2)),1,0)</f>
        <v>0</v>
      </c>
      <c r="Y1853" s="6">
        <f>1/COUNTIF(Таблица1[Order ID],Таблица1[[#This Row],[Order ID]])</f>
        <v>0.5</v>
      </c>
      <c r="Z1853" s="9">
        <f>1/COUNTIFS(Таблица1[Customer Name],Таблица1[[#This Row],[Customer Name]],Таблица1[Order-Year-Month],Таблица1[[#This Row],[Order-Year-Month]])</f>
        <v>0.2</v>
      </c>
    </row>
    <row r="1854" spans="1:26" x14ac:dyDescent="0.2">
      <c r="A1854" s="6">
        <v>1191</v>
      </c>
      <c r="B1854" s="7">
        <v>8709</v>
      </c>
      <c r="C1854" s="8">
        <f>DATE(2012,12,31)-1394</f>
        <v>39880</v>
      </c>
      <c r="D1854" s="8" t="str">
        <f t="shared" si="36"/>
        <v>2009-03 (март 2009)</v>
      </c>
      <c r="E1854" s="9" t="s">
        <v>30</v>
      </c>
      <c r="F1854" s="7">
        <v>50</v>
      </c>
      <c r="G1854" s="7">
        <v>2451.41</v>
      </c>
      <c r="H1854" s="7">
        <v>7.0000000000000007E-2</v>
      </c>
      <c r="I1854" s="9" t="s">
        <v>22</v>
      </c>
      <c r="J1854" s="10">
        <v>773.36</v>
      </c>
      <c r="K1854" s="11">
        <v>51.98</v>
      </c>
      <c r="L1854" s="11">
        <v>10.17</v>
      </c>
      <c r="M1854" s="9" t="s">
        <v>1214</v>
      </c>
      <c r="N1854" s="6" t="s">
        <v>1123</v>
      </c>
      <c r="O1854" s="6" t="s">
        <v>1123</v>
      </c>
      <c r="P1854" s="9" t="s">
        <v>60</v>
      </c>
      <c r="Q1854" s="9" t="s">
        <v>42</v>
      </c>
      <c r="R1854" s="9" t="s">
        <v>210</v>
      </c>
      <c r="S1854" s="7" t="s">
        <v>1215</v>
      </c>
      <c r="T1854" s="9" t="s">
        <v>48</v>
      </c>
      <c r="U1854" s="7">
        <v>0.37</v>
      </c>
      <c r="V1854" s="12">
        <f>C1854+2</f>
        <v>39882</v>
      </c>
      <c r="W1854">
        <f>IF(D1854=' Pivot Tables'!$A$4,1,0)</f>
        <v>0</v>
      </c>
      <c r="X1854">
        <f>IF(AND(LEFT(D1854,4)+1=LEFT(' Pivot Tables'!$A$4,4)+0,RIGHT(LEFT(D1854,7),2)=RIGHT(LEFT(' Pivot Tables'!$A$4,7),2)),1,0)</f>
        <v>0</v>
      </c>
      <c r="Y1854" s="6">
        <f>1/COUNTIF(Таблица1[Order ID],Таблица1[[#This Row],[Order ID]])</f>
        <v>0.5</v>
      </c>
      <c r="Z1854" s="9">
        <f>1/COUNTIFS(Таблица1[Customer Name],Таблица1[[#This Row],[Customer Name]],Таблица1[Order-Year-Month],Таблица1[[#This Row],[Order-Year-Month]])</f>
        <v>0.5</v>
      </c>
    </row>
    <row r="1855" spans="1:26" x14ac:dyDescent="0.2">
      <c r="A1855" s="6">
        <v>1192</v>
      </c>
      <c r="B1855" s="7">
        <v>8709</v>
      </c>
      <c r="C1855" s="8">
        <f>DATE(2012,12,31)-1394</f>
        <v>39880</v>
      </c>
      <c r="D1855" s="8" t="str">
        <f t="shared" si="36"/>
        <v>2009-03 (март 2009)</v>
      </c>
      <c r="E1855" s="9" t="s">
        <v>30</v>
      </c>
      <c r="F1855" s="7">
        <v>11</v>
      </c>
      <c r="G1855" s="7">
        <v>851.24</v>
      </c>
      <c r="H1855" s="7">
        <v>0.1</v>
      </c>
      <c r="I1855" s="9" t="s">
        <v>31</v>
      </c>
      <c r="J1855" s="10">
        <v>-149.4573</v>
      </c>
      <c r="K1855" s="11">
        <v>80.97</v>
      </c>
      <c r="L1855" s="11">
        <v>33.6</v>
      </c>
      <c r="M1855" s="9" t="s">
        <v>1214</v>
      </c>
      <c r="N1855" s="6" t="s">
        <v>1123</v>
      </c>
      <c r="O1855" s="6" t="s">
        <v>1123</v>
      </c>
      <c r="P1855" s="9" t="s">
        <v>60</v>
      </c>
      <c r="Q1855" s="9" t="s">
        <v>42</v>
      </c>
      <c r="R1855" s="9" t="s">
        <v>210</v>
      </c>
      <c r="S1855" s="7" t="s">
        <v>312</v>
      </c>
      <c r="T1855" s="9" t="s">
        <v>36</v>
      </c>
      <c r="U1855" s="7">
        <v>0.37</v>
      </c>
      <c r="V1855" s="12">
        <f>C1855+3</f>
        <v>39883</v>
      </c>
      <c r="W1855">
        <f>IF(D1855=' Pivot Tables'!$A$4,1,0)</f>
        <v>0</v>
      </c>
      <c r="X1855">
        <f>IF(AND(LEFT(D1855,4)+1=LEFT(' Pivot Tables'!$A$4,4)+0,RIGHT(LEFT(D1855,7),2)=RIGHT(LEFT(' Pivot Tables'!$A$4,7),2)),1,0)</f>
        <v>0</v>
      </c>
      <c r="Y1855" s="6">
        <f>1/COUNTIF(Таблица1[Order ID],Таблица1[[#This Row],[Order ID]])</f>
        <v>0.5</v>
      </c>
      <c r="Z1855" s="9">
        <f>1/COUNTIFS(Таблица1[Customer Name],Таблица1[[#This Row],[Customer Name]],Таблица1[Order-Year-Month],Таблица1[[#This Row],[Order-Year-Month]])</f>
        <v>0.5</v>
      </c>
    </row>
    <row r="1856" spans="1:26" x14ac:dyDescent="0.2">
      <c r="A1856" s="6">
        <v>1338</v>
      </c>
      <c r="B1856" s="7">
        <v>9765</v>
      </c>
      <c r="C1856" s="8">
        <f>DATE(2012,12,31)-80</f>
        <v>41194</v>
      </c>
      <c r="D1856" s="8" t="str">
        <f t="shared" si="36"/>
        <v>2012-10 (октябрь 2012)</v>
      </c>
      <c r="E1856" s="9" t="s">
        <v>21</v>
      </c>
      <c r="F1856" s="7">
        <v>26</v>
      </c>
      <c r="G1856" s="7">
        <v>3505.6</v>
      </c>
      <c r="H1856" s="7">
        <v>0.03</v>
      </c>
      <c r="I1856" s="9" t="s">
        <v>22</v>
      </c>
      <c r="J1856" s="10">
        <v>1019.7</v>
      </c>
      <c r="K1856" s="11">
        <v>128.24</v>
      </c>
      <c r="L1856" s="11">
        <v>12.65</v>
      </c>
      <c r="M1856" s="9" t="s">
        <v>1214</v>
      </c>
      <c r="N1856" s="6" t="s">
        <v>1123</v>
      </c>
      <c r="O1856" s="6" t="s">
        <v>1123</v>
      </c>
      <c r="P1856" s="9" t="s">
        <v>60</v>
      </c>
      <c r="Q1856" s="9" t="s">
        <v>49</v>
      </c>
      <c r="R1856" s="9" t="s">
        <v>112</v>
      </c>
      <c r="S1856" s="7" t="s">
        <v>545</v>
      </c>
      <c r="T1856" s="9" t="s">
        <v>48</v>
      </c>
      <c r="U1856" s="7"/>
      <c r="V1856" s="12">
        <f>C1856+7</f>
        <v>41201</v>
      </c>
      <c r="W1856">
        <f>IF(D1856=' Pivot Tables'!$A$4,1,0)</f>
        <v>0</v>
      </c>
      <c r="X1856">
        <f>IF(AND(LEFT(D1856,4)+1=LEFT(' Pivot Tables'!$A$4,4)+0,RIGHT(LEFT(D1856,7),2)=RIGHT(LEFT(' Pivot Tables'!$A$4,7),2)),1,0)</f>
        <v>0</v>
      </c>
      <c r="Y1856" s="6">
        <f>1/COUNTIF(Таблица1[Order ID],Таблица1[[#This Row],[Order ID]])</f>
        <v>1</v>
      </c>
      <c r="Z1856" s="9">
        <f>1/COUNTIFS(Таблица1[Customer Name],Таблица1[[#This Row],[Customer Name]],Таблица1[Order-Year-Month],Таблица1[[#This Row],[Order-Year-Month]])</f>
        <v>1</v>
      </c>
    </row>
    <row r="1857" spans="1:26" x14ac:dyDescent="0.2">
      <c r="A1857" s="6">
        <v>1399</v>
      </c>
      <c r="B1857" s="7">
        <v>10147</v>
      </c>
      <c r="C1857" s="8">
        <f>DATE(2012,12,31)-814</f>
        <v>40460</v>
      </c>
      <c r="D1857" s="8" t="str">
        <f t="shared" si="36"/>
        <v>2010-10 (октябрь 2010)</v>
      </c>
      <c r="E1857" s="9" t="s">
        <v>30</v>
      </c>
      <c r="F1857" s="7">
        <v>22</v>
      </c>
      <c r="G1857" s="7">
        <v>96.75</v>
      </c>
      <c r="H1857" s="7">
        <v>0.04</v>
      </c>
      <c r="I1857" s="9" t="s">
        <v>22</v>
      </c>
      <c r="J1857" s="10">
        <v>-72.91</v>
      </c>
      <c r="K1857" s="11">
        <v>4.24</v>
      </c>
      <c r="L1857" s="11">
        <v>5.41</v>
      </c>
      <c r="M1857" s="9" t="s">
        <v>1201</v>
      </c>
      <c r="N1857" s="6" t="s">
        <v>1123</v>
      </c>
      <c r="O1857" s="6" t="s">
        <v>1123</v>
      </c>
      <c r="P1857" s="9" t="s">
        <v>60</v>
      </c>
      <c r="Q1857" s="9" t="s">
        <v>26</v>
      </c>
      <c r="R1857" s="9" t="s">
        <v>37</v>
      </c>
      <c r="S1857" s="7" t="s">
        <v>873</v>
      </c>
      <c r="T1857" s="9" t="s">
        <v>39</v>
      </c>
      <c r="U1857" s="7">
        <v>0.35</v>
      </c>
      <c r="V1857" s="12">
        <f>C1857+1</f>
        <v>40461</v>
      </c>
      <c r="W1857">
        <f>IF(D1857=' Pivot Tables'!$A$4,1,0)</f>
        <v>0</v>
      </c>
      <c r="X1857">
        <f>IF(AND(LEFT(D1857,4)+1=LEFT(' Pivot Tables'!$A$4,4)+0,RIGHT(LEFT(D1857,7),2)=RIGHT(LEFT(' Pivot Tables'!$A$4,7),2)),1,0)</f>
        <v>0</v>
      </c>
      <c r="Y1857" s="6">
        <f>1/COUNTIF(Таблица1[Order ID],Таблица1[[#This Row],[Order ID]])</f>
        <v>1</v>
      </c>
      <c r="Z1857" s="9">
        <f>1/COUNTIFS(Таблица1[Customer Name],Таблица1[[#This Row],[Customer Name]],Таблица1[Order-Year-Month],Таблица1[[#This Row],[Order-Year-Month]])</f>
        <v>1</v>
      </c>
    </row>
    <row r="1858" spans="1:26" x14ac:dyDescent="0.2">
      <c r="A1858" s="6">
        <v>1645</v>
      </c>
      <c r="B1858" s="7">
        <v>11876</v>
      </c>
      <c r="C1858" s="8">
        <f>DATE(2012,12,31)-547</f>
        <v>40727</v>
      </c>
      <c r="D1858" s="8" t="str">
        <f t="shared" si="36"/>
        <v>2011-07 (июль 2011)</v>
      </c>
      <c r="E1858" s="9" t="s">
        <v>30</v>
      </c>
      <c r="F1858" s="7">
        <v>47</v>
      </c>
      <c r="G1858" s="7">
        <v>5051.8900000000003</v>
      </c>
      <c r="H1858" s="7">
        <v>0.02</v>
      </c>
      <c r="I1858" s="9" t="s">
        <v>22</v>
      </c>
      <c r="J1858" s="10">
        <v>1708.84</v>
      </c>
      <c r="K1858" s="11">
        <v>107.53</v>
      </c>
      <c r="L1858" s="11">
        <v>5.81</v>
      </c>
      <c r="M1858" s="9" t="s">
        <v>1204</v>
      </c>
      <c r="N1858" s="6" t="s">
        <v>1123</v>
      </c>
      <c r="O1858" s="6" t="s">
        <v>1123</v>
      </c>
      <c r="P1858" s="9" t="s">
        <v>60</v>
      </c>
      <c r="Q1858" s="9" t="s">
        <v>49</v>
      </c>
      <c r="R1858" s="9" t="s">
        <v>50</v>
      </c>
      <c r="S1858" s="7" t="s">
        <v>473</v>
      </c>
      <c r="T1858" s="9" t="s">
        <v>48</v>
      </c>
      <c r="U1858" s="7">
        <v>0.65</v>
      </c>
      <c r="V1858" s="12">
        <f>C1858+3</f>
        <v>40730</v>
      </c>
      <c r="W1858">
        <f>IF(D1858=' Pivot Tables'!$A$4,1,0)</f>
        <v>0</v>
      </c>
      <c r="X1858">
        <f>IF(AND(LEFT(D1858,4)+1=LEFT(' Pivot Tables'!$A$4,4)+0,RIGHT(LEFT(D1858,7),2)=RIGHT(LEFT(' Pivot Tables'!$A$4,7),2)),1,0)</f>
        <v>0</v>
      </c>
      <c r="Y1858" s="6">
        <f>1/COUNTIF(Таблица1[Order ID],Таблица1[[#This Row],[Order ID]])</f>
        <v>1</v>
      </c>
      <c r="Z1858" s="9">
        <f>1/COUNTIFS(Таблица1[Customer Name],Таблица1[[#This Row],[Customer Name]],Таблица1[Order-Year-Month],Таблица1[[#This Row],[Order-Year-Month]])</f>
        <v>1</v>
      </c>
    </row>
    <row r="1859" spans="1:26" x14ac:dyDescent="0.2">
      <c r="A1859" s="6">
        <v>1692</v>
      </c>
      <c r="B1859" s="7">
        <v>12224</v>
      </c>
      <c r="C1859" s="8">
        <f>DATE(2012,12,31)-1115</f>
        <v>40159</v>
      </c>
      <c r="D1859" s="8" t="str">
        <f t="shared" ref="D1859:D1922" si="37">TEXT(C1859,"гггг-ММ (ММММ гггг)")</f>
        <v>2009-12 (декабрь 2009)</v>
      </c>
      <c r="E1859" s="9" t="s">
        <v>30</v>
      </c>
      <c r="F1859" s="7">
        <v>2</v>
      </c>
      <c r="G1859" s="7">
        <v>302.91000000000003</v>
      </c>
      <c r="H1859" s="7">
        <v>0.04</v>
      </c>
      <c r="I1859" s="9" t="s">
        <v>31</v>
      </c>
      <c r="J1859" s="10">
        <v>-186.12900000000002</v>
      </c>
      <c r="K1859" s="11">
        <v>124.49</v>
      </c>
      <c r="L1859" s="11">
        <v>51.94</v>
      </c>
      <c r="M1859" s="9" t="s">
        <v>1204</v>
      </c>
      <c r="N1859" s="6" t="s">
        <v>1123</v>
      </c>
      <c r="O1859" s="6" t="s">
        <v>1123</v>
      </c>
      <c r="P1859" s="9" t="s">
        <v>33</v>
      </c>
      <c r="Q1859" s="9" t="s">
        <v>49</v>
      </c>
      <c r="R1859" s="9" t="s">
        <v>83</v>
      </c>
      <c r="S1859" s="7" t="s">
        <v>432</v>
      </c>
      <c r="T1859" s="9" t="s">
        <v>82</v>
      </c>
      <c r="U1859" s="7">
        <v>0.63</v>
      </c>
      <c r="V1859" s="12">
        <f>C1859+2</f>
        <v>40161</v>
      </c>
      <c r="W1859">
        <f>IF(D1859=' Pivot Tables'!$A$4,1,0)</f>
        <v>0</v>
      </c>
      <c r="X1859">
        <f>IF(AND(LEFT(D1859,4)+1=LEFT(' Pivot Tables'!$A$4,4)+0,RIGHT(LEFT(D1859,7),2)=RIGHT(LEFT(' Pivot Tables'!$A$4,7),2)),1,0)</f>
        <v>0</v>
      </c>
      <c r="Y1859" s="6">
        <f>1/COUNTIF(Таблица1[Order ID],Таблица1[[#This Row],[Order ID]])</f>
        <v>0.5</v>
      </c>
      <c r="Z1859" s="9">
        <f>1/COUNTIFS(Таблица1[Customer Name],Таблица1[[#This Row],[Customer Name]],Таблица1[Order-Year-Month],Таблица1[[#This Row],[Order-Year-Month]])</f>
        <v>0.5</v>
      </c>
    </row>
    <row r="1860" spans="1:26" x14ac:dyDescent="0.2">
      <c r="A1860" s="6">
        <v>1693</v>
      </c>
      <c r="B1860" s="7">
        <v>12224</v>
      </c>
      <c r="C1860" s="8">
        <f>DATE(2012,12,31)-1115</f>
        <v>40159</v>
      </c>
      <c r="D1860" s="8" t="str">
        <f t="shared" si="37"/>
        <v>2009-12 (декабрь 2009)</v>
      </c>
      <c r="E1860" s="9" t="s">
        <v>30</v>
      </c>
      <c r="F1860" s="7">
        <v>29</v>
      </c>
      <c r="G1860" s="7">
        <v>842.61349999999993</v>
      </c>
      <c r="H1860" s="7">
        <v>0.1</v>
      </c>
      <c r="I1860" s="9" t="s">
        <v>22</v>
      </c>
      <c r="J1860" s="10">
        <v>-208.428</v>
      </c>
      <c r="K1860" s="11">
        <v>35.99</v>
      </c>
      <c r="L1860" s="11">
        <v>5</v>
      </c>
      <c r="M1860" s="9" t="s">
        <v>1204</v>
      </c>
      <c r="N1860" s="6" t="s">
        <v>1123</v>
      </c>
      <c r="O1860" s="6" t="s">
        <v>1123</v>
      </c>
      <c r="P1860" s="9" t="s">
        <v>33</v>
      </c>
      <c r="Q1860" s="9" t="s">
        <v>42</v>
      </c>
      <c r="R1860" s="9" t="s">
        <v>43</v>
      </c>
      <c r="S1860" s="7" t="s">
        <v>677</v>
      </c>
      <c r="T1860" s="9" t="s">
        <v>68</v>
      </c>
      <c r="U1860" s="7">
        <v>0.82</v>
      </c>
      <c r="V1860" s="12">
        <f>C1860+0</f>
        <v>40159</v>
      </c>
      <c r="W1860">
        <f>IF(D1860=' Pivot Tables'!$A$4,1,0)</f>
        <v>0</v>
      </c>
      <c r="X1860">
        <f>IF(AND(LEFT(D1860,4)+1=LEFT(' Pivot Tables'!$A$4,4)+0,RIGHT(LEFT(D1860,7),2)=RIGHT(LEFT(' Pivot Tables'!$A$4,7),2)),1,0)</f>
        <v>0</v>
      </c>
      <c r="Y1860" s="6">
        <f>1/COUNTIF(Таблица1[Order ID],Таблица1[[#This Row],[Order ID]])</f>
        <v>0.5</v>
      </c>
      <c r="Z1860" s="9">
        <f>1/COUNTIFS(Таблица1[Customer Name],Таблица1[[#This Row],[Customer Name]],Таблица1[Order-Year-Month],Таблица1[[#This Row],[Order-Year-Month]])</f>
        <v>0.5</v>
      </c>
    </row>
    <row r="1861" spans="1:26" x14ac:dyDescent="0.2">
      <c r="A1861" s="6">
        <v>1696</v>
      </c>
      <c r="B1861" s="7">
        <v>12256</v>
      </c>
      <c r="C1861" s="8">
        <f>DATE(2012,12,31)-13</f>
        <v>41261</v>
      </c>
      <c r="D1861" s="8" t="str">
        <f t="shared" si="37"/>
        <v>2012-12 (декабрь 2012)</v>
      </c>
      <c r="E1861" s="9" t="s">
        <v>63</v>
      </c>
      <c r="F1861" s="7">
        <v>44</v>
      </c>
      <c r="G1861" s="7">
        <v>117.97</v>
      </c>
      <c r="H1861" s="7">
        <v>0.1</v>
      </c>
      <c r="I1861" s="9" t="s">
        <v>22</v>
      </c>
      <c r="J1861" s="10">
        <v>44.59</v>
      </c>
      <c r="K1861" s="11">
        <v>2.88</v>
      </c>
      <c r="L1861" s="11">
        <v>0.5</v>
      </c>
      <c r="M1861" s="9" t="s">
        <v>1204</v>
      </c>
      <c r="N1861" s="6" t="s">
        <v>1123</v>
      </c>
      <c r="O1861" s="6" t="s">
        <v>1123</v>
      </c>
      <c r="P1861" s="9" t="s">
        <v>60</v>
      </c>
      <c r="Q1861" s="9" t="s">
        <v>26</v>
      </c>
      <c r="R1861" s="9" t="s">
        <v>88</v>
      </c>
      <c r="S1861" s="7" t="s">
        <v>127</v>
      </c>
      <c r="T1861" s="9" t="s">
        <v>39</v>
      </c>
      <c r="U1861" s="7">
        <v>0.36</v>
      </c>
      <c r="V1861" s="12">
        <f>C1861+2</f>
        <v>41263</v>
      </c>
      <c r="W1861">
        <f>IF(D1861=' Pivot Tables'!$A$4,1,0)</f>
        <v>0</v>
      </c>
      <c r="X1861">
        <f>IF(AND(LEFT(D1861,4)+1=LEFT(' Pivot Tables'!$A$4,4)+0,RIGHT(LEFT(D1861,7),2)=RIGHT(LEFT(' Pivot Tables'!$A$4,7),2)),1,0)</f>
        <v>0</v>
      </c>
      <c r="Y1861" s="6">
        <f>1/COUNTIF(Таблица1[Order ID],Таблица1[[#This Row],[Order ID]])</f>
        <v>1</v>
      </c>
      <c r="Z1861" s="9">
        <f>1/COUNTIFS(Таблица1[Customer Name],Таблица1[[#This Row],[Customer Name]],Таблица1[Order-Year-Month],Таблица1[[#This Row],[Order-Year-Month]])</f>
        <v>1</v>
      </c>
    </row>
    <row r="1862" spans="1:26" x14ac:dyDescent="0.2">
      <c r="A1862" s="6">
        <v>1703</v>
      </c>
      <c r="B1862" s="7">
        <v>12261</v>
      </c>
      <c r="C1862" s="8">
        <f>DATE(2012,12,31)-800</f>
        <v>40474</v>
      </c>
      <c r="D1862" s="8" t="str">
        <f t="shared" si="37"/>
        <v>2010-10 (октябрь 2010)</v>
      </c>
      <c r="E1862" s="9" t="s">
        <v>21</v>
      </c>
      <c r="F1862" s="7">
        <v>12</v>
      </c>
      <c r="G1862" s="7">
        <v>2237.7600000000002</v>
      </c>
      <c r="H1862" s="7">
        <v>0.1</v>
      </c>
      <c r="I1862" s="9" t="s">
        <v>31</v>
      </c>
      <c r="J1862" s="10">
        <v>151.86000000000001</v>
      </c>
      <c r="K1862" s="11">
        <v>200.98</v>
      </c>
      <c r="L1862" s="11">
        <v>23.76</v>
      </c>
      <c r="M1862" s="9" t="s">
        <v>1203</v>
      </c>
      <c r="N1862" s="6" t="s">
        <v>1123</v>
      </c>
      <c r="O1862" s="6" t="s">
        <v>1123</v>
      </c>
      <c r="P1862" s="9" t="s">
        <v>41</v>
      </c>
      <c r="Q1862" s="9" t="s">
        <v>49</v>
      </c>
      <c r="R1862" s="9" t="s">
        <v>112</v>
      </c>
      <c r="S1862" s="7" t="s">
        <v>441</v>
      </c>
      <c r="T1862" s="9" t="s">
        <v>36</v>
      </c>
      <c r="U1862" s="7">
        <v>0.57999999999999996</v>
      </c>
      <c r="V1862" s="12">
        <f>C1862+5</f>
        <v>40479</v>
      </c>
      <c r="W1862">
        <f>IF(D1862=' Pivot Tables'!$A$4,1,0)</f>
        <v>0</v>
      </c>
      <c r="X1862">
        <f>IF(AND(LEFT(D1862,4)+1=LEFT(' Pivot Tables'!$A$4,4)+0,RIGHT(LEFT(D1862,7),2)=RIGHT(LEFT(' Pivot Tables'!$A$4,7),2)),1,0)</f>
        <v>0</v>
      </c>
      <c r="Y1862" s="6">
        <f>1/COUNTIF(Таблица1[Order ID],Таблица1[[#This Row],[Order ID]])</f>
        <v>0.2</v>
      </c>
      <c r="Z1862" s="9">
        <f>1/COUNTIFS(Таблица1[Customer Name],Таблица1[[#This Row],[Customer Name]],Таблица1[Order-Year-Month],Таблица1[[#This Row],[Order-Year-Month]])</f>
        <v>0.2</v>
      </c>
    </row>
    <row r="1863" spans="1:26" x14ac:dyDescent="0.2">
      <c r="A1863" s="6">
        <v>1704</v>
      </c>
      <c r="B1863" s="7">
        <v>12261</v>
      </c>
      <c r="C1863" s="8">
        <f>DATE(2012,12,31)-800</f>
        <v>40474</v>
      </c>
      <c r="D1863" s="8" t="str">
        <f t="shared" si="37"/>
        <v>2010-10 (октябрь 2010)</v>
      </c>
      <c r="E1863" s="9" t="s">
        <v>21</v>
      </c>
      <c r="F1863" s="7">
        <v>4</v>
      </c>
      <c r="G1863" s="7">
        <v>20.59</v>
      </c>
      <c r="H1863" s="7">
        <v>0.02</v>
      </c>
      <c r="I1863" s="9" t="s">
        <v>56</v>
      </c>
      <c r="J1863" s="10">
        <v>1.19</v>
      </c>
      <c r="K1863" s="11">
        <v>3.98</v>
      </c>
      <c r="L1863" s="11">
        <v>0.83</v>
      </c>
      <c r="M1863" s="9" t="s">
        <v>1203</v>
      </c>
      <c r="N1863" s="6" t="s">
        <v>1123</v>
      </c>
      <c r="O1863" s="6" t="s">
        <v>1123</v>
      </c>
      <c r="P1863" s="9" t="s">
        <v>41</v>
      </c>
      <c r="Q1863" s="9" t="s">
        <v>26</v>
      </c>
      <c r="R1863" s="9" t="s">
        <v>95</v>
      </c>
      <c r="S1863" s="7" t="s">
        <v>1216</v>
      </c>
      <c r="T1863" s="9" t="s">
        <v>68</v>
      </c>
      <c r="U1863" s="7">
        <v>0.51</v>
      </c>
      <c r="V1863" s="12">
        <f>C1863+4</f>
        <v>40478</v>
      </c>
      <c r="W1863">
        <f>IF(D1863=' Pivot Tables'!$A$4,1,0)</f>
        <v>0</v>
      </c>
      <c r="X1863">
        <f>IF(AND(LEFT(D1863,4)+1=LEFT(' Pivot Tables'!$A$4,4)+0,RIGHT(LEFT(D1863,7),2)=RIGHT(LEFT(' Pivot Tables'!$A$4,7),2)),1,0)</f>
        <v>0</v>
      </c>
      <c r="Y1863" s="6">
        <f>1/COUNTIF(Таблица1[Order ID],Таблица1[[#This Row],[Order ID]])</f>
        <v>0.2</v>
      </c>
      <c r="Z1863" s="9">
        <f>1/COUNTIFS(Таблица1[Customer Name],Таблица1[[#This Row],[Customer Name]],Таблица1[Order-Year-Month],Таблица1[[#This Row],[Order-Year-Month]])</f>
        <v>0.2</v>
      </c>
    </row>
    <row r="1864" spans="1:26" x14ac:dyDescent="0.2">
      <c r="A1864" s="6">
        <v>1705</v>
      </c>
      <c r="B1864" s="7">
        <v>12261</v>
      </c>
      <c r="C1864" s="8">
        <f>DATE(2012,12,31)-800</f>
        <v>40474</v>
      </c>
      <c r="D1864" s="8" t="str">
        <f t="shared" si="37"/>
        <v>2010-10 (октябрь 2010)</v>
      </c>
      <c r="E1864" s="9" t="s">
        <v>21</v>
      </c>
      <c r="F1864" s="7">
        <v>19</v>
      </c>
      <c r="G1864" s="7">
        <v>281.74</v>
      </c>
      <c r="H1864" s="7">
        <v>0.06</v>
      </c>
      <c r="I1864" s="9" t="s">
        <v>22</v>
      </c>
      <c r="J1864" s="10">
        <v>25.67</v>
      </c>
      <c r="K1864" s="11">
        <v>14.56</v>
      </c>
      <c r="L1864" s="11">
        <v>3.5</v>
      </c>
      <c r="M1864" s="9" t="s">
        <v>1203</v>
      </c>
      <c r="N1864" s="6" t="s">
        <v>1123</v>
      </c>
      <c r="O1864" s="6" t="s">
        <v>1123</v>
      </c>
      <c r="P1864" s="9" t="s">
        <v>41</v>
      </c>
      <c r="Q1864" s="9" t="s">
        <v>26</v>
      </c>
      <c r="R1864" s="9" t="s">
        <v>34</v>
      </c>
      <c r="S1864" s="7" t="s">
        <v>925</v>
      </c>
      <c r="T1864" s="9" t="s">
        <v>39</v>
      </c>
      <c r="U1864" s="7">
        <v>0.57999999999999996</v>
      </c>
      <c r="V1864" s="12">
        <f>C1864+5</f>
        <v>40479</v>
      </c>
      <c r="W1864">
        <f>IF(D1864=' Pivot Tables'!$A$4,1,0)</f>
        <v>0</v>
      </c>
      <c r="X1864">
        <f>IF(AND(LEFT(D1864,4)+1=LEFT(' Pivot Tables'!$A$4,4)+0,RIGHT(LEFT(D1864,7),2)=RIGHT(LEFT(' Pivot Tables'!$A$4,7),2)),1,0)</f>
        <v>0</v>
      </c>
      <c r="Y1864" s="6">
        <f>1/COUNTIF(Таблица1[Order ID],Таблица1[[#This Row],[Order ID]])</f>
        <v>0.2</v>
      </c>
      <c r="Z1864" s="9">
        <f>1/COUNTIFS(Таблица1[Customer Name],Таблица1[[#This Row],[Customer Name]],Таблица1[Order-Year-Month],Таблица1[[#This Row],[Order-Year-Month]])</f>
        <v>0.2</v>
      </c>
    </row>
    <row r="1865" spans="1:26" x14ac:dyDescent="0.2">
      <c r="A1865" s="6">
        <v>1706</v>
      </c>
      <c r="B1865" s="7">
        <v>12261</v>
      </c>
      <c r="C1865" s="8">
        <f>DATE(2012,12,31)-800</f>
        <v>40474</v>
      </c>
      <c r="D1865" s="8" t="str">
        <f t="shared" si="37"/>
        <v>2010-10 (октябрь 2010)</v>
      </c>
      <c r="E1865" s="9" t="s">
        <v>21</v>
      </c>
      <c r="F1865" s="7">
        <v>23</v>
      </c>
      <c r="G1865" s="7">
        <v>217.35</v>
      </c>
      <c r="H1865" s="7">
        <v>0</v>
      </c>
      <c r="I1865" s="9" t="s">
        <v>22</v>
      </c>
      <c r="J1865" s="10">
        <v>-67.19</v>
      </c>
      <c r="K1865" s="11">
        <v>8.74</v>
      </c>
      <c r="L1865" s="11">
        <v>8.2899999999999991</v>
      </c>
      <c r="M1865" s="9" t="s">
        <v>1203</v>
      </c>
      <c r="N1865" s="6" t="s">
        <v>1123</v>
      </c>
      <c r="O1865" s="6" t="s">
        <v>1123</v>
      </c>
      <c r="P1865" s="9" t="s">
        <v>41</v>
      </c>
      <c r="Q1865" s="9" t="s">
        <v>26</v>
      </c>
      <c r="R1865" s="9" t="s">
        <v>76</v>
      </c>
      <c r="S1865" s="7" t="s">
        <v>567</v>
      </c>
      <c r="T1865" s="9" t="s">
        <v>39</v>
      </c>
      <c r="U1865" s="7">
        <v>0.38</v>
      </c>
      <c r="V1865" s="12">
        <f>C1865+7</f>
        <v>40481</v>
      </c>
      <c r="W1865">
        <f>IF(D1865=' Pivot Tables'!$A$4,1,0)</f>
        <v>0</v>
      </c>
      <c r="X1865">
        <f>IF(AND(LEFT(D1865,4)+1=LEFT(' Pivot Tables'!$A$4,4)+0,RIGHT(LEFT(D1865,7),2)=RIGHT(LEFT(' Pivot Tables'!$A$4,7),2)),1,0)</f>
        <v>0</v>
      </c>
      <c r="Y1865" s="6">
        <f>1/COUNTIF(Таблица1[Order ID],Таблица1[[#This Row],[Order ID]])</f>
        <v>0.2</v>
      </c>
      <c r="Z1865" s="9">
        <f>1/COUNTIFS(Таблица1[Customer Name],Таблица1[[#This Row],[Customer Name]],Таблица1[Order-Year-Month],Таблица1[[#This Row],[Order-Year-Month]])</f>
        <v>0.2</v>
      </c>
    </row>
    <row r="1866" spans="1:26" x14ac:dyDescent="0.2">
      <c r="A1866" s="6">
        <v>1707</v>
      </c>
      <c r="B1866" s="7">
        <v>12261</v>
      </c>
      <c r="C1866" s="8">
        <f>DATE(2012,12,31)-800</f>
        <v>40474</v>
      </c>
      <c r="D1866" s="8" t="str">
        <f t="shared" si="37"/>
        <v>2010-10 (октябрь 2010)</v>
      </c>
      <c r="E1866" s="9" t="s">
        <v>21</v>
      </c>
      <c r="F1866" s="7">
        <v>15</v>
      </c>
      <c r="G1866" s="7">
        <v>2746.57</v>
      </c>
      <c r="H1866" s="7">
        <v>0.03</v>
      </c>
      <c r="I1866" s="9" t="s">
        <v>22</v>
      </c>
      <c r="J1866" s="10">
        <v>617.4</v>
      </c>
      <c r="K1866" s="11">
        <v>178.47</v>
      </c>
      <c r="L1866" s="11">
        <v>19.989999999999998</v>
      </c>
      <c r="M1866" s="9" t="s">
        <v>1203</v>
      </c>
      <c r="N1866" s="6" t="s">
        <v>1123</v>
      </c>
      <c r="O1866" s="6" t="s">
        <v>1123</v>
      </c>
      <c r="P1866" s="9" t="s">
        <v>41</v>
      </c>
      <c r="Q1866" s="9" t="s">
        <v>26</v>
      </c>
      <c r="R1866" s="9" t="s">
        <v>27</v>
      </c>
      <c r="S1866" s="7" t="s">
        <v>1195</v>
      </c>
      <c r="T1866" s="9" t="s">
        <v>39</v>
      </c>
      <c r="U1866" s="7">
        <v>0.55000000000000004</v>
      </c>
      <c r="V1866" s="12">
        <f>C1866+5</f>
        <v>40479</v>
      </c>
      <c r="W1866">
        <f>IF(D1866=' Pivot Tables'!$A$4,1,0)</f>
        <v>0</v>
      </c>
      <c r="X1866">
        <f>IF(AND(LEFT(D1866,4)+1=LEFT(' Pivot Tables'!$A$4,4)+0,RIGHT(LEFT(D1866,7),2)=RIGHT(LEFT(' Pivot Tables'!$A$4,7),2)),1,0)</f>
        <v>0</v>
      </c>
      <c r="Y1866" s="6">
        <f>1/COUNTIF(Таблица1[Order ID],Таблица1[[#This Row],[Order ID]])</f>
        <v>0.2</v>
      </c>
      <c r="Z1866" s="9">
        <f>1/COUNTIFS(Таблица1[Customer Name],Таблица1[[#This Row],[Customer Name]],Таблица1[Order-Year-Month],Таблица1[[#This Row],[Order-Year-Month]])</f>
        <v>0.2</v>
      </c>
    </row>
    <row r="1867" spans="1:26" x14ac:dyDescent="0.2">
      <c r="A1867" s="6">
        <v>1863</v>
      </c>
      <c r="B1867" s="7">
        <v>13408</v>
      </c>
      <c r="C1867" s="8">
        <f>DATE(2012,12,31)-1416</f>
        <v>39858</v>
      </c>
      <c r="D1867" s="8" t="str">
        <f t="shared" si="37"/>
        <v>2009-02 (февраль 2009)</v>
      </c>
      <c r="E1867" s="9" t="s">
        <v>21</v>
      </c>
      <c r="F1867" s="7">
        <v>4</v>
      </c>
      <c r="G1867" s="7">
        <v>256.77</v>
      </c>
      <c r="H1867" s="7">
        <v>0.04</v>
      </c>
      <c r="I1867" s="9" t="s">
        <v>22</v>
      </c>
      <c r="J1867" s="10">
        <v>173.89</v>
      </c>
      <c r="K1867" s="11">
        <v>60.65</v>
      </c>
      <c r="L1867" s="11">
        <v>12.23</v>
      </c>
      <c r="M1867" s="9" t="s">
        <v>1204</v>
      </c>
      <c r="N1867" s="6" t="s">
        <v>1123</v>
      </c>
      <c r="O1867" s="6" t="s">
        <v>1123</v>
      </c>
      <c r="P1867" s="9" t="s">
        <v>60</v>
      </c>
      <c r="Q1867" s="9" t="s">
        <v>49</v>
      </c>
      <c r="R1867" s="9" t="s">
        <v>50</v>
      </c>
      <c r="S1867" s="7" t="s">
        <v>1217</v>
      </c>
      <c r="T1867" s="9" t="s">
        <v>48</v>
      </c>
      <c r="U1867" s="7">
        <v>0.64</v>
      </c>
      <c r="V1867" s="12">
        <f>C1867+2</f>
        <v>39860</v>
      </c>
      <c r="W1867">
        <f>IF(D1867=' Pivot Tables'!$A$4,1,0)</f>
        <v>0</v>
      </c>
      <c r="X1867">
        <f>IF(AND(LEFT(D1867,4)+1=LEFT(' Pivot Tables'!$A$4,4)+0,RIGHT(LEFT(D1867,7),2)=RIGHT(LEFT(' Pivot Tables'!$A$4,7),2)),1,0)</f>
        <v>0</v>
      </c>
      <c r="Y1867" s="6">
        <f>1/COUNTIF(Таблица1[Order ID],Таблица1[[#This Row],[Order ID]])</f>
        <v>1</v>
      </c>
      <c r="Z1867" s="9">
        <f>1/COUNTIFS(Таблица1[Customer Name],Таблица1[[#This Row],[Customer Name]],Таблица1[Order-Year-Month],Таблица1[[#This Row],[Order-Year-Month]])</f>
        <v>1</v>
      </c>
    </row>
    <row r="1868" spans="1:26" x14ac:dyDescent="0.2">
      <c r="A1868" s="6">
        <v>1868</v>
      </c>
      <c r="B1868" s="7">
        <v>13444</v>
      </c>
      <c r="C1868" s="8">
        <f>DATE(2012,12,31)-361</f>
        <v>40913</v>
      </c>
      <c r="D1868" s="8" t="str">
        <f t="shared" si="37"/>
        <v>2012-01 (январь 2012)</v>
      </c>
      <c r="E1868" s="9" t="s">
        <v>30</v>
      </c>
      <c r="F1868" s="7">
        <v>33</v>
      </c>
      <c r="G1868" s="7">
        <v>154.44</v>
      </c>
      <c r="H1868" s="7">
        <v>0.06</v>
      </c>
      <c r="I1868" s="9" t="s">
        <v>22</v>
      </c>
      <c r="J1868" s="10">
        <v>54.62</v>
      </c>
      <c r="K1868" s="11">
        <v>4.76</v>
      </c>
      <c r="L1868" s="11">
        <v>0.88</v>
      </c>
      <c r="M1868" s="9" t="s">
        <v>1206</v>
      </c>
      <c r="N1868" s="6" t="s">
        <v>1123</v>
      </c>
      <c r="O1868" s="6" t="s">
        <v>1123</v>
      </c>
      <c r="P1868" s="9" t="s">
        <v>33</v>
      </c>
      <c r="Q1868" s="9" t="s">
        <v>26</v>
      </c>
      <c r="R1868" s="9" t="s">
        <v>61</v>
      </c>
      <c r="S1868" s="7" t="s">
        <v>726</v>
      </c>
      <c r="T1868" s="9" t="s">
        <v>68</v>
      </c>
      <c r="U1868" s="7">
        <v>0.39</v>
      </c>
      <c r="V1868" s="12">
        <f>C1868+3</f>
        <v>40916</v>
      </c>
      <c r="W1868">
        <f>IF(D1868=' Pivot Tables'!$A$4,1,0)</f>
        <v>0</v>
      </c>
      <c r="X1868">
        <f>IF(AND(LEFT(D1868,4)+1=LEFT(' Pivot Tables'!$A$4,4)+0,RIGHT(LEFT(D1868,7),2)=RIGHT(LEFT(' Pivot Tables'!$A$4,7),2)),1,0)</f>
        <v>0</v>
      </c>
      <c r="Y1868" s="6">
        <f>1/COUNTIF(Таблица1[Order ID],Таблица1[[#This Row],[Order ID]])</f>
        <v>1</v>
      </c>
      <c r="Z1868" s="9">
        <f>1/COUNTIFS(Таблица1[Customer Name],Таблица1[[#This Row],[Customer Name]],Таблица1[Order-Year-Month],Таблица1[[#This Row],[Order-Year-Month]])</f>
        <v>1</v>
      </c>
    </row>
    <row r="1869" spans="1:26" x14ac:dyDescent="0.2">
      <c r="A1869" s="6">
        <v>1893</v>
      </c>
      <c r="B1869" s="7">
        <v>13601</v>
      </c>
      <c r="C1869" s="8">
        <f>DATE(2012,12,31)-137</f>
        <v>41137</v>
      </c>
      <c r="D1869" s="8" t="str">
        <f t="shared" si="37"/>
        <v>2012-08 (август 2012)</v>
      </c>
      <c r="E1869" s="9" t="s">
        <v>21</v>
      </c>
      <c r="F1869" s="7">
        <v>17</v>
      </c>
      <c r="G1869" s="7">
        <v>822.91</v>
      </c>
      <c r="H1869" s="7">
        <v>0.09</v>
      </c>
      <c r="I1869" s="9" t="s">
        <v>22</v>
      </c>
      <c r="J1869" s="10">
        <v>-94.76</v>
      </c>
      <c r="K1869" s="11">
        <v>49.43</v>
      </c>
      <c r="L1869" s="11">
        <v>19.989999999999998</v>
      </c>
      <c r="M1869" s="9" t="s">
        <v>1204</v>
      </c>
      <c r="N1869" s="6" t="s">
        <v>1123</v>
      </c>
      <c r="O1869" s="6" t="s">
        <v>1123</v>
      </c>
      <c r="P1869" s="9" t="s">
        <v>33</v>
      </c>
      <c r="Q1869" s="9" t="s">
        <v>26</v>
      </c>
      <c r="R1869" s="9" t="s">
        <v>34</v>
      </c>
      <c r="S1869" s="7" t="s">
        <v>820</v>
      </c>
      <c r="T1869" s="9" t="s">
        <v>39</v>
      </c>
      <c r="U1869" s="7">
        <v>0.56999999999999995</v>
      </c>
      <c r="V1869" s="12">
        <f>C1869+4</f>
        <v>41141</v>
      </c>
      <c r="W1869">
        <f>IF(D1869=' Pivot Tables'!$A$4,1,0)</f>
        <v>0</v>
      </c>
      <c r="X1869">
        <f>IF(AND(LEFT(D1869,4)+1=LEFT(' Pivot Tables'!$A$4,4)+0,RIGHT(LEFT(D1869,7),2)=RIGHT(LEFT(' Pivot Tables'!$A$4,7),2)),1,0)</f>
        <v>0</v>
      </c>
      <c r="Y1869" s="6">
        <f>1/COUNTIF(Таблица1[Order ID],Таблица1[[#This Row],[Order ID]])</f>
        <v>1</v>
      </c>
      <c r="Z1869" s="9">
        <f>1/COUNTIFS(Таблица1[Customer Name],Таблица1[[#This Row],[Customer Name]],Таблица1[Order-Year-Month],Таблица1[[#This Row],[Order-Year-Month]])</f>
        <v>1</v>
      </c>
    </row>
    <row r="1870" spans="1:26" x14ac:dyDescent="0.2">
      <c r="A1870" s="6">
        <v>1938</v>
      </c>
      <c r="B1870" s="7">
        <v>13894</v>
      </c>
      <c r="C1870" s="8">
        <f>DATE(2012,12,31)-265</f>
        <v>41009</v>
      </c>
      <c r="D1870" s="8" t="str">
        <f t="shared" si="37"/>
        <v>2012-04 (апрель 2012)</v>
      </c>
      <c r="E1870" s="9" t="s">
        <v>63</v>
      </c>
      <c r="F1870" s="7">
        <v>31</v>
      </c>
      <c r="G1870" s="7">
        <v>89.18</v>
      </c>
      <c r="H1870" s="7">
        <v>0.04</v>
      </c>
      <c r="I1870" s="9" t="s">
        <v>22</v>
      </c>
      <c r="J1870" s="10">
        <v>21.73</v>
      </c>
      <c r="K1870" s="11">
        <v>2.94</v>
      </c>
      <c r="L1870" s="11">
        <v>0.81</v>
      </c>
      <c r="M1870" s="9" t="s">
        <v>1214</v>
      </c>
      <c r="N1870" s="6" t="s">
        <v>1123</v>
      </c>
      <c r="O1870" s="6" t="s">
        <v>1123</v>
      </c>
      <c r="P1870" s="9" t="s">
        <v>60</v>
      </c>
      <c r="Q1870" s="9" t="s">
        <v>26</v>
      </c>
      <c r="R1870" s="9" t="s">
        <v>95</v>
      </c>
      <c r="S1870" s="7" t="s">
        <v>1130</v>
      </c>
      <c r="T1870" s="9" t="s">
        <v>68</v>
      </c>
      <c r="U1870" s="7">
        <v>0.4</v>
      </c>
      <c r="V1870" s="12">
        <f>C1870+1</f>
        <v>41010</v>
      </c>
      <c r="W1870">
        <f>IF(D1870=' Pivot Tables'!$A$4,1,0)</f>
        <v>0</v>
      </c>
      <c r="X1870">
        <f>IF(AND(LEFT(D1870,4)+1=LEFT(' Pivot Tables'!$A$4,4)+0,RIGHT(LEFT(D1870,7),2)=RIGHT(LEFT(' Pivot Tables'!$A$4,7),2)),1,0)</f>
        <v>0</v>
      </c>
      <c r="Y1870" s="6">
        <f>1/COUNTIF(Таблица1[Order ID],Таблица1[[#This Row],[Order ID]])</f>
        <v>0.5</v>
      </c>
      <c r="Z1870" s="9">
        <f>1/COUNTIFS(Таблица1[Customer Name],Таблица1[[#This Row],[Customer Name]],Таблица1[Order-Year-Month],Таблица1[[#This Row],[Order-Year-Month]])</f>
        <v>0.5</v>
      </c>
    </row>
    <row r="1871" spans="1:26" x14ac:dyDescent="0.2">
      <c r="A1871" s="6">
        <v>1939</v>
      </c>
      <c r="B1871" s="7">
        <v>13894</v>
      </c>
      <c r="C1871" s="8">
        <f>DATE(2012,12,31)-265</f>
        <v>41009</v>
      </c>
      <c r="D1871" s="8" t="str">
        <f t="shared" si="37"/>
        <v>2012-04 (апрель 2012)</v>
      </c>
      <c r="E1871" s="9" t="s">
        <v>63</v>
      </c>
      <c r="F1871" s="7">
        <v>50</v>
      </c>
      <c r="G1871" s="7">
        <v>1540.2850000000001</v>
      </c>
      <c r="H1871" s="7">
        <v>0.05</v>
      </c>
      <c r="I1871" s="9" t="s">
        <v>22</v>
      </c>
      <c r="J1871" s="10">
        <v>829.64700000000005</v>
      </c>
      <c r="K1871" s="11">
        <v>35.99</v>
      </c>
      <c r="L1871" s="11">
        <v>1.25</v>
      </c>
      <c r="M1871" s="9" t="s">
        <v>1214</v>
      </c>
      <c r="N1871" s="6" t="s">
        <v>1123</v>
      </c>
      <c r="O1871" s="6" t="s">
        <v>1123</v>
      </c>
      <c r="P1871" s="9" t="s">
        <v>60</v>
      </c>
      <c r="Q1871" s="9" t="s">
        <v>42</v>
      </c>
      <c r="R1871" s="9" t="s">
        <v>43</v>
      </c>
      <c r="S1871" s="7" t="s">
        <v>1218</v>
      </c>
      <c r="T1871" s="9" t="s">
        <v>52</v>
      </c>
      <c r="U1871" s="7">
        <v>0.36</v>
      </c>
      <c r="V1871" s="12">
        <f>C1871+1</f>
        <v>41010</v>
      </c>
      <c r="W1871">
        <f>IF(D1871=' Pivot Tables'!$A$4,1,0)</f>
        <v>0</v>
      </c>
      <c r="X1871">
        <f>IF(AND(LEFT(D1871,4)+1=LEFT(' Pivot Tables'!$A$4,4)+0,RIGHT(LEFT(D1871,7),2)=RIGHT(LEFT(' Pivot Tables'!$A$4,7),2)),1,0)</f>
        <v>0</v>
      </c>
      <c r="Y1871" s="6">
        <f>1/COUNTIF(Таблица1[Order ID],Таблица1[[#This Row],[Order ID]])</f>
        <v>0.5</v>
      </c>
      <c r="Z1871" s="9">
        <f>1/COUNTIFS(Таблица1[Customer Name],Таблица1[[#This Row],[Customer Name]],Таблица1[Order-Year-Month],Таблица1[[#This Row],[Order-Year-Month]])</f>
        <v>0.5</v>
      </c>
    </row>
    <row r="1872" spans="1:26" x14ac:dyDescent="0.2">
      <c r="A1872" s="6">
        <v>2286</v>
      </c>
      <c r="B1872" s="7">
        <v>16480</v>
      </c>
      <c r="C1872" s="8">
        <f>DATE(2012,12,31)-1121</f>
        <v>40153</v>
      </c>
      <c r="D1872" s="8" t="str">
        <f t="shared" si="37"/>
        <v>2009-12 (декабрь 2009)</v>
      </c>
      <c r="E1872" s="9" t="s">
        <v>45</v>
      </c>
      <c r="F1872" s="7">
        <v>14</v>
      </c>
      <c r="G1872" s="7">
        <v>87.23</v>
      </c>
      <c r="H1872" s="7">
        <v>0.09</v>
      </c>
      <c r="I1872" s="9" t="s">
        <v>56</v>
      </c>
      <c r="J1872" s="10">
        <v>-69.528999999999996</v>
      </c>
      <c r="K1872" s="11">
        <v>5.4</v>
      </c>
      <c r="L1872" s="11">
        <v>7.78</v>
      </c>
      <c r="M1872" s="9" t="s">
        <v>1212</v>
      </c>
      <c r="N1872" s="6" t="s">
        <v>1123</v>
      </c>
      <c r="O1872" s="6" t="s">
        <v>1123</v>
      </c>
      <c r="P1872" s="9" t="s">
        <v>33</v>
      </c>
      <c r="Q1872" s="9" t="s">
        <v>26</v>
      </c>
      <c r="R1872" s="9" t="s">
        <v>37</v>
      </c>
      <c r="S1872" s="7" t="s">
        <v>330</v>
      </c>
      <c r="T1872" s="9" t="s">
        <v>39</v>
      </c>
      <c r="U1872" s="7">
        <v>0.37</v>
      </c>
      <c r="V1872" s="12">
        <f>C1872+2</f>
        <v>40155</v>
      </c>
      <c r="W1872">
        <f>IF(D1872=' Pivot Tables'!$A$4,1,0)</f>
        <v>0</v>
      </c>
      <c r="X1872">
        <f>IF(AND(LEFT(D1872,4)+1=LEFT(' Pivot Tables'!$A$4,4)+0,RIGHT(LEFT(D1872,7),2)=RIGHT(LEFT(' Pivot Tables'!$A$4,7),2)),1,0)</f>
        <v>0</v>
      </c>
      <c r="Y1872" s="6">
        <f>1/COUNTIF(Таблица1[Order ID],Таблица1[[#This Row],[Order ID]])</f>
        <v>1</v>
      </c>
      <c r="Z1872" s="9">
        <f>1/COUNTIFS(Таблица1[Customer Name],Таблица1[[#This Row],[Customer Name]],Таблица1[Order-Year-Month],Таблица1[[#This Row],[Order-Year-Month]])</f>
        <v>1</v>
      </c>
    </row>
    <row r="1873" spans="1:26" x14ac:dyDescent="0.2">
      <c r="A1873" s="6">
        <v>2455</v>
      </c>
      <c r="B1873" s="7">
        <v>17858</v>
      </c>
      <c r="C1873" s="8">
        <f>DATE(2012,12,31)-828</f>
        <v>40446</v>
      </c>
      <c r="D1873" s="8" t="str">
        <f t="shared" si="37"/>
        <v>2010-09 (сентябрь 2010)</v>
      </c>
      <c r="E1873" s="9" t="s">
        <v>63</v>
      </c>
      <c r="F1873" s="7">
        <v>21</v>
      </c>
      <c r="G1873" s="7">
        <v>187.14</v>
      </c>
      <c r="H1873" s="7">
        <v>0.02</v>
      </c>
      <c r="I1873" s="9" t="s">
        <v>22</v>
      </c>
      <c r="J1873" s="10">
        <v>21.07</v>
      </c>
      <c r="K1873" s="11">
        <v>8.33</v>
      </c>
      <c r="L1873" s="11">
        <v>1.99</v>
      </c>
      <c r="M1873" s="9" t="s">
        <v>264</v>
      </c>
      <c r="N1873" s="6" t="s">
        <v>1123</v>
      </c>
      <c r="O1873" s="6" t="s">
        <v>1123</v>
      </c>
      <c r="P1873" s="9" t="s">
        <v>33</v>
      </c>
      <c r="Q1873" s="9" t="s">
        <v>42</v>
      </c>
      <c r="R1873" s="9" t="s">
        <v>70</v>
      </c>
      <c r="S1873" s="7" t="s">
        <v>324</v>
      </c>
      <c r="T1873" s="9" t="s">
        <v>52</v>
      </c>
      <c r="U1873" s="7">
        <v>0.52</v>
      </c>
      <c r="V1873" s="12">
        <f>C1873+2</f>
        <v>40448</v>
      </c>
      <c r="W1873">
        <f>IF(D1873=' Pivot Tables'!$A$4,1,0)</f>
        <v>0</v>
      </c>
      <c r="X1873">
        <f>IF(AND(LEFT(D1873,4)+1=LEFT(' Pivot Tables'!$A$4,4)+0,RIGHT(LEFT(D1873,7),2)=RIGHT(LEFT(' Pivot Tables'!$A$4,7),2)),1,0)</f>
        <v>0</v>
      </c>
      <c r="Y1873" s="6">
        <f>1/COUNTIF(Таблица1[Order ID],Таблица1[[#This Row],[Order ID]])</f>
        <v>0.33333333333333331</v>
      </c>
      <c r="Z1873" s="9">
        <f>1/COUNTIFS(Таблица1[Customer Name],Таблица1[[#This Row],[Customer Name]],Таблица1[Order-Year-Month],Таблица1[[#This Row],[Order-Year-Month]])</f>
        <v>0.33333333333333331</v>
      </c>
    </row>
    <row r="1874" spans="1:26" x14ac:dyDescent="0.2">
      <c r="A1874" s="6">
        <v>2456</v>
      </c>
      <c r="B1874" s="7">
        <v>17858</v>
      </c>
      <c r="C1874" s="8">
        <f>DATE(2012,12,31)-828</f>
        <v>40446</v>
      </c>
      <c r="D1874" s="8" t="str">
        <f t="shared" si="37"/>
        <v>2010-09 (сентябрь 2010)</v>
      </c>
      <c r="E1874" s="9" t="s">
        <v>63</v>
      </c>
      <c r="F1874" s="7">
        <v>12</v>
      </c>
      <c r="G1874" s="7">
        <v>385.7</v>
      </c>
      <c r="H1874" s="7">
        <v>0</v>
      </c>
      <c r="I1874" s="9" t="s">
        <v>22</v>
      </c>
      <c r="J1874" s="10">
        <v>-109.91</v>
      </c>
      <c r="K1874" s="11">
        <v>30.98</v>
      </c>
      <c r="L1874" s="11">
        <v>6.5</v>
      </c>
      <c r="M1874" s="9" t="s">
        <v>264</v>
      </c>
      <c r="N1874" s="6" t="s">
        <v>1123</v>
      </c>
      <c r="O1874" s="6" t="s">
        <v>1123</v>
      </c>
      <c r="P1874" s="9" t="s">
        <v>33</v>
      </c>
      <c r="Q1874" s="9" t="s">
        <v>42</v>
      </c>
      <c r="R1874" s="9" t="s">
        <v>70</v>
      </c>
      <c r="S1874" s="7" t="s">
        <v>805</v>
      </c>
      <c r="T1874" s="9" t="s">
        <v>39</v>
      </c>
      <c r="U1874" s="7">
        <v>0.79</v>
      </c>
      <c r="V1874" s="12">
        <f>C1874+1</f>
        <v>40447</v>
      </c>
      <c r="W1874">
        <f>IF(D1874=' Pivot Tables'!$A$4,1,0)</f>
        <v>0</v>
      </c>
      <c r="X1874">
        <f>IF(AND(LEFT(D1874,4)+1=LEFT(' Pivot Tables'!$A$4,4)+0,RIGHT(LEFT(D1874,7),2)=RIGHT(LEFT(' Pivot Tables'!$A$4,7),2)),1,0)</f>
        <v>0</v>
      </c>
      <c r="Y1874" s="6">
        <f>1/COUNTIF(Таблица1[Order ID],Таблица1[[#This Row],[Order ID]])</f>
        <v>0.33333333333333331</v>
      </c>
      <c r="Z1874" s="9">
        <f>1/COUNTIFS(Таблица1[Customer Name],Таблица1[[#This Row],[Customer Name]],Таблица1[Order-Year-Month],Таблица1[[#This Row],[Order-Year-Month]])</f>
        <v>0.33333333333333331</v>
      </c>
    </row>
    <row r="1875" spans="1:26" x14ac:dyDescent="0.2">
      <c r="A1875" s="6">
        <v>2457</v>
      </c>
      <c r="B1875" s="7">
        <v>17858</v>
      </c>
      <c r="C1875" s="8">
        <f>DATE(2012,12,31)-828</f>
        <v>40446</v>
      </c>
      <c r="D1875" s="8" t="str">
        <f t="shared" si="37"/>
        <v>2010-09 (сентябрь 2010)</v>
      </c>
      <c r="E1875" s="9" t="s">
        <v>63</v>
      </c>
      <c r="F1875" s="7">
        <v>46</v>
      </c>
      <c r="G1875" s="7">
        <v>1048.3900000000001</v>
      </c>
      <c r="H1875" s="7">
        <v>0.06</v>
      </c>
      <c r="I1875" s="9" t="s">
        <v>56</v>
      </c>
      <c r="J1875" s="10">
        <v>206.56</v>
      </c>
      <c r="K1875" s="11">
        <v>22.98</v>
      </c>
      <c r="L1875" s="11">
        <v>7.58</v>
      </c>
      <c r="M1875" s="9" t="s">
        <v>264</v>
      </c>
      <c r="N1875" s="6" t="s">
        <v>1123</v>
      </c>
      <c r="O1875" s="6" t="s">
        <v>1123</v>
      </c>
      <c r="P1875" s="9" t="s">
        <v>33</v>
      </c>
      <c r="Q1875" s="9" t="s">
        <v>49</v>
      </c>
      <c r="R1875" s="9" t="s">
        <v>50</v>
      </c>
      <c r="S1875" s="7" t="s">
        <v>789</v>
      </c>
      <c r="T1875" s="9" t="s">
        <v>39</v>
      </c>
      <c r="U1875" s="7">
        <v>0.51</v>
      </c>
      <c r="V1875" s="12">
        <f>C1875+1</f>
        <v>40447</v>
      </c>
      <c r="W1875">
        <f>IF(D1875=' Pivot Tables'!$A$4,1,0)</f>
        <v>0</v>
      </c>
      <c r="X1875">
        <f>IF(AND(LEFT(D1875,4)+1=LEFT(' Pivot Tables'!$A$4,4)+0,RIGHT(LEFT(D1875,7),2)=RIGHT(LEFT(' Pivot Tables'!$A$4,7),2)),1,0)</f>
        <v>0</v>
      </c>
      <c r="Y1875" s="6">
        <f>1/COUNTIF(Таблица1[Order ID],Таблица1[[#This Row],[Order ID]])</f>
        <v>0.33333333333333331</v>
      </c>
      <c r="Z1875" s="9">
        <f>1/COUNTIFS(Таблица1[Customer Name],Таблица1[[#This Row],[Customer Name]],Таблица1[Order-Year-Month],Таблица1[[#This Row],[Order-Year-Month]])</f>
        <v>0.33333333333333331</v>
      </c>
    </row>
    <row r="1876" spans="1:26" x14ac:dyDescent="0.2">
      <c r="A1876" s="6">
        <v>2571</v>
      </c>
      <c r="B1876" s="7">
        <v>18561</v>
      </c>
      <c r="C1876" s="8">
        <f>DATE(2012,12,31)-1452</f>
        <v>39822</v>
      </c>
      <c r="D1876" s="8" t="str">
        <f t="shared" si="37"/>
        <v>2009-01 (январь 2009)</v>
      </c>
      <c r="E1876" s="9" t="s">
        <v>45</v>
      </c>
      <c r="F1876" s="7">
        <v>9</v>
      </c>
      <c r="G1876" s="7">
        <v>45.87</v>
      </c>
      <c r="H1876" s="7">
        <v>0.02</v>
      </c>
      <c r="I1876" s="9" t="s">
        <v>22</v>
      </c>
      <c r="J1876" s="10">
        <v>-38.9</v>
      </c>
      <c r="K1876" s="11">
        <v>4.13</v>
      </c>
      <c r="L1876" s="11">
        <v>6.89</v>
      </c>
      <c r="M1876" s="9" t="s">
        <v>1204</v>
      </c>
      <c r="N1876" s="6" t="s">
        <v>1123</v>
      </c>
      <c r="O1876" s="6" t="s">
        <v>1123</v>
      </c>
      <c r="P1876" s="9" t="s">
        <v>60</v>
      </c>
      <c r="Q1876" s="9" t="s">
        <v>26</v>
      </c>
      <c r="R1876" s="9" t="s">
        <v>88</v>
      </c>
      <c r="S1876" s="7" t="s">
        <v>1219</v>
      </c>
      <c r="T1876" s="9" t="s">
        <v>39</v>
      </c>
      <c r="U1876" s="7">
        <v>0.39</v>
      </c>
      <c r="V1876" s="12">
        <f>C1876+1</f>
        <v>39823</v>
      </c>
      <c r="W1876">
        <f>IF(D1876=' Pivot Tables'!$A$4,1,0)</f>
        <v>0</v>
      </c>
      <c r="X1876">
        <f>IF(AND(LEFT(D1876,4)+1=LEFT(' Pivot Tables'!$A$4,4)+0,RIGHT(LEFT(D1876,7),2)=RIGHT(LEFT(' Pivot Tables'!$A$4,7),2)),1,0)</f>
        <v>1</v>
      </c>
      <c r="Y1876" s="6">
        <f>1/COUNTIF(Таблица1[Order ID],Таблица1[[#This Row],[Order ID]])</f>
        <v>1</v>
      </c>
      <c r="Z1876" s="9">
        <f>1/COUNTIFS(Таблица1[Customer Name],Таблица1[[#This Row],[Customer Name]],Таблица1[Order-Year-Month],Таблица1[[#This Row],[Order-Year-Month]])</f>
        <v>1</v>
      </c>
    </row>
    <row r="1877" spans="1:26" x14ac:dyDescent="0.2">
      <c r="A1877" s="6">
        <v>2739</v>
      </c>
      <c r="B1877" s="7">
        <v>19777</v>
      </c>
      <c r="C1877" s="8">
        <f>DATE(2012,12,31)-73</f>
        <v>41201</v>
      </c>
      <c r="D1877" s="8" t="str">
        <f t="shared" si="37"/>
        <v>2012-10 (октябрь 2012)</v>
      </c>
      <c r="E1877" s="9" t="s">
        <v>45</v>
      </c>
      <c r="F1877" s="7">
        <v>22</v>
      </c>
      <c r="G1877" s="7">
        <v>321.91000000000003</v>
      </c>
      <c r="H1877" s="7">
        <v>0.06</v>
      </c>
      <c r="I1877" s="9" t="s">
        <v>22</v>
      </c>
      <c r="J1877" s="10">
        <v>-24.954999999999998</v>
      </c>
      <c r="K1877" s="11">
        <v>15.01</v>
      </c>
      <c r="L1877" s="11">
        <v>8.4</v>
      </c>
      <c r="M1877" s="9" t="s">
        <v>1200</v>
      </c>
      <c r="N1877" s="6" t="s">
        <v>1123</v>
      </c>
      <c r="O1877" s="6" t="s">
        <v>1123</v>
      </c>
      <c r="P1877" s="9" t="s">
        <v>41</v>
      </c>
      <c r="Q1877" s="9" t="s">
        <v>26</v>
      </c>
      <c r="R1877" s="9" t="s">
        <v>37</v>
      </c>
      <c r="S1877" s="7" t="s">
        <v>443</v>
      </c>
      <c r="T1877" s="9" t="s">
        <v>39</v>
      </c>
      <c r="U1877" s="7">
        <v>0.39</v>
      </c>
      <c r="V1877" s="12">
        <f>C1877+0</f>
        <v>41201</v>
      </c>
      <c r="W1877">
        <f>IF(D1877=' Pivot Tables'!$A$4,1,0)</f>
        <v>0</v>
      </c>
      <c r="X1877">
        <f>IF(AND(LEFT(D1877,4)+1=LEFT(' Pivot Tables'!$A$4,4)+0,RIGHT(LEFT(D1877,7),2)=RIGHT(LEFT(' Pivot Tables'!$A$4,7),2)),1,0)</f>
        <v>0</v>
      </c>
      <c r="Y1877" s="6">
        <f>1/COUNTIF(Таблица1[Order ID],Таблица1[[#This Row],[Order ID]])</f>
        <v>0.33333333333333331</v>
      </c>
      <c r="Z1877" s="9">
        <f>1/COUNTIFS(Таблица1[Customer Name],Таблица1[[#This Row],[Customer Name]],Таблица1[Order-Year-Month],Таблица1[[#This Row],[Order-Year-Month]])</f>
        <v>0.2</v>
      </c>
    </row>
    <row r="1878" spans="1:26" x14ac:dyDescent="0.2">
      <c r="A1878" s="6">
        <v>2740</v>
      </c>
      <c r="B1878" s="7">
        <v>19777</v>
      </c>
      <c r="C1878" s="8">
        <f>DATE(2012,12,31)-73</f>
        <v>41201</v>
      </c>
      <c r="D1878" s="8" t="str">
        <f t="shared" si="37"/>
        <v>2012-10 (октябрь 2012)</v>
      </c>
      <c r="E1878" s="9" t="s">
        <v>45</v>
      </c>
      <c r="F1878" s="7">
        <v>2</v>
      </c>
      <c r="G1878" s="7">
        <v>132.96</v>
      </c>
      <c r="H1878" s="7">
        <v>0.05</v>
      </c>
      <c r="I1878" s="9" t="s">
        <v>22</v>
      </c>
      <c r="J1878" s="10">
        <v>-61.881500000000003</v>
      </c>
      <c r="K1878" s="11">
        <v>59.78</v>
      </c>
      <c r="L1878" s="11">
        <v>10.29</v>
      </c>
      <c r="M1878" s="9" t="s">
        <v>1200</v>
      </c>
      <c r="N1878" s="6" t="s">
        <v>1123</v>
      </c>
      <c r="O1878" s="6" t="s">
        <v>1123</v>
      </c>
      <c r="P1878" s="9" t="s">
        <v>41</v>
      </c>
      <c r="Q1878" s="9" t="s">
        <v>26</v>
      </c>
      <c r="R1878" s="9" t="s">
        <v>37</v>
      </c>
      <c r="S1878" s="7" t="s">
        <v>284</v>
      </c>
      <c r="T1878" s="9" t="s">
        <v>39</v>
      </c>
      <c r="U1878" s="7">
        <v>0.39</v>
      </c>
      <c r="V1878" s="12">
        <f>C1878+2</f>
        <v>41203</v>
      </c>
      <c r="W1878">
        <f>IF(D1878=' Pivot Tables'!$A$4,1,0)</f>
        <v>0</v>
      </c>
      <c r="X1878">
        <f>IF(AND(LEFT(D1878,4)+1=LEFT(' Pivot Tables'!$A$4,4)+0,RIGHT(LEFT(D1878,7),2)=RIGHT(LEFT(' Pivot Tables'!$A$4,7),2)),1,0)</f>
        <v>0</v>
      </c>
      <c r="Y1878" s="6">
        <f>1/COUNTIF(Таблица1[Order ID],Таблица1[[#This Row],[Order ID]])</f>
        <v>0.33333333333333331</v>
      </c>
      <c r="Z1878" s="9">
        <f>1/COUNTIFS(Таблица1[Customer Name],Таблица1[[#This Row],[Customer Name]],Таблица1[Order-Year-Month],Таблица1[[#This Row],[Order-Year-Month]])</f>
        <v>0.2</v>
      </c>
    </row>
    <row r="1879" spans="1:26" x14ac:dyDescent="0.2">
      <c r="A1879" s="6">
        <v>2741</v>
      </c>
      <c r="B1879" s="7">
        <v>19777</v>
      </c>
      <c r="C1879" s="8">
        <f>DATE(2012,12,31)-73</f>
        <v>41201</v>
      </c>
      <c r="D1879" s="8" t="str">
        <f t="shared" si="37"/>
        <v>2012-10 (октябрь 2012)</v>
      </c>
      <c r="E1879" s="9" t="s">
        <v>45</v>
      </c>
      <c r="F1879" s="7">
        <v>24</v>
      </c>
      <c r="G1879" s="7">
        <v>3268.7514999999999</v>
      </c>
      <c r="H1879" s="7">
        <v>0.04</v>
      </c>
      <c r="I1879" s="9" t="s">
        <v>22</v>
      </c>
      <c r="J1879" s="10">
        <v>562.91399999999999</v>
      </c>
      <c r="K1879" s="11">
        <v>155.99</v>
      </c>
      <c r="L1879" s="11">
        <v>8.08</v>
      </c>
      <c r="M1879" s="9" t="s">
        <v>1200</v>
      </c>
      <c r="N1879" s="6" t="s">
        <v>1123</v>
      </c>
      <c r="O1879" s="6" t="s">
        <v>1123</v>
      </c>
      <c r="P1879" s="9" t="s">
        <v>41</v>
      </c>
      <c r="Q1879" s="9" t="s">
        <v>42</v>
      </c>
      <c r="R1879" s="9" t="s">
        <v>43</v>
      </c>
      <c r="S1879" s="7" t="s">
        <v>333</v>
      </c>
      <c r="T1879" s="9" t="s">
        <v>39</v>
      </c>
      <c r="U1879" s="7">
        <v>0.6</v>
      </c>
      <c r="V1879" s="12">
        <f>C1879+2</f>
        <v>41203</v>
      </c>
      <c r="W1879">
        <f>IF(D1879=' Pivot Tables'!$A$4,1,0)</f>
        <v>0</v>
      </c>
      <c r="X1879">
        <f>IF(AND(LEFT(D1879,4)+1=LEFT(' Pivot Tables'!$A$4,4)+0,RIGHT(LEFT(D1879,7),2)=RIGHT(LEFT(' Pivot Tables'!$A$4,7),2)),1,0)</f>
        <v>0</v>
      </c>
      <c r="Y1879" s="6">
        <f>1/COUNTIF(Таблица1[Order ID],Таблица1[[#This Row],[Order ID]])</f>
        <v>0.33333333333333331</v>
      </c>
      <c r="Z1879" s="9">
        <f>1/COUNTIFS(Таблица1[Customer Name],Таблица1[[#This Row],[Customer Name]],Таблица1[Order-Year-Month],Таблица1[[#This Row],[Order-Year-Month]])</f>
        <v>0.2</v>
      </c>
    </row>
    <row r="1880" spans="1:26" x14ac:dyDescent="0.2">
      <c r="A1880" s="6">
        <v>2992</v>
      </c>
      <c r="B1880" s="7">
        <v>21601</v>
      </c>
      <c r="C1880" s="8">
        <f>DATE(2012,12,31)-635</f>
        <v>40639</v>
      </c>
      <c r="D1880" s="8" t="str">
        <f t="shared" si="37"/>
        <v>2011-04 (апрель 2011)</v>
      </c>
      <c r="E1880" s="9" t="s">
        <v>21</v>
      </c>
      <c r="F1880" s="7">
        <v>20</v>
      </c>
      <c r="G1880" s="7">
        <v>2227.34</v>
      </c>
      <c r="H1880" s="7">
        <v>0.09</v>
      </c>
      <c r="I1880" s="9" t="s">
        <v>22</v>
      </c>
      <c r="J1880" s="10">
        <v>-609.09</v>
      </c>
      <c r="K1880" s="11">
        <v>113.64</v>
      </c>
      <c r="L1880" s="11">
        <v>35</v>
      </c>
      <c r="M1880" s="9" t="s">
        <v>1212</v>
      </c>
      <c r="N1880" s="6" t="s">
        <v>1123</v>
      </c>
      <c r="O1880" s="6" t="s">
        <v>1123</v>
      </c>
      <c r="P1880" s="9" t="s">
        <v>33</v>
      </c>
      <c r="Q1880" s="9" t="s">
        <v>26</v>
      </c>
      <c r="R1880" s="9" t="s">
        <v>27</v>
      </c>
      <c r="S1880" s="7" t="s">
        <v>1220</v>
      </c>
      <c r="T1880" s="9" t="s">
        <v>29</v>
      </c>
      <c r="U1880" s="7"/>
      <c r="V1880" s="12">
        <f>C1880+0</f>
        <v>40639</v>
      </c>
      <c r="W1880">
        <f>IF(D1880=' Pivot Tables'!$A$4,1,0)</f>
        <v>0</v>
      </c>
      <c r="X1880">
        <f>IF(AND(LEFT(D1880,4)+1=LEFT(' Pivot Tables'!$A$4,4)+0,RIGHT(LEFT(D1880,7),2)=RIGHT(LEFT(' Pivot Tables'!$A$4,7),2)),1,0)</f>
        <v>0</v>
      </c>
      <c r="Y1880" s="6">
        <f>1/COUNTIF(Таблица1[Order ID],Таблица1[[#This Row],[Order ID]])</f>
        <v>1</v>
      </c>
      <c r="Z1880" s="9">
        <f>1/COUNTIFS(Таблица1[Customer Name],Таблица1[[#This Row],[Customer Name]],Таблица1[Order-Year-Month],Таблица1[[#This Row],[Order-Year-Month]])</f>
        <v>1</v>
      </c>
    </row>
    <row r="1881" spans="1:26" x14ac:dyDescent="0.2">
      <c r="A1881" s="6">
        <v>3013</v>
      </c>
      <c r="B1881" s="7">
        <v>21670</v>
      </c>
      <c r="C1881" s="8">
        <f>DATE(2012,12,31)-720</f>
        <v>40554</v>
      </c>
      <c r="D1881" s="8" t="str">
        <f t="shared" si="37"/>
        <v>2011-01 (январь 2011)</v>
      </c>
      <c r="E1881" s="9" t="s">
        <v>30</v>
      </c>
      <c r="F1881" s="7">
        <v>24</v>
      </c>
      <c r="G1881" s="7">
        <v>1965.21</v>
      </c>
      <c r="H1881" s="7">
        <v>0</v>
      </c>
      <c r="I1881" s="9" t="s">
        <v>22</v>
      </c>
      <c r="J1881" s="10">
        <v>830.75</v>
      </c>
      <c r="K1881" s="11">
        <v>78.69</v>
      </c>
      <c r="L1881" s="11">
        <v>19.989999999999998</v>
      </c>
      <c r="M1881" s="9" t="s">
        <v>1204</v>
      </c>
      <c r="N1881" s="6" t="s">
        <v>1123</v>
      </c>
      <c r="O1881" s="6" t="s">
        <v>1123</v>
      </c>
      <c r="P1881" s="9" t="s">
        <v>60</v>
      </c>
      <c r="Q1881" s="9" t="s">
        <v>49</v>
      </c>
      <c r="R1881" s="9" t="s">
        <v>50</v>
      </c>
      <c r="S1881" s="7" t="s">
        <v>788</v>
      </c>
      <c r="T1881" s="9" t="s">
        <v>39</v>
      </c>
      <c r="U1881" s="7">
        <v>0.43</v>
      </c>
      <c r="V1881" s="12">
        <f>C1881+1</f>
        <v>40555</v>
      </c>
      <c r="W1881">
        <f>IF(D1881=' Pivot Tables'!$A$4,1,0)</f>
        <v>0</v>
      </c>
      <c r="X1881">
        <f>IF(AND(LEFT(D1881,4)+1=LEFT(' Pivot Tables'!$A$4,4)+0,RIGHT(LEFT(D1881,7),2)=RIGHT(LEFT(' Pivot Tables'!$A$4,7),2)),1,0)</f>
        <v>0</v>
      </c>
      <c r="Y1881" s="6">
        <f>1/COUNTIF(Таблица1[Order ID],Таблица1[[#This Row],[Order ID]])</f>
        <v>1</v>
      </c>
      <c r="Z1881" s="9">
        <f>1/COUNTIFS(Таблица1[Customer Name],Таблица1[[#This Row],[Customer Name]],Таблица1[Order-Year-Month],Таблица1[[#This Row],[Order-Year-Month]])</f>
        <v>1</v>
      </c>
    </row>
    <row r="1882" spans="1:26" x14ac:dyDescent="0.2">
      <c r="A1882" s="6">
        <v>3285</v>
      </c>
      <c r="B1882" s="7">
        <v>23489</v>
      </c>
      <c r="C1882" s="8">
        <f>DATE(2012,12,31)-125</f>
        <v>41149</v>
      </c>
      <c r="D1882" s="8" t="str">
        <f t="shared" si="37"/>
        <v>2012-08 (август 2012)</v>
      </c>
      <c r="E1882" s="9" t="s">
        <v>30</v>
      </c>
      <c r="F1882" s="7">
        <v>42</v>
      </c>
      <c r="G1882" s="7">
        <v>2004.6</v>
      </c>
      <c r="H1882" s="7">
        <v>0.02</v>
      </c>
      <c r="I1882" s="9" t="s">
        <v>56</v>
      </c>
      <c r="J1882" s="10">
        <v>230.3</v>
      </c>
      <c r="K1882" s="11">
        <v>47.98</v>
      </c>
      <c r="L1882" s="11">
        <v>3.61</v>
      </c>
      <c r="M1882" s="9" t="s">
        <v>1203</v>
      </c>
      <c r="N1882" s="6" t="s">
        <v>1123</v>
      </c>
      <c r="O1882" s="6" t="s">
        <v>1123</v>
      </c>
      <c r="P1882" s="9" t="s">
        <v>41</v>
      </c>
      <c r="Q1882" s="9" t="s">
        <v>42</v>
      </c>
      <c r="R1882" s="9" t="s">
        <v>70</v>
      </c>
      <c r="S1882" s="7" t="s">
        <v>71</v>
      </c>
      <c r="T1882" s="9" t="s">
        <v>52</v>
      </c>
      <c r="U1882" s="7">
        <v>0.71</v>
      </c>
      <c r="V1882" s="12">
        <f>C1882+0</f>
        <v>41149</v>
      </c>
      <c r="W1882">
        <f>IF(D1882=' Pivot Tables'!$A$4,1,0)</f>
        <v>0</v>
      </c>
      <c r="X1882">
        <f>IF(AND(LEFT(D1882,4)+1=LEFT(' Pivot Tables'!$A$4,4)+0,RIGHT(LEFT(D1882,7),2)=RIGHT(LEFT(' Pivot Tables'!$A$4,7),2)),1,0)</f>
        <v>0</v>
      </c>
      <c r="Y1882" s="6">
        <f>1/COUNTIF(Таблица1[Order ID],Таблица1[[#This Row],[Order ID]])</f>
        <v>1</v>
      </c>
      <c r="Z1882" s="9">
        <f>1/COUNTIFS(Таблица1[Customer Name],Таблица1[[#This Row],[Customer Name]],Таблица1[Order-Year-Month],Таблица1[[#This Row],[Order-Year-Month]])</f>
        <v>1</v>
      </c>
    </row>
    <row r="1883" spans="1:26" x14ac:dyDescent="0.2">
      <c r="A1883" s="6">
        <v>3432</v>
      </c>
      <c r="B1883" s="7">
        <v>24486</v>
      </c>
      <c r="C1883" s="8">
        <f>DATE(2012,12,31)-619</f>
        <v>40655</v>
      </c>
      <c r="D1883" s="8" t="str">
        <f t="shared" si="37"/>
        <v>2011-04 (апрель 2011)</v>
      </c>
      <c r="E1883" s="9" t="s">
        <v>63</v>
      </c>
      <c r="F1883" s="7">
        <v>3</v>
      </c>
      <c r="G1883" s="7">
        <v>28.11</v>
      </c>
      <c r="H1883" s="7">
        <v>0.03</v>
      </c>
      <c r="I1883" s="9" t="s">
        <v>22</v>
      </c>
      <c r="J1883" s="10">
        <v>-31.62</v>
      </c>
      <c r="K1883" s="11">
        <v>8.1199999999999992</v>
      </c>
      <c r="L1883" s="11">
        <v>2.83</v>
      </c>
      <c r="M1883" s="9" t="s">
        <v>1206</v>
      </c>
      <c r="N1883" s="6" t="s">
        <v>1123</v>
      </c>
      <c r="O1883" s="6" t="s">
        <v>1123</v>
      </c>
      <c r="P1883" s="9" t="s">
        <v>33</v>
      </c>
      <c r="Q1883" s="9" t="s">
        <v>42</v>
      </c>
      <c r="R1883" s="9" t="s">
        <v>70</v>
      </c>
      <c r="S1883" s="7" t="s">
        <v>630</v>
      </c>
      <c r="T1883" s="9" t="s">
        <v>52</v>
      </c>
      <c r="U1883" s="7">
        <v>0.77</v>
      </c>
      <c r="V1883" s="12">
        <f>C1883+1</f>
        <v>40656</v>
      </c>
      <c r="W1883">
        <f>IF(D1883=' Pivot Tables'!$A$4,1,0)</f>
        <v>0</v>
      </c>
      <c r="X1883">
        <f>IF(AND(LEFT(D1883,4)+1=LEFT(' Pivot Tables'!$A$4,4)+0,RIGHT(LEFT(D1883,7),2)=RIGHT(LEFT(' Pivot Tables'!$A$4,7),2)),1,0)</f>
        <v>0</v>
      </c>
      <c r="Y1883" s="6">
        <f>1/COUNTIF(Таблица1[Order ID],Таблица1[[#This Row],[Order ID]])</f>
        <v>0.5</v>
      </c>
      <c r="Z1883" s="9">
        <f>1/COUNTIFS(Таблица1[Customer Name],Таблица1[[#This Row],[Customer Name]],Таблица1[Order-Year-Month],Таблица1[[#This Row],[Order-Year-Month]])</f>
        <v>0.33333333333333331</v>
      </c>
    </row>
    <row r="1884" spans="1:26" x14ac:dyDescent="0.2">
      <c r="A1884" s="6">
        <v>3433</v>
      </c>
      <c r="B1884" s="7">
        <v>24486</v>
      </c>
      <c r="C1884" s="8">
        <f>DATE(2012,12,31)-619</f>
        <v>40655</v>
      </c>
      <c r="D1884" s="8" t="str">
        <f t="shared" si="37"/>
        <v>2011-04 (апрель 2011)</v>
      </c>
      <c r="E1884" s="9" t="s">
        <v>63</v>
      </c>
      <c r="F1884" s="7">
        <v>14</v>
      </c>
      <c r="G1884" s="7">
        <v>27.06</v>
      </c>
      <c r="H1884" s="7">
        <v>0</v>
      </c>
      <c r="I1884" s="9" t="s">
        <v>22</v>
      </c>
      <c r="J1884" s="10">
        <v>-6.0000000000000053E-2</v>
      </c>
      <c r="K1884" s="11">
        <v>1.76</v>
      </c>
      <c r="L1884" s="11">
        <v>0.7</v>
      </c>
      <c r="M1884" s="9" t="s">
        <v>1206</v>
      </c>
      <c r="N1884" s="6" t="s">
        <v>1123</v>
      </c>
      <c r="O1884" s="6" t="s">
        <v>1123</v>
      </c>
      <c r="P1884" s="9" t="s">
        <v>33</v>
      </c>
      <c r="Q1884" s="9" t="s">
        <v>26</v>
      </c>
      <c r="R1884" s="9" t="s">
        <v>95</v>
      </c>
      <c r="S1884" s="7" t="s">
        <v>387</v>
      </c>
      <c r="T1884" s="9" t="s">
        <v>68</v>
      </c>
      <c r="U1884" s="7">
        <v>0.56000000000000005</v>
      </c>
      <c r="V1884" s="12">
        <f>C1884+1</f>
        <v>40656</v>
      </c>
      <c r="W1884">
        <f>IF(D1884=' Pivot Tables'!$A$4,1,0)</f>
        <v>0</v>
      </c>
      <c r="X1884">
        <f>IF(AND(LEFT(D1884,4)+1=LEFT(' Pivot Tables'!$A$4,4)+0,RIGHT(LEFT(D1884,7),2)=RIGHT(LEFT(' Pivot Tables'!$A$4,7),2)),1,0)</f>
        <v>0</v>
      </c>
      <c r="Y1884" s="6">
        <f>1/COUNTIF(Таблица1[Order ID],Таблица1[[#This Row],[Order ID]])</f>
        <v>0.5</v>
      </c>
      <c r="Z1884" s="9">
        <f>1/COUNTIFS(Таблица1[Customer Name],Таблица1[[#This Row],[Customer Name]],Таблица1[Order-Year-Month],Таблица1[[#This Row],[Order-Year-Month]])</f>
        <v>0.33333333333333331</v>
      </c>
    </row>
    <row r="1885" spans="1:26" x14ac:dyDescent="0.2">
      <c r="A1885" s="6">
        <v>3490</v>
      </c>
      <c r="B1885" s="7">
        <v>24869</v>
      </c>
      <c r="C1885" s="8">
        <f>DATE(2012,12,31)-1300</f>
        <v>39974</v>
      </c>
      <c r="D1885" s="8" t="str">
        <f t="shared" si="37"/>
        <v>2009-06 (июнь 2009)</v>
      </c>
      <c r="E1885" s="9" t="s">
        <v>45</v>
      </c>
      <c r="F1885" s="7">
        <v>14</v>
      </c>
      <c r="G1885" s="7">
        <v>132.72</v>
      </c>
      <c r="H1885" s="7">
        <v>0.05</v>
      </c>
      <c r="I1885" s="9" t="s">
        <v>22</v>
      </c>
      <c r="J1885" s="10">
        <v>-9.1769999999999996</v>
      </c>
      <c r="K1885" s="11">
        <v>8.85</v>
      </c>
      <c r="L1885" s="11">
        <v>5.6</v>
      </c>
      <c r="M1885" s="9" t="s">
        <v>1212</v>
      </c>
      <c r="N1885" s="6" t="s">
        <v>1123</v>
      </c>
      <c r="O1885" s="6" t="s">
        <v>1123</v>
      </c>
      <c r="P1885" s="9" t="s">
        <v>33</v>
      </c>
      <c r="Q1885" s="9" t="s">
        <v>26</v>
      </c>
      <c r="R1885" s="9" t="s">
        <v>37</v>
      </c>
      <c r="S1885" s="7" t="s">
        <v>298</v>
      </c>
      <c r="T1885" s="9" t="s">
        <v>39</v>
      </c>
      <c r="U1885" s="7">
        <v>0.36</v>
      </c>
      <c r="V1885" s="12">
        <f>C1885+1</f>
        <v>39975</v>
      </c>
      <c r="W1885">
        <f>IF(D1885=' Pivot Tables'!$A$4,1,0)</f>
        <v>0</v>
      </c>
      <c r="X1885">
        <f>IF(AND(LEFT(D1885,4)+1=LEFT(' Pivot Tables'!$A$4,4)+0,RIGHT(LEFT(D1885,7),2)=RIGHT(LEFT(' Pivot Tables'!$A$4,7),2)),1,0)</f>
        <v>0</v>
      </c>
      <c r="Y1885" s="6">
        <f>1/COUNTIF(Таблица1[Order ID],Таблица1[[#This Row],[Order ID]])</f>
        <v>1</v>
      </c>
      <c r="Z1885" s="9">
        <f>1/COUNTIFS(Таблица1[Customer Name],Таблица1[[#This Row],[Customer Name]],Таблица1[Order-Year-Month],Таблица1[[#This Row],[Order-Year-Month]])</f>
        <v>1</v>
      </c>
    </row>
    <row r="1886" spans="1:26" x14ac:dyDescent="0.2">
      <c r="A1886" s="6">
        <v>3601</v>
      </c>
      <c r="B1886" s="7">
        <v>25697</v>
      </c>
      <c r="C1886" s="8">
        <f>DATE(2012,12,31)-615</f>
        <v>40659</v>
      </c>
      <c r="D1886" s="8" t="str">
        <f t="shared" si="37"/>
        <v>2011-04 (апрель 2011)</v>
      </c>
      <c r="E1886" s="9" t="s">
        <v>21</v>
      </c>
      <c r="F1886" s="7">
        <v>46</v>
      </c>
      <c r="G1886" s="7">
        <v>400.25</v>
      </c>
      <c r="H1886" s="7">
        <v>0.02</v>
      </c>
      <c r="I1886" s="9" t="s">
        <v>22</v>
      </c>
      <c r="J1886" s="10">
        <v>-37.5</v>
      </c>
      <c r="K1886" s="11">
        <v>8.4600000000000009</v>
      </c>
      <c r="L1886" s="11">
        <v>3.62</v>
      </c>
      <c r="M1886" s="9" t="s">
        <v>1204</v>
      </c>
      <c r="N1886" s="6" t="s">
        <v>1123</v>
      </c>
      <c r="O1886" s="6" t="s">
        <v>1123</v>
      </c>
      <c r="P1886" s="9" t="s">
        <v>33</v>
      </c>
      <c r="Q1886" s="9" t="s">
        <v>42</v>
      </c>
      <c r="R1886" s="9" t="s">
        <v>70</v>
      </c>
      <c r="S1886" s="7" t="s">
        <v>1221</v>
      </c>
      <c r="T1886" s="9" t="s">
        <v>52</v>
      </c>
      <c r="U1886" s="7">
        <v>0.61</v>
      </c>
      <c r="V1886" s="12">
        <f>C1886+0</f>
        <v>40659</v>
      </c>
      <c r="W1886">
        <f>IF(D1886=' Pivot Tables'!$A$4,1,0)</f>
        <v>0</v>
      </c>
      <c r="X1886">
        <f>IF(AND(LEFT(D1886,4)+1=LEFT(' Pivot Tables'!$A$4,4)+0,RIGHT(LEFT(D1886,7),2)=RIGHT(LEFT(' Pivot Tables'!$A$4,7),2)),1,0)</f>
        <v>0</v>
      </c>
      <c r="Y1886" s="6">
        <f>1/COUNTIF(Таблица1[Order ID],Таблица1[[#This Row],[Order ID]])</f>
        <v>1</v>
      </c>
      <c r="Z1886" s="9">
        <f>1/COUNTIFS(Таблица1[Customer Name],Таблица1[[#This Row],[Customer Name]],Таблица1[Order-Year-Month],Таблица1[[#This Row],[Order-Year-Month]])</f>
        <v>1</v>
      </c>
    </row>
    <row r="1887" spans="1:26" x14ac:dyDescent="0.2">
      <c r="A1887" s="6">
        <v>3854</v>
      </c>
      <c r="B1887" s="7">
        <v>27490</v>
      </c>
      <c r="C1887" s="8">
        <f>DATE(2012,12,31)-292</f>
        <v>40982</v>
      </c>
      <c r="D1887" s="8" t="str">
        <f t="shared" si="37"/>
        <v>2012-03 (март 2012)</v>
      </c>
      <c r="E1887" s="9" t="s">
        <v>45</v>
      </c>
      <c r="F1887" s="7">
        <v>18</v>
      </c>
      <c r="G1887" s="7">
        <v>611.71</v>
      </c>
      <c r="H1887" s="7">
        <v>0.02</v>
      </c>
      <c r="I1887" s="9" t="s">
        <v>22</v>
      </c>
      <c r="J1887" s="10">
        <v>93.228000000000009</v>
      </c>
      <c r="K1887" s="11">
        <v>31.74</v>
      </c>
      <c r="L1887" s="11">
        <v>12.62</v>
      </c>
      <c r="M1887" s="9" t="s">
        <v>1222</v>
      </c>
      <c r="N1887" s="6" t="s">
        <v>1123</v>
      </c>
      <c r="O1887" s="6" t="s">
        <v>1123</v>
      </c>
      <c r="P1887" s="9" t="s">
        <v>41</v>
      </c>
      <c r="Q1887" s="9" t="s">
        <v>26</v>
      </c>
      <c r="R1887" s="9" t="s">
        <v>37</v>
      </c>
      <c r="S1887" s="7" t="s">
        <v>1223</v>
      </c>
      <c r="T1887" s="9" t="s">
        <v>39</v>
      </c>
      <c r="U1887" s="7">
        <v>0.37</v>
      </c>
      <c r="V1887" s="12">
        <f>C1887+2</f>
        <v>40984</v>
      </c>
      <c r="W1887">
        <f>IF(D1887=' Pivot Tables'!$A$4,1,0)</f>
        <v>0</v>
      </c>
      <c r="X1887">
        <f>IF(AND(LEFT(D1887,4)+1=LEFT(' Pivot Tables'!$A$4,4)+0,RIGHT(LEFT(D1887,7),2)=RIGHT(LEFT(' Pivot Tables'!$A$4,7),2)),1,0)</f>
        <v>0</v>
      </c>
      <c r="Y1887" s="6">
        <f>1/COUNTIF(Таблица1[Order ID],Таблица1[[#This Row],[Order ID]])</f>
        <v>1</v>
      </c>
      <c r="Z1887" s="9">
        <f>1/COUNTIFS(Таблица1[Customer Name],Таблица1[[#This Row],[Customer Name]],Таблица1[Order-Year-Month],Таблица1[[#This Row],[Order-Year-Month]])</f>
        <v>1</v>
      </c>
    </row>
    <row r="1888" spans="1:26" x14ac:dyDescent="0.2">
      <c r="A1888" s="6">
        <v>3906</v>
      </c>
      <c r="B1888" s="7">
        <v>27844</v>
      </c>
      <c r="C1888" s="8">
        <f>DATE(2012,12,31)-551</f>
        <v>40723</v>
      </c>
      <c r="D1888" s="8" t="str">
        <f t="shared" si="37"/>
        <v>2011-06 (июнь 2011)</v>
      </c>
      <c r="E1888" s="9" t="s">
        <v>21</v>
      </c>
      <c r="F1888" s="7">
        <v>27</v>
      </c>
      <c r="G1888" s="7">
        <v>135.86000000000001</v>
      </c>
      <c r="H1888" s="7">
        <v>0.04</v>
      </c>
      <c r="I1888" s="9" t="s">
        <v>22</v>
      </c>
      <c r="J1888" s="10">
        <v>-73.42</v>
      </c>
      <c r="K1888" s="11">
        <v>4.9800000000000004</v>
      </c>
      <c r="L1888" s="11">
        <v>5.49</v>
      </c>
      <c r="M1888" s="9" t="s">
        <v>1214</v>
      </c>
      <c r="N1888" s="6" t="s">
        <v>1123</v>
      </c>
      <c r="O1888" s="6" t="s">
        <v>1123</v>
      </c>
      <c r="P1888" s="9" t="s">
        <v>60</v>
      </c>
      <c r="Q1888" s="9" t="s">
        <v>26</v>
      </c>
      <c r="R1888" s="9" t="s">
        <v>61</v>
      </c>
      <c r="S1888" s="7" t="s">
        <v>1224</v>
      </c>
      <c r="T1888" s="9" t="s">
        <v>39</v>
      </c>
      <c r="U1888" s="7">
        <v>0.38</v>
      </c>
      <c r="V1888" s="12">
        <f>C1888+2</f>
        <v>40725</v>
      </c>
      <c r="W1888">
        <f>IF(D1888=' Pivot Tables'!$A$4,1,0)</f>
        <v>0</v>
      </c>
      <c r="X1888">
        <f>IF(AND(LEFT(D1888,4)+1=LEFT(' Pivot Tables'!$A$4,4)+0,RIGHT(LEFT(D1888,7),2)=RIGHT(LEFT(' Pivot Tables'!$A$4,7),2)),1,0)</f>
        <v>0</v>
      </c>
      <c r="Y1888" s="6">
        <f>1/COUNTIF(Таблица1[Order ID],Таблица1[[#This Row],[Order ID]])</f>
        <v>0.5</v>
      </c>
      <c r="Z1888" s="9">
        <f>1/COUNTIFS(Таблица1[Customer Name],Таблица1[[#This Row],[Customer Name]],Таблица1[Order-Year-Month],Таблица1[[#This Row],[Order-Year-Month]])</f>
        <v>0.5</v>
      </c>
    </row>
    <row r="1889" spans="1:26" x14ac:dyDescent="0.2">
      <c r="A1889" s="6">
        <v>3981</v>
      </c>
      <c r="B1889" s="7">
        <v>28451</v>
      </c>
      <c r="C1889" s="8">
        <f>DATE(2012,12,31)-1456</f>
        <v>39818</v>
      </c>
      <c r="D1889" s="8" t="str">
        <f t="shared" si="37"/>
        <v>2009-01 (январь 2009)</v>
      </c>
      <c r="E1889" s="9" t="s">
        <v>78</v>
      </c>
      <c r="F1889" s="7">
        <v>21</v>
      </c>
      <c r="G1889" s="7">
        <v>4201.08</v>
      </c>
      <c r="H1889" s="7">
        <v>0.01</v>
      </c>
      <c r="I1889" s="9" t="s">
        <v>22</v>
      </c>
      <c r="J1889" s="10">
        <v>1162.76</v>
      </c>
      <c r="K1889" s="11">
        <v>194.3</v>
      </c>
      <c r="L1889" s="11">
        <v>11.54</v>
      </c>
      <c r="M1889" s="9" t="s">
        <v>1200</v>
      </c>
      <c r="N1889" s="6" t="s">
        <v>1123</v>
      </c>
      <c r="O1889" s="6" t="s">
        <v>1123</v>
      </c>
      <c r="P1889" s="9" t="s">
        <v>25</v>
      </c>
      <c r="Q1889" s="9" t="s">
        <v>49</v>
      </c>
      <c r="R1889" s="9" t="s">
        <v>50</v>
      </c>
      <c r="S1889" s="7" t="s">
        <v>209</v>
      </c>
      <c r="T1889" s="9" t="s">
        <v>29</v>
      </c>
      <c r="U1889" s="7">
        <v>0.59</v>
      </c>
      <c r="V1889" s="12">
        <f>C1889+2</f>
        <v>39820</v>
      </c>
      <c r="W1889">
        <f>IF(D1889=' Pivot Tables'!$A$4,1,0)</f>
        <v>0</v>
      </c>
      <c r="X1889">
        <f>IF(AND(LEFT(D1889,4)+1=LEFT(' Pivot Tables'!$A$4,4)+0,RIGHT(LEFT(D1889,7),2)=RIGHT(LEFT(' Pivot Tables'!$A$4,7),2)),1,0)</f>
        <v>1</v>
      </c>
      <c r="Y1889" s="6">
        <f>1/COUNTIF(Таблица1[Order ID],Таблица1[[#This Row],[Order ID]])</f>
        <v>0.33333333333333331</v>
      </c>
      <c r="Z1889" s="9">
        <f>1/COUNTIFS(Таблица1[Customer Name],Таблица1[[#This Row],[Customer Name]],Таблица1[Order-Year-Month],Таблица1[[#This Row],[Order-Year-Month]])</f>
        <v>0.25</v>
      </c>
    </row>
    <row r="1890" spans="1:26" x14ac:dyDescent="0.2">
      <c r="A1890" s="6">
        <v>3982</v>
      </c>
      <c r="B1890" s="7">
        <v>28451</v>
      </c>
      <c r="C1890" s="8">
        <f>DATE(2012,12,31)-1456</f>
        <v>39818</v>
      </c>
      <c r="D1890" s="8" t="str">
        <f t="shared" si="37"/>
        <v>2009-01 (январь 2009)</v>
      </c>
      <c r="E1890" s="9" t="s">
        <v>78</v>
      </c>
      <c r="F1890" s="7">
        <v>41</v>
      </c>
      <c r="G1890" s="7">
        <v>8958.4599999999991</v>
      </c>
      <c r="H1890" s="7">
        <v>0.02</v>
      </c>
      <c r="I1890" s="9" t="s">
        <v>22</v>
      </c>
      <c r="J1890" s="10">
        <v>2593.14</v>
      </c>
      <c r="K1890" s="11">
        <v>209.84</v>
      </c>
      <c r="L1890" s="11">
        <v>21.21</v>
      </c>
      <c r="M1890" s="9" t="s">
        <v>1200</v>
      </c>
      <c r="N1890" s="6" t="s">
        <v>1123</v>
      </c>
      <c r="O1890" s="6" t="s">
        <v>1123</v>
      </c>
      <c r="P1890" s="9" t="s">
        <v>25</v>
      </c>
      <c r="Q1890" s="9" t="s">
        <v>49</v>
      </c>
      <c r="R1890" s="9" t="s">
        <v>50</v>
      </c>
      <c r="S1890" s="7" t="s">
        <v>1225</v>
      </c>
      <c r="T1890" s="9" t="s">
        <v>29</v>
      </c>
      <c r="U1890" s="7">
        <v>0.59</v>
      </c>
      <c r="V1890" s="12">
        <f>C1890+1</f>
        <v>39819</v>
      </c>
      <c r="W1890">
        <f>IF(D1890=' Pivot Tables'!$A$4,1,0)</f>
        <v>0</v>
      </c>
      <c r="X1890">
        <f>IF(AND(LEFT(D1890,4)+1=LEFT(' Pivot Tables'!$A$4,4)+0,RIGHT(LEFT(D1890,7),2)=RIGHT(LEFT(' Pivot Tables'!$A$4,7),2)),1,0)</f>
        <v>1</v>
      </c>
      <c r="Y1890" s="6">
        <f>1/COUNTIF(Таблица1[Order ID],Таблица1[[#This Row],[Order ID]])</f>
        <v>0.33333333333333331</v>
      </c>
      <c r="Z1890" s="9">
        <f>1/COUNTIFS(Таблица1[Customer Name],Таблица1[[#This Row],[Customer Name]],Таблица1[Order-Year-Month],Таблица1[[#This Row],[Order-Year-Month]])</f>
        <v>0.25</v>
      </c>
    </row>
    <row r="1891" spans="1:26" x14ac:dyDescent="0.2">
      <c r="A1891" s="6">
        <v>3983</v>
      </c>
      <c r="B1891" s="7">
        <v>28451</v>
      </c>
      <c r="C1891" s="8">
        <f>DATE(2012,12,31)-1456</f>
        <v>39818</v>
      </c>
      <c r="D1891" s="8" t="str">
        <f t="shared" si="37"/>
        <v>2009-01 (январь 2009)</v>
      </c>
      <c r="E1891" s="9" t="s">
        <v>78</v>
      </c>
      <c r="F1891" s="7">
        <v>33</v>
      </c>
      <c r="G1891" s="7">
        <v>4913.7</v>
      </c>
      <c r="H1891" s="7">
        <v>0</v>
      </c>
      <c r="I1891" s="9" t="s">
        <v>31</v>
      </c>
      <c r="J1891" s="10">
        <v>1054.93</v>
      </c>
      <c r="K1891" s="11">
        <v>145.44999999999999</v>
      </c>
      <c r="L1891" s="11">
        <v>17.850000000000001</v>
      </c>
      <c r="M1891" s="9" t="s">
        <v>1200</v>
      </c>
      <c r="N1891" s="6" t="s">
        <v>1123</v>
      </c>
      <c r="O1891" s="6" t="s">
        <v>1123</v>
      </c>
      <c r="P1891" s="9" t="s">
        <v>25</v>
      </c>
      <c r="Q1891" s="9" t="s">
        <v>42</v>
      </c>
      <c r="R1891" s="9" t="s">
        <v>210</v>
      </c>
      <c r="S1891" s="7" t="s">
        <v>234</v>
      </c>
      <c r="T1891" s="9" t="s">
        <v>36</v>
      </c>
      <c r="U1891" s="7">
        <v>0.56000000000000005</v>
      </c>
      <c r="V1891" s="12">
        <f>C1891+2</f>
        <v>39820</v>
      </c>
      <c r="W1891">
        <f>IF(D1891=' Pivot Tables'!$A$4,1,0)</f>
        <v>0</v>
      </c>
      <c r="X1891">
        <f>IF(AND(LEFT(D1891,4)+1=LEFT(' Pivot Tables'!$A$4,4)+0,RIGHT(LEFT(D1891,7),2)=RIGHT(LEFT(' Pivot Tables'!$A$4,7),2)),1,0)</f>
        <v>1</v>
      </c>
      <c r="Y1891" s="6">
        <f>1/COUNTIF(Таблица1[Order ID],Таблица1[[#This Row],[Order ID]])</f>
        <v>0.33333333333333331</v>
      </c>
      <c r="Z1891" s="9">
        <f>1/COUNTIFS(Таблица1[Customer Name],Таблица1[[#This Row],[Customer Name]],Таблица1[Order-Year-Month],Таблица1[[#This Row],[Order-Year-Month]])</f>
        <v>0.25</v>
      </c>
    </row>
    <row r="1892" spans="1:26" x14ac:dyDescent="0.2">
      <c r="A1892" s="6">
        <v>3989</v>
      </c>
      <c r="B1892" s="7">
        <v>28482</v>
      </c>
      <c r="C1892" s="8">
        <f>DATE(2012,12,31)-1029</f>
        <v>40245</v>
      </c>
      <c r="D1892" s="8" t="str">
        <f t="shared" si="37"/>
        <v>2010-03 (март 2010)</v>
      </c>
      <c r="E1892" s="9" t="s">
        <v>78</v>
      </c>
      <c r="F1892" s="7">
        <v>22</v>
      </c>
      <c r="G1892" s="7">
        <v>119.63</v>
      </c>
      <c r="H1892" s="7">
        <v>0.03</v>
      </c>
      <c r="I1892" s="9" t="s">
        <v>22</v>
      </c>
      <c r="J1892" s="10">
        <v>-27.39</v>
      </c>
      <c r="K1892" s="11">
        <v>5.08</v>
      </c>
      <c r="L1892" s="11">
        <v>3.63</v>
      </c>
      <c r="M1892" s="9" t="s">
        <v>1201</v>
      </c>
      <c r="N1892" s="6" t="s">
        <v>1123</v>
      </c>
      <c r="O1892" s="6" t="s">
        <v>1123</v>
      </c>
      <c r="P1892" s="9" t="s">
        <v>60</v>
      </c>
      <c r="Q1892" s="9" t="s">
        <v>49</v>
      </c>
      <c r="R1892" s="9" t="s">
        <v>50</v>
      </c>
      <c r="S1892" s="7" t="s">
        <v>939</v>
      </c>
      <c r="T1892" s="9" t="s">
        <v>68</v>
      </c>
      <c r="U1892" s="7">
        <v>0.51</v>
      </c>
      <c r="V1892" s="12">
        <f>C1892+2</f>
        <v>40247</v>
      </c>
      <c r="W1892">
        <f>IF(D1892=' Pivot Tables'!$A$4,1,0)</f>
        <v>0</v>
      </c>
      <c r="X1892">
        <f>IF(AND(LEFT(D1892,4)+1=LEFT(' Pivot Tables'!$A$4,4)+0,RIGHT(LEFT(D1892,7),2)=RIGHT(LEFT(' Pivot Tables'!$A$4,7),2)),1,0)</f>
        <v>0</v>
      </c>
      <c r="Y1892" s="6">
        <f>1/COUNTIF(Таблица1[Order ID],Таблица1[[#This Row],[Order ID]])</f>
        <v>0.5</v>
      </c>
      <c r="Z1892" s="9">
        <f>1/COUNTIFS(Таблица1[Customer Name],Таблица1[[#This Row],[Customer Name]],Таблица1[Order-Year-Month],Таблица1[[#This Row],[Order-Year-Month]])</f>
        <v>0.5</v>
      </c>
    </row>
    <row r="1893" spans="1:26" x14ac:dyDescent="0.2">
      <c r="A1893" s="6">
        <v>3990</v>
      </c>
      <c r="B1893" s="7">
        <v>28482</v>
      </c>
      <c r="C1893" s="8">
        <f>DATE(2012,12,31)-1029</f>
        <v>40245</v>
      </c>
      <c r="D1893" s="8" t="str">
        <f t="shared" si="37"/>
        <v>2010-03 (март 2010)</v>
      </c>
      <c r="E1893" s="9" t="s">
        <v>78</v>
      </c>
      <c r="F1893" s="7">
        <v>40</v>
      </c>
      <c r="G1893" s="7">
        <v>177.92</v>
      </c>
      <c r="H1893" s="7">
        <v>0</v>
      </c>
      <c r="I1893" s="9" t="s">
        <v>22</v>
      </c>
      <c r="J1893" s="10">
        <v>-167.92</v>
      </c>
      <c r="K1893" s="11">
        <v>4.28</v>
      </c>
      <c r="L1893" s="11">
        <v>6.72</v>
      </c>
      <c r="M1893" s="9" t="s">
        <v>1201</v>
      </c>
      <c r="N1893" s="6" t="s">
        <v>1123</v>
      </c>
      <c r="O1893" s="6" t="s">
        <v>1123</v>
      </c>
      <c r="P1893" s="9" t="s">
        <v>60</v>
      </c>
      <c r="Q1893" s="9" t="s">
        <v>26</v>
      </c>
      <c r="R1893" s="9" t="s">
        <v>61</v>
      </c>
      <c r="S1893" s="7" t="s">
        <v>1007</v>
      </c>
      <c r="T1893" s="9" t="s">
        <v>39</v>
      </c>
      <c r="U1893" s="7">
        <v>0.4</v>
      </c>
      <c r="V1893" s="12">
        <f>C1893+0</f>
        <v>40245</v>
      </c>
      <c r="W1893">
        <f>IF(D1893=' Pivot Tables'!$A$4,1,0)</f>
        <v>0</v>
      </c>
      <c r="X1893">
        <f>IF(AND(LEFT(D1893,4)+1=LEFT(' Pivot Tables'!$A$4,4)+0,RIGHT(LEFT(D1893,7),2)=RIGHT(LEFT(' Pivot Tables'!$A$4,7),2)),1,0)</f>
        <v>0</v>
      </c>
      <c r="Y1893" s="6">
        <f>1/COUNTIF(Таблица1[Order ID],Таблица1[[#This Row],[Order ID]])</f>
        <v>0.5</v>
      </c>
      <c r="Z1893" s="9">
        <f>1/COUNTIFS(Таблица1[Customer Name],Таблица1[[#This Row],[Customer Name]],Таблица1[Order-Year-Month],Таблица1[[#This Row],[Order-Year-Month]])</f>
        <v>0.5</v>
      </c>
    </row>
    <row r="1894" spans="1:26" x14ac:dyDescent="0.2">
      <c r="A1894" s="6">
        <v>4012</v>
      </c>
      <c r="B1894" s="7">
        <v>28642</v>
      </c>
      <c r="C1894" s="8">
        <f>DATE(2012,12,31)-713</f>
        <v>40561</v>
      </c>
      <c r="D1894" s="8" t="str">
        <f t="shared" si="37"/>
        <v>2011-01 (январь 2011)</v>
      </c>
      <c r="E1894" s="9" t="s">
        <v>30</v>
      </c>
      <c r="F1894" s="7">
        <v>41</v>
      </c>
      <c r="G1894" s="7">
        <v>230.29</v>
      </c>
      <c r="H1894" s="7">
        <v>0</v>
      </c>
      <c r="I1894" s="9" t="s">
        <v>22</v>
      </c>
      <c r="J1894" s="10">
        <v>14.484</v>
      </c>
      <c r="K1894" s="11">
        <v>5.28</v>
      </c>
      <c r="L1894" s="11">
        <v>2.99</v>
      </c>
      <c r="M1894" s="9" t="s">
        <v>1200</v>
      </c>
      <c r="N1894" s="6" t="s">
        <v>1123</v>
      </c>
      <c r="O1894" s="6" t="s">
        <v>1123</v>
      </c>
      <c r="P1894" s="9" t="s">
        <v>41</v>
      </c>
      <c r="Q1894" s="9" t="s">
        <v>26</v>
      </c>
      <c r="R1894" s="9" t="s">
        <v>37</v>
      </c>
      <c r="S1894" s="7" t="s">
        <v>73</v>
      </c>
      <c r="T1894" s="9" t="s">
        <v>39</v>
      </c>
      <c r="U1894" s="7">
        <v>0.37</v>
      </c>
      <c r="V1894" s="12">
        <f>C1894+2</f>
        <v>40563</v>
      </c>
      <c r="W1894">
        <f>IF(D1894=' Pivot Tables'!$A$4,1,0)</f>
        <v>0</v>
      </c>
      <c r="X1894">
        <f>IF(AND(LEFT(D1894,4)+1=LEFT(' Pivot Tables'!$A$4,4)+0,RIGHT(LEFT(D1894,7),2)=RIGHT(LEFT(' Pivot Tables'!$A$4,7),2)),1,0)</f>
        <v>0</v>
      </c>
      <c r="Y1894" s="6">
        <f>1/COUNTIF(Таблица1[Order ID],Таблица1[[#This Row],[Order ID]])</f>
        <v>0.5</v>
      </c>
      <c r="Z1894" s="9">
        <f>1/COUNTIFS(Таблица1[Customer Name],Таблица1[[#This Row],[Customer Name]],Таблица1[Order-Year-Month],Таблица1[[#This Row],[Order-Year-Month]])</f>
        <v>0.5</v>
      </c>
    </row>
    <row r="1895" spans="1:26" x14ac:dyDescent="0.2">
      <c r="A1895" s="6">
        <v>4013</v>
      </c>
      <c r="B1895" s="7">
        <v>28642</v>
      </c>
      <c r="C1895" s="8">
        <f>DATE(2012,12,31)-713</f>
        <v>40561</v>
      </c>
      <c r="D1895" s="8" t="str">
        <f t="shared" si="37"/>
        <v>2011-01 (январь 2011)</v>
      </c>
      <c r="E1895" s="9" t="s">
        <v>30</v>
      </c>
      <c r="F1895" s="7">
        <v>27</v>
      </c>
      <c r="G1895" s="7">
        <v>1592.0415</v>
      </c>
      <c r="H1895" s="7">
        <v>0</v>
      </c>
      <c r="I1895" s="9" t="s">
        <v>22</v>
      </c>
      <c r="J1895" s="10">
        <v>-52.700999999999993</v>
      </c>
      <c r="K1895" s="11">
        <v>65.989999999999995</v>
      </c>
      <c r="L1895" s="11">
        <v>19.989999999999998</v>
      </c>
      <c r="M1895" s="9" t="s">
        <v>1200</v>
      </c>
      <c r="N1895" s="6" t="s">
        <v>1123</v>
      </c>
      <c r="O1895" s="6" t="s">
        <v>1123</v>
      </c>
      <c r="P1895" s="9" t="s">
        <v>41</v>
      </c>
      <c r="Q1895" s="9" t="s">
        <v>42</v>
      </c>
      <c r="R1895" s="9" t="s">
        <v>43</v>
      </c>
      <c r="S1895" s="7" t="s">
        <v>922</v>
      </c>
      <c r="T1895" s="9" t="s">
        <v>39</v>
      </c>
      <c r="U1895" s="7">
        <v>0.59</v>
      </c>
      <c r="V1895" s="12">
        <f>C1895+2</f>
        <v>40563</v>
      </c>
      <c r="W1895">
        <f>IF(D1895=' Pivot Tables'!$A$4,1,0)</f>
        <v>0</v>
      </c>
      <c r="X1895">
        <f>IF(AND(LEFT(D1895,4)+1=LEFT(' Pivot Tables'!$A$4,4)+0,RIGHT(LEFT(D1895,7),2)=RIGHT(LEFT(' Pivot Tables'!$A$4,7),2)),1,0)</f>
        <v>0</v>
      </c>
      <c r="Y1895" s="6">
        <f>1/COUNTIF(Таблица1[Order ID],Таблица1[[#This Row],[Order ID]])</f>
        <v>0.5</v>
      </c>
      <c r="Z1895" s="9">
        <f>1/COUNTIFS(Таблица1[Customer Name],Таблица1[[#This Row],[Customer Name]],Таблица1[Order-Year-Month],Таблица1[[#This Row],[Order-Year-Month]])</f>
        <v>0.5</v>
      </c>
    </row>
    <row r="1896" spans="1:26" x14ac:dyDescent="0.2">
      <c r="A1896" s="6">
        <v>4136</v>
      </c>
      <c r="B1896" s="7">
        <v>29380</v>
      </c>
      <c r="C1896" s="8">
        <f>DATE(2012,12,31)-1344</f>
        <v>39930</v>
      </c>
      <c r="D1896" s="8" t="str">
        <f t="shared" si="37"/>
        <v>2009-04 (апрель 2009)</v>
      </c>
      <c r="E1896" s="9" t="s">
        <v>45</v>
      </c>
      <c r="F1896" s="7">
        <v>13</v>
      </c>
      <c r="G1896" s="7">
        <v>150.13</v>
      </c>
      <c r="H1896" s="7">
        <v>0.09</v>
      </c>
      <c r="I1896" s="9" t="s">
        <v>22</v>
      </c>
      <c r="J1896" s="10">
        <v>1.73</v>
      </c>
      <c r="K1896" s="11">
        <v>12.28</v>
      </c>
      <c r="L1896" s="11">
        <v>4.8600000000000003</v>
      </c>
      <c r="M1896" s="9" t="s">
        <v>1211</v>
      </c>
      <c r="N1896" s="6" t="s">
        <v>1123</v>
      </c>
      <c r="O1896" s="6" t="s">
        <v>1123</v>
      </c>
      <c r="P1896" s="9" t="s">
        <v>41</v>
      </c>
      <c r="Q1896" s="9" t="s">
        <v>26</v>
      </c>
      <c r="R1896" s="9" t="s">
        <v>61</v>
      </c>
      <c r="S1896" s="7" t="s">
        <v>1226</v>
      </c>
      <c r="T1896" s="9" t="s">
        <v>39</v>
      </c>
      <c r="U1896" s="7">
        <v>0.38</v>
      </c>
      <c r="V1896" s="12">
        <f>C1896+1</f>
        <v>39931</v>
      </c>
      <c r="W1896">
        <f>IF(D1896=' Pivot Tables'!$A$4,1,0)</f>
        <v>0</v>
      </c>
      <c r="X1896">
        <f>IF(AND(LEFT(D1896,4)+1=LEFT(' Pivot Tables'!$A$4,4)+0,RIGHT(LEFT(D1896,7),2)=RIGHT(LEFT(' Pivot Tables'!$A$4,7),2)),1,0)</f>
        <v>0</v>
      </c>
      <c r="Y1896" s="6">
        <f>1/COUNTIF(Таблица1[Order ID],Таблица1[[#This Row],[Order ID]])</f>
        <v>1</v>
      </c>
      <c r="Z1896" s="9">
        <f>1/COUNTIFS(Таблица1[Customer Name],Таблица1[[#This Row],[Customer Name]],Таблица1[Order-Year-Month],Таблица1[[#This Row],[Order-Year-Month]])</f>
        <v>1</v>
      </c>
    </row>
    <row r="1897" spans="1:26" x14ac:dyDescent="0.2">
      <c r="A1897" s="6">
        <v>4499</v>
      </c>
      <c r="B1897" s="7">
        <v>32036</v>
      </c>
      <c r="C1897" s="8">
        <f>DATE(2012,12,31)-453</f>
        <v>40821</v>
      </c>
      <c r="D1897" s="8" t="str">
        <f t="shared" si="37"/>
        <v>2011-10 (октябрь 2011)</v>
      </c>
      <c r="E1897" s="9" t="s">
        <v>63</v>
      </c>
      <c r="F1897" s="7">
        <v>6</v>
      </c>
      <c r="G1897" s="7">
        <v>338.89</v>
      </c>
      <c r="H1897" s="7">
        <v>7.0000000000000007E-2</v>
      </c>
      <c r="I1897" s="9" t="s">
        <v>22</v>
      </c>
      <c r="J1897" s="10">
        <v>45.76</v>
      </c>
      <c r="K1897" s="11">
        <v>54.96</v>
      </c>
      <c r="L1897" s="11">
        <v>10.75</v>
      </c>
      <c r="M1897" s="9" t="s">
        <v>1200</v>
      </c>
      <c r="N1897" s="6" t="s">
        <v>1123</v>
      </c>
      <c r="O1897" s="6" t="s">
        <v>1123</v>
      </c>
      <c r="P1897" s="9" t="s">
        <v>41</v>
      </c>
      <c r="Q1897" s="9" t="s">
        <v>26</v>
      </c>
      <c r="R1897" s="9" t="s">
        <v>61</v>
      </c>
      <c r="S1897" s="7" t="s">
        <v>350</v>
      </c>
      <c r="T1897" s="9" t="s">
        <v>39</v>
      </c>
      <c r="U1897" s="7">
        <v>0.36</v>
      </c>
      <c r="V1897" s="12">
        <f>C1897+2</f>
        <v>40823</v>
      </c>
      <c r="W1897">
        <f>IF(D1897=' Pivot Tables'!$A$4,1,0)</f>
        <v>0</v>
      </c>
      <c r="X1897">
        <f>IF(AND(LEFT(D1897,4)+1=LEFT(' Pivot Tables'!$A$4,4)+0,RIGHT(LEFT(D1897,7),2)=RIGHT(LEFT(' Pivot Tables'!$A$4,7),2)),1,0)</f>
        <v>0</v>
      </c>
      <c r="Y1897" s="6">
        <f>1/COUNTIF(Таблица1[Order ID],Таблица1[[#This Row],[Order ID]])</f>
        <v>0.5</v>
      </c>
      <c r="Z1897" s="9">
        <f>1/COUNTIFS(Таблица1[Customer Name],Таблица1[[#This Row],[Customer Name]],Таблица1[Order-Year-Month],Таблица1[[#This Row],[Order-Year-Month]])</f>
        <v>0.5</v>
      </c>
    </row>
    <row r="1898" spans="1:26" x14ac:dyDescent="0.2">
      <c r="A1898" s="6">
        <v>4500</v>
      </c>
      <c r="B1898" s="7">
        <v>32036</v>
      </c>
      <c r="C1898" s="8">
        <f>DATE(2012,12,31)-453</f>
        <v>40821</v>
      </c>
      <c r="D1898" s="8" t="str">
        <f t="shared" si="37"/>
        <v>2011-10 (октябрь 2011)</v>
      </c>
      <c r="E1898" s="9" t="s">
        <v>63</v>
      </c>
      <c r="F1898" s="7">
        <v>25</v>
      </c>
      <c r="G1898" s="7">
        <v>362.52</v>
      </c>
      <c r="H1898" s="7">
        <v>7.0000000000000007E-2</v>
      </c>
      <c r="I1898" s="9" t="s">
        <v>22</v>
      </c>
      <c r="J1898" s="10">
        <v>-68.489999999999995</v>
      </c>
      <c r="K1898" s="11">
        <v>14.97</v>
      </c>
      <c r="L1898" s="11">
        <v>7.51</v>
      </c>
      <c r="M1898" s="9" t="s">
        <v>1200</v>
      </c>
      <c r="N1898" s="6" t="s">
        <v>1123</v>
      </c>
      <c r="O1898" s="6" t="s">
        <v>1123</v>
      </c>
      <c r="P1898" s="9" t="s">
        <v>41</v>
      </c>
      <c r="Q1898" s="9" t="s">
        <v>26</v>
      </c>
      <c r="R1898" s="9" t="s">
        <v>27</v>
      </c>
      <c r="S1898" s="7" t="s">
        <v>394</v>
      </c>
      <c r="T1898" s="9" t="s">
        <v>39</v>
      </c>
      <c r="U1898" s="7">
        <v>0.56999999999999995</v>
      </c>
      <c r="V1898" s="12">
        <f>C1898+1</f>
        <v>40822</v>
      </c>
      <c r="W1898">
        <f>IF(D1898=' Pivot Tables'!$A$4,1,0)</f>
        <v>0</v>
      </c>
      <c r="X1898">
        <f>IF(AND(LEFT(D1898,4)+1=LEFT(' Pivot Tables'!$A$4,4)+0,RIGHT(LEFT(D1898,7),2)=RIGHT(LEFT(' Pivot Tables'!$A$4,7),2)),1,0)</f>
        <v>0</v>
      </c>
      <c r="Y1898" s="6">
        <f>1/COUNTIF(Таблица1[Order ID],Таблица1[[#This Row],[Order ID]])</f>
        <v>0.5</v>
      </c>
      <c r="Z1898" s="9">
        <f>1/COUNTIFS(Таблица1[Customer Name],Таблица1[[#This Row],[Customer Name]],Таблица1[Order-Year-Month],Таблица1[[#This Row],[Order-Year-Month]])</f>
        <v>0.5</v>
      </c>
    </row>
    <row r="1899" spans="1:26" x14ac:dyDescent="0.2">
      <c r="A1899" s="6">
        <v>4540</v>
      </c>
      <c r="B1899" s="7">
        <v>32295</v>
      </c>
      <c r="C1899" s="8">
        <f>DATE(2012,12,31)-1454</f>
        <v>39820</v>
      </c>
      <c r="D1899" s="8" t="str">
        <f t="shared" si="37"/>
        <v>2009-01 (январь 2009)</v>
      </c>
      <c r="E1899" s="9" t="s">
        <v>30</v>
      </c>
      <c r="F1899" s="7">
        <v>11</v>
      </c>
      <c r="G1899" s="7">
        <v>607.59699999999998</v>
      </c>
      <c r="H1899" s="7">
        <v>7.0000000000000007E-2</v>
      </c>
      <c r="I1899" s="9" t="s">
        <v>22</v>
      </c>
      <c r="J1899" s="10">
        <v>-112.244</v>
      </c>
      <c r="K1899" s="11">
        <v>65.989999999999995</v>
      </c>
      <c r="L1899" s="11">
        <v>5.99</v>
      </c>
      <c r="M1899" s="9" t="s">
        <v>1200</v>
      </c>
      <c r="N1899" s="6" t="s">
        <v>1123</v>
      </c>
      <c r="O1899" s="6" t="s">
        <v>1123</v>
      </c>
      <c r="P1899" s="9" t="s">
        <v>25</v>
      </c>
      <c r="Q1899" s="9" t="s">
        <v>42</v>
      </c>
      <c r="R1899" s="9" t="s">
        <v>43</v>
      </c>
      <c r="S1899" s="7" t="s">
        <v>560</v>
      </c>
      <c r="T1899" s="9" t="s">
        <v>39</v>
      </c>
      <c r="U1899" s="7">
        <v>0.57999999999999996</v>
      </c>
      <c r="V1899" s="12">
        <f>C1899+1</f>
        <v>39821</v>
      </c>
      <c r="W1899">
        <f>IF(D1899=' Pivot Tables'!$A$4,1,0)</f>
        <v>0</v>
      </c>
      <c r="X1899">
        <f>IF(AND(LEFT(D1899,4)+1=LEFT(' Pivot Tables'!$A$4,4)+0,RIGHT(LEFT(D1899,7),2)=RIGHT(LEFT(' Pivot Tables'!$A$4,7),2)),1,0)</f>
        <v>1</v>
      </c>
      <c r="Y1899" s="6">
        <f>1/COUNTIF(Таблица1[Order ID],Таблица1[[#This Row],[Order ID]])</f>
        <v>1</v>
      </c>
      <c r="Z1899" s="9">
        <f>1/COUNTIFS(Таблица1[Customer Name],Таблица1[[#This Row],[Customer Name]],Таблица1[Order-Year-Month],Таблица1[[#This Row],[Order-Year-Month]])</f>
        <v>0.25</v>
      </c>
    </row>
    <row r="1900" spans="1:26" x14ac:dyDescent="0.2">
      <c r="A1900" s="6">
        <v>4702</v>
      </c>
      <c r="B1900" s="7">
        <v>33505</v>
      </c>
      <c r="C1900" s="8">
        <f>DATE(2012,12,31)-828</f>
        <v>40446</v>
      </c>
      <c r="D1900" s="8" t="str">
        <f t="shared" si="37"/>
        <v>2010-09 (сентябрь 2010)</v>
      </c>
      <c r="E1900" s="9" t="s">
        <v>21</v>
      </c>
      <c r="F1900" s="7">
        <v>32</v>
      </c>
      <c r="G1900" s="7">
        <v>117.78</v>
      </c>
      <c r="H1900" s="7">
        <v>0.09</v>
      </c>
      <c r="I1900" s="9" t="s">
        <v>22</v>
      </c>
      <c r="J1900" s="10">
        <v>20.82</v>
      </c>
      <c r="K1900" s="11">
        <v>4</v>
      </c>
      <c r="L1900" s="11">
        <v>1.3</v>
      </c>
      <c r="M1900" s="9" t="s">
        <v>1206</v>
      </c>
      <c r="N1900" s="6" t="s">
        <v>1123</v>
      </c>
      <c r="O1900" s="6" t="s">
        <v>1123</v>
      </c>
      <c r="P1900" s="9" t="s">
        <v>33</v>
      </c>
      <c r="Q1900" s="9" t="s">
        <v>26</v>
      </c>
      <c r="R1900" s="9" t="s">
        <v>61</v>
      </c>
      <c r="S1900" s="7" t="s">
        <v>1209</v>
      </c>
      <c r="T1900" s="9" t="s">
        <v>68</v>
      </c>
      <c r="U1900" s="7">
        <v>0.37</v>
      </c>
      <c r="V1900" s="12">
        <f>C1900+4</f>
        <v>40450</v>
      </c>
      <c r="W1900">
        <f>IF(D1900=' Pivot Tables'!$A$4,1,0)</f>
        <v>0</v>
      </c>
      <c r="X1900">
        <f>IF(AND(LEFT(D1900,4)+1=LEFT(' Pivot Tables'!$A$4,4)+0,RIGHT(LEFT(D1900,7),2)=RIGHT(LEFT(' Pivot Tables'!$A$4,7),2)),1,0)</f>
        <v>0</v>
      </c>
      <c r="Y1900" s="6">
        <f>1/COUNTIF(Таблица1[Order ID],Таблица1[[#This Row],[Order ID]])</f>
        <v>0.5</v>
      </c>
      <c r="Z1900" s="9">
        <f>1/COUNTIFS(Таблица1[Customer Name],Таблица1[[#This Row],[Customer Name]],Таблица1[Order-Year-Month],Таблица1[[#This Row],[Order-Year-Month]])</f>
        <v>0.5</v>
      </c>
    </row>
    <row r="1901" spans="1:26" x14ac:dyDescent="0.2">
      <c r="A1901" s="6">
        <v>4703</v>
      </c>
      <c r="B1901" s="7">
        <v>33505</v>
      </c>
      <c r="C1901" s="8">
        <f>DATE(2012,12,31)-828</f>
        <v>40446</v>
      </c>
      <c r="D1901" s="8" t="str">
        <f t="shared" si="37"/>
        <v>2010-09 (сентябрь 2010)</v>
      </c>
      <c r="E1901" s="9" t="s">
        <v>21</v>
      </c>
      <c r="F1901" s="7">
        <v>35</v>
      </c>
      <c r="G1901" s="7">
        <v>2463.2404999999999</v>
      </c>
      <c r="H1901" s="7">
        <v>7.0000000000000007E-2</v>
      </c>
      <c r="I1901" s="9" t="s">
        <v>56</v>
      </c>
      <c r="J1901" s="10">
        <v>310.572</v>
      </c>
      <c r="K1901" s="11">
        <v>85.99</v>
      </c>
      <c r="L1901" s="11">
        <v>10.78</v>
      </c>
      <c r="M1901" s="9" t="s">
        <v>1206</v>
      </c>
      <c r="N1901" s="6" t="s">
        <v>1123</v>
      </c>
      <c r="O1901" s="6" t="s">
        <v>1123</v>
      </c>
      <c r="P1901" s="9" t="s">
        <v>33</v>
      </c>
      <c r="Q1901" s="9" t="s">
        <v>42</v>
      </c>
      <c r="R1901" s="9" t="s">
        <v>43</v>
      </c>
      <c r="S1901" s="7" t="s">
        <v>1213</v>
      </c>
      <c r="T1901" s="9" t="s">
        <v>39</v>
      </c>
      <c r="U1901" s="7">
        <v>0.57999999999999996</v>
      </c>
      <c r="V1901" s="12">
        <f>C1901+0</f>
        <v>40446</v>
      </c>
      <c r="W1901">
        <f>IF(D1901=' Pivot Tables'!$A$4,1,0)</f>
        <v>0</v>
      </c>
      <c r="X1901">
        <f>IF(AND(LEFT(D1901,4)+1=LEFT(' Pivot Tables'!$A$4,4)+0,RIGHT(LEFT(D1901,7),2)=RIGHT(LEFT(' Pivot Tables'!$A$4,7),2)),1,0)</f>
        <v>0</v>
      </c>
      <c r="Y1901" s="6">
        <f>1/COUNTIF(Таблица1[Order ID],Таблица1[[#This Row],[Order ID]])</f>
        <v>0.5</v>
      </c>
      <c r="Z1901" s="9">
        <f>1/COUNTIFS(Таблица1[Customer Name],Таблица1[[#This Row],[Customer Name]],Таблица1[Order-Year-Month],Таблица1[[#This Row],[Order-Year-Month]])</f>
        <v>0.5</v>
      </c>
    </row>
    <row r="1902" spans="1:26" x14ac:dyDescent="0.2">
      <c r="A1902" s="6">
        <v>4797</v>
      </c>
      <c r="B1902" s="7">
        <v>34086</v>
      </c>
      <c r="C1902" s="8">
        <f>DATE(2012,12,31)-246</f>
        <v>41028</v>
      </c>
      <c r="D1902" s="8" t="str">
        <f t="shared" si="37"/>
        <v>2012-04 (апрель 2012)</v>
      </c>
      <c r="E1902" s="9" t="s">
        <v>30</v>
      </c>
      <c r="F1902" s="7">
        <v>41</v>
      </c>
      <c r="G1902" s="7">
        <v>2251.9135000000001</v>
      </c>
      <c r="H1902" s="7">
        <v>0.04</v>
      </c>
      <c r="I1902" s="9" t="s">
        <v>22</v>
      </c>
      <c r="J1902" s="10">
        <v>655.91099999999994</v>
      </c>
      <c r="K1902" s="11">
        <v>65.989999999999995</v>
      </c>
      <c r="L1902" s="11">
        <v>2.5</v>
      </c>
      <c r="M1902" s="9" t="s">
        <v>1212</v>
      </c>
      <c r="N1902" s="6" t="s">
        <v>1123</v>
      </c>
      <c r="O1902" s="6" t="s">
        <v>1123</v>
      </c>
      <c r="P1902" s="9" t="s">
        <v>33</v>
      </c>
      <c r="Q1902" s="9" t="s">
        <v>42</v>
      </c>
      <c r="R1902" s="9" t="s">
        <v>43</v>
      </c>
      <c r="S1902" s="7" t="s">
        <v>757</v>
      </c>
      <c r="T1902" s="9" t="s">
        <v>39</v>
      </c>
      <c r="U1902" s="7">
        <v>0.55000000000000004</v>
      </c>
      <c r="V1902" s="12">
        <f>C1902+2</f>
        <v>41030</v>
      </c>
      <c r="W1902">
        <f>IF(D1902=' Pivot Tables'!$A$4,1,0)</f>
        <v>0</v>
      </c>
      <c r="X1902">
        <f>IF(AND(LEFT(D1902,4)+1=LEFT(' Pivot Tables'!$A$4,4)+0,RIGHT(LEFT(D1902,7),2)=RIGHT(LEFT(' Pivot Tables'!$A$4,7),2)),1,0)</f>
        <v>0</v>
      </c>
      <c r="Y1902" s="6">
        <f>1/COUNTIF(Таблица1[Order ID],Таблица1[[#This Row],[Order ID]])</f>
        <v>1</v>
      </c>
      <c r="Z1902" s="9">
        <f>1/COUNTIFS(Таблица1[Customer Name],Таблица1[[#This Row],[Customer Name]],Таблица1[Order-Year-Month],Таблица1[[#This Row],[Order-Year-Month]])</f>
        <v>1</v>
      </c>
    </row>
    <row r="1903" spans="1:26" x14ac:dyDescent="0.2">
      <c r="A1903" s="6">
        <v>4809</v>
      </c>
      <c r="B1903" s="7">
        <v>34209</v>
      </c>
      <c r="C1903" s="8">
        <f>DATE(2012,12,31)-860</f>
        <v>40414</v>
      </c>
      <c r="D1903" s="8" t="str">
        <f t="shared" si="37"/>
        <v>2010-08 (август 2010)</v>
      </c>
      <c r="E1903" s="9" t="s">
        <v>30</v>
      </c>
      <c r="F1903" s="7">
        <v>48</v>
      </c>
      <c r="G1903" s="7">
        <v>705.44</v>
      </c>
      <c r="H1903" s="7">
        <v>0.04</v>
      </c>
      <c r="I1903" s="9" t="s">
        <v>22</v>
      </c>
      <c r="J1903" s="10">
        <v>165.9</v>
      </c>
      <c r="K1903" s="11">
        <v>14.2</v>
      </c>
      <c r="L1903" s="11">
        <v>5.3</v>
      </c>
      <c r="M1903" s="9" t="s">
        <v>1203</v>
      </c>
      <c r="N1903" s="6" t="s">
        <v>1123</v>
      </c>
      <c r="O1903" s="6" t="s">
        <v>1123</v>
      </c>
      <c r="P1903" s="9" t="s">
        <v>41</v>
      </c>
      <c r="Q1903" s="9" t="s">
        <v>49</v>
      </c>
      <c r="R1903" s="9" t="s">
        <v>50</v>
      </c>
      <c r="S1903" s="7" t="s">
        <v>603</v>
      </c>
      <c r="T1903" s="9" t="s">
        <v>68</v>
      </c>
      <c r="U1903" s="7">
        <v>0.46</v>
      </c>
      <c r="V1903" s="12">
        <f>C1903+2</f>
        <v>40416</v>
      </c>
      <c r="W1903">
        <f>IF(D1903=' Pivot Tables'!$A$4,1,0)</f>
        <v>0</v>
      </c>
      <c r="X1903">
        <f>IF(AND(LEFT(D1903,4)+1=LEFT(' Pivot Tables'!$A$4,4)+0,RIGHT(LEFT(D1903,7),2)=RIGHT(LEFT(' Pivot Tables'!$A$4,7),2)),1,0)</f>
        <v>0</v>
      </c>
      <c r="Y1903" s="6">
        <f>1/COUNTIF(Таблица1[Order ID],Таблица1[[#This Row],[Order ID]])</f>
        <v>0.5</v>
      </c>
      <c r="Z1903" s="9">
        <f>1/COUNTIFS(Таблица1[Customer Name],Таблица1[[#This Row],[Customer Name]],Таблица1[Order-Year-Month],Таблица1[[#This Row],[Order-Year-Month]])</f>
        <v>0.5</v>
      </c>
    </row>
    <row r="1904" spans="1:26" x14ac:dyDescent="0.2">
      <c r="A1904" s="6">
        <v>4810</v>
      </c>
      <c r="B1904" s="7">
        <v>34209</v>
      </c>
      <c r="C1904" s="8">
        <f>DATE(2012,12,31)-860</f>
        <v>40414</v>
      </c>
      <c r="D1904" s="8" t="str">
        <f t="shared" si="37"/>
        <v>2010-08 (август 2010)</v>
      </c>
      <c r="E1904" s="9" t="s">
        <v>30</v>
      </c>
      <c r="F1904" s="7">
        <v>29</v>
      </c>
      <c r="G1904" s="7">
        <v>1041.72</v>
      </c>
      <c r="H1904" s="7">
        <v>0.03</v>
      </c>
      <c r="I1904" s="9" t="s">
        <v>22</v>
      </c>
      <c r="J1904" s="10">
        <v>437.61</v>
      </c>
      <c r="K1904" s="11">
        <v>35.44</v>
      </c>
      <c r="L1904" s="11">
        <v>4.92</v>
      </c>
      <c r="M1904" s="9" t="s">
        <v>1203</v>
      </c>
      <c r="N1904" s="6" t="s">
        <v>1123</v>
      </c>
      <c r="O1904" s="6" t="s">
        <v>1123</v>
      </c>
      <c r="P1904" s="9" t="s">
        <v>41</v>
      </c>
      <c r="Q1904" s="9" t="s">
        <v>26</v>
      </c>
      <c r="R1904" s="9" t="s">
        <v>61</v>
      </c>
      <c r="S1904" s="7" t="s">
        <v>496</v>
      </c>
      <c r="T1904" s="9" t="s">
        <v>39</v>
      </c>
      <c r="U1904" s="7">
        <v>0.38</v>
      </c>
      <c r="V1904" s="12">
        <f>C1904+2</f>
        <v>40416</v>
      </c>
      <c r="W1904">
        <f>IF(D1904=' Pivot Tables'!$A$4,1,0)</f>
        <v>0</v>
      </c>
      <c r="X1904">
        <f>IF(AND(LEFT(D1904,4)+1=LEFT(' Pivot Tables'!$A$4,4)+0,RIGHT(LEFT(D1904,7),2)=RIGHT(LEFT(' Pivot Tables'!$A$4,7),2)),1,0)</f>
        <v>0</v>
      </c>
      <c r="Y1904" s="6">
        <f>1/COUNTIF(Таблица1[Order ID],Таблица1[[#This Row],[Order ID]])</f>
        <v>0.5</v>
      </c>
      <c r="Z1904" s="9">
        <f>1/COUNTIFS(Таблица1[Customer Name],Таблица1[[#This Row],[Customer Name]],Таблица1[Order-Year-Month],Таблица1[[#This Row],[Order-Year-Month]])</f>
        <v>0.5</v>
      </c>
    </row>
    <row r="1905" spans="1:26" x14ac:dyDescent="0.2">
      <c r="A1905" s="6">
        <v>5176</v>
      </c>
      <c r="B1905" s="7">
        <v>36807</v>
      </c>
      <c r="C1905" s="8">
        <f>DATE(2012,12,31)-1386</f>
        <v>39888</v>
      </c>
      <c r="D1905" s="8" t="str">
        <f t="shared" si="37"/>
        <v>2009-03 (март 2009)</v>
      </c>
      <c r="E1905" s="9" t="s">
        <v>63</v>
      </c>
      <c r="F1905" s="7">
        <v>14</v>
      </c>
      <c r="G1905" s="7">
        <v>211.88</v>
      </c>
      <c r="H1905" s="7">
        <v>0.1</v>
      </c>
      <c r="I1905" s="9" t="s">
        <v>22</v>
      </c>
      <c r="J1905" s="10">
        <v>78.45</v>
      </c>
      <c r="K1905" s="11">
        <v>15.57</v>
      </c>
      <c r="L1905" s="11">
        <v>1.39</v>
      </c>
      <c r="M1905" s="9" t="s">
        <v>1222</v>
      </c>
      <c r="N1905" s="6" t="s">
        <v>1123</v>
      </c>
      <c r="O1905" s="6" t="s">
        <v>1123</v>
      </c>
      <c r="P1905" s="9" t="s">
        <v>41</v>
      </c>
      <c r="Q1905" s="9" t="s">
        <v>26</v>
      </c>
      <c r="R1905" s="9" t="s">
        <v>76</v>
      </c>
      <c r="S1905" s="7" t="s">
        <v>1176</v>
      </c>
      <c r="T1905" s="9" t="s">
        <v>39</v>
      </c>
      <c r="U1905" s="7">
        <v>0.38</v>
      </c>
      <c r="V1905" s="12">
        <f>C1905+1</f>
        <v>39889</v>
      </c>
      <c r="W1905">
        <f>IF(D1905=' Pivot Tables'!$A$4,1,0)</f>
        <v>0</v>
      </c>
      <c r="X1905">
        <f>IF(AND(LEFT(D1905,4)+1=LEFT(' Pivot Tables'!$A$4,4)+0,RIGHT(LEFT(D1905,7),2)=RIGHT(LEFT(' Pivot Tables'!$A$4,7),2)),1,0)</f>
        <v>0</v>
      </c>
      <c r="Y1905" s="6">
        <f>1/COUNTIF(Таблица1[Order ID],Таблица1[[#This Row],[Order ID]])</f>
        <v>1</v>
      </c>
      <c r="Z1905" s="9">
        <f>1/COUNTIFS(Таблица1[Customer Name],Таблица1[[#This Row],[Customer Name]],Таблица1[Order-Year-Month],Таблица1[[#This Row],[Order-Year-Month]])</f>
        <v>1</v>
      </c>
    </row>
    <row r="1906" spans="1:26" x14ac:dyDescent="0.2">
      <c r="A1906" s="6">
        <v>5247</v>
      </c>
      <c r="B1906" s="7">
        <v>37318</v>
      </c>
      <c r="C1906" s="8">
        <f>DATE(2012,12,31)-991</f>
        <v>40283</v>
      </c>
      <c r="D1906" s="8" t="str">
        <f t="shared" si="37"/>
        <v>2010-04 (апрель 2010)</v>
      </c>
      <c r="E1906" s="9" t="s">
        <v>63</v>
      </c>
      <c r="F1906" s="7">
        <v>32</v>
      </c>
      <c r="G1906" s="7">
        <v>1031.23</v>
      </c>
      <c r="H1906" s="7">
        <v>7.0000000000000007E-2</v>
      </c>
      <c r="I1906" s="9" t="s">
        <v>22</v>
      </c>
      <c r="J1906" s="10">
        <v>-138.54</v>
      </c>
      <c r="K1906" s="11">
        <v>33.979999999999997</v>
      </c>
      <c r="L1906" s="11">
        <v>19.989999999999998</v>
      </c>
      <c r="M1906" s="9" t="s">
        <v>1212</v>
      </c>
      <c r="N1906" s="6" t="s">
        <v>1123</v>
      </c>
      <c r="O1906" s="6" t="s">
        <v>1123</v>
      </c>
      <c r="P1906" s="9" t="s">
        <v>33</v>
      </c>
      <c r="Q1906" s="9" t="s">
        <v>49</v>
      </c>
      <c r="R1906" s="9" t="s">
        <v>50</v>
      </c>
      <c r="S1906" s="7" t="s">
        <v>192</v>
      </c>
      <c r="T1906" s="9" t="s">
        <v>39</v>
      </c>
      <c r="U1906" s="7">
        <v>0.55000000000000004</v>
      </c>
      <c r="V1906" s="12">
        <f>C1906+2</f>
        <v>40285</v>
      </c>
      <c r="W1906">
        <f>IF(D1906=' Pivot Tables'!$A$4,1,0)</f>
        <v>0</v>
      </c>
      <c r="X1906">
        <f>IF(AND(LEFT(D1906,4)+1=LEFT(' Pivot Tables'!$A$4,4)+0,RIGHT(LEFT(D1906,7),2)=RIGHT(LEFT(' Pivot Tables'!$A$4,7),2)),1,0)</f>
        <v>0</v>
      </c>
      <c r="Y1906" s="6">
        <f>1/COUNTIF(Таблица1[Order ID],Таблица1[[#This Row],[Order ID]])</f>
        <v>1</v>
      </c>
      <c r="Z1906" s="9">
        <f>1/COUNTIFS(Таблица1[Customer Name],Таблица1[[#This Row],[Customer Name]],Таблица1[Order-Year-Month],Таблица1[[#This Row],[Order-Year-Month]])</f>
        <v>1</v>
      </c>
    </row>
    <row r="1907" spans="1:26" x14ac:dyDescent="0.2">
      <c r="A1907" s="6">
        <v>5412</v>
      </c>
      <c r="B1907" s="7">
        <v>38496</v>
      </c>
      <c r="C1907" s="8">
        <f>DATE(2012,12,31)-1045</f>
        <v>40229</v>
      </c>
      <c r="D1907" s="8" t="str">
        <f t="shared" si="37"/>
        <v>2010-02 (февраль 2010)</v>
      </c>
      <c r="E1907" s="9" t="s">
        <v>78</v>
      </c>
      <c r="F1907" s="7">
        <v>23</v>
      </c>
      <c r="G1907" s="7">
        <v>116.57</v>
      </c>
      <c r="H1907" s="7">
        <v>7.0000000000000007E-2</v>
      </c>
      <c r="I1907" s="9" t="s">
        <v>22</v>
      </c>
      <c r="J1907" s="10">
        <v>-43.18</v>
      </c>
      <c r="K1907" s="11">
        <v>4.9800000000000004</v>
      </c>
      <c r="L1907" s="11">
        <v>4.72</v>
      </c>
      <c r="M1907" s="9" t="s">
        <v>1200</v>
      </c>
      <c r="N1907" s="6" t="s">
        <v>1123</v>
      </c>
      <c r="O1907" s="6" t="s">
        <v>1123</v>
      </c>
      <c r="P1907" s="9" t="s">
        <v>41</v>
      </c>
      <c r="Q1907" s="9" t="s">
        <v>26</v>
      </c>
      <c r="R1907" s="9" t="s">
        <v>61</v>
      </c>
      <c r="S1907" s="7" t="s">
        <v>968</v>
      </c>
      <c r="T1907" s="9" t="s">
        <v>39</v>
      </c>
      <c r="U1907" s="7">
        <v>0.36</v>
      </c>
      <c r="V1907" s="12">
        <f>C1907+2</f>
        <v>40231</v>
      </c>
      <c r="W1907">
        <f>IF(D1907=' Pivot Tables'!$A$4,1,0)</f>
        <v>0</v>
      </c>
      <c r="X1907">
        <f>IF(AND(LEFT(D1907,4)+1=LEFT(' Pivot Tables'!$A$4,4)+0,RIGHT(LEFT(D1907,7),2)=RIGHT(LEFT(' Pivot Tables'!$A$4,7),2)),1,0)</f>
        <v>0</v>
      </c>
      <c r="Y1907" s="6">
        <f>1/COUNTIF(Таблица1[Order ID],Таблица1[[#This Row],[Order ID]])</f>
        <v>1</v>
      </c>
      <c r="Z1907" s="9">
        <f>1/COUNTIFS(Таблица1[Customer Name],Таблица1[[#This Row],[Customer Name]],Таблица1[Order-Year-Month],Таблица1[[#This Row],[Order-Year-Month]])</f>
        <v>1</v>
      </c>
    </row>
    <row r="1908" spans="1:26" x14ac:dyDescent="0.2">
      <c r="A1908" s="6">
        <v>5878</v>
      </c>
      <c r="B1908" s="7">
        <v>41702</v>
      </c>
      <c r="C1908" s="8">
        <f>DATE(2012,12,31)-740</f>
        <v>40534</v>
      </c>
      <c r="D1908" s="8" t="str">
        <f t="shared" si="37"/>
        <v>2010-12 (декабрь 2010)</v>
      </c>
      <c r="E1908" s="9" t="s">
        <v>45</v>
      </c>
      <c r="F1908" s="7">
        <v>21</v>
      </c>
      <c r="G1908" s="7">
        <v>3323.44</v>
      </c>
      <c r="H1908" s="7">
        <v>0.03</v>
      </c>
      <c r="I1908" s="9" t="s">
        <v>22</v>
      </c>
      <c r="J1908" s="10">
        <v>99.879999999999939</v>
      </c>
      <c r="K1908" s="11">
        <v>152.47999999999999</v>
      </c>
      <c r="L1908" s="11">
        <v>4</v>
      </c>
      <c r="M1908" s="9" t="s">
        <v>1227</v>
      </c>
      <c r="N1908" s="6" t="s">
        <v>1123</v>
      </c>
      <c r="O1908" s="6" t="s">
        <v>1123</v>
      </c>
      <c r="P1908" s="9" t="s">
        <v>41</v>
      </c>
      <c r="Q1908" s="9" t="s">
        <v>42</v>
      </c>
      <c r="R1908" s="9" t="s">
        <v>70</v>
      </c>
      <c r="S1908" s="7" t="s">
        <v>844</v>
      </c>
      <c r="T1908" s="9" t="s">
        <v>39</v>
      </c>
      <c r="U1908" s="7">
        <v>0.79</v>
      </c>
      <c r="V1908" s="12">
        <f>C1908+1</f>
        <v>40535</v>
      </c>
      <c r="W1908">
        <f>IF(D1908=' Pivot Tables'!$A$4,1,0)</f>
        <v>0</v>
      </c>
      <c r="X1908">
        <f>IF(AND(LEFT(D1908,4)+1=LEFT(' Pivot Tables'!$A$4,4)+0,RIGHT(LEFT(D1908,7),2)=RIGHT(LEFT(' Pivot Tables'!$A$4,7),2)),1,0)</f>
        <v>0</v>
      </c>
      <c r="Y1908" s="6">
        <f>1/COUNTIF(Таблица1[Order ID],Таблица1[[#This Row],[Order ID]])</f>
        <v>0.5</v>
      </c>
      <c r="Z1908" s="9">
        <f>1/COUNTIFS(Таблица1[Customer Name],Таблица1[[#This Row],[Customer Name]],Таблица1[Order-Year-Month],Таблица1[[#This Row],[Order-Year-Month]])</f>
        <v>0.5</v>
      </c>
    </row>
    <row r="1909" spans="1:26" x14ac:dyDescent="0.2">
      <c r="A1909" s="6">
        <v>5879</v>
      </c>
      <c r="B1909" s="7">
        <v>41702</v>
      </c>
      <c r="C1909" s="8">
        <f>DATE(2012,12,31)-740</f>
        <v>40534</v>
      </c>
      <c r="D1909" s="8" t="str">
        <f t="shared" si="37"/>
        <v>2010-12 (декабрь 2010)</v>
      </c>
      <c r="E1909" s="9" t="s">
        <v>45</v>
      </c>
      <c r="F1909" s="7">
        <v>5</v>
      </c>
      <c r="G1909" s="7">
        <v>27.9</v>
      </c>
      <c r="H1909" s="7">
        <v>0.02</v>
      </c>
      <c r="I1909" s="9" t="s">
        <v>22</v>
      </c>
      <c r="J1909" s="10">
        <v>-22.82</v>
      </c>
      <c r="K1909" s="11">
        <v>4.28</v>
      </c>
      <c r="L1909" s="11">
        <v>6.72</v>
      </c>
      <c r="M1909" s="9" t="s">
        <v>1227</v>
      </c>
      <c r="N1909" s="6" t="s">
        <v>1123</v>
      </c>
      <c r="O1909" s="6" t="s">
        <v>1123</v>
      </c>
      <c r="P1909" s="9" t="s">
        <v>41</v>
      </c>
      <c r="Q1909" s="9" t="s">
        <v>26</v>
      </c>
      <c r="R1909" s="9" t="s">
        <v>61</v>
      </c>
      <c r="S1909" s="7" t="s">
        <v>1007</v>
      </c>
      <c r="T1909" s="9" t="s">
        <v>39</v>
      </c>
      <c r="U1909" s="7">
        <v>0.4</v>
      </c>
      <c r="V1909" s="12">
        <f>C1909+2</f>
        <v>40536</v>
      </c>
      <c r="W1909">
        <f>IF(D1909=' Pivot Tables'!$A$4,1,0)</f>
        <v>0</v>
      </c>
      <c r="X1909">
        <f>IF(AND(LEFT(D1909,4)+1=LEFT(' Pivot Tables'!$A$4,4)+0,RIGHT(LEFT(D1909,7),2)=RIGHT(LEFT(' Pivot Tables'!$A$4,7),2)),1,0)</f>
        <v>0</v>
      </c>
      <c r="Y1909" s="6">
        <f>1/COUNTIF(Таблица1[Order ID],Таблица1[[#This Row],[Order ID]])</f>
        <v>0.5</v>
      </c>
      <c r="Z1909" s="9">
        <f>1/COUNTIFS(Таблица1[Customer Name],Таблица1[[#This Row],[Customer Name]],Таблица1[Order-Year-Month],Таблица1[[#This Row],[Order-Year-Month]])</f>
        <v>0.5</v>
      </c>
    </row>
    <row r="1910" spans="1:26" x14ac:dyDescent="0.2">
      <c r="A1910" s="6">
        <v>6317</v>
      </c>
      <c r="B1910" s="7">
        <v>44706</v>
      </c>
      <c r="C1910" s="8">
        <f>DATE(2012,12,31)-1007</f>
        <v>40267</v>
      </c>
      <c r="D1910" s="8" t="str">
        <f t="shared" si="37"/>
        <v>2010-03 (март 2010)</v>
      </c>
      <c r="E1910" s="9" t="s">
        <v>21</v>
      </c>
      <c r="F1910" s="7">
        <v>18</v>
      </c>
      <c r="G1910" s="7">
        <v>7556.61</v>
      </c>
      <c r="H1910" s="7">
        <v>0.08</v>
      </c>
      <c r="I1910" s="9" t="s">
        <v>31</v>
      </c>
      <c r="J1910" s="10">
        <v>-352.24200000000002</v>
      </c>
      <c r="K1910" s="11">
        <v>424.21</v>
      </c>
      <c r="L1910" s="11">
        <v>110.2</v>
      </c>
      <c r="M1910" s="9" t="s">
        <v>1203</v>
      </c>
      <c r="N1910" s="6" t="s">
        <v>1123</v>
      </c>
      <c r="O1910" s="6" t="s">
        <v>1123</v>
      </c>
      <c r="P1910" s="9" t="s">
        <v>41</v>
      </c>
      <c r="Q1910" s="9" t="s">
        <v>49</v>
      </c>
      <c r="R1910" s="9" t="s">
        <v>83</v>
      </c>
      <c r="S1910" s="7" t="s">
        <v>839</v>
      </c>
      <c r="T1910" s="9" t="s">
        <v>82</v>
      </c>
      <c r="U1910" s="7">
        <v>0.67</v>
      </c>
      <c r="V1910" s="12">
        <f>C1910+2</f>
        <v>40269</v>
      </c>
      <c r="W1910">
        <f>IF(D1910=' Pivot Tables'!$A$4,1,0)</f>
        <v>0</v>
      </c>
      <c r="X1910">
        <f>IF(AND(LEFT(D1910,4)+1=LEFT(' Pivot Tables'!$A$4,4)+0,RIGHT(LEFT(D1910,7),2)=RIGHT(LEFT(' Pivot Tables'!$A$4,7),2)),1,0)</f>
        <v>0</v>
      </c>
      <c r="Y1910" s="6">
        <f>1/COUNTIF(Таблица1[Order ID],Таблица1[[#This Row],[Order ID]])</f>
        <v>0.5</v>
      </c>
      <c r="Z1910" s="9">
        <f>1/COUNTIFS(Таблица1[Customer Name],Таблица1[[#This Row],[Customer Name]],Таблица1[Order-Year-Month],Таблица1[[#This Row],[Order-Year-Month]])</f>
        <v>0.5</v>
      </c>
    </row>
    <row r="1911" spans="1:26" x14ac:dyDescent="0.2">
      <c r="A1911" s="6">
        <v>6318</v>
      </c>
      <c r="B1911" s="7">
        <v>44706</v>
      </c>
      <c r="C1911" s="8">
        <f>DATE(2012,12,31)-1007</f>
        <v>40267</v>
      </c>
      <c r="D1911" s="8" t="str">
        <f t="shared" si="37"/>
        <v>2010-03 (март 2010)</v>
      </c>
      <c r="E1911" s="9" t="s">
        <v>21</v>
      </c>
      <c r="F1911" s="7">
        <v>33</v>
      </c>
      <c r="G1911" s="7">
        <v>47.48</v>
      </c>
      <c r="H1911" s="7">
        <v>7.0000000000000007E-2</v>
      </c>
      <c r="I1911" s="9" t="s">
        <v>22</v>
      </c>
      <c r="J1911" s="10">
        <v>3.35</v>
      </c>
      <c r="K1911" s="11">
        <v>1.48</v>
      </c>
      <c r="L1911" s="11">
        <v>0.7</v>
      </c>
      <c r="M1911" s="9" t="s">
        <v>1203</v>
      </c>
      <c r="N1911" s="6" t="s">
        <v>1123</v>
      </c>
      <c r="O1911" s="6" t="s">
        <v>1123</v>
      </c>
      <c r="P1911" s="9" t="s">
        <v>41</v>
      </c>
      <c r="Q1911" s="9" t="s">
        <v>26</v>
      </c>
      <c r="R1911" s="9" t="s">
        <v>66</v>
      </c>
      <c r="S1911" s="7" t="s">
        <v>623</v>
      </c>
      <c r="T1911" s="9" t="s">
        <v>68</v>
      </c>
      <c r="U1911" s="7">
        <v>0.37</v>
      </c>
      <c r="V1911" s="12">
        <f>C1911+5</f>
        <v>40272</v>
      </c>
      <c r="W1911">
        <f>IF(D1911=' Pivot Tables'!$A$4,1,0)</f>
        <v>0</v>
      </c>
      <c r="X1911">
        <f>IF(AND(LEFT(D1911,4)+1=LEFT(' Pivot Tables'!$A$4,4)+0,RIGHT(LEFT(D1911,7),2)=RIGHT(LEFT(' Pivot Tables'!$A$4,7),2)),1,0)</f>
        <v>0</v>
      </c>
      <c r="Y1911" s="6">
        <f>1/COUNTIF(Таблица1[Order ID],Таблица1[[#This Row],[Order ID]])</f>
        <v>0.5</v>
      </c>
      <c r="Z1911" s="9">
        <f>1/COUNTIFS(Таблица1[Customer Name],Таблица1[[#This Row],[Customer Name]],Таблица1[Order-Year-Month],Таблица1[[#This Row],[Order-Year-Month]])</f>
        <v>0.5</v>
      </c>
    </row>
    <row r="1912" spans="1:26" x14ac:dyDescent="0.2">
      <c r="A1912" s="6">
        <v>6383</v>
      </c>
      <c r="B1912" s="7">
        <v>45347</v>
      </c>
      <c r="C1912" s="8">
        <f>DATE(2012,12,31)-824</f>
        <v>40450</v>
      </c>
      <c r="D1912" s="8" t="str">
        <f t="shared" si="37"/>
        <v>2010-09 (сентябрь 2010)</v>
      </c>
      <c r="E1912" s="9" t="s">
        <v>63</v>
      </c>
      <c r="F1912" s="7">
        <v>10</v>
      </c>
      <c r="G1912" s="7">
        <v>8704.08</v>
      </c>
      <c r="H1912" s="7">
        <v>0.05</v>
      </c>
      <c r="I1912" s="9" t="s">
        <v>31</v>
      </c>
      <c r="J1912" s="10">
        <v>1034.54</v>
      </c>
      <c r="K1912" s="11">
        <v>880.98</v>
      </c>
      <c r="L1912" s="11">
        <v>44.55</v>
      </c>
      <c r="M1912" s="9" t="s">
        <v>1203</v>
      </c>
      <c r="N1912" s="6" t="s">
        <v>1123</v>
      </c>
      <c r="O1912" s="6" t="s">
        <v>1123</v>
      </c>
      <c r="P1912" s="9" t="s">
        <v>41</v>
      </c>
      <c r="Q1912" s="9" t="s">
        <v>49</v>
      </c>
      <c r="R1912" s="9" t="s">
        <v>80</v>
      </c>
      <c r="S1912" s="7" t="s">
        <v>301</v>
      </c>
      <c r="T1912" s="9" t="s">
        <v>82</v>
      </c>
      <c r="U1912" s="7">
        <v>0.62</v>
      </c>
      <c r="V1912" s="12">
        <f>C1912+1</f>
        <v>40451</v>
      </c>
      <c r="W1912">
        <f>IF(D1912=' Pivot Tables'!$A$4,1,0)</f>
        <v>0</v>
      </c>
      <c r="X1912">
        <f>IF(AND(LEFT(D1912,4)+1=LEFT(' Pivot Tables'!$A$4,4)+0,RIGHT(LEFT(D1912,7),2)=RIGHT(LEFT(' Pivot Tables'!$A$4,7),2)),1,0)</f>
        <v>0</v>
      </c>
      <c r="Y1912" s="6">
        <f>1/COUNTIF(Таблица1[Order ID],Таблица1[[#This Row],[Order ID]])</f>
        <v>0.5</v>
      </c>
      <c r="Z1912" s="9">
        <f>1/COUNTIFS(Таблица1[Customer Name],Таблица1[[#This Row],[Customer Name]],Таблица1[Order-Year-Month],Таблица1[[#This Row],[Order-Year-Month]])</f>
        <v>0.5</v>
      </c>
    </row>
    <row r="1913" spans="1:26" x14ac:dyDescent="0.2">
      <c r="A1913" s="6">
        <v>6384</v>
      </c>
      <c r="B1913" s="7">
        <v>45347</v>
      </c>
      <c r="C1913" s="8">
        <f>DATE(2012,12,31)-824</f>
        <v>40450</v>
      </c>
      <c r="D1913" s="8" t="str">
        <f t="shared" si="37"/>
        <v>2010-09 (сентябрь 2010)</v>
      </c>
      <c r="E1913" s="9" t="s">
        <v>63</v>
      </c>
      <c r="F1913" s="7">
        <v>41</v>
      </c>
      <c r="G1913" s="7">
        <v>24051.49</v>
      </c>
      <c r="H1913" s="7">
        <v>7.0000000000000007E-2</v>
      </c>
      <c r="I1913" s="9" t="s">
        <v>56</v>
      </c>
      <c r="J1913" s="10">
        <v>9791.0410000000011</v>
      </c>
      <c r="K1913" s="11">
        <v>599.99</v>
      </c>
      <c r="L1913" s="11">
        <v>24.49</v>
      </c>
      <c r="M1913" s="9" t="s">
        <v>1203</v>
      </c>
      <c r="N1913" s="6" t="s">
        <v>1123</v>
      </c>
      <c r="O1913" s="6" t="s">
        <v>1123</v>
      </c>
      <c r="P1913" s="9" t="s">
        <v>41</v>
      </c>
      <c r="Q1913" s="9" t="s">
        <v>42</v>
      </c>
      <c r="R1913" s="9" t="s">
        <v>99</v>
      </c>
      <c r="S1913" s="7" t="s">
        <v>1004</v>
      </c>
      <c r="T1913" s="9" t="s">
        <v>29</v>
      </c>
      <c r="U1913" s="7">
        <v>0.37</v>
      </c>
      <c r="V1913" s="12">
        <f>C1913+2</f>
        <v>40452</v>
      </c>
      <c r="W1913">
        <f>IF(D1913=' Pivot Tables'!$A$4,1,0)</f>
        <v>0</v>
      </c>
      <c r="X1913">
        <f>IF(AND(LEFT(D1913,4)+1=LEFT(' Pivot Tables'!$A$4,4)+0,RIGHT(LEFT(D1913,7),2)=RIGHT(LEFT(' Pivot Tables'!$A$4,7),2)),1,0)</f>
        <v>0</v>
      </c>
      <c r="Y1913" s="6">
        <f>1/COUNTIF(Таблица1[Order ID],Таблица1[[#This Row],[Order ID]])</f>
        <v>0.5</v>
      </c>
      <c r="Z1913" s="9">
        <f>1/COUNTIFS(Таблица1[Customer Name],Таблица1[[#This Row],[Customer Name]],Таблица1[Order-Year-Month],Таблица1[[#This Row],[Order-Year-Month]])</f>
        <v>0.5</v>
      </c>
    </row>
    <row r="1914" spans="1:26" x14ac:dyDescent="0.2">
      <c r="A1914" s="6">
        <v>6559</v>
      </c>
      <c r="B1914" s="7">
        <v>46627</v>
      </c>
      <c r="C1914" s="8">
        <f>DATE(2012,12,31)-1299</f>
        <v>39975</v>
      </c>
      <c r="D1914" s="8" t="str">
        <f t="shared" si="37"/>
        <v>2009-06 (июнь 2009)</v>
      </c>
      <c r="E1914" s="9" t="s">
        <v>78</v>
      </c>
      <c r="F1914" s="7">
        <v>3</v>
      </c>
      <c r="G1914" s="7">
        <v>21.46</v>
      </c>
      <c r="H1914" s="7">
        <v>0.05</v>
      </c>
      <c r="I1914" s="9" t="s">
        <v>22</v>
      </c>
      <c r="J1914" s="10">
        <v>-14.22</v>
      </c>
      <c r="K1914" s="11">
        <v>5.28</v>
      </c>
      <c r="L1914" s="11">
        <v>6.26</v>
      </c>
      <c r="M1914" s="9" t="s">
        <v>1228</v>
      </c>
      <c r="N1914" s="6" t="s">
        <v>1123</v>
      </c>
      <c r="O1914" s="6" t="s">
        <v>1123</v>
      </c>
      <c r="P1914" s="9" t="s">
        <v>60</v>
      </c>
      <c r="Q1914" s="9" t="s">
        <v>26</v>
      </c>
      <c r="R1914" s="9" t="s">
        <v>61</v>
      </c>
      <c r="S1914" s="7" t="s">
        <v>580</v>
      </c>
      <c r="T1914" s="9" t="s">
        <v>39</v>
      </c>
      <c r="U1914" s="7">
        <v>0.4</v>
      </c>
      <c r="V1914" s="12">
        <f>C1914+1</f>
        <v>39976</v>
      </c>
      <c r="W1914">
        <f>IF(D1914=' Pivot Tables'!$A$4,1,0)</f>
        <v>0</v>
      </c>
      <c r="X1914">
        <f>IF(AND(LEFT(D1914,4)+1=LEFT(' Pivot Tables'!$A$4,4)+0,RIGHT(LEFT(D1914,7),2)=RIGHT(LEFT(' Pivot Tables'!$A$4,7),2)),1,0)</f>
        <v>0</v>
      </c>
      <c r="Y1914" s="6">
        <f>1/COUNTIF(Таблица1[Order ID],Таблица1[[#This Row],[Order ID]])</f>
        <v>0.5</v>
      </c>
      <c r="Z1914" s="9">
        <f>1/COUNTIFS(Таблица1[Customer Name],Таблица1[[#This Row],[Customer Name]],Таблица1[Order-Year-Month],Таблица1[[#This Row],[Order-Year-Month]])</f>
        <v>0.5</v>
      </c>
    </row>
    <row r="1915" spans="1:26" x14ac:dyDescent="0.2">
      <c r="A1915" s="6">
        <v>6560</v>
      </c>
      <c r="B1915" s="7">
        <v>46627</v>
      </c>
      <c r="C1915" s="8">
        <f>DATE(2012,12,31)-1299</f>
        <v>39975</v>
      </c>
      <c r="D1915" s="8" t="str">
        <f t="shared" si="37"/>
        <v>2009-06 (июнь 2009)</v>
      </c>
      <c r="E1915" s="9" t="s">
        <v>78</v>
      </c>
      <c r="F1915" s="7">
        <v>24</v>
      </c>
      <c r="G1915" s="7">
        <v>1388.6279999999999</v>
      </c>
      <c r="H1915" s="7">
        <v>0.03</v>
      </c>
      <c r="I1915" s="9" t="s">
        <v>22</v>
      </c>
      <c r="J1915" s="10">
        <v>261.52199999999999</v>
      </c>
      <c r="K1915" s="11">
        <v>65.989999999999995</v>
      </c>
      <c r="L1915" s="11">
        <v>5.26</v>
      </c>
      <c r="M1915" s="9" t="s">
        <v>1228</v>
      </c>
      <c r="N1915" s="6" t="s">
        <v>1123</v>
      </c>
      <c r="O1915" s="6" t="s">
        <v>1123</v>
      </c>
      <c r="P1915" s="9" t="s">
        <v>60</v>
      </c>
      <c r="Q1915" s="9" t="s">
        <v>42</v>
      </c>
      <c r="R1915" s="9" t="s">
        <v>43</v>
      </c>
      <c r="S1915" s="7" t="s">
        <v>390</v>
      </c>
      <c r="T1915" s="9" t="s">
        <v>39</v>
      </c>
      <c r="U1915" s="7">
        <v>0.56000000000000005</v>
      </c>
      <c r="V1915" s="12">
        <f>C1915+1</f>
        <v>39976</v>
      </c>
      <c r="W1915">
        <f>IF(D1915=' Pivot Tables'!$A$4,1,0)</f>
        <v>0</v>
      </c>
      <c r="X1915">
        <f>IF(AND(LEFT(D1915,4)+1=LEFT(' Pivot Tables'!$A$4,4)+0,RIGHT(LEFT(D1915,7),2)=RIGHT(LEFT(' Pivot Tables'!$A$4,7),2)),1,0)</f>
        <v>0</v>
      </c>
      <c r="Y1915" s="6">
        <f>1/COUNTIF(Таблица1[Order ID],Таблица1[[#This Row],[Order ID]])</f>
        <v>0.5</v>
      </c>
      <c r="Z1915" s="9">
        <f>1/COUNTIFS(Таблица1[Customer Name],Таблица1[[#This Row],[Customer Name]],Таблица1[Order-Year-Month],Таблица1[[#This Row],[Order-Year-Month]])</f>
        <v>0.5</v>
      </c>
    </row>
    <row r="1916" spans="1:26" x14ac:dyDescent="0.2">
      <c r="A1916" s="6">
        <v>6628</v>
      </c>
      <c r="B1916" s="7">
        <v>47168</v>
      </c>
      <c r="C1916" s="8">
        <f>DATE(2012,12,31)-1289</f>
        <v>39985</v>
      </c>
      <c r="D1916" s="8" t="str">
        <f t="shared" si="37"/>
        <v>2009-06 (июнь 2009)</v>
      </c>
      <c r="E1916" s="9" t="s">
        <v>45</v>
      </c>
      <c r="F1916" s="7">
        <v>24</v>
      </c>
      <c r="G1916" s="7">
        <v>2920.83</v>
      </c>
      <c r="H1916" s="7">
        <v>0.02</v>
      </c>
      <c r="I1916" s="9" t="s">
        <v>31</v>
      </c>
      <c r="J1916" s="10">
        <v>1068.1600000000001</v>
      </c>
      <c r="K1916" s="11">
        <v>119.99</v>
      </c>
      <c r="L1916" s="11">
        <v>14</v>
      </c>
      <c r="M1916" s="9" t="s">
        <v>1227</v>
      </c>
      <c r="N1916" s="6" t="s">
        <v>1123</v>
      </c>
      <c r="O1916" s="6" t="s">
        <v>1123</v>
      </c>
      <c r="P1916" s="9" t="s">
        <v>41</v>
      </c>
      <c r="Q1916" s="9" t="s">
        <v>42</v>
      </c>
      <c r="R1916" s="9" t="s">
        <v>210</v>
      </c>
      <c r="S1916" s="7" t="s">
        <v>1095</v>
      </c>
      <c r="T1916" s="9" t="s">
        <v>36</v>
      </c>
      <c r="U1916" s="7">
        <v>0.36</v>
      </c>
      <c r="V1916" s="12">
        <f>C1916+1</f>
        <v>39986</v>
      </c>
      <c r="W1916">
        <f>IF(D1916=' Pivot Tables'!$A$4,1,0)</f>
        <v>0</v>
      </c>
      <c r="X1916">
        <f>IF(AND(LEFT(D1916,4)+1=LEFT(' Pivot Tables'!$A$4,4)+0,RIGHT(LEFT(D1916,7),2)=RIGHT(LEFT(' Pivot Tables'!$A$4,7),2)),1,0)</f>
        <v>0</v>
      </c>
      <c r="Y1916" s="6">
        <f>1/COUNTIF(Таблица1[Order ID],Таблица1[[#This Row],[Order ID]])</f>
        <v>0.5</v>
      </c>
      <c r="Z1916" s="9">
        <f>1/COUNTIFS(Таблица1[Customer Name],Таблица1[[#This Row],[Customer Name]],Таблица1[Order-Year-Month],Таблица1[[#This Row],[Order-Year-Month]])</f>
        <v>0.5</v>
      </c>
    </row>
    <row r="1917" spans="1:26" x14ac:dyDescent="0.2">
      <c r="A1917" s="6">
        <v>6629</v>
      </c>
      <c r="B1917" s="7">
        <v>47168</v>
      </c>
      <c r="C1917" s="8">
        <f>DATE(2012,12,31)-1289</f>
        <v>39985</v>
      </c>
      <c r="D1917" s="8" t="str">
        <f t="shared" si="37"/>
        <v>2009-06 (июнь 2009)</v>
      </c>
      <c r="E1917" s="9" t="s">
        <v>45</v>
      </c>
      <c r="F1917" s="7">
        <v>42</v>
      </c>
      <c r="G1917" s="7">
        <v>262.3</v>
      </c>
      <c r="H1917" s="7">
        <v>0.09</v>
      </c>
      <c r="I1917" s="9" t="s">
        <v>22</v>
      </c>
      <c r="J1917" s="10">
        <v>-255.2</v>
      </c>
      <c r="K1917" s="11">
        <v>6.48</v>
      </c>
      <c r="L1917" s="11">
        <v>9.68</v>
      </c>
      <c r="M1917" s="9" t="s">
        <v>1227</v>
      </c>
      <c r="N1917" s="6" t="s">
        <v>1123</v>
      </c>
      <c r="O1917" s="6" t="s">
        <v>1123</v>
      </c>
      <c r="P1917" s="9" t="s">
        <v>41</v>
      </c>
      <c r="Q1917" s="9" t="s">
        <v>26</v>
      </c>
      <c r="R1917" s="9" t="s">
        <v>61</v>
      </c>
      <c r="S1917" s="7" t="s">
        <v>766</v>
      </c>
      <c r="T1917" s="9" t="s">
        <v>39</v>
      </c>
      <c r="U1917" s="7">
        <v>0.36</v>
      </c>
      <c r="V1917" s="12">
        <f>C1917+1</f>
        <v>39986</v>
      </c>
      <c r="W1917">
        <f>IF(D1917=' Pivot Tables'!$A$4,1,0)</f>
        <v>0</v>
      </c>
      <c r="X1917">
        <f>IF(AND(LEFT(D1917,4)+1=LEFT(' Pivot Tables'!$A$4,4)+0,RIGHT(LEFT(D1917,7),2)=RIGHT(LEFT(' Pivot Tables'!$A$4,7),2)),1,0)</f>
        <v>0</v>
      </c>
      <c r="Y1917" s="6">
        <f>1/COUNTIF(Таблица1[Order ID],Таблица1[[#This Row],[Order ID]])</f>
        <v>0.5</v>
      </c>
      <c r="Z1917" s="9">
        <f>1/COUNTIFS(Таблица1[Customer Name],Таблица1[[#This Row],[Customer Name]],Таблица1[Order-Year-Month],Таблица1[[#This Row],[Order-Year-Month]])</f>
        <v>0.5</v>
      </c>
    </row>
    <row r="1918" spans="1:26" x14ac:dyDescent="0.2">
      <c r="A1918" s="6">
        <v>7011</v>
      </c>
      <c r="B1918" s="7">
        <v>50051</v>
      </c>
      <c r="C1918" s="8">
        <f>DATE(2012,12,31)-1184</f>
        <v>40090</v>
      </c>
      <c r="D1918" s="8" t="str">
        <f t="shared" si="37"/>
        <v>2009-10 (октябрь 2009)</v>
      </c>
      <c r="E1918" s="9" t="s">
        <v>63</v>
      </c>
      <c r="F1918" s="7">
        <v>17</v>
      </c>
      <c r="G1918" s="7">
        <v>103.72</v>
      </c>
      <c r="H1918" s="7">
        <v>0.02</v>
      </c>
      <c r="I1918" s="9" t="s">
        <v>22</v>
      </c>
      <c r="J1918" s="10">
        <v>-72.058999999999997</v>
      </c>
      <c r="K1918" s="11">
        <v>5.53</v>
      </c>
      <c r="L1918" s="11">
        <v>6.98</v>
      </c>
      <c r="M1918" s="9" t="s">
        <v>1229</v>
      </c>
      <c r="N1918" s="6" t="s">
        <v>1123</v>
      </c>
      <c r="O1918" s="6" t="s">
        <v>1123</v>
      </c>
      <c r="P1918" s="9" t="s">
        <v>41</v>
      </c>
      <c r="Q1918" s="9" t="s">
        <v>26</v>
      </c>
      <c r="R1918" s="9" t="s">
        <v>37</v>
      </c>
      <c r="S1918" s="7" t="s">
        <v>667</v>
      </c>
      <c r="T1918" s="9" t="s">
        <v>39</v>
      </c>
      <c r="U1918" s="7">
        <v>0.39</v>
      </c>
      <c r="V1918" s="12">
        <f>C1918+2</f>
        <v>40092</v>
      </c>
      <c r="W1918">
        <f>IF(D1918=' Pivot Tables'!$A$4,1,0)</f>
        <v>0</v>
      </c>
      <c r="X1918">
        <f>IF(AND(LEFT(D1918,4)+1=LEFT(' Pivot Tables'!$A$4,4)+0,RIGHT(LEFT(D1918,7),2)=RIGHT(LEFT(' Pivot Tables'!$A$4,7),2)),1,0)</f>
        <v>0</v>
      </c>
      <c r="Y1918" s="6">
        <f>1/COUNTIF(Таблица1[Order ID],Таблица1[[#This Row],[Order ID]])</f>
        <v>0.33333333333333331</v>
      </c>
      <c r="Z1918" s="9">
        <f>1/COUNTIFS(Таблица1[Customer Name],Таблица1[[#This Row],[Customer Name]],Таблица1[Order-Year-Month],Таблица1[[#This Row],[Order-Year-Month]])</f>
        <v>0.33333333333333331</v>
      </c>
    </row>
    <row r="1919" spans="1:26" x14ac:dyDescent="0.2">
      <c r="A1919" s="6">
        <v>7012</v>
      </c>
      <c r="B1919" s="7">
        <v>50051</v>
      </c>
      <c r="C1919" s="8">
        <f>DATE(2012,12,31)-1184</f>
        <v>40090</v>
      </c>
      <c r="D1919" s="8" t="str">
        <f t="shared" si="37"/>
        <v>2009-10 (октябрь 2009)</v>
      </c>
      <c r="E1919" s="9" t="s">
        <v>63</v>
      </c>
      <c r="F1919" s="7">
        <v>4</v>
      </c>
      <c r="G1919" s="7">
        <v>185.15</v>
      </c>
      <c r="H1919" s="7">
        <v>0.09</v>
      </c>
      <c r="I1919" s="9" t="s">
        <v>22</v>
      </c>
      <c r="J1919" s="10">
        <v>10.199999999999999</v>
      </c>
      <c r="K1919" s="11">
        <v>41.47</v>
      </c>
      <c r="L1919" s="11">
        <v>34.200000000000003</v>
      </c>
      <c r="M1919" s="9" t="s">
        <v>1229</v>
      </c>
      <c r="N1919" s="6" t="s">
        <v>1123</v>
      </c>
      <c r="O1919" s="6" t="s">
        <v>1123</v>
      </c>
      <c r="P1919" s="9" t="s">
        <v>41</v>
      </c>
      <c r="Q1919" s="9" t="s">
        <v>49</v>
      </c>
      <c r="R1919" s="9" t="s">
        <v>50</v>
      </c>
      <c r="S1919" s="7" t="s">
        <v>255</v>
      </c>
      <c r="T1919" s="9" t="s">
        <v>68</v>
      </c>
      <c r="U1919" s="7">
        <v>0.73</v>
      </c>
      <c r="V1919" s="12">
        <f>C1919+2</f>
        <v>40092</v>
      </c>
      <c r="W1919">
        <f>IF(D1919=' Pivot Tables'!$A$4,1,0)</f>
        <v>0</v>
      </c>
      <c r="X1919">
        <f>IF(AND(LEFT(D1919,4)+1=LEFT(' Pivot Tables'!$A$4,4)+0,RIGHT(LEFT(D1919,7),2)=RIGHT(LEFT(' Pivot Tables'!$A$4,7),2)),1,0)</f>
        <v>0</v>
      </c>
      <c r="Y1919" s="6">
        <f>1/COUNTIF(Таблица1[Order ID],Таблица1[[#This Row],[Order ID]])</f>
        <v>0.33333333333333331</v>
      </c>
      <c r="Z1919" s="9">
        <f>1/COUNTIFS(Таблица1[Customer Name],Таблица1[[#This Row],[Customer Name]],Таблица1[Order-Year-Month],Таблица1[[#This Row],[Order-Year-Month]])</f>
        <v>0.33333333333333331</v>
      </c>
    </row>
    <row r="1920" spans="1:26" x14ac:dyDescent="0.2">
      <c r="A1920" s="6">
        <v>7068</v>
      </c>
      <c r="B1920" s="7">
        <v>50433</v>
      </c>
      <c r="C1920" s="8">
        <f>DATE(2012,12,31)-347</f>
        <v>40927</v>
      </c>
      <c r="D1920" s="8" t="str">
        <f t="shared" si="37"/>
        <v>2012-01 (январь 2012)</v>
      </c>
      <c r="E1920" s="9" t="s">
        <v>78</v>
      </c>
      <c r="F1920" s="7">
        <v>50</v>
      </c>
      <c r="G1920" s="7">
        <v>6628.55</v>
      </c>
      <c r="H1920" s="7">
        <v>0.1</v>
      </c>
      <c r="I1920" s="9" t="s">
        <v>31</v>
      </c>
      <c r="J1920" s="10">
        <v>1081.6500000000001</v>
      </c>
      <c r="K1920" s="11">
        <v>145.44999999999999</v>
      </c>
      <c r="L1920" s="11">
        <v>17.850000000000001</v>
      </c>
      <c r="M1920" s="9" t="s">
        <v>1201</v>
      </c>
      <c r="N1920" s="6" t="s">
        <v>1123</v>
      </c>
      <c r="O1920" s="6" t="s">
        <v>1123</v>
      </c>
      <c r="P1920" s="9" t="s">
        <v>60</v>
      </c>
      <c r="Q1920" s="9" t="s">
        <v>42</v>
      </c>
      <c r="R1920" s="9" t="s">
        <v>210</v>
      </c>
      <c r="S1920" s="7" t="s">
        <v>234</v>
      </c>
      <c r="T1920" s="9" t="s">
        <v>36</v>
      </c>
      <c r="U1920" s="7">
        <v>0.56000000000000005</v>
      </c>
      <c r="V1920" s="12">
        <f>C1920+2</f>
        <v>40929</v>
      </c>
      <c r="W1920">
        <f>IF(D1920=' Pivot Tables'!$A$4,1,0)</f>
        <v>0</v>
      </c>
      <c r="X1920">
        <f>IF(AND(LEFT(D1920,4)+1=LEFT(' Pivot Tables'!$A$4,4)+0,RIGHT(LEFT(D1920,7),2)=RIGHT(LEFT(' Pivot Tables'!$A$4,7),2)),1,0)</f>
        <v>0</v>
      </c>
      <c r="Y1920" s="6">
        <f>1/COUNTIF(Таблица1[Order ID],Таблица1[[#This Row],[Order ID]])</f>
        <v>1</v>
      </c>
      <c r="Z1920" s="9">
        <f>1/COUNTIFS(Таблица1[Customer Name],Таблица1[[#This Row],[Customer Name]],Таблица1[Order-Year-Month],Таблица1[[#This Row],[Order-Year-Month]])</f>
        <v>1</v>
      </c>
    </row>
    <row r="1921" spans="1:26" x14ac:dyDescent="0.2">
      <c r="A1921" s="6">
        <v>7106</v>
      </c>
      <c r="B1921" s="7">
        <v>50721</v>
      </c>
      <c r="C1921" s="8">
        <f>DATE(2012,12,31)-308</f>
        <v>40966</v>
      </c>
      <c r="D1921" s="8" t="str">
        <f t="shared" si="37"/>
        <v>2012-02 (февраль 2012)</v>
      </c>
      <c r="E1921" s="9" t="s">
        <v>30</v>
      </c>
      <c r="F1921" s="7">
        <v>33</v>
      </c>
      <c r="G1921" s="7">
        <v>9758.7000000000007</v>
      </c>
      <c r="H1921" s="7">
        <v>0.04</v>
      </c>
      <c r="I1921" s="9" t="s">
        <v>22</v>
      </c>
      <c r="J1921" s="10">
        <v>3793.7030000000004</v>
      </c>
      <c r="K1921" s="11">
        <v>304.99</v>
      </c>
      <c r="L1921" s="11">
        <v>19.989999999999998</v>
      </c>
      <c r="M1921" s="9" t="s">
        <v>1201</v>
      </c>
      <c r="N1921" s="6" t="s">
        <v>1123</v>
      </c>
      <c r="O1921" s="6" t="s">
        <v>1123</v>
      </c>
      <c r="P1921" s="9" t="s">
        <v>60</v>
      </c>
      <c r="Q1921" s="9" t="s">
        <v>26</v>
      </c>
      <c r="R1921" s="9" t="s">
        <v>37</v>
      </c>
      <c r="S1921" s="7" t="s">
        <v>1165</v>
      </c>
      <c r="T1921" s="9" t="s">
        <v>39</v>
      </c>
      <c r="U1921" s="7">
        <v>0.4</v>
      </c>
      <c r="V1921" s="12">
        <f>C1921+2</f>
        <v>40968</v>
      </c>
      <c r="W1921">
        <f>IF(D1921=' Pivot Tables'!$A$4,1,0)</f>
        <v>0</v>
      </c>
      <c r="X1921">
        <f>IF(AND(LEFT(D1921,4)+1=LEFT(' Pivot Tables'!$A$4,4)+0,RIGHT(LEFT(D1921,7),2)=RIGHT(LEFT(' Pivot Tables'!$A$4,7),2)),1,0)</f>
        <v>0</v>
      </c>
      <c r="Y1921" s="6">
        <f>1/COUNTIF(Таблица1[Order ID],Таблица1[[#This Row],[Order ID]])</f>
        <v>1</v>
      </c>
      <c r="Z1921" s="9">
        <f>1/COUNTIFS(Таблица1[Customer Name],Таблица1[[#This Row],[Customer Name]],Таблица1[Order-Year-Month],Таблица1[[#This Row],[Order-Year-Month]])</f>
        <v>1</v>
      </c>
    </row>
    <row r="1922" spans="1:26" x14ac:dyDescent="0.2">
      <c r="A1922" s="6">
        <v>7114</v>
      </c>
      <c r="B1922" s="7">
        <v>50758</v>
      </c>
      <c r="C1922" s="8">
        <f>DATE(2012,12,31)-172</f>
        <v>41102</v>
      </c>
      <c r="D1922" s="8" t="str">
        <f t="shared" si="37"/>
        <v>2012-07 (июль 2012)</v>
      </c>
      <c r="E1922" s="9" t="s">
        <v>63</v>
      </c>
      <c r="F1922" s="7">
        <v>17</v>
      </c>
      <c r="G1922" s="7">
        <v>128.5</v>
      </c>
      <c r="H1922" s="7">
        <v>0.02</v>
      </c>
      <c r="I1922" s="9" t="s">
        <v>56</v>
      </c>
      <c r="J1922" s="10">
        <v>-44.69</v>
      </c>
      <c r="K1922" s="11">
        <v>6.68</v>
      </c>
      <c r="L1922" s="11">
        <v>6.93</v>
      </c>
      <c r="M1922" s="9" t="s">
        <v>1203</v>
      </c>
      <c r="N1922" s="6" t="s">
        <v>1123</v>
      </c>
      <c r="O1922" s="6" t="s">
        <v>1123</v>
      </c>
      <c r="P1922" s="9" t="s">
        <v>41</v>
      </c>
      <c r="Q1922" s="9" t="s">
        <v>26</v>
      </c>
      <c r="R1922" s="9" t="s">
        <v>61</v>
      </c>
      <c r="S1922" s="7" t="s">
        <v>385</v>
      </c>
      <c r="T1922" s="9" t="s">
        <v>39</v>
      </c>
      <c r="U1922" s="7">
        <v>0.37</v>
      </c>
      <c r="V1922" s="12">
        <f>C1922+2</f>
        <v>41104</v>
      </c>
      <c r="W1922">
        <f>IF(D1922=' Pivot Tables'!$A$4,1,0)</f>
        <v>0</v>
      </c>
      <c r="X1922">
        <f>IF(AND(LEFT(D1922,4)+1=LEFT(' Pivot Tables'!$A$4,4)+0,RIGHT(LEFT(D1922,7),2)=RIGHT(LEFT(' Pivot Tables'!$A$4,7),2)),1,0)</f>
        <v>0</v>
      </c>
      <c r="Y1922" s="6">
        <f>1/COUNTIF(Таблица1[Order ID],Таблица1[[#This Row],[Order ID]])</f>
        <v>1</v>
      </c>
      <c r="Z1922" s="9">
        <f>1/COUNTIFS(Таблица1[Customer Name],Таблица1[[#This Row],[Customer Name]],Таблица1[Order-Year-Month],Таблица1[[#This Row],[Order-Year-Month]])</f>
        <v>1</v>
      </c>
    </row>
    <row r="1923" spans="1:26" x14ac:dyDescent="0.2">
      <c r="A1923" s="6">
        <v>7135</v>
      </c>
      <c r="B1923" s="7">
        <v>50883</v>
      </c>
      <c r="C1923" s="8">
        <f>DATE(2012,12,31)-213</f>
        <v>41061</v>
      </c>
      <c r="D1923" s="8" t="str">
        <f t="shared" ref="D1923:D1986" si="38">TEXT(C1923,"гггг-ММ (ММММ гггг)")</f>
        <v>2012-06 (июнь 2012)</v>
      </c>
      <c r="E1923" s="9" t="s">
        <v>21</v>
      </c>
      <c r="F1923" s="7">
        <v>35</v>
      </c>
      <c r="G1923" s="7">
        <v>6739.92</v>
      </c>
      <c r="H1923" s="7">
        <v>0.01</v>
      </c>
      <c r="I1923" s="9" t="s">
        <v>31</v>
      </c>
      <c r="J1923" s="10">
        <v>957.29</v>
      </c>
      <c r="K1923" s="11">
        <v>180.98</v>
      </c>
      <c r="L1923" s="11">
        <v>30</v>
      </c>
      <c r="M1923" s="9" t="s">
        <v>1200</v>
      </c>
      <c r="N1923" s="6" t="s">
        <v>1123</v>
      </c>
      <c r="O1923" s="6" t="s">
        <v>1123</v>
      </c>
      <c r="P1923" s="9" t="s">
        <v>41</v>
      </c>
      <c r="Q1923" s="9" t="s">
        <v>49</v>
      </c>
      <c r="R1923" s="9" t="s">
        <v>112</v>
      </c>
      <c r="S1923" s="7" t="s">
        <v>957</v>
      </c>
      <c r="T1923" s="9" t="s">
        <v>36</v>
      </c>
      <c r="U1923" s="7">
        <v>0.69</v>
      </c>
      <c r="V1923" s="12">
        <f>C1923+0</f>
        <v>41061</v>
      </c>
      <c r="W1923">
        <f>IF(D1923=' Pivot Tables'!$A$4,1,0)</f>
        <v>0</v>
      </c>
      <c r="X1923">
        <f>IF(AND(LEFT(D1923,4)+1=LEFT(' Pivot Tables'!$A$4,4)+0,RIGHT(LEFT(D1923,7),2)=RIGHT(LEFT(' Pivot Tables'!$A$4,7),2)),1,0)</f>
        <v>0</v>
      </c>
      <c r="Y1923" s="6">
        <f>1/COUNTIF(Таблица1[Order ID],Таблица1[[#This Row],[Order ID]])</f>
        <v>1</v>
      </c>
      <c r="Z1923" s="9">
        <f>1/COUNTIFS(Таблица1[Customer Name],Таблица1[[#This Row],[Customer Name]],Таблица1[Order-Year-Month],Таблица1[[#This Row],[Order-Year-Month]])</f>
        <v>1</v>
      </c>
    </row>
    <row r="1924" spans="1:26" x14ac:dyDescent="0.2">
      <c r="A1924" s="6">
        <v>7219</v>
      </c>
      <c r="B1924" s="7">
        <v>51524</v>
      </c>
      <c r="C1924" s="8">
        <f>DATE(2012,12,31)-1023</f>
        <v>40251</v>
      </c>
      <c r="D1924" s="8" t="str">
        <f t="shared" si="38"/>
        <v>2010-03 (март 2010)</v>
      </c>
      <c r="E1924" s="9" t="s">
        <v>63</v>
      </c>
      <c r="F1924" s="7">
        <v>16</v>
      </c>
      <c r="G1924" s="7">
        <v>2723.1</v>
      </c>
      <c r="H1924" s="7">
        <v>7.0000000000000007E-2</v>
      </c>
      <c r="I1924" s="9" t="s">
        <v>22</v>
      </c>
      <c r="J1924" s="10">
        <v>-446.31</v>
      </c>
      <c r="K1924" s="11">
        <v>167.27</v>
      </c>
      <c r="L1924" s="11">
        <v>35</v>
      </c>
      <c r="M1924" s="9" t="s">
        <v>1200</v>
      </c>
      <c r="N1924" s="6" t="s">
        <v>1123</v>
      </c>
      <c r="O1924" s="6" t="s">
        <v>1123</v>
      </c>
      <c r="P1924" s="9" t="s">
        <v>25</v>
      </c>
      <c r="Q1924" s="9" t="s">
        <v>26</v>
      </c>
      <c r="R1924" s="9" t="s">
        <v>27</v>
      </c>
      <c r="S1924" s="7" t="s">
        <v>978</v>
      </c>
      <c r="T1924" s="9" t="s">
        <v>29</v>
      </c>
      <c r="U1924" s="7">
        <v>0.85</v>
      </c>
      <c r="V1924" s="12">
        <f>C1924+1</f>
        <v>40252</v>
      </c>
      <c r="W1924">
        <f>IF(D1924=' Pivot Tables'!$A$4,1,0)</f>
        <v>0</v>
      </c>
      <c r="X1924">
        <f>IF(AND(LEFT(D1924,4)+1=LEFT(' Pivot Tables'!$A$4,4)+0,RIGHT(LEFT(D1924,7),2)=RIGHT(LEFT(' Pivot Tables'!$A$4,7),2)),1,0)</f>
        <v>0</v>
      </c>
      <c r="Y1924" s="6">
        <f>1/COUNTIF(Таблица1[Order ID],Таблица1[[#This Row],[Order ID]])</f>
        <v>0.5</v>
      </c>
      <c r="Z1924" s="9">
        <f>1/COUNTIFS(Таблица1[Customer Name],Таблица1[[#This Row],[Customer Name]],Таблица1[Order-Year-Month],Таблица1[[#This Row],[Order-Year-Month]])</f>
        <v>0.5</v>
      </c>
    </row>
    <row r="1925" spans="1:26" x14ac:dyDescent="0.2">
      <c r="A1925" s="6">
        <v>7220</v>
      </c>
      <c r="B1925" s="7">
        <v>51524</v>
      </c>
      <c r="C1925" s="8">
        <f>DATE(2012,12,31)-1023</f>
        <v>40251</v>
      </c>
      <c r="D1925" s="8" t="str">
        <f t="shared" si="38"/>
        <v>2010-03 (март 2010)</v>
      </c>
      <c r="E1925" s="9" t="s">
        <v>63</v>
      </c>
      <c r="F1925" s="7">
        <v>20</v>
      </c>
      <c r="G1925" s="7">
        <v>347.26749999999998</v>
      </c>
      <c r="H1925" s="7">
        <v>0.06</v>
      </c>
      <c r="I1925" s="9" t="s">
        <v>56</v>
      </c>
      <c r="J1925" s="10">
        <v>-71.092999999999989</v>
      </c>
      <c r="K1925" s="11">
        <v>20.99</v>
      </c>
      <c r="L1925" s="11">
        <v>0.99</v>
      </c>
      <c r="M1925" s="9" t="s">
        <v>1200</v>
      </c>
      <c r="N1925" s="6" t="s">
        <v>1123</v>
      </c>
      <c r="O1925" s="6" t="s">
        <v>1123</v>
      </c>
      <c r="P1925" s="9" t="s">
        <v>25</v>
      </c>
      <c r="Q1925" s="9" t="s">
        <v>42</v>
      </c>
      <c r="R1925" s="9" t="s">
        <v>43</v>
      </c>
      <c r="S1925" s="7" t="s">
        <v>1230</v>
      </c>
      <c r="T1925" s="9" t="s">
        <v>52</v>
      </c>
      <c r="U1925" s="7">
        <v>0.83</v>
      </c>
      <c r="V1925" s="12">
        <f>C1925+2</f>
        <v>40253</v>
      </c>
      <c r="W1925">
        <f>IF(D1925=' Pivot Tables'!$A$4,1,0)</f>
        <v>0</v>
      </c>
      <c r="X1925">
        <f>IF(AND(LEFT(D1925,4)+1=LEFT(' Pivot Tables'!$A$4,4)+0,RIGHT(LEFT(D1925,7),2)=RIGHT(LEFT(' Pivot Tables'!$A$4,7),2)),1,0)</f>
        <v>0</v>
      </c>
      <c r="Y1925" s="6">
        <f>1/COUNTIF(Таблица1[Order ID],Таблица1[[#This Row],[Order ID]])</f>
        <v>0.5</v>
      </c>
      <c r="Z1925" s="9">
        <f>1/COUNTIFS(Таблица1[Customer Name],Таблица1[[#This Row],[Customer Name]],Таблица1[Order-Year-Month],Таблица1[[#This Row],[Order-Year-Month]])</f>
        <v>0.5</v>
      </c>
    </row>
    <row r="1926" spans="1:26" x14ac:dyDescent="0.2">
      <c r="A1926" s="6">
        <v>7345</v>
      </c>
      <c r="B1926" s="7">
        <v>52322</v>
      </c>
      <c r="C1926" s="8">
        <f>DATE(2012,12,31)-1063</f>
        <v>40211</v>
      </c>
      <c r="D1926" s="8" t="str">
        <f t="shared" si="38"/>
        <v>2010-02 (февраль 2010)</v>
      </c>
      <c r="E1926" s="9" t="s">
        <v>21</v>
      </c>
      <c r="F1926" s="7">
        <v>1</v>
      </c>
      <c r="G1926" s="7">
        <v>5.7</v>
      </c>
      <c r="H1926" s="7">
        <v>0.1</v>
      </c>
      <c r="I1926" s="9" t="s">
        <v>22</v>
      </c>
      <c r="J1926" s="10">
        <v>-2.34</v>
      </c>
      <c r="K1926" s="11">
        <v>3.95</v>
      </c>
      <c r="L1926" s="11">
        <v>2</v>
      </c>
      <c r="M1926" s="9" t="s">
        <v>1204</v>
      </c>
      <c r="N1926" s="6" t="s">
        <v>1123</v>
      </c>
      <c r="O1926" s="6" t="s">
        <v>1123</v>
      </c>
      <c r="P1926" s="9" t="s">
        <v>33</v>
      </c>
      <c r="Q1926" s="9" t="s">
        <v>26</v>
      </c>
      <c r="R1926" s="9" t="s">
        <v>66</v>
      </c>
      <c r="S1926" s="7" t="s">
        <v>67</v>
      </c>
      <c r="T1926" s="9" t="s">
        <v>68</v>
      </c>
      <c r="U1926" s="7">
        <v>0.53</v>
      </c>
      <c r="V1926" s="12">
        <f>C1926+7</f>
        <v>40218</v>
      </c>
      <c r="W1926">
        <f>IF(D1926=' Pivot Tables'!$A$4,1,0)</f>
        <v>0</v>
      </c>
      <c r="X1926">
        <f>IF(AND(LEFT(D1926,4)+1=LEFT(' Pivot Tables'!$A$4,4)+0,RIGHT(LEFT(D1926,7),2)=RIGHT(LEFT(' Pivot Tables'!$A$4,7),2)),1,0)</f>
        <v>0</v>
      </c>
      <c r="Y1926" s="6">
        <f>1/COUNTIF(Таблица1[Order ID],Таблица1[[#This Row],[Order ID]])</f>
        <v>1</v>
      </c>
      <c r="Z1926" s="9">
        <f>1/COUNTIFS(Таблица1[Customer Name],Таблица1[[#This Row],[Customer Name]],Таблица1[Order-Year-Month],Таблица1[[#This Row],[Order-Year-Month]])</f>
        <v>1</v>
      </c>
    </row>
    <row r="1927" spans="1:26" x14ac:dyDescent="0.2">
      <c r="A1927" s="6">
        <v>7427</v>
      </c>
      <c r="B1927" s="7">
        <v>52932</v>
      </c>
      <c r="C1927" s="8">
        <f>DATE(2012,12,31)-233</f>
        <v>41041</v>
      </c>
      <c r="D1927" s="8" t="str">
        <f t="shared" si="38"/>
        <v>2012-05 (май 2012)</v>
      </c>
      <c r="E1927" s="9" t="s">
        <v>21</v>
      </c>
      <c r="F1927" s="7">
        <v>3</v>
      </c>
      <c r="G1927" s="7">
        <v>26.23</v>
      </c>
      <c r="H1927" s="7">
        <v>0</v>
      </c>
      <c r="I1927" s="9" t="s">
        <v>22</v>
      </c>
      <c r="J1927" s="10">
        <v>-13.72</v>
      </c>
      <c r="K1927" s="11">
        <v>6.48</v>
      </c>
      <c r="L1927" s="11">
        <v>6.6</v>
      </c>
      <c r="M1927" s="9" t="s">
        <v>1204</v>
      </c>
      <c r="N1927" s="6" t="s">
        <v>1123</v>
      </c>
      <c r="O1927" s="6" t="s">
        <v>1123</v>
      </c>
      <c r="P1927" s="9" t="s">
        <v>60</v>
      </c>
      <c r="Q1927" s="9" t="s">
        <v>26</v>
      </c>
      <c r="R1927" s="9" t="s">
        <v>61</v>
      </c>
      <c r="S1927" s="7" t="s">
        <v>346</v>
      </c>
      <c r="T1927" s="9" t="s">
        <v>39</v>
      </c>
      <c r="U1927" s="7">
        <v>0.37</v>
      </c>
      <c r="V1927" s="12">
        <f>C1927+5</f>
        <v>41046</v>
      </c>
      <c r="W1927">
        <f>IF(D1927=' Pivot Tables'!$A$4,1,0)</f>
        <v>0</v>
      </c>
      <c r="X1927">
        <f>IF(AND(LEFT(D1927,4)+1=LEFT(' Pivot Tables'!$A$4,4)+0,RIGHT(LEFT(D1927,7),2)=RIGHT(LEFT(' Pivot Tables'!$A$4,7),2)),1,0)</f>
        <v>0</v>
      </c>
      <c r="Y1927" s="6">
        <f>1/COUNTIF(Таблица1[Order ID],Таблица1[[#This Row],[Order ID]])</f>
        <v>1</v>
      </c>
      <c r="Z1927" s="9">
        <f>1/COUNTIFS(Таблица1[Customer Name],Таблица1[[#This Row],[Customer Name]],Таблица1[Order-Year-Month],Таблица1[[#This Row],[Order-Year-Month]])</f>
        <v>1</v>
      </c>
    </row>
    <row r="1928" spans="1:26" x14ac:dyDescent="0.2">
      <c r="A1928" s="6">
        <v>7431</v>
      </c>
      <c r="B1928" s="7">
        <v>52995</v>
      </c>
      <c r="C1928" s="8">
        <f>DATE(2012,12,31)-291</f>
        <v>40983</v>
      </c>
      <c r="D1928" s="8" t="str">
        <f t="shared" si="38"/>
        <v>2012-03 (март 2012)</v>
      </c>
      <c r="E1928" s="9" t="s">
        <v>45</v>
      </c>
      <c r="F1928" s="7">
        <v>8</v>
      </c>
      <c r="G1928" s="7">
        <v>33.39</v>
      </c>
      <c r="H1928" s="7">
        <v>0.03</v>
      </c>
      <c r="I1928" s="9" t="s">
        <v>22</v>
      </c>
      <c r="J1928" s="10">
        <v>-35.512</v>
      </c>
      <c r="K1928" s="11">
        <v>3.36</v>
      </c>
      <c r="L1928" s="11">
        <v>6.27</v>
      </c>
      <c r="M1928" s="9" t="s">
        <v>1212</v>
      </c>
      <c r="N1928" s="6" t="s">
        <v>1123</v>
      </c>
      <c r="O1928" s="6" t="s">
        <v>1123</v>
      </c>
      <c r="P1928" s="9" t="s">
        <v>33</v>
      </c>
      <c r="Q1928" s="9" t="s">
        <v>26</v>
      </c>
      <c r="R1928" s="9" t="s">
        <v>37</v>
      </c>
      <c r="S1928" s="7" t="s">
        <v>410</v>
      </c>
      <c r="T1928" s="9" t="s">
        <v>39</v>
      </c>
      <c r="U1928" s="7">
        <v>0.4</v>
      </c>
      <c r="V1928" s="12">
        <f>C1928+0</f>
        <v>40983</v>
      </c>
      <c r="W1928">
        <f>IF(D1928=' Pivot Tables'!$A$4,1,0)</f>
        <v>0</v>
      </c>
      <c r="X1928">
        <f>IF(AND(LEFT(D1928,4)+1=LEFT(' Pivot Tables'!$A$4,4)+0,RIGHT(LEFT(D1928,7),2)=RIGHT(LEFT(' Pivot Tables'!$A$4,7),2)),1,0)</f>
        <v>0</v>
      </c>
      <c r="Y1928" s="6">
        <f>1/COUNTIF(Таблица1[Order ID],Таблица1[[#This Row],[Order ID]])</f>
        <v>1</v>
      </c>
      <c r="Z1928" s="9">
        <f>1/COUNTIFS(Таблица1[Customer Name],Таблица1[[#This Row],[Customer Name]],Таблица1[Order-Year-Month],Таблица1[[#This Row],[Order-Year-Month]])</f>
        <v>1</v>
      </c>
    </row>
    <row r="1929" spans="1:26" x14ac:dyDescent="0.2">
      <c r="A1929" s="6">
        <v>7435</v>
      </c>
      <c r="B1929" s="7">
        <v>53024</v>
      </c>
      <c r="C1929" s="8">
        <f>DATE(2012,12,31)-233</f>
        <v>41041</v>
      </c>
      <c r="D1929" s="8" t="str">
        <f t="shared" si="38"/>
        <v>2012-05 (май 2012)</v>
      </c>
      <c r="E1929" s="9" t="s">
        <v>45</v>
      </c>
      <c r="F1929" s="7">
        <v>9</v>
      </c>
      <c r="G1929" s="7">
        <v>187.13</v>
      </c>
      <c r="H1929" s="7">
        <v>0.09</v>
      </c>
      <c r="I1929" s="9" t="s">
        <v>22</v>
      </c>
      <c r="J1929" s="10">
        <v>12.4</v>
      </c>
      <c r="K1929" s="11">
        <v>20.28</v>
      </c>
      <c r="L1929" s="11">
        <v>14.39</v>
      </c>
      <c r="M1929" s="9" t="s">
        <v>1203</v>
      </c>
      <c r="N1929" s="6" t="s">
        <v>1123</v>
      </c>
      <c r="O1929" s="6" t="s">
        <v>1123</v>
      </c>
      <c r="P1929" s="9" t="s">
        <v>41</v>
      </c>
      <c r="Q1929" s="9" t="s">
        <v>49</v>
      </c>
      <c r="R1929" s="9" t="s">
        <v>50</v>
      </c>
      <c r="S1929" s="7" t="s">
        <v>894</v>
      </c>
      <c r="T1929" s="9" t="s">
        <v>39</v>
      </c>
      <c r="U1929" s="7">
        <v>0.47</v>
      </c>
      <c r="V1929" s="12">
        <f>C1929+1</f>
        <v>41042</v>
      </c>
      <c r="W1929">
        <f>IF(D1929=' Pivot Tables'!$A$4,1,0)</f>
        <v>0</v>
      </c>
      <c r="X1929">
        <f>IF(AND(LEFT(D1929,4)+1=LEFT(' Pivot Tables'!$A$4,4)+0,RIGHT(LEFT(D1929,7),2)=RIGHT(LEFT(' Pivot Tables'!$A$4,7),2)),1,0)</f>
        <v>0</v>
      </c>
      <c r="Y1929" s="6">
        <f>1/COUNTIF(Таблица1[Order ID],Таблица1[[#This Row],[Order ID]])</f>
        <v>0.5</v>
      </c>
      <c r="Z1929" s="9">
        <f>1/COUNTIFS(Таблица1[Customer Name],Таблица1[[#This Row],[Customer Name]],Таблица1[Order-Year-Month],Таблица1[[#This Row],[Order-Year-Month]])</f>
        <v>0.5</v>
      </c>
    </row>
    <row r="1930" spans="1:26" x14ac:dyDescent="0.2">
      <c r="A1930" s="6">
        <v>7436</v>
      </c>
      <c r="B1930" s="7">
        <v>53024</v>
      </c>
      <c r="C1930" s="8">
        <f>DATE(2012,12,31)-233</f>
        <v>41041</v>
      </c>
      <c r="D1930" s="8" t="str">
        <f t="shared" si="38"/>
        <v>2012-05 (май 2012)</v>
      </c>
      <c r="E1930" s="9" t="s">
        <v>45</v>
      </c>
      <c r="F1930" s="7">
        <v>46</v>
      </c>
      <c r="G1930" s="7">
        <v>2255.1945000000001</v>
      </c>
      <c r="H1930" s="7">
        <v>0.03</v>
      </c>
      <c r="I1930" s="9" t="s">
        <v>22</v>
      </c>
      <c r="J1930" s="10">
        <v>74.51100000000001</v>
      </c>
      <c r="K1930" s="11">
        <v>55.99</v>
      </c>
      <c r="L1930" s="11">
        <v>5</v>
      </c>
      <c r="M1930" s="9" t="s">
        <v>1203</v>
      </c>
      <c r="N1930" s="6" t="s">
        <v>1123</v>
      </c>
      <c r="O1930" s="6" t="s">
        <v>1123</v>
      </c>
      <c r="P1930" s="9" t="s">
        <v>41</v>
      </c>
      <c r="Q1930" s="9" t="s">
        <v>42</v>
      </c>
      <c r="R1930" s="9" t="s">
        <v>43</v>
      </c>
      <c r="S1930" s="7" t="s">
        <v>268</v>
      </c>
      <c r="T1930" s="9" t="s">
        <v>52</v>
      </c>
      <c r="U1930" s="7">
        <v>0.8</v>
      </c>
      <c r="V1930" s="12">
        <f>C1930+1</f>
        <v>41042</v>
      </c>
      <c r="W1930">
        <f>IF(D1930=' Pivot Tables'!$A$4,1,0)</f>
        <v>0</v>
      </c>
      <c r="X1930">
        <f>IF(AND(LEFT(D1930,4)+1=LEFT(' Pivot Tables'!$A$4,4)+0,RIGHT(LEFT(D1930,7),2)=RIGHT(LEFT(' Pivot Tables'!$A$4,7),2)),1,0)</f>
        <v>0</v>
      </c>
      <c r="Y1930" s="6">
        <f>1/COUNTIF(Таблица1[Order ID],Таблица1[[#This Row],[Order ID]])</f>
        <v>0.5</v>
      </c>
      <c r="Z1930" s="9">
        <f>1/COUNTIFS(Таблица1[Customer Name],Таблица1[[#This Row],[Customer Name]],Таблица1[Order-Year-Month],Таблица1[[#This Row],[Order-Year-Month]])</f>
        <v>0.5</v>
      </c>
    </row>
    <row r="1931" spans="1:26" x14ac:dyDescent="0.2">
      <c r="A1931" s="6">
        <v>7567</v>
      </c>
      <c r="B1931" s="7">
        <v>54145</v>
      </c>
      <c r="C1931" s="8">
        <f>DATE(2012,12,31)-1094</f>
        <v>40180</v>
      </c>
      <c r="D1931" s="8" t="str">
        <f t="shared" si="38"/>
        <v>2010-01 (январь 2010)</v>
      </c>
      <c r="E1931" s="9" t="s">
        <v>21</v>
      </c>
      <c r="F1931" s="7">
        <v>34</v>
      </c>
      <c r="G1931" s="7">
        <v>70.25</v>
      </c>
      <c r="H1931" s="7">
        <v>0.1</v>
      </c>
      <c r="I1931" s="9" t="s">
        <v>22</v>
      </c>
      <c r="J1931" s="10">
        <v>-133.06</v>
      </c>
      <c r="K1931" s="11">
        <v>2.08</v>
      </c>
      <c r="L1931" s="11">
        <v>5.33</v>
      </c>
      <c r="M1931" s="9" t="s">
        <v>1204</v>
      </c>
      <c r="N1931" s="6" t="s">
        <v>1123</v>
      </c>
      <c r="O1931" s="6" t="s">
        <v>1123</v>
      </c>
      <c r="P1931" s="9" t="s">
        <v>60</v>
      </c>
      <c r="Q1931" s="9" t="s">
        <v>49</v>
      </c>
      <c r="R1931" s="9" t="s">
        <v>50</v>
      </c>
      <c r="S1931" s="7" t="s">
        <v>216</v>
      </c>
      <c r="T1931" s="9" t="s">
        <v>39</v>
      </c>
      <c r="U1931" s="7">
        <v>0.43</v>
      </c>
      <c r="V1931" s="12">
        <f>C1931+0</f>
        <v>40180</v>
      </c>
      <c r="W1931">
        <f>IF(D1931=' Pivot Tables'!$A$4,1,0)</f>
        <v>1</v>
      </c>
      <c r="X1931">
        <f>IF(AND(LEFT(D1931,4)+1=LEFT(' Pivot Tables'!$A$4,4)+0,RIGHT(LEFT(D1931,7),2)=RIGHT(LEFT(' Pivot Tables'!$A$4,7),2)),1,0)</f>
        <v>0</v>
      </c>
      <c r="Y1931" s="6">
        <f>1/COUNTIF(Таблица1[Order ID],Таблица1[[#This Row],[Order ID]])</f>
        <v>1</v>
      </c>
      <c r="Z1931" s="9">
        <f>1/COUNTIFS(Таблица1[Customer Name],Таблица1[[#This Row],[Customer Name]],Таблица1[Order-Year-Month],Таблица1[[#This Row],[Order-Year-Month]])</f>
        <v>1</v>
      </c>
    </row>
    <row r="1932" spans="1:26" x14ac:dyDescent="0.2">
      <c r="A1932" s="6">
        <v>7804</v>
      </c>
      <c r="B1932" s="7">
        <v>55840</v>
      </c>
      <c r="C1932" s="8">
        <f>DATE(2012,12,31)-1232</f>
        <v>40042</v>
      </c>
      <c r="D1932" s="8" t="str">
        <f t="shared" si="38"/>
        <v>2009-08 (август 2009)</v>
      </c>
      <c r="E1932" s="9" t="s">
        <v>63</v>
      </c>
      <c r="F1932" s="7">
        <v>11</v>
      </c>
      <c r="G1932" s="7">
        <v>59.03</v>
      </c>
      <c r="H1932" s="7">
        <v>0.04</v>
      </c>
      <c r="I1932" s="9" t="s">
        <v>22</v>
      </c>
      <c r="J1932" s="10">
        <v>-25.21</v>
      </c>
      <c r="K1932" s="11">
        <v>4.9800000000000004</v>
      </c>
      <c r="L1932" s="11">
        <v>4.8600000000000003</v>
      </c>
      <c r="M1932" s="9" t="s">
        <v>1229</v>
      </c>
      <c r="N1932" s="6" t="s">
        <v>1123</v>
      </c>
      <c r="O1932" s="6" t="s">
        <v>1123</v>
      </c>
      <c r="P1932" s="9" t="s">
        <v>60</v>
      </c>
      <c r="Q1932" s="9" t="s">
        <v>26</v>
      </c>
      <c r="R1932" s="9" t="s">
        <v>61</v>
      </c>
      <c r="S1932" s="7" t="s">
        <v>307</v>
      </c>
      <c r="T1932" s="9" t="s">
        <v>39</v>
      </c>
      <c r="U1932" s="7">
        <v>0.38</v>
      </c>
      <c r="V1932" s="12">
        <f>C1932+0</f>
        <v>40042</v>
      </c>
      <c r="W1932">
        <f>IF(D1932=' Pivot Tables'!$A$4,1,0)</f>
        <v>0</v>
      </c>
      <c r="X1932">
        <f>IF(AND(LEFT(D1932,4)+1=LEFT(' Pivot Tables'!$A$4,4)+0,RIGHT(LEFT(D1932,7),2)=RIGHT(LEFT(' Pivot Tables'!$A$4,7),2)),1,0)</f>
        <v>0</v>
      </c>
      <c r="Y1932" s="6">
        <f>1/COUNTIF(Таблица1[Order ID],Таблица1[[#This Row],[Order ID]])</f>
        <v>1</v>
      </c>
      <c r="Z1932" s="9">
        <f>1/COUNTIFS(Таблица1[Customer Name],Таблица1[[#This Row],[Customer Name]],Таблица1[Order-Year-Month],Таблица1[[#This Row],[Order-Year-Month]])</f>
        <v>1</v>
      </c>
    </row>
    <row r="1933" spans="1:26" x14ac:dyDescent="0.2">
      <c r="A1933" s="6">
        <v>7964</v>
      </c>
      <c r="B1933" s="7">
        <v>56930</v>
      </c>
      <c r="C1933" s="8">
        <f>DATE(2012,12,31)-136</f>
        <v>41138</v>
      </c>
      <c r="D1933" s="8" t="str">
        <f t="shared" si="38"/>
        <v>2012-08 (август 2012)</v>
      </c>
      <c r="E1933" s="9" t="s">
        <v>21</v>
      </c>
      <c r="F1933" s="7">
        <v>10</v>
      </c>
      <c r="G1933" s="7">
        <v>987.54</v>
      </c>
      <c r="H1933" s="7">
        <v>7.0000000000000007E-2</v>
      </c>
      <c r="I1933" s="9" t="s">
        <v>22</v>
      </c>
      <c r="J1933" s="10">
        <v>-396.84</v>
      </c>
      <c r="K1933" s="11">
        <v>101.41</v>
      </c>
      <c r="L1933" s="11">
        <v>35</v>
      </c>
      <c r="M1933" s="9" t="s">
        <v>1228</v>
      </c>
      <c r="N1933" s="6" t="s">
        <v>1123</v>
      </c>
      <c r="O1933" s="6" t="s">
        <v>1123</v>
      </c>
      <c r="P1933" s="9" t="s">
        <v>60</v>
      </c>
      <c r="Q1933" s="9" t="s">
        <v>26</v>
      </c>
      <c r="R1933" s="9" t="s">
        <v>27</v>
      </c>
      <c r="S1933" s="7" t="s">
        <v>1231</v>
      </c>
      <c r="T1933" s="9" t="s">
        <v>29</v>
      </c>
      <c r="U1933" s="7">
        <v>0.82</v>
      </c>
      <c r="V1933" s="12">
        <f>C1933+0</f>
        <v>41138</v>
      </c>
      <c r="W1933">
        <f>IF(D1933=' Pivot Tables'!$A$4,1,0)</f>
        <v>0</v>
      </c>
      <c r="X1933">
        <f>IF(AND(LEFT(D1933,4)+1=LEFT(' Pivot Tables'!$A$4,4)+0,RIGHT(LEFT(D1933,7),2)=RIGHT(LEFT(' Pivot Tables'!$A$4,7),2)),1,0)</f>
        <v>0</v>
      </c>
      <c r="Y1933" s="6">
        <f>1/COUNTIF(Таблица1[Order ID],Таблица1[[#This Row],[Order ID]])</f>
        <v>0.5</v>
      </c>
      <c r="Z1933" s="9">
        <f>1/COUNTIFS(Таблица1[Customer Name],Таблица1[[#This Row],[Customer Name]],Таблица1[Order-Year-Month],Таблица1[[#This Row],[Order-Year-Month]])</f>
        <v>0.5</v>
      </c>
    </row>
    <row r="1934" spans="1:26" x14ac:dyDescent="0.2">
      <c r="A1934" s="6">
        <v>8068</v>
      </c>
      <c r="B1934" s="7">
        <v>57570</v>
      </c>
      <c r="C1934" s="8">
        <f>DATE(2012,12,31)-94</f>
        <v>41180</v>
      </c>
      <c r="D1934" s="8" t="str">
        <f t="shared" si="38"/>
        <v>2012-09 (сентябрь 2012)</v>
      </c>
      <c r="E1934" s="9" t="s">
        <v>30</v>
      </c>
      <c r="F1934" s="7">
        <v>27</v>
      </c>
      <c r="G1934" s="7">
        <v>1823.04</v>
      </c>
      <c r="H1934" s="7">
        <v>0.09</v>
      </c>
      <c r="I1934" s="9" t="s">
        <v>31</v>
      </c>
      <c r="J1934" s="10">
        <v>-190.78</v>
      </c>
      <c r="K1934" s="11">
        <v>70.98</v>
      </c>
      <c r="L1934" s="11">
        <v>26.74</v>
      </c>
      <c r="M1934" s="9" t="s">
        <v>1222</v>
      </c>
      <c r="N1934" s="6" t="s">
        <v>1123</v>
      </c>
      <c r="O1934" s="6" t="s">
        <v>1123</v>
      </c>
      <c r="P1934" s="9" t="s">
        <v>41</v>
      </c>
      <c r="Q1934" s="9" t="s">
        <v>49</v>
      </c>
      <c r="R1934" s="9" t="s">
        <v>80</v>
      </c>
      <c r="S1934" s="7" t="s">
        <v>675</v>
      </c>
      <c r="T1934" s="9" t="s">
        <v>82</v>
      </c>
      <c r="U1934" s="7">
        <v>0.6</v>
      </c>
      <c r="V1934" s="12">
        <f>C1934+2</f>
        <v>41182</v>
      </c>
      <c r="W1934">
        <f>IF(D1934=' Pivot Tables'!$A$4,1,0)</f>
        <v>0</v>
      </c>
      <c r="X1934">
        <f>IF(AND(LEFT(D1934,4)+1=LEFT(' Pivot Tables'!$A$4,4)+0,RIGHT(LEFT(D1934,7),2)=RIGHT(LEFT(' Pivot Tables'!$A$4,7),2)),1,0)</f>
        <v>0</v>
      </c>
      <c r="Y1934" s="6">
        <f>1/COUNTIF(Таблица1[Order ID],Таблица1[[#This Row],[Order ID]])</f>
        <v>0.5</v>
      </c>
      <c r="Z1934" s="9">
        <f>1/COUNTIFS(Таблица1[Customer Name],Таблица1[[#This Row],[Customer Name]],Таблица1[Order-Year-Month],Таблица1[[#This Row],[Order-Year-Month]])</f>
        <v>0.5</v>
      </c>
    </row>
    <row r="1935" spans="1:26" x14ac:dyDescent="0.2">
      <c r="A1935" s="6">
        <v>8121</v>
      </c>
      <c r="B1935" s="7">
        <v>58051</v>
      </c>
      <c r="C1935" s="8">
        <f>DATE(2012,12,31)-286</f>
        <v>40988</v>
      </c>
      <c r="D1935" s="8" t="str">
        <f t="shared" si="38"/>
        <v>2012-03 (март 2012)</v>
      </c>
      <c r="E1935" s="9" t="s">
        <v>30</v>
      </c>
      <c r="F1935" s="7">
        <v>6</v>
      </c>
      <c r="G1935" s="7">
        <v>256.60000000000002</v>
      </c>
      <c r="H1935" s="7">
        <v>0</v>
      </c>
      <c r="I1935" s="9" t="s">
        <v>22</v>
      </c>
      <c r="J1935" s="10">
        <v>-106.76</v>
      </c>
      <c r="K1935" s="11">
        <v>39.979999999999997</v>
      </c>
      <c r="L1935" s="11">
        <v>7.12</v>
      </c>
      <c r="M1935" s="9" t="s">
        <v>1200</v>
      </c>
      <c r="N1935" s="6" t="s">
        <v>1123</v>
      </c>
      <c r="O1935" s="6" t="s">
        <v>1123</v>
      </c>
      <c r="P1935" s="9" t="s">
        <v>41</v>
      </c>
      <c r="Q1935" s="9" t="s">
        <v>42</v>
      </c>
      <c r="R1935" s="9" t="s">
        <v>70</v>
      </c>
      <c r="S1935" s="7" t="s">
        <v>1084</v>
      </c>
      <c r="T1935" s="9" t="s">
        <v>39</v>
      </c>
      <c r="U1935" s="7">
        <v>0.67</v>
      </c>
      <c r="V1935" s="12">
        <f>C1935+2</f>
        <v>40990</v>
      </c>
      <c r="W1935">
        <f>IF(D1935=' Pivot Tables'!$A$4,1,0)</f>
        <v>0</v>
      </c>
      <c r="X1935">
        <f>IF(AND(LEFT(D1935,4)+1=LEFT(' Pivot Tables'!$A$4,4)+0,RIGHT(LEFT(D1935,7),2)=RIGHT(LEFT(' Pivot Tables'!$A$4,7),2)),1,0)</f>
        <v>0</v>
      </c>
      <c r="Y1935" s="6">
        <f>1/COUNTIF(Таблица1[Order ID],Таблица1[[#This Row],[Order ID]])</f>
        <v>1</v>
      </c>
      <c r="Z1935" s="9">
        <f>1/COUNTIFS(Таблица1[Customer Name],Таблица1[[#This Row],[Customer Name]],Таблица1[Order-Year-Month],Таблица1[[#This Row],[Order-Year-Month]])</f>
        <v>1</v>
      </c>
    </row>
    <row r="1936" spans="1:26" x14ac:dyDescent="0.2">
      <c r="A1936" s="6">
        <v>8311</v>
      </c>
      <c r="B1936" s="7">
        <v>59392</v>
      </c>
      <c r="C1936" s="8">
        <f>DATE(2012,12,31)-919</f>
        <v>40355</v>
      </c>
      <c r="D1936" s="8" t="str">
        <f t="shared" si="38"/>
        <v>2010-06 (июнь 2010)</v>
      </c>
      <c r="E1936" s="9" t="s">
        <v>63</v>
      </c>
      <c r="F1936" s="7">
        <v>19</v>
      </c>
      <c r="G1936" s="7">
        <v>39.42</v>
      </c>
      <c r="H1936" s="7">
        <v>0.08</v>
      </c>
      <c r="I1936" s="9" t="s">
        <v>22</v>
      </c>
      <c r="J1936" s="10">
        <v>-29.02</v>
      </c>
      <c r="K1936" s="11">
        <v>2.12</v>
      </c>
      <c r="L1936" s="11">
        <v>1.99</v>
      </c>
      <c r="M1936" s="9" t="s">
        <v>1200</v>
      </c>
      <c r="N1936" s="6" t="s">
        <v>1123</v>
      </c>
      <c r="O1936" s="6" t="s">
        <v>1123</v>
      </c>
      <c r="P1936" s="9" t="s">
        <v>41</v>
      </c>
      <c r="Q1936" s="9" t="s">
        <v>42</v>
      </c>
      <c r="R1936" s="9" t="s">
        <v>70</v>
      </c>
      <c r="S1936" s="7" t="s">
        <v>1232</v>
      </c>
      <c r="T1936" s="9" t="s">
        <v>52</v>
      </c>
      <c r="U1936" s="7">
        <v>0.55000000000000004</v>
      </c>
      <c r="V1936" s="12">
        <f>C1936+1</f>
        <v>40356</v>
      </c>
      <c r="W1936">
        <f>IF(D1936=' Pivot Tables'!$A$4,1,0)</f>
        <v>0</v>
      </c>
      <c r="X1936">
        <f>IF(AND(LEFT(D1936,4)+1=LEFT(' Pivot Tables'!$A$4,4)+0,RIGHT(LEFT(D1936,7),2)=RIGHT(LEFT(' Pivot Tables'!$A$4,7),2)),1,0)</f>
        <v>0</v>
      </c>
      <c r="Y1936" s="6">
        <f>1/COUNTIF(Таблица1[Order ID],Таблица1[[#This Row],[Order ID]])</f>
        <v>0.5</v>
      </c>
      <c r="Z1936" s="9">
        <f>1/COUNTIFS(Таблица1[Customer Name],Таблица1[[#This Row],[Customer Name]],Таблица1[Order-Year-Month],Таблица1[[#This Row],[Order-Year-Month]])</f>
        <v>0.5</v>
      </c>
    </row>
    <row r="1937" spans="1:26" x14ac:dyDescent="0.2">
      <c r="A1937" s="6">
        <v>8312</v>
      </c>
      <c r="B1937" s="7">
        <v>59392</v>
      </c>
      <c r="C1937" s="8">
        <f>DATE(2012,12,31)-919</f>
        <v>40355</v>
      </c>
      <c r="D1937" s="8" t="str">
        <f t="shared" si="38"/>
        <v>2010-06 (июнь 2010)</v>
      </c>
      <c r="E1937" s="9" t="s">
        <v>63</v>
      </c>
      <c r="F1937" s="7">
        <v>45</v>
      </c>
      <c r="G1937" s="7">
        <v>1305.31</v>
      </c>
      <c r="H1937" s="7">
        <v>0.03</v>
      </c>
      <c r="I1937" s="9" t="s">
        <v>22</v>
      </c>
      <c r="J1937" s="10">
        <v>589.20000000000005</v>
      </c>
      <c r="K1937" s="11">
        <v>28.48</v>
      </c>
      <c r="L1937" s="11">
        <v>1.99</v>
      </c>
      <c r="M1937" s="9" t="s">
        <v>1200</v>
      </c>
      <c r="N1937" s="6" t="s">
        <v>1123</v>
      </c>
      <c r="O1937" s="6" t="s">
        <v>1123</v>
      </c>
      <c r="P1937" s="9" t="s">
        <v>41</v>
      </c>
      <c r="Q1937" s="9" t="s">
        <v>42</v>
      </c>
      <c r="R1937" s="9" t="s">
        <v>70</v>
      </c>
      <c r="S1937" s="7" t="s">
        <v>523</v>
      </c>
      <c r="T1937" s="9" t="s">
        <v>52</v>
      </c>
      <c r="U1937" s="7">
        <v>0.4</v>
      </c>
      <c r="V1937" s="12">
        <f>C1937+2</f>
        <v>40357</v>
      </c>
      <c r="W1937">
        <f>IF(D1937=' Pivot Tables'!$A$4,1,0)</f>
        <v>0</v>
      </c>
      <c r="X1937">
        <f>IF(AND(LEFT(D1937,4)+1=LEFT(' Pivot Tables'!$A$4,4)+0,RIGHT(LEFT(D1937,7),2)=RIGHT(LEFT(' Pivot Tables'!$A$4,7),2)),1,0)</f>
        <v>0</v>
      </c>
      <c r="Y1937" s="6">
        <f>1/COUNTIF(Таблица1[Order ID],Таблица1[[#This Row],[Order ID]])</f>
        <v>0.5</v>
      </c>
      <c r="Z1937" s="9">
        <f>1/COUNTIFS(Таблица1[Customer Name],Таблица1[[#This Row],[Customer Name]],Таблица1[Order-Year-Month],Таблица1[[#This Row],[Order-Year-Month]])</f>
        <v>0.5</v>
      </c>
    </row>
    <row r="1938" spans="1:26" x14ac:dyDescent="0.2">
      <c r="A1938" s="6">
        <v>461</v>
      </c>
      <c r="B1938" s="7">
        <v>3136</v>
      </c>
      <c r="C1938" s="8">
        <f>DATE(2012,12,31)-1240</f>
        <v>40034</v>
      </c>
      <c r="D1938" s="8" t="str">
        <f t="shared" si="38"/>
        <v>2009-08 (август 2009)</v>
      </c>
      <c r="E1938" s="9" t="s">
        <v>45</v>
      </c>
      <c r="F1938" s="7">
        <v>8</v>
      </c>
      <c r="G1938" s="7">
        <v>238.74</v>
      </c>
      <c r="H1938" s="7">
        <v>0.1</v>
      </c>
      <c r="I1938" s="9" t="s">
        <v>22</v>
      </c>
      <c r="J1938" s="10">
        <v>-38.89</v>
      </c>
      <c r="K1938" s="11">
        <v>30.98</v>
      </c>
      <c r="L1938" s="11">
        <v>8.99</v>
      </c>
      <c r="M1938" s="9" t="s">
        <v>1233</v>
      </c>
      <c r="N1938" s="6" t="s">
        <v>1123</v>
      </c>
      <c r="O1938" s="6" t="s">
        <v>1123</v>
      </c>
      <c r="P1938" s="9" t="s">
        <v>41</v>
      </c>
      <c r="Q1938" s="9" t="s">
        <v>26</v>
      </c>
      <c r="R1938" s="9" t="s">
        <v>95</v>
      </c>
      <c r="S1938" s="7" t="s">
        <v>1055</v>
      </c>
      <c r="T1938" s="9" t="s">
        <v>52</v>
      </c>
      <c r="U1938" s="7">
        <v>0.57999999999999996</v>
      </c>
      <c r="V1938" s="12">
        <f>C1938+2</f>
        <v>40036</v>
      </c>
      <c r="W1938">
        <f>IF(D1938=' Pivot Tables'!$A$4,1,0)</f>
        <v>0</v>
      </c>
      <c r="X1938">
        <f>IF(AND(LEFT(D1938,4)+1=LEFT(' Pivot Tables'!$A$4,4)+0,RIGHT(LEFT(D1938,7),2)=RIGHT(LEFT(' Pivot Tables'!$A$4,7),2)),1,0)</f>
        <v>0</v>
      </c>
      <c r="Y1938" s="6">
        <f>1/COUNTIF(Таблица1[Order ID],Таблица1[[#This Row],[Order ID]])</f>
        <v>1</v>
      </c>
      <c r="Z1938" s="9">
        <f>1/COUNTIFS(Таблица1[Customer Name],Таблица1[[#This Row],[Customer Name]],Таблица1[Order-Year-Month],Таблица1[[#This Row],[Order-Year-Month]])</f>
        <v>1</v>
      </c>
    </row>
    <row r="1939" spans="1:26" x14ac:dyDescent="0.2">
      <c r="A1939" s="6">
        <v>534</v>
      </c>
      <c r="B1939" s="7">
        <v>3648</v>
      </c>
      <c r="C1939" s="8">
        <f>DATE(2012,12,31)-929</f>
        <v>40345</v>
      </c>
      <c r="D1939" s="8" t="str">
        <f t="shared" si="38"/>
        <v>2010-06 (июнь 2010)</v>
      </c>
      <c r="E1939" s="9" t="s">
        <v>21</v>
      </c>
      <c r="F1939" s="7">
        <v>46</v>
      </c>
      <c r="G1939" s="7">
        <v>134.81</v>
      </c>
      <c r="H1939" s="7">
        <v>0.1</v>
      </c>
      <c r="I1939" s="9" t="s">
        <v>22</v>
      </c>
      <c r="J1939" s="10">
        <v>52.36</v>
      </c>
      <c r="K1939" s="11">
        <v>3.15</v>
      </c>
      <c r="L1939" s="11">
        <v>0.49</v>
      </c>
      <c r="M1939" s="9" t="s">
        <v>622</v>
      </c>
      <c r="N1939" s="6" t="s">
        <v>1123</v>
      </c>
      <c r="O1939" s="6" t="s">
        <v>1123</v>
      </c>
      <c r="P1939" s="9" t="s">
        <v>60</v>
      </c>
      <c r="Q1939" s="9" t="s">
        <v>26</v>
      </c>
      <c r="R1939" s="9" t="s">
        <v>88</v>
      </c>
      <c r="S1939" s="7" t="s">
        <v>1234</v>
      </c>
      <c r="T1939" s="9" t="s">
        <v>39</v>
      </c>
      <c r="U1939" s="7">
        <v>0.37</v>
      </c>
      <c r="V1939" s="12">
        <f>C1939+2</f>
        <v>40347</v>
      </c>
      <c r="W1939">
        <f>IF(D1939=' Pivot Tables'!$A$4,1,0)</f>
        <v>0</v>
      </c>
      <c r="X1939">
        <f>IF(AND(LEFT(D1939,4)+1=LEFT(' Pivot Tables'!$A$4,4)+0,RIGHT(LEFT(D1939,7),2)=RIGHT(LEFT(' Pivot Tables'!$A$4,7),2)),1,0)</f>
        <v>0</v>
      </c>
      <c r="Y1939" s="6">
        <f>1/COUNTIF(Таблица1[Order ID],Таблица1[[#This Row],[Order ID]])</f>
        <v>0.5</v>
      </c>
      <c r="Z1939" s="9">
        <f>1/COUNTIFS(Таблица1[Customer Name],Таблица1[[#This Row],[Customer Name]],Таблица1[Order-Year-Month],Таблица1[[#This Row],[Order-Year-Month]])</f>
        <v>0.5</v>
      </c>
    </row>
    <row r="1940" spans="1:26" x14ac:dyDescent="0.2">
      <c r="A1940" s="6">
        <v>535</v>
      </c>
      <c r="B1940" s="7">
        <v>3648</v>
      </c>
      <c r="C1940" s="8">
        <f>DATE(2012,12,31)-929</f>
        <v>40345</v>
      </c>
      <c r="D1940" s="8" t="str">
        <f t="shared" si="38"/>
        <v>2010-06 (июнь 2010)</v>
      </c>
      <c r="E1940" s="9" t="s">
        <v>21</v>
      </c>
      <c r="F1940" s="7">
        <v>34</v>
      </c>
      <c r="G1940" s="7">
        <v>5488.5264999999999</v>
      </c>
      <c r="H1940" s="7">
        <v>0.05</v>
      </c>
      <c r="I1940" s="9" t="s">
        <v>22</v>
      </c>
      <c r="J1940" s="10">
        <v>1382.4449999999999</v>
      </c>
      <c r="K1940" s="11">
        <v>195.99</v>
      </c>
      <c r="L1940" s="11">
        <v>4.2</v>
      </c>
      <c r="M1940" s="9" t="s">
        <v>622</v>
      </c>
      <c r="N1940" s="6" t="s">
        <v>1123</v>
      </c>
      <c r="O1940" s="6" t="s">
        <v>1123</v>
      </c>
      <c r="P1940" s="9" t="s">
        <v>60</v>
      </c>
      <c r="Q1940" s="9" t="s">
        <v>42</v>
      </c>
      <c r="R1940" s="9" t="s">
        <v>43</v>
      </c>
      <c r="S1940" s="7" t="s">
        <v>1235</v>
      </c>
      <c r="T1940" s="9" t="s">
        <v>39</v>
      </c>
      <c r="U1940" s="7">
        <v>0.56999999999999995</v>
      </c>
      <c r="V1940" s="12">
        <f>C1940+7</f>
        <v>40352</v>
      </c>
      <c r="W1940">
        <f>IF(D1940=' Pivot Tables'!$A$4,1,0)</f>
        <v>0</v>
      </c>
      <c r="X1940">
        <f>IF(AND(LEFT(D1940,4)+1=LEFT(' Pivot Tables'!$A$4,4)+0,RIGHT(LEFT(D1940,7),2)=RIGHT(LEFT(' Pivot Tables'!$A$4,7),2)),1,0)</f>
        <v>0</v>
      </c>
      <c r="Y1940" s="6">
        <f>1/COUNTIF(Таблица1[Order ID],Таблица1[[#This Row],[Order ID]])</f>
        <v>0.5</v>
      </c>
      <c r="Z1940" s="9">
        <f>1/COUNTIFS(Таблица1[Customer Name],Таблица1[[#This Row],[Customer Name]],Таблица1[Order-Year-Month],Таблица1[[#This Row],[Order-Year-Month]])</f>
        <v>0.5</v>
      </c>
    </row>
    <row r="1941" spans="1:26" x14ac:dyDescent="0.2">
      <c r="A1941" s="6">
        <v>870</v>
      </c>
      <c r="B1941" s="7">
        <v>6246</v>
      </c>
      <c r="C1941" s="8">
        <f>DATE(2012,12,31)-1167</f>
        <v>40107</v>
      </c>
      <c r="D1941" s="8" t="str">
        <f t="shared" si="38"/>
        <v>2009-10 (октябрь 2009)</v>
      </c>
      <c r="E1941" s="9" t="s">
        <v>45</v>
      </c>
      <c r="F1941" s="7">
        <v>13</v>
      </c>
      <c r="G1941" s="7">
        <v>52.38</v>
      </c>
      <c r="H1941" s="7">
        <v>0.06</v>
      </c>
      <c r="I1941" s="9" t="s">
        <v>22</v>
      </c>
      <c r="J1941" s="10">
        <v>11.72</v>
      </c>
      <c r="K1941" s="11">
        <v>3.93</v>
      </c>
      <c r="L1941" s="11">
        <v>0.99</v>
      </c>
      <c r="M1941" s="9" t="s">
        <v>622</v>
      </c>
      <c r="N1941" s="6" t="s">
        <v>1123</v>
      </c>
      <c r="O1941" s="6" t="s">
        <v>1123</v>
      </c>
      <c r="P1941" s="9" t="s">
        <v>60</v>
      </c>
      <c r="Q1941" s="9" t="s">
        <v>26</v>
      </c>
      <c r="R1941" s="9" t="s">
        <v>66</v>
      </c>
      <c r="S1941" s="7" t="s">
        <v>386</v>
      </c>
      <c r="T1941" s="9" t="s">
        <v>68</v>
      </c>
      <c r="U1941" s="7">
        <v>0.39</v>
      </c>
      <c r="V1941" s="12">
        <f>C1941+2</f>
        <v>40109</v>
      </c>
      <c r="W1941">
        <f>IF(D1941=' Pivot Tables'!$A$4,1,0)</f>
        <v>0</v>
      </c>
      <c r="X1941">
        <f>IF(AND(LEFT(D1941,4)+1=LEFT(' Pivot Tables'!$A$4,4)+0,RIGHT(LEFT(D1941,7),2)=RIGHT(LEFT(' Pivot Tables'!$A$4,7),2)),1,0)</f>
        <v>0</v>
      </c>
      <c r="Y1941" s="6">
        <f>1/COUNTIF(Таблица1[Order ID],Таблица1[[#This Row],[Order ID]])</f>
        <v>1</v>
      </c>
      <c r="Z1941" s="9">
        <f>1/COUNTIFS(Таблица1[Customer Name],Таблица1[[#This Row],[Customer Name]],Таблица1[Order-Year-Month],Таблица1[[#This Row],[Order-Year-Month]])</f>
        <v>1</v>
      </c>
    </row>
    <row r="1942" spans="1:26" x14ac:dyDescent="0.2">
      <c r="A1942" s="6">
        <v>1242</v>
      </c>
      <c r="B1942" s="7">
        <v>9028</v>
      </c>
      <c r="C1942" s="8">
        <f>DATE(2012,12,31)-741</f>
        <v>40533</v>
      </c>
      <c r="D1942" s="8" t="str">
        <f t="shared" si="38"/>
        <v>2010-12 (декабрь 2010)</v>
      </c>
      <c r="E1942" s="9" t="s">
        <v>21</v>
      </c>
      <c r="F1942" s="7">
        <v>48</v>
      </c>
      <c r="G1942" s="7">
        <v>14556.67</v>
      </c>
      <c r="H1942" s="7">
        <v>0.04</v>
      </c>
      <c r="I1942" s="9" t="s">
        <v>31</v>
      </c>
      <c r="J1942" s="10">
        <v>3829.63</v>
      </c>
      <c r="K1942" s="11">
        <v>306.14</v>
      </c>
      <c r="L1942" s="11">
        <v>26.53</v>
      </c>
      <c r="M1942" s="9" t="s">
        <v>1236</v>
      </c>
      <c r="N1942" s="6" t="s">
        <v>1123</v>
      </c>
      <c r="O1942" s="6" t="s">
        <v>1123</v>
      </c>
      <c r="P1942" s="9" t="s">
        <v>25</v>
      </c>
      <c r="Q1942" s="9" t="s">
        <v>42</v>
      </c>
      <c r="R1942" s="9" t="s">
        <v>210</v>
      </c>
      <c r="S1942" s="7" t="s">
        <v>1085</v>
      </c>
      <c r="T1942" s="9" t="s">
        <v>36</v>
      </c>
      <c r="U1942" s="7">
        <v>0.56000000000000005</v>
      </c>
      <c r="V1942" s="12">
        <f>C1942+4</f>
        <v>40537</v>
      </c>
      <c r="W1942">
        <f>IF(D1942=' Pivot Tables'!$A$4,1,0)</f>
        <v>0</v>
      </c>
      <c r="X1942">
        <f>IF(AND(LEFT(D1942,4)+1=LEFT(' Pivot Tables'!$A$4,4)+0,RIGHT(LEFT(D1942,7),2)=RIGHT(LEFT(' Pivot Tables'!$A$4,7),2)),1,0)</f>
        <v>0</v>
      </c>
      <c r="Y1942" s="6">
        <f>1/COUNTIF(Таблица1[Order ID],Таблица1[[#This Row],[Order ID]])</f>
        <v>1</v>
      </c>
      <c r="Z1942" s="9">
        <f>1/COUNTIFS(Таблица1[Customer Name],Таблица1[[#This Row],[Customer Name]],Таблица1[Order-Year-Month],Таблица1[[#This Row],[Order-Year-Month]])</f>
        <v>1</v>
      </c>
    </row>
    <row r="1943" spans="1:26" x14ac:dyDescent="0.2">
      <c r="A1943" s="6">
        <v>1294</v>
      </c>
      <c r="B1943" s="7">
        <v>9478</v>
      </c>
      <c r="C1943" s="8">
        <f>DATE(2012,12,31)-1374</f>
        <v>39900</v>
      </c>
      <c r="D1943" s="8" t="str">
        <f t="shared" si="38"/>
        <v>2009-03 (март 2009)</v>
      </c>
      <c r="E1943" s="9" t="s">
        <v>30</v>
      </c>
      <c r="F1943" s="7">
        <v>48</v>
      </c>
      <c r="G1943" s="7">
        <v>522.97</v>
      </c>
      <c r="H1943" s="7">
        <v>0.04</v>
      </c>
      <c r="I1943" s="9" t="s">
        <v>22</v>
      </c>
      <c r="J1943" s="10">
        <v>29.98</v>
      </c>
      <c r="K1943" s="11">
        <v>10.4</v>
      </c>
      <c r="L1943" s="11">
        <v>5.4</v>
      </c>
      <c r="M1943" s="9" t="s">
        <v>622</v>
      </c>
      <c r="N1943" s="6" t="s">
        <v>1123</v>
      </c>
      <c r="O1943" s="6" t="s">
        <v>1123</v>
      </c>
      <c r="P1943" s="9" t="s">
        <v>41</v>
      </c>
      <c r="Q1943" s="9" t="s">
        <v>49</v>
      </c>
      <c r="R1943" s="9" t="s">
        <v>50</v>
      </c>
      <c r="S1943" s="7" t="s">
        <v>761</v>
      </c>
      <c r="T1943" s="9" t="s">
        <v>52</v>
      </c>
      <c r="U1943" s="7">
        <v>0.51</v>
      </c>
      <c r="V1943" s="12">
        <f>C1943+1</f>
        <v>39901</v>
      </c>
      <c r="W1943">
        <f>IF(D1943=' Pivot Tables'!$A$4,1,0)</f>
        <v>0</v>
      </c>
      <c r="X1943">
        <f>IF(AND(LEFT(D1943,4)+1=LEFT(' Pivot Tables'!$A$4,4)+0,RIGHT(LEFT(D1943,7),2)=RIGHT(LEFT(' Pivot Tables'!$A$4,7),2)),1,0)</f>
        <v>0</v>
      </c>
      <c r="Y1943" s="6">
        <f>1/COUNTIF(Таблица1[Order ID],Таблица1[[#This Row],[Order ID]])</f>
        <v>0.5</v>
      </c>
      <c r="Z1943" s="9">
        <f>1/COUNTIFS(Таблица1[Customer Name],Таблица1[[#This Row],[Customer Name]],Таблица1[Order-Year-Month],Таблица1[[#This Row],[Order-Year-Month]])</f>
        <v>0.5</v>
      </c>
    </row>
    <row r="1944" spans="1:26" x14ac:dyDescent="0.2">
      <c r="A1944" s="6">
        <v>1295</v>
      </c>
      <c r="B1944" s="7">
        <v>9478</v>
      </c>
      <c r="C1944" s="8">
        <f>DATE(2012,12,31)-1374</f>
        <v>39900</v>
      </c>
      <c r="D1944" s="8" t="str">
        <f t="shared" si="38"/>
        <v>2009-03 (март 2009)</v>
      </c>
      <c r="E1944" s="9" t="s">
        <v>30</v>
      </c>
      <c r="F1944" s="7">
        <v>48</v>
      </c>
      <c r="G1944" s="7">
        <v>199.46</v>
      </c>
      <c r="H1944" s="7">
        <v>0.08</v>
      </c>
      <c r="I1944" s="9" t="s">
        <v>22</v>
      </c>
      <c r="J1944" s="10">
        <v>-121.2</v>
      </c>
      <c r="K1944" s="11">
        <v>4.28</v>
      </c>
      <c r="L1944" s="11">
        <v>4.79</v>
      </c>
      <c r="M1944" s="9" t="s">
        <v>622</v>
      </c>
      <c r="N1944" s="6" t="s">
        <v>1123</v>
      </c>
      <c r="O1944" s="6" t="s">
        <v>1123</v>
      </c>
      <c r="P1944" s="9" t="s">
        <v>41</v>
      </c>
      <c r="Q1944" s="9" t="s">
        <v>26</v>
      </c>
      <c r="R1944" s="9" t="s">
        <v>61</v>
      </c>
      <c r="S1944" s="7" t="s">
        <v>831</v>
      </c>
      <c r="T1944" s="9" t="s">
        <v>39</v>
      </c>
      <c r="U1944" s="7">
        <v>0.4</v>
      </c>
      <c r="V1944" s="12">
        <f>C1944+2</f>
        <v>39902</v>
      </c>
      <c r="W1944">
        <f>IF(D1944=' Pivot Tables'!$A$4,1,0)</f>
        <v>0</v>
      </c>
      <c r="X1944">
        <f>IF(AND(LEFT(D1944,4)+1=LEFT(' Pivot Tables'!$A$4,4)+0,RIGHT(LEFT(D1944,7),2)=RIGHT(LEFT(' Pivot Tables'!$A$4,7),2)),1,0)</f>
        <v>0</v>
      </c>
      <c r="Y1944" s="6">
        <f>1/COUNTIF(Таблица1[Order ID],Таблица1[[#This Row],[Order ID]])</f>
        <v>0.5</v>
      </c>
      <c r="Z1944" s="9">
        <f>1/COUNTIFS(Таблица1[Customer Name],Таблица1[[#This Row],[Customer Name]],Таблица1[Order-Year-Month],Таблица1[[#This Row],[Order-Year-Month]])</f>
        <v>0.5</v>
      </c>
    </row>
    <row r="1945" spans="1:26" x14ac:dyDescent="0.2">
      <c r="A1945" s="6">
        <v>1715</v>
      </c>
      <c r="B1945" s="7">
        <v>12323</v>
      </c>
      <c r="C1945" s="8">
        <f>DATE(2012,12,31)-639</f>
        <v>40635</v>
      </c>
      <c r="D1945" s="8" t="str">
        <f t="shared" si="38"/>
        <v>2011-04 (апрель 2011)</v>
      </c>
      <c r="E1945" s="9" t="s">
        <v>45</v>
      </c>
      <c r="F1945" s="7">
        <v>32</v>
      </c>
      <c r="G1945" s="7">
        <v>513.74</v>
      </c>
      <c r="H1945" s="7">
        <v>0.02</v>
      </c>
      <c r="I1945" s="9" t="s">
        <v>22</v>
      </c>
      <c r="J1945" s="10">
        <v>-28.681000000000001</v>
      </c>
      <c r="K1945" s="11">
        <v>15.15</v>
      </c>
      <c r="L1945" s="11">
        <v>10.130000000000001</v>
      </c>
      <c r="M1945" s="9" t="s">
        <v>833</v>
      </c>
      <c r="N1945" s="6" t="s">
        <v>1123</v>
      </c>
      <c r="O1945" s="6" t="s">
        <v>1123</v>
      </c>
      <c r="P1945" s="9" t="s">
        <v>41</v>
      </c>
      <c r="Q1945" s="9" t="s">
        <v>26</v>
      </c>
      <c r="R1945" s="9" t="s">
        <v>37</v>
      </c>
      <c r="S1945" s="7" t="s">
        <v>1237</v>
      </c>
      <c r="T1945" s="9" t="s">
        <v>39</v>
      </c>
      <c r="U1945" s="7">
        <v>0.38</v>
      </c>
      <c r="V1945" s="12">
        <f>C1945+1</f>
        <v>40636</v>
      </c>
      <c r="W1945">
        <f>IF(D1945=' Pivot Tables'!$A$4,1,0)</f>
        <v>0</v>
      </c>
      <c r="X1945">
        <f>IF(AND(LEFT(D1945,4)+1=LEFT(' Pivot Tables'!$A$4,4)+0,RIGHT(LEFT(D1945,7),2)=RIGHT(LEFT(' Pivot Tables'!$A$4,7),2)),1,0)</f>
        <v>0</v>
      </c>
      <c r="Y1945" s="6">
        <f>1/COUNTIF(Таблица1[Order ID],Таблица1[[#This Row],[Order ID]])</f>
        <v>0.5</v>
      </c>
      <c r="Z1945" s="9">
        <f>1/COUNTIFS(Таблица1[Customer Name],Таблица1[[#This Row],[Customer Name]],Таблица1[Order-Year-Month],Таблица1[[#This Row],[Order-Year-Month]])</f>
        <v>0.5</v>
      </c>
    </row>
    <row r="1946" spans="1:26" x14ac:dyDescent="0.2">
      <c r="A1946" s="6">
        <v>1716</v>
      </c>
      <c r="B1946" s="7">
        <v>12323</v>
      </c>
      <c r="C1946" s="8">
        <f>DATE(2012,12,31)-639</f>
        <v>40635</v>
      </c>
      <c r="D1946" s="8" t="str">
        <f t="shared" si="38"/>
        <v>2011-04 (апрель 2011)</v>
      </c>
      <c r="E1946" s="9" t="s">
        <v>45</v>
      </c>
      <c r="F1946" s="7">
        <v>4</v>
      </c>
      <c r="G1946" s="7">
        <v>36.799999999999997</v>
      </c>
      <c r="H1946" s="7">
        <v>0</v>
      </c>
      <c r="I1946" s="9" t="s">
        <v>22</v>
      </c>
      <c r="J1946" s="10">
        <v>14.19</v>
      </c>
      <c r="K1946" s="11">
        <v>7.38</v>
      </c>
      <c r="L1946" s="11">
        <v>5.21</v>
      </c>
      <c r="M1946" s="9" t="s">
        <v>833</v>
      </c>
      <c r="N1946" s="6" t="s">
        <v>1123</v>
      </c>
      <c r="O1946" s="6" t="s">
        <v>1123</v>
      </c>
      <c r="P1946" s="9" t="s">
        <v>41</v>
      </c>
      <c r="Q1946" s="9" t="s">
        <v>49</v>
      </c>
      <c r="R1946" s="9" t="s">
        <v>50</v>
      </c>
      <c r="S1946" s="7" t="s">
        <v>514</v>
      </c>
      <c r="T1946" s="9" t="s">
        <v>39</v>
      </c>
      <c r="U1946" s="7">
        <v>0.56000000000000005</v>
      </c>
      <c r="V1946" s="12">
        <f>C1946+2</f>
        <v>40637</v>
      </c>
      <c r="W1946">
        <f>IF(D1946=' Pivot Tables'!$A$4,1,0)</f>
        <v>0</v>
      </c>
      <c r="X1946">
        <f>IF(AND(LEFT(D1946,4)+1=LEFT(' Pivot Tables'!$A$4,4)+0,RIGHT(LEFT(D1946,7),2)=RIGHT(LEFT(' Pivot Tables'!$A$4,7),2)),1,0)</f>
        <v>0</v>
      </c>
      <c r="Y1946" s="6">
        <f>1/COUNTIF(Таблица1[Order ID],Таблица1[[#This Row],[Order ID]])</f>
        <v>0.5</v>
      </c>
      <c r="Z1946" s="9">
        <f>1/COUNTIFS(Таблица1[Customer Name],Таблица1[[#This Row],[Customer Name]],Таблица1[Order-Year-Month],Таблица1[[#This Row],[Order-Year-Month]])</f>
        <v>0.5</v>
      </c>
    </row>
    <row r="1947" spans="1:26" x14ac:dyDescent="0.2">
      <c r="A1947" s="6">
        <v>1934</v>
      </c>
      <c r="B1947" s="7">
        <v>13830</v>
      </c>
      <c r="C1947" s="8">
        <f>DATE(2012,12,31)-1106</f>
        <v>40168</v>
      </c>
      <c r="D1947" s="8" t="str">
        <f t="shared" si="38"/>
        <v>2009-12 (декабрь 2009)</v>
      </c>
      <c r="E1947" s="9" t="s">
        <v>30</v>
      </c>
      <c r="F1947" s="7">
        <v>27</v>
      </c>
      <c r="G1947" s="7">
        <v>2609.5300000000002</v>
      </c>
      <c r="H1947" s="7">
        <v>0</v>
      </c>
      <c r="I1947" s="9" t="s">
        <v>22</v>
      </c>
      <c r="J1947" s="10">
        <v>911.66</v>
      </c>
      <c r="K1947" s="11">
        <v>90.48</v>
      </c>
      <c r="L1947" s="11">
        <v>19.989999999999998</v>
      </c>
      <c r="M1947" s="9" t="s">
        <v>1236</v>
      </c>
      <c r="N1947" s="6" t="s">
        <v>1123</v>
      </c>
      <c r="O1947" s="6" t="s">
        <v>1123</v>
      </c>
      <c r="P1947" s="9" t="s">
        <v>25</v>
      </c>
      <c r="Q1947" s="9" t="s">
        <v>26</v>
      </c>
      <c r="R1947" s="9" t="s">
        <v>76</v>
      </c>
      <c r="S1947" s="7" t="s">
        <v>1167</v>
      </c>
      <c r="T1947" s="9" t="s">
        <v>39</v>
      </c>
      <c r="U1947" s="7">
        <v>0.4</v>
      </c>
      <c r="V1947" s="12">
        <f>C1947+3</f>
        <v>40171</v>
      </c>
      <c r="W1947">
        <f>IF(D1947=' Pivot Tables'!$A$4,1,0)</f>
        <v>0</v>
      </c>
      <c r="X1947">
        <f>IF(AND(LEFT(D1947,4)+1=LEFT(' Pivot Tables'!$A$4,4)+0,RIGHT(LEFT(D1947,7),2)=RIGHT(LEFT(' Pivot Tables'!$A$4,7),2)),1,0)</f>
        <v>0</v>
      </c>
      <c r="Y1947" s="6">
        <f>1/COUNTIF(Таблица1[Order ID],Таблица1[[#This Row],[Order ID]])</f>
        <v>1</v>
      </c>
      <c r="Z1947" s="9">
        <f>1/COUNTIFS(Таблица1[Customer Name],Таблица1[[#This Row],[Customer Name]],Таблица1[Order-Year-Month],Таблица1[[#This Row],[Order-Year-Month]])</f>
        <v>1</v>
      </c>
    </row>
    <row r="1948" spans="1:26" x14ac:dyDescent="0.2">
      <c r="A1948" s="6">
        <v>2069</v>
      </c>
      <c r="B1948" s="7">
        <v>14791</v>
      </c>
      <c r="C1948" s="8">
        <f>DATE(2012,12,31)-1051</f>
        <v>40223</v>
      </c>
      <c r="D1948" s="8" t="str">
        <f t="shared" si="38"/>
        <v>2010-02 (февраль 2010)</v>
      </c>
      <c r="E1948" s="9" t="s">
        <v>63</v>
      </c>
      <c r="F1948" s="7">
        <v>29</v>
      </c>
      <c r="G1948" s="7">
        <v>1576.223</v>
      </c>
      <c r="H1948" s="7">
        <v>0.05</v>
      </c>
      <c r="I1948" s="9" t="s">
        <v>22</v>
      </c>
      <c r="J1948" s="10">
        <v>286.11900000000003</v>
      </c>
      <c r="K1948" s="11">
        <v>65.989999999999995</v>
      </c>
      <c r="L1948" s="11">
        <v>3.99</v>
      </c>
      <c r="M1948" s="9" t="s">
        <v>833</v>
      </c>
      <c r="N1948" s="6" t="s">
        <v>1123</v>
      </c>
      <c r="O1948" s="6" t="s">
        <v>1123</v>
      </c>
      <c r="P1948" s="9" t="s">
        <v>33</v>
      </c>
      <c r="Q1948" s="9" t="s">
        <v>42</v>
      </c>
      <c r="R1948" s="9" t="s">
        <v>43</v>
      </c>
      <c r="S1948" s="7" t="s">
        <v>1238</v>
      </c>
      <c r="T1948" s="9" t="s">
        <v>39</v>
      </c>
      <c r="U1948" s="7">
        <v>0.56999999999999995</v>
      </c>
      <c r="V1948" s="12">
        <f>C1948+1</f>
        <v>40224</v>
      </c>
      <c r="W1948">
        <f>IF(D1948=' Pivot Tables'!$A$4,1,0)</f>
        <v>0</v>
      </c>
      <c r="X1948">
        <f>IF(AND(LEFT(D1948,4)+1=LEFT(' Pivot Tables'!$A$4,4)+0,RIGHT(LEFT(D1948,7),2)=RIGHT(LEFT(' Pivot Tables'!$A$4,7),2)),1,0)</f>
        <v>0</v>
      </c>
      <c r="Y1948" s="6">
        <f>1/COUNTIF(Таблица1[Order ID],Таблица1[[#This Row],[Order ID]])</f>
        <v>1</v>
      </c>
      <c r="Z1948" s="9">
        <f>1/COUNTIFS(Таблица1[Customer Name],Таблица1[[#This Row],[Customer Name]],Таблица1[Order-Year-Month],Таблица1[[#This Row],[Order-Year-Month]])</f>
        <v>1</v>
      </c>
    </row>
    <row r="1949" spans="1:26" x14ac:dyDescent="0.2">
      <c r="A1949" s="6">
        <v>2484</v>
      </c>
      <c r="B1949" s="7">
        <v>18085</v>
      </c>
      <c r="C1949" s="8">
        <f>DATE(2012,12,31)-463</f>
        <v>40811</v>
      </c>
      <c r="D1949" s="8" t="str">
        <f t="shared" si="38"/>
        <v>2011-09 (сентябрь 2011)</v>
      </c>
      <c r="E1949" s="9" t="s">
        <v>30</v>
      </c>
      <c r="F1949" s="7">
        <v>23</v>
      </c>
      <c r="G1949" s="7">
        <v>8127.51</v>
      </c>
      <c r="H1949" s="7">
        <v>0.01</v>
      </c>
      <c r="I1949" s="9" t="s">
        <v>31</v>
      </c>
      <c r="J1949" s="10">
        <v>1541.25</v>
      </c>
      <c r="K1949" s="11">
        <v>348.21</v>
      </c>
      <c r="L1949" s="11">
        <v>40.19</v>
      </c>
      <c r="M1949" s="9" t="s">
        <v>833</v>
      </c>
      <c r="N1949" s="6" t="s">
        <v>1123</v>
      </c>
      <c r="O1949" s="6" t="s">
        <v>1123</v>
      </c>
      <c r="P1949" s="9" t="s">
        <v>41</v>
      </c>
      <c r="Q1949" s="9" t="s">
        <v>49</v>
      </c>
      <c r="R1949" s="9" t="s">
        <v>83</v>
      </c>
      <c r="S1949" s="7" t="s">
        <v>599</v>
      </c>
      <c r="T1949" s="9" t="s">
        <v>82</v>
      </c>
      <c r="U1949" s="7">
        <v>0.62</v>
      </c>
      <c r="V1949" s="12">
        <f>C1949+2</f>
        <v>40813</v>
      </c>
      <c r="W1949">
        <f>IF(D1949=' Pivot Tables'!$A$4,1,0)</f>
        <v>0</v>
      </c>
      <c r="X1949">
        <f>IF(AND(LEFT(D1949,4)+1=LEFT(' Pivot Tables'!$A$4,4)+0,RIGHT(LEFT(D1949,7),2)=RIGHT(LEFT(' Pivot Tables'!$A$4,7),2)),1,0)</f>
        <v>0</v>
      </c>
      <c r="Y1949" s="6">
        <f>1/COUNTIF(Таблица1[Order ID],Таблица1[[#This Row],[Order ID]])</f>
        <v>0.5</v>
      </c>
      <c r="Z1949" s="9">
        <f>1/COUNTIFS(Таблица1[Customer Name],Таблица1[[#This Row],[Customer Name]],Таблица1[Order-Year-Month],Таблица1[[#This Row],[Order-Year-Month]])</f>
        <v>0.2</v>
      </c>
    </row>
    <row r="1950" spans="1:26" x14ac:dyDescent="0.2">
      <c r="A1950" s="6">
        <v>2485</v>
      </c>
      <c r="B1950" s="7">
        <v>18085</v>
      </c>
      <c r="C1950" s="8">
        <f>DATE(2012,12,31)-463</f>
        <v>40811</v>
      </c>
      <c r="D1950" s="8" t="str">
        <f t="shared" si="38"/>
        <v>2011-09 (сентябрь 2011)</v>
      </c>
      <c r="E1950" s="9" t="s">
        <v>30</v>
      </c>
      <c r="F1950" s="7">
        <v>33</v>
      </c>
      <c r="G1950" s="7">
        <v>5352.9344999999994</v>
      </c>
      <c r="H1950" s="7">
        <v>0.09</v>
      </c>
      <c r="I1950" s="9" t="s">
        <v>22</v>
      </c>
      <c r="J1950" s="10">
        <v>1343.2049999999999</v>
      </c>
      <c r="K1950" s="11">
        <v>195.99</v>
      </c>
      <c r="L1950" s="11">
        <v>4.2</v>
      </c>
      <c r="M1950" s="9" t="s">
        <v>833</v>
      </c>
      <c r="N1950" s="6" t="s">
        <v>1123</v>
      </c>
      <c r="O1950" s="6" t="s">
        <v>1123</v>
      </c>
      <c r="P1950" s="9" t="s">
        <v>41</v>
      </c>
      <c r="Q1950" s="9" t="s">
        <v>42</v>
      </c>
      <c r="R1950" s="9" t="s">
        <v>43</v>
      </c>
      <c r="S1950" s="7" t="s">
        <v>1235</v>
      </c>
      <c r="T1950" s="9" t="s">
        <v>39</v>
      </c>
      <c r="U1950" s="7">
        <v>0.56999999999999995</v>
      </c>
      <c r="V1950" s="12">
        <f>C1950+1</f>
        <v>40812</v>
      </c>
      <c r="W1950">
        <f>IF(D1950=' Pivot Tables'!$A$4,1,0)</f>
        <v>0</v>
      </c>
      <c r="X1950">
        <f>IF(AND(LEFT(D1950,4)+1=LEFT(' Pivot Tables'!$A$4,4)+0,RIGHT(LEFT(D1950,7),2)=RIGHT(LEFT(' Pivot Tables'!$A$4,7),2)),1,0)</f>
        <v>0</v>
      </c>
      <c r="Y1950" s="6">
        <f>1/COUNTIF(Таблица1[Order ID],Таблица1[[#This Row],[Order ID]])</f>
        <v>0.5</v>
      </c>
      <c r="Z1950" s="9">
        <f>1/COUNTIFS(Таблица1[Customer Name],Таблица1[[#This Row],[Customer Name]],Таблица1[Order-Year-Month],Таблица1[[#This Row],[Order-Year-Month]])</f>
        <v>0.2</v>
      </c>
    </row>
    <row r="1951" spans="1:26" x14ac:dyDescent="0.2">
      <c r="A1951" s="6">
        <v>2863</v>
      </c>
      <c r="B1951" s="7">
        <v>20674</v>
      </c>
      <c r="C1951" s="8">
        <f>DATE(2012,12,31)-754</f>
        <v>40520</v>
      </c>
      <c r="D1951" s="8" t="str">
        <f t="shared" si="38"/>
        <v>2010-12 (декабрь 2010)</v>
      </c>
      <c r="E1951" s="9" t="s">
        <v>30</v>
      </c>
      <c r="F1951" s="7">
        <v>37</v>
      </c>
      <c r="G1951" s="7">
        <v>17717.34</v>
      </c>
      <c r="H1951" s="7">
        <v>0</v>
      </c>
      <c r="I1951" s="9" t="s">
        <v>31</v>
      </c>
      <c r="J1951" s="10">
        <v>8291.08</v>
      </c>
      <c r="K1951" s="11">
        <v>500.97</v>
      </c>
      <c r="L1951" s="11">
        <v>69.3</v>
      </c>
      <c r="M1951" s="9" t="s">
        <v>622</v>
      </c>
      <c r="N1951" s="6" t="s">
        <v>1123</v>
      </c>
      <c r="O1951" s="6" t="s">
        <v>1123</v>
      </c>
      <c r="P1951" s="9" t="s">
        <v>41</v>
      </c>
      <c r="Q1951" s="9" t="s">
        <v>42</v>
      </c>
      <c r="R1951" s="9" t="s">
        <v>210</v>
      </c>
      <c r="S1951" s="7" t="s">
        <v>404</v>
      </c>
      <c r="T1951" s="9" t="s">
        <v>36</v>
      </c>
      <c r="U1951" s="7">
        <v>0.37</v>
      </c>
      <c r="V1951" s="12">
        <f>C1951+1</f>
        <v>40521</v>
      </c>
      <c r="W1951">
        <f>IF(D1951=' Pivot Tables'!$A$4,1,0)</f>
        <v>0</v>
      </c>
      <c r="X1951">
        <f>IF(AND(LEFT(D1951,4)+1=LEFT(' Pivot Tables'!$A$4,4)+0,RIGHT(LEFT(D1951,7),2)=RIGHT(LEFT(' Pivot Tables'!$A$4,7),2)),1,0)</f>
        <v>0</v>
      </c>
      <c r="Y1951" s="6">
        <f>1/COUNTIF(Таблица1[Order ID],Таблица1[[#This Row],[Order ID]])</f>
        <v>1</v>
      </c>
      <c r="Z1951" s="9">
        <f>1/COUNTIFS(Таблица1[Customer Name],Таблица1[[#This Row],[Customer Name]],Таблица1[Order-Year-Month],Таблица1[[#This Row],[Order-Year-Month]])</f>
        <v>1</v>
      </c>
    </row>
    <row r="1952" spans="1:26" x14ac:dyDescent="0.2">
      <c r="A1952" s="6">
        <v>3496</v>
      </c>
      <c r="B1952" s="7">
        <v>24903</v>
      </c>
      <c r="C1952" s="8">
        <f>DATE(2012,12,31)-804</f>
        <v>40470</v>
      </c>
      <c r="D1952" s="8" t="str">
        <f t="shared" si="38"/>
        <v>2010-10 (октябрь 2010)</v>
      </c>
      <c r="E1952" s="9" t="s">
        <v>21</v>
      </c>
      <c r="F1952" s="7">
        <v>33</v>
      </c>
      <c r="G1952" s="7">
        <v>1646.47</v>
      </c>
      <c r="H1952" s="7">
        <v>0.05</v>
      </c>
      <c r="I1952" s="9" t="s">
        <v>22</v>
      </c>
      <c r="J1952" s="10">
        <v>743.59</v>
      </c>
      <c r="K1952" s="11">
        <v>48.91</v>
      </c>
      <c r="L1952" s="11">
        <v>5.81</v>
      </c>
      <c r="M1952" s="9" t="s">
        <v>1233</v>
      </c>
      <c r="N1952" s="6" t="s">
        <v>1123</v>
      </c>
      <c r="O1952" s="6" t="s">
        <v>1123</v>
      </c>
      <c r="P1952" s="9" t="s">
        <v>41</v>
      </c>
      <c r="Q1952" s="9" t="s">
        <v>26</v>
      </c>
      <c r="R1952" s="9" t="s">
        <v>61</v>
      </c>
      <c r="S1952" s="7" t="s">
        <v>183</v>
      </c>
      <c r="T1952" s="9" t="s">
        <v>39</v>
      </c>
      <c r="U1952" s="7">
        <v>0.38</v>
      </c>
      <c r="V1952" s="12">
        <f>C1952+7</f>
        <v>40477</v>
      </c>
      <c r="W1952">
        <f>IF(D1952=' Pivot Tables'!$A$4,1,0)</f>
        <v>0</v>
      </c>
      <c r="X1952">
        <f>IF(AND(LEFT(D1952,4)+1=LEFT(' Pivot Tables'!$A$4,4)+0,RIGHT(LEFT(D1952,7),2)=RIGHT(LEFT(' Pivot Tables'!$A$4,7),2)),1,0)</f>
        <v>0</v>
      </c>
      <c r="Y1952" s="6">
        <f>1/COUNTIF(Таблица1[Order ID],Таблица1[[#This Row],[Order ID]])</f>
        <v>1</v>
      </c>
      <c r="Z1952" s="9">
        <f>1/COUNTIFS(Таблица1[Customer Name],Таблица1[[#This Row],[Customer Name]],Таблица1[Order-Year-Month],Таблица1[[#This Row],[Order-Year-Month]])</f>
        <v>1</v>
      </c>
    </row>
    <row r="1953" spans="1:26" x14ac:dyDescent="0.2">
      <c r="A1953" s="6">
        <v>3603</v>
      </c>
      <c r="B1953" s="7">
        <v>25735</v>
      </c>
      <c r="C1953" s="8">
        <f>DATE(2012,12,31)-732</f>
        <v>40542</v>
      </c>
      <c r="D1953" s="8" t="str">
        <f t="shared" si="38"/>
        <v>2010-12 (декабрь 2010)</v>
      </c>
      <c r="E1953" s="9" t="s">
        <v>45</v>
      </c>
      <c r="F1953" s="7">
        <v>45</v>
      </c>
      <c r="G1953" s="7">
        <v>260.37</v>
      </c>
      <c r="H1953" s="7">
        <v>0.02</v>
      </c>
      <c r="I1953" s="9" t="s">
        <v>22</v>
      </c>
      <c r="J1953" s="10">
        <v>44.15</v>
      </c>
      <c r="K1953" s="11">
        <v>5.58</v>
      </c>
      <c r="L1953" s="11">
        <v>1.99</v>
      </c>
      <c r="M1953" s="9" t="s">
        <v>833</v>
      </c>
      <c r="N1953" s="6" t="s">
        <v>1123</v>
      </c>
      <c r="O1953" s="6" t="s">
        <v>1123</v>
      </c>
      <c r="P1953" s="9" t="s">
        <v>33</v>
      </c>
      <c r="Q1953" s="9" t="s">
        <v>26</v>
      </c>
      <c r="R1953" s="9" t="s">
        <v>95</v>
      </c>
      <c r="S1953" s="7" t="s">
        <v>1239</v>
      </c>
      <c r="T1953" s="9" t="s">
        <v>68</v>
      </c>
      <c r="U1953" s="7">
        <v>0.46</v>
      </c>
      <c r="V1953" s="12">
        <f>C1953+14</f>
        <v>40556</v>
      </c>
      <c r="W1953">
        <f>IF(D1953=' Pivot Tables'!$A$4,1,0)</f>
        <v>0</v>
      </c>
      <c r="X1953">
        <f>IF(AND(LEFT(D1953,4)+1=LEFT(' Pivot Tables'!$A$4,4)+0,RIGHT(LEFT(D1953,7),2)=RIGHT(LEFT(' Pivot Tables'!$A$4,7),2)),1,0)</f>
        <v>0</v>
      </c>
      <c r="Y1953" s="6">
        <f>1/COUNTIF(Таблица1[Order ID],Таблица1[[#This Row],[Order ID]])</f>
        <v>1</v>
      </c>
      <c r="Z1953" s="9">
        <f>1/COUNTIFS(Таблица1[Customer Name],Таблица1[[#This Row],[Customer Name]],Таблица1[Order-Year-Month],Таблица1[[#This Row],[Order-Year-Month]])</f>
        <v>1</v>
      </c>
    </row>
    <row r="1954" spans="1:26" x14ac:dyDescent="0.2">
      <c r="A1954" s="6">
        <v>4188</v>
      </c>
      <c r="B1954" s="7">
        <v>29762</v>
      </c>
      <c r="C1954" s="8">
        <f>DATE(2012,12,31)-881</f>
        <v>40393</v>
      </c>
      <c r="D1954" s="8" t="str">
        <f t="shared" si="38"/>
        <v>2010-08 (август 2010)</v>
      </c>
      <c r="E1954" s="9" t="s">
        <v>78</v>
      </c>
      <c r="F1954" s="7">
        <v>33</v>
      </c>
      <c r="G1954" s="7">
        <v>3268.56</v>
      </c>
      <c r="H1954" s="7">
        <v>0.03</v>
      </c>
      <c r="I1954" s="9" t="s">
        <v>31</v>
      </c>
      <c r="J1954" s="10">
        <v>-1181.71</v>
      </c>
      <c r="K1954" s="11">
        <v>95.95</v>
      </c>
      <c r="L1954" s="11">
        <v>74.349999999999994</v>
      </c>
      <c r="M1954" s="9" t="s">
        <v>622</v>
      </c>
      <c r="N1954" s="6" t="s">
        <v>1123</v>
      </c>
      <c r="O1954" s="6" t="s">
        <v>1123</v>
      </c>
      <c r="P1954" s="9" t="s">
        <v>60</v>
      </c>
      <c r="Q1954" s="9" t="s">
        <v>49</v>
      </c>
      <c r="R1954" s="9" t="s">
        <v>112</v>
      </c>
      <c r="S1954" s="7" t="s">
        <v>113</v>
      </c>
      <c r="T1954" s="9" t="s">
        <v>36</v>
      </c>
      <c r="U1954" s="7">
        <v>0.56999999999999995</v>
      </c>
      <c r="V1954" s="12">
        <f>C1954+1</f>
        <v>40394</v>
      </c>
      <c r="W1954">
        <f>IF(D1954=' Pivot Tables'!$A$4,1,0)</f>
        <v>0</v>
      </c>
      <c r="X1954">
        <f>IF(AND(LEFT(D1954,4)+1=LEFT(' Pivot Tables'!$A$4,4)+0,RIGHT(LEFT(D1954,7),2)=RIGHT(LEFT(' Pivot Tables'!$A$4,7),2)),1,0)</f>
        <v>0</v>
      </c>
      <c r="Y1954" s="6">
        <f>1/COUNTIF(Таблица1[Order ID],Таблица1[[#This Row],[Order ID]])</f>
        <v>0.5</v>
      </c>
      <c r="Z1954" s="9">
        <f>1/COUNTIFS(Таблица1[Customer Name],Таблица1[[#This Row],[Customer Name]],Таблица1[Order-Year-Month],Таблица1[[#This Row],[Order-Year-Month]])</f>
        <v>0.5</v>
      </c>
    </row>
    <row r="1955" spans="1:26" x14ac:dyDescent="0.2">
      <c r="A1955" s="6">
        <v>4199</v>
      </c>
      <c r="B1955" s="7">
        <v>29856</v>
      </c>
      <c r="C1955" s="8">
        <f>DATE(2012,12,31)-206</f>
        <v>41068</v>
      </c>
      <c r="D1955" s="8" t="str">
        <f t="shared" si="38"/>
        <v>2012-06 (июнь 2012)</v>
      </c>
      <c r="E1955" s="9" t="s">
        <v>63</v>
      </c>
      <c r="F1955" s="7">
        <v>24</v>
      </c>
      <c r="G1955" s="7">
        <v>115.54</v>
      </c>
      <c r="H1955" s="7">
        <v>0.04</v>
      </c>
      <c r="I1955" s="9" t="s">
        <v>22</v>
      </c>
      <c r="J1955" s="10">
        <v>43.35</v>
      </c>
      <c r="K1955" s="11">
        <v>4.9800000000000004</v>
      </c>
      <c r="L1955" s="11">
        <v>0.8</v>
      </c>
      <c r="M1955" s="9" t="s">
        <v>833</v>
      </c>
      <c r="N1955" s="6" t="s">
        <v>1123</v>
      </c>
      <c r="O1955" s="6" t="s">
        <v>1123</v>
      </c>
      <c r="P1955" s="9" t="s">
        <v>33</v>
      </c>
      <c r="Q1955" s="9" t="s">
        <v>26</v>
      </c>
      <c r="R1955" s="9" t="s">
        <v>61</v>
      </c>
      <c r="S1955" s="7" t="s">
        <v>842</v>
      </c>
      <c r="T1955" s="9" t="s">
        <v>68</v>
      </c>
      <c r="U1955" s="7">
        <v>0.36</v>
      </c>
      <c r="V1955" s="12">
        <f>C1955+3</f>
        <v>41071</v>
      </c>
      <c r="W1955">
        <f>IF(D1955=' Pivot Tables'!$A$4,1,0)</f>
        <v>0</v>
      </c>
      <c r="X1955">
        <f>IF(AND(LEFT(D1955,4)+1=LEFT(' Pivot Tables'!$A$4,4)+0,RIGHT(LEFT(D1955,7),2)=RIGHT(LEFT(' Pivot Tables'!$A$4,7),2)),1,0)</f>
        <v>0</v>
      </c>
      <c r="Y1955" s="6">
        <f>1/COUNTIF(Таблица1[Order ID],Таблица1[[#This Row],[Order ID]])</f>
        <v>1</v>
      </c>
      <c r="Z1955" s="9">
        <f>1/COUNTIFS(Таблица1[Customer Name],Таблица1[[#This Row],[Customer Name]],Таблица1[Order-Year-Month],Таблица1[[#This Row],[Order-Year-Month]])</f>
        <v>1</v>
      </c>
    </row>
    <row r="1956" spans="1:26" x14ac:dyDescent="0.2">
      <c r="A1956" s="6">
        <v>4574</v>
      </c>
      <c r="B1956" s="7">
        <v>32580</v>
      </c>
      <c r="C1956" s="8">
        <f>DATE(2012,12,31)-473</f>
        <v>40801</v>
      </c>
      <c r="D1956" s="8" t="str">
        <f t="shared" si="38"/>
        <v>2011-09 (сентябрь 2011)</v>
      </c>
      <c r="E1956" s="9" t="s">
        <v>30</v>
      </c>
      <c r="F1956" s="7">
        <v>23</v>
      </c>
      <c r="G1956" s="7">
        <v>166.8</v>
      </c>
      <c r="H1956" s="7">
        <v>0.03</v>
      </c>
      <c r="I1956" s="9" t="s">
        <v>22</v>
      </c>
      <c r="J1956" s="10">
        <v>44.59</v>
      </c>
      <c r="K1956" s="11">
        <v>7.4</v>
      </c>
      <c r="L1956" s="11">
        <v>1.71</v>
      </c>
      <c r="M1956" s="9" t="s">
        <v>993</v>
      </c>
      <c r="N1956" s="6" t="s">
        <v>1123</v>
      </c>
      <c r="O1956" s="6" t="s">
        <v>1123</v>
      </c>
      <c r="P1956" s="9" t="s">
        <v>41</v>
      </c>
      <c r="Q1956" s="9" t="s">
        <v>26</v>
      </c>
      <c r="R1956" s="9" t="s">
        <v>61</v>
      </c>
      <c r="S1956" s="7" t="s">
        <v>864</v>
      </c>
      <c r="T1956" s="9" t="s">
        <v>68</v>
      </c>
      <c r="U1956" s="7">
        <v>0.4</v>
      </c>
      <c r="V1956" s="12">
        <f>C1956+0</f>
        <v>40801</v>
      </c>
      <c r="W1956">
        <f>IF(D1956=' Pivot Tables'!$A$4,1,0)</f>
        <v>0</v>
      </c>
      <c r="X1956">
        <f>IF(AND(LEFT(D1956,4)+1=LEFT(' Pivot Tables'!$A$4,4)+0,RIGHT(LEFT(D1956,7),2)=RIGHT(LEFT(' Pivot Tables'!$A$4,7),2)),1,0)</f>
        <v>0</v>
      </c>
      <c r="Y1956" s="6">
        <f>1/COUNTIF(Таблица1[Order ID],Таблица1[[#This Row],[Order ID]])</f>
        <v>0.5</v>
      </c>
      <c r="Z1956" s="9">
        <f>1/COUNTIFS(Таблица1[Customer Name],Таблица1[[#This Row],[Customer Name]],Таблица1[Order-Year-Month],Таблица1[[#This Row],[Order-Year-Month]])</f>
        <v>0.5</v>
      </c>
    </row>
    <row r="1957" spans="1:26" x14ac:dyDescent="0.2">
      <c r="A1957" s="6">
        <v>4575</v>
      </c>
      <c r="B1957" s="7">
        <v>32580</v>
      </c>
      <c r="C1957" s="8">
        <f>DATE(2012,12,31)-473</f>
        <v>40801</v>
      </c>
      <c r="D1957" s="8" t="str">
        <f t="shared" si="38"/>
        <v>2011-09 (сентябрь 2011)</v>
      </c>
      <c r="E1957" s="9" t="s">
        <v>30</v>
      </c>
      <c r="F1957" s="7">
        <v>38</v>
      </c>
      <c r="G1957" s="7">
        <v>261.38</v>
      </c>
      <c r="H1957" s="7">
        <v>0.05</v>
      </c>
      <c r="I1957" s="9" t="s">
        <v>22</v>
      </c>
      <c r="J1957" s="10">
        <v>-172.35</v>
      </c>
      <c r="K1957" s="11">
        <v>6.48</v>
      </c>
      <c r="L1957" s="11">
        <v>8.74</v>
      </c>
      <c r="M1957" s="9" t="s">
        <v>993</v>
      </c>
      <c r="N1957" s="6" t="s">
        <v>1123</v>
      </c>
      <c r="O1957" s="6" t="s">
        <v>1123</v>
      </c>
      <c r="P1957" s="9" t="s">
        <v>41</v>
      </c>
      <c r="Q1957" s="9" t="s">
        <v>26</v>
      </c>
      <c r="R1957" s="9" t="s">
        <v>61</v>
      </c>
      <c r="S1957" s="7" t="s">
        <v>1210</v>
      </c>
      <c r="T1957" s="9" t="s">
        <v>39</v>
      </c>
      <c r="U1957" s="7">
        <v>0.36</v>
      </c>
      <c r="V1957" s="12">
        <f>C1957+2</f>
        <v>40803</v>
      </c>
      <c r="W1957">
        <f>IF(D1957=' Pivot Tables'!$A$4,1,0)</f>
        <v>0</v>
      </c>
      <c r="X1957">
        <f>IF(AND(LEFT(D1957,4)+1=LEFT(' Pivot Tables'!$A$4,4)+0,RIGHT(LEFT(D1957,7),2)=RIGHT(LEFT(' Pivot Tables'!$A$4,7),2)),1,0)</f>
        <v>0</v>
      </c>
      <c r="Y1957" s="6">
        <f>1/COUNTIF(Таблица1[Order ID],Таблица1[[#This Row],[Order ID]])</f>
        <v>0.5</v>
      </c>
      <c r="Z1957" s="9">
        <f>1/COUNTIFS(Таблица1[Customer Name],Таблица1[[#This Row],[Customer Name]],Таблица1[Order-Year-Month],Таблица1[[#This Row],[Order-Year-Month]])</f>
        <v>0.5</v>
      </c>
    </row>
    <row r="1958" spans="1:26" x14ac:dyDescent="0.2">
      <c r="A1958" s="6">
        <v>4788</v>
      </c>
      <c r="B1958" s="7">
        <v>34017</v>
      </c>
      <c r="C1958" s="8">
        <f>DATE(2012,12,31)-1379</f>
        <v>39895</v>
      </c>
      <c r="D1958" s="8" t="str">
        <f t="shared" si="38"/>
        <v>2009-03 (март 2009)</v>
      </c>
      <c r="E1958" s="9" t="s">
        <v>30</v>
      </c>
      <c r="F1958" s="7">
        <v>20</v>
      </c>
      <c r="G1958" s="7">
        <v>103.39</v>
      </c>
      <c r="H1958" s="7">
        <v>0.05</v>
      </c>
      <c r="I1958" s="9" t="s">
        <v>56</v>
      </c>
      <c r="J1958" s="10">
        <v>29.17</v>
      </c>
      <c r="K1958" s="11">
        <v>4.84</v>
      </c>
      <c r="L1958" s="11">
        <v>0.71</v>
      </c>
      <c r="M1958" s="9" t="s">
        <v>1233</v>
      </c>
      <c r="N1958" s="6" t="s">
        <v>1123</v>
      </c>
      <c r="O1958" s="6" t="s">
        <v>1123</v>
      </c>
      <c r="P1958" s="9" t="s">
        <v>41</v>
      </c>
      <c r="Q1958" s="9" t="s">
        <v>26</v>
      </c>
      <c r="R1958" s="9" t="s">
        <v>95</v>
      </c>
      <c r="S1958" s="7" t="s">
        <v>633</v>
      </c>
      <c r="T1958" s="9" t="s">
        <v>68</v>
      </c>
      <c r="U1958" s="7">
        <v>0.52</v>
      </c>
      <c r="V1958" s="12">
        <f>C1958+0</f>
        <v>39895</v>
      </c>
      <c r="W1958">
        <f>IF(D1958=' Pivot Tables'!$A$4,1,0)</f>
        <v>0</v>
      </c>
      <c r="X1958">
        <f>IF(AND(LEFT(D1958,4)+1=LEFT(' Pivot Tables'!$A$4,4)+0,RIGHT(LEFT(D1958,7),2)=RIGHT(LEFT(' Pivot Tables'!$A$4,7),2)),1,0)</f>
        <v>0</v>
      </c>
      <c r="Y1958" s="6">
        <f>1/COUNTIF(Таблица1[Order ID],Таблица1[[#This Row],[Order ID]])</f>
        <v>0.5</v>
      </c>
      <c r="Z1958" s="9">
        <f>1/COUNTIFS(Таблица1[Customer Name],Таблица1[[#This Row],[Customer Name]],Таблица1[Order-Year-Month],Таблица1[[#This Row],[Order-Year-Month]])</f>
        <v>0.5</v>
      </c>
    </row>
    <row r="1959" spans="1:26" x14ac:dyDescent="0.2">
      <c r="A1959" s="6">
        <v>4789</v>
      </c>
      <c r="B1959" s="7">
        <v>34017</v>
      </c>
      <c r="C1959" s="8">
        <f>DATE(2012,12,31)-1379</f>
        <v>39895</v>
      </c>
      <c r="D1959" s="8" t="str">
        <f t="shared" si="38"/>
        <v>2009-03 (март 2009)</v>
      </c>
      <c r="E1959" s="9" t="s">
        <v>30</v>
      </c>
      <c r="F1959" s="7">
        <v>28</v>
      </c>
      <c r="G1959" s="7">
        <v>435.39</v>
      </c>
      <c r="H1959" s="7">
        <v>0.01</v>
      </c>
      <c r="I1959" s="9" t="s">
        <v>22</v>
      </c>
      <c r="J1959" s="10">
        <v>-48.97</v>
      </c>
      <c r="K1959" s="11">
        <v>14.98</v>
      </c>
      <c r="L1959" s="11">
        <v>7.69</v>
      </c>
      <c r="M1959" s="9" t="s">
        <v>1233</v>
      </c>
      <c r="N1959" s="6" t="s">
        <v>1123</v>
      </c>
      <c r="O1959" s="6" t="s">
        <v>1123</v>
      </c>
      <c r="P1959" s="9" t="s">
        <v>41</v>
      </c>
      <c r="Q1959" s="9" t="s">
        <v>26</v>
      </c>
      <c r="R1959" s="9" t="s">
        <v>27</v>
      </c>
      <c r="S1959" s="7" t="s">
        <v>1240</v>
      </c>
      <c r="T1959" s="9" t="s">
        <v>39</v>
      </c>
      <c r="U1959" s="7">
        <v>0.56999999999999995</v>
      </c>
      <c r="V1959" s="12">
        <f>C1959+2</f>
        <v>39897</v>
      </c>
      <c r="W1959">
        <f>IF(D1959=' Pivot Tables'!$A$4,1,0)</f>
        <v>0</v>
      </c>
      <c r="X1959">
        <f>IF(AND(LEFT(D1959,4)+1=LEFT(' Pivot Tables'!$A$4,4)+0,RIGHT(LEFT(D1959,7),2)=RIGHT(LEFT(' Pivot Tables'!$A$4,7),2)),1,0)</f>
        <v>0</v>
      </c>
      <c r="Y1959" s="6">
        <f>1/COUNTIF(Таблица1[Order ID],Таблица1[[#This Row],[Order ID]])</f>
        <v>0.5</v>
      </c>
      <c r="Z1959" s="9">
        <f>1/COUNTIFS(Таблица1[Customer Name],Таблица1[[#This Row],[Customer Name]],Таблица1[Order-Year-Month],Таблица1[[#This Row],[Order-Year-Month]])</f>
        <v>0.5</v>
      </c>
    </row>
    <row r="1960" spans="1:26" x14ac:dyDescent="0.2">
      <c r="A1960" s="6">
        <v>6013</v>
      </c>
      <c r="B1960" s="7">
        <v>42597</v>
      </c>
      <c r="C1960" s="8">
        <f>DATE(2012,12,31)-1012</f>
        <v>40262</v>
      </c>
      <c r="D1960" s="8" t="str">
        <f t="shared" si="38"/>
        <v>2010-03 (март 2010)</v>
      </c>
      <c r="E1960" s="9" t="s">
        <v>63</v>
      </c>
      <c r="F1960" s="7">
        <v>5</v>
      </c>
      <c r="G1960" s="7">
        <v>29.66</v>
      </c>
      <c r="H1960" s="7">
        <v>0.04</v>
      </c>
      <c r="I1960" s="9" t="s">
        <v>22</v>
      </c>
      <c r="J1960" s="10">
        <v>-32.78</v>
      </c>
      <c r="K1960" s="11">
        <v>4.9800000000000004</v>
      </c>
      <c r="L1960" s="11">
        <v>4.32</v>
      </c>
      <c r="M1960" s="9" t="s">
        <v>1233</v>
      </c>
      <c r="N1960" s="6" t="s">
        <v>1123</v>
      </c>
      <c r="O1960" s="6" t="s">
        <v>1123</v>
      </c>
      <c r="P1960" s="9" t="s">
        <v>41</v>
      </c>
      <c r="Q1960" s="9" t="s">
        <v>42</v>
      </c>
      <c r="R1960" s="9" t="s">
        <v>70</v>
      </c>
      <c r="S1960" s="7" t="s">
        <v>1064</v>
      </c>
      <c r="T1960" s="9" t="s">
        <v>52</v>
      </c>
      <c r="U1960" s="7">
        <v>0.64</v>
      </c>
      <c r="V1960" s="12">
        <f>C1960+2</f>
        <v>40264</v>
      </c>
      <c r="W1960">
        <f>IF(D1960=' Pivot Tables'!$A$4,1,0)</f>
        <v>0</v>
      </c>
      <c r="X1960">
        <f>IF(AND(LEFT(D1960,4)+1=LEFT(' Pivot Tables'!$A$4,4)+0,RIGHT(LEFT(D1960,7),2)=RIGHT(LEFT(' Pivot Tables'!$A$4,7),2)),1,0)</f>
        <v>0</v>
      </c>
      <c r="Y1960" s="6">
        <f>1/COUNTIF(Таблица1[Order ID],Таблица1[[#This Row],[Order ID]])</f>
        <v>1</v>
      </c>
      <c r="Z1960" s="9">
        <f>1/COUNTIFS(Таблица1[Customer Name],Таблица1[[#This Row],[Customer Name]],Таблица1[Order-Year-Month],Таблица1[[#This Row],[Order-Year-Month]])</f>
        <v>1</v>
      </c>
    </row>
    <row r="1961" spans="1:26" x14ac:dyDescent="0.2">
      <c r="A1961" s="6">
        <v>6587</v>
      </c>
      <c r="B1961" s="7">
        <v>46884</v>
      </c>
      <c r="C1961" s="8">
        <f>DATE(2012,12,31)-1444</f>
        <v>39830</v>
      </c>
      <c r="D1961" s="8" t="str">
        <f t="shared" si="38"/>
        <v>2009-01 (январь 2009)</v>
      </c>
      <c r="E1961" s="9" t="s">
        <v>63</v>
      </c>
      <c r="F1961" s="7">
        <v>25</v>
      </c>
      <c r="G1961" s="7">
        <v>280.43</v>
      </c>
      <c r="H1961" s="7">
        <v>0.1</v>
      </c>
      <c r="I1961" s="9" t="s">
        <v>22</v>
      </c>
      <c r="J1961" s="10">
        <v>39.520000000000003</v>
      </c>
      <c r="K1961" s="11">
        <v>11.55</v>
      </c>
      <c r="L1961" s="11">
        <v>2.36</v>
      </c>
      <c r="M1961" s="9" t="s">
        <v>1233</v>
      </c>
      <c r="N1961" s="6" t="s">
        <v>1123</v>
      </c>
      <c r="O1961" s="6" t="s">
        <v>1123</v>
      </c>
      <c r="P1961" s="9" t="s">
        <v>41</v>
      </c>
      <c r="Q1961" s="9" t="s">
        <v>26</v>
      </c>
      <c r="R1961" s="9" t="s">
        <v>95</v>
      </c>
      <c r="S1961" s="7" t="s">
        <v>990</v>
      </c>
      <c r="T1961" s="9" t="s">
        <v>68</v>
      </c>
      <c r="U1961" s="7">
        <v>0.55000000000000004</v>
      </c>
      <c r="V1961" s="12">
        <f>C1961+1</f>
        <v>39831</v>
      </c>
      <c r="W1961">
        <f>IF(D1961=' Pivot Tables'!$A$4,1,0)</f>
        <v>0</v>
      </c>
      <c r="X1961">
        <f>IF(AND(LEFT(D1961,4)+1=LEFT(' Pivot Tables'!$A$4,4)+0,RIGHT(LEFT(D1961,7),2)=RIGHT(LEFT(' Pivot Tables'!$A$4,7),2)),1,0)</f>
        <v>1</v>
      </c>
      <c r="Y1961" s="6">
        <f>1/COUNTIF(Таблица1[Order ID],Таблица1[[#This Row],[Order ID]])</f>
        <v>0.33333333333333331</v>
      </c>
      <c r="Z1961" s="9">
        <f>1/COUNTIFS(Таблица1[Customer Name],Таблица1[[#This Row],[Customer Name]],Таблица1[Order-Year-Month],Таблица1[[#This Row],[Order-Year-Month]])</f>
        <v>0.33333333333333331</v>
      </c>
    </row>
    <row r="1962" spans="1:26" x14ac:dyDescent="0.2">
      <c r="A1962" s="6">
        <v>7347</v>
      </c>
      <c r="B1962" s="7">
        <v>52325</v>
      </c>
      <c r="C1962" s="8">
        <f>DATE(2012,12,31)-170</f>
        <v>41104</v>
      </c>
      <c r="D1962" s="8" t="str">
        <f t="shared" si="38"/>
        <v>2012-07 (июль 2012)</v>
      </c>
      <c r="E1962" s="9" t="s">
        <v>45</v>
      </c>
      <c r="F1962" s="7">
        <v>23</v>
      </c>
      <c r="G1962" s="7">
        <v>5126.3</v>
      </c>
      <c r="H1962" s="7">
        <v>7.0000000000000007E-2</v>
      </c>
      <c r="I1962" s="9" t="s">
        <v>22</v>
      </c>
      <c r="J1962" s="10">
        <v>2019.192</v>
      </c>
      <c r="K1962" s="11">
        <v>223.98</v>
      </c>
      <c r="L1962" s="11">
        <v>15.01</v>
      </c>
      <c r="M1962" s="9" t="s">
        <v>993</v>
      </c>
      <c r="N1962" s="6" t="s">
        <v>1123</v>
      </c>
      <c r="O1962" s="6" t="s">
        <v>1123</v>
      </c>
      <c r="P1962" s="9" t="s">
        <v>41</v>
      </c>
      <c r="Q1962" s="9" t="s">
        <v>26</v>
      </c>
      <c r="R1962" s="9" t="s">
        <v>37</v>
      </c>
      <c r="S1962" s="7" t="s">
        <v>348</v>
      </c>
      <c r="T1962" s="9" t="s">
        <v>39</v>
      </c>
      <c r="U1962" s="7">
        <v>0.38</v>
      </c>
      <c r="V1962" s="12">
        <f>C1962+0</f>
        <v>41104</v>
      </c>
      <c r="W1962">
        <f>IF(D1962=' Pivot Tables'!$A$4,1,0)</f>
        <v>0</v>
      </c>
      <c r="X1962">
        <f>IF(AND(LEFT(D1962,4)+1=LEFT(' Pivot Tables'!$A$4,4)+0,RIGHT(LEFT(D1962,7),2)=RIGHT(LEFT(' Pivot Tables'!$A$4,7),2)),1,0)</f>
        <v>0</v>
      </c>
      <c r="Y1962" s="6">
        <f>1/COUNTIF(Таблица1[Order ID],Таблица1[[#This Row],[Order ID]])</f>
        <v>1</v>
      </c>
      <c r="Z1962" s="9">
        <f>1/COUNTIFS(Таблица1[Customer Name],Таблица1[[#This Row],[Customer Name]],Таблица1[Order-Year-Month],Таблица1[[#This Row],[Order-Year-Month]])</f>
        <v>1</v>
      </c>
    </row>
    <row r="1963" spans="1:26" x14ac:dyDescent="0.2">
      <c r="A1963" s="6">
        <v>7478</v>
      </c>
      <c r="B1963" s="7">
        <v>53382</v>
      </c>
      <c r="C1963" s="8">
        <f>DATE(2012,12,31)-1100</f>
        <v>40174</v>
      </c>
      <c r="D1963" s="8" t="str">
        <f t="shared" si="38"/>
        <v>2009-12 (декабрь 2009)</v>
      </c>
      <c r="E1963" s="9" t="s">
        <v>45</v>
      </c>
      <c r="F1963" s="7">
        <v>13</v>
      </c>
      <c r="G1963" s="7">
        <v>88.17</v>
      </c>
      <c r="H1963" s="7">
        <v>0.1</v>
      </c>
      <c r="I1963" s="9" t="s">
        <v>22</v>
      </c>
      <c r="J1963" s="10">
        <v>-572.49</v>
      </c>
      <c r="K1963" s="11">
        <v>3.25</v>
      </c>
      <c r="L1963" s="11">
        <v>49</v>
      </c>
      <c r="M1963" s="9" t="s">
        <v>993</v>
      </c>
      <c r="N1963" s="6" t="s">
        <v>1123</v>
      </c>
      <c r="O1963" s="6" t="s">
        <v>1123</v>
      </c>
      <c r="P1963" s="9" t="s">
        <v>41</v>
      </c>
      <c r="Q1963" s="9" t="s">
        <v>26</v>
      </c>
      <c r="R1963" s="9" t="s">
        <v>34</v>
      </c>
      <c r="S1963" s="7" t="s">
        <v>1241</v>
      </c>
      <c r="T1963" s="9" t="s">
        <v>29</v>
      </c>
      <c r="U1963" s="7">
        <v>0.56000000000000005</v>
      </c>
      <c r="V1963" s="12">
        <f>C1963+1</f>
        <v>40175</v>
      </c>
      <c r="W1963">
        <f>IF(D1963=' Pivot Tables'!$A$4,1,0)</f>
        <v>0</v>
      </c>
      <c r="X1963">
        <f>IF(AND(LEFT(D1963,4)+1=LEFT(' Pivot Tables'!$A$4,4)+0,RIGHT(LEFT(D1963,7),2)=RIGHT(LEFT(' Pivot Tables'!$A$4,7),2)),1,0)</f>
        <v>0</v>
      </c>
      <c r="Y1963" s="6">
        <f>1/COUNTIF(Таблица1[Order ID],Таблица1[[#This Row],[Order ID]])</f>
        <v>0.5</v>
      </c>
      <c r="Z1963" s="9">
        <f>1/COUNTIFS(Таблица1[Customer Name],Таблица1[[#This Row],[Customer Name]],Таблица1[Order-Year-Month],Таблица1[[#This Row],[Order-Year-Month]])</f>
        <v>0.5</v>
      </c>
    </row>
    <row r="1964" spans="1:26" x14ac:dyDescent="0.2">
      <c r="A1964" s="6">
        <v>7479</v>
      </c>
      <c r="B1964" s="7">
        <v>53382</v>
      </c>
      <c r="C1964" s="8">
        <f>DATE(2012,12,31)-1100</f>
        <v>40174</v>
      </c>
      <c r="D1964" s="8" t="str">
        <f t="shared" si="38"/>
        <v>2009-12 (декабрь 2009)</v>
      </c>
      <c r="E1964" s="9" t="s">
        <v>45</v>
      </c>
      <c r="F1964" s="7">
        <v>15</v>
      </c>
      <c r="G1964" s="7">
        <v>4760.0200000000004</v>
      </c>
      <c r="H1964" s="7">
        <v>0</v>
      </c>
      <c r="I1964" s="9" t="s">
        <v>31</v>
      </c>
      <c r="J1964" s="10">
        <v>658.88</v>
      </c>
      <c r="K1964" s="11">
        <v>300.98</v>
      </c>
      <c r="L1964" s="11">
        <v>64.73</v>
      </c>
      <c r="M1964" s="9" t="s">
        <v>993</v>
      </c>
      <c r="N1964" s="6" t="s">
        <v>1123</v>
      </c>
      <c r="O1964" s="6" t="s">
        <v>1123</v>
      </c>
      <c r="P1964" s="9" t="s">
        <v>41</v>
      </c>
      <c r="Q1964" s="9" t="s">
        <v>49</v>
      </c>
      <c r="R1964" s="9" t="s">
        <v>112</v>
      </c>
      <c r="S1964" s="7" t="s">
        <v>168</v>
      </c>
      <c r="T1964" s="9" t="s">
        <v>36</v>
      </c>
      <c r="U1964" s="7">
        <v>0.56000000000000005</v>
      </c>
      <c r="V1964" s="12">
        <f>C1964+1</f>
        <v>40175</v>
      </c>
      <c r="W1964">
        <f>IF(D1964=' Pivot Tables'!$A$4,1,0)</f>
        <v>0</v>
      </c>
      <c r="X1964">
        <f>IF(AND(LEFT(D1964,4)+1=LEFT(' Pivot Tables'!$A$4,4)+0,RIGHT(LEFT(D1964,7),2)=RIGHT(LEFT(' Pivot Tables'!$A$4,7),2)),1,0)</f>
        <v>0</v>
      </c>
      <c r="Y1964" s="6">
        <f>1/COUNTIF(Таблица1[Order ID],Таблица1[[#This Row],[Order ID]])</f>
        <v>0.5</v>
      </c>
      <c r="Z1964" s="9">
        <f>1/COUNTIFS(Таблица1[Customer Name],Таблица1[[#This Row],[Customer Name]],Таблица1[Order-Year-Month],Таблица1[[#This Row],[Order-Year-Month]])</f>
        <v>0.5</v>
      </c>
    </row>
    <row r="1965" spans="1:26" x14ac:dyDescent="0.2">
      <c r="A1965" s="6">
        <v>7523</v>
      </c>
      <c r="B1965" s="7">
        <v>53728</v>
      </c>
      <c r="C1965" s="8">
        <f>DATE(2012,12,31)-436</f>
        <v>40838</v>
      </c>
      <c r="D1965" s="8" t="str">
        <f t="shared" si="38"/>
        <v>2011-10 (октябрь 2011)</v>
      </c>
      <c r="E1965" s="9" t="s">
        <v>30</v>
      </c>
      <c r="F1965" s="7">
        <v>27</v>
      </c>
      <c r="G1965" s="7">
        <v>1502.66</v>
      </c>
      <c r="H1965" s="7">
        <v>7.0000000000000007E-2</v>
      </c>
      <c r="I1965" s="9" t="s">
        <v>22</v>
      </c>
      <c r="J1965" s="10">
        <v>637.60199999999998</v>
      </c>
      <c r="K1965" s="11">
        <v>58.1</v>
      </c>
      <c r="L1965" s="11">
        <v>1.49</v>
      </c>
      <c r="M1965" s="9" t="s">
        <v>993</v>
      </c>
      <c r="N1965" s="6" t="s">
        <v>1123</v>
      </c>
      <c r="O1965" s="6" t="s">
        <v>1123</v>
      </c>
      <c r="P1965" s="9" t="s">
        <v>41</v>
      </c>
      <c r="Q1965" s="9" t="s">
        <v>26</v>
      </c>
      <c r="R1965" s="9" t="s">
        <v>37</v>
      </c>
      <c r="S1965" s="7" t="s">
        <v>142</v>
      </c>
      <c r="T1965" s="9" t="s">
        <v>39</v>
      </c>
      <c r="U1965" s="7">
        <v>0.38</v>
      </c>
      <c r="V1965" s="12">
        <f>C1965+1</f>
        <v>40839</v>
      </c>
      <c r="W1965">
        <f>IF(D1965=' Pivot Tables'!$A$4,1,0)</f>
        <v>0</v>
      </c>
      <c r="X1965">
        <f>IF(AND(LEFT(D1965,4)+1=LEFT(' Pivot Tables'!$A$4,4)+0,RIGHT(LEFT(D1965,7),2)=RIGHT(LEFT(' Pivot Tables'!$A$4,7),2)),1,0)</f>
        <v>0</v>
      </c>
      <c r="Y1965" s="6">
        <f>1/COUNTIF(Таблица1[Order ID],Таблица1[[#This Row],[Order ID]])</f>
        <v>1</v>
      </c>
      <c r="Z1965" s="9">
        <f>1/COUNTIFS(Таблица1[Customer Name],Таблица1[[#This Row],[Customer Name]],Таблица1[Order-Year-Month],Таблица1[[#This Row],[Order-Year-Month]])</f>
        <v>1</v>
      </c>
    </row>
    <row r="1966" spans="1:26" x14ac:dyDescent="0.2">
      <c r="A1966" s="6">
        <v>10</v>
      </c>
      <c r="B1966" s="7">
        <v>65</v>
      </c>
      <c r="C1966" s="8">
        <f>DATE(2012,12,31)-655</f>
        <v>40619</v>
      </c>
      <c r="D1966" s="8" t="str">
        <f t="shared" si="38"/>
        <v>2011-03 (март 2011)</v>
      </c>
      <c r="E1966" s="9" t="s">
        <v>78</v>
      </c>
      <c r="F1966" s="7">
        <v>32</v>
      </c>
      <c r="G1966" s="7">
        <v>3812.73</v>
      </c>
      <c r="H1966" s="7">
        <v>0.02</v>
      </c>
      <c r="I1966" s="9" t="s">
        <v>22</v>
      </c>
      <c r="J1966" s="10">
        <v>1470.3</v>
      </c>
      <c r="K1966" s="11">
        <v>115.79</v>
      </c>
      <c r="L1966" s="11">
        <v>1.99</v>
      </c>
      <c r="M1966" s="9" t="s">
        <v>1242</v>
      </c>
      <c r="N1966" s="6" t="s">
        <v>1123</v>
      </c>
      <c r="O1966" s="6" t="s">
        <v>1123</v>
      </c>
      <c r="P1966" s="9" t="s">
        <v>41</v>
      </c>
      <c r="Q1966" s="9" t="s">
        <v>42</v>
      </c>
      <c r="R1966" s="9" t="s">
        <v>70</v>
      </c>
      <c r="S1966" s="7" t="s">
        <v>1047</v>
      </c>
      <c r="T1966" s="9" t="s">
        <v>52</v>
      </c>
      <c r="U1966" s="7">
        <v>0.49</v>
      </c>
      <c r="V1966" s="12">
        <f>C1966+1</f>
        <v>40620</v>
      </c>
      <c r="W1966">
        <f>IF(D1966=' Pivot Tables'!$A$4,1,0)</f>
        <v>0</v>
      </c>
      <c r="X1966">
        <f>IF(AND(LEFT(D1966,4)+1=LEFT(' Pivot Tables'!$A$4,4)+0,RIGHT(LEFT(D1966,7),2)=RIGHT(LEFT(' Pivot Tables'!$A$4,7),2)),1,0)</f>
        <v>0</v>
      </c>
      <c r="Y1966" s="6">
        <f>1/COUNTIF(Таблица1[Order ID],Таблица1[[#This Row],[Order ID]])</f>
        <v>1</v>
      </c>
      <c r="Z1966" s="9">
        <f>1/COUNTIFS(Таблица1[Customer Name],Таблица1[[#This Row],[Customer Name]],Таблица1[Order-Year-Month],Таблица1[[#This Row],[Order-Year-Month]])</f>
        <v>1</v>
      </c>
    </row>
    <row r="1967" spans="1:26" x14ac:dyDescent="0.2">
      <c r="A1967" s="6">
        <v>39</v>
      </c>
      <c r="B1967" s="7">
        <v>230</v>
      </c>
      <c r="C1967" s="8">
        <f>DATE(2012,12,31)-797</f>
        <v>40477</v>
      </c>
      <c r="D1967" s="8" t="str">
        <f t="shared" si="38"/>
        <v>2010-10 (октябрь 2010)</v>
      </c>
      <c r="E1967" s="9" t="s">
        <v>78</v>
      </c>
      <c r="F1967" s="7">
        <v>47</v>
      </c>
      <c r="G1967" s="7">
        <v>2029.75</v>
      </c>
      <c r="H1967" s="7">
        <v>0.06</v>
      </c>
      <c r="I1967" s="9" t="s">
        <v>22</v>
      </c>
      <c r="J1967" s="10">
        <v>320.37</v>
      </c>
      <c r="K1967" s="11">
        <v>43.98</v>
      </c>
      <c r="L1967" s="11">
        <v>8.99</v>
      </c>
      <c r="M1967" s="9" t="s">
        <v>1243</v>
      </c>
      <c r="N1967" s="6" t="s">
        <v>1123</v>
      </c>
      <c r="O1967" s="6" t="s">
        <v>1123</v>
      </c>
      <c r="P1967" s="9" t="s">
        <v>41</v>
      </c>
      <c r="Q1967" s="9" t="s">
        <v>26</v>
      </c>
      <c r="R1967" s="9" t="s">
        <v>95</v>
      </c>
      <c r="S1967" s="7" t="s">
        <v>858</v>
      </c>
      <c r="T1967" s="9" t="s">
        <v>52</v>
      </c>
      <c r="U1967" s="7">
        <v>0.57999999999999996</v>
      </c>
      <c r="V1967" s="12">
        <f>C1967+2</f>
        <v>40479</v>
      </c>
      <c r="W1967">
        <f>IF(D1967=' Pivot Tables'!$A$4,1,0)</f>
        <v>0</v>
      </c>
      <c r="X1967">
        <f>IF(AND(LEFT(D1967,4)+1=LEFT(' Pivot Tables'!$A$4,4)+0,RIGHT(LEFT(D1967,7),2)=RIGHT(LEFT(' Pivot Tables'!$A$4,7),2)),1,0)</f>
        <v>0</v>
      </c>
      <c r="Y1967" s="6">
        <f>1/COUNTIF(Таблица1[Order ID],Таблица1[[#This Row],[Order ID]])</f>
        <v>0.5</v>
      </c>
      <c r="Z1967" s="9">
        <f>1/COUNTIFS(Таблица1[Customer Name],Таблица1[[#This Row],[Customer Name]],Таблица1[Order-Year-Month],Таблица1[[#This Row],[Order-Year-Month]])</f>
        <v>0.5</v>
      </c>
    </row>
    <row r="1968" spans="1:26" x14ac:dyDescent="0.2">
      <c r="A1968" s="6">
        <v>40</v>
      </c>
      <c r="B1968" s="7">
        <v>230</v>
      </c>
      <c r="C1968" s="8">
        <f>DATE(2012,12,31)-797</f>
        <v>40477</v>
      </c>
      <c r="D1968" s="8" t="str">
        <f t="shared" si="38"/>
        <v>2010-10 (октябрь 2010)</v>
      </c>
      <c r="E1968" s="9" t="s">
        <v>78</v>
      </c>
      <c r="F1968" s="7">
        <v>11</v>
      </c>
      <c r="G1968" s="7">
        <v>1118.396</v>
      </c>
      <c r="H1968" s="7">
        <v>0.06</v>
      </c>
      <c r="I1968" s="9" t="s">
        <v>22</v>
      </c>
      <c r="J1968" s="10">
        <v>-212.333</v>
      </c>
      <c r="K1968" s="11">
        <v>125.99</v>
      </c>
      <c r="L1968" s="11">
        <v>8.08</v>
      </c>
      <c r="M1968" s="9" t="s">
        <v>1243</v>
      </c>
      <c r="N1968" s="6" t="s">
        <v>1123</v>
      </c>
      <c r="O1968" s="6" t="s">
        <v>1123</v>
      </c>
      <c r="P1968" s="9" t="s">
        <v>41</v>
      </c>
      <c r="Q1968" s="9" t="s">
        <v>42</v>
      </c>
      <c r="R1968" s="9" t="s">
        <v>43</v>
      </c>
      <c r="S1968" s="7" t="s">
        <v>271</v>
      </c>
      <c r="T1968" s="9" t="s">
        <v>39</v>
      </c>
      <c r="U1968" s="7">
        <v>0.56999999999999995</v>
      </c>
      <c r="V1968" s="12">
        <f>C1968+2</f>
        <v>40479</v>
      </c>
      <c r="W1968">
        <f>IF(D1968=' Pivot Tables'!$A$4,1,0)</f>
        <v>0</v>
      </c>
      <c r="X1968">
        <f>IF(AND(LEFT(D1968,4)+1=LEFT(' Pivot Tables'!$A$4,4)+0,RIGHT(LEFT(D1968,7),2)=RIGHT(LEFT(' Pivot Tables'!$A$4,7),2)),1,0)</f>
        <v>0</v>
      </c>
      <c r="Y1968" s="6">
        <f>1/COUNTIF(Таблица1[Order ID],Таблица1[[#This Row],[Order ID]])</f>
        <v>0.5</v>
      </c>
      <c r="Z1968" s="9">
        <f>1/COUNTIFS(Таблица1[Customer Name],Таблица1[[#This Row],[Customer Name]],Таблица1[Order-Year-Month],Таблица1[[#This Row],[Order-Year-Month]])</f>
        <v>0.5</v>
      </c>
    </row>
    <row r="1969" spans="1:26" x14ac:dyDescent="0.2">
      <c r="A1969" s="6">
        <v>61</v>
      </c>
      <c r="B1969" s="7">
        <v>355</v>
      </c>
      <c r="C1969" s="8">
        <f>DATE(2012,12,31)-1297</f>
        <v>39977</v>
      </c>
      <c r="D1969" s="8" t="str">
        <f t="shared" si="38"/>
        <v>2009-06 (июнь 2009)</v>
      </c>
      <c r="E1969" s="9" t="s">
        <v>21</v>
      </c>
      <c r="F1969" s="7">
        <v>16</v>
      </c>
      <c r="G1969" s="7">
        <v>1239.6315</v>
      </c>
      <c r="H1969" s="7">
        <v>0</v>
      </c>
      <c r="I1969" s="9" t="s">
        <v>22</v>
      </c>
      <c r="J1969" s="10">
        <v>-172.54600000000002</v>
      </c>
      <c r="K1969" s="11">
        <v>85.99</v>
      </c>
      <c r="L1969" s="11">
        <v>0.99</v>
      </c>
      <c r="M1969" s="9" t="s">
        <v>1244</v>
      </c>
      <c r="N1969" s="6" t="s">
        <v>1123</v>
      </c>
      <c r="O1969" s="6" t="s">
        <v>1123</v>
      </c>
      <c r="P1969" s="9" t="s">
        <v>25</v>
      </c>
      <c r="Q1969" s="9" t="s">
        <v>42</v>
      </c>
      <c r="R1969" s="9" t="s">
        <v>43</v>
      </c>
      <c r="S1969" s="7" t="s">
        <v>146</v>
      </c>
      <c r="T1969" s="9" t="s">
        <v>68</v>
      </c>
      <c r="U1969" s="7">
        <v>0.85</v>
      </c>
      <c r="V1969" s="12">
        <f>C1969+5</f>
        <v>39982</v>
      </c>
      <c r="W1969">
        <f>IF(D1969=' Pivot Tables'!$A$4,1,0)</f>
        <v>0</v>
      </c>
      <c r="X1969">
        <f>IF(AND(LEFT(D1969,4)+1=LEFT(' Pivot Tables'!$A$4,4)+0,RIGHT(LEFT(D1969,7),2)=RIGHT(LEFT(' Pivot Tables'!$A$4,7),2)),1,0)</f>
        <v>0</v>
      </c>
      <c r="Y1969" s="6">
        <f>1/COUNTIF(Таблица1[Order ID],Таблица1[[#This Row],[Order ID]])</f>
        <v>1</v>
      </c>
      <c r="Z1969" s="9">
        <f>1/COUNTIFS(Таблица1[Customer Name],Таблица1[[#This Row],[Customer Name]],Таблица1[Order-Year-Month],Таблица1[[#This Row],[Order-Year-Month]])</f>
        <v>1</v>
      </c>
    </row>
    <row r="1970" spans="1:26" x14ac:dyDescent="0.2">
      <c r="A1970" s="6">
        <v>75</v>
      </c>
      <c r="B1970" s="7">
        <v>449</v>
      </c>
      <c r="C1970" s="8">
        <f>DATE(2012,12,31)-531</f>
        <v>40743</v>
      </c>
      <c r="D1970" s="8" t="str">
        <f t="shared" si="38"/>
        <v>2011-07 (июль 2011)</v>
      </c>
      <c r="E1970" s="9" t="s">
        <v>30</v>
      </c>
      <c r="F1970" s="7">
        <v>45</v>
      </c>
      <c r="G1970" s="7">
        <v>356.7</v>
      </c>
      <c r="H1970" s="7">
        <v>0.02</v>
      </c>
      <c r="I1970" s="9" t="s">
        <v>22</v>
      </c>
      <c r="J1970" s="10">
        <v>-48.97</v>
      </c>
      <c r="K1970" s="11">
        <v>7.38</v>
      </c>
      <c r="L1970" s="11">
        <v>5.21</v>
      </c>
      <c r="M1970" s="9" t="s">
        <v>1245</v>
      </c>
      <c r="N1970" s="6" t="s">
        <v>1123</v>
      </c>
      <c r="O1970" s="6" t="s">
        <v>1123</v>
      </c>
      <c r="P1970" s="9" t="s">
        <v>41</v>
      </c>
      <c r="Q1970" s="9" t="s">
        <v>49</v>
      </c>
      <c r="R1970" s="9" t="s">
        <v>50</v>
      </c>
      <c r="S1970" s="7" t="s">
        <v>514</v>
      </c>
      <c r="T1970" s="9" t="s">
        <v>39</v>
      </c>
      <c r="U1970" s="7">
        <v>0.56000000000000005</v>
      </c>
      <c r="V1970" s="12">
        <f>C1970+2</f>
        <v>40745</v>
      </c>
      <c r="W1970">
        <f>IF(D1970=' Pivot Tables'!$A$4,1,0)</f>
        <v>0</v>
      </c>
      <c r="X1970">
        <f>IF(AND(LEFT(D1970,4)+1=LEFT(' Pivot Tables'!$A$4,4)+0,RIGHT(LEFT(D1970,7),2)=RIGHT(LEFT(' Pivot Tables'!$A$4,7),2)),1,0)</f>
        <v>0</v>
      </c>
      <c r="Y1970" s="6">
        <f>1/COUNTIF(Таблица1[Order ID],Таблица1[[#This Row],[Order ID]])</f>
        <v>1</v>
      </c>
      <c r="Z1970" s="9">
        <f>1/COUNTIFS(Таблица1[Customer Name],Таблица1[[#This Row],[Customer Name]],Таблица1[Order-Year-Month],Таблица1[[#This Row],[Order-Year-Month]])</f>
        <v>1</v>
      </c>
    </row>
    <row r="1971" spans="1:26" x14ac:dyDescent="0.2">
      <c r="A1971" s="6">
        <v>101</v>
      </c>
      <c r="B1971" s="7">
        <v>640</v>
      </c>
      <c r="C1971" s="8">
        <f>DATE(2012,12,31)-1074</f>
        <v>40200</v>
      </c>
      <c r="D1971" s="8" t="str">
        <f t="shared" si="38"/>
        <v>2010-01 (январь 2010)</v>
      </c>
      <c r="E1971" s="9" t="s">
        <v>30</v>
      </c>
      <c r="F1971" s="7">
        <v>39</v>
      </c>
      <c r="G1971" s="7">
        <v>4913.6899999999996</v>
      </c>
      <c r="H1971" s="7">
        <v>0.02</v>
      </c>
      <c r="I1971" s="9" t="s">
        <v>31</v>
      </c>
      <c r="J1971" s="10">
        <v>-1153.9000000000001</v>
      </c>
      <c r="K1971" s="11">
        <v>120.98</v>
      </c>
      <c r="L1971" s="11">
        <v>58.64</v>
      </c>
      <c r="M1971" s="9" t="s">
        <v>1246</v>
      </c>
      <c r="N1971" s="6" t="s">
        <v>1123</v>
      </c>
      <c r="O1971" s="6" t="s">
        <v>1123</v>
      </c>
      <c r="P1971" s="9" t="s">
        <v>33</v>
      </c>
      <c r="Q1971" s="9" t="s">
        <v>49</v>
      </c>
      <c r="R1971" s="9" t="s">
        <v>80</v>
      </c>
      <c r="S1971" s="7" t="s">
        <v>1247</v>
      </c>
      <c r="T1971" s="9" t="s">
        <v>82</v>
      </c>
      <c r="U1971" s="7">
        <v>0.75</v>
      </c>
      <c r="V1971" s="12">
        <f>C1971+1</f>
        <v>40201</v>
      </c>
      <c r="W1971">
        <f>IF(D1971=' Pivot Tables'!$A$4,1,0)</f>
        <v>1</v>
      </c>
      <c r="X1971">
        <f>IF(AND(LEFT(D1971,4)+1=LEFT(' Pivot Tables'!$A$4,4)+0,RIGHT(LEFT(D1971,7),2)=RIGHT(LEFT(' Pivot Tables'!$A$4,7),2)),1,0)</f>
        <v>0</v>
      </c>
      <c r="Y1971" s="6">
        <f>1/COUNTIF(Таблица1[Order ID],Таблица1[[#This Row],[Order ID]])</f>
        <v>0.5</v>
      </c>
      <c r="Z1971" s="9">
        <f>1/COUNTIFS(Таблица1[Customer Name],Таблица1[[#This Row],[Customer Name]],Таблица1[Order-Year-Month],Таблица1[[#This Row],[Order-Year-Month]])</f>
        <v>0.5</v>
      </c>
    </row>
    <row r="1972" spans="1:26" x14ac:dyDescent="0.2">
      <c r="A1972" s="6">
        <v>102</v>
      </c>
      <c r="B1972" s="7">
        <v>640</v>
      </c>
      <c r="C1972" s="8">
        <f>DATE(2012,12,31)-1074</f>
        <v>40200</v>
      </c>
      <c r="D1972" s="8" t="str">
        <f t="shared" si="38"/>
        <v>2010-01 (январь 2010)</v>
      </c>
      <c r="E1972" s="9" t="s">
        <v>30</v>
      </c>
      <c r="F1972" s="7">
        <v>24</v>
      </c>
      <c r="G1972" s="7">
        <v>464.77</v>
      </c>
      <c r="H1972" s="7">
        <v>0.01</v>
      </c>
      <c r="I1972" s="9" t="s">
        <v>22</v>
      </c>
      <c r="J1972" s="10">
        <v>29.42</v>
      </c>
      <c r="K1972" s="11">
        <v>18.97</v>
      </c>
      <c r="L1972" s="11">
        <v>9.5399999999999991</v>
      </c>
      <c r="M1972" s="9" t="s">
        <v>1246</v>
      </c>
      <c r="N1972" s="6" t="s">
        <v>1123</v>
      </c>
      <c r="O1972" s="6" t="s">
        <v>1123</v>
      </c>
      <c r="P1972" s="9" t="s">
        <v>33</v>
      </c>
      <c r="Q1972" s="9" t="s">
        <v>26</v>
      </c>
      <c r="R1972" s="9" t="s">
        <v>61</v>
      </c>
      <c r="S1972" s="7" t="s">
        <v>581</v>
      </c>
      <c r="T1972" s="9" t="s">
        <v>39</v>
      </c>
      <c r="U1972" s="7">
        <v>0.37</v>
      </c>
      <c r="V1972" s="12">
        <f>C1972+1</f>
        <v>40201</v>
      </c>
      <c r="W1972">
        <f>IF(D1972=' Pivot Tables'!$A$4,1,0)</f>
        <v>1</v>
      </c>
      <c r="X1972">
        <f>IF(AND(LEFT(D1972,4)+1=LEFT(' Pivot Tables'!$A$4,4)+0,RIGHT(LEFT(D1972,7),2)=RIGHT(LEFT(' Pivot Tables'!$A$4,7),2)),1,0)</f>
        <v>0</v>
      </c>
      <c r="Y1972" s="6">
        <f>1/COUNTIF(Таблица1[Order ID],Таблица1[[#This Row],[Order ID]])</f>
        <v>0.5</v>
      </c>
      <c r="Z1972" s="9">
        <f>1/COUNTIFS(Таблица1[Customer Name],Таблица1[[#This Row],[Customer Name]],Таблица1[Order-Year-Month],Таблица1[[#This Row],[Order-Year-Month]])</f>
        <v>0.5</v>
      </c>
    </row>
    <row r="1973" spans="1:26" x14ac:dyDescent="0.2">
      <c r="A1973" s="6">
        <v>106</v>
      </c>
      <c r="B1973" s="7">
        <v>646</v>
      </c>
      <c r="C1973" s="8">
        <f>DATE(2012,12,31)-1136</f>
        <v>40138</v>
      </c>
      <c r="D1973" s="8" t="str">
        <f t="shared" si="38"/>
        <v>2009-11 (ноябрь 2009)</v>
      </c>
      <c r="E1973" s="9" t="s">
        <v>30</v>
      </c>
      <c r="F1973" s="7">
        <v>18</v>
      </c>
      <c r="G1973" s="7">
        <v>173.2</v>
      </c>
      <c r="H1973" s="7">
        <v>0.01</v>
      </c>
      <c r="I1973" s="9" t="s">
        <v>22</v>
      </c>
      <c r="J1973" s="10">
        <v>-10.9</v>
      </c>
      <c r="K1973" s="11">
        <v>9.31</v>
      </c>
      <c r="L1973" s="11">
        <v>3.98</v>
      </c>
      <c r="M1973" s="9" t="s">
        <v>1248</v>
      </c>
      <c r="N1973" s="6" t="s">
        <v>1123</v>
      </c>
      <c r="O1973" s="6" t="s">
        <v>1123</v>
      </c>
      <c r="P1973" s="9" t="s">
        <v>25</v>
      </c>
      <c r="Q1973" s="9" t="s">
        <v>26</v>
      </c>
      <c r="R1973" s="9" t="s">
        <v>150</v>
      </c>
      <c r="S1973" s="7" t="s">
        <v>1249</v>
      </c>
      <c r="T1973" s="9" t="s">
        <v>52</v>
      </c>
      <c r="U1973" s="7">
        <v>0.56000000000000005</v>
      </c>
      <c r="V1973" s="12">
        <f>C1973+1</f>
        <v>40139</v>
      </c>
      <c r="W1973">
        <f>IF(D1973=' Pivot Tables'!$A$4,1,0)</f>
        <v>0</v>
      </c>
      <c r="X1973">
        <f>IF(AND(LEFT(D1973,4)+1=LEFT(' Pivot Tables'!$A$4,4)+0,RIGHT(LEFT(D1973,7),2)=RIGHT(LEFT(' Pivot Tables'!$A$4,7),2)),1,0)</f>
        <v>0</v>
      </c>
      <c r="Y1973" s="6">
        <f>1/COUNTIF(Таблица1[Order ID],Таблица1[[#This Row],[Order ID]])</f>
        <v>1</v>
      </c>
      <c r="Z1973" s="9">
        <f>1/COUNTIFS(Таблица1[Customer Name],Таблица1[[#This Row],[Customer Name]],Таблица1[Order-Year-Month],Таблица1[[#This Row],[Order-Year-Month]])</f>
        <v>1</v>
      </c>
    </row>
    <row r="1974" spans="1:26" x14ac:dyDescent="0.2">
      <c r="A1974" s="6">
        <v>132</v>
      </c>
      <c r="B1974" s="7">
        <v>835</v>
      </c>
      <c r="C1974" s="8">
        <f>DATE(2012,12,31)-451</f>
        <v>40823</v>
      </c>
      <c r="D1974" s="8" t="str">
        <f t="shared" si="38"/>
        <v>2011-10 (октябрь 2011)</v>
      </c>
      <c r="E1974" s="9" t="s">
        <v>45</v>
      </c>
      <c r="F1974" s="7">
        <v>18</v>
      </c>
      <c r="G1974" s="7">
        <v>125.16</v>
      </c>
      <c r="H1974" s="7">
        <v>0.02</v>
      </c>
      <c r="I1974" s="9" t="s">
        <v>22</v>
      </c>
      <c r="J1974" s="10">
        <v>-23.48</v>
      </c>
      <c r="K1974" s="11">
        <v>6.48</v>
      </c>
      <c r="L1974" s="11">
        <v>5.14</v>
      </c>
      <c r="M1974" s="9" t="s">
        <v>1248</v>
      </c>
      <c r="N1974" s="6" t="s">
        <v>1123</v>
      </c>
      <c r="O1974" s="6" t="s">
        <v>1123</v>
      </c>
      <c r="P1974" s="9" t="s">
        <v>25</v>
      </c>
      <c r="Q1974" s="9" t="s">
        <v>26</v>
      </c>
      <c r="R1974" s="9" t="s">
        <v>61</v>
      </c>
      <c r="S1974" s="7" t="s">
        <v>1184</v>
      </c>
      <c r="T1974" s="9" t="s">
        <v>39</v>
      </c>
      <c r="U1974" s="7">
        <v>0.37</v>
      </c>
      <c r="V1974" s="12">
        <f>C1974+1</f>
        <v>40824</v>
      </c>
      <c r="W1974">
        <f>IF(D1974=' Pivot Tables'!$A$4,1,0)</f>
        <v>0</v>
      </c>
      <c r="X1974">
        <f>IF(AND(LEFT(D1974,4)+1=LEFT(' Pivot Tables'!$A$4,4)+0,RIGHT(LEFT(D1974,7),2)=RIGHT(LEFT(' Pivot Tables'!$A$4,7),2)),1,0)</f>
        <v>0</v>
      </c>
      <c r="Y1974" s="6">
        <f>1/COUNTIF(Таблица1[Order ID],Таблица1[[#This Row],[Order ID]])</f>
        <v>1</v>
      </c>
      <c r="Z1974" s="9">
        <f>1/COUNTIFS(Таблица1[Customer Name],Таблица1[[#This Row],[Customer Name]],Таблица1[Order-Year-Month],Таблица1[[#This Row],[Order-Year-Month]])</f>
        <v>1</v>
      </c>
    </row>
    <row r="1975" spans="1:26" x14ac:dyDescent="0.2">
      <c r="A1975" s="6">
        <v>138</v>
      </c>
      <c r="B1975" s="7">
        <v>896</v>
      </c>
      <c r="C1975" s="8">
        <f>DATE(2012,12,31)-1029</f>
        <v>40245</v>
      </c>
      <c r="D1975" s="8" t="str">
        <f t="shared" si="38"/>
        <v>2010-03 (март 2010)</v>
      </c>
      <c r="E1975" s="9" t="s">
        <v>78</v>
      </c>
      <c r="F1975" s="7">
        <v>50</v>
      </c>
      <c r="G1975" s="7">
        <v>1246.52</v>
      </c>
      <c r="H1975" s="7">
        <v>0.01</v>
      </c>
      <c r="I1975" s="9" t="s">
        <v>22</v>
      </c>
      <c r="J1975" s="10">
        <v>52.478999999999999</v>
      </c>
      <c r="K1975" s="11">
        <v>24.92</v>
      </c>
      <c r="L1975" s="11">
        <v>12.98</v>
      </c>
      <c r="M1975" s="9" t="s">
        <v>1250</v>
      </c>
      <c r="N1975" s="6" t="s">
        <v>1123</v>
      </c>
      <c r="O1975" s="6" t="s">
        <v>1123</v>
      </c>
      <c r="P1975" s="9" t="s">
        <v>60</v>
      </c>
      <c r="Q1975" s="9" t="s">
        <v>26</v>
      </c>
      <c r="R1975" s="9" t="s">
        <v>37</v>
      </c>
      <c r="S1975" s="7" t="s">
        <v>319</v>
      </c>
      <c r="T1975" s="9" t="s">
        <v>39</v>
      </c>
      <c r="U1975" s="7">
        <v>0.39</v>
      </c>
      <c r="V1975" s="12">
        <f>C1975+0</f>
        <v>40245</v>
      </c>
      <c r="W1975">
        <f>IF(D1975=' Pivot Tables'!$A$4,1,0)</f>
        <v>0</v>
      </c>
      <c r="X1975">
        <f>IF(AND(LEFT(D1975,4)+1=LEFT(' Pivot Tables'!$A$4,4)+0,RIGHT(LEFT(D1975,7),2)=RIGHT(LEFT(' Pivot Tables'!$A$4,7),2)),1,0)</f>
        <v>0</v>
      </c>
      <c r="Y1975" s="6">
        <f>1/COUNTIF(Таблица1[Order ID],Таблица1[[#This Row],[Order ID]])</f>
        <v>1</v>
      </c>
      <c r="Z1975" s="9">
        <f>1/COUNTIFS(Таблица1[Customer Name],Таблица1[[#This Row],[Customer Name]],Таблица1[Order-Year-Month],Таблица1[[#This Row],[Order-Year-Month]])</f>
        <v>1</v>
      </c>
    </row>
    <row r="1976" spans="1:26" x14ac:dyDescent="0.2">
      <c r="A1976" s="6">
        <v>159</v>
      </c>
      <c r="B1976" s="7">
        <v>994</v>
      </c>
      <c r="C1976" s="8">
        <f>DATE(2012,12,31)-1352</f>
        <v>39922</v>
      </c>
      <c r="D1976" s="8" t="str">
        <f t="shared" si="38"/>
        <v>2009-04 (апрель 2009)</v>
      </c>
      <c r="E1976" s="9" t="s">
        <v>21</v>
      </c>
      <c r="F1976" s="7">
        <v>38</v>
      </c>
      <c r="G1976" s="7">
        <v>132.07</v>
      </c>
      <c r="H1976" s="7">
        <v>0.06</v>
      </c>
      <c r="I1976" s="9" t="s">
        <v>22</v>
      </c>
      <c r="J1976" s="10">
        <v>14</v>
      </c>
      <c r="K1976" s="11">
        <v>3.58</v>
      </c>
      <c r="L1976" s="11">
        <v>1.63</v>
      </c>
      <c r="M1976" s="9" t="s">
        <v>1251</v>
      </c>
      <c r="N1976" s="6" t="s">
        <v>1123</v>
      </c>
      <c r="O1976" s="6" t="s">
        <v>1123</v>
      </c>
      <c r="P1976" s="9" t="s">
        <v>41</v>
      </c>
      <c r="Q1976" s="9" t="s">
        <v>26</v>
      </c>
      <c r="R1976" s="9" t="s">
        <v>66</v>
      </c>
      <c r="S1976" s="7" t="s">
        <v>1075</v>
      </c>
      <c r="T1976" s="9" t="s">
        <v>68</v>
      </c>
      <c r="U1976" s="7">
        <v>0.36</v>
      </c>
      <c r="V1976" s="12">
        <f>C1976+4</f>
        <v>39926</v>
      </c>
      <c r="W1976">
        <f>IF(D1976=' Pivot Tables'!$A$4,1,0)</f>
        <v>0</v>
      </c>
      <c r="X1976">
        <f>IF(AND(LEFT(D1976,4)+1=LEFT(' Pivot Tables'!$A$4,4)+0,RIGHT(LEFT(D1976,7),2)=RIGHT(LEFT(' Pivot Tables'!$A$4,7),2)),1,0)</f>
        <v>0</v>
      </c>
      <c r="Y1976" s="6">
        <f>1/COUNTIF(Таблица1[Order ID],Таблица1[[#This Row],[Order ID]])</f>
        <v>1</v>
      </c>
      <c r="Z1976" s="9">
        <f>1/COUNTIFS(Таблица1[Customer Name],Таблица1[[#This Row],[Customer Name]],Таблица1[Order-Year-Month],Таблица1[[#This Row],[Order-Year-Month]])</f>
        <v>0.5</v>
      </c>
    </row>
    <row r="1977" spans="1:26" x14ac:dyDescent="0.2">
      <c r="A1977" s="6">
        <v>167</v>
      </c>
      <c r="B1977" s="7">
        <v>1057</v>
      </c>
      <c r="C1977" s="8">
        <f>DATE(2012,12,31)-316</f>
        <v>40958</v>
      </c>
      <c r="D1977" s="8" t="str">
        <f t="shared" si="38"/>
        <v>2012-02 (февраль 2012)</v>
      </c>
      <c r="E1977" s="9" t="s">
        <v>78</v>
      </c>
      <c r="F1977" s="7">
        <v>41</v>
      </c>
      <c r="G1977" s="7">
        <v>341.36</v>
      </c>
      <c r="H1977" s="7">
        <v>0.09</v>
      </c>
      <c r="I1977" s="9" t="s">
        <v>22</v>
      </c>
      <c r="J1977" s="10">
        <v>-52.48</v>
      </c>
      <c r="K1977" s="11">
        <v>8.4600000000000009</v>
      </c>
      <c r="L1977" s="11">
        <v>3.62</v>
      </c>
      <c r="M1977" s="9" t="s">
        <v>1252</v>
      </c>
      <c r="N1977" s="6" t="s">
        <v>1123</v>
      </c>
      <c r="O1977" s="6" t="s">
        <v>1123</v>
      </c>
      <c r="P1977" s="9" t="s">
        <v>41</v>
      </c>
      <c r="Q1977" s="9" t="s">
        <v>42</v>
      </c>
      <c r="R1977" s="9" t="s">
        <v>70</v>
      </c>
      <c r="S1977" s="7" t="s">
        <v>1221</v>
      </c>
      <c r="T1977" s="9" t="s">
        <v>52</v>
      </c>
      <c r="U1977" s="7">
        <v>0.61</v>
      </c>
      <c r="V1977" s="12">
        <f>C1977+2</f>
        <v>40960</v>
      </c>
      <c r="W1977">
        <f>IF(D1977=' Pivot Tables'!$A$4,1,0)</f>
        <v>0</v>
      </c>
      <c r="X1977">
        <f>IF(AND(LEFT(D1977,4)+1=LEFT(' Pivot Tables'!$A$4,4)+0,RIGHT(LEFT(D1977,7),2)=RIGHT(LEFT(' Pivot Tables'!$A$4,7),2)),1,0)</f>
        <v>0</v>
      </c>
      <c r="Y1977" s="6">
        <f>1/COUNTIF(Таблица1[Order ID],Таблица1[[#This Row],[Order ID]])</f>
        <v>1</v>
      </c>
      <c r="Z1977" s="9">
        <f>1/COUNTIFS(Таблица1[Customer Name],Таблица1[[#This Row],[Customer Name]],Таблица1[Order-Year-Month],Таблица1[[#This Row],[Order-Year-Month]])</f>
        <v>1</v>
      </c>
    </row>
    <row r="1978" spans="1:26" x14ac:dyDescent="0.2">
      <c r="A1978" s="6">
        <v>228</v>
      </c>
      <c r="B1978" s="7">
        <v>1538</v>
      </c>
      <c r="C1978" s="8">
        <f>DATE(2012,12,31)-563</f>
        <v>40711</v>
      </c>
      <c r="D1978" s="8" t="str">
        <f t="shared" si="38"/>
        <v>2011-06 (июнь 2011)</v>
      </c>
      <c r="E1978" s="9" t="s">
        <v>45</v>
      </c>
      <c r="F1978" s="7">
        <v>15</v>
      </c>
      <c r="G1978" s="7">
        <v>1297.3040000000001</v>
      </c>
      <c r="H1978" s="7">
        <v>0</v>
      </c>
      <c r="I1978" s="9" t="s">
        <v>22</v>
      </c>
      <c r="J1978" s="10">
        <v>149.82300000000001</v>
      </c>
      <c r="K1978" s="11">
        <v>95.99</v>
      </c>
      <c r="L1978" s="11">
        <v>4.9000000000000004</v>
      </c>
      <c r="M1978" s="9" t="s">
        <v>1253</v>
      </c>
      <c r="N1978" s="6" t="s">
        <v>1123</v>
      </c>
      <c r="O1978" s="6" t="s">
        <v>1123</v>
      </c>
      <c r="P1978" s="9" t="s">
        <v>41</v>
      </c>
      <c r="Q1978" s="9" t="s">
        <v>42</v>
      </c>
      <c r="R1978" s="9" t="s">
        <v>43</v>
      </c>
      <c r="S1978" s="7" t="s">
        <v>1254</v>
      </c>
      <c r="T1978" s="9" t="s">
        <v>39</v>
      </c>
      <c r="U1978" s="7">
        <v>0.56000000000000005</v>
      </c>
      <c r="V1978" s="12">
        <f>C1978+1</f>
        <v>40712</v>
      </c>
      <c r="W1978">
        <f>IF(D1978=' Pivot Tables'!$A$4,1,0)</f>
        <v>0</v>
      </c>
      <c r="X1978">
        <f>IF(AND(LEFT(D1978,4)+1=LEFT(' Pivot Tables'!$A$4,4)+0,RIGHT(LEFT(D1978,7),2)=RIGHT(LEFT(' Pivot Tables'!$A$4,7),2)),1,0)</f>
        <v>0</v>
      </c>
      <c r="Y1978" s="6">
        <f>1/COUNTIF(Таблица1[Order ID],Таблица1[[#This Row],[Order ID]])</f>
        <v>1</v>
      </c>
      <c r="Z1978" s="9">
        <f>1/COUNTIFS(Таблица1[Customer Name],Таблица1[[#This Row],[Customer Name]],Таблица1[Order-Year-Month],Таблица1[[#This Row],[Order-Year-Month]])</f>
        <v>1</v>
      </c>
    </row>
    <row r="1979" spans="1:26" x14ac:dyDescent="0.2">
      <c r="A1979" s="6">
        <v>247</v>
      </c>
      <c r="B1979" s="7">
        <v>1701</v>
      </c>
      <c r="C1979" s="8">
        <f>DATE(2012,12,31)-227</f>
        <v>41047</v>
      </c>
      <c r="D1979" s="8" t="str">
        <f t="shared" si="38"/>
        <v>2012-05 (май 2012)</v>
      </c>
      <c r="E1979" s="9" t="s">
        <v>30</v>
      </c>
      <c r="F1979" s="7">
        <v>49</v>
      </c>
      <c r="G1979" s="7">
        <v>2047.58</v>
      </c>
      <c r="H1979" s="7">
        <v>0.01</v>
      </c>
      <c r="I1979" s="9" t="s">
        <v>22</v>
      </c>
      <c r="J1979" s="10">
        <v>902.62</v>
      </c>
      <c r="K1979" s="11">
        <v>40.98</v>
      </c>
      <c r="L1979" s="11">
        <v>1.99</v>
      </c>
      <c r="M1979" s="9" t="s">
        <v>1255</v>
      </c>
      <c r="N1979" s="6" t="s">
        <v>1123</v>
      </c>
      <c r="O1979" s="6" t="s">
        <v>1123</v>
      </c>
      <c r="P1979" s="9" t="s">
        <v>33</v>
      </c>
      <c r="Q1979" s="9" t="s">
        <v>42</v>
      </c>
      <c r="R1979" s="9" t="s">
        <v>70</v>
      </c>
      <c r="S1979" s="7" t="s">
        <v>720</v>
      </c>
      <c r="T1979" s="9" t="s">
        <v>52</v>
      </c>
      <c r="U1979" s="7">
        <v>0.44</v>
      </c>
      <c r="V1979" s="12">
        <f>C1979+2</f>
        <v>41049</v>
      </c>
      <c r="W1979">
        <f>IF(D1979=' Pivot Tables'!$A$4,1,0)</f>
        <v>0</v>
      </c>
      <c r="X1979">
        <f>IF(AND(LEFT(D1979,4)+1=LEFT(' Pivot Tables'!$A$4,4)+0,RIGHT(LEFT(D1979,7),2)=RIGHT(LEFT(' Pivot Tables'!$A$4,7),2)),1,0)</f>
        <v>0</v>
      </c>
      <c r="Y1979" s="6">
        <f>1/COUNTIF(Таблица1[Order ID],Таблица1[[#This Row],[Order ID]])</f>
        <v>0.5</v>
      </c>
      <c r="Z1979" s="9">
        <f>1/COUNTIFS(Таблица1[Customer Name],Таблица1[[#This Row],[Customer Name]],Таблица1[Order-Year-Month],Таблица1[[#This Row],[Order-Year-Month]])</f>
        <v>0.5</v>
      </c>
    </row>
    <row r="1980" spans="1:26" x14ac:dyDescent="0.2">
      <c r="A1980" s="6">
        <v>248</v>
      </c>
      <c r="B1980" s="7">
        <v>1701</v>
      </c>
      <c r="C1980" s="8">
        <f>DATE(2012,12,31)-227</f>
        <v>41047</v>
      </c>
      <c r="D1980" s="8" t="str">
        <f t="shared" si="38"/>
        <v>2012-05 (май 2012)</v>
      </c>
      <c r="E1980" s="9" t="s">
        <v>30</v>
      </c>
      <c r="F1980" s="7">
        <v>1</v>
      </c>
      <c r="G1980" s="7">
        <v>56.61</v>
      </c>
      <c r="H1980" s="7">
        <v>0.02</v>
      </c>
      <c r="I1980" s="9" t="s">
        <v>22</v>
      </c>
      <c r="J1980" s="10">
        <v>-22.16</v>
      </c>
      <c r="K1980" s="11">
        <v>40.97</v>
      </c>
      <c r="L1980" s="11">
        <v>14.45</v>
      </c>
      <c r="M1980" s="9" t="s">
        <v>1255</v>
      </c>
      <c r="N1980" s="6" t="s">
        <v>1123</v>
      </c>
      <c r="O1980" s="6" t="s">
        <v>1123</v>
      </c>
      <c r="P1980" s="9" t="s">
        <v>33</v>
      </c>
      <c r="Q1980" s="9" t="s">
        <v>49</v>
      </c>
      <c r="R1980" s="9" t="s">
        <v>50</v>
      </c>
      <c r="S1980" s="7" t="s">
        <v>310</v>
      </c>
      <c r="T1980" s="9" t="s">
        <v>29</v>
      </c>
      <c r="U1980" s="7">
        <v>0.56999999999999995</v>
      </c>
      <c r="V1980" s="12">
        <f>C1980+2</f>
        <v>41049</v>
      </c>
      <c r="W1980">
        <f>IF(D1980=' Pivot Tables'!$A$4,1,0)</f>
        <v>0</v>
      </c>
      <c r="X1980">
        <f>IF(AND(LEFT(D1980,4)+1=LEFT(' Pivot Tables'!$A$4,4)+0,RIGHT(LEFT(D1980,7),2)=RIGHT(LEFT(' Pivot Tables'!$A$4,7),2)),1,0)</f>
        <v>0</v>
      </c>
      <c r="Y1980" s="6">
        <f>1/COUNTIF(Таблица1[Order ID],Таблица1[[#This Row],[Order ID]])</f>
        <v>0.5</v>
      </c>
      <c r="Z1980" s="9">
        <f>1/COUNTIFS(Таблица1[Customer Name],Таблица1[[#This Row],[Customer Name]],Таблица1[Order-Year-Month],Таблица1[[#This Row],[Order-Year-Month]])</f>
        <v>0.5</v>
      </c>
    </row>
    <row r="1981" spans="1:26" x14ac:dyDescent="0.2">
      <c r="A1981" s="6">
        <v>274</v>
      </c>
      <c r="B1981" s="7">
        <v>1891</v>
      </c>
      <c r="C1981" s="8">
        <f>DATE(2012,12,31)-1113</f>
        <v>40161</v>
      </c>
      <c r="D1981" s="8" t="str">
        <f t="shared" si="38"/>
        <v>2009-12 (декабрь 2009)</v>
      </c>
      <c r="E1981" s="9" t="s">
        <v>21</v>
      </c>
      <c r="F1981" s="7">
        <v>3</v>
      </c>
      <c r="G1981" s="7">
        <v>302.36</v>
      </c>
      <c r="H1981" s="7">
        <v>0.09</v>
      </c>
      <c r="I1981" s="9" t="s">
        <v>22</v>
      </c>
      <c r="J1981" s="10">
        <v>290.31</v>
      </c>
      <c r="K1981" s="11">
        <v>107.53</v>
      </c>
      <c r="L1981" s="11">
        <v>5.81</v>
      </c>
      <c r="M1981" s="9" t="s">
        <v>1256</v>
      </c>
      <c r="N1981" s="6" t="s">
        <v>1123</v>
      </c>
      <c r="O1981" s="6" t="s">
        <v>1123</v>
      </c>
      <c r="P1981" s="9" t="s">
        <v>25</v>
      </c>
      <c r="Q1981" s="9" t="s">
        <v>49</v>
      </c>
      <c r="R1981" s="9" t="s">
        <v>50</v>
      </c>
      <c r="S1981" s="7" t="s">
        <v>473</v>
      </c>
      <c r="T1981" s="9" t="s">
        <v>48</v>
      </c>
      <c r="U1981" s="7">
        <v>0.65</v>
      </c>
      <c r="V1981" s="12">
        <f>C1981+2</f>
        <v>40163</v>
      </c>
      <c r="W1981">
        <f>IF(D1981=' Pivot Tables'!$A$4,1,0)</f>
        <v>0</v>
      </c>
      <c r="X1981">
        <f>IF(AND(LEFT(D1981,4)+1=LEFT(' Pivot Tables'!$A$4,4)+0,RIGHT(LEFT(D1981,7),2)=RIGHT(LEFT(' Pivot Tables'!$A$4,7),2)),1,0)</f>
        <v>0</v>
      </c>
      <c r="Y1981" s="6">
        <f>1/COUNTIF(Таблица1[Order ID],Таблица1[[#This Row],[Order ID]])</f>
        <v>1</v>
      </c>
      <c r="Z1981" s="9">
        <f>1/COUNTIFS(Таблица1[Customer Name],Таблица1[[#This Row],[Customer Name]],Таблица1[Order-Year-Month],Таблица1[[#This Row],[Order-Year-Month]])</f>
        <v>1</v>
      </c>
    </row>
    <row r="1982" spans="1:26" x14ac:dyDescent="0.2">
      <c r="A1982" s="6">
        <v>289</v>
      </c>
      <c r="B1982" s="7">
        <v>2022</v>
      </c>
      <c r="C1982" s="8">
        <f>DATE(2012,12,31)-292</f>
        <v>40982</v>
      </c>
      <c r="D1982" s="8" t="str">
        <f t="shared" si="38"/>
        <v>2012-03 (март 2012)</v>
      </c>
      <c r="E1982" s="9" t="s">
        <v>78</v>
      </c>
      <c r="F1982" s="7">
        <v>45</v>
      </c>
      <c r="G1982" s="7">
        <v>186.44</v>
      </c>
      <c r="H1982" s="7">
        <v>0</v>
      </c>
      <c r="I1982" s="9" t="s">
        <v>22</v>
      </c>
      <c r="J1982" s="10">
        <v>-157.18</v>
      </c>
      <c r="K1982" s="11">
        <v>3.95</v>
      </c>
      <c r="L1982" s="11">
        <v>5.13</v>
      </c>
      <c r="M1982" s="9" t="s">
        <v>1257</v>
      </c>
      <c r="N1982" s="6" t="s">
        <v>1123</v>
      </c>
      <c r="O1982" s="6" t="s">
        <v>1123</v>
      </c>
      <c r="P1982" s="9" t="s">
        <v>41</v>
      </c>
      <c r="Q1982" s="9" t="s">
        <v>26</v>
      </c>
      <c r="R1982" s="9" t="s">
        <v>34</v>
      </c>
      <c r="S1982" s="7" t="s">
        <v>1029</v>
      </c>
      <c r="T1982" s="9" t="s">
        <v>39</v>
      </c>
      <c r="U1982" s="7">
        <v>0.59</v>
      </c>
      <c r="V1982" s="12">
        <f>C1982+1</f>
        <v>40983</v>
      </c>
      <c r="W1982">
        <f>IF(D1982=' Pivot Tables'!$A$4,1,0)</f>
        <v>0</v>
      </c>
      <c r="X1982">
        <f>IF(AND(LEFT(D1982,4)+1=LEFT(' Pivot Tables'!$A$4,4)+0,RIGHT(LEFT(D1982,7),2)=RIGHT(LEFT(' Pivot Tables'!$A$4,7),2)),1,0)</f>
        <v>0</v>
      </c>
      <c r="Y1982" s="6">
        <f>1/COUNTIF(Таблица1[Order ID],Таблица1[[#This Row],[Order ID]])</f>
        <v>1</v>
      </c>
      <c r="Z1982" s="9">
        <f>1/COUNTIFS(Таблица1[Customer Name],Таблица1[[#This Row],[Customer Name]],Таблица1[Order-Year-Month],Таблица1[[#This Row],[Order-Year-Month]])</f>
        <v>0.33333333333333331</v>
      </c>
    </row>
    <row r="1983" spans="1:26" x14ac:dyDescent="0.2">
      <c r="A1983" s="6">
        <v>312</v>
      </c>
      <c r="B1983" s="7">
        <v>2181</v>
      </c>
      <c r="C1983" s="8">
        <f>DATE(2012,12,31)-476</f>
        <v>40798</v>
      </c>
      <c r="D1983" s="8" t="str">
        <f t="shared" si="38"/>
        <v>2011-09 (сентябрь 2011)</v>
      </c>
      <c r="E1983" s="9" t="s">
        <v>63</v>
      </c>
      <c r="F1983" s="7">
        <v>40</v>
      </c>
      <c r="G1983" s="7">
        <v>102.56</v>
      </c>
      <c r="H1983" s="7">
        <v>0.06</v>
      </c>
      <c r="I1983" s="9" t="s">
        <v>22</v>
      </c>
      <c r="J1983" s="10">
        <v>36.619999999999997</v>
      </c>
      <c r="K1983" s="11">
        <v>2.61</v>
      </c>
      <c r="L1983" s="11">
        <v>0.5</v>
      </c>
      <c r="M1983" s="9" t="s">
        <v>1251</v>
      </c>
      <c r="N1983" s="6" t="s">
        <v>1123</v>
      </c>
      <c r="O1983" s="6" t="s">
        <v>1123</v>
      </c>
      <c r="P1983" s="9" t="s">
        <v>60</v>
      </c>
      <c r="Q1983" s="9" t="s">
        <v>26</v>
      </c>
      <c r="R1983" s="9" t="s">
        <v>88</v>
      </c>
      <c r="S1983" s="7" t="s">
        <v>406</v>
      </c>
      <c r="T1983" s="9" t="s">
        <v>39</v>
      </c>
      <c r="U1983" s="7">
        <v>0.39</v>
      </c>
      <c r="V1983" s="12">
        <f>C1983+0</f>
        <v>40798</v>
      </c>
      <c r="W1983">
        <f>IF(D1983=' Pivot Tables'!$A$4,1,0)</f>
        <v>0</v>
      </c>
      <c r="X1983">
        <f>IF(AND(LEFT(D1983,4)+1=LEFT(' Pivot Tables'!$A$4,4)+0,RIGHT(LEFT(D1983,7),2)=RIGHT(LEFT(' Pivot Tables'!$A$4,7),2)),1,0)</f>
        <v>0</v>
      </c>
      <c r="Y1983" s="6">
        <f>1/COUNTIF(Таблица1[Order ID],Таблица1[[#This Row],[Order ID]])</f>
        <v>0.5</v>
      </c>
      <c r="Z1983" s="9">
        <f>1/COUNTIFS(Таблица1[Customer Name],Таблица1[[#This Row],[Customer Name]],Таблица1[Order-Year-Month],Таблица1[[#This Row],[Order-Year-Month]])</f>
        <v>0.5</v>
      </c>
    </row>
    <row r="1984" spans="1:26" x14ac:dyDescent="0.2">
      <c r="A1984" s="6">
        <v>313</v>
      </c>
      <c r="B1984" s="7">
        <v>2181</v>
      </c>
      <c r="C1984" s="8">
        <f>DATE(2012,12,31)-476</f>
        <v>40798</v>
      </c>
      <c r="D1984" s="8" t="str">
        <f t="shared" si="38"/>
        <v>2011-09 (сентябрь 2011)</v>
      </c>
      <c r="E1984" s="9" t="s">
        <v>63</v>
      </c>
      <c r="F1984" s="7">
        <v>3</v>
      </c>
      <c r="G1984" s="7">
        <v>15.87</v>
      </c>
      <c r="H1984" s="7">
        <v>0.01</v>
      </c>
      <c r="I1984" s="9" t="s">
        <v>56</v>
      </c>
      <c r="J1984" s="10">
        <v>2.5299999999999998</v>
      </c>
      <c r="K1984" s="11">
        <v>3.49</v>
      </c>
      <c r="L1984" s="11">
        <v>0.76</v>
      </c>
      <c r="M1984" s="9" t="s">
        <v>1251</v>
      </c>
      <c r="N1984" s="6" t="s">
        <v>1123</v>
      </c>
      <c r="O1984" s="6" t="s">
        <v>1123</v>
      </c>
      <c r="P1984" s="9" t="s">
        <v>60</v>
      </c>
      <c r="Q1984" s="9" t="s">
        <v>26</v>
      </c>
      <c r="R1984" s="9" t="s">
        <v>66</v>
      </c>
      <c r="S1984" s="7" t="s">
        <v>1258</v>
      </c>
      <c r="T1984" s="9" t="s">
        <v>68</v>
      </c>
      <c r="U1984" s="7">
        <v>0.39</v>
      </c>
      <c r="V1984" s="12">
        <f>C1984+2</f>
        <v>40800</v>
      </c>
      <c r="W1984">
        <f>IF(D1984=' Pivot Tables'!$A$4,1,0)</f>
        <v>0</v>
      </c>
      <c r="X1984">
        <f>IF(AND(LEFT(D1984,4)+1=LEFT(' Pivot Tables'!$A$4,4)+0,RIGHT(LEFT(D1984,7),2)=RIGHT(LEFT(' Pivot Tables'!$A$4,7),2)),1,0)</f>
        <v>0</v>
      </c>
      <c r="Y1984" s="6">
        <f>1/COUNTIF(Таблица1[Order ID],Таблица1[[#This Row],[Order ID]])</f>
        <v>0.5</v>
      </c>
      <c r="Z1984" s="9">
        <f>1/COUNTIFS(Таблица1[Customer Name],Таблица1[[#This Row],[Customer Name]],Таблица1[Order-Year-Month],Таблица1[[#This Row],[Order-Year-Month]])</f>
        <v>0.5</v>
      </c>
    </row>
    <row r="1985" spans="1:26" x14ac:dyDescent="0.2">
      <c r="A1985" s="6">
        <v>378</v>
      </c>
      <c r="B1985" s="7">
        <v>2628</v>
      </c>
      <c r="C1985" s="8">
        <f>DATE(2012,12,31)-802</f>
        <v>40472</v>
      </c>
      <c r="D1985" s="8" t="str">
        <f t="shared" si="38"/>
        <v>2010-10 (октябрь 2010)</v>
      </c>
      <c r="E1985" s="9" t="s">
        <v>21</v>
      </c>
      <c r="F1985" s="7">
        <v>14</v>
      </c>
      <c r="G1985" s="7">
        <v>34.590000000000003</v>
      </c>
      <c r="H1985" s="7">
        <v>0.04</v>
      </c>
      <c r="I1985" s="9" t="s">
        <v>22</v>
      </c>
      <c r="J1985" s="10">
        <v>-60.13</v>
      </c>
      <c r="K1985" s="11">
        <v>2.1800000000000002</v>
      </c>
      <c r="L1985" s="11">
        <v>5</v>
      </c>
      <c r="M1985" s="9" t="s">
        <v>1259</v>
      </c>
      <c r="N1985" s="6" t="s">
        <v>1123</v>
      </c>
      <c r="O1985" s="6" t="s">
        <v>1123</v>
      </c>
      <c r="P1985" s="9" t="s">
        <v>33</v>
      </c>
      <c r="Q1985" s="9" t="s">
        <v>26</v>
      </c>
      <c r="R1985" s="9" t="s">
        <v>150</v>
      </c>
      <c r="S1985" s="7" t="s">
        <v>564</v>
      </c>
      <c r="T1985" s="9" t="s">
        <v>68</v>
      </c>
      <c r="U1985" s="7">
        <v>0.81</v>
      </c>
      <c r="V1985" s="12">
        <f>C1985+5</f>
        <v>40477</v>
      </c>
      <c r="W1985">
        <f>IF(D1985=' Pivot Tables'!$A$4,1,0)</f>
        <v>0</v>
      </c>
      <c r="X1985">
        <f>IF(AND(LEFT(D1985,4)+1=LEFT(' Pivot Tables'!$A$4,4)+0,RIGHT(LEFT(D1985,7),2)=RIGHT(LEFT(' Pivot Tables'!$A$4,7),2)),1,0)</f>
        <v>0</v>
      </c>
      <c r="Y1985" s="6">
        <f>1/COUNTIF(Таблица1[Order ID],Таблица1[[#This Row],[Order ID]])</f>
        <v>0.5</v>
      </c>
      <c r="Z1985" s="9">
        <f>1/COUNTIFS(Таблица1[Customer Name],Таблица1[[#This Row],[Customer Name]],Таблица1[Order-Year-Month],Таблица1[[#This Row],[Order-Year-Month]])</f>
        <v>0.5</v>
      </c>
    </row>
    <row r="1986" spans="1:26" x14ac:dyDescent="0.2">
      <c r="A1986" s="6">
        <v>379</v>
      </c>
      <c r="B1986" s="7">
        <v>2628</v>
      </c>
      <c r="C1986" s="8">
        <f>DATE(2012,12,31)-802</f>
        <v>40472</v>
      </c>
      <c r="D1986" s="8" t="str">
        <f t="shared" si="38"/>
        <v>2010-10 (октябрь 2010)</v>
      </c>
      <c r="E1986" s="9" t="s">
        <v>21</v>
      </c>
      <c r="F1986" s="7">
        <v>29</v>
      </c>
      <c r="G1986" s="7">
        <v>5029.2160000000003</v>
      </c>
      <c r="H1986" s="7">
        <v>0.02</v>
      </c>
      <c r="I1986" s="9" t="s">
        <v>31</v>
      </c>
      <c r="J1986" s="10">
        <v>-752.83199999999999</v>
      </c>
      <c r="K1986" s="11">
        <v>218.75</v>
      </c>
      <c r="L1986" s="11">
        <v>69.64</v>
      </c>
      <c r="M1986" s="9" t="s">
        <v>1259</v>
      </c>
      <c r="N1986" s="6" t="s">
        <v>1123</v>
      </c>
      <c r="O1986" s="6" t="s">
        <v>1123</v>
      </c>
      <c r="P1986" s="9" t="s">
        <v>33</v>
      </c>
      <c r="Q1986" s="9" t="s">
        <v>49</v>
      </c>
      <c r="R1986" s="9" t="s">
        <v>83</v>
      </c>
      <c r="S1986" s="7" t="s">
        <v>254</v>
      </c>
      <c r="T1986" s="9" t="s">
        <v>82</v>
      </c>
      <c r="U1986" s="7">
        <v>0.77</v>
      </c>
      <c r="V1986" s="12">
        <f>C1986+9</f>
        <v>40481</v>
      </c>
      <c r="W1986">
        <f>IF(D1986=' Pivot Tables'!$A$4,1,0)</f>
        <v>0</v>
      </c>
      <c r="X1986">
        <f>IF(AND(LEFT(D1986,4)+1=LEFT(' Pivot Tables'!$A$4,4)+0,RIGHT(LEFT(D1986,7),2)=RIGHT(LEFT(' Pivot Tables'!$A$4,7),2)),1,0)</f>
        <v>0</v>
      </c>
      <c r="Y1986" s="6">
        <f>1/COUNTIF(Таблица1[Order ID],Таблица1[[#This Row],[Order ID]])</f>
        <v>0.5</v>
      </c>
      <c r="Z1986" s="9">
        <f>1/COUNTIFS(Таблица1[Customer Name],Таблица1[[#This Row],[Customer Name]],Таблица1[Order-Year-Month],Таблица1[[#This Row],[Order-Year-Month]])</f>
        <v>0.5</v>
      </c>
    </row>
    <row r="1987" spans="1:26" x14ac:dyDescent="0.2">
      <c r="A1987" s="6">
        <v>392</v>
      </c>
      <c r="B1987" s="7">
        <v>2691</v>
      </c>
      <c r="C1987" s="8">
        <f>DATE(2012,12,31)-246</f>
        <v>41028</v>
      </c>
      <c r="D1987" s="8" t="str">
        <f t="shared" ref="D1987:D2050" si="39">TEXT(C1987,"гггг-ММ (ММММ гггг)")</f>
        <v>2012-04 (апрель 2012)</v>
      </c>
      <c r="E1987" s="9" t="s">
        <v>21</v>
      </c>
      <c r="F1987" s="7">
        <v>14</v>
      </c>
      <c r="G1987" s="7">
        <v>3363.14</v>
      </c>
      <c r="H1987" s="7">
        <v>0.1</v>
      </c>
      <c r="I1987" s="9" t="s">
        <v>31</v>
      </c>
      <c r="J1987" s="10">
        <v>98.75</v>
      </c>
      <c r="K1987" s="11">
        <v>260.98</v>
      </c>
      <c r="L1987" s="11">
        <v>41.91</v>
      </c>
      <c r="M1987" s="9" t="s">
        <v>1253</v>
      </c>
      <c r="N1987" s="6" t="s">
        <v>1123</v>
      </c>
      <c r="O1987" s="6" t="s">
        <v>1123</v>
      </c>
      <c r="P1987" s="9" t="s">
        <v>41</v>
      </c>
      <c r="Q1987" s="9" t="s">
        <v>49</v>
      </c>
      <c r="R1987" s="9" t="s">
        <v>80</v>
      </c>
      <c r="S1987" s="7" t="s">
        <v>365</v>
      </c>
      <c r="T1987" s="9" t="s">
        <v>82</v>
      </c>
      <c r="U1987" s="7">
        <v>0.59</v>
      </c>
      <c r="V1987" s="12">
        <f>C1987+9</f>
        <v>41037</v>
      </c>
      <c r="W1987">
        <f>IF(D1987=' Pivot Tables'!$A$4,1,0)</f>
        <v>0</v>
      </c>
      <c r="X1987">
        <f>IF(AND(LEFT(D1987,4)+1=LEFT(' Pivot Tables'!$A$4,4)+0,RIGHT(LEFT(D1987,7),2)=RIGHT(LEFT(' Pivot Tables'!$A$4,7),2)),1,0)</f>
        <v>0</v>
      </c>
      <c r="Y1987" s="6">
        <f>1/COUNTIF(Таблица1[Order ID],Таблица1[[#This Row],[Order ID]])</f>
        <v>1</v>
      </c>
      <c r="Z1987" s="9">
        <f>1/COUNTIFS(Таблица1[Customer Name],Таблица1[[#This Row],[Customer Name]],Таблица1[Order-Year-Month],Таблица1[[#This Row],[Order-Year-Month]])</f>
        <v>0.33333333333333331</v>
      </c>
    </row>
    <row r="1988" spans="1:26" x14ac:dyDescent="0.2">
      <c r="A1988" s="6">
        <v>434</v>
      </c>
      <c r="B1988" s="7">
        <v>2912</v>
      </c>
      <c r="C1988" s="8">
        <f>DATE(2012,12,31)-295</f>
        <v>40979</v>
      </c>
      <c r="D1988" s="8" t="str">
        <f t="shared" si="39"/>
        <v>2012-03 (март 2012)</v>
      </c>
      <c r="E1988" s="9" t="s">
        <v>21</v>
      </c>
      <c r="F1988" s="7">
        <v>7</v>
      </c>
      <c r="G1988" s="7">
        <v>16587.13</v>
      </c>
      <c r="H1988" s="7">
        <v>0.08</v>
      </c>
      <c r="I1988" s="9" t="s">
        <v>31</v>
      </c>
      <c r="J1988" s="10">
        <v>-3476.8593000000001</v>
      </c>
      <c r="K1988" s="11">
        <v>2550.14</v>
      </c>
      <c r="L1988" s="11">
        <v>29.7</v>
      </c>
      <c r="M1988" s="9" t="s">
        <v>1242</v>
      </c>
      <c r="N1988" s="6" t="s">
        <v>1123</v>
      </c>
      <c r="O1988" s="6" t="s">
        <v>1123</v>
      </c>
      <c r="P1988" s="9" t="s">
        <v>41</v>
      </c>
      <c r="Q1988" s="9" t="s">
        <v>42</v>
      </c>
      <c r="R1988" s="9" t="s">
        <v>210</v>
      </c>
      <c r="S1988" s="7" t="s">
        <v>506</v>
      </c>
      <c r="T1988" s="9" t="s">
        <v>36</v>
      </c>
      <c r="U1988" s="7">
        <v>0.56999999999999995</v>
      </c>
      <c r="V1988" s="12">
        <f>C1988+2</f>
        <v>40981</v>
      </c>
      <c r="W1988">
        <f>IF(D1988=' Pivot Tables'!$A$4,1,0)</f>
        <v>0</v>
      </c>
      <c r="X1988">
        <f>IF(AND(LEFT(D1988,4)+1=LEFT(' Pivot Tables'!$A$4,4)+0,RIGHT(LEFT(D1988,7),2)=RIGHT(LEFT(' Pivot Tables'!$A$4,7),2)),1,0)</f>
        <v>0</v>
      </c>
      <c r="Y1988" s="6">
        <f>1/COUNTIF(Таблица1[Order ID],Таблица1[[#This Row],[Order ID]])</f>
        <v>0.5</v>
      </c>
      <c r="Z1988" s="9">
        <f>1/COUNTIFS(Таблица1[Customer Name],Таблица1[[#This Row],[Customer Name]],Таблица1[Order-Year-Month],Таблица1[[#This Row],[Order-Year-Month]])</f>
        <v>0.5</v>
      </c>
    </row>
    <row r="1989" spans="1:26" x14ac:dyDescent="0.2">
      <c r="A1989" s="6">
        <v>435</v>
      </c>
      <c r="B1989" s="7">
        <v>2912</v>
      </c>
      <c r="C1989" s="8">
        <f>DATE(2012,12,31)-295</f>
        <v>40979</v>
      </c>
      <c r="D1989" s="8" t="str">
        <f t="shared" si="39"/>
        <v>2012-03 (март 2012)</v>
      </c>
      <c r="E1989" s="9" t="s">
        <v>21</v>
      </c>
      <c r="F1989" s="7">
        <v>9</v>
      </c>
      <c r="G1989" s="7">
        <v>507.98</v>
      </c>
      <c r="H1989" s="7">
        <v>0.05</v>
      </c>
      <c r="I1989" s="9" t="s">
        <v>56</v>
      </c>
      <c r="J1989" s="10">
        <v>170.9</v>
      </c>
      <c r="K1989" s="11">
        <v>55.98</v>
      </c>
      <c r="L1989" s="11">
        <v>4.8600000000000003</v>
      </c>
      <c r="M1989" s="9" t="s">
        <v>1242</v>
      </c>
      <c r="N1989" s="6" t="s">
        <v>1123</v>
      </c>
      <c r="O1989" s="6" t="s">
        <v>1123</v>
      </c>
      <c r="P1989" s="9" t="s">
        <v>41</v>
      </c>
      <c r="Q1989" s="9" t="s">
        <v>26</v>
      </c>
      <c r="R1989" s="9" t="s">
        <v>61</v>
      </c>
      <c r="S1989" s="7" t="s">
        <v>1260</v>
      </c>
      <c r="T1989" s="9" t="s">
        <v>39</v>
      </c>
      <c r="U1989" s="7">
        <v>0.36</v>
      </c>
      <c r="V1989" s="12">
        <f>C1989+7</f>
        <v>40986</v>
      </c>
      <c r="W1989">
        <f>IF(D1989=' Pivot Tables'!$A$4,1,0)</f>
        <v>0</v>
      </c>
      <c r="X1989">
        <f>IF(AND(LEFT(D1989,4)+1=LEFT(' Pivot Tables'!$A$4,4)+0,RIGHT(LEFT(D1989,7),2)=RIGHT(LEFT(' Pivot Tables'!$A$4,7),2)),1,0)</f>
        <v>0</v>
      </c>
      <c r="Y1989" s="6">
        <f>1/COUNTIF(Таблица1[Order ID],Таблица1[[#This Row],[Order ID]])</f>
        <v>0.5</v>
      </c>
      <c r="Z1989" s="9">
        <f>1/COUNTIFS(Таблица1[Customer Name],Таблица1[[#This Row],[Customer Name]],Таблица1[Order-Year-Month],Таблица1[[#This Row],[Order-Year-Month]])</f>
        <v>0.5</v>
      </c>
    </row>
    <row r="1990" spans="1:26" x14ac:dyDescent="0.2">
      <c r="A1990" s="6">
        <v>472</v>
      </c>
      <c r="B1990" s="7">
        <v>3235</v>
      </c>
      <c r="C1990" s="8">
        <f>DATE(2012,12,31)-413</f>
        <v>40861</v>
      </c>
      <c r="D1990" s="8" t="str">
        <f t="shared" si="39"/>
        <v>2011-11 (ноябрь 2011)</v>
      </c>
      <c r="E1990" s="9" t="s">
        <v>21</v>
      </c>
      <c r="F1990" s="7">
        <v>31</v>
      </c>
      <c r="G1990" s="7">
        <v>142.97</v>
      </c>
      <c r="H1990" s="7">
        <v>0.1</v>
      </c>
      <c r="I1990" s="9" t="s">
        <v>56</v>
      </c>
      <c r="J1990" s="10">
        <v>-12.26</v>
      </c>
      <c r="K1990" s="11">
        <v>4.71</v>
      </c>
      <c r="L1990" s="11">
        <v>0.7</v>
      </c>
      <c r="M1990" s="9" t="s">
        <v>1261</v>
      </c>
      <c r="N1990" s="6" t="s">
        <v>1123</v>
      </c>
      <c r="O1990" s="6" t="s">
        <v>1123</v>
      </c>
      <c r="P1990" s="9" t="s">
        <v>41</v>
      </c>
      <c r="Q1990" s="9" t="s">
        <v>26</v>
      </c>
      <c r="R1990" s="9" t="s">
        <v>66</v>
      </c>
      <c r="S1990" s="7" t="s">
        <v>412</v>
      </c>
      <c r="T1990" s="9" t="s">
        <v>68</v>
      </c>
      <c r="U1990" s="7">
        <v>0.85</v>
      </c>
      <c r="V1990" s="12">
        <f>C1990+2</f>
        <v>40863</v>
      </c>
      <c r="W1990">
        <f>IF(D1990=' Pivot Tables'!$A$4,1,0)</f>
        <v>0</v>
      </c>
      <c r="X1990">
        <f>IF(AND(LEFT(D1990,4)+1=LEFT(' Pivot Tables'!$A$4,4)+0,RIGHT(LEFT(D1990,7),2)=RIGHT(LEFT(' Pivot Tables'!$A$4,7),2)),1,0)</f>
        <v>0</v>
      </c>
      <c r="Y1990" s="6">
        <f>1/COUNTIF(Таблица1[Order ID],Таблица1[[#This Row],[Order ID]])</f>
        <v>1</v>
      </c>
      <c r="Z1990" s="9">
        <f>1/COUNTIFS(Таблица1[Customer Name],Таблица1[[#This Row],[Customer Name]],Таблица1[Order-Year-Month],Таблица1[[#This Row],[Order-Year-Month]])</f>
        <v>1</v>
      </c>
    </row>
    <row r="1991" spans="1:26" x14ac:dyDescent="0.2">
      <c r="A1991" s="6">
        <v>473</v>
      </c>
      <c r="B1991" s="7">
        <v>3266</v>
      </c>
      <c r="C1991" s="8">
        <f>DATE(2012,12,31)-656</f>
        <v>40618</v>
      </c>
      <c r="D1991" s="8" t="str">
        <f t="shared" si="39"/>
        <v>2011-03 (март 2011)</v>
      </c>
      <c r="E1991" s="9" t="s">
        <v>21</v>
      </c>
      <c r="F1991" s="7">
        <v>4</v>
      </c>
      <c r="G1991" s="7">
        <v>17.12</v>
      </c>
      <c r="H1991" s="7">
        <v>0.03</v>
      </c>
      <c r="I1991" s="9" t="s">
        <v>22</v>
      </c>
      <c r="J1991" s="10">
        <v>-2.5530000000000004</v>
      </c>
      <c r="K1991" s="11">
        <v>3.8</v>
      </c>
      <c r="L1991" s="11">
        <v>1.49</v>
      </c>
      <c r="M1991" s="9" t="s">
        <v>1262</v>
      </c>
      <c r="N1991" s="6" t="s">
        <v>1123</v>
      </c>
      <c r="O1991" s="6" t="s">
        <v>1123</v>
      </c>
      <c r="P1991" s="9" t="s">
        <v>41</v>
      </c>
      <c r="Q1991" s="9" t="s">
        <v>26</v>
      </c>
      <c r="R1991" s="9" t="s">
        <v>37</v>
      </c>
      <c r="S1991" s="7" t="s">
        <v>269</v>
      </c>
      <c r="T1991" s="9" t="s">
        <v>39</v>
      </c>
      <c r="U1991" s="7">
        <v>0.38</v>
      </c>
      <c r="V1991" s="12">
        <f>C1991+4</f>
        <v>40622</v>
      </c>
      <c r="W1991">
        <f>IF(D1991=' Pivot Tables'!$A$4,1,0)</f>
        <v>0</v>
      </c>
      <c r="X1991">
        <f>IF(AND(LEFT(D1991,4)+1=LEFT(' Pivot Tables'!$A$4,4)+0,RIGHT(LEFT(D1991,7),2)=RIGHT(LEFT(' Pivot Tables'!$A$4,7),2)),1,0)</f>
        <v>0</v>
      </c>
      <c r="Y1991" s="6">
        <f>1/COUNTIF(Таблица1[Order ID],Таблица1[[#This Row],[Order ID]])</f>
        <v>1</v>
      </c>
      <c r="Z1991" s="9">
        <f>1/COUNTIFS(Таблица1[Customer Name],Таблица1[[#This Row],[Customer Name]],Таблица1[Order-Year-Month],Таблица1[[#This Row],[Order-Year-Month]])</f>
        <v>1</v>
      </c>
    </row>
    <row r="1992" spans="1:26" x14ac:dyDescent="0.2">
      <c r="A1992" s="6">
        <v>487</v>
      </c>
      <c r="B1992" s="7">
        <v>3363</v>
      </c>
      <c r="C1992" s="8">
        <f>DATE(2012,12,31)-466</f>
        <v>40808</v>
      </c>
      <c r="D1992" s="8" t="str">
        <f t="shared" si="39"/>
        <v>2011-09 (сентябрь 2011)</v>
      </c>
      <c r="E1992" s="9" t="s">
        <v>30</v>
      </c>
      <c r="F1992" s="7">
        <v>21</v>
      </c>
      <c r="G1992" s="7">
        <v>8185.89</v>
      </c>
      <c r="H1992" s="7">
        <v>0.09</v>
      </c>
      <c r="I1992" s="9" t="s">
        <v>22</v>
      </c>
      <c r="J1992" s="10">
        <v>2137.2800000000002</v>
      </c>
      <c r="K1992" s="11">
        <v>415.88</v>
      </c>
      <c r="L1992" s="11">
        <v>11.37</v>
      </c>
      <c r="M1992" s="9" t="s">
        <v>1263</v>
      </c>
      <c r="N1992" s="6" t="s">
        <v>1123</v>
      </c>
      <c r="O1992" s="6" t="s">
        <v>1123</v>
      </c>
      <c r="P1992" s="9" t="s">
        <v>60</v>
      </c>
      <c r="Q1992" s="9" t="s">
        <v>26</v>
      </c>
      <c r="R1992" s="9" t="s">
        <v>27</v>
      </c>
      <c r="S1992" s="7" t="s">
        <v>358</v>
      </c>
      <c r="T1992" s="9" t="s">
        <v>39</v>
      </c>
      <c r="U1992" s="7">
        <v>0.56999999999999995</v>
      </c>
      <c r="V1992" s="12">
        <f>C1992+0</f>
        <v>40808</v>
      </c>
      <c r="W1992">
        <f>IF(D1992=' Pivot Tables'!$A$4,1,0)</f>
        <v>0</v>
      </c>
      <c r="X1992">
        <f>IF(AND(LEFT(D1992,4)+1=LEFT(' Pivot Tables'!$A$4,4)+0,RIGHT(LEFT(D1992,7),2)=RIGHT(LEFT(' Pivot Tables'!$A$4,7),2)),1,0)</f>
        <v>0</v>
      </c>
      <c r="Y1992" s="6">
        <f>1/COUNTIF(Таблица1[Order ID],Таблица1[[#This Row],[Order ID]])</f>
        <v>1</v>
      </c>
      <c r="Z1992" s="9">
        <f>1/COUNTIFS(Таблица1[Customer Name],Таблица1[[#This Row],[Customer Name]],Таблица1[Order-Year-Month],Таблица1[[#This Row],[Order-Year-Month]])</f>
        <v>1</v>
      </c>
    </row>
    <row r="1993" spans="1:26" x14ac:dyDescent="0.2">
      <c r="A1993" s="6">
        <v>521</v>
      </c>
      <c r="B1993" s="7">
        <v>3585</v>
      </c>
      <c r="C1993" s="8">
        <f>DATE(2012,12,31)-1135</f>
        <v>40139</v>
      </c>
      <c r="D1993" s="8" t="str">
        <f t="shared" si="39"/>
        <v>2009-11 (ноябрь 2009)</v>
      </c>
      <c r="E1993" s="9" t="s">
        <v>30</v>
      </c>
      <c r="F1993" s="7">
        <v>27</v>
      </c>
      <c r="G1993" s="7">
        <v>259.72000000000003</v>
      </c>
      <c r="H1993" s="7">
        <v>7.0000000000000007E-2</v>
      </c>
      <c r="I1993" s="9" t="s">
        <v>22</v>
      </c>
      <c r="J1993" s="10">
        <v>78.05</v>
      </c>
      <c r="K1993" s="11">
        <v>10.06</v>
      </c>
      <c r="L1993" s="11">
        <v>2.06</v>
      </c>
      <c r="M1993" s="9" t="s">
        <v>1264</v>
      </c>
      <c r="N1993" s="6" t="s">
        <v>1123</v>
      </c>
      <c r="O1993" s="6" t="s">
        <v>1123</v>
      </c>
      <c r="P1993" s="9" t="s">
        <v>41</v>
      </c>
      <c r="Q1993" s="9" t="s">
        <v>26</v>
      </c>
      <c r="R1993" s="9" t="s">
        <v>61</v>
      </c>
      <c r="S1993" s="7" t="s">
        <v>602</v>
      </c>
      <c r="T1993" s="9" t="s">
        <v>68</v>
      </c>
      <c r="U1993" s="7">
        <v>0.39</v>
      </c>
      <c r="V1993" s="12">
        <f>C1993+0</f>
        <v>40139</v>
      </c>
      <c r="W1993">
        <f>IF(D1993=' Pivot Tables'!$A$4,1,0)</f>
        <v>0</v>
      </c>
      <c r="X1993">
        <f>IF(AND(LEFT(D1993,4)+1=LEFT(' Pivot Tables'!$A$4,4)+0,RIGHT(LEFT(D1993,7),2)=RIGHT(LEFT(' Pivot Tables'!$A$4,7),2)),1,0)</f>
        <v>0</v>
      </c>
      <c r="Y1993" s="6">
        <f>1/COUNTIF(Таблица1[Order ID],Таблица1[[#This Row],[Order ID]])</f>
        <v>0.5</v>
      </c>
      <c r="Z1993" s="9">
        <f>1/COUNTIFS(Таблица1[Customer Name],Таблица1[[#This Row],[Customer Name]],Таблица1[Order-Year-Month],Таблица1[[#This Row],[Order-Year-Month]])</f>
        <v>0.5</v>
      </c>
    </row>
    <row r="1994" spans="1:26" x14ac:dyDescent="0.2">
      <c r="A1994" s="6">
        <v>522</v>
      </c>
      <c r="B1994" s="7">
        <v>3585</v>
      </c>
      <c r="C1994" s="8">
        <f>DATE(2012,12,31)-1135</f>
        <v>40139</v>
      </c>
      <c r="D1994" s="8" t="str">
        <f t="shared" si="39"/>
        <v>2009-11 (ноябрь 2009)</v>
      </c>
      <c r="E1994" s="9" t="s">
        <v>30</v>
      </c>
      <c r="F1994" s="7">
        <v>34</v>
      </c>
      <c r="G1994" s="7">
        <v>54.69</v>
      </c>
      <c r="H1994" s="7">
        <v>7.0000000000000007E-2</v>
      </c>
      <c r="I1994" s="9" t="s">
        <v>22</v>
      </c>
      <c r="J1994" s="10">
        <v>-35.75</v>
      </c>
      <c r="K1994" s="11">
        <v>1.68</v>
      </c>
      <c r="L1994" s="11">
        <v>1.57</v>
      </c>
      <c r="M1994" s="9" t="s">
        <v>1264</v>
      </c>
      <c r="N1994" s="6" t="s">
        <v>1123</v>
      </c>
      <c r="O1994" s="6" t="s">
        <v>1123</v>
      </c>
      <c r="P1994" s="9" t="s">
        <v>41</v>
      </c>
      <c r="Q1994" s="9" t="s">
        <v>26</v>
      </c>
      <c r="R1994" s="9" t="s">
        <v>95</v>
      </c>
      <c r="S1994" s="7" t="s">
        <v>220</v>
      </c>
      <c r="T1994" s="9" t="s">
        <v>68</v>
      </c>
      <c r="U1994" s="7">
        <v>0.59</v>
      </c>
      <c r="V1994" s="12">
        <f>C1994+1</f>
        <v>40140</v>
      </c>
      <c r="W1994">
        <f>IF(D1994=' Pivot Tables'!$A$4,1,0)</f>
        <v>0</v>
      </c>
      <c r="X1994">
        <f>IF(AND(LEFT(D1994,4)+1=LEFT(' Pivot Tables'!$A$4,4)+0,RIGHT(LEFT(D1994,7),2)=RIGHT(LEFT(' Pivot Tables'!$A$4,7),2)),1,0)</f>
        <v>0</v>
      </c>
      <c r="Y1994" s="6">
        <f>1/COUNTIF(Таблица1[Order ID],Таблица1[[#This Row],[Order ID]])</f>
        <v>0.5</v>
      </c>
      <c r="Z1994" s="9">
        <f>1/COUNTIFS(Таблица1[Customer Name],Таблица1[[#This Row],[Customer Name]],Таблица1[Order-Year-Month],Таблица1[[#This Row],[Order-Year-Month]])</f>
        <v>0.5</v>
      </c>
    </row>
    <row r="1995" spans="1:26" x14ac:dyDescent="0.2">
      <c r="A1995" s="6">
        <v>550</v>
      </c>
      <c r="B1995" s="7">
        <v>3745</v>
      </c>
      <c r="C1995" s="8">
        <f>DATE(2012,12,31)-825</f>
        <v>40449</v>
      </c>
      <c r="D1995" s="8" t="str">
        <f t="shared" si="39"/>
        <v>2010-09 (сентябрь 2010)</v>
      </c>
      <c r="E1995" s="9" t="s">
        <v>21</v>
      </c>
      <c r="F1995" s="7">
        <v>38</v>
      </c>
      <c r="G1995" s="7">
        <v>1143.3499999999999</v>
      </c>
      <c r="H1995" s="7">
        <v>0.04</v>
      </c>
      <c r="I1995" s="9" t="s">
        <v>56</v>
      </c>
      <c r="J1995" s="10">
        <v>411.1</v>
      </c>
      <c r="K1995" s="11">
        <v>29.18</v>
      </c>
      <c r="L1995" s="11">
        <v>8.5500000000000007</v>
      </c>
      <c r="M1995" s="9" t="s">
        <v>1265</v>
      </c>
      <c r="N1995" s="6" t="s">
        <v>1123</v>
      </c>
      <c r="O1995" s="6" t="s">
        <v>1123</v>
      </c>
      <c r="P1995" s="9" t="s">
        <v>60</v>
      </c>
      <c r="Q1995" s="9" t="s">
        <v>49</v>
      </c>
      <c r="R1995" s="9" t="s">
        <v>50</v>
      </c>
      <c r="S1995" s="7" t="s">
        <v>608</v>
      </c>
      <c r="T1995" s="9" t="s">
        <v>39</v>
      </c>
      <c r="U1995" s="7">
        <v>0.42</v>
      </c>
      <c r="V1995" s="12">
        <f>C1995+2</f>
        <v>40451</v>
      </c>
      <c r="W1995">
        <f>IF(D1995=' Pivot Tables'!$A$4,1,0)</f>
        <v>0</v>
      </c>
      <c r="X1995">
        <f>IF(AND(LEFT(D1995,4)+1=LEFT(' Pivot Tables'!$A$4,4)+0,RIGHT(LEFT(D1995,7),2)=RIGHT(LEFT(' Pivot Tables'!$A$4,7),2)),1,0)</f>
        <v>0</v>
      </c>
      <c r="Y1995" s="6">
        <f>1/COUNTIF(Таблица1[Order ID],Таблица1[[#This Row],[Order ID]])</f>
        <v>1</v>
      </c>
      <c r="Z1995" s="9">
        <f>1/COUNTIFS(Таблица1[Customer Name],Таблица1[[#This Row],[Customer Name]],Таблица1[Order-Year-Month],Таблица1[[#This Row],[Order-Year-Month]])</f>
        <v>1</v>
      </c>
    </row>
    <row r="1996" spans="1:26" x14ac:dyDescent="0.2">
      <c r="A1996" s="6">
        <v>605</v>
      </c>
      <c r="B1996" s="7">
        <v>4128</v>
      </c>
      <c r="C1996" s="8">
        <f>DATE(2012,12,31)-452</f>
        <v>40822</v>
      </c>
      <c r="D1996" s="8" t="str">
        <f t="shared" si="39"/>
        <v>2011-10 (октябрь 2011)</v>
      </c>
      <c r="E1996" s="9" t="s">
        <v>45</v>
      </c>
      <c r="F1996" s="7">
        <v>38</v>
      </c>
      <c r="G1996" s="7">
        <v>391.42</v>
      </c>
      <c r="H1996" s="7">
        <v>0.04</v>
      </c>
      <c r="I1996" s="9" t="s">
        <v>22</v>
      </c>
      <c r="J1996" s="10">
        <v>25.03</v>
      </c>
      <c r="K1996" s="11">
        <v>9.99</v>
      </c>
      <c r="L1996" s="11">
        <v>5.12</v>
      </c>
      <c r="M1996" s="9" t="s">
        <v>1266</v>
      </c>
      <c r="N1996" s="6" t="s">
        <v>1123</v>
      </c>
      <c r="O1996" s="6" t="s">
        <v>1123</v>
      </c>
      <c r="P1996" s="9" t="s">
        <v>33</v>
      </c>
      <c r="Q1996" s="9" t="s">
        <v>26</v>
      </c>
      <c r="R1996" s="9" t="s">
        <v>61</v>
      </c>
      <c r="S1996" s="7" t="s">
        <v>1267</v>
      </c>
      <c r="T1996" s="9" t="s">
        <v>39</v>
      </c>
      <c r="U1996" s="7">
        <v>0.4</v>
      </c>
      <c r="V1996" s="12">
        <f>C1996+2</f>
        <v>40824</v>
      </c>
      <c r="W1996">
        <f>IF(D1996=' Pivot Tables'!$A$4,1,0)</f>
        <v>0</v>
      </c>
      <c r="X1996">
        <f>IF(AND(LEFT(D1996,4)+1=LEFT(' Pivot Tables'!$A$4,4)+0,RIGHT(LEFT(D1996,7),2)=RIGHT(LEFT(' Pivot Tables'!$A$4,7),2)),1,0)</f>
        <v>0</v>
      </c>
      <c r="Y1996" s="6">
        <f>1/COUNTIF(Таблица1[Order ID],Таблица1[[#This Row],[Order ID]])</f>
        <v>1</v>
      </c>
      <c r="Z1996" s="9">
        <f>1/COUNTIFS(Таблица1[Customer Name],Таблица1[[#This Row],[Customer Name]],Таблица1[Order-Year-Month],Таблица1[[#This Row],[Order-Year-Month]])</f>
        <v>1</v>
      </c>
    </row>
    <row r="1997" spans="1:26" x14ac:dyDescent="0.2">
      <c r="A1997" s="6">
        <v>625</v>
      </c>
      <c r="B1997" s="7">
        <v>4354</v>
      </c>
      <c r="C1997" s="8">
        <f>DATE(2012,12,31)-1189</f>
        <v>40085</v>
      </c>
      <c r="D1997" s="8" t="str">
        <f t="shared" si="39"/>
        <v>2009-09 (сентябрь 2009)</v>
      </c>
      <c r="E1997" s="9" t="s">
        <v>45</v>
      </c>
      <c r="F1997" s="7">
        <v>6</v>
      </c>
      <c r="G1997" s="7">
        <v>49.04</v>
      </c>
      <c r="H1997" s="7">
        <v>0.02</v>
      </c>
      <c r="I1997" s="9" t="s">
        <v>22</v>
      </c>
      <c r="J1997" s="10">
        <v>7.74</v>
      </c>
      <c r="K1997" s="11">
        <v>7.38</v>
      </c>
      <c r="L1997" s="11">
        <v>5.21</v>
      </c>
      <c r="M1997" s="9" t="s">
        <v>1243</v>
      </c>
      <c r="N1997" s="6" t="s">
        <v>1123</v>
      </c>
      <c r="O1997" s="6" t="s">
        <v>1123</v>
      </c>
      <c r="P1997" s="9" t="s">
        <v>41</v>
      </c>
      <c r="Q1997" s="9" t="s">
        <v>49</v>
      </c>
      <c r="R1997" s="9" t="s">
        <v>50</v>
      </c>
      <c r="S1997" s="7" t="s">
        <v>514</v>
      </c>
      <c r="T1997" s="9" t="s">
        <v>39</v>
      </c>
      <c r="U1997" s="7">
        <v>0.56000000000000005</v>
      </c>
      <c r="V1997" s="12">
        <f>C1997+1</f>
        <v>40086</v>
      </c>
      <c r="W1997">
        <f>IF(D1997=' Pivot Tables'!$A$4,1,0)</f>
        <v>0</v>
      </c>
      <c r="X1997">
        <f>IF(AND(LEFT(D1997,4)+1=LEFT(' Pivot Tables'!$A$4,4)+0,RIGHT(LEFT(D1997,7),2)=RIGHT(LEFT(' Pivot Tables'!$A$4,7),2)),1,0)</f>
        <v>0</v>
      </c>
      <c r="Y1997" s="6">
        <f>1/COUNTIF(Таблица1[Order ID],Таблица1[[#This Row],[Order ID]])</f>
        <v>1</v>
      </c>
      <c r="Z1997" s="9">
        <f>1/COUNTIFS(Таблица1[Customer Name],Таблица1[[#This Row],[Customer Name]],Таблица1[Order-Year-Month],Таблица1[[#This Row],[Order-Year-Month]])</f>
        <v>1</v>
      </c>
    </row>
    <row r="1998" spans="1:26" x14ac:dyDescent="0.2">
      <c r="A1998" s="6">
        <v>645</v>
      </c>
      <c r="B1998" s="7">
        <v>4550</v>
      </c>
      <c r="C1998" s="8">
        <f>DATE(2012,12,31)-1099</f>
        <v>40175</v>
      </c>
      <c r="D1998" s="8" t="str">
        <f t="shared" si="39"/>
        <v>2009-12 (декабрь 2009)</v>
      </c>
      <c r="E1998" s="9" t="s">
        <v>30</v>
      </c>
      <c r="F1998" s="7">
        <v>32</v>
      </c>
      <c r="G1998" s="7">
        <v>3730.54</v>
      </c>
      <c r="H1998" s="7">
        <v>7.0000000000000007E-2</v>
      </c>
      <c r="I1998" s="9" t="s">
        <v>31</v>
      </c>
      <c r="J1998" s="10">
        <v>1369.09</v>
      </c>
      <c r="K1998" s="11">
        <v>119.99</v>
      </c>
      <c r="L1998" s="11">
        <v>16.8</v>
      </c>
      <c r="M1998" s="9" t="s">
        <v>1263</v>
      </c>
      <c r="N1998" s="6" t="s">
        <v>1123</v>
      </c>
      <c r="O1998" s="6" t="s">
        <v>1123</v>
      </c>
      <c r="P1998" s="9" t="s">
        <v>60</v>
      </c>
      <c r="Q1998" s="9" t="s">
        <v>42</v>
      </c>
      <c r="R1998" s="9" t="s">
        <v>210</v>
      </c>
      <c r="S1998" s="7" t="s">
        <v>1268</v>
      </c>
      <c r="T1998" s="9" t="s">
        <v>82</v>
      </c>
      <c r="U1998" s="7">
        <v>0.35</v>
      </c>
      <c r="V1998" s="12">
        <f>C1998+2</f>
        <v>40177</v>
      </c>
      <c r="W1998">
        <f>IF(D1998=' Pivot Tables'!$A$4,1,0)</f>
        <v>0</v>
      </c>
      <c r="X1998">
        <f>IF(AND(LEFT(D1998,4)+1=LEFT(' Pivot Tables'!$A$4,4)+0,RIGHT(LEFT(D1998,7),2)=RIGHT(LEFT(' Pivot Tables'!$A$4,7),2)),1,0)</f>
        <v>0</v>
      </c>
      <c r="Y1998" s="6">
        <f>1/COUNTIF(Таблица1[Order ID],Таблица1[[#This Row],[Order ID]])</f>
        <v>1</v>
      </c>
      <c r="Z1998" s="9">
        <f>1/COUNTIFS(Таблица1[Customer Name],Таблица1[[#This Row],[Customer Name]],Таблица1[Order-Year-Month],Таблица1[[#This Row],[Order-Year-Month]])</f>
        <v>1</v>
      </c>
    </row>
    <row r="1999" spans="1:26" x14ac:dyDescent="0.2">
      <c r="A1999" s="6">
        <v>680</v>
      </c>
      <c r="B1999" s="7">
        <v>4743</v>
      </c>
      <c r="C1999" s="8">
        <f>DATE(2012,12,31)-1007</f>
        <v>40267</v>
      </c>
      <c r="D1999" s="8" t="str">
        <f t="shared" si="39"/>
        <v>2010-03 (март 2010)</v>
      </c>
      <c r="E1999" s="9" t="s">
        <v>21</v>
      </c>
      <c r="F1999" s="7">
        <v>29</v>
      </c>
      <c r="G1999" s="7">
        <v>352.55</v>
      </c>
      <c r="H1999" s="7">
        <v>0.09</v>
      </c>
      <c r="I1999" s="9" t="s">
        <v>22</v>
      </c>
      <c r="J1999" s="10">
        <v>128.98750000000001</v>
      </c>
      <c r="K1999" s="11">
        <v>12.97</v>
      </c>
      <c r="L1999" s="11">
        <v>1.49</v>
      </c>
      <c r="M1999" s="9" t="s">
        <v>1263</v>
      </c>
      <c r="N1999" s="6" t="s">
        <v>1123</v>
      </c>
      <c r="O1999" s="6" t="s">
        <v>1123</v>
      </c>
      <c r="P1999" s="9" t="s">
        <v>60</v>
      </c>
      <c r="Q1999" s="9" t="s">
        <v>26</v>
      </c>
      <c r="R1999" s="9" t="s">
        <v>37</v>
      </c>
      <c r="S1999" s="7" t="s">
        <v>1269</v>
      </c>
      <c r="T1999" s="9" t="s">
        <v>39</v>
      </c>
      <c r="U1999" s="7">
        <v>0.35</v>
      </c>
      <c r="V1999" s="12">
        <f>C1999+4</f>
        <v>40271</v>
      </c>
      <c r="W1999">
        <f>IF(D1999=' Pivot Tables'!$A$4,1,0)</f>
        <v>0</v>
      </c>
      <c r="X1999">
        <f>IF(AND(LEFT(D1999,4)+1=LEFT(' Pivot Tables'!$A$4,4)+0,RIGHT(LEFT(D1999,7),2)=RIGHT(LEFT(' Pivot Tables'!$A$4,7),2)),1,0)</f>
        <v>0</v>
      </c>
      <c r="Y1999" s="6">
        <f>1/COUNTIF(Таблица1[Order ID],Таблица1[[#This Row],[Order ID]])</f>
        <v>0.5</v>
      </c>
      <c r="Z1999" s="9">
        <f>1/COUNTIFS(Таблица1[Customer Name],Таблица1[[#This Row],[Customer Name]],Таблица1[Order-Year-Month],Таблица1[[#This Row],[Order-Year-Month]])</f>
        <v>0.5</v>
      </c>
    </row>
    <row r="2000" spans="1:26" x14ac:dyDescent="0.2">
      <c r="A2000" s="6">
        <v>681</v>
      </c>
      <c r="B2000" s="7">
        <v>4743</v>
      </c>
      <c r="C2000" s="8">
        <f>DATE(2012,12,31)-1007</f>
        <v>40267</v>
      </c>
      <c r="D2000" s="8" t="str">
        <f t="shared" si="39"/>
        <v>2010-03 (март 2010)</v>
      </c>
      <c r="E2000" s="9" t="s">
        <v>21</v>
      </c>
      <c r="F2000" s="7">
        <v>32</v>
      </c>
      <c r="G2000" s="7">
        <v>719.64</v>
      </c>
      <c r="H2000" s="7">
        <v>0.01</v>
      </c>
      <c r="I2000" s="9" t="s">
        <v>22</v>
      </c>
      <c r="J2000" s="10">
        <v>-245.62</v>
      </c>
      <c r="K2000" s="11">
        <v>20.89</v>
      </c>
      <c r="L2000" s="11">
        <v>11.52</v>
      </c>
      <c r="M2000" s="9" t="s">
        <v>1263</v>
      </c>
      <c r="N2000" s="6" t="s">
        <v>1123</v>
      </c>
      <c r="O2000" s="6" t="s">
        <v>1123</v>
      </c>
      <c r="P2000" s="9" t="s">
        <v>60</v>
      </c>
      <c r="Q2000" s="9" t="s">
        <v>26</v>
      </c>
      <c r="R2000" s="9" t="s">
        <v>27</v>
      </c>
      <c r="S2000" s="7" t="s">
        <v>1041</v>
      </c>
      <c r="T2000" s="9" t="s">
        <v>39</v>
      </c>
      <c r="U2000" s="7">
        <v>0.83</v>
      </c>
      <c r="V2000" s="12">
        <f>C2000+7</f>
        <v>40274</v>
      </c>
      <c r="W2000">
        <f>IF(D2000=' Pivot Tables'!$A$4,1,0)</f>
        <v>0</v>
      </c>
      <c r="X2000">
        <f>IF(AND(LEFT(D2000,4)+1=LEFT(' Pivot Tables'!$A$4,4)+0,RIGHT(LEFT(D2000,7),2)=RIGHT(LEFT(' Pivot Tables'!$A$4,7),2)),1,0)</f>
        <v>0</v>
      </c>
      <c r="Y2000" s="6">
        <f>1/COUNTIF(Таблица1[Order ID],Таблица1[[#This Row],[Order ID]])</f>
        <v>0.5</v>
      </c>
      <c r="Z2000" s="9">
        <f>1/COUNTIFS(Таблица1[Customer Name],Таблица1[[#This Row],[Customer Name]],Таблица1[Order-Year-Month],Таблица1[[#This Row],[Order-Year-Month]])</f>
        <v>0.5</v>
      </c>
    </row>
    <row r="2001" spans="1:26" x14ac:dyDescent="0.2">
      <c r="A2001" s="6">
        <v>729</v>
      </c>
      <c r="B2001" s="7">
        <v>5251</v>
      </c>
      <c r="C2001" s="8">
        <f>DATE(2012,12,31)-630</f>
        <v>40644</v>
      </c>
      <c r="D2001" s="8" t="str">
        <f t="shared" si="39"/>
        <v>2011-04 (апрель 2011)</v>
      </c>
      <c r="E2001" s="9" t="s">
        <v>63</v>
      </c>
      <c r="F2001" s="7">
        <v>38</v>
      </c>
      <c r="G2001" s="7">
        <v>3821.0390000000002</v>
      </c>
      <c r="H2001" s="7">
        <v>0.05</v>
      </c>
      <c r="I2001" s="9" t="s">
        <v>56</v>
      </c>
      <c r="J2001" s="10">
        <v>1057.8870000000002</v>
      </c>
      <c r="K2001" s="11">
        <v>115.99</v>
      </c>
      <c r="L2001" s="11">
        <v>5.99</v>
      </c>
      <c r="M2001" s="9" t="s">
        <v>1242</v>
      </c>
      <c r="N2001" s="6" t="s">
        <v>1123</v>
      </c>
      <c r="O2001" s="6" t="s">
        <v>1123</v>
      </c>
      <c r="P2001" s="9" t="s">
        <v>41</v>
      </c>
      <c r="Q2001" s="9" t="s">
        <v>42</v>
      </c>
      <c r="R2001" s="9" t="s">
        <v>43</v>
      </c>
      <c r="S2001" s="7" t="s">
        <v>1270</v>
      </c>
      <c r="T2001" s="9" t="s">
        <v>39</v>
      </c>
      <c r="U2001" s="7">
        <v>0.56999999999999995</v>
      </c>
      <c r="V2001" s="12">
        <f>C2001+2</f>
        <v>40646</v>
      </c>
      <c r="W2001">
        <f>IF(D2001=' Pivot Tables'!$A$4,1,0)</f>
        <v>0</v>
      </c>
      <c r="X2001">
        <f>IF(AND(LEFT(D2001,4)+1=LEFT(' Pivot Tables'!$A$4,4)+0,RIGHT(LEFT(D2001,7),2)=RIGHT(LEFT(' Pivot Tables'!$A$4,7),2)),1,0)</f>
        <v>0</v>
      </c>
      <c r="Y2001" s="6">
        <f>1/COUNTIF(Таблица1[Order ID],Таблица1[[#This Row],[Order ID]])</f>
        <v>1</v>
      </c>
      <c r="Z2001" s="9">
        <f>1/COUNTIFS(Таблица1[Customer Name],Таблица1[[#This Row],[Customer Name]],Таблица1[Order-Year-Month],Таблица1[[#This Row],[Order-Year-Month]])</f>
        <v>1</v>
      </c>
    </row>
    <row r="2002" spans="1:26" x14ac:dyDescent="0.2">
      <c r="A2002" s="6">
        <v>733</v>
      </c>
      <c r="B2002" s="7">
        <v>5283</v>
      </c>
      <c r="C2002" s="8">
        <f>DATE(2012,12,31)-1307</f>
        <v>39967</v>
      </c>
      <c r="D2002" s="8" t="str">
        <f t="shared" si="39"/>
        <v>2009-06 (июнь 2009)</v>
      </c>
      <c r="E2002" s="9" t="s">
        <v>63</v>
      </c>
      <c r="F2002" s="7">
        <v>23</v>
      </c>
      <c r="G2002" s="7">
        <v>2508.6730000000002</v>
      </c>
      <c r="H2002" s="7">
        <v>0.03</v>
      </c>
      <c r="I2002" s="9" t="s">
        <v>22</v>
      </c>
      <c r="J2002" s="10">
        <v>417.46499999999997</v>
      </c>
      <c r="K2002" s="11">
        <v>125.99</v>
      </c>
      <c r="L2002" s="11">
        <v>7.69</v>
      </c>
      <c r="M2002" s="9" t="s">
        <v>1263</v>
      </c>
      <c r="N2002" s="6" t="s">
        <v>1123</v>
      </c>
      <c r="O2002" s="6" t="s">
        <v>1123</v>
      </c>
      <c r="P2002" s="9" t="s">
        <v>60</v>
      </c>
      <c r="Q2002" s="9" t="s">
        <v>42</v>
      </c>
      <c r="R2002" s="9" t="s">
        <v>43</v>
      </c>
      <c r="S2002" s="7" t="s">
        <v>129</v>
      </c>
      <c r="T2002" s="9" t="s">
        <v>39</v>
      </c>
      <c r="U2002" s="7">
        <v>0.57999999999999996</v>
      </c>
      <c r="V2002" s="12">
        <f>C2002+2</f>
        <v>39969</v>
      </c>
      <c r="W2002">
        <f>IF(D2002=' Pivot Tables'!$A$4,1,0)</f>
        <v>0</v>
      </c>
      <c r="X2002">
        <f>IF(AND(LEFT(D2002,4)+1=LEFT(' Pivot Tables'!$A$4,4)+0,RIGHT(LEFT(D2002,7),2)=RIGHT(LEFT(' Pivot Tables'!$A$4,7),2)),1,0)</f>
        <v>0</v>
      </c>
      <c r="Y2002" s="6">
        <f>1/COUNTIF(Таблица1[Order ID],Таблица1[[#This Row],[Order ID]])</f>
        <v>1</v>
      </c>
      <c r="Z2002" s="9">
        <f>1/COUNTIFS(Таблица1[Customer Name],Таблица1[[#This Row],[Customer Name]],Таблица1[Order-Year-Month],Таблица1[[#This Row],[Order-Year-Month]])</f>
        <v>1</v>
      </c>
    </row>
    <row r="2003" spans="1:26" x14ac:dyDescent="0.2">
      <c r="A2003" s="6">
        <v>750</v>
      </c>
      <c r="B2003" s="7">
        <v>5381</v>
      </c>
      <c r="C2003" s="8">
        <f>DATE(2012,12,31)-1068</f>
        <v>40206</v>
      </c>
      <c r="D2003" s="8" t="str">
        <f t="shared" si="39"/>
        <v>2010-01 (январь 2010)</v>
      </c>
      <c r="E2003" s="9" t="s">
        <v>21</v>
      </c>
      <c r="F2003" s="7">
        <v>47</v>
      </c>
      <c r="G2003" s="7">
        <v>4888.1400000000003</v>
      </c>
      <c r="H2003" s="7">
        <v>7.0000000000000007E-2</v>
      </c>
      <c r="I2003" s="9" t="s">
        <v>22</v>
      </c>
      <c r="J2003" s="10">
        <v>1545.09</v>
      </c>
      <c r="K2003" s="11">
        <v>107.53</v>
      </c>
      <c r="L2003" s="11">
        <v>5.81</v>
      </c>
      <c r="M2003" s="9" t="s">
        <v>1250</v>
      </c>
      <c r="N2003" s="6" t="s">
        <v>1123</v>
      </c>
      <c r="O2003" s="6" t="s">
        <v>1123</v>
      </c>
      <c r="P2003" s="9" t="s">
        <v>60</v>
      </c>
      <c r="Q2003" s="9" t="s">
        <v>49</v>
      </c>
      <c r="R2003" s="9" t="s">
        <v>50</v>
      </c>
      <c r="S2003" s="7" t="s">
        <v>473</v>
      </c>
      <c r="T2003" s="9" t="s">
        <v>48</v>
      </c>
      <c r="U2003" s="7">
        <v>0.65</v>
      </c>
      <c r="V2003" s="12">
        <f>C2003+7</f>
        <v>40213</v>
      </c>
      <c r="W2003">
        <f>IF(D2003=' Pivot Tables'!$A$4,1,0)</f>
        <v>1</v>
      </c>
      <c r="X2003">
        <f>IF(AND(LEFT(D2003,4)+1=LEFT(' Pivot Tables'!$A$4,4)+0,RIGHT(LEFT(D2003,7),2)=RIGHT(LEFT(' Pivot Tables'!$A$4,7),2)),1,0)</f>
        <v>0</v>
      </c>
      <c r="Y2003" s="6">
        <f>1/COUNTIF(Таблица1[Order ID],Таблица1[[#This Row],[Order ID]])</f>
        <v>0.5</v>
      </c>
      <c r="Z2003" s="9">
        <f>1/COUNTIFS(Таблица1[Customer Name],Таблица1[[#This Row],[Customer Name]],Таблица1[Order-Year-Month],Таблица1[[#This Row],[Order-Year-Month]])</f>
        <v>0.33333333333333331</v>
      </c>
    </row>
    <row r="2004" spans="1:26" x14ac:dyDescent="0.2">
      <c r="A2004" s="6">
        <v>751</v>
      </c>
      <c r="B2004" s="7">
        <v>5381</v>
      </c>
      <c r="C2004" s="8">
        <f>DATE(2012,12,31)-1068</f>
        <v>40206</v>
      </c>
      <c r="D2004" s="8" t="str">
        <f t="shared" si="39"/>
        <v>2010-01 (январь 2010)</v>
      </c>
      <c r="E2004" s="9" t="s">
        <v>21</v>
      </c>
      <c r="F2004" s="7">
        <v>27</v>
      </c>
      <c r="G2004" s="7">
        <v>63.87</v>
      </c>
      <c r="H2004" s="7">
        <v>0.09</v>
      </c>
      <c r="I2004" s="9" t="s">
        <v>22</v>
      </c>
      <c r="J2004" s="10">
        <v>-149.93</v>
      </c>
      <c r="K2004" s="11">
        <v>2.1800000000000002</v>
      </c>
      <c r="L2004" s="11">
        <v>7.09</v>
      </c>
      <c r="M2004" s="9" t="s">
        <v>1250</v>
      </c>
      <c r="N2004" s="6" t="s">
        <v>1123</v>
      </c>
      <c r="O2004" s="6" t="s">
        <v>1123</v>
      </c>
      <c r="P2004" s="9" t="s">
        <v>60</v>
      </c>
      <c r="Q2004" s="9" t="s">
        <v>26</v>
      </c>
      <c r="R2004" s="9" t="s">
        <v>61</v>
      </c>
      <c r="S2004" s="7" t="s">
        <v>1271</v>
      </c>
      <c r="T2004" s="9" t="s">
        <v>68</v>
      </c>
      <c r="U2004" s="7">
        <v>0.38</v>
      </c>
      <c r="V2004" s="12">
        <f>C2004+7</f>
        <v>40213</v>
      </c>
      <c r="W2004">
        <f>IF(D2004=' Pivot Tables'!$A$4,1,0)</f>
        <v>1</v>
      </c>
      <c r="X2004">
        <f>IF(AND(LEFT(D2004,4)+1=LEFT(' Pivot Tables'!$A$4,4)+0,RIGHT(LEFT(D2004,7),2)=RIGHT(LEFT(' Pivot Tables'!$A$4,7),2)),1,0)</f>
        <v>0</v>
      </c>
      <c r="Y2004" s="6">
        <f>1/COUNTIF(Таблица1[Order ID],Таблица1[[#This Row],[Order ID]])</f>
        <v>0.5</v>
      </c>
      <c r="Z2004" s="9">
        <f>1/COUNTIFS(Таблица1[Customer Name],Таблица1[[#This Row],[Customer Name]],Таблица1[Order-Year-Month],Таблица1[[#This Row],[Order-Year-Month]])</f>
        <v>0.33333333333333331</v>
      </c>
    </row>
    <row r="2005" spans="1:26" x14ac:dyDescent="0.2">
      <c r="A2005" s="6">
        <v>759</v>
      </c>
      <c r="B2005" s="7">
        <v>5444</v>
      </c>
      <c r="C2005" s="8">
        <f>DATE(2012,12,31)-655</f>
        <v>40619</v>
      </c>
      <c r="D2005" s="8" t="str">
        <f t="shared" si="39"/>
        <v>2011-03 (март 2011)</v>
      </c>
      <c r="E2005" s="9" t="s">
        <v>78</v>
      </c>
      <c r="F2005" s="7">
        <v>2</v>
      </c>
      <c r="G2005" s="7">
        <v>885.94</v>
      </c>
      <c r="H2005" s="7">
        <v>0.08</v>
      </c>
      <c r="I2005" s="9" t="s">
        <v>22</v>
      </c>
      <c r="J2005" s="10">
        <v>-2024.079</v>
      </c>
      <c r="K2005" s="11">
        <v>449.99</v>
      </c>
      <c r="L2005" s="11">
        <v>24.49</v>
      </c>
      <c r="M2005" s="9" t="s">
        <v>1272</v>
      </c>
      <c r="N2005" s="6" t="s">
        <v>1123</v>
      </c>
      <c r="O2005" s="6" t="s">
        <v>1123</v>
      </c>
      <c r="P2005" s="9" t="s">
        <v>25</v>
      </c>
      <c r="Q2005" s="9" t="s">
        <v>42</v>
      </c>
      <c r="R2005" s="9" t="s">
        <v>99</v>
      </c>
      <c r="S2005" s="7" t="s">
        <v>100</v>
      </c>
      <c r="T2005" s="9" t="s">
        <v>29</v>
      </c>
      <c r="U2005" s="7">
        <v>0.52</v>
      </c>
      <c r="V2005" s="12">
        <f>C2005+2</f>
        <v>40621</v>
      </c>
      <c r="W2005">
        <f>IF(D2005=' Pivot Tables'!$A$4,1,0)</f>
        <v>0</v>
      </c>
      <c r="X2005">
        <f>IF(AND(LEFT(D2005,4)+1=LEFT(' Pivot Tables'!$A$4,4)+0,RIGHT(LEFT(D2005,7),2)=RIGHT(LEFT(' Pivot Tables'!$A$4,7),2)),1,0)</f>
        <v>0</v>
      </c>
      <c r="Y2005" s="6">
        <f>1/COUNTIF(Таблица1[Order ID],Таблица1[[#This Row],[Order ID]])</f>
        <v>1</v>
      </c>
      <c r="Z2005" s="9">
        <f>1/COUNTIFS(Таблица1[Customer Name],Таблица1[[#This Row],[Customer Name]],Таблица1[Order-Year-Month],Таблица1[[#This Row],[Order-Year-Month]])</f>
        <v>1</v>
      </c>
    </row>
    <row r="2006" spans="1:26" x14ac:dyDescent="0.2">
      <c r="A2006" s="6">
        <v>785</v>
      </c>
      <c r="B2006" s="7">
        <v>5601</v>
      </c>
      <c r="C2006" s="8">
        <f>DATE(2012,12,31)-361</f>
        <v>40913</v>
      </c>
      <c r="D2006" s="8" t="str">
        <f t="shared" si="39"/>
        <v>2012-01 (январь 2012)</v>
      </c>
      <c r="E2006" s="9" t="s">
        <v>30</v>
      </c>
      <c r="F2006" s="7">
        <v>10</v>
      </c>
      <c r="G2006" s="7">
        <v>120.53</v>
      </c>
      <c r="H2006" s="7">
        <v>0.1</v>
      </c>
      <c r="I2006" s="9" t="s">
        <v>22</v>
      </c>
      <c r="J2006" s="10">
        <v>49.26</v>
      </c>
      <c r="K2006" s="11">
        <v>12.22</v>
      </c>
      <c r="L2006" s="11">
        <v>2.85</v>
      </c>
      <c r="M2006" s="9" t="s">
        <v>1273</v>
      </c>
      <c r="N2006" s="6" t="s">
        <v>1123</v>
      </c>
      <c r="O2006" s="6" t="s">
        <v>1123</v>
      </c>
      <c r="P2006" s="9" t="s">
        <v>33</v>
      </c>
      <c r="Q2006" s="9" t="s">
        <v>49</v>
      </c>
      <c r="R2006" s="9" t="s">
        <v>50</v>
      </c>
      <c r="S2006" s="7" t="s">
        <v>245</v>
      </c>
      <c r="T2006" s="9" t="s">
        <v>52</v>
      </c>
      <c r="U2006" s="7">
        <v>0.55000000000000004</v>
      </c>
      <c r="V2006" s="12">
        <f>C2006+1</f>
        <v>40914</v>
      </c>
      <c r="W2006">
        <f>IF(D2006=' Pivot Tables'!$A$4,1,0)</f>
        <v>0</v>
      </c>
      <c r="X2006">
        <f>IF(AND(LEFT(D2006,4)+1=LEFT(' Pivot Tables'!$A$4,4)+0,RIGHT(LEFT(D2006,7),2)=RIGHT(LEFT(' Pivot Tables'!$A$4,7),2)),1,0)</f>
        <v>0</v>
      </c>
      <c r="Y2006" s="6">
        <f>1/COUNTIF(Таблица1[Order ID],Таблица1[[#This Row],[Order ID]])</f>
        <v>1</v>
      </c>
      <c r="Z2006" s="9">
        <f>1/COUNTIFS(Таблица1[Customer Name],Таблица1[[#This Row],[Customer Name]],Таблица1[Order-Year-Month],Таблица1[[#This Row],[Order-Year-Month]])</f>
        <v>1</v>
      </c>
    </row>
    <row r="2007" spans="1:26" x14ac:dyDescent="0.2">
      <c r="A2007" s="6">
        <v>802</v>
      </c>
      <c r="B2007" s="7">
        <v>5760</v>
      </c>
      <c r="C2007" s="8">
        <f>DATE(2012,12,31)-1317</f>
        <v>39957</v>
      </c>
      <c r="D2007" s="8" t="str">
        <f t="shared" si="39"/>
        <v>2009-05 (май 2009)</v>
      </c>
      <c r="E2007" s="9" t="s">
        <v>45</v>
      </c>
      <c r="F2007" s="7">
        <v>34</v>
      </c>
      <c r="G2007" s="7">
        <v>5261.73</v>
      </c>
      <c r="H2007" s="7">
        <v>0.05</v>
      </c>
      <c r="I2007" s="9" t="s">
        <v>31</v>
      </c>
      <c r="J2007" s="10">
        <v>650.29999999999995</v>
      </c>
      <c r="K2007" s="11">
        <v>150.97999999999999</v>
      </c>
      <c r="L2007" s="11">
        <v>43.71</v>
      </c>
      <c r="M2007" s="9" t="s">
        <v>1274</v>
      </c>
      <c r="N2007" s="6" t="s">
        <v>1123</v>
      </c>
      <c r="O2007" s="6" t="s">
        <v>1123</v>
      </c>
      <c r="P2007" s="9" t="s">
        <v>60</v>
      </c>
      <c r="Q2007" s="9" t="s">
        <v>49</v>
      </c>
      <c r="R2007" s="9" t="s">
        <v>112</v>
      </c>
      <c r="S2007" s="7" t="s">
        <v>1275</v>
      </c>
      <c r="T2007" s="9" t="s">
        <v>36</v>
      </c>
      <c r="U2007" s="7">
        <v>0.55000000000000004</v>
      </c>
      <c r="V2007" s="12">
        <f>C2007+1</f>
        <v>39958</v>
      </c>
      <c r="W2007">
        <f>IF(D2007=' Pivot Tables'!$A$4,1,0)</f>
        <v>0</v>
      </c>
      <c r="X2007">
        <f>IF(AND(LEFT(D2007,4)+1=LEFT(' Pivot Tables'!$A$4,4)+0,RIGHT(LEFT(D2007,7),2)=RIGHT(LEFT(' Pivot Tables'!$A$4,7),2)),1,0)</f>
        <v>0</v>
      </c>
      <c r="Y2007" s="6">
        <f>1/COUNTIF(Таблица1[Order ID],Таблица1[[#This Row],[Order ID]])</f>
        <v>1</v>
      </c>
      <c r="Z2007" s="9">
        <f>1/COUNTIFS(Таблица1[Customer Name],Таблица1[[#This Row],[Customer Name]],Таблица1[Order-Year-Month],Таблица1[[#This Row],[Order-Year-Month]])</f>
        <v>1</v>
      </c>
    </row>
    <row r="2008" spans="1:26" x14ac:dyDescent="0.2">
      <c r="A2008" s="6">
        <v>896</v>
      </c>
      <c r="B2008" s="7">
        <v>6438</v>
      </c>
      <c r="C2008" s="8">
        <f>DATE(2012,12,31)-960</f>
        <v>40314</v>
      </c>
      <c r="D2008" s="8" t="str">
        <f t="shared" si="39"/>
        <v>2010-05 (май 2010)</v>
      </c>
      <c r="E2008" s="9" t="s">
        <v>45</v>
      </c>
      <c r="F2008" s="7">
        <v>7</v>
      </c>
      <c r="G2008" s="7">
        <v>75.72</v>
      </c>
      <c r="H2008" s="7">
        <v>0.02</v>
      </c>
      <c r="I2008" s="9" t="s">
        <v>22</v>
      </c>
      <c r="J2008" s="10">
        <v>20.29</v>
      </c>
      <c r="K2008" s="11">
        <v>9.77</v>
      </c>
      <c r="L2008" s="11">
        <v>6.02</v>
      </c>
      <c r="M2008" s="9" t="s">
        <v>1276</v>
      </c>
      <c r="N2008" s="6" t="s">
        <v>1123</v>
      </c>
      <c r="O2008" s="6" t="s">
        <v>1123</v>
      </c>
      <c r="P2008" s="9" t="s">
        <v>41</v>
      </c>
      <c r="Q2008" s="9" t="s">
        <v>49</v>
      </c>
      <c r="R2008" s="9" t="s">
        <v>50</v>
      </c>
      <c r="S2008" s="7" t="s">
        <v>446</v>
      </c>
      <c r="T2008" s="9" t="s">
        <v>48</v>
      </c>
      <c r="U2008" s="7">
        <v>0.48</v>
      </c>
      <c r="V2008" s="12">
        <f>C2008+0</f>
        <v>40314</v>
      </c>
      <c r="W2008">
        <f>IF(D2008=' Pivot Tables'!$A$4,1,0)</f>
        <v>0</v>
      </c>
      <c r="X2008">
        <f>IF(AND(LEFT(D2008,4)+1=LEFT(' Pivot Tables'!$A$4,4)+0,RIGHT(LEFT(D2008,7),2)=RIGHT(LEFT(' Pivot Tables'!$A$4,7),2)),1,0)</f>
        <v>0</v>
      </c>
      <c r="Y2008" s="6">
        <f>1/COUNTIF(Таблица1[Order ID],Таблица1[[#This Row],[Order ID]])</f>
        <v>0.5</v>
      </c>
      <c r="Z2008" s="9">
        <f>1/COUNTIFS(Таблица1[Customer Name],Таблица1[[#This Row],[Customer Name]],Таблица1[Order-Year-Month],Таблица1[[#This Row],[Order-Year-Month]])</f>
        <v>0.5</v>
      </c>
    </row>
    <row r="2009" spans="1:26" x14ac:dyDescent="0.2">
      <c r="A2009" s="6">
        <v>897</v>
      </c>
      <c r="B2009" s="7">
        <v>6438</v>
      </c>
      <c r="C2009" s="8">
        <f>DATE(2012,12,31)-960</f>
        <v>40314</v>
      </c>
      <c r="D2009" s="8" t="str">
        <f t="shared" si="39"/>
        <v>2010-05 (май 2010)</v>
      </c>
      <c r="E2009" s="9" t="s">
        <v>45</v>
      </c>
      <c r="F2009" s="7">
        <v>38</v>
      </c>
      <c r="G2009" s="7">
        <v>225.21</v>
      </c>
      <c r="H2009" s="7">
        <v>0.06</v>
      </c>
      <c r="I2009" s="9" t="s">
        <v>22</v>
      </c>
      <c r="J2009" s="10">
        <v>-66.16</v>
      </c>
      <c r="K2009" s="11">
        <v>5.98</v>
      </c>
      <c r="L2009" s="11">
        <v>5.2</v>
      </c>
      <c r="M2009" s="9" t="s">
        <v>1276</v>
      </c>
      <c r="N2009" s="6" t="s">
        <v>1123</v>
      </c>
      <c r="O2009" s="6" t="s">
        <v>1123</v>
      </c>
      <c r="P2009" s="9" t="s">
        <v>41</v>
      </c>
      <c r="Q2009" s="9" t="s">
        <v>26</v>
      </c>
      <c r="R2009" s="9" t="s">
        <v>61</v>
      </c>
      <c r="S2009" s="7" t="s">
        <v>594</v>
      </c>
      <c r="T2009" s="9" t="s">
        <v>39</v>
      </c>
      <c r="U2009" s="7">
        <v>0.36</v>
      </c>
      <c r="V2009" s="12">
        <f>C2009+1</f>
        <v>40315</v>
      </c>
      <c r="W2009">
        <f>IF(D2009=' Pivot Tables'!$A$4,1,0)</f>
        <v>0</v>
      </c>
      <c r="X2009">
        <f>IF(AND(LEFT(D2009,4)+1=LEFT(' Pivot Tables'!$A$4,4)+0,RIGHT(LEFT(D2009,7),2)=RIGHT(LEFT(' Pivot Tables'!$A$4,7),2)),1,0)</f>
        <v>0</v>
      </c>
      <c r="Y2009" s="6">
        <f>1/COUNTIF(Таблица1[Order ID],Таблица1[[#This Row],[Order ID]])</f>
        <v>0.5</v>
      </c>
      <c r="Z2009" s="9">
        <f>1/COUNTIFS(Таблица1[Customer Name],Таблица1[[#This Row],[Customer Name]],Таблица1[Order-Year-Month],Таблица1[[#This Row],[Order-Year-Month]])</f>
        <v>0.5</v>
      </c>
    </row>
    <row r="2010" spans="1:26" x14ac:dyDescent="0.2">
      <c r="A2010" s="6">
        <v>917</v>
      </c>
      <c r="B2010" s="7">
        <v>6592</v>
      </c>
      <c r="C2010" s="8">
        <f>DATE(2012,12,31)-1126</f>
        <v>40148</v>
      </c>
      <c r="D2010" s="8" t="str">
        <f t="shared" si="39"/>
        <v>2009-12 (декабрь 2009)</v>
      </c>
      <c r="E2010" s="9" t="s">
        <v>21</v>
      </c>
      <c r="F2010" s="7">
        <v>29</v>
      </c>
      <c r="G2010" s="7">
        <v>194.29</v>
      </c>
      <c r="H2010" s="7">
        <v>0.09</v>
      </c>
      <c r="I2010" s="9" t="s">
        <v>22</v>
      </c>
      <c r="J2010" s="10">
        <v>-177.17</v>
      </c>
      <c r="K2010" s="11">
        <v>6.84</v>
      </c>
      <c r="L2010" s="11">
        <v>8.3699999999999992</v>
      </c>
      <c r="M2010" s="9" t="s">
        <v>1246</v>
      </c>
      <c r="N2010" s="6" t="s">
        <v>1123</v>
      </c>
      <c r="O2010" s="6" t="s">
        <v>1123</v>
      </c>
      <c r="P2010" s="9" t="s">
        <v>33</v>
      </c>
      <c r="Q2010" s="9" t="s">
        <v>26</v>
      </c>
      <c r="R2010" s="9" t="s">
        <v>150</v>
      </c>
      <c r="S2010" s="7" t="s">
        <v>401</v>
      </c>
      <c r="T2010" s="9" t="s">
        <v>52</v>
      </c>
      <c r="U2010" s="7">
        <v>0.57999999999999996</v>
      </c>
      <c r="V2010" s="12">
        <f>C2010+7</f>
        <v>40155</v>
      </c>
      <c r="W2010">
        <f>IF(D2010=' Pivot Tables'!$A$4,1,0)</f>
        <v>0</v>
      </c>
      <c r="X2010">
        <f>IF(AND(LEFT(D2010,4)+1=LEFT(' Pivot Tables'!$A$4,4)+0,RIGHT(LEFT(D2010,7),2)=RIGHT(LEFT(' Pivot Tables'!$A$4,7),2)),1,0)</f>
        <v>0</v>
      </c>
      <c r="Y2010" s="6">
        <f>1/COUNTIF(Таблица1[Order ID],Таблица1[[#This Row],[Order ID]])</f>
        <v>0.5</v>
      </c>
      <c r="Z2010" s="9">
        <f>1/COUNTIFS(Таблица1[Customer Name],Таблица1[[#This Row],[Customer Name]],Таблица1[Order-Year-Month],Таблица1[[#This Row],[Order-Year-Month]])</f>
        <v>0.5</v>
      </c>
    </row>
    <row r="2011" spans="1:26" x14ac:dyDescent="0.2">
      <c r="A2011" s="6">
        <v>918</v>
      </c>
      <c r="B2011" s="7">
        <v>6592</v>
      </c>
      <c r="C2011" s="8">
        <f>DATE(2012,12,31)-1126</f>
        <v>40148</v>
      </c>
      <c r="D2011" s="8" t="str">
        <f t="shared" si="39"/>
        <v>2009-12 (декабрь 2009)</v>
      </c>
      <c r="E2011" s="9" t="s">
        <v>21</v>
      </c>
      <c r="F2011" s="7">
        <v>33</v>
      </c>
      <c r="G2011" s="7">
        <v>1621.1</v>
      </c>
      <c r="H2011" s="7">
        <v>7.0000000000000007E-2</v>
      </c>
      <c r="I2011" s="9" t="s">
        <v>56</v>
      </c>
      <c r="J2011" s="10">
        <v>-971.36</v>
      </c>
      <c r="K2011" s="11">
        <v>48.91</v>
      </c>
      <c r="L2011" s="11">
        <v>35</v>
      </c>
      <c r="M2011" s="9" t="s">
        <v>1246</v>
      </c>
      <c r="N2011" s="6" t="s">
        <v>1123</v>
      </c>
      <c r="O2011" s="6" t="s">
        <v>1123</v>
      </c>
      <c r="P2011" s="9" t="s">
        <v>33</v>
      </c>
      <c r="Q2011" s="9" t="s">
        <v>26</v>
      </c>
      <c r="R2011" s="9" t="s">
        <v>27</v>
      </c>
      <c r="S2011" s="7" t="s">
        <v>418</v>
      </c>
      <c r="T2011" s="9" t="s">
        <v>29</v>
      </c>
      <c r="U2011" s="7">
        <v>0.83</v>
      </c>
      <c r="V2011" s="12">
        <f>C2011+2</f>
        <v>40150</v>
      </c>
      <c r="W2011">
        <f>IF(D2011=' Pivot Tables'!$A$4,1,0)</f>
        <v>0</v>
      </c>
      <c r="X2011">
        <f>IF(AND(LEFT(D2011,4)+1=LEFT(' Pivot Tables'!$A$4,4)+0,RIGHT(LEFT(D2011,7),2)=RIGHT(LEFT(' Pivot Tables'!$A$4,7),2)),1,0)</f>
        <v>0</v>
      </c>
      <c r="Y2011" s="6">
        <f>1/COUNTIF(Таблица1[Order ID],Таблица1[[#This Row],[Order ID]])</f>
        <v>0.5</v>
      </c>
      <c r="Z2011" s="9">
        <f>1/COUNTIFS(Таблица1[Customer Name],Таблица1[[#This Row],[Customer Name]],Таблица1[Order-Year-Month],Таблица1[[#This Row],[Order-Year-Month]])</f>
        <v>0.5</v>
      </c>
    </row>
    <row r="2012" spans="1:26" x14ac:dyDescent="0.2">
      <c r="A2012" s="6">
        <v>933</v>
      </c>
      <c r="B2012" s="7">
        <v>6755</v>
      </c>
      <c r="C2012" s="8">
        <f>DATE(2012,12,31)-610</f>
        <v>40664</v>
      </c>
      <c r="D2012" s="8" t="str">
        <f t="shared" si="39"/>
        <v>2011-05 (май 2011)</v>
      </c>
      <c r="E2012" s="9" t="s">
        <v>30</v>
      </c>
      <c r="F2012" s="7">
        <v>20</v>
      </c>
      <c r="G2012" s="7">
        <v>156.47</v>
      </c>
      <c r="H2012" s="7">
        <v>0.01</v>
      </c>
      <c r="I2012" s="9" t="s">
        <v>22</v>
      </c>
      <c r="J2012" s="10">
        <v>-39.226500000000001</v>
      </c>
      <c r="K2012" s="11">
        <v>7.1</v>
      </c>
      <c r="L2012" s="11">
        <v>6.05</v>
      </c>
      <c r="M2012" s="9" t="s">
        <v>1251</v>
      </c>
      <c r="N2012" s="6" t="s">
        <v>1123</v>
      </c>
      <c r="O2012" s="6" t="s">
        <v>1123</v>
      </c>
      <c r="P2012" s="9" t="s">
        <v>60</v>
      </c>
      <c r="Q2012" s="9" t="s">
        <v>26</v>
      </c>
      <c r="R2012" s="9" t="s">
        <v>37</v>
      </c>
      <c r="S2012" s="7" t="s">
        <v>435</v>
      </c>
      <c r="T2012" s="9" t="s">
        <v>39</v>
      </c>
      <c r="U2012" s="7">
        <v>0.39</v>
      </c>
      <c r="V2012" s="12">
        <f>C2012+2</f>
        <v>40666</v>
      </c>
      <c r="W2012">
        <f>IF(D2012=' Pivot Tables'!$A$4,1,0)</f>
        <v>0</v>
      </c>
      <c r="X2012">
        <f>IF(AND(LEFT(D2012,4)+1=LEFT(' Pivot Tables'!$A$4,4)+0,RIGHT(LEFT(D2012,7),2)=RIGHT(LEFT(' Pivot Tables'!$A$4,7),2)),1,0)</f>
        <v>0</v>
      </c>
      <c r="Y2012" s="6">
        <f>1/COUNTIF(Таблица1[Order ID],Таблица1[[#This Row],[Order ID]])</f>
        <v>1</v>
      </c>
      <c r="Z2012" s="9">
        <f>1/COUNTIFS(Таблица1[Customer Name],Таблица1[[#This Row],[Customer Name]],Таблица1[Order-Year-Month],Таблица1[[#This Row],[Order-Year-Month]])</f>
        <v>1</v>
      </c>
    </row>
    <row r="2013" spans="1:26" x14ac:dyDescent="0.2">
      <c r="A2013" s="6">
        <v>957</v>
      </c>
      <c r="B2013" s="7">
        <v>6918</v>
      </c>
      <c r="C2013" s="8">
        <f>DATE(2012,12,31)-549</f>
        <v>40725</v>
      </c>
      <c r="D2013" s="8" t="str">
        <f t="shared" si="39"/>
        <v>2011-07 (июль 2011)</v>
      </c>
      <c r="E2013" s="9" t="s">
        <v>78</v>
      </c>
      <c r="F2013" s="7">
        <v>38</v>
      </c>
      <c r="G2013" s="7">
        <v>1559.5</v>
      </c>
      <c r="H2013" s="7">
        <v>0.01</v>
      </c>
      <c r="I2013" s="9" t="s">
        <v>22</v>
      </c>
      <c r="J2013" s="10">
        <v>515.83000000000004</v>
      </c>
      <c r="K2013" s="11">
        <v>39.479999999999997</v>
      </c>
      <c r="L2013" s="11">
        <v>1.99</v>
      </c>
      <c r="M2013" s="9" t="s">
        <v>1277</v>
      </c>
      <c r="N2013" s="6" t="s">
        <v>1123</v>
      </c>
      <c r="O2013" s="6" t="s">
        <v>1123</v>
      </c>
      <c r="P2013" s="9" t="s">
        <v>33</v>
      </c>
      <c r="Q2013" s="9" t="s">
        <v>42</v>
      </c>
      <c r="R2013" s="9" t="s">
        <v>70</v>
      </c>
      <c r="S2013" s="7" t="s">
        <v>161</v>
      </c>
      <c r="T2013" s="9" t="s">
        <v>52</v>
      </c>
      <c r="U2013" s="7">
        <v>0.54</v>
      </c>
      <c r="V2013" s="12">
        <f>C2013+2</f>
        <v>40727</v>
      </c>
      <c r="W2013">
        <f>IF(D2013=' Pivot Tables'!$A$4,1,0)</f>
        <v>0</v>
      </c>
      <c r="X2013">
        <f>IF(AND(LEFT(D2013,4)+1=LEFT(' Pivot Tables'!$A$4,4)+0,RIGHT(LEFT(D2013,7),2)=RIGHT(LEFT(' Pivot Tables'!$A$4,7),2)),1,0)</f>
        <v>0</v>
      </c>
      <c r="Y2013" s="6">
        <f>1/COUNTIF(Таблица1[Order ID],Таблица1[[#This Row],[Order ID]])</f>
        <v>1</v>
      </c>
      <c r="Z2013" s="9">
        <f>1/COUNTIFS(Таблица1[Customer Name],Таблица1[[#This Row],[Customer Name]],Таблица1[Order-Year-Month],Таблица1[[#This Row],[Order-Year-Month]])</f>
        <v>1</v>
      </c>
    </row>
    <row r="2014" spans="1:26" x14ac:dyDescent="0.2">
      <c r="A2014" s="6">
        <v>1060</v>
      </c>
      <c r="B2014" s="7">
        <v>7841</v>
      </c>
      <c r="C2014" s="8">
        <f>DATE(2012,12,31)-225</f>
        <v>41049</v>
      </c>
      <c r="D2014" s="8" t="str">
        <f t="shared" si="39"/>
        <v>2012-05 (май 2012)</v>
      </c>
      <c r="E2014" s="9" t="s">
        <v>45</v>
      </c>
      <c r="F2014" s="7">
        <v>21</v>
      </c>
      <c r="G2014" s="7">
        <v>1002.77</v>
      </c>
      <c r="H2014" s="7">
        <v>7.0000000000000007E-2</v>
      </c>
      <c r="I2014" s="9" t="s">
        <v>22</v>
      </c>
      <c r="J2014" s="10">
        <v>295.60000000000002</v>
      </c>
      <c r="K2014" s="11">
        <v>49.34</v>
      </c>
      <c r="L2014" s="11">
        <v>10.25</v>
      </c>
      <c r="M2014" s="9" t="s">
        <v>1278</v>
      </c>
      <c r="N2014" s="6" t="s">
        <v>1123</v>
      </c>
      <c r="O2014" s="6" t="s">
        <v>1123</v>
      </c>
      <c r="P2014" s="9" t="s">
        <v>33</v>
      </c>
      <c r="Q2014" s="9" t="s">
        <v>49</v>
      </c>
      <c r="R2014" s="9" t="s">
        <v>50</v>
      </c>
      <c r="S2014" s="7" t="s">
        <v>1279</v>
      </c>
      <c r="T2014" s="9" t="s">
        <v>29</v>
      </c>
      <c r="U2014" s="7">
        <v>0.56999999999999995</v>
      </c>
      <c r="V2014" s="12">
        <f>C2014+2</f>
        <v>41051</v>
      </c>
      <c r="W2014">
        <f>IF(D2014=' Pivot Tables'!$A$4,1,0)</f>
        <v>0</v>
      </c>
      <c r="X2014">
        <f>IF(AND(LEFT(D2014,4)+1=LEFT(' Pivot Tables'!$A$4,4)+0,RIGHT(LEFT(D2014,7),2)=RIGHT(LEFT(' Pivot Tables'!$A$4,7),2)),1,0)</f>
        <v>0</v>
      </c>
      <c r="Y2014" s="6">
        <f>1/COUNTIF(Таблица1[Order ID],Таблица1[[#This Row],[Order ID]])</f>
        <v>0.5</v>
      </c>
      <c r="Z2014" s="9">
        <f>1/COUNTIFS(Таблица1[Customer Name],Таблица1[[#This Row],[Customer Name]],Таблица1[Order-Year-Month],Таблица1[[#This Row],[Order-Year-Month]])</f>
        <v>0.33333333333333331</v>
      </c>
    </row>
    <row r="2015" spans="1:26" x14ac:dyDescent="0.2">
      <c r="A2015" s="6">
        <v>1061</v>
      </c>
      <c r="B2015" s="7">
        <v>7841</v>
      </c>
      <c r="C2015" s="8">
        <f>DATE(2012,12,31)-225</f>
        <v>41049</v>
      </c>
      <c r="D2015" s="8" t="str">
        <f t="shared" si="39"/>
        <v>2012-05 (май 2012)</v>
      </c>
      <c r="E2015" s="9" t="s">
        <v>45</v>
      </c>
      <c r="F2015" s="7">
        <v>17</v>
      </c>
      <c r="G2015" s="7">
        <v>178.14</v>
      </c>
      <c r="H2015" s="7">
        <v>0.01</v>
      </c>
      <c r="I2015" s="9" t="s">
        <v>22</v>
      </c>
      <c r="J2015" s="10">
        <v>56.3</v>
      </c>
      <c r="K2015" s="11">
        <v>10.06</v>
      </c>
      <c r="L2015" s="11">
        <v>2.06</v>
      </c>
      <c r="M2015" s="9" t="s">
        <v>1278</v>
      </c>
      <c r="N2015" s="6" t="s">
        <v>1123</v>
      </c>
      <c r="O2015" s="6" t="s">
        <v>1123</v>
      </c>
      <c r="P2015" s="9" t="s">
        <v>33</v>
      </c>
      <c r="Q2015" s="9" t="s">
        <v>49</v>
      </c>
      <c r="R2015" s="9" t="s">
        <v>50</v>
      </c>
      <c r="S2015" s="7" t="s">
        <v>603</v>
      </c>
      <c r="T2015" s="9" t="s">
        <v>68</v>
      </c>
      <c r="U2015" s="7">
        <v>0.46</v>
      </c>
      <c r="V2015" s="12">
        <f>C2015+2</f>
        <v>41051</v>
      </c>
      <c r="W2015">
        <f>IF(D2015=' Pivot Tables'!$A$4,1,0)</f>
        <v>0</v>
      </c>
      <c r="X2015">
        <f>IF(AND(LEFT(D2015,4)+1=LEFT(' Pivot Tables'!$A$4,4)+0,RIGHT(LEFT(D2015,7),2)=RIGHT(LEFT(' Pivot Tables'!$A$4,7),2)),1,0)</f>
        <v>0</v>
      </c>
      <c r="Y2015" s="6">
        <f>1/COUNTIF(Таблица1[Order ID],Таблица1[[#This Row],[Order ID]])</f>
        <v>0.5</v>
      </c>
      <c r="Z2015" s="9">
        <f>1/COUNTIFS(Таблица1[Customer Name],Таблица1[[#This Row],[Customer Name]],Таблица1[Order-Year-Month],Таблица1[[#This Row],[Order-Year-Month]])</f>
        <v>0.33333333333333331</v>
      </c>
    </row>
    <row r="2016" spans="1:26" x14ac:dyDescent="0.2">
      <c r="A2016" s="6">
        <v>1104</v>
      </c>
      <c r="B2016" s="7">
        <v>8103</v>
      </c>
      <c r="C2016" s="8">
        <f>DATE(2012,12,31)-1155</f>
        <v>40119</v>
      </c>
      <c r="D2016" s="8" t="str">
        <f t="shared" si="39"/>
        <v>2009-11 (ноябрь 2009)</v>
      </c>
      <c r="E2016" s="9" t="s">
        <v>21</v>
      </c>
      <c r="F2016" s="7">
        <v>16</v>
      </c>
      <c r="G2016" s="7">
        <v>457.68</v>
      </c>
      <c r="H2016" s="7">
        <v>7.0000000000000007E-2</v>
      </c>
      <c r="I2016" s="9" t="s">
        <v>22</v>
      </c>
      <c r="J2016" s="10">
        <v>107.3805</v>
      </c>
      <c r="K2016" s="11">
        <v>29.17</v>
      </c>
      <c r="L2016" s="11">
        <v>6.27</v>
      </c>
      <c r="M2016" s="9" t="s">
        <v>1280</v>
      </c>
      <c r="N2016" s="6" t="s">
        <v>1123</v>
      </c>
      <c r="O2016" s="6" t="s">
        <v>1123</v>
      </c>
      <c r="P2016" s="9" t="s">
        <v>41</v>
      </c>
      <c r="Q2016" s="9" t="s">
        <v>26</v>
      </c>
      <c r="R2016" s="9" t="s">
        <v>37</v>
      </c>
      <c r="S2016" s="7" t="s">
        <v>1100</v>
      </c>
      <c r="T2016" s="9" t="s">
        <v>39</v>
      </c>
      <c r="U2016" s="7">
        <v>0.37</v>
      </c>
      <c r="V2016" s="12">
        <f>C2016+4</f>
        <v>40123</v>
      </c>
      <c r="W2016">
        <f>IF(D2016=' Pivot Tables'!$A$4,1,0)</f>
        <v>0</v>
      </c>
      <c r="X2016">
        <f>IF(AND(LEFT(D2016,4)+1=LEFT(' Pivot Tables'!$A$4,4)+0,RIGHT(LEFT(D2016,7),2)=RIGHT(LEFT(' Pivot Tables'!$A$4,7),2)),1,0)</f>
        <v>0</v>
      </c>
      <c r="Y2016" s="6">
        <f>1/COUNTIF(Таблица1[Order ID],Таблица1[[#This Row],[Order ID]])</f>
        <v>1</v>
      </c>
      <c r="Z2016" s="9">
        <f>1/COUNTIFS(Таблица1[Customer Name],Таблица1[[#This Row],[Customer Name]],Таблица1[Order-Year-Month],Таблица1[[#This Row],[Order-Year-Month]])</f>
        <v>1</v>
      </c>
    </row>
    <row r="2017" spans="1:26" x14ac:dyDescent="0.2">
      <c r="A2017" s="6">
        <v>1130</v>
      </c>
      <c r="B2017" s="7">
        <v>8258</v>
      </c>
      <c r="C2017" s="8">
        <f>DATE(2012,12,31)-1401</f>
        <v>39873</v>
      </c>
      <c r="D2017" s="8" t="str">
        <f t="shared" si="39"/>
        <v>2009-03 (март 2009)</v>
      </c>
      <c r="E2017" s="9" t="s">
        <v>30</v>
      </c>
      <c r="F2017" s="7">
        <v>37</v>
      </c>
      <c r="G2017" s="7">
        <v>434.77</v>
      </c>
      <c r="H2017" s="7">
        <v>0.02</v>
      </c>
      <c r="I2017" s="9" t="s">
        <v>22</v>
      </c>
      <c r="J2017" s="10">
        <v>-155.21</v>
      </c>
      <c r="K2017" s="11">
        <v>11.34</v>
      </c>
      <c r="L2017" s="11">
        <v>11.25</v>
      </c>
      <c r="M2017" s="9" t="s">
        <v>1261</v>
      </c>
      <c r="N2017" s="6" t="s">
        <v>1123</v>
      </c>
      <c r="O2017" s="6" t="s">
        <v>1123</v>
      </c>
      <c r="P2017" s="9" t="s">
        <v>41</v>
      </c>
      <c r="Q2017" s="9" t="s">
        <v>26</v>
      </c>
      <c r="R2017" s="9" t="s">
        <v>61</v>
      </c>
      <c r="S2017" s="7" t="s">
        <v>1281</v>
      </c>
      <c r="T2017" s="9" t="s">
        <v>39</v>
      </c>
      <c r="U2017" s="7">
        <v>0.36</v>
      </c>
      <c r="V2017" s="12">
        <f>C2017+1</f>
        <v>39874</v>
      </c>
      <c r="W2017">
        <f>IF(D2017=' Pivot Tables'!$A$4,1,0)</f>
        <v>0</v>
      </c>
      <c r="X2017">
        <f>IF(AND(LEFT(D2017,4)+1=LEFT(' Pivot Tables'!$A$4,4)+0,RIGHT(LEFT(D2017,7),2)=RIGHT(LEFT(' Pivot Tables'!$A$4,7),2)),1,0)</f>
        <v>0</v>
      </c>
      <c r="Y2017" s="6">
        <f>1/COUNTIF(Таблица1[Order ID],Таблица1[[#This Row],[Order ID]])</f>
        <v>1</v>
      </c>
      <c r="Z2017" s="9">
        <f>1/COUNTIFS(Таблица1[Customer Name],Таблица1[[#This Row],[Customer Name]],Таблица1[Order-Year-Month],Таблица1[[#This Row],[Order-Year-Month]])</f>
        <v>1</v>
      </c>
    </row>
    <row r="2018" spans="1:26" x14ac:dyDescent="0.2">
      <c r="A2018" s="6">
        <v>1162</v>
      </c>
      <c r="B2018" s="7">
        <v>8454</v>
      </c>
      <c r="C2018" s="8">
        <f>DATE(2012,12,31)-138</f>
        <v>41136</v>
      </c>
      <c r="D2018" s="8" t="str">
        <f t="shared" si="39"/>
        <v>2012-08 (август 2012)</v>
      </c>
      <c r="E2018" s="9" t="s">
        <v>63</v>
      </c>
      <c r="F2018" s="7">
        <v>38</v>
      </c>
      <c r="G2018" s="7">
        <v>218.77</v>
      </c>
      <c r="H2018" s="7">
        <v>0.03</v>
      </c>
      <c r="I2018" s="9" t="s">
        <v>22</v>
      </c>
      <c r="J2018" s="10">
        <v>-188.1285</v>
      </c>
      <c r="K2018" s="11">
        <v>5.4</v>
      </c>
      <c r="L2018" s="11">
        <v>7.78</v>
      </c>
      <c r="M2018" s="9" t="s">
        <v>1282</v>
      </c>
      <c r="N2018" s="6" t="s">
        <v>1123</v>
      </c>
      <c r="O2018" s="6" t="s">
        <v>1123</v>
      </c>
      <c r="P2018" s="9" t="s">
        <v>25</v>
      </c>
      <c r="Q2018" s="9" t="s">
        <v>26</v>
      </c>
      <c r="R2018" s="9" t="s">
        <v>37</v>
      </c>
      <c r="S2018" s="7" t="s">
        <v>330</v>
      </c>
      <c r="T2018" s="9" t="s">
        <v>39</v>
      </c>
      <c r="U2018" s="7">
        <v>0.37</v>
      </c>
      <c r="V2018" s="12">
        <f>C2018+3</f>
        <v>41139</v>
      </c>
      <c r="W2018">
        <f>IF(D2018=' Pivot Tables'!$A$4,1,0)</f>
        <v>0</v>
      </c>
      <c r="X2018">
        <f>IF(AND(LEFT(D2018,4)+1=LEFT(' Pivot Tables'!$A$4,4)+0,RIGHT(LEFT(D2018,7),2)=RIGHT(LEFT(' Pivot Tables'!$A$4,7),2)),1,0)</f>
        <v>0</v>
      </c>
      <c r="Y2018" s="6">
        <f>1/COUNTIF(Таблица1[Order ID],Таблица1[[#This Row],[Order ID]])</f>
        <v>1</v>
      </c>
      <c r="Z2018" s="9">
        <f>1/COUNTIFS(Таблица1[Customer Name],Таблица1[[#This Row],[Customer Name]],Таблица1[Order-Year-Month],Таблица1[[#This Row],[Order-Year-Month]])</f>
        <v>1</v>
      </c>
    </row>
    <row r="2019" spans="1:26" x14ac:dyDescent="0.2">
      <c r="A2019" s="6">
        <v>1193</v>
      </c>
      <c r="B2019" s="7">
        <v>8710</v>
      </c>
      <c r="C2019" s="8">
        <f>DATE(2012,12,31)-1457</f>
        <v>39817</v>
      </c>
      <c r="D2019" s="8" t="str">
        <f t="shared" si="39"/>
        <v>2009-01 (январь 2009)</v>
      </c>
      <c r="E2019" s="9" t="s">
        <v>78</v>
      </c>
      <c r="F2019" s="7">
        <v>17</v>
      </c>
      <c r="G2019" s="7">
        <v>63.34</v>
      </c>
      <c r="H2019" s="7">
        <v>0.03</v>
      </c>
      <c r="I2019" s="9" t="s">
        <v>22</v>
      </c>
      <c r="J2019" s="10">
        <v>-76.015000000000001</v>
      </c>
      <c r="K2019" s="11">
        <v>3.36</v>
      </c>
      <c r="L2019" s="11">
        <v>6.27</v>
      </c>
      <c r="M2019" s="9" t="s">
        <v>1242</v>
      </c>
      <c r="N2019" s="6" t="s">
        <v>1123</v>
      </c>
      <c r="O2019" s="6" t="s">
        <v>1123</v>
      </c>
      <c r="P2019" s="9" t="s">
        <v>41</v>
      </c>
      <c r="Q2019" s="9" t="s">
        <v>26</v>
      </c>
      <c r="R2019" s="9" t="s">
        <v>37</v>
      </c>
      <c r="S2019" s="7" t="s">
        <v>410</v>
      </c>
      <c r="T2019" s="9" t="s">
        <v>39</v>
      </c>
      <c r="U2019" s="7">
        <v>0.4</v>
      </c>
      <c r="V2019" s="12">
        <f>C2019+1</f>
        <v>39818</v>
      </c>
      <c r="W2019">
        <f>IF(D2019=' Pivot Tables'!$A$4,1,0)</f>
        <v>0</v>
      </c>
      <c r="X2019">
        <f>IF(AND(LEFT(D2019,4)+1=LEFT(' Pivot Tables'!$A$4,4)+0,RIGHT(LEFT(D2019,7),2)=RIGHT(LEFT(' Pivot Tables'!$A$4,7),2)),1,0)</f>
        <v>1</v>
      </c>
      <c r="Y2019" s="6">
        <f>1/COUNTIF(Таблица1[Order ID],Таблица1[[#This Row],[Order ID]])</f>
        <v>0.5</v>
      </c>
      <c r="Z2019" s="9">
        <f>1/COUNTIFS(Таблица1[Customer Name],Таблица1[[#This Row],[Customer Name]],Таблица1[Order-Year-Month],Таблица1[[#This Row],[Order-Year-Month]])</f>
        <v>0.5</v>
      </c>
    </row>
    <row r="2020" spans="1:26" x14ac:dyDescent="0.2">
      <c r="A2020" s="6">
        <v>1194</v>
      </c>
      <c r="B2020" s="7">
        <v>8710</v>
      </c>
      <c r="C2020" s="8">
        <f>DATE(2012,12,31)-1457</f>
        <v>39817</v>
      </c>
      <c r="D2020" s="8" t="str">
        <f t="shared" si="39"/>
        <v>2009-01 (январь 2009)</v>
      </c>
      <c r="E2020" s="9" t="s">
        <v>78</v>
      </c>
      <c r="F2020" s="7">
        <v>42</v>
      </c>
      <c r="G2020" s="7">
        <v>151.35</v>
      </c>
      <c r="H2020" s="7">
        <v>7.0000000000000007E-2</v>
      </c>
      <c r="I2020" s="9" t="s">
        <v>56</v>
      </c>
      <c r="J2020" s="10">
        <v>8.33</v>
      </c>
      <c r="K2020" s="11">
        <v>3.71</v>
      </c>
      <c r="L2020" s="11">
        <v>1.93</v>
      </c>
      <c r="M2020" s="9" t="s">
        <v>1242</v>
      </c>
      <c r="N2020" s="6" t="s">
        <v>1123</v>
      </c>
      <c r="O2020" s="6" t="s">
        <v>1123</v>
      </c>
      <c r="P2020" s="9" t="s">
        <v>41</v>
      </c>
      <c r="Q2020" s="9" t="s">
        <v>26</v>
      </c>
      <c r="R2020" s="9" t="s">
        <v>61</v>
      </c>
      <c r="S2020" s="7" t="s">
        <v>1170</v>
      </c>
      <c r="T2020" s="9" t="s">
        <v>68</v>
      </c>
      <c r="U2020" s="7">
        <v>0.35</v>
      </c>
      <c r="V2020" s="12">
        <f>C2020+2</f>
        <v>39819</v>
      </c>
      <c r="W2020">
        <f>IF(D2020=' Pivot Tables'!$A$4,1,0)</f>
        <v>0</v>
      </c>
      <c r="X2020">
        <f>IF(AND(LEFT(D2020,4)+1=LEFT(' Pivot Tables'!$A$4,4)+0,RIGHT(LEFT(D2020,7),2)=RIGHT(LEFT(' Pivot Tables'!$A$4,7),2)),1,0)</f>
        <v>1</v>
      </c>
      <c r="Y2020" s="6">
        <f>1/COUNTIF(Таблица1[Order ID],Таблица1[[#This Row],[Order ID]])</f>
        <v>0.5</v>
      </c>
      <c r="Z2020" s="9">
        <f>1/COUNTIFS(Таблица1[Customer Name],Таблица1[[#This Row],[Customer Name]],Таблица1[Order-Year-Month],Таблица1[[#This Row],[Order-Year-Month]])</f>
        <v>0.5</v>
      </c>
    </row>
    <row r="2021" spans="1:26" x14ac:dyDescent="0.2">
      <c r="A2021" s="6">
        <v>1208</v>
      </c>
      <c r="B2021" s="7">
        <v>8835</v>
      </c>
      <c r="C2021" s="8">
        <f>DATE(2012,12,31)-1175</f>
        <v>40099</v>
      </c>
      <c r="D2021" s="8" t="str">
        <f t="shared" si="39"/>
        <v>2009-10 (октябрь 2009)</v>
      </c>
      <c r="E2021" s="9" t="s">
        <v>78</v>
      </c>
      <c r="F2021" s="7">
        <v>12</v>
      </c>
      <c r="G2021" s="7">
        <v>153.44</v>
      </c>
      <c r="H2021" s="7">
        <v>0.05</v>
      </c>
      <c r="I2021" s="9" t="s">
        <v>22</v>
      </c>
      <c r="J2021" s="10">
        <v>-6.15</v>
      </c>
      <c r="K2021" s="11">
        <v>12.2</v>
      </c>
      <c r="L2021" s="11">
        <v>6.02</v>
      </c>
      <c r="M2021" s="9" t="s">
        <v>1261</v>
      </c>
      <c r="N2021" s="6" t="s">
        <v>1123</v>
      </c>
      <c r="O2021" s="6" t="s">
        <v>1123</v>
      </c>
      <c r="P2021" s="9" t="s">
        <v>41</v>
      </c>
      <c r="Q2021" s="9" t="s">
        <v>49</v>
      </c>
      <c r="R2021" s="9" t="s">
        <v>50</v>
      </c>
      <c r="S2021" s="7" t="s">
        <v>1283</v>
      </c>
      <c r="T2021" s="9" t="s">
        <v>52</v>
      </c>
      <c r="U2021" s="7">
        <v>0.43</v>
      </c>
      <c r="V2021" s="12">
        <f>C2021+1</f>
        <v>40100</v>
      </c>
      <c r="W2021">
        <f>IF(D2021=' Pivot Tables'!$A$4,1,0)</f>
        <v>0</v>
      </c>
      <c r="X2021">
        <f>IF(AND(LEFT(D2021,4)+1=LEFT(' Pivot Tables'!$A$4,4)+0,RIGHT(LEFT(D2021,7),2)=RIGHT(LEFT(' Pivot Tables'!$A$4,7),2)),1,0)</f>
        <v>0</v>
      </c>
      <c r="Y2021" s="6">
        <f>1/COUNTIF(Таблица1[Order ID],Таблица1[[#This Row],[Order ID]])</f>
        <v>1</v>
      </c>
      <c r="Z2021" s="9">
        <f>1/COUNTIFS(Таблица1[Customer Name],Таблица1[[#This Row],[Customer Name]],Таблица1[Order-Year-Month],Таблица1[[#This Row],[Order-Year-Month]])</f>
        <v>1</v>
      </c>
    </row>
    <row r="2022" spans="1:26" x14ac:dyDescent="0.2">
      <c r="A2022" s="6">
        <v>1217</v>
      </c>
      <c r="B2022" s="7">
        <v>8960</v>
      </c>
      <c r="C2022" s="8">
        <f>DATE(2012,12,31)-940</f>
        <v>40334</v>
      </c>
      <c r="D2022" s="8" t="str">
        <f t="shared" si="39"/>
        <v>2010-06 (июнь 2010)</v>
      </c>
      <c r="E2022" s="9" t="s">
        <v>63</v>
      </c>
      <c r="F2022" s="7">
        <v>46</v>
      </c>
      <c r="G2022" s="7">
        <v>4335.34</v>
      </c>
      <c r="H2022" s="7">
        <v>7.0000000000000007E-2</v>
      </c>
      <c r="I2022" s="9" t="s">
        <v>56</v>
      </c>
      <c r="J2022" s="10">
        <v>524.09</v>
      </c>
      <c r="K2022" s="11">
        <v>99.99</v>
      </c>
      <c r="L2022" s="11">
        <v>19.989999999999998</v>
      </c>
      <c r="M2022" s="9" t="s">
        <v>1282</v>
      </c>
      <c r="N2022" s="6" t="s">
        <v>1123</v>
      </c>
      <c r="O2022" s="6" t="s">
        <v>1123</v>
      </c>
      <c r="P2022" s="9" t="s">
        <v>25</v>
      </c>
      <c r="Q2022" s="9" t="s">
        <v>42</v>
      </c>
      <c r="R2022" s="9" t="s">
        <v>70</v>
      </c>
      <c r="S2022" s="7" t="s">
        <v>337</v>
      </c>
      <c r="T2022" s="9" t="s">
        <v>39</v>
      </c>
      <c r="U2022" s="7">
        <v>0.52</v>
      </c>
      <c r="V2022" s="12">
        <f>C2022+2</f>
        <v>40336</v>
      </c>
      <c r="W2022">
        <f>IF(D2022=' Pivot Tables'!$A$4,1,0)</f>
        <v>0</v>
      </c>
      <c r="X2022">
        <f>IF(AND(LEFT(D2022,4)+1=LEFT(' Pivot Tables'!$A$4,4)+0,RIGHT(LEFT(D2022,7),2)=RIGHT(LEFT(' Pivot Tables'!$A$4,7),2)),1,0)</f>
        <v>0</v>
      </c>
      <c r="Y2022" s="6">
        <f>1/COUNTIF(Таблица1[Order ID],Таблица1[[#This Row],[Order ID]])</f>
        <v>0.5</v>
      </c>
      <c r="Z2022" s="9">
        <f>1/COUNTIFS(Таблица1[Customer Name],Таблица1[[#This Row],[Customer Name]],Таблица1[Order-Year-Month],Таблица1[[#This Row],[Order-Year-Month]])</f>
        <v>0.5</v>
      </c>
    </row>
    <row r="2023" spans="1:26" x14ac:dyDescent="0.2">
      <c r="A2023" s="6">
        <v>1218</v>
      </c>
      <c r="B2023" s="7">
        <v>8960</v>
      </c>
      <c r="C2023" s="8">
        <f>DATE(2012,12,31)-940</f>
        <v>40334</v>
      </c>
      <c r="D2023" s="8" t="str">
        <f t="shared" si="39"/>
        <v>2010-06 (июнь 2010)</v>
      </c>
      <c r="E2023" s="9" t="s">
        <v>63</v>
      </c>
      <c r="F2023" s="7">
        <v>15</v>
      </c>
      <c r="G2023" s="7">
        <v>1150.5345</v>
      </c>
      <c r="H2023" s="7">
        <v>0.01</v>
      </c>
      <c r="I2023" s="9" t="s">
        <v>22</v>
      </c>
      <c r="J2023" s="10">
        <v>361.64699999999999</v>
      </c>
      <c r="K2023" s="11">
        <v>85.99</v>
      </c>
      <c r="L2023" s="11">
        <v>1.25</v>
      </c>
      <c r="M2023" s="9" t="s">
        <v>1282</v>
      </c>
      <c r="N2023" s="6" t="s">
        <v>1123</v>
      </c>
      <c r="O2023" s="6" t="s">
        <v>1123</v>
      </c>
      <c r="P2023" s="9" t="s">
        <v>25</v>
      </c>
      <c r="Q2023" s="9" t="s">
        <v>42</v>
      </c>
      <c r="R2023" s="9" t="s">
        <v>43</v>
      </c>
      <c r="S2023" s="7" t="s">
        <v>438</v>
      </c>
      <c r="T2023" s="9" t="s">
        <v>52</v>
      </c>
      <c r="U2023" s="7">
        <v>0.39</v>
      </c>
      <c r="V2023" s="12">
        <f>C2023+2</f>
        <v>40336</v>
      </c>
      <c r="W2023">
        <f>IF(D2023=' Pivot Tables'!$A$4,1,0)</f>
        <v>0</v>
      </c>
      <c r="X2023">
        <f>IF(AND(LEFT(D2023,4)+1=LEFT(' Pivot Tables'!$A$4,4)+0,RIGHT(LEFT(D2023,7),2)=RIGHT(LEFT(' Pivot Tables'!$A$4,7),2)),1,0)</f>
        <v>0</v>
      </c>
      <c r="Y2023" s="6">
        <f>1/COUNTIF(Таблица1[Order ID],Таблица1[[#This Row],[Order ID]])</f>
        <v>0.5</v>
      </c>
      <c r="Z2023" s="9">
        <f>1/COUNTIFS(Таблица1[Customer Name],Таблица1[[#This Row],[Customer Name]],Таблица1[Order-Year-Month],Таблица1[[#This Row],[Order-Year-Month]])</f>
        <v>0.5</v>
      </c>
    </row>
    <row r="2024" spans="1:26" x14ac:dyDescent="0.2">
      <c r="A2024" s="6">
        <v>1277</v>
      </c>
      <c r="B2024" s="7">
        <v>9281</v>
      </c>
      <c r="C2024" s="8">
        <f>DATE(2012,12,31)-312</f>
        <v>40962</v>
      </c>
      <c r="D2024" s="8" t="str">
        <f t="shared" si="39"/>
        <v>2012-02 (февраль 2012)</v>
      </c>
      <c r="E2024" s="9" t="s">
        <v>78</v>
      </c>
      <c r="F2024" s="7">
        <v>31</v>
      </c>
      <c r="G2024" s="7">
        <v>199.8</v>
      </c>
      <c r="H2024" s="7">
        <v>0.08</v>
      </c>
      <c r="I2024" s="9" t="s">
        <v>56</v>
      </c>
      <c r="J2024" s="10">
        <v>-96.59</v>
      </c>
      <c r="K2024" s="11">
        <v>6.48</v>
      </c>
      <c r="L2024" s="11">
        <v>6.81</v>
      </c>
      <c r="M2024" s="9" t="s">
        <v>1257</v>
      </c>
      <c r="N2024" s="6" t="s">
        <v>1123</v>
      </c>
      <c r="O2024" s="6" t="s">
        <v>1123</v>
      </c>
      <c r="P2024" s="9" t="s">
        <v>25</v>
      </c>
      <c r="Q2024" s="9" t="s">
        <v>26</v>
      </c>
      <c r="R2024" s="9" t="s">
        <v>61</v>
      </c>
      <c r="S2024" s="7" t="s">
        <v>299</v>
      </c>
      <c r="T2024" s="9" t="s">
        <v>39</v>
      </c>
      <c r="U2024" s="7">
        <v>0.36</v>
      </c>
      <c r="V2024" s="12">
        <f>C2024+2</f>
        <v>40964</v>
      </c>
      <c r="W2024">
        <f>IF(D2024=' Pivot Tables'!$A$4,1,0)</f>
        <v>0</v>
      </c>
      <c r="X2024">
        <f>IF(AND(LEFT(D2024,4)+1=LEFT(' Pivot Tables'!$A$4,4)+0,RIGHT(LEFT(D2024,7),2)=RIGHT(LEFT(' Pivot Tables'!$A$4,7),2)),1,0)</f>
        <v>0</v>
      </c>
      <c r="Y2024" s="6">
        <f>1/COUNTIF(Таблица1[Order ID],Таблица1[[#This Row],[Order ID]])</f>
        <v>0.5</v>
      </c>
      <c r="Z2024" s="9">
        <f>1/COUNTIFS(Таблица1[Customer Name],Таблица1[[#This Row],[Customer Name]],Таблица1[Order-Year-Month],Таблица1[[#This Row],[Order-Year-Month]])</f>
        <v>0.33333333333333331</v>
      </c>
    </row>
    <row r="2025" spans="1:26" x14ac:dyDescent="0.2">
      <c r="A2025" s="6">
        <v>1278</v>
      </c>
      <c r="B2025" s="7">
        <v>9281</v>
      </c>
      <c r="C2025" s="8">
        <f>DATE(2012,12,31)-312</f>
        <v>40962</v>
      </c>
      <c r="D2025" s="8" t="str">
        <f t="shared" si="39"/>
        <v>2012-02 (февраль 2012)</v>
      </c>
      <c r="E2025" s="9" t="s">
        <v>78</v>
      </c>
      <c r="F2025" s="7">
        <v>24</v>
      </c>
      <c r="G2025" s="7">
        <v>68.97</v>
      </c>
      <c r="H2025" s="7">
        <v>0.02</v>
      </c>
      <c r="I2025" s="9" t="s">
        <v>22</v>
      </c>
      <c r="J2025" s="10">
        <v>0.77</v>
      </c>
      <c r="K2025" s="11">
        <v>2.78</v>
      </c>
      <c r="L2025" s="11">
        <v>0.97</v>
      </c>
      <c r="M2025" s="9" t="s">
        <v>1257</v>
      </c>
      <c r="N2025" s="6" t="s">
        <v>1123</v>
      </c>
      <c r="O2025" s="6" t="s">
        <v>1123</v>
      </c>
      <c r="P2025" s="9" t="s">
        <v>25</v>
      </c>
      <c r="Q2025" s="9" t="s">
        <v>26</v>
      </c>
      <c r="R2025" s="9" t="s">
        <v>95</v>
      </c>
      <c r="S2025" s="7" t="s">
        <v>1284</v>
      </c>
      <c r="T2025" s="9" t="s">
        <v>68</v>
      </c>
      <c r="U2025" s="7">
        <v>0.59</v>
      </c>
      <c r="V2025" s="12">
        <f>C2025+2</f>
        <v>40964</v>
      </c>
      <c r="W2025">
        <f>IF(D2025=' Pivot Tables'!$A$4,1,0)</f>
        <v>0</v>
      </c>
      <c r="X2025">
        <f>IF(AND(LEFT(D2025,4)+1=LEFT(' Pivot Tables'!$A$4,4)+0,RIGHT(LEFT(D2025,7),2)=RIGHT(LEFT(' Pivot Tables'!$A$4,7),2)),1,0)</f>
        <v>0</v>
      </c>
      <c r="Y2025" s="6">
        <f>1/COUNTIF(Таблица1[Order ID],Таблица1[[#This Row],[Order ID]])</f>
        <v>0.5</v>
      </c>
      <c r="Z2025" s="9">
        <f>1/COUNTIFS(Таблица1[Customer Name],Таблица1[[#This Row],[Customer Name]],Таблица1[Order-Year-Month],Таблица1[[#This Row],[Order-Year-Month]])</f>
        <v>0.33333333333333331</v>
      </c>
    </row>
    <row r="2026" spans="1:26" x14ac:dyDescent="0.2">
      <c r="A2026" s="6">
        <v>1285</v>
      </c>
      <c r="B2026" s="7">
        <v>9350</v>
      </c>
      <c r="C2026" s="8">
        <f>DATE(2012,12,31)-61</f>
        <v>41213</v>
      </c>
      <c r="D2026" s="8" t="str">
        <f t="shared" si="39"/>
        <v>2012-10 (октябрь 2012)</v>
      </c>
      <c r="E2026" s="9" t="s">
        <v>78</v>
      </c>
      <c r="F2026" s="7">
        <v>13</v>
      </c>
      <c r="G2026" s="7">
        <v>1735.94</v>
      </c>
      <c r="H2026" s="7">
        <v>0.1</v>
      </c>
      <c r="I2026" s="9" t="s">
        <v>31</v>
      </c>
      <c r="J2026" s="10">
        <v>-432.54</v>
      </c>
      <c r="K2026" s="11">
        <v>140.97999999999999</v>
      </c>
      <c r="L2026" s="11">
        <v>53.48</v>
      </c>
      <c r="M2026" s="9" t="s">
        <v>1278</v>
      </c>
      <c r="N2026" s="6" t="s">
        <v>1123</v>
      </c>
      <c r="O2026" s="6" t="s">
        <v>1123</v>
      </c>
      <c r="P2026" s="9" t="s">
        <v>41</v>
      </c>
      <c r="Q2026" s="9" t="s">
        <v>49</v>
      </c>
      <c r="R2026" s="9" t="s">
        <v>80</v>
      </c>
      <c r="S2026" s="7" t="s">
        <v>185</v>
      </c>
      <c r="T2026" s="9" t="s">
        <v>82</v>
      </c>
      <c r="U2026" s="7">
        <v>0.65</v>
      </c>
      <c r="V2026" s="12">
        <f>C2026+1</f>
        <v>41214</v>
      </c>
      <c r="W2026">
        <f>IF(D2026=' Pivot Tables'!$A$4,1,0)</f>
        <v>0</v>
      </c>
      <c r="X2026">
        <f>IF(AND(LEFT(D2026,4)+1=LEFT(' Pivot Tables'!$A$4,4)+0,RIGHT(LEFT(D2026,7),2)=RIGHT(LEFT(' Pivot Tables'!$A$4,7),2)),1,0)</f>
        <v>0</v>
      </c>
      <c r="Y2026" s="6">
        <f>1/COUNTIF(Таблица1[Order ID],Таблица1[[#This Row],[Order ID]])</f>
        <v>0.5</v>
      </c>
      <c r="Z2026" s="9">
        <f>1/COUNTIFS(Таблица1[Customer Name],Таблица1[[#This Row],[Customer Name]],Таблица1[Order-Year-Month],Таблица1[[#This Row],[Order-Year-Month]])</f>
        <v>0.33333333333333331</v>
      </c>
    </row>
    <row r="2027" spans="1:26" x14ac:dyDescent="0.2">
      <c r="A2027" s="6">
        <v>1286</v>
      </c>
      <c r="B2027" s="7">
        <v>9350</v>
      </c>
      <c r="C2027" s="8">
        <f>DATE(2012,12,31)-61</f>
        <v>41213</v>
      </c>
      <c r="D2027" s="8" t="str">
        <f t="shared" si="39"/>
        <v>2012-10 (октябрь 2012)</v>
      </c>
      <c r="E2027" s="9" t="s">
        <v>78</v>
      </c>
      <c r="F2027" s="7">
        <v>2</v>
      </c>
      <c r="G2027" s="7">
        <v>337.6</v>
      </c>
      <c r="H2027" s="7">
        <v>0.1</v>
      </c>
      <c r="I2027" s="9" t="s">
        <v>22</v>
      </c>
      <c r="J2027" s="10">
        <v>-210.7835</v>
      </c>
      <c r="K2027" s="11">
        <v>172.99</v>
      </c>
      <c r="L2027" s="11">
        <v>19.989999999999998</v>
      </c>
      <c r="M2027" s="9" t="s">
        <v>1278</v>
      </c>
      <c r="N2027" s="6" t="s">
        <v>1123</v>
      </c>
      <c r="O2027" s="6" t="s">
        <v>1123</v>
      </c>
      <c r="P2027" s="9" t="s">
        <v>41</v>
      </c>
      <c r="Q2027" s="9" t="s">
        <v>49</v>
      </c>
      <c r="R2027" s="9" t="s">
        <v>50</v>
      </c>
      <c r="S2027" s="7" t="s">
        <v>1217</v>
      </c>
      <c r="T2027" s="9" t="s">
        <v>48</v>
      </c>
      <c r="U2027" s="7">
        <v>0.64</v>
      </c>
      <c r="V2027" s="12">
        <f>C2027+2</f>
        <v>41215</v>
      </c>
      <c r="W2027">
        <f>IF(D2027=' Pivot Tables'!$A$4,1,0)</f>
        <v>0</v>
      </c>
      <c r="X2027">
        <f>IF(AND(LEFT(D2027,4)+1=LEFT(' Pivot Tables'!$A$4,4)+0,RIGHT(LEFT(D2027,7),2)=RIGHT(LEFT(' Pivot Tables'!$A$4,7),2)),1,0)</f>
        <v>0</v>
      </c>
      <c r="Y2027" s="6">
        <f>1/COUNTIF(Таблица1[Order ID],Таблица1[[#This Row],[Order ID]])</f>
        <v>0.5</v>
      </c>
      <c r="Z2027" s="9">
        <f>1/COUNTIFS(Таблица1[Customer Name],Таблица1[[#This Row],[Customer Name]],Таблица1[Order-Year-Month],Таблица1[[#This Row],[Order-Year-Month]])</f>
        <v>0.33333333333333331</v>
      </c>
    </row>
    <row r="2028" spans="1:26" x14ac:dyDescent="0.2">
      <c r="A2028" s="6">
        <v>1322</v>
      </c>
      <c r="B2028" s="7">
        <v>9665</v>
      </c>
      <c r="C2028" s="8">
        <f>DATE(2012,12,31)-1348</f>
        <v>39926</v>
      </c>
      <c r="D2028" s="8" t="str">
        <f t="shared" si="39"/>
        <v>2009-04 (апрель 2009)</v>
      </c>
      <c r="E2028" s="9" t="s">
        <v>21</v>
      </c>
      <c r="F2028" s="7">
        <v>50</v>
      </c>
      <c r="G2028" s="7">
        <v>2348.66</v>
      </c>
      <c r="H2028" s="7">
        <v>0.02</v>
      </c>
      <c r="I2028" s="9" t="s">
        <v>22</v>
      </c>
      <c r="J2028" s="10">
        <v>921.41</v>
      </c>
      <c r="K2028" s="11">
        <v>46.89</v>
      </c>
      <c r="L2028" s="11">
        <v>5.0999999999999996</v>
      </c>
      <c r="M2028" s="9" t="s">
        <v>1285</v>
      </c>
      <c r="N2028" s="6" t="s">
        <v>1123</v>
      </c>
      <c r="O2028" s="6" t="s">
        <v>1123</v>
      </c>
      <c r="P2028" s="9" t="s">
        <v>60</v>
      </c>
      <c r="Q2028" s="9" t="s">
        <v>26</v>
      </c>
      <c r="R2028" s="9" t="s">
        <v>34</v>
      </c>
      <c r="S2028" s="7" t="s">
        <v>355</v>
      </c>
      <c r="T2028" s="9" t="s">
        <v>48</v>
      </c>
      <c r="U2028" s="7">
        <v>0.46</v>
      </c>
      <c r="V2028" s="12">
        <f>C2028+0</f>
        <v>39926</v>
      </c>
      <c r="W2028">
        <f>IF(D2028=' Pivot Tables'!$A$4,1,0)</f>
        <v>0</v>
      </c>
      <c r="X2028">
        <f>IF(AND(LEFT(D2028,4)+1=LEFT(' Pivot Tables'!$A$4,4)+0,RIGHT(LEFT(D2028,7),2)=RIGHT(LEFT(' Pivot Tables'!$A$4,7),2)),1,0)</f>
        <v>0</v>
      </c>
      <c r="Y2028" s="6">
        <f>1/COUNTIF(Таблица1[Order ID],Таблица1[[#This Row],[Order ID]])</f>
        <v>0.33333333333333331</v>
      </c>
      <c r="Z2028" s="9">
        <f>1/COUNTIFS(Таблица1[Customer Name],Таблица1[[#This Row],[Customer Name]],Таблица1[Order-Year-Month],Таблица1[[#This Row],[Order-Year-Month]])</f>
        <v>0.33333333333333331</v>
      </c>
    </row>
    <row r="2029" spans="1:26" x14ac:dyDescent="0.2">
      <c r="A2029" s="6">
        <v>1323</v>
      </c>
      <c r="B2029" s="7">
        <v>9665</v>
      </c>
      <c r="C2029" s="8">
        <f>DATE(2012,12,31)-1348</f>
        <v>39926</v>
      </c>
      <c r="D2029" s="8" t="str">
        <f t="shared" si="39"/>
        <v>2009-04 (апрель 2009)</v>
      </c>
      <c r="E2029" s="9" t="s">
        <v>21</v>
      </c>
      <c r="F2029" s="7">
        <v>19</v>
      </c>
      <c r="G2029" s="7">
        <v>2657.12</v>
      </c>
      <c r="H2029" s="7">
        <v>0.05</v>
      </c>
      <c r="I2029" s="9" t="s">
        <v>31</v>
      </c>
      <c r="J2029" s="10">
        <v>-373.09</v>
      </c>
      <c r="K2029" s="11">
        <v>140.97999999999999</v>
      </c>
      <c r="L2029" s="11">
        <v>36.090000000000003</v>
      </c>
      <c r="M2029" s="9" t="s">
        <v>1285</v>
      </c>
      <c r="N2029" s="6" t="s">
        <v>1123</v>
      </c>
      <c r="O2029" s="6" t="s">
        <v>1123</v>
      </c>
      <c r="P2029" s="9" t="s">
        <v>60</v>
      </c>
      <c r="Q2029" s="9" t="s">
        <v>49</v>
      </c>
      <c r="R2029" s="9" t="s">
        <v>80</v>
      </c>
      <c r="S2029" s="7" t="s">
        <v>349</v>
      </c>
      <c r="T2029" s="9" t="s">
        <v>82</v>
      </c>
      <c r="U2029" s="7">
        <v>0.77</v>
      </c>
      <c r="V2029" s="12">
        <f>C2029+2</f>
        <v>39928</v>
      </c>
      <c r="W2029">
        <f>IF(D2029=' Pivot Tables'!$A$4,1,0)</f>
        <v>0</v>
      </c>
      <c r="X2029">
        <f>IF(AND(LEFT(D2029,4)+1=LEFT(' Pivot Tables'!$A$4,4)+0,RIGHT(LEFT(D2029,7),2)=RIGHT(LEFT(' Pivot Tables'!$A$4,7),2)),1,0)</f>
        <v>0</v>
      </c>
      <c r="Y2029" s="6">
        <f>1/COUNTIF(Таблица1[Order ID],Таблица1[[#This Row],[Order ID]])</f>
        <v>0.33333333333333331</v>
      </c>
      <c r="Z2029" s="9">
        <f>1/COUNTIFS(Таблица1[Customer Name],Таблица1[[#This Row],[Customer Name]],Таблица1[Order-Year-Month],Таблица1[[#This Row],[Order-Year-Month]])</f>
        <v>0.33333333333333331</v>
      </c>
    </row>
    <row r="2030" spans="1:26" x14ac:dyDescent="0.2">
      <c r="A2030" s="6">
        <v>1324</v>
      </c>
      <c r="B2030" s="7">
        <v>9665</v>
      </c>
      <c r="C2030" s="8">
        <f>DATE(2012,12,31)-1348</f>
        <v>39926</v>
      </c>
      <c r="D2030" s="8" t="str">
        <f t="shared" si="39"/>
        <v>2009-04 (апрель 2009)</v>
      </c>
      <c r="E2030" s="9" t="s">
        <v>21</v>
      </c>
      <c r="F2030" s="7">
        <v>49</v>
      </c>
      <c r="G2030" s="7">
        <v>9579.6200000000008</v>
      </c>
      <c r="H2030" s="7">
        <v>0.1</v>
      </c>
      <c r="I2030" s="9" t="s">
        <v>31</v>
      </c>
      <c r="J2030" s="10">
        <v>-3465.0720000000001</v>
      </c>
      <c r="K2030" s="11">
        <v>212.6</v>
      </c>
      <c r="L2030" s="11">
        <v>110.2</v>
      </c>
      <c r="M2030" s="9" t="s">
        <v>1285</v>
      </c>
      <c r="N2030" s="6" t="s">
        <v>1123</v>
      </c>
      <c r="O2030" s="6" t="s">
        <v>1123</v>
      </c>
      <c r="P2030" s="9" t="s">
        <v>60</v>
      </c>
      <c r="Q2030" s="9" t="s">
        <v>49</v>
      </c>
      <c r="R2030" s="9" t="s">
        <v>83</v>
      </c>
      <c r="S2030" s="7" t="s">
        <v>984</v>
      </c>
      <c r="T2030" s="9" t="s">
        <v>82</v>
      </c>
      <c r="U2030" s="7">
        <v>0.73</v>
      </c>
      <c r="V2030" s="12">
        <f>C2030+2</f>
        <v>39928</v>
      </c>
      <c r="W2030">
        <f>IF(D2030=' Pivot Tables'!$A$4,1,0)</f>
        <v>0</v>
      </c>
      <c r="X2030">
        <f>IF(AND(LEFT(D2030,4)+1=LEFT(' Pivot Tables'!$A$4,4)+0,RIGHT(LEFT(D2030,7),2)=RIGHT(LEFT(' Pivot Tables'!$A$4,7),2)),1,0)</f>
        <v>0</v>
      </c>
      <c r="Y2030" s="6">
        <f>1/COUNTIF(Таблица1[Order ID],Таблица1[[#This Row],[Order ID]])</f>
        <v>0.33333333333333331</v>
      </c>
      <c r="Z2030" s="9">
        <f>1/COUNTIFS(Таблица1[Customer Name],Таблица1[[#This Row],[Customer Name]],Таблица1[Order-Year-Month],Таблица1[[#This Row],[Order-Year-Month]])</f>
        <v>0.33333333333333331</v>
      </c>
    </row>
    <row r="2031" spans="1:26" x14ac:dyDescent="0.2">
      <c r="A2031" s="6">
        <v>1357</v>
      </c>
      <c r="B2031" s="7">
        <v>9893</v>
      </c>
      <c r="C2031" s="8">
        <f>DATE(2012,12,31)-1233</f>
        <v>40041</v>
      </c>
      <c r="D2031" s="8" t="str">
        <f t="shared" si="39"/>
        <v>2009-08 (август 2009)</v>
      </c>
      <c r="E2031" s="9" t="s">
        <v>63</v>
      </c>
      <c r="F2031" s="7">
        <v>1</v>
      </c>
      <c r="G2031" s="7">
        <v>192.49</v>
      </c>
      <c r="H2031" s="7">
        <v>0.02</v>
      </c>
      <c r="I2031" s="9" t="s">
        <v>31</v>
      </c>
      <c r="J2031" s="10">
        <v>-98.3</v>
      </c>
      <c r="K2031" s="11">
        <v>160.97999999999999</v>
      </c>
      <c r="L2031" s="11">
        <v>30</v>
      </c>
      <c r="M2031" s="9" t="s">
        <v>1250</v>
      </c>
      <c r="N2031" s="6" t="s">
        <v>1123</v>
      </c>
      <c r="O2031" s="6" t="s">
        <v>1123</v>
      </c>
      <c r="P2031" s="9" t="s">
        <v>60</v>
      </c>
      <c r="Q2031" s="9" t="s">
        <v>49</v>
      </c>
      <c r="R2031" s="9" t="s">
        <v>112</v>
      </c>
      <c r="S2031" s="7" t="s">
        <v>746</v>
      </c>
      <c r="T2031" s="9" t="s">
        <v>36</v>
      </c>
      <c r="U2031" s="7">
        <v>0.62</v>
      </c>
      <c r="V2031" s="12">
        <f>C2031+3</f>
        <v>40044</v>
      </c>
      <c r="W2031">
        <f>IF(D2031=' Pivot Tables'!$A$4,1,0)</f>
        <v>0</v>
      </c>
      <c r="X2031">
        <f>IF(AND(LEFT(D2031,4)+1=LEFT(' Pivot Tables'!$A$4,4)+0,RIGHT(LEFT(D2031,7),2)=RIGHT(LEFT(' Pivot Tables'!$A$4,7),2)),1,0)</f>
        <v>0</v>
      </c>
      <c r="Y2031" s="6">
        <f>1/COUNTIF(Таблица1[Order ID],Таблица1[[#This Row],[Order ID]])</f>
        <v>1</v>
      </c>
      <c r="Z2031" s="9">
        <f>1/COUNTIFS(Таблица1[Customer Name],Таблица1[[#This Row],[Customer Name]],Таблица1[Order-Year-Month],Таблица1[[#This Row],[Order-Year-Month]])</f>
        <v>1</v>
      </c>
    </row>
    <row r="2032" spans="1:26" x14ac:dyDescent="0.2">
      <c r="A2032" s="6">
        <v>1401</v>
      </c>
      <c r="B2032" s="7">
        <v>10183</v>
      </c>
      <c r="C2032" s="8">
        <f>DATE(2012,12,31)-1133</f>
        <v>40141</v>
      </c>
      <c r="D2032" s="8" t="str">
        <f t="shared" si="39"/>
        <v>2009-11 (ноябрь 2009)</v>
      </c>
      <c r="E2032" s="9" t="s">
        <v>78</v>
      </c>
      <c r="F2032" s="7">
        <v>48</v>
      </c>
      <c r="G2032" s="7">
        <v>1210.02</v>
      </c>
      <c r="H2032" s="7">
        <v>0.06</v>
      </c>
      <c r="I2032" s="9" t="s">
        <v>31</v>
      </c>
      <c r="J2032" s="10">
        <v>-279.44</v>
      </c>
      <c r="K2032" s="11">
        <v>25.98</v>
      </c>
      <c r="L2032" s="11">
        <v>14.36</v>
      </c>
      <c r="M2032" s="9" t="s">
        <v>1278</v>
      </c>
      <c r="N2032" s="6" t="s">
        <v>1123</v>
      </c>
      <c r="O2032" s="6" t="s">
        <v>1123</v>
      </c>
      <c r="P2032" s="9" t="s">
        <v>41</v>
      </c>
      <c r="Q2032" s="9" t="s">
        <v>49</v>
      </c>
      <c r="R2032" s="9" t="s">
        <v>112</v>
      </c>
      <c r="S2032" s="7" t="s">
        <v>280</v>
      </c>
      <c r="T2032" s="9" t="s">
        <v>36</v>
      </c>
      <c r="U2032" s="7">
        <v>0.6</v>
      </c>
      <c r="V2032" s="12">
        <f>C2032+1</f>
        <v>40142</v>
      </c>
      <c r="W2032">
        <f>IF(D2032=' Pivot Tables'!$A$4,1,0)</f>
        <v>0</v>
      </c>
      <c r="X2032">
        <f>IF(AND(LEFT(D2032,4)+1=LEFT(' Pivot Tables'!$A$4,4)+0,RIGHT(LEFT(D2032,7),2)=RIGHT(LEFT(' Pivot Tables'!$A$4,7),2)),1,0)</f>
        <v>0</v>
      </c>
      <c r="Y2032" s="6">
        <f>1/COUNTIF(Таблица1[Order ID],Таблица1[[#This Row],[Order ID]])</f>
        <v>1</v>
      </c>
      <c r="Z2032" s="9">
        <f>1/COUNTIFS(Таблица1[Customer Name],Таблица1[[#This Row],[Customer Name]],Таблица1[Order-Year-Month],Таблица1[[#This Row],[Order-Year-Month]])</f>
        <v>1</v>
      </c>
    </row>
    <row r="2033" spans="1:26" x14ac:dyDescent="0.2">
      <c r="A2033" s="6">
        <v>1413</v>
      </c>
      <c r="B2033" s="7">
        <v>10247</v>
      </c>
      <c r="C2033" s="8">
        <f>DATE(2012,12,31)-1086</f>
        <v>40188</v>
      </c>
      <c r="D2033" s="8" t="str">
        <f t="shared" si="39"/>
        <v>2010-01 (январь 2010)</v>
      </c>
      <c r="E2033" s="9" t="s">
        <v>63</v>
      </c>
      <c r="F2033" s="7">
        <v>21</v>
      </c>
      <c r="G2033" s="7">
        <v>111.66</v>
      </c>
      <c r="H2033" s="7">
        <v>0.06</v>
      </c>
      <c r="I2033" s="9" t="s">
        <v>22</v>
      </c>
      <c r="J2033" s="10">
        <v>-53.33</v>
      </c>
      <c r="K2033" s="11">
        <v>4.9800000000000004</v>
      </c>
      <c r="L2033" s="11">
        <v>5.49</v>
      </c>
      <c r="M2033" s="9" t="s">
        <v>1262</v>
      </c>
      <c r="N2033" s="6" t="s">
        <v>1123</v>
      </c>
      <c r="O2033" s="6" t="s">
        <v>1123</v>
      </c>
      <c r="P2033" s="9" t="s">
        <v>60</v>
      </c>
      <c r="Q2033" s="9" t="s">
        <v>26</v>
      </c>
      <c r="R2033" s="9" t="s">
        <v>61</v>
      </c>
      <c r="S2033" s="7" t="s">
        <v>1224</v>
      </c>
      <c r="T2033" s="9" t="s">
        <v>39</v>
      </c>
      <c r="U2033" s="7">
        <v>0.38</v>
      </c>
      <c r="V2033" s="12">
        <f>C2033+1</f>
        <v>40189</v>
      </c>
      <c r="W2033">
        <f>IF(D2033=' Pivot Tables'!$A$4,1,0)</f>
        <v>1</v>
      </c>
      <c r="X2033">
        <f>IF(AND(LEFT(D2033,4)+1=LEFT(' Pivot Tables'!$A$4,4)+0,RIGHT(LEFT(D2033,7),2)=RIGHT(LEFT(' Pivot Tables'!$A$4,7),2)),1,0)</f>
        <v>0</v>
      </c>
      <c r="Y2033" s="6">
        <f>1/COUNTIF(Таблица1[Order ID],Таблица1[[#This Row],[Order ID]])</f>
        <v>0.5</v>
      </c>
      <c r="Z2033" s="9">
        <f>1/COUNTIFS(Таблица1[Customer Name],Таблица1[[#This Row],[Customer Name]],Таблица1[Order-Year-Month],Таблица1[[#This Row],[Order-Year-Month]])</f>
        <v>0.5</v>
      </c>
    </row>
    <row r="2034" spans="1:26" x14ac:dyDescent="0.2">
      <c r="A2034" s="6">
        <v>1414</v>
      </c>
      <c r="B2034" s="7">
        <v>10247</v>
      </c>
      <c r="C2034" s="8">
        <f>DATE(2012,12,31)-1086</f>
        <v>40188</v>
      </c>
      <c r="D2034" s="8" t="str">
        <f t="shared" si="39"/>
        <v>2010-01 (январь 2010)</v>
      </c>
      <c r="E2034" s="9" t="s">
        <v>63</v>
      </c>
      <c r="F2034" s="7">
        <v>24</v>
      </c>
      <c r="G2034" s="7">
        <v>231.95</v>
      </c>
      <c r="H2034" s="7">
        <v>0.03</v>
      </c>
      <c r="I2034" s="9" t="s">
        <v>22</v>
      </c>
      <c r="J2034" s="10">
        <v>44.14</v>
      </c>
      <c r="K2034" s="11">
        <v>9.7799999999999994</v>
      </c>
      <c r="L2034" s="11">
        <v>1.99</v>
      </c>
      <c r="M2034" s="9" t="s">
        <v>1262</v>
      </c>
      <c r="N2034" s="6" t="s">
        <v>1123</v>
      </c>
      <c r="O2034" s="6" t="s">
        <v>1123</v>
      </c>
      <c r="P2034" s="9" t="s">
        <v>60</v>
      </c>
      <c r="Q2034" s="9" t="s">
        <v>42</v>
      </c>
      <c r="R2034" s="9" t="s">
        <v>70</v>
      </c>
      <c r="S2034" s="7" t="s">
        <v>244</v>
      </c>
      <c r="T2034" s="9" t="s">
        <v>52</v>
      </c>
      <c r="U2034" s="7">
        <v>0.43</v>
      </c>
      <c r="V2034" s="12">
        <f>C2034+2</f>
        <v>40190</v>
      </c>
      <c r="W2034">
        <f>IF(D2034=' Pivot Tables'!$A$4,1,0)</f>
        <v>1</v>
      </c>
      <c r="X2034">
        <f>IF(AND(LEFT(D2034,4)+1=LEFT(' Pivot Tables'!$A$4,4)+0,RIGHT(LEFT(D2034,7),2)=RIGHT(LEFT(' Pivot Tables'!$A$4,7),2)),1,0)</f>
        <v>0</v>
      </c>
      <c r="Y2034" s="6">
        <f>1/COUNTIF(Таблица1[Order ID],Таблица1[[#This Row],[Order ID]])</f>
        <v>0.5</v>
      </c>
      <c r="Z2034" s="9">
        <f>1/COUNTIFS(Таблица1[Customer Name],Таблица1[[#This Row],[Customer Name]],Таблица1[Order-Year-Month],Таблица1[[#This Row],[Order-Year-Month]])</f>
        <v>0.5</v>
      </c>
    </row>
    <row r="2035" spans="1:26" x14ac:dyDescent="0.2">
      <c r="A2035" s="6">
        <v>1438</v>
      </c>
      <c r="B2035" s="7">
        <v>10371</v>
      </c>
      <c r="C2035" s="8">
        <f>DATE(2012,12,31)-1202</f>
        <v>40072</v>
      </c>
      <c r="D2035" s="8" t="str">
        <f t="shared" si="39"/>
        <v>2009-09 (сентябрь 2009)</v>
      </c>
      <c r="E2035" s="9" t="s">
        <v>30</v>
      </c>
      <c r="F2035" s="7">
        <v>10</v>
      </c>
      <c r="G2035" s="7">
        <v>156.15</v>
      </c>
      <c r="H2035" s="7">
        <v>0.08</v>
      </c>
      <c r="I2035" s="9" t="s">
        <v>56</v>
      </c>
      <c r="J2035" s="10">
        <v>-37.6</v>
      </c>
      <c r="K2035" s="11">
        <v>15.73</v>
      </c>
      <c r="L2035" s="11">
        <v>7.42</v>
      </c>
      <c r="M2035" s="9" t="s">
        <v>1286</v>
      </c>
      <c r="N2035" s="6" t="s">
        <v>1123</v>
      </c>
      <c r="O2035" s="6" t="s">
        <v>1123</v>
      </c>
      <c r="P2035" s="9" t="s">
        <v>41</v>
      </c>
      <c r="Q2035" s="9" t="s">
        <v>26</v>
      </c>
      <c r="R2035" s="9" t="s">
        <v>150</v>
      </c>
      <c r="S2035" s="7" t="s">
        <v>1287</v>
      </c>
      <c r="T2035" s="9" t="s">
        <v>52</v>
      </c>
      <c r="U2035" s="7">
        <v>0.56000000000000005</v>
      </c>
      <c r="V2035" s="12">
        <f>C2035+2</f>
        <v>40074</v>
      </c>
      <c r="W2035">
        <f>IF(D2035=' Pivot Tables'!$A$4,1,0)</f>
        <v>0</v>
      </c>
      <c r="X2035">
        <f>IF(AND(LEFT(D2035,4)+1=LEFT(' Pivot Tables'!$A$4,4)+0,RIGHT(LEFT(D2035,7),2)=RIGHT(LEFT(' Pivot Tables'!$A$4,7),2)),1,0)</f>
        <v>0</v>
      </c>
      <c r="Y2035" s="6">
        <f>1/COUNTIF(Таблица1[Order ID],Таблица1[[#This Row],[Order ID]])</f>
        <v>1</v>
      </c>
      <c r="Z2035" s="9">
        <f>1/COUNTIFS(Таблица1[Customer Name],Таблица1[[#This Row],[Customer Name]],Таблица1[Order-Year-Month],Таблица1[[#This Row],[Order-Year-Month]])</f>
        <v>1</v>
      </c>
    </row>
    <row r="2036" spans="1:26" x14ac:dyDescent="0.2">
      <c r="A2036" s="6">
        <v>1456</v>
      </c>
      <c r="B2036" s="7">
        <v>10498</v>
      </c>
      <c r="C2036" s="8">
        <f>DATE(2012,12,31)-800</f>
        <v>40474</v>
      </c>
      <c r="D2036" s="8" t="str">
        <f t="shared" si="39"/>
        <v>2010-10 (октябрь 2010)</v>
      </c>
      <c r="E2036" s="9" t="s">
        <v>21</v>
      </c>
      <c r="F2036" s="7">
        <v>47</v>
      </c>
      <c r="G2036" s="7">
        <v>1968.47</v>
      </c>
      <c r="H2036" s="7">
        <v>0.04</v>
      </c>
      <c r="I2036" s="9" t="s">
        <v>22</v>
      </c>
      <c r="J2036" s="10">
        <v>327.9</v>
      </c>
      <c r="K2036" s="11">
        <v>40.97</v>
      </c>
      <c r="L2036" s="11">
        <v>8.99</v>
      </c>
      <c r="M2036" s="9" t="s">
        <v>1288</v>
      </c>
      <c r="N2036" s="6" t="s">
        <v>1123</v>
      </c>
      <c r="O2036" s="6" t="s">
        <v>1123</v>
      </c>
      <c r="P2036" s="9" t="s">
        <v>25</v>
      </c>
      <c r="Q2036" s="9" t="s">
        <v>26</v>
      </c>
      <c r="R2036" s="9" t="s">
        <v>95</v>
      </c>
      <c r="S2036" s="7" t="s">
        <v>777</v>
      </c>
      <c r="T2036" s="9" t="s">
        <v>52</v>
      </c>
      <c r="U2036" s="7">
        <v>0.59</v>
      </c>
      <c r="V2036" s="12">
        <f>C2036+7</f>
        <v>40481</v>
      </c>
      <c r="W2036">
        <f>IF(D2036=' Pivot Tables'!$A$4,1,0)</f>
        <v>0</v>
      </c>
      <c r="X2036">
        <f>IF(AND(LEFT(D2036,4)+1=LEFT(' Pivot Tables'!$A$4,4)+0,RIGHT(LEFT(D2036,7),2)=RIGHT(LEFT(' Pivot Tables'!$A$4,7),2)),1,0)</f>
        <v>0</v>
      </c>
      <c r="Y2036" s="6">
        <f>1/COUNTIF(Таблица1[Order ID],Таблица1[[#This Row],[Order ID]])</f>
        <v>1</v>
      </c>
      <c r="Z2036" s="9">
        <f>1/COUNTIFS(Таблица1[Customer Name],Таблица1[[#This Row],[Customer Name]],Таблица1[Order-Year-Month],Таблица1[[#This Row],[Order-Year-Month]])</f>
        <v>1</v>
      </c>
    </row>
    <row r="2037" spans="1:26" x14ac:dyDescent="0.2">
      <c r="A2037" s="6">
        <v>1470</v>
      </c>
      <c r="B2037" s="7">
        <v>10624</v>
      </c>
      <c r="C2037" s="8">
        <f>DATE(2012,12,31)-1107</f>
        <v>40167</v>
      </c>
      <c r="D2037" s="8" t="str">
        <f t="shared" si="39"/>
        <v>2009-12 (декабрь 2009)</v>
      </c>
      <c r="E2037" s="9" t="s">
        <v>78</v>
      </c>
      <c r="F2037" s="7">
        <v>23</v>
      </c>
      <c r="G2037" s="7">
        <v>1082.43</v>
      </c>
      <c r="H2037" s="7">
        <v>0.06</v>
      </c>
      <c r="I2037" s="9" t="s">
        <v>22</v>
      </c>
      <c r="J2037" s="10">
        <v>23.97</v>
      </c>
      <c r="K2037" s="11">
        <v>47.98</v>
      </c>
      <c r="L2037" s="11">
        <v>3.61</v>
      </c>
      <c r="M2037" s="9" t="s">
        <v>1289</v>
      </c>
      <c r="N2037" s="6" t="s">
        <v>1123</v>
      </c>
      <c r="O2037" s="6" t="s">
        <v>1123</v>
      </c>
      <c r="P2037" s="9" t="s">
        <v>41</v>
      </c>
      <c r="Q2037" s="9" t="s">
        <v>42</v>
      </c>
      <c r="R2037" s="9" t="s">
        <v>70</v>
      </c>
      <c r="S2037" s="7" t="s">
        <v>71</v>
      </c>
      <c r="T2037" s="9" t="s">
        <v>52</v>
      </c>
      <c r="U2037" s="7">
        <v>0.71</v>
      </c>
      <c r="V2037" s="12">
        <f>C2037+2</f>
        <v>40169</v>
      </c>
      <c r="W2037">
        <f>IF(D2037=' Pivot Tables'!$A$4,1,0)</f>
        <v>0</v>
      </c>
      <c r="X2037">
        <f>IF(AND(LEFT(D2037,4)+1=LEFT(' Pivot Tables'!$A$4,4)+0,RIGHT(LEFT(D2037,7),2)=RIGHT(LEFT(' Pivot Tables'!$A$4,7),2)),1,0)</f>
        <v>0</v>
      </c>
      <c r="Y2037" s="6">
        <f>1/COUNTIF(Таблица1[Order ID],Таблица1[[#This Row],[Order ID]])</f>
        <v>1</v>
      </c>
      <c r="Z2037" s="9">
        <f>1/COUNTIFS(Таблица1[Customer Name],Таблица1[[#This Row],[Customer Name]],Таблица1[Order-Year-Month],Таблица1[[#This Row],[Order-Year-Month]])</f>
        <v>1</v>
      </c>
    </row>
    <row r="2038" spans="1:26" x14ac:dyDescent="0.2">
      <c r="A2038" s="6">
        <v>1579</v>
      </c>
      <c r="B2038" s="7">
        <v>11425</v>
      </c>
      <c r="C2038" s="8">
        <f>DATE(2012,12,31)-558</f>
        <v>40716</v>
      </c>
      <c r="D2038" s="8" t="str">
        <f t="shared" si="39"/>
        <v>2011-06 (июнь 2011)</v>
      </c>
      <c r="E2038" s="9" t="s">
        <v>78</v>
      </c>
      <c r="F2038" s="7">
        <v>29</v>
      </c>
      <c r="G2038" s="7">
        <v>482.91</v>
      </c>
      <c r="H2038" s="7">
        <v>0.1</v>
      </c>
      <c r="I2038" s="9" t="s">
        <v>22</v>
      </c>
      <c r="J2038" s="10">
        <v>-16.59</v>
      </c>
      <c r="K2038" s="11">
        <v>16.91</v>
      </c>
      <c r="L2038" s="11">
        <v>6.25</v>
      </c>
      <c r="M2038" s="9" t="s">
        <v>1290</v>
      </c>
      <c r="N2038" s="6" t="s">
        <v>1123</v>
      </c>
      <c r="O2038" s="6" t="s">
        <v>1123</v>
      </c>
      <c r="P2038" s="9" t="s">
        <v>33</v>
      </c>
      <c r="Q2038" s="9" t="s">
        <v>26</v>
      </c>
      <c r="R2038" s="9" t="s">
        <v>27</v>
      </c>
      <c r="S2038" s="7" t="s">
        <v>794</v>
      </c>
      <c r="T2038" s="9" t="s">
        <v>39</v>
      </c>
      <c r="U2038" s="7">
        <v>0.57999999999999996</v>
      </c>
      <c r="V2038" s="12">
        <f>C2038+1</f>
        <v>40717</v>
      </c>
      <c r="W2038">
        <f>IF(D2038=' Pivot Tables'!$A$4,1,0)</f>
        <v>0</v>
      </c>
      <c r="X2038">
        <f>IF(AND(LEFT(D2038,4)+1=LEFT(' Pivot Tables'!$A$4,4)+0,RIGHT(LEFT(D2038,7),2)=RIGHT(LEFT(' Pivot Tables'!$A$4,7),2)),1,0)</f>
        <v>0</v>
      </c>
      <c r="Y2038" s="6">
        <f>1/COUNTIF(Таблица1[Order ID],Таблица1[[#This Row],[Order ID]])</f>
        <v>0.5</v>
      </c>
      <c r="Z2038" s="9">
        <f>1/COUNTIFS(Таблица1[Customer Name],Таблица1[[#This Row],[Customer Name]],Таблица1[Order-Year-Month],Таблица1[[#This Row],[Order-Year-Month]])</f>
        <v>0.5</v>
      </c>
    </row>
    <row r="2039" spans="1:26" x14ac:dyDescent="0.2">
      <c r="A2039" s="6">
        <v>1580</v>
      </c>
      <c r="B2039" s="7">
        <v>11425</v>
      </c>
      <c r="C2039" s="8">
        <f>DATE(2012,12,31)-558</f>
        <v>40716</v>
      </c>
      <c r="D2039" s="8" t="str">
        <f t="shared" si="39"/>
        <v>2011-06 (июнь 2011)</v>
      </c>
      <c r="E2039" s="9" t="s">
        <v>78</v>
      </c>
      <c r="F2039" s="7">
        <v>23</v>
      </c>
      <c r="G2039" s="7">
        <v>2969.6365000000001</v>
      </c>
      <c r="H2039" s="7">
        <v>0.04</v>
      </c>
      <c r="I2039" s="9" t="s">
        <v>56</v>
      </c>
      <c r="J2039" s="10">
        <v>383.45400000000001</v>
      </c>
      <c r="K2039" s="11">
        <v>155.99</v>
      </c>
      <c r="L2039" s="11">
        <v>8.99</v>
      </c>
      <c r="M2039" s="9" t="s">
        <v>1290</v>
      </c>
      <c r="N2039" s="6" t="s">
        <v>1123</v>
      </c>
      <c r="O2039" s="6" t="s">
        <v>1123</v>
      </c>
      <c r="P2039" s="9" t="s">
        <v>33</v>
      </c>
      <c r="Q2039" s="9" t="s">
        <v>42</v>
      </c>
      <c r="R2039" s="9" t="s">
        <v>43</v>
      </c>
      <c r="S2039" s="7" t="s">
        <v>710</v>
      </c>
      <c r="T2039" s="9" t="s">
        <v>39</v>
      </c>
      <c r="U2039" s="7">
        <v>0.57999999999999996</v>
      </c>
      <c r="V2039" s="12">
        <f>C2039+2</f>
        <v>40718</v>
      </c>
      <c r="W2039">
        <f>IF(D2039=' Pivot Tables'!$A$4,1,0)</f>
        <v>0</v>
      </c>
      <c r="X2039">
        <f>IF(AND(LEFT(D2039,4)+1=LEFT(' Pivot Tables'!$A$4,4)+0,RIGHT(LEFT(D2039,7),2)=RIGHT(LEFT(' Pivot Tables'!$A$4,7),2)),1,0)</f>
        <v>0</v>
      </c>
      <c r="Y2039" s="6">
        <f>1/COUNTIF(Таблица1[Order ID],Таблица1[[#This Row],[Order ID]])</f>
        <v>0.5</v>
      </c>
      <c r="Z2039" s="9">
        <f>1/COUNTIFS(Таблица1[Customer Name],Таблица1[[#This Row],[Customer Name]],Таблица1[Order-Year-Month],Таблица1[[#This Row],[Order-Year-Month]])</f>
        <v>0.5</v>
      </c>
    </row>
    <row r="2040" spans="1:26" x14ac:dyDescent="0.2">
      <c r="A2040" s="6">
        <v>1591</v>
      </c>
      <c r="B2040" s="7">
        <v>11491</v>
      </c>
      <c r="C2040" s="8">
        <f>DATE(2012,12,31)-867</f>
        <v>40407</v>
      </c>
      <c r="D2040" s="8" t="str">
        <f t="shared" si="39"/>
        <v>2010-08 (август 2010)</v>
      </c>
      <c r="E2040" s="9" t="s">
        <v>21</v>
      </c>
      <c r="F2040" s="7">
        <v>26</v>
      </c>
      <c r="G2040" s="7">
        <v>165.37</v>
      </c>
      <c r="H2040" s="7">
        <v>0.06</v>
      </c>
      <c r="I2040" s="9" t="s">
        <v>22</v>
      </c>
      <c r="J2040" s="10">
        <v>-80.11</v>
      </c>
      <c r="K2040" s="11">
        <v>6.6</v>
      </c>
      <c r="L2040" s="11">
        <v>4.07</v>
      </c>
      <c r="M2040" s="9" t="s">
        <v>1278</v>
      </c>
      <c r="N2040" s="6" t="s">
        <v>1123</v>
      </c>
      <c r="O2040" s="6" t="s">
        <v>1123</v>
      </c>
      <c r="P2040" s="9" t="s">
        <v>60</v>
      </c>
      <c r="Q2040" s="9" t="s">
        <v>42</v>
      </c>
      <c r="R2040" s="9" t="s">
        <v>70</v>
      </c>
      <c r="S2040" s="7" t="s">
        <v>1168</v>
      </c>
      <c r="T2040" s="9" t="s">
        <v>52</v>
      </c>
      <c r="U2040" s="7">
        <v>0.66</v>
      </c>
      <c r="V2040" s="12">
        <f>C2040+9</f>
        <v>40416</v>
      </c>
      <c r="W2040">
        <f>IF(D2040=' Pivot Tables'!$A$4,1,0)</f>
        <v>0</v>
      </c>
      <c r="X2040">
        <f>IF(AND(LEFT(D2040,4)+1=LEFT(' Pivot Tables'!$A$4,4)+0,RIGHT(LEFT(D2040,7),2)=RIGHT(LEFT(' Pivot Tables'!$A$4,7),2)),1,0)</f>
        <v>0</v>
      </c>
      <c r="Y2040" s="6">
        <f>1/COUNTIF(Таблица1[Order ID],Таблица1[[#This Row],[Order ID]])</f>
        <v>0.5</v>
      </c>
      <c r="Z2040" s="9">
        <f>1/COUNTIFS(Таблица1[Customer Name],Таблица1[[#This Row],[Customer Name]],Таблица1[Order-Year-Month],Таблица1[[#This Row],[Order-Year-Month]])</f>
        <v>0.25</v>
      </c>
    </row>
    <row r="2041" spans="1:26" x14ac:dyDescent="0.2">
      <c r="A2041" s="6">
        <v>1592</v>
      </c>
      <c r="B2041" s="7">
        <v>11491</v>
      </c>
      <c r="C2041" s="8">
        <f>DATE(2012,12,31)-867</f>
        <v>40407</v>
      </c>
      <c r="D2041" s="8" t="str">
        <f t="shared" si="39"/>
        <v>2010-08 (август 2010)</v>
      </c>
      <c r="E2041" s="9" t="s">
        <v>21</v>
      </c>
      <c r="F2041" s="7">
        <v>38</v>
      </c>
      <c r="G2041" s="7">
        <v>1785.74</v>
      </c>
      <c r="H2041" s="7">
        <v>0.03</v>
      </c>
      <c r="I2041" s="9" t="s">
        <v>56</v>
      </c>
      <c r="J2041" s="10">
        <v>739.48</v>
      </c>
      <c r="K2041" s="11">
        <v>48.04</v>
      </c>
      <c r="L2041" s="11">
        <v>7.23</v>
      </c>
      <c r="M2041" s="9" t="s">
        <v>1278</v>
      </c>
      <c r="N2041" s="6" t="s">
        <v>1123</v>
      </c>
      <c r="O2041" s="6" t="s">
        <v>1123</v>
      </c>
      <c r="P2041" s="9" t="s">
        <v>60</v>
      </c>
      <c r="Q2041" s="9" t="s">
        <v>49</v>
      </c>
      <c r="R2041" s="9" t="s">
        <v>50</v>
      </c>
      <c r="S2041" s="7" t="s">
        <v>951</v>
      </c>
      <c r="T2041" s="9" t="s">
        <v>39</v>
      </c>
      <c r="U2041" s="7">
        <v>0.41</v>
      </c>
      <c r="V2041" s="12">
        <f>C2041+2</f>
        <v>40409</v>
      </c>
      <c r="W2041">
        <f>IF(D2041=' Pivot Tables'!$A$4,1,0)</f>
        <v>0</v>
      </c>
      <c r="X2041">
        <f>IF(AND(LEFT(D2041,4)+1=LEFT(' Pivot Tables'!$A$4,4)+0,RIGHT(LEFT(D2041,7),2)=RIGHT(LEFT(' Pivot Tables'!$A$4,7),2)),1,0)</f>
        <v>0</v>
      </c>
      <c r="Y2041" s="6">
        <f>1/COUNTIF(Таблица1[Order ID],Таблица1[[#This Row],[Order ID]])</f>
        <v>0.5</v>
      </c>
      <c r="Z2041" s="9">
        <f>1/COUNTIFS(Таблица1[Customer Name],Таблица1[[#This Row],[Customer Name]],Таблица1[Order-Year-Month],Таблица1[[#This Row],[Order-Year-Month]])</f>
        <v>0.25</v>
      </c>
    </row>
    <row r="2042" spans="1:26" x14ac:dyDescent="0.2">
      <c r="A2042" s="6">
        <v>1636</v>
      </c>
      <c r="B2042" s="7">
        <v>11841</v>
      </c>
      <c r="C2042" s="8">
        <f>DATE(2012,12,31)-986</f>
        <v>40288</v>
      </c>
      <c r="D2042" s="8" t="str">
        <f t="shared" si="39"/>
        <v>2010-04 (апрель 2010)</v>
      </c>
      <c r="E2042" s="9" t="s">
        <v>63</v>
      </c>
      <c r="F2042" s="7">
        <v>44</v>
      </c>
      <c r="G2042" s="7">
        <v>2339.52</v>
      </c>
      <c r="H2042" s="7">
        <v>0.1</v>
      </c>
      <c r="I2042" s="9" t="s">
        <v>22</v>
      </c>
      <c r="J2042" s="10">
        <v>886.03</v>
      </c>
      <c r="K2042" s="11">
        <v>54.96</v>
      </c>
      <c r="L2042" s="11">
        <v>10.75</v>
      </c>
      <c r="M2042" s="9" t="s">
        <v>1286</v>
      </c>
      <c r="N2042" s="6" t="s">
        <v>1123</v>
      </c>
      <c r="O2042" s="6" t="s">
        <v>1123</v>
      </c>
      <c r="P2042" s="9" t="s">
        <v>41</v>
      </c>
      <c r="Q2042" s="9" t="s">
        <v>26</v>
      </c>
      <c r="R2042" s="9" t="s">
        <v>61</v>
      </c>
      <c r="S2042" s="7" t="s">
        <v>350</v>
      </c>
      <c r="T2042" s="9" t="s">
        <v>39</v>
      </c>
      <c r="U2042" s="7">
        <v>0.36</v>
      </c>
      <c r="V2042" s="12">
        <f>C2042+2</f>
        <v>40290</v>
      </c>
      <c r="W2042">
        <f>IF(D2042=' Pivot Tables'!$A$4,1,0)</f>
        <v>0</v>
      </c>
      <c r="X2042">
        <f>IF(AND(LEFT(D2042,4)+1=LEFT(' Pivot Tables'!$A$4,4)+0,RIGHT(LEFT(D2042,7),2)=RIGHT(LEFT(' Pivot Tables'!$A$4,7),2)),1,0)</f>
        <v>0</v>
      </c>
      <c r="Y2042" s="6">
        <f>1/COUNTIF(Таблица1[Order ID],Таблица1[[#This Row],[Order ID]])</f>
        <v>0.5</v>
      </c>
      <c r="Z2042" s="9">
        <f>1/COUNTIFS(Таблица1[Customer Name],Таблица1[[#This Row],[Customer Name]],Таблица1[Order-Year-Month],Таблица1[[#This Row],[Order-Year-Month]])</f>
        <v>0.33333333333333331</v>
      </c>
    </row>
    <row r="2043" spans="1:26" x14ac:dyDescent="0.2">
      <c r="A2043" s="6">
        <v>1637</v>
      </c>
      <c r="B2043" s="7">
        <v>11841</v>
      </c>
      <c r="C2043" s="8">
        <f>DATE(2012,12,31)-986</f>
        <v>40288</v>
      </c>
      <c r="D2043" s="8" t="str">
        <f t="shared" si="39"/>
        <v>2010-04 (апрель 2010)</v>
      </c>
      <c r="E2043" s="9" t="s">
        <v>63</v>
      </c>
      <c r="F2043" s="7">
        <v>46</v>
      </c>
      <c r="G2043" s="7">
        <v>533.25</v>
      </c>
      <c r="H2043" s="7">
        <v>7.0000000000000007E-2</v>
      </c>
      <c r="I2043" s="9" t="s">
        <v>22</v>
      </c>
      <c r="J2043" s="10">
        <v>-88.32</v>
      </c>
      <c r="K2043" s="11">
        <v>11.97</v>
      </c>
      <c r="L2043" s="11">
        <v>5.81</v>
      </c>
      <c r="M2043" s="9" t="s">
        <v>1286</v>
      </c>
      <c r="N2043" s="6" t="s">
        <v>1123</v>
      </c>
      <c r="O2043" s="6" t="s">
        <v>1123</v>
      </c>
      <c r="P2043" s="9" t="s">
        <v>41</v>
      </c>
      <c r="Q2043" s="9" t="s">
        <v>26</v>
      </c>
      <c r="R2043" s="9" t="s">
        <v>95</v>
      </c>
      <c r="S2043" s="7" t="s">
        <v>521</v>
      </c>
      <c r="T2043" s="9" t="s">
        <v>52</v>
      </c>
      <c r="U2043" s="7">
        <v>0.6</v>
      </c>
      <c r="V2043" s="12">
        <f>C2043+0</f>
        <v>40288</v>
      </c>
      <c r="W2043">
        <f>IF(D2043=' Pivot Tables'!$A$4,1,0)</f>
        <v>0</v>
      </c>
      <c r="X2043">
        <f>IF(AND(LEFT(D2043,4)+1=LEFT(' Pivot Tables'!$A$4,4)+0,RIGHT(LEFT(D2043,7),2)=RIGHT(LEFT(' Pivot Tables'!$A$4,7),2)),1,0)</f>
        <v>0</v>
      </c>
      <c r="Y2043" s="6">
        <f>1/COUNTIF(Таблица1[Order ID],Таблица1[[#This Row],[Order ID]])</f>
        <v>0.5</v>
      </c>
      <c r="Z2043" s="9">
        <f>1/COUNTIFS(Таблица1[Customer Name],Таблица1[[#This Row],[Customer Name]],Таблица1[Order-Year-Month],Таблица1[[#This Row],[Order-Year-Month]])</f>
        <v>0.33333333333333331</v>
      </c>
    </row>
    <row r="2044" spans="1:26" x14ac:dyDescent="0.2">
      <c r="A2044" s="6">
        <v>1648</v>
      </c>
      <c r="B2044" s="7">
        <v>11878</v>
      </c>
      <c r="C2044" s="8">
        <f>DATE(2012,12,31)-1041</f>
        <v>40233</v>
      </c>
      <c r="D2044" s="8" t="str">
        <f t="shared" si="39"/>
        <v>2010-02 (февраль 2010)</v>
      </c>
      <c r="E2044" s="9" t="s">
        <v>45</v>
      </c>
      <c r="F2044" s="7">
        <v>18</v>
      </c>
      <c r="G2044" s="7">
        <v>102.06</v>
      </c>
      <c r="H2044" s="7">
        <v>0.1</v>
      </c>
      <c r="I2044" s="9" t="s">
        <v>22</v>
      </c>
      <c r="J2044" s="10">
        <v>36.229999999999997</v>
      </c>
      <c r="K2044" s="11">
        <v>6.3</v>
      </c>
      <c r="L2044" s="11">
        <v>0.5</v>
      </c>
      <c r="M2044" s="9" t="s">
        <v>1288</v>
      </c>
      <c r="N2044" s="6" t="s">
        <v>1123</v>
      </c>
      <c r="O2044" s="6" t="s">
        <v>1123</v>
      </c>
      <c r="P2044" s="9" t="s">
        <v>25</v>
      </c>
      <c r="Q2044" s="9" t="s">
        <v>26</v>
      </c>
      <c r="R2044" s="9" t="s">
        <v>88</v>
      </c>
      <c r="S2044" s="7" t="s">
        <v>900</v>
      </c>
      <c r="T2044" s="9" t="s">
        <v>39</v>
      </c>
      <c r="U2044" s="7">
        <v>0.39</v>
      </c>
      <c r="V2044" s="12">
        <f>C2044+1</f>
        <v>40234</v>
      </c>
      <c r="W2044">
        <f>IF(D2044=' Pivot Tables'!$A$4,1,0)</f>
        <v>0</v>
      </c>
      <c r="X2044">
        <f>IF(AND(LEFT(D2044,4)+1=LEFT(' Pivot Tables'!$A$4,4)+0,RIGHT(LEFT(D2044,7),2)=RIGHT(LEFT(' Pivot Tables'!$A$4,7),2)),1,0)</f>
        <v>0</v>
      </c>
      <c r="Y2044" s="6">
        <f>1/COUNTIF(Таблица1[Order ID],Таблица1[[#This Row],[Order ID]])</f>
        <v>0.5</v>
      </c>
      <c r="Z2044" s="9">
        <f>1/COUNTIFS(Таблица1[Customer Name],Таблица1[[#This Row],[Customer Name]],Таблица1[Order-Year-Month],Таблица1[[#This Row],[Order-Year-Month]])</f>
        <v>0.5</v>
      </c>
    </row>
    <row r="2045" spans="1:26" x14ac:dyDescent="0.2">
      <c r="A2045" s="6">
        <v>1649</v>
      </c>
      <c r="B2045" s="7">
        <v>11878</v>
      </c>
      <c r="C2045" s="8">
        <f>DATE(2012,12,31)-1041</f>
        <v>40233</v>
      </c>
      <c r="D2045" s="8" t="str">
        <f t="shared" si="39"/>
        <v>2010-02 (февраль 2010)</v>
      </c>
      <c r="E2045" s="9" t="s">
        <v>45</v>
      </c>
      <c r="F2045" s="7">
        <v>15</v>
      </c>
      <c r="G2045" s="7">
        <v>101.82</v>
      </c>
      <c r="H2045" s="7">
        <v>0.08</v>
      </c>
      <c r="I2045" s="9" t="s">
        <v>22</v>
      </c>
      <c r="J2045" s="10">
        <v>-52.55</v>
      </c>
      <c r="K2045" s="11">
        <v>6.48</v>
      </c>
      <c r="L2045" s="11">
        <v>7.03</v>
      </c>
      <c r="M2045" s="9" t="s">
        <v>1288</v>
      </c>
      <c r="N2045" s="6" t="s">
        <v>1123</v>
      </c>
      <c r="O2045" s="6" t="s">
        <v>1123</v>
      </c>
      <c r="P2045" s="9" t="s">
        <v>25</v>
      </c>
      <c r="Q2045" s="9" t="s">
        <v>26</v>
      </c>
      <c r="R2045" s="9" t="s">
        <v>61</v>
      </c>
      <c r="S2045" s="7" t="s">
        <v>170</v>
      </c>
      <c r="T2045" s="9" t="s">
        <v>39</v>
      </c>
      <c r="U2045" s="7">
        <v>0.37</v>
      </c>
      <c r="V2045" s="12">
        <f>C2045+1</f>
        <v>40234</v>
      </c>
      <c r="W2045">
        <f>IF(D2045=' Pivot Tables'!$A$4,1,0)</f>
        <v>0</v>
      </c>
      <c r="X2045">
        <f>IF(AND(LEFT(D2045,4)+1=LEFT(' Pivot Tables'!$A$4,4)+0,RIGHT(LEFT(D2045,7),2)=RIGHT(LEFT(' Pivot Tables'!$A$4,7),2)),1,0)</f>
        <v>0</v>
      </c>
      <c r="Y2045" s="6">
        <f>1/COUNTIF(Таблица1[Order ID],Таблица1[[#This Row],[Order ID]])</f>
        <v>0.5</v>
      </c>
      <c r="Z2045" s="9">
        <f>1/COUNTIFS(Таблица1[Customer Name],Таблица1[[#This Row],[Customer Name]],Таблица1[Order-Year-Month],Таблица1[[#This Row],[Order-Year-Month]])</f>
        <v>0.5</v>
      </c>
    </row>
    <row r="2046" spans="1:26" x14ac:dyDescent="0.2">
      <c r="A2046" s="6">
        <v>1682</v>
      </c>
      <c r="B2046" s="7">
        <v>12130</v>
      </c>
      <c r="C2046" s="8">
        <f>DATE(2012,12,31)-388</f>
        <v>40886</v>
      </c>
      <c r="D2046" s="8" t="str">
        <f t="shared" si="39"/>
        <v>2011-12 (декабрь 2011)</v>
      </c>
      <c r="E2046" s="9" t="s">
        <v>45</v>
      </c>
      <c r="F2046" s="7">
        <v>37</v>
      </c>
      <c r="G2046" s="7">
        <v>686.2</v>
      </c>
      <c r="H2046" s="7">
        <v>0.04</v>
      </c>
      <c r="I2046" s="9" t="s">
        <v>22</v>
      </c>
      <c r="J2046" s="10">
        <v>290.2</v>
      </c>
      <c r="K2046" s="11">
        <v>18.84</v>
      </c>
      <c r="L2046" s="11">
        <v>3.62</v>
      </c>
      <c r="M2046" s="9" t="s">
        <v>1291</v>
      </c>
      <c r="N2046" s="6" t="s">
        <v>1123</v>
      </c>
      <c r="O2046" s="6" t="s">
        <v>1123</v>
      </c>
      <c r="P2046" s="9" t="s">
        <v>33</v>
      </c>
      <c r="Q2046" s="9" t="s">
        <v>49</v>
      </c>
      <c r="R2046" s="9" t="s">
        <v>50</v>
      </c>
      <c r="S2046" s="7" t="s">
        <v>992</v>
      </c>
      <c r="T2046" s="9" t="s">
        <v>68</v>
      </c>
      <c r="U2046" s="7">
        <v>0.43</v>
      </c>
      <c r="V2046" s="12">
        <f>C2046+3</f>
        <v>40889</v>
      </c>
      <c r="W2046">
        <f>IF(D2046=' Pivot Tables'!$A$4,1,0)</f>
        <v>0</v>
      </c>
      <c r="X2046">
        <f>IF(AND(LEFT(D2046,4)+1=LEFT(' Pivot Tables'!$A$4,4)+0,RIGHT(LEFT(D2046,7),2)=RIGHT(LEFT(' Pivot Tables'!$A$4,7),2)),1,0)</f>
        <v>0</v>
      </c>
      <c r="Y2046" s="6">
        <f>1/COUNTIF(Таблица1[Order ID],Таблица1[[#This Row],[Order ID]])</f>
        <v>0.5</v>
      </c>
      <c r="Z2046" s="9">
        <f>1/COUNTIFS(Таблица1[Customer Name],Таблица1[[#This Row],[Customer Name]],Таблица1[Order-Year-Month],Таблица1[[#This Row],[Order-Year-Month]])</f>
        <v>0.5</v>
      </c>
    </row>
    <row r="2047" spans="1:26" x14ac:dyDescent="0.2">
      <c r="A2047" s="6">
        <v>1683</v>
      </c>
      <c r="B2047" s="7">
        <v>12130</v>
      </c>
      <c r="C2047" s="8">
        <f>DATE(2012,12,31)-388</f>
        <v>40886</v>
      </c>
      <c r="D2047" s="8" t="str">
        <f t="shared" si="39"/>
        <v>2011-12 (декабрь 2011)</v>
      </c>
      <c r="E2047" s="9" t="s">
        <v>45</v>
      </c>
      <c r="F2047" s="7">
        <v>42</v>
      </c>
      <c r="G2047" s="7">
        <v>1274.5155</v>
      </c>
      <c r="H2047" s="7">
        <v>0.05</v>
      </c>
      <c r="I2047" s="9" t="s">
        <v>22</v>
      </c>
      <c r="J2047" s="10">
        <v>444.15</v>
      </c>
      <c r="K2047" s="11">
        <v>35.99</v>
      </c>
      <c r="L2047" s="11">
        <v>5.99</v>
      </c>
      <c r="M2047" s="9" t="s">
        <v>1291</v>
      </c>
      <c r="N2047" s="6" t="s">
        <v>1123</v>
      </c>
      <c r="O2047" s="6" t="s">
        <v>1123</v>
      </c>
      <c r="P2047" s="9" t="s">
        <v>33</v>
      </c>
      <c r="Q2047" s="9" t="s">
        <v>42</v>
      </c>
      <c r="R2047" s="9" t="s">
        <v>43</v>
      </c>
      <c r="S2047" s="7" t="s">
        <v>907</v>
      </c>
      <c r="T2047" s="9" t="s">
        <v>68</v>
      </c>
      <c r="U2047" s="7">
        <v>0.38</v>
      </c>
      <c r="V2047" s="12">
        <f>C2047+3</f>
        <v>40889</v>
      </c>
      <c r="W2047">
        <f>IF(D2047=' Pivot Tables'!$A$4,1,0)</f>
        <v>0</v>
      </c>
      <c r="X2047">
        <f>IF(AND(LEFT(D2047,4)+1=LEFT(' Pivot Tables'!$A$4,4)+0,RIGHT(LEFT(D2047,7),2)=RIGHT(LEFT(' Pivot Tables'!$A$4,7),2)),1,0)</f>
        <v>0</v>
      </c>
      <c r="Y2047" s="6">
        <f>1/COUNTIF(Таблица1[Order ID],Таблица1[[#This Row],[Order ID]])</f>
        <v>0.5</v>
      </c>
      <c r="Z2047" s="9">
        <f>1/COUNTIFS(Таблица1[Customer Name],Таблица1[[#This Row],[Customer Name]],Таблица1[Order-Year-Month],Таблица1[[#This Row],[Order-Year-Month]])</f>
        <v>0.5</v>
      </c>
    </row>
    <row r="2048" spans="1:26" x14ac:dyDescent="0.2">
      <c r="A2048" s="6">
        <v>1684</v>
      </c>
      <c r="B2048" s="7">
        <v>12160</v>
      </c>
      <c r="C2048" s="8">
        <f>DATE(2012,12,31)-750</f>
        <v>40524</v>
      </c>
      <c r="D2048" s="8" t="str">
        <f t="shared" si="39"/>
        <v>2010-12 (декабрь 2010)</v>
      </c>
      <c r="E2048" s="9" t="s">
        <v>21</v>
      </c>
      <c r="F2048" s="7">
        <v>48</v>
      </c>
      <c r="G2048" s="7">
        <v>10341.469999999999</v>
      </c>
      <c r="H2048" s="7">
        <v>0.03</v>
      </c>
      <c r="I2048" s="9" t="s">
        <v>31</v>
      </c>
      <c r="J2048" s="10">
        <v>865.02</v>
      </c>
      <c r="K2048" s="11">
        <v>208.16</v>
      </c>
      <c r="L2048" s="11">
        <v>68.02</v>
      </c>
      <c r="M2048" s="9" t="s">
        <v>1278</v>
      </c>
      <c r="N2048" s="6" t="s">
        <v>1123</v>
      </c>
      <c r="O2048" s="6" t="s">
        <v>1123</v>
      </c>
      <c r="P2048" s="9" t="s">
        <v>41</v>
      </c>
      <c r="Q2048" s="9" t="s">
        <v>49</v>
      </c>
      <c r="R2048" s="9" t="s">
        <v>112</v>
      </c>
      <c r="S2048" s="7" t="s">
        <v>113</v>
      </c>
      <c r="T2048" s="9" t="s">
        <v>36</v>
      </c>
      <c r="U2048" s="7">
        <v>0.56999999999999995</v>
      </c>
      <c r="V2048" s="12">
        <f>C2048+5</f>
        <v>40529</v>
      </c>
      <c r="W2048">
        <f>IF(D2048=' Pivot Tables'!$A$4,1,0)</f>
        <v>0</v>
      </c>
      <c r="X2048">
        <f>IF(AND(LEFT(D2048,4)+1=LEFT(' Pivot Tables'!$A$4,4)+0,RIGHT(LEFT(D2048,7),2)=RIGHT(LEFT(' Pivot Tables'!$A$4,7),2)),1,0)</f>
        <v>0</v>
      </c>
      <c r="Y2048" s="6">
        <f>1/COUNTIF(Таблица1[Order ID],Таблица1[[#This Row],[Order ID]])</f>
        <v>0.33333333333333331</v>
      </c>
      <c r="Z2048" s="9">
        <f>1/COUNTIFS(Таблица1[Customer Name],Таблица1[[#This Row],[Customer Name]],Таблица1[Order-Year-Month],Таблица1[[#This Row],[Order-Year-Month]])</f>
        <v>0.33333333333333331</v>
      </c>
    </row>
    <row r="2049" spans="1:26" x14ac:dyDescent="0.2">
      <c r="A2049" s="6">
        <v>1685</v>
      </c>
      <c r="B2049" s="7">
        <v>12160</v>
      </c>
      <c r="C2049" s="8">
        <f>DATE(2012,12,31)-750</f>
        <v>40524</v>
      </c>
      <c r="D2049" s="8" t="str">
        <f t="shared" si="39"/>
        <v>2010-12 (декабрь 2010)</v>
      </c>
      <c r="E2049" s="9" t="s">
        <v>21</v>
      </c>
      <c r="F2049" s="7">
        <v>2</v>
      </c>
      <c r="G2049" s="7">
        <v>55.21</v>
      </c>
      <c r="H2049" s="7">
        <v>0.08</v>
      </c>
      <c r="I2049" s="9" t="s">
        <v>22</v>
      </c>
      <c r="J2049" s="10">
        <v>-45.3</v>
      </c>
      <c r="K2049" s="11">
        <v>24.98</v>
      </c>
      <c r="L2049" s="11">
        <v>8.7899999999999991</v>
      </c>
      <c r="M2049" s="9" t="s">
        <v>1278</v>
      </c>
      <c r="N2049" s="6" t="s">
        <v>1123</v>
      </c>
      <c r="O2049" s="6" t="s">
        <v>1123</v>
      </c>
      <c r="P2049" s="9" t="s">
        <v>41</v>
      </c>
      <c r="Q2049" s="9" t="s">
        <v>49</v>
      </c>
      <c r="R2049" s="9" t="s">
        <v>112</v>
      </c>
      <c r="S2049" s="7" t="s">
        <v>431</v>
      </c>
      <c r="T2049" s="9" t="s">
        <v>36</v>
      </c>
      <c r="U2049" s="7">
        <v>0.56000000000000005</v>
      </c>
      <c r="V2049" s="12">
        <f>C2049+4</f>
        <v>40528</v>
      </c>
      <c r="W2049">
        <f>IF(D2049=' Pivot Tables'!$A$4,1,0)</f>
        <v>0</v>
      </c>
      <c r="X2049">
        <f>IF(AND(LEFT(D2049,4)+1=LEFT(' Pivot Tables'!$A$4,4)+0,RIGHT(LEFT(D2049,7),2)=RIGHT(LEFT(' Pivot Tables'!$A$4,7),2)),1,0)</f>
        <v>0</v>
      </c>
      <c r="Y2049" s="6">
        <f>1/COUNTIF(Таблица1[Order ID],Таблица1[[#This Row],[Order ID]])</f>
        <v>0.33333333333333331</v>
      </c>
      <c r="Z2049" s="9">
        <f>1/COUNTIFS(Таблица1[Customer Name],Таблица1[[#This Row],[Customer Name]],Таблица1[Order-Year-Month],Таблица1[[#This Row],[Order-Year-Month]])</f>
        <v>0.33333333333333331</v>
      </c>
    </row>
    <row r="2050" spans="1:26" x14ac:dyDescent="0.2">
      <c r="A2050" s="6">
        <v>1686</v>
      </c>
      <c r="B2050" s="7">
        <v>12160</v>
      </c>
      <c r="C2050" s="8">
        <f>DATE(2012,12,31)-750</f>
        <v>40524</v>
      </c>
      <c r="D2050" s="8" t="str">
        <f t="shared" si="39"/>
        <v>2010-12 (декабрь 2010)</v>
      </c>
      <c r="E2050" s="9" t="s">
        <v>21</v>
      </c>
      <c r="F2050" s="7">
        <v>9</v>
      </c>
      <c r="G2050" s="7">
        <v>38.299999999999997</v>
      </c>
      <c r="H2050" s="7">
        <v>0.01</v>
      </c>
      <c r="I2050" s="9" t="s">
        <v>22</v>
      </c>
      <c r="J2050" s="10">
        <v>-42.4925</v>
      </c>
      <c r="K2050" s="11">
        <v>3.36</v>
      </c>
      <c r="L2050" s="11">
        <v>6.27</v>
      </c>
      <c r="M2050" s="9" t="s">
        <v>1278</v>
      </c>
      <c r="N2050" s="6" t="s">
        <v>1123</v>
      </c>
      <c r="O2050" s="6" t="s">
        <v>1123</v>
      </c>
      <c r="P2050" s="9" t="s">
        <v>41</v>
      </c>
      <c r="Q2050" s="9" t="s">
        <v>49</v>
      </c>
      <c r="R2050" s="9" t="s">
        <v>50</v>
      </c>
      <c r="S2050" s="7" t="s">
        <v>1292</v>
      </c>
      <c r="T2050" s="9" t="s">
        <v>29</v>
      </c>
      <c r="U2050" s="7">
        <v>0.55000000000000004</v>
      </c>
      <c r="V2050" s="12">
        <f>C2050+5</f>
        <v>40529</v>
      </c>
      <c r="W2050">
        <f>IF(D2050=' Pivot Tables'!$A$4,1,0)</f>
        <v>0</v>
      </c>
      <c r="X2050">
        <f>IF(AND(LEFT(D2050,4)+1=LEFT(' Pivot Tables'!$A$4,4)+0,RIGHT(LEFT(D2050,7),2)=RIGHT(LEFT(' Pivot Tables'!$A$4,7),2)),1,0)</f>
        <v>0</v>
      </c>
      <c r="Y2050" s="6">
        <f>1/COUNTIF(Таблица1[Order ID],Таблица1[[#This Row],[Order ID]])</f>
        <v>0.33333333333333331</v>
      </c>
      <c r="Z2050" s="9">
        <f>1/COUNTIFS(Таблица1[Customer Name],Таблица1[[#This Row],[Customer Name]],Таблица1[Order-Year-Month],Таблица1[[#This Row],[Order-Year-Month]])</f>
        <v>0.33333333333333331</v>
      </c>
    </row>
    <row r="2051" spans="1:26" x14ac:dyDescent="0.2">
      <c r="A2051" s="6">
        <v>1697</v>
      </c>
      <c r="B2051" s="7">
        <v>12258</v>
      </c>
      <c r="C2051" s="8">
        <f>DATE(2012,12,31)-1127</f>
        <v>40147</v>
      </c>
      <c r="D2051" s="8" t="str">
        <f t="shared" ref="D2051:D2114" si="40">TEXT(C2051,"гггг-ММ (ММММ гггг)")</f>
        <v>2009-11 (ноябрь 2009)</v>
      </c>
      <c r="E2051" s="9" t="s">
        <v>21</v>
      </c>
      <c r="F2051" s="7">
        <v>3</v>
      </c>
      <c r="G2051" s="7">
        <v>561.65</v>
      </c>
      <c r="H2051" s="7">
        <v>0.04</v>
      </c>
      <c r="I2051" s="9" t="s">
        <v>31</v>
      </c>
      <c r="J2051" s="10">
        <v>-264.94</v>
      </c>
      <c r="K2051" s="11">
        <v>180.98</v>
      </c>
      <c r="L2051" s="11">
        <v>30</v>
      </c>
      <c r="M2051" s="9" t="s">
        <v>1251</v>
      </c>
      <c r="N2051" s="6" t="s">
        <v>1123</v>
      </c>
      <c r="O2051" s="6" t="s">
        <v>1123</v>
      </c>
      <c r="P2051" s="9" t="s">
        <v>60</v>
      </c>
      <c r="Q2051" s="9" t="s">
        <v>49</v>
      </c>
      <c r="R2051" s="9" t="s">
        <v>112</v>
      </c>
      <c r="S2051" s="7" t="s">
        <v>957</v>
      </c>
      <c r="T2051" s="9" t="s">
        <v>36</v>
      </c>
      <c r="U2051" s="7">
        <v>0.69</v>
      </c>
      <c r="V2051" s="12">
        <f>C2051+0</f>
        <v>40147</v>
      </c>
      <c r="W2051">
        <f>IF(D2051=' Pivot Tables'!$A$4,1,0)</f>
        <v>0</v>
      </c>
      <c r="X2051">
        <f>IF(AND(LEFT(D2051,4)+1=LEFT(' Pivot Tables'!$A$4,4)+0,RIGHT(LEFT(D2051,7),2)=RIGHT(LEFT(' Pivot Tables'!$A$4,7),2)),1,0)</f>
        <v>0</v>
      </c>
      <c r="Y2051" s="6">
        <f>1/COUNTIF(Таблица1[Order ID],Таблица1[[#This Row],[Order ID]])</f>
        <v>0.25</v>
      </c>
      <c r="Z2051" s="9">
        <f>1/COUNTIFS(Таблица1[Customer Name],Таблица1[[#This Row],[Customer Name]],Таблица1[Order-Year-Month],Таблица1[[#This Row],[Order-Year-Month]])</f>
        <v>0.25</v>
      </c>
    </row>
    <row r="2052" spans="1:26" x14ac:dyDescent="0.2">
      <c r="A2052" s="6">
        <v>1698</v>
      </c>
      <c r="B2052" s="7">
        <v>12258</v>
      </c>
      <c r="C2052" s="8">
        <f>DATE(2012,12,31)-1127</f>
        <v>40147</v>
      </c>
      <c r="D2052" s="8" t="str">
        <f t="shared" si="40"/>
        <v>2009-11 (ноябрь 2009)</v>
      </c>
      <c r="E2052" s="9" t="s">
        <v>21</v>
      </c>
      <c r="F2052" s="7">
        <v>2</v>
      </c>
      <c r="G2052" s="7">
        <v>55.6</v>
      </c>
      <c r="H2052" s="7">
        <v>0.06</v>
      </c>
      <c r="I2052" s="9" t="s">
        <v>22</v>
      </c>
      <c r="J2052" s="10">
        <v>-52.54</v>
      </c>
      <c r="K2052" s="11">
        <v>3.25</v>
      </c>
      <c r="L2052" s="11">
        <v>49</v>
      </c>
      <c r="M2052" s="9" t="s">
        <v>1251</v>
      </c>
      <c r="N2052" s="6" t="s">
        <v>1123</v>
      </c>
      <c r="O2052" s="6" t="s">
        <v>1123</v>
      </c>
      <c r="P2052" s="9" t="s">
        <v>60</v>
      </c>
      <c r="Q2052" s="9" t="s">
        <v>26</v>
      </c>
      <c r="R2052" s="9" t="s">
        <v>34</v>
      </c>
      <c r="S2052" s="7" t="s">
        <v>1241</v>
      </c>
      <c r="T2052" s="9" t="s">
        <v>29</v>
      </c>
      <c r="U2052" s="7">
        <v>0.56000000000000005</v>
      </c>
      <c r="V2052" s="12">
        <f>C2052+5</f>
        <v>40152</v>
      </c>
      <c r="W2052">
        <f>IF(D2052=' Pivot Tables'!$A$4,1,0)</f>
        <v>0</v>
      </c>
      <c r="X2052">
        <f>IF(AND(LEFT(D2052,4)+1=LEFT(' Pivot Tables'!$A$4,4)+0,RIGHT(LEFT(D2052,7),2)=RIGHT(LEFT(' Pivot Tables'!$A$4,7),2)),1,0)</f>
        <v>0</v>
      </c>
      <c r="Y2052" s="6">
        <f>1/COUNTIF(Таблица1[Order ID],Таблица1[[#This Row],[Order ID]])</f>
        <v>0.25</v>
      </c>
      <c r="Z2052" s="9">
        <f>1/COUNTIFS(Таблица1[Customer Name],Таблица1[[#This Row],[Customer Name]],Таблица1[Order-Year-Month],Таблица1[[#This Row],[Order-Year-Month]])</f>
        <v>0.25</v>
      </c>
    </row>
    <row r="2053" spans="1:26" x14ac:dyDescent="0.2">
      <c r="A2053" s="6">
        <v>1699</v>
      </c>
      <c r="B2053" s="7">
        <v>12258</v>
      </c>
      <c r="C2053" s="8">
        <f>DATE(2012,12,31)-1127</f>
        <v>40147</v>
      </c>
      <c r="D2053" s="8" t="str">
        <f t="shared" si="40"/>
        <v>2009-11 (ноябрь 2009)</v>
      </c>
      <c r="E2053" s="9" t="s">
        <v>21</v>
      </c>
      <c r="F2053" s="7">
        <v>22</v>
      </c>
      <c r="G2053" s="7">
        <v>2431.13</v>
      </c>
      <c r="H2053" s="7">
        <v>0.01</v>
      </c>
      <c r="I2053" s="9" t="s">
        <v>22</v>
      </c>
      <c r="J2053" s="10">
        <v>660.63</v>
      </c>
      <c r="K2053" s="11">
        <v>110.98</v>
      </c>
      <c r="L2053" s="11">
        <v>13.99</v>
      </c>
      <c r="M2053" s="9" t="s">
        <v>1251</v>
      </c>
      <c r="N2053" s="6" t="s">
        <v>1123</v>
      </c>
      <c r="O2053" s="6" t="s">
        <v>1123</v>
      </c>
      <c r="P2053" s="9" t="s">
        <v>60</v>
      </c>
      <c r="Q2053" s="9" t="s">
        <v>49</v>
      </c>
      <c r="R2053" s="9" t="s">
        <v>50</v>
      </c>
      <c r="S2053" s="7" t="s">
        <v>563</v>
      </c>
      <c r="T2053" s="9" t="s">
        <v>48</v>
      </c>
      <c r="U2053" s="7">
        <v>0.69</v>
      </c>
      <c r="V2053" s="12">
        <f>C2053+4</f>
        <v>40151</v>
      </c>
      <c r="W2053">
        <f>IF(D2053=' Pivot Tables'!$A$4,1,0)</f>
        <v>0</v>
      </c>
      <c r="X2053">
        <f>IF(AND(LEFT(D2053,4)+1=LEFT(' Pivot Tables'!$A$4,4)+0,RIGHT(LEFT(D2053,7),2)=RIGHT(LEFT(' Pivot Tables'!$A$4,7),2)),1,0)</f>
        <v>0</v>
      </c>
      <c r="Y2053" s="6">
        <f>1/COUNTIF(Таблица1[Order ID],Таблица1[[#This Row],[Order ID]])</f>
        <v>0.25</v>
      </c>
      <c r="Z2053" s="9">
        <f>1/COUNTIFS(Таблица1[Customer Name],Таблица1[[#This Row],[Customer Name]],Таблица1[Order-Year-Month],Таблица1[[#This Row],[Order-Year-Month]])</f>
        <v>0.25</v>
      </c>
    </row>
    <row r="2054" spans="1:26" x14ac:dyDescent="0.2">
      <c r="A2054" s="6">
        <v>1700</v>
      </c>
      <c r="B2054" s="7">
        <v>12258</v>
      </c>
      <c r="C2054" s="8">
        <f>DATE(2012,12,31)-1127</f>
        <v>40147</v>
      </c>
      <c r="D2054" s="8" t="str">
        <f t="shared" si="40"/>
        <v>2009-11 (ноябрь 2009)</v>
      </c>
      <c r="E2054" s="9" t="s">
        <v>21</v>
      </c>
      <c r="F2054" s="7">
        <v>27</v>
      </c>
      <c r="G2054" s="7">
        <v>113.4</v>
      </c>
      <c r="H2054" s="7">
        <v>0.05</v>
      </c>
      <c r="I2054" s="9" t="s">
        <v>56</v>
      </c>
      <c r="J2054" s="10">
        <v>-5.0199999999999996</v>
      </c>
      <c r="K2054" s="11">
        <v>3.95</v>
      </c>
      <c r="L2054" s="11">
        <v>2</v>
      </c>
      <c r="M2054" s="9" t="s">
        <v>1251</v>
      </c>
      <c r="N2054" s="6" t="s">
        <v>1123</v>
      </c>
      <c r="O2054" s="6" t="s">
        <v>1123</v>
      </c>
      <c r="P2054" s="9" t="s">
        <v>60</v>
      </c>
      <c r="Q2054" s="9" t="s">
        <v>26</v>
      </c>
      <c r="R2054" s="9" t="s">
        <v>66</v>
      </c>
      <c r="S2054" s="7" t="s">
        <v>67</v>
      </c>
      <c r="T2054" s="9" t="s">
        <v>68</v>
      </c>
      <c r="U2054" s="7">
        <v>0.53</v>
      </c>
      <c r="V2054" s="12">
        <f>C2054+7</f>
        <v>40154</v>
      </c>
      <c r="W2054">
        <f>IF(D2054=' Pivot Tables'!$A$4,1,0)</f>
        <v>0</v>
      </c>
      <c r="X2054">
        <f>IF(AND(LEFT(D2054,4)+1=LEFT(' Pivot Tables'!$A$4,4)+0,RIGHT(LEFT(D2054,7),2)=RIGHT(LEFT(' Pivot Tables'!$A$4,7),2)),1,0)</f>
        <v>0</v>
      </c>
      <c r="Y2054" s="6">
        <f>1/COUNTIF(Таблица1[Order ID],Таблица1[[#This Row],[Order ID]])</f>
        <v>0.25</v>
      </c>
      <c r="Z2054" s="9">
        <f>1/COUNTIFS(Таблица1[Customer Name],Таблица1[[#This Row],[Customer Name]],Таблица1[Order-Year-Month],Таблица1[[#This Row],[Order-Year-Month]])</f>
        <v>0.25</v>
      </c>
    </row>
    <row r="2055" spans="1:26" x14ac:dyDescent="0.2">
      <c r="A2055" s="6">
        <v>1709</v>
      </c>
      <c r="B2055" s="7">
        <v>12263</v>
      </c>
      <c r="C2055" s="8">
        <f>DATE(2012,12,31)-544</f>
        <v>40730</v>
      </c>
      <c r="D2055" s="8" t="str">
        <f t="shared" si="40"/>
        <v>2011-07 (июль 2011)</v>
      </c>
      <c r="E2055" s="9" t="s">
        <v>30</v>
      </c>
      <c r="F2055" s="7">
        <v>12</v>
      </c>
      <c r="G2055" s="7">
        <v>515.65</v>
      </c>
      <c r="H2055" s="7">
        <v>0</v>
      </c>
      <c r="I2055" s="9" t="s">
        <v>22</v>
      </c>
      <c r="J2055" s="10">
        <v>123.5</v>
      </c>
      <c r="K2055" s="11">
        <v>39.479999999999997</v>
      </c>
      <c r="L2055" s="11">
        <v>3.99</v>
      </c>
      <c r="M2055" s="9" t="s">
        <v>1293</v>
      </c>
      <c r="N2055" s="6" t="s">
        <v>1123</v>
      </c>
      <c r="O2055" s="6" t="s">
        <v>1123</v>
      </c>
      <c r="P2055" s="9" t="s">
        <v>41</v>
      </c>
      <c r="Q2055" s="9" t="s">
        <v>26</v>
      </c>
      <c r="R2055" s="9" t="s">
        <v>34</v>
      </c>
      <c r="S2055" s="7" t="s">
        <v>1294</v>
      </c>
      <c r="T2055" s="9" t="s">
        <v>39</v>
      </c>
      <c r="U2055" s="7">
        <v>0.56000000000000005</v>
      </c>
      <c r="V2055" s="12">
        <f>C2055+0</f>
        <v>40730</v>
      </c>
      <c r="W2055">
        <f>IF(D2055=' Pivot Tables'!$A$4,1,0)</f>
        <v>0</v>
      </c>
      <c r="X2055">
        <f>IF(AND(LEFT(D2055,4)+1=LEFT(' Pivot Tables'!$A$4,4)+0,RIGHT(LEFT(D2055,7),2)=RIGHT(LEFT(' Pivot Tables'!$A$4,7),2)),1,0)</f>
        <v>0</v>
      </c>
      <c r="Y2055" s="6">
        <f>1/COUNTIF(Таблица1[Order ID],Таблица1[[#This Row],[Order ID]])</f>
        <v>1</v>
      </c>
      <c r="Z2055" s="9">
        <f>1/COUNTIFS(Таблица1[Customer Name],Таблица1[[#This Row],[Customer Name]],Таблица1[Order-Year-Month],Таблица1[[#This Row],[Order-Year-Month]])</f>
        <v>1</v>
      </c>
    </row>
    <row r="2056" spans="1:26" x14ac:dyDescent="0.2">
      <c r="A2056" s="6">
        <v>1752</v>
      </c>
      <c r="B2056" s="7">
        <v>12551</v>
      </c>
      <c r="C2056" s="8">
        <f>DATE(2012,12,31)-203</f>
        <v>41071</v>
      </c>
      <c r="D2056" s="8" t="str">
        <f t="shared" si="40"/>
        <v>2012-06 (июнь 2012)</v>
      </c>
      <c r="E2056" s="9" t="s">
        <v>21</v>
      </c>
      <c r="F2056" s="7">
        <v>46</v>
      </c>
      <c r="G2056" s="7">
        <v>5023.2534999999998</v>
      </c>
      <c r="H2056" s="7">
        <v>0.01</v>
      </c>
      <c r="I2056" s="9" t="s">
        <v>22</v>
      </c>
      <c r="J2056" s="10">
        <v>1665.2249999999999</v>
      </c>
      <c r="K2056" s="11">
        <v>125.99</v>
      </c>
      <c r="L2056" s="11">
        <v>5.26</v>
      </c>
      <c r="M2056" s="9" t="s">
        <v>1295</v>
      </c>
      <c r="N2056" s="6" t="s">
        <v>1123</v>
      </c>
      <c r="O2056" s="6" t="s">
        <v>1123</v>
      </c>
      <c r="P2056" s="9" t="s">
        <v>25</v>
      </c>
      <c r="Q2056" s="9" t="s">
        <v>42</v>
      </c>
      <c r="R2056" s="9" t="s">
        <v>43</v>
      </c>
      <c r="S2056" s="7" t="s">
        <v>1069</v>
      </c>
      <c r="T2056" s="9" t="s">
        <v>39</v>
      </c>
      <c r="U2056" s="7">
        <v>0.55000000000000004</v>
      </c>
      <c r="V2056" s="12">
        <f>C2056+7</f>
        <v>41078</v>
      </c>
      <c r="W2056">
        <f>IF(D2056=' Pivot Tables'!$A$4,1,0)</f>
        <v>0</v>
      </c>
      <c r="X2056">
        <f>IF(AND(LEFT(D2056,4)+1=LEFT(' Pivot Tables'!$A$4,4)+0,RIGHT(LEFT(D2056,7),2)=RIGHT(LEFT(' Pivot Tables'!$A$4,7),2)),1,0)</f>
        <v>0</v>
      </c>
      <c r="Y2056" s="6">
        <f>1/COUNTIF(Таблица1[Order ID],Таблица1[[#This Row],[Order ID]])</f>
        <v>1</v>
      </c>
      <c r="Z2056" s="9">
        <f>1/COUNTIFS(Таблица1[Customer Name],Таблица1[[#This Row],[Customer Name]],Таблица1[Order-Year-Month],Таблица1[[#This Row],[Order-Year-Month]])</f>
        <v>1</v>
      </c>
    </row>
    <row r="2057" spans="1:26" x14ac:dyDescent="0.2">
      <c r="A2057" s="6">
        <v>1778</v>
      </c>
      <c r="B2057" s="7">
        <v>12736</v>
      </c>
      <c r="C2057" s="8">
        <f>DATE(2012,12,31)-1029</f>
        <v>40245</v>
      </c>
      <c r="D2057" s="8" t="str">
        <f t="shared" si="40"/>
        <v>2010-03 (март 2010)</v>
      </c>
      <c r="E2057" s="9" t="s">
        <v>21</v>
      </c>
      <c r="F2057" s="7">
        <v>2</v>
      </c>
      <c r="G2057" s="7">
        <v>25.52</v>
      </c>
      <c r="H2057" s="7">
        <v>0.01</v>
      </c>
      <c r="I2057" s="9" t="s">
        <v>22</v>
      </c>
      <c r="J2057" s="10">
        <v>21.77</v>
      </c>
      <c r="K2057" s="11">
        <v>9.65</v>
      </c>
      <c r="L2057" s="11">
        <v>6.22</v>
      </c>
      <c r="M2057" s="9" t="s">
        <v>1244</v>
      </c>
      <c r="N2057" s="6" t="s">
        <v>1123</v>
      </c>
      <c r="O2057" s="6" t="s">
        <v>1123</v>
      </c>
      <c r="P2057" s="9" t="s">
        <v>25</v>
      </c>
      <c r="Q2057" s="9" t="s">
        <v>49</v>
      </c>
      <c r="R2057" s="9" t="s">
        <v>50</v>
      </c>
      <c r="S2057" s="7" t="s">
        <v>138</v>
      </c>
      <c r="T2057" s="9" t="s">
        <v>39</v>
      </c>
      <c r="U2057" s="7">
        <v>0.55000000000000004</v>
      </c>
      <c r="V2057" s="12">
        <f>C2057+7</f>
        <v>40252</v>
      </c>
      <c r="W2057">
        <f>IF(D2057=' Pivot Tables'!$A$4,1,0)</f>
        <v>0</v>
      </c>
      <c r="X2057">
        <f>IF(AND(LEFT(D2057,4)+1=LEFT(' Pivot Tables'!$A$4,4)+0,RIGHT(LEFT(D2057,7),2)=RIGHT(LEFT(' Pivot Tables'!$A$4,7),2)),1,0)</f>
        <v>0</v>
      </c>
      <c r="Y2057" s="6">
        <f>1/COUNTIF(Таблица1[Order ID],Таблица1[[#This Row],[Order ID]])</f>
        <v>1</v>
      </c>
      <c r="Z2057" s="9">
        <f>1/COUNTIFS(Таблица1[Customer Name],Таблица1[[#This Row],[Customer Name]],Таблица1[Order-Year-Month],Таблица1[[#This Row],[Order-Year-Month]])</f>
        <v>1</v>
      </c>
    </row>
    <row r="2058" spans="1:26" x14ac:dyDescent="0.2">
      <c r="A2058" s="6">
        <v>1780</v>
      </c>
      <c r="B2058" s="7">
        <v>12768</v>
      </c>
      <c r="C2058" s="8">
        <f>DATE(2012,12,31)-1363</f>
        <v>39911</v>
      </c>
      <c r="D2058" s="8" t="str">
        <f t="shared" si="40"/>
        <v>2009-04 (апрель 2009)</v>
      </c>
      <c r="E2058" s="9" t="s">
        <v>78</v>
      </c>
      <c r="F2058" s="7">
        <v>34</v>
      </c>
      <c r="G2058" s="7">
        <v>1562.97</v>
      </c>
      <c r="H2058" s="7">
        <v>0.01</v>
      </c>
      <c r="I2058" s="9" t="s">
        <v>56</v>
      </c>
      <c r="J2058" s="10">
        <v>501.59</v>
      </c>
      <c r="K2058" s="11">
        <v>42.98</v>
      </c>
      <c r="L2058" s="11">
        <v>4.62</v>
      </c>
      <c r="M2058" s="9" t="s">
        <v>1251</v>
      </c>
      <c r="N2058" s="6" t="s">
        <v>1123</v>
      </c>
      <c r="O2058" s="6" t="s">
        <v>1123</v>
      </c>
      <c r="P2058" s="9" t="s">
        <v>41</v>
      </c>
      <c r="Q2058" s="9" t="s">
        <v>26</v>
      </c>
      <c r="R2058" s="9" t="s">
        <v>34</v>
      </c>
      <c r="S2058" s="7" t="s">
        <v>852</v>
      </c>
      <c r="T2058" s="9" t="s">
        <v>39</v>
      </c>
      <c r="U2058" s="7">
        <v>0.56000000000000005</v>
      </c>
      <c r="V2058" s="12">
        <f>C2058+2</f>
        <v>39913</v>
      </c>
      <c r="W2058">
        <f>IF(D2058=' Pivot Tables'!$A$4,1,0)</f>
        <v>0</v>
      </c>
      <c r="X2058">
        <f>IF(AND(LEFT(D2058,4)+1=LEFT(' Pivot Tables'!$A$4,4)+0,RIGHT(LEFT(D2058,7),2)=RIGHT(LEFT(' Pivot Tables'!$A$4,7),2)),1,0)</f>
        <v>0</v>
      </c>
      <c r="Y2058" s="6">
        <f>1/COUNTIF(Таблица1[Order ID],Таблица1[[#This Row],[Order ID]])</f>
        <v>1</v>
      </c>
      <c r="Z2058" s="9">
        <f>1/COUNTIFS(Таблица1[Customer Name],Таблица1[[#This Row],[Customer Name]],Таблица1[Order-Year-Month],Таблица1[[#This Row],[Order-Year-Month]])</f>
        <v>0.5</v>
      </c>
    </row>
    <row r="2059" spans="1:26" x14ac:dyDescent="0.2">
      <c r="A2059" s="6">
        <v>1792</v>
      </c>
      <c r="B2059" s="7">
        <v>12837</v>
      </c>
      <c r="C2059" s="8">
        <f>DATE(2012,12,31)-29</f>
        <v>41245</v>
      </c>
      <c r="D2059" s="8" t="str">
        <f t="shared" si="40"/>
        <v>2012-12 (декабрь 2012)</v>
      </c>
      <c r="E2059" s="9" t="s">
        <v>63</v>
      </c>
      <c r="F2059" s="7">
        <v>22</v>
      </c>
      <c r="G2059" s="7">
        <v>66.19</v>
      </c>
      <c r="H2059" s="7">
        <v>0.02</v>
      </c>
      <c r="I2059" s="9" t="s">
        <v>22</v>
      </c>
      <c r="J2059" s="10">
        <v>15.84</v>
      </c>
      <c r="K2059" s="11">
        <v>2.88</v>
      </c>
      <c r="L2059" s="11">
        <v>0.99</v>
      </c>
      <c r="M2059" s="9" t="s">
        <v>1296</v>
      </c>
      <c r="N2059" s="6" t="s">
        <v>1123</v>
      </c>
      <c r="O2059" s="6" t="s">
        <v>1123</v>
      </c>
      <c r="P2059" s="9" t="s">
        <v>60</v>
      </c>
      <c r="Q2059" s="9" t="s">
        <v>26</v>
      </c>
      <c r="R2059" s="9" t="s">
        <v>88</v>
      </c>
      <c r="S2059" s="7" t="s">
        <v>300</v>
      </c>
      <c r="T2059" s="9" t="s">
        <v>39</v>
      </c>
      <c r="U2059" s="7">
        <v>0.36</v>
      </c>
      <c r="V2059" s="12">
        <f>C2059+1</f>
        <v>41246</v>
      </c>
      <c r="W2059">
        <f>IF(D2059=' Pivot Tables'!$A$4,1,0)</f>
        <v>0</v>
      </c>
      <c r="X2059">
        <f>IF(AND(LEFT(D2059,4)+1=LEFT(' Pivot Tables'!$A$4,4)+0,RIGHT(LEFT(D2059,7),2)=RIGHT(LEFT(' Pivot Tables'!$A$4,7),2)),1,0)</f>
        <v>0</v>
      </c>
      <c r="Y2059" s="6">
        <f>1/COUNTIF(Таблица1[Order ID],Таблица1[[#This Row],[Order ID]])</f>
        <v>0.5</v>
      </c>
      <c r="Z2059" s="9">
        <f>1/COUNTIFS(Таблица1[Customer Name],Таблица1[[#This Row],[Customer Name]],Таблица1[Order-Year-Month],Таблица1[[#This Row],[Order-Year-Month]])</f>
        <v>0.5</v>
      </c>
    </row>
    <row r="2060" spans="1:26" x14ac:dyDescent="0.2">
      <c r="A2060" s="6">
        <v>1799</v>
      </c>
      <c r="B2060" s="7">
        <v>12897</v>
      </c>
      <c r="C2060" s="8">
        <f>DATE(2012,12,31)-532</f>
        <v>40742</v>
      </c>
      <c r="D2060" s="8" t="str">
        <f t="shared" si="40"/>
        <v>2011-07 (июль 2011)</v>
      </c>
      <c r="E2060" s="9" t="s">
        <v>45</v>
      </c>
      <c r="F2060" s="7">
        <v>39</v>
      </c>
      <c r="G2060" s="7">
        <v>141.49</v>
      </c>
      <c r="H2060" s="7">
        <v>0.03</v>
      </c>
      <c r="I2060" s="9" t="s">
        <v>22</v>
      </c>
      <c r="J2060" s="10">
        <v>59.92</v>
      </c>
      <c r="K2060" s="11">
        <v>3.69</v>
      </c>
      <c r="L2060" s="11">
        <v>0.5</v>
      </c>
      <c r="M2060" s="9" t="s">
        <v>1262</v>
      </c>
      <c r="N2060" s="6" t="s">
        <v>1123</v>
      </c>
      <c r="O2060" s="6" t="s">
        <v>1123</v>
      </c>
      <c r="P2060" s="9" t="s">
        <v>41</v>
      </c>
      <c r="Q2060" s="9" t="s">
        <v>26</v>
      </c>
      <c r="R2060" s="9" t="s">
        <v>88</v>
      </c>
      <c r="S2060" s="7" t="s">
        <v>202</v>
      </c>
      <c r="T2060" s="9" t="s">
        <v>39</v>
      </c>
      <c r="U2060" s="7">
        <v>0.38</v>
      </c>
      <c r="V2060" s="12">
        <f>C2060+1</f>
        <v>40743</v>
      </c>
      <c r="W2060">
        <f>IF(D2060=' Pivot Tables'!$A$4,1,0)</f>
        <v>0</v>
      </c>
      <c r="X2060">
        <f>IF(AND(LEFT(D2060,4)+1=LEFT(' Pivot Tables'!$A$4,4)+0,RIGHT(LEFT(D2060,7),2)=RIGHT(LEFT(' Pivot Tables'!$A$4,7),2)),1,0)</f>
        <v>0</v>
      </c>
      <c r="Y2060" s="6">
        <f>1/COUNTIF(Таблица1[Order ID],Таблица1[[#This Row],[Order ID]])</f>
        <v>0.5</v>
      </c>
      <c r="Z2060" s="9">
        <f>1/COUNTIFS(Таблица1[Customer Name],Таблица1[[#This Row],[Customer Name]],Таблица1[Order-Year-Month],Таблица1[[#This Row],[Order-Year-Month]])</f>
        <v>0.5</v>
      </c>
    </row>
    <row r="2061" spans="1:26" x14ac:dyDescent="0.2">
      <c r="A2061" s="6">
        <v>1800</v>
      </c>
      <c r="B2061" s="7">
        <v>12897</v>
      </c>
      <c r="C2061" s="8">
        <f>DATE(2012,12,31)-532</f>
        <v>40742</v>
      </c>
      <c r="D2061" s="8" t="str">
        <f t="shared" si="40"/>
        <v>2011-07 (июль 2011)</v>
      </c>
      <c r="E2061" s="9" t="s">
        <v>45</v>
      </c>
      <c r="F2061" s="7">
        <v>31</v>
      </c>
      <c r="G2061" s="7">
        <v>211.55</v>
      </c>
      <c r="H2061" s="7">
        <v>0.05</v>
      </c>
      <c r="I2061" s="9" t="s">
        <v>56</v>
      </c>
      <c r="J2061" s="10">
        <v>-120.95</v>
      </c>
      <c r="K2061" s="11">
        <v>6.48</v>
      </c>
      <c r="L2061" s="11">
        <v>7.91</v>
      </c>
      <c r="M2061" s="9" t="s">
        <v>1262</v>
      </c>
      <c r="N2061" s="6" t="s">
        <v>1123</v>
      </c>
      <c r="O2061" s="6" t="s">
        <v>1123</v>
      </c>
      <c r="P2061" s="9" t="s">
        <v>41</v>
      </c>
      <c r="Q2061" s="9" t="s">
        <v>26</v>
      </c>
      <c r="R2061" s="9" t="s">
        <v>61</v>
      </c>
      <c r="S2061" s="7" t="s">
        <v>1297</v>
      </c>
      <c r="T2061" s="9" t="s">
        <v>39</v>
      </c>
      <c r="U2061" s="7">
        <v>0.37</v>
      </c>
      <c r="V2061" s="12">
        <f>C2061+1</f>
        <v>40743</v>
      </c>
      <c r="W2061">
        <f>IF(D2061=' Pivot Tables'!$A$4,1,0)</f>
        <v>0</v>
      </c>
      <c r="X2061">
        <f>IF(AND(LEFT(D2061,4)+1=LEFT(' Pivot Tables'!$A$4,4)+0,RIGHT(LEFT(D2061,7),2)=RIGHT(LEFT(' Pivot Tables'!$A$4,7),2)),1,0)</f>
        <v>0</v>
      </c>
      <c r="Y2061" s="6">
        <f>1/COUNTIF(Таблица1[Order ID],Таблица1[[#This Row],[Order ID]])</f>
        <v>0.5</v>
      </c>
      <c r="Z2061" s="9">
        <f>1/COUNTIFS(Таблица1[Customer Name],Таблица1[[#This Row],[Customer Name]],Таблица1[Order-Year-Month],Таблица1[[#This Row],[Order-Year-Month]])</f>
        <v>0.5</v>
      </c>
    </row>
    <row r="2062" spans="1:26" x14ac:dyDescent="0.2">
      <c r="A2062" s="6">
        <v>1817</v>
      </c>
      <c r="B2062" s="7">
        <v>13030</v>
      </c>
      <c r="C2062" s="8">
        <f>DATE(2012,12,31)-1258</f>
        <v>40016</v>
      </c>
      <c r="D2062" s="8" t="str">
        <f t="shared" si="40"/>
        <v>2009-07 (июль 2009)</v>
      </c>
      <c r="E2062" s="9" t="s">
        <v>63</v>
      </c>
      <c r="F2062" s="7">
        <v>32</v>
      </c>
      <c r="G2062" s="7">
        <v>136.19999999999999</v>
      </c>
      <c r="H2062" s="7">
        <v>0.09</v>
      </c>
      <c r="I2062" s="9" t="s">
        <v>56</v>
      </c>
      <c r="J2062" s="10">
        <v>-154.30700000000002</v>
      </c>
      <c r="K2062" s="11">
        <v>3.89</v>
      </c>
      <c r="L2062" s="11">
        <v>7.01</v>
      </c>
      <c r="M2062" s="9" t="s">
        <v>1274</v>
      </c>
      <c r="N2062" s="6" t="s">
        <v>1123</v>
      </c>
      <c r="O2062" s="6" t="s">
        <v>1123</v>
      </c>
      <c r="P2062" s="9" t="s">
        <v>60</v>
      </c>
      <c r="Q2062" s="9" t="s">
        <v>26</v>
      </c>
      <c r="R2062" s="9" t="s">
        <v>37</v>
      </c>
      <c r="S2062" s="7" t="s">
        <v>115</v>
      </c>
      <c r="T2062" s="9" t="s">
        <v>39</v>
      </c>
      <c r="U2062" s="7">
        <v>0.37</v>
      </c>
      <c r="V2062" s="12">
        <f>C2062+2</f>
        <v>40018</v>
      </c>
      <c r="W2062">
        <f>IF(D2062=' Pivot Tables'!$A$4,1,0)</f>
        <v>0</v>
      </c>
      <c r="X2062">
        <f>IF(AND(LEFT(D2062,4)+1=LEFT(' Pivot Tables'!$A$4,4)+0,RIGHT(LEFT(D2062,7),2)=RIGHT(LEFT(' Pivot Tables'!$A$4,7),2)),1,0)</f>
        <v>0</v>
      </c>
      <c r="Y2062" s="6">
        <f>1/COUNTIF(Таблица1[Order ID],Таблица1[[#This Row],[Order ID]])</f>
        <v>1</v>
      </c>
      <c r="Z2062" s="9">
        <f>1/COUNTIFS(Таблица1[Customer Name],Таблица1[[#This Row],[Customer Name]],Таблица1[Order-Year-Month],Таблица1[[#This Row],[Order-Year-Month]])</f>
        <v>0.5</v>
      </c>
    </row>
    <row r="2063" spans="1:26" x14ac:dyDescent="0.2">
      <c r="A2063" s="6">
        <v>1823</v>
      </c>
      <c r="B2063" s="7">
        <v>13091</v>
      </c>
      <c r="C2063" s="8">
        <f>DATE(2012,12,31)-1142</f>
        <v>40132</v>
      </c>
      <c r="D2063" s="8" t="str">
        <f t="shared" si="40"/>
        <v>2009-11 (ноябрь 2009)</v>
      </c>
      <c r="E2063" s="9" t="s">
        <v>63</v>
      </c>
      <c r="F2063" s="7">
        <v>12</v>
      </c>
      <c r="G2063" s="7">
        <v>81.430000000000007</v>
      </c>
      <c r="H2063" s="7">
        <v>0.08</v>
      </c>
      <c r="I2063" s="9" t="s">
        <v>22</v>
      </c>
      <c r="J2063" s="10">
        <v>-44.66</v>
      </c>
      <c r="K2063" s="11">
        <v>6.48</v>
      </c>
      <c r="L2063" s="11">
        <v>7.03</v>
      </c>
      <c r="M2063" s="9" t="s">
        <v>1298</v>
      </c>
      <c r="N2063" s="6" t="s">
        <v>1123</v>
      </c>
      <c r="O2063" s="6" t="s">
        <v>1123</v>
      </c>
      <c r="P2063" s="9" t="s">
        <v>41</v>
      </c>
      <c r="Q2063" s="9" t="s">
        <v>26</v>
      </c>
      <c r="R2063" s="9" t="s">
        <v>61</v>
      </c>
      <c r="S2063" s="7" t="s">
        <v>170</v>
      </c>
      <c r="T2063" s="9" t="s">
        <v>39</v>
      </c>
      <c r="U2063" s="7">
        <v>0.37</v>
      </c>
      <c r="V2063" s="12">
        <f>C2063+1</f>
        <v>40133</v>
      </c>
      <c r="W2063">
        <f>IF(D2063=' Pivot Tables'!$A$4,1,0)</f>
        <v>0</v>
      </c>
      <c r="X2063">
        <f>IF(AND(LEFT(D2063,4)+1=LEFT(' Pivot Tables'!$A$4,4)+0,RIGHT(LEFT(D2063,7),2)=RIGHT(LEFT(' Pivot Tables'!$A$4,7),2)),1,0)</f>
        <v>0</v>
      </c>
      <c r="Y2063" s="6">
        <f>1/COUNTIF(Таблица1[Order ID],Таблица1[[#This Row],[Order ID]])</f>
        <v>0.5</v>
      </c>
      <c r="Z2063" s="9">
        <f>1/COUNTIFS(Таблица1[Customer Name],Таблица1[[#This Row],[Customer Name]],Таблица1[Order-Year-Month],Таблица1[[#This Row],[Order-Year-Month]])</f>
        <v>0.5</v>
      </c>
    </row>
    <row r="2064" spans="1:26" x14ac:dyDescent="0.2">
      <c r="A2064" s="6">
        <v>1824</v>
      </c>
      <c r="B2064" s="7">
        <v>13091</v>
      </c>
      <c r="C2064" s="8">
        <f>DATE(2012,12,31)-1142</f>
        <v>40132</v>
      </c>
      <c r="D2064" s="8" t="str">
        <f t="shared" si="40"/>
        <v>2009-11 (ноябрь 2009)</v>
      </c>
      <c r="E2064" s="9" t="s">
        <v>63</v>
      </c>
      <c r="F2064" s="7">
        <v>39</v>
      </c>
      <c r="G2064" s="7">
        <v>883.15</v>
      </c>
      <c r="H2064" s="7">
        <v>0.01</v>
      </c>
      <c r="I2064" s="9" t="s">
        <v>22</v>
      </c>
      <c r="J2064" s="10">
        <v>-1148.19</v>
      </c>
      <c r="K2064" s="11">
        <v>20.34</v>
      </c>
      <c r="L2064" s="11">
        <v>35</v>
      </c>
      <c r="M2064" s="9" t="s">
        <v>1298</v>
      </c>
      <c r="N2064" s="6" t="s">
        <v>1123</v>
      </c>
      <c r="O2064" s="6" t="s">
        <v>1123</v>
      </c>
      <c r="P2064" s="9" t="s">
        <v>41</v>
      </c>
      <c r="Q2064" s="9" t="s">
        <v>26</v>
      </c>
      <c r="R2064" s="9" t="s">
        <v>27</v>
      </c>
      <c r="S2064" s="7" t="s">
        <v>693</v>
      </c>
      <c r="T2064" s="9" t="s">
        <v>29</v>
      </c>
      <c r="U2064" s="7">
        <v>0.84</v>
      </c>
      <c r="V2064" s="12">
        <f>C2064+1</f>
        <v>40133</v>
      </c>
      <c r="W2064">
        <f>IF(D2064=' Pivot Tables'!$A$4,1,0)</f>
        <v>0</v>
      </c>
      <c r="X2064">
        <f>IF(AND(LEFT(D2064,4)+1=LEFT(' Pivot Tables'!$A$4,4)+0,RIGHT(LEFT(D2064,7),2)=RIGHT(LEFT(' Pivot Tables'!$A$4,7),2)),1,0)</f>
        <v>0</v>
      </c>
      <c r="Y2064" s="6">
        <f>1/COUNTIF(Таблица1[Order ID],Таблица1[[#This Row],[Order ID]])</f>
        <v>0.5</v>
      </c>
      <c r="Z2064" s="9">
        <f>1/COUNTIFS(Таблица1[Customer Name],Таблица1[[#This Row],[Customer Name]],Таблица1[Order-Year-Month],Таблица1[[#This Row],[Order-Year-Month]])</f>
        <v>0.5</v>
      </c>
    </row>
    <row r="2065" spans="1:26" x14ac:dyDescent="0.2">
      <c r="A2065" s="6">
        <v>1862</v>
      </c>
      <c r="B2065" s="7">
        <v>13383</v>
      </c>
      <c r="C2065" s="8">
        <f>DATE(2012,12,31)-199</f>
        <v>41075</v>
      </c>
      <c r="D2065" s="8" t="str">
        <f t="shared" si="40"/>
        <v>2012-06 (июнь 2012)</v>
      </c>
      <c r="E2065" s="9" t="s">
        <v>45</v>
      </c>
      <c r="F2065" s="7">
        <v>35</v>
      </c>
      <c r="G2065" s="7">
        <v>750.03</v>
      </c>
      <c r="H2065" s="7">
        <v>7.0000000000000007E-2</v>
      </c>
      <c r="I2065" s="9" t="s">
        <v>22</v>
      </c>
      <c r="J2065" s="10">
        <v>-1072.97</v>
      </c>
      <c r="K2065" s="11">
        <v>20.34</v>
      </c>
      <c r="L2065" s="11">
        <v>35</v>
      </c>
      <c r="M2065" s="9" t="s">
        <v>1248</v>
      </c>
      <c r="N2065" s="6" t="s">
        <v>1123</v>
      </c>
      <c r="O2065" s="6" t="s">
        <v>1123</v>
      </c>
      <c r="P2065" s="9" t="s">
        <v>33</v>
      </c>
      <c r="Q2065" s="9" t="s">
        <v>26</v>
      </c>
      <c r="R2065" s="9" t="s">
        <v>27</v>
      </c>
      <c r="S2065" s="7" t="s">
        <v>693</v>
      </c>
      <c r="T2065" s="9" t="s">
        <v>29</v>
      </c>
      <c r="U2065" s="7">
        <v>0.84</v>
      </c>
      <c r="V2065" s="12">
        <f>C2065+2</f>
        <v>41077</v>
      </c>
      <c r="W2065">
        <f>IF(D2065=' Pivot Tables'!$A$4,1,0)</f>
        <v>0</v>
      </c>
      <c r="X2065">
        <f>IF(AND(LEFT(D2065,4)+1=LEFT(' Pivot Tables'!$A$4,4)+0,RIGHT(LEFT(D2065,7),2)=RIGHT(LEFT(' Pivot Tables'!$A$4,7),2)),1,0)</f>
        <v>0</v>
      </c>
      <c r="Y2065" s="6">
        <f>1/COUNTIF(Таблица1[Order ID],Таблица1[[#This Row],[Order ID]])</f>
        <v>1</v>
      </c>
      <c r="Z2065" s="9">
        <f>1/COUNTIFS(Таблица1[Customer Name],Таблица1[[#This Row],[Customer Name]],Таблица1[Order-Year-Month],Таблица1[[#This Row],[Order-Year-Month]])</f>
        <v>1</v>
      </c>
    </row>
    <row r="2066" spans="1:26" x14ac:dyDescent="0.2">
      <c r="A2066" s="6">
        <v>1867</v>
      </c>
      <c r="B2066" s="7">
        <v>13440</v>
      </c>
      <c r="C2066" s="8">
        <f>DATE(2012,12,31)-810</f>
        <v>40464</v>
      </c>
      <c r="D2066" s="8" t="str">
        <f t="shared" si="40"/>
        <v>2010-10 (октябрь 2010)</v>
      </c>
      <c r="E2066" s="9" t="s">
        <v>45</v>
      </c>
      <c r="F2066" s="7">
        <v>22</v>
      </c>
      <c r="G2066" s="7">
        <v>971.82</v>
      </c>
      <c r="H2066" s="7">
        <v>7.0000000000000007E-2</v>
      </c>
      <c r="I2066" s="9" t="s">
        <v>22</v>
      </c>
      <c r="J2066" s="10">
        <v>326.39</v>
      </c>
      <c r="K2066" s="11">
        <v>43.98</v>
      </c>
      <c r="L2066" s="11">
        <v>1.99</v>
      </c>
      <c r="M2066" s="9" t="s">
        <v>1299</v>
      </c>
      <c r="N2066" s="6" t="s">
        <v>1123</v>
      </c>
      <c r="O2066" s="6" t="s">
        <v>1123</v>
      </c>
      <c r="P2066" s="9" t="s">
        <v>33</v>
      </c>
      <c r="Q2066" s="9" t="s">
        <v>42</v>
      </c>
      <c r="R2066" s="9" t="s">
        <v>70</v>
      </c>
      <c r="S2066" s="7" t="s">
        <v>246</v>
      </c>
      <c r="T2066" s="9" t="s">
        <v>52</v>
      </c>
      <c r="U2066" s="7">
        <v>0.44</v>
      </c>
      <c r="V2066" s="12">
        <f>C2066+2</f>
        <v>40466</v>
      </c>
      <c r="W2066">
        <f>IF(D2066=' Pivot Tables'!$A$4,1,0)</f>
        <v>0</v>
      </c>
      <c r="X2066">
        <f>IF(AND(LEFT(D2066,4)+1=LEFT(' Pivot Tables'!$A$4,4)+0,RIGHT(LEFT(D2066,7),2)=RIGHT(LEFT(' Pivot Tables'!$A$4,7),2)),1,0)</f>
        <v>0</v>
      </c>
      <c r="Y2066" s="6">
        <f>1/COUNTIF(Таблица1[Order ID],Таблица1[[#This Row],[Order ID]])</f>
        <v>1</v>
      </c>
      <c r="Z2066" s="9">
        <f>1/COUNTIFS(Таблица1[Customer Name],Таблица1[[#This Row],[Customer Name]],Таблица1[Order-Year-Month],Таблица1[[#This Row],[Order-Year-Month]])</f>
        <v>1</v>
      </c>
    </row>
    <row r="2067" spans="1:26" x14ac:dyDescent="0.2">
      <c r="A2067" s="6">
        <v>1874</v>
      </c>
      <c r="B2067" s="7">
        <v>13479</v>
      </c>
      <c r="C2067" s="8">
        <f>DATE(2012,12,31)-1123</f>
        <v>40151</v>
      </c>
      <c r="D2067" s="8" t="str">
        <f t="shared" si="40"/>
        <v>2009-12 (декабрь 2009)</v>
      </c>
      <c r="E2067" s="9" t="s">
        <v>30</v>
      </c>
      <c r="F2067" s="7">
        <v>3</v>
      </c>
      <c r="G2067" s="7">
        <v>292.95999999999998</v>
      </c>
      <c r="H2067" s="7">
        <v>0.09</v>
      </c>
      <c r="I2067" s="9" t="s">
        <v>22</v>
      </c>
      <c r="J2067" s="10">
        <v>-322.95</v>
      </c>
      <c r="K2067" s="11">
        <v>99.99</v>
      </c>
      <c r="L2067" s="11">
        <v>19.989999999999998</v>
      </c>
      <c r="M2067" s="9" t="s">
        <v>1277</v>
      </c>
      <c r="N2067" s="6" t="s">
        <v>1123</v>
      </c>
      <c r="O2067" s="6" t="s">
        <v>1123</v>
      </c>
      <c r="P2067" s="9" t="s">
        <v>33</v>
      </c>
      <c r="Q2067" s="9" t="s">
        <v>42</v>
      </c>
      <c r="R2067" s="9" t="s">
        <v>70</v>
      </c>
      <c r="S2067" s="7" t="s">
        <v>337</v>
      </c>
      <c r="T2067" s="9" t="s">
        <v>39</v>
      </c>
      <c r="U2067" s="7">
        <v>0.52</v>
      </c>
      <c r="V2067" s="12">
        <f>C2067+2</f>
        <v>40153</v>
      </c>
      <c r="W2067">
        <f>IF(D2067=' Pivot Tables'!$A$4,1,0)</f>
        <v>0</v>
      </c>
      <c r="X2067">
        <f>IF(AND(LEFT(D2067,4)+1=LEFT(' Pivot Tables'!$A$4,4)+0,RIGHT(LEFT(D2067,7),2)=RIGHT(LEFT(' Pivot Tables'!$A$4,7),2)),1,0)</f>
        <v>0</v>
      </c>
      <c r="Y2067" s="6">
        <f>1/COUNTIF(Таблица1[Order ID],Таблица1[[#This Row],[Order ID]])</f>
        <v>0.5</v>
      </c>
      <c r="Z2067" s="9">
        <f>1/COUNTIFS(Таблица1[Customer Name],Таблица1[[#This Row],[Customer Name]],Таблица1[Order-Year-Month],Таблица1[[#This Row],[Order-Year-Month]])</f>
        <v>0.5</v>
      </c>
    </row>
    <row r="2068" spans="1:26" x14ac:dyDescent="0.2">
      <c r="A2068" s="6">
        <v>1875</v>
      </c>
      <c r="B2068" s="7">
        <v>13479</v>
      </c>
      <c r="C2068" s="8">
        <f>DATE(2012,12,31)-1123</f>
        <v>40151</v>
      </c>
      <c r="D2068" s="8" t="str">
        <f t="shared" si="40"/>
        <v>2009-12 (декабрь 2009)</v>
      </c>
      <c r="E2068" s="9" t="s">
        <v>30</v>
      </c>
      <c r="F2068" s="7">
        <v>13</v>
      </c>
      <c r="G2068" s="7">
        <v>2206.991</v>
      </c>
      <c r="H2068" s="7">
        <v>0.04</v>
      </c>
      <c r="I2068" s="9" t="s">
        <v>22</v>
      </c>
      <c r="J2068" s="10">
        <v>-1.6280000000000201</v>
      </c>
      <c r="K2068" s="11">
        <v>205.99</v>
      </c>
      <c r="L2068" s="11">
        <v>5.26</v>
      </c>
      <c r="M2068" s="9" t="s">
        <v>1277</v>
      </c>
      <c r="N2068" s="6" t="s">
        <v>1123</v>
      </c>
      <c r="O2068" s="6" t="s">
        <v>1123</v>
      </c>
      <c r="P2068" s="9" t="s">
        <v>33</v>
      </c>
      <c r="Q2068" s="9" t="s">
        <v>42</v>
      </c>
      <c r="R2068" s="9" t="s">
        <v>43</v>
      </c>
      <c r="S2068" s="7" t="s">
        <v>329</v>
      </c>
      <c r="T2068" s="9" t="s">
        <v>39</v>
      </c>
      <c r="U2068" s="7">
        <v>0.56000000000000005</v>
      </c>
      <c r="V2068" s="12">
        <f>C2068+1</f>
        <v>40152</v>
      </c>
      <c r="W2068">
        <f>IF(D2068=' Pivot Tables'!$A$4,1,0)</f>
        <v>0</v>
      </c>
      <c r="X2068">
        <f>IF(AND(LEFT(D2068,4)+1=LEFT(' Pivot Tables'!$A$4,4)+0,RIGHT(LEFT(D2068,7),2)=RIGHT(LEFT(' Pivot Tables'!$A$4,7),2)),1,0)</f>
        <v>0</v>
      </c>
      <c r="Y2068" s="6">
        <f>1/COUNTIF(Таблица1[Order ID],Таблица1[[#This Row],[Order ID]])</f>
        <v>0.5</v>
      </c>
      <c r="Z2068" s="9">
        <f>1/COUNTIFS(Таблица1[Customer Name],Таблица1[[#This Row],[Customer Name]],Таблица1[Order-Year-Month],Таблица1[[#This Row],[Order-Year-Month]])</f>
        <v>0.5</v>
      </c>
    </row>
    <row r="2069" spans="1:26" x14ac:dyDescent="0.2">
      <c r="A2069" s="6">
        <v>1903</v>
      </c>
      <c r="B2069" s="7">
        <v>13633</v>
      </c>
      <c r="C2069" s="8">
        <f>DATE(2012,12,31)-272</f>
        <v>41002</v>
      </c>
      <c r="D2069" s="8" t="str">
        <f t="shared" si="40"/>
        <v>2012-04 (апрель 2012)</v>
      </c>
      <c r="E2069" s="9" t="s">
        <v>45</v>
      </c>
      <c r="F2069" s="7">
        <v>18</v>
      </c>
      <c r="G2069" s="7">
        <v>2703.37</v>
      </c>
      <c r="H2069" s="7">
        <v>0.09</v>
      </c>
      <c r="I2069" s="9" t="s">
        <v>31</v>
      </c>
      <c r="J2069" s="10">
        <v>-231.6</v>
      </c>
      <c r="K2069" s="11">
        <v>150.97999999999999</v>
      </c>
      <c r="L2069" s="11">
        <v>57.2</v>
      </c>
      <c r="M2069" s="9" t="s">
        <v>1257</v>
      </c>
      <c r="N2069" s="6" t="s">
        <v>1123</v>
      </c>
      <c r="O2069" s="6" t="s">
        <v>1123</v>
      </c>
      <c r="P2069" s="9" t="s">
        <v>41</v>
      </c>
      <c r="Q2069" s="9" t="s">
        <v>49</v>
      </c>
      <c r="R2069" s="9" t="s">
        <v>112</v>
      </c>
      <c r="S2069" s="7" t="s">
        <v>1300</v>
      </c>
      <c r="T2069" s="9" t="s">
        <v>36</v>
      </c>
      <c r="U2069" s="7">
        <v>0.59</v>
      </c>
      <c r="V2069" s="12">
        <f>C2069+1</f>
        <v>41003</v>
      </c>
      <c r="W2069">
        <f>IF(D2069=' Pivot Tables'!$A$4,1,0)</f>
        <v>0</v>
      </c>
      <c r="X2069">
        <f>IF(AND(LEFT(D2069,4)+1=LEFT(' Pivot Tables'!$A$4,4)+0,RIGHT(LEFT(D2069,7),2)=RIGHT(LEFT(' Pivot Tables'!$A$4,7),2)),1,0)</f>
        <v>0</v>
      </c>
      <c r="Y2069" s="6">
        <f>1/COUNTIF(Таблица1[Order ID],Таблица1[[#This Row],[Order ID]])</f>
        <v>0.5</v>
      </c>
      <c r="Z2069" s="9">
        <f>1/COUNTIFS(Таблица1[Customer Name],Таблица1[[#This Row],[Customer Name]],Таблица1[Order-Year-Month],Таблица1[[#This Row],[Order-Year-Month]])</f>
        <v>0.5</v>
      </c>
    </row>
    <row r="2070" spans="1:26" x14ac:dyDescent="0.2">
      <c r="A2070" s="6">
        <v>1904</v>
      </c>
      <c r="B2070" s="7">
        <v>13633</v>
      </c>
      <c r="C2070" s="8">
        <f>DATE(2012,12,31)-272</f>
        <v>41002</v>
      </c>
      <c r="D2070" s="8" t="str">
        <f t="shared" si="40"/>
        <v>2012-04 (апрель 2012)</v>
      </c>
      <c r="E2070" s="9" t="s">
        <v>45</v>
      </c>
      <c r="F2070" s="7">
        <v>39</v>
      </c>
      <c r="G2070" s="7">
        <v>1538.17</v>
      </c>
      <c r="H2070" s="7">
        <v>0.02</v>
      </c>
      <c r="I2070" s="9" t="s">
        <v>22</v>
      </c>
      <c r="J2070" s="10">
        <v>-1119.6400000000001</v>
      </c>
      <c r="K2070" s="11">
        <v>38.94</v>
      </c>
      <c r="L2070" s="11">
        <v>35</v>
      </c>
      <c r="M2070" s="9" t="s">
        <v>1257</v>
      </c>
      <c r="N2070" s="6" t="s">
        <v>1123</v>
      </c>
      <c r="O2070" s="6" t="s">
        <v>1123</v>
      </c>
      <c r="P2070" s="9" t="s">
        <v>41</v>
      </c>
      <c r="Q2070" s="9" t="s">
        <v>26</v>
      </c>
      <c r="R2070" s="9" t="s">
        <v>27</v>
      </c>
      <c r="S2070" s="7" t="s">
        <v>28</v>
      </c>
      <c r="T2070" s="9" t="s">
        <v>29</v>
      </c>
      <c r="U2070" s="7">
        <v>0.8</v>
      </c>
      <c r="V2070" s="12">
        <f>C2070+1</f>
        <v>41003</v>
      </c>
      <c r="W2070">
        <f>IF(D2070=' Pivot Tables'!$A$4,1,0)</f>
        <v>0</v>
      </c>
      <c r="X2070">
        <f>IF(AND(LEFT(D2070,4)+1=LEFT(' Pivot Tables'!$A$4,4)+0,RIGHT(LEFT(D2070,7),2)=RIGHT(LEFT(' Pivot Tables'!$A$4,7),2)),1,0)</f>
        <v>0</v>
      </c>
      <c r="Y2070" s="6">
        <f>1/COUNTIF(Таблица1[Order ID],Таблица1[[#This Row],[Order ID]])</f>
        <v>0.5</v>
      </c>
      <c r="Z2070" s="9">
        <f>1/COUNTIFS(Таблица1[Customer Name],Таблица1[[#This Row],[Customer Name]],Таблица1[Order-Year-Month],Таблица1[[#This Row],[Order-Year-Month]])</f>
        <v>0.5</v>
      </c>
    </row>
    <row r="2071" spans="1:26" x14ac:dyDescent="0.2">
      <c r="A2071" s="6">
        <v>1917</v>
      </c>
      <c r="B2071" s="7">
        <v>13735</v>
      </c>
      <c r="C2071" s="8">
        <f>DATE(2012,12,31)-1320</f>
        <v>39954</v>
      </c>
      <c r="D2071" s="8" t="str">
        <f t="shared" si="40"/>
        <v>2009-05 (май 2009)</v>
      </c>
      <c r="E2071" s="9" t="s">
        <v>63</v>
      </c>
      <c r="F2071" s="7">
        <v>36</v>
      </c>
      <c r="G2071" s="7">
        <v>281.70999999999998</v>
      </c>
      <c r="H2071" s="7">
        <v>0.02</v>
      </c>
      <c r="I2071" s="9" t="s">
        <v>22</v>
      </c>
      <c r="J2071" s="10">
        <v>117.38</v>
      </c>
      <c r="K2071" s="11">
        <v>7.64</v>
      </c>
      <c r="L2071" s="11">
        <v>1.39</v>
      </c>
      <c r="M2071" s="9" t="s">
        <v>1262</v>
      </c>
      <c r="N2071" s="6" t="s">
        <v>1123</v>
      </c>
      <c r="O2071" s="6" t="s">
        <v>1123</v>
      </c>
      <c r="P2071" s="9" t="s">
        <v>60</v>
      </c>
      <c r="Q2071" s="9" t="s">
        <v>26</v>
      </c>
      <c r="R2071" s="9" t="s">
        <v>76</v>
      </c>
      <c r="S2071" s="7" t="s">
        <v>297</v>
      </c>
      <c r="T2071" s="9" t="s">
        <v>39</v>
      </c>
      <c r="U2071" s="7">
        <v>0.36</v>
      </c>
      <c r="V2071" s="12">
        <f>C2071+2</f>
        <v>39956</v>
      </c>
      <c r="W2071">
        <f>IF(D2071=' Pivot Tables'!$A$4,1,0)</f>
        <v>0</v>
      </c>
      <c r="X2071">
        <f>IF(AND(LEFT(D2071,4)+1=LEFT(' Pivot Tables'!$A$4,4)+0,RIGHT(LEFT(D2071,7),2)=RIGHT(LEFT(' Pivot Tables'!$A$4,7),2)),1,0)</f>
        <v>0</v>
      </c>
      <c r="Y2071" s="6">
        <f>1/COUNTIF(Таблица1[Order ID],Таблица1[[#This Row],[Order ID]])</f>
        <v>1</v>
      </c>
      <c r="Z2071" s="9">
        <f>1/COUNTIFS(Таблица1[Customer Name],Таблица1[[#This Row],[Customer Name]],Таблица1[Order-Year-Month],Таблица1[[#This Row],[Order-Year-Month]])</f>
        <v>1</v>
      </c>
    </row>
    <row r="2072" spans="1:26" x14ac:dyDescent="0.2">
      <c r="A2072" s="6">
        <v>1935</v>
      </c>
      <c r="B2072" s="7">
        <v>13861</v>
      </c>
      <c r="C2072" s="8">
        <f>DATE(2012,12,31)-873</f>
        <v>40401</v>
      </c>
      <c r="D2072" s="8" t="str">
        <f t="shared" si="40"/>
        <v>2010-08 (август 2010)</v>
      </c>
      <c r="E2072" s="9" t="s">
        <v>30</v>
      </c>
      <c r="F2072" s="7">
        <v>7</v>
      </c>
      <c r="G2072" s="7">
        <v>37.299999999999997</v>
      </c>
      <c r="H2072" s="7">
        <v>0</v>
      </c>
      <c r="I2072" s="9" t="s">
        <v>22</v>
      </c>
      <c r="J2072" s="10">
        <v>5.03</v>
      </c>
      <c r="K2072" s="11">
        <v>4.84</v>
      </c>
      <c r="L2072" s="11">
        <v>0.71</v>
      </c>
      <c r="M2072" s="9" t="s">
        <v>1301</v>
      </c>
      <c r="N2072" s="6" t="s">
        <v>1123</v>
      </c>
      <c r="O2072" s="6" t="s">
        <v>1123</v>
      </c>
      <c r="P2072" s="9" t="s">
        <v>41</v>
      </c>
      <c r="Q2072" s="9" t="s">
        <v>26</v>
      </c>
      <c r="R2072" s="9" t="s">
        <v>95</v>
      </c>
      <c r="S2072" s="7" t="s">
        <v>633</v>
      </c>
      <c r="T2072" s="9" t="s">
        <v>68</v>
      </c>
      <c r="U2072" s="7">
        <v>0.52</v>
      </c>
      <c r="V2072" s="12">
        <f>C2072+0</f>
        <v>40401</v>
      </c>
      <c r="W2072">
        <f>IF(D2072=' Pivot Tables'!$A$4,1,0)</f>
        <v>0</v>
      </c>
      <c r="X2072">
        <f>IF(AND(LEFT(D2072,4)+1=LEFT(' Pivot Tables'!$A$4,4)+0,RIGHT(LEFT(D2072,7),2)=RIGHT(LEFT(' Pivot Tables'!$A$4,7),2)),1,0)</f>
        <v>0</v>
      </c>
      <c r="Y2072" s="6">
        <f>1/COUNTIF(Таблица1[Order ID],Таблица1[[#This Row],[Order ID]])</f>
        <v>1</v>
      </c>
      <c r="Z2072" s="9">
        <f>1/COUNTIFS(Таблица1[Customer Name],Таблица1[[#This Row],[Customer Name]],Таблица1[Order-Year-Month],Таблица1[[#This Row],[Order-Year-Month]])</f>
        <v>1</v>
      </c>
    </row>
    <row r="2073" spans="1:26" x14ac:dyDescent="0.2">
      <c r="A2073" s="6">
        <v>1937</v>
      </c>
      <c r="B2073" s="7">
        <v>13892</v>
      </c>
      <c r="C2073" s="8">
        <f>DATE(2012,12,31)-248</f>
        <v>41026</v>
      </c>
      <c r="D2073" s="8" t="str">
        <f t="shared" si="40"/>
        <v>2012-04 (апрель 2012)</v>
      </c>
      <c r="E2073" s="9" t="s">
        <v>30</v>
      </c>
      <c r="F2073" s="7">
        <v>47</v>
      </c>
      <c r="G2073" s="7">
        <v>1446.97</v>
      </c>
      <c r="H2073" s="7">
        <v>0</v>
      </c>
      <c r="I2073" s="9" t="s">
        <v>22</v>
      </c>
      <c r="J2073" s="10">
        <v>531.47</v>
      </c>
      <c r="K2073" s="11">
        <v>29.89</v>
      </c>
      <c r="L2073" s="11">
        <v>1.99</v>
      </c>
      <c r="M2073" s="9" t="s">
        <v>1302</v>
      </c>
      <c r="N2073" s="6" t="s">
        <v>1123</v>
      </c>
      <c r="O2073" s="6" t="s">
        <v>1123</v>
      </c>
      <c r="P2073" s="9" t="s">
        <v>60</v>
      </c>
      <c r="Q2073" s="9" t="s">
        <v>42</v>
      </c>
      <c r="R2073" s="9" t="s">
        <v>70</v>
      </c>
      <c r="S2073" s="7" t="s">
        <v>547</v>
      </c>
      <c r="T2073" s="9" t="s">
        <v>52</v>
      </c>
      <c r="U2073" s="7">
        <v>0.5</v>
      </c>
      <c r="V2073" s="12">
        <f>C2073+1</f>
        <v>41027</v>
      </c>
      <c r="W2073">
        <f>IF(D2073=' Pivot Tables'!$A$4,1,0)</f>
        <v>0</v>
      </c>
      <c r="X2073">
        <f>IF(AND(LEFT(D2073,4)+1=LEFT(' Pivot Tables'!$A$4,4)+0,RIGHT(LEFT(D2073,7),2)=RIGHT(LEFT(' Pivot Tables'!$A$4,7),2)),1,0)</f>
        <v>0</v>
      </c>
      <c r="Y2073" s="6">
        <f>1/COUNTIF(Таблица1[Order ID],Таблица1[[#This Row],[Order ID]])</f>
        <v>1</v>
      </c>
      <c r="Z2073" s="9">
        <f>1/COUNTIFS(Таблица1[Customer Name],Таблица1[[#This Row],[Customer Name]],Таблица1[Order-Year-Month],Таблица1[[#This Row],[Order-Year-Month]])</f>
        <v>1</v>
      </c>
    </row>
    <row r="2074" spans="1:26" x14ac:dyDescent="0.2">
      <c r="A2074" s="6">
        <v>1962</v>
      </c>
      <c r="B2074" s="7">
        <v>14023</v>
      </c>
      <c r="C2074" s="8">
        <f>DATE(2012,12,31)-1045</f>
        <v>40229</v>
      </c>
      <c r="D2074" s="8" t="str">
        <f t="shared" si="40"/>
        <v>2010-02 (февраль 2010)</v>
      </c>
      <c r="E2074" s="9" t="s">
        <v>45</v>
      </c>
      <c r="F2074" s="7">
        <v>36</v>
      </c>
      <c r="G2074" s="7">
        <v>711.1</v>
      </c>
      <c r="H2074" s="7">
        <v>0.08</v>
      </c>
      <c r="I2074" s="9" t="s">
        <v>22</v>
      </c>
      <c r="J2074" s="10">
        <v>241.077</v>
      </c>
      <c r="K2074" s="11">
        <v>21.38</v>
      </c>
      <c r="L2074" s="11">
        <v>2.99</v>
      </c>
      <c r="M2074" s="9" t="s">
        <v>1262</v>
      </c>
      <c r="N2074" s="6" t="s">
        <v>1123</v>
      </c>
      <c r="O2074" s="6" t="s">
        <v>1123</v>
      </c>
      <c r="P2074" s="9" t="s">
        <v>41</v>
      </c>
      <c r="Q2074" s="9" t="s">
        <v>26</v>
      </c>
      <c r="R2074" s="9" t="s">
        <v>37</v>
      </c>
      <c r="S2074" s="7" t="s">
        <v>1303</v>
      </c>
      <c r="T2074" s="9" t="s">
        <v>39</v>
      </c>
      <c r="U2074" s="7">
        <v>0.36</v>
      </c>
      <c r="V2074" s="12">
        <f>C2074+2</f>
        <v>40231</v>
      </c>
      <c r="W2074">
        <f>IF(D2074=' Pivot Tables'!$A$4,1,0)</f>
        <v>0</v>
      </c>
      <c r="X2074">
        <f>IF(AND(LEFT(D2074,4)+1=LEFT(' Pivot Tables'!$A$4,4)+0,RIGHT(LEFT(D2074,7),2)=RIGHT(LEFT(' Pivot Tables'!$A$4,7),2)),1,0)</f>
        <v>0</v>
      </c>
      <c r="Y2074" s="6">
        <f>1/COUNTIF(Таблица1[Order ID],Таблица1[[#This Row],[Order ID]])</f>
        <v>0.5</v>
      </c>
      <c r="Z2074" s="9">
        <f>1/COUNTIFS(Таблица1[Customer Name],Таблица1[[#This Row],[Customer Name]],Таблица1[Order-Year-Month],Таблица1[[#This Row],[Order-Year-Month]])</f>
        <v>0.5</v>
      </c>
    </row>
    <row r="2075" spans="1:26" x14ac:dyDescent="0.2">
      <c r="A2075" s="6">
        <v>1963</v>
      </c>
      <c r="B2075" s="7">
        <v>14023</v>
      </c>
      <c r="C2075" s="8">
        <f>DATE(2012,12,31)-1045</f>
        <v>40229</v>
      </c>
      <c r="D2075" s="8" t="str">
        <f t="shared" si="40"/>
        <v>2010-02 (февраль 2010)</v>
      </c>
      <c r="E2075" s="9" t="s">
        <v>45</v>
      </c>
      <c r="F2075" s="7">
        <v>48</v>
      </c>
      <c r="G2075" s="7">
        <v>498.16</v>
      </c>
      <c r="H2075" s="7">
        <v>0.03</v>
      </c>
      <c r="I2075" s="9" t="s">
        <v>22</v>
      </c>
      <c r="J2075" s="10">
        <v>40.61</v>
      </c>
      <c r="K2075" s="11">
        <v>9.99</v>
      </c>
      <c r="L2075" s="11">
        <v>5.12</v>
      </c>
      <c r="M2075" s="9" t="s">
        <v>1262</v>
      </c>
      <c r="N2075" s="6" t="s">
        <v>1123</v>
      </c>
      <c r="O2075" s="6" t="s">
        <v>1123</v>
      </c>
      <c r="P2075" s="9" t="s">
        <v>41</v>
      </c>
      <c r="Q2075" s="9" t="s">
        <v>26</v>
      </c>
      <c r="R2075" s="9" t="s">
        <v>61</v>
      </c>
      <c r="S2075" s="7" t="s">
        <v>1267</v>
      </c>
      <c r="T2075" s="9" t="s">
        <v>39</v>
      </c>
      <c r="U2075" s="7">
        <v>0.4</v>
      </c>
      <c r="V2075" s="12">
        <f>C2075+1</f>
        <v>40230</v>
      </c>
      <c r="W2075">
        <f>IF(D2075=' Pivot Tables'!$A$4,1,0)</f>
        <v>0</v>
      </c>
      <c r="X2075">
        <f>IF(AND(LEFT(D2075,4)+1=LEFT(' Pivot Tables'!$A$4,4)+0,RIGHT(LEFT(D2075,7),2)=RIGHT(LEFT(' Pivot Tables'!$A$4,7),2)),1,0)</f>
        <v>0</v>
      </c>
      <c r="Y2075" s="6">
        <f>1/COUNTIF(Таблица1[Order ID],Таблица1[[#This Row],[Order ID]])</f>
        <v>0.5</v>
      </c>
      <c r="Z2075" s="9">
        <f>1/COUNTIFS(Таблица1[Customer Name],Таблица1[[#This Row],[Customer Name]],Таблица1[Order-Year-Month],Таблица1[[#This Row],[Order-Year-Month]])</f>
        <v>0.5</v>
      </c>
    </row>
    <row r="2076" spans="1:26" x14ac:dyDescent="0.2">
      <c r="A2076" s="6">
        <v>1976</v>
      </c>
      <c r="B2076" s="7">
        <v>14115</v>
      </c>
      <c r="C2076" s="8">
        <f>DATE(2012,12,31)-1235</f>
        <v>40039</v>
      </c>
      <c r="D2076" s="8" t="str">
        <f t="shared" si="40"/>
        <v>2009-08 (август 2009)</v>
      </c>
      <c r="E2076" s="9" t="s">
        <v>45</v>
      </c>
      <c r="F2076" s="7">
        <v>24</v>
      </c>
      <c r="G2076" s="7">
        <v>158.78</v>
      </c>
      <c r="H2076" s="7">
        <v>0.04</v>
      </c>
      <c r="I2076" s="9" t="s">
        <v>22</v>
      </c>
      <c r="J2076" s="10">
        <v>-38.380000000000003</v>
      </c>
      <c r="K2076" s="11">
        <v>6.28</v>
      </c>
      <c r="L2076" s="11">
        <v>5.41</v>
      </c>
      <c r="M2076" s="9" t="s">
        <v>1299</v>
      </c>
      <c r="N2076" s="6" t="s">
        <v>1123</v>
      </c>
      <c r="O2076" s="6" t="s">
        <v>1123</v>
      </c>
      <c r="P2076" s="9" t="s">
        <v>33</v>
      </c>
      <c r="Q2076" s="9" t="s">
        <v>49</v>
      </c>
      <c r="R2076" s="9" t="s">
        <v>50</v>
      </c>
      <c r="S2076" s="7" t="s">
        <v>500</v>
      </c>
      <c r="T2076" s="9" t="s">
        <v>39</v>
      </c>
      <c r="U2076" s="7">
        <v>0.53</v>
      </c>
      <c r="V2076" s="12">
        <f>C2076+2</f>
        <v>40041</v>
      </c>
      <c r="W2076">
        <f>IF(D2076=' Pivot Tables'!$A$4,1,0)</f>
        <v>0</v>
      </c>
      <c r="X2076">
        <f>IF(AND(LEFT(D2076,4)+1=LEFT(' Pivot Tables'!$A$4,4)+0,RIGHT(LEFT(D2076,7),2)=RIGHT(LEFT(' Pivot Tables'!$A$4,7),2)),1,0)</f>
        <v>0</v>
      </c>
      <c r="Y2076" s="6">
        <f>1/COUNTIF(Таблица1[Order ID],Таблица1[[#This Row],[Order ID]])</f>
        <v>0.5</v>
      </c>
      <c r="Z2076" s="9">
        <f>1/COUNTIFS(Таблица1[Customer Name],Таблица1[[#This Row],[Customer Name]],Таблица1[Order-Year-Month],Таблица1[[#This Row],[Order-Year-Month]])</f>
        <v>0.5</v>
      </c>
    </row>
    <row r="2077" spans="1:26" x14ac:dyDescent="0.2">
      <c r="A2077" s="6">
        <v>1977</v>
      </c>
      <c r="B2077" s="7">
        <v>14115</v>
      </c>
      <c r="C2077" s="8">
        <f>DATE(2012,12,31)-1235</f>
        <v>40039</v>
      </c>
      <c r="D2077" s="8" t="str">
        <f t="shared" si="40"/>
        <v>2009-08 (август 2009)</v>
      </c>
      <c r="E2077" s="9" t="s">
        <v>45</v>
      </c>
      <c r="F2077" s="7">
        <v>46</v>
      </c>
      <c r="G2077" s="7">
        <v>3296.0619999999999</v>
      </c>
      <c r="H2077" s="7">
        <v>0.06</v>
      </c>
      <c r="I2077" s="9" t="s">
        <v>22</v>
      </c>
      <c r="J2077" s="10">
        <v>591.91199999999992</v>
      </c>
      <c r="K2077" s="11">
        <v>85.99</v>
      </c>
      <c r="L2077" s="11">
        <v>10.78</v>
      </c>
      <c r="M2077" s="9" t="s">
        <v>1299</v>
      </c>
      <c r="N2077" s="6" t="s">
        <v>1123</v>
      </c>
      <c r="O2077" s="6" t="s">
        <v>1123</v>
      </c>
      <c r="P2077" s="9" t="s">
        <v>33</v>
      </c>
      <c r="Q2077" s="9" t="s">
        <v>42</v>
      </c>
      <c r="R2077" s="9" t="s">
        <v>43</v>
      </c>
      <c r="S2077" s="7" t="s">
        <v>1213</v>
      </c>
      <c r="T2077" s="9" t="s">
        <v>39</v>
      </c>
      <c r="U2077" s="7">
        <v>0.57999999999999996</v>
      </c>
      <c r="V2077" s="12">
        <f>C2077+2</f>
        <v>40041</v>
      </c>
      <c r="W2077">
        <f>IF(D2077=' Pivot Tables'!$A$4,1,0)</f>
        <v>0</v>
      </c>
      <c r="X2077">
        <f>IF(AND(LEFT(D2077,4)+1=LEFT(' Pivot Tables'!$A$4,4)+0,RIGHT(LEFT(D2077,7),2)=RIGHT(LEFT(' Pivot Tables'!$A$4,7),2)),1,0)</f>
        <v>0</v>
      </c>
      <c r="Y2077" s="6">
        <f>1/COUNTIF(Таблица1[Order ID],Таблица1[[#This Row],[Order ID]])</f>
        <v>0.5</v>
      </c>
      <c r="Z2077" s="9">
        <f>1/COUNTIFS(Таблица1[Customer Name],Таблица1[[#This Row],[Customer Name]],Таблица1[Order-Year-Month],Таблица1[[#This Row],[Order-Year-Month]])</f>
        <v>0.5</v>
      </c>
    </row>
    <row r="2078" spans="1:26" x14ac:dyDescent="0.2">
      <c r="A2078" s="6">
        <v>1984</v>
      </c>
      <c r="B2078" s="7">
        <v>14147</v>
      </c>
      <c r="C2078" s="8">
        <f>DATE(2012,12,31)-1030</f>
        <v>40244</v>
      </c>
      <c r="D2078" s="8" t="str">
        <f t="shared" si="40"/>
        <v>2010-03 (март 2010)</v>
      </c>
      <c r="E2078" s="9" t="s">
        <v>45</v>
      </c>
      <c r="F2078" s="7">
        <v>8</v>
      </c>
      <c r="G2078" s="7">
        <v>351.49</v>
      </c>
      <c r="H2078" s="7">
        <v>0.03</v>
      </c>
      <c r="I2078" s="9" t="s">
        <v>22</v>
      </c>
      <c r="J2078" s="10">
        <v>107.321</v>
      </c>
      <c r="K2078" s="11">
        <v>41.94</v>
      </c>
      <c r="L2078" s="11">
        <v>2.99</v>
      </c>
      <c r="M2078" s="9" t="s">
        <v>1304</v>
      </c>
      <c r="N2078" s="6" t="s">
        <v>1123</v>
      </c>
      <c r="O2078" s="6" t="s">
        <v>1123</v>
      </c>
      <c r="P2078" s="9" t="s">
        <v>60</v>
      </c>
      <c r="Q2078" s="9" t="s">
        <v>26</v>
      </c>
      <c r="R2078" s="9" t="s">
        <v>37</v>
      </c>
      <c r="S2078" s="7" t="s">
        <v>369</v>
      </c>
      <c r="T2078" s="9" t="s">
        <v>39</v>
      </c>
      <c r="U2078" s="7">
        <v>0.35</v>
      </c>
      <c r="V2078" s="12">
        <f>C2078+3</f>
        <v>40247</v>
      </c>
      <c r="W2078">
        <f>IF(D2078=' Pivot Tables'!$A$4,1,0)</f>
        <v>0</v>
      </c>
      <c r="X2078">
        <f>IF(AND(LEFT(D2078,4)+1=LEFT(' Pivot Tables'!$A$4,4)+0,RIGHT(LEFT(D2078,7),2)=RIGHT(LEFT(' Pivot Tables'!$A$4,7),2)),1,0)</f>
        <v>0</v>
      </c>
      <c r="Y2078" s="6">
        <f>1/COUNTIF(Таблица1[Order ID],Таблица1[[#This Row],[Order ID]])</f>
        <v>0.33333333333333331</v>
      </c>
      <c r="Z2078" s="9">
        <f>1/COUNTIFS(Таблица1[Customer Name],Таблица1[[#This Row],[Customer Name]],Таблица1[Order-Year-Month],Таблица1[[#This Row],[Order-Year-Month]])</f>
        <v>0.33333333333333331</v>
      </c>
    </row>
    <row r="2079" spans="1:26" x14ac:dyDescent="0.2">
      <c r="A2079" s="6">
        <v>1985</v>
      </c>
      <c r="B2079" s="7">
        <v>14147</v>
      </c>
      <c r="C2079" s="8">
        <f>DATE(2012,12,31)-1030</f>
        <v>40244</v>
      </c>
      <c r="D2079" s="8" t="str">
        <f t="shared" si="40"/>
        <v>2010-03 (март 2010)</v>
      </c>
      <c r="E2079" s="9" t="s">
        <v>45</v>
      </c>
      <c r="F2079" s="7">
        <v>16</v>
      </c>
      <c r="G2079" s="7">
        <v>74.13</v>
      </c>
      <c r="H2079" s="7">
        <v>0.08</v>
      </c>
      <c r="I2079" s="9" t="s">
        <v>22</v>
      </c>
      <c r="J2079" s="10">
        <v>-69.34</v>
      </c>
      <c r="K2079" s="11">
        <v>4.28</v>
      </c>
      <c r="L2079" s="11">
        <v>6.72</v>
      </c>
      <c r="M2079" s="9" t="s">
        <v>1304</v>
      </c>
      <c r="N2079" s="6" t="s">
        <v>1123</v>
      </c>
      <c r="O2079" s="6" t="s">
        <v>1123</v>
      </c>
      <c r="P2079" s="9" t="s">
        <v>60</v>
      </c>
      <c r="Q2079" s="9" t="s">
        <v>26</v>
      </c>
      <c r="R2079" s="9" t="s">
        <v>61</v>
      </c>
      <c r="S2079" s="7" t="s">
        <v>1007</v>
      </c>
      <c r="T2079" s="9" t="s">
        <v>39</v>
      </c>
      <c r="U2079" s="7">
        <v>0.4</v>
      </c>
      <c r="V2079" s="12">
        <f>C2079+1</f>
        <v>40245</v>
      </c>
      <c r="W2079">
        <f>IF(D2079=' Pivot Tables'!$A$4,1,0)</f>
        <v>0</v>
      </c>
      <c r="X2079">
        <f>IF(AND(LEFT(D2079,4)+1=LEFT(' Pivot Tables'!$A$4,4)+0,RIGHT(LEFT(D2079,7),2)=RIGHT(LEFT(' Pivot Tables'!$A$4,7),2)),1,0)</f>
        <v>0</v>
      </c>
      <c r="Y2079" s="6">
        <f>1/COUNTIF(Таблица1[Order ID],Таблица1[[#This Row],[Order ID]])</f>
        <v>0.33333333333333331</v>
      </c>
      <c r="Z2079" s="9">
        <f>1/COUNTIFS(Таблица1[Customer Name],Таблица1[[#This Row],[Customer Name]],Таблица1[Order-Year-Month],Таблица1[[#This Row],[Order-Year-Month]])</f>
        <v>0.33333333333333331</v>
      </c>
    </row>
    <row r="2080" spans="1:26" x14ac:dyDescent="0.2">
      <c r="A2080" s="6">
        <v>1986</v>
      </c>
      <c r="B2080" s="7">
        <v>14147</v>
      </c>
      <c r="C2080" s="8">
        <f>DATE(2012,12,31)-1030</f>
        <v>40244</v>
      </c>
      <c r="D2080" s="8" t="str">
        <f t="shared" si="40"/>
        <v>2010-03 (март 2010)</v>
      </c>
      <c r="E2080" s="9" t="s">
        <v>45</v>
      </c>
      <c r="F2080" s="7">
        <v>45</v>
      </c>
      <c r="G2080" s="7">
        <v>195.03</v>
      </c>
      <c r="H2080" s="7">
        <v>0.09</v>
      </c>
      <c r="I2080" s="9" t="s">
        <v>22</v>
      </c>
      <c r="J2080" s="10">
        <v>-148.87</v>
      </c>
      <c r="K2080" s="11">
        <v>4.28</v>
      </c>
      <c r="L2080" s="11">
        <v>5.74</v>
      </c>
      <c r="M2080" s="9" t="s">
        <v>1304</v>
      </c>
      <c r="N2080" s="6" t="s">
        <v>1123</v>
      </c>
      <c r="O2080" s="6" t="s">
        <v>1123</v>
      </c>
      <c r="P2080" s="9" t="s">
        <v>60</v>
      </c>
      <c r="Q2080" s="9" t="s">
        <v>26</v>
      </c>
      <c r="R2080" s="9" t="s">
        <v>61</v>
      </c>
      <c r="S2080" s="7" t="s">
        <v>648</v>
      </c>
      <c r="T2080" s="9" t="s">
        <v>39</v>
      </c>
      <c r="U2080" s="7">
        <v>0.4</v>
      </c>
      <c r="V2080" s="12">
        <f>C2080+2</f>
        <v>40246</v>
      </c>
      <c r="W2080">
        <f>IF(D2080=' Pivot Tables'!$A$4,1,0)</f>
        <v>0</v>
      </c>
      <c r="X2080">
        <f>IF(AND(LEFT(D2080,4)+1=LEFT(' Pivot Tables'!$A$4,4)+0,RIGHT(LEFT(D2080,7),2)=RIGHT(LEFT(' Pivot Tables'!$A$4,7),2)),1,0)</f>
        <v>0</v>
      </c>
      <c r="Y2080" s="6">
        <f>1/COUNTIF(Таблица1[Order ID],Таблица1[[#This Row],[Order ID]])</f>
        <v>0.33333333333333331</v>
      </c>
      <c r="Z2080" s="9">
        <f>1/COUNTIFS(Таблица1[Customer Name],Таблица1[[#This Row],[Customer Name]],Таблица1[Order-Year-Month],Таблица1[[#This Row],[Order-Year-Month]])</f>
        <v>0.33333333333333331</v>
      </c>
    </row>
    <row r="2081" spans="1:26" x14ac:dyDescent="0.2">
      <c r="A2081" s="6">
        <v>1990</v>
      </c>
      <c r="B2081" s="7">
        <v>14211</v>
      </c>
      <c r="C2081" s="8">
        <f>DATE(2012,12,31)-1418</f>
        <v>39856</v>
      </c>
      <c r="D2081" s="8" t="str">
        <f t="shared" si="40"/>
        <v>2009-02 (февраль 2009)</v>
      </c>
      <c r="E2081" s="9" t="s">
        <v>45</v>
      </c>
      <c r="F2081" s="7">
        <v>22</v>
      </c>
      <c r="G2081" s="7">
        <v>3220.58</v>
      </c>
      <c r="H2081" s="7">
        <v>0.04</v>
      </c>
      <c r="I2081" s="9" t="s">
        <v>22</v>
      </c>
      <c r="J2081" s="10">
        <v>1046.69</v>
      </c>
      <c r="K2081" s="11">
        <v>150.97999999999999</v>
      </c>
      <c r="L2081" s="11">
        <v>13.99</v>
      </c>
      <c r="M2081" s="9" t="s">
        <v>1302</v>
      </c>
      <c r="N2081" s="6" t="s">
        <v>1123</v>
      </c>
      <c r="O2081" s="6" t="s">
        <v>1123</v>
      </c>
      <c r="P2081" s="9" t="s">
        <v>60</v>
      </c>
      <c r="Q2081" s="9" t="s">
        <v>42</v>
      </c>
      <c r="R2081" s="9" t="s">
        <v>210</v>
      </c>
      <c r="S2081" s="7" t="s">
        <v>341</v>
      </c>
      <c r="T2081" s="9" t="s">
        <v>48</v>
      </c>
      <c r="U2081" s="7">
        <v>0.38</v>
      </c>
      <c r="V2081" s="12">
        <f>C2081+3</f>
        <v>39859</v>
      </c>
      <c r="W2081">
        <f>IF(D2081=' Pivot Tables'!$A$4,1,0)</f>
        <v>0</v>
      </c>
      <c r="X2081">
        <f>IF(AND(LEFT(D2081,4)+1=LEFT(' Pivot Tables'!$A$4,4)+0,RIGHT(LEFT(D2081,7),2)=RIGHT(LEFT(' Pivot Tables'!$A$4,7),2)),1,0)</f>
        <v>0</v>
      </c>
      <c r="Y2081" s="6">
        <f>1/COUNTIF(Таблица1[Order ID],Таблица1[[#This Row],[Order ID]])</f>
        <v>0.5</v>
      </c>
      <c r="Z2081" s="9">
        <f>1/COUNTIFS(Таблица1[Customer Name],Таблица1[[#This Row],[Customer Name]],Таблица1[Order-Year-Month],Таблица1[[#This Row],[Order-Year-Month]])</f>
        <v>0.5</v>
      </c>
    </row>
    <row r="2082" spans="1:26" x14ac:dyDescent="0.2">
      <c r="A2082" s="6">
        <v>1991</v>
      </c>
      <c r="B2082" s="7">
        <v>14211</v>
      </c>
      <c r="C2082" s="8">
        <f>DATE(2012,12,31)-1418</f>
        <v>39856</v>
      </c>
      <c r="D2082" s="8" t="str">
        <f t="shared" si="40"/>
        <v>2009-02 (февраль 2009)</v>
      </c>
      <c r="E2082" s="9" t="s">
        <v>45</v>
      </c>
      <c r="F2082" s="7">
        <v>14</v>
      </c>
      <c r="G2082" s="7">
        <v>2367.9899999999998</v>
      </c>
      <c r="H2082" s="7">
        <v>0.04</v>
      </c>
      <c r="I2082" s="9" t="s">
        <v>22</v>
      </c>
      <c r="J2082" s="10">
        <v>320.10000000000002</v>
      </c>
      <c r="K2082" s="11">
        <v>176.19</v>
      </c>
      <c r="L2082" s="11">
        <v>11.87</v>
      </c>
      <c r="M2082" s="9" t="s">
        <v>1302</v>
      </c>
      <c r="N2082" s="6" t="s">
        <v>1123</v>
      </c>
      <c r="O2082" s="6" t="s">
        <v>1123</v>
      </c>
      <c r="P2082" s="9" t="s">
        <v>60</v>
      </c>
      <c r="Q2082" s="9" t="s">
        <v>26</v>
      </c>
      <c r="R2082" s="9" t="s">
        <v>27</v>
      </c>
      <c r="S2082" s="7" t="s">
        <v>1305</v>
      </c>
      <c r="T2082" s="9" t="s">
        <v>39</v>
      </c>
      <c r="U2082" s="7">
        <v>0.62</v>
      </c>
      <c r="V2082" s="12">
        <f>C2082+2</f>
        <v>39858</v>
      </c>
      <c r="W2082">
        <f>IF(D2082=' Pivot Tables'!$A$4,1,0)</f>
        <v>0</v>
      </c>
      <c r="X2082">
        <f>IF(AND(LEFT(D2082,4)+1=LEFT(' Pivot Tables'!$A$4,4)+0,RIGHT(LEFT(D2082,7),2)=RIGHT(LEFT(' Pivot Tables'!$A$4,7),2)),1,0)</f>
        <v>0</v>
      </c>
      <c r="Y2082" s="6">
        <f>1/COUNTIF(Таблица1[Order ID],Таблица1[[#This Row],[Order ID]])</f>
        <v>0.5</v>
      </c>
      <c r="Z2082" s="9">
        <f>1/COUNTIFS(Таблица1[Customer Name],Таблица1[[#This Row],[Customer Name]],Таблица1[Order-Year-Month],Таблица1[[#This Row],[Order-Year-Month]])</f>
        <v>0.5</v>
      </c>
    </row>
    <row r="2083" spans="1:26" x14ac:dyDescent="0.2">
      <c r="A2083" s="6">
        <v>2011</v>
      </c>
      <c r="B2083" s="7">
        <v>14368</v>
      </c>
      <c r="C2083" s="8">
        <f>DATE(2012,12,31)-478</f>
        <v>40796</v>
      </c>
      <c r="D2083" s="8" t="str">
        <f t="shared" si="40"/>
        <v>2011-09 (сентябрь 2011)</v>
      </c>
      <c r="E2083" s="9" t="s">
        <v>30</v>
      </c>
      <c r="F2083" s="7">
        <v>5</v>
      </c>
      <c r="G2083" s="7">
        <v>522.05999999999995</v>
      </c>
      <c r="H2083" s="7">
        <v>0.06</v>
      </c>
      <c r="I2083" s="9" t="s">
        <v>22</v>
      </c>
      <c r="J2083" s="10">
        <v>319.64</v>
      </c>
      <c r="K2083" s="11">
        <v>105.98</v>
      </c>
      <c r="L2083" s="11">
        <v>13.99</v>
      </c>
      <c r="M2083" s="9" t="s">
        <v>1025</v>
      </c>
      <c r="N2083" s="6" t="s">
        <v>1123</v>
      </c>
      <c r="O2083" s="6" t="s">
        <v>1123</v>
      </c>
      <c r="P2083" s="9" t="s">
        <v>33</v>
      </c>
      <c r="Q2083" s="9" t="s">
        <v>49</v>
      </c>
      <c r="R2083" s="9" t="s">
        <v>50</v>
      </c>
      <c r="S2083" s="7" t="s">
        <v>242</v>
      </c>
      <c r="T2083" s="9" t="s">
        <v>48</v>
      </c>
      <c r="U2083" s="7">
        <v>0.65</v>
      </c>
      <c r="V2083" s="12">
        <f>C2083+1</f>
        <v>40797</v>
      </c>
      <c r="W2083">
        <f>IF(D2083=' Pivot Tables'!$A$4,1,0)</f>
        <v>0</v>
      </c>
      <c r="X2083">
        <f>IF(AND(LEFT(D2083,4)+1=LEFT(' Pivot Tables'!$A$4,4)+0,RIGHT(LEFT(D2083,7),2)=RIGHT(LEFT(' Pivot Tables'!$A$4,7),2)),1,0)</f>
        <v>0</v>
      </c>
      <c r="Y2083" s="6">
        <f>1/COUNTIF(Таблица1[Order ID],Таблица1[[#This Row],[Order ID]])</f>
        <v>0.5</v>
      </c>
      <c r="Z2083" s="9">
        <f>1/COUNTIFS(Таблица1[Customer Name],Таблица1[[#This Row],[Customer Name]],Таблица1[Order-Year-Month],Таблица1[[#This Row],[Order-Year-Month]])</f>
        <v>0.25</v>
      </c>
    </row>
    <row r="2084" spans="1:26" x14ac:dyDescent="0.2">
      <c r="A2084" s="6">
        <v>2012</v>
      </c>
      <c r="B2084" s="7">
        <v>14368</v>
      </c>
      <c r="C2084" s="8">
        <f>DATE(2012,12,31)-478</f>
        <v>40796</v>
      </c>
      <c r="D2084" s="8" t="str">
        <f t="shared" si="40"/>
        <v>2011-09 (сентябрь 2011)</v>
      </c>
      <c r="E2084" s="9" t="s">
        <v>30</v>
      </c>
      <c r="F2084" s="7">
        <v>37</v>
      </c>
      <c r="G2084" s="7">
        <v>1218.08</v>
      </c>
      <c r="H2084" s="7">
        <v>0.1</v>
      </c>
      <c r="I2084" s="9" t="s">
        <v>22</v>
      </c>
      <c r="J2084" s="10">
        <v>99.79</v>
      </c>
      <c r="K2084" s="11">
        <v>34.58</v>
      </c>
      <c r="L2084" s="11">
        <v>8.99</v>
      </c>
      <c r="M2084" s="9" t="s">
        <v>1025</v>
      </c>
      <c r="N2084" s="6" t="s">
        <v>1123</v>
      </c>
      <c r="O2084" s="6" t="s">
        <v>1123</v>
      </c>
      <c r="P2084" s="9" t="s">
        <v>33</v>
      </c>
      <c r="Q2084" s="9" t="s">
        <v>26</v>
      </c>
      <c r="R2084" s="9" t="s">
        <v>95</v>
      </c>
      <c r="S2084" s="7" t="s">
        <v>713</v>
      </c>
      <c r="T2084" s="9" t="s">
        <v>52</v>
      </c>
      <c r="U2084" s="7">
        <v>0.56000000000000005</v>
      </c>
      <c r="V2084" s="12">
        <f>C2084+2</f>
        <v>40798</v>
      </c>
      <c r="W2084">
        <f>IF(D2084=' Pivot Tables'!$A$4,1,0)</f>
        <v>0</v>
      </c>
      <c r="X2084">
        <f>IF(AND(LEFT(D2084,4)+1=LEFT(' Pivot Tables'!$A$4,4)+0,RIGHT(LEFT(D2084,7),2)=RIGHT(LEFT(' Pivot Tables'!$A$4,7),2)),1,0)</f>
        <v>0</v>
      </c>
      <c r="Y2084" s="6">
        <f>1/COUNTIF(Таблица1[Order ID],Таблица1[[#This Row],[Order ID]])</f>
        <v>0.5</v>
      </c>
      <c r="Z2084" s="9">
        <f>1/COUNTIFS(Таблица1[Customer Name],Таблица1[[#This Row],[Customer Name]],Таблица1[Order-Year-Month],Таблица1[[#This Row],[Order-Year-Month]])</f>
        <v>0.25</v>
      </c>
    </row>
    <row r="2085" spans="1:26" x14ac:dyDescent="0.2">
      <c r="A2085" s="6">
        <v>2045</v>
      </c>
      <c r="B2085" s="7">
        <v>14596</v>
      </c>
      <c r="C2085" s="8">
        <f>DATE(2012,12,31)-1451</f>
        <v>39823</v>
      </c>
      <c r="D2085" s="8" t="str">
        <f t="shared" si="40"/>
        <v>2009-01 (январь 2009)</v>
      </c>
      <c r="E2085" s="9" t="s">
        <v>78</v>
      </c>
      <c r="F2085" s="7">
        <v>24</v>
      </c>
      <c r="G2085" s="7">
        <v>199.12</v>
      </c>
      <c r="H2085" s="7">
        <v>0.01</v>
      </c>
      <c r="I2085" s="9" t="s">
        <v>22</v>
      </c>
      <c r="J2085" s="10">
        <v>73.33</v>
      </c>
      <c r="K2085" s="11">
        <v>8.34</v>
      </c>
      <c r="L2085" s="11">
        <v>0.96</v>
      </c>
      <c r="M2085" s="9" t="s">
        <v>1289</v>
      </c>
      <c r="N2085" s="6" t="s">
        <v>1123</v>
      </c>
      <c r="O2085" s="6" t="s">
        <v>1123</v>
      </c>
      <c r="P2085" s="9" t="s">
        <v>41</v>
      </c>
      <c r="Q2085" s="9" t="s">
        <v>49</v>
      </c>
      <c r="R2085" s="9" t="s">
        <v>50</v>
      </c>
      <c r="S2085" s="7" t="s">
        <v>1306</v>
      </c>
      <c r="T2085" s="9" t="s">
        <v>68</v>
      </c>
      <c r="U2085" s="7">
        <v>0.43</v>
      </c>
      <c r="V2085" s="12">
        <f>C2085+2</f>
        <v>39825</v>
      </c>
      <c r="W2085">
        <f>IF(D2085=' Pivot Tables'!$A$4,1,0)</f>
        <v>0</v>
      </c>
      <c r="X2085">
        <f>IF(AND(LEFT(D2085,4)+1=LEFT(' Pivot Tables'!$A$4,4)+0,RIGHT(LEFT(D2085,7),2)=RIGHT(LEFT(' Pivot Tables'!$A$4,7),2)),1,0)</f>
        <v>1</v>
      </c>
      <c r="Y2085" s="6">
        <f>1/COUNTIF(Таблица1[Order ID],Таблица1[[#This Row],[Order ID]])</f>
        <v>0.5</v>
      </c>
      <c r="Z2085" s="9">
        <f>1/COUNTIFS(Таблица1[Customer Name],Таблица1[[#This Row],[Customer Name]],Таблица1[Order-Year-Month],Таблица1[[#This Row],[Order-Year-Month]])</f>
        <v>0.5</v>
      </c>
    </row>
    <row r="2086" spans="1:26" x14ac:dyDescent="0.2">
      <c r="A2086" s="6">
        <v>2046</v>
      </c>
      <c r="B2086" s="7">
        <v>14596</v>
      </c>
      <c r="C2086" s="8">
        <f>DATE(2012,12,31)-1451</f>
        <v>39823</v>
      </c>
      <c r="D2086" s="8" t="str">
        <f t="shared" si="40"/>
        <v>2009-01 (январь 2009)</v>
      </c>
      <c r="E2086" s="9" t="s">
        <v>78</v>
      </c>
      <c r="F2086" s="7">
        <v>19</v>
      </c>
      <c r="G2086" s="7">
        <v>63.14</v>
      </c>
      <c r="H2086" s="7">
        <v>0.06</v>
      </c>
      <c r="I2086" s="9" t="s">
        <v>22</v>
      </c>
      <c r="J2086" s="10">
        <v>-53.75</v>
      </c>
      <c r="K2086" s="11">
        <v>3.28</v>
      </c>
      <c r="L2086" s="11">
        <v>3.97</v>
      </c>
      <c r="M2086" s="9" t="s">
        <v>1289</v>
      </c>
      <c r="N2086" s="6" t="s">
        <v>1123</v>
      </c>
      <c r="O2086" s="6" t="s">
        <v>1123</v>
      </c>
      <c r="P2086" s="9" t="s">
        <v>41</v>
      </c>
      <c r="Q2086" s="9" t="s">
        <v>26</v>
      </c>
      <c r="R2086" s="9" t="s">
        <v>95</v>
      </c>
      <c r="S2086" s="7" t="s">
        <v>572</v>
      </c>
      <c r="T2086" s="9" t="s">
        <v>68</v>
      </c>
      <c r="U2086" s="7">
        <v>0.56000000000000005</v>
      </c>
      <c r="V2086" s="12">
        <f>C2086+1</f>
        <v>39824</v>
      </c>
      <c r="W2086">
        <f>IF(D2086=' Pivot Tables'!$A$4,1,0)</f>
        <v>0</v>
      </c>
      <c r="X2086">
        <f>IF(AND(LEFT(D2086,4)+1=LEFT(' Pivot Tables'!$A$4,4)+0,RIGHT(LEFT(D2086,7),2)=RIGHT(LEFT(' Pivot Tables'!$A$4,7),2)),1,0)</f>
        <v>1</v>
      </c>
      <c r="Y2086" s="6">
        <f>1/COUNTIF(Таблица1[Order ID],Таблица1[[#This Row],[Order ID]])</f>
        <v>0.5</v>
      </c>
      <c r="Z2086" s="9">
        <f>1/COUNTIFS(Таблица1[Customer Name],Таблица1[[#This Row],[Customer Name]],Таблица1[Order-Year-Month],Таблица1[[#This Row],[Order-Year-Month]])</f>
        <v>0.5</v>
      </c>
    </row>
    <row r="2087" spans="1:26" x14ac:dyDescent="0.2">
      <c r="A2087" s="6">
        <v>2055</v>
      </c>
      <c r="B2087" s="7">
        <v>14693</v>
      </c>
      <c r="C2087" s="8">
        <f>DATE(2012,12,31)-722</f>
        <v>40552</v>
      </c>
      <c r="D2087" s="8" t="str">
        <f t="shared" si="40"/>
        <v>2011-01 (январь 2011)</v>
      </c>
      <c r="E2087" s="9" t="s">
        <v>78</v>
      </c>
      <c r="F2087" s="7">
        <v>39</v>
      </c>
      <c r="G2087" s="7">
        <v>268.94</v>
      </c>
      <c r="H2087" s="7">
        <v>0.02</v>
      </c>
      <c r="I2087" s="9" t="s">
        <v>22</v>
      </c>
      <c r="J2087" s="10">
        <v>-87.52</v>
      </c>
      <c r="K2087" s="11">
        <v>6.48</v>
      </c>
      <c r="L2087" s="11">
        <v>6.41</v>
      </c>
      <c r="M2087" s="9" t="s">
        <v>1289</v>
      </c>
      <c r="N2087" s="6" t="s">
        <v>1123</v>
      </c>
      <c r="O2087" s="6" t="s">
        <v>1123</v>
      </c>
      <c r="P2087" s="9" t="s">
        <v>41</v>
      </c>
      <c r="Q2087" s="9" t="s">
        <v>26</v>
      </c>
      <c r="R2087" s="9" t="s">
        <v>61</v>
      </c>
      <c r="S2087" s="7" t="s">
        <v>1307</v>
      </c>
      <c r="T2087" s="9" t="s">
        <v>39</v>
      </c>
      <c r="U2087" s="7">
        <v>0.37</v>
      </c>
      <c r="V2087" s="12">
        <f>C2087+2</f>
        <v>40554</v>
      </c>
      <c r="W2087">
        <f>IF(D2087=' Pivot Tables'!$A$4,1,0)</f>
        <v>0</v>
      </c>
      <c r="X2087">
        <f>IF(AND(LEFT(D2087,4)+1=LEFT(' Pivot Tables'!$A$4,4)+0,RIGHT(LEFT(D2087,7),2)=RIGHT(LEFT(' Pivot Tables'!$A$4,7),2)),1,0)</f>
        <v>0</v>
      </c>
      <c r="Y2087" s="6">
        <f>1/COUNTIF(Таблица1[Order ID],Таблица1[[#This Row],[Order ID]])</f>
        <v>0.5</v>
      </c>
      <c r="Z2087" s="9">
        <f>1/COUNTIFS(Таблица1[Customer Name],Таблица1[[#This Row],[Customer Name]],Таблица1[Order-Year-Month],Таблица1[[#This Row],[Order-Year-Month]])</f>
        <v>0.5</v>
      </c>
    </row>
    <row r="2088" spans="1:26" x14ac:dyDescent="0.2">
      <c r="A2088" s="6">
        <v>2056</v>
      </c>
      <c r="B2088" s="7">
        <v>14693</v>
      </c>
      <c r="C2088" s="8">
        <f>DATE(2012,12,31)-722</f>
        <v>40552</v>
      </c>
      <c r="D2088" s="8" t="str">
        <f t="shared" si="40"/>
        <v>2011-01 (январь 2011)</v>
      </c>
      <c r="E2088" s="9" t="s">
        <v>78</v>
      </c>
      <c r="F2088" s="7">
        <v>38</v>
      </c>
      <c r="G2088" s="7">
        <v>847.82</v>
      </c>
      <c r="H2088" s="7">
        <v>0.05</v>
      </c>
      <c r="I2088" s="9" t="s">
        <v>31</v>
      </c>
      <c r="J2088" s="10">
        <v>-1348.5</v>
      </c>
      <c r="K2088" s="11">
        <v>20.98</v>
      </c>
      <c r="L2088" s="11">
        <v>45</v>
      </c>
      <c r="M2088" s="9" t="s">
        <v>1289</v>
      </c>
      <c r="N2088" s="6" t="s">
        <v>1123</v>
      </c>
      <c r="O2088" s="6" t="s">
        <v>1123</v>
      </c>
      <c r="P2088" s="9" t="s">
        <v>41</v>
      </c>
      <c r="Q2088" s="9" t="s">
        <v>26</v>
      </c>
      <c r="R2088" s="9" t="s">
        <v>27</v>
      </c>
      <c r="S2088" s="7" t="s">
        <v>578</v>
      </c>
      <c r="T2088" s="9" t="s">
        <v>36</v>
      </c>
      <c r="U2088" s="7">
        <v>0.61</v>
      </c>
      <c r="V2088" s="12">
        <f>C2088+2</f>
        <v>40554</v>
      </c>
      <c r="W2088">
        <f>IF(D2088=' Pivot Tables'!$A$4,1,0)</f>
        <v>0</v>
      </c>
      <c r="X2088">
        <f>IF(AND(LEFT(D2088,4)+1=LEFT(' Pivot Tables'!$A$4,4)+0,RIGHT(LEFT(D2088,7),2)=RIGHT(LEFT(' Pivot Tables'!$A$4,7),2)),1,0)</f>
        <v>0</v>
      </c>
      <c r="Y2088" s="6">
        <f>1/COUNTIF(Таблица1[Order ID],Таблица1[[#This Row],[Order ID]])</f>
        <v>0.5</v>
      </c>
      <c r="Z2088" s="9">
        <f>1/COUNTIFS(Таблица1[Customer Name],Таблица1[[#This Row],[Customer Name]],Таблица1[Order-Year-Month],Таблица1[[#This Row],[Order-Year-Month]])</f>
        <v>0.5</v>
      </c>
    </row>
    <row r="2089" spans="1:26" x14ac:dyDescent="0.2">
      <c r="A2089" s="6">
        <v>2057</v>
      </c>
      <c r="B2089" s="7">
        <v>14695</v>
      </c>
      <c r="C2089" s="8">
        <f>DATE(2012,12,31)-117</f>
        <v>41157</v>
      </c>
      <c r="D2089" s="8" t="str">
        <f t="shared" si="40"/>
        <v>2012-09 (сентябрь 2012)</v>
      </c>
      <c r="E2089" s="9" t="s">
        <v>30</v>
      </c>
      <c r="F2089" s="7">
        <v>40</v>
      </c>
      <c r="G2089" s="7">
        <v>1992.45</v>
      </c>
      <c r="H2089" s="7">
        <v>0.05</v>
      </c>
      <c r="I2089" s="9" t="s">
        <v>31</v>
      </c>
      <c r="J2089" s="10">
        <v>-1609.92</v>
      </c>
      <c r="K2089" s="11">
        <v>48.58</v>
      </c>
      <c r="L2089" s="11">
        <v>54.11</v>
      </c>
      <c r="M2089" s="9" t="s">
        <v>1252</v>
      </c>
      <c r="N2089" s="6" t="s">
        <v>1123</v>
      </c>
      <c r="O2089" s="6" t="s">
        <v>1123</v>
      </c>
      <c r="P2089" s="9" t="s">
        <v>41</v>
      </c>
      <c r="Q2089" s="9" t="s">
        <v>49</v>
      </c>
      <c r="R2089" s="9" t="s">
        <v>80</v>
      </c>
      <c r="S2089" s="7" t="s">
        <v>241</v>
      </c>
      <c r="T2089" s="9" t="s">
        <v>82</v>
      </c>
      <c r="U2089" s="7">
        <v>0.69</v>
      </c>
      <c r="V2089" s="12">
        <f>C2089+1</f>
        <v>41158</v>
      </c>
      <c r="W2089">
        <f>IF(D2089=' Pivot Tables'!$A$4,1,0)</f>
        <v>0</v>
      </c>
      <c r="X2089">
        <f>IF(AND(LEFT(D2089,4)+1=LEFT(' Pivot Tables'!$A$4,4)+0,RIGHT(LEFT(D2089,7),2)=RIGHT(LEFT(' Pivot Tables'!$A$4,7),2)),1,0)</f>
        <v>0</v>
      </c>
      <c r="Y2089" s="6">
        <f>1/COUNTIF(Таблица1[Order ID],Таблица1[[#This Row],[Order ID]])</f>
        <v>1</v>
      </c>
      <c r="Z2089" s="9">
        <f>1/COUNTIFS(Таблица1[Customer Name],Таблица1[[#This Row],[Customer Name]],Таблица1[Order-Year-Month],Таблица1[[#This Row],[Order-Year-Month]])</f>
        <v>1</v>
      </c>
    </row>
    <row r="2090" spans="1:26" x14ac:dyDescent="0.2">
      <c r="A2090" s="6">
        <v>2073</v>
      </c>
      <c r="B2090" s="7">
        <v>14823</v>
      </c>
      <c r="C2090" s="8">
        <f>DATE(2012,12,31)-1418</f>
        <v>39856</v>
      </c>
      <c r="D2090" s="8" t="str">
        <f t="shared" si="40"/>
        <v>2009-02 (февраль 2009)</v>
      </c>
      <c r="E2090" s="9" t="s">
        <v>21</v>
      </c>
      <c r="F2090" s="7">
        <v>15</v>
      </c>
      <c r="G2090" s="7">
        <v>103.62</v>
      </c>
      <c r="H2090" s="7">
        <v>0.1</v>
      </c>
      <c r="I2090" s="9" t="s">
        <v>22</v>
      </c>
      <c r="J2090" s="10">
        <v>39.979999999999997</v>
      </c>
      <c r="K2090" s="11">
        <v>7.31</v>
      </c>
      <c r="L2090" s="11">
        <v>0.49</v>
      </c>
      <c r="M2090" s="9" t="s">
        <v>1308</v>
      </c>
      <c r="N2090" s="6" t="s">
        <v>1123</v>
      </c>
      <c r="O2090" s="6" t="s">
        <v>1123</v>
      </c>
      <c r="P2090" s="9" t="s">
        <v>25</v>
      </c>
      <c r="Q2090" s="9" t="s">
        <v>26</v>
      </c>
      <c r="R2090" s="9" t="s">
        <v>88</v>
      </c>
      <c r="S2090" s="7" t="s">
        <v>107</v>
      </c>
      <c r="T2090" s="9" t="s">
        <v>39</v>
      </c>
      <c r="U2090" s="7">
        <v>0.38</v>
      </c>
      <c r="V2090" s="12">
        <f>C2090+9</f>
        <v>39865</v>
      </c>
      <c r="W2090">
        <f>IF(D2090=' Pivot Tables'!$A$4,1,0)</f>
        <v>0</v>
      </c>
      <c r="X2090">
        <f>IF(AND(LEFT(D2090,4)+1=LEFT(' Pivot Tables'!$A$4,4)+0,RIGHT(LEFT(D2090,7),2)=RIGHT(LEFT(' Pivot Tables'!$A$4,7),2)),1,0)</f>
        <v>0</v>
      </c>
      <c r="Y2090" s="6">
        <f>1/COUNTIF(Таблица1[Order ID],Таблица1[[#This Row],[Order ID]])</f>
        <v>0.5</v>
      </c>
      <c r="Z2090" s="9">
        <f>1/COUNTIFS(Таблица1[Customer Name],Таблица1[[#This Row],[Customer Name]],Таблица1[Order-Year-Month],Таблица1[[#This Row],[Order-Year-Month]])</f>
        <v>0.5</v>
      </c>
    </row>
    <row r="2091" spans="1:26" x14ac:dyDescent="0.2">
      <c r="A2091" s="6">
        <v>2074</v>
      </c>
      <c r="B2091" s="7">
        <v>14823</v>
      </c>
      <c r="C2091" s="8">
        <f>DATE(2012,12,31)-1418</f>
        <v>39856</v>
      </c>
      <c r="D2091" s="8" t="str">
        <f t="shared" si="40"/>
        <v>2009-02 (февраль 2009)</v>
      </c>
      <c r="E2091" s="9" t="s">
        <v>21</v>
      </c>
      <c r="F2091" s="7">
        <v>20</v>
      </c>
      <c r="G2091" s="7">
        <v>124.84</v>
      </c>
      <c r="H2091" s="7">
        <v>0.08</v>
      </c>
      <c r="I2091" s="9" t="s">
        <v>22</v>
      </c>
      <c r="J2091" s="10">
        <v>10.56</v>
      </c>
      <c r="K2091" s="11">
        <v>6.7</v>
      </c>
      <c r="L2091" s="11">
        <v>1.56</v>
      </c>
      <c r="M2091" s="9" t="s">
        <v>1308</v>
      </c>
      <c r="N2091" s="6" t="s">
        <v>1123</v>
      </c>
      <c r="O2091" s="6" t="s">
        <v>1123</v>
      </c>
      <c r="P2091" s="9" t="s">
        <v>25</v>
      </c>
      <c r="Q2091" s="9" t="s">
        <v>26</v>
      </c>
      <c r="R2091" s="9" t="s">
        <v>95</v>
      </c>
      <c r="S2091" s="7" t="s">
        <v>260</v>
      </c>
      <c r="T2091" s="9" t="s">
        <v>68</v>
      </c>
      <c r="U2091" s="7">
        <v>0.52</v>
      </c>
      <c r="V2091" s="12">
        <f>C2091+0</f>
        <v>39856</v>
      </c>
      <c r="W2091">
        <f>IF(D2091=' Pivot Tables'!$A$4,1,0)</f>
        <v>0</v>
      </c>
      <c r="X2091">
        <f>IF(AND(LEFT(D2091,4)+1=LEFT(' Pivot Tables'!$A$4,4)+0,RIGHT(LEFT(D2091,7),2)=RIGHT(LEFT(' Pivot Tables'!$A$4,7),2)),1,0)</f>
        <v>0</v>
      </c>
      <c r="Y2091" s="6">
        <f>1/COUNTIF(Таблица1[Order ID],Таблица1[[#This Row],[Order ID]])</f>
        <v>0.5</v>
      </c>
      <c r="Z2091" s="9">
        <f>1/COUNTIFS(Таблица1[Customer Name],Таблица1[[#This Row],[Customer Name]],Таблица1[Order-Year-Month],Таблица1[[#This Row],[Order-Year-Month]])</f>
        <v>0.5</v>
      </c>
    </row>
    <row r="2092" spans="1:26" x14ac:dyDescent="0.2">
      <c r="A2092" s="6">
        <v>2101</v>
      </c>
      <c r="B2092" s="7">
        <v>15014</v>
      </c>
      <c r="C2092" s="8">
        <f>DATE(2012,12,31)-1055</f>
        <v>40219</v>
      </c>
      <c r="D2092" s="8" t="str">
        <f t="shared" si="40"/>
        <v>2010-02 (февраль 2010)</v>
      </c>
      <c r="E2092" s="9" t="s">
        <v>63</v>
      </c>
      <c r="F2092" s="7">
        <v>10</v>
      </c>
      <c r="G2092" s="7">
        <v>633.13</v>
      </c>
      <c r="H2092" s="7">
        <v>0.05</v>
      </c>
      <c r="I2092" s="9" t="s">
        <v>31</v>
      </c>
      <c r="J2092" s="10">
        <v>-203.9</v>
      </c>
      <c r="K2092" s="11">
        <v>58.14</v>
      </c>
      <c r="L2092" s="11">
        <v>36.61</v>
      </c>
      <c r="M2092" s="9" t="s">
        <v>1253</v>
      </c>
      <c r="N2092" s="6" t="s">
        <v>1123</v>
      </c>
      <c r="O2092" s="6" t="s">
        <v>1123</v>
      </c>
      <c r="P2092" s="9" t="s">
        <v>41</v>
      </c>
      <c r="Q2092" s="9" t="s">
        <v>49</v>
      </c>
      <c r="R2092" s="9" t="s">
        <v>80</v>
      </c>
      <c r="S2092" s="7" t="s">
        <v>233</v>
      </c>
      <c r="T2092" s="9" t="s">
        <v>82</v>
      </c>
      <c r="U2092" s="7">
        <v>0.61</v>
      </c>
      <c r="V2092" s="12">
        <f>C2092+3</f>
        <v>40222</v>
      </c>
      <c r="W2092">
        <f>IF(D2092=' Pivot Tables'!$A$4,1,0)</f>
        <v>0</v>
      </c>
      <c r="X2092">
        <f>IF(AND(LEFT(D2092,4)+1=LEFT(' Pivot Tables'!$A$4,4)+0,RIGHT(LEFT(D2092,7),2)=RIGHT(LEFT(' Pivot Tables'!$A$4,7),2)),1,0)</f>
        <v>0</v>
      </c>
      <c r="Y2092" s="6">
        <f>1/COUNTIF(Таблица1[Order ID],Таблица1[[#This Row],[Order ID]])</f>
        <v>1</v>
      </c>
      <c r="Z2092" s="9">
        <f>1/COUNTIFS(Таблица1[Customer Name],Таблица1[[#This Row],[Customer Name]],Таблица1[Order-Year-Month],Таблица1[[#This Row],[Order-Year-Month]])</f>
        <v>0.5</v>
      </c>
    </row>
    <row r="2093" spans="1:26" x14ac:dyDescent="0.2">
      <c r="A2093" s="6">
        <v>2213</v>
      </c>
      <c r="B2093" s="7">
        <v>15972</v>
      </c>
      <c r="C2093" s="8">
        <f>DATE(2012,12,31)-510</f>
        <v>40764</v>
      </c>
      <c r="D2093" s="8" t="str">
        <f t="shared" si="40"/>
        <v>2011-08 (август 2011)</v>
      </c>
      <c r="E2093" s="9" t="s">
        <v>45</v>
      </c>
      <c r="F2093" s="7">
        <v>3</v>
      </c>
      <c r="G2093" s="7">
        <v>10.33</v>
      </c>
      <c r="H2093" s="7">
        <v>0.04</v>
      </c>
      <c r="I2093" s="9" t="s">
        <v>22</v>
      </c>
      <c r="J2093" s="10">
        <v>-3.86</v>
      </c>
      <c r="K2093" s="11">
        <v>2.98</v>
      </c>
      <c r="L2093" s="11">
        <v>1.58</v>
      </c>
      <c r="M2093" s="9" t="s">
        <v>1309</v>
      </c>
      <c r="N2093" s="6" t="s">
        <v>1123</v>
      </c>
      <c r="O2093" s="6" t="s">
        <v>1123</v>
      </c>
      <c r="P2093" s="9" t="s">
        <v>25</v>
      </c>
      <c r="Q2093" s="9" t="s">
        <v>26</v>
      </c>
      <c r="R2093" s="9" t="s">
        <v>66</v>
      </c>
      <c r="S2093" s="7" t="s">
        <v>1310</v>
      </c>
      <c r="T2093" s="9" t="s">
        <v>68</v>
      </c>
      <c r="U2093" s="7">
        <v>0.39</v>
      </c>
      <c r="V2093" s="12">
        <f>C2093+0</f>
        <v>40764</v>
      </c>
      <c r="W2093">
        <f>IF(D2093=' Pivot Tables'!$A$4,1,0)</f>
        <v>0</v>
      </c>
      <c r="X2093">
        <f>IF(AND(LEFT(D2093,4)+1=LEFT(' Pivot Tables'!$A$4,4)+0,RIGHT(LEFT(D2093,7),2)=RIGHT(LEFT(' Pivot Tables'!$A$4,7),2)),1,0)</f>
        <v>0</v>
      </c>
      <c r="Y2093" s="6">
        <f>1/COUNTIF(Таблица1[Order ID],Таблица1[[#This Row],[Order ID]])</f>
        <v>0.5</v>
      </c>
      <c r="Z2093" s="9">
        <f>1/COUNTIFS(Таблица1[Customer Name],Таблица1[[#This Row],[Customer Name]],Таблица1[Order-Year-Month],Таблица1[[#This Row],[Order-Year-Month]])</f>
        <v>0.5</v>
      </c>
    </row>
    <row r="2094" spans="1:26" x14ac:dyDescent="0.2">
      <c r="A2094" s="6">
        <v>2214</v>
      </c>
      <c r="B2094" s="7">
        <v>15972</v>
      </c>
      <c r="C2094" s="8">
        <f>DATE(2012,12,31)-510</f>
        <v>40764</v>
      </c>
      <c r="D2094" s="8" t="str">
        <f t="shared" si="40"/>
        <v>2011-08 (август 2011)</v>
      </c>
      <c r="E2094" s="9" t="s">
        <v>45</v>
      </c>
      <c r="F2094" s="7">
        <v>2</v>
      </c>
      <c r="G2094" s="7">
        <v>14.39</v>
      </c>
      <c r="H2094" s="7">
        <v>7.0000000000000007E-2</v>
      </c>
      <c r="I2094" s="9" t="s">
        <v>22</v>
      </c>
      <c r="J2094" s="10">
        <v>-10.24</v>
      </c>
      <c r="K2094" s="11">
        <v>5.81</v>
      </c>
      <c r="L2094" s="11">
        <v>3.37</v>
      </c>
      <c r="M2094" s="9" t="s">
        <v>1309</v>
      </c>
      <c r="N2094" s="6" t="s">
        <v>1123</v>
      </c>
      <c r="O2094" s="6" t="s">
        <v>1123</v>
      </c>
      <c r="P2094" s="9" t="s">
        <v>25</v>
      </c>
      <c r="Q2094" s="9" t="s">
        <v>26</v>
      </c>
      <c r="R2094" s="9" t="s">
        <v>66</v>
      </c>
      <c r="S2094" s="7" t="s">
        <v>792</v>
      </c>
      <c r="T2094" s="9" t="s">
        <v>68</v>
      </c>
      <c r="U2094" s="7">
        <v>0.54</v>
      </c>
      <c r="V2094" s="12">
        <f>C2094+1</f>
        <v>40765</v>
      </c>
      <c r="W2094">
        <f>IF(D2094=' Pivot Tables'!$A$4,1,0)</f>
        <v>0</v>
      </c>
      <c r="X2094">
        <f>IF(AND(LEFT(D2094,4)+1=LEFT(' Pivot Tables'!$A$4,4)+0,RIGHT(LEFT(D2094,7),2)=RIGHT(LEFT(' Pivot Tables'!$A$4,7),2)),1,0)</f>
        <v>0</v>
      </c>
      <c r="Y2094" s="6">
        <f>1/COUNTIF(Таблица1[Order ID],Таблица1[[#This Row],[Order ID]])</f>
        <v>0.5</v>
      </c>
      <c r="Z2094" s="9">
        <f>1/COUNTIFS(Таблица1[Customer Name],Таблица1[[#This Row],[Customer Name]],Таблица1[Order-Year-Month],Таблица1[[#This Row],[Order-Year-Month]])</f>
        <v>0.5</v>
      </c>
    </row>
    <row r="2095" spans="1:26" x14ac:dyDescent="0.2">
      <c r="A2095" s="6">
        <v>2222</v>
      </c>
      <c r="B2095" s="7">
        <v>16065</v>
      </c>
      <c r="C2095" s="8">
        <f>DATE(2012,12,31)-895</f>
        <v>40379</v>
      </c>
      <c r="D2095" s="8" t="str">
        <f t="shared" si="40"/>
        <v>2010-07 (июль 2010)</v>
      </c>
      <c r="E2095" s="9" t="s">
        <v>30</v>
      </c>
      <c r="F2095" s="7">
        <v>15</v>
      </c>
      <c r="G2095" s="7">
        <v>6933.45</v>
      </c>
      <c r="H2095" s="7">
        <v>0.04</v>
      </c>
      <c r="I2095" s="9" t="s">
        <v>31</v>
      </c>
      <c r="J2095" s="10">
        <v>1200.2049999999999</v>
      </c>
      <c r="K2095" s="11">
        <v>449.99</v>
      </c>
      <c r="L2095" s="11">
        <v>49</v>
      </c>
      <c r="M2095" s="9" t="s">
        <v>1311</v>
      </c>
      <c r="N2095" s="6" t="s">
        <v>1123</v>
      </c>
      <c r="O2095" s="6" t="s">
        <v>1123</v>
      </c>
      <c r="P2095" s="9" t="s">
        <v>41</v>
      </c>
      <c r="Q2095" s="9" t="s">
        <v>42</v>
      </c>
      <c r="R2095" s="9" t="s">
        <v>99</v>
      </c>
      <c r="S2095" s="7" t="s">
        <v>100</v>
      </c>
      <c r="T2095" s="9" t="s">
        <v>36</v>
      </c>
      <c r="U2095" s="7">
        <v>0.38</v>
      </c>
      <c r="V2095" s="12">
        <f>C2095+0</f>
        <v>40379</v>
      </c>
      <c r="W2095">
        <f>IF(D2095=' Pivot Tables'!$A$4,1,0)</f>
        <v>0</v>
      </c>
      <c r="X2095">
        <f>IF(AND(LEFT(D2095,4)+1=LEFT(' Pivot Tables'!$A$4,4)+0,RIGHT(LEFT(D2095,7),2)=RIGHT(LEFT(' Pivot Tables'!$A$4,7),2)),1,0)</f>
        <v>0</v>
      </c>
      <c r="Y2095" s="6">
        <f>1/COUNTIF(Таблица1[Order ID],Таблица1[[#This Row],[Order ID]])</f>
        <v>0.5</v>
      </c>
      <c r="Z2095" s="9">
        <f>1/COUNTIFS(Таблица1[Customer Name],Таблица1[[#This Row],[Customer Name]],Таблица1[Order-Year-Month],Таблица1[[#This Row],[Order-Year-Month]])</f>
        <v>0.5</v>
      </c>
    </row>
    <row r="2096" spans="1:26" x14ac:dyDescent="0.2">
      <c r="A2096" s="6">
        <v>2223</v>
      </c>
      <c r="B2096" s="7">
        <v>16065</v>
      </c>
      <c r="C2096" s="8">
        <f>DATE(2012,12,31)-895</f>
        <v>40379</v>
      </c>
      <c r="D2096" s="8" t="str">
        <f t="shared" si="40"/>
        <v>2010-07 (июль 2010)</v>
      </c>
      <c r="E2096" s="9" t="s">
        <v>30</v>
      </c>
      <c r="F2096" s="7">
        <v>14</v>
      </c>
      <c r="G2096" s="7">
        <v>54.99</v>
      </c>
      <c r="H2096" s="7">
        <v>0.06</v>
      </c>
      <c r="I2096" s="9" t="s">
        <v>22</v>
      </c>
      <c r="J2096" s="10">
        <v>8.07</v>
      </c>
      <c r="K2096" s="11">
        <v>4</v>
      </c>
      <c r="L2096" s="11">
        <v>1.3</v>
      </c>
      <c r="M2096" s="9" t="s">
        <v>1311</v>
      </c>
      <c r="N2096" s="6" t="s">
        <v>1123</v>
      </c>
      <c r="O2096" s="6" t="s">
        <v>1123</v>
      </c>
      <c r="P2096" s="9" t="s">
        <v>41</v>
      </c>
      <c r="Q2096" s="9" t="s">
        <v>26</v>
      </c>
      <c r="R2096" s="9" t="s">
        <v>61</v>
      </c>
      <c r="S2096" s="7" t="s">
        <v>1209</v>
      </c>
      <c r="T2096" s="9" t="s">
        <v>68</v>
      </c>
      <c r="U2096" s="7">
        <v>0.37</v>
      </c>
      <c r="V2096" s="12">
        <f>C2096+1</f>
        <v>40380</v>
      </c>
      <c r="W2096">
        <f>IF(D2096=' Pivot Tables'!$A$4,1,0)</f>
        <v>0</v>
      </c>
      <c r="X2096">
        <f>IF(AND(LEFT(D2096,4)+1=LEFT(' Pivot Tables'!$A$4,4)+0,RIGHT(LEFT(D2096,7),2)=RIGHT(LEFT(' Pivot Tables'!$A$4,7),2)),1,0)</f>
        <v>0</v>
      </c>
      <c r="Y2096" s="6">
        <f>1/COUNTIF(Таблица1[Order ID],Таблица1[[#This Row],[Order ID]])</f>
        <v>0.5</v>
      </c>
      <c r="Z2096" s="9">
        <f>1/COUNTIFS(Таблица1[Customer Name],Таблица1[[#This Row],[Customer Name]],Таблица1[Order-Year-Month],Таблица1[[#This Row],[Order-Year-Month]])</f>
        <v>0.5</v>
      </c>
    </row>
    <row r="2097" spans="1:26" x14ac:dyDescent="0.2">
      <c r="A2097" s="6">
        <v>2224</v>
      </c>
      <c r="B2097" s="7">
        <v>16096</v>
      </c>
      <c r="C2097" s="8">
        <f>DATE(2012,12,31)-712</f>
        <v>40562</v>
      </c>
      <c r="D2097" s="8" t="str">
        <f t="shared" si="40"/>
        <v>2011-01 (январь 2011)</v>
      </c>
      <c r="E2097" s="9" t="s">
        <v>30</v>
      </c>
      <c r="F2097" s="7">
        <v>9</v>
      </c>
      <c r="G2097" s="7">
        <v>42.21</v>
      </c>
      <c r="H2097" s="7">
        <v>0</v>
      </c>
      <c r="I2097" s="9" t="s">
        <v>56</v>
      </c>
      <c r="J2097" s="10">
        <v>18.21</v>
      </c>
      <c r="K2097" s="11">
        <v>2.88</v>
      </c>
      <c r="L2097" s="11">
        <v>0.99</v>
      </c>
      <c r="M2097" s="9" t="s">
        <v>532</v>
      </c>
      <c r="N2097" s="6" t="s">
        <v>1123</v>
      </c>
      <c r="O2097" s="6" t="s">
        <v>1123</v>
      </c>
      <c r="P2097" s="9" t="s">
        <v>33</v>
      </c>
      <c r="Q2097" s="9" t="s">
        <v>26</v>
      </c>
      <c r="R2097" s="9" t="s">
        <v>88</v>
      </c>
      <c r="S2097" s="7" t="s">
        <v>300</v>
      </c>
      <c r="T2097" s="9" t="s">
        <v>39</v>
      </c>
      <c r="U2097" s="7">
        <v>0.36</v>
      </c>
      <c r="V2097" s="12">
        <f>C2097+1</f>
        <v>40563</v>
      </c>
      <c r="W2097">
        <f>IF(D2097=' Pivot Tables'!$A$4,1,0)</f>
        <v>0</v>
      </c>
      <c r="X2097">
        <f>IF(AND(LEFT(D2097,4)+1=LEFT(' Pivot Tables'!$A$4,4)+0,RIGHT(LEFT(D2097,7),2)=RIGHT(LEFT(' Pivot Tables'!$A$4,7),2)),1,0)</f>
        <v>0</v>
      </c>
      <c r="Y2097" s="6">
        <f>1/COUNTIF(Таблица1[Order ID],Таблица1[[#This Row],[Order ID]])</f>
        <v>1</v>
      </c>
      <c r="Z2097" s="9">
        <f>1/COUNTIFS(Таблица1[Customer Name],Таблица1[[#This Row],[Customer Name]],Таблица1[Order-Year-Month],Таблица1[[#This Row],[Order-Year-Month]])</f>
        <v>1</v>
      </c>
    </row>
    <row r="2098" spans="1:26" x14ac:dyDescent="0.2">
      <c r="A2098" s="6">
        <v>2236</v>
      </c>
      <c r="B2098" s="7">
        <v>16160</v>
      </c>
      <c r="C2098" s="8">
        <f>DATE(2012,12,31)-527</f>
        <v>40747</v>
      </c>
      <c r="D2098" s="8" t="str">
        <f t="shared" si="40"/>
        <v>2011-07 (июль 2011)</v>
      </c>
      <c r="E2098" s="9" t="s">
        <v>78</v>
      </c>
      <c r="F2098" s="7">
        <v>50</v>
      </c>
      <c r="G2098" s="7">
        <v>514.86</v>
      </c>
      <c r="H2098" s="7">
        <v>0.09</v>
      </c>
      <c r="I2098" s="9" t="s">
        <v>22</v>
      </c>
      <c r="J2098" s="10">
        <v>-53.18</v>
      </c>
      <c r="K2098" s="11">
        <v>10.89</v>
      </c>
      <c r="L2098" s="11">
        <v>4.5</v>
      </c>
      <c r="M2098" s="9" t="s">
        <v>1312</v>
      </c>
      <c r="N2098" s="6" t="s">
        <v>1123</v>
      </c>
      <c r="O2098" s="6" t="s">
        <v>1123</v>
      </c>
      <c r="P2098" s="9" t="s">
        <v>60</v>
      </c>
      <c r="Q2098" s="9" t="s">
        <v>26</v>
      </c>
      <c r="R2098" s="9" t="s">
        <v>34</v>
      </c>
      <c r="S2098" s="7" t="s">
        <v>345</v>
      </c>
      <c r="T2098" s="9" t="s">
        <v>39</v>
      </c>
      <c r="U2098" s="7">
        <v>0.59</v>
      </c>
      <c r="V2098" s="12">
        <f>C2098+1</f>
        <v>40748</v>
      </c>
      <c r="W2098">
        <f>IF(D2098=' Pivot Tables'!$A$4,1,0)</f>
        <v>0</v>
      </c>
      <c r="X2098">
        <f>IF(AND(LEFT(D2098,4)+1=LEFT(' Pivot Tables'!$A$4,4)+0,RIGHT(LEFT(D2098,7),2)=RIGHT(LEFT(' Pivot Tables'!$A$4,7),2)),1,0)</f>
        <v>0</v>
      </c>
      <c r="Y2098" s="6">
        <f>1/COUNTIF(Таблица1[Order ID],Таблица1[[#This Row],[Order ID]])</f>
        <v>1</v>
      </c>
      <c r="Z2098" s="9">
        <f>1/COUNTIFS(Таблица1[Customer Name],Таблица1[[#This Row],[Customer Name]],Таблица1[Order-Year-Month],Таблица1[[#This Row],[Order-Year-Month]])</f>
        <v>1</v>
      </c>
    </row>
    <row r="2099" spans="1:26" x14ac:dyDescent="0.2">
      <c r="A2099" s="6">
        <v>2249</v>
      </c>
      <c r="B2099" s="7">
        <v>16196</v>
      </c>
      <c r="C2099" s="8">
        <f>DATE(2012,12,31)-1168</f>
        <v>40106</v>
      </c>
      <c r="D2099" s="8" t="str">
        <f t="shared" si="40"/>
        <v>2009-10 (октябрь 2009)</v>
      </c>
      <c r="E2099" s="9" t="s">
        <v>30</v>
      </c>
      <c r="F2099" s="7">
        <v>44</v>
      </c>
      <c r="G2099" s="7">
        <v>14521.39</v>
      </c>
      <c r="H2099" s="7">
        <v>0.03</v>
      </c>
      <c r="I2099" s="9" t="s">
        <v>22</v>
      </c>
      <c r="J2099" s="10">
        <v>5034.1499999999996</v>
      </c>
      <c r="K2099" s="11">
        <v>320.98</v>
      </c>
      <c r="L2099" s="11">
        <v>24.49</v>
      </c>
      <c r="M2099" s="9" t="s">
        <v>1313</v>
      </c>
      <c r="N2099" s="6" t="s">
        <v>1123</v>
      </c>
      <c r="O2099" s="6" t="s">
        <v>1123</v>
      </c>
      <c r="P2099" s="9" t="s">
        <v>60</v>
      </c>
      <c r="Q2099" s="9" t="s">
        <v>49</v>
      </c>
      <c r="R2099" s="9" t="s">
        <v>112</v>
      </c>
      <c r="S2099" s="7" t="s">
        <v>1191</v>
      </c>
      <c r="T2099" s="9" t="s">
        <v>29</v>
      </c>
      <c r="U2099" s="7">
        <v>0.55000000000000004</v>
      </c>
      <c r="V2099" s="12">
        <f>C2099+2</f>
        <v>40108</v>
      </c>
      <c r="W2099">
        <f>IF(D2099=' Pivot Tables'!$A$4,1,0)</f>
        <v>0</v>
      </c>
      <c r="X2099">
        <f>IF(AND(LEFT(D2099,4)+1=LEFT(' Pivot Tables'!$A$4,4)+0,RIGHT(LEFT(D2099,7),2)=RIGHT(LEFT(' Pivot Tables'!$A$4,7),2)),1,0)</f>
        <v>0</v>
      </c>
      <c r="Y2099" s="6">
        <f>1/COUNTIF(Таблица1[Order ID],Таблица1[[#This Row],[Order ID]])</f>
        <v>0.5</v>
      </c>
      <c r="Z2099" s="9">
        <f>1/COUNTIFS(Таблица1[Customer Name],Таблица1[[#This Row],[Customer Name]],Таблица1[Order-Year-Month],Таблица1[[#This Row],[Order-Year-Month]])</f>
        <v>0.5</v>
      </c>
    </row>
    <row r="2100" spans="1:26" x14ac:dyDescent="0.2">
      <c r="A2100" s="6">
        <v>2250</v>
      </c>
      <c r="B2100" s="7">
        <v>16196</v>
      </c>
      <c r="C2100" s="8">
        <f>DATE(2012,12,31)-1168</f>
        <v>40106</v>
      </c>
      <c r="D2100" s="8" t="str">
        <f t="shared" si="40"/>
        <v>2009-10 (октябрь 2009)</v>
      </c>
      <c r="E2100" s="9" t="s">
        <v>30</v>
      </c>
      <c r="F2100" s="7">
        <v>39</v>
      </c>
      <c r="G2100" s="7">
        <v>3925.9714999999997</v>
      </c>
      <c r="H2100" s="7">
        <v>0.06</v>
      </c>
      <c r="I2100" s="9" t="s">
        <v>22</v>
      </c>
      <c r="J2100" s="10">
        <v>671.94900000000007</v>
      </c>
      <c r="K2100" s="11">
        <v>125.99</v>
      </c>
      <c r="L2100" s="11">
        <v>8.8000000000000007</v>
      </c>
      <c r="M2100" s="9" t="s">
        <v>1313</v>
      </c>
      <c r="N2100" s="6" t="s">
        <v>1123</v>
      </c>
      <c r="O2100" s="6" t="s">
        <v>1123</v>
      </c>
      <c r="P2100" s="9" t="s">
        <v>60</v>
      </c>
      <c r="Q2100" s="9" t="s">
        <v>42</v>
      </c>
      <c r="R2100" s="9" t="s">
        <v>43</v>
      </c>
      <c r="S2100" s="7" t="s">
        <v>800</v>
      </c>
      <c r="T2100" s="9" t="s">
        <v>39</v>
      </c>
      <c r="U2100" s="7">
        <v>0.59</v>
      </c>
      <c r="V2100" s="12">
        <f>C2100+1</f>
        <v>40107</v>
      </c>
      <c r="W2100">
        <f>IF(D2100=' Pivot Tables'!$A$4,1,0)</f>
        <v>0</v>
      </c>
      <c r="X2100">
        <f>IF(AND(LEFT(D2100,4)+1=LEFT(' Pivot Tables'!$A$4,4)+0,RIGHT(LEFT(D2100,7),2)=RIGHT(LEFT(' Pivot Tables'!$A$4,7),2)),1,0)</f>
        <v>0</v>
      </c>
      <c r="Y2100" s="6">
        <f>1/COUNTIF(Таблица1[Order ID],Таблица1[[#This Row],[Order ID]])</f>
        <v>0.5</v>
      </c>
      <c r="Z2100" s="9">
        <f>1/COUNTIFS(Таблица1[Customer Name],Таблица1[[#This Row],[Customer Name]],Таблица1[Order-Year-Month],Таблица1[[#This Row],[Order-Year-Month]])</f>
        <v>0.5</v>
      </c>
    </row>
    <row r="2101" spans="1:26" x14ac:dyDescent="0.2">
      <c r="A2101" s="6">
        <v>2268</v>
      </c>
      <c r="B2101" s="7">
        <v>16291</v>
      </c>
      <c r="C2101" s="8">
        <f>DATE(2012,12,31)-633</f>
        <v>40641</v>
      </c>
      <c r="D2101" s="8" t="str">
        <f t="shared" si="40"/>
        <v>2011-04 (апрель 2011)</v>
      </c>
      <c r="E2101" s="9" t="s">
        <v>45</v>
      </c>
      <c r="F2101" s="7">
        <v>31</v>
      </c>
      <c r="G2101" s="7">
        <v>894.64</v>
      </c>
      <c r="H2101" s="7">
        <v>0.01</v>
      </c>
      <c r="I2101" s="9" t="s">
        <v>22</v>
      </c>
      <c r="J2101" s="10">
        <v>-27.79</v>
      </c>
      <c r="K2101" s="11">
        <v>27.42</v>
      </c>
      <c r="L2101" s="11">
        <v>19.46</v>
      </c>
      <c r="M2101" s="9" t="s">
        <v>1273</v>
      </c>
      <c r="N2101" s="6" t="s">
        <v>1123</v>
      </c>
      <c r="O2101" s="6" t="s">
        <v>1123</v>
      </c>
      <c r="P2101" s="9" t="s">
        <v>33</v>
      </c>
      <c r="Q2101" s="9" t="s">
        <v>49</v>
      </c>
      <c r="R2101" s="9" t="s">
        <v>50</v>
      </c>
      <c r="S2101" s="7" t="s">
        <v>1024</v>
      </c>
      <c r="T2101" s="9" t="s">
        <v>39</v>
      </c>
      <c r="U2101" s="7">
        <v>0.44</v>
      </c>
      <c r="V2101" s="12">
        <f>C2101+1</f>
        <v>40642</v>
      </c>
      <c r="W2101">
        <f>IF(D2101=' Pivot Tables'!$A$4,1,0)</f>
        <v>0</v>
      </c>
      <c r="X2101">
        <f>IF(AND(LEFT(D2101,4)+1=LEFT(' Pivot Tables'!$A$4,4)+0,RIGHT(LEFT(D2101,7),2)=RIGHT(LEFT(' Pivot Tables'!$A$4,7),2)),1,0)</f>
        <v>0</v>
      </c>
      <c r="Y2101" s="6">
        <f>1/COUNTIF(Таблица1[Order ID],Таблица1[[#This Row],[Order ID]])</f>
        <v>1</v>
      </c>
      <c r="Z2101" s="9">
        <f>1/COUNTIFS(Таблица1[Customer Name],Таблица1[[#This Row],[Customer Name]],Таблица1[Order-Year-Month],Таблица1[[#This Row],[Order-Year-Month]])</f>
        <v>1</v>
      </c>
    </row>
    <row r="2102" spans="1:26" x14ac:dyDescent="0.2">
      <c r="A2102" s="6">
        <v>2292</v>
      </c>
      <c r="B2102" s="7">
        <v>16519</v>
      </c>
      <c r="C2102" s="8">
        <f>DATE(2012,12,31)-570</f>
        <v>40704</v>
      </c>
      <c r="D2102" s="8" t="str">
        <f t="shared" si="40"/>
        <v>2011-06 (июнь 2011)</v>
      </c>
      <c r="E2102" s="9" t="s">
        <v>63</v>
      </c>
      <c r="F2102" s="7">
        <v>39</v>
      </c>
      <c r="G2102" s="7">
        <v>158.97</v>
      </c>
      <c r="H2102" s="7">
        <v>0.08</v>
      </c>
      <c r="I2102" s="9" t="s">
        <v>22</v>
      </c>
      <c r="J2102" s="10">
        <v>-30.268000000000001</v>
      </c>
      <c r="K2102" s="11">
        <v>4.18</v>
      </c>
      <c r="L2102" s="11">
        <v>2.99</v>
      </c>
      <c r="M2102" s="9" t="s">
        <v>1257</v>
      </c>
      <c r="N2102" s="6" t="s">
        <v>1123</v>
      </c>
      <c r="O2102" s="6" t="s">
        <v>1123</v>
      </c>
      <c r="P2102" s="9" t="s">
        <v>25</v>
      </c>
      <c r="Q2102" s="9" t="s">
        <v>26</v>
      </c>
      <c r="R2102" s="9" t="s">
        <v>37</v>
      </c>
      <c r="S2102" s="7" t="s">
        <v>1107</v>
      </c>
      <c r="T2102" s="9" t="s">
        <v>39</v>
      </c>
      <c r="U2102" s="7">
        <v>0.37</v>
      </c>
      <c r="V2102" s="12">
        <f t="shared" ref="V2102:V2107" si="41">C2102+2</f>
        <v>40706</v>
      </c>
      <c r="W2102">
        <f>IF(D2102=' Pivot Tables'!$A$4,1,0)</f>
        <v>0</v>
      </c>
      <c r="X2102">
        <f>IF(AND(LEFT(D2102,4)+1=LEFT(' Pivot Tables'!$A$4,4)+0,RIGHT(LEFT(D2102,7),2)=RIGHT(LEFT(' Pivot Tables'!$A$4,7),2)),1,0)</f>
        <v>0</v>
      </c>
      <c r="Y2102" s="6">
        <f>1/COUNTIF(Таблица1[Order ID],Таблица1[[#This Row],[Order ID]])</f>
        <v>0.5</v>
      </c>
      <c r="Z2102" s="9">
        <f>1/COUNTIFS(Таблица1[Customer Name],Таблица1[[#This Row],[Customer Name]],Таблица1[Order-Year-Month],Таблица1[[#This Row],[Order-Year-Month]])</f>
        <v>0.5</v>
      </c>
    </row>
    <row r="2103" spans="1:26" x14ac:dyDescent="0.2">
      <c r="A2103" s="6">
        <v>2293</v>
      </c>
      <c r="B2103" s="7">
        <v>16519</v>
      </c>
      <c r="C2103" s="8">
        <f>DATE(2012,12,31)-570</f>
        <v>40704</v>
      </c>
      <c r="D2103" s="8" t="str">
        <f t="shared" si="40"/>
        <v>2011-06 (июнь 2011)</v>
      </c>
      <c r="E2103" s="9" t="s">
        <v>63</v>
      </c>
      <c r="F2103" s="7">
        <v>49</v>
      </c>
      <c r="G2103" s="7">
        <v>138.96</v>
      </c>
      <c r="H2103" s="7">
        <v>0.03</v>
      </c>
      <c r="I2103" s="9" t="s">
        <v>22</v>
      </c>
      <c r="J2103" s="10">
        <v>19.87</v>
      </c>
      <c r="K2103" s="11">
        <v>2.88</v>
      </c>
      <c r="L2103" s="11">
        <v>0.7</v>
      </c>
      <c r="M2103" s="9" t="s">
        <v>1257</v>
      </c>
      <c r="N2103" s="6" t="s">
        <v>1123</v>
      </c>
      <c r="O2103" s="6" t="s">
        <v>1123</v>
      </c>
      <c r="P2103" s="9" t="s">
        <v>25</v>
      </c>
      <c r="Q2103" s="9" t="s">
        <v>26</v>
      </c>
      <c r="R2103" s="9" t="s">
        <v>95</v>
      </c>
      <c r="S2103" s="7" t="s">
        <v>1059</v>
      </c>
      <c r="T2103" s="9" t="s">
        <v>68</v>
      </c>
      <c r="U2103" s="7">
        <v>0.56000000000000005</v>
      </c>
      <c r="V2103" s="12">
        <f t="shared" si="41"/>
        <v>40706</v>
      </c>
      <c r="W2103">
        <f>IF(D2103=' Pivot Tables'!$A$4,1,0)</f>
        <v>0</v>
      </c>
      <c r="X2103">
        <f>IF(AND(LEFT(D2103,4)+1=LEFT(' Pivot Tables'!$A$4,4)+0,RIGHT(LEFT(D2103,7),2)=RIGHT(LEFT(' Pivot Tables'!$A$4,7),2)),1,0)</f>
        <v>0</v>
      </c>
      <c r="Y2103" s="6">
        <f>1/COUNTIF(Таблица1[Order ID],Таблица1[[#This Row],[Order ID]])</f>
        <v>0.5</v>
      </c>
      <c r="Z2103" s="9">
        <f>1/COUNTIFS(Таблица1[Customer Name],Таблица1[[#This Row],[Customer Name]],Таблица1[Order-Year-Month],Таблица1[[#This Row],[Order-Year-Month]])</f>
        <v>0.5</v>
      </c>
    </row>
    <row r="2104" spans="1:26" x14ac:dyDescent="0.2">
      <c r="A2104" s="6">
        <v>2298</v>
      </c>
      <c r="B2104" s="7">
        <v>16548</v>
      </c>
      <c r="C2104" s="8">
        <f>DATE(2012,12,31)-330</f>
        <v>40944</v>
      </c>
      <c r="D2104" s="8" t="str">
        <f t="shared" si="40"/>
        <v>2012-02 (февраль 2012)</v>
      </c>
      <c r="E2104" s="9" t="s">
        <v>45</v>
      </c>
      <c r="F2104" s="7">
        <v>22</v>
      </c>
      <c r="G2104" s="7">
        <v>75.19</v>
      </c>
      <c r="H2104" s="7">
        <v>0.06</v>
      </c>
      <c r="I2104" s="9" t="s">
        <v>22</v>
      </c>
      <c r="J2104" s="10">
        <v>-59.12</v>
      </c>
      <c r="K2104" s="11">
        <v>3.28</v>
      </c>
      <c r="L2104" s="11">
        <v>3.97</v>
      </c>
      <c r="M2104" s="9" t="s">
        <v>1278</v>
      </c>
      <c r="N2104" s="6" t="s">
        <v>1123</v>
      </c>
      <c r="O2104" s="6" t="s">
        <v>1123</v>
      </c>
      <c r="P2104" s="9" t="s">
        <v>33</v>
      </c>
      <c r="Q2104" s="9" t="s">
        <v>49</v>
      </c>
      <c r="R2104" s="9" t="s">
        <v>50</v>
      </c>
      <c r="S2104" s="7" t="s">
        <v>1034</v>
      </c>
      <c r="T2104" s="9" t="s">
        <v>29</v>
      </c>
      <c r="U2104" s="7">
        <v>0.57999999999999996</v>
      </c>
      <c r="V2104" s="12">
        <f t="shared" si="41"/>
        <v>40946</v>
      </c>
      <c r="W2104">
        <f>IF(D2104=' Pivot Tables'!$A$4,1,0)</f>
        <v>0</v>
      </c>
      <c r="X2104">
        <f>IF(AND(LEFT(D2104,4)+1=LEFT(' Pivot Tables'!$A$4,4)+0,RIGHT(LEFT(D2104,7),2)=RIGHT(LEFT(' Pivot Tables'!$A$4,7),2)),1,0)</f>
        <v>0</v>
      </c>
      <c r="Y2104" s="6">
        <f>1/COUNTIF(Таблица1[Order ID],Таблица1[[#This Row],[Order ID]])</f>
        <v>0.5</v>
      </c>
      <c r="Z2104" s="9">
        <f>1/COUNTIFS(Таблица1[Customer Name],Таблица1[[#This Row],[Customer Name]],Таблица1[Order-Year-Month],Таблица1[[#This Row],[Order-Year-Month]])</f>
        <v>1</v>
      </c>
    </row>
    <row r="2105" spans="1:26" x14ac:dyDescent="0.2">
      <c r="A2105" s="6">
        <v>2306</v>
      </c>
      <c r="B2105" s="7">
        <v>16613</v>
      </c>
      <c r="C2105" s="8">
        <f>DATE(2012,12,31)-738</f>
        <v>40536</v>
      </c>
      <c r="D2105" s="8" t="str">
        <f t="shared" si="40"/>
        <v>2010-12 (декабрь 2010)</v>
      </c>
      <c r="E2105" s="9" t="s">
        <v>30</v>
      </c>
      <c r="F2105" s="7">
        <v>28</v>
      </c>
      <c r="G2105" s="7">
        <v>51.14</v>
      </c>
      <c r="H2105" s="7">
        <v>0.08</v>
      </c>
      <c r="I2105" s="9" t="s">
        <v>22</v>
      </c>
      <c r="J2105" s="10">
        <v>-81.96</v>
      </c>
      <c r="K2105" s="11">
        <v>1.74</v>
      </c>
      <c r="L2105" s="11">
        <v>4.08</v>
      </c>
      <c r="M2105" s="9" t="s">
        <v>1274</v>
      </c>
      <c r="N2105" s="6" t="s">
        <v>1123</v>
      </c>
      <c r="O2105" s="6" t="s">
        <v>1123</v>
      </c>
      <c r="P2105" s="9" t="s">
        <v>60</v>
      </c>
      <c r="Q2105" s="9" t="s">
        <v>49</v>
      </c>
      <c r="R2105" s="9" t="s">
        <v>50</v>
      </c>
      <c r="S2105" s="7" t="s">
        <v>456</v>
      </c>
      <c r="T2105" s="9" t="s">
        <v>52</v>
      </c>
      <c r="U2105" s="7">
        <v>0.53</v>
      </c>
      <c r="V2105" s="12">
        <f t="shared" si="41"/>
        <v>40538</v>
      </c>
      <c r="W2105">
        <f>IF(D2105=' Pivot Tables'!$A$4,1,0)</f>
        <v>0</v>
      </c>
      <c r="X2105">
        <f>IF(AND(LEFT(D2105,4)+1=LEFT(' Pivot Tables'!$A$4,4)+0,RIGHT(LEFT(D2105,7),2)=RIGHT(LEFT(' Pivot Tables'!$A$4,7),2)),1,0)</f>
        <v>0</v>
      </c>
      <c r="Y2105" s="6">
        <f>1/COUNTIF(Таблица1[Order ID],Таблица1[[#This Row],[Order ID]])</f>
        <v>1</v>
      </c>
      <c r="Z2105" s="9">
        <f>1/COUNTIFS(Таблица1[Customer Name],Таблица1[[#This Row],[Customer Name]],Таблица1[Order-Year-Month],Таблица1[[#This Row],[Order-Year-Month]])</f>
        <v>1</v>
      </c>
    </row>
    <row r="2106" spans="1:26" x14ac:dyDescent="0.2">
      <c r="A2106" s="6">
        <v>2326</v>
      </c>
      <c r="B2106" s="7">
        <v>16771</v>
      </c>
      <c r="C2106" s="8">
        <f>DATE(2012,12,31)-1190</f>
        <v>40084</v>
      </c>
      <c r="D2106" s="8" t="str">
        <f t="shared" si="40"/>
        <v>2009-09 (сентябрь 2009)</v>
      </c>
      <c r="E2106" s="9" t="s">
        <v>30</v>
      </c>
      <c r="F2106" s="7">
        <v>42</v>
      </c>
      <c r="G2106" s="7">
        <v>1737.06</v>
      </c>
      <c r="H2106" s="7">
        <v>0.02</v>
      </c>
      <c r="I2106" s="9" t="s">
        <v>22</v>
      </c>
      <c r="J2106" s="10">
        <v>339.17</v>
      </c>
      <c r="K2106" s="11">
        <v>39.979999999999997</v>
      </c>
      <c r="L2106" s="11">
        <v>9.1999999999999993</v>
      </c>
      <c r="M2106" s="9" t="s">
        <v>1293</v>
      </c>
      <c r="N2106" s="6" t="s">
        <v>1123</v>
      </c>
      <c r="O2106" s="6" t="s">
        <v>1123</v>
      </c>
      <c r="P2106" s="9" t="s">
        <v>41</v>
      </c>
      <c r="Q2106" s="9" t="s">
        <v>49</v>
      </c>
      <c r="R2106" s="9" t="s">
        <v>50</v>
      </c>
      <c r="S2106" s="7" t="s">
        <v>238</v>
      </c>
      <c r="T2106" s="9" t="s">
        <v>68</v>
      </c>
      <c r="U2106" s="7">
        <v>0.65</v>
      </c>
      <c r="V2106" s="12">
        <f t="shared" si="41"/>
        <v>40086</v>
      </c>
      <c r="W2106">
        <f>IF(D2106=' Pivot Tables'!$A$4,1,0)</f>
        <v>0</v>
      </c>
      <c r="X2106">
        <f>IF(AND(LEFT(D2106,4)+1=LEFT(' Pivot Tables'!$A$4,4)+0,RIGHT(LEFT(D2106,7),2)=RIGHT(LEFT(' Pivot Tables'!$A$4,7),2)),1,0)</f>
        <v>0</v>
      </c>
      <c r="Y2106" s="6">
        <f>1/COUNTIF(Таблица1[Order ID],Таблица1[[#This Row],[Order ID]])</f>
        <v>1</v>
      </c>
      <c r="Z2106" s="9">
        <f>1/COUNTIFS(Таблица1[Customer Name],Таблица1[[#This Row],[Customer Name]],Таблица1[Order-Year-Month],Таблица1[[#This Row],[Order-Year-Month]])</f>
        <v>1</v>
      </c>
    </row>
    <row r="2107" spans="1:26" x14ac:dyDescent="0.2">
      <c r="A2107" s="6">
        <v>2331</v>
      </c>
      <c r="B2107" s="7">
        <v>16804</v>
      </c>
      <c r="C2107" s="8">
        <f>DATE(2012,12,31)-296</f>
        <v>40978</v>
      </c>
      <c r="D2107" s="8" t="str">
        <f t="shared" si="40"/>
        <v>2012-03 (март 2012)</v>
      </c>
      <c r="E2107" s="9" t="s">
        <v>30</v>
      </c>
      <c r="F2107" s="7">
        <v>46</v>
      </c>
      <c r="G2107" s="7">
        <v>2430.34</v>
      </c>
      <c r="H2107" s="7">
        <v>0.08</v>
      </c>
      <c r="I2107" s="9" t="s">
        <v>22</v>
      </c>
      <c r="J2107" s="10">
        <v>752.87</v>
      </c>
      <c r="K2107" s="11">
        <v>55.98</v>
      </c>
      <c r="L2107" s="11">
        <v>13.88</v>
      </c>
      <c r="M2107" s="9" t="s">
        <v>1255</v>
      </c>
      <c r="N2107" s="6" t="s">
        <v>1123</v>
      </c>
      <c r="O2107" s="6" t="s">
        <v>1123</v>
      </c>
      <c r="P2107" s="9" t="s">
        <v>33</v>
      </c>
      <c r="Q2107" s="9" t="s">
        <v>26</v>
      </c>
      <c r="R2107" s="9" t="s">
        <v>61</v>
      </c>
      <c r="S2107" s="7" t="s">
        <v>421</v>
      </c>
      <c r="T2107" s="9" t="s">
        <v>39</v>
      </c>
      <c r="U2107" s="7">
        <v>0.36</v>
      </c>
      <c r="V2107" s="12">
        <f t="shared" si="41"/>
        <v>40980</v>
      </c>
      <c r="W2107">
        <f>IF(D2107=' Pivot Tables'!$A$4,1,0)</f>
        <v>0</v>
      </c>
      <c r="X2107">
        <f>IF(AND(LEFT(D2107,4)+1=LEFT(' Pivot Tables'!$A$4,4)+0,RIGHT(LEFT(D2107,7),2)=RIGHT(LEFT(' Pivot Tables'!$A$4,7),2)),1,0)</f>
        <v>0</v>
      </c>
      <c r="Y2107" s="6">
        <f>1/COUNTIF(Таблица1[Order ID],Таблица1[[#This Row],[Order ID]])</f>
        <v>0.5</v>
      </c>
      <c r="Z2107" s="9">
        <f>1/COUNTIFS(Таблица1[Customer Name],Таблица1[[#This Row],[Customer Name]],Таблица1[Order-Year-Month],Таблица1[[#This Row],[Order-Year-Month]])</f>
        <v>0.5</v>
      </c>
    </row>
    <row r="2108" spans="1:26" x14ac:dyDescent="0.2">
      <c r="A2108" s="6">
        <v>2332</v>
      </c>
      <c r="B2108" s="7">
        <v>16804</v>
      </c>
      <c r="C2108" s="8">
        <f>DATE(2012,12,31)-296</f>
        <v>40978</v>
      </c>
      <c r="D2108" s="8" t="str">
        <f t="shared" si="40"/>
        <v>2012-03 (март 2012)</v>
      </c>
      <c r="E2108" s="9" t="s">
        <v>30</v>
      </c>
      <c r="F2108" s="7">
        <v>36</v>
      </c>
      <c r="G2108" s="7">
        <v>218.6</v>
      </c>
      <c r="H2108" s="7">
        <v>0.05</v>
      </c>
      <c r="I2108" s="9" t="s">
        <v>56</v>
      </c>
      <c r="J2108" s="10">
        <v>-46.43</v>
      </c>
      <c r="K2108" s="11">
        <v>5.78</v>
      </c>
      <c r="L2108" s="11">
        <v>4.96</v>
      </c>
      <c r="M2108" s="9" t="s">
        <v>1255</v>
      </c>
      <c r="N2108" s="6" t="s">
        <v>1123</v>
      </c>
      <c r="O2108" s="6" t="s">
        <v>1123</v>
      </c>
      <c r="P2108" s="9" t="s">
        <v>33</v>
      </c>
      <c r="Q2108" s="9" t="s">
        <v>26</v>
      </c>
      <c r="R2108" s="9" t="s">
        <v>61</v>
      </c>
      <c r="S2108" s="7" t="s">
        <v>737</v>
      </c>
      <c r="T2108" s="9" t="s">
        <v>39</v>
      </c>
      <c r="U2108" s="7">
        <v>0.36</v>
      </c>
      <c r="V2108" s="12">
        <f>C2108+1</f>
        <v>40979</v>
      </c>
      <c r="W2108">
        <f>IF(D2108=' Pivot Tables'!$A$4,1,0)</f>
        <v>0</v>
      </c>
      <c r="X2108">
        <f>IF(AND(LEFT(D2108,4)+1=LEFT(' Pivot Tables'!$A$4,4)+0,RIGHT(LEFT(D2108,7),2)=RIGHT(LEFT(' Pivot Tables'!$A$4,7),2)),1,0)</f>
        <v>0</v>
      </c>
      <c r="Y2108" s="6">
        <f>1/COUNTIF(Таблица1[Order ID],Таблица1[[#This Row],[Order ID]])</f>
        <v>0.5</v>
      </c>
      <c r="Z2108" s="9">
        <f>1/COUNTIFS(Таблица1[Customer Name],Таблица1[[#This Row],[Customer Name]],Таблица1[Order-Year-Month],Таблица1[[#This Row],[Order-Year-Month]])</f>
        <v>0.5</v>
      </c>
    </row>
    <row r="2109" spans="1:26" x14ac:dyDescent="0.2">
      <c r="A2109" s="6">
        <v>2358</v>
      </c>
      <c r="B2109" s="7">
        <v>17024</v>
      </c>
      <c r="C2109" s="8">
        <f>DATE(2012,12,31)-1175</f>
        <v>40099</v>
      </c>
      <c r="D2109" s="8" t="str">
        <f t="shared" si="40"/>
        <v>2009-10 (октябрь 2009)</v>
      </c>
      <c r="E2109" s="9" t="s">
        <v>63</v>
      </c>
      <c r="F2109" s="7">
        <v>31</v>
      </c>
      <c r="G2109" s="7">
        <v>1401.75</v>
      </c>
      <c r="H2109" s="7">
        <v>0.02</v>
      </c>
      <c r="I2109" s="9" t="s">
        <v>22</v>
      </c>
      <c r="J2109" s="10">
        <v>426.44</v>
      </c>
      <c r="K2109" s="11">
        <v>42.98</v>
      </c>
      <c r="L2109" s="11">
        <v>4.62</v>
      </c>
      <c r="M2109" s="9" t="s">
        <v>1242</v>
      </c>
      <c r="N2109" s="6" t="s">
        <v>1123</v>
      </c>
      <c r="O2109" s="6" t="s">
        <v>1123</v>
      </c>
      <c r="P2109" s="9" t="s">
        <v>41</v>
      </c>
      <c r="Q2109" s="9" t="s">
        <v>26</v>
      </c>
      <c r="R2109" s="9" t="s">
        <v>34</v>
      </c>
      <c r="S2109" s="7" t="s">
        <v>852</v>
      </c>
      <c r="T2109" s="9" t="s">
        <v>39</v>
      </c>
      <c r="U2109" s="7">
        <v>0.56000000000000005</v>
      </c>
      <c r="V2109" s="12">
        <f>C2109+2</f>
        <v>40101</v>
      </c>
      <c r="W2109">
        <f>IF(D2109=' Pivot Tables'!$A$4,1,0)</f>
        <v>0</v>
      </c>
      <c r="X2109">
        <f>IF(AND(LEFT(D2109,4)+1=LEFT(' Pivot Tables'!$A$4,4)+0,RIGHT(LEFT(D2109,7),2)=RIGHT(LEFT(' Pivot Tables'!$A$4,7),2)),1,0)</f>
        <v>0</v>
      </c>
      <c r="Y2109" s="6">
        <f>1/COUNTIF(Таблица1[Order ID],Таблица1[[#This Row],[Order ID]])</f>
        <v>1</v>
      </c>
      <c r="Z2109" s="9">
        <f>1/COUNTIFS(Таблица1[Customer Name],Таблица1[[#This Row],[Customer Name]],Таблица1[Order-Year-Month],Таблица1[[#This Row],[Order-Year-Month]])</f>
        <v>1</v>
      </c>
    </row>
    <row r="2110" spans="1:26" x14ac:dyDescent="0.2">
      <c r="A2110" s="6">
        <v>2361</v>
      </c>
      <c r="B2110" s="7">
        <v>17061</v>
      </c>
      <c r="C2110" s="8">
        <f>DATE(2012,12,31)-62</f>
        <v>41212</v>
      </c>
      <c r="D2110" s="8" t="str">
        <f t="shared" si="40"/>
        <v>2012-10 (октябрь 2012)</v>
      </c>
      <c r="E2110" s="9" t="s">
        <v>78</v>
      </c>
      <c r="F2110" s="7">
        <v>28</v>
      </c>
      <c r="G2110" s="7">
        <v>80.53</v>
      </c>
      <c r="H2110" s="7">
        <v>0.01</v>
      </c>
      <c r="I2110" s="9" t="s">
        <v>22</v>
      </c>
      <c r="J2110" s="10">
        <v>10.01</v>
      </c>
      <c r="K2110" s="11">
        <v>2.88</v>
      </c>
      <c r="L2110" s="11">
        <v>0.7</v>
      </c>
      <c r="M2110" s="9" t="s">
        <v>1025</v>
      </c>
      <c r="N2110" s="6" t="s">
        <v>1123</v>
      </c>
      <c r="O2110" s="6" t="s">
        <v>1123</v>
      </c>
      <c r="P2110" s="9" t="s">
        <v>33</v>
      </c>
      <c r="Q2110" s="9" t="s">
        <v>26</v>
      </c>
      <c r="R2110" s="9" t="s">
        <v>95</v>
      </c>
      <c r="S2110" s="7" t="s">
        <v>1059</v>
      </c>
      <c r="T2110" s="9" t="s">
        <v>68</v>
      </c>
      <c r="U2110" s="7">
        <v>0.56000000000000005</v>
      </c>
      <c r="V2110" s="12">
        <f>C2110+2</f>
        <v>41214</v>
      </c>
      <c r="W2110">
        <f>IF(D2110=' Pivot Tables'!$A$4,1,0)</f>
        <v>0</v>
      </c>
      <c r="X2110">
        <f>IF(AND(LEFT(D2110,4)+1=LEFT(' Pivot Tables'!$A$4,4)+0,RIGHT(LEFT(D2110,7),2)=RIGHT(LEFT(' Pivot Tables'!$A$4,7),2)),1,0)</f>
        <v>0</v>
      </c>
      <c r="Y2110" s="6">
        <f>1/COUNTIF(Таблица1[Order ID],Таблица1[[#This Row],[Order ID]])</f>
        <v>1</v>
      </c>
      <c r="Z2110" s="9">
        <f>1/COUNTIFS(Таблица1[Customer Name],Таблица1[[#This Row],[Customer Name]],Таблица1[Order-Year-Month],Таблица1[[#This Row],[Order-Year-Month]])</f>
        <v>0.5</v>
      </c>
    </row>
    <row r="2111" spans="1:26" x14ac:dyDescent="0.2">
      <c r="A2111" s="6">
        <v>2367</v>
      </c>
      <c r="B2111" s="7">
        <v>17152</v>
      </c>
      <c r="C2111" s="8">
        <f>DATE(2012,12,31)-294</f>
        <v>40980</v>
      </c>
      <c r="D2111" s="8" t="str">
        <f t="shared" si="40"/>
        <v>2012-03 (март 2012)</v>
      </c>
      <c r="E2111" s="9" t="s">
        <v>30</v>
      </c>
      <c r="F2111" s="7">
        <v>32</v>
      </c>
      <c r="G2111" s="7">
        <v>236.45</v>
      </c>
      <c r="H2111" s="7">
        <v>0.06</v>
      </c>
      <c r="I2111" s="9" t="s">
        <v>22</v>
      </c>
      <c r="J2111" s="10">
        <v>-259.02</v>
      </c>
      <c r="K2111" s="11">
        <v>6.98</v>
      </c>
      <c r="L2111" s="11">
        <v>9.69</v>
      </c>
      <c r="M2111" s="9" t="s">
        <v>1296</v>
      </c>
      <c r="N2111" s="6" t="s">
        <v>1123</v>
      </c>
      <c r="O2111" s="6" t="s">
        <v>1123</v>
      </c>
      <c r="P2111" s="9" t="s">
        <v>60</v>
      </c>
      <c r="Q2111" s="9" t="s">
        <v>26</v>
      </c>
      <c r="R2111" s="9" t="s">
        <v>27</v>
      </c>
      <c r="S2111" s="7" t="s">
        <v>1314</v>
      </c>
      <c r="T2111" s="9" t="s">
        <v>39</v>
      </c>
      <c r="U2111" s="7">
        <v>0.83</v>
      </c>
      <c r="V2111" s="12">
        <f>C2111+1</f>
        <v>40981</v>
      </c>
      <c r="W2111">
        <f>IF(D2111=' Pivot Tables'!$A$4,1,0)</f>
        <v>0</v>
      </c>
      <c r="X2111">
        <f>IF(AND(LEFT(D2111,4)+1=LEFT(' Pivot Tables'!$A$4,4)+0,RIGHT(LEFT(D2111,7),2)=RIGHT(LEFT(' Pivot Tables'!$A$4,7),2)),1,0)</f>
        <v>0</v>
      </c>
      <c r="Y2111" s="6">
        <f>1/COUNTIF(Таблица1[Order ID],Таблица1[[#This Row],[Order ID]])</f>
        <v>1</v>
      </c>
      <c r="Z2111" s="9">
        <f>1/COUNTIFS(Таблица1[Customer Name],Таблица1[[#This Row],[Customer Name]],Таблица1[Order-Year-Month],Таблица1[[#This Row],[Order-Year-Month]])</f>
        <v>1</v>
      </c>
    </row>
    <row r="2112" spans="1:26" x14ac:dyDescent="0.2">
      <c r="A2112" s="6">
        <v>2373</v>
      </c>
      <c r="B2112" s="7">
        <v>17187</v>
      </c>
      <c r="C2112" s="8">
        <f>DATE(2012,12,31)-99</f>
        <v>41175</v>
      </c>
      <c r="D2112" s="8" t="str">
        <f t="shared" si="40"/>
        <v>2012-09 (сентябрь 2012)</v>
      </c>
      <c r="E2112" s="9" t="s">
        <v>30</v>
      </c>
      <c r="F2112" s="7">
        <v>4</v>
      </c>
      <c r="G2112" s="7">
        <v>2951.97</v>
      </c>
      <c r="H2112" s="7">
        <v>0.09</v>
      </c>
      <c r="I2112" s="9" t="s">
        <v>31</v>
      </c>
      <c r="J2112" s="10">
        <v>-1890.3272999999999</v>
      </c>
      <c r="K2112" s="11">
        <v>810.98</v>
      </c>
      <c r="L2112" s="11">
        <v>16.059999999999999</v>
      </c>
      <c r="M2112" s="9" t="s">
        <v>1280</v>
      </c>
      <c r="N2112" s="6" t="s">
        <v>1123</v>
      </c>
      <c r="O2112" s="6" t="s">
        <v>1123</v>
      </c>
      <c r="P2112" s="9" t="s">
        <v>41</v>
      </c>
      <c r="Q2112" s="9" t="s">
        <v>42</v>
      </c>
      <c r="R2112" s="9" t="s">
        <v>210</v>
      </c>
      <c r="S2112" s="7" t="s">
        <v>1315</v>
      </c>
      <c r="T2112" s="9" t="s">
        <v>36</v>
      </c>
      <c r="U2112" s="7">
        <v>0.56000000000000005</v>
      </c>
      <c r="V2112" s="12">
        <f>C2112+2</f>
        <v>41177</v>
      </c>
      <c r="W2112">
        <f>IF(D2112=' Pivot Tables'!$A$4,1,0)</f>
        <v>0</v>
      </c>
      <c r="X2112">
        <f>IF(AND(LEFT(D2112,4)+1=LEFT(' Pivot Tables'!$A$4,4)+0,RIGHT(LEFT(D2112,7),2)=RIGHT(LEFT(' Pivot Tables'!$A$4,7),2)),1,0)</f>
        <v>0</v>
      </c>
      <c r="Y2112" s="6">
        <f>1/COUNTIF(Таблица1[Order ID],Таблица1[[#This Row],[Order ID]])</f>
        <v>1</v>
      </c>
      <c r="Z2112" s="9">
        <f>1/COUNTIFS(Таблица1[Customer Name],Таблица1[[#This Row],[Customer Name]],Таблица1[Order-Year-Month],Таблица1[[#This Row],[Order-Year-Month]])</f>
        <v>1</v>
      </c>
    </row>
    <row r="2113" spans="1:26" x14ac:dyDescent="0.2">
      <c r="A2113" s="6">
        <v>2378</v>
      </c>
      <c r="B2113" s="7">
        <v>17252</v>
      </c>
      <c r="C2113" s="8">
        <f>DATE(2012,12,31)-612</f>
        <v>40662</v>
      </c>
      <c r="D2113" s="8" t="str">
        <f t="shared" si="40"/>
        <v>2011-04 (апрель 2011)</v>
      </c>
      <c r="E2113" s="9" t="s">
        <v>45</v>
      </c>
      <c r="F2113" s="7">
        <v>48</v>
      </c>
      <c r="G2113" s="7">
        <v>2283.2199999999998</v>
      </c>
      <c r="H2113" s="7">
        <v>0.03</v>
      </c>
      <c r="I2113" s="9" t="s">
        <v>22</v>
      </c>
      <c r="J2113" s="10">
        <v>1006.72</v>
      </c>
      <c r="K2113" s="11">
        <v>48.91</v>
      </c>
      <c r="L2113" s="11">
        <v>5.97</v>
      </c>
      <c r="M2113" s="9" t="s">
        <v>1025</v>
      </c>
      <c r="N2113" s="6" t="s">
        <v>1123</v>
      </c>
      <c r="O2113" s="6" t="s">
        <v>1123</v>
      </c>
      <c r="P2113" s="9" t="s">
        <v>33</v>
      </c>
      <c r="Q2113" s="9" t="s">
        <v>26</v>
      </c>
      <c r="R2113" s="9" t="s">
        <v>61</v>
      </c>
      <c r="S2113" s="7" t="s">
        <v>1316</v>
      </c>
      <c r="T2113" s="9" t="s">
        <v>39</v>
      </c>
      <c r="U2113" s="7">
        <v>0.38</v>
      </c>
      <c r="V2113" s="12">
        <f>C2113+1</f>
        <v>40663</v>
      </c>
      <c r="W2113">
        <f>IF(D2113=' Pivot Tables'!$A$4,1,0)</f>
        <v>0</v>
      </c>
      <c r="X2113">
        <f>IF(AND(LEFT(D2113,4)+1=LEFT(' Pivot Tables'!$A$4,4)+0,RIGHT(LEFT(D2113,7),2)=RIGHT(LEFT(' Pivot Tables'!$A$4,7),2)),1,0)</f>
        <v>0</v>
      </c>
      <c r="Y2113" s="6">
        <f>1/COUNTIF(Таблица1[Order ID],Таблица1[[#This Row],[Order ID]])</f>
        <v>0.5</v>
      </c>
      <c r="Z2113" s="9">
        <f>1/COUNTIFS(Таблица1[Customer Name],Таблица1[[#This Row],[Customer Name]],Таблица1[Order-Year-Month],Таблица1[[#This Row],[Order-Year-Month]])</f>
        <v>0.5</v>
      </c>
    </row>
    <row r="2114" spans="1:26" x14ac:dyDescent="0.2">
      <c r="A2114" s="6">
        <v>2379</v>
      </c>
      <c r="B2114" s="7">
        <v>17252</v>
      </c>
      <c r="C2114" s="8">
        <f>DATE(2012,12,31)-612</f>
        <v>40662</v>
      </c>
      <c r="D2114" s="8" t="str">
        <f t="shared" si="40"/>
        <v>2011-04 (апрель 2011)</v>
      </c>
      <c r="E2114" s="9" t="s">
        <v>45</v>
      </c>
      <c r="F2114" s="7">
        <v>49</v>
      </c>
      <c r="G2114" s="7">
        <v>11365.616000000002</v>
      </c>
      <c r="H2114" s="7">
        <v>0.08</v>
      </c>
      <c r="I2114" s="9" t="s">
        <v>31</v>
      </c>
      <c r="J2114" s="10">
        <v>229.22</v>
      </c>
      <c r="K2114" s="11">
        <v>296.18</v>
      </c>
      <c r="L2114" s="11">
        <v>54.12</v>
      </c>
      <c r="M2114" s="9" t="s">
        <v>1025</v>
      </c>
      <c r="N2114" s="6" t="s">
        <v>1123</v>
      </c>
      <c r="O2114" s="6" t="s">
        <v>1123</v>
      </c>
      <c r="P2114" s="9" t="s">
        <v>33</v>
      </c>
      <c r="Q2114" s="9" t="s">
        <v>49</v>
      </c>
      <c r="R2114" s="9" t="s">
        <v>83</v>
      </c>
      <c r="S2114" s="7" t="s">
        <v>425</v>
      </c>
      <c r="T2114" s="9" t="s">
        <v>82</v>
      </c>
      <c r="U2114" s="7">
        <v>0.76</v>
      </c>
      <c r="V2114" s="12">
        <f>C2114+2</f>
        <v>40664</v>
      </c>
      <c r="W2114">
        <f>IF(D2114=' Pivot Tables'!$A$4,1,0)</f>
        <v>0</v>
      </c>
      <c r="X2114">
        <f>IF(AND(LEFT(D2114,4)+1=LEFT(' Pivot Tables'!$A$4,4)+0,RIGHT(LEFT(D2114,7),2)=RIGHT(LEFT(' Pivot Tables'!$A$4,7),2)),1,0)</f>
        <v>0</v>
      </c>
      <c r="Y2114" s="6">
        <f>1/COUNTIF(Таблица1[Order ID],Таблица1[[#This Row],[Order ID]])</f>
        <v>0.5</v>
      </c>
      <c r="Z2114" s="9">
        <f>1/COUNTIFS(Таблица1[Customer Name],Таблица1[[#This Row],[Customer Name]],Таблица1[Order-Year-Month],Таблица1[[#This Row],[Order-Year-Month]])</f>
        <v>0.5</v>
      </c>
    </row>
    <row r="2115" spans="1:26" x14ac:dyDescent="0.2">
      <c r="A2115" s="6">
        <v>2388</v>
      </c>
      <c r="B2115" s="7">
        <v>17312</v>
      </c>
      <c r="C2115" s="8">
        <f>DATE(2012,12,31)-591</f>
        <v>40683</v>
      </c>
      <c r="D2115" s="8" t="str">
        <f t="shared" ref="D2115:D2178" si="42">TEXT(C2115,"гггг-ММ (ММММ гггг)")</f>
        <v>2011-05 (май 2011)</v>
      </c>
      <c r="E2115" s="9" t="s">
        <v>45</v>
      </c>
      <c r="F2115" s="7">
        <v>37</v>
      </c>
      <c r="G2115" s="7">
        <v>258.54000000000002</v>
      </c>
      <c r="H2115" s="7">
        <v>0.05</v>
      </c>
      <c r="I2115" s="9" t="s">
        <v>22</v>
      </c>
      <c r="J2115" s="10">
        <v>-116.37</v>
      </c>
      <c r="K2115" s="11">
        <v>6.68</v>
      </c>
      <c r="L2115" s="11">
        <v>7.3</v>
      </c>
      <c r="M2115" s="9" t="s">
        <v>1274</v>
      </c>
      <c r="N2115" s="6" t="s">
        <v>1123</v>
      </c>
      <c r="O2115" s="6" t="s">
        <v>1123</v>
      </c>
      <c r="P2115" s="9" t="s">
        <v>60</v>
      </c>
      <c r="Q2115" s="9" t="s">
        <v>26</v>
      </c>
      <c r="R2115" s="9" t="s">
        <v>61</v>
      </c>
      <c r="S2115" s="7" t="s">
        <v>1317</v>
      </c>
      <c r="T2115" s="9" t="s">
        <v>39</v>
      </c>
      <c r="U2115" s="7">
        <v>0.37</v>
      </c>
      <c r="V2115" s="12">
        <f>C2115+1</f>
        <v>40684</v>
      </c>
      <c r="W2115">
        <f>IF(D2115=' Pivot Tables'!$A$4,1,0)</f>
        <v>0</v>
      </c>
      <c r="X2115">
        <f>IF(AND(LEFT(D2115,4)+1=LEFT(' Pivot Tables'!$A$4,4)+0,RIGHT(LEFT(D2115,7),2)=RIGHT(LEFT(' Pivot Tables'!$A$4,7),2)),1,0)</f>
        <v>0</v>
      </c>
      <c r="Y2115" s="6">
        <f>1/COUNTIF(Таблица1[Order ID],Таблица1[[#This Row],[Order ID]])</f>
        <v>0.5</v>
      </c>
      <c r="Z2115" s="9">
        <f>1/COUNTIFS(Таблица1[Customer Name],Таблица1[[#This Row],[Customer Name]],Таблица1[Order-Year-Month],Таблица1[[#This Row],[Order-Year-Month]])</f>
        <v>0.5</v>
      </c>
    </row>
    <row r="2116" spans="1:26" x14ac:dyDescent="0.2">
      <c r="A2116" s="6">
        <v>2389</v>
      </c>
      <c r="B2116" s="7">
        <v>17312</v>
      </c>
      <c r="C2116" s="8">
        <f>DATE(2012,12,31)-591</f>
        <v>40683</v>
      </c>
      <c r="D2116" s="8" t="str">
        <f t="shared" si="42"/>
        <v>2011-05 (май 2011)</v>
      </c>
      <c r="E2116" s="9" t="s">
        <v>45</v>
      </c>
      <c r="F2116" s="7">
        <v>41</v>
      </c>
      <c r="G2116" s="7">
        <v>4610.2894999999999</v>
      </c>
      <c r="H2116" s="7">
        <v>0</v>
      </c>
      <c r="I2116" s="9" t="s">
        <v>22</v>
      </c>
      <c r="J2116" s="10">
        <v>1432.8629999999998</v>
      </c>
      <c r="K2116" s="11">
        <v>125.99</v>
      </c>
      <c r="L2116" s="11">
        <v>2.5</v>
      </c>
      <c r="M2116" s="9" t="s">
        <v>1274</v>
      </c>
      <c r="N2116" s="6" t="s">
        <v>1123</v>
      </c>
      <c r="O2116" s="6" t="s">
        <v>1123</v>
      </c>
      <c r="P2116" s="9" t="s">
        <v>60</v>
      </c>
      <c r="Q2116" s="9" t="s">
        <v>42</v>
      </c>
      <c r="R2116" s="9" t="s">
        <v>43</v>
      </c>
      <c r="S2116" s="7" t="s">
        <v>954</v>
      </c>
      <c r="T2116" s="9" t="s">
        <v>39</v>
      </c>
      <c r="U2116" s="7">
        <v>0.6</v>
      </c>
      <c r="V2116" s="12">
        <f>C2116+1</f>
        <v>40684</v>
      </c>
      <c r="W2116">
        <f>IF(D2116=' Pivot Tables'!$A$4,1,0)</f>
        <v>0</v>
      </c>
      <c r="X2116">
        <f>IF(AND(LEFT(D2116,4)+1=LEFT(' Pivot Tables'!$A$4,4)+0,RIGHT(LEFT(D2116,7),2)=RIGHT(LEFT(' Pivot Tables'!$A$4,7),2)),1,0)</f>
        <v>0</v>
      </c>
      <c r="Y2116" s="6">
        <f>1/COUNTIF(Таблица1[Order ID],Таблица1[[#This Row],[Order ID]])</f>
        <v>0.5</v>
      </c>
      <c r="Z2116" s="9">
        <f>1/COUNTIFS(Таблица1[Customer Name],Таблица1[[#This Row],[Customer Name]],Таблица1[Order-Year-Month],Таблица1[[#This Row],[Order-Year-Month]])</f>
        <v>0.5</v>
      </c>
    </row>
    <row r="2117" spans="1:26" x14ac:dyDescent="0.2">
      <c r="A2117" s="6">
        <v>2396</v>
      </c>
      <c r="B2117" s="7">
        <v>17377</v>
      </c>
      <c r="C2117" s="8">
        <f>DATE(2012,12,31)-430</f>
        <v>40844</v>
      </c>
      <c r="D2117" s="8" t="str">
        <f t="shared" si="42"/>
        <v>2011-10 (октябрь 2011)</v>
      </c>
      <c r="E2117" s="9" t="s">
        <v>21</v>
      </c>
      <c r="F2117" s="7">
        <v>39</v>
      </c>
      <c r="G2117" s="7">
        <v>110.38</v>
      </c>
      <c r="H2117" s="7">
        <v>0.05</v>
      </c>
      <c r="I2117" s="9" t="s">
        <v>22</v>
      </c>
      <c r="J2117" s="10">
        <v>-4.8600000000000003</v>
      </c>
      <c r="K2117" s="11">
        <v>2.78</v>
      </c>
      <c r="L2117" s="11">
        <v>1.2</v>
      </c>
      <c r="M2117" s="9" t="s">
        <v>1243</v>
      </c>
      <c r="N2117" s="6" t="s">
        <v>1123</v>
      </c>
      <c r="O2117" s="6" t="s">
        <v>1123</v>
      </c>
      <c r="P2117" s="9" t="s">
        <v>41</v>
      </c>
      <c r="Q2117" s="9" t="s">
        <v>26</v>
      </c>
      <c r="R2117" s="9" t="s">
        <v>95</v>
      </c>
      <c r="S2117" s="7" t="s">
        <v>256</v>
      </c>
      <c r="T2117" s="9" t="s">
        <v>68</v>
      </c>
      <c r="U2117" s="7">
        <v>0.57999999999999996</v>
      </c>
      <c r="V2117" s="12">
        <f>C2117+2</f>
        <v>40846</v>
      </c>
      <c r="W2117">
        <f>IF(D2117=' Pivot Tables'!$A$4,1,0)</f>
        <v>0</v>
      </c>
      <c r="X2117">
        <f>IF(AND(LEFT(D2117,4)+1=LEFT(' Pivot Tables'!$A$4,4)+0,RIGHT(LEFT(D2117,7),2)=RIGHT(LEFT(' Pivot Tables'!$A$4,7),2)),1,0)</f>
        <v>0</v>
      </c>
      <c r="Y2117" s="6">
        <f>1/COUNTIF(Таблица1[Order ID],Таблица1[[#This Row],[Order ID]])</f>
        <v>1</v>
      </c>
      <c r="Z2117" s="9">
        <f>1/COUNTIFS(Таблица1[Customer Name],Таблица1[[#This Row],[Customer Name]],Таблица1[Order-Year-Month],Таблица1[[#This Row],[Order-Year-Month]])</f>
        <v>1</v>
      </c>
    </row>
    <row r="2118" spans="1:26" x14ac:dyDescent="0.2">
      <c r="A2118" s="6">
        <v>2427</v>
      </c>
      <c r="B2118" s="7">
        <v>17634</v>
      </c>
      <c r="C2118" s="8">
        <f>DATE(2012,12,31)-163</f>
        <v>41111</v>
      </c>
      <c r="D2118" s="8" t="str">
        <f t="shared" si="42"/>
        <v>2012-07 (июль 2012)</v>
      </c>
      <c r="E2118" s="9" t="s">
        <v>30</v>
      </c>
      <c r="F2118" s="7">
        <v>5</v>
      </c>
      <c r="G2118" s="7">
        <v>489.07</v>
      </c>
      <c r="H2118" s="7">
        <v>0.08</v>
      </c>
      <c r="I2118" s="9" t="s">
        <v>31</v>
      </c>
      <c r="J2118" s="10">
        <v>-197.88</v>
      </c>
      <c r="K2118" s="11">
        <v>89.99</v>
      </c>
      <c r="L2118" s="11">
        <v>42</v>
      </c>
      <c r="M2118" s="9" t="s">
        <v>1257</v>
      </c>
      <c r="N2118" s="6" t="s">
        <v>1123</v>
      </c>
      <c r="O2118" s="6" t="s">
        <v>1123</v>
      </c>
      <c r="P2118" s="9" t="s">
        <v>41</v>
      </c>
      <c r="Q2118" s="9" t="s">
        <v>49</v>
      </c>
      <c r="R2118" s="9" t="s">
        <v>112</v>
      </c>
      <c r="S2118" s="7" t="s">
        <v>853</v>
      </c>
      <c r="T2118" s="9" t="s">
        <v>36</v>
      </c>
      <c r="U2118" s="7">
        <v>0.66</v>
      </c>
      <c r="V2118" s="12">
        <f>C2118+0</f>
        <v>41111</v>
      </c>
      <c r="W2118">
        <f>IF(D2118=' Pivot Tables'!$A$4,1,0)</f>
        <v>0</v>
      </c>
      <c r="X2118">
        <f>IF(AND(LEFT(D2118,4)+1=LEFT(' Pivot Tables'!$A$4,4)+0,RIGHT(LEFT(D2118,7),2)=RIGHT(LEFT(' Pivot Tables'!$A$4,7),2)),1,0)</f>
        <v>0</v>
      </c>
      <c r="Y2118" s="6">
        <f>1/COUNTIF(Таблица1[Order ID],Таблица1[[#This Row],[Order ID]])</f>
        <v>1</v>
      </c>
      <c r="Z2118" s="9">
        <f>1/COUNTIFS(Таблица1[Customer Name],Таблица1[[#This Row],[Customer Name]],Таблица1[Order-Year-Month],Таблица1[[#This Row],[Order-Year-Month]])</f>
        <v>1</v>
      </c>
    </row>
    <row r="2119" spans="1:26" x14ac:dyDescent="0.2">
      <c r="A2119" s="6">
        <v>2431</v>
      </c>
      <c r="B2119" s="7">
        <v>17668</v>
      </c>
      <c r="C2119" s="8">
        <f>DATE(2012,12,31)-1132</f>
        <v>40142</v>
      </c>
      <c r="D2119" s="8" t="str">
        <f t="shared" si="42"/>
        <v>2009-11 (ноябрь 2009)</v>
      </c>
      <c r="E2119" s="9" t="s">
        <v>63</v>
      </c>
      <c r="F2119" s="7">
        <v>49</v>
      </c>
      <c r="G2119" s="7">
        <v>848.92</v>
      </c>
      <c r="H2119" s="7">
        <v>0.04</v>
      </c>
      <c r="I2119" s="9" t="s">
        <v>22</v>
      </c>
      <c r="J2119" s="10">
        <v>296.06</v>
      </c>
      <c r="K2119" s="11">
        <v>17.48</v>
      </c>
      <c r="L2119" s="11">
        <v>1.99</v>
      </c>
      <c r="M2119" s="9" t="s">
        <v>1243</v>
      </c>
      <c r="N2119" s="6" t="s">
        <v>1123</v>
      </c>
      <c r="O2119" s="6" t="s">
        <v>1123</v>
      </c>
      <c r="P2119" s="9" t="s">
        <v>41</v>
      </c>
      <c r="Q2119" s="9" t="s">
        <v>42</v>
      </c>
      <c r="R2119" s="9" t="s">
        <v>70</v>
      </c>
      <c r="S2119" s="7" t="s">
        <v>1067</v>
      </c>
      <c r="T2119" s="9" t="s">
        <v>52</v>
      </c>
      <c r="U2119" s="7">
        <v>0.45</v>
      </c>
      <c r="V2119" s="12">
        <f>C2119+2</f>
        <v>40144</v>
      </c>
      <c r="W2119">
        <f>IF(D2119=' Pivot Tables'!$A$4,1,0)</f>
        <v>0</v>
      </c>
      <c r="X2119">
        <f>IF(AND(LEFT(D2119,4)+1=LEFT(' Pivot Tables'!$A$4,4)+0,RIGHT(LEFT(D2119,7),2)=RIGHT(LEFT(' Pivot Tables'!$A$4,7),2)),1,0)</f>
        <v>0</v>
      </c>
      <c r="Y2119" s="6">
        <f>1/COUNTIF(Таблица1[Order ID],Таблица1[[#This Row],[Order ID]])</f>
        <v>0.33333333333333331</v>
      </c>
      <c r="Z2119" s="9">
        <f>1/COUNTIFS(Таблица1[Customer Name],Таблица1[[#This Row],[Customer Name]],Таблица1[Order-Year-Month],Таблица1[[#This Row],[Order-Year-Month]])</f>
        <v>0.33333333333333331</v>
      </c>
    </row>
    <row r="2120" spans="1:26" x14ac:dyDescent="0.2">
      <c r="A2120" s="6">
        <v>2432</v>
      </c>
      <c r="B2120" s="7">
        <v>17668</v>
      </c>
      <c r="C2120" s="8">
        <f>DATE(2012,12,31)-1132</f>
        <v>40142</v>
      </c>
      <c r="D2120" s="8" t="str">
        <f t="shared" si="42"/>
        <v>2009-11 (ноябрь 2009)</v>
      </c>
      <c r="E2120" s="9" t="s">
        <v>63</v>
      </c>
      <c r="F2120" s="7">
        <v>24</v>
      </c>
      <c r="G2120" s="7">
        <v>6930.97</v>
      </c>
      <c r="H2120" s="7">
        <v>0.05</v>
      </c>
      <c r="I2120" s="9" t="s">
        <v>22</v>
      </c>
      <c r="J2120" s="10">
        <v>2574.12</v>
      </c>
      <c r="K2120" s="11">
        <v>300.98</v>
      </c>
      <c r="L2120" s="11">
        <v>13.99</v>
      </c>
      <c r="M2120" s="9" t="s">
        <v>1243</v>
      </c>
      <c r="N2120" s="6" t="s">
        <v>1123</v>
      </c>
      <c r="O2120" s="6" t="s">
        <v>1123</v>
      </c>
      <c r="P2120" s="9" t="s">
        <v>41</v>
      </c>
      <c r="Q2120" s="9" t="s">
        <v>42</v>
      </c>
      <c r="R2120" s="9" t="s">
        <v>210</v>
      </c>
      <c r="S2120" s="7" t="s">
        <v>1135</v>
      </c>
      <c r="T2120" s="9" t="s">
        <v>48</v>
      </c>
      <c r="U2120" s="7">
        <v>0.39</v>
      </c>
      <c r="V2120" s="12">
        <f>C2120+1</f>
        <v>40143</v>
      </c>
      <c r="W2120">
        <f>IF(D2120=' Pivot Tables'!$A$4,1,0)</f>
        <v>0</v>
      </c>
      <c r="X2120">
        <f>IF(AND(LEFT(D2120,4)+1=LEFT(' Pivot Tables'!$A$4,4)+0,RIGHT(LEFT(D2120,7),2)=RIGHT(LEFT(' Pivot Tables'!$A$4,7),2)),1,0)</f>
        <v>0</v>
      </c>
      <c r="Y2120" s="6">
        <f>1/COUNTIF(Таблица1[Order ID],Таблица1[[#This Row],[Order ID]])</f>
        <v>0.33333333333333331</v>
      </c>
      <c r="Z2120" s="9">
        <f>1/COUNTIFS(Таблица1[Customer Name],Таблица1[[#This Row],[Customer Name]],Таблица1[Order-Year-Month],Таблица1[[#This Row],[Order-Year-Month]])</f>
        <v>0.33333333333333331</v>
      </c>
    </row>
    <row r="2121" spans="1:26" x14ac:dyDescent="0.2">
      <c r="A2121" s="6">
        <v>2433</v>
      </c>
      <c r="B2121" s="7">
        <v>17668</v>
      </c>
      <c r="C2121" s="8">
        <f>DATE(2012,12,31)-1132</f>
        <v>40142</v>
      </c>
      <c r="D2121" s="8" t="str">
        <f t="shared" si="42"/>
        <v>2009-11 (ноябрь 2009)</v>
      </c>
      <c r="E2121" s="9" t="s">
        <v>63</v>
      </c>
      <c r="F2121" s="7">
        <v>13</v>
      </c>
      <c r="G2121" s="7">
        <v>2219.7324999999996</v>
      </c>
      <c r="H2121" s="7">
        <v>0.04</v>
      </c>
      <c r="I2121" s="9" t="s">
        <v>56</v>
      </c>
      <c r="J2121" s="10">
        <v>-69.783999999999992</v>
      </c>
      <c r="K2121" s="11">
        <v>205.99</v>
      </c>
      <c r="L2121" s="11">
        <v>5</v>
      </c>
      <c r="M2121" s="9" t="s">
        <v>1243</v>
      </c>
      <c r="N2121" s="6" t="s">
        <v>1123</v>
      </c>
      <c r="O2121" s="6" t="s">
        <v>1123</v>
      </c>
      <c r="P2121" s="9" t="s">
        <v>41</v>
      </c>
      <c r="Q2121" s="9" t="s">
        <v>42</v>
      </c>
      <c r="R2121" s="9" t="s">
        <v>43</v>
      </c>
      <c r="S2121" s="7" t="s">
        <v>1318</v>
      </c>
      <c r="T2121" s="9" t="s">
        <v>39</v>
      </c>
      <c r="U2121" s="7">
        <v>0.59</v>
      </c>
      <c r="V2121" s="12">
        <f>C2121+1</f>
        <v>40143</v>
      </c>
      <c r="W2121">
        <f>IF(D2121=' Pivot Tables'!$A$4,1,0)</f>
        <v>0</v>
      </c>
      <c r="X2121">
        <f>IF(AND(LEFT(D2121,4)+1=LEFT(' Pivot Tables'!$A$4,4)+0,RIGHT(LEFT(D2121,7),2)=RIGHT(LEFT(' Pivot Tables'!$A$4,7),2)),1,0)</f>
        <v>0</v>
      </c>
      <c r="Y2121" s="6">
        <f>1/COUNTIF(Таблица1[Order ID],Таблица1[[#This Row],[Order ID]])</f>
        <v>0.33333333333333331</v>
      </c>
      <c r="Z2121" s="9">
        <f>1/COUNTIFS(Таблица1[Customer Name],Таблица1[[#This Row],[Customer Name]],Таблица1[Order-Year-Month],Таблица1[[#This Row],[Order-Year-Month]])</f>
        <v>0.33333333333333331</v>
      </c>
    </row>
    <row r="2122" spans="1:26" x14ac:dyDescent="0.2">
      <c r="A2122" s="6">
        <v>2443</v>
      </c>
      <c r="B2122" s="7">
        <v>17735</v>
      </c>
      <c r="C2122" s="8">
        <f>DATE(2012,12,31)-172</f>
        <v>41102</v>
      </c>
      <c r="D2122" s="8" t="str">
        <f t="shared" si="42"/>
        <v>2012-07 (июль 2012)</v>
      </c>
      <c r="E2122" s="9" t="s">
        <v>21</v>
      </c>
      <c r="F2122" s="7">
        <v>45</v>
      </c>
      <c r="G2122" s="7">
        <v>311.64999999999998</v>
      </c>
      <c r="H2122" s="7">
        <v>0.03</v>
      </c>
      <c r="I2122" s="9" t="s">
        <v>22</v>
      </c>
      <c r="J2122" s="10">
        <v>-71.254000000000005</v>
      </c>
      <c r="K2122" s="11">
        <v>6.81</v>
      </c>
      <c r="L2122" s="11">
        <v>5.48</v>
      </c>
      <c r="M2122" s="9" t="s">
        <v>1255</v>
      </c>
      <c r="N2122" s="6" t="s">
        <v>1123</v>
      </c>
      <c r="O2122" s="6" t="s">
        <v>1123</v>
      </c>
      <c r="P2122" s="9" t="s">
        <v>33</v>
      </c>
      <c r="Q2122" s="9" t="s">
        <v>26</v>
      </c>
      <c r="R2122" s="9" t="s">
        <v>37</v>
      </c>
      <c r="S2122" s="7" t="s">
        <v>1319</v>
      </c>
      <c r="T2122" s="9" t="s">
        <v>39</v>
      </c>
      <c r="U2122" s="7">
        <v>0.37</v>
      </c>
      <c r="V2122" s="12">
        <f>C2122+5</f>
        <v>41107</v>
      </c>
      <c r="W2122">
        <f>IF(D2122=' Pivot Tables'!$A$4,1,0)</f>
        <v>0</v>
      </c>
      <c r="X2122">
        <f>IF(AND(LEFT(D2122,4)+1=LEFT(' Pivot Tables'!$A$4,4)+0,RIGHT(LEFT(D2122,7),2)=RIGHT(LEFT(' Pivot Tables'!$A$4,7),2)),1,0)</f>
        <v>0</v>
      </c>
      <c r="Y2122" s="6">
        <f>1/COUNTIF(Таблица1[Order ID],Таблица1[[#This Row],[Order ID]])</f>
        <v>0.5</v>
      </c>
      <c r="Z2122" s="9">
        <f>1/COUNTIFS(Таблица1[Customer Name],Таблица1[[#This Row],[Customer Name]],Таблица1[Order-Year-Month],Таблица1[[#This Row],[Order-Year-Month]])</f>
        <v>0.5</v>
      </c>
    </row>
    <row r="2123" spans="1:26" x14ac:dyDescent="0.2">
      <c r="A2123" s="6">
        <v>2444</v>
      </c>
      <c r="B2123" s="7">
        <v>17735</v>
      </c>
      <c r="C2123" s="8">
        <f>DATE(2012,12,31)-172</f>
        <v>41102</v>
      </c>
      <c r="D2123" s="8" t="str">
        <f t="shared" si="42"/>
        <v>2012-07 (июль 2012)</v>
      </c>
      <c r="E2123" s="9" t="s">
        <v>21</v>
      </c>
      <c r="F2123" s="7">
        <v>28</v>
      </c>
      <c r="G2123" s="7">
        <v>101.19</v>
      </c>
      <c r="H2123" s="7">
        <v>0.06</v>
      </c>
      <c r="I2123" s="9" t="s">
        <v>22</v>
      </c>
      <c r="J2123" s="10">
        <v>32.47</v>
      </c>
      <c r="K2123" s="11">
        <v>3.78</v>
      </c>
      <c r="L2123" s="11">
        <v>0.71</v>
      </c>
      <c r="M2123" s="9" t="s">
        <v>1255</v>
      </c>
      <c r="N2123" s="6" t="s">
        <v>1123</v>
      </c>
      <c r="O2123" s="6" t="s">
        <v>1123</v>
      </c>
      <c r="P2123" s="9" t="s">
        <v>33</v>
      </c>
      <c r="Q2123" s="9" t="s">
        <v>26</v>
      </c>
      <c r="R2123" s="9" t="s">
        <v>66</v>
      </c>
      <c r="S2123" s="7" t="s">
        <v>419</v>
      </c>
      <c r="T2123" s="9" t="s">
        <v>68</v>
      </c>
      <c r="U2123" s="7">
        <v>0.39</v>
      </c>
      <c r="V2123" s="12">
        <f>C2123+5</f>
        <v>41107</v>
      </c>
      <c r="W2123">
        <f>IF(D2123=' Pivot Tables'!$A$4,1,0)</f>
        <v>0</v>
      </c>
      <c r="X2123">
        <f>IF(AND(LEFT(D2123,4)+1=LEFT(' Pivot Tables'!$A$4,4)+0,RIGHT(LEFT(D2123,7),2)=RIGHT(LEFT(' Pivot Tables'!$A$4,7),2)),1,0)</f>
        <v>0</v>
      </c>
      <c r="Y2123" s="6">
        <f>1/COUNTIF(Таблица1[Order ID],Таблица1[[#This Row],[Order ID]])</f>
        <v>0.5</v>
      </c>
      <c r="Z2123" s="9">
        <f>1/COUNTIFS(Таблица1[Customer Name],Таблица1[[#This Row],[Customer Name]],Таблица1[Order-Year-Month],Таблица1[[#This Row],[Order-Year-Month]])</f>
        <v>0.5</v>
      </c>
    </row>
    <row r="2124" spans="1:26" x14ac:dyDescent="0.2">
      <c r="A2124" s="6">
        <v>2451</v>
      </c>
      <c r="B2124" s="7">
        <v>17825</v>
      </c>
      <c r="C2124" s="8">
        <f>DATE(2012,12,31)-1083</f>
        <v>40191</v>
      </c>
      <c r="D2124" s="8" t="str">
        <f t="shared" si="42"/>
        <v>2010-01 (январь 2010)</v>
      </c>
      <c r="E2124" s="9" t="s">
        <v>45</v>
      </c>
      <c r="F2124" s="7">
        <v>26</v>
      </c>
      <c r="G2124" s="7">
        <v>981.9</v>
      </c>
      <c r="H2124" s="7">
        <v>0.06</v>
      </c>
      <c r="I2124" s="9" t="s">
        <v>22</v>
      </c>
      <c r="J2124" s="10">
        <v>11.38</v>
      </c>
      <c r="K2124" s="11">
        <v>37.76</v>
      </c>
      <c r="L2124" s="11">
        <v>12.9</v>
      </c>
      <c r="M2124" s="9" t="s">
        <v>1312</v>
      </c>
      <c r="N2124" s="6" t="s">
        <v>1123</v>
      </c>
      <c r="O2124" s="6" t="s">
        <v>1123</v>
      </c>
      <c r="P2124" s="9" t="s">
        <v>60</v>
      </c>
      <c r="Q2124" s="9" t="s">
        <v>26</v>
      </c>
      <c r="R2124" s="9" t="s">
        <v>27</v>
      </c>
      <c r="S2124" s="7" t="s">
        <v>1087</v>
      </c>
      <c r="T2124" s="9" t="s">
        <v>39</v>
      </c>
      <c r="U2124" s="7">
        <v>0.56999999999999995</v>
      </c>
      <c r="V2124" s="12">
        <f>C2124+3</f>
        <v>40194</v>
      </c>
      <c r="W2124">
        <f>IF(D2124=' Pivot Tables'!$A$4,1,0)</f>
        <v>1</v>
      </c>
      <c r="X2124">
        <f>IF(AND(LEFT(D2124,4)+1=LEFT(' Pivot Tables'!$A$4,4)+0,RIGHT(LEFT(D2124,7),2)=RIGHT(LEFT(' Pivot Tables'!$A$4,7),2)),1,0)</f>
        <v>0</v>
      </c>
      <c r="Y2124" s="6">
        <f>1/COUNTIF(Таблица1[Order ID],Таблица1[[#This Row],[Order ID]])</f>
        <v>1</v>
      </c>
      <c r="Z2124" s="9">
        <f>1/COUNTIFS(Таблица1[Customer Name],Таблица1[[#This Row],[Customer Name]],Таблица1[Order-Year-Month],Таблица1[[#This Row],[Order-Year-Month]])</f>
        <v>1</v>
      </c>
    </row>
    <row r="2125" spans="1:26" x14ac:dyDescent="0.2">
      <c r="A2125" s="6">
        <v>2469</v>
      </c>
      <c r="B2125" s="7">
        <v>17956</v>
      </c>
      <c r="C2125" s="8">
        <f>DATE(2012,12,31)-879</f>
        <v>40395</v>
      </c>
      <c r="D2125" s="8" t="str">
        <f t="shared" si="42"/>
        <v>2010-08 (август 2010)</v>
      </c>
      <c r="E2125" s="9" t="s">
        <v>78</v>
      </c>
      <c r="F2125" s="7">
        <v>40</v>
      </c>
      <c r="G2125" s="7">
        <v>1567.51</v>
      </c>
      <c r="H2125" s="7">
        <v>0.01</v>
      </c>
      <c r="I2125" s="9" t="s">
        <v>56</v>
      </c>
      <c r="J2125" s="10">
        <v>711.74</v>
      </c>
      <c r="K2125" s="11">
        <v>37.94</v>
      </c>
      <c r="L2125" s="11">
        <v>5.08</v>
      </c>
      <c r="M2125" s="9" t="s">
        <v>1251</v>
      </c>
      <c r="N2125" s="6" t="s">
        <v>1123</v>
      </c>
      <c r="O2125" s="6" t="s">
        <v>1123</v>
      </c>
      <c r="P2125" s="9" t="s">
        <v>41</v>
      </c>
      <c r="Q2125" s="9" t="s">
        <v>26</v>
      </c>
      <c r="R2125" s="9" t="s">
        <v>61</v>
      </c>
      <c r="S2125" s="7" t="s">
        <v>684</v>
      </c>
      <c r="T2125" s="9" t="s">
        <v>68</v>
      </c>
      <c r="U2125" s="7">
        <v>0.38</v>
      </c>
      <c r="V2125" s="12">
        <f>C2125+3</f>
        <v>40398</v>
      </c>
      <c r="W2125">
        <f>IF(D2125=' Pivot Tables'!$A$4,1,0)</f>
        <v>0</v>
      </c>
      <c r="X2125">
        <f>IF(AND(LEFT(D2125,4)+1=LEFT(' Pivot Tables'!$A$4,4)+0,RIGHT(LEFT(D2125,7),2)=RIGHT(LEFT(' Pivot Tables'!$A$4,7),2)),1,0)</f>
        <v>0</v>
      </c>
      <c r="Y2125" s="6">
        <f>1/COUNTIF(Таблица1[Order ID],Таблица1[[#This Row],[Order ID]])</f>
        <v>0.5</v>
      </c>
      <c r="Z2125" s="9">
        <f>1/COUNTIFS(Таблица1[Customer Name],Таблица1[[#This Row],[Customer Name]],Таблица1[Order-Year-Month],Таблица1[[#This Row],[Order-Year-Month]])</f>
        <v>0.5</v>
      </c>
    </row>
    <row r="2126" spans="1:26" x14ac:dyDescent="0.2">
      <c r="A2126" s="6">
        <v>2470</v>
      </c>
      <c r="B2126" s="7">
        <v>17956</v>
      </c>
      <c r="C2126" s="8">
        <f>DATE(2012,12,31)-879</f>
        <v>40395</v>
      </c>
      <c r="D2126" s="8" t="str">
        <f t="shared" si="42"/>
        <v>2010-08 (август 2010)</v>
      </c>
      <c r="E2126" s="9" t="s">
        <v>78</v>
      </c>
      <c r="F2126" s="7">
        <v>17</v>
      </c>
      <c r="G2126" s="7">
        <v>1914.65</v>
      </c>
      <c r="H2126" s="7">
        <v>0.01</v>
      </c>
      <c r="I2126" s="9" t="s">
        <v>22</v>
      </c>
      <c r="J2126" s="10">
        <v>73.45</v>
      </c>
      <c r="K2126" s="11">
        <v>111.03</v>
      </c>
      <c r="L2126" s="11">
        <v>8.64</v>
      </c>
      <c r="M2126" s="9" t="s">
        <v>1251</v>
      </c>
      <c r="N2126" s="6" t="s">
        <v>1123</v>
      </c>
      <c r="O2126" s="6" t="s">
        <v>1123</v>
      </c>
      <c r="P2126" s="9" t="s">
        <v>41</v>
      </c>
      <c r="Q2126" s="9" t="s">
        <v>26</v>
      </c>
      <c r="R2126" s="9" t="s">
        <v>27</v>
      </c>
      <c r="S2126" s="7" t="s">
        <v>199</v>
      </c>
      <c r="T2126" s="9" t="s">
        <v>39</v>
      </c>
      <c r="U2126" s="7">
        <v>0.78</v>
      </c>
      <c r="V2126" s="12">
        <f>C2126+1</f>
        <v>40396</v>
      </c>
      <c r="W2126">
        <f>IF(D2126=' Pivot Tables'!$A$4,1,0)</f>
        <v>0</v>
      </c>
      <c r="X2126">
        <f>IF(AND(LEFT(D2126,4)+1=LEFT(' Pivot Tables'!$A$4,4)+0,RIGHT(LEFT(D2126,7),2)=RIGHT(LEFT(' Pivot Tables'!$A$4,7),2)),1,0)</f>
        <v>0</v>
      </c>
      <c r="Y2126" s="6">
        <f>1/COUNTIF(Таблица1[Order ID],Таблица1[[#This Row],[Order ID]])</f>
        <v>0.5</v>
      </c>
      <c r="Z2126" s="9">
        <f>1/COUNTIFS(Таблица1[Customer Name],Таблица1[[#This Row],[Customer Name]],Таблица1[Order-Year-Month],Таблица1[[#This Row],[Order-Year-Month]])</f>
        <v>0.5</v>
      </c>
    </row>
    <row r="2127" spans="1:26" x14ac:dyDescent="0.2">
      <c r="A2127" s="6">
        <v>2476</v>
      </c>
      <c r="B2127" s="7">
        <v>17986</v>
      </c>
      <c r="C2127" s="8">
        <f>DATE(2012,12,31)-270</f>
        <v>41004</v>
      </c>
      <c r="D2127" s="8" t="str">
        <f t="shared" si="42"/>
        <v>2012-04 (апрель 2012)</v>
      </c>
      <c r="E2127" s="9" t="s">
        <v>45</v>
      </c>
      <c r="F2127" s="7">
        <v>43</v>
      </c>
      <c r="G2127" s="7">
        <v>87.31</v>
      </c>
      <c r="H2127" s="7">
        <v>0.05</v>
      </c>
      <c r="I2127" s="9" t="s">
        <v>22</v>
      </c>
      <c r="J2127" s="10">
        <v>-15.087999999999999</v>
      </c>
      <c r="K2127" s="11">
        <v>2.08</v>
      </c>
      <c r="L2127" s="11">
        <v>1.49</v>
      </c>
      <c r="M2127" s="9" t="s">
        <v>1295</v>
      </c>
      <c r="N2127" s="6" t="s">
        <v>1123</v>
      </c>
      <c r="O2127" s="6" t="s">
        <v>1123</v>
      </c>
      <c r="P2127" s="9" t="s">
        <v>25</v>
      </c>
      <c r="Q2127" s="9" t="s">
        <v>26</v>
      </c>
      <c r="R2127" s="9" t="s">
        <v>37</v>
      </c>
      <c r="S2127" s="7" t="s">
        <v>745</v>
      </c>
      <c r="T2127" s="9" t="s">
        <v>39</v>
      </c>
      <c r="U2127" s="7">
        <v>0.36</v>
      </c>
      <c r="V2127" s="12">
        <f>C2127+2</f>
        <v>41006</v>
      </c>
      <c r="W2127">
        <f>IF(D2127=' Pivot Tables'!$A$4,1,0)</f>
        <v>0</v>
      </c>
      <c r="X2127">
        <f>IF(AND(LEFT(D2127,4)+1=LEFT(' Pivot Tables'!$A$4,4)+0,RIGHT(LEFT(D2127,7),2)=RIGHT(LEFT(' Pivot Tables'!$A$4,7),2)),1,0)</f>
        <v>0</v>
      </c>
      <c r="Y2127" s="6">
        <f>1/COUNTIF(Таблица1[Order ID],Таблица1[[#This Row],[Order ID]])</f>
        <v>1</v>
      </c>
      <c r="Z2127" s="9">
        <f>1/COUNTIFS(Таблица1[Customer Name],Таблица1[[#This Row],[Customer Name]],Таблица1[Order-Year-Month],Таблица1[[#This Row],[Order-Year-Month]])</f>
        <v>1</v>
      </c>
    </row>
    <row r="2128" spans="1:26" x14ac:dyDescent="0.2">
      <c r="A2128" s="6">
        <v>2486</v>
      </c>
      <c r="B2128" s="7">
        <v>18112</v>
      </c>
      <c r="C2128" s="8">
        <f>DATE(2012,12,31)-290</f>
        <v>40984</v>
      </c>
      <c r="D2128" s="8" t="str">
        <f t="shared" si="42"/>
        <v>2012-03 (март 2012)</v>
      </c>
      <c r="E2128" s="9" t="s">
        <v>45</v>
      </c>
      <c r="F2128" s="7">
        <v>13</v>
      </c>
      <c r="G2128" s="7">
        <v>83.31</v>
      </c>
      <c r="H2128" s="7">
        <v>0.06</v>
      </c>
      <c r="I2128" s="9" t="s">
        <v>22</v>
      </c>
      <c r="J2128" s="10">
        <v>22.8</v>
      </c>
      <c r="K2128" s="11">
        <v>6.45</v>
      </c>
      <c r="L2128" s="11">
        <v>1.34</v>
      </c>
      <c r="M2128" s="9" t="s">
        <v>1244</v>
      </c>
      <c r="N2128" s="6" t="s">
        <v>1123</v>
      </c>
      <c r="O2128" s="6" t="s">
        <v>1123</v>
      </c>
      <c r="P2128" s="9" t="s">
        <v>25</v>
      </c>
      <c r="Q2128" s="9" t="s">
        <v>26</v>
      </c>
      <c r="R2128" s="9" t="s">
        <v>61</v>
      </c>
      <c r="S2128" s="7" t="s">
        <v>1039</v>
      </c>
      <c r="T2128" s="9" t="s">
        <v>68</v>
      </c>
      <c r="U2128" s="7">
        <v>0.36</v>
      </c>
      <c r="V2128" s="12">
        <f>C2128+1</f>
        <v>40985</v>
      </c>
      <c r="W2128">
        <f>IF(D2128=' Pivot Tables'!$A$4,1,0)</f>
        <v>0</v>
      </c>
      <c r="X2128">
        <f>IF(AND(LEFT(D2128,4)+1=LEFT(' Pivot Tables'!$A$4,4)+0,RIGHT(LEFT(D2128,7),2)=RIGHT(LEFT(' Pivot Tables'!$A$4,7),2)),1,0)</f>
        <v>0</v>
      </c>
      <c r="Y2128" s="6">
        <f>1/COUNTIF(Таблица1[Order ID],Таблица1[[#This Row],[Order ID]])</f>
        <v>1</v>
      </c>
      <c r="Z2128" s="9">
        <f>1/COUNTIFS(Таблица1[Customer Name],Таблица1[[#This Row],[Customer Name]],Таблица1[Order-Year-Month],Таблица1[[#This Row],[Order-Year-Month]])</f>
        <v>1</v>
      </c>
    </row>
    <row r="2129" spans="1:26" x14ac:dyDescent="0.2">
      <c r="A2129" s="6">
        <v>2496</v>
      </c>
      <c r="B2129" s="7">
        <v>18178</v>
      </c>
      <c r="C2129" s="8">
        <f>DATE(2012,12,31)-1155</f>
        <v>40119</v>
      </c>
      <c r="D2129" s="8" t="str">
        <f t="shared" si="42"/>
        <v>2009-11 (ноябрь 2009)</v>
      </c>
      <c r="E2129" s="9" t="s">
        <v>21</v>
      </c>
      <c r="F2129" s="7">
        <v>43</v>
      </c>
      <c r="G2129" s="7">
        <v>235.09</v>
      </c>
      <c r="H2129" s="7">
        <v>0.08</v>
      </c>
      <c r="I2129" s="9" t="s">
        <v>22</v>
      </c>
      <c r="J2129" s="10">
        <v>-1987.49</v>
      </c>
      <c r="K2129" s="11">
        <v>4.4800000000000004</v>
      </c>
      <c r="L2129" s="11">
        <v>49</v>
      </c>
      <c r="M2129" s="9" t="s">
        <v>1309</v>
      </c>
      <c r="N2129" s="6" t="s">
        <v>1123</v>
      </c>
      <c r="O2129" s="6" t="s">
        <v>1123</v>
      </c>
      <c r="P2129" s="9" t="s">
        <v>25</v>
      </c>
      <c r="Q2129" s="9" t="s">
        <v>26</v>
      </c>
      <c r="R2129" s="9" t="s">
        <v>34</v>
      </c>
      <c r="S2129" s="7" t="s">
        <v>128</v>
      </c>
      <c r="T2129" s="9" t="s">
        <v>29</v>
      </c>
      <c r="U2129" s="7">
        <v>0.6</v>
      </c>
      <c r="V2129" s="12">
        <f>C2129+0</f>
        <v>40119</v>
      </c>
      <c r="W2129">
        <f>IF(D2129=' Pivot Tables'!$A$4,1,0)</f>
        <v>0</v>
      </c>
      <c r="X2129">
        <f>IF(AND(LEFT(D2129,4)+1=LEFT(' Pivot Tables'!$A$4,4)+0,RIGHT(LEFT(D2129,7),2)=RIGHT(LEFT(' Pivot Tables'!$A$4,7),2)),1,0)</f>
        <v>0</v>
      </c>
      <c r="Y2129" s="6">
        <f>1/COUNTIF(Таблица1[Order ID],Таблица1[[#This Row],[Order ID]])</f>
        <v>0.5</v>
      </c>
      <c r="Z2129" s="9">
        <f>1/COUNTIFS(Таблица1[Customer Name],Таблица1[[#This Row],[Customer Name]],Таблица1[Order-Year-Month],Таблица1[[#This Row],[Order-Year-Month]])</f>
        <v>0.5</v>
      </c>
    </row>
    <row r="2130" spans="1:26" x14ac:dyDescent="0.2">
      <c r="A2130" s="6">
        <v>2497</v>
      </c>
      <c r="B2130" s="7">
        <v>18178</v>
      </c>
      <c r="C2130" s="8">
        <f>DATE(2012,12,31)-1155</f>
        <v>40119</v>
      </c>
      <c r="D2130" s="8" t="str">
        <f t="shared" si="42"/>
        <v>2009-11 (ноябрь 2009)</v>
      </c>
      <c r="E2130" s="9" t="s">
        <v>21</v>
      </c>
      <c r="F2130" s="7">
        <v>10</v>
      </c>
      <c r="G2130" s="7">
        <v>187.46</v>
      </c>
      <c r="H2130" s="7">
        <v>0</v>
      </c>
      <c r="I2130" s="9" t="s">
        <v>22</v>
      </c>
      <c r="J2130" s="10">
        <v>49.85</v>
      </c>
      <c r="K2130" s="11">
        <v>17.670000000000002</v>
      </c>
      <c r="L2130" s="11">
        <v>8.99</v>
      </c>
      <c r="M2130" s="9" t="s">
        <v>1309</v>
      </c>
      <c r="N2130" s="6" t="s">
        <v>1123</v>
      </c>
      <c r="O2130" s="6" t="s">
        <v>1123</v>
      </c>
      <c r="P2130" s="9" t="s">
        <v>25</v>
      </c>
      <c r="Q2130" s="9" t="s">
        <v>49</v>
      </c>
      <c r="R2130" s="9" t="s">
        <v>50</v>
      </c>
      <c r="S2130" s="7" t="s">
        <v>763</v>
      </c>
      <c r="T2130" s="9" t="s">
        <v>52</v>
      </c>
      <c r="U2130" s="7">
        <v>0.47</v>
      </c>
      <c r="V2130" s="12">
        <f>C2130+7</f>
        <v>40126</v>
      </c>
      <c r="W2130">
        <f>IF(D2130=' Pivot Tables'!$A$4,1,0)</f>
        <v>0</v>
      </c>
      <c r="X2130">
        <f>IF(AND(LEFT(D2130,4)+1=LEFT(' Pivot Tables'!$A$4,4)+0,RIGHT(LEFT(D2130,7),2)=RIGHT(LEFT(' Pivot Tables'!$A$4,7),2)),1,0)</f>
        <v>0</v>
      </c>
      <c r="Y2130" s="6">
        <f>1/COUNTIF(Таблица1[Order ID],Таблица1[[#This Row],[Order ID]])</f>
        <v>0.5</v>
      </c>
      <c r="Z2130" s="9">
        <f>1/COUNTIFS(Таблица1[Customer Name],Таблица1[[#This Row],[Customer Name]],Таблица1[Order-Year-Month],Таблица1[[#This Row],[Order-Year-Month]])</f>
        <v>0.5</v>
      </c>
    </row>
    <row r="2131" spans="1:26" x14ac:dyDescent="0.2">
      <c r="A2131" s="6">
        <v>2501</v>
      </c>
      <c r="B2131" s="7">
        <v>18182</v>
      </c>
      <c r="C2131" s="8">
        <f>DATE(2012,12,31)-631</f>
        <v>40643</v>
      </c>
      <c r="D2131" s="8" t="str">
        <f t="shared" si="42"/>
        <v>2011-04 (апрель 2011)</v>
      </c>
      <c r="E2131" s="9" t="s">
        <v>63</v>
      </c>
      <c r="F2131" s="7">
        <v>45</v>
      </c>
      <c r="G2131" s="7">
        <v>4598.7299999999996</v>
      </c>
      <c r="H2131" s="7">
        <v>0.04</v>
      </c>
      <c r="I2131" s="9" t="s">
        <v>22</v>
      </c>
      <c r="J2131" s="10">
        <v>1049.45</v>
      </c>
      <c r="K2131" s="11">
        <v>99.99</v>
      </c>
      <c r="L2131" s="11">
        <v>19.989999999999998</v>
      </c>
      <c r="M2131" s="9" t="s">
        <v>1276</v>
      </c>
      <c r="N2131" s="6" t="s">
        <v>1123</v>
      </c>
      <c r="O2131" s="6" t="s">
        <v>1123</v>
      </c>
      <c r="P2131" s="9" t="s">
        <v>41</v>
      </c>
      <c r="Q2131" s="9" t="s">
        <v>42</v>
      </c>
      <c r="R2131" s="9" t="s">
        <v>70</v>
      </c>
      <c r="S2131" s="7" t="s">
        <v>306</v>
      </c>
      <c r="T2131" s="9" t="s">
        <v>39</v>
      </c>
      <c r="U2131" s="7">
        <v>0.5</v>
      </c>
      <c r="V2131" s="12">
        <f>C2131+2</f>
        <v>40645</v>
      </c>
      <c r="W2131">
        <f>IF(D2131=' Pivot Tables'!$A$4,1,0)</f>
        <v>0</v>
      </c>
      <c r="X2131">
        <f>IF(AND(LEFT(D2131,4)+1=LEFT(' Pivot Tables'!$A$4,4)+0,RIGHT(LEFT(D2131,7),2)=RIGHT(LEFT(' Pivot Tables'!$A$4,7),2)),1,0)</f>
        <v>0</v>
      </c>
      <c r="Y2131" s="6">
        <f>1/COUNTIF(Таблица1[Order ID],Таблица1[[#This Row],[Order ID]])</f>
        <v>0.33333333333333331</v>
      </c>
      <c r="Z2131" s="9">
        <f>1/COUNTIFS(Таблица1[Customer Name],Таблица1[[#This Row],[Customer Name]],Таблица1[Order-Year-Month],Таблица1[[#This Row],[Order-Year-Month]])</f>
        <v>0.33333333333333331</v>
      </c>
    </row>
    <row r="2132" spans="1:26" x14ac:dyDescent="0.2">
      <c r="A2132" s="6">
        <v>2502</v>
      </c>
      <c r="B2132" s="7">
        <v>18182</v>
      </c>
      <c r="C2132" s="8">
        <f>DATE(2012,12,31)-631</f>
        <v>40643</v>
      </c>
      <c r="D2132" s="8" t="str">
        <f t="shared" si="42"/>
        <v>2011-04 (апрель 2011)</v>
      </c>
      <c r="E2132" s="9" t="s">
        <v>63</v>
      </c>
      <c r="F2132" s="7">
        <v>45</v>
      </c>
      <c r="G2132" s="7">
        <v>2673.08</v>
      </c>
      <c r="H2132" s="7">
        <v>0.01</v>
      </c>
      <c r="I2132" s="9" t="s">
        <v>22</v>
      </c>
      <c r="J2132" s="10">
        <v>-1363.12</v>
      </c>
      <c r="K2132" s="11">
        <v>55.5</v>
      </c>
      <c r="L2132" s="11">
        <v>52.2</v>
      </c>
      <c r="M2132" s="9" t="s">
        <v>1276</v>
      </c>
      <c r="N2132" s="6" t="s">
        <v>1123</v>
      </c>
      <c r="O2132" s="6" t="s">
        <v>1123</v>
      </c>
      <c r="P2132" s="9" t="s">
        <v>41</v>
      </c>
      <c r="Q2132" s="9" t="s">
        <v>49</v>
      </c>
      <c r="R2132" s="9" t="s">
        <v>50</v>
      </c>
      <c r="S2132" s="7" t="s">
        <v>423</v>
      </c>
      <c r="T2132" s="9" t="s">
        <v>48</v>
      </c>
      <c r="U2132" s="7">
        <v>0.72</v>
      </c>
      <c r="V2132" s="12">
        <f>C2132+1</f>
        <v>40644</v>
      </c>
      <c r="W2132">
        <f>IF(D2132=' Pivot Tables'!$A$4,1,0)</f>
        <v>0</v>
      </c>
      <c r="X2132">
        <f>IF(AND(LEFT(D2132,4)+1=LEFT(' Pivot Tables'!$A$4,4)+0,RIGHT(LEFT(D2132,7),2)=RIGHT(LEFT(' Pivot Tables'!$A$4,7),2)),1,0)</f>
        <v>0</v>
      </c>
      <c r="Y2132" s="6">
        <f>1/COUNTIF(Таблица1[Order ID],Таблица1[[#This Row],[Order ID]])</f>
        <v>0.33333333333333331</v>
      </c>
      <c r="Z2132" s="9">
        <f>1/COUNTIFS(Таблица1[Customer Name],Таблица1[[#This Row],[Customer Name]],Таблица1[Order-Year-Month],Таблица1[[#This Row],[Order-Year-Month]])</f>
        <v>0.33333333333333331</v>
      </c>
    </row>
    <row r="2133" spans="1:26" x14ac:dyDescent="0.2">
      <c r="A2133" s="6">
        <v>2503</v>
      </c>
      <c r="B2133" s="7">
        <v>18182</v>
      </c>
      <c r="C2133" s="8">
        <f>DATE(2012,12,31)-631</f>
        <v>40643</v>
      </c>
      <c r="D2133" s="8" t="str">
        <f t="shared" si="42"/>
        <v>2011-04 (апрель 2011)</v>
      </c>
      <c r="E2133" s="9" t="s">
        <v>63</v>
      </c>
      <c r="F2133" s="7">
        <v>12</v>
      </c>
      <c r="G2133" s="7">
        <v>396.69</v>
      </c>
      <c r="H2133" s="7">
        <v>0.09</v>
      </c>
      <c r="I2133" s="9" t="s">
        <v>56</v>
      </c>
      <c r="J2133" s="10">
        <v>-18.45</v>
      </c>
      <c r="K2133" s="11">
        <v>33.29</v>
      </c>
      <c r="L2133" s="11">
        <v>8.74</v>
      </c>
      <c r="M2133" s="9" t="s">
        <v>1276</v>
      </c>
      <c r="N2133" s="6" t="s">
        <v>1123</v>
      </c>
      <c r="O2133" s="6" t="s">
        <v>1123</v>
      </c>
      <c r="P2133" s="9" t="s">
        <v>41</v>
      </c>
      <c r="Q2133" s="9" t="s">
        <v>26</v>
      </c>
      <c r="R2133" s="9" t="s">
        <v>27</v>
      </c>
      <c r="S2133" s="7" t="s">
        <v>1320</v>
      </c>
      <c r="T2133" s="9" t="s">
        <v>39</v>
      </c>
      <c r="U2133" s="7">
        <v>0.61</v>
      </c>
      <c r="V2133" s="12">
        <f>C2133+2</f>
        <v>40645</v>
      </c>
      <c r="W2133">
        <f>IF(D2133=' Pivot Tables'!$A$4,1,0)</f>
        <v>0</v>
      </c>
      <c r="X2133">
        <f>IF(AND(LEFT(D2133,4)+1=LEFT(' Pivot Tables'!$A$4,4)+0,RIGHT(LEFT(D2133,7),2)=RIGHT(LEFT(' Pivot Tables'!$A$4,7),2)),1,0)</f>
        <v>0</v>
      </c>
      <c r="Y2133" s="6">
        <f>1/COUNTIF(Таблица1[Order ID],Таблица1[[#This Row],[Order ID]])</f>
        <v>0.33333333333333331</v>
      </c>
      <c r="Z2133" s="9">
        <f>1/COUNTIFS(Таблица1[Customer Name],Таблица1[[#This Row],[Customer Name]],Таблица1[Order-Year-Month],Таблица1[[#This Row],[Order-Year-Month]])</f>
        <v>0.33333333333333331</v>
      </c>
    </row>
    <row r="2134" spans="1:26" x14ac:dyDescent="0.2">
      <c r="A2134" s="6">
        <v>2538</v>
      </c>
      <c r="B2134" s="7">
        <v>18405</v>
      </c>
      <c r="C2134" s="8">
        <f>DATE(2012,12,31)-1454</f>
        <v>39820</v>
      </c>
      <c r="D2134" s="8" t="str">
        <f t="shared" si="42"/>
        <v>2009-01 (январь 2009)</v>
      </c>
      <c r="E2134" s="9" t="s">
        <v>63</v>
      </c>
      <c r="F2134" s="7">
        <v>30</v>
      </c>
      <c r="G2134" s="7">
        <v>610.65</v>
      </c>
      <c r="H2134" s="7">
        <v>0.09</v>
      </c>
      <c r="I2134" s="9" t="s">
        <v>56</v>
      </c>
      <c r="J2134" s="10">
        <v>60.273499999999999</v>
      </c>
      <c r="K2134" s="11">
        <v>20.98</v>
      </c>
      <c r="L2134" s="11">
        <v>8.83</v>
      </c>
      <c r="M2134" s="9" t="s">
        <v>1295</v>
      </c>
      <c r="N2134" s="6" t="s">
        <v>1123</v>
      </c>
      <c r="O2134" s="6" t="s">
        <v>1123</v>
      </c>
      <c r="P2134" s="9" t="s">
        <v>33</v>
      </c>
      <c r="Q2134" s="9" t="s">
        <v>26</v>
      </c>
      <c r="R2134" s="9" t="s">
        <v>37</v>
      </c>
      <c r="S2134" s="7" t="s">
        <v>475</v>
      </c>
      <c r="T2134" s="9" t="s">
        <v>39</v>
      </c>
      <c r="U2134" s="7">
        <v>0.37</v>
      </c>
      <c r="V2134" s="12">
        <f>C2134+2</f>
        <v>39822</v>
      </c>
      <c r="W2134">
        <f>IF(D2134=' Pivot Tables'!$A$4,1,0)</f>
        <v>0</v>
      </c>
      <c r="X2134">
        <f>IF(AND(LEFT(D2134,4)+1=LEFT(' Pivot Tables'!$A$4,4)+0,RIGHT(LEFT(D2134,7),2)=RIGHT(LEFT(' Pivot Tables'!$A$4,7),2)),1,0)</f>
        <v>1</v>
      </c>
      <c r="Y2134" s="6">
        <f>1/COUNTIF(Таблица1[Order ID],Таблица1[[#This Row],[Order ID]])</f>
        <v>0.5</v>
      </c>
      <c r="Z2134" s="9">
        <f>1/COUNTIFS(Таблица1[Customer Name],Таблица1[[#This Row],[Customer Name]],Таблица1[Order-Year-Month],Таблица1[[#This Row],[Order-Year-Month]])</f>
        <v>0.5</v>
      </c>
    </row>
    <row r="2135" spans="1:26" x14ac:dyDescent="0.2">
      <c r="A2135" s="6">
        <v>2539</v>
      </c>
      <c r="B2135" s="7">
        <v>18405</v>
      </c>
      <c r="C2135" s="8">
        <f>DATE(2012,12,31)-1454</f>
        <v>39820</v>
      </c>
      <c r="D2135" s="8" t="str">
        <f t="shared" si="42"/>
        <v>2009-01 (январь 2009)</v>
      </c>
      <c r="E2135" s="9" t="s">
        <v>63</v>
      </c>
      <c r="F2135" s="7">
        <v>2</v>
      </c>
      <c r="G2135" s="7">
        <v>158.04</v>
      </c>
      <c r="H2135" s="7">
        <v>0.03</v>
      </c>
      <c r="I2135" s="9" t="s">
        <v>22</v>
      </c>
      <c r="J2135" s="10">
        <v>-263.08999999999997</v>
      </c>
      <c r="K2135" s="11">
        <v>73.98</v>
      </c>
      <c r="L2135" s="11">
        <v>14.52</v>
      </c>
      <c r="M2135" s="9" t="s">
        <v>1295</v>
      </c>
      <c r="N2135" s="6" t="s">
        <v>1123</v>
      </c>
      <c r="O2135" s="6" t="s">
        <v>1123</v>
      </c>
      <c r="P2135" s="9" t="s">
        <v>33</v>
      </c>
      <c r="Q2135" s="9" t="s">
        <v>42</v>
      </c>
      <c r="R2135" s="9" t="s">
        <v>70</v>
      </c>
      <c r="S2135" s="7" t="s">
        <v>822</v>
      </c>
      <c r="T2135" s="9" t="s">
        <v>39</v>
      </c>
      <c r="U2135" s="7">
        <v>0.65</v>
      </c>
      <c r="V2135" s="12">
        <f>C2135+3</f>
        <v>39823</v>
      </c>
      <c r="W2135">
        <f>IF(D2135=' Pivot Tables'!$A$4,1,0)</f>
        <v>0</v>
      </c>
      <c r="X2135">
        <f>IF(AND(LEFT(D2135,4)+1=LEFT(' Pivot Tables'!$A$4,4)+0,RIGHT(LEFT(D2135,7),2)=RIGHT(LEFT(' Pivot Tables'!$A$4,7),2)),1,0)</f>
        <v>1</v>
      </c>
      <c r="Y2135" s="6">
        <f>1/COUNTIF(Таблица1[Order ID],Таблица1[[#This Row],[Order ID]])</f>
        <v>0.5</v>
      </c>
      <c r="Z2135" s="9">
        <f>1/COUNTIFS(Таблица1[Customer Name],Таблица1[[#This Row],[Customer Name]],Таблица1[Order-Year-Month],Таблица1[[#This Row],[Order-Year-Month]])</f>
        <v>0.5</v>
      </c>
    </row>
    <row r="2136" spans="1:26" x14ac:dyDescent="0.2">
      <c r="A2136" s="6">
        <v>2565</v>
      </c>
      <c r="B2136" s="7">
        <v>18531</v>
      </c>
      <c r="C2136" s="8">
        <f>DATE(2012,12,31)-63</f>
        <v>41211</v>
      </c>
      <c r="D2136" s="8" t="str">
        <f t="shared" si="42"/>
        <v>2012-10 (октябрь 2012)</v>
      </c>
      <c r="E2136" s="9" t="s">
        <v>78</v>
      </c>
      <c r="F2136" s="7">
        <v>50</v>
      </c>
      <c r="G2136" s="7">
        <v>1298.81</v>
      </c>
      <c r="H2136" s="7">
        <v>0.04</v>
      </c>
      <c r="I2136" s="9" t="s">
        <v>31</v>
      </c>
      <c r="J2136" s="10">
        <v>-250.55</v>
      </c>
      <c r="K2136" s="11">
        <v>25.98</v>
      </c>
      <c r="L2136" s="11">
        <v>14.36</v>
      </c>
      <c r="M2136" s="9" t="s">
        <v>1256</v>
      </c>
      <c r="N2136" s="6" t="s">
        <v>1123</v>
      </c>
      <c r="O2136" s="6" t="s">
        <v>1123</v>
      </c>
      <c r="P2136" s="9" t="s">
        <v>25</v>
      </c>
      <c r="Q2136" s="9" t="s">
        <v>49</v>
      </c>
      <c r="R2136" s="9" t="s">
        <v>112</v>
      </c>
      <c r="S2136" s="7" t="s">
        <v>280</v>
      </c>
      <c r="T2136" s="9" t="s">
        <v>36</v>
      </c>
      <c r="U2136" s="7">
        <v>0.6</v>
      </c>
      <c r="V2136" s="12">
        <f>C2136+2</f>
        <v>41213</v>
      </c>
      <c r="W2136">
        <f>IF(D2136=' Pivot Tables'!$A$4,1,0)</f>
        <v>0</v>
      </c>
      <c r="X2136">
        <f>IF(AND(LEFT(D2136,4)+1=LEFT(' Pivot Tables'!$A$4,4)+0,RIGHT(LEFT(D2136,7),2)=RIGHT(LEFT(' Pivot Tables'!$A$4,7),2)),1,0)</f>
        <v>0</v>
      </c>
      <c r="Y2136" s="6">
        <f>1/COUNTIF(Таблица1[Order ID],Таблица1[[#This Row],[Order ID]])</f>
        <v>1</v>
      </c>
      <c r="Z2136" s="9">
        <f>1/COUNTIFS(Таблица1[Customer Name],Таблица1[[#This Row],[Customer Name]],Таблица1[Order-Year-Month],Таблица1[[#This Row],[Order-Year-Month]])</f>
        <v>1</v>
      </c>
    </row>
    <row r="2137" spans="1:26" x14ac:dyDescent="0.2">
      <c r="A2137" s="6">
        <v>2568</v>
      </c>
      <c r="B2137" s="7">
        <v>18533</v>
      </c>
      <c r="C2137" s="8">
        <f>DATE(2012,12,31)-1151</f>
        <v>40123</v>
      </c>
      <c r="D2137" s="8" t="str">
        <f t="shared" si="42"/>
        <v>2009-11 (ноябрь 2009)</v>
      </c>
      <c r="E2137" s="9" t="s">
        <v>45</v>
      </c>
      <c r="F2137" s="7">
        <v>27</v>
      </c>
      <c r="G2137" s="7">
        <v>442.57</v>
      </c>
      <c r="H2137" s="7">
        <v>0.01</v>
      </c>
      <c r="I2137" s="9" t="s">
        <v>22</v>
      </c>
      <c r="J2137" s="10">
        <v>-60.73</v>
      </c>
      <c r="K2137" s="11">
        <v>15.31</v>
      </c>
      <c r="L2137" s="11">
        <v>8.7799999999999994</v>
      </c>
      <c r="M2137" s="9" t="s">
        <v>1312</v>
      </c>
      <c r="N2137" s="6" t="s">
        <v>1123</v>
      </c>
      <c r="O2137" s="6" t="s">
        <v>1123</v>
      </c>
      <c r="P2137" s="9" t="s">
        <v>60</v>
      </c>
      <c r="Q2137" s="9" t="s">
        <v>26</v>
      </c>
      <c r="R2137" s="9" t="s">
        <v>27</v>
      </c>
      <c r="S2137" s="7" t="s">
        <v>748</v>
      </c>
      <c r="T2137" s="9" t="s">
        <v>39</v>
      </c>
      <c r="U2137" s="7">
        <v>0.56999999999999995</v>
      </c>
      <c r="V2137" s="12">
        <f>C2137+1</f>
        <v>40124</v>
      </c>
      <c r="W2137">
        <f>IF(D2137=' Pivot Tables'!$A$4,1,0)</f>
        <v>0</v>
      </c>
      <c r="X2137">
        <f>IF(AND(LEFT(D2137,4)+1=LEFT(' Pivot Tables'!$A$4,4)+0,RIGHT(LEFT(D2137,7),2)=RIGHT(LEFT(' Pivot Tables'!$A$4,7),2)),1,0)</f>
        <v>0</v>
      </c>
      <c r="Y2137" s="6">
        <f>1/COUNTIF(Таблица1[Order ID],Таблица1[[#This Row],[Order ID]])</f>
        <v>0.5</v>
      </c>
      <c r="Z2137" s="9">
        <f>1/COUNTIFS(Таблица1[Customer Name],Таблица1[[#This Row],[Customer Name]],Таблица1[Order-Year-Month],Таблица1[[#This Row],[Order-Year-Month]])</f>
        <v>0.5</v>
      </c>
    </row>
    <row r="2138" spans="1:26" x14ac:dyDescent="0.2">
      <c r="A2138" s="6">
        <v>2569</v>
      </c>
      <c r="B2138" s="7">
        <v>18533</v>
      </c>
      <c r="C2138" s="8">
        <f>DATE(2012,12,31)-1151</f>
        <v>40123</v>
      </c>
      <c r="D2138" s="8" t="str">
        <f t="shared" si="42"/>
        <v>2009-11 (ноябрь 2009)</v>
      </c>
      <c r="E2138" s="9" t="s">
        <v>45</v>
      </c>
      <c r="F2138" s="7">
        <v>5</v>
      </c>
      <c r="G2138" s="7">
        <v>53.736999999999995</v>
      </c>
      <c r="H2138" s="7">
        <v>0.05</v>
      </c>
      <c r="I2138" s="9" t="s">
        <v>56</v>
      </c>
      <c r="J2138" s="10">
        <v>-28.434999999999999</v>
      </c>
      <c r="K2138" s="11">
        <v>7.99</v>
      </c>
      <c r="L2138" s="11">
        <v>5.03</v>
      </c>
      <c r="M2138" s="9" t="s">
        <v>1312</v>
      </c>
      <c r="N2138" s="6" t="s">
        <v>1123</v>
      </c>
      <c r="O2138" s="6" t="s">
        <v>1123</v>
      </c>
      <c r="P2138" s="9" t="s">
        <v>60</v>
      </c>
      <c r="Q2138" s="9" t="s">
        <v>42</v>
      </c>
      <c r="R2138" s="9" t="s">
        <v>43</v>
      </c>
      <c r="S2138" s="7" t="s">
        <v>140</v>
      </c>
      <c r="T2138" s="9" t="s">
        <v>48</v>
      </c>
      <c r="U2138" s="7">
        <v>0.6</v>
      </c>
      <c r="V2138" s="12">
        <f>C2138+2</f>
        <v>40125</v>
      </c>
      <c r="W2138">
        <f>IF(D2138=' Pivot Tables'!$A$4,1,0)</f>
        <v>0</v>
      </c>
      <c r="X2138">
        <f>IF(AND(LEFT(D2138,4)+1=LEFT(' Pivot Tables'!$A$4,4)+0,RIGHT(LEFT(D2138,7),2)=RIGHT(LEFT(' Pivot Tables'!$A$4,7),2)),1,0)</f>
        <v>0</v>
      </c>
      <c r="Y2138" s="6">
        <f>1/COUNTIF(Таблица1[Order ID],Таблица1[[#This Row],[Order ID]])</f>
        <v>0.5</v>
      </c>
      <c r="Z2138" s="9">
        <f>1/COUNTIFS(Таблица1[Customer Name],Таблица1[[#This Row],[Customer Name]],Таблица1[Order-Year-Month],Таблица1[[#This Row],[Order-Year-Month]])</f>
        <v>0.5</v>
      </c>
    </row>
    <row r="2139" spans="1:26" x14ac:dyDescent="0.2">
      <c r="A2139" s="6">
        <v>2584</v>
      </c>
      <c r="B2139" s="7">
        <v>18661</v>
      </c>
      <c r="C2139" s="8">
        <f>DATE(2012,12,31)-114</f>
        <v>41160</v>
      </c>
      <c r="D2139" s="8" t="str">
        <f t="shared" si="42"/>
        <v>2012-09 (сентябрь 2012)</v>
      </c>
      <c r="E2139" s="9" t="s">
        <v>21</v>
      </c>
      <c r="F2139" s="7">
        <v>12</v>
      </c>
      <c r="G2139" s="7">
        <v>1207.08</v>
      </c>
      <c r="H2139" s="7">
        <v>0.05</v>
      </c>
      <c r="I2139" s="9" t="s">
        <v>31</v>
      </c>
      <c r="J2139" s="10">
        <v>-351.3</v>
      </c>
      <c r="K2139" s="11">
        <v>95.98</v>
      </c>
      <c r="L2139" s="11">
        <v>58.2</v>
      </c>
      <c r="M2139" s="9" t="s">
        <v>1243</v>
      </c>
      <c r="N2139" s="6" t="s">
        <v>1123</v>
      </c>
      <c r="O2139" s="6" t="s">
        <v>1123</v>
      </c>
      <c r="P2139" s="9" t="s">
        <v>41</v>
      </c>
      <c r="Q2139" s="9" t="s">
        <v>49</v>
      </c>
      <c r="R2139" s="9" t="s">
        <v>112</v>
      </c>
      <c r="S2139" s="7" t="s">
        <v>1321</v>
      </c>
      <c r="T2139" s="9" t="s">
        <v>36</v>
      </c>
      <c r="U2139" s="7">
        <v>0.57999999999999996</v>
      </c>
      <c r="V2139" s="12">
        <f>C2139+4</f>
        <v>41164</v>
      </c>
      <c r="W2139">
        <f>IF(D2139=' Pivot Tables'!$A$4,1,0)</f>
        <v>0</v>
      </c>
      <c r="X2139">
        <f>IF(AND(LEFT(D2139,4)+1=LEFT(' Pivot Tables'!$A$4,4)+0,RIGHT(LEFT(D2139,7),2)=RIGHT(LEFT(' Pivot Tables'!$A$4,7),2)),1,0)</f>
        <v>0</v>
      </c>
      <c r="Y2139" s="6">
        <f>1/COUNTIF(Таблица1[Order ID],Таблица1[[#This Row],[Order ID]])</f>
        <v>0.5</v>
      </c>
      <c r="Z2139" s="9">
        <f>1/COUNTIFS(Таблица1[Customer Name],Таблица1[[#This Row],[Customer Name]],Таблица1[Order-Year-Month],Таблица1[[#This Row],[Order-Year-Month]])</f>
        <v>0.5</v>
      </c>
    </row>
    <row r="2140" spans="1:26" x14ac:dyDescent="0.2">
      <c r="A2140" s="6">
        <v>2585</v>
      </c>
      <c r="B2140" s="7">
        <v>18661</v>
      </c>
      <c r="C2140" s="8">
        <f>DATE(2012,12,31)-114</f>
        <v>41160</v>
      </c>
      <c r="D2140" s="8" t="str">
        <f t="shared" si="42"/>
        <v>2012-09 (сентябрь 2012)</v>
      </c>
      <c r="E2140" s="9" t="s">
        <v>21</v>
      </c>
      <c r="F2140" s="7">
        <v>11</v>
      </c>
      <c r="G2140" s="7">
        <v>2618.1120000000001</v>
      </c>
      <c r="H2140" s="7">
        <v>0.04</v>
      </c>
      <c r="I2140" s="9" t="s">
        <v>31</v>
      </c>
      <c r="J2140" s="10">
        <v>-139.26600000000002</v>
      </c>
      <c r="K2140" s="11">
        <v>286.85000000000002</v>
      </c>
      <c r="L2140" s="11">
        <v>61.76</v>
      </c>
      <c r="M2140" s="9" t="s">
        <v>1243</v>
      </c>
      <c r="N2140" s="6" t="s">
        <v>1123</v>
      </c>
      <c r="O2140" s="6" t="s">
        <v>1123</v>
      </c>
      <c r="P2140" s="9" t="s">
        <v>41</v>
      </c>
      <c r="Q2140" s="9" t="s">
        <v>49</v>
      </c>
      <c r="R2140" s="9" t="s">
        <v>83</v>
      </c>
      <c r="S2140" s="7" t="s">
        <v>1086</v>
      </c>
      <c r="T2140" s="9" t="s">
        <v>82</v>
      </c>
      <c r="U2140" s="7">
        <v>0.78</v>
      </c>
      <c r="V2140" s="12">
        <f>C2140+2</f>
        <v>41162</v>
      </c>
      <c r="W2140">
        <f>IF(D2140=' Pivot Tables'!$A$4,1,0)</f>
        <v>0</v>
      </c>
      <c r="X2140">
        <f>IF(AND(LEFT(D2140,4)+1=LEFT(' Pivot Tables'!$A$4,4)+0,RIGHT(LEFT(D2140,7),2)=RIGHT(LEFT(' Pivot Tables'!$A$4,7),2)),1,0)</f>
        <v>0</v>
      </c>
      <c r="Y2140" s="6">
        <f>1/COUNTIF(Таблица1[Order ID],Таблица1[[#This Row],[Order ID]])</f>
        <v>0.5</v>
      </c>
      <c r="Z2140" s="9">
        <f>1/COUNTIFS(Таблица1[Customer Name],Таблица1[[#This Row],[Customer Name]],Таблица1[Order-Year-Month],Таблица1[[#This Row],[Order-Year-Month]])</f>
        <v>0.5</v>
      </c>
    </row>
    <row r="2141" spans="1:26" x14ac:dyDescent="0.2">
      <c r="A2141" s="6">
        <v>2591</v>
      </c>
      <c r="B2141" s="7">
        <v>18723</v>
      </c>
      <c r="C2141" s="8">
        <f>DATE(2012,12,31)-1237</f>
        <v>40037</v>
      </c>
      <c r="D2141" s="8" t="str">
        <f t="shared" si="42"/>
        <v>2009-08 (август 2009)</v>
      </c>
      <c r="E2141" s="9" t="s">
        <v>63</v>
      </c>
      <c r="F2141" s="7">
        <v>1</v>
      </c>
      <c r="G2141" s="7">
        <v>52.096499999999999</v>
      </c>
      <c r="H2141" s="7">
        <v>0</v>
      </c>
      <c r="I2141" s="9" t="s">
        <v>22</v>
      </c>
      <c r="J2141" s="10">
        <v>-232.80399999999997</v>
      </c>
      <c r="K2141" s="11">
        <v>55.99</v>
      </c>
      <c r="L2141" s="11">
        <v>2.5</v>
      </c>
      <c r="M2141" s="9" t="s">
        <v>1322</v>
      </c>
      <c r="N2141" s="6" t="s">
        <v>1123</v>
      </c>
      <c r="O2141" s="6" t="s">
        <v>1123</v>
      </c>
      <c r="P2141" s="9" t="s">
        <v>33</v>
      </c>
      <c r="Q2141" s="9" t="s">
        <v>42</v>
      </c>
      <c r="R2141" s="9" t="s">
        <v>43</v>
      </c>
      <c r="S2141" s="7" t="s">
        <v>1323</v>
      </c>
      <c r="T2141" s="9" t="s">
        <v>52</v>
      </c>
      <c r="U2141" s="7">
        <v>0.83</v>
      </c>
      <c r="V2141" s="12">
        <f>C2141+2</f>
        <v>40039</v>
      </c>
      <c r="W2141">
        <f>IF(D2141=' Pivot Tables'!$A$4,1,0)</f>
        <v>0</v>
      </c>
      <c r="X2141">
        <f>IF(AND(LEFT(D2141,4)+1=LEFT(' Pivot Tables'!$A$4,4)+0,RIGHT(LEFT(D2141,7),2)=RIGHT(LEFT(' Pivot Tables'!$A$4,7),2)),1,0)</f>
        <v>0</v>
      </c>
      <c r="Y2141" s="6">
        <f>1/COUNTIF(Таблица1[Order ID],Таблица1[[#This Row],[Order ID]])</f>
        <v>1</v>
      </c>
      <c r="Z2141" s="9">
        <f>1/COUNTIFS(Таблица1[Customer Name],Таблица1[[#This Row],[Customer Name]],Таблица1[Order-Year-Month],Таблица1[[#This Row],[Order-Year-Month]])</f>
        <v>1</v>
      </c>
    </row>
    <row r="2142" spans="1:26" x14ac:dyDescent="0.2">
      <c r="A2142" s="6">
        <v>2592</v>
      </c>
      <c r="B2142" s="7">
        <v>18753</v>
      </c>
      <c r="C2142" s="8">
        <f>DATE(2012,12,31)-1249</f>
        <v>40025</v>
      </c>
      <c r="D2142" s="8" t="str">
        <f t="shared" si="42"/>
        <v>2009-07 (июль 2009)</v>
      </c>
      <c r="E2142" s="9" t="s">
        <v>63</v>
      </c>
      <c r="F2142" s="7">
        <v>31</v>
      </c>
      <c r="G2142" s="7">
        <v>3945.95</v>
      </c>
      <c r="H2142" s="7">
        <v>0.03</v>
      </c>
      <c r="I2142" s="9" t="s">
        <v>22</v>
      </c>
      <c r="J2142" s="10">
        <v>1031.32</v>
      </c>
      <c r="K2142" s="11">
        <v>128.24</v>
      </c>
      <c r="L2142" s="11">
        <v>12.65</v>
      </c>
      <c r="M2142" s="9" t="s">
        <v>1243</v>
      </c>
      <c r="N2142" s="6" t="s">
        <v>1123</v>
      </c>
      <c r="O2142" s="6" t="s">
        <v>1123</v>
      </c>
      <c r="P2142" s="9" t="s">
        <v>41</v>
      </c>
      <c r="Q2142" s="9" t="s">
        <v>49</v>
      </c>
      <c r="R2142" s="9" t="s">
        <v>112</v>
      </c>
      <c r="S2142" s="7" t="s">
        <v>545</v>
      </c>
      <c r="T2142" s="9" t="s">
        <v>48</v>
      </c>
      <c r="U2142" s="7"/>
      <c r="V2142" s="12">
        <f>C2142+2</f>
        <v>40027</v>
      </c>
      <c r="W2142">
        <f>IF(D2142=' Pivot Tables'!$A$4,1,0)</f>
        <v>0</v>
      </c>
      <c r="X2142">
        <f>IF(AND(LEFT(D2142,4)+1=LEFT(' Pivot Tables'!$A$4,4)+0,RIGHT(LEFT(D2142,7),2)=RIGHT(LEFT(' Pivot Tables'!$A$4,7),2)),1,0)</f>
        <v>0</v>
      </c>
      <c r="Y2142" s="6">
        <f>1/COUNTIF(Таблица1[Order ID],Таблица1[[#This Row],[Order ID]])</f>
        <v>0.5</v>
      </c>
      <c r="Z2142" s="9">
        <f>1/COUNTIFS(Таблица1[Customer Name],Таблица1[[#This Row],[Customer Name]],Таблица1[Order-Year-Month],Таблица1[[#This Row],[Order-Year-Month]])</f>
        <v>0.5</v>
      </c>
    </row>
    <row r="2143" spans="1:26" x14ac:dyDescent="0.2">
      <c r="A2143" s="6">
        <v>2593</v>
      </c>
      <c r="B2143" s="7">
        <v>18753</v>
      </c>
      <c r="C2143" s="8">
        <f>DATE(2012,12,31)-1249</f>
        <v>40025</v>
      </c>
      <c r="D2143" s="8" t="str">
        <f t="shared" si="42"/>
        <v>2009-07 (июль 2009)</v>
      </c>
      <c r="E2143" s="9" t="s">
        <v>63</v>
      </c>
      <c r="F2143" s="7">
        <v>33</v>
      </c>
      <c r="G2143" s="7">
        <v>5394.4</v>
      </c>
      <c r="H2143" s="7">
        <v>0.01</v>
      </c>
      <c r="I2143" s="9" t="s">
        <v>31</v>
      </c>
      <c r="J2143" s="10">
        <v>788.79</v>
      </c>
      <c r="K2143" s="11">
        <v>160.97999999999999</v>
      </c>
      <c r="L2143" s="11">
        <v>30</v>
      </c>
      <c r="M2143" s="9" t="s">
        <v>1243</v>
      </c>
      <c r="N2143" s="6" t="s">
        <v>1123</v>
      </c>
      <c r="O2143" s="6" t="s">
        <v>1123</v>
      </c>
      <c r="P2143" s="9" t="s">
        <v>41</v>
      </c>
      <c r="Q2143" s="9" t="s">
        <v>49</v>
      </c>
      <c r="R2143" s="9" t="s">
        <v>112</v>
      </c>
      <c r="S2143" s="7" t="s">
        <v>746</v>
      </c>
      <c r="T2143" s="9" t="s">
        <v>36</v>
      </c>
      <c r="U2143" s="7">
        <v>0.62</v>
      </c>
      <c r="V2143" s="12">
        <f>C2143+2</f>
        <v>40027</v>
      </c>
      <c r="W2143">
        <f>IF(D2143=' Pivot Tables'!$A$4,1,0)</f>
        <v>0</v>
      </c>
      <c r="X2143">
        <f>IF(AND(LEFT(D2143,4)+1=LEFT(' Pivot Tables'!$A$4,4)+0,RIGHT(LEFT(D2143,7),2)=RIGHT(LEFT(' Pivot Tables'!$A$4,7),2)),1,0)</f>
        <v>0</v>
      </c>
      <c r="Y2143" s="6">
        <f>1/COUNTIF(Таблица1[Order ID],Таблица1[[#This Row],[Order ID]])</f>
        <v>0.5</v>
      </c>
      <c r="Z2143" s="9">
        <f>1/COUNTIFS(Таблица1[Customer Name],Таблица1[[#This Row],[Customer Name]],Таблица1[Order-Year-Month],Таблица1[[#This Row],[Order-Year-Month]])</f>
        <v>0.5</v>
      </c>
    </row>
    <row r="2144" spans="1:26" x14ac:dyDescent="0.2">
      <c r="A2144" s="6">
        <v>2653</v>
      </c>
      <c r="B2144" s="7">
        <v>19204</v>
      </c>
      <c r="C2144" s="8">
        <f>DATE(2012,12,31)-1200</f>
        <v>40074</v>
      </c>
      <c r="D2144" s="8" t="str">
        <f t="shared" si="42"/>
        <v>2009-09 (сентябрь 2009)</v>
      </c>
      <c r="E2144" s="9" t="s">
        <v>63</v>
      </c>
      <c r="F2144" s="7">
        <v>27</v>
      </c>
      <c r="G2144" s="7">
        <v>233.92</v>
      </c>
      <c r="H2144" s="7">
        <v>0.1</v>
      </c>
      <c r="I2144" s="9" t="s">
        <v>22</v>
      </c>
      <c r="J2144" s="10">
        <v>-80.75</v>
      </c>
      <c r="K2144" s="11">
        <v>8.75</v>
      </c>
      <c r="L2144" s="11">
        <v>8.5399999999999991</v>
      </c>
      <c r="M2144" s="9" t="s">
        <v>1324</v>
      </c>
      <c r="N2144" s="6" t="s">
        <v>1123</v>
      </c>
      <c r="O2144" s="6" t="s">
        <v>1123</v>
      </c>
      <c r="P2144" s="9" t="s">
        <v>41</v>
      </c>
      <c r="Q2144" s="9" t="s">
        <v>49</v>
      </c>
      <c r="R2144" s="9" t="s">
        <v>50</v>
      </c>
      <c r="S2144" s="7" t="s">
        <v>663</v>
      </c>
      <c r="T2144" s="9" t="s">
        <v>52</v>
      </c>
      <c r="U2144" s="7">
        <v>0.43</v>
      </c>
      <c r="V2144" s="12">
        <f>C2144+1</f>
        <v>40075</v>
      </c>
      <c r="W2144">
        <f>IF(D2144=' Pivot Tables'!$A$4,1,0)</f>
        <v>0</v>
      </c>
      <c r="X2144">
        <f>IF(AND(LEFT(D2144,4)+1=LEFT(' Pivot Tables'!$A$4,4)+0,RIGHT(LEFT(D2144,7),2)=RIGHT(LEFT(' Pivot Tables'!$A$4,7),2)),1,0)</f>
        <v>0</v>
      </c>
      <c r="Y2144" s="6">
        <f>1/COUNTIF(Таблица1[Order ID],Таблица1[[#This Row],[Order ID]])</f>
        <v>0.5</v>
      </c>
      <c r="Z2144" s="9">
        <f>1/COUNTIFS(Таблица1[Customer Name],Таблица1[[#This Row],[Customer Name]],Таблица1[Order-Year-Month],Таблица1[[#This Row],[Order-Year-Month]])</f>
        <v>0.25</v>
      </c>
    </row>
    <row r="2145" spans="1:26" x14ac:dyDescent="0.2">
      <c r="A2145" s="6">
        <v>2654</v>
      </c>
      <c r="B2145" s="7">
        <v>19204</v>
      </c>
      <c r="C2145" s="8">
        <f>DATE(2012,12,31)-1200</f>
        <v>40074</v>
      </c>
      <c r="D2145" s="8" t="str">
        <f t="shared" si="42"/>
        <v>2009-09 (сентябрь 2009)</v>
      </c>
      <c r="E2145" s="9" t="s">
        <v>63</v>
      </c>
      <c r="F2145" s="7">
        <v>28</v>
      </c>
      <c r="G2145" s="7">
        <v>1642.05</v>
      </c>
      <c r="H2145" s="7">
        <v>0.03</v>
      </c>
      <c r="I2145" s="9" t="s">
        <v>22</v>
      </c>
      <c r="J2145" s="10">
        <v>829.73</v>
      </c>
      <c r="K2145" s="11">
        <v>55.98</v>
      </c>
      <c r="L2145" s="11">
        <v>4.8600000000000003</v>
      </c>
      <c r="M2145" s="9" t="s">
        <v>1324</v>
      </c>
      <c r="N2145" s="6" t="s">
        <v>1123</v>
      </c>
      <c r="O2145" s="6" t="s">
        <v>1123</v>
      </c>
      <c r="P2145" s="9" t="s">
        <v>41</v>
      </c>
      <c r="Q2145" s="9" t="s">
        <v>26</v>
      </c>
      <c r="R2145" s="9" t="s">
        <v>61</v>
      </c>
      <c r="S2145" s="7" t="s">
        <v>1260</v>
      </c>
      <c r="T2145" s="9" t="s">
        <v>39</v>
      </c>
      <c r="U2145" s="7">
        <v>0.36</v>
      </c>
      <c r="V2145" s="12">
        <f>C2145+2</f>
        <v>40076</v>
      </c>
      <c r="W2145">
        <f>IF(D2145=' Pivot Tables'!$A$4,1,0)</f>
        <v>0</v>
      </c>
      <c r="X2145">
        <f>IF(AND(LEFT(D2145,4)+1=LEFT(' Pivot Tables'!$A$4,4)+0,RIGHT(LEFT(D2145,7),2)=RIGHT(LEFT(' Pivot Tables'!$A$4,7),2)),1,0)</f>
        <v>0</v>
      </c>
      <c r="Y2145" s="6">
        <f>1/COUNTIF(Таблица1[Order ID],Таблица1[[#This Row],[Order ID]])</f>
        <v>0.5</v>
      </c>
      <c r="Z2145" s="9">
        <f>1/COUNTIFS(Таблица1[Customer Name],Таблица1[[#This Row],[Customer Name]],Таблица1[Order-Year-Month],Таблица1[[#This Row],[Order-Year-Month]])</f>
        <v>0.25</v>
      </c>
    </row>
    <row r="2146" spans="1:26" x14ac:dyDescent="0.2">
      <c r="A2146" s="6">
        <v>2680</v>
      </c>
      <c r="B2146" s="7">
        <v>19394</v>
      </c>
      <c r="C2146" s="8">
        <f>DATE(2012,12,31)-6</f>
        <v>41268</v>
      </c>
      <c r="D2146" s="8" t="str">
        <f t="shared" si="42"/>
        <v>2012-12 (декабрь 2012)</v>
      </c>
      <c r="E2146" s="9" t="s">
        <v>63</v>
      </c>
      <c r="F2146" s="7">
        <v>16</v>
      </c>
      <c r="G2146" s="7">
        <v>279.327</v>
      </c>
      <c r="H2146" s="7">
        <v>0.05</v>
      </c>
      <c r="I2146" s="9" t="s">
        <v>22</v>
      </c>
      <c r="J2146" s="10">
        <v>75.212999999999994</v>
      </c>
      <c r="K2146" s="11">
        <v>20.99</v>
      </c>
      <c r="L2146" s="11">
        <v>0.99</v>
      </c>
      <c r="M2146" s="9" t="s">
        <v>1289</v>
      </c>
      <c r="N2146" s="6" t="s">
        <v>1123</v>
      </c>
      <c r="O2146" s="6" t="s">
        <v>1123</v>
      </c>
      <c r="P2146" s="9" t="s">
        <v>41</v>
      </c>
      <c r="Q2146" s="9" t="s">
        <v>42</v>
      </c>
      <c r="R2146" s="9" t="s">
        <v>43</v>
      </c>
      <c r="S2146" s="7" t="s">
        <v>272</v>
      </c>
      <c r="T2146" s="9" t="s">
        <v>68</v>
      </c>
      <c r="U2146" s="7">
        <v>0.37</v>
      </c>
      <c r="V2146" s="12">
        <f>C2146+1</f>
        <v>41269</v>
      </c>
      <c r="W2146">
        <f>IF(D2146=' Pivot Tables'!$A$4,1,0)</f>
        <v>0</v>
      </c>
      <c r="X2146">
        <f>IF(AND(LEFT(D2146,4)+1=LEFT(' Pivot Tables'!$A$4,4)+0,RIGHT(LEFT(D2146,7),2)=RIGHT(LEFT(' Pivot Tables'!$A$4,7),2)),1,0)</f>
        <v>0</v>
      </c>
      <c r="Y2146" s="6">
        <f>1/COUNTIF(Таблица1[Order ID],Таблица1[[#This Row],[Order ID]])</f>
        <v>0.5</v>
      </c>
      <c r="Z2146" s="9">
        <f>1/COUNTIFS(Таблица1[Customer Name],Таблица1[[#This Row],[Customer Name]],Таблица1[Order-Year-Month],Таблица1[[#This Row],[Order-Year-Month]])</f>
        <v>0.5</v>
      </c>
    </row>
    <row r="2147" spans="1:26" x14ac:dyDescent="0.2">
      <c r="A2147" s="6">
        <v>2681</v>
      </c>
      <c r="B2147" s="7">
        <v>19394</v>
      </c>
      <c r="C2147" s="8">
        <f>DATE(2012,12,31)-6</f>
        <v>41268</v>
      </c>
      <c r="D2147" s="8" t="str">
        <f t="shared" si="42"/>
        <v>2012-12 (декабрь 2012)</v>
      </c>
      <c r="E2147" s="9" t="s">
        <v>63</v>
      </c>
      <c r="F2147" s="7">
        <v>5</v>
      </c>
      <c r="G2147" s="7">
        <v>539.20600000000002</v>
      </c>
      <c r="H2147" s="7">
        <v>0.05</v>
      </c>
      <c r="I2147" s="9" t="s">
        <v>22</v>
      </c>
      <c r="J2147" s="10">
        <v>-452.38599999999997</v>
      </c>
      <c r="K2147" s="11">
        <v>125.99</v>
      </c>
      <c r="L2147" s="11">
        <v>8.8000000000000007</v>
      </c>
      <c r="M2147" s="9" t="s">
        <v>1289</v>
      </c>
      <c r="N2147" s="6" t="s">
        <v>1123</v>
      </c>
      <c r="O2147" s="6" t="s">
        <v>1123</v>
      </c>
      <c r="P2147" s="9" t="s">
        <v>41</v>
      </c>
      <c r="Q2147" s="9" t="s">
        <v>42</v>
      </c>
      <c r="R2147" s="9" t="s">
        <v>43</v>
      </c>
      <c r="S2147" s="7" t="s">
        <v>800</v>
      </c>
      <c r="T2147" s="9" t="s">
        <v>39</v>
      </c>
      <c r="U2147" s="7">
        <v>0.59</v>
      </c>
      <c r="V2147" s="12">
        <f>C2147+3</f>
        <v>41271</v>
      </c>
      <c r="W2147">
        <f>IF(D2147=' Pivot Tables'!$A$4,1,0)</f>
        <v>0</v>
      </c>
      <c r="X2147">
        <f>IF(AND(LEFT(D2147,4)+1=LEFT(' Pivot Tables'!$A$4,4)+0,RIGHT(LEFT(D2147,7),2)=RIGHT(LEFT(' Pivot Tables'!$A$4,7),2)),1,0)</f>
        <v>0</v>
      </c>
      <c r="Y2147" s="6">
        <f>1/COUNTIF(Таблица1[Order ID],Таблица1[[#This Row],[Order ID]])</f>
        <v>0.5</v>
      </c>
      <c r="Z2147" s="9">
        <f>1/COUNTIFS(Таблица1[Customer Name],Таблица1[[#This Row],[Customer Name]],Таблица1[Order-Year-Month],Таблица1[[#This Row],[Order-Year-Month]])</f>
        <v>0.5</v>
      </c>
    </row>
    <row r="2148" spans="1:26" x14ac:dyDescent="0.2">
      <c r="A2148" s="6">
        <v>2724</v>
      </c>
      <c r="B2148" s="7">
        <v>19653</v>
      </c>
      <c r="C2148" s="8">
        <f>DATE(2012,12,31)-111</f>
        <v>41163</v>
      </c>
      <c r="D2148" s="8" t="str">
        <f t="shared" si="42"/>
        <v>2012-09 (сентябрь 2012)</v>
      </c>
      <c r="E2148" s="9" t="s">
        <v>45</v>
      </c>
      <c r="F2148" s="7">
        <v>34</v>
      </c>
      <c r="G2148" s="7">
        <v>125.46</v>
      </c>
      <c r="H2148" s="7">
        <v>7.0000000000000007E-2</v>
      </c>
      <c r="I2148" s="9" t="s">
        <v>22</v>
      </c>
      <c r="J2148" s="10">
        <v>-129.62799999999999</v>
      </c>
      <c r="K2148" s="11">
        <v>3.58</v>
      </c>
      <c r="L2148" s="11">
        <v>5.47</v>
      </c>
      <c r="M2148" s="9" t="s">
        <v>1250</v>
      </c>
      <c r="N2148" s="6" t="s">
        <v>1123</v>
      </c>
      <c r="O2148" s="6" t="s">
        <v>1123</v>
      </c>
      <c r="P2148" s="9" t="s">
        <v>60</v>
      </c>
      <c r="Q2148" s="9" t="s">
        <v>26</v>
      </c>
      <c r="R2148" s="9" t="s">
        <v>37</v>
      </c>
      <c r="S2148" s="7" t="s">
        <v>462</v>
      </c>
      <c r="T2148" s="9" t="s">
        <v>39</v>
      </c>
      <c r="U2148" s="7">
        <v>0.37</v>
      </c>
      <c r="V2148" s="12">
        <f>C2148+0</f>
        <v>41163</v>
      </c>
      <c r="W2148">
        <f>IF(D2148=' Pivot Tables'!$A$4,1,0)</f>
        <v>0</v>
      </c>
      <c r="X2148">
        <f>IF(AND(LEFT(D2148,4)+1=LEFT(' Pivot Tables'!$A$4,4)+0,RIGHT(LEFT(D2148,7),2)=RIGHT(LEFT(' Pivot Tables'!$A$4,7),2)),1,0)</f>
        <v>0</v>
      </c>
      <c r="Y2148" s="6">
        <f>1/COUNTIF(Таблица1[Order ID],Таблица1[[#This Row],[Order ID]])</f>
        <v>1</v>
      </c>
      <c r="Z2148" s="9">
        <f>1/COUNTIFS(Таблица1[Customer Name],Таблица1[[#This Row],[Customer Name]],Таблица1[Order-Year-Month],Таблица1[[#This Row],[Order-Year-Month]])</f>
        <v>1</v>
      </c>
    </row>
    <row r="2149" spans="1:26" x14ac:dyDescent="0.2">
      <c r="A2149" s="6">
        <v>2729</v>
      </c>
      <c r="B2149" s="7">
        <v>19687</v>
      </c>
      <c r="C2149" s="8">
        <f>DATE(2012,12,31)-871</f>
        <v>40403</v>
      </c>
      <c r="D2149" s="8" t="str">
        <f t="shared" si="42"/>
        <v>2010-08 (август 2010)</v>
      </c>
      <c r="E2149" s="9" t="s">
        <v>63</v>
      </c>
      <c r="F2149" s="7">
        <v>33</v>
      </c>
      <c r="G2149" s="7">
        <v>47.99</v>
      </c>
      <c r="H2149" s="7">
        <v>0.06</v>
      </c>
      <c r="I2149" s="9" t="s">
        <v>22</v>
      </c>
      <c r="J2149" s="10">
        <v>3.86</v>
      </c>
      <c r="K2149" s="11">
        <v>1.48</v>
      </c>
      <c r="L2149" s="11">
        <v>0.7</v>
      </c>
      <c r="M2149" s="9" t="s">
        <v>1295</v>
      </c>
      <c r="N2149" s="6" t="s">
        <v>1123</v>
      </c>
      <c r="O2149" s="6" t="s">
        <v>1123</v>
      </c>
      <c r="P2149" s="9" t="s">
        <v>33</v>
      </c>
      <c r="Q2149" s="9" t="s">
        <v>26</v>
      </c>
      <c r="R2149" s="9" t="s">
        <v>66</v>
      </c>
      <c r="S2149" s="7" t="s">
        <v>623</v>
      </c>
      <c r="T2149" s="9" t="s">
        <v>68</v>
      </c>
      <c r="U2149" s="7">
        <v>0.37</v>
      </c>
      <c r="V2149" s="12">
        <f>C2149+1</f>
        <v>40404</v>
      </c>
      <c r="W2149">
        <f>IF(D2149=' Pivot Tables'!$A$4,1,0)</f>
        <v>0</v>
      </c>
      <c r="X2149">
        <f>IF(AND(LEFT(D2149,4)+1=LEFT(' Pivot Tables'!$A$4,4)+0,RIGHT(LEFT(D2149,7),2)=RIGHT(LEFT(' Pivot Tables'!$A$4,7),2)),1,0)</f>
        <v>0</v>
      </c>
      <c r="Y2149" s="6">
        <f>1/COUNTIF(Таблица1[Order ID],Таблица1[[#This Row],[Order ID]])</f>
        <v>0.5</v>
      </c>
      <c r="Z2149" s="9">
        <f>1/COUNTIFS(Таблица1[Customer Name],Таблица1[[#This Row],[Customer Name]],Таблица1[Order-Year-Month],Таблица1[[#This Row],[Order-Year-Month]])</f>
        <v>0.5</v>
      </c>
    </row>
    <row r="2150" spans="1:26" x14ac:dyDescent="0.2">
      <c r="A2150" s="6">
        <v>2730</v>
      </c>
      <c r="B2150" s="7">
        <v>19687</v>
      </c>
      <c r="C2150" s="8">
        <f>DATE(2012,12,31)-871</f>
        <v>40403</v>
      </c>
      <c r="D2150" s="8" t="str">
        <f t="shared" si="42"/>
        <v>2010-08 (август 2010)</v>
      </c>
      <c r="E2150" s="9" t="s">
        <v>63</v>
      </c>
      <c r="F2150" s="7">
        <v>23</v>
      </c>
      <c r="G2150" s="7">
        <v>829.61699999999996</v>
      </c>
      <c r="H2150" s="7">
        <v>0.1</v>
      </c>
      <c r="I2150" s="9" t="s">
        <v>22</v>
      </c>
      <c r="J2150" s="10">
        <v>25.533000000000001</v>
      </c>
      <c r="K2150" s="11">
        <v>45.99</v>
      </c>
      <c r="L2150" s="11">
        <v>4.99</v>
      </c>
      <c r="M2150" s="9" t="s">
        <v>1295</v>
      </c>
      <c r="N2150" s="6" t="s">
        <v>1123</v>
      </c>
      <c r="O2150" s="6" t="s">
        <v>1123</v>
      </c>
      <c r="P2150" s="9" t="s">
        <v>33</v>
      </c>
      <c r="Q2150" s="9" t="s">
        <v>42</v>
      </c>
      <c r="R2150" s="9" t="s">
        <v>43</v>
      </c>
      <c r="S2150" s="7" t="s">
        <v>1325</v>
      </c>
      <c r="T2150" s="9" t="s">
        <v>39</v>
      </c>
      <c r="U2150" s="7">
        <v>0.56999999999999995</v>
      </c>
      <c r="V2150" s="12">
        <f>C2150+2</f>
        <v>40405</v>
      </c>
      <c r="W2150">
        <f>IF(D2150=' Pivot Tables'!$A$4,1,0)</f>
        <v>0</v>
      </c>
      <c r="X2150">
        <f>IF(AND(LEFT(D2150,4)+1=LEFT(' Pivot Tables'!$A$4,4)+0,RIGHT(LEFT(D2150,7),2)=RIGHT(LEFT(' Pivot Tables'!$A$4,7),2)),1,0)</f>
        <v>0</v>
      </c>
      <c r="Y2150" s="6">
        <f>1/COUNTIF(Таблица1[Order ID],Таблица1[[#This Row],[Order ID]])</f>
        <v>0.5</v>
      </c>
      <c r="Z2150" s="9">
        <f>1/COUNTIFS(Таблица1[Customer Name],Таблица1[[#This Row],[Customer Name]],Таблица1[Order-Year-Month],Таблица1[[#This Row],[Order-Year-Month]])</f>
        <v>0.5</v>
      </c>
    </row>
    <row r="2151" spans="1:26" x14ac:dyDescent="0.2">
      <c r="A2151" s="6">
        <v>2731</v>
      </c>
      <c r="B2151" s="7">
        <v>19716</v>
      </c>
      <c r="C2151" s="8">
        <f>DATE(2012,12,31)-1189</f>
        <v>40085</v>
      </c>
      <c r="D2151" s="8" t="str">
        <f t="shared" si="42"/>
        <v>2009-09 (сентябрь 2009)</v>
      </c>
      <c r="E2151" s="9" t="s">
        <v>21</v>
      </c>
      <c r="F2151" s="7">
        <v>5</v>
      </c>
      <c r="G2151" s="7">
        <v>616.10550000000001</v>
      </c>
      <c r="H2151" s="7">
        <v>0.03</v>
      </c>
      <c r="I2151" s="9" t="s">
        <v>22</v>
      </c>
      <c r="J2151" s="10">
        <v>-458.74400000000003</v>
      </c>
      <c r="K2151" s="11">
        <v>140.99</v>
      </c>
      <c r="L2151" s="11">
        <v>4.2</v>
      </c>
      <c r="M2151" s="9" t="s">
        <v>1326</v>
      </c>
      <c r="N2151" s="6" t="s">
        <v>1123</v>
      </c>
      <c r="O2151" s="6" t="s">
        <v>1123</v>
      </c>
      <c r="P2151" s="9" t="s">
        <v>60</v>
      </c>
      <c r="Q2151" s="9" t="s">
        <v>42</v>
      </c>
      <c r="R2151" s="9" t="s">
        <v>43</v>
      </c>
      <c r="S2151" s="7" t="s">
        <v>796</v>
      </c>
      <c r="T2151" s="9" t="s">
        <v>39</v>
      </c>
      <c r="U2151" s="7">
        <v>0.59</v>
      </c>
      <c r="V2151" s="12">
        <f>C2151+7</f>
        <v>40092</v>
      </c>
      <c r="W2151">
        <f>IF(D2151=' Pivot Tables'!$A$4,1,0)</f>
        <v>0</v>
      </c>
      <c r="X2151">
        <f>IF(AND(LEFT(D2151,4)+1=LEFT(' Pivot Tables'!$A$4,4)+0,RIGHT(LEFT(D2151,7),2)=RIGHT(LEFT(' Pivot Tables'!$A$4,7),2)),1,0)</f>
        <v>0</v>
      </c>
      <c r="Y2151" s="6">
        <f>1/COUNTIF(Таблица1[Order ID],Таблица1[[#This Row],[Order ID]])</f>
        <v>1</v>
      </c>
      <c r="Z2151" s="9">
        <f>1/COUNTIFS(Таблица1[Customer Name],Таблица1[[#This Row],[Customer Name]],Таблица1[Order-Year-Month],Таблица1[[#This Row],[Order-Year-Month]])</f>
        <v>1</v>
      </c>
    </row>
    <row r="2152" spans="1:26" x14ac:dyDescent="0.2">
      <c r="A2152" s="6">
        <v>2742</v>
      </c>
      <c r="B2152" s="7">
        <v>19782</v>
      </c>
      <c r="C2152" s="8">
        <f>DATE(2012,12,31)-74</f>
        <v>41200</v>
      </c>
      <c r="D2152" s="8" t="str">
        <f t="shared" si="42"/>
        <v>2012-10 (октябрь 2012)</v>
      </c>
      <c r="E2152" s="9" t="s">
        <v>21</v>
      </c>
      <c r="F2152" s="7">
        <v>18</v>
      </c>
      <c r="G2152" s="7">
        <v>33.21</v>
      </c>
      <c r="H2152" s="7">
        <v>0.06</v>
      </c>
      <c r="I2152" s="9" t="s">
        <v>22</v>
      </c>
      <c r="J2152" s="10">
        <v>-0.85</v>
      </c>
      <c r="K2152" s="11">
        <v>1.81</v>
      </c>
      <c r="L2152" s="11">
        <v>0.75</v>
      </c>
      <c r="M2152" s="9" t="s">
        <v>1277</v>
      </c>
      <c r="N2152" s="6" t="s">
        <v>1123</v>
      </c>
      <c r="O2152" s="6" t="s">
        <v>1123</v>
      </c>
      <c r="P2152" s="9" t="s">
        <v>33</v>
      </c>
      <c r="Q2152" s="9" t="s">
        <v>26</v>
      </c>
      <c r="R2152" s="9" t="s">
        <v>66</v>
      </c>
      <c r="S2152" s="7" t="s">
        <v>384</v>
      </c>
      <c r="T2152" s="9" t="s">
        <v>68</v>
      </c>
      <c r="U2152" s="7">
        <v>0.52</v>
      </c>
      <c r="V2152" s="12">
        <f>C2152+4</f>
        <v>41204</v>
      </c>
      <c r="W2152">
        <f>IF(D2152=' Pivot Tables'!$A$4,1,0)</f>
        <v>0</v>
      </c>
      <c r="X2152">
        <f>IF(AND(LEFT(D2152,4)+1=LEFT(' Pivot Tables'!$A$4,4)+0,RIGHT(LEFT(D2152,7),2)=RIGHT(LEFT(' Pivot Tables'!$A$4,7),2)),1,0)</f>
        <v>0</v>
      </c>
      <c r="Y2152" s="6">
        <f>1/COUNTIF(Таблица1[Order ID],Таблица1[[#This Row],[Order ID]])</f>
        <v>1</v>
      </c>
      <c r="Z2152" s="9">
        <f>1/COUNTIFS(Таблица1[Customer Name],Таблица1[[#This Row],[Customer Name]],Таблица1[Order-Year-Month],Таблица1[[#This Row],[Order-Year-Month]])</f>
        <v>1</v>
      </c>
    </row>
    <row r="2153" spans="1:26" x14ac:dyDescent="0.2">
      <c r="A2153" s="6">
        <v>2792</v>
      </c>
      <c r="B2153" s="7">
        <v>20134</v>
      </c>
      <c r="C2153" s="8">
        <f>DATE(2012,12,31)-660</f>
        <v>40614</v>
      </c>
      <c r="D2153" s="8" t="str">
        <f t="shared" si="42"/>
        <v>2011-03 (март 2011)</v>
      </c>
      <c r="E2153" s="9" t="s">
        <v>21</v>
      </c>
      <c r="F2153" s="7">
        <v>26</v>
      </c>
      <c r="G2153" s="7">
        <v>583.55999999999995</v>
      </c>
      <c r="H2153" s="7">
        <v>0.02</v>
      </c>
      <c r="I2153" s="9" t="s">
        <v>22</v>
      </c>
      <c r="J2153" s="10">
        <v>-94.59</v>
      </c>
      <c r="K2153" s="11">
        <v>20.97</v>
      </c>
      <c r="L2153" s="11">
        <v>6.5</v>
      </c>
      <c r="M2153" s="9" t="s">
        <v>1261</v>
      </c>
      <c r="N2153" s="6" t="s">
        <v>1123</v>
      </c>
      <c r="O2153" s="6" t="s">
        <v>1123</v>
      </c>
      <c r="P2153" s="9" t="s">
        <v>41</v>
      </c>
      <c r="Q2153" s="9" t="s">
        <v>42</v>
      </c>
      <c r="R2153" s="9" t="s">
        <v>70</v>
      </c>
      <c r="S2153" s="7" t="s">
        <v>262</v>
      </c>
      <c r="T2153" s="9" t="s">
        <v>39</v>
      </c>
      <c r="U2153" s="7">
        <v>0.78</v>
      </c>
      <c r="V2153" s="12">
        <f>C2153+4</f>
        <v>40618</v>
      </c>
      <c r="W2153">
        <f>IF(D2153=' Pivot Tables'!$A$4,1,0)</f>
        <v>0</v>
      </c>
      <c r="X2153">
        <f>IF(AND(LEFT(D2153,4)+1=LEFT(' Pivot Tables'!$A$4,4)+0,RIGHT(LEFT(D2153,7),2)=RIGHT(LEFT(' Pivot Tables'!$A$4,7),2)),1,0)</f>
        <v>0</v>
      </c>
      <c r="Y2153" s="6">
        <f>1/COUNTIF(Таблица1[Order ID],Таблица1[[#This Row],[Order ID]])</f>
        <v>0.5</v>
      </c>
      <c r="Z2153" s="9">
        <f>1/COUNTIFS(Таблица1[Customer Name],Таблица1[[#This Row],[Customer Name]],Таблица1[Order-Year-Month],Таблица1[[#This Row],[Order-Year-Month]])</f>
        <v>0.2</v>
      </c>
    </row>
    <row r="2154" spans="1:26" x14ac:dyDescent="0.2">
      <c r="A2154" s="6">
        <v>2793</v>
      </c>
      <c r="B2154" s="7">
        <v>20134</v>
      </c>
      <c r="C2154" s="8">
        <f>DATE(2012,12,31)-660</f>
        <v>40614</v>
      </c>
      <c r="D2154" s="8" t="str">
        <f t="shared" si="42"/>
        <v>2011-03 (март 2011)</v>
      </c>
      <c r="E2154" s="9" t="s">
        <v>21</v>
      </c>
      <c r="F2154" s="7">
        <v>47</v>
      </c>
      <c r="G2154" s="7">
        <v>281.47000000000003</v>
      </c>
      <c r="H2154" s="7">
        <v>0.1</v>
      </c>
      <c r="I2154" s="9" t="s">
        <v>22</v>
      </c>
      <c r="J2154" s="10">
        <v>-190.57</v>
      </c>
      <c r="K2154" s="11">
        <v>6.48</v>
      </c>
      <c r="L2154" s="11">
        <v>7.37</v>
      </c>
      <c r="M2154" s="9" t="s">
        <v>1261</v>
      </c>
      <c r="N2154" s="6" t="s">
        <v>1123</v>
      </c>
      <c r="O2154" s="6" t="s">
        <v>1123</v>
      </c>
      <c r="P2154" s="9" t="s">
        <v>41</v>
      </c>
      <c r="Q2154" s="9" t="s">
        <v>26</v>
      </c>
      <c r="R2154" s="9" t="s">
        <v>61</v>
      </c>
      <c r="S2154" s="7" t="s">
        <v>859</v>
      </c>
      <c r="T2154" s="9" t="s">
        <v>39</v>
      </c>
      <c r="U2154" s="7">
        <v>0.37</v>
      </c>
      <c r="V2154" s="12">
        <f>C2154+7</f>
        <v>40621</v>
      </c>
      <c r="W2154">
        <f>IF(D2154=' Pivot Tables'!$A$4,1,0)</f>
        <v>0</v>
      </c>
      <c r="X2154">
        <f>IF(AND(LEFT(D2154,4)+1=LEFT(' Pivot Tables'!$A$4,4)+0,RIGHT(LEFT(D2154,7),2)=RIGHT(LEFT(' Pivot Tables'!$A$4,7),2)),1,0)</f>
        <v>0</v>
      </c>
      <c r="Y2154" s="6">
        <f>1/COUNTIF(Таблица1[Order ID],Таблица1[[#This Row],[Order ID]])</f>
        <v>0.5</v>
      </c>
      <c r="Z2154" s="9">
        <f>1/COUNTIFS(Таблица1[Customer Name],Таблица1[[#This Row],[Customer Name]],Таблица1[Order-Year-Month],Таблица1[[#This Row],[Order-Year-Month]])</f>
        <v>0.2</v>
      </c>
    </row>
    <row r="2155" spans="1:26" x14ac:dyDescent="0.2">
      <c r="A2155" s="6">
        <v>2806</v>
      </c>
      <c r="B2155" s="7">
        <v>20259</v>
      </c>
      <c r="C2155" s="8">
        <f>DATE(2012,12,31)-587</f>
        <v>40687</v>
      </c>
      <c r="D2155" s="8" t="str">
        <f t="shared" si="42"/>
        <v>2011-05 (май 2011)</v>
      </c>
      <c r="E2155" s="9" t="s">
        <v>78</v>
      </c>
      <c r="F2155" s="7">
        <v>42</v>
      </c>
      <c r="G2155" s="7">
        <v>539.05999999999995</v>
      </c>
      <c r="H2155" s="7">
        <v>0.05</v>
      </c>
      <c r="I2155" s="9" t="s">
        <v>22</v>
      </c>
      <c r="J2155" s="10">
        <v>-123.07</v>
      </c>
      <c r="K2155" s="11">
        <v>12.88</v>
      </c>
      <c r="L2155" s="11">
        <v>4.59</v>
      </c>
      <c r="M2155" s="9" t="s">
        <v>1276</v>
      </c>
      <c r="N2155" s="6" t="s">
        <v>1123</v>
      </c>
      <c r="O2155" s="6" t="s">
        <v>1123</v>
      </c>
      <c r="P2155" s="9" t="s">
        <v>41</v>
      </c>
      <c r="Q2155" s="9" t="s">
        <v>26</v>
      </c>
      <c r="R2155" s="9" t="s">
        <v>150</v>
      </c>
      <c r="S2155" s="7" t="s">
        <v>557</v>
      </c>
      <c r="T2155" s="9" t="s">
        <v>68</v>
      </c>
      <c r="U2155" s="7">
        <v>0.82</v>
      </c>
      <c r="V2155" s="12">
        <f>C2155+1</f>
        <v>40688</v>
      </c>
      <c r="W2155">
        <f>IF(D2155=' Pivot Tables'!$A$4,1,0)</f>
        <v>0</v>
      </c>
      <c r="X2155">
        <f>IF(AND(LEFT(D2155,4)+1=LEFT(' Pivot Tables'!$A$4,4)+0,RIGHT(LEFT(D2155,7),2)=RIGHT(LEFT(' Pivot Tables'!$A$4,7),2)),1,0)</f>
        <v>0</v>
      </c>
      <c r="Y2155" s="6">
        <f>1/COUNTIF(Таблица1[Order ID],Таблица1[[#This Row],[Order ID]])</f>
        <v>1</v>
      </c>
      <c r="Z2155" s="9">
        <f>1/COUNTIFS(Таблица1[Customer Name],Таблица1[[#This Row],[Customer Name]],Таблица1[Order-Year-Month],Таблица1[[#This Row],[Order-Year-Month]])</f>
        <v>1</v>
      </c>
    </row>
    <row r="2156" spans="1:26" x14ac:dyDescent="0.2">
      <c r="A2156" s="6">
        <v>2807</v>
      </c>
      <c r="B2156" s="7">
        <v>20261</v>
      </c>
      <c r="C2156" s="8">
        <f>DATE(2012,12,31)-1321</f>
        <v>39953</v>
      </c>
      <c r="D2156" s="8" t="str">
        <f t="shared" si="42"/>
        <v>2009-05 (май 2009)</v>
      </c>
      <c r="E2156" s="9" t="s">
        <v>63</v>
      </c>
      <c r="F2156" s="7">
        <v>25</v>
      </c>
      <c r="G2156" s="7">
        <v>751.52</v>
      </c>
      <c r="H2156" s="7">
        <v>0.09</v>
      </c>
      <c r="I2156" s="9" t="s">
        <v>56</v>
      </c>
      <c r="J2156" s="10">
        <v>67.107500000000002</v>
      </c>
      <c r="K2156" s="11">
        <v>31.74</v>
      </c>
      <c r="L2156" s="11">
        <v>12.62</v>
      </c>
      <c r="M2156" s="9" t="s">
        <v>1248</v>
      </c>
      <c r="N2156" s="6" t="s">
        <v>1123</v>
      </c>
      <c r="O2156" s="6" t="s">
        <v>1123</v>
      </c>
      <c r="P2156" s="9" t="s">
        <v>25</v>
      </c>
      <c r="Q2156" s="9" t="s">
        <v>26</v>
      </c>
      <c r="R2156" s="9" t="s">
        <v>37</v>
      </c>
      <c r="S2156" s="7" t="s">
        <v>1223</v>
      </c>
      <c r="T2156" s="9" t="s">
        <v>39</v>
      </c>
      <c r="U2156" s="7">
        <v>0.37</v>
      </c>
      <c r="V2156" s="12">
        <f>C2156+0</f>
        <v>39953</v>
      </c>
      <c r="W2156">
        <f>IF(D2156=' Pivot Tables'!$A$4,1,0)</f>
        <v>0</v>
      </c>
      <c r="X2156">
        <f>IF(AND(LEFT(D2156,4)+1=LEFT(' Pivot Tables'!$A$4,4)+0,RIGHT(LEFT(D2156,7),2)=RIGHT(LEFT(' Pivot Tables'!$A$4,7),2)),1,0)</f>
        <v>0</v>
      </c>
      <c r="Y2156" s="6">
        <f>1/COUNTIF(Таблица1[Order ID],Таблица1[[#This Row],[Order ID]])</f>
        <v>0.33333333333333331</v>
      </c>
      <c r="Z2156" s="9">
        <f>1/COUNTIFS(Таблица1[Customer Name],Таблица1[[#This Row],[Customer Name]],Таблица1[Order-Year-Month],Таблица1[[#This Row],[Order-Year-Month]])</f>
        <v>0.33333333333333331</v>
      </c>
    </row>
    <row r="2157" spans="1:26" x14ac:dyDescent="0.2">
      <c r="A2157" s="6">
        <v>2808</v>
      </c>
      <c r="B2157" s="7">
        <v>20261</v>
      </c>
      <c r="C2157" s="8">
        <f>DATE(2012,12,31)-1321</f>
        <v>39953</v>
      </c>
      <c r="D2157" s="8" t="str">
        <f t="shared" si="42"/>
        <v>2009-05 (май 2009)</v>
      </c>
      <c r="E2157" s="9" t="s">
        <v>63</v>
      </c>
      <c r="F2157" s="7">
        <v>36</v>
      </c>
      <c r="G2157" s="7">
        <v>220.48</v>
      </c>
      <c r="H2157" s="7">
        <v>0.04</v>
      </c>
      <c r="I2157" s="9" t="s">
        <v>22</v>
      </c>
      <c r="J2157" s="10">
        <v>81.91</v>
      </c>
      <c r="K2157" s="11">
        <v>6.35</v>
      </c>
      <c r="L2157" s="11">
        <v>1.02</v>
      </c>
      <c r="M2157" s="9" t="s">
        <v>1248</v>
      </c>
      <c r="N2157" s="6" t="s">
        <v>1123</v>
      </c>
      <c r="O2157" s="6" t="s">
        <v>1123</v>
      </c>
      <c r="P2157" s="9" t="s">
        <v>25</v>
      </c>
      <c r="Q2157" s="9" t="s">
        <v>26</v>
      </c>
      <c r="R2157" s="9" t="s">
        <v>61</v>
      </c>
      <c r="S2157" s="7" t="s">
        <v>157</v>
      </c>
      <c r="T2157" s="9" t="s">
        <v>68</v>
      </c>
      <c r="U2157" s="7">
        <v>0.39</v>
      </c>
      <c r="V2157" s="12">
        <f>C2157+3</f>
        <v>39956</v>
      </c>
      <c r="W2157">
        <f>IF(D2157=' Pivot Tables'!$A$4,1,0)</f>
        <v>0</v>
      </c>
      <c r="X2157">
        <f>IF(AND(LEFT(D2157,4)+1=LEFT(' Pivot Tables'!$A$4,4)+0,RIGHT(LEFT(D2157,7),2)=RIGHT(LEFT(' Pivot Tables'!$A$4,7),2)),1,0)</f>
        <v>0</v>
      </c>
      <c r="Y2157" s="6">
        <f>1/COUNTIF(Таблица1[Order ID],Таблица1[[#This Row],[Order ID]])</f>
        <v>0.33333333333333331</v>
      </c>
      <c r="Z2157" s="9">
        <f>1/COUNTIFS(Таблица1[Customer Name],Таблица1[[#This Row],[Customer Name]],Таблица1[Order-Year-Month],Таблица1[[#This Row],[Order-Year-Month]])</f>
        <v>0.33333333333333331</v>
      </c>
    </row>
    <row r="2158" spans="1:26" x14ac:dyDescent="0.2">
      <c r="A2158" s="6">
        <v>2809</v>
      </c>
      <c r="B2158" s="7">
        <v>20261</v>
      </c>
      <c r="C2158" s="8">
        <f>DATE(2012,12,31)-1321</f>
        <v>39953</v>
      </c>
      <c r="D2158" s="8" t="str">
        <f t="shared" si="42"/>
        <v>2009-05 (май 2009)</v>
      </c>
      <c r="E2158" s="9" t="s">
        <v>63</v>
      </c>
      <c r="F2158" s="7">
        <v>21</v>
      </c>
      <c r="G2158" s="7">
        <v>1259.4535000000001</v>
      </c>
      <c r="H2158" s="7">
        <v>0.02</v>
      </c>
      <c r="I2158" s="9" t="s">
        <v>56</v>
      </c>
      <c r="J2158" s="10">
        <v>168.23699999999999</v>
      </c>
      <c r="K2158" s="11">
        <v>65.989999999999995</v>
      </c>
      <c r="L2158" s="11">
        <v>8.99</v>
      </c>
      <c r="M2158" s="9" t="s">
        <v>1248</v>
      </c>
      <c r="N2158" s="6" t="s">
        <v>1123</v>
      </c>
      <c r="O2158" s="6" t="s">
        <v>1123</v>
      </c>
      <c r="P2158" s="9" t="s">
        <v>25</v>
      </c>
      <c r="Q2158" s="9" t="s">
        <v>42</v>
      </c>
      <c r="R2158" s="9" t="s">
        <v>43</v>
      </c>
      <c r="S2158" s="7" t="s">
        <v>534</v>
      </c>
      <c r="T2158" s="9" t="s">
        <v>39</v>
      </c>
      <c r="U2158" s="7">
        <v>0.56000000000000005</v>
      </c>
      <c r="V2158" s="12">
        <f>C2158+1</f>
        <v>39954</v>
      </c>
      <c r="W2158">
        <f>IF(D2158=' Pivot Tables'!$A$4,1,0)</f>
        <v>0</v>
      </c>
      <c r="X2158">
        <f>IF(AND(LEFT(D2158,4)+1=LEFT(' Pivot Tables'!$A$4,4)+0,RIGHT(LEFT(D2158,7),2)=RIGHT(LEFT(' Pivot Tables'!$A$4,7),2)),1,0)</f>
        <v>0</v>
      </c>
      <c r="Y2158" s="6">
        <f>1/COUNTIF(Таблица1[Order ID],Таблица1[[#This Row],[Order ID]])</f>
        <v>0.33333333333333331</v>
      </c>
      <c r="Z2158" s="9">
        <f>1/COUNTIFS(Таблица1[Customer Name],Таблица1[[#This Row],[Customer Name]],Таблица1[Order-Year-Month],Таблица1[[#This Row],[Order-Year-Month]])</f>
        <v>0.33333333333333331</v>
      </c>
    </row>
    <row r="2159" spans="1:26" x14ac:dyDescent="0.2">
      <c r="A2159" s="6">
        <v>2837</v>
      </c>
      <c r="B2159" s="7">
        <v>20453</v>
      </c>
      <c r="C2159" s="8">
        <f>DATE(2012,12,31)-662</f>
        <v>40612</v>
      </c>
      <c r="D2159" s="8" t="str">
        <f t="shared" si="42"/>
        <v>2011-03 (март 2011)</v>
      </c>
      <c r="E2159" s="9" t="s">
        <v>63</v>
      </c>
      <c r="F2159" s="7">
        <v>23</v>
      </c>
      <c r="G2159" s="7">
        <v>450.39</v>
      </c>
      <c r="H2159" s="7">
        <v>7.0000000000000007E-2</v>
      </c>
      <c r="I2159" s="9" t="s">
        <v>22</v>
      </c>
      <c r="J2159" s="10">
        <v>152.79</v>
      </c>
      <c r="K2159" s="11">
        <v>19.23</v>
      </c>
      <c r="L2159" s="11">
        <v>6.15</v>
      </c>
      <c r="M2159" s="9" t="s">
        <v>1313</v>
      </c>
      <c r="N2159" s="6" t="s">
        <v>1123</v>
      </c>
      <c r="O2159" s="6" t="s">
        <v>1123</v>
      </c>
      <c r="P2159" s="9" t="s">
        <v>60</v>
      </c>
      <c r="Q2159" s="9" t="s">
        <v>49</v>
      </c>
      <c r="R2159" s="9" t="s">
        <v>50</v>
      </c>
      <c r="S2159" s="7" t="s">
        <v>520</v>
      </c>
      <c r="T2159" s="9" t="s">
        <v>52</v>
      </c>
      <c r="U2159" s="7">
        <v>0.44</v>
      </c>
      <c r="V2159" s="12">
        <f>C2159+2</f>
        <v>40614</v>
      </c>
      <c r="W2159">
        <f>IF(D2159=' Pivot Tables'!$A$4,1,0)</f>
        <v>0</v>
      </c>
      <c r="X2159">
        <f>IF(AND(LEFT(D2159,4)+1=LEFT(' Pivot Tables'!$A$4,4)+0,RIGHT(LEFT(D2159,7),2)=RIGHT(LEFT(' Pivot Tables'!$A$4,7),2)),1,0)</f>
        <v>0</v>
      </c>
      <c r="Y2159" s="6">
        <f>1/COUNTIF(Таблица1[Order ID],Таблица1[[#This Row],[Order ID]])</f>
        <v>0.5</v>
      </c>
      <c r="Z2159" s="9">
        <f>1/COUNTIFS(Таблица1[Customer Name],Таблица1[[#This Row],[Customer Name]],Таблица1[Order-Year-Month],Таблица1[[#This Row],[Order-Year-Month]])</f>
        <v>0.5</v>
      </c>
    </row>
    <row r="2160" spans="1:26" x14ac:dyDescent="0.2">
      <c r="A2160" s="6">
        <v>2838</v>
      </c>
      <c r="B2160" s="7">
        <v>20453</v>
      </c>
      <c r="C2160" s="8">
        <f>DATE(2012,12,31)-662</f>
        <v>40612</v>
      </c>
      <c r="D2160" s="8" t="str">
        <f t="shared" si="42"/>
        <v>2011-03 (март 2011)</v>
      </c>
      <c r="E2160" s="9" t="s">
        <v>63</v>
      </c>
      <c r="F2160" s="7">
        <v>17</v>
      </c>
      <c r="G2160" s="7">
        <v>1193.1195</v>
      </c>
      <c r="H2160" s="7">
        <v>0.08</v>
      </c>
      <c r="I2160" s="9" t="s">
        <v>56</v>
      </c>
      <c r="J2160" s="10">
        <v>137.59199999999998</v>
      </c>
      <c r="K2160" s="11">
        <v>85.99</v>
      </c>
      <c r="L2160" s="11">
        <v>0.99</v>
      </c>
      <c r="M2160" s="9" t="s">
        <v>1313</v>
      </c>
      <c r="N2160" s="6" t="s">
        <v>1123</v>
      </c>
      <c r="O2160" s="6" t="s">
        <v>1123</v>
      </c>
      <c r="P2160" s="9" t="s">
        <v>60</v>
      </c>
      <c r="Q2160" s="9" t="s">
        <v>42</v>
      </c>
      <c r="R2160" s="9" t="s">
        <v>43</v>
      </c>
      <c r="S2160" s="7" t="s">
        <v>741</v>
      </c>
      <c r="T2160" s="9" t="s">
        <v>68</v>
      </c>
      <c r="U2160" s="7">
        <v>0.55000000000000004</v>
      </c>
      <c r="V2160" s="12">
        <f>C2160+2</f>
        <v>40614</v>
      </c>
      <c r="W2160">
        <f>IF(D2160=' Pivot Tables'!$A$4,1,0)</f>
        <v>0</v>
      </c>
      <c r="X2160">
        <f>IF(AND(LEFT(D2160,4)+1=LEFT(' Pivot Tables'!$A$4,4)+0,RIGHT(LEFT(D2160,7),2)=RIGHT(LEFT(' Pivot Tables'!$A$4,7),2)),1,0)</f>
        <v>0</v>
      </c>
      <c r="Y2160" s="6">
        <f>1/COUNTIF(Таблица1[Order ID],Таблица1[[#This Row],[Order ID]])</f>
        <v>0.5</v>
      </c>
      <c r="Z2160" s="9">
        <f>1/COUNTIFS(Таблица1[Customer Name],Таблица1[[#This Row],[Customer Name]],Таблица1[Order-Year-Month],Таблица1[[#This Row],[Order-Year-Month]])</f>
        <v>0.5</v>
      </c>
    </row>
    <row r="2161" spans="1:26" x14ac:dyDescent="0.2">
      <c r="A2161" s="6">
        <v>2858</v>
      </c>
      <c r="B2161" s="7">
        <v>20614</v>
      </c>
      <c r="C2161" s="8">
        <f>DATE(2012,12,31)-1323</f>
        <v>39951</v>
      </c>
      <c r="D2161" s="8" t="str">
        <f t="shared" si="42"/>
        <v>2009-05 (май 2009)</v>
      </c>
      <c r="E2161" s="9" t="s">
        <v>45</v>
      </c>
      <c r="F2161" s="7">
        <v>47</v>
      </c>
      <c r="G2161" s="7">
        <v>3596.36</v>
      </c>
      <c r="H2161" s="7">
        <v>0</v>
      </c>
      <c r="I2161" s="9" t="s">
        <v>56</v>
      </c>
      <c r="J2161" s="10">
        <v>326.25</v>
      </c>
      <c r="K2161" s="11">
        <v>73.98</v>
      </c>
      <c r="L2161" s="11">
        <v>12.14</v>
      </c>
      <c r="M2161" s="9" t="s">
        <v>1298</v>
      </c>
      <c r="N2161" s="6" t="s">
        <v>1123</v>
      </c>
      <c r="O2161" s="6" t="s">
        <v>1123</v>
      </c>
      <c r="P2161" s="9" t="s">
        <v>41</v>
      </c>
      <c r="Q2161" s="9" t="s">
        <v>42</v>
      </c>
      <c r="R2161" s="9" t="s">
        <v>70</v>
      </c>
      <c r="S2161" s="7" t="s">
        <v>810</v>
      </c>
      <c r="T2161" s="9" t="s">
        <v>39</v>
      </c>
      <c r="U2161" s="7">
        <v>0.67</v>
      </c>
      <c r="V2161" s="12">
        <f>C2161+2</f>
        <v>39953</v>
      </c>
      <c r="W2161">
        <f>IF(D2161=' Pivot Tables'!$A$4,1,0)</f>
        <v>0</v>
      </c>
      <c r="X2161">
        <f>IF(AND(LEFT(D2161,4)+1=LEFT(' Pivot Tables'!$A$4,4)+0,RIGHT(LEFT(D2161,7),2)=RIGHT(LEFT(' Pivot Tables'!$A$4,7),2)),1,0)</f>
        <v>0</v>
      </c>
      <c r="Y2161" s="6">
        <f>1/COUNTIF(Таблица1[Order ID],Таблица1[[#This Row],[Order ID]])</f>
        <v>1</v>
      </c>
      <c r="Z2161" s="9">
        <f>1/COUNTIFS(Таблица1[Customer Name],Таблица1[[#This Row],[Customer Name]],Таблица1[Order-Year-Month],Таблица1[[#This Row],[Order-Year-Month]])</f>
        <v>1</v>
      </c>
    </row>
    <row r="2162" spans="1:26" x14ac:dyDescent="0.2">
      <c r="A2162" s="6">
        <v>2870</v>
      </c>
      <c r="B2162" s="7">
        <v>20709</v>
      </c>
      <c r="C2162" s="8">
        <f>DATE(2012,12,31)-1238</f>
        <v>40036</v>
      </c>
      <c r="D2162" s="8" t="str">
        <f t="shared" si="42"/>
        <v>2009-08 (август 2009)</v>
      </c>
      <c r="E2162" s="9" t="s">
        <v>30</v>
      </c>
      <c r="F2162" s="7">
        <v>4</v>
      </c>
      <c r="G2162" s="7">
        <v>16.600000000000001</v>
      </c>
      <c r="H2162" s="7">
        <v>0.1</v>
      </c>
      <c r="I2162" s="9" t="s">
        <v>22</v>
      </c>
      <c r="J2162" s="10">
        <v>-2.06</v>
      </c>
      <c r="K2162" s="11">
        <v>4.13</v>
      </c>
      <c r="L2162" s="11">
        <v>0.99</v>
      </c>
      <c r="M2162" s="9" t="s">
        <v>1327</v>
      </c>
      <c r="N2162" s="6" t="s">
        <v>1123</v>
      </c>
      <c r="O2162" s="6" t="s">
        <v>1123</v>
      </c>
      <c r="P2162" s="9" t="s">
        <v>33</v>
      </c>
      <c r="Q2162" s="9" t="s">
        <v>26</v>
      </c>
      <c r="R2162" s="9" t="s">
        <v>88</v>
      </c>
      <c r="S2162" s="7" t="s">
        <v>492</v>
      </c>
      <c r="T2162" s="9" t="s">
        <v>39</v>
      </c>
      <c r="U2162" s="7">
        <v>0.39</v>
      </c>
      <c r="V2162" s="12">
        <f>C2162+0</f>
        <v>40036</v>
      </c>
      <c r="W2162">
        <f>IF(D2162=' Pivot Tables'!$A$4,1,0)</f>
        <v>0</v>
      </c>
      <c r="X2162">
        <f>IF(AND(LEFT(D2162,4)+1=LEFT(' Pivot Tables'!$A$4,4)+0,RIGHT(LEFT(D2162,7),2)=RIGHT(LEFT(' Pivot Tables'!$A$4,7),2)),1,0)</f>
        <v>0</v>
      </c>
      <c r="Y2162" s="6">
        <f>1/COUNTIF(Таблица1[Order ID],Таблица1[[#This Row],[Order ID]])</f>
        <v>0.5</v>
      </c>
      <c r="Z2162" s="9">
        <f>1/COUNTIFS(Таблица1[Customer Name],Таблица1[[#This Row],[Customer Name]],Таблица1[Order-Year-Month],Таблица1[[#This Row],[Order-Year-Month]])</f>
        <v>0.5</v>
      </c>
    </row>
    <row r="2163" spans="1:26" x14ac:dyDescent="0.2">
      <c r="A2163" s="6">
        <v>2871</v>
      </c>
      <c r="B2163" s="7">
        <v>20709</v>
      </c>
      <c r="C2163" s="8">
        <f>DATE(2012,12,31)-1238</f>
        <v>40036</v>
      </c>
      <c r="D2163" s="8" t="str">
        <f t="shared" si="42"/>
        <v>2009-08 (август 2009)</v>
      </c>
      <c r="E2163" s="9" t="s">
        <v>30</v>
      </c>
      <c r="F2163" s="7">
        <v>5</v>
      </c>
      <c r="G2163" s="7">
        <v>25.1</v>
      </c>
      <c r="H2163" s="7">
        <v>0.04</v>
      </c>
      <c r="I2163" s="9" t="s">
        <v>22</v>
      </c>
      <c r="J2163" s="10">
        <v>2.98</v>
      </c>
      <c r="K2163" s="11">
        <v>4.9800000000000004</v>
      </c>
      <c r="L2163" s="11">
        <v>0.49</v>
      </c>
      <c r="M2163" s="9" t="s">
        <v>1327</v>
      </c>
      <c r="N2163" s="6" t="s">
        <v>1123</v>
      </c>
      <c r="O2163" s="6" t="s">
        <v>1123</v>
      </c>
      <c r="P2163" s="9" t="s">
        <v>33</v>
      </c>
      <c r="Q2163" s="9" t="s">
        <v>26</v>
      </c>
      <c r="R2163" s="9" t="s">
        <v>88</v>
      </c>
      <c r="S2163" s="7" t="s">
        <v>836</v>
      </c>
      <c r="T2163" s="9" t="s">
        <v>39</v>
      </c>
      <c r="U2163" s="7">
        <v>0.39</v>
      </c>
      <c r="V2163" s="12">
        <f>C2163+2</f>
        <v>40038</v>
      </c>
      <c r="W2163">
        <f>IF(D2163=' Pivot Tables'!$A$4,1,0)</f>
        <v>0</v>
      </c>
      <c r="X2163">
        <f>IF(AND(LEFT(D2163,4)+1=LEFT(' Pivot Tables'!$A$4,4)+0,RIGHT(LEFT(D2163,7),2)=RIGHT(LEFT(' Pivot Tables'!$A$4,7),2)),1,0)</f>
        <v>0</v>
      </c>
      <c r="Y2163" s="6">
        <f>1/COUNTIF(Таблица1[Order ID],Таблица1[[#This Row],[Order ID]])</f>
        <v>0.5</v>
      </c>
      <c r="Z2163" s="9">
        <f>1/COUNTIFS(Таблица1[Customer Name],Таблица1[[#This Row],[Customer Name]],Таблица1[Order-Year-Month],Таблица1[[#This Row],[Order-Year-Month]])</f>
        <v>0.5</v>
      </c>
    </row>
    <row r="2164" spans="1:26" x14ac:dyDescent="0.2">
      <c r="A2164" s="6">
        <v>2913</v>
      </c>
      <c r="B2164" s="7">
        <v>21025</v>
      </c>
      <c r="C2164" s="8">
        <f>DATE(2012,12,31)-842</f>
        <v>40432</v>
      </c>
      <c r="D2164" s="8" t="str">
        <f t="shared" si="42"/>
        <v>2010-09 (сентябрь 2010)</v>
      </c>
      <c r="E2164" s="9" t="s">
        <v>45</v>
      </c>
      <c r="F2164" s="7">
        <v>38</v>
      </c>
      <c r="G2164" s="7">
        <v>553.02</v>
      </c>
      <c r="H2164" s="7">
        <v>0.1</v>
      </c>
      <c r="I2164" s="9" t="s">
        <v>22</v>
      </c>
      <c r="J2164" s="10">
        <v>-49.38</v>
      </c>
      <c r="K2164" s="11">
        <v>15.98</v>
      </c>
      <c r="L2164" s="11">
        <v>6.5</v>
      </c>
      <c r="M2164" s="9" t="s">
        <v>1295</v>
      </c>
      <c r="N2164" s="6" t="s">
        <v>1123</v>
      </c>
      <c r="O2164" s="6" t="s">
        <v>1123</v>
      </c>
      <c r="P2164" s="9" t="s">
        <v>25</v>
      </c>
      <c r="Q2164" s="9" t="s">
        <v>42</v>
      </c>
      <c r="R2164" s="9" t="s">
        <v>70</v>
      </c>
      <c r="S2164" s="7" t="s">
        <v>536</v>
      </c>
      <c r="T2164" s="9" t="s">
        <v>39</v>
      </c>
      <c r="U2164" s="7">
        <v>0.48</v>
      </c>
      <c r="V2164" s="12">
        <f>C2164+2</f>
        <v>40434</v>
      </c>
      <c r="W2164">
        <f>IF(D2164=' Pivot Tables'!$A$4,1,0)</f>
        <v>0</v>
      </c>
      <c r="X2164">
        <f>IF(AND(LEFT(D2164,4)+1=LEFT(' Pivot Tables'!$A$4,4)+0,RIGHT(LEFT(D2164,7),2)=RIGHT(LEFT(' Pivot Tables'!$A$4,7),2)),1,0)</f>
        <v>0</v>
      </c>
      <c r="Y2164" s="6">
        <f>1/COUNTIF(Таблица1[Order ID],Таблица1[[#This Row],[Order ID]])</f>
        <v>1</v>
      </c>
      <c r="Z2164" s="9">
        <f>1/COUNTIFS(Таблица1[Customer Name],Таблица1[[#This Row],[Customer Name]],Таблица1[Order-Year-Month],Таблица1[[#This Row],[Order-Year-Month]])</f>
        <v>1</v>
      </c>
    </row>
    <row r="2165" spans="1:26" x14ac:dyDescent="0.2">
      <c r="A2165" s="6">
        <v>2914</v>
      </c>
      <c r="B2165" s="7">
        <v>21028</v>
      </c>
      <c r="C2165" s="8">
        <f>DATE(2012,12,31)-207</f>
        <v>41067</v>
      </c>
      <c r="D2165" s="8" t="str">
        <f t="shared" si="42"/>
        <v>2012-06 (июнь 2012)</v>
      </c>
      <c r="E2165" s="9" t="s">
        <v>78</v>
      </c>
      <c r="F2165" s="7">
        <v>38</v>
      </c>
      <c r="G2165" s="7">
        <v>437.86</v>
      </c>
      <c r="H2165" s="7">
        <v>0.04</v>
      </c>
      <c r="I2165" s="9" t="s">
        <v>22</v>
      </c>
      <c r="J2165" s="10">
        <v>-4.17</v>
      </c>
      <c r="K2165" s="11">
        <v>11.58</v>
      </c>
      <c r="L2165" s="11">
        <v>6.97</v>
      </c>
      <c r="M2165" s="9" t="s">
        <v>1327</v>
      </c>
      <c r="N2165" s="6" t="s">
        <v>1123</v>
      </c>
      <c r="O2165" s="6" t="s">
        <v>1123</v>
      </c>
      <c r="P2165" s="9" t="s">
        <v>33</v>
      </c>
      <c r="Q2165" s="9" t="s">
        <v>26</v>
      </c>
      <c r="R2165" s="9" t="s">
        <v>76</v>
      </c>
      <c r="S2165" s="7" t="s">
        <v>304</v>
      </c>
      <c r="T2165" s="9" t="s">
        <v>39</v>
      </c>
      <c r="U2165" s="7">
        <v>0.35</v>
      </c>
      <c r="V2165" s="12">
        <f>C2165+2</f>
        <v>41069</v>
      </c>
      <c r="W2165">
        <f>IF(D2165=' Pivot Tables'!$A$4,1,0)</f>
        <v>0</v>
      </c>
      <c r="X2165">
        <f>IF(AND(LEFT(D2165,4)+1=LEFT(' Pivot Tables'!$A$4,4)+0,RIGHT(LEFT(D2165,7),2)=RIGHT(LEFT(' Pivot Tables'!$A$4,7),2)),1,0)</f>
        <v>0</v>
      </c>
      <c r="Y2165" s="6">
        <f>1/COUNTIF(Таблица1[Order ID],Таблица1[[#This Row],[Order ID]])</f>
        <v>1</v>
      </c>
      <c r="Z2165" s="9">
        <f>1/COUNTIFS(Таблица1[Customer Name],Таблица1[[#This Row],[Customer Name]],Таблица1[Order-Year-Month],Таблица1[[#This Row],[Order-Year-Month]])</f>
        <v>1</v>
      </c>
    </row>
    <row r="2166" spans="1:26" x14ac:dyDescent="0.2">
      <c r="A2166" s="6">
        <v>2921</v>
      </c>
      <c r="B2166" s="7">
        <v>21125</v>
      </c>
      <c r="C2166" s="8">
        <f>DATE(2012,12,31)-674</f>
        <v>40600</v>
      </c>
      <c r="D2166" s="8" t="str">
        <f t="shared" si="42"/>
        <v>2011-02 (февраль 2011)</v>
      </c>
      <c r="E2166" s="9" t="s">
        <v>45</v>
      </c>
      <c r="F2166" s="7">
        <v>17</v>
      </c>
      <c r="G2166" s="7">
        <v>155.16999999999999</v>
      </c>
      <c r="H2166" s="7">
        <v>0.08</v>
      </c>
      <c r="I2166" s="9" t="s">
        <v>22</v>
      </c>
      <c r="J2166" s="10">
        <v>2.12</v>
      </c>
      <c r="K2166" s="11">
        <v>9.27</v>
      </c>
      <c r="L2166" s="11">
        <v>4.3899999999999997</v>
      </c>
      <c r="M2166" s="9" t="s">
        <v>1328</v>
      </c>
      <c r="N2166" s="6" t="s">
        <v>1123</v>
      </c>
      <c r="O2166" s="6" t="s">
        <v>1123</v>
      </c>
      <c r="P2166" s="9" t="s">
        <v>60</v>
      </c>
      <c r="Q2166" s="9" t="s">
        <v>26</v>
      </c>
      <c r="R2166" s="9" t="s">
        <v>61</v>
      </c>
      <c r="S2166" s="7" t="s">
        <v>400</v>
      </c>
      <c r="T2166" s="9" t="s">
        <v>68</v>
      </c>
      <c r="U2166" s="7">
        <v>0.38</v>
      </c>
      <c r="V2166" s="12">
        <f>C2166+1</f>
        <v>40601</v>
      </c>
      <c r="W2166">
        <f>IF(D2166=' Pivot Tables'!$A$4,1,0)</f>
        <v>0</v>
      </c>
      <c r="X2166">
        <f>IF(AND(LEFT(D2166,4)+1=LEFT(' Pivot Tables'!$A$4,4)+0,RIGHT(LEFT(D2166,7),2)=RIGHT(LEFT(' Pivot Tables'!$A$4,7),2)),1,0)</f>
        <v>0</v>
      </c>
      <c r="Y2166" s="6">
        <f>1/COUNTIF(Таблица1[Order ID],Таблица1[[#This Row],[Order ID]])</f>
        <v>1</v>
      </c>
      <c r="Z2166" s="9">
        <f>1/COUNTIFS(Таблица1[Customer Name],Таблица1[[#This Row],[Customer Name]],Таблица1[Order-Year-Month],Таблица1[[#This Row],[Order-Year-Month]])</f>
        <v>1</v>
      </c>
    </row>
    <row r="2167" spans="1:26" x14ac:dyDescent="0.2">
      <c r="A2167" s="6">
        <v>2955</v>
      </c>
      <c r="B2167" s="7">
        <v>21382</v>
      </c>
      <c r="C2167" s="8">
        <f>DATE(2012,12,31)-354</f>
        <v>40920</v>
      </c>
      <c r="D2167" s="8" t="str">
        <f t="shared" si="42"/>
        <v>2012-01 (январь 2012)</v>
      </c>
      <c r="E2167" s="9" t="s">
        <v>78</v>
      </c>
      <c r="F2167" s="7">
        <v>27</v>
      </c>
      <c r="G2167" s="7">
        <v>145.93</v>
      </c>
      <c r="H2167" s="7">
        <v>0</v>
      </c>
      <c r="I2167" s="9" t="s">
        <v>22</v>
      </c>
      <c r="J2167" s="10">
        <v>-113.32</v>
      </c>
      <c r="K2167" s="11">
        <v>4.9800000000000004</v>
      </c>
      <c r="L2167" s="11">
        <v>7.44</v>
      </c>
      <c r="M2167" s="9" t="s">
        <v>1329</v>
      </c>
      <c r="N2167" s="6" t="s">
        <v>1123</v>
      </c>
      <c r="O2167" s="6" t="s">
        <v>1123</v>
      </c>
      <c r="P2167" s="9" t="s">
        <v>41</v>
      </c>
      <c r="Q2167" s="9" t="s">
        <v>26</v>
      </c>
      <c r="R2167" s="9" t="s">
        <v>61</v>
      </c>
      <c r="S2167" s="7" t="s">
        <v>1159</v>
      </c>
      <c r="T2167" s="9" t="s">
        <v>39</v>
      </c>
      <c r="U2167" s="7">
        <v>0.36</v>
      </c>
      <c r="V2167" s="12">
        <f>C2167+3</f>
        <v>40923</v>
      </c>
      <c r="W2167">
        <f>IF(D2167=' Pivot Tables'!$A$4,1,0)</f>
        <v>0</v>
      </c>
      <c r="X2167">
        <f>IF(AND(LEFT(D2167,4)+1=LEFT(' Pivot Tables'!$A$4,4)+0,RIGHT(LEFT(D2167,7),2)=RIGHT(LEFT(' Pivot Tables'!$A$4,7),2)),1,0)</f>
        <v>0</v>
      </c>
      <c r="Y2167" s="6">
        <f>1/COUNTIF(Таблица1[Order ID],Таблица1[[#This Row],[Order ID]])</f>
        <v>0.33333333333333331</v>
      </c>
      <c r="Z2167" s="9">
        <f>1/COUNTIFS(Таблица1[Customer Name],Таблица1[[#This Row],[Customer Name]],Таблица1[Order-Year-Month],Таблица1[[#This Row],[Order-Year-Month]])</f>
        <v>0.33333333333333331</v>
      </c>
    </row>
    <row r="2168" spans="1:26" x14ac:dyDescent="0.2">
      <c r="A2168" s="6">
        <v>2994</v>
      </c>
      <c r="B2168" s="7">
        <v>21604</v>
      </c>
      <c r="C2168" s="8">
        <f>DATE(2012,12,31)-274</f>
        <v>41000</v>
      </c>
      <c r="D2168" s="8" t="str">
        <f t="shared" si="42"/>
        <v>2012-04 (апрель 2012)</v>
      </c>
      <c r="E2168" s="9" t="s">
        <v>63</v>
      </c>
      <c r="F2168" s="7">
        <v>6</v>
      </c>
      <c r="G2168" s="7">
        <v>2478.88</v>
      </c>
      <c r="H2168" s="7">
        <v>0.02</v>
      </c>
      <c r="I2168" s="9" t="s">
        <v>56</v>
      </c>
      <c r="J2168" s="10">
        <v>593.58900000000006</v>
      </c>
      <c r="K2168" s="11">
        <v>387.99</v>
      </c>
      <c r="L2168" s="11">
        <v>19.989999999999998</v>
      </c>
      <c r="M2168" s="9" t="s">
        <v>1313</v>
      </c>
      <c r="N2168" s="6" t="s">
        <v>1123</v>
      </c>
      <c r="O2168" s="6" t="s">
        <v>1123</v>
      </c>
      <c r="P2168" s="9" t="s">
        <v>60</v>
      </c>
      <c r="Q2168" s="9" t="s">
        <v>26</v>
      </c>
      <c r="R2168" s="9" t="s">
        <v>37</v>
      </c>
      <c r="S2168" s="7" t="s">
        <v>366</v>
      </c>
      <c r="T2168" s="9" t="s">
        <v>39</v>
      </c>
      <c r="U2168" s="7">
        <v>0.38</v>
      </c>
      <c r="V2168" s="12">
        <f>C2168+2</f>
        <v>41002</v>
      </c>
      <c r="W2168">
        <f>IF(D2168=' Pivot Tables'!$A$4,1,0)</f>
        <v>0</v>
      </c>
      <c r="X2168">
        <f>IF(AND(LEFT(D2168,4)+1=LEFT(' Pivot Tables'!$A$4,4)+0,RIGHT(LEFT(D2168,7),2)=RIGHT(LEFT(' Pivot Tables'!$A$4,7),2)),1,0)</f>
        <v>0</v>
      </c>
      <c r="Y2168" s="6">
        <f>1/COUNTIF(Таблица1[Order ID],Таблица1[[#This Row],[Order ID]])</f>
        <v>1</v>
      </c>
      <c r="Z2168" s="9">
        <f>1/COUNTIFS(Таблица1[Customer Name],Таблица1[[#This Row],[Customer Name]],Таблица1[Order-Year-Month],Таблица1[[#This Row],[Order-Year-Month]])</f>
        <v>0.5</v>
      </c>
    </row>
    <row r="2169" spans="1:26" x14ac:dyDescent="0.2">
      <c r="A2169" s="6">
        <v>3037</v>
      </c>
      <c r="B2169" s="7">
        <v>21824</v>
      </c>
      <c r="C2169" s="8">
        <f>DATE(2012,12,31)-693</f>
        <v>40581</v>
      </c>
      <c r="D2169" s="8" t="str">
        <f t="shared" si="42"/>
        <v>2011-02 (февраль 2011)</v>
      </c>
      <c r="E2169" s="9" t="s">
        <v>21</v>
      </c>
      <c r="F2169" s="7">
        <v>37</v>
      </c>
      <c r="G2169" s="7">
        <v>3351.55</v>
      </c>
      <c r="H2169" s="7">
        <v>0.04</v>
      </c>
      <c r="I2169" s="9" t="s">
        <v>56</v>
      </c>
      <c r="J2169" s="10">
        <v>-1036.92</v>
      </c>
      <c r="K2169" s="11">
        <v>90.98</v>
      </c>
      <c r="L2169" s="11">
        <v>56.2</v>
      </c>
      <c r="M2169" s="9" t="s">
        <v>1296</v>
      </c>
      <c r="N2169" s="6" t="s">
        <v>1123</v>
      </c>
      <c r="O2169" s="6" t="s">
        <v>1123</v>
      </c>
      <c r="P2169" s="9" t="s">
        <v>60</v>
      </c>
      <c r="Q2169" s="9" t="s">
        <v>49</v>
      </c>
      <c r="R2169" s="9" t="s">
        <v>50</v>
      </c>
      <c r="S2169" s="7" t="s">
        <v>574</v>
      </c>
      <c r="T2169" s="9" t="s">
        <v>48</v>
      </c>
      <c r="U2169" s="7">
        <v>0.74</v>
      </c>
      <c r="V2169" s="12">
        <f>C2169+7</f>
        <v>40588</v>
      </c>
      <c r="W2169">
        <f>IF(D2169=' Pivot Tables'!$A$4,1,0)</f>
        <v>0</v>
      </c>
      <c r="X2169">
        <f>IF(AND(LEFT(D2169,4)+1=LEFT(' Pivot Tables'!$A$4,4)+0,RIGHT(LEFT(D2169,7),2)=RIGHT(LEFT(' Pivot Tables'!$A$4,7),2)),1,0)</f>
        <v>0</v>
      </c>
      <c r="Y2169" s="6">
        <f>1/COUNTIF(Таблица1[Order ID],Таблица1[[#This Row],[Order ID]])</f>
        <v>1</v>
      </c>
      <c r="Z2169" s="9">
        <f>1/COUNTIFS(Таблица1[Customer Name],Таблица1[[#This Row],[Customer Name]],Таблица1[Order-Year-Month],Таблица1[[#This Row],[Order-Year-Month]])</f>
        <v>1</v>
      </c>
    </row>
    <row r="2170" spans="1:26" x14ac:dyDescent="0.2">
      <c r="A2170" s="6">
        <v>3057</v>
      </c>
      <c r="B2170" s="7">
        <v>21893</v>
      </c>
      <c r="C2170" s="8">
        <f>DATE(2012,12,31)-434</f>
        <v>40840</v>
      </c>
      <c r="D2170" s="8" t="str">
        <f t="shared" si="42"/>
        <v>2011-10 (октябрь 2011)</v>
      </c>
      <c r="E2170" s="9" t="s">
        <v>78</v>
      </c>
      <c r="F2170" s="7">
        <v>30</v>
      </c>
      <c r="G2170" s="7">
        <v>532.11</v>
      </c>
      <c r="H2170" s="7">
        <v>0.01</v>
      </c>
      <c r="I2170" s="9" t="s">
        <v>56</v>
      </c>
      <c r="J2170" s="10">
        <v>59.47</v>
      </c>
      <c r="K2170" s="11">
        <v>17.07</v>
      </c>
      <c r="L2170" s="11">
        <v>8.1300000000000008</v>
      </c>
      <c r="M2170" s="9" t="s">
        <v>1263</v>
      </c>
      <c r="N2170" s="6" t="s">
        <v>1123</v>
      </c>
      <c r="O2170" s="6" t="s">
        <v>1123</v>
      </c>
      <c r="P2170" s="9" t="s">
        <v>60</v>
      </c>
      <c r="Q2170" s="9" t="s">
        <v>26</v>
      </c>
      <c r="R2170" s="9" t="s">
        <v>76</v>
      </c>
      <c r="S2170" s="7" t="s">
        <v>1330</v>
      </c>
      <c r="T2170" s="9" t="s">
        <v>39</v>
      </c>
      <c r="U2170" s="7">
        <v>0.38</v>
      </c>
      <c r="V2170" s="12">
        <f>C2170+1</f>
        <v>40841</v>
      </c>
      <c r="W2170">
        <f>IF(D2170=' Pivot Tables'!$A$4,1,0)</f>
        <v>0</v>
      </c>
      <c r="X2170">
        <f>IF(AND(LEFT(D2170,4)+1=LEFT(' Pivot Tables'!$A$4,4)+0,RIGHT(LEFT(D2170,7),2)=RIGHT(LEFT(' Pivot Tables'!$A$4,7),2)),1,0)</f>
        <v>0</v>
      </c>
      <c r="Y2170" s="6">
        <f>1/COUNTIF(Таблица1[Order ID],Таблица1[[#This Row],[Order ID]])</f>
        <v>1</v>
      </c>
      <c r="Z2170" s="9">
        <f>1/COUNTIFS(Таблица1[Customer Name],Таблица1[[#This Row],[Customer Name]],Таблица1[Order-Year-Month],Таблица1[[#This Row],[Order-Year-Month]])</f>
        <v>1</v>
      </c>
    </row>
    <row r="2171" spans="1:26" x14ac:dyDescent="0.2">
      <c r="A2171" s="6">
        <v>3075</v>
      </c>
      <c r="B2171" s="7">
        <v>22054</v>
      </c>
      <c r="C2171" s="8">
        <f>DATE(2012,12,31)-886</f>
        <v>40388</v>
      </c>
      <c r="D2171" s="8" t="str">
        <f t="shared" si="42"/>
        <v>2010-07 (июль 2010)</v>
      </c>
      <c r="E2171" s="9" t="s">
        <v>63</v>
      </c>
      <c r="F2171" s="7">
        <v>32</v>
      </c>
      <c r="G2171" s="7">
        <v>216.79</v>
      </c>
      <c r="H2171" s="7">
        <v>7.0000000000000007E-2</v>
      </c>
      <c r="I2171" s="9" t="s">
        <v>22</v>
      </c>
      <c r="J2171" s="10">
        <v>57.55</v>
      </c>
      <c r="K2171" s="11">
        <v>6.98</v>
      </c>
      <c r="L2171" s="11">
        <v>2.83</v>
      </c>
      <c r="M2171" s="9" t="s">
        <v>1245</v>
      </c>
      <c r="N2171" s="6" t="s">
        <v>1123</v>
      </c>
      <c r="O2171" s="6" t="s">
        <v>1123</v>
      </c>
      <c r="P2171" s="9" t="s">
        <v>41</v>
      </c>
      <c r="Q2171" s="9" t="s">
        <v>49</v>
      </c>
      <c r="R2171" s="9" t="s">
        <v>50</v>
      </c>
      <c r="S2171" s="7" t="s">
        <v>926</v>
      </c>
      <c r="T2171" s="9" t="s">
        <v>52</v>
      </c>
      <c r="U2171" s="7">
        <v>0.37</v>
      </c>
      <c r="V2171" s="12">
        <f>C2171+2</f>
        <v>40390</v>
      </c>
      <c r="W2171">
        <f>IF(D2171=' Pivot Tables'!$A$4,1,0)</f>
        <v>0</v>
      </c>
      <c r="X2171">
        <f>IF(AND(LEFT(D2171,4)+1=LEFT(' Pivot Tables'!$A$4,4)+0,RIGHT(LEFT(D2171,7),2)=RIGHT(LEFT(' Pivot Tables'!$A$4,7),2)),1,0)</f>
        <v>0</v>
      </c>
      <c r="Y2171" s="6">
        <f>1/COUNTIF(Таблица1[Order ID],Таблица1[[#This Row],[Order ID]])</f>
        <v>1</v>
      </c>
      <c r="Z2171" s="9">
        <f>1/COUNTIFS(Таблица1[Customer Name],Таблица1[[#This Row],[Customer Name]],Таблица1[Order-Year-Month],Таблица1[[#This Row],[Order-Year-Month]])</f>
        <v>0.5</v>
      </c>
    </row>
    <row r="2172" spans="1:26" x14ac:dyDescent="0.2">
      <c r="A2172" s="6">
        <v>3091</v>
      </c>
      <c r="B2172" s="7">
        <v>22181</v>
      </c>
      <c r="C2172" s="8">
        <f>DATE(2012,12,31)-451</f>
        <v>40823</v>
      </c>
      <c r="D2172" s="8" t="str">
        <f t="shared" si="42"/>
        <v>2011-10 (октябрь 2011)</v>
      </c>
      <c r="E2172" s="9" t="s">
        <v>21</v>
      </c>
      <c r="F2172" s="7">
        <v>41</v>
      </c>
      <c r="G2172" s="7">
        <v>258.13</v>
      </c>
      <c r="H2172" s="7">
        <v>0.03</v>
      </c>
      <c r="I2172" s="9" t="s">
        <v>22</v>
      </c>
      <c r="J2172" s="10">
        <v>84.1</v>
      </c>
      <c r="K2172" s="11">
        <v>6.08</v>
      </c>
      <c r="L2172" s="11">
        <v>1.82</v>
      </c>
      <c r="M2172" s="9" t="s">
        <v>1257</v>
      </c>
      <c r="N2172" s="6" t="s">
        <v>1123</v>
      </c>
      <c r="O2172" s="6" t="s">
        <v>1123</v>
      </c>
      <c r="P2172" s="9" t="s">
        <v>41</v>
      </c>
      <c r="Q2172" s="9" t="s">
        <v>26</v>
      </c>
      <c r="R2172" s="9" t="s">
        <v>66</v>
      </c>
      <c r="S2172" s="7" t="s">
        <v>1331</v>
      </c>
      <c r="T2172" s="9" t="s">
        <v>68</v>
      </c>
      <c r="U2172" s="7">
        <v>0.35</v>
      </c>
      <c r="V2172" s="12">
        <f>C2172+9</f>
        <v>40832</v>
      </c>
      <c r="W2172">
        <f>IF(D2172=' Pivot Tables'!$A$4,1,0)</f>
        <v>0</v>
      </c>
      <c r="X2172">
        <f>IF(AND(LEFT(D2172,4)+1=LEFT(' Pivot Tables'!$A$4,4)+0,RIGHT(LEFT(D2172,7),2)=RIGHT(LEFT(' Pivot Tables'!$A$4,7),2)),1,0)</f>
        <v>0</v>
      </c>
      <c r="Y2172" s="6">
        <f>1/COUNTIF(Таблица1[Order ID],Таблица1[[#This Row],[Order ID]])</f>
        <v>1</v>
      </c>
      <c r="Z2172" s="9">
        <f>1/COUNTIFS(Таблица1[Customer Name],Таблица1[[#This Row],[Customer Name]],Таблица1[Order-Year-Month],Таблица1[[#This Row],[Order-Year-Month]])</f>
        <v>1</v>
      </c>
    </row>
    <row r="2173" spans="1:26" x14ac:dyDescent="0.2">
      <c r="A2173" s="6">
        <v>3104</v>
      </c>
      <c r="B2173" s="7">
        <v>22272</v>
      </c>
      <c r="C2173" s="8">
        <f>DATE(2012,12,31)-239</f>
        <v>41035</v>
      </c>
      <c r="D2173" s="8" t="str">
        <f t="shared" si="42"/>
        <v>2012-05 (май 2012)</v>
      </c>
      <c r="E2173" s="9" t="s">
        <v>30</v>
      </c>
      <c r="F2173" s="7">
        <v>37</v>
      </c>
      <c r="G2173" s="7">
        <v>5382.24</v>
      </c>
      <c r="H2173" s="7">
        <v>0.1</v>
      </c>
      <c r="I2173" s="9" t="s">
        <v>22</v>
      </c>
      <c r="J2173" s="10">
        <v>14.85</v>
      </c>
      <c r="K2173" s="11">
        <v>152.47999999999999</v>
      </c>
      <c r="L2173" s="11">
        <v>4</v>
      </c>
      <c r="M2173" s="9" t="s">
        <v>1250</v>
      </c>
      <c r="N2173" s="6" t="s">
        <v>1123</v>
      </c>
      <c r="O2173" s="6" t="s">
        <v>1123</v>
      </c>
      <c r="P2173" s="9" t="s">
        <v>60</v>
      </c>
      <c r="Q2173" s="9" t="s">
        <v>42</v>
      </c>
      <c r="R2173" s="9" t="s">
        <v>70</v>
      </c>
      <c r="S2173" s="7" t="s">
        <v>844</v>
      </c>
      <c r="T2173" s="9" t="s">
        <v>39</v>
      </c>
      <c r="U2173" s="7">
        <v>0.79</v>
      </c>
      <c r="V2173" s="12">
        <f>C2173+2</f>
        <v>41037</v>
      </c>
      <c r="W2173">
        <f>IF(D2173=' Pivot Tables'!$A$4,1,0)</f>
        <v>0</v>
      </c>
      <c r="X2173">
        <f>IF(AND(LEFT(D2173,4)+1=LEFT(' Pivot Tables'!$A$4,4)+0,RIGHT(LEFT(D2173,7),2)=RIGHT(LEFT(' Pivot Tables'!$A$4,7),2)),1,0)</f>
        <v>0</v>
      </c>
      <c r="Y2173" s="6">
        <f>1/COUNTIF(Таблица1[Order ID],Таблица1[[#This Row],[Order ID]])</f>
        <v>0.5</v>
      </c>
      <c r="Z2173" s="9">
        <f>1/COUNTIFS(Таблица1[Customer Name],Таблица1[[#This Row],[Customer Name]],Таблица1[Order-Year-Month],Таблица1[[#This Row],[Order-Year-Month]])</f>
        <v>0.5</v>
      </c>
    </row>
    <row r="2174" spans="1:26" x14ac:dyDescent="0.2">
      <c r="A2174" s="6">
        <v>3105</v>
      </c>
      <c r="B2174" s="7">
        <v>22272</v>
      </c>
      <c r="C2174" s="8">
        <f>DATE(2012,12,31)-239</f>
        <v>41035</v>
      </c>
      <c r="D2174" s="8" t="str">
        <f t="shared" si="42"/>
        <v>2012-05 (май 2012)</v>
      </c>
      <c r="E2174" s="9" t="s">
        <v>30</v>
      </c>
      <c r="F2174" s="7">
        <v>30</v>
      </c>
      <c r="G2174" s="7">
        <v>1035.95</v>
      </c>
      <c r="H2174" s="7">
        <v>0.08</v>
      </c>
      <c r="I2174" s="9" t="s">
        <v>22</v>
      </c>
      <c r="J2174" s="10">
        <v>342.41</v>
      </c>
      <c r="K2174" s="11">
        <v>35.409999999999997</v>
      </c>
      <c r="L2174" s="11">
        <v>1.99</v>
      </c>
      <c r="M2174" s="9" t="s">
        <v>1250</v>
      </c>
      <c r="N2174" s="6" t="s">
        <v>1123</v>
      </c>
      <c r="O2174" s="6" t="s">
        <v>1123</v>
      </c>
      <c r="P2174" s="9" t="s">
        <v>60</v>
      </c>
      <c r="Q2174" s="9" t="s">
        <v>42</v>
      </c>
      <c r="R2174" s="9" t="s">
        <v>70</v>
      </c>
      <c r="S2174" s="7" t="s">
        <v>971</v>
      </c>
      <c r="T2174" s="9" t="s">
        <v>52</v>
      </c>
      <c r="U2174" s="7">
        <v>0.43</v>
      </c>
      <c r="V2174" s="12">
        <f>C2174+2</f>
        <v>41037</v>
      </c>
      <c r="W2174">
        <f>IF(D2174=' Pivot Tables'!$A$4,1,0)</f>
        <v>0</v>
      </c>
      <c r="X2174">
        <f>IF(AND(LEFT(D2174,4)+1=LEFT(' Pivot Tables'!$A$4,4)+0,RIGHT(LEFT(D2174,7),2)=RIGHT(LEFT(' Pivot Tables'!$A$4,7),2)),1,0)</f>
        <v>0</v>
      </c>
      <c r="Y2174" s="6">
        <f>1/COUNTIF(Таблица1[Order ID],Таблица1[[#This Row],[Order ID]])</f>
        <v>0.5</v>
      </c>
      <c r="Z2174" s="9">
        <f>1/COUNTIFS(Таблица1[Customer Name],Таблица1[[#This Row],[Customer Name]],Таблица1[Order-Year-Month],Таблица1[[#This Row],[Order-Year-Month]])</f>
        <v>0.5</v>
      </c>
    </row>
    <row r="2175" spans="1:26" x14ac:dyDescent="0.2">
      <c r="A2175" s="6">
        <v>3115</v>
      </c>
      <c r="B2175" s="7">
        <v>22373</v>
      </c>
      <c r="C2175" s="8">
        <f>DATE(2012,12,31)-278</f>
        <v>40996</v>
      </c>
      <c r="D2175" s="8" t="str">
        <f t="shared" si="42"/>
        <v>2012-03 (март 2012)</v>
      </c>
      <c r="E2175" s="9" t="s">
        <v>30</v>
      </c>
      <c r="F2175" s="7">
        <v>26</v>
      </c>
      <c r="G2175" s="7">
        <v>233.03</v>
      </c>
      <c r="H2175" s="7">
        <v>0.05</v>
      </c>
      <c r="I2175" s="9" t="s">
        <v>56</v>
      </c>
      <c r="J2175" s="10">
        <v>-86.34</v>
      </c>
      <c r="K2175" s="11">
        <v>8.74</v>
      </c>
      <c r="L2175" s="11">
        <v>8.2899999999999991</v>
      </c>
      <c r="M2175" s="9" t="s">
        <v>1245</v>
      </c>
      <c r="N2175" s="6" t="s">
        <v>1123</v>
      </c>
      <c r="O2175" s="6" t="s">
        <v>1123</v>
      </c>
      <c r="P2175" s="9" t="s">
        <v>41</v>
      </c>
      <c r="Q2175" s="9" t="s">
        <v>26</v>
      </c>
      <c r="R2175" s="9" t="s">
        <v>76</v>
      </c>
      <c r="S2175" s="7" t="s">
        <v>567</v>
      </c>
      <c r="T2175" s="9" t="s">
        <v>39</v>
      </c>
      <c r="U2175" s="7">
        <v>0.38</v>
      </c>
      <c r="V2175" s="12">
        <f>C2175+1</f>
        <v>40997</v>
      </c>
      <c r="W2175">
        <f>IF(D2175=' Pivot Tables'!$A$4,1,0)</f>
        <v>0</v>
      </c>
      <c r="X2175">
        <f>IF(AND(LEFT(D2175,4)+1=LEFT(' Pivot Tables'!$A$4,4)+0,RIGHT(LEFT(D2175,7),2)=RIGHT(LEFT(' Pivot Tables'!$A$4,7),2)),1,0)</f>
        <v>0</v>
      </c>
      <c r="Y2175" s="6">
        <f>1/COUNTIF(Таблица1[Order ID],Таблица1[[#This Row],[Order ID]])</f>
        <v>1</v>
      </c>
      <c r="Z2175" s="9">
        <f>1/COUNTIFS(Таблица1[Customer Name],Таблица1[[#This Row],[Customer Name]],Таблица1[Order-Year-Month],Таблица1[[#This Row],[Order-Year-Month]])</f>
        <v>0.5</v>
      </c>
    </row>
    <row r="2176" spans="1:26" x14ac:dyDescent="0.2">
      <c r="A2176" s="6">
        <v>3125</v>
      </c>
      <c r="B2176" s="7">
        <v>22434</v>
      </c>
      <c r="C2176" s="8">
        <f>DATE(2012,12,31)-124</f>
        <v>41150</v>
      </c>
      <c r="D2176" s="8" t="str">
        <f t="shared" si="42"/>
        <v>2012-08 (август 2012)</v>
      </c>
      <c r="E2176" s="9" t="s">
        <v>78</v>
      </c>
      <c r="F2176" s="7">
        <v>3</v>
      </c>
      <c r="G2176" s="7">
        <v>18.7</v>
      </c>
      <c r="H2176" s="7">
        <v>0.1</v>
      </c>
      <c r="I2176" s="9" t="s">
        <v>22</v>
      </c>
      <c r="J2176" s="10">
        <v>-14.685499999999999</v>
      </c>
      <c r="K2176" s="11">
        <v>4.54</v>
      </c>
      <c r="L2176" s="11">
        <v>5.83</v>
      </c>
      <c r="M2176" s="9" t="s">
        <v>1266</v>
      </c>
      <c r="N2176" s="6" t="s">
        <v>1123</v>
      </c>
      <c r="O2176" s="6" t="s">
        <v>1123</v>
      </c>
      <c r="P2176" s="9" t="s">
        <v>33</v>
      </c>
      <c r="Q2176" s="9" t="s">
        <v>26</v>
      </c>
      <c r="R2176" s="9" t="s">
        <v>37</v>
      </c>
      <c r="S2176" s="7" t="s">
        <v>1332</v>
      </c>
      <c r="T2176" s="9" t="s">
        <v>39</v>
      </c>
      <c r="U2176" s="7">
        <v>0.36</v>
      </c>
      <c r="V2176" s="12">
        <f>C2176+2</f>
        <v>41152</v>
      </c>
      <c r="W2176">
        <f>IF(D2176=' Pivot Tables'!$A$4,1,0)</f>
        <v>0</v>
      </c>
      <c r="X2176">
        <f>IF(AND(LEFT(D2176,4)+1=LEFT(' Pivot Tables'!$A$4,4)+0,RIGHT(LEFT(D2176,7),2)=RIGHT(LEFT(' Pivot Tables'!$A$4,7),2)),1,0)</f>
        <v>0</v>
      </c>
      <c r="Y2176" s="6">
        <f>1/COUNTIF(Таблица1[Order ID],Таблица1[[#This Row],[Order ID]])</f>
        <v>0.5</v>
      </c>
      <c r="Z2176" s="9">
        <f>1/COUNTIFS(Таблица1[Customer Name],Таблица1[[#This Row],[Customer Name]],Таблица1[Order-Year-Month],Таблица1[[#This Row],[Order-Year-Month]])</f>
        <v>0.5</v>
      </c>
    </row>
    <row r="2177" spans="1:26" x14ac:dyDescent="0.2">
      <c r="A2177" s="6">
        <v>3126</v>
      </c>
      <c r="B2177" s="7">
        <v>22434</v>
      </c>
      <c r="C2177" s="8">
        <f>DATE(2012,12,31)-124</f>
        <v>41150</v>
      </c>
      <c r="D2177" s="8" t="str">
        <f t="shared" si="42"/>
        <v>2012-08 (август 2012)</v>
      </c>
      <c r="E2177" s="9" t="s">
        <v>78</v>
      </c>
      <c r="F2177" s="7">
        <v>39</v>
      </c>
      <c r="G2177" s="7">
        <v>140.74</v>
      </c>
      <c r="H2177" s="7">
        <v>0.01</v>
      </c>
      <c r="I2177" s="9" t="s">
        <v>22</v>
      </c>
      <c r="J2177" s="10">
        <v>-92.29</v>
      </c>
      <c r="K2177" s="11">
        <v>3.28</v>
      </c>
      <c r="L2177" s="11">
        <v>3.97</v>
      </c>
      <c r="M2177" s="9" t="s">
        <v>1266</v>
      </c>
      <c r="N2177" s="6" t="s">
        <v>1123</v>
      </c>
      <c r="O2177" s="6" t="s">
        <v>1123</v>
      </c>
      <c r="P2177" s="9" t="s">
        <v>33</v>
      </c>
      <c r="Q2177" s="9" t="s">
        <v>26</v>
      </c>
      <c r="R2177" s="9" t="s">
        <v>95</v>
      </c>
      <c r="S2177" s="7" t="s">
        <v>572</v>
      </c>
      <c r="T2177" s="9" t="s">
        <v>68</v>
      </c>
      <c r="U2177" s="7">
        <v>0.56000000000000005</v>
      </c>
      <c r="V2177" s="12">
        <f>C2177+2</f>
        <v>41152</v>
      </c>
      <c r="W2177">
        <f>IF(D2177=' Pivot Tables'!$A$4,1,0)</f>
        <v>0</v>
      </c>
      <c r="X2177">
        <f>IF(AND(LEFT(D2177,4)+1=LEFT(' Pivot Tables'!$A$4,4)+0,RIGHT(LEFT(D2177,7),2)=RIGHT(LEFT(' Pivot Tables'!$A$4,7),2)),1,0)</f>
        <v>0</v>
      </c>
      <c r="Y2177" s="6">
        <f>1/COUNTIF(Таблица1[Order ID],Таблица1[[#This Row],[Order ID]])</f>
        <v>0.5</v>
      </c>
      <c r="Z2177" s="9">
        <f>1/COUNTIFS(Таблица1[Customer Name],Таблица1[[#This Row],[Customer Name]],Таблица1[Order-Year-Month],Таблица1[[#This Row],[Order-Year-Month]])</f>
        <v>0.5</v>
      </c>
    </row>
    <row r="2178" spans="1:26" x14ac:dyDescent="0.2">
      <c r="A2178" s="6">
        <v>3179</v>
      </c>
      <c r="B2178" s="7">
        <v>22849</v>
      </c>
      <c r="C2178" s="8">
        <f>DATE(2012,12,31)-686</f>
        <v>40588</v>
      </c>
      <c r="D2178" s="8" t="str">
        <f t="shared" si="42"/>
        <v>2011-02 (февраль 2011)</v>
      </c>
      <c r="E2178" s="9" t="s">
        <v>45</v>
      </c>
      <c r="F2178" s="7">
        <v>27</v>
      </c>
      <c r="G2178" s="7">
        <v>304.98</v>
      </c>
      <c r="H2178" s="7">
        <v>0.08</v>
      </c>
      <c r="I2178" s="9" t="s">
        <v>22</v>
      </c>
      <c r="J2178" s="10">
        <v>2.7284999999999999</v>
      </c>
      <c r="K2178" s="11">
        <v>11.7</v>
      </c>
      <c r="L2178" s="11">
        <v>5.63</v>
      </c>
      <c r="M2178" s="9" t="s">
        <v>1243</v>
      </c>
      <c r="N2178" s="6" t="s">
        <v>1123</v>
      </c>
      <c r="O2178" s="6" t="s">
        <v>1123</v>
      </c>
      <c r="P2178" s="9" t="s">
        <v>41</v>
      </c>
      <c r="Q2178" s="9" t="s">
        <v>26</v>
      </c>
      <c r="R2178" s="9" t="s">
        <v>37</v>
      </c>
      <c r="S2178" s="7" t="s">
        <v>1333</v>
      </c>
      <c r="T2178" s="9" t="s">
        <v>39</v>
      </c>
      <c r="U2178" s="7">
        <v>0.4</v>
      </c>
      <c r="V2178" s="12">
        <f>C2178+1</f>
        <v>40589</v>
      </c>
      <c r="W2178">
        <f>IF(D2178=' Pivot Tables'!$A$4,1,0)</f>
        <v>0</v>
      </c>
      <c r="X2178">
        <f>IF(AND(LEFT(D2178,4)+1=LEFT(' Pivot Tables'!$A$4,4)+0,RIGHT(LEFT(D2178,7),2)=RIGHT(LEFT(' Pivot Tables'!$A$4,7),2)),1,0)</f>
        <v>0</v>
      </c>
      <c r="Y2178" s="6">
        <f>1/COUNTIF(Таблица1[Order ID],Таблица1[[#This Row],[Order ID]])</f>
        <v>0.25</v>
      </c>
      <c r="Z2178" s="9">
        <f>1/COUNTIFS(Таблица1[Customer Name],Таблица1[[#This Row],[Customer Name]],Таблица1[Order-Year-Month],Таблица1[[#This Row],[Order-Year-Month]])</f>
        <v>0.16666666666666666</v>
      </c>
    </row>
    <row r="2179" spans="1:26" x14ac:dyDescent="0.2">
      <c r="A2179" s="6">
        <v>3180</v>
      </c>
      <c r="B2179" s="7">
        <v>22849</v>
      </c>
      <c r="C2179" s="8">
        <f>DATE(2012,12,31)-686</f>
        <v>40588</v>
      </c>
      <c r="D2179" s="8" t="str">
        <f t="shared" ref="D2179:D2242" si="43">TEXT(C2179,"гггг-ММ (ММММ гггг)")</f>
        <v>2011-02 (февраль 2011)</v>
      </c>
      <c r="E2179" s="9" t="s">
        <v>45</v>
      </c>
      <c r="F2179" s="7">
        <v>34</v>
      </c>
      <c r="G2179" s="7">
        <v>104.24</v>
      </c>
      <c r="H2179" s="7">
        <v>0</v>
      </c>
      <c r="I2179" s="9" t="s">
        <v>56</v>
      </c>
      <c r="J2179" s="10">
        <v>10.59</v>
      </c>
      <c r="K2179" s="11">
        <v>2.78</v>
      </c>
      <c r="L2179" s="11">
        <v>1.34</v>
      </c>
      <c r="M2179" s="9" t="s">
        <v>1243</v>
      </c>
      <c r="N2179" s="6" t="s">
        <v>1123</v>
      </c>
      <c r="O2179" s="6" t="s">
        <v>1123</v>
      </c>
      <c r="P2179" s="9" t="s">
        <v>41</v>
      </c>
      <c r="Q2179" s="9" t="s">
        <v>26</v>
      </c>
      <c r="R2179" s="9" t="s">
        <v>95</v>
      </c>
      <c r="S2179" s="7" t="s">
        <v>256</v>
      </c>
      <c r="T2179" s="9" t="s">
        <v>68</v>
      </c>
      <c r="U2179" s="7">
        <v>0.45</v>
      </c>
      <c r="V2179" s="12">
        <f>C2179+2</f>
        <v>40590</v>
      </c>
      <c r="W2179">
        <f>IF(D2179=' Pivot Tables'!$A$4,1,0)</f>
        <v>0</v>
      </c>
      <c r="X2179">
        <f>IF(AND(LEFT(D2179,4)+1=LEFT(' Pivot Tables'!$A$4,4)+0,RIGHT(LEFT(D2179,7),2)=RIGHT(LEFT(' Pivot Tables'!$A$4,7),2)),1,0)</f>
        <v>0</v>
      </c>
      <c r="Y2179" s="6">
        <f>1/COUNTIF(Таблица1[Order ID],Таблица1[[#This Row],[Order ID]])</f>
        <v>0.25</v>
      </c>
      <c r="Z2179" s="9">
        <f>1/COUNTIFS(Таблица1[Customer Name],Таблица1[[#This Row],[Customer Name]],Таблица1[Order-Year-Month],Таблица1[[#This Row],[Order-Year-Month]])</f>
        <v>0.16666666666666666</v>
      </c>
    </row>
    <row r="2180" spans="1:26" x14ac:dyDescent="0.2">
      <c r="A2180" s="6">
        <v>3181</v>
      </c>
      <c r="B2180" s="7">
        <v>22849</v>
      </c>
      <c r="C2180" s="8">
        <f>DATE(2012,12,31)-686</f>
        <v>40588</v>
      </c>
      <c r="D2180" s="8" t="str">
        <f t="shared" si="43"/>
        <v>2011-02 (февраль 2011)</v>
      </c>
      <c r="E2180" s="9" t="s">
        <v>45</v>
      </c>
      <c r="F2180" s="7">
        <v>27</v>
      </c>
      <c r="G2180" s="7">
        <v>198.13</v>
      </c>
      <c r="H2180" s="7">
        <v>0.01</v>
      </c>
      <c r="I2180" s="9" t="s">
        <v>22</v>
      </c>
      <c r="J2180" s="10">
        <v>-219.92</v>
      </c>
      <c r="K2180" s="11">
        <v>6.98</v>
      </c>
      <c r="L2180" s="11">
        <v>9.69</v>
      </c>
      <c r="M2180" s="9" t="s">
        <v>1243</v>
      </c>
      <c r="N2180" s="6" t="s">
        <v>1123</v>
      </c>
      <c r="O2180" s="6" t="s">
        <v>1123</v>
      </c>
      <c r="P2180" s="9" t="s">
        <v>41</v>
      </c>
      <c r="Q2180" s="9" t="s">
        <v>26</v>
      </c>
      <c r="R2180" s="9" t="s">
        <v>27</v>
      </c>
      <c r="S2180" s="7" t="s">
        <v>1314</v>
      </c>
      <c r="T2180" s="9" t="s">
        <v>39</v>
      </c>
      <c r="U2180" s="7">
        <v>0.83</v>
      </c>
      <c r="V2180" s="12">
        <f>C2180+2</f>
        <v>40590</v>
      </c>
      <c r="W2180">
        <f>IF(D2180=' Pivot Tables'!$A$4,1,0)</f>
        <v>0</v>
      </c>
      <c r="X2180">
        <f>IF(AND(LEFT(D2180,4)+1=LEFT(' Pivot Tables'!$A$4,4)+0,RIGHT(LEFT(D2180,7),2)=RIGHT(LEFT(' Pivot Tables'!$A$4,7),2)),1,0)</f>
        <v>0</v>
      </c>
      <c r="Y2180" s="6">
        <f>1/COUNTIF(Таблица1[Order ID],Таблица1[[#This Row],[Order ID]])</f>
        <v>0.25</v>
      </c>
      <c r="Z2180" s="9">
        <f>1/COUNTIFS(Таблица1[Customer Name],Таблица1[[#This Row],[Customer Name]],Таблица1[Order-Year-Month],Таблица1[[#This Row],[Order-Year-Month]])</f>
        <v>0.16666666666666666</v>
      </c>
    </row>
    <row r="2181" spans="1:26" x14ac:dyDescent="0.2">
      <c r="A2181" s="6">
        <v>3182</v>
      </c>
      <c r="B2181" s="7">
        <v>22849</v>
      </c>
      <c r="C2181" s="8">
        <f>DATE(2012,12,31)-686</f>
        <v>40588</v>
      </c>
      <c r="D2181" s="8" t="str">
        <f t="shared" si="43"/>
        <v>2011-02 (февраль 2011)</v>
      </c>
      <c r="E2181" s="9" t="s">
        <v>45</v>
      </c>
      <c r="F2181" s="7">
        <v>25</v>
      </c>
      <c r="G2181" s="7">
        <v>4366.348</v>
      </c>
      <c r="H2181" s="7">
        <v>0.05</v>
      </c>
      <c r="I2181" s="9" t="s">
        <v>22</v>
      </c>
      <c r="J2181" s="10">
        <v>940.57199999999989</v>
      </c>
      <c r="K2181" s="11">
        <v>205.99</v>
      </c>
      <c r="L2181" s="11">
        <v>3</v>
      </c>
      <c r="M2181" s="9" t="s">
        <v>1243</v>
      </c>
      <c r="N2181" s="6" t="s">
        <v>1123</v>
      </c>
      <c r="O2181" s="6" t="s">
        <v>1123</v>
      </c>
      <c r="P2181" s="9" t="s">
        <v>41</v>
      </c>
      <c r="Q2181" s="9" t="s">
        <v>42</v>
      </c>
      <c r="R2181" s="9" t="s">
        <v>43</v>
      </c>
      <c r="S2181" s="7" t="s">
        <v>764</v>
      </c>
      <c r="T2181" s="9" t="s">
        <v>39</v>
      </c>
      <c r="U2181" s="7">
        <v>0.57999999999999996</v>
      </c>
      <c r="V2181" s="12">
        <f>C2181+2</f>
        <v>40590</v>
      </c>
      <c r="W2181">
        <f>IF(D2181=' Pivot Tables'!$A$4,1,0)</f>
        <v>0</v>
      </c>
      <c r="X2181">
        <f>IF(AND(LEFT(D2181,4)+1=LEFT(' Pivot Tables'!$A$4,4)+0,RIGHT(LEFT(D2181,7),2)=RIGHT(LEFT(' Pivot Tables'!$A$4,7),2)),1,0)</f>
        <v>0</v>
      </c>
      <c r="Y2181" s="6">
        <f>1/COUNTIF(Таблица1[Order ID],Таблица1[[#This Row],[Order ID]])</f>
        <v>0.25</v>
      </c>
      <c r="Z2181" s="9">
        <f>1/COUNTIFS(Таблица1[Customer Name],Таблица1[[#This Row],[Customer Name]],Таблица1[Order-Year-Month],Таблица1[[#This Row],[Order-Year-Month]])</f>
        <v>0.16666666666666666</v>
      </c>
    </row>
    <row r="2182" spans="1:26" x14ac:dyDescent="0.2">
      <c r="A2182" s="6">
        <v>3188</v>
      </c>
      <c r="B2182" s="7">
        <v>22881</v>
      </c>
      <c r="C2182" s="8">
        <f>DATE(2012,12,31)-1000</f>
        <v>40274</v>
      </c>
      <c r="D2182" s="8" t="str">
        <f t="shared" si="43"/>
        <v>2010-04 (апрель 2010)</v>
      </c>
      <c r="E2182" s="9" t="s">
        <v>63</v>
      </c>
      <c r="F2182" s="7">
        <v>33</v>
      </c>
      <c r="G2182" s="7">
        <v>476.06</v>
      </c>
      <c r="H2182" s="7">
        <v>0.04</v>
      </c>
      <c r="I2182" s="9" t="s">
        <v>22</v>
      </c>
      <c r="J2182" s="10">
        <v>-120.48</v>
      </c>
      <c r="K2182" s="11">
        <v>14.03</v>
      </c>
      <c r="L2182" s="11">
        <v>9.3699999999999992</v>
      </c>
      <c r="M2182" s="9" t="s">
        <v>1286</v>
      </c>
      <c r="N2182" s="6" t="s">
        <v>1123</v>
      </c>
      <c r="O2182" s="6" t="s">
        <v>1123</v>
      </c>
      <c r="P2182" s="9" t="s">
        <v>41</v>
      </c>
      <c r="Q2182" s="9" t="s">
        <v>26</v>
      </c>
      <c r="R2182" s="9" t="s">
        <v>27</v>
      </c>
      <c r="S2182" s="7" t="s">
        <v>733</v>
      </c>
      <c r="T2182" s="9" t="s">
        <v>39</v>
      </c>
      <c r="U2182" s="7">
        <v>0.56000000000000005</v>
      </c>
      <c r="V2182" s="12">
        <f>C2182+1</f>
        <v>40275</v>
      </c>
      <c r="W2182">
        <f>IF(D2182=' Pivot Tables'!$A$4,1,0)</f>
        <v>0</v>
      </c>
      <c r="X2182">
        <f>IF(AND(LEFT(D2182,4)+1=LEFT(' Pivot Tables'!$A$4,4)+0,RIGHT(LEFT(D2182,7),2)=RIGHT(LEFT(' Pivot Tables'!$A$4,7),2)),1,0)</f>
        <v>0</v>
      </c>
      <c r="Y2182" s="6">
        <f>1/COUNTIF(Таблица1[Order ID],Таблица1[[#This Row],[Order ID]])</f>
        <v>1</v>
      </c>
      <c r="Z2182" s="9">
        <f>1/COUNTIFS(Таблица1[Customer Name],Таблица1[[#This Row],[Customer Name]],Таблица1[Order-Year-Month],Таблица1[[#This Row],[Order-Year-Month]])</f>
        <v>0.33333333333333331</v>
      </c>
    </row>
    <row r="2183" spans="1:26" x14ac:dyDescent="0.2">
      <c r="A2183" s="6">
        <v>3201</v>
      </c>
      <c r="B2183" s="7">
        <v>22950</v>
      </c>
      <c r="C2183" s="8">
        <f>DATE(2012,12,31)-376</f>
        <v>40898</v>
      </c>
      <c r="D2183" s="8" t="str">
        <f t="shared" si="43"/>
        <v>2011-12 (декабрь 2011)</v>
      </c>
      <c r="E2183" s="9" t="s">
        <v>21</v>
      </c>
      <c r="F2183" s="7">
        <v>29</v>
      </c>
      <c r="G2183" s="7">
        <v>1756.11</v>
      </c>
      <c r="H2183" s="7">
        <v>0.1</v>
      </c>
      <c r="I2183" s="9" t="s">
        <v>22</v>
      </c>
      <c r="J2183" s="10">
        <v>-888.07</v>
      </c>
      <c r="K2183" s="11">
        <v>64.650000000000006</v>
      </c>
      <c r="L2183" s="11">
        <v>35</v>
      </c>
      <c r="M2183" s="9" t="s">
        <v>1334</v>
      </c>
      <c r="N2183" s="6" t="s">
        <v>1123</v>
      </c>
      <c r="O2183" s="6" t="s">
        <v>1123</v>
      </c>
      <c r="P2183" s="9" t="s">
        <v>41</v>
      </c>
      <c r="Q2183" s="9" t="s">
        <v>26</v>
      </c>
      <c r="R2183" s="9" t="s">
        <v>27</v>
      </c>
      <c r="S2183" s="7" t="s">
        <v>1060</v>
      </c>
      <c r="T2183" s="9" t="s">
        <v>29</v>
      </c>
      <c r="U2183" s="7">
        <v>0.8</v>
      </c>
      <c r="V2183" s="12">
        <f>C2183+7</f>
        <v>40905</v>
      </c>
      <c r="W2183">
        <f>IF(D2183=' Pivot Tables'!$A$4,1,0)</f>
        <v>0</v>
      </c>
      <c r="X2183">
        <f>IF(AND(LEFT(D2183,4)+1=LEFT(' Pivot Tables'!$A$4,4)+0,RIGHT(LEFT(D2183,7),2)=RIGHT(LEFT(' Pivot Tables'!$A$4,7),2)),1,0)</f>
        <v>0</v>
      </c>
      <c r="Y2183" s="6">
        <f>1/COUNTIF(Таблица1[Order ID],Таблица1[[#This Row],[Order ID]])</f>
        <v>1</v>
      </c>
      <c r="Z2183" s="9">
        <f>1/COUNTIFS(Таблица1[Customer Name],Таблица1[[#This Row],[Customer Name]],Таблица1[Order-Year-Month],Таблица1[[#This Row],[Order-Year-Month]])</f>
        <v>1</v>
      </c>
    </row>
    <row r="2184" spans="1:26" x14ac:dyDescent="0.2">
      <c r="A2184" s="6">
        <v>3206</v>
      </c>
      <c r="B2184" s="7">
        <v>23008</v>
      </c>
      <c r="C2184" s="8">
        <f>DATE(2012,12,31)-1179</f>
        <v>40095</v>
      </c>
      <c r="D2184" s="8" t="str">
        <f t="shared" si="43"/>
        <v>2009-10 (октябрь 2009)</v>
      </c>
      <c r="E2184" s="9" t="s">
        <v>78</v>
      </c>
      <c r="F2184" s="7">
        <v>10</v>
      </c>
      <c r="G2184" s="7">
        <v>1136.47</v>
      </c>
      <c r="H2184" s="7">
        <v>0.1</v>
      </c>
      <c r="I2184" s="9" t="s">
        <v>56</v>
      </c>
      <c r="J2184" s="10">
        <v>323.32299999999998</v>
      </c>
      <c r="K2184" s="11">
        <v>120.98</v>
      </c>
      <c r="L2184" s="11">
        <v>9.07</v>
      </c>
      <c r="M2184" s="9" t="s">
        <v>1277</v>
      </c>
      <c r="N2184" s="6" t="s">
        <v>1123</v>
      </c>
      <c r="O2184" s="6" t="s">
        <v>1123</v>
      </c>
      <c r="P2184" s="9" t="s">
        <v>33</v>
      </c>
      <c r="Q2184" s="9" t="s">
        <v>26</v>
      </c>
      <c r="R2184" s="9" t="s">
        <v>37</v>
      </c>
      <c r="S2184" s="7" t="s">
        <v>477</v>
      </c>
      <c r="T2184" s="9" t="s">
        <v>39</v>
      </c>
      <c r="U2184" s="7">
        <v>0.35</v>
      </c>
      <c r="V2184" s="12">
        <f>C2184+2</f>
        <v>40097</v>
      </c>
      <c r="W2184">
        <f>IF(D2184=' Pivot Tables'!$A$4,1,0)</f>
        <v>0</v>
      </c>
      <c r="X2184">
        <f>IF(AND(LEFT(D2184,4)+1=LEFT(' Pivot Tables'!$A$4,4)+0,RIGHT(LEFT(D2184,7),2)=RIGHT(LEFT(' Pivot Tables'!$A$4,7),2)),1,0)</f>
        <v>0</v>
      </c>
      <c r="Y2184" s="6">
        <f>1/COUNTIF(Таблица1[Order ID],Таблица1[[#This Row],[Order ID]])</f>
        <v>0.5</v>
      </c>
      <c r="Z2184" s="9">
        <f>1/COUNTIFS(Таблица1[Customer Name],Таблица1[[#This Row],[Customer Name]],Таблица1[Order-Year-Month],Таблица1[[#This Row],[Order-Year-Month]])</f>
        <v>0.5</v>
      </c>
    </row>
    <row r="2185" spans="1:26" x14ac:dyDescent="0.2">
      <c r="A2185" s="6">
        <v>3207</v>
      </c>
      <c r="B2185" s="7">
        <v>23008</v>
      </c>
      <c r="C2185" s="8">
        <f>DATE(2012,12,31)-1179</f>
        <v>40095</v>
      </c>
      <c r="D2185" s="8" t="str">
        <f t="shared" si="43"/>
        <v>2009-10 (октябрь 2009)</v>
      </c>
      <c r="E2185" s="9" t="s">
        <v>78</v>
      </c>
      <c r="F2185" s="7">
        <v>2</v>
      </c>
      <c r="G2185" s="7">
        <v>325.81</v>
      </c>
      <c r="H2185" s="7">
        <v>0.02</v>
      </c>
      <c r="I2185" s="9" t="s">
        <v>56</v>
      </c>
      <c r="J2185" s="10">
        <v>-522.78</v>
      </c>
      <c r="K2185" s="11">
        <v>152.47999999999999</v>
      </c>
      <c r="L2185" s="11">
        <v>6.5</v>
      </c>
      <c r="M2185" s="9" t="s">
        <v>1277</v>
      </c>
      <c r="N2185" s="6" t="s">
        <v>1123</v>
      </c>
      <c r="O2185" s="6" t="s">
        <v>1123</v>
      </c>
      <c r="P2185" s="9" t="s">
        <v>33</v>
      </c>
      <c r="Q2185" s="9" t="s">
        <v>42</v>
      </c>
      <c r="R2185" s="9" t="s">
        <v>70</v>
      </c>
      <c r="S2185" s="7" t="s">
        <v>844</v>
      </c>
      <c r="T2185" s="9" t="s">
        <v>39</v>
      </c>
      <c r="U2185" s="7">
        <v>0.74</v>
      </c>
      <c r="V2185" s="12">
        <f>C2185+2</f>
        <v>40097</v>
      </c>
      <c r="W2185">
        <f>IF(D2185=' Pivot Tables'!$A$4,1,0)</f>
        <v>0</v>
      </c>
      <c r="X2185">
        <f>IF(AND(LEFT(D2185,4)+1=LEFT(' Pivot Tables'!$A$4,4)+0,RIGHT(LEFT(D2185,7),2)=RIGHT(LEFT(' Pivot Tables'!$A$4,7),2)),1,0)</f>
        <v>0</v>
      </c>
      <c r="Y2185" s="6">
        <f>1/COUNTIF(Таблица1[Order ID],Таблица1[[#This Row],[Order ID]])</f>
        <v>0.5</v>
      </c>
      <c r="Z2185" s="9">
        <f>1/COUNTIFS(Таблица1[Customer Name],Таблица1[[#This Row],[Customer Name]],Таблица1[Order-Year-Month],Таблица1[[#This Row],[Order-Year-Month]])</f>
        <v>0.5</v>
      </c>
    </row>
    <row r="2186" spans="1:26" x14ac:dyDescent="0.2">
      <c r="A2186" s="6">
        <v>3233</v>
      </c>
      <c r="B2186" s="7">
        <v>23202</v>
      </c>
      <c r="C2186" s="8">
        <f>DATE(2012,12,31)-520</f>
        <v>40754</v>
      </c>
      <c r="D2186" s="8" t="str">
        <f t="shared" si="43"/>
        <v>2011-07 (июль 2011)</v>
      </c>
      <c r="E2186" s="9" t="s">
        <v>30</v>
      </c>
      <c r="F2186" s="7">
        <v>39</v>
      </c>
      <c r="G2186" s="7">
        <v>307.42</v>
      </c>
      <c r="H2186" s="7">
        <v>0.05</v>
      </c>
      <c r="I2186" s="9" t="s">
        <v>22</v>
      </c>
      <c r="J2186" s="10">
        <v>104.09</v>
      </c>
      <c r="K2186" s="11">
        <v>8.17</v>
      </c>
      <c r="L2186" s="11">
        <v>1.69</v>
      </c>
      <c r="M2186" s="9" t="s">
        <v>1309</v>
      </c>
      <c r="N2186" s="6" t="s">
        <v>1123</v>
      </c>
      <c r="O2186" s="6" t="s">
        <v>1123</v>
      </c>
      <c r="P2186" s="9" t="s">
        <v>25</v>
      </c>
      <c r="Q2186" s="9" t="s">
        <v>26</v>
      </c>
      <c r="R2186" s="9" t="s">
        <v>61</v>
      </c>
      <c r="S2186" s="7" t="s">
        <v>1335</v>
      </c>
      <c r="T2186" s="9" t="s">
        <v>68</v>
      </c>
      <c r="U2186" s="7">
        <v>0.38</v>
      </c>
      <c r="V2186" s="12">
        <f>C2186+2</f>
        <v>40756</v>
      </c>
      <c r="W2186">
        <f>IF(D2186=' Pivot Tables'!$A$4,1,0)</f>
        <v>0</v>
      </c>
      <c r="X2186">
        <f>IF(AND(LEFT(D2186,4)+1=LEFT(' Pivot Tables'!$A$4,4)+0,RIGHT(LEFT(D2186,7),2)=RIGHT(LEFT(' Pivot Tables'!$A$4,7),2)),1,0)</f>
        <v>0</v>
      </c>
      <c r="Y2186" s="6">
        <f>1/COUNTIF(Таблица1[Order ID],Таблица1[[#This Row],[Order ID]])</f>
        <v>0.5</v>
      </c>
      <c r="Z2186" s="9">
        <f>1/COUNTIFS(Таблица1[Customer Name],Таблица1[[#This Row],[Customer Name]],Таблица1[Order-Year-Month],Таблица1[[#This Row],[Order-Year-Month]])</f>
        <v>0.5</v>
      </c>
    </row>
    <row r="2187" spans="1:26" x14ac:dyDescent="0.2">
      <c r="A2187" s="6">
        <v>3234</v>
      </c>
      <c r="B2187" s="7">
        <v>23202</v>
      </c>
      <c r="C2187" s="8">
        <f>DATE(2012,12,31)-520</f>
        <v>40754</v>
      </c>
      <c r="D2187" s="8" t="str">
        <f t="shared" si="43"/>
        <v>2011-07 (июль 2011)</v>
      </c>
      <c r="E2187" s="9" t="s">
        <v>30</v>
      </c>
      <c r="F2187" s="7">
        <v>48</v>
      </c>
      <c r="G2187" s="7">
        <v>608.29</v>
      </c>
      <c r="H2187" s="7">
        <v>0.02</v>
      </c>
      <c r="I2187" s="9" t="s">
        <v>22</v>
      </c>
      <c r="J2187" s="10">
        <v>-39.270000000000003</v>
      </c>
      <c r="K2187" s="11">
        <v>11.97</v>
      </c>
      <c r="L2187" s="11">
        <v>5.81</v>
      </c>
      <c r="M2187" s="9" t="s">
        <v>1309</v>
      </c>
      <c r="N2187" s="6" t="s">
        <v>1123</v>
      </c>
      <c r="O2187" s="6" t="s">
        <v>1123</v>
      </c>
      <c r="P2187" s="9" t="s">
        <v>25</v>
      </c>
      <c r="Q2187" s="9" t="s">
        <v>26</v>
      </c>
      <c r="R2187" s="9" t="s">
        <v>95</v>
      </c>
      <c r="S2187" s="7" t="s">
        <v>521</v>
      </c>
      <c r="T2187" s="9" t="s">
        <v>52</v>
      </c>
      <c r="U2187" s="7">
        <v>0.6</v>
      </c>
      <c r="V2187" s="12">
        <f>C2187+2</f>
        <v>40756</v>
      </c>
      <c r="W2187">
        <f>IF(D2187=' Pivot Tables'!$A$4,1,0)</f>
        <v>0</v>
      </c>
      <c r="X2187">
        <f>IF(AND(LEFT(D2187,4)+1=LEFT(' Pivot Tables'!$A$4,4)+0,RIGHT(LEFT(D2187,7),2)=RIGHT(LEFT(' Pivot Tables'!$A$4,7),2)),1,0)</f>
        <v>0</v>
      </c>
      <c r="Y2187" s="6">
        <f>1/COUNTIF(Таблица1[Order ID],Таблица1[[#This Row],[Order ID]])</f>
        <v>0.5</v>
      </c>
      <c r="Z2187" s="9">
        <f>1/COUNTIFS(Таблица1[Customer Name],Таблица1[[#This Row],[Customer Name]],Таблица1[Order-Year-Month],Таблица1[[#This Row],[Order-Year-Month]])</f>
        <v>0.5</v>
      </c>
    </row>
    <row r="2188" spans="1:26" x14ac:dyDescent="0.2">
      <c r="A2188" s="6">
        <v>3276</v>
      </c>
      <c r="B2188" s="7">
        <v>23426</v>
      </c>
      <c r="C2188" s="8">
        <f>DATE(2012,12,31)-684</f>
        <v>40590</v>
      </c>
      <c r="D2188" s="8" t="str">
        <f t="shared" si="43"/>
        <v>2011-02 (февраль 2011)</v>
      </c>
      <c r="E2188" s="9" t="s">
        <v>78</v>
      </c>
      <c r="F2188" s="7">
        <v>45</v>
      </c>
      <c r="G2188" s="7">
        <v>1009.8</v>
      </c>
      <c r="H2188" s="7">
        <v>7.0000000000000007E-2</v>
      </c>
      <c r="I2188" s="9" t="s">
        <v>22</v>
      </c>
      <c r="J2188" s="10">
        <v>352.64</v>
      </c>
      <c r="K2188" s="11">
        <v>22.98</v>
      </c>
      <c r="L2188" s="11">
        <v>1.99</v>
      </c>
      <c r="M2188" s="9" t="s">
        <v>1277</v>
      </c>
      <c r="N2188" s="6" t="s">
        <v>1123</v>
      </c>
      <c r="O2188" s="6" t="s">
        <v>1123</v>
      </c>
      <c r="P2188" s="9" t="s">
        <v>33</v>
      </c>
      <c r="Q2188" s="9" t="s">
        <v>42</v>
      </c>
      <c r="R2188" s="9" t="s">
        <v>70</v>
      </c>
      <c r="S2188" s="7" t="s">
        <v>501</v>
      </c>
      <c r="T2188" s="9" t="s">
        <v>52</v>
      </c>
      <c r="U2188" s="7">
        <v>0.46</v>
      </c>
      <c r="V2188" s="12">
        <f>C2188+2</f>
        <v>40592</v>
      </c>
      <c r="W2188">
        <f>IF(D2188=' Pivot Tables'!$A$4,1,0)</f>
        <v>0</v>
      </c>
      <c r="X2188">
        <f>IF(AND(LEFT(D2188,4)+1=LEFT(' Pivot Tables'!$A$4,4)+0,RIGHT(LEFT(D2188,7),2)=RIGHT(LEFT(' Pivot Tables'!$A$4,7),2)),1,0)</f>
        <v>0</v>
      </c>
      <c r="Y2188" s="6">
        <f>1/COUNTIF(Таблица1[Order ID],Таблица1[[#This Row],[Order ID]])</f>
        <v>0.5</v>
      </c>
      <c r="Z2188" s="9">
        <f>1/COUNTIFS(Таблица1[Customer Name],Таблица1[[#This Row],[Customer Name]],Таблица1[Order-Year-Month],Таблица1[[#This Row],[Order-Year-Month]])</f>
        <v>0.5</v>
      </c>
    </row>
    <row r="2189" spans="1:26" x14ac:dyDescent="0.2">
      <c r="A2189" s="6">
        <v>3277</v>
      </c>
      <c r="B2189" s="7">
        <v>23426</v>
      </c>
      <c r="C2189" s="8">
        <f>DATE(2012,12,31)-684</f>
        <v>40590</v>
      </c>
      <c r="D2189" s="8" t="str">
        <f t="shared" si="43"/>
        <v>2011-02 (февраль 2011)</v>
      </c>
      <c r="E2189" s="9" t="s">
        <v>78</v>
      </c>
      <c r="F2189" s="7">
        <v>12</v>
      </c>
      <c r="G2189" s="7">
        <v>29.71</v>
      </c>
      <c r="H2189" s="7">
        <v>0.09</v>
      </c>
      <c r="I2189" s="9" t="s">
        <v>22</v>
      </c>
      <c r="J2189" s="10">
        <v>-23.17</v>
      </c>
      <c r="K2189" s="11">
        <v>2.52</v>
      </c>
      <c r="L2189" s="11">
        <v>1.92</v>
      </c>
      <c r="M2189" s="9" t="s">
        <v>1277</v>
      </c>
      <c r="N2189" s="6" t="s">
        <v>1123</v>
      </c>
      <c r="O2189" s="6" t="s">
        <v>1123</v>
      </c>
      <c r="P2189" s="9" t="s">
        <v>33</v>
      </c>
      <c r="Q2189" s="9" t="s">
        <v>26</v>
      </c>
      <c r="R2189" s="9" t="s">
        <v>150</v>
      </c>
      <c r="S2189" s="7" t="s">
        <v>1336</v>
      </c>
      <c r="T2189" s="9" t="s">
        <v>68</v>
      </c>
      <c r="U2189" s="7">
        <v>0.82</v>
      </c>
      <c r="V2189" s="12">
        <f>C2189+1</f>
        <v>40591</v>
      </c>
      <c r="W2189">
        <f>IF(D2189=' Pivot Tables'!$A$4,1,0)</f>
        <v>0</v>
      </c>
      <c r="X2189">
        <f>IF(AND(LEFT(D2189,4)+1=LEFT(' Pivot Tables'!$A$4,4)+0,RIGHT(LEFT(D2189,7),2)=RIGHT(LEFT(' Pivot Tables'!$A$4,7),2)),1,0)</f>
        <v>0</v>
      </c>
      <c r="Y2189" s="6">
        <f>1/COUNTIF(Таблица1[Order ID],Таблица1[[#This Row],[Order ID]])</f>
        <v>0.5</v>
      </c>
      <c r="Z2189" s="9">
        <f>1/COUNTIFS(Таблица1[Customer Name],Таблица1[[#This Row],[Customer Name]],Таблица1[Order-Year-Month],Таблица1[[#This Row],[Order-Year-Month]])</f>
        <v>0.5</v>
      </c>
    </row>
    <row r="2190" spans="1:26" x14ac:dyDescent="0.2">
      <c r="A2190" s="6">
        <v>3311</v>
      </c>
      <c r="B2190" s="7">
        <v>23649</v>
      </c>
      <c r="C2190" s="8">
        <f>DATE(2012,12,31)-117</f>
        <v>41157</v>
      </c>
      <c r="D2190" s="8" t="str">
        <f t="shared" si="43"/>
        <v>2012-09 (сентябрь 2012)</v>
      </c>
      <c r="E2190" s="9" t="s">
        <v>45</v>
      </c>
      <c r="F2190" s="7">
        <v>30</v>
      </c>
      <c r="G2190" s="7">
        <v>4587.9260000000004</v>
      </c>
      <c r="H2190" s="7">
        <v>0.1</v>
      </c>
      <c r="I2190" s="9" t="s">
        <v>22</v>
      </c>
      <c r="J2190" s="10">
        <v>687.41099999999994</v>
      </c>
      <c r="K2190" s="11">
        <v>195.99</v>
      </c>
      <c r="L2190" s="11">
        <v>4.2</v>
      </c>
      <c r="M2190" s="9" t="s">
        <v>1298</v>
      </c>
      <c r="N2190" s="6" t="s">
        <v>1123</v>
      </c>
      <c r="O2190" s="6" t="s">
        <v>1123</v>
      </c>
      <c r="P2190" s="9" t="s">
        <v>41</v>
      </c>
      <c r="Q2190" s="9" t="s">
        <v>42</v>
      </c>
      <c r="R2190" s="9" t="s">
        <v>43</v>
      </c>
      <c r="S2190" s="7" t="s">
        <v>615</v>
      </c>
      <c r="T2190" s="9" t="s">
        <v>39</v>
      </c>
      <c r="U2190" s="7">
        <v>0.6</v>
      </c>
      <c r="V2190" s="12">
        <f>C2190+3</f>
        <v>41160</v>
      </c>
      <c r="W2190">
        <f>IF(D2190=' Pivot Tables'!$A$4,1,0)</f>
        <v>0</v>
      </c>
      <c r="X2190">
        <f>IF(AND(LEFT(D2190,4)+1=LEFT(' Pivot Tables'!$A$4,4)+0,RIGHT(LEFT(D2190,7),2)=RIGHT(LEFT(' Pivot Tables'!$A$4,7),2)),1,0)</f>
        <v>0</v>
      </c>
      <c r="Y2190" s="6">
        <f>1/COUNTIF(Таблица1[Order ID],Таблица1[[#This Row],[Order ID]])</f>
        <v>0.5</v>
      </c>
      <c r="Z2190" s="9">
        <f>1/COUNTIFS(Таблица1[Customer Name],Таблица1[[#This Row],[Customer Name]],Таблица1[Order-Year-Month],Таблица1[[#This Row],[Order-Year-Month]])</f>
        <v>0.5</v>
      </c>
    </row>
    <row r="2191" spans="1:26" x14ac:dyDescent="0.2">
      <c r="A2191" s="6">
        <v>3312</v>
      </c>
      <c r="B2191" s="7">
        <v>23649</v>
      </c>
      <c r="C2191" s="8">
        <f>DATE(2012,12,31)-117</f>
        <v>41157</v>
      </c>
      <c r="D2191" s="8" t="str">
        <f t="shared" si="43"/>
        <v>2012-09 (сентябрь 2012)</v>
      </c>
      <c r="E2191" s="9" t="s">
        <v>45</v>
      </c>
      <c r="F2191" s="7">
        <v>42</v>
      </c>
      <c r="G2191" s="7">
        <v>4541.924</v>
      </c>
      <c r="H2191" s="7">
        <v>0.01</v>
      </c>
      <c r="I2191" s="9" t="s">
        <v>22</v>
      </c>
      <c r="J2191" s="10">
        <v>1222.1370000000002</v>
      </c>
      <c r="K2191" s="11">
        <v>125.99</v>
      </c>
      <c r="L2191" s="11">
        <v>8.08</v>
      </c>
      <c r="M2191" s="9" t="s">
        <v>1298</v>
      </c>
      <c r="N2191" s="6" t="s">
        <v>1123</v>
      </c>
      <c r="O2191" s="6" t="s">
        <v>1123</v>
      </c>
      <c r="P2191" s="9" t="s">
        <v>41</v>
      </c>
      <c r="Q2191" s="9" t="s">
        <v>42</v>
      </c>
      <c r="R2191" s="9" t="s">
        <v>43</v>
      </c>
      <c r="S2191" s="7" t="s">
        <v>586</v>
      </c>
      <c r="T2191" s="9" t="s">
        <v>39</v>
      </c>
      <c r="U2191" s="7">
        <v>0.56999999999999995</v>
      </c>
      <c r="V2191" s="12">
        <f>C2191+1</f>
        <v>41158</v>
      </c>
      <c r="W2191">
        <f>IF(D2191=' Pivot Tables'!$A$4,1,0)</f>
        <v>0</v>
      </c>
      <c r="X2191">
        <f>IF(AND(LEFT(D2191,4)+1=LEFT(' Pivot Tables'!$A$4,4)+0,RIGHT(LEFT(D2191,7),2)=RIGHT(LEFT(' Pivot Tables'!$A$4,7),2)),1,0)</f>
        <v>0</v>
      </c>
      <c r="Y2191" s="6">
        <f>1/COUNTIF(Таблица1[Order ID],Таблица1[[#This Row],[Order ID]])</f>
        <v>0.5</v>
      </c>
      <c r="Z2191" s="9">
        <f>1/COUNTIFS(Таблица1[Customer Name],Таблица1[[#This Row],[Customer Name]],Таблица1[Order-Year-Month],Таблица1[[#This Row],[Order-Year-Month]])</f>
        <v>0.5</v>
      </c>
    </row>
    <row r="2192" spans="1:26" x14ac:dyDescent="0.2">
      <c r="A2192" s="6">
        <v>3322</v>
      </c>
      <c r="B2192" s="7">
        <v>23748</v>
      </c>
      <c r="C2192" s="8">
        <f>DATE(2012,12,31)-143</f>
        <v>41131</v>
      </c>
      <c r="D2192" s="8" t="str">
        <f t="shared" si="43"/>
        <v>2012-08 (август 2012)</v>
      </c>
      <c r="E2192" s="9" t="s">
        <v>30</v>
      </c>
      <c r="F2192" s="7">
        <v>26</v>
      </c>
      <c r="G2192" s="7">
        <v>6163.52</v>
      </c>
      <c r="H2192" s="7">
        <v>0.02</v>
      </c>
      <c r="I2192" s="9" t="s">
        <v>31</v>
      </c>
      <c r="J2192" s="10">
        <v>755.95</v>
      </c>
      <c r="K2192" s="11">
        <v>225.02</v>
      </c>
      <c r="L2192" s="11">
        <v>28.66</v>
      </c>
      <c r="M2192" s="9" t="s">
        <v>1309</v>
      </c>
      <c r="N2192" s="6" t="s">
        <v>1123</v>
      </c>
      <c r="O2192" s="6" t="s">
        <v>1123</v>
      </c>
      <c r="P2192" s="9" t="s">
        <v>25</v>
      </c>
      <c r="Q2192" s="9" t="s">
        <v>26</v>
      </c>
      <c r="R2192" s="9" t="s">
        <v>27</v>
      </c>
      <c r="S2192" s="7" t="s">
        <v>399</v>
      </c>
      <c r="T2192" s="9" t="s">
        <v>36</v>
      </c>
      <c r="U2192" s="7">
        <v>0.72</v>
      </c>
      <c r="V2192" s="12">
        <f>C2192+2</f>
        <v>41133</v>
      </c>
      <c r="W2192">
        <f>IF(D2192=' Pivot Tables'!$A$4,1,0)</f>
        <v>0</v>
      </c>
      <c r="X2192">
        <f>IF(AND(LEFT(D2192,4)+1=LEFT(' Pivot Tables'!$A$4,4)+0,RIGHT(LEFT(D2192,7),2)=RIGHT(LEFT(' Pivot Tables'!$A$4,7),2)),1,0)</f>
        <v>0</v>
      </c>
      <c r="Y2192" s="6">
        <f>1/COUNTIF(Таблица1[Order ID],Таблица1[[#This Row],[Order ID]])</f>
        <v>1</v>
      </c>
      <c r="Z2192" s="9">
        <f>1/COUNTIFS(Таблица1[Customer Name],Таблица1[[#This Row],[Customer Name]],Таблица1[Order-Year-Month],Таблица1[[#This Row],[Order-Year-Month]])</f>
        <v>1</v>
      </c>
    </row>
    <row r="2193" spans="1:26" x14ac:dyDescent="0.2">
      <c r="A2193" s="6">
        <v>3337</v>
      </c>
      <c r="B2193" s="7">
        <v>23847</v>
      </c>
      <c r="C2193" s="8">
        <f>DATE(2012,12,31)-52</f>
        <v>41222</v>
      </c>
      <c r="D2193" s="8" t="str">
        <f t="shared" si="43"/>
        <v>2012-11 (ноябрь 2012)</v>
      </c>
      <c r="E2193" s="9" t="s">
        <v>45</v>
      </c>
      <c r="F2193" s="7">
        <v>7</v>
      </c>
      <c r="G2193" s="7">
        <v>1278.6464999999998</v>
      </c>
      <c r="H2193" s="7">
        <v>0.01</v>
      </c>
      <c r="I2193" s="9" t="s">
        <v>22</v>
      </c>
      <c r="J2193" s="10">
        <v>-396.16500000000002</v>
      </c>
      <c r="K2193" s="11">
        <v>200.99</v>
      </c>
      <c r="L2193" s="11">
        <v>4.2</v>
      </c>
      <c r="M2193" s="9" t="s">
        <v>1278</v>
      </c>
      <c r="N2193" s="6" t="s">
        <v>1123</v>
      </c>
      <c r="O2193" s="6" t="s">
        <v>1123</v>
      </c>
      <c r="P2193" s="9" t="s">
        <v>60</v>
      </c>
      <c r="Q2193" s="9" t="s">
        <v>42</v>
      </c>
      <c r="R2193" s="9" t="s">
        <v>43</v>
      </c>
      <c r="S2193" s="7" t="s">
        <v>457</v>
      </c>
      <c r="T2193" s="9" t="s">
        <v>39</v>
      </c>
      <c r="U2193" s="7">
        <v>0.59</v>
      </c>
      <c r="V2193" s="12">
        <f>C2193+2</f>
        <v>41224</v>
      </c>
      <c r="W2193">
        <f>IF(D2193=' Pivot Tables'!$A$4,1,0)</f>
        <v>0</v>
      </c>
      <c r="X2193">
        <f>IF(AND(LEFT(D2193,4)+1=LEFT(' Pivot Tables'!$A$4,4)+0,RIGHT(LEFT(D2193,7),2)=RIGHT(LEFT(' Pivot Tables'!$A$4,7),2)),1,0)</f>
        <v>0</v>
      </c>
      <c r="Y2193" s="6">
        <f>1/COUNTIF(Таблица1[Order ID],Таблица1[[#This Row],[Order ID]])</f>
        <v>1</v>
      </c>
      <c r="Z2193" s="9">
        <f>1/COUNTIFS(Таблица1[Customer Name],Таблица1[[#This Row],[Customer Name]],Таблица1[Order-Year-Month],Таблица1[[#This Row],[Order-Year-Month]])</f>
        <v>0.5</v>
      </c>
    </row>
    <row r="2194" spans="1:26" x14ac:dyDescent="0.2">
      <c r="A2194" s="6">
        <v>3350</v>
      </c>
      <c r="B2194" s="7">
        <v>23971</v>
      </c>
      <c r="C2194" s="8">
        <f>DATE(2012,12,31)-1136</f>
        <v>40138</v>
      </c>
      <c r="D2194" s="8" t="str">
        <f t="shared" si="43"/>
        <v>2009-11 (ноябрь 2009)</v>
      </c>
      <c r="E2194" s="9" t="s">
        <v>78</v>
      </c>
      <c r="F2194" s="7">
        <v>5</v>
      </c>
      <c r="G2194" s="7">
        <v>66.63</v>
      </c>
      <c r="H2194" s="7">
        <v>0</v>
      </c>
      <c r="I2194" s="9" t="s">
        <v>22</v>
      </c>
      <c r="J2194" s="10">
        <v>-16.920000000000002</v>
      </c>
      <c r="K2194" s="11">
        <v>11.97</v>
      </c>
      <c r="L2194" s="11">
        <v>4.9800000000000004</v>
      </c>
      <c r="M2194" s="9" t="s">
        <v>1337</v>
      </c>
      <c r="N2194" s="6" t="s">
        <v>1123</v>
      </c>
      <c r="O2194" s="6" t="s">
        <v>1123</v>
      </c>
      <c r="P2194" s="9" t="s">
        <v>60</v>
      </c>
      <c r="Q2194" s="9" t="s">
        <v>26</v>
      </c>
      <c r="R2194" s="9" t="s">
        <v>34</v>
      </c>
      <c r="S2194" s="7" t="s">
        <v>274</v>
      </c>
      <c r="T2194" s="9" t="s">
        <v>39</v>
      </c>
      <c r="U2194" s="7">
        <v>0.57999999999999996</v>
      </c>
      <c r="V2194" s="12">
        <f>C2194+3</f>
        <v>40141</v>
      </c>
      <c r="W2194">
        <f>IF(D2194=' Pivot Tables'!$A$4,1,0)</f>
        <v>0</v>
      </c>
      <c r="X2194">
        <f>IF(AND(LEFT(D2194,4)+1=LEFT(' Pivot Tables'!$A$4,4)+0,RIGHT(LEFT(D2194,7),2)=RIGHT(LEFT(' Pivot Tables'!$A$4,7),2)),1,0)</f>
        <v>0</v>
      </c>
      <c r="Y2194" s="6">
        <f>1/COUNTIF(Таблица1[Order ID],Таблица1[[#This Row],[Order ID]])</f>
        <v>1</v>
      </c>
      <c r="Z2194" s="9">
        <f>1/COUNTIFS(Таблица1[Customer Name],Таблица1[[#This Row],[Customer Name]],Таблица1[Order-Year-Month],Таблица1[[#This Row],[Order-Year-Month]])</f>
        <v>0.5</v>
      </c>
    </row>
    <row r="2195" spans="1:26" x14ac:dyDescent="0.2">
      <c r="A2195" s="6">
        <v>3388</v>
      </c>
      <c r="B2195" s="7">
        <v>24135</v>
      </c>
      <c r="C2195" s="8">
        <f>DATE(2012,12,31)-1074</f>
        <v>40200</v>
      </c>
      <c r="D2195" s="8" t="str">
        <f t="shared" si="43"/>
        <v>2010-01 (январь 2010)</v>
      </c>
      <c r="E2195" s="9" t="s">
        <v>21</v>
      </c>
      <c r="F2195" s="7">
        <v>12</v>
      </c>
      <c r="G2195" s="7">
        <v>345.19</v>
      </c>
      <c r="H2195" s="7">
        <v>0.1</v>
      </c>
      <c r="I2195" s="9" t="s">
        <v>22</v>
      </c>
      <c r="J2195" s="10">
        <v>111.58799999999999</v>
      </c>
      <c r="K2195" s="11">
        <v>30.44</v>
      </c>
      <c r="L2195" s="11">
        <v>1.49</v>
      </c>
      <c r="M2195" s="9" t="s">
        <v>1255</v>
      </c>
      <c r="N2195" s="6" t="s">
        <v>1123</v>
      </c>
      <c r="O2195" s="6" t="s">
        <v>1123</v>
      </c>
      <c r="P2195" s="9" t="s">
        <v>33</v>
      </c>
      <c r="Q2195" s="9" t="s">
        <v>26</v>
      </c>
      <c r="R2195" s="9" t="s">
        <v>37</v>
      </c>
      <c r="S2195" s="7" t="s">
        <v>773</v>
      </c>
      <c r="T2195" s="9" t="s">
        <v>39</v>
      </c>
      <c r="U2195" s="7">
        <v>0.37</v>
      </c>
      <c r="V2195" s="12">
        <f>C2195+2</f>
        <v>40202</v>
      </c>
      <c r="W2195">
        <f>IF(D2195=' Pivot Tables'!$A$4,1,0)</f>
        <v>1</v>
      </c>
      <c r="X2195">
        <f>IF(AND(LEFT(D2195,4)+1=LEFT(' Pivot Tables'!$A$4,4)+0,RIGHT(LEFT(D2195,7),2)=RIGHT(LEFT(' Pivot Tables'!$A$4,7),2)),1,0)</f>
        <v>0</v>
      </c>
      <c r="Y2195" s="6">
        <f>1/COUNTIF(Таблица1[Order ID],Таблица1[[#This Row],[Order ID]])</f>
        <v>1</v>
      </c>
      <c r="Z2195" s="9">
        <f>1/COUNTIFS(Таблица1[Customer Name],Таблица1[[#This Row],[Customer Name]],Таблица1[Order-Year-Month],Таблица1[[#This Row],[Order-Year-Month]])</f>
        <v>1</v>
      </c>
    </row>
    <row r="2196" spans="1:26" x14ac:dyDescent="0.2">
      <c r="A2196" s="6">
        <v>3395</v>
      </c>
      <c r="B2196" s="7">
        <v>24196</v>
      </c>
      <c r="C2196" s="8">
        <f>DATE(2012,12,31)-885</f>
        <v>40389</v>
      </c>
      <c r="D2196" s="8" t="str">
        <f t="shared" si="43"/>
        <v>2010-07 (июль 2010)</v>
      </c>
      <c r="E2196" s="9" t="s">
        <v>30</v>
      </c>
      <c r="F2196" s="7">
        <v>2</v>
      </c>
      <c r="G2196" s="7">
        <v>13.44</v>
      </c>
      <c r="H2196" s="7">
        <v>0.08</v>
      </c>
      <c r="I2196" s="9" t="s">
        <v>22</v>
      </c>
      <c r="J2196" s="10">
        <v>-8.8800000000000008</v>
      </c>
      <c r="K2196" s="11">
        <v>4.28</v>
      </c>
      <c r="L2196" s="11">
        <v>5.17</v>
      </c>
      <c r="M2196" s="9" t="s">
        <v>1326</v>
      </c>
      <c r="N2196" s="6" t="s">
        <v>1123</v>
      </c>
      <c r="O2196" s="6" t="s">
        <v>1123</v>
      </c>
      <c r="P2196" s="9" t="s">
        <v>60</v>
      </c>
      <c r="Q2196" s="9" t="s">
        <v>26</v>
      </c>
      <c r="R2196" s="9" t="s">
        <v>61</v>
      </c>
      <c r="S2196" s="7" t="s">
        <v>266</v>
      </c>
      <c r="T2196" s="9" t="s">
        <v>39</v>
      </c>
      <c r="U2196" s="7">
        <v>0.4</v>
      </c>
      <c r="V2196" s="12">
        <f>C2196+1</f>
        <v>40390</v>
      </c>
      <c r="W2196">
        <f>IF(D2196=' Pivot Tables'!$A$4,1,0)</f>
        <v>0</v>
      </c>
      <c r="X2196">
        <f>IF(AND(LEFT(D2196,4)+1=LEFT(' Pivot Tables'!$A$4,4)+0,RIGHT(LEFT(D2196,7),2)=RIGHT(LEFT(' Pivot Tables'!$A$4,7),2)),1,0)</f>
        <v>0</v>
      </c>
      <c r="Y2196" s="6">
        <f>1/COUNTIF(Таблица1[Order ID],Таблица1[[#This Row],[Order ID]])</f>
        <v>0.5</v>
      </c>
      <c r="Z2196" s="9">
        <f>1/COUNTIFS(Таблица1[Customer Name],Таблица1[[#This Row],[Customer Name]],Таблица1[Order-Year-Month],Таблица1[[#This Row],[Order-Year-Month]])</f>
        <v>0.5</v>
      </c>
    </row>
    <row r="2197" spans="1:26" x14ac:dyDescent="0.2">
      <c r="A2197" s="6">
        <v>3396</v>
      </c>
      <c r="B2197" s="7">
        <v>24196</v>
      </c>
      <c r="C2197" s="8">
        <f>DATE(2012,12,31)-885</f>
        <v>40389</v>
      </c>
      <c r="D2197" s="8" t="str">
        <f t="shared" si="43"/>
        <v>2010-07 (июль 2010)</v>
      </c>
      <c r="E2197" s="9" t="s">
        <v>30</v>
      </c>
      <c r="F2197" s="7">
        <v>24</v>
      </c>
      <c r="G2197" s="7">
        <v>1049.49</v>
      </c>
      <c r="H2197" s="7">
        <v>0.05</v>
      </c>
      <c r="I2197" s="9" t="s">
        <v>22</v>
      </c>
      <c r="J2197" s="10">
        <v>-5.41</v>
      </c>
      <c r="K2197" s="11">
        <v>43.57</v>
      </c>
      <c r="L2197" s="11">
        <v>16.36</v>
      </c>
      <c r="M2197" s="9" t="s">
        <v>1326</v>
      </c>
      <c r="N2197" s="6" t="s">
        <v>1123</v>
      </c>
      <c r="O2197" s="6" t="s">
        <v>1123</v>
      </c>
      <c r="P2197" s="9" t="s">
        <v>60</v>
      </c>
      <c r="Q2197" s="9" t="s">
        <v>26</v>
      </c>
      <c r="R2197" s="9" t="s">
        <v>27</v>
      </c>
      <c r="S2197" s="7" t="s">
        <v>1338</v>
      </c>
      <c r="T2197" s="9" t="s">
        <v>39</v>
      </c>
      <c r="U2197" s="7">
        <v>0.55000000000000004</v>
      </c>
      <c r="V2197" s="12">
        <f>C2197+2</f>
        <v>40391</v>
      </c>
      <c r="W2197">
        <f>IF(D2197=' Pivot Tables'!$A$4,1,0)</f>
        <v>0</v>
      </c>
      <c r="X2197">
        <f>IF(AND(LEFT(D2197,4)+1=LEFT(' Pivot Tables'!$A$4,4)+0,RIGHT(LEFT(D2197,7),2)=RIGHT(LEFT(' Pivot Tables'!$A$4,7),2)),1,0)</f>
        <v>0</v>
      </c>
      <c r="Y2197" s="6">
        <f>1/COUNTIF(Таблица1[Order ID],Таблица1[[#This Row],[Order ID]])</f>
        <v>0.5</v>
      </c>
      <c r="Z2197" s="9">
        <f>1/COUNTIFS(Таблица1[Customer Name],Таблица1[[#This Row],[Customer Name]],Таблица1[Order-Year-Month],Таблица1[[#This Row],[Order-Year-Month]])</f>
        <v>0.5</v>
      </c>
    </row>
    <row r="2198" spans="1:26" x14ac:dyDescent="0.2">
      <c r="A2198" s="6">
        <v>3397</v>
      </c>
      <c r="B2198" s="7">
        <v>24197</v>
      </c>
      <c r="C2198" s="8">
        <f>DATE(2012,12,31)-1062</f>
        <v>40212</v>
      </c>
      <c r="D2198" s="8" t="str">
        <f t="shared" si="43"/>
        <v>2010-02 (февраль 2010)</v>
      </c>
      <c r="E2198" s="9" t="s">
        <v>21</v>
      </c>
      <c r="F2198" s="7">
        <v>41</v>
      </c>
      <c r="G2198" s="7">
        <v>2354.4</v>
      </c>
      <c r="H2198" s="7">
        <v>0</v>
      </c>
      <c r="I2198" s="9" t="s">
        <v>56</v>
      </c>
      <c r="J2198" s="10">
        <v>246.54</v>
      </c>
      <c r="K2198" s="11">
        <v>55.94</v>
      </c>
      <c r="L2198" s="11">
        <v>6.55</v>
      </c>
      <c r="M2198" s="9" t="s">
        <v>1308</v>
      </c>
      <c r="N2198" s="6" t="s">
        <v>1123</v>
      </c>
      <c r="O2198" s="6" t="s">
        <v>1123</v>
      </c>
      <c r="P2198" s="9" t="s">
        <v>25</v>
      </c>
      <c r="Q2198" s="9" t="s">
        <v>42</v>
      </c>
      <c r="R2198" s="9" t="s">
        <v>70</v>
      </c>
      <c r="S2198" s="7" t="s">
        <v>503</v>
      </c>
      <c r="T2198" s="9" t="s">
        <v>39</v>
      </c>
      <c r="U2198" s="7">
        <v>0.68</v>
      </c>
      <c r="V2198" s="12">
        <f>C2198+7</f>
        <v>40219</v>
      </c>
      <c r="W2198">
        <f>IF(D2198=' Pivot Tables'!$A$4,1,0)</f>
        <v>0</v>
      </c>
      <c r="X2198">
        <f>IF(AND(LEFT(D2198,4)+1=LEFT(' Pivot Tables'!$A$4,4)+0,RIGHT(LEFT(D2198,7),2)=RIGHT(LEFT(' Pivot Tables'!$A$4,7),2)),1,0)</f>
        <v>0</v>
      </c>
      <c r="Y2198" s="6">
        <f>1/COUNTIF(Таблица1[Order ID],Таблица1[[#This Row],[Order ID]])</f>
        <v>0.5</v>
      </c>
      <c r="Z2198" s="9">
        <f>1/COUNTIFS(Таблица1[Customer Name],Таблица1[[#This Row],[Customer Name]],Таблица1[Order-Year-Month],Таблица1[[#This Row],[Order-Year-Month]])</f>
        <v>0.5</v>
      </c>
    </row>
    <row r="2199" spans="1:26" x14ac:dyDescent="0.2">
      <c r="A2199" s="6">
        <v>3398</v>
      </c>
      <c r="B2199" s="7">
        <v>24197</v>
      </c>
      <c r="C2199" s="8">
        <f>DATE(2012,12,31)-1062</f>
        <v>40212</v>
      </c>
      <c r="D2199" s="8" t="str">
        <f t="shared" si="43"/>
        <v>2010-02 (февраль 2010)</v>
      </c>
      <c r="E2199" s="9" t="s">
        <v>21</v>
      </c>
      <c r="F2199" s="7">
        <v>2</v>
      </c>
      <c r="G2199" s="7">
        <v>35.640499999999996</v>
      </c>
      <c r="H2199" s="7">
        <v>0.05</v>
      </c>
      <c r="I2199" s="9" t="s">
        <v>22</v>
      </c>
      <c r="J2199" s="10">
        <v>-110.396</v>
      </c>
      <c r="K2199" s="11">
        <v>20.99</v>
      </c>
      <c r="L2199" s="11">
        <v>1.25</v>
      </c>
      <c r="M2199" s="9" t="s">
        <v>1308</v>
      </c>
      <c r="N2199" s="6" t="s">
        <v>1123</v>
      </c>
      <c r="O2199" s="6" t="s">
        <v>1123</v>
      </c>
      <c r="P2199" s="9" t="s">
        <v>25</v>
      </c>
      <c r="Q2199" s="9" t="s">
        <v>42</v>
      </c>
      <c r="R2199" s="9" t="s">
        <v>43</v>
      </c>
      <c r="S2199" s="7" t="s">
        <v>285</v>
      </c>
      <c r="T2199" s="9" t="s">
        <v>52</v>
      </c>
      <c r="U2199" s="7">
        <v>0.83</v>
      </c>
      <c r="V2199" s="12">
        <f>C2199+7</f>
        <v>40219</v>
      </c>
      <c r="W2199">
        <f>IF(D2199=' Pivot Tables'!$A$4,1,0)</f>
        <v>0</v>
      </c>
      <c r="X2199">
        <f>IF(AND(LEFT(D2199,4)+1=LEFT(' Pivot Tables'!$A$4,4)+0,RIGHT(LEFT(D2199,7),2)=RIGHT(LEFT(' Pivot Tables'!$A$4,7),2)),1,0)</f>
        <v>0</v>
      </c>
      <c r="Y2199" s="6">
        <f>1/COUNTIF(Таблица1[Order ID],Таблица1[[#This Row],[Order ID]])</f>
        <v>0.5</v>
      </c>
      <c r="Z2199" s="9">
        <f>1/COUNTIFS(Таблица1[Customer Name],Таблица1[[#This Row],[Customer Name]],Таблица1[Order-Year-Month],Таблица1[[#This Row],[Order-Year-Month]])</f>
        <v>0.5</v>
      </c>
    </row>
    <row r="2200" spans="1:26" x14ac:dyDescent="0.2">
      <c r="A2200" s="6">
        <v>3435</v>
      </c>
      <c r="B2200" s="7">
        <v>24519</v>
      </c>
      <c r="C2200" s="8">
        <f>DATE(2012,12,31)-569</f>
        <v>40705</v>
      </c>
      <c r="D2200" s="8" t="str">
        <f t="shared" si="43"/>
        <v>2011-06 (июнь 2011)</v>
      </c>
      <c r="E2200" s="9" t="s">
        <v>78</v>
      </c>
      <c r="F2200" s="7">
        <v>22</v>
      </c>
      <c r="G2200" s="7">
        <v>127.56</v>
      </c>
      <c r="H2200" s="7">
        <v>0.03</v>
      </c>
      <c r="I2200" s="9" t="s">
        <v>22</v>
      </c>
      <c r="J2200" s="10">
        <v>-60.72</v>
      </c>
      <c r="K2200" s="11">
        <v>5.34</v>
      </c>
      <c r="L2200" s="11">
        <v>5.63</v>
      </c>
      <c r="M2200" s="9" t="s">
        <v>1248</v>
      </c>
      <c r="N2200" s="6" t="s">
        <v>1123</v>
      </c>
      <c r="O2200" s="6" t="s">
        <v>1123</v>
      </c>
      <c r="P2200" s="9" t="s">
        <v>33</v>
      </c>
      <c r="Q2200" s="9" t="s">
        <v>26</v>
      </c>
      <c r="R2200" s="9" t="s">
        <v>37</v>
      </c>
      <c r="S2200" s="7" t="s">
        <v>1339</v>
      </c>
      <c r="T2200" s="9" t="s">
        <v>39</v>
      </c>
      <c r="U2200" s="7">
        <v>0.39</v>
      </c>
      <c r="V2200" s="12">
        <f>C2200+1</f>
        <v>40706</v>
      </c>
      <c r="W2200">
        <f>IF(D2200=' Pivot Tables'!$A$4,1,0)</f>
        <v>0</v>
      </c>
      <c r="X2200">
        <f>IF(AND(LEFT(D2200,4)+1=LEFT(' Pivot Tables'!$A$4,4)+0,RIGHT(LEFT(D2200,7),2)=RIGHT(LEFT(' Pivot Tables'!$A$4,7),2)),1,0)</f>
        <v>0</v>
      </c>
      <c r="Y2200" s="6">
        <f>1/COUNTIF(Таблица1[Order ID],Таблица1[[#This Row],[Order ID]])</f>
        <v>1</v>
      </c>
      <c r="Z2200" s="9">
        <f>1/COUNTIFS(Таблица1[Customer Name],Таблица1[[#This Row],[Customer Name]],Таблица1[Order-Year-Month],Таблица1[[#This Row],[Order-Year-Month]])</f>
        <v>1</v>
      </c>
    </row>
    <row r="2201" spans="1:26" x14ac:dyDescent="0.2">
      <c r="A2201" s="6">
        <v>3439</v>
      </c>
      <c r="B2201" s="7">
        <v>24546</v>
      </c>
      <c r="C2201" s="8">
        <f>DATE(2012,12,31)-280</f>
        <v>40994</v>
      </c>
      <c r="D2201" s="8" t="str">
        <f t="shared" si="43"/>
        <v>2012-03 (март 2012)</v>
      </c>
      <c r="E2201" s="9" t="s">
        <v>78</v>
      </c>
      <c r="F2201" s="7">
        <v>7</v>
      </c>
      <c r="G2201" s="7">
        <v>81.58</v>
      </c>
      <c r="H2201" s="7">
        <v>0.04</v>
      </c>
      <c r="I2201" s="9" t="s">
        <v>22</v>
      </c>
      <c r="J2201" s="10">
        <v>-7.78</v>
      </c>
      <c r="K2201" s="11">
        <v>10.98</v>
      </c>
      <c r="L2201" s="11">
        <v>3.37</v>
      </c>
      <c r="M2201" s="9" t="s">
        <v>1250</v>
      </c>
      <c r="N2201" s="6" t="s">
        <v>1123</v>
      </c>
      <c r="O2201" s="6" t="s">
        <v>1123</v>
      </c>
      <c r="P2201" s="9" t="s">
        <v>60</v>
      </c>
      <c r="Q2201" s="9" t="s">
        <v>26</v>
      </c>
      <c r="R2201" s="9" t="s">
        <v>150</v>
      </c>
      <c r="S2201" s="7" t="s">
        <v>465</v>
      </c>
      <c r="T2201" s="9" t="s">
        <v>52</v>
      </c>
      <c r="U2201" s="7">
        <v>0.56999999999999995</v>
      </c>
      <c r="V2201" s="12">
        <f>C2201+1</f>
        <v>40995</v>
      </c>
      <c r="W2201">
        <f>IF(D2201=' Pivot Tables'!$A$4,1,0)</f>
        <v>0</v>
      </c>
      <c r="X2201">
        <f>IF(AND(LEFT(D2201,4)+1=LEFT(' Pivot Tables'!$A$4,4)+0,RIGHT(LEFT(D2201,7),2)=RIGHT(LEFT(' Pivot Tables'!$A$4,7),2)),1,0)</f>
        <v>0</v>
      </c>
      <c r="Y2201" s="6">
        <f>1/COUNTIF(Таблица1[Order ID],Таблица1[[#This Row],[Order ID]])</f>
        <v>1</v>
      </c>
      <c r="Z2201" s="9">
        <f>1/COUNTIFS(Таблица1[Customer Name],Таблица1[[#This Row],[Customer Name]],Таблица1[Order-Year-Month],Таблица1[[#This Row],[Order-Year-Month]])</f>
        <v>1</v>
      </c>
    </row>
    <row r="2202" spans="1:26" x14ac:dyDescent="0.2">
      <c r="A2202" s="6">
        <v>3444</v>
      </c>
      <c r="B2202" s="7">
        <v>24579</v>
      </c>
      <c r="C2202" s="8">
        <f>DATE(2012,12,31)-43</f>
        <v>41231</v>
      </c>
      <c r="D2202" s="8" t="str">
        <f t="shared" si="43"/>
        <v>2012-11 (ноябрь 2012)</v>
      </c>
      <c r="E2202" s="9" t="s">
        <v>30</v>
      </c>
      <c r="F2202" s="7">
        <v>45</v>
      </c>
      <c r="G2202" s="7">
        <v>13921.6</v>
      </c>
      <c r="H2202" s="7">
        <v>0.02</v>
      </c>
      <c r="I2202" s="9" t="s">
        <v>22</v>
      </c>
      <c r="J2202" s="10">
        <v>5183.04</v>
      </c>
      <c r="K2202" s="11">
        <v>300.64999999999998</v>
      </c>
      <c r="L2202" s="11">
        <v>24.49</v>
      </c>
      <c r="M2202" s="9" t="s">
        <v>1250</v>
      </c>
      <c r="N2202" s="6" t="s">
        <v>1123</v>
      </c>
      <c r="O2202" s="6" t="s">
        <v>1123</v>
      </c>
      <c r="P2202" s="9" t="s">
        <v>25</v>
      </c>
      <c r="Q2202" s="9" t="s">
        <v>26</v>
      </c>
      <c r="R2202" s="9" t="s">
        <v>34</v>
      </c>
      <c r="S2202" s="7" t="s">
        <v>378</v>
      </c>
      <c r="T2202" s="9" t="s">
        <v>29</v>
      </c>
      <c r="U2202" s="7">
        <v>0.52</v>
      </c>
      <c r="V2202" s="12">
        <f>C2202+1</f>
        <v>41232</v>
      </c>
      <c r="W2202">
        <f>IF(D2202=' Pivot Tables'!$A$4,1,0)</f>
        <v>0</v>
      </c>
      <c r="X2202">
        <f>IF(AND(LEFT(D2202,4)+1=LEFT(' Pivot Tables'!$A$4,4)+0,RIGHT(LEFT(D2202,7),2)=RIGHT(LEFT(' Pivot Tables'!$A$4,7),2)),1,0)</f>
        <v>0</v>
      </c>
      <c r="Y2202" s="6">
        <f>1/COUNTIF(Таблица1[Order ID],Таблица1[[#This Row],[Order ID]])</f>
        <v>0.5</v>
      </c>
      <c r="Z2202" s="9">
        <f>1/COUNTIFS(Таблица1[Customer Name],Таблица1[[#This Row],[Customer Name]],Таблица1[Order-Year-Month],Таблица1[[#This Row],[Order-Year-Month]])</f>
        <v>0.5</v>
      </c>
    </row>
    <row r="2203" spans="1:26" x14ac:dyDescent="0.2">
      <c r="A2203" s="6">
        <v>3445</v>
      </c>
      <c r="B2203" s="7">
        <v>24579</v>
      </c>
      <c r="C2203" s="8">
        <f>DATE(2012,12,31)-43</f>
        <v>41231</v>
      </c>
      <c r="D2203" s="8" t="str">
        <f t="shared" si="43"/>
        <v>2012-11 (ноябрь 2012)</v>
      </c>
      <c r="E2203" s="9" t="s">
        <v>30</v>
      </c>
      <c r="F2203" s="7">
        <v>40</v>
      </c>
      <c r="G2203" s="7">
        <v>467.5</v>
      </c>
      <c r="H2203" s="7">
        <v>0.08</v>
      </c>
      <c r="I2203" s="9" t="s">
        <v>22</v>
      </c>
      <c r="J2203" s="10">
        <v>-33.340000000000003</v>
      </c>
      <c r="K2203" s="11">
        <v>11.97</v>
      </c>
      <c r="L2203" s="11">
        <v>4.9800000000000004</v>
      </c>
      <c r="M2203" s="9" t="s">
        <v>1250</v>
      </c>
      <c r="N2203" s="6" t="s">
        <v>1123</v>
      </c>
      <c r="O2203" s="6" t="s">
        <v>1123</v>
      </c>
      <c r="P2203" s="9" t="s">
        <v>25</v>
      </c>
      <c r="Q2203" s="9" t="s">
        <v>26</v>
      </c>
      <c r="R2203" s="9" t="s">
        <v>34</v>
      </c>
      <c r="S2203" s="7" t="s">
        <v>274</v>
      </c>
      <c r="T2203" s="9" t="s">
        <v>39</v>
      </c>
      <c r="U2203" s="7">
        <v>0.57999999999999996</v>
      </c>
      <c r="V2203" s="12">
        <f>C2203+2</f>
        <v>41233</v>
      </c>
      <c r="W2203">
        <f>IF(D2203=' Pivot Tables'!$A$4,1,0)</f>
        <v>0</v>
      </c>
      <c r="X2203">
        <f>IF(AND(LEFT(D2203,4)+1=LEFT(' Pivot Tables'!$A$4,4)+0,RIGHT(LEFT(D2203,7),2)=RIGHT(LEFT(' Pivot Tables'!$A$4,7),2)),1,0)</f>
        <v>0</v>
      </c>
      <c r="Y2203" s="6">
        <f>1/COUNTIF(Таблица1[Order ID],Таблица1[[#This Row],[Order ID]])</f>
        <v>0.5</v>
      </c>
      <c r="Z2203" s="9">
        <f>1/COUNTIFS(Таблица1[Customer Name],Таблица1[[#This Row],[Customer Name]],Таблица1[Order-Year-Month],Таблица1[[#This Row],[Order-Year-Month]])</f>
        <v>0.5</v>
      </c>
    </row>
    <row r="2204" spans="1:26" x14ac:dyDescent="0.2">
      <c r="A2204" s="6">
        <v>3448</v>
      </c>
      <c r="B2204" s="7">
        <v>24581</v>
      </c>
      <c r="C2204" s="8">
        <f>DATE(2012,12,31)-997</f>
        <v>40277</v>
      </c>
      <c r="D2204" s="8" t="str">
        <f t="shared" si="43"/>
        <v>2010-04 (апрель 2010)</v>
      </c>
      <c r="E2204" s="9" t="s">
        <v>30</v>
      </c>
      <c r="F2204" s="7">
        <v>8</v>
      </c>
      <c r="G2204" s="7">
        <v>38.56</v>
      </c>
      <c r="H2204" s="7">
        <v>0.03</v>
      </c>
      <c r="I2204" s="9" t="s">
        <v>22</v>
      </c>
      <c r="J2204" s="10">
        <v>4.08</v>
      </c>
      <c r="K2204" s="11">
        <v>4.55</v>
      </c>
      <c r="L2204" s="11">
        <v>1.49</v>
      </c>
      <c r="M2204" s="9" t="s">
        <v>1295</v>
      </c>
      <c r="N2204" s="6" t="s">
        <v>1123</v>
      </c>
      <c r="O2204" s="6" t="s">
        <v>1123</v>
      </c>
      <c r="P2204" s="9" t="s">
        <v>33</v>
      </c>
      <c r="Q2204" s="9" t="s">
        <v>26</v>
      </c>
      <c r="R2204" s="9" t="s">
        <v>37</v>
      </c>
      <c r="S2204" s="7" t="s">
        <v>522</v>
      </c>
      <c r="T2204" s="9" t="s">
        <v>39</v>
      </c>
      <c r="U2204" s="7">
        <v>0.35</v>
      </c>
      <c r="V2204" s="12">
        <f>C2204+1</f>
        <v>40278</v>
      </c>
      <c r="W2204">
        <f>IF(D2204=' Pivot Tables'!$A$4,1,0)</f>
        <v>0</v>
      </c>
      <c r="X2204">
        <f>IF(AND(LEFT(D2204,4)+1=LEFT(' Pivot Tables'!$A$4,4)+0,RIGHT(LEFT(D2204,7),2)=RIGHT(LEFT(' Pivot Tables'!$A$4,7),2)),1,0)</f>
        <v>0</v>
      </c>
      <c r="Y2204" s="6">
        <f>1/COUNTIF(Таблица1[Order ID],Таблица1[[#This Row],[Order ID]])</f>
        <v>1</v>
      </c>
      <c r="Z2204" s="9">
        <f>1/COUNTIFS(Таблица1[Customer Name],Таблица1[[#This Row],[Customer Name]],Таблица1[Order-Year-Month],Таблица1[[#This Row],[Order-Year-Month]])</f>
        <v>1</v>
      </c>
    </row>
    <row r="2205" spans="1:26" x14ac:dyDescent="0.2">
      <c r="A2205" s="6">
        <v>3473</v>
      </c>
      <c r="B2205" s="7">
        <v>24710</v>
      </c>
      <c r="C2205" s="8">
        <f>DATE(2012,12,31)-823</f>
        <v>40451</v>
      </c>
      <c r="D2205" s="8" t="str">
        <f t="shared" si="43"/>
        <v>2010-09 (сентябрь 2010)</v>
      </c>
      <c r="E2205" s="9" t="s">
        <v>21</v>
      </c>
      <c r="F2205" s="7">
        <v>3</v>
      </c>
      <c r="G2205" s="7">
        <v>22.06</v>
      </c>
      <c r="H2205" s="7">
        <v>0.05</v>
      </c>
      <c r="I2205" s="9" t="s">
        <v>22</v>
      </c>
      <c r="J2205" s="10">
        <v>-15.6</v>
      </c>
      <c r="K2205" s="11">
        <v>4.9800000000000004</v>
      </c>
      <c r="L2205" s="11">
        <v>7.44</v>
      </c>
      <c r="M2205" s="9" t="s">
        <v>1322</v>
      </c>
      <c r="N2205" s="6" t="s">
        <v>1123</v>
      </c>
      <c r="O2205" s="6" t="s">
        <v>1123</v>
      </c>
      <c r="P2205" s="9" t="s">
        <v>33</v>
      </c>
      <c r="Q2205" s="9" t="s">
        <v>26</v>
      </c>
      <c r="R2205" s="9" t="s">
        <v>61</v>
      </c>
      <c r="S2205" s="7" t="s">
        <v>1159</v>
      </c>
      <c r="T2205" s="9" t="s">
        <v>39</v>
      </c>
      <c r="U2205" s="7">
        <v>0.36</v>
      </c>
      <c r="V2205" s="12">
        <f>C2205+4</f>
        <v>40455</v>
      </c>
      <c r="W2205">
        <f>IF(D2205=' Pivot Tables'!$A$4,1,0)</f>
        <v>0</v>
      </c>
      <c r="X2205">
        <f>IF(AND(LEFT(D2205,4)+1=LEFT(' Pivot Tables'!$A$4,4)+0,RIGHT(LEFT(D2205,7),2)=RIGHT(LEFT(' Pivot Tables'!$A$4,7),2)),1,0)</f>
        <v>0</v>
      </c>
      <c r="Y2205" s="6">
        <f>1/COUNTIF(Таблица1[Order ID],Таблица1[[#This Row],[Order ID]])</f>
        <v>1</v>
      </c>
      <c r="Z2205" s="9">
        <f>1/COUNTIFS(Таблица1[Customer Name],Таблица1[[#This Row],[Customer Name]],Таблица1[Order-Year-Month],Таблица1[[#This Row],[Order-Year-Month]])</f>
        <v>1</v>
      </c>
    </row>
    <row r="2206" spans="1:26" x14ac:dyDescent="0.2">
      <c r="A2206" s="6">
        <v>3500</v>
      </c>
      <c r="B2206" s="7">
        <v>24960</v>
      </c>
      <c r="C2206" s="8">
        <f>DATE(2012,12,31)-704</f>
        <v>40570</v>
      </c>
      <c r="D2206" s="8" t="str">
        <f t="shared" si="43"/>
        <v>2011-01 (январь 2011)</v>
      </c>
      <c r="E2206" s="9" t="s">
        <v>30</v>
      </c>
      <c r="F2206" s="7">
        <v>48</v>
      </c>
      <c r="G2206" s="7">
        <v>1760.35</v>
      </c>
      <c r="H2206" s="7">
        <v>0.01</v>
      </c>
      <c r="I2206" s="9" t="s">
        <v>56</v>
      </c>
      <c r="J2206" s="10">
        <v>-17.079999999999998</v>
      </c>
      <c r="K2206" s="11">
        <v>34.979999999999997</v>
      </c>
      <c r="L2206" s="11">
        <v>7.53</v>
      </c>
      <c r="M2206" s="9" t="s">
        <v>1337</v>
      </c>
      <c r="N2206" s="6" t="s">
        <v>1123</v>
      </c>
      <c r="O2206" s="6" t="s">
        <v>1123</v>
      </c>
      <c r="P2206" s="9" t="s">
        <v>25</v>
      </c>
      <c r="Q2206" s="9" t="s">
        <v>42</v>
      </c>
      <c r="R2206" s="9" t="s">
        <v>70</v>
      </c>
      <c r="S2206" s="7" t="s">
        <v>1153</v>
      </c>
      <c r="T2206" s="9" t="s">
        <v>39</v>
      </c>
      <c r="U2206" s="7">
        <v>0.76</v>
      </c>
      <c r="V2206" s="12">
        <f>C2206+1</f>
        <v>40571</v>
      </c>
      <c r="W2206">
        <f>IF(D2206=' Pivot Tables'!$A$4,1,0)</f>
        <v>0</v>
      </c>
      <c r="X2206">
        <f>IF(AND(LEFT(D2206,4)+1=LEFT(' Pivot Tables'!$A$4,4)+0,RIGHT(LEFT(D2206,7),2)=RIGHT(LEFT(' Pivot Tables'!$A$4,7),2)),1,0)</f>
        <v>0</v>
      </c>
      <c r="Y2206" s="6">
        <f>1/COUNTIF(Таблица1[Order ID],Таблица1[[#This Row],[Order ID]])</f>
        <v>0.25</v>
      </c>
      <c r="Z2206" s="9">
        <f>1/COUNTIFS(Таблица1[Customer Name],Таблица1[[#This Row],[Customer Name]],Таблица1[Order-Year-Month],Таблица1[[#This Row],[Order-Year-Month]])</f>
        <v>0.25</v>
      </c>
    </row>
    <row r="2207" spans="1:26" x14ac:dyDescent="0.2">
      <c r="A2207" s="6">
        <v>3501</v>
      </c>
      <c r="B2207" s="7">
        <v>24960</v>
      </c>
      <c r="C2207" s="8">
        <f>DATE(2012,12,31)-704</f>
        <v>40570</v>
      </c>
      <c r="D2207" s="8" t="str">
        <f t="shared" si="43"/>
        <v>2011-01 (январь 2011)</v>
      </c>
      <c r="E2207" s="9" t="s">
        <v>30</v>
      </c>
      <c r="F2207" s="7">
        <v>37</v>
      </c>
      <c r="G2207" s="7">
        <v>1436.94</v>
      </c>
      <c r="H2207" s="7">
        <v>0</v>
      </c>
      <c r="I2207" s="9" t="s">
        <v>22</v>
      </c>
      <c r="J2207" s="10">
        <v>639.66</v>
      </c>
      <c r="K2207" s="11">
        <v>37.94</v>
      </c>
      <c r="L2207" s="11">
        <v>5.08</v>
      </c>
      <c r="M2207" s="9" t="s">
        <v>1337</v>
      </c>
      <c r="N2207" s="6" t="s">
        <v>1123</v>
      </c>
      <c r="O2207" s="6" t="s">
        <v>1123</v>
      </c>
      <c r="P2207" s="9" t="s">
        <v>25</v>
      </c>
      <c r="Q2207" s="9" t="s">
        <v>26</v>
      </c>
      <c r="R2207" s="9" t="s">
        <v>61</v>
      </c>
      <c r="S2207" s="7" t="s">
        <v>684</v>
      </c>
      <c r="T2207" s="9" t="s">
        <v>68</v>
      </c>
      <c r="U2207" s="7">
        <v>0.38</v>
      </c>
      <c r="V2207" s="12">
        <f>C2207+1</f>
        <v>40571</v>
      </c>
      <c r="W2207">
        <f>IF(D2207=' Pivot Tables'!$A$4,1,0)</f>
        <v>0</v>
      </c>
      <c r="X2207">
        <f>IF(AND(LEFT(D2207,4)+1=LEFT(' Pivot Tables'!$A$4,4)+0,RIGHT(LEFT(D2207,7),2)=RIGHT(LEFT(' Pivot Tables'!$A$4,7),2)),1,0)</f>
        <v>0</v>
      </c>
      <c r="Y2207" s="6">
        <f>1/COUNTIF(Таблица1[Order ID],Таблица1[[#This Row],[Order ID]])</f>
        <v>0.25</v>
      </c>
      <c r="Z2207" s="9">
        <f>1/COUNTIFS(Таблица1[Customer Name],Таблица1[[#This Row],[Customer Name]],Таблица1[Order-Year-Month],Таблица1[[#This Row],[Order-Year-Month]])</f>
        <v>0.25</v>
      </c>
    </row>
    <row r="2208" spans="1:26" x14ac:dyDescent="0.2">
      <c r="A2208" s="6">
        <v>3502</v>
      </c>
      <c r="B2208" s="7">
        <v>24960</v>
      </c>
      <c r="C2208" s="8">
        <f>DATE(2012,12,31)-704</f>
        <v>40570</v>
      </c>
      <c r="D2208" s="8" t="str">
        <f t="shared" si="43"/>
        <v>2011-01 (январь 2011)</v>
      </c>
      <c r="E2208" s="9" t="s">
        <v>30</v>
      </c>
      <c r="F2208" s="7">
        <v>18</v>
      </c>
      <c r="G2208" s="7">
        <v>125.8</v>
      </c>
      <c r="H2208" s="7">
        <v>0.03</v>
      </c>
      <c r="I2208" s="9" t="s">
        <v>22</v>
      </c>
      <c r="J2208" s="10">
        <v>-35.979999999999997</v>
      </c>
      <c r="K2208" s="11">
        <v>6.48</v>
      </c>
      <c r="L2208" s="11">
        <v>5.87</v>
      </c>
      <c r="M2208" s="9" t="s">
        <v>1337</v>
      </c>
      <c r="N2208" s="6" t="s">
        <v>1123</v>
      </c>
      <c r="O2208" s="6" t="s">
        <v>1123</v>
      </c>
      <c r="P2208" s="9" t="s">
        <v>25</v>
      </c>
      <c r="Q2208" s="9" t="s">
        <v>26</v>
      </c>
      <c r="R2208" s="9" t="s">
        <v>61</v>
      </c>
      <c r="S2208" s="7" t="s">
        <v>1340</v>
      </c>
      <c r="T2208" s="9" t="s">
        <v>39</v>
      </c>
      <c r="U2208" s="7">
        <v>0.37</v>
      </c>
      <c r="V2208" s="12">
        <f>C2208+2</f>
        <v>40572</v>
      </c>
      <c r="W2208">
        <f>IF(D2208=' Pivot Tables'!$A$4,1,0)</f>
        <v>0</v>
      </c>
      <c r="X2208">
        <f>IF(AND(LEFT(D2208,4)+1=LEFT(' Pivot Tables'!$A$4,4)+0,RIGHT(LEFT(D2208,7),2)=RIGHT(LEFT(' Pivot Tables'!$A$4,7),2)),1,0)</f>
        <v>0</v>
      </c>
      <c r="Y2208" s="6">
        <f>1/COUNTIF(Таблица1[Order ID],Таблица1[[#This Row],[Order ID]])</f>
        <v>0.25</v>
      </c>
      <c r="Z2208" s="9">
        <f>1/COUNTIFS(Таблица1[Customer Name],Таблица1[[#This Row],[Customer Name]],Таблица1[Order-Year-Month],Таблица1[[#This Row],[Order-Year-Month]])</f>
        <v>0.25</v>
      </c>
    </row>
    <row r="2209" spans="1:26" x14ac:dyDescent="0.2">
      <c r="A2209" s="6">
        <v>3503</v>
      </c>
      <c r="B2209" s="7">
        <v>24960</v>
      </c>
      <c r="C2209" s="8">
        <f>DATE(2012,12,31)-704</f>
        <v>40570</v>
      </c>
      <c r="D2209" s="8" t="str">
        <f t="shared" si="43"/>
        <v>2011-01 (январь 2011)</v>
      </c>
      <c r="E2209" s="9" t="s">
        <v>30</v>
      </c>
      <c r="F2209" s="7">
        <v>35</v>
      </c>
      <c r="G2209" s="7">
        <v>5797.68</v>
      </c>
      <c r="H2209" s="7">
        <v>0.04</v>
      </c>
      <c r="I2209" s="9" t="s">
        <v>22</v>
      </c>
      <c r="J2209" s="10">
        <v>1366.569</v>
      </c>
      <c r="K2209" s="11">
        <v>200.99</v>
      </c>
      <c r="L2209" s="11">
        <v>4.2</v>
      </c>
      <c r="M2209" s="9" t="s">
        <v>1337</v>
      </c>
      <c r="N2209" s="6" t="s">
        <v>1123</v>
      </c>
      <c r="O2209" s="6" t="s">
        <v>1123</v>
      </c>
      <c r="P2209" s="9" t="s">
        <v>25</v>
      </c>
      <c r="Q2209" s="9" t="s">
        <v>42</v>
      </c>
      <c r="R2209" s="9" t="s">
        <v>43</v>
      </c>
      <c r="S2209" s="7" t="s">
        <v>457</v>
      </c>
      <c r="T2209" s="9" t="s">
        <v>39</v>
      </c>
      <c r="U2209" s="7">
        <v>0.59</v>
      </c>
      <c r="V2209" s="12">
        <f>C2209+1</f>
        <v>40571</v>
      </c>
      <c r="W2209">
        <f>IF(D2209=' Pivot Tables'!$A$4,1,0)</f>
        <v>0</v>
      </c>
      <c r="X2209">
        <f>IF(AND(LEFT(D2209,4)+1=LEFT(' Pivot Tables'!$A$4,4)+0,RIGHT(LEFT(D2209,7),2)=RIGHT(LEFT(' Pivot Tables'!$A$4,7),2)),1,0)</f>
        <v>0</v>
      </c>
      <c r="Y2209" s="6">
        <f>1/COUNTIF(Таблица1[Order ID],Таблица1[[#This Row],[Order ID]])</f>
        <v>0.25</v>
      </c>
      <c r="Z2209" s="9">
        <f>1/COUNTIFS(Таблица1[Customer Name],Таблица1[[#This Row],[Customer Name]],Таблица1[Order-Year-Month],Таблица1[[#This Row],[Order-Year-Month]])</f>
        <v>0.25</v>
      </c>
    </row>
    <row r="2210" spans="1:26" x14ac:dyDescent="0.2">
      <c r="A2210" s="6">
        <v>3519</v>
      </c>
      <c r="B2210" s="7">
        <v>25061</v>
      </c>
      <c r="C2210" s="8">
        <f>DATE(2012,12,31)-379</f>
        <v>40895</v>
      </c>
      <c r="D2210" s="8" t="str">
        <f t="shared" si="43"/>
        <v>2011-12 (декабрь 2011)</v>
      </c>
      <c r="E2210" s="9" t="s">
        <v>63</v>
      </c>
      <c r="F2210" s="7">
        <v>20</v>
      </c>
      <c r="G2210" s="7">
        <v>941.13</v>
      </c>
      <c r="H2210" s="7">
        <v>0.1</v>
      </c>
      <c r="I2210" s="9" t="s">
        <v>22</v>
      </c>
      <c r="J2210" s="10">
        <v>344.95</v>
      </c>
      <c r="K2210" s="11">
        <v>48.04</v>
      </c>
      <c r="L2210" s="11">
        <v>7.23</v>
      </c>
      <c r="M2210" s="9" t="s">
        <v>671</v>
      </c>
      <c r="N2210" s="6" t="s">
        <v>1123</v>
      </c>
      <c r="O2210" s="6" t="s">
        <v>1123</v>
      </c>
      <c r="P2210" s="9" t="s">
        <v>60</v>
      </c>
      <c r="Q2210" s="9" t="s">
        <v>26</v>
      </c>
      <c r="R2210" s="9" t="s">
        <v>61</v>
      </c>
      <c r="S2210" s="7" t="s">
        <v>527</v>
      </c>
      <c r="T2210" s="9" t="s">
        <v>39</v>
      </c>
      <c r="U2210" s="7">
        <v>0.37</v>
      </c>
      <c r="V2210" s="12">
        <f>C2210+2</f>
        <v>40897</v>
      </c>
      <c r="W2210">
        <f>IF(D2210=' Pivot Tables'!$A$4,1,0)</f>
        <v>0</v>
      </c>
      <c r="X2210">
        <f>IF(AND(LEFT(D2210,4)+1=LEFT(' Pivot Tables'!$A$4,4)+0,RIGHT(LEFT(D2210,7),2)=RIGHT(LEFT(' Pivot Tables'!$A$4,7),2)),1,0)</f>
        <v>0</v>
      </c>
      <c r="Y2210" s="6">
        <f>1/COUNTIF(Таблица1[Order ID],Таблица1[[#This Row],[Order ID]])</f>
        <v>1</v>
      </c>
      <c r="Z2210" s="9">
        <f>1/COUNTIFS(Таблица1[Customer Name],Таблица1[[#This Row],[Customer Name]],Таблица1[Order-Year-Month],Таблица1[[#This Row],[Order-Year-Month]])</f>
        <v>1</v>
      </c>
    </row>
    <row r="2211" spans="1:26" x14ac:dyDescent="0.2">
      <c r="A2211" s="6">
        <v>3527</v>
      </c>
      <c r="B2211" s="7">
        <v>25095</v>
      </c>
      <c r="C2211" s="8">
        <f>DATE(2012,12,31)-706</f>
        <v>40568</v>
      </c>
      <c r="D2211" s="8" t="str">
        <f t="shared" si="43"/>
        <v>2011-01 (январь 2011)</v>
      </c>
      <c r="E2211" s="9" t="s">
        <v>21</v>
      </c>
      <c r="F2211" s="7">
        <v>18</v>
      </c>
      <c r="G2211" s="7">
        <v>693.06</v>
      </c>
      <c r="H2211" s="7">
        <v>0.06</v>
      </c>
      <c r="I2211" s="9" t="s">
        <v>22</v>
      </c>
      <c r="J2211" s="10">
        <v>148.30000000000001</v>
      </c>
      <c r="K2211" s="11">
        <v>39.979999999999997</v>
      </c>
      <c r="L2211" s="11">
        <v>9.83</v>
      </c>
      <c r="M2211" s="9" t="s">
        <v>1341</v>
      </c>
      <c r="N2211" s="6" t="s">
        <v>1123</v>
      </c>
      <c r="O2211" s="6" t="s">
        <v>1123</v>
      </c>
      <c r="P2211" s="9" t="s">
        <v>33</v>
      </c>
      <c r="Q2211" s="9" t="s">
        <v>26</v>
      </c>
      <c r="R2211" s="9" t="s">
        <v>76</v>
      </c>
      <c r="S2211" s="7" t="s">
        <v>1127</v>
      </c>
      <c r="T2211" s="9" t="s">
        <v>39</v>
      </c>
      <c r="U2211" s="7">
        <v>0.4</v>
      </c>
      <c r="V2211" s="12">
        <f>C2211+5</f>
        <v>40573</v>
      </c>
      <c r="W2211">
        <f>IF(D2211=' Pivot Tables'!$A$4,1,0)</f>
        <v>0</v>
      </c>
      <c r="X2211">
        <f>IF(AND(LEFT(D2211,4)+1=LEFT(' Pivot Tables'!$A$4,4)+0,RIGHT(LEFT(D2211,7),2)=RIGHT(LEFT(' Pivot Tables'!$A$4,7),2)),1,0)</f>
        <v>0</v>
      </c>
      <c r="Y2211" s="6">
        <f>1/COUNTIF(Таблица1[Order ID],Таблица1[[#This Row],[Order ID]])</f>
        <v>0.5</v>
      </c>
      <c r="Z2211" s="9">
        <f>1/COUNTIFS(Таблица1[Customer Name],Таблица1[[#This Row],[Customer Name]],Таблица1[Order-Year-Month],Таблица1[[#This Row],[Order-Year-Month]])</f>
        <v>0.5</v>
      </c>
    </row>
    <row r="2212" spans="1:26" x14ac:dyDescent="0.2">
      <c r="A2212" s="6">
        <v>3528</v>
      </c>
      <c r="B2212" s="7">
        <v>25095</v>
      </c>
      <c r="C2212" s="8">
        <f>DATE(2012,12,31)-706</f>
        <v>40568</v>
      </c>
      <c r="D2212" s="8" t="str">
        <f t="shared" si="43"/>
        <v>2011-01 (январь 2011)</v>
      </c>
      <c r="E2212" s="9" t="s">
        <v>21</v>
      </c>
      <c r="F2212" s="7">
        <v>41</v>
      </c>
      <c r="G2212" s="7">
        <v>4475.03</v>
      </c>
      <c r="H2212" s="7">
        <v>0.08</v>
      </c>
      <c r="I2212" s="9" t="s">
        <v>31</v>
      </c>
      <c r="J2212" s="10">
        <v>-167.83169999999998</v>
      </c>
      <c r="K2212" s="11">
        <v>115.99</v>
      </c>
      <c r="L2212" s="11">
        <v>56.14</v>
      </c>
      <c r="M2212" s="9" t="s">
        <v>1341</v>
      </c>
      <c r="N2212" s="6" t="s">
        <v>1123</v>
      </c>
      <c r="O2212" s="6" t="s">
        <v>1123</v>
      </c>
      <c r="P2212" s="9" t="s">
        <v>33</v>
      </c>
      <c r="Q2212" s="9" t="s">
        <v>42</v>
      </c>
      <c r="R2212" s="9" t="s">
        <v>210</v>
      </c>
      <c r="S2212" s="7" t="s">
        <v>482</v>
      </c>
      <c r="T2212" s="9" t="s">
        <v>36</v>
      </c>
      <c r="U2212" s="7">
        <v>0.4</v>
      </c>
      <c r="V2212" s="12">
        <f>C2212+0</f>
        <v>40568</v>
      </c>
      <c r="W2212">
        <f>IF(D2212=' Pivot Tables'!$A$4,1,0)</f>
        <v>0</v>
      </c>
      <c r="X2212">
        <f>IF(AND(LEFT(D2212,4)+1=LEFT(' Pivot Tables'!$A$4,4)+0,RIGHT(LEFT(D2212,7),2)=RIGHT(LEFT(' Pivot Tables'!$A$4,7),2)),1,0)</f>
        <v>0</v>
      </c>
      <c r="Y2212" s="6">
        <f>1/COUNTIF(Таблица1[Order ID],Таблица1[[#This Row],[Order ID]])</f>
        <v>0.5</v>
      </c>
      <c r="Z2212" s="9">
        <f>1/COUNTIFS(Таблица1[Customer Name],Таблица1[[#This Row],[Customer Name]],Таблица1[Order-Year-Month],Таблица1[[#This Row],[Order-Year-Month]])</f>
        <v>0.5</v>
      </c>
    </row>
    <row r="2213" spans="1:26" x14ac:dyDescent="0.2">
      <c r="A2213" s="6">
        <v>3544</v>
      </c>
      <c r="B2213" s="7">
        <v>25254</v>
      </c>
      <c r="C2213" s="8">
        <f>DATE(2012,12,31)-836</f>
        <v>40438</v>
      </c>
      <c r="D2213" s="8" t="str">
        <f t="shared" si="43"/>
        <v>2010-09 (сентябрь 2010)</v>
      </c>
      <c r="E2213" s="9" t="s">
        <v>78</v>
      </c>
      <c r="F2213" s="7">
        <v>35</v>
      </c>
      <c r="G2213" s="7">
        <v>299.68</v>
      </c>
      <c r="H2213" s="7">
        <v>0.06</v>
      </c>
      <c r="I2213" s="9" t="s">
        <v>22</v>
      </c>
      <c r="J2213" s="10">
        <v>-29.359500000000001</v>
      </c>
      <c r="K2213" s="11">
        <v>8.85</v>
      </c>
      <c r="L2213" s="11">
        <v>5.6</v>
      </c>
      <c r="M2213" s="9" t="s">
        <v>1282</v>
      </c>
      <c r="N2213" s="6" t="s">
        <v>1123</v>
      </c>
      <c r="O2213" s="6" t="s">
        <v>1123</v>
      </c>
      <c r="P2213" s="9" t="s">
        <v>25</v>
      </c>
      <c r="Q2213" s="9" t="s">
        <v>26</v>
      </c>
      <c r="R2213" s="9" t="s">
        <v>37</v>
      </c>
      <c r="S2213" s="7" t="s">
        <v>298</v>
      </c>
      <c r="T2213" s="9" t="s">
        <v>39</v>
      </c>
      <c r="U2213" s="7">
        <v>0.36</v>
      </c>
      <c r="V2213" s="12">
        <f>C2213+2</f>
        <v>40440</v>
      </c>
      <c r="W2213">
        <f>IF(D2213=' Pivot Tables'!$A$4,1,0)</f>
        <v>0</v>
      </c>
      <c r="X2213">
        <f>IF(AND(LEFT(D2213,4)+1=LEFT(' Pivot Tables'!$A$4,4)+0,RIGHT(LEFT(D2213,7),2)=RIGHT(LEFT(' Pivot Tables'!$A$4,7),2)),1,0)</f>
        <v>0</v>
      </c>
      <c r="Y2213" s="6">
        <f>1/COUNTIF(Таблица1[Order ID],Таблица1[[#This Row],[Order ID]])</f>
        <v>1</v>
      </c>
      <c r="Z2213" s="9">
        <f>1/COUNTIFS(Таблица1[Customer Name],Таблица1[[#This Row],[Customer Name]],Таблица1[Order-Year-Month],Таблица1[[#This Row],[Order-Year-Month]])</f>
        <v>1</v>
      </c>
    </row>
    <row r="2214" spans="1:26" x14ac:dyDescent="0.2">
      <c r="A2214" s="6">
        <v>3583</v>
      </c>
      <c r="B2214" s="7">
        <v>25542</v>
      </c>
      <c r="C2214" s="8">
        <f>DATE(2012,12,31)-1</f>
        <v>41273</v>
      </c>
      <c r="D2214" s="8" t="str">
        <f t="shared" si="43"/>
        <v>2012-12 (декабрь 2012)</v>
      </c>
      <c r="E2214" s="9" t="s">
        <v>21</v>
      </c>
      <c r="F2214" s="7">
        <v>37</v>
      </c>
      <c r="G2214" s="7">
        <v>257.45999999999998</v>
      </c>
      <c r="H2214" s="7">
        <v>0.09</v>
      </c>
      <c r="I2214" s="9" t="s">
        <v>56</v>
      </c>
      <c r="J2214" s="10">
        <v>-18.66</v>
      </c>
      <c r="K2214" s="11">
        <v>7.28</v>
      </c>
      <c r="L2214" s="11">
        <v>4.2300000000000004</v>
      </c>
      <c r="M2214" s="9" t="s">
        <v>1328</v>
      </c>
      <c r="N2214" s="6" t="s">
        <v>1123</v>
      </c>
      <c r="O2214" s="6" t="s">
        <v>1123</v>
      </c>
      <c r="P2214" s="9" t="s">
        <v>60</v>
      </c>
      <c r="Q2214" s="9" t="s">
        <v>26</v>
      </c>
      <c r="R2214" s="9" t="s">
        <v>61</v>
      </c>
      <c r="S2214" s="7" t="s">
        <v>1342</v>
      </c>
      <c r="T2214" s="9" t="s">
        <v>68</v>
      </c>
      <c r="U2214" s="7">
        <v>0.39</v>
      </c>
      <c r="V2214" s="12">
        <f>C2214+0</f>
        <v>41273</v>
      </c>
      <c r="W2214">
        <f>IF(D2214=' Pivot Tables'!$A$4,1,0)</f>
        <v>0</v>
      </c>
      <c r="X2214">
        <f>IF(AND(LEFT(D2214,4)+1=LEFT(' Pivot Tables'!$A$4,4)+0,RIGHT(LEFT(D2214,7),2)=RIGHT(LEFT(' Pivot Tables'!$A$4,7),2)),1,0)</f>
        <v>0</v>
      </c>
      <c r="Y2214" s="6">
        <f>1/COUNTIF(Таблица1[Order ID],Таблица1[[#This Row],[Order ID]])</f>
        <v>1</v>
      </c>
      <c r="Z2214" s="9">
        <f>1/COUNTIFS(Таблица1[Customer Name],Таблица1[[#This Row],[Customer Name]],Таблица1[Order-Year-Month],Таблица1[[#This Row],[Order-Year-Month]])</f>
        <v>1</v>
      </c>
    </row>
    <row r="2215" spans="1:26" x14ac:dyDescent="0.2">
      <c r="A2215" s="6">
        <v>3584</v>
      </c>
      <c r="B2215" s="7">
        <v>25569</v>
      </c>
      <c r="C2215" s="8">
        <f>DATE(2012,12,31)-175</f>
        <v>41099</v>
      </c>
      <c r="D2215" s="8" t="str">
        <f t="shared" si="43"/>
        <v>2012-07 (июль 2012)</v>
      </c>
      <c r="E2215" s="9" t="s">
        <v>30</v>
      </c>
      <c r="F2215" s="7">
        <v>27</v>
      </c>
      <c r="G2215" s="7">
        <v>311.20999999999998</v>
      </c>
      <c r="H2215" s="7">
        <v>0.09</v>
      </c>
      <c r="I2215" s="9" t="s">
        <v>22</v>
      </c>
      <c r="J2215" s="10">
        <v>-14.03</v>
      </c>
      <c r="K2215" s="11">
        <v>12.28</v>
      </c>
      <c r="L2215" s="11">
        <v>6.47</v>
      </c>
      <c r="M2215" s="9" t="s">
        <v>1272</v>
      </c>
      <c r="N2215" s="6" t="s">
        <v>1123</v>
      </c>
      <c r="O2215" s="6" t="s">
        <v>1123</v>
      </c>
      <c r="P2215" s="9" t="s">
        <v>25</v>
      </c>
      <c r="Q2215" s="9" t="s">
        <v>26</v>
      </c>
      <c r="R2215" s="9" t="s">
        <v>61</v>
      </c>
      <c r="S2215" s="7" t="s">
        <v>131</v>
      </c>
      <c r="T2215" s="9" t="s">
        <v>39</v>
      </c>
      <c r="U2215" s="7">
        <v>0.38</v>
      </c>
      <c r="V2215" s="12">
        <f>C2215+2</f>
        <v>41101</v>
      </c>
      <c r="W2215">
        <f>IF(D2215=' Pivot Tables'!$A$4,1,0)</f>
        <v>0</v>
      </c>
      <c r="X2215">
        <f>IF(AND(LEFT(D2215,4)+1=LEFT(' Pivot Tables'!$A$4,4)+0,RIGHT(LEFT(D2215,7),2)=RIGHT(LEFT(' Pivot Tables'!$A$4,7),2)),1,0)</f>
        <v>0</v>
      </c>
      <c r="Y2215" s="6">
        <f>1/COUNTIF(Таблица1[Order ID],Таблица1[[#This Row],[Order ID]])</f>
        <v>1</v>
      </c>
      <c r="Z2215" s="9">
        <f>1/COUNTIFS(Таблица1[Customer Name],Таблица1[[#This Row],[Customer Name]],Таблица1[Order-Year-Month],Таблица1[[#This Row],[Order-Year-Month]])</f>
        <v>1</v>
      </c>
    </row>
    <row r="2216" spans="1:26" x14ac:dyDescent="0.2">
      <c r="A2216" s="6">
        <v>3624</v>
      </c>
      <c r="B2216" s="7">
        <v>25863</v>
      </c>
      <c r="C2216" s="8">
        <f>DATE(2012,12,31)-619</f>
        <v>40655</v>
      </c>
      <c r="D2216" s="8" t="str">
        <f t="shared" si="43"/>
        <v>2011-04 (апрель 2011)</v>
      </c>
      <c r="E2216" s="9" t="s">
        <v>45</v>
      </c>
      <c r="F2216" s="7">
        <v>18</v>
      </c>
      <c r="G2216" s="7">
        <v>340.68849999999998</v>
      </c>
      <c r="H2216" s="7">
        <v>0</v>
      </c>
      <c r="I2216" s="9" t="s">
        <v>56</v>
      </c>
      <c r="J2216" s="10">
        <v>-10.846</v>
      </c>
      <c r="K2216" s="11">
        <v>20.99</v>
      </c>
      <c r="L2216" s="11">
        <v>4.8099999999999996</v>
      </c>
      <c r="M2216" s="9" t="s">
        <v>1343</v>
      </c>
      <c r="N2216" s="6" t="s">
        <v>1123</v>
      </c>
      <c r="O2216" s="6" t="s">
        <v>1123</v>
      </c>
      <c r="P2216" s="9" t="s">
        <v>41</v>
      </c>
      <c r="Q2216" s="9" t="s">
        <v>42</v>
      </c>
      <c r="R2216" s="9" t="s">
        <v>43</v>
      </c>
      <c r="S2216" s="7" t="s">
        <v>760</v>
      </c>
      <c r="T2216" s="9" t="s">
        <v>48</v>
      </c>
      <c r="U2216" s="7">
        <v>0.57999999999999996</v>
      </c>
      <c r="V2216" s="12">
        <f>C2216+2</f>
        <v>40657</v>
      </c>
      <c r="W2216">
        <f>IF(D2216=' Pivot Tables'!$A$4,1,0)</f>
        <v>0</v>
      </c>
      <c r="X2216">
        <f>IF(AND(LEFT(D2216,4)+1=LEFT(' Pivot Tables'!$A$4,4)+0,RIGHT(LEFT(D2216,7),2)=RIGHT(LEFT(' Pivot Tables'!$A$4,7),2)),1,0)</f>
        <v>0</v>
      </c>
      <c r="Y2216" s="6">
        <f>1/COUNTIF(Таблица1[Order ID],Таблица1[[#This Row],[Order ID]])</f>
        <v>1</v>
      </c>
      <c r="Z2216" s="9">
        <f>1/COUNTIFS(Таблица1[Customer Name],Таблица1[[#This Row],[Customer Name]],Таблица1[Order-Year-Month],Таблица1[[#This Row],[Order-Year-Month]])</f>
        <v>1</v>
      </c>
    </row>
    <row r="2217" spans="1:26" x14ac:dyDescent="0.2">
      <c r="A2217" s="6">
        <v>3626</v>
      </c>
      <c r="B2217" s="7">
        <v>25895</v>
      </c>
      <c r="C2217" s="8">
        <f>DATE(2012,12,31)-258</f>
        <v>41016</v>
      </c>
      <c r="D2217" s="8" t="str">
        <f t="shared" si="43"/>
        <v>2012-04 (апрель 2012)</v>
      </c>
      <c r="E2217" s="9" t="s">
        <v>63</v>
      </c>
      <c r="F2217" s="7">
        <v>37</v>
      </c>
      <c r="G2217" s="7">
        <v>709.91</v>
      </c>
      <c r="H2217" s="7">
        <v>0.09</v>
      </c>
      <c r="I2217" s="9" t="s">
        <v>22</v>
      </c>
      <c r="J2217" s="10">
        <v>-93.425999999999988</v>
      </c>
      <c r="K2217" s="11">
        <v>19.350000000000001</v>
      </c>
      <c r="L2217" s="11">
        <v>12.79</v>
      </c>
      <c r="M2217" s="9" t="s">
        <v>1245</v>
      </c>
      <c r="N2217" s="6" t="s">
        <v>1123</v>
      </c>
      <c r="O2217" s="6" t="s">
        <v>1123</v>
      </c>
      <c r="P2217" s="9" t="s">
        <v>41</v>
      </c>
      <c r="Q2217" s="9" t="s">
        <v>26</v>
      </c>
      <c r="R2217" s="9" t="s">
        <v>37</v>
      </c>
      <c r="S2217" s="7" t="s">
        <v>1344</v>
      </c>
      <c r="T2217" s="9" t="s">
        <v>39</v>
      </c>
      <c r="U2217" s="7">
        <v>0.39</v>
      </c>
      <c r="V2217" s="12">
        <f>C2217+3</f>
        <v>41019</v>
      </c>
      <c r="W2217">
        <f>IF(D2217=' Pivot Tables'!$A$4,1,0)</f>
        <v>0</v>
      </c>
      <c r="X2217">
        <f>IF(AND(LEFT(D2217,4)+1=LEFT(' Pivot Tables'!$A$4,4)+0,RIGHT(LEFT(D2217,7),2)=RIGHT(LEFT(' Pivot Tables'!$A$4,7),2)),1,0)</f>
        <v>0</v>
      </c>
      <c r="Y2217" s="6">
        <f>1/COUNTIF(Таблица1[Order ID],Таблица1[[#This Row],[Order ID]])</f>
        <v>1</v>
      </c>
      <c r="Z2217" s="9">
        <f>1/COUNTIFS(Таблица1[Customer Name],Таблица1[[#This Row],[Customer Name]],Таблица1[Order-Year-Month],Таблица1[[#This Row],[Order-Year-Month]])</f>
        <v>1</v>
      </c>
    </row>
    <row r="2218" spans="1:26" x14ac:dyDescent="0.2">
      <c r="A2218" s="6">
        <v>3642</v>
      </c>
      <c r="B2218" s="7">
        <v>26050</v>
      </c>
      <c r="C2218" s="8">
        <f>DATE(2012,12,31)-564</f>
        <v>40710</v>
      </c>
      <c r="D2218" s="8" t="str">
        <f t="shared" si="43"/>
        <v>2011-06 (июнь 2011)</v>
      </c>
      <c r="E2218" s="9" t="s">
        <v>30</v>
      </c>
      <c r="F2218" s="7">
        <v>44</v>
      </c>
      <c r="G2218" s="7">
        <v>365.24</v>
      </c>
      <c r="H2218" s="7">
        <v>0.09</v>
      </c>
      <c r="I2218" s="9" t="s">
        <v>22</v>
      </c>
      <c r="J2218" s="10">
        <v>-163.13</v>
      </c>
      <c r="K2218" s="11">
        <v>8.74</v>
      </c>
      <c r="L2218" s="11">
        <v>8.2899999999999991</v>
      </c>
      <c r="M2218" s="9" t="s">
        <v>1250</v>
      </c>
      <c r="N2218" s="6" t="s">
        <v>1123</v>
      </c>
      <c r="O2218" s="6" t="s">
        <v>1123</v>
      </c>
      <c r="P2218" s="9" t="s">
        <v>60</v>
      </c>
      <c r="Q2218" s="9" t="s">
        <v>26</v>
      </c>
      <c r="R2218" s="9" t="s">
        <v>76</v>
      </c>
      <c r="S2218" s="7" t="s">
        <v>567</v>
      </c>
      <c r="T2218" s="9" t="s">
        <v>39</v>
      </c>
      <c r="U2218" s="7">
        <v>0.38</v>
      </c>
      <c r="V2218" s="12">
        <f>C2218+1</f>
        <v>40711</v>
      </c>
      <c r="W2218">
        <f>IF(D2218=' Pivot Tables'!$A$4,1,0)</f>
        <v>0</v>
      </c>
      <c r="X2218">
        <f>IF(AND(LEFT(D2218,4)+1=LEFT(' Pivot Tables'!$A$4,4)+0,RIGHT(LEFT(D2218,7),2)=RIGHT(LEFT(' Pivot Tables'!$A$4,7),2)),1,0)</f>
        <v>0</v>
      </c>
      <c r="Y2218" s="6">
        <f>1/COUNTIF(Таблица1[Order ID],Таблица1[[#This Row],[Order ID]])</f>
        <v>1</v>
      </c>
      <c r="Z2218" s="9">
        <f>1/COUNTIFS(Таблица1[Customer Name],Таблица1[[#This Row],[Customer Name]],Таблица1[Order-Year-Month],Таблица1[[#This Row],[Order-Year-Month]])</f>
        <v>1</v>
      </c>
    </row>
    <row r="2219" spans="1:26" x14ac:dyDescent="0.2">
      <c r="A2219" s="6">
        <v>3651</v>
      </c>
      <c r="B2219" s="7">
        <v>26145</v>
      </c>
      <c r="C2219" s="8">
        <f>DATE(2012,12,31)-546</f>
        <v>40728</v>
      </c>
      <c r="D2219" s="8" t="str">
        <f t="shared" si="43"/>
        <v>2011-07 (июль 2011)</v>
      </c>
      <c r="E2219" s="9" t="s">
        <v>21</v>
      </c>
      <c r="F2219" s="7">
        <v>18</v>
      </c>
      <c r="G2219" s="7">
        <v>99.36</v>
      </c>
      <c r="H2219" s="7">
        <v>0</v>
      </c>
      <c r="I2219" s="9" t="s">
        <v>22</v>
      </c>
      <c r="J2219" s="10">
        <v>-51.198</v>
      </c>
      <c r="K2219" s="11">
        <v>4.91</v>
      </c>
      <c r="L2219" s="11">
        <v>5.68</v>
      </c>
      <c r="M2219" s="9" t="s">
        <v>1343</v>
      </c>
      <c r="N2219" s="6" t="s">
        <v>1123</v>
      </c>
      <c r="O2219" s="6" t="s">
        <v>1123</v>
      </c>
      <c r="P2219" s="9" t="s">
        <v>41</v>
      </c>
      <c r="Q2219" s="9" t="s">
        <v>26</v>
      </c>
      <c r="R2219" s="9" t="s">
        <v>37</v>
      </c>
      <c r="S2219" s="7" t="s">
        <v>1345</v>
      </c>
      <c r="T2219" s="9" t="s">
        <v>39</v>
      </c>
      <c r="U2219" s="7">
        <v>0.36</v>
      </c>
      <c r="V2219" s="12">
        <f>C2219+4</f>
        <v>40732</v>
      </c>
      <c r="W2219">
        <f>IF(D2219=' Pivot Tables'!$A$4,1,0)</f>
        <v>0</v>
      </c>
      <c r="X2219">
        <f>IF(AND(LEFT(D2219,4)+1=LEFT(' Pivot Tables'!$A$4,4)+0,RIGHT(LEFT(D2219,7),2)=RIGHT(LEFT(' Pivot Tables'!$A$4,7),2)),1,0)</f>
        <v>0</v>
      </c>
      <c r="Y2219" s="6">
        <f>1/COUNTIF(Таблица1[Order ID],Таблица1[[#This Row],[Order ID]])</f>
        <v>0.33333333333333331</v>
      </c>
      <c r="Z2219" s="9">
        <f>1/COUNTIFS(Таблица1[Customer Name],Таблица1[[#This Row],[Customer Name]],Таблица1[Order-Year-Month],Таблица1[[#This Row],[Order-Year-Month]])</f>
        <v>0.33333333333333331</v>
      </c>
    </row>
    <row r="2220" spans="1:26" x14ac:dyDescent="0.2">
      <c r="A2220" s="6">
        <v>3652</v>
      </c>
      <c r="B2220" s="7">
        <v>26145</v>
      </c>
      <c r="C2220" s="8">
        <f>DATE(2012,12,31)-546</f>
        <v>40728</v>
      </c>
      <c r="D2220" s="8" t="str">
        <f t="shared" si="43"/>
        <v>2011-07 (июль 2011)</v>
      </c>
      <c r="E2220" s="9" t="s">
        <v>21</v>
      </c>
      <c r="F2220" s="7">
        <v>49</v>
      </c>
      <c r="G2220" s="7">
        <v>510.15</v>
      </c>
      <c r="H2220" s="7">
        <v>0.04</v>
      </c>
      <c r="I2220" s="9" t="s">
        <v>22</v>
      </c>
      <c r="J2220" s="10">
        <v>-362.11</v>
      </c>
      <c r="K2220" s="11">
        <v>9.98</v>
      </c>
      <c r="L2220" s="11">
        <v>12.52</v>
      </c>
      <c r="M2220" s="9" t="s">
        <v>1343</v>
      </c>
      <c r="N2220" s="6" t="s">
        <v>1123</v>
      </c>
      <c r="O2220" s="6" t="s">
        <v>1123</v>
      </c>
      <c r="P2220" s="9" t="s">
        <v>41</v>
      </c>
      <c r="Q2220" s="9" t="s">
        <v>49</v>
      </c>
      <c r="R2220" s="9" t="s">
        <v>50</v>
      </c>
      <c r="S2220" s="7" t="s">
        <v>1346</v>
      </c>
      <c r="T2220" s="9" t="s">
        <v>39</v>
      </c>
      <c r="U2220" s="7">
        <v>0.56999999999999995</v>
      </c>
      <c r="V2220" s="12">
        <f>C2220+0</f>
        <v>40728</v>
      </c>
      <c r="W2220">
        <f>IF(D2220=' Pivot Tables'!$A$4,1,0)</f>
        <v>0</v>
      </c>
      <c r="X2220">
        <f>IF(AND(LEFT(D2220,4)+1=LEFT(' Pivot Tables'!$A$4,4)+0,RIGHT(LEFT(D2220,7),2)=RIGHT(LEFT(' Pivot Tables'!$A$4,7),2)),1,0)</f>
        <v>0</v>
      </c>
      <c r="Y2220" s="6">
        <f>1/COUNTIF(Таблица1[Order ID],Таблица1[[#This Row],[Order ID]])</f>
        <v>0.33333333333333331</v>
      </c>
      <c r="Z2220" s="9">
        <f>1/COUNTIFS(Таблица1[Customer Name],Таблица1[[#This Row],[Customer Name]],Таблица1[Order-Year-Month],Таблица1[[#This Row],[Order-Year-Month]])</f>
        <v>0.33333333333333331</v>
      </c>
    </row>
    <row r="2221" spans="1:26" x14ac:dyDescent="0.2">
      <c r="A2221" s="6">
        <v>3653</v>
      </c>
      <c r="B2221" s="7">
        <v>26145</v>
      </c>
      <c r="C2221" s="8">
        <f>DATE(2012,12,31)-546</f>
        <v>40728</v>
      </c>
      <c r="D2221" s="8" t="str">
        <f t="shared" si="43"/>
        <v>2011-07 (июль 2011)</v>
      </c>
      <c r="E2221" s="9" t="s">
        <v>21</v>
      </c>
      <c r="F2221" s="7">
        <v>27</v>
      </c>
      <c r="G2221" s="7">
        <v>735.09</v>
      </c>
      <c r="H2221" s="7">
        <v>0.1</v>
      </c>
      <c r="I2221" s="9" t="s">
        <v>22</v>
      </c>
      <c r="J2221" s="10">
        <v>153.5</v>
      </c>
      <c r="K2221" s="11">
        <v>29.34</v>
      </c>
      <c r="L2221" s="11">
        <v>7.87</v>
      </c>
      <c r="M2221" s="9" t="s">
        <v>1343</v>
      </c>
      <c r="N2221" s="6" t="s">
        <v>1123</v>
      </c>
      <c r="O2221" s="6" t="s">
        <v>1123</v>
      </c>
      <c r="P2221" s="9" t="s">
        <v>41</v>
      </c>
      <c r="Q2221" s="9" t="s">
        <v>49</v>
      </c>
      <c r="R2221" s="9" t="s">
        <v>50</v>
      </c>
      <c r="S2221" s="7" t="s">
        <v>1347</v>
      </c>
      <c r="T2221" s="9" t="s">
        <v>39</v>
      </c>
      <c r="U2221" s="7">
        <v>0.54</v>
      </c>
      <c r="V2221" s="12">
        <f>C2221+2</f>
        <v>40730</v>
      </c>
      <c r="W2221">
        <f>IF(D2221=' Pivot Tables'!$A$4,1,0)</f>
        <v>0</v>
      </c>
      <c r="X2221">
        <f>IF(AND(LEFT(D2221,4)+1=LEFT(' Pivot Tables'!$A$4,4)+0,RIGHT(LEFT(D2221,7),2)=RIGHT(LEFT(' Pivot Tables'!$A$4,7),2)),1,0)</f>
        <v>0</v>
      </c>
      <c r="Y2221" s="6">
        <f>1/COUNTIF(Таблица1[Order ID],Таблица1[[#This Row],[Order ID]])</f>
        <v>0.33333333333333331</v>
      </c>
      <c r="Z2221" s="9">
        <f>1/COUNTIFS(Таблица1[Customer Name],Таблица1[[#This Row],[Customer Name]],Таблица1[Order-Year-Month],Таблица1[[#This Row],[Order-Year-Month]])</f>
        <v>0.33333333333333331</v>
      </c>
    </row>
    <row r="2222" spans="1:26" x14ac:dyDescent="0.2">
      <c r="A2222" s="6">
        <v>3671</v>
      </c>
      <c r="B2222" s="7">
        <v>26279</v>
      </c>
      <c r="C2222" s="8">
        <f>DATE(2012,12,31)-1250</f>
        <v>40024</v>
      </c>
      <c r="D2222" s="8" t="str">
        <f t="shared" si="43"/>
        <v>2009-07 (июль 2009)</v>
      </c>
      <c r="E2222" s="9" t="s">
        <v>45</v>
      </c>
      <c r="F2222" s="7">
        <v>7</v>
      </c>
      <c r="G2222" s="7">
        <v>211.74350000000001</v>
      </c>
      <c r="H2222" s="7">
        <v>0.04</v>
      </c>
      <c r="I2222" s="9" t="s">
        <v>22</v>
      </c>
      <c r="J2222" s="10">
        <v>-33.308</v>
      </c>
      <c r="K2222" s="11">
        <v>35.99</v>
      </c>
      <c r="L2222" s="11">
        <v>1.25</v>
      </c>
      <c r="M2222" s="9" t="s">
        <v>1250</v>
      </c>
      <c r="N2222" s="6" t="s">
        <v>1123</v>
      </c>
      <c r="O2222" s="6" t="s">
        <v>1123</v>
      </c>
      <c r="P2222" s="9" t="s">
        <v>60</v>
      </c>
      <c r="Q2222" s="9" t="s">
        <v>42</v>
      </c>
      <c r="R2222" s="9" t="s">
        <v>43</v>
      </c>
      <c r="S2222" s="7" t="s">
        <v>1218</v>
      </c>
      <c r="T2222" s="9" t="s">
        <v>52</v>
      </c>
      <c r="U2222" s="7">
        <v>0.36</v>
      </c>
      <c r="V2222" s="12">
        <f>C2222+2</f>
        <v>40026</v>
      </c>
      <c r="W2222">
        <f>IF(D2222=' Pivot Tables'!$A$4,1,0)</f>
        <v>0</v>
      </c>
      <c r="X2222">
        <f>IF(AND(LEFT(D2222,4)+1=LEFT(' Pivot Tables'!$A$4,4)+0,RIGHT(LEFT(D2222,7),2)=RIGHT(LEFT(' Pivot Tables'!$A$4,7),2)),1,0)</f>
        <v>0</v>
      </c>
      <c r="Y2222" s="6">
        <f>1/COUNTIF(Таблица1[Order ID],Таблица1[[#This Row],[Order ID]])</f>
        <v>1</v>
      </c>
      <c r="Z2222" s="9">
        <f>1/COUNTIFS(Таблица1[Customer Name],Таблица1[[#This Row],[Customer Name]],Таблица1[Order-Year-Month],Таблица1[[#This Row],[Order-Year-Month]])</f>
        <v>0.33333333333333331</v>
      </c>
    </row>
    <row r="2223" spans="1:26" x14ac:dyDescent="0.2">
      <c r="A2223" s="6">
        <v>3694</v>
      </c>
      <c r="B2223" s="7">
        <v>26406</v>
      </c>
      <c r="C2223" s="8">
        <f>DATE(2012,12,31)-629</f>
        <v>40645</v>
      </c>
      <c r="D2223" s="8" t="str">
        <f t="shared" si="43"/>
        <v>2011-04 (апрель 2011)</v>
      </c>
      <c r="E2223" s="9" t="s">
        <v>45</v>
      </c>
      <c r="F2223" s="7">
        <v>40</v>
      </c>
      <c r="G2223" s="7">
        <v>167.46</v>
      </c>
      <c r="H2223" s="7">
        <v>0.09</v>
      </c>
      <c r="I2223" s="9" t="s">
        <v>22</v>
      </c>
      <c r="J2223" s="10">
        <v>-134.297</v>
      </c>
      <c r="K2223" s="11">
        <v>4.24</v>
      </c>
      <c r="L2223" s="11">
        <v>5.41</v>
      </c>
      <c r="M2223" s="9" t="s">
        <v>1262</v>
      </c>
      <c r="N2223" s="6" t="s">
        <v>1123</v>
      </c>
      <c r="O2223" s="6" t="s">
        <v>1123</v>
      </c>
      <c r="P2223" s="9" t="s">
        <v>60</v>
      </c>
      <c r="Q2223" s="9" t="s">
        <v>26</v>
      </c>
      <c r="R2223" s="9" t="s">
        <v>37</v>
      </c>
      <c r="S2223" s="7" t="s">
        <v>873</v>
      </c>
      <c r="T2223" s="9" t="s">
        <v>39</v>
      </c>
      <c r="U2223" s="7">
        <v>0.35</v>
      </c>
      <c r="V2223" s="12">
        <f>C2223+3</f>
        <v>40648</v>
      </c>
      <c r="W2223">
        <f>IF(D2223=' Pivot Tables'!$A$4,1,0)</f>
        <v>0</v>
      </c>
      <c r="X2223">
        <f>IF(AND(LEFT(D2223,4)+1=LEFT(' Pivot Tables'!$A$4,4)+0,RIGHT(LEFT(D2223,7),2)=RIGHT(LEFT(' Pivot Tables'!$A$4,7),2)),1,0)</f>
        <v>0</v>
      </c>
      <c r="Y2223" s="6">
        <f>1/COUNTIF(Таблица1[Order ID],Таблица1[[#This Row],[Order ID]])</f>
        <v>1</v>
      </c>
      <c r="Z2223" s="9">
        <f>1/COUNTIFS(Таблица1[Customer Name],Таблица1[[#This Row],[Customer Name]],Таблица1[Order-Year-Month],Таблица1[[#This Row],[Order-Year-Month]])</f>
        <v>1</v>
      </c>
    </row>
    <row r="2224" spans="1:26" x14ac:dyDescent="0.2">
      <c r="A2224" s="6">
        <v>3717</v>
      </c>
      <c r="B2224" s="7">
        <v>26535</v>
      </c>
      <c r="C2224" s="8">
        <f>DATE(2012,12,31)-286</f>
        <v>40988</v>
      </c>
      <c r="D2224" s="8" t="str">
        <f t="shared" si="43"/>
        <v>2012-03 (март 2012)</v>
      </c>
      <c r="E2224" s="9" t="s">
        <v>45</v>
      </c>
      <c r="F2224" s="7">
        <v>33</v>
      </c>
      <c r="G2224" s="7">
        <v>141.69999999999999</v>
      </c>
      <c r="H2224" s="7">
        <v>0.02</v>
      </c>
      <c r="I2224" s="9" t="s">
        <v>22</v>
      </c>
      <c r="J2224" s="10">
        <v>-103.21250000000001</v>
      </c>
      <c r="K2224" s="11">
        <v>3.98</v>
      </c>
      <c r="L2224" s="11">
        <v>5.26</v>
      </c>
      <c r="M2224" s="9" t="s">
        <v>1245</v>
      </c>
      <c r="N2224" s="6" t="s">
        <v>1123</v>
      </c>
      <c r="O2224" s="6" t="s">
        <v>1123</v>
      </c>
      <c r="P2224" s="9" t="s">
        <v>41</v>
      </c>
      <c r="Q2224" s="9" t="s">
        <v>26</v>
      </c>
      <c r="R2224" s="9" t="s">
        <v>37</v>
      </c>
      <c r="S2224" s="7" t="s">
        <v>1348</v>
      </c>
      <c r="T2224" s="9" t="s">
        <v>39</v>
      </c>
      <c r="U2224" s="7">
        <v>0.38</v>
      </c>
      <c r="V2224" s="12">
        <f>C2224+2</f>
        <v>40990</v>
      </c>
      <c r="W2224">
        <f>IF(D2224=' Pivot Tables'!$A$4,1,0)</f>
        <v>0</v>
      </c>
      <c r="X2224">
        <f>IF(AND(LEFT(D2224,4)+1=LEFT(' Pivot Tables'!$A$4,4)+0,RIGHT(LEFT(D2224,7),2)=RIGHT(LEFT(' Pivot Tables'!$A$4,7),2)),1,0)</f>
        <v>0</v>
      </c>
      <c r="Y2224" s="6">
        <f>1/COUNTIF(Таблица1[Order ID],Таблица1[[#This Row],[Order ID]])</f>
        <v>1</v>
      </c>
      <c r="Z2224" s="9">
        <f>1/COUNTIFS(Таблица1[Customer Name],Таблица1[[#This Row],[Customer Name]],Таблица1[Order-Year-Month],Таблица1[[#This Row],[Order-Year-Month]])</f>
        <v>0.5</v>
      </c>
    </row>
    <row r="2225" spans="1:26" x14ac:dyDescent="0.2">
      <c r="A2225" s="6">
        <v>3731</v>
      </c>
      <c r="B2225" s="7">
        <v>26661</v>
      </c>
      <c r="C2225" s="8">
        <f>DATE(2012,12,31)-12</f>
        <v>41262</v>
      </c>
      <c r="D2225" s="8" t="str">
        <f t="shared" si="43"/>
        <v>2012-12 (декабрь 2012)</v>
      </c>
      <c r="E2225" s="9" t="s">
        <v>63</v>
      </c>
      <c r="F2225" s="7">
        <v>31</v>
      </c>
      <c r="G2225" s="7">
        <v>1772.2244999999998</v>
      </c>
      <c r="H2225" s="7">
        <v>0.02</v>
      </c>
      <c r="I2225" s="9" t="s">
        <v>22</v>
      </c>
      <c r="J2225" s="10">
        <v>390.86099999999999</v>
      </c>
      <c r="K2225" s="11">
        <v>65.989999999999995</v>
      </c>
      <c r="L2225" s="11">
        <v>4.99</v>
      </c>
      <c r="M2225" s="9" t="s">
        <v>1311</v>
      </c>
      <c r="N2225" s="6" t="s">
        <v>1123</v>
      </c>
      <c r="O2225" s="6" t="s">
        <v>1123</v>
      </c>
      <c r="P2225" s="9" t="s">
        <v>41</v>
      </c>
      <c r="Q2225" s="9" t="s">
        <v>42</v>
      </c>
      <c r="R2225" s="9" t="s">
        <v>43</v>
      </c>
      <c r="S2225" s="7" t="s">
        <v>692</v>
      </c>
      <c r="T2225" s="9" t="s">
        <v>39</v>
      </c>
      <c r="U2225" s="7">
        <v>0.56999999999999995</v>
      </c>
      <c r="V2225" s="12">
        <f>C2225+1</f>
        <v>41263</v>
      </c>
      <c r="W2225">
        <f>IF(D2225=' Pivot Tables'!$A$4,1,0)</f>
        <v>0</v>
      </c>
      <c r="X2225">
        <f>IF(AND(LEFT(D2225,4)+1=LEFT(' Pivot Tables'!$A$4,4)+0,RIGHT(LEFT(D2225,7),2)=RIGHT(LEFT(' Pivot Tables'!$A$4,7),2)),1,0)</f>
        <v>0</v>
      </c>
      <c r="Y2225" s="6">
        <f>1/COUNTIF(Таблица1[Order ID],Таблица1[[#This Row],[Order ID]])</f>
        <v>1</v>
      </c>
      <c r="Z2225" s="9">
        <f>1/COUNTIFS(Таблица1[Customer Name],Таблица1[[#This Row],[Customer Name]],Таблица1[Order-Year-Month],Таблица1[[#This Row],[Order-Year-Month]])</f>
        <v>1</v>
      </c>
    </row>
    <row r="2226" spans="1:26" x14ac:dyDescent="0.2">
      <c r="A2226" s="6">
        <v>3761</v>
      </c>
      <c r="B2226" s="7">
        <v>26855</v>
      </c>
      <c r="C2226" s="8">
        <f>DATE(2012,12,31)-1387</f>
        <v>39887</v>
      </c>
      <c r="D2226" s="8" t="str">
        <f t="shared" si="43"/>
        <v>2009-03 (март 2009)</v>
      </c>
      <c r="E2226" s="9" t="s">
        <v>30</v>
      </c>
      <c r="F2226" s="7">
        <v>13</v>
      </c>
      <c r="G2226" s="7">
        <v>396.04</v>
      </c>
      <c r="H2226" s="7">
        <v>0.08</v>
      </c>
      <c r="I2226" s="9" t="s">
        <v>22</v>
      </c>
      <c r="J2226" s="10">
        <v>230.02</v>
      </c>
      <c r="K2226" s="11">
        <v>30.93</v>
      </c>
      <c r="L2226" s="11">
        <v>3.92</v>
      </c>
      <c r="M2226" s="9" t="s">
        <v>1309</v>
      </c>
      <c r="N2226" s="6" t="s">
        <v>1123</v>
      </c>
      <c r="O2226" s="6" t="s">
        <v>1123</v>
      </c>
      <c r="P2226" s="9" t="s">
        <v>25</v>
      </c>
      <c r="Q2226" s="9" t="s">
        <v>49</v>
      </c>
      <c r="R2226" s="9" t="s">
        <v>50</v>
      </c>
      <c r="S2226" s="7" t="s">
        <v>786</v>
      </c>
      <c r="T2226" s="9" t="s">
        <v>52</v>
      </c>
      <c r="U2226" s="7">
        <v>0.44</v>
      </c>
      <c r="V2226" s="12">
        <f>C2226+1</f>
        <v>39888</v>
      </c>
      <c r="W2226">
        <f>IF(D2226=' Pivot Tables'!$A$4,1,0)</f>
        <v>0</v>
      </c>
      <c r="X2226">
        <f>IF(AND(LEFT(D2226,4)+1=LEFT(' Pivot Tables'!$A$4,4)+0,RIGHT(LEFT(D2226,7),2)=RIGHT(LEFT(' Pivot Tables'!$A$4,7),2)),1,0)</f>
        <v>0</v>
      </c>
      <c r="Y2226" s="6">
        <f>1/COUNTIF(Таблица1[Order ID],Таблица1[[#This Row],[Order ID]])</f>
        <v>1</v>
      </c>
      <c r="Z2226" s="9">
        <f>1/COUNTIFS(Таблица1[Customer Name],Таблица1[[#This Row],[Customer Name]],Таблица1[Order-Year-Month],Таблица1[[#This Row],[Order-Year-Month]])</f>
        <v>1</v>
      </c>
    </row>
    <row r="2227" spans="1:26" x14ac:dyDescent="0.2">
      <c r="A2227" s="6">
        <v>3794</v>
      </c>
      <c r="B2227" s="7">
        <v>27047</v>
      </c>
      <c r="C2227" s="8">
        <f>DATE(2012,12,31)-770</f>
        <v>40504</v>
      </c>
      <c r="D2227" s="8" t="str">
        <f t="shared" si="43"/>
        <v>2010-11 (ноябрь 2010)</v>
      </c>
      <c r="E2227" s="9" t="s">
        <v>30</v>
      </c>
      <c r="F2227" s="7">
        <v>25</v>
      </c>
      <c r="G2227" s="7">
        <v>14240.76</v>
      </c>
      <c r="H2227" s="7">
        <v>0.06</v>
      </c>
      <c r="I2227" s="9" t="s">
        <v>22</v>
      </c>
      <c r="J2227" s="10">
        <v>3128.69</v>
      </c>
      <c r="K2227" s="11">
        <v>599.99</v>
      </c>
      <c r="L2227" s="11">
        <v>24.49</v>
      </c>
      <c r="M2227" s="9" t="s">
        <v>1290</v>
      </c>
      <c r="N2227" s="6" t="s">
        <v>1123</v>
      </c>
      <c r="O2227" s="6" t="s">
        <v>1123</v>
      </c>
      <c r="P2227" s="9" t="s">
        <v>33</v>
      </c>
      <c r="Q2227" s="9" t="s">
        <v>42</v>
      </c>
      <c r="R2227" s="9" t="s">
        <v>99</v>
      </c>
      <c r="S2227" s="7" t="s">
        <v>1349</v>
      </c>
      <c r="T2227" s="9" t="s">
        <v>29</v>
      </c>
      <c r="U2227" s="7">
        <v>0.5</v>
      </c>
      <c r="V2227" s="12">
        <f>C2227+1</f>
        <v>40505</v>
      </c>
      <c r="W2227">
        <f>IF(D2227=' Pivot Tables'!$A$4,1,0)</f>
        <v>0</v>
      </c>
      <c r="X2227">
        <f>IF(AND(LEFT(D2227,4)+1=LEFT(' Pivot Tables'!$A$4,4)+0,RIGHT(LEFT(D2227,7),2)=RIGHT(LEFT(' Pivot Tables'!$A$4,7),2)),1,0)</f>
        <v>0</v>
      </c>
      <c r="Y2227" s="6">
        <f>1/COUNTIF(Таблица1[Order ID],Таблица1[[#This Row],[Order ID]])</f>
        <v>0.5</v>
      </c>
      <c r="Z2227" s="9">
        <f>1/COUNTIFS(Таблица1[Customer Name],Таблица1[[#This Row],[Customer Name]],Таблица1[Order-Year-Month],Таблица1[[#This Row],[Order-Year-Month]])</f>
        <v>0.5</v>
      </c>
    </row>
    <row r="2228" spans="1:26" x14ac:dyDescent="0.2">
      <c r="A2228" s="6">
        <v>3795</v>
      </c>
      <c r="B2228" s="7">
        <v>27047</v>
      </c>
      <c r="C2228" s="8">
        <f>DATE(2012,12,31)-770</f>
        <v>40504</v>
      </c>
      <c r="D2228" s="8" t="str">
        <f t="shared" si="43"/>
        <v>2010-11 (ноябрь 2010)</v>
      </c>
      <c r="E2228" s="9" t="s">
        <v>30</v>
      </c>
      <c r="F2228" s="7">
        <v>38</v>
      </c>
      <c r="G2228" s="7">
        <v>167.41</v>
      </c>
      <c r="H2228" s="7">
        <v>0.05</v>
      </c>
      <c r="I2228" s="9" t="s">
        <v>22</v>
      </c>
      <c r="J2228" s="10">
        <v>-161.57</v>
      </c>
      <c r="K2228" s="11">
        <v>4.28</v>
      </c>
      <c r="L2228" s="11">
        <v>6.72</v>
      </c>
      <c r="M2228" s="9" t="s">
        <v>1290</v>
      </c>
      <c r="N2228" s="6" t="s">
        <v>1123</v>
      </c>
      <c r="O2228" s="6" t="s">
        <v>1123</v>
      </c>
      <c r="P2228" s="9" t="s">
        <v>33</v>
      </c>
      <c r="Q2228" s="9" t="s">
        <v>26</v>
      </c>
      <c r="R2228" s="9" t="s">
        <v>61</v>
      </c>
      <c r="S2228" s="7" t="s">
        <v>1007</v>
      </c>
      <c r="T2228" s="9" t="s">
        <v>39</v>
      </c>
      <c r="U2228" s="7">
        <v>0.4</v>
      </c>
      <c r="V2228" s="12">
        <f>C2228+1</f>
        <v>40505</v>
      </c>
      <c r="W2228">
        <f>IF(D2228=' Pivot Tables'!$A$4,1,0)</f>
        <v>0</v>
      </c>
      <c r="X2228">
        <f>IF(AND(LEFT(D2228,4)+1=LEFT(' Pivot Tables'!$A$4,4)+0,RIGHT(LEFT(D2228,7),2)=RIGHT(LEFT(' Pivot Tables'!$A$4,7),2)),1,0)</f>
        <v>0</v>
      </c>
      <c r="Y2228" s="6">
        <f>1/COUNTIF(Таблица1[Order ID],Таблица1[[#This Row],[Order ID]])</f>
        <v>0.5</v>
      </c>
      <c r="Z2228" s="9">
        <f>1/COUNTIFS(Таблица1[Customer Name],Таблица1[[#This Row],[Customer Name]],Таблица1[Order-Year-Month],Таблица1[[#This Row],[Order-Year-Month]])</f>
        <v>0.5</v>
      </c>
    </row>
    <row r="2229" spans="1:26" x14ac:dyDescent="0.2">
      <c r="A2229" s="6">
        <v>3796</v>
      </c>
      <c r="B2229" s="7">
        <v>27077</v>
      </c>
      <c r="C2229" s="8">
        <f>DATE(2012,12,31)-1022</f>
        <v>40252</v>
      </c>
      <c r="D2229" s="8" t="str">
        <f t="shared" si="43"/>
        <v>2010-03 (март 2010)</v>
      </c>
      <c r="E2229" s="9" t="s">
        <v>78</v>
      </c>
      <c r="F2229" s="7">
        <v>11</v>
      </c>
      <c r="G2229" s="7">
        <v>1612.93</v>
      </c>
      <c r="H2229" s="7">
        <v>0</v>
      </c>
      <c r="I2229" s="9" t="s">
        <v>22</v>
      </c>
      <c r="J2229" s="10">
        <v>321.25</v>
      </c>
      <c r="K2229" s="11">
        <v>140.99</v>
      </c>
      <c r="L2229" s="11">
        <v>13.99</v>
      </c>
      <c r="M2229" s="9" t="s">
        <v>1272</v>
      </c>
      <c r="N2229" s="6" t="s">
        <v>1123</v>
      </c>
      <c r="O2229" s="6" t="s">
        <v>1123</v>
      </c>
      <c r="P2229" s="9" t="s">
        <v>25</v>
      </c>
      <c r="Q2229" s="9" t="s">
        <v>42</v>
      </c>
      <c r="R2229" s="9" t="s">
        <v>210</v>
      </c>
      <c r="S2229" s="7" t="s">
        <v>459</v>
      </c>
      <c r="T2229" s="9" t="s">
        <v>48</v>
      </c>
      <c r="U2229" s="7">
        <v>0.37</v>
      </c>
      <c r="V2229" s="12">
        <f>C2229+2</f>
        <v>40254</v>
      </c>
      <c r="W2229">
        <f>IF(D2229=' Pivot Tables'!$A$4,1,0)</f>
        <v>0</v>
      </c>
      <c r="X2229">
        <f>IF(AND(LEFT(D2229,4)+1=LEFT(' Pivot Tables'!$A$4,4)+0,RIGHT(LEFT(D2229,7),2)=RIGHT(LEFT(' Pivot Tables'!$A$4,7),2)),1,0)</f>
        <v>0</v>
      </c>
      <c r="Y2229" s="6">
        <f>1/COUNTIF(Таблица1[Order ID],Таблица1[[#This Row],[Order ID]])</f>
        <v>1</v>
      </c>
      <c r="Z2229" s="9">
        <f>1/COUNTIFS(Таблица1[Customer Name],Таблица1[[#This Row],[Customer Name]],Таблица1[Order-Year-Month],Таблица1[[#This Row],[Order-Year-Month]])</f>
        <v>1</v>
      </c>
    </row>
    <row r="2230" spans="1:26" x14ac:dyDescent="0.2">
      <c r="A2230" s="6">
        <v>3820</v>
      </c>
      <c r="B2230" s="7">
        <v>27236</v>
      </c>
      <c r="C2230" s="8">
        <f>DATE(2012,12,31)-1035</f>
        <v>40239</v>
      </c>
      <c r="D2230" s="8" t="str">
        <f t="shared" si="43"/>
        <v>2010-03 (март 2010)</v>
      </c>
      <c r="E2230" s="9" t="s">
        <v>30</v>
      </c>
      <c r="F2230" s="7">
        <v>20</v>
      </c>
      <c r="G2230" s="7">
        <v>393.31</v>
      </c>
      <c r="H2230" s="7">
        <v>0.04</v>
      </c>
      <c r="I2230" s="9" t="s">
        <v>22</v>
      </c>
      <c r="J2230" s="10">
        <v>84.3</v>
      </c>
      <c r="K2230" s="11">
        <v>19.98</v>
      </c>
      <c r="L2230" s="11">
        <v>5.86</v>
      </c>
      <c r="M2230" s="9" t="s">
        <v>1257</v>
      </c>
      <c r="N2230" s="6" t="s">
        <v>1123</v>
      </c>
      <c r="O2230" s="6" t="s">
        <v>1123</v>
      </c>
      <c r="P2230" s="9" t="s">
        <v>25</v>
      </c>
      <c r="Q2230" s="9" t="s">
        <v>26</v>
      </c>
      <c r="R2230" s="9" t="s">
        <v>61</v>
      </c>
      <c r="S2230" s="7" t="s">
        <v>1350</v>
      </c>
      <c r="T2230" s="9" t="s">
        <v>39</v>
      </c>
      <c r="U2230" s="7">
        <v>0.38</v>
      </c>
      <c r="V2230" s="12">
        <f>C2230+1</f>
        <v>40240</v>
      </c>
      <c r="W2230">
        <f>IF(D2230=' Pivot Tables'!$A$4,1,0)</f>
        <v>0</v>
      </c>
      <c r="X2230">
        <f>IF(AND(LEFT(D2230,4)+1=LEFT(' Pivot Tables'!$A$4,4)+0,RIGHT(LEFT(D2230,7),2)=RIGHT(LEFT(' Pivot Tables'!$A$4,7),2)),1,0)</f>
        <v>0</v>
      </c>
      <c r="Y2230" s="6">
        <f>1/COUNTIF(Таблица1[Order ID],Таблица1[[#This Row],[Order ID]])</f>
        <v>1</v>
      </c>
      <c r="Z2230" s="9">
        <f>1/COUNTIFS(Таблица1[Customer Name],Таблица1[[#This Row],[Customer Name]],Таблица1[Order-Year-Month],Таблица1[[#This Row],[Order-Year-Month]])</f>
        <v>1</v>
      </c>
    </row>
    <row r="2231" spans="1:26" x14ac:dyDescent="0.2">
      <c r="A2231" s="6">
        <v>3867</v>
      </c>
      <c r="B2231" s="7">
        <v>27589</v>
      </c>
      <c r="C2231" s="8">
        <f>DATE(2012,12,31)-473</f>
        <v>40801</v>
      </c>
      <c r="D2231" s="8" t="str">
        <f t="shared" si="43"/>
        <v>2011-09 (сентябрь 2011)</v>
      </c>
      <c r="E2231" s="9" t="s">
        <v>63</v>
      </c>
      <c r="F2231" s="7">
        <v>20</v>
      </c>
      <c r="G2231" s="7">
        <v>845.7</v>
      </c>
      <c r="H2231" s="7">
        <v>0.02</v>
      </c>
      <c r="I2231" s="9" t="s">
        <v>56</v>
      </c>
      <c r="J2231" s="10">
        <v>221.6</v>
      </c>
      <c r="K2231" s="11">
        <v>39.479999999999997</v>
      </c>
      <c r="L2231" s="11">
        <v>1.99</v>
      </c>
      <c r="M2231" s="9" t="s">
        <v>1278</v>
      </c>
      <c r="N2231" s="6" t="s">
        <v>1123</v>
      </c>
      <c r="O2231" s="6" t="s">
        <v>1123</v>
      </c>
      <c r="P2231" s="9" t="s">
        <v>41</v>
      </c>
      <c r="Q2231" s="9" t="s">
        <v>42</v>
      </c>
      <c r="R2231" s="9" t="s">
        <v>70</v>
      </c>
      <c r="S2231" s="7" t="s">
        <v>161</v>
      </c>
      <c r="T2231" s="9" t="s">
        <v>52</v>
      </c>
      <c r="U2231" s="7">
        <v>0.54</v>
      </c>
      <c r="V2231" s="12">
        <f>C2231+2</f>
        <v>40803</v>
      </c>
      <c r="W2231">
        <f>IF(D2231=' Pivot Tables'!$A$4,1,0)</f>
        <v>0</v>
      </c>
      <c r="X2231">
        <f>IF(AND(LEFT(D2231,4)+1=LEFT(' Pivot Tables'!$A$4,4)+0,RIGHT(LEFT(D2231,7),2)=RIGHT(LEFT(' Pivot Tables'!$A$4,7),2)),1,0)</f>
        <v>0</v>
      </c>
      <c r="Y2231" s="6">
        <f>1/COUNTIF(Таблица1[Order ID],Таблица1[[#This Row],[Order ID]])</f>
        <v>0.33333333333333331</v>
      </c>
      <c r="Z2231" s="9">
        <f>1/COUNTIFS(Таблица1[Customer Name],Таблица1[[#This Row],[Customer Name]],Таблица1[Order-Year-Month],Таблица1[[#This Row],[Order-Year-Month]])</f>
        <v>0.33333333333333331</v>
      </c>
    </row>
    <row r="2232" spans="1:26" x14ac:dyDescent="0.2">
      <c r="A2232" s="6">
        <v>3868</v>
      </c>
      <c r="B2232" s="7">
        <v>27589</v>
      </c>
      <c r="C2232" s="8">
        <f>DATE(2012,12,31)-473</f>
        <v>40801</v>
      </c>
      <c r="D2232" s="8" t="str">
        <f t="shared" si="43"/>
        <v>2011-09 (сентябрь 2011)</v>
      </c>
      <c r="E2232" s="9" t="s">
        <v>63</v>
      </c>
      <c r="F2232" s="7">
        <v>25</v>
      </c>
      <c r="G2232" s="7">
        <v>467</v>
      </c>
      <c r="H2232" s="7">
        <v>0.04</v>
      </c>
      <c r="I2232" s="9" t="s">
        <v>22</v>
      </c>
      <c r="J2232" s="10">
        <v>69.97</v>
      </c>
      <c r="K2232" s="11">
        <v>17.670000000000002</v>
      </c>
      <c r="L2232" s="11">
        <v>8.99</v>
      </c>
      <c r="M2232" s="9" t="s">
        <v>1278</v>
      </c>
      <c r="N2232" s="6" t="s">
        <v>1123</v>
      </c>
      <c r="O2232" s="6" t="s">
        <v>1123</v>
      </c>
      <c r="P2232" s="9" t="s">
        <v>41</v>
      </c>
      <c r="Q2232" s="9" t="s">
        <v>49</v>
      </c>
      <c r="R2232" s="9" t="s">
        <v>50</v>
      </c>
      <c r="S2232" s="7" t="s">
        <v>763</v>
      </c>
      <c r="T2232" s="9" t="s">
        <v>52</v>
      </c>
      <c r="U2232" s="7">
        <v>0.47</v>
      </c>
      <c r="V2232" s="12">
        <f>C2232+1</f>
        <v>40802</v>
      </c>
      <c r="W2232">
        <f>IF(D2232=' Pivot Tables'!$A$4,1,0)</f>
        <v>0</v>
      </c>
      <c r="X2232">
        <f>IF(AND(LEFT(D2232,4)+1=LEFT(' Pivot Tables'!$A$4,4)+0,RIGHT(LEFT(D2232,7),2)=RIGHT(LEFT(' Pivot Tables'!$A$4,7),2)),1,0)</f>
        <v>0</v>
      </c>
      <c r="Y2232" s="6">
        <f>1/COUNTIF(Таблица1[Order ID],Таблица1[[#This Row],[Order ID]])</f>
        <v>0.33333333333333331</v>
      </c>
      <c r="Z2232" s="9">
        <f>1/COUNTIFS(Таблица1[Customer Name],Таблица1[[#This Row],[Customer Name]],Таблица1[Order-Year-Month],Таблица1[[#This Row],[Order-Year-Month]])</f>
        <v>0.33333333333333331</v>
      </c>
    </row>
    <row r="2233" spans="1:26" x14ac:dyDescent="0.2">
      <c r="A2233" s="6">
        <v>3869</v>
      </c>
      <c r="B2233" s="7">
        <v>27589</v>
      </c>
      <c r="C2233" s="8">
        <f>DATE(2012,12,31)-473</f>
        <v>40801</v>
      </c>
      <c r="D2233" s="8" t="str">
        <f t="shared" si="43"/>
        <v>2011-09 (сентябрь 2011)</v>
      </c>
      <c r="E2233" s="9" t="s">
        <v>63</v>
      </c>
      <c r="F2233" s="7">
        <v>36</v>
      </c>
      <c r="G2233" s="7">
        <v>64.430000000000007</v>
      </c>
      <c r="H2233" s="7">
        <v>7.0000000000000007E-2</v>
      </c>
      <c r="I2233" s="9" t="s">
        <v>22</v>
      </c>
      <c r="J2233" s="10">
        <v>-18.640350000000002</v>
      </c>
      <c r="K2233" s="11">
        <v>1.88</v>
      </c>
      <c r="L2233" s="11">
        <v>1.49</v>
      </c>
      <c r="M2233" s="9" t="s">
        <v>1278</v>
      </c>
      <c r="N2233" s="6" t="s">
        <v>1123</v>
      </c>
      <c r="O2233" s="6" t="s">
        <v>1123</v>
      </c>
      <c r="P2233" s="9" t="s">
        <v>41</v>
      </c>
      <c r="Q2233" s="9" t="s">
        <v>49</v>
      </c>
      <c r="R2233" s="9" t="s">
        <v>83</v>
      </c>
      <c r="S2233" s="7" t="s">
        <v>526</v>
      </c>
      <c r="T2233" s="9" t="s">
        <v>82</v>
      </c>
      <c r="U2233" s="7">
        <v>0.66</v>
      </c>
      <c r="V2233" s="12">
        <f>C2233+1</f>
        <v>40802</v>
      </c>
      <c r="W2233">
        <f>IF(D2233=' Pivot Tables'!$A$4,1,0)</f>
        <v>0</v>
      </c>
      <c r="X2233">
        <f>IF(AND(LEFT(D2233,4)+1=LEFT(' Pivot Tables'!$A$4,4)+0,RIGHT(LEFT(D2233,7),2)=RIGHT(LEFT(' Pivot Tables'!$A$4,7),2)),1,0)</f>
        <v>0</v>
      </c>
      <c r="Y2233" s="6">
        <f>1/COUNTIF(Таблица1[Order ID],Таблица1[[#This Row],[Order ID]])</f>
        <v>0.33333333333333331</v>
      </c>
      <c r="Z2233" s="9">
        <f>1/COUNTIFS(Таблица1[Customer Name],Таблица1[[#This Row],[Customer Name]],Таблица1[Order-Year-Month],Таблица1[[#This Row],[Order-Year-Month]])</f>
        <v>0.33333333333333331</v>
      </c>
    </row>
    <row r="2234" spans="1:26" x14ac:dyDescent="0.2">
      <c r="A2234" s="6">
        <v>3875</v>
      </c>
      <c r="B2234" s="7">
        <v>27681</v>
      </c>
      <c r="C2234" s="8">
        <f>DATE(2012,12,31)-768</f>
        <v>40506</v>
      </c>
      <c r="D2234" s="8" t="str">
        <f t="shared" si="43"/>
        <v>2010-11 (ноябрь 2010)</v>
      </c>
      <c r="E2234" s="9" t="s">
        <v>63</v>
      </c>
      <c r="F2234" s="7">
        <v>7</v>
      </c>
      <c r="G2234" s="7">
        <v>37.799999999999997</v>
      </c>
      <c r="H2234" s="7">
        <v>0.06</v>
      </c>
      <c r="I2234" s="9" t="s">
        <v>22</v>
      </c>
      <c r="J2234" s="10">
        <v>-18.309999999999999</v>
      </c>
      <c r="K2234" s="11">
        <v>4.9800000000000004</v>
      </c>
      <c r="L2234" s="11">
        <v>4.7</v>
      </c>
      <c r="M2234" s="9" t="s">
        <v>1296</v>
      </c>
      <c r="N2234" s="6" t="s">
        <v>1123</v>
      </c>
      <c r="O2234" s="6" t="s">
        <v>1123</v>
      </c>
      <c r="P2234" s="9" t="s">
        <v>60</v>
      </c>
      <c r="Q2234" s="9" t="s">
        <v>26</v>
      </c>
      <c r="R2234" s="9" t="s">
        <v>61</v>
      </c>
      <c r="S2234" s="7" t="s">
        <v>937</v>
      </c>
      <c r="T2234" s="9" t="s">
        <v>39</v>
      </c>
      <c r="U2234" s="7">
        <v>0.38</v>
      </c>
      <c r="V2234" s="12">
        <f>C2234+1</f>
        <v>40507</v>
      </c>
      <c r="W2234">
        <f>IF(D2234=' Pivot Tables'!$A$4,1,0)</f>
        <v>0</v>
      </c>
      <c r="X2234">
        <f>IF(AND(LEFT(D2234,4)+1=LEFT(' Pivot Tables'!$A$4,4)+0,RIGHT(LEFT(D2234,7),2)=RIGHT(LEFT(' Pivot Tables'!$A$4,7),2)),1,0)</f>
        <v>0</v>
      </c>
      <c r="Y2234" s="6">
        <f>1/COUNTIF(Таблица1[Order ID],Таблица1[[#This Row],[Order ID]])</f>
        <v>0.5</v>
      </c>
      <c r="Z2234" s="9">
        <f>1/COUNTIFS(Таблица1[Customer Name],Таблица1[[#This Row],[Customer Name]],Таблица1[Order-Year-Month],Таблица1[[#This Row],[Order-Year-Month]])</f>
        <v>0.5</v>
      </c>
    </row>
    <row r="2235" spans="1:26" x14ac:dyDescent="0.2">
      <c r="A2235" s="6">
        <v>3876</v>
      </c>
      <c r="B2235" s="7">
        <v>27681</v>
      </c>
      <c r="C2235" s="8">
        <f>DATE(2012,12,31)-768</f>
        <v>40506</v>
      </c>
      <c r="D2235" s="8" t="str">
        <f t="shared" si="43"/>
        <v>2010-11 (ноябрь 2010)</v>
      </c>
      <c r="E2235" s="9" t="s">
        <v>63</v>
      </c>
      <c r="F2235" s="7">
        <v>30</v>
      </c>
      <c r="G2235" s="7">
        <v>183.28</v>
      </c>
      <c r="H2235" s="7">
        <v>0.04</v>
      </c>
      <c r="I2235" s="9" t="s">
        <v>22</v>
      </c>
      <c r="J2235" s="10">
        <v>33.880000000000003</v>
      </c>
      <c r="K2235" s="11">
        <v>6.08</v>
      </c>
      <c r="L2235" s="11">
        <v>1.17</v>
      </c>
      <c r="M2235" s="9" t="s">
        <v>1296</v>
      </c>
      <c r="N2235" s="6" t="s">
        <v>1123</v>
      </c>
      <c r="O2235" s="6" t="s">
        <v>1123</v>
      </c>
      <c r="P2235" s="9" t="s">
        <v>60</v>
      </c>
      <c r="Q2235" s="9" t="s">
        <v>26</v>
      </c>
      <c r="R2235" s="9" t="s">
        <v>95</v>
      </c>
      <c r="S2235" s="7" t="s">
        <v>103</v>
      </c>
      <c r="T2235" s="9" t="s">
        <v>68</v>
      </c>
      <c r="U2235" s="7">
        <v>0.56000000000000005</v>
      </c>
      <c r="V2235" s="12">
        <f>C2235+2</f>
        <v>40508</v>
      </c>
      <c r="W2235">
        <f>IF(D2235=' Pivot Tables'!$A$4,1,0)</f>
        <v>0</v>
      </c>
      <c r="X2235">
        <f>IF(AND(LEFT(D2235,4)+1=LEFT(' Pivot Tables'!$A$4,4)+0,RIGHT(LEFT(D2235,7),2)=RIGHT(LEFT(' Pivot Tables'!$A$4,7),2)),1,0)</f>
        <v>0</v>
      </c>
      <c r="Y2235" s="6">
        <f>1/COUNTIF(Таблица1[Order ID],Таблица1[[#This Row],[Order ID]])</f>
        <v>0.5</v>
      </c>
      <c r="Z2235" s="9">
        <f>1/COUNTIFS(Таблица1[Customer Name],Таблица1[[#This Row],[Customer Name]],Таблица1[Order-Year-Month],Таблица1[[#This Row],[Order-Year-Month]])</f>
        <v>0.5</v>
      </c>
    </row>
    <row r="2236" spans="1:26" x14ac:dyDescent="0.2">
      <c r="A2236" s="6">
        <v>3933</v>
      </c>
      <c r="B2236" s="7">
        <v>28033</v>
      </c>
      <c r="C2236" s="8">
        <f>DATE(2012,12,31)-839</f>
        <v>40435</v>
      </c>
      <c r="D2236" s="8" t="str">
        <f t="shared" si="43"/>
        <v>2010-09 (сентябрь 2010)</v>
      </c>
      <c r="E2236" s="9" t="s">
        <v>30</v>
      </c>
      <c r="F2236" s="7">
        <v>16</v>
      </c>
      <c r="G2236" s="7">
        <v>2826.9</v>
      </c>
      <c r="H2236" s="7">
        <v>7.0000000000000007E-2</v>
      </c>
      <c r="I2236" s="9" t="s">
        <v>31</v>
      </c>
      <c r="J2236" s="10">
        <v>337.29</v>
      </c>
      <c r="K2236" s="11">
        <v>180.98</v>
      </c>
      <c r="L2236" s="11">
        <v>26.2</v>
      </c>
      <c r="M2236" s="9" t="s">
        <v>1293</v>
      </c>
      <c r="N2236" s="6" t="s">
        <v>1123</v>
      </c>
      <c r="O2236" s="6" t="s">
        <v>1123</v>
      </c>
      <c r="P2236" s="9" t="s">
        <v>41</v>
      </c>
      <c r="Q2236" s="9" t="s">
        <v>49</v>
      </c>
      <c r="R2236" s="9" t="s">
        <v>112</v>
      </c>
      <c r="S2236" s="7" t="s">
        <v>263</v>
      </c>
      <c r="T2236" s="9" t="s">
        <v>36</v>
      </c>
      <c r="U2236" s="7">
        <v>0.59</v>
      </c>
      <c r="V2236" s="12">
        <f>C2236+2</f>
        <v>40437</v>
      </c>
      <c r="W2236">
        <f>IF(D2236=' Pivot Tables'!$A$4,1,0)</f>
        <v>0</v>
      </c>
      <c r="X2236">
        <f>IF(AND(LEFT(D2236,4)+1=LEFT(' Pivot Tables'!$A$4,4)+0,RIGHT(LEFT(D2236,7),2)=RIGHT(LEFT(' Pivot Tables'!$A$4,7),2)),1,0)</f>
        <v>0</v>
      </c>
      <c r="Y2236" s="6">
        <f>1/COUNTIF(Таблица1[Order ID],Таблица1[[#This Row],[Order ID]])</f>
        <v>0.33333333333333331</v>
      </c>
      <c r="Z2236" s="9">
        <f>1/COUNTIFS(Таблица1[Customer Name],Таблица1[[#This Row],[Customer Name]],Таблица1[Order-Year-Month],Таблица1[[#This Row],[Order-Year-Month]])</f>
        <v>0.33333333333333331</v>
      </c>
    </row>
    <row r="2237" spans="1:26" x14ac:dyDescent="0.2">
      <c r="A2237" s="6">
        <v>3934</v>
      </c>
      <c r="B2237" s="7">
        <v>28033</v>
      </c>
      <c r="C2237" s="8">
        <f>DATE(2012,12,31)-839</f>
        <v>40435</v>
      </c>
      <c r="D2237" s="8" t="str">
        <f t="shared" si="43"/>
        <v>2010-09 (сентябрь 2010)</v>
      </c>
      <c r="E2237" s="9" t="s">
        <v>30</v>
      </c>
      <c r="F2237" s="7">
        <v>37</v>
      </c>
      <c r="G2237" s="7">
        <v>7834.77</v>
      </c>
      <c r="H2237" s="7">
        <v>0.04</v>
      </c>
      <c r="I2237" s="9" t="s">
        <v>31</v>
      </c>
      <c r="J2237" s="10">
        <v>297.79000000000002</v>
      </c>
      <c r="K2237" s="11">
        <v>216.6</v>
      </c>
      <c r="L2237" s="11">
        <v>64.2</v>
      </c>
      <c r="M2237" s="9" t="s">
        <v>1293</v>
      </c>
      <c r="N2237" s="6" t="s">
        <v>1123</v>
      </c>
      <c r="O2237" s="6" t="s">
        <v>1123</v>
      </c>
      <c r="P2237" s="9" t="s">
        <v>41</v>
      </c>
      <c r="Q2237" s="9" t="s">
        <v>49</v>
      </c>
      <c r="R2237" s="9" t="s">
        <v>112</v>
      </c>
      <c r="S2237" s="7" t="s">
        <v>313</v>
      </c>
      <c r="T2237" s="9" t="s">
        <v>36</v>
      </c>
      <c r="U2237" s="7">
        <v>0.59</v>
      </c>
      <c r="V2237" s="12">
        <f>C2237+2</f>
        <v>40437</v>
      </c>
      <c r="W2237">
        <f>IF(D2237=' Pivot Tables'!$A$4,1,0)</f>
        <v>0</v>
      </c>
      <c r="X2237">
        <f>IF(AND(LEFT(D2237,4)+1=LEFT(' Pivot Tables'!$A$4,4)+0,RIGHT(LEFT(D2237,7),2)=RIGHT(LEFT(' Pivot Tables'!$A$4,7),2)),1,0)</f>
        <v>0</v>
      </c>
      <c r="Y2237" s="6">
        <f>1/COUNTIF(Таблица1[Order ID],Таблица1[[#This Row],[Order ID]])</f>
        <v>0.33333333333333331</v>
      </c>
      <c r="Z2237" s="9">
        <f>1/COUNTIFS(Таблица1[Customer Name],Таблица1[[#This Row],[Customer Name]],Таблица1[Order-Year-Month],Таблица1[[#This Row],[Order-Year-Month]])</f>
        <v>0.33333333333333331</v>
      </c>
    </row>
    <row r="2238" spans="1:26" x14ac:dyDescent="0.2">
      <c r="A2238" s="6">
        <v>3935</v>
      </c>
      <c r="B2238" s="7">
        <v>28033</v>
      </c>
      <c r="C2238" s="8">
        <f>DATE(2012,12,31)-839</f>
        <v>40435</v>
      </c>
      <c r="D2238" s="8" t="str">
        <f t="shared" si="43"/>
        <v>2010-09 (сентябрь 2010)</v>
      </c>
      <c r="E2238" s="9" t="s">
        <v>30</v>
      </c>
      <c r="F2238" s="7">
        <v>18</v>
      </c>
      <c r="G2238" s="7">
        <v>127.56</v>
      </c>
      <c r="H2238" s="7">
        <v>0.01</v>
      </c>
      <c r="I2238" s="9" t="s">
        <v>22</v>
      </c>
      <c r="J2238" s="10">
        <v>-57.11</v>
      </c>
      <c r="K2238" s="11">
        <v>6.6</v>
      </c>
      <c r="L2238" s="11">
        <v>4.07</v>
      </c>
      <c r="M2238" s="9" t="s">
        <v>1293</v>
      </c>
      <c r="N2238" s="6" t="s">
        <v>1123</v>
      </c>
      <c r="O2238" s="6" t="s">
        <v>1123</v>
      </c>
      <c r="P2238" s="9" t="s">
        <v>41</v>
      </c>
      <c r="Q2238" s="9" t="s">
        <v>42</v>
      </c>
      <c r="R2238" s="9" t="s">
        <v>70</v>
      </c>
      <c r="S2238" s="7" t="s">
        <v>1168</v>
      </c>
      <c r="T2238" s="9" t="s">
        <v>52</v>
      </c>
      <c r="U2238" s="7">
        <v>0.66</v>
      </c>
      <c r="V2238" s="12">
        <f>C2238+3</f>
        <v>40438</v>
      </c>
      <c r="W2238">
        <f>IF(D2238=' Pivot Tables'!$A$4,1,0)</f>
        <v>0</v>
      </c>
      <c r="X2238">
        <f>IF(AND(LEFT(D2238,4)+1=LEFT(' Pivot Tables'!$A$4,4)+0,RIGHT(LEFT(D2238,7),2)=RIGHT(LEFT(' Pivot Tables'!$A$4,7),2)),1,0)</f>
        <v>0</v>
      </c>
      <c r="Y2238" s="6">
        <f>1/COUNTIF(Таблица1[Order ID],Таблица1[[#This Row],[Order ID]])</f>
        <v>0.33333333333333331</v>
      </c>
      <c r="Z2238" s="9">
        <f>1/COUNTIFS(Таблица1[Customer Name],Таблица1[[#This Row],[Customer Name]],Таблица1[Order-Year-Month],Таблица1[[#This Row],[Order-Year-Month]])</f>
        <v>0.33333333333333331</v>
      </c>
    </row>
    <row r="2239" spans="1:26" x14ac:dyDescent="0.2">
      <c r="A2239" s="6">
        <v>3969</v>
      </c>
      <c r="B2239" s="7">
        <v>28324</v>
      </c>
      <c r="C2239" s="8">
        <f>DATE(2012,12,31)-512</f>
        <v>40762</v>
      </c>
      <c r="D2239" s="8" t="str">
        <f t="shared" si="43"/>
        <v>2011-08 (август 2011)</v>
      </c>
      <c r="E2239" s="9" t="s">
        <v>30</v>
      </c>
      <c r="F2239" s="7">
        <v>48</v>
      </c>
      <c r="G2239" s="7">
        <v>385.99</v>
      </c>
      <c r="H2239" s="7">
        <v>0.09</v>
      </c>
      <c r="I2239" s="9" t="s">
        <v>22</v>
      </c>
      <c r="J2239" s="10">
        <v>-40.72</v>
      </c>
      <c r="K2239" s="11">
        <v>8.67</v>
      </c>
      <c r="L2239" s="11">
        <v>3.5</v>
      </c>
      <c r="M2239" s="9" t="s">
        <v>1250</v>
      </c>
      <c r="N2239" s="6" t="s">
        <v>1123</v>
      </c>
      <c r="O2239" s="6" t="s">
        <v>1123</v>
      </c>
      <c r="P2239" s="9" t="s">
        <v>25</v>
      </c>
      <c r="Q2239" s="9" t="s">
        <v>26</v>
      </c>
      <c r="R2239" s="9" t="s">
        <v>34</v>
      </c>
      <c r="S2239" s="7" t="s">
        <v>1128</v>
      </c>
      <c r="T2239" s="9" t="s">
        <v>39</v>
      </c>
      <c r="U2239" s="7">
        <v>0.57999999999999996</v>
      </c>
      <c r="V2239" s="12">
        <f t="shared" ref="V2239:V2244" si="44">C2239+2</f>
        <v>40764</v>
      </c>
      <c r="W2239">
        <f>IF(D2239=' Pivot Tables'!$A$4,1,0)</f>
        <v>0</v>
      </c>
      <c r="X2239">
        <f>IF(AND(LEFT(D2239,4)+1=LEFT(' Pivot Tables'!$A$4,4)+0,RIGHT(LEFT(D2239,7),2)=RIGHT(LEFT(' Pivot Tables'!$A$4,7),2)),1,0)</f>
        <v>0</v>
      </c>
      <c r="Y2239" s="6">
        <f>1/COUNTIF(Таблица1[Order ID],Таблица1[[#This Row],[Order ID]])</f>
        <v>1</v>
      </c>
      <c r="Z2239" s="9">
        <f>1/COUNTIFS(Таблица1[Customer Name],Таблица1[[#This Row],[Customer Name]],Таблица1[Order-Year-Month],Таблица1[[#This Row],[Order-Year-Month]])</f>
        <v>0.33333333333333331</v>
      </c>
    </row>
    <row r="2240" spans="1:26" x14ac:dyDescent="0.2">
      <c r="A2240" s="6">
        <v>4035</v>
      </c>
      <c r="B2240" s="7">
        <v>28805</v>
      </c>
      <c r="C2240" s="8">
        <f>DATE(2012,12,31)-639</f>
        <v>40635</v>
      </c>
      <c r="D2240" s="8" t="str">
        <f t="shared" si="43"/>
        <v>2011-04 (апрель 2011)</v>
      </c>
      <c r="E2240" s="9" t="s">
        <v>63</v>
      </c>
      <c r="F2240" s="7">
        <v>14</v>
      </c>
      <c r="G2240" s="7">
        <v>97.93</v>
      </c>
      <c r="H2240" s="7">
        <v>7.0000000000000007E-2</v>
      </c>
      <c r="I2240" s="9" t="s">
        <v>22</v>
      </c>
      <c r="J2240" s="10">
        <v>-616.80999999999995</v>
      </c>
      <c r="K2240" s="11">
        <v>3.48</v>
      </c>
      <c r="L2240" s="11">
        <v>49</v>
      </c>
      <c r="M2240" s="9" t="s">
        <v>1280</v>
      </c>
      <c r="N2240" s="6" t="s">
        <v>1123</v>
      </c>
      <c r="O2240" s="6" t="s">
        <v>1123</v>
      </c>
      <c r="P2240" s="9" t="s">
        <v>41</v>
      </c>
      <c r="Q2240" s="9" t="s">
        <v>26</v>
      </c>
      <c r="R2240" s="9" t="s">
        <v>34</v>
      </c>
      <c r="S2240" s="7" t="s">
        <v>646</v>
      </c>
      <c r="T2240" s="9" t="s">
        <v>29</v>
      </c>
      <c r="U2240" s="7">
        <v>0.59</v>
      </c>
      <c r="V2240" s="12">
        <f t="shared" si="44"/>
        <v>40637</v>
      </c>
      <c r="W2240">
        <f>IF(D2240=' Pivot Tables'!$A$4,1,0)</f>
        <v>0</v>
      </c>
      <c r="X2240">
        <f>IF(AND(LEFT(D2240,4)+1=LEFT(' Pivot Tables'!$A$4,4)+0,RIGHT(LEFT(D2240,7),2)=RIGHT(LEFT(' Pivot Tables'!$A$4,7),2)),1,0)</f>
        <v>0</v>
      </c>
      <c r="Y2240" s="6">
        <f>1/COUNTIF(Таблица1[Order ID],Таблица1[[#This Row],[Order ID]])</f>
        <v>0.33333333333333331</v>
      </c>
      <c r="Z2240" s="9">
        <f>1/COUNTIFS(Таблица1[Customer Name],Таблица1[[#This Row],[Customer Name]],Таблица1[Order-Year-Month],Таблица1[[#This Row],[Order-Year-Month]])</f>
        <v>0.33333333333333331</v>
      </c>
    </row>
    <row r="2241" spans="1:26" x14ac:dyDescent="0.2">
      <c r="A2241" s="6">
        <v>4036</v>
      </c>
      <c r="B2241" s="7">
        <v>28805</v>
      </c>
      <c r="C2241" s="8">
        <f>DATE(2012,12,31)-639</f>
        <v>40635</v>
      </c>
      <c r="D2241" s="8" t="str">
        <f t="shared" si="43"/>
        <v>2011-04 (апрель 2011)</v>
      </c>
      <c r="E2241" s="9" t="s">
        <v>63</v>
      </c>
      <c r="F2241" s="7">
        <v>4</v>
      </c>
      <c r="G2241" s="7">
        <v>25.52</v>
      </c>
      <c r="H2241" s="7">
        <v>7.0000000000000007E-2</v>
      </c>
      <c r="I2241" s="9" t="s">
        <v>22</v>
      </c>
      <c r="J2241" s="10">
        <v>-1.9895</v>
      </c>
      <c r="K2241" s="11">
        <v>5.98</v>
      </c>
      <c r="L2241" s="11">
        <v>1.49</v>
      </c>
      <c r="M2241" s="9" t="s">
        <v>1280</v>
      </c>
      <c r="N2241" s="6" t="s">
        <v>1123</v>
      </c>
      <c r="O2241" s="6" t="s">
        <v>1123</v>
      </c>
      <c r="P2241" s="9" t="s">
        <v>41</v>
      </c>
      <c r="Q2241" s="9" t="s">
        <v>26</v>
      </c>
      <c r="R2241" s="9" t="s">
        <v>37</v>
      </c>
      <c r="S2241" s="7" t="s">
        <v>1351</v>
      </c>
      <c r="T2241" s="9" t="s">
        <v>39</v>
      </c>
      <c r="U2241" s="7">
        <v>0.39</v>
      </c>
      <c r="V2241" s="12">
        <f t="shared" si="44"/>
        <v>40637</v>
      </c>
      <c r="W2241">
        <f>IF(D2241=' Pivot Tables'!$A$4,1,0)</f>
        <v>0</v>
      </c>
      <c r="X2241">
        <f>IF(AND(LEFT(D2241,4)+1=LEFT(' Pivot Tables'!$A$4,4)+0,RIGHT(LEFT(D2241,7),2)=RIGHT(LEFT(' Pivot Tables'!$A$4,7),2)),1,0)</f>
        <v>0</v>
      </c>
      <c r="Y2241" s="6">
        <f>1/COUNTIF(Таблица1[Order ID],Таблица1[[#This Row],[Order ID]])</f>
        <v>0.33333333333333331</v>
      </c>
      <c r="Z2241" s="9">
        <f>1/COUNTIFS(Таблица1[Customer Name],Таблица1[[#This Row],[Customer Name]],Таблица1[Order-Year-Month],Таблица1[[#This Row],[Order-Year-Month]])</f>
        <v>0.33333333333333331</v>
      </c>
    </row>
    <row r="2242" spans="1:26" x14ac:dyDescent="0.2">
      <c r="A2242" s="6">
        <v>4037</v>
      </c>
      <c r="B2242" s="7">
        <v>28805</v>
      </c>
      <c r="C2242" s="8">
        <f>DATE(2012,12,31)-639</f>
        <v>40635</v>
      </c>
      <c r="D2242" s="8" t="str">
        <f t="shared" si="43"/>
        <v>2011-04 (апрель 2011)</v>
      </c>
      <c r="E2242" s="9" t="s">
        <v>63</v>
      </c>
      <c r="F2242" s="7">
        <v>46</v>
      </c>
      <c r="G2242" s="7">
        <v>487.5</v>
      </c>
      <c r="H2242" s="7">
        <v>0.05</v>
      </c>
      <c r="I2242" s="9" t="s">
        <v>22</v>
      </c>
      <c r="J2242" s="10">
        <v>-25.88</v>
      </c>
      <c r="K2242" s="11">
        <v>10.23</v>
      </c>
      <c r="L2242" s="11">
        <v>4.68</v>
      </c>
      <c r="M2242" s="9" t="s">
        <v>1280</v>
      </c>
      <c r="N2242" s="6" t="s">
        <v>1123</v>
      </c>
      <c r="O2242" s="6" t="s">
        <v>1123</v>
      </c>
      <c r="P2242" s="9" t="s">
        <v>41</v>
      </c>
      <c r="Q2242" s="9" t="s">
        <v>26</v>
      </c>
      <c r="R2242" s="9" t="s">
        <v>150</v>
      </c>
      <c r="S2242" s="7" t="s">
        <v>1054</v>
      </c>
      <c r="T2242" s="9" t="s">
        <v>52</v>
      </c>
      <c r="U2242" s="7">
        <v>0.59</v>
      </c>
      <c r="V2242" s="12">
        <f t="shared" si="44"/>
        <v>40637</v>
      </c>
      <c r="W2242">
        <f>IF(D2242=' Pivot Tables'!$A$4,1,0)</f>
        <v>0</v>
      </c>
      <c r="X2242">
        <f>IF(AND(LEFT(D2242,4)+1=LEFT(' Pivot Tables'!$A$4,4)+0,RIGHT(LEFT(D2242,7),2)=RIGHT(LEFT(' Pivot Tables'!$A$4,7),2)),1,0)</f>
        <v>0</v>
      </c>
      <c r="Y2242" s="6">
        <f>1/COUNTIF(Таблица1[Order ID],Таблица1[[#This Row],[Order ID]])</f>
        <v>0.33333333333333331</v>
      </c>
      <c r="Z2242" s="9">
        <f>1/COUNTIFS(Таблица1[Customer Name],Таблица1[[#This Row],[Customer Name]],Таблица1[Order-Year-Month],Таблица1[[#This Row],[Order-Year-Month]])</f>
        <v>0.33333333333333331</v>
      </c>
    </row>
    <row r="2243" spans="1:26" x14ac:dyDescent="0.2">
      <c r="A2243" s="6">
        <v>4052</v>
      </c>
      <c r="B2243" s="7">
        <v>28897</v>
      </c>
      <c r="C2243" s="8">
        <f>DATE(2012,12,31)-1225</f>
        <v>40049</v>
      </c>
      <c r="D2243" s="8" t="str">
        <f t="shared" ref="D2243:D2306" si="45">TEXT(C2243,"гггг-ММ (ММММ гггг)")</f>
        <v>2009-08 (август 2009)</v>
      </c>
      <c r="E2243" s="9" t="s">
        <v>63</v>
      </c>
      <c r="F2243" s="7">
        <v>35</v>
      </c>
      <c r="G2243" s="7">
        <v>146.15</v>
      </c>
      <c r="H2243" s="7">
        <v>0.02</v>
      </c>
      <c r="I2243" s="9" t="s">
        <v>22</v>
      </c>
      <c r="J2243" s="10">
        <v>-180.26</v>
      </c>
      <c r="K2243" s="11">
        <v>4.0599999999999996</v>
      </c>
      <c r="L2243" s="11">
        <v>6.89</v>
      </c>
      <c r="M2243" s="9" t="s">
        <v>1255</v>
      </c>
      <c r="N2243" s="6" t="s">
        <v>1123</v>
      </c>
      <c r="O2243" s="6" t="s">
        <v>1123</v>
      </c>
      <c r="P2243" s="9" t="s">
        <v>33</v>
      </c>
      <c r="Q2243" s="9" t="s">
        <v>26</v>
      </c>
      <c r="R2243" s="9" t="s">
        <v>34</v>
      </c>
      <c r="S2243" s="7" t="s">
        <v>408</v>
      </c>
      <c r="T2243" s="9" t="s">
        <v>39</v>
      </c>
      <c r="U2243" s="7">
        <v>0.6</v>
      </c>
      <c r="V2243" s="12">
        <f t="shared" si="44"/>
        <v>40051</v>
      </c>
      <c r="W2243">
        <f>IF(D2243=' Pivot Tables'!$A$4,1,0)</f>
        <v>0</v>
      </c>
      <c r="X2243">
        <f>IF(AND(LEFT(D2243,4)+1=LEFT(' Pivot Tables'!$A$4,4)+0,RIGHT(LEFT(D2243,7),2)=RIGHT(LEFT(' Pivot Tables'!$A$4,7),2)),1,0)</f>
        <v>0</v>
      </c>
      <c r="Y2243" s="6">
        <f>1/COUNTIF(Таблица1[Order ID],Таблица1[[#This Row],[Order ID]])</f>
        <v>0.5</v>
      </c>
      <c r="Z2243" s="9">
        <f>1/COUNTIFS(Таблица1[Customer Name],Таблица1[[#This Row],[Customer Name]],Таблица1[Order-Year-Month],Таблица1[[#This Row],[Order-Year-Month]])</f>
        <v>0.5</v>
      </c>
    </row>
    <row r="2244" spans="1:26" x14ac:dyDescent="0.2">
      <c r="A2244" s="6">
        <v>4053</v>
      </c>
      <c r="B2244" s="7">
        <v>28897</v>
      </c>
      <c r="C2244" s="8">
        <f>DATE(2012,12,31)-1225</f>
        <v>40049</v>
      </c>
      <c r="D2244" s="8" t="str">
        <f t="shared" si="45"/>
        <v>2009-08 (август 2009)</v>
      </c>
      <c r="E2244" s="9" t="s">
        <v>63</v>
      </c>
      <c r="F2244" s="7">
        <v>14</v>
      </c>
      <c r="G2244" s="7">
        <v>877.47</v>
      </c>
      <c r="H2244" s="7">
        <v>7.0000000000000007E-2</v>
      </c>
      <c r="I2244" s="9" t="s">
        <v>22</v>
      </c>
      <c r="J2244" s="10">
        <v>151.24</v>
      </c>
      <c r="K2244" s="11">
        <v>60.98</v>
      </c>
      <c r="L2244" s="11">
        <v>19.989999999999998</v>
      </c>
      <c r="M2244" s="9" t="s">
        <v>1255</v>
      </c>
      <c r="N2244" s="6" t="s">
        <v>1123</v>
      </c>
      <c r="O2244" s="6" t="s">
        <v>1123</v>
      </c>
      <c r="P2244" s="9" t="s">
        <v>33</v>
      </c>
      <c r="Q2244" s="9" t="s">
        <v>26</v>
      </c>
      <c r="R2244" s="9" t="s">
        <v>76</v>
      </c>
      <c r="S2244" s="7" t="s">
        <v>769</v>
      </c>
      <c r="T2244" s="9" t="s">
        <v>39</v>
      </c>
      <c r="U2244" s="7">
        <v>0.38</v>
      </c>
      <c r="V2244" s="12">
        <f t="shared" si="44"/>
        <v>40051</v>
      </c>
      <c r="W2244">
        <f>IF(D2244=' Pivot Tables'!$A$4,1,0)</f>
        <v>0</v>
      </c>
      <c r="X2244">
        <f>IF(AND(LEFT(D2244,4)+1=LEFT(' Pivot Tables'!$A$4,4)+0,RIGHT(LEFT(D2244,7),2)=RIGHT(LEFT(' Pivot Tables'!$A$4,7),2)),1,0)</f>
        <v>0</v>
      </c>
      <c r="Y2244" s="6">
        <f>1/COUNTIF(Таблица1[Order ID],Таблица1[[#This Row],[Order ID]])</f>
        <v>0.5</v>
      </c>
      <c r="Z2244" s="9">
        <f>1/COUNTIFS(Таблица1[Customer Name],Таблица1[[#This Row],[Customer Name]],Таблица1[Order-Year-Month],Таблица1[[#This Row],[Order-Year-Month]])</f>
        <v>0.5</v>
      </c>
    </row>
    <row r="2245" spans="1:26" x14ac:dyDescent="0.2">
      <c r="A2245" s="6">
        <v>4062</v>
      </c>
      <c r="B2245" s="7">
        <v>28932</v>
      </c>
      <c r="C2245" s="8">
        <f>DATE(2012,12,31)-894</f>
        <v>40380</v>
      </c>
      <c r="D2245" s="8" t="str">
        <f t="shared" si="45"/>
        <v>2010-07 (июль 2010)</v>
      </c>
      <c r="E2245" s="9" t="s">
        <v>21</v>
      </c>
      <c r="F2245" s="7">
        <v>24</v>
      </c>
      <c r="G2245" s="7">
        <v>269.57</v>
      </c>
      <c r="H2245" s="7">
        <v>0</v>
      </c>
      <c r="I2245" s="9" t="s">
        <v>56</v>
      </c>
      <c r="J2245" s="10">
        <v>33.47</v>
      </c>
      <c r="K2245" s="11">
        <v>10.4</v>
      </c>
      <c r="L2245" s="11">
        <v>5.4</v>
      </c>
      <c r="M2245" s="9" t="s">
        <v>1327</v>
      </c>
      <c r="N2245" s="6" t="s">
        <v>1123</v>
      </c>
      <c r="O2245" s="6" t="s">
        <v>1123</v>
      </c>
      <c r="P2245" s="9" t="s">
        <v>33</v>
      </c>
      <c r="Q2245" s="9" t="s">
        <v>49</v>
      </c>
      <c r="R2245" s="9" t="s">
        <v>50</v>
      </c>
      <c r="S2245" s="7" t="s">
        <v>761</v>
      </c>
      <c r="T2245" s="9" t="s">
        <v>52</v>
      </c>
      <c r="U2245" s="7">
        <v>0.51</v>
      </c>
      <c r="V2245" s="12">
        <f>C2245+0</f>
        <v>40380</v>
      </c>
      <c r="W2245">
        <f>IF(D2245=' Pivot Tables'!$A$4,1,0)</f>
        <v>0</v>
      </c>
      <c r="X2245">
        <f>IF(AND(LEFT(D2245,4)+1=LEFT(' Pivot Tables'!$A$4,4)+0,RIGHT(LEFT(D2245,7),2)=RIGHT(LEFT(' Pivot Tables'!$A$4,7),2)),1,0)</f>
        <v>0</v>
      </c>
      <c r="Y2245" s="6">
        <f>1/COUNTIF(Таблица1[Order ID],Таблица1[[#This Row],[Order ID]])</f>
        <v>0.5</v>
      </c>
      <c r="Z2245" s="9">
        <f>1/COUNTIFS(Таблица1[Customer Name],Таблица1[[#This Row],[Customer Name]],Таблица1[Order-Year-Month],Таблица1[[#This Row],[Order-Year-Month]])</f>
        <v>0.5</v>
      </c>
    </row>
    <row r="2246" spans="1:26" x14ac:dyDescent="0.2">
      <c r="A2246" s="6">
        <v>4063</v>
      </c>
      <c r="B2246" s="7">
        <v>28932</v>
      </c>
      <c r="C2246" s="8">
        <f>DATE(2012,12,31)-894</f>
        <v>40380</v>
      </c>
      <c r="D2246" s="8" t="str">
        <f t="shared" si="45"/>
        <v>2010-07 (июль 2010)</v>
      </c>
      <c r="E2246" s="9" t="s">
        <v>21</v>
      </c>
      <c r="F2246" s="7">
        <v>18</v>
      </c>
      <c r="G2246" s="7">
        <v>98.94</v>
      </c>
      <c r="H2246" s="7">
        <v>0.1</v>
      </c>
      <c r="I2246" s="9" t="s">
        <v>22</v>
      </c>
      <c r="J2246" s="10">
        <v>-12.59</v>
      </c>
      <c r="K2246" s="11">
        <v>5.85</v>
      </c>
      <c r="L2246" s="11">
        <v>2.27</v>
      </c>
      <c r="M2246" s="9" t="s">
        <v>1327</v>
      </c>
      <c r="N2246" s="6" t="s">
        <v>1123</v>
      </c>
      <c r="O2246" s="6" t="s">
        <v>1123</v>
      </c>
      <c r="P2246" s="9" t="s">
        <v>33</v>
      </c>
      <c r="Q2246" s="9" t="s">
        <v>26</v>
      </c>
      <c r="R2246" s="9" t="s">
        <v>95</v>
      </c>
      <c r="S2246" s="7" t="s">
        <v>463</v>
      </c>
      <c r="T2246" s="9" t="s">
        <v>68</v>
      </c>
      <c r="U2246" s="7">
        <v>0.56000000000000005</v>
      </c>
      <c r="V2246" s="12">
        <f>C2246+7</f>
        <v>40387</v>
      </c>
      <c r="W2246">
        <f>IF(D2246=' Pivot Tables'!$A$4,1,0)</f>
        <v>0</v>
      </c>
      <c r="X2246">
        <f>IF(AND(LEFT(D2246,4)+1=LEFT(' Pivot Tables'!$A$4,4)+0,RIGHT(LEFT(D2246,7),2)=RIGHT(LEFT(' Pivot Tables'!$A$4,7),2)),1,0)</f>
        <v>0</v>
      </c>
      <c r="Y2246" s="6">
        <f>1/COUNTIF(Таблица1[Order ID],Таблица1[[#This Row],[Order ID]])</f>
        <v>0.5</v>
      </c>
      <c r="Z2246" s="9">
        <f>1/COUNTIFS(Таблица1[Customer Name],Таблица1[[#This Row],[Customer Name]],Таблица1[Order-Year-Month],Таблица1[[#This Row],[Order-Year-Month]])</f>
        <v>0.5</v>
      </c>
    </row>
    <row r="2247" spans="1:26" x14ac:dyDescent="0.2">
      <c r="A2247" s="6">
        <v>4105</v>
      </c>
      <c r="B2247" s="7">
        <v>29219</v>
      </c>
      <c r="C2247" s="8">
        <f>DATE(2012,12,31)-1361</f>
        <v>39913</v>
      </c>
      <c r="D2247" s="8" t="str">
        <f t="shared" si="45"/>
        <v>2009-04 (апрель 2009)</v>
      </c>
      <c r="E2247" s="9" t="s">
        <v>45</v>
      </c>
      <c r="F2247" s="7">
        <v>29</v>
      </c>
      <c r="G2247" s="7">
        <v>203.4</v>
      </c>
      <c r="H2247" s="7">
        <v>0.04</v>
      </c>
      <c r="I2247" s="9" t="s">
        <v>22</v>
      </c>
      <c r="J2247" s="10">
        <v>24.59</v>
      </c>
      <c r="K2247" s="11">
        <v>7.08</v>
      </c>
      <c r="L2247" s="11">
        <v>2.35</v>
      </c>
      <c r="M2247" s="9" t="s">
        <v>1326</v>
      </c>
      <c r="N2247" s="6" t="s">
        <v>1123</v>
      </c>
      <c r="O2247" s="6" t="s">
        <v>1123</v>
      </c>
      <c r="P2247" s="9" t="s">
        <v>60</v>
      </c>
      <c r="Q2247" s="9" t="s">
        <v>26</v>
      </c>
      <c r="R2247" s="9" t="s">
        <v>95</v>
      </c>
      <c r="S2247" s="7" t="s">
        <v>286</v>
      </c>
      <c r="T2247" s="9" t="s">
        <v>68</v>
      </c>
      <c r="U2247" s="7">
        <v>0.47</v>
      </c>
      <c r="V2247" s="12">
        <f>C2247+1</f>
        <v>39914</v>
      </c>
      <c r="W2247">
        <f>IF(D2247=' Pivot Tables'!$A$4,1,0)</f>
        <v>0</v>
      </c>
      <c r="X2247">
        <f>IF(AND(LEFT(D2247,4)+1=LEFT(' Pivot Tables'!$A$4,4)+0,RIGHT(LEFT(D2247,7),2)=RIGHT(LEFT(' Pivot Tables'!$A$4,7),2)),1,0)</f>
        <v>0</v>
      </c>
      <c r="Y2247" s="6">
        <f>1/COUNTIF(Таблица1[Order ID],Таблица1[[#This Row],[Order ID]])</f>
        <v>1</v>
      </c>
      <c r="Z2247" s="9">
        <f>1/COUNTIFS(Таблица1[Customer Name],Таблица1[[#This Row],[Customer Name]],Таблица1[Order-Year-Month],Таблица1[[#This Row],[Order-Year-Month]])</f>
        <v>1</v>
      </c>
    </row>
    <row r="2248" spans="1:26" x14ac:dyDescent="0.2">
      <c r="A2248" s="6">
        <v>4145</v>
      </c>
      <c r="B2248" s="7">
        <v>29410</v>
      </c>
      <c r="C2248" s="8">
        <f>DATE(2012,12,31)-1201</f>
        <v>40073</v>
      </c>
      <c r="D2248" s="8" t="str">
        <f t="shared" si="45"/>
        <v>2009-09 (сентябрь 2009)</v>
      </c>
      <c r="E2248" s="9" t="s">
        <v>78</v>
      </c>
      <c r="F2248" s="7">
        <v>35</v>
      </c>
      <c r="G2248" s="7">
        <v>4186.53</v>
      </c>
      <c r="H2248" s="7">
        <v>0.04</v>
      </c>
      <c r="I2248" s="9" t="s">
        <v>22</v>
      </c>
      <c r="J2248" s="10">
        <v>1929.58</v>
      </c>
      <c r="K2248" s="11">
        <v>120.97</v>
      </c>
      <c r="L2248" s="11">
        <v>7.11</v>
      </c>
      <c r="M2248" s="9" t="s">
        <v>1324</v>
      </c>
      <c r="N2248" s="6" t="s">
        <v>1123</v>
      </c>
      <c r="O2248" s="6" t="s">
        <v>1123</v>
      </c>
      <c r="P2248" s="9" t="s">
        <v>41</v>
      </c>
      <c r="Q2248" s="9" t="s">
        <v>42</v>
      </c>
      <c r="R2248" s="9" t="s">
        <v>210</v>
      </c>
      <c r="S2248" s="7" t="s">
        <v>211</v>
      </c>
      <c r="T2248" s="9" t="s">
        <v>48</v>
      </c>
      <c r="U2248" s="7">
        <v>0.36</v>
      </c>
      <c r="V2248" s="12">
        <f>C2248+0</f>
        <v>40073</v>
      </c>
      <c r="W2248">
        <f>IF(D2248=' Pivot Tables'!$A$4,1,0)</f>
        <v>0</v>
      </c>
      <c r="X2248">
        <f>IF(AND(LEFT(D2248,4)+1=LEFT(' Pivot Tables'!$A$4,4)+0,RIGHT(LEFT(D2248,7),2)=RIGHT(LEFT(' Pivot Tables'!$A$4,7),2)),1,0)</f>
        <v>0</v>
      </c>
      <c r="Y2248" s="6">
        <f>1/COUNTIF(Таблица1[Order ID],Таблица1[[#This Row],[Order ID]])</f>
        <v>0.5</v>
      </c>
      <c r="Z2248" s="9">
        <f>1/COUNTIFS(Таблица1[Customer Name],Таблица1[[#This Row],[Customer Name]],Таблица1[Order-Year-Month],Таблица1[[#This Row],[Order-Year-Month]])</f>
        <v>0.25</v>
      </c>
    </row>
    <row r="2249" spans="1:26" x14ac:dyDescent="0.2">
      <c r="A2249" s="6">
        <v>4146</v>
      </c>
      <c r="B2249" s="7">
        <v>29410</v>
      </c>
      <c r="C2249" s="8">
        <f>DATE(2012,12,31)-1201</f>
        <v>40073</v>
      </c>
      <c r="D2249" s="8" t="str">
        <f t="shared" si="45"/>
        <v>2009-09 (сентябрь 2009)</v>
      </c>
      <c r="E2249" s="9" t="s">
        <v>78</v>
      </c>
      <c r="F2249" s="7">
        <v>36</v>
      </c>
      <c r="G2249" s="7">
        <v>6057.27</v>
      </c>
      <c r="H2249" s="7">
        <v>0</v>
      </c>
      <c r="I2249" s="9" t="s">
        <v>22</v>
      </c>
      <c r="J2249" s="10">
        <v>1585.5030000000002</v>
      </c>
      <c r="K2249" s="11">
        <v>195.99</v>
      </c>
      <c r="L2249" s="11">
        <v>4.2</v>
      </c>
      <c r="M2249" s="9" t="s">
        <v>1324</v>
      </c>
      <c r="N2249" s="6" t="s">
        <v>1123</v>
      </c>
      <c r="O2249" s="6" t="s">
        <v>1123</v>
      </c>
      <c r="P2249" s="9" t="s">
        <v>41</v>
      </c>
      <c r="Q2249" s="9" t="s">
        <v>42</v>
      </c>
      <c r="R2249" s="9" t="s">
        <v>43</v>
      </c>
      <c r="S2249" s="7" t="s">
        <v>615</v>
      </c>
      <c r="T2249" s="9" t="s">
        <v>39</v>
      </c>
      <c r="U2249" s="7">
        <v>0.6</v>
      </c>
      <c r="V2249" s="12">
        <f>C2249+2</f>
        <v>40075</v>
      </c>
      <c r="W2249">
        <f>IF(D2249=' Pivot Tables'!$A$4,1,0)</f>
        <v>0</v>
      </c>
      <c r="X2249">
        <f>IF(AND(LEFT(D2249,4)+1=LEFT(' Pivot Tables'!$A$4,4)+0,RIGHT(LEFT(D2249,7),2)=RIGHT(LEFT(' Pivot Tables'!$A$4,7),2)),1,0)</f>
        <v>0</v>
      </c>
      <c r="Y2249" s="6">
        <f>1/COUNTIF(Таблица1[Order ID],Таблица1[[#This Row],[Order ID]])</f>
        <v>0.5</v>
      </c>
      <c r="Z2249" s="9">
        <f>1/COUNTIFS(Таблица1[Customer Name],Таблица1[[#This Row],[Customer Name]],Таблица1[Order-Year-Month],Таблица1[[#This Row],[Order-Year-Month]])</f>
        <v>0.25</v>
      </c>
    </row>
    <row r="2250" spans="1:26" x14ac:dyDescent="0.2">
      <c r="A2250" s="6">
        <v>4147</v>
      </c>
      <c r="B2250" s="7">
        <v>29411</v>
      </c>
      <c r="C2250" s="8">
        <f>DATE(2012,12,31)-269</f>
        <v>41005</v>
      </c>
      <c r="D2250" s="8" t="str">
        <f t="shared" si="45"/>
        <v>2012-04 (апрель 2012)</v>
      </c>
      <c r="E2250" s="9" t="s">
        <v>30</v>
      </c>
      <c r="F2250" s="7">
        <v>29</v>
      </c>
      <c r="G2250" s="7">
        <v>67.87</v>
      </c>
      <c r="H2250" s="7">
        <v>7.0000000000000007E-2</v>
      </c>
      <c r="I2250" s="9" t="s">
        <v>22</v>
      </c>
      <c r="J2250" s="10">
        <v>-112.54</v>
      </c>
      <c r="K2250" s="11">
        <v>2.2200000000000002</v>
      </c>
      <c r="L2250" s="11">
        <v>5</v>
      </c>
      <c r="M2250" s="9" t="s">
        <v>1309</v>
      </c>
      <c r="N2250" s="6" t="s">
        <v>1123</v>
      </c>
      <c r="O2250" s="6" t="s">
        <v>1123</v>
      </c>
      <c r="P2250" s="9" t="s">
        <v>41</v>
      </c>
      <c r="Q2250" s="9" t="s">
        <v>26</v>
      </c>
      <c r="R2250" s="9" t="s">
        <v>34</v>
      </c>
      <c r="S2250" s="7" t="s">
        <v>1352</v>
      </c>
      <c r="T2250" s="9" t="s">
        <v>39</v>
      </c>
      <c r="U2250" s="7">
        <v>0.55000000000000004</v>
      </c>
      <c r="V2250" s="12">
        <f>C2250+1</f>
        <v>41006</v>
      </c>
      <c r="W2250">
        <f>IF(D2250=' Pivot Tables'!$A$4,1,0)</f>
        <v>0</v>
      </c>
      <c r="X2250">
        <f>IF(AND(LEFT(D2250,4)+1=LEFT(' Pivot Tables'!$A$4,4)+0,RIGHT(LEFT(D2250,7),2)=RIGHT(LEFT(' Pivot Tables'!$A$4,7),2)),1,0)</f>
        <v>0</v>
      </c>
      <c r="Y2250" s="6">
        <f>1/COUNTIF(Таблица1[Order ID],Таблица1[[#This Row],[Order ID]])</f>
        <v>0.25</v>
      </c>
      <c r="Z2250" s="9">
        <f>1/COUNTIFS(Таблица1[Customer Name],Таблица1[[#This Row],[Customer Name]],Таблица1[Order-Year-Month],Таблица1[[#This Row],[Order-Year-Month]])</f>
        <v>0.25</v>
      </c>
    </row>
    <row r="2251" spans="1:26" x14ac:dyDescent="0.2">
      <c r="A2251" s="6">
        <v>4148</v>
      </c>
      <c r="B2251" s="7">
        <v>29411</v>
      </c>
      <c r="C2251" s="8">
        <f>DATE(2012,12,31)-269</f>
        <v>41005</v>
      </c>
      <c r="D2251" s="8" t="str">
        <f t="shared" si="45"/>
        <v>2012-04 (апрель 2012)</v>
      </c>
      <c r="E2251" s="9" t="s">
        <v>30</v>
      </c>
      <c r="F2251" s="7">
        <v>33</v>
      </c>
      <c r="G2251" s="7">
        <v>542.24</v>
      </c>
      <c r="H2251" s="7">
        <v>0.02</v>
      </c>
      <c r="I2251" s="9" t="s">
        <v>22</v>
      </c>
      <c r="J2251" s="10">
        <v>268.52999999999997</v>
      </c>
      <c r="K2251" s="11">
        <v>15.67</v>
      </c>
      <c r="L2251" s="11">
        <v>1.39</v>
      </c>
      <c r="M2251" s="9" t="s">
        <v>1309</v>
      </c>
      <c r="N2251" s="6" t="s">
        <v>1123</v>
      </c>
      <c r="O2251" s="6" t="s">
        <v>1123</v>
      </c>
      <c r="P2251" s="9" t="s">
        <v>41</v>
      </c>
      <c r="Q2251" s="9" t="s">
        <v>26</v>
      </c>
      <c r="R2251" s="9" t="s">
        <v>76</v>
      </c>
      <c r="S2251" s="7" t="s">
        <v>165</v>
      </c>
      <c r="T2251" s="9" t="s">
        <v>39</v>
      </c>
      <c r="U2251" s="7">
        <v>0.38</v>
      </c>
      <c r="V2251" s="12">
        <f>C2251+1</f>
        <v>41006</v>
      </c>
      <c r="W2251">
        <f>IF(D2251=' Pivot Tables'!$A$4,1,0)</f>
        <v>0</v>
      </c>
      <c r="X2251">
        <f>IF(AND(LEFT(D2251,4)+1=LEFT(' Pivot Tables'!$A$4,4)+0,RIGHT(LEFT(D2251,7),2)=RIGHT(LEFT(' Pivot Tables'!$A$4,7),2)),1,0)</f>
        <v>0</v>
      </c>
      <c r="Y2251" s="6">
        <f>1/COUNTIF(Таблица1[Order ID],Таблица1[[#This Row],[Order ID]])</f>
        <v>0.25</v>
      </c>
      <c r="Z2251" s="9">
        <f>1/COUNTIFS(Таблица1[Customer Name],Таблица1[[#This Row],[Customer Name]],Таблица1[Order-Year-Month],Таблица1[[#This Row],[Order-Year-Month]])</f>
        <v>0.25</v>
      </c>
    </row>
    <row r="2252" spans="1:26" x14ac:dyDescent="0.2">
      <c r="A2252" s="6">
        <v>4149</v>
      </c>
      <c r="B2252" s="7">
        <v>29411</v>
      </c>
      <c r="C2252" s="8">
        <f>DATE(2012,12,31)-269</f>
        <v>41005</v>
      </c>
      <c r="D2252" s="8" t="str">
        <f t="shared" si="45"/>
        <v>2012-04 (апрель 2012)</v>
      </c>
      <c r="E2252" s="9" t="s">
        <v>30</v>
      </c>
      <c r="F2252" s="7">
        <v>38</v>
      </c>
      <c r="G2252" s="7">
        <v>15174.95</v>
      </c>
      <c r="H2252" s="7">
        <v>0.02</v>
      </c>
      <c r="I2252" s="9" t="s">
        <v>31</v>
      </c>
      <c r="J2252" s="10">
        <v>7251.92</v>
      </c>
      <c r="K2252" s="11">
        <v>400.97</v>
      </c>
      <c r="L2252" s="11">
        <v>48.26</v>
      </c>
      <c r="M2252" s="9" t="s">
        <v>1309</v>
      </c>
      <c r="N2252" s="6" t="s">
        <v>1123</v>
      </c>
      <c r="O2252" s="6" t="s">
        <v>1123</v>
      </c>
      <c r="P2252" s="9" t="s">
        <v>41</v>
      </c>
      <c r="Q2252" s="9" t="s">
        <v>42</v>
      </c>
      <c r="R2252" s="9" t="s">
        <v>210</v>
      </c>
      <c r="S2252" s="7" t="s">
        <v>966</v>
      </c>
      <c r="T2252" s="9" t="s">
        <v>82</v>
      </c>
      <c r="U2252" s="7">
        <v>0.36</v>
      </c>
      <c r="V2252" s="12">
        <f>C2252+0</f>
        <v>41005</v>
      </c>
      <c r="W2252">
        <f>IF(D2252=' Pivot Tables'!$A$4,1,0)</f>
        <v>0</v>
      </c>
      <c r="X2252">
        <f>IF(AND(LEFT(D2252,4)+1=LEFT(' Pivot Tables'!$A$4,4)+0,RIGHT(LEFT(D2252,7),2)=RIGHT(LEFT(' Pivot Tables'!$A$4,7),2)),1,0)</f>
        <v>0</v>
      </c>
      <c r="Y2252" s="6">
        <f>1/COUNTIF(Таблица1[Order ID],Таблица1[[#This Row],[Order ID]])</f>
        <v>0.25</v>
      </c>
      <c r="Z2252" s="9">
        <f>1/COUNTIFS(Таблица1[Customer Name],Таблица1[[#This Row],[Customer Name]],Таблица1[Order-Year-Month],Таблица1[[#This Row],[Order-Year-Month]])</f>
        <v>0.25</v>
      </c>
    </row>
    <row r="2253" spans="1:26" x14ac:dyDescent="0.2">
      <c r="A2253" s="6">
        <v>4150</v>
      </c>
      <c r="B2253" s="7">
        <v>29411</v>
      </c>
      <c r="C2253" s="8">
        <f>DATE(2012,12,31)-269</f>
        <v>41005</v>
      </c>
      <c r="D2253" s="8" t="str">
        <f t="shared" si="45"/>
        <v>2012-04 (апрель 2012)</v>
      </c>
      <c r="E2253" s="9" t="s">
        <v>30</v>
      </c>
      <c r="F2253" s="7">
        <v>45</v>
      </c>
      <c r="G2253" s="7">
        <v>1084.1199999999999</v>
      </c>
      <c r="H2253" s="7">
        <v>0.04</v>
      </c>
      <c r="I2253" s="9" t="s">
        <v>22</v>
      </c>
      <c r="J2253" s="10">
        <v>294.43</v>
      </c>
      <c r="K2253" s="11">
        <v>23.99</v>
      </c>
      <c r="L2253" s="11">
        <v>6.3</v>
      </c>
      <c r="M2253" s="9" t="s">
        <v>1309</v>
      </c>
      <c r="N2253" s="6" t="s">
        <v>1123</v>
      </c>
      <c r="O2253" s="6" t="s">
        <v>1123</v>
      </c>
      <c r="P2253" s="9" t="s">
        <v>41</v>
      </c>
      <c r="Q2253" s="9" t="s">
        <v>42</v>
      </c>
      <c r="R2253" s="9" t="s">
        <v>210</v>
      </c>
      <c r="S2253" s="7" t="s">
        <v>595</v>
      </c>
      <c r="T2253" s="9" t="s">
        <v>48</v>
      </c>
      <c r="U2253" s="7">
        <v>0.38</v>
      </c>
      <c r="V2253" s="12">
        <f>C2253+0</f>
        <v>41005</v>
      </c>
      <c r="W2253">
        <f>IF(D2253=' Pivot Tables'!$A$4,1,0)</f>
        <v>0</v>
      </c>
      <c r="X2253">
        <f>IF(AND(LEFT(D2253,4)+1=LEFT(' Pivot Tables'!$A$4,4)+0,RIGHT(LEFT(D2253,7),2)=RIGHT(LEFT(' Pivot Tables'!$A$4,7),2)),1,0)</f>
        <v>0</v>
      </c>
      <c r="Y2253" s="6">
        <f>1/COUNTIF(Таблица1[Order ID],Таблица1[[#This Row],[Order ID]])</f>
        <v>0.25</v>
      </c>
      <c r="Z2253" s="9">
        <f>1/COUNTIFS(Таблица1[Customer Name],Таблица1[[#This Row],[Customer Name]],Таблица1[Order-Year-Month],Таблица1[[#This Row],[Order-Year-Month]])</f>
        <v>0.25</v>
      </c>
    </row>
    <row r="2254" spans="1:26" x14ac:dyDescent="0.2">
      <c r="A2254" s="6">
        <v>4154</v>
      </c>
      <c r="B2254" s="7">
        <v>29475</v>
      </c>
      <c r="C2254" s="8">
        <f>DATE(2012,12,31)-1043</f>
        <v>40231</v>
      </c>
      <c r="D2254" s="8" t="str">
        <f t="shared" si="45"/>
        <v>2010-02 (февраль 2010)</v>
      </c>
      <c r="E2254" s="9" t="s">
        <v>30</v>
      </c>
      <c r="F2254" s="7">
        <v>49</v>
      </c>
      <c r="G2254" s="7">
        <v>235.12</v>
      </c>
      <c r="H2254" s="7">
        <v>0.09</v>
      </c>
      <c r="I2254" s="9" t="s">
        <v>22</v>
      </c>
      <c r="J2254" s="10">
        <v>-29.62</v>
      </c>
      <c r="K2254" s="11">
        <v>4.91</v>
      </c>
      <c r="L2254" s="11">
        <v>3.05</v>
      </c>
      <c r="M2254" s="9" t="s">
        <v>1263</v>
      </c>
      <c r="N2254" s="6" t="s">
        <v>1123</v>
      </c>
      <c r="O2254" s="6" t="s">
        <v>1123</v>
      </c>
      <c r="P2254" s="9" t="s">
        <v>60</v>
      </c>
      <c r="Q2254" s="9" t="s">
        <v>49</v>
      </c>
      <c r="R2254" s="9" t="s">
        <v>50</v>
      </c>
      <c r="S2254" s="7" t="s">
        <v>1353</v>
      </c>
      <c r="T2254" s="9" t="s">
        <v>52</v>
      </c>
      <c r="U2254" s="7">
        <v>0.52</v>
      </c>
      <c r="V2254" s="12">
        <f>C2254+2</f>
        <v>40233</v>
      </c>
      <c r="W2254">
        <f>IF(D2254=' Pivot Tables'!$A$4,1,0)</f>
        <v>0</v>
      </c>
      <c r="X2254">
        <f>IF(AND(LEFT(D2254,4)+1=LEFT(' Pivot Tables'!$A$4,4)+0,RIGHT(LEFT(D2254,7),2)=RIGHT(LEFT(' Pivot Tables'!$A$4,7),2)),1,0)</f>
        <v>0</v>
      </c>
      <c r="Y2254" s="6">
        <f>1/COUNTIF(Таблица1[Order ID],Таблица1[[#This Row],[Order ID]])</f>
        <v>0.5</v>
      </c>
      <c r="Z2254" s="9">
        <f>1/COUNTIFS(Таблица1[Customer Name],Таблица1[[#This Row],[Customer Name]],Таблица1[Order-Year-Month],Таблица1[[#This Row],[Order-Year-Month]])</f>
        <v>0.5</v>
      </c>
    </row>
    <row r="2255" spans="1:26" x14ac:dyDescent="0.2">
      <c r="A2255" s="6">
        <v>4155</v>
      </c>
      <c r="B2255" s="7">
        <v>29475</v>
      </c>
      <c r="C2255" s="8">
        <f>DATE(2012,12,31)-1043</f>
        <v>40231</v>
      </c>
      <c r="D2255" s="8" t="str">
        <f t="shared" si="45"/>
        <v>2010-02 (февраль 2010)</v>
      </c>
      <c r="E2255" s="9" t="s">
        <v>30</v>
      </c>
      <c r="F2255" s="7">
        <v>2</v>
      </c>
      <c r="G2255" s="7">
        <v>1814.82</v>
      </c>
      <c r="H2255" s="7">
        <v>0</v>
      </c>
      <c r="I2255" s="9" t="s">
        <v>31</v>
      </c>
      <c r="J2255" s="10">
        <v>-1128.6600000000001</v>
      </c>
      <c r="K2255" s="11">
        <v>880.98</v>
      </c>
      <c r="L2255" s="11">
        <v>44.55</v>
      </c>
      <c r="M2255" s="9" t="s">
        <v>1263</v>
      </c>
      <c r="N2255" s="6" t="s">
        <v>1123</v>
      </c>
      <c r="O2255" s="6" t="s">
        <v>1123</v>
      </c>
      <c r="P2255" s="9" t="s">
        <v>60</v>
      </c>
      <c r="Q2255" s="9" t="s">
        <v>49</v>
      </c>
      <c r="R2255" s="9" t="s">
        <v>80</v>
      </c>
      <c r="S2255" s="7" t="s">
        <v>301</v>
      </c>
      <c r="T2255" s="9" t="s">
        <v>82</v>
      </c>
      <c r="U2255" s="7">
        <v>0.62</v>
      </c>
      <c r="V2255" s="12">
        <f>C2255+3</f>
        <v>40234</v>
      </c>
      <c r="W2255">
        <f>IF(D2255=' Pivot Tables'!$A$4,1,0)</f>
        <v>0</v>
      </c>
      <c r="X2255">
        <f>IF(AND(LEFT(D2255,4)+1=LEFT(' Pivot Tables'!$A$4,4)+0,RIGHT(LEFT(D2255,7),2)=RIGHT(LEFT(' Pivot Tables'!$A$4,7),2)),1,0)</f>
        <v>0</v>
      </c>
      <c r="Y2255" s="6">
        <f>1/COUNTIF(Таблица1[Order ID],Таблица1[[#This Row],[Order ID]])</f>
        <v>0.5</v>
      </c>
      <c r="Z2255" s="9">
        <f>1/COUNTIFS(Таблица1[Customer Name],Таблица1[[#This Row],[Customer Name]],Таблица1[Order-Year-Month],Таблица1[[#This Row],[Order-Year-Month]])</f>
        <v>0.5</v>
      </c>
    </row>
    <row r="2256" spans="1:26" x14ac:dyDescent="0.2">
      <c r="A2256" s="6">
        <v>4168</v>
      </c>
      <c r="B2256" s="7">
        <v>29537</v>
      </c>
      <c r="C2256" s="8">
        <f>DATE(2012,12,31)-103</f>
        <v>41171</v>
      </c>
      <c r="D2256" s="8" t="str">
        <f t="shared" si="45"/>
        <v>2012-09 (сентябрь 2012)</v>
      </c>
      <c r="E2256" s="9" t="s">
        <v>21</v>
      </c>
      <c r="F2256" s="7">
        <v>30</v>
      </c>
      <c r="G2256" s="7">
        <v>318.56</v>
      </c>
      <c r="H2256" s="7">
        <v>0.08</v>
      </c>
      <c r="I2256" s="9" t="s">
        <v>56</v>
      </c>
      <c r="J2256" s="10">
        <v>-30.97</v>
      </c>
      <c r="K2256" s="11">
        <v>10.89</v>
      </c>
      <c r="L2256" s="11">
        <v>4.5</v>
      </c>
      <c r="M2256" s="9" t="s">
        <v>1354</v>
      </c>
      <c r="N2256" s="6" t="s">
        <v>1123</v>
      </c>
      <c r="O2256" s="6" t="s">
        <v>1123</v>
      </c>
      <c r="P2256" s="9" t="s">
        <v>60</v>
      </c>
      <c r="Q2256" s="9" t="s">
        <v>26</v>
      </c>
      <c r="R2256" s="9" t="s">
        <v>34</v>
      </c>
      <c r="S2256" s="7" t="s">
        <v>345</v>
      </c>
      <c r="T2256" s="9" t="s">
        <v>39</v>
      </c>
      <c r="U2256" s="7">
        <v>0.59</v>
      </c>
      <c r="V2256" s="12">
        <f>C2256+9</f>
        <v>41180</v>
      </c>
      <c r="W2256">
        <f>IF(D2256=' Pivot Tables'!$A$4,1,0)</f>
        <v>0</v>
      </c>
      <c r="X2256">
        <f>IF(AND(LEFT(D2256,4)+1=LEFT(' Pivot Tables'!$A$4,4)+0,RIGHT(LEFT(D2256,7),2)=RIGHT(LEFT(' Pivot Tables'!$A$4,7),2)),1,0)</f>
        <v>0</v>
      </c>
      <c r="Y2256" s="6">
        <f>1/COUNTIF(Таблица1[Order ID],Таблица1[[#This Row],[Order ID]])</f>
        <v>1</v>
      </c>
      <c r="Z2256" s="9">
        <f>1/COUNTIFS(Таблица1[Customer Name],Таблица1[[#This Row],[Customer Name]],Таблица1[Order-Year-Month],Таблица1[[#This Row],[Order-Year-Month]])</f>
        <v>1</v>
      </c>
    </row>
    <row r="2257" spans="1:26" x14ac:dyDescent="0.2">
      <c r="A2257" s="6">
        <v>4181</v>
      </c>
      <c r="B2257" s="7">
        <v>29671</v>
      </c>
      <c r="C2257" s="8">
        <f>DATE(2012,12,31)-1015</f>
        <v>40259</v>
      </c>
      <c r="D2257" s="8" t="str">
        <f t="shared" si="45"/>
        <v>2010-03 (март 2010)</v>
      </c>
      <c r="E2257" s="9" t="s">
        <v>78</v>
      </c>
      <c r="F2257" s="7">
        <v>43</v>
      </c>
      <c r="G2257" s="7">
        <v>1511.7</v>
      </c>
      <c r="H2257" s="7">
        <v>0.02</v>
      </c>
      <c r="I2257" s="9" t="s">
        <v>22</v>
      </c>
      <c r="J2257" s="10">
        <v>221.63</v>
      </c>
      <c r="K2257" s="11">
        <v>34.99</v>
      </c>
      <c r="L2257" s="11">
        <v>7.73</v>
      </c>
      <c r="M2257" s="9" t="s">
        <v>1248</v>
      </c>
      <c r="N2257" s="6" t="s">
        <v>1123</v>
      </c>
      <c r="O2257" s="6" t="s">
        <v>1123</v>
      </c>
      <c r="P2257" s="9" t="s">
        <v>33</v>
      </c>
      <c r="Q2257" s="9" t="s">
        <v>26</v>
      </c>
      <c r="R2257" s="9" t="s">
        <v>95</v>
      </c>
      <c r="S2257" s="7" t="s">
        <v>1355</v>
      </c>
      <c r="T2257" s="9" t="s">
        <v>39</v>
      </c>
      <c r="U2257" s="7">
        <v>0.59</v>
      </c>
      <c r="V2257" s="12">
        <f>C2257+1</f>
        <v>40260</v>
      </c>
      <c r="W2257">
        <f>IF(D2257=' Pivot Tables'!$A$4,1,0)</f>
        <v>0</v>
      </c>
      <c r="X2257">
        <f>IF(AND(LEFT(D2257,4)+1=LEFT(' Pivot Tables'!$A$4,4)+0,RIGHT(LEFT(D2257,7),2)=RIGHT(LEFT(' Pivot Tables'!$A$4,7),2)),1,0)</f>
        <v>0</v>
      </c>
      <c r="Y2257" s="6">
        <f>1/COUNTIF(Таблица1[Order ID],Таблица1[[#This Row],[Order ID]])</f>
        <v>1</v>
      </c>
      <c r="Z2257" s="9">
        <f>1/COUNTIFS(Таблица1[Customer Name],Таблица1[[#This Row],[Customer Name]],Таблица1[Order-Year-Month],Таблица1[[#This Row],[Order-Year-Month]])</f>
        <v>1</v>
      </c>
    </row>
    <row r="2258" spans="1:26" x14ac:dyDescent="0.2">
      <c r="A2258" s="6">
        <v>4208</v>
      </c>
      <c r="B2258" s="7">
        <v>29895</v>
      </c>
      <c r="C2258" s="8">
        <f>DATE(2012,12,31)-803</f>
        <v>40471</v>
      </c>
      <c r="D2258" s="8" t="str">
        <f t="shared" si="45"/>
        <v>2010-10 (октябрь 2010)</v>
      </c>
      <c r="E2258" s="9" t="s">
        <v>63</v>
      </c>
      <c r="F2258" s="7">
        <v>43</v>
      </c>
      <c r="G2258" s="7">
        <v>7286.65</v>
      </c>
      <c r="H2258" s="7">
        <v>0.03</v>
      </c>
      <c r="I2258" s="9" t="s">
        <v>31</v>
      </c>
      <c r="J2258" s="10">
        <v>474.89</v>
      </c>
      <c r="K2258" s="11">
        <v>160.97999999999999</v>
      </c>
      <c r="L2258" s="11">
        <v>35.020000000000003</v>
      </c>
      <c r="M2258" s="9" t="s">
        <v>1304</v>
      </c>
      <c r="N2258" s="6" t="s">
        <v>1123</v>
      </c>
      <c r="O2258" s="6" t="s">
        <v>1123</v>
      </c>
      <c r="P2258" s="9" t="s">
        <v>60</v>
      </c>
      <c r="Q2258" s="9" t="s">
        <v>49</v>
      </c>
      <c r="R2258" s="9" t="s">
        <v>80</v>
      </c>
      <c r="S2258" s="7" t="s">
        <v>367</v>
      </c>
      <c r="T2258" s="9" t="s">
        <v>82</v>
      </c>
      <c r="U2258" s="7">
        <v>0.72</v>
      </c>
      <c r="V2258" s="12">
        <f>C2258+1</f>
        <v>40472</v>
      </c>
      <c r="W2258">
        <f>IF(D2258=' Pivot Tables'!$A$4,1,0)</f>
        <v>0</v>
      </c>
      <c r="X2258">
        <f>IF(AND(LEFT(D2258,4)+1=LEFT(' Pivot Tables'!$A$4,4)+0,RIGHT(LEFT(D2258,7),2)=RIGHT(LEFT(' Pivot Tables'!$A$4,7),2)),1,0)</f>
        <v>0</v>
      </c>
      <c r="Y2258" s="6">
        <f>1/COUNTIF(Таблица1[Order ID],Таблица1[[#This Row],[Order ID]])</f>
        <v>1</v>
      </c>
      <c r="Z2258" s="9">
        <f>1/COUNTIFS(Таблица1[Customer Name],Таблица1[[#This Row],[Customer Name]],Таблица1[Order-Year-Month],Таблица1[[#This Row],[Order-Year-Month]])</f>
        <v>1</v>
      </c>
    </row>
    <row r="2259" spans="1:26" x14ac:dyDescent="0.2">
      <c r="A2259" s="6">
        <v>4256</v>
      </c>
      <c r="B2259" s="7">
        <v>30308</v>
      </c>
      <c r="C2259" s="8">
        <f>DATE(2012,12,31)-1016</f>
        <v>40258</v>
      </c>
      <c r="D2259" s="8" t="str">
        <f t="shared" si="45"/>
        <v>2010-03 (март 2010)</v>
      </c>
      <c r="E2259" s="9" t="s">
        <v>63</v>
      </c>
      <c r="F2259" s="7">
        <v>15</v>
      </c>
      <c r="G2259" s="7">
        <v>30.38</v>
      </c>
      <c r="H2259" s="7">
        <v>0.08</v>
      </c>
      <c r="I2259" s="9" t="s">
        <v>22</v>
      </c>
      <c r="J2259" s="10">
        <v>-59.179000000000002</v>
      </c>
      <c r="K2259" s="11">
        <v>1.8</v>
      </c>
      <c r="L2259" s="11">
        <v>4.79</v>
      </c>
      <c r="M2259" s="9" t="s">
        <v>1343</v>
      </c>
      <c r="N2259" s="6" t="s">
        <v>1123</v>
      </c>
      <c r="O2259" s="6" t="s">
        <v>1123</v>
      </c>
      <c r="P2259" s="9" t="s">
        <v>41</v>
      </c>
      <c r="Q2259" s="9" t="s">
        <v>26</v>
      </c>
      <c r="R2259" s="9" t="s">
        <v>37</v>
      </c>
      <c r="S2259" s="7" t="s">
        <v>835</v>
      </c>
      <c r="T2259" s="9" t="s">
        <v>39</v>
      </c>
      <c r="U2259" s="7">
        <v>0.37</v>
      </c>
      <c r="V2259" s="12">
        <f>C2259+1</f>
        <v>40259</v>
      </c>
      <c r="W2259">
        <f>IF(D2259=' Pivot Tables'!$A$4,1,0)</f>
        <v>0</v>
      </c>
      <c r="X2259">
        <f>IF(AND(LEFT(D2259,4)+1=LEFT(' Pivot Tables'!$A$4,4)+0,RIGHT(LEFT(D2259,7),2)=RIGHT(LEFT(' Pivot Tables'!$A$4,7),2)),1,0)</f>
        <v>0</v>
      </c>
      <c r="Y2259" s="6">
        <f>1/COUNTIF(Таблица1[Order ID],Таблица1[[#This Row],[Order ID]])</f>
        <v>1</v>
      </c>
      <c r="Z2259" s="9">
        <f>1/COUNTIFS(Таблица1[Customer Name],Таблица1[[#This Row],[Customer Name]],Таблица1[Order-Year-Month],Таблица1[[#This Row],[Order-Year-Month]])</f>
        <v>1</v>
      </c>
    </row>
    <row r="2260" spans="1:26" x14ac:dyDescent="0.2">
      <c r="A2260" s="6">
        <v>4277</v>
      </c>
      <c r="B2260" s="7">
        <v>30436</v>
      </c>
      <c r="C2260" s="8">
        <f>DATE(2012,12,31)-177</f>
        <v>41097</v>
      </c>
      <c r="D2260" s="8" t="str">
        <f t="shared" si="45"/>
        <v>2012-07 (июль 2012)</v>
      </c>
      <c r="E2260" s="9" t="s">
        <v>21</v>
      </c>
      <c r="F2260" s="7">
        <v>30</v>
      </c>
      <c r="G2260" s="7">
        <v>121.19</v>
      </c>
      <c r="H2260" s="7">
        <v>0.09</v>
      </c>
      <c r="I2260" s="9" t="s">
        <v>56</v>
      </c>
      <c r="J2260" s="10">
        <v>-152.1335</v>
      </c>
      <c r="K2260" s="11">
        <v>3.89</v>
      </c>
      <c r="L2260" s="11">
        <v>7.01</v>
      </c>
      <c r="M2260" s="9" t="s">
        <v>1296</v>
      </c>
      <c r="N2260" s="6" t="s">
        <v>1123</v>
      </c>
      <c r="O2260" s="6" t="s">
        <v>1123</v>
      </c>
      <c r="P2260" s="9" t="s">
        <v>41</v>
      </c>
      <c r="Q2260" s="9" t="s">
        <v>26</v>
      </c>
      <c r="R2260" s="9" t="s">
        <v>37</v>
      </c>
      <c r="S2260" s="7" t="s">
        <v>115</v>
      </c>
      <c r="T2260" s="9" t="s">
        <v>39</v>
      </c>
      <c r="U2260" s="7">
        <v>0.37</v>
      </c>
      <c r="V2260" s="12">
        <f>C2260+5</f>
        <v>41102</v>
      </c>
      <c r="W2260">
        <f>IF(D2260=' Pivot Tables'!$A$4,1,0)</f>
        <v>0</v>
      </c>
      <c r="X2260">
        <f>IF(AND(LEFT(D2260,4)+1=LEFT(' Pivot Tables'!$A$4,4)+0,RIGHT(LEFT(D2260,7),2)=RIGHT(LEFT(' Pivot Tables'!$A$4,7),2)),1,0)</f>
        <v>0</v>
      </c>
      <c r="Y2260" s="6">
        <f>1/COUNTIF(Таблица1[Order ID],Таблица1[[#This Row],[Order ID]])</f>
        <v>1</v>
      </c>
      <c r="Z2260" s="9">
        <f>1/COUNTIFS(Таблица1[Customer Name],Таблица1[[#This Row],[Customer Name]],Таблица1[Order-Year-Month],Таблица1[[#This Row],[Order-Year-Month]])</f>
        <v>1</v>
      </c>
    </row>
    <row r="2261" spans="1:26" x14ac:dyDescent="0.2">
      <c r="A2261" s="6">
        <v>4326</v>
      </c>
      <c r="B2261" s="7">
        <v>30820</v>
      </c>
      <c r="C2261" s="8">
        <f>DATE(2012,12,31)-632</f>
        <v>40642</v>
      </c>
      <c r="D2261" s="8" t="str">
        <f t="shared" si="45"/>
        <v>2011-04 (апрель 2011)</v>
      </c>
      <c r="E2261" s="9" t="s">
        <v>78</v>
      </c>
      <c r="F2261" s="7">
        <v>21</v>
      </c>
      <c r="G2261" s="7">
        <v>48.01</v>
      </c>
      <c r="H2261" s="7">
        <v>0.1</v>
      </c>
      <c r="I2261" s="9" t="s">
        <v>56</v>
      </c>
      <c r="J2261" s="10">
        <v>-6.85</v>
      </c>
      <c r="K2261" s="11">
        <v>2.21</v>
      </c>
      <c r="L2261" s="11">
        <v>1.1200000000000001</v>
      </c>
      <c r="M2261" s="9" t="s">
        <v>1337</v>
      </c>
      <c r="N2261" s="6" t="s">
        <v>1123</v>
      </c>
      <c r="O2261" s="6" t="s">
        <v>1123</v>
      </c>
      <c r="P2261" s="9" t="s">
        <v>25</v>
      </c>
      <c r="Q2261" s="9" t="s">
        <v>26</v>
      </c>
      <c r="R2261" s="9" t="s">
        <v>95</v>
      </c>
      <c r="S2261" s="7" t="s">
        <v>235</v>
      </c>
      <c r="T2261" s="9" t="s">
        <v>68</v>
      </c>
      <c r="U2261" s="7">
        <v>0.57999999999999996</v>
      </c>
      <c r="V2261" s="12">
        <f>C2261+1</f>
        <v>40643</v>
      </c>
      <c r="W2261">
        <f>IF(D2261=' Pivot Tables'!$A$4,1,0)</f>
        <v>0</v>
      </c>
      <c r="X2261">
        <f>IF(AND(LEFT(D2261,4)+1=LEFT(' Pivot Tables'!$A$4,4)+0,RIGHT(LEFT(D2261,7),2)=RIGHT(LEFT(' Pivot Tables'!$A$4,7),2)),1,0)</f>
        <v>0</v>
      </c>
      <c r="Y2261" s="6">
        <f>1/COUNTIF(Таблица1[Order ID],Таблица1[[#This Row],[Order ID]])</f>
        <v>1</v>
      </c>
      <c r="Z2261" s="9">
        <f>1/COUNTIFS(Таблица1[Customer Name],Таблица1[[#This Row],[Customer Name]],Таблица1[Order-Year-Month],Таблица1[[#This Row],[Order-Year-Month]])</f>
        <v>1</v>
      </c>
    </row>
    <row r="2262" spans="1:26" x14ac:dyDescent="0.2">
      <c r="A2262" s="6">
        <v>4357</v>
      </c>
      <c r="B2262" s="7">
        <v>31046</v>
      </c>
      <c r="C2262" s="8">
        <f>DATE(2012,12,31)-693</f>
        <v>40581</v>
      </c>
      <c r="D2262" s="8" t="str">
        <f t="shared" si="45"/>
        <v>2011-02 (февраль 2011)</v>
      </c>
      <c r="E2262" s="9" t="s">
        <v>78</v>
      </c>
      <c r="F2262" s="7">
        <v>42</v>
      </c>
      <c r="G2262" s="7">
        <v>3900.5309999999995</v>
      </c>
      <c r="H2262" s="7">
        <v>0.08</v>
      </c>
      <c r="I2262" s="9" t="s">
        <v>22</v>
      </c>
      <c r="J2262" s="10">
        <v>1144.6289999999999</v>
      </c>
      <c r="K2262" s="11">
        <v>110.99</v>
      </c>
      <c r="L2262" s="11">
        <v>2.5</v>
      </c>
      <c r="M2262" s="9" t="s">
        <v>1243</v>
      </c>
      <c r="N2262" s="6" t="s">
        <v>1123</v>
      </c>
      <c r="O2262" s="6" t="s">
        <v>1123</v>
      </c>
      <c r="P2262" s="9" t="s">
        <v>41</v>
      </c>
      <c r="Q2262" s="9" t="s">
        <v>42</v>
      </c>
      <c r="R2262" s="9" t="s">
        <v>43</v>
      </c>
      <c r="S2262" s="7" t="s">
        <v>493</v>
      </c>
      <c r="T2262" s="9" t="s">
        <v>39</v>
      </c>
      <c r="U2262" s="7">
        <v>0.56999999999999995</v>
      </c>
      <c r="V2262" s="12">
        <f>C2262+1</f>
        <v>40582</v>
      </c>
      <c r="W2262">
        <f>IF(D2262=' Pivot Tables'!$A$4,1,0)</f>
        <v>0</v>
      </c>
      <c r="X2262">
        <f>IF(AND(LEFT(D2262,4)+1=LEFT(' Pivot Tables'!$A$4,4)+0,RIGHT(LEFT(D2262,7),2)=RIGHT(LEFT(' Pivot Tables'!$A$4,7),2)),1,0)</f>
        <v>0</v>
      </c>
      <c r="Y2262" s="6">
        <f>1/COUNTIF(Таблица1[Order ID],Таблица1[[#This Row],[Order ID]])</f>
        <v>0.5</v>
      </c>
      <c r="Z2262" s="9">
        <f>1/COUNTIFS(Таблица1[Customer Name],Таблица1[[#This Row],[Customer Name]],Таблица1[Order-Year-Month],Таблица1[[#This Row],[Order-Year-Month]])</f>
        <v>0.16666666666666666</v>
      </c>
    </row>
    <row r="2263" spans="1:26" x14ac:dyDescent="0.2">
      <c r="A2263" s="6">
        <v>4358</v>
      </c>
      <c r="B2263" s="7">
        <v>31046</v>
      </c>
      <c r="C2263" s="8">
        <f>DATE(2012,12,31)-693</f>
        <v>40581</v>
      </c>
      <c r="D2263" s="8" t="str">
        <f t="shared" si="45"/>
        <v>2011-02 (февраль 2011)</v>
      </c>
      <c r="E2263" s="9" t="s">
        <v>78</v>
      </c>
      <c r="F2263" s="7">
        <v>35</v>
      </c>
      <c r="G2263" s="7">
        <v>248.42</v>
      </c>
      <c r="H2263" s="7">
        <v>0.02</v>
      </c>
      <c r="I2263" s="9" t="s">
        <v>22</v>
      </c>
      <c r="J2263" s="10">
        <v>-58.81</v>
      </c>
      <c r="K2263" s="11">
        <v>6.84</v>
      </c>
      <c r="L2263" s="11">
        <v>4.42</v>
      </c>
      <c r="M2263" s="9" t="s">
        <v>1243</v>
      </c>
      <c r="N2263" s="6" t="s">
        <v>1123</v>
      </c>
      <c r="O2263" s="6" t="s">
        <v>1123</v>
      </c>
      <c r="P2263" s="9" t="s">
        <v>41</v>
      </c>
      <c r="Q2263" s="9" t="s">
        <v>26</v>
      </c>
      <c r="R2263" s="9" t="s">
        <v>150</v>
      </c>
      <c r="S2263" s="7" t="s">
        <v>1356</v>
      </c>
      <c r="T2263" s="9" t="s">
        <v>52</v>
      </c>
      <c r="U2263" s="7">
        <v>0.57999999999999996</v>
      </c>
      <c r="V2263" s="12">
        <f>C2263+3</f>
        <v>40584</v>
      </c>
      <c r="W2263">
        <f>IF(D2263=' Pivot Tables'!$A$4,1,0)</f>
        <v>0</v>
      </c>
      <c r="X2263">
        <f>IF(AND(LEFT(D2263,4)+1=LEFT(' Pivot Tables'!$A$4,4)+0,RIGHT(LEFT(D2263,7),2)=RIGHT(LEFT(' Pivot Tables'!$A$4,7),2)),1,0)</f>
        <v>0</v>
      </c>
      <c r="Y2263" s="6">
        <f>1/COUNTIF(Таблица1[Order ID],Таблица1[[#This Row],[Order ID]])</f>
        <v>0.5</v>
      </c>
      <c r="Z2263" s="9">
        <f>1/COUNTIFS(Таблица1[Customer Name],Таблица1[[#This Row],[Customer Name]],Таблица1[Order-Year-Month],Таблица1[[#This Row],[Order-Year-Month]])</f>
        <v>0.16666666666666666</v>
      </c>
    </row>
    <row r="2264" spans="1:26" x14ac:dyDescent="0.2">
      <c r="A2264" s="6">
        <v>4396</v>
      </c>
      <c r="B2264" s="7">
        <v>31301</v>
      </c>
      <c r="C2264" s="8">
        <f>DATE(2012,12,31)-805</f>
        <v>40469</v>
      </c>
      <c r="D2264" s="8" t="str">
        <f t="shared" si="45"/>
        <v>2010-10 (октябрь 2010)</v>
      </c>
      <c r="E2264" s="9" t="s">
        <v>21</v>
      </c>
      <c r="F2264" s="7">
        <v>31</v>
      </c>
      <c r="G2264" s="7">
        <v>109.78</v>
      </c>
      <c r="H2264" s="7">
        <v>0.06</v>
      </c>
      <c r="I2264" s="9" t="s">
        <v>22</v>
      </c>
      <c r="J2264" s="10">
        <v>43.77</v>
      </c>
      <c r="K2264" s="11">
        <v>3.75</v>
      </c>
      <c r="L2264" s="11">
        <v>0.5</v>
      </c>
      <c r="M2264" s="9" t="s">
        <v>1248</v>
      </c>
      <c r="N2264" s="6" t="s">
        <v>1123</v>
      </c>
      <c r="O2264" s="6" t="s">
        <v>1123</v>
      </c>
      <c r="P2264" s="9" t="s">
        <v>33</v>
      </c>
      <c r="Q2264" s="9" t="s">
        <v>26</v>
      </c>
      <c r="R2264" s="9" t="s">
        <v>88</v>
      </c>
      <c r="S2264" s="7" t="s">
        <v>130</v>
      </c>
      <c r="T2264" s="9" t="s">
        <v>39</v>
      </c>
      <c r="U2264" s="7">
        <v>0.37</v>
      </c>
      <c r="V2264" s="12">
        <f>C2264+2</f>
        <v>40471</v>
      </c>
      <c r="W2264">
        <f>IF(D2264=' Pivot Tables'!$A$4,1,0)</f>
        <v>0</v>
      </c>
      <c r="X2264">
        <f>IF(AND(LEFT(D2264,4)+1=LEFT(' Pivot Tables'!$A$4,4)+0,RIGHT(LEFT(D2264,7),2)=RIGHT(LEFT(' Pivot Tables'!$A$4,7),2)),1,0)</f>
        <v>0</v>
      </c>
      <c r="Y2264" s="6">
        <f>1/COUNTIF(Таблица1[Order ID],Таблица1[[#This Row],[Order ID]])</f>
        <v>1</v>
      </c>
      <c r="Z2264" s="9">
        <f>1/COUNTIFS(Таблица1[Customer Name],Таблица1[[#This Row],[Customer Name]],Таблица1[Order-Year-Month],Таблица1[[#This Row],[Order-Year-Month]])</f>
        <v>1</v>
      </c>
    </row>
    <row r="2265" spans="1:26" x14ac:dyDescent="0.2">
      <c r="A2265" s="6">
        <v>4415</v>
      </c>
      <c r="B2265" s="7">
        <v>31495</v>
      </c>
      <c r="C2265" s="8">
        <f>DATE(2012,12,31)-880</f>
        <v>40394</v>
      </c>
      <c r="D2265" s="8" t="str">
        <f t="shared" si="45"/>
        <v>2010-08 (август 2010)</v>
      </c>
      <c r="E2265" s="9" t="s">
        <v>21</v>
      </c>
      <c r="F2265" s="7">
        <v>20</v>
      </c>
      <c r="G2265" s="7">
        <v>191.43</v>
      </c>
      <c r="H2265" s="7">
        <v>0.06</v>
      </c>
      <c r="I2265" s="9" t="s">
        <v>56</v>
      </c>
      <c r="J2265" s="10">
        <v>39.499499999999998</v>
      </c>
      <c r="K2265" s="11">
        <v>8.69</v>
      </c>
      <c r="L2265" s="11">
        <v>2.99</v>
      </c>
      <c r="M2265" s="9" t="s">
        <v>1273</v>
      </c>
      <c r="N2265" s="6" t="s">
        <v>1123</v>
      </c>
      <c r="O2265" s="6" t="s">
        <v>1123</v>
      </c>
      <c r="P2265" s="9" t="s">
        <v>33</v>
      </c>
      <c r="Q2265" s="9" t="s">
        <v>26</v>
      </c>
      <c r="R2265" s="9" t="s">
        <v>37</v>
      </c>
      <c r="S2265" s="7" t="s">
        <v>38</v>
      </c>
      <c r="T2265" s="9" t="s">
        <v>39</v>
      </c>
      <c r="U2265" s="7">
        <v>0.39</v>
      </c>
      <c r="V2265" s="12">
        <f>C2265+4</f>
        <v>40398</v>
      </c>
      <c r="W2265">
        <f>IF(D2265=' Pivot Tables'!$A$4,1,0)</f>
        <v>0</v>
      </c>
      <c r="X2265">
        <f>IF(AND(LEFT(D2265,4)+1=LEFT(' Pivot Tables'!$A$4,4)+0,RIGHT(LEFT(D2265,7),2)=RIGHT(LEFT(' Pivot Tables'!$A$4,7),2)),1,0)</f>
        <v>0</v>
      </c>
      <c r="Y2265" s="6">
        <f>1/COUNTIF(Таблица1[Order ID],Таблица1[[#This Row],[Order ID]])</f>
        <v>0.5</v>
      </c>
      <c r="Z2265" s="9">
        <f>1/COUNTIFS(Таблица1[Customer Name],Таблица1[[#This Row],[Customer Name]],Таблица1[Order-Year-Month],Таблица1[[#This Row],[Order-Year-Month]])</f>
        <v>0.5</v>
      </c>
    </row>
    <row r="2266" spans="1:26" x14ac:dyDescent="0.2">
      <c r="A2266" s="6">
        <v>4416</v>
      </c>
      <c r="B2266" s="7">
        <v>31495</v>
      </c>
      <c r="C2266" s="8">
        <f>DATE(2012,12,31)-880</f>
        <v>40394</v>
      </c>
      <c r="D2266" s="8" t="str">
        <f t="shared" si="45"/>
        <v>2010-08 (август 2010)</v>
      </c>
      <c r="E2266" s="9" t="s">
        <v>21</v>
      </c>
      <c r="F2266" s="7">
        <v>34</v>
      </c>
      <c r="G2266" s="7">
        <v>1234.8499999999999</v>
      </c>
      <c r="H2266" s="7">
        <v>0.03</v>
      </c>
      <c r="I2266" s="9" t="s">
        <v>22</v>
      </c>
      <c r="J2266" s="10">
        <v>212.2</v>
      </c>
      <c r="K2266" s="11">
        <v>34.76</v>
      </c>
      <c r="L2266" s="11">
        <v>8.2200000000000006</v>
      </c>
      <c r="M2266" s="9" t="s">
        <v>1273</v>
      </c>
      <c r="N2266" s="6" t="s">
        <v>1123</v>
      </c>
      <c r="O2266" s="6" t="s">
        <v>1123</v>
      </c>
      <c r="P2266" s="9" t="s">
        <v>33</v>
      </c>
      <c r="Q2266" s="9" t="s">
        <v>26</v>
      </c>
      <c r="R2266" s="9" t="s">
        <v>27</v>
      </c>
      <c r="S2266" s="7" t="s">
        <v>247</v>
      </c>
      <c r="T2266" s="9" t="s">
        <v>39</v>
      </c>
      <c r="U2266" s="7">
        <v>0.56999999999999995</v>
      </c>
      <c r="V2266" s="12">
        <f>C2266+7</f>
        <v>40401</v>
      </c>
      <c r="W2266">
        <f>IF(D2266=' Pivot Tables'!$A$4,1,0)</f>
        <v>0</v>
      </c>
      <c r="X2266">
        <f>IF(AND(LEFT(D2266,4)+1=LEFT(' Pivot Tables'!$A$4,4)+0,RIGHT(LEFT(D2266,7),2)=RIGHT(LEFT(' Pivot Tables'!$A$4,7),2)),1,0)</f>
        <v>0</v>
      </c>
      <c r="Y2266" s="6">
        <f>1/COUNTIF(Таблица1[Order ID],Таблица1[[#This Row],[Order ID]])</f>
        <v>0.5</v>
      </c>
      <c r="Z2266" s="9">
        <f>1/COUNTIFS(Таблица1[Customer Name],Таблица1[[#This Row],[Customer Name]],Таблица1[Order-Year-Month],Таблица1[[#This Row],[Order-Year-Month]])</f>
        <v>0.5</v>
      </c>
    </row>
    <row r="2267" spans="1:26" x14ac:dyDescent="0.2">
      <c r="A2267" s="6">
        <v>4420</v>
      </c>
      <c r="B2267" s="7">
        <v>31523</v>
      </c>
      <c r="C2267" s="8">
        <f>DATE(2012,12,31)-298</f>
        <v>40976</v>
      </c>
      <c r="D2267" s="8" t="str">
        <f t="shared" si="45"/>
        <v>2012-03 (март 2012)</v>
      </c>
      <c r="E2267" s="9" t="s">
        <v>21</v>
      </c>
      <c r="F2267" s="7">
        <v>17</v>
      </c>
      <c r="G2267" s="7">
        <v>105.85</v>
      </c>
      <c r="H2267" s="7">
        <v>0.1</v>
      </c>
      <c r="I2267" s="9" t="s">
        <v>22</v>
      </c>
      <c r="J2267" s="10">
        <v>-44.86</v>
      </c>
      <c r="K2267" s="11">
        <v>6.48</v>
      </c>
      <c r="L2267" s="11">
        <v>2.74</v>
      </c>
      <c r="M2267" s="9" t="s">
        <v>1354</v>
      </c>
      <c r="N2267" s="6" t="s">
        <v>1123</v>
      </c>
      <c r="O2267" s="6" t="s">
        <v>1123</v>
      </c>
      <c r="P2267" s="9" t="s">
        <v>60</v>
      </c>
      <c r="Q2267" s="9" t="s">
        <v>42</v>
      </c>
      <c r="R2267" s="9" t="s">
        <v>70</v>
      </c>
      <c r="S2267" s="7" t="s">
        <v>1141</v>
      </c>
      <c r="T2267" s="9" t="s">
        <v>52</v>
      </c>
      <c r="U2267" s="7">
        <v>0.71</v>
      </c>
      <c r="V2267" s="12">
        <f>C2267+2</f>
        <v>40978</v>
      </c>
      <c r="W2267">
        <f>IF(D2267=' Pivot Tables'!$A$4,1,0)</f>
        <v>0</v>
      </c>
      <c r="X2267">
        <f>IF(AND(LEFT(D2267,4)+1=LEFT(' Pivot Tables'!$A$4,4)+0,RIGHT(LEFT(D2267,7),2)=RIGHT(LEFT(' Pivot Tables'!$A$4,7),2)),1,0)</f>
        <v>0</v>
      </c>
      <c r="Y2267" s="6">
        <f>1/COUNTIF(Таблица1[Order ID],Таблица1[[#This Row],[Order ID]])</f>
        <v>0.5</v>
      </c>
      <c r="Z2267" s="9">
        <f>1/COUNTIFS(Таблица1[Customer Name],Таблица1[[#This Row],[Customer Name]],Таблица1[Order-Year-Month],Таблица1[[#This Row],[Order-Year-Month]])</f>
        <v>0.5</v>
      </c>
    </row>
    <row r="2268" spans="1:26" x14ac:dyDescent="0.2">
      <c r="A2268" s="6">
        <v>4421</v>
      </c>
      <c r="B2268" s="7">
        <v>31523</v>
      </c>
      <c r="C2268" s="8">
        <f>DATE(2012,12,31)-298</f>
        <v>40976</v>
      </c>
      <c r="D2268" s="8" t="str">
        <f t="shared" si="45"/>
        <v>2012-03 (март 2012)</v>
      </c>
      <c r="E2268" s="9" t="s">
        <v>21</v>
      </c>
      <c r="F2268" s="7">
        <v>19</v>
      </c>
      <c r="G2268" s="7">
        <v>179.33</v>
      </c>
      <c r="H2268" s="7">
        <v>0</v>
      </c>
      <c r="I2268" s="9" t="s">
        <v>22</v>
      </c>
      <c r="J2268" s="10">
        <v>-58.76</v>
      </c>
      <c r="K2268" s="11">
        <v>8.74</v>
      </c>
      <c r="L2268" s="11">
        <v>8.2899999999999991</v>
      </c>
      <c r="M2268" s="9" t="s">
        <v>1354</v>
      </c>
      <c r="N2268" s="6" t="s">
        <v>1123</v>
      </c>
      <c r="O2268" s="6" t="s">
        <v>1123</v>
      </c>
      <c r="P2268" s="9" t="s">
        <v>60</v>
      </c>
      <c r="Q2268" s="9" t="s">
        <v>26</v>
      </c>
      <c r="R2268" s="9" t="s">
        <v>76</v>
      </c>
      <c r="S2268" s="7" t="s">
        <v>567</v>
      </c>
      <c r="T2268" s="9" t="s">
        <v>39</v>
      </c>
      <c r="U2268" s="7">
        <v>0.38</v>
      </c>
      <c r="V2268" s="12">
        <f>C2268+5</f>
        <v>40981</v>
      </c>
      <c r="W2268">
        <f>IF(D2268=' Pivot Tables'!$A$4,1,0)</f>
        <v>0</v>
      </c>
      <c r="X2268">
        <f>IF(AND(LEFT(D2268,4)+1=LEFT(' Pivot Tables'!$A$4,4)+0,RIGHT(LEFT(D2268,7),2)=RIGHT(LEFT(' Pivot Tables'!$A$4,7),2)),1,0)</f>
        <v>0</v>
      </c>
      <c r="Y2268" s="6">
        <f>1/COUNTIF(Таблица1[Order ID],Таблица1[[#This Row],[Order ID]])</f>
        <v>0.5</v>
      </c>
      <c r="Z2268" s="9">
        <f>1/COUNTIFS(Таблица1[Customer Name],Таблица1[[#This Row],[Customer Name]],Таблица1[Order-Year-Month],Таблица1[[#This Row],[Order-Year-Month]])</f>
        <v>0.5</v>
      </c>
    </row>
    <row r="2269" spans="1:26" x14ac:dyDescent="0.2">
      <c r="A2269" s="6">
        <v>4423</v>
      </c>
      <c r="B2269" s="7">
        <v>31552</v>
      </c>
      <c r="C2269" s="8">
        <f>DATE(2012,12,31)-50</f>
        <v>41224</v>
      </c>
      <c r="D2269" s="8" t="str">
        <f t="shared" si="45"/>
        <v>2012-11 (ноябрь 2012)</v>
      </c>
      <c r="E2269" s="9" t="s">
        <v>30</v>
      </c>
      <c r="F2269" s="7">
        <v>17</v>
      </c>
      <c r="G2269" s="7">
        <v>378.08</v>
      </c>
      <c r="H2269" s="7">
        <v>0</v>
      </c>
      <c r="I2269" s="9" t="s">
        <v>22</v>
      </c>
      <c r="J2269" s="10">
        <v>70.48</v>
      </c>
      <c r="K2269" s="11">
        <v>22.24</v>
      </c>
      <c r="L2269" s="11">
        <v>1.99</v>
      </c>
      <c r="M2269" s="9" t="s">
        <v>1257</v>
      </c>
      <c r="N2269" s="6" t="s">
        <v>1123</v>
      </c>
      <c r="O2269" s="6" t="s">
        <v>1123</v>
      </c>
      <c r="P2269" s="9" t="s">
        <v>41</v>
      </c>
      <c r="Q2269" s="9" t="s">
        <v>42</v>
      </c>
      <c r="R2269" s="9" t="s">
        <v>70</v>
      </c>
      <c r="S2269" s="7" t="s">
        <v>1116</v>
      </c>
      <c r="T2269" s="9" t="s">
        <v>52</v>
      </c>
      <c r="U2269" s="7">
        <v>0.43</v>
      </c>
      <c r="V2269" s="12">
        <f>C2269+3</f>
        <v>41227</v>
      </c>
      <c r="W2269">
        <f>IF(D2269=' Pivot Tables'!$A$4,1,0)</f>
        <v>0</v>
      </c>
      <c r="X2269">
        <f>IF(AND(LEFT(D2269,4)+1=LEFT(' Pivot Tables'!$A$4,4)+0,RIGHT(LEFT(D2269,7),2)=RIGHT(LEFT(' Pivot Tables'!$A$4,7),2)),1,0)</f>
        <v>0</v>
      </c>
      <c r="Y2269" s="6">
        <f>1/COUNTIF(Таблица1[Order ID],Таблица1[[#This Row],[Order ID]])</f>
        <v>0.5</v>
      </c>
      <c r="Z2269" s="9">
        <f>1/COUNTIFS(Таблица1[Customer Name],Таблица1[[#This Row],[Customer Name]],Таблица1[Order-Year-Month],Таблица1[[#This Row],[Order-Year-Month]])</f>
        <v>0.5</v>
      </c>
    </row>
    <row r="2270" spans="1:26" x14ac:dyDescent="0.2">
      <c r="A2270" s="6">
        <v>4424</v>
      </c>
      <c r="B2270" s="7">
        <v>31552</v>
      </c>
      <c r="C2270" s="8">
        <f>DATE(2012,12,31)-50</f>
        <v>41224</v>
      </c>
      <c r="D2270" s="8" t="str">
        <f t="shared" si="45"/>
        <v>2012-11 (ноябрь 2012)</v>
      </c>
      <c r="E2270" s="9" t="s">
        <v>30</v>
      </c>
      <c r="F2270" s="7">
        <v>24</v>
      </c>
      <c r="G2270" s="7">
        <v>731.71</v>
      </c>
      <c r="H2270" s="7">
        <v>0</v>
      </c>
      <c r="I2270" s="9" t="s">
        <v>22</v>
      </c>
      <c r="J2270" s="10">
        <v>175.82</v>
      </c>
      <c r="K2270" s="11">
        <v>29.89</v>
      </c>
      <c r="L2270" s="11">
        <v>1.99</v>
      </c>
      <c r="M2270" s="9" t="s">
        <v>1257</v>
      </c>
      <c r="N2270" s="6" t="s">
        <v>1123</v>
      </c>
      <c r="O2270" s="6" t="s">
        <v>1123</v>
      </c>
      <c r="P2270" s="9" t="s">
        <v>41</v>
      </c>
      <c r="Q2270" s="9" t="s">
        <v>42</v>
      </c>
      <c r="R2270" s="9" t="s">
        <v>70</v>
      </c>
      <c r="S2270" s="7" t="s">
        <v>547</v>
      </c>
      <c r="T2270" s="9" t="s">
        <v>52</v>
      </c>
      <c r="U2270" s="7">
        <v>0.5</v>
      </c>
      <c r="V2270" s="12">
        <f>C2270+1</f>
        <v>41225</v>
      </c>
      <c r="W2270">
        <f>IF(D2270=' Pivot Tables'!$A$4,1,0)</f>
        <v>0</v>
      </c>
      <c r="X2270">
        <f>IF(AND(LEFT(D2270,4)+1=LEFT(' Pivot Tables'!$A$4,4)+0,RIGHT(LEFT(D2270,7),2)=RIGHT(LEFT(' Pivot Tables'!$A$4,7),2)),1,0)</f>
        <v>0</v>
      </c>
      <c r="Y2270" s="6">
        <f>1/COUNTIF(Таблица1[Order ID],Таблица1[[#This Row],[Order ID]])</f>
        <v>0.5</v>
      </c>
      <c r="Z2270" s="9">
        <f>1/COUNTIFS(Таблица1[Customer Name],Таблица1[[#This Row],[Customer Name]],Таблица1[Order-Year-Month],Таблица1[[#This Row],[Order-Year-Month]])</f>
        <v>0.5</v>
      </c>
    </row>
    <row r="2271" spans="1:26" x14ac:dyDescent="0.2">
      <c r="A2271" s="6">
        <v>4480</v>
      </c>
      <c r="B2271" s="7">
        <v>31877</v>
      </c>
      <c r="C2271" s="8">
        <f>DATE(2012,12,31)-1281</f>
        <v>39993</v>
      </c>
      <c r="D2271" s="8" t="str">
        <f t="shared" si="45"/>
        <v>2009-06 (июнь 2009)</v>
      </c>
      <c r="E2271" s="9" t="s">
        <v>63</v>
      </c>
      <c r="F2271" s="7">
        <v>34</v>
      </c>
      <c r="G2271" s="7">
        <v>285.06</v>
      </c>
      <c r="H2271" s="7">
        <v>0.08</v>
      </c>
      <c r="I2271" s="9" t="s">
        <v>22</v>
      </c>
      <c r="J2271" s="10">
        <v>-211.54</v>
      </c>
      <c r="K2271" s="11">
        <v>8.3699999999999992</v>
      </c>
      <c r="L2271" s="11">
        <v>10.16</v>
      </c>
      <c r="M2271" s="9" t="s">
        <v>1248</v>
      </c>
      <c r="N2271" s="6" t="s">
        <v>1123</v>
      </c>
      <c r="O2271" s="6" t="s">
        <v>1123</v>
      </c>
      <c r="P2271" s="9" t="s">
        <v>33</v>
      </c>
      <c r="Q2271" s="9" t="s">
        <v>49</v>
      </c>
      <c r="R2271" s="9" t="s">
        <v>50</v>
      </c>
      <c r="S2271" s="7" t="s">
        <v>948</v>
      </c>
      <c r="T2271" s="9" t="s">
        <v>29</v>
      </c>
      <c r="U2271" s="7">
        <v>0.59</v>
      </c>
      <c r="V2271" s="12">
        <f>C2271+0</f>
        <v>39993</v>
      </c>
      <c r="W2271">
        <f>IF(D2271=' Pivot Tables'!$A$4,1,0)</f>
        <v>0</v>
      </c>
      <c r="X2271">
        <f>IF(AND(LEFT(D2271,4)+1=LEFT(' Pivot Tables'!$A$4,4)+0,RIGHT(LEFT(D2271,7),2)=RIGHT(LEFT(' Pivot Tables'!$A$4,7),2)),1,0)</f>
        <v>0</v>
      </c>
      <c r="Y2271" s="6">
        <f>1/COUNTIF(Таблица1[Order ID],Таблица1[[#This Row],[Order ID]])</f>
        <v>1</v>
      </c>
      <c r="Z2271" s="9">
        <f>1/COUNTIFS(Таблица1[Customer Name],Таблица1[[#This Row],[Customer Name]],Таблица1[Order-Year-Month],Таблица1[[#This Row],[Order-Year-Month]])</f>
        <v>1</v>
      </c>
    </row>
    <row r="2272" spans="1:26" x14ac:dyDescent="0.2">
      <c r="A2272" s="6">
        <v>4501</v>
      </c>
      <c r="B2272" s="7">
        <v>32037</v>
      </c>
      <c r="C2272" s="8">
        <f>DATE(2012,12,31)-1414</f>
        <v>39860</v>
      </c>
      <c r="D2272" s="8" t="str">
        <f t="shared" si="45"/>
        <v>2009-02 (февраль 2009)</v>
      </c>
      <c r="E2272" s="9" t="s">
        <v>21</v>
      </c>
      <c r="F2272" s="7">
        <v>37</v>
      </c>
      <c r="G2272" s="7">
        <v>311.66000000000003</v>
      </c>
      <c r="H2272" s="7">
        <v>0.04</v>
      </c>
      <c r="I2272" s="9" t="s">
        <v>22</v>
      </c>
      <c r="J2272" s="10">
        <v>-63.813500000000005</v>
      </c>
      <c r="K2272" s="11">
        <v>8.6</v>
      </c>
      <c r="L2272" s="11">
        <v>6.19</v>
      </c>
      <c r="M2272" s="9" t="s">
        <v>1262</v>
      </c>
      <c r="N2272" s="6" t="s">
        <v>1123</v>
      </c>
      <c r="O2272" s="6" t="s">
        <v>1123</v>
      </c>
      <c r="P2272" s="9" t="s">
        <v>60</v>
      </c>
      <c r="Q2272" s="9" t="s">
        <v>26</v>
      </c>
      <c r="R2272" s="9" t="s">
        <v>37</v>
      </c>
      <c r="S2272" s="7" t="s">
        <v>872</v>
      </c>
      <c r="T2272" s="9" t="s">
        <v>39</v>
      </c>
      <c r="U2272" s="7">
        <v>0.38</v>
      </c>
      <c r="V2272" s="12">
        <f>C2272+7</f>
        <v>39867</v>
      </c>
      <c r="W2272">
        <f>IF(D2272=' Pivot Tables'!$A$4,1,0)</f>
        <v>0</v>
      </c>
      <c r="X2272">
        <f>IF(AND(LEFT(D2272,4)+1=LEFT(' Pivot Tables'!$A$4,4)+0,RIGHT(LEFT(D2272,7),2)=RIGHT(LEFT(' Pivot Tables'!$A$4,7),2)),1,0)</f>
        <v>0</v>
      </c>
      <c r="Y2272" s="6">
        <f>1/COUNTIF(Таблица1[Order ID],Таблица1[[#This Row],[Order ID]])</f>
        <v>0.5</v>
      </c>
      <c r="Z2272" s="9">
        <f>1/COUNTIFS(Таблица1[Customer Name],Таблица1[[#This Row],[Customer Name]],Таблица1[Order-Year-Month],Таблица1[[#This Row],[Order-Year-Month]])</f>
        <v>0.33333333333333331</v>
      </c>
    </row>
    <row r="2273" spans="1:26" x14ac:dyDescent="0.2">
      <c r="A2273" s="6">
        <v>4502</v>
      </c>
      <c r="B2273" s="7">
        <v>32037</v>
      </c>
      <c r="C2273" s="8">
        <f>DATE(2012,12,31)-1414</f>
        <v>39860</v>
      </c>
      <c r="D2273" s="8" t="str">
        <f t="shared" si="45"/>
        <v>2009-02 (февраль 2009)</v>
      </c>
      <c r="E2273" s="9" t="s">
        <v>21</v>
      </c>
      <c r="F2273" s="7">
        <v>15</v>
      </c>
      <c r="G2273" s="7">
        <v>9862.51</v>
      </c>
      <c r="H2273" s="7">
        <v>7.0000000000000007E-2</v>
      </c>
      <c r="I2273" s="9" t="s">
        <v>22</v>
      </c>
      <c r="J2273" s="10">
        <v>325.29000000000002</v>
      </c>
      <c r="K2273" s="11">
        <v>699.99</v>
      </c>
      <c r="L2273" s="11">
        <v>24.49</v>
      </c>
      <c r="M2273" s="9" t="s">
        <v>1262</v>
      </c>
      <c r="N2273" s="6" t="s">
        <v>1123</v>
      </c>
      <c r="O2273" s="6" t="s">
        <v>1123</v>
      </c>
      <c r="P2273" s="9" t="s">
        <v>60</v>
      </c>
      <c r="Q2273" s="9" t="s">
        <v>42</v>
      </c>
      <c r="R2273" s="9" t="s">
        <v>99</v>
      </c>
      <c r="S2273" s="7" t="s">
        <v>1357</v>
      </c>
      <c r="T2273" s="9" t="s">
        <v>29</v>
      </c>
      <c r="U2273" s="7">
        <v>0.54</v>
      </c>
      <c r="V2273" s="12">
        <f>C2273+4</f>
        <v>39864</v>
      </c>
      <c r="W2273">
        <f>IF(D2273=' Pivot Tables'!$A$4,1,0)</f>
        <v>0</v>
      </c>
      <c r="X2273">
        <f>IF(AND(LEFT(D2273,4)+1=LEFT(' Pivot Tables'!$A$4,4)+0,RIGHT(LEFT(D2273,7),2)=RIGHT(LEFT(' Pivot Tables'!$A$4,7),2)),1,0)</f>
        <v>0</v>
      </c>
      <c r="Y2273" s="6">
        <f>1/COUNTIF(Таблица1[Order ID],Таблица1[[#This Row],[Order ID]])</f>
        <v>0.5</v>
      </c>
      <c r="Z2273" s="9">
        <f>1/COUNTIFS(Таблица1[Customer Name],Таблица1[[#This Row],[Customer Name]],Таблица1[Order-Year-Month],Таблица1[[#This Row],[Order-Year-Month]])</f>
        <v>0.33333333333333331</v>
      </c>
    </row>
    <row r="2274" spans="1:26" x14ac:dyDescent="0.2">
      <c r="A2274" s="6">
        <v>4515</v>
      </c>
      <c r="B2274" s="7">
        <v>32131</v>
      </c>
      <c r="C2274" s="8">
        <f>DATE(2012,12,31)-735</f>
        <v>40539</v>
      </c>
      <c r="D2274" s="8" t="str">
        <f t="shared" si="45"/>
        <v>2010-12 (декабрь 2010)</v>
      </c>
      <c r="E2274" s="9" t="s">
        <v>78</v>
      </c>
      <c r="F2274" s="7">
        <v>34</v>
      </c>
      <c r="G2274" s="7">
        <v>126.62</v>
      </c>
      <c r="H2274" s="7">
        <v>0.03</v>
      </c>
      <c r="I2274" s="9" t="s">
        <v>22</v>
      </c>
      <c r="J2274" s="10">
        <v>44.8</v>
      </c>
      <c r="K2274" s="11">
        <v>3.78</v>
      </c>
      <c r="L2274" s="11">
        <v>0.71</v>
      </c>
      <c r="M2274" s="9" t="s">
        <v>1308</v>
      </c>
      <c r="N2274" s="6" t="s">
        <v>1123</v>
      </c>
      <c r="O2274" s="6" t="s">
        <v>1123</v>
      </c>
      <c r="P2274" s="9" t="s">
        <v>25</v>
      </c>
      <c r="Q2274" s="9" t="s">
        <v>26</v>
      </c>
      <c r="R2274" s="9" t="s">
        <v>66</v>
      </c>
      <c r="S2274" s="7" t="s">
        <v>419</v>
      </c>
      <c r="T2274" s="9" t="s">
        <v>68</v>
      </c>
      <c r="U2274" s="7">
        <v>0.39</v>
      </c>
      <c r="V2274" s="12">
        <f>C2274+2</f>
        <v>40541</v>
      </c>
      <c r="W2274">
        <f>IF(D2274=' Pivot Tables'!$A$4,1,0)</f>
        <v>0</v>
      </c>
      <c r="X2274">
        <f>IF(AND(LEFT(D2274,4)+1=LEFT(' Pivot Tables'!$A$4,4)+0,RIGHT(LEFT(D2274,7),2)=RIGHT(LEFT(' Pivot Tables'!$A$4,7),2)),1,0)</f>
        <v>0</v>
      </c>
      <c r="Y2274" s="6">
        <f>1/COUNTIF(Таблица1[Order ID],Таблица1[[#This Row],[Order ID]])</f>
        <v>1</v>
      </c>
      <c r="Z2274" s="9">
        <f>1/COUNTIFS(Таблица1[Customer Name],Таблица1[[#This Row],[Customer Name]],Таблица1[Order-Year-Month],Таблица1[[#This Row],[Order-Year-Month]])</f>
        <v>1</v>
      </c>
    </row>
    <row r="2275" spans="1:26" x14ac:dyDescent="0.2">
      <c r="A2275" s="6">
        <v>4516</v>
      </c>
      <c r="B2275" s="7">
        <v>32135</v>
      </c>
      <c r="C2275" s="8">
        <f>DATE(2012,12,31)-767</f>
        <v>40507</v>
      </c>
      <c r="D2275" s="8" t="str">
        <f t="shared" si="45"/>
        <v>2010-11 (ноябрь 2010)</v>
      </c>
      <c r="E2275" s="9" t="s">
        <v>30</v>
      </c>
      <c r="F2275" s="7">
        <v>37</v>
      </c>
      <c r="G2275" s="7">
        <v>1575.14</v>
      </c>
      <c r="H2275" s="7">
        <v>0</v>
      </c>
      <c r="I2275" s="9" t="s">
        <v>22</v>
      </c>
      <c r="J2275" s="10">
        <v>160.68</v>
      </c>
      <c r="K2275" s="11">
        <v>39.979999999999997</v>
      </c>
      <c r="L2275" s="11">
        <v>7.12</v>
      </c>
      <c r="M2275" s="9" t="s">
        <v>1313</v>
      </c>
      <c r="N2275" s="6" t="s">
        <v>1123</v>
      </c>
      <c r="O2275" s="6" t="s">
        <v>1123</v>
      </c>
      <c r="P2275" s="9" t="s">
        <v>60</v>
      </c>
      <c r="Q2275" s="9" t="s">
        <v>42</v>
      </c>
      <c r="R2275" s="9" t="s">
        <v>70</v>
      </c>
      <c r="S2275" s="7" t="s">
        <v>1084</v>
      </c>
      <c r="T2275" s="9" t="s">
        <v>39</v>
      </c>
      <c r="U2275" s="7">
        <v>0.67</v>
      </c>
      <c r="V2275" s="12">
        <f>C2275+2</f>
        <v>40509</v>
      </c>
      <c r="W2275">
        <f>IF(D2275=' Pivot Tables'!$A$4,1,0)</f>
        <v>0</v>
      </c>
      <c r="X2275">
        <f>IF(AND(LEFT(D2275,4)+1=LEFT(' Pivot Tables'!$A$4,4)+0,RIGHT(LEFT(D2275,7),2)=RIGHT(LEFT(' Pivot Tables'!$A$4,7),2)),1,0)</f>
        <v>0</v>
      </c>
      <c r="Y2275" s="6">
        <f>1/COUNTIF(Таблица1[Order ID],Таблица1[[#This Row],[Order ID]])</f>
        <v>0.5</v>
      </c>
      <c r="Z2275" s="9">
        <f>1/COUNTIFS(Таблица1[Customer Name],Таблица1[[#This Row],[Customer Name]],Таблица1[Order-Year-Month],Таблица1[[#This Row],[Order-Year-Month]])</f>
        <v>0.5</v>
      </c>
    </row>
    <row r="2276" spans="1:26" x14ac:dyDescent="0.2">
      <c r="A2276" s="6">
        <v>4517</v>
      </c>
      <c r="B2276" s="7">
        <v>32135</v>
      </c>
      <c r="C2276" s="8">
        <f>DATE(2012,12,31)-767</f>
        <v>40507</v>
      </c>
      <c r="D2276" s="8" t="str">
        <f t="shared" si="45"/>
        <v>2010-11 (ноябрь 2010)</v>
      </c>
      <c r="E2276" s="9" t="s">
        <v>30</v>
      </c>
      <c r="F2276" s="7">
        <v>16</v>
      </c>
      <c r="G2276" s="7">
        <v>187.78</v>
      </c>
      <c r="H2276" s="7">
        <v>0.08</v>
      </c>
      <c r="I2276" s="9" t="s">
        <v>22</v>
      </c>
      <c r="J2276" s="10">
        <v>-21.819599999999998</v>
      </c>
      <c r="K2276" s="11">
        <v>11.99</v>
      </c>
      <c r="L2276" s="11">
        <v>5.99</v>
      </c>
      <c r="M2276" s="9" t="s">
        <v>1313</v>
      </c>
      <c r="N2276" s="6" t="s">
        <v>1123</v>
      </c>
      <c r="O2276" s="6" t="s">
        <v>1123</v>
      </c>
      <c r="P2276" s="9" t="s">
        <v>60</v>
      </c>
      <c r="Q2276" s="9" t="s">
        <v>42</v>
      </c>
      <c r="R2276" s="9" t="s">
        <v>210</v>
      </c>
      <c r="S2276" s="7" t="s">
        <v>986</v>
      </c>
      <c r="T2276" s="9" t="s">
        <v>48</v>
      </c>
      <c r="U2276" s="7">
        <v>0.36</v>
      </c>
      <c r="V2276" s="12">
        <f>C2276+2</f>
        <v>40509</v>
      </c>
      <c r="W2276">
        <f>IF(D2276=' Pivot Tables'!$A$4,1,0)</f>
        <v>0</v>
      </c>
      <c r="X2276">
        <f>IF(AND(LEFT(D2276,4)+1=LEFT(' Pivot Tables'!$A$4,4)+0,RIGHT(LEFT(D2276,7),2)=RIGHT(LEFT(' Pivot Tables'!$A$4,7),2)),1,0)</f>
        <v>0</v>
      </c>
      <c r="Y2276" s="6">
        <f>1/COUNTIF(Таблица1[Order ID],Таблица1[[#This Row],[Order ID]])</f>
        <v>0.5</v>
      </c>
      <c r="Z2276" s="9">
        <f>1/COUNTIFS(Таблица1[Customer Name],Таблица1[[#This Row],[Customer Name]],Таблица1[Order-Year-Month],Таблица1[[#This Row],[Order-Year-Month]])</f>
        <v>0.5</v>
      </c>
    </row>
    <row r="2277" spans="1:26" x14ac:dyDescent="0.2">
      <c r="A2277" s="6">
        <v>4526</v>
      </c>
      <c r="B2277" s="7">
        <v>32195</v>
      </c>
      <c r="C2277" s="8">
        <f>DATE(2012,12,31)-1132</f>
        <v>40142</v>
      </c>
      <c r="D2277" s="8" t="str">
        <f t="shared" si="45"/>
        <v>2009-11 (ноябрь 2009)</v>
      </c>
      <c r="E2277" s="9" t="s">
        <v>63</v>
      </c>
      <c r="F2277" s="7">
        <v>7</v>
      </c>
      <c r="G2277" s="7">
        <v>86.29</v>
      </c>
      <c r="H2277" s="7">
        <v>0.05</v>
      </c>
      <c r="I2277" s="9" t="s">
        <v>22</v>
      </c>
      <c r="J2277" s="10">
        <v>-14.03</v>
      </c>
      <c r="K2277" s="11">
        <v>11.58</v>
      </c>
      <c r="L2277" s="11">
        <v>6.97</v>
      </c>
      <c r="M2277" s="9" t="s">
        <v>1358</v>
      </c>
      <c r="N2277" s="6" t="s">
        <v>1123</v>
      </c>
      <c r="O2277" s="6" t="s">
        <v>1123</v>
      </c>
      <c r="P2277" s="9" t="s">
        <v>60</v>
      </c>
      <c r="Q2277" s="9" t="s">
        <v>26</v>
      </c>
      <c r="R2277" s="9" t="s">
        <v>76</v>
      </c>
      <c r="S2277" s="7" t="s">
        <v>304</v>
      </c>
      <c r="T2277" s="9" t="s">
        <v>39</v>
      </c>
      <c r="U2277" s="7">
        <v>0.35</v>
      </c>
      <c r="V2277" s="12">
        <f>C2277+3</f>
        <v>40145</v>
      </c>
      <c r="W2277">
        <f>IF(D2277=' Pivot Tables'!$A$4,1,0)</f>
        <v>0</v>
      </c>
      <c r="X2277">
        <f>IF(AND(LEFT(D2277,4)+1=LEFT(' Pivot Tables'!$A$4,4)+0,RIGHT(LEFT(D2277,7),2)=RIGHT(LEFT(' Pivot Tables'!$A$4,7),2)),1,0)</f>
        <v>0</v>
      </c>
      <c r="Y2277" s="6">
        <f>1/COUNTIF(Таблица1[Order ID],Таблица1[[#This Row],[Order ID]])</f>
        <v>1</v>
      </c>
      <c r="Z2277" s="9">
        <f>1/COUNTIFS(Таблица1[Customer Name],Таблица1[[#This Row],[Customer Name]],Таблица1[Order-Year-Month],Таблица1[[#This Row],[Order-Year-Month]])</f>
        <v>1</v>
      </c>
    </row>
    <row r="2278" spans="1:26" x14ac:dyDescent="0.2">
      <c r="A2278" s="6">
        <v>4534</v>
      </c>
      <c r="B2278" s="7">
        <v>32230</v>
      </c>
      <c r="C2278" s="8">
        <f>DATE(2012,12,31)-134</f>
        <v>41140</v>
      </c>
      <c r="D2278" s="8" t="str">
        <f t="shared" si="45"/>
        <v>2012-08 (август 2012)</v>
      </c>
      <c r="E2278" s="9" t="s">
        <v>30</v>
      </c>
      <c r="F2278" s="7">
        <v>46</v>
      </c>
      <c r="G2278" s="7">
        <v>1753.75</v>
      </c>
      <c r="H2278" s="7">
        <v>7.0000000000000007E-2</v>
      </c>
      <c r="I2278" s="9" t="s">
        <v>22</v>
      </c>
      <c r="J2278" s="10">
        <v>215.11</v>
      </c>
      <c r="K2278" s="11">
        <v>39.979999999999997</v>
      </c>
      <c r="L2278" s="11">
        <v>9.1999999999999993</v>
      </c>
      <c r="M2278" s="9" t="s">
        <v>1014</v>
      </c>
      <c r="N2278" s="6" t="s">
        <v>1123</v>
      </c>
      <c r="O2278" s="6" t="s">
        <v>1123</v>
      </c>
      <c r="P2278" s="9" t="s">
        <v>33</v>
      </c>
      <c r="Q2278" s="9" t="s">
        <v>49</v>
      </c>
      <c r="R2278" s="9" t="s">
        <v>50</v>
      </c>
      <c r="S2278" s="7" t="s">
        <v>238</v>
      </c>
      <c r="T2278" s="9" t="s">
        <v>68</v>
      </c>
      <c r="U2278" s="7">
        <v>0.65</v>
      </c>
      <c r="V2278" s="12">
        <f>C2278+1</f>
        <v>41141</v>
      </c>
      <c r="W2278">
        <f>IF(D2278=' Pivot Tables'!$A$4,1,0)</f>
        <v>0</v>
      </c>
      <c r="X2278">
        <f>IF(AND(LEFT(D2278,4)+1=LEFT(' Pivot Tables'!$A$4,4)+0,RIGHT(LEFT(D2278,7),2)=RIGHT(LEFT(' Pivot Tables'!$A$4,7),2)),1,0)</f>
        <v>0</v>
      </c>
      <c r="Y2278" s="6">
        <f>1/COUNTIF(Таблица1[Order ID],Таблица1[[#This Row],[Order ID]])</f>
        <v>1</v>
      </c>
      <c r="Z2278" s="9">
        <f>1/COUNTIFS(Таблица1[Customer Name],Таблица1[[#This Row],[Customer Name]],Таблица1[Order-Year-Month],Таблица1[[#This Row],[Order-Year-Month]])</f>
        <v>1</v>
      </c>
    </row>
    <row r="2279" spans="1:26" x14ac:dyDescent="0.2">
      <c r="A2279" s="6">
        <v>4562</v>
      </c>
      <c r="B2279" s="7">
        <v>32451</v>
      </c>
      <c r="C2279" s="8">
        <f>DATE(2012,12,31)-1378</f>
        <v>39896</v>
      </c>
      <c r="D2279" s="8" t="str">
        <f t="shared" si="45"/>
        <v>2009-03 (март 2009)</v>
      </c>
      <c r="E2279" s="9" t="s">
        <v>45</v>
      </c>
      <c r="F2279" s="7">
        <v>42</v>
      </c>
      <c r="G2279" s="7">
        <v>580.55999999999995</v>
      </c>
      <c r="H2279" s="7">
        <v>0.1</v>
      </c>
      <c r="I2279" s="9" t="s">
        <v>22</v>
      </c>
      <c r="J2279" s="10">
        <v>163.6335</v>
      </c>
      <c r="K2279" s="11">
        <v>14.28</v>
      </c>
      <c r="L2279" s="11">
        <v>2.99</v>
      </c>
      <c r="M2279" s="9" t="s">
        <v>1326</v>
      </c>
      <c r="N2279" s="6" t="s">
        <v>1123</v>
      </c>
      <c r="O2279" s="6" t="s">
        <v>1123</v>
      </c>
      <c r="P2279" s="9" t="s">
        <v>60</v>
      </c>
      <c r="Q2279" s="9" t="s">
        <v>26</v>
      </c>
      <c r="R2279" s="9" t="s">
        <v>37</v>
      </c>
      <c r="S2279" s="7" t="s">
        <v>1359</v>
      </c>
      <c r="T2279" s="9" t="s">
        <v>39</v>
      </c>
      <c r="U2279" s="7">
        <v>0.39</v>
      </c>
      <c r="V2279" s="12">
        <f>C2279+1</f>
        <v>39897</v>
      </c>
      <c r="W2279">
        <f>IF(D2279=' Pivot Tables'!$A$4,1,0)</f>
        <v>0</v>
      </c>
      <c r="X2279">
        <f>IF(AND(LEFT(D2279,4)+1=LEFT(' Pivot Tables'!$A$4,4)+0,RIGHT(LEFT(D2279,7),2)=RIGHT(LEFT(' Pivot Tables'!$A$4,7),2)),1,0)</f>
        <v>0</v>
      </c>
      <c r="Y2279" s="6">
        <f>1/COUNTIF(Таблица1[Order ID],Таблица1[[#This Row],[Order ID]])</f>
        <v>1</v>
      </c>
      <c r="Z2279" s="9">
        <f>1/COUNTIFS(Таблица1[Customer Name],Таблица1[[#This Row],[Customer Name]],Таблица1[Order-Year-Month],Таблица1[[#This Row],[Order-Year-Month]])</f>
        <v>1</v>
      </c>
    </row>
    <row r="2280" spans="1:26" x14ac:dyDescent="0.2">
      <c r="A2280" s="6">
        <v>4590</v>
      </c>
      <c r="B2280" s="7">
        <v>32642</v>
      </c>
      <c r="C2280" s="8">
        <f>DATE(2012,12,31)-277</f>
        <v>40997</v>
      </c>
      <c r="D2280" s="8" t="str">
        <f t="shared" si="45"/>
        <v>2012-03 (март 2012)</v>
      </c>
      <c r="E2280" s="9" t="s">
        <v>63</v>
      </c>
      <c r="F2280" s="7">
        <v>50</v>
      </c>
      <c r="G2280" s="7">
        <v>1507.16</v>
      </c>
      <c r="H2280" s="7">
        <v>0.02</v>
      </c>
      <c r="I2280" s="9" t="s">
        <v>22</v>
      </c>
      <c r="J2280" s="10">
        <v>724.14</v>
      </c>
      <c r="K2280" s="11">
        <v>28.48</v>
      </c>
      <c r="L2280" s="11">
        <v>1.99</v>
      </c>
      <c r="M2280" s="9" t="s">
        <v>1278</v>
      </c>
      <c r="N2280" s="6" t="s">
        <v>1123</v>
      </c>
      <c r="O2280" s="6" t="s">
        <v>1123</v>
      </c>
      <c r="P2280" s="9" t="s">
        <v>41</v>
      </c>
      <c r="Q2280" s="9" t="s">
        <v>42</v>
      </c>
      <c r="R2280" s="9" t="s">
        <v>70</v>
      </c>
      <c r="S2280" s="7" t="s">
        <v>523</v>
      </c>
      <c r="T2280" s="9" t="s">
        <v>52</v>
      </c>
      <c r="U2280" s="7">
        <v>0.4</v>
      </c>
      <c r="V2280" s="12">
        <f>C2280+2</f>
        <v>40999</v>
      </c>
      <c r="W2280">
        <f>IF(D2280=' Pivot Tables'!$A$4,1,0)</f>
        <v>0</v>
      </c>
      <c r="X2280">
        <f>IF(AND(LEFT(D2280,4)+1=LEFT(' Pivot Tables'!$A$4,4)+0,RIGHT(LEFT(D2280,7),2)=RIGHT(LEFT(' Pivot Tables'!$A$4,7),2)),1,0)</f>
        <v>0</v>
      </c>
      <c r="Y2280" s="6">
        <f>1/COUNTIF(Таблица1[Order ID],Таблица1[[#This Row],[Order ID]])</f>
        <v>1</v>
      </c>
      <c r="Z2280" s="9">
        <f>1/COUNTIFS(Таблица1[Customer Name],Таблица1[[#This Row],[Customer Name]],Таблица1[Order-Year-Month],Таблица1[[#This Row],[Order-Year-Month]])</f>
        <v>1</v>
      </c>
    </row>
    <row r="2281" spans="1:26" x14ac:dyDescent="0.2">
      <c r="A2281" s="6">
        <v>4603</v>
      </c>
      <c r="B2281" s="7">
        <v>32803</v>
      </c>
      <c r="C2281" s="8">
        <f>DATE(2012,12,31)-381</f>
        <v>40893</v>
      </c>
      <c r="D2281" s="8" t="str">
        <f t="shared" si="45"/>
        <v>2011-12 (декабрь 2011)</v>
      </c>
      <c r="E2281" s="9" t="s">
        <v>63</v>
      </c>
      <c r="F2281" s="7">
        <v>49</v>
      </c>
      <c r="G2281" s="7">
        <v>371.95</v>
      </c>
      <c r="H2281" s="7">
        <v>0.08</v>
      </c>
      <c r="I2281" s="9" t="s">
        <v>56</v>
      </c>
      <c r="J2281" s="10">
        <v>-10.327</v>
      </c>
      <c r="K2281" s="11">
        <v>7.84</v>
      </c>
      <c r="L2281" s="11">
        <v>4.71</v>
      </c>
      <c r="M2281" s="9" t="s">
        <v>1261</v>
      </c>
      <c r="N2281" s="6" t="s">
        <v>1123</v>
      </c>
      <c r="O2281" s="6" t="s">
        <v>1123</v>
      </c>
      <c r="P2281" s="9" t="s">
        <v>41</v>
      </c>
      <c r="Q2281" s="9" t="s">
        <v>26</v>
      </c>
      <c r="R2281" s="9" t="s">
        <v>37</v>
      </c>
      <c r="S2281" s="7" t="s">
        <v>121</v>
      </c>
      <c r="T2281" s="9" t="s">
        <v>39</v>
      </c>
      <c r="U2281" s="7">
        <v>0.35</v>
      </c>
      <c r="V2281" s="12">
        <f>C2281+1</f>
        <v>40894</v>
      </c>
      <c r="W2281">
        <f>IF(D2281=' Pivot Tables'!$A$4,1,0)</f>
        <v>0</v>
      </c>
      <c r="X2281">
        <f>IF(AND(LEFT(D2281,4)+1=LEFT(' Pivot Tables'!$A$4,4)+0,RIGHT(LEFT(D2281,7),2)=RIGHT(LEFT(' Pivot Tables'!$A$4,7),2)),1,0)</f>
        <v>0</v>
      </c>
      <c r="Y2281" s="6">
        <f>1/COUNTIF(Таблица1[Order ID],Таблица1[[#This Row],[Order ID]])</f>
        <v>0.5</v>
      </c>
      <c r="Z2281" s="9">
        <f>1/COUNTIFS(Таблица1[Customer Name],Таблица1[[#This Row],[Customer Name]],Таблица1[Order-Year-Month],Таблица1[[#This Row],[Order-Year-Month]])</f>
        <v>0.5</v>
      </c>
    </row>
    <row r="2282" spans="1:26" x14ac:dyDescent="0.2">
      <c r="A2282" s="6">
        <v>4604</v>
      </c>
      <c r="B2282" s="7">
        <v>32803</v>
      </c>
      <c r="C2282" s="8">
        <f>DATE(2012,12,31)-381</f>
        <v>40893</v>
      </c>
      <c r="D2282" s="8" t="str">
        <f t="shared" si="45"/>
        <v>2011-12 (декабрь 2011)</v>
      </c>
      <c r="E2282" s="9" t="s">
        <v>63</v>
      </c>
      <c r="F2282" s="7">
        <v>22</v>
      </c>
      <c r="G2282" s="7">
        <v>96.07</v>
      </c>
      <c r="H2282" s="7">
        <v>0.06</v>
      </c>
      <c r="I2282" s="9" t="s">
        <v>22</v>
      </c>
      <c r="J2282" s="10">
        <v>-4.3600000000000003</v>
      </c>
      <c r="K2282" s="11">
        <v>4.4800000000000004</v>
      </c>
      <c r="L2282" s="11">
        <v>2.5</v>
      </c>
      <c r="M2282" s="9" t="s">
        <v>1261</v>
      </c>
      <c r="N2282" s="6" t="s">
        <v>1123</v>
      </c>
      <c r="O2282" s="6" t="s">
        <v>1123</v>
      </c>
      <c r="P2282" s="9" t="s">
        <v>41</v>
      </c>
      <c r="Q2282" s="9" t="s">
        <v>26</v>
      </c>
      <c r="R2282" s="9" t="s">
        <v>76</v>
      </c>
      <c r="S2282" s="7" t="s">
        <v>845</v>
      </c>
      <c r="T2282" s="9" t="s">
        <v>39</v>
      </c>
      <c r="U2282" s="7">
        <v>0.37</v>
      </c>
      <c r="V2282" s="12">
        <f>C2282+2</f>
        <v>40895</v>
      </c>
      <c r="W2282">
        <f>IF(D2282=' Pivot Tables'!$A$4,1,0)</f>
        <v>0</v>
      </c>
      <c r="X2282">
        <f>IF(AND(LEFT(D2282,4)+1=LEFT(' Pivot Tables'!$A$4,4)+0,RIGHT(LEFT(D2282,7),2)=RIGHT(LEFT(' Pivot Tables'!$A$4,7),2)),1,0)</f>
        <v>0</v>
      </c>
      <c r="Y2282" s="6">
        <f>1/COUNTIF(Таблица1[Order ID],Таблица1[[#This Row],[Order ID]])</f>
        <v>0.5</v>
      </c>
      <c r="Z2282" s="9">
        <f>1/COUNTIFS(Таблица1[Customer Name],Таблица1[[#This Row],[Customer Name]],Таблица1[Order-Year-Month],Таблица1[[#This Row],[Order-Year-Month]])</f>
        <v>0.5</v>
      </c>
    </row>
    <row r="2283" spans="1:26" x14ac:dyDescent="0.2">
      <c r="A2283" s="6">
        <v>4610</v>
      </c>
      <c r="B2283" s="7">
        <v>32834</v>
      </c>
      <c r="C2283" s="8">
        <f>DATE(2012,12,31)-857</f>
        <v>40417</v>
      </c>
      <c r="D2283" s="8" t="str">
        <f t="shared" si="45"/>
        <v>2010-08 (август 2010)</v>
      </c>
      <c r="E2283" s="9" t="s">
        <v>78</v>
      </c>
      <c r="F2283" s="7">
        <v>39</v>
      </c>
      <c r="G2283" s="7">
        <v>3460.5625</v>
      </c>
      <c r="H2283" s="7">
        <v>0.1</v>
      </c>
      <c r="I2283" s="9" t="s">
        <v>22</v>
      </c>
      <c r="J2283" s="10">
        <v>573.05700000000002</v>
      </c>
      <c r="K2283" s="11">
        <v>115.99</v>
      </c>
      <c r="L2283" s="11">
        <v>5.92</v>
      </c>
      <c r="M2283" s="9" t="s">
        <v>671</v>
      </c>
      <c r="N2283" s="6" t="s">
        <v>1123</v>
      </c>
      <c r="O2283" s="6" t="s">
        <v>1123</v>
      </c>
      <c r="P2283" s="9" t="s">
        <v>60</v>
      </c>
      <c r="Q2283" s="9" t="s">
        <v>42</v>
      </c>
      <c r="R2283" s="9" t="s">
        <v>43</v>
      </c>
      <c r="S2283" s="7" t="s">
        <v>977</v>
      </c>
      <c r="T2283" s="9" t="s">
        <v>39</v>
      </c>
      <c r="U2283" s="7">
        <v>0.57999999999999996</v>
      </c>
      <c r="V2283" s="12">
        <f>C2283+1</f>
        <v>40418</v>
      </c>
      <c r="W2283">
        <f>IF(D2283=' Pivot Tables'!$A$4,1,0)</f>
        <v>0</v>
      </c>
      <c r="X2283">
        <f>IF(AND(LEFT(D2283,4)+1=LEFT(' Pivot Tables'!$A$4,4)+0,RIGHT(LEFT(D2283,7),2)=RIGHT(LEFT(' Pivot Tables'!$A$4,7),2)),1,0)</f>
        <v>0</v>
      </c>
      <c r="Y2283" s="6">
        <f>1/COUNTIF(Таблица1[Order ID],Таблица1[[#This Row],[Order ID]])</f>
        <v>1</v>
      </c>
      <c r="Z2283" s="9">
        <f>1/COUNTIFS(Таблица1[Customer Name],Таблица1[[#This Row],[Customer Name]],Таблица1[Order-Year-Month],Таблица1[[#This Row],[Order-Year-Month]])</f>
        <v>1</v>
      </c>
    </row>
    <row r="2284" spans="1:26" x14ac:dyDescent="0.2">
      <c r="A2284" s="6">
        <v>4666</v>
      </c>
      <c r="B2284" s="7">
        <v>33219</v>
      </c>
      <c r="C2284" s="8">
        <f>DATE(2012,12,31)-387</f>
        <v>40887</v>
      </c>
      <c r="D2284" s="8" t="str">
        <f t="shared" si="45"/>
        <v>2011-12 (декабрь 2011)</v>
      </c>
      <c r="E2284" s="9" t="s">
        <v>30</v>
      </c>
      <c r="F2284" s="7">
        <v>32</v>
      </c>
      <c r="G2284" s="7">
        <v>7341.96</v>
      </c>
      <c r="H2284" s="7">
        <v>0</v>
      </c>
      <c r="I2284" s="9" t="s">
        <v>31</v>
      </c>
      <c r="J2284" s="10">
        <v>764.95</v>
      </c>
      <c r="K2284" s="11">
        <v>216.6</v>
      </c>
      <c r="L2284" s="11">
        <v>64.2</v>
      </c>
      <c r="M2284" s="9" t="s">
        <v>1248</v>
      </c>
      <c r="N2284" s="6" t="s">
        <v>1123</v>
      </c>
      <c r="O2284" s="6" t="s">
        <v>1123</v>
      </c>
      <c r="P2284" s="9" t="s">
        <v>33</v>
      </c>
      <c r="Q2284" s="9" t="s">
        <v>49</v>
      </c>
      <c r="R2284" s="9" t="s">
        <v>112</v>
      </c>
      <c r="S2284" s="7" t="s">
        <v>313</v>
      </c>
      <c r="T2284" s="9" t="s">
        <v>36</v>
      </c>
      <c r="U2284" s="7">
        <v>0.59</v>
      </c>
      <c r="V2284" s="12">
        <f>C2284+1</f>
        <v>40888</v>
      </c>
      <c r="W2284">
        <f>IF(D2284=' Pivot Tables'!$A$4,1,0)</f>
        <v>0</v>
      </c>
      <c r="X2284">
        <f>IF(AND(LEFT(D2284,4)+1=LEFT(' Pivot Tables'!$A$4,4)+0,RIGHT(LEFT(D2284,7),2)=RIGHT(LEFT(' Pivot Tables'!$A$4,7),2)),1,0)</f>
        <v>0</v>
      </c>
      <c r="Y2284" s="6">
        <f>1/COUNTIF(Таблица1[Order ID],Таблица1[[#This Row],[Order ID]])</f>
        <v>1</v>
      </c>
      <c r="Z2284" s="9">
        <f>1/COUNTIFS(Таблица1[Customer Name],Таблица1[[#This Row],[Customer Name]],Таблица1[Order-Year-Month],Таблица1[[#This Row],[Order-Year-Month]])</f>
        <v>1</v>
      </c>
    </row>
    <row r="2285" spans="1:26" x14ac:dyDescent="0.2">
      <c r="A2285" s="6">
        <v>4697</v>
      </c>
      <c r="B2285" s="7">
        <v>33477</v>
      </c>
      <c r="C2285" s="8">
        <f>DATE(2012,12,31)-73</f>
        <v>41201</v>
      </c>
      <c r="D2285" s="8" t="str">
        <f t="shared" si="45"/>
        <v>2012-10 (октябрь 2012)</v>
      </c>
      <c r="E2285" s="9" t="s">
        <v>30</v>
      </c>
      <c r="F2285" s="7">
        <v>28</v>
      </c>
      <c r="G2285" s="7">
        <v>269.27999999999997</v>
      </c>
      <c r="H2285" s="7">
        <v>0.08</v>
      </c>
      <c r="I2285" s="9" t="s">
        <v>22</v>
      </c>
      <c r="J2285" s="10">
        <v>113.63</v>
      </c>
      <c r="K2285" s="11">
        <v>10.35</v>
      </c>
      <c r="L2285" s="11">
        <v>0.99</v>
      </c>
      <c r="M2285" s="9" t="s">
        <v>1248</v>
      </c>
      <c r="N2285" s="6" t="s">
        <v>1123</v>
      </c>
      <c r="O2285" s="6" t="s">
        <v>1123</v>
      </c>
      <c r="P2285" s="9" t="s">
        <v>25</v>
      </c>
      <c r="Q2285" s="9" t="s">
        <v>26</v>
      </c>
      <c r="R2285" s="9" t="s">
        <v>88</v>
      </c>
      <c r="S2285" s="7" t="s">
        <v>1360</v>
      </c>
      <c r="T2285" s="9" t="s">
        <v>39</v>
      </c>
      <c r="U2285" s="7">
        <v>0.37</v>
      </c>
      <c r="V2285" s="12">
        <f>C2285+2</f>
        <v>41203</v>
      </c>
      <c r="W2285">
        <f>IF(D2285=' Pivot Tables'!$A$4,1,0)</f>
        <v>0</v>
      </c>
      <c r="X2285">
        <f>IF(AND(LEFT(D2285,4)+1=LEFT(' Pivot Tables'!$A$4,4)+0,RIGHT(LEFT(D2285,7),2)=RIGHT(LEFT(' Pivot Tables'!$A$4,7),2)),1,0)</f>
        <v>0</v>
      </c>
      <c r="Y2285" s="6">
        <f>1/COUNTIF(Таблица1[Order ID],Таблица1[[#This Row],[Order ID]])</f>
        <v>1</v>
      </c>
      <c r="Z2285" s="9">
        <f>1/COUNTIFS(Таблица1[Customer Name],Таблица1[[#This Row],[Customer Name]],Таблица1[Order-Year-Month],Таблица1[[#This Row],[Order-Year-Month]])</f>
        <v>1</v>
      </c>
    </row>
    <row r="2286" spans="1:26" x14ac:dyDescent="0.2">
      <c r="A2286" s="6">
        <v>4793</v>
      </c>
      <c r="B2286" s="7">
        <v>34082</v>
      </c>
      <c r="C2286" s="8">
        <f>DATE(2012,12,31)-430</f>
        <v>40844</v>
      </c>
      <c r="D2286" s="8" t="str">
        <f t="shared" si="45"/>
        <v>2011-10 (октябрь 2011)</v>
      </c>
      <c r="E2286" s="9" t="s">
        <v>45</v>
      </c>
      <c r="F2286" s="7">
        <v>19</v>
      </c>
      <c r="G2286" s="7">
        <v>2536.1799999999998</v>
      </c>
      <c r="H2286" s="7">
        <v>0.1</v>
      </c>
      <c r="I2286" s="9" t="s">
        <v>22</v>
      </c>
      <c r="J2286" s="10">
        <v>350.62</v>
      </c>
      <c r="K2286" s="11">
        <v>142.86000000000001</v>
      </c>
      <c r="L2286" s="11">
        <v>19.989999999999998</v>
      </c>
      <c r="M2286" s="9" t="s">
        <v>1293</v>
      </c>
      <c r="N2286" s="6" t="s">
        <v>1123</v>
      </c>
      <c r="O2286" s="6" t="s">
        <v>1123</v>
      </c>
      <c r="P2286" s="9" t="s">
        <v>41</v>
      </c>
      <c r="Q2286" s="9" t="s">
        <v>26</v>
      </c>
      <c r="R2286" s="9" t="s">
        <v>27</v>
      </c>
      <c r="S2286" s="7" t="s">
        <v>887</v>
      </c>
      <c r="T2286" s="9" t="s">
        <v>39</v>
      </c>
      <c r="U2286" s="7">
        <v>0.56000000000000005</v>
      </c>
      <c r="V2286" s="12">
        <f>C2286+1</f>
        <v>40845</v>
      </c>
      <c r="W2286">
        <f>IF(D2286=' Pivot Tables'!$A$4,1,0)</f>
        <v>0</v>
      </c>
      <c r="X2286">
        <f>IF(AND(LEFT(D2286,4)+1=LEFT(' Pivot Tables'!$A$4,4)+0,RIGHT(LEFT(D2286,7),2)=RIGHT(LEFT(' Pivot Tables'!$A$4,7),2)),1,0)</f>
        <v>0</v>
      </c>
      <c r="Y2286" s="6">
        <f>1/COUNTIF(Таблица1[Order ID],Таблица1[[#This Row],[Order ID]])</f>
        <v>0.33333333333333331</v>
      </c>
      <c r="Z2286" s="9">
        <f>1/COUNTIFS(Таблица1[Customer Name],Таблица1[[#This Row],[Customer Name]],Таблица1[Order-Year-Month],Таблица1[[#This Row],[Order-Year-Month]])</f>
        <v>0.33333333333333331</v>
      </c>
    </row>
    <row r="2287" spans="1:26" x14ac:dyDescent="0.2">
      <c r="A2287" s="6">
        <v>4794</v>
      </c>
      <c r="B2287" s="7">
        <v>34082</v>
      </c>
      <c r="C2287" s="8">
        <f>DATE(2012,12,31)-430</f>
        <v>40844</v>
      </c>
      <c r="D2287" s="8" t="str">
        <f t="shared" si="45"/>
        <v>2011-10 (октябрь 2011)</v>
      </c>
      <c r="E2287" s="9" t="s">
        <v>45</v>
      </c>
      <c r="F2287" s="7">
        <v>20</v>
      </c>
      <c r="G2287" s="7">
        <v>38.56</v>
      </c>
      <c r="H2287" s="7">
        <v>7.0000000000000007E-2</v>
      </c>
      <c r="I2287" s="9" t="s">
        <v>22</v>
      </c>
      <c r="J2287" s="10">
        <v>-10.246500000000001</v>
      </c>
      <c r="K2287" s="11">
        <v>1.88</v>
      </c>
      <c r="L2287" s="11">
        <v>1.49</v>
      </c>
      <c r="M2287" s="9" t="s">
        <v>1293</v>
      </c>
      <c r="N2287" s="6" t="s">
        <v>1123</v>
      </c>
      <c r="O2287" s="6" t="s">
        <v>1123</v>
      </c>
      <c r="P2287" s="9" t="s">
        <v>41</v>
      </c>
      <c r="Q2287" s="9" t="s">
        <v>26</v>
      </c>
      <c r="R2287" s="9" t="s">
        <v>37</v>
      </c>
      <c r="S2287" s="7" t="s">
        <v>172</v>
      </c>
      <c r="T2287" s="9" t="s">
        <v>39</v>
      </c>
      <c r="U2287" s="7">
        <v>0.37</v>
      </c>
      <c r="V2287" s="12">
        <f>C2287+1</f>
        <v>40845</v>
      </c>
      <c r="W2287">
        <f>IF(D2287=' Pivot Tables'!$A$4,1,0)</f>
        <v>0</v>
      </c>
      <c r="X2287">
        <f>IF(AND(LEFT(D2287,4)+1=LEFT(' Pivot Tables'!$A$4,4)+0,RIGHT(LEFT(D2287,7),2)=RIGHT(LEFT(' Pivot Tables'!$A$4,7),2)),1,0)</f>
        <v>0</v>
      </c>
      <c r="Y2287" s="6">
        <f>1/COUNTIF(Таблица1[Order ID],Таблица1[[#This Row],[Order ID]])</f>
        <v>0.33333333333333331</v>
      </c>
      <c r="Z2287" s="9">
        <f>1/COUNTIFS(Таблица1[Customer Name],Таблица1[[#This Row],[Customer Name]],Таблица1[Order-Year-Month],Таблица1[[#This Row],[Order-Year-Month]])</f>
        <v>0.33333333333333331</v>
      </c>
    </row>
    <row r="2288" spans="1:26" x14ac:dyDescent="0.2">
      <c r="A2288" s="6">
        <v>4795</v>
      </c>
      <c r="B2288" s="7">
        <v>34082</v>
      </c>
      <c r="C2288" s="8">
        <f>DATE(2012,12,31)-430</f>
        <v>40844</v>
      </c>
      <c r="D2288" s="8" t="str">
        <f t="shared" si="45"/>
        <v>2011-10 (октябрь 2011)</v>
      </c>
      <c r="E2288" s="9" t="s">
        <v>45</v>
      </c>
      <c r="F2288" s="7">
        <v>35</v>
      </c>
      <c r="G2288" s="7">
        <v>764.32</v>
      </c>
      <c r="H2288" s="7">
        <v>0.02</v>
      </c>
      <c r="I2288" s="9" t="s">
        <v>22</v>
      </c>
      <c r="J2288" s="10">
        <v>-34.590000000000003</v>
      </c>
      <c r="K2288" s="11">
        <v>21.38</v>
      </c>
      <c r="L2288" s="11">
        <v>8.99</v>
      </c>
      <c r="M2288" s="9" t="s">
        <v>1293</v>
      </c>
      <c r="N2288" s="6" t="s">
        <v>1123</v>
      </c>
      <c r="O2288" s="6" t="s">
        <v>1123</v>
      </c>
      <c r="P2288" s="9" t="s">
        <v>41</v>
      </c>
      <c r="Q2288" s="9" t="s">
        <v>26</v>
      </c>
      <c r="R2288" s="9" t="s">
        <v>95</v>
      </c>
      <c r="S2288" s="7" t="s">
        <v>436</v>
      </c>
      <c r="T2288" s="9" t="s">
        <v>52</v>
      </c>
      <c r="U2288" s="7">
        <v>0.59</v>
      </c>
      <c r="V2288" s="12">
        <f>C2288+2</f>
        <v>40846</v>
      </c>
      <c r="W2288">
        <f>IF(D2288=' Pivot Tables'!$A$4,1,0)</f>
        <v>0</v>
      </c>
      <c r="X2288">
        <f>IF(AND(LEFT(D2288,4)+1=LEFT(' Pivot Tables'!$A$4,4)+0,RIGHT(LEFT(D2288,7),2)=RIGHT(LEFT(' Pivot Tables'!$A$4,7),2)),1,0)</f>
        <v>0</v>
      </c>
      <c r="Y2288" s="6">
        <f>1/COUNTIF(Таблица1[Order ID],Таблица1[[#This Row],[Order ID]])</f>
        <v>0.33333333333333331</v>
      </c>
      <c r="Z2288" s="9">
        <f>1/COUNTIFS(Таблица1[Customer Name],Таблица1[[#This Row],[Customer Name]],Таблица1[Order-Year-Month],Таблица1[[#This Row],[Order-Year-Month]])</f>
        <v>0.33333333333333331</v>
      </c>
    </row>
    <row r="2289" spans="1:26" x14ac:dyDescent="0.2">
      <c r="A2289" s="6">
        <v>4811</v>
      </c>
      <c r="B2289" s="7">
        <v>34211</v>
      </c>
      <c r="C2289" s="8">
        <f>DATE(2012,12,31)-322</f>
        <v>40952</v>
      </c>
      <c r="D2289" s="8" t="str">
        <f t="shared" si="45"/>
        <v>2012-02 (февраль 2012)</v>
      </c>
      <c r="E2289" s="9" t="s">
        <v>45</v>
      </c>
      <c r="F2289" s="7">
        <v>15</v>
      </c>
      <c r="G2289" s="7">
        <v>136.49</v>
      </c>
      <c r="H2289" s="7">
        <v>0.1</v>
      </c>
      <c r="I2289" s="9" t="s">
        <v>22</v>
      </c>
      <c r="J2289" s="10">
        <v>36.229999999999997</v>
      </c>
      <c r="K2289" s="11">
        <v>9.93</v>
      </c>
      <c r="L2289" s="11">
        <v>1.0900000000000001</v>
      </c>
      <c r="M2289" s="9" t="s">
        <v>1257</v>
      </c>
      <c r="N2289" s="6" t="s">
        <v>1123</v>
      </c>
      <c r="O2289" s="6" t="s">
        <v>1123</v>
      </c>
      <c r="P2289" s="9" t="s">
        <v>25</v>
      </c>
      <c r="Q2289" s="9" t="s">
        <v>26</v>
      </c>
      <c r="R2289" s="9" t="s">
        <v>95</v>
      </c>
      <c r="S2289" s="7" t="s">
        <v>1048</v>
      </c>
      <c r="T2289" s="9" t="s">
        <v>68</v>
      </c>
      <c r="U2289" s="7">
        <v>0.43</v>
      </c>
      <c r="V2289" s="12">
        <f>C2289+3</f>
        <v>40955</v>
      </c>
      <c r="W2289">
        <f>IF(D2289=' Pivot Tables'!$A$4,1,0)</f>
        <v>0</v>
      </c>
      <c r="X2289">
        <f>IF(AND(LEFT(D2289,4)+1=LEFT(' Pivot Tables'!$A$4,4)+0,RIGHT(LEFT(D2289,7),2)=RIGHT(LEFT(' Pivot Tables'!$A$4,7),2)),1,0)</f>
        <v>0</v>
      </c>
      <c r="Y2289" s="6">
        <f>1/COUNTIF(Таблица1[Order ID],Таблица1[[#This Row],[Order ID]])</f>
        <v>1</v>
      </c>
      <c r="Z2289" s="9">
        <f>1/COUNTIFS(Таблица1[Customer Name],Таблица1[[#This Row],[Customer Name]],Таблица1[Order-Year-Month],Таблица1[[#This Row],[Order-Year-Month]])</f>
        <v>0.33333333333333331</v>
      </c>
    </row>
    <row r="2290" spans="1:26" x14ac:dyDescent="0.2">
      <c r="A2290" s="6">
        <v>4817</v>
      </c>
      <c r="B2290" s="7">
        <v>34244</v>
      </c>
      <c r="C2290" s="8">
        <f>DATE(2012,12,31)-824</f>
        <v>40450</v>
      </c>
      <c r="D2290" s="8" t="str">
        <f t="shared" si="45"/>
        <v>2010-09 (сентябрь 2010)</v>
      </c>
      <c r="E2290" s="9" t="s">
        <v>21</v>
      </c>
      <c r="F2290" s="7">
        <v>25</v>
      </c>
      <c r="G2290" s="7">
        <v>205.3</v>
      </c>
      <c r="H2290" s="7">
        <v>0</v>
      </c>
      <c r="I2290" s="9" t="s">
        <v>56</v>
      </c>
      <c r="J2290" s="10">
        <v>-89.56</v>
      </c>
      <c r="K2290" s="11">
        <v>7.37</v>
      </c>
      <c r="L2290" s="11">
        <v>5.53</v>
      </c>
      <c r="M2290" s="9" t="s">
        <v>1248</v>
      </c>
      <c r="N2290" s="6" t="s">
        <v>1123</v>
      </c>
      <c r="O2290" s="6" t="s">
        <v>1123</v>
      </c>
      <c r="P2290" s="9" t="s">
        <v>33</v>
      </c>
      <c r="Q2290" s="9" t="s">
        <v>42</v>
      </c>
      <c r="R2290" s="9" t="s">
        <v>70</v>
      </c>
      <c r="S2290" s="7" t="s">
        <v>1081</v>
      </c>
      <c r="T2290" s="9" t="s">
        <v>52</v>
      </c>
      <c r="U2290" s="7">
        <v>0.69</v>
      </c>
      <c r="V2290" s="12">
        <f>C2290+9</f>
        <v>40459</v>
      </c>
      <c r="W2290">
        <f>IF(D2290=' Pivot Tables'!$A$4,1,0)</f>
        <v>0</v>
      </c>
      <c r="X2290">
        <f>IF(AND(LEFT(D2290,4)+1=LEFT(' Pivot Tables'!$A$4,4)+0,RIGHT(LEFT(D2290,7),2)=RIGHT(LEFT(' Pivot Tables'!$A$4,7),2)),1,0)</f>
        <v>0</v>
      </c>
      <c r="Y2290" s="6">
        <f>1/COUNTIF(Таблица1[Order ID],Таблица1[[#This Row],[Order ID]])</f>
        <v>0.5</v>
      </c>
      <c r="Z2290" s="9">
        <f>1/COUNTIFS(Таблица1[Customer Name],Таблица1[[#This Row],[Customer Name]],Таблица1[Order-Year-Month],Таблица1[[#This Row],[Order-Year-Month]])</f>
        <v>0.5</v>
      </c>
    </row>
    <row r="2291" spans="1:26" x14ac:dyDescent="0.2">
      <c r="A2291" s="6">
        <v>4818</v>
      </c>
      <c r="B2291" s="7">
        <v>34244</v>
      </c>
      <c r="C2291" s="8">
        <f>DATE(2012,12,31)-824</f>
        <v>40450</v>
      </c>
      <c r="D2291" s="8" t="str">
        <f t="shared" si="45"/>
        <v>2010-09 (сентябрь 2010)</v>
      </c>
      <c r="E2291" s="9" t="s">
        <v>21</v>
      </c>
      <c r="F2291" s="7">
        <v>4</v>
      </c>
      <c r="G2291" s="7">
        <v>125.7</v>
      </c>
      <c r="H2291" s="7">
        <v>0.04</v>
      </c>
      <c r="I2291" s="9" t="s">
        <v>22</v>
      </c>
      <c r="J2291" s="10">
        <v>-62.77</v>
      </c>
      <c r="K2291" s="11">
        <v>31.78</v>
      </c>
      <c r="L2291" s="11">
        <v>1.99</v>
      </c>
      <c r="M2291" s="9" t="s">
        <v>1248</v>
      </c>
      <c r="N2291" s="6" t="s">
        <v>1123</v>
      </c>
      <c r="O2291" s="6" t="s">
        <v>1123</v>
      </c>
      <c r="P2291" s="9" t="s">
        <v>33</v>
      </c>
      <c r="Q2291" s="9" t="s">
        <v>42</v>
      </c>
      <c r="R2291" s="9" t="s">
        <v>70</v>
      </c>
      <c r="S2291" s="7" t="s">
        <v>132</v>
      </c>
      <c r="T2291" s="9" t="s">
        <v>52</v>
      </c>
      <c r="U2291" s="7">
        <v>0.42</v>
      </c>
      <c r="V2291" s="12">
        <f>C2291+2</f>
        <v>40452</v>
      </c>
      <c r="W2291">
        <f>IF(D2291=' Pivot Tables'!$A$4,1,0)</f>
        <v>0</v>
      </c>
      <c r="X2291">
        <f>IF(AND(LEFT(D2291,4)+1=LEFT(' Pivot Tables'!$A$4,4)+0,RIGHT(LEFT(D2291,7),2)=RIGHT(LEFT(' Pivot Tables'!$A$4,7),2)),1,0)</f>
        <v>0</v>
      </c>
      <c r="Y2291" s="6">
        <f>1/COUNTIF(Таблица1[Order ID],Таблица1[[#This Row],[Order ID]])</f>
        <v>0.5</v>
      </c>
      <c r="Z2291" s="9">
        <f>1/COUNTIFS(Таблица1[Customer Name],Таблица1[[#This Row],[Customer Name]],Таблица1[Order-Year-Month],Таблица1[[#This Row],[Order-Year-Month]])</f>
        <v>0.5</v>
      </c>
    </row>
    <row r="2292" spans="1:26" x14ac:dyDescent="0.2">
      <c r="A2292" s="6">
        <v>4867</v>
      </c>
      <c r="B2292" s="7">
        <v>34658</v>
      </c>
      <c r="C2292" s="8">
        <f>DATE(2012,12,31)-774</f>
        <v>40500</v>
      </c>
      <c r="D2292" s="8" t="str">
        <f t="shared" si="45"/>
        <v>2010-11 (ноябрь 2010)</v>
      </c>
      <c r="E2292" s="9" t="s">
        <v>63</v>
      </c>
      <c r="F2292" s="7">
        <v>33</v>
      </c>
      <c r="G2292" s="7">
        <v>2701.69</v>
      </c>
      <c r="H2292" s="7">
        <v>0.05</v>
      </c>
      <c r="I2292" s="9" t="s">
        <v>31</v>
      </c>
      <c r="J2292" s="10">
        <v>-926.33</v>
      </c>
      <c r="K2292" s="11">
        <v>81.94</v>
      </c>
      <c r="L2292" s="11">
        <v>55.81</v>
      </c>
      <c r="M2292" s="9" t="s">
        <v>1257</v>
      </c>
      <c r="N2292" s="6" t="s">
        <v>1123</v>
      </c>
      <c r="O2292" s="6" t="s">
        <v>1123</v>
      </c>
      <c r="P2292" s="9" t="s">
        <v>25</v>
      </c>
      <c r="Q2292" s="9" t="s">
        <v>49</v>
      </c>
      <c r="R2292" s="9" t="s">
        <v>80</v>
      </c>
      <c r="S2292" s="7" t="s">
        <v>1104</v>
      </c>
      <c r="T2292" s="9" t="s">
        <v>82</v>
      </c>
      <c r="U2292" s="7">
        <v>0.6</v>
      </c>
      <c r="V2292" s="12">
        <f>C2292+0</f>
        <v>40500</v>
      </c>
      <c r="W2292">
        <f>IF(D2292=' Pivot Tables'!$A$4,1,0)</f>
        <v>0</v>
      </c>
      <c r="X2292">
        <f>IF(AND(LEFT(D2292,4)+1=LEFT(' Pivot Tables'!$A$4,4)+0,RIGHT(LEFT(D2292,7),2)=RIGHT(LEFT(' Pivot Tables'!$A$4,7),2)),1,0)</f>
        <v>0</v>
      </c>
      <c r="Y2292" s="6">
        <f>1/COUNTIF(Таблица1[Order ID],Таблица1[[#This Row],[Order ID]])</f>
        <v>1</v>
      </c>
      <c r="Z2292" s="9">
        <f>1/COUNTIFS(Таблица1[Customer Name],Таблица1[[#This Row],[Customer Name]],Таблица1[Order-Year-Month],Таблица1[[#This Row],[Order-Year-Month]])</f>
        <v>1</v>
      </c>
    </row>
    <row r="2293" spans="1:26" x14ac:dyDescent="0.2">
      <c r="A2293" s="6">
        <v>4890</v>
      </c>
      <c r="B2293" s="7">
        <v>34788</v>
      </c>
      <c r="C2293" s="8">
        <f>DATE(2012,12,31)-1148</f>
        <v>40126</v>
      </c>
      <c r="D2293" s="8" t="str">
        <f t="shared" si="45"/>
        <v>2009-11 (ноябрь 2009)</v>
      </c>
      <c r="E2293" s="9" t="s">
        <v>30</v>
      </c>
      <c r="F2293" s="7">
        <v>4</v>
      </c>
      <c r="G2293" s="7">
        <v>30.47</v>
      </c>
      <c r="H2293" s="7">
        <v>0.02</v>
      </c>
      <c r="I2293" s="9" t="s">
        <v>22</v>
      </c>
      <c r="J2293" s="10">
        <v>-10.7</v>
      </c>
      <c r="K2293" s="11">
        <v>5.98</v>
      </c>
      <c r="L2293" s="11">
        <v>5.15</v>
      </c>
      <c r="M2293" s="9" t="s">
        <v>1257</v>
      </c>
      <c r="N2293" s="6" t="s">
        <v>1123</v>
      </c>
      <c r="O2293" s="6" t="s">
        <v>1123</v>
      </c>
      <c r="P2293" s="9" t="s">
        <v>41</v>
      </c>
      <c r="Q2293" s="9" t="s">
        <v>26</v>
      </c>
      <c r="R2293" s="9" t="s">
        <v>61</v>
      </c>
      <c r="S2293" s="7" t="s">
        <v>995</v>
      </c>
      <c r="T2293" s="9" t="s">
        <v>39</v>
      </c>
      <c r="U2293" s="7">
        <v>0.36</v>
      </c>
      <c r="V2293" s="12">
        <f>C2293+2</f>
        <v>40128</v>
      </c>
      <c r="W2293">
        <f>IF(D2293=' Pivot Tables'!$A$4,1,0)</f>
        <v>0</v>
      </c>
      <c r="X2293">
        <f>IF(AND(LEFT(D2293,4)+1=LEFT(' Pivot Tables'!$A$4,4)+0,RIGHT(LEFT(D2293,7),2)=RIGHT(LEFT(' Pivot Tables'!$A$4,7),2)),1,0)</f>
        <v>0</v>
      </c>
      <c r="Y2293" s="6">
        <f>1/COUNTIF(Таблица1[Order ID],Таблица1[[#This Row],[Order ID]])</f>
        <v>1</v>
      </c>
      <c r="Z2293" s="9">
        <f>1/COUNTIFS(Таблица1[Customer Name],Таблица1[[#This Row],[Customer Name]],Таблица1[Order-Year-Month],Таблица1[[#This Row],[Order-Year-Month]])</f>
        <v>1</v>
      </c>
    </row>
    <row r="2294" spans="1:26" x14ac:dyDescent="0.2">
      <c r="A2294" s="6">
        <v>4907</v>
      </c>
      <c r="B2294" s="7">
        <v>34918</v>
      </c>
      <c r="C2294" s="8">
        <f>DATE(2012,12,31)-1165</f>
        <v>40109</v>
      </c>
      <c r="D2294" s="8" t="str">
        <f t="shared" si="45"/>
        <v>2009-10 (октябрь 2009)</v>
      </c>
      <c r="E2294" s="9" t="s">
        <v>63</v>
      </c>
      <c r="F2294" s="7">
        <v>12</v>
      </c>
      <c r="G2294" s="7">
        <v>2230.9699999999998</v>
      </c>
      <c r="H2294" s="7">
        <v>0.06</v>
      </c>
      <c r="I2294" s="9" t="s">
        <v>31</v>
      </c>
      <c r="J2294" s="10">
        <v>273.27</v>
      </c>
      <c r="K2294" s="11">
        <v>180.98</v>
      </c>
      <c r="L2294" s="11">
        <v>26.2</v>
      </c>
      <c r="M2294" s="9" t="s">
        <v>1361</v>
      </c>
      <c r="N2294" s="6" t="s">
        <v>1123</v>
      </c>
      <c r="O2294" s="6" t="s">
        <v>1123</v>
      </c>
      <c r="P2294" s="9" t="s">
        <v>41</v>
      </c>
      <c r="Q2294" s="9" t="s">
        <v>49</v>
      </c>
      <c r="R2294" s="9" t="s">
        <v>112</v>
      </c>
      <c r="S2294" s="7" t="s">
        <v>263</v>
      </c>
      <c r="T2294" s="9" t="s">
        <v>36</v>
      </c>
      <c r="U2294" s="7">
        <v>0.59</v>
      </c>
      <c r="V2294" s="12">
        <f>C2294+1</f>
        <v>40110</v>
      </c>
      <c r="W2294">
        <f>IF(D2294=' Pivot Tables'!$A$4,1,0)</f>
        <v>0</v>
      </c>
      <c r="X2294">
        <f>IF(AND(LEFT(D2294,4)+1=LEFT(' Pivot Tables'!$A$4,4)+0,RIGHT(LEFT(D2294,7),2)=RIGHT(LEFT(' Pivot Tables'!$A$4,7),2)),1,0)</f>
        <v>0</v>
      </c>
      <c r="Y2294" s="6">
        <f>1/COUNTIF(Таблица1[Order ID],Таблица1[[#This Row],[Order ID]])</f>
        <v>0.5</v>
      </c>
      <c r="Z2294" s="9">
        <f>1/COUNTIFS(Таблица1[Customer Name],Таблица1[[#This Row],[Customer Name]],Таблица1[Order-Year-Month],Таблица1[[#This Row],[Order-Year-Month]])</f>
        <v>0.5</v>
      </c>
    </row>
    <row r="2295" spans="1:26" x14ac:dyDescent="0.2">
      <c r="A2295" s="6">
        <v>4908</v>
      </c>
      <c r="B2295" s="7">
        <v>34918</v>
      </c>
      <c r="C2295" s="8">
        <f>DATE(2012,12,31)-1165</f>
        <v>40109</v>
      </c>
      <c r="D2295" s="8" t="str">
        <f t="shared" si="45"/>
        <v>2009-10 (октябрь 2009)</v>
      </c>
      <c r="E2295" s="9" t="s">
        <v>63</v>
      </c>
      <c r="F2295" s="7">
        <v>25</v>
      </c>
      <c r="G2295" s="7">
        <v>200.77</v>
      </c>
      <c r="H2295" s="7">
        <v>0.01</v>
      </c>
      <c r="I2295" s="9" t="s">
        <v>22</v>
      </c>
      <c r="J2295" s="10">
        <v>-60.61</v>
      </c>
      <c r="K2295" s="11">
        <v>7.28</v>
      </c>
      <c r="L2295" s="11">
        <v>7.98</v>
      </c>
      <c r="M2295" s="9" t="s">
        <v>1361</v>
      </c>
      <c r="N2295" s="6" t="s">
        <v>1123</v>
      </c>
      <c r="O2295" s="6" t="s">
        <v>1123</v>
      </c>
      <c r="P2295" s="9" t="s">
        <v>41</v>
      </c>
      <c r="Q2295" s="9" t="s">
        <v>49</v>
      </c>
      <c r="R2295" s="9" t="s">
        <v>50</v>
      </c>
      <c r="S2295" s="7" t="s">
        <v>1362</v>
      </c>
      <c r="T2295" s="9" t="s">
        <v>68</v>
      </c>
      <c r="U2295" s="7">
        <v>0.42</v>
      </c>
      <c r="V2295" s="12">
        <f>C2295+2</f>
        <v>40111</v>
      </c>
      <c r="W2295">
        <f>IF(D2295=' Pivot Tables'!$A$4,1,0)</f>
        <v>0</v>
      </c>
      <c r="X2295">
        <f>IF(AND(LEFT(D2295,4)+1=LEFT(' Pivot Tables'!$A$4,4)+0,RIGHT(LEFT(D2295,7),2)=RIGHT(LEFT(' Pivot Tables'!$A$4,7),2)),1,0)</f>
        <v>0</v>
      </c>
      <c r="Y2295" s="6">
        <f>1/COUNTIF(Таблица1[Order ID],Таблица1[[#This Row],[Order ID]])</f>
        <v>0.5</v>
      </c>
      <c r="Z2295" s="9">
        <f>1/COUNTIFS(Таблица1[Customer Name],Таблица1[[#This Row],[Customer Name]],Таблица1[Order-Year-Month],Таблица1[[#This Row],[Order-Year-Month]])</f>
        <v>0.5</v>
      </c>
    </row>
    <row r="2296" spans="1:26" x14ac:dyDescent="0.2">
      <c r="A2296" s="6">
        <v>4931</v>
      </c>
      <c r="B2296" s="7">
        <v>35079</v>
      </c>
      <c r="C2296" s="8">
        <f>DATE(2012,12,31)-870</f>
        <v>40404</v>
      </c>
      <c r="D2296" s="8" t="str">
        <f t="shared" si="45"/>
        <v>2010-08 (август 2010)</v>
      </c>
      <c r="E2296" s="9" t="s">
        <v>30</v>
      </c>
      <c r="F2296" s="7">
        <v>13</v>
      </c>
      <c r="G2296" s="7">
        <v>71.569999999999993</v>
      </c>
      <c r="H2296" s="7">
        <v>0.02</v>
      </c>
      <c r="I2296" s="9" t="s">
        <v>22</v>
      </c>
      <c r="J2296" s="10">
        <v>-30.6935</v>
      </c>
      <c r="K2296" s="11">
        <v>4.9800000000000004</v>
      </c>
      <c r="L2296" s="11">
        <v>4.95</v>
      </c>
      <c r="M2296" s="9" t="s">
        <v>1278</v>
      </c>
      <c r="N2296" s="6" t="s">
        <v>1123</v>
      </c>
      <c r="O2296" s="6" t="s">
        <v>1123</v>
      </c>
      <c r="P2296" s="9" t="s">
        <v>33</v>
      </c>
      <c r="Q2296" s="9" t="s">
        <v>49</v>
      </c>
      <c r="R2296" s="9" t="s">
        <v>80</v>
      </c>
      <c r="S2296" s="7" t="s">
        <v>325</v>
      </c>
      <c r="T2296" s="9" t="s">
        <v>82</v>
      </c>
      <c r="U2296" s="7">
        <v>0.65</v>
      </c>
      <c r="V2296" s="12">
        <f>C2296+2</f>
        <v>40406</v>
      </c>
      <c r="W2296">
        <f>IF(D2296=' Pivot Tables'!$A$4,1,0)</f>
        <v>0</v>
      </c>
      <c r="X2296">
        <f>IF(AND(LEFT(D2296,4)+1=LEFT(' Pivot Tables'!$A$4,4)+0,RIGHT(LEFT(D2296,7),2)=RIGHT(LEFT(' Pivot Tables'!$A$4,7),2)),1,0)</f>
        <v>0</v>
      </c>
      <c r="Y2296" s="6">
        <f>1/COUNTIF(Таблица1[Order ID],Таблица1[[#This Row],[Order ID]])</f>
        <v>0.5</v>
      </c>
      <c r="Z2296" s="9">
        <f>1/COUNTIFS(Таблица1[Customer Name],Таблица1[[#This Row],[Customer Name]],Таблица1[Order-Year-Month],Таблица1[[#This Row],[Order-Year-Month]])</f>
        <v>0.25</v>
      </c>
    </row>
    <row r="2297" spans="1:26" x14ac:dyDescent="0.2">
      <c r="A2297" s="6">
        <v>4932</v>
      </c>
      <c r="B2297" s="7">
        <v>35079</v>
      </c>
      <c r="C2297" s="8">
        <f>DATE(2012,12,31)-870</f>
        <v>40404</v>
      </c>
      <c r="D2297" s="8" t="str">
        <f t="shared" si="45"/>
        <v>2010-08 (август 2010)</v>
      </c>
      <c r="E2297" s="9" t="s">
        <v>30</v>
      </c>
      <c r="F2297" s="7">
        <v>32</v>
      </c>
      <c r="G2297" s="7">
        <v>2062.75</v>
      </c>
      <c r="H2297" s="7">
        <v>0.01</v>
      </c>
      <c r="I2297" s="9" t="s">
        <v>56</v>
      </c>
      <c r="J2297" s="10">
        <v>559.59</v>
      </c>
      <c r="K2297" s="11">
        <v>60.98</v>
      </c>
      <c r="L2297" s="11">
        <v>19.989999999999998</v>
      </c>
      <c r="M2297" s="9" t="s">
        <v>1278</v>
      </c>
      <c r="N2297" s="6" t="s">
        <v>1123</v>
      </c>
      <c r="O2297" s="6" t="s">
        <v>1123</v>
      </c>
      <c r="P2297" s="9" t="s">
        <v>33</v>
      </c>
      <c r="Q2297" s="9" t="s">
        <v>49</v>
      </c>
      <c r="R2297" s="9" t="s">
        <v>83</v>
      </c>
      <c r="S2297" s="7" t="s">
        <v>1363</v>
      </c>
      <c r="T2297" s="9" t="s">
        <v>29</v>
      </c>
      <c r="U2297" s="7">
        <v>0.63</v>
      </c>
      <c r="V2297" s="12">
        <f>C2297+2</f>
        <v>40406</v>
      </c>
      <c r="W2297">
        <f>IF(D2297=' Pivot Tables'!$A$4,1,0)</f>
        <v>0</v>
      </c>
      <c r="X2297">
        <f>IF(AND(LEFT(D2297,4)+1=LEFT(' Pivot Tables'!$A$4,4)+0,RIGHT(LEFT(D2297,7),2)=RIGHT(LEFT(' Pivot Tables'!$A$4,7),2)),1,0)</f>
        <v>0</v>
      </c>
      <c r="Y2297" s="6">
        <f>1/COUNTIF(Таблица1[Order ID],Таблица1[[#This Row],[Order ID]])</f>
        <v>0.5</v>
      </c>
      <c r="Z2297" s="9">
        <f>1/COUNTIFS(Таблица1[Customer Name],Таблица1[[#This Row],[Customer Name]],Таблица1[Order-Year-Month],Таблица1[[#This Row],[Order-Year-Month]])</f>
        <v>0.25</v>
      </c>
    </row>
    <row r="2298" spans="1:26" x14ac:dyDescent="0.2">
      <c r="A2298" s="6">
        <v>4935</v>
      </c>
      <c r="B2298" s="7">
        <v>35110</v>
      </c>
      <c r="C2298" s="8">
        <f>DATE(2012,12,31)-440</f>
        <v>40834</v>
      </c>
      <c r="D2298" s="8" t="str">
        <f t="shared" si="45"/>
        <v>2011-10 (октябрь 2011)</v>
      </c>
      <c r="E2298" s="9" t="s">
        <v>30</v>
      </c>
      <c r="F2298" s="7">
        <v>14</v>
      </c>
      <c r="G2298" s="7">
        <v>12805.25</v>
      </c>
      <c r="H2298" s="7">
        <v>0.01</v>
      </c>
      <c r="I2298" s="9" t="s">
        <v>22</v>
      </c>
      <c r="J2298" s="10">
        <v>5065.5069999999996</v>
      </c>
      <c r="K2298" s="11">
        <v>896.99</v>
      </c>
      <c r="L2298" s="11">
        <v>19.989999999999998</v>
      </c>
      <c r="M2298" s="9" t="s">
        <v>1334</v>
      </c>
      <c r="N2298" s="6" t="s">
        <v>1123</v>
      </c>
      <c r="O2298" s="6" t="s">
        <v>1123</v>
      </c>
      <c r="P2298" s="9" t="s">
        <v>41</v>
      </c>
      <c r="Q2298" s="9" t="s">
        <v>26</v>
      </c>
      <c r="R2298" s="9" t="s">
        <v>37</v>
      </c>
      <c r="S2298" s="7" t="s">
        <v>442</v>
      </c>
      <c r="T2298" s="9" t="s">
        <v>39</v>
      </c>
      <c r="U2298" s="7">
        <v>0.38</v>
      </c>
      <c r="V2298" s="12">
        <f>C2298+1</f>
        <v>40835</v>
      </c>
      <c r="W2298">
        <f>IF(D2298=' Pivot Tables'!$A$4,1,0)</f>
        <v>0</v>
      </c>
      <c r="X2298">
        <f>IF(AND(LEFT(D2298,4)+1=LEFT(' Pivot Tables'!$A$4,4)+0,RIGHT(LEFT(D2298,7),2)=RIGHT(LEFT(' Pivot Tables'!$A$4,7),2)),1,0)</f>
        <v>0</v>
      </c>
      <c r="Y2298" s="6">
        <f>1/COUNTIF(Таблица1[Order ID],Таблица1[[#This Row],[Order ID]])</f>
        <v>0.5</v>
      </c>
      <c r="Z2298" s="9">
        <f>1/COUNTIFS(Таблица1[Customer Name],Таблица1[[#This Row],[Customer Name]],Таблица1[Order-Year-Month],Таблица1[[#This Row],[Order-Year-Month]])</f>
        <v>0.5</v>
      </c>
    </row>
    <row r="2299" spans="1:26" x14ac:dyDescent="0.2">
      <c r="A2299" s="6">
        <v>4936</v>
      </c>
      <c r="B2299" s="7">
        <v>35110</v>
      </c>
      <c r="C2299" s="8">
        <f>DATE(2012,12,31)-440</f>
        <v>40834</v>
      </c>
      <c r="D2299" s="8" t="str">
        <f t="shared" si="45"/>
        <v>2011-10 (октябрь 2011)</v>
      </c>
      <c r="E2299" s="9" t="s">
        <v>30</v>
      </c>
      <c r="F2299" s="7">
        <v>49</v>
      </c>
      <c r="G2299" s="7">
        <v>1435.32</v>
      </c>
      <c r="H2299" s="7">
        <v>0.02</v>
      </c>
      <c r="I2299" s="9" t="s">
        <v>22</v>
      </c>
      <c r="J2299" s="10">
        <v>485.95</v>
      </c>
      <c r="K2299" s="11">
        <v>29.89</v>
      </c>
      <c r="L2299" s="11">
        <v>1.99</v>
      </c>
      <c r="M2299" s="9" t="s">
        <v>1334</v>
      </c>
      <c r="N2299" s="6" t="s">
        <v>1123</v>
      </c>
      <c r="O2299" s="6" t="s">
        <v>1123</v>
      </c>
      <c r="P2299" s="9" t="s">
        <v>41</v>
      </c>
      <c r="Q2299" s="9" t="s">
        <v>42</v>
      </c>
      <c r="R2299" s="9" t="s">
        <v>70</v>
      </c>
      <c r="S2299" s="7" t="s">
        <v>547</v>
      </c>
      <c r="T2299" s="9" t="s">
        <v>52</v>
      </c>
      <c r="U2299" s="7">
        <v>0.5</v>
      </c>
      <c r="V2299" s="12">
        <f>C2299+2</f>
        <v>40836</v>
      </c>
      <c r="W2299">
        <f>IF(D2299=' Pivot Tables'!$A$4,1,0)</f>
        <v>0</v>
      </c>
      <c r="X2299">
        <f>IF(AND(LEFT(D2299,4)+1=LEFT(' Pivot Tables'!$A$4,4)+0,RIGHT(LEFT(D2299,7),2)=RIGHT(LEFT(' Pivot Tables'!$A$4,7),2)),1,0)</f>
        <v>0</v>
      </c>
      <c r="Y2299" s="6">
        <f>1/COUNTIF(Таблица1[Order ID],Таблица1[[#This Row],[Order ID]])</f>
        <v>0.5</v>
      </c>
      <c r="Z2299" s="9">
        <f>1/COUNTIFS(Таблица1[Customer Name],Таблица1[[#This Row],[Customer Name]],Таблица1[Order-Year-Month],Таблица1[[#This Row],[Order-Year-Month]])</f>
        <v>0.5</v>
      </c>
    </row>
    <row r="2300" spans="1:26" x14ac:dyDescent="0.2">
      <c r="A2300" s="6">
        <v>4992</v>
      </c>
      <c r="B2300" s="7">
        <v>35554</v>
      </c>
      <c r="C2300" s="8">
        <f>DATE(2012,12,31)-98</f>
        <v>41176</v>
      </c>
      <c r="D2300" s="8" t="str">
        <f t="shared" si="45"/>
        <v>2012-09 (сентябрь 2012)</v>
      </c>
      <c r="E2300" s="9" t="s">
        <v>45</v>
      </c>
      <c r="F2300" s="7">
        <v>34</v>
      </c>
      <c r="G2300" s="7">
        <v>4581.54</v>
      </c>
      <c r="H2300" s="7">
        <v>0.05</v>
      </c>
      <c r="I2300" s="9" t="s">
        <v>31</v>
      </c>
      <c r="J2300" s="10">
        <v>-614.37</v>
      </c>
      <c r="K2300" s="11">
        <v>130.97999999999999</v>
      </c>
      <c r="L2300" s="11">
        <v>54.74</v>
      </c>
      <c r="M2300" s="9" t="s">
        <v>1278</v>
      </c>
      <c r="N2300" s="6" t="s">
        <v>1123</v>
      </c>
      <c r="O2300" s="6" t="s">
        <v>1123</v>
      </c>
      <c r="P2300" s="9" t="s">
        <v>33</v>
      </c>
      <c r="Q2300" s="9" t="s">
        <v>49</v>
      </c>
      <c r="R2300" s="9" t="s">
        <v>80</v>
      </c>
      <c r="S2300" s="7" t="s">
        <v>807</v>
      </c>
      <c r="T2300" s="9" t="s">
        <v>82</v>
      </c>
      <c r="U2300" s="7">
        <v>0.69</v>
      </c>
      <c r="V2300" s="12">
        <f>C2300+2</f>
        <v>41178</v>
      </c>
      <c r="W2300">
        <f>IF(D2300=' Pivot Tables'!$A$4,1,0)</f>
        <v>0</v>
      </c>
      <c r="X2300">
        <f>IF(AND(LEFT(D2300,4)+1=LEFT(' Pivot Tables'!$A$4,4)+0,RIGHT(LEFT(D2300,7),2)=RIGHT(LEFT(' Pivot Tables'!$A$4,7),2)),1,0)</f>
        <v>0</v>
      </c>
      <c r="Y2300" s="6">
        <f>1/COUNTIF(Таблица1[Order ID],Таблица1[[#This Row],[Order ID]])</f>
        <v>1</v>
      </c>
      <c r="Z2300" s="9">
        <f>1/COUNTIFS(Таблица1[Customer Name],Таблица1[[#This Row],[Customer Name]],Таблица1[Order-Year-Month],Таблица1[[#This Row],[Order-Year-Month]])</f>
        <v>0.5</v>
      </c>
    </row>
    <row r="2301" spans="1:26" x14ac:dyDescent="0.2">
      <c r="A2301" s="6">
        <v>4993</v>
      </c>
      <c r="B2301" s="7">
        <v>35555</v>
      </c>
      <c r="C2301" s="8">
        <f>DATE(2012,12,31)-668</f>
        <v>40606</v>
      </c>
      <c r="D2301" s="8" t="str">
        <f t="shared" si="45"/>
        <v>2011-03 (март 2011)</v>
      </c>
      <c r="E2301" s="9" t="s">
        <v>63</v>
      </c>
      <c r="F2301" s="7">
        <v>50</v>
      </c>
      <c r="G2301" s="7">
        <v>11266.4</v>
      </c>
      <c r="H2301" s="7">
        <v>0.08</v>
      </c>
      <c r="I2301" s="9" t="s">
        <v>31</v>
      </c>
      <c r="J2301" s="10">
        <v>1902.99</v>
      </c>
      <c r="K2301" s="11">
        <v>243.98</v>
      </c>
      <c r="L2301" s="11">
        <v>43.32</v>
      </c>
      <c r="M2301" s="9" t="s">
        <v>1261</v>
      </c>
      <c r="N2301" s="6" t="s">
        <v>1123</v>
      </c>
      <c r="O2301" s="6" t="s">
        <v>1123</v>
      </c>
      <c r="P2301" s="9" t="s">
        <v>41</v>
      </c>
      <c r="Q2301" s="9" t="s">
        <v>49</v>
      </c>
      <c r="R2301" s="9" t="s">
        <v>112</v>
      </c>
      <c r="S2301" s="7" t="s">
        <v>237</v>
      </c>
      <c r="T2301" s="9" t="s">
        <v>36</v>
      </c>
      <c r="U2301" s="7">
        <v>0.55000000000000004</v>
      </c>
      <c r="V2301" s="12">
        <f>C2301+1</f>
        <v>40607</v>
      </c>
      <c r="W2301">
        <f>IF(D2301=' Pivot Tables'!$A$4,1,0)</f>
        <v>0</v>
      </c>
      <c r="X2301">
        <f>IF(AND(LEFT(D2301,4)+1=LEFT(' Pivot Tables'!$A$4,4)+0,RIGHT(LEFT(D2301,7),2)=RIGHT(LEFT(' Pivot Tables'!$A$4,7),2)),1,0)</f>
        <v>0</v>
      </c>
      <c r="Y2301" s="6">
        <f>1/COUNTIF(Таблица1[Order ID],Таблица1[[#This Row],[Order ID]])</f>
        <v>0.33333333333333331</v>
      </c>
      <c r="Z2301" s="9">
        <f>1/COUNTIFS(Таблица1[Customer Name],Таблица1[[#This Row],[Customer Name]],Таблица1[Order-Year-Month],Таблица1[[#This Row],[Order-Year-Month]])</f>
        <v>0.2</v>
      </c>
    </row>
    <row r="2302" spans="1:26" x14ac:dyDescent="0.2">
      <c r="A2302" s="6">
        <v>4994</v>
      </c>
      <c r="B2302" s="7">
        <v>35555</v>
      </c>
      <c r="C2302" s="8">
        <f>DATE(2012,12,31)-668</f>
        <v>40606</v>
      </c>
      <c r="D2302" s="8" t="str">
        <f t="shared" si="45"/>
        <v>2011-03 (март 2011)</v>
      </c>
      <c r="E2302" s="9" t="s">
        <v>63</v>
      </c>
      <c r="F2302" s="7">
        <v>15</v>
      </c>
      <c r="G2302" s="7">
        <v>71.61</v>
      </c>
      <c r="H2302" s="7">
        <v>0.1</v>
      </c>
      <c r="I2302" s="9" t="s">
        <v>22</v>
      </c>
      <c r="J2302" s="10">
        <v>-70.31</v>
      </c>
      <c r="K2302" s="11">
        <v>4.8899999999999997</v>
      </c>
      <c r="L2302" s="11">
        <v>4.93</v>
      </c>
      <c r="M2302" s="9" t="s">
        <v>1261</v>
      </c>
      <c r="N2302" s="6" t="s">
        <v>1123</v>
      </c>
      <c r="O2302" s="6" t="s">
        <v>1123</v>
      </c>
      <c r="P2302" s="9" t="s">
        <v>41</v>
      </c>
      <c r="Q2302" s="9" t="s">
        <v>42</v>
      </c>
      <c r="R2302" s="9" t="s">
        <v>70</v>
      </c>
      <c r="S2302" s="7" t="s">
        <v>93</v>
      </c>
      <c r="T2302" s="9" t="s">
        <v>52</v>
      </c>
      <c r="U2302" s="7">
        <v>0.66</v>
      </c>
      <c r="V2302" s="12">
        <f>C2302+2</f>
        <v>40608</v>
      </c>
      <c r="W2302">
        <f>IF(D2302=' Pivot Tables'!$A$4,1,0)</f>
        <v>0</v>
      </c>
      <c r="X2302">
        <f>IF(AND(LEFT(D2302,4)+1=LEFT(' Pivot Tables'!$A$4,4)+0,RIGHT(LEFT(D2302,7),2)=RIGHT(LEFT(' Pivot Tables'!$A$4,7),2)),1,0)</f>
        <v>0</v>
      </c>
      <c r="Y2302" s="6">
        <f>1/COUNTIF(Таблица1[Order ID],Таблица1[[#This Row],[Order ID]])</f>
        <v>0.33333333333333331</v>
      </c>
      <c r="Z2302" s="9">
        <f>1/COUNTIFS(Таблица1[Customer Name],Таблица1[[#This Row],[Customer Name]],Таблица1[Order-Year-Month],Таблица1[[#This Row],[Order-Year-Month]])</f>
        <v>0.2</v>
      </c>
    </row>
    <row r="2303" spans="1:26" x14ac:dyDescent="0.2">
      <c r="A2303" s="6">
        <v>4995</v>
      </c>
      <c r="B2303" s="7">
        <v>35555</v>
      </c>
      <c r="C2303" s="8">
        <f>DATE(2012,12,31)-668</f>
        <v>40606</v>
      </c>
      <c r="D2303" s="8" t="str">
        <f t="shared" si="45"/>
        <v>2011-03 (март 2011)</v>
      </c>
      <c r="E2303" s="9" t="s">
        <v>63</v>
      </c>
      <c r="F2303" s="7">
        <v>2</v>
      </c>
      <c r="G2303" s="7">
        <v>10.43</v>
      </c>
      <c r="H2303" s="7">
        <v>7.0000000000000007E-2</v>
      </c>
      <c r="I2303" s="9" t="s">
        <v>22</v>
      </c>
      <c r="J2303" s="10">
        <v>-4.72</v>
      </c>
      <c r="K2303" s="11">
        <v>4.9800000000000004</v>
      </c>
      <c r="L2303" s="11">
        <v>0.8</v>
      </c>
      <c r="M2303" s="9" t="s">
        <v>1261</v>
      </c>
      <c r="N2303" s="6" t="s">
        <v>1123</v>
      </c>
      <c r="O2303" s="6" t="s">
        <v>1123</v>
      </c>
      <c r="P2303" s="9" t="s">
        <v>41</v>
      </c>
      <c r="Q2303" s="9" t="s">
        <v>26</v>
      </c>
      <c r="R2303" s="9" t="s">
        <v>61</v>
      </c>
      <c r="S2303" s="7" t="s">
        <v>842</v>
      </c>
      <c r="T2303" s="9" t="s">
        <v>68</v>
      </c>
      <c r="U2303" s="7">
        <v>0.36</v>
      </c>
      <c r="V2303" s="12">
        <f>C2303+0</f>
        <v>40606</v>
      </c>
      <c r="W2303">
        <f>IF(D2303=' Pivot Tables'!$A$4,1,0)</f>
        <v>0</v>
      </c>
      <c r="X2303">
        <f>IF(AND(LEFT(D2303,4)+1=LEFT(' Pivot Tables'!$A$4,4)+0,RIGHT(LEFT(D2303,7),2)=RIGHT(LEFT(' Pivot Tables'!$A$4,7),2)),1,0)</f>
        <v>0</v>
      </c>
      <c r="Y2303" s="6">
        <f>1/COUNTIF(Таблица1[Order ID],Таблица1[[#This Row],[Order ID]])</f>
        <v>0.33333333333333331</v>
      </c>
      <c r="Z2303" s="9">
        <f>1/COUNTIFS(Таблица1[Customer Name],Таблица1[[#This Row],[Customer Name]],Таблица1[Order-Year-Month],Таблица1[[#This Row],[Order-Year-Month]])</f>
        <v>0.2</v>
      </c>
    </row>
    <row r="2304" spans="1:26" x14ac:dyDescent="0.2">
      <c r="A2304" s="6">
        <v>5033</v>
      </c>
      <c r="B2304" s="7">
        <v>35877</v>
      </c>
      <c r="C2304" s="8">
        <f>DATE(2012,12,31)-951</f>
        <v>40323</v>
      </c>
      <c r="D2304" s="8" t="str">
        <f t="shared" si="45"/>
        <v>2010-05 (май 2010)</v>
      </c>
      <c r="E2304" s="9" t="s">
        <v>30</v>
      </c>
      <c r="F2304" s="7">
        <v>30</v>
      </c>
      <c r="G2304" s="7">
        <v>129.71</v>
      </c>
      <c r="H2304" s="7">
        <v>0.08</v>
      </c>
      <c r="I2304" s="9" t="s">
        <v>22</v>
      </c>
      <c r="J2304" s="10">
        <v>-100.61</v>
      </c>
      <c r="K2304" s="11">
        <v>4.28</v>
      </c>
      <c r="L2304" s="11">
        <v>5.68</v>
      </c>
      <c r="M2304" s="9" t="s">
        <v>1243</v>
      </c>
      <c r="N2304" s="6" t="s">
        <v>1123</v>
      </c>
      <c r="O2304" s="6" t="s">
        <v>1123</v>
      </c>
      <c r="P2304" s="9" t="s">
        <v>41</v>
      </c>
      <c r="Q2304" s="9" t="s">
        <v>26</v>
      </c>
      <c r="R2304" s="9" t="s">
        <v>61</v>
      </c>
      <c r="S2304" s="7" t="s">
        <v>838</v>
      </c>
      <c r="T2304" s="9" t="s">
        <v>39</v>
      </c>
      <c r="U2304" s="7">
        <v>0.4</v>
      </c>
      <c r="V2304" s="12">
        <f>C2304+3</f>
        <v>40326</v>
      </c>
      <c r="W2304">
        <f>IF(D2304=' Pivot Tables'!$A$4,1,0)</f>
        <v>0</v>
      </c>
      <c r="X2304">
        <f>IF(AND(LEFT(D2304,4)+1=LEFT(' Pivot Tables'!$A$4,4)+0,RIGHT(LEFT(D2304,7),2)=RIGHT(LEFT(' Pivot Tables'!$A$4,7),2)),1,0)</f>
        <v>0</v>
      </c>
      <c r="Y2304" s="6">
        <f>1/COUNTIF(Таблица1[Order ID],Таблица1[[#This Row],[Order ID]])</f>
        <v>1</v>
      </c>
      <c r="Z2304" s="9">
        <f>1/COUNTIFS(Таблица1[Customer Name],Таблица1[[#This Row],[Customer Name]],Таблица1[Order-Year-Month],Таблица1[[#This Row],[Order-Year-Month]])</f>
        <v>1</v>
      </c>
    </row>
    <row r="2305" spans="1:26" x14ac:dyDescent="0.2">
      <c r="A2305" s="6">
        <v>5035</v>
      </c>
      <c r="B2305" s="7">
        <v>35878</v>
      </c>
      <c r="C2305" s="8">
        <f>DATE(2012,12,31)-871</f>
        <v>40403</v>
      </c>
      <c r="D2305" s="8" t="str">
        <f t="shared" si="45"/>
        <v>2010-08 (август 2010)</v>
      </c>
      <c r="E2305" s="9" t="s">
        <v>63</v>
      </c>
      <c r="F2305" s="7">
        <v>45</v>
      </c>
      <c r="G2305" s="7">
        <v>161.66999999999999</v>
      </c>
      <c r="H2305" s="7">
        <v>0.08</v>
      </c>
      <c r="I2305" s="9" t="s">
        <v>22</v>
      </c>
      <c r="J2305" s="10">
        <v>-7.71</v>
      </c>
      <c r="K2305" s="11">
        <v>3.6</v>
      </c>
      <c r="L2305" s="11">
        <v>2.2000000000000002</v>
      </c>
      <c r="M2305" s="9" t="s">
        <v>1364</v>
      </c>
      <c r="N2305" s="6" t="s">
        <v>1123</v>
      </c>
      <c r="O2305" s="6" t="s">
        <v>1123</v>
      </c>
      <c r="P2305" s="9" t="s">
        <v>41</v>
      </c>
      <c r="Q2305" s="9" t="s">
        <v>26</v>
      </c>
      <c r="R2305" s="9" t="s">
        <v>61</v>
      </c>
      <c r="S2305" s="7" t="s">
        <v>1365</v>
      </c>
      <c r="T2305" s="9" t="s">
        <v>68</v>
      </c>
      <c r="U2305" s="7">
        <v>0.39</v>
      </c>
      <c r="V2305" s="12">
        <f>C2305+2</f>
        <v>40405</v>
      </c>
      <c r="W2305">
        <f>IF(D2305=' Pivot Tables'!$A$4,1,0)</f>
        <v>0</v>
      </c>
      <c r="X2305">
        <f>IF(AND(LEFT(D2305,4)+1=LEFT(' Pivot Tables'!$A$4,4)+0,RIGHT(LEFT(D2305,7),2)=RIGHT(LEFT(' Pivot Tables'!$A$4,7),2)),1,0)</f>
        <v>0</v>
      </c>
      <c r="Y2305" s="6">
        <f>1/COUNTIF(Таблица1[Order ID],Таблица1[[#This Row],[Order ID]])</f>
        <v>0.5</v>
      </c>
      <c r="Z2305" s="9">
        <f>1/COUNTIFS(Таблица1[Customer Name],Таблица1[[#This Row],[Customer Name]],Таблица1[Order-Year-Month],Таблица1[[#This Row],[Order-Year-Month]])</f>
        <v>0.5</v>
      </c>
    </row>
    <row r="2306" spans="1:26" x14ac:dyDescent="0.2">
      <c r="A2306" s="6">
        <v>5112</v>
      </c>
      <c r="B2306" s="7">
        <v>36448</v>
      </c>
      <c r="C2306" s="8">
        <f>DATE(2012,12,31)-843</f>
        <v>40431</v>
      </c>
      <c r="D2306" s="8" t="str">
        <f t="shared" si="45"/>
        <v>2010-09 (сентябрь 2010)</v>
      </c>
      <c r="E2306" s="9" t="s">
        <v>63</v>
      </c>
      <c r="F2306" s="7">
        <v>6</v>
      </c>
      <c r="G2306" s="7">
        <v>36.65</v>
      </c>
      <c r="H2306" s="7">
        <v>0.03</v>
      </c>
      <c r="I2306" s="9" t="s">
        <v>22</v>
      </c>
      <c r="J2306" s="10">
        <v>0.43</v>
      </c>
      <c r="K2306" s="11">
        <v>6.08</v>
      </c>
      <c r="L2306" s="11">
        <v>0.91</v>
      </c>
      <c r="M2306" s="9" t="s">
        <v>1266</v>
      </c>
      <c r="N2306" s="6" t="s">
        <v>1123</v>
      </c>
      <c r="O2306" s="6" t="s">
        <v>1123</v>
      </c>
      <c r="P2306" s="9" t="s">
        <v>33</v>
      </c>
      <c r="Q2306" s="9" t="s">
        <v>26</v>
      </c>
      <c r="R2306" s="9" t="s">
        <v>95</v>
      </c>
      <c r="S2306" s="7" t="s">
        <v>1366</v>
      </c>
      <c r="T2306" s="9" t="s">
        <v>68</v>
      </c>
      <c r="U2306" s="7">
        <v>0.51</v>
      </c>
      <c r="V2306" s="12">
        <f>C2306+0</f>
        <v>40431</v>
      </c>
      <c r="W2306">
        <f>IF(D2306=' Pivot Tables'!$A$4,1,0)</f>
        <v>0</v>
      </c>
      <c r="X2306">
        <f>IF(AND(LEFT(D2306,4)+1=LEFT(' Pivot Tables'!$A$4,4)+0,RIGHT(LEFT(D2306,7),2)=RIGHT(LEFT(' Pivot Tables'!$A$4,7),2)),1,0)</f>
        <v>0</v>
      </c>
      <c r="Y2306" s="6">
        <f>1/COUNTIF(Таблица1[Order ID],Таблица1[[#This Row],[Order ID]])</f>
        <v>0.5</v>
      </c>
      <c r="Z2306" s="9">
        <f>1/COUNTIFS(Таблица1[Customer Name],Таблица1[[#This Row],[Customer Name]],Таблица1[Order-Year-Month],Таблица1[[#This Row],[Order-Year-Month]])</f>
        <v>0.5</v>
      </c>
    </row>
    <row r="2307" spans="1:26" x14ac:dyDescent="0.2">
      <c r="A2307" s="6">
        <v>5113</v>
      </c>
      <c r="B2307" s="7">
        <v>36448</v>
      </c>
      <c r="C2307" s="8">
        <f>DATE(2012,12,31)-843</f>
        <v>40431</v>
      </c>
      <c r="D2307" s="8" t="str">
        <f t="shared" ref="D2307:D2370" si="46">TEXT(C2307,"гггг-ММ (ММММ гггг)")</f>
        <v>2010-09 (сентябрь 2010)</v>
      </c>
      <c r="E2307" s="9" t="s">
        <v>63</v>
      </c>
      <c r="F2307" s="7">
        <v>44</v>
      </c>
      <c r="G2307" s="7">
        <v>964.09</v>
      </c>
      <c r="H2307" s="7">
        <v>0.02</v>
      </c>
      <c r="I2307" s="9" t="s">
        <v>22</v>
      </c>
      <c r="J2307" s="10">
        <v>105.37</v>
      </c>
      <c r="K2307" s="11">
        <v>22.01</v>
      </c>
      <c r="L2307" s="11">
        <v>5.53</v>
      </c>
      <c r="M2307" s="9" t="s">
        <v>1266</v>
      </c>
      <c r="N2307" s="6" t="s">
        <v>1123</v>
      </c>
      <c r="O2307" s="6" t="s">
        <v>1123</v>
      </c>
      <c r="P2307" s="9" t="s">
        <v>33</v>
      </c>
      <c r="Q2307" s="9" t="s">
        <v>26</v>
      </c>
      <c r="R2307" s="9" t="s">
        <v>95</v>
      </c>
      <c r="S2307" s="7" t="s">
        <v>1147</v>
      </c>
      <c r="T2307" s="9" t="s">
        <v>52</v>
      </c>
      <c r="U2307" s="7">
        <v>0.59</v>
      </c>
      <c r="V2307" s="12">
        <f>C2307+1</f>
        <v>40432</v>
      </c>
      <c r="W2307">
        <f>IF(D2307=' Pivot Tables'!$A$4,1,0)</f>
        <v>0</v>
      </c>
      <c r="X2307">
        <f>IF(AND(LEFT(D2307,4)+1=LEFT(' Pivot Tables'!$A$4,4)+0,RIGHT(LEFT(D2307,7),2)=RIGHT(LEFT(' Pivot Tables'!$A$4,7),2)),1,0)</f>
        <v>0</v>
      </c>
      <c r="Y2307" s="6">
        <f>1/COUNTIF(Таблица1[Order ID],Таблица1[[#This Row],[Order ID]])</f>
        <v>0.5</v>
      </c>
      <c r="Z2307" s="9">
        <f>1/COUNTIFS(Таблица1[Customer Name],Таблица1[[#This Row],[Customer Name]],Таблица1[Order-Year-Month],Таблица1[[#This Row],[Order-Year-Month]])</f>
        <v>0.5</v>
      </c>
    </row>
    <row r="2308" spans="1:26" x14ac:dyDescent="0.2">
      <c r="A2308" s="6">
        <v>5117</v>
      </c>
      <c r="B2308" s="7">
        <v>36452</v>
      </c>
      <c r="C2308" s="8">
        <f>DATE(2012,12,31)-1366</f>
        <v>39908</v>
      </c>
      <c r="D2308" s="8" t="str">
        <f t="shared" si="46"/>
        <v>2009-04 (апрель 2009)</v>
      </c>
      <c r="E2308" s="9" t="s">
        <v>30</v>
      </c>
      <c r="F2308" s="7">
        <v>26</v>
      </c>
      <c r="G2308" s="7">
        <v>564.98</v>
      </c>
      <c r="H2308" s="7">
        <v>0.1</v>
      </c>
      <c r="I2308" s="9" t="s">
        <v>22</v>
      </c>
      <c r="J2308" s="10">
        <v>-107.51349999999999</v>
      </c>
      <c r="K2308" s="11">
        <v>22.38</v>
      </c>
      <c r="L2308" s="11">
        <v>15.1</v>
      </c>
      <c r="M2308" s="9" t="s">
        <v>1367</v>
      </c>
      <c r="N2308" s="6" t="s">
        <v>1123</v>
      </c>
      <c r="O2308" s="6" t="s">
        <v>1123</v>
      </c>
      <c r="P2308" s="9" t="s">
        <v>60</v>
      </c>
      <c r="Q2308" s="9" t="s">
        <v>26</v>
      </c>
      <c r="R2308" s="9" t="s">
        <v>37</v>
      </c>
      <c r="S2308" s="7" t="s">
        <v>415</v>
      </c>
      <c r="T2308" s="9" t="s">
        <v>39</v>
      </c>
      <c r="U2308" s="7">
        <v>0.38</v>
      </c>
      <c r="V2308" s="12">
        <f>C2308+1</f>
        <v>39909</v>
      </c>
      <c r="W2308">
        <f>IF(D2308=' Pivot Tables'!$A$4,1,0)</f>
        <v>0</v>
      </c>
      <c r="X2308">
        <f>IF(AND(LEFT(D2308,4)+1=LEFT(' Pivot Tables'!$A$4,4)+0,RIGHT(LEFT(D2308,7),2)=RIGHT(LEFT(' Pivot Tables'!$A$4,7),2)),1,0)</f>
        <v>0</v>
      </c>
      <c r="Y2308" s="6">
        <f>1/COUNTIF(Таблица1[Order ID],Таблица1[[#This Row],[Order ID]])</f>
        <v>0.5</v>
      </c>
      <c r="Z2308" s="9">
        <f>1/COUNTIFS(Таблица1[Customer Name],Таблица1[[#This Row],[Customer Name]],Таблица1[Order-Year-Month],Таблица1[[#This Row],[Order-Year-Month]])</f>
        <v>0.5</v>
      </c>
    </row>
    <row r="2309" spans="1:26" x14ac:dyDescent="0.2">
      <c r="A2309" s="6">
        <v>5118</v>
      </c>
      <c r="B2309" s="7">
        <v>36452</v>
      </c>
      <c r="C2309" s="8">
        <f>DATE(2012,12,31)-1366</f>
        <v>39908</v>
      </c>
      <c r="D2309" s="8" t="str">
        <f t="shared" si="46"/>
        <v>2009-04 (апрель 2009)</v>
      </c>
      <c r="E2309" s="9" t="s">
        <v>30</v>
      </c>
      <c r="F2309" s="7">
        <v>18</v>
      </c>
      <c r="G2309" s="7">
        <v>129.47999999999999</v>
      </c>
      <c r="H2309" s="7">
        <v>0.04</v>
      </c>
      <c r="I2309" s="9" t="s">
        <v>22</v>
      </c>
      <c r="J2309" s="10">
        <v>46.01</v>
      </c>
      <c r="K2309" s="11">
        <v>6.98</v>
      </c>
      <c r="L2309" s="11">
        <v>2.83</v>
      </c>
      <c r="M2309" s="9" t="s">
        <v>1367</v>
      </c>
      <c r="N2309" s="6" t="s">
        <v>1123</v>
      </c>
      <c r="O2309" s="6" t="s">
        <v>1123</v>
      </c>
      <c r="P2309" s="9" t="s">
        <v>60</v>
      </c>
      <c r="Q2309" s="9" t="s">
        <v>49</v>
      </c>
      <c r="R2309" s="9" t="s">
        <v>50</v>
      </c>
      <c r="S2309" s="7" t="s">
        <v>926</v>
      </c>
      <c r="T2309" s="9" t="s">
        <v>52</v>
      </c>
      <c r="U2309" s="7">
        <v>0.37</v>
      </c>
      <c r="V2309" s="12">
        <f>C2309+2</f>
        <v>39910</v>
      </c>
      <c r="W2309">
        <f>IF(D2309=' Pivot Tables'!$A$4,1,0)</f>
        <v>0</v>
      </c>
      <c r="X2309">
        <f>IF(AND(LEFT(D2309,4)+1=LEFT(' Pivot Tables'!$A$4,4)+0,RIGHT(LEFT(D2309,7),2)=RIGHT(LEFT(' Pivot Tables'!$A$4,7),2)),1,0)</f>
        <v>0</v>
      </c>
      <c r="Y2309" s="6">
        <f>1/COUNTIF(Таблица1[Order ID],Таблица1[[#This Row],[Order ID]])</f>
        <v>0.5</v>
      </c>
      <c r="Z2309" s="9">
        <f>1/COUNTIFS(Таблица1[Customer Name],Таблица1[[#This Row],[Customer Name]],Таблица1[Order-Year-Month],Таблица1[[#This Row],[Order-Year-Month]])</f>
        <v>0.5</v>
      </c>
    </row>
    <row r="2310" spans="1:26" x14ac:dyDescent="0.2">
      <c r="A2310" s="6">
        <v>5125</v>
      </c>
      <c r="B2310" s="7">
        <v>36484</v>
      </c>
      <c r="C2310" s="8">
        <f>DATE(2012,12,31)-338</f>
        <v>40936</v>
      </c>
      <c r="D2310" s="8" t="str">
        <f t="shared" si="46"/>
        <v>2012-01 (январь 2012)</v>
      </c>
      <c r="E2310" s="9" t="s">
        <v>78</v>
      </c>
      <c r="F2310" s="7">
        <v>41</v>
      </c>
      <c r="G2310" s="7">
        <v>2380.5695000000001</v>
      </c>
      <c r="H2310" s="7">
        <v>0.01</v>
      </c>
      <c r="I2310" s="9" t="s">
        <v>56</v>
      </c>
      <c r="J2310" s="10">
        <v>740.47500000000002</v>
      </c>
      <c r="K2310" s="11">
        <v>65.989999999999995</v>
      </c>
      <c r="L2310" s="11">
        <v>3.9</v>
      </c>
      <c r="M2310" s="9" t="s">
        <v>1364</v>
      </c>
      <c r="N2310" s="6" t="s">
        <v>1123</v>
      </c>
      <c r="O2310" s="6" t="s">
        <v>1123</v>
      </c>
      <c r="P2310" s="9" t="s">
        <v>41</v>
      </c>
      <c r="Q2310" s="9" t="s">
        <v>42</v>
      </c>
      <c r="R2310" s="9" t="s">
        <v>43</v>
      </c>
      <c r="S2310" s="7" t="s">
        <v>370</v>
      </c>
      <c r="T2310" s="9" t="s">
        <v>39</v>
      </c>
      <c r="U2310" s="7">
        <v>0.55000000000000004</v>
      </c>
      <c r="V2310" s="12">
        <f>C2310+1</f>
        <v>40937</v>
      </c>
      <c r="W2310">
        <f>IF(D2310=' Pivot Tables'!$A$4,1,0)</f>
        <v>0</v>
      </c>
      <c r="X2310">
        <f>IF(AND(LEFT(D2310,4)+1=LEFT(' Pivot Tables'!$A$4,4)+0,RIGHT(LEFT(D2310,7),2)=RIGHT(LEFT(' Pivot Tables'!$A$4,7),2)),1,0)</f>
        <v>0</v>
      </c>
      <c r="Y2310" s="6">
        <f>1/COUNTIF(Таблица1[Order ID],Таблица1[[#This Row],[Order ID]])</f>
        <v>1</v>
      </c>
      <c r="Z2310" s="9">
        <f>1/COUNTIFS(Таблица1[Customer Name],Таблица1[[#This Row],[Customer Name]],Таблица1[Order-Year-Month],Таблица1[[#This Row],[Order-Year-Month]])</f>
        <v>1</v>
      </c>
    </row>
    <row r="2311" spans="1:26" x14ac:dyDescent="0.2">
      <c r="A2311" s="6">
        <v>5136</v>
      </c>
      <c r="B2311" s="7">
        <v>36643</v>
      </c>
      <c r="C2311" s="8">
        <f>DATE(2012,12,31)-1407</f>
        <v>39867</v>
      </c>
      <c r="D2311" s="8" t="str">
        <f t="shared" si="46"/>
        <v>2009-02 (февраль 2009)</v>
      </c>
      <c r="E2311" s="9" t="s">
        <v>78</v>
      </c>
      <c r="F2311" s="7">
        <v>17</v>
      </c>
      <c r="G2311" s="7">
        <v>240.87</v>
      </c>
      <c r="H2311" s="7">
        <v>0.01</v>
      </c>
      <c r="I2311" s="9" t="s">
        <v>22</v>
      </c>
      <c r="J2311" s="10">
        <v>-36.770000000000003</v>
      </c>
      <c r="K2311" s="11">
        <v>13.79</v>
      </c>
      <c r="L2311" s="11">
        <v>8.7799999999999994</v>
      </c>
      <c r="M2311" s="9" t="s">
        <v>1311</v>
      </c>
      <c r="N2311" s="6" t="s">
        <v>1123</v>
      </c>
      <c r="O2311" s="6" t="s">
        <v>1123</v>
      </c>
      <c r="P2311" s="9" t="s">
        <v>41</v>
      </c>
      <c r="Q2311" s="9" t="s">
        <v>49</v>
      </c>
      <c r="R2311" s="9" t="s">
        <v>50</v>
      </c>
      <c r="S2311" s="7" t="s">
        <v>641</v>
      </c>
      <c r="T2311" s="9" t="s">
        <v>39</v>
      </c>
      <c r="U2311" s="7">
        <v>0.43</v>
      </c>
      <c r="V2311" s="12">
        <f>C2311+2</f>
        <v>39869</v>
      </c>
      <c r="W2311">
        <f>IF(D2311=' Pivot Tables'!$A$4,1,0)</f>
        <v>0</v>
      </c>
      <c r="X2311">
        <f>IF(AND(LEFT(D2311,4)+1=LEFT(' Pivot Tables'!$A$4,4)+0,RIGHT(LEFT(D2311,7),2)=RIGHT(LEFT(' Pivot Tables'!$A$4,7),2)),1,0)</f>
        <v>0</v>
      </c>
      <c r="Y2311" s="6">
        <f>1/COUNTIF(Таблица1[Order ID],Таблица1[[#This Row],[Order ID]])</f>
        <v>0.5</v>
      </c>
      <c r="Z2311" s="9">
        <f>1/COUNTIFS(Таблица1[Customer Name],Таблица1[[#This Row],[Customer Name]],Таблица1[Order-Year-Month],Таблица1[[#This Row],[Order-Year-Month]])</f>
        <v>0.5</v>
      </c>
    </row>
    <row r="2312" spans="1:26" x14ac:dyDescent="0.2">
      <c r="A2312" s="6">
        <v>5137</v>
      </c>
      <c r="B2312" s="7">
        <v>36643</v>
      </c>
      <c r="C2312" s="8">
        <f>DATE(2012,12,31)-1407</f>
        <v>39867</v>
      </c>
      <c r="D2312" s="8" t="str">
        <f t="shared" si="46"/>
        <v>2009-02 (февраль 2009)</v>
      </c>
      <c r="E2312" s="9" t="s">
        <v>78</v>
      </c>
      <c r="F2312" s="7">
        <v>30</v>
      </c>
      <c r="G2312" s="7">
        <v>1025.02</v>
      </c>
      <c r="H2312" s="7">
        <v>0.04</v>
      </c>
      <c r="I2312" s="9" t="s">
        <v>22</v>
      </c>
      <c r="J2312" s="10">
        <v>87.03</v>
      </c>
      <c r="K2312" s="11">
        <v>33.29</v>
      </c>
      <c r="L2312" s="11">
        <v>8.74</v>
      </c>
      <c r="M2312" s="9" t="s">
        <v>1311</v>
      </c>
      <c r="N2312" s="6" t="s">
        <v>1123</v>
      </c>
      <c r="O2312" s="6" t="s">
        <v>1123</v>
      </c>
      <c r="P2312" s="9" t="s">
        <v>41</v>
      </c>
      <c r="Q2312" s="9" t="s">
        <v>26</v>
      </c>
      <c r="R2312" s="9" t="s">
        <v>27</v>
      </c>
      <c r="S2312" s="7" t="s">
        <v>1320</v>
      </c>
      <c r="T2312" s="9" t="s">
        <v>39</v>
      </c>
      <c r="U2312" s="7">
        <v>0.61</v>
      </c>
      <c r="V2312" s="12">
        <f>C2312+1</f>
        <v>39868</v>
      </c>
      <c r="W2312">
        <f>IF(D2312=' Pivot Tables'!$A$4,1,0)</f>
        <v>0</v>
      </c>
      <c r="X2312">
        <f>IF(AND(LEFT(D2312,4)+1=LEFT(' Pivot Tables'!$A$4,4)+0,RIGHT(LEFT(D2312,7),2)=RIGHT(LEFT(' Pivot Tables'!$A$4,7),2)),1,0)</f>
        <v>0</v>
      </c>
      <c r="Y2312" s="6">
        <f>1/COUNTIF(Таблица1[Order ID],Таблица1[[#This Row],[Order ID]])</f>
        <v>0.5</v>
      </c>
      <c r="Z2312" s="9">
        <f>1/COUNTIFS(Таблица1[Customer Name],Таблица1[[#This Row],[Customer Name]],Таблица1[Order-Year-Month],Таблица1[[#This Row],[Order-Year-Month]])</f>
        <v>0.5</v>
      </c>
    </row>
    <row r="2313" spans="1:26" x14ac:dyDescent="0.2">
      <c r="A2313" s="6">
        <v>5148</v>
      </c>
      <c r="B2313" s="7">
        <v>36679</v>
      </c>
      <c r="C2313" s="8">
        <f>DATE(2012,12,31)-489</f>
        <v>40785</v>
      </c>
      <c r="D2313" s="8" t="str">
        <f t="shared" si="46"/>
        <v>2011-08 (август 2011)</v>
      </c>
      <c r="E2313" s="9" t="s">
        <v>78</v>
      </c>
      <c r="F2313" s="7">
        <v>28</v>
      </c>
      <c r="G2313" s="7">
        <v>1491.8264999999999</v>
      </c>
      <c r="H2313" s="7">
        <v>0.1</v>
      </c>
      <c r="I2313" s="9" t="s">
        <v>22</v>
      </c>
      <c r="J2313" s="10">
        <v>124.83</v>
      </c>
      <c r="K2313" s="11">
        <v>65.989999999999995</v>
      </c>
      <c r="L2313" s="11">
        <v>8.99</v>
      </c>
      <c r="M2313" s="9" t="s">
        <v>1276</v>
      </c>
      <c r="N2313" s="6" t="s">
        <v>1123</v>
      </c>
      <c r="O2313" s="6" t="s">
        <v>1123</v>
      </c>
      <c r="P2313" s="9" t="s">
        <v>41</v>
      </c>
      <c r="Q2313" s="9" t="s">
        <v>42</v>
      </c>
      <c r="R2313" s="9" t="s">
        <v>43</v>
      </c>
      <c r="S2313" s="7" t="s">
        <v>534</v>
      </c>
      <c r="T2313" s="9" t="s">
        <v>39</v>
      </c>
      <c r="U2313" s="7">
        <v>0.56000000000000005</v>
      </c>
      <c r="V2313" s="12">
        <f>C2313+3</f>
        <v>40788</v>
      </c>
      <c r="W2313">
        <f>IF(D2313=' Pivot Tables'!$A$4,1,0)</f>
        <v>0</v>
      </c>
      <c r="X2313">
        <f>IF(AND(LEFT(D2313,4)+1=LEFT(' Pivot Tables'!$A$4,4)+0,RIGHT(LEFT(D2313,7),2)=RIGHT(LEFT(' Pivot Tables'!$A$4,7),2)),1,0)</f>
        <v>0</v>
      </c>
      <c r="Y2313" s="6">
        <f>1/COUNTIF(Таблица1[Order ID],Таблица1[[#This Row],[Order ID]])</f>
        <v>1</v>
      </c>
      <c r="Z2313" s="9">
        <f>1/COUNTIFS(Таблица1[Customer Name],Таблица1[[#This Row],[Customer Name]],Таблица1[Order-Year-Month],Таблица1[[#This Row],[Order-Year-Month]])</f>
        <v>1</v>
      </c>
    </row>
    <row r="2314" spans="1:26" x14ac:dyDescent="0.2">
      <c r="A2314" s="6">
        <v>5163</v>
      </c>
      <c r="B2314" s="7">
        <v>36741</v>
      </c>
      <c r="C2314" s="8">
        <f>DATE(2012,12,31)-743</f>
        <v>40531</v>
      </c>
      <c r="D2314" s="8" t="str">
        <f t="shared" si="46"/>
        <v>2010-12 (декабрь 2010)</v>
      </c>
      <c r="E2314" s="9" t="s">
        <v>78</v>
      </c>
      <c r="F2314" s="7">
        <v>26</v>
      </c>
      <c r="G2314" s="7">
        <v>141.4</v>
      </c>
      <c r="H2314" s="7">
        <v>0.08</v>
      </c>
      <c r="I2314" s="9" t="s">
        <v>22</v>
      </c>
      <c r="J2314" s="10">
        <v>34.479999999999997</v>
      </c>
      <c r="K2314" s="11">
        <v>5.68</v>
      </c>
      <c r="L2314" s="11">
        <v>1.46</v>
      </c>
      <c r="M2314" s="9" t="s">
        <v>1368</v>
      </c>
      <c r="N2314" s="6" t="s">
        <v>1123</v>
      </c>
      <c r="O2314" s="6" t="s">
        <v>1123</v>
      </c>
      <c r="P2314" s="9" t="s">
        <v>60</v>
      </c>
      <c r="Q2314" s="9" t="s">
        <v>26</v>
      </c>
      <c r="R2314" s="9" t="s">
        <v>61</v>
      </c>
      <c r="S2314" s="7" t="s">
        <v>382</v>
      </c>
      <c r="T2314" s="9" t="s">
        <v>68</v>
      </c>
      <c r="U2314" s="7">
        <v>0.39</v>
      </c>
      <c r="V2314" s="12">
        <f>C2314+3</f>
        <v>40534</v>
      </c>
      <c r="W2314">
        <f>IF(D2314=' Pivot Tables'!$A$4,1,0)</f>
        <v>0</v>
      </c>
      <c r="X2314">
        <f>IF(AND(LEFT(D2314,4)+1=LEFT(' Pivot Tables'!$A$4,4)+0,RIGHT(LEFT(D2314,7),2)=RIGHT(LEFT(' Pivot Tables'!$A$4,7),2)),1,0)</f>
        <v>0</v>
      </c>
      <c r="Y2314" s="6">
        <f>1/COUNTIF(Таблица1[Order ID],Таблица1[[#This Row],[Order ID]])</f>
        <v>0.5</v>
      </c>
      <c r="Z2314" s="9">
        <f>1/COUNTIFS(Таблица1[Customer Name],Таблица1[[#This Row],[Customer Name]],Таблица1[Order-Year-Month],Таблица1[[#This Row],[Order-Year-Month]])</f>
        <v>0.5</v>
      </c>
    </row>
    <row r="2315" spans="1:26" x14ac:dyDescent="0.2">
      <c r="A2315" s="6">
        <v>5164</v>
      </c>
      <c r="B2315" s="7">
        <v>36741</v>
      </c>
      <c r="C2315" s="8">
        <f>DATE(2012,12,31)-743</f>
        <v>40531</v>
      </c>
      <c r="D2315" s="8" t="str">
        <f t="shared" si="46"/>
        <v>2010-12 (декабрь 2010)</v>
      </c>
      <c r="E2315" s="9" t="s">
        <v>78</v>
      </c>
      <c r="F2315" s="7">
        <v>6</v>
      </c>
      <c r="G2315" s="7">
        <v>303.90899999999999</v>
      </c>
      <c r="H2315" s="7">
        <v>0.01</v>
      </c>
      <c r="I2315" s="9" t="s">
        <v>22</v>
      </c>
      <c r="J2315" s="10">
        <v>-254.364</v>
      </c>
      <c r="K2315" s="11">
        <v>55.99</v>
      </c>
      <c r="L2315" s="11">
        <v>5</v>
      </c>
      <c r="M2315" s="9" t="s">
        <v>1368</v>
      </c>
      <c r="N2315" s="6" t="s">
        <v>1123</v>
      </c>
      <c r="O2315" s="6" t="s">
        <v>1123</v>
      </c>
      <c r="P2315" s="9" t="s">
        <v>60</v>
      </c>
      <c r="Q2315" s="9" t="s">
        <v>42</v>
      </c>
      <c r="R2315" s="9" t="s">
        <v>43</v>
      </c>
      <c r="S2315" s="7" t="s">
        <v>248</v>
      </c>
      <c r="T2315" s="9" t="s">
        <v>52</v>
      </c>
      <c r="U2315" s="7">
        <v>0.83</v>
      </c>
      <c r="V2315" s="12">
        <f>C2315+2</f>
        <v>40533</v>
      </c>
      <c r="W2315">
        <f>IF(D2315=' Pivot Tables'!$A$4,1,0)</f>
        <v>0</v>
      </c>
      <c r="X2315">
        <f>IF(AND(LEFT(D2315,4)+1=LEFT(' Pivot Tables'!$A$4,4)+0,RIGHT(LEFT(D2315,7),2)=RIGHT(LEFT(' Pivot Tables'!$A$4,7),2)),1,0)</f>
        <v>0</v>
      </c>
      <c r="Y2315" s="6">
        <f>1/COUNTIF(Таблица1[Order ID],Таблица1[[#This Row],[Order ID]])</f>
        <v>0.5</v>
      </c>
      <c r="Z2315" s="9">
        <f>1/COUNTIFS(Таблица1[Customer Name],Таблица1[[#This Row],[Customer Name]],Таблица1[Order-Year-Month],Таблица1[[#This Row],[Order-Year-Month]])</f>
        <v>0.5</v>
      </c>
    </row>
    <row r="2316" spans="1:26" x14ac:dyDescent="0.2">
      <c r="A2316" s="6">
        <v>5187</v>
      </c>
      <c r="B2316" s="7">
        <v>36866</v>
      </c>
      <c r="C2316" s="8">
        <f>DATE(2012,12,31)-1013</f>
        <v>40261</v>
      </c>
      <c r="D2316" s="8" t="str">
        <f t="shared" si="46"/>
        <v>2010-03 (март 2010)</v>
      </c>
      <c r="E2316" s="9" t="s">
        <v>21</v>
      </c>
      <c r="F2316" s="7">
        <v>32</v>
      </c>
      <c r="G2316" s="7">
        <v>6245.76</v>
      </c>
      <c r="H2316" s="7">
        <v>0.1</v>
      </c>
      <c r="I2316" s="9" t="s">
        <v>22</v>
      </c>
      <c r="J2316" s="10">
        <v>1462.42</v>
      </c>
      <c r="K2316" s="11">
        <v>210.55</v>
      </c>
      <c r="L2316" s="11">
        <v>9.99</v>
      </c>
      <c r="M2316" s="9" t="s">
        <v>1341</v>
      </c>
      <c r="N2316" s="6" t="s">
        <v>1123</v>
      </c>
      <c r="O2316" s="6" t="s">
        <v>1123</v>
      </c>
      <c r="P2316" s="9" t="s">
        <v>33</v>
      </c>
      <c r="Q2316" s="9" t="s">
        <v>26</v>
      </c>
      <c r="R2316" s="9" t="s">
        <v>27</v>
      </c>
      <c r="S2316" s="7" t="s">
        <v>676</v>
      </c>
      <c r="T2316" s="9" t="s">
        <v>39</v>
      </c>
      <c r="U2316" s="7">
        <v>0.6</v>
      </c>
      <c r="V2316" s="12">
        <f>C2316+2</f>
        <v>40263</v>
      </c>
      <c r="W2316">
        <f>IF(D2316=' Pivot Tables'!$A$4,1,0)</f>
        <v>0</v>
      </c>
      <c r="X2316">
        <f>IF(AND(LEFT(D2316,4)+1=LEFT(' Pivot Tables'!$A$4,4)+0,RIGHT(LEFT(D2316,7),2)=RIGHT(LEFT(' Pivot Tables'!$A$4,7),2)),1,0)</f>
        <v>0</v>
      </c>
      <c r="Y2316" s="6">
        <f>1/COUNTIF(Таблица1[Order ID],Таблица1[[#This Row],[Order ID]])</f>
        <v>1</v>
      </c>
      <c r="Z2316" s="9">
        <f>1/COUNTIFS(Таблица1[Customer Name],Таблица1[[#This Row],[Customer Name]],Таблица1[Order-Year-Month],Таблица1[[#This Row],[Order-Year-Month]])</f>
        <v>1</v>
      </c>
    </row>
    <row r="2317" spans="1:26" x14ac:dyDescent="0.2">
      <c r="A2317" s="6">
        <v>5194</v>
      </c>
      <c r="B2317" s="7">
        <v>36929</v>
      </c>
      <c r="C2317" s="8">
        <f>DATE(2012,12,31)-220</f>
        <v>41054</v>
      </c>
      <c r="D2317" s="8" t="str">
        <f t="shared" si="46"/>
        <v>2012-05 (май 2012)</v>
      </c>
      <c r="E2317" s="9" t="s">
        <v>21</v>
      </c>
      <c r="F2317" s="7">
        <v>45</v>
      </c>
      <c r="G2317" s="7">
        <v>3638.27</v>
      </c>
      <c r="H2317" s="7">
        <v>0.04</v>
      </c>
      <c r="I2317" s="9" t="s">
        <v>22</v>
      </c>
      <c r="J2317" s="10">
        <v>1123.79</v>
      </c>
      <c r="K2317" s="11">
        <v>80.98</v>
      </c>
      <c r="L2317" s="11">
        <v>4.5</v>
      </c>
      <c r="M2317" s="9" t="s">
        <v>1361</v>
      </c>
      <c r="N2317" s="6" t="s">
        <v>1123</v>
      </c>
      <c r="O2317" s="6" t="s">
        <v>1123</v>
      </c>
      <c r="P2317" s="9" t="s">
        <v>25</v>
      </c>
      <c r="Q2317" s="9" t="s">
        <v>26</v>
      </c>
      <c r="R2317" s="9" t="s">
        <v>34</v>
      </c>
      <c r="S2317" s="7" t="s">
        <v>1369</v>
      </c>
      <c r="T2317" s="9" t="s">
        <v>39</v>
      </c>
      <c r="U2317" s="7">
        <v>0.59</v>
      </c>
      <c r="V2317" s="12">
        <f>C2317+0</f>
        <v>41054</v>
      </c>
      <c r="W2317">
        <f>IF(D2317=' Pivot Tables'!$A$4,1,0)</f>
        <v>0</v>
      </c>
      <c r="X2317">
        <f>IF(AND(LEFT(D2317,4)+1=LEFT(' Pivot Tables'!$A$4,4)+0,RIGHT(LEFT(D2317,7),2)=RIGHT(LEFT(' Pivot Tables'!$A$4,7),2)),1,0)</f>
        <v>0</v>
      </c>
      <c r="Y2317" s="6">
        <f>1/COUNTIF(Таблица1[Order ID],Таблица1[[#This Row],[Order ID]])</f>
        <v>0.5</v>
      </c>
      <c r="Z2317" s="9">
        <f>1/COUNTIFS(Таблица1[Customer Name],Таблица1[[#This Row],[Customer Name]],Таблица1[Order-Year-Month],Таблица1[[#This Row],[Order-Year-Month]])</f>
        <v>0.5</v>
      </c>
    </row>
    <row r="2318" spans="1:26" x14ac:dyDescent="0.2">
      <c r="A2318" s="6">
        <v>5195</v>
      </c>
      <c r="B2318" s="7">
        <v>36929</v>
      </c>
      <c r="C2318" s="8">
        <f>DATE(2012,12,31)-220</f>
        <v>41054</v>
      </c>
      <c r="D2318" s="8" t="str">
        <f t="shared" si="46"/>
        <v>2012-05 (май 2012)</v>
      </c>
      <c r="E2318" s="9" t="s">
        <v>21</v>
      </c>
      <c r="F2318" s="7">
        <v>37</v>
      </c>
      <c r="G2318" s="7">
        <v>1326.69</v>
      </c>
      <c r="H2318" s="7">
        <v>0</v>
      </c>
      <c r="I2318" s="9" t="s">
        <v>22</v>
      </c>
      <c r="J2318" s="10">
        <v>185.37</v>
      </c>
      <c r="K2318" s="11">
        <v>33.29</v>
      </c>
      <c r="L2318" s="11">
        <v>8.74</v>
      </c>
      <c r="M2318" s="9" t="s">
        <v>1361</v>
      </c>
      <c r="N2318" s="6" t="s">
        <v>1123</v>
      </c>
      <c r="O2318" s="6" t="s">
        <v>1123</v>
      </c>
      <c r="P2318" s="9" t="s">
        <v>25</v>
      </c>
      <c r="Q2318" s="9" t="s">
        <v>26</v>
      </c>
      <c r="R2318" s="9" t="s">
        <v>27</v>
      </c>
      <c r="S2318" s="7" t="s">
        <v>1320</v>
      </c>
      <c r="T2318" s="9" t="s">
        <v>39</v>
      </c>
      <c r="U2318" s="7">
        <v>0.61</v>
      </c>
      <c r="V2318" s="12">
        <f>C2318+4</f>
        <v>41058</v>
      </c>
      <c r="W2318">
        <f>IF(D2318=' Pivot Tables'!$A$4,1,0)</f>
        <v>0</v>
      </c>
      <c r="X2318">
        <f>IF(AND(LEFT(D2318,4)+1=LEFT(' Pivot Tables'!$A$4,4)+0,RIGHT(LEFT(D2318,7),2)=RIGHT(LEFT(' Pivot Tables'!$A$4,7),2)),1,0)</f>
        <v>0</v>
      </c>
      <c r="Y2318" s="6">
        <f>1/COUNTIF(Таблица1[Order ID],Таблица1[[#This Row],[Order ID]])</f>
        <v>0.5</v>
      </c>
      <c r="Z2318" s="9">
        <f>1/COUNTIFS(Таблица1[Customer Name],Таблица1[[#This Row],[Customer Name]],Таблица1[Order-Year-Month],Таблица1[[#This Row],[Order-Year-Month]])</f>
        <v>0.5</v>
      </c>
    </row>
    <row r="2319" spans="1:26" x14ac:dyDescent="0.2">
      <c r="A2319" s="6">
        <v>5209</v>
      </c>
      <c r="B2319" s="7">
        <v>36999</v>
      </c>
      <c r="C2319" s="8">
        <f>DATE(2012,12,31)-1115</f>
        <v>40159</v>
      </c>
      <c r="D2319" s="8" t="str">
        <f t="shared" si="46"/>
        <v>2009-12 (декабрь 2009)</v>
      </c>
      <c r="E2319" s="9" t="s">
        <v>63</v>
      </c>
      <c r="F2319" s="7">
        <v>28</v>
      </c>
      <c r="G2319" s="7">
        <v>14475.74</v>
      </c>
      <c r="H2319" s="7">
        <v>0.06</v>
      </c>
      <c r="I2319" s="9" t="s">
        <v>31</v>
      </c>
      <c r="J2319" s="10">
        <v>4963.8900000000003</v>
      </c>
      <c r="K2319" s="11">
        <v>549.99</v>
      </c>
      <c r="L2319" s="11">
        <v>49</v>
      </c>
      <c r="M2319" s="9" t="s">
        <v>1364</v>
      </c>
      <c r="N2319" s="6" t="s">
        <v>1123</v>
      </c>
      <c r="O2319" s="6" t="s">
        <v>1123</v>
      </c>
      <c r="P2319" s="9" t="s">
        <v>41</v>
      </c>
      <c r="Q2319" s="9" t="s">
        <v>42</v>
      </c>
      <c r="R2319" s="9" t="s">
        <v>99</v>
      </c>
      <c r="S2319" s="7" t="s">
        <v>604</v>
      </c>
      <c r="T2319" s="9" t="s">
        <v>36</v>
      </c>
      <c r="U2319" s="7">
        <v>0.35</v>
      </c>
      <c r="V2319" s="12">
        <f>C2319+1</f>
        <v>40160</v>
      </c>
      <c r="W2319">
        <f>IF(D2319=' Pivot Tables'!$A$4,1,0)</f>
        <v>0</v>
      </c>
      <c r="X2319">
        <f>IF(AND(LEFT(D2319,4)+1=LEFT(' Pivot Tables'!$A$4,4)+0,RIGHT(LEFT(D2319,7),2)=RIGHT(LEFT(' Pivot Tables'!$A$4,7),2)),1,0)</f>
        <v>0</v>
      </c>
      <c r="Y2319" s="6">
        <f>1/COUNTIF(Таблица1[Order ID],Таблица1[[#This Row],[Order ID]])</f>
        <v>0.5</v>
      </c>
      <c r="Z2319" s="9">
        <f>1/COUNTIFS(Таблица1[Customer Name],Таблица1[[#This Row],[Customer Name]],Таблица1[Order-Year-Month],Таблица1[[#This Row],[Order-Year-Month]])</f>
        <v>0.5</v>
      </c>
    </row>
    <row r="2320" spans="1:26" x14ac:dyDescent="0.2">
      <c r="A2320" s="6">
        <v>5210</v>
      </c>
      <c r="B2320" s="7">
        <v>36999</v>
      </c>
      <c r="C2320" s="8">
        <f>DATE(2012,12,31)-1115</f>
        <v>40159</v>
      </c>
      <c r="D2320" s="8" t="str">
        <f t="shared" si="46"/>
        <v>2009-12 (декабрь 2009)</v>
      </c>
      <c r="E2320" s="9" t="s">
        <v>63</v>
      </c>
      <c r="F2320" s="7">
        <v>3</v>
      </c>
      <c r="G2320" s="7">
        <v>306.62049999999999</v>
      </c>
      <c r="H2320" s="7">
        <v>0.08</v>
      </c>
      <c r="I2320" s="9" t="s">
        <v>56</v>
      </c>
      <c r="J2320" s="10">
        <v>-479.08299999999997</v>
      </c>
      <c r="K2320" s="11">
        <v>115.99</v>
      </c>
      <c r="L2320" s="11">
        <v>5.99</v>
      </c>
      <c r="M2320" s="9" t="s">
        <v>1364</v>
      </c>
      <c r="N2320" s="6" t="s">
        <v>1123</v>
      </c>
      <c r="O2320" s="6" t="s">
        <v>1123</v>
      </c>
      <c r="P2320" s="9" t="s">
        <v>41</v>
      </c>
      <c r="Q2320" s="9" t="s">
        <v>42</v>
      </c>
      <c r="R2320" s="9" t="s">
        <v>43</v>
      </c>
      <c r="S2320" s="7" t="s">
        <v>1270</v>
      </c>
      <c r="T2320" s="9" t="s">
        <v>39</v>
      </c>
      <c r="U2320" s="7">
        <v>0.56999999999999995</v>
      </c>
      <c r="V2320" s="12">
        <f>C2320+1</f>
        <v>40160</v>
      </c>
      <c r="W2320">
        <f>IF(D2320=' Pivot Tables'!$A$4,1,0)</f>
        <v>0</v>
      </c>
      <c r="X2320">
        <f>IF(AND(LEFT(D2320,4)+1=LEFT(' Pivot Tables'!$A$4,4)+0,RIGHT(LEFT(D2320,7),2)=RIGHT(LEFT(' Pivot Tables'!$A$4,7),2)),1,0)</f>
        <v>0</v>
      </c>
      <c r="Y2320" s="6">
        <f>1/COUNTIF(Таблица1[Order ID],Таблица1[[#This Row],[Order ID]])</f>
        <v>0.5</v>
      </c>
      <c r="Z2320" s="9">
        <f>1/COUNTIFS(Таблица1[Customer Name],Таблица1[[#This Row],[Customer Name]],Таблица1[Order-Year-Month],Таблица1[[#This Row],[Order-Year-Month]])</f>
        <v>0.5</v>
      </c>
    </row>
    <row r="2321" spans="1:26" x14ac:dyDescent="0.2">
      <c r="A2321" s="6">
        <v>5225</v>
      </c>
      <c r="B2321" s="7">
        <v>37216</v>
      </c>
      <c r="C2321" s="8">
        <f>DATE(2012,12,31)-762</f>
        <v>40512</v>
      </c>
      <c r="D2321" s="8" t="str">
        <f t="shared" si="46"/>
        <v>2010-11 (ноябрь 2010)</v>
      </c>
      <c r="E2321" s="9" t="s">
        <v>30</v>
      </c>
      <c r="F2321" s="7">
        <v>24</v>
      </c>
      <c r="G2321" s="7">
        <v>527.25</v>
      </c>
      <c r="H2321" s="7">
        <v>0.01</v>
      </c>
      <c r="I2321" s="9" t="s">
        <v>22</v>
      </c>
      <c r="J2321" s="10">
        <v>74.009499999999989</v>
      </c>
      <c r="K2321" s="11">
        <v>20.98</v>
      </c>
      <c r="L2321" s="11">
        <v>8.83</v>
      </c>
      <c r="M2321" s="9" t="s">
        <v>1367</v>
      </c>
      <c r="N2321" s="6" t="s">
        <v>1123</v>
      </c>
      <c r="O2321" s="6" t="s">
        <v>1123</v>
      </c>
      <c r="P2321" s="9" t="s">
        <v>60</v>
      </c>
      <c r="Q2321" s="9" t="s">
        <v>26</v>
      </c>
      <c r="R2321" s="9" t="s">
        <v>37</v>
      </c>
      <c r="S2321" s="7" t="s">
        <v>475</v>
      </c>
      <c r="T2321" s="9" t="s">
        <v>39</v>
      </c>
      <c r="U2321" s="7">
        <v>0.37</v>
      </c>
      <c r="V2321" s="12">
        <f>C2321+1</f>
        <v>40513</v>
      </c>
      <c r="W2321">
        <f>IF(D2321=' Pivot Tables'!$A$4,1,0)</f>
        <v>0</v>
      </c>
      <c r="X2321">
        <f>IF(AND(LEFT(D2321,4)+1=LEFT(' Pivot Tables'!$A$4,4)+0,RIGHT(LEFT(D2321,7),2)=RIGHT(LEFT(' Pivot Tables'!$A$4,7),2)),1,0)</f>
        <v>0</v>
      </c>
      <c r="Y2321" s="6">
        <f>1/COUNTIF(Таблица1[Order ID],Таблица1[[#This Row],[Order ID]])</f>
        <v>1</v>
      </c>
      <c r="Z2321" s="9">
        <f>1/COUNTIFS(Таблица1[Customer Name],Таблица1[[#This Row],[Customer Name]],Таблица1[Order-Year-Month],Таблица1[[#This Row],[Order-Year-Month]])</f>
        <v>1</v>
      </c>
    </row>
    <row r="2322" spans="1:26" x14ac:dyDescent="0.2">
      <c r="A2322" s="6">
        <v>5244</v>
      </c>
      <c r="B2322" s="7">
        <v>37314</v>
      </c>
      <c r="C2322" s="8">
        <f>DATE(2012,12,31)-607</f>
        <v>40667</v>
      </c>
      <c r="D2322" s="8" t="str">
        <f t="shared" si="46"/>
        <v>2011-05 (май 2011)</v>
      </c>
      <c r="E2322" s="9" t="s">
        <v>63</v>
      </c>
      <c r="F2322" s="7">
        <v>21</v>
      </c>
      <c r="G2322" s="7">
        <v>210.86</v>
      </c>
      <c r="H2322" s="7">
        <v>0.04</v>
      </c>
      <c r="I2322" s="9" t="s">
        <v>22</v>
      </c>
      <c r="J2322" s="10">
        <v>5.5</v>
      </c>
      <c r="K2322" s="11">
        <v>9.77</v>
      </c>
      <c r="L2322" s="11">
        <v>6.02</v>
      </c>
      <c r="M2322" s="9" t="s">
        <v>1358</v>
      </c>
      <c r="N2322" s="6" t="s">
        <v>1123</v>
      </c>
      <c r="O2322" s="6" t="s">
        <v>1123</v>
      </c>
      <c r="P2322" s="9" t="s">
        <v>60</v>
      </c>
      <c r="Q2322" s="9" t="s">
        <v>49</v>
      </c>
      <c r="R2322" s="9" t="s">
        <v>50</v>
      </c>
      <c r="S2322" s="7" t="s">
        <v>446</v>
      </c>
      <c r="T2322" s="9" t="s">
        <v>48</v>
      </c>
      <c r="U2322" s="7">
        <v>0.48</v>
      </c>
      <c r="V2322" s="12">
        <f>C2322+1</f>
        <v>40668</v>
      </c>
      <c r="W2322">
        <f>IF(D2322=' Pivot Tables'!$A$4,1,0)</f>
        <v>0</v>
      </c>
      <c r="X2322">
        <f>IF(AND(LEFT(D2322,4)+1=LEFT(' Pivot Tables'!$A$4,4)+0,RIGHT(LEFT(D2322,7),2)=RIGHT(LEFT(' Pivot Tables'!$A$4,7),2)),1,0)</f>
        <v>0</v>
      </c>
      <c r="Y2322" s="6">
        <f>1/COUNTIF(Таблица1[Order ID],Таблица1[[#This Row],[Order ID]])</f>
        <v>1</v>
      </c>
      <c r="Z2322" s="9">
        <f>1/COUNTIFS(Таблица1[Customer Name],Таблица1[[#This Row],[Customer Name]],Таблица1[Order-Year-Month],Таблица1[[#This Row],[Order-Year-Month]])</f>
        <v>0.5</v>
      </c>
    </row>
    <row r="2323" spans="1:26" x14ac:dyDescent="0.2">
      <c r="A2323" s="6">
        <v>5250</v>
      </c>
      <c r="B2323" s="7">
        <v>37349</v>
      </c>
      <c r="C2323" s="8">
        <f>DATE(2012,12,31)-1050</f>
        <v>40224</v>
      </c>
      <c r="D2323" s="8" t="str">
        <f t="shared" si="46"/>
        <v>2010-02 (февраль 2010)</v>
      </c>
      <c r="E2323" s="9" t="s">
        <v>78</v>
      </c>
      <c r="F2323" s="7">
        <v>8</v>
      </c>
      <c r="G2323" s="7">
        <v>631.73</v>
      </c>
      <c r="H2323" s="7">
        <v>0.03</v>
      </c>
      <c r="I2323" s="9" t="s">
        <v>56</v>
      </c>
      <c r="J2323" s="10">
        <v>122.43</v>
      </c>
      <c r="K2323" s="11">
        <v>78.69</v>
      </c>
      <c r="L2323" s="11">
        <v>19.989999999999998</v>
      </c>
      <c r="M2323" s="9" t="s">
        <v>1280</v>
      </c>
      <c r="N2323" s="6" t="s">
        <v>1123</v>
      </c>
      <c r="O2323" s="6" t="s">
        <v>1123</v>
      </c>
      <c r="P2323" s="9" t="s">
        <v>41</v>
      </c>
      <c r="Q2323" s="9" t="s">
        <v>49</v>
      </c>
      <c r="R2323" s="9" t="s">
        <v>50</v>
      </c>
      <c r="S2323" s="7" t="s">
        <v>788</v>
      </c>
      <c r="T2323" s="9" t="s">
        <v>39</v>
      </c>
      <c r="U2323" s="7">
        <v>0.43</v>
      </c>
      <c r="V2323" s="12">
        <f>C2323+2</f>
        <v>40226</v>
      </c>
      <c r="W2323">
        <f>IF(D2323=' Pivot Tables'!$A$4,1,0)</f>
        <v>0</v>
      </c>
      <c r="X2323">
        <f>IF(AND(LEFT(D2323,4)+1=LEFT(' Pivot Tables'!$A$4,4)+0,RIGHT(LEFT(D2323,7),2)=RIGHT(LEFT(' Pivot Tables'!$A$4,7),2)),1,0)</f>
        <v>0</v>
      </c>
      <c r="Y2323" s="6">
        <f>1/COUNTIF(Таблица1[Order ID],Таблица1[[#This Row],[Order ID]])</f>
        <v>1</v>
      </c>
      <c r="Z2323" s="9">
        <f>1/COUNTIFS(Таблица1[Customer Name],Таблица1[[#This Row],[Customer Name]],Таблица1[Order-Year-Month],Таблица1[[#This Row],[Order-Year-Month]])</f>
        <v>1</v>
      </c>
    </row>
    <row r="2324" spans="1:26" x14ac:dyDescent="0.2">
      <c r="A2324" s="6">
        <v>5319</v>
      </c>
      <c r="B2324" s="7">
        <v>37828</v>
      </c>
      <c r="C2324" s="8">
        <f>DATE(2012,12,31)-621</f>
        <v>40653</v>
      </c>
      <c r="D2324" s="8" t="str">
        <f t="shared" si="46"/>
        <v>2011-04 (апрель 2011)</v>
      </c>
      <c r="E2324" s="9" t="s">
        <v>21</v>
      </c>
      <c r="F2324" s="7">
        <v>23</v>
      </c>
      <c r="G2324" s="7">
        <v>490.17</v>
      </c>
      <c r="H2324" s="7">
        <v>0.04</v>
      </c>
      <c r="I2324" s="9" t="s">
        <v>22</v>
      </c>
      <c r="J2324" s="10">
        <v>-57.09</v>
      </c>
      <c r="K2324" s="11">
        <v>20.97</v>
      </c>
      <c r="L2324" s="11">
        <v>4</v>
      </c>
      <c r="M2324" s="9" t="s">
        <v>1334</v>
      </c>
      <c r="N2324" s="6" t="s">
        <v>1123</v>
      </c>
      <c r="O2324" s="6" t="s">
        <v>1123</v>
      </c>
      <c r="P2324" s="9" t="s">
        <v>41</v>
      </c>
      <c r="Q2324" s="9" t="s">
        <v>42</v>
      </c>
      <c r="R2324" s="9" t="s">
        <v>70</v>
      </c>
      <c r="S2324" s="7" t="s">
        <v>262</v>
      </c>
      <c r="T2324" s="9" t="s">
        <v>39</v>
      </c>
      <c r="U2324" s="7">
        <v>0.77</v>
      </c>
      <c r="V2324" s="12">
        <f>C2324+5</f>
        <v>40658</v>
      </c>
      <c r="W2324">
        <f>IF(D2324=' Pivot Tables'!$A$4,1,0)</f>
        <v>0</v>
      </c>
      <c r="X2324">
        <f>IF(AND(LEFT(D2324,4)+1=LEFT(' Pivot Tables'!$A$4,4)+0,RIGHT(LEFT(D2324,7),2)=RIGHT(LEFT(' Pivot Tables'!$A$4,7),2)),1,0)</f>
        <v>0</v>
      </c>
      <c r="Y2324" s="6">
        <f>1/COUNTIF(Таблица1[Order ID],Таблица1[[#This Row],[Order ID]])</f>
        <v>0.5</v>
      </c>
      <c r="Z2324" s="9">
        <f>1/COUNTIFS(Таблица1[Customer Name],Таблица1[[#This Row],[Customer Name]],Таблица1[Order-Year-Month],Таблица1[[#This Row],[Order-Year-Month]])</f>
        <v>0.5</v>
      </c>
    </row>
    <row r="2325" spans="1:26" x14ac:dyDescent="0.2">
      <c r="A2325" s="6">
        <v>5320</v>
      </c>
      <c r="B2325" s="7">
        <v>37828</v>
      </c>
      <c r="C2325" s="8">
        <f>DATE(2012,12,31)-621</f>
        <v>40653</v>
      </c>
      <c r="D2325" s="8" t="str">
        <f t="shared" si="46"/>
        <v>2011-04 (апрель 2011)</v>
      </c>
      <c r="E2325" s="9" t="s">
        <v>21</v>
      </c>
      <c r="F2325" s="7">
        <v>42</v>
      </c>
      <c r="G2325" s="7">
        <v>206.2</v>
      </c>
      <c r="H2325" s="7">
        <v>0.01</v>
      </c>
      <c r="I2325" s="9" t="s">
        <v>22</v>
      </c>
      <c r="J2325" s="10">
        <v>101.14</v>
      </c>
      <c r="K2325" s="11">
        <v>4.91</v>
      </c>
      <c r="L2325" s="11">
        <v>0.5</v>
      </c>
      <c r="M2325" s="9" t="s">
        <v>1334</v>
      </c>
      <c r="N2325" s="6" t="s">
        <v>1123</v>
      </c>
      <c r="O2325" s="6" t="s">
        <v>1123</v>
      </c>
      <c r="P2325" s="9" t="s">
        <v>41</v>
      </c>
      <c r="Q2325" s="9" t="s">
        <v>26</v>
      </c>
      <c r="R2325" s="9" t="s">
        <v>88</v>
      </c>
      <c r="S2325" s="7" t="s">
        <v>1370</v>
      </c>
      <c r="T2325" s="9" t="s">
        <v>39</v>
      </c>
      <c r="U2325" s="7">
        <v>0.36</v>
      </c>
      <c r="V2325" s="12">
        <f>C2325+2</f>
        <v>40655</v>
      </c>
      <c r="W2325">
        <f>IF(D2325=' Pivot Tables'!$A$4,1,0)</f>
        <v>0</v>
      </c>
      <c r="X2325">
        <f>IF(AND(LEFT(D2325,4)+1=LEFT(' Pivot Tables'!$A$4,4)+0,RIGHT(LEFT(D2325,7),2)=RIGHT(LEFT(' Pivot Tables'!$A$4,7),2)),1,0)</f>
        <v>0</v>
      </c>
      <c r="Y2325" s="6">
        <f>1/COUNTIF(Таблица1[Order ID],Таблица1[[#This Row],[Order ID]])</f>
        <v>0.5</v>
      </c>
      <c r="Z2325" s="9">
        <f>1/COUNTIFS(Таблица1[Customer Name],Таблица1[[#This Row],[Customer Name]],Таблица1[Order-Year-Month],Таблица1[[#This Row],[Order-Year-Month]])</f>
        <v>0.5</v>
      </c>
    </row>
    <row r="2326" spans="1:26" x14ac:dyDescent="0.2">
      <c r="A2326" s="6">
        <v>5336</v>
      </c>
      <c r="B2326" s="7">
        <v>37920</v>
      </c>
      <c r="C2326" s="8">
        <f>DATE(2012,12,31)-901</f>
        <v>40373</v>
      </c>
      <c r="D2326" s="8" t="str">
        <f t="shared" si="46"/>
        <v>2010-07 (июль 2010)</v>
      </c>
      <c r="E2326" s="9" t="s">
        <v>78</v>
      </c>
      <c r="F2326" s="7">
        <v>48</v>
      </c>
      <c r="G2326" s="7">
        <v>414.42</v>
      </c>
      <c r="H2326" s="7">
        <v>0.04</v>
      </c>
      <c r="I2326" s="9" t="s">
        <v>22</v>
      </c>
      <c r="J2326" s="10">
        <v>-380.2</v>
      </c>
      <c r="K2326" s="11">
        <v>8.4600000000000009</v>
      </c>
      <c r="L2326" s="11">
        <v>8.99</v>
      </c>
      <c r="M2326" s="9" t="s">
        <v>1329</v>
      </c>
      <c r="N2326" s="6" t="s">
        <v>1123</v>
      </c>
      <c r="O2326" s="6" t="s">
        <v>1123</v>
      </c>
      <c r="P2326" s="9" t="s">
        <v>41</v>
      </c>
      <c r="Q2326" s="9" t="s">
        <v>42</v>
      </c>
      <c r="R2326" s="9" t="s">
        <v>70</v>
      </c>
      <c r="S2326" s="7" t="s">
        <v>331</v>
      </c>
      <c r="T2326" s="9" t="s">
        <v>52</v>
      </c>
      <c r="U2326" s="7">
        <v>0.79</v>
      </c>
      <c r="V2326" s="12">
        <f>C2326+2</f>
        <v>40375</v>
      </c>
      <c r="W2326">
        <f>IF(D2326=' Pivot Tables'!$A$4,1,0)</f>
        <v>0</v>
      </c>
      <c r="X2326">
        <f>IF(AND(LEFT(D2326,4)+1=LEFT(' Pivot Tables'!$A$4,4)+0,RIGHT(LEFT(D2326,7),2)=RIGHT(LEFT(' Pivot Tables'!$A$4,7),2)),1,0)</f>
        <v>0</v>
      </c>
      <c r="Y2326" s="6">
        <f>1/COUNTIF(Таблица1[Order ID],Таблица1[[#This Row],[Order ID]])</f>
        <v>1</v>
      </c>
      <c r="Z2326" s="9">
        <f>1/COUNTIFS(Таблица1[Customer Name],Таблица1[[#This Row],[Customer Name]],Таблица1[Order-Year-Month],Таблица1[[#This Row],[Order-Year-Month]])</f>
        <v>1</v>
      </c>
    </row>
    <row r="2327" spans="1:26" x14ac:dyDescent="0.2">
      <c r="A2327" s="6">
        <v>5357</v>
      </c>
      <c r="B2327" s="7">
        <v>38052</v>
      </c>
      <c r="C2327" s="8">
        <f>DATE(2012,12,31)-320</f>
        <v>40954</v>
      </c>
      <c r="D2327" s="8" t="str">
        <f t="shared" si="46"/>
        <v>2012-02 (февраль 2012)</v>
      </c>
      <c r="E2327" s="9" t="s">
        <v>21</v>
      </c>
      <c r="F2327" s="7">
        <v>13</v>
      </c>
      <c r="G2327" s="7">
        <v>542.6</v>
      </c>
      <c r="H2327" s="7">
        <v>0.03</v>
      </c>
      <c r="I2327" s="9" t="s">
        <v>22</v>
      </c>
      <c r="J2327" s="10">
        <v>118.4</v>
      </c>
      <c r="K2327" s="11">
        <v>40.98</v>
      </c>
      <c r="L2327" s="11">
        <v>1.99</v>
      </c>
      <c r="M2327" s="9" t="s">
        <v>1277</v>
      </c>
      <c r="N2327" s="6" t="s">
        <v>1123</v>
      </c>
      <c r="O2327" s="6" t="s">
        <v>1123</v>
      </c>
      <c r="P2327" s="9" t="s">
        <v>33</v>
      </c>
      <c r="Q2327" s="9" t="s">
        <v>42</v>
      </c>
      <c r="R2327" s="9" t="s">
        <v>70</v>
      </c>
      <c r="S2327" s="7" t="s">
        <v>720</v>
      </c>
      <c r="T2327" s="9" t="s">
        <v>52</v>
      </c>
      <c r="U2327" s="7">
        <v>0.44</v>
      </c>
      <c r="V2327" s="12">
        <f>C2327+0</f>
        <v>40954</v>
      </c>
      <c r="W2327">
        <f>IF(D2327=' Pivot Tables'!$A$4,1,0)</f>
        <v>0</v>
      </c>
      <c r="X2327">
        <f>IF(AND(LEFT(D2327,4)+1=LEFT(' Pivot Tables'!$A$4,4)+0,RIGHT(LEFT(D2327,7),2)=RIGHT(LEFT(' Pivot Tables'!$A$4,7),2)),1,0)</f>
        <v>0</v>
      </c>
      <c r="Y2327" s="6">
        <f>1/COUNTIF(Таблица1[Order ID],Таблица1[[#This Row],[Order ID]])</f>
        <v>1</v>
      </c>
      <c r="Z2327" s="9">
        <f>1/COUNTIFS(Таблица1[Customer Name],Таблица1[[#This Row],[Customer Name]],Таблица1[Order-Year-Month],Таблица1[[#This Row],[Order-Year-Month]])</f>
        <v>1</v>
      </c>
    </row>
    <row r="2328" spans="1:26" x14ac:dyDescent="0.2">
      <c r="A2328" s="6">
        <v>5358</v>
      </c>
      <c r="B2328" s="7">
        <v>38080</v>
      </c>
      <c r="C2328" s="8">
        <f>DATE(2012,12,31)-1204</f>
        <v>40070</v>
      </c>
      <c r="D2328" s="8" t="str">
        <f t="shared" si="46"/>
        <v>2009-09 (сентябрь 2009)</v>
      </c>
      <c r="E2328" s="9" t="s">
        <v>45</v>
      </c>
      <c r="F2328" s="7">
        <v>26</v>
      </c>
      <c r="G2328" s="7">
        <v>125.01</v>
      </c>
      <c r="H2328" s="7">
        <v>0.08</v>
      </c>
      <c r="I2328" s="9" t="s">
        <v>22</v>
      </c>
      <c r="J2328" s="10">
        <v>-56.35</v>
      </c>
      <c r="K2328" s="11">
        <v>4.9800000000000004</v>
      </c>
      <c r="L2328" s="11">
        <v>4.7</v>
      </c>
      <c r="M2328" s="9" t="s">
        <v>1299</v>
      </c>
      <c r="N2328" s="6" t="s">
        <v>1123</v>
      </c>
      <c r="O2328" s="6" t="s">
        <v>1123</v>
      </c>
      <c r="P2328" s="9" t="s">
        <v>33</v>
      </c>
      <c r="Q2328" s="9" t="s">
        <v>26</v>
      </c>
      <c r="R2328" s="9" t="s">
        <v>61</v>
      </c>
      <c r="S2328" s="7" t="s">
        <v>937</v>
      </c>
      <c r="T2328" s="9" t="s">
        <v>39</v>
      </c>
      <c r="U2328" s="7">
        <v>0.38</v>
      </c>
      <c r="V2328" s="12">
        <f>C2328+1</f>
        <v>40071</v>
      </c>
      <c r="W2328">
        <f>IF(D2328=' Pivot Tables'!$A$4,1,0)</f>
        <v>0</v>
      </c>
      <c r="X2328">
        <f>IF(AND(LEFT(D2328,4)+1=LEFT(' Pivot Tables'!$A$4,4)+0,RIGHT(LEFT(D2328,7),2)=RIGHT(LEFT(' Pivot Tables'!$A$4,7),2)),1,0)</f>
        <v>0</v>
      </c>
      <c r="Y2328" s="6">
        <f>1/COUNTIF(Таблица1[Order ID],Таблица1[[#This Row],[Order ID]])</f>
        <v>1</v>
      </c>
      <c r="Z2328" s="9">
        <f>1/COUNTIFS(Таблица1[Customer Name],Таблица1[[#This Row],[Customer Name]],Таблица1[Order-Year-Month],Таблица1[[#This Row],[Order-Year-Month]])</f>
        <v>1</v>
      </c>
    </row>
    <row r="2329" spans="1:26" x14ac:dyDescent="0.2">
      <c r="A2329" s="6">
        <v>5364</v>
      </c>
      <c r="B2329" s="7">
        <v>38145</v>
      </c>
      <c r="C2329" s="8">
        <f>DATE(2012,12,31)-1206</f>
        <v>40068</v>
      </c>
      <c r="D2329" s="8" t="str">
        <f t="shared" si="46"/>
        <v>2009-09 (сентябрь 2009)</v>
      </c>
      <c r="E2329" s="9" t="s">
        <v>45</v>
      </c>
      <c r="F2329" s="7">
        <v>33</v>
      </c>
      <c r="G2329" s="7">
        <v>60.92</v>
      </c>
      <c r="H2329" s="7">
        <v>7.0000000000000007E-2</v>
      </c>
      <c r="I2329" s="9" t="s">
        <v>22</v>
      </c>
      <c r="J2329" s="10">
        <v>-17.204000000000001</v>
      </c>
      <c r="K2329" s="11">
        <v>1.88</v>
      </c>
      <c r="L2329" s="11">
        <v>1.49</v>
      </c>
      <c r="M2329" s="9" t="s">
        <v>1361</v>
      </c>
      <c r="N2329" s="6" t="s">
        <v>1123</v>
      </c>
      <c r="O2329" s="6" t="s">
        <v>1123</v>
      </c>
      <c r="P2329" s="9" t="s">
        <v>25</v>
      </c>
      <c r="Q2329" s="9" t="s">
        <v>26</v>
      </c>
      <c r="R2329" s="9" t="s">
        <v>37</v>
      </c>
      <c r="S2329" s="7" t="s">
        <v>172</v>
      </c>
      <c r="T2329" s="9" t="s">
        <v>39</v>
      </c>
      <c r="U2329" s="7">
        <v>0.37</v>
      </c>
      <c r="V2329" s="12">
        <f>C2329+2</f>
        <v>40070</v>
      </c>
      <c r="W2329">
        <f>IF(D2329=' Pivot Tables'!$A$4,1,0)</f>
        <v>0</v>
      </c>
      <c r="X2329">
        <f>IF(AND(LEFT(D2329,4)+1=LEFT(' Pivot Tables'!$A$4,4)+0,RIGHT(LEFT(D2329,7),2)=RIGHT(LEFT(' Pivot Tables'!$A$4,7),2)),1,0)</f>
        <v>0</v>
      </c>
      <c r="Y2329" s="6">
        <f>1/COUNTIF(Таблица1[Order ID],Таблица1[[#This Row],[Order ID]])</f>
        <v>0.5</v>
      </c>
      <c r="Z2329" s="9">
        <f>1/COUNTIFS(Таблица1[Customer Name],Таблица1[[#This Row],[Customer Name]],Таблица1[Order-Year-Month],Таблица1[[#This Row],[Order-Year-Month]])</f>
        <v>0.2</v>
      </c>
    </row>
    <row r="2330" spans="1:26" x14ac:dyDescent="0.2">
      <c r="A2330" s="6">
        <v>5365</v>
      </c>
      <c r="B2330" s="7">
        <v>38145</v>
      </c>
      <c r="C2330" s="8">
        <f>DATE(2012,12,31)-1206</f>
        <v>40068</v>
      </c>
      <c r="D2330" s="8" t="str">
        <f t="shared" si="46"/>
        <v>2009-09 (сентябрь 2009)</v>
      </c>
      <c r="E2330" s="9" t="s">
        <v>45</v>
      </c>
      <c r="F2330" s="7">
        <v>8</v>
      </c>
      <c r="G2330" s="7">
        <v>387.17</v>
      </c>
      <c r="H2330" s="7">
        <v>0.01</v>
      </c>
      <c r="I2330" s="9" t="s">
        <v>22</v>
      </c>
      <c r="J2330" s="10">
        <v>190.6</v>
      </c>
      <c r="K2330" s="11">
        <v>45.98</v>
      </c>
      <c r="L2330" s="11">
        <v>4.8</v>
      </c>
      <c r="M2330" s="9" t="s">
        <v>1361</v>
      </c>
      <c r="N2330" s="6" t="s">
        <v>1123</v>
      </c>
      <c r="O2330" s="6" t="s">
        <v>1123</v>
      </c>
      <c r="P2330" s="9" t="s">
        <v>25</v>
      </c>
      <c r="Q2330" s="9" t="s">
        <v>49</v>
      </c>
      <c r="R2330" s="9" t="s">
        <v>50</v>
      </c>
      <c r="S2330" s="7" t="s">
        <v>654</v>
      </c>
      <c r="T2330" s="9" t="s">
        <v>68</v>
      </c>
      <c r="U2330" s="7">
        <v>0.68</v>
      </c>
      <c r="V2330" s="12">
        <f>C2330+1</f>
        <v>40069</v>
      </c>
      <c r="W2330">
        <f>IF(D2330=' Pivot Tables'!$A$4,1,0)</f>
        <v>0</v>
      </c>
      <c r="X2330">
        <f>IF(AND(LEFT(D2330,4)+1=LEFT(' Pivot Tables'!$A$4,4)+0,RIGHT(LEFT(D2330,7),2)=RIGHT(LEFT(' Pivot Tables'!$A$4,7),2)),1,0)</f>
        <v>0</v>
      </c>
      <c r="Y2330" s="6">
        <f>1/COUNTIF(Таблица1[Order ID],Таблица1[[#This Row],[Order ID]])</f>
        <v>0.5</v>
      </c>
      <c r="Z2330" s="9">
        <f>1/COUNTIFS(Таблица1[Customer Name],Таблица1[[#This Row],[Customer Name]],Таблица1[Order-Year-Month],Таблица1[[#This Row],[Order-Year-Month]])</f>
        <v>0.2</v>
      </c>
    </row>
    <row r="2331" spans="1:26" x14ac:dyDescent="0.2">
      <c r="A2331" s="6">
        <v>5405</v>
      </c>
      <c r="B2331" s="7">
        <v>38437</v>
      </c>
      <c r="C2331" s="8">
        <f>DATE(2012,12,31)-237</f>
        <v>41037</v>
      </c>
      <c r="D2331" s="8" t="str">
        <f t="shared" si="46"/>
        <v>2012-05 (май 2012)</v>
      </c>
      <c r="E2331" s="9" t="s">
        <v>78</v>
      </c>
      <c r="F2331" s="7">
        <v>19</v>
      </c>
      <c r="G2331" s="7">
        <v>4201.47</v>
      </c>
      <c r="H2331" s="7">
        <v>0.04</v>
      </c>
      <c r="I2331" s="9" t="s">
        <v>31</v>
      </c>
      <c r="J2331" s="10">
        <v>199.25</v>
      </c>
      <c r="K2331" s="11">
        <v>212.6</v>
      </c>
      <c r="L2331" s="11">
        <v>52.2</v>
      </c>
      <c r="M2331" s="9" t="s">
        <v>1337</v>
      </c>
      <c r="N2331" s="6" t="s">
        <v>1123</v>
      </c>
      <c r="O2331" s="6" t="s">
        <v>1123</v>
      </c>
      <c r="P2331" s="9" t="s">
        <v>25</v>
      </c>
      <c r="Q2331" s="9" t="s">
        <v>49</v>
      </c>
      <c r="R2331" s="9" t="s">
        <v>83</v>
      </c>
      <c r="S2331" s="7" t="s">
        <v>984</v>
      </c>
      <c r="T2331" s="9" t="s">
        <v>82</v>
      </c>
      <c r="U2331" s="7">
        <v>0.64</v>
      </c>
      <c r="V2331" s="12">
        <f>C2331+1</f>
        <v>41038</v>
      </c>
      <c r="W2331">
        <f>IF(D2331=' Pivot Tables'!$A$4,1,0)</f>
        <v>0</v>
      </c>
      <c r="X2331">
        <f>IF(AND(LEFT(D2331,4)+1=LEFT(' Pivot Tables'!$A$4,4)+0,RIGHT(LEFT(D2331,7),2)=RIGHT(LEFT(' Pivot Tables'!$A$4,7),2)),1,0)</f>
        <v>0</v>
      </c>
      <c r="Y2331" s="6">
        <f>1/COUNTIF(Таблица1[Order ID],Таблица1[[#This Row],[Order ID]])</f>
        <v>0.5</v>
      </c>
      <c r="Z2331" s="9">
        <f>1/COUNTIFS(Таблица1[Customer Name],Таблица1[[#This Row],[Customer Name]],Таблица1[Order-Year-Month],Таблица1[[#This Row],[Order-Year-Month]])</f>
        <v>0.33333333333333331</v>
      </c>
    </row>
    <row r="2332" spans="1:26" x14ac:dyDescent="0.2">
      <c r="A2332" s="6">
        <v>5406</v>
      </c>
      <c r="B2332" s="7">
        <v>38437</v>
      </c>
      <c r="C2332" s="8">
        <f>DATE(2012,12,31)-237</f>
        <v>41037</v>
      </c>
      <c r="D2332" s="8" t="str">
        <f t="shared" si="46"/>
        <v>2012-05 (май 2012)</v>
      </c>
      <c r="E2332" s="9" t="s">
        <v>78</v>
      </c>
      <c r="F2332" s="7">
        <v>17</v>
      </c>
      <c r="G2332" s="7">
        <v>55.66</v>
      </c>
      <c r="H2332" s="7">
        <v>0.08</v>
      </c>
      <c r="I2332" s="9" t="s">
        <v>22</v>
      </c>
      <c r="J2332" s="10">
        <v>-21.4</v>
      </c>
      <c r="K2332" s="11">
        <v>3.28</v>
      </c>
      <c r="L2332" s="11">
        <v>2.31</v>
      </c>
      <c r="M2332" s="9" t="s">
        <v>1337</v>
      </c>
      <c r="N2332" s="6" t="s">
        <v>1123</v>
      </c>
      <c r="O2332" s="6" t="s">
        <v>1123</v>
      </c>
      <c r="P2332" s="9" t="s">
        <v>25</v>
      </c>
      <c r="Q2332" s="9" t="s">
        <v>26</v>
      </c>
      <c r="R2332" s="9" t="s">
        <v>95</v>
      </c>
      <c r="S2332" s="7" t="s">
        <v>1073</v>
      </c>
      <c r="T2332" s="9" t="s">
        <v>68</v>
      </c>
      <c r="U2332" s="7">
        <v>0.56000000000000005</v>
      </c>
      <c r="V2332" s="12">
        <f>C2332+1</f>
        <v>41038</v>
      </c>
      <c r="W2332">
        <f>IF(D2332=' Pivot Tables'!$A$4,1,0)</f>
        <v>0</v>
      </c>
      <c r="X2332">
        <f>IF(AND(LEFT(D2332,4)+1=LEFT(' Pivot Tables'!$A$4,4)+0,RIGHT(LEFT(D2332,7),2)=RIGHT(LEFT(' Pivot Tables'!$A$4,7),2)),1,0)</f>
        <v>0</v>
      </c>
      <c r="Y2332" s="6">
        <f>1/COUNTIF(Таблица1[Order ID],Таблица1[[#This Row],[Order ID]])</f>
        <v>0.5</v>
      </c>
      <c r="Z2332" s="9">
        <f>1/COUNTIFS(Таблица1[Customer Name],Таблица1[[#This Row],[Customer Name]],Таблица1[Order-Year-Month],Таблица1[[#This Row],[Order-Year-Month]])</f>
        <v>0.33333333333333331</v>
      </c>
    </row>
    <row r="2333" spans="1:26" x14ac:dyDescent="0.2">
      <c r="A2333" s="6">
        <v>5416</v>
      </c>
      <c r="B2333" s="7">
        <v>38503</v>
      </c>
      <c r="C2333" s="8">
        <f>DATE(2012,12,31)-1336</f>
        <v>39938</v>
      </c>
      <c r="D2333" s="8" t="str">
        <f t="shared" si="46"/>
        <v>2009-05 (май 2009)</v>
      </c>
      <c r="E2333" s="9" t="s">
        <v>21</v>
      </c>
      <c r="F2333" s="7">
        <v>47</v>
      </c>
      <c r="G2333" s="7">
        <v>5567.79</v>
      </c>
      <c r="H2333" s="7">
        <v>0.04</v>
      </c>
      <c r="I2333" s="9" t="s">
        <v>22</v>
      </c>
      <c r="J2333" s="10">
        <v>1726.66</v>
      </c>
      <c r="K2333" s="11">
        <v>120.98</v>
      </c>
      <c r="L2333" s="11">
        <v>3.99</v>
      </c>
      <c r="M2333" s="9" t="s">
        <v>1286</v>
      </c>
      <c r="N2333" s="6" t="s">
        <v>1123</v>
      </c>
      <c r="O2333" s="6" t="s">
        <v>1123</v>
      </c>
      <c r="P2333" s="9" t="s">
        <v>41</v>
      </c>
      <c r="Q2333" s="9" t="s">
        <v>26</v>
      </c>
      <c r="R2333" s="9" t="s">
        <v>34</v>
      </c>
      <c r="S2333" s="7" t="s">
        <v>1371</v>
      </c>
      <c r="T2333" s="9" t="s">
        <v>39</v>
      </c>
      <c r="U2333" s="7">
        <v>0.6</v>
      </c>
      <c r="V2333" s="12">
        <f>C2333+0</f>
        <v>39938</v>
      </c>
      <c r="W2333">
        <f>IF(D2333=' Pivot Tables'!$A$4,1,0)</f>
        <v>0</v>
      </c>
      <c r="X2333">
        <f>IF(AND(LEFT(D2333,4)+1=LEFT(' Pivot Tables'!$A$4,4)+0,RIGHT(LEFT(D2333,7),2)=RIGHT(LEFT(' Pivot Tables'!$A$4,7),2)),1,0)</f>
        <v>0</v>
      </c>
      <c r="Y2333" s="6">
        <f>1/COUNTIF(Таблица1[Order ID],Таблица1[[#This Row],[Order ID]])</f>
        <v>0.33333333333333331</v>
      </c>
      <c r="Z2333" s="9">
        <f>1/COUNTIFS(Таблица1[Customer Name],Таблица1[[#This Row],[Customer Name]],Таблица1[Order-Year-Month],Таблица1[[#This Row],[Order-Year-Month]])</f>
        <v>0.33333333333333331</v>
      </c>
    </row>
    <row r="2334" spans="1:26" x14ac:dyDescent="0.2">
      <c r="A2334" s="6">
        <v>5417</v>
      </c>
      <c r="B2334" s="7">
        <v>38503</v>
      </c>
      <c r="C2334" s="8">
        <f>DATE(2012,12,31)-1336</f>
        <v>39938</v>
      </c>
      <c r="D2334" s="8" t="str">
        <f t="shared" si="46"/>
        <v>2009-05 (май 2009)</v>
      </c>
      <c r="E2334" s="9" t="s">
        <v>21</v>
      </c>
      <c r="F2334" s="7">
        <v>10</v>
      </c>
      <c r="G2334" s="7">
        <v>503.29349999999999</v>
      </c>
      <c r="H2334" s="7">
        <v>0.02</v>
      </c>
      <c r="I2334" s="9" t="s">
        <v>22</v>
      </c>
      <c r="J2334" s="10">
        <v>-222.816</v>
      </c>
      <c r="K2334" s="11">
        <v>55.99</v>
      </c>
      <c r="L2334" s="11">
        <v>5</v>
      </c>
      <c r="M2334" s="9" t="s">
        <v>1286</v>
      </c>
      <c r="N2334" s="6" t="s">
        <v>1123</v>
      </c>
      <c r="O2334" s="6" t="s">
        <v>1123</v>
      </c>
      <c r="P2334" s="9" t="s">
        <v>41</v>
      </c>
      <c r="Q2334" s="9" t="s">
        <v>42</v>
      </c>
      <c r="R2334" s="9" t="s">
        <v>43</v>
      </c>
      <c r="S2334" s="7" t="s">
        <v>248</v>
      </c>
      <c r="T2334" s="9" t="s">
        <v>52</v>
      </c>
      <c r="U2334" s="7">
        <v>0.83</v>
      </c>
      <c r="V2334" s="12">
        <f>C2334+0</f>
        <v>39938</v>
      </c>
      <c r="W2334">
        <f>IF(D2334=' Pivot Tables'!$A$4,1,0)</f>
        <v>0</v>
      </c>
      <c r="X2334">
        <f>IF(AND(LEFT(D2334,4)+1=LEFT(' Pivot Tables'!$A$4,4)+0,RIGHT(LEFT(D2334,7),2)=RIGHT(LEFT(' Pivot Tables'!$A$4,7),2)),1,0)</f>
        <v>0</v>
      </c>
      <c r="Y2334" s="6">
        <f>1/COUNTIF(Таблица1[Order ID],Таблица1[[#This Row],[Order ID]])</f>
        <v>0.33333333333333331</v>
      </c>
      <c r="Z2334" s="9">
        <f>1/COUNTIFS(Таблица1[Customer Name],Таблица1[[#This Row],[Customer Name]],Таблица1[Order-Year-Month],Таблица1[[#This Row],[Order-Year-Month]])</f>
        <v>0.33333333333333331</v>
      </c>
    </row>
    <row r="2335" spans="1:26" x14ac:dyDescent="0.2">
      <c r="A2335" s="6">
        <v>5418</v>
      </c>
      <c r="B2335" s="7">
        <v>38503</v>
      </c>
      <c r="C2335" s="8">
        <f>DATE(2012,12,31)-1336</f>
        <v>39938</v>
      </c>
      <c r="D2335" s="8" t="str">
        <f t="shared" si="46"/>
        <v>2009-05 (май 2009)</v>
      </c>
      <c r="E2335" s="9" t="s">
        <v>21</v>
      </c>
      <c r="F2335" s="7">
        <v>32</v>
      </c>
      <c r="G2335" s="7">
        <v>796.03</v>
      </c>
      <c r="H2335" s="7">
        <v>0.05</v>
      </c>
      <c r="I2335" s="9" t="s">
        <v>31</v>
      </c>
      <c r="J2335" s="10">
        <v>-133.71</v>
      </c>
      <c r="K2335" s="11">
        <v>23.99</v>
      </c>
      <c r="L2335" s="11">
        <v>15.68</v>
      </c>
      <c r="M2335" s="9" t="s">
        <v>1286</v>
      </c>
      <c r="N2335" s="6" t="s">
        <v>1123</v>
      </c>
      <c r="O2335" s="6" t="s">
        <v>1123</v>
      </c>
      <c r="P2335" s="9" t="s">
        <v>41</v>
      </c>
      <c r="Q2335" s="9" t="s">
        <v>49</v>
      </c>
      <c r="R2335" s="9" t="s">
        <v>50</v>
      </c>
      <c r="S2335" s="7" t="s">
        <v>1372</v>
      </c>
      <c r="T2335" s="9" t="s">
        <v>36</v>
      </c>
      <c r="U2335" s="7">
        <v>0.62</v>
      </c>
      <c r="V2335" s="12">
        <f>C2335+4</f>
        <v>39942</v>
      </c>
      <c r="W2335">
        <f>IF(D2335=' Pivot Tables'!$A$4,1,0)</f>
        <v>0</v>
      </c>
      <c r="X2335">
        <f>IF(AND(LEFT(D2335,4)+1=LEFT(' Pivot Tables'!$A$4,4)+0,RIGHT(LEFT(D2335,7),2)=RIGHT(LEFT(' Pivot Tables'!$A$4,7),2)),1,0)</f>
        <v>0</v>
      </c>
      <c r="Y2335" s="6">
        <f>1/COUNTIF(Таблица1[Order ID],Таблица1[[#This Row],[Order ID]])</f>
        <v>0.33333333333333331</v>
      </c>
      <c r="Z2335" s="9">
        <f>1/COUNTIFS(Таблица1[Customer Name],Таблица1[[#This Row],[Customer Name]],Таблица1[Order-Year-Month],Таблица1[[#This Row],[Order-Year-Month]])</f>
        <v>0.33333333333333331</v>
      </c>
    </row>
    <row r="2336" spans="1:26" x14ac:dyDescent="0.2">
      <c r="A2336" s="6">
        <v>5422</v>
      </c>
      <c r="B2336" s="7">
        <v>38530</v>
      </c>
      <c r="C2336" s="8">
        <f>DATE(2012,12,31)-624</f>
        <v>40650</v>
      </c>
      <c r="D2336" s="8" t="str">
        <f t="shared" si="46"/>
        <v>2011-04 (апрель 2011)</v>
      </c>
      <c r="E2336" s="9" t="s">
        <v>78</v>
      </c>
      <c r="F2336" s="7">
        <v>47</v>
      </c>
      <c r="G2336" s="7">
        <v>1980.37</v>
      </c>
      <c r="H2336" s="7">
        <v>0.03</v>
      </c>
      <c r="I2336" s="9" t="s">
        <v>22</v>
      </c>
      <c r="J2336" s="10">
        <v>904.82500000000005</v>
      </c>
      <c r="K2336" s="11">
        <v>40.98</v>
      </c>
      <c r="L2336" s="11">
        <v>2.99</v>
      </c>
      <c r="M2336" s="9" t="s">
        <v>1296</v>
      </c>
      <c r="N2336" s="6" t="s">
        <v>1123</v>
      </c>
      <c r="O2336" s="6" t="s">
        <v>1123</v>
      </c>
      <c r="P2336" s="9" t="s">
        <v>60</v>
      </c>
      <c r="Q2336" s="9" t="s">
        <v>26</v>
      </c>
      <c r="R2336" s="9" t="s">
        <v>37</v>
      </c>
      <c r="S2336" s="7" t="s">
        <v>451</v>
      </c>
      <c r="T2336" s="9" t="s">
        <v>39</v>
      </c>
      <c r="U2336" s="7">
        <v>0.36</v>
      </c>
      <c r="V2336" s="12">
        <f>C2336+0</f>
        <v>40650</v>
      </c>
      <c r="W2336">
        <f>IF(D2336=' Pivot Tables'!$A$4,1,0)</f>
        <v>0</v>
      </c>
      <c r="X2336">
        <f>IF(AND(LEFT(D2336,4)+1=LEFT(' Pivot Tables'!$A$4,4)+0,RIGHT(LEFT(D2336,7),2)=RIGHT(LEFT(' Pivot Tables'!$A$4,7),2)),1,0)</f>
        <v>0</v>
      </c>
      <c r="Y2336" s="6">
        <f>1/COUNTIF(Таблица1[Order ID],Таблица1[[#This Row],[Order ID]])</f>
        <v>0.5</v>
      </c>
      <c r="Z2336" s="9">
        <f>1/COUNTIFS(Таблица1[Customer Name],Таблица1[[#This Row],[Customer Name]],Таблица1[Order-Year-Month],Таблица1[[#This Row],[Order-Year-Month]])</f>
        <v>0.5</v>
      </c>
    </row>
    <row r="2337" spans="1:26" x14ac:dyDescent="0.2">
      <c r="A2337" s="6">
        <v>5423</v>
      </c>
      <c r="B2337" s="7">
        <v>38530</v>
      </c>
      <c r="C2337" s="8">
        <f>DATE(2012,12,31)-624</f>
        <v>40650</v>
      </c>
      <c r="D2337" s="8" t="str">
        <f t="shared" si="46"/>
        <v>2011-04 (апрель 2011)</v>
      </c>
      <c r="E2337" s="9" t="s">
        <v>78</v>
      </c>
      <c r="F2337" s="7">
        <v>13</v>
      </c>
      <c r="G2337" s="7">
        <v>642.66</v>
      </c>
      <c r="H2337" s="7">
        <v>0.05</v>
      </c>
      <c r="I2337" s="9" t="s">
        <v>22</v>
      </c>
      <c r="J2337" s="10">
        <v>-82.35</v>
      </c>
      <c r="K2337" s="11">
        <v>49.43</v>
      </c>
      <c r="L2337" s="11">
        <v>19.989999999999998</v>
      </c>
      <c r="M2337" s="9" t="s">
        <v>1296</v>
      </c>
      <c r="N2337" s="6" t="s">
        <v>1123</v>
      </c>
      <c r="O2337" s="6" t="s">
        <v>1123</v>
      </c>
      <c r="P2337" s="9" t="s">
        <v>60</v>
      </c>
      <c r="Q2337" s="9" t="s">
        <v>26</v>
      </c>
      <c r="R2337" s="9" t="s">
        <v>34</v>
      </c>
      <c r="S2337" s="7" t="s">
        <v>820</v>
      </c>
      <c r="T2337" s="9" t="s">
        <v>39</v>
      </c>
      <c r="U2337" s="7">
        <v>0.56999999999999995</v>
      </c>
      <c r="V2337" s="12">
        <f>C2337+0</f>
        <v>40650</v>
      </c>
      <c r="W2337">
        <f>IF(D2337=' Pivot Tables'!$A$4,1,0)</f>
        <v>0</v>
      </c>
      <c r="X2337">
        <f>IF(AND(LEFT(D2337,4)+1=LEFT(' Pivot Tables'!$A$4,4)+0,RIGHT(LEFT(D2337,7),2)=RIGHT(LEFT(' Pivot Tables'!$A$4,7),2)),1,0)</f>
        <v>0</v>
      </c>
      <c r="Y2337" s="6">
        <f>1/COUNTIF(Таблица1[Order ID],Таблица1[[#This Row],[Order ID]])</f>
        <v>0.5</v>
      </c>
      <c r="Z2337" s="9">
        <f>1/COUNTIFS(Таблица1[Customer Name],Таблица1[[#This Row],[Customer Name]],Таблица1[Order-Year-Month],Таблица1[[#This Row],[Order-Year-Month]])</f>
        <v>0.5</v>
      </c>
    </row>
    <row r="2338" spans="1:26" x14ac:dyDescent="0.2">
      <c r="A2338" s="6">
        <v>5455</v>
      </c>
      <c r="B2338" s="7">
        <v>38726</v>
      </c>
      <c r="C2338" s="8">
        <f>DATE(2012,12,31)-1320</f>
        <v>39954</v>
      </c>
      <c r="D2338" s="8" t="str">
        <f t="shared" si="46"/>
        <v>2009-05 (май 2009)</v>
      </c>
      <c r="E2338" s="9" t="s">
        <v>63</v>
      </c>
      <c r="F2338" s="7">
        <v>44</v>
      </c>
      <c r="G2338" s="7">
        <v>92.86</v>
      </c>
      <c r="H2338" s="7">
        <v>0.04</v>
      </c>
      <c r="I2338" s="9" t="s">
        <v>22</v>
      </c>
      <c r="J2338" s="10">
        <v>-11.281500000000001</v>
      </c>
      <c r="K2338" s="11">
        <v>2.08</v>
      </c>
      <c r="L2338" s="11">
        <v>1.49</v>
      </c>
      <c r="M2338" s="9" t="s">
        <v>1285</v>
      </c>
      <c r="N2338" s="6" t="s">
        <v>1123</v>
      </c>
      <c r="O2338" s="6" t="s">
        <v>1123</v>
      </c>
      <c r="P2338" s="9" t="s">
        <v>60</v>
      </c>
      <c r="Q2338" s="9" t="s">
        <v>26</v>
      </c>
      <c r="R2338" s="9" t="s">
        <v>37</v>
      </c>
      <c r="S2338" s="7" t="s">
        <v>745</v>
      </c>
      <c r="T2338" s="9" t="s">
        <v>39</v>
      </c>
      <c r="U2338" s="7">
        <v>0.36</v>
      </c>
      <c r="V2338" s="12">
        <f>C2338+2</f>
        <v>39956</v>
      </c>
      <c r="W2338">
        <f>IF(D2338=' Pivot Tables'!$A$4,1,0)</f>
        <v>0</v>
      </c>
      <c r="X2338">
        <f>IF(AND(LEFT(D2338,4)+1=LEFT(' Pivot Tables'!$A$4,4)+0,RIGHT(LEFT(D2338,7),2)=RIGHT(LEFT(' Pivot Tables'!$A$4,7),2)),1,0)</f>
        <v>0</v>
      </c>
      <c r="Y2338" s="6">
        <f>1/COUNTIF(Таблица1[Order ID],Таблица1[[#This Row],[Order ID]])</f>
        <v>1</v>
      </c>
      <c r="Z2338" s="9">
        <f>1/COUNTIFS(Таблица1[Customer Name],Таблица1[[#This Row],[Customer Name]],Таблица1[Order-Year-Month],Таблица1[[#This Row],[Order-Year-Month]])</f>
        <v>1</v>
      </c>
    </row>
    <row r="2339" spans="1:26" x14ac:dyDescent="0.2">
      <c r="A2339" s="6">
        <v>5531</v>
      </c>
      <c r="B2339" s="7">
        <v>39172</v>
      </c>
      <c r="C2339" s="8">
        <f>DATE(2012,12,31)-920</f>
        <v>40354</v>
      </c>
      <c r="D2339" s="8" t="str">
        <f t="shared" si="46"/>
        <v>2010-06 (июнь 2010)</v>
      </c>
      <c r="E2339" s="9" t="s">
        <v>21</v>
      </c>
      <c r="F2339" s="7">
        <v>38</v>
      </c>
      <c r="G2339" s="7">
        <v>9013.58</v>
      </c>
      <c r="H2339" s="7">
        <v>0.04</v>
      </c>
      <c r="I2339" s="9" t="s">
        <v>22</v>
      </c>
      <c r="J2339" s="10">
        <v>2574.36</v>
      </c>
      <c r="K2339" s="11">
        <v>232.58</v>
      </c>
      <c r="L2339" s="11">
        <v>19.989999999999998</v>
      </c>
      <c r="M2339" s="9" t="s">
        <v>1274</v>
      </c>
      <c r="N2339" s="6" t="s">
        <v>1123</v>
      </c>
      <c r="O2339" s="6" t="s">
        <v>1123</v>
      </c>
      <c r="P2339" s="9" t="s">
        <v>60</v>
      </c>
      <c r="Q2339" s="9" t="s">
        <v>26</v>
      </c>
      <c r="R2339" s="9" t="s">
        <v>34</v>
      </c>
      <c r="S2339" s="7" t="s">
        <v>1373</v>
      </c>
      <c r="T2339" s="9" t="s">
        <v>39</v>
      </c>
      <c r="U2339" s="7">
        <v>0.59</v>
      </c>
      <c r="V2339" s="12">
        <f>C2339+7</f>
        <v>40361</v>
      </c>
      <c r="W2339">
        <f>IF(D2339=' Pivot Tables'!$A$4,1,0)</f>
        <v>0</v>
      </c>
      <c r="X2339">
        <f>IF(AND(LEFT(D2339,4)+1=LEFT(' Pivot Tables'!$A$4,4)+0,RIGHT(LEFT(D2339,7),2)=RIGHT(LEFT(' Pivot Tables'!$A$4,7),2)),1,0)</f>
        <v>0</v>
      </c>
      <c r="Y2339" s="6">
        <f>1/COUNTIF(Таблица1[Order ID],Таблица1[[#This Row],[Order ID]])</f>
        <v>0.5</v>
      </c>
      <c r="Z2339" s="9">
        <f>1/COUNTIFS(Таблица1[Customer Name],Таблица1[[#This Row],[Customer Name]],Таблица1[Order-Year-Month],Таблица1[[#This Row],[Order-Year-Month]])</f>
        <v>0.5</v>
      </c>
    </row>
    <row r="2340" spans="1:26" x14ac:dyDescent="0.2">
      <c r="A2340" s="6">
        <v>5532</v>
      </c>
      <c r="B2340" s="7">
        <v>39172</v>
      </c>
      <c r="C2340" s="8">
        <f>DATE(2012,12,31)-920</f>
        <v>40354</v>
      </c>
      <c r="D2340" s="8" t="str">
        <f t="shared" si="46"/>
        <v>2010-06 (июнь 2010)</v>
      </c>
      <c r="E2340" s="9" t="s">
        <v>21</v>
      </c>
      <c r="F2340" s="7">
        <v>26</v>
      </c>
      <c r="G2340" s="7">
        <v>175.42</v>
      </c>
      <c r="H2340" s="7">
        <v>0</v>
      </c>
      <c r="I2340" s="9" t="s">
        <v>22</v>
      </c>
      <c r="J2340" s="10">
        <v>-93.73</v>
      </c>
      <c r="K2340" s="11">
        <v>5.98</v>
      </c>
      <c r="L2340" s="11">
        <v>7.5</v>
      </c>
      <c r="M2340" s="9" t="s">
        <v>1274</v>
      </c>
      <c r="N2340" s="6" t="s">
        <v>1123</v>
      </c>
      <c r="O2340" s="6" t="s">
        <v>1123</v>
      </c>
      <c r="P2340" s="9" t="s">
        <v>60</v>
      </c>
      <c r="Q2340" s="9" t="s">
        <v>26</v>
      </c>
      <c r="R2340" s="9" t="s">
        <v>61</v>
      </c>
      <c r="S2340" s="7" t="s">
        <v>579</v>
      </c>
      <c r="T2340" s="9" t="s">
        <v>39</v>
      </c>
      <c r="U2340" s="7">
        <v>0.4</v>
      </c>
      <c r="V2340" s="12">
        <f>C2340+7</f>
        <v>40361</v>
      </c>
      <c r="W2340">
        <f>IF(D2340=' Pivot Tables'!$A$4,1,0)</f>
        <v>0</v>
      </c>
      <c r="X2340">
        <f>IF(AND(LEFT(D2340,4)+1=LEFT(' Pivot Tables'!$A$4,4)+0,RIGHT(LEFT(D2340,7),2)=RIGHT(LEFT(' Pivot Tables'!$A$4,7),2)),1,0)</f>
        <v>0</v>
      </c>
      <c r="Y2340" s="6">
        <f>1/COUNTIF(Таблица1[Order ID],Таблица1[[#This Row],[Order ID]])</f>
        <v>0.5</v>
      </c>
      <c r="Z2340" s="9">
        <f>1/COUNTIFS(Таблица1[Customer Name],Таблица1[[#This Row],[Customer Name]],Таблица1[Order-Year-Month],Таблица1[[#This Row],[Order-Year-Month]])</f>
        <v>0.5</v>
      </c>
    </row>
    <row r="2341" spans="1:26" x14ac:dyDescent="0.2">
      <c r="A2341" s="6">
        <v>5547</v>
      </c>
      <c r="B2341" s="7">
        <v>39269</v>
      </c>
      <c r="C2341" s="8">
        <f>DATE(2012,12,31)-66</f>
        <v>41208</v>
      </c>
      <c r="D2341" s="8" t="str">
        <f t="shared" si="46"/>
        <v>2012-10 (октябрь 2012)</v>
      </c>
      <c r="E2341" s="9" t="s">
        <v>21</v>
      </c>
      <c r="F2341" s="7">
        <v>16</v>
      </c>
      <c r="G2341" s="7">
        <v>464.69499999999999</v>
      </c>
      <c r="H2341" s="7">
        <v>0.06</v>
      </c>
      <c r="I2341" s="9" t="s">
        <v>22</v>
      </c>
      <c r="J2341" s="10">
        <v>107.505</v>
      </c>
      <c r="K2341" s="11">
        <v>35.99</v>
      </c>
      <c r="L2341" s="11">
        <v>2.5</v>
      </c>
      <c r="M2341" s="9" t="s">
        <v>1263</v>
      </c>
      <c r="N2341" s="6" t="s">
        <v>1123</v>
      </c>
      <c r="O2341" s="6" t="s">
        <v>1123</v>
      </c>
      <c r="P2341" s="9" t="s">
        <v>60</v>
      </c>
      <c r="Q2341" s="9" t="s">
        <v>42</v>
      </c>
      <c r="R2341" s="9" t="s">
        <v>43</v>
      </c>
      <c r="S2341" s="7" t="s">
        <v>1374</v>
      </c>
      <c r="T2341" s="9" t="s">
        <v>52</v>
      </c>
      <c r="U2341" s="7">
        <v>0.36</v>
      </c>
      <c r="V2341" s="12">
        <f>C2341+7</f>
        <v>41215</v>
      </c>
      <c r="W2341">
        <f>IF(D2341=' Pivot Tables'!$A$4,1,0)</f>
        <v>0</v>
      </c>
      <c r="X2341">
        <f>IF(AND(LEFT(D2341,4)+1=LEFT(' Pivot Tables'!$A$4,4)+0,RIGHT(LEFT(D2341,7),2)=RIGHT(LEFT(' Pivot Tables'!$A$4,7),2)),1,0)</f>
        <v>0</v>
      </c>
      <c r="Y2341" s="6">
        <f>1/COUNTIF(Таблица1[Order ID],Таблица1[[#This Row],[Order ID]])</f>
        <v>1</v>
      </c>
      <c r="Z2341" s="9">
        <f>1/COUNTIFS(Таблица1[Customer Name],Таблица1[[#This Row],[Customer Name]],Таблица1[Order-Year-Month],Таблица1[[#This Row],[Order-Year-Month]])</f>
        <v>1</v>
      </c>
    </row>
    <row r="2342" spans="1:26" x14ac:dyDescent="0.2">
      <c r="A2342" s="6">
        <v>5552</v>
      </c>
      <c r="B2342" s="7">
        <v>39330</v>
      </c>
      <c r="C2342" s="8">
        <f>DATE(2012,12,31)-898</f>
        <v>40376</v>
      </c>
      <c r="D2342" s="8" t="str">
        <f t="shared" si="46"/>
        <v>2010-07 (июль 2010)</v>
      </c>
      <c r="E2342" s="9" t="s">
        <v>78</v>
      </c>
      <c r="F2342" s="7">
        <v>29</v>
      </c>
      <c r="G2342" s="7">
        <v>184.77</v>
      </c>
      <c r="H2342" s="7">
        <v>0</v>
      </c>
      <c r="I2342" s="9" t="s">
        <v>56</v>
      </c>
      <c r="J2342" s="10">
        <v>-71.959999999999994</v>
      </c>
      <c r="K2342" s="11">
        <v>5.74</v>
      </c>
      <c r="L2342" s="11">
        <v>5.3</v>
      </c>
      <c r="M2342" s="9" t="s">
        <v>1301</v>
      </c>
      <c r="N2342" s="6" t="s">
        <v>1123</v>
      </c>
      <c r="O2342" s="6" t="s">
        <v>1123</v>
      </c>
      <c r="P2342" s="9" t="s">
        <v>41</v>
      </c>
      <c r="Q2342" s="9" t="s">
        <v>26</v>
      </c>
      <c r="R2342" s="9" t="s">
        <v>150</v>
      </c>
      <c r="S2342" s="7" t="s">
        <v>1375</v>
      </c>
      <c r="T2342" s="9" t="s">
        <v>52</v>
      </c>
      <c r="U2342" s="7">
        <v>0.55000000000000004</v>
      </c>
      <c r="V2342" s="12">
        <f>C2342+1</f>
        <v>40377</v>
      </c>
      <c r="W2342">
        <f>IF(D2342=' Pivot Tables'!$A$4,1,0)</f>
        <v>0</v>
      </c>
      <c r="X2342">
        <f>IF(AND(LEFT(D2342,4)+1=LEFT(' Pivot Tables'!$A$4,4)+0,RIGHT(LEFT(D2342,7),2)=RIGHT(LEFT(' Pivot Tables'!$A$4,7),2)),1,0)</f>
        <v>0</v>
      </c>
      <c r="Y2342" s="6">
        <f>1/COUNTIF(Таблица1[Order ID],Таблица1[[#This Row],[Order ID]])</f>
        <v>1</v>
      </c>
      <c r="Z2342" s="9">
        <f>1/COUNTIFS(Таблица1[Customer Name],Таблица1[[#This Row],[Customer Name]],Таблица1[Order-Year-Month],Таблица1[[#This Row],[Order-Year-Month]])</f>
        <v>1</v>
      </c>
    </row>
    <row r="2343" spans="1:26" x14ac:dyDescent="0.2">
      <c r="A2343" s="6">
        <v>5561</v>
      </c>
      <c r="B2343" s="7">
        <v>39365</v>
      </c>
      <c r="C2343" s="8">
        <f>DATE(2012,12,31)-231</f>
        <v>41043</v>
      </c>
      <c r="D2343" s="8" t="str">
        <f t="shared" si="46"/>
        <v>2012-05 (май 2012)</v>
      </c>
      <c r="E2343" s="9" t="s">
        <v>30</v>
      </c>
      <c r="F2343" s="7">
        <v>32</v>
      </c>
      <c r="G2343" s="7">
        <v>931.08</v>
      </c>
      <c r="H2343" s="7">
        <v>0.1</v>
      </c>
      <c r="I2343" s="9" t="s">
        <v>56</v>
      </c>
      <c r="J2343" s="10">
        <v>269.60000000000002</v>
      </c>
      <c r="K2343" s="11">
        <v>29.89</v>
      </c>
      <c r="L2343" s="11">
        <v>1.99</v>
      </c>
      <c r="M2343" s="9" t="s">
        <v>1337</v>
      </c>
      <c r="N2343" s="6" t="s">
        <v>1123</v>
      </c>
      <c r="O2343" s="6" t="s">
        <v>1123</v>
      </c>
      <c r="P2343" s="9" t="s">
        <v>25</v>
      </c>
      <c r="Q2343" s="9" t="s">
        <v>42</v>
      </c>
      <c r="R2343" s="9" t="s">
        <v>70</v>
      </c>
      <c r="S2343" s="7" t="s">
        <v>547</v>
      </c>
      <c r="T2343" s="9" t="s">
        <v>52</v>
      </c>
      <c r="U2343" s="7">
        <v>0.5</v>
      </c>
      <c r="V2343" s="12">
        <f>C2343+3</f>
        <v>41046</v>
      </c>
      <c r="W2343">
        <f>IF(D2343=' Pivot Tables'!$A$4,1,0)</f>
        <v>0</v>
      </c>
      <c r="X2343">
        <f>IF(AND(LEFT(D2343,4)+1=LEFT(' Pivot Tables'!$A$4,4)+0,RIGHT(LEFT(D2343,7),2)=RIGHT(LEFT(' Pivot Tables'!$A$4,7),2)),1,0)</f>
        <v>0</v>
      </c>
      <c r="Y2343" s="6">
        <f>1/COUNTIF(Таблица1[Order ID],Таблица1[[#This Row],[Order ID]])</f>
        <v>1</v>
      </c>
      <c r="Z2343" s="9">
        <f>1/COUNTIFS(Таблица1[Customer Name],Таблица1[[#This Row],[Customer Name]],Таблица1[Order-Year-Month],Таблица1[[#This Row],[Order-Year-Month]])</f>
        <v>0.33333333333333331</v>
      </c>
    </row>
    <row r="2344" spans="1:26" x14ac:dyDescent="0.2">
      <c r="A2344" s="6">
        <v>5568</v>
      </c>
      <c r="B2344" s="7">
        <v>39430</v>
      </c>
      <c r="C2344" s="8">
        <f>DATE(2012,12,31)-1297</f>
        <v>39977</v>
      </c>
      <c r="D2344" s="8" t="str">
        <f t="shared" si="46"/>
        <v>2009-06 (июнь 2009)</v>
      </c>
      <c r="E2344" s="9" t="s">
        <v>21</v>
      </c>
      <c r="F2344" s="7">
        <v>29</v>
      </c>
      <c r="G2344" s="7">
        <v>877.97</v>
      </c>
      <c r="H2344" s="7">
        <v>0.03</v>
      </c>
      <c r="I2344" s="9" t="s">
        <v>22</v>
      </c>
      <c r="J2344" s="10">
        <v>-144.19999999999999</v>
      </c>
      <c r="K2344" s="11">
        <v>30.98</v>
      </c>
      <c r="L2344" s="11">
        <v>6.5</v>
      </c>
      <c r="M2344" s="9" t="s">
        <v>1262</v>
      </c>
      <c r="N2344" s="6" t="s">
        <v>1123</v>
      </c>
      <c r="O2344" s="6" t="s">
        <v>1123</v>
      </c>
      <c r="P2344" s="9" t="s">
        <v>41</v>
      </c>
      <c r="Q2344" s="9" t="s">
        <v>42</v>
      </c>
      <c r="R2344" s="9" t="s">
        <v>70</v>
      </c>
      <c r="S2344" s="7" t="s">
        <v>805</v>
      </c>
      <c r="T2344" s="9" t="s">
        <v>39</v>
      </c>
      <c r="U2344" s="7">
        <v>0.79</v>
      </c>
      <c r="V2344" s="12">
        <f>C2344+4</f>
        <v>39981</v>
      </c>
      <c r="W2344">
        <f>IF(D2344=' Pivot Tables'!$A$4,1,0)</f>
        <v>0</v>
      </c>
      <c r="X2344">
        <f>IF(AND(LEFT(D2344,4)+1=LEFT(' Pivot Tables'!$A$4,4)+0,RIGHT(LEFT(D2344,7),2)=RIGHT(LEFT(' Pivot Tables'!$A$4,7),2)),1,0)</f>
        <v>0</v>
      </c>
      <c r="Y2344" s="6">
        <f>1/COUNTIF(Таблица1[Order ID],Таблица1[[#This Row],[Order ID]])</f>
        <v>1</v>
      </c>
      <c r="Z2344" s="9">
        <f>1/COUNTIFS(Таблица1[Customer Name],Таблица1[[#This Row],[Customer Name]],Таблица1[Order-Year-Month],Таблица1[[#This Row],[Order-Year-Month]])</f>
        <v>1</v>
      </c>
    </row>
    <row r="2345" spans="1:26" x14ac:dyDescent="0.2">
      <c r="A2345" s="6">
        <v>5580</v>
      </c>
      <c r="B2345" s="7">
        <v>39555</v>
      </c>
      <c r="C2345" s="8">
        <f>DATE(2012,12,31)-118</f>
        <v>41156</v>
      </c>
      <c r="D2345" s="8" t="str">
        <f t="shared" si="46"/>
        <v>2012-09 (сентябрь 2012)</v>
      </c>
      <c r="E2345" s="9" t="s">
        <v>21</v>
      </c>
      <c r="F2345" s="7">
        <v>38</v>
      </c>
      <c r="G2345" s="7">
        <v>1112.54</v>
      </c>
      <c r="H2345" s="7">
        <v>0.01</v>
      </c>
      <c r="I2345" s="9" t="s">
        <v>22</v>
      </c>
      <c r="J2345" s="10">
        <v>352.96</v>
      </c>
      <c r="K2345" s="11">
        <v>27.18</v>
      </c>
      <c r="L2345" s="11">
        <v>8.23</v>
      </c>
      <c r="M2345" s="9" t="s">
        <v>1309</v>
      </c>
      <c r="N2345" s="6" t="s">
        <v>1123</v>
      </c>
      <c r="O2345" s="6" t="s">
        <v>1123</v>
      </c>
      <c r="P2345" s="9" t="s">
        <v>41</v>
      </c>
      <c r="Q2345" s="9" t="s">
        <v>26</v>
      </c>
      <c r="R2345" s="9" t="s">
        <v>76</v>
      </c>
      <c r="S2345" s="7" t="s">
        <v>809</v>
      </c>
      <c r="T2345" s="9" t="s">
        <v>39</v>
      </c>
      <c r="U2345" s="7">
        <v>0.38</v>
      </c>
      <c r="V2345" s="12">
        <f>C2345+5</f>
        <v>41161</v>
      </c>
      <c r="W2345">
        <f>IF(D2345=' Pivot Tables'!$A$4,1,0)</f>
        <v>0</v>
      </c>
      <c r="X2345">
        <f>IF(AND(LEFT(D2345,4)+1=LEFT(' Pivot Tables'!$A$4,4)+0,RIGHT(LEFT(D2345,7),2)=RIGHT(LEFT(' Pivot Tables'!$A$4,7),2)),1,0)</f>
        <v>0</v>
      </c>
      <c r="Y2345" s="6">
        <f>1/COUNTIF(Таблица1[Order ID],Таблица1[[#This Row],[Order ID]])</f>
        <v>1</v>
      </c>
      <c r="Z2345" s="9">
        <f>1/COUNTIFS(Таблица1[Customer Name],Таблица1[[#This Row],[Customer Name]],Таблица1[Order-Year-Month],Таблица1[[#This Row],[Order-Year-Month]])</f>
        <v>1</v>
      </c>
    </row>
    <row r="2346" spans="1:26" x14ac:dyDescent="0.2">
      <c r="A2346" s="6">
        <v>5609</v>
      </c>
      <c r="B2346" s="7">
        <v>39749</v>
      </c>
      <c r="C2346" s="8">
        <f>DATE(2012,12,31)-918</f>
        <v>40356</v>
      </c>
      <c r="D2346" s="8" t="str">
        <f t="shared" si="46"/>
        <v>2010-06 (июнь 2010)</v>
      </c>
      <c r="E2346" s="9" t="s">
        <v>30</v>
      </c>
      <c r="F2346" s="7">
        <v>14</v>
      </c>
      <c r="G2346" s="7">
        <v>125.31</v>
      </c>
      <c r="H2346" s="7">
        <v>0</v>
      </c>
      <c r="I2346" s="9" t="s">
        <v>22</v>
      </c>
      <c r="J2346" s="10">
        <v>26.24</v>
      </c>
      <c r="K2346" s="11">
        <v>7.96</v>
      </c>
      <c r="L2346" s="11">
        <v>4.95</v>
      </c>
      <c r="M2346" s="9" t="s">
        <v>1255</v>
      </c>
      <c r="N2346" s="6" t="s">
        <v>1123</v>
      </c>
      <c r="O2346" s="6" t="s">
        <v>1123</v>
      </c>
      <c r="P2346" s="9" t="s">
        <v>33</v>
      </c>
      <c r="Q2346" s="9" t="s">
        <v>49</v>
      </c>
      <c r="R2346" s="9" t="s">
        <v>50</v>
      </c>
      <c r="S2346" s="7" t="s">
        <v>951</v>
      </c>
      <c r="T2346" s="9" t="s">
        <v>39</v>
      </c>
      <c r="U2346" s="7">
        <v>0.41</v>
      </c>
      <c r="V2346" s="12">
        <f>C2346+2</f>
        <v>40358</v>
      </c>
      <c r="W2346">
        <f>IF(D2346=' Pivot Tables'!$A$4,1,0)</f>
        <v>0</v>
      </c>
      <c r="X2346">
        <f>IF(AND(LEFT(D2346,4)+1=LEFT(' Pivot Tables'!$A$4,4)+0,RIGHT(LEFT(D2346,7),2)=RIGHT(LEFT(' Pivot Tables'!$A$4,7),2)),1,0)</f>
        <v>0</v>
      </c>
      <c r="Y2346" s="6">
        <f>1/COUNTIF(Таблица1[Order ID],Таблица1[[#This Row],[Order ID]])</f>
        <v>0.33333333333333331</v>
      </c>
      <c r="Z2346" s="9">
        <f>1/COUNTIFS(Таблица1[Customer Name],Таблица1[[#This Row],[Customer Name]],Таблица1[Order-Year-Month],Таблица1[[#This Row],[Order-Year-Month]])</f>
        <v>0.33333333333333331</v>
      </c>
    </row>
    <row r="2347" spans="1:26" x14ac:dyDescent="0.2">
      <c r="A2347" s="6">
        <v>5610</v>
      </c>
      <c r="B2347" s="7">
        <v>39749</v>
      </c>
      <c r="C2347" s="8">
        <f>DATE(2012,12,31)-918</f>
        <v>40356</v>
      </c>
      <c r="D2347" s="8" t="str">
        <f t="shared" si="46"/>
        <v>2010-06 (июнь 2010)</v>
      </c>
      <c r="E2347" s="9" t="s">
        <v>30</v>
      </c>
      <c r="F2347" s="7">
        <v>45</v>
      </c>
      <c r="G2347" s="7">
        <v>11277.05</v>
      </c>
      <c r="H2347" s="7">
        <v>0.01</v>
      </c>
      <c r="I2347" s="9" t="s">
        <v>31</v>
      </c>
      <c r="J2347" s="10">
        <v>3497.45</v>
      </c>
      <c r="K2347" s="11">
        <v>264.98</v>
      </c>
      <c r="L2347" s="11">
        <v>17.86</v>
      </c>
      <c r="M2347" s="9" t="s">
        <v>1255</v>
      </c>
      <c r="N2347" s="6" t="s">
        <v>1123</v>
      </c>
      <c r="O2347" s="6" t="s">
        <v>1123</v>
      </c>
      <c r="P2347" s="9" t="s">
        <v>33</v>
      </c>
      <c r="Q2347" s="9" t="s">
        <v>42</v>
      </c>
      <c r="R2347" s="9" t="s">
        <v>210</v>
      </c>
      <c r="S2347" s="7" t="s">
        <v>1207</v>
      </c>
      <c r="T2347" s="9" t="s">
        <v>36</v>
      </c>
      <c r="U2347" s="7">
        <v>0.57999999999999996</v>
      </c>
      <c r="V2347" s="12">
        <f>C2347+2</f>
        <v>40358</v>
      </c>
      <c r="W2347">
        <f>IF(D2347=' Pivot Tables'!$A$4,1,0)</f>
        <v>0</v>
      </c>
      <c r="X2347">
        <f>IF(AND(LEFT(D2347,4)+1=LEFT(' Pivot Tables'!$A$4,4)+0,RIGHT(LEFT(D2347,7),2)=RIGHT(LEFT(' Pivot Tables'!$A$4,7),2)),1,0)</f>
        <v>0</v>
      </c>
      <c r="Y2347" s="6">
        <f>1/COUNTIF(Таблица1[Order ID],Таблица1[[#This Row],[Order ID]])</f>
        <v>0.33333333333333331</v>
      </c>
      <c r="Z2347" s="9">
        <f>1/COUNTIFS(Таблица1[Customer Name],Таблица1[[#This Row],[Customer Name]],Таблица1[Order-Year-Month],Таблица1[[#This Row],[Order-Year-Month]])</f>
        <v>0.33333333333333331</v>
      </c>
    </row>
    <row r="2348" spans="1:26" x14ac:dyDescent="0.2">
      <c r="A2348" s="6">
        <v>5611</v>
      </c>
      <c r="B2348" s="7">
        <v>39749</v>
      </c>
      <c r="C2348" s="8">
        <f>DATE(2012,12,31)-918</f>
        <v>40356</v>
      </c>
      <c r="D2348" s="8" t="str">
        <f t="shared" si="46"/>
        <v>2010-06 (июнь 2010)</v>
      </c>
      <c r="E2348" s="9" t="s">
        <v>30</v>
      </c>
      <c r="F2348" s="7">
        <v>43</v>
      </c>
      <c r="G2348" s="7">
        <v>110.64</v>
      </c>
      <c r="H2348" s="7">
        <v>0.06</v>
      </c>
      <c r="I2348" s="9" t="s">
        <v>22</v>
      </c>
      <c r="J2348" s="10">
        <v>-62.6</v>
      </c>
      <c r="K2348" s="11">
        <v>2.6</v>
      </c>
      <c r="L2348" s="11">
        <v>2.4</v>
      </c>
      <c r="M2348" s="9" t="s">
        <v>1255</v>
      </c>
      <c r="N2348" s="6" t="s">
        <v>1123</v>
      </c>
      <c r="O2348" s="6" t="s">
        <v>1123</v>
      </c>
      <c r="P2348" s="9" t="s">
        <v>33</v>
      </c>
      <c r="Q2348" s="9" t="s">
        <v>26</v>
      </c>
      <c r="R2348" s="9" t="s">
        <v>95</v>
      </c>
      <c r="S2348" s="7" t="s">
        <v>393</v>
      </c>
      <c r="T2348" s="9" t="s">
        <v>68</v>
      </c>
      <c r="U2348" s="7">
        <v>0.57999999999999996</v>
      </c>
      <c r="V2348" s="12">
        <f>C2348+2</f>
        <v>40358</v>
      </c>
      <c r="W2348">
        <f>IF(D2348=' Pivot Tables'!$A$4,1,0)</f>
        <v>0</v>
      </c>
      <c r="X2348">
        <f>IF(AND(LEFT(D2348,4)+1=LEFT(' Pivot Tables'!$A$4,4)+0,RIGHT(LEFT(D2348,7),2)=RIGHT(LEFT(' Pivot Tables'!$A$4,7),2)),1,0)</f>
        <v>0</v>
      </c>
      <c r="Y2348" s="6">
        <f>1/COUNTIF(Таблица1[Order ID],Таблица1[[#This Row],[Order ID]])</f>
        <v>0.33333333333333331</v>
      </c>
      <c r="Z2348" s="9">
        <f>1/COUNTIFS(Таблица1[Customer Name],Таблица1[[#This Row],[Customer Name]],Таблица1[Order-Year-Month],Таблица1[[#This Row],[Order-Year-Month]])</f>
        <v>0.33333333333333331</v>
      </c>
    </row>
    <row r="2349" spans="1:26" x14ac:dyDescent="0.2">
      <c r="A2349" s="6">
        <v>5622</v>
      </c>
      <c r="B2349" s="7">
        <v>39815</v>
      </c>
      <c r="C2349" s="8">
        <f>DATE(2012,12,31)-1362</f>
        <v>39912</v>
      </c>
      <c r="D2349" s="8" t="str">
        <f t="shared" si="46"/>
        <v>2009-04 (апрель 2009)</v>
      </c>
      <c r="E2349" s="9" t="s">
        <v>21</v>
      </c>
      <c r="F2349" s="7">
        <v>43</v>
      </c>
      <c r="G2349" s="7">
        <v>4075.3760000000002</v>
      </c>
      <c r="H2349" s="7">
        <v>0.05</v>
      </c>
      <c r="I2349" s="9" t="s">
        <v>22</v>
      </c>
      <c r="J2349" s="10">
        <v>841.72500000000002</v>
      </c>
      <c r="K2349" s="11">
        <v>115.99</v>
      </c>
      <c r="L2349" s="11">
        <v>8.99</v>
      </c>
      <c r="M2349" s="9" t="s">
        <v>532</v>
      </c>
      <c r="N2349" s="6" t="s">
        <v>1123</v>
      </c>
      <c r="O2349" s="6" t="s">
        <v>1123</v>
      </c>
      <c r="P2349" s="9" t="s">
        <v>33</v>
      </c>
      <c r="Q2349" s="9" t="s">
        <v>42</v>
      </c>
      <c r="R2349" s="9" t="s">
        <v>43</v>
      </c>
      <c r="S2349" s="7" t="s">
        <v>847</v>
      </c>
      <c r="T2349" s="9" t="s">
        <v>39</v>
      </c>
      <c r="U2349" s="7">
        <v>0.57999999999999996</v>
      </c>
      <c r="V2349" s="12">
        <f>C2349+4</f>
        <v>39916</v>
      </c>
      <c r="W2349">
        <f>IF(D2349=' Pivot Tables'!$A$4,1,0)</f>
        <v>0</v>
      </c>
      <c r="X2349">
        <f>IF(AND(LEFT(D2349,4)+1=LEFT(' Pivot Tables'!$A$4,4)+0,RIGHT(LEFT(D2349,7),2)=RIGHT(LEFT(' Pivot Tables'!$A$4,7),2)),1,0)</f>
        <v>0</v>
      </c>
      <c r="Y2349" s="6">
        <f>1/COUNTIF(Таблица1[Order ID],Таблица1[[#This Row],[Order ID]])</f>
        <v>1</v>
      </c>
      <c r="Z2349" s="9">
        <f>1/COUNTIFS(Таблица1[Customer Name],Таблица1[[#This Row],[Customer Name]],Таблица1[Order-Year-Month],Таблица1[[#This Row],[Order-Year-Month]])</f>
        <v>1</v>
      </c>
    </row>
    <row r="2350" spans="1:26" x14ac:dyDescent="0.2">
      <c r="A2350" s="6">
        <v>5651</v>
      </c>
      <c r="B2350" s="7">
        <v>40001</v>
      </c>
      <c r="C2350" s="8">
        <f>DATE(2012,12,31)-676</f>
        <v>40598</v>
      </c>
      <c r="D2350" s="8" t="str">
        <f t="shared" si="46"/>
        <v>2011-02 (февраль 2011)</v>
      </c>
      <c r="E2350" s="9" t="s">
        <v>63</v>
      </c>
      <c r="F2350" s="7">
        <v>46</v>
      </c>
      <c r="G2350" s="7">
        <v>1736.53</v>
      </c>
      <c r="H2350" s="7">
        <v>0.1</v>
      </c>
      <c r="I2350" s="9" t="s">
        <v>22</v>
      </c>
      <c r="J2350" s="10">
        <v>457.03</v>
      </c>
      <c r="K2350" s="11">
        <v>39.479999999999997</v>
      </c>
      <c r="L2350" s="11">
        <v>3.99</v>
      </c>
      <c r="M2350" s="9" t="s">
        <v>1376</v>
      </c>
      <c r="N2350" s="6" t="s">
        <v>1123</v>
      </c>
      <c r="O2350" s="6" t="s">
        <v>1123</v>
      </c>
      <c r="P2350" s="9" t="s">
        <v>60</v>
      </c>
      <c r="Q2350" s="9" t="s">
        <v>26</v>
      </c>
      <c r="R2350" s="9" t="s">
        <v>34</v>
      </c>
      <c r="S2350" s="7" t="s">
        <v>1294</v>
      </c>
      <c r="T2350" s="9" t="s">
        <v>39</v>
      </c>
      <c r="U2350" s="7">
        <v>0.56000000000000005</v>
      </c>
      <c r="V2350" s="12">
        <f>C2350+2</f>
        <v>40600</v>
      </c>
      <c r="W2350">
        <f>IF(D2350=' Pivot Tables'!$A$4,1,0)</f>
        <v>0</v>
      </c>
      <c r="X2350">
        <f>IF(AND(LEFT(D2350,4)+1=LEFT(' Pivot Tables'!$A$4,4)+0,RIGHT(LEFT(D2350,7),2)=RIGHT(LEFT(' Pivot Tables'!$A$4,7),2)),1,0)</f>
        <v>0</v>
      </c>
      <c r="Y2350" s="6">
        <f>1/COUNTIF(Таблица1[Order ID],Таблица1[[#This Row],[Order ID]])</f>
        <v>1</v>
      </c>
      <c r="Z2350" s="9">
        <f>1/COUNTIFS(Таблица1[Customer Name],Таблица1[[#This Row],[Customer Name]],Таблица1[Order-Year-Month],Таблица1[[#This Row],[Order-Year-Month]])</f>
        <v>1</v>
      </c>
    </row>
    <row r="2351" spans="1:26" x14ac:dyDescent="0.2">
      <c r="A2351" s="6">
        <v>5708</v>
      </c>
      <c r="B2351" s="7">
        <v>40386</v>
      </c>
      <c r="C2351" s="8">
        <f>DATE(2012,12,31)-682</f>
        <v>40592</v>
      </c>
      <c r="D2351" s="8" t="str">
        <f t="shared" si="46"/>
        <v>2011-02 (февраль 2011)</v>
      </c>
      <c r="E2351" s="9" t="s">
        <v>30</v>
      </c>
      <c r="F2351" s="7">
        <v>28</v>
      </c>
      <c r="G2351" s="7">
        <v>2905.3</v>
      </c>
      <c r="H2351" s="7">
        <v>0</v>
      </c>
      <c r="I2351" s="9" t="s">
        <v>56</v>
      </c>
      <c r="J2351" s="10">
        <v>1704</v>
      </c>
      <c r="K2351" s="11">
        <v>98.31</v>
      </c>
      <c r="L2351" s="11">
        <v>0.49</v>
      </c>
      <c r="M2351" s="9" t="s">
        <v>1288</v>
      </c>
      <c r="N2351" s="6" t="s">
        <v>1123</v>
      </c>
      <c r="O2351" s="6" t="s">
        <v>1123</v>
      </c>
      <c r="P2351" s="9" t="s">
        <v>25</v>
      </c>
      <c r="Q2351" s="9" t="s">
        <v>26</v>
      </c>
      <c r="R2351" s="9" t="s">
        <v>88</v>
      </c>
      <c r="S2351" s="7" t="s">
        <v>471</v>
      </c>
      <c r="T2351" s="9" t="s">
        <v>39</v>
      </c>
      <c r="U2351" s="7">
        <v>0.36</v>
      </c>
      <c r="V2351" s="12">
        <f>C2351+2</f>
        <v>40594</v>
      </c>
      <c r="W2351">
        <f>IF(D2351=' Pivot Tables'!$A$4,1,0)</f>
        <v>0</v>
      </c>
      <c r="X2351">
        <f>IF(AND(LEFT(D2351,4)+1=LEFT(' Pivot Tables'!$A$4,4)+0,RIGHT(LEFT(D2351,7),2)=RIGHT(LEFT(' Pivot Tables'!$A$4,7),2)),1,0)</f>
        <v>0</v>
      </c>
      <c r="Y2351" s="6">
        <f>1/COUNTIF(Таблица1[Order ID],Таблица1[[#This Row],[Order ID]])</f>
        <v>1</v>
      </c>
      <c r="Z2351" s="9">
        <f>1/COUNTIFS(Таблица1[Customer Name],Таблица1[[#This Row],[Customer Name]],Таблица1[Order-Year-Month],Таблица1[[#This Row],[Order-Year-Month]])</f>
        <v>1</v>
      </c>
    </row>
    <row r="2352" spans="1:26" x14ac:dyDescent="0.2">
      <c r="A2352" s="6">
        <v>5729</v>
      </c>
      <c r="B2352" s="7">
        <v>40647</v>
      </c>
      <c r="C2352" s="8">
        <f>DATE(2012,12,31)-1232</f>
        <v>40042</v>
      </c>
      <c r="D2352" s="8" t="str">
        <f t="shared" si="46"/>
        <v>2009-08 (август 2009)</v>
      </c>
      <c r="E2352" s="9" t="s">
        <v>30</v>
      </c>
      <c r="F2352" s="7">
        <v>47</v>
      </c>
      <c r="G2352" s="7">
        <v>1982.16</v>
      </c>
      <c r="H2352" s="7">
        <v>0.03</v>
      </c>
      <c r="I2352" s="9" t="s">
        <v>22</v>
      </c>
      <c r="J2352" s="10">
        <v>267.10000000000002</v>
      </c>
      <c r="K2352" s="11">
        <v>40.99</v>
      </c>
      <c r="L2352" s="11">
        <v>19.989999999999998</v>
      </c>
      <c r="M2352" s="9" t="s">
        <v>1309</v>
      </c>
      <c r="N2352" s="6" t="s">
        <v>1123</v>
      </c>
      <c r="O2352" s="6" t="s">
        <v>1123</v>
      </c>
      <c r="P2352" s="9" t="s">
        <v>41</v>
      </c>
      <c r="Q2352" s="9" t="s">
        <v>26</v>
      </c>
      <c r="R2352" s="9" t="s">
        <v>61</v>
      </c>
      <c r="S2352" s="7" t="s">
        <v>105</v>
      </c>
      <c r="T2352" s="9" t="s">
        <v>39</v>
      </c>
      <c r="U2352" s="7">
        <v>0.36</v>
      </c>
      <c r="V2352" s="12">
        <f>C2352+1</f>
        <v>40043</v>
      </c>
      <c r="W2352">
        <f>IF(D2352=' Pivot Tables'!$A$4,1,0)</f>
        <v>0</v>
      </c>
      <c r="X2352">
        <f>IF(AND(LEFT(D2352,4)+1=LEFT(' Pivot Tables'!$A$4,4)+0,RIGHT(LEFT(D2352,7),2)=RIGHT(LEFT(' Pivot Tables'!$A$4,7),2)),1,0)</f>
        <v>0</v>
      </c>
      <c r="Y2352" s="6">
        <f>1/COUNTIF(Таблица1[Order ID],Таблица1[[#This Row],[Order ID]])</f>
        <v>1</v>
      </c>
      <c r="Z2352" s="9">
        <f>1/COUNTIFS(Таблица1[Customer Name],Таблица1[[#This Row],[Customer Name]],Таблица1[Order-Year-Month],Таблица1[[#This Row],[Order-Year-Month]])</f>
        <v>1</v>
      </c>
    </row>
    <row r="2353" spans="1:26" x14ac:dyDescent="0.2">
      <c r="A2353" s="6">
        <v>5796</v>
      </c>
      <c r="B2353" s="7">
        <v>41120</v>
      </c>
      <c r="C2353" s="8">
        <f>DATE(2012,12,31)-177</f>
        <v>41097</v>
      </c>
      <c r="D2353" s="8" t="str">
        <f t="shared" si="46"/>
        <v>2012-07 (июль 2012)</v>
      </c>
      <c r="E2353" s="9" t="s">
        <v>21</v>
      </c>
      <c r="F2353" s="7">
        <v>35</v>
      </c>
      <c r="G2353" s="7">
        <v>870.75</v>
      </c>
      <c r="H2353" s="7">
        <v>0.09</v>
      </c>
      <c r="I2353" s="9" t="s">
        <v>22</v>
      </c>
      <c r="J2353" s="10">
        <v>100.5</v>
      </c>
      <c r="K2353" s="11">
        <v>26.64</v>
      </c>
      <c r="L2353" s="11">
        <v>5.3</v>
      </c>
      <c r="M2353" s="9" t="s">
        <v>1278</v>
      </c>
      <c r="N2353" s="6" t="s">
        <v>1123</v>
      </c>
      <c r="O2353" s="6" t="s">
        <v>1123</v>
      </c>
      <c r="P2353" s="9" t="s">
        <v>33</v>
      </c>
      <c r="Q2353" s="9" t="s">
        <v>49</v>
      </c>
      <c r="R2353" s="9" t="s">
        <v>112</v>
      </c>
      <c r="S2353" s="7" t="s">
        <v>1377</v>
      </c>
      <c r="T2353" s="9" t="s">
        <v>48</v>
      </c>
      <c r="U2353" s="7"/>
      <c r="V2353" s="12">
        <f>C2353+2</f>
        <v>41099</v>
      </c>
      <c r="W2353">
        <f>IF(D2353=' Pivot Tables'!$A$4,1,0)</f>
        <v>0</v>
      </c>
      <c r="X2353">
        <f>IF(AND(LEFT(D2353,4)+1=LEFT(' Pivot Tables'!$A$4,4)+0,RIGHT(LEFT(D2353,7),2)=RIGHT(LEFT(' Pivot Tables'!$A$4,7),2)),1,0)</f>
        <v>0</v>
      </c>
      <c r="Y2353" s="6">
        <f>1/COUNTIF(Таблица1[Order ID],Таблица1[[#This Row],[Order ID]])</f>
        <v>0.5</v>
      </c>
      <c r="Z2353" s="9">
        <f>1/COUNTIFS(Таблица1[Customer Name],Таблица1[[#This Row],[Customer Name]],Таблица1[Order-Year-Month],Таблица1[[#This Row],[Order-Year-Month]])</f>
        <v>0.5</v>
      </c>
    </row>
    <row r="2354" spans="1:26" x14ac:dyDescent="0.2">
      <c r="A2354" s="6">
        <v>5797</v>
      </c>
      <c r="B2354" s="7">
        <v>41120</v>
      </c>
      <c r="C2354" s="8">
        <f>DATE(2012,12,31)-177</f>
        <v>41097</v>
      </c>
      <c r="D2354" s="8" t="str">
        <f t="shared" si="46"/>
        <v>2012-07 (июль 2012)</v>
      </c>
      <c r="E2354" s="9" t="s">
        <v>21</v>
      </c>
      <c r="F2354" s="7">
        <v>13</v>
      </c>
      <c r="G2354" s="7">
        <v>43.37</v>
      </c>
      <c r="H2354" s="7">
        <v>0.02</v>
      </c>
      <c r="I2354" s="9" t="s">
        <v>22</v>
      </c>
      <c r="J2354" s="10">
        <v>9.5299999999999994</v>
      </c>
      <c r="K2354" s="11">
        <v>3.08</v>
      </c>
      <c r="L2354" s="11">
        <v>0.99</v>
      </c>
      <c r="M2354" s="9" t="s">
        <v>1278</v>
      </c>
      <c r="N2354" s="6" t="s">
        <v>1123</v>
      </c>
      <c r="O2354" s="6" t="s">
        <v>1123</v>
      </c>
      <c r="P2354" s="9" t="s">
        <v>33</v>
      </c>
      <c r="Q2354" s="9" t="s">
        <v>49</v>
      </c>
      <c r="R2354" s="9" t="s">
        <v>50</v>
      </c>
      <c r="S2354" s="7" t="s">
        <v>446</v>
      </c>
      <c r="T2354" s="9" t="s">
        <v>48</v>
      </c>
      <c r="U2354" s="7">
        <v>0.48</v>
      </c>
      <c r="V2354" s="12">
        <f>C2354+2</f>
        <v>41099</v>
      </c>
      <c r="W2354">
        <f>IF(D2354=' Pivot Tables'!$A$4,1,0)</f>
        <v>0</v>
      </c>
      <c r="X2354">
        <f>IF(AND(LEFT(D2354,4)+1=LEFT(' Pivot Tables'!$A$4,4)+0,RIGHT(LEFT(D2354,7),2)=RIGHT(LEFT(' Pivot Tables'!$A$4,7),2)),1,0)</f>
        <v>0</v>
      </c>
      <c r="Y2354" s="6">
        <f>1/COUNTIF(Таблица1[Order ID],Таблица1[[#This Row],[Order ID]])</f>
        <v>0.5</v>
      </c>
      <c r="Z2354" s="9">
        <f>1/COUNTIFS(Таблица1[Customer Name],Таблица1[[#This Row],[Customer Name]],Таблица1[Order-Year-Month],Таблица1[[#This Row],[Order-Year-Month]])</f>
        <v>0.5</v>
      </c>
    </row>
    <row r="2355" spans="1:26" x14ac:dyDescent="0.2">
      <c r="A2355" s="6">
        <v>5798</v>
      </c>
      <c r="B2355" s="7">
        <v>41122</v>
      </c>
      <c r="C2355" s="8">
        <f>DATE(2012,12,31)-1044</f>
        <v>40230</v>
      </c>
      <c r="D2355" s="8" t="str">
        <f t="shared" si="46"/>
        <v>2010-02 (февраль 2010)</v>
      </c>
      <c r="E2355" s="9" t="s">
        <v>45</v>
      </c>
      <c r="F2355" s="7">
        <v>29</v>
      </c>
      <c r="G2355" s="7">
        <v>61.22</v>
      </c>
      <c r="H2355" s="7">
        <v>0.06</v>
      </c>
      <c r="I2355" s="9" t="s">
        <v>56</v>
      </c>
      <c r="J2355" s="10">
        <v>-76.88</v>
      </c>
      <c r="K2355" s="11">
        <v>1.74</v>
      </c>
      <c r="L2355" s="11">
        <v>4.08</v>
      </c>
      <c r="M2355" s="9" t="s">
        <v>1278</v>
      </c>
      <c r="N2355" s="6" t="s">
        <v>1123</v>
      </c>
      <c r="O2355" s="6" t="s">
        <v>1123</v>
      </c>
      <c r="P2355" s="9" t="s">
        <v>60</v>
      </c>
      <c r="Q2355" s="9" t="s">
        <v>49</v>
      </c>
      <c r="R2355" s="9" t="s">
        <v>50</v>
      </c>
      <c r="S2355" s="7" t="s">
        <v>456</v>
      </c>
      <c r="T2355" s="9" t="s">
        <v>52</v>
      </c>
      <c r="U2355" s="7">
        <v>0.53</v>
      </c>
      <c r="V2355" s="12">
        <f>C2355+2</f>
        <v>40232</v>
      </c>
      <c r="W2355">
        <f>IF(D2355=' Pivot Tables'!$A$4,1,0)</f>
        <v>0</v>
      </c>
      <c r="X2355">
        <f>IF(AND(LEFT(D2355,4)+1=LEFT(' Pivot Tables'!$A$4,4)+0,RIGHT(LEFT(D2355,7),2)=RIGHT(LEFT(' Pivot Tables'!$A$4,7),2)),1,0)</f>
        <v>0</v>
      </c>
      <c r="Y2355" s="6">
        <f>1/COUNTIF(Таблица1[Order ID],Таблица1[[#This Row],[Order ID]])</f>
        <v>1</v>
      </c>
      <c r="Z2355" s="9">
        <f>1/COUNTIFS(Таблица1[Customer Name],Таблица1[[#This Row],[Customer Name]],Таблица1[Order-Year-Month],Таблица1[[#This Row],[Order-Year-Month]])</f>
        <v>1</v>
      </c>
    </row>
    <row r="2356" spans="1:26" x14ac:dyDescent="0.2">
      <c r="A2356" s="6">
        <v>5809</v>
      </c>
      <c r="B2356" s="7">
        <v>41187</v>
      </c>
      <c r="C2356" s="8">
        <f>DATE(2012,12,31)-823</f>
        <v>40451</v>
      </c>
      <c r="D2356" s="8" t="str">
        <f t="shared" si="46"/>
        <v>2010-09 (сентябрь 2010)</v>
      </c>
      <c r="E2356" s="9" t="s">
        <v>21</v>
      </c>
      <c r="F2356" s="7">
        <v>9</v>
      </c>
      <c r="G2356" s="7">
        <v>52.93</v>
      </c>
      <c r="H2356" s="7">
        <v>0</v>
      </c>
      <c r="I2356" s="9" t="s">
        <v>22</v>
      </c>
      <c r="J2356" s="10">
        <v>5.34</v>
      </c>
      <c r="K2356" s="11">
        <v>5.58</v>
      </c>
      <c r="L2356" s="11">
        <v>0.7</v>
      </c>
      <c r="M2356" s="9" t="s">
        <v>1250</v>
      </c>
      <c r="N2356" s="6" t="s">
        <v>1123</v>
      </c>
      <c r="O2356" s="6" t="s">
        <v>1123</v>
      </c>
      <c r="P2356" s="9" t="s">
        <v>25</v>
      </c>
      <c r="Q2356" s="9" t="s">
        <v>26</v>
      </c>
      <c r="R2356" s="9" t="s">
        <v>95</v>
      </c>
      <c r="S2356" s="7" t="s">
        <v>823</v>
      </c>
      <c r="T2356" s="9" t="s">
        <v>68</v>
      </c>
      <c r="U2356" s="7">
        <v>0.6</v>
      </c>
      <c r="V2356" s="12">
        <f>C2356+0</f>
        <v>40451</v>
      </c>
      <c r="W2356">
        <f>IF(D2356=' Pivot Tables'!$A$4,1,0)</f>
        <v>0</v>
      </c>
      <c r="X2356">
        <f>IF(AND(LEFT(D2356,4)+1=LEFT(' Pivot Tables'!$A$4,4)+0,RIGHT(LEFT(D2356,7),2)=RIGHT(LEFT(' Pivot Tables'!$A$4,7),2)),1,0)</f>
        <v>0</v>
      </c>
      <c r="Y2356" s="6">
        <f>1/COUNTIF(Таблица1[Order ID],Таблица1[[#This Row],[Order ID]])</f>
        <v>0.5</v>
      </c>
      <c r="Z2356" s="9">
        <f>1/COUNTIFS(Таблица1[Customer Name],Таблица1[[#This Row],[Customer Name]],Таблица1[Order-Year-Month],Таблица1[[#This Row],[Order-Year-Month]])</f>
        <v>0.5</v>
      </c>
    </row>
    <row r="2357" spans="1:26" x14ac:dyDescent="0.2">
      <c r="A2357" s="6">
        <v>5810</v>
      </c>
      <c r="B2357" s="7">
        <v>41187</v>
      </c>
      <c r="C2357" s="8">
        <f>DATE(2012,12,31)-823</f>
        <v>40451</v>
      </c>
      <c r="D2357" s="8" t="str">
        <f t="shared" si="46"/>
        <v>2010-09 (сентябрь 2010)</v>
      </c>
      <c r="E2357" s="9" t="s">
        <v>21</v>
      </c>
      <c r="F2357" s="7">
        <v>25</v>
      </c>
      <c r="G2357" s="7">
        <v>145.13</v>
      </c>
      <c r="H2357" s="7">
        <v>0.03</v>
      </c>
      <c r="I2357" s="9" t="s">
        <v>22</v>
      </c>
      <c r="J2357" s="10">
        <v>-42.45</v>
      </c>
      <c r="K2357" s="11">
        <v>5.78</v>
      </c>
      <c r="L2357" s="11">
        <v>4.96</v>
      </c>
      <c r="M2357" s="9" t="s">
        <v>1250</v>
      </c>
      <c r="N2357" s="6" t="s">
        <v>1123</v>
      </c>
      <c r="O2357" s="6" t="s">
        <v>1123</v>
      </c>
      <c r="P2357" s="9" t="s">
        <v>25</v>
      </c>
      <c r="Q2357" s="9" t="s">
        <v>26</v>
      </c>
      <c r="R2357" s="9" t="s">
        <v>61</v>
      </c>
      <c r="S2357" s="7" t="s">
        <v>737</v>
      </c>
      <c r="T2357" s="9" t="s">
        <v>39</v>
      </c>
      <c r="U2357" s="7">
        <v>0.36</v>
      </c>
      <c r="V2357" s="12">
        <f>C2357+4</f>
        <v>40455</v>
      </c>
      <c r="W2357">
        <f>IF(D2357=' Pivot Tables'!$A$4,1,0)</f>
        <v>0</v>
      </c>
      <c r="X2357">
        <f>IF(AND(LEFT(D2357,4)+1=LEFT(' Pivot Tables'!$A$4,4)+0,RIGHT(LEFT(D2357,7),2)=RIGHT(LEFT(' Pivot Tables'!$A$4,7),2)),1,0)</f>
        <v>0</v>
      </c>
      <c r="Y2357" s="6">
        <f>1/COUNTIF(Таблица1[Order ID],Таблица1[[#This Row],[Order ID]])</f>
        <v>0.5</v>
      </c>
      <c r="Z2357" s="9">
        <f>1/COUNTIFS(Таблица1[Customer Name],Таблица1[[#This Row],[Customer Name]],Таблица1[Order-Year-Month],Таблица1[[#This Row],[Order-Year-Month]])</f>
        <v>0.5</v>
      </c>
    </row>
    <row r="2358" spans="1:26" x14ac:dyDescent="0.2">
      <c r="A2358" s="6">
        <v>5815</v>
      </c>
      <c r="B2358" s="7">
        <v>41221</v>
      </c>
      <c r="C2358" s="8">
        <f>DATE(2012,12,31)-1206</f>
        <v>40068</v>
      </c>
      <c r="D2358" s="8" t="str">
        <f t="shared" si="46"/>
        <v>2009-09 (сентябрь 2009)</v>
      </c>
      <c r="E2358" s="9" t="s">
        <v>78</v>
      </c>
      <c r="F2358" s="7">
        <v>4</v>
      </c>
      <c r="G2358" s="7">
        <v>345.57</v>
      </c>
      <c r="H2358" s="7">
        <v>0.06</v>
      </c>
      <c r="I2358" s="9" t="s">
        <v>22</v>
      </c>
      <c r="J2358" s="10">
        <v>-218.77</v>
      </c>
      <c r="K2358" s="11">
        <v>80.98</v>
      </c>
      <c r="L2358" s="11">
        <v>35</v>
      </c>
      <c r="M2358" s="9" t="s">
        <v>1285</v>
      </c>
      <c r="N2358" s="6" t="s">
        <v>1123</v>
      </c>
      <c r="O2358" s="6" t="s">
        <v>1123</v>
      </c>
      <c r="P2358" s="9" t="s">
        <v>60</v>
      </c>
      <c r="Q2358" s="9" t="s">
        <v>26</v>
      </c>
      <c r="R2358" s="9" t="s">
        <v>27</v>
      </c>
      <c r="S2358" s="7" t="s">
        <v>171</v>
      </c>
      <c r="T2358" s="9" t="s">
        <v>29</v>
      </c>
      <c r="U2358" s="7">
        <v>0.81</v>
      </c>
      <c r="V2358" s="12">
        <f>C2358+1</f>
        <v>40069</v>
      </c>
      <c r="W2358">
        <f>IF(D2358=' Pivot Tables'!$A$4,1,0)</f>
        <v>0</v>
      </c>
      <c r="X2358">
        <f>IF(AND(LEFT(D2358,4)+1=LEFT(' Pivot Tables'!$A$4,4)+0,RIGHT(LEFT(D2358,7),2)=RIGHT(LEFT(' Pivot Tables'!$A$4,7),2)),1,0)</f>
        <v>0</v>
      </c>
      <c r="Y2358" s="6">
        <f>1/COUNTIF(Таблица1[Order ID],Таблица1[[#This Row],[Order ID]])</f>
        <v>1</v>
      </c>
      <c r="Z2358" s="9">
        <f>1/COUNTIFS(Таблица1[Customer Name],Таблица1[[#This Row],[Customer Name]],Таблица1[Order-Year-Month],Таблица1[[#This Row],[Order-Year-Month]])</f>
        <v>0.33333333333333331</v>
      </c>
    </row>
    <row r="2359" spans="1:26" x14ac:dyDescent="0.2">
      <c r="A2359" s="6">
        <v>5819</v>
      </c>
      <c r="B2359" s="7">
        <v>41282</v>
      </c>
      <c r="C2359" s="8">
        <f>DATE(2012,12,31)-1276</f>
        <v>39998</v>
      </c>
      <c r="D2359" s="8" t="str">
        <f t="shared" si="46"/>
        <v>2009-07 (июль 2009)</v>
      </c>
      <c r="E2359" s="9" t="s">
        <v>63</v>
      </c>
      <c r="F2359" s="7">
        <v>39</v>
      </c>
      <c r="G2359" s="7">
        <v>916.05</v>
      </c>
      <c r="H2359" s="7">
        <v>0.08</v>
      </c>
      <c r="I2359" s="9" t="s">
        <v>22</v>
      </c>
      <c r="J2359" s="10">
        <v>-21.896000000000001</v>
      </c>
      <c r="K2359" s="11">
        <v>24.92</v>
      </c>
      <c r="L2359" s="11">
        <v>12.98</v>
      </c>
      <c r="M2359" s="9" t="s">
        <v>1259</v>
      </c>
      <c r="N2359" s="6" t="s">
        <v>1123</v>
      </c>
      <c r="O2359" s="6" t="s">
        <v>1123</v>
      </c>
      <c r="P2359" s="9" t="s">
        <v>33</v>
      </c>
      <c r="Q2359" s="9" t="s">
        <v>26</v>
      </c>
      <c r="R2359" s="9" t="s">
        <v>37</v>
      </c>
      <c r="S2359" s="7" t="s">
        <v>319</v>
      </c>
      <c r="T2359" s="9" t="s">
        <v>39</v>
      </c>
      <c r="U2359" s="7">
        <v>0.39</v>
      </c>
      <c r="V2359" s="12">
        <f>C2359+2</f>
        <v>40000</v>
      </c>
      <c r="W2359">
        <f>IF(D2359=' Pivot Tables'!$A$4,1,0)</f>
        <v>0</v>
      </c>
      <c r="X2359">
        <f>IF(AND(LEFT(D2359,4)+1=LEFT(' Pivot Tables'!$A$4,4)+0,RIGHT(LEFT(D2359,7),2)=RIGHT(LEFT(' Pivot Tables'!$A$4,7),2)),1,0)</f>
        <v>0</v>
      </c>
      <c r="Y2359" s="6">
        <f>1/COUNTIF(Таблица1[Order ID],Таблица1[[#This Row],[Order ID]])</f>
        <v>1</v>
      </c>
      <c r="Z2359" s="9">
        <f>1/COUNTIFS(Таблица1[Customer Name],Таблица1[[#This Row],[Customer Name]],Таблица1[Order-Year-Month],Таблица1[[#This Row],[Order-Year-Month]])</f>
        <v>1</v>
      </c>
    </row>
    <row r="2360" spans="1:26" x14ac:dyDescent="0.2">
      <c r="A2360" s="6">
        <v>5821</v>
      </c>
      <c r="B2360" s="7">
        <v>41312</v>
      </c>
      <c r="C2360" s="8">
        <f>DATE(2012,12,31)-335</f>
        <v>40939</v>
      </c>
      <c r="D2360" s="8" t="str">
        <f t="shared" si="46"/>
        <v>2012-01 (январь 2012)</v>
      </c>
      <c r="E2360" s="9" t="s">
        <v>45</v>
      </c>
      <c r="F2360" s="7">
        <v>21</v>
      </c>
      <c r="G2360" s="7">
        <v>787.63</v>
      </c>
      <c r="H2360" s="7">
        <v>0.05</v>
      </c>
      <c r="I2360" s="9" t="s">
        <v>22</v>
      </c>
      <c r="J2360" s="10">
        <v>140.22</v>
      </c>
      <c r="K2360" s="11">
        <v>39.479999999999997</v>
      </c>
      <c r="L2360" s="11">
        <v>1.99</v>
      </c>
      <c r="M2360" s="9" t="s">
        <v>1322</v>
      </c>
      <c r="N2360" s="6" t="s">
        <v>1123</v>
      </c>
      <c r="O2360" s="6" t="s">
        <v>1123</v>
      </c>
      <c r="P2360" s="9" t="s">
        <v>33</v>
      </c>
      <c r="Q2360" s="9" t="s">
        <v>42</v>
      </c>
      <c r="R2360" s="9" t="s">
        <v>70</v>
      </c>
      <c r="S2360" s="7" t="s">
        <v>161</v>
      </c>
      <c r="T2360" s="9" t="s">
        <v>52</v>
      </c>
      <c r="U2360" s="7">
        <v>0.54</v>
      </c>
      <c r="V2360" s="12">
        <f>C2360+1</f>
        <v>40940</v>
      </c>
      <c r="W2360">
        <f>IF(D2360=' Pivot Tables'!$A$4,1,0)</f>
        <v>0</v>
      </c>
      <c r="X2360">
        <f>IF(AND(LEFT(D2360,4)+1=LEFT(' Pivot Tables'!$A$4,4)+0,RIGHT(LEFT(D2360,7),2)=RIGHT(LEFT(' Pivot Tables'!$A$4,7),2)),1,0)</f>
        <v>0</v>
      </c>
      <c r="Y2360" s="6">
        <f>1/COUNTIF(Таблица1[Order ID],Таблица1[[#This Row],[Order ID]])</f>
        <v>1</v>
      </c>
      <c r="Z2360" s="9">
        <f>1/COUNTIFS(Таблица1[Customer Name],Таблица1[[#This Row],[Customer Name]],Таблица1[Order-Year-Month],Таблица1[[#This Row],[Order-Year-Month]])</f>
        <v>1</v>
      </c>
    </row>
    <row r="2361" spans="1:26" x14ac:dyDescent="0.2">
      <c r="A2361" s="6">
        <v>5824</v>
      </c>
      <c r="B2361" s="7">
        <v>41318</v>
      </c>
      <c r="C2361" s="8">
        <f>DATE(2012,12,31)-449</f>
        <v>40825</v>
      </c>
      <c r="D2361" s="8" t="str">
        <f t="shared" si="46"/>
        <v>2011-10 (октябрь 2011)</v>
      </c>
      <c r="E2361" s="9" t="s">
        <v>21</v>
      </c>
      <c r="F2361" s="7">
        <v>21</v>
      </c>
      <c r="G2361" s="7">
        <v>1223.1099999999999</v>
      </c>
      <c r="H2361" s="7">
        <v>0</v>
      </c>
      <c r="I2361" s="9" t="s">
        <v>56</v>
      </c>
      <c r="J2361" s="10">
        <v>161.72</v>
      </c>
      <c r="K2361" s="11">
        <v>56.96</v>
      </c>
      <c r="L2361" s="11">
        <v>13.22</v>
      </c>
      <c r="M2361" s="9" t="s">
        <v>1341</v>
      </c>
      <c r="N2361" s="6" t="s">
        <v>1123</v>
      </c>
      <c r="O2361" s="6" t="s">
        <v>1123</v>
      </c>
      <c r="P2361" s="9" t="s">
        <v>33</v>
      </c>
      <c r="Q2361" s="9" t="s">
        <v>26</v>
      </c>
      <c r="R2361" s="9" t="s">
        <v>34</v>
      </c>
      <c r="S2361" s="7" t="s">
        <v>541</v>
      </c>
      <c r="T2361" s="9" t="s">
        <v>39</v>
      </c>
      <c r="U2361" s="7">
        <v>0.56000000000000005</v>
      </c>
      <c r="V2361" s="12">
        <f>C2361+9</f>
        <v>40834</v>
      </c>
      <c r="W2361">
        <f>IF(D2361=' Pivot Tables'!$A$4,1,0)</f>
        <v>0</v>
      </c>
      <c r="X2361">
        <f>IF(AND(LEFT(D2361,4)+1=LEFT(' Pivot Tables'!$A$4,4)+0,RIGHT(LEFT(D2361,7),2)=RIGHT(LEFT(' Pivot Tables'!$A$4,7),2)),1,0)</f>
        <v>0</v>
      </c>
      <c r="Y2361" s="6">
        <f>1/COUNTIF(Таблица1[Order ID],Таблица1[[#This Row],[Order ID]])</f>
        <v>1</v>
      </c>
      <c r="Z2361" s="9">
        <f>1/COUNTIFS(Таблица1[Customer Name],Таблица1[[#This Row],[Customer Name]],Таблица1[Order-Year-Month],Таблица1[[#This Row],[Order-Year-Month]])</f>
        <v>1</v>
      </c>
    </row>
    <row r="2362" spans="1:26" x14ac:dyDescent="0.2">
      <c r="A2362" s="6">
        <v>5825</v>
      </c>
      <c r="B2362" s="7">
        <v>41345</v>
      </c>
      <c r="C2362" s="8">
        <f>DATE(2012,12,31)-333</f>
        <v>40941</v>
      </c>
      <c r="D2362" s="8" t="str">
        <f t="shared" si="46"/>
        <v>2012-02 (февраль 2012)</v>
      </c>
      <c r="E2362" s="9" t="s">
        <v>63</v>
      </c>
      <c r="F2362" s="7">
        <v>36</v>
      </c>
      <c r="G2362" s="7">
        <v>66.41</v>
      </c>
      <c r="H2362" s="7">
        <v>0.04</v>
      </c>
      <c r="I2362" s="9" t="s">
        <v>22</v>
      </c>
      <c r="J2362" s="10">
        <v>0.37</v>
      </c>
      <c r="K2362" s="11">
        <v>1.88</v>
      </c>
      <c r="L2362" s="11">
        <v>0.79</v>
      </c>
      <c r="M2362" s="9" t="s">
        <v>1313</v>
      </c>
      <c r="N2362" s="6" t="s">
        <v>1123</v>
      </c>
      <c r="O2362" s="6" t="s">
        <v>1123</v>
      </c>
      <c r="P2362" s="9" t="s">
        <v>60</v>
      </c>
      <c r="Q2362" s="9" t="s">
        <v>26</v>
      </c>
      <c r="R2362" s="9" t="s">
        <v>66</v>
      </c>
      <c r="S2362" s="7" t="s">
        <v>1378</v>
      </c>
      <c r="T2362" s="9" t="s">
        <v>68</v>
      </c>
      <c r="U2362" s="7">
        <v>0.5</v>
      </c>
      <c r="V2362" s="12">
        <f>C2362+0</f>
        <v>40941</v>
      </c>
      <c r="W2362">
        <f>IF(D2362=' Pivot Tables'!$A$4,1,0)</f>
        <v>0</v>
      </c>
      <c r="X2362">
        <f>IF(AND(LEFT(D2362,4)+1=LEFT(' Pivot Tables'!$A$4,4)+0,RIGHT(LEFT(D2362,7),2)=RIGHT(LEFT(' Pivot Tables'!$A$4,7),2)),1,0)</f>
        <v>0</v>
      </c>
      <c r="Y2362" s="6">
        <f>1/COUNTIF(Таблица1[Order ID],Таблица1[[#This Row],[Order ID]])</f>
        <v>1</v>
      </c>
      <c r="Z2362" s="9">
        <f>1/COUNTIFS(Таблица1[Customer Name],Таблица1[[#This Row],[Customer Name]],Таблица1[Order-Year-Month],Таблица1[[#This Row],[Order-Year-Month]])</f>
        <v>1</v>
      </c>
    </row>
    <row r="2363" spans="1:26" x14ac:dyDescent="0.2">
      <c r="A2363" s="6">
        <v>5860</v>
      </c>
      <c r="B2363" s="7">
        <v>41604</v>
      </c>
      <c r="C2363" s="8">
        <f>DATE(2012,12,31)-1420</f>
        <v>39854</v>
      </c>
      <c r="D2363" s="8" t="str">
        <f t="shared" si="46"/>
        <v>2009-02 (февраль 2009)</v>
      </c>
      <c r="E2363" s="9" t="s">
        <v>63</v>
      </c>
      <c r="F2363" s="7">
        <v>22</v>
      </c>
      <c r="G2363" s="7">
        <v>138.24</v>
      </c>
      <c r="H2363" s="7">
        <v>0.06</v>
      </c>
      <c r="I2363" s="9" t="s">
        <v>22</v>
      </c>
      <c r="J2363" s="10">
        <v>-48.219499999999996</v>
      </c>
      <c r="K2363" s="11">
        <v>6.37</v>
      </c>
      <c r="L2363" s="11">
        <v>5.19</v>
      </c>
      <c r="M2363" s="9" t="s">
        <v>1262</v>
      </c>
      <c r="N2363" s="6" t="s">
        <v>1123</v>
      </c>
      <c r="O2363" s="6" t="s">
        <v>1123</v>
      </c>
      <c r="P2363" s="9" t="s">
        <v>41</v>
      </c>
      <c r="Q2363" s="9" t="s">
        <v>26</v>
      </c>
      <c r="R2363" s="9" t="s">
        <v>37</v>
      </c>
      <c r="S2363" s="7" t="s">
        <v>1379</v>
      </c>
      <c r="T2363" s="9" t="s">
        <v>39</v>
      </c>
      <c r="U2363" s="7">
        <v>0.38</v>
      </c>
      <c r="V2363" s="12">
        <f>C2363+1</f>
        <v>39855</v>
      </c>
      <c r="W2363">
        <f>IF(D2363=' Pivot Tables'!$A$4,1,0)</f>
        <v>0</v>
      </c>
      <c r="X2363">
        <f>IF(AND(LEFT(D2363,4)+1=LEFT(' Pivot Tables'!$A$4,4)+0,RIGHT(LEFT(D2363,7),2)=RIGHT(LEFT(' Pivot Tables'!$A$4,7),2)),1,0)</f>
        <v>0</v>
      </c>
      <c r="Y2363" s="6">
        <f>1/COUNTIF(Таблица1[Order ID],Таблица1[[#This Row],[Order ID]])</f>
        <v>1</v>
      </c>
      <c r="Z2363" s="9">
        <f>1/COUNTIFS(Таблица1[Customer Name],Таблица1[[#This Row],[Customer Name]],Таблица1[Order-Year-Month],Таблица1[[#This Row],[Order-Year-Month]])</f>
        <v>0.33333333333333331</v>
      </c>
    </row>
    <row r="2364" spans="1:26" x14ac:dyDescent="0.2">
      <c r="A2364" s="6">
        <v>5909</v>
      </c>
      <c r="B2364" s="7">
        <v>41891</v>
      </c>
      <c r="C2364" s="8">
        <f>DATE(2012,12,31)-589</f>
        <v>40685</v>
      </c>
      <c r="D2364" s="8" t="str">
        <f t="shared" si="46"/>
        <v>2011-05 (май 2011)</v>
      </c>
      <c r="E2364" s="9" t="s">
        <v>30</v>
      </c>
      <c r="F2364" s="7">
        <v>22</v>
      </c>
      <c r="G2364" s="7">
        <v>846.59</v>
      </c>
      <c r="H2364" s="7">
        <v>0.08</v>
      </c>
      <c r="I2364" s="9" t="s">
        <v>22</v>
      </c>
      <c r="J2364" s="10">
        <v>-1.9499999999999886</v>
      </c>
      <c r="K2364" s="11">
        <v>40.89</v>
      </c>
      <c r="L2364" s="11">
        <v>18.98</v>
      </c>
      <c r="M2364" s="9" t="s">
        <v>1242</v>
      </c>
      <c r="N2364" s="6" t="s">
        <v>1123</v>
      </c>
      <c r="O2364" s="6" t="s">
        <v>1123</v>
      </c>
      <c r="P2364" s="9" t="s">
        <v>41</v>
      </c>
      <c r="Q2364" s="9" t="s">
        <v>49</v>
      </c>
      <c r="R2364" s="9" t="s">
        <v>50</v>
      </c>
      <c r="S2364" s="7" t="s">
        <v>681</v>
      </c>
      <c r="T2364" s="9" t="s">
        <v>39</v>
      </c>
      <c r="U2364" s="7">
        <v>0.56999999999999995</v>
      </c>
      <c r="V2364" s="12">
        <f>C2364+1</f>
        <v>40686</v>
      </c>
      <c r="W2364">
        <f>IF(D2364=' Pivot Tables'!$A$4,1,0)</f>
        <v>0</v>
      </c>
      <c r="X2364">
        <f>IF(AND(LEFT(D2364,4)+1=LEFT(' Pivot Tables'!$A$4,4)+0,RIGHT(LEFT(D2364,7),2)=RIGHT(LEFT(' Pivot Tables'!$A$4,7),2)),1,0)</f>
        <v>0</v>
      </c>
      <c r="Y2364" s="6">
        <f>1/COUNTIF(Таблица1[Order ID],Таблица1[[#This Row],[Order ID]])</f>
        <v>1</v>
      </c>
      <c r="Z2364" s="9">
        <f>1/COUNTIFS(Таблица1[Customer Name],Таблица1[[#This Row],[Customer Name]],Таблица1[Order-Year-Month],Таблица1[[#This Row],[Order-Year-Month]])</f>
        <v>1</v>
      </c>
    </row>
    <row r="2365" spans="1:26" x14ac:dyDescent="0.2">
      <c r="A2365" s="6">
        <v>5925</v>
      </c>
      <c r="B2365" s="7">
        <v>42022</v>
      </c>
      <c r="C2365" s="8">
        <f>DATE(2012,12,31)-1194</f>
        <v>40080</v>
      </c>
      <c r="D2365" s="8" t="str">
        <f t="shared" si="46"/>
        <v>2009-09 (сентябрь 2009)</v>
      </c>
      <c r="E2365" s="9" t="s">
        <v>63</v>
      </c>
      <c r="F2365" s="7">
        <v>45</v>
      </c>
      <c r="G2365" s="7">
        <v>338.85</v>
      </c>
      <c r="H2365" s="7">
        <v>0.04</v>
      </c>
      <c r="I2365" s="9" t="s">
        <v>22</v>
      </c>
      <c r="J2365" s="10">
        <v>-170.17699999999999</v>
      </c>
      <c r="K2365" s="11">
        <v>7.3</v>
      </c>
      <c r="L2365" s="11">
        <v>7.72</v>
      </c>
      <c r="M2365" s="9" t="s">
        <v>1285</v>
      </c>
      <c r="N2365" s="6" t="s">
        <v>1123</v>
      </c>
      <c r="O2365" s="6" t="s">
        <v>1123</v>
      </c>
      <c r="P2365" s="9" t="s">
        <v>60</v>
      </c>
      <c r="Q2365" s="9" t="s">
        <v>26</v>
      </c>
      <c r="R2365" s="9" t="s">
        <v>37</v>
      </c>
      <c r="S2365" s="7" t="s">
        <v>54</v>
      </c>
      <c r="T2365" s="9" t="s">
        <v>39</v>
      </c>
      <c r="U2365" s="7">
        <v>0.38</v>
      </c>
      <c r="V2365" s="12">
        <f>C2365+1</f>
        <v>40081</v>
      </c>
      <c r="W2365">
        <f>IF(D2365=' Pivot Tables'!$A$4,1,0)</f>
        <v>0</v>
      </c>
      <c r="X2365">
        <f>IF(AND(LEFT(D2365,4)+1=LEFT(' Pivot Tables'!$A$4,4)+0,RIGHT(LEFT(D2365,7),2)=RIGHT(LEFT(' Pivot Tables'!$A$4,7),2)),1,0)</f>
        <v>0</v>
      </c>
      <c r="Y2365" s="6">
        <f>1/COUNTIF(Таблица1[Order ID],Таблица1[[#This Row],[Order ID]])</f>
        <v>0.5</v>
      </c>
      <c r="Z2365" s="9">
        <f>1/COUNTIFS(Таблица1[Customer Name],Таблица1[[#This Row],[Customer Name]],Таблица1[Order-Year-Month],Таблица1[[#This Row],[Order-Year-Month]])</f>
        <v>0.33333333333333331</v>
      </c>
    </row>
    <row r="2366" spans="1:26" x14ac:dyDescent="0.2">
      <c r="A2366" s="6">
        <v>5926</v>
      </c>
      <c r="B2366" s="7">
        <v>42022</v>
      </c>
      <c r="C2366" s="8">
        <f>DATE(2012,12,31)-1194</f>
        <v>40080</v>
      </c>
      <c r="D2366" s="8" t="str">
        <f t="shared" si="46"/>
        <v>2009-09 (сентябрь 2009)</v>
      </c>
      <c r="E2366" s="9" t="s">
        <v>63</v>
      </c>
      <c r="F2366" s="7">
        <v>11</v>
      </c>
      <c r="G2366" s="7">
        <v>43.25</v>
      </c>
      <c r="H2366" s="7">
        <v>0.06</v>
      </c>
      <c r="I2366" s="9" t="s">
        <v>22</v>
      </c>
      <c r="J2366" s="10">
        <v>-9.68</v>
      </c>
      <c r="K2366" s="11">
        <v>3.95</v>
      </c>
      <c r="L2366" s="11">
        <v>2</v>
      </c>
      <c r="M2366" s="9" t="s">
        <v>1285</v>
      </c>
      <c r="N2366" s="6" t="s">
        <v>1123</v>
      </c>
      <c r="O2366" s="6" t="s">
        <v>1123</v>
      </c>
      <c r="P2366" s="9" t="s">
        <v>60</v>
      </c>
      <c r="Q2366" s="9" t="s">
        <v>26</v>
      </c>
      <c r="R2366" s="9" t="s">
        <v>66</v>
      </c>
      <c r="S2366" s="7" t="s">
        <v>67</v>
      </c>
      <c r="T2366" s="9" t="s">
        <v>68</v>
      </c>
      <c r="U2366" s="7">
        <v>0.53</v>
      </c>
      <c r="V2366" s="12">
        <f>C2366+1</f>
        <v>40081</v>
      </c>
      <c r="W2366">
        <f>IF(D2366=' Pivot Tables'!$A$4,1,0)</f>
        <v>0</v>
      </c>
      <c r="X2366">
        <f>IF(AND(LEFT(D2366,4)+1=LEFT(' Pivot Tables'!$A$4,4)+0,RIGHT(LEFT(D2366,7),2)=RIGHT(LEFT(' Pivot Tables'!$A$4,7),2)),1,0)</f>
        <v>0</v>
      </c>
      <c r="Y2366" s="6">
        <f>1/COUNTIF(Таблица1[Order ID],Таблица1[[#This Row],[Order ID]])</f>
        <v>0.5</v>
      </c>
      <c r="Z2366" s="9">
        <f>1/COUNTIFS(Таблица1[Customer Name],Таблица1[[#This Row],[Customer Name]],Таблица1[Order-Year-Month],Таблица1[[#This Row],[Order-Year-Month]])</f>
        <v>0.33333333333333331</v>
      </c>
    </row>
    <row r="2367" spans="1:26" x14ac:dyDescent="0.2">
      <c r="A2367" s="6">
        <v>5928</v>
      </c>
      <c r="B2367" s="7">
        <v>42081</v>
      </c>
      <c r="C2367" s="8">
        <f>DATE(2012,12,31)-721</f>
        <v>40553</v>
      </c>
      <c r="D2367" s="8" t="str">
        <f t="shared" si="46"/>
        <v>2011-01 (январь 2011)</v>
      </c>
      <c r="E2367" s="9" t="s">
        <v>21</v>
      </c>
      <c r="F2367" s="7">
        <v>36</v>
      </c>
      <c r="G2367" s="7">
        <v>188.34</v>
      </c>
      <c r="H2367" s="7">
        <v>0.04</v>
      </c>
      <c r="I2367" s="9" t="s">
        <v>22</v>
      </c>
      <c r="J2367" s="10">
        <v>-110.1585</v>
      </c>
      <c r="K2367" s="11">
        <v>5.18</v>
      </c>
      <c r="L2367" s="11">
        <v>5.74</v>
      </c>
      <c r="M2367" s="9" t="s">
        <v>1282</v>
      </c>
      <c r="N2367" s="6" t="s">
        <v>1123</v>
      </c>
      <c r="O2367" s="6" t="s">
        <v>1123</v>
      </c>
      <c r="P2367" s="9" t="s">
        <v>25</v>
      </c>
      <c r="Q2367" s="9" t="s">
        <v>26</v>
      </c>
      <c r="R2367" s="9" t="s">
        <v>37</v>
      </c>
      <c r="S2367" s="7" t="s">
        <v>606</v>
      </c>
      <c r="T2367" s="9" t="s">
        <v>39</v>
      </c>
      <c r="U2367" s="7">
        <v>0.36</v>
      </c>
      <c r="V2367" s="12">
        <f>C2367+5</f>
        <v>40558</v>
      </c>
      <c r="W2367">
        <f>IF(D2367=' Pivot Tables'!$A$4,1,0)</f>
        <v>0</v>
      </c>
      <c r="X2367">
        <f>IF(AND(LEFT(D2367,4)+1=LEFT(' Pivot Tables'!$A$4,4)+0,RIGHT(LEFT(D2367,7),2)=RIGHT(LEFT(' Pivot Tables'!$A$4,7),2)),1,0)</f>
        <v>0</v>
      </c>
      <c r="Y2367" s="6">
        <f>1/COUNTIF(Таблица1[Order ID],Таблица1[[#This Row],[Order ID]])</f>
        <v>0.33333333333333331</v>
      </c>
      <c r="Z2367" s="9">
        <f>1/COUNTIFS(Таблица1[Customer Name],Таблица1[[#This Row],[Customer Name]],Таблица1[Order-Year-Month],Таблица1[[#This Row],[Order-Year-Month]])</f>
        <v>0.33333333333333331</v>
      </c>
    </row>
    <row r="2368" spans="1:26" x14ac:dyDescent="0.2">
      <c r="A2368" s="6">
        <v>5929</v>
      </c>
      <c r="B2368" s="7">
        <v>42081</v>
      </c>
      <c r="C2368" s="8">
        <f>DATE(2012,12,31)-721</f>
        <v>40553</v>
      </c>
      <c r="D2368" s="8" t="str">
        <f t="shared" si="46"/>
        <v>2011-01 (январь 2011)</v>
      </c>
      <c r="E2368" s="9" t="s">
        <v>21</v>
      </c>
      <c r="F2368" s="7">
        <v>3</v>
      </c>
      <c r="G2368" s="7">
        <v>32.49</v>
      </c>
      <c r="H2368" s="7">
        <v>0.08</v>
      </c>
      <c r="I2368" s="9" t="s">
        <v>22</v>
      </c>
      <c r="J2368" s="10">
        <v>-5.05</v>
      </c>
      <c r="K2368" s="11">
        <v>10.94</v>
      </c>
      <c r="L2368" s="11">
        <v>1.39</v>
      </c>
      <c r="M2368" s="9" t="s">
        <v>1282</v>
      </c>
      <c r="N2368" s="6" t="s">
        <v>1123</v>
      </c>
      <c r="O2368" s="6" t="s">
        <v>1123</v>
      </c>
      <c r="P2368" s="9" t="s">
        <v>25</v>
      </c>
      <c r="Q2368" s="9" t="s">
        <v>26</v>
      </c>
      <c r="R2368" s="9" t="s">
        <v>76</v>
      </c>
      <c r="S2368" s="7" t="s">
        <v>450</v>
      </c>
      <c r="T2368" s="9" t="s">
        <v>39</v>
      </c>
      <c r="U2368" s="7">
        <v>0.35</v>
      </c>
      <c r="V2368" s="12">
        <f>C2368+2</f>
        <v>40555</v>
      </c>
      <c r="W2368">
        <f>IF(D2368=' Pivot Tables'!$A$4,1,0)</f>
        <v>0</v>
      </c>
      <c r="X2368">
        <f>IF(AND(LEFT(D2368,4)+1=LEFT(' Pivot Tables'!$A$4,4)+0,RIGHT(LEFT(D2368,7),2)=RIGHT(LEFT(' Pivot Tables'!$A$4,7),2)),1,0)</f>
        <v>0</v>
      </c>
      <c r="Y2368" s="6">
        <f>1/COUNTIF(Таблица1[Order ID],Таблица1[[#This Row],[Order ID]])</f>
        <v>0.33333333333333331</v>
      </c>
      <c r="Z2368" s="9">
        <f>1/COUNTIFS(Таблица1[Customer Name],Таблица1[[#This Row],[Customer Name]],Таблица1[Order-Year-Month],Таблица1[[#This Row],[Order-Year-Month]])</f>
        <v>0.33333333333333331</v>
      </c>
    </row>
    <row r="2369" spans="1:26" x14ac:dyDescent="0.2">
      <c r="A2369" s="6">
        <v>5930</v>
      </c>
      <c r="B2369" s="7">
        <v>42081</v>
      </c>
      <c r="C2369" s="8">
        <f>DATE(2012,12,31)-721</f>
        <v>40553</v>
      </c>
      <c r="D2369" s="8" t="str">
        <f t="shared" si="46"/>
        <v>2011-01 (январь 2011)</v>
      </c>
      <c r="E2369" s="9" t="s">
        <v>21</v>
      </c>
      <c r="F2369" s="7">
        <v>26</v>
      </c>
      <c r="G2369" s="7">
        <v>1493.8579999999999</v>
      </c>
      <c r="H2369" s="7">
        <v>0.02</v>
      </c>
      <c r="I2369" s="9" t="s">
        <v>22</v>
      </c>
      <c r="J2369" s="10">
        <v>183.24</v>
      </c>
      <c r="K2369" s="11">
        <v>65.989999999999995</v>
      </c>
      <c r="L2369" s="11">
        <v>8.8000000000000007</v>
      </c>
      <c r="M2369" s="9" t="s">
        <v>1282</v>
      </c>
      <c r="N2369" s="6" t="s">
        <v>1123</v>
      </c>
      <c r="O2369" s="6" t="s">
        <v>1123</v>
      </c>
      <c r="P2369" s="9" t="s">
        <v>25</v>
      </c>
      <c r="Q2369" s="9" t="s">
        <v>42</v>
      </c>
      <c r="R2369" s="9" t="s">
        <v>43</v>
      </c>
      <c r="S2369" s="7" t="s">
        <v>1132</v>
      </c>
      <c r="T2369" s="9" t="s">
        <v>39</v>
      </c>
      <c r="U2369" s="7">
        <v>0.57999999999999996</v>
      </c>
      <c r="V2369" s="12">
        <f>C2369+5</f>
        <v>40558</v>
      </c>
      <c r="W2369">
        <f>IF(D2369=' Pivot Tables'!$A$4,1,0)</f>
        <v>0</v>
      </c>
      <c r="X2369">
        <f>IF(AND(LEFT(D2369,4)+1=LEFT(' Pivot Tables'!$A$4,4)+0,RIGHT(LEFT(D2369,7),2)=RIGHT(LEFT(' Pivot Tables'!$A$4,7),2)),1,0)</f>
        <v>0</v>
      </c>
      <c r="Y2369" s="6">
        <f>1/COUNTIF(Таблица1[Order ID],Таблица1[[#This Row],[Order ID]])</f>
        <v>0.33333333333333331</v>
      </c>
      <c r="Z2369" s="9">
        <f>1/COUNTIFS(Таблица1[Customer Name],Таблица1[[#This Row],[Customer Name]],Таблица1[Order-Year-Month],Таблица1[[#This Row],[Order-Year-Month]])</f>
        <v>0.33333333333333331</v>
      </c>
    </row>
    <row r="2370" spans="1:26" x14ac:dyDescent="0.2">
      <c r="A2370" s="6">
        <v>5935</v>
      </c>
      <c r="B2370" s="7">
        <v>42086</v>
      </c>
      <c r="C2370" s="8">
        <f>DATE(2012,12,31)-893</f>
        <v>40381</v>
      </c>
      <c r="D2370" s="8" t="str">
        <f t="shared" si="46"/>
        <v>2010-07 (июль 2010)</v>
      </c>
      <c r="E2370" s="9" t="s">
        <v>30</v>
      </c>
      <c r="F2370" s="7">
        <v>18</v>
      </c>
      <c r="G2370" s="7">
        <v>50.15</v>
      </c>
      <c r="H2370" s="7">
        <v>0.09</v>
      </c>
      <c r="I2370" s="9" t="s">
        <v>22</v>
      </c>
      <c r="J2370" s="10">
        <v>-2.39</v>
      </c>
      <c r="K2370" s="11">
        <v>2.78</v>
      </c>
      <c r="L2370" s="11">
        <v>0.97</v>
      </c>
      <c r="M2370" s="9" t="s">
        <v>1265</v>
      </c>
      <c r="N2370" s="6" t="s">
        <v>1123</v>
      </c>
      <c r="O2370" s="6" t="s">
        <v>1123</v>
      </c>
      <c r="P2370" s="9" t="s">
        <v>60</v>
      </c>
      <c r="Q2370" s="9" t="s">
        <v>26</v>
      </c>
      <c r="R2370" s="9" t="s">
        <v>95</v>
      </c>
      <c r="S2370" s="7" t="s">
        <v>1284</v>
      </c>
      <c r="T2370" s="9" t="s">
        <v>68</v>
      </c>
      <c r="U2370" s="7">
        <v>0.59</v>
      </c>
      <c r="V2370" s="12">
        <f>C2370+1</f>
        <v>40382</v>
      </c>
      <c r="W2370">
        <f>IF(D2370=' Pivot Tables'!$A$4,1,0)</f>
        <v>0</v>
      </c>
      <c r="X2370">
        <f>IF(AND(LEFT(D2370,4)+1=LEFT(' Pivot Tables'!$A$4,4)+0,RIGHT(LEFT(D2370,7),2)=RIGHT(LEFT(' Pivot Tables'!$A$4,7),2)),1,0)</f>
        <v>0</v>
      </c>
      <c r="Y2370" s="6">
        <f>1/COUNTIF(Таблица1[Order ID],Таблица1[[#This Row],[Order ID]])</f>
        <v>1</v>
      </c>
      <c r="Z2370" s="9">
        <f>1/COUNTIFS(Таблица1[Customer Name],Таблица1[[#This Row],[Customer Name]],Таблица1[Order-Year-Month],Таблица1[[#This Row],[Order-Year-Month]])</f>
        <v>1</v>
      </c>
    </row>
    <row r="2371" spans="1:26" x14ac:dyDescent="0.2">
      <c r="A2371" s="6">
        <v>5954</v>
      </c>
      <c r="B2371" s="7">
        <v>42246</v>
      </c>
      <c r="C2371" s="8">
        <f>DATE(2012,12,31)-249</f>
        <v>41025</v>
      </c>
      <c r="D2371" s="8" t="str">
        <f t="shared" ref="D2371:D2434" si="47">TEXT(C2371,"гггг-ММ (ММММ гггг)")</f>
        <v>2012-04 (апрель 2012)</v>
      </c>
      <c r="E2371" s="9" t="s">
        <v>45</v>
      </c>
      <c r="F2371" s="7">
        <v>40</v>
      </c>
      <c r="G2371" s="7">
        <v>3060.37</v>
      </c>
      <c r="H2371" s="7">
        <v>7.0000000000000007E-2</v>
      </c>
      <c r="I2371" s="9" t="s">
        <v>22</v>
      </c>
      <c r="J2371" s="10">
        <v>234.03</v>
      </c>
      <c r="K2371" s="11">
        <v>77.510000000000005</v>
      </c>
      <c r="L2371" s="11">
        <v>4</v>
      </c>
      <c r="M2371" s="9" t="s">
        <v>1253</v>
      </c>
      <c r="N2371" s="6" t="s">
        <v>1123</v>
      </c>
      <c r="O2371" s="6" t="s">
        <v>1123</v>
      </c>
      <c r="P2371" s="9" t="s">
        <v>41</v>
      </c>
      <c r="Q2371" s="9" t="s">
        <v>42</v>
      </c>
      <c r="R2371" s="9" t="s">
        <v>70</v>
      </c>
      <c r="S2371" s="7" t="s">
        <v>1122</v>
      </c>
      <c r="T2371" s="9" t="s">
        <v>39</v>
      </c>
      <c r="U2371" s="7">
        <v>0.76</v>
      </c>
      <c r="V2371" s="12">
        <f>C2371+1</f>
        <v>41026</v>
      </c>
      <c r="W2371">
        <f>IF(D2371=' Pivot Tables'!$A$4,1,0)</f>
        <v>0</v>
      </c>
      <c r="X2371">
        <f>IF(AND(LEFT(D2371,4)+1=LEFT(' Pivot Tables'!$A$4,4)+0,RIGHT(LEFT(D2371,7),2)=RIGHT(LEFT(' Pivot Tables'!$A$4,7),2)),1,0)</f>
        <v>0</v>
      </c>
      <c r="Y2371" s="6">
        <f>1/COUNTIF(Таблица1[Order ID],Таблица1[[#This Row],[Order ID]])</f>
        <v>0.5</v>
      </c>
      <c r="Z2371" s="9">
        <f>1/COUNTIFS(Таблица1[Customer Name],Таблица1[[#This Row],[Customer Name]],Таблица1[Order-Year-Month],Таблица1[[#This Row],[Order-Year-Month]])</f>
        <v>0.33333333333333331</v>
      </c>
    </row>
    <row r="2372" spans="1:26" x14ac:dyDescent="0.2">
      <c r="A2372" s="6">
        <v>5955</v>
      </c>
      <c r="B2372" s="7">
        <v>42246</v>
      </c>
      <c r="C2372" s="8">
        <f>DATE(2012,12,31)-249</f>
        <v>41025</v>
      </c>
      <c r="D2372" s="8" t="str">
        <f t="shared" si="47"/>
        <v>2012-04 (апрель 2012)</v>
      </c>
      <c r="E2372" s="9" t="s">
        <v>45</v>
      </c>
      <c r="F2372" s="7">
        <v>5</v>
      </c>
      <c r="G2372" s="7">
        <v>25.31</v>
      </c>
      <c r="H2372" s="7">
        <v>0.05</v>
      </c>
      <c r="I2372" s="9" t="s">
        <v>22</v>
      </c>
      <c r="J2372" s="10">
        <v>-0.5</v>
      </c>
      <c r="K2372" s="11">
        <v>4.84</v>
      </c>
      <c r="L2372" s="11">
        <v>0.71</v>
      </c>
      <c r="M2372" s="9" t="s">
        <v>1253</v>
      </c>
      <c r="N2372" s="6" t="s">
        <v>1123</v>
      </c>
      <c r="O2372" s="6" t="s">
        <v>1123</v>
      </c>
      <c r="P2372" s="9" t="s">
        <v>41</v>
      </c>
      <c r="Q2372" s="9" t="s">
        <v>26</v>
      </c>
      <c r="R2372" s="9" t="s">
        <v>95</v>
      </c>
      <c r="S2372" s="7" t="s">
        <v>633</v>
      </c>
      <c r="T2372" s="9" t="s">
        <v>68</v>
      </c>
      <c r="U2372" s="7">
        <v>0.52</v>
      </c>
      <c r="V2372" s="12">
        <f>C2372+2</f>
        <v>41027</v>
      </c>
      <c r="W2372">
        <f>IF(D2372=' Pivot Tables'!$A$4,1,0)</f>
        <v>0</v>
      </c>
      <c r="X2372">
        <f>IF(AND(LEFT(D2372,4)+1=LEFT(' Pivot Tables'!$A$4,4)+0,RIGHT(LEFT(D2372,7),2)=RIGHT(LEFT(' Pivot Tables'!$A$4,7),2)),1,0)</f>
        <v>0</v>
      </c>
      <c r="Y2372" s="6">
        <f>1/COUNTIF(Таблица1[Order ID],Таблица1[[#This Row],[Order ID]])</f>
        <v>0.5</v>
      </c>
      <c r="Z2372" s="9">
        <f>1/COUNTIFS(Таблица1[Customer Name],Таблица1[[#This Row],[Customer Name]],Таблица1[Order-Year-Month],Таблица1[[#This Row],[Order-Year-Month]])</f>
        <v>0.33333333333333331</v>
      </c>
    </row>
    <row r="2373" spans="1:26" x14ac:dyDescent="0.2">
      <c r="A2373" s="6">
        <v>5990</v>
      </c>
      <c r="B2373" s="7">
        <v>42465</v>
      </c>
      <c r="C2373" s="8">
        <f>DATE(2012,12,31)-741</f>
        <v>40533</v>
      </c>
      <c r="D2373" s="8" t="str">
        <f t="shared" si="47"/>
        <v>2010-12 (декабрь 2010)</v>
      </c>
      <c r="E2373" s="9" t="s">
        <v>63</v>
      </c>
      <c r="F2373" s="7">
        <v>15</v>
      </c>
      <c r="G2373" s="7">
        <v>102.32</v>
      </c>
      <c r="H2373" s="7">
        <v>0.08</v>
      </c>
      <c r="I2373" s="9" t="s">
        <v>22</v>
      </c>
      <c r="J2373" s="10">
        <v>-32.700000000000003</v>
      </c>
      <c r="K2373" s="11">
        <v>6.48</v>
      </c>
      <c r="L2373" s="11">
        <v>5.74</v>
      </c>
      <c r="M2373" s="9" t="s">
        <v>1242</v>
      </c>
      <c r="N2373" s="6" t="s">
        <v>1123</v>
      </c>
      <c r="O2373" s="6" t="s">
        <v>1123</v>
      </c>
      <c r="P2373" s="9" t="s">
        <v>41</v>
      </c>
      <c r="Q2373" s="9" t="s">
        <v>26</v>
      </c>
      <c r="R2373" s="9" t="s">
        <v>61</v>
      </c>
      <c r="S2373" s="7" t="s">
        <v>707</v>
      </c>
      <c r="T2373" s="9" t="s">
        <v>39</v>
      </c>
      <c r="U2373" s="7">
        <v>0.37</v>
      </c>
      <c r="V2373" s="12">
        <f>C2373+1</f>
        <v>40534</v>
      </c>
      <c r="W2373">
        <f>IF(D2373=' Pivot Tables'!$A$4,1,0)</f>
        <v>0</v>
      </c>
      <c r="X2373">
        <f>IF(AND(LEFT(D2373,4)+1=LEFT(' Pivot Tables'!$A$4,4)+0,RIGHT(LEFT(D2373,7),2)=RIGHT(LEFT(' Pivot Tables'!$A$4,7),2)),1,0)</f>
        <v>0</v>
      </c>
      <c r="Y2373" s="6">
        <f>1/COUNTIF(Таблица1[Order ID],Таблица1[[#This Row],[Order ID]])</f>
        <v>1</v>
      </c>
      <c r="Z2373" s="9">
        <f>1/COUNTIFS(Таблица1[Customer Name],Таблица1[[#This Row],[Customer Name]],Таблица1[Order-Year-Month],Таблица1[[#This Row],[Order-Year-Month]])</f>
        <v>1</v>
      </c>
    </row>
    <row r="2374" spans="1:26" x14ac:dyDescent="0.2">
      <c r="A2374" s="6">
        <v>6020</v>
      </c>
      <c r="B2374" s="7">
        <v>42657</v>
      </c>
      <c r="C2374" s="8">
        <f>DATE(2012,12,31)-455</f>
        <v>40819</v>
      </c>
      <c r="D2374" s="8" t="str">
        <f t="shared" si="47"/>
        <v>2011-10 (октябрь 2011)</v>
      </c>
      <c r="E2374" s="9" t="s">
        <v>21</v>
      </c>
      <c r="F2374" s="7">
        <v>48</v>
      </c>
      <c r="G2374" s="7">
        <v>945.54</v>
      </c>
      <c r="H2374" s="7">
        <v>0.03</v>
      </c>
      <c r="I2374" s="9" t="s">
        <v>22</v>
      </c>
      <c r="J2374" s="10">
        <v>254.58</v>
      </c>
      <c r="K2374" s="11">
        <v>19.98</v>
      </c>
      <c r="L2374" s="11">
        <v>5.97</v>
      </c>
      <c r="M2374" s="9" t="s">
        <v>1259</v>
      </c>
      <c r="N2374" s="6" t="s">
        <v>1123</v>
      </c>
      <c r="O2374" s="6" t="s">
        <v>1123</v>
      </c>
      <c r="P2374" s="9" t="s">
        <v>33</v>
      </c>
      <c r="Q2374" s="9" t="s">
        <v>26</v>
      </c>
      <c r="R2374" s="9" t="s">
        <v>61</v>
      </c>
      <c r="S2374" s="7" t="s">
        <v>169</v>
      </c>
      <c r="T2374" s="9" t="s">
        <v>39</v>
      </c>
      <c r="U2374" s="7">
        <v>0.38</v>
      </c>
      <c r="V2374" s="12">
        <f>C2374+2</f>
        <v>40821</v>
      </c>
      <c r="W2374">
        <f>IF(D2374=' Pivot Tables'!$A$4,1,0)</f>
        <v>0</v>
      </c>
      <c r="X2374">
        <f>IF(AND(LEFT(D2374,4)+1=LEFT(' Pivot Tables'!$A$4,4)+0,RIGHT(LEFT(D2374,7),2)=RIGHT(LEFT(' Pivot Tables'!$A$4,7),2)),1,0)</f>
        <v>0</v>
      </c>
      <c r="Y2374" s="6">
        <f>1/COUNTIF(Таблица1[Order ID],Таблица1[[#This Row],[Order ID]])</f>
        <v>1</v>
      </c>
      <c r="Z2374" s="9">
        <f>1/COUNTIFS(Таблица1[Customer Name],Таблица1[[#This Row],[Customer Name]],Таблица1[Order-Year-Month],Таблица1[[#This Row],[Order-Year-Month]])</f>
        <v>1</v>
      </c>
    </row>
    <row r="2375" spans="1:26" x14ac:dyDescent="0.2">
      <c r="A2375" s="6">
        <v>6040</v>
      </c>
      <c r="B2375" s="7">
        <v>42820</v>
      </c>
      <c r="C2375" s="8">
        <f>DATE(2012,12,31)-1049</f>
        <v>40225</v>
      </c>
      <c r="D2375" s="8" t="str">
        <f t="shared" si="47"/>
        <v>2010-02 (февраль 2010)</v>
      </c>
      <c r="E2375" s="9" t="s">
        <v>21</v>
      </c>
      <c r="F2375" s="7">
        <v>27</v>
      </c>
      <c r="G2375" s="7">
        <v>141.56</v>
      </c>
      <c r="H2375" s="7">
        <v>0.1</v>
      </c>
      <c r="I2375" s="9" t="s">
        <v>22</v>
      </c>
      <c r="J2375" s="10">
        <v>-2.8519999999999999</v>
      </c>
      <c r="K2375" s="11">
        <v>5.28</v>
      </c>
      <c r="L2375" s="11">
        <v>2.99</v>
      </c>
      <c r="M2375" s="9" t="s">
        <v>1253</v>
      </c>
      <c r="N2375" s="6" t="s">
        <v>1123</v>
      </c>
      <c r="O2375" s="6" t="s">
        <v>1123</v>
      </c>
      <c r="P2375" s="9" t="s">
        <v>41</v>
      </c>
      <c r="Q2375" s="9" t="s">
        <v>26</v>
      </c>
      <c r="R2375" s="9" t="s">
        <v>37</v>
      </c>
      <c r="S2375" s="7" t="s">
        <v>73</v>
      </c>
      <c r="T2375" s="9" t="s">
        <v>39</v>
      </c>
      <c r="U2375" s="7">
        <v>0.37</v>
      </c>
      <c r="V2375" s="12">
        <f>C2375+7</f>
        <v>40232</v>
      </c>
      <c r="W2375">
        <f>IF(D2375=' Pivot Tables'!$A$4,1,0)</f>
        <v>0</v>
      </c>
      <c r="X2375">
        <f>IF(AND(LEFT(D2375,4)+1=LEFT(' Pivot Tables'!$A$4,4)+0,RIGHT(LEFT(D2375,7),2)=RIGHT(LEFT(' Pivot Tables'!$A$4,7),2)),1,0)</f>
        <v>0</v>
      </c>
      <c r="Y2375" s="6">
        <f>1/COUNTIF(Таблица1[Order ID],Таблица1[[#This Row],[Order ID]])</f>
        <v>1</v>
      </c>
      <c r="Z2375" s="9">
        <f>1/COUNTIFS(Таблица1[Customer Name],Таблица1[[#This Row],[Customer Name]],Таблица1[Order-Year-Month],Таблица1[[#This Row],[Order-Year-Month]])</f>
        <v>0.5</v>
      </c>
    </row>
    <row r="2376" spans="1:26" x14ac:dyDescent="0.2">
      <c r="A2376" s="6">
        <v>6042</v>
      </c>
      <c r="B2376" s="7">
        <v>42848</v>
      </c>
      <c r="C2376" s="8">
        <f>DATE(2012,12,31)-86</f>
        <v>41188</v>
      </c>
      <c r="D2376" s="8" t="str">
        <f t="shared" si="47"/>
        <v>2012-10 (октябрь 2012)</v>
      </c>
      <c r="E2376" s="9" t="s">
        <v>45</v>
      </c>
      <c r="F2376" s="7">
        <v>50</v>
      </c>
      <c r="G2376" s="7">
        <v>387.79</v>
      </c>
      <c r="H2376" s="7">
        <v>0.01</v>
      </c>
      <c r="I2376" s="9" t="s">
        <v>22</v>
      </c>
      <c r="J2376" s="10">
        <v>-56.51</v>
      </c>
      <c r="K2376" s="11">
        <v>7.64</v>
      </c>
      <c r="L2376" s="11">
        <v>5.83</v>
      </c>
      <c r="M2376" s="9" t="s">
        <v>1014</v>
      </c>
      <c r="N2376" s="6" t="s">
        <v>1123</v>
      </c>
      <c r="O2376" s="6" t="s">
        <v>1123</v>
      </c>
      <c r="P2376" s="9" t="s">
        <v>33</v>
      </c>
      <c r="Q2376" s="9" t="s">
        <v>26</v>
      </c>
      <c r="R2376" s="9" t="s">
        <v>61</v>
      </c>
      <c r="S2376" s="7" t="s">
        <v>371</v>
      </c>
      <c r="T2376" s="9" t="s">
        <v>68</v>
      </c>
      <c r="U2376" s="7">
        <v>0.36</v>
      </c>
      <c r="V2376" s="12">
        <f>C2376+2</f>
        <v>41190</v>
      </c>
      <c r="W2376">
        <f>IF(D2376=' Pivot Tables'!$A$4,1,0)</f>
        <v>0</v>
      </c>
      <c r="X2376">
        <f>IF(AND(LEFT(D2376,4)+1=LEFT(' Pivot Tables'!$A$4,4)+0,RIGHT(LEFT(D2376,7),2)=RIGHT(LEFT(' Pivot Tables'!$A$4,7),2)),1,0)</f>
        <v>0</v>
      </c>
      <c r="Y2376" s="6">
        <f>1/COUNTIF(Таблица1[Order ID],Таблица1[[#This Row],[Order ID]])</f>
        <v>1</v>
      </c>
      <c r="Z2376" s="9">
        <f>1/COUNTIFS(Таблица1[Customer Name],Таблица1[[#This Row],[Customer Name]],Таблица1[Order-Year-Month],Таблица1[[#This Row],[Order-Year-Month]])</f>
        <v>1</v>
      </c>
    </row>
    <row r="2377" spans="1:26" x14ac:dyDescent="0.2">
      <c r="A2377" s="6">
        <v>6106</v>
      </c>
      <c r="B2377" s="7">
        <v>43269</v>
      </c>
      <c r="C2377" s="8">
        <f>DATE(2012,12,31)-1361</f>
        <v>39913</v>
      </c>
      <c r="D2377" s="8" t="str">
        <f t="shared" si="47"/>
        <v>2009-04 (апрель 2009)</v>
      </c>
      <c r="E2377" s="9" t="s">
        <v>78</v>
      </c>
      <c r="F2377" s="7">
        <v>16</v>
      </c>
      <c r="G2377" s="7">
        <v>843.15</v>
      </c>
      <c r="H2377" s="7">
        <v>0</v>
      </c>
      <c r="I2377" s="9" t="s">
        <v>22</v>
      </c>
      <c r="J2377" s="10">
        <v>355</v>
      </c>
      <c r="K2377" s="11">
        <v>48.91</v>
      </c>
      <c r="L2377" s="11">
        <v>5.81</v>
      </c>
      <c r="M2377" s="9" t="s">
        <v>1261</v>
      </c>
      <c r="N2377" s="6" t="s">
        <v>1123</v>
      </c>
      <c r="O2377" s="6" t="s">
        <v>1123</v>
      </c>
      <c r="P2377" s="9" t="s">
        <v>41</v>
      </c>
      <c r="Q2377" s="9" t="s">
        <v>26</v>
      </c>
      <c r="R2377" s="9" t="s">
        <v>61</v>
      </c>
      <c r="S2377" s="7" t="s">
        <v>183</v>
      </c>
      <c r="T2377" s="9" t="s">
        <v>39</v>
      </c>
      <c r="U2377" s="7">
        <v>0.38</v>
      </c>
      <c r="V2377" s="12">
        <f>C2377+2</f>
        <v>39915</v>
      </c>
      <c r="W2377">
        <f>IF(D2377=' Pivot Tables'!$A$4,1,0)</f>
        <v>0</v>
      </c>
      <c r="X2377">
        <f>IF(AND(LEFT(D2377,4)+1=LEFT(' Pivot Tables'!$A$4,4)+0,RIGHT(LEFT(D2377,7),2)=RIGHT(LEFT(' Pivot Tables'!$A$4,7),2)),1,0)</f>
        <v>0</v>
      </c>
      <c r="Y2377" s="6">
        <f>1/COUNTIF(Таблица1[Order ID],Таблица1[[#This Row],[Order ID]])</f>
        <v>0.5</v>
      </c>
      <c r="Z2377" s="9">
        <f>1/COUNTIFS(Таблица1[Customer Name],Таблица1[[#This Row],[Customer Name]],Таблица1[Order-Year-Month],Таблица1[[#This Row],[Order-Year-Month]])</f>
        <v>0.5</v>
      </c>
    </row>
    <row r="2378" spans="1:26" x14ac:dyDescent="0.2">
      <c r="A2378" s="6">
        <v>6107</v>
      </c>
      <c r="B2378" s="7">
        <v>43269</v>
      </c>
      <c r="C2378" s="8">
        <f>DATE(2012,12,31)-1361</f>
        <v>39913</v>
      </c>
      <c r="D2378" s="8" t="str">
        <f t="shared" si="47"/>
        <v>2009-04 (апрель 2009)</v>
      </c>
      <c r="E2378" s="9" t="s">
        <v>78</v>
      </c>
      <c r="F2378" s="7">
        <v>24</v>
      </c>
      <c r="G2378" s="7">
        <v>3978.02</v>
      </c>
      <c r="H2378" s="7">
        <v>0.08</v>
      </c>
      <c r="I2378" s="9" t="s">
        <v>22</v>
      </c>
      <c r="J2378" s="10">
        <v>1336.9565</v>
      </c>
      <c r="K2378" s="11">
        <v>165.98</v>
      </c>
      <c r="L2378" s="11">
        <v>19.989999999999998</v>
      </c>
      <c r="M2378" s="9" t="s">
        <v>1261</v>
      </c>
      <c r="N2378" s="6" t="s">
        <v>1123</v>
      </c>
      <c r="O2378" s="6" t="s">
        <v>1123</v>
      </c>
      <c r="P2378" s="9" t="s">
        <v>41</v>
      </c>
      <c r="Q2378" s="9" t="s">
        <v>26</v>
      </c>
      <c r="R2378" s="9" t="s">
        <v>37</v>
      </c>
      <c r="S2378" s="7" t="s">
        <v>543</v>
      </c>
      <c r="T2378" s="9" t="s">
        <v>39</v>
      </c>
      <c r="U2378" s="7">
        <v>0.4</v>
      </c>
      <c r="V2378" s="12">
        <f>C2378+2</f>
        <v>39915</v>
      </c>
      <c r="W2378">
        <f>IF(D2378=' Pivot Tables'!$A$4,1,0)</f>
        <v>0</v>
      </c>
      <c r="X2378">
        <f>IF(AND(LEFT(D2378,4)+1=LEFT(' Pivot Tables'!$A$4,4)+0,RIGHT(LEFT(D2378,7),2)=RIGHT(LEFT(' Pivot Tables'!$A$4,7),2)),1,0)</f>
        <v>0</v>
      </c>
      <c r="Y2378" s="6">
        <f>1/COUNTIF(Таблица1[Order ID],Таблица1[[#This Row],[Order ID]])</f>
        <v>0.5</v>
      </c>
      <c r="Z2378" s="9">
        <f>1/COUNTIFS(Таблица1[Customer Name],Таблица1[[#This Row],[Customer Name]],Таблица1[Order-Year-Month],Таблица1[[#This Row],[Order-Year-Month]])</f>
        <v>0.5</v>
      </c>
    </row>
    <row r="2379" spans="1:26" x14ac:dyDescent="0.2">
      <c r="A2379" s="6">
        <v>6126</v>
      </c>
      <c r="B2379" s="7">
        <v>43367</v>
      </c>
      <c r="C2379" s="8">
        <f>DATE(2012,12,31)-1028</f>
        <v>40246</v>
      </c>
      <c r="D2379" s="8" t="str">
        <f t="shared" si="47"/>
        <v>2010-03 (март 2010)</v>
      </c>
      <c r="E2379" s="9" t="s">
        <v>78</v>
      </c>
      <c r="F2379" s="7">
        <v>3</v>
      </c>
      <c r="G2379" s="7">
        <v>23.38</v>
      </c>
      <c r="H2379" s="7">
        <v>0.08</v>
      </c>
      <c r="I2379" s="9" t="s">
        <v>22</v>
      </c>
      <c r="J2379" s="10">
        <v>-12.19</v>
      </c>
      <c r="K2379" s="11">
        <v>6.48</v>
      </c>
      <c r="L2379" s="11">
        <v>5.14</v>
      </c>
      <c r="M2379" s="9" t="s">
        <v>1380</v>
      </c>
      <c r="N2379" s="6" t="s">
        <v>1123</v>
      </c>
      <c r="O2379" s="6" t="s">
        <v>1123</v>
      </c>
      <c r="P2379" s="9" t="s">
        <v>25</v>
      </c>
      <c r="Q2379" s="9" t="s">
        <v>26</v>
      </c>
      <c r="R2379" s="9" t="s">
        <v>61</v>
      </c>
      <c r="S2379" s="7" t="s">
        <v>1184</v>
      </c>
      <c r="T2379" s="9" t="s">
        <v>39</v>
      </c>
      <c r="U2379" s="7">
        <v>0.37</v>
      </c>
      <c r="V2379" s="12">
        <f>C2379+3</f>
        <v>40249</v>
      </c>
      <c r="W2379">
        <f>IF(D2379=' Pivot Tables'!$A$4,1,0)</f>
        <v>0</v>
      </c>
      <c r="X2379">
        <f>IF(AND(LEFT(D2379,4)+1=LEFT(' Pivot Tables'!$A$4,4)+0,RIGHT(LEFT(D2379,7),2)=RIGHT(LEFT(' Pivot Tables'!$A$4,7),2)),1,0)</f>
        <v>0</v>
      </c>
      <c r="Y2379" s="6">
        <f>1/COUNTIF(Таблица1[Order ID],Таблица1[[#This Row],[Order ID]])</f>
        <v>0.33333333333333331</v>
      </c>
      <c r="Z2379" s="9">
        <f>1/COUNTIFS(Таблица1[Customer Name],Таблица1[[#This Row],[Customer Name]],Таблица1[Order-Year-Month],Таблица1[[#This Row],[Order-Year-Month]])</f>
        <v>0.33333333333333331</v>
      </c>
    </row>
    <row r="2380" spans="1:26" x14ac:dyDescent="0.2">
      <c r="A2380" s="6">
        <v>6127</v>
      </c>
      <c r="B2380" s="7">
        <v>43367</v>
      </c>
      <c r="C2380" s="8">
        <f>DATE(2012,12,31)-1028</f>
        <v>40246</v>
      </c>
      <c r="D2380" s="8" t="str">
        <f t="shared" si="47"/>
        <v>2010-03 (март 2010)</v>
      </c>
      <c r="E2380" s="9" t="s">
        <v>78</v>
      </c>
      <c r="F2380" s="7">
        <v>16</v>
      </c>
      <c r="G2380" s="7">
        <v>139.37</v>
      </c>
      <c r="H2380" s="7">
        <v>0.04</v>
      </c>
      <c r="I2380" s="9" t="s">
        <v>56</v>
      </c>
      <c r="J2380" s="10">
        <v>1.72</v>
      </c>
      <c r="K2380" s="11">
        <v>8.34</v>
      </c>
      <c r="L2380" s="11">
        <v>2.64</v>
      </c>
      <c r="M2380" s="9" t="s">
        <v>1380</v>
      </c>
      <c r="N2380" s="6" t="s">
        <v>1123</v>
      </c>
      <c r="O2380" s="6" t="s">
        <v>1123</v>
      </c>
      <c r="P2380" s="9" t="s">
        <v>25</v>
      </c>
      <c r="Q2380" s="9" t="s">
        <v>26</v>
      </c>
      <c r="R2380" s="9" t="s">
        <v>150</v>
      </c>
      <c r="S2380" s="7" t="s">
        <v>1381</v>
      </c>
      <c r="T2380" s="9" t="s">
        <v>52</v>
      </c>
      <c r="U2380" s="7">
        <v>0.59</v>
      </c>
      <c r="V2380" s="12">
        <f>C2380+1</f>
        <v>40247</v>
      </c>
      <c r="W2380">
        <f>IF(D2380=' Pivot Tables'!$A$4,1,0)</f>
        <v>0</v>
      </c>
      <c r="X2380">
        <f>IF(AND(LEFT(D2380,4)+1=LEFT(' Pivot Tables'!$A$4,4)+0,RIGHT(LEFT(D2380,7),2)=RIGHT(LEFT(' Pivot Tables'!$A$4,7),2)),1,0)</f>
        <v>0</v>
      </c>
      <c r="Y2380" s="6">
        <f>1/COUNTIF(Таблица1[Order ID],Таблица1[[#This Row],[Order ID]])</f>
        <v>0.33333333333333331</v>
      </c>
      <c r="Z2380" s="9">
        <f>1/COUNTIFS(Таблица1[Customer Name],Таблица1[[#This Row],[Customer Name]],Таблица1[Order-Year-Month],Таблица1[[#This Row],[Order-Year-Month]])</f>
        <v>0.33333333333333331</v>
      </c>
    </row>
    <row r="2381" spans="1:26" x14ac:dyDescent="0.2">
      <c r="A2381" s="6">
        <v>6128</v>
      </c>
      <c r="B2381" s="7">
        <v>43367</v>
      </c>
      <c r="C2381" s="8">
        <f>DATE(2012,12,31)-1028</f>
        <v>40246</v>
      </c>
      <c r="D2381" s="8" t="str">
        <f t="shared" si="47"/>
        <v>2010-03 (март 2010)</v>
      </c>
      <c r="E2381" s="9" t="s">
        <v>78</v>
      </c>
      <c r="F2381" s="7">
        <v>18</v>
      </c>
      <c r="G2381" s="7">
        <v>1221.6199999999999</v>
      </c>
      <c r="H2381" s="7">
        <v>0.01</v>
      </c>
      <c r="I2381" s="9" t="s">
        <v>22</v>
      </c>
      <c r="J2381" s="10">
        <v>-468.64</v>
      </c>
      <c r="K2381" s="11">
        <v>64.650000000000006</v>
      </c>
      <c r="L2381" s="11">
        <v>35</v>
      </c>
      <c r="M2381" s="9" t="s">
        <v>1380</v>
      </c>
      <c r="N2381" s="6" t="s">
        <v>1123</v>
      </c>
      <c r="O2381" s="6" t="s">
        <v>1123</v>
      </c>
      <c r="P2381" s="9" t="s">
        <v>25</v>
      </c>
      <c r="Q2381" s="9" t="s">
        <v>26</v>
      </c>
      <c r="R2381" s="9" t="s">
        <v>27</v>
      </c>
      <c r="S2381" s="7" t="s">
        <v>1060</v>
      </c>
      <c r="T2381" s="9" t="s">
        <v>29</v>
      </c>
      <c r="U2381" s="7">
        <v>0.8</v>
      </c>
      <c r="V2381" s="12">
        <f>C2381+0</f>
        <v>40246</v>
      </c>
      <c r="W2381">
        <f>IF(D2381=' Pivot Tables'!$A$4,1,0)</f>
        <v>0</v>
      </c>
      <c r="X2381">
        <f>IF(AND(LEFT(D2381,4)+1=LEFT(' Pivot Tables'!$A$4,4)+0,RIGHT(LEFT(D2381,7),2)=RIGHT(LEFT(' Pivot Tables'!$A$4,7),2)),1,0)</f>
        <v>0</v>
      </c>
      <c r="Y2381" s="6">
        <f>1/COUNTIF(Таблица1[Order ID],Таблица1[[#This Row],[Order ID]])</f>
        <v>0.33333333333333331</v>
      </c>
      <c r="Z2381" s="9">
        <f>1/COUNTIFS(Таблица1[Customer Name],Таблица1[[#This Row],[Customer Name]],Таблица1[Order-Year-Month],Таблица1[[#This Row],[Order-Year-Month]])</f>
        <v>0.33333333333333331</v>
      </c>
    </row>
    <row r="2382" spans="1:26" x14ac:dyDescent="0.2">
      <c r="A2382" s="6">
        <v>6132</v>
      </c>
      <c r="B2382" s="7">
        <v>43399</v>
      </c>
      <c r="C2382" s="8">
        <f>DATE(2012,12,31)-1250</f>
        <v>40024</v>
      </c>
      <c r="D2382" s="8" t="str">
        <f t="shared" si="47"/>
        <v>2009-07 (июль 2009)</v>
      </c>
      <c r="E2382" s="9" t="s">
        <v>30</v>
      </c>
      <c r="F2382" s="7">
        <v>35</v>
      </c>
      <c r="G2382" s="7">
        <v>59.66</v>
      </c>
      <c r="H2382" s="7">
        <v>0.05</v>
      </c>
      <c r="I2382" s="9" t="s">
        <v>22</v>
      </c>
      <c r="J2382" s="10">
        <v>-33.340000000000003</v>
      </c>
      <c r="K2382" s="11">
        <v>1.68</v>
      </c>
      <c r="L2382" s="11">
        <v>1.57</v>
      </c>
      <c r="M2382" s="9" t="s">
        <v>1364</v>
      </c>
      <c r="N2382" s="6" t="s">
        <v>1123</v>
      </c>
      <c r="O2382" s="6" t="s">
        <v>1123</v>
      </c>
      <c r="P2382" s="9" t="s">
        <v>41</v>
      </c>
      <c r="Q2382" s="9" t="s">
        <v>26</v>
      </c>
      <c r="R2382" s="9" t="s">
        <v>95</v>
      </c>
      <c r="S2382" s="7" t="s">
        <v>220</v>
      </c>
      <c r="T2382" s="9" t="s">
        <v>68</v>
      </c>
      <c r="U2382" s="7">
        <v>0.59</v>
      </c>
      <c r="V2382" s="12">
        <f>C2382+1</f>
        <v>40025</v>
      </c>
      <c r="W2382">
        <f>IF(D2382=' Pivot Tables'!$A$4,1,0)</f>
        <v>0</v>
      </c>
      <c r="X2382">
        <f>IF(AND(LEFT(D2382,4)+1=LEFT(' Pivot Tables'!$A$4,4)+0,RIGHT(LEFT(D2382,7),2)=RIGHT(LEFT(' Pivot Tables'!$A$4,7),2)),1,0)</f>
        <v>0</v>
      </c>
      <c r="Y2382" s="6">
        <f>1/COUNTIF(Таблица1[Order ID],Таблица1[[#This Row],[Order ID]])</f>
        <v>0.33333333333333331</v>
      </c>
      <c r="Z2382" s="9">
        <f>1/COUNTIFS(Таблица1[Customer Name],Таблица1[[#This Row],[Customer Name]],Таблица1[Order-Year-Month],Таблица1[[#This Row],[Order-Year-Month]])</f>
        <v>0.25</v>
      </c>
    </row>
    <row r="2383" spans="1:26" x14ac:dyDescent="0.2">
      <c r="A2383" s="6">
        <v>6133</v>
      </c>
      <c r="B2383" s="7">
        <v>43399</v>
      </c>
      <c r="C2383" s="8">
        <f>DATE(2012,12,31)-1250</f>
        <v>40024</v>
      </c>
      <c r="D2383" s="8" t="str">
        <f t="shared" si="47"/>
        <v>2009-07 (июль 2009)</v>
      </c>
      <c r="E2383" s="9" t="s">
        <v>30</v>
      </c>
      <c r="F2383" s="7">
        <v>2</v>
      </c>
      <c r="G2383" s="7">
        <v>377.01600000000002</v>
      </c>
      <c r="H2383" s="7">
        <v>0.1</v>
      </c>
      <c r="I2383" s="9" t="s">
        <v>31</v>
      </c>
      <c r="J2383" s="10">
        <v>-201.27599999999998</v>
      </c>
      <c r="K2383" s="11">
        <v>218.75</v>
      </c>
      <c r="L2383" s="11">
        <v>69.64</v>
      </c>
      <c r="M2383" s="9" t="s">
        <v>1364</v>
      </c>
      <c r="N2383" s="6" t="s">
        <v>1123</v>
      </c>
      <c r="O2383" s="6" t="s">
        <v>1123</v>
      </c>
      <c r="P2383" s="9" t="s">
        <v>41</v>
      </c>
      <c r="Q2383" s="9" t="s">
        <v>49</v>
      </c>
      <c r="R2383" s="9" t="s">
        <v>83</v>
      </c>
      <c r="S2383" s="7" t="s">
        <v>254</v>
      </c>
      <c r="T2383" s="9" t="s">
        <v>82</v>
      </c>
      <c r="U2383" s="7">
        <v>0.77</v>
      </c>
      <c r="V2383" s="12">
        <f>C2383+2</f>
        <v>40026</v>
      </c>
      <c r="W2383">
        <f>IF(D2383=' Pivot Tables'!$A$4,1,0)</f>
        <v>0</v>
      </c>
      <c r="X2383">
        <f>IF(AND(LEFT(D2383,4)+1=LEFT(' Pivot Tables'!$A$4,4)+0,RIGHT(LEFT(D2383,7),2)=RIGHT(LEFT(' Pivot Tables'!$A$4,7),2)),1,0)</f>
        <v>0</v>
      </c>
      <c r="Y2383" s="6">
        <f>1/COUNTIF(Таблица1[Order ID],Таблица1[[#This Row],[Order ID]])</f>
        <v>0.33333333333333331</v>
      </c>
      <c r="Z2383" s="9">
        <f>1/COUNTIFS(Таблица1[Customer Name],Таблица1[[#This Row],[Customer Name]],Таблица1[Order-Year-Month],Таблица1[[#This Row],[Order-Year-Month]])</f>
        <v>0.25</v>
      </c>
    </row>
    <row r="2384" spans="1:26" x14ac:dyDescent="0.2">
      <c r="A2384" s="6">
        <v>6134</v>
      </c>
      <c r="B2384" s="7">
        <v>43399</v>
      </c>
      <c r="C2384" s="8">
        <f>DATE(2012,12,31)-1250</f>
        <v>40024</v>
      </c>
      <c r="D2384" s="8" t="str">
        <f t="shared" si="47"/>
        <v>2009-07 (июль 2009)</v>
      </c>
      <c r="E2384" s="9" t="s">
        <v>30</v>
      </c>
      <c r="F2384" s="7">
        <v>8</v>
      </c>
      <c r="G2384" s="7">
        <v>124.7</v>
      </c>
      <c r="H2384" s="7">
        <v>0</v>
      </c>
      <c r="I2384" s="9" t="s">
        <v>22</v>
      </c>
      <c r="J2384" s="10">
        <v>31.94</v>
      </c>
      <c r="K2384" s="11">
        <v>15.04</v>
      </c>
      <c r="L2384" s="11">
        <v>1.97</v>
      </c>
      <c r="M2384" s="9" t="s">
        <v>1364</v>
      </c>
      <c r="N2384" s="6" t="s">
        <v>1123</v>
      </c>
      <c r="O2384" s="6" t="s">
        <v>1123</v>
      </c>
      <c r="P2384" s="9" t="s">
        <v>41</v>
      </c>
      <c r="Q2384" s="9" t="s">
        <v>26</v>
      </c>
      <c r="R2384" s="9" t="s">
        <v>61</v>
      </c>
      <c r="S2384" s="7" t="s">
        <v>688</v>
      </c>
      <c r="T2384" s="9" t="s">
        <v>68</v>
      </c>
      <c r="U2384" s="7">
        <v>0.39</v>
      </c>
      <c r="V2384" s="12">
        <f>C2384+2</f>
        <v>40026</v>
      </c>
      <c r="W2384">
        <f>IF(D2384=' Pivot Tables'!$A$4,1,0)</f>
        <v>0</v>
      </c>
      <c r="X2384">
        <f>IF(AND(LEFT(D2384,4)+1=LEFT(' Pivot Tables'!$A$4,4)+0,RIGHT(LEFT(D2384,7),2)=RIGHT(LEFT(' Pivot Tables'!$A$4,7),2)),1,0)</f>
        <v>0</v>
      </c>
      <c r="Y2384" s="6">
        <f>1/COUNTIF(Таблица1[Order ID],Таблица1[[#This Row],[Order ID]])</f>
        <v>0.33333333333333331</v>
      </c>
      <c r="Z2384" s="9">
        <f>1/COUNTIFS(Таблица1[Customer Name],Таблица1[[#This Row],[Customer Name]],Таблица1[Order-Year-Month],Таблица1[[#This Row],[Order-Year-Month]])</f>
        <v>0.25</v>
      </c>
    </row>
    <row r="2385" spans="1:26" x14ac:dyDescent="0.2">
      <c r="A2385" s="6">
        <v>6189</v>
      </c>
      <c r="B2385" s="7">
        <v>43875</v>
      </c>
      <c r="C2385" s="8">
        <f>DATE(2012,12,31)-390</f>
        <v>40884</v>
      </c>
      <c r="D2385" s="8" t="str">
        <f t="shared" si="47"/>
        <v>2011-12 (декабрь 2011)</v>
      </c>
      <c r="E2385" s="9" t="s">
        <v>78</v>
      </c>
      <c r="F2385" s="7">
        <v>24</v>
      </c>
      <c r="G2385" s="7">
        <v>382.19</v>
      </c>
      <c r="H2385" s="7">
        <v>0.03</v>
      </c>
      <c r="I2385" s="9" t="s">
        <v>56</v>
      </c>
      <c r="J2385" s="10">
        <v>11.39</v>
      </c>
      <c r="K2385" s="11">
        <v>14.42</v>
      </c>
      <c r="L2385" s="11">
        <v>6.75</v>
      </c>
      <c r="M2385" s="9" t="s">
        <v>1286</v>
      </c>
      <c r="N2385" s="6" t="s">
        <v>1123</v>
      </c>
      <c r="O2385" s="6" t="s">
        <v>1123</v>
      </c>
      <c r="P2385" s="9" t="s">
        <v>41</v>
      </c>
      <c r="Q2385" s="9" t="s">
        <v>26</v>
      </c>
      <c r="R2385" s="9" t="s">
        <v>34</v>
      </c>
      <c r="S2385" s="7" t="s">
        <v>1036</v>
      </c>
      <c r="T2385" s="9" t="s">
        <v>48</v>
      </c>
      <c r="U2385" s="7">
        <v>0.52</v>
      </c>
      <c r="V2385" s="12">
        <f>C2385+3</f>
        <v>40887</v>
      </c>
      <c r="W2385">
        <f>IF(D2385=' Pivot Tables'!$A$4,1,0)</f>
        <v>0</v>
      </c>
      <c r="X2385">
        <f>IF(AND(LEFT(D2385,4)+1=LEFT(' Pivot Tables'!$A$4,4)+0,RIGHT(LEFT(D2385,7),2)=RIGHT(LEFT(' Pivot Tables'!$A$4,7),2)),1,0)</f>
        <v>0</v>
      </c>
      <c r="Y2385" s="6">
        <f>1/COUNTIF(Таблица1[Order ID],Таблица1[[#This Row],[Order ID]])</f>
        <v>0.2</v>
      </c>
      <c r="Z2385" s="9">
        <f>1/COUNTIFS(Таблица1[Customer Name],Таблица1[[#This Row],[Customer Name]],Таблица1[Order-Year-Month],Таблица1[[#This Row],[Order-Year-Month]])</f>
        <v>0.2</v>
      </c>
    </row>
    <row r="2386" spans="1:26" x14ac:dyDescent="0.2">
      <c r="A2386" s="6">
        <v>6190</v>
      </c>
      <c r="B2386" s="7">
        <v>43875</v>
      </c>
      <c r="C2386" s="8">
        <f>DATE(2012,12,31)-390</f>
        <v>40884</v>
      </c>
      <c r="D2386" s="8" t="str">
        <f t="shared" si="47"/>
        <v>2011-12 (декабрь 2011)</v>
      </c>
      <c r="E2386" s="9" t="s">
        <v>78</v>
      </c>
      <c r="F2386" s="7">
        <v>17</v>
      </c>
      <c r="G2386" s="7">
        <v>2573.92</v>
      </c>
      <c r="H2386" s="7">
        <v>7.0000000000000007E-2</v>
      </c>
      <c r="I2386" s="9" t="s">
        <v>31</v>
      </c>
      <c r="J2386" s="10">
        <v>117.23</v>
      </c>
      <c r="K2386" s="11">
        <v>150.97999999999999</v>
      </c>
      <c r="L2386" s="11">
        <v>143.71</v>
      </c>
      <c r="M2386" s="9" t="s">
        <v>1286</v>
      </c>
      <c r="N2386" s="6" t="s">
        <v>1123</v>
      </c>
      <c r="O2386" s="6" t="s">
        <v>1123</v>
      </c>
      <c r="P2386" s="9" t="s">
        <v>41</v>
      </c>
      <c r="Q2386" s="9" t="s">
        <v>49</v>
      </c>
      <c r="R2386" s="9" t="s">
        <v>112</v>
      </c>
      <c r="S2386" s="7" t="s">
        <v>1275</v>
      </c>
      <c r="T2386" s="9" t="s">
        <v>36</v>
      </c>
      <c r="U2386" s="7">
        <v>0.55000000000000004</v>
      </c>
      <c r="V2386" s="12">
        <f>C2386+2</f>
        <v>40886</v>
      </c>
      <c r="W2386">
        <f>IF(D2386=' Pivot Tables'!$A$4,1,0)</f>
        <v>0</v>
      </c>
      <c r="X2386">
        <f>IF(AND(LEFT(D2386,4)+1=LEFT(' Pivot Tables'!$A$4,4)+0,RIGHT(LEFT(D2386,7),2)=RIGHT(LEFT(' Pivot Tables'!$A$4,7),2)),1,0)</f>
        <v>0</v>
      </c>
      <c r="Y2386" s="6">
        <f>1/COUNTIF(Таблица1[Order ID],Таблица1[[#This Row],[Order ID]])</f>
        <v>0.2</v>
      </c>
      <c r="Z2386" s="9">
        <f>1/COUNTIFS(Таблица1[Customer Name],Таблица1[[#This Row],[Customer Name]],Таблица1[Order-Year-Month],Таблица1[[#This Row],[Order-Year-Month]])</f>
        <v>0.2</v>
      </c>
    </row>
    <row r="2387" spans="1:26" x14ac:dyDescent="0.2">
      <c r="A2387" s="6">
        <v>6191</v>
      </c>
      <c r="B2387" s="7">
        <v>43875</v>
      </c>
      <c r="C2387" s="8">
        <f>DATE(2012,12,31)-390</f>
        <v>40884</v>
      </c>
      <c r="D2387" s="8" t="str">
        <f t="shared" si="47"/>
        <v>2011-12 (декабрь 2011)</v>
      </c>
      <c r="E2387" s="9" t="s">
        <v>78</v>
      </c>
      <c r="F2387" s="7">
        <v>40</v>
      </c>
      <c r="G2387" s="7">
        <v>727.64</v>
      </c>
      <c r="H2387" s="7">
        <v>0.01</v>
      </c>
      <c r="I2387" s="9" t="s">
        <v>22</v>
      </c>
      <c r="J2387" s="10">
        <v>27.64</v>
      </c>
      <c r="K2387" s="11">
        <v>17.98</v>
      </c>
      <c r="L2387" s="11">
        <v>8.51</v>
      </c>
      <c r="M2387" s="9" t="s">
        <v>1286</v>
      </c>
      <c r="N2387" s="6" t="s">
        <v>1123</v>
      </c>
      <c r="O2387" s="6" t="s">
        <v>1123</v>
      </c>
      <c r="P2387" s="9" t="s">
        <v>41</v>
      </c>
      <c r="Q2387" s="9" t="s">
        <v>42</v>
      </c>
      <c r="R2387" s="9" t="s">
        <v>210</v>
      </c>
      <c r="S2387" s="7" t="s">
        <v>277</v>
      </c>
      <c r="T2387" s="9" t="s">
        <v>48</v>
      </c>
      <c r="U2387" s="7">
        <v>0.4</v>
      </c>
      <c r="V2387" s="12">
        <f>C2387+2</f>
        <v>40886</v>
      </c>
      <c r="W2387">
        <f>IF(D2387=' Pivot Tables'!$A$4,1,0)</f>
        <v>0</v>
      </c>
      <c r="X2387">
        <f>IF(AND(LEFT(D2387,4)+1=LEFT(' Pivot Tables'!$A$4,4)+0,RIGHT(LEFT(D2387,7),2)=RIGHT(LEFT(' Pivot Tables'!$A$4,7),2)),1,0)</f>
        <v>0</v>
      </c>
      <c r="Y2387" s="6">
        <f>1/COUNTIF(Таблица1[Order ID],Таблица1[[#This Row],[Order ID]])</f>
        <v>0.2</v>
      </c>
      <c r="Z2387" s="9">
        <f>1/COUNTIFS(Таблица1[Customer Name],Таблица1[[#This Row],[Customer Name]],Таблица1[Order-Year-Month],Таблица1[[#This Row],[Order-Year-Month]])</f>
        <v>0.2</v>
      </c>
    </row>
    <row r="2388" spans="1:26" x14ac:dyDescent="0.2">
      <c r="A2388" s="6">
        <v>6192</v>
      </c>
      <c r="B2388" s="7">
        <v>43875</v>
      </c>
      <c r="C2388" s="8">
        <f>DATE(2012,12,31)-390</f>
        <v>40884</v>
      </c>
      <c r="D2388" s="8" t="str">
        <f t="shared" si="47"/>
        <v>2011-12 (декабрь 2011)</v>
      </c>
      <c r="E2388" s="9" t="s">
        <v>78</v>
      </c>
      <c r="F2388" s="7">
        <v>16</v>
      </c>
      <c r="G2388" s="7">
        <v>2795.0039999999999</v>
      </c>
      <c r="H2388" s="7">
        <v>0.02</v>
      </c>
      <c r="I2388" s="9" t="s">
        <v>22</v>
      </c>
      <c r="J2388" s="10">
        <v>311.09400000000005</v>
      </c>
      <c r="K2388" s="11">
        <v>195.99</v>
      </c>
      <c r="L2388" s="11">
        <v>8.99</v>
      </c>
      <c r="M2388" s="9" t="s">
        <v>1286</v>
      </c>
      <c r="N2388" s="6" t="s">
        <v>1123</v>
      </c>
      <c r="O2388" s="6" t="s">
        <v>1123</v>
      </c>
      <c r="P2388" s="9" t="s">
        <v>41</v>
      </c>
      <c r="Q2388" s="9" t="s">
        <v>42</v>
      </c>
      <c r="R2388" s="9" t="s">
        <v>43</v>
      </c>
      <c r="S2388" s="7" t="s">
        <v>479</v>
      </c>
      <c r="T2388" s="9" t="s">
        <v>39</v>
      </c>
      <c r="U2388" s="7">
        <v>0.57999999999999996</v>
      </c>
      <c r="V2388" s="12">
        <f>C2388+1</f>
        <v>40885</v>
      </c>
      <c r="W2388">
        <f>IF(D2388=' Pivot Tables'!$A$4,1,0)</f>
        <v>0</v>
      </c>
      <c r="X2388">
        <f>IF(AND(LEFT(D2388,4)+1=LEFT(' Pivot Tables'!$A$4,4)+0,RIGHT(LEFT(D2388,7),2)=RIGHT(LEFT(' Pivot Tables'!$A$4,7),2)),1,0)</f>
        <v>0</v>
      </c>
      <c r="Y2388" s="6">
        <f>1/COUNTIF(Таблица1[Order ID],Таблица1[[#This Row],[Order ID]])</f>
        <v>0.2</v>
      </c>
      <c r="Z2388" s="9">
        <f>1/COUNTIFS(Таблица1[Customer Name],Таблица1[[#This Row],[Customer Name]],Таблица1[Order-Year-Month],Таблица1[[#This Row],[Order-Year-Month]])</f>
        <v>0.2</v>
      </c>
    </row>
    <row r="2389" spans="1:26" x14ac:dyDescent="0.2">
      <c r="A2389" s="6">
        <v>6193</v>
      </c>
      <c r="B2389" s="7">
        <v>43875</v>
      </c>
      <c r="C2389" s="8">
        <f>DATE(2012,12,31)-390</f>
        <v>40884</v>
      </c>
      <c r="D2389" s="8" t="str">
        <f t="shared" si="47"/>
        <v>2011-12 (декабрь 2011)</v>
      </c>
      <c r="E2389" s="9" t="s">
        <v>78</v>
      </c>
      <c r="F2389" s="7">
        <v>25</v>
      </c>
      <c r="G2389" s="7">
        <v>2564.5774999999999</v>
      </c>
      <c r="H2389" s="7">
        <v>7.0000000000000007E-2</v>
      </c>
      <c r="I2389" s="9" t="s">
        <v>22</v>
      </c>
      <c r="J2389" s="10">
        <v>331.29</v>
      </c>
      <c r="K2389" s="11">
        <v>125.99</v>
      </c>
      <c r="L2389" s="11">
        <v>7.69</v>
      </c>
      <c r="M2389" s="9" t="s">
        <v>1286</v>
      </c>
      <c r="N2389" s="6" t="s">
        <v>1123</v>
      </c>
      <c r="O2389" s="6" t="s">
        <v>1123</v>
      </c>
      <c r="P2389" s="9" t="s">
        <v>41</v>
      </c>
      <c r="Q2389" s="9" t="s">
        <v>42</v>
      </c>
      <c r="R2389" s="9" t="s">
        <v>43</v>
      </c>
      <c r="S2389" s="7" t="s">
        <v>129</v>
      </c>
      <c r="T2389" s="9" t="s">
        <v>39</v>
      </c>
      <c r="U2389" s="7">
        <v>0.57999999999999996</v>
      </c>
      <c r="V2389" s="12">
        <f>C2389+2</f>
        <v>40886</v>
      </c>
      <c r="W2389">
        <f>IF(D2389=' Pivot Tables'!$A$4,1,0)</f>
        <v>0</v>
      </c>
      <c r="X2389">
        <f>IF(AND(LEFT(D2389,4)+1=LEFT(' Pivot Tables'!$A$4,4)+0,RIGHT(LEFT(D2389,7),2)=RIGHT(LEFT(' Pivot Tables'!$A$4,7),2)),1,0)</f>
        <v>0</v>
      </c>
      <c r="Y2389" s="6">
        <f>1/COUNTIF(Таблица1[Order ID],Таблица1[[#This Row],[Order ID]])</f>
        <v>0.2</v>
      </c>
      <c r="Z2389" s="9">
        <f>1/COUNTIFS(Таблица1[Customer Name],Таблица1[[#This Row],[Customer Name]],Таблица1[Order-Year-Month],Таблица1[[#This Row],[Order-Year-Month]])</f>
        <v>0.2</v>
      </c>
    </row>
    <row r="2390" spans="1:26" x14ac:dyDescent="0.2">
      <c r="A2390" s="6">
        <v>6237</v>
      </c>
      <c r="B2390" s="7">
        <v>44197</v>
      </c>
      <c r="C2390" s="8">
        <f>DATE(2012,12,31)-1441</f>
        <v>39833</v>
      </c>
      <c r="D2390" s="8" t="str">
        <f t="shared" si="47"/>
        <v>2009-01 (январь 2009)</v>
      </c>
      <c r="E2390" s="9" t="s">
        <v>30</v>
      </c>
      <c r="F2390" s="7">
        <v>27</v>
      </c>
      <c r="G2390" s="7">
        <v>3970.33</v>
      </c>
      <c r="H2390" s="7">
        <v>0.02</v>
      </c>
      <c r="I2390" s="9" t="s">
        <v>31</v>
      </c>
      <c r="J2390" s="10">
        <v>-229.79</v>
      </c>
      <c r="K2390" s="11">
        <v>140.97999999999999</v>
      </c>
      <c r="L2390" s="11">
        <v>53.48</v>
      </c>
      <c r="M2390" s="9" t="s">
        <v>1337</v>
      </c>
      <c r="N2390" s="6" t="s">
        <v>1123</v>
      </c>
      <c r="O2390" s="6" t="s">
        <v>1123</v>
      </c>
      <c r="P2390" s="9" t="s">
        <v>25</v>
      </c>
      <c r="Q2390" s="9" t="s">
        <v>49</v>
      </c>
      <c r="R2390" s="9" t="s">
        <v>80</v>
      </c>
      <c r="S2390" s="7" t="s">
        <v>185</v>
      </c>
      <c r="T2390" s="9" t="s">
        <v>82</v>
      </c>
      <c r="U2390" s="7">
        <v>0.65</v>
      </c>
      <c r="V2390" s="12">
        <f>C2390+3</f>
        <v>39836</v>
      </c>
      <c r="W2390">
        <f>IF(D2390=' Pivot Tables'!$A$4,1,0)</f>
        <v>0</v>
      </c>
      <c r="X2390">
        <f>IF(AND(LEFT(D2390,4)+1=LEFT(' Pivot Tables'!$A$4,4)+0,RIGHT(LEFT(D2390,7),2)=RIGHT(LEFT(' Pivot Tables'!$A$4,7),2)),1,0)</f>
        <v>1</v>
      </c>
      <c r="Y2390" s="6">
        <f>1/COUNTIF(Таблица1[Order ID],Таблица1[[#This Row],[Order ID]])</f>
        <v>1</v>
      </c>
      <c r="Z2390" s="9">
        <f>1/COUNTIFS(Таблица1[Customer Name],Таблица1[[#This Row],[Customer Name]],Таблица1[Order-Year-Month],Таблица1[[#This Row],[Order-Year-Month]])</f>
        <v>1</v>
      </c>
    </row>
    <row r="2391" spans="1:26" x14ac:dyDescent="0.2">
      <c r="A2391" s="6">
        <v>6242</v>
      </c>
      <c r="B2391" s="7">
        <v>44229</v>
      </c>
      <c r="C2391" s="8">
        <f>DATE(2012,12,31)-962</f>
        <v>40312</v>
      </c>
      <c r="D2391" s="8" t="str">
        <f t="shared" si="47"/>
        <v>2010-05 (май 2010)</v>
      </c>
      <c r="E2391" s="9" t="s">
        <v>63</v>
      </c>
      <c r="F2391" s="7">
        <v>39</v>
      </c>
      <c r="G2391" s="7">
        <v>185.69</v>
      </c>
      <c r="H2391" s="7">
        <v>0.02</v>
      </c>
      <c r="I2391" s="9" t="s">
        <v>22</v>
      </c>
      <c r="J2391" s="10">
        <v>50.16</v>
      </c>
      <c r="K2391" s="11">
        <v>4.84</v>
      </c>
      <c r="L2391" s="11">
        <v>0.71</v>
      </c>
      <c r="M2391" s="9" t="s">
        <v>1265</v>
      </c>
      <c r="N2391" s="6" t="s">
        <v>1123</v>
      </c>
      <c r="O2391" s="6" t="s">
        <v>1123</v>
      </c>
      <c r="P2391" s="9" t="s">
        <v>60</v>
      </c>
      <c r="Q2391" s="9" t="s">
        <v>26</v>
      </c>
      <c r="R2391" s="9" t="s">
        <v>95</v>
      </c>
      <c r="S2391" s="7" t="s">
        <v>633</v>
      </c>
      <c r="T2391" s="9" t="s">
        <v>68</v>
      </c>
      <c r="U2391" s="7">
        <v>0.52</v>
      </c>
      <c r="V2391" s="12">
        <f>C2391+0</f>
        <v>40312</v>
      </c>
      <c r="W2391">
        <f>IF(D2391=' Pivot Tables'!$A$4,1,0)</f>
        <v>0</v>
      </c>
      <c r="X2391">
        <f>IF(AND(LEFT(D2391,4)+1=LEFT(' Pivot Tables'!$A$4,4)+0,RIGHT(LEFT(D2391,7),2)=RIGHT(LEFT(' Pivot Tables'!$A$4,7),2)),1,0)</f>
        <v>0</v>
      </c>
      <c r="Y2391" s="6">
        <f>1/COUNTIF(Таблица1[Order ID],Таблица1[[#This Row],[Order ID]])</f>
        <v>1</v>
      </c>
      <c r="Z2391" s="9">
        <f>1/COUNTIFS(Таблица1[Customer Name],Таблица1[[#This Row],[Customer Name]],Таблица1[Order-Year-Month],Таблица1[[#This Row],[Order-Year-Month]])</f>
        <v>1</v>
      </c>
    </row>
    <row r="2392" spans="1:26" x14ac:dyDescent="0.2">
      <c r="A2392" s="6">
        <v>6268</v>
      </c>
      <c r="B2392" s="7">
        <v>44386</v>
      </c>
      <c r="C2392" s="8">
        <f>DATE(2012,12,31)-266</f>
        <v>41008</v>
      </c>
      <c r="D2392" s="8" t="str">
        <f t="shared" si="47"/>
        <v>2012-04 (апрель 2012)</v>
      </c>
      <c r="E2392" s="9" t="s">
        <v>63</v>
      </c>
      <c r="F2392" s="7">
        <v>27</v>
      </c>
      <c r="G2392" s="7">
        <v>129.06</v>
      </c>
      <c r="H2392" s="7">
        <v>0.1</v>
      </c>
      <c r="I2392" s="9" t="s">
        <v>22</v>
      </c>
      <c r="J2392" s="10">
        <v>-75.129499999999993</v>
      </c>
      <c r="K2392" s="11">
        <v>4.91</v>
      </c>
      <c r="L2392" s="11">
        <v>4.97</v>
      </c>
      <c r="M2392" s="9" t="s">
        <v>1382</v>
      </c>
      <c r="N2392" s="6" t="s">
        <v>1123</v>
      </c>
      <c r="O2392" s="6" t="s">
        <v>1123</v>
      </c>
      <c r="P2392" s="9" t="s">
        <v>60</v>
      </c>
      <c r="Q2392" s="9" t="s">
        <v>26</v>
      </c>
      <c r="R2392" s="9" t="s">
        <v>37</v>
      </c>
      <c r="S2392" s="7" t="s">
        <v>626</v>
      </c>
      <c r="T2392" s="9" t="s">
        <v>39</v>
      </c>
      <c r="U2392" s="7">
        <v>0.38</v>
      </c>
      <c r="V2392" s="12">
        <f>C2392+2</f>
        <v>41010</v>
      </c>
      <c r="W2392">
        <f>IF(D2392=' Pivot Tables'!$A$4,1,0)</f>
        <v>0</v>
      </c>
      <c r="X2392">
        <f>IF(AND(LEFT(D2392,4)+1=LEFT(' Pivot Tables'!$A$4,4)+0,RIGHT(LEFT(D2392,7),2)=RIGHT(LEFT(' Pivot Tables'!$A$4,7),2)),1,0)</f>
        <v>0</v>
      </c>
      <c r="Y2392" s="6">
        <f>1/COUNTIF(Таблица1[Order ID],Таблица1[[#This Row],[Order ID]])</f>
        <v>0.5</v>
      </c>
      <c r="Z2392" s="9">
        <f>1/COUNTIFS(Таблица1[Customer Name],Таблица1[[#This Row],[Customer Name]],Таблица1[Order-Year-Month],Таблица1[[#This Row],[Order-Year-Month]])</f>
        <v>0.5</v>
      </c>
    </row>
    <row r="2393" spans="1:26" x14ac:dyDescent="0.2">
      <c r="A2393" s="6">
        <v>6269</v>
      </c>
      <c r="B2393" s="7">
        <v>44386</v>
      </c>
      <c r="C2393" s="8">
        <f>DATE(2012,12,31)-266</f>
        <v>41008</v>
      </c>
      <c r="D2393" s="8" t="str">
        <f t="shared" si="47"/>
        <v>2012-04 (апрель 2012)</v>
      </c>
      <c r="E2393" s="9" t="s">
        <v>63</v>
      </c>
      <c r="F2393" s="7">
        <v>43</v>
      </c>
      <c r="G2393" s="7">
        <v>1236.6400000000001</v>
      </c>
      <c r="H2393" s="7">
        <v>0.01</v>
      </c>
      <c r="I2393" s="9" t="s">
        <v>22</v>
      </c>
      <c r="J2393" s="10">
        <v>518.80999999999995</v>
      </c>
      <c r="K2393" s="11">
        <v>28.48</v>
      </c>
      <c r="L2393" s="11">
        <v>1.99</v>
      </c>
      <c r="M2393" s="9" t="s">
        <v>1382</v>
      </c>
      <c r="N2393" s="6" t="s">
        <v>1123</v>
      </c>
      <c r="O2393" s="6" t="s">
        <v>1123</v>
      </c>
      <c r="P2393" s="9" t="s">
        <v>60</v>
      </c>
      <c r="Q2393" s="9" t="s">
        <v>42</v>
      </c>
      <c r="R2393" s="9" t="s">
        <v>70</v>
      </c>
      <c r="S2393" s="7" t="s">
        <v>523</v>
      </c>
      <c r="T2393" s="9" t="s">
        <v>52</v>
      </c>
      <c r="U2393" s="7">
        <v>0.4</v>
      </c>
      <c r="V2393" s="12">
        <f>C2393+2</f>
        <v>41010</v>
      </c>
      <c r="W2393">
        <f>IF(D2393=' Pivot Tables'!$A$4,1,0)</f>
        <v>0</v>
      </c>
      <c r="X2393">
        <f>IF(AND(LEFT(D2393,4)+1=LEFT(' Pivot Tables'!$A$4,4)+0,RIGHT(LEFT(D2393,7),2)=RIGHT(LEFT(' Pivot Tables'!$A$4,7),2)),1,0)</f>
        <v>0</v>
      </c>
      <c r="Y2393" s="6">
        <f>1/COUNTIF(Таблица1[Order ID],Таблица1[[#This Row],[Order ID]])</f>
        <v>0.5</v>
      </c>
      <c r="Z2393" s="9">
        <f>1/COUNTIFS(Таблица1[Customer Name],Таблица1[[#This Row],[Customer Name]],Таблица1[Order-Year-Month],Таблица1[[#This Row],[Order-Year-Month]])</f>
        <v>0.5</v>
      </c>
    </row>
    <row r="2394" spans="1:26" x14ac:dyDescent="0.2">
      <c r="A2394" s="6">
        <v>6272</v>
      </c>
      <c r="B2394" s="7">
        <v>44390</v>
      </c>
      <c r="C2394" s="8">
        <f>DATE(2012,12,31)-759</f>
        <v>40515</v>
      </c>
      <c r="D2394" s="8" t="str">
        <f t="shared" si="47"/>
        <v>2010-12 (декабрь 2010)</v>
      </c>
      <c r="E2394" s="9" t="s">
        <v>45</v>
      </c>
      <c r="F2394" s="7">
        <v>32</v>
      </c>
      <c r="G2394" s="7">
        <v>3234.1</v>
      </c>
      <c r="H2394" s="7">
        <v>0.03</v>
      </c>
      <c r="I2394" s="9" t="s">
        <v>22</v>
      </c>
      <c r="J2394" s="10">
        <v>2033.5</v>
      </c>
      <c r="K2394" s="11">
        <v>99.23</v>
      </c>
      <c r="L2394" s="11">
        <v>8.99</v>
      </c>
      <c r="M2394" s="9" t="s">
        <v>1383</v>
      </c>
      <c r="N2394" s="6" t="s">
        <v>1123</v>
      </c>
      <c r="O2394" s="6" t="s">
        <v>1123</v>
      </c>
      <c r="P2394" s="9" t="s">
        <v>60</v>
      </c>
      <c r="Q2394" s="9" t="s">
        <v>49</v>
      </c>
      <c r="R2394" s="9" t="s">
        <v>50</v>
      </c>
      <c r="S2394" s="7" t="s">
        <v>700</v>
      </c>
      <c r="T2394" s="9" t="s">
        <v>52</v>
      </c>
      <c r="U2394" s="7">
        <v>0.35</v>
      </c>
      <c r="V2394" s="12">
        <f>C2394+2</f>
        <v>40517</v>
      </c>
      <c r="W2394">
        <f>IF(D2394=' Pivot Tables'!$A$4,1,0)</f>
        <v>0</v>
      </c>
      <c r="X2394">
        <f>IF(AND(LEFT(D2394,4)+1=LEFT(' Pivot Tables'!$A$4,4)+0,RIGHT(LEFT(D2394,7),2)=RIGHT(LEFT(' Pivot Tables'!$A$4,7),2)),1,0)</f>
        <v>0</v>
      </c>
      <c r="Y2394" s="6">
        <f>1/COUNTIF(Таблица1[Order ID],Таблица1[[#This Row],[Order ID]])</f>
        <v>1</v>
      </c>
      <c r="Z2394" s="9">
        <f>1/COUNTIFS(Таблица1[Customer Name],Таблица1[[#This Row],[Customer Name]],Таблица1[Order-Year-Month],Таблица1[[#This Row],[Order-Year-Month]])</f>
        <v>1</v>
      </c>
    </row>
    <row r="2395" spans="1:26" x14ac:dyDescent="0.2">
      <c r="A2395" s="6">
        <v>6303</v>
      </c>
      <c r="B2395" s="7">
        <v>44612</v>
      </c>
      <c r="C2395" s="8">
        <f>DATE(2012,12,31)-659</f>
        <v>40615</v>
      </c>
      <c r="D2395" s="8" t="str">
        <f t="shared" si="47"/>
        <v>2011-03 (март 2011)</v>
      </c>
      <c r="E2395" s="9" t="s">
        <v>30</v>
      </c>
      <c r="F2395" s="7">
        <v>6</v>
      </c>
      <c r="G2395" s="7">
        <v>428.72300000000001</v>
      </c>
      <c r="H2395" s="7">
        <v>0.06</v>
      </c>
      <c r="I2395" s="9" t="s">
        <v>22</v>
      </c>
      <c r="J2395" s="10">
        <v>-147.71899999999999</v>
      </c>
      <c r="K2395" s="11">
        <v>85.99</v>
      </c>
      <c r="L2395" s="11">
        <v>1.25</v>
      </c>
      <c r="M2395" s="9" t="s">
        <v>1384</v>
      </c>
      <c r="N2395" s="6" t="s">
        <v>1123</v>
      </c>
      <c r="O2395" s="6" t="s">
        <v>1123</v>
      </c>
      <c r="P2395" s="9" t="s">
        <v>41</v>
      </c>
      <c r="Q2395" s="9" t="s">
        <v>42</v>
      </c>
      <c r="R2395" s="9" t="s">
        <v>43</v>
      </c>
      <c r="S2395" s="7" t="s">
        <v>438</v>
      </c>
      <c r="T2395" s="9" t="s">
        <v>52</v>
      </c>
      <c r="U2395" s="7">
        <v>0.39</v>
      </c>
      <c r="V2395" s="12">
        <f>C2395+2</f>
        <v>40617</v>
      </c>
      <c r="W2395">
        <f>IF(D2395=' Pivot Tables'!$A$4,1,0)</f>
        <v>0</v>
      </c>
      <c r="X2395">
        <f>IF(AND(LEFT(D2395,4)+1=LEFT(' Pivot Tables'!$A$4,4)+0,RIGHT(LEFT(D2395,7),2)=RIGHT(LEFT(' Pivot Tables'!$A$4,7),2)),1,0)</f>
        <v>0</v>
      </c>
      <c r="Y2395" s="6">
        <f>1/COUNTIF(Таблица1[Order ID],Таблица1[[#This Row],[Order ID]])</f>
        <v>1</v>
      </c>
      <c r="Z2395" s="9">
        <f>1/COUNTIFS(Таблица1[Customer Name],Таблица1[[#This Row],[Customer Name]],Таблица1[Order-Year-Month],Таблица1[[#This Row],[Order-Year-Month]])</f>
        <v>1</v>
      </c>
    </row>
    <row r="2396" spans="1:26" x14ac:dyDescent="0.2">
      <c r="A2396" s="6">
        <v>6307</v>
      </c>
      <c r="B2396" s="7">
        <v>44614</v>
      </c>
      <c r="C2396" s="8">
        <f>DATE(2012,12,31)-931</f>
        <v>40343</v>
      </c>
      <c r="D2396" s="8" t="str">
        <f t="shared" si="47"/>
        <v>2010-06 (июнь 2010)</v>
      </c>
      <c r="E2396" s="9" t="s">
        <v>21</v>
      </c>
      <c r="F2396" s="7">
        <v>18</v>
      </c>
      <c r="G2396" s="7">
        <v>55.35</v>
      </c>
      <c r="H2396" s="7">
        <v>0</v>
      </c>
      <c r="I2396" s="9" t="s">
        <v>56</v>
      </c>
      <c r="J2396" s="10">
        <v>-56.63</v>
      </c>
      <c r="K2396" s="11">
        <v>2.2200000000000002</v>
      </c>
      <c r="L2396" s="11">
        <v>5</v>
      </c>
      <c r="M2396" s="9" t="s">
        <v>1343</v>
      </c>
      <c r="N2396" s="6" t="s">
        <v>1123</v>
      </c>
      <c r="O2396" s="6" t="s">
        <v>1123</v>
      </c>
      <c r="P2396" s="9" t="s">
        <v>41</v>
      </c>
      <c r="Q2396" s="9" t="s">
        <v>26</v>
      </c>
      <c r="R2396" s="9" t="s">
        <v>34</v>
      </c>
      <c r="S2396" s="7" t="s">
        <v>1352</v>
      </c>
      <c r="T2396" s="9" t="s">
        <v>39</v>
      </c>
      <c r="U2396" s="7">
        <v>0.55000000000000004</v>
      </c>
      <c r="V2396" s="12">
        <f>C2396+4</f>
        <v>40347</v>
      </c>
      <c r="W2396">
        <f>IF(D2396=' Pivot Tables'!$A$4,1,0)</f>
        <v>0</v>
      </c>
      <c r="X2396">
        <f>IF(AND(LEFT(D2396,4)+1=LEFT(' Pivot Tables'!$A$4,4)+0,RIGHT(LEFT(D2396,7),2)=RIGHT(LEFT(' Pivot Tables'!$A$4,7),2)),1,0)</f>
        <v>0</v>
      </c>
      <c r="Y2396" s="6">
        <f>1/COUNTIF(Таблица1[Order ID],Таблица1[[#This Row],[Order ID]])</f>
        <v>0.5</v>
      </c>
      <c r="Z2396" s="9">
        <f>1/COUNTIFS(Таблица1[Customer Name],Таблица1[[#This Row],[Customer Name]],Таблица1[Order-Year-Month],Таблица1[[#This Row],[Order-Year-Month]])</f>
        <v>0.5</v>
      </c>
    </row>
    <row r="2397" spans="1:26" x14ac:dyDescent="0.2">
      <c r="A2397" s="6">
        <v>6308</v>
      </c>
      <c r="B2397" s="7">
        <v>44614</v>
      </c>
      <c r="C2397" s="8">
        <f>DATE(2012,12,31)-931</f>
        <v>40343</v>
      </c>
      <c r="D2397" s="8" t="str">
        <f t="shared" si="47"/>
        <v>2010-06 (июнь 2010)</v>
      </c>
      <c r="E2397" s="9" t="s">
        <v>21</v>
      </c>
      <c r="F2397" s="7">
        <v>27</v>
      </c>
      <c r="G2397" s="7">
        <v>700.35</v>
      </c>
      <c r="H2397" s="7">
        <v>0.06</v>
      </c>
      <c r="I2397" s="9" t="s">
        <v>22</v>
      </c>
      <c r="J2397" s="10">
        <v>-123.01</v>
      </c>
      <c r="K2397" s="11">
        <v>26.31</v>
      </c>
      <c r="L2397" s="11">
        <v>5.89</v>
      </c>
      <c r="M2397" s="9" t="s">
        <v>1343</v>
      </c>
      <c r="N2397" s="6" t="s">
        <v>1123</v>
      </c>
      <c r="O2397" s="6" t="s">
        <v>1123</v>
      </c>
      <c r="P2397" s="9" t="s">
        <v>41</v>
      </c>
      <c r="Q2397" s="9" t="s">
        <v>42</v>
      </c>
      <c r="R2397" s="9" t="s">
        <v>70</v>
      </c>
      <c r="S2397" s="7" t="s">
        <v>420</v>
      </c>
      <c r="T2397" s="9" t="s">
        <v>39</v>
      </c>
      <c r="U2397" s="7">
        <v>0.75</v>
      </c>
      <c r="V2397" s="12">
        <f>C2397+9</f>
        <v>40352</v>
      </c>
      <c r="W2397">
        <f>IF(D2397=' Pivot Tables'!$A$4,1,0)</f>
        <v>0</v>
      </c>
      <c r="X2397">
        <f>IF(AND(LEFT(D2397,4)+1=LEFT(' Pivot Tables'!$A$4,4)+0,RIGHT(LEFT(D2397,7),2)=RIGHT(LEFT(' Pivot Tables'!$A$4,7),2)),1,0)</f>
        <v>0</v>
      </c>
      <c r="Y2397" s="6">
        <f>1/COUNTIF(Таблица1[Order ID],Таблица1[[#This Row],[Order ID]])</f>
        <v>0.5</v>
      </c>
      <c r="Z2397" s="9">
        <f>1/COUNTIFS(Таблица1[Customer Name],Таблица1[[#This Row],[Customer Name]],Таблица1[Order-Year-Month],Таблица1[[#This Row],[Order-Year-Month]])</f>
        <v>0.5</v>
      </c>
    </row>
    <row r="2398" spans="1:26" x14ac:dyDescent="0.2">
      <c r="A2398" s="6">
        <v>6309</v>
      </c>
      <c r="B2398" s="7">
        <v>44615</v>
      </c>
      <c r="C2398" s="8">
        <f>DATE(2012,12,31)-967</f>
        <v>40307</v>
      </c>
      <c r="D2398" s="8" t="str">
        <f t="shared" si="47"/>
        <v>2010-05 (май 2010)</v>
      </c>
      <c r="E2398" s="9" t="s">
        <v>63</v>
      </c>
      <c r="F2398" s="7">
        <v>19</v>
      </c>
      <c r="G2398" s="7">
        <v>36.369999999999997</v>
      </c>
      <c r="H2398" s="7">
        <v>7.0000000000000007E-2</v>
      </c>
      <c r="I2398" s="9" t="s">
        <v>22</v>
      </c>
      <c r="J2398" s="10">
        <v>-10.257999999999999</v>
      </c>
      <c r="K2398" s="11">
        <v>1.88</v>
      </c>
      <c r="L2398" s="11">
        <v>1.49</v>
      </c>
      <c r="M2398" s="9" t="s">
        <v>1262</v>
      </c>
      <c r="N2398" s="6" t="s">
        <v>1123</v>
      </c>
      <c r="O2398" s="6" t="s">
        <v>1123</v>
      </c>
      <c r="P2398" s="9" t="s">
        <v>60</v>
      </c>
      <c r="Q2398" s="9" t="s">
        <v>26</v>
      </c>
      <c r="R2398" s="9" t="s">
        <v>37</v>
      </c>
      <c r="S2398" s="7" t="s">
        <v>172</v>
      </c>
      <c r="T2398" s="9" t="s">
        <v>39</v>
      </c>
      <c r="U2398" s="7">
        <v>0.37</v>
      </c>
      <c r="V2398" s="12">
        <f>C2398+1</f>
        <v>40308</v>
      </c>
      <c r="W2398">
        <f>IF(D2398=' Pivot Tables'!$A$4,1,0)</f>
        <v>0</v>
      </c>
      <c r="X2398">
        <f>IF(AND(LEFT(D2398,4)+1=LEFT(' Pivot Tables'!$A$4,4)+0,RIGHT(LEFT(D2398,7),2)=RIGHT(LEFT(' Pivot Tables'!$A$4,7),2)),1,0)</f>
        <v>0</v>
      </c>
      <c r="Y2398" s="6">
        <f>1/COUNTIF(Таблица1[Order ID],Таблица1[[#This Row],[Order ID]])</f>
        <v>1</v>
      </c>
      <c r="Z2398" s="9">
        <f>1/COUNTIFS(Таблица1[Customer Name],Таблица1[[#This Row],[Customer Name]],Таблица1[Order-Year-Month],Таблица1[[#This Row],[Order-Year-Month]])</f>
        <v>1</v>
      </c>
    </row>
    <row r="2399" spans="1:26" x14ac:dyDescent="0.2">
      <c r="A2399" s="6">
        <v>6331</v>
      </c>
      <c r="B2399" s="7">
        <v>44864</v>
      </c>
      <c r="C2399" s="8">
        <f>DATE(2012,12,31)-928</f>
        <v>40346</v>
      </c>
      <c r="D2399" s="8" t="str">
        <f t="shared" si="47"/>
        <v>2010-06 (июнь 2010)</v>
      </c>
      <c r="E2399" s="9" t="s">
        <v>21</v>
      </c>
      <c r="F2399" s="7">
        <v>25</v>
      </c>
      <c r="G2399" s="7">
        <v>187.55</v>
      </c>
      <c r="H2399" s="7">
        <v>0.1</v>
      </c>
      <c r="I2399" s="9" t="s">
        <v>22</v>
      </c>
      <c r="J2399" s="10">
        <v>-171.41</v>
      </c>
      <c r="K2399" s="11">
        <v>7.77</v>
      </c>
      <c r="L2399" s="11">
        <v>9.23</v>
      </c>
      <c r="M2399" s="9" t="s">
        <v>1385</v>
      </c>
      <c r="N2399" s="6" t="s">
        <v>1123</v>
      </c>
      <c r="O2399" s="6" t="s">
        <v>1123</v>
      </c>
      <c r="P2399" s="9" t="s">
        <v>41</v>
      </c>
      <c r="Q2399" s="9" t="s">
        <v>26</v>
      </c>
      <c r="R2399" s="9" t="s">
        <v>34</v>
      </c>
      <c r="S2399" s="7" t="s">
        <v>1386</v>
      </c>
      <c r="T2399" s="9" t="s">
        <v>39</v>
      </c>
      <c r="U2399" s="7">
        <v>0.57999999999999996</v>
      </c>
      <c r="V2399" s="12">
        <f>C2399+7</f>
        <v>40353</v>
      </c>
      <c r="W2399">
        <f>IF(D2399=' Pivot Tables'!$A$4,1,0)</f>
        <v>0</v>
      </c>
      <c r="X2399">
        <f>IF(AND(LEFT(D2399,4)+1=LEFT(' Pivot Tables'!$A$4,4)+0,RIGHT(LEFT(D2399,7),2)=RIGHT(LEFT(' Pivot Tables'!$A$4,7),2)),1,0)</f>
        <v>0</v>
      </c>
      <c r="Y2399" s="6">
        <f>1/COUNTIF(Таблица1[Order ID],Таблица1[[#This Row],[Order ID]])</f>
        <v>1</v>
      </c>
      <c r="Z2399" s="9">
        <f>1/COUNTIFS(Таблица1[Customer Name],Таблица1[[#This Row],[Customer Name]],Таблица1[Order-Year-Month],Таблица1[[#This Row],[Order-Year-Month]])</f>
        <v>0.33333333333333331</v>
      </c>
    </row>
    <row r="2400" spans="1:26" x14ac:dyDescent="0.2">
      <c r="A2400" s="6">
        <v>6336</v>
      </c>
      <c r="B2400" s="7">
        <v>44900</v>
      </c>
      <c r="C2400" s="8">
        <f>DATE(2012,12,31)-1056</f>
        <v>40218</v>
      </c>
      <c r="D2400" s="8" t="str">
        <f t="shared" si="47"/>
        <v>2010-02 (февраль 2010)</v>
      </c>
      <c r="E2400" s="9" t="s">
        <v>63</v>
      </c>
      <c r="F2400" s="7">
        <v>4</v>
      </c>
      <c r="G2400" s="7">
        <v>47.03</v>
      </c>
      <c r="H2400" s="7">
        <v>0.08</v>
      </c>
      <c r="I2400" s="9" t="s">
        <v>22</v>
      </c>
      <c r="J2400" s="10">
        <v>-12.03</v>
      </c>
      <c r="K2400" s="11">
        <v>11.19</v>
      </c>
      <c r="L2400" s="11">
        <v>5.03</v>
      </c>
      <c r="M2400" s="9" t="s">
        <v>1354</v>
      </c>
      <c r="N2400" s="6" t="s">
        <v>1123</v>
      </c>
      <c r="O2400" s="6" t="s">
        <v>1123</v>
      </c>
      <c r="P2400" s="9" t="s">
        <v>60</v>
      </c>
      <c r="Q2400" s="9" t="s">
        <v>26</v>
      </c>
      <c r="R2400" s="9" t="s">
        <v>61</v>
      </c>
      <c r="S2400" s="7" t="s">
        <v>1387</v>
      </c>
      <c r="T2400" s="9" t="s">
        <v>39</v>
      </c>
      <c r="U2400" s="7">
        <v>0.37</v>
      </c>
      <c r="V2400" s="12">
        <f>C2400+1</f>
        <v>40219</v>
      </c>
      <c r="W2400">
        <f>IF(D2400=' Pivot Tables'!$A$4,1,0)</f>
        <v>0</v>
      </c>
      <c r="X2400">
        <f>IF(AND(LEFT(D2400,4)+1=LEFT(' Pivot Tables'!$A$4,4)+0,RIGHT(LEFT(D2400,7),2)=RIGHT(LEFT(' Pivot Tables'!$A$4,7),2)),1,0)</f>
        <v>0</v>
      </c>
      <c r="Y2400" s="6">
        <f>1/COUNTIF(Таблица1[Order ID],Таблица1[[#This Row],[Order ID]])</f>
        <v>1</v>
      </c>
      <c r="Z2400" s="9">
        <f>1/COUNTIFS(Таблица1[Customer Name],Таблица1[[#This Row],[Customer Name]],Таблица1[Order-Year-Month],Таблица1[[#This Row],[Order-Year-Month]])</f>
        <v>1</v>
      </c>
    </row>
    <row r="2401" spans="1:26" x14ac:dyDescent="0.2">
      <c r="A2401" s="6">
        <v>6340</v>
      </c>
      <c r="B2401" s="7">
        <v>44960</v>
      </c>
      <c r="C2401" s="8">
        <f>DATE(2012,12,31)-608</f>
        <v>40666</v>
      </c>
      <c r="D2401" s="8" t="str">
        <f t="shared" si="47"/>
        <v>2011-05 (май 2011)</v>
      </c>
      <c r="E2401" s="9" t="s">
        <v>21</v>
      </c>
      <c r="F2401" s="7">
        <v>16</v>
      </c>
      <c r="G2401" s="7">
        <v>112.91</v>
      </c>
      <c r="H2401" s="7">
        <v>0.04</v>
      </c>
      <c r="I2401" s="9" t="s">
        <v>22</v>
      </c>
      <c r="J2401" s="10">
        <v>-72.81</v>
      </c>
      <c r="K2401" s="11">
        <v>6.48</v>
      </c>
      <c r="L2401" s="11">
        <v>8.4</v>
      </c>
      <c r="M2401" s="9" t="s">
        <v>1246</v>
      </c>
      <c r="N2401" s="6" t="s">
        <v>1123</v>
      </c>
      <c r="O2401" s="6" t="s">
        <v>1123</v>
      </c>
      <c r="P2401" s="9" t="s">
        <v>33</v>
      </c>
      <c r="Q2401" s="9" t="s">
        <v>26</v>
      </c>
      <c r="R2401" s="9" t="s">
        <v>61</v>
      </c>
      <c r="S2401" s="7" t="s">
        <v>1097</v>
      </c>
      <c r="T2401" s="9" t="s">
        <v>39</v>
      </c>
      <c r="U2401" s="7">
        <v>0.37</v>
      </c>
      <c r="V2401" s="12">
        <f>C2401+2</f>
        <v>40668</v>
      </c>
      <c r="W2401">
        <f>IF(D2401=' Pivot Tables'!$A$4,1,0)</f>
        <v>0</v>
      </c>
      <c r="X2401">
        <f>IF(AND(LEFT(D2401,4)+1=LEFT(' Pivot Tables'!$A$4,4)+0,RIGHT(LEFT(D2401,7),2)=RIGHT(LEFT(' Pivot Tables'!$A$4,7),2)),1,0)</f>
        <v>0</v>
      </c>
      <c r="Y2401" s="6">
        <f>1/COUNTIF(Таблица1[Order ID],Таблица1[[#This Row],[Order ID]])</f>
        <v>0.33333333333333331</v>
      </c>
      <c r="Z2401" s="9">
        <f>1/COUNTIFS(Таблица1[Customer Name],Таблица1[[#This Row],[Customer Name]],Таблица1[Order-Year-Month],Таблица1[[#This Row],[Order-Year-Month]])</f>
        <v>0.33333333333333331</v>
      </c>
    </row>
    <row r="2402" spans="1:26" x14ac:dyDescent="0.2">
      <c r="A2402" s="6">
        <v>6341</v>
      </c>
      <c r="B2402" s="7">
        <v>44960</v>
      </c>
      <c r="C2402" s="8">
        <f>DATE(2012,12,31)-608</f>
        <v>40666</v>
      </c>
      <c r="D2402" s="8" t="str">
        <f t="shared" si="47"/>
        <v>2011-05 (май 2011)</v>
      </c>
      <c r="E2402" s="9" t="s">
        <v>21</v>
      </c>
      <c r="F2402" s="7">
        <v>22</v>
      </c>
      <c r="G2402" s="7">
        <v>180.92</v>
      </c>
      <c r="H2402" s="7">
        <v>0.1</v>
      </c>
      <c r="I2402" s="9" t="s">
        <v>22</v>
      </c>
      <c r="J2402" s="10">
        <v>-82.54</v>
      </c>
      <c r="K2402" s="11">
        <v>8.57</v>
      </c>
      <c r="L2402" s="11">
        <v>6.14</v>
      </c>
      <c r="M2402" s="9" t="s">
        <v>1246</v>
      </c>
      <c r="N2402" s="6" t="s">
        <v>1123</v>
      </c>
      <c r="O2402" s="6" t="s">
        <v>1123</v>
      </c>
      <c r="P2402" s="9" t="s">
        <v>33</v>
      </c>
      <c r="Q2402" s="9" t="s">
        <v>26</v>
      </c>
      <c r="R2402" s="9" t="s">
        <v>150</v>
      </c>
      <c r="S2402" s="7" t="s">
        <v>1388</v>
      </c>
      <c r="T2402" s="9" t="s">
        <v>52</v>
      </c>
      <c r="U2402" s="7">
        <v>0.59</v>
      </c>
      <c r="V2402" s="12">
        <f>C2402+0</f>
        <v>40666</v>
      </c>
      <c r="W2402">
        <f>IF(D2402=' Pivot Tables'!$A$4,1,0)</f>
        <v>0</v>
      </c>
      <c r="X2402">
        <f>IF(AND(LEFT(D2402,4)+1=LEFT(' Pivot Tables'!$A$4,4)+0,RIGHT(LEFT(D2402,7),2)=RIGHT(LEFT(' Pivot Tables'!$A$4,7),2)),1,0)</f>
        <v>0</v>
      </c>
      <c r="Y2402" s="6">
        <f>1/COUNTIF(Таблица1[Order ID],Таблица1[[#This Row],[Order ID]])</f>
        <v>0.33333333333333331</v>
      </c>
      <c r="Z2402" s="9">
        <f>1/COUNTIFS(Таблица1[Customer Name],Таблица1[[#This Row],[Customer Name]],Таблица1[Order-Year-Month],Таблица1[[#This Row],[Order-Year-Month]])</f>
        <v>0.33333333333333331</v>
      </c>
    </row>
    <row r="2403" spans="1:26" x14ac:dyDescent="0.2">
      <c r="A2403" s="6">
        <v>6342</v>
      </c>
      <c r="B2403" s="7">
        <v>44960</v>
      </c>
      <c r="C2403" s="8">
        <f>DATE(2012,12,31)-608</f>
        <v>40666</v>
      </c>
      <c r="D2403" s="8" t="str">
        <f t="shared" si="47"/>
        <v>2011-05 (май 2011)</v>
      </c>
      <c r="E2403" s="9" t="s">
        <v>21</v>
      </c>
      <c r="F2403" s="7">
        <v>17</v>
      </c>
      <c r="G2403" s="7">
        <v>31.68</v>
      </c>
      <c r="H2403" s="7">
        <v>0.04</v>
      </c>
      <c r="I2403" s="9" t="s">
        <v>22</v>
      </c>
      <c r="J2403" s="10">
        <v>-23.69</v>
      </c>
      <c r="K2403" s="11">
        <v>1.7</v>
      </c>
      <c r="L2403" s="11">
        <v>1.99</v>
      </c>
      <c r="M2403" s="9" t="s">
        <v>1246</v>
      </c>
      <c r="N2403" s="6" t="s">
        <v>1123</v>
      </c>
      <c r="O2403" s="6" t="s">
        <v>1123</v>
      </c>
      <c r="P2403" s="9" t="s">
        <v>33</v>
      </c>
      <c r="Q2403" s="9" t="s">
        <v>42</v>
      </c>
      <c r="R2403" s="9" t="s">
        <v>70</v>
      </c>
      <c r="S2403" s="7" t="s">
        <v>945</v>
      </c>
      <c r="T2403" s="9" t="s">
        <v>52</v>
      </c>
      <c r="U2403" s="7">
        <v>0.51</v>
      </c>
      <c r="V2403" s="12">
        <f>C2403+4</f>
        <v>40670</v>
      </c>
      <c r="W2403">
        <f>IF(D2403=' Pivot Tables'!$A$4,1,0)</f>
        <v>0</v>
      </c>
      <c r="X2403">
        <f>IF(AND(LEFT(D2403,4)+1=LEFT(' Pivot Tables'!$A$4,4)+0,RIGHT(LEFT(D2403,7),2)=RIGHT(LEFT(' Pivot Tables'!$A$4,7),2)),1,0)</f>
        <v>0</v>
      </c>
      <c r="Y2403" s="6">
        <f>1/COUNTIF(Таблица1[Order ID],Таблица1[[#This Row],[Order ID]])</f>
        <v>0.33333333333333331</v>
      </c>
      <c r="Z2403" s="9">
        <f>1/COUNTIFS(Таблица1[Customer Name],Таблица1[[#This Row],[Customer Name]],Таблица1[Order-Year-Month],Таблица1[[#This Row],[Order-Year-Month]])</f>
        <v>0.33333333333333331</v>
      </c>
    </row>
    <row r="2404" spans="1:26" x14ac:dyDescent="0.2">
      <c r="A2404" s="6">
        <v>6346</v>
      </c>
      <c r="B2404" s="7">
        <v>44992</v>
      </c>
      <c r="C2404" s="8">
        <f>DATE(2012,12,31)-7</f>
        <v>41267</v>
      </c>
      <c r="D2404" s="8" t="str">
        <f t="shared" si="47"/>
        <v>2012-12 (декабрь 2012)</v>
      </c>
      <c r="E2404" s="9" t="s">
        <v>78</v>
      </c>
      <c r="F2404" s="7">
        <v>32</v>
      </c>
      <c r="G2404" s="7">
        <v>1673.53</v>
      </c>
      <c r="H2404" s="7">
        <v>0</v>
      </c>
      <c r="I2404" s="9" t="s">
        <v>22</v>
      </c>
      <c r="J2404" s="10">
        <v>524.73</v>
      </c>
      <c r="K2404" s="11">
        <v>51.98</v>
      </c>
      <c r="L2404" s="11">
        <v>10.17</v>
      </c>
      <c r="M2404" s="9" t="s">
        <v>1252</v>
      </c>
      <c r="N2404" s="6" t="s">
        <v>1123</v>
      </c>
      <c r="O2404" s="6" t="s">
        <v>1123</v>
      </c>
      <c r="P2404" s="9" t="s">
        <v>41</v>
      </c>
      <c r="Q2404" s="9" t="s">
        <v>42</v>
      </c>
      <c r="R2404" s="9" t="s">
        <v>210</v>
      </c>
      <c r="S2404" s="7" t="s">
        <v>1215</v>
      </c>
      <c r="T2404" s="9" t="s">
        <v>48</v>
      </c>
      <c r="U2404" s="7">
        <v>0.37</v>
      </c>
      <c r="V2404" s="12">
        <f>C2404+2</f>
        <v>41269</v>
      </c>
      <c r="W2404">
        <f>IF(D2404=' Pivot Tables'!$A$4,1,0)</f>
        <v>0</v>
      </c>
      <c r="X2404">
        <f>IF(AND(LEFT(D2404,4)+1=LEFT(' Pivot Tables'!$A$4,4)+0,RIGHT(LEFT(D2404,7),2)=RIGHT(LEFT(' Pivot Tables'!$A$4,7),2)),1,0)</f>
        <v>0</v>
      </c>
      <c r="Y2404" s="6">
        <f>1/COUNTIF(Таблица1[Order ID],Таблица1[[#This Row],[Order ID]])</f>
        <v>0.5</v>
      </c>
      <c r="Z2404" s="9">
        <f>1/COUNTIFS(Таблица1[Customer Name],Таблица1[[#This Row],[Customer Name]],Таблица1[Order-Year-Month],Таблица1[[#This Row],[Order-Year-Month]])</f>
        <v>0.5</v>
      </c>
    </row>
    <row r="2405" spans="1:26" x14ac:dyDescent="0.2">
      <c r="A2405" s="6">
        <v>6347</v>
      </c>
      <c r="B2405" s="7">
        <v>44992</v>
      </c>
      <c r="C2405" s="8">
        <f>DATE(2012,12,31)-7</f>
        <v>41267</v>
      </c>
      <c r="D2405" s="8" t="str">
        <f t="shared" si="47"/>
        <v>2012-12 (декабрь 2012)</v>
      </c>
      <c r="E2405" s="9" t="s">
        <v>78</v>
      </c>
      <c r="F2405" s="7">
        <v>32</v>
      </c>
      <c r="G2405" s="7">
        <v>7110.24</v>
      </c>
      <c r="H2405" s="7">
        <v>0.06</v>
      </c>
      <c r="I2405" s="9" t="s">
        <v>31</v>
      </c>
      <c r="J2405" s="10">
        <v>-536.16600000000005</v>
      </c>
      <c r="K2405" s="11">
        <v>218.75</v>
      </c>
      <c r="L2405" s="11">
        <v>69.64</v>
      </c>
      <c r="M2405" s="9" t="s">
        <v>1252</v>
      </c>
      <c r="N2405" s="6" t="s">
        <v>1123</v>
      </c>
      <c r="O2405" s="6" t="s">
        <v>1123</v>
      </c>
      <c r="P2405" s="9" t="s">
        <v>41</v>
      </c>
      <c r="Q2405" s="9" t="s">
        <v>49</v>
      </c>
      <c r="R2405" s="9" t="s">
        <v>83</v>
      </c>
      <c r="S2405" s="7" t="s">
        <v>254</v>
      </c>
      <c r="T2405" s="9" t="s">
        <v>82</v>
      </c>
      <c r="U2405" s="7">
        <v>0.72</v>
      </c>
      <c r="V2405" s="12">
        <f>C2405+2</f>
        <v>41269</v>
      </c>
      <c r="W2405">
        <f>IF(D2405=' Pivot Tables'!$A$4,1,0)</f>
        <v>0</v>
      </c>
      <c r="X2405">
        <f>IF(AND(LEFT(D2405,4)+1=LEFT(' Pivot Tables'!$A$4,4)+0,RIGHT(LEFT(D2405,7),2)=RIGHT(LEFT(' Pivot Tables'!$A$4,7),2)),1,0)</f>
        <v>0</v>
      </c>
      <c r="Y2405" s="6">
        <f>1/COUNTIF(Таблица1[Order ID],Таблица1[[#This Row],[Order ID]])</f>
        <v>0.5</v>
      </c>
      <c r="Z2405" s="9">
        <f>1/COUNTIFS(Таблица1[Customer Name],Таблица1[[#This Row],[Customer Name]],Таблица1[Order-Year-Month],Таблица1[[#This Row],[Order-Year-Month]])</f>
        <v>0.5</v>
      </c>
    </row>
    <row r="2406" spans="1:26" x14ac:dyDescent="0.2">
      <c r="A2406" s="6">
        <v>6359</v>
      </c>
      <c r="B2406" s="7">
        <v>45125</v>
      </c>
      <c r="C2406" s="8">
        <f>DATE(2012,12,31)-217</f>
        <v>41057</v>
      </c>
      <c r="D2406" s="8" t="str">
        <f t="shared" si="47"/>
        <v>2012-05 (май 2012)</v>
      </c>
      <c r="E2406" s="9" t="s">
        <v>78</v>
      </c>
      <c r="F2406" s="7">
        <v>6</v>
      </c>
      <c r="G2406" s="7">
        <v>975.5</v>
      </c>
      <c r="H2406" s="7">
        <v>0.09</v>
      </c>
      <c r="I2406" s="9" t="s">
        <v>31</v>
      </c>
      <c r="J2406" s="10">
        <v>-252.01</v>
      </c>
      <c r="K2406" s="11">
        <v>160.97999999999999</v>
      </c>
      <c r="L2406" s="11">
        <v>35.020000000000003</v>
      </c>
      <c r="M2406" s="9" t="s">
        <v>1265</v>
      </c>
      <c r="N2406" s="6" t="s">
        <v>1123</v>
      </c>
      <c r="O2406" s="6" t="s">
        <v>1123</v>
      </c>
      <c r="P2406" s="9" t="s">
        <v>60</v>
      </c>
      <c r="Q2406" s="9" t="s">
        <v>49</v>
      </c>
      <c r="R2406" s="9" t="s">
        <v>80</v>
      </c>
      <c r="S2406" s="7" t="s">
        <v>367</v>
      </c>
      <c r="T2406" s="9" t="s">
        <v>82</v>
      </c>
      <c r="U2406" s="7">
        <v>0.72</v>
      </c>
      <c r="V2406" s="12">
        <f>C2406+1</f>
        <v>41058</v>
      </c>
      <c r="W2406">
        <f>IF(D2406=' Pivot Tables'!$A$4,1,0)</f>
        <v>0</v>
      </c>
      <c r="X2406">
        <f>IF(AND(LEFT(D2406,4)+1=LEFT(' Pivot Tables'!$A$4,4)+0,RIGHT(LEFT(D2406,7),2)=RIGHT(LEFT(' Pivot Tables'!$A$4,7),2)),1,0)</f>
        <v>0</v>
      </c>
      <c r="Y2406" s="6">
        <f>1/COUNTIF(Таблица1[Order ID],Таблица1[[#This Row],[Order ID]])</f>
        <v>0.5</v>
      </c>
      <c r="Z2406" s="9">
        <f>1/COUNTIFS(Таблица1[Customer Name],Таблица1[[#This Row],[Customer Name]],Таблица1[Order-Year-Month],Таблица1[[#This Row],[Order-Year-Month]])</f>
        <v>0.5</v>
      </c>
    </row>
    <row r="2407" spans="1:26" x14ac:dyDescent="0.2">
      <c r="A2407" s="6">
        <v>6360</v>
      </c>
      <c r="B2407" s="7">
        <v>45125</v>
      </c>
      <c r="C2407" s="8">
        <f>DATE(2012,12,31)-217</f>
        <v>41057</v>
      </c>
      <c r="D2407" s="8" t="str">
        <f t="shared" si="47"/>
        <v>2012-05 (май 2012)</v>
      </c>
      <c r="E2407" s="9" t="s">
        <v>78</v>
      </c>
      <c r="F2407" s="7">
        <v>32</v>
      </c>
      <c r="G2407" s="7">
        <v>4834.8</v>
      </c>
      <c r="H2407" s="7">
        <v>0</v>
      </c>
      <c r="I2407" s="9" t="s">
        <v>22</v>
      </c>
      <c r="J2407" s="10">
        <v>1193.1120000000001</v>
      </c>
      <c r="K2407" s="11">
        <v>175.99</v>
      </c>
      <c r="L2407" s="11">
        <v>4.99</v>
      </c>
      <c r="M2407" s="9" t="s">
        <v>1265</v>
      </c>
      <c r="N2407" s="6" t="s">
        <v>1123</v>
      </c>
      <c r="O2407" s="6" t="s">
        <v>1123</v>
      </c>
      <c r="P2407" s="9" t="s">
        <v>60</v>
      </c>
      <c r="Q2407" s="9" t="s">
        <v>42</v>
      </c>
      <c r="R2407" s="9" t="s">
        <v>43</v>
      </c>
      <c r="S2407" s="7" t="s">
        <v>771</v>
      </c>
      <c r="T2407" s="9" t="s">
        <v>39</v>
      </c>
      <c r="U2407" s="7">
        <v>0.59</v>
      </c>
      <c r="V2407" s="12">
        <f>C2407+1</f>
        <v>41058</v>
      </c>
      <c r="W2407">
        <f>IF(D2407=' Pivot Tables'!$A$4,1,0)</f>
        <v>0</v>
      </c>
      <c r="X2407">
        <f>IF(AND(LEFT(D2407,4)+1=LEFT(' Pivot Tables'!$A$4,4)+0,RIGHT(LEFT(D2407,7),2)=RIGHT(LEFT(' Pivot Tables'!$A$4,7),2)),1,0)</f>
        <v>0</v>
      </c>
      <c r="Y2407" s="6">
        <f>1/COUNTIF(Таблица1[Order ID],Таблица1[[#This Row],[Order ID]])</f>
        <v>0.5</v>
      </c>
      <c r="Z2407" s="9">
        <f>1/COUNTIFS(Таблица1[Customer Name],Таблица1[[#This Row],[Customer Name]],Таблица1[Order-Year-Month],Таблица1[[#This Row],[Order-Year-Month]])</f>
        <v>0.5</v>
      </c>
    </row>
    <row r="2408" spans="1:26" x14ac:dyDescent="0.2">
      <c r="A2408" s="6">
        <v>6371</v>
      </c>
      <c r="B2408" s="7">
        <v>45190</v>
      </c>
      <c r="C2408" s="8">
        <f>DATE(2012,12,31)-773</f>
        <v>40501</v>
      </c>
      <c r="D2408" s="8" t="str">
        <f t="shared" si="47"/>
        <v>2010-11 (ноябрь 2010)</v>
      </c>
      <c r="E2408" s="9" t="s">
        <v>30</v>
      </c>
      <c r="F2408" s="7">
        <v>13</v>
      </c>
      <c r="G2408" s="7">
        <v>2084.96</v>
      </c>
      <c r="H2408" s="7">
        <v>0</v>
      </c>
      <c r="I2408" s="9" t="s">
        <v>31</v>
      </c>
      <c r="J2408" s="10">
        <v>135.26</v>
      </c>
      <c r="K2408" s="11">
        <v>150.97999999999999</v>
      </c>
      <c r="L2408" s="11">
        <v>43.71</v>
      </c>
      <c r="M2408" s="9" t="s">
        <v>1295</v>
      </c>
      <c r="N2408" s="6" t="s">
        <v>1123</v>
      </c>
      <c r="O2408" s="6" t="s">
        <v>1123</v>
      </c>
      <c r="P2408" s="9" t="s">
        <v>25</v>
      </c>
      <c r="Q2408" s="9" t="s">
        <v>49</v>
      </c>
      <c r="R2408" s="9" t="s">
        <v>112</v>
      </c>
      <c r="S2408" s="7" t="s">
        <v>1275</v>
      </c>
      <c r="T2408" s="9" t="s">
        <v>36</v>
      </c>
      <c r="U2408" s="7">
        <v>0.55000000000000004</v>
      </c>
      <c r="V2408" s="12">
        <f>C2408+0</f>
        <v>40501</v>
      </c>
      <c r="W2408">
        <f>IF(D2408=' Pivot Tables'!$A$4,1,0)</f>
        <v>0</v>
      </c>
      <c r="X2408">
        <f>IF(AND(LEFT(D2408,4)+1=LEFT(' Pivot Tables'!$A$4,4)+0,RIGHT(LEFT(D2408,7),2)=RIGHT(LEFT(' Pivot Tables'!$A$4,7),2)),1,0)</f>
        <v>0</v>
      </c>
      <c r="Y2408" s="6">
        <f>1/COUNTIF(Таблица1[Order ID],Таблица1[[#This Row],[Order ID]])</f>
        <v>1</v>
      </c>
      <c r="Z2408" s="9">
        <f>1/COUNTIFS(Таблица1[Customer Name],Таблица1[[#This Row],[Customer Name]],Таблица1[Order-Year-Month],Таблица1[[#This Row],[Order-Year-Month]])</f>
        <v>1</v>
      </c>
    </row>
    <row r="2409" spans="1:26" x14ac:dyDescent="0.2">
      <c r="A2409" s="6">
        <v>6401</v>
      </c>
      <c r="B2409" s="7">
        <v>45414</v>
      </c>
      <c r="C2409" s="8">
        <f>DATE(2012,12,31)-1419</f>
        <v>39855</v>
      </c>
      <c r="D2409" s="8" t="str">
        <f t="shared" si="47"/>
        <v>2009-02 (февраль 2009)</v>
      </c>
      <c r="E2409" s="9" t="s">
        <v>78</v>
      </c>
      <c r="F2409" s="7">
        <v>17</v>
      </c>
      <c r="G2409" s="7">
        <v>1002.73</v>
      </c>
      <c r="H2409" s="7">
        <v>0.08</v>
      </c>
      <c r="I2409" s="9" t="s">
        <v>22</v>
      </c>
      <c r="J2409" s="10">
        <v>-563.86</v>
      </c>
      <c r="K2409" s="11">
        <v>60.98</v>
      </c>
      <c r="L2409" s="11">
        <v>49</v>
      </c>
      <c r="M2409" s="9" t="s">
        <v>1295</v>
      </c>
      <c r="N2409" s="6" t="s">
        <v>1123</v>
      </c>
      <c r="O2409" s="6" t="s">
        <v>1123</v>
      </c>
      <c r="P2409" s="9" t="s">
        <v>33</v>
      </c>
      <c r="Q2409" s="9" t="s">
        <v>26</v>
      </c>
      <c r="R2409" s="9" t="s">
        <v>34</v>
      </c>
      <c r="S2409" s="7" t="s">
        <v>472</v>
      </c>
      <c r="T2409" s="9" t="s">
        <v>29</v>
      </c>
      <c r="U2409" s="7">
        <v>0.59</v>
      </c>
      <c r="V2409" s="12">
        <f>C2409+1</f>
        <v>39856</v>
      </c>
      <c r="W2409">
        <f>IF(D2409=' Pivot Tables'!$A$4,1,0)</f>
        <v>0</v>
      </c>
      <c r="X2409">
        <f>IF(AND(LEFT(D2409,4)+1=LEFT(' Pivot Tables'!$A$4,4)+0,RIGHT(LEFT(D2409,7),2)=RIGHT(LEFT(' Pivot Tables'!$A$4,7),2)),1,0)</f>
        <v>0</v>
      </c>
      <c r="Y2409" s="6">
        <f>1/COUNTIF(Таблица1[Order ID],Таблица1[[#This Row],[Order ID]])</f>
        <v>1</v>
      </c>
      <c r="Z2409" s="9">
        <f>1/COUNTIFS(Таблица1[Customer Name],Таблица1[[#This Row],[Customer Name]],Таблица1[Order-Year-Month],Таблица1[[#This Row],[Order-Year-Month]])</f>
        <v>1</v>
      </c>
    </row>
    <row r="2410" spans="1:26" x14ac:dyDescent="0.2">
      <c r="A2410" s="6">
        <v>6429</v>
      </c>
      <c r="B2410" s="7">
        <v>45700</v>
      </c>
      <c r="C2410" s="8">
        <f>DATE(2012,12,31)-48</f>
        <v>41226</v>
      </c>
      <c r="D2410" s="8" t="str">
        <f t="shared" si="47"/>
        <v>2012-11 (ноябрь 2012)</v>
      </c>
      <c r="E2410" s="9" t="s">
        <v>30</v>
      </c>
      <c r="F2410" s="7">
        <v>43</v>
      </c>
      <c r="G2410" s="7">
        <v>1704.58</v>
      </c>
      <c r="H2410" s="7">
        <v>0.02</v>
      </c>
      <c r="I2410" s="9" t="s">
        <v>22</v>
      </c>
      <c r="J2410" s="10">
        <v>518.48</v>
      </c>
      <c r="K2410" s="11">
        <v>38.06</v>
      </c>
      <c r="L2410" s="11">
        <v>4.5</v>
      </c>
      <c r="M2410" s="9" t="s">
        <v>1326</v>
      </c>
      <c r="N2410" s="6" t="s">
        <v>1123</v>
      </c>
      <c r="O2410" s="6" t="s">
        <v>1123</v>
      </c>
      <c r="P2410" s="9" t="s">
        <v>60</v>
      </c>
      <c r="Q2410" s="9" t="s">
        <v>26</v>
      </c>
      <c r="R2410" s="9" t="s">
        <v>34</v>
      </c>
      <c r="S2410" s="7" t="s">
        <v>1389</v>
      </c>
      <c r="T2410" s="9" t="s">
        <v>39</v>
      </c>
      <c r="U2410" s="7">
        <v>0.56000000000000005</v>
      </c>
      <c r="V2410" s="12">
        <f>C2410+0</f>
        <v>41226</v>
      </c>
      <c r="W2410">
        <f>IF(D2410=' Pivot Tables'!$A$4,1,0)</f>
        <v>0</v>
      </c>
      <c r="X2410">
        <f>IF(AND(LEFT(D2410,4)+1=LEFT(' Pivot Tables'!$A$4,4)+0,RIGHT(LEFT(D2410,7),2)=RIGHT(LEFT(' Pivot Tables'!$A$4,7),2)),1,0)</f>
        <v>0</v>
      </c>
      <c r="Y2410" s="6">
        <f>1/COUNTIF(Таблица1[Order ID],Таблица1[[#This Row],[Order ID]])</f>
        <v>1</v>
      </c>
      <c r="Z2410" s="9">
        <f>1/COUNTIFS(Таблица1[Customer Name],Таблица1[[#This Row],[Customer Name]],Таблица1[Order-Year-Month],Таблица1[[#This Row],[Order-Year-Month]])</f>
        <v>1</v>
      </c>
    </row>
    <row r="2411" spans="1:26" x14ac:dyDescent="0.2">
      <c r="A2411" s="6">
        <v>6443</v>
      </c>
      <c r="B2411" s="7">
        <v>45824</v>
      </c>
      <c r="C2411" s="8">
        <f>DATE(2012,12,31)-1121</f>
        <v>40153</v>
      </c>
      <c r="D2411" s="8" t="str">
        <f t="shared" si="47"/>
        <v>2009-12 (декабрь 2009)</v>
      </c>
      <c r="E2411" s="9" t="s">
        <v>45</v>
      </c>
      <c r="F2411" s="7">
        <v>44</v>
      </c>
      <c r="G2411" s="7">
        <v>6123.48</v>
      </c>
      <c r="H2411" s="7">
        <v>0.08</v>
      </c>
      <c r="I2411" s="9" t="s">
        <v>22</v>
      </c>
      <c r="J2411" s="10">
        <v>1232.79</v>
      </c>
      <c r="K2411" s="11">
        <v>140.81</v>
      </c>
      <c r="L2411" s="11">
        <v>24.49</v>
      </c>
      <c r="M2411" s="9" t="s">
        <v>1248</v>
      </c>
      <c r="N2411" s="6" t="s">
        <v>1123</v>
      </c>
      <c r="O2411" s="6" t="s">
        <v>1123</v>
      </c>
      <c r="P2411" s="9" t="s">
        <v>33</v>
      </c>
      <c r="Q2411" s="9" t="s">
        <v>49</v>
      </c>
      <c r="R2411" s="9" t="s">
        <v>112</v>
      </c>
      <c r="S2411" s="7" t="s">
        <v>314</v>
      </c>
      <c r="T2411" s="9" t="s">
        <v>29</v>
      </c>
      <c r="U2411" s="7">
        <v>0.56999999999999995</v>
      </c>
      <c r="V2411" s="12">
        <f>C2411+2</f>
        <v>40155</v>
      </c>
      <c r="W2411">
        <f>IF(D2411=' Pivot Tables'!$A$4,1,0)</f>
        <v>0</v>
      </c>
      <c r="X2411">
        <f>IF(AND(LEFT(D2411,4)+1=LEFT(' Pivot Tables'!$A$4,4)+0,RIGHT(LEFT(D2411,7),2)=RIGHT(LEFT(' Pivot Tables'!$A$4,7),2)),1,0)</f>
        <v>0</v>
      </c>
      <c r="Y2411" s="6">
        <f>1/COUNTIF(Таблица1[Order ID],Таблица1[[#This Row],[Order ID]])</f>
        <v>1</v>
      </c>
      <c r="Z2411" s="9">
        <f>1/COUNTIFS(Таблица1[Customer Name],Таблица1[[#This Row],[Customer Name]],Таблица1[Order-Year-Month],Таблица1[[#This Row],[Order-Year-Month]])</f>
        <v>1</v>
      </c>
    </row>
    <row r="2412" spans="1:26" x14ac:dyDescent="0.2">
      <c r="A2412" s="6">
        <v>6461</v>
      </c>
      <c r="B2412" s="7">
        <v>45991</v>
      </c>
      <c r="C2412" s="8">
        <f>DATE(2012,12,31)-686</f>
        <v>40588</v>
      </c>
      <c r="D2412" s="8" t="str">
        <f t="shared" si="47"/>
        <v>2011-02 (февраль 2011)</v>
      </c>
      <c r="E2412" s="9" t="s">
        <v>21</v>
      </c>
      <c r="F2412" s="7">
        <v>1</v>
      </c>
      <c r="G2412" s="7">
        <v>131.27000000000001</v>
      </c>
      <c r="H2412" s="7">
        <v>0.1</v>
      </c>
      <c r="I2412" s="9" t="s">
        <v>31</v>
      </c>
      <c r="J2412" s="10">
        <v>-68.16</v>
      </c>
      <c r="K2412" s="11">
        <v>100.98</v>
      </c>
      <c r="L2412" s="11">
        <v>35.840000000000003</v>
      </c>
      <c r="M2412" s="9" t="s">
        <v>1295</v>
      </c>
      <c r="N2412" s="6" t="s">
        <v>1123</v>
      </c>
      <c r="O2412" s="6" t="s">
        <v>1123</v>
      </c>
      <c r="P2412" s="9" t="s">
        <v>33</v>
      </c>
      <c r="Q2412" s="9" t="s">
        <v>49</v>
      </c>
      <c r="R2412" s="9" t="s">
        <v>80</v>
      </c>
      <c r="S2412" s="7" t="s">
        <v>705</v>
      </c>
      <c r="T2412" s="9" t="s">
        <v>82</v>
      </c>
      <c r="U2412" s="7">
        <v>0.62</v>
      </c>
      <c r="V2412" s="12">
        <f>C2412+2</f>
        <v>40590</v>
      </c>
      <c r="W2412">
        <f>IF(D2412=' Pivot Tables'!$A$4,1,0)</f>
        <v>0</v>
      </c>
      <c r="X2412">
        <f>IF(AND(LEFT(D2412,4)+1=LEFT(' Pivot Tables'!$A$4,4)+0,RIGHT(LEFT(D2412,7),2)=RIGHT(LEFT(' Pivot Tables'!$A$4,7),2)),1,0)</f>
        <v>0</v>
      </c>
      <c r="Y2412" s="6">
        <f>1/COUNTIF(Таблица1[Order ID],Таблица1[[#This Row],[Order ID]])</f>
        <v>0.5</v>
      </c>
      <c r="Z2412" s="9">
        <f>1/COUNTIFS(Таблица1[Customer Name],Таблица1[[#This Row],[Customer Name]],Таблица1[Order-Year-Month],Таблица1[[#This Row],[Order-Year-Month]])</f>
        <v>0.5</v>
      </c>
    </row>
    <row r="2413" spans="1:26" x14ac:dyDescent="0.2">
      <c r="A2413" s="6">
        <v>6462</v>
      </c>
      <c r="B2413" s="7">
        <v>45991</v>
      </c>
      <c r="C2413" s="8">
        <f>DATE(2012,12,31)-686</f>
        <v>40588</v>
      </c>
      <c r="D2413" s="8" t="str">
        <f t="shared" si="47"/>
        <v>2011-02 (февраль 2011)</v>
      </c>
      <c r="E2413" s="9" t="s">
        <v>21</v>
      </c>
      <c r="F2413" s="7">
        <v>50</v>
      </c>
      <c r="G2413" s="7">
        <v>196.39</v>
      </c>
      <c r="H2413" s="7">
        <v>7.0000000000000007E-2</v>
      </c>
      <c r="I2413" s="9" t="s">
        <v>22</v>
      </c>
      <c r="J2413" s="10">
        <v>82.6</v>
      </c>
      <c r="K2413" s="11">
        <v>4.13</v>
      </c>
      <c r="L2413" s="11">
        <v>0.5</v>
      </c>
      <c r="M2413" s="9" t="s">
        <v>1295</v>
      </c>
      <c r="N2413" s="6" t="s">
        <v>1123</v>
      </c>
      <c r="O2413" s="6" t="s">
        <v>1123</v>
      </c>
      <c r="P2413" s="9" t="s">
        <v>33</v>
      </c>
      <c r="Q2413" s="9" t="s">
        <v>26</v>
      </c>
      <c r="R2413" s="9" t="s">
        <v>88</v>
      </c>
      <c r="S2413" s="7" t="s">
        <v>184</v>
      </c>
      <c r="T2413" s="9" t="s">
        <v>39</v>
      </c>
      <c r="U2413" s="7">
        <v>0.39</v>
      </c>
      <c r="V2413" s="12">
        <f>C2413+4</f>
        <v>40592</v>
      </c>
      <c r="W2413">
        <f>IF(D2413=' Pivot Tables'!$A$4,1,0)</f>
        <v>0</v>
      </c>
      <c r="X2413">
        <f>IF(AND(LEFT(D2413,4)+1=LEFT(' Pivot Tables'!$A$4,4)+0,RIGHT(LEFT(D2413,7),2)=RIGHT(LEFT(' Pivot Tables'!$A$4,7),2)),1,0)</f>
        <v>0</v>
      </c>
      <c r="Y2413" s="6">
        <f>1/COUNTIF(Таблица1[Order ID],Таблица1[[#This Row],[Order ID]])</f>
        <v>0.5</v>
      </c>
      <c r="Z2413" s="9">
        <f>1/COUNTIFS(Таблица1[Customer Name],Таблица1[[#This Row],[Customer Name]],Таблица1[Order-Year-Month],Таблица1[[#This Row],[Order-Year-Month]])</f>
        <v>0.5</v>
      </c>
    </row>
    <row r="2414" spans="1:26" x14ac:dyDescent="0.2">
      <c r="A2414" s="6">
        <v>6502</v>
      </c>
      <c r="B2414" s="7">
        <v>46307</v>
      </c>
      <c r="C2414" s="8">
        <f>DATE(2012,12,31)-694</f>
        <v>40580</v>
      </c>
      <c r="D2414" s="8" t="str">
        <f t="shared" si="47"/>
        <v>2011-02 (февраль 2011)</v>
      </c>
      <c r="E2414" s="9" t="s">
        <v>63</v>
      </c>
      <c r="F2414" s="7">
        <v>32</v>
      </c>
      <c r="G2414" s="7">
        <v>643.53</v>
      </c>
      <c r="H2414" s="7">
        <v>0.05</v>
      </c>
      <c r="I2414" s="9" t="s">
        <v>22</v>
      </c>
      <c r="J2414" s="10">
        <v>175.97</v>
      </c>
      <c r="K2414" s="11">
        <v>19.98</v>
      </c>
      <c r="L2414" s="11">
        <v>5.77</v>
      </c>
      <c r="M2414" s="9" t="s">
        <v>1322</v>
      </c>
      <c r="N2414" s="6" t="s">
        <v>1123</v>
      </c>
      <c r="O2414" s="6" t="s">
        <v>1123</v>
      </c>
      <c r="P2414" s="9" t="s">
        <v>33</v>
      </c>
      <c r="Q2414" s="9" t="s">
        <v>26</v>
      </c>
      <c r="R2414" s="9" t="s">
        <v>61</v>
      </c>
      <c r="S2414" s="7" t="s">
        <v>197</v>
      </c>
      <c r="T2414" s="9" t="s">
        <v>39</v>
      </c>
      <c r="U2414" s="7">
        <v>0.38</v>
      </c>
      <c r="V2414" s="12">
        <f>C2414+0</f>
        <v>40580</v>
      </c>
      <c r="W2414">
        <f>IF(D2414=' Pivot Tables'!$A$4,1,0)</f>
        <v>0</v>
      </c>
      <c r="X2414">
        <f>IF(AND(LEFT(D2414,4)+1=LEFT(' Pivot Tables'!$A$4,4)+0,RIGHT(LEFT(D2414,7),2)=RIGHT(LEFT(' Pivot Tables'!$A$4,7),2)),1,0)</f>
        <v>0</v>
      </c>
      <c r="Y2414" s="6">
        <f>1/COUNTIF(Таблица1[Order ID],Таблица1[[#This Row],[Order ID]])</f>
        <v>0.5</v>
      </c>
      <c r="Z2414" s="9">
        <f>1/COUNTIFS(Таблица1[Customer Name],Таблица1[[#This Row],[Customer Name]],Таблица1[Order-Year-Month],Таблица1[[#This Row],[Order-Year-Month]])</f>
        <v>0.5</v>
      </c>
    </row>
    <row r="2415" spans="1:26" x14ac:dyDescent="0.2">
      <c r="A2415" s="6">
        <v>6503</v>
      </c>
      <c r="B2415" s="7">
        <v>46307</v>
      </c>
      <c r="C2415" s="8">
        <f>DATE(2012,12,31)-694</f>
        <v>40580</v>
      </c>
      <c r="D2415" s="8" t="str">
        <f t="shared" si="47"/>
        <v>2011-02 (февраль 2011)</v>
      </c>
      <c r="E2415" s="9" t="s">
        <v>63</v>
      </c>
      <c r="F2415" s="7">
        <v>27</v>
      </c>
      <c r="G2415" s="7">
        <v>1217.77</v>
      </c>
      <c r="H2415" s="7">
        <v>0.01</v>
      </c>
      <c r="I2415" s="9" t="s">
        <v>22</v>
      </c>
      <c r="J2415" s="10">
        <v>283.14</v>
      </c>
      <c r="K2415" s="11">
        <v>42.76</v>
      </c>
      <c r="L2415" s="11">
        <v>6.22</v>
      </c>
      <c r="M2415" s="9" t="s">
        <v>1322</v>
      </c>
      <c r="N2415" s="6" t="s">
        <v>1123</v>
      </c>
      <c r="O2415" s="6" t="s">
        <v>1123</v>
      </c>
      <c r="P2415" s="9" t="s">
        <v>33</v>
      </c>
      <c r="Q2415" s="9" t="s">
        <v>26</v>
      </c>
      <c r="R2415" s="9" t="s">
        <v>27</v>
      </c>
      <c r="S2415" s="7" t="s">
        <v>55</v>
      </c>
      <c r="T2415" s="9" t="s">
        <v>39</v>
      </c>
      <c r="U2415" s="7"/>
      <c r="V2415" s="12">
        <f>C2415+3</f>
        <v>40583</v>
      </c>
      <c r="W2415">
        <f>IF(D2415=' Pivot Tables'!$A$4,1,0)</f>
        <v>0</v>
      </c>
      <c r="X2415">
        <f>IF(AND(LEFT(D2415,4)+1=LEFT(' Pivot Tables'!$A$4,4)+0,RIGHT(LEFT(D2415,7),2)=RIGHT(LEFT(' Pivot Tables'!$A$4,7),2)),1,0)</f>
        <v>0</v>
      </c>
      <c r="Y2415" s="6">
        <f>1/COUNTIF(Таблица1[Order ID],Таблица1[[#This Row],[Order ID]])</f>
        <v>0.5</v>
      </c>
      <c r="Z2415" s="9">
        <f>1/COUNTIFS(Таблица1[Customer Name],Таблица1[[#This Row],[Customer Name]],Таблица1[Order-Year-Month],Таблица1[[#This Row],[Order-Year-Month]])</f>
        <v>0.5</v>
      </c>
    </row>
    <row r="2416" spans="1:26" x14ac:dyDescent="0.2">
      <c r="A2416" s="6">
        <v>6524</v>
      </c>
      <c r="B2416" s="7">
        <v>46434</v>
      </c>
      <c r="C2416" s="8">
        <f>DATE(2012,12,31)-1005</f>
        <v>40269</v>
      </c>
      <c r="D2416" s="8" t="str">
        <f t="shared" si="47"/>
        <v>2010-04 (апрель 2010)</v>
      </c>
      <c r="E2416" s="9" t="s">
        <v>78</v>
      </c>
      <c r="F2416" s="7">
        <v>34</v>
      </c>
      <c r="G2416" s="7">
        <v>800.39</v>
      </c>
      <c r="H2416" s="7">
        <v>0.06</v>
      </c>
      <c r="I2416" s="9" t="s">
        <v>22</v>
      </c>
      <c r="J2416" s="10">
        <v>270.29149999999998</v>
      </c>
      <c r="K2416" s="11">
        <v>24.95</v>
      </c>
      <c r="L2416" s="11">
        <v>2.99</v>
      </c>
      <c r="M2416" s="9" t="s">
        <v>1014</v>
      </c>
      <c r="N2416" s="6" t="s">
        <v>1123</v>
      </c>
      <c r="O2416" s="6" t="s">
        <v>1123</v>
      </c>
      <c r="P2416" s="9" t="s">
        <v>33</v>
      </c>
      <c r="Q2416" s="9" t="s">
        <v>26</v>
      </c>
      <c r="R2416" s="9" t="s">
        <v>37</v>
      </c>
      <c r="S2416" s="7" t="s">
        <v>1390</v>
      </c>
      <c r="T2416" s="9" t="s">
        <v>39</v>
      </c>
      <c r="U2416" s="7">
        <v>0.39</v>
      </c>
      <c r="V2416" s="12">
        <f>C2416+1</f>
        <v>40270</v>
      </c>
      <c r="W2416">
        <f>IF(D2416=' Pivot Tables'!$A$4,1,0)</f>
        <v>0</v>
      </c>
      <c r="X2416">
        <f>IF(AND(LEFT(D2416,4)+1=LEFT(' Pivot Tables'!$A$4,4)+0,RIGHT(LEFT(D2416,7),2)=RIGHT(LEFT(' Pivot Tables'!$A$4,7),2)),1,0)</f>
        <v>0</v>
      </c>
      <c r="Y2416" s="6">
        <f>1/COUNTIF(Таблица1[Order ID],Таблица1[[#This Row],[Order ID]])</f>
        <v>1</v>
      </c>
      <c r="Z2416" s="9">
        <f>1/COUNTIFS(Таблица1[Customer Name],Таблица1[[#This Row],[Customer Name]],Таблица1[Order-Year-Month],Таблица1[[#This Row],[Order-Year-Month]])</f>
        <v>1</v>
      </c>
    </row>
    <row r="2417" spans="1:26" x14ac:dyDescent="0.2">
      <c r="A2417" s="6">
        <v>6527</v>
      </c>
      <c r="B2417" s="7">
        <v>46466</v>
      </c>
      <c r="C2417" s="8">
        <f>DATE(2012,12,31)-314</f>
        <v>40960</v>
      </c>
      <c r="D2417" s="8" t="str">
        <f t="shared" si="47"/>
        <v>2012-02 (февраль 2012)</v>
      </c>
      <c r="E2417" s="9" t="s">
        <v>63</v>
      </c>
      <c r="F2417" s="7">
        <v>7</v>
      </c>
      <c r="G2417" s="7">
        <v>271.27</v>
      </c>
      <c r="H2417" s="7">
        <v>0.05</v>
      </c>
      <c r="I2417" s="9" t="s">
        <v>22</v>
      </c>
      <c r="J2417" s="10">
        <v>71.31</v>
      </c>
      <c r="K2417" s="11">
        <v>37.93</v>
      </c>
      <c r="L2417" s="11">
        <v>13.99</v>
      </c>
      <c r="M2417" s="9" t="s">
        <v>1328</v>
      </c>
      <c r="N2417" s="6" t="s">
        <v>1123</v>
      </c>
      <c r="O2417" s="6" t="s">
        <v>1123</v>
      </c>
      <c r="P2417" s="9" t="s">
        <v>60</v>
      </c>
      <c r="Q2417" s="9" t="s">
        <v>49</v>
      </c>
      <c r="R2417" s="9" t="s">
        <v>50</v>
      </c>
      <c r="S2417" s="7" t="s">
        <v>1391</v>
      </c>
      <c r="T2417" s="9" t="s">
        <v>68</v>
      </c>
      <c r="U2417" s="7">
        <v>0.67</v>
      </c>
      <c r="V2417" s="12">
        <f>C2417+1</f>
        <v>40961</v>
      </c>
      <c r="W2417">
        <f>IF(D2417=' Pivot Tables'!$A$4,1,0)</f>
        <v>0</v>
      </c>
      <c r="X2417">
        <f>IF(AND(LEFT(D2417,4)+1=LEFT(' Pivot Tables'!$A$4,4)+0,RIGHT(LEFT(D2417,7),2)=RIGHT(LEFT(' Pivot Tables'!$A$4,7),2)),1,0)</f>
        <v>0</v>
      </c>
      <c r="Y2417" s="6">
        <f>1/COUNTIF(Таблица1[Order ID],Таблица1[[#This Row],[Order ID]])</f>
        <v>1</v>
      </c>
      <c r="Z2417" s="9">
        <f>1/COUNTIFS(Таблица1[Customer Name],Таблица1[[#This Row],[Customer Name]],Таблица1[Order-Year-Month],Таблица1[[#This Row],[Order-Year-Month]])</f>
        <v>1</v>
      </c>
    </row>
    <row r="2418" spans="1:26" x14ac:dyDescent="0.2">
      <c r="A2418" s="6">
        <v>6538</v>
      </c>
      <c r="B2418" s="7">
        <v>46528</v>
      </c>
      <c r="C2418" s="8">
        <f>DATE(2012,12,31)-1121</f>
        <v>40153</v>
      </c>
      <c r="D2418" s="8" t="str">
        <f t="shared" si="47"/>
        <v>2009-12 (декабрь 2009)</v>
      </c>
      <c r="E2418" s="9" t="s">
        <v>63</v>
      </c>
      <c r="F2418" s="7">
        <v>43</v>
      </c>
      <c r="G2418" s="7">
        <v>2980.15</v>
      </c>
      <c r="H2418" s="7">
        <v>0.05</v>
      </c>
      <c r="I2418" s="9" t="s">
        <v>56</v>
      </c>
      <c r="J2418" s="10">
        <v>-865.98</v>
      </c>
      <c r="K2418" s="11">
        <v>70.709999999999994</v>
      </c>
      <c r="L2418" s="11">
        <v>37.58</v>
      </c>
      <c r="M2418" s="9" t="s">
        <v>1250</v>
      </c>
      <c r="N2418" s="6" t="s">
        <v>1123</v>
      </c>
      <c r="O2418" s="6" t="s">
        <v>1123</v>
      </c>
      <c r="P2418" s="9" t="s">
        <v>60</v>
      </c>
      <c r="Q2418" s="9" t="s">
        <v>49</v>
      </c>
      <c r="R2418" s="9" t="s">
        <v>50</v>
      </c>
      <c r="S2418" s="7" t="s">
        <v>724</v>
      </c>
      <c r="T2418" s="9" t="s">
        <v>68</v>
      </c>
      <c r="U2418" s="7">
        <v>0.78</v>
      </c>
      <c r="V2418" s="12">
        <f>C2418+2</f>
        <v>40155</v>
      </c>
      <c r="W2418">
        <f>IF(D2418=' Pivot Tables'!$A$4,1,0)</f>
        <v>0</v>
      </c>
      <c r="X2418">
        <f>IF(AND(LEFT(D2418,4)+1=LEFT(' Pivot Tables'!$A$4,4)+0,RIGHT(LEFT(D2418,7),2)=RIGHT(LEFT(' Pivot Tables'!$A$4,7),2)),1,0)</f>
        <v>0</v>
      </c>
      <c r="Y2418" s="6">
        <f>1/COUNTIF(Таблица1[Order ID],Таблица1[[#This Row],[Order ID]])</f>
        <v>0.5</v>
      </c>
      <c r="Z2418" s="9">
        <f>1/COUNTIFS(Таблица1[Customer Name],Таблица1[[#This Row],[Customer Name]],Таблица1[Order-Year-Month],Таблица1[[#This Row],[Order-Year-Month]])</f>
        <v>0.5</v>
      </c>
    </row>
    <row r="2419" spans="1:26" x14ac:dyDescent="0.2">
      <c r="A2419" s="6">
        <v>6539</v>
      </c>
      <c r="B2419" s="7">
        <v>46528</v>
      </c>
      <c r="C2419" s="8">
        <f>DATE(2012,12,31)-1121</f>
        <v>40153</v>
      </c>
      <c r="D2419" s="8" t="str">
        <f t="shared" si="47"/>
        <v>2009-12 (декабрь 2009)</v>
      </c>
      <c r="E2419" s="9" t="s">
        <v>63</v>
      </c>
      <c r="F2419" s="7">
        <v>23</v>
      </c>
      <c r="G2419" s="7">
        <v>476.04</v>
      </c>
      <c r="H2419" s="7">
        <v>0.01</v>
      </c>
      <c r="I2419" s="9" t="s">
        <v>22</v>
      </c>
      <c r="J2419" s="10">
        <v>57.25</v>
      </c>
      <c r="K2419" s="11">
        <v>18.97</v>
      </c>
      <c r="L2419" s="11">
        <v>9.5399999999999991</v>
      </c>
      <c r="M2419" s="9" t="s">
        <v>1250</v>
      </c>
      <c r="N2419" s="6" t="s">
        <v>1123</v>
      </c>
      <c r="O2419" s="6" t="s">
        <v>1123</v>
      </c>
      <c r="P2419" s="9" t="s">
        <v>60</v>
      </c>
      <c r="Q2419" s="9" t="s">
        <v>26</v>
      </c>
      <c r="R2419" s="9" t="s">
        <v>61</v>
      </c>
      <c r="S2419" s="7" t="s">
        <v>581</v>
      </c>
      <c r="T2419" s="9" t="s">
        <v>39</v>
      </c>
      <c r="U2419" s="7">
        <v>0.37</v>
      </c>
      <c r="V2419" s="12">
        <f>C2419+3</f>
        <v>40156</v>
      </c>
      <c r="W2419">
        <f>IF(D2419=' Pivot Tables'!$A$4,1,0)</f>
        <v>0</v>
      </c>
      <c r="X2419">
        <f>IF(AND(LEFT(D2419,4)+1=LEFT(' Pivot Tables'!$A$4,4)+0,RIGHT(LEFT(D2419,7),2)=RIGHT(LEFT(' Pivot Tables'!$A$4,7),2)),1,0)</f>
        <v>0</v>
      </c>
      <c r="Y2419" s="6">
        <f>1/COUNTIF(Таблица1[Order ID],Таблица1[[#This Row],[Order ID]])</f>
        <v>0.5</v>
      </c>
      <c r="Z2419" s="9">
        <f>1/COUNTIFS(Таблица1[Customer Name],Таблица1[[#This Row],[Customer Name]],Таблица1[Order-Year-Month],Таблица1[[#This Row],[Order-Year-Month]])</f>
        <v>0.5</v>
      </c>
    </row>
    <row r="2420" spans="1:26" x14ac:dyDescent="0.2">
      <c r="A2420" s="6">
        <v>6558</v>
      </c>
      <c r="B2420" s="7">
        <v>46626</v>
      </c>
      <c r="C2420" s="8">
        <f>DATE(2012,12,31)-187</f>
        <v>41087</v>
      </c>
      <c r="D2420" s="8" t="str">
        <f t="shared" si="47"/>
        <v>2012-06 (июнь 2012)</v>
      </c>
      <c r="E2420" s="9" t="s">
        <v>21</v>
      </c>
      <c r="F2420" s="7">
        <v>8</v>
      </c>
      <c r="G2420" s="7">
        <v>825.96</v>
      </c>
      <c r="H2420" s="7">
        <v>0.01</v>
      </c>
      <c r="I2420" s="9" t="s">
        <v>31</v>
      </c>
      <c r="J2420" s="10">
        <v>-276.95</v>
      </c>
      <c r="K2420" s="11">
        <v>95.98</v>
      </c>
      <c r="L2420" s="11">
        <v>58.2</v>
      </c>
      <c r="M2420" s="9" t="s">
        <v>1313</v>
      </c>
      <c r="N2420" s="6" t="s">
        <v>1123</v>
      </c>
      <c r="O2420" s="6" t="s">
        <v>1123</v>
      </c>
      <c r="P2420" s="9" t="s">
        <v>60</v>
      </c>
      <c r="Q2420" s="9" t="s">
        <v>49</v>
      </c>
      <c r="R2420" s="9" t="s">
        <v>112</v>
      </c>
      <c r="S2420" s="7" t="s">
        <v>1321</v>
      </c>
      <c r="T2420" s="9" t="s">
        <v>36</v>
      </c>
      <c r="U2420" s="7">
        <v>0.57999999999999996</v>
      </c>
      <c r="V2420" s="12">
        <f>C2420+4</f>
        <v>41091</v>
      </c>
      <c r="W2420">
        <f>IF(D2420=' Pivot Tables'!$A$4,1,0)</f>
        <v>0</v>
      </c>
      <c r="X2420">
        <f>IF(AND(LEFT(D2420,4)+1=LEFT(' Pivot Tables'!$A$4,4)+0,RIGHT(LEFT(D2420,7),2)=RIGHT(LEFT(' Pivot Tables'!$A$4,7),2)),1,0)</f>
        <v>0</v>
      </c>
      <c r="Y2420" s="6">
        <f>1/COUNTIF(Таблица1[Order ID],Таблица1[[#This Row],[Order ID]])</f>
        <v>1</v>
      </c>
      <c r="Z2420" s="9">
        <f>1/COUNTIFS(Таблица1[Customer Name],Таблица1[[#This Row],[Customer Name]],Таблица1[Order-Year-Month],Таблица1[[#This Row],[Order-Year-Month]])</f>
        <v>1</v>
      </c>
    </row>
    <row r="2421" spans="1:26" x14ac:dyDescent="0.2">
      <c r="A2421" s="6">
        <v>6581</v>
      </c>
      <c r="B2421" s="7">
        <v>46853</v>
      </c>
      <c r="C2421" s="8">
        <f>DATE(2012,12,31)-1319</f>
        <v>39955</v>
      </c>
      <c r="D2421" s="8" t="str">
        <f t="shared" si="47"/>
        <v>2009-05 (май 2009)</v>
      </c>
      <c r="E2421" s="9" t="s">
        <v>21</v>
      </c>
      <c r="F2421" s="7">
        <v>22</v>
      </c>
      <c r="G2421" s="7">
        <v>5648.69</v>
      </c>
      <c r="H2421" s="7">
        <v>0.03</v>
      </c>
      <c r="I2421" s="9" t="s">
        <v>22</v>
      </c>
      <c r="J2421" s="10">
        <v>1489.8</v>
      </c>
      <c r="K2421" s="11">
        <v>256.99</v>
      </c>
      <c r="L2421" s="11">
        <v>11.25</v>
      </c>
      <c r="M2421" s="9" t="s">
        <v>1367</v>
      </c>
      <c r="N2421" s="6" t="s">
        <v>1123</v>
      </c>
      <c r="O2421" s="6" t="s">
        <v>1123</v>
      </c>
      <c r="P2421" s="9" t="s">
        <v>60</v>
      </c>
      <c r="Q2421" s="9" t="s">
        <v>42</v>
      </c>
      <c r="R2421" s="9" t="s">
        <v>70</v>
      </c>
      <c r="S2421" s="7" t="s">
        <v>931</v>
      </c>
      <c r="T2421" s="9" t="s">
        <v>39</v>
      </c>
      <c r="U2421" s="7">
        <v>0.51</v>
      </c>
      <c r="V2421" s="12">
        <f>C2421+0</f>
        <v>39955</v>
      </c>
      <c r="W2421">
        <f>IF(D2421=' Pivot Tables'!$A$4,1,0)</f>
        <v>0</v>
      </c>
      <c r="X2421">
        <f>IF(AND(LEFT(D2421,4)+1=LEFT(' Pivot Tables'!$A$4,4)+0,RIGHT(LEFT(D2421,7),2)=RIGHT(LEFT(' Pivot Tables'!$A$4,7),2)),1,0)</f>
        <v>0</v>
      </c>
      <c r="Y2421" s="6">
        <f>1/COUNTIF(Таблица1[Order ID],Таблица1[[#This Row],[Order ID]])</f>
        <v>1</v>
      </c>
      <c r="Z2421" s="9">
        <f>1/COUNTIFS(Таблица1[Customer Name],Таблица1[[#This Row],[Customer Name]],Таблица1[Order-Year-Month],Таблица1[[#This Row],[Order-Year-Month]])</f>
        <v>1</v>
      </c>
    </row>
    <row r="2422" spans="1:26" x14ac:dyDescent="0.2">
      <c r="A2422" s="6">
        <v>6582</v>
      </c>
      <c r="B2422" s="7">
        <v>46855</v>
      </c>
      <c r="C2422" s="8">
        <f>DATE(2012,12,31)-1032</f>
        <v>40242</v>
      </c>
      <c r="D2422" s="8" t="str">
        <f t="shared" si="47"/>
        <v>2010-03 (март 2010)</v>
      </c>
      <c r="E2422" s="9" t="s">
        <v>30</v>
      </c>
      <c r="F2422" s="7">
        <v>32</v>
      </c>
      <c r="G2422" s="7">
        <v>53.34</v>
      </c>
      <c r="H2422" s="7">
        <v>0.04</v>
      </c>
      <c r="I2422" s="9" t="s">
        <v>22</v>
      </c>
      <c r="J2422" s="10">
        <v>-4.68</v>
      </c>
      <c r="K2422" s="11">
        <v>1.68</v>
      </c>
      <c r="L2422" s="11">
        <v>0.7</v>
      </c>
      <c r="M2422" s="9" t="s">
        <v>1278</v>
      </c>
      <c r="N2422" s="6" t="s">
        <v>1123</v>
      </c>
      <c r="O2422" s="6" t="s">
        <v>1123</v>
      </c>
      <c r="P2422" s="9" t="s">
        <v>41</v>
      </c>
      <c r="Q2422" s="9" t="s">
        <v>49</v>
      </c>
      <c r="R2422" s="9" t="s">
        <v>50</v>
      </c>
      <c r="S2422" s="7" t="s">
        <v>654</v>
      </c>
      <c r="T2422" s="9" t="s">
        <v>68</v>
      </c>
      <c r="U2422" s="7">
        <v>0.68</v>
      </c>
      <c r="V2422" s="12">
        <f>C2422+1</f>
        <v>40243</v>
      </c>
      <c r="W2422">
        <f>IF(D2422=' Pivot Tables'!$A$4,1,0)</f>
        <v>0</v>
      </c>
      <c r="X2422">
        <f>IF(AND(LEFT(D2422,4)+1=LEFT(' Pivot Tables'!$A$4,4)+0,RIGHT(LEFT(D2422,7),2)=RIGHT(LEFT(' Pivot Tables'!$A$4,7),2)),1,0)</f>
        <v>0</v>
      </c>
      <c r="Y2422" s="6">
        <f>1/COUNTIF(Таблица1[Order ID],Таблица1[[#This Row],[Order ID]])</f>
        <v>1</v>
      </c>
      <c r="Z2422" s="9">
        <f>1/COUNTIFS(Таблица1[Customer Name],Таблица1[[#This Row],[Customer Name]],Таблица1[Order-Year-Month],Таблица1[[#This Row],[Order-Year-Month]])</f>
        <v>0.33333333333333331</v>
      </c>
    </row>
    <row r="2423" spans="1:26" x14ac:dyDescent="0.2">
      <c r="A2423" s="6">
        <v>6595</v>
      </c>
      <c r="B2423" s="7">
        <v>46919</v>
      </c>
      <c r="C2423" s="8">
        <f>DATE(2012,12,31)-1292</f>
        <v>39982</v>
      </c>
      <c r="D2423" s="8" t="str">
        <f t="shared" si="47"/>
        <v>2009-06 (июнь 2009)</v>
      </c>
      <c r="E2423" s="9" t="s">
        <v>21</v>
      </c>
      <c r="F2423" s="7">
        <v>31</v>
      </c>
      <c r="G2423" s="7">
        <v>4483.92</v>
      </c>
      <c r="H2423" s="7">
        <v>7.0000000000000007E-2</v>
      </c>
      <c r="I2423" s="9" t="s">
        <v>22</v>
      </c>
      <c r="J2423" s="10">
        <v>174.61</v>
      </c>
      <c r="K2423" s="11">
        <v>152.47999999999999</v>
      </c>
      <c r="L2423" s="11">
        <v>6.5</v>
      </c>
      <c r="M2423" s="9" t="s">
        <v>1288</v>
      </c>
      <c r="N2423" s="6" t="s">
        <v>1123</v>
      </c>
      <c r="O2423" s="6" t="s">
        <v>1123</v>
      </c>
      <c r="P2423" s="9" t="s">
        <v>25</v>
      </c>
      <c r="Q2423" s="9" t="s">
        <v>42</v>
      </c>
      <c r="R2423" s="9" t="s">
        <v>70</v>
      </c>
      <c r="S2423" s="7" t="s">
        <v>844</v>
      </c>
      <c r="T2423" s="9" t="s">
        <v>39</v>
      </c>
      <c r="U2423" s="7">
        <v>0.74</v>
      </c>
      <c r="V2423" s="12">
        <f>C2423+2</f>
        <v>39984</v>
      </c>
      <c r="W2423">
        <f>IF(D2423=' Pivot Tables'!$A$4,1,0)</f>
        <v>0</v>
      </c>
      <c r="X2423">
        <f>IF(AND(LEFT(D2423,4)+1=LEFT(' Pivot Tables'!$A$4,4)+0,RIGHT(LEFT(D2423,7),2)=RIGHT(LEFT(' Pivot Tables'!$A$4,7),2)),1,0)</f>
        <v>0</v>
      </c>
      <c r="Y2423" s="6">
        <f>1/COUNTIF(Таблица1[Order ID],Таблица1[[#This Row],[Order ID]])</f>
        <v>1</v>
      </c>
      <c r="Z2423" s="9">
        <f>1/COUNTIFS(Таблица1[Customer Name],Таблица1[[#This Row],[Customer Name]],Таблица1[Order-Year-Month],Таблица1[[#This Row],[Order-Year-Month]])</f>
        <v>1</v>
      </c>
    </row>
    <row r="2424" spans="1:26" x14ac:dyDescent="0.2">
      <c r="A2424" s="6">
        <v>6599</v>
      </c>
      <c r="B2424" s="7">
        <v>46977</v>
      </c>
      <c r="C2424" s="8">
        <f>DATE(2012,12,31)-238</f>
        <v>41036</v>
      </c>
      <c r="D2424" s="8" t="str">
        <f t="shared" si="47"/>
        <v>2012-05 (май 2012)</v>
      </c>
      <c r="E2424" s="9" t="s">
        <v>63</v>
      </c>
      <c r="F2424" s="7">
        <v>10</v>
      </c>
      <c r="G2424" s="7">
        <v>50.42</v>
      </c>
      <c r="H2424" s="7">
        <v>0.06</v>
      </c>
      <c r="I2424" s="9" t="s">
        <v>22</v>
      </c>
      <c r="J2424" s="10">
        <v>7.2504999999999997</v>
      </c>
      <c r="K2424" s="11">
        <v>4.82</v>
      </c>
      <c r="L2424" s="11">
        <v>1.49</v>
      </c>
      <c r="M2424" s="9" t="s">
        <v>1266</v>
      </c>
      <c r="N2424" s="6" t="s">
        <v>1123</v>
      </c>
      <c r="O2424" s="6" t="s">
        <v>1123</v>
      </c>
      <c r="P2424" s="9" t="s">
        <v>33</v>
      </c>
      <c r="Q2424" s="9" t="s">
        <v>26</v>
      </c>
      <c r="R2424" s="9" t="s">
        <v>37</v>
      </c>
      <c r="S2424" s="7" t="s">
        <v>961</v>
      </c>
      <c r="T2424" s="9" t="s">
        <v>39</v>
      </c>
      <c r="U2424" s="7">
        <v>0.36</v>
      </c>
      <c r="V2424" s="12">
        <f>C2424+2</f>
        <v>41038</v>
      </c>
      <c r="W2424">
        <f>IF(D2424=' Pivot Tables'!$A$4,1,0)</f>
        <v>0</v>
      </c>
      <c r="X2424">
        <f>IF(AND(LEFT(D2424,4)+1=LEFT(' Pivot Tables'!$A$4,4)+0,RIGHT(LEFT(D2424,7),2)=RIGHT(LEFT(' Pivot Tables'!$A$4,7),2)),1,0)</f>
        <v>0</v>
      </c>
      <c r="Y2424" s="6">
        <f>1/COUNTIF(Таблица1[Order ID],Таблица1[[#This Row],[Order ID]])</f>
        <v>0.5</v>
      </c>
      <c r="Z2424" s="9">
        <f>1/COUNTIFS(Таблица1[Customer Name],Таблица1[[#This Row],[Customer Name]],Таблица1[Order-Year-Month],Таблица1[[#This Row],[Order-Year-Month]])</f>
        <v>0.5</v>
      </c>
    </row>
    <row r="2425" spans="1:26" x14ac:dyDescent="0.2">
      <c r="A2425" s="6">
        <v>6600</v>
      </c>
      <c r="B2425" s="7">
        <v>46977</v>
      </c>
      <c r="C2425" s="8">
        <f>DATE(2012,12,31)-238</f>
        <v>41036</v>
      </c>
      <c r="D2425" s="8" t="str">
        <f t="shared" si="47"/>
        <v>2012-05 (май 2012)</v>
      </c>
      <c r="E2425" s="9" t="s">
        <v>63</v>
      </c>
      <c r="F2425" s="7">
        <v>19</v>
      </c>
      <c r="G2425" s="7">
        <v>2980.3719999999998</v>
      </c>
      <c r="H2425" s="7">
        <v>0.02</v>
      </c>
      <c r="I2425" s="9" t="s">
        <v>22</v>
      </c>
      <c r="J2425" s="10">
        <v>494.63100000000003</v>
      </c>
      <c r="K2425" s="11">
        <v>175.99</v>
      </c>
      <c r="L2425" s="11">
        <v>8.99</v>
      </c>
      <c r="M2425" s="9" t="s">
        <v>1266</v>
      </c>
      <c r="N2425" s="6" t="s">
        <v>1123</v>
      </c>
      <c r="O2425" s="6" t="s">
        <v>1123</v>
      </c>
      <c r="P2425" s="9" t="s">
        <v>33</v>
      </c>
      <c r="Q2425" s="9" t="s">
        <v>42</v>
      </c>
      <c r="R2425" s="9" t="s">
        <v>43</v>
      </c>
      <c r="S2425" s="7" t="s">
        <v>631</v>
      </c>
      <c r="T2425" s="9" t="s">
        <v>39</v>
      </c>
      <c r="U2425" s="7">
        <v>0.56999999999999995</v>
      </c>
      <c r="V2425" s="12">
        <f>C2425+2</f>
        <v>41038</v>
      </c>
      <c r="W2425">
        <f>IF(D2425=' Pivot Tables'!$A$4,1,0)</f>
        <v>0</v>
      </c>
      <c r="X2425">
        <f>IF(AND(LEFT(D2425,4)+1=LEFT(' Pivot Tables'!$A$4,4)+0,RIGHT(LEFT(D2425,7),2)=RIGHT(LEFT(' Pivot Tables'!$A$4,7),2)),1,0)</f>
        <v>0</v>
      </c>
      <c r="Y2425" s="6">
        <f>1/COUNTIF(Таблица1[Order ID],Таблица1[[#This Row],[Order ID]])</f>
        <v>0.5</v>
      </c>
      <c r="Z2425" s="9">
        <f>1/COUNTIFS(Таблица1[Customer Name],Таблица1[[#This Row],[Customer Name]],Таблица1[Order-Year-Month],Таблица1[[#This Row],[Order-Year-Month]])</f>
        <v>0.5</v>
      </c>
    </row>
    <row r="2426" spans="1:26" x14ac:dyDescent="0.2">
      <c r="A2426" s="6">
        <v>6612</v>
      </c>
      <c r="B2426" s="7">
        <v>47041</v>
      </c>
      <c r="C2426" s="8">
        <f>DATE(2012,12,31)-274</f>
        <v>41000</v>
      </c>
      <c r="D2426" s="8" t="str">
        <f t="shared" si="47"/>
        <v>2012-04 (апрель 2012)</v>
      </c>
      <c r="E2426" s="9" t="s">
        <v>45</v>
      </c>
      <c r="F2426" s="7">
        <v>35</v>
      </c>
      <c r="G2426" s="7">
        <v>154</v>
      </c>
      <c r="H2426" s="7">
        <v>0.08</v>
      </c>
      <c r="I2426" s="9" t="s">
        <v>22</v>
      </c>
      <c r="J2426" s="10">
        <v>-7.08</v>
      </c>
      <c r="K2426" s="11">
        <v>4.63</v>
      </c>
      <c r="L2426" s="11">
        <v>1.93</v>
      </c>
      <c r="M2426" s="9" t="s">
        <v>1337</v>
      </c>
      <c r="N2426" s="6" t="s">
        <v>1123</v>
      </c>
      <c r="O2426" s="6" t="s">
        <v>1123</v>
      </c>
      <c r="P2426" s="9" t="s">
        <v>60</v>
      </c>
      <c r="Q2426" s="9" t="s">
        <v>26</v>
      </c>
      <c r="R2426" s="9" t="s">
        <v>95</v>
      </c>
      <c r="S2426" s="7" t="s">
        <v>1392</v>
      </c>
      <c r="T2426" s="9" t="s">
        <v>68</v>
      </c>
      <c r="U2426" s="7">
        <v>0.52</v>
      </c>
      <c r="V2426" s="12">
        <f>C2426+2</f>
        <v>41002</v>
      </c>
      <c r="W2426">
        <f>IF(D2426=' Pivot Tables'!$A$4,1,0)</f>
        <v>0</v>
      </c>
      <c r="X2426">
        <f>IF(AND(LEFT(D2426,4)+1=LEFT(' Pivot Tables'!$A$4,4)+0,RIGHT(LEFT(D2426,7),2)=RIGHT(LEFT(' Pivot Tables'!$A$4,7),2)),1,0)</f>
        <v>0</v>
      </c>
      <c r="Y2426" s="6">
        <f>1/COUNTIF(Таблица1[Order ID],Таблица1[[#This Row],[Order ID]])</f>
        <v>1</v>
      </c>
      <c r="Z2426" s="9">
        <f>1/COUNTIFS(Таблица1[Customer Name],Таблица1[[#This Row],[Customer Name]],Таблица1[Order-Year-Month],Таблица1[[#This Row],[Order-Year-Month]])</f>
        <v>1</v>
      </c>
    </row>
    <row r="2427" spans="1:26" x14ac:dyDescent="0.2">
      <c r="A2427" s="6">
        <v>6650</v>
      </c>
      <c r="B2427" s="7">
        <v>47301</v>
      </c>
      <c r="C2427" s="8">
        <f>DATE(2012,12,31)-533</f>
        <v>40741</v>
      </c>
      <c r="D2427" s="8" t="str">
        <f t="shared" si="47"/>
        <v>2011-07 (июль 2011)</v>
      </c>
      <c r="E2427" s="9" t="s">
        <v>21</v>
      </c>
      <c r="F2427" s="7">
        <v>6</v>
      </c>
      <c r="G2427" s="7">
        <v>460.71</v>
      </c>
      <c r="H2427" s="7">
        <v>0.02</v>
      </c>
      <c r="I2427" s="9" t="s">
        <v>22</v>
      </c>
      <c r="J2427" s="10">
        <v>-231.95</v>
      </c>
      <c r="K2427" s="11">
        <v>70.98</v>
      </c>
      <c r="L2427" s="11">
        <v>35</v>
      </c>
      <c r="M2427" s="9" t="s">
        <v>1259</v>
      </c>
      <c r="N2427" s="6" t="s">
        <v>1123</v>
      </c>
      <c r="O2427" s="6" t="s">
        <v>1123</v>
      </c>
      <c r="P2427" s="9" t="s">
        <v>33</v>
      </c>
      <c r="Q2427" s="9" t="s">
        <v>26</v>
      </c>
      <c r="R2427" s="9" t="s">
        <v>27</v>
      </c>
      <c r="S2427" s="7" t="s">
        <v>1393</v>
      </c>
      <c r="T2427" s="9" t="s">
        <v>29</v>
      </c>
      <c r="U2427" s="7">
        <v>0.8</v>
      </c>
      <c r="V2427" s="12">
        <f>C2427+5</f>
        <v>40746</v>
      </c>
      <c r="W2427">
        <f>IF(D2427=' Pivot Tables'!$A$4,1,0)</f>
        <v>0</v>
      </c>
      <c r="X2427">
        <f>IF(AND(LEFT(D2427,4)+1=LEFT(' Pivot Tables'!$A$4,4)+0,RIGHT(LEFT(D2427,7),2)=RIGHT(LEFT(' Pivot Tables'!$A$4,7),2)),1,0)</f>
        <v>0</v>
      </c>
      <c r="Y2427" s="6">
        <f>1/COUNTIF(Таблица1[Order ID],Таблица1[[#This Row],[Order ID]])</f>
        <v>1</v>
      </c>
      <c r="Z2427" s="9">
        <f>1/COUNTIFS(Таблица1[Customer Name],Таблица1[[#This Row],[Customer Name]],Таблица1[Order-Year-Month],Таблица1[[#This Row],[Order-Year-Month]])</f>
        <v>1</v>
      </c>
    </row>
    <row r="2428" spans="1:26" x14ac:dyDescent="0.2">
      <c r="A2428" s="6">
        <v>6701</v>
      </c>
      <c r="B2428" s="7">
        <v>47714</v>
      </c>
      <c r="C2428" s="8">
        <f>DATE(2012,12,31)-662</f>
        <v>40612</v>
      </c>
      <c r="D2428" s="8" t="str">
        <f t="shared" si="47"/>
        <v>2011-03 (март 2011)</v>
      </c>
      <c r="E2428" s="9" t="s">
        <v>63</v>
      </c>
      <c r="F2428" s="7">
        <v>29</v>
      </c>
      <c r="G2428" s="7">
        <v>2946.05</v>
      </c>
      <c r="H2428" s="7">
        <v>0.06</v>
      </c>
      <c r="I2428" s="9" t="s">
        <v>31</v>
      </c>
      <c r="J2428" s="10">
        <v>-690.21</v>
      </c>
      <c r="K2428" s="11">
        <v>105.49</v>
      </c>
      <c r="L2428" s="11">
        <v>41.64</v>
      </c>
      <c r="M2428" s="9" t="s">
        <v>622</v>
      </c>
      <c r="N2428" s="6" t="s">
        <v>1123</v>
      </c>
      <c r="O2428" s="6" t="s">
        <v>1123</v>
      </c>
      <c r="P2428" s="9" t="s">
        <v>41</v>
      </c>
      <c r="Q2428" s="9" t="s">
        <v>49</v>
      </c>
      <c r="R2428" s="9" t="s">
        <v>83</v>
      </c>
      <c r="S2428" s="7" t="s">
        <v>1394</v>
      </c>
      <c r="T2428" s="9" t="s">
        <v>82</v>
      </c>
      <c r="U2428" s="7">
        <v>0.75</v>
      </c>
      <c r="V2428" s="12">
        <f>C2428+1</f>
        <v>40613</v>
      </c>
      <c r="W2428">
        <f>IF(D2428=' Pivot Tables'!$A$4,1,0)</f>
        <v>0</v>
      </c>
      <c r="X2428">
        <f>IF(AND(LEFT(D2428,4)+1=LEFT(' Pivot Tables'!$A$4,4)+0,RIGHT(LEFT(D2428,7),2)=RIGHT(LEFT(' Pivot Tables'!$A$4,7),2)),1,0)</f>
        <v>0</v>
      </c>
      <c r="Y2428" s="6">
        <f>1/COUNTIF(Таблица1[Order ID],Таблица1[[#This Row],[Order ID]])</f>
        <v>0.5</v>
      </c>
      <c r="Z2428" s="9">
        <f>1/COUNTIFS(Таблица1[Customer Name],Таблица1[[#This Row],[Customer Name]],Таблица1[Order-Year-Month],Таблица1[[#This Row],[Order-Year-Month]])</f>
        <v>0.5</v>
      </c>
    </row>
    <row r="2429" spans="1:26" x14ac:dyDescent="0.2">
      <c r="A2429" s="6">
        <v>6742</v>
      </c>
      <c r="B2429" s="7">
        <v>48003</v>
      </c>
      <c r="C2429" s="8">
        <f>DATE(2012,12,31)-340</f>
        <v>40934</v>
      </c>
      <c r="D2429" s="8" t="str">
        <f t="shared" si="47"/>
        <v>2012-01 (январь 2012)</v>
      </c>
      <c r="E2429" s="9" t="s">
        <v>63</v>
      </c>
      <c r="F2429" s="7">
        <v>30</v>
      </c>
      <c r="G2429" s="7">
        <v>183.33</v>
      </c>
      <c r="H2429" s="7">
        <v>0.05</v>
      </c>
      <c r="I2429" s="9" t="s">
        <v>22</v>
      </c>
      <c r="J2429" s="10">
        <v>-106.54</v>
      </c>
      <c r="K2429" s="11">
        <v>5.98</v>
      </c>
      <c r="L2429" s="11">
        <v>4.38</v>
      </c>
      <c r="M2429" s="9" t="s">
        <v>1278</v>
      </c>
      <c r="N2429" s="6" t="s">
        <v>1123</v>
      </c>
      <c r="O2429" s="6" t="s">
        <v>1123</v>
      </c>
      <c r="P2429" s="9" t="s">
        <v>33</v>
      </c>
      <c r="Q2429" s="9" t="s">
        <v>42</v>
      </c>
      <c r="R2429" s="9" t="s">
        <v>70</v>
      </c>
      <c r="S2429" s="7" t="s">
        <v>104</v>
      </c>
      <c r="T2429" s="9" t="s">
        <v>52</v>
      </c>
      <c r="U2429" s="7">
        <v>0.75</v>
      </c>
      <c r="V2429" s="12">
        <f>C2429+2</f>
        <v>40936</v>
      </c>
      <c r="W2429">
        <f>IF(D2429=' Pivot Tables'!$A$4,1,0)</f>
        <v>0</v>
      </c>
      <c r="X2429">
        <f>IF(AND(LEFT(D2429,4)+1=LEFT(' Pivot Tables'!$A$4,4)+0,RIGHT(LEFT(D2429,7),2)=RIGHT(LEFT(' Pivot Tables'!$A$4,7),2)),1,0)</f>
        <v>0</v>
      </c>
      <c r="Y2429" s="6">
        <f>1/COUNTIF(Таблица1[Order ID],Таблица1[[#This Row],[Order ID]])</f>
        <v>0.5</v>
      </c>
      <c r="Z2429" s="9">
        <f>1/COUNTIFS(Таблица1[Customer Name],Таблица1[[#This Row],[Customer Name]],Таблица1[Order-Year-Month],Таблица1[[#This Row],[Order-Year-Month]])</f>
        <v>0.5</v>
      </c>
    </row>
    <row r="2430" spans="1:26" x14ac:dyDescent="0.2">
      <c r="A2430" s="6">
        <v>6743</v>
      </c>
      <c r="B2430" s="7">
        <v>48003</v>
      </c>
      <c r="C2430" s="8">
        <f>DATE(2012,12,31)-340</f>
        <v>40934</v>
      </c>
      <c r="D2430" s="8" t="str">
        <f t="shared" si="47"/>
        <v>2012-01 (январь 2012)</v>
      </c>
      <c r="E2430" s="9" t="s">
        <v>63</v>
      </c>
      <c r="F2430" s="7">
        <v>12</v>
      </c>
      <c r="G2430" s="7">
        <v>88.06</v>
      </c>
      <c r="H2430" s="7">
        <v>0.04</v>
      </c>
      <c r="I2430" s="9" t="s">
        <v>22</v>
      </c>
      <c r="J2430" s="10">
        <v>-69.05</v>
      </c>
      <c r="K2430" s="11">
        <v>6.48</v>
      </c>
      <c r="L2430" s="11">
        <v>9.68</v>
      </c>
      <c r="M2430" s="9" t="s">
        <v>1278</v>
      </c>
      <c r="N2430" s="6" t="s">
        <v>1123</v>
      </c>
      <c r="O2430" s="6" t="s">
        <v>1123</v>
      </c>
      <c r="P2430" s="9" t="s">
        <v>33</v>
      </c>
      <c r="Q2430" s="9" t="s">
        <v>49</v>
      </c>
      <c r="R2430" s="9" t="s">
        <v>50</v>
      </c>
      <c r="S2430" s="7" t="s">
        <v>315</v>
      </c>
      <c r="T2430" s="9" t="s">
        <v>52</v>
      </c>
      <c r="U2430" s="7">
        <v>0.44</v>
      </c>
      <c r="V2430" s="12">
        <f>C2430+2</f>
        <v>40936</v>
      </c>
      <c r="W2430">
        <f>IF(D2430=' Pivot Tables'!$A$4,1,0)</f>
        <v>0</v>
      </c>
      <c r="X2430">
        <f>IF(AND(LEFT(D2430,4)+1=LEFT(' Pivot Tables'!$A$4,4)+0,RIGHT(LEFT(D2430,7),2)=RIGHT(LEFT(' Pivot Tables'!$A$4,7),2)),1,0)</f>
        <v>0</v>
      </c>
      <c r="Y2430" s="6">
        <f>1/COUNTIF(Таблица1[Order ID],Таблица1[[#This Row],[Order ID]])</f>
        <v>0.5</v>
      </c>
      <c r="Z2430" s="9">
        <f>1/COUNTIFS(Таблица1[Customer Name],Таблица1[[#This Row],[Customer Name]],Таблица1[Order-Year-Month],Таблица1[[#This Row],[Order-Year-Month]])</f>
        <v>0.5</v>
      </c>
    </row>
    <row r="2431" spans="1:26" x14ac:dyDescent="0.2">
      <c r="A2431" s="6">
        <v>6766</v>
      </c>
      <c r="B2431" s="7">
        <v>48195</v>
      </c>
      <c r="C2431" s="8">
        <f>DATE(2012,12,31)-765</f>
        <v>40509</v>
      </c>
      <c r="D2431" s="8" t="str">
        <f t="shared" si="47"/>
        <v>2010-11 (ноябрь 2010)</v>
      </c>
      <c r="E2431" s="9" t="s">
        <v>45</v>
      </c>
      <c r="F2431" s="7">
        <v>35</v>
      </c>
      <c r="G2431" s="7">
        <v>3337.5164999999997</v>
      </c>
      <c r="H2431" s="7">
        <v>7.0000000000000007E-2</v>
      </c>
      <c r="I2431" s="9" t="s">
        <v>22</v>
      </c>
      <c r="J2431" s="10">
        <v>850.53599999999994</v>
      </c>
      <c r="K2431" s="11">
        <v>115.99</v>
      </c>
      <c r="L2431" s="11">
        <v>2.5</v>
      </c>
      <c r="M2431" s="9" t="s">
        <v>1311</v>
      </c>
      <c r="N2431" s="6" t="s">
        <v>1123</v>
      </c>
      <c r="O2431" s="6" t="s">
        <v>1123</v>
      </c>
      <c r="P2431" s="9" t="s">
        <v>41</v>
      </c>
      <c r="Q2431" s="9" t="s">
        <v>42</v>
      </c>
      <c r="R2431" s="9" t="s">
        <v>43</v>
      </c>
      <c r="S2431" s="7" t="s">
        <v>1395</v>
      </c>
      <c r="T2431" s="9" t="s">
        <v>39</v>
      </c>
      <c r="U2431" s="7">
        <v>0.56999999999999995</v>
      </c>
      <c r="V2431" s="12">
        <f>C2431+1</f>
        <v>40510</v>
      </c>
      <c r="W2431">
        <f>IF(D2431=' Pivot Tables'!$A$4,1,0)</f>
        <v>0</v>
      </c>
      <c r="X2431">
        <f>IF(AND(LEFT(D2431,4)+1=LEFT(' Pivot Tables'!$A$4,4)+0,RIGHT(LEFT(D2431,7),2)=RIGHT(LEFT(' Pivot Tables'!$A$4,7),2)),1,0)</f>
        <v>0</v>
      </c>
      <c r="Y2431" s="6">
        <f>1/COUNTIF(Таблица1[Order ID],Таблица1[[#This Row],[Order ID]])</f>
        <v>0.33333333333333331</v>
      </c>
      <c r="Z2431" s="9">
        <f>1/COUNTIFS(Таблица1[Customer Name],Таблица1[[#This Row],[Customer Name]],Таблица1[Order-Year-Month],Таблица1[[#This Row],[Order-Year-Month]])</f>
        <v>0.33333333333333331</v>
      </c>
    </row>
    <row r="2432" spans="1:26" x14ac:dyDescent="0.2">
      <c r="A2432" s="6">
        <v>6767</v>
      </c>
      <c r="B2432" s="7">
        <v>48195</v>
      </c>
      <c r="C2432" s="8">
        <f>DATE(2012,12,31)-765</f>
        <v>40509</v>
      </c>
      <c r="D2432" s="8" t="str">
        <f t="shared" si="47"/>
        <v>2010-11 (ноябрь 2010)</v>
      </c>
      <c r="E2432" s="9" t="s">
        <v>45</v>
      </c>
      <c r="F2432" s="7">
        <v>35</v>
      </c>
      <c r="G2432" s="7">
        <v>1018.4019999999999</v>
      </c>
      <c r="H2432" s="7">
        <v>0.09</v>
      </c>
      <c r="I2432" s="9" t="s">
        <v>22</v>
      </c>
      <c r="J2432" s="10">
        <v>296.86500000000001</v>
      </c>
      <c r="K2432" s="11">
        <v>35.99</v>
      </c>
      <c r="L2432" s="11">
        <v>5.99</v>
      </c>
      <c r="M2432" s="9" t="s">
        <v>1311</v>
      </c>
      <c r="N2432" s="6" t="s">
        <v>1123</v>
      </c>
      <c r="O2432" s="6" t="s">
        <v>1123</v>
      </c>
      <c r="P2432" s="9" t="s">
        <v>41</v>
      </c>
      <c r="Q2432" s="9" t="s">
        <v>42</v>
      </c>
      <c r="R2432" s="9" t="s">
        <v>43</v>
      </c>
      <c r="S2432" s="7" t="s">
        <v>907</v>
      </c>
      <c r="T2432" s="9" t="s">
        <v>68</v>
      </c>
      <c r="U2432" s="7">
        <v>0.38</v>
      </c>
      <c r="V2432" s="12">
        <f>C2432+0</f>
        <v>40509</v>
      </c>
      <c r="W2432">
        <f>IF(D2432=' Pivot Tables'!$A$4,1,0)</f>
        <v>0</v>
      </c>
      <c r="X2432">
        <f>IF(AND(LEFT(D2432,4)+1=LEFT(' Pivot Tables'!$A$4,4)+0,RIGHT(LEFT(D2432,7),2)=RIGHT(LEFT(' Pivot Tables'!$A$4,7),2)),1,0)</f>
        <v>0</v>
      </c>
      <c r="Y2432" s="6">
        <f>1/COUNTIF(Таблица1[Order ID],Таблица1[[#This Row],[Order ID]])</f>
        <v>0.33333333333333331</v>
      </c>
      <c r="Z2432" s="9">
        <f>1/COUNTIFS(Таблица1[Customer Name],Таблица1[[#This Row],[Customer Name]],Таблица1[Order-Year-Month],Таблица1[[#This Row],[Order-Year-Month]])</f>
        <v>0.33333333333333331</v>
      </c>
    </row>
    <row r="2433" spans="1:26" x14ac:dyDescent="0.2">
      <c r="A2433" s="6">
        <v>6768</v>
      </c>
      <c r="B2433" s="7">
        <v>48195</v>
      </c>
      <c r="C2433" s="8">
        <f>DATE(2012,12,31)-765</f>
        <v>40509</v>
      </c>
      <c r="D2433" s="8" t="str">
        <f t="shared" si="47"/>
        <v>2010-11 (ноябрь 2010)</v>
      </c>
      <c r="E2433" s="9" t="s">
        <v>45</v>
      </c>
      <c r="F2433" s="7">
        <v>47</v>
      </c>
      <c r="G2433" s="7">
        <v>2679.1234999999997</v>
      </c>
      <c r="H2433" s="7">
        <v>0.01</v>
      </c>
      <c r="I2433" s="9" t="s">
        <v>22</v>
      </c>
      <c r="J2433" s="10">
        <v>47.277000000000001</v>
      </c>
      <c r="K2433" s="11">
        <v>65.989999999999995</v>
      </c>
      <c r="L2433" s="11">
        <v>19.989999999999998</v>
      </c>
      <c r="M2433" s="9" t="s">
        <v>1311</v>
      </c>
      <c r="N2433" s="6" t="s">
        <v>1123</v>
      </c>
      <c r="O2433" s="6" t="s">
        <v>1123</v>
      </c>
      <c r="P2433" s="9" t="s">
        <v>41</v>
      </c>
      <c r="Q2433" s="9" t="s">
        <v>42</v>
      </c>
      <c r="R2433" s="9" t="s">
        <v>43</v>
      </c>
      <c r="S2433" s="7" t="s">
        <v>922</v>
      </c>
      <c r="T2433" s="9" t="s">
        <v>39</v>
      </c>
      <c r="U2433" s="7">
        <v>0.59</v>
      </c>
      <c r="V2433" s="12">
        <f>C2433+1</f>
        <v>40510</v>
      </c>
      <c r="W2433">
        <f>IF(D2433=' Pivot Tables'!$A$4,1,0)</f>
        <v>0</v>
      </c>
      <c r="X2433">
        <f>IF(AND(LEFT(D2433,4)+1=LEFT(' Pivot Tables'!$A$4,4)+0,RIGHT(LEFT(D2433,7),2)=RIGHT(LEFT(' Pivot Tables'!$A$4,7),2)),1,0)</f>
        <v>0</v>
      </c>
      <c r="Y2433" s="6">
        <f>1/COUNTIF(Таблица1[Order ID],Таблица1[[#This Row],[Order ID]])</f>
        <v>0.33333333333333331</v>
      </c>
      <c r="Z2433" s="9">
        <f>1/COUNTIFS(Таблица1[Customer Name],Таблица1[[#This Row],[Customer Name]],Таблица1[Order-Year-Month],Таблица1[[#This Row],[Order-Year-Month]])</f>
        <v>0.33333333333333331</v>
      </c>
    </row>
    <row r="2434" spans="1:26" x14ac:dyDescent="0.2">
      <c r="A2434" s="6">
        <v>6789</v>
      </c>
      <c r="B2434" s="7">
        <v>48357</v>
      </c>
      <c r="C2434" s="8">
        <f>DATE(2012,12,31)-1374</f>
        <v>39900</v>
      </c>
      <c r="D2434" s="8" t="str">
        <f t="shared" si="47"/>
        <v>2009-03 (март 2009)</v>
      </c>
      <c r="E2434" s="9" t="s">
        <v>45</v>
      </c>
      <c r="F2434" s="7">
        <v>16</v>
      </c>
      <c r="G2434" s="7">
        <v>2365.4299999999998</v>
      </c>
      <c r="H2434" s="7">
        <v>0.04</v>
      </c>
      <c r="I2434" s="9" t="s">
        <v>22</v>
      </c>
      <c r="J2434" s="10">
        <v>619.71</v>
      </c>
      <c r="K2434" s="11">
        <v>150.97999999999999</v>
      </c>
      <c r="L2434" s="11">
        <v>13.99</v>
      </c>
      <c r="M2434" s="9" t="s">
        <v>1259</v>
      </c>
      <c r="N2434" s="6" t="s">
        <v>1123</v>
      </c>
      <c r="O2434" s="6" t="s">
        <v>1123</v>
      </c>
      <c r="P2434" s="9" t="s">
        <v>33</v>
      </c>
      <c r="Q2434" s="9" t="s">
        <v>42</v>
      </c>
      <c r="R2434" s="9" t="s">
        <v>210</v>
      </c>
      <c r="S2434" s="7" t="s">
        <v>341</v>
      </c>
      <c r="T2434" s="9" t="s">
        <v>48</v>
      </c>
      <c r="U2434" s="7">
        <v>0.38</v>
      </c>
      <c r="V2434" s="12">
        <f>C2434+0</f>
        <v>39900</v>
      </c>
      <c r="W2434">
        <f>IF(D2434=' Pivot Tables'!$A$4,1,0)</f>
        <v>0</v>
      </c>
      <c r="X2434">
        <f>IF(AND(LEFT(D2434,4)+1=LEFT(' Pivot Tables'!$A$4,4)+0,RIGHT(LEFT(D2434,7),2)=RIGHT(LEFT(' Pivot Tables'!$A$4,7),2)),1,0)</f>
        <v>0</v>
      </c>
      <c r="Y2434" s="6">
        <f>1/COUNTIF(Таблица1[Order ID],Таблица1[[#This Row],[Order ID]])</f>
        <v>1</v>
      </c>
      <c r="Z2434" s="9">
        <f>1/COUNTIFS(Таблица1[Customer Name],Таблица1[[#This Row],[Customer Name]],Таблица1[Order-Year-Month],Таблица1[[#This Row],[Order-Year-Month]])</f>
        <v>1</v>
      </c>
    </row>
    <row r="2435" spans="1:26" x14ac:dyDescent="0.2">
      <c r="A2435" s="6">
        <v>6826</v>
      </c>
      <c r="B2435" s="7">
        <v>48615</v>
      </c>
      <c r="C2435" s="8">
        <f>DATE(2012,12,31)-28</f>
        <v>41246</v>
      </c>
      <c r="D2435" s="8" t="str">
        <f t="shared" ref="D2435:D2498" si="48">TEXT(C2435,"гггг-ММ (ММММ гггг)")</f>
        <v>2012-12 (декабрь 2012)</v>
      </c>
      <c r="E2435" s="9" t="s">
        <v>21</v>
      </c>
      <c r="F2435" s="7">
        <v>4</v>
      </c>
      <c r="G2435" s="7">
        <v>16.91</v>
      </c>
      <c r="H2435" s="7">
        <v>0.08</v>
      </c>
      <c r="I2435" s="9" t="s">
        <v>22</v>
      </c>
      <c r="J2435" s="10">
        <v>0.21000000000000085</v>
      </c>
      <c r="K2435" s="11">
        <v>4.13</v>
      </c>
      <c r="L2435" s="11">
        <v>0.5</v>
      </c>
      <c r="M2435" s="9" t="s">
        <v>1343</v>
      </c>
      <c r="N2435" s="6" t="s">
        <v>1123</v>
      </c>
      <c r="O2435" s="6" t="s">
        <v>1123</v>
      </c>
      <c r="P2435" s="9" t="s">
        <v>41</v>
      </c>
      <c r="Q2435" s="9" t="s">
        <v>26</v>
      </c>
      <c r="R2435" s="9" t="s">
        <v>88</v>
      </c>
      <c r="S2435" s="7" t="s">
        <v>184</v>
      </c>
      <c r="T2435" s="9" t="s">
        <v>39</v>
      </c>
      <c r="U2435" s="7">
        <v>0.39</v>
      </c>
      <c r="V2435" s="12">
        <f>C2435+4</f>
        <v>41250</v>
      </c>
      <c r="W2435">
        <f>IF(D2435=' Pivot Tables'!$A$4,1,0)</f>
        <v>0</v>
      </c>
      <c r="X2435">
        <f>IF(AND(LEFT(D2435,4)+1=LEFT(' Pivot Tables'!$A$4,4)+0,RIGHT(LEFT(D2435,7),2)=RIGHT(LEFT(' Pivot Tables'!$A$4,7),2)),1,0)</f>
        <v>0</v>
      </c>
      <c r="Y2435" s="6">
        <f>1/COUNTIF(Таблица1[Order ID],Таблица1[[#This Row],[Order ID]])</f>
        <v>0.5</v>
      </c>
      <c r="Z2435" s="9">
        <f>1/COUNTIFS(Таблица1[Customer Name],Таблица1[[#This Row],[Customer Name]],Таблица1[Order-Year-Month],Таблица1[[#This Row],[Order-Year-Month]])</f>
        <v>0.5</v>
      </c>
    </row>
    <row r="2436" spans="1:26" x14ac:dyDescent="0.2">
      <c r="A2436" s="6">
        <v>6827</v>
      </c>
      <c r="B2436" s="7">
        <v>48615</v>
      </c>
      <c r="C2436" s="8">
        <f>DATE(2012,12,31)-28</f>
        <v>41246</v>
      </c>
      <c r="D2436" s="8" t="str">
        <f t="shared" si="48"/>
        <v>2012-12 (декабрь 2012)</v>
      </c>
      <c r="E2436" s="9" t="s">
        <v>21</v>
      </c>
      <c r="F2436" s="7">
        <v>8</v>
      </c>
      <c r="G2436" s="7">
        <v>464.66</v>
      </c>
      <c r="H2436" s="7">
        <v>0.04</v>
      </c>
      <c r="I2436" s="9" t="s">
        <v>22</v>
      </c>
      <c r="J2436" s="10">
        <v>219.02</v>
      </c>
      <c r="K2436" s="11">
        <v>54.74</v>
      </c>
      <c r="L2436" s="11">
        <v>14.83</v>
      </c>
      <c r="M2436" s="9" t="s">
        <v>1343</v>
      </c>
      <c r="N2436" s="6" t="s">
        <v>1123</v>
      </c>
      <c r="O2436" s="6" t="s">
        <v>1123</v>
      </c>
      <c r="P2436" s="9" t="s">
        <v>41</v>
      </c>
      <c r="Q2436" s="9" t="s">
        <v>49</v>
      </c>
      <c r="R2436" s="9" t="s">
        <v>50</v>
      </c>
      <c r="S2436" s="7" t="s">
        <v>460</v>
      </c>
      <c r="T2436" s="9" t="s">
        <v>39</v>
      </c>
      <c r="U2436" s="7">
        <v>0.54</v>
      </c>
      <c r="V2436" s="12">
        <f>C2436+5</f>
        <v>41251</v>
      </c>
      <c r="W2436">
        <f>IF(D2436=' Pivot Tables'!$A$4,1,0)</f>
        <v>0</v>
      </c>
      <c r="X2436">
        <f>IF(AND(LEFT(D2436,4)+1=LEFT(' Pivot Tables'!$A$4,4)+0,RIGHT(LEFT(D2436,7),2)=RIGHT(LEFT(' Pivot Tables'!$A$4,7),2)),1,0)</f>
        <v>0</v>
      </c>
      <c r="Y2436" s="6">
        <f>1/COUNTIF(Таблица1[Order ID],Таблица1[[#This Row],[Order ID]])</f>
        <v>0.5</v>
      </c>
      <c r="Z2436" s="9">
        <f>1/COUNTIFS(Таблица1[Customer Name],Таблица1[[#This Row],[Customer Name]],Таблица1[Order-Year-Month],Таблица1[[#This Row],[Order-Year-Month]])</f>
        <v>0.5</v>
      </c>
    </row>
    <row r="2437" spans="1:26" x14ac:dyDescent="0.2">
      <c r="A2437" s="6">
        <v>6831</v>
      </c>
      <c r="B2437" s="7">
        <v>48642</v>
      </c>
      <c r="C2437" s="8">
        <f>DATE(2012,12,31)-1064</f>
        <v>40210</v>
      </c>
      <c r="D2437" s="8" t="str">
        <f t="shared" si="48"/>
        <v>2010-02 (февраль 2010)</v>
      </c>
      <c r="E2437" s="9" t="s">
        <v>30</v>
      </c>
      <c r="F2437" s="7">
        <v>4</v>
      </c>
      <c r="G2437" s="7">
        <v>37.729999999999997</v>
      </c>
      <c r="H2437" s="7">
        <v>0.06</v>
      </c>
      <c r="I2437" s="9" t="s">
        <v>22</v>
      </c>
      <c r="J2437" s="10">
        <v>-13.72</v>
      </c>
      <c r="K2437" s="11">
        <v>8.67</v>
      </c>
      <c r="L2437" s="11">
        <v>3.5</v>
      </c>
      <c r="M2437" s="9" t="s">
        <v>1396</v>
      </c>
      <c r="N2437" s="6" t="s">
        <v>1123</v>
      </c>
      <c r="O2437" s="6" t="s">
        <v>1123</v>
      </c>
      <c r="P2437" s="9" t="s">
        <v>60</v>
      </c>
      <c r="Q2437" s="9" t="s">
        <v>26</v>
      </c>
      <c r="R2437" s="9" t="s">
        <v>34</v>
      </c>
      <c r="S2437" s="7" t="s">
        <v>1128</v>
      </c>
      <c r="T2437" s="9" t="s">
        <v>39</v>
      </c>
      <c r="U2437" s="7">
        <v>0.57999999999999996</v>
      </c>
      <c r="V2437" s="12">
        <f>C2437+2</f>
        <v>40212</v>
      </c>
      <c r="W2437">
        <f>IF(D2437=' Pivot Tables'!$A$4,1,0)</f>
        <v>0</v>
      </c>
      <c r="X2437">
        <f>IF(AND(LEFT(D2437,4)+1=LEFT(' Pivot Tables'!$A$4,4)+0,RIGHT(LEFT(D2437,7),2)=RIGHT(LEFT(' Pivot Tables'!$A$4,7),2)),1,0)</f>
        <v>0</v>
      </c>
      <c r="Y2437" s="6">
        <f>1/COUNTIF(Таблица1[Order ID],Таблица1[[#This Row],[Order ID]])</f>
        <v>0.25</v>
      </c>
      <c r="Z2437" s="9">
        <f>1/COUNTIFS(Таблица1[Customer Name],Таблица1[[#This Row],[Customer Name]],Таблица1[Order-Year-Month],Таблица1[[#This Row],[Order-Year-Month]])</f>
        <v>0.2</v>
      </c>
    </row>
    <row r="2438" spans="1:26" x14ac:dyDescent="0.2">
      <c r="A2438" s="6">
        <v>6832</v>
      </c>
      <c r="B2438" s="7">
        <v>48642</v>
      </c>
      <c r="C2438" s="8">
        <f>DATE(2012,12,31)-1064</f>
        <v>40210</v>
      </c>
      <c r="D2438" s="8" t="str">
        <f t="shared" si="48"/>
        <v>2010-02 (февраль 2010)</v>
      </c>
      <c r="E2438" s="9" t="s">
        <v>30</v>
      </c>
      <c r="F2438" s="7">
        <v>5</v>
      </c>
      <c r="G2438" s="7">
        <v>519.69000000000005</v>
      </c>
      <c r="H2438" s="7">
        <v>0.02</v>
      </c>
      <c r="I2438" s="9" t="s">
        <v>56</v>
      </c>
      <c r="J2438" s="10">
        <v>-122.09</v>
      </c>
      <c r="K2438" s="11">
        <v>100.98</v>
      </c>
      <c r="L2438" s="11">
        <v>7.18</v>
      </c>
      <c r="M2438" s="9" t="s">
        <v>1396</v>
      </c>
      <c r="N2438" s="6" t="s">
        <v>1123</v>
      </c>
      <c r="O2438" s="6" t="s">
        <v>1123</v>
      </c>
      <c r="P2438" s="9" t="s">
        <v>60</v>
      </c>
      <c r="Q2438" s="9" t="s">
        <v>42</v>
      </c>
      <c r="R2438" s="9" t="s">
        <v>70</v>
      </c>
      <c r="S2438" s="7" t="s">
        <v>642</v>
      </c>
      <c r="T2438" s="9" t="s">
        <v>39</v>
      </c>
      <c r="U2438" s="7">
        <v>0.4</v>
      </c>
      <c r="V2438" s="12">
        <f>C2438+1</f>
        <v>40211</v>
      </c>
      <c r="W2438">
        <f>IF(D2438=' Pivot Tables'!$A$4,1,0)</f>
        <v>0</v>
      </c>
      <c r="X2438">
        <f>IF(AND(LEFT(D2438,4)+1=LEFT(' Pivot Tables'!$A$4,4)+0,RIGHT(LEFT(D2438,7),2)=RIGHT(LEFT(' Pivot Tables'!$A$4,7),2)),1,0)</f>
        <v>0</v>
      </c>
      <c r="Y2438" s="6">
        <f>1/COUNTIF(Таблица1[Order ID],Таблица1[[#This Row],[Order ID]])</f>
        <v>0.25</v>
      </c>
      <c r="Z2438" s="9">
        <f>1/COUNTIFS(Таблица1[Customer Name],Таблица1[[#This Row],[Customer Name]],Таблица1[Order-Year-Month],Таблица1[[#This Row],[Order-Year-Month]])</f>
        <v>0.2</v>
      </c>
    </row>
    <row r="2439" spans="1:26" x14ac:dyDescent="0.2">
      <c r="A2439" s="6">
        <v>6842</v>
      </c>
      <c r="B2439" s="7">
        <v>48710</v>
      </c>
      <c r="C2439" s="8">
        <f>DATE(2012,12,31)-1132</f>
        <v>40142</v>
      </c>
      <c r="D2439" s="8" t="str">
        <f t="shared" si="48"/>
        <v>2009-11 (ноябрь 2009)</v>
      </c>
      <c r="E2439" s="9" t="s">
        <v>63</v>
      </c>
      <c r="F2439" s="7">
        <v>4</v>
      </c>
      <c r="G2439" s="7">
        <v>29.24</v>
      </c>
      <c r="H2439" s="7">
        <v>0.01</v>
      </c>
      <c r="I2439" s="9" t="s">
        <v>22</v>
      </c>
      <c r="J2439" s="10">
        <v>-1.73</v>
      </c>
      <c r="K2439" s="11">
        <v>6.98</v>
      </c>
      <c r="L2439" s="11">
        <v>1.6</v>
      </c>
      <c r="M2439" s="9" t="s">
        <v>1337</v>
      </c>
      <c r="N2439" s="6" t="s">
        <v>1123</v>
      </c>
      <c r="O2439" s="6" t="s">
        <v>1123</v>
      </c>
      <c r="P2439" s="9" t="s">
        <v>60</v>
      </c>
      <c r="Q2439" s="9" t="s">
        <v>26</v>
      </c>
      <c r="R2439" s="9" t="s">
        <v>61</v>
      </c>
      <c r="S2439" s="7" t="s">
        <v>829</v>
      </c>
      <c r="T2439" s="9" t="s">
        <v>68</v>
      </c>
      <c r="U2439" s="7">
        <v>0.38</v>
      </c>
      <c r="V2439" s="12">
        <f>C2439+1</f>
        <v>40143</v>
      </c>
      <c r="W2439">
        <f>IF(D2439=' Pivot Tables'!$A$4,1,0)</f>
        <v>0</v>
      </c>
      <c r="X2439">
        <f>IF(AND(LEFT(D2439,4)+1=LEFT(' Pivot Tables'!$A$4,4)+0,RIGHT(LEFT(D2439,7),2)=RIGHT(LEFT(' Pivot Tables'!$A$4,7),2)),1,0)</f>
        <v>0</v>
      </c>
      <c r="Y2439" s="6">
        <f>1/COUNTIF(Таблица1[Order ID],Таблица1[[#This Row],[Order ID]])</f>
        <v>1</v>
      </c>
      <c r="Z2439" s="9">
        <f>1/COUNTIFS(Таблица1[Customer Name],Таблица1[[#This Row],[Customer Name]],Таблица1[Order-Year-Month],Таблица1[[#This Row],[Order-Year-Month]])</f>
        <v>0.5</v>
      </c>
    </row>
    <row r="2440" spans="1:26" x14ac:dyDescent="0.2">
      <c r="A2440" s="6">
        <v>6888</v>
      </c>
      <c r="B2440" s="7">
        <v>49094</v>
      </c>
      <c r="C2440" s="8">
        <f>DATE(2012,12,31)-119</f>
        <v>41155</v>
      </c>
      <c r="D2440" s="8" t="str">
        <f t="shared" si="48"/>
        <v>2012-09 (сентябрь 2012)</v>
      </c>
      <c r="E2440" s="9" t="s">
        <v>78</v>
      </c>
      <c r="F2440" s="7">
        <v>31</v>
      </c>
      <c r="G2440" s="7">
        <v>846.85</v>
      </c>
      <c r="H2440" s="7">
        <v>0.03</v>
      </c>
      <c r="I2440" s="9" t="s">
        <v>22</v>
      </c>
      <c r="J2440" s="10">
        <v>-25.98</v>
      </c>
      <c r="K2440" s="11">
        <v>27.48</v>
      </c>
      <c r="L2440" s="11">
        <v>4</v>
      </c>
      <c r="M2440" s="9" t="s">
        <v>1341</v>
      </c>
      <c r="N2440" s="6" t="s">
        <v>1123</v>
      </c>
      <c r="O2440" s="6" t="s">
        <v>1123</v>
      </c>
      <c r="P2440" s="9" t="s">
        <v>33</v>
      </c>
      <c r="Q2440" s="9" t="s">
        <v>42</v>
      </c>
      <c r="R2440" s="9" t="s">
        <v>70</v>
      </c>
      <c r="S2440" s="7" t="s">
        <v>762</v>
      </c>
      <c r="T2440" s="9" t="s">
        <v>39</v>
      </c>
      <c r="U2440" s="7">
        <v>0.75</v>
      </c>
      <c r="V2440" s="12">
        <f>C2440+2</f>
        <v>41157</v>
      </c>
      <c r="W2440">
        <f>IF(D2440=' Pivot Tables'!$A$4,1,0)</f>
        <v>0</v>
      </c>
      <c r="X2440">
        <f>IF(AND(LEFT(D2440,4)+1=LEFT(' Pivot Tables'!$A$4,4)+0,RIGHT(LEFT(D2440,7),2)=RIGHT(LEFT(' Pivot Tables'!$A$4,7),2)),1,0)</f>
        <v>0</v>
      </c>
      <c r="Y2440" s="6">
        <f>1/COUNTIF(Таблица1[Order ID],Таблица1[[#This Row],[Order ID]])</f>
        <v>1</v>
      </c>
      <c r="Z2440" s="9">
        <f>1/COUNTIFS(Таблица1[Customer Name],Таблица1[[#This Row],[Customer Name]],Таблица1[Order-Year-Month],Таблица1[[#This Row],[Order-Year-Month]])</f>
        <v>1</v>
      </c>
    </row>
    <row r="2441" spans="1:26" x14ac:dyDescent="0.2">
      <c r="A2441" s="6">
        <v>6891</v>
      </c>
      <c r="B2441" s="7">
        <v>49125</v>
      </c>
      <c r="C2441" s="8">
        <f>DATE(2012,12,31)-1373</f>
        <v>39901</v>
      </c>
      <c r="D2441" s="8" t="str">
        <f t="shared" si="48"/>
        <v>2009-03 (март 2009)</v>
      </c>
      <c r="E2441" s="9" t="s">
        <v>45</v>
      </c>
      <c r="F2441" s="7">
        <v>29</v>
      </c>
      <c r="G2441" s="7">
        <v>177.41</v>
      </c>
      <c r="H2441" s="7">
        <v>0.05</v>
      </c>
      <c r="I2441" s="9" t="s">
        <v>56</v>
      </c>
      <c r="J2441" s="10">
        <v>-116.05</v>
      </c>
      <c r="K2441" s="11">
        <v>5.78</v>
      </c>
      <c r="L2441" s="11">
        <v>7.64</v>
      </c>
      <c r="M2441" s="9" t="s">
        <v>1262</v>
      </c>
      <c r="N2441" s="6" t="s">
        <v>1123</v>
      </c>
      <c r="O2441" s="6" t="s">
        <v>1123</v>
      </c>
      <c r="P2441" s="9" t="s">
        <v>41</v>
      </c>
      <c r="Q2441" s="9" t="s">
        <v>26</v>
      </c>
      <c r="R2441" s="9" t="s">
        <v>61</v>
      </c>
      <c r="S2441" s="7" t="s">
        <v>804</v>
      </c>
      <c r="T2441" s="9" t="s">
        <v>39</v>
      </c>
      <c r="U2441" s="7">
        <v>0.36</v>
      </c>
      <c r="V2441" s="12">
        <f>C2441+2</f>
        <v>39903</v>
      </c>
      <c r="W2441">
        <f>IF(D2441=' Pivot Tables'!$A$4,1,0)</f>
        <v>0</v>
      </c>
      <c r="X2441">
        <f>IF(AND(LEFT(D2441,4)+1=LEFT(' Pivot Tables'!$A$4,4)+0,RIGHT(LEFT(D2441,7),2)=RIGHT(LEFT(' Pivot Tables'!$A$4,7),2)),1,0)</f>
        <v>0</v>
      </c>
      <c r="Y2441" s="6">
        <f>1/COUNTIF(Таблица1[Order ID],Таблица1[[#This Row],[Order ID]])</f>
        <v>1</v>
      </c>
      <c r="Z2441" s="9">
        <f>1/COUNTIFS(Таблица1[Customer Name],Таблица1[[#This Row],[Customer Name]],Таблица1[Order-Year-Month],Таблица1[[#This Row],[Order-Year-Month]])</f>
        <v>1</v>
      </c>
    </row>
    <row r="2442" spans="1:26" x14ac:dyDescent="0.2">
      <c r="A2442" s="6">
        <v>6898</v>
      </c>
      <c r="B2442" s="7">
        <v>49216</v>
      </c>
      <c r="C2442" s="8">
        <f>DATE(2012,12,31)-1383</f>
        <v>39891</v>
      </c>
      <c r="D2442" s="8" t="str">
        <f t="shared" si="48"/>
        <v>2009-03 (март 2009)</v>
      </c>
      <c r="E2442" s="9" t="s">
        <v>30</v>
      </c>
      <c r="F2442" s="7">
        <v>28</v>
      </c>
      <c r="G2442" s="7">
        <v>96.71</v>
      </c>
      <c r="H2442" s="7">
        <v>0.01</v>
      </c>
      <c r="I2442" s="9" t="s">
        <v>22</v>
      </c>
      <c r="J2442" s="10">
        <v>-72.44</v>
      </c>
      <c r="K2442" s="11">
        <v>3.28</v>
      </c>
      <c r="L2442" s="11">
        <v>3.97</v>
      </c>
      <c r="M2442" s="9" t="s">
        <v>671</v>
      </c>
      <c r="N2442" s="6" t="s">
        <v>1123</v>
      </c>
      <c r="O2442" s="6" t="s">
        <v>1123</v>
      </c>
      <c r="P2442" s="9" t="s">
        <v>60</v>
      </c>
      <c r="Q2442" s="9" t="s">
        <v>26</v>
      </c>
      <c r="R2442" s="9" t="s">
        <v>95</v>
      </c>
      <c r="S2442" s="7" t="s">
        <v>570</v>
      </c>
      <c r="T2442" s="9" t="s">
        <v>68</v>
      </c>
      <c r="U2442" s="7">
        <v>0.56000000000000005</v>
      </c>
      <c r="V2442" s="12">
        <f>C2442+0</f>
        <v>39891</v>
      </c>
      <c r="W2442">
        <f>IF(D2442=' Pivot Tables'!$A$4,1,0)</f>
        <v>0</v>
      </c>
      <c r="X2442">
        <f>IF(AND(LEFT(D2442,4)+1=LEFT(' Pivot Tables'!$A$4,4)+0,RIGHT(LEFT(D2442,7),2)=RIGHT(LEFT(' Pivot Tables'!$A$4,7),2)),1,0)</f>
        <v>0</v>
      </c>
      <c r="Y2442" s="6">
        <f>1/COUNTIF(Таблица1[Order ID],Таблица1[[#This Row],[Order ID]])</f>
        <v>0.25</v>
      </c>
      <c r="Z2442" s="9">
        <f>1/COUNTIFS(Таблица1[Customer Name],Таблица1[[#This Row],[Customer Name]],Таблица1[Order-Year-Month],Таблица1[[#This Row],[Order-Year-Month]])</f>
        <v>0.25</v>
      </c>
    </row>
    <row r="2443" spans="1:26" x14ac:dyDescent="0.2">
      <c r="A2443" s="6">
        <v>6940</v>
      </c>
      <c r="B2443" s="7">
        <v>49538</v>
      </c>
      <c r="C2443" s="8">
        <f>DATE(2012,12,31)-1020</f>
        <v>40254</v>
      </c>
      <c r="D2443" s="8" t="str">
        <f t="shared" si="48"/>
        <v>2010-03 (март 2010)</v>
      </c>
      <c r="E2443" s="9" t="s">
        <v>21</v>
      </c>
      <c r="F2443" s="7">
        <v>29</v>
      </c>
      <c r="G2443" s="7">
        <v>730.51</v>
      </c>
      <c r="H2443" s="7">
        <v>0.08</v>
      </c>
      <c r="I2443" s="9" t="s">
        <v>22</v>
      </c>
      <c r="J2443" s="10">
        <v>217.57</v>
      </c>
      <c r="K2443" s="11">
        <v>26.38</v>
      </c>
      <c r="L2443" s="11">
        <v>5.58</v>
      </c>
      <c r="M2443" s="9" t="s">
        <v>1278</v>
      </c>
      <c r="N2443" s="6" t="s">
        <v>1123</v>
      </c>
      <c r="O2443" s="6" t="s">
        <v>1123</v>
      </c>
      <c r="P2443" s="9" t="s">
        <v>33</v>
      </c>
      <c r="Q2443" s="9" t="s">
        <v>49</v>
      </c>
      <c r="R2443" s="9" t="s">
        <v>50</v>
      </c>
      <c r="S2443" s="7" t="s">
        <v>1372</v>
      </c>
      <c r="T2443" s="9" t="s">
        <v>36</v>
      </c>
      <c r="U2443" s="7">
        <v>0.62</v>
      </c>
      <c r="V2443" s="12">
        <f>C2443+4</f>
        <v>40258</v>
      </c>
      <c r="W2443">
        <f>IF(D2443=' Pivot Tables'!$A$4,1,0)</f>
        <v>0</v>
      </c>
      <c r="X2443">
        <f>IF(AND(LEFT(D2443,4)+1=LEFT(' Pivot Tables'!$A$4,4)+0,RIGHT(LEFT(D2443,7),2)=RIGHT(LEFT(' Pivot Tables'!$A$4,7),2)),1,0)</f>
        <v>0</v>
      </c>
      <c r="Y2443" s="6">
        <f>1/COUNTIF(Таблица1[Order ID],Таблица1[[#This Row],[Order ID]])</f>
        <v>1</v>
      </c>
      <c r="Z2443" s="9">
        <f>1/COUNTIFS(Таблица1[Customer Name],Таблица1[[#This Row],[Customer Name]],Таблица1[Order-Year-Month],Таблица1[[#This Row],[Order-Year-Month]])</f>
        <v>0.33333333333333331</v>
      </c>
    </row>
    <row r="2444" spans="1:26" x14ac:dyDescent="0.2">
      <c r="A2444" s="6">
        <v>6953</v>
      </c>
      <c r="B2444" s="7">
        <v>49730</v>
      </c>
      <c r="C2444" s="8">
        <f>DATE(2012,12,31)-1457</f>
        <v>39817</v>
      </c>
      <c r="D2444" s="8" t="str">
        <f t="shared" si="48"/>
        <v>2009-01 (январь 2009)</v>
      </c>
      <c r="E2444" s="9" t="s">
        <v>30</v>
      </c>
      <c r="F2444" s="7">
        <v>3</v>
      </c>
      <c r="G2444" s="7">
        <v>1039.56</v>
      </c>
      <c r="H2444" s="7">
        <v>0.06</v>
      </c>
      <c r="I2444" s="9" t="s">
        <v>31</v>
      </c>
      <c r="J2444" s="10">
        <v>-394.69</v>
      </c>
      <c r="K2444" s="11">
        <v>350.98</v>
      </c>
      <c r="L2444" s="11">
        <v>30</v>
      </c>
      <c r="M2444" s="9" t="s">
        <v>1296</v>
      </c>
      <c r="N2444" s="6" t="s">
        <v>1123</v>
      </c>
      <c r="O2444" s="6" t="s">
        <v>1123</v>
      </c>
      <c r="P2444" s="9" t="s">
        <v>60</v>
      </c>
      <c r="Q2444" s="9" t="s">
        <v>49</v>
      </c>
      <c r="R2444" s="9" t="s">
        <v>112</v>
      </c>
      <c r="S2444" s="7" t="s">
        <v>1397</v>
      </c>
      <c r="T2444" s="9" t="s">
        <v>36</v>
      </c>
      <c r="U2444" s="7">
        <v>0.61</v>
      </c>
      <c r="V2444" s="12">
        <f>C2444+1</f>
        <v>39818</v>
      </c>
      <c r="W2444">
        <f>IF(D2444=' Pivot Tables'!$A$4,1,0)</f>
        <v>0</v>
      </c>
      <c r="X2444">
        <f>IF(AND(LEFT(D2444,4)+1=LEFT(' Pivot Tables'!$A$4,4)+0,RIGHT(LEFT(D2444,7),2)=RIGHT(LEFT(' Pivot Tables'!$A$4,7),2)),1,0)</f>
        <v>1</v>
      </c>
      <c r="Y2444" s="6">
        <f>1/COUNTIF(Таблица1[Order ID],Таблица1[[#This Row],[Order ID]])</f>
        <v>1</v>
      </c>
      <c r="Z2444" s="9">
        <f>1/COUNTIFS(Таблица1[Customer Name],Таблица1[[#This Row],[Customer Name]],Таблица1[Order-Year-Month],Таблица1[[#This Row],[Order-Year-Month]])</f>
        <v>1</v>
      </c>
    </row>
    <row r="2445" spans="1:26" x14ac:dyDescent="0.2">
      <c r="A2445" s="6">
        <v>6985</v>
      </c>
      <c r="B2445" s="7">
        <v>49924</v>
      </c>
      <c r="C2445" s="8">
        <f>DATE(2012,12,31)-586</f>
        <v>40688</v>
      </c>
      <c r="D2445" s="8" t="str">
        <f t="shared" si="48"/>
        <v>2011-05 (май 2011)</v>
      </c>
      <c r="E2445" s="9" t="s">
        <v>78</v>
      </c>
      <c r="F2445" s="7">
        <v>48</v>
      </c>
      <c r="G2445" s="7">
        <v>204.15</v>
      </c>
      <c r="H2445" s="7">
        <v>7.0000000000000007E-2</v>
      </c>
      <c r="I2445" s="9" t="s">
        <v>22</v>
      </c>
      <c r="J2445" s="10">
        <v>-155.52600000000001</v>
      </c>
      <c r="K2445" s="11">
        <v>4.24</v>
      </c>
      <c r="L2445" s="11">
        <v>5.41</v>
      </c>
      <c r="M2445" s="9" t="s">
        <v>1250</v>
      </c>
      <c r="N2445" s="6" t="s">
        <v>1123</v>
      </c>
      <c r="O2445" s="6" t="s">
        <v>1123</v>
      </c>
      <c r="P2445" s="9" t="s">
        <v>60</v>
      </c>
      <c r="Q2445" s="9" t="s">
        <v>26</v>
      </c>
      <c r="R2445" s="9" t="s">
        <v>37</v>
      </c>
      <c r="S2445" s="7" t="s">
        <v>873</v>
      </c>
      <c r="T2445" s="9" t="s">
        <v>39</v>
      </c>
      <c r="U2445" s="7">
        <v>0.35</v>
      </c>
      <c r="V2445" s="12">
        <f>C2445+2</f>
        <v>40690</v>
      </c>
      <c r="W2445">
        <f>IF(D2445=' Pivot Tables'!$A$4,1,0)</f>
        <v>0</v>
      </c>
      <c r="X2445">
        <f>IF(AND(LEFT(D2445,4)+1=LEFT(' Pivot Tables'!$A$4,4)+0,RIGHT(LEFT(D2445,7),2)=RIGHT(LEFT(' Pivot Tables'!$A$4,7),2)),1,0)</f>
        <v>0</v>
      </c>
      <c r="Y2445" s="6">
        <f>1/COUNTIF(Таблица1[Order ID],Таблица1[[#This Row],[Order ID]])</f>
        <v>0.5</v>
      </c>
      <c r="Z2445" s="9">
        <f>1/COUNTIFS(Таблица1[Customer Name],Таблица1[[#This Row],[Customer Name]],Таблица1[Order-Year-Month],Таблица1[[#This Row],[Order-Year-Month]])</f>
        <v>0.5</v>
      </c>
    </row>
    <row r="2446" spans="1:26" x14ac:dyDescent="0.2">
      <c r="A2446" s="6">
        <v>6986</v>
      </c>
      <c r="B2446" s="7">
        <v>49924</v>
      </c>
      <c r="C2446" s="8">
        <f>DATE(2012,12,31)-586</f>
        <v>40688</v>
      </c>
      <c r="D2446" s="8" t="str">
        <f t="shared" si="48"/>
        <v>2011-05 (май 2011)</v>
      </c>
      <c r="E2446" s="9" t="s">
        <v>78</v>
      </c>
      <c r="F2446" s="7">
        <v>13</v>
      </c>
      <c r="G2446" s="7">
        <v>33.11</v>
      </c>
      <c r="H2446" s="7">
        <v>0.08</v>
      </c>
      <c r="I2446" s="9" t="s">
        <v>22</v>
      </c>
      <c r="J2446" s="10">
        <v>-35.96</v>
      </c>
      <c r="K2446" s="11">
        <v>2.23</v>
      </c>
      <c r="L2446" s="11">
        <v>4.57</v>
      </c>
      <c r="M2446" s="9" t="s">
        <v>1250</v>
      </c>
      <c r="N2446" s="6" t="s">
        <v>1123</v>
      </c>
      <c r="O2446" s="6" t="s">
        <v>1123</v>
      </c>
      <c r="P2446" s="9" t="s">
        <v>60</v>
      </c>
      <c r="Q2446" s="9" t="s">
        <v>49</v>
      </c>
      <c r="R2446" s="9" t="s">
        <v>50</v>
      </c>
      <c r="S2446" s="7" t="s">
        <v>530</v>
      </c>
      <c r="T2446" s="9" t="s">
        <v>52</v>
      </c>
      <c r="U2446" s="7">
        <v>0.41</v>
      </c>
      <c r="V2446" s="12">
        <f>C2446+2</f>
        <v>40690</v>
      </c>
      <c r="W2446">
        <f>IF(D2446=' Pivot Tables'!$A$4,1,0)</f>
        <v>0</v>
      </c>
      <c r="X2446">
        <f>IF(AND(LEFT(D2446,4)+1=LEFT(' Pivot Tables'!$A$4,4)+0,RIGHT(LEFT(D2446,7),2)=RIGHT(LEFT(' Pivot Tables'!$A$4,7),2)),1,0)</f>
        <v>0</v>
      </c>
      <c r="Y2446" s="6">
        <f>1/COUNTIF(Таблица1[Order ID],Таблица1[[#This Row],[Order ID]])</f>
        <v>0.5</v>
      </c>
      <c r="Z2446" s="9">
        <f>1/COUNTIFS(Таблица1[Customer Name],Таблица1[[#This Row],[Customer Name]],Таблица1[Order-Year-Month],Таблица1[[#This Row],[Order-Year-Month]])</f>
        <v>0.5</v>
      </c>
    </row>
    <row r="2447" spans="1:26" x14ac:dyDescent="0.2">
      <c r="A2447" s="6">
        <v>7046</v>
      </c>
      <c r="B2447" s="7">
        <v>50306</v>
      </c>
      <c r="C2447" s="8">
        <f>DATE(2012,12,31)-591</f>
        <v>40683</v>
      </c>
      <c r="D2447" s="8" t="str">
        <f t="shared" si="48"/>
        <v>2011-05 (май 2011)</v>
      </c>
      <c r="E2447" s="9" t="s">
        <v>63</v>
      </c>
      <c r="F2447" s="7">
        <v>34</v>
      </c>
      <c r="G2447" s="7">
        <v>2010.89</v>
      </c>
      <c r="H2447" s="7">
        <v>0.09</v>
      </c>
      <c r="I2447" s="9" t="s">
        <v>22</v>
      </c>
      <c r="J2447" s="10">
        <v>564.06849999999997</v>
      </c>
      <c r="K2447" s="11">
        <v>63.98</v>
      </c>
      <c r="L2447" s="11">
        <v>11.55</v>
      </c>
      <c r="M2447" s="9" t="s">
        <v>1380</v>
      </c>
      <c r="N2447" s="6" t="s">
        <v>1123</v>
      </c>
      <c r="O2447" s="6" t="s">
        <v>1123</v>
      </c>
      <c r="P2447" s="9" t="s">
        <v>25</v>
      </c>
      <c r="Q2447" s="9" t="s">
        <v>26</v>
      </c>
      <c r="R2447" s="9" t="s">
        <v>37</v>
      </c>
      <c r="S2447" s="7" t="s">
        <v>1146</v>
      </c>
      <c r="T2447" s="9" t="s">
        <v>39</v>
      </c>
      <c r="U2447" s="7">
        <v>0.38</v>
      </c>
      <c r="V2447" s="12">
        <f>C2447+2</f>
        <v>40685</v>
      </c>
      <c r="W2447">
        <f>IF(D2447=' Pivot Tables'!$A$4,1,0)</f>
        <v>0</v>
      </c>
      <c r="X2447">
        <f>IF(AND(LEFT(D2447,4)+1=LEFT(' Pivot Tables'!$A$4,4)+0,RIGHT(LEFT(D2447,7),2)=RIGHT(LEFT(' Pivot Tables'!$A$4,7),2)),1,0)</f>
        <v>0</v>
      </c>
      <c r="Y2447" s="6">
        <f>1/COUNTIF(Таблица1[Order ID],Таблица1[[#This Row],[Order ID]])</f>
        <v>1</v>
      </c>
      <c r="Z2447" s="9">
        <f>1/COUNTIFS(Таблица1[Customer Name],Таблица1[[#This Row],[Customer Name]],Таблица1[Order-Year-Month],Таблица1[[#This Row],[Order-Year-Month]])</f>
        <v>1</v>
      </c>
    </row>
    <row r="2448" spans="1:26" x14ac:dyDescent="0.2">
      <c r="A2448" s="6">
        <v>7088</v>
      </c>
      <c r="B2448" s="7">
        <v>50566</v>
      </c>
      <c r="C2448" s="8">
        <f>DATE(2012,12,31)-481</f>
        <v>40793</v>
      </c>
      <c r="D2448" s="8" t="str">
        <f t="shared" si="48"/>
        <v>2011-09 (сентябрь 2011)</v>
      </c>
      <c r="E2448" s="9" t="s">
        <v>45</v>
      </c>
      <c r="F2448" s="7">
        <v>48</v>
      </c>
      <c r="G2448" s="7">
        <v>389.28</v>
      </c>
      <c r="H2448" s="7">
        <v>0.1</v>
      </c>
      <c r="I2448" s="9" t="s">
        <v>22</v>
      </c>
      <c r="J2448" s="10">
        <v>-37.43</v>
      </c>
      <c r="K2448" s="11">
        <v>8.67</v>
      </c>
      <c r="L2448" s="11">
        <v>3.5</v>
      </c>
      <c r="M2448" s="9" t="s">
        <v>1293</v>
      </c>
      <c r="N2448" s="6" t="s">
        <v>1123</v>
      </c>
      <c r="O2448" s="6" t="s">
        <v>1123</v>
      </c>
      <c r="P2448" s="9" t="s">
        <v>41</v>
      </c>
      <c r="Q2448" s="9" t="s">
        <v>26</v>
      </c>
      <c r="R2448" s="9" t="s">
        <v>34</v>
      </c>
      <c r="S2448" s="7" t="s">
        <v>1128</v>
      </c>
      <c r="T2448" s="9" t="s">
        <v>39</v>
      </c>
      <c r="U2448" s="7">
        <v>0.57999999999999996</v>
      </c>
      <c r="V2448" s="12">
        <f>C2448+2</f>
        <v>40795</v>
      </c>
      <c r="W2448">
        <f>IF(D2448=' Pivot Tables'!$A$4,1,0)</f>
        <v>0</v>
      </c>
      <c r="X2448">
        <f>IF(AND(LEFT(D2448,4)+1=LEFT(' Pivot Tables'!$A$4,4)+0,RIGHT(LEFT(D2448,7),2)=RIGHT(LEFT(' Pivot Tables'!$A$4,7),2)),1,0)</f>
        <v>0</v>
      </c>
      <c r="Y2448" s="6">
        <f>1/COUNTIF(Таблица1[Order ID],Таблица1[[#This Row],[Order ID]])</f>
        <v>1</v>
      </c>
      <c r="Z2448" s="9">
        <f>1/COUNTIFS(Таблица1[Customer Name],Таблица1[[#This Row],[Customer Name]],Таблица1[Order-Year-Month],Таблица1[[#This Row],[Order-Year-Month]])</f>
        <v>1</v>
      </c>
    </row>
    <row r="2449" spans="1:26" x14ac:dyDescent="0.2">
      <c r="A2449" s="6">
        <v>7126</v>
      </c>
      <c r="B2449" s="7">
        <v>50823</v>
      </c>
      <c r="C2449" s="8">
        <f>DATE(2012,12,31)-1259</f>
        <v>40015</v>
      </c>
      <c r="D2449" s="8" t="str">
        <f t="shared" si="48"/>
        <v>2009-07 (июль 2009)</v>
      </c>
      <c r="E2449" s="9" t="s">
        <v>21</v>
      </c>
      <c r="F2449" s="7">
        <v>12</v>
      </c>
      <c r="G2449" s="7">
        <v>1244.72</v>
      </c>
      <c r="H2449" s="7">
        <v>0.04</v>
      </c>
      <c r="I2449" s="9" t="s">
        <v>22</v>
      </c>
      <c r="J2449" s="10">
        <v>269.94</v>
      </c>
      <c r="K2449" s="11">
        <v>100.98</v>
      </c>
      <c r="L2449" s="11">
        <v>7.18</v>
      </c>
      <c r="M2449" s="9" t="s">
        <v>1274</v>
      </c>
      <c r="N2449" s="6" t="s">
        <v>1123</v>
      </c>
      <c r="O2449" s="6" t="s">
        <v>1123</v>
      </c>
      <c r="P2449" s="9" t="s">
        <v>60</v>
      </c>
      <c r="Q2449" s="9" t="s">
        <v>42</v>
      </c>
      <c r="R2449" s="9" t="s">
        <v>70</v>
      </c>
      <c r="S2449" s="7" t="s">
        <v>642</v>
      </c>
      <c r="T2449" s="9" t="s">
        <v>39</v>
      </c>
      <c r="U2449" s="7">
        <v>0.4</v>
      </c>
      <c r="V2449" s="12">
        <f>C2449+5</f>
        <v>40020</v>
      </c>
      <c r="W2449">
        <f>IF(D2449=' Pivot Tables'!$A$4,1,0)</f>
        <v>0</v>
      </c>
      <c r="X2449">
        <f>IF(AND(LEFT(D2449,4)+1=LEFT(' Pivot Tables'!$A$4,4)+0,RIGHT(LEFT(D2449,7),2)=RIGHT(LEFT(' Pivot Tables'!$A$4,7),2)),1,0)</f>
        <v>0</v>
      </c>
      <c r="Y2449" s="6">
        <f>1/COUNTIF(Таблица1[Order ID],Таблица1[[#This Row],[Order ID]])</f>
        <v>1</v>
      </c>
      <c r="Z2449" s="9">
        <f>1/COUNTIFS(Таблица1[Customer Name],Таблица1[[#This Row],[Customer Name]],Таблица1[Order-Year-Month],Таблица1[[#This Row],[Order-Year-Month]])</f>
        <v>0.5</v>
      </c>
    </row>
    <row r="2450" spans="1:26" x14ac:dyDescent="0.2">
      <c r="A2450" s="6">
        <v>7131</v>
      </c>
      <c r="B2450" s="7">
        <v>50854</v>
      </c>
      <c r="C2450" s="8">
        <f>DATE(2012,12,31)-380</f>
        <v>40894</v>
      </c>
      <c r="D2450" s="8" t="str">
        <f t="shared" si="48"/>
        <v>2011-12 (декабрь 2011)</v>
      </c>
      <c r="E2450" s="9" t="s">
        <v>78</v>
      </c>
      <c r="F2450" s="7">
        <v>27</v>
      </c>
      <c r="G2450" s="7">
        <v>137.5</v>
      </c>
      <c r="H2450" s="7">
        <v>7.0000000000000007E-2</v>
      </c>
      <c r="I2450" s="9" t="s">
        <v>22</v>
      </c>
      <c r="J2450" s="10">
        <v>-64.239000000000004</v>
      </c>
      <c r="K2450" s="11">
        <v>4.9800000000000004</v>
      </c>
      <c r="L2450" s="11">
        <v>4.95</v>
      </c>
      <c r="M2450" s="9" t="s">
        <v>1293</v>
      </c>
      <c r="N2450" s="6" t="s">
        <v>1123</v>
      </c>
      <c r="O2450" s="6" t="s">
        <v>1123</v>
      </c>
      <c r="P2450" s="9" t="s">
        <v>41</v>
      </c>
      <c r="Q2450" s="9" t="s">
        <v>26</v>
      </c>
      <c r="R2450" s="9" t="s">
        <v>37</v>
      </c>
      <c r="S2450" s="7" t="s">
        <v>691</v>
      </c>
      <c r="T2450" s="9" t="s">
        <v>39</v>
      </c>
      <c r="U2450" s="7">
        <v>0.37</v>
      </c>
      <c r="V2450" s="12">
        <f>C2450+0</f>
        <v>40894</v>
      </c>
      <c r="W2450">
        <f>IF(D2450=' Pivot Tables'!$A$4,1,0)</f>
        <v>0</v>
      </c>
      <c r="X2450">
        <f>IF(AND(LEFT(D2450,4)+1=LEFT(' Pivot Tables'!$A$4,4)+0,RIGHT(LEFT(D2450,7),2)=RIGHT(LEFT(' Pivot Tables'!$A$4,7),2)),1,0)</f>
        <v>0</v>
      </c>
      <c r="Y2450" s="6">
        <f>1/COUNTIF(Таблица1[Order ID],Таблица1[[#This Row],[Order ID]])</f>
        <v>0.33333333333333331</v>
      </c>
      <c r="Z2450" s="9">
        <f>1/COUNTIFS(Таблица1[Customer Name],Таблица1[[#This Row],[Customer Name]],Таблица1[Order-Year-Month],Таблица1[[#This Row],[Order-Year-Month]])</f>
        <v>0.33333333333333331</v>
      </c>
    </row>
    <row r="2451" spans="1:26" x14ac:dyDescent="0.2">
      <c r="A2451" s="6">
        <v>7132</v>
      </c>
      <c r="B2451" s="7">
        <v>50854</v>
      </c>
      <c r="C2451" s="8">
        <f>DATE(2012,12,31)-380</f>
        <v>40894</v>
      </c>
      <c r="D2451" s="8" t="str">
        <f t="shared" si="48"/>
        <v>2011-12 (декабрь 2011)</v>
      </c>
      <c r="E2451" s="9" t="s">
        <v>78</v>
      </c>
      <c r="F2451" s="7">
        <v>12</v>
      </c>
      <c r="G2451" s="7">
        <v>5744.24</v>
      </c>
      <c r="H2451" s="7">
        <v>0.09</v>
      </c>
      <c r="I2451" s="9" t="s">
        <v>31</v>
      </c>
      <c r="J2451" s="10">
        <v>1118.17</v>
      </c>
      <c r="K2451" s="11">
        <v>500.98</v>
      </c>
      <c r="L2451" s="11">
        <v>28.14</v>
      </c>
      <c r="M2451" s="9" t="s">
        <v>1293</v>
      </c>
      <c r="N2451" s="6" t="s">
        <v>1123</v>
      </c>
      <c r="O2451" s="6" t="s">
        <v>1123</v>
      </c>
      <c r="P2451" s="9" t="s">
        <v>41</v>
      </c>
      <c r="Q2451" s="9" t="s">
        <v>42</v>
      </c>
      <c r="R2451" s="9" t="s">
        <v>210</v>
      </c>
      <c r="S2451" s="7" t="s">
        <v>1016</v>
      </c>
      <c r="T2451" s="9" t="s">
        <v>36</v>
      </c>
      <c r="U2451" s="7">
        <v>0.38</v>
      </c>
      <c r="V2451" s="12">
        <f>C2451+2</f>
        <v>40896</v>
      </c>
      <c r="W2451">
        <f>IF(D2451=' Pivot Tables'!$A$4,1,0)</f>
        <v>0</v>
      </c>
      <c r="X2451">
        <f>IF(AND(LEFT(D2451,4)+1=LEFT(' Pivot Tables'!$A$4,4)+0,RIGHT(LEFT(D2451,7),2)=RIGHT(LEFT(' Pivot Tables'!$A$4,7),2)),1,0)</f>
        <v>0</v>
      </c>
      <c r="Y2451" s="6">
        <f>1/COUNTIF(Таблица1[Order ID],Таблица1[[#This Row],[Order ID]])</f>
        <v>0.33333333333333331</v>
      </c>
      <c r="Z2451" s="9">
        <f>1/COUNTIFS(Таблица1[Customer Name],Таблица1[[#This Row],[Customer Name]],Таблица1[Order-Year-Month],Таблица1[[#This Row],[Order-Year-Month]])</f>
        <v>0.33333333333333331</v>
      </c>
    </row>
    <row r="2452" spans="1:26" x14ac:dyDescent="0.2">
      <c r="A2452" s="6">
        <v>7133</v>
      </c>
      <c r="B2452" s="7">
        <v>50854</v>
      </c>
      <c r="C2452" s="8">
        <f>DATE(2012,12,31)-380</f>
        <v>40894</v>
      </c>
      <c r="D2452" s="8" t="str">
        <f t="shared" si="48"/>
        <v>2011-12 (декабрь 2011)</v>
      </c>
      <c r="E2452" s="9" t="s">
        <v>78</v>
      </c>
      <c r="F2452" s="7">
        <v>42</v>
      </c>
      <c r="G2452" s="7">
        <v>452.15</v>
      </c>
      <c r="H2452" s="7">
        <v>0.06</v>
      </c>
      <c r="I2452" s="9" t="s">
        <v>56</v>
      </c>
      <c r="J2452" s="10">
        <v>25.79</v>
      </c>
      <c r="K2452" s="11">
        <v>10.98</v>
      </c>
      <c r="L2452" s="11">
        <v>3.37</v>
      </c>
      <c r="M2452" s="9" t="s">
        <v>1293</v>
      </c>
      <c r="N2452" s="6" t="s">
        <v>1123</v>
      </c>
      <c r="O2452" s="6" t="s">
        <v>1123</v>
      </c>
      <c r="P2452" s="9" t="s">
        <v>41</v>
      </c>
      <c r="Q2452" s="9" t="s">
        <v>26</v>
      </c>
      <c r="R2452" s="9" t="s">
        <v>150</v>
      </c>
      <c r="S2452" s="7" t="s">
        <v>465</v>
      </c>
      <c r="T2452" s="9" t="s">
        <v>52</v>
      </c>
      <c r="U2452" s="7">
        <v>0.56999999999999995</v>
      </c>
      <c r="V2452" s="12">
        <f>C2452+0</f>
        <v>40894</v>
      </c>
      <c r="W2452">
        <f>IF(D2452=' Pivot Tables'!$A$4,1,0)</f>
        <v>0</v>
      </c>
      <c r="X2452">
        <f>IF(AND(LEFT(D2452,4)+1=LEFT(' Pivot Tables'!$A$4,4)+0,RIGHT(LEFT(D2452,7),2)=RIGHT(LEFT(' Pivot Tables'!$A$4,7),2)),1,0)</f>
        <v>0</v>
      </c>
      <c r="Y2452" s="6">
        <f>1/COUNTIF(Таблица1[Order ID],Таблица1[[#This Row],[Order ID]])</f>
        <v>0.33333333333333331</v>
      </c>
      <c r="Z2452" s="9">
        <f>1/COUNTIFS(Таблица1[Customer Name],Таблица1[[#This Row],[Customer Name]],Таблица1[Order-Year-Month],Таблица1[[#This Row],[Order-Year-Month]])</f>
        <v>0.33333333333333331</v>
      </c>
    </row>
    <row r="2453" spans="1:26" x14ac:dyDescent="0.2">
      <c r="A2453" s="6">
        <v>7163</v>
      </c>
      <c r="B2453" s="7">
        <v>51109</v>
      </c>
      <c r="C2453" s="8">
        <f>DATE(2012,12,31)-53</f>
        <v>41221</v>
      </c>
      <c r="D2453" s="8" t="str">
        <f t="shared" si="48"/>
        <v>2012-11 (ноябрь 2012)</v>
      </c>
      <c r="E2453" s="9" t="s">
        <v>30</v>
      </c>
      <c r="F2453" s="7">
        <v>28</v>
      </c>
      <c r="G2453" s="7">
        <v>112.05</v>
      </c>
      <c r="H2453" s="7">
        <v>0.04</v>
      </c>
      <c r="I2453" s="9" t="s">
        <v>22</v>
      </c>
      <c r="J2453" s="10">
        <v>26.21</v>
      </c>
      <c r="K2453" s="11">
        <v>4</v>
      </c>
      <c r="L2453" s="11">
        <v>1.3</v>
      </c>
      <c r="M2453" s="9" t="s">
        <v>1304</v>
      </c>
      <c r="N2453" s="6" t="s">
        <v>1123</v>
      </c>
      <c r="O2453" s="6" t="s">
        <v>1123</v>
      </c>
      <c r="P2453" s="9" t="s">
        <v>60</v>
      </c>
      <c r="Q2453" s="9" t="s">
        <v>26</v>
      </c>
      <c r="R2453" s="9" t="s">
        <v>61</v>
      </c>
      <c r="S2453" s="7" t="s">
        <v>1209</v>
      </c>
      <c r="T2453" s="9" t="s">
        <v>68</v>
      </c>
      <c r="U2453" s="7">
        <v>0.37</v>
      </c>
      <c r="V2453" s="12">
        <f>C2453+2</f>
        <v>41223</v>
      </c>
      <c r="W2453">
        <f>IF(D2453=' Pivot Tables'!$A$4,1,0)</f>
        <v>0</v>
      </c>
      <c r="X2453">
        <f>IF(AND(LEFT(D2453,4)+1=LEFT(' Pivot Tables'!$A$4,4)+0,RIGHT(LEFT(D2453,7),2)=RIGHT(LEFT(' Pivot Tables'!$A$4,7),2)),1,0)</f>
        <v>0</v>
      </c>
      <c r="Y2453" s="6">
        <f>1/COUNTIF(Таблица1[Order ID],Таблица1[[#This Row],[Order ID]])</f>
        <v>1</v>
      </c>
      <c r="Z2453" s="9">
        <f>1/COUNTIFS(Таблица1[Customer Name],Таблица1[[#This Row],[Customer Name]],Таблица1[Order-Year-Month],Таблица1[[#This Row],[Order-Year-Month]])</f>
        <v>1</v>
      </c>
    </row>
    <row r="2454" spans="1:26" x14ac:dyDescent="0.2">
      <c r="A2454" s="6">
        <v>7204</v>
      </c>
      <c r="B2454" s="7">
        <v>51395</v>
      </c>
      <c r="C2454" s="8">
        <f>DATE(2012,12,31)-936</f>
        <v>40338</v>
      </c>
      <c r="D2454" s="8" t="str">
        <f t="shared" si="48"/>
        <v>2010-06 (июнь 2010)</v>
      </c>
      <c r="E2454" s="9" t="s">
        <v>21</v>
      </c>
      <c r="F2454" s="7">
        <v>26</v>
      </c>
      <c r="G2454" s="7">
        <v>78.22</v>
      </c>
      <c r="H2454" s="7">
        <v>0.03</v>
      </c>
      <c r="I2454" s="9" t="s">
        <v>22</v>
      </c>
      <c r="J2454" s="10">
        <v>32.5</v>
      </c>
      <c r="K2454" s="11">
        <v>2.88</v>
      </c>
      <c r="L2454" s="11">
        <v>0.5</v>
      </c>
      <c r="M2454" s="9" t="s">
        <v>1385</v>
      </c>
      <c r="N2454" s="6" t="s">
        <v>1123</v>
      </c>
      <c r="O2454" s="6" t="s">
        <v>1123</v>
      </c>
      <c r="P2454" s="9" t="s">
        <v>41</v>
      </c>
      <c r="Q2454" s="9" t="s">
        <v>26</v>
      </c>
      <c r="R2454" s="9" t="s">
        <v>88</v>
      </c>
      <c r="S2454" s="7" t="s">
        <v>1398</v>
      </c>
      <c r="T2454" s="9" t="s">
        <v>39</v>
      </c>
      <c r="U2454" s="7">
        <v>0.36</v>
      </c>
      <c r="V2454" s="12">
        <f>C2454+5</f>
        <v>40343</v>
      </c>
      <c r="W2454">
        <f>IF(D2454=' Pivot Tables'!$A$4,1,0)</f>
        <v>0</v>
      </c>
      <c r="X2454">
        <f>IF(AND(LEFT(D2454,4)+1=LEFT(' Pivot Tables'!$A$4,4)+0,RIGHT(LEFT(D2454,7),2)=RIGHT(LEFT(' Pivot Tables'!$A$4,7),2)),1,0)</f>
        <v>0</v>
      </c>
      <c r="Y2454" s="6">
        <f>1/COUNTIF(Таблица1[Order ID],Таблица1[[#This Row],[Order ID]])</f>
        <v>0.5</v>
      </c>
      <c r="Z2454" s="9">
        <f>1/COUNTIFS(Таблица1[Customer Name],Таблица1[[#This Row],[Customer Name]],Таблица1[Order-Year-Month],Таблица1[[#This Row],[Order-Year-Month]])</f>
        <v>0.33333333333333331</v>
      </c>
    </row>
    <row r="2455" spans="1:26" x14ac:dyDescent="0.2">
      <c r="A2455" s="6">
        <v>7205</v>
      </c>
      <c r="B2455" s="7">
        <v>51395</v>
      </c>
      <c r="C2455" s="8">
        <f>DATE(2012,12,31)-936</f>
        <v>40338</v>
      </c>
      <c r="D2455" s="8" t="str">
        <f t="shared" si="48"/>
        <v>2010-06 (июнь 2010)</v>
      </c>
      <c r="E2455" s="9" t="s">
        <v>21</v>
      </c>
      <c r="F2455" s="7">
        <v>10</v>
      </c>
      <c r="G2455" s="7">
        <v>51.65</v>
      </c>
      <c r="H2455" s="7">
        <v>0.1</v>
      </c>
      <c r="I2455" s="9" t="s">
        <v>22</v>
      </c>
      <c r="J2455" s="10">
        <v>-32.130000000000003</v>
      </c>
      <c r="K2455" s="11">
        <v>4.9800000000000004</v>
      </c>
      <c r="L2455" s="11">
        <v>5.49</v>
      </c>
      <c r="M2455" s="9" t="s">
        <v>1385</v>
      </c>
      <c r="N2455" s="6" t="s">
        <v>1123</v>
      </c>
      <c r="O2455" s="6" t="s">
        <v>1123</v>
      </c>
      <c r="P2455" s="9" t="s">
        <v>41</v>
      </c>
      <c r="Q2455" s="9" t="s">
        <v>26</v>
      </c>
      <c r="R2455" s="9" t="s">
        <v>61</v>
      </c>
      <c r="S2455" s="7" t="s">
        <v>1224</v>
      </c>
      <c r="T2455" s="9" t="s">
        <v>39</v>
      </c>
      <c r="U2455" s="7">
        <v>0.38</v>
      </c>
      <c r="V2455" s="12">
        <f>C2455+4</f>
        <v>40342</v>
      </c>
      <c r="W2455">
        <f>IF(D2455=' Pivot Tables'!$A$4,1,0)</f>
        <v>0</v>
      </c>
      <c r="X2455">
        <f>IF(AND(LEFT(D2455,4)+1=LEFT(' Pivot Tables'!$A$4,4)+0,RIGHT(LEFT(D2455,7),2)=RIGHT(LEFT(' Pivot Tables'!$A$4,7),2)),1,0)</f>
        <v>0</v>
      </c>
      <c r="Y2455" s="6">
        <f>1/COUNTIF(Таблица1[Order ID],Таблица1[[#This Row],[Order ID]])</f>
        <v>0.5</v>
      </c>
      <c r="Z2455" s="9">
        <f>1/COUNTIFS(Таблица1[Customer Name],Таблица1[[#This Row],[Customer Name]],Таблица1[Order-Year-Month],Таблица1[[#This Row],[Order-Year-Month]])</f>
        <v>0.33333333333333331</v>
      </c>
    </row>
    <row r="2456" spans="1:26" x14ac:dyDescent="0.2">
      <c r="A2456" s="6">
        <v>7234</v>
      </c>
      <c r="B2456" s="7">
        <v>51559</v>
      </c>
      <c r="C2456" s="8">
        <f>DATE(2012,12,31)-302</f>
        <v>40972</v>
      </c>
      <c r="D2456" s="8" t="str">
        <f t="shared" si="48"/>
        <v>2012-03 (март 2012)</v>
      </c>
      <c r="E2456" s="9" t="s">
        <v>21</v>
      </c>
      <c r="F2456" s="7">
        <v>34</v>
      </c>
      <c r="G2456" s="7">
        <v>823.98</v>
      </c>
      <c r="H2456" s="7">
        <v>0.09</v>
      </c>
      <c r="I2456" s="9" t="s">
        <v>22</v>
      </c>
      <c r="J2456" s="10">
        <v>129.81</v>
      </c>
      <c r="K2456" s="11">
        <v>25.98</v>
      </c>
      <c r="L2456" s="11">
        <v>4.08</v>
      </c>
      <c r="M2456" s="9" t="s">
        <v>1014</v>
      </c>
      <c r="N2456" s="6" t="s">
        <v>1123</v>
      </c>
      <c r="O2456" s="6" t="s">
        <v>1123</v>
      </c>
      <c r="P2456" s="9" t="s">
        <v>33</v>
      </c>
      <c r="Q2456" s="9" t="s">
        <v>26</v>
      </c>
      <c r="R2456" s="9" t="s">
        <v>95</v>
      </c>
      <c r="S2456" s="7" t="s">
        <v>1138</v>
      </c>
      <c r="T2456" s="9" t="s">
        <v>52</v>
      </c>
      <c r="U2456" s="7">
        <v>0.56999999999999995</v>
      </c>
      <c r="V2456" s="12">
        <f>C2456+9</f>
        <v>40981</v>
      </c>
      <c r="W2456">
        <f>IF(D2456=' Pivot Tables'!$A$4,1,0)</f>
        <v>0</v>
      </c>
      <c r="X2456">
        <f>IF(AND(LEFT(D2456,4)+1=LEFT(' Pivot Tables'!$A$4,4)+0,RIGHT(LEFT(D2456,7),2)=RIGHT(LEFT(' Pivot Tables'!$A$4,7),2)),1,0)</f>
        <v>0</v>
      </c>
      <c r="Y2456" s="6">
        <f>1/COUNTIF(Таблица1[Order ID],Таблица1[[#This Row],[Order ID]])</f>
        <v>1</v>
      </c>
      <c r="Z2456" s="9">
        <f>1/COUNTIFS(Таблица1[Customer Name],Таблица1[[#This Row],[Customer Name]],Таблица1[Order-Year-Month],Таблица1[[#This Row],[Order-Year-Month]])</f>
        <v>1</v>
      </c>
    </row>
    <row r="2457" spans="1:26" x14ac:dyDescent="0.2">
      <c r="A2457" s="6">
        <v>7262</v>
      </c>
      <c r="B2457" s="7">
        <v>51813</v>
      </c>
      <c r="C2457" s="8">
        <f>DATE(2012,12,31)-10</f>
        <v>41264</v>
      </c>
      <c r="D2457" s="8" t="str">
        <f t="shared" si="48"/>
        <v>2012-12 (декабрь 2012)</v>
      </c>
      <c r="E2457" s="9" t="s">
        <v>45</v>
      </c>
      <c r="F2457" s="7">
        <v>13</v>
      </c>
      <c r="G2457" s="7">
        <v>1390.17</v>
      </c>
      <c r="H2457" s="7">
        <v>7.0000000000000007E-2</v>
      </c>
      <c r="I2457" s="9" t="s">
        <v>22</v>
      </c>
      <c r="J2457" s="10">
        <v>-469.84</v>
      </c>
      <c r="K2457" s="11">
        <v>110.98</v>
      </c>
      <c r="L2457" s="11">
        <v>35</v>
      </c>
      <c r="M2457" s="9" t="s">
        <v>1385</v>
      </c>
      <c r="N2457" s="6" t="s">
        <v>1123</v>
      </c>
      <c r="O2457" s="6" t="s">
        <v>1123</v>
      </c>
      <c r="P2457" s="9" t="s">
        <v>41</v>
      </c>
      <c r="Q2457" s="9" t="s">
        <v>26</v>
      </c>
      <c r="R2457" s="9" t="s">
        <v>27</v>
      </c>
      <c r="S2457" s="7" t="s">
        <v>1026</v>
      </c>
      <c r="T2457" s="9" t="s">
        <v>29</v>
      </c>
      <c r="U2457" s="7">
        <v>0.82</v>
      </c>
      <c r="V2457" s="12">
        <f>C2457+2</f>
        <v>41266</v>
      </c>
      <c r="W2457">
        <f>IF(D2457=' Pivot Tables'!$A$4,1,0)</f>
        <v>0</v>
      </c>
      <c r="X2457">
        <f>IF(AND(LEFT(D2457,4)+1=LEFT(' Pivot Tables'!$A$4,4)+0,RIGHT(LEFT(D2457,7),2)=RIGHT(LEFT(' Pivot Tables'!$A$4,7),2)),1,0)</f>
        <v>0</v>
      </c>
      <c r="Y2457" s="6">
        <f>1/COUNTIF(Таблица1[Order ID],Таблица1[[#This Row],[Order ID]])</f>
        <v>1</v>
      </c>
      <c r="Z2457" s="9">
        <f>1/COUNTIFS(Таблица1[Customer Name],Таблица1[[#This Row],[Customer Name]],Таблица1[Order-Year-Month],Таблица1[[#This Row],[Order-Year-Month]])</f>
        <v>1</v>
      </c>
    </row>
    <row r="2458" spans="1:26" x14ac:dyDescent="0.2">
      <c r="A2458" s="6">
        <v>7276</v>
      </c>
      <c r="B2458" s="7">
        <v>51937</v>
      </c>
      <c r="C2458" s="8">
        <f>DATE(2012,12,31)-1403</f>
        <v>39871</v>
      </c>
      <c r="D2458" s="8" t="str">
        <f t="shared" si="48"/>
        <v>2009-02 (февраль 2009)</v>
      </c>
      <c r="E2458" s="9" t="s">
        <v>30</v>
      </c>
      <c r="F2458" s="7">
        <v>39</v>
      </c>
      <c r="G2458" s="7">
        <v>11613.13</v>
      </c>
      <c r="H2458" s="7">
        <v>0.05</v>
      </c>
      <c r="I2458" s="9" t="s">
        <v>31</v>
      </c>
      <c r="J2458" s="10">
        <v>2816.21</v>
      </c>
      <c r="K2458" s="11">
        <v>294.62</v>
      </c>
      <c r="L2458" s="11">
        <v>42.52</v>
      </c>
      <c r="M2458" s="9" t="s">
        <v>1261</v>
      </c>
      <c r="N2458" s="6" t="s">
        <v>1123</v>
      </c>
      <c r="O2458" s="6" t="s">
        <v>1123</v>
      </c>
      <c r="P2458" s="9" t="s">
        <v>41</v>
      </c>
      <c r="Q2458" s="9" t="s">
        <v>26</v>
      </c>
      <c r="R2458" s="9" t="s">
        <v>34</v>
      </c>
      <c r="S2458" s="7" t="s">
        <v>1013</v>
      </c>
      <c r="T2458" s="9" t="s">
        <v>36</v>
      </c>
      <c r="U2458" s="7">
        <v>0.56999999999999995</v>
      </c>
      <c r="V2458" s="12">
        <f>C2458+0</f>
        <v>39871</v>
      </c>
      <c r="W2458">
        <f>IF(D2458=' Pivot Tables'!$A$4,1,0)</f>
        <v>0</v>
      </c>
      <c r="X2458">
        <f>IF(AND(LEFT(D2458,4)+1=LEFT(' Pivot Tables'!$A$4,4)+0,RIGHT(LEFT(D2458,7),2)=RIGHT(LEFT(' Pivot Tables'!$A$4,7),2)),1,0)</f>
        <v>0</v>
      </c>
      <c r="Y2458" s="6">
        <f>1/COUNTIF(Таблица1[Order ID],Таблица1[[#This Row],[Order ID]])</f>
        <v>1</v>
      </c>
      <c r="Z2458" s="9">
        <f>1/COUNTIFS(Таблица1[Customer Name],Таблица1[[#This Row],[Customer Name]],Таблица1[Order-Year-Month],Таблица1[[#This Row],[Order-Year-Month]])</f>
        <v>1</v>
      </c>
    </row>
    <row r="2459" spans="1:26" x14ac:dyDescent="0.2">
      <c r="A2459" s="6">
        <v>7307</v>
      </c>
      <c r="B2459" s="7">
        <v>52098</v>
      </c>
      <c r="C2459" s="8">
        <f>DATE(2012,12,31)-1027</f>
        <v>40247</v>
      </c>
      <c r="D2459" s="8" t="str">
        <f t="shared" si="48"/>
        <v>2010-03 (март 2010)</v>
      </c>
      <c r="E2459" s="9" t="s">
        <v>63</v>
      </c>
      <c r="F2459" s="7">
        <v>19</v>
      </c>
      <c r="G2459" s="7">
        <v>812.06</v>
      </c>
      <c r="H2459" s="7">
        <v>0</v>
      </c>
      <c r="I2459" s="9" t="s">
        <v>22</v>
      </c>
      <c r="J2459" s="10">
        <v>220.065</v>
      </c>
      <c r="K2459" s="11">
        <v>39.06</v>
      </c>
      <c r="L2459" s="11">
        <v>10.55</v>
      </c>
      <c r="M2459" s="9" t="s">
        <v>1278</v>
      </c>
      <c r="N2459" s="6" t="s">
        <v>1123</v>
      </c>
      <c r="O2459" s="6" t="s">
        <v>1123</v>
      </c>
      <c r="P2459" s="9" t="s">
        <v>41</v>
      </c>
      <c r="Q2459" s="9" t="s">
        <v>49</v>
      </c>
      <c r="R2459" s="9" t="s">
        <v>112</v>
      </c>
      <c r="S2459" s="7" t="s">
        <v>1397</v>
      </c>
      <c r="T2459" s="9" t="s">
        <v>36</v>
      </c>
      <c r="U2459" s="7">
        <v>0.61</v>
      </c>
      <c r="V2459" s="12">
        <f>C2459+0</f>
        <v>40247</v>
      </c>
      <c r="W2459">
        <f>IF(D2459=' Pivot Tables'!$A$4,1,0)</f>
        <v>0</v>
      </c>
      <c r="X2459">
        <f>IF(AND(LEFT(D2459,4)+1=LEFT(' Pivot Tables'!$A$4,4)+0,RIGHT(LEFT(D2459,7),2)=RIGHT(LEFT(' Pivot Tables'!$A$4,7),2)),1,0)</f>
        <v>0</v>
      </c>
      <c r="Y2459" s="6">
        <f>1/COUNTIF(Таблица1[Order ID],Таблица1[[#This Row],[Order ID]])</f>
        <v>1</v>
      </c>
      <c r="Z2459" s="9">
        <f>1/COUNTIFS(Таблица1[Customer Name],Таблица1[[#This Row],[Customer Name]],Таблица1[Order-Year-Month],Таблица1[[#This Row],[Order-Year-Month]])</f>
        <v>0.33333333333333331</v>
      </c>
    </row>
    <row r="2460" spans="1:26" x14ac:dyDescent="0.2">
      <c r="A2460" s="6">
        <v>7308</v>
      </c>
      <c r="B2460" s="7">
        <v>52102</v>
      </c>
      <c r="C2460" s="8">
        <f>DATE(2012,12,31)-841</f>
        <v>40433</v>
      </c>
      <c r="D2460" s="8" t="str">
        <f t="shared" si="48"/>
        <v>2010-09 (сентябрь 2010)</v>
      </c>
      <c r="E2460" s="9" t="s">
        <v>63</v>
      </c>
      <c r="F2460" s="7">
        <v>8</v>
      </c>
      <c r="G2460" s="7">
        <v>104.27</v>
      </c>
      <c r="H2460" s="7">
        <v>0.03</v>
      </c>
      <c r="I2460" s="9" t="s">
        <v>22</v>
      </c>
      <c r="J2460" s="10">
        <v>-23.61</v>
      </c>
      <c r="K2460" s="11">
        <v>11.97</v>
      </c>
      <c r="L2460" s="11">
        <v>5.81</v>
      </c>
      <c r="M2460" s="9" t="s">
        <v>622</v>
      </c>
      <c r="N2460" s="6" t="s">
        <v>1123</v>
      </c>
      <c r="O2460" s="6" t="s">
        <v>1123</v>
      </c>
      <c r="P2460" s="9" t="s">
        <v>41</v>
      </c>
      <c r="Q2460" s="9" t="s">
        <v>26</v>
      </c>
      <c r="R2460" s="9" t="s">
        <v>95</v>
      </c>
      <c r="S2460" s="7" t="s">
        <v>521</v>
      </c>
      <c r="T2460" s="9" t="s">
        <v>52</v>
      </c>
      <c r="U2460" s="7">
        <v>0.6</v>
      </c>
      <c r="V2460" s="12">
        <f>C2460+0</f>
        <v>40433</v>
      </c>
      <c r="W2460">
        <f>IF(D2460=' Pivot Tables'!$A$4,1,0)</f>
        <v>0</v>
      </c>
      <c r="X2460">
        <f>IF(AND(LEFT(D2460,4)+1=LEFT(' Pivot Tables'!$A$4,4)+0,RIGHT(LEFT(D2460,7),2)=RIGHT(LEFT(' Pivot Tables'!$A$4,7),2)),1,0)</f>
        <v>0</v>
      </c>
      <c r="Y2460" s="6">
        <f>1/COUNTIF(Таблица1[Order ID],Таблица1[[#This Row],[Order ID]])</f>
        <v>1</v>
      </c>
      <c r="Z2460" s="9">
        <f>1/COUNTIFS(Таблица1[Customer Name],Таблица1[[#This Row],[Customer Name]],Таблица1[Order-Year-Month],Таблица1[[#This Row],[Order-Year-Month]])</f>
        <v>1</v>
      </c>
    </row>
    <row r="2461" spans="1:26" x14ac:dyDescent="0.2">
      <c r="A2461" s="6">
        <v>7312</v>
      </c>
      <c r="B2461" s="7">
        <v>52135</v>
      </c>
      <c r="C2461" s="8">
        <f>DATE(2012,12,31)-1013</f>
        <v>40261</v>
      </c>
      <c r="D2461" s="8" t="str">
        <f t="shared" si="48"/>
        <v>2010-03 (март 2010)</v>
      </c>
      <c r="E2461" s="9" t="s">
        <v>21</v>
      </c>
      <c r="F2461" s="7">
        <v>38</v>
      </c>
      <c r="G2461" s="7">
        <v>3922.96</v>
      </c>
      <c r="H2461" s="7">
        <v>0.04</v>
      </c>
      <c r="I2461" s="9" t="s">
        <v>22</v>
      </c>
      <c r="J2461" s="10">
        <v>863.57</v>
      </c>
      <c r="K2461" s="11">
        <v>99.99</v>
      </c>
      <c r="L2461" s="11">
        <v>19.989999999999998</v>
      </c>
      <c r="M2461" s="9" t="s">
        <v>1256</v>
      </c>
      <c r="N2461" s="6" t="s">
        <v>1123</v>
      </c>
      <c r="O2461" s="6" t="s">
        <v>1123</v>
      </c>
      <c r="P2461" s="9" t="s">
        <v>25</v>
      </c>
      <c r="Q2461" s="9" t="s">
        <v>42</v>
      </c>
      <c r="R2461" s="9" t="s">
        <v>70</v>
      </c>
      <c r="S2461" s="7" t="s">
        <v>306</v>
      </c>
      <c r="T2461" s="9" t="s">
        <v>39</v>
      </c>
      <c r="U2461" s="7">
        <v>0.5</v>
      </c>
      <c r="V2461" s="12">
        <f>C2461+2</f>
        <v>40263</v>
      </c>
      <c r="W2461">
        <f>IF(D2461=' Pivot Tables'!$A$4,1,0)</f>
        <v>0</v>
      </c>
      <c r="X2461">
        <f>IF(AND(LEFT(D2461,4)+1=LEFT(' Pivot Tables'!$A$4,4)+0,RIGHT(LEFT(D2461,7),2)=RIGHT(LEFT(' Pivot Tables'!$A$4,7),2)),1,0)</f>
        <v>0</v>
      </c>
      <c r="Y2461" s="6">
        <f>1/COUNTIF(Таблица1[Order ID],Таблица1[[#This Row],[Order ID]])</f>
        <v>1</v>
      </c>
      <c r="Z2461" s="9">
        <f>1/COUNTIFS(Таблица1[Customer Name],Таблица1[[#This Row],[Customer Name]],Таблица1[Order-Year-Month],Таблица1[[#This Row],[Order-Year-Month]])</f>
        <v>1</v>
      </c>
    </row>
    <row r="2462" spans="1:26" x14ac:dyDescent="0.2">
      <c r="A2462" s="6">
        <v>7315</v>
      </c>
      <c r="B2462" s="7">
        <v>52162</v>
      </c>
      <c r="C2462" s="8">
        <f>DATE(2012,12,31)-426</f>
        <v>40848</v>
      </c>
      <c r="D2462" s="8" t="str">
        <f t="shared" si="48"/>
        <v>2011-11 (ноябрь 2011)</v>
      </c>
      <c r="E2462" s="9" t="s">
        <v>45</v>
      </c>
      <c r="F2462" s="7">
        <v>39</v>
      </c>
      <c r="G2462" s="7">
        <v>261.16000000000003</v>
      </c>
      <c r="H2462" s="7">
        <v>7.0000000000000007E-2</v>
      </c>
      <c r="I2462" s="9" t="s">
        <v>22</v>
      </c>
      <c r="J2462" s="10">
        <v>-220.3</v>
      </c>
      <c r="K2462" s="11">
        <v>6.48</v>
      </c>
      <c r="L2462" s="11">
        <v>9.68</v>
      </c>
      <c r="M2462" s="9" t="s">
        <v>1278</v>
      </c>
      <c r="N2462" s="6" t="s">
        <v>1123</v>
      </c>
      <c r="O2462" s="6" t="s">
        <v>1123</v>
      </c>
      <c r="P2462" s="9" t="s">
        <v>60</v>
      </c>
      <c r="Q2462" s="9" t="s">
        <v>49</v>
      </c>
      <c r="R2462" s="9" t="s">
        <v>80</v>
      </c>
      <c r="S2462" s="7" t="s">
        <v>989</v>
      </c>
      <c r="T2462" s="9" t="s">
        <v>82</v>
      </c>
      <c r="U2462" s="7">
        <v>0.56000000000000005</v>
      </c>
      <c r="V2462" s="12">
        <f>C2462+0</f>
        <v>40848</v>
      </c>
      <c r="W2462">
        <f>IF(D2462=' Pivot Tables'!$A$4,1,0)</f>
        <v>0</v>
      </c>
      <c r="X2462">
        <f>IF(AND(LEFT(D2462,4)+1=LEFT(' Pivot Tables'!$A$4,4)+0,RIGHT(LEFT(D2462,7),2)=RIGHT(LEFT(' Pivot Tables'!$A$4,7),2)),1,0)</f>
        <v>0</v>
      </c>
      <c r="Y2462" s="6">
        <f>1/COUNTIF(Таблица1[Order ID],Таблица1[[#This Row],[Order ID]])</f>
        <v>0.5</v>
      </c>
      <c r="Z2462" s="9">
        <f>1/COUNTIFS(Таблица1[Customer Name],Таблица1[[#This Row],[Customer Name]],Таблица1[Order-Year-Month],Таблица1[[#This Row],[Order-Year-Month]])</f>
        <v>0.5</v>
      </c>
    </row>
    <row r="2463" spans="1:26" x14ac:dyDescent="0.2">
      <c r="A2463" s="6">
        <v>7316</v>
      </c>
      <c r="B2463" s="7">
        <v>52162</v>
      </c>
      <c r="C2463" s="8">
        <f>DATE(2012,12,31)-426</f>
        <v>40848</v>
      </c>
      <c r="D2463" s="8" t="str">
        <f t="shared" si="48"/>
        <v>2011-11 (ноябрь 2011)</v>
      </c>
      <c r="E2463" s="9" t="s">
        <v>45</v>
      </c>
      <c r="F2463" s="7">
        <v>47</v>
      </c>
      <c r="G2463" s="7">
        <v>155.22</v>
      </c>
      <c r="H2463" s="7">
        <v>7.0000000000000007E-2</v>
      </c>
      <c r="I2463" s="9" t="s">
        <v>22</v>
      </c>
      <c r="J2463" s="10">
        <v>23.34</v>
      </c>
      <c r="K2463" s="11">
        <v>3.29</v>
      </c>
      <c r="L2463" s="11">
        <v>1.35</v>
      </c>
      <c r="M2463" s="9" t="s">
        <v>1278</v>
      </c>
      <c r="N2463" s="6" t="s">
        <v>1123</v>
      </c>
      <c r="O2463" s="6" t="s">
        <v>1123</v>
      </c>
      <c r="P2463" s="9" t="s">
        <v>60</v>
      </c>
      <c r="Q2463" s="9" t="s">
        <v>49</v>
      </c>
      <c r="R2463" s="9" t="s">
        <v>112</v>
      </c>
      <c r="S2463" s="7" t="s">
        <v>915</v>
      </c>
      <c r="T2463" s="9" t="s">
        <v>36</v>
      </c>
      <c r="U2463" s="7">
        <v>0.55000000000000004</v>
      </c>
      <c r="V2463" s="12">
        <f>C2463+1</f>
        <v>40849</v>
      </c>
      <c r="W2463">
        <f>IF(D2463=' Pivot Tables'!$A$4,1,0)</f>
        <v>0</v>
      </c>
      <c r="X2463">
        <f>IF(AND(LEFT(D2463,4)+1=LEFT(' Pivot Tables'!$A$4,4)+0,RIGHT(LEFT(D2463,7),2)=RIGHT(LEFT(' Pivot Tables'!$A$4,7),2)),1,0)</f>
        <v>0</v>
      </c>
      <c r="Y2463" s="6">
        <f>1/COUNTIF(Таблица1[Order ID],Таблица1[[#This Row],[Order ID]])</f>
        <v>0.5</v>
      </c>
      <c r="Z2463" s="9">
        <f>1/COUNTIFS(Таблица1[Customer Name],Таблица1[[#This Row],[Customer Name]],Таблица1[Order-Year-Month],Таблица1[[#This Row],[Order-Year-Month]])</f>
        <v>0.5</v>
      </c>
    </row>
    <row r="2464" spans="1:26" x14ac:dyDescent="0.2">
      <c r="A2464" s="6">
        <v>7332</v>
      </c>
      <c r="B2464" s="7">
        <v>52256</v>
      </c>
      <c r="C2464" s="8">
        <f>DATE(2012,12,31)-788</f>
        <v>40486</v>
      </c>
      <c r="D2464" s="8" t="str">
        <f t="shared" si="48"/>
        <v>2010-11 (ноябрь 2010)</v>
      </c>
      <c r="E2464" s="9" t="s">
        <v>45</v>
      </c>
      <c r="F2464" s="7">
        <v>23</v>
      </c>
      <c r="G2464" s="7">
        <v>1236.954</v>
      </c>
      <c r="H2464" s="7">
        <v>0.06</v>
      </c>
      <c r="I2464" s="9" t="s">
        <v>22</v>
      </c>
      <c r="J2464" s="10">
        <v>119.88900000000001</v>
      </c>
      <c r="K2464" s="11">
        <v>65.989999999999995</v>
      </c>
      <c r="L2464" s="11">
        <v>4.2</v>
      </c>
      <c r="M2464" s="9" t="s">
        <v>1364</v>
      </c>
      <c r="N2464" s="6" t="s">
        <v>1123</v>
      </c>
      <c r="O2464" s="6" t="s">
        <v>1123</v>
      </c>
      <c r="P2464" s="9" t="s">
        <v>41</v>
      </c>
      <c r="Q2464" s="9" t="s">
        <v>42</v>
      </c>
      <c r="R2464" s="9" t="s">
        <v>43</v>
      </c>
      <c r="S2464" s="7" t="s">
        <v>1399</v>
      </c>
      <c r="T2464" s="9" t="s">
        <v>39</v>
      </c>
      <c r="U2464" s="7">
        <v>0.59</v>
      </c>
      <c r="V2464" s="12">
        <f>C2464+2</f>
        <v>40488</v>
      </c>
      <c r="W2464">
        <f>IF(D2464=' Pivot Tables'!$A$4,1,0)</f>
        <v>0</v>
      </c>
      <c r="X2464">
        <f>IF(AND(LEFT(D2464,4)+1=LEFT(' Pivot Tables'!$A$4,4)+0,RIGHT(LEFT(D2464,7),2)=RIGHT(LEFT(' Pivot Tables'!$A$4,7),2)),1,0)</f>
        <v>0</v>
      </c>
      <c r="Y2464" s="6">
        <f>1/COUNTIF(Таблица1[Order ID],Таблица1[[#This Row],[Order ID]])</f>
        <v>1</v>
      </c>
      <c r="Z2464" s="9">
        <f>1/COUNTIFS(Таблица1[Customer Name],Таблица1[[#This Row],[Customer Name]],Таблица1[Order-Year-Month],Таблица1[[#This Row],[Order-Year-Month]])</f>
        <v>1</v>
      </c>
    </row>
    <row r="2465" spans="1:26" x14ac:dyDescent="0.2">
      <c r="A2465" s="6">
        <v>7354</v>
      </c>
      <c r="B2465" s="7">
        <v>52391</v>
      </c>
      <c r="C2465" s="8">
        <f>DATE(2012,12,31)-1115</f>
        <v>40159</v>
      </c>
      <c r="D2465" s="8" t="str">
        <f t="shared" si="48"/>
        <v>2009-12 (декабрь 2009)</v>
      </c>
      <c r="E2465" s="9" t="s">
        <v>30</v>
      </c>
      <c r="F2465" s="7">
        <v>36</v>
      </c>
      <c r="G2465" s="7">
        <v>1072.3599999999999</v>
      </c>
      <c r="H2465" s="7">
        <v>0.04</v>
      </c>
      <c r="I2465" s="9" t="s">
        <v>22</v>
      </c>
      <c r="J2465" s="10">
        <v>440.48</v>
      </c>
      <c r="K2465" s="11">
        <v>29.14</v>
      </c>
      <c r="L2465" s="11">
        <v>4.8600000000000003</v>
      </c>
      <c r="M2465" s="9" t="s">
        <v>1257</v>
      </c>
      <c r="N2465" s="6" t="s">
        <v>1123</v>
      </c>
      <c r="O2465" s="6" t="s">
        <v>1123</v>
      </c>
      <c r="P2465" s="9" t="s">
        <v>41</v>
      </c>
      <c r="Q2465" s="9" t="s">
        <v>26</v>
      </c>
      <c r="R2465" s="9" t="s">
        <v>61</v>
      </c>
      <c r="S2465" s="7" t="s">
        <v>397</v>
      </c>
      <c r="T2465" s="9" t="s">
        <v>68</v>
      </c>
      <c r="U2465" s="7">
        <v>0.38</v>
      </c>
      <c r="V2465" s="12">
        <f>C2465+2</f>
        <v>40161</v>
      </c>
      <c r="W2465">
        <f>IF(D2465=' Pivot Tables'!$A$4,1,0)</f>
        <v>0</v>
      </c>
      <c r="X2465">
        <f>IF(AND(LEFT(D2465,4)+1=LEFT(' Pivot Tables'!$A$4,4)+0,RIGHT(LEFT(D2465,7),2)=RIGHT(LEFT(' Pivot Tables'!$A$4,7),2)),1,0)</f>
        <v>0</v>
      </c>
      <c r="Y2465" s="6">
        <f>1/COUNTIF(Таблица1[Order ID],Таблица1[[#This Row],[Order ID]])</f>
        <v>0.5</v>
      </c>
      <c r="Z2465" s="9">
        <f>1/COUNTIFS(Таблица1[Customer Name],Таблица1[[#This Row],[Customer Name]],Таблица1[Order-Year-Month],Таблица1[[#This Row],[Order-Year-Month]])</f>
        <v>0.5</v>
      </c>
    </row>
    <row r="2466" spans="1:26" x14ac:dyDescent="0.2">
      <c r="A2466" s="6">
        <v>7355</v>
      </c>
      <c r="B2466" s="7">
        <v>52391</v>
      </c>
      <c r="C2466" s="8">
        <f>DATE(2012,12,31)-1115</f>
        <v>40159</v>
      </c>
      <c r="D2466" s="8" t="str">
        <f t="shared" si="48"/>
        <v>2009-12 (декабрь 2009)</v>
      </c>
      <c r="E2466" s="9" t="s">
        <v>30</v>
      </c>
      <c r="F2466" s="7">
        <v>39</v>
      </c>
      <c r="G2466" s="7">
        <v>857.84</v>
      </c>
      <c r="H2466" s="7">
        <v>0.02</v>
      </c>
      <c r="I2466" s="9" t="s">
        <v>22</v>
      </c>
      <c r="J2466" s="10">
        <v>-309.43</v>
      </c>
      <c r="K2466" s="11">
        <v>20.89</v>
      </c>
      <c r="L2466" s="11">
        <v>11.52</v>
      </c>
      <c r="M2466" s="9" t="s">
        <v>1257</v>
      </c>
      <c r="N2466" s="6" t="s">
        <v>1123</v>
      </c>
      <c r="O2466" s="6" t="s">
        <v>1123</v>
      </c>
      <c r="P2466" s="9" t="s">
        <v>41</v>
      </c>
      <c r="Q2466" s="9" t="s">
        <v>26</v>
      </c>
      <c r="R2466" s="9" t="s">
        <v>27</v>
      </c>
      <c r="S2466" s="7" t="s">
        <v>1041</v>
      </c>
      <c r="T2466" s="9" t="s">
        <v>39</v>
      </c>
      <c r="U2466" s="7">
        <v>0.83</v>
      </c>
      <c r="V2466" s="12">
        <f>C2466+2</f>
        <v>40161</v>
      </c>
      <c r="W2466">
        <f>IF(D2466=' Pivot Tables'!$A$4,1,0)</f>
        <v>0</v>
      </c>
      <c r="X2466">
        <f>IF(AND(LEFT(D2466,4)+1=LEFT(' Pivot Tables'!$A$4,4)+0,RIGHT(LEFT(D2466,7),2)=RIGHT(LEFT(' Pivot Tables'!$A$4,7),2)),1,0)</f>
        <v>0</v>
      </c>
      <c r="Y2466" s="6">
        <f>1/COUNTIF(Таблица1[Order ID],Таблица1[[#This Row],[Order ID]])</f>
        <v>0.5</v>
      </c>
      <c r="Z2466" s="9">
        <f>1/COUNTIFS(Таблица1[Customer Name],Таблица1[[#This Row],[Customer Name]],Таблица1[Order-Year-Month],Таблица1[[#This Row],[Order-Year-Month]])</f>
        <v>0.5</v>
      </c>
    </row>
    <row r="2467" spans="1:26" x14ac:dyDescent="0.2">
      <c r="A2467" s="6">
        <v>7384</v>
      </c>
      <c r="B2467" s="7">
        <v>52642</v>
      </c>
      <c r="C2467" s="8">
        <f>DATE(2012,12,31)-566</f>
        <v>40708</v>
      </c>
      <c r="D2467" s="8" t="str">
        <f t="shared" si="48"/>
        <v>2011-06 (июнь 2011)</v>
      </c>
      <c r="E2467" s="9" t="s">
        <v>21</v>
      </c>
      <c r="F2467" s="7">
        <v>9</v>
      </c>
      <c r="G2467" s="7">
        <v>742.84</v>
      </c>
      <c r="H2467" s="7">
        <v>0.01</v>
      </c>
      <c r="I2467" s="9" t="s">
        <v>31</v>
      </c>
      <c r="J2467" s="10">
        <v>-320.7</v>
      </c>
      <c r="K2467" s="11">
        <v>70.98</v>
      </c>
      <c r="L2467" s="11">
        <v>59.81</v>
      </c>
      <c r="M2467" s="9" t="s">
        <v>1313</v>
      </c>
      <c r="N2467" s="6" t="s">
        <v>1123</v>
      </c>
      <c r="O2467" s="6" t="s">
        <v>1123</v>
      </c>
      <c r="P2467" s="9" t="s">
        <v>60</v>
      </c>
      <c r="Q2467" s="9" t="s">
        <v>49</v>
      </c>
      <c r="R2467" s="9" t="s">
        <v>112</v>
      </c>
      <c r="S2467" s="7" t="s">
        <v>1400</v>
      </c>
      <c r="T2467" s="9" t="s">
        <v>36</v>
      </c>
      <c r="U2467" s="7">
        <v>0.6</v>
      </c>
      <c r="V2467" s="12">
        <f>C2467+4</f>
        <v>40712</v>
      </c>
      <c r="W2467">
        <f>IF(D2467=' Pivot Tables'!$A$4,1,0)</f>
        <v>0</v>
      </c>
      <c r="X2467">
        <f>IF(AND(LEFT(D2467,4)+1=LEFT(' Pivot Tables'!$A$4,4)+0,RIGHT(LEFT(D2467,7),2)=RIGHT(LEFT(' Pivot Tables'!$A$4,7),2)),1,0)</f>
        <v>0</v>
      </c>
      <c r="Y2467" s="6">
        <f>1/COUNTIF(Таблица1[Order ID],Таблица1[[#This Row],[Order ID]])</f>
        <v>0.33333333333333331</v>
      </c>
      <c r="Z2467" s="9">
        <f>1/COUNTIFS(Таблица1[Customer Name],Таблица1[[#This Row],[Customer Name]],Таблица1[Order-Year-Month],Таблица1[[#This Row],[Order-Year-Month]])</f>
        <v>0.33333333333333331</v>
      </c>
    </row>
    <row r="2468" spans="1:26" x14ac:dyDescent="0.2">
      <c r="A2468" s="6">
        <v>7385</v>
      </c>
      <c r="B2468" s="7">
        <v>52642</v>
      </c>
      <c r="C2468" s="8">
        <f>DATE(2012,12,31)-566</f>
        <v>40708</v>
      </c>
      <c r="D2468" s="8" t="str">
        <f t="shared" si="48"/>
        <v>2011-06 (июнь 2011)</v>
      </c>
      <c r="E2468" s="9" t="s">
        <v>21</v>
      </c>
      <c r="F2468" s="7">
        <v>14</v>
      </c>
      <c r="G2468" s="7">
        <v>2070.6799999999998</v>
      </c>
      <c r="H2468" s="7">
        <v>0.03</v>
      </c>
      <c r="I2468" s="9" t="s">
        <v>22</v>
      </c>
      <c r="J2468" s="10">
        <v>-281.67</v>
      </c>
      <c r="K2468" s="11">
        <v>152.47999999999999</v>
      </c>
      <c r="L2468" s="11">
        <v>4</v>
      </c>
      <c r="M2468" s="9" t="s">
        <v>1313</v>
      </c>
      <c r="N2468" s="6" t="s">
        <v>1123</v>
      </c>
      <c r="O2468" s="6" t="s">
        <v>1123</v>
      </c>
      <c r="P2468" s="9" t="s">
        <v>60</v>
      </c>
      <c r="Q2468" s="9" t="s">
        <v>42</v>
      </c>
      <c r="R2468" s="9" t="s">
        <v>70</v>
      </c>
      <c r="S2468" s="7" t="s">
        <v>844</v>
      </c>
      <c r="T2468" s="9" t="s">
        <v>39</v>
      </c>
      <c r="U2468" s="7">
        <v>0.79</v>
      </c>
      <c r="V2468" s="12">
        <f>C2468+7</f>
        <v>40715</v>
      </c>
      <c r="W2468">
        <f>IF(D2468=' Pivot Tables'!$A$4,1,0)</f>
        <v>0</v>
      </c>
      <c r="X2468">
        <f>IF(AND(LEFT(D2468,4)+1=LEFT(' Pivot Tables'!$A$4,4)+0,RIGHT(LEFT(D2468,7),2)=RIGHT(LEFT(' Pivot Tables'!$A$4,7),2)),1,0)</f>
        <v>0</v>
      </c>
      <c r="Y2468" s="6">
        <f>1/COUNTIF(Таблица1[Order ID],Таблица1[[#This Row],[Order ID]])</f>
        <v>0.33333333333333331</v>
      </c>
      <c r="Z2468" s="9">
        <f>1/COUNTIFS(Таблица1[Customer Name],Таблица1[[#This Row],[Customer Name]],Таблица1[Order-Year-Month],Таблица1[[#This Row],[Order-Year-Month]])</f>
        <v>0.33333333333333331</v>
      </c>
    </row>
    <row r="2469" spans="1:26" x14ac:dyDescent="0.2">
      <c r="A2469" s="6">
        <v>7386</v>
      </c>
      <c r="B2469" s="7">
        <v>52642</v>
      </c>
      <c r="C2469" s="8">
        <f>DATE(2012,12,31)-566</f>
        <v>40708</v>
      </c>
      <c r="D2469" s="8" t="str">
        <f t="shared" si="48"/>
        <v>2011-06 (июнь 2011)</v>
      </c>
      <c r="E2469" s="9" t="s">
        <v>21</v>
      </c>
      <c r="F2469" s="7">
        <v>15</v>
      </c>
      <c r="G2469" s="7">
        <v>764.13</v>
      </c>
      <c r="H2469" s="7">
        <v>0.09</v>
      </c>
      <c r="I2469" s="9" t="s">
        <v>22</v>
      </c>
      <c r="J2469" s="10">
        <v>276.98</v>
      </c>
      <c r="K2469" s="11">
        <v>55.98</v>
      </c>
      <c r="L2469" s="11">
        <v>4.8600000000000003</v>
      </c>
      <c r="M2469" s="9" t="s">
        <v>1313</v>
      </c>
      <c r="N2469" s="6" t="s">
        <v>1123</v>
      </c>
      <c r="O2469" s="6" t="s">
        <v>1123</v>
      </c>
      <c r="P2469" s="9" t="s">
        <v>60</v>
      </c>
      <c r="Q2469" s="9" t="s">
        <v>26</v>
      </c>
      <c r="R2469" s="9" t="s">
        <v>61</v>
      </c>
      <c r="S2469" s="7" t="s">
        <v>1260</v>
      </c>
      <c r="T2469" s="9" t="s">
        <v>39</v>
      </c>
      <c r="U2469" s="7">
        <v>0.36</v>
      </c>
      <c r="V2469" s="12">
        <f>C2469+7</f>
        <v>40715</v>
      </c>
      <c r="W2469">
        <f>IF(D2469=' Pivot Tables'!$A$4,1,0)</f>
        <v>0</v>
      </c>
      <c r="X2469">
        <f>IF(AND(LEFT(D2469,4)+1=LEFT(' Pivot Tables'!$A$4,4)+0,RIGHT(LEFT(D2469,7),2)=RIGHT(LEFT(' Pivot Tables'!$A$4,7),2)),1,0)</f>
        <v>0</v>
      </c>
      <c r="Y2469" s="6">
        <f>1/COUNTIF(Таблица1[Order ID],Таблица1[[#This Row],[Order ID]])</f>
        <v>0.33333333333333331</v>
      </c>
      <c r="Z2469" s="9">
        <f>1/COUNTIFS(Таблица1[Customer Name],Таблица1[[#This Row],[Customer Name]],Таблица1[Order-Year-Month],Таблица1[[#This Row],[Order-Year-Month]])</f>
        <v>0.33333333333333331</v>
      </c>
    </row>
    <row r="2470" spans="1:26" x14ac:dyDescent="0.2">
      <c r="A2470" s="6">
        <v>7387</v>
      </c>
      <c r="B2470" s="7">
        <v>52645</v>
      </c>
      <c r="C2470" s="8">
        <f>DATE(2012,12,31)-299</f>
        <v>40975</v>
      </c>
      <c r="D2470" s="8" t="str">
        <f t="shared" si="48"/>
        <v>2012-03 (март 2012)</v>
      </c>
      <c r="E2470" s="9" t="s">
        <v>21</v>
      </c>
      <c r="F2470" s="7">
        <v>11</v>
      </c>
      <c r="G2470" s="7">
        <v>64.34</v>
      </c>
      <c r="H2470" s="7">
        <v>0.09</v>
      </c>
      <c r="I2470" s="9" t="s">
        <v>22</v>
      </c>
      <c r="J2470" s="10">
        <v>-8.3699999999999992</v>
      </c>
      <c r="K2470" s="11">
        <v>5.85</v>
      </c>
      <c r="L2470" s="11">
        <v>2.27</v>
      </c>
      <c r="M2470" s="9" t="s">
        <v>1257</v>
      </c>
      <c r="N2470" s="6" t="s">
        <v>1123</v>
      </c>
      <c r="O2470" s="6" t="s">
        <v>1123</v>
      </c>
      <c r="P2470" s="9" t="s">
        <v>41</v>
      </c>
      <c r="Q2470" s="9" t="s">
        <v>26</v>
      </c>
      <c r="R2470" s="9" t="s">
        <v>95</v>
      </c>
      <c r="S2470" s="7" t="s">
        <v>463</v>
      </c>
      <c r="T2470" s="9" t="s">
        <v>68</v>
      </c>
      <c r="U2470" s="7">
        <v>0.56000000000000005</v>
      </c>
      <c r="V2470" s="12">
        <f>C2470+5</f>
        <v>40980</v>
      </c>
      <c r="W2470">
        <f>IF(D2470=' Pivot Tables'!$A$4,1,0)</f>
        <v>0</v>
      </c>
      <c r="X2470">
        <f>IF(AND(LEFT(D2470,4)+1=LEFT(' Pivot Tables'!$A$4,4)+0,RIGHT(LEFT(D2470,7),2)=RIGHT(LEFT(' Pivot Tables'!$A$4,7),2)),1,0)</f>
        <v>0</v>
      </c>
      <c r="Y2470" s="6">
        <f>1/COUNTIF(Таблица1[Order ID],Таблица1[[#This Row],[Order ID]])</f>
        <v>0.5</v>
      </c>
      <c r="Z2470" s="9">
        <f>1/COUNTIFS(Таблица1[Customer Name],Таблица1[[#This Row],[Customer Name]],Таблица1[Order-Year-Month],Таблица1[[#This Row],[Order-Year-Month]])</f>
        <v>0.33333333333333331</v>
      </c>
    </row>
    <row r="2471" spans="1:26" x14ac:dyDescent="0.2">
      <c r="A2471" s="6">
        <v>7388</v>
      </c>
      <c r="B2471" s="7">
        <v>52645</v>
      </c>
      <c r="C2471" s="8">
        <f>DATE(2012,12,31)-299</f>
        <v>40975</v>
      </c>
      <c r="D2471" s="8" t="str">
        <f t="shared" si="48"/>
        <v>2012-03 (март 2012)</v>
      </c>
      <c r="E2471" s="9" t="s">
        <v>21</v>
      </c>
      <c r="F2471" s="7">
        <v>10</v>
      </c>
      <c r="G2471" s="7">
        <v>693.02</v>
      </c>
      <c r="H2471" s="7">
        <v>7.0000000000000007E-2</v>
      </c>
      <c r="I2471" s="9" t="s">
        <v>22</v>
      </c>
      <c r="J2471" s="10">
        <v>97.36</v>
      </c>
      <c r="K2471" s="11">
        <v>70.97</v>
      </c>
      <c r="L2471" s="11">
        <v>3.5</v>
      </c>
      <c r="M2471" s="9" t="s">
        <v>1257</v>
      </c>
      <c r="N2471" s="6" t="s">
        <v>1123</v>
      </c>
      <c r="O2471" s="6" t="s">
        <v>1123</v>
      </c>
      <c r="P2471" s="9" t="s">
        <v>41</v>
      </c>
      <c r="Q2471" s="9" t="s">
        <v>26</v>
      </c>
      <c r="R2471" s="9" t="s">
        <v>34</v>
      </c>
      <c r="S2471" s="7" t="s">
        <v>1401</v>
      </c>
      <c r="T2471" s="9" t="s">
        <v>39</v>
      </c>
      <c r="U2471" s="7">
        <v>0.59</v>
      </c>
      <c r="V2471" s="12">
        <f>C2471+9</f>
        <v>40984</v>
      </c>
      <c r="W2471">
        <f>IF(D2471=' Pivot Tables'!$A$4,1,0)</f>
        <v>0</v>
      </c>
      <c r="X2471">
        <f>IF(AND(LEFT(D2471,4)+1=LEFT(' Pivot Tables'!$A$4,4)+0,RIGHT(LEFT(D2471,7),2)=RIGHT(LEFT(' Pivot Tables'!$A$4,7),2)),1,0)</f>
        <v>0</v>
      </c>
      <c r="Y2471" s="6">
        <f>1/COUNTIF(Таблица1[Order ID],Таблица1[[#This Row],[Order ID]])</f>
        <v>0.5</v>
      </c>
      <c r="Z2471" s="9">
        <f>1/COUNTIFS(Таблица1[Customer Name],Таблица1[[#This Row],[Customer Name]],Таблица1[Order-Year-Month],Таблица1[[#This Row],[Order-Year-Month]])</f>
        <v>0.33333333333333331</v>
      </c>
    </row>
    <row r="2472" spans="1:26" x14ac:dyDescent="0.2">
      <c r="A2472" s="6">
        <v>7399</v>
      </c>
      <c r="B2472" s="7">
        <v>52711</v>
      </c>
      <c r="C2472" s="8">
        <f>DATE(2012,12,31)-465</f>
        <v>40809</v>
      </c>
      <c r="D2472" s="8" t="str">
        <f t="shared" si="48"/>
        <v>2011-09 (сентябрь 2011)</v>
      </c>
      <c r="E2472" s="9" t="s">
        <v>45</v>
      </c>
      <c r="F2472" s="7">
        <v>37</v>
      </c>
      <c r="G2472" s="7">
        <v>201.14</v>
      </c>
      <c r="H2472" s="7">
        <v>0.08</v>
      </c>
      <c r="I2472" s="9" t="s">
        <v>22</v>
      </c>
      <c r="J2472" s="10">
        <v>-51.25</v>
      </c>
      <c r="K2472" s="11">
        <v>5.81</v>
      </c>
      <c r="L2472" s="11">
        <v>3.37</v>
      </c>
      <c r="M2472" s="9" t="s">
        <v>1376</v>
      </c>
      <c r="N2472" s="6" t="s">
        <v>1123</v>
      </c>
      <c r="O2472" s="6" t="s">
        <v>1123</v>
      </c>
      <c r="P2472" s="9" t="s">
        <v>60</v>
      </c>
      <c r="Q2472" s="9" t="s">
        <v>26</v>
      </c>
      <c r="R2472" s="9" t="s">
        <v>66</v>
      </c>
      <c r="S2472" s="7" t="s">
        <v>792</v>
      </c>
      <c r="T2472" s="9" t="s">
        <v>68</v>
      </c>
      <c r="U2472" s="7">
        <v>0.54</v>
      </c>
      <c r="V2472" s="12">
        <f>C2472+0</f>
        <v>40809</v>
      </c>
      <c r="W2472">
        <f>IF(D2472=' Pivot Tables'!$A$4,1,0)</f>
        <v>0</v>
      </c>
      <c r="X2472">
        <f>IF(AND(LEFT(D2472,4)+1=LEFT(' Pivot Tables'!$A$4,4)+0,RIGHT(LEFT(D2472,7),2)=RIGHT(LEFT(' Pivot Tables'!$A$4,7),2)),1,0)</f>
        <v>0</v>
      </c>
      <c r="Y2472" s="6">
        <f>1/COUNTIF(Таблица1[Order ID],Таблица1[[#This Row],[Order ID]])</f>
        <v>0.33333333333333331</v>
      </c>
      <c r="Z2472" s="9">
        <f>1/COUNTIFS(Таблица1[Customer Name],Таблица1[[#This Row],[Customer Name]],Таблица1[Order-Year-Month],Таблица1[[#This Row],[Order-Year-Month]])</f>
        <v>0.33333333333333331</v>
      </c>
    </row>
    <row r="2473" spans="1:26" x14ac:dyDescent="0.2">
      <c r="A2473" s="6">
        <v>7412</v>
      </c>
      <c r="B2473" s="7">
        <v>52896</v>
      </c>
      <c r="C2473" s="8">
        <f>DATE(2012,12,31)-801</f>
        <v>40473</v>
      </c>
      <c r="D2473" s="8" t="str">
        <f t="shared" si="48"/>
        <v>2010-10 (октябрь 2010)</v>
      </c>
      <c r="E2473" s="9" t="s">
        <v>30</v>
      </c>
      <c r="F2473" s="7">
        <v>9</v>
      </c>
      <c r="G2473" s="7">
        <v>48.26</v>
      </c>
      <c r="H2473" s="7">
        <v>0.09</v>
      </c>
      <c r="I2473" s="9" t="s">
        <v>56</v>
      </c>
      <c r="J2473" s="10">
        <v>2.76</v>
      </c>
      <c r="K2473" s="11">
        <v>5.18</v>
      </c>
      <c r="L2473" s="11">
        <v>2.04</v>
      </c>
      <c r="M2473" s="9" t="s">
        <v>1385</v>
      </c>
      <c r="N2473" s="6" t="s">
        <v>1123</v>
      </c>
      <c r="O2473" s="6" t="s">
        <v>1123</v>
      </c>
      <c r="P2473" s="9" t="s">
        <v>60</v>
      </c>
      <c r="Q2473" s="9" t="s">
        <v>26</v>
      </c>
      <c r="R2473" s="9" t="s">
        <v>61</v>
      </c>
      <c r="S2473" s="7" t="s">
        <v>391</v>
      </c>
      <c r="T2473" s="9" t="s">
        <v>68</v>
      </c>
      <c r="U2473" s="7">
        <v>0.36</v>
      </c>
      <c r="V2473" s="12">
        <f>C2473+2</f>
        <v>40475</v>
      </c>
      <c r="W2473">
        <f>IF(D2473=' Pivot Tables'!$A$4,1,0)</f>
        <v>0</v>
      </c>
      <c r="X2473">
        <f>IF(AND(LEFT(D2473,4)+1=LEFT(' Pivot Tables'!$A$4,4)+0,RIGHT(LEFT(D2473,7),2)=RIGHT(LEFT(' Pivot Tables'!$A$4,7),2)),1,0)</f>
        <v>0</v>
      </c>
      <c r="Y2473" s="6">
        <f>1/COUNTIF(Таблица1[Order ID],Таблица1[[#This Row],[Order ID]])</f>
        <v>0.2</v>
      </c>
      <c r="Z2473" s="9">
        <f>1/COUNTIFS(Таблица1[Customer Name],Таблица1[[#This Row],[Customer Name]],Таблица1[Order-Year-Month],Таблица1[[#This Row],[Order-Year-Month]])</f>
        <v>0.2</v>
      </c>
    </row>
    <row r="2474" spans="1:26" x14ac:dyDescent="0.2">
      <c r="A2474" s="6">
        <v>7413</v>
      </c>
      <c r="B2474" s="7">
        <v>52896</v>
      </c>
      <c r="C2474" s="8">
        <f>DATE(2012,12,31)-801</f>
        <v>40473</v>
      </c>
      <c r="D2474" s="8" t="str">
        <f t="shared" si="48"/>
        <v>2010-10 (октябрь 2010)</v>
      </c>
      <c r="E2474" s="9" t="s">
        <v>30</v>
      </c>
      <c r="F2474" s="7">
        <v>6</v>
      </c>
      <c r="G2474" s="7">
        <v>1718.43</v>
      </c>
      <c r="H2474" s="7">
        <v>0</v>
      </c>
      <c r="I2474" s="9" t="s">
        <v>31</v>
      </c>
      <c r="J2474" s="10">
        <v>-192.49199999999999</v>
      </c>
      <c r="K2474" s="11">
        <v>259.70999999999998</v>
      </c>
      <c r="L2474" s="11">
        <v>66.67</v>
      </c>
      <c r="M2474" s="9" t="s">
        <v>1385</v>
      </c>
      <c r="N2474" s="6" t="s">
        <v>1123</v>
      </c>
      <c r="O2474" s="6" t="s">
        <v>1123</v>
      </c>
      <c r="P2474" s="9" t="s">
        <v>60</v>
      </c>
      <c r="Q2474" s="9" t="s">
        <v>49</v>
      </c>
      <c r="R2474" s="9" t="s">
        <v>83</v>
      </c>
      <c r="S2474" s="7" t="s">
        <v>510</v>
      </c>
      <c r="T2474" s="9" t="s">
        <v>82</v>
      </c>
      <c r="U2474" s="7">
        <v>0.65</v>
      </c>
      <c r="V2474" s="12">
        <f>C2474+1</f>
        <v>40474</v>
      </c>
      <c r="W2474">
        <f>IF(D2474=' Pivot Tables'!$A$4,1,0)</f>
        <v>0</v>
      </c>
      <c r="X2474">
        <f>IF(AND(LEFT(D2474,4)+1=LEFT(' Pivot Tables'!$A$4,4)+0,RIGHT(LEFT(D2474,7),2)=RIGHT(LEFT(' Pivot Tables'!$A$4,7),2)),1,0)</f>
        <v>0</v>
      </c>
      <c r="Y2474" s="6">
        <f>1/COUNTIF(Таблица1[Order ID],Таблица1[[#This Row],[Order ID]])</f>
        <v>0.2</v>
      </c>
      <c r="Z2474" s="9">
        <f>1/COUNTIFS(Таблица1[Customer Name],Таблица1[[#This Row],[Customer Name]],Таблица1[Order-Year-Month],Таблица1[[#This Row],[Order-Year-Month]])</f>
        <v>0.2</v>
      </c>
    </row>
    <row r="2475" spans="1:26" x14ac:dyDescent="0.2">
      <c r="A2475" s="6">
        <v>7432</v>
      </c>
      <c r="B2475" s="7">
        <v>52999</v>
      </c>
      <c r="C2475" s="8">
        <f>DATE(2012,12,31)-250</f>
        <v>41024</v>
      </c>
      <c r="D2475" s="8" t="str">
        <f t="shared" si="48"/>
        <v>2012-04 (апрель 2012)</v>
      </c>
      <c r="E2475" s="9" t="s">
        <v>45</v>
      </c>
      <c r="F2475" s="7">
        <v>5</v>
      </c>
      <c r="G2475" s="7">
        <v>43.61</v>
      </c>
      <c r="H2475" s="7">
        <v>0.04</v>
      </c>
      <c r="I2475" s="9" t="s">
        <v>56</v>
      </c>
      <c r="J2475" s="10">
        <v>22.85</v>
      </c>
      <c r="K2475" s="11">
        <v>7.59</v>
      </c>
      <c r="L2475" s="11">
        <v>4</v>
      </c>
      <c r="M2475" s="9" t="s">
        <v>1285</v>
      </c>
      <c r="N2475" s="6" t="s">
        <v>1123</v>
      </c>
      <c r="O2475" s="6" t="s">
        <v>1123</v>
      </c>
      <c r="P2475" s="9" t="s">
        <v>60</v>
      </c>
      <c r="Q2475" s="9" t="s">
        <v>49</v>
      </c>
      <c r="R2475" s="9" t="s">
        <v>50</v>
      </c>
      <c r="S2475" s="7" t="s">
        <v>504</v>
      </c>
      <c r="T2475" s="9" t="s">
        <v>68</v>
      </c>
      <c r="U2475" s="7">
        <v>0.42</v>
      </c>
      <c r="V2475" s="12">
        <f>C2475+2</f>
        <v>41026</v>
      </c>
      <c r="W2475">
        <f>IF(D2475=' Pivot Tables'!$A$4,1,0)</f>
        <v>0</v>
      </c>
      <c r="X2475">
        <f>IF(AND(LEFT(D2475,4)+1=LEFT(' Pivot Tables'!$A$4,4)+0,RIGHT(LEFT(D2475,7),2)=RIGHT(LEFT(' Pivot Tables'!$A$4,7),2)),1,0)</f>
        <v>0</v>
      </c>
      <c r="Y2475" s="6">
        <f>1/COUNTIF(Таблица1[Order ID],Таблица1[[#This Row],[Order ID]])</f>
        <v>0.33333333333333331</v>
      </c>
      <c r="Z2475" s="9">
        <f>1/COUNTIFS(Таблица1[Customer Name],Таблица1[[#This Row],[Customer Name]],Таблица1[Order-Year-Month],Таблица1[[#This Row],[Order-Year-Month]])</f>
        <v>0.33333333333333331</v>
      </c>
    </row>
    <row r="2476" spans="1:26" x14ac:dyDescent="0.2">
      <c r="A2476" s="6">
        <v>7433</v>
      </c>
      <c r="B2476" s="7">
        <v>52999</v>
      </c>
      <c r="C2476" s="8">
        <f>DATE(2012,12,31)-250</f>
        <v>41024</v>
      </c>
      <c r="D2476" s="8" t="str">
        <f t="shared" si="48"/>
        <v>2012-04 (апрель 2012)</v>
      </c>
      <c r="E2476" s="9" t="s">
        <v>45</v>
      </c>
      <c r="F2476" s="7">
        <v>39</v>
      </c>
      <c r="G2476" s="7">
        <v>343.05</v>
      </c>
      <c r="H2476" s="7">
        <v>0.05</v>
      </c>
      <c r="I2476" s="9" t="s">
        <v>22</v>
      </c>
      <c r="J2476" s="10">
        <v>98.86</v>
      </c>
      <c r="K2476" s="11">
        <v>9.11</v>
      </c>
      <c r="L2476" s="11">
        <v>2.15</v>
      </c>
      <c r="M2476" s="9" t="s">
        <v>1285</v>
      </c>
      <c r="N2476" s="6" t="s">
        <v>1123</v>
      </c>
      <c r="O2476" s="6" t="s">
        <v>1123</v>
      </c>
      <c r="P2476" s="9" t="s">
        <v>60</v>
      </c>
      <c r="Q2476" s="9" t="s">
        <v>26</v>
      </c>
      <c r="R2476" s="9" t="s">
        <v>61</v>
      </c>
      <c r="S2476" s="7" t="s">
        <v>1402</v>
      </c>
      <c r="T2476" s="9" t="s">
        <v>68</v>
      </c>
      <c r="U2476" s="7">
        <v>0.4</v>
      </c>
      <c r="V2476" s="12">
        <f>C2476+2</f>
        <v>41026</v>
      </c>
      <c r="W2476">
        <f>IF(D2476=' Pivot Tables'!$A$4,1,0)</f>
        <v>0</v>
      </c>
      <c r="X2476">
        <f>IF(AND(LEFT(D2476,4)+1=LEFT(' Pivot Tables'!$A$4,4)+0,RIGHT(LEFT(D2476,7),2)=RIGHT(LEFT(' Pivot Tables'!$A$4,7),2)),1,0)</f>
        <v>0</v>
      </c>
      <c r="Y2476" s="6">
        <f>1/COUNTIF(Таблица1[Order ID],Таблица1[[#This Row],[Order ID]])</f>
        <v>0.33333333333333331</v>
      </c>
      <c r="Z2476" s="9">
        <f>1/COUNTIFS(Таблица1[Customer Name],Таблица1[[#This Row],[Customer Name]],Таблица1[Order-Year-Month],Таблица1[[#This Row],[Order-Year-Month]])</f>
        <v>0.33333333333333331</v>
      </c>
    </row>
    <row r="2477" spans="1:26" x14ac:dyDescent="0.2">
      <c r="A2477" s="6">
        <v>7434</v>
      </c>
      <c r="B2477" s="7">
        <v>52999</v>
      </c>
      <c r="C2477" s="8">
        <f>DATE(2012,12,31)-250</f>
        <v>41024</v>
      </c>
      <c r="D2477" s="8" t="str">
        <f t="shared" si="48"/>
        <v>2012-04 (апрель 2012)</v>
      </c>
      <c r="E2477" s="9" t="s">
        <v>45</v>
      </c>
      <c r="F2477" s="7">
        <v>7</v>
      </c>
      <c r="G2477" s="7">
        <v>44.63</v>
      </c>
      <c r="H2477" s="7">
        <v>0.1</v>
      </c>
      <c r="I2477" s="9" t="s">
        <v>22</v>
      </c>
      <c r="J2477" s="10">
        <v>-21.19</v>
      </c>
      <c r="K2477" s="11">
        <v>5.78</v>
      </c>
      <c r="L2477" s="11">
        <v>5.67</v>
      </c>
      <c r="M2477" s="9" t="s">
        <v>1285</v>
      </c>
      <c r="N2477" s="6" t="s">
        <v>1123</v>
      </c>
      <c r="O2477" s="6" t="s">
        <v>1123</v>
      </c>
      <c r="P2477" s="9" t="s">
        <v>60</v>
      </c>
      <c r="Q2477" s="9" t="s">
        <v>26</v>
      </c>
      <c r="R2477" s="9" t="s">
        <v>61</v>
      </c>
      <c r="S2477" s="7" t="s">
        <v>587</v>
      </c>
      <c r="T2477" s="9" t="s">
        <v>39</v>
      </c>
      <c r="U2477" s="7">
        <v>0.36</v>
      </c>
      <c r="V2477" s="12">
        <f>C2477+0</f>
        <v>41024</v>
      </c>
      <c r="W2477">
        <f>IF(D2477=' Pivot Tables'!$A$4,1,0)</f>
        <v>0</v>
      </c>
      <c r="X2477">
        <f>IF(AND(LEFT(D2477,4)+1=LEFT(' Pivot Tables'!$A$4,4)+0,RIGHT(LEFT(D2477,7),2)=RIGHT(LEFT(' Pivot Tables'!$A$4,7),2)),1,0)</f>
        <v>0</v>
      </c>
      <c r="Y2477" s="6">
        <f>1/COUNTIF(Таблица1[Order ID],Таблица1[[#This Row],[Order ID]])</f>
        <v>0.33333333333333331</v>
      </c>
      <c r="Z2477" s="9">
        <f>1/COUNTIFS(Таблица1[Customer Name],Таблица1[[#This Row],[Customer Name]],Таблица1[Order-Year-Month],Таблица1[[#This Row],[Order-Year-Month]])</f>
        <v>0.33333333333333331</v>
      </c>
    </row>
    <row r="2478" spans="1:26" x14ac:dyDescent="0.2">
      <c r="A2478" s="6">
        <v>7463</v>
      </c>
      <c r="B2478" s="7">
        <v>53254</v>
      </c>
      <c r="C2478" s="8">
        <f>DATE(2012,12,31)-1231</f>
        <v>40043</v>
      </c>
      <c r="D2478" s="8" t="str">
        <f t="shared" si="48"/>
        <v>2009-08 (август 2009)</v>
      </c>
      <c r="E2478" s="9" t="s">
        <v>63</v>
      </c>
      <c r="F2478" s="7">
        <v>34</v>
      </c>
      <c r="G2478" s="7">
        <v>5442.1419999999998</v>
      </c>
      <c r="H2478" s="7">
        <v>0</v>
      </c>
      <c r="I2478" s="9" t="s">
        <v>22</v>
      </c>
      <c r="J2478" s="10">
        <v>1640.2950000000001</v>
      </c>
      <c r="K2478" s="11">
        <v>175.99</v>
      </c>
      <c r="L2478" s="11">
        <v>4.99</v>
      </c>
      <c r="M2478" s="9" t="s">
        <v>1383</v>
      </c>
      <c r="N2478" s="6" t="s">
        <v>1123</v>
      </c>
      <c r="O2478" s="6" t="s">
        <v>1123</v>
      </c>
      <c r="P2478" s="9" t="s">
        <v>60</v>
      </c>
      <c r="Q2478" s="9" t="s">
        <v>42</v>
      </c>
      <c r="R2478" s="9" t="s">
        <v>43</v>
      </c>
      <c r="S2478" s="7" t="s">
        <v>771</v>
      </c>
      <c r="T2478" s="9" t="s">
        <v>39</v>
      </c>
      <c r="U2478" s="7">
        <v>0.59</v>
      </c>
      <c r="V2478" s="12">
        <f>C2478+3</f>
        <v>40046</v>
      </c>
      <c r="W2478">
        <f>IF(D2478=' Pivot Tables'!$A$4,1,0)</f>
        <v>0</v>
      </c>
      <c r="X2478">
        <f>IF(AND(LEFT(D2478,4)+1=LEFT(' Pivot Tables'!$A$4,4)+0,RIGHT(LEFT(D2478,7),2)=RIGHT(LEFT(' Pivot Tables'!$A$4,7),2)),1,0)</f>
        <v>0</v>
      </c>
      <c r="Y2478" s="6">
        <f>1/COUNTIF(Таблица1[Order ID],Таблица1[[#This Row],[Order ID]])</f>
        <v>1</v>
      </c>
      <c r="Z2478" s="9">
        <f>1/COUNTIFS(Таблица1[Customer Name],Таблица1[[#This Row],[Customer Name]],Таблица1[Order-Year-Month],Таблица1[[#This Row],[Order-Year-Month]])</f>
        <v>1</v>
      </c>
    </row>
    <row r="2479" spans="1:26" x14ac:dyDescent="0.2">
      <c r="A2479" s="6">
        <v>7464</v>
      </c>
      <c r="B2479" s="7">
        <v>53281</v>
      </c>
      <c r="C2479" s="8">
        <f>DATE(2012,12,31)-1369</f>
        <v>39905</v>
      </c>
      <c r="D2479" s="8" t="str">
        <f t="shared" si="48"/>
        <v>2009-04 (апрель 2009)</v>
      </c>
      <c r="E2479" s="9" t="s">
        <v>78</v>
      </c>
      <c r="F2479" s="7">
        <v>40</v>
      </c>
      <c r="G2479" s="7">
        <v>14075.99</v>
      </c>
      <c r="H2479" s="7">
        <v>0.08</v>
      </c>
      <c r="I2479" s="9" t="s">
        <v>31</v>
      </c>
      <c r="J2479" s="10">
        <v>1894.14</v>
      </c>
      <c r="K2479" s="11">
        <v>355.98</v>
      </c>
      <c r="L2479" s="11">
        <v>58.92</v>
      </c>
      <c r="M2479" s="9" t="s">
        <v>622</v>
      </c>
      <c r="N2479" s="6" t="s">
        <v>1123</v>
      </c>
      <c r="O2479" s="6" t="s">
        <v>1123</v>
      </c>
      <c r="P2479" s="9" t="s">
        <v>41</v>
      </c>
      <c r="Q2479" s="9" t="s">
        <v>49</v>
      </c>
      <c r="R2479" s="9" t="s">
        <v>112</v>
      </c>
      <c r="S2479" s="7" t="s">
        <v>253</v>
      </c>
      <c r="T2479" s="9" t="s">
        <v>36</v>
      </c>
      <c r="U2479" s="7">
        <v>0.64</v>
      </c>
      <c r="V2479" s="12">
        <f>C2479+2</f>
        <v>39907</v>
      </c>
      <c r="W2479">
        <f>IF(D2479=' Pivot Tables'!$A$4,1,0)</f>
        <v>0</v>
      </c>
      <c r="X2479">
        <f>IF(AND(LEFT(D2479,4)+1=LEFT(' Pivot Tables'!$A$4,4)+0,RIGHT(LEFT(D2479,7),2)=RIGHT(LEFT(' Pivot Tables'!$A$4,7),2)),1,0)</f>
        <v>0</v>
      </c>
      <c r="Y2479" s="6">
        <f>1/COUNTIF(Таблица1[Order ID],Таблица1[[#This Row],[Order ID]])</f>
        <v>1</v>
      </c>
      <c r="Z2479" s="9">
        <f>1/COUNTIFS(Таблица1[Customer Name],Таблица1[[#This Row],[Customer Name]],Таблица1[Order-Year-Month],Таблица1[[#This Row],[Order-Year-Month]])</f>
        <v>0.33333333333333331</v>
      </c>
    </row>
    <row r="2480" spans="1:26" x14ac:dyDescent="0.2">
      <c r="A2480" s="6">
        <v>7466</v>
      </c>
      <c r="B2480" s="7">
        <v>53285</v>
      </c>
      <c r="C2480" s="8">
        <f>DATE(2012,12,31)-221</f>
        <v>41053</v>
      </c>
      <c r="D2480" s="8" t="str">
        <f t="shared" si="48"/>
        <v>2012-05 (май 2012)</v>
      </c>
      <c r="E2480" s="9" t="s">
        <v>78</v>
      </c>
      <c r="F2480" s="7">
        <v>6</v>
      </c>
      <c r="G2480" s="7">
        <v>1042.96</v>
      </c>
      <c r="H2480" s="7">
        <v>0.04</v>
      </c>
      <c r="I2480" s="9" t="s">
        <v>22</v>
      </c>
      <c r="J2480" s="10">
        <v>163.80350000000001</v>
      </c>
      <c r="K2480" s="11">
        <v>165.98</v>
      </c>
      <c r="L2480" s="11">
        <v>19.989999999999998</v>
      </c>
      <c r="M2480" s="9" t="s">
        <v>1367</v>
      </c>
      <c r="N2480" s="6" t="s">
        <v>1123</v>
      </c>
      <c r="O2480" s="6" t="s">
        <v>1123</v>
      </c>
      <c r="P2480" s="9" t="s">
        <v>60</v>
      </c>
      <c r="Q2480" s="9" t="s">
        <v>26</v>
      </c>
      <c r="R2480" s="9" t="s">
        <v>37</v>
      </c>
      <c r="S2480" s="7" t="s">
        <v>543</v>
      </c>
      <c r="T2480" s="9" t="s">
        <v>39</v>
      </c>
      <c r="U2480" s="7">
        <v>0.4</v>
      </c>
      <c r="V2480" s="12">
        <f>C2480+2</f>
        <v>41055</v>
      </c>
      <c r="W2480">
        <f>IF(D2480=' Pivot Tables'!$A$4,1,0)</f>
        <v>0</v>
      </c>
      <c r="X2480">
        <f>IF(AND(LEFT(D2480,4)+1=LEFT(' Pivot Tables'!$A$4,4)+0,RIGHT(LEFT(D2480,7),2)=RIGHT(LEFT(' Pivot Tables'!$A$4,7),2)),1,0)</f>
        <v>0</v>
      </c>
      <c r="Y2480" s="6">
        <f>1/COUNTIF(Таблица1[Order ID],Таблица1[[#This Row],[Order ID]])</f>
        <v>1</v>
      </c>
      <c r="Z2480" s="9">
        <f>1/COUNTIFS(Таблица1[Customer Name],Таблица1[[#This Row],[Customer Name]],Таблица1[Order-Year-Month],Таблица1[[#This Row],[Order-Year-Month]])</f>
        <v>1</v>
      </c>
    </row>
    <row r="2481" spans="1:26" x14ac:dyDescent="0.2">
      <c r="A2481" s="6">
        <v>7467</v>
      </c>
      <c r="B2481" s="7">
        <v>53312</v>
      </c>
      <c r="C2481" s="8">
        <f>DATE(2012,12,31)-1276</f>
        <v>39998</v>
      </c>
      <c r="D2481" s="8" t="str">
        <f t="shared" si="48"/>
        <v>2009-07 (июль 2009)</v>
      </c>
      <c r="E2481" s="9" t="s">
        <v>63</v>
      </c>
      <c r="F2481" s="7">
        <v>23</v>
      </c>
      <c r="G2481" s="7">
        <v>8413.23</v>
      </c>
      <c r="H2481" s="7">
        <v>0.05</v>
      </c>
      <c r="I2481" s="9" t="s">
        <v>22</v>
      </c>
      <c r="J2481" s="10">
        <v>2464.75</v>
      </c>
      <c r="K2481" s="11">
        <v>363.25</v>
      </c>
      <c r="L2481" s="11">
        <v>19.989999999999998</v>
      </c>
      <c r="M2481" s="9" t="s">
        <v>1250</v>
      </c>
      <c r="N2481" s="6" t="s">
        <v>1123</v>
      </c>
      <c r="O2481" s="6" t="s">
        <v>1123</v>
      </c>
      <c r="P2481" s="9" t="s">
        <v>60</v>
      </c>
      <c r="Q2481" s="9" t="s">
        <v>26</v>
      </c>
      <c r="R2481" s="9" t="s">
        <v>34</v>
      </c>
      <c r="S2481" s="7" t="s">
        <v>589</v>
      </c>
      <c r="T2481" s="9" t="s">
        <v>39</v>
      </c>
      <c r="U2481" s="7">
        <v>0.56999999999999995</v>
      </c>
      <c r="V2481" s="12">
        <f>C2481+2</f>
        <v>40000</v>
      </c>
      <c r="W2481">
        <f>IF(D2481=' Pivot Tables'!$A$4,1,0)</f>
        <v>0</v>
      </c>
      <c r="X2481">
        <f>IF(AND(LEFT(D2481,4)+1=LEFT(' Pivot Tables'!$A$4,4)+0,RIGHT(LEFT(D2481,7),2)=RIGHT(LEFT(' Pivot Tables'!$A$4,7),2)),1,0)</f>
        <v>0</v>
      </c>
      <c r="Y2481" s="6">
        <f>1/COUNTIF(Таблица1[Order ID],Таблица1[[#This Row],[Order ID]])</f>
        <v>0.5</v>
      </c>
      <c r="Z2481" s="9">
        <f>1/COUNTIFS(Таблица1[Customer Name],Таблица1[[#This Row],[Customer Name]],Таблица1[Order-Year-Month],Таблица1[[#This Row],[Order-Year-Month]])</f>
        <v>0.33333333333333331</v>
      </c>
    </row>
    <row r="2482" spans="1:26" x14ac:dyDescent="0.2">
      <c r="A2482" s="6">
        <v>7468</v>
      </c>
      <c r="B2482" s="7">
        <v>53312</v>
      </c>
      <c r="C2482" s="8">
        <f>DATE(2012,12,31)-1276</f>
        <v>39998</v>
      </c>
      <c r="D2482" s="8" t="str">
        <f t="shared" si="48"/>
        <v>2009-07 (июль 2009)</v>
      </c>
      <c r="E2482" s="9" t="s">
        <v>63</v>
      </c>
      <c r="F2482" s="7">
        <v>30</v>
      </c>
      <c r="G2482" s="7">
        <v>105.45</v>
      </c>
      <c r="H2482" s="7">
        <v>0.06</v>
      </c>
      <c r="I2482" s="9" t="s">
        <v>22</v>
      </c>
      <c r="J2482" s="10">
        <v>-173.36</v>
      </c>
      <c r="K2482" s="11">
        <v>3.34</v>
      </c>
      <c r="L2482" s="11">
        <v>7.49</v>
      </c>
      <c r="M2482" s="9" t="s">
        <v>1250</v>
      </c>
      <c r="N2482" s="6" t="s">
        <v>1123</v>
      </c>
      <c r="O2482" s="6" t="s">
        <v>1123</v>
      </c>
      <c r="P2482" s="9" t="s">
        <v>60</v>
      </c>
      <c r="Q2482" s="9" t="s">
        <v>26</v>
      </c>
      <c r="R2482" s="9" t="s">
        <v>95</v>
      </c>
      <c r="S2482" s="7" t="s">
        <v>765</v>
      </c>
      <c r="T2482" s="9" t="s">
        <v>68</v>
      </c>
      <c r="U2482" s="7">
        <v>0.54</v>
      </c>
      <c r="V2482" s="12">
        <f>C2482+1</f>
        <v>39999</v>
      </c>
      <c r="W2482">
        <f>IF(D2482=' Pivot Tables'!$A$4,1,0)</f>
        <v>0</v>
      </c>
      <c r="X2482">
        <f>IF(AND(LEFT(D2482,4)+1=LEFT(' Pivot Tables'!$A$4,4)+0,RIGHT(LEFT(D2482,7),2)=RIGHT(LEFT(' Pivot Tables'!$A$4,7),2)),1,0)</f>
        <v>0</v>
      </c>
      <c r="Y2482" s="6">
        <f>1/COUNTIF(Таблица1[Order ID],Таблица1[[#This Row],[Order ID]])</f>
        <v>0.5</v>
      </c>
      <c r="Z2482" s="9">
        <f>1/COUNTIFS(Таблица1[Customer Name],Таблица1[[#This Row],[Customer Name]],Таблица1[Order-Year-Month],Таблица1[[#This Row],[Order-Year-Month]])</f>
        <v>0.33333333333333331</v>
      </c>
    </row>
    <row r="2483" spans="1:26" x14ac:dyDescent="0.2">
      <c r="A2483" s="6">
        <v>7514</v>
      </c>
      <c r="B2483" s="7">
        <v>53637</v>
      </c>
      <c r="C2483" s="8">
        <f>DATE(2012,12,31)-655</f>
        <v>40619</v>
      </c>
      <c r="D2483" s="8" t="str">
        <f t="shared" si="48"/>
        <v>2011-03 (март 2011)</v>
      </c>
      <c r="E2483" s="9" t="s">
        <v>30</v>
      </c>
      <c r="F2483" s="7">
        <v>12</v>
      </c>
      <c r="G2483" s="7">
        <v>451.09</v>
      </c>
      <c r="H2483" s="7">
        <v>0.1</v>
      </c>
      <c r="I2483" s="9" t="s">
        <v>56</v>
      </c>
      <c r="J2483" s="10">
        <v>61.27</v>
      </c>
      <c r="K2483" s="11">
        <v>39.979999999999997</v>
      </c>
      <c r="L2483" s="11">
        <v>9.83</v>
      </c>
      <c r="M2483" s="9" t="s">
        <v>1277</v>
      </c>
      <c r="N2483" s="6" t="s">
        <v>1123</v>
      </c>
      <c r="O2483" s="6" t="s">
        <v>1123</v>
      </c>
      <c r="P2483" s="9" t="s">
        <v>33</v>
      </c>
      <c r="Q2483" s="9" t="s">
        <v>26</v>
      </c>
      <c r="R2483" s="9" t="s">
        <v>76</v>
      </c>
      <c r="S2483" s="7" t="s">
        <v>1127</v>
      </c>
      <c r="T2483" s="9" t="s">
        <v>39</v>
      </c>
      <c r="U2483" s="7">
        <v>0.4</v>
      </c>
      <c r="V2483" s="12">
        <f>C2483+1</f>
        <v>40620</v>
      </c>
      <c r="W2483">
        <f>IF(D2483=' Pivot Tables'!$A$4,1,0)</f>
        <v>0</v>
      </c>
      <c r="X2483">
        <f>IF(AND(LEFT(D2483,4)+1=LEFT(' Pivot Tables'!$A$4,4)+0,RIGHT(LEFT(D2483,7),2)=RIGHT(LEFT(' Pivot Tables'!$A$4,7),2)),1,0)</f>
        <v>0</v>
      </c>
      <c r="Y2483" s="6">
        <f>1/COUNTIF(Таблица1[Order ID],Таблица1[[#This Row],[Order ID]])</f>
        <v>1</v>
      </c>
      <c r="Z2483" s="9">
        <f>1/COUNTIFS(Таблица1[Customer Name],Таблица1[[#This Row],[Customer Name]],Таблица1[Order-Year-Month],Таблица1[[#This Row],[Order-Year-Month]])</f>
        <v>1</v>
      </c>
    </row>
    <row r="2484" spans="1:26" x14ac:dyDescent="0.2">
      <c r="A2484" s="6">
        <v>7521</v>
      </c>
      <c r="B2484" s="7">
        <v>53698</v>
      </c>
      <c r="C2484" s="8">
        <f>DATE(2012,12,31)-198</f>
        <v>41076</v>
      </c>
      <c r="D2484" s="8" t="str">
        <f t="shared" si="48"/>
        <v>2012-06 (июнь 2012)</v>
      </c>
      <c r="E2484" s="9" t="s">
        <v>63</v>
      </c>
      <c r="F2484" s="7">
        <v>10</v>
      </c>
      <c r="G2484" s="7">
        <v>55.33</v>
      </c>
      <c r="H2484" s="7">
        <v>0</v>
      </c>
      <c r="I2484" s="9" t="s">
        <v>56</v>
      </c>
      <c r="J2484" s="10">
        <v>13.38</v>
      </c>
      <c r="K2484" s="11">
        <v>4.84</v>
      </c>
      <c r="L2484" s="11">
        <v>0.71</v>
      </c>
      <c r="M2484" s="9" t="s">
        <v>1246</v>
      </c>
      <c r="N2484" s="6" t="s">
        <v>1123</v>
      </c>
      <c r="O2484" s="6" t="s">
        <v>1123</v>
      </c>
      <c r="P2484" s="9" t="s">
        <v>33</v>
      </c>
      <c r="Q2484" s="9" t="s">
        <v>26</v>
      </c>
      <c r="R2484" s="9" t="s">
        <v>95</v>
      </c>
      <c r="S2484" s="7" t="s">
        <v>633</v>
      </c>
      <c r="T2484" s="9" t="s">
        <v>68</v>
      </c>
      <c r="U2484" s="7">
        <v>0.52</v>
      </c>
      <c r="V2484" s="12">
        <f>C2484+1</f>
        <v>41077</v>
      </c>
      <c r="W2484">
        <f>IF(D2484=' Pivot Tables'!$A$4,1,0)</f>
        <v>0</v>
      </c>
      <c r="X2484">
        <f>IF(AND(LEFT(D2484,4)+1=LEFT(' Pivot Tables'!$A$4,4)+0,RIGHT(LEFT(D2484,7),2)=RIGHT(LEFT(' Pivot Tables'!$A$4,7),2)),1,0)</f>
        <v>0</v>
      </c>
      <c r="Y2484" s="6">
        <f>1/COUNTIF(Таблица1[Order ID],Таблица1[[#This Row],[Order ID]])</f>
        <v>1</v>
      </c>
      <c r="Z2484" s="9">
        <f>1/COUNTIFS(Таблица1[Customer Name],Таблица1[[#This Row],[Customer Name]],Таблица1[Order-Year-Month],Таблица1[[#This Row],[Order-Year-Month]])</f>
        <v>1</v>
      </c>
    </row>
    <row r="2485" spans="1:26" x14ac:dyDescent="0.2">
      <c r="A2485" s="6">
        <v>7577</v>
      </c>
      <c r="B2485" s="7">
        <v>54183</v>
      </c>
      <c r="C2485" s="8">
        <f>DATE(2012,12,31)-260</f>
        <v>41014</v>
      </c>
      <c r="D2485" s="8" t="str">
        <f t="shared" si="48"/>
        <v>2012-04 (апрель 2012)</v>
      </c>
      <c r="E2485" s="9" t="s">
        <v>78</v>
      </c>
      <c r="F2485" s="7">
        <v>32</v>
      </c>
      <c r="G2485" s="7">
        <v>2773.71</v>
      </c>
      <c r="H2485" s="7">
        <v>0.02</v>
      </c>
      <c r="I2485" s="9" t="s">
        <v>56</v>
      </c>
      <c r="J2485" s="10">
        <v>1097.25</v>
      </c>
      <c r="K2485" s="11">
        <v>82.99</v>
      </c>
      <c r="L2485" s="11">
        <v>5.5</v>
      </c>
      <c r="M2485" s="9" t="s">
        <v>1334</v>
      </c>
      <c r="N2485" s="6" t="s">
        <v>1123</v>
      </c>
      <c r="O2485" s="6" t="s">
        <v>1123</v>
      </c>
      <c r="P2485" s="9" t="s">
        <v>41</v>
      </c>
      <c r="Q2485" s="9" t="s">
        <v>42</v>
      </c>
      <c r="R2485" s="9" t="s">
        <v>70</v>
      </c>
      <c r="S2485" s="7" t="s">
        <v>573</v>
      </c>
      <c r="T2485" s="9" t="s">
        <v>39</v>
      </c>
      <c r="U2485" s="7">
        <v>0.44</v>
      </c>
      <c r="V2485" s="12">
        <f>C2485+2</f>
        <v>41016</v>
      </c>
      <c r="W2485">
        <f>IF(D2485=' Pivot Tables'!$A$4,1,0)</f>
        <v>0</v>
      </c>
      <c r="X2485">
        <f>IF(AND(LEFT(D2485,4)+1=LEFT(' Pivot Tables'!$A$4,4)+0,RIGHT(LEFT(D2485,7),2)=RIGHT(LEFT(' Pivot Tables'!$A$4,7),2)),1,0)</f>
        <v>0</v>
      </c>
      <c r="Y2485" s="6">
        <f>1/COUNTIF(Таблица1[Order ID],Таблица1[[#This Row],[Order ID]])</f>
        <v>0.5</v>
      </c>
      <c r="Z2485" s="9">
        <f>1/COUNTIFS(Таблица1[Customer Name],Таблица1[[#This Row],[Customer Name]],Таблица1[Order-Year-Month],Таблица1[[#This Row],[Order-Year-Month]])</f>
        <v>0.5</v>
      </c>
    </row>
    <row r="2486" spans="1:26" x14ac:dyDescent="0.2">
      <c r="A2486" s="6">
        <v>7578</v>
      </c>
      <c r="B2486" s="7">
        <v>54183</v>
      </c>
      <c r="C2486" s="8">
        <f>DATE(2012,12,31)-260</f>
        <v>41014</v>
      </c>
      <c r="D2486" s="8" t="str">
        <f t="shared" si="48"/>
        <v>2012-04 (апрель 2012)</v>
      </c>
      <c r="E2486" s="9" t="s">
        <v>78</v>
      </c>
      <c r="F2486" s="7">
        <v>9</v>
      </c>
      <c r="G2486" s="7">
        <v>113.89</v>
      </c>
      <c r="H2486" s="7">
        <v>0.02</v>
      </c>
      <c r="I2486" s="9" t="s">
        <v>22</v>
      </c>
      <c r="J2486" s="10">
        <v>-52.25</v>
      </c>
      <c r="K2486" s="11">
        <v>11.66</v>
      </c>
      <c r="L2486" s="11">
        <v>8.99</v>
      </c>
      <c r="M2486" s="9" t="s">
        <v>1334</v>
      </c>
      <c r="N2486" s="6" t="s">
        <v>1123</v>
      </c>
      <c r="O2486" s="6" t="s">
        <v>1123</v>
      </c>
      <c r="P2486" s="9" t="s">
        <v>41</v>
      </c>
      <c r="Q2486" s="9" t="s">
        <v>26</v>
      </c>
      <c r="R2486" s="9" t="s">
        <v>95</v>
      </c>
      <c r="S2486" s="7" t="s">
        <v>498</v>
      </c>
      <c r="T2486" s="9" t="s">
        <v>52</v>
      </c>
      <c r="U2486" s="7">
        <v>0.59</v>
      </c>
      <c r="V2486" s="12">
        <f>C2486+1</f>
        <v>41015</v>
      </c>
      <c r="W2486">
        <f>IF(D2486=' Pivot Tables'!$A$4,1,0)</f>
        <v>0</v>
      </c>
      <c r="X2486">
        <f>IF(AND(LEFT(D2486,4)+1=LEFT(' Pivot Tables'!$A$4,4)+0,RIGHT(LEFT(D2486,7),2)=RIGHT(LEFT(' Pivot Tables'!$A$4,7),2)),1,0)</f>
        <v>0</v>
      </c>
      <c r="Y2486" s="6">
        <f>1/COUNTIF(Таблица1[Order ID],Таблица1[[#This Row],[Order ID]])</f>
        <v>0.5</v>
      </c>
      <c r="Z2486" s="9">
        <f>1/COUNTIFS(Таблица1[Customer Name],Таблица1[[#This Row],[Customer Name]],Таблица1[Order-Year-Month],Таблица1[[#This Row],[Order-Year-Month]])</f>
        <v>0.5</v>
      </c>
    </row>
    <row r="2487" spans="1:26" x14ac:dyDescent="0.2">
      <c r="A2487" s="6">
        <v>7583</v>
      </c>
      <c r="B2487" s="7">
        <v>54245</v>
      </c>
      <c r="C2487" s="8">
        <f>DATE(2012,12,31)-648</f>
        <v>40626</v>
      </c>
      <c r="D2487" s="8" t="str">
        <f t="shared" si="48"/>
        <v>2011-03 (март 2011)</v>
      </c>
      <c r="E2487" s="9" t="s">
        <v>63</v>
      </c>
      <c r="F2487" s="7">
        <v>5</v>
      </c>
      <c r="G2487" s="7">
        <v>83.3</v>
      </c>
      <c r="H2487" s="7">
        <v>0.09</v>
      </c>
      <c r="I2487" s="9" t="s">
        <v>22</v>
      </c>
      <c r="J2487" s="10">
        <v>-114.90599999999999</v>
      </c>
      <c r="K2487" s="11">
        <v>20.99</v>
      </c>
      <c r="L2487" s="11">
        <v>2.5</v>
      </c>
      <c r="M2487" s="9" t="s">
        <v>1364</v>
      </c>
      <c r="N2487" s="6" t="s">
        <v>1123</v>
      </c>
      <c r="O2487" s="6" t="s">
        <v>1123</v>
      </c>
      <c r="P2487" s="9" t="s">
        <v>41</v>
      </c>
      <c r="Q2487" s="9" t="s">
        <v>42</v>
      </c>
      <c r="R2487" s="9" t="s">
        <v>43</v>
      </c>
      <c r="S2487" s="7" t="s">
        <v>108</v>
      </c>
      <c r="T2487" s="9" t="s">
        <v>68</v>
      </c>
      <c r="U2487" s="7">
        <v>0.81</v>
      </c>
      <c r="V2487" s="12">
        <f>C2487+1</f>
        <v>40627</v>
      </c>
      <c r="W2487">
        <f>IF(D2487=' Pivot Tables'!$A$4,1,0)</f>
        <v>0</v>
      </c>
      <c r="X2487">
        <f>IF(AND(LEFT(D2487,4)+1=LEFT(' Pivot Tables'!$A$4,4)+0,RIGHT(LEFT(D2487,7),2)=RIGHT(LEFT(' Pivot Tables'!$A$4,7),2)),1,0)</f>
        <v>0</v>
      </c>
      <c r="Y2487" s="6">
        <f>1/COUNTIF(Таблица1[Order ID],Таблица1[[#This Row],[Order ID]])</f>
        <v>1</v>
      </c>
      <c r="Z2487" s="9">
        <f>1/COUNTIFS(Таблица1[Customer Name],Таблица1[[#This Row],[Customer Name]],Таблица1[Order-Year-Month],Таблица1[[#This Row],[Order-Year-Month]])</f>
        <v>1</v>
      </c>
    </row>
    <row r="2488" spans="1:26" x14ac:dyDescent="0.2">
      <c r="A2488" s="6">
        <v>7592</v>
      </c>
      <c r="B2488" s="7">
        <v>54339</v>
      </c>
      <c r="C2488" s="8">
        <f>DATE(2012,12,31)-243</f>
        <v>41031</v>
      </c>
      <c r="D2488" s="8" t="str">
        <f t="shared" si="48"/>
        <v>2012-05 (май 2012)</v>
      </c>
      <c r="E2488" s="9" t="s">
        <v>21</v>
      </c>
      <c r="F2488" s="7">
        <v>48</v>
      </c>
      <c r="G2488" s="7">
        <v>3005.74</v>
      </c>
      <c r="H2488" s="7">
        <v>0.02</v>
      </c>
      <c r="I2488" s="9" t="s">
        <v>56</v>
      </c>
      <c r="J2488" s="10">
        <v>1053.21</v>
      </c>
      <c r="K2488" s="11">
        <v>59.98</v>
      </c>
      <c r="L2488" s="11">
        <v>3.99</v>
      </c>
      <c r="M2488" s="9" t="s">
        <v>1257</v>
      </c>
      <c r="N2488" s="6" t="s">
        <v>1123</v>
      </c>
      <c r="O2488" s="6" t="s">
        <v>1123</v>
      </c>
      <c r="P2488" s="9" t="s">
        <v>41</v>
      </c>
      <c r="Q2488" s="9" t="s">
        <v>26</v>
      </c>
      <c r="R2488" s="9" t="s">
        <v>34</v>
      </c>
      <c r="S2488" s="7" t="s">
        <v>448</v>
      </c>
      <c r="T2488" s="9" t="s">
        <v>39</v>
      </c>
      <c r="U2488" s="7">
        <v>0.56999999999999995</v>
      </c>
      <c r="V2488" s="12">
        <f>C2488+7</f>
        <v>41038</v>
      </c>
      <c r="W2488">
        <f>IF(D2488=' Pivot Tables'!$A$4,1,0)</f>
        <v>0</v>
      </c>
      <c r="X2488">
        <f>IF(AND(LEFT(D2488,4)+1=LEFT(' Pivot Tables'!$A$4,4)+0,RIGHT(LEFT(D2488,7),2)=RIGHT(LEFT(' Pivot Tables'!$A$4,7),2)),1,0)</f>
        <v>0</v>
      </c>
      <c r="Y2488" s="6">
        <f>1/COUNTIF(Таблица1[Order ID],Таблица1[[#This Row],[Order ID]])</f>
        <v>0.5</v>
      </c>
      <c r="Z2488" s="9">
        <f>1/COUNTIFS(Таблица1[Customer Name],Таблица1[[#This Row],[Customer Name]],Таблица1[Order-Year-Month],Таблица1[[#This Row],[Order-Year-Month]])</f>
        <v>0.5</v>
      </c>
    </row>
    <row r="2489" spans="1:26" x14ac:dyDescent="0.2">
      <c r="A2489" s="6">
        <v>7593</v>
      </c>
      <c r="B2489" s="7">
        <v>54339</v>
      </c>
      <c r="C2489" s="8">
        <f>DATE(2012,12,31)-243</f>
        <v>41031</v>
      </c>
      <c r="D2489" s="8" t="str">
        <f t="shared" si="48"/>
        <v>2012-05 (май 2012)</v>
      </c>
      <c r="E2489" s="9" t="s">
        <v>21</v>
      </c>
      <c r="F2489" s="7">
        <v>41</v>
      </c>
      <c r="G2489" s="7">
        <v>2209.5155</v>
      </c>
      <c r="H2489" s="7">
        <v>0.06</v>
      </c>
      <c r="I2489" s="9" t="s">
        <v>22</v>
      </c>
      <c r="J2489" s="10">
        <v>458.62199999999996</v>
      </c>
      <c r="K2489" s="11">
        <v>65.989999999999995</v>
      </c>
      <c r="L2489" s="11">
        <v>5.31</v>
      </c>
      <c r="M2489" s="9" t="s">
        <v>1257</v>
      </c>
      <c r="N2489" s="6" t="s">
        <v>1123</v>
      </c>
      <c r="O2489" s="6" t="s">
        <v>1123</v>
      </c>
      <c r="P2489" s="9" t="s">
        <v>41</v>
      </c>
      <c r="Q2489" s="9" t="s">
        <v>42</v>
      </c>
      <c r="R2489" s="9" t="s">
        <v>43</v>
      </c>
      <c r="S2489" s="7" t="s">
        <v>430</v>
      </c>
      <c r="T2489" s="9" t="s">
        <v>39</v>
      </c>
      <c r="U2489" s="7">
        <v>0.56999999999999995</v>
      </c>
      <c r="V2489" s="12">
        <f>C2489+5</f>
        <v>41036</v>
      </c>
      <c r="W2489">
        <f>IF(D2489=' Pivot Tables'!$A$4,1,0)</f>
        <v>0</v>
      </c>
      <c r="X2489">
        <f>IF(AND(LEFT(D2489,4)+1=LEFT(' Pivot Tables'!$A$4,4)+0,RIGHT(LEFT(D2489,7),2)=RIGHT(LEFT(' Pivot Tables'!$A$4,7),2)),1,0)</f>
        <v>0</v>
      </c>
      <c r="Y2489" s="6">
        <f>1/COUNTIF(Таблица1[Order ID],Таблица1[[#This Row],[Order ID]])</f>
        <v>0.5</v>
      </c>
      <c r="Z2489" s="9">
        <f>1/COUNTIFS(Таблица1[Customer Name],Таблица1[[#This Row],[Customer Name]],Таблица1[Order-Year-Month],Таблица1[[#This Row],[Order-Year-Month]])</f>
        <v>0.5</v>
      </c>
    </row>
    <row r="2490" spans="1:26" x14ac:dyDescent="0.2">
      <c r="A2490" s="6">
        <v>7603</v>
      </c>
      <c r="B2490" s="7">
        <v>54401</v>
      </c>
      <c r="C2490" s="8">
        <f>DATE(2012,12,31)-393</f>
        <v>40881</v>
      </c>
      <c r="D2490" s="8" t="str">
        <f t="shared" si="48"/>
        <v>2011-12 (декабрь 2011)</v>
      </c>
      <c r="E2490" s="9" t="s">
        <v>30</v>
      </c>
      <c r="F2490" s="7">
        <v>34</v>
      </c>
      <c r="G2490" s="7">
        <v>670.02</v>
      </c>
      <c r="H2490" s="7">
        <v>7.0000000000000007E-2</v>
      </c>
      <c r="I2490" s="9" t="s">
        <v>22</v>
      </c>
      <c r="J2490" s="10">
        <v>278.57900000000001</v>
      </c>
      <c r="K2490" s="11">
        <v>20.98</v>
      </c>
      <c r="L2490" s="11">
        <v>1.49</v>
      </c>
      <c r="M2490" s="9" t="s">
        <v>1296</v>
      </c>
      <c r="N2490" s="6" t="s">
        <v>1123</v>
      </c>
      <c r="O2490" s="6" t="s">
        <v>1123</v>
      </c>
      <c r="P2490" s="9" t="s">
        <v>60</v>
      </c>
      <c r="Q2490" s="9" t="s">
        <v>26</v>
      </c>
      <c r="R2490" s="9" t="s">
        <v>37</v>
      </c>
      <c r="S2490" s="7" t="s">
        <v>645</v>
      </c>
      <c r="T2490" s="9" t="s">
        <v>39</v>
      </c>
      <c r="U2490" s="7">
        <v>0.35</v>
      </c>
      <c r="V2490" s="12">
        <f>C2490+2</f>
        <v>40883</v>
      </c>
      <c r="W2490">
        <f>IF(D2490=' Pivot Tables'!$A$4,1,0)</f>
        <v>0</v>
      </c>
      <c r="X2490">
        <f>IF(AND(LEFT(D2490,4)+1=LEFT(' Pivot Tables'!$A$4,4)+0,RIGHT(LEFT(D2490,7),2)=RIGHT(LEFT(' Pivot Tables'!$A$4,7),2)),1,0)</f>
        <v>0</v>
      </c>
      <c r="Y2490" s="6">
        <f>1/COUNTIF(Таблица1[Order ID],Таблица1[[#This Row],[Order ID]])</f>
        <v>1</v>
      </c>
      <c r="Z2490" s="9">
        <f>1/COUNTIFS(Таблица1[Customer Name],Таблица1[[#This Row],[Customer Name]],Таблица1[Order-Year-Month],Таблица1[[#This Row],[Order-Year-Month]])</f>
        <v>1</v>
      </c>
    </row>
    <row r="2491" spans="1:26" x14ac:dyDescent="0.2">
      <c r="A2491" s="6">
        <v>7626</v>
      </c>
      <c r="B2491" s="7">
        <v>54563</v>
      </c>
      <c r="C2491" s="8">
        <f>DATE(2012,12,31)-819</f>
        <v>40455</v>
      </c>
      <c r="D2491" s="8" t="str">
        <f t="shared" si="48"/>
        <v>2010-10 (октябрь 2010)</v>
      </c>
      <c r="E2491" s="9" t="s">
        <v>78</v>
      </c>
      <c r="F2491" s="7">
        <v>24</v>
      </c>
      <c r="G2491" s="7">
        <v>523.55999999999995</v>
      </c>
      <c r="H2491" s="7">
        <v>0.01</v>
      </c>
      <c r="I2491" s="9" t="s">
        <v>22</v>
      </c>
      <c r="J2491" s="10">
        <v>43.87</v>
      </c>
      <c r="K2491" s="11">
        <v>20.239999999999998</v>
      </c>
      <c r="L2491" s="11">
        <v>8.99</v>
      </c>
      <c r="M2491" s="9" t="s">
        <v>1368</v>
      </c>
      <c r="N2491" s="6" t="s">
        <v>1123</v>
      </c>
      <c r="O2491" s="6" t="s">
        <v>1123</v>
      </c>
      <c r="P2491" s="9" t="s">
        <v>60</v>
      </c>
      <c r="Q2491" s="9" t="s">
        <v>49</v>
      </c>
      <c r="R2491" s="9" t="s">
        <v>50</v>
      </c>
      <c r="S2491" s="7" t="s">
        <v>389</v>
      </c>
      <c r="T2491" s="9" t="s">
        <v>52</v>
      </c>
      <c r="U2491" s="7">
        <v>0.46</v>
      </c>
      <c r="V2491" s="12">
        <f>C2491+2</f>
        <v>40457</v>
      </c>
      <c r="W2491">
        <f>IF(D2491=' Pivot Tables'!$A$4,1,0)</f>
        <v>0</v>
      </c>
      <c r="X2491">
        <f>IF(AND(LEFT(D2491,4)+1=LEFT(' Pivot Tables'!$A$4,4)+0,RIGHT(LEFT(D2491,7),2)=RIGHT(LEFT(' Pivot Tables'!$A$4,7),2)),1,0)</f>
        <v>0</v>
      </c>
      <c r="Y2491" s="6">
        <f>1/COUNTIF(Таблица1[Order ID],Таблица1[[#This Row],[Order ID]])</f>
        <v>1</v>
      </c>
      <c r="Z2491" s="9">
        <f>1/COUNTIFS(Таблица1[Customer Name],Таблица1[[#This Row],[Customer Name]],Таблица1[Order-Year-Month],Таблица1[[#This Row],[Order-Year-Month]])</f>
        <v>1</v>
      </c>
    </row>
    <row r="2492" spans="1:26" x14ac:dyDescent="0.2">
      <c r="A2492" s="6">
        <v>7639</v>
      </c>
      <c r="B2492" s="7">
        <v>54694</v>
      </c>
      <c r="C2492" s="8">
        <f>DATE(2012,12,31)-1199</f>
        <v>40075</v>
      </c>
      <c r="D2492" s="8" t="str">
        <f t="shared" si="48"/>
        <v>2009-09 (сентябрь 2009)</v>
      </c>
      <c r="E2492" s="9" t="s">
        <v>78</v>
      </c>
      <c r="F2492" s="7">
        <v>43</v>
      </c>
      <c r="G2492" s="7">
        <v>112.63</v>
      </c>
      <c r="H2492" s="7">
        <v>0.08</v>
      </c>
      <c r="I2492" s="9" t="s">
        <v>22</v>
      </c>
      <c r="J2492" s="10">
        <v>-201.6</v>
      </c>
      <c r="K2492" s="11">
        <v>2.66</v>
      </c>
      <c r="L2492" s="11">
        <v>6.35</v>
      </c>
      <c r="M2492" s="9" t="s">
        <v>1322</v>
      </c>
      <c r="N2492" s="6" t="s">
        <v>1123</v>
      </c>
      <c r="O2492" s="6" t="s">
        <v>1123</v>
      </c>
      <c r="P2492" s="9" t="s">
        <v>33</v>
      </c>
      <c r="Q2492" s="9" t="s">
        <v>26</v>
      </c>
      <c r="R2492" s="9" t="s">
        <v>76</v>
      </c>
      <c r="S2492" s="7" t="s">
        <v>1174</v>
      </c>
      <c r="T2492" s="9" t="s">
        <v>39</v>
      </c>
      <c r="U2492" s="7">
        <v>0.36</v>
      </c>
      <c r="V2492" s="12">
        <f>C2492+0</f>
        <v>40075</v>
      </c>
      <c r="W2492">
        <f>IF(D2492=' Pivot Tables'!$A$4,1,0)</f>
        <v>0</v>
      </c>
      <c r="X2492">
        <f>IF(AND(LEFT(D2492,4)+1=LEFT(' Pivot Tables'!$A$4,4)+0,RIGHT(LEFT(D2492,7),2)=RIGHT(LEFT(' Pivot Tables'!$A$4,7),2)),1,0)</f>
        <v>0</v>
      </c>
      <c r="Y2492" s="6">
        <f>1/COUNTIF(Таблица1[Order ID],Таблица1[[#This Row],[Order ID]])</f>
        <v>1</v>
      </c>
      <c r="Z2492" s="9">
        <f>1/COUNTIFS(Таблица1[Customer Name],Таблица1[[#This Row],[Customer Name]],Таблица1[Order-Year-Month],Таблица1[[#This Row],[Order-Year-Month]])</f>
        <v>1</v>
      </c>
    </row>
    <row r="2493" spans="1:26" x14ac:dyDescent="0.2">
      <c r="A2493" s="6">
        <v>7643</v>
      </c>
      <c r="B2493" s="7">
        <v>54755</v>
      </c>
      <c r="C2493" s="8">
        <f>DATE(2012,12,31)-1120</f>
        <v>40154</v>
      </c>
      <c r="D2493" s="8" t="str">
        <f t="shared" si="48"/>
        <v>2009-12 (декабрь 2009)</v>
      </c>
      <c r="E2493" s="9" t="s">
        <v>78</v>
      </c>
      <c r="F2493" s="7">
        <v>44</v>
      </c>
      <c r="G2493" s="7">
        <v>3421.88</v>
      </c>
      <c r="H2493" s="7">
        <v>0</v>
      </c>
      <c r="I2493" s="9" t="s">
        <v>22</v>
      </c>
      <c r="J2493" s="10">
        <v>443.52</v>
      </c>
      <c r="K2493" s="11">
        <v>73.98</v>
      </c>
      <c r="L2493" s="11">
        <v>4</v>
      </c>
      <c r="M2493" s="9" t="s">
        <v>1396</v>
      </c>
      <c r="N2493" s="6" t="s">
        <v>1123</v>
      </c>
      <c r="O2493" s="6" t="s">
        <v>1123</v>
      </c>
      <c r="P2493" s="9" t="s">
        <v>60</v>
      </c>
      <c r="Q2493" s="9" t="s">
        <v>42</v>
      </c>
      <c r="R2493" s="9" t="s">
        <v>70</v>
      </c>
      <c r="S2493" s="7" t="s">
        <v>810</v>
      </c>
      <c r="T2493" s="9" t="s">
        <v>39</v>
      </c>
      <c r="U2493" s="7">
        <v>0.77</v>
      </c>
      <c r="V2493" s="12">
        <f>C2493+3</f>
        <v>40157</v>
      </c>
      <c r="W2493">
        <f>IF(D2493=' Pivot Tables'!$A$4,1,0)</f>
        <v>0</v>
      </c>
      <c r="X2493">
        <f>IF(AND(LEFT(D2493,4)+1=LEFT(' Pivot Tables'!$A$4,4)+0,RIGHT(LEFT(D2493,7),2)=RIGHT(LEFT(' Pivot Tables'!$A$4,7),2)),1,0)</f>
        <v>0</v>
      </c>
      <c r="Y2493" s="6">
        <f>1/COUNTIF(Таблица1[Order ID],Таблица1[[#This Row],[Order ID]])</f>
        <v>1</v>
      </c>
      <c r="Z2493" s="9">
        <f>1/COUNTIFS(Таблица1[Customer Name],Таблица1[[#This Row],[Customer Name]],Таблица1[Order-Year-Month],Таблица1[[#This Row],[Order-Year-Month]])</f>
        <v>1</v>
      </c>
    </row>
    <row r="2494" spans="1:26" x14ac:dyDescent="0.2">
      <c r="A2494" s="6">
        <v>7659</v>
      </c>
      <c r="B2494" s="7">
        <v>54914</v>
      </c>
      <c r="C2494" s="8">
        <f>DATE(2012,12,31)-491</f>
        <v>40783</v>
      </c>
      <c r="D2494" s="8" t="str">
        <f t="shared" si="48"/>
        <v>2011-08 (август 2011)</v>
      </c>
      <c r="E2494" s="9" t="s">
        <v>78</v>
      </c>
      <c r="F2494" s="7">
        <v>32</v>
      </c>
      <c r="G2494" s="7">
        <v>197.93</v>
      </c>
      <c r="H2494" s="7">
        <v>0.06</v>
      </c>
      <c r="I2494" s="9" t="s">
        <v>22</v>
      </c>
      <c r="J2494" s="10">
        <v>-57.64</v>
      </c>
      <c r="K2494" s="11">
        <v>5.98</v>
      </c>
      <c r="L2494" s="11">
        <v>5.46</v>
      </c>
      <c r="M2494" s="9" t="s">
        <v>1248</v>
      </c>
      <c r="N2494" s="6" t="s">
        <v>1123</v>
      </c>
      <c r="O2494" s="6" t="s">
        <v>1123</v>
      </c>
      <c r="P2494" s="9" t="s">
        <v>25</v>
      </c>
      <c r="Q2494" s="9" t="s">
        <v>26</v>
      </c>
      <c r="R2494" s="9" t="s">
        <v>61</v>
      </c>
      <c r="S2494" s="7" t="s">
        <v>751</v>
      </c>
      <c r="T2494" s="9" t="s">
        <v>39</v>
      </c>
      <c r="U2494" s="7">
        <v>0.36</v>
      </c>
      <c r="V2494" s="12">
        <f>C2494+1</f>
        <v>40784</v>
      </c>
      <c r="W2494">
        <f>IF(D2494=' Pivot Tables'!$A$4,1,0)</f>
        <v>0</v>
      </c>
      <c r="X2494">
        <f>IF(AND(LEFT(D2494,4)+1=LEFT(' Pivot Tables'!$A$4,4)+0,RIGHT(LEFT(D2494,7),2)=RIGHT(LEFT(' Pivot Tables'!$A$4,7),2)),1,0)</f>
        <v>0</v>
      </c>
      <c r="Y2494" s="6">
        <f>1/COUNTIF(Таблица1[Order ID],Таблица1[[#This Row],[Order ID]])</f>
        <v>0.5</v>
      </c>
      <c r="Z2494" s="9">
        <f>1/COUNTIFS(Таблица1[Customer Name],Таблица1[[#This Row],[Customer Name]],Таблица1[Order-Year-Month],Таблица1[[#This Row],[Order-Year-Month]])</f>
        <v>0.5</v>
      </c>
    </row>
    <row r="2495" spans="1:26" x14ac:dyDescent="0.2">
      <c r="A2495" s="6">
        <v>7660</v>
      </c>
      <c r="B2495" s="7">
        <v>54914</v>
      </c>
      <c r="C2495" s="8">
        <f>DATE(2012,12,31)-491</f>
        <v>40783</v>
      </c>
      <c r="D2495" s="8" t="str">
        <f t="shared" si="48"/>
        <v>2011-08 (август 2011)</v>
      </c>
      <c r="E2495" s="9" t="s">
        <v>78</v>
      </c>
      <c r="F2495" s="7">
        <v>7</v>
      </c>
      <c r="G2495" s="7">
        <v>90.58</v>
      </c>
      <c r="H2495" s="7">
        <v>0.06</v>
      </c>
      <c r="I2495" s="9" t="s">
        <v>22</v>
      </c>
      <c r="J2495" s="10">
        <v>-27.83</v>
      </c>
      <c r="K2495" s="11">
        <v>12.44</v>
      </c>
      <c r="L2495" s="11">
        <v>6.27</v>
      </c>
      <c r="M2495" s="9" t="s">
        <v>1248</v>
      </c>
      <c r="N2495" s="6" t="s">
        <v>1123</v>
      </c>
      <c r="O2495" s="6" t="s">
        <v>1123</v>
      </c>
      <c r="P2495" s="9" t="s">
        <v>25</v>
      </c>
      <c r="Q2495" s="9" t="s">
        <v>26</v>
      </c>
      <c r="R2495" s="9" t="s">
        <v>27</v>
      </c>
      <c r="S2495" s="7" t="s">
        <v>756</v>
      </c>
      <c r="T2495" s="9" t="s">
        <v>48</v>
      </c>
      <c r="U2495" s="7">
        <v>0.56999999999999995</v>
      </c>
      <c r="V2495" s="12">
        <f>C2495+2</f>
        <v>40785</v>
      </c>
      <c r="W2495">
        <f>IF(D2495=' Pivot Tables'!$A$4,1,0)</f>
        <v>0</v>
      </c>
      <c r="X2495">
        <f>IF(AND(LEFT(D2495,4)+1=LEFT(' Pivot Tables'!$A$4,4)+0,RIGHT(LEFT(D2495,7),2)=RIGHT(LEFT(' Pivot Tables'!$A$4,7),2)),1,0)</f>
        <v>0</v>
      </c>
      <c r="Y2495" s="6">
        <f>1/COUNTIF(Таблица1[Order ID],Таблица1[[#This Row],[Order ID]])</f>
        <v>0.5</v>
      </c>
      <c r="Z2495" s="9">
        <f>1/COUNTIFS(Таблица1[Customer Name],Таблица1[[#This Row],[Customer Name]],Таблица1[Order-Year-Month],Таблица1[[#This Row],[Order-Year-Month]])</f>
        <v>0.5</v>
      </c>
    </row>
    <row r="2496" spans="1:26" x14ac:dyDescent="0.2">
      <c r="A2496" s="6">
        <v>7684</v>
      </c>
      <c r="B2496" s="7">
        <v>55073</v>
      </c>
      <c r="C2496" s="8">
        <f>DATE(2012,12,31)-286</f>
        <v>40988</v>
      </c>
      <c r="D2496" s="8" t="str">
        <f t="shared" si="48"/>
        <v>2012-03 (март 2012)</v>
      </c>
      <c r="E2496" s="9" t="s">
        <v>21</v>
      </c>
      <c r="F2496" s="7">
        <v>40</v>
      </c>
      <c r="G2496" s="7">
        <v>2376.7105000000001</v>
      </c>
      <c r="H2496" s="7">
        <v>0.01</v>
      </c>
      <c r="I2496" s="9" t="s">
        <v>22</v>
      </c>
      <c r="J2496" s="10">
        <v>721.80899999999997</v>
      </c>
      <c r="K2496" s="11">
        <v>65.989999999999995</v>
      </c>
      <c r="L2496" s="11">
        <v>3.99</v>
      </c>
      <c r="M2496" s="9" t="s">
        <v>1251</v>
      </c>
      <c r="N2496" s="6" t="s">
        <v>1123</v>
      </c>
      <c r="O2496" s="6" t="s">
        <v>1123</v>
      </c>
      <c r="P2496" s="9" t="s">
        <v>41</v>
      </c>
      <c r="Q2496" s="9" t="s">
        <v>42</v>
      </c>
      <c r="R2496" s="9" t="s">
        <v>43</v>
      </c>
      <c r="S2496" s="7" t="s">
        <v>1238</v>
      </c>
      <c r="T2496" s="9" t="s">
        <v>39</v>
      </c>
      <c r="U2496" s="7">
        <v>0.56999999999999995</v>
      </c>
      <c r="V2496" s="12">
        <f>C2496+0</f>
        <v>40988</v>
      </c>
      <c r="W2496">
        <f>IF(D2496=' Pivot Tables'!$A$4,1,0)</f>
        <v>0</v>
      </c>
      <c r="X2496">
        <f>IF(AND(LEFT(D2496,4)+1=LEFT(' Pivot Tables'!$A$4,4)+0,RIGHT(LEFT(D2496,7),2)=RIGHT(LEFT(' Pivot Tables'!$A$4,7),2)),1,0)</f>
        <v>0</v>
      </c>
      <c r="Y2496" s="6">
        <f>1/COUNTIF(Таблица1[Order ID],Таблица1[[#This Row],[Order ID]])</f>
        <v>1</v>
      </c>
      <c r="Z2496" s="9">
        <f>1/COUNTIFS(Таблица1[Customer Name],Таблица1[[#This Row],[Customer Name]],Таблица1[Order-Year-Month],Таблица1[[#This Row],[Order-Year-Month]])</f>
        <v>1</v>
      </c>
    </row>
    <row r="2497" spans="1:26" x14ac:dyDescent="0.2">
      <c r="A2497" s="6">
        <v>7712</v>
      </c>
      <c r="B2497" s="7">
        <v>55270</v>
      </c>
      <c r="C2497" s="8">
        <f>DATE(2012,12,31)-1074</f>
        <v>40200</v>
      </c>
      <c r="D2497" s="8" t="str">
        <f t="shared" si="48"/>
        <v>2010-01 (январь 2010)</v>
      </c>
      <c r="E2497" s="9" t="s">
        <v>63</v>
      </c>
      <c r="F2497" s="7">
        <v>1</v>
      </c>
      <c r="G2497" s="7">
        <v>35.14</v>
      </c>
      <c r="H2497" s="7">
        <v>0.02</v>
      </c>
      <c r="I2497" s="9" t="s">
        <v>22</v>
      </c>
      <c r="J2497" s="10">
        <v>-12.753499999999999</v>
      </c>
      <c r="K2497" s="11">
        <v>29.17</v>
      </c>
      <c r="L2497" s="11">
        <v>6.27</v>
      </c>
      <c r="M2497" s="9" t="s">
        <v>1250</v>
      </c>
      <c r="N2497" s="6" t="s">
        <v>1123</v>
      </c>
      <c r="O2497" s="6" t="s">
        <v>1123</v>
      </c>
      <c r="P2497" s="9" t="s">
        <v>60</v>
      </c>
      <c r="Q2497" s="9" t="s">
        <v>26</v>
      </c>
      <c r="R2497" s="9" t="s">
        <v>37</v>
      </c>
      <c r="S2497" s="7" t="s">
        <v>1100</v>
      </c>
      <c r="T2497" s="9" t="s">
        <v>39</v>
      </c>
      <c r="U2497" s="7">
        <v>0.37</v>
      </c>
      <c r="V2497" s="12">
        <f>C2497+1</f>
        <v>40201</v>
      </c>
      <c r="W2497">
        <f>IF(D2497=' Pivot Tables'!$A$4,1,0)</f>
        <v>1</v>
      </c>
      <c r="X2497">
        <f>IF(AND(LEFT(D2497,4)+1=LEFT(' Pivot Tables'!$A$4,4)+0,RIGHT(LEFT(D2497,7),2)=RIGHT(LEFT(' Pivot Tables'!$A$4,7),2)),1,0)</f>
        <v>0</v>
      </c>
      <c r="Y2497" s="6">
        <f>1/COUNTIF(Таблица1[Order ID],Таблица1[[#This Row],[Order ID]])</f>
        <v>1</v>
      </c>
      <c r="Z2497" s="9">
        <f>1/COUNTIFS(Таблица1[Customer Name],Таблица1[[#This Row],[Customer Name]],Таблица1[Order-Year-Month],Таблица1[[#This Row],[Order-Year-Month]])</f>
        <v>0.33333333333333331</v>
      </c>
    </row>
    <row r="2498" spans="1:26" x14ac:dyDescent="0.2">
      <c r="A2498" s="6">
        <v>7788</v>
      </c>
      <c r="B2498" s="7">
        <v>55716</v>
      </c>
      <c r="C2498" s="8">
        <f>DATE(2012,12,31)-70</f>
        <v>41204</v>
      </c>
      <c r="D2498" s="8" t="str">
        <f t="shared" si="48"/>
        <v>2012-10 (октябрь 2012)</v>
      </c>
      <c r="E2498" s="9" t="s">
        <v>30</v>
      </c>
      <c r="F2498" s="7">
        <v>9</v>
      </c>
      <c r="G2498" s="7">
        <v>14665.55</v>
      </c>
      <c r="H2498" s="7">
        <v>7.0000000000000007E-2</v>
      </c>
      <c r="I2498" s="9" t="s">
        <v>22</v>
      </c>
      <c r="J2498" s="10">
        <v>-767.51</v>
      </c>
      <c r="K2498" s="11">
        <v>1637.53</v>
      </c>
      <c r="L2498" s="11">
        <v>24.49</v>
      </c>
      <c r="M2498" s="9" t="s">
        <v>622</v>
      </c>
      <c r="N2498" s="6" t="s">
        <v>1123</v>
      </c>
      <c r="O2498" s="6" t="s">
        <v>1123</v>
      </c>
      <c r="P2498" s="9" t="s">
        <v>60</v>
      </c>
      <c r="Q2498" s="9" t="s">
        <v>26</v>
      </c>
      <c r="R2498" s="9" t="s">
        <v>150</v>
      </c>
      <c r="S2498" s="7" t="s">
        <v>151</v>
      </c>
      <c r="T2498" s="9" t="s">
        <v>48</v>
      </c>
      <c r="U2498" s="7">
        <v>0.81</v>
      </c>
      <c r="V2498" s="12">
        <f>C2498+1</f>
        <v>41205</v>
      </c>
      <c r="W2498">
        <f>IF(D2498=' Pivot Tables'!$A$4,1,0)</f>
        <v>0</v>
      </c>
      <c r="X2498">
        <f>IF(AND(LEFT(D2498,4)+1=LEFT(' Pivot Tables'!$A$4,4)+0,RIGHT(LEFT(D2498,7),2)=RIGHT(LEFT(' Pivot Tables'!$A$4,7),2)),1,0)</f>
        <v>0</v>
      </c>
      <c r="Y2498" s="6">
        <f>1/COUNTIF(Таблица1[Order ID],Таблица1[[#This Row],[Order ID]])</f>
        <v>1</v>
      </c>
      <c r="Z2498" s="9">
        <f>1/COUNTIFS(Таблица1[Customer Name],Таблица1[[#This Row],[Customer Name]],Таблица1[Order-Year-Month],Таблица1[[#This Row],[Order-Year-Month]])</f>
        <v>1</v>
      </c>
    </row>
    <row r="2499" spans="1:26" x14ac:dyDescent="0.2">
      <c r="A2499" s="6">
        <v>7795</v>
      </c>
      <c r="B2499" s="7">
        <v>55776</v>
      </c>
      <c r="C2499" s="8">
        <f>DATE(2012,12,31)-1380</f>
        <v>39894</v>
      </c>
      <c r="D2499" s="8" t="str">
        <f t="shared" ref="D2499:D2562" si="49">TEXT(C2499,"гггг-ММ (ММММ гггг)")</f>
        <v>2009-03 (март 2009)</v>
      </c>
      <c r="E2499" s="9" t="s">
        <v>45</v>
      </c>
      <c r="F2499" s="7">
        <v>32</v>
      </c>
      <c r="G2499" s="7">
        <v>4856.1000000000004</v>
      </c>
      <c r="H2499" s="7">
        <v>0.01</v>
      </c>
      <c r="I2499" s="9" t="s">
        <v>31</v>
      </c>
      <c r="J2499" s="10">
        <v>1096.6400000000001</v>
      </c>
      <c r="K2499" s="11">
        <v>145.44999999999999</v>
      </c>
      <c r="L2499" s="11">
        <v>17.850000000000001</v>
      </c>
      <c r="M2499" s="9" t="s">
        <v>1384</v>
      </c>
      <c r="N2499" s="6" t="s">
        <v>1123</v>
      </c>
      <c r="O2499" s="6" t="s">
        <v>1123</v>
      </c>
      <c r="P2499" s="9" t="s">
        <v>41</v>
      </c>
      <c r="Q2499" s="9" t="s">
        <v>42</v>
      </c>
      <c r="R2499" s="9" t="s">
        <v>210</v>
      </c>
      <c r="S2499" s="7" t="s">
        <v>234</v>
      </c>
      <c r="T2499" s="9" t="s">
        <v>36</v>
      </c>
      <c r="U2499" s="7">
        <v>0.56000000000000005</v>
      </c>
      <c r="V2499" s="12">
        <f>C2499+1</f>
        <v>39895</v>
      </c>
      <c r="W2499">
        <f>IF(D2499=' Pivot Tables'!$A$4,1,0)</f>
        <v>0</v>
      </c>
      <c r="X2499">
        <f>IF(AND(LEFT(D2499,4)+1=LEFT(' Pivot Tables'!$A$4,4)+0,RIGHT(LEFT(D2499,7),2)=RIGHT(LEFT(' Pivot Tables'!$A$4,7),2)),1,0)</f>
        <v>0</v>
      </c>
      <c r="Y2499" s="6">
        <f>1/COUNTIF(Таблица1[Order ID],Таблица1[[#This Row],[Order ID]])</f>
        <v>1</v>
      </c>
      <c r="Z2499" s="9">
        <f>1/COUNTIFS(Таблица1[Customer Name],Таблица1[[#This Row],[Customer Name]],Таблица1[Order-Year-Month],Таблица1[[#This Row],[Order-Year-Month]])</f>
        <v>1</v>
      </c>
    </row>
    <row r="2500" spans="1:26" x14ac:dyDescent="0.2">
      <c r="A2500" s="6">
        <v>7810</v>
      </c>
      <c r="B2500" s="7">
        <v>55874</v>
      </c>
      <c r="C2500" s="8">
        <f>DATE(2012,12,31)-1414</f>
        <v>39860</v>
      </c>
      <c r="D2500" s="8" t="str">
        <f t="shared" si="49"/>
        <v>2009-02 (февраль 2009)</v>
      </c>
      <c r="E2500" s="9" t="s">
        <v>63</v>
      </c>
      <c r="F2500" s="7">
        <v>28</v>
      </c>
      <c r="G2500" s="7">
        <v>208.83</v>
      </c>
      <c r="H2500" s="7">
        <v>0</v>
      </c>
      <c r="I2500" s="9" t="s">
        <v>22</v>
      </c>
      <c r="J2500" s="10">
        <v>-60.145000000000003</v>
      </c>
      <c r="K2500" s="11">
        <v>7.1</v>
      </c>
      <c r="L2500" s="11">
        <v>6.05</v>
      </c>
      <c r="M2500" s="9" t="s">
        <v>1403</v>
      </c>
      <c r="N2500" s="6" t="s">
        <v>1123</v>
      </c>
      <c r="O2500" s="6" t="s">
        <v>1123</v>
      </c>
      <c r="P2500" s="9" t="s">
        <v>25</v>
      </c>
      <c r="Q2500" s="9" t="s">
        <v>26</v>
      </c>
      <c r="R2500" s="9" t="s">
        <v>37</v>
      </c>
      <c r="S2500" s="7" t="s">
        <v>435</v>
      </c>
      <c r="T2500" s="9" t="s">
        <v>39</v>
      </c>
      <c r="U2500" s="7">
        <v>0.39</v>
      </c>
      <c r="V2500" s="12">
        <f>C2500+1</f>
        <v>39861</v>
      </c>
      <c r="W2500">
        <f>IF(D2500=' Pivot Tables'!$A$4,1,0)</f>
        <v>0</v>
      </c>
      <c r="X2500">
        <f>IF(AND(LEFT(D2500,4)+1=LEFT(' Pivot Tables'!$A$4,4)+0,RIGHT(LEFT(D2500,7),2)=RIGHT(LEFT(' Pivot Tables'!$A$4,7),2)),1,0)</f>
        <v>0</v>
      </c>
      <c r="Y2500" s="6">
        <f>1/COUNTIF(Таблица1[Order ID],Таблица1[[#This Row],[Order ID]])</f>
        <v>0.33333333333333331</v>
      </c>
      <c r="Z2500" s="9">
        <f>1/COUNTIFS(Таблица1[Customer Name],Таблица1[[#This Row],[Customer Name]],Таблица1[Order-Year-Month],Таблица1[[#This Row],[Order-Year-Month]])</f>
        <v>0.33333333333333331</v>
      </c>
    </row>
    <row r="2501" spans="1:26" x14ac:dyDescent="0.2">
      <c r="A2501" s="6">
        <v>7811</v>
      </c>
      <c r="B2501" s="7">
        <v>55874</v>
      </c>
      <c r="C2501" s="8">
        <f>DATE(2012,12,31)-1414</f>
        <v>39860</v>
      </c>
      <c r="D2501" s="8" t="str">
        <f t="shared" si="49"/>
        <v>2009-02 (февраль 2009)</v>
      </c>
      <c r="E2501" s="9" t="s">
        <v>63</v>
      </c>
      <c r="F2501" s="7">
        <v>41</v>
      </c>
      <c r="G2501" s="7">
        <v>228.3</v>
      </c>
      <c r="H2501" s="7">
        <v>0.01</v>
      </c>
      <c r="I2501" s="9" t="s">
        <v>56</v>
      </c>
      <c r="J2501" s="10">
        <v>-111.72</v>
      </c>
      <c r="K2501" s="11">
        <v>4.9800000000000004</v>
      </c>
      <c r="L2501" s="11">
        <v>4.62</v>
      </c>
      <c r="M2501" s="9" t="s">
        <v>1403</v>
      </c>
      <c r="N2501" s="6" t="s">
        <v>1123</v>
      </c>
      <c r="O2501" s="6" t="s">
        <v>1123</v>
      </c>
      <c r="P2501" s="9" t="s">
        <v>25</v>
      </c>
      <c r="Q2501" s="9" t="s">
        <v>42</v>
      </c>
      <c r="R2501" s="9" t="s">
        <v>70</v>
      </c>
      <c r="S2501" s="7" t="s">
        <v>402</v>
      </c>
      <c r="T2501" s="9" t="s">
        <v>52</v>
      </c>
      <c r="U2501" s="7">
        <v>0.64</v>
      </c>
      <c r="V2501" s="12">
        <f>C2501+2</f>
        <v>39862</v>
      </c>
      <c r="W2501">
        <f>IF(D2501=' Pivot Tables'!$A$4,1,0)</f>
        <v>0</v>
      </c>
      <c r="X2501">
        <f>IF(AND(LEFT(D2501,4)+1=LEFT(' Pivot Tables'!$A$4,4)+0,RIGHT(LEFT(D2501,7),2)=RIGHT(LEFT(' Pivot Tables'!$A$4,7),2)),1,0)</f>
        <v>0</v>
      </c>
      <c r="Y2501" s="6">
        <f>1/COUNTIF(Таблица1[Order ID],Таблица1[[#This Row],[Order ID]])</f>
        <v>0.33333333333333331</v>
      </c>
      <c r="Z2501" s="9">
        <f>1/COUNTIFS(Таблица1[Customer Name],Таблица1[[#This Row],[Customer Name]],Таблица1[Order-Year-Month],Таблица1[[#This Row],[Order-Year-Month]])</f>
        <v>0.33333333333333331</v>
      </c>
    </row>
    <row r="2502" spans="1:26" x14ac:dyDescent="0.2">
      <c r="A2502" s="6">
        <v>7831</v>
      </c>
      <c r="B2502" s="7">
        <v>56002</v>
      </c>
      <c r="C2502" s="8">
        <f>DATE(2012,12,31)-1276</f>
        <v>39998</v>
      </c>
      <c r="D2502" s="8" t="str">
        <f t="shared" si="49"/>
        <v>2009-07 (июль 2009)</v>
      </c>
      <c r="E2502" s="9" t="s">
        <v>21</v>
      </c>
      <c r="F2502" s="7">
        <v>21</v>
      </c>
      <c r="G2502" s="7">
        <v>514.53</v>
      </c>
      <c r="H2502" s="7">
        <v>0.04</v>
      </c>
      <c r="I2502" s="9" t="s">
        <v>22</v>
      </c>
      <c r="J2502" s="10">
        <v>149.31</v>
      </c>
      <c r="K2502" s="11">
        <v>23.99</v>
      </c>
      <c r="L2502" s="11">
        <v>6.71</v>
      </c>
      <c r="M2502" s="9" t="s">
        <v>1296</v>
      </c>
      <c r="N2502" s="6" t="s">
        <v>1123</v>
      </c>
      <c r="O2502" s="6" t="s">
        <v>1123</v>
      </c>
      <c r="P2502" s="9" t="s">
        <v>41</v>
      </c>
      <c r="Q2502" s="9" t="s">
        <v>26</v>
      </c>
      <c r="R2502" s="9" t="s">
        <v>76</v>
      </c>
      <c r="S2502" s="7" t="s">
        <v>318</v>
      </c>
      <c r="T2502" s="9" t="s">
        <v>39</v>
      </c>
      <c r="U2502" s="7">
        <v>0.35</v>
      </c>
      <c r="V2502" s="12">
        <f>C2502+2</f>
        <v>40000</v>
      </c>
      <c r="W2502">
        <f>IF(D2502=' Pivot Tables'!$A$4,1,0)</f>
        <v>0</v>
      </c>
      <c r="X2502">
        <f>IF(AND(LEFT(D2502,4)+1=LEFT(' Pivot Tables'!$A$4,4)+0,RIGHT(LEFT(D2502,7),2)=RIGHT(LEFT(' Pivot Tables'!$A$4,7),2)),1,0)</f>
        <v>0</v>
      </c>
      <c r="Y2502" s="6">
        <f>1/COUNTIF(Таблица1[Order ID],Таблица1[[#This Row],[Order ID]])</f>
        <v>0.25</v>
      </c>
      <c r="Z2502" s="9">
        <f>1/COUNTIFS(Таблица1[Customer Name],Таблица1[[#This Row],[Customer Name]],Таблица1[Order-Year-Month],Таблица1[[#This Row],[Order-Year-Month]])</f>
        <v>0.25</v>
      </c>
    </row>
    <row r="2503" spans="1:26" x14ac:dyDescent="0.2">
      <c r="A2503" s="6">
        <v>7832</v>
      </c>
      <c r="B2503" s="7">
        <v>56002</v>
      </c>
      <c r="C2503" s="8">
        <f>DATE(2012,12,31)-1276</f>
        <v>39998</v>
      </c>
      <c r="D2503" s="8" t="str">
        <f t="shared" si="49"/>
        <v>2009-07 (июль 2009)</v>
      </c>
      <c r="E2503" s="9" t="s">
        <v>21</v>
      </c>
      <c r="F2503" s="7">
        <v>14</v>
      </c>
      <c r="G2503" s="7">
        <v>748.84</v>
      </c>
      <c r="H2503" s="7">
        <v>0.09</v>
      </c>
      <c r="I2503" s="9" t="s">
        <v>22</v>
      </c>
      <c r="J2503" s="10">
        <v>286.7</v>
      </c>
      <c r="K2503" s="11">
        <v>55.98</v>
      </c>
      <c r="L2503" s="11">
        <v>4.8600000000000003</v>
      </c>
      <c r="M2503" s="9" t="s">
        <v>1296</v>
      </c>
      <c r="N2503" s="6" t="s">
        <v>1123</v>
      </c>
      <c r="O2503" s="6" t="s">
        <v>1123</v>
      </c>
      <c r="P2503" s="9" t="s">
        <v>41</v>
      </c>
      <c r="Q2503" s="9" t="s">
        <v>26</v>
      </c>
      <c r="R2503" s="9" t="s">
        <v>61</v>
      </c>
      <c r="S2503" s="7" t="s">
        <v>1260</v>
      </c>
      <c r="T2503" s="9" t="s">
        <v>39</v>
      </c>
      <c r="U2503" s="7">
        <v>0.36</v>
      </c>
      <c r="V2503" s="12">
        <f>C2503+4</f>
        <v>40002</v>
      </c>
      <c r="W2503">
        <f>IF(D2503=' Pivot Tables'!$A$4,1,0)</f>
        <v>0</v>
      </c>
      <c r="X2503">
        <f>IF(AND(LEFT(D2503,4)+1=LEFT(' Pivot Tables'!$A$4,4)+0,RIGHT(LEFT(D2503,7),2)=RIGHT(LEFT(' Pivot Tables'!$A$4,7),2)),1,0)</f>
        <v>0</v>
      </c>
      <c r="Y2503" s="6">
        <f>1/COUNTIF(Таблица1[Order ID],Таблица1[[#This Row],[Order ID]])</f>
        <v>0.25</v>
      </c>
      <c r="Z2503" s="9">
        <f>1/COUNTIFS(Таблица1[Customer Name],Таблица1[[#This Row],[Customer Name]],Таблица1[Order-Year-Month],Таблица1[[#This Row],[Order-Year-Month]])</f>
        <v>0.25</v>
      </c>
    </row>
    <row r="2504" spans="1:26" x14ac:dyDescent="0.2">
      <c r="A2504" s="6">
        <v>7833</v>
      </c>
      <c r="B2504" s="7">
        <v>56002</v>
      </c>
      <c r="C2504" s="8">
        <f>DATE(2012,12,31)-1276</f>
        <v>39998</v>
      </c>
      <c r="D2504" s="8" t="str">
        <f t="shared" si="49"/>
        <v>2009-07 (июль 2009)</v>
      </c>
      <c r="E2504" s="9" t="s">
        <v>21</v>
      </c>
      <c r="F2504" s="7">
        <v>9</v>
      </c>
      <c r="G2504" s="7">
        <v>1497.93</v>
      </c>
      <c r="H2504" s="7">
        <v>0.05</v>
      </c>
      <c r="I2504" s="9" t="s">
        <v>22</v>
      </c>
      <c r="J2504" s="10">
        <v>35.31</v>
      </c>
      <c r="K2504" s="11">
        <v>161.55000000000001</v>
      </c>
      <c r="L2504" s="11">
        <v>19.989999999999998</v>
      </c>
      <c r="M2504" s="9" t="s">
        <v>1296</v>
      </c>
      <c r="N2504" s="6" t="s">
        <v>1123</v>
      </c>
      <c r="O2504" s="6" t="s">
        <v>1123</v>
      </c>
      <c r="P2504" s="9" t="s">
        <v>41</v>
      </c>
      <c r="Q2504" s="9" t="s">
        <v>26</v>
      </c>
      <c r="R2504" s="9" t="s">
        <v>27</v>
      </c>
      <c r="S2504" s="7" t="s">
        <v>685</v>
      </c>
      <c r="T2504" s="9" t="s">
        <v>39</v>
      </c>
      <c r="U2504" s="7">
        <v>0.66</v>
      </c>
      <c r="V2504" s="12">
        <f>C2504+7</f>
        <v>40005</v>
      </c>
      <c r="W2504">
        <f>IF(D2504=' Pivot Tables'!$A$4,1,0)</f>
        <v>0</v>
      </c>
      <c r="X2504">
        <f>IF(AND(LEFT(D2504,4)+1=LEFT(' Pivot Tables'!$A$4,4)+0,RIGHT(LEFT(D2504,7),2)=RIGHT(LEFT(' Pivot Tables'!$A$4,7),2)),1,0)</f>
        <v>0</v>
      </c>
      <c r="Y2504" s="6">
        <f>1/COUNTIF(Таблица1[Order ID],Таблица1[[#This Row],[Order ID]])</f>
        <v>0.25</v>
      </c>
      <c r="Z2504" s="9">
        <f>1/COUNTIFS(Таблица1[Customer Name],Таблица1[[#This Row],[Customer Name]],Таблица1[Order-Year-Month],Таблица1[[#This Row],[Order-Year-Month]])</f>
        <v>0.25</v>
      </c>
    </row>
    <row r="2505" spans="1:26" x14ac:dyDescent="0.2">
      <c r="A2505" s="6">
        <v>7834</v>
      </c>
      <c r="B2505" s="7">
        <v>56002</v>
      </c>
      <c r="C2505" s="8">
        <f>DATE(2012,12,31)-1276</f>
        <v>39998</v>
      </c>
      <c r="D2505" s="8" t="str">
        <f t="shared" si="49"/>
        <v>2009-07 (июль 2009)</v>
      </c>
      <c r="E2505" s="9" t="s">
        <v>21</v>
      </c>
      <c r="F2505" s="7">
        <v>14</v>
      </c>
      <c r="G2505" s="7">
        <v>3857.56</v>
      </c>
      <c r="H2505" s="7">
        <v>7.0000000000000007E-2</v>
      </c>
      <c r="I2505" s="9" t="s">
        <v>22</v>
      </c>
      <c r="J2505" s="10">
        <v>-377.81100000000004</v>
      </c>
      <c r="K2505" s="11">
        <v>290.98</v>
      </c>
      <c r="L2505" s="11">
        <v>69</v>
      </c>
      <c r="M2505" s="9" t="s">
        <v>1296</v>
      </c>
      <c r="N2505" s="6" t="s">
        <v>1123</v>
      </c>
      <c r="O2505" s="6" t="s">
        <v>1123</v>
      </c>
      <c r="P2505" s="9" t="s">
        <v>41</v>
      </c>
      <c r="Q2505" s="9" t="s">
        <v>49</v>
      </c>
      <c r="R2505" s="9" t="s">
        <v>83</v>
      </c>
      <c r="S2505" s="7" t="s">
        <v>600</v>
      </c>
      <c r="T2505" s="9" t="s">
        <v>29</v>
      </c>
      <c r="U2505" s="7">
        <v>0.67</v>
      </c>
      <c r="V2505" s="12">
        <f>C2505+2</f>
        <v>40000</v>
      </c>
      <c r="W2505">
        <f>IF(D2505=' Pivot Tables'!$A$4,1,0)</f>
        <v>0</v>
      </c>
      <c r="X2505">
        <f>IF(AND(LEFT(D2505,4)+1=LEFT(' Pivot Tables'!$A$4,4)+0,RIGHT(LEFT(D2505,7),2)=RIGHT(LEFT(' Pivot Tables'!$A$4,7),2)),1,0)</f>
        <v>0</v>
      </c>
      <c r="Y2505" s="6">
        <f>1/COUNTIF(Таблица1[Order ID],Таблица1[[#This Row],[Order ID]])</f>
        <v>0.25</v>
      </c>
      <c r="Z2505" s="9">
        <f>1/COUNTIFS(Таблица1[Customer Name],Таблица1[[#This Row],[Customer Name]],Таблица1[Order-Year-Month],Таблица1[[#This Row],[Order-Year-Month]])</f>
        <v>0.25</v>
      </c>
    </row>
    <row r="2506" spans="1:26" x14ac:dyDescent="0.2">
      <c r="A2506" s="6">
        <v>7840</v>
      </c>
      <c r="B2506" s="7">
        <v>56039</v>
      </c>
      <c r="C2506" s="8">
        <f>DATE(2012,12,31)-402</f>
        <v>40872</v>
      </c>
      <c r="D2506" s="8" t="str">
        <f t="shared" si="49"/>
        <v>2011-11 (ноябрь 2011)</v>
      </c>
      <c r="E2506" s="9" t="s">
        <v>21</v>
      </c>
      <c r="F2506" s="7">
        <v>23</v>
      </c>
      <c r="G2506" s="7">
        <v>156.66</v>
      </c>
      <c r="H2506" s="7">
        <v>7.0000000000000007E-2</v>
      </c>
      <c r="I2506" s="9" t="s">
        <v>22</v>
      </c>
      <c r="J2506" s="10">
        <v>-33.15</v>
      </c>
      <c r="K2506" s="11">
        <v>6.68</v>
      </c>
      <c r="L2506" s="11">
        <v>5.2</v>
      </c>
      <c r="M2506" s="9" t="s">
        <v>1403</v>
      </c>
      <c r="N2506" s="6" t="s">
        <v>1123</v>
      </c>
      <c r="O2506" s="6" t="s">
        <v>1123</v>
      </c>
      <c r="P2506" s="9" t="s">
        <v>25</v>
      </c>
      <c r="Q2506" s="9" t="s">
        <v>26</v>
      </c>
      <c r="R2506" s="9" t="s">
        <v>61</v>
      </c>
      <c r="S2506" s="7" t="s">
        <v>445</v>
      </c>
      <c r="T2506" s="9" t="s">
        <v>39</v>
      </c>
      <c r="U2506" s="7">
        <v>0.37</v>
      </c>
      <c r="V2506" s="12">
        <f>C2506+5</f>
        <v>40877</v>
      </c>
      <c r="W2506">
        <f>IF(D2506=' Pivot Tables'!$A$4,1,0)</f>
        <v>0</v>
      </c>
      <c r="X2506">
        <f>IF(AND(LEFT(D2506,4)+1=LEFT(' Pivot Tables'!$A$4,4)+0,RIGHT(LEFT(D2506,7),2)=RIGHT(LEFT(' Pivot Tables'!$A$4,7),2)),1,0)</f>
        <v>0</v>
      </c>
      <c r="Y2506" s="6">
        <f>1/COUNTIF(Таблица1[Order ID],Таблица1[[#This Row],[Order ID]])</f>
        <v>1</v>
      </c>
      <c r="Z2506" s="9">
        <f>1/COUNTIFS(Таблица1[Customer Name],Таблица1[[#This Row],[Customer Name]],Таблица1[Order-Year-Month],Таблица1[[#This Row],[Order-Year-Month]])</f>
        <v>1</v>
      </c>
    </row>
    <row r="2507" spans="1:26" x14ac:dyDescent="0.2">
      <c r="A2507" s="6">
        <v>7936</v>
      </c>
      <c r="B2507" s="7">
        <v>56710</v>
      </c>
      <c r="C2507" s="8">
        <f>DATE(2012,12,31)-965</f>
        <v>40309</v>
      </c>
      <c r="D2507" s="8" t="str">
        <f t="shared" si="49"/>
        <v>2010-05 (май 2010)</v>
      </c>
      <c r="E2507" s="9" t="s">
        <v>45</v>
      </c>
      <c r="F2507" s="7">
        <v>34</v>
      </c>
      <c r="G2507" s="7">
        <v>479.84</v>
      </c>
      <c r="H2507" s="7">
        <v>0.02</v>
      </c>
      <c r="I2507" s="9" t="s">
        <v>22</v>
      </c>
      <c r="J2507" s="10">
        <v>5.71</v>
      </c>
      <c r="K2507" s="11">
        <v>13.43</v>
      </c>
      <c r="L2507" s="11">
        <v>5.5</v>
      </c>
      <c r="M2507" s="9" t="s">
        <v>1299</v>
      </c>
      <c r="N2507" s="6" t="s">
        <v>1123</v>
      </c>
      <c r="O2507" s="6" t="s">
        <v>1123</v>
      </c>
      <c r="P2507" s="9" t="s">
        <v>33</v>
      </c>
      <c r="Q2507" s="9" t="s">
        <v>26</v>
      </c>
      <c r="R2507" s="9" t="s">
        <v>27</v>
      </c>
      <c r="S2507" s="7" t="s">
        <v>1066</v>
      </c>
      <c r="T2507" s="9" t="s">
        <v>39</v>
      </c>
      <c r="U2507" s="7">
        <v>0.56999999999999995</v>
      </c>
      <c r="V2507" s="12">
        <f>C2507+1</f>
        <v>40310</v>
      </c>
      <c r="W2507">
        <f>IF(D2507=' Pivot Tables'!$A$4,1,0)</f>
        <v>0</v>
      </c>
      <c r="X2507">
        <f>IF(AND(LEFT(D2507,4)+1=LEFT(' Pivot Tables'!$A$4,4)+0,RIGHT(LEFT(D2507,7),2)=RIGHT(LEFT(' Pivot Tables'!$A$4,7),2)),1,0)</f>
        <v>0</v>
      </c>
      <c r="Y2507" s="6">
        <f>1/COUNTIF(Таблица1[Order ID],Таблица1[[#This Row],[Order ID]])</f>
        <v>0.25</v>
      </c>
      <c r="Z2507" s="9">
        <f>1/COUNTIFS(Таблица1[Customer Name],Таблица1[[#This Row],[Customer Name]],Таблица1[Order-Year-Month],Таблица1[[#This Row],[Order-Year-Month]])</f>
        <v>0.25</v>
      </c>
    </row>
    <row r="2508" spans="1:26" x14ac:dyDescent="0.2">
      <c r="A2508" s="6">
        <v>7937</v>
      </c>
      <c r="B2508" s="7">
        <v>56710</v>
      </c>
      <c r="C2508" s="8">
        <f>DATE(2012,12,31)-965</f>
        <v>40309</v>
      </c>
      <c r="D2508" s="8" t="str">
        <f t="shared" si="49"/>
        <v>2010-05 (май 2010)</v>
      </c>
      <c r="E2508" s="9" t="s">
        <v>45</v>
      </c>
      <c r="F2508" s="7">
        <v>16</v>
      </c>
      <c r="G2508" s="7">
        <v>833.92650000000003</v>
      </c>
      <c r="H2508" s="7">
        <v>0.08</v>
      </c>
      <c r="I2508" s="9" t="s">
        <v>22</v>
      </c>
      <c r="J2508" s="10">
        <v>-39.215000000000003</v>
      </c>
      <c r="K2508" s="11">
        <v>65.989999999999995</v>
      </c>
      <c r="L2508" s="11">
        <v>3.99</v>
      </c>
      <c r="M2508" s="9" t="s">
        <v>1299</v>
      </c>
      <c r="N2508" s="6" t="s">
        <v>1123</v>
      </c>
      <c r="O2508" s="6" t="s">
        <v>1123</v>
      </c>
      <c r="P2508" s="9" t="s">
        <v>33</v>
      </c>
      <c r="Q2508" s="9" t="s">
        <v>42</v>
      </c>
      <c r="R2508" s="9" t="s">
        <v>43</v>
      </c>
      <c r="S2508" s="7" t="s">
        <v>582</v>
      </c>
      <c r="T2508" s="9" t="s">
        <v>39</v>
      </c>
      <c r="U2508" s="7">
        <v>0.59</v>
      </c>
      <c r="V2508" s="12">
        <f>C2508+1</f>
        <v>40310</v>
      </c>
      <c r="W2508">
        <f>IF(D2508=' Pivot Tables'!$A$4,1,0)</f>
        <v>0</v>
      </c>
      <c r="X2508">
        <f>IF(AND(LEFT(D2508,4)+1=LEFT(' Pivot Tables'!$A$4,4)+0,RIGHT(LEFT(D2508,7),2)=RIGHT(LEFT(' Pivot Tables'!$A$4,7),2)),1,0)</f>
        <v>0</v>
      </c>
      <c r="Y2508" s="6">
        <f>1/COUNTIF(Таблица1[Order ID],Таблица1[[#This Row],[Order ID]])</f>
        <v>0.25</v>
      </c>
      <c r="Z2508" s="9">
        <f>1/COUNTIFS(Таблица1[Customer Name],Таблица1[[#This Row],[Customer Name]],Таблица1[Order-Year-Month],Таблица1[[#This Row],[Order-Year-Month]])</f>
        <v>0.25</v>
      </c>
    </row>
    <row r="2509" spans="1:26" x14ac:dyDescent="0.2">
      <c r="A2509" s="6">
        <v>7938</v>
      </c>
      <c r="B2509" s="7">
        <v>56710</v>
      </c>
      <c r="C2509" s="8">
        <f>DATE(2012,12,31)-965</f>
        <v>40309</v>
      </c>
      <c r="D2509" s="8" t="str">
        <f t="shared" si="49"/>
        <v>2010-05 (май 2010)</v>
      </c>
      <c r="E2509" s="9" t="s">
        <v>45</v>
      </c>
      <c r="F2509" s="7">
        <v>6</v>
      </c>
      <c r="G2509" s="7">
        <v>182.64</v>
      </c>
      <c r="H2509" s="7">
        <v>0.08</v>
      </c>
      <c r="I2509" s="9" t="s">
        <v>22</v>
      </c>
      <c r="J2509" s="10">
        <v>-99.24</v>
      </c>
      <c r="K2509" s="11">
        <v>30.98</v>
      </c>
      <c r="L2509" s="11">
        <v>6.5</v>
      </c>
      <c r="M2509" s="9" t="s">
        <v>1299</v>
      </c>
      <c r="N2509" s="6" t="s">
        <v>1123</v>
      </c>
      <c r="O2509" s="6" t="s">
        <v>1123</v>
      </c>
      <c r="P2509" s="9" t="s">
        <v>33</v>
      </c>
      <c r="Q2509" s="9" t="s">
        <v>42</v>
      </c>
      <c r="R2509" s="9" t="s">
        <v>70</v>
      </c>
      <c r="S2509" s="7" t="s">
        <v>601</v>
      </c>
      <c r="T2509" s="9" t="s">
        <v>39</v>
      </c>
      <c r="U2509" s="7">
        <v>0.64</v>
      </c>
      <c r="V2509" s="12">
        <f>C2509+2</f>
        <v>40311</v>
      </c>
      <c r="W2509">
        <f>IF(D2509=' Pivot Tables'!$A$4,1,0)</f>
        <v>0</v>
      </c>
      <c r="X2509">
        <f>IF(AND(LEFT(D2509,4)+1=LEFT(' Pivot Tables'!$A$4,4)+0,RIGHT(LEFT(D2509,7),2)=RIGHT(LEFT(' Pivot Tables'!$A$4,7),2)),1,0)</f>
        <v>0</v>
      </c>
      <c r="Y2509" s="6">
        <f>1/COUNTIF(Таблица1[Order ID],Таблица1[[#This Row],[Order ID]])</f>
        <v>0.25</v>
      </c>
      <c r="Z2509" s="9">
        <f>1/COUNTIFS(Таблица1[Customer Name],Таблица1[[#This Row],[Customer Name]],Таблица1[Order-Year-Month],Таблица1[[#This Row],[Order-Year-Month]])</f>
        <v>0.25</v>
      </c>
    </row>
    <row r="2510" spans="1:26" x14ac:dyDescent="0.2">
      <c r="A2510" s="6">
        <v>7939</v>
      </c>
      <c r="B2510" s="7">
        <v>56710</v>
      </c>
      <c r="C2510" s="8">
        <f>DATE(2012,12,31)-965</f>
        <v>40309</v>
      </c>
      <c r="D2510" s="8" t="str">
        <f t="shared" si="49"/>
        <v>2010-05 (май 2010)</v>
      </c>
      <c r="E2510" s="9" t="s">
        <v>45</v>
      </c>
      <c r="F2510" s="7">
        <v>21</v>
      </c>
      <c r="G2510" s="7">
        <v>736.17</v>
      </c>
      <c r="H2510" s="7">
        <v>0.01</v>
      </c>
      <c r="I2510" s="9" t="s">
        <v>22</v>
      </c>
      <c r="J2510" s="10">
        <v>232.99</v>
      </c>
      <c r="K2510" s="11">
        <v>35.409999999999997</v>
      </c>
      <c r="L2510" s="11">
        <v>1.99</v>
      </c>
      <c r="M2510" s="9" t="s">
        <v>1299</v>
      </c>
      <c r="N2510" s="6" t="s">
        <v>1123</v>
      </c>
      <c r="O2510" s="6" t="s">
        <v>1123</v>
      </c>
      <c r="P2510" s="9" t="s">
        <v>33</v>
      </c>
      <c r="Q2510" s="9" t="s">
        <v>42</v>
      </c>
      <c r="R2510" s="9" t="s">
        <v>70</v>
      </c>
      <c r="S2510" s="7" t="s">
        <v>971</v>
      </c>
      <c r="T2510" s="9" t="s">
        <v>52</v>
      </c>
      <c r="U2510" s="7">
        <v>0.43</v>
      </c>
      <c r="V2510" s="12">
        <f>C2510+2</f>
        <v>40311</v>
      </c>
      <c r="W2510">
        <f>IF(D2510=' Pivot Tables'!$A$4,1,0)</f>
        <v>0</v>
      </c>
      <c r="X2510">
        <f>IF(AND(LEFT(D2510,4)+1=LEFT(' Pivot Tables'!$A$4,4)+0,RIGHT(LEFT(D2510,7),2)=RIGHT(LEFT(' Pivot Tables'!$A$4,7),2)),1,0)</f>
        <v>0</v>
      </c>
      <c r="Y2510" s="6">
        <f>1/COUNTIF(Таблица1[Order ID],Таблица1[[#This Row],[Order ID]])</f>
        <v>0.25</v>
      </c>
      <c r="Z2510" s="9">
        <f>1/COUNTIFS(Таблица1[Customer Name],Таблица1[[#This Row],[Customer Name]],Таблица1[Order-Year-Month],Таблица1[[#This Row],[Order-Year-Month]])</f>
        <v>0.25</v>
      </c>
    </row>
    <row r="2511" spans="1:26" x14ac:dyDescent="0.2">
      <c r="A2511" s="6">
        <v>7985</v>
      </c>
      <c r="B2511" s="7">
        <v>57092</v>
      </c>
      <c r="C2511" s="8">
        <f>DATE(2012,12,31)-975</f>
        <v>40299</v>
      </c>
      <c r="D2511" s="8" t="str">
        <f t="shared" si="49"/>
        <v>2010-05 (май 2010)</v>
      </c>
      <c r="E2511" s="9" t="s">
        <v>78</v>
      </c>
      <c r="F2511" s="7">
        <v>29</v>
      </c>
      <c r="G2511" s="7">
        <v>2820.6994999999997</v>
      </c>
      <c r="H2511" s="7">
        <v>0.03</v>
      </c>
      <c r="I2511" s="9" t="s">
        <v>22</v>
      </c>
      <c r="J2511" s="10">
        <v>601.33500000000004</v>
      </c>
      <c r="K2511" s="11">
        <v>110.99</v>
      </c>
      <c r="L2511" s="11">
        <v>8.99</v>
      </c>
      <c r="M2511" s="9" t="s">
        <v>1014</v>
      </c>
      <c r="N2511" s="6" t="s">
        <v>1123</v>
      </c>
      <c r="O2511" s="6" t="s">
        <v>1123</v>
      </c>
      <c r="P2511" s="9" t="s">
        <v>33</v>
      </c>
      <c r="Q2511" s="9" t="s">
        <v>42</v>
      </c>
      <c r="R2511" s="9" t="s">
        <v>43</v>
      </c>
      <c r="S2511" s="7" t="s">
        <v>565</v>
      </c>
      <c r="T2511" s="9" t="s">
        <v>39</v>
      </c>
      <c r="U2511" s="7">
        <v>0.56999999999999995</v>
      </c>
      <c r="V2511" s="12">
        <f>C2511+1</f>
        <v>40300</v>
      </c>
      <c r="W2511">
        <f>IF(D2511=' Pivot Tables'!$A$4,1,0)</f>
        <v>0</v>
      </c>
      <c r="X2511">
        <f>IF(AND(LEFT(D2511,4)+1=LEFT(' Pivot Tables'!$A$4,4)+0,RIGHT(LEFT(D2511,7),2)=RIGHT(LEFT(' Pivot Tables'!$A$4,7),2)),1,0)</f>
        <v>0</v>
      </c>
      <c r="Y2511" s="6">
        <f>1/COUNTIF(Таблица1[Order ID],Таблица1[[#This Row],[Order ID]])</f>
        <v>1</v>
      </c>
      <c r="Z2511" s="9">
        <f>1/COUNTIFS(Таблица1[Customer Name],Таблица1[[#This Row],[Customer Name]],Таблица1[Order-Year-Month],Таблица1[[#This Row],[Order-Year-Month]])</f>
        <v>1</v>
      </c>
    </row>
    <row r="2512" spans="1:26" x14ac:dyDescent="0.2">
      <c r="A2512" s="6">
        <v>8011</v>
      </c>
      <c r="B2512" s="7">
        <v>57253</v>
      </c>
      <c r="C2512" s="8">
        <f>DATE(2012,12,31)-1456</f>
        <v>39818</v>
      </c>
      <c r="D2512" s="8" t="str">
        <f t="shared" si="49"/>
        <v>2009-01 (январь 2009)</v>
      </c>
      <c r="E2512" s="9" t="s">
        <v>78</v>
      </c>
      <c r="F2512" s="7">
        <v>43</v>
      </c>
      <c r="G2512" s="7">
        <v>78.08</v>
      </c>
      <c r="H2512" s="7">
        <v>0.08</v>
      </c>
      <c r="I2512" s="9" t="s">
        <v>22</v>
      </c>
      <c r="J2512" s="10">
        <v>1.74</v>
      </c>
      <c r="K2512" s="11">
        <v>1.81</v>
      </c>
      <c r="L2512" s="11">
        <v>0.75</v>
      </c>
      <c r="M2512" s="9" t="s">
        <v>1278</v>
      </c>
      <c r="N2512" s="6" t="s">
        <v>1123</v>
      </c>
      <c r="O2512" s="6" t="s">
        <v>1123</v>
      </c>
      <c r="P2512" s="9" t="s">
        <v>33</v>
      </c>
      <c r="Q2512" s="9" t="s">
        <v>49</v>
      </c>
      <c r="R2512" s="9" t="s">
        <v>112</v>
      </c>
      <c r="S2512" s="7" t="s">
        <v>323</v>
      </c>
      <c r="T2512" s="9" t="s">
        <v>36</v>
      </c>
      <c r="U2512" s="7">
        <v>0.57999999999999996</v>
      </c>
      <c r="V2512" s="12">
        <f>C2512+1</f>
        <v>39819</v>
      </c>
      <c r="W2512">
        <f>IF(D2512=' Pivot Tables'!$A$4,1,0)</f>
        <v>0</v>
      </c>
      <c r="X2512">
        <f>IF(AND(LEFT(D2512,4)+1=LEFT(' Pivot Tables'!$A$4,4)+0,RIGHT(LEFT(D2512,7),2)=RIGHT(LEFT(' Pivot Tables'!$A$4,7),2)),1,0)</f>
        <v>1</v>
      </c>
      <c r="Y2512" s="6">
        <f>1/COUNTIF(Таблица1[Order ID],Таблица1[[#This Row],[Order ID]])</f>
        <v>0.2</v>
      </c>
      <c r="Z2512" s="9">
        <f>1/COUNTIFS(Таблица1[Customer Name],Таблица1[[#This Row],[Customer Name]],Таблица1[Order-Year-Month],Таблица1[[#This Row],[Order-Year-Month]])</f>
        <v>0.2</v>
      </c>
    </row>
    <row r="2513" spans="1:26" x14ac:dyDescent="0.2">
      <c r="A2513" s="6">
        <v>8012</v>
      </c>
      <c r="B2513" s="7">
        <v>57253</v>
      </c>
      <c r="C2513" s="8">
        <f>DATE(2012,12,31)-1456</f>
        <v>39818</v>
      </c>
      <c r="D2513" s="8" t="str">
        <f t="shared" si="49"/>
        <v>2009-01 (январь 2009)</v>
      </c>
      <c r="E2513" s="9" t="s">
        <v>78</v>
      </c>
      <c r="F2513" s="7">
        <v>29</v>
      </c>
      <c r="G2513" s="7">
        <v>653.54</v>
      </c>
      <c r="H2513" s="7">
        <v>0.06</v>
      </c>
      <c r="I2513" s="9" t="s">
        <v>31</v>
      </c>
      <c r="J2513" s="10">
        <v>-1358.9</v>
      </c>
      <c r="K2513" s="11">
        <v>20.98</v>
      </c>
      <c r="L2513" s="11">
        <v>53.03</v>
      </c>
      <c r="M2513" s="9" t="s">
        <v>1278</v>
      </c>
      <c r="N2513" s="6" t="s">
        <v>1123</v>
      </c>
      <c r="O2513" s="6" t="s">
        <v>1123</v>
      </c>
      <c r="P2513" s="9" t="s">
        <v>33</v>
      </c>
      <c r="Q2513" s="9" t="s">
        <v>49</v>
      </c>
      <c r="R2513" s="9" t="s">
        <v>112</v>
      </c>
      <c r="S2513" s="7" t="s">
        <v>253</v>
      </c>
      <c r="T2513" s="9" t="s">
        <v>36</v>
      </c>
      <c r="U2513" s="7">
        <v>0.64</v>
      </c>
      <c r="V2513" s="12">
        <f>C2513+2</f>
        <v>39820</v>
      </c>
      <c r="W2513">
        <f>IF(D2513=' Pivot Tables'!$A$4,1,0)</f>
        <v>0</v>
      </c>
      <c r="X2513">
        <f>IF(AND(LEFT(D2513,4)+1=LEFT(' Pivot Tables'!$A$4,4)+0,RIGHT(LEFT(D2513,7),2)=RIGHT(LEFT(' Pivot Tables'!$A$4,7),2)),1,0)</f>
        <v>1</v>
      </c>
      <c r="Y2513" s="6">
        <f>1/COUNTIF(Таблица1[Order ID],Таблица1[[#This Row],[Order ID]])</f>
        <v>0.2</v>
      </c>
      <c r="Z2513" s="9">
        <f>1/COUNTIFS(Таблица1[Customer Name],Таблица1[[#This Row],[Customer Name]],Таблица1[Order-Year-Month],Таблица1[[#This Row],[Order-Year-Month]])</f>
        <v>0.2</v>
      </c>
    </row>
    <row r="2514" spans="1:26" x14ac:dyDescent="0.2">
      <c r="A2514" s="6">
        <v>8013</v>
      </c>
      <c r="B2514" s="7">
        <v>57253</v>
      </c>
      <c r="C2514" s="8">
        <f>DATE(2012,12,31)-1456</f>
        <v>39818</v>
      </c>
      <c r="D2514" s="8" t="str">
        <f t="shared" si="49"/>
        <v>2009-01 (январь 2009)</v>
      </c>
      <c r="E2514" s="9" t="s">
        <v>78</v>
      </c>
      <c r="F2514" s="7">
        <v>48</v>
      </c>
      <c r="G2514" s="7">
        <v>12635.75</v>
      </c>
      <c r="H2514" s="7">
        <v>7.0000000000000007E-2</v>
      </c>
      <c r="I2514" s="9" t="s">
        <v>22</v>
      </c>
      <c r="J2514" s="10">
        <v>-335.24</v>
      </c>
      <c r="K2514" s="11">
        <v>279.48</v>
      </c>
      <c r="L2514" s="11">
        <v>35</v>
      </c>
      <c r="M2514" s="9" t="s">
        <v>1278</v>
      </c>
      <c r="N2514" s="6" t="s">
        <v>1123</v>
      </c>
      <c r="O2514" s="6" t="s">
        <v>1123</v>
      </c>
      <c r="P2514" s="9" t="s">
        <v>33</v>
      </c>
      <c r="Q2514" s="9" t="s">
        <v>49</v>
      </c>
      <c r="R2514" s="9" t="s">
        <v>50</v>
      </c>
      <c r="S2514" s="7" t="s">
        <v>340</v>
      </c>
      <c r="T2514" s="9" t="s">
        <v>29</v>
      </c>
      <c r="U2514" s="7">
        <v>0.6</v>
      </c>
      <c r="V2514" s="12">
        <f>C2514+0</f>
        <v>39818</v>
      </c>
      <c r="W2514">
        <f>IF(D2514=' Pivot Tables'!$A$4,1,0)</f>
        <v>0</v>
      </c>
      <c r="X2514">
        <f>IF(AND(LEFT(D2514,4)+1=LEFT(' Pivot Tables'!$A$4,4)+0,RIGHT(LEFT(D2514,7),2)=RIGHT(LEFT(' Pivot Tables'!$A$4,7),2)),1,0)</f>
        <v>1</v>
      </c>
      <c r="Y2514" s="6">
        <f>1/COUNTIF(Таблица1[Order ID],Таблица1[[#This Row],[Order ID]])</f>
        <v>0.2</v>
      </c>
      <c r="Z2514" s="9">
        <f>1/COUNTIFS(Таблица1[Customer Name],Таблица1[[#This Row],[Customer Name]],Таблица1[Order-Year-Month],Таблица1[[#This Row],[Order-Year-Month]])</f>
        <v>0.2</v>
      </c>
    </row>
    <row r="2515" spans="1:26" x14ac:dyDescent="0.2">
      <c r="A2515" s="6">
        <v>8014</v>
      </c>
      <c r="B2515" s="7">
        <v>57253</v>
      </c>
      <c r="C2515" s="8">
        <f>DATE(2012,12,31)-1456</f>
        <v>39818</v>
      </c>
      <c r="D2515" s="8" t="str">
        <f t="shared" si="49"/>
        <v>2009-01 (январь 2009)</v>
      </c>
      <c r="E2515" s="9" t="s">
        <v>78</v>
      </c>
      <c r="F2515" s="7">
        <v>49</v>
      </c>
      <c r="G2515" s="7">
        <v>240.3</v>
      </c>
      <c r="H2515" s="7">
        <v>0.08</v>
      </c>
      <c r="I2515" s="9" t="s">
        <v>22</v>
      </c>
      <c r="J2515" s="10">
        <v>-139.15575000000001</v>
      </c>
      <c r="K2515" s="11">
        <v>4.91</v>
      </c>
      <c r="L2515" s="11">
        <v>5.68</v>
      </c>
      <c r="M2515" s="9" t="s">
        <v>1278</v>
      </c>
      <c r="N2515" s="6" t="s">
        <v>1123</v>
      </c>
      <c r="O2515" s="6" t="s">
        <v>1123</v>
      </c>
      <c r="P2515" s="9" t="s">
        <v>33</v>
      </c>
      <c r="Q2515" s="9" t="s">
        <v>49</v>
      </c>
      <c r="R2515" s="9" t="s">
        <v>83</v>
      </c>
      <c r="S2515" s="7" t="s">
        <v>1404</v>
      </c>
      <c r="T2515" s="9" t="s">
        <v>82</v>
      </c>
      <c r="U2515" s="7">
        <v>0.7</v>
      </c>
      <c r="V2515" s="12">
        <f>C2515+1</f>
        <v>39819</v>
      </c>
      <c r="W2515">
        <f>IF(D2515=' Pivot Tables'!$A$4,1,0)</f>
        <v>0</v>
      </c>
      <c r="X2515">
        <f>IF(AND(LEFT(D2515,4)+1=LEFT(' Pivot Tables'!$A$4,4)+0,RIGHT(LEFT(D2515,7),2)=RIGHT(LEFT(' Pivot Tables'!$A$4,7),2)),1,0)</f>
        <v>1</v>
      </c>
      <c r="Y2515" s="6">
        <f>1/COUNTIF(Таблица1[Order ID],Таблица1[[#This Row],[Order ID]])</f>
        <v>0.2</v>
      </c>
      <c r="Z2515" s="9">
        <f>1/COUNTIFS(Таблица1[Customer Name],Таблица1[[#This Row],[Customer Name]],Таблица1[Order-Year-Month],Таблица1[[#This Row],[Order-Year-Month]])</f>
        <v>0.2</v>
      </c>
    </row>
    <row r="2516" spans="1:26" x14ac:dyDescent="0.2">
      <c r="A2516" s="6">
        <v>8015</v>
      </c>
      <c r="B2516" s="7">
        <v>57253</v>
      </c>
      <c r="C2516" s="8">
        <f>DATE(2012,12,31)-1456</f>
        <v>39818</v>
      </c>
      <c r="D2516" s="8" t="str">
        <f t="shared" si="49"/>
        <v>2009-01 (январь 2009)</v>
      </c>
      <c r="E2516" s="9" t="s">
        <v>78</v>
      </c>
      <c r="F2516" s="7">
        <v>25</v>
      </c>
      <c r="G2516" s="7">
        <v>2750.107</v>
      </c>
      <c r="H2516" s="7">
        <v>0.04</v>
      </c>
      <c r="I2516" s="9" t="s">
        <v>22</v>
      </c>
      <c r="J2516" s="10">
        <v>667.44900000000007</v>
      </c>
      <c r="K2516" s="11">
        <v>125.99</v>
      </c>
      <c r="L2516" s="11">
        <v>5.26</v>
      </c>
      <c r="M2516" s="9" t="s">
        <v>1278</v>
      </c>
      <c r="N2516" s="6" t="s">
        <v>1123</v>
      </c>
      <c r="O2516" s="6" t="s">
        <v>1123</v>
      </c>
      <c r="P2516" s="9" t="s">
        <v>33</v>
      </c>
      <c r="Q2516" s="9" t="s">
        <v>42</v>
      </c>
      <c r="R2516" s="9" t="s">
        <v>43</v>
      </c>
      <c r="S2516" s="7" t="s">
        <v>1069</v>
      </c>
      <c r="T2516" s="9" t="s">
        <v>39</v>
      </c>
      <c r="U2516" s="7">
        <v>0.55000000000000004</v>
      </c>
      <c r="V2516" s="12">
        <f>C2516+0</f>
        <v>39818</v>
      </c>
      <c r="W2516">
        <f>IF(D2516=' Pivot Tables'!$A$4,1,0)</f>
        <v>0</v>
      </c>
      <c r="X2516">
        <f>IF(AND(LEFT(D2516,4)+1=LEFT(' Pivot Tables'!$A$4,4)+0,RIGHT(LEFT(D2516,7),2)=RIGHT(LEFT(' Pivot Tables'!$A$4,7),2)),1,0)</f>
        <v>1</v>
      </c>
      <c r="Y2516" s="6">
        <f>1/COUNTIF(Таблица1[Order ID],Таблица1[[#This Row],[Order ID]])</f>
        <v>0.2</v>
      </c>
      <c r="Z2516" s="9">
        <f>1/COUNTIFS(Таблица1[Customer Name],Таблица1[[#This Row],[Customer Name]],Таблица1[Order-Year-Month],Таблица1[[#This Row],[Order-Year-Month]])</f>
        <v>0.2</v>
      </c>
    </row>
    <row r="2517" spans="1:26" x14ac:dyDescent="0.2">
      <c r="A2517" s="6">
        <v>8034</v>
      </c>
      <c r="B2517" s="7">
        <v>57382</v>
      </c>
      <c r="C2517" s="8">
        <f>DATE(2012,12,31)-1379</f>
        <v>39895</v>
      </c>
      <c r="D2517" s="8" t="str">
        <f t="shared" si="49"/>
        <v>2009-03 (март 2009)</v>
      </c>
      <c r="E2517" s="9" t="s">
        <v>63</v>
      </c>
      <c r="F2517" s="7">
        <v>25</v>
      </c>
      <c r="G2517" s="7">
        <v>106.04</v>
      </c>
      <c r="H2517" s="7">
        <v>0.09</v>
      </c>
      <c r="I2517" s="9" t="s">
        <v>22</v>
      </c>
      <c r="J2517" s="10">
        <v>16.898</v>
      </c>
      <c r="K2517" s="11">
        <v>4.55</v>
      </c>
      <c r="L2517" s="11">
        <v>1.49</v>
      </c>
      <c r="M2517" s="9" t="s">
        <v>1295</v>
      </c>
      <c r="N2517" s="6" t="s">
        <v>1123</v>
      </c>
      <c r="O2517" s="6" t="s">
        <v>1123</v>
      </c>
      <c r="P2517" s="9" t="s">
        <v>33</v>
      </c>
      <c r="Q2517" s="9" t="s">
        <v>26</v>
      </c>
      <c r="R2517" s="9" t="s">
        <v>37</v>
      </c>
      <c r="S2517" s="7" t="s">
        <v>522</v>
      </c>
      <c r="T2517" s="9" t="s">
        <v>39</v>
      </c>
      <c r="U2517" s="7">
        <v>0.35</v>
      </c>
      <c r="V2517" s="12">
        <f>C2517+2</f>
        <v>39897</v>
      </c>
      <c r="W2517">
        <f>IF(D2517=' Pivot Tables'!$A$4,1,0)</f>
        <v>0</v>
      </c>
      <c r="X2517">
        <f>IF(AND(LEFT(D2517,4)+1=LEFT(' Pivot Tables'!$A$4,4)+0,RIGHT(LEFT(D2517,7),2)=RIGHT(LEFT(' Pivot Tables'!$A$4,7),2)),1,0)</f>
        <v>0</v>
      </c>
      <c r="Y2517" s="6">
        <f>1/COUNTIF(Таблица1[Order ID],Таблица1[[#This Row],[Order ID]])</f>
        <v>0.5</v>
      </c>
      <c r="Z2517" s="9">
        <f>1/COUNTIFS(Таблица1[Customer Name],Таблица1[[#This Row],[Customer Name]],Таблица1[Order-Year-Month],Таблица1[[#This Row],[Order-Year-Month]])</f>
        <v>0.5</v>
      </c>
    </row>
    <row r="2518" spans="1:26" x14ac:dyDescent="0.2">
      <c r="A2518" s="6">
        <v>8035</v>
      </c>
      <c r="B2518" s="7">
        <v>57382</v>
      </c>
      <c r="C2518" s="8">
        <f>DATE(2012,12,31)-1379</f>
        <v>39895</v>
      </c>
      <c r="D2518" s="8" t="str">
        <f t="shared" si="49"/>
        <v>2009-03 (март 2009)</v>
      </c>
      <c r="E2518" s="9" t="s">
        <v>63</v>
      </c>
      <c r="F2518" s="7">
        <v>45</v>
      </c>
      <c r="G2518" s="7">
        <v>452.93</v>
      </c>
      <c r="H2518" s="7">
        <v>7.0000000000000007E-2</v>
      </c>
      <c r="I2518" s="9" t="s">
        <v>56</v>
      </c>
      <c r="J2518" s="10">
        <v>20.14</v>
      </c>
      <c r="K2518" s="11">
        <v>9.7799999999999994</v>
      </c>
      <c r="L2518" s="11">
        <v>5.76</v>
      </c>
      <c r="M2518" s="9" t="s">
        <v>1295</v>
      </c>
      <c r="N2518" s="6" t="s">
        <v>1123</v>
      </c>
      <c r="O2518" s="6" t="s">
        <v>1123</v>
      </c>
      <c r="P2518" s="9" t="s">
        <v>33</v>
      </c>
      <c r="Q2518" s="9" t="s">
        <v>26</v>
      </c>
      <c r="R2518" s="9" t="s">
        <v>76</v>
      </c>
      <c r="S2518" s="7" t="s">
        <v>571</v>
      </c>
      <c r="T2518" s="9" t="s">
        <v>39</v>
      </c>
      <c r="U2518" s="7">
        <v>0.35</v>
      </c>
      <c r="V2518" s="12">
        <f>C2518+2</f>
        <v>39897</v>
      </c>
      <c r="W2518">
        <f>IF(D2518=' Pivot Tables'!$A$4,1,0)</f>
        <v>0</v>
      </c>
      <c r="X2518">
        <f>IF(AND(LEFT(D2518,4)+1=LEFT(' Pivot Tables'!$A$4,4)+0,RIGHT(LEFT(D2518,7),2)=RIGHT(LEFT(' Pivot Tables'!$A$4,7),2)),1,0)</f>
        <v>0</v>
      </c>
      <c r="Y2518" s="6">
        <f>1/COUNTIF(Таблица1[Order ID],Таблица1[[#This Row],[Order ID]])</f>
        <v>0.5</v>
      </c>
      <c r="Z2518" s="9">
        <f>1/COUNTIFS(Таблица1[Customer Name],Таблица1[[#This Row],[Customer Name]],Таблица1[Order-Year-Month],Таблица1[[#This Row],[Order-Year-Month]])</f>
        <v>0.5</v>
      </c>
    </row>
    <row r="2519" spans="1:26" x14ac:dyDescent="0.2">
      <c r="A2519" s="6">
        <v>8039</v>
      </c>
      <c r="B2519" s="7">
        <v>57415</v>
      </c>
      <c r="C2519" s="8">
        <f>DATE(2012,12,31)-1378</f>
        <v>39896</v>
      </c>
      <c r="D2519" s="8" t="str">
        <f t="shared" si="49"/>
        <v>2009-03 (март 2009)</v>
      </c>
      <c r="E2519" s="9" t="s">
        <v>63</v>
      </c>
      <c r="F2519" s="7">
        <v>6</v>
      </c>
      <c r="G2519" s="7">
        <v>101.52</v>
      </c>
      <c r="H2519" s="7">
        <v>0.02</v>
      </c>
      <c r="I2519" s="9" t="s">
        <v>22</v>
      </c>
      <c r="J2519" s="10">
        <v>-16.37</v>
      </c>
      <c r="K2519" s="11">
        <v>15.42</v>
      </c>
      <c r="L2519" s="11">
        <v>5.41</v>
      </c>
      <c r="M2519" s="9" t="s">
        <v>1246</v>
      </c>
      <c r="N2519" s="6" t="s">
        <v>1123</v>
      </c>
      <c r="O2519" s="6" t="s">
        <v>1123</v>
      </c>
      <c r="P2519" s="9" t="s">
        <v>33</v>
      </c>
      <c r="Q2519" s="9" t="s">
        <v>26</v>
      </c>
      <c r="R2519" s="9" t="s">
        <v>27</v>
      </c>
      <c r="S2519" s="7" t="s">
        <v>1405</v>
      </c>
      <c r="T2519" s="9" t="s">
        <v>39</v>
      </c>
      <c r="U2519" s="7">
        <v>0.59</v>
      </c>
      <c r="V2519" s="12">
        <f>C2519+1</f>
        <v>39897</v>
      </c>
      <c r="W2519">
        <f>IF(D2519=' Pivot Tables'!$A$4,1,0)</f>
        <v>0</v>
      </c>
      <c r="X2519">
        <f>IF(AND(LEFT(D2519,4)+1=LEFT(' Pivot Tables'!$A$4,4)+0,RIGHT(LEFT(D2519,7),2)=RIGHT(LEFT(' Pivot Tables'!$A$4,7),2)),1,0)</f>
        <v>0</v>
      </c>
      <c r="Y2519" s="6">
        <f>1/COUNTIF(Таблица1[Order ID],Таблица1[[#This Row],[Order ID]])</f>
        <v>1</v>
      </c>
      <c r="Z2519" s="9">
        <f>1/COUNTIFS(Таблица1[Customer Name],Таблица1[[#This Row],[Customer Name]],Таблица1[Order-Year-Month],Таблица1[[#This Row],[Order-Year-Month]])</f>
        <v>1</v>
      </c>
    </row>
    <row r="2520" spans="1:26" x14ac:dyDescent="0.2">
      <c r="A2520" s="6">
        <v>8077</v>
      </c>
      <c r="B2520" s="7">
        <v>57606</v>
      </c>
      <c r="C2520" s="8">
        <f>DATE(2012,12,31)-1093</f>
        <v>40181</v>
      </c>
      <c r="D2520" s="8" t="str">
        <f t="shared" si="49"/>
        <v>2010-01 (январь 2010)</v>
      </c>
      <c r="E2520" s="9" t="s">
        <v>45</v>
      </c>
      <c r="F2520" s="7">
        <v>37</v>
      </c>
      <c r="G2520" s="7">
        <v>294.48</v>
      </c>
      <c r="H2520" s="7">
        <v>0.08</v>
      </c>
      <c r="I2520" s="9" t="s">
        <v>22</v>
      </c>
      <c r="J2520" s="10">
        <v>-64.239999999999995</v>
      </c>
      <c r="K2520" s="11">
        <v>8.4600000000000009</v>
      </c>
      <c r="L2520" s="11">
        <v>3.62</v>
      </c>
      <c r="M2520" s="9" t="s">
        <v>1278</v>
      </c>
      <c r="N2520" s="6" t="s">
        <v>1123</v>
      </c>
      <c r="O2520" s="6" t="s">
        <v>1123</v>
      </c>
      <c r="P2520" s="9" t="s">
        <v>33</v>
      </c>
      <c r="Q2520" s="9" t="s">
        <v>42</v>
      </c>
      <c r="R2520" s="9" t="s">
        <v>70</v>
      </c>
      <c r="S2520" s="7" t="s">
        <v>1221</v>
      </c>
      <c r="T2520" s="9" t="s">
        <v>52</v>
      </c>
      <c r="U2520" s="7">
        <v>0.61</v>
      </c>
      <c r="V2520" s="12">
        <f>C2520+1</f>
        <v>40182</v>
      </c>
      <c r="W2520">
        <f>IF(D2520=' Pivot Tables'!$A$4,1,0)</f>
        <v>1</v>
      </c>
      <c r="X2520">
        <f>IF(AND(LEFT(D2520,4)+1=LEFT(' Pivot Tables'!$A$4,4)+0,RIGHT(LEFT(D2520,7),2)=RIGHT(LEFT(' Pivot Tables'!$A$4,7),2)),1,0)</f>
        <v>0</v>
      </c>
      <c r="Y2520" s="6">
        <f>1/COUNTIF(Таблица1[Order ID],Таблица1[[#This Row],[Order ID]])</f>
        <v>1</v>
      </c>
      <c r="Z2520" s="9">
        <f>1/COUNTIFS(Таблица1[Customer Name],Таблица1[[#This Row],[Customer Name]],Таблица1[Order-Year-Month],Таблица1[[#This Row],[Order-Year-Month]])</f>
        <v>1</v>
      </c>
    </row>
    <row r="2521" spans="1:26" x14ac:dyDescent="0.2">
      <c r="A2521" s="6">
        <v>8099</v>
      </c>
      <c r="B2521" s="7">
        <v>57794</v>
      </c>
      <c r="C2521" s="8">
        <f>DATE(2012,12,31)-1254</f>
        <v>40020</v>
      </c>
      <c r="D2521" s="8" t="str">
        <f t="shared" si="49"/>
        <v>2009-07 (июль 2009)</v>
      </c>
      <c r="E2521" s="9" t="s">
        <v>21</v>
      </c>
      <c r="F2521" s="7">
        <v>16</v>
      </c>
      <c r="G2521" s="7">
        <v>88.84</v>
      </c>
      <c r="H2521" s="7">
        <v>0.02</v>
      </c>
      <c r="I2521" s="9" t="s">
        <v>22</v>
      </c>
      <c r="J2521" s="10">
        <v>-46.92</v>
      </c>
      <c r="K2521" s="11">
        <v>4.9800000000000004</v>
      </c>
      <c r="L2521" s="11">
        <v>6.07</v>
      </c>
      <c r="M2521" s="9" t="s">
        <v>1262</v>
      </c>
      <c r="N2521" s="6" t="s">
        <v>1123</v>
      </c>
      <c r="O2521" s="6" t="s">
        <v>1123</v>
      </c>
      <c r="P2521" s="9" t="s">
        <v>60</v>
      </c>
      <c r="Q2521" s="9" t="s">
        <v>26</v>
      </c>
      <c r="R2521" s="9" t="s">
        <v>61</v>
      </c>
      <c r="S2521" s="7" t="s">
        <v>352</v>
      </c>
      <c r="T2521" s="9" t="s">
        <v>39</v>
      </c>
      <c r="U2521" s="7">
        <v>0.36</v>
      </c>
      <c r="V2521" s="12">
        <f>C2521+2</f>
        <v>40022</v>
      </c>
      <c r="W2521">
        <f>IF(D2521=' Pivot Tables'!$A$4,1,0)</f>
        <v>0</v>
      </c>
      <c r="X2521">
        <f>IF(AND(LEFT(D2521,4)+1=LEFT(' Pivot Tables'!$A$4,4)+0,RIGHT(LEFT(D2521,7),2)=RIGHT(LEFT(' Pivot Tables'!$A$4,7),2)),1,0)</f>
        <v>0</v>
      </c>
      <c r="Y2521" s="6">
        <f>1/COUNTIF(Таблица1[Order ID],Таблица1[[#This Row],[Order ID]])</f>
        <v>1</v>
      </c>
      <c r="Z2521" s="9">
        <f>1/COUNTIFS(Таблица1[Customer Name],Таблица1[[#This Row],[Customer Name]],Таблица1[Order-Year-Month],Таблица1[[#This Row],[Order-Year-Month]])</f>
        <v>1</v>
      </c>
    </row>
    <row r="2522" spans="1:26" x14ac:dyDescent="0.2">
      <c r="A2522" s="6">
        <v>8123</v>
      </c>
      <c r="B2522" s="7">
        <v>58054</v>
      </c>
      <c r="C2522" s="8">
        <f>DATE(2012,12,31)-727</f>
        <v>40547</v>
      </c>
      <c r="D2522" s="8" t="str">
        <f t="shared" si="49"/>
        <v>2011-01 (январь 2011)</v>
      </c>
      <c r="E2522" s="9" t="s">
        <v>30</v>
      </c>
      <c r="F2522" s="7">
        <v>26</v>
      </c>
      <c r="G2522" s="7">
        <v>61.4</v>
      </c>
      <c r="H2522" s="7">
        <v>0.04</v>
      </c>
      <c r="I2522" s="9" t="s">
        <v>22</v>
      </c>
      <c r="J2522" s="10">
        <v>-92.11</v>
      </c>
      <c r="K2522" s="11">
        <v>2.08</v>
      </c>
      <c r="L2522" s="11">
        <v>5.33</v>
      </c>
      <c r="M2522" s="9" t="s">
        <v>1014</v>
      </c>
      <c r="N2522" s="6" t="s">
        <v>1123</v>
      </c>
      <c r="O2522" s="6" t="s">
        <v>1123</v>
      </c>
      <c r="P2522" s="9" t="s">
        <v>33</v>
      </c>
      <c r="Q2522" s="9" t="s">
        <v>49</v>
      </c>
      <c r="R2522" s="9" t="s">
        <v>50</v>
      </c>
      <c r="S2522" s="7" t="s">
        <v>216</v>
      </c>
      <c r="T2522" s="9" t="s">
        <v>39</v>
      </c>
      <c r="U2522" s="7">
        <v>0.43</v>
      </c>
      <c r="V2522" s="12">
        <f>C2522+0</f>
        <v>40547</v>
      </c>
      <c r="W2522">
        <f>IF(D2522=' Pivot Tables'!$A$4,1,0)</f>
        <v>0</v>
      </c>
      <c r="X2522">
        <f>IF(AND(LEFT(D2522,4)+1=LEFT(' Pivot Tables'!$A$4,4)+0,RIGHT(LEFT(D2522,7),2)=RIGHT(LEFT(' Pivot Tables'!$A$4,7),2)),1,0)</f>
        <v>0</v>
      </c>
      <c r="Y2522" s="6">
        <f>1/COUNTIF(Таблица1[Order ID],Таблица1[[#This Row],[Order ID]])</f>
        <v>1</v>
      </c>
      <c r="Z2522" s="9">
        <f>1/COUNTIFS(Таблица1[Customer Name],Таблица1[[#This Row],[Customer Name]],Таблица1[Order-Year-Month],Таблица1[[#This Row],[Order-Year-Month]])</f>
        <v>1</v>
      </c>
    </row>
    <row r="2523" spans="1:26" x14ac:dyDescent="0.2">
      <c r="A2523" s="6">
        <v>8129</v>
      </c>
      <c r="B2523" s="7">
        <v>58113</v>
      </c>
      <c r="C2523" s="8">
        <f>DATE(2012,12,31)-334</f>
        <v>40940</v>
      </c>
      <c r="D2523" s="8" t="str">
        <f t="shared" si="49"/>
        <v>2012-02 (февраль 2012)</v>
      </c>
      <c r="E2523" s="9" t="s">
        <v>30</v>
      </c>
      <c r="F2523" s="7">
        <v>48</v>
      </c>
      <c r="G2523" s="7">
        <v>362.71</v>
      </c>
      <c r="H2523" s="7">
        <v>7.0000000000000007E-2</v>
      </c>
      <c r="I2523" s="9" t="s">
        <v>22</v>
      </c>
      <c r="J2523" s="10">
        <v>-88.952500000000001</v>
      </c>
      <c r="K2523" s="11">
        <v>7.68</v>
      </c>
      <c r="L2523" s="11">
        <v>6.16</v>
      </c>
      <c r="M2523" s="9" t="s">
        <v>1380</v>
      </c>
      <c r="N2523" s="6" t="s">
        <v>1123</v>
      </c>
      <c r="O2523" s="6" t="s">
        <v>1123</v>
      </c>
      <c r="P2523" s="9" t="s">
        <v>25</v>
      </c>
      <c r="Q2523" s="9" t="s">
        <v>26</v>
      </c>
      <c r="R2523" s="9" t="s">
        <v>37</v>
      </c>
      <c r="S2523" s="7" t="s">
        <v>854</v>
      </c>
      <c r="T2523" s="9" t="s">
        <v>39</v>
      </c>
      <c r="U2523" s="7">
        <v>0.35</v>
      </c>
      <c r="V2523" s="12">
        <f>C2523+2</f>
        <v>40942</v>
      </c>
      <c r="W2523">
        <f>IF(D2523=' Pivot Tables'!$A$4,1,0)</f>
        <v>0</v>
      </c>
      <c r="X2523">
        <f>IF(AND(LEFT(D2523,4)+1=LEFT(' Pivot Tables'!$A$4,4)+0,RIGHT(LEFT(D2523,7),2)=RIGHT(LEFT(' Pivot Tables'!$A$4,7),2)),1,0)</f>
        <v>0</v>
      </c>
      <c r="Y2523" s="6">
        <f>1/COUNTIF(Таблица1[Order ID],Таблица1[[#This Row],[Order ID]])</f>
        <v>0.5</v>
      </c>
      <c r="Z2523" s="9">
        <f>1/COUNTIFS(Таблица1[Customer Name],Таблица1[[#This Row],[Customer Name]],Таблица1[Order-Year-Month],Таблица1[[#This Row],[Order-Year-Month]])</f>
        <v>0.5</v>
      </c>
    </row>
    <row r="2524" spans="1:26" x14ac:dyDescent="0.2">
      <c r="A2524" s="6">
        <v>8130</v>
      </c>
      <c r="B2524" s="7">
        <v>58113</v>
      </c>
      <c r="C2524" s="8">
        <f>DATE(2012,12,31)-334</f>
        <v>40940</v>
      </c>
      <c r="D2524" s="8" t="str">
        <f t="shared" si="49"/>
        <v>2012-02 (февраль 2012)</v>
      </c>
      <c r="E2524" s="9" t="s">
        <v>30</v>
      </c>
      <c r="F2524" s="7">
        <v>12</v>
      </c>
      <c r="G2524" s="7">
        <v>2077.1875</v>
      </c>
      <c r="H2524" s="7">
        <v>0.05</v>
      </c>
      <c r="I2524" s="9" t="s">
        <v>56</v>
      </c>
      <c r="J2524" s="10">
        <v>-38.070999999999998</v>
      </c>
      <c r="K2524" s="11">
        <v>200.99</v>
      </c>
      <c r="L2524" s="11">
        <v>4.2</v>
      </c>
      <c r="M2524" s="9" t="s">
        <v>1380</v>
      </c>
      <c r="N2524" s="6" t="s">
        <v>1123</v>
      </c>
      <c r="O2524" s="6" t="s">
        <v>1123</v>
      </c>
      <c r="P2524" s="9" t="s">
        <v>25</v>
      </c>
      <c r="Q2524" s="9" t="s">
        <v>42</v>
      </c>
      <c r="R2524" s="9" t="s">
        <v>43</v>
      </c>
      <c r="S2524" s="7" t="s">
        <v>457</v>
      </c>
      <c r="T2524" s="9" t="s">
        <v>39</v>
      </c>
      <c r="U2524" s="7">
        <v>0.59</v>
      </c>
      <c r="V2524" s="12">
        <f>C2524+2</f>
        <v>40942</v>
      </c>
      <c r="W2524">
        <f>IF(D2524=' Pivot Tables'!$A$4,1,0)</f>
        <v>0</v>
      </c>
      <c r="X2524">
        <f>IF(AND(LEFT(D2524,4)+1=LEFT(' Pivot Tables'!$A$4,4)+0,RIGHT(LEFT(D2524,7),2)=RIGHT(LEFT(' Pivot Tables'!$A$4,7),2)),1,0)</f>
        <v>0</v>
      </c>
      <c r="Y2524" s="6">
        <f>1/COUNTIF(Таблица1[Order ID],Таблица1[[#This Row],[Order ID]])</f>
        <v>0.5</v>
      </c>
      <c r="Z2524" s="9">
        <f>1/COUNTIFS(Таблица1[Customer Name],Таблица1[[#This Row],[Customer Name]],Таблица1[Order-Year-Month],Таблица1[[#This Row],[Order-Year-Month]])</f>
        <v>0.5</v>
      </c>
    </row>
    <row r="2525" spans="1:26" x14ac:dyDescent="0.2">
      <c r="A2525" s="6">
        <v>8186</v>
      </c>
      <c r="B2525" s="7">
        <v>58528</v>
      </c>
      <c r="C2525" s="8">
        <f>DATE(2012,12,31)-796</f>
        <v>40478</v>
      </c>
      <c r="D2525" s="8" t="str">
        <f t="shared" si="49"/>
        <v>2010-10 (октябрь 2010)</v>
      </c>
      <c r="E2525" s="9" t="s">
        <v>63</v>
      </c>
      <c r="F2525" s="7">
        <v>14</v>
      </c>
      <c r="G2525" s="7">
        <v>700.95</v>
      </c>
      <c r="H2525" s="7">
        <v>0</v>
      </c>
      <c r="I2525" s="9" t="s">
        <v>22</v>
      </c>
      <c r="J2525" s="10">
        <v>233.8</v>
      </c>
      <c r="K2525" s="11">
        <v>46.89</v>
      </c>
      <c r="L2525" s="11">
        <v>5.0999999999999996</v>
      </c>
      <c r="M2525" s="9" t="s">
        <v>1406</v>
      </c>
      <c r="N2525" s="6" t="s">
        <v>1123</v>
      </c>
      <c r="O2525" s="6" t="s">
        <v>1123</v>
      </c>
      <c r="P2525" s="9" t="s">
        <v>41</v>
      </c>
      <c r="Q2525" s="9" t="s">
        <v>26</v>
      </c>
      <c r="R2525" s="9" t="s">
        <v>34</v>
      </c>
      <c r="S2525" s="7" t="s">
        <v>355</v>
      </c>
      <c r="T2525" s="9" t="s">
        <v>48</v>
      </c>
      <c r="U2525" s="7">
        <v>0.46</v>
      </c>
      <c r="V2525" s="12">
        <f>C2525+1</f>
        <v>40479</v>
      </c>
      <c r="W2525">
        <f>IF(D2525=' Pivot Tables'!$A$4,1,0)</f>
        <v>0</v>
      </c>
      <c r="X2525">
        <f>IF(AND(LEFT(D2525,4)+1=LEFT(' Pivot Tables'!$A$4,4)+0,RIGHT(LEFT(D2525,7),2)=RIGHT(LEFT(' Pivot Tables'!$A$4,7),2)),1,0)</f>
        <v>0</v>
      </c>
      <c r="Y2525" s="6">
        <f>1/COUNTIF(Таблица1[Order ID],Таблица1[[#This Row],[Order ID]])</f>
        <v>0.5</v>
      </c>
      <c r="Z2525" s="9">
        <f>1/COUNTIFS(Таблица1[Customer Name],Таблица1[[#This Row],[Customer Name]],Таблица1[Order-Year-Month],Таблица1[[#This Row],[Order-Year-Month]])</f>
        <v>0.5</v>
      </c>
    </row>
    <row r="2526" spans="1:26" x14ac:dyDescent="0.2">
      <c r="A2526" s="6">
        <v>8187</v>
      </c>
      <c r="B2526" s="7">
        <v>58528</v>
      </c>
      <c r="C2526" s="8">
        <f>DATE(2012,12,31)-796</f>
        <v>40478</v>
      </c>
      <c r="D2526" s="8" t="str">
        <f t="shared" si="49"/>
        <v>2010-10 (октябрь 2010)</v>
      </c>
      <c r="E2526" s="9" t="s">
        <v>63</v>
      </c>
      <c r="F2526" s="7">
        <v>41</v>
      </c>
      <c r="G2526" s="7">
        <v>159.74</v>
      </c>
      <c r="H2526" s="7">
        <v>0.08</v>
      </c>
      <c r="I2526" s="9" t="s">
        <v>56</v>
      </c>
      <c r="J2526" s="10">
        <v>-9.14</v>
      </c>
      <c r="K2526" s="11">
        <v>3.69</v>
      </c>
      <c r="L2526" s="11">
        <v>2.5</v>
      </c>
      <c r="M2526" s="9" t="s">
        <v>1406</v>
      </c>
      <c r="N2526" s="6" t="s">
        <v>1123</v>
      </c>
      <c r="O2526" s="6" t="s">
        <v>1123</v>
      </c>
      <c r="P2526" s="9" t="s">
        <v>41</v>
      </c>
      <c r="Q2526" s="9" t="s">
        <v>26</v>
      </c>
      <c r="R2526" s="9" t="s">
        <v>76</v>
      </c>
      <c r="S2526" s="7" t="s">
        <v>647</v>
      </c>
      <c r="T2526" s="9" t="s">
        <v>39</v>
      </c>
      <c r="U2526" s="7">
        <v>0.39</v>
      </c>
      <c r="V2526" s="12">
        <f>C2526+1</f>
        <v>40479</v>
      </c>
      <c r="W2526">
        <f>IF(D2526=' Pivot Tables'!$A$4,1,0)</f>
        <v>0</v>
      </c>
      <c r="X2526">
        <f>IF(AND(LEFT(D2526,4)+1=LEFT(' Pivot Tables'!$A$4,4)+0,RIGHT(LEFT(D2526,7),2)=RIGHT(LEFT(' Pivot Tables'!$A$4,7),2)),1,0)</f>
        <v>0</v>
      </c>
      <c r="Y2526" s="6">
        <f>1/COUNTIF(Таблица1[Order ID],Таблица1[[#This Row],[Order ID]])</f>
        <v>0.5</v>
      </c>
      <c r="Z2526" s="9">
        <f>1/COUNTIFS(Таблица1[Customer Name],Таблица1[[#This Row],[Customer Name]],Таблица1[Order-Year-Month],Таблица1[[#This Row],[Order-Year-Month]])</f>
        <v>0.5</v>
      </c>
    </row>
    <row r="2527" spans="1:26" x14ac:dyDescent="0.2">
      <c r="A2527" s="6">
        <v>8193</v>
      </c>
      <c r="B2527" s="7">
        <v>58598</v>
      </c>
      <c r="C2527" s="8">
        <f>DATE(2012,12,31)-497</f>
        <v>40777</v>
      </c>
      <c r="D2527" s="8" t="str">
        <f t="shared" si="49"/>
        <v>2011-08 (август 2011)</v>
      </c>
      <c r="E2527" s="9" t="s">
        <v>63</v>
      </c>
      <c r="F2527" s="7">
        <v>50</v>
      </c>
      <c r="G2527" s="7">
        <v>13608.83</v>
      </c>
      <c r="H2527" s="7">
        <v>0.1</v>
      </c>
      <c r="I2527" s="9" t="s">
        <v>31</v>
      </c>
      <c r="J2527" s="10">
        <v>1342.93</v>
      </c>
      <c r="K2527" s="11">
        <v>300.98</v>
      </c>
      <c r="L2527" s="11">
        <v>64.73</v>
      </c>
      <c r="M2527" s="9" t="s">
        <v>1250</v>
      </c>
      <c r="N2527" s="6" t="s">
        <v>1123</v>
      </c>
      <c r="O2527" s="6" t="s">
        <v>1123</v>
      </c>
      <c r="P2527" s="9" t="s">
        <v>60</v>
      </c>
      <c r="Q2527" s="9" t="s">
        <v>49</v>
      </c>
      <c r="R2527" s="9" t="s">
        <v>112</v>
      </c>
      <c r="S2527" s="7" t="s">
        <v>168</v>
      </c>
      <c r="T2527" s="9" t="s">
        <v>36</v>
      </c>
      <c r="U2527" s="7">
        <v>0.56000000000000005</v>
      </c>
      <c r="V2527" s="12">
        <f>C2527+1</f>
        <v>40778</v>
      </c>
      <c r="W2527">
        <f>IF(D2527=' Pivot Tables'!$A$4,1,0)</f>
        <v>0</v>
      </c>
      <c r="X2527">
        <f>IF(AND(LEFT(D2527,4)+1=LEFT(' Pivot Tables'!$A$4,4)+0,RIGHT(LEFT(D2527,7),2)=RIGHT(LEFT(' Pivot Tables'!$A$4,7),2)),1,0)</f>
        <v>0</v>
      </c>
      <c r="Y2527" s="6">
        <f>1/COUNTIF(Таблица1[Order ID],Таблица1[[#This Row],[Order ID]])</f>
        <v>0.5</v>
      </c>
      <c r="Z2527" s="9">
        <f>1/COUNTIFS(Таблица1[Customer Name],Таблица1[[#This Row],[Customer Name]],Таблица1[Order-Year-Month],Таблица1[[#This Row],[Order-Year-Month]])</f>
        <v>0.33333333333333331</v>
      </c>
    </row>
    <row r="2528" spans="1:26" x14ac:dyDescent="0.2">
      <c r="A2528" s="6">
        <v>8194</v>
      </c>
      <c r="B2528" s="7">
        <v>58598</v>
      </c>
      <c r="C2528" s="8">
        <f>DATE(2012,12,31)-497</f>
        <v>40777</v>
      </c>
      <c r="D2528" s="8" t="str">
        <f t="shared" si="49"/>
        <v>2011-08 (август 2011)</v>
      </c>
      <c r="E2528" s="9" t="s">
        <v>63</v>
      </c>
      <c r="F2528" s="7">
        <v>25</v>
      </c>
      <c r="G2528" s="7">
        <v>89.32</v>
      </c>
      <c r="H2528" s="7">
        <v>0.01</v>
      </c>
      <c r="I2528" s="9" t="s">
        <v>22</v>
      </c>
      <c r="J2528" s="10">
        <v>33.46</v>
      </c>
      <c r="K2528" s="11">
        <v>3.41</v>
      </c>
      <c r="L2528" s="11">
        <v>0.7</v>
      </c>
      <c r="M2528" s="9" t="s">
        <v>1250</v>
      </c>
      <c r="N2528" s="6" t="s">
        <v>1123</v>
      </c>
      <c r="O2528" s="6" t="s">
        <v>1123</v>
      </c>
      <c r="P2528" s="9" t="s">
        <v>60</v>
      </c>
      <c r="Q2528" s="9" t="s">
        <v>26</v>
      </c>
      <c r="R2528" s="9" t="s">
        <v>66</v>
      </c>
      <c r="S2528" s="7" t="s">
        <v>1407</v>
      </c>
      <c r="T2528" s="9" t="s">
        <v>68</v>
      </c>
      <c r="U2528" s="7">
        <v>0.37</v>
      </c>
      <c r="V2528" s="12">
        <f>C2528+1</f>
        <v>40778</v>
      </c>
      <c r="W2528">
        <f>IF(D2528=' Pivot Tables'!$A$4,1,0)</f>
        <v>0</v>
      </c>
      <c r="X2528">
        <f>IF(AND(LEFT(D2528,4)+1=LEFT(' Pivot Tables'!$A$4,4)+0,RIGHT(LEFT(D2528,7),2)=RIGHT(LEFT(' Pivot Tables'!$A$4,7),2)),1,0)</f>
        <v>0</v>
      </c>
      <c r="Y2528" s="6">
        <f>1/COUNTIF(Таблица1[Order ID],Таблица1[[#This Row],[Order ID]])</f>
        <v>0.5</v>
      </c>
      <c r="Z2528" s="9">
        <f>1/COUNTIFS(Таблица1[Customer Name],Таблица1[[#This Row],[Customer Name]],Таблица1[Order-Year-Month],Таблица1[[#This Row],[Order-Year-Month]])</f>
        <v>0.33333333333333331</v>
      </c>
    </row>
    <row r="2529" spans="1:26" x14ac:dyDescent="0.2">
      <c r="A2529" s="6">
        <v>8231</v>
      </c>
      <c r="B2529" s="7">
        <v>58851</v>
      </c>
      <c r="C2529" s="8">
        <f>DATE(2012,12,31)-938</f>
        <v>40336</v>
      </c>
      <c r="D2529" s="8" t="str">
        <f t="shared" si="49"/>
        <v>2010-06 (июнь 2010)</v>
      </c>
      <c r="E2529" s="9" t="s">
        <v>21</v>
      </c>
      <c r="F2529" s="7">
        <v>3</v>
      </c>
      <c r="G2529" s="7">
        <v>23.93</v>
      </c>
      <c r="H2529" s="7">
        <v>0.1</v>
      </c>
      <c r="I2529" s="9" t="s">
        <v>22</v>
      </c>
      <c r="J2529" s="10">
        <v>-6.39</v>
      </c>
      <c r="K2529" s="11">
        <v>8.34</v>
      </c>
      <c r="L2529" s="11">
        <v>0.96</v>
      </c>
      <c r="M2529" s="9" t="s">
        <v>1257</v>
      </c>
      <c r="N2529" s="6" t="s">
        <v>1123</v>
      </c>
      <c r="O2529" s="6" t="s">
        <v>1123</v>
      </c>
      <c r="P2529" s="9" t="s">
        <v>41</v>
      </c>
      <c r="Q2529" s="9" t="s">
        <v>49</v>
      </c>
      <c r="R2529" s="9" t="s">
        <v>50</v>
      </c>
      <c r="S2529" s="7" t="s">
        <v>1306</v>
      </c>
      <c r="T2529" s="9" t="s">
        <v>68</v>
      </c>
      <c r="U2529" s="7">
        <v>0.43</v>
      </c>
      <c r="V2529" s="12">
        <f>C2529+4</f>
        <v>40340</v>
      </c>
      <c r="W2529">
        <f>IF(D2529=' Pivot Tables'!$A$4,1,0)</f>
        <v>0</v>
      </c>
      <c r="X2529">
        <f>IF(AND(LEFT(D2529,4)+1=LEFT(' Pivot Tables'!$A$4,4)+0,RIGHT(LEFT(D2529,7),2)=RIGHT(LEFT(' Pivot Tables'!$A$4,7),2)),1,0)</f>
        <v>0</v>
      </c>
      <c r="Y2529" s="6">
        <f>1/COUNTIF(Таблица1[Order ID],Таблица1[[#This Row],[Order ID]])</f>
        <v>0.5</v>
      </c>
      <c r="Z2529" s="9">
        <f>1/COUNTIFS(Таблица1[Customer Name],Таблица1[[#This Row],[Customer Name]],Таблица1[Order-Year-Month],Таблица1[[#This Row],[Order-Year-Month]])</f>
        <v>0.5</v>
      </c>
    </row>
    <row r="2530" spans="1:26" x14ac:dyDescent="0.2">
      <c r="A2530" s="6">
        <v>8232</v>
      </c>
      <c r="B2530" s="7">
        <v>58851</v>
      </c>
      <c r="C2530" s="8">
        <f>DATE(2012,12,31)-938</f>
        <v>40336</v>
      </c>
      <c r="D2530" s="8" t="str">
        <f t="shared" si="49"/>
        <v>2010-06 (июнь 2010)</v>
      </c>
      <c r="E2530" s="9" t="s">
        <v>21</v>
      </c>
      <c r="F2530" s="7">
        <v>14</v>
      </c>
      <c r="G2530" s="7">
        <v>2027.55</v>
      </c>
      <c r="H2530" s="7">
        <v>0.04</v>
      </c>
      <c r="I2530" s="9" t="s">
        <v>22</v>
      </c>
      <c r="J2530" s="10">
        <v>537.4</v>
      </c>
      <c r="K2530" s="11">
        <v>140.99</v>
      </c>
      <c r="L2530" s="11">
        <v>13.99</v>
      </c>
      <c r="M2530" s="9" t="s">
        <v>1257</v>
      </c>
      <c r="N2530" s="6" t="s">
        <v>1123</v>
      </c>
      <c r="O2530" s="6" t="s">
        <v>1123</v>
      </c>
      <c r="P2530" s="9" t="s">
        <v>41</v>
      </c>
      <c r="Q2530" s="9" t="s">
        <v>42</v>
      </c>
      <c r="R2530" s="9" t="s">
        <v>210</v>
      </c>
      <c r="S2530" s="7" t="s">
        <v>459</v>
      </c>
      <c r="T2530" s="9" t="s">
        <v>48</v>
      </c>
      <c r="U2530" s="7">
        <v>0.37</v>
      </c>
      <c r="V2530" s="12">
        <f>C2530+7</f>
        <v>40343</v>
      </c>
      <c r="W2530">
        <f>IF(D2530=' Pivot Tables'!$A$4,1,0)</f>
        <v>0</v>
      </c>
      <c r="X2530">
        <f>IF(AND(LEFT(D2530,4)+1=LEFT(' Pivot Tables'!$A$4,4)+0,RIGHT(LEFT(D2530,7),2)=RIGHT(LEFT(' Pivot Tables'!$A$4,7),2)),1,0)</f>
        <v>0</v>
      </c>
      <c r="Y2530" s="6">
        <f>1/COUNTIF(Таблица1[Order ID],Таблица1[[#This Row],[Order ID]])</f>
        <v>0.5</v>
      </c>
      <c r="Z2530" s="9">
        <f>1/COUNTIFS(Таблица1[Customer Name],Таблица1[[#This Row],[Customer Name]],Таблица1[Order-Year-Month],Таблица1[[#This Row],[Order-Year-Month]])</f>
        <v>0.5</v>
      </c>
    </row>
    <row r="2531" spans="1:26" x14ac:dyDescent="0.2">
      <c r="A2531" s="6">
        <v>8233</v>
      </c>
      <c r="B2531" s="7">
        <v>58853</v>
      </c>
      <c r="C2531" s="8">
        <f>DATE(2012,12,31)-232</f>
        <v>41042</v>
      </c>
      <c r="D2531" s="8" t="str">
        <f t="shared" si="49"/>
        <v>2012-05 (май 2012)</v>
      </c>
      <c r="E2531" s="9" t="s">
        <v>78</v>
      </c>
      <c r="F2531" s="7">
        <v>27</v>
      </c>
      <c r="G2531" s="7">
        <v>5307.5</v>
      </c>
      <c r="H2531" s="7">
        <v>0.09</v>
      </c>
      <c r="I2531" s="9" t="s">
        <v>31</v>
      </c>
      <c r="J2531" s="10">
        <v>1116.67</v>
      </c>
      <c r="K2531" s="11">
        <v>200.98</v>
      </c>
      <c r="L2531" s="11">
        <v>23.76</v>
      </c>
      <c r="M2531" s="9" t="s">
        <v>1285</v>
      </c>
      <c r="N2531" s="6" t="s">
        <v>1123</v>
      </c>
      <c r="O2531" s="6" t="s">
        <v>1123</v>
      </c>
      <c r="P2531" s="9" t="s">
        <v>60</v>
      </c>
      <c r="Q2531" s="9" t="s">
        <v>49</v>
      </c>
      <c r="R2531" s="9" t="s">
        <v>112</v>
      </c>
      <c r="S2531" s="7" t="s">
        <v>441</v>
      </c>
      <c r="T2531" s="9" t="s">
        <v>36</v>
      </c>
      <c r="U2531" s="7">
        <v>0.57999999999999996</v>
      </c>
      <c r="V2531" s="12">
        <f>C2531+1</f>
        <v>41043</v>
      </c>
      <c r="W2531">
        <f>IF(D2531=' Pivot Tables'!$A$4,1,0)</f>
        <v>0</v>
      </c>
      <c r="X2531">
        <f>IF(AND(LEFT(D2531,4)+1=LEFT(' Pivot Tables'!$A$4,4)+0,RIGHT(LEFT(D2531,7),2)=RIGHT(LEFT(' Pivot Tables'!$A$4,7),2)),1,0)</f>
        <v>0</v>
      </c>
      <c r="Y2531" s="6">
        <f>1/COUNTIF(Таблица1[Order ID],Таблица1[[#This Row],[Order ID]])</f>
        <v>1</v>
      </c>
      <c r="Z2531" s="9">
        <f>1/COUNTIFS(Таблица1[Customer Name],Таблица1[[#This Row],[Customer Name]],Таблица1[Order-Year-Month],Таблица1[[#This Row],[Order-Year-Month]])</f>
        <v>1</v>
      </c>
    </row>
    <row r="2532" spans="1:26" x14ac:dyDescent="0.2">
      <c r="A2532" s="6">
        <v>8252</v>
      </c>
      <c r="B2532" s="7">
        <v>59015</v>
      </c>
      <c r="C2532" s="8">
        <f>DATE(2012,12,31)-219</f>
        <v>41055</v>
      </c>
      <c r="D2532" s="8" t="str">
        <f t="shared" si="49"/>
        <v>2012-05 (май 2012)</v>
      </c>
      <c r="E2532" s="9" t="s">
        <v>63</v>
      </c>
      <c r="F2532" s="7">
        <v>32</v>
      </c>
      <c r="G2532" s="7">
        <v>254.46</v>
      </c>
      <c r="H2532" s="7">
        <v>0.09</v>
      </c>
      <c r="I2532" s="9" t="s">
        <v>22</v>
      </c>
      <c r="J2532" s="10">
        <v>23.5</v>
      </c>
      <c r="K2532" s="11">
        <v>8.5</v>
      </c>
      <c r="L2532" s="11">
        <v>1.99</v>
      </c>
      <c r="M2532" s="9" t="s">
        <v>1408</v>
      </c>
      <c r="N2532" s="6" t="s">
        <v>1123</v>
      </c>
      <c r="O2532" s="6" t="s">
        <v>1123</v>
      </c>
      <c r="P2532" s="9" t="s">
        <v>25</v>
      </c>
      <c r="Q2532" s="9" t="s">
        <v>42</v>
      </c>
      <c r="R2532" s="9" t="s">
        <v>70</v>
      </c>
      <c r="S2532" s="7" t="s">
        <v>863</v>
      </c>
      <c r="T2532" s="9" t="s">
        <v>52</v>
      </c>
      <c r="U2532" s="7">
        <v>0.49</v>
      </c>
      <c r="V2532" s="12">
        <f>C2532+1</f>
        <v>41056</v>
      </c>
      <c r="W2532">
        <f>IF(D2532=' Pivot Tables'!$A$4,1,0)</f>
        <v>0</v>
      </c>
      <c r="X2532">
        <f>IF(AND(LEFT(D2532,4)+1=LEFT(' Pivot Tables'!$A$4,4)+0,RIGHT(LEFT(D2532,7),2)=RIGHT(LEFT(' Pivot Tables'!$A$4,7),2)),1,0)</f>
        <v>0</v>
      </c>
      <c r="Y2532" s="6">
        <f>1/COUNTIF(Таблица1[Order ID],Таблица1[[#This Row],[Order ID]])</f>
        <v>0.33333333333333331</v>
      </c>
      <c r="Z2532" s="9">
        <f>1/COUNTIFS(Таблица1[Customer Name],Таблица1[[#This Row],[Customer Name]],Таблица1[Order-Year-Month],Таблица1[[#This Row],[Order-Year-Month]])</f>
        <v>0.16666666666666666</v>
      </c>
    </row>
    <row r="2533" spans="1:26" x14ac:dyDescent="0.2">
      <c r="A2533" s="6">
        <v>8253</v>
      </c>
      <c r="B2533" s="7">
        <v>59015</v>
      </c>
      <c r="C2533" s="8">
        <f>DATE(2012,12,31)-219</f>
        <v>41055</v>
      </c>
      <c r="D2533" s="8" t="str">
        <f t="shared" si="49"/>
        <v>2012-05 (май 2012)</v>
      </c>
      <c r="E2533" s="9" t="s">
        <v>63</v>
      </c>
      <c r="F2533" s="7">
        <v>32</v>
      </c>
      <c r="G2533" s="7">
        <v>278.19</v>
      </c>
      <c r="H2533" s="7">
        <v>0.02</v>
      </c>
      <c r="I2533" s="9" t="s">
        <v>22</v>
      </c>
      <c r="J2533" s="10">
        <v>149.38999999999999</v>
      </c>
      <c r="K2533" s="11">
        <v>8.34</v>
      </c>
      <c r="L2533" s="11">
        <v>0.96</v>
      </c>
      <c r="M2533" s="9" t="s">
        <v>1408</v>
      </c>
      <c r="N2533" s="6" t="s">
        <v>1123</v>
      </c>
      <c r="O2533" s="6" t="s">
        <v>1123</v>
      </c>
      <c r="P2533" s="9" t="s">
        <v>25</v>
      </c>
      <c r="Q2533" s="9" t="s">
        <v>49</v>
      </c>
      <c r="R2533" s="9" t="s">
        <v>50</v>
      </c>
      <c r="S2533" s="7" t="s">
        <v>1306</v>
      </c>
      <c r="T2533" s="9" t="s">
        <v>68</v>
      </c>
      <c r="U2533" s="7">
        <v>0.43</v>
      </c>
      <c r="V2533" s="12">
        <f>C2533+1</f>
        <v>41056</v>
      </c>
      <c r="W2533">
        <f>IF(D2533=' Pivot Tables'!$A$4,1,0)</f>
        <v>0</v>
      </c>
      <c r="X2533">
        <f>IF(AND(LEFT(D2533,4)+1=LEFT(' Pivot Tables'!$A$4,4)+0,RIGHT(LEFT(D2533,7),2)=RIGHT(LEFT(' Pivot Tables'!$A$4,7),2)),1,0)</f>
        <v>0</v>
      </c>
      <c r="Y2533" s="6">
        <f>1/COUNTIF(Таблица1[Order ID],Таблица1[[#This Row],[Order ID]])</f>
        <v>0.33333333333333331</v>
      </c>
      <c r="Z2533" s="9">
        <f>1/COUNTIFS(Таблица1[Customer Name],Таблица1[[#This Row],[Customer Name]],Таблица1[Order-Year-Month],Таблица1[[#This Row],[Order-Year-Month]])</f>
        <v>0.16666666666666666</v>
      </c>
    </row>
    <row r="2534" spans="1:26" x14ac:dyDescent="0.2">
      <c r="A2534" s="6">
        <v>8254</v>
      </c>
      <c r="B2534" s="7">
        <v>59015</v>
      </c>
      <c r="C2534" s="8">
        <f>DATE(2012,12,31)-219</f>
        <v>41055</v>
      </c>
      <c r="D2534" s="8" t="str">
        <f t="shared" si="49"/>
        <v>2012-05 (май 2012)</v>
      </c>
      <c r="E2534" s="9" t="s">
        <v>63</v>
      </c>
      <c r="F2534" s="7">
        <v>32</v>
      </c>
      <c r="G2534" s="7">
        <v>1662.33</v>
      </c>
      <c r="H2534" s="7">
        <v>0.02</v>
      </c>
      <c r="I2534" s="9" t="s">
        <v>22</v>
      </c>
      <c r="J2534" s="10">
        <v>783.84</v>
      </c>
      <c r="K2534" s="11">
        <v>48.91</v>
      </c>
      <c r="L2534" s="11">
        <v>5.81</v>
      </c>
      <c r="M2534" s="9" t="s">
        <v>1408</v>
      </c>
      <c r="N2534" s="6" t="s">
        <v>1123</v>
      </c>
      <c r="O2534" s="6" t="s">
        <v>1123</v>
      </c>
      <c r="P2534" s="9" t="s">
        <v>25</v>
      </c>
      <c r="Q2534" s="9" t="s">
        <v>26</v>
      </c>
      <c r="R2534" s="9" t="s">
        <v>61</v>
      </c>
      <c r="S2534" s="7" t="s">
        <v>183</v>
      </c>
      <c r="T2534" s="9" t="s">
        <v>39</v>
      </c>
      <c r="U2534" s="7">
        <v>0.38</v>
      </c>
      <c r="V2534" s="12">
        <f>C2534+2</f>
        <v>41057</v>
      </c>
      <c r="W2534">
        <f>IF(D2534=' Pivot Tables'!$A$4,1,0)</f>
        <v>0</v>
      </c>
      <c r="X2534">
        <f>IF(AND(LEFT(D2534,4)+1=LEFT(' Pivot Tables'!$A$4,4)+0,RIGHT(LEFT(D2534,7),2)=RIGHT(LEFT(' Pivot Tables'!$A$4,7),2)),1,0)</f>
        <v>0</v>
      </c>
      <c r="Y2534" s="6">
        <f>1/COUNTIF(Таблица1[Order ID],Таблица1[[#This Row],[Order ID]])</f>
        <v>0.33333333333333331</v>
      </c>
      <c r="Z2534" s="9">
        <f>1/COUNTIFS(Таблица1[Customer Name],Таблица1[[#This Row],[Customer Name]],Таблица1[Order-Year-Month],Таблица1[[#This Row],[Order-Year-Month]])</f>
        <v>0.16666666666666666</v>
      </c>
    </row>
    <row r="2535" spans="1:26" x14ac:dyDescent="0.2">
      <c r="A2535" s="6">
        <v>8264</v>
      </c>
      <c r="B2535" s="7">
        <v>59075</v>
      </c>
      <c r="C2535" s="8">
        <f>DATE(2012,12,31)-309</f>
        <v>40965</v>
      </c>
      <c r="D2535" s="8" t="str">
        <f t="shared" si="49"/>
        <v>2012-02 (февраль 2012)</v>
      </c>
      <c r="E2535" s="9" t="s">
        <v>21</v>
      </c>
      <c r="F2535" s="7">
        <v>38</v>
      </c>
      <c r="G2535" s="7">
        <v>425.91</v>
      </c>
      <c r="H2535" s="7">
        <v>0.02</v>
      </c>
      <c r="I2535" s="9" t="s">
        <v>22</v>
      </c>
      <c r="J2535" s="10">
        <v>55.06</v>
      </c>
      <c r="K2535" s="11">
        <v>11.19</v>
      </c>
      <c r="L2535" s="11">
        <v>5.03</v>
      </c>
      <c r="M2535" s="9" t="s">
        <v>1308</v>
      </c>
      <c r="N2535" s="6" t="s">
        <v>1123</v>
      </c>
      <c r="O2535" s="6" t="s">
        <v>1123</v>
      </c>
      <c r="P2535" s="9" t="s">
        <v>25</v>
      </c>
      <c r="Q2535" s="9" t="s">
        <v>26</v>
      </c>
      <c r="R2535" s="9" t="s">
        <v>61</v>
      </c>
      <c r="S2535" s="7" t="s">
        <v>1387</v>
      </c>
      <c r="T2535" s="9" t="s">
        <v>39</v>
      </c>
      <c r="U2535" s="7">
        <v>0.37</v>
      </c>
      <c r="V2535" s="12">
        <f>C2535+3</f>
        <v>40968</v>
      </c>
      <c r="W2535">
        <f>IF(D2535=' Pivot Tables'!$A$4,1,0)</f>
        <v>0</v>
      </c>
      <c r="X2535">
        <f>IF(AND(LEFT(D2535,4)+1=LEFT(' Pivot Tables'!$A$4,4)+0,RIGHT(LEFT(D2535,7),2)=RIGHT(LEFT(' Pivot Tables'!$A$4,7),2)),1,0)</f>
        <v>0</v>
      </c>
      <c r="Y2535" s="6">
        <f>1/COUNTIF(Таблица1[Order ID],Таблица1[[#This Row],[Order ID]])</f>
        <v>0.5</v>
      </c>
      <c r="Z2535" s="9">
        <f>1/COUNTIFS(Таблица1[Customer Name],Таблица1[[#This Row],[Customer Name]],Таблица1[Order-Year-Month],Таблица1[[#This Row],[Order-Year-Month]])</f>
        <v>0.5</v>
      </c>
    </row>
    <row r="2536" spans="1:26" x14ac:dyDescent="0.2">
      <c r="A2536" s="6">
        <v>8269</v>
      </c>
      <c r="B2536" s="7">
        <v>59108</v>
      </c>
      <c r="C2536" s="8">
        <f>DATE(2012,12,31)-451</f>
        <v>40823</v>
      </c>
      <c r="D2536" s="8" t="str">
        <f t="shared" si="49"/>
        <v>2011-10 (октябрь 2011)</v>
      </c>
      <c r="E2536" s="9" t="s">
        <v>21</v>
      </c>
      <c r="F2536" s="7">
        <v>21</v>
      </c>
      <c r="G2536" s="7">
        <v>68.53</v>
      </c>
      <c r="H2536" s="7">
        <v>0.09</v>
      </c>
      <c r="I2536" s="9" t="s">
        <v>22</v>
      </c>
      <c r="J2536" s="10">
        <v>-59.97</v>
      </c>
      <c r="K2536" s="11">
        <v>3.28</v>
      </c>
      <c r="L2536" s="11">
        <v>3.97</v>
      </c>
      <c r="M2536" s="9" t="s">
        <v>1262</v>
      </c>
      <c r="N2536" s="6" t="s">
        <v>1123</v>
      </c>
      <c r="O2536" s="6" t="s">
        <v>1123</v>
      </c>
      <c r="P2536" s="9" t="s">
        <v>41</v>
      </c>
      <c r="Q2536" s="9" t="s">
        <v>26</v>
      </c>
      <c r="R2536" s="9" t="s">
        <v>95</v>
      </c>
      <c r="S2536" s="7" t="s">
        <v>570</v>
      </c>
      <c r="T2536" s="9" t="s">
        <v>68</v>
      </c>
      <c r="U2536" s="7">
        <v>0.56000000000000005</v>
      </c>
      <c r="V2536" s="12">
        <f>C2536+5</f>
        <v>40828</v>
      </c>
      <c r="W2536">
        <f>IF(D2536=' Pivot Tables'!$A$4,1,0)</f>
        <v>0</v>
      </c>
      <c r="X2536">
        <f>IF(AND(LEFT(D2536,4)+1=LEFT(' Pivot Tables'!$A$4,4)+0,RIGHT(LEFT(D2536,7),2)=RIGHT(LEFT(' Pivot Tables'!$A$4,7),2)),1,0)</f>
        <v>0</v>
      </c>
      <c r="Y2536" s="6">
        <f>1/COUNTIF(Таблица1[Order ID],Таблица1[[#This Row],[Order ID]])</f>
        <v>0.5</v>
      </c>
      <c r="Z2536" s="9">
        <f>1/COUNTIFS(Таблица1[Customer Name],Таблица1[[#This Row],[Customer Name]],Таблица1[Order-Year-Month],Таблица1[[#This Row],[Order-Year-Month]])</f>
        <v>0.5</v>
      </c>
    </row>
    <row r="2537" spans="1:26" x14ac:dyDescent="0.2">
      <c r="A2537" s="6">
        <v>8270</v>
      </c>
      <c r="B2537" s="7">
        <v>59108</v>
      </c>
      <c r="C2537" s="8">
        <f>DATE(2012,12,31)-451</f>
        <v>40823</v>
      </c>
      <c r="D2537" s="8" t="str">
        <f t="shared" si="49"/>
        <v>2011-10 (октябрь 2011)</v>
      </c>
      <c r="E2537" s="9" t="s">
        <v>21</v>
      </c>
      <c r="F2537" s="7">
        <v>39</v>
      </c>
      <c r="G2537" s="7">
        <v>4215.83</v>
      </c>
      <c r="H2537" s="7">
        <v>0.02</v>
      </c>
      <c r="I2537" s="9" t="s">
        <v>22</v>
      </c>
      <c r="J2537" s="10">
        <v>972.18900000000008</v>
      </c>
      <c r="K2537" s="11">
        <v>125.99</v>
      </c>
      <c r="L2537" s="11">
        <v>8.99</v>
      </c>
      <c r="M2537" s="9" t="s">
        <v>1262</v>
      </c>
      <c r="N2537" s="6" t="s">
        <v>1123</v>
      </c>
      <c r="O2537" s="6" t="s">
        <v>1123</v>
      </c>
      <c r="P2537" s="9" t="s">
        <v>41</v>
      </c>
      <c r="Q2537" s="9" t="s">
        <v>42</v>
      </c>
      <c r="R2537" s="9" t="s">
        <v>43</v>
      </c>
      <c r="S2537" s="7" t="s">
        <v>924</v>
      </c>
      <c r="T2537" s="9" t="s">
        <v>39</v>
      </c>
      <c r="U2537" s="7">
        <v>0.59</v>
      </c>
      <c r="V2537" s="12">
        <f>C2537+9</f>
        <v>40832</v>
      </c>
      <c r="W2537">
        <f>IF(D2537=' Pivot Tables'!$A$4,1,0)</f>
        <v>0</v>
      </c>
      <c r="X2537">
        <f>IF(AND(LEFT(D2537,4)+1=LEFT(' Pivot Tables'!$A$4,4)+0,RIGHT(LEFT(D2537,7),2)=RIGHT(LEFT(' Pivot Tables'!$A$4,7),2)),1,0)</f>
        <v>0</v>
      </c>
      <c r="Y2537" s="6">
        <f>1/COUNTIF(Таблица1[Order ID],Таблица1[[#This Row],[Order ID]])</f>
        <v>0.5</v>
      </c>
      <c r="Z2537" s="9">
        <f>1/COUNTIFS(Таблица1[Customer Name],Таблица1[[#This Row],[Customer Name]],Таблица1[Order-Year-Month],Таблица1[[#This Row],[Order-Year-Month]])</f>
        <v>0.5</v>
      </c>
    </row>
    <row r="2538" spans="1:26" x14ac:dyDescent="0.2">
      <c r="A2538" s="6">
        <v>8339</v>
      </c>
      <c r="B2538" s="7">
        <v>59589</v>
      </c>
      <c r="C2538" s="8">
        <f>DATE(2012,12,31)-264</f>
        <v>41010</v>
      </c>
      <c r="D2538" s="8" t="str">
        <f t="shared" si="49"/>
        <v>2012-04 (апрель 2012)</v>
      </c>
      <c r="E2538" s="9" t="s">
        <v>63</v>
      </c>
      <c r="F2538" s="7">
        <v>25</v>
      </c>
      <c r="G2538" s="7">
        <v>1610.26</v>
      </c>
      <c r="H2538" s="7">
        <v>0.06</v>
      </c>
      <c r="I2538" s="9" t="s">
        <v>22</v>
      </c>
      <c r="J2538" s="10">
        <v>122.42</v>
      </c>
      <c r="K2538" s="11">
        <v>64.98</v>
      </c>
      <c r="L2538" s="11">
        <v>6.88</v>
      </c>
      <c r="M2538" s="9" t="s">
        <v>1313</v>
      </c>
      <c r="N2538" s="6" t="s">
        <v>1123</v>
      </c>
      <c r="O2538" s="6" t="s">
        <v>1123</v>
      </c>
      <c r="P2538" s="9" t="s">
        <v>60</v>
      </c>
      <c r="Q2538" s="9" t="s">
        <v>26</v>
      </c>
      <c r="R2538" s="9" t="s">
        <v>27</v>
      </c>
      <c r="S2538" s="7" t="s">
        <v>519</v>
      </c>
      <c r="T2538" s="9" t="s">
        <v>39</v>
      </c>
      <c r="U2538" s="7">
        <v>0.73</v>
      </c>
      <c r="V2538" s="12">
        <f>C2538+0</f>
        <v>41010</v>
      </c>
      <c r="W2538">
        <f>IF(D2538=' Pivot Tables'!$A$4,1,0)</f>
        <v>0</v>
      </c>
      <c r="X2538">
        <f>IF(AND(LEFT(D2538,4)+1=LEFT(' Pivot Tables'!$A$4,4)+0,RIGHT(LEFT(D2538,7),2)=RIGHT(LEFT(' Pivot Tables'!$A$4,7),2)),1,0)</f>
        <v>0</v>
      </c>
      <c r="Y2538" s="6">
        <f>1/COUNTIF(Таблица1[Order ID],Таблица1[[#This Row],[Order ID]])</f>
        <v>1</v>
      </c>
      <c r="Z2538" s="9">
        <f>1/COUNTIFS(Таблица1[Customer Name],Таблица1[[#This Row],[Customer Name]],Таблица1[Order-Year-Month],Таблица1[[#This Row],[Order-Year-Month]])</f>
        <v>0.5</v>
      </c>
    </row>
    <row r="2539" spans="1:26" x14ac:dyDescent="0.2">
      <c r="A2539" s="6">
        <v>8354</v>
      </c>
      <c r="B2539" s="7">
        <v>59685</v>
      </c>
      <c r="C2539" s="8">
        <f>DATE(2012,12,31)-21</f>
        <v>41253</v>
      </c>
      <c r="D2539" s="8" t="str">
        <f t="shared" si="49"/>
        <v>2012-12 (декабрь 2012)</v>
      </c>
      <c r="E2539" s="9" t="s">
        <v>78</v>
      </c>
      <c r="F2539" s="7">
        <v>12</v>
      </c>
      <c r="G2539" s="7">
        <v>505.2</v>
      </c>
      <c r="H2539" s="7">
        <v>0.05</v>
      </c>
      <c r="I2539" s="9" t="s">
        <v>22</v>
      </c>
      <c r="J2539" s="10">
        <v>78.98</v>
      </c>
      <c r="K2539" s="11">
        <v>40.98</v>
      </c>
      <c r="L2539" s="11">
        <v>5.33</v>
      </c>
      <c r="M2539" s="9" t="s">
        <v>1299</v>
      </c>
      <c r="N2539" s="6" t="s">
        <v>1123</v>
      </c>
      <c r="O2539" s="6" t="s">
        <v>1123</v>
      </c>
      <c r="P2539" s="9" t="s">
        <v>33</v>
      </c>
      <c r="Q2539" s="9" t="s">
        <v>26</v>
      </c>
      <c r="R2539" s="9" t="s">
        <v>34</v>
      </c>
      <c r="S2539" s="7" t="s">
        <v>682</v>
      </c>
      <c r="T2539" s="9" t="s">
        <v>39</v>
      </c>
      <c r="U2539" s="7">
        <v>0.56999999999999995</v>
      </c>
      <c r="V2539" s="12">
        <f>C2539+2</f>
        <v>41255</v>
      </c>
      <c r="W2539">
        <f>IF(D2539=' Pivot Tables'!$A$4,1,0)</f>
        <v>0</v>
      </c>
      <c r="X2539">
        <f>IF(AND(LEFT(D2539,4)+1=LEFT(' Pivot Tables'!$A$4,4)+0,RIGHT(LEFT(D2539,7),2)=RIGHT(LEFT(' Pivot Tables'!$A$4,7),2)),1,0)</f>
        <v>0</v>
      </c>
      <c r="Y2539" s="6">
        <f>1/COUNTIF(Таблица1[Order ID],Таблица1[[#This Row],[Order ID]])</f>
        <v>0.5</v>
      </c>
      <c r="Z2539" s="9">
        <f>1/COUNTIFS(Таблица1[Customer Name],Таблица1[[#This Row],[Customer Name]],Таблица1[Order-Year-Month],Таблица1[[#This Row],[Order-Year-Month]])</f>
        <v>0.5</v>
      </c>
    </row>
    <row r="2540" spans="1:26" x14ac:dyDescent="0.2">
      <c r="A2540" s="6">
        <v>8355</v>
      </c>
      <c r="B2540" s="7">
        <v>59685</v>
      </c>
      <c r="C2540" s="8">
        <f>DATE(2012,12,31)-21</f>
        <v>41253</v>
      </c>
      <c r="D2540" s="8" t="str">
        <f t="shared" si="49"/>
        <v>2012-12 (декабрь 2012)</v>
      </c>
      <c r="E2540" s="9" t="s">
        <v>78</v>
      </c>
      <c r="F2540" s="7">
        <v>46</v>
      </c>
      <c r="G2540" s="7">
        <v>562.91</v>
      </c>
      <c r="H2540" s="7">
        <v>0.1</v>
      </c>
      <c r="I2540" s="9" t="s">
        <v>22</v>
      </c>
      <c r="J2540" s="10">
        <v>-560.29</v>
      </c>
      <c r="K2540" s="11">
        <v>12.99</v>
      </c>
      <c r="L2540" s="11">
        <v>14.37</v>
      </c>
      <c r="M2540" s="9" t="s">
        <v>1299</v>
      </c>
      <c r="N2540" s="6" t="s">
        <v>1123</v>
      </c>
      <c r="O2540" s="6" t="s">
        <v>1123</v>
      </c>
      <c r="P2540" s="9" t="s">
        <v>33</v>
      </c>
      <c r="Q2540" s="9" t="s">
        <v>49</v>
      </c>
      <c r="R2540" s="9" t="s">
        <v>50</v>
      </c>
      <c r="S2540" s="7" t="s">
        <v>1129</v>
      </c>
      <c r="T2540" s="9" t="s">
        <v>29</v>
      </c>
      <c r="U2540" s="7">
        <v>0.73</v>
      </c>
      <c r="V2540" s="12">
        <f>C2540+1</f>
        <v>41254</v>
      </c>
      <c r="W2540">
        <f>IF(D2540=' Pivot Tables'!$A$4,1,0)</f>
        <v>0</v>
      </c>
      <c r="X2540">
        <f>IF(AND(LEFT(D2540,4)+1=LEFT(' Pivot Tables'!$A$4,4)+0,RIGHT(LEFT(D2540,7),2)=RIGHT(LEFT(' Pivot Tables'!$A$4,7),2)),1,0)</f>
        <v>0</v>
      </c>
      <c r="Y2540" s="6">
        <f>1/COUNTIF(Таблица1[Order ID],Таблица1[[#This Row],[Order ID]])</f>
        <v>0.5</v>
      </c>
      <c r="Z2540" s="9">
        <f>1/COUNTIFS(Таблица1[Customer Name],Таблица1[[#This Row],[Customer Name]],Таблица1[Order-Year-Month],Таблица1[[#This Row],[Order-Year-Month]])</f>
        <v>0.5</v>
      </c>
    </row>
    <row r="2541" spans="1:26" x14ac:dyDescent="0.2">
      <c r="A2541" s="6">
        <v>8377</v>
      </c>
      <c r="B2541" s="7">
        <v>59845</v>
      </c>
      <c r="C2541" s="8">
        <f>DATE(2012,12,31)-1105</f>
        <v>40169</v>
      </c>
      <c r="D2541" s="8" t="str">
        <f t="shared" si="49"/>
        <v>2009-12 (декабрь 2009)</v>
      </c>
      <c r="E2541" s="9" t="s">
        <v>21</v>
      </c>
      <c r="F2541" s="7">
        <v>42</v>
      </c>
      <c r="G2541" s="7">
        <v>200.1</v>
      </c>
      <c r="H2541" s="7">
        <v>0.04</v>
      </c>
      <c r="I2541" s="9" t="s">
        <v>22</v>
      </c>
      <c r="J2541" s="10">
        <v>3.02</v>
      </c>
      <c r="K2541" s="11">
        <v>4.71</v>
      </c>
      <c r="L2541" s="11">
        <v>0.7</v>
      </c>
      <c r="M2541" s="9" t="s">
        <v>1255</v>
      </c>
      <c r="N2541" s="6" t="s">
        <v>1123</v>
      </c>
      <c r="O2541" s="6" t="s">
        <v>1123</v>
      </c>
      <c r="P2541" s="9" t="s">
        <v>33</v>
      </c>
      <c r="Q2541" s="9" t="s">
        <v>26</v>
      </c>
      <c r="R2541" s="9" t="s">
        <v>66</v>
      </c>
      <c r="S2541" s="7" t="s">
        <v>90</v>
      </c>
      <c r="T2541" s="9" t="s">
        <v>68</v>
      </c>
      <c r="U2541" s="7">
        <v>0.8</v>
      </c>
      <c r="V2541" s="12">
        <f>C2541+4</f>
        <v>40173</v>
      </c>
      <c r="W2541">
        <f>IF(D2541=' Pivot Tables'!$A$4,1,0)</f>
        <v>0</v>
      </c>
      <c r="X2541">
        <f>IF(AND(LEFT(D2541,4)+1=LEFT(' Pivot Tables'!$A$4,4)+0,RIGHT(LEFT(D2541,7),2)=RIGHT(LEFT(' Pivot Tables'!$A$4,7),2)),1,0)</f>
        <v>0</v>
      </c>
      <c r="Y2541" s="6">
        <f>1/COUNTIF(Таблица1[Order ID],Таблица1[[#This Row],[Order ID]])</f>
        <v>0.5</v>
      </c>
      <c r="Z2541" s="9">
        <f>1/COUNTIFS(Таблица1[Customer Name],Таблица1[[#This Row],[Customer Name]],Таблица1[Order-Year-Month],Таблица1[[#This Row],[Order-Year-Month]])</f>
        <v>0.5</v>
      </c>
    </row>
    <row r="2542" spans="1:26" x14ac:dyDescent="0.2">
      <c r="A2542" s="6">
        <v>8378</v>
      </c>
      <c r="B2542" s="7">
        <v>59845</v>
      </c>
      <c r="C2542" s="8">
        <f>DATE(2012,12,31)-1105</f>
        <v>40169</v>
      </c>
      <c r="D2542" s="8" t="str">
        <f t="shared" si="49"/>
        <v>2009-12 (декабрь 2009)</v>
      </c>
      <c r="E2542" s="9" t="s">
        <v>21</v>
      </c>
      <c r="F2542" s="7">
        <v>28</v>
      </c>
      <c r="G2542" s="7">
        <v>120.54</v>
      </c>
      <c r="H2542" s="7">
        <v>0.06</v>
      </c>
      <c r="I2542" s="9" t="s">
        <v>22</v>
      </c>
      <c r="J2542" s="10">
        <v>6.52</v>
      </c>
      <c r="K2542" s="11">
        <v>4.2</v>
      </c>
      <c r="L2542" s="11">
        <v>2.2599999999999998</v>
      </c>
      <c r="M2542" s="9" t="s">
        <v>1255</v>
      </c>
      <c r="N2542" s="6" t="s">
        <v>1123</v>
      </c>
      <c r="O2542" s="6" t="s">
        <v>1123</v>
      </c>
      <c r="P2542" s="9" t="s">
        <v>33</v>
      </c>
      <c r="Q2542" s="9" t="s">
        <v>26</v>
      </c>
      <c r="R2542" s="9" t="s">
        <v>61</v>
      </c>
      <c r="S2542" s="7" t="s">
        <v>1409</v>
      </c>
      <c r="T2542" s="9" t="s">
        <v>68</v>
      </c>
      <c r="U2542" s="7">
        <v>0.36</v>
      </c>
      <c r="V2542" s="12">
        <f>C2542+5</f>
        <v>40174</v>
      </c>
      <c r="W2542">
        <f>IF(D2542=' Pivot Tables'!$A$4,1,0)</f>
        <v>0</v>
      </c>
      <c r="X2542">
        <f>IF(AND(LEFT(D2542,4)+1=LEFT(' Pivot Tables'!$A$4,4)+0,RIGHT(LEFT(D2542,7),2)=RIGHT(LEFT(' Pivot Tables'!$A$4,7),2)),1,0)</f>
        <v>0</v>
      </c>
      <c r="Y2542" s="6">
        <f>1/COUNTIF(Таблица1[Order ID],Таблица1[[#This Row],[Order ID]])</f>
        <v>0.5</v>
      </c>
      <c r="Z2542" s="9">
        <f>1/COUNTIFS(Таблица1[Customer Name],Таблица1[[#This Row],[Customer Name]],Таблица1[Order-Year-Month],Таблица1[[#This Row],[Order-Year-Month]])</f>
        <v>0.5</v>
      </c>
    </row>
    <row r="2543" spans="1:26" x14ac:dyDescent="0.2">
      <c r="A2543" s="6">
        <v>24</v>
      </c>
      <c r="B2543" s="7">
        <v>134</v>
      </c>
      <c r="C2543" s="8">
        <f>DATE(2012,12,31)-245</f>
        <v>41029</v>
      </c>
      <c r="D2543" s="8" t="str">
        <f t="shared" si="49"/>
        <v>2012-04 (апрель 2012)</v>
      </c>
      <c r="E2543" s="9" t="s">
        <v>45</v>
      </c>
      <c r="F2543" s="7">
        <v>11</v>
      </c>
      <c r="G2543" s="7">
        <v>1132.5999999999999</v>
      </c>
      <c r="H2543" s="7">
        <v>0.01</v>
      </c>
      <c r="I2543" s="9" t="s">
        <v>22</v>
      </c>
      <c r="J2543" s="10">
        <v>-310.20999999999998</v>
      </c>
      <c r="K2543" s="11">
        <v>95.99</v>
      </c>
      <c r="L2543" s="11">
        <v>35</v>
      </c>
      <c r="M2543" s="9" t="s">
        <v>1410</v>
      </c>
      <c r="N2543" s="6" t="s">
        <v>1123</v>
      </c>
      <c r="O2543" s="6" t="s">
        <v>1123</v>
      </c>
      <c r="P2543" s="9" t="s">
        <v>60</v>
      </c>
      <c r="Q2543" s="9" t="s">
        <v>26</v>
      </c>
      <c r="R2543" s="9" t="s">
        <v>27</v>
      </c>
      <c r="S2543" s="7" t="s">
        <v>1411</v>
      </c>
      <c r="T2543" s="9" t="s">
        <v>29</v>
      </c>
      <c r="U2543" s="7"/>
      <c r="V2543" s="12">
        <f>C2543+2</f>
        <v>41031</v>
      </c>
      <c r="W2543">
        <f>IF(D2543=' Pivot Tables'!$A$4,1,0)</f>
        <v>0</v>
      </c>
      <c r="X2543">
        <f>IF(AND(LEFT(D2543,4)+1=LEFT(' Pivot Tables'!$A$4,4)+0,RIGHT(LEFT(D2543,7),2)=RIGHT(LEFT(' Pivot Tables'!$A$4,7),2)),1,0)</f>
        <v>0</v>
      </c>
      <c r="Y2543" s="6">
        <f>1/COUNTIF(Таблица1[Order ID],Таблица1[[#This Row],[Order ID]])</f>
        <v>1</v>
      </c>
      <c r="Z2543" s="9">
        <f>1/COUNTIFS(Таблица1[Customer Name],Таблица1[[#This Row],[Customer Name]],Таблица1[Order-Year-Month],Таблица1[[#This Row],[Order-Year-Month]])</f>
        <v>1</v>
      </c>
    </row>
    <row r="2544" spans="1:26" x14ac:dyDescent="0.2">
      <c r="A2544" s="6">
        <v>114</v>
      </c>
      <c r="B2544" s="7">
        <v>740</v>
      </c>
      <c r="C2544" s="8">
        <f>DATE(2012,12,31)-535</f>
        <v>40739</v>
      </c>
      <c r="D2544" s="8" t="str">
        <f t="shared" si="49"/>
        <v>2011-07 (июль 2011)</v>
      </c>
      <c r="E2544" s="9" t="s">
        <v>63</v>
      </c>
      <c r="F2544" s="7">
        <v>6</v>
      </c>
      <c r="G2544" s="7">
        <v>28.01</v>
      </c>
      <c r="H2544" s="7">
        <v>0.09</v>
      </c>
      <c r="I2544" s="9" t="s">
        <v>22</v>
      </c>
      <c r="J2544" s="10">
        <v>3.46</v>
      </c>
      <c r="K2544" s="11">
        <v>4.9800000000000004</v>
      </c>
      <c r="L2544" s="11">
        <v>0.49</v>
      </c>
      <c r="M2544" s="9" t="s">
        <v>1412</v>
      </c>
      <c r="N2544" s="6" t="s">
        <v>1123</v>
      </c>
      <c r="O2544" s="6" t="s">
        <v>1123</v>
      </c>
      <c r="P2544" s="9" t="s">
        <v>41</v>
      </c>
      <c r="Q2544" s="9" t="s">
        <v>26</v>
      </c>
      <c r="R2544" s="9" t="s">
        <v>88</v>
      </c>
      <c r="S2544" s="7" t="s">
        <v>836</v>
      </c>
      <c r="T2544" s="9" t="s">
        <v>39</v>
      </c>
      <c r="U2544" s="7">
        <v>0.39</v>
      </c>
      <c r="V2544" s="12">
        <f>C2544+0</f>
        <v>40739</v>
      </c>
      <c r="W2544">
        <f>IF(D2544=' Pivot Tables'!$A$4,1,0)</f>
        <v>0</v>
      </c>
      <c r="X2544">
        <f>IF(AND(LEFT(D2544,4)+1=LEFT(' Pivot Tables'!$A$4,4)+0,RIGHT(LEFT(D2544,7),2)=RIGHT(LEFT(' Pivot Tables'!$A$4,7),2)),1,0)</f>
        <v>0</v>
      </c>
      <c r="Y2544" s="6">
        <f>1/COUNTIF(Таблица1[Order ID],Таблица1[[#This Row],[Order ID]])</f>
        <v>1</v>
      </c>
      <c r="Z2544" s="9">
        <f>1/COUNTIFS(Таблица1[Customer Name],Таблица1[[#This Row],[Customer Name]],Таблица1[Order-Year-Month],Таблица1[[#This Row],[Order-Year-Month]])</f>
        <v>1</v>
      </c>
    </row>
    <row r="2545" spans="1:26" x14ac:dyDescent="0.2">
      <c r="A2545" s="6">
        <v>130</v>
      </c>
      <c r="B2545" s="7">
        <v>833</v>
      </c>
      <c r="C2545" s="8">
        <f>DATE(2012,12,31)-1418</f>
        <v>39856</v>
      </c>
      <c r="D2545" s="8" t="str">
        <f t="shared" si="49"/>
        <v>2009-02 (февраль 2009)</v>
      </c>
      <c r="E2545" s="9" t="s">
        <v>63</v>
      </c>
      <c r="F2545" s="7">
        <v>1</v>
      </c>
      <c r="G2545" s="7">
        <v>19.32</v>
      </c>
      <c r="H2545" s="7">
        <v>0.03</v>
      </c>
      <c r="I2545" s="9" t="s">
        <v>22</v>
      </c>
      <c r="J2545" s="10">
        <v>-20.320500000000003</v>
      </c>
      <c r="K2545" s="11">
        <v>12.53</v>
      </c>
      <c r="L2545" s="11">
        <v>7.17</v>
      </c>
      <c r="M2545" s="9" t="s">
        <v>1413</v>
      </c>
      <c r="N2545" s="6" t="s">
        <v>1123</v>
      </c>
      <c r="O2545" s="6" t="s">
        <v>1123</v>
      </c>
      <c r="P2545" s="9" t="s">
        <v>60</v>
      </c>
      <c r="Q2545" s="9" t="s">
        <v>26</v>
      </c>
      <c r="R2545" s="9" t="s">
        <v>37</v>
      </c>
      <c r="S2545" s="7" t="s">
        <v>1414</v>
      </c>
      <c r="T2545" s="9" t="s">
        <v>39</v>
      </c>
      <c r="U2545" s="7">
        <v>0.38</v>
      </c>
      <c r="V2545" s="12">
        <f>C2545+1</f>
        <v>39857</v>
      </c>
      <c r="W2545">
        <f>IF(D2545=' Pivot Tables'!$A$4,1,0)</f>
        <v>0</v>
      </c>
      <c r="X2545">
        <f>IF(AND(LEFT(D2545,4)+1=LEFT(' Pivot Tables'!$A$4,4)+0,RIGHT(LEFT(D2545,7),2)=RIGHT(LEFT(' Pivot Tables'!$A$4,7),2)),1,0)</f>
        <v>0</v>
      </c>
      <c r="Y2545" s="6">
        <f>1/COUNTIF(Таблица1[Order ID],Таблица1[[#This Row],[Order ID]])</f>
        <v>1</v>
      </c>
      <c r="Z2545" s="9">
        <f>1/COUNTIFS(Таблица1[Customer Name],Таблица1[[#This Row],[Customer Name]],Таблица1[Order-Year-Month],Таблица1[[#This Row],[Order-Year-Month]])</f>
        <v>1</v>
      </c>
    </row>
    <row r="2546" spans="1:26" x14ac:dyDescent="0.2">
      <c r="A2546" s="6">
        <v>234</v>
      </c>
      <c r="B2546" s="7">
        <v>1573</v>
      </c>
      <c r="C2546" s="8">
        <f>DATE(2012,12,31)-4</f>
        <v>41270</v>
      </c>
      <c r="D2546" s="8" t="str">
        <f t="shared" si="49"/>
        <v>2012-12 (декабрь 2012)</v>
      </c>
      <c r="E2546" s="9" t="s">
        <v>30</v>
      </c>
      <c r="F2546" s="7">
        <v>13</v>
      </c>
      <c r="G2546" s="7">
        <v>759.94</v>
      </c>
      <c r="H2546" s="7">
        <v>0.09</v>
      </c>
      <c r="I2546" s="9" t="s">
        <v>31</v>
      </c>
      <c r="J2546" s="10">
        <v>-226.45</v>
      </c>
      <c r="K2546" s="11">
        <v>60.89</v>
      </c>
      <c r="L2546" s="11">
        <v>32.409999999999997</v>
      </c>
      <c r="M2546" s="9" t="s">
        <v>1415</v>
      </c>
      <c r="N2546" s="6" t="s">
        <v>1123</v>
      </c>
      <c r="O2546" s="6" t="s">
        <v>1123</v>
      </c>
      <c r="P2546" s="9" t="s">
        <v>25</v>
      </c>
      <c r="Q2546" s="9" t="s">
        <v>49</v>
      </c>
      <c r="R2546" s="9" t="s">
        <v>112</v>
      </c>
      <c r="S2546" s="7" t="s">
        <v>1416</v>
      </c>
      <c r="T2546" s="9" t="s">
        <v>36</v>
      </c>
      <c r="U2546" s="7">
        <v>0.56000000000000005</v>
      </c>
      <c r="V2546" s="12">
        <f>C2546+2</f>
        <v>41272</v>
      </c>
      <c r="W2546">
        <f>IF(D2546=' Pivot Tables'!$A$4,1,0)</f>
        <v>0</v>
      </c>
      <c r="X2546">
        <f>IF(AND(LEFT(D2546,4)+1=LEFT(' Pivot Tables'!$A$4,4)+0,RIGHT(LEFT(D2546,7),2)=RIGHT(LEFT(' Pivot Tables'!$A$4,7),2)),1,0)</f>
        <v>0</v>
      </c>
      <c r="Y2546" s="6">
        <f>1/COUNTIF(Таблица1[Order ID],Таблица1[[#This Row],[Order ID]])</f>
        <v>1</v>
      </c>
      <c r="Z2546" s="9">
        <f>1/COUNTIFS(Таблица1[Customer Name],Таблица1[[#This Row],[Customer Name]],Таблица1[Order-Year-Month],Таблица1[[#This Row],[Order-Year-Month]])</f>
        <v>1</v>
      </c>
    </row>
    <row r="2547" spans="1:26" x14ac:dyDescent="0.2">
      <c r="A2547" s="6">
        <v>243</v>
      </c>
      <c r="B2547" s="7">
        <v>1639</v>
      </c>
      <c r="C2547" s="8">
        <f>DATE(2012,12,31)-500</f>
        <v>40774</v>
      </c>
      <c r="D2547" s="8" t="str">
        <f t="shared" si="49"/>
        <v>2011-08 (август 2011)</v>
      </c>
      <c r="E2547" s="9" t="s">
        <v>45</v>
      </c>
      <c r="F2547" s="7">
        <v>24</v>
      </c>
      <c r="G2547" s="7">
        <v>163.13999999999999</v>
      </c>
      <c r="H2547" s="7">
        <v>0.09</v>
      </c>
      <c r="I2547" s="9" t="s">
        <v>22</v>
      </c>
      <c r="J2547" s="10">
        <v>-62.2</v>
      </c>
      <c r="K2547" s="11">
        <v>6.78</v>
      </c>
      <c r="L2547" s="11">
        <v>6.18</v>
      </c>
      <c r="M2547" s="9" t="s">
        <v>1417</v>
      </c>
      <c r="N2547" s="6" t="s">
        <v>1123</v>
      </c>
      <c r="O2547" s="6" t="s">
        <v>1123</v>
      </c>
      <c r="P2547" s="9" t="s">
        <v>60</v>
      </c>
      <c r="Q2547" s="9" t="s">
        <v>26</v>
      </c>
      <c r="R2547" s="9" t="s">
        <v>61</v>
      </c>
      <c r="S2547" s="7" t="s">
        <v>814</v>
      </c>
      <c r="T2547" s="9" t="s">
        <v>39</v>
      </c>
      <c r="U2547" s="7">
        <v>0.39</v>
      </c>
      <c r="V2547" s="12">
        <f>C2547+1</f>
        <v>40775</v>
      </c>
      <c r="W2547">
        <f>IF(D2547=' Pivot Tables'!$A$4,1,0)</f>
        <v>0</v>
      </c>
      <c r="X2547">
        <f>IF(AND(LEFT(D2547,4)+1=LEFT(' Pivot Tables'!$A$4,4)+0,RIGHT(LEFT(D2547,7),2)=RIGHT(LEFT(' Pivot Tables'!$A$4,7),2)),1,0)</f>
        <v>0</v>
      </c>
      <c r="Y2547" s="6">
        <f>1/COUNTIF(Таблица1[Order ID],Таблица1[[#This Row],[Order ID]])</f>
        <v>1</v>
      </c>
      <c r="Z2547" s="9">
        <f>1/COUNTIFS(Таблица1[Customer Name],Таблица1[[#This Row],[Customer Name]],Таблица1[Order-Year-Month],Таблица1[[#This Row],[Order-Year-Month]])</f>
        <v>1</v>
      </c>
    </row>
    <row r="2548" spans="1:26" x14ac:dyDescent="0.2">
      <c r="A2548" s="6">
        <v>297</v>
      </c>
      <c r="B2548" s="7">
        <v>2053</v>
      </c>
      <c r="C2548" s="8">
        <f>DATE(2012,12,31)-694</f>
        <v>40580</v>
      </c>
      <c r="D2548" s="8" t="str">
        <f t="shared" si="49"/>
        <v>2011-02 (февраль 2011)</v>
      </c>
      <c r="E2548" s="9" t="s">
        <v>78</v>
      </c>
      <c r="F2548" s="7">
        <v>39</v>
      </c>
      <c r="G2548" s="7">
        <v>19342.84</v>
      </c>
      <c r="H2548" s="7">
        <v>0.01</v>
      </c>
      <c r="I2548" s="9" t="s">
        <v>31</v>
      </c>
      <c r="J2548" s="10">
        <v>5603.95</v>
      </c>
      <c r="K2548" s="11">
        <v>500.98</v>
      </c>
      <c r="L2548" s="11">
        <v>126</v>
      </c>
      <c r="M2548" s="9" t="s">
        <v>1418</v>
      </c>
      <c r="N2548" s="6" t="s">
        <v>1123</v>
      </c>
      <c r="O2548" s="6" t="s">
        <v>1123</v>
      </c>
      <c r="P2548" s="9" t="s">
        <v>33</v>
      </c>
      <c r="Q2548" s="9" t="s">
        <v>49</v>
      </c>
      <c r="R2548" s="9" t="s">
        <v>112</v>
      </c>
      <c r="S2548" s="7" t="s">
        <v>119</v>
      </c>
      <c r="T2548" s="9" t="s">
        <v>36</v>
      </c>
      <c r="U2548" s="7">
        <v>0.6</v>
      </c>
      <c r="V2548" s="12">
        <f>C2548+1</f>
        <v>40581</v>
      </c>
      <c r="W2548">
        <f>IF(D2548=' Pivot Tables'!$A$4,1,0)</f>
        <v>0</v>
      </c>
      <c r="X2548">
        <f>IF(AND(LEFT(D2548,4)+1=LEFT(' Pivot Tables'!$A$4,4)+0,RIGHT(LEFT(D2548,7),2)=RIGHT(LEFT(' Pivot Tables'!$A$4,7),2)),1,0)</f>
        <v>0</v>
      </c>
      <c r="Y2548" s="6">
        <f>1/COUNTIF(Таблица1[Order ID],Таблица1[[#This Row],[Order ID]])</f>
        <v>0.5</v>
      </c>
      <c r="Z2548" s="9">
        <f>1/COUNTIFS(Таблица1[Customer Name],Таблица1[[#This Row],[Customer Name]],Таблица1[Order-Year-Month],Таблица1[[#This Row],[Order-Year-Month]])</f>
        <v>0.5</v>
      </c>
    </row>
    <row r="2549" spans="1:26" x14ac:dyDescent="0.2">
      <c r="A2549" s="6">
        <v>298</v>
      </c>
      <c r="B2549" s="7">
        <v>2053</v>
      </c>
      <c r="C2549" s="8">
        <f>DATE(2012,12,31)-694</f>
        <v>40580</v>
      </c>
      <c r="D2549" s="8" t="str">
        <f t="shared" si="49"/>
        <v>2011-02 (февраль 2011)</v>
      </c>
      <c r="E2549" s="9" t="s">
        <v>78</v>
      </c>
      <c r="F2549" s="7">
        <v>7</v>
      </c>
      <c r="G2549" s="7">
        <v>771.78300000000002</v>
      </c>
      <c r="H2549" s="7">
        <v>0.08</v>
      </c>
      <c r="I2549" s="9" t="s">
        <v>22</v>
      </c>
      <c r="J2549" s="10">
        <v>-449.52600000000001</v>
      </c>
      <c r="K2549" s="11">
        <v>140.99</v>
      </c>
      <c r="L2549" s="11">
        <v>4.2</v>
      </c>
      <c r="M2549" s="9" t="s">
        <v>1418</v>
      </c>
      <c r="N2549" s="6" t="s">
        <v>1123</v>
      </c>
      <c r="O2549" s="6" t="s">
        <v>1123</v>
      </c>
      <c r="P2549" s="9" t="s">
        <v>33</v>
      </c>
      <c r="Q2549" s="9" t="s">
        <v>42</v>
      </c>
      <c r="R2549" s="9" t="s">
        <v>43</v>
      </c>
      <c r="S2549" s="7" t="s">
        <v>796</v>
      </c>
      <c r="T2549" s="9" t="s">
        <v>39</v>
      </c>
      <c r="U2549" s="7">
        <v>0.59</v>
      </c>
      <c r="V2549" s="12">
        <f>C2549+2</f>
        <v>40582</v>
      </c>
      <c r="W2549">
        <f>IF(D2549=' Pivot Tables'!$A$4,1,0)</f>
        <v>0</v>
      </c>
      <c r="X2549">
        <f>IF(AND(LEFT(D2549,4)+1=LEFT(' Pivot Tables'!$A$4,4)+0,RIGHT(LEFT(D2549,7),2)=RIGHT(LEFT(' Pivot Tables'!$A$4,7),2)),1,0)</f>
        <v>0</v>
      </c>
      <c r="Y2549" s="6">
        <f>1/COUNTIF(Таблица1[Order ID],Таблица1[[#This Row],[Order ID]])</f>
        <v>0.5</v>
      </c>
      <c r="Z2549" s="9">
        <f>1/COUNTIFS(Таблица1[Customer Name],Таблица1[[#This Row],[Customer Name]],Таблица1[Order-Year-Month],Таблица1[[#This Row],[Order-Year-Month]])</f>
        <v>0.5</v>
      </c>
    </row>
    <row r="2550" spans="1:26" x14ac:dyDescent="0.2">
      <c r="A2550" s="6">
        <v>307</v>
      </c>
      <c r="B2550" s="7">
        <v>2146</v>
      </c>
      <c r="C2550" s="8">
        <f>DATE(2012,12,31)-109</f>
        <v>41165</v>
      </c>
      <c r="D2550" s="8" t="str">
        <f t="shared" si="49"/>
        <v>2012-09 (сентябрь 2012)</v>
      </c>
      <c r="E2550" s="9" t="s">
        <v>45</v>
      </c>
      <c r="F2550" s="7">
        <v>41</v>
      </c>
      <c r="G2550" s="7">
        <v>6111.1684999999998</v>
      </c>
      <c r="H2550" s="7">
        <v>0.06</v>
      </c>
      <c r="I2550" s="9" t="s">
        <v>22</v>
      </c>
      <c r="J2550" s="10">
        <v>1663.0829999999999</v>
      </c>
      <c r="K2550" s="11">
        <v>175.99</v>
      </c>
      <c r="L2550" s="11">
        <v>4.99</v>
      </c>
      <c r="M2550" s="9" t="s">
        <v>1418</v>
      </c>
      <c r="N2550" s="6" t="s">
        <v>1123</v>
      </c>
      <c r="O2550" s="6" t="s">
        <v>1123</v>
      </c>
      <c r="P2550" s="9" t="s">
        <v>25</v>
      </c>
      <c r="Q2550" s="9" t="s">
        <v>42</v>
      </c>
      <c r="R2550" s="9" t="s">
        <v>43</v>
      </c>
      <c r="S2550" s="7" t="s">
        <v>771</v>
      </c>
      <c r="T2550" s="9" t="s">
        <v>39</v>
      </c>
      <c r="U2550" s="7">
        <v>0.59</v>
      </c>
      <c r="V2550" s="12">
        <f>C2550+1</f>
        <v>41166</v>
      </c>
      <c r="W2550">
        <f>IF(D2550=' Pivot Tables'!$A$4,1,0)</f>
        <v>0</v>
      </c>
      <c r="X2550">
        <f>IF(AND(LEFT(D2550,4)+1=LEFT(' Pivot Tables'!$A$4,4)+0,RIGHT(LEFT(D2550,7),2)=RIGHT(LEFT(' Pivot Tables'!$A$4,7),2)),1,0)</f>
        <v>0</v>
      </c>
      <c r="Y2550" s="6">
        <f>1/COUNTIF(Таблица1[Order ID],Таблица1[[#This Row],[Order ID]])</f>
        <v>0.5</v>
      </c>
      <c r="Z2550" s="9">
        <f>1/COUNTIFS(Таблица1[Customer Name],Таблица1[[#This Row],[Customer Name]],Таблица1[Order-Year-Month],Таблица1[[#This Row],[Order-Year-Month]])</f>
        <v>0.5</v>
      </c>
    </row>
    <row r="2551" spans="1:26" x14ac:dyDescent="0.2">
      <c r="A2551" s="6">
        <v>308</v>
      </c>
      <c r="B2551" s="7">
        <v>2146</v>
      </c>
      <c r="C2551" s="8">
        <f>DATE(2012,12,31)-109</f>
        <v>41165</v>
      </c>
      <c r="D2551" s="8" t="str">
        <f t="shared" si="49"/>
        <v>2012-09 (сентябрь 2012)</v>
      </c>
      <c r="E2551" s="9" t="s">
        <v>45</v>
      </c>
      <c r="F2551" s="7">
        <v>44</v>
      </c>
      <c r="G2551" s="7">
        <v>113.71</v>
      </c>
      <c r="H2551" s="7">
        <v>7.0000000000000007E-2</v>
      </c>
      <c r="I2551" s="9" t="s">
        <v>22</v>
      </c>
      <c r="J2551" s="10">
        <v>41.7</v>
      </c>
      <c r="K2551" s="11">
        <v>2.61</v>
      </c>
      <c r="L2551" s="11">
        <v>0.5</v>
      </c>
      <c r="M2551" s="9" t="s">
        <v>1418</v>
      </c>
      <c r="N2551" s="6" t="s">
        <v>1123</v>
      </c>
      <c r="O2551" s="6" t="s">
        <v>1123</v>
      </c>
      <c r="P2551" s="9" t="s">
        <v>25</v>
      </c>
      <c r="Q2551" s="9" t="s">
        <v>26</v>
      </c>
      <c r="R2551" s="9" t="s">
        <v>88</v>
      </c>
      <c r="S2551" s="7" t="s">
        <v>528</v>
      </c>
      <c r="T2551" s="9" t="s">
        <v>39</v>
      </c>
      <c r="U2551" s="7">
        <v>0.39</v>
      </c>
      <c r="V2551" s="12">
        <f>C2551+2</f>
        <v>41167</v>
      </c>
      <c r="W2551">
        <f>IF(D2551=' Pivot Tables'!$A$4,1,0)</f>
        <v>0</v>
      </c>
      <c r="X2551">
        <f>IF(AND(LEFT(D2551,4)+1=LEFT(' Pivot Tables'!$A$4,4)+0,RIGHT(LEFT(D2551,7),2)=RIGHT(LEFT(' Pivot Tables'!$A$4,7),2)),1,0)</f>
        <v>0</v>
      </c>
      <c r="Y2551" s="6">
        <f>1/COUNTIF(Таблица1[Order ID],Таблица1[[#This Row],[Order ID]])</f>
        <v>0.5</v>
      </c>
      <c r="Z2551" s="9">
        <f>1/COUNTIFS(Таблица1[Customer Name],Таблица1[[#This Row],[Customer Name]],Таблица1[Order-Year-Month],Таблица1[[#This Row],[Order-Year-Month]])</f>
        <v>0.5</v>
      </c>
    </row>
    <row r="2552" spans="1:26" x14ac:dyDescent="0.2">
      <c r="A2552" s="6">
        <v>396</v>
      </c>
      <c r="B2552" s="7">
        <v>2752</v>
      </c>
      <c r="C2552" s="8">
        <f>DATE(2012,12,31)-774</f>
        <v>40500</v>
      </c>
      <c r="D2552" s="8" t="str">
        <f t="shared" si="49"/>
        <v>2010-11 (ноябрь 2010)</v>
      </c>
      <c r="E2552" s="9" t="s">
        <v>30</v>
      </c>
      <c r="F2552" s="7">
        <v>30</v>
      </c>
      <c r="G2552" s="7">
        <v>695.47</v>
      </c>
      <c r="H2552" s="7">
        <v>0.03</v>
      </c>
      <c r="I2552" s="9" t="s">
        <v>22</v>
      </c>
      <c r="J2552" s="10">
        <v>226.73</v>
      </c>
      <c r="K2552" s="11">
        <v>22.98</v>
      </c>
      <c r="L2552" s="11">
        <v>1.99</v>
      </c>
      <c r="M2552" s="9" t="s">
        <v>1418</v>
      </c>
      <c r="N2552" s="6" t="s">
        <v>1123</v>
      </c>
      <c r="O2552" s="6" t="s">
        <v>1123</v>
      </c>
      <c r="P2552" s="9" t="s">
        <v>25</v>
      </c>
      <c r="Q2552" s="9" t="s">
        <v>42</v>
      </c>
      <c r="R2552" s="9" t="s">
        <v>70</v>
      </c>
      <c r="S2552" s="7" t="s">
        <v>501</v>
      </c>
      <c r="T2552" s="9" t="s">
        <v>52</v>
      </c>
      <c r="U2552" s="7">
        <v>0.46</v>
      </c>
      <c r="V2552" s="12">
        <f>C2552+2</f>
        <v>40502</v>
      </c>
      <c r="W2552">
        <f>IF(D2552=' Pivot Tables'!$A$4,1,0)</f>
        <v>0</v>
      </c>
      <c r="X2552">
        <f>IF(AND(LEFT(D2552,4)+1=LEFT(' Pivot Tables'!$A$4,4)+0,RIGHT(LEFT(D2552,7),2)=RIGHT(LEFT(' Pivot Tables'!$A$4,7),2)),1,0)</f>
        <v>0</v>
      </c>
      <c r="Y2552" s="6">
        <f>1/COUNTIF(Таблица1[Order ID],Таблица1[[#This Row],[Order ID]])</f>
        <v>0.25</v>
      </c>
      <c r="Z2552" s="9">
        <f>1/COUNTIFS(Таблица1[Customer Name],Таблица1[[#This Row],[Customer Name]],Таблица1[Order-Year-Month],Таблица1[[#This Row],[Order-Year-Month]])</f>
        <v>0.25</v>
      </c>
    </row>
    <row r="2553" spans="1:26" x14ac:dyDescent="0.2">
      <c r="A2553" s="6">
        <v>397</v>
      </c>
      <c r="B2553" s="7">
        <v>2752</v>
      </c>
      <c r="C2553" s="8">
        <f>DATE(2012,12,31)-774</f>
        <v>40500</v>
      </c>
      <c r="D2553" s="8" t="str">
        <f t="shared" si="49"/>
        <v>2010-11 (ноябрь 2010)</v>
      </c>
      <c r="E2553" s="9" t="s">
        <v>30</v>
      </c>
      <c r="F2553" s="7">
        <v>41</v>
      </c>
      <c r="G2553" s="7">
        <v>152.59</v>
      </c>
      <c r="H2553" s="7">
        <v>0.02</v>
      </c>
      <c r="I2553" s="9" t="s">
        <v>22</v>
      </c>
      <c r="J2553" s="10">
        <v>55.48</v>
      </c>
      <c r="K2553" s="11">
        <v>3.78</v>
      </c>
      <c r="L2553" s="11">
        <v>0.71</v>
      </c>
      <c r="M2553" s="9" t="s">
        <v>1418</v>
      </c>
      <c r="N2553" s="6" t="s">
        <v>1123</v>
      </c>
      <c r="O2553" s="6" t="s">
        <v>1123</v>
      </c>
      <c r="P2553" s="9" t="s">
        <v>25</v>
      </c>
      <c r="Q2553" s="9" t="s">
        <v>26</v>
      </c>
      <c r="R2553" s="9" t="s">
        <v>66</v>
      </c>
      <c r="S2553" s="7" t="s">
        <v>419</v>
      </c>
      <c r="T2553" s="9" t="s">
        <v>68</v>
      </c>
      <c r="U2553" s="7">
        <v>0.39</v>
      </c>
      <c r="V2553" s="12">
        <f>C2553+2</f>
        <v>40502</v>
      </c>
      <c r="W2553">
        <f>IF(D2553=' Pivot Tables'!$A$4,1,0)</f>
        <v>0</v>
      </c>
      <c r="X2553">
        <f>IF(AND(LEFT(D2553,4)+1=LEFT(' Pivot Tables'!$A$4,4)+0,RIGHT(LEFT(D2553,7),2)=RIGHT(LEFT(' Pivot Tables'!$A$4,7),2)),1,0)</f>
        <v>0</v>
      </c>
      <c r="Y2553" s="6">
        <f>1/COUNTIF(Таблица1[Order ID],Таблица1[[#This Row],[Order ID]])</f>
        <v>0.25</v>
      </c>
      <c r="Z2553" s="9">
        <f>1/COUNTIFS(Таблица1[Customer Name],Таблица1[[#This Row],[Customer Name]],Таблица1[Order-Year-Month],Таблица1[[#This Row],[Order-Year-Month]])</f>
        <v>0.25</v>
      </c>
    </row>
    <row r="2554" spans="1:26" x14ac:dyDescent="0.2">
      <c r="A2554" s="6">
        <v>398</v>
      </c>
      <c r="B2554" s="7">
        <v>2752</v>
      </c>
      <c r="C2554" s="8">
        <f>DATE(2012,12,31)-774</f>
        <v>40500</v>
      </c>
      <c r="D2554" s="8" t="str">
        <f t="shared" si="49"/>
        <v>2010-11 (ноябрь 2010)</v>
      </c>
      <c r="E2554" s="9" t="s">
        <v>30</v>
      </c>
      <c r="F2554" s="7">
        <v>10</v>
      </c>
      <c r="G2554" s="7">
        <v>365.62</v>
      </c>
      <c r="H2554" s="7">
        <v>0.03</v>
      </c>
      <c r="I2554" s="9" t="s">
        <v>22</v>
      </c>
      <c r="J2554" s="10">
        <v>15.77</v>
      </c>
      <c r="K2554" s="11">
        <v>34.76</v>
      </c>
      <c r="L2554" s="11">
        <v>8.2200000000000006</v>
      </c>
      <c r="M2554" s="9" t="s">
        <v>1418</v>
      </c>
      <c r="N2554" s="6" t="s">
        <v>1123</v>
      </c>
      <c r="O2554" s="6" t="s">
        <v>1123</v>
      </c>
      <c r="P2554" s="9" t="s">
        <v>25</v>
      </c>
      <c r="Q2554" s="9" t="s">
        <v>26</v>
      </c>
      <c r="R2554" s="9" t="s">
        <v>27</v>
      </c>
      <c r="S2554" s="7" t="s">
        <v>247</v>
      </c>
      <c r="T2554" s="9" t="s">
        <v>39</v>
      </c>
      <c r="U2554" s="7">
        <v>0.56999999999999995</v>
      </c>
      <c r="V2554" s="12">
        <f>C2554+0</f>
        <v>40500</v>
      </c>
      <c r="W2554">
        <f>IF(D2554=' Pivot Tables'!$A$4,1,0)</f>
        <v>0</v>
      </c>
      <c r="X2554">
        <f>IF(AND(LEFT(D2554,4)+1=LEFT(' Pivot Tables'!$A$4,4)+0,RIGHT(LEFT(D2554,7),2)=RIGHT(LEFT(' Pivot Tables'!$A$4,7),2)),1,0)</f>
        <v>0</v>
      </c>
      <c r="Y2554" s="6">
        <f>1/COUNTIF(Таблица1[Order ID],Таблица1[[#This Row],[Order ID]])</f>
        <v>0.25</v>
      </c>
      <c r="Z2554" s="9">
        <f>1/COUNTIFS(Таблица1[Customer Name],Таблица1[[#This Row],[Customer Name]],Таблица1[Order-Year-Month],Таблица1[[#This Row],[Order-Year-Month]])</f>
        <v>0.25</v>
      </c>
    </row>
    <row r="2555" spans="1:26" x14ac:dyDescent="0.2">
      <c r="A2555" s="6">
        <v>399</v>
      </c>
      <c r="B2555" s="7">
        <v>2752</v>
      </c>
      <c r="C2555" s="8">
        <f>DATE(2012,12,31)-774</f>
        <v>40500</v>
      </c>
      <c r="D2555" s="8" t="str">
        <f t="shared" si="49"/>
        <v>2010-11 (ноябрь 2010)</v>
      </c>
      <c r="E2555" s="9" t="s">
        <v>30</v>
      </c>
      <c r="F2555" s="7">
        <v>10</v>
      </c>
      <c r="G2555" s="7">
        <v>575.56899999999996</v>
      </c>
      <c r="H2555" s="7">
        <v>0.04</v>
      </c>
      <c r="I2555" s="9" t="s">
        <v>22</v>
      </c>
      <c r="J2555" s="10">
        <v>-86.515000000000001</v>
      </c>
      <c r="K2555" s="11">
        <v>65.989999999999995</v>
      </c>
      <c r="L2555" s="11">
        <v>5.63</v>
      </c>
      <c r="M2555" s="9" t="s">
        <v>1418</v>
      </c>
      <c r="N2555" s="6" t="s">
        <v>1123</v>
      </c>
      <c r="O2555" s="6" t="s">
        <v>1123</v>
      </c>
      <c r="P2555" s="9" t="s">
        <v>25</v>
      </c>
      <c r="Q2555" s="9" t="s">
        <v>42</v>
      </c>
      <c r="R2555" s="9" t="s">
        <v>43</v>
      </c>
      <c r="S2555" s="7" t="s">
        <v>1419</v>
      </c>
      <c r="T2555" s="9" t="s">
        <v>39</v>
      </c>
      <c r="U2555" s="7">
        <v>0.56000000000000005</v>
      </c>
      <c r="V2555" s="12">
        <f>C2555+2</f>
        <v>40502</v>
      </c>
      <c r="W2555">
        <f>IF(D2555=' Pivot Tables'!$A$4,1,0)</f>
        <v>0</v>
      </c>
      <c r="X2555">
        <f>IF(AND(LEFT(D2555,4)+1=LEFT(' Pivot Tables'!$A$4,4)+0,RIGHT(LEFT(D2555,7),2)=RIGHT(LEFT(' Pivot Tables'!$A$4,7),2)),1,0)</f>
        <v>0</v>
      </c>
      <c r="Y2555" s="6">
        <f>1/COUNTIF(Таблица1[Order ID],Таблица1[[#This Row],[Order ID]])</f>
        <v>0.25</v>
      </c>
      <c r="Z2555" s="9">
        <f>1/COUNTIFS(Таблица1[Customer Name],Таблица1[[#This Row],[Customer Name]],Таблица1[Order-Year-Month],Таблица1[[#This Row],[Order-Year-Month]])</f>
        <v>0.25</v>
      </c>
    </row>
    <row r="2556" spans="1:26" x14ac:dyDescent="0.2">
      <c r="A2556" s="6">
        <v>760</v>
      </c>
      <c r="B2556" s="7">
        <v>5445</v>
      </c>
      <c r="C2556" s="8">
        <f>DATE(2012,12,31)-890</f>
        <v>40384</v>
      </c>
      <c r="D2556" s="8" t="str">
        <f t="shared" si="49"/>
        <v>2010-07 (июль 2010)</v>
      </c>
      <c r="E2556" s="9" t="s">
        <v>21</v>
      </c>
      <c r="F2556" s="7">
        <v>4</v>
      </c>
      <c r="G2556" s="7">
        <v>29.42</v>
      </c>
      <c r="H2556" s="7">
        <v>0.06</v>
      </c>
      <c r="I2556" s="9" t="s">
        <v>56</v>
      </c>
      <c r="J2556" s="10">
        <v>14.43</v>
      </c>
      <c r="K2556" s="11">
        <v>3.69</v>
      </c>
      <c r="L2556" s="11">
        <v>0.5</v>
      </c>
      <c r="M2556" s="9" t="s">
        <v>1410</v>
      </c>
      <c r="N2556" s="6" t="s">
        <v>1123</v>
      </c>
      <c r="O2556" s="6" t="s">
        <v>1123</v>
      </c>
      <c r="P2556" s="9" t="s">
        <v>60</v>
      </c>
      <c r="Q2556" s="9" t="s">
        <v>26</v>
      </c>
      <c r="R2556" s="9" t="s">
        <v>88</v>
      </c>
      <c r="S2556" s="7" t="s">
        <v>89</v>
      </c>
      <c r="T2556" s="9" t="s">
        <v>39</v>
      </c>
      <c r="U2556" s="7">
        <v>0.38</v>
      </c>
      <c r="V2556" s="12">
        <f>C2556+5</f>
        <v>40389</v>
      </c>
      <c r="W2556">
        <f>IF(D2556=' Pivot Tables'!$A$4,1,0)</f>
        <v>0</v>
      </c>
      <c r="X2556">
        <f>IF(AND(LEFT(D2556,4)+1=LEFT(' Pivot Tables'!$A$4,4)+0,RIGHT(LEFT(D2556,7),2)=RIGHT(LEFT(' Pivot Tables'!$A$4,7),2)),1,0)</f>
        <v>0</v>
      </c>
      <c r="Y2556" s="6">
        <f>1/COUNTIF(Таблица1[Order ID],Таблица1[[#This Row],[Order ID]])</f>
        <v>0.5</v>
      </c>
      <c r="Z2556" s="9">
        <f>1/COUNTIFS(Таблица1[Customer Name],Таблица1[[#This Row],[Customer Name]],Таблица1[Order-Year-Month],Таблица1[[#This Row],[Order-Year-Month]])</f>
        <v>0.5</v>
      </c>
    </row>
    <row r="2557" spans="1:26" x14ac:dyDescent="0.2">
      <c r="A2557" s="6">
        <v>761</v>
      </c>
      <c r="B2557" s="7">
        <v>5445</v>
      </c>
      <c r="C2557" s="8">
        <f>DATE(2012,12,31)-890</f>
        <v>40384</v>
      </c>
      <c r="D2557" s="8" t="str">
        <f t="shared" si="49"/>
        <v>2010-07 (июль 2010)</v>
      </c>
      <c r="E2557" s="9" t="s">
        <v>21</v>
      </c>
      <c r="F2557" s="7">
        <v>9</v>
      </c>
      <c r="G2557" s="7">
        <v>46.48</v>
      </c>
      <c r="H2557" s="7">
        <v>0.01</v>
      </c>
      <c r="I2557" s="9" t="s">
        <v>22</v>
      </c>
      <c r="J2557" s="10">
        <v>-1.82</v>
      </c>
      <c r="K2557" s="11">
        <v>4.63</v>
      </c>
      <c r="L2557" s="11">
        <v>1.93</v>
      </c>
      <c r="M2557" s="9" t="s">
        <v>1410</v>
      </c>
      <c r="N2557" s="6" t="s">
        <v>1123</v>
      </c>
      <c r="O2557" s="6" t="s">
        <v>1123</v>
      </c>
      <c r="P2557" s="9" t="s">
        <v>60</v>
      </c>
      <c r="Q2557" s="9" t="s">
        <v>26</v>
      </c>
      <c r="R2557" s="9" t="s">
        <v>95</v>
      </c>
      <c r="S2557" s="7" t="s">
        <v>1392</v>
      </c>
      <c r="T2557" s="9" t="s">
        <v>68</v>
      </c>
      <c r="U2557" s="7">
        <v>0.52</v>
      </c>
      <c r="V2557" s="12">
        <f>C2557+7</f>
        <v>40391</v>
      </c>
      <c r="W2557">
        <f>IF(D2557=' Pivot Tables'!$A$4,1,0)</f>
        <v>0</v>
      </c>
      <c r="X2557">
        <f>IF(AND(LEFT(D2557,4)+1=LEFT(' Pivot Tables'!$A$4,4)+0,RIGHT(LEFT(D2557,7),2)=RIGHT(LEFT(' Pivot Tables'!$A$4,7),2)),1,0)</f>
        <v>0</v>
      </c>
      <c r="Y2557" s="6">
        <f>1/COUNTIF(Таблица1[Order ID],Таблица1[[#This Row],[Order ID]])</f>
        <v>0.5</v>
      </c>
      <c r="Z2557" s="9">
        <f>1/COUNTIFS(Таблица1[Customer Name],Таблица1[[#This Row],[Customer Name]],Таблица1[Order-Year-Month],Таблица1[[#This Row],[Order-Year-Month]])</f>
        <v>0.5</v>
      </c>
    </row>
    <row r="2558" spans="1:26" x14ac:dyDescent="0.2">
      <c r="A2558" s="6">
        <v>797</v>
      </c>
      <c r="B2558" s="7">
        <v>5699</v>
      </c>
      <c r="C2558" s="8">
        <f>DATE(2012,12,31)-155</f>
        <v>41119</v>
      </c>
      <c r="D2558" s="8" t="str">
        <f t="shared" si="49"/>
        <v>2012-07 (июль 2012)</v>
      </c>
      <c r="E2558" s="9" t="s">
        <v>21</v>
      </c>
      <c r="F2558" s="7">
        <v>2</v>
      </c>
      <c r="G2558" s="7">
        <v>9.25</v>
      </c>
      <c r="H2558" s="7">
        <v>0.01</v>
      </c>
      <c r="I2558" s="9" t="s">
        <v>22</v>
      </c>
      <c r="J2558" s="10">
        <v>-4.21</v>
      </c>
      <c r="K2558" s="11">
        <v>4.13</v>
      </c>
      <c r="L2558" s="11">
        <v>0.99</v>
      </c>
      <c r="M2558" s="9" t="s">
        <v>1420</v>
      </c>
      <c r="N2558" s="6" t="s">
        <v>1123</v>
      </c>
      <c r="O2558" s="6" t="s">
        <v>1123</v>
      </c>
      <c r="P2558" s="9" t="s">
        <v>25</v>
      </c>
      <c r="Q2558" s="9" t="s">
        <v>26</v>
      </c>
      <c r="R2558" s="9" t="s">
        <v>88</v>
      </c>
      <c r="S2558" s="7" t="s">
        <v>492</v>
      </c>
      <c r="T2558" s="9" t="s">
        <v>39</v>
      </c>
      <c r="U2558" s="7">
        <v>0.39</v>
      </c>
      <c r="V2558" s="12">
        <f>C2558+5</f>
        <v>41124</v>
      </c>
      <c r="W2558">
        <f>IF(D2558=' Pivot Tables'!$A$4,1,0)</f>
        <v>0</v>
      </c>
      <c r="X2558">
        <f>IF(AND(LEFT(D2558,4)+1=LEFT(' Pivot Tables'!$A$4,4)+0,RIGHT(LEFT(D2558,7),2)=RIGHT(LEFT(' Pivot Tables'!$A$4,7),2)),1,0)</f>
        <v>0</v>
      </c>
      <c r="Y2558" s="6">
        <f>1/COUNTIF(Таблица1[Order ID],Таблица1[[#This Row],[Order ID]])</f>
        <v>0.5</v>
      </c>
      <c r="Z2558" s="9">
        <f>1/COUNTIFS(Таблица1[Customer Name],Таблица1[[#This Row],[Customer Name]],Таблица1[Order-Year-Month],Таблица1[[#This Row],[Order-Year-Month]])</f>
        <v>0.33333333333333331</v>
      </c>
    </row>
    <row r="2559" spans="1:26" x14ac:dyDescent="0.2">
      <c r="A2559" s="6">
        <v>798</v>
      </c>
      <c r="B2559" s="7">
        <v>5699</v>
      </c>
      <c r="C2559" s="8">
        <f>DATE(2012,12,31)-155</f>
        <v>41119</v>
      </c>
      <c r="D2559" s="8" t="str">
        <f t="shared" si="49"/>
        <v>2012-07 (июль 2012)</v>
      </c>
      <c r="E2559" s="9" t="s">
        <v>21</v>
      </c>
      <c r="F2559" s="7">
        <v>41</v>
      </c>
      <c r="G2559" s="7">
        <v>573.89</v>
      </c>
      <c r="H2559" s="7">
        <v>0.09</v>
      </c>
      <c r="I2559" s="9" t="s">
        <v>56</v>
      </c>
      <c r="J2559" s="10">
        <v>-121.44</v>
      </c>
      <c r="K2559" s="11">
        <v>14.98</v>
      </c>
      <c r="L2559" s="11">
        <v>7.69</v>
      </c>
      <c r="M2559" s="9" t="s">
        <v>1420</v>
      </c>
      <c r="N2559" s="6" t="s">
        <v>1123</v>
      </c>
      <c r="O2559" s="6" t="s">
        <v>1123</v>
      </c>
      <c r="P2559" s="9" t="s">
        <v>25</v>
      </c>
      <c r="Q2559" s="9" t="s">
        <v>26</v>
      </c>
      <c r="R2559" s="9" t="s">
        <v>27</v>
      </c>
      <c r="S2559" s="7" t="s">
        <v>1240</v>
      </c>
      <c r="T2559" s="9" t="s">
        <v>39</v>
      </c>
      <c r="U2559" s="7">
        <v>0.56999999999999995</v>
      </c>
      <c r="V2559" s="12">
        <f>C2559+5</f>
        <v>41124</v>
      </c>
      <c r="W2559">
        <f>IF(D2559=' Pivot Tables'!$A$4,1,0)</f>
        <v>0</v>
      </c>
      <c r="X2559">
        <f>IF(AND(LEFT(D2559,4)+1=LEFT(' Pivot Tables'!$A$4,4)+0,RIGHT(LEFT(D2559,7),2)=RIGHT(LEFT(' Pivot Tables'!$A$4,7),2)),1,0)</f>
        <v>0</v>
      </c>
      <c r="Y2559" s="6">
        <f>1/COUNTIF(Таблица1[Order ID],Таблица1[[#This Row],[Order ID]])</f>
        <v>0.5</v>
      </c>
      <c r="Z2559" s="9">
        <f>1/COUNTIFS(Таблица1[Customer Name],Таблица1[[#This Row],[Customer Name]],Таблица1[Order-Year-Month],Таблица1[[#This Row],[Order-Year-Month]])</f>
        <v>0.33333333333333331</v>
      </c>
    </row>
    <row r="2560" spans="1:26" x14ac:dyDescent="0.2">
      <c r="A2560" s="6">
        <v>940</v>
      </c>
      <c r="B2560" s="7">
        <v>6823</v>
      </c>
      <c r="C2560" s="8">
        <f>DATE(2012,12,31)-1259</f>
        <v>40015</v>
      </c>
      <c r="D2560" s="8" t="str">
        <f t="shared" si="49"/>
        <v>2009-07 (июль 2009)</v>
      </c>
      <c r="E2560" s="9" t="s">
        <v>45</v>
      </c>
      <c r="F2560" s="7">
        <v>50</v>
      </c>
      <c r="G2560" s="7">
        <v>1262.72</v>
      </c>
      <c r="H2560" s="7">
        <v>0.01</v>
      </c>
      <c r="I2560" s="9" t="s">
        <v>22</v>
      </c>
      <c r="J2560" s="10">
        <v>490.28</v>
      </c>
      <c r="K2560" s="11">
        <v>24.95</v>
      </c>
      <c r="L2560" s="11">
        <v>2.99</v>
      </c>
      <c r="M2560" s="9" t="s">
        <v>1418</v>
      </c>
      <c r="N2560" s="6" t="s">
        <v>1123</v>
      </c>
      <c r="O2560" s="6" t="s">
        <v>1123</v>
      </c>
      <c r="P2560" s="9" t="s">
        <v>25</v>
      </c>
      <c r="Q2560" s="9" t="s">
        <v>26</v>
      </c>
      <c r="R2560" s="9" t="s">
        <v>37</v>
      </c>
      <c r="S2560" s="7" t="s">
        <v>1390</v>
      </c>
      <c r="T2560" s="9" t="s">
        <v>39</v>
      </c>
      <c r="U2560" s="7">
        <v>0.39</v>
      </c>
      <c r="V2560" s="12">
        <f>C2560+1</f>
        <v>40016</v>
      </c>
      <c r="W2560">
        <f>IF(D2560=' Pivot Tables'!$A$4,1,0)</f>
        <v>0</v>
      </c>
      <c r="X2560">
        <f>IF(AND(LEFT(D2560,4)+1=LEFT(' Pivot Tables'!$A$4,4)+0,RIGHT(LEFT(D2560,7),2)=RIGHT(LEFT(' Pivot Tables'!$A$4,7),2)),1,0)</f>
        <v>0</v>
      </c>
      <c r="Y2560" s="6">
        <f>1/COUNTIF(Таблица1[Order ID],Таблица1[[#This Row],[Order ID]])</f>
        <v>0.5</v>
      </c>
      <c r="Z2560" s="9">
        <f>1/COUNTIFS(Таблица1[Customer Name],Таблица1[[#This Row],[Customer Name]],Таблица1[Order-Year-Month],Таблица1[[#This Row],[Order-Year-Month]])</f>
        <v>0.5</v>
      </c>
    </row>
    <row r="2561" spans="1:26" x14ac:dyDescent="0.2">
      <c r="A2561" s="6">
        <v>941</v>
      </c>
      <c r="B2561" s="7">
        <v>6823</v>
      </c>
      <c r="C2561" s="8">
        <f>DATE(2012,12,31)-1259</f>
        <v>40015</v>
      </c>
      <c r="D2561" s="8" t="str">
        <f t="shared" si="49"/>
        <v>2009-07 (июль 2009)</v>
      </c>
      <c r="E2561" s="9" t="s">
        <v>45</v>
      </c>
      <c r="F2561" s="7">
        <v>31</v>
      </c>
      <c r="G2561" s="7">
        <v>524.19000000000005</v>
      </c>
      <c r="H2561" s="7">
        <v>0</v>
      </c>
      <c r="I2561" s="9" t="s">
        <v>22</v>
      </c>
      <c r="J2561" s="10">
        <v>-135.46</v>
      </c>
      <c r="K2561" s="11">
        <v>15.98</v>
      </c>
      <c r="L2561" s="11">
        <v>8.99</v>
      </c>
      <c r="M2561" s="9" t="s">
        <v>1418</v>
      </c>
      <c r="N2561" s="6" t="s">
        <v>1123</v>
      </c>
      <c r="O2561" s="6" t="s">
        <v>1123</v>
      </c>
      <c r="P2561" s="9" t="s">
        <v>25</v>
      </c>
      <c r="Q2561" s="9" t="s">
        <v>42</v>
      </c>
      <c r="R2561" s="9" t="s">
        <v>70</v>
      </c>
      <c r="S2561" s="7" t="s">
        <v>414</v>
      </c>
      <c r="T2561" s="9" t="s">
        <v>52</v>
      </c>
      <c r="U2561" s="7">
        <v>0.64</v>
      </c>
      <c r="V2561" s="12">
        <f>C2561+2</f>
        <v>40017</v>
      </c>
      <c r="W2561">
        <f>IF(D2561=' Pivot Tables'!$A$4,1,0)</f>
        <v>0</v>
      </c>
      <c r="X2561">
        <f>IF(AND(LEFT(D2561,4)+1=LEFT(' Pivot Tables'!$A$4,4)+0,RIGHT(LEFT(D2561,7),2)=RIGHT(LEFT(' Pivot Tables'!$A$4,7),2)),1,0)</f>
        <v>0</v>
      </c>
      <c r="Y2561" s="6">
        <f>1/COUNTIF(Таблица1[Order ID],Таблица1[[#This Row],[Order ID]])</f>
        <v>0.5</v>
      </c>
      <c r="Z2561" s="9">
        <f>1/COUNTIFS(Таблица1[Customer Name],Таблица1[[#This Row],[Customer Name]],Таблица1[Order-Year-Month],Таблица1[[#This Row],[Order-Year-Month]])</f>
        <v>0.5</v>
      </c>
    </row>
    <row r="2562" spans="1:26" x14ac:dyDescent="0.2">
      <c r="A2562" s="6">
        <v>959</v>
      </c>
      <c r="B2562" s="7">
        <v>6948</v>
      </c>
      <c r="C2562" s="8">
        <f>DATE(2012,12,31)-753</f>
        <v>40521</v>
      </c>
      <c r="D2562" s="8" t="str">
        <f t="shared" si="49"/>
        <v>2010-12 (декабрь 2010)</v>
      </c>
      <c r="E2562" s="9" t="s">
        <v>45</v>
      </c>
      <c r="F2562" s="7">
        <v>15</v>
      </c>
      <c r="G2562" s="7">
        <v>1143.8800000000001</v>
      </c>
      <c r="H2562" s="7">
        <v>0.04</v>
      </c>
      <c r="I2562" s="9" t="s">
        <v>22</v>
      </c>
      <c r="J2562" s="10">
        <v>-88.7</v>
      </c>
      <c r="K2562" s="11">
        <v>73.98</v>
      </c>
      <c r="L2562" s="11">
        <v>4</v>
      </c>
      <c r="M2562" s="9" t="s">
        <v>1421</v>
      </c>
      <c r="N2562" s="6" t="s">
        <v>1123</v>
      </c>
      <c r="O2562" s="6" t="s">
        <v>1123</v>
      </c>
      <c r="P2562" s="9" t="s">
        <v>41</v>
      </c>
      <c r="Q2562" s="9" t="s">
        <v>42</v>
      </c>
      <c r="R2562" s="9" t="s">
        <v>70</v>
      </c>
      <c r="S2562" s="7" t="s">
        <v>822</v>
      </c>
      <c r="T2562" s="9" t="s">
        <v>39</v>
      </c>
      <c r="U2562" s="7">
        <v>0.79</v>
      </c>
      <c r="V2562" s="12">
        <f>C2562+1</f>
        <v>40522</v>
      </c>
      <c r="W2562">
        <f>IF(D2562=' Pivot Tables'!$A$4,1,0)</f>
        <v>0</v>
      </c>
      <c r="X2562">
        <f>IF(AND(LEFT(D2562,4)+1=LEFT(' Pivot Tables'!$A$4,4)+0,RIGHT(LEFT(D2562,7),2)=RIGHT(LEFT(' Pivot Tables'!$A$4,7),2)),1,0)</f>
        <v>0</v>
      </c>
      <c r="Y2562" s="6">
        <f>1/COUNTIF(Таблица1[Order ID],Таблица1[[#This Row],[Order ID]])</f>
        <v>1</v>
      </c>
      <c r="Z2562" s="9">
        <f>1/COUNTIFS(Таблица1[Customer Name],Таблица1[[#This Row],[Customer Name]],Таблица1[Order-Year-Month],Таблица1[[#This Row],[Order-Year-Month]])</f>
        <v>1</v>
      </c>
    </row>
    <row r="2563" spans="1:26" x14ac:dyDescent="0.2">
      <c r="A2563" s="6">
        <v>1027</v>
      </c>
      <c r="B2563" s="7">
        <v>7462</v>
      </c>
      <c r="C2563" s="8">
        <f>DATE(2012,12,31)-680</f>
        <v>40594</v>
      </c>
      <c r="D2563" s="8" t="str">
        <f t="shared" ref="D2563:D2626" si="50">TEXT(C2563,"гггг-ММ (ММММ гггг)")</f>
        <v>2011-02 (февраль 2011)</v>
      </c>
      <c r="E2563" s="9" t="s">
        <v>30</v>
      </c>
      <c r="F2563" s="7">
        <v>3</v>
      </c>
      <c r="G2563" s="7">
        <v>72.63</v>
      </c>
      <c r="H2563" s="7">
        <v>7.0000000000000007E-2</v>
      </c>
      <c r="I2563" s="9" t="s">
        <v>56</v>
      </c>
      <c r="J2563" s="10">
        <v>-26.94</v>
      </c>
      <c r="K2563" s="11">
        <v>22.01</v>
      </c>
      <c r="L2563" s="11">
        <v>5.53</v>
      </c>
      <c r="M2563" s="9" t="s">
        <v>1415</v>
      </c>
      <c r="N2563" s="6" t="s">
        <v>1123</v>
      </c>
      <c r="O2563" s="6" t="s">
        <v>1123</v>
      </c>
      <c r="P2563" s="9" t="s">
        <v>25</v>
      </c>
      <c r="Q2563" s="9" t="s">
        <v>26</v>
      </c>
      <c r="R2563" s="9" t="s">
        <v>95</v>
      </c>
      <c r="S2563" s="7" t="s">
        <v>1147</v>
      </c>
      <c r="T2563" s="9" t="s">
        <v>52</v>
      </c>
      <c r="U2563" s="7">
        <v>0.59</v>
      </c>
      <c r="V2563" s="12">
        <f>C2563+1</f>
        <v>40595</v>
      </c>
      <c r="W2563">
        <f>IF(D2563=' Pivot Tables'!$A$4,1,0)</f>
        <v>0</v>
      </c>
      <c r="X2563">
        <f>IF(AND(LEFT(D2563,4)+1=LEFT(' Pivot Tables'!$A$4,4)+0,RIGHT(LEFT(D2563,7),2)=RIGHT(LEFT(' Pivot Tables'!$A$4,7),2)),1,0)</f>
        <v>0</v>
      </c>
      <c r="Y2563" s="6">
        <f>1/COUNTIF(Таблица1[Order ID],Таблица1[[#This Row],[Order ID]])</f>
        <v>1</v>
      </c>
      <c r="Z2563" s="9">
        <f>1/COUNTIFS(Таблица1[Customer Name],Таблица1[[#This Row],[Customer Name]],Таблица1[Order-Year-Month],Таблица1[[#This Row],[Order-Year-Month]])</f>
        <v>1</v>
      </c>
    </row>
    <row r="2564" spans="1:26" x14ac:dyDescent="0.2">
      <c r="A2564" s="6">
        <v>1062</v>
      </c>
      <c r="B2564" s="7">
        <v>7845</v>
      </c>
      <c r="C2564" s="8">
        <f>DATE(2012,12,31)-1114</f>
        <v>40160</v>
      </c>
      <c r="D2564" s="8" t="str">
        <f t="shared" si="50"/>
        <v>2009-12 (декабрь 2009)</v>
      </c>
      <c r="E2564" s="9" t="s">
        <v>78</v>
      </c>
      <c r="F2564" s="7">
        <v>22</v>
      </c>
      <c r="G2564" s="7">
        <v>118.56</v>
      </c>
      <c r="H2564" s="7">
        <v>0.06</v>
      </c>
      <c r="I2564" s="9" t="s">
        <v>56</v>
      </c>
      <c r="J2564" s="10">
        <v>-63.3765</v>
      </c>
      <c r="K2564" s="11">
        <v>4.91</v>
      </c>
      <c r="L2564" s="11">
        <v>5.68</v>
      </c>
      <c r="M2564" s="9" t="s">
        <v>1418</v>
      </c>
      <c r="N2564" s="6" t="s">
        <v>1123</v>
      </c>
      <c r="O2564" s="6" t="s">
        <v>1123</v>
      </c>
      <c r="P2564" s="9" t="s">
        <v>25</v>
      </c>
      <c r="Q2564" s="9" t="s">
        <v>26</v>
      </c>
      <c r="R2564" s="9" t="s">
        <v>37</v>
      </c>
      <c r="S2564" s="7" t="s">
        <v>1345</v>
      </c>
      <c r="T2564" s="9" t="s">
        <v>39</v>
      </c>
      <c r="U2564" s="7">
        <v>0.36</v>
      </c>
      <c r="V2564" s="12">
        <f>C2564+0</f>
        <v>40160</v>
      </c>
      <c r="W2564">
        <f>IF(D2564=' Pivot Tables'!$A$4,1,0)</f>
        <v>0</v>
      </c>
      <c r="X2564">
        <f>IF(AND(LEFT(D2564,4)+1=LEFT(' Pivot Tables'!$A$4,4)+0,RIGHT(LEFT(D2564,7),2)=RIGHT(LEFT(' Pivot Tables'!$A$4,7),2)),1,0)</f>
        <v>0</v>
      </c>
      <c r="Y2564" s="6">
        <f>1/COUNTIF(Таблица1[Order ID],Таблица1[[#This Row],[Order ID]])</f>
        <v>0.5</v>
      </c>
      <c r="Z2564" s="9">
        <f>1/COUNTIFS(Таблица1[Customer Name],Таблица1[[#This Row],[Customer Name]],Таблица1[Order-Year-Month],Таблица1[[#This Row],[Order-Year-Month]])</f>
        <v>0.5</v>
      </c>
    </row>
    <row r="2565" spans="1:26" x14ac:dyDescent="0.2">
      <c r="A2565" s="6">
        <v>1063</v>
      </c>
      <c r="B2565" s="7">
        <v>7845</v>
      </c>
      <c r="C2565" s="8">
        <f>DATE(2012,12,31)-1114</f>
        <v>40160</v>
      </c>
      <c r="D2565" s="8" t="str">
        <f t="shared" si="50"/>
        <v>2009-12 (декабрь 2009)</v>
      </c>
      <c r="E2565" s="9" t="s">
        <v>78</v>
      </c>
      <c r="F2565" s="7">
        <v>45</v>
      </c>
      <c r="G2565" s="7">
        <v>2145.0500000000002</v>
      </c>
      <c r="H2565" s="7">
        <v>7.0000000000000007E-2</v>
      </c>
      <c r="I2565" s="9" t="s">
        <v>56</v>
      </c>
      <c r="J2565" s="10">
        <v>1012.67</v>
      </c>
      <c r="K2565" s="11">
        <v>48.94</v>
      </c>
      <c r="L2565" s="11">
        <v>5.86</v>
      </c>
      <c r="M2565" s="9" t="s">
        <v>1418</v>
      </c>
      <c r="N2565" s="6" t="s">
        <v>1123</v>
      </c>
      <c r="O2565" s="6" t="s">
        <v>1123</v>
      </c>
      <c r="P2565" s="9" t="s">
        <v>25</v>
      </c>
      <c r="Q2565" s="9" t="s">
        <v>26</v>
      </c>
      <c r="R2565" s="9" t="s">
        <v>61</v>
      </c>
      <c r="S2565" s="7" t="s">
        <v>1422</v>
      </c>
      <c r="T2565" s="9" t="s">
        <v>39</v>
      </c>
      <c r="U2565" s="7">
        <v>0.35</v>
      </c>
      <c r="V2565" s="12">
        <f>C2565+1</f>
        <v>40161</v>
      </c>
      <c r="W2565">
        <f>IF(D2565=' Pivot Tables'!$A$4,1,0)</f>
        <v>0</v>
      </c>
      <c r="X2565">
        <f>IF(AND(LEFT(D2565,4)+1=LEFT(' Pivot Tables'!$A$4,4)+0,RIGHT(LEFT(D2565,7),2)=RIGHT(LEFT(' Pivot Tables'!$A$4,7),2)),1,0)</f>
        <v>0</v>
      </c>
      <c r="Y2565" s="6">
        <f>1/COUNTIF(Таблица1[Order ID],Таблица1[[#This Row],[Order ID]])</f>
        <v>0.5</v>
      </c>
      <c r="Z2565" s="9">
        <f>1/COUNTIFS(Таблица1[Customer Name],Таблица1[[#This Row],[Customer Name]],Таблица1[Order-Year-Month],Таблица1[[#This Row],[Order-Year-Month]])</f>
        <v>0.5</v>
      </c>
    </row>
    <row r="2566" spans="1:26" x14ac:dyDescent="0.2">
      <c r="A2566" s="6">
        <v>1092</v>
      </c>
      <c r="B2566" s="7">
        <v>8033</v>
      </c>
      <c r="C2566" s="8">
        <f>DATE(2012,12,31)-251</f>
        <v>41023</v>
      </c>
      <c r="D2566" s="8" t="str">
        <f t="shared" si="50"/>
        <v>2012-04 (апрель 2012)</v>
      </c>
      <c r="E2566" s="9" t="s">
        <v>30</v>
      </c>
      <c r="F2566" s="7">
        <v>27</v>
      </c>
      <c r="G2566" s="7">
        <v>118.18</v>
      </c>
      <c r="H2566" s="7">
        <v>0.06</v>
      </c>
      <c r="I2566" s="9" t="s">
        <v>22</v>
      </c>
      <c r="J2566" s="10">
        <v>-133.62</v>
      </c>
      <c r="K2566" s="11">
        <v>4.0599999999999996</v>
      </c>
      <c r="L2566" s="11">
        <v>6.89</v>
      </c>
      <c r="M2566" s="9" t="s">
        <v>1423</v>
      </c>
      <c r="N2566" s="6" t="s">
        <v>1123</v>
      </c>
      <c r="O2566" s="6" t="s">
        <v>1123</v>
      </c>
      <c r="P2566" s="9" t="s">
        <v>25</v>
      </c>
      <c r="Q2566" s="9" t="s">
        <v>26</v>
      </c>
      <c r="R2566" s="9" t="s">
        <v>34</v>
      </c>
      <c r="S2566" s="7" t="s">
        <v>408</v>
      </c>
      <c r="T2566" s="9" t="s">
        <v>39</v>
      </c>
      <c r="U2566" s="7">
        <v>0.6</v>
      </c>
      <c r="V2566" s="12">
        <f>C2566+1</f>
        <v>41024</v>
      </c>
      <c r="W2566">
        <f>IF(D2566=' Pivot Tables'!$A$4,1,0)</f>
        <v>0</v>
      </c>
      <c r="X2566">
        <f>IF(AND(LEFT(D2566,4)+1=LEFT(' Pivot Tables'!$A$4,4)+0,RIGHT(LEFT(D2566,7),2)=RIGHT(LEFT(' Pivot Tables'!$A$4,7),2)),1,0)</f>
        <v>0</v>
      </c>
      <c r="Y2566" s="6">
        <f>1/COUNTIF(Таблица1[Order ID],Таблица1[[#This Row],[Order ID]])</f>
        <v>1</v>
      </c>
      <c r="Z2566" s="9">
        <f>1/COUNTIFS(Таблица1[Customer Name],Таблица1[[#This Row],[Customer Name]],Таблица1[Order-Year-Month],Таблица1[[#This Row],[Order-Year-Month]])</f>
        <v>1</v>
      </c>
    </row>
    <row r="2567" spans="1:26" x14ac:dyDescent="0.2">
      <c r="A2567" s="6">
        <v>1150</v>
      </c>
      <c r="B2567" s="7">
        <v>8388</v>
      </c>
      <c r="C2567" s="8">
        <f>DATE(2012,12,31)-312</f>
        <v>40962</v>
      </c>
      <c r="D2567" s="8" t="str">
        <f t="shared" si="50"/>
        <v>2012-02 (февраль 2012)</v>
      </c>
      <c r="E2567" s="9" t="s">
        <v>21</v>
      </c>
      <c r="F2567" s="7">
        <v>39</v>
      </c>
      <c r="G2567" s="7">
        <v>290.3</v>
      </c>
      <c r="H2567" s="7">
        <v>7.0000000000000007E-2</v>
      </c>
      <c r="I2567" s="9" t="s">
        <v>22</v>
      </c>
      <c r="J2567" s="10">
        <v>25.16</v>
      </c>
      <c r="K2567" s="11">
        <v>7.59</v>
      </c>
      <c r="L2567" s="11">
        <v>4</v>
      </c>
      <c r="M2567" s="9" t="s">
        <v>1413</v>
      </c>
      <c r="N2567" s="6" t="s">
        <v>1123</v>
      </c>
      <c r="O2567" s="6" t="s">
        <v>1123</v>
      </c>
      <c r="P2567" s="9" t="s">
        <v>60</v>
      </c>
      <c r="Q2567" s="9" t="s">
        <v>49</v>
      </c>
      <c r="R2567" s="9" t="s">
        <v>50</v>
      </c>
      <c r="S2567" s="7" t="s">
        <v>504</v>
      </c>
      <c r="T2567" s="9" t="s">
        <v>68</v>
      </c>
      <c r="U2567" s="7">
        <v>0.42</v>
      </c>
      <c r="V2567" s="12">
        <f>C2567+2</f>
        <v>40964</v>
      </c>
      <c r="W2567">
        <f>IF(D2567=' Pivot Tables'!$A$4,1,0)</f>
        <v>0</v>
      </c>
      <c r="X2567">
        <f>IF(AND(LEFT(D2567,4)+1=LEFT(' Pivot Tables'!$A$4,4)+0,RIGHT(LEFT(D2567,7),2)=RIGHT(LEFT(' Pivot Tables'!$A$4,7),2)),1,0)</f>
        <v>0</v>
      </c>
      <c r="Y2567" s="6">
        <f>1/COUNTIF(Таблица1[Order ID],Таблица1[[#This Row],[Order ID]])</f>
        <v>0.33333333333333331</v>
      </c>
      <c r="Z2567" s="9">
        <f>1/COUNTIFS(Таблица1[Customer Name],Таблица1[[#This Row],[Customer Name]],Таблица1[Order-Year-Month],Таблица1[[#This Row],[Order-Year-Month]])</f>
        <v>0.33333333333333331</v>
      </c>
    </row>
    <row r="2568" spans="1:26" x14ac:dyDescent="0.2">
      <c r="A2568" s="6">
        <v>1151</v>
      </c>
      <c r="B2568" s="7">
        <v>8388</v>
      </c>
      <c r="C2568" s="8">
        <f>DATE(2012,12,31)-312</f>
        <v>40962</v>
      </c>
      <c r="D2568" s="8" t="str">
        <f t="shared" si="50"/>
        <v>2012-02 (февраль 2012)</v>
      </c>
      <c r="E2568" s="9" t="s">
        <v>21</v>
      </c>
      <c r="F2568" s="7">
        <v>37</v>
      </c>
      <c r="G2568" s="7">
        <v>434.11</v>
      </c>
      <c r="H2568" s="7">
        <v>0.02</v>
      </c>
      <c r="I2568" s="9" t="s">
        <v>22</v>
      </c>
      <c r="J2568" s="10">
        <v>24.853999999999999</v>
      </c>
      <c r="K2568" s="11">
        <v>11.7</v>
      </c>
      <c r="L2568" s="11">
        <v>5.63</v>
      </c>
      <c r="M2568" s="9" t="s">
        <v>1413</v>
      </c>
      <c r="N2568" s="6" t="s">
        <v>1123</v>
      </c>
      <c r="O2568" s="6" t="s">
        <v>1123</v>
      </c>
      <c r="P2568" s="9" t="s">
        <v>60</v>
      </c>
      <c r="Q2568" s="9" t="s">
        <v>26</v>
      </c>
      <c r="R2568" s="9" t="s">
        <v>37</v>
      </c>
      <c r="S2568" s="7" t="s">
        <v>1333</v>
      </c>
      <c r="T2568" s="9" t="s">
        <v>39</v>
      </c>
      <c r="U2568" s="7">
        <v>0.4</v>
      </c>
      <c r="V2568" s="12">
        <f>C2568+2</f>
        <v>40964</v>
      </c>
      <c r="W2568">
        <f>IF(D2568=' Pivot Tables'!$A$4,1,0)</f>
        <v>0</v>
      </c>
      <c r="X2568">
        <f>IF(AND(LEFT(D2568,4)+1=LEFT(' Pivot Tables'!$A$4,4)+0,RIGHT(LEFT(D2568,7),2)=RIGHT(LEFT(' Pivot Tables'!$A$4,7),2)),1,0)</f>
        <v>0</v>
      </c>
      <c r="Y2568" s="6">
        <f>1/COUNTIF(Таблица1[Order ID],Таблица1[[#This Row],[Order ID]])</f>
        <v>0.33333333333333331</v>
      </c>
      <c r="Z2568" s="9">
        <f>1/COUNTIFS(Таблица1[Customer Name],Таблица1[[#This Row],[Customer Name]],Таблица1[Order-Year-Month],Таблица1[[#This Row],[Order-Year-Month]])</f>
        <v>0.33333333333333331</v>
      </c>
    </row>
    <row r="2569" spans="1:26" x14ac:dyDescent="0.2">
      <c r="A2569" s="6">
        <v>1152</v>
      </c>
      <c r="B2569" s="7">
        <v>8388</v>
      </c>
      <c r="C2569" s="8">
        <f>DATE(2012,12,31)-312</f>
        <v>40962</v>
      </c>
      <c r="D2569" s="8" t="str">
        <f t="shared" si="50"/>
        <v>2012-02 (февраль 2012)</v>
      </c>
      <c r="E2569" s="9" t="s">
        <v>21</v>
      </c>
      <c r="F2569" s="7">
        <v>42</v>
      </c>
      <c r="G2569" s="7">
        <v>288.89999999999998</v>
      </c>
      <c r="H2569" s="7">
        <v>0.02</v>
      </c>
      <c r="I2569" s="9" t="s">
        <v>22</v>
      </c>
      <c r="J2569" s="10">
        <v>96.34</v>
      </c>
      <c r="K2569" s="11">
        <v>6.98</v>
      </c>
      <c r="L2569" s="11">
        <v>1.6</v>
      </c>
      <c r="M2569" s="9" t="s">
        <v>1413</v>
      </c>
      <c r="N2569" s="6" t="s">
        <v>1123</v>
      </c>
      <c r="O2569" s="6" t="s">
        <v>1123</v>
      </c>
      <c r="P2569" s="9" t="s">
        <v>60</v>
      </c>
      <c r="Q2569" s="9" t="s">
        <v>26</v>
      </c>
      <c r="R2569" s="9" t="s">
        <v>61</v>
      </c>
      <c r="S2569" s="7" t="s">
        <v>829</v>
      </c>
      <c r="T2569" s="9" t="s">
        <v>68</v>
      </c>
      <c r="U2569" s="7">
        <v>0.38</v>
      </c>
      <c r="V2569" s="12">
        <f>C2569+2</f>
        <v>40964</v>
      </c>
      <c r="W2569">
        <f>IF(D2569=' Pivot Tables'!$A$4,1,0)</f>
        <v>0</v>
      </c>
      <c r="X2569">
        <f>IF(AND(LEFT(D2569,4)+1=LEFT(' Pivot Tables'!$A$4,4)+0,RIGHT(LEFT(D2569,7),2)=RIGHT(LEFT(' Pivot Tables'!$A$4,7),2)),1,0)</f>
        <v>0</v>
      </c>
      <c r="Y2569" s="6">
        <f>1/COUNTIF(Таблица1[Order ID],Таблица1[[#This Row],[Order ID]])</f>
        <v>0.33333333333333331</v>
      </c>
      <c r="Z2569" s="9">
        <f>1/COUNTIFS(Таблица1[Customer Name],Таблица1[[#This Row],[Customer Name]],Таблица1[Order-Year-Month],Таблица1[[#This Row],[Order-Year-Month]])</f>
        <v>0.33333333333333331</v>
      </c>
    </row>
    <row r="2570" spans="1:26" x14ac:dyDescent="0.2">
      <c r="A2570" s="6">
        <v>1334</v>
      </c>
      <c r="B2570" s="7">
        <v>9761</v>
      </c>
      <c r="C2570" s="8">
        <f>DATE(2012,12,31)-344</f>
        <v>40930</v>
      </c>
      <c r="D2570" s="8" t="str">
        <f t="shared" si="50"/>
        <v>2012-01 (январь 2012)</v>
      </c>
      <c r="E2570" s="9" t="s">
        <v>45</v>
      </c>
      <c r="F2570" s="7">
        <v>2</v>
      </c>
      <c r="G2570" s="7">
        <v>202.64</v>
      </c>
      <c r="H2570" s="7">
        <v>0.04</v>
      </c>
      <c r="I2570" s="9" t="s">
        <v>31</v>
      </c>
      <c r="J2570" s="10">
        <v>-221.62380000000002</v>
      </c>
      <c r="K2570" s="11">
        <v>90.97</v>
      </c>
      <c r="L2570" s="11">
        <v>14</v>
      </c>
      <c r="M2570" s="9" t="s">
        <v>1418</v>
      </c>
      <c r="N2570" s="6" t="s">
        <v>1123</v>
      </c>
      <c r="O2570" s="6" t="s">
        <v>1123</v>
      </c>
      <c r="P2570" s="9" t="s">
        <v>25</v>
      </c>
      <c r="Q2570" s="9" t="s">
        <v>42</v>
      </c>
      <c r="R2570" s="9" t="s">
        <v>210</v>
      </c>
      <c r="S2570" s="7" t="s">
        <v>772</v>
      </c>
      <c r="T2570" s="9" t="s">
        <v>36</v>
      </c>
      <c r="U2570" s="7">
        <v>0.36</v>
      </c>
      <c r="V2570" s="12">
        <f>C2570+1</f>
        <v>40931</v>
      </c>
      <c r="W2570">
        <f>IF(D2570=' Pivot Tables'!$A$4,1,0)</f>
        <v>0</v>
      </c>
      <c r="X2570">
        <f>IF(AND(LEFT(D2570,4)+1=LEFT(' Pivot Tables'!$A$4,4)+0,RIGHT(LEFT(D2570,7),2)=RIGHT(LEFT(' Pivot Tables'!$A$4,7),2)),1,0)</f>
        <v>0</v>
      </c>
      <c r="Y2570" s="6">
        <f>1/COUNTIF(Таблица1[Order ID],Таблица1[[#This Row],[Order ID]])</f>
        <v>0.5</v>
      </c>
      <c r="Z2570" s="9">
        <f>1/COUNTIFS(Таблица1[Customer Name],Таблица1[[#This Row],[Customer Name]],Таблица1[Order-Year-Month],Таблица1[[#This Row],[Order-Year-Month]])</f>
        <v>0.5</v>
      </c>
    </row>
    <row r="2571" spans="1:26" x14ac:dyDescent="0.2">
      <c r="A2571" s="6">
        <v>1335</v>
      </c>
      <c r="B2571" s="7">
        <v>9761</v>
      </c>
      <c r="C2571" s="8">
        <f>DATE(2012,12,31)-344</f>
        <v>40930</v>
      </c>
      <c r="D2571" s="8" t="str">
        <f t="shared" si="50"/>
        <v>2012-01 (январь 2012)</v>
      </c>
      <c r="E2571" s="9" t="s">
        <v>45</v>
      </c>
      <c r="F2571" s="7">
        <v>23</v>
      </c>
      <c r="G2571" s="7">
        <v>133.69</v>
      </c>
      <c r="H2571" s="7">
        <v>0.08</v>
      </c>
      <c r="I2571" s="9" t="s">
        <v>22</v>
      </c>
      <c r="J2571" s="10">
        <v>-92.23</v>
      </c>
      <c r="K2571" s="11">
        <v>5.98</v>
      </c>
      <c r="L2571" s="11">
        <v>7.15</v>
      </c>
      <c r="M2571" s="9" t="s">
        <v>1418</v>
      </c>
      <c r="N2571" s="6" t="s">
        <v>1123</v>
      </c>
      <c r="O2571" s="6" t="s">
        <v>1123</v>
      </c>
      <c r="P2571" s="9" t="s">
        <v>25</v>
      </c>
      <c r="Q2571" s="9" t="s">
        <v>26</v>
      </c>
      <c r="R2571" s="9" t="s">
        <v>61</v>
      </c>
      <c r="S2571" s="7" t="s">
        <v>1424</v>
      </c>
      <c r="T2571" s="9" t="s">
        <v>39</v>
      </c>
      <c r="U2571" s="7">
        <v>0.36</v>
      </c>
      <c r="V2571" s="12">
        <f>C2571+2</f>
        <v>40932</v>
      </c>
      <c r="W2571">
        <f>IF(D2571=' Pivot Tables'!$A$4,1,0)</f>
        <v>0</v>
      </c>
      <c r="X2571">
        <f>IF(AND(LEFT(D2571,4)+1=LEFT(' Pivot Tables'!$A$4,4)+0,RIGHT(LEFT(D2571,7),2)=RIGHT(LEFT(' Pivot Tables'!$A$4,7),2)),1,0)</f>
        <v>0</v>
      </c>
      <c r="Y2571" s="6">
        <f>1/COUNTIF(Таблица1[Order ID],Таблица1[[#This Row],[Order ID]])</f>
        <v>0.5</v>
      </c>
      <c r="Z2571" s="9">
        <f>1/COUNTIFS(Таблица1[Customer Name],Таблица1[[#This Row],[Customer Name]],Таблица1[Order-Year-Month],Таблица1[[#This Row],[Order-Year-Month]])</f>
        <v>0.5</v>
      </c>
    </row>
    <row r="2572" spans="1:26" x14ac:dyDescent="0.2">
      <c r="A2572" s="6">
        <v>1354</v>
      </c>
      <c r="B2572" s="7">
        <v>9863</v>
      </c>
      <c r="C2572" s="8">
        <f>DATE(2012,12,31)-484</f>
        <v>40790</v>
      </c>
      <c r="D2572" s="8" t="str">
        <f t="shared" si="50"/>
        <v>2011-09 (сентябрь 2011)</v>
      </c>
      <c r="E2572" s="9" t="s">
        <v>78</v>
      </c>
      <c r="F2572" s="7">
        <v>18</v>
      </c>
      <c r="G2572" s="7">
        <v>33.96</v>
      </c>
      <c r="H2572" s="7">
        <v>0</v>
      </c>
      <c r="I2572" s="9" t="s">
        <v>22</v>
      </c>
      <c r="J2572" s="10">
        <v>0.1</v>
      </c>
      <c r="K2572" s="11">
        <v>1.76</v>
      </c>
      <c r="L2572" s="11">
        <v>0.7</v>
      </c>
      <c r="M2572" s="9" t="s">
        <v>1417</v>
      </c>
      <c r="N2572" s="6" t="s">
        <v>1123</v>
      </c>
      <c r="O2572" s="6" t="s">
        <v>1123</v>
      </c>
      <c r="P2572" s="9" t="s">
        <v>60</v>
      </c>
      <c r="Q2572" s="9" t="s">
        <v>26</v>
      </c>
      <c r="R2572" s="9" t="s">
        <v>95</v>
      </c>
      <c r="S2572" s="7" t="s">
        <v>387</v>
      </c>
      <c r="T2572" s="9" t="s">
        <v>68</v>
      </c>
      <c r="U2572" s="7">
        <v>0.56000000000000005</v>
      </c>
      <c r="V2572" s="12">
        <f>C2572+2</f>
        <v>40792</v>
      </c>
      <c r="W2572">
        <f>IF(D2572=' Pivot Tables'!$A$4,1,0)</f>
        <v>0</v>
      </c>
      <c r="X2572">
        <f>IF(AND(LEFT(D2572,4)+1=LEFT(' Pivot Tables'!$A$4,4)+0,RIGHT(LEFT(D2572,7),2)=RIGHT(LEFT(' Pivot Tables'!$A$4,7),2)),1,0)</f>
        <v>0</v>
      </c>
      <c r="Y2572" s="6">
        <f>1/COUNTIF(Таблица1[Order ID],Таблица1[[#This Row],[Order ID]])</f>
        <v>1</v>
      </c>
      <c r="Z2572" s="9">
        <f>1/COUNTIFS(Таблица1[Customer Name],Таблица1[[#This Row],[Customer Name]],Таблица1[Order-Year-Month],Таблица1[[#This Row],[Order-Year-Month]])</f>
        <v>1</v>
      </c>
    </row>
    <row r="2573" spans="1:26" x14ac:dyDescent="0.2">
      <c r="A2573" s="6">
        <v>1432</v>
      </c>
      <c r="B2573" s="7">
        <v>10342</v>
      </c>
      <c r="C2573" s="8">
        <f>DATE(2012,12,31)-405</f>
        <v>40869</v>
      </c>
      <c r="D2573" s="8" t="str">
        <f t="shared" si="50"/>
        <v>2011-11 (ноябрь 2011)</v>
      </c>
      <c r="E2573" s="9" t="s">
        <v>63</v>
      </c>
      <c r="F2573" s="7">
        <v>45</v>
      </c>
      <c r="G2573" s="7">
        <v>5181.08</v>
      </c>
      <c r="H2573" s="7">
        <v>0.01</v>
      </c>
      <c r="I2573" s="9" t="s">
        <v>31</v>
      </c>
      <c r="J2573" s="10">
        <v>-1623.6</v>
      </c>
      <c r="K2573" s="11">
        <v>114.98</v>
      </c>
      <c r="L2573" s="11">
        <v>58.72</v>
      </c>
      <c r="M2573" s="9" t="s">
        <v>1423</v>
      </c>
      <c r="N2573" s="6" t="s">
        <v>1123</v>
      </c>
      <c r="O2573" s="6" t="s">
        <v>1123</v>
      </c>
      <c r="P2573" s="9" t="s">
        <v>33</v>
      </c>
      <c r="Q2573" s="9" t="s">
        <v>49</v>
      </c>
      <c r="R2573" s="9" t="s">
        <v>80</v>
      </c>
      <c r="S2573" s="7" t="s">
        <v>983</v>
      </c>
      <c r="T2573" s="9" t="s">
        <v>82</v>
      </c>
      <c r="U2573" s="7">
        <v>0.76</v>
      </c>
      <c r="V2573" s="12">
        <f>C2573+2</f>
        <v>40871</v>
      </c>
      <c r="W2573">
        <f>IF(D2573=' Pivot Tables'!$A$4,1,0)</f>
        <v>0</v>
      </c>
      <c r="X2573">
        <f>IF(AND(LEFT(D2573,4)+1=LEFT(' Pivot Tables'!$A$4,4)+0,RIGHT(LEFT(D2573,7),2)=RIGHT(LEFT(' Pivot Tables'!$A$4,7),2)),1,0)</f>
        <v>0</v>
      </c>
      <c r="Y2573" s="6">
        <f>1/COUNTIF(Таблица1[Order ID],Таблица1[[#This Row],[Order ID]])</f>
        <v>0.25</v>
      </c>
      <c r="Z2573" s="9">
        <f>1/COUNTIFS(Таблица1[Customer Name],Таблица1[[#This Row],[Customer Name]],Таблица1[Order-Year-Month],Таблица1[[#This Row],[Order-Year-Month]])</f>
        <v>0.25</v>
      </c>
    </row>
    <row r="2574" spans="1:26" x14ac:dyDescent="0.2">
      <c r="A2574" s="6">
        <v>1433</v>
      </c>
      <c r="B2574" s="7">
        <v>10342</v>
      </c>
      <c r="C2574" s="8">
        <f>DATE(2012,12,31)-405</f>
        <v>40869</v>
      </c>
      <c r="D2574" s="8" t="str">
        <f t="shared" si="50"/>
        <v>2011-11 (ноябрь 2011)</v>
      </c>
      <c r="E2574" s="9" t="s">
        <v>63</v>
      </c>
      <c r="F2574" s="7">
        <v>38</v>
      </c>
      <c r="G2574" s="7">
        <v>10567.45</v>
      </c>
      <c r="H2574" s="7">
        <v>0.1</v>
      </c>
      <c r="I2574" s="9" t="s">
        <v>22</v>
      </c>
      <c r="J2574" s="10">
        <v>2925.37</v>
      </c>
      <c r="K2574" s="11">
        <v>299.99</v>
      </c>
      <c r="L2574" s="11">
        <v>11.64</v>
      </c>
      <c r="M2574" s="9" t="s">
        <v>1423</v>
      </c>
      <c r="N2574" s="6" t="s">
        <v>1123</v>
      </c>
      <c r="O2574" s="6" t="s">
        <v>1123</v>
      </c>
      <c r="P2574" s="9" t="s">
        <v>33</v>
      </c>
      <c r="Q2574" s="9" t="s">
        <v>42</v>
      </c>
      <c r="R2574" s="9" t="s">
        <v>99</v>
      </c>
      <c r="S2574" s="7" t="s">
        <v>1425</v>
      </c>
      <c r="T2574" s="9" t="s">
        <v>29</v>
      </c>
      <c r="U2574" s="7">
        <v>0.5</v>
      </c>
      <c r="V2574" s="12">
        <f>C2574+1</f>
        <v>40870</v>
      </c>
      <c r="W2574">
        <f>IF(D2574=' Pivot Tables'!$A$4,1,0)</f>
        <v>0</v>
      </c>
      <c r="X2574">
        <f>IF(AND(LEFT(D2574,4)+1=LEFT(' Pivot Tables'!$A$4,4)+0,RIGHT(LEFT(D2574,7),2)=RIGHT(LEFT(' Pivot Tables'!$A$4,7),2)),1,0)</f>
        <v>0</v>
      </c>
      <c r="Y2574" s="6">
        <f>1/COUNTIF(Таблица1[Order ID],Таблица1[[#This Row],[Order ID]])</f>
        <v>0.25</v>
      </c>
      <c r="Z2574" s="9">
        <f>1/COUNTIFS(Таблица1[Customer Name],Таблица1[[#This Row],[Customer Name]],Таблица1[Order-Year-Month],Таблица1[[#This Row],[Order-Year-Month]])</f>
        <v>0.25</v>
      </c>
    </row>
    <row r="2575" spans="1:26" x14ac:dyDescent="0.2">
      <c r="A2575" s="6">
        <v>1434</v>
      </c>
      <c r="B2575" s="7">
        <v>10342</v>
      </c>
      <c r="C2575" s="8">
        <f>DATE(2012,12,31)-405</f>
        <v>40869</v>
      </c>
      <c r="D2575" s="8" t="str">
        <f t="shared" si="50"/>
        <v>2011-11 (ноябрь 2011)</v>
      </c>
      <c r="E2575" s="9" t="s">
        <v>63</v>
      </c>
      <c r="F2575" s="7">
        <v>38</v>
      </c>
      <c r="G2575" s="7">
        <v>1679.04</v>
      </c>
      <c r="H2575" s="7">
        <v>0.01</v>
      </c>
      <c r="I2575" s="9" t="s">
        <v>22</v>
      </c>
      <c r="J2575" s="10">
        <v>324.47000000000003</v>
      </c>
      <c r="K2575" s="11">
        <v>40.97</v>
      </c>
      <c r="L2575" s="11">
        <v>14.45</v>
      </c>
      <c r="M2575" s="9" t="s">
        <v>1423</v>
      </c>
      <c r="N2575" s="6" t="s">
        <v>1123</v>
      </c>
      <c r="O2575" s="6" t="s">
        <v>1123</v>
      </c>
      <c r="P2575" s="9" t="s">
        <v>33</v>
      </c>
      <c r="Q2575" s="9" t="s">
        <v>49</v>
      </c>
      <c r="R2575" s="9" t="s">
        <v>50</v>
      </c>
      <c r="S2575" s="7" t="s">
        <v>310</v>
      </c>
      <c r="T2575" s="9" t="s">
        <v>29</v>
      </c>
      <c r="U2575" s="7">
        <v>0.56999999999999995</v>
      </c>
      <c r="V2575" s="12">
        <f>C2575+2</f>
        <v>40871</v>
      </c>
      <c r="W2575">
        <f>IF(D2575=' Pivot Tables'!$A$4,1,0)</f>
        <v>0</v>
      </c>
      <c r="X2575">
        <f>IF(AND(LEFT(D2575,4)+1=LEFT(' Pivot Tables'!$A$4,4)+0,RIGHT(LEFT(D2575,7),2)=RIGHT(LEFT(' Pivot Tables'!$A$4,7),2)),1,0)</f>
        <v>0</v>
      </c>
      <c r="Y2575" s="6">
        <f>1/COUNTIF(Таблица1[Order ID],Таблица1[[#This Row],[Order ID]])</f>
        <v>0.25</v>
      </c>
      <c r="Z2575" s="9">
        <f>1/COUNTIFS(Таблица1[Customer Name],Таблица1[[#This Row],[Customer Name]],Таблица1[Order-Year-Month],Таблица1[[#This Row],[Order-Year-Month]])</f>
        <v>0.25</v>
      </c>
    </row>
    <row r="2576" spans="1:26" x14ac:dyDescent="0.2">
      <c r="A2576" s="6">
        <v>1435</v>
      </c>
      <c r="B2576" s="7">
        <v>10342</v>
      </c>
      <c r="C2576" s="8">
        <f>DATE(2012,12,31)-405</f>
        <v>40869</v>
      </c>
      <c r="D2576" s="8" t="str">
        <f t="shared" si="50"/>
        <v>2011-11 (ноябрь 2011)</v>
      </c>
      <c r="E2576" s="9" t="s">
        <v>63</v>
      </c>
      <c r="F2576" s="7">
        <v>2</v>
      </c>
      <c r="G2576" s="7">
        <v>2055.9699999999998</v>
      </c>
      <c r="H2576" s="7">
        <v>0.05</v>
      </c>
      <c r="I2576" s="9" t="s">
        <v>56</v>
      </c>
      <c r="J2576" s="10">
        <v>-2342.0052000000001</v>
      </c>
      <c r="K2576" s="11">
        <v>999.99</v>
      </c>
      <c r="L2576" s="11">
        <v>13.99</v>
      </c>
      <c r="M2576" s="9" t="s">
        <v>1423</v>
      </c>
      <c r="N2576" s="6" t="s">
        <v>1123</v>
      </c>
      <c r="O2576" s="6" t="s">
        <v>1123</v>
      </c>
      <c r="P2576" s="9" t="s">
        <v>33</v>
      </c>
      <c r="Q2576" s="9" t="s">
        <v>42</v>
      </c>
      <c r="R2576" s="9" t="s">
        <v>210</v>
      </c>
      <c r="S2576" s="7" t="s">
        <v>1426</v>
      </c>
      <c r="T2576" s="9" t="s">
        <v>48</v>
      </c>
      <c r="U2576" s="7">
        <v>0.36</v>
      </c>
      <c r="V2576" s="12">
        <f>C2576+2</f>
        <v>40871</v>
      </c>
      <c r="W2576">
        <f>IF(D2576=' Pivot Tables'!$A$4,1,0)</f>
        <v>0</v>
      </c>
      <c r="X2576">
        <f>IF(AND(LEFT(D2576,4)+1=LEFT(' Pivot Tables'!$A$4,4)+0,RIGHT(LEFT(D2576,7),2)=RIGHT(LEFT(' Pivot Tables'!$A$4,7),2)),1,0)</f>
        <v>0</v>
      </c>
      <c r="Y2576" s="6">
        <f>1/COUNTIF(Таблица1[Order ID],Таблица1[[#This Row],[Order ID]])</f>
        <v>0.25</v>
      </c>
      <c r="Z2576" s="9">
        <f>1/COUNTIFS(Таблица1[Customer Name],Таблица1[[#This Row],[Customer Name]],Таблица1[Order-Year-Month],Таблица1[[#This Row],[Order-Year-Month]])</f>
        <v>0.25</v>
      </c>
    </row>
    <row r="2577" spans="1:26" x14ac:dyDescent="0.2">
      <c r="A2577" s="6">
        <v>1441</v>
      </c>
      <c r="B2577" s="7">
        <v>10434</v>
      </c>
      <c r="C2577" s="8">
        <f>DATE(2012,12,31)-1104</f>
        <v>40170</v>
      </c>
      <c r="D2577" s="8" t="str">
        <f t="shared" si="50"/>
        <v>2009-12 (декабрь 2009)</v>
      </c>
      <c r="E2577" s="9" t="s">
        <v>30</v>
      </c>
      <c r="F2577" s="7">
        <v>2</v>
      </c>
      <c r="G2577" s="7">
        <v>383.45</v>
      </c>
      <c r="H2577" s="7">
        <v>0.06</v>
      </c>
      <c r="I2577" s="9" t="s">
        <v>31</v>
      </c>
      <c r="J2577" s="10">
        <v>-244.47</v>
      </c>
      <c r="K2577" s="11">
        <v>180.98</v>
      </c>
      <c r="L2577" s="11">
        <v>26.2</v>
      </c>
      <c r="M2577" s="9" t="s">
        <v>1423</v>
      </c>
      <c r="N2577" s="6" t="s">
        <v>1123</v>
      </c>
      <c r="O2577" s="6" t="s">
        <v>1123</v>
      </c>
      <c r="P2577" s="9" t="s">
        <v>25</v>
      </c>
      <c r="Q2577" s="9" t="s">
        <v>49</v>
      </c>
      <c r="R2577" s="9" t="s">
        <v>112</v>
      </c>
      <c r="S2577" s="7" t="s">
        <v>263</v>
      </c>
      <c r="T2577" s="9" t="s">
        <v>36</v>
      </c>
      <c r="U2577" s="7">
        <v>0.59</v>
      </c>
      <c r="V2577" s="12">
        <f>C2577+1</f>
        <v>40171</v>
      </c>
      <c r="W2577">
        <f>IF(D2577=' Pivot Tables'!$A$4,1,0)</f>
        <v>0</v>
      </c>
      <c r="X2577">
        <f>IF(AND(LEFT(D2577,4)+1=LEFT(' Pivot Tables'!$A$4,4)+0,RIGHT(LEFT(D2577,7),2)=RIGHT(LEFT(' Pivot Tables'!$A$4,7),2)),1,0)</f>
        <v>0</v>
      </c>
      <c r="Y2577" s="6">
        <f>1/COUNTIF(Таблица1[Order ID],Таблица1[[#This Row],[Order ID]])</f>
        <v>1</v>
      </c>
      <c r="Z2577" s="9">
        <f>1/COUNTIFS(Таблица1[Customer Name],Таблица1[[#This Row],[Customer Name]],Таблица1[Order-Year-Month],Таблица1[[#This Row],[Order-Year-Month]])</f>
        <v>0.5</v>
      </c>
    </row>
    <row r="2578" spans="1:26" x14ac:dyDescent="0.2">
      <c r="A2578" s="6">
        <v>1532</v>
      </c>
      <c r="B2578" s="7">
        <v>11040</v>
      </c>
      <c r="C2578" s="8">
        <f>DATE(2012,12,31)-435</f>
        <v>40839</v>
      </c>
      <c r="D2578" s="8" t="str">
        <f t="shared" si="50"/>
        <v>2011-10 (октябрь 2011)</v>
      </c>
      <c r="E2578" s="9" t="s">
        <v>45</v>
      </c>
      <c r="F2578" s="7">
        <v>44</v>
      </c>
      <c r="G2578" s="7">
        <v>1102.28</v>
      </c>
      <c r="H2578" s="7">
        <v>0.03</v>
      </c>
      <c r="I2578" s="9" t="s">
        <v>22</v>
      </c>
      <c r="J2578" s="10">
        <v>389.61</v>
      </c>
      <c r="K2578" s="11">
        <v>23.99</v>
      </c>
      <c r="L2578" s="11">
        <v>6.71</v>
      </c>
      <c r="M2578" s="9" t="s">
        <v>1427</v>
      </c>
      <c r="N2578" s="6" t="s">
        <v>1123</v>
      </c>
      <c r="O2578" s="6" t="s">
        <v>1123</v>
      </c>
      <c r="P2578" s="9" t="s">
        <v>41</v>
      </c>
      <c r="Q2578" s="9" t="s">
        <v>26</v>
      </c>
      <c r="R2578" s="9" t="s">
        <v>76</v>
      </c>
      <c r="S2578" s="7" t="s">
        <v>318</v>
      </c>
      <c r="T2578" s="9" t="s">
        <v>39</v>
      </c>
      <c r="U2578" s="7">
        <v>0.35</v>
      </c>
      <c r="V2578" s="12">
        <f>C2578+0</f>
        <v>40839</v>
      </c>
      <c r="W2578">
        <f>IF(D2578=' Pivot Tables'!$A$4,1,0)</f>
        <v>0</v>
      </c>
      <c r="X2578">
        <f>IF(AND(LEFT(D2578,4)+1=LEFT(' Pivot Tables'!$A$4,4)+0,RIGHT(LEFT(D2578,7),2)=RIGHT(LEFT(' Pivot Tables'!$A$4,7),2)),1,0)</f>
        <v>0</v>
      </c>
      <c r="Y2578" s="6">
        <f>1/COUNTIF(Таблица1[Order ID],Таблица1[[#This Row],[Order ID]])</f>
        <v>1</v>
      </c>
      <c r="Z2578" s="9">
        <f>1/COUNTIFS(Таблица1[Customer Name],Таблица1[[#This Row],[Customer Name]],Таблица1[Order-Year-Month],Таблица1[[#This Row],[Order-Year-Month]])</f>
        <v>1</v>
      </c>
    </row>
    <row r="2579" spans="1:26" x14ac:dyDescent="0.2">
      <c r="A2579" s="6">
        <v>1566</v>
      </c>
      <c r="B2579" s="7">
        <v>11302</v>
      </c>
      <c r="C2579" s="8">
        <f>DATE(2012,12,31)-1401</f>
        <v>39873</v>
      </c>
      <c r="D2579" s="8" t="str">
        <f t="shared" si="50"/>
        <v>2009-03 (март 2009)</v>
      </c>
      <c r="E2579" s="9" t="s">
        <v>21</v>
      </c>
      <c r="F2579" s="7">
        <v>10</v>
      </c>
      <c r="G2579" s="7">
        <v>866.66</v>
      </c>
      <c r="H2579" s="7">
        <v>0.09</v>
      </c>
      <c r="I2579" s="9" t="s">
        <v>31</v>
      </c>
      <c r="J2579" s="10">
        <v>35.290000000000049</v>
      </c>
      <c r="K2579" s="11">
        <v>90.97</v>
      </c>
      <c r="L2579" s="11">
        <v>14</v>
      </c>
      <c r="M2579" s="9" t="s">
        <v>1428</v>
      </c>
      <c r="N2579" s="6" t="s">
        <v>1123</v>
      </c>
      <c r="O2579" s="6" t="s">
        <v>1123</v>
      </c>
      <c r="P2579" s="9" t="s">
        <v>60</v>
      </c>
      <c r="Q2579" s="9" t="s">
        <v>42</v>
      </c>
      <c r="R2579" s="9" t="s">
        <v>210</v>
      </c>
      <c r="S2579" s="7" t="s">
        <v>772</v>
      </c>
      <c r="T2579" s="9" t="s">
        <v>36</v>
      </c>
      <c r="U2579" s="7">
        <v>0.36</v>
      </c>
      <c r="V2579" s="12">
        <f>C2579+2</f>
        <v>39875</v>
      </c>
      <c r="W2579">
        <f>IF(D2579=' Pivot Tables'!$A$4,1,0)</f>
        <v>0</v>
      </c>
      <c r="X2579">
        <f>IF(AND(LEFT(D2579,4)+1=LEFT(' Pivot Tables'!$A$4,4)+0,RIGHT(LEFT(D2579,7),2)=RIGHT(LEFT(' Pivot Tables'!$A$4,7),2)),1,0)</f>
        <v>0</v>
      </c>
      <c r="Y2579" s="6">
        <f>1/COUNTIF(Таблица1[Order ID],Таблица1[[#This Row],[Order ID]])</f>
        <v>1</v>
      </c>
      <c r="Z2579" s="9">
        <f>1/COUNTIFS(Таблица1[Customer Name],Таблица1[[#This Row],[Customer Name]],Таблица1[Order-Year-Month],Таблица1[[#This Row],[Order-Year-Month]])</f>
        <v>1</v>
      </c>
    </row>
    <row r="2580" spans="1:26" x14ac:dyDescent="0.2">
      <c r="A2580" s="6">
        <v>1577</v>
      </c>
      <c r="B2580" s="7">
        <v>11398</v>
      </c>
      <c r="C2580" s="8">
        <f>DATE(2012,12,31)-147</f>
        <v>41127</v>
      </c>
      <c r="D2580" s="8" t="str">
        <f t="shared" si="50"/>
        <v>2012-08 (август 2012)</v>
      </c>
      <c r="E2580" s="9" t="s">
        <v>30</v>
      </c>
      <c r="F2580" s="7">
        <v>16</v>
      </c>
      <c r="G2580" s="7">
        <v>109.7</v>
      </c>
      <c r="H2580" s="7">
        <v>0.03</v>
      </c>
      <c r="I2580" s="9" t="s">
        <v>22</v>
      </c>
      <c r="J2580" s="10">
        <v>-106.77</v>
      </c>
      <c r="K2580" s="11">
        <v>5.98</v>
      </c>
      <c r="L2580" s="11">
        <v>10.39</v>
      </c>
      <c r="M2580" s="9" t="s">
        <v>1429</v>
      </c>
      <c r="N2580" s="6" t="s">
        <v>1123</v>
      </c>
      <c r="O2580" s="6" t="s">
        <v>1123</v>
      </c>
      <c r="P2580" s="9" t="s">
        <v>60</v>
      </c>
      <c r="Q2580" s="9" t="s">
        <v>26</v>
      </c>
      <c r="R2580" s="9" t="s">
        <v>61</v>
      </c>
      <c r="S2580" s="7" t="s">
        <v>1430</v>
      </c>
      <c r="T2580" s="9" t="s">
        <v>39</v>
      </c>
      <c r="U2580" s="7">
        <v>0.4</v>
      </c>
      <c r="V2580" s="12">
        <f>C2580+1</f>
        <v>41128</v>
      </c>
      <c r="W2580">
        <f>IF(D2580=' Pivot Tables'!$A$4,1,0)</f>
        <v>0</v>
      </c>
      <c r="X2580">
        <f>IF(AND(LEFT(D2580,4)+1=LEFT(' Pivot Tables'!$A$4,4)+0,RIGHT(LEFT(D2580,7),2)=RIGHT(LEFT(' Pivot Tables'!$A$4,7),2)),1,0)</f>
        <v>0</v>
      </c>
      <c r="Y2580" s="6">
        <f>1/COUNTIF(Таблица1[Order ID],Таблица1[[#This Row],[Order ID]])</f>
        <v>0.5</v>
      </c>
      <c r="Z2580" s="9">
        <f>1/COUNTIFS(Таблица1[Customer Name],Таблица1[[#This Row],[Customer Name]],Таблица1[Order-Year-Month],Таблица1[[#This Row],[Order-Year-Month]])</f>
        <v>0.5</v>
      </c>
    </row>
    <row r="2581" spans="1:26" x14ac:dyDescent="0.2">
      <c r="A2581" s="6">
        <v>1578</v>
      </c>
      <c r="B2581" s="7">
        <v>11398</v>
      </c>
      <c r="C2581" s="8">
        <f>DATE(2012,12,31)-147</f>
        <v>41127</v>
      </c>
      <c r="D2581" s="8" t="str">
        <f t="shared" si="50"/>
        <v>2012-08 (август 2012)</v>
      </c>
      <c r="E2581" s="9" t="s">
        <v>30</v>
      </c>
      <c r="F2581" s="7">
        <v>26</v>
      </c>
      <c r="G2581" s="7">
        <v>80.89</v>
      </c>
      <c r="H2581" s="7">
        <v>0.03</v>
      </c>
      <c r="I2581" s="9" t="s">
        <v>22</v>
      </c>
      <c r="J2581" s="10">
        <v>23.37</v>
      </c>
      <c r="K2581" s="11">
        <v>2.94</v>
      </c>
      <c r="L2581" s="11">
        <v>0.81</v>
      </c>
      <c r="M2581" s="9" t="s">
        <v>1429</v>
      </c>
      <c r="N2581" s="6" t="s">
        <v>1123</v>
      </c>
      <c r="O2581" s="6" t="s">
        <v>1123</v>
      </c>
      <c r="P2581" s="9" t="s">
        <v>60</v>
      </c>
      <c r="Q2581" s="9" t="s">
        <v>26</v>
      </c>
      <c r="R2581" s="9" t="s">
        <v>95</v>
      </c>
      <c r="S2581" s="7" t="s">
        <v>1130</v>
      </c>
      <c r="T2581" s="9" t="s">
        <v>68</v>
      </c>
      <c r="U2581" s="7">
        <v>0.4</v>
      </c>
      <c r="V2581" s="12">
        <f>C2581+2</f>
        <v>41129</v>
      </c>
      <c r="W2581">
        <f>IF(D2581=' Pivot Tables'!$A$4,1,0)</f>
        <v>0</v>
      </c>
      <c r="X2581">
        <f>IF(AND(LEFT(D2581,4)+1=LEFT(' Pivot Tables'!$A$4,4)+0,RIGHT(LEFT(D2581,7),2)=RIGHT(LEFT(' Pivot Tables'!$A$4,7),2)),1,0)</f>
        <v>0</v>
      </c>
      <c r="Y2581" s="6">
        <f>1/COUNTIF(Таблица1[Order ID],Таблица1[[#This Row],[Order ID]])</f>
        <v>0.5</v>
      </c>
      <c r="Z2581" s="9">
        <f>1/COUNTIFS(Таблица1[Customer Name],Таблица1[[#This Row],[Customer Name]],Таблица1[Order-Year-Month],Таблица1[[#This Row],[Order-Year-Month]])</f>
        <v>0.5</v>
      </c>
    </row>
    <row r="2582" spans="1:26" x14ac:dyDescent="0.2">
      <c r="A2582" s="6">
        <v>1599</v>
      </c>
      <c r="B2582" s="7">
        <v>11584</v>
      </c>
      <c r="C2582" s="8">
        <f>DATE(2012,12,31)-1135</f>
        <v>40139</v>
      </c>
      <c r="D2582" s="8" t="str">
        <f t="shared" si="50"/>
        <v>2009-11 (ноябрь 2009)</v>
      </c>
      <c r="E2582" s="9" t="s">
        <v>63</v>
      </c>
      <c r="F2582" s="7">
        <v>48</v>
      </c>
      <c r="G2582" s="7">
        <v>1497.3174999999999</v>
      </c>
      <c r="H2582" s="7">
        <v>0.01</v>
      </c>
      <c r="I2582" s="9" t="s">
        <v>22</v>
      </c>
      <c r="J2582" s="10">
        <v>836.505</v>
      </c>
      <c r="K2582" s="11">
        <v>35.99</v>
      </c>
      <c r="L2582" s="11">
        <v>0.99</v>
      </c>
      <c r="M2582" s="9" t="s">
        <v>1420</v>
      </c>
      <c r="N2582" s="6" t="s">
        <v>1123</v>
      </c>
      <c r="O2582" s="6" t="s">
        <v>1123</v>
      </c>
      <c r="P2582" s="9" t="s">
        <v>25</v>
      </c>
      <c r="Q2582" s="9" t="s">
        <v>42</v>
      </c>
      <c r="R2582" s="9" t="s">
        <v>43</v>
      </c>
      <c r="S2582" s="7" t="s">
        <v>437</v>
      </c>
      <c r="T2582" s="9" t="s">
        <v>52</v>
      </c>
      <c r="U2582" s="7">
        <v>0.35</v>
      </c>
      <c r="V2582" s="12">
        <f>C2582+1</f>
        <v>40140</v>
      </c>
      <c r="W2582">
        <f>IF(D2582=' Pivot Tables'!$A$4,1,0)</f>
        <v>0</v>
      </c>
      <c r="X2582">
        <f>IF(AND(LEFT(D2582,4)+1=LEFT(' Pivot Tables'!$A$4,4)+0,RIGHT(LEFT(D2582,7),2)=RIGHT(LEFT(' Pivot Tables'!$A$4,7),2)),1,0)</f>
        <v>0</v>
      </c>
      <c r="Y2582" s="6">
        <f>1/COUNTIF(Таблица1[Order ID],Таблица1[[#This Row],[Order ID]])</f>
        <v>1</v>
      </c>
      <c r="Z2582" s="9">
        <f>1/COUNTIFS(Таблица1[Customer Name],Таблица1[[#This Row],[Customer Name]],Таблица1[Order-Year-Month],Таблица1[[#This Row],[Order-Year-Month]])</f>
        <v>1</v>
      </c>
    </row>
    <row r="2583" spans="1:26" x14ac:dyDescent="0.2">
      <c r="A2583" s="6">
        <v>1607</v>
      </c>
      <c r="B2583" s="7">
        <v>11652</v>
      </c>
      <c r="C2583" s="8">
        <f>DATE(2012,12,31)-417</f>
        <v>40857</v>
      </c>
      <c r="D2583" s="8" t="str">
        <f t="shared" si="50"/>
        <v>2011-11 (ноябрь 2011)</v>
      </c>
      <c r="E2583" s="9" t="s">
        <v>45</v>
      </c>
      <c r="F2583" s="7">
        <v>35</v>
      </c>
      <c r="G2583" s="7">
        <v>1154.1400000000001</v>
      </c>
      <c r="H2583" s="7">
        <v>7.0000000000000007E-2</v>
      </c>
      <c r="I2583" s="9" t="s">
        <v>22</v>
      </c>
      <c r="J2583" s="10">
        <v>-36</v>
      </c>
      <c r="K2583" s="11">
        <v>32.979999999999997</v>
      </c>
      <c r="L2583" s="11">
        <v>5.5</v>
      </c>
      <c r="M2583" s="9" t="s">
        <v>1413</v>
      </c>
      <c r="N2583" s="6" t="s">
        <v>1123</v>
      </c>
      <c r="O2583" s="6" t="s">
        <v>1123</v>
      </c>
      <c r="P2583" s="9" t="s">
        <v>60</v>
      </c>
      <c r="Q2583" s="9" t="s">
        <v>42</v>
      </c>
      <c r="R2583" s="9" t="s">
        <v>70</v>
      </c>
      <c r="S2583" s="7" t="s">
        <v>403</v>
      </c>
      <c r="T2583" s="9" t="s">
        <v>39</v>
      </c>
      <c r="U2583" s="7">
        <v>0.75</v>
      </c>
      <c r="V2583" s="12">
        <f>C2583+1</f>
        <v>40858</v>
      </c>
      <c r="W2583">
        <f>IF(D2583=' Pivot Tables'!$A$4,1,0)</f>
        <v>0</v>
      </c>
      <c r="X2583">
        <f>IF(AND(LEFT(D2583,4)+1=LEFT(' Pivot Tables'!$A$4,4)+0,RIGHT(LEFT(D2583,7),2)=RIGHT(LEFT(' Pivot Tables'!$A$4,7),2)),1,0)</f>
        <v>0</v>
      </c>
      <c r="Y2583" s="6">
        <f>1/COUNTIF(Таблица1[Order ID],Таблица1[[#This Row],[Order ID]])</f>
        <v>0.25</v>
      </c>
      <c r="Z2583" s="9">
        <f>1/COUNTIFS(Таблица1[Customer Name],Таблица1[[#This Row],[Customer Name]],Таблица1[Order-Year-Month],Таблица1[[#This Row],[Order-Year-Month]])</f>
        <v>0.25</v>
      </c>
    </row>
    <row r="2584" spans="1:26" x14ac:dyDescent="0.2">
      <c r="A2584" s="6">
        <v>1608</v>
      </c>
      <c r="B2584" s="7">
        <v>11652</v>
      </c>
      <c r="C2584" s="8">
        <f>DATE(2012,12,31)-417</f>
        <v>40857</v>
      </c>
      <c r="D2584" s="8" t="str">
        <f t="shared" si="50"/>
        <v>2011-11 (ноябрь 2011)</v>
      </c>
      <c r="E2584" s="9" t="s">
        <v>45</v>
      </c>
      <c r="F2584" s="7">
        <v>37</v>
      </c>
      <c r="G2584" s="7">
        <v>223.82</v>
      </c>
      <c r="H2584" s="7">
        <v>0.09</v>
      </c>
      <c r="I2584" s="9" t="s">
        <v>22</v>
      </c>
      <c r="J2584" s="10">
        <v>-249.11</v>
      </c>
      <c r="K2584" s="11">
        <v>5.98</v>
      </c>
      <c r="L2584" s="11">
        <v>10.39</v>
      </c>
      <c r="M2584" s="9" t="s">
        <v>1413</v>
      </c>
      <c r="N2584" s="6" t="s">
        <v>1123</v>
      </c>
      <c r="O2584" s="6" t="s">
        <v>1123</v>
      </c>
      <c r="P2584" s="9" t="s">
        <v>60</v>
      </c>
      <c r="Q2584" s="9" t="s">
        <v>26</v>
      </c>
      <c r="R2584" s="9" t="s">
        <v>61</v>
      </c>
      <c r="S2584" s="7" t="s">
        <v>1430</v>
      </c>
      <c r="T2584" s="9" t="s">
        <v>39</v>
      </c>
      <c r="U2584" s="7">
        <v>0.4</v>
      </c>
      <c r="V2584" s="12">
        <f>C2584+1</f>
        <v>40858</v>
      </c>
      <c r="W2584">
        <f>IF(D2584=' Pivot Tables'!$A$4,1,0)</f>
        <v>0</v>
      </c>
      <c r="X2584">
        <f>IF(AND(LEFT(D2584,4)+1=LEFT(' Pivot Tables'!$A$4,4)+0,RIGHT(LEFT(D2584,7),2)=RIGHT(LEFT(' Pivot Tables'!$A$4,7),2)),1,0)</f>
        <v>0</v>
      </c>
      <c r="Y2584" s="6">
        <f>1/COUNTIF(Таблица1[Order ID],Таблица1[[#This Row],[Order ID]])</f>
        <v>0.25</v>
      </c>
      <c r="Z2584" s="9">
        <f>1/COUNTIFS(Таблица1[Customer Name],Таблица1[[#This Row],[Customer Name]],Таблица1[Order-Year-Month],Таблица1[[#This Row],[Order-Year-Month]])</f>
        <v>0.25</v>
      </c>
    </row>
    <row r="2585" spans="1:26" x14ac:dyDescent="0.2">
      <c r="A2585" s="6">
        <v>1609</v>
      </c>
      <c r="B2585" s="7">
        <v>11652</v>
      </c>
      <c r="C2585" s="8">
        <f>DATE(2012,12,31)-417</f>
        <v>40857</v>
      </c>
      <c r="D2585" s="8" t="str">
        <f t="shared" si="50"/>
        <v>2011-11 (ноябрь 2011)</v>
      </c>
      <c r="E2585" s="9" t="s">
        <v>45</v>
      </c>
      <c r="F2585" s="7">
        <v>1</v>
      </c>
      <c r="G2585" s="7">
        <v>61.463500000000003</v>
      </c>
      <c r="H2585" s="7">
        <v>0.05</v>
      </c>
      <c r="I2585" s="9" t="s">
        <v>22</v>
      </c>
      <c r="J2585" s="10">
        <v>-261.34899999999999</v>
      </c>
      <c r="K2585" s="11">
        <v>65.989999999999995</v>
      </c>
      <c r="L2585" s="11">
        <v>8.99</v>
      </c>
      <c r="M2585" s="9" t="s">
        <v>1413</v>
      </c>
      <c r="N2585" s="6" t="s">
        <v>1123</v>
      </c>
      <c r="O2585" s="6" t="s">
        <v>1123</v>
      </c>
      <c r="P2585" s="9" t="s">
        <v>60</v>
      </c>
      <c r="Q2585" s="9" t="s">
        <v>42</v>
      </c>
      <c r="R2585" s="9" t="s">
        <v>43</v>
      </c>
      <c r="S2585" s="7" t="s">
        <v>534</v>
      </c>
      <c r="T2585" s="9" t="s">
        <v>39</v>
      </c>
      <c r="U2585" s="7">
        <v>0.56000000000000005</v>
      </c>
      <c r="V2585" s="12">
        <f>C2585+2</f>
        <v>40859</v>
      </c>
      <c r="W2585">
        <f>IF(D2585=' Pivot Tables'!$A$4,1,0)</f>
        <v>0</v>
      </c>
      <c r="X2585">
        <f>IF(AND(LEFT(D2585,4)+1=LEFT(' Pivot Tables'!$A$4,4)+0,RIGHT(LEFT(D2585,7),2)=RIGHT(LEFT(' Pivot Tables'!$A$4,7),2)),1,0)</f>
        <v>0</v>
      </c>
      <c r="Y2585" s="6">
        <f>1/COUNTIF(Таблица1[Order ID],Таблица1[[#This Row],[Order ID]])</f>
        <v>0.25</v>
      </c>
      <c r="Z2585" s="9">
        <f>1/COUNTIFS(Таблица1[Customer Name],Таблица1[[#This Row],[Customer Name]],Таблица1[Order-Year-Month],Таблица1[[#This Row],[Order-Year-Month]])</f>
        <v>0.25</v>
      </c>
    </row>
    <row r="2586" spans="1:26" x14ac:dyDescent="0.2">
      <c r="A2586" s="6">
        <v>1610</v>
      </c>
      <c r="B2586" s="7">
        <v>11652</v>
      </c>
      <c r="C2586" s="8">
        <f>DATE(2012,12,31)-417</f>
        <v>40857</v>
      </c>
      <c r="D2586" s="8" t="str">
        <f t="shared" si="50"/>
        <v>2011-11 (ноябрь 2011)</v>
      </c>
      <c r="E2586" s="9" t="s">
        <v>45</v>
      </c>
      <c r="F2586" s="7">
        <v>25</v>
      </c>
      <c r="G2586" s="7">
        <v>122.09</v>
      </c>
      <c r="H2586" s="7">
        <v>0.1</v>
      </c>
      <c r="I2586" s="9" t="s">
        <v>22</v>
      </c>
      <c r="J2586" s="10">
        <v>14.11</v>
      </c>
      <c r="K2586" s="11">
        <v>5.18</v>
      </c>
      <c r="L2586" s="11">
        <v>2.04</v>
      </c>
      <c r="M2586" s="9" t="s">
        <v>1413</v>
      </c>
      <c r="N2586" s="6" t="s">
        <v>1123</v>
      </c>
      <c r="O2586" s="6" t="s">
        <v>1123</v>
      </c>
      <c r="P2586" s="9" t="s">
        <v>60</v>
      </c>
      <c r="Q2586" s="9" t="s">
        <v>26</v>
      </c>
      <c r="R2586" s="9" t="s">
        <v>61</v>
      </c>
      <c r="S2586" s="7" t="s">
        <v>391</v>
      </c>
      <c r="T2586" s="9" t="s">
        <v>68</v>
      </c>
      <c r="U2586" s="7">
        <v>0.36</v>
      </c>
      <c r="V2586" s="12">
        <f>C2586+2</f>
        <v>40859</v>
      </c>
      <c r="W2586">
        <f>IF(D2586=' Pivot Tables'!$A$4,1,0)</f>
        <v>0</v>
      </c>
      <c r="X2586">
        <f>IF(AND(LEFT(D2586,4)+1=LEFT(' Pivot Tables'!$A$4,4)+0,RIGHT(LEFT(D2586,7),2)=RIGHT(LEFT(' Pivot Tables'!$A$4,7),2)),1,0)</f>
        <v>0</v>
      </c>
      <c r="Y2586" s="6">
        <f>1/COUNTIF(Таблица1[Order ID],Таблица1[[#This Row],[Order ID]])</f>
        <v>0.25</v>
      </c>
      <c r="Z2586" s="9">
        <f>1/COUNTIFS(Таблица1[Customer Name],Таблица1[[#This Row],[Customer Name]],Таблица1[Order-Year-Month],Таблица1[[#This Row],[Order-Year-Month]])</f>
        <v>0.25</v>
      </c>
    </row>
    <row r="2587" spans="1:26" x14ac:dyDescent="0.2">
      <c r="A2587" s="6">
        <v>1615</v>
      </c>
      <c r="B2587" s="7">
        <v>11686</v>
      </c>
      <c r="C2587" s="8">
        <f>DATE(2012,12,31)-1434</f>
        <v>39840</v>
      </c>
      <c r="D2587" s="8" t="str">
        <f t="shared" si="50"/>
        <v>2009-01 (январь 2009)</v>
      </c>
      <c r="E2587" s="9" t="s">
        <v>45</v>
      </c>
      <c r="F2587" s="7">
        <v>38</v>
      </c>
      <c r="G2587" s="7">
        <v>6121.1984999999995</v>
      </c>
      <c r="H2587" s="7">
        <v>0.08</v>
      </c>
      <c r="I2587" s="9" t="s">
        <v>22</v>
      </c>
      <c r="J2587" s="10">
        <v>1312.3440000000001</v>
      </c>
      <c r="K2587" s="11">
        <v>205.99</v>
      </c>
      <c r="L2587" s="11">
        <v>2.5</v>
      </c>
      <c r="M2587" s="9" t="s">
        <v>1410</v>
      </c>
      <c r="N2587" s="6" t="s">
        <v>1123</v>
      </c>
      <c r="O2587" s="6" t="s">
        <v>1123</v>
      </c>
      <c r="P2587" s="9" t="s">
        <v>60</v>
      </c>
      <c r="Q2587" s="9" t="s">
        <v>42</v>
      </c>
      <c r="R2587" s="9" t="s">
        <v>43</v>
      </c>
      <c r="S2587" s="7" t="s">
        <v>1431</v>
      </c>
      <c r="T2587" s="9" t="s">
        <v>39</v>
      </c>
      <c r="U2587" s="7">
        <v>0.59</v>
      </c>
      <c r="V2587" s="12">
        <f>C2587+1</f>
        <v>39841</v>
      </c>
      <c r="W2587">
        <f>IF(D2587=' Pivot Tables'!$A$4,1,0)</f>
        <v>0</v>
      </c>
      <c r="X2587">
        <f>IF(AND(LEFT(D2587,4)+1=LEFT(' Pivot Tables'!$A$4,4)+0,RIGHT(LEFT(D2587,7),2)=RIGHT(LEFT(' Pivot Tables'!$A$4,7),2)),1,0)</f>
        <v>1</v>
      </c>
      <c r="Y2587" s="6">
        <f>1/COUNTIF(Таблица1[Order ID],Таблица1[[#This Row],[Order ID]])</f>
        <v>1</v>
      </c>
      <c r="Z2587" s="9">
        <f>1/COUNTIFS(Таблица1[Customer Name],Таблица1[[#This Row],[Customer Name]],Таблица1[Order-Year-Month],Таблица1[[#This Row],[Order-Year-Month]])</f>
        <v>0.5</v>
      </c>
    </row>
    <row r="2588" spans="1:26" x14ac:dyDescent="0.2">
      <c r="A2588" s="6">
        <v>1940</v>
      </c>
      <c r="B2588" s="7">
        <v>13895</v>
      </c>
      <c r="C2588" s="8">
        <f>DATE(2012,12,31)-772</f>
        <v>40502</v>
      </c>
      <c r="D2588" s="8" t="str">
        <f t="shared" si="50"/>
        <v>2010-11 (ноябрь 2010)</v>
      </c>
      <c r="E2588" s="9" t="s">
        <v>30</v>
      </c>
      <c r="F2588" s="7">
        <v>44</v>
      </c>
      <c r="G2588" s="7">
        <v>614.34</v>
      </c>
      <c r="H2588" s="7">
        <v>0.02</v>
      </c>
      <c r="I2588" s="9" t="s">
        <v>22</v>
      </c>
      <c r="J2588" s="10">
        <v>-171.7</v>
      </c>
      <c r="K2588" s="11">
        <v>14.03</v>
      </c>
      <c r="L2588" s="11">
        <v>9.3699999999999992</v>
      </c>
      <c r="M2588" s="9" t="s">
        <v>1423</v>
      </c>
      <c r="N2588" s="6" t="s">
        <v>1123</v>
      </c>
      <c r="O2588" s="6" t="s">
        <v>1123</v>
      </c>
      <c r="P2588" s="9" t="s">
        <v>25</v>
      </c>
      <c r="Q2588" s="9" t="s">
        <v>26</v>
      </c>
      <c r="R2588" s="9" t="s">
        <v>27</v>
      </c>
      <c r="S2588" s="7" t="s">
        <v>733</v>
      </c>
      <c r="T2588" s="9" t="s">
        <v>39</v>
      </c>
      <c r="U2588" s="7">
        <v>0.56000000000000005</v>
      </c>
      <c r="V2588" s="12">
        <f>C2588+0</f>
        <v>40502</v>
      </c>
      <c r="W2588">
        <f>IF(D2588=' Pivot Tables'!$A$4,1,0)</f>
        <v>0</v>
      </c>
      <c r="X2588">
        <f>IF(AND(LEFT(D2588,4)+1=LEFT(' Pivot Tables'!$A$4,4)+0,RIGHT(LEFT(D2588,7),2)=RIGHT(LEFT(' Pivot Tables'!$A$4,7),2)),1,0)</f>
        <v>0</v>
      </c>
      <c r="Y2588" s="6">
        <f>1/COUNTIF(Таблица1[Order ID],Таблица1[[#This Row],[Order ID]])</f>
        <v>1</v>
      </c>
      <c r="Z2588" s="9">
        <f>1/COUNTIFS(Таблица1[Customer Name],Таблица1[[#This Row],[Customer Name]],Таблица1[Order-Year-Month],Таблица1[[#This Row],[Order-Year-Month]])</f>
        <v>1</v>
      </c>
    </row>
    <row r="2589" spans="1:26" x14ac:dyDescent="0.2">
      <c r="A2589" s="6">
        <v>2072</v>
      </c>
      <c r="B2589" s="7">
        <v>14820</v>
      </c>
      <c r="C2589" s="8">
        <f>DATE(2012,12,31)-357</f>
        <v>40917</v>
      </c>
      <c r="D2589" s="8" t="str">
        <f t="shared" si="50"/>
        <v>2012-01 (январь 2012)</v>
      </c>
      <c r="E2589" s="9" t="s">
        <v>30</v>
      </c>
      <c r="F2589" s="7">
        <v>39</v>
      </c>
      <c r="G2589" s="7">
        <v>278.90199999999999</v>
      </c>
      <c r="H2589" s="7">
        <v>0.04</v>
      </c>
      <c r="I2589" s="9" t="s">
        <v>56</v>
      </c>
      <c r="J2589" s="10">
        <v>-104.467</v>
      </c>
      <c r="K2589" s="11">
        <v>7.99</v>
      </c>
      <c r="L2589" s="11">
        <v>5.03</v>
      </c>
      <c r="M2589" s="9" t="s">
        <v>1410</v>
      </c>
      <c r="N2589" s="6" t="s">
        <v>1123</v>
      </c>
      <c r="O2589" s="6" t="s">
        <v>1123</v>
      </c>
      <c r="P2589" s="9" t="s">
        <v>60</v>
      </c>
      <c r="Q2589" s="9" t="s">
        <v>42</v>
      </c>
      <c r="R2589" s="9" t="s">
        <v>43</v>
      </c>
      <c r="S2589" s="7" t="s">
        <v>140</v>
      </c>
      <c r="T2589" s="9" t="s">
        <v>48</v>
      </c>
      <c r="U2589" s="7">
        <v>0.6</v>
      </c>
      <c r="V2589" s="12">
        <f>C2589+2</f>
        <v>40919</v>
      </c>
      <c r="W2589">
        <f>IF(D2589=' Pivot Tables'!$A$4,1,0)</f>
        <v>0</v>
      </c>
      <c r="X2589">
        <f>IF(AND(LEFT(D2589,4)+1=LEFT(' Pivot Tables'!$A$4,4)+0,RIGHT(LEFT(D2589,7),2)=RIGHT(LEFT(' Pivot Tables'!$A$4,7),2)),1,0)</f>
        <v>0</v>
      </c>
      <c r="Y2589" s="6">
        <f>1/COUNTIF(Таблица1[Order ID],Таблица1[[#This Row],[Order ID]])</f>
        <v>1</v>
      </c>
      <c r="Z2589" s="9">
        <f>1/COUNTIFS(Таблица1[Customer Name],Таблица1[[#This Row],[Customer Name]],Таблица1[Order-Year-Month],Таблица1[[#This Row],[Order-Year-Month]])</f>
        <v>0.5</v>
      </c>
    </row>
    <row r="2590" spans="1:26" x14ac:dyDescent="0.2">
      <c r="A2590" s="6">
        <v>2127</v>
      </c>
      <c r="B2590" s="7">
        <v>15170</v>
      </c>
      <c r="C2590" s="8">
        <f>DATE(2012,12,31)-1384</f>
        <v>39890</v>
      </c>
      <c r="D2590" s="8" t="str">
        <f t="shared" si="50"/>
        <v>2009-03 (март 2009)</v>
      </c>
      <c r="E2590" s="9" t="s">
        <v>78</v>
      </c>
      <c r="F2590" s="7">
        <v>19</v>
      </c>
      <c r="G2590" s="7">
        <v>356.46449999999999</v>
      </c>
      <c r="H2590" s="7">
        <v>0.01</v>
      </c>
      <c r="I2590" s="9" t="s">
        <v>22</v>
      </c>
      <c r="J2590" s="10">
        <v>-9.1079999999999988</v>
      </c>
      <c r="K2590" s="11">
        <v>20.99</v>
      </c>
      <c r="L2590" s="11">
        <v>4.8099999999999996</v>
      </c>
      <c r="M2590" s="9" t="s">
        <v>1412</v>
      </c>
      <c r="N2590" s="6" t="s">
        <v>1123</v>
      </c>
      <c r="O2590" s="6" t="s">
        <v>1123</v>
      </c>
      <c r="P2590" s="9" t="s">
        <v>41</v>
      </c>
      <c r="Q2590" s="9" t="s">
        <v>42</v>
      </c>
      <c r="R2590" s="9" t="s">
        <v>43</v>
      </c>
      <c r="S2590" s="7" t="s">
        <v>760</v>
      </c>
      <c r="T2590" s="9" t="s">
        <v>48</v>
      </c>
      <c r="U2590" s="7">
        <v>0.57999999999999996</v>
      </c>
      <c r="V2590" s="12">
        <f>C2590+0</f>
        <v>39890</v>
      </c>
      <c r="W2590">
        <f>IF(D2590=' Pivot Tables'!$A$4,1,0)</f>
        <v>0</v>
      </c>
      <c r="X2590">
        <f>IF(AND(LEFT(D2590,4)+1=LEFT(' Pivot Tables'!$A$4,4)+0,RIGHT(LEFT(D2590,7),2)=RIGHT(LEFT(' Pivot Tables'!$A$4,7),2)),1,0)</f>
        <v>0</v>
      </c>
      <c r="Y2590" s="6">
        <f>1/COUNTIF(Таблица1[Order ID],Таблица1[[#This Row],[Order ID]])</f>
        <v>1</v>
      </c>
      <c r="Z2590" s="9">
        <f>1/COUNTIFS(Таблица1[Customer Name],Таблица1[[#This Row],[Customer Name]],Таблица1[Order-Year-Month],Таблица1[[#This Row],[Order-Year-Month]])</f>
        <v>1</v>
      </c>
    </row>
    <row r="2591" spans="1:26" x14ac:dyDescent="0.2">
      <c r="A2591" s="6">
        <v>2190</v>
      </c>
      <c r="B2591" s="7">
        <v>15780</v>
      </c>
      <c r="C2591" s="8">
        <f>DATE(2012,12,31)-628</f>
        <v>40646</v>
      </c>
      <c r="D2591" s="8" t="str">
        <f t="shared" si="50"/>
        <v>2011-04 (апрель 2011)</v>
      </c>
      <c r="E2591" s="9" t="s">
        <v>78</v>
      </c>
      <c r="F2591" s="7">
        <v>19</v>
      </c>
      <c r="G2591" s="7">
        <v>71.77</v>
      </c>
      <c r="H2591" s="7">
        <v>0.03</v>
      </c>
      <c r="I2591" s="9" t="s">
        <v>22</v>
      </c>
      <c r="J2591" s="10">
        <v>22.71</v>
      </c>
      <c r="K2591" s="11">
        <v>3.78</v>
      </c>
      <c r="L2591" s="11">
        <v>0.71</v>
      </c>
      <c r="M2591" s="9" t="s">
        <v>1412</v>
      </c>
      <c r="N2591" s="6" t="s">
        <v>1123</v>
      </c>
      <c r="O2591" s="6" t="s">
        <v>1123</v>
      </c>
      <c r="P2591" s="9" t="s">
        <v>41</v>
      </c>
      <c r="Q2591" s="9" t="s">
        <v>26</v>
      </c>
      <c r="R2591" s="9" t="s">
        <v>66</v>
      </c>
      <c r="S2591" s="7" t="s">
        <v>419</v>
      </c>
      <c r="T2591" s="9" t="s">
        <v>68</v>
      </c>
      <c r="U2591" s="7">
        <v>0.39</v>
      </c>
      <c r="V2591" s="12">
        <f>C2591+2</f>
        <v>40648</v>
      </c>
      <c r="W2591">
        <f>IF(D2591=' Pivot Tables'!$A$4,1,0)</f>
        <v>0</v>
      </c>
      <c r="X2591">
        <f>IF(AND(LEFT(D2591,4)+1=LEFT(' Pivot Tables'!$A$4,4)+0,RIGHT(LEFT(D2591,7),2)=RIGHT(LEFT(' Pivot Tables'!$A$4,7),2)),1,0)</f>
        <v>0</v>
      </c>
      <c r="Y2591" s="6">
        <f>1/COUNTIF(Таблица1[Order ID],Таблица1[[#This Row],[Order ID]])</f>
        <v>1</v>
      </c>
      <c r="Z2591" s="9">
        <f>1/COUNTIFS(Таблица1[Customer Name],Таблица1[[#This Row],[Customer Name]],Таблица1[Order-Year-Month],Таблица1[[#This Row],[Order-Year-Month]])</f>
        <v>1</v>
      </c>
    </row>
    <row r="2592" spans="1:26" x14ac:dyDescent="0.2">
      <c r="A2592" s="6">
        <v>2225</v>
      </c>
      <c r="B2592" s="7">
        <v>16098</v>
      </c>
      <c r="C2592" s="8">
        <f>DATE(2012,12,31)-163</f>
        <v>41111</v>
      </c>
      <c r="D2592" s="8" t="str">
        <f t="shared" si="50"/>
        <v>2012-07 (июль 2012)</v>
      </c>
      <c r="E2592" s="9" t="s">
        <v>21</v>
      </c>
      <c r="F2592" s="7">
        <v>31</v>
      </c>
      <c r="G2592" s="7">
        <v>480.43</v>
      </c>
      <c r="H2592" s="7">
        <v>0.06</v>
      </c>
      <c r="I2592" s="9" t="s">
        <v>22</v>
      </c>
      <c r="J2592" s="10">
        <v>50.59</v>
      </c>
      <c r="K2592" s="11">
        <v>14.98</v>
      </c>
      <c r="L2592" s="11">
        <v>8.99</v>
      </c>
      <c r="M2592" s="9" t="s">
        <v>1432</v>
      </c>
      <c r="N2592" s="6" t="s">
        <v>1123</v>
      </c>
      <c r="O2592" s="6" t="s">
        <v>1123</v>
      </c>
      <c r="P2592" s="9" t="s">
        <v>60</v>
      </c>
      <c r="Q2592" s="9" t="s">
        <v>49</v>
      </c>
      <c r="R2592" s="9" t="s">
        <v>50</v>
      </c>
      <c r="S2592" s="7" t="s">
        <v>332</v>
      </c>
      <c r="T2592" s="9" t="s">
        <v>52</v>
      </c>
      <c r="U2592" s="7">
        <v>0.39</v>
      </c>
      <c r="V2592" s="12">
        <f>C2592+4</f>
        <v>41115</v>
      </c>
      <c r="W2592">
        <f>IF(D2592=' Pivot Tables'!$A$4,1,0)</f>
        <v>0</v>
      </c>
      <c r="X2592">
        <f>IF(AND(LEFT(D2592,4)+1=LEFT(' Pivot Tables'!$A$4,4)+0,RIGHT(LEFT(D2592,7),2)=RIGHT(LEFT(' Pivot Tables'!$A$4,7),2)),1,0)</f>
        <v>0</v>
      </c>
      <c r="Y2592" s="6">
        <f>1/COUNTIF(Таблица1[Order ID],Таблица1[[#This Row],[Order ID]])</f>
        <v>0.5</v>
      </c>
      <c r="Z2592" s="9">
        <f>1/COUNTIFS(Таблица1[Customer Name],Таблица1[[#This Row],[Customer Name]],Таблица1[Order-Year-Month],Таблица1[[#This Row],[Order-Year-Month]])</f>
        <v>0.5</v>
      </c>
    </row>
    <row r="2593" spans="1:26" x14ac:dyDescent="0.2">
      <c r="A2593" s="6">
        <v>2229</v>
      </c>
      <c r="B2593" s="7">
        <v>16103</v>
      </c>
      <c r="C2593" s="8">
        <f>DATE(2012,12,31)-169</f>
        <v>41105</v>
      </c>
      <c r="D2593" s="8" t="str">
        <f t="shared" si="50"/>
        <v>2012-07 (июль 2012)</v>
      </c>
      <c r="E2593" s="9" t="s">
        <v>45</v>
      </c>
      <c r="F2593" s="7">
        <v>31</v>
      </c>
      <c r="G2593" s="7">
        <v>217.14</v>
      </c>
      <c r="H2593" s="7">
        <v>0</v>
      </c>
      <c r="I2593" s="9" t="s">
        <v>22</v>
      </c>
      <c r="J2593" s="10">
        <v>-62.97</v>
      </c>
      <c r="K2593" s="11">
        <v>6.48</v>
      </c>
      <c r="L2593" s="11">
        <v>6.22</v>
      </c>
      <c r="M2593" s="9" t="s">
        <v>1433</v>
      </c>
      <c r="N2593" s="6" t="s">
        <v>1123</v>
      </c>
      <c r="O2593" s="6" t="s">
        <v>1123</v>
      </c>
      <c r="P2593" s="9" t="s">
        <v>41</v>
      </c>
      <c r="Q2593" s="9" t="s">
        <v>26</v>
      </c>
      <c r="R2593" s="9" t="s">
        <v>61</v>
      </c>
      <c r="S2593" s="7" t="s">
        <v>943</v>
      </c>
      <c r="T2593" s="9" t="s">
        <v>39</v>
      </c>
      <c r="U2593" s="7">
        <v>0.37</v>
      </c>
      <c r="V2593" s="12">
        <f>C2593+2</f>
        <v>41107</v>
      </c>
      <c r="W2593">
        <f>IF(D2593=' Pivot Tables'!$A$4,1,0)</f>
        <v>0</v>
      </c>
      <c r="X2593">
        <f>IF(AND(LEFT(D2593,4)+1=LEFT(' Pivot Tables'!$A$4,4)+0,RIGHT(LEFT(D2593,7),2)=RIGHT(LEFT(' Pivot Tables'!$A$4,7),2)),1,0)</f>
        <v>0</v>
      </c>
      <c r="Y2593" s="6">
        <f>1/COUNTIF(Таблица1[Order ID],Таблица1[[#This Row],[Order ID]])</f>
        <v>0.5</v>
      </c>
      <c r="Z2593" s="9">
        <f>1/COUNTIFS(Таблица1[Customer Name],Таблица1[[#This Row],[Customer Name]],Таблица1[Order-Year-Month],Таблица1[[#This Row],[Order-Year-Month]])</f>
        <v>0.5</v>
      </c>
    </row>
    <row r="2594" spans="1:26" x14ac:dyDescent="0.2">
      <c r="A2594" s="6">
        <v>2303</v>
      </c>
      <c r="B2594" s="7">
        <v>16610</v>
      </c>
      <c r="C2594" s="8">
        <f>DATE(2012,12,31)-1178</f>
        <v>40096</v>
      </c>
      <c r="D2594" s="8" t="str">
        <f t="shared" si="50"/>
        <v>2009-10 (октябрь 2009)</v>
      </c>
      <c r="E2594" s="9" t="s">
        <v>30</v>
      </c>
      <c r="F2594" s="7">
        <v>19</v>
      </c>
      <c r="G2594" s="7">
        <v>659.13</v>
      </c>
      <c r="H2594" s="7">
        <v>0.09</v>
      </c>
      <c r="I2594" s="9" t="s">
        <v>22</v>
      </c>
      <c r="J2594" s="10">
        <v>187.57</v>
      </c>
      <c r="K2594" s="11">
        <v>35.94</v>
      </c>
      <c r="L2594" s="11">
        <v>6.66</v>
      </c>
      <c r="M2594" s="9" t="s">
        <v>1412</v>
      </c>
      <c r="N2594" s="6" t="s">
        <v>1123</v>
      </c>
      <c r="O2594" s="6" t="s">
        <v>1123</v>
      </c>
      <c r="P2594" s="9" t="s">
        <v>41</v>
      </c>
      <c r="Q2594" s="9" t="s">
        <v>26</v>
      </c>
      <c r="R2594" s="9" t="s">
        <v>76</v>
      </c>
      <c r="S2594" s="7" t="s">
        <v>1434</v>
      </c>
      <c r="T2594" s="9" t="s">
        <v>39</v>
      </c>
      <c r="U2594" s="7">
        <v>0.4</v>
      </c>
      <c r="V2594" s="12">
        <f>C2594+2</f>
        <v>40098</v>
      </c>
      <c r="W2594">
        <f>IF(D2594=' Pivot Tables'!$A$4,1,0)</f>
        <v>0</v>
      </c>
      <c r="X2594">
        <f>IF(AND(LEFT(D2594,4)+1=LEFT(' Pivot Tables'!$A$4,4)+0,RIGHT(LEFT(D2594,7),2)=RIGHT(LEFT(' Pivot Tables'!$A$4,7),2)),1,0)</f>
        <v>0</v>
      </c>
      <c r="Y2594" s="6">
        <f>1/COUNTIF(Таблица1[Order ID],Таблица1[[#This Row],[Order ID]])</f>
        <v>1</v>
      </c>
      <c r="Z2594" s="9">
        <f>1/COUNTIFS(Таблица1[Customer Name],Таблица1[[#This Row],[Customer Name]],Таблица1[Order-Year-Month],Таблица1[[#This Row],[Order-Year-Month]])</f>
        <v>1</v>
      </c>
    </row>
    <row r="2595" spans="1:26" x14ac:dyDescent="0.2">
      <c r="A2595" s="6">
        <v>2596</v>
      </c>
      <c r="B2595" s="7">
        <v>18757</v>
      </c>
      <c r="C2595" s="8">
        <f>DATE(2012,12,31)-223</f>
        <v>41051</v>
      </c>
      <c r="D2595" s="8" t="str">
        <f t="shared" si="50"/>
        <v>2012-05 (май 2012)</v>
      </c>
      <c r="E2595" s="9" t="s">
        <v>21</v>
      </c>
      <c r="F2595" s="7">
        <v>9</v>
      </c>
      <c r="G2595" s="7">
        <v>222.2</v>
      </c>
      <c r="H2595" s="7">
        <v>0.03</v>
      </c>
      <c r="I2595" s="9" t="s">
        <v>22</v>
      </c>
      <c r="J2595" s="10">
        <v>-40.25</v>
      </c>
      <c r="K2595" s="11">
        <v>22.38</v>
      </c>
      <c r="L2595" s="11">
        <v>15.1</v>
      </c>
      <c r="M2595" s="9" t="s">
        <v>1435</v>
      </c>
      <c r="N2595" s="6" t="s">
        <v>1123</v>
      </c>
      <c r="O2595" s="6" t="s">
        <v>1123</v>
      </c>
      <c r="P2595" s="9" t="s">
        <v>33</v>
      </c>
      <c r="Q2595" s="9" t="s">
        <v>26</v>
      </c>
      <c r="R2595" s="9" t="s">
        <v>37</v>
      </c>
      <c r="S2595" s="7" t="s">
        <v>415</v>
      </c>
      <c r="T2595" s="9" t="s">
        <v>39</v>
      </c>
      <c r="U2595" s="7">
        <v>0.38</v>
      </c>
      <c r="V2595" s="12">
        <f>C2595+2</f>
        <v>41053</v>
      </c>
      <c r="W2595">
        <f>IF(D2595=' Pivot Tables'!$A$4,1,0)</f>
        <v>0</v>
      </c>
      <c r="X2595">
        <f>IF(AND(LEFT(D2595,4)+1=LEFT(' Pivot Tables'!$A$4,4)+0,RIGHT(LEFT(D2595,7),2)=RIGHT(LEFT(' Pivot Tables'!$A$4,7),2)),1,0)</f>
        <v>0</v>
      </c>
      <c r="Y2595" s="6">
        <f>1/COUNTIF(Таблица1[Order ID],Таблица1[[#This Row],[Order ID]])</f>
        <v>0.33333333333333331</v>
      </c>
      <c r="Z2595" s="9">
        <f>1/COUNTIFS(Таблица1[Customer Name],Таблица1[[#This Row],[Customer Name]],Таблица1[Order-Year-Month],Таблица1[[#This Row],[Order-Year-Month]])</f>
        <v>0.33333333333333331</v>
      </c>
    </row>
    <row r="2596" spans="1:26" x14ac:dyDescent="0.2">
      <c r="A2596" s="6">
        <v>2597</v>
      </c>
      <c r="B2596" s="7">
        <v>18757</v>
      </c>
      <c r="C2596" s="8">
        <f>DATE(2012,12,31)-223</f>
        <v>41051</v>
      </c>
      <c r="D2596" s="8" t="str">
        <f t="shared" si="50"/>
        <v>2012-05 (май 2012)</v>
      </c>
      <c r="E2596" s="9" t="s">
        <v>21</v>
      </c>
      <c r="F2596" s="7">
        <v>5</v>
      </c>
      <c r="G2596" s="7">
        <v>39.9</v>
      </c>
      <c r="H2596" s="7">
        <v>0.02</v>
      </c>
      <c r="I2596" s="9" t="s">
        <v>22</v>
      </c>
      <c r="J2596" s="10">
        <v>-37.8005</v>
      </c>
      <c r="K2596" s="11">
        <v>5.94</v>
      </c>
      <c r="L2596" s="11">
        <v>9.92</v>
      </c>
      <c r="M2596" s="9" t="s">
        <v>1435</v>
      </c>
      <c r="N2596" s="6" t="s">
        <v>1123</v>
      </c>
      <c r="O2596" s="6" t="s">
        <v>1123</v>
      </c>
      <c r="P2596" s="9" t="s">
        <v>33</v>
      </c>
      <c r="Q2596" s="9" t="s">
        <v>26</v>
      </c>
      <c r="R2596" s="9" t="s">
        <v>37</v>
      </c>
      <c r="S2596" s="7" t="s">
        <v>1436</v>
      </c>
      <c r="T2596" s="9" t="s">
        <v>39</v>
      </c>
      <c r="U2596" s="7">
        <v>0.38</v>
      </c>
      <c r="V2596" s="12">
        <f>C2596+5</f>
        <v>41056</v>
      </c>
      <c r="W2596">
        <f>IF(D2596=' Pivot Tables'!$A$4,1,0)</f>
        <v>0</v>
      </c>
      <c r="X2596">
        <f>IF(AND(LEFT(D2596,4)+1=LEFT(' Pivot Tables'!$A$4,4)+0,RIGHT(LEFT(D2596,7),2)=RIGHT(LEFT(' Pivot Tables'!$A$4,7),2)),1,0)</f>
        <v>0</v>
      </c>
      <c r="Y2596" s="6">
        <f>1/COUNTIF(Таблица1[Order ID],Таблица1[[#This Row],[Order ID]])</f>
        <v>0.33333333333333331</v>
      </c>
      <c r="Z2596" s="9">
        <f>1/COUNTIFS(Таблица1[Customer Name],Таблица1[[#This Row],[Customer Name]],Таблица1[Order-Year-Month],Таблица1[[#This Row],[Order-Year-Month]])</f>
        <v>0.33333333333333331</v>
      </c>
    </row>
    <row r="2597" spans="1:26" x14ac:dyDescent="0.2">
      <c r="A2597" s="6">
        <v>2687</v>
      </c>
      <c r="B2597" s="7">
        <v>19431</v>
      </c>
      <c r="C2597" s="8">
        <f>DATE(2012,12,31)-1318</f>
        <v>39956</v>
      </c>
      <c r="D2597" s="8" t="str">
        <f t="shared" si="50"/>
        <v>2009-05 (май 2009)</v>
      </c>
      <c r="E2597" s="9" t="s">
        <v>45</v>
      </c>
      <c r="F2597" s="7">
        <v>4</v>
      </c>
      <c r="G2597" s="7">
        <v>16.82</v>
      </c>
      <c r="H2597" s="7">
        <v>0.08</v>
      </c>
      <c r="I2597" s="9" t="s">
        <v>22</v>
      </c>
      <c r="J2597" s="10">
        <v>-5.54</v>
      </c>
      <c r="K2597" s="11">
        <v>4.13</v>
      </c>
      <c r="L2597" s="11">
        <v>1.17</v>
      </c>
      <c r="M2597" s="9" t="s">
        <v>1429</v>
      </c>
      <c r="N2597" s="6" t="s">
        <v>1123</v>
      </c>
      <c r="O2597" s="6" t="s">
        <v>1123</v>
      </c>
      <c r="P2597" s="9" t="s">
        <v>60</v>
      </c>
      <c r="Q2597" s="9" t="s">
        <v>26</v>
      </c>
      <c r="R2597" s="9" t="s">
        <v>95</v>
      </c>
      <c r="S2597" s="7" t="s">
        <v>1437</v>
      </c>
      <c r="T2597" s="9" t="s">
        <v>68</v>
      </c>
      <c r="U2597" s="7">
        <v>0.56999999999999995</v>
      </c>
      <c r="V2597" s="12">
        <f>C2597+2</f>
        <v>39958</v>
      </c>
      <c r="W2597">
        <f>IF(D2597=' Pivot Tables'!$A$4,1,0)</f>
        <v>0</v>
      </c>
      <c r="X2597">
        <f>IF(AND(LEFT(D2597,4)+1=LEFT(' Pivot Tables'!$A$4,4)+0,RIGHT(LEFT(D2597,7),2)=RIGHT(LEFT(' Pivot Tables'!$A$4,7),2)),1,0)</f>
        <v>0</v>
      </c>
      <c r="Y2597" s="6">
        <f>1/COUNTIF(Таблица1[Order ID],Таблица1[[#This Row],[Order ID]])</f>
        <v>1</v>
      </c>
      <c r="Z2597" s="9">
        <f>1/COUNTIFS(Таблица1[Customer Name],Таблица1[[#This Row],[Customer Name]],Таблица1[Order-Year-Month],Таблица1[[#This Row],[Order-Year-Month]])</f>
        <v>1</v>
      </c>
    </row>
    <row r="2598" spans="1:26" x14ac:dyDescent="0.2">
      <c r="A2598" s="6">
        <v>2712</v>
      </c>
      <c r="B2598" s="7">
        <v>19584</v>
      </c>
      <c r="C2598" s="8">
        <f>DATE(2012,12,31)-1355</f>
        <v>39919</v>
      </c>
      <c r="D2598" s="8" t="str">
        <f t="shared" si="50"/>
        <v>2009-04 (апрель 2009)</v>
      </c>
      <c r="E2598" s="9" t="s">
        <v>78</v>
      </c>
      <c r="F2598" s="7">
        <v>6</v>
      </c>
      <c r="G2598" s="7">
        <v>14535.8</v>
      </c>
      <c r="H2598" s="7">
        <v>0.05</v>
      </c>
      <c r="I2598" s="9" t="s">
        <v>31</v>
      </c>
      <c r="J2598" s="10">
        <v>-3971.0627999999997</v>
      </c>
      <c r="K2598" s="11">
        <v>2550.14</v>
      </c>
      <c r="L2598" s="11">
        <v>29.7</v>
      </c>
      <c r="M2598" s="9" t="s">
        <v>1433</v>
      </c>
      <c r="N2598" s="6" t="s">
        <v>1123</v>
      </c>
      <c r="O2598" s="6" t="s">
        <v>1123</v>
      </c>
      <c r="P2598" s="9" t="s">
        <v>41</v>
      </c>
      <c r="Q2598" s="9" t="s">
        <v>42</v>
      </c>
      <c r="R2598" s="9" t="s">
        <v>210</v>
      </c>
      <c r="S2598" s="7" t="s">
        <v>506</v>
      </c>
      <c r="T2598" s="9" t="s">
        <v>36</v>
      </c>
      <c r="U2598" s="7">
        <v>0.56999999999999995</v>
      </c>
      <c r="V2598" s="12">
        <f>C2598+1</f>
        <v>39920</v>
      </c>
      <c r="W2598">
        <f>IF(D2598=' Pivot Tables'!$A$4,1,0)</f>
        <v>0</v>
      </c>
      <c r="X2598">
        <f>IF(AND(LEFT(D2598,4)+1=LEFT(' Pivot Tables'!$A$4,4)+0,RIGHT(LEFT(D2598,7),2)=RIGHT(LEFT(' Pivot Tables'!$A$4,7),2)),1,0)</f>
        <v>0</v>
      </c>
      <c r="Y2598" s="6">
        <f>1/COUNTIF(Таблица1[Order ID],Таблица1[[#This Row],[Order ID]])</f>
        <v>1</v>
      </c>
      <c r="Z2598" s="9">
        <f>1/COUNTIFS(Таблица1[Customer Name],Таблица1[[#This Row],[Customer Name]],Таблица1[Order-Year-Month],Таблица1[[#This Row],[Order-Year-Month]])</f>
        <v>1</v>
      </c>
    </row>
    <row r="2599" spans="1:26" x14ac:dyDescent="0.2">
      <c r="A2599" s="6">
        <v>2810</v>
      </c>
      <c r="B2599" s="7">
        <v>20262</v>
      </c>
      <c r="C2599" s="8">
        <f>DATE(2012,12,31)-1101</f>
        <v>40173</v>
      </c>
      <c r="D2599" s="8" t="str">
        <f t="shared" si="50"/>
        <v>2009-12 (декабрь 2009)</v>
      </c>
      <c r="E2599" s="9" t="s">
        <v>45</v>
      </c>
      <c r="F2599" s="7">
        <v>27</v>
      </c>
      <c r="G2599" s="7">
        <v>652.24</v>
      </c>
      <c r="H2599" s="7">
        <v>0.02</v>
      </c>
      <c r="I2599" s="9" t="s">
        <v>22</v>
      </c>
      <c r="J2599" s="10">
        <v>185.04</v>
      </c>
      <c r="K2599" s="11">
        <v>22.72</v>
      </c>
      <c r="L2599" s="11">
        <v>8.99</v>
      </c>
      <c r="M2599" s="9" t="s">
        <v>1438</v>
      </c>
      <c r="N2599" s="6" t="s">
        <v>1123</v>
      </c>
      <c r="O2599" s="6" t="s">
        <v>1123</v>
      </c>
      <c r="P2599" s="9" t="s">
        <v>60</v>
      </c>
      <c r="Q2599" s="9" t="s">
        <v>49</v>
      </c>
      <c r="R2599" s="9" t="s">
        <v>50</v>
      </c>
      <c r="S2599" s="7" t="s">
        <v>315</v>
      </c>
      <c r="T2599" s="9" t="s">
        <v>52</v>
      </c>
      <c r="U2599" s="7">
        <v>0.44</v>
      </c>
      <c r="V2599" s="12">
        <f>C2599+0</f>
        <v>40173</v>
      </c>
      <c r="W2599">
        <f>IF(D2599=' Pivot Tables'!$A$4,1,0)</f>
        <v>0</v>
      </c>
      <c r="X2599">
        <f>IF(AND(LEFT(D2599,4)+1=LEFT(' Pivot Tables'!$A$4,4)+0,RIGHT(LEFT(D2599,7),2)=RIGHT(LEFT(' Pivot Tables'!$A$4,7),2)),1,0)</f>
        <v>0</v>
      </c>
      <c r="Y2599" s="6">
        <f>1/COUNTIF(Таблица1[Order ID],Таблица1[[#This Row],[Order ID]])</f>
        <v>1</v>
      </c>
      <c r="Z2599" s="9">
        <f>1/COUNTIFS(Таблица1[Customer Name],Таблица1[[#This Row],[Customer Name]],Таблица1[Order-Year-Month],Таблица1[[#This Row],[Order-Year-Month]])</f>
        <v>1</v>
      </c>
    </row>
    <row r="2600" spans="1:26" x14ac:dyDescent="0.2">
      <c r="A2600" s="6">
        <v>2852</v>
      </c>
      <c r="B2600" s="7">
        <v>20545</v>
      </c>
      <c r="C2600" s="8">
        <f>DATE(2012,12,31)-814</f>
        <v>40460</v>
      </c>
      <c r="D2600" s="8" t="str">
        <f t="shared" si="50"/>
        <v>2010-10 (октябрь 2010)</v>
      </c>
      <c r="E2600" s="9" t="s">
        <v>45</v>
      </c>
      <c r="F2600" s="7">
        <v>1</v>
      </c>
      <c r="G2600" s="7">
        <v>361.94</v>
      </c>
      <c r="H2600" s="7">
        <v>0.05</v>
      </c>
      <c r="I2600" s="9" t="s">
        <v>31</v>
      </c>
      <c r="J2600" s="10">
        <v>-163.58000000000001</v>
      </c>
      <c r="K2600" s="11">
        <v>284.98</v>
      </c>
      <c r="L2600" s="11">
        <v>69.55</v>
      </c>
      <c r="M2600" s="9" t="s">
        <v>1420</v>
      </c>
      <c r="N2600" s="6" t="s">
        <v>1123</v>
      </c>
      <c r="O2600" s="6" t="s">
        <v>1123</v>
      </c>
      <c r="P2600" s="9" t="s">
        <v>25</v>
      </c>
      <c r="Q2600" s="9" t="s">
        <v>49</v>
      </c>
      <c r="R2600" s="9" t="s">
        <v>112</v>
      </c>
      <c r="S2600" s="7" t="s">
        <v>834</v>
      </c>
      <c r="T2600" s="9" t="s">
        <v>36</v>
      </c>
      <c r="U2600" s="7">
        <v>0.6</v>
      </c>
      <c r="V2600" s="12">
        <f>C2600+1</f>
        <v>40461</v>
      </c>
      <c r="W2600">
        <f>IF(D2600=' Pivot Tables'!$A$4,1,0)</f>
        <v>0</v>
      </c>
      <c r="X2600">
        <f>IF(AND(LEFT(D2600,4)+1=LEFT(' Pivot Tables'!$A$4,4)+0,RIGHT(LEFT(D2600,7),2)=RIGHT(LEFT(' Pivot Tables'!$A$4,7),2)),1,0)</f>
        <v>0</v>
      </c>
      <c r="Y2600" s="6">
        <f>1/COUNTIF(Таблица1[Order ID],Таблица1[[#This Row],[Order ID]])</f>
        <v>0.33333333333333331</v>
      </c>
      <c r="Z2600" s="9">
        <f>1/COUNTIFS(Таблица1[Customer Name],Таблица1[[#This Row],[Customer Name]],Таблица1[Order-Year-Month],Таблица1[[#This Row],[Order-Year-Month]])</f>
        <v>0.33333333333333331</v>
      </c>
    </row>
    <row r="2601" spans="1:26" x14ac:dyDescent="0.2">
      <c r="A2601" s="6">
        <v>2853</v>
      </c>
      <c r="B2601" s="7">
        <v>20545</v>
      </c>
      <c r="C2601" s="8">
        <f>DATE(2012,12,31)-814</f>
        <v>40460</v>
      </c>
      <c r="D2601" s="8" t="str">
        <f t="shared" si="50"/>
        <v>2010-10 (октябрь 2010)</v>
      </c>
      <c r="E2601" s="9" t="s">
        <v>45</v>
      </c>
      <c r="F2601" s="7">
        <v>31</v>
      </c>
      <c r="G2601" s="7">
        <v>1276.04</v>
      </c>
      <c r="H2601" s="7">
        <v>0.02</v>
      </c>
      <c r="I2601" s="9" t="s">
        <v>22</v>
      </c>
      <c r="J2601" s="10">
        <v>554.95000000000005</v>
      </c>
      <c r="K2601" s="11">
        <v>40.99</v>
      </c>
      <c r="L2601" s="11">
        <v>5.86</v>
      </c>
      <c r="M2601" s="9" t="s">
        <v>1420</v>
      </c>
      <c r="N2601" s="6" t="s">
        <v>1123</v>
      </c>
      <c r="O2601" s="6" t="s">
        <v>1123</v>
      </c>
      <c r="P2601" s="9" t="s">
        <v>25</v>
      </c>
      <c r="Q2601" s="9" t="s">
        <v>26</v>
      </c>
      <c r="R2601" s="9" t="s">
        <v>61</v>
      </c>
      <c r="S2601" s="7" t="s">
        <v>824</v>
      </c>
      <c r="T2601" s="9" t="s">
        <v>39</v>
      </c>
      <c r="U2601" s="7">
        <v>0.36</v>
      </c>
      <c r="V2601" s="12">
        <f>C2601+2</f>
        <v>40462</v>
      </c>
      <c r="W2601">
        <f>IF(D2601=' Pivot Tables'!$A$4,1,0)</f>
        <v>0</v>
      </c>
      <c r="X2601">
        <f>IF(AND(LEFT(D2601,4)+1=LEFT(' Pivot Tables'!$A$4,4)+0,RIGHT(LEFT(D2601,7),2)=RIGHT(LEFT(' Pivot Tables'!$A$4,7),2)),1,0)</f>
        <v>0</v>
      </c>
      <c r="Y2601" s="6">
        <f>1/COUNTIF(Таблица1[Order ID],Таблица1[[#This Row],[Order ID]])</f>
        <v>0.33333333333333331</v>
      </c>
      <c r="Z2601" s="9">
        <f>1/COUNTIFS(Таблица1[Customer Name],Таблица1[[#This Row],[Customer Name]],Таблица1[Order-Year-Month],Таблица1[[#This Row],[Order-Year-Month]])</f>
        <v>0.33333333333333331</v>
      </c>
    </row>
    <row r="2602" spans="1:26" x14ac:dyDescent="0.2">
      <c r="A2602" s="6">
        <v>2854</v>
      </c>
      <c r="B2602" s="7">
        <v>20545</v>
      </c>
      <c r="C2602" s="8">
        <f>DATE(2012,12,31)-814</f>
        <v>40460</v>
      </c>
      <c r="D2602" s="8" t="str">
        <f t="shared" si="50"/>
        <v>2010-10 (октябрь 2010)</v>
      </c>
      <c r="E2602" s="9" t="s">
        <v>45</v>
      </c>
      <c r="F2602" s="7">
        <v>40</v>
      </c>
      <c r="G2602" s="7">
        <v>2894.68</v>
      </c>
      <c r="H2602" s="7">
        <v>0.02</v>
      </c>
      <c r="I2602" s="9" t="s">
        <v>22</v>
      </c>
      <c r="J2602" s="10">
        <v>-1754.3879999999999</v>
      </c>
      <c r="K2602" s="11">
        <v>71.37</v>
      </c>
      <c r="L2602" s="11">
        <v>69</v>
      </c>
      <c r="M2602" s="9" t="s">
        <v>1420</v>
      </c>
      <c r="N2602" s="6" t="s">
        <v>1123</v>
      </c>
      <c r="O2602" s="6" t="s">
        <v>1123</v>
      </c>
      <c r="P2602" s="9" t="s">
        <v>25</v>
      </c>
      <c r="Q2602" s="9" t="s">
        <v>49</v>
      </c>
      <c r="R2602" s="9" t="s">
        <v>83</v>
      </c>
      <c r="S2602" s="7" t="s">
        <v>84</v>
      </c>
      <c r="T2602" s="9" t="s">
        <v>29</v>
      </c>
      <c r="U2602" s="7">
        <v>0.68</v>
      </c>
      <c r="V2602" s="12">
        <f>C2602+2</f>
        <v>40462</v>
      </c>
      <c r="W2602">
        <f>IF(D2602=' Pivot Tables'!$A$4,1,0)</f>
        <v>0</v>
      </c>
      <c r="X2602">
        <f>IF(AND(LEFT(D2602,4)+1=LEFT(' Pivot Tables'!$A$4,4)+0,RIGHT(LEFT(D2602,7),2)=RIGHT(LEFT(' Pivot Tables'!$A$4,7),2)),1,0)</f>
        <v>0</v>
      </c>
      <c r="Y2602" s="6">
        <f>1/COUNTIF(Таблица1[Order ID],Таблица1[[#This Row],[Order ID]])</f>
        <v>0.33333333333333331</v>
      </c>
      <c r="Z2602" s="9">
        <f>1/COUNTIFS(Таблица1[Customer Name],Таблица1[[#This Row],[Customer Name]],Таблица1[Order-Year-Month],Таблица1[[#This Row],[Order-Year-Month]])</f>
        <v>0.33333333333333331</v>
      </c>
    </row>
    <row r="2603" spans="1:26" x14ac:dyDescent="0.2">
      <c r="A2603" s="6">
        <v>2856</v>
      </c>
      <c r="B2603" s="7">
        <v>20577</v>
      </c>
      <c r="C2603" s="8">
        <f>DATE(2012,12,31)-1056</f>
        <v>40218</v>
      </c>
      <c r="D2603" s="8" t="str">
        <f t="shared" si="50"/>
        <v>2010-02 (февраль 2010)</v>
      </c>
      <c r="E2603" s="9" t="s">
        <v>78</v>
      </c>
      <c r="F2603" s="7">
        <v>15</v>
      </c>
      <c r="G2603" s="7">
        <v>611.67999999999995</v>
      </c>
      <c r="H2603" s="7">
        <v>0.05</v>
      </c>
      <c r="I2603" s="9" t="s">
        <v>22</v>
      </c>
      <c r="J2603" s="10">
        <v>134.75049999999999</v>
      </c>
      <c r="K2603" s="11">
        <v>39.06</v>
      </c>
      <c r="L2603" s="11">
        <v>10.55</v>
      </c>
      <c r="M2603" s="9" t="s">
        <v>1438</v>
      </c>
      <c r="N2603" s="6" t="s">
        <v>1123</v>
      </c>
      <c r="O2603" s="6" t="s">
        <v>1123</v>
      </c>
      <c r="P2603" s="9" t="s">
        <v>60</v>
      </c>
      <c r="Q2603" s="9" t="s">
        <v>26</v>
      </c>
      <c r="R2603" s="9" t="s">
        <v>37</v>
      </c>
      <c r="S2603" s="7" t="s">
        <v>759</v>
      </c>
      <c r="T2603" s="9" t="s">
        <v>39</v>
      </c>
      <c r="U2603" s="7">
        <v>0.37</v>
      </c>
      <c r="V2603" s="12">
        <f>C2603+2</f>
        <v>40220</v>
      </c>
      <c r="W2603">
        <f>IF(D2603=' Pivot Tables'!$A$4,1,0)</f>
        <v>0</v>
      </c>
      <c r="X2603">
        <f>IF(AND(LEFT(D2603,4)+1=LEFT(' Pivot Tables'!$A$4,4)+0,RIGHT(LEFT(D2603,7),2)=RIGHT(LEFT(' Pivot Tables'!$A$4,7),2)),1,0)</f>
        <v>0</v>
      </c>
      <c r="Y2603" s="6">
        <f>1/COUNTIF(Таблица1[Order ID],Таблица1[[#This Row],[Order ID]])</f>
        <v>1</v>
      </c>
      <c r="Z2603" s="9">
        <f>1/COUNTIFS(Таблица1[Customer Name],Таблица1[[#This Row],[Customer Name]],Таблица1[Order-Year-Month],Таблица1[[#This Row],[Order-Year-Month]])</f>
        <v>1</v>
      </c>
    </row>
    <row r="2604" spans="1:26" x14ac:dyDescent="0.2">
      <c r="A2604" s="6">
        <v>2881</v>
      </c>
      <c r="B2604" s="7">
        <v>20804</v>
      </c>
      <c r="C2604" s="8">
        <f>DATE(2012,12,31)-401</f>
        <v>40873</v>
      </c>
      <c r="D2604" s="8" t="str">
        <f t="shared" si="50"/>
        <v>2011-11 (ноябрь 2011)</v>
      </c>
      <c r="E2604" s="9" t="s">
        <v>21</v>
      </c>
      <c r="F2604" s="7">
        <v>13</v>
      </c>
      <c r="G2604" s="7">
        <v>4393.75</v>
      </c>
      <c r="H2604" s="7">
        <v>0.08</v>
      </c>
      <c r="I2604" s="9" t="s">
        <v>31</v>
      </c>
      <c r="J2604" s="10">
        <v>215.31</v>
      </c>
      <c r="K2604" s="11">
        <v>442.14</v>
      </c>
      <c r="L2604" s="11">
        <v>14.7</v>
      </c>
      <c r="M2604" s="9" t="s">
        <v>1420</v>
      </c>
      <c r="N2604" s="6" t="s">
        <v>1123</v>
      </c>
      <c r="O2604" s="6" t="s">
        <v>1123</v>
      </c>
      <c r="P2604" s="9" t="s">
        <v>25</v>
      </c>
      <c r="Q2604" s="9" t="s">
        <v>42</v>
      </c>
      <c r="R2604" s="9" t="s">
        <v>210</v>
      </c>
      <c r="S2604" s="7" t="s">
        <v>455</v>
      </c>
      <c r="T2604" s="9" t="s">
        <v>36</v>
      </c>
      <c r="U2604" s="7">
        <v>0.56000000000000005</v>
      </c>
      <c r="V2604" s="12">
        <f>C2604+7</f>
        <v>40880</v>
      </c>
      <c r="W2604">
        <f>IF(D2604=' Pivot Tables'!$A$4,1,0)</f>
        <v>0</v>
      </c>
      <c r="X2604">
        <f>IF(AND(LEFT(D2604,4)+1=LEFT(' Pivot Tables'!$A$4,4)+0,RIGHT(LEFT(D2604,7),2)=RIGHT(LEFT(' Pivot Tables'!$A$4,7),2)),1,0)</f>
        <v>0</v>
      </c>
      <c r="Y2604" s="6">
        <f>1/COUNTIF(Таблица1[Order ID],Таблица1[[#This Row],[Order ID]])</f>
        <v>1</v>
      </c>
      <c r="Z2604" s="9">
        <f>1/COUNTIFS(Таблица1[Customer Name],Таблица1[[#This Row],[Customer Name]],Таблица1[Order-Year-Month],Таблица1[[#This Row],[Order-Year-Month]])</f>
        <v>1</v>
      </c>
    </row>
    <row r="2605" spans="1:26" x14ac:dyDescent="0.2">
      <c r="A2605" s="6">
        <v>2960</v>
      </c>
      <c r="B2605" s="7">
        <v>21414</v>
      </c>
      <c r="C2605" s="8">
        <f>DATE(2012,12,31)-607</f>
        <v>40667</v>
      </c>
      <c r="D2605" s="8" t="str">
        <f t="shared" si="50"/>
        <v>2011-05 (май 2011)</v>
      </c>
      <c r="E2605" s="9" t="s">
        <v>78</v>
      </c>
      <c r="F2605" s="7">
        <v>34</v>
      </c>
      <c r="G2605" s="7">
        <v>117.91</v>
      </c>
      <c r="H2605" s="7">
        <v>0.05</v>
      </c>
      <c r="I2605" s="9" t="s">
        <v>22</v>
      </c>
      <c r="J2605" s="10">
        <v>29.27</v>
      </c>
      <c r="K2605" s="11">
        <v>3.38</v>
      </c>
      <c r="L2605" s="11">
        <v>1.0900000000000001</v>
      </c>
      <c r="M2605" s="9" t="s">
        <v>1439</v>
      </c>
      <c r="N2605" s="6" t="s">
        <v>1123</v>
      </c>
      <c r="O2605" s="6" t="s">
        <v>1123</v>
      </c>
      <c r="P2605" s="9" t="s">
        <v>33</v>
      </c>
      <c r="Q2605" s="9" t="s">
        <v>26</v>
      </c>
      <c r="R2605" s="9" t="s">
        <v>61</v>
      </c>
      <c r="S2605" s="7" t="s">
        <v>1440</v>
      </c>
      <c r="T2605" s="9" t="s">
        <v>68</v>
      </c>
      <c r="U2605" s="7">
        <v>0.39</v>
      </c>
      <c r="V2605" s="12">
        <f>C2605+2</f>
        <v>40669</v>
      </c>
      <c r="W2605">
        <f>IF(D2605=' Pivot Tables'!$A$4,1,0)</f>
        <v>0</v>
      </c>
      <c r="X2605">
        <f>IF(AND(LEFT(D2605,4)+1=LEFT(' Pivot Tables'!$A$4,4)+0,RIGHT(LEFT(D2605,7),2)=RIGHT(LEFT(' Pivot Tables'!$A$4,7),2)),1,0)</f>
        <v>0</v>
      </c>
      <c r="Y2605" s="6">
        <f>1/COUNTIF(Таблица1[Order ID],Таблица1[[#This Row],[Order ID]])</f>
        <v>0.25</v>
      </c>
      <c r="Z2605" s="9">
        <f>1/COUNTIFS(Таблица1[Customer Name],Таблица1[[#This Row],[Customer Name]],Таблица1[Order-Year-Month],Таблица1[[#This Row],[Order-Year-Month]])</f>
        <v>0.25</v>
      </c>
    </row>
    <row r="2606" spans="1:26" x14ac:dyDescent="0.2">
      <c r="A2606" s="6">
        <v>2961</v>
      </c>
      <c r="B2606" s="7">
        <v>21414</v>
      </c>
      <c r="C2606" s="8">
        <f>DATE(2012,12,31)-607</f>
        <v>40667</v>
      </c>
      <c r="D2606" s="8" t="str">
        <f t="shared" si="50"/>
        <v>2011-05 (май 2011)</v>
      </c>
      <c r="E2606" s="9" t="s">
        <v>78</v>
      </c>
      <c r="F2606" s="7">
        <v>46</v>
      </c>
      <c r="G2606" s="7">
        <v>3644.6</v>
      </c>
      <c r="H2606" s="7">
        <v>0.05</v>
      </c>
      <c r="I2606" s="9" t="s">
        <v>22</v>
      </c>
      <c r="J2606" s="10">
        <v>-1144.67</v>
      </c>
      <c r="K2606" s="11">
        <v>80.98</v>
      </c>
      <c r="L2606" s="11">
        <v>35</v>
      </c>
      <c r="M2606" s="9" t="s">
        <v>1439</v>
      </c>
      <c r="N2606" s="6" t="s">
        <v>1123</v>
      </c>
      <c r="O2606" s="6" t="s">
        <v>1123</v>
      </c>
      <c r="P2606" s="9" t="s">
        <v>33</v>
      </c>
      <c r="Q2606" s="9" t="s">
        <v>26</v>
      </c>
      <c r="R2606" s="9" t="s">
        <v>27</v>
      </c>
      <c r="S2606" s="7" t="s">
        <v>171</v>
      </c>
      <c r="T2606" s="9" t="s">
        <v>29</v>
      </c>
      <c r="U2606" s="7">
        <v>0.81</v>
      </c>
      <c r="V2606" s="12">
        <f>C2606+2</f>
        <v>40669</v>
      </c>
      <c r="W2606">
        <f>IF(D2606=' Pivot Tables'!$A$4,1,0)</f>
        <v>0</v>
      </c>
      <c r="X2606">
        <f>IF(AND(LEFT(D2606,4)+1=LEFT(' Pivot Tables'!$A$4,4)+0,RIGHT(LEFT(D2606,7),2)=RIGHT(LEFT(' Pivot Tables'!$A$4,7),2)),1,0)</f>
        <v>0</v>
      </c>
      <c r="Y2606" s="6">
        <f>1/COUNTIF(Таблица1[Order ID],Таблица1[[#This Row],[Order ID]])</f>
        <v>0.25</v>
      </c>
      <c r="Z2606" s="9">
        <f>1/COUNTIFS(Таблица1[Customer Name],Таблица1[[#This Row],[Customer Name]],Таблица1[Order-Year-Month],Таблица1[[#This Row],[Order-Year-Month]])</f>
        <v>0.25</v>
      </c>
    </row>
    <row r="2607" spans="1:26" x14ac:dyDescent="0.2">
      <c r="A2607" s="6">
        <v>2962</v>
      </c>
      <c r="B2607" s="7">
        <v>21414</v>
      </c>
      <c r="C2607" s="8">
        <f>DATE(2012,12,31)-607</f>
        <v>40667</v>
      </c>
      <c r="D2607" s="8" t="str">
        <f t="shared" si="50"/>
        <v>2011-05 (май 2011)</v>
      </c>
      <c r="E2607" s="9" t="s">
        <v>78</v>
      </c>
      <c r="F2607" s="7">
        <v>33</v>
      </c>
      <c r="G2607" s="7">
        <v>3491.6129999999998</v>
      </c>
      <c r="H2607" s="7">
        <v>0.05</v>
      </c>
      <c r="I2607" s="9" t="s">
        <v>22</v>
      </c>
      <c r="J2607" s="10">
        <v>717.69600000000003</v>
      </c>
      <c r="K2607" s="11">
        <v>125.99</v>
      </c>
      <c r="L2607" s="11">
        <v>5.63</v>
      </c>
      <c r="M2607" s="9" t="s">
        <v>1439</v>
      </c>
      <c r="N2607" s="6" t="s">
        <v>1123</v>
      </c>
      <c r="O2607" s="6" t="s">
        <v>1123</v>
      </c>
      <c r="P2607" s="9" t="s">
        <v>33</v>
      </c>
      <c r="Q2607" s="9" t="s">
        <v>42</v>
      </c>
      <c r="R2607" s="9" t="s">
        <v>43</v>
      </c>
      <c r="S2607" s="7" t="s">
        <v>481</v>
      </c>
      <c r="T2607" s="9" t="s">
        <v>39</v>
      </c>
      <c r="U2607" s="7">
        <v>0.6</v>
      </c>
      <c r="V2607" s="12">
        <f>C2607+1</f>
        <v>40668</v>
      </c>
      <c r="W2607">
        <f>IF(D2607=' Pivot Tables'!$A$4,1,0)</f>
        <v>0</v>
      </c>
      <c r="X2607">
        <f>IF(AND(LEFT(D2607,4)+1=LEFT(' Pivot Tables'!$A$4,4)+0,RIGHT(LEFT(D2607,7),2)=RIGHT(LEFT(' Pivot Tables'!$A$4,7),2)),1,0)</f>
        <v>0</v>
      </c>
      <c r="Y2607" s="6">
        <f>1/COUNTIF(Таблица1[Order ID],Таблица1[[#This Row],[Order ID]])</f>
        <v>0.25</v>
      </c>
      <c r="Z2607" s="9">
        <f>1/COUNTIFS(Таблица1[Customer Name],Таблица1[[#This Row],[Customer Name]],Таблица1[Order-Year-Month],Таблица1[[#This Row],[Order-Year-Month]])</f>
        <v>0.25</v>
      </c>
    </row>
    <row r="2608" spans="1:26" x14ac:dyDescent="0.2">
      <c r="A2608" s="6">
        <v>2969</v>
      </c>
      <c r="B2608" s="7">
        <v>21447</v>
      </c>
      <c r="C2608" s="8">
        <f>DATE(2012,12,31)-942</f>
        <v>40332</v>
      </c>
      <c r="D2608" s="8" t="str">
        <f t="shared" si="50"/>
        <v>2010-06 (июнь 2010)</v>
      </c>
      <c r="E2608" s="9" t="s">
        <v>45</v>
      </c>
      <c r="F2608" s="7">
        <v>15</v>
      </c>
      <c r="G2608" s="7">
        <v>176.24</v>
      </c>
      <c r="H2608" s="7">
        <v>0.02</v>
      </c>
      <c r="I2608" s="9" t="s">
        <v>56</v>
      </c>
      <c r="J2608" s="10">
        <v>9.85</v>
      </c>
      <c r="K2608" s="11">
        <v>10.98</v>
      </c>
      <c r="L2608" s="11">
        <v>3.37</v>
      </c>
      <c r="M2608" s="9" t="s">
        <v>1417</v>
      </c>
      <c r="N2608" s="6" t="s">
        <v>1123</v>
      </c>
      <c r="O2608" s="6" t="s">
        <v>1123</v>
      </c>
      <c r="P2608" s="9" t="s">
        <v>60</v>
      </c>
      <c r="Q2608" s="9" t="s">
        <v>26</v>
      </c>
      <c r="R2608" s="9" t="s">
        <v>150</v>
      </c>
      <c r="S2608" s="7" t="s">
        <v>465</v>
      </c>
      <c r="T2608" s="9" t="s">
        <v>52</v>
      </c>
      <c r="U2608" s="7">
        <v>0.56999999999999995</v>
      </c>
      <c r="V2608" s="12">
        <f>C2608+2</f>
        <v>40334</v>
      </c>
      <c r="W2608">
        <f>IF(D2608=' Pivot Tables'!$A$4,1,0)</f>
        <v>0</v>
      </c>
      <c r="X2608">
        <f>IF(AND(LEFT(D2608,4)+1=LEFT(' Pivot Tables'!$A$4,4)+0,RIGHT(LEFT(D2608,7),2)=RIGHT(LEFT(' Pivot Tables'!$A$4,7),2)),1,0)</f>
        <v>0</v>
      </c>
      <c r="Y2608" s="6">
        <f>1/COUNTIF(Таблица1[Order ID],Таблица1[[#This Row],[Order ID]])</f>
        <v>1</v>
      </c>
      <c r="Z2608" s="9">
        <f>1/COUNTIFS(Таблица1[Customer Name],Таблица1[[#This Row],[Customer Name]],Таблица1[Order-Year-Month],Таблица1[[#This Row],[Order-Year-Month]])</f>
        <v>1</v>
      </c>
    </row>
    <row r="2609" spans="1:26" x14ac:dyDescent="0.2">
      <c r="A2609" s="6">
        <v>2976</v>
      </c>
      <c r="B2609" s="7">
        <v>21479</v>
      </c>
      <c r="C2609" s="8">
        <f>DATE(2012,12,31)-1221</f>
        <v>40053</v>
      </c>
      <c r="D2609" s="8" t="str">
        <f t="shared" si="50"/>
        <v>2009-08 (август 2009)</v>
      </c>
      <c r="E2609" s="9" t="s">
        <v>63</v>
      </c>
      <c r="F2609" s="7">
        <v>41</v>
      </c>
      <c r="G2609" s="7">
        <v>291.16000000000003</v>
      </c>
      <c r="H2609" s="7">
        <v>0.01</v>
      </c>
      <c r="I2609" s="9" t="s">
        <v>56</v>
      </c>
      <c r="J2609" s="10">
        <v>-89.47</v>
      </c>
      <c r="K2609" s="11">
        <v>6.48</v>
      </c>
      <c r="L2609" s="11">
        <v>6.57</v>
      </c>
      <c r="M2609" s="9" t="s">
        <v>1438</v>
      </c>
      <c r="N2609" s="6" t="s">
        <v>1123</v>
      </c>
      <c r="O2609" s="6" t="s">
        <v>1123</v>
      </c>
      <c r="P2609" s="9" t="s">
        <v>60</v>
      </c>
      <c r="Q2609" s="9" t="s">
        <v>26</v>
      </c>
      <c r="R2609" s="9" t="s">
        <v>61</v>
      </c>
      <c r="S2609" s="7" t="s">
        <v>249</v>
      </c>
      <c r="T2609" s="9" t="s">
        <v>39</v>
      </c>
      <c r="U2609" s="7">
        <v>0.37</v>
      </c>
      <c r="V2609" s="12">
        <f>C2609+1</f>
        <v>40054</v>
      </c>
      <c r="W2609">
        <f>IF(D2609=' Pivot Tables'!$A$4,1,0)</f>
        <v>0</v>
      </c>
      <c r="X2609">
        <f>IF(AND(LEFT(D2609,4)+1=LEFT(' Pivot Tables'!$A$4,4)+0,RIGHT(LEFT(D2609,7),2)=RIGHT(LEFT(' Pivot Tables'!$A$4,7),2)),1,0)</f>
        <v>0</v>
      </c>
      <c r="Y2609" s="6">
        <f>1/COUNTIF(Таблица1[Order ID],Таблица1[[#This Row],[Order ID]])</f>
        <v>1</v>
      </c>
      <c r="Z2609" s="9">
        <f>1/COUNTIFS(Таблица1[Customer Name],Таблица1[[#This Row],[Customer Name]],Таблица1[Order-Year-Month],Таблица1[[#This Row],[Order-Year-Month]])</f>
        <v>1</v>
      </c>
    </row>
    <row r="2610" spans="1:26" x14ac:dyDescent="0.2">
      <c r="A2610" s="6">
        <v>3096</v>
      </c>
      <c r="B2610" s="7">
        <v>22208</v>
      </c>
      <c r="C2610" s="8">
        <f>DATE(2012,12,31)-1175</f>
        <v>40099</v>
      </c>
      <c r="D2610" s="8" t="str">
        <f t="shared" si="50"/>
        <v>2009-10 (октябрь 2009)</v>
      </c>
      <c r="E2610" s="9" t="s">
        <v>30</v>
      </c>
      <c r="F2610" s="7">
        <v>37</v>
      </c>
      <c r="G2610" s="7">
        <v>1138.43</v>
      </c>
      <c r="H2610" s="7">
        <v>0.01</v>
      </c>
      <c r="I2610" s="9" t="s">
        <v>22</v>
      </c>
      <c r="J2610" s="10">
        <v>18.59</v>
      </c>
      <c r="K2610" s="11">
        <v>30.97</v>
      </c>
      <c r="L2610" s="11">
        <v>4</v>
      </c>
      <c r="M2610" s="9" t="s">
        <v>1417</v>
      </c>
      <c r="N2610" s="6" t="s">
        <v>1123</v>
      </c>
      <c r="O2610" s="6" t="s">
        <v>1123</v>
      </c>
      <c r="P2610" s="9" t="s">
        <v>60</v>
      </c>
      <c r="Q2610" s="9" t="s">
        <v>42</v>
      </c>
      <c r="R2610" s="9" t="s">
        <v>70</v>
      </c>
      <c r="S2610" s="7" t="s">
        <v>942</v>
      </c>
      <c r="T2610" s="9" t="s">
        <v>39</v>
      </c>
      <c r="U2610" s="7">
        <v>0.74</v>
      </c>
      <c r="V2610" s="12">
        <f>C2610+2</f>
        <v>40101</v>
      </c>
      <c r="W2610">
        <f>IF(D2610=' Pivot Tables'!$A$4,1,0)</f>
        <v>0</v>
      </c>
      <c r="X2610">
        <f>IF(AND(LEFT(D2610,4)+1=LEFT(' Pivot Tables'!$A$4,4)+0,RIGHT(LEFT(D2610,7),2)=RIGHT(LEFT(' Pivot Tables'!$A$4,7),2)),1,0)</f>
        <v>0</v>
      </c>
      <c r="Y2610" s="6">
        <f>1/COUNTIF(Таблица1[Order ID],Таблица1[[#This Row],[Order ID]])</f>
        <v>0.5</v>
      </c>
      <c r="Z2610" s="9">
        <f>1/COUNTIFS(Таблица1[Customer Name],Таблица1[[#This Row],[Customer Name]],Таблица1[Order-Year-Month],Таблица1[[#This Row],[Order-Year-Month]])</f>
        <v>0.5</v>
      </c>
    </row>
    <row r="2611" spans="1:26" x14ac:dyDescent="0.2">
      <c r="A2611" s="6">
        <v>3097</v>
      </c>
      <c r="B2611" s="7">
        <v>22208</v>
      </c>
      <c r="C2611" s="8">
        <f>DATE(2012,12,31)-1175</f>
        <v>40099</v>
      </c>
      <c r="D2611" s="8" t="str">
        <f t="shared" si="50"/>
        <v>2009-10 (октябрь 2009)</v>
      </c>
      <c r="E2611" s="9" t="s">
        <v>30</v>
      </c>
      <c r="F2611" s="7">
        <v>50</v>
      </c>
      <c r="G2611" s="7">
        <v>5271.0454999999993</v>
      </c>
      <c r="H2611" s="7">
        <v>0.08</v>
      </c>
      <c r="I2611" s="9" t="s">
        <v>22</v>
      </c>
      <c r="J2611" s="10">
        <v>1379.7629999999999</v>
      </c>
      <c r="K2611" s="11">
        <v>125.99</v>
      </c>
      <c r="L2611" s="11">
        <v>7.69</v>
      </c>
      <c r="M2611" s="9" t="s">
        <v>1417</v>
      </c>
      <c r="N2611" s="6" t="s">
        <v>1123</v>
      </c>
      <c r="O2611" s="6" t="s">
        <v>1123</v>
      </c>
      <c r="P2611" s="9" t="s">
        <v>60</v>
      </c>
      <c r="Q2611" s="9" t="s">
        <v>42</v>
      </c>
      <c r="R2611" s="9" t="s">
        <v>43</v>
      </c>
      <c r="S2611" s="7" t="s">
        <v>129</v>
      </c>
      <c r="T2611" s="9" t="s">
        <v>39</v>
      </c>
      <c r="U2611" s="7">
        <v>0.57999999999999996</v>
      </c>
      <c r="V2611" s="12">
        <f>C2611+2</f>
        <v>40101</v>
      </c>
      <c r="W2611">
        <f>IF(D2611=' Pivot Tables'!$A$4,1,0)</f>
        <v>0</v>
      </c>
      <c r="X2611">
        <f>IF(AND(LEFT(D2611,4)+1=LEFT(' Pivot Tables'!$A$4,4)+0,RIGHT(LEFT(D2611,7),2)=RIGHT(LEFT(' Pivot Tables'!$A$4,7),2)),1,0)</f>
        <v>0</v>
      </c>
      <c r="Y2611" s="6">
        <f>1/COUNTIF(Таблица1[Order ID],Таблица1[[#This Row],[Order ID]])</f>
        <v>0.5</v>
      </c>
      <c r="Z2611" s="9">
        <f>1/COUNTIFS(Таблица1[Customer Name],Таблица1[[#This Row],[Customer Name]],Таблица1[Order-Year-Month],Таблица1[[#This Row],[Order-Year-Month]])</f>
        <v>0.5</v>
      </c>
    </row>
    <row r="2612" spans="1:26" x14ac:dyDescent="0.2">
      <c r="A2612" s="6">
        <v>3106</v>
      </c>
      <c r="B2612" s="7">
        <v>22279</v>
      </c>
      <c r="C2612" s="8">
        <f>DATE(2012,12,31)-1105</f>
        <v>40169</v>
      </c>
      <c r="D2612" s="8" t="str">
        <f t="shared" si="50"/>
        <v>2009-12 (декабрь 2009)</v>
      </c>
      <c r="E2612" s="9" t="s">
        <v>45</v>
      </c>
      <c r="F2612" s="7">
        <v>43</v>
      </c>
      <c r="G2612" s="7">
        <v>2463.6</v>
      </c>
      <c r="H2612" s="7">
        <v>0.03</v>
      </c>
      <c r="I2612" s="9" t="s">
        <v>22</v>
      </c>
      <c r="J2612" s="10">
        <v>1040.6500000000001</v>
      </c>
      <c r="K2612" s="11">
        <v>54.96</v>
      </c>
      <c r="L2612" s="11">
        <v>10.75</v>
      </c>
      <c r="M2612" s="9" t="s">
        <v>1415</v>
      </c>
      <c r="N2612" s="6" t="s">
        <v>1123</v>
      </c>
      <c r="O2612" s="6" t="s">
        <v>1123</v>
      </c>
      <c r="P2612" s="9" t="s">
        <v>25</v>
      </c>
      <c r="Q2612" s="9" t="s">
        <v>26</v>
      </c>
      <c r="R2612" s="9" t="s">
        <v>61</v>
      </c>
      <c r="S2612" s="7" t="s">
        <v>350</v>
      </c>
      <c r="T2612" s="9" t="s">
        <v>39</v>
      </c>
      <c r="U2612" s="7">
        <v>0.36</v>
      </c>
      <c r="V2612" s="12">
        <f>C2612+3</f>
        <v>40172</v>
      </c>
      <c r="W2612">
        <f>IF(D2612=' Pivot Tables'!$A$4,1,0)</f>
        <v>0</v>
      </c>
      <c r="X2612">
        <f>IF(AND(LEFT(D2612,4)+1=LEFT(' Pivot Tables'!$A$4,4)+0,RIGHT(LEFT(D2612,7),2)=RIGHT(LEFT(' Pivot Tables'!$A$4,7),2)),1,0)</f>
        <v>0</v>
      </c>
      <c r="Y2612" s="6">
        <f>1/COUNTIF(Таблица1[Order ID],Таблица1[[#This Row],[Order ID]])</f>
        <v>1</v>
      </c>
      <c r="Z2612" s="9">
        <f>1/COUNTIFS(Таблица1[Customer Name],Таблица1[[#This Row],[Customer Name]],Таблица1[Order-Year-Month],Таблица1[[#This Row],[Order-Year-Month]])</f>
        <v>1</v>
      </c>
    </row>
    <row r="2613" spans="1:26" x14ac:dyDescent="0.2">
      <c r="A2613" s="6">
        <v>3231</v>
      </c>
      <c r="B2613" s="7">
        <v>23174</v>
      </c>
      <c r="C2613" s="8">
        <f>DATE(2012,12,31)-158</f>
        <v>41116</v>
      </c>
      <c r="D2613" s="8" t="str">
        <f t="shared" si="50"/>
        <v>2012-07 (июль 2012)</v>
      </c>
      <c r="E2613" s="9" t="s">
        <v>21</v>
      </c>
      <c r="F2613" s="7">
        <v>16</v>
      </c>
      <c r="G2613" s="7">
        <v>3549.9</v>
      </c>
      <c r="H2613" s="7">
        <v>0.06</v>
      </c>
      <c r="I2613" s="9" t="s">
        <v>31</v>
      </c>
      <c r="J2613" s="10">
        <v>44.8</v>
      </c>
      <c r="K2613" s="11">
        <v>216.6</v>
      </c>
      <c r="L2613" s="11">
        <v>64.2</v>
      </c>
      <c r="M2613" s="9" t="s">
        <v>1439</v>
      </c>
      <c r="N2613" s="6" t="s">
        <v>1123</v>
      </c>
      <c r="O2613" s="6" t="s">
        <v>1123</v>
      </c>
      <c r="P2613" s="9" t="s">
        <v>33</v>
      </c>
      <c r="Q2613" s="9" t="s">
        <v>49</v>
      </c>
      <c r="R2613" s="9" t="s">
        <v>112</v>
      </c>
      <c r="S2613" s="7" t="s">
        <v>313</v>
      </c>
      <c r="T2613" s="9" t="s">
        <v>36</v>
      </c>
      <c r="U2613" s="7">
        <v>0.59</v>
      </c>
      <c r="V2613" s="12">
        <f>C2613+2</f>
        <v>41118</v>
      </c>
      <c r="W2613">
        <f>IF(D2613=' Pivot Tables'!$A$4,1,0)</f>
        <v>0</v>
      </c>
      <c r="X2613">
        <f>IF(AND(LEFT(D2613,4)+1=LEFT(' Pivot Tables'!$A$4,4)+0,RIGHT(LEFT(D2613,7),2)=RIGHT(LEFT(' Pivot Tables'!$A$4,7),2)),1,0)</f>
        <v>0</v>
      </c>
      <c r="Y2613" s="6">
        <f>1/COUNTIF(Таблица1[Order ID],Таблица1[[#This Row],[Order ID]])</f>
        <v>0.5</v>
      </c>
      <c r="Z2613" s="9">
        <f>1/COUNTIFS(Таблица1[Customer Name],Таблица1[[#This Row],[Customer Name]],Таблица1[Order-Year-Month],Таблица1[[#This Row],[Order-Year-Month]])</f>
        <v>0.5</v>
      </c>
    </row>
    <row r="2614" spans="1:26" x14ac:dyDescent="0.2">
      <c r="A2614" s="6">
        <v>3232</v>
      </c>
      <c r="B2614" s="7">
        <v>23174</v>
      </c>
      <c r="C2614" s="8">
        <f>DATE(2012,12,31)-158</f>
        <v>41116</v>
      </c>
      <c r="D2614" s="8" t="str">
        <f t="shared" si="50"/>
        <v>2012-07 (июль 2012)</v>
      </c>
      <c r="E2614" s="9" t="s">
        <v>21</v>
      </c>
      <c r="F2614" s="7">
        <v>8</v>
      </c>
      <c r="G2614" s="7">
        <v>138.24</v>
      </c>
      <c r="H2614" s="7">
        <v>0.03</v>
      </c>
      <c r="I2614" s="9" t="s">
        <v>22</v>
      </c>
      <c r="J2614" s="10">
        <v>-60.04</v>
      </c>
      <c r="K2614" s="11">
        <v>16.739999999999998</v>
      </c>
      <c r="L2614" s="11">
        <v>7.04</v>
      </c>
      <c r="M2614" s="9" t="s">
        <v>1439</v>
      </c>
      <c r="N2614" s="6" t="s">
        <v>1123</v>
      </c>
      <c r="O2614" s="6" t="s">
        <v>1123</v>
      </c>
      <c r="P2614" s="9" t="s">
        <v>33</v>
      </c>
      <c r="Q2614" s="9" t="s">
        <v>26</v>
      </c>
      <c r="R2614" s="9" t="s">
        <v>27</v>
      </c>
      <c r="S2614" s="7" t="s">
        <v>1441</v>
      </c>
      <c r="T2614" s="9" t="s">
        <v>39</v>
      </c>
      <c r="U2614" s="7">
        <v>0.81</v>
      </c>
      <c r="V2614" s="12">
        <f>C2614+7</f>
        <v>41123</v>
      </c>
      <c r="W2614">
        <f>IF(D2614=' Pivot Tables'!$A$4,1,0)</f>
        <v>0</v>
      </c>
      <c r="X2614">
        <f>IF(AND(LEFT(D2614,4)+1=LEFT(' Pivot Tables'!$A$4,4)+0,RIGHT(LEFT(D2614,7),2)=RIGHT(LEFT(' Pivot Tables'!$A$4,7),2)),1,0)</f>
        <v>0</v>
      </c>
      <c r="Y2614" s="6">
        <f>1/COUNTIF(Таблица1[Order ID],Таблица1[[#This Row],[Order ID]])</f>
        <v>0.5</v>
      </c>
      <c r="Z2614" s="9">
        <f>1/COUNTIFS(Таблица1[Customer Name],Таблица1[[#This Row],[Customer Name]],Таблица1[Order-Year-Month],Таблица1[[#This Row],[Order-Year-Month]])</f>
        <v>0.5</v>
      </c>
    </row>
    <row r="2615" spans="1:26" x14ac:dyDescent="0.2">
      <c r="A2615" s="6">
        <v>3259</v>
      </c>
      <c r="B2615" s="7">
        <v>23333</v>
      </c>
      <c r="C2615" s="8">
        <f>DATE(2012,12,31)-1244</f>
        <v>40030</v>
      </c>
      <c r="D2615" s="8" t="str">
        <f t="shared" si="50"/>
        <v>2009-08 (август 2009)</v>
      </c>
      <c r="E2615" s="9" t="s">
        <v>63</v>
      </c>
      <c r="F2615" s="7">
        <v>44</v>
      </c>
      <c r="G2615" s="7">
        <v>634.12</v>
      </c>
      <c r="H2615" s="7">
        <v>0.04</v>
      </c>
      <c r="I2615" s="9" t="s">
        <v>22</v>
      </c>
      <c r="J2615" s="10">
        <v>-21.65</v>
      </c>
      <c r="K2615" s="11">
        <v>14.42</v>
      </c>
      <c r="L2615" s="11">
        <v>6.75</v>
      </c>
      <c r="M2615" s="9" t="s">
        <v>1410</v>
      </c>
      <c r="N2615" s="6" t="s">
        <v>1123</v>
      </c>
      <c r="O2615" s="6" t="s">
        <v>1123</v>
      </c>
      <c r="P2615" s="9" t="s">
        <v>60</v>
      </c>
      <c r="Q2615" s="9" t="s">
        <v>26</v>
      </c>
      <c r="R2615" s="9" t="s">
        <v>34</v>
      </c>
      <c r="S2615" s="7" t="s">
        <v>1036</v>
      </c>
      <c r="T2615" s="9" t="s">
        <v>48</v>
      </c>
      <c r="U2615" s="7">
        <v>0.52</v>
      </c>
      <c r="V2615" s="12">
        <f>C2615+1</f>
        <v>40031</v>
      </c>
      <c r="W2615">
        <f>IF(D2615=' Pivot Tables'!$A$4,1,0)</f>
        <v>0</v>
      </c>
      <c r="X2615">
        <f>IF(AND(LEFT(D2615,4)+1=LEFT(' Pivot Tables'!$A$4,4)+0,RIGHT(LEFT(D2615,7),2)=RIGHT(LEFT(' Pivot Tables'!$A$4,7),2)),1,0)</f>
        <v>0</v>
      </c>
      <c r="Y2615" s="6">
        <f>1/COUNTIF(Таблица1[Order ID],Таблица1[[#This Row],[Order ID]])</f>
        <v>0.33333333333333331</v>
      </c>
      <c r="Z2615" s="9">
        <f>1/COUNTIFS(Таблица1[Customer Name],Таблица1[[#This Row],[Customer Name]],Таблица1[Order-Year-Month],Таблица1[[#This Row],[Order-Year-Month]])</f>
        <v>0.33333333333333331</v>
      </c>
    </row>
    <row r="2616" spans="1:26" x14ac:dyDescent="0.2">
      <c r="A2616" s="6">
        <v>3260</v>
      </c>
      <c r="B2616" s="7">
        <v>23333</v>
      </c>
      <c r="C2616" s="8">
        <f>DATE(2012,12,31)-1244</f>
        <v>40030</v>
      </c>
      <c r="D2616" s="8" t="str">
        <f t="shared" si="50"/>
        <v>2009-08 (август 2009)</v>
      </c>
      <c r="E2616" s="9" t="s">
        <v>63</v>
      </c>
      <c r="F2616" s="7">
        <v>32</v>
      </c>
      <c r="G2616" s="7">
        <v>196.84</v>
      </c>
      <c r="H2616" s="7">
        <v>0.04</v>
      </c>
      <c r="I2616" s="9" t="s">
        <v>22</v>
      </c>
      <c r="J2616" s="10">
        <v>-69.290000000000006</v>
      </c>
      <c r="K2616" s="11">
        <v>5.98</v>
      </c>
      <c r="L2616" s="11">
        <v>5.79</v>
      </c>
      <c r="M2616" s="9" t="s">
        <v>1410</v>
      </c>
      <c r="N2616" s="6" t="s">
        <v>1123</v>
      </c>
      <c r="O2616" s="6" t="s">
        <v>1123</v>
      </c>
      <c r="P2616" s="9" t="s">
        <v>60</v>
      </c>
      <c r="Q2616" s="9" t="s">
        <v>26</v>
      </c>
      <c r="R2616" s="9" t="s">
        <v>61</v>
      </c>
      <c r="S2616" s="7" t="s">
        <v>935</v>
      </c>
      <c r="T2616" s="9" t="s">
        <v>39</v>
      </c>
      <c r="U2616" s="7">
        <v>0.36</v>
      </c>
      <c r="V2616" s="12">
        <f>C2616+2</f>
        <v>40032</v>
      </c>
      <c r="W2616">
        <f>IF(D2616=' Pivot Tables'!$A$4,1,0)</f>
        <v>0</v>
      </c>
      <c r="X2616">
        <f>IF(AND(LEFT(D2616,4)+1=LEFT(' Pivot Tables'!$A$4,4)+0,RIGHT(LEFT(D2616,7),2)=RIGHT(LEFT(' Pivot Tables'!$A$4,7),2)),1,0)</f>
        <v>0</v>
      </c>
      <c r="Y2616" s="6">
        <f>1/COUNTIF(Таблица1[Order ID],Таблица1[[#This Row],[Order ID]])</f>
        <v>0.33333333333333331</v>
      </c>
      <c r="Z2616" s="9">
        <f>1/COUNTIFS(Таблица1[Customer Name],Таблица1[[#This Row],[Customer Name]],Таблица1[Order-Year-Month],Таблица1[[#This Row],[Order-Year-Month]])</f>
        <v>0.33333333333333331</v>
      </c>
    </row>
    <row r="2617" spans="1:26" x14ac:dyDescent="0.2">
      <c r="A2617" s="6">
        <v>3261</v>
      </c>
      <c r="B2617" s="7">
        <v>23333</v>
      </c>
      <c r="C2617" s="8">
        <f>DATE(2012,12,31)-1244</f>
        <v>40030</v>
      </c>
      <c r="D2617" s="8" t="str">
        <f t="shared" si="50"/>
        <v>2009-08 (август 2009)</v>
      </c>
      <c r="E2617" s="9" t="s">
        <v>63</v>
      </c>
      <c r="F2617" s="7">
        <v>16</v>
      </c>
      <c r="G2617" s="7">
        <v>886.89</v>
      </c>
      <c r="H2617" s="7">
        <v>0.03</v>
      </c>
      <c r="I2617" s="9" t="s">
        <v>22</v>
      </c>
      <c r="J2617" s="10">
        <v>-23.826000000000001</v>
      </c>
      <c r="K2617" s="11">
        <v>65.989999999999995</v>
      </c>
      <c r="L2617" s="11">
        <v>8.99</v>
      </c>
      <c r="M2617" s="9" t="s">
        <v>1410</v>
      </c>
      <c r="N2617" s="6" t="s">
        <v>1123</v>
      </c>
      <c r="O2617" s="6" t="s">
        <v>1123</v>
      </c>
      <c r="P2617" s="9" t="s">
        <v>60</v>
      </c>
      <c r="Q2617" s="9" t="s">
        <v>42</v>
      </c>
      <c r="R2617" s="9" t="s">
        <v>43</v>
      </c>
      <c r="S2617" s="7" t="s">
        <v>534</v>
      </c>
      <c r="T2617" s="9" t="s">
        <v>39</v>
      </c>
      <c r="U2617" s="7">
        <v>0.56000000000000005</v>
      </c>
      <c r="V2617" s="12">
        <f>C2617+1</f>
        <v>40031</v>
      </c>
      <c r="W2617">
        <f>IF(D2617=' Pivot Tables'!$A$4,1,0)</f>
        <v>0</v>
      </c>
      <c r="X2617">
        <f>IF(AND(LEFT(D2617,4)+1=LEFT(' Pivot Tables'!$A$4,4)+0,RIGHT(LEFT(D2617,7),2)=RIGHT(LEFT(' Pivot Tables'!$A$4,7),2)),1,0)</f>
        <v>0</v>
      </c>
      <c r="Y2617" s="6">
        <f>1/COUNTIF(Таблица1[Order ID],Таблица1[[#This Row],[Order ID]])</f>
        <v>0.33333333333333331</v>
      </c>
      <c r="Z2617" s="9">
        <f>1/COUNTIFS(Таблица1[Customer Name],Таблица1[[#This Row],[Customer Name]],Таблица1[Order-Year-Month],Таблица1[[#This Row],[Order-Year-Month]])</f>
        <v>0.33333333333333331</v>
      </c>
    </row>
    <row r="2618" spans="1:26" x14ac:dyDescent="0.2">
      <c r="A2618" s="6">
        <v>3456</v>
      </c>
      <c r="B2618" s="7">
        <v>24640</v>
      </c>
      <c r="C2618" s="8">
        <f>DATE(2012,12,31)-702</f>
        <v>40572</v>
      </c>
      <c r="D2618" s="8" t="str">
        <f t="shared" si="50"/>
        <v>2011-01 (январь 2011)</v>
      </c>
      <c r="E2618" s="9" t="s">
        <v>63</v>
      </c>
      <c r="F2618" s="7">
        <v>12</v>
      </c>
      <c r="G2618" s="7">
        <v>1379.98</v>
      </c>
      <c r="H2618" s="7">
        <v>0.06</v>
      </c>
      <c r="I2618" s="9" t="s">
        <v>31</v>
      </c>
      <c r="J2618" s="10">
        <v>-151.72999999999999</v>
      </c>
      <c r="K2618" s="11">
        <v>113.98</v>
      </c>
      <c r="L2618" s="11">
        <v>30</v>
      </c>
      <c r="M2618" s="9" t="s">
        <v>1438</v>
      </c>
      <c r="N2618" s="6" t="s">
        <v>1123</v>
      </c>
      <c r="O2618" s="6" t="s">
        <v>1123</v>
      </c>
      <c r="P2618" s="9" t="s">
        <v>60</v>
      </c>
      <c r="Q2618" s="9" t="s">
        <v>49</v>
      </c>
      <c r="R2618" s="9" t="s">
        <v>112</v>
      </c>
      <c r="S2618" s="7" t="s">
        <v>840</v>
      </c>
      <c r="T2618" s="9" t="s">
        <v>36</v>
      </c>
      <c r="U2618" s="7">
        <v>0.69</v>
      </c>
      <c r="V2618" s="12">
        <f>C2618+1</f>
        <v>40573</v>
      </c>
      <c r="W2618">
        <f>IF(D2618=' Pivot Tables'!$A$4,1,0)</f>
        <v>0</v>
      </c>
      <c r="X2618">
        <f>IF(AND(LEFT(D2618,4)+1=LEFT(' Pivot Tables'!$A$4,4)+0,RIGHT(LEFT(D2618,7),2)=RIGHT(LEFT(' Pivot Tables'!$A$4,7),2)),1,0)</f>
        <v>0</v>
      </c>
      <c r="Y2618" s="6">
        <f>1/COUNTIF(Таблица1[Order ID],Таблица1[[#This Row],[Order ID]])</f>
        <v>1</v>
      </c>
      <c r="Z2618" s="9">
        <f>1/COUNTIFS(Таблица1[Customer Name],Таблица1[[#This Row],[Customer Name]],Таблица1[Order-Year-Month],Таблица1[[#This Row],[Order-Year-Month]])</f>
        <v>1</v>
      </c>
    </row>
    <row r="2619" spans="1:26" x14ac:dyDescent="0.2">
      <c r="A2619" s="6">
        <v>3516</v>
      </c>
      <c r="B2619" s="7">
        <v>25056</v>
      </c>
      <c r="C2619" s="8">
        <f>DATE(2012,12,31)-832</f>
        <v>40442</v>
      </c>
      <c r="D2619" s="8" t="str">
        <f t="shared" si="50"/>
        <v>2010-09 (сентябрь 2010)</v>
      </c>
      <c r="E2619" s="9" t="s">
        <v>45</v>
      </c>
      <c r="F2619" s="7">
        <v>41</v>
      </c>
      <c r="G2619" s="7">
        <v>295.12</v>
      </c>
      <c r="H2619" s="7">
        <v>0</v>
      </c>
      <c r="I2619" s="9" t="s">
        <v>22</v>
      </c>
      <c r="J2619" s="10">
        <v>-151.93</v>
      </c>
      <c r="K2619" s="11">
        <v>6.48</v>
      </c>
      <c r="L2619" s="11">
        <v>8.19</v>
      </c>
      <c r="M2619" s="9" t="s">
        <v>1421</v>
      </c>
      <c r="N2619" s="6" t="s">
        <v>1123</v>
      </c>
      <c r="O2619" s="6" t="s">
        <v>1123</v>
      </c>
      <c r="P2619" s="9" t="s">
        <v>41</v>
      </c>
      <c r="Q2619" s="9" t="s">
        <v>26</v>
      </c>
      <c r="R2619" s="9" t="s">
        <v>61</v>
      </c>
      <c r="S2619" s="7" t="s">
        <v>176</v>
      </c>
      <c r="T2619" s="9" t="s">
        <v>39</v>
      </c>
      <c r="U2619" s="7">
        <v>0.37</v>
      </c>
      <c r="V2619" s="12">
        <f>C2619+2</f>
        <v>40444</v>
      </c>
      <c r="W2619">
        <f>IF(D2619=' Pivot Tables'!$A$4,1,0)</f>
        <v>0</v>
      </c>
      <c r="X2619">
        <f>IF(AND(LEFT(D2619,4)+1=LEFT(' Pivot Tables'!$A$4,4)+0,RIGHT(LEFT(D2619,7),2)=RIGHT(LEFT(' Pivot Tables'!$A$4,7),2)),1,0)</f>
        <v>0</v>
      </c>
      <c r="Y2619" s="6">
        <f>1/COUNTIF(Таблица1[Order ID],Таблица1[[#This Row],[Order ID]])</f>
        <v>1</v>
      </c>
      <c r="Z2619" s="9">
        <f>1/COUNTIFS(Таблица1[Customer Name],Таблица1[[#This Row],[Customer Name]],Таблица1[Order-Year-Month],Таблица1[[#This Row],[Order-Year-Month]])</f>
        <v>1</v>
      </c>
    </row>
    <row r="2620" spans="1:26" x14ac:dyDescent="0.2">
      <c r="A2620" s="6">
        <v>3665</v>
      </c>
      <c r="B2620" s="7">
        <v>26244</v>
      </c>
      <c r="C2620" s="8">
        <f>DATE(2012,12,31)-881</f>
        <v>40393</v>
      </c>
      <c r="D2620" s="8" t="str">
        <f t="shared" si="50"/>
        <v>2010-08 (август 2010)</v>
      </c>
      <c r="E2620" s="9" t="s">
        <v>30</v>
      </c>
      <c r="F2620" s="7">
        <v>16</v>
      </c>
      <c r="G2620" s="7">
        <v>131.72</v>
      </c>
      <c r="H2620" s="7">
        <v>0.09</v>
      </c>
      <c r="I2620" s="9" t="s">
        <v>22</v>
      </c>
      <c r="J2620" s="10">
        <v>-42.61</v>
      </c>
      <c r="K2620" s="11">
        <v>8.4600000000000009</v>
      </c>
      <c r="L2620" s="11">
        <v>3.62</v>
      </c>
      <c r="M2620" s="9" t="s">
        <v>1410</v>
      </c>
      <c r="N2620" s="6" t="s">
        <v>1123</v>
      </c>
      <c r="O2620" s="6" t="s">
        <v>1123</v>
      </c>
      <c r="P2620" s="9" t="s">
        <v>60</v>
      </c>
      <c r="Q2620" s="9" t="s">
        <v>42</v>
      </c>
      <c r="R2620" s="9" t="s">
        <v>70</v>
      </c>
      <c r="S2620" s="7" t="s">
        <v>1221</v>
      </c>
      <c r="T2620" s="9" t="s">
        <v>52</v>
      </c>
      <c r="U2620" s="7">
        <v>0.61</v>
      </c>
      <c r="V2620" s="12">
        <f>C2620+2</f>
        <v>40395</v>
      </c>
      <c r="W2620">
        <f>IF(D2620=' Pivot Tables'!$A$4,1,0)</f>
        <v>0</v>
      </c>
      <c r="X2620">
        <f>IF(AND(LEFT(D2620,4)+1=LEFT(' Pivot Tables'!$A$4,4)+0,RIGHT(LEFT(D2620,7),2)=RIGHT(LEFT(' Pivot Tables'!$A$4,7),2)),1,0)</f>
        <v>0</v>
      </c>
      <c r="Y2620" s="6">
        <f>1/COUNTIF(Таблица1[Order ID],Таблица1[[#This Row],[Order ID]])</f>
        <v>1</v>
      </c>
      <c r="Z2620" s="9">
        <f>1/COUNTIFS(Таблица1[Customer Name],Таблица1[[#This Row],[Customer Name]],Таблица1[Order-Year-Month],Таблица1[[#This Row],[Order-Year-Month]])</f>
        <v>1</v>
      </c>
    </row>
    <row r="2621" spans="1:26" x14ac:dyDescent="0.2">
      <c r="A2621" s="6">
        <v>3816</v>
      </c>
      <c r="B2621" s="7">
        <v>27201</v>
      </c>
      <c r="C2621" s="8">
        <f>DATE(2012,12,31)-159</f>
        <v>41115</v>
      </c>
      <c r="D2621" s="8" t="str">
        <f t="shared" si="50"/>
        <v>2012-07 (июль 2012)</v>
      </c>
      <c r="E2621" s="9" t="s">
        <v>30</v>
      </c>
      <c r="F2621" s="7">
        <v>10</v>
      </c>
      <c r="G2621" s="7">
        <v>5056.8900000000003</v>
      </c>
      <c r="H2621" s="7">
        <v>0.02</v>
      </c>
      <c r="I2621" s="9" t="s">
        <v>31</v>
      </c>
      <c r="J2621" s="10">
        <v>789.05</v>
      </c>
      <c r="K2621" s="11">
        <v>500.98</v>
      </c>
      <c r="L2621" s="11">
        <v>26</v>
      </c>
      <c r="M2621" s="9" t="s">
        <v>1427</v>
      </c>
      <c r="N2621" s="6" t="s">
        <v>1123</v>
      </c>
      <c r="O2621" s="6" t="s">
        <v>1123</v>
      </c>
      <c r="P2621" s="9" t="s">
        <v>41</v>
      </c>
      <c r="Q2621" s="9" t="s">
        <v>49</v>
      </c>
      <c r="R2621" s="9" t="s">
        <v>112</v>
      </c>
      <c r="S2621" s="7" t="s">
        <v>119</v>
      </c>
      <c r="T2621" s="9" t="s">
        <v>36</v>
      </c>
      <c r="U2621" s="7">
        <v>0.6</v>
      </c>
      <c r="V2621" s="12">
        <f>C2621+0</f>
        <v>41115</v>
      </c>
      <c r="W2621">
        <f>IF(D2621=' Pivot Tables'!$A$4,1,0)</f>
        <v>0</v>
      </c>
      <c r="X2621">
        <f>IF(AND(LEFT(D2621,4)+1=LEFT(' Pivot Tables'!$A$4,4)+0,RIGHT(LEFT(D2621,7),2)=RIGHT(LEFT(' Pivot Tables'!$A$4,7),2)),1,0)</f>
        <v>0</v>
      </c>
      <c r="Y2621" s="6">
        <f>1/COUNTIF(Таблица1[Order ID],Таблица1[[#This Row],[Order ID]])</f>
        <v>0.5</v>
      </c>
      <c r="Z2621" s="9">
        <f>1/COUNTIFS(Таблица1[Customer Name],Таблица1[[#This Row],[Customer Name]],Таблица1[Order-Year-Month],Таблица1[[#This Row],[Order-Year-Month]])</f>
        <v>0.5</v>
      </c>
    </row>
    <row r="2622" spans="1:26" x14ac:dyDescent="0.2">
      <c r="A2622" s="6">
        <v>3817</v>
      </c>
      <c r="B2622" s="7">
        <v>27201</v>
      </c>
      <c r="C2622" s="8">
        <f>DATE(2012,12,31)-159</f>
        <v>41115</v>
      </c>
      <c r="D2622" s="8" t="str">
        <f t="shared" si="50"/>
        <v>2012-07 (июль 2012)</v>
      </c>
      <c r="E2622" s="9" t="s">
        <v>30</v>
      </c>
      <c r="F2622" s="7">
        <v>45</v>
      </c>
      <c r="G2622" s="7">
        <v>3500.1</v>
      </c>
      <c r="H2622" s="7">
        <v>0.01</v>
      </c>
      <c r="I2622" s="9" t="s">
        <v>31</v>
      </c>
      <c r="J2622" s="10">
        <v>-2661.3180000000002</v>
      </c>
      <c r="K2622" s="11">
        <v>70.89</v>
      </c>
      <c r="L2622" s="11">
        <v>89.3</v>
      </c>
      <c r="M2622" s="9" t="s">
        <v>1427</v>
      </c>
      <c r="N2622" s="6" t="s">
        <v>1123</v>
      </c>
      <c r="O2622" s="6" t="s">
        <v>1123</v>
      </c>
      <c r="P2622" s="9" t="s">
        <v>41</v>
      </c>
      <c r="Q2622" s="9" t="s">
        <v>49</v>
      </c>
      <c r="R2622" s="9" t="s">
        <v>83</v>
      </c>
      <c r="S2622" s="7" t="s">
        <v>1071</v>
      </c>
      <c r="T2622" s="9" t="s">
        <v>82</v>
      </c>
      <c r="U2622" s="7">
        <v>0.72</v>
      </c>
      <c r="V2622" s="12">
        <f>C2622+0</f>
        <v>41115</v>
      </c>
      <c r="W2622">
        <f>IF(D2622=' Pivot Tables'!$A$4,1,0)</f>
        <v>0</v>
      </c>
      <c r="X2622">
        <f>IF(AND(LEFT(D2622,4)+1=LEFT(' Pivot Tables'!$A$4,4)+0,RIGHT(LEFT(D2622,7),2)=RIGHT(LEFT(' Pivot Tables'!$A$4,7),2)),1,0)</f>
        <v>0</v>
      </c>
      <c r="Y2622" s="6">
        <f>1/COUNTIF(Таблица1[Order ID],Таблица1[[#This Row],[Order ID]])</f>
        <v>0.5</v>
      </c>
      <c r="Z2622" s="9">
        <f>1/COUNTIFS(Таблица1[Customer Name],Таблица1[[#This Row],[Customer Name]],Таблица1[Order-Year-Month],Таблица1[[#This Row],[Order-Year-Month]])</f>
        <v>0.5</v>
      </c>
    </row>
    <row r="2623" spans="1:26" x14ac:dyDescent="0.2">
      <c r="A2623" s="6">
        <v>3897</v>
      </c>
      <c r="B2623" s="7">
        <v>27808</v>
      </c>
      <c r="C2623" s="8">
        <f>DATE(2012,12,31)-1070</f>
        <v>40204</v>
      </c>
      <c r="D2623" s="8" t="str">
        <f t="shared" si="50"/>
        <v>2010-01 (январь 2010)</v>
      </c>
      <c r="E2623" s="9" t="s">
        <v>21</v>
      </c>
      <c r="F2623" s="7">
        <v>9</v>
      </c>
      <c r="G2623" s="7">
        <v>196.12</v>
      </c>
      <c r="H2623" s="7">
        <v>0.01</v>
      </c>
      <c r="I2623" s="9" t="s">
        <v>56</v>
      </c>
      <c r="J2623" s="10">
        <v>4.41</v>
      </c>
      <c r="K2623" s="11">
        <v>20.89</v>
      </c>
      <c r="L2623" s="11">
        <v>1.99</v>
      </c>
      <c r="M2623" s="9" t="s">
        <v>1423</v>
      </c>
      <c r="N2623" s="6" t="s">
        <v>1123</v>
      </c>
      <c r="O2623" s="6" t="s">
        <v>1123</v>
      </c>
      <c r="P2623" s="9" t="s">
        <v>33</v>
      </c>
      <c r="Q2623" s="9" t="s">
        <v>42</v>
      </c>
      <c r="R2623" s="9" t="s">
        <v>70</v>
      </c>
      <c r="S2623" s="7" t="s">
        <v>303</v>
      </c>
      <c r="T2623" s="9" t="s">
        <v>52</v>
      </c>
      <c r="U2623" s="7">
        <v>0.48</v>
      </c>
      <c r="V2623" s="12">
        <f>C2623+7</f>
        <v>40211</v>
      </c>
      <c r="W2623">
        <f>IF(D2623=' Pivot Tables'!$A$4,1,0)</f>
        <v>1</v>
      </c>
      <c r="X2623">
        <f>IF(AND(LEFT(D2623,4)+1=LEFT(' Pivot Tables'!$A$4,4)+0,RIGHT(LEFT(D2623,7),2)=RIGHT(LEFT(' Pivot Tables'!$A$4,7),2)),1,0)</f>
        <v>0</v>
      </c>
      <c r="Y2623" s="6">
        <f>1/COUNTIF(Таблица1[Order ID],Таблица1[[#This Row],[Order ID]])</f>
        <v>1</v>
      </c>
      <c r="Z2623" s="9">
        <f>1/COUNTIFS(Таблица1[Customer Name],Таблица1[[#This Row],[Customer Name]],Таблица1[Order-Year-Month],Таблица1[[#This Row],[Order-Year-Month]])</f>
        <v>1</v>
      </c>
    </row>
    <row r="2624" spans="1:26" x14ac:dyDescent="0.2">
      <c r="A2624" s="6">
        <v>4173</v>
      </c>
      <c r="B2624" s="7">
        <v>29573</v>
      </c>
      <c r="C2624" s="8">
        <f>DATE(2012,12,31)-350</f>
        <v>40924</v>
      </c>
      <c r="D2624" s="8" t="str">
        <f t="shared" si="50"/>
        <v>2012-01 (январь 2012)</v>
      </c>
      <c r="E2624" s="9" t="s">
        <v>78</v>
      </c>
      <c r="F2624" s="7">
        <v>43</v>
      </c>
      <c r="G2624" s="7">
        <v>792.21</v>
      </c>
      <c r="H2624" s="7">
        <v>0.05</v>
      </c>
      <c r="I2624" s="9" t="s">
        <v>22</v>
      </c>
      <c r="J2624" s="10">
        <v>42.24</v>
      </c>
      <c r="K2624" s="11">
        <v>18.97</v>
      </c>
      <c r="L2624" s="11">
        <v>9.5399999999999991</v>
      </c>
      <c r="M2624" s="9" t="s">
        <v>1410</v>
      </c>
      <c r="N2624" s="6" t="s">
        <v>1123</v>
      </c>
      <c r="O2624" s="6" t="s">
        <v>1123</v>
      </c>
      <c r="P2624" s="9" t="s">
        <v>60</v>
      </c>
      <c r="Q2624" s="9" t="s">
        <v>26</v>
      </c>
      <c r="R2624" s="9" t="s">
        <v>61</v>
      </c>
      <c r="S2624" s="7" t="s">
        <v>581</v>
      </c>
      <c r="T2624" s="9" t="s">
        <v>39</v>
      </c>
      <c r="U2624" s="7">
        <v>0.37</v>
      </c>
      <c r="V2624" s="12">
        <f>C2624+2</f>
        <v>40926</v>
      </c>
      <c r="W2624">
        <f>IF(D2624=' Pivot Tables'!$A$4,1,0)</f>
        <v>0</v>
      </c>
      <c r="X2624">
        <f>IF(AND(LEFT(D2624,4)+1=LEFT(' Pivot Tables'!$A$4,4)+0,RIGHT(LEFT(D2624,7),2)=RIGHT(LEFT(' Pivot Tables'!$A$4,7),2)),1,0)</f>
        <v>0</v>
      </c>
      <c r="Y2624" s="6">
        <f>1/COUNTIF(Таблица1[Order ID],Таблица1[[#This Row],[Order ID]])</f>
        <v>1</v>
      </c>
      <c r="Z2624" s="9">
        <f>1/COUNTIFS(Таблица1[Customer Name],Таблица1[[#This Row],[Customer Name]],Таблица1[Order-Year-Month],Таблица1[[#This Row],[Order-Year-Month]])</f>
        <v>0.5</v>
      </c>
    </row>
    <row r="2625" spans="1:26" x14ac:dyDescent="0.2">
      <c r="A2625" s="6">
        <v>4203</v>
      </c>
      <c r="B2625" s="7">
        <v>29862</v>
      </c>
      <c r="C2625" s="8">
        <f>DATE(2012,12,31)-561</f>
        <v>40713</v>
      </c>
      <c r="D2625" s="8" t="str">
        <f t="shared" si="50"/>
        <v>2011-06 (июнь 2011)</v>
      </c>
      <c r="E2625" s="9" t="s">
        <v>63</v>
      </c>
      <c r="F2625" s="7">
        <v>34</v>
      </c>
      <c r="G2625" s="7">
        <v>214.64</v>
      </c>
      <c r="H2625" s="7">
        <v>0.08</v>
      </c>
      <c r="I2625" s="9" t="s">
        <v>22</v>
      </c>
      <c r="J2625" s="10">
        <v>-76.88</v>
      </c>
      <c r="K2625" s="11">
        <v>6.48</v>
      </c>
      <c r="L2625" s="11">
        <v>5.86</v>
      </c>
      <c r="M2625" s="9" t="s">
        <v>1433</v>
      </c>
      <c r="N2625" s="6" t="s">
        <v>1123</v>
      </c>
      <c r="O2625" s="6" t="s">
        <v>1123</v>
      </c>
      <c r="P2625" s="9" t="s">
        <v>41</v>
      </c>
      <c r="Q2625" s="9" t="s">
        <v>26</v>
      </c>
      <c r="R2625" s="9" t="s">
        <v>61</v>
      </c>
      <c r="S2625" s="7" t="s">
        <v>174</v>
      </c>
      <c r="T2625" s="9" t="s">
        <v>39</v>
      </c>
      <c r="U2625" s="7">
        <v>0.36</v>
      </c>
      <c r="V2625" s="12">
        <f>C2625+2</f>
        <v>40715</v>
      </c>
      <c r="W2625">
        <f>IF(D2625=' Pivot Tables'!$A$4,1,0)</f>
        <v>0</v>
      </c>
      <c r="X2625">
        <f>IF(AND(LEFT(D2625,4)+1=LEFT(' Pivot Tables'!$A$4,4)+0,RIGHT(LEFT(D2625,7),2)=RIGHT(LEFT(' Pivot Tables'!$A$4,7),2)),1,0)</f>
        <v>0</v>
      </c>
      <c r="Y2625" s="6">
        <f>1/COUNTIF(Таблица1[Order ID],Таблица1[[#This Row],[Order ID]])</f>
        <v>1</v>
      </c>
      <c r="Z2625" s="9">
        <f>1/COUNTIFS(Таблица1[Customer Name],Таблица1[[#This Row],[Customer Name]],Таблица1[Order-Year-Month],Таблица1[[#This Row],[Order-Year-Month]])</f>
        <v>1</v>
      </c>
    </row>
    <row r="2626" spans="1:26" x14ac:dyDescent="0.2">
      <c r="A2626" s="6">
        <v>4276</v>
      </c>
      <c r="B2626" s="7">
        <v>30433</v>
      </c>
      <c r="C2626" s="8">
        <f>DATE(2012,12,31)-936</f>
        <v>40338</v>
      </c>
      <c r="D2626" s="8" t="str">
        <f t="shared" si="50"/>
        <v>2010-06 (июнь 2010)</v>
      </c>
      <c r="E2626" s="9" t="s">
        <v>63</v>
      </c>
      <c r="F2626" s="7">
        <v>17</v>
      </c>
      <c r="G2626" s="7">
        <v>253.38</v>
      </c>
      <c r="H2626" s="7">
        <v>0</v>
      </c>
      <c r="I2626" s="9" t="s">
        <v>56</v>
      </c>
      <c r="J2626" s="10">
        <v>-35.78</v>
      </c>
      <c r="K2626" s="11">
        <v>13.9</v>
      </c>
      <c r="L2626" s="11">
        <v>7.59</v>
      </c>
      <c r="M2626" s="9" t="s">
        <v>1429</v>
      </c>
      <c r="N2626" s="6" t="s">
        <v>1123</v>
      </c>
      <c r="O2626" s="6" t="s">
        <v>1123</v>
      </c>
      <c r="P2626" s="9" t="s">
        <v>60</v>
      </c>
      <c r="Q2626" s="9" t="s">
        <v>26</v>
      </c>
      <c r="R2626" s="9" t="s">
        <v>150</v>
      </c>
      <c r="S2626" s="7" t="s">
        <v>422</v>
      </c>
      <c r="T2626" s="9" t="s">
        <v>52</v>
      </c>
      <c r="U2626" s="7">
        <v>0.56000000000000005</v>
      </c>
      <c r="V2626" s="12">
        <f>C2626+0</f>
        <v>40338</v>
      </c>
      <c r="W2626">
        <f>IF(D2626=' Pivot Tables'!$A$4,1,0)</f>
        <v>0</v>
      </c>
      <c r="X2626">
        <f>IF(AND(LEFT(D2626,4)+1=LEFT(' Pivot Tables'!$A$4,4)+0,RIGHT(LEFT(D2626,7),2)=RIGHT(LEFT(' Pivot Tables'!$A$4,7),2)),1,0)</f>
        <v>0</v>
      </c>
      <c r="Y2626" s="6">
        <f>1/COUNTIF(Таблица1[Order ID],Таблица1[[#This Row],[Order ID]])</f>
        <v>1</v>
      </c>
      <c r="Z2626" s="9">
        <f>1/COUNTIFS(Таблица1[Customer Name],Таблица1[[#This Row],[Customer Name]],Таблица1[Order-Year-Month],Таблица1[[#This Row],[Order-Year-Month]])</f>
        <v>1</v>
      </c>
    </row>
    <row r="2627" spans="1:26" x14ac:dyDescent="0.2">
      <c r="A2627" s="6">
        <v>4284</v>
      </c>
      <c r="B2627" s="7">
        <v>30532</v>
      </c>
      <c r="C2627" s="8">
        <f>DATE(2012,12,31)-401</f>
        <v>40873</v>
      </c>
      <c r="D2627" s="8" t="str">
        <f t="shared" ref="D2627:D2690" si="51">TEXT(C2627,"гггг-ММ (ММММ гггг)")</f>
        <v>2011-11 (ноябрь 2011)</v>
      </c>
      <c r="E2627" s="9" t="s">
        <v>30</v>
      </c>
      <c r="F2627" s="7">
        <v>28</v>
      </c>
      <c r="G2627" s="7">
        <v>431.37</v>
      </c>
      <c r="H2627" s="7">
        <v>0.03</v>
      </c>
      <c r="I2627" s="9" t="s">
        <v>22</v>
      </c>
      <c r="J2627" s="10">
        <v>-28.669499999999999</v>
      </c>
      <c r="K2627" s="11">
        <v>15.22</v>
      </c>
      <c r="L2627" s="11">
        <v>9.73</v>
      </c>
      <c r="M2627" s="9" t="s">
        <v>1442</v>
      </c>
      <c r="N2627" s="6" t="s">
        <v>1123</v>
      </c>
      <c r="O2627" s="6" t="s">
        <v>1123</v>
      </c>
      <c r="P2627" s="9" t="s">
        <v>60</v>
      </c>
      <c r="Q2627" s="9" t="s">
        <v>26</v>
      </c>
      <c r="R2627" s="9" t="s">
        <v>37</v>
      </c>
      <c r="S2627" s="7" t="s">
        <v>205</v>
      </c>
      <c r="T2627" s="9" t="s">
        <v>39</v>
      </c>
      <c r="U2627" s="7">
        <v>0.36</v>
      </c>
      <c r="V2627" s="12">
        <f>C2627+1</f>
        <v>40874</v>
      </c>
      <c r="W2627">
        <f>IF(D2627=' Pivot Tables'!$A$4,1,0)</f>
        <v>0</v>
      </c>
      <c r="X2627">
        <f>IF(AND(LEFT(D2627,4)+1=LEFT(' Pivot Tables'!$A$4,4)+0,RIGHT(LEFT(D2627,7),2)=RIGHT(LEFT(' Pivot Tables'!$A$4,7),2)),1,0)</f>
        <v>0</v>
      </c>
      <c r="Y2627" s="6">
        <f>1/COUNTIF(Таблица1[Order ID],Таблица1[[#This Row],[Order ID]])</f>
        <v>0.25</v>
      </c>
      <c r="Z2627" s="9">
        <f>1/COUNTIFS(Таблица1[Customer Name],Таблица1[[#This Row],[Customer Name]],Таблица1[Order-Year-Month],Таблица1[[#This Row],[Order-Year-Month]])</f>
        <v>0.14285714285714285</v>
      </c>
    </row>
    <row r="2628" spans="1:26" x14ac:dyDescent="0.2">
      <c r="A2628" s="6">
        <v>4285</v>
      </c>
      <c r="B2628" s="7">
        <v>30532</v>
      </c>
      <c r="C2628" s="8">
        <f>DATE(2012,12,31)-401</f>
        <v>40873</v>
      </c>
      <c r="D2628" s="8" t="str">
        <f t="shared" si="51"/>
        <v>2011-11 (ноябрь 2011)</v>
      </c>
      <c r="E2628" s="9" t="s">
        <v>30</v>
      </c>
      <c r="F2628" s="7">
        <v>23</v>
      </c>
      <c r="G2628" s="7">
        <v>262.31</v>
      </c>
      <c r="H2628" s="7">
        <v>0.04</v>
      </c>
      <c r="I2628" s="9" t="s">
        <v>56</v>
      </c>
      <c r="J2628" s="10">
        <v>27.55</v>
      </c>
      <c r="K2628" s="11">
        <v>11.09</v>
      </c>
      <c r="L2628" s="11">
        <v>5.25</v>
      </c>
      <c r="M2628" s="9" t="s">
        <v>1442</v>
      </c>
      <c r="N2628" s="6" t="s">
        <v>1123</v>
      </c>
      <c r="O2628" s="6" t="s">
        <v>1123</v>
      </c>
      <c r="P2628" s="9" t="s">
        <v>60</v>
      </c>
      <c r="Q2628" s="9" t="s">
        <v>26</v>
      </c>
      <c r="R2628" s="9" t="s">
        <v>76</v>
      </c>
      <c r="S2628" s="7" t="s">
        <v>791</v>
      </c>
      <c r="T2628" s="9" t="s">
        <v>39</v>
      </c>
      <c r="U2628" s="7">
        <v>0.36</v>
      </c>
      <c r="V2628" s="12">
        <f>C2628+1</f>
        <v>40874</v>
      </c>
      <c r="W2628">
        <f>IF(D2628=' Pivot Tables'!$A$4,1,0)</f>
        <v>0</v>
      </c>
      <c r="X2628">
        <f>IF(AND(LEFT(D2628,4)+1=LEFT(' Pivot Tables'!$A$4,4)+0,RIGHT(LEFT(D2628,7),2)=RIGHT(LEFT(' Pivot Tables'!$A$4,7),2)),1,0)</f>
        <v>0</v>
      </c>
      <c r="Y2628" s="6">
        <f>1/COUNTIF(Таблица1[Order ID],Таблица1[[#This Row],[Order ID]])</f>
        <v>0.25</v>
      </c>
      <c r="Z2628" s="9">
        <f>1/COUNTIFS(Таблица1[Customer Name],Таблица1[[#This Row],[Customer Name]],Таблица1[Order-Year-Month],Таблица1[[#This Row],[Order-Year-Month]])</f>
        <v>0.14285714285714285</v>
      </c>
    </row>
    <row r="2629" spans="1:26" x14ac:dyDescent="0.2">
      <c r="A2629" s="6">
        <v>4286</v>
      </c>
      <c r="B2629" s="7">
        <v>30532</v>
      </c>
      <c r="C2629" s="8">
        <f>DATE(2012,12,31)-401</f>
        <v>40873</v>
      </c>
      <c r="D2629" s="8" t="str">
        <f t="shared" si="51"/>
        <v>2011-11 (ноябрь 2011)</v>
      </c>
      <c r="E2629" s="9" t="s">
        <v>30</v>
      </c>
      <c r="F2629" s="7">
        <v>45</v>
      </c>
      <c r="G2629" s="7">
        <v>514.03</v>
      </c>
      <c r="H2629" s="7">
        <v>0.05</v>
      </c>
      <c r="I2629" s="9" t="s">
        <v>22</v>
      </c>
      <c r="J2629" s="10">
        <v>82.19</v>
      </c>
      <c r="K2629" s="11">
        <v>11.34</v>
      </c>
      <c r="L2629" s="11">
        <v>5.01</v>
      </c>
      <c r="M2629" s="9" t="s">
        <v>1442</v>
      </c>
      <c r="N2629" s="6" t="s">
        <v>1123</v>
      </c>
      <c r="O2629" s="6" t="s">
        <v>1123</v>
      </c>
      <c r="P2629" s="9" t="s">
        <v>60</v>
      </c>
      <c r="Q2629" s="9" t="s">
        <v>26</v>
      </c>
      <c r="R2629" s="9" t="s">
        <v>61</v>
      </c>
      <c r="S2629" s="7" t="s">
        <v>226</v>
      </c>
      <c r="T2629" s="9" t="s">
        <v>39</v>
      </c>
      <c r="U2629" s="7">
        <v>0.36</v>
      </c>
      <c r="V2629" s="12">
        <f>C2629+2</f>
        <v>40875</v>
      </c>
      <c r="W2629">
        <f>IF(D2629=' Pivot Tables'!$A$4,1,0)</f>
        <v>0</v>
      </c>
      <c r="X2629">
        <f>IF(AND(LEFT(D2629,4)+1=LEFT(' Pivot Tables'!$A$4,4)+0,RIGHT(LEFT(D2629,7),2)=RIGHT(LEFT(' Pivot Tables'!$A$4,7),2)),1,0)</f>
        <v>0</v>
      </c>
      <c r="Y2629" s="6">
        <f>1/COUNTIF(Таблица1[Order ID],Таблица1[[#This Row],[Order ID]])</f>
        <v>0.25</v>
      </c>
      <c r="Z2629" s="9">
        <f>1/COUNTIFS(Таблица1[Customer Name],Таблица1[[#This Row],[Customer Name]],Таблица1[Order-Year-Month],Таблица1[[#This Row],[Order-Year-Month]])</f>
        <v>0.14285714285714285</v>
      </c>
    </row>
    <row r="2630" spans="1:26" x14ac:dyDescent="0.2">
      <c r="A2630" s="6">
        <v>4287</v>
      </c>
      <c r="B2630" s="7">
        <v>30532</v>
      </c>
      <c r="C2630" s="8">
        <f>DATE(2012,12,31)-401</f>
        <v>40873</v>
      </c>
      <c r="D2630" s="8" t="str">
        <f t="shared" si="51"/>
        <v>2011-11 (ноябрь 2011)</v>
      </c>
      <c r="E2630" s="9" t="s">
        <v>30</v>
      </c>
      <c r="F2630" s="7">
        <v>9</v>
      </c>
      <c r="G2630" s="7">
        <v>1696.7</v>
      </c>
      <c r="H2630" s="7">
        <v>0.04</v>
      </c>
      <c r="I2630" s="9" t="s">
        <v>31</v>
      </c>
      <c r="J2630" s="10">
        <v>-82.81</v>
      </c>
      <c r="K2630" s="11">
        <v>180.98</v>
      </c>
      <c r="L2630" s="11">
        <v>23.58</v>
      </c>
      <c r="M2630" s="9" t="s">
        <v>1442</v>
      </c>
      <c r="N2630" s="6" t="s">
        <v>1123</v>
      </c>
      <c r="O2630" s="6" t="s">
        <v>1123</v>
      </c>
      <c r="P2630" s="9" t="s">
        <v>60</v>
      </c>
      <c r="Q2630" s="9" t="s">
        <v>49</v>
      </c>
      <c r="R2630" s="9" t="s">
        <v>80</v>
      </c>
      <c r="S2630" s="7" t="s">
        <v>729</v>
      </c>
      <c r="T2630" s="9" t="s">
        <v>82</v>
      </c>
      <c r="U2630" s="7">
        <v>0.74</v>
      </c>
      <c r="V2630" s="12">
        <f>C2630+2</f>
        <v>40875</v>
      </c>
      <c r="W2630">
        <f>IF(D2630=' Pivot Tables'!$A$4,1,0)</f>
        <v>0</v>
      </c>
      <c r="X2630">
        <f>IF(AND(LEFT(D2630,4)+1=LEFT(' Pivot Tables'!$A$4,4)+0,RIGHT(LEFT(D2630,7),2)=RIGHT(LEFT(' Pivot Tables'!$A$4,7),2)),1,0)</f>
        <v>0</v>
      </c>
      <c r="Y2630" s="6">
        <f>1/COUNTIF(Таблица1[Order ID],Таблица1[[#This Row],[Order ID]])</f>
        <v>0.25</v>
      </c>
      <c r="Z2630" s="9">
        <f>1/COUNTIFS(Таблица1[Customer Name],Таблица1[[#This Row],[Customer Name]],Таблица1[Order-Year-Month],Таблица1[[#This Row],[Order-Year-Month]])</f>
        <v>0.14285714285714285</v>
      </c>
    </row>
    <row r="2631" spans="1:26" x14ac:dyDescent="0.2">
      <c r="A2631" s="6">
        <v>4297</v>
      </c>
      <c r="B2631" s="7">
        <v>30597</v>
      </c>
      <c r="C2631" s="8">
        <f>DATE(2012,12,31)-148</f>
        <v>41126</v>
      </c>
      <c r="D2631" s="8" t="str">
        <f t="shared" si="51"/>
        <v>2012-08 (август 2012)</v>
      </c>
      <c r="E2631" s="9" t="s">
        <v>30</v>
      </c>
      <c r="F2631" s="7">
        <v>18</v>
      </c>
      <c r="G2631" s="7">
        <v>93.02</v>
      </c>
      <c r="H2631" s="7">
        <v>7.0000000000000007E-2</v>
      </c>
      <c r="I2631" s="9" t="s">
        <v>22</v>
      </c>
      <c r="J2631" s="10">
        <v>20.010000000000002</v>
      </c>
      <c r="K2631" s="11">
        <v>5.08</v>
      </c>
      <c r="L2631" s="11">
        <v>2.0299999999999998</v>
      </c>
      <c r="M2631" s="9" t="s">
        <v>1423</v>
      </c>
      <c r="N2631" s="6" t="s">
        <v>1123</v>
      </c>
      <c r="O2631" s="6" t="s">
        <v>1123</v>
      </c>
      <c r="P2631" s="9" t="s">
        <v>33</v>
      </c>
      <c r="Q2631" s="9" t="s">
        <v>49</v>
      </c>
      <c r="R2631" s="9" t="s">
        <v>50</v>
      </c>
      <c r="S2631" s="7" t="s">
        <v>918</v>
      </c>
      <c r="T2631" s="9" t="s">
        <v>68</v>
      </c>
      <c r="U2631" s="7">
        <v>0.51</v>
      </c>
      <c r="V2631" s="12">
        <f>C2631+2</f>
        <v>41128</v>
      </c>
      <c r="W2631">
        <f>IF(D2631=' Pivot Tables'!$A$4,1,0)</f>
        <v>0</v>
      </c>
      <c r="X2631">
        <f>IF(AND(LEFT(D2631,4)+1=LEFT(' Pivot Tables'!$A$4,4)+0,RIGHT(LEFT(D2631,7),2)=RIGHT(LEFT(' Pivot Tables'!$A$4,7),2)),1,0)</f>
        <v>0</v>
      </c>
      <c r="Y2631" s="6">
        <f>1/COUNTIF(Таблица1[Order ID],Таблица1[[#This Row],[Order ID]])</f>
        <v>0.5</v>
      </c>
      <c r="Z2631" s="9">
        <f>1/COUNTIFS(Таблица1[Customer Name],Таблица1[[#This Row],[Customer Name]],Таблица1[Order-Year-Month],Таблица1[[#This Row],[Order-Year-Month]])</f>
        <v>0.5</v>
      </c>
    </row>
    <row r="2632" spans="1:26" x14ac:dyDescent="0.2">
      <c r="A2632" s="6">
        <v>4298</v>
      </c>
      <c r="B2632" s="7">
        <v>30597</v>
      </c>
      <c r="C2632" s="8">
        <f>DATE(2012,12,31)-148</f>
        <v>41126</v>
      </c>
      <c r="D2632" s="8" t="str">
        <f t="shared" si="51"/>
        <v>2012-08 (август 2012)</v>
      </c>
      <c r="E2632" s="9" t="s">
        <v>30</v>
      </c>
      <c r="F2632" s="7">
        <v>42</v>
      </c>
      <c r="G2632" s="7">
        <v>639.84</v>
      </c>
      <c r="H2632" s="7">
        <v>0.03</v>
      </c>
      <c r="I2632" s="9" t="s">
        <v>22</v>
      </c>
      <c r="J2632" s="10">
        <v>-95.76</v>
      </c>
      <c r="K2632" s="11">
        <v>15.14</v>
      </c>
      <c r="L2632" s="11">
        <v>4.53</v>
      </c>
      <c r="M2632" s="9" t="s">
        <v>1423</v>
      </c>
      <c r="N2632" s="6" t="s">
        <v>1123</v>
      </c>
      <c r="O2632" s="6" t="s">
        <v>1123</v>
      </c>
      <c r="P2632" s="9" t="s">
        <v>33</v>
      </c>
      <c r="Q2632" s="9" t="s">
        <v>26</v>
      </c>
      <c r="R2632" s="9" t="s">
        <v>27</v>
      </c>
      <c r="S2632" s="7" t="s">
        <v>721</v>
      </c>
      <c r="T2632" s="9" t="s">
        <v>39</v>
      </c>
      <c r="U2632" s="7">
        <v>0.81</v>
      </c>
      <c r="V2632" s="12">
        <f>C2632+1</f>
        <v>41127</v>
      </c>
      <c r="W2632">
        <f>IF(D2632=' Pivot Tables'!$A$4,1,0)</f>
        <v>0</v>
      </c>
      <c r="X2632">
        <f>IF(AND(LEFT(D2632,4)+1=LEFT(' Pivot Tables'!$A$4,4)+0,RIGHT(LEFT(D2632,7),2)=RIGHT(LEFT(' Pivot Tables'!$A$4,7),2)),1,0)</f>
        <v>0</v>
      </c>
      <c r="Y2632" s="6">
        <f>1/COUNTIF(Таблица1[Order ID],Таблица1[[#This Row],[Order ID]])</f>
        <v>0.5</v>
      </c>
      <c r="Z2632" s="9">
        <f>1/COUNTIFS(Таблица1[Customer Name],Таблица1[[#This Row],[Customer Name]],Таблица1[Order-Year-Month],Таблица1[[#This Row],[Order-Year-Month]])</f>
        <v>0.5</v>
      </c>
    </row>
    <row r="2633" spans="1:26" x14ac:dyDescent="0.2">
      <c r="A2633" s="6">
        <v>4349</v>
      </c>
      <c r="B2633" s="7">
        <v>30981</v>
      </c>
      <c r="C2633" s="8">
        <f>DATE(2012,12,31)-685</f>
        <v>40589</v>
      </c>
      <c r="D2633" s="8" t="str">
        <f t="shared" si="51"/>
        <v>2011-02 (февраль 2011)</v>
      </c>
      <c r="E2633" s="9" t="s">
        <v>21</v>
      </c>
      <c r="F2633" s="7">
        <v>29</v>
      </c>
      <c r="G2633" s="7">
        <v>7837.44</v>
      </c>
      <c r="H2633" s="7">
        <v>0.1</v>
      </c>
      <c r="I2633" s="9" t="s">
        <v>31</v>
      </c>
      <c r="J2633" s="10">
        <v>1817.76</v>
      </c>
      <c r="K2633" s="11">
        <v>279.81</v>
      </c>
      <c r="L2633" s="11">
        <v>23.19</v>
      </c>
      <c r="M2633" s="9" t="s">
        <v>1429</v>
      </c>
      <c r="N2633" s="6" t="s">
        <v>1123</v>
      </c>
      <c r="O2633" s="6" t="s">
        <v>1123</v>
      </c>
      <c r="P2633" s="9" t="s">
        <v>60</v>
      </c>
      <c r="Q2633" s="9" t="s">
        <v>26</v>
      </c>
      <c r="R2633" s="9" t="s">
        <v>34</v>
      </c>
      <c r="S2633" s="7" t="s">
        <v>494</v>
      </c>
      <c r="T2633" s="9" t="s">
        <v>36</v>
      </c>
      <c r="U2633" s="7">
        <v>0.59</v>
      </c>
      <c r="V2633" s="12">
        <f>C2633+4</f>
        <v>40593</v>
      </c>
      <c r="W2633">
        <f>IF(D2633=' Pivot Tables'!$A$4,1,0)</f>
        <v>0</v>
      </c>
      <c r="X2633">
        <f>IF(AND(LEFT(D2633,4)+1=LEFT(' Pivot Tables'!$A$4,4)+0,RIGHT(LEFT(D2633,7),2)=RIGHT(LEFT(' Pivot Tables'!$A$4,7),2)),1,0)</f>
        <v>0</v>
      </c>
      <c r="Y2633" s="6">
        <f>1/COUNTIF(Таблица1[Order ID],Таблица1[[#This Row],[Order ID]])</f>
        <v>0.5</v>
      </c>
      <c r="Z2633" s="9">
        <f>1/COUNTIFS(Таблица1[Customer Name],Таблица1[[#This Row],[Customer Name]],Таблица1[Order-Year-Month],Таблица1[[#This Row],[Order-Year-Month]])</f>
        <v>0.5</v>
      </c>
    </row>
    <row r="2634" spans="1:26" x14ac:dyDescent="0.2">
      <c r="A2634" s="6">
        <v>4350</v>
      </c>
      <c r="B2634" s="7">
        <v>30981</v>
      </c>
      <c r="C2634" s="8">
        <f>DATE(2012,12,31)-685</f>
        <v>40589</v>
      </c>
      <c r="D2634" s="8" t="str">
        <f t="shared" si="51"/>
        <v>2011-02 (февраль 2011)</v>
      </c>
      <c r="E2634" s="9" t="s">
        <v>21</v>
      </c>
      <c r="F2634" s="7">
        <v>22</v>
      </c>
      <c r="G2634" s="7">
        <v>3653.22</v>
      </c>
      <c r="H2634" s="7">
        <v>0.09</v>
      </c>
      <c r="I2634" s="9" t="s">
        <v>31</v>
      </c>
      <c r="J2634" s="10">
        <v>-116.02</v>
      </c>
      <c r="K2634" s="11">
        <v>180.98</v>
      </c>
      <c r="L2634" s="11">
        <v>30</v>
      </c>
      <c r="M2634" s="9" t="s">
        <v>1429</v>
      </c>
      <c r="N2634" s="6" t="s">
        <v>1123</v>
      </c>
      <c r="O2634" s="6" t="s">
        <v>1123</v>
      </c>
      <c r="P2634" s="9" t="s">
        <v>60</v>
      </c>
      <c r="Q2634" s="9" t="s">
        <v>49</v>
      </c>
      <c r="R2634" s="9" t="s">
        <v>112</v>
      </c>
      <c r="S2634" s="7" t="s">
        <v>957</v>
      </c>
      <c r="T2634" s="9" t="s">
        <v>36</v>
      </c>
      <c r="U2634" s="7">
        <v>0.69</v>
      </c>
      <c r="V2634" s="12">
        <f>C2634+2</f>
        <v>40591</v>
      </c>
      <c r="W2634">
        <f>IF(D2634=' Pivot Tables'!$A$4,1,0)</f>
        <v>0</v>
      </c>
      <c r="X2634">
        <f>IF(AND(LEFT(D2634,4)+1=LEFT(' Pivot Tables'!$A$4,4)+0,RIGHT(LEFT(D2634,7),2)=RIGHT(LEFT(' Pivot Tables'!$A$4,7),2)),1,0)</f>
        <v>0</v>
      </c>
      <c r="Y2634" s="6">
        <f>1/COUNTIF(Таблица1[Order ID],Таблица1[[#This Row],[Order ID]])</f>
        <v>0.5</v>
      </c>
      <c r="Z2634" s="9">
        <f>1/COUNTIFS(Таблица1[Customer Name],Таблица1[[#This Row],[Customer Name]],Таблица1[Order-Year-Month],Таблица1[[#This Row],[Order-Year-Month]])</f>
        <v>0.5</v>
      </c>
    </row>
    <row r="2635" spans="1:26" x14ac:dyDescent="0.2">
      <c r="A2635" s="6">
        <v>4455</v>
      </c>
      <c r="B2635" s="7">
        <v>31751</v>
      </c>
      <c r="C2635" s="8">
        <f>DATE(2012,12,31)-585</f>
        <v>40689</v>
      </c>
      <c r="D2635" s="8" t="str">
        <f t="shared" si="51"/>
        <v>2011-05 (май 2011)</v>
      </c>
      <c r="E2635" s="9" t="s">
        <v>30</v>
      </c>
      <c r="F2635" s="7">
        <v>31</v>
      </c>
      <c r="G2635" s="7">
        <v>413.12</v>
      </c>
      <c r="H2635" s="7">
        <v>0.1</v>
      </c>
      <c r="I2635" s="9" t="s">
        <v>56</v>
      </c>
      <c r="J2635" s="10">
        <v>-10.223500000000001</v>
      </c>
      <c r="K2635" s="11">
        <v>14.27</v>
      </c>
      <c r="L2635" s="11">
        <v>7.27</v>
      </c>
      <c r="M2635" s="9" t="s">
        <v>1418</v>
      </c>
      <c r="N2635" s="6" t="s">
        <v>1123</v>
      </c>
      <c r="O2635" s="6" t="s">
        <v>1123</v>
      </c>
      <c r="P2635" s="9" t="s">
        <v>25</v>
      </c>
      <c r="Q2635" s="9" t="s">
        <v>26</v>
      </c>
      <c r="R2635" s="9" t="s">
        <v>37</v>
      </c>
      <c r="S2635" s="7" t="s">
        <v>658</v>
      </c>
      <c r="T2635" s="9" t="s">
        <v>39</v>
      </c>
      <c r="U2635" s="7">
        <v>0.38</v>
      </c>
      <c r="V2635" s="12">
        <f>C2635+2</f>
        <v>40691</v>
      </c>
      <c r="W2635">
        <f>IF(D2635=' Pivot Tables'!$A$4,1,0)</f>
        <v>0</v>
      </c>
      <c r="X2635">
        <f>IF(AND(LEFT(D2635,4)+1=LEFT(' Pivot Tables'!$A$4,4)+0,RIGHT(LEFT(D2635,7),2)=RIGHT(LEFT(' Pivot Tables'!$A$4,7),2)),1,0)</f>
        <v>0</v>
      </c>
      <c r="Y2635" s="6">
        <f>1/COUNTIF(Таблица1[Order ID],Таблица1[[#This Row],[Order ID]])</f>
        <v>1</v>
      </c>
      <c r="Z2635" s="9">
        <f>1/COUNTIFS(Таблица1[Customer Name],Таблица1[[#This Row],[Customer Name]],Таблица1[Order-Year-Month],Таблица1[[#This Row],[Order-Year-Month]])</f>
        <v>1</v>
      </c>
    </row>
    <row r="2636" spans="1:26" x14ac:dyDescent="0.2">
      <c r="A2636" s="6">
        <v>4473</v>
      </c>
      <c r="B2636" s="7">
        <v>31873</v>
      </c>
      <c r="C2636" s="8">
        <f>DATE(2012,12,31)-1149</f>
        <v>40125</v>
      </c>
      <c r="D2636" s="8" t="str">
        <f t="shared" si="51"/>
        <v>2009-11 (ноябрь 2009)</v>
      </c>
      <c r="E2636" s="9" t="s">
        <v>21</v>
      </c>
      <c r="F2636" s="7">
        <v>2</v>
      </c>
      <c r="G2636" s="7">
        <v>141.59</v>
      </c>
      <c r="H2636" s="7">
        <v>0.05</v>
      </c>
      <c r="I2636" s="9" t="s">
        <v>22</v>
      </c>
      <c r="J2636" s="10">
        <v>-91.09</v>
      </c>
      <c r="K2636" s="11">
        <v>70.97</v>
      </c>
      <c r="L2636" s="11">
        <v>3.5</v>
      </c>
      <c r="M2636" s="9" t="s">
        <v>1443</v>
      </c>
      <c r="N2636" s="6" t="s">
        <v>1123</v>
      </c>
      <c r="O2636" s="6" t="s">
        <v>1123</v>
      </c>
      <c r="P2636" s="9" t="s">
        <v>60</v>
      </c>
      <c r="Q2636" s="9" t="s">
        <v>26</v>
      </c>
      <c r="R2636" s="9" t="s">
        <v>34</v>
      </c>
      <c r="S2636" s="7" t="s">
        <v>1401</v>
      </c>
      <c r="T2636" s="9" t="s">
        <v>39</v>
      </c>
      <c r="U2636" s="7">
        <v>0.59</v>
      </c>
      <c r="V2636" s="12">
        <f>C2636+5</f>
        <v>40130</v>
      </c>
      <c r="W2636">
        <f>IF(D2636=' Pivot Tables'!$A$4,1,0)</f>
        <v>0</v>
      </c>
      <c r="X2636">
        <f>IF(AND(LEFT(D2636,4)+1=LEFT(' Pivot Tables'!$A$4,4)+0,RIGHT(LEFT(D2636,7),2)=RIGHT(LEFT(' Pivot Tables'!$A$4,7),2)),1,0)</f>
        <v>0</v>
      </c>
      <c r="Y2636" s="6">
        <f>1/COUNTIF(Таблица1[Order ID],Таблица1[[#This Row],[Order ID]])</f>
        <v>0.25</v>
      </c>
      <c r="Z2636" s="9">
        <f>1/COUNTIFS(Таблица1[Customer Name],Таблица1[[#This Row],[Customer Name]],Таблица1[Order-Year-Month],Таблица1[[#This Row],[Order-Year-Month]])</f>
        <v>0.25</v>
      </c>
    </row>
    <row r="2637" spans="1:26" x14ac:dyDescent="0.2">
      <c r="A2637" s="6">
        <v>4474</v>
      </c>
      <c r="B2637" s="7">
        <v>31873</v>
      </c>
      <c r="C2637" s="8">
        <f>DATE(2012,12,31)-1149</f>
        <v>40125</v>
      </c>
      <c r="D2637" s="8" t="str">
        <f t="shared" si="51"/>
        <v>2009-11 (ноябрь 2009)</v>
      </c>
      <c r="E2637" s="9" t="s">
        <v>21</v>
      </c>
      <c r="F2637" s="7">
        <v>14</v>
      </c>
      <c r="G2637" s="7">
        <v>2465.5014999999999</v>
      </c>
      <c r="H2637" s="7">
        <v>0.06</v>
      </c>
      <c r="I2637" s="9" t="s">
        <v>22</v>
      </c>
      <c r="J2637" s="10">
        <v>13.014000000000001</v>
      </c>
      <c r="K2637" s="11">
        <v>205.99</v>
      </c>
      <c r="L2637" s="11">
        <v>8.99</v>
      </c>
      <c r="M2637" s="9" t="s">
        <v>1443</v>
      </c>
      <c r="N2637" s="6" t="s">
        <v>1123</v>
      </c>
      <c r="O2637" s="6" t="s">
        <v>1123</v>
      </c>
      <c r="P2637" s="9" t="s">
        <v>60</v>
      </c>
      <c r="Q2637" s="9" t="s">
        <v>42</v>
      </c>
      <c r="R2637" s="9" t="s">
        <v>43</v>
      </c>
      <c r="S2637" s="7" t="s">
        <v>1021</v>
      </c>
      <c r="T2637" s="9" t="s">
        <v>39</v>
      </c>
      <c r="U2637" s="7">
        <v>0.6</v>
      </c>
      <c r="V2637" s="12">
        <f>C2637+7</f>
        <v>40132</v>
      </c>
      <c r="W2637">
        <f>IF(D2637=' Pivot Tables'!$A$4,1,0)</f>
        <v>0</v>
      </c>
      <c r="X2637">
        <f>IF(AND(LEFT(D2637,4)+1=LEFT(' Pivot Tables'!$A$4,4)+0,RIGHT(LEFT(D2637,7),2)=RIGHT(LEFT(' Pivot Tables'!$A$4,7),2)),1,0)</f>
        <v>0</v>
      </c>
      <c r="Y2637" s="6">
        <f>1/COUNTIF(Таблица1[Order ID],Таблица1[[#This Row],[Order ID]])</f>
        <v>0.25</v>
      </c>
      <c r="Z2637" s="9">
        <f>1/COUNTIFS(Таблица1[Customer Name],Таблица1[[#This Row],[Customer Name]],Таблица1[Order-Year-Month],Таблица1[[#This Row],[Order-Year-Month]])</f>
        <v>0.25</v>
      </c>
    </row>
    <row r="2638" spans="1:26" x14ac:dyDescent="0.2">
      <c r="A2638" s="6">
        <v>4475</v>
      </c>
      <c r="B2638" s="7">
        <v>31873</v>
      </c>
      <c r="C2638" s="8">
        <f>DATE(2012,12,31)-1149</f>
        <v>40125</v>
      </c>
      <c r="D2638" s="8" t="str">
        <f t="shared" si="51"/>
        <v>2009-11 (ноябрь 2009)</v>
      </c>
      <c r="E2638" s="9" t="s">
        <v>21</v>
      </c>
      <c r="F2638" s="7">
        <v>50</v>
      </c>
      <c r="G2638" s="7">
        <v>8558.4714999999997</v>
      </c>
      <c r="H2638" s="7">
        <v>0.06</v>
      </c>
      <c r="I2638" s="9" t="s">
        <v>22</v>
      </c>
      <c r="J2638" s="10">
        <v>2539.4580000000001</v>
      </c>
      <c r="K2638" s="11">
        <v>205.99</v>
      </c>
      <c r="L2638" s="11">
        <v>8.99</v>
      </c>
      <c r="M2638" s="9" t="s">
        <v>1443</v>
      </c>
      <c r="N2638" s="6" t="s">
        <v>1123</v>
      </c>
      <c r="O2638" s="6" t="s">
        <v>1123</v>
      </c>
      <c r="P2638" s="9" t="s">
        <v>60</v>
      </c>
      <c r="Q2638" s="9" t="s">
        <v>42</v>
      </c>
      <c r="R2638" s="9" t="s">
        <v>43</v>
      </c>
      <c r="S2638" s="7" t="s">
        <v>1444</v>
      </c>
      <c r="T2638" s="9" t="s">
        <v>39</v>
      </c>
      <c r="U2638" s="7">
        <v>0.56000000000000005</v>
      </c>
      <c r="V2638" s="12">
        <f>C2638+7</f>
        <v>40132</v>
      </c>
      <c r="W2638">
        <f>IF(D2638=' Pivot Tables'!$A$4,1,0)</f>
        <v>0</v>
      </c>
      <c r="X2638">
        <f>IF(AND(LEFT(D2638,4)+1=LEFT(' Pivot Tables'!$A$4,4)+0,RIGHT(LEFT(D2638,7),2)=RIGHT(LEFT(' Pivot Tables'!$A$4,7),2)),1,0)</f>
        <v>0</v>
      </c>
      <c r="Y2638" s="6">
        <f>1/COUNTIF(Таблица1[Order ID],Таблица1[[#This Row],[Order ID]])</f>
        <v>0.25</v>
      </c>
      <c r="Z2638" s="9">
        <f>1/COUNTIFS(Таблица1[Customer Name],Таблица1[[#This Row],[Customer Name]],Таблица1[Order-Year-Month],Таблица1[[#This Row],[Order-Year-Month]])</f>
        <v>0.25</v>
      </c>
    </row>
    <row r="2639" spans="1:26" x14ac:dyDescent="0.2">
      <c r="A2639" s="6">
        <v>4476</v>
      </c>
      <c r="B2639" s="7">
        <v>31873</v>
      </c>
      <c r="C2639" s="8">
        <f>DATE(2012,12,31)-1149</f>
        <v>40125</v>
      </c>
      <c r="D2639" s="8" t="str">
        <f t="shared" si="51"/>
        <v>2009-11 (ноябрь 2009)</v>
      </c>
      <c r="E2639" s="9" t="s">
        <v>21</v>
      </c>
      <c r="F2639" s="7">
        <v>42</v>
      </c>
      <c r="G2639" s="7">
        <v>236.89</v>
      </c>
      <c r="H2639" s="7">
        <v>0</v>
      </c>
      <c r="I2639" s="9" t="s">
        <v>22</v>
      </c>
      <c r="J2639" s="10">
        <v>-125.29</v>
      </c>
      <c r="K2639" s="11">
        <v>5.28</v>
      </c>
      <c r="L2639" s="11">
        <v>6.26</v>
      </c>
      <c r="M2639" s="9" t="s">
        <v>1443</v>
      </c>
      <c r="N2639" s="6" t="s">
        <v>1123</v>
      </c>
      <c r="O2639" s="6" t="s">
        <v>1123</v>
      </c>
      <c r="P2639" s="9" t="s">
        <v>60</v>
      </c>
      <c r="Q2639" s="9" t="s">
        <v>26</v>
      </c>
      <c r="R2639" s="9" t="s">
        <v>61</v>
      </c>
      <c r="S2639" s="7" t="s">
        <v>580</v>
      </c>
      <c r="T2639" s="9" t="s">
        <v>39</v>
      </c>
      <c r="U2639" s="7">
        <v>0.4</v>
      </c>
      <c r="V2639" s="12">
        <f>C2639+7</f>
        <v>40132</v>
      </c>
      <c r="W2639">
        <f>IF(D2639=' Pivot Tables'!$A$4,1,0)</f>
        <v>0</v>
      </c>
      <c r="X2639">
        <f>IF(AND(LEFT(D2639,4)+1=LEFT(' Pivot Tables'!$A$4,4)+0,RIGHT(LEFT(D2639,7),2)=RIGHT(LEFT(' Pivot Tables'!$A$4,7),2)),1,0)</f>
        <v>0</v>
      </c>
      <c r="Y2639" s="6">
        <f>1/COUNTIF(Таблица1[Order ID],Таблица1[[#This Row],[Order ID]])</f>
        <v>0.25</v>
      </c>
      <c r="Z2639" s="9">
        <f>1/COUNTIFS(Таблица1[Customer Name],Таблица1[[#This Row],[Customer Name]],Таблица1[Order-Year-Month],Таблица1[[#This Row],[Order-Year-Month]])</f>
        <v>0.25</v>
      </c>
    </row>
    <row r="2640" spans="1:26" x14ac:dyDescent="0.2">
      <c r="A2640" s="6">
        <v>4492</v>
      </c>
      <c r="B2640" s="7">
        <v>32000</v>
      </c>
      <c r="C2640" s="8">
        <f>DATE(2012,12,31)-109</f>
        <v>41165</v>
      </c>
      <c r="D2640" s="8" t="str">
        <f t="shared" si="51"/>
        <v>2012-09 (сентябрь 2012)</v>
      </c>
      <c r="E2640" s="9" t="s">
        <v>21</v>
      </c>
      <c r="F2640" s="7">
        <v>49</v>
      </c>
      <c r="G2640" s="7">
        <v>162.16</v>
      </c>
      <c r="H2640" s="7">
        <v>0.05</v>
      </c>
      <c r="I2640" s="9" t="s">
        <v>22</v>
      </c>
      <c r="J2640" s="10">
        <v>24.95</v>
      </c>
      <c r="K2640" s="11">
        <v>3.29</v>
      </c>
      <c r="L2640" s="11">
        <v>1.35</v>
      </c>
      <c r="M2640" s="9" t="s">
        <v>1442</v>
      </c>
      <c r="N2640" s="6" t="s">
        <v>1123</v>
      </c>
      <c r="O2640" s="6" t="s">
        <v>1123</v>
      </c>
      <c r="P2640" s="9" t="s">
        <v>60</v>
      </c>
      <c r="Q2640" s="9" t="s">
        <v>26</v>
      </c>
      <c r="R2640" s="9" t="s">
        <v>66</v>
      </c>
      <c r="S2640" s="7" t="s">
        <v>464</v>
      </c>
      <c r="T2640" s="9" t="s">
        <v>68</v>
      </c>
      <c r="U2640" s="7">
        <v>0.4</v>
      </c>
      <c r="V2640" s="12">
        <f>C2640+2</f>
        <v>41167</v>
      </c>
      <c r="W2640">
        <f>IF(D2640=' Pivot Tables'!$A$4,1,0)</f>
        <v>0</v>
      </c>
      <c r="X2640">
        <f>IF(AND(LEFT(D2640,4)+1=LEFT(' Pivot Tables'!$A$4,4)+0,RIGHT(LEFT(D2640,7),2)=RIGHT(LEFT(' Pivot Tables'!$A$4,7),2)),1,0)</f>
        <v>0</v>
      </c>
      <c r="Y2640" s="6">
        <f>1/COUNTIF(Таблица1[Order ID],Таблица1[[#This Row],[Order ID]])</f>
        <v>0.5</v>
      </c>
      <c r="Z2640" s="9">
        <f>1/COUNTIFS(Таблица1[Customer Name],Таблица1[[#This Row],[Customer Name]],Таблица1[Order-Year-Month],Таблица1[[#This Row],[Order-Year-Month]])</f>
        <v>0.5</v>
      </c>
    </row>
    <row r="2641" spans="1:26" x14ac:dyDescent="0.2">
      <c r="A2641" s="6">
        <v>4493</v>
      </c>
      <c r="B2641" s="7">
        <v>32000</v>
      </c>
      <c r="C2641" s="8">
        <f>DATE(2012,12,31)-109</f>
        <v>41165</v>
      </c>
      <c r="D2641" s="8" t="str">
        <f t="shared" si="51"/>
        <v>2012-09 (сентябрь 2012)</v>
      </c>
      <c r="E2641" s="9" t="s">
        <v>21</v>
      </c>
      <c r="F2641" s="7">
        <v>26</v>
      </c>
      <c r="G2641" s="7">
        <v>15168.82</v>
      </c>
      <c r="H2641" s="7">
        <v>0.02</v>
      </c>
      <c r="I2641" s="9" t="s">
        <v>31</v>
      </c>
      <c r="J2641" s="10">
        <v>-1096.7760000000001</v>
      </c>
      <c r="K2641" s="11">
        <v>550.98</v>
      </c>
      <c r="L2641" s="11">
        <v>147.12</v>
      </c>
      <c r="M2641" s="9" t="s">
        <v>1442</v>
      </c>
      <c r="N2641" s="6" t="s">
        <v>1123</v>
      </c>
      <c r="O2641" s="6" t="s">
        <v>1123</v>
      </c>
      <c r="P2641" s="9" t="s">
        <v>60</v>
      </c>
      <c r="Q2641" s="9" t="s">
        <v>49</v>
      </c>
      <c r="R2641" s="9" t="s">
        <v>83</v>
      </c>
      <c r="S2641" s="7" t="s">
        <v>628</v>
      </c>
      <c r="T2641" s="9" t="s">
        <v>82</v>
      </c>
      <c r="U2641" s="7">
        <v>0.8</v>
      </c>
      <c r="V2641" s="12">
        <f>C2641+7</f>
        <v>41172</v>
      </c>
      <c r="W2641">
        <f>IF(D2641=' Pivot Tables'!$A$4,1,0)</f>
        <v>0</v>
      </c>
      <c r="X2641">
        <f>IF(AND(LEFT(D2641,4)+1=LEFT(' Pivot Tables'!$A$4,4)+0,RIGHT(LEFT(D2641,7),2)=RIGHT(LEFT(' Pivot Tables'!$A$4,7),2)),1,0)</f>
        <v>0</v>
      </c>
      <c r="Y2641" s="6">
        <f>1/COUNTIF(Таблица1[Order ID],Таблица1[[#This Row],[Order ID]])</f>
        <v>0.5</v>
      </c>
      <c r="Z2641" s="9">
        <f>1/COUNTIFS(Таблица1[Customer Name],Таблица1[[#This Row],[Customer Name]],Таблица1[Order-Year-Month],Таблица1[[#This Row],[Order-Year-Month]])</f>
        <v>0.5</v>
      </c>
    </row>
    <row r="2642" spans="1:26" x14ac:dyDescent="0.2">
      <c r="A2642" s="6">
        <v>4597</v>
      </c>
      <c r="B2642" s="7">
        <v>32737</v>
      </c>
      <c r="C2642" s="8">
        <f>DATE(2012,12,31)-1160</f>
        <v>40114</v>
      </c>
      <c r="D2642" s="8" t="str">
        <f t="shared" si="51"/>
        <v>2009-10 (октябрь 2009)</v>
      </c>
      <c r="E2642" s="9" t="s">
        <v>30</v>
      </c>
      <c r="F2642" s="7">
        <v>14</v>
      </c>
      <c r="G2642" s="7">
        <v>367.11</v>
      </c>
      <c r="H2642" s="7">
        <v>0.09</v>
      </c>
      <c r="I2642" s="9" t="s">
        <v>22</v>
      </c>
      <c r="J2642" s="10">
        <v>116.79849999999999</v>
      </c>
      <c r="K2642" s="11">
        <v>28.53</v>
      </c>
      <c r="L2642" s="11">
        <v>1.49</v>
      </c>
      <c r="M2642" s="9" t="s">
        <v>1442</v>
      </c>
      <c r="N2642" s="6" t="s">
        <v>1123</v>
      </c>
      <c r="O2642" s="6" t="s">
        <v>1123</v>
      </c>
      <c r="P2642" s="9" t="s">
        <v>60</v>
      </c>
      <c r="Q2642" s="9" t="s">
        <v>26</v>
      </c>
      <c r="R2642" s="9" t="s">
        <v>37</v>
      </c>
      <c r="S2642" s="7" t="s">
        <v>380</v>
      </c>
      <c r="T2642" s="9" t="s">
        <v>39</v>
      </c>
      <c r="U2642" s="7">
        <v>0.38</v>
      </c>
      <c r="V2642" s="12">
        <f>C2642+2</f>
        <v>40116</v>
      </c>
      <c r="W2642">
        <f>IF(D2642=' Pivot Tables'!$A$4,1,0)</f>
        <v>0</v>
      </c>
      <c r="X2642">
        <f>IF(AND(LEFT(D2642,4)+1=LEFT(' Pivot Tables'!$A$4,4)+0,RIGHT(LEFT(D2642,7),2)=RIGHT(LEFT(' Pivot Tables'!$A$4,7),2)),1,0)</f>
        <v>0</v>
      </c>
      <c r="Y2642" s="6">
        <f>1/COUNTIF(Таблица1[Order ID],Таблица1[[#This Row],[Order ID]])</f>
        <v>1</v>
      </c>
      <c r="Z2642" s="9">
        <f>1/COUNTIFS(Таблица1[Customer Name],Таблица1[[#This Row],[Customer Name]],Таблица1[Order-Year-Month],Таблица1[[#This Row],[Order-Year-Month]])</f>
        <v>1</v>
      </c>
    </row>
    <row r="2643" spans="1:26" x14ac:dyDescent="0.2">
      <c r="A2643" s="6">
        <v>4918</v>
      </c>
      <c r="B2643" s="7">
        <v>35012</v>
      </c>
      <c r="C2643" s="8">
        <f>DATE(2012,12,31)-206</f>
        <v>41068</v>
      </c>
      <c r="D2643" s="8" t="str">
        <f t="shared" si="51"/>
        <v>2012-06 (июнь 2012)</v>
      </c>
      <c r="E2643" s="9" t="s">
        <v>63</v>
      </c>
      <c r="F2643" s="7">
        <v>10</v>
      </c>
      <c r="G2643" s="7">
        <v>126.79</v>
      </c>
      <c r="H2643" s="7">
        <v>0.04</v>
      </c>
      <c r="I2643" s="9" t="s">
        <v>22</v>
      </c>
      <c r="J2643" s="10">
        <v>-16.38</v>
      </c>
      <c r="K2643" s="11">
        <v>11.97</v>
      </c>
      <c r="L2643" s="11">
        <v>4.9800000000000004</v>
      </c>
      <c r="M2643" s="9" t="s">
        <v>1412</v>
      </c>
      <c r="N2643" s="6" t="s">
        <v>1123</v>
      </c>
      <c r="O2643" s="6" t="s">
        <v>1123</v>
      </c>
      <c r="P2643" s="9" t="s">
        <v>41</v>
      </c>
      <c r="Q2643" s="9" t="s">
        <v>26</v>
      </c>
      <c r="R2643" s="9" t="s">
        <v>34</v>
      </c>
      <c r="S2643" s="7" t="s">
        <v>274</v>
      </c>
      <c r="T2643" s="9" t="s">
        <v>39</v>
      </c>
      <c r="U2643" s="7">
        <v>0.57999999999999996</v>
      </c>
      <c r="V2643" s="12">
        <f>C2643+0</f>
        <v>41068</v>
      </c>
      <c r="W2643">
        <f>IF(D2643=' Pivot Tables'!$A$4,1,0)</f>
        <v>0</v>
      </c>
      <c r="X2643">
        <f>IF(AND(LEFT(D2643,4)+1=LEFT(' Pivot Tables'!$A$4,4)+0,RIGHT(LEFT(D2643,7),2)=RIGHT(LEFT(' Pivot Tables'!$A$4,7),2)),1,0)</f>
        <v>0</v>
      </c>
      <c r="Y2643" s="6">
        <f>1/COUNTIF(Таблица1[Order ID],Таблица1[[#This Row],[Order ID]])</f>
        <v>0.5</v>
      </c>
      <c r="Z2643" s="9">
        <f>1/COUNTIFS(Таблица1[Customer Name],Таблица1[[#This Row],[Customer Name]],Таблица1[Order-Year-Month],Таблица1[[#This Row],[Order-Year-Month]])</f>
        <v>0.5</v>
      </c>
    </row>
    <row r="2644" spans="1:26" x14ac:dyDescent="0.2">
      <c r="A2644" s="6">
        <v>4919</v>
      </c>
      <c r="B2644" s="7">
        <v>35012</v>
      </c>
      <c r="C2644" s="8">
        <f>DATE(2012,12,31)-206</f>
        <v>41068</v>
      </c>
      <c r="D2644" s="8" t="str">
        <f t="shared" si="51"/>
        <v>2012-06 (июнь 2012)</v>
      </c>
      <c r="E2644" s="9" t="s">
        <v>63</v>
      </c>
      <c r="F2644" s="7">
        <v>11</v>
      </c>
      <c r="G2644" s="7">
        <v>1770.2015000000001</v>
      </c>
      <c r="H2644" s="7">
        <v>0.08</v>
      </c>
      <c r="I2644" s="9" t="s">
        <v>22</v>
      </c>
      <c r="J2644" s="10">
        <v>-165.94600000000003</v>
      </c>
      <c r="K2644" s="11">
        <v>195.99</v>
      </c>
      <c r="L2644" s="11">
        <v>4.2</v>
      </c>
      <c r="M2644" s="9" t="s">
        <v>1412</v>
      </c>
      <c r="N2644" s="6" t="s">
        <v>1123</v>
      </c>
      <c r="O2644" s="6" t="s">
        <v>1123</v>
      </c>
      <c r="P2644" s="9" t="s">
        <v>41</v>
      </c>
      <c r="Q2644" s="9" t="s">
        <v>42</v>
      </c>
      <c r="R2644" s="9" t="s">
        <v>43</v>
      </c>
      <c r="S2644" s="7" t="s">
        <v>1017</v>
      </c>
      <c r="T2644" s="9" t="s">
        <v>39</v>
      </c>
      <c r="U2644" s="7">
        <v>0.56000000000000005</v>
      </c>
      <c r="V2644" s="12">
        <f>C2644+1</f>
        <v>41069</v>
      </c>
      <c r="W2644">
        <f>IF(D2644=' Pivot Tables'!$A$4,1,0)</f>
        <v>0</v>
      </c>
      <c r="X2644">
        <f>IF(AND(LEFT(D2644,4)+1=LEFT(' Pivot Tables'!$A$4,4)+0,RIGHT(LEFT(D2644,7),2)=RIGHT(LEFT(' Pivot Tables'!$A$4,7),2)),1,0)</f>
        <v>0</v>
      </c>
      <c r="Y2644" s="6">
        <f>1/COUNTIF(Таблица1[Order ID],Таблица1[[#This Row],[Order ID]])</f>
        <v>0.5</v>
      </c>
      <c r="Z2644" s="9">
        <f>1/COUNTIFS(Таблица1[Customer Name],Таблица1[[#This Row],[Customer Name]],Таблица1[Order-Year-Month],Таблица1[[#This Row],[Order-Year-Month]])</f>
        <v>0.5</v>
      </c>
    </row>
    <row r="2645" spans="1:26" x14ac:dyDescent="0.2">
      <c r="A2645" s="6">
        <v>4922</v>
      </c>
      <c r="B2645" s="7">
        <v>35042</v>
      </c>
      <c r="C2645" s="8">
        <f>DATE(2012,12,31)-760</f>
        <v>40514</v>
      </c>
      <c r="D2645" s="8" t="str">
        <f t="shared" si="51"/>
        <v>2010-12 (декабрь 2010)</v>
      </c>
      <c r="E2645" s="9" t="s">
        <v>45</v>
      </c>
      <c r="F2645" s="7">
        <v>23</v>
      </c>
      <c r="G2645" s="7">
        <v>1196.8599999999999</v>
      </c>
      <c r="H2645" s="7">
        <v>0.06</v>
      </c>
      <c r="I2645" s="9" t="s">
        <v>22</v>
      </c>
      <c r="J2645" s="10">
        <v>-12.51</v>
      </c>
      <c r="K2645" s="11">
        <v>50.98</v>
      </c>
      <c r="L2645" s="11">
        <v>6.5</v>
      </c>
      <c r="M2645" s="9" t="s">
        <v>1410</v>
      </c>
      <c r="N2645" s="6" t="s">
        <v>1123</v>
      </c>
      <c r="O2645" s="6" t="s">
        <v>1123</v>
      </c>
      <c r="P2645" s="9" t="s">
        <v>60</v>
      </c>
      <c r="Q2645" s="9" t="s">
        <v>42</v>
      </c>
      <c r="R2645" s="9" t="s">
        <v>70</v>
      </c>
      <c r="S2645" s="7" t="s">
        <v>187</v>
      </c>
      <c r="T2645" s="9" t="s">
        <v>39</v>
      </c>
      <c r="U2645" s="7">
        <v>0.73</v>
      </c>
      <c r="V2645" s="12">
        <f>C2645+1</f>
        <v>40515</v>
      </c>
      <c r="W2645">
        <f>IF(D2645=' Pivot Tables'!$A$4,1,0)</f>
        <v>0</v>
      </c>
      <c r="X2645">
        <f>IF(AND(LEFT(D2645,4)+1=LEFT(' Pivot Tables'!$A$4,4)+0,RIGHT(LEFT(D2645,7),2)=RIGHT(LEFT(' Pivot Tables'!$A$4,7),2)),1,0)</f>
        <v>0</v>
      </c>
      <c r="Y2645" s="6">
        <f>1/COUNTIF(Таблица1[Order ID],Таблица1[[#This Row],[Order ID]])</f>
        <v>1</v>
      </c>
      <c r="Z2645" s="9">
        <f>1/COUNTIFS(Таблица1[Customer Name],Таблица1[[#This Row],[Customer Name]],Таблица1[Order-Year-Month],Таблица1[[#This Row],[Order-Year-Month]])</f>
        <v>1</v>
      </c>
    </row>
    <row r="2646" spans="1:26" x14ac:dyDescent="0.2">
      <c r="A2646" s="6">
        <v>5009</v>
      </c>
      <c r="B2646" s="7">
        <v>35713</v>
      </c>
      <c r="C2646" s="8">
        <f>DATE(2012,12,31)-75</f>
        <v>41199</v>
      </c>
      <c r="D2646" s="8" t="str">
        <f t="shared" si="51"/>
        <v>2012-10 (октябрь 2012)</v>
      </c>
      <c r="E2646" s="9" t="s">
        <v>63</v>
      </c>
      <c r="F2646" s="7">
        <v>49</v>
      </c>
      <c r="G2646" s="7">
        <v>1355.47</v>
      </c>
      <c r="H2646" s="7">
        <v>0.04</v>
      </c>
      <c r="I2646" s="9" t="s">
        <v>22</v>
      </c>
      <c r="J2646" s="10">
        <v>590.04449999999997</v>
      </c>
      <c r="K2646" s="11">
        <v>28.53</v>
      </c>
      <c r="L2646" s="11">
        <v>1.49</v>
      </c>
      <c r="M2646" s="9" t="s">
        <v>1421</v>
      </c>
      <c r="N2646" s="6" t="s">
        <v>1123</v>
      </c>
      <c r="O2646" s="6" t="s">
        <v>1123</v>
      </c>
      <c r="P2646" s="9" t="s">
        <v>41</v>
      </c>
      <c r="Q2646" s="9" t="s">
        <v>26</v>
      </c>
      <c r="R2646" s="9" t="s">
        <v>37</v>
      </c>
      <c r="S2646" s="7" t="s">
        <v>380</v>
      </c>
      <c r="T2646" s="9" t="s">
        <v>39</v>
      </c>
      <c r="U2646" s="7">
        <v>0.38</v>
      </c>
      <c r="V2646" s="12">
        <f>C2646+0</f>
        <v>41199</v>
      </c>
      <c r="W2646">
        <f>IF(D2646=' Pivot Tables'!$A$4,1,0)</f>
        <v>0</v>
      </c>
      <c r="X2646">
        <f>IF(AND(LEFT(D2646,4)+1=LEFT(' Pivot Tables'!$A$4,4)+0,RIGHT(LEFT(D2646,7),2)=RIGHT(LEFT(' Pivot Tables'!$A$4,7),2)),1,0)</f>
        <v>0</v>
      </c>
      <c r="Y2646" s="6">
        <f>1/COUNTIF(Таблица1[Order ID],Таблица1[[#This Row],[Order ID]])</f>
        <v>1</v>
      </c>
      <c r="Z2646" s="9">
        <f>1/COUNTIFS(Таблица1[Customer Name],Таблица1[[#This Row],[Customer Name]],Таблица1[Order-Year-Month],Таблица1[[#This Row],[Order-Year-Month]])</f>
        <v>1</v>
      </c>
    </row>
    <row r="2647" spans="1:26" x14ac:dyDescent="0.2">
      <c r="A2647" s="6">
        <v>5082</v>
      </c>
      <c r="B2647" s="7">
        <v>36229</v>
      </c>
      <c r="C2647" s="8">
        <f>DATE(2012,12,31)-101</f>
        <v>41173</v>
      </c>
      <c r="D2647" s="8" t="str">
        <f t="shared" si="51"/>
        <v>2012-09 (сентябрь 2012)</v>
      </c>
      <c r="E2647" s="9" t="s">
        <v>45</v>
      </c>
      <c r="F2647" s="7">
        <v>12</v>
      </c>
      <c r="G2647" s="7">
        <v>1465.29</v>
      </c>
      <c r="H2647" s="7">
        <v>0.02</v>
      </c>
      <c r="I2647" s="9" t="s">
        <v>22</v>
      </c>
      <c r="J2647" s="10">
        <v>373.5</v>
      </c>
      <c r="K2647" s="11">
        <v>120.97</v>
      </c>
      <c r="L2647" s="11">
        <v>7.11</v>
      </c>
      <c r="M2647" s="9" t="s">
        <v>1438</v>
      </c>
      <c r="N2647" s="6" t="s">
        <v>1123</v>
      </c>
      <c r="O2647" s="6" t="s">
        <v>1123</v>
      </c>
      <c r="P2647" s="9" t="s">
        <v>60</v>
      </c>
      <c r="Q2647" s="9" t="s">
        <v>42</v>
      </c>
      <c r="R2647" s="9" t="s">
        <v>210</v>
      </c>
      <c r="S2647" s="7" t="s">
        <v>211</v>
      </c>
      <c r="T2647" s="9" t="s">
        <v>48</v>
      </c>
      <c r="U2647" s="7">
        <v>0.36</v>
      </c>
      <c r="V2647" s="12">
        <f>C2647+3</f>
        <v>41176</v>
      </c>
      <c r="W2647">
        <f>IF(D2647=' Pivot Tables'!$A$4,1,0)</f>
        <v>0</v>
      </c>
      <c r="X2647">
        <f>IF(AND(LEFT(D2647,4)+1=LEFT(' Pivot Tables'!$A$4,4)+0,RIGHT(LEFT(D2647,7),2)=RIGHT(LEFT(' Pivot Tables'!$A$4,7),2)),1,0)</f>
        <v>0</v>
      </c>
      <c r="Y2647" s="6">
        <f>1/COUNTIF(Таблица1[Order ID],Таблица1[[#This Row],[Order ID]])</f>
        <v>0.5</v>
      </c>
      <c r="Z2647" s="9">
        <f>1/COUNTIFS(Таблица1[Customer Name],Таблица1[[#This Row],[Customer Name]],Таблица1[Order-Year-Month],Таблица1[[#This Row],[Order-Year-Month]])</f>
        <v>0.5</v>
      </c>
    </row>
    <row r="2648" spans="1:26" x14ac:dyDescent="0.2">
      <c r="A2648" s="6">
        <v>5083</v>
      </c>
      <c r="B2648" s="7">
        <v>36229</v>
      </c>
      <c r="C2648" s="8">
        <f>DATE(2012,12,31)-101</f>
        <v>41173</v>
      </c>
      <c r="D2648" s="8" t="str">
        <f t="shared" si="51"/>
        <v>2012-09 (сентябрь 2012)</v>
      </c>
      <c r="E2648" s="9" t="s">
        <v>45</v>
      </c>
      <c r="F2648" s="7">
        <v>24</v>
      </c>
      <c r="G2648" s="7">
        <v>3590.33</v>
      </c>
      <c r="H2648" s="7">
        <v>0.01</v>
      </c>
      <c r="I2648" s="9" t="s">
        <v>31</v>
      </c>
      <c r="J2648" s="10">
        <v>-31.725000000000001</v>
      </c>
      <c r="K2648" s="11">
        <v>146.34</v>
      </c>
      <c r="L2648" s="11">
        <v>43.75</v>
      </c>
      <c r="M2648" s="9" t="s">
        <v>1438</v>
      </c>
      <c r="N2648" s="6" t="s">
        <v>1123</v>
      </c>
      <c r="O2648" s="6" t="s">
        <v>1123</v>
      </c>
      <c r="P2648" s="9" t="s">
        <v>60</v>
      </c>
      <c r="Q2648" s="9" t="s">
        <v>49</v>
      </c>
      <c r="R2648" s="9" t="s">
        <v>83</v>
      </c>
      <c r="S2648" s="7" t="s">
        <v>204</v>
      </c>
      <c r="T2648" s="9" t="s">
        <v>82</v>
      </c>
      <c r="U2648" s="7">
        <v>0.65</v>
      </c>
      <c r="V2648" s="12">
        <f>C2648+2</f>
        <v>41175</v>
      </c>
      <c r="W2648">
        <f>IF(D2648=' Pivot Tables'!$A$4,1,0)</f>
        <v>0</v>
      </c>
      <c r="X2648">
        <f>IF(AND(LEFT(D2648,4)+1=LEFT(' Pivot Tables'!$A$4,4)+0,RIGHT(LEFT(D2648,7),2)=RIGHT(LEFT(' Pivot Tables'!$A$4,7),2)),1,0)</f>
        <v>0</v>
      </c>
      <c r="Y2648" s="6">
        <f>1/COUNTIF(Таблица1[Order ID],Таблица1[[#This Row],[Order ID]])</f>
        <v>0.5</v>
      </c>
      <c r="Z2648" s="9">
        <f>1/COUNTIFS(Таблица1[Customer Name],Таблица1[[#This Row],[Customer Name]],Таблица1[Order-Year-Month],Таблица1[[#This Row],[Order-Year-Month]])</f>
        <v>0.5</v>
      </c>
    </row>
    <row r="2649" spans="1:26" x14ac:dyDescent="0.2">
      <c r="A2649" s="6">
        <v>5199</v>
      </c>
      <c r="B2649" s="7">
        <v>36933</v>
      </c>
      <c r="C2649" s="8">
        <f>DATE(2012,12,31)-538</f>
        <v>40736</v>
      </c>
      <c r="D2649" s="8" t="str">
        <f t="shared" si="51"/>
        <v>2011-07 (июль 2011)</v>
      </c>
      <c r="E2649" s="9" t="s">
        <v>30</v>
      </c>
      <c r="F2649" s="7">
        <v>32</v>
      </c>
      <c r="G2649" s="7">
        <v>115.81</v>
      </c>
      <c r="H2649" s="7">
        <v>7.0000000000000007E-2</v>
      </c>
      <c r="I2649" s="9" t="s">
        <v>22</v>
      </c>
      <c r="J2649" s="10">
        <v>47.56</v>
      </c>
      <c r="K2649" s="11">
        <v>3.69</v>
      </c>
      <c r="L2649" s="11">
        <v>0.5</v>
      </c>
      <c r="M2649" s="9" t="s">
        <v>1418</v>
      </c>
      <c r="N2649" s="6" t="s">
        <v>1123</v>
      </c>
      <c r="O2649" s="6" t="s">
        <v>1123</v>
      </c>
      <c r="P2649" s="9" t="s">
        <v>25</v>
      </c>
      <c r="Q2649" s="9" t="s">
        <v>26</v>
      </c>
      <c r="R2649" s="9" t="s">
        <v>88</v>
      </c>
      <c r="S2649" s="7" t="s">
        <v>1445</v>
      </c>
      <c r="T2649" s="9" t="s">
        <v>39</v>
      </c>
      <c r="U2649" s="7">
        <v>0.38</v>
      </c>
      <c r="V2649" s="12">
        <f>C2649+1</f>
        <v>40737</v>
      </c>
      <c r="W2649">
        <f>IF(D2649=' Pivot Tables'!$A$4,1,0)</f>
        <v>0</v>
      </c>
      <c r="X2649">
        <f>IF(AND(LEFT(D2649,4)+1=LEFT(' Pivot Tables'!$A$4,4)+0,RIGHT(LEFT(D2649,7),2)=RIGHT(LEFT(' Pivot Tables'!$A$4,7),2)),1,0)</f>
        <v>0</v>
      </c>
      <c r="Y2649" s="6">
        <f>1/COUNTIF(Таблица1[Order ID],Таблица1[[#This Row],[Order ID]])</f>
        <v>1</v>
      </c>
      <c r="Z2649" s="9">
        <f>1/COUNTIFS(Таблица1[Customer Name],Таблица1[[#This Row],[Customer Name]],Таблица1[Order-Year-Month],Таблица1[[#This Row],[Order-Year-Month]])</f>
        <v>1</v>
      </c>
    </row>
    <row r="2650" spans="1:26" x14ac:dyDescent="0.2">
      <c r="A2650" s="6">
        <v>5219</v>
      </c>
      <c r="B2650" s="7">
        <v>37152</v>
      </c>
      <c r="C2650" s="8">
        <f>DATE(2012,12,31)-589</f>
        <v>40685</v>
      </c>
      <c r="D2650" s="8" t="str">
        <f t="shared" si="51"/>
        <v>2011-05 (май 2011)</v>
      </c>
      <c r="E2650" s="9" t="s">
        <v>63</v>
      </c>
      <c r="F2650" s="7">
        <v>39</v>
      </c>
      <c r="G2650" s="7">
        <v>4647.6899999999996</v>
      </c>
      <c r="H2650" s="7">
        <v>0.02</v>
      </c>
      <c r="I2650" s="9" t="s">
        <v>31</v>
      </c>
      <c r="J2650" s="10">
        <v>182.53</v>
      </c>
      <c r="K2650" s="11">
        <v>113.98</v>
      </c>
      <c r="L2650" s="11">
        <v>30</v>
      </c>
      <c r="M2650" s="9" t="s">
        <v>1412</v>
      </c>
      <c r="N2650" s="6" t="s">
        <v>1123</v>
      </c>
      <c r="O2650" s="6" t="s">
        <v>1123</v>
      </c>
      <c r="P2650" s="9" t="s">
        <v>41</v>
      </c>
      <c r="Q2650" s="9" t="s">
        <v>49</v>
      </c>
      <c r="R2650" s="9" t="s">
        <v>112</v>
      </c>
      <c r="S2650" s="7" t="s">
        <v>840</v>
      </c>
      <c r="T2650" s="9" t="s">
        <v>36</v>
      </c>
      <c r="U2650" s="7">
        <v>0.69</v>
      </c>
      <c r="V2650" s="12">
        <f>C2650+2</f>
        <v>40687</v>
      </c>
      <c r="W2650">
        <f>IF(D2650=' Pivot Tables'!$A$4,1,0)</f>
        <v>0</v>
      </c>
      <c r="X2650">
        <f>IF(AND(LEFT(D2650,4)+1=LEFT(' Pivot Tables'!$A$4,4)+0,RIGHT(LEFT(D2650,7),2)=RIGHT(LEFT(' Pivot Tables'!$A$4,7),2)),1,0)</f>
        <v>0</v>
      </c>
      <c r="Y2650" s="6">
        <f>1/COUNTIF(Таблица1[Order ID],Таблица1[[#This Row],[Order ID]])</f>
        <v>0.5</v>
      </c>
      <c r="Z2650" s="9">
        <f>1/COUNTIFS(Таблица1[Customer Name],Таблица1[[#This Row],[Customer Name]],Таблица1[Order-Year-Month],Таблица1[[#This Row],[Order-Year-Month]])</f>
        <v>0.5</v>
      </c>
    </row>
    <row r="2651" spans="1:26" x14ac:dyDescent="0.2">
      <c r="A2651" s="6">
        <v>5220</v>
      </c>
      <c r="B2651" s="7">
        <v>37152</v>
      </c>
      <c r="C2651" s="8">
        <f>DATE(2012,12,31)-589</f>
        <v>40685</v>
      </c>
      <c r="D2651" s="8" t="str">
        <f t="shared" si="51"/>
        <v>2011-05 (май 2011)</v>
      </c>
      <c r="E2651" s="9" t="s">
        <v>63</v>
      </c>
      <c r="F2651" s="7">
        <v>45</v>
      </c>
      <c r="G2651" s="7">
        <v>2503.3265000000001</v>
      </c>
      <c r="H2651" s="7">
        <v>0.04</v>
      </c>
      <c r="I2651" s="9" t="s">
        <v>22</v>
      </c>
      <c r="J2651" s="10">
        <v>447.12</v>
      </c>
      <c r="K2651" s="11">
        <v>65.989999999999995</v>
      </c>
      <c r="L2651" s="11">
        <v>8.8000000000000007</v>
      </c>
      <c r="M2651" s="9" t="s">
        <v>1412</v>
      </c>
      <c r="N2651" s="6" t="s">
        <v>1123</v>
      </c>
      <c r="O2651" s="6" t="s">
        <v>1123</v>
      </c>
      <c r="P2651" s="9" t="s">
        <v>41</v>
      </c>
      <c r="Q2651" s="9" t="s">
        <v>42</v>
      </c>
      <c r="R2651" s="9" t="s">
        <v>43</v>
      </c>
      <c r="S2651" s="7" t="s">
        <v>1132</v>
      </c>
      <c r="T2651" s="9" t="s">
        <v>39</v>
      </c>
      <c r="U2651" s="7">
        <v>0.57999999999999996</v>
      </c>
      <c r="V2651" s="12">
        <f>C2651+2</f>
        <v>40687</v>
      </c>
      <c r="W2651">
        <f>IF(D2651=' Pivot Tables'!$A$4,1,0)</f>
        <v>0</v>
      </c>
      <c r="X2651">
        <f>IF(AND(LEFT(D2651,4)+1=LEFT(' Pivot Tables'!$A$4,4)+0,RIGHT(LEFT(D2651,7),2)=RIGHT(LEFT(' Pivot Tables'!$A$4,7),2)),1,0)</f>
        <v>0</v>
      </c>
      <c r="Y2651" s="6">
        <f>1/COUNTIF(Таблица1[Order ID],Таблица1[[#This Row],[Order ID]])</f>
        <v>0.5</v>
      </c>
      <c r="Z2651" s="9">
        <f>1/COUNTIFS(Таблица1[Customer Name],Таблица1[[#This Row],[Customer Name]],Таблица1[Order-Year-Month],Таблица1[[#This Row],[Order-Year-Month]])</f>
        <v>0.5</v>
      </c>
    </row>
    <row r="2652" spans="1:26" x14ac:dyDescent="0.2">
      <c r="A2652" s="6">
        <v>5228</v>
      </c>
      <c r="B2652" s="7">
        <v>37223</v>
      </c>
      <c r="C2652" s="8">
        <f>DATE(2012,12,31)-417</f>
        <v>40857</v>
      </c>
      <c r="D2652" s="8" t="str">
        <f t="shared" si="51"/>
        <v>2011-11 (ноябрь 2011)</v>
      </c>
      <c r="E2652" s="9" t="s">
        <v>21</v>
      </c>
      <c r="F2652" s="7">
        <v>21</v>
      </c>
      <c r="G2652" s="7">
        <v>2731.73</v>
      </c>
      <c r="H2652" s="7">
        <v>7.0000000000000007E-2</v>
      </c>
      <c r="I2652" s="9" t="s">
        <v>56</v>
      </c>
      <c r="J2652" s="10">
        <v>310.58999999999997</v>
      </c>
      <c r="K2652" s="11">
        <v>155.99</v>
      </c>
      <c r="L2652" s="11">
        <v>8.99</v>
      </c>
      <c r="M2652" s="9" t="s">
        <v>1442</v>
      </c>
      <c r="N2652" s="6" t="s">
        <v>1123</v>
      </c>
      <c r="O2652" s="6" t="s">
        <v>1123</v>
      </c>
      <c r="P2652" s="9" t="s">
        <v>60</v>
      </c>
      <c r="Q2652" s="9" t="s">
        <v>42</v>
      </c>
      <c r="R2652" s="9" t="s">
        <v>43</v>
      </c>
      <c r="S2652" s="7" t="s">
        <v>87</v>
      </c>
      <c r="T2652" s="9" t="s">
        <v>39</v>
      </c>
      <c r="U2652" s="7">
        <v>0.57999999999999996</v>
      </c>
      <c r="V2652" s="12">
        <f>C2652+4</f>
        <v>40861</v>
      </c>
      <c r="W2652">
        <f>IF(D2652=' Pivot Tables'!$A$4,1,0)</f>
        <v>0</v>
      </c>
      <c r="X2652">
        <f>IF(AND(LEFT(D2652,4)+1=LEFT(' Pivot Tables'!$A$4,4)+0,RIGHT(LEFT(D2652,7),2)=RIGHT(LEFT(' Pivot Tables'!$A$4,7),2)),1,0)</f>
        <v>0</v>
      </c>
      <c r="Y2652" s="6">
        <f>1/COUNTIF(Таблица1[Order ID],Таблица1[[#This Row],[Order ID]])</f>
        <v>0.33333333333333331</v>
      </c>
      <c r="Z2652" s="9">
        <f>1/COUNTIFS(Таблица1[Customer Name],Таблица1[[#This Row],[Customer Name]],Таблица1[Order-Year-Month],Таблица1[[#This Row],[Order-Year-Month]])</f>
        <v>0.14285714285714285</v>
      </c>
    </row>
    <row r="2653" spans="1:26" x14ac:dyDescent="0.2">
      <c r="A2653" s="6">
        <v>5229</v>
      </c>
      <c r="B2653" s="7">
        <v>37223</v>
      </c>
      <c r="C2653" s="8">
        <f>DATE(2012,12,31)-417</f>
        <v>40857</v>
      </c>
      <c r="D2653" s="8" t="str">
        <f t="shared" si="51"/>
        <v>2011-11 (ноябрь 2011)</v>
      </c>
      <c r="E2653" s="9" t="s">
        <v>21</v>
      </c>
      <c r="F2653" s="7">
        <v>40</v>
      </c>
      <c r="G2653" s="7">
        <v>679.52</v>
      </c>
      <c r="H2653" s="7">
        <v>0.09</v>
      </c>
      <c r="I2653" s="9" t="s">
        <v>22</v>
      </c>
      <c r="J2653" s="10">
        <v>-152.4</v>
      </c>
      <c r="K2653" s="11">
        <v>17.7</v>
      </c>
      <c r="L2653" s="11">
        <v>9.4700000000000006</v>
      </c>
      <c r="M2653" s="9" t="s">
        <v>1442</v>
      </c>
      <c r="N2653" s="6" t="s">
        <v>1123</v>
      </c>
      <c r="O2653" s="6" t="s">
        <v>1123</v>
      </c>
      <c r="P2653" s="9" t="s">
        <v>60</v>
      </c>
      <c r="Q2653" s="9" t="s">
        <v>26</v>
      </c>
      <c r="R2653" s="9" t="s">
        <v>27</v>
      </c>
      <c r="S2653" s="7" t="s">
        <v>1446</v>
      </c>
      <c r="T2653" s="9" t="s">
        <v>39</v>
      </c>
      <c r="U2653" s="7">
        <v>0.59</v>
      </c>
      <c r="V2653" s="12">
        <f>C2653+7</f>
        <v>40864</v>
      </c>
      <c r="W2653">
        <f>IF(D2653=' Pivot Tables'!$A$4,1,0)</f>
        <v>0</v>
      </c>
      <c r="X2653">
        <f>IF(AND(LEFT(D2653,4)+1=LEFT(' Pivot Tables'!$A$4,4)+0,RIGHT(LEFT(D2653,7),2)=RIGHT(LEFT(' Pivot Tables'!$A$4,7),2)),1,0)</f>
        <v>0</v>
      </c>
      <c r="Y2653" s="6">
        <f>1/COUNTIF(Таблица1[Order ID],Таблица1[[#This Row],[Order ID]])</f>
        <v>0.33333333333333331</v>
      </c>
      <c r="Z2653" s="9">
        <f>1/COUNTIFS(Таблица1[Customer Name],Таблица1[[#This Row],[Customer Name]],Таблица1[Order-Year-Month],Таблица1[[#This Row],[Order-Year-Month]])</f>
        <v>0.14285714285714285</v>
      </c>
    </row>
    <row r="2654" spans="1:26" x14ac:dyDescent="0.2">
      <c r="A2654" s="6">
        <v>5230</v>
      </c>
      <c r="B2654" s="7">
        <v>37223</v>
      </c>
      <c r="C2654" s="8">
        <f>DATE(2012,12,31)-417</f>
        <v>40857</v>
      </c>
      <c r="D2654" s="8" t="str">
        <f t="shared" si="51"/>
        <v>2011-11 (ноябрь 2011)</v>
      </c>
      <c r="E2654" s="9" t="s">
        <v>21</v>
      </c>
      <c r="F2654" s="7">
        <v>38</v>
      </c>
      <c r="G2654" s="7">
        <v>5176.2700000000004</v>
      </c>
      <c r="H2654" s="7">
        <v>0.01</v>
      </c>
      <c r="I2654" s="9" t="s">
        <v>22</v>
      </c>
      <c r="J2654" s="10">
        <v>-743.45</v>
      </c>
      <c r="K2654" s="11">
        <v>135.31</v>
      </c>
      <c r="L2654" s="11">
        <v>35</v>
      </c>
      <c r="M2654" s="9" t="s">
        <v>1442</v>
      </c>
      <c r="N2654" s="6" t="s">
        <v>1123</v>
      </c>
      <c r="O2654" s="6" t="s">
        <v>1123</v>
      </c>
      <c r="P2654" s="9" t="s">
        <v>60</v>
      </c>
      <c r="Q2654" s="9" t="s">
        <v>26</v>
      </c>
      <c r="R2654" s="9" t="s">
        <v>27</v>
      </c>
      <c r="S2654" s="7" t="s">
        <v>1447</v>
      </c>
      <c r="T2654" s="9" t="s">
        <v>29</v>
      </c>
      <c r="U2654" s="7">
        <v>0.84</v>
      </c>
      <c r="V2654" s="12">
        <f>C2654+5</f>
        <v>40862</v>
      </c>
      <c r="W2654">
        <f>IF(D2654=' Pivot Tables'!$A$4,1,0)</f>
        <v>0</v>
      </c>
      <c r="X2654">
        <f>IF(AND(LEFT(D2654,4)+1=LEFT(' Pivot Tables'!$A$4,4)+0,RIGHT(LEFT(D2654,7),2)=RIGHT(LEFT(' Pivot Tables'!$A$4,7),2)),1,0)</f>
        <v>0</v>
      </c>
      <c r="Y2654" s="6">
        <f>1/COUNTIF(Таблица1[Order ID],Таблица1[[#This Row],[Order ID]])</f>
        <v>0.33333333333333331</v>
      </c>
      <c r="Z2654" s="9">
        <f>1/COUNTIFS(Таблица1[Customer Name],Таблица1[[#This Row],[Customer Name]],Таблица1[Order-Year-Month],Таблица1[[#This Row],[Order-Year-Month]])</f>
        <v>0.14285714285714285</v>
      </c>
    </row>
    <row r="2655" spans="1:26" x14ac:dyDescent="0.2">
      <c r="A2655" s="6">
        <v>5237</v>
      </c>
      <c r="B2655" s="7">
        <v>37254</v>
      </c>
      <c r="C2655" s="8">
        <f>DATE(2012,12,31)-1200</f>
        <v>40074</v>
      </c>
      <c r="D2655" s="8" t="str">
        <f t="shared" si="51"/>
        <v>2009-09 (сентябрь 2009)</v>
      </c>
      <c r="E2655" s="9" t="s">
        <v>30</v>
      </c>
      <c r="F2655" s="7">
        <v>28</v>
      </c>
      <c r="G2655" s="7">
        <v>739.94</v>
      </c>
      <c r="H2655" s="7">
        <v>0.01</v>
      </c>
      <c r="I2655" s="9" t="s">
        <v>22</v>
      </c>
      <c r="J2655" s="10">
        <v>370.23</v>
      </c>
      <c r="K2655" s="11">
        <v>26.17</v>
      </c>
      <c r="L2655" s="11">
        <v>1.39</v>
      </c>
      <c r="M2655" s="9" t="s">
        <v>1118</v>
      </c>
      <c r="N2655" s="6" t="s">
        <v>1123</v>
      </c>
      <c r="O2655" s="6" t="s">
        <v>1123</v>
      </c>
      <c r="P2655" s="9" t="s">
        <v>33</v>
      </c>
      <c r="Q2655" s="9" t="s">
        <v>26</v>
      </c>
      <c r="R2655" s="9" t="s">
        <v>76</v>
      </c>
      <c r="S2655" s="7" t="s">
        <v>1448</v>
      </c>
      <c r="T2655" s="9" t="s">
        <v>39</v>
      </c>
      <c r="U2655" s="7">
        <v>0.38</v>
      </c>
      <c r="V2655" s="12">
        <f>C2655+1</f>
        <v>40075</v>
      </c>
      <c r="W2655">
        <f>IF(D2655=' Pivot Tables'!$A$4,1,0)</f>
        <v>0</v>
      </c>
      <c r="X2655">
        <f>IF(AND(LEFT(D2655,4)+1=LEFT(' Pivot Tables'!$A$4,4)+0,RIGHT(LEFT(D2655,7),2)=RIGHT(LEFT(' Pivot Tables'!$A$4,7),2)),1,0)</f>
        <v>0</v>
      </c>
      <c r="Y2655" s="6">
        <f>1/COUNTIF(Таблица1[Order ID],Таблица1[[#This Row],[Order ID]])</f>
        <v>1</v>
      </c>
      <c r="Z2655" s="9">
        <f>1/COUNTIFS(Таблица1[Customer Name],Таблица1[[#This Row],[Customer Name]],Таблица1[Order-Year-Month],Таблица1[[#This Row],[Order-Year-Month]])</f>
        <v>1</v>
      </c>
    </row>
    <row r="2656" spans="1:26" x14ac:dyDescent="0.2">
      <c r="A2656" s="6">
        <v>5260</v>
      </c>
      <c r="B2656" s="7">
        <v>37441</v>
      </c>
      <c r="C2656" s="8">
        <f>DATE(2012,12,31)-1406</f>
        <v>39868</v>
      </c>
      <c r="D2656" s="8" t="str">
        <f t="shared" si="51"/>
        <v>2009-02 (февраль 2009)</v>
      </c>
      <c r="E2656" s="9" t="s">
        <v>78</v>
      </c>
      <c r="F2656" s="7">
        <v>46</v>
      </c>
      <c r="G2656" s="7">
        <v>14740.51</v>
      </c>
      <c r="H2656" s="7">
        <v>0</v>
      </c>
      <c r="I2656" s="9" t="s">
        <v>31</v>
      </c>
      <c r="J2656" s="10">
        <v>3407.73</v>
      </c>
      <c r="K2656" s="11">
        <v>300.98</v>
      </c>
      <c r="L2656" s="11">
        <v>164.73</v>
      </c>
      <c r="M2656" s="9" t="s">
        <v>1118</v>
      </c>
      <c r="N2656" s="6" t="s">
        <v>1123</v>
      </c>
      <c r="O2656" s="6" t="s">
        <v>1123</v>
      </c>
      <c r="P2656" s="9" t="s">
        <v>60</v>
      </c>
      <c r="Q2656" s="9" t="s">
        <v>49</v>
      </c>
      <c r="R2656" s="9" t="s">
        <v>112</v>
      </c>
      <c r="S2656" s="7" t="s">
        <v>168</v>
      </c>
      <c r="T2656" s="9" t="s">
        <v>36</v>
      </c>
      <c r="U2656" s="7">
        <v>0.56000000000000005</v>
      </c>
      <c r="V2656" s="12">
        <f>C2656+1</f>
        <v>39869</v>
      </c>
      <c r="W2656">
        <f>IF(D2656=' Pivot Tables'!$A$4,1,0)</f>
        <v>0</v>
      </c>
      <c r="X2656">
        <f>IF(AND(LEFT(D2656,4)+1=LEFT(' Pivot Tables'!$A$4,4)+0,RIGHT(LEFT(D2656,7),2)=RIGHT(LEFT(' Pivot Tables'!$A$4,7),2)),1,0)</f>
        <v>0</v>
      </c>
      <c r="Y2656" s="6">
        <f>1/COUNTIF(Таблица1[Order ID],Таблица1[[#This Row],[Order ID]])</f>
        <v>0.5</v>
      </c>
      <c r="Z2656" s="9">
        <f>1/COUNTIFS(Таблица1[Customer Name],Таблица1[[#This Row],[Customer Name]],Таблица1[Order-Year-Month],Таблица1[[#This Row],[Order-Year-Month]])</f>
        <v>0.5</v>
      </c>
    </row>
    <row r="2657" spans="1:26" x14ac:dyDescent="0.2">
      <c r="A2657" s="6">
        <v>5261</v>
      </c>
      <c r="B2657" s="7">
        <v>37441</v>
      </c>
      <c r="C2657" s="8">
        <f>DATE(2012,12,31)-1406</f>
        <v>39868</v>
      </c>
      <c r="D2657" s="8" t="str">
        <f t="shared" si="51"/>
        <v>2009-02 (февраль 2009)</v>
      </c>
      <c r="E2657" s="9" t="s">
        <v>78</v>
      </c>
      <c r="F2657" s="7">
        <v>1</v>
      </c>
      <c r="G2657" s="7">
        <v>3.77</v>
      </c>
      <c r="H2657" s="7">
        <v>0.09</v>
      </c>
      <c r="I2657" s="9" t="s">
        <v>22</v>
      </c>
      <c r="J2657" s="10">
        <v>-1.84</v>
      </c>
      <c r="K2657" s="11">
        <v>2.94</v>
      </c>
      <c r="L2657" s="11">
        <v>0.96</v>
      </c>
      <c r="M2657" s="9" t="s">
        <v>1118</v>
      </c>
      <c r="N2657" s="6" t="s">
        <v>1123</v>
      </c>
      <c r="O2657" s="6" t="s">
        <v>1123</v>
      </c>
      <c r="P2657" s="9" t="s">
        <v>60</v>
      </c>
      <c r="Q2657" s="9" t="s">
        <v>26</v>
      </c>
      <c r="R2657" s="9" t="s">
        <v>95</v>
      </c>
      <c r="S2657" s="7" t="s">
        <v>486</v>
      </c>
      <c r="T2657" s="9" t="s">
        <v>68</v>
      </c>
      <c r="U2657" s="7">
        <v>0.57999999999999996</v>
      </c>
      <c r="V2657" s="12">
        <f>C2657+2</f>
        <v>39870</v>
      </c>
      <c r="W2657">
        <f>IF(D2657=' Pivot Tables'!$A$4,1,0)</f>
        <v>0</v>
      </c>
      <c r="X2657">
        <f>IF(AND(LEFT(D2657,4)+1=LEFT(' Pivot Tables'!$A$4,4)+0,RIGHT(LEFT(D2657,7),2)=RIGHT(LEFT(' Pivot Tables'!$A$4,7),2)),1,0)</f>
        <v>0</v>
      </c>
      <c r="Y2657" s="6">
        <f>1/COUNTIF(Таблица1[Order ID],Таблица1[[#This Row],[Order ID]])</f>
        <v>0.5</v>
      </c>
      <c r="Z2657" s="9">
        <f>1/COUNTIFS(Таблица1[Customer Name],Таблица1[[#This Row],[Customer Name]],Таблица1[Order-Year-Month],Таблица1[[#This Row],[Order-Year-Month]])</f>
        <v>0.5</v>
      </c>
    </row>
    <row r="2658" spans="1:26" x14ac:dyDescent="0.2">
      <c r="A2658" s="6">
        <v>5359</v>
      </c>
      <c r="B2658" s="7">
        <v>38084</v>
      </c>
      <c r="C2658" s="8">
        <f>DATE(2012,12,31)-1382</f>
        <v>39892</v>
      </c>
      <c r="D2658" s="8" t="str">
        <f t="shared" si="51"/>
        <v>2009-03 (март 2009)</v>
      </c>
      <c r="E2658" s="9" t="s">
        <v>45</v>
      </c>
      <c r="F2658" s="7">
        <v>11</v>
      </c>
      <c r="G2658" s="7">
        <v>100.36</v>
      </c>
      <c r="H2658" s="7">
        <v>0.02</v>
      </c>
      <c r="I2658" s="9" t="s">
        <v>22</v>
      </c>
      <c r="J2658" s="10">
        <v>18.41</v>
      </c>
      <c r="K2658" s="11">
        <v>9.11</v>
      </c>
      <c r="L2658" s="11">
        <v>2.15</v>
      </c>
      <c r="M2658" s="9" t="s">
        <v>1442</v>
      </c>
      <c r="N2658" s="6" t="s">
        <v>1123</v>
      </c>
      <c r="O2658" s="6" t="s">
        <v>1123</v>
      </c>
      <c r="P2658" s="9" t="s">
        <v>60</v>
      </c>
      <c r="Q2658" s="9" t="s">
        <v>26</v>
      </c>
      <c r="R2658" s="9" t="s">
        <v>61</v>
      </c>
      <c r="S2658" s="7" t="s">
        <v>1402</v>
      </c>
      <c r="T2658" s="9" t="s">
        <v>68</v>
      </c>
      <c r="U2658" s="7">
        <v>0.4</v>
      </c>
      <c r="V2658" s="12">
        <f>C2658+2</f>
        <v>39894</v>
      </c>
      <c r="W2658">
        <f>IF(D2658=' Pivot Tables'!$A$4,1,0)</f>
        <v>0</v>
      </c>
      <c r="X2658">
        <f>IF(AND(LEFT(D2658,4)+1=LEFT(' Pivot Tables'!$A$4,4)+0,RIGHT(LEFT(D2658,7),2)=RIGHT(LEFT(' Pivot Tables'!$A$4,7),2)),1,0)</f>
        <v>0</v>
      </c>
      <c r="Y2658" s="6">
        <f>1/COUNTIF(Таблица1[Order ID],Таблица1[[#This Row],[Order ID]])</f>
        <v>0.5</v>
      </c>
      <c r="Z2658" s="9">
        <f>1/COUNTIFS(Таблица1[Customer Name],Таблица1[[#This Row],[Customer Name]],Таблица1[Order-Year-Month],Таблица1[[#This Row],[Order-Year-Month]])</f>
        <v>0.5</v>
      </c>
    </row>
    <row r="2659" spans="1:26" x14ac:dyDescent="0.2">
      <c r="A2659" s="6">
        <v>5360</v>
      </c>
      <c r="B2659" s="7">
        <v>38084</v>
      </c>
      <c r="C2659" s="8">
        <f>DATE(2012,12,31)-1382</f>
        <v>39892</v>
      </c>
      <c r="D2659" s="8" t="str">
        <f t="shared" si="51"/>
        <v>2009-03 (март 2009)</v>
      </c>
      <c r="E2659" s="9" t="s">
        <v>45</v>
      </c>
      <c r="F2659" s="7">
        <v>33</v>
      </c>
      <c r="G2659" s="7">
        <v>404.91</v>
      </c>
      <c r="H2659" s="7">
        <v>0.06</v>
      </c>
      <c r="I2659" s="9" t="s">
        <v>22</v>
      </c>
      <c r="J2659" s="10">
        <v>65.63</v>
      </c>
      <c r="K2659" s="11">
        <v>12.64</v>
      </c>
      <c r="L2659" s="11">
        <v>4.9800000000000004</v>
      </c>
      <c r="M2659" s="9" t="s">
        <v>1442</v>
      </c>
      <c r="N2659" s="6" t="s">
        <v>1123</v>
      </c>
      <c r="O2659" s="6" t="s">
        <v>1123</v>
      </c>
      <c r="P2659" s="9" t="s">
        <v>60</v>
      </c>
      <c r="Q2659" s="9" t="s">
        <v>49</v>
      </c>
      <c r="R2659" s="9" t="s">
        <v>50</v>
      </c>
      <c r="S2659" s="7" t="s">
        <v>997</v>
      </c>
      <c r="T2659" s="9" t="s">
        <v>52</v>
      </c>
      <c r="U2659" s="7">
        <v>0.48</v>
      </c>
      <c r="V2659" s="12">
        <f>C2659+2</f>
        <v>39894</v>
      </c>
      <c r="W2659">
        <f>IF(D2659=' Pivot Tables'!$A$4,1,0)</f>
        <v>0</v>
      </c>
      <c r="X2659">
        <f>IF(AND(LEFT(D2659,4)+1=LEFT(' Pivot Tables'!$A$4,4)+0,RIGHT(LEFT(D2659,7),2)=RIGHT(LEFT(' Pivot Tables'!$A$4,7),2)),1,0)</f>
        <v>0</v>
      </c>
      <c r="Y2659" s="6">
        <f>1/COUNTIF(Таблица1[Order ID],Таблица1[[#This Row],[Order ID]])</f>
        <v>0.5</v>
      </c>
      <c r="Z2659" s="9">
        <f>1/COUNTIFS(Таблица1[Customer Name],Таблица1[[#This Row],[Customer Name]],Таблица1[Order-Year-Month],Таблица1[[#This Row],[Order-Year-Month]])</f>
        <v>0.5</v>
      </c>
    </row>
    <row r="2660" spans="1:26" x14ac:dyDescent="0.2">
      <c r="A2660" s="6">
        <v>5527</v>
      </c>
      <c r="B2660" s="7">
        <v>39168</v>
      </c>
      <c r="C2660" s="8">
        <f>DATE(2012,12,31)-228</f>
        <v>41046</v>
      </c>
      <c r="D2660" s="8" t="str">
        <f t="shared" si="51"/>
        <v>2012-05 (май 2012)</v>
      </c>
      <c r="E2660" s="9" t="s">
        <v>30</v>
      </c>
      <c r="F2660" s="7">
        <v>22</v>
      </c>
      <c r="G2660" s="7">
        <v>809.91</v>
      </c>
      <c r="H2660" s="7">
        <v>7.0000000000000007E-2</v>
      </c>
      <c r="I2660" s="9" t="s">
        <v>22</v>
      </c>
      <c r="J2660" s="10">
        <v>321.67399999999998</v>
      </c>
      <c r="K2660" s="11">
        <v>37.700000000000003</v>
      </c>
      <c r="L2660" s="11">
        <v>2.99</v>
      </c>
      <c r="M2660" s="9" t="s">
        <v>1428</v>
      </c>
      <c r="N2660" s="6" t="s">
        <v>1123</v>
      </c>
      <c r="O2660" s="6" t="s">
        <v>1123</v>
      </c>
      <c r="P2660" s="9" t="s">
        <v>60</v>
      </c>
      <c r="Q2660" s="9" t="s">
        <v>26</v>
      </c>
      <c r="R2660" s="9" t="s">
        <v>37</v>
      </c>
      <c r="S2660" s="7" t="s">
        <v>952</v>
      </c>
      <c r="T2660" s="9" t="s">
        <v>39</v>
      </c>
      <c r="U2660" s="7">
        <v>0.35</v>
      </c>
      <c r="V2660" s="12">
        <f>C2660+3</f>
        <v>41049</v>
      </c>
      <c r="W2660">
        <f>IF(D2660=' Pivot Tables'!$A$4,1,0)</f>
        <v>0</v>
      </c>
      <c r="X2660">
        <f>IF(AND(LEFT(D2660,4)+1=LEFT(' Pivot Tables'!$A$4,4)+0,RIGHT(LEFT(D2660,7),2)=RIGHT(LEFT(' Pivot Tables'!$A$4,7),2)),1,0)</f>
        <v>0</v>
      </c>
      <c r="Y2660" s="6">
        <f>1/COUNTIF(Таблица1[Order ID],Таблица1[[#This Row],[Order ID]])</f>
        <v>0.33333333333333331</v>
      </c>
      <c r="Z2660" s="9">
        <f>1/COUNTIFS(Таблица1[Customer Name],Таблица1[[#This Row],[Customer Name]],Таблица1[Order-Year-Month],Таблица1[[#This Row],[Order-Year-Month]])</f>
        <v>0.33333333333333331</v>
      </c>
    </row>
    <row r="2661" spans="1:26" x14ac:dyDescent="0.2">
      <c r="A2661" s="6">
        <v>5528</v>
      </c>
      <c r="B2661" s="7">
        <v>39168</v>
      </c>
      <c r="C2661" s="8">
        <f>DATE(2012,12,31)-228</f>
        <v>41046</v>
      </c>
      <c r="D2661" s="8" t="str">
        <f t="shared" si="51"/>
        <v>2012-05 (май 2012)</v>
      </c>
      <c r="E2661" s="9" t="s">
        <v>30</v>
      </c>
      <c r="F2661" s="7">
        <v>50</v>
      </c>
      <c r="G2661" s="7">
        <v>1027.6600000000001</v>
      </c>
      <c r="H2661" s="7">
        <v>0</v>
      </c>
      <c r="I2661" s="9" t="s">
        <v>22</v>
      </c>
      <c r="J2661" s="10">
        <v>184.07</v>
      </c>
      <c r="K2661" s="11">
        <v>19.98</v>
      </c>
      <c r="L2661" s="11">
        <v>8.68</v>
      </c>
      <c r="M2661" s="9" t="s">
        <v>1428</v>
      </c>
      <c r="N2661" s="6" t="s">
        <v>1123</v>
      </c>
      <c r="O2661" s="6" t="s">
        <v>1123</v>
      </c>
      <c r="P2661" s="9" t="s">
        <v>60</v>
      </c>
      <c r="Q2661" s="9" t="s">
        <v>26</v>
      </c>
      <c r="R2661" s="9" t="s">
        <v>61</v>
      </c>
      <c r="S2661" s="7" t="s">
        <v>617</v>
      </c>
      <c r="T2661" s="9" t="s">
        <v>39</v>
      </c>
      <c r="U2661" s="7">
        <v>0.37</v>
      </c>
      <c r="V2661" s="12">
        <f>C2661+2</f>
        <v>41048</v>
      </c>
      <c r="W2661">
        <f>IF(D2661=' Pivot Tables'!$A$4,1,0)</f>
        <v>0</v>
      </c>
      <c r="X2661">
        <f>IF(AND(LEFT(D2661,4)+1=LEFT(' Pivot Tables'!$A$4,4)+0,RIGHT(LEFT(D2661,7),2)=RIGHT(LEFT(' Pivot Tables'!$A$4,7),2)),1,0)</f>
        <v>0</v>
      </c>
      <c r="Y2661" s="6">
        <f>1/COUNTIF(Таблица1[Order ID],Таблица1[[#This Row],[Order ID]])</f>
        <v>0.33333333333333331</v>
      </c>
      <c r="Z2661" s="9">
        <f>1/COUNTIFS(Таблица1[Customer Name],Таблица1[[#This Row],[Customer Name]],Таблица1[Order-Year-Month],Таблица1[[#This Row],[Order-Year-Month]])</f>
        <v>0.33333333333333331</v>
      </c>
    </row>
    <row r="2662" spans="1:26" x14ac:dyDescent="0.2">
      <c r="A2662" s="6">
        <v>5529</v>
      </c>
      <c r="B2662" s="7">
        <v>39168</v>
      </c>
      <c r="C2662" s="8">
        <f>DATE(2012,12,31)-228</f>
        <v>41046</v>
      </c>
      <c r="D2662" s="8" t="str">
        <f t="shared" si="51"/>
        <v>2012-05 (май 2012)</v>
      </c>
      <c r="E2662" s="9" t="s">
        <v>30</v>
      </c>
      <c r="F2662" s="7">
        <v>30</v>
      </c>
      <c r="G2662" s="7">
        <v>301.38</v>
      </c>
      <c r="H2662" s="7">
        <v>0.06</v>
      </c>
      <c r="I2662" s="9" t="s">
        <v>22</v>
      </c>
      <c r="J2662" s="10">
        <v>5.08</v>
      </c>
      <c r="K2662" s="11">
        <v>10.48</v>
      </c>
      <c r="L2662" s="11">
        <v>2.89</v>
      </c>
      <c r="M2662" s="9" t="s">
        <v>1428</v>
      </c>
      <c r="N2662" s="6" t="s">
        <v>1123</v>
      </c>
      <c r="O2662" s="6" t="s">
        <v>1123</v>
      </c>
      <c r="P2662" s="9" t="s">
        <v>60</v>
      </c>
      <c r="Q2662" s="9" t="s">
        <v>26</v>
      </c>
      <c r="R2662" s="9" t="s">
        <v>95</v>
      </c>
      <c r="S2662" s="7" t="s">
        <v>499</v>
      </c>
      <c r="T2662" s="9" t="s">
        <v>52</v>
      </c>
      <c r="U2662" s="7">
        <v>0.6</v>
      </c>
      <c r="V2662" s="12">
        <f>C2662+2</f>
        <v>41048</v>
      </c>
      <c r="W2662">
        <f>IF(D2662=' Pivot Tables'!$A$4,1,0)</f>
        <v>0</v>
      </c>
      <c r="X2662">
        <f>IF(AND(LEFT(D2662,4)+1=LEFT(' Pivot Tables'!$A$4,4)+0,RIGHT(LEFT(D2662,7),2)=RIGHT(LEFT(' Pivot Tables'!$A$4,7),2)),1,0)</f>
        <v>0</v>
      </c>
      <c r="Y2662" s="6">
        <f>1/COUNTIF(Таблица1[Order ID],Таблица1[[#This Row],[Order ID]])</f>
        <v>0.33333333333333331</v>
      </c>
      <c r="Z2662" s="9">
        <f>1/COUNTIFS(Таблица1[Customer Name],Таблица1[[#This Row],[Customer Name]],Таблица1[Order-Year-Month],Таблица1[[#This Row],[Order-Year-Month]])</f>
        <v>0.33333333333333331</v>
      </c>
    </row>
    <row r="2663" spans="1:26" x14ac:dyDescent="0.2">
      <c r="A2663" s="6">
        <v>5555</v>
      </c>
      <c r="B2663" s="7">
        <v>39333</v>
      </c>
      <c r="C2663" s="8">
        <f>DATE(2012,12,31)-1048</f>
        <v>40226</v>
      </c>
      <c r="D2663" s="8" t="str">
        <f t="shared" si="51"/>
        <v>2010-02 (февраль 2010)</v>
      </c>
      <c r="E2663" s="9" t="s">
        <v>78</v>
      </c>
      <c r="F2663" s="7">
        <v>31</v>
      </c>
      <c r="G2663" s="7">
        <v>8955.34</v>
      </c>
      <c r="H2663" s="7">
        <v>0.1</v>
      </c>
      <c r="I2663" s="9" t="s">
        <v>22</v>
      </c>
      <c r="J2663" s="10">
        <v>2081.48</v>
      </c>
      <c r="K2663" s="11">
        <v>320.98</v>
      </c>
      <c r="L2663" s="11">
        <v>24.49</v>
      </c>
      <c r="M2663" s="9" t="s">
        <v>1423</v>
      </c>
      <c r="N2663" s="6" t="s">
        <v>1123</v>
      </c>
      <c r="O2663" s="6" t="s">
        <v>1123</v>
      </c>
      <c r="P2663" s="9" t="s">
        <v>33</v>
      </c>
      <c r="Q2663" s="9" t="s">
        <v>49</v>
      </c>
      <c r="R2663" s="9" t="s">
        <v>112</v>
      </c>
      <c r="S2663" s="7" t="s">
        <v>1191</v>
      </c>
      <c r="T2663" s="9" t="s">
        <v>29</v>
      </c>
      <c r="U2663" s="7">
        <v>0.55000000000000004</v>
      </c>
      <c r="V2663" s="12">
        <f>C2663+2</f>
        <v>40228</v>
      </c>
      <c r="W2663">
        <f>IF(D2663=' Pivot Tables'!$A$4,1,0)</f>
        <v>0</v>
      </c>
      <c r="X2663">
        <f>IF(AND(LEFT(D2663,4)+1=LEFT(' Pivot Tables'!$A$4,4)+0,RIGHT(LEFT(D2663,7),2)=RIGHT(LEFT(' Pivot Tables'!$A$4,7),2)),1,0)</f>
        <v>0</v>
      </c>
      <c r="Y2663" s="6">
        <f>1/COUNTIF(Таблица1[Order ID],Таблица1[[#This Row],[Order ID]])</f>
        <v>0.5</v>
      </c>
      <c r="Z2663" s="9">
        <f>1/COUNTIFS(Таблица1[Customer Name],Таблица1[[#This Row],[Customer Name]],Таблица1[Order-Year-Month],Таблица1[[#This Row],[Order-Year-Month]])</f>
        <v>0.5</v>
      </c>
    </row>
    <row r="2664" spans="1:26" x14ac:dyDescent="0.2">
      <c r="A2664" s="6">
        <v>5556</v>
      </c>
      <c r="B2664" s="7">
        <v>39333</v>
      </c>
      <c r="C2664" s="8">
        <f>DATE(2012,12,31)-1048</f>
        <v>40226</v>
      </c>
      <c r="D2664" s="8" t="str">
        <f t="shared" si="51"/>
        <v>2010-02 (февраль 2010)</v>
      </c>
      <c r="E2664" s="9" t="s">
        <v>78</v>
      </c>
      <c r="F2664" s="7">
        <v>18</v>
      </c>
      <c r="G2664" s="7">
        <v>95.22</v>
      </c>
      <c r="H2664" s="7">
        <v>0.01</v>
      </c>
      <c r="I2664" s="9" t="s">
        <v>22</v>
      </c>
      <c r="J2664" s="10">
        <v>-33.4</v>
      </c>
      <c r="K2664" s="11">
        <v>4.9800000000000004</v>
      </c>
      <c r="L2664" s="11">
        <v>4.7</v>
      </c>
      <c r="M2664" s="9" t="s">
        <v>1423</v>
      </c>
      <c r="N2664" s="6" t="s">
        <v>1123</v>
      </c>
      <c r="O2664" s="6" t="s">
        <v>1123</v>
      </c>
      <c r="P2664" s="9" t="s">
        <v>33</v>
      </c>
      <c r="Q2664" s="9" t="s">
        <v>26</v>
      </c>
      <c r="R2664" s="9" t="s">
        <v>61</v>
      </c>
      <c r="S2664" s="7" t="s">
        <v>937</v>
      </c>
      <c r="T2664" s="9" t="s">
        <v>39</v>
      </c>
      <c r="U2664" s="7">
        <v>0.38</v>
      </c>
      <c r="V2664" s="12">
        <f>C2664+0</f>
        <v>40226</v>
      </c>
      <c r="W2664">
        <f>IF(D2664=' Pivot Tables'!$A$4,1,0)</f>
        <v>0</v>
      </c>
      <c r="X2664">
        <f>IF(AND(LEFT(D2664,4)+1=LEFT(' Pivot Tables'!$A$4,4)+0,RIGHT(LEFT(D2664,7),2)=RIGHT(LEFT(' Pivot Tables'!$A$4,7),2)),1,0)</f>
        <v>0</v>
      </c>
      <c r="Y2664" s="6">
        <f>1/COUNTIF(Таблица1[Order ID],Таблица1[[#This Row],[Order ID]])</f>
        <v>0.5</v>
      </c>
      <c r="Z2664" s="9">
        <f>1/COUNTIFS(Таблица1[Customer Name],Таблица1[[#This Row],[Customer Name]],Таблица1[Order-Year-Month],Таблица1[[#This Row],[Order-Year-Month]])</f>
        <v>0.5</v>
      </c>
    </row>
    <row r="2665" spans="1:26" x14ac:dyDescent="0.2">
      <c r="A2665" s="6">
        <v>5583</v>
      </c>
      <c r="B2665" s="7">
        <v>39589</v>
      </c>
      <c r="C2665" s="8">
        <f>DATE(2012,12,31)-1247</f>
        <v>40027</v>
      </c>
      <c r="D2665" s="8" t="str">
        <f t="shared" si="51"/>
        <v>2009-08 (август 2009)</v>
      </c>
      <c r="E2665" s="9" t="s">
        <v>78</v>
      </c>
      <c r="F2665" s="7">
        <v>42</v>
      </c>
      <c r="G2665" s="7">
        <v>577.41999999999996</v>
      </c>
      <c r="H2665" s="7">
        <v>0</v>
      </c>
      <c r="I2665" s="9" t="s">
        <v>22</v>
      </c>
      <c r="J2665" s="10">
        <v>253.50400000000002</v>
      </c>
      <c r="K2665" s="11">
        <v>12.97</v>
      </c>
      <c r="L2665" s="11">
        <v>1.49</v>
      </c>
      <c r="M2665" s="9" t="s">
        <v>1413</v>
      </c>
      <c r="N2665" s="6" t="s">
        <v>1123</v>
      </c>
      <c r="O2665" s="6" t="s">
        <v>1123</v>
      </c>
      <c r="P2665" s="9" t="s">
        <v>60</v>
      </c>
      <c r="Q2665" s="9" t="s">
        <v>26</v>
      </c>
      <c r="R2665" s="9" t="s">
        <v>37</v>
      </c>
      <c r="S2665" s="7" t="s">
        <v>1269</v>
      </c>
      <c r="T2665" s="9" t="s">
        <v>39</v>
      </c>
      <c r="U2665" s="7">
        <v>0.35</v>
      </c>
      <c r="V2665" s="12">
        <f>C2665+1</f>
        <v>40028</v>
      </c>
      <c r="W2665">
        <f>IF(D2665=' Pivot Tables'!$A$4,1,0)</f>
        <v>0</v>
      </c>
      <c r="X2665">
        <f>IF(AND(LEFT(D2665,4)+1=LEFT(' Pivot Tables'!$A$4,4)+0,RIGHT(LEFT(D2665,7),2)=RIGHT(LEFT(' Pivot Tables'!$A$4,7),2)),1,0)</f>
        <v>0</v>
      </c>
      <c r="Y2665" s="6">
        <f>1/COUNTIF(Таблица1[Order ID],Таблица1[[#This Row],[Order ID]])</f>
        <v>0.5</v>
      </c>
      <c r="Z2665" s="9">
        <f>1/COUNTIFS(Таблица1[Customer Name],Таблица1[[#This Row],[Customer Name]],Таблица1[Order-Year-Month],Таблица1[[#This Row],[Order-Year-Month]])</f>
        <v>0.5</v>
      </c>
    </row>
    <row r="2666" spans="1:26" x14ac:dyDescent="0.2">
      <c r="A2666" s="6">
        <v>5584</v>
      </c>
      <c r="B2666" s="7">
        <v>39589</v>
      </c>
      <c r="C2666" s="8">
        <f>DATE(2012,12,31)-1247</f>
        <v>40027</v>
      </c>
      <c r="D2666" s="8" t="str">
        <f t="shared" si="51"/>
        <v>2009-08 (август 2009)</v>
      </c>
      <c r="E2666" s="9" t="s">
        <v>78</v>
      </c>
      <c r="F2666" s="7">
        <v>20</v>
      </c>
      <c r="G2666" s="7">
        <v>95.08</v>
      </c>
      <c r="H2666" s="7">
        <v>0.06</v>
      </c>
      <c r="I2666" s="9" t="s">
        <v>22</v>
      </c>
      <c r="J2666" s="10">
        <v>39.909999999999997</v>
      </c>
      <c r="K2666" s="11">
        <v>4.91</v>
      </c>
      <c r="L2666" s="11">
        <v>0.5</v>
      </c>
      <c r="M2666" s="9" t="s">
        <v>1413</v>
      </c>
      <c r="N2666" s="6" t="s">
        <v>1123</v>
      </c>
      <c r="O2666" s="6" t="s">
        <v>1123</v>
      </c>
      <c r="P2666" s="9" t="s">
        <v>60</v>
      </c>
      <c r="Q2666" s="9" t="s">
        <v>26</v>
      </c>
      <c r="R2666" s="9" t="s">
        <v>88</v>
      </c>
      <c r="S2666" s="7" t="s">
        <v>1370</v>
      </c>
      <c r="T2666" s="9" t="s">
        <v>39</v>
      </c>
      <c r="U2666" s="7">
        <v>0.36</v>
      </c>
      <c r="V2666" s="12">
        <f>C2666+0</f>
        <v>40027</v>
      </c>
      <c r="W2666">
        <f>IF(D2666=' Pivot Tables'!$A$4,1,0)</f>
        <v>0</v>
      </c>
      <c r="X2666">
        <f>IF(AND(LEFT(D2666,4)+1=LEFT(' Pivot Tables'!$A$4,4)+0,RIGHT(LEFT(D2666,7),2)=RIGHT(LEFT(' Pivot Tables'!$A$4,7),2)),1,0)</f>
        <v>0</v>
      </c>
      <c r="Y2666" s="6">
        <f>1/COUNTIF(Таблица1[Order ID],Таблица1[[#This Row],[Order ID]])</f>
        <v>0.5</v>
      </c>
      <c r="Z2666" s="9">
        <f>1/COUNTIFS(Таблица1[Customer Name],Таблица1[[#This Row],[Customer Name]],Таблица1[Order-Year-Month],Таблица1[[#This Row],[Order-Year-Month]])</f>
        <v>0.5</v>
      </c>
    </row>
    <row r="2667" spans="1:26" x14ac:dyDescent="0.2">
      <c r="A2667" s="6">
        <v>5640</v>
      </c>
      <c r="B2667" s="7">
        <v>39906</v>
      </c>
      <c r="C2667" s="8">
        <f>DATE(2012,12,31)-1385</f>
        <v>39889</v>
      </c>
      <c r="D2667" s="8" t="str">
        <f t="shared" si="51"/>
        <v>2009-03 (март 2009)</v>
      </c>
      <c r="E2667" s="9" t="s">
        <v>63</v>
      </c>
      <c r="F2667" s="7">
        <v>25</v>
      </c>
      <c r="G2667" s="7">
        <v>82.21</v>
      </c>
      <c r="H2667" s="7">
        <v>0.04</v>
      </c>
      <c r="I2667" s="9" t="s">
        <v>22</v>
      </c>
      <c r="J2667" s="10">
        <v>15.25</v>
      </c>
      <c r="K2667" s="11">
        <v>3.38</v>
      </c>
      <c r="L2667" s="11">
        <v>1.0900000000000001</v>
      </c>
      <c r="M2667" s="9" t="s">
        <v>1417</v>
      </c>
      <c r="N2667" s="6" t="s">
        <v>1123</v>
      </c>
      <c r="O2667" s="6" t="s">
        <v>1123</v>
      </c>
      <c r="P2667" s="9" t="s">
        <v>60</v>
      </c>
      <c r="Q2667" s="9" t="s">
        <v>26</v>
      </c>
      <c r="R2667" s="9" t="s">
        <v>61</v>
      </c>
      <c r="S2667" s="7" t="s">
        <v>1440</v>
      </c>
      <c r="T2667" s="9" t="s">
        <v>68</v>
      </c>
      <c r="U2667" s="7">
        <v>0.39</v>
      </c>
      <c r="V2667" s="12">
        <f>C2667+2</f>
        <v>39891</v>
      </c>
      <c r="W2667">
        <f>IF(D2667=' Pivot Tables'!$A$4,1,0)</f>
        <v>0</v>
      </c>
      <c r="X2667">
        <f>IF(AND(LEFT(D2667,4)+1=LEFT(' Pivot Tables'!$A$4,4)+0,RIGHT(LEFT(D2667,7),2)=RIGHT(LEFT(' Pivot Tables'!$A$4,7),2)),1,0)</f>
        <v>0</v>
      </c>
      <c r="Y2667" s="6">
        <f>1/COUNTIF(Таблица1[Order ID],Таблица1[[#This Row],[Order ID]])</f>
        <v>1</v>
      </c>
      <c r="Z2667" s="9">
        <f>1/COUNTIFS(Таблица1[Customer Name],Таблица1[[#This Row],[Customer Name]],Таблица1[Order-Year-Month],Таблица1[[#This Row],[Order-Year-Month]])</f>
        <v>1</v>
      </c>
    </row>
    <row r="2668" spans="1:26" x14ac:dyDescent="0.2">
      <c r="A2668" s="6">
        <v>5666</v>
      </c>
      <c r="B2668" s="7">
        <v>40097</v>
      </c>
      <c r="C2668" s="8">
        <f>DATE(2012,12,31)-1452</f>
        <v>39822</v>
      </c>
      <c r="D2668" s="8" t="str">
        <f t="shared" si="51"/>
        <v>2009-01 (январь 2009)</v>
      </c>
      <c r="E2668" s="9" t="s">
        <v>21</v>
      </c>
      <c r="F2668" s="7">
        <v>47</v>
      </c>
      <c r="G2668" s="7">
        <v>117.88</v>
      </c>
      <c r="H2668" s="7">
        <v>0.1</v>
      </c>
      <c r="I2668" s="9" t="s">
        <v>22</v>
      </c>
      <c r="J2668" s="10">
        <v>-71</v>
      </c>
      <c r="K2668" s="11">
        <v>2.6</v>
      </c>
      <c r="L2668" s="11">
        <v>2.4</v>
      </c>
      <c r="M2668" s="9" t="s">
        <v>1413</v>
      </c>
      <c r="N2668" s="6" t="s">
        <v>1123</v>
      </c>
      <c r="O2668" s="6" t="s">
        <v>1123</v>
      </c>
      <c r="P2668" s="9" t="s">
        <v>60</v>
      </c>
      <c r="Q2668" s="9" t="s">
        <v>26</v>
      </c>
      <c r="R2668" s="9" t="s">
        <v>95</v>
      </c>
      <c r="S2668" s="7" t="s">
        <v>393</v>
      </c>
      <c r="T2668" s="9" t="s">
        <v>68</v>
      </c>
      <c r="U2668" s="7">
        <v>0.57999999999999996</v>
      </c>
      <c r="V2668" s="12">
        <f>C2668+5</f>
        <v>39827</v>
      </c>
      <c r="W2668">
        <f>IF(D2668=' Pivot Tables'!$A$4,1,0)</f>
        <v>0</v>
      </c>
      <c r="X2668">
        <f>IF(AND(LEFT(D2668,4)+1=LEFT(' Pivot Tables'!$A$4,4)+0,RIGHT(LEFT(D2668,7),2)=RIGHT(LEFT(' Pivot Tables'!$A$4,7),2)),1,0)</f>
        <v>1</v>
      </c>
      <c r="Y2668" s="6">
        <f>1/COUNTIF(Таблица1[Order ID],Таблица1[[#This Row],[Order ID]])</f>
        <v>1</v>
      </c>
      <c r="Z2668" s="9">
        <f>1/COUNTIFS(Таблица1[Customer Name],Таблица1[[#This Row],[Customer Name]],Таблица1[Order-Year-Month],Таблица1[[#This Row],[Order-Year-Month]])</f>
        <v>1</v>
      </c>
    </row>
    <row r="2669" spans="1:26" x14ac:dyDescent="0.2">
      <c r="A2669" s="6">
        <v>5685</v>
      </c>
      <c r="B2669" s="7">
        <v>40193</v>
      </c>
      <c r="C2669" s="8">
        <f>DATE(2012,12,31)-120</f>
        <v>41154</v>
      </c>
      <c r="D2669" s="8" t="str">
        <f t="shared" si="51"/>
        <v>2012-09 (сентябрь 2012)</v>
      </c>
      <c r="E2669" s="9" t="s">
        <v>30</v>
      </c>
      <c r="F2669" s="7">
        <v>34</v>
      </c>
      <c r="G2669" s="7">
        <v>3130.2015000000001</v>
      </c>
      <c r="H2669" s="7">
        <v>7.0000000000000007E-2</v>
      </c>
      <c r="I2669" s="9" t="s">
        <v>56</v>
      </c>
      <c r="J2669" s="10">
        <v>692.77499999999998</v>
      </c>
      <c r="K2669" s="11">
        <v>115.99</v>
      </c>
      <c r="L2669" s="11">
        <v>2.5</v>
      </c>
      <c r="M2669" s="9" t="s">
        <v>1433</v>
      </c>
      <c r="N2669" s="6" t="s">
        <v>1123</v>
      </c>
      <c r="O2669" s="6" t="s">
        <v>1123</v>
      </c>
      <c r="P2669" s="9" t="s">
        <v>41</v>
      </c>
      <c r="Q2669" s="9" t="s">
        <v>42</v>
      </c>
      <c r="R2669" s="9" t="s">
        <v>43</v>
      </c>
      <c r="S2669" s="7" t="s">
        <v>1395</v>
      </c>
      <c r="T2669" s="9" t="s">
        <v>39</v>
      </c>
      <c r="U2669" s="7">
        <v>0.56999999999999995</v>
      </c>
      <c r="V2669" s="12">
        <f>C2669+0</f>
        <v>41154</v>
      </c>
      <c r="W2669">
        <f>IF(D2669=' Pivot Tables'!$A$4,1,0)</f>
        <v>0</v>
      </c>
      <c r="X2669">
        <f>IF(AND(LEFT(D2669,4)+1=LEFT(' Pivot Tables'!$A$4,4)+0,RIGHT(LEFT(D2669,7),2)=RIGHT(LEFT(' Pivot Tables'!$A$4,7),2)),1,0)</f>
        <v>0</v>
      </c>
      <c r="Y2669" s="6">
        <f>1/COUNTIF(Таблица1[Order ID],Таблица1[[#This Row],[Order ID]])</f>
        <v>1</v>
      </c>
      <c r="Z2669" s="9">
        <f>1/COUNTIFS(Таблица1[Customer Name],Таблица1[[#This Row],[Customer Name]],Таблица1[Order-Year-Month],Таблица1[[#This Row],[Order-Year-Month]])</f>
        <v>1</v>
      </c>
    </row>
    <row r="2670" spans="1:26" x14ac:dyDescent="0.2">
      <c r="A2670" s="6">
        <v>5693</v>
      </c>
      <c r="B2670" s="7">
        <v>40258</v>
      </c>
      <c r="C2670" s="8">
        <f>DATE(2012,12,31)-1362</f>
        <v>39912</v>
      </c>
      <c r="D2670" s="8" t="str">
        <f t="shared" si="51"/>
        <v>2009-04 (апрель 2009)</v>
      </c>
      <c r="E2670" s="9" t="s">
        <v>45</v>
      </c>
      <c r="F2670" s="7">
        <v>31</v>
      </c>
      <c r="G2670" s="7">
        <v>449.47</v>
      </c>
      <c r="H2670" s="7">
        <v>0.05</v>
      </c>
      <c r="I2670" s="9" t="s">
        <v>22</v>
      </c>
      <c r="J2670" s="10">
        <v>-190.49</v>
      </c>
      <c r="K2670" s="11">
        <v>14.81</v>
      </c>
      <c r="L2670" s="11">
        <v>13.32</v>
      </c>
      <c r="M2670" s="9" t="s">
        <v>1423</v>
      </c>
      <c r="N2670" s="6" t="s">
        <v>1123</v>
      </c>
      <c r="O2670" s="6" t="s">
        <v>1123</v>
      </c>
      <c r="P2670" s="9" t="s">
        <v>25</v>
      </c>
      <c r="Q2670" s="9" t="s">
        <v>26</v>
      </c>
      <c r="R2670" s="9" t="s">
        <v>34</v>
      </c>
      <c r="S2670" s="7" t="s">
        <v>683</v>
      </c>
      <c r="T2670" s="9" t="s">
        <v>39</v>
      </c>
      <c r="U2670" s="7">
        <v>0.43</v>
      </c>
      <c r="V2670" s="12">
        <f>C2670+2</f>
        <v>39914</v>
      </c>
      <c r="W2670">
        <f>IF(D2670=' Pivot Tables'!$A$4,1,0)</f>
        <v>0</v>
      </c>
      <c r="X2670">
        <f>IF(AND(LEFT(D2670,4)+1=LEFT(' Pivot Tables'!$A$4,4)+0,RIGHT(LEFT(D2670,7),2)=RIGHT(LEFT(' Pivot Tables'!$A$4,7),2)),1,0)</f>
        <v>0</v>
      </c>
      <c r="Y2670" s="6">
        <f>1/COUNTIF(Таблица1[Order ID],Таблица1[[#This Row],[Order ID]])</f>
        <v>0.5</v>
      </c>
      <c r="Z2670" s="9">
        <f>1/COUNTIFS(Таблица1[Customer Name],Таблица1[[#This Row],[Customer Name]],Таблица1[Order-Year-Month],Таблица1[[#This Row],[Order-Year-Month]])</f>
        <v>0.33333333333333331</v>
      </c>
    </row>
    <row r="2671" spans="1:26" x14ac:dyDescent="0.2">
      <c r="A2671" s="6">
        <v>5694</v>
      </c>
      <c r="B2671" s="7">
        <v>40258</v>
      </c>
      <c r="C2671" s="8">
        <f>DATE(2012,12,31)-1362</f>
        <v>39912</v>
      </c>
      <c r="D2671" s="8" t="str">
        <f t="shared" si="51"/>
        <v>2009-04 (апрель 2009)</v>
      </c>
      <c r="E2671" s="9" t="s">
        <v>45</v>
      </c>
      <c r="F2671" s="7">
        <v>29</v>
      </c>
      <c r="G2671" s="7">
        <v>80.61</v>
      </c>
      <c r="H2671" s="7">
        <v>0.08</v>
      </c>
      <c r="I2671" s="9" t="s">
        <v>22</v>
      </c>
      <c r="J2671" s="10">
        <v>-8.77</v>
      </c>
      <c r="K2671" s="11">
        <v>2.78</v>
      </c>
      <c r="L2671" s="11">
        <v>1.25</v>
      </c>
      <c r="M2671" s="9" t="s">
        <v>1423</v>
      </c>
      <c r="N2671" s="6" t="s">
        <v>1123</v>
      </c>
      <c r="O2671" s="6" t="s">
        <v>1123</v>
      </c>
      <c r="P2671" s="9" t="s">
        <v>25</v>
      </c>
      <c r="Q2671" s="9" t="s">
        <v>26</v>
      </c>
      <c r="R2671" s="9" t="s">
        <v>95</v>
      </c>
      <c r="S2671" s="7" t="s">
        <v>490</v>
      </c>
      <c r="T2671" s="9" t="s">
        <v>68</v>
      </c>
      <c r="U2671" s="7">
        <v>0.59</v>
      </c>
      <c r="V2671" s="12">
        <f>C2671+1</f>
        <v>39913</v>
      </c>
      <c r="W2671">
        <f>IF(D2671=' Pivot Tables'!$A$4,1,0)</f>
        <v>0</v>
      </c>
      <c r="X2671">
        <f>IF(AND(LEFT(D2671,4)+1=LEFT(' Pivot Tables'!$A$4,4)+0,RIGHT(LEFT(D2671,7),2)=RIGHT(LEFT(' Pivot Tables'!$A$4,7),2)),1,0)</f>
        <v>0</v>
      </c>
      <c r="Y2671" s="6">
        <f>1/COUNTIF(Таблица1[Order ID],Таблица1[[#This Row],[Order ID]])</f>
        <v>0.5</v>
      </c>
      <c r="Z2671" s="9">
        <f>1/COUNTIFS(Таблица1[Customer Name],Таблица1[[#This Row],[Customer Name]],Таблица1[Order-Year-Month],Таблица1[[#This Row],[Order-Year-Month]])</f>
        <v>0.33333333333333331</v>
      </c>
    </row>
    <row r="2672" spans="1:26" x14ac:dyDescent="0.2">
      <c r="A2672" s="6">
        <v>5721</v>
      </c>
      <c r="B2672" s="7">
        <v>40544</v>
      </c>
      <c r="C2672" s="8">
        <f>DATE(2012,12,31)-1365</f>
        <v>39909</v>
      </c>
      <c r="D2672" s="8" t="str">
        <f t="shared" si="51"/>
        <v>2009-04 (апрель 2009)</v>
      </c>
      <c r="E2672" s="9" t="s">
        <v>21</v>
      </c>
      <c r="F2672" s="7">
        <v>39</v>
      </c>
      <c r="G2672" s="7">
        <v>2413.5300000000002</v>
      </c>
      <c r="H2672" s="7">
        <v>0.06</v>
      </c>
      <c r="I2672" s="9" t="s">
        <v>22</v>
      </c>
      <c r="J2672" s="10">
        <v>544.04</v>
      </c>
      <c r="K2672" s="11">
        <v>60.65</v>
      </c>
      <c r="L2672" s="11">
        <v>12.23</v>
      </c>
      <c r="M2672" s="9" t="s">
        <v>1423</v>
      </c>
      <c r="N2672" s="6" t="s">
        <v>1123</v>
      </c>
      <c r="O2672" s="6" t="s">
        <v>1123</v>
      </c>
      <c r="P2672" s="9" t="s">
        <v>33</v>
      </c>
      <c r="Q2672" s="9" t="s">
        <v>49</v>
      </c>
      <c r="R2672" s="9" t="s">
        <v>50</v>
      </c>
      <c r="S2672" s="7" t="s">
        <v>1217</v>
      </c>
      <c r="T2672" s="9" t="s">
        <v>48</v>
      </c>
      <c r="U2672" s="7">
        <v>0.64</v>
      </c>
      <c r="V2672" s="12">
        <f>C2672+2</f>
        <v>39911</v>
      </c>
      <c r="W2672">
        <f>IF(D2672=' Pivot Tables'!$A$4,1,0)</f>
        <v>0</v>
      </c>
      <c r="X2672">
        <f>IF(AND(LEFT(D2672,4)+1=LEFT(' Pivot Tables'!$A$4,4)+0,RIGHT(LEFT(D2672,7),2)=RIGHT(LEFT(' Pivot Tables'!$A$4,7),2)),1,0)</f>
        <v>0</v>
      </c>
      <c r="Y2672" s="6">
        <f>1/COUNTIF(Таблица1[Order ID],Таблица1[[#This Row],[Order ID]])</f>
        <v>1</v>
      </c>
      <c r="Z2672" s="9">
        <f>1/COUNTIFS(Таблица1[Customer Name],Таблица1[[#This Row],[Customer Name]],Таблица1[Order-Year-Month],Таблица1[[#This Row],[Order-Year-Month]])</f>
        <v>0.33333333333333331</v>
      </c>
    </row>
    <row r="2673" spans="1:26" x14ac:dyDescent="0.2">
      <c r="A2673" s="6">
        <v>5887</v>
      </c>
      <c r="B2673" s="7">
        <v>41765</v>
      </c>
      <c r="C2673" s="8">
        <f>DATE(2012,12,31)-1118</f>
        <v>40156</v>
      </c>
      <c r="D2673" s="8" t="str">
        <f t="shared" si="51"/>
        <v>2009-12 (декабрь 2009)</v>
      </c>
      <c r="E2673" s="9" t="s">
        <v>63</v>
      </c>
      <c r="F2673" s="7">
        <v>41</v>
      </c>
      <c r="G2673" s="7">
        <v>204.99</v>
      </c>
      <c r="H2673" s="7">
        <v>0.03</v>
      </c>
      <c r="I2673" s="9" t="s">
        <v>22</v>
      </c>
      <c r="J2673" s="10">
        <v>-95.990499999999997</v>
      </c>
      <c r="K2673" s="11">
        <v>4.9800000000000004</v>
      </c>
      <c r="L2673" s="11">
        <v>4.95</v>
      </c>
      <c r="M2673" s="9" t="s">
        <v>1442</v>
      </c>
      <c r="N2673" s="6" t="s">
        <v>1123</v>
      </c>
      <c r="O2673" s="6" t="s">
        <v>1123</v>
      </c>
      <c r="P2673" s="9" t="s">
        <v>60</v>
      </c>
      <c r="Q2673" s="9" t="s">
        <v>26</v>
      </c>
      <c r="R2673" s="9" t="s">
        <v>37</v>
      </c>
      <c r="S2673" s="7" t="s">
        <v>691</v>
      </c>
      <c r="T2673" s="9" t="s">
        <v>39</v>
      </c>
      <c r="U2673" s="7">
        <v>0.37</v>
      </c>
      <c r="V2673" s="12">
        <f>C2673+2</f>
        <v>40158</v>
      </c>
      <c r="W2673">
        <f>IF(D2673=' Pivot Tables'!$A$4,1,0)</f>
        <v>0</v>
      </c>
      <c r="X2673">
        <f>IF(AND(LEFT(D2673,4)+1=LEFT(' Pivot Tables'!$A$4,4)+0,RIGHT(LEFT(D2673,7),2)=RIGHT(LEFT(' Pivot Tables'!$A$4,7),2)),1,0)</f>
        <v>0</v>
      </c>
      <c r="Y2673" s="6">
        <f>1/COUNTIF(Таблица1[Order ID],Таблица1[[#This Row],[Order ID]])</f>
        <v>1</v>
      </c>
      <c r="Z2673" s="9">
        <f>1/COUNTIFS(Таблица1[Customer Name],Таблица1[[#This Row],[Customer Name]],Таблица1[Order-Year-Month],Таблица1[[#This Row],[Order-Year-Month]])</f>
        <v>1</v>
      </c>
    </row>
    <row r="2674" spans="1:26" x14ac:dyDescent="0.2">
      <c r="A2674" s="6">
        <v>5949</v>
      </c>
      <c r="B2674" s="7">
        <v>42242</v>
      </c>
      <c r="C2674" s="8">
        <f>DATE(2012,12,31)-1370</f>
        <v>39904</v>
      </c>
      <c r="D2674" s="8" t="str">
        <f t="shared" si="51"/>
        <v>2009-04 (апрель 2009)</v>
      </c>
      <c r="E2674" s="9" t="s">
        <v>45</v>
      </c>
      <c r="F2674" s="7">
        <v>23</v>
      </c>
      <c r="G2674" s="7">
        <v>265.31</v>
      </c>
      <c r="H2674" s="7">
        <v>0.09</v>
      </c>
      <c r="I2674" s="9" t="s">
        <v>56</v>
      </c>
      <c r="J2674" s="10">
        <v>-33.189</v>
      </c>
      <c r="K2674" s="11">
        <v>11.5</v>
      </c>
      <c r="L2674" s="11">
        <v>7.19</v>
      </c>
      <c r="M2674" s="9" t="s">
        <v>1412</v>
      </c>
      <c r="N2674" s="6" t="s">
        <v>1123</v>
      </c>
      <c r="O2674" s="6" t="s">
        <v>1123</v>
      </c>
      <c r="P2674" s="9" t="s">
        <v>41</v>
      </c>
      <c r="Q2674" s="9" t="s">
        <v>26</v>
      </c>
      <c r="R2674" s="9" t="s">
        <v>37</v>
      </c>
      <c r="S2674" s="7" t="s">
        <v>398</v>
      </c>
      <c r="T2674" s="9" t="s">
        <v>39</v>
      </c>
      <c r="U2674" s="7">
        <v>0.4</v>
      </c>
      <c r="V2674" s="12">
        <f>C2674+1</f>
        <v>39905</v>
      </c>
      <c r="W2674">
        <f>IF(D2674=' Pivot Tables'!$A$4,1,0)</f>
        <v>0</v>
      </c>
      <c r="X2674">
        <f>IF(AND(LEFT(D2674,4)+1=LEFT(' Pivot Tables'!$A$4,4)+0,RIGHT(LEFT(D2674,7),2)=RIGHT(LEFT(' Pivot Tables'!$A$4,7),2)),1,0)</f>
        <v>0</v>
      </c>
      <c r="Y2674" s="6">
        <f>1/COUNTIF(Таблица1[Order ID],Таблица1[[#This Row],[Order ID]])</f>
        <v>0.33333333333333331</v>
      </c>
      <c r="Z2674" s="9">
        <f>1/COUNTIFS(Таблица1[Customer Name],Таблица1[[#This Row],[Customer Name]],Таблица1[Order-Year-Month],Таблица1[[#This Row],[Order-Year-Month]])</f>
        <v>0.33333333333333331</v>
      </c>
    </row>
    <row r="2675" spans="1:26" x14ac:dyDescent="0.2">
      <c r="A2675" s="6">
        <v>5950</v>
      </c>
      <c r="B2675" s="7">
        <v>42242</v>
      </c>
      <c r="C2675" s="8">
        <f>DATE(2012,12,31)-1370</f>
        <v>39904</v>
      </c>
      <c r="D2675" s="8" t="str">
        <f t="shared" si="51"/>
        <v>2009-04 (апрель 2009)</v>
      </c>
      <c r="E2675" s="9" t="s">
        <v>45</v>
      </c>
      <c r="F2675" s="7">
        <v>15</v>
      </c>
      <c r="G2675" s="7">
        <v>1444.88</v>
      </c>
      <c r="H2675" s="7">
        <v>0.1</v>
      </c>
      <c r="I2675" s="9" t="s">
        <v>22</v>
      </c>
      <c r="J2675" s="10">
        <v>236.61</v>
      </c>
      <c r="K2675" s="11">
        <v>100.97</v>
      </c>
      <c r="L2675" s="11">
        <v>7.18</v>
      </c>
      <c r="M2675" s="9" t="s">
        <v>1412</v>
      </c>
      <c r="N2675" s="6" t="s">
        <v>1123</v>
      </c>
      <c r="O2675" s="6" t="s">
        <v>1123</v>
      </c>
      <c r="P2675" s="9" t="s">
        <v>41</v>
      </c>
      <c r="Q2675" s="9" t="s">
        <v>42</v>
      </c>
      <c r="R2675" s="9" t="s">
        <v>70</v>
      </c>
      <c r="S2675" s="7" t="s">
        <v>1078</v>
      </c>
      <c r="T2675" s="9" t="s">
        <v>39</v>
      </c>
      <c r="U2675" s="7">
        <v>0.46</v>
      </c>
      <c r="V2675" s="12">
        <f>C2675+1</f>
        <v>39905</v>
      </c>
      <c r="W2675">
        <f>IF(D2675=' Pivot Tables'!$A$4,1,0)</f>
        <v>0</v>
      </c>
      <c r="X2675">
        <f>IF(AND(LEFT(D2675,4)+1=LEFT(' Pivot Tables'!$A$4,4)+0,RIGHT(LEFT(D2675,7),2)=RIGHT(LEFT(' Pivot Tables'!$A$4,7),2)),1,0)</f>
        <v>0</v>
      </c>
      <c r="Y2675" s="6">
        <f>1/COUNTIF(Таблица1[Order ID],Таблица1[[#This Row],[Order ID]])</f>
        <v>0.33333333333333331</v>
      </c>
      <c r="Z2675" s="9">
        <f>1/COUNTIFS(Таблица1[Customer Name],Таблица1[[#This Row],[Customer Name]],Таблица1[Order-Year-Month],Таблица1[[#This Row],[Order-Year-Month]])</f>
        <v>0.33333333333333331</v>
      </c>
    </row>
    <row r="2676" spans="1:26" x14ac:dyDescent="0.2">
      <c r="A2676" s="6">
        <v>5951</v>
      </c>
      <c r="B2676" s="7">
        <v>42242</v>
      </c>
      <c r="C2676" s="8">
        <f>DATE(2012,12,31)-1370</f>
        <v>39904</v>
      </c>
      <c r="D2676" s="8" t="str">
        <f t="shared" si="51"/>
        <v>2009-04 (апрель 2009)</v>
      </c>
      <c r="E2676" s="9" t="s">
        <v>45</v>
      </c>
      <c r="F2676" s="7">
        <v>23</v>
      </c>
      <c r="G2676" s="7">
        <v>2287.1</v>
      </c>
      <c r="H2676" s="7">
        <v>7.0000000000000007E-2</v>
      </c>
      <c r="I2676" s="9" t="s">
        <v>22</v>
      </c>
      <c r="J2676" s="10">
        <v>231.49</v>
      </c>
      <c r="K2676" s="11">
        <v>99.99</v>
      </c>
      <c r="L2676" s="11">
        <v>19.989999999999998</v>
      </c>
      <c r="M2676" s="9" t="s">
        <v>1412</v>
      </c>
      <c r="N2676" s="6" t="s">
        <v>1123</v>
      </c>
      <c r="O2676" s="6" t="s">
        <v>1123</v>
      </c>
      <c r="P2676" s="9" t="s">
        <v>41</v>
      </c>
      <c r="Q2676" s="9" t="s">
        <v>42</v>
      </c>
      <c r="R2676" s="9" t="s">
        <v>210</v>
      </c>
      <c r="S2676" s="7" t="s">
        <v>409</v>
      </c>
      <c r="T2676" s="9" t="s">
        <v>39</v>
      </c>
      <c r="U2676" s="7">
        <v>0.52</v>
      </c>
      <c r="V2676" s="12">
        <f>C2676+1</f>
        <v>39905</v>
      </c>
      <c r="W2676">
        <f>IF(D2676=' Pivot Tables'!$A$4,1,0)</f>
        <v>0</v>
      </c>
      <c r="X2676">
        <f>IF(AND(LEFT(D2676,4)+1=LEFT(' Pivot Tables'!$A$4,4)+0,RIGHT(LEFT(D2676,7),2)=RIGHT(LEFT(' Pivot Tables'!$A$4,7),2)),1,0)</f>
        <v>0</v>
      </c>
      <c r="Y2676" s="6">
        <f>1/COUNTIF(Таблица1[Order ID],Таблица1[[#This Row],[Order ID]])</f>
        <v>0.33333333333333331</v>
      </c>
      <c r="Z2676" s="9">
        <f>1/COUNTIFS(Таблица1[Customer Name],Таблица1[[#This Row],[Customer Name]],Таблица1[Order-Year-Month],Таблица1[[#This Row],[Order-Year-Month]])</f>
        <v>0.33333333333333331</v>
      </c>
    </row>
    <row r="2677" spans="1:26" x14ac:dyDescent="0.2">
      <c r="A2677" s="6">
        <v>5974</v>
      </c>
      <c r="B2677" s="7">
        <v>42369</v>
      </c>
      <c r="C2677" s="8">
        <f>DATE(2012,12,31)-879</f>
        <v>40395</v>
      </c>
      <c r="D2677" s="8" t="str">
        <f t="shared" si="51"/>
        <v>2010-08 (август 2010)</v>
      </c>
      <c r="E2677" s="9" t="s">
        <v>78</v>
      </c>
      <c r="F2677" s="7">
        <v>44</v>
      </c>
      <c r="G2677" s="7">
        <v>786.26</v>
      </c>
      <c r="H2677" s="7">
        <v>0.01</v>
      </c>
      <c r="I2677" s="9" t="s">
        <v>22</v>
      </c>
      <c r="J2677" s="10">
        <v>274.98</v>
      </c>
      <c r="K2677" s="11">
        <v>17.48</v>
      </c>
      <c r="L2677" s="11">
        <v>1.99</v>
      </c>
      <c r="M2677" s="9" t="s">
        <v>1432</v>
      </c>
      <c r="N2677" s="6" t="s">
        <v>1123</v>
      </c>
      <c r="O2677" s="6" t="s">
        <v>1123</v>
      </c>
      <c r="P2677" s="9" t="s">
        <v>60</v>
      </c>
      <c r="Q2677" s="9" t="s">
        <v>42</v>
      </c>
      <c r="R2677" s="9" t="s">
        <v>70</v>
      </c>
      <c r="S2677" s="7" t="s">
        <v>1449</v>
      </c>
      <c r="T2677" s="9" t="s">
        <v>52</v>
      </c>
      <c r="U2677" s="7">
        <v>0.46</v>
      </c>
      <c r="V2677" s="12">
        <f>C2677+1</f>
        <v>40396</v>
      </c>
      <c r="W2677">
        <f>IF(D2677=' Pivot Tables'!$A$4,1,0)</f>
        <v>0</v>
      </c>
      <c r="X2677">
        <f>IF(AND(LEFT(D2677,4)+1=LEFT(' Pivot Tables'!$A$4,4)+0,RIGHT(LEFT(D2677,7),2)=RIGHT(LEFT(' Pivot Tables'!$A$4,7),2)),1,0)</f>
        <v>0</v>
      </c>
      <c r="Y2677" s="6">
        <f>1/COUNTIF(Таблица1[Order ID],Таблица1[[#This Row],[Order ID]])</f>
        <v>1</v>
      </c>
      <c r="Z2677" s="9">
        <f>1/COUNTIFS(Таблица1[Customer Name],Таблица1[[#This Row],[Customer Name]],Таблица1[Order-Year-Month],Таблица1[[#This Row],[Order-Year-Month]])</f>
        <v>1</v>
      </c>
    </row>
    <row r="2678" spans="1:26" x14ac:dyDescent="0.2">
      <c r="A2678" s="6">
        <v>6022</v>
      </c>
      <c r="B2678" s="7">
        <v>42690</v>
      </c>
      <c r="C2678" s="8">
        <f>DATE(2012,12,31)-825</f>
        <v>40449</v>
      </c>
      <c r="D2678" s="8" t="str">
        <f t="shared" si="51"/>
        <v>2010-09 (сентябрь 2010)</v>
      </c>
      <c r="E2678" s="9" t="s">
        <v>21</v>
      </c>
      <c r="F2678" s="7">
        <v>44</v>
      </c>
      <c r="G2678" s="7">
        <v>18697.240000000002</v>
      </c>
      <c r="H2678" s="7">
        <v>0.02</v>
      </c>
      <c r="I2678" s="9" t="s">
        <v>22</v>
      </c>
      <c r="J2678" s="10">
        <v>8918.7354999999989</v>
      </c>
      <c r="K2678" s="11">
        <v>420.98</v>
      </c>
      <c r="L2678" s="11">
        <v>19.989999999999998</v>
      </c>
      <c r="M2678" s="9" t="s">
        <v>1413</v>
      </c>
      <c r="N2678" s="6" t="s">
        <v>1123</v>
      </c>
      <c r="O2678" s="6" t="s">
        <v>1123</v>
      </c>
      <c r="P2678" s="9" t="s">
        <v>60</v>
      </c>
      <c r="Q2678" s="9" t="s">
        <v>26</v>
      </c>
      <c r="R2678" s="9" t="s">
        <v>37</v>
      </c>
      <c r="S2678" s="7" t="s">
        <v>607</v>
      </c>
      <c r="T2678" s="9" t="s">
        <v>39</v>
      </c>
      <c r="U2678" s="7">
        <v>0.35</v>
      </c>
      <c r="V2678" s="12">
        <f>C2678+4</f>
        <v>40453</v>
      </c>
      <c r="W2678">
        <f>IF(D2678=' Pivot Tables'!$A$4,1,0)</f>
        <v>0</v>
      </c>
      <c r="X2678">
        <f>IF(AND(LEFT(D2678,4)+1=LEFT(' Pivot Tables'!$A$4,4)+0,RIGHT(LEFT(D2678,7),2)=RIGHT(LEFT(' Pivot Tables'!$A$4,7),2)),1,0)</f>
        <v>0</v>
      </c>
      <c r="Y2678" s="6">
        <f>1/COUNTIF(Таблица1[Order ID],Таблица1[[#This Row],[Order ID]])</f>
        <v>0.5</v>
      </c>
      <c r="Z2678" s="9">
        <f>1/COUNTIFS(Таблица1[Customer Name],Таблица1[[#This Row],[Customer Name]],Таблица1[Order-Year-Month],Таблица1[[#This Row],[Order-Year-Month]])</f>
        <v>0.5</v>
      </c>
    </row>
    <row r="2679" spans="1:26" x14ac:dyDescent="0.2">
      <c r="A2679" s="6">
        <v>6023</v>
      </c>
      <c r="B2679" s="7">
        <v>42690</v>
      </c>
      <c r="C2679" s="8">
        <f>DATE(2012,12,31)-825</f>
        <v>40449</v>
      </c>
      <c r="D2679" s="8" t="str">
        <f t="shared" si="51"/>
        <v>2010-09 (сентябрь 2010)</v>
      </c>
      <c r="E2679" s="9" t="s">
        <v>21</v>
      </c>
      <c r="F2679" s="7">
        <v>48</v>
      </c>
      <c r="G2679" s="7">
        <v>786.13</v>
      </c>
      <c r="H2679" s="7">
        <v>0.04</v>
      </c>
      <c r="I2679" s="9" t="s">
        <v>22</v>
      </c>
      <c r="J2679" s="10">
        <v>-236.12</v>
      </c>
      <c r="K2679" s="11">
        <v>16.739999999999998</v>
      </c>
      <c r="L2679" s="11">
        <v>7.04</v>
      </c>
      <c r="M2679" s="9" t="s">
        <v>1413</v>
      </c>
      <c r="N2679" s="6" t="s">
        <v>1123</v>
      </c>
      <c r="O2679" s="6" t="s">
        <v>1123</v>
      </c>
      <c r="P2679" s="9" t="s">
        <v>60</v>
      </c>
      <c r="Q2679" s="9" t="s">
        <v>26</v>
      </c>
      <c r="R2679" s="9" t="s">
        <v>27</v>
      </c>
      <c r="S2679" s="7" t="s">
        <v>1441</v>
      </c>
      <c r="T2679" s="9" t="s">
        <v>39</v>
      </c>
      <c r="U2679" s="7">
        <v>0.81</v>
      </c>
      <c r="V2679" s="12">
        <f>C2679+4</f>
        <v>40453</v>
      </c>
      <c r="W2679">
        <f>IF(D2679=' Pivot Tables'!$A$4,1,0)</f>
        <v>0</v>
      </c>
      <c r="X2679">
        <f>IF(AND(LEFT(D2679,4)+1=LEFT(' Pivot Tables'!$A$4,4)+0,RIGHT(LEFT(D2679,7),2)=RIGHT(LEFT(' Pivot Tables'!$A$4,7),2)),1,0)</f>
        <v>0</v>
      </c>
      <c r="Y2679" s="6">
        <f>1/COUNTIF(Таблица1[Order ID],Таблица1[[#This Row],[Order ID]])</f>
        <v>0.5</v>
      </c>
      <c r="Z2679" s="9">
        <f>1/COUNTIFS(Таблица1[Customer Name],Таблица1[[#This Row],[Customer Name]],Таблица1[Order-Year-Month],Таблица1[[#This Row],[Order-Year-Month]])</f>
        <v>0.5</v>
      </c>
    </row>
    <row r="2680" spans="1:26" x14ac:dyDescent="0.2">
      <c r="A2680" s="6">
        <v>6369</v>
      </c>
      <c r="B2680" s="7">
        <v>45184</v>
      </c>
      <c r="C2680" s="8">
        <f>DATE(2012,12,31)-928</f>
        <v>40346</v>
      </c>
      <c r="D2680" s="8" t="str">
        <f t="shared" si="51"/>
        <v>2010-06 (июнь 2010)</v>
      </c>
      <c r="E2680" s="9" t="s">
        <v>21</v>
      </c>
      <c r="F2680" s="7">
        <v>25</v>
      </c>
      <c r="G2680" s="7">
        <v>14647.26</v>
      </c>
      <c r="H2680" s="7">
        <v>7.0000000000000007E-2</v>
      </c>
      <c r="I2680" s="9" t="s">
        <v>22</v>
      </c>
      <c r="J2680" s="10">
        <v>5485.15</v>
      </c>
      <c r="K2680" s="11">
        <v>599.99</v>
      </c>
      <c r="L2680" s="11">
        <v>24.49</v>
      </c>
      <c r="M2680" s="9" t="s">
        <v>1442</v>
      </c>
      <c r="N2680" s="6" t="s">
        <v>1123</v>
      </c>
      <c r="O2680" s="6" t="s">
        <v>1123</v>
      </c>
      <c r="P2680" s="9" t="s">
        <v>60</v>
      </c>
      <c r="Q2680" s="9" t="s">
        <v>42</v>
      </c>
      <c r="R2680" s="9" t="s">
        <v>99</v>
      </c>
      <c r="S2680" s="7" t="s">
        <v>1004</v>
      </c>
      <c r="T2680" s="9" t="s">
        <v>29</v>
      </c>
      <c r="U2680" s="7">
        <v>0.37</v>
      </c>
      <c r="V2680" s="12">
        <f>C2680+9</f>
        <v>40355</v>
      </c>
      <c r="W2680">
        <f>IF(D2680=' Pivot Tables'!$A$4,1,0)</f>
        <v>0</v>
      </c>
      <c r="X2680">
        <f>IF(AND(LEFT(D2680,4)+1=LEFT(' Pivot Tables'!$A$4,4)+0,RIGHT(LEFT(D2680,7),2)=RIGHT(LEFT(' Pivot Tables'!$A$4,7),2)),1,0)</f>
        <v>0</v>
      </c>
      <c r="Y2680" s="6">
        <f>1/COUNTIF(Таблица1[Order ID],Таблица1[[#This Row],[Order ID]])</f>
        <v>0.5</v>
      </c>
      <c r="Z2680" s="9">
        <f>1/COUNTIFS(Таблица1[Customer Name],Таблица1[[#This Row],[Customer Name]],Таблица1[Order-Year-Month],Таблица1[[#This Row],[Order-Year-Month]])</f>
        <v>0.5</v>
      </c>
    </row>
    <row r="2681" spans="1:26" x14ac:dyDescent="0.2">
      <c r="A2681" s="6">
        <v>6370</v>
      </c>
      <c r="B2681" s="7">
        <v>45184</v>
      </c>
      <c r="C2681" s="8">
        <f>DATE(2012,12,31)-928</f>
        <v>40346</v>
      </c>
      <c r="D2681" s="8" t="str">
        <f t="shared" si="51"/>
        <v>2010-06 (июнь 2010)</v>
      </c>
      <c r="E2681" s="9" t="s">
        <v>21</v>
      </c>
      <c r="F2681" s="7">
        <v>10</v>
      </c>
      <c r="G2681" s="7">
        <v>26.11</v>
      </c>
      <c r="H2681" s="7">
        <v>0.08</v>
      </c>
      <c r="I2681" s="9" t="s">
        <v>22</v>
      </c>
      <c r="J2681" s="10">
        <v>2.65</v>
      </c>
      <c r="K2681" s="11">
        <v>2.62</v>
      </c>
      <c r="L2681" s="11">
        <v>0.8</v>
      </c>
      <c r="M2681" s="9" t="s">
        <v>1442</v>
      </c>
      <c r="N2681" s="6" t="s">
        <v>1123</v>
      </c>
      <c r="O2681" s="6" t="s">
        <v>1123</v>
      </c>
      <c r="P2681" s="9" t="s">
        <v>60</v>
      </c>
      <c r="Q2681" s="9" t="s">
        <v>26</v>
      </c>
      <c r="R2681" s="9" t="s">
        <v>66</v>
      </c>
      <c r="S2681" s="7" t="s">
        <v>861</v>
      </c>
      <c r="T2681" s="9" t="s">
        <v>68</v>
      </c>
      <c r="U2681" s="7">
        <v>0.39</v>
      </c>
      <c r="V2681" s="12">
        <f>C2681+7</f>
        <v>40353</v>
      </c>
      <c r="W2681">
        <f>IF(D2681=' Pivot Tables'!$A$4,1,0)</f>
        <v>0</v>
      </c>
      <c r="X2681">
        <f>IF(AND(LEFT(D2681,4)+1=LEFT(' Pivot Tables'!$A$4,4)+0,RIGHT(LEFT(D2681,7),2)=RIGHT(LEFT(' Pivot Tables'!$A$4,7),2)),1,0)</f>
        <v>0</v>
      </c>
      <c r="Y2681" s="6">
        <f>1/COUNTIF(Таблица1[Order ID],Таблица1[[#This Row],[Order ID]])</f>
        <v>0.5</v>
      </c>
      <c r="Z2681" s="9">
        <f>1/COUNTIFS(Таблица1[Customer Name],Таблица1[[#This Row],[Customer Name]],Таблица1[Order-Year-Month],Таблица1[[#This Row],[Order-Year-Month]])</f>
        <v>0.5</v>
      </c>
    </row>
    <row r="2682" spans="1:26" x14ac:dyDescent="0.2">
      <c r="A2682" s="6">
        <v>6421</v>
      </c>
      <c r="B2682" s="7">
        <v>45632</v>
      </c>
      <c r="C2682" s="8">
        <f>DATE(2012,12,31)-966</f>
        <v>40308</v>
      </c>
      <c r="D2682" s="8" t="str">
        <f t="shared" si="51"/>
        <v>2010-05 (май 2010)</v>
      </c>
      <c r="E2682" s="9" t="s">
        <v>45</v>
      </c>
      <c r="F2682" s="7">
        <v>50</v>
      </c>
      <c r="G2682" s="7">
        <v>442.31</v>
      </c>
      <c r="H2682" s="7">
        <v>0.02</v>
      </c>
      <c r="I2682" s="9" t="s">
        <v>22</v>
      </c>
      <c r="J2682" s="10">
        <v>231.68</v>
      </c>
      <c r="K2682" s="11">
        <v>8.34</v>
      </c>
      <c r="L2682" s="11">
        <v>0.96</v>
      </c>
      <c r="M2682" s="9" t="s">
        <v>1423</v>
      </c>
      <c r="N2682" s="6" t="s">
        <v>1123</v>
      </c>
      <c r="O2682" s="6" t="s">
        <v>1123</v>
      </c>
      <c r="P2682" s="9" t="s">
        <v>25</v>
      </c>
      <c r="Q2682" s="9" t="s">
        <v>49</v>
      </c>
      <c r="R2682" s="9" t="s">
        <v>50</v>
      </c>
      <c r="S2682" s="7" t="s">
        <v>1306</v>
      </c>
      <c r="T2682" s="9" t="s">
        <v>68</v>
      </c>
      <c r="U2682" s="7">
        <v>0.43</v>
      </c>
      <c r="V2682" s="12">
        <f>C2682+1</f>
        <v>40309</v>
      </c>
      <c r="W2682">
        <f>IF(D2682=' Pivot Tables'!$A$4,1,0)</f>
        <v>0</v>
      </c>
      <c r="X2682">
        <f>IF(AND(LEFT(D2682,4)+1=LEFT(' Pivot Tables'!$A$4,4)+0,RIGHT(LEFT(D2682,7),2)=RIGHT(LEFT(' Pivot Tables'!$A$4,7),2)),1,0)</f>
        <v>0</v>
      </c>
      <c r="Y2682" s="6">
        <f>1/COUNTIF(Таблица1[Order ID],Таблица1[[#This Row],[Order ID]])</f>
        <v>1</v>
      </c>
      <c r="Z2682" s="9">
        <f>1/COUNTIFS(Таблица1[Customer Name],Таблица1[[#This Row],[Customer Name]],Таблица1[Order-Year-Month],Таблица1[[#This Row],[Order-Year-Month]])</f>
        <v>1</v>
      </c>
    </row>
    <row r="2683" spans="1:26" x14ac:dyDescent="0.2">
      <c r="A2683" s="6">
        <v>6499</v>
      </c>
      <c r="B2683" s="7">
        <v>46276</v>
      </c>
      <c r="C2683" s="8">
        <f>DATE(2012,12,31)-22</f>
        <v>41252</v>
      </c>
      <c r="D2683" s="8" t="str">
        <f t="shared" si="51"/>
        <v>2012-12 (декабрь 2012)</v>
      </c>
      <c r="E2683" s="9" t="s">
        <v>78</v>
      </c>
      <c r="F2683" s="7">
        <v>4</v>
      </c>
      <c r="G2683" s="7">
        <v>114.83</v>
      </c>
      <c r="H2683" s="7">
        <v>0.04</v>
      </c>
      <c r="I2683" s="9" t="s">
        <v>22</v>
      </c>
      <c r="J2683" s="10">
        <v>-52.62</v>
      </c>
      <c r="K2683" s="11">
        <v>28.48</v>
      </c>
      <c r="L2683" s="11">
        <v>1.99</v>
      </c>
      <c r="M2683" s="9" t="s">
        <v>1420</v>
      </c>
      <c r="N2683" s="6" t="s">
        <v>1123</v>
      </c>
      <c r="O2683" s="6" t="s">
        <v>1123</v>
      </c>
      <c r="P2683" s="9" t="s">
        <v>25</v>
      </c>
      <c r="Q2683" s="9" t="s">
        <v>42</v>
      </c>
      <c r="R2683" s="9" t="s">
        <v>70</v>
      </c>
      <c r="S2683" s="7" t="s">
        <v>523</v>
      </c>
      <c r="T2683" s="9" t="s">
        <v>52</v>
      </c>
      <c r="U2683" s="7">
        <v>0.4</v>
      </c>
      <c r="V2683" s="12">
        <f>C2683+1</f>
        <v>41253</v>
      </c>
      <c r="W2683">
        <f>IF(D2683=' Pivot Tables'!$A$4,1,0)</f>
        <v>0</v>
      </c>
      <c r="X2683">
        <f>IF(AND(LEFT(D2683,4)+1=LEFT(' Pivot Tables'!$A$4,4)+0,RIGHT(LEFT(D2683,7),2)=RIGHT(LEFT(' Pivot Tables'!$A$4,7),2)),1,0)</f>
        <v>0</v>
      </c>
      <c r="Y2683" s="6">
        <f>1/COUNTIF(Таблица1[Order ID],Таблица1[[#This Row],[Order ID]])</f>
        <v>0.5</v>
      </c>
      <c r="Z2683" s="9">
        <f>1/COUNTIFS(Таблица1[Customer Name],Таблица1[[#This Row],[Customer Name]],Таблица1[Order-Year-Month],Таблица1[[#This Row],[Order-Year-Month]])</f>
        <v>0.5</v>
      </c>
    </row>
    <row r="2684" spans="1:26" x14ac:dyDescent="0.2">
      <c r="A2684" s="6">
        <v>6500</v>
      </c>
      <c r="B2684" s="7">
        <v>46276</v>
      </c>
      <c r="C2684" s="8">
        <f>DATE(2012,12,31)-22</f>
        <v>41252</v>
      </c>
      <c r="D2684" s="8" t="str">
        <f t="shared" si="51"/>
        <v>2012-12 (декабрь 2012)</v>
      </c>
      <c r="E2684" s="9" t="s">
        <v>78</v>
      </c>
      <c r="F2684" s="7">
        <v>23</v>
      </c>
      <c r="G2684" s="7">
        <v>16743.759999999998</v>
      </c>
      <c r="H2684" s="7">
        <v>0</v>
      </c>
      <c r="I2684" s="9" t="s">
        <v>22</v>
      </c>
      <c r="J2684" s="10">
        <v>6079.63</v>
      </c>
      <c r="K2684" s="11">
        <v>699.99</v>
      </c>
      <c r="L2684" s="11">
        <v>24.49</v>
      </c>
      <c r="M2684" s="9" t="s">
        <v>1420</v>
      </c>
      <c r="N2684" s="6" t="s">
        <v>1123</v>
      </c>
      <c r="O2684" s="6" t="s">
        <v>1123</v>
      </c>
      <c r="P2684" s="9" t="s">
        <v>25</v>
      </c>
      <c r="Q2684" s="9" t="s">
        <v>42</v>
      </c>
      <c r="R2684" s="9" t="s">
        <v>99</v>
      </c>
      <c r="S2684" s="7" t="s">
        <v>411</v>
      </c>
      <c r="T2684" s="9" t="s">
        <v>29</v>
      </c>
      <c r="U2684" s="7">
        <v>0.41</v>
      </c>
      <c r="V2684" s="12">
        <f>C2684+2</f>
        <v>41254</v>
      </c>
      <c r="W2684">
        <f>IF(D2684=' Pivot Tables'!$A$4,1,0)</f>
        <v>0</v>
      </c>
      <c r="X2684">
        <f>IF(AND(LEFT(D2684,4)+1=LEFT(' Pivot Tables'!$A$4,4)+0,RIGHT(LEFT(D2684,7),2)=RIGHT(LEFT(' Pivot Tables'!$A$4,7),2)),1,0)</f>
        <v>0</v>
      </c>
      <c r="Y2684" s="6">
        <f>1/COUNTIF(Таблица1[Order ID],Таблица1[[#This Row],[Order ID]])</f>
        <v>0.5</v>
      </c>
      <c r="Z2684" s="9">
        <f>1/COUNTIFS(Таблица1[Customer Name],Таблица1[[#This Row],[Customer Name]],Таблица1[Order-Year-Month],Таблица1[[#This Row],[Order-Year-Month]])</f>
        <v>0.5</v>
      </c>
    </row>
    <row r="2685" spans="1:26" x14ac:dyDescent="0.2">
      <c r="A2685" s="6">
        <v>6551</v>
      </c>
      <c r="B2685" s="7">
        <v>46566</v>
      </c>
      <c r="C2685" s="8">
        <f>DATE(2012,12,31)-266</f>
        <v>41008</v>
      </c>
      <c r="D2685" s="8" t="str">
        <f t="shared" si="51"/>
        <v>2012-04 (апрель 2012)</v>
      </c>
      <c r="E2685" s="9" t="s">
        <v>63</v>
      </c>
      <c r="F2685" s="7">
        <v>49</v>
      </c>
      <c r="G2685" s="7">
        <v>1534.7</v>
      </c>
      <c r="H2685" s="7">
        <v>7.0000000000000007E-2</v>
      </c>
      <c r="I2685" s="9" t="s">
        <v>22</v>
      </c>
      <c r="J2685" s="10">
        <v>258.25</v>
      </c>
      <c r="K2685" s="11">
        <v>31.11</v>
      </c>
      <c r="L2685" s="11">
        <v>3.6</v>
      </c>
      <c r="M2685" s="9" t="s">
        <v>1438</v>
      </c>
      <c r="N2685" s="6" t="s">
        <v>1123</v>
      </c>
      <c r="O2685" s="6" t="s">
        <v>1123</v>
      </c>
      <c r="P2685" s="9" t="s">
        <v>60</v>
      </c>
      <c r="Q2685" s="9" t="s">
        <v>42</v>
      </c>
      <c r="R2685" s="9" t="s">
        <v>70</v>
      </c>
      <c r="S2685" s="7" t="s">
        <v>893</v>
      </c>
      <c r="T2685" s="9" t="s">
        <v>52</v>
      </c>
      <c r="U2685" s="7">
        <v>0.64</v>
      </c>
      <c r="V2685" s="12">
        <f>C2685+1</f>
        <v>41009</v>
      </c>
      <c r="W2685">
        <f>IF(D2685=' Pivot Tables'!$A$4,1,0)</f>
        <v>0</v>
      </c>
      <c r="X2685">
        <f>IF(AND(LEFT(D2685,4)+1=LEFT(' Pivot Tables'!$A$4,4)+0,RIGHT(LEFT(D2685,7),2)=RIGHT(LEFT(' Pivot Tables'!$A$4,7),2)),1,0)</f>
        <v>0</v>
      </c>
      <c r="Y2685" s="6">
        <f>1/COUNTIF(Таблица1[Order ID],Таблица1[[#This Row],[Order ID]])</f>
        <v>1</v>
      </c>
      <c r="Z2685" s="9">
        <f>1/COUNTIFS(Таблица1[Customer Name],Таблица1[[#This Row],[Customer Name]],Таблица1[Order-Year-Month],Таблица1[[#This Row],[Order-Year-Month]])</f>
        <v>1</v>
      </c>
    </row>
    <row r="2686" spans="1:26" x14ac:dyDescent="0.2">
      <c r="A2686" s="6">
        <v>6770</v>
      </c>
      <c r="B2686" s="7">
        <v>48198</v>
      </c>
      <c r="C2686" s="8">
        <f>DATE(2012,12,31)-1137</f>
        <v>40137</v>
      </c>
      <c r="D2686" s="8" t="str">
        <f t="shared" si="51"/>
        <v>2009-11 (ноябрь 2009)</v>
      </c>
      <c r="E2686" s="9" t="s">
        <v>78</v>
      </c>
      <c r="F2686" s="7">
        <v>7</v>
      </c>
      <c r="G2686" s="7">
        <v>2813.34</v>
      </c>
      <c r="H2686" s="7">
        <v>0.1</v>
      </c>
      <c r="I2686" s="9" t="s">
        <v>31</v>
      </c>
      <c r="J2686" s="10">
        <v>-688.4396999999999</v>
      </c>
      <c r="K2686" s="11">
        <v>442.14</v>
      </c>
      <c r="L2686" s="11">
        <v>14.7</v>
      </c>
      <c r="M2686" s="9" t="s">
        <v>1417</v>
      </c>
      <c r="N2686" s="6" t="s">
        <v>1123</v>
      </c>
      <c r="O2686" s="6" t="s">
        <v>1123</v>
      </c>
      <c r="P2686" s="9" t="s">
        <v>60</v>
      </c>
      <c r="Q2686" s="9" t="s">
        <v>42</v>
      </c>
      <c r="R2686" s="9" t="s">
        <v>210</v>
      </c>
      <c r="S2686" s="7" t="s">
        <v>455</v>
      </c>
      <c r="T2686" s="9" t="s">
        <v>36</v>
      </c>
      <c r="U2686" s="7">
        <v>0.56000000000000005</v>
      </c>
      <c r="V2686" s="12">
        <f>C2686+1</f>
        <v>40138</v>
      </c>
      <c r="W2686">
        <f>IF(D2686=' Pivot Tables'!$A$4,1,0)</f>
        <v>0</v>
      </c>
      <c r="X2686">
        <f>IF(AND(LEFT(D2686,4)+1=LEFT(' Pivot Tables'!$A$4,4)+0,RIGHT(LEFT(D2686,7),2)=RIGHT(LEFT(' Pivot Tables'!$A$4,7),2)),1,0)</f>
        <v>0</v>
      </c>
      <c r="Y2686" s="6">
        <f>1/COUNTIF(Таблица1[Order ID],Таблица1[[#This Row],[Order ID]])</f>
        <v>0.5</v>
      </c>
      <c r="Z2686" s="9">
        <f>1/COUNTIFS(Таблица1[Customer Name],Таблица1[[#This Row],[Customer Name]],Таблица1[Order-Year-Month],Таблица1[[#This Row],[Order-Year-Month]])</f>
        <v>0.5</v>
      </c>
    </row>
    <row r="2687" spans="1:26" x14ac:dyDescent="0.2">
      <c r="A2687" s="6">
        <v>6771</v>
      </c>
      <c r="B2687" s="7">
        <v>48198</v>
      </c>
      <c r="C2687" s="8">
        <f>DATE(2012,12,31)-1137</f>
        <v>40137</v>
      </c>
      <c r="D2687" s="8" t="str">
        <f t="shared" si="51"/>
        <v>2009-11 (ноябрь 2009)</v>
      </c>
      <c r="E2687" s="9" t="s">
        <v>78</v>
      </c>
      <c r="F2687" s="7">
        <v>45</v>
      </c>
      <c r="G2687" s="7">
        <v>2682.8</v>
      </c>
      <c r="H2687" s="7">
        <v>0.01</v>
      </c>
      <c r="I2687" s="9" t="s">
        <v>22</v>
      </c>
      <c r="J2687" s="10">
        <v>860.22</v>
      </c>
      <c r="K2687" s="11">
        <v>60.22</v>
      </c>
      <c r="L2687" s="11">
        <v>3.5</v>
      </c>
      <c r="M2687" s="9" t="s">
        <v>1417</v>
      </c>
      <c r="N2687" s="6" t="s">
        <v>1123</v>
      </c>
      <c r="O2687" s="6" t="s">
        <v>1123</v>
      </c>
      <c r="P2687" s="9" t="s">
        <v>60</v>
      </c>
      <c r="Q2687" s="9" t="s">
        <v>26</v>
      </c>
      <c r="R2687" s="9" t="s">
        <v>34</v>
      </c>
      <c r="S2687" s="7" t="s">
        <v>624</v>
      </c>
      <c r="T2687" s="9" t="s">
        <v>39</v>
      </c>
      <c r="U2687" s="7">
        <v>0.56999999999999995</v>
      </c>
      <c r="V2687" s="12">
        <f>C2687+2</f>
        <v>40139</v>
      </c>
      <c r="W2687">
        <f>IF(D2687=' Pivot Tables'!$A$4,1,0)</f>
        <v>0</v>
      </c>
      <c r="X2687">
        <f>IF(AND(LEFT(D2687,4)+1=LEFT(' Pivot Tables'!$A$4,4)+0,RIGHT(LEFT(D2687,7),2)=RIGHT(LEFT(' Pivot Tables'!$A$4,7),2)),1,0)</f>
        <v>0</v>
      </c>
      <c r="Y2687" s="6">
        <f>1/COUNTIF(Таблица1[Order ID],Таблица1[[#This Row],[Order ID]])</f>
        <v>0.5</v>
      </c>
      <c r="Z2687" s="9">
        <f>1/COUNTIFS(Таблица1[Customer Name],Таблица1[[#This Row],[Customer Name]],Таблица1[Order-Year-Month],Таблица1[[#This Row],[Order-Year-Month]])</f>
        <v>0.5</v>
      </c>
    </row>
    <row r="2688" spans="1:26" x14ac:dyDescent="0.2">
      <c r="A2688" s="6">
        <v>6802</v>
      </c>
      <c r="B2688" s="7">
        <v>48453</v>
      </c>
      <c r="C2688" s="8">
        <f>DATE(2012,12,31)-1254</f>
        <v>40020</v>
      </c>
      <c r="D2688" s="8" t="str">
        <f t="shared" si="51"/>
        <v>2009-07 (июль 2009)</v>
      </c>
      <c r="E2688" s="9" t="s">
        <v>63</v>
      </c>
      <c r="F2688" s="7">
        <v>50</v>
      </c>
      <c r="G2688" s="7">
        <v>387.03</v>
      </c>
      <c r="H2688" s="7">
        <v>0.04</v>
      </c>
      <c r="I2688" s="9" t="s">
        <v>22</v>
      </c>
      <c r="J2688" s="10">
        <v>-7.73</v>
      </c>
      <c r="K2688" s="11">
        <v>7.96</v>
      </c>
      <c r="L2688" s="11">
        <v>4.95</v>
      </c>
      <c r="M2688" s="9" t="s">
        <v>1442</v>
      </c>
      <c r="N2688" s="6" t="s">
        <v>1123</v>
      </c>
      <c r="O2688" s="6" t="s">
        <v>1123</v>
      </c>
      <c r="P2688" s="9" t="s">
        <v>60</v>
      </c>
      <c r="Q2688" s="9" t="s">
        <v>49</v>
      </c>
      <c r="R2688" s="9" t="s">
        <v>50</v>
      </c>
      <c r="S2688" s="7" t="s">
        <v>951</v>
      </c>
      <c r="T2688" s="9" t="s">
        <v>39</v>
      </c>
      <c r="U2688" s="7">
        <v>0.41</v>
      </c>
      <c r="V2688" s="12">
        <f>C2688+0</f>
        <v>40020</v>
      </c>
      <c r="W2688">
        <f>IF(D2688=' Pivot Tables'!$A$4,1,0)</f>
        <v>0</v>
      </c>
      <c r="X2688">
        <f>IF(AND(LEFT(D2688,4)+1=LEFT(' Pivot Tables'!$A$4,4)+0,RIGHT(LEFT(D2688,7),2)=RIGHT(LEFT(' Pivot Tables'!$A$4,7),2)),1,0)</f>
        <v>0</v>
      </c>
      <c r="Y2688" s="6">
        <f>1/COUNTIF(Таблица1[Order ID],Таблица1[[#This Row],[Order ID]])</f>
        <v>1</v>
      </c>
      <c r="Z2688" s="9">
        <f>1/COUNTIFS(Таблица1[Customer Name],Таблица1[[#This Row],[Customer Name]],Таблица1[Order-Year-Month],Таблица1[[#This Row],[Order-Year-Month]])</f>
        <v>1</v>
      </c>
    </row>
    <row r="2689" spans="1:26" x14ac:dyDescent="0.2">
      <c r="A2689" s="6">
        <v>6817</v>
      </c>
      <c r="B2689" s="7">
        <v>48518</v>
      </c>
      <c r="C2689" s="8">
        <f>DATE(2012,12,31)-1369</f>
        <v>39905</v>
      </c>
      <c r="D2689" s="8" t="str">
        <f t="shared" si="51"/>
        <v>2009-04 (апрель 2009)</v>
      </c>
      <c r="E2689" s="9" t="s">
        <v>63</v>
      </c>
      <c r="F2689" s="7">
        <v>17</v>
      </c>
      <c r="G2689" s="7">
        <v>585.47</v>
      </c>
      <c r="H2689" s="7">
        <v>0.1</v>
      </c>
      <c r="I2689" s="9" t="s">
        <v>56</v>
      </c>
      <c r="J2689" s="10">
        <v>178.14</v>
      </c>
      <c r="K2689" s="11">
        <v>37.94</v>
      </c>
      <c r="L2689" s="11">
        <v>5.08</v>
      </c>
      <c r="M2689" s="9" t="s">
        <v>1427</v>
      </c>
      <c r="N2689" s="6" t="s">
        <v>1123</v>
      </c>
      <c r="O2689" s="6" t="s">
        <v>1123</v>
      </c>
      <c r="P2689" s="9" t="s">
        <v>41</v>
      </c>
      <c r="Q2689" s="9" t="s">
        <v>26</v>
      </c>
      <c r="R2689" s="9" t="s">
        <v>61</v>
      </c>
      <c r="S2689" s="7" t="s">
        <v>684</v>
      </c>
      <c r="T2689" s="9" t="s">
        <v>68</v>
      </c>
      <c r="U2689" s="7">
        <v>0.38</v>
      </c>
      <c r="V2689" s="12">
        <f>C2689+2</f>
        <v>39907</v>
      </c>
      <c r="W2689">
        <f>IF(D2689=' Pivot Tables'!$A$4,1,0)</f>
        <v>0</v>
      </c>
      <c r="X2689">
        <f>IF(AND(LEFT(D2689,4)+1=LEFT(' Pivot Tables'!$A$4,4)+0,RIGHT(LEFT(D2689,7),2)=RIGHT(LEFT(' Pivot Tables'!$A$4,7),2)),1,0)</f>
        <v>0</v>
      </c>
      <c r="Y2689" s="6">
        <f>1/COUNTIF(Таблица1[Order ID],Таблица1[[#This Row],[Order ID]])</f>
        <v>1</v>
      </c>
      <c r="Z2689" s="9">
        <f>1/COUNTIFS(Таблица1[Customer Name],Таблица1[[#This Row],[Customer Name]],Таблица1[Order-Year-Month],Таблица1[[#This Row],[Order-Year-Month]])</f>
        <v>1</v>
      </c>
    </row>
    <row r="2690" spans="1:26" x14ac:dyDescent="0.2">
      <c r="A2690" s="6">
        <v>6919</v>
      </c>
      <c r="B2690" s="7">
        <v>49349</v>
      </c>
      <c r="C2690" s="8">
        <f>DATE(2012,12,31)-579</f>
        <v>40695</v>
      </c>
      <c r="D2690" s="8" t="str">
        <f t="shared" si="51"/>
        <v>2011-06 (июнь 2011)</v>
      </c>
      <c r="E2690" s="9" t="s">
        <v>30</v>
      </c>
      <c r="F2690" s="7">
        <v>11</v>
      </c>
      <c r="G2690" s="7">
        <v>123.34</v>
      </c>
      <c r="H2690" s="7">
        <v>7.0000000000000007E-2</v>
      </c>
      <c r="I2690" s="9" t="s">
        <v>22</v>
      </c>
      <c r="J2690" s="10">
        <v>0.64000000000000057</v>
      </c>
      <c r="K2690" s="11">
        <v>11.34</v>
      </c>
      <c r="L2690" s="11">
        <v>5.01</v>
      </c>
      <c r="M2690" s="9" t="s">
        <v>1413</v>
      </c>
      <c r="N2690" s="6" t="s">
        <v>1123</v>
      </c>
      <c r="O2690" s="6" t="s">
        <v>1123</v>
      </c>
      <c r="P2690" s="9" t="s">
        <v>60</v>
      </c>
      <c r="Q2690" s="9" t="s">
        <v>26</v>
      </c>
      <c r="R2690" s="9" t="s">
        <v>61</v>
      </c>
      <c r="S2690" s="7" t="s">
        <v>226</v>
      </c>
      <c r="T2690" s="9" t="s">
        <v>39</v>
      </c>
      <c r="U2690" s="7">
        <v>0.36</v>
      </c>
      <c r="V2690" s="12">
        <f>C2690+0</f>
        <v>40695</v>
      </c>
      <c r="W2690">
        <f>IF(D2690=' Pivot Tables'!$A$4,1,0)</f>
        <v>0</v>
      </c>
      <c r="X2690">
        <f>IF(AND(LEFT(D2690,4)+1=LEFT(' Pivot Tables'!$A$4,4)+0,RIGHT(LEFT(D2690,7),2)=RIGHT(LEFT(' Pivot Tables'!$A$4,7),2)),1,0)</f>
        <v>0</v>
      </c>
      <c r="Y2690" s="6">
        <f>1/COUNTIF(Таблица1[Order ID],Таблица1[[#This Row],[Order ID]])</f>
        <v>0.5</v>
      </c>
      <c r="Z2690" s="9">
        <f>1/COUNTIFS(Таблица1[Customer Name],Таблица1[[#This Row],[Customer Name]],Таблица1[Order-Year-Month],Таблица1[[#This Row],[Order-Year-Month]])</f>
        <v>0.5</v>
      </c>
    </row>
    <row r="2691" spans="1:26" x14ac:dyDescent="0.2">
      <c r="A2691" s="6">
        <v>6920</v>
      </c>
      <c r="B2691" s="7">
        <v>49349</v>
      </c>
      <c r="C2691" s="8">
        <f>DATE(2012,12,31)-579</f>
        <v>40695</v>
      </c>
      <c r="D2691" s="8" t="str">
        <f t="shared" ref="D2691:D2754" si="52">TEXT(C2691,"гггг-ММ (ММММ гггг)")</f>
        <v>2011-06 (июнь 2011)</v>
      </c>
      <c r="E2691" s="9" t="s">
        <v>30</v>
      </c>
      <c r="F2691" s="7">
        <v>23</v>
      </c>
      <c r="G2691" s="7">
        <v>1642.47</v>
      </c>
      <c r="H2691" s="7">
        <v>0.01</v>
      </c>
      <c r="I2691" s="9" t="s">
        <v>31</v>
      </c>
      <c r="J2691" s="10">
        <v>-524.03</v>
      </c>
      <c r="K2691" s="11">
        <v>68.81</v>
      </c>
      <c r="L2691" s="11">
        <v>60</v>
      </c>
      <c r="M2691" s="9" t="s">
        <v>1413</v>
      </c>
      <c r="N2691" s="6" t="s">
        <v>1123</v>
      </c>
      <c r="O2691" s="6" t="s">
        <v>1123</v>
      </c>
      <c r="P2691" s="9" t="s">
        <v>60</v>
      </c>
      <c r="Q2691" s="9" t="s">
        <v>26</v>
      </c>
      <c r="R2691" s="9" t="s">
        <v>34</v>
      </c>
      <c r="S2691" s="7" t="s">
        <v>605</v>
      </c>
      <c r="T2691" s="9" t="s">
        <v>36</v>
      </c>
      <c r="U2691" s="7">
        <v>0.41</v>
      </c>
      <c r="V2691" s="12">
        <f>C2691+2</f>
        <v>40697</v>
      </c>
      <c r="W2691">
        <f>IF(D2691=' Pivot Tables'!$A$4,1,0)</f>
        <v>0</v>
      </c>
      <c r="X2691">
        <f>IF(AND(LEFT(D2691,4)+1=LEFT(' Pivot Tables'!$A$4,4)+0,RIGHT(LEFT(D2691,7),2)=RIGHT(LEFT(' Pivot Tables'!$A$4,7),2)),1,0)</f>
        <v>0</v>
      </c>
      <c r="Y2691" s="6">
        <f>1/COUNTIF(Таблица1[Order ID],Таблица1[[#This Row],[Order ID]])</f>
        <v>0.5</v>
      </c>
      <c r="Z2691" s="9">
        <f>1/COUNTIFS(Таблица1[Customer Name],Таблица1[[#This Row],[Customer Name]],Таблица1[Order-Year-Month],Таблица1[[#This Row],[Order-Year-Month]])</f>
        <v>0.5</v>
      </c>
    </row>
    <row r="2692" spans="1:26" x14ac:dyDescent="0.2">
      <c r="A2692" s="6">
        <v>6952</v>
      </c>
      <c r="B2692" s="7">
        <v>49668</v>
      </c>
      <c r="C2692" s="8">
        <f>DATE(2012,12,31)-1125</f>
        <v>40149</v>
      </c>
      <c r="D2692" s="8" t="str">
        <f t="shared" si="52"/>
        <v>2009-12 (декабрь 2009)</v>
      </c>
      <c r="E2692" s="9" t="s">
        <v>21</v>
      </c>
      <c r="F2692" s="7">
        <v>25</v>
      </c>
      <c r="G2692" s="7">
        <v>93.22</v>
      </c>
      <c r="H2692" s="7">
        <v>0.06</v>
      </c>
      <c r="I2692" s="9" t="s">
        <v>22</v>
      </c>
      <c r="J2692" s="10">
        <v>-15.37</v>
      </c>
      <c r="K2692" s="11">
        <v>3.74</v>
      </c>
      <c r="L2692" s="11">
        <v>0.94</v>
      </c>
      <c r="M2692" s="9" t="s">
        <v>1423</v>
      </c>
      <c r="N2692" s="6" t="s">
        <v>1123</v>
      </c>
      <c r="O2692" s="6" t="s">
        <v>1123</v>
      </c>
      <c r="P2692" s="9" t="s">
        <v>60</v>
      </c>
      <c r="Q2692" s="9" t="s">
        <v>26</v>
      </c>
      <c r="R2692" s="9" t="s">
        <v>66</v>
      </c>
      <c r="S2692" s="7" t="s">
        <v>1450</v>
      </c>
      <c r="T2692" s="9" t="s">
        <v>68</v>
      </c>
      <c r="U2692" s="7">
        <v>0.83</v>
      </c>
      <c r="V2692" s="12">
        <f>C2692+7</f>
        <v>40156</v>
      </c>
      <c r="W2692">
        <f>IF(D2692=' Pivot Tables'!$A$4,1,0)</f>
        <v>0</v>
      </c>
      <c r="X2692">
        <f>IF(AND(LEFT(D2692,4)+1=LEFT(' Pivot Tables'!$A$4,4)+0,RIGHT(LEFT(D2692,7),2)=RIGHT(LEFT(' Pivot Tables'!$A$4,7),2)),1,0)</f>
        <v>0</v>
      </c>
      <c r="Y2692" s="6">
        <f>1/COUNTIF(Таблица1[Order ID],Таблица1[[#This Row],[Order ID]])</f>
        <v>1</v>
      </c>
      <c r="Z2692" s="9">
        <f>1/COUNTIFS(Таблица1[Customer Name],Таблица1[[#This Row],[Customer Name]],Таблица1[Order-Year-Month],Таблица1[[#This Row],[Order-Year-Month]])</f>
        <v>0.5</v>
      </c>
    </row>
    <row r="2693" spans="1:26" x14ac:dyDescent="0.2">
      <c r="A2693" s="6">
        <v>7050</v>
      </c>
      <c r="B2693" s="7">
        <v>50309</v>
      </c>
      <c r="C2693" s="8">
        <f>DATE(2012,12,31)-657</f>
        <v>40617</v>
      </c>
      <c r="D2693" s="8" t="str">
        <f t="shared" si="52"/>
        <v>2011-03 (март 2011)</v>
      </c>
      <c r="E2693" s="9" t="s">
        <v>21</v>
      </c>
      <c r="F2693" s="7">
        <v>36</v>
      </c>
      <c r="G2693" s="7">
        <v>243.18</v>
      </c>
      <c r="H2693" s="7">
        <v>0.08</v>
      </c>
      <c r="I2693" s="9" t="s">
        <v>22</v>
      </c>
      <c r="J2693" s="10">
        <v>-314.22000000000003</v>
      </c>
      <c r="K2693" s="11">
        <v>6.98</v>
      </c>
      <c r="L2693" s="11">
        <v>9.69</v>
      </c>
      <c r="M2693" s="9" t="s">
        <v>1236</v>
      </c>
      <c r="N2693" s="6" t="s">
        <v>1123</v>
      </c>
      <c r="O2693" s="6" t="s">
        <v>1123</v>
      </c>
      <c r="P2693" s="9" t="s">
        <v>25</v>
      </c>
      <c r="Q2693" s="9" t="s">
        <v>26</v>
      </c>
      <c r="R2693" s="9" t="s">
        <v>27</v>
      </c>
      <c r="S2693" s="7" t="s">
        <v>1314</v>
      </c>
      <c r="T2693" s="9" t="s">
        <v>39</v>
      </c>
      <c r="U2693" s="7">
        <v>0.83</v>
      </c>
      <c r="V2693" s="12">
        <f>C2693+7</f>
        <v>40624</v>
      </c>
      <c r="W2693">
        <f>IF(D2693=' Pivot Tables'!$A$4,1,0)</f>
        <v>0</v>
      </c>
      <c r="X2693">
        <f>IF(AND(LEFT(D2693,4)+1=LEFT(' Pivot Tables'!$A$4,4)+0,RIGHT(LEFT(D2693,7),2)=RIGHT(LEFT(' Pivot Tables'!$A$4,7),2)),1,0)</f>
        <v>0</v>
      </c>
      <c r="Y2693" s="6">
        <f>1/COUNTIF(Таблица1[Order ID],Таблица1[[#This Row],[Order ID]])</f>
        <v>1</v>
      </c>
      <c r="Z2693" s="9">
        <f>1/COUNTIFS(Таблица1[Customer Name],Таблица1[[#This Row],[Customer Name]],Таблица1[Order-Year-Month],Таблица1[[#This Row],[Order-Year-Month]])</f>
        <v>1</v>
      </c>
    </row>
    <row r="2694" spans="1:26" x14ac:dyDescent="0.2">
      <c r="A2694" s="6">
        <v>7349</v>
      </c>
      <c r="B2694" s="7">
        <v>52327</v>
      </c>
      <c r="C2694" s="8">
        <f>DATE(2012,12,31)-377</f>
        <v>40897</v>
      </c>
      <c r="D2694" s="8" t="str">
        <f t="shared" si="52"/>
        <v>2011-12 (декабрь 2011)</v>
      </c>
      <c r="E2694" s="9" t="s">
        <v>63</v>
      </c>
      <c r="F2694" s="7">
        <v>27</v>
      </c>
      <c r="G2694" s="7">
        <v>3853.47</v>
      </c>
      <c r="H2694" s="7">
        <v>0.1</v>
      </c>
      <c r="I2694" s="9" t="s">
        <v>22</v>
      </c>
      <c r="J2694" s="10">
        <v>21.499999999999943</v>
      </c>
      <c r="K2694" s="11">
        <v>152.47999999999999</v>
      </c>
      <c r="L2694" s="11">
        <v>6.5</v>
      </c>
      <c r="M2694" s="9" t="s">
        <v>1438</v>
      </c>
      <c r="N2694" s="6" t="s">
        <v>1123</v>
      </c>
      <c r="O2694" s="6" t="s">
        <v>1123</v>
      </c>
      <c r="P2694" s="9" t="s">
        <v>60</v>
      </c>
      <c r="Q2694" s="9" t="s">
        <v>42</v>
      </c>
      <c r="R2694" s="9" t="s">
        <v>70</v>
      </c>
      <c r="S2694" s="7" t="s">
        <v>844</v>
      </c>
      <c r="T2694" s="9" t="s">
        <v>39</v>
      </c>
      <c r="U2694" s="7">
        <v>0.74</v>
      </c>
      <c r="V2694" s="12">
        <f>C2694+1</f>
        <v>40898</v>
      </c>
      <c r="W2694">
        <f>IF(D2694=' Pivot Tables'!$A$4,1,0)</f>
        <v>0</v>
      </c>
      <c r="X2694">
        <f>IF(AND(LEFT(D2694,4)+1=LEFT(' Pivot Tables'!$A$4,4)+0,RIGHT(LEFT(D2694,7),2)=RIGHT(LEFT(' Pivot Tables'!$A$4,7),2)),1,0)</f>
        <v>0</v>
      </c>
      <c r="Y2694" s="6">
        <f>1/COUNTIF(Таблица1[Order ID],Таблица1[[#This Row],[Order ID]])</f>
        <v>0.5</v>
      </c>
      <c r="Z2694" s="9">
        <f>1/COUNTIFS(Таблица1[Customer Name],Таблица1[[#This Row],[Customer Name]],Таблица1[Order-Year-Month],Таблица1[[#This Row],[Order-Year-Month]])</f>
        <v>0.5</v>
      </c>
    </row>
    <row r="2695" spans="1:26" x14ac:dyDescent="0.2">
      <c r="A2695" s="6">
        <v>7350</v>
      </c>
      <c r="B2695" s="7">
        <v>52327</v>
      </c>
      <c r="C2695" s="8">
        <f>DATE(2012,12,31)-377</f>
        <v>40897</v>
      </c>
      <c r="D2695" s="8" t="str">
        <f t="shared" si="52"/>
        <v>2011-12 (декабрь 2011)</v>
      </c>
      <c r="E2695" s="9" t="s">
        <v>63</v>
      </c>
      <c r="F2695" s="7">
        <v>5</v>
      </c>
      <c r="G2695" s="7">
        <v>28.23</v>
      </c>
      <c r="H2695" s="7">
        <v>0.1</v>
      </c>
      <c r="I2695" s="9" t="s">
        <v>22</v>
      </c>
      <c r="J2695" s="10">
        <v>-14.69</v>
      </c>
      <c r="K2695" s="11">
        <v>4.9800000000000004</v>
      </c>
      <c r="L2695" s="11">
        <v>4.7</v>
      </c>
      <c r="M2695" s="9" t="s">
        <v>1438</v>
      </c>
      <c r="N2695" s="6" t="s">
        <v>1123</v>
      </c>
      <c r="O2695" s="6" t="s">
        <v>1123</v>
      </c>
      <c r="P2695" s="9" t="s">
        <v>60</v>
      </c>
      <c r="Q2695" s="9" t="s">
        <v>26</v>
      </c>
      <c r="R2695" s="9" t="s">
        <v>61</v>
      </c>
      <c r="S2695" s="7" t="s">
        <v>937</v>
      </c>
      <c r="T2695" s="9" t="s">
        <v>39</v>
      </c>
      <c r="U2695" s="7">
        <v>0.38</v>
      </c>
      <c r="V2695" s="12">
        <f>C2695+2</f>
        <v>40899</v>
      </c>
      <c r="W2695">
        <f>IF(D2695=' Pivot Tables'!$A$4,1,0)</f>
        <v>0</v>
      </c>
      <c r="X2695">
        <f>IF(AND(LEFT(D2695,4)+1=LEFT(' Pivot Tables'!$A$4,4)+0,RIGHT(LEFT(D2695,7),2)=RIGHT(LEFT(' Pivot Tables'!$A$4,7),2)),1,0)</f>
        <v>0</v>
      </c>
      <c r="Y2695" s="6">
        <f>1/COUNTIF(Таблица1[Order ID],Таблица1[[#This Row],[Order ID]])</f>
        <v>0.5</v>
      </c>
      <c r="Z2695" s="9">
        <f>1/COUNTIFS(Таблица1[Customer Name],Таблица1[[#This Row],[Customer Name]],Таблица1[Order-Year-Month],Таблица1[[#This Row],[Order-Year-Month]])</f>
        <v>0.5</v>
      </c>
    </row>
    <row r="2696" spans="1:26" x14ac:dyDescent="0.2">
      <c r="A2696" s="6">
        <v>7369</v>
      </c>
      <c r="B2696" s="7">
        <v>52516</v>
      </c>
      <c r="C2696" s="8">
        <f>DATE(2012,12,31)-361</f>
        <v>40913</v>
      </c>
      <c r="D2696" s="8" t="str">
        <f t="shared" si="52"/>
        <v>2012-01 (январь 2012)</v>
      </c>
      <c r="E2696" s="9" t="s">
        <v>30</v>
      </c>
      <c r="F2696" s="7">
        <v>50</v>
      </c>
      <c r="G2696" s="7">
        <v>4962.05</v>
      </c>
      <c r="H2696" s="7">
        <v>0.08</v>
      </c>
      <c r="I2696" s="9" t="s">
        <v>31</v>
      </c>
      <c r="J2696" s="10">
        <v>335.29</v>
      </c>
      <c r="K2696" s="11">
        <v>119.99</v>
      </c>
      <c r="L2696" s="11">
        <v>56.14</v>
      </c>
      <c r="M2696" s="9" t="s">
        <v>1427</v>
      </c>
      <c r="N2696" s="6" t="s">
        <v>1123</v>
      </c>
      <c r="O2696" s="6" t="s">
        <v>1123</v>
      </c>
      <c r="P2696" s="9" t="s">
        <v>41</v>
      </c>
      <c r="Q2696" s="9" t="s">
        <v>42</v>
      </c>
      <c r="R2696" s="9" t="s">
        <v>210</v>
      </c>
      <c r="S2696" s="7" t="s">
        <v>950</v>
      </c>
      <c r="T2696" s="9" t="s">
        <v>82</v>
      </c>
      <c r="U2696" s="7">
        <v>0.39</v>
      </c>
      <c r="V2696" s="12">
        <f>C2696+0</f>
        <v>40913</v>
      </c>
      <c r="W2696">
        <f>IF(D2696=' Pivot Tables'!$A$4,1,0)</f>
        <v>0</v>
      </c>
      <c r="X2696">
        <f>IF(AND(LEFT(D2696,4)+1=LEFT(' Pivot Tables'!$A$4,4)+0,RIGHT(LEFT(D2696,7),2)=RIGHT(LEFT(' Pivot Tables'!$A$4,7),2)),1,0)</f>
        <v>0</v>
      </c>
      <c r="Y2696" s="6">
        <f>1/COUNTIF(Таблица1[Order ID],Таблица1[[#This Row],[Order ID]])</f>
        <v>0.5</v>
      </c>
      <c r="Z2696" s="9">
        <f>1/COUNTIFS(Таблица1[Customer Name],Таблица1[[#This Row],[Customer Name]],Таблица1[Order-Year-Month],Таблица1[[#This Row],[Order-Year-Month]])</f>
        <v>0.5</v>
      </c>
    </row>
    <row r="2697" spans="1:26" x14ac:dyDescent="0.2">
      <c r="A2697" s="6">
        <v>7370</v>
      </c>
      <c r="B2697" s="7">
        <v>52516</v>
      </c>
      <c r="C2697" s="8">
        <f>DATE(2012,12,31)-361</f>
        <v>40913</v>
      </c>
      <c r="D2697" s="8" t="str">
        <f t="shared" si="52"/>
        <v>2012-01 (январь 2012)</v>
      </c>
      <c r="E2697" s="9" t="s">
        <v>30</v>
      </c>
      <c r="F2697" s="7">
        <v>19</v>
      </c>
      <c r="G2697" s="7">
        <v>192.39</v>
      </c>
      <c r="H2697" s="7">
        <v>0.08</v>
      </c>
      <c r="I2697" s="9" t="s">
        <v>56</v>
      </c>
      <c r="J2697" s="10">
        <v>-31.67</v>
      </c>
      <c r="K2697" s="11">
        <v>10.23</v>
      </c>
      <c r="L2697" s="11">
        <v>4.68</v>
      </c>
      <c r="M2697" s="9" t="s">
        <v>1427</v>
      </c>
      <c r="N2697" s="6" t="s">
        <v>1123</v>
      </c>
      <c r="O2697" s="6" t="s">
        <v>1123</v>
      </c>
      <c r="P2697" s="9" t="s">
        <v>41</v>
      </c>
      <c r="Q2697" s="9" t="s">
        <v>26</v>
      </c>
      <c r="R2697" s="9" t="s">
        <v>150</v>
      </c>
      <c r="S2697" s="7" t="s">
        <v>1054</v>
      </c>
      <c r="T2697" s="9" t="s">
        <v>52</v>
      </c>
      <c r="U2697" s="7">
        <v>0.59</v>
      </c>
      <c r="V2697" s="12">
        <f>C2697+3</f>
        <v>40916</v>
      </c>
      <c r="W2697">
        <f>IF(D2697=' Pivot Tables'!$A$4,1,0)</f>
        <v>0</v>
      </c>
      <c r="X2697">
        <f>IF(AND(LEFT(D2697,4)+1=LEFT(' Pivot Tables'!$A$4,4)+0,RIGHT(LEFT(D2697,7),2)=RIGHT(LEFT(' Pivot Tables'!$A$4,7),2)),1,0)</f>
        <v>0</v>
      </c>
      <c r="Y2697" s="6">
        <f>1/COUNTIF(Таблица1[Order ID],Таблица1[[#This Row],[Order ID]])</f>
        <v>0.5</v>
      </c>
      <c r="Z2697" s="9">
        <f>1/COUNTIFS(Таблица1[Customer Name],Таблица1[[#This Row],[Customer Name]],Таблица1[Order-Year-Month],Таблица1[[#This Row],[Order-Year-Month]])</f>
        <v>0.5</v>
      </c>
    </row>
    <row r="2698" spans="1:26" x14ac:dyDescent="0.2">
      <c r="A2698" s="6">
        <v>7402</v>
      </c>
      <c r="B2698" s="7">
        <v>52800</v>
      </c>
      <c r="C2698" s="8">
        <f>DATE(2012,12,31)-813</f>
        <v>40461</v>
      </c>
      <c r="D2698" s="8" t="str">
        <f t="shared" si="52"/>
        <v>2010-10 (октябрь 2010)</v>
      </c>
      <c r="E2698" s="9" t="s">
        <v>45</v>
      </c>
      <c r="F2698" s="7">
        <v>13</v>
      </c>
      <c r="G2698" s="7">
        <v>26.08</v>
      </c>
      <c r="H2698" s="7">
        <v>0.1</v>
      </c>
      <c r="I2698" s="9" t="s">
        <v>22</v>
      </c>
      <c r="J2698" s="10">
        <v>-27.29</v>
      </c>
      <c r="K2698" s="11">
        <v>1.86</v>
      </c>
      <c r="L2698" s="11">
        <v>2.58</v>
      </c>
      <c r="M2698" s="9" t="s">
        <v>1418</v>
      </c>
      <c r="N2698" s="6" t="s">
        <v>1123</v>
      </c>
      <c r="O2698" s="6" t="s">
        <v>1123</v>
      </c>
      <c r="P2698" s="9" t="s">
        <v>25</v>
      </c>
      <c r="Q2698" s="9" t="s">
        <v>26</v>
      </c>
      <c r="R2698" s="9" t="s">
        <v>66</v>
      </c>
      <c r="S2698" s="7" t="s">
        <v>783</v>
      </c>
      <c r="T2698" s="9" t="s">
        <v>68</v>
      </c>
      <c r="U2698" s="7">
        <v>0.82</v>
      </c>
      <c r="V2698" s="12">
        <f>C2698+1</f>
        <v>40462</v>
      </c>
      <c r="W2698">
        <f>IF(D2698=' Pivot Tables'!$A$4,1,0)</f>
        <v>0</v>
      </c>
      <c r="X2698">
        <f>IF(AND(LEFT(D2698,4)+1=LEFT(' Pivot Tables'!$A$4,4)+0,RIGHT(LEFT(D2698,7),2)=RIGHT(LEFT(' Pivot Tables'!$A$4,7),2)),1,0)</f>
        <v>0</v>
      </c>
      <c r="Y2698" s="6">
        <f>1/COUNTIF(Таблица1[Order ID],Таблица1[[#This Row],[Order ID]])</f>
        <v>1</v>
      </c>
      <c r="Z2698" s="9">
        <f>1/COUNTIFS(Таблица1[Customer Name],Таблица1[[#This Row],[Customer Name]],Таблица1[Order-Year-Month],Таблица1[[#This Row],[Order-Year-Month]])</f>
        <v>1</v>
      </c>
    </row>
    <row r="2699" spans="1:26" x14ac:dyDescent="0.2">
      <c r="A2699" s="6">
        <v>7508</v>
      </c>
      <c r="B2699" s="7">
        <v>53574</v>
      </c>
      <c r="C2699" s="8">
        <f>DATE(2012,12,31)-266</f>
        <v>41008</v>
      </c>
      <c r="D2699" s="8" t="str">
        <f t="shared" si="52"/>
        <v>2012-04 (апрель 2012)</v>
      </c>
      <c r="E2699" s="9" t="s">
        <v>63</v>
      </c>
      <c r="F2699" s="7">
        <v>8</v>
      </c>
      <c r="G2699" s="7">
        <v>669.69</v>
      </c>
      <c r="H2699" s="7">
        <v>0.03</v>
      </c>
      <c r="I2699" s="9" t="s">
        <v>22</v>
      </c>
      <c r="J2699" s="10">
        <v>-297.02</v>
      </c>
      <c r="K2699" s="11">
        <v>80.98</v>
      </c>
      <c r="L2699" s="11">
        <v>35</v>
      </c>
      <c r="M2699" s="9" t="s">
        <v>1427</v>
      </c>
      <c r="N2699" s="6" t="s">
        <v>1123</v>
      </c>
      <c r="O2699" s="6" t="s">
        <v>1123</v>
      </c>
      <c r="P2699" s="9" t="s">
        <v>41</v>
      </c>
      <c r="Q2699" s="9" t="s">
        <v>26</v>
      </c>
      <c r="R2699" s="9" t="s">
        <v>27</v>
      </c>
      <c r="S2699" s="7" t="s">
        <v>171</v>
      </c>
      <c r="T2699" s="9" t="s">
        <v>29</v>
      </c>
      <c r="U2699" s="7">
        <v>0.81</v>
      </c>
      <c r="V2699" s="12">
        <f>C2699+1</f>
        <v>41009</v>
      </c>
      <c r="W2699">
        <f>IF(D2699=' Pivot Tables'!$A$4,1,0)</f>
        <v>0</v>
      </c>
      <c r="X2699">
        <f>IF(AND(LEFT(D2699,4)+1=LEFT(' Pivot Tables'!$A$4,4)+0,RIGHT(LEFT(D2699,7),2)=RIGHT(LEFT(' Pivot Tables'!$A$4,7),2)),1,0)</f>
        <v>0</v>
      </c>
      <c r="Y2699" s="6">
        <f>1/COUNTIF(Таблица1[Order ID],Таблица1[[#This Row],[Order ID]])</f>
        <v>1</v>
      </c>
      <c r="Z2699" s="9">
        <f>1/COUNTIFS(Таблица1[Customer Name],Таблица1[[#This Row],[Customer Name]],Таблица1[Order-Year-Month],Таблица1[[#This Row],[Order-Year-Month]])</f>
        <v>1</v>
      </c>
    </row>
    <row r="2700" spans="1:26" x14ac:dyDescent="0.2">
      <c r="A2700" s="6">
        <v>7552</v>
      </c>
      <c r="B2700" s="7">
        <v>54023</v>
      </c>
      <c r="C2700" s="8">
        <f>DATE(2012,12,31)-162</f>
        <v>41112</v>
      </c>
      <c r="D2700" s="8" t="str">
        <f t="shared" si="52"/>
        <v>2012-07 (июль 2012)</v>
      </c>
      <c r="E2700" s="9" t="s">
        <v>45</v>
      </c>
      <c r="F2700" s="7">
        <v>45</v>
      </c>
      <c r="G2700" s="7">
        <v>405.6</v>
      </c>
      <c r="H2700" s="7">
        <v>7.0000000000000007E-2</v>
      </c>
      <c r="I2700" s="9" t="s">
        <v>22</v>
      </c>
      <c r="J2700" s="10">
        <v>-8.5904999999999987</v>
      </c>
      <c r="K2700" s="11">
        <v>8.85</v>
      </c>
      <c r="L2700" s="11">
        <v>5.6</v>
      </c>
      <c r="M2700" s="9" t="s">
        <v>1420</v>
      </c>
      <c r="N2700" s="6" t="s">
        <v>1123</v>
      </c>
      <c r="O2700" s="6" t="s">
        <v>1123</v>
      </c>
      <c r="P2700" s="9" t="s">
        <v>25</v>
      </c>
      <c r="Q2700" s="9" t="s">
        <v>26</v>
      </c>
      <c r="R2700" s="9" t="s">
        <v>37</v>
      </c>
      <c r="S2700" s="7" t="s">
        <v>298</v>
      </c>
      <c r="T2700" s="9" t="s">
        <v>39</v>
      </c>
      <c r="U2700" s="7">
        <v>0.36</v>
      </c>
      <c r="V2700" s="12">
        <f>C2700+1</f>
        <v>41113</v>
      </c>
      <c r="W2700">
        <f>IF(D2700=' Pivot Tables'!$A$4,1,0)</f>
        <v>0</v>
      </c>
      <c r="X2700">
        <f>IF(AND(LEFT(D2700,4)+1=LEFT(' Pivot Tables'!$A$4,4)+0,RIGHT(LEFT(D2700,7),2)=RIGHT(LEFT(' Pivot Tables'!$A$4,7),2)),1,0)</f>
        <v>0</v>
      </c>
      <c r="Y2700" s="6">
        <f>1/COUNTIF(Таблица1[Order ID],Таблица1[[#This Row],[Order ID]])</f>
        <v>1</v>
      </c>
      <c r="Z2700" s="9">
        <f>1/COUNTIFS(Таблица1[Customer Name],Таблица1[[#This Row],[Customer Name]],Таблица1[Order-Year-Month],Таблица1[[#This Row],[Order-Year-Month]])</f>
        <v>0.33333333333333331</v>
      </c>
    </row>
    <row r="2701" spans="1:26" x14ac:dyDescent="0.2">
      <c r="A2701" s="6">
        <v>7709</v>
      </c>
      <c r="B2701" s="7">
        <v>55265</v>
      </c>
      <c r="C2701" s="8">
        <f>DATE(2012,12,31)-1195</f>
        <v>40079</v>
      </c>
      <c r="D2701" s="8" t="str">
        <f t="shared" si="52"/>
        <v>2009-09 (сентябрь 2009)</v>
      </c>
      <c r="E2701" s="9" t="s">
        <v>21</v>
      </c>
      <c r="F2701" s="7">
        <v>39</v>
      </c>
      <c r="G2701" s="7">
        <v>706.39250000000004</v>
      </c>
      <c r="H2701" s="7">
        <v>0.06</v>
      </c>
      <c r="I2701" s="9" t="s">
        <v>22</v>
      </c>
      <c r="J2701" s="10">
        <v>346.14</v>
      </c>
      <c r="K2701" s="11">
        <v>20.99</v>
      </c>
      <c r="L2701" s="11">
        <v>0.99</v>
      </c>
      <c r="M2701" s="9" t="s">
        <v>1427</v>
      </c>
      <c r="N2701" s="6" t="s">
        <v>1123</v>
      </c>
      <c r="O2701" s="6" t="s">
        <v>1123</v>
      </c>
      <c r="P2701" s="9" t="s">
        <v>41</v>
      </c>
      <c r="Q2701" s="9" t="s">
        <v>42</v>
      </c>
      <c r="R2701" s="9" t="s">
        <v>43</v>
      </c>
      <c r="S2701" s="7" t="s">
        <v>272</v>
      </c>
      <c r="T2701" s="9" t="s">
        <v>68</v>
      </c>
      <c r="U2701" s="7">
        <v>0.37</v>
      </c>
      <c r="V2701" s="12">
        <f>C2701+5</f>
        <v>40084</v>
      </c>
      <c r="W2701">
        <f>IF(D2701=' Pivot Tables'!$A$4,1,0)</f>
        <v>0</v>
      </c>
      <c r="X2701">
        <f>IF(AND(LEFT(D2701,4)+1=LEFT(' Pivot Tables'!$A$4,4)+0,RIGHT(LEFT(D2701,7),2)=RIGHT(LEFT(' Pivot Tables'!$A$4,7),2)),1,0)</f>
        <v>0</v>
      </c>
      <c r="Y2701" s="6">
        <f>1/COUNTIF(Таблица1[Order ID],Таблица1[[#This Row],[Order ID]])</f>
        <v>1</v>
      </c>
      <c r="Z2701" s="9">
        <f>1/COUNTIFS(Таблица1[Customer Name],Таблица1[[#This Row],[Customer Name]],Таблица1[Order-Year-Month],Таблица1[[#This Row],[Order-Year-Month]])</f>
        <v>1</v>
      </c>
    </row>
    <row r="2702" spans="1:26" x14ac:dyDescent="0.2">
      <c r="A2702" s="6">
        <v>7737</v>
      </c>
      <c r="B2702" s="7">
        <v>55398</v>
      </c>
      <c r="C2702" s="8">
        <f>DATE(2012,12,31)-1076</f>
        <v>40198</v>
      </c>
      <c r="D2702" s="8" t="str">
        <f t="shared" si="52"/>
        <v>2010-01 (январь 2010)</v>
      </c>
      <c r="E2702" s="9" t="s">
        <v>63</v>
      </c>
      <c r="F2702" s="7">
        <v>24</v>
      </c>
      <c r="G2702" s="7">
        <v>154.99</v>
      </c>
      <c r="H2702" s="7">
        <v>7.0000000000000007E-2</v>
      </c>
      <c r="I2702" s="9" t="s">
        <v>22</v>
      </c>
      <c r="J2702" s="10">
        <v>-1085.52</v>
      </c>
      <c r="K2702" s="11">
        <v>4.4800000000000004</v>
      </c>
      <c r="L2702" s="11">
        <v>49</v>
      </c>
      <c r="M2702" s="9" t="s">
        <v>1415</v>
      </c>
      <c r="N2702" s="6" t="s">
        <v>1123</v>
      </c>
      <c r="O2702" s="6" t="s">
        <v>1123</v>
      </c>
      <c r="P2702" s="9" t="s">
        <v>25</v>
      </c>
      <c r="Q2702" s="9" t="s">
        <v>26</v>
      </c>
      <c r="R2702" s="9" t="s">
        <v>34</v>
      </c>
      <c r="S2702" s="7" t="s">
        <v>128</v>
      </c>
      <c r="T2702" s="9" t="s">
        <v>29</v>
      </c>
      <c r="U2702" s="7">
        <v>0.6</v>
      </c>
      <c r="V2702" s="12">
        <f>C2702+2</f>
        <v>40200</v>
      </c>
      <c r="W2702">
        <f>IF(D2702=' Pivot Tables'!$A$4,1,0)</f>
        <v>1</v>
      </c>
      <c r="X2702">
        <f>IF(AND(LEFT(D2702,4)+1=LEFT(' Pivot Tables'!$A$4,4)+0,RIGHT(LEFT(D2702,7),2)=RIGHT(LEFT(' Pivot Tables'!$A$4,7),2)),1,0)</f>
        <v>0</v>
      </c>
      <c r="Y2702" s="6">
        <f>1/COUNTIF(Таблица1[Order ID],Таблица1[[#This Row],[Order ID]])</f>
        <v>0.5</v>
      </c>
      <c r="Z2702" s="9">
        <f>1/COUNTIFS(Таблица1[Customer Name],Таблица1[[#This Row],[Customer Name]],Таблица1[Order-Year-Month],Таблица1[[#This Row],[Order-Year-Month]])</f>
        <v>0.5</v>
      </c>
    </row>
    <row r="2703" spans="1:26" x14ac:dyDescent="0.2">
      <c r="A2703" s="6">
        <v>7745</v>
      </c>
      <c r="B2703" s="7">
        <v>55458</v>
      </c>
      <c r="C2703" s="8">
        <f>DATE(2012,12,31)-290</f>
        <v>40984</v>
      </c>
      <c r="D2703" s="8" t="str">
        <f t="shared" si="52"/>
        <v>2012-03 (март 2012)</v>
      </c>
      <c r="E2703" s="9" t="s">
        <v>30</v>
      </c>
      <c r="F2703" s="7">
        <v>32</v>
      </c>
      <c r="G2703" s="7">
        <v>115.78</v>
      </c>
      <c r="H2703" s="7">
        <v>7.0000000000000007E-2</v>
      </c>
      <c r="I2703" s="9" t="s">
        <v>22</v>
      </c>
      <c r="J2703" s="10">
        <v>-167.417</v>
      </c>
      <c r="K2703" s="11">
        <v>3.52</v>
      </c>
      <c r="L2703" s="11">
        <v>6.83</v>
      </c>
      <c r="M2703" s="9" t="s">
        <v>1443</v>
      </c>
      <c r="N2703" s="6" t="s">
        <v>1123</v>
      </c>
      <c r="O2703" s="6" t="s">
        <v>1123</v>
      </c>
      <c r="P2703" s="9" t="s">
        <v>60</v>
      </c>
      <c r="Q2703" s="9" t="s">
        <v>26</v>
      </c>
      <c r="R2703" s="9" t="s">
        <v>37</v>
      </c>
      <c r="S2703" s="7" t="s">
        <v>636</v>
      </c>
      <c r="T2703" s="9" t="s">
        <v>39</v>
      </c>
      <c r="U2703" s="7">
        <v>0.38</v>
      </c>
      <c r="V2703" s="12">
        <f>C2703+2</f>
        <v>40986</v>
      </c>
      <c r="W2703">
        <f>IF(D2703=' Pivot Tables'!$A$4,1,0)</f>
        <v>0</v>
      </c>
      <c r="X2703">
        <f>IF(AND(LEFT(D2703,4)+1=LEFT(' Pivot Tables'!$A$4,4)+0,RIGHT(LEFT(D2703,7),2)=RIGHT(LEFT(' Pivot Tables'!$A$4,7),2)),1,0)</f>
        <v>0</v>
      </c>
      <c r="Y2703" s="6">
        <f>1/COUNTIF(Таблица1[Order ID],Таблица1[[#This Row],[Order ID]])</f>
        <v>0.5</v>
      </c>
      <c r="Z2703" s="9">
        <f>1/COUNTIFS(Таблица1[Customer Name],Таблица1[[#This Row],[Customer Name]],Таблица1[Order-Year-Month],Таблица1[[#This Row],[Order-Year-Month]])</f>
        <v>0.5</v>
      </c>
    </row>
    <row r="2704" spans="1:26" x14ac:dyDescent="0.2">
      <c r="A2704" s="6">
        <v>7746</v>
      </c>
      <c r="B2704" s="7">
        <v>55458</v>
      </c>
      <c r="C2704" s="8">
        <f>DATE(2012,12,31)-290</f>
        <v>40984</v>
      </c>
      <c r="D2704" s="8" t="str">
        <f t="shared" si="52"/>
        <v>2012-03 (март 2012)</v>
      </c>
      <c r="E2704" s="9" t="s">
        <v>30</v>
      </c>
      <c r="F2704" s="7">
        <v>13</v>
      </c>
      <c r="G2704" s="7">
        <v>210.22</v>
      </c>
      <c r="H2704" s="7">
        <v>0</v>
      </c>
      <c r="I2704" s="9" t="s">
        <v>22</v>
      </c>
      <c r="J2704" s="10">
        <v>-30.71</v>
      </c>
      <c r="K2704" s="11">
        <v>14.98</v>
      </c>
      <c r="L2704" s="11">
        <v>7.69</v>
      </c>
      <c r="M2704" s="9" t="s">
        <v>1443</v>
      </c>
      <c r="N2704" s="6" t="s">
        <v>1123</v>
      </c>
      <c r="O2704" s="6" t="s">
        <v>1123</v>
      </c>
      <c r="P2704" s="9" t="s">
        <v>60</v>
      </c>
      <c r="Q2704" s="9" t="s">
        <v>26</v>
      </c>
      <c r="R2704" s="9" t="s">
        <v>27</v>
      </c>
      <c r="S2704" s="7" t="s">
        <v>1240</v>
      </c>
      <c r="T2704" s="9" t="s">
        <v>39</v>
      </c>
      <c r="U2704" s="7">
        <v>0.56999999999999995</v>
      </c>
      <c r="V2704" s="12">
        <f>C2704+2</f>
        <v>40986</v>
      </c>
      <c r="W2704">
        <f>IF(D2704=' Pivot Tables'!$A$4,1,0)</f>
        <v>0</v>
      </c>
      <c r="X2704">
        <f>IF(AND(LEFT(D2704,4)+1=LEFT(' Pivot Tables'!$A$4,4)+0,RIGHT(LEFT(D2704,7),2)=RIGHT(LEFT(' Pivot Tables'!$A$4,7),2)),1,0)</f>
        <v>0</v>
      </c>
      <c r="Y2704" s="6">
        <f>1/COUNTIF(Таблица1[Order ID],Таблица1[[#This Row],[Order ID]])</f>
        <v>0.5</v>
      </c>
      <c r="Z2704" s="9">
        <f>1/COUNTIFS(Таблица1[Customer Name],Таблица1[[#This Row],[Customer Name]],Таблица1[Order-Year-Month],Таблица1[[#This Row],[Order-Year-Month]])</f>
        <v>0.5</v>
      </c>
    </row>
    <row r="2705" spans="1:26" x14ac:dyDescent="0.2">
      <c r="A2705" s="6">
        <v>7801</v>
      </c>
      <c r="B2705" s="7">
        <v>55809</v>
      </c>
      <c r="C2705" s="8">
        <f>DATE(2012,12,31)-478</f>
        <v>40796</v>
      </c>
      <c r="D2705" s="8" t="str">
        <f t="shared" si="52"/>
        <v>2011-09 (сентябрь 2011)</v>
      </c>
      <c r="E2705" s="9" t="s">
        <v>78</v>
      </c>
      <c r="F2705" s="7">
        <v>2</v>
      </c>
      <c r="G2705" s="7">
        <v>250.7</v>
      </c>
      <c r="H2705" s="7">
        <v>0.03</v>
      </c>
      <c r="I2705" s="9" t="s">
        <v>31</v>
      </c>
      <c r="J2705" s="10">
        <v>-180.61</v>
      </c>
      <c r="K2705" s="11">
        <v>100.98</v>
      </c>
      <c r="L2705" s="11">
        <v>45</v>
      </c>
      <c r="M2705" s="9" t="s">
        <v>1423</v>
      </c>
      <c r="N2705" s="6" t="s">
        <v>1123</v>
      </c>
      <c r="O2705" s="6" t="s">
        <v>1123</v>
      </c>
      <c r="P2705" s="9" t="s">
        <v>33</v>
      </c>
      <c r="Q2705" s="9" t="s">
        <v>49</v>
      </c>
      <c r="R2705" s="9" t="s">
        <v>112</v>
      </c>
      <c r="S2705" s="7" t="s">
        <v>1451</v>
      </c>
      <c r="T2705" s="9" t="s">
        <v>36</v>
      </c>
      <c r="U2705" s="7">
        <v>0.69</v>
      </c>
      <c r="V2705" s="12">
        <f>C2705+2</f>
        <v>40798</v>
      </c>
      <c r="W2705">
        <f>IF(D2705=' Pivot Tables'!$A$4,1,0)</f>
        <v>0</v>
      </c>
      <c r="X2705">
        <f>IF(AND(LEFT(D2705,4)+1=LEFT(' Pivot Tables'!$A$4,4)+0,RIGHT(LEFT(D2705,7),2)=RIGHT(LEFT(' Pivot Tables'!$A$4,7),2)),1,0)</f>
        <v>0</v>
      </c>
      <c r="Y2705" s="6">
        <f>1/COUNTIF(Таблица1[Order ID],Таблица1[[#This Row],[Order ID]])</f>
        <v>1</v>
      </c>
      <c r="Z2705" s="9">
        <f>1/COUNTIFS(Таблица1[Customer Name],Таблица1[[#This Row],[Customer Name]],Таблица1[Order-Year-Month],Таблица1[[#This Row],[Order-Year-Month]])</f>
        <v>1</v>
      </c>
    </row>
    <row r="2706" spans="1:26" x14ac:dyDescent="0.2">
      <c r="A2706" s="6">
        <v>7969</v>
      </c>
      <c r="B2706" s="7">
        <v>56992</v>
      </c>
      <c r="C2706" s="8">
        <f>DATE(2012,12,31)-988</f>
        <v>40286</v>
      </c>
      <c r="D2706" s="8" t="str">
        <f t="shared" si="52"/>
        <v>2010-04 (апрель 2010)</v>
      </c>
      <c r="E2706" s="9" t="s">
        <v>45</v>
      </c>
      <c r="F2706" s="7">
        <v>10</v>
      </c>
      <c r="G2706" s="7">
        <v>315.42</v>
      </c>
      <c r="H2706" s="7">
        <v>0.1</v>
      </c>
      <c r="I2706" s="9" t="s">
        <v>22</v>
      </c>
      <c r="J2706" s="10">
        <v>-41.26</v>
      </c>
      <c r="K2706" s="11">
        <v>30.98</v>
      </c>
      <c r="L2706" s="11">
        <v>17.079999999999998</v>
      </c>
      <c r="M2706" s="9" t="s">
        <v>1433</v>
      </c>
      <c r="N2706" s="6" t="s">
        <v>1123</v>
      </c>
      <c r="O2706" s="6" t="s">
        <v>1123</v>
      </c>
      <c r="P2706" s="9" t="s">
        <v>41</v>
      </c>
      <c r="Q2706" s="9" t="s">
        <v>26</v>
      </c>
      <c r="R2706" s="9" t="s">
        <v>61</v>
      </c>
      <c r="S2706" s="7" t="s">
        <v>513</v>
      </c>
      <c r="T2706" s="9" t="s">
        <v>39</v>
      </c>
      <c r="U2706" s="7">
        <v>0.4</v>
      </c>
      <c r="V2706" s="12">
        <f>C2706+0</f>
        <v>40286</v>
      </c>
      <c r="W2706">
        <f>IF(D2706=' Pivot Tables'!$A$4,1,0)</f>
        <v>0</v>
      </c>
      <c r="X2706">
        <f>IF(AND(LEFT(D2706,4)+1=LEFT(' Pivot Tables'!$A$4,4)+0,RIGHT(LEFT(D2706,7),2)=RIGHT(LEFT(' Pivot Tables'!$A$4,7),2)),1,0)</f>
        <v>0</v>
      </c>
      <c r="Y2706" s="6">
        <f>1/COUNTIF(Таблица1[Order ID],Таблица1[[#This Row],[Order ID]])</f>
        <v>1</v>
      </c>
      <c r="Z2706" s="9">
        <f>1/COUNTIFS(Таблица1[Customer Name],Таблица1[[#This Row],[Customer Name]],Таблица1[Order-Year-Month],Таблица1[[#This Row],[Order-Year-Month]])</f>
        <v>1</v>
      </c>
    </row>
    <row r="2707" spans="1:26" x14ac:dyDescent="0.2">
      <c r="A2707" s="6">
        <v>8142</v>
      </c>
      <c r="B2707" s="7">
        <v>58210</v>
      </c>
      <c r="C2707" s="8">
        <f>DATE(2012,12,31)-25</f>
        <v>41249</v>
      </c>
      <c r="D2707" s="8" t="str">
        <f t="shared" si="52"/>
        <v>2012-12 (декабрь 2012)</v>
      </c>
      <c r="E2707" s="9" t="s">
        <v>63</v>
      </c>
      <c r="F2707" s="7">
        <v>38</v>
      </c>
      <c r="G2707" s="7">
        <v>144.03</v>
      </c>
      <c r="H2707" s="7">
        <v>0.03</v>
      </c>
      <c r="I2707" s="9" t="s">
        <v>22</v>
      </c>
      <c r="J2707" s="10">
        <v>-139.518</v>
      </c>
      <c r="K2707" s="11">
        <v>3.58</v>
      </c>
      <c r="L2707" s="11">
        <v>5.47</v>
      </c>
      <c r="M2707" s="9" t="s">
        <v>1438</v>
      </c>
      <c r="N2707" s="6" t="s">
        <v>1123</v>
      </c>
      <c r="O2707" s="6" t="s">
        <v>1123</v>
      </c>
      <c r="P2707" s="9" t="s">
        <v>60</v>
      </c>
      <c r="Q2707" s="9" t="s">
        <v>26</v>
      </c>
      <c r="R2707" s="9" t="s">
        <v>37</v>
      </c>
      <c r="S2707" s="7" t="s">
        <v>462</v>
      </c>
      <c r="T2707" s="9" t="s">
        <v>39</v>
      </c>
      <c r="U2707" s="7">
        <v>0.37</v>
      </c>
      <c r="V2707" s="12">
        <f>C2707+1</f>
        <v>41250</v>
      </c>
      <c r="W2707">
        <f>IF(D2707=' Pivot Tables'!$A$4,1,0)</f>
        <v>0</v>
      </c>
      <c r="X2707">
        <f>IF(AND(LEFT(D2707,4)+1=LEFT(' Pivot Tables'!$A$4,4)+0,RIGHT(LEFT(D2707,7),2)=RIGHT(LEFT(' Pivot Tables'!$A$4,7),2)),1,0)</f>
        <v>0</v>
      </c>
      <c r="Y2707" s="6">
        <f>1/COUNTIF(Таблица1[Order ID],Таблица1[[#This Row],[Order ID]])</f>
        <v>1</v>
      </c>
      <c r="Z2707" s="9">
        <f>1/COUNTIFS(Таблица1[Customer Name],Таблица1[[#This Row],[Customer Name]],Таблица1[Order-Year-Month],Таблица1[[#This Row],[Order-Year-Month]])</f>
        <v>1</v>
      </c>
    </row>
    <row r="2708" spans="1:26" x14ac:dyDescent="0.2">
      <c r="A2708" s="6">
        <v>8148</v>
      </c>
      <c r="B2708" s="7">
        <v>58277</v>
      </c>
      <c r="C2708" s="8">
        <f>DATE(2012,12,31)-1437</f>
        <v>39837</v>
      </c>
      <c r="D2708" s="8" t="str">
        <f t="shared" si="52"/>
        <v>2009-01 (январь 2009)</v>
      </c>
      <c r="E2708" s="9" t="s">
        <v>63</v>
      </c>
      <c r="F2708" s="7">
        <v>23</v>
      </c>
      <c r="G2708" s="7">
        <v>294.68</v>
      </c>
      <c r="H2708" s="7">
        <v>0.01</v>
      </c>
      <c r="I2708" s="9" t="s">
        <v>22</v>
      </c>
      <c r="J2708" s="10">
        <v>-23.35</v>
      </c>
      <c r="K2708" s="11">
        <v>11.7</v>
      </c>
      <c r="L2708" s="11">
        <v>6.96</v>
      </c>
      <c r="M2708" s="9" t="s">
        <v>1410</v>
      </c>
      <c r="N2708" s="6" t="s">
        <v>1123</v>
      </c>
      <c r="O2708" s="6" t="s">
        <v>1123</v>
      </c>
      <c r="P2708" s="9" t="s">
        <v>60</v>
      </c>
      <c r="Q2708" s="9" t="s">
        <v>26</v>
      </c>
      <c r="R2708" s="9" t="s">
        <v>34</v>
      </c>
      <c r="S2708" s="7" t="s">
        <v>1202</v>
      </c>
      <c r="T2708" s="9" t="s">
        <v>48</v>
      </c>
      <c r="U2708" s="7">
        <v>0.5</v>
      </c>
      <c r="V2708" s="12">
        <f>C2708+2</f>
        <v>39839</v>
      </c>
      <c r="W2708">
        <f>IF(D2708=' Pivot Tables'!$A$4,1,0)</f>
        <v>0</v>
      </c>
      <c r="X2708">
        <f>IF(AND(LEFT(D2708,4)+1=LEFT(' Pivot Tables'!$A$4,4)+0,RIGHT(LEFT(D2708,7),2)=RIGHT(LEFT(' Pivot Tables'!$A$4,7),2)),1,0)</f>
        <v>1</v>
      </c>
      <c r="Y2708" s="6">
        <f>1/COUNTIF(Таблица1[Order ID],Таблица1[[#This Row],[Order ID]])</f>
        <v>1</v>
      </c>
      <c r="Z2708" s="9">
        <f>1/COUNTIFS(Таблица1[Customer Name],Таблица1[[#This Row],[Customer Name]],Таблица1[Order-Year-Month],Таблица1[[#This Row],[Order-Year-Month]])</f>
        <v>0.5</v>
      </c>
    </row>
    <row r="2709" spans="1:26" x14ac:dyDescent="0.2">
      <c r="A2709" s="6">
        <v>8211</v>
      </c>
      <c r="B2709" s="7">
        <v>58720</v>
      </c>
      <c r="C2709" s="8">
        <f>DATE(2012,12,31)-1030</f>
        <v>40244</v>
      </c>
      <c r="D2709" s="8" t="str">
        <f t="shared" si="52"/>
        <v>2010-03 (март 2010)</v>
      </c>
      <c r="E2709" s="9" t="s">
        <v>45</v>
      </c>
      <c r="F2709" s="7">
        <v>43</v>
      </c>
      <c r="G2709" s="7">
        <v>2378.8200000000002</v>
      </c>
      <c r="H2709" s="7">
        <v>0.02</v>
      </c>
      <c r="I2709" s="9" t="s">
        <v>22</v>
      </c>
      <c r="J2709" s="10">
        <v>597.15899999999999</v>
      </c>
      <c r="K2709" s="11">
        <v>52.4</v>
      </c>
      <c r="L2709" s="11">
        <v>16.11</v>
      </c>
      <c r="M2709" s="9" t="s">
        <v>1429</v>
      </c>
      <c r="N2709" s="6" t="s">
        <v>1123</v>
      </c>
      <c r="O2709" s="6" t="s">
        <v>1123</v>
      </c>
      <c r="P2709" s="9" t="s">
        <v>60</v>
      </c>
      <c r="Q2709" s="9" t="s">
        <v>26</v>
      </c>
      <c r="R2709" s="9" t="s">
        <v>37</v>
      </c>
      <c r="S2709" s="7" t="s">
        <v>1110</v>
      </c>
      <c r="T2709" s="9" t="s">
        <v>39</v>
      </c>
      <c r="U2709" s="7">
        <v>0.39</v>
      </c>
      <c r="V2709" s="12">
        <f>C2709+0</f>
        <v>40244</v>
      </c>
      <c r="W2709">
        <f>IF(D2709=' Pivot Tables'!$A$4,1,0)</f>
        <v>0</v>
      </c>
      <c r="X2709">
        <f>IF(AND(LEFT(D2709,4)+1=LEFT(' Pivot Tables'!$A$4,4)+0,RIGHT(LEFT(D2709,7),2)=RIGHT(LEFT(' Pivot Tables'!$A$4,7),2)),1,0)</f>
        <v>0</v>
      </c>
      <c r="Y2709" s="6">
        <f>1/COUNTIF(Таблица1[Order ID],Таблица1[[#This Row],[Order ID]])</f>
        <v>0.5</v>
      </c>
      <c r="Z2709" s="9">
        <f>1/COUNTIFS(Таблица1[Customer Name],Таблица1[[#This Row],[Customer Name]],Таблица1[Order-Year-Month],Таблица1[[#This Row],[Order-Year-Month]])</f>
        <v>0.5</v>
      </c>
    </row>
    <row r="2710" spans="1:26" x14ac:dyDescent="0.2">
      <c r="A2710" s="6">
        <v>8212</v>
      </c>
      <c r="B2710" s="7">
        <v>58720</v>
      </c>
      <c r="C2710" s="8">
        <f>DATE(2012,12,31)-1030</f>
        <v>40244</v>
      </c>
      <c r="D2710" s="8" t="str">
        <f t="shared" si="52"/>
        <v>2010-03 (март 2010)</v>
      </c>
      <c r="E2710" s="9" t="s">
        <v>45</v>
      </c>
      <c r="F2710" s="7">
        <v>6</v>
      </c>
      <c r="G2710" s="7">
        <v>202.62</v>
      </c>
      <c r="H2710" s="7">
        <v>0.02</v>
      </c>
      <c r="I2710" s="9" t="s">
        <v>56</v>
      </c>
      <c r="J2710" s="10">
        <v>13.87</v>
      </c>
      <c r="K2710" s="11">
        <v>30.98</v>
      </c>
      <c r="L2710" s="11">
        <v>8.74</v>
      </c>
      <c r="M2710" s="9" t="s">
        <v>1429</v>
      </c>
      <c r="N2710" s="6" t="s">
        <v>1123</v>
      </c>
      <c r="O2710" s="6" t="s">
        <v>1123</v>
      </c>
      <c r="P2710" s="9" t="s">
        <v>60</v>
      </c>
      <c r="Q2710" s="9" t="s">
        <v>26</v>
      </c>
      <c r="R2710" s="9" t="s">
        <v>61</v>
      </c>
      <c r="S2710" s="7" t="s">
        <v>932</v>
      </c>
      <c r="T2710" s="9" t="s">
        <v>39</v>
      </c>
      <c r="U2710" s="7">
        <v>0.4</v>
      </c>
      <c r="V2710" s="12">
        <f>C2710+1</f>
        <v>40245</v>
      </c>
      <c r="W2710">
        <f>IF(D2710=' Pivot Tables'!$A$4,1,0)</f>
        <v>0</v>
      </c>
      <c r="X2710">
        <f>IF(AND(LEFT(D2710,4)+1=LEFT(' Pivot Tables'!$A$4,4)+0,RIGHT(LEFT(D2710,7),2)=RIGHT(LEFT(' Pivot Tables'!$A$4,7),2)),1,0)</f>
        <v>0</v>
      </c>
      <c r="Y2710" s="6">
        <f>1/COUNTIF(Таблица1[Order ID],Таблица1[[#This Row],[Order ID]])</f>
        <v>0.5</v>
      </c>
      <c r="Z2710" s="9">
        <f>1/COUNTIFS(Таблица1[Customer Name],Таблица1[[#This Row],[Customer Name]],Таблица1[Order-Year-Month],Таблица1[[#This Row],[Order-Year-Month]])</f>
        <v>0.5</v>
      </c>
    </row>
    <row r="2711" spans="1:26" x14ac:dyDescent="0.2">
      <c r="A2711" s="6">
        <v>8230</v>
      </c>
      <c r="B2711" s="7">
        <v>58820</v>
      </c>
      <c r="C2711" s="8">
        <f>DATE(2012,12,31)-1038</f>
        <v>40236</v>
      </c>
      <c r="D2711" s="8" t="str">
        <f t="shared" si="52"/>
        <v>2010-02 (февраль 2010)</v>
      </c>
      <c r="E2711" s="9" t="s">
        <v>21</v>
      </c>
      <c r="F2711" s="7">
        <v>24</v>
      </c>
      <c r="G2711" s="7">
        <v>307.49</v>
      </c>
      <c r="H2711" s="7">
        <v>0.01</v>
      </c>
      <c r="I2711" s="9" t="s">
        <v>22</v>
      </c>
      <c r="J2711" s="10">
        <v>61.51</v>
      </c>
      <c r="K2711" s="11">
        <v>12.2</v>
      </c>
      <c r="L2711" s="11">
        <v>6.02</v>
      </c>
      <c r="M2711" s="9" t="s">
        <v>1432</v>
      </c>
      <c r="N2711" s="6" t="s">
        <v>1123</v>
      </c>
      <c r="O2711" s="6" t="s">
        <v>1123</v>
      </c>
      <c r="P2711" s="9" t="s">
        <v>60</v>
      </c>
      <c r="Q2711" s="9" t="s">
        <v>49</v>
      </c>
      <c r="R2711" s="9" t="s">
        <v>50</v>
      </c>
      <c r="S2711" s="7" t="s">
        <v>1283</v>
      </c>
      <c r="T2711" s="9" t="s">
        <v>52</v>
      </c>
      <c r="U2711" s="7">
        <v>0.43</v>
      </c>
      <c r="V2711" s="12">
        <f>C2711+5</f>
        <v>40241</v>
      </c>
      <c r="W2711">
        <f>IF(D2711=' Pivot Tables'!$A$4,1,0)</f>
        <v>0</v>
      </c>
      <c r="X2711">
        <f>IF(AND(LEFT(D2711,4)+1=LEFT(' Pivot Tables'!$A$4,4)+0,RIGHT(LEFT(D2711,7),2)=RIGHT(LEFT(' Pivot Tables'!$A$4,7),2)),1,0)</f>
        <v>0</v>
      </c>
      <c r="Y2711" s="6">
        <f>1/COUNTIF(Таблица1[Order ID],Таблица1[[#This Row],[Order ID]])</f>
        <v>1</v>
      </c>
      <c r="Z2711" s="9">
        <f>1/COUNTIFS(Таблица1[Customer Name],Таблица1[[#This Row],[Customer Name]],Таблица1[Order-Year-Month],Таблица1[[#This Row],[Order-Year-Month]])</f>
        <v>1</v>
      </c>
    </row>
    <row r="2712" spans="1:26" x14ac:dyDescent="0.2">
      <c r="A2712" s="6">
        <v>178</v>
      </c>
      <c r="B2712" s="7">
        <v>1154</v>
      </c>
      <c r="C2712" s="8">
        <f>DATE(2012,12,31)-321</f>
        <v>40953</v>
      </c>
      <c r="D2712" s="8" t="str">
        <f t="shared" si="52"/>
        <v>2012-02 (февраль 2012)</v>
      </c>
      <c r="E2712" s="9" t="s">
        <v>78</v>
      </c>
      <c r="F2712" s="7">
        <v>7</v>
      </c>
      <c r="G2712" s="7">
        <v>516.65</v>
      </c>
      <c r="H2712" s="7">
        <v>0.01</v>
      </c>
      <c r="I2712" s="9" t="s">
        <v>56</v>
      </c>
      <c r="J2712" s="10">
        <v>57.1</v>
      </c>
      <c r="K2712" s="11">
        <v>70.97</v>
      </c>
      <c r="L2712" s="11">
        <v>3.5</v>
      </c>
      <c r="M2712" s="9" t="s">
        <v>1452</v>
      </c>
      <c r="N2712" s="6" t="s">
        <v>1453</v>
      </c>
      <c r="O2712" s="6" t="s">
        <v>512</v>
      </c>
      <c r="P2712" s="9" t="s">
        <v>60</v>
      </c>
      <c r="Q2712" s="9" t="s">
        <v>26</v>
      </c>
      <c r="R2712" s="9" t="s">
        <v>34</v>
      </c>
      <c r="S2712" s="7" t="s">
        <v>1401</v>
      </c>
      <c r="T2712" s="9" t="s">
        <v>39</v>
      </c>
      <c r="U2712" s="7">
        <v>0.59</v>
      </c>
      <c r="V2712" s="12">
        <f>C2712+1</f>
        <v>40954</v>
      </c>
      <c r="W2712">
        <f>IF(D2712=' Pivot Tables'!$A$4,1,0)</f>
        <v>0</v>
      </c>
      <c r="X2712">
        <f>IF(AND(LEFT(D2712,4)+1=LEFT(' Pivot Tables'!$A$4,4)+0,RIGHT(LEFT(D2712,7),2)=RIGHT(LEFT(' Pivot Tables'!$A$4,7),2)),1,0)</f>
        <v>0</v>
      </c>
      <c r="Y2712" s="6">
        <f>1/COUNTIF(Таблица1[Order ID],Таблица1[[#This Row],[Order ID]])</f>
        <v>0.25</v>
      </c>
      <c r="Z2712" s="9">
        <f>1/COUNTIFS(Таблица1[Customer Name],Таблица1[[#This Row],[Customer Name]],Таблица1[Order-Year-Month],Таблица1[[#This Row],[Order-Year-Month]])</f>
        <v>0.5</v>
      </c>
    </row>
    <row r="2713" spans="1:26" x14ac:dyDescent="0.2">
      <c r="A2713" s="6">
        <v>207</v>
      </c>
      <c r="B2713" s="7">
        <v>1382</v>
      </c>
      <c r="C2713" s="8">
        <f>DATE(2012,12,31)-868</f>
        <v>40406</v>
      </c>
      <c r="D2713" s="8" t="str">
        <f t="shared" si="52"/>
        <v>2010-08 (август 2010)</v>
      </c>
      <c r="E2713" s="9" t="s">
        <v>21</v>
      </c>
      <c r="F2713" s="7">
        <v>5</v>
      </c>
      <c r="G2713" s="7">
        <v>89.334999999999994</v>
      </c>
      <c r="H2713" s="7">
        <v>0.06</v>
      </c>
      <c r="I2713" s="9" t="s">
        <v>22</v>
      </c>
      <c r="J2713" s="10">
        <v>-107.096</v>
      </c>
      <c r="K2713" s="11">
        <v>20.99</v>
      </c>
      <c r="L2713" s="11">
        <v>2.5</v>
      </c>
      <c r="M2713" s="9" t="s">
        <v>1454</v>
      </c>
      <c r="N2713" s="6" t="s">
        <v>1453</v>
      </c>
      <c r="O2713" s="6" t="s">
        <v>512</v>
      </c>
      <c r="P2713" s="9" t="s">
        <v>60</v>
      </c>
      <c r="Q2713" s="9" t="s">
        <v>42</v>
      </c>
      <c r="R2713" s="9" t="s">
        <v>43</v>
      </c>
      <c r="S2713" s="7" t="s">
        <v>108</v>
      </c>
      <c r="T2713" s="9" t="s">
        <v>68</v>
      </c>
      <c r="U2713" s="7">
        <v>0.81</v>
      </c>
      <c r="V2713" s="12">
        <f>C2713+4</f>
        <v>40410</v>
      </c>
      <c r="W2713">
        <f>IF(D2713=' Pivot Tables'!$A$4,1,0)</f>
        <v>0</v>
      </c>
      <c r="X2713">
        <f>IF(AND(LEFT(D2713,4)+1=LEFT(' Pivot Tables'!$A$4,4)+0,RIGHT(LEFT(D2713,7),2)=RIGHT(LEFT(' Pivot Tables'!$A$4,7),2)),1,0)</f>
        <v>0</v>
      </c>
      <c r="Y2713" s="6">
        <f>1/COUNTIF(Таблица1[Order ID],Таблица1[[#This Row],[Order ID]])</f>
        <v>0.33333333333333331</v>
      </c>
      <c r="Z2713" s="9">
        <f>1/COUNTIFS(Таблица1[Customer Name],Таблица1[[#This Row],[Customer Name]],Таблица1[Order-Year-Month],Таблица1[[#This Row],[Order-Year-Month]])</f>
        <v>0.33333333333333331</v>
      </c>
    </row>
    <row r="2714" spans="1:26" x14ac:dyDescent="0.2">
      <c r="A2714" s="6">
        <v>208</v>
      </c>
      <c r="B2714" s="7">
        <v>1382</v>
      </c>
      <c r="C2714" s="8">
        <f>DATE(2012,12,31)-868</f>
        <v>40406</v>
      </c>
      <c r="D2714" s="8" t="str">
        <f t="shared" si="52"/>
        <v>2010-08 (август 2010)</v>
      </c>
      <c r="E2714" s="9" t="s">
        <v>21</v>
      </c>
      <c r="F2714" s="7">
        <v>39</v>
      </c>
      <c r="G2714" s="7">
        <v>158.46</v>
      </c>
      <c r="H2714" s="7">
        <v>0.06</v>
      </c>
      <c r="I2714" s="9" t="s">
        <v>22</v>
      </c>
      <c r="J2714" s="10">
        <v>-130.66300000000001</v>
      </c>
      <c r="K2714" s="11">
        <v>3.98</v>
      </c>
      <c r="L2714" s="11">
        <v>5.26</v>
      </c>
      <c r="M2714" s="9" t="s">
        <v>1454</v>
      </c>
      <c r="N2714" s="6" t="s">
        <v>1453</v>
      </c>
      <c r="O2714" s="6" t="s">
        <v>512</v>
      </c>
      <c r="P2714" s="9" t="s">
        <v>60</v>
      </c>
      <c r="Q2714" s="9" t="s">
        <v>26</v>
      </c>
      <c r="R2714" s="9" t="s">
        <v>37</v>
      </c>
      <c r="S2714" s="7" t="s">
        <v>1348</v>
      </c>
      <c r="T2714" s="9" t="s">
        <v>39</v>
      </c>
      <c r="U2714" s="7">
        <v>0.38</v>
      </c>
      <c r="V2714" s="12">
        <f>C2714+7</f>
        <v>40413</v>
      </c>
      <c r="W2714">
        <f>IF(D2714=' Pivot Tables'!$A$4,1,0)</f>
        <v>0</v>
      </c>
      <c r="X2714">
        <f>IF(AND(LEFT(D2714,4)+1=LEFT(' Pivot Tables'!$A$4,4)+0,RIGHT(LEFT(D2714,7),2)=RIGHT(LEFT(' Pivot Tables'!$A$4,7),2)),1,0)</f>
        <v>0</v>
      </c>
      <c r="Y2714" s="6">
        <f>1/COUNTIF(Таблица1[Order ID],Таблица1[[#This Row],[Order ID]])</f>
        <v>0.33333333333333331</v>
      </c>
      <c r="Z2714" s="9">
        <f>1/COUNTIFS(Таблица1[Customer Name],Таблица1[[#This Row],[Customer Name]],Таблица1[Order-Year-Month],Таблица1[[#This Row],[Order-Year-Month]])</f>
        <v>0.33333333333333331</v>
      </c>
    </row>
    <row r="2715" spans="1:26" x14ac:dyDescent="0.2">
      <c r="A2715" s="6">
        <v>209</v>
      </c>
      <c r="B2715" s="7">
        <v>1382</v>
      </c>
      <c r="C2715" s="8">
        <f>DATE(2012,12,31)-868</f>
        <v>40406</v>
      </c>
      <c r="D2715" s="8" t="str">
        <f t="shared" si="52"/>
        <v>2010-08 (август 2010)</v>
      </c>
      <c r="E2715" s="9" t="s">
        <v>21</v>
      </c>
      <c r="F2715" s="7">
        <v>31</v>
      </c>
      <c r="G2715" s="7">
        <v>7180.83</v>
      </c>
      <c r="H2715" s="7">
        <v>0.02</v>
      </c>
      <c r="I2715" s="9" t="s">
        <v>31</v>
      </c>
      <c r="J2715" s="10">
        <v>487.17</v>
      </c>
      <c r="K2715" s="11">
        <v>220.98</v>
      </c>
      <c r="L2715" s="11">
        <v>64.66</v>
      </c>
      <c r="M2715" s="9" t="s">
        <v>1454</v>
      </c>
      <c r="N2715" s="6" t="s">
        <v>1453</v>
      </c>
      <c r="O2715" s="6" t="s">
        <v>512</v>
      </c>
      <c r="P2715" s="9" t="s">
        <v>60</v>
      </c>
      <c r="Q2715" s="9" t="s">
        <v>49</v>
      </c>
      <c r="R2715" s="9" t="s">
        <v>80</v>
      </c>
      <c r="S2715" s="7" t="s">
        <v>1012</v>
      </c>
      <c r="T2715" s="9" t="s">
        <v>82</v>
      </c>
      <c r="U2715" s="7">
        <v>0.62</v>
      </c>
      <c r="V2715" s="12">
        <f>C2715+7</f>
        <v>40413</v>
      </c>
      <c r="W2715">
        <f>IF(D2715=' Pivot Tables'!$A$4,1,0)</f>
        <v>0</v>
      </c>
      <c r="X2715">
        <f>IF(AND(LEFT(D2715,4)+1=LEFT(' Pivot Tables'!$A$4,4)+0,RIGHT(LEFT(D2715,7),2)=RIGHT(LEFT(' Pivot Tables'!$A$4,7),2)),1,0)</f>
        <v>0</v>
      </c>
      <c r="Y2715" s="6">
        <f>1/COUNTIF(Таблица1[Order ID],Таблица1[[#This Row],[Order ID]])</f>
        <v>0.33333333333333331</v>
      </c>
      <c r="Z2715" s="9">
        <f>1/COUNTIFS(Таблица1[Customer Name],Таблица1[[#This Row],[Customer Name]],Таблица1[Order-Year-Month],Таблица1[[#This Row],[Order-Year-Month]])</f>
        <v>0.33333333333333331</v>
      </c>
    </row>
    <row r="2716" spans="1:26" x14ac:dyDescent="0.2">
      <c r="A2716" s="6">
        <v>211</v>
      </c>
      <c r="B2716" s="7">
        <v>1411</v>
      </c>
      <c r="C2716" s="8">
        <f>DATE(2012,12,31)-1107</f>
        <v>40167</v>
      </c>
      <c r="D2716" s="8" t="str">
        <f t="shared" si="52"/>
        <v>2009-12 (декабрь 2009)</v>
      </c>
      <c r="E2716" s="9" t="s">
        <v>30</v>
      </c>
      <c r="F2716" s="7">
        <v>39</v>
      </c>
      <c r="G2716" s="7">
        <v>5748.2</v>
      </c>
      <c r="H2716" s="7">
        <v>0.09</v>
      </c>
      <c r="I2716" s="9" t="s">
        <v>31</v>
      </c>
      <c r="J2716" s="10">
        <v>-459.86</v>
      </c>
      <c r="K2716" s="11">
        <v>160.97999999999999</v>
      </c>
      <c r="L2716" s="11">
        <v>35.020000000000003</v>
      </c>
      <c r="M2716" s="9" t="s">
        <v>1455</v>
      </c>
      <c r="N2716" s="6" t="s">
        <v>1453</v>
      </c>
      <c r="O2716" s="6" t="s">
        <v>512</v>
      </c>
      <c r="P2716" s="9" t="s">
        <v>25</v>
      </c>
      <c r="Q2716" s="9" t="s">
        <v>49</v>
      </c>
      <c r="R2716" s="9" t="s">
        <v>80</v>
      </c>
      <c r="S2716" s="7" t="s">
        <v>367</v>
      </c>
      <c r="T2716" s="9" t="s">
        <v>82</v>
      </c>
      <c r="U2716" s="7">
        <v>0.72</v>
      </c>
      <c r="V2716" s="12">
        <f>C2716+1</f>
        <v>40168</v>
      </c>
      <c r="W2716">
        <f>IF(D2716=' Pivot Tables'!$A$4,1,0)</f>
        <v>0</v>
      </c>
      <c r="X2716">
        <f>IF(AND(LEFT(D2716,4)+1=LEFT(' Pivot Tables'!$A$4,4)+0,RIGHT(LEFT(D2716,7),2)=RIGHT(LEFT(' Pivot Tables'!$A$4,7),2)),1,0)</f>
        <v>0</v>
      </c>
      <c r="Y2716" s="6">
        <f>1/COUNTIF(Таблица1[Order ID],Таблица1[[#This Row],[Order ID]])</f>
        <v>0.5</v>
      </c>
      <c r="Z2716" s="9">
        <f>1/COUNTIFS(Таблица1[Customer Name],Таблица1[[#This Row],[Customer Name]],Таблица1[Order-Year-Month],Таблица1[[#This Row],[Order-Year-Month]])</f>
        <v>0.5</v>
      </c>
    </row>
    <row r="2717" spans="1:26" x14ac:dyDescent="0.2">
      <c r="A2717" s="6">
        <v>219</v>
      </c>
      <c r="B2717" s="7">
        <v>1444</v>
      </c>
      <c r="C2717" s="8">
        <f>DATE(2012,12,31)-1122</f>
        <v>40152</v>
      </c>
      <c r="D2717" s="8" t="str">
        <f t="shared" si="52"/>
        <v>2009-12 (декабрь 2009)</v>
      </c>
      <c r="E2717" s="9" t="s">
        <v>63</v>
      </c>
      <c r="F2717" s="7">
        <v>2</v>
      </c>
      <c r="G2717" s="7">
        <v>21.44</v>
      </c>
      <c r="H2717" s="7">
        <v>0.02</v>
      </c>
      <c r="I2717" s="9" t="s">
        <v>22</v>
      </c>
      <c r="J2717" s="10">
        <v>-13.67</v>
      </c>
      <c r="K2717" s="11">
        <v>6.48</v>
      </c>
      <c r="L2717" s="11">
        <v>8.74</v>
      </c>
      <c r="M2717" s="9" t="s">
        <v>1383</v>
      </c>
      <c r="N2717" s="6" t="s">
        <v>1453</v>
      </c>
      <c r="O2717" s="6" t="s">
        <v>512</v>
      </c>
      <c r="P2717" s="9" t="s">
        <v>60</v>
      </c>
      <c r="Q2717" s="9" t="s">
        <v>26</v>
      </c>
      <c r="R2717" s="9" t="s">
        <v>61</v>
      </c>
      <c r="S2717" s="7" t="s">
        <v>1210</v>
      </c>
      <c r="T2717" s="9" t="s">
        <v>39</v>
      </c>
      <c r="U2717" s="7">
        <v>0.36</v>
      </c>
      <c r="V2717" s="12">
        <f>C2717+2</f>
        <v>40154</v>
      </c>
      <c r="W2717">
        <f>IF(D2717=' Pivot Tables'!$A$4,1,0)</f>
        <v>0</v>
      </c>
      <c r="X2717">
        <f>IF(AND(LEFT(D2717,4)+1=LEFT(' Pivot Tables'!$A$4,4)+0,RIGHT(LEFT(D2717,7),2)=RIGHT(LEFT(' Pivot Tables'!$A$4,7),2)),1,0)</f>
        <v>0</v>
      </c>
      <c r="Y2717" s="6">
        <f>1/COUNTIF(Таблица1[Order ID],Таблица1[[#This Row],[Order ID]])</f>
        <v>0.2</v>
      </c>
      <c r="Z2717" s="9">
        <f>1/COUNTIFS(Таблица1[Customer Name],Таблица1[[#This Row],[Customer Name]],Таблица1[Order-Year-Month],Таблица1[[#This Row],[Order-Year-Month]])</f>
        <v>0.2</v>
      </c>
    </row>
    <row r="2718" spans="1:26" x14ac:dyDescent="0.2">
      <c r="A2718" s="6">
        <v>580</v>
      </c>
      <c r="B2718" s="7">
        <v>3942</v>
      </c>
      <c r="C2718" s="8">
        <f>DATE(2012,12,31)-918</f>
        <v>40356</v>
      </c>
      <c r="D2718" s="8" t="str">
        <f t="shared" si="52"/>
        <v>2010-06 (июнь 2010)</v>
      </c>
      <c r="E2718" s="9" t="s">
        <v>45</v>
      </c>
      <c r="F2718" s="7">
        <v>22</v>
      </c>
      <c r="G2718" s="7">
        <v>1559.7755</v>
      </c>
      <c r="H2718" s="7">
        <v>0.03</v>
      </c>
      <c r="I2718" s="9" t="s">
        <v>22</v>
      </c>
      <c r="J2718" s="10">
        <v>-247.18100000000001</v>
      </c>
      <c r="K2718" s="11">
        <v>85.99</v>
      </c>
      <c r="L2718" s="11">
        <v>0.99</v>
      </c>
      <c r="M2718" s="9" t="s">
        <v>1456</v>
      </c>
      <c r="N2718" s="6" t="s">
        <v>1453</v>
      </c>
      <c r="O2718" s="6" t="s">
        <v>512</v>
      </c>
      <c r="P2718" s="9" t="s">
        <v>25</v>
      </c>
      <c r="Q2718" s="9" t="s">
        <v>42</v>
      </c>
      <c r="R2718" s="9" t="s">
        <v>43</v>
      </c>
      <c r="S2718" s="7" t="s">
        <v>146</v>
      </c>
      <c r="T2718" s="9" t="s">
        <v>68</v>
      </c>
      <c r="U2718" s="7">
        <v>0.85</v>
      </c>
      <c r="V2718" s="12">
        <f>C2718+1</f>
        <v>40357</v>
      </c>
      <c r="W2718">
        <f>IF(D2718=' Pivot Tables'!$A$4,1,0)</f>
        <v>0</v>
      </c>
      <c r="X2718">
        <f>IF(AND(LEFT(D2718,4)+1=LEFT(' Pivot Tables'!$A$4,4)+0,RIGHT(LEFT(D2718,7),2)=RIGHT(LEFT(' Pivot Tables'!$A$4,7),2)),1,0)</f>
        <v>0</v>
      </c>
      <c r="Y2718" s="6">
        <f>1/COUNTIF(Таблица1[Order ID],Таблица1[[#This Row],[Order ID]])</f>
        <v>0.5</v>
      </c>
      <c r="Z2718" s="9">
        <f>1/COUNTIFS(Таблица1[Customer Name],Таблица1[[#This Row],[Customer Name]],Таблица1[Order-Year-Month],Таблица1[[#This Row],[Order-Year-Month]])</f>
        <v>0.25</v>
      </c>
    </row>
    <row r="2719" spans="1:26" x14ac:dyDescent="0.2">
      <c r="A2719" s="6">
        <v>664</v>
      </c>
      <c r="B2719" s="7">
        <v>4647</v>
      </c>
      <c r="C2719" s="8">
        <f>DATE(2012,12,31)-1328</f>
        <v>39946</v>
      </c>
      <c r="D2719" s="8" t="str">
        <f t="shared" si="52"/>
        <v>2009-05 (май 2009)</v>
      </c>
      <c r="E2719" s="9" t="s">
        <v>63</v>
      </c>
      <c r="F2719" s="7">
        <v>7</v>
      </c>
      <c r="G2719" s="7">
        <v>1203.73</v>
      </c>
      <c r="H2719" s="7">
        <v>0.03</v>
      </c>
      <c r="I2719" s="9" t="s">
        <v>22</v>
      </c>
      <c r="J2719" s="10">
        <v>293.14</v>
      </c>
      <c r="K2719" s="11">
        <v>162.93</v>
      </c>
      <c r="L2719" s="11">
        <v>19.989999999999998</v>
      </c>
      <c r="M2719" s="9" t="s">
        <v>1457</v>
      </c>
      <c r="N2719" s="6" t="s">
        <v>1453</v>
      </c>
      <c r="O2719" s="6" t="s">
        <v>512</v>
      </c>
      <c r="P2719" s="9" t="s">
        <v>41</v>
      </c>
      <c r="Q2719" s="9" t="s">
        <v>26</v>
      </c>
      <c r="R2719" s="9" t="s">
        <v>76</v>
      </c>
      <c r="S2719" s="7" t="s">
        <v>449</v>
      </c>
      <c r="T2719" s="9" t="s">
        <v>39</v>
      </c>
      <c r="U2719" s="7">
        <v>0.39</v>
      </c>
      <c r="V2719" s="12">
        <f>C2719+1</f>
        <v>39947</v>
      </c>
      <c r="W2719">
        <f>IF(D2719=' Pivot Tables'!$A$4,1,0)</f>
        <v>0</v>
      </c>
      <c r="X2719">
        <f>IF(AND(LEFT(D2719,4)+1=LEFT(' Pivot Tables'!$A$4,4)+0,RIGHT(LEFT(D2719,7),2)=RIGHT(LEFT(' Pivot Tables'!$A$4,7),2)),1,0)</f>
        <v>0</v>
      </c>
      <c r="Y2719" s="6">
        <f>1/COUNTIF(Таблица1[Order ID],Таблица1[[#This Row],[Order ID]])</f>
        <v>0.25</v>
      </c>
      <c r="Z2719" s="9">
        <f>1/COUNTIFS(Таблица1[Customer Name],Таблица1[[#This Row],[Customer Name]],Таблица1[Order-Year-Month],Таблица1[[#This Row],[Order-Year-Month]])</f>
        <v>0.25</v>
      </c>
    </row>
    <row r="2720" spans="1:26" x14ac:dyDescent="0.2">
      <c r="A2720" s="6">
        <v>665</v>
      </c>
      <c r="B2720" s="7">
        <v>4647</v>
      </c>
      <c r="C2720" s="8">
        <f>DATE(2012,12,31)-1328</f>
        <v>39946</v>
      </c>
      <c r="D2720" s="8" t="str">
        <f t="shared" si="52"/>
        <v>2009-05 (май 2009)</v>
      </c>
      <c r="E2720" s="9" t="s">
        <v>63</v>
      </c>
      <c r="F2720" s="7">
        <v>6</v>
      </c>
      <c r="G2720" s="7">
        <v>75.19</v>
      </c>
      <c r="H2720" s="7">
        <v>0.01</v>
      </c>
      <c r="I2720" s="9" t="s">
        <v>22</v>
      </c>
      <c r="J2720" s="10">
        <v>-6.61</v>
      </c>
      <c r="K2720" s="11">
        <v>11.58</v>
      </c>
      <c r="L2720" s="11">
        <v>5.72</v>
      </c>
      <c r="M2720" s="9" t="s">
        <v>1457</v>
      </c>
      <c r="N2720" s="6" t="s">
        <v>1453</v>
      </c>
      <c r="O2720" s="6" t="s">
        <v>512</v>
      </c>
      <c r="P2720" s="9" t="s">
        <v>41</v>
      </c>
      <c r="Q2720" s="9" t="s">
        <v>26</v>
      </c>
      <c r="R2720" s="9" t="s">
        <v>76</v>
      </c>
      <c r="S2720" s="7" t="s">
        <v>304</v>
      </c>
      <c r="T2720" s="9" t="s">
        <v>39</v>
      </c>
      <c r="U2720" s="7">
        <v>0.35</v>
      </c>
      <c r="V2720" s="12">
        <f>C2720+2</f>
        <v>39948</v>
      </c>
      <c r="W2720">
        <f>IF(D2720=' Pivot Tables'!$A$4,1,0)</f>
        <v>0</v>
      </c>
      <c r="X2720">
        <f>IF(AND(LEFT(D2720,4)+1=LEFT(' Pivot Tables'!$A$4,4)+0,RIGHT(LEFT(D2720,7),2)=RIGHT(LEFT(' Pivot Tables'!$A$4,7),2)),1,0)</f>
        <v>0</v>
      </c>
      <c r="Y2720" s="6">
        <f>1/COUNTIF(Таблица1[Order ID],Таблица1[[#This Row],[Order ID]])</f>
        <v>0.25</v>
      </c>
      <c r="Z2720" s="9">
        <f>1/COUNTIFS(Таблица1[Customer Name],Таблица1[[#This Row],[Customer Name]],Таблица1[Order-Year-Month],Таблица1[[#This Row],[Order-Year-Month]])</f>
        <v>0.25</v>
      </c>
    </row>
    <row r="2721" spans="1:26" x14ac:dyDescent="0.2">
      <c r="A2721" s="6">
        <v>707</v>
      </c>
      <c r="B2721" s="7">
        <v>4960</v>
      </c>
      <c r="C2721" s="8">
        <f>DATE(2012,12,31)-675</f>
        <v>40599</v>
      </c>
      <c r="D2721" s="8" t="str">
        <f t="shared" si="52"/>
        <v>2011-02 (февраль 2011)</v>
      </c>
      <c r="E2721" s="9" t="s">
        <v>21</v>
      </c>
      <c r="F2721" s="7">
        <v>30</v>
      </c>
      <c r="G2721" s="7">
        <v>8363.65</v>
      </c>
      <c r="H2721" s="7">
        <v>0.09</v>
      </c>
      <c r="I2721" s="9" t="s">
        <v>31</v>
      </c>
      <c r="J2721" s="10">
        <v>763.33</v>
      </c>
      <c r="K2721" s="11">
        <v>300.98</v>
      </c>
      <c r="L2721" s="11">
        <v>64.73</v>
      </c>
      <c r="M2721" s="9" t="s">
        <v>1227</v>
      </c>
      <c r="N2721" s="6" t="s">
        <v>1453</v>
      </c>
      <c r="O2721" s="6" t="s">
        <v>512</v>
      </c>
      <c r="P2721" s="9" t="s">
        <v>41</v>
      </c>
      <c r="Q2721" s="9" t="s">
        <v>49</v>
      </c>
      <c r="R2721" s="9" t="s">
        <v>112</v>
      </c>
      <c r="S2721" s="7" t="s">
        <v>168</v>
      </c>
      <c r="T2721" s="9" t="s">
        <v>36</v>
      </c>
      <c r="U2721" s="7">
        <v>0.56000000000000005</v>
      </c>
      <c r="V2721" s="12">
        <f>C2721+4</f>
        <v>40603</v>
      </c>
      <c r="W2721">
        <f>IF(D2721=' Pivot Tables'!$A$4,1,0)</f>
        <v>0</v>
      </c>
      <c r="X2721">
        <f>IF(AND(LEFT(D2721,4)+1=LEFT(' Pivot Tables'!$A$4,4)+0,RIGHT(LEFT(D2721,7),2)=RIGHT(LEFT(' Pivot Tables'!$A$4,7),2)),1,0)</f>
        <v>0</v>
      </c>
      <c r="Y2721" s="6">
        <f>1/COUNTIF(Таблица1[Order ID],Таблица1[[#This Row],[Order ID]])</f>
        <v>0.5</v>
      </c>
      <c r="Z2721" s="9">
        <f>1/COUNTIFS(Таблица1[Customer Name],Таблица1[[#This Row],[Customer Name]],Таблица1[Order-Year-Month],Таблица1[[#This Row],[Order-Year-Month]])</f>
        <v>0.5</v>
      </c>
    </row>
    <row r="2722" spans="1:26" x14ac:dyDescent="0.2">
      <c r="A2722" s="6">
        <v>1010</v>
      </c>
      <c r="B2722" s="7">
        <v>7367</v>
      </c>
      <c r="C2722" s="8">
        <f>DATE(2012,12,31)-575</f>
        <v>40699</v>
      </c>
      <c r="D2722" s="8" t="str">
        <f t="shared" si="52"/>
        <v>2011-06 (июнь 2011)</v>
      </c>
      <c r="E2722" s="9" t="s">
        <v>21</v>
      </c>
      <c r="F2722" s="7">
        <v>46</v>
      </c>
      <c r="G2722" s="7">
        <v>303.62</v>
      </c>
      <c r="H2722" s="7">
        <v>0.02</v>
      </c>
      <c r="I2722" s="9" t="s">
        <v>22</v>
      </c>
      <c r="J2722" s="10">
        <v>-59.98</v>
      </c>
      <c r="K2722" s="11">
        <v>6.48</v>
      </c>
      <c r="L2722" s="11">
        <v>2.74</v>
      </c>
      <c r="M2722" s="9" t="s">
        <v>1458</v>
      </c>
      <c r="N2722" s="6" t="s">
        <v>1453</v>
      </c>
      <c r="O2722" s="6" t="s">
        <v>512</v>
      </c>
      <c r="P2722" s="9" t="s">
        <v>25</v>
      </c>
      <c r="Q2722" s="9" t="s">
        <v>42</v>
      </c>
      <c r="R2722" s="9" t="s">
        <v>70</v>
      </c>
      <c r="S2722" s="7" t="s">
        <v>1141</v>
      </c>
      <c r="T2722" s="9" t="s">
        <v>52</v>
      </c>
      <c r="U2722" s="7">
        <v>0.71</v>
      </c>
      <c r="V2722" s="12">
        <f>C2722+7</f>
        <v>40706</v>
      </c>
      <c r="W2722">
        <f>IF(D2722=' Pivot Tables'!$A$4,1,0)</f>
        <v>0</v>
      </c>
      <c r="X2722">
        <f>IF(AND(LEFT(D2722,4)+1=LEFT(' Pivot Tables'!$A$4,4)+0,RIGHT(LEFT(D2722,7),2)=RIGHT(LEFT(' Pivot Tables'!$A$4,7),2)),1,0)</f>
        <v>0</v>
      </c>
      <c r="Y2722" s="6">
        <f>1/COUNTIF(Таблица1[Order ID],Таблица1[[#This Row],[Order ID]])</f>
        <v>0.5</v>
      </c>
      <c r="Z2722" s="9">
        <f>1/COUNTIFS(Таблица1[Customer Name],Таблица1[[#This Row],[Customer Name]],Таблица1[Order-Year-Month],Таблица1[[#This Row],[Order-Year-Month]])</f>
        <v>0.5</v>
      </c>
    </row>
    <row r="2723" spans="1:26" x14ac:dyDescent="0.2">
      <c r="A2723" s="6">
        <v>1079</v>
      </c>
      <c r="B2723" s="7">
        <v>7938</v>
      </c>
      <c r="C2723" s="8">
        <f>DATE(2012,12,31)-1024</f>
        <v>40250</v>
      </c>
      <c r="D2723" s="8" t="str">
        <f t="shared" si="52"/>
        <v>2010-03 (март 2010)</v>
      </c>
      <c r="E2723" s="9" t="s">
        <v>63</v>
      </c>
      <c r="F2723" s="7">
        <v>34</v>
      </c>
      <c r="G2723" s="7">
        <v>334.66</v>
      </c>
      <c r="H2723" s="7">
        <v>0.05</v>
      </c>
      <c r="I2723" s="9" t="s">
        <v>22</v>
      </c>
      <c r="J2723" s="10">
        <v>132.56</v>
      </c>
      <c r="K2723" s="11">
        <v>9.93</v>
      </c>
      <c r="L2723" s="11">
        <v>1.0900000000000001</v>
      </c>
      <c r="M2723" s="9" t="s">
        <v>1457</v>
      </c>
      <c r="N2723" s="6" t="s">
        <v>1453</v>
      </c>
      <c r="O2723" s="6" t="s">
        <v>512</v>
      </c>
      <c r="P2723" s="9" t="s">
        <v>41</v>
      </c>
      <c r="Q2723" s="9" t="s">
        <v>26</v>
      </c>
      <c r="R2723" s="9" t="s">
        <v>95</v>
      </c>
      <c r="S2723" s="7" t="s">
        <v>1048</v>
      </c>
      <c r="T2723" s="9" t="s">
        <v>68</v>
      </c>
      <c r="U2723" s="7">
        <v>0.43</v>
      </c>
      <c r="V2723" s="12">
        <f>C2723+1</f>
        <v>40251</v>
      </c>
      <c r="W2723">
        <f>IF(D2723=' Pivot Tables'!$A$4,1,0)</f>
        <v>0</v>
      </c>
      <c r="X2723">
        <f>IF(AND(LEFT(D2723,4)+1=LEFT(' Pivot Tables'!$A$4,4)+0,RIGHT(LEFT(D2723,7),2)=RIGHT(LEFT(' Pivot Tables'!$A$4,7),2)),1,0)</f>
        <v>0</v>
      </c>
      <c r="Y2723" s="6">
        <f>1/COUNTIF(Таблица1[Order ID],Таблица1[[#This Row],[Order ID]])</f>
        <v>0.33333333333333331</v>
      </c>
      <c r="Z2723" s="9">
        <f>1/COUNTIFS(Таблица1[Customer Name],Таблица1[[#This Row],[Customer Name]],Таблица1[Order-Year-Month],Таблица1[[#This Row],[Order-Year-Month]])</f>
        <v>0.25</v>
      </c>
    </row>
    <row r="2724" spans="1:26" x14ac:dyDescent="0.2">
      <c r="A2724" s="6">
        <v>1142</v>
      </c>
      <c r="B2724" s="7">
        <v>8320</v>
      </c>
      <c r="C2724" s="8">
        <f>DATE(2012,12,31)-1199</f>
        <v>40075</v>
      </c>
      <c r="D2724" s="8" t="str">
        <f t="shared" si="52"/>
        <v>2009-09 (сентябрь 2009)</v>
      </c>
      <c r="E2724" s="9" t="s">
        <v>45</v>
      </c>
      <c r="F2724" s="7">
        <v>35</v>
      </c>
      <c r="G2724" s="7">
        <v>1142.3599999999999</v>
      </c>
      <c r="H2724" s="7">
        <v>0.02</v>
      </c>
      <c r="I2724" s="9" t="s">
        <v>22</v>
      </c>
      <c r="J2724" s="10">
        <v>72.78</v>
      </c>
      <c r="K2724" s="11">
        <v>30.73</v>
      </c>
      <c r="L2724" s="11">
        <v>4</v>
      </c>
      <c r="M2724" s="9" t="s">
        <v>1459</v>
      </c>
      <c r="N2724" s="6" t="s">
        <v>1453</v>
      </c>
      <c r="O2724" s="6" t="s">
        <v>512</v>
      </c>
      <c r="P2724" s="9" t="s">
        <v>60</v>
      </c>
      <c r="Q2724" s="9" t="s">
        <v>42</v>
      </c>
      <c r="R2724" s="9" t="s">
        <v>70</v>
      </c>
      <c r="S2724" s="7" t="s">
        <v>270</v>
      </c>
      <c r="T2724" s="9" t="s">
        <v>39</v>
      </c>
      <c r="U2724" s="7">
        <v>0.75</v>
      </c>
      <c r="V2724" s="12">
        <f>C2724+3</f>
        <v>40078</v>
      </c>
      <c r="W2724">
        <f>IF(D2724=' Pivot Tables'!$A$4,1,0)</f>
        <v>0</v>
      </c>
      <c r="X2724">
        <f>IF(AND(LEFT(D2724,4)+1=LEFT(' Pivot Tables'!$A$4,4)+0,RIGHT(LEFT(D2724,7),2)=RIGHT(LEFT(' Pivot Tables'!$A$4,7),2)),1,0)</f>
        <v>0</v>
      </c>
      <c r="Y2724" s="6">
        <f>1/COUNTIF(Таблица1[Order ID],Таблица1[[#This Row],[Order ID]])</f>
        <v>0.5</v>
      </c>
      <c r="Z2724" s="9">
        <f>1/COUNTIFS(Таблица1[Customer Name],Таблица1[[#This Row],[Customer Name]],Таблица1[Order-Year-Month],Таблица1[[#This Row],[Order-Year-Month]])</f>
        <v>0.5</v>
      </c>
    </row>
    <row r="2725" spans="1:26" x14ac:dyDescent="0.2">
      <c r="A2725" s="6">
        <v>1203</v>
      </c>
      <c r="B2725" s="7">
        <v>8807</v>
      </c>
      <c r="C2725" s="8">
        <f>DATE(2012,12,31)-1040</f>
        <v>40234</v>
      </c>
      <c r="D2725" s="8" t="str">
        <f t="shared" si="52"/>
        <v>2010-02 (февраль 2010)</v>
      </c>
      <c r="E2725" s="9" t="s">
        <v>21</v>
      </c>
      <c r="F2725" s="7">
        <v>14</v>
      </c>
      <c r="G2725" s="7">
        <v>1379.3374999999999</v>
      </c>
      <c r="H2725" s="7">
        <v>0.08</v>
      </c>
      <c r="I2725" s="9" t="s">
        <v>22</v>
      </c>
      <c r="J2725" s="10">
        <v>-78.540000000000063</v>
      </c>
      <c r="K2725" s="11">
        <v>125.99</v>
      </c>
      <c r="L2725" s="11">
        <v>4.2</v>
      </c>
      <c r="M2725" s="9" t="s">
        <v>1460</v>
      </c>
      <c r="N2725" s="6" t="s">
        <v>1453</v>
      </c>
      <c r="O2725" s="6" t="s">
        <v>512</v>
      </c>
      <c r="P2725" s="9" t="s">
        <v>33</v>
      </c>
      <c r="Q2725" s="9" t="s">
        <v>42</v>
      </c>
      <c r="R2725" s="9" t="s">
        <v>43</v>
      </c>
      <c r="S2725" s="7" t="s">
        <v>1461</v>
      </c>
      <c r="T2725" s="9" t="s">
        <v>39</v>
      </c>
      <c r="U2725" s="7">
        <v>0.56999999999999995</v>
      </c>
      <c r="V2725" s="12">
        <f>C2725+7</f>
        <v>40241</v>
      </c>
      <c r="W2725">
        <f>IF(D2725=' Pivot Tables'!$A$4,1,0)</f>
        <v>0</v>
      </c>
      <c r="X2725">
        <f>IF(AND(LEFT(D2725,4)+1=LEFT(' Pivot Tables'!$A$4,4)+0,RIGHT(LEFT(D2725,7),2)=RIGHT(LEFT(' Pivot Tables'!$A$4,7),2)),1,0)</f>
        <v>0</v>
      </c>
      <c r="Y2725" s="6">
        <f>1/COUNTIF(Таблица1[Order ID],Таблица1[[#This Row],[Order ID]])</f>
        <v>0.5</v>
      </c>
      <c r="Z2725" s="9">
        <f>1/COUNTIFS(Таблица1[Customer Name],Таблица1[[#This Row],[Customer Name]],Таблица1[Order-Year-Month],Таблица1[[#This Row],[Order-Year-Month]])</f>
        <v>0.5</v>
      </c>
    </row>
    <row r="2726" spans="1:26" x14ac:dyDescent="0.2">
      <c r="A2726" s="6">
        <v>1245</v>
      </c>
      <c r="B2726" s="7">
        <v>9062</v>
      </c>
      <c r="C2726" s="8">
        <f>DATE(2012,12,31)-652</f>
        <v>40622</v>
      </c>
      <c r="D2726" s="8" t="str">
        <f t="shared" si="52"/>
        <v>2011-03 (март 2011)</v>
      </c>
      <c r="E2726" s="9" t="s">
        <v>30</v>
      </c>
      <c r="F2726" s="7">
        <v>19</v>
      </c>
      <c r="G2726" s="7">
        <v>1825.42</v>
      </c>
      <c r="H2726" s="7">
        <v>0.06</v>
      </c>
      <c r="I2726" s="9" t="s">
        <v>22</v>
      </c>
      <c r="J2726" s="10">
        <v>1193.19</v>
      </c>
      <c r="K2726" s="11">
        <v>99.23</v>
      </c>
      <c r="L2726" s="11">
        <v>8.99</v>
      </c>
      <c r="M2726" s="9" t="s">
        <v>1462</v>
      </c>
      <c r="N2726" s="6" t="s">
        <v>1453</v>
      </c>
      <c r="O2726" s="6" t="s">
        <v>512</v>
      </c>
      <c r="P2726" s="9" t="s">
        <v>33</v>
      </c>
      <c r="Q2726" s="9" t="s">
        <v>49</v>
      </c>
      <c r="R2726" s="9" t="s">
        <v>50</v>
      </c>
      <c r="S2726" s="7" t="s">
        <v>700</v>
      </c>
      <c r="T2726" s="9" t="s">
        <v>52</v>
      </c>
      <c r="U2726" s="7">
        <v>0.35</v>
      </c>
      <c r="V2726" s="12">
        <f>C2726+3</f>
        <v>40625</v>
      </c>
      <c r="W2726">
        <f>IF(D2726=' Pivot Tables'!$A$4,1,0)</f>
        <v>0</v>
      </c>
      <c r="X2726">
        <f>IF(AND(LEFT(D2726,4)+1=LEFT(' Pivot Tables'!$A$4,4)+0,RIGHT(LEFT(D2726,7),2)=RIGHT(LEFT(' Pivot Tables'!$A$4,7),2)),1,0)</f>
        <v>0</v>
      </c>
      <c r="Y2726" s="6">
        <f>1/COUNTIF(Таблица1[Order ID],Таблица1[[#This Row],[Order ID]])</f>
        <v>0.5</v>
      </c>
      <c r="Z2726" s="9">
        <f>1/COUNTIFS(Таблица1[Customer Name],Таблица1[[#This Row],[Customer Name]],Таблица1[Order-Year-Month],Таблица1[[#This Row],[Order-Year-Month]])</f>
        <v>0.5</v>
      </c>
    </row>
    <row r="2727" spans="1:26" x14ac:dyDescent="0.2">
      <c r="A2727" s="6">
        <v>1308</v>
      </c>
      <c r="B2727" s="7">
        <v>9602</v>
      </c>
      <c r="C2727" s="8">
        <f>DATE(2012,12,31)-51</f>
        <v>41223</v>
      </c>
      <c r="D2727" s="8" t="str">
        <f t="shared" si="52"/>
        <v>2012-11 (ноябрь 2012)</v>
      </c>
      <c r="E2727" s="9" t="s">
        <v>78</v>
      </c>
      <c r="F2727" s="7">
        <v>27</v>
      </c>
      <c r="G2727" s="7">
        <v>2654.16</v>
      </c>
      <c r="H2727" s="7">
        <v>0.01</v>
      </c>
      <c r="I2727" s="9" t="s">
        <v>31</v>
      </c>
      <c r="J2727" s="10">
        <v>600.92999999999995</v>
      </c>
      <c r="K2727" s="11">
        <v>90.97</v>
      </c>
      <c r="L2727" s="11">
        <v>28</v>
      </c>
      <c r="M2727" s="9" t="s">
        <v>1061</v>
      </c>
      <c r="N2727" s="6" t="s">
        <v>1453</v>
      </c>
      <c r="O2727" s="6" t="s">
        <v>512</v>
      </c>
      <c r="P2727" s="9" t="s">
        <v>33</v>
      </c>
      <c r="Q2727" s="9" t="s">
        <v>42</v>
      </c>
      <c r="R2727" s="9" t="s">
        <v>210</v>
      </c>
      <c r="S2727" s="7" t="s">
        <v>621</v>
      </c>
      <c r="T2727" s="9" t="s">
        <v>36</v>
      </c>
      <c r="U2727" s="7">
        <v>0.38</v>
      </c>
      <c r="V2727" s="12">
        <f>C2727+2</f>
        <v>41225</v>
      </c>
      <c r="W2727">
        <f>IF(D2727=' Pivot Tables'!$A$4,1,0)</f>
        <v>0</v>
      </c>
      <c r="X2727">
        <f>IF(AND(LEFT(D2727,4)+1=LEFT(' Pivot Tables'!$A$4,4)+0,RIGHT(LEFT(D2727,7),2)=RIGHT(LEFT(' Pivot Tables'!$A$4,7),2)),1,0)</f>
        <v>0</v>
      </c>
      <c r="Y2727" s="6">
        <f>1/COUNTIF(Таблица1[Order ID],Таблица1[[#This Row],[Order ID]])</f>
        <v>0.33333333333333331</v>
      </c>
      <c r="Z2727" s="9">
        <f>1/COUNTIFS(Таблица1[Customer Name],Таблица1[[#This Row],[Customer Name]],Таблица1[Order-Year-Month],Таблица1[[#This Row],[Order-Year-Month]])</f>
        <v>0.33333333333333331</v>
      </c>
    </row>
    <row r="2728" spans="1:26" x14ac:dyDescent="0.2">
      <c r="A2728" s="6">
        <v>1310</v>
      </c>
      <c r="B2728" s="7">
        <v>9602</v>
      </c>
      <c r="C2728" s="8">
        <f>DATE(2012,12,31)-51</f>
        <v>41223</v>
      </c>
      <c r="D2728" s="8" t="str">
        <f t="shared" si="52"/>
        <v>2012-11 (ноябрь 2012)</v>
      </c>
      <c r="E2728" s="9" t="s">
        <v>78</v>
      </c>
      <c r="F2728" s="7">
        <v>15</v>
      </c>
      <c r="G2728" s="7">
        <v>1722.65</v>
      </c>
      <c r="H2728" s="7">
        <v>0.05</v>
      </c>
      <c r="I2728" s="9" t="s">
        <v>31</v>
      </c>
      <c r="J2728" s="10">
        <v>-399.67</v>
      </c>
      <c r="K2728" s="11">
        <v>114.98</v>
      </c>
      <c r="L2728" s="11">
        <v>51.42</v>
      </c>
      <c r="M2728" s="9" t="s">
        <v>1061</v>
      </c>
      <c r="N2728" s="6" t="s">
        <v>1453</v>
      </c>
      <c r="O2728" s="6" t="s">
        <v>512</v>
      </c>
      <c r="P2728" s="9" t="s">
        <v>33</v>
      </c>
      <c r="Q2728" s="9" t="s">
        <v>49</v>
      </c>
      <c r="R2728" s="9" t="s">
        <v>80</v>
      </c>
      <c r="S2728" s="7" t="s">
        <v>1463</v>
      </c>
      <c r="T2728" s="9" t="s">
        <v>82</v>
      </c>
      <c r="U2728" s="7">
        <v>0.65</v>
      </c>
      <c r="V2728" s="12">
        <f>C2728+1</f>
        <v>41224</v>
      </c>
      <c r="W2728">
        <f>IF(D2728=' Pivot Tables'!$A$4,1,0)</f>
        <v>0</v>
      </c>
      <c r="X2728">
        <f>IF(AND(LEFT(D2728,4)+1=LEFT(' Pivot Tables'!$A$4,4)+0,RIGHT(LEFT(D2728,7),2)=RIGHT(LEFT(' Pivot Tables'!$A$4,7),2)),1,0)</f>
        <v>0</v>
      </c>
      <c r="Y2728" s="6">
        <f>1/COUNTIF(Таблица1[Order ID],Таблица1[[#This Row],[Order ID]])</f>
        <v>0.33333333333333331</v>
      </c>
      <c r="Z2728" s="9">
        <f>1/COUNTIFS(Таблица1[Customer Name],Таблица1[[#This Row],[Customer Name]],Таблица1[Order-Year-Month],Таблица1[[#This Row],[Order-Year-Month]])</f>
        <v>0.33333333333333331</v>
      </c>
    </row>
    <row r="2729" spans="1:26" x14ac:dyDescent="0.2">
      <c r="A2729" s="6">
        <v>1402</v>
      </c>
      <c r="B2729" s="7">
        <v>10209</v>
      </c>
      <c r="C2729" s="8">
        <f>DATE(2012,12,31)-763</f>
        <v>40511</v>
      </c>
      <c r="D2729" s="8" t="str">
        <f t="shared" si="52"/>
        <v>2010-11 (ноябрь 2010)</v>
      </c>
      <c r="E2729" s="9" t="s">
        <v>63</v>
      </c>
      <c r="F2729" s="7">
        <v>14</v>
      </c>
      <c r="G2729" s="7">
        <v>461.55</v>
      </c>
      <c r="H2729" s="7">
        <v>0.09</v>
      </c>
      <c r="I2729" s="9" t="s">
        <v>22</v>
      </c>
      <c r="J2729" s="10">
        <v>-12</v>
      </c>
      <c r="K2729" s="11">
        <v>33.979999999999997</v>
      </c>
      <c r="L2729" s="11">
        <v>19.989999999999998</v>
      </c>
      <c r="M2729" s="9" t="s">
        <v>1464</v>
      </c>
      <c r="N2729" s="6" t="s">
        <v>1453</v>
      </c>
      <c r="O2729" s="6" t="s">
        <v>512</v>
      </c>
      <c r="P2729" s="9" t="s">
        <v>41</v>
      </c>
      <c r="Q2729" s="9" t="s">
        <v>49</v>
      </c>
      <c r="R2729" s="9" t="s">
        <v>50</v>
      </c>
      <c r="S2729" s="7" t="s">
        <v>192</v>
      </c>
      <c r="T2729" s="9" t="s">
        <v>39</v>
      </c>
      <c r="U2729" s="7">
        <v>0.55000000000000004</v>
      </c>
      <c r="V2729" s="12">
        <f>C2729+0</f>
        <v>40511</v>
      </c>
      <c r="W2729">
        <f>IF(D2729=' Pivot Tables'!$A$4,1,0)</f>
        <v>0</v>
      </c>
      <c r="X2729">
        <f>IF(AND(LEFT(D2729,4)+1=LEFT(' Pivot Tables'!$A$4,4)+0,RIGHT(LEFT(D2729,7),2)=RIGHT(LEFT(' Pivot Tables'!$A$4,7),2)),1,0)</f>
        <v>0</v>
      </c>
      <c r="Y2729" s="6">
        <f>1/COUNTIF(Таблица1[Order ID],Таблица1[[#This Row],[Order ID]])</f>
        <v>0.5</v>
      </c>
      <c r="Z2729" s="9">
        <f>1/COUNTIFS(Таблица1[Customer Name],Таблица1[[#This Row],[Customer Name]],Таблица1[Order-Year-Month],Таблица1[[#This Row],[Order-Year-Month]])</f>
        <v>0.5</v>
      </c>
    </row>
    <row r="2730" spans="1:26" x14ac:dyDescent="0.2">
      <c r="A2730" s="6">
        <v>1425</v>
      </c>
      <c r="B2730" s="7">
        <v>10338</v>
      </c>
      <c r="C2730" s="8">
        <f>DATE(2012,12,31)-536</f>
        <v>40738</v>
      </c>
      <c r="D2730" s="8" t="str">
        <f t="shared" si="52"/>
        <v>2011-07 (июль 2011)</v>
      </c>
      <c r="E2730" s="9" t="s">
        <v>45</v>
      </c>
      <c r="F2730" s="7">
        <v>9</v>
      </c>
      <c r="G2730" s="7">
        <v>799.98</v>
      </c>
      <c r="H2730" s="7">
        <v>0.04</v>
      </c>
      <c r="I2730" s="9" t="s">
        <v>31</v>
      </c>
      <c r="J2730" s="10">
        <v>15.36</v>
      </c>
      <c r="K2730" s="11">
        <v>90.97</v>
      </c>
      <c r="L2730" s="11">
        <v>14</v>
      </c>
      <c r="M2730" s="9" t="s">
        <v>1464</v>
      </c>
      <c r="N2730" s="6" t="s">
        <v>1453</v>
      </c>
      <c r="O2730" s="6" t="s">
        <v>512</v>
      </c>
      <c r="P2730" s="9" t="s">
        <v>41</v>
      </c>
      <c r="Q2730" s="9" t="s">
        <v>42</v>
      </c>
      <c r="R2730" s="9" t="s">
        <v>210</v>
      </c>
      <c r="S2730" s="7" t="s">
        <v>772</v>
      </c>
      <c r="T2730" s="9" t="s">
        <v>36</v>
      </c>
      <c r="U2730" s="7">
        <v>0.36</v>
      </c>
      <c r="V2730" s="12">
        <f>C2730+2</f>
        <v>40740</v>
      </c>
      <c r="W2730">
        <f>IF(D2730=' Pivot Tables'!$A$4,1,0)</f>
        <v>0</v>
      </c>
      <c r="X2730">
        <f>IF(AND(LEFT(D2730,4)+1=LEFT(' Pivot Tables'!$A$4,4)+0,RIGHT(LEFT(D2730,7),2)=RIGHT(LEFT(' Pivot Tables'!$A$4,7),2)),1,0)</f>
        <v>0</v>
      </c>
      <c r="Y2730" s="6">
        <f>1/COUNTIF(Таблица1[Order ID],Таблица1[[#This Row],[Order ID]])</f>
        <v>0.5</v>
      </c>
      <c r="Z2730" s="9">
        <f>1/COUNTIFS(Таблица1[Customer Name],Таблица1[[#This Row],[Customer Name]],Таблица1[Order-Year-Month],Таблица1[[#This Row],[Order-Year-Month]])</f>
        <v>0.5</v>
      </c>
    </row>
    <row r="2731" spans="1:26" x14ac:dyDescent="0.2">
      <c r="A2731" s="6">
        <v>1485</v>
      </c>
      <c r="B2731" s="7">
        <v>10688</v>
      </c>
      <c r="C2731" s="8">
        <f>DATE(2012,12,31)-233</f>
        <v>41041</v>
      </c>
      <c r="D2731" s="8" t="str">
        <f t="shared" si="52"/>
        <v>2012-05 (май 2012)</v>
      </c>
      <c r="E2731" s="9" t="s">
        <v>63</v>
      </c>
      <c r="F2731" s="7">
        <v>14</v>
      </c>
      <c r="G2731" s="7">
        <v>618.84</v>
      </c>
      <c r="H2731" s="7">
        <v>0.05</v>
      </c>
      <c r="I2731" s="9" t="s">
        <v>22</v>
      </c>
      <c r="J2731" s="10">
        <v>-200.84</v>
      </c>
      <c r="K2731" s="11">
        <v>41.47</v>
      </c>
      <c r="L2731" s="11">
        <v>34.200000000000003</v>
      </c>
      <c r="M2731" s="9" t="s">
        <v>1465</v>
      </c>
      <c r="N2731" s="6" t="s">
        <v>1453</v>
      </c>
      <c r="O2731" s="6" t="s">
        <v>512</v>
      </c>
      <c r="P2731" s="9" t="s">
        <v>41</v>
      </c>
      <c r="Q2731" s="9" t="s">
        <v>49</v>
      </c>
      <c r="R2731" s="9" t="s">
        <v>50</v>
      </c>
      <c r="S2731" s="7" t="s">
        <v>255</v>
      </c>
      <c r="T2731" s="9" t="s">
        <v>68</v>
      </c>
      <c r="U2731" s="7">
        <v>0.73</v>
      </c>
      <c r="V2731" s="12">
        <f>C2731+1</f>
        <v>41042</v>
      </c>
      <c r="W2731">
        <f>IF(D2731=' Pivot Tables'!$A$4,1,0)</f>
        <v>0</v>
      </c>
      <c r="X2731">
        <f>IF(AND(LEFT(D2731,4)+1=LEFT(' Pivot Tables'!$A$4,4)+0,RIGHT(LEFT(D2731,7),2)=RIGHT(LEFT(' Pivot Tables'!$A$4,7),2)),1,0)</f>
        <v>0</v>
      </c>
      <c r="Y2731" s="6">
        <f>1/COUNTIF(Таблица1[Order ID],Таблица1[[#This Row],[Order ID]])</f>
        <v>1</v>
      </c>
      <c r="Z2731" s="9">
        <f>1/COUNTIFS(Таблица1[Customer Name],Таблица1[[#This Row],[Customer Name]],Таблица1[Order-Year-Month],Таблица1[[#This Row],[Order-Year-Month]])</f>
        <v>1</v>
      </c>
    </row>
    <row r="2732" spans="1:26" x14ac:dyDescent="0.2">
      <c r="A2732" s="6">
        <v>1553</v>
      </c>
      <c r="B2732" s="7">
        <v>11206</v>
      </c>
      <c r="C2732" s="8">
        <f>DATE(2012,12,31)-1099</f>
        <v>40175</v>
      </c>
      <c r="D2732" s="8" t="str">
        <f t="shared" si="52"/>
        <v>2009-12 (декабрь 2009)</v>
      </c>
      <c r="E2732" s="9" t="s">
        <v>21</v>
      </c>
      <c r="F2732" s="7">
        <v>6</v>
      </c>
      <c r="G2732" s="7">
        <v>177.67</v>
      </c>
      <c r="H2732" s="7">
        <v>0.03</v>
      </c>
      <c r="I2732" s="9" t="s">
        <v>22</v>
      </c>
      <c r="J2732" s="10">
        <v>39.626999999999995</v>
      </c>
      <c r="K2732" s="11">
        <v>28.53</v>
      </c>
      <c r="L2732" s="11">
        <v>1.49</v>
      </c>
      <c r="M2732" s="9" t="s">
        <v>1462</v>
      </c>
      <c r="N2732" s="6" t="s">
        <v>1453</v>
      </c>
      <c r="O2732" s="6" t="s">
        <v>512</v>
      </c>
      <c r="P2732" s="9" t="s">
        <v>25</v>
      </c>
      <c r="Q2732" s="9" t="s">
        <v>26</v>
      </c>
      <c r="R2732" s="9" t="s">
        <v>37</v>
      </c>
      <c r="S2732" s="7" t="s">
        <v>380</v>
      </c>
      <c r="T2732" s="9" t="s">
        <v>39</v>
      </c>
      <c r="U2732" s="7">
        <v>0.38</v>
      </c>
      <c r="V2732" s="12">
        <f>C2732+4</f>
        <v>40179</v>
      </c>
      <c r="W2732">
        <f>IF(D2732=' Pivot Tables'!$A$4,1,0)</f>
        <v>0</v>
      </c>
      <c r="X2732">
        <f>IF(AND(LEFT(D2732,4)+1=LEFT(' Pivot Tables'!$A$4,4)+0,RIGHT(LEFT(D2732,7),2)=RIGHT(LEFT(' Pivot Tables'!$A$4,7),2)),1,0)</f>
        <v>0</v>
      </c>
      <c r="Y2732" s="6">
        <f>1/COUNTIF(Таблица1[Order ID],Таблица1[[#This Row],[Order ID]])</f>
        <v>0.5</v>
      </c>
      <c r="Z2732" s="9">
        <f>1/COUNTIFS(Таблица1[Customer Name],Таблица1[[#This Row],[Customer Name]],Таблица1[Order-Year-Month],Таблица1[[#This Row],[Order-Year-Month]])</f>
        <v>0.5</v>
      </c>
    </row>
    <row r="2733" spans="1:26" x14ac:dyDescent="0.2">
      <c r="A2733" s="6">
        <v>1601</v>
      </c>
      <c r="B2733" s="7">
        <v>11585</v>
      </c>
      <c r="C2733" s="8">
        <f>DATE(2012,12,31)-1387</f>
        <v>39887</v>
      </c>
      <c r="D2733" s="8" t="str">
        <f t="shared" si="52"/>
        <v>2009-03 (март 2009)</v>
      </c>
      <c r="E2733" s="9" t="s">
        <v>63</v>
      </c>
      <c r="F2733" s="7">
        <v>2</v>
      </c>
      <c r="G2733" s="7">
        <v>200.75300000000001</v>
      </c>
      <c r="H2733" s="7">
        <v>0.09</v>
      </c>
      <c r="I2733" s="9" t="s">
        <v>22</v>
      </c>
      <c r="J2733" s="10">
        <v>-605.37400000000002</v>
      </c>
      <c r="K2733" s="11">
        <v>125.99</v>
      </c>
      <c r="L2733" s="11">
        <v>8.99</v>
      </c>
      <c r="M2733" s="9" t="s">
        <v>1466</v>
      </c>
      <c r="N2733" s="6" t="s">
        <v>1453</v>
      </c>
      <c r="O2733" s="6" t="s">
        <v>512</v>
      </c>
      <c r="P2733" s="9" t="s">
        <v>33</v>
      </c>
      <c r="Q2733" s="9" t="s">
        <v>42</v>
      </c>
      <c r="R2733" s="9" t="s">
        <v>43</v>
      </c>
      <c r="S2733" s="7" t="s">
        <v>802</v>
      </c>
      <c r="T2733" s="9" t="s">
        <v>39</v>
      </c>
      <c r="U2733" s="7">
        <v>0.55000000000000004</v>
      </c>
      <c r="V2733" s="12">
        <f>C2733+1</f>
        <v>39888</v>
      </c>
      <c r="W2733">
        <f>IF(D2733=' Pivot Tables'!$A$4,1,0)</f>
        <v>0</v>
      </c>
      <c r="X2733">
        <f>IF(AND(LEFT(D2733,4)+1=LEFT(' Pivot Tables'!$A$4,4)+0,RIGHT(LEFT(D2733,7),2)=RIGHT(LEFT(' Pivot Tables'!$A$4,7),2)),1,0)</f>
        <v>0</v>
      </c>
      <c r="Y2733" s="6">
        <f>1/COUNTIF(Таблица1[Order ID],Таблица1[[#This Row],[Order ID]])</f>
        <v>0.5</v>
      </c>
      <c r="Z2733" s="9">
        <f>1/COUNTIFS(Таблица1[Customer Name],Таблица1[[#This Row],[Customer Name]],Таблица1[Order-Year-Month],Таблица1[[#This Row],[Order-Year-Month]])</f>
        <v>0.5</v>
      </c>
    </row>
    <row r="2734" spans="1:26" x14ac:dyDescent="0.2">
      <c r="A2734" s="6">
        <v>1796</v>
      </c>
      <c r="B2734" s="7">
        <v>12868</v>
      </c>
      <c r="C2734" s="8">
        <f>DATE(2012,12,31)-671</f>
        <v>40603</v>
      </c>
      <c r="D2734" s="8" t="str">
        <f t="shared" si="52"/>
        <v>2011-03 (март 2011)</v>
      </c>
      <c r="E2734" s="9" t="s">
        <v>78</v>
      </c>
      <c r="F2734" s="7">
        <v>2</v>
      </c>
      <c r="G2734" s="7">
        <v>9.3699999999999992</v>
      </c>
      <c r="H2734" s="7">
        <v>0.09</v>
      </c>
      <c r="I2734" s="9" t="s">
        <v>22</v>
      </c>
      <c r="J2734" s="10">
        <v>-5.26</v>
      </c>
      <c r="K2734" s="11">
        <v>4.4800000000000004</v>
      </c>
      <c r="L2734" s="11">
        <v>1.22</v>
      </c>
      <c r="M2734" s="9" t="s">
        <v>1467</v>
      </c>
      <c r="N2734" s="6" t="s">
        <v>1453</v>
      </c>
      <c r="O2734" s="6" t="s">
        <v>512</v>
      </c>
      <c r="P2734" s="9" t="s">
        <v>33</v>
      </c>
      <c r="Q2734" s="9" t="s">
        <v>26</v>
      </c>
      <c r="R2734" s="9" t="s">
        <v>61</v>
      </c>
      <c r="S2734" s="7" t="s">
        <v>222</v>
      </c>
      <c r="T2734" s="9" t="s">
        <v>68</v>
      </c>
      <c r="U2734" s="7">
        <v>0.36</v>
      </c>
      <c r="V2734" s="12">
        <f>C2734+2</f>
        <v>40605</v>
      </c>
      <c r="W2734">
        <f>IF(D2734=' Pivot Tables'!$A$4,1,0)</f>
        <v>0</v>
      </c>
      <c r="X2734">
        <f>IF(AND(LEFT(D2734,4)+1=LEFT(' Pivot Tables'!$A$4,4)+0,RIGHT(LEFT(D2734,7),2)=RIGHT(LEFT(' Pivot Tables'!$A$4,7),2)),1,0)</f>
        <v>0</v>
      </c>
      <c r="Y2734" s="6">
        <f>1/COUNTIF(Таблица1[Order ID],Таблица1[[#This Row],[Order ID]])</f>
        <v>0.5</v>
      </c>
      <c r="Z2734" s="9">
        <f>1/COUNTIFS(Таблица1[Customer Name],Таблица1[[#This Row],[Customer Name]],Таблица1[Order-Year-Month],Таблица1[[#This Row],[Order-Year-Month]])</f>
        <v>0.5</v>
      </c>
    </row>
    <row r="2735" spans="1:26" x14ac:dyDescent="0.2">
      <c r="A2735" s="6">
        <v>1994</v>
      </c>
      <c r="B2735" s="7">
        <v>14215</v>
      </c>
      <c r="C2735" s="8">
        <f>DATE(2012,12,31)-171</f>
        <v>41103</v>
      </c>
      <c r="D2735" s="8" t="str">
        <f t="shared" si="52"/>
        <v>2012-07 (июль 2012)</v>
      </c>
      <c r="E2735" s="9" t="s">
        <v>63</v>
      </c>
      <c r="F2735" s="7">
        <v>44</v>
      </c>
      <c r="G2735" s="7">
        <v>2277.0300000000002</v>
      </c>
      <c r="H2735" s="7">
        <v>7.0000000000000007E-2</v>
      </c>
      <c r="I2735" s="9" t="s">
        <v>22</v>
      </c>
      <c r="J2735" s="10">
        <v>964.1</v>
      </c>
      <c r="K2735" s="11">
        <v>55.48</v>
      </c>
      <c r="L2735" s="11">
        <v>6.79</v>
      </c>
      <c r="M2735" s="9" t="s">
        <v>1459</v>
      </c>
      <c r="N2735" s="6" t="s">
        <v>1453</v>
      </c>
      <c r="O2735" s="6" t="s">
        <v>512</v>
      </c>
      <c r="P2735" s="9" t="s">
        <v>60</v>
      </c>
      <c r="Q2735" s="9" t="s">
        <v>26</v>
      </c>
      <c r="R2735" s="9" t="s">
        <v>61</v>
      </c>
      <c r="S2735" s="7" t="s">
        <v>1065</v>
      </c>
      <c r="T2735" s="9" t="s">
        <v>39</v>
      </c>
      <c r="U2735" s="7">
        <v>0.37</v>
      </c>
      <c r="V2735" s="12">
        <f>C2735+1</f>
        <v>41104</v>
      </c>
      <c r="W2735">
        <f>IF(D2735=' Pivot Tables'!$A$4,1,0)</f>
        <v>0</v>
      </c>
      <c r="X2735">
        <f>IF(AND(LEFT(D2735,4)+1=LEFT(' Pivot Tables'!$A$4,4)+0,RIGHT(LEFT(D2735,7),2)=RIGHT(LEFT(' Pivot Tables'!$A$4,7),2)),1,0)</f>
        <v>0</v>
      </c>
      <c r="Y2735" s="6">
        <f>1/COUNTIF(Таблица1[Order ID],Таблица1[[#This Row],[Order ID]])</f>
        <v>1</v>
      </c>
      <c r="Z2735" s="9">
        <f>1/COUNTIFS(Таблица1[Customer Name],Таблица1[[#This Row],[Customer Name]],Таблица1[Order-Year-Month],Таблица1[[#This Row],[Order-Year-Month]])</f>
        <v>1</v>
      </c>
    </row>
    <row r="2736" spans="1:26" x14ac:dyDescent="0.2">
      <c r="A2736" s="6">
        <v>2053</v>
      </c>
      <c r="B2736" s="7">
        <v>14662</v>
      </c>
      <c r="C2736" s="8">
        <f>DATE(2012,12,31)-411</f>
        <v>40863</v>
      </c>
      <c r="D2736" s="8" t="str">
        <f t="shared" si="52"/>
        <v>2011-11 (ноябрь 2011)</v>
      </c>
      <c r="E2736" s="9" t="s">
        <v>30</v>
      </c>
      <c r="F2736" s="7">
        <v>24</v>
      </c>
      <c r="G2736" s="7">
        <v>39.69</v>
      </c>
      <c r="H2736" s="7">
        <v>0.05</v>
      </c>
      <c r="I2736" s="9" t="s">
        <v>22</v>
      </c>
      <c r="J2736" s="10">
        <v>-1.78</v>
      </c>
      <c r="K2736" s="11">
        <v>1.68</v>
      </c>
      <c r="L2736" s="11">
        <v>1</v>
      </c>
      <c r="M2736" s="9" t="s">
        <v>1459</v>
      </c>
      <c r="N2736" s="6" t="s">
        <v>1453</v>
      </c>
      <c r="O2736" s="6" t="s">
        <v>512</v>
      </c>
      <c r="P2736" s="9" t="s">
        <v>41</v>
      </c>
      <c r="Q2736" s="9" t="s">
        <v>26</v>
      </c>
      <c r="R2736" s="9" t="s">
        <v>95</v>
      </c>
      <c r="S2736" s="7" t="s">
        <v>1468</v>
      </c>
      <c r="T2736" s="9" t="s">
        <v>68</v>
      </c>
      <c r="U2736" s="7">
        <v>0.35</v>
      </c>
      <c r="V2736" s="12">
        <f>C2736+1</f>
        <v>40864</v>
      </c>
      <c r="W2736">
        <f>IF(D2736=' Pivot Tables'!$A$4,1,0)</f>
        <v>0</v>
      </c>
      <c r="X2736">
        <f>IF(AND(LEFT(D2736,4)+1=LEFT(' Pivot Tables'!$A$4,4)+0,RIGHT(LEFT(D2736,7),2)=RIGHT(LEFT(' Pivot Tables'!$A$4,7),2)),1,0)</f>
        <v>0</v>
      </c>
      <c r="Y2736" s="6">
        <f>1/COUNTIF(Таблица1[Order ID],Таблица1[[#This Row],[Order ID]])</f>
        <v>0.33333333333333331</v>
      </c>
      <c r="Z2736" s="9">
        <f>1/COUNTIFS(Таблица1[Customer Name],Таблица1[[#This Row],[Customer Name]],Таблица1[Order-Year-Month],Таблица1[[#This Row],[Order-Year-Month]])</f>
        <v>0.25</v>
      </c>
    </row>
    <row r="2737" spans="1:26" x14ac:dyDescent="0.2">
      <c r="A2737" s="6">
        <v>2059</v>
      </c>
      <c r="B2737" s="7">
        <v>14727</v>
      </c>
      <c r="C2737" s="8">
        <f>DATE(2012,12,31)-165</f>
        <v>41109</v>
      </c>
      <c r="D2737" s="8" t="str">
        <f t="shared" si="52"/>
        <v>2012-07 (июль 2012)</v>
      </c>
      <c r="E2737" s="9" t="s">
        <v>63</v>
      </c>
      <c r="F2737" s="7">
        <v>50</v>
      </c>
      <c r="G2737" s="7">
        <v>8532.152</v>
      </c>
      <c r="H2737" s="7">
        <v>0.04</v>
      </c>
      <c r="I2737" s="9" t="s">
        <v>31</v>
      </c>
      <c r="J2737" s="10">
        <v>-513.79042000000004</v>
      </c>
      <c r="K2737" s="11">
        <v>212.6</v>
      </c>
      <c r="L2737" s="11">
        <v>52.2</v>
      </c>
      <c r="M2737" s="9" t="s">
        <v>1469</v>
      </c>
      <c r="N2737" s="6" t="s">
        <v>1453</v>
      </c>
      <c r="O2737" s="6" t="s">
        <v>512</v>
      </c>
      <c r="P2737" s="9" t="s">
        <v>25</v>
      </c>
      <c r="Q2737" s="9" t="s">
        <v>49</v>
      </c>
      <c r="R2737" s="9" t="s">
        <v>83</v>
      </c>
      <c r="S2737" s="7" t="s">
        <v>984</v>
      </c>
      <c r="T2737" s="9" t="s">
        <v>82</v>
      </c>
      <c r="U2737" s="7">
        <v>0.64</v>
      </c>
      <c r="V2737" s="12">
        <f>C2737+3</f>
        <v>41112</v>
      </c>
      <c r="W2737">
        <f>IF(D2737=' Pivot Tables'!$A$4,1,0)</f>
        <v>0</v>
      </c>
      <c r="X2737">
        <f>IF(AND(LEFT(D2737,4)+1=LEFT(' Pivot Tables'!$A$4,4)+0,RIGHT(LEFT(D2737,7),2)=RIGHT(LEFT(' Pivot Tables'!$A$4,7),2)),1,0)</f>
        <v>0</v>
      </c>
      <c r="Y2737" s="6">
        <f>1/COUNTIF(Таблица1[Order ID],Таблица1[[#This Row],[Order ID]])</f>
        <v>0.5</v>
      </c>
      <c r="Z2737" s="9">
        <f>1/COUNTIFS(Таблица1[Customer Name],Таблица1[[#This Row],[Customer Name]],Таблица1[Order-Year-Month],Таблица1[[#This Row],[Order-Year-Month]])</f>
        <v>0.5</v>
      </c>
    </row>
    <row r="2738" spans="1:26" x14ac:dyDescent="0.2">
      <c r="A2738" s="6">
        <v>2191</v>
      </c>
      <c r="B2738" s="7">
        <v>15781</v>
      </c>
      <c r="C2738" s="8">
        <f>DATE(2012,12,31)-119</f>
        <v>41155</v>
      </c>
      <c r="D2738" s="8" t="str">
        <f t="shared" si="52"/>
        <v>2012-09 (сентябрь 2012)</v>
      </c>
      <c r="E2738" s="9" t="s">
        <v>30</v>
      </c>
      <c r="F2738" s="7">
        <v>29</v>
      </c>
      <c r="G2738" s="7">
        <v>824.51</v>
      </c>
      <c r="H2738" s="7">
        <v>0.01</v>
      </c>
      <c r="I2738" s="9" t="s">
        <v>22</v>
      </c>
      <c r="J2738" s="10">
        <v>0.89999999999998437</v>
      </c>
      <c r="K2738" s="11">
        <v>27.48</v>
      </c>
      <c r="L2738" s="11">
        <v>4</v>
      </c>
      <c r="M2738" s="9" t="s">
        <v>1470</v>
      </c>
      <c r="N2738" s="6" t="s">
        <v>1453</v>
      </c>
      <c r="O2738" s="6" t="s">
        <v>512</v>
      </c>
      <c r="P2738" s="9" t="s">
        <v>60</v>
      </c>
      <c r="Q2738" s="9" t="s">
        <v>42</v>
      </c>
      <c r="R2738" s="9" t="s">
        <v>70</v>
      </c>
      <c r="S2738" s="7" t="s">
        <v>762</v>
      </c>
      <c r="T2738" s="9" t="s">
        <v>39</v>
      </c>
      <c r="U2738" s="7">
        <v>0.75</v>
      </c>
      <c r="V2738" s="12">
        <f>C2738+1</f>
        <v>41156</v>
      </c>
      <c r="W2738">
        <f>IF(D2738=' Pivot Tables'!$A$4,1,0)</f>
        <v>0</v>
      </c>
      <c r="X2738">
        <f>IF(AND(LEFT(D2738,4)+1=LEFT(' Pivot Tables'!$A$4,4)+0,RIGHT(LEFT(D2738,7),2)=RIGHT(LEFT(' Pivot Tables'!$A$4,7),2)),1,0)</f>
        <v>0</v>
      </c>
      <c r="Y2738" s="6">
        <f>1/COUNTIF(Таблица1[Order ID],Таблица1[[#This Row],[Order ID]])</f>
        <v>1</v>
      </c>
      <c r="Z2738" s="9">
        <f>1/COUNTIFS(Таблица1[Customer Name],Таблица1[[#This Row],[Customer Name]],Таблица1[Order-Year-Month],Таблица1[[#This Row],[Order-Year-Month]])</f>
        <v>1</v>
      </c>
    </row>
    <row r="2739" spans="1:26" x14ac:dyDescent="0.2">
      <c r="A2739" s="6">
        <v>2370</v>
      </c>
      <c r="B2739" s="7">
        <v>17157</v>
      </c>
      <c r="C2739" s="8">
        <f>DATE(2012,12,31)-103</f>
        <v>41171</v>
      </c>
      <c r="D2739" s="8" t="str">
        <f t="shared" si="52"/>
        <v>2012-09 (сентябрь 2012)</v>
      </c>
      <c r="E2739" s="9" t="s">
        <v>21</v>
      </c>
      <c r="F2739" s="7">
        <v>31</v>
      </c>
      <c r="G2739" s="7">
        <v>3081.471</v>
      </c>
      <c r="H2739" s="7">
        <v>0.09</v>
      </c>
      <c r="I2739" s="9" t="s">
        <v>22</v>
      </c>
      <c r="J2739" s="10">
        <v>574.98299999999995</v>
      </c>
      <c r="K2739" s="11">
        <v>125.99</v>
      </c>
      <c r="L2739" s="11">
        <v>4.2</v>
      </c>
      <c r="M2739" s="9" t="s">
        <v>815</v>
      </c>
      <c r="N2739" s="6" t="s">
        <v>1453</v>
      </c>
      <c r="O2739" s="6" t="s">
        <v>512</v>
      </c>
      <c r="P2739" s="9" t="s">
        <v>41</v>
      </c>
      <c r="Q2739" s="9" t="s">
        <v>42</v>
      </c>
      <c r="R2739" s="9" t="s">
        <v>43</v>
      </c>
      <c r="S2739" s="7" t="s">
        <v>1461</v>
      </c>
      <c r="T2739" s="9" t="s">
        <v>39</v>
      </c>
      <c r="U2739" s="7">
        <v>0.56999999999999995</v>
      </c>
      <c r="V2739" s="12">
        <f>C2739+4</f>
        <v>41175</v>
      </c>
      <c r="W2739">
        <f>IF(D2739=' Pivot Tables'!$A$4,1,0)</f>
        <v>0</v>
      </c>
      <c r="X2739">
        <f>IF(AND(LEFT(D2739,4)+1=LEFT(' Pivot Tables'!$A$4,4)+0,RIGHT(LEFT(D2739,7),2)=RIGHT(LEFT(' Pivot Tables'!$A$4,7),2)),1,0)</f>
        <v>0</v>
      </c>
      <c r="Y2739" s="6">
        <f>1/COUNTIF(Таблица1[Order ID],Таблица1[[#This Row],[Order ID]])</f>
        <v>1</v>
      </c>
      <c r="Z2739" s="9">
        <f>1/COUNTIFS(Таблица1[Customer Name],Таблица1[[#This Row],[Customer Name]],Таблица1[Order-Year-Month],Таблица1[[#This Row],[Order-Year-Month]])</f>
        <v>1</v>
      </c>
    </row>
    <row r="2740" spans="1:26" x14ac:dyDescent="0.2">
      <c r="A2740" s="6">
        <v>2447</v>
      </c>
      <c r="B2740" s="7">
        <v>17795</v>
      </c>
      <c r="C2740" s="8">
        <f>DATE(2012,12,31)-1370</f>
        <v>39904</v>
      </c>
      <c r="D2740" s="8" t="str">
        <f t="shared" si="52"/>
        <v>2009-04 (апрель 2009)</v>
      </c>
      <c r="E2740" s="9" t="s">
        <v>63</v>
      </c>
      <c r="F2740" s="7">
        <v>1</v>
      </c>
      <c r="G2740" s="7">
        <v>17.62</v>
      </c>
      <c r="H2740" s="7">
        <v>0.06</v>
      </c>
      <c r="I2740" s="9" t="s">
        <v>22</v>
      </c>
      <c r="J2740" s="10">
        <v>-15.92</v>
      </c>
      <c r="K2740" s="11">
        <v>11.33</v>
      </c>
      <c r="L2740" s="11">
        <v>6.12</v>
      </c>
      <c r="M2740" s="9" t="s">
        <v>1471</v>
      </c>
      <c r="N2740" s="6" t="s">
        <v>1453</v>
      </c>
      <c r="O2740" s="6" t="s">
        <v>512</v>
      </c>
      <c r="P2740" s="9" t="s">
        <v>25</v>
      </c>
      <c r="Q2740" s="9" t="s">
        <v>26</v>
      </c>
      <c r="R2740" s="9" t="s">
        <v>34</v>
      </c>
      <c r="S2740" s="7" t="s">
        <v>1155</v>
      </c>
      <c r="T2740" s="9" t="s">
        <v>48</v>
      </c>
      <c r="U2740" s="7">
        <v>0.42</v>
      </c>
      <c r="V2740" s="12">
        <f>C2740+2</f>
        <v>39906</v>
      </c>
      <c r="W2740">
        <f>IF(D2740=' Pivot Tables'!$A$4,1,0)</f>
        <v>0</v>
      </c>
      <c r="X2740">
        <f>IF(AND(LEFT(D2740,4)+1=LEFT(' Pivot Tables'!$A$4,4)+0,RIGHT(LEFT(D2740,7),2)=RIGHT(LEFT(' Pivot Tables'!$A$4,7),2)),1,0)</f>
        <v>0</v>
      </c>
      <c r="Y2740" s="6">
        <f>1/COUNTIF(Таблица1[Order ID],Таблица1[[#This Row],[Order ID]])</f>
        <v>1</v>
      </c>
      <c r="Z2740" s="9">
        <f>1/COUNTIFS(Таблица1[Customer Name],Таблица1[[#This Row],[Customer Name]],Таблица1[Order-Year-Month],Таблица1[[#This Row],[Order-Year-Month]])</f>
        <v>1</v>
      </c>
    </row>
    <row r="2741" spans="1:26" x14ac:dyDescent="0.2">
      <c r="A2741" s="6">
        <v>2832</v>
      </c>
      <c r="B2741" s="7">
        <v>20449</v>
      </c>
      <c r="C2741" s="8">
        <f>DATE(2012,12,31)-1093</f>
        <v>40181</v>
      </c>
      <c r="D2741" s="8" t="str">
        <f t="shared" si="52"/>
        <v>2010-01 (январь 2010)</v>
      </c>
      <c r="E2741" s="9" t="s">
        <v>63</v>
      </c>
      <c r="F2741" s="7">
        <v>19</v>
      </c>
      <c r="G2741" s="7">
        <v>1216.5</v>
      </c>
      <c r="H2741" s="7">
        <v>0.1</v>
      </c>
      <c r="I2741" s="9" t="s">
        <v>22</v>
      </c>
      <c r="J2741" s="10">
        <v>162.18</v>
      </c>
      <c r="K2741" s="11">
        <v>67.28</v>
      </c>
      <c r="L2741" s="11">
        <v>19.989999999999998</v>
      </c>
      <c r="M2741" s="9" t="s">
        <v>1472</v>
      </c>
      <c r="N2741" s="6" t="s">
        <v>1453</v>
      </c>
      <c r="O2741" s="6" t="s">
        <v>512</v>
      </c>
      <c r="P2741" s="9" t="s">
        <v>25</v>
      </c>
      <c r="Q2741" s="9" t="s">
        <v>26</v>
      </c>
      <c r="R2741" s="9" t="s">
        <v>37</v>
      </c>
      <c r="S2741" s="7" t="s">
        <v>637</v>
      </c>
      <c r="T2741" s="9" t="s">
        <v>39</v>
      </c>
      <c r="U2741" s="7">
        <v>0.4</v>
      </c>
      <c r="V2741" s="12">
        <f>C2741+1</f>
        <v>40182</v>
      </c>
      <c r="W2741">
        <f>IF(D2741=' Pivot Tables'!$A$4,1,0)</f>
        <v>1</v>
      </c>
      <c r="X2741">
        <f>IF(AND(LEFT(D2741,4)+1=LEFT(' Pivot Tables'!$A$4,4)+0,RIGHT(LEFT(D2741,7),2)=RIGHT(LEFT(' Pivot Tables'!$A$4,7),2)),1,0)</f>
        <v>0</v>
      </c>
      <c r="Y2741" s="6">
        <f>1/COUNTIF(Таблица1[Order ID],Таблица1[[#This Row],[Order ID]])</f>
        <v>1</v>
      </c>
      <c r="Z2741" s="9">
        <f>1/COUNTIFS(Таблица1[Customer Name],Таблица1[[#This Row],[Customer Name]],Таблица1[Order-Year-Month],Таблица1[[#This Row],[Order-Year-Month]])</f>
        <v>1</v>
      </c>
    </row>
    <row r="2742" spans="1:26" x14ac:dyDescent="0.2">
      <c r="A2742" s="6">
        <v>3054</v>
      </c>
      <c r="B2742" s="7">
        <v>21890</v>
      </c>
      <c r="C2742" s="8">
        <f>DATE(2012,12,31)-707</f>
        <v>40567</v>
      </c>
      <c r="D2742" s="8" t="str">
        <f t="shared" si="52"/>
        <v>2011-01 (январь 2011)</v>
      </c>
      <c r="E2742" s="9" t="s">
        <v>45</v>
      </c>
      <c r="F2742" s="7">
        <v>27</v>
      </c>
      <c r="G2742" s="7">
        <v>81.900000000000006</v>
      </c>
      <c r="H2742" s="7">
        <v>0.01</v>
      </c>
      <c r="I2742" s="9" t="s">
        <v>22</v>
      </c>
      <c r="J2742" s="10">
        <v>4.0599999999999996</v>
      </c>
      <c r="K2742" s="11">
        <v>2.94</v>
      </c>
      <c r="L2742" s="11">
        <v>0.96</v>
      </c>
      <c r="M2742" s="9" t="s">
        <v>1361</v>
      </c>
      <c r="N2742" s="6" t="s">
        <v>1453</v>
      </c>
      <c r="O2742" s="6" t="s">
        <v>512</v>
      </c>
      <c r="P2742" s="9" t="s">
        <v>25</v>
      </c>
      <c r="Q2742" s="9" t="s">
        <v>26</v>
      </c>
      <c r="R2742" s="9" t="s">
        <v>95</v>
      </c>
      <c r="S2742" s="7" t="s">
        <v>486</v>
      </c>
      <c r="T2742" s="9" t="s">
        <v>68</v>
      </c>
      <c r="U2742" s="7">
        <v>0.57999999999999996</v>
      </c>
      <c r="V2742" s="12">
        <f>C2742+2</f>
        <v>40569</v>
      </c>
      <c r="W2742">
        <f>IF(D2742=' Pivot Tables'!$A$4,1,0)</f>
        <v>0</v>
      </c>
      <c r="X2742">
        <f>IF(AND(LEFT(D2742,4)+1=LEFT(' Pivot Tables'!$A$4,4)+0,RIGHT(LEFT(D2742,7),2)=RIGHT(LEFT(' Pivot Tables'!$A$4,7),2)),1,0)</f>
        <v>0</v>
      </c>
      <c r="Y2742" s="6">
        <f>1/COUNTIF(Таблица1[Order ID],Таблица1[[#This Row],[Order ID]])</f>
        <v>0.5</v>
      </c>
      <c r="Z2742" s="9">
        <f>1/COUNTIFS(Таблица1[Customer Name],Таблица1[[#This Row],[Customer Name]],Таблица1[Order-Year-Month],Таблица1[[#This Row],[Order-Year-Month]])</f>
        <v>0.5</v>
      </c>
    </row>
    <row r="2743" spans="1:26" x14ac:dyDescent="0.2">
      <c r="A2743" s="6">
        <v>3071</v>
      </c>
      <c r="B2743" s="7">
        <v>22020</v>
      </c>
      <c r="C2743" s="8">
        <f>DATE(2012,12,31)-959</f>
        <v>40315</v>
      </c>
      <c r="D2743" s="8" t="str">
        <f t="shared" si="52"/>
        <v>2010-05 (май 2010)</v>
      </c>
      <c r="E2743" s="9" t="s">
        <v>78</v>
      </c>
      <c r="F2743" s="7">
        <v>37</v>
      </c>
      <c r="G2743" s="7">
        <v>498.28</v>
      </c>
      <c r="H2743" s="7">
        <v>0.01</v>
      </c>
      <c r="I2743" s="9" t="s">
        <v>22</v>
      </c>
      <c r="J2743" s="10">
        <v>10.18</v>
      </c>
      <c r="K2743" s="11">
        <v>13.48</v>
      </c>
      <c r="L2743" s="11">
        <v>4.51</v>
      </c>
      <c r="M2743" s="9" t="s">
        <v>1473</v>
      </c>
      <c r="N2743" s="6" t="s">
        <v>1453</v>
      </c>
      <c r="O2743" s="6" t="s">
        <v>512</v>
      </c>
      <c r="P2743" s="9" t="s">
        <v>41</v>
      </c>
      <c r="Q2743" s="9" t="s">
        <v>26</v>
      </c>
      <c r="R2743" s="9" t="s">
        <v>27</v>
      </c>
      <c r="S2743" s="7" t="s">
        <v>101</v>
      </c>
      <c r="T2743" s="9" t="s">
        <v>39</v>
      </c>
      <c r="U2743" s="7">
        <v>0.59</v>
      </c>
      <c r="V2743" s="12">
        <f>C2743+1</f>
        <v>40316</v>
      </c>
      <c r="W2743">
        <f>IF(D2743=' Pivot Tables'!$A$4,1,0)</f>
        <v>0</v>
      </c>
      <c r="X2743">
        <f>IF(AND(LEFT(D2743,4)+1=LEFT(' Pivot Tables'!$A$4,4)+0,RIGHT(LEFT(D2743,7),2)=RIGHT(LEFT(' Pivot Tables'!$A$4,7),2)),1,0)</f>
        <v>0</v>
      </c>
      <c r="Y2743" s="6">
        <f>1/COUNTIF(Таблица1[Order ID],Таблица1[[#This Row],[Order ID]])</f>
        <v>1</v>
      </c>
      <c r="Z2743" s="9">
        <f>1/COUNTIFS(Таблица1[Customer Name],Таблица1[[#This Row],[Customer Name]],Таблица1[Order-Year-Month],Таблица1[[#This Row],[Order-Year-Month]])</f>
        <v>1</v>
      </c>
    </row>
    <row r="2744" spans="1:26" x14ac:dyDescent="0.2">
      <c r="A2744" s="6">
        <v>3087</v>
      </c>
      <c r="B2744" s="7">
        <v>22149</v>
      </c>
      <c r="C2744" s="8">
        <f>DATE(2012,12,31)-465</f>
        <v>40809</v>
      </c>
      <c r="D2744" s="8" t="str">
        <f t="shared" si="52"/>
        <v>2011-09 (сентябрь 2011)</v>
      </c>
      <c r="E2744" s="9" t="s">
        <v>21</v>
      </c>
      <c r="F2744" s="7">
        <v>47</v>
      </c>
      <c r="G2744" s="7">
        <v>191.13</v>
      </c>
      <c r="H2744" s="7">
        <v>7.0000000000000007E-2</v>
      </c>
      <c r="I2744" s="9" t="s">
        <v>22</v>
      </c>
      <c r="J2744" s="10">
        <v>38.11</v>
      </c>
      <c r="K2744" s="11">
        <v>4.26</v>
      </c>
      <c r="L2744" s="11">
        <v>1.2</v>
      </c>
      <c r="M2744" s="9" t="s">
        <v>1469</v>
      </c>
      <c r="N2744" s="6" t="s">
        <v>1453</v>
      </c>
      <c r="O2744" s="6" t="s">
        <v>512</v>
      </c>
      <c r="P2744" s="9" t="s">
        <v>25</v>
      </c>
      <c r="Q2744" s="9" t="s">
        <v>26</v>
      </c>
      <c r="R2744" s="9" t="s">
        <v>95</v>
      </c>
      <c r="S2744" s="7" t="s">
        <v>865</v>
      </c>
      <c r="T2744" s="9" t="s">
        <v>68</v>
      </c>
      <c r="U2744" s="7">
        <v>0.44</v>
      </c>
      <c r="V2744" s="12">
        <f>C2744+2</f>
        <v>40811</v>
      </c>
      <c r="W2744">
        <f>IF(D2744=' Pivot Tables'!$A$4,1,0)</f>
        <v>0</v>
      </c>
      <c r="X2744">
        <f>IF(AND(LEFT(D2744,4)+1=LEFT(' Pivot Tables'!$A$4,4)+0,RIGHT(LEFT(D2744,7),2)=RIGHT(LEFT(' Pivot Tables'!$A$4,7),2)),1,0)</f>
        <v>0</v>
      </c>
      <c r="Y2744" s="6">
        <f>1/COUNTIF(Таблица1[Order ID],Таблица1[[#This Row],[Order ID]])</f>
        <v>0.5</v>
      </c>
      <c r="Z2744" s="9">
        <f>1/COUNTIFS(Таблица1[Customer Name],Таблица1[[#This Row],[Customer Name]],Таблица1[Order-Year-Month],Таблица1[[#This Row],[Order-Year-Month]])</f>
        <v>0.25</v>
      </c>
    </row>
    <row r="2745" spans="1:26" x14ac:dyDescent="0.2">
      <c r="A2745" s="6">
        <v>3216</v>
      </c>
      <c r="B2745" s="7">
        <v>23078</v>
      </c>
      <c r="C2745" s="8">
        <f>DATE(2012,12,31)-473</f>
        <v>40801</v>
      </c>
      <c r="D2745" s="8" t="str">
        <f t="shared" si="52"/>
        <v>2011-09 (сентябрь 2011)</v>
      </c>
      <c r="E2745" s="9" t="s">
        <v>63</v>
      </c>
      <c r="F2745" s="7">
        <v>18</v>
      </c>
      <c r="G2745" s="7">
        <v>168.95</v>
      </c>
      <c r="H2745" s="7">
        <v>0.1</v>
      </c>
      <c r="I2745" s="9" t="s">
        <v>22</v>
      </c>
      <c r="J2745" s="10">
        <v>-15.9</v>
      </c>
      <c r="K2745" s="11">
        <v>9.7799999999999994</v>
      </c>
      <c r="L2745" s="11">
        <v>5.76</v>
      </c>
      <c r="M2745" s="9" t="s">
        <v>1474</v>
      </c>
      <c r="N2745" s="6" t="s">
        <v>1453</v>
      </c>
      <c r="O2745" s="6" t="s">
        <v>512</v>
      </c>
      <c r="P2745" s="9" t="s">
        <v>33</v>
      </c>
      <c r="Q2745" s="9" t="s">
        <v>26</v>
      </c>
      <c r="R2745" s="9" t="s">
        <v>76</v>
      </c>
      <c r="S2745" s="7" t="s">
        <v>571</v>
      </c>
      <c r="T2745" s="9" t="s">
        <v>39</v>
      </c>
      <c r="U2745" s="7">
        <v>0.35</v>
      </c>
      <c r="V2745" s="12">
        <f>C2745+0</f>
        <v>40801</v>
      </c>
      <c r="W2745">
        <f>IF(D2745=' Pivot Tables'!$A$4,1,0)</f>
        <v>0</v>
      </c>
      <c r="X2745">
        <f>IF(AND(LEFT(D2745,4)+1=LEFT(' Pivot Tables'!$A$4,4)+0,RIGHT(LEFT(D2745,7),2)=RIGHT(LEFT(' Pivot Tables'!$A$4,7),2)),1,0)</f>
        <v>0</v>
      </c>
      <c r="Y2745" s="6">
        <f>1/COUNTIF(Таблица1[Order ID],Таблица1[[#This Row],[Order ID]])</f>
        <v>0.33333333333333331</v>
      </c>
      <c r="Z2745" s="9">
        <f>1/COUNTIFS(Таблица1[Customer Name],Таблица1[[#This Row],[Customer Name]],Таблица1[Order-Year-Month],Таблица1[[#This Row],[Order-Year-Month]])</f>
        <v>0.33333333333333331</v>
      </c>
    </row>
    <row r="2746" spans="1:26" x14ac:dyDescent="0.2">
      <c r="A2746" s="6">
        <v>3306</v>
      </c>
      <c r="B2746" s="7">
        <v>23619</v>
      </c>
      <c r="C2746" s="8">
        <f>DATE(2012,12,31)-10</f>
        <v>41264</v>
      </c>
      <c r="D2746" s="8" t="str">
        <f t="shared" si="52"/>
        <v>2012-12 (декабрь 2012)</v>
      </c>
      <c r="E2746" s="9" t="s">
        <v>63</v>
      </c>
      <c r="F2746" s="7">
        <v>7</v>
      </c>
      <c r="G2746" s="7">
        <v>1043.1199999999999</v>
      </c>
      <c r="H2746" s="7">
        <v>0.06</v>
      </c>
      <c r="I2746" s="9" t="s">
        <v>22</v>
      </c>
      <c r="J2746" s="10">
        <v>-52.495799999999953</v>
      </c>
      <c r="K2746" s="11">
        <v>150.97999999999999</v>
      </c>
      <c r="L2746" s="11">
        <v>13.99</v>
      </c>
      <c r="M2746" s="9" t="s">
        <v>1472</v>
      </c>
      <c r="N2746" s="6" t="s">
        <v>1453</v>
      </c>
      <c r="O2746" s="6" t="s">
        <v>512</v>
      </c>
      <c r="P2746" s="9" t="s">
        <v>25</v>
      </c>
      <c r="Q2746" s="9" t="s">
        <v>42</v>
      </c>
      <c r="R2746" s="9" t="s">
        <v>210</v>
      </c>
      <c r="S2746" s="7" t="s">
        <v>341</v>
      </c>
      <c r="T2746" s="9" t="s">
        <v>48</v>
      </c>
      <c r="U2746" s="7">
        <v>0.38</v>
      </c>
      <c r="V2746" s="12">
        <f>C2746+1</f>
        <v>41265</v>
      </c>
      <c r="W2746">
        <f>IF(D2746=' Pivot Tables'!$A$4,1,0)</f>
        <v>0</v>
      </c>
      <c r="X2746">
        <f>IF(AND(LEFT(D2746,4)+1=LEFT(' Pivot Tables'!$A$4,4)+0,RIGHT(LEFT(D2746,7),2)=RIGHT(LEFT(' Pivot Tables'!$A$4,7),2)),1,0)</f>
        <v>0</v>
      </c>
      <c r="Y2746" s="6">
        <f>1/COUNTIF(Таблица1[Order ID],Таблица1[[#This Row],[Order ID]])</f>
        <v>0.33333333333333331</v>
      </c>
      <c r="Z2746" s="9">
        <f>1/COUNTIFS(Таблица1[Customer Name],Таблица1[[#This Row],[Customer Name]],Таблица1[Order-Year-Month],Таблица1[[#This Row],[Order-Year-Month]])</f>
        <v>0.25</v>
      </c>
    </row>
    <row r="2747" spans="1:26" x14ac:dyDescent="0.2">
      <c r="A2747" s="6">
        <v>3351</v>
      </c>
      <c r="B2747" s="7">
        <v>24003</v>
      </c>
      <c r="C2747" s="8">
        <f>DATE(2012,12,31)-1157</f>
        <v>40117</v>
      </c>
      <c r="D2747" s="8" t="str">
        <f t="shared" si="52"/>
        <v>2009-10 (октябрь 2009)</v>
      </c>
      <c r="E2747" s="9" t="s">
        <v>78</v>
      </c>
      <c r="F2747" s="7">
        <v>49</v>
      </c>
      <c r="G2747" s="7">
        <v>87.44</v>
      </c>
      <c r="H2747" s="7">
        <v>0.06</v>
      </c>
      <c r="I2747" s="9" t="s">
        <v>22</v>
      </c>
      <c r="J2747" s="10">
        <v>1.33</v>
      </c>
      <c r="K2747" s="11">
        <v>1.76</v>
      </c>
      <c r="L2747" s="11">
        <v>0.7</v>
      </c>
      <c r="M2747" s="9" t="s">
        <v>1475</v>
      </c>
      <c r="N2747" s="6" t="s">
        <v>1453</v>
      </c>
      <c r="O2747" s="6" t="s">
        <v>512</v>
      </c>
      <c r="P2747" s="9" t="s">
        <v>41</v>
      </c>
      <c r="Q2747" s="9" t="s">
        <v>26</v>
      </c>
      <c r="R2747" s="9" t="s">
        <v>95</v>
      </c>
      <c r="S2747" s="7" t="s">
        <v>387</v>
      </c>
      <c r="T2747" s="9" t="s">
        <v>68</v>
      </c>
      <c r="U2747" s="7">
        <v>0.56000000000000005</v>
      </c>
      <c r="V2747" s="12">
        <f>C2747+2</f>
        <v>40119</v>
      </c>
      <c r="W2747">
        <f>IF(D2747=' Pivot Tables'!$A$4,1,0)</f>
        <v>0</v>
      </c>
      <c r="X2747">
        <f>IF(AND(LEFT(D2747,4)+1=LEFT(' Pivot Tables'!$A$4,4)+0,RIGHT(LEFT(D2747,7),2)=RIGHT(LEFT(' Pivot Tables'!$A$4,7),2)),1,0)</f>
        <v>0</v>
      </c>
      <c r="Y2747" s="6">
        <f>1/COUNTIF(Таблица1[Order ID],Таблица1[[#This Row],[Order ID]])</f>
        <v>0.25</v>
      </c>
      <c r="Z2747" s="9">
        <f>1/COUNTIFS(Таблица1[Customer Name],Таблица1[[#This Row],[Customer Name]],Таблица1[Order-Year-Month],Таблица1[[#This Row],[Order-Year-Month]])</f>
        <v>0.25</v>
      </c>
    </row>
    <row r="2748" spans="1:26" x14ac:dyDescent="0.2">
      <c r="A2748" s="6">
        <v>3352</v>
      </c>
      <c r="B2748" s="7">
        <v>24003</v>
      </c>
      <c r="C2748" s="8">
        <f>DATE(2012,12,31)-1157</f>
        <v>40117</v>
      </c>
      <c r="D2748" s="8" t="str">
        <f t="shared" si="52"/>
        <v>2009-10 (октябрь 2009)</v>
      </c>
      <c r="E2748" s="9" t="s">
        <v>78</v>
      </c>
      <c r="F2748" s="7">
        <v>50</v>
      </c>
      <c r="G2748" s="7">
        <v>1318.49</v>
      </c>
      <c r="H2748" s="7">
        <v>0.02</v>
      </c>
      <c r="I2748" s="9" t="s">
        <v>22</v>
      </c>
      <c r="J2748" s="10">
        <v>4.6900000000000004</v>
      </c>
      <c r="K2748" s="11">
        <v>24.98</v>
      </c>
      <c r="L2748" s="11">
        <v>8.7899999999999991</v>
      </c>
      <c r="M2748" s="9" t="s">
        <v>1475</v>
      </c>
      <c r="N2748" s="6" t="s">
        <v>1453</v>
      </c>
      <c r="O2748" s="6" t="s">
        <v>512</v>
      </c>
      <c r="P2748" s="9" t="s">
        <v>41</v>
      </c>
      <c r="Q2748" s="9" t="s">
        <v>26</v>
      </c>
      <c r="R2748" s="9" t="s">
        <v>27</v>
      </c>
      <c r="S2748" s="7" t="s">
        <v>1476</v>
      </c>
      <c r="T2748" s="9" t="s">
        <v>39</v>
      </c>
      <c r="U2748" s="7">
        <v>0.66</v>
      </c>
      <c r="V2748" s="12">
        <f>C2748+1</f>
        <v>40118</v>
      </c>
      <c r="W2748">
        <f>IF(D2748=' Pivot Tables'!$A$4,1,0)</f>
        <v>0</v>
      </c>
      <c r="X2748">
        <f>IF(AND(LEFT(D2748,4)+1=LEFT(' Pivot Tables'!$A$4,4)+0,RIGHT(LEFT(D2748,7),2)=RIGHT(LEFT(' Pivot Tables'!$A$4,7),2)),1,0)</f>
        <v>0</v>
      </c>
      <c r="Y2748" s="6">
        <f>1/COUNTIF(Таблица1[Order ID],Таблица1[[#This Row],[Order ID]])</f>
        <v>0.25</v>
      </c>
      <c r="Z2748" s="9">
        <f>1/COUNTIFS(Таблица1[Customer Name],Таблица1[[#This Row],[Customer Name]],Таблица1[Order-Year-Month],Таблица1[[#This Row],[Order-Year-Month]])</f>
        <v>0.25</v>
      </c>
    </row>
    <row r="2749" spans="1:26" x14ac:dyDescent="0.2">
      <c r="A2749" s="6">
        <v>3564</v>
      </c>
      <c r="B2749" s="7">
        <v>25442</v>
      </c>
      <c r="C2749" s="8">
        <f>DATE(2012,12,31)-361</f>
        <v>40913</v>
      </c>
      <c r="D2749" s="8" t="str">
        <f t="shared" si="52"/>
        <v>2012-01 (январь 2012)</v>
      </c>
      <c r="E2749" s="9" t="s">
        <v>30</v>
      </c>
      <c r="F2749" s="7">
        <v>32</v>
      </c>
      <c r="G2749" s="7">
        <v>1666</v>
      </c>
      <c r="H2749" s="7">
        <v>0.08</v>
      </c>
      <c r="I2749" s="9" t="s">
        <v>22</v>
      </c>
      <c r="J2749" s="10">
        <v>742.96</v>
      </c>
      <c r="K2749" s="11">
        <v>55.48</v>
      </c>
      <c r="L2749" s="11">
        <v>4.8499999999999996</v>
      </c>
      <c r="M2749" s="9" t="s">
        <v>1477</v>
      </c>
      <c r="N2749" s="6" t="s">
        <v>1453</v>
      </c>
      <c r="O2749" s="6" t="s">
        <v>512</v>
      </c>
      <c r="P2749" s="9" t="s">
        <v>60</v>
      </c>
      <c r="Q2749" s="9" t="s">
        <v>26</v>
      </c>
      <c r="R2749" s="9" t="s">
        <v>61</v>
      </c>
      <c r="S2749" s="7" t="s">
        <v>1478</v>
      </c>
      <c r="T2749" s="9" t="s">
        <v>39</v>
      </c>
      <c r="U2749" s="7">
        <v>0.37</v>
      </c>
      <c r="V2749" s="12">
        <f>C2749+2</f>
        <v>40915</v>
      </c>
      <c r="W2749">
        <f>IF(D2749=' Pivot Tables'!$A$4,1,0)</f>
        <v>0</v>
      </c>
      <c r="X2749">
        <f>IF(AND(LEFT(D2749,4)+1=LEFT(' Pivot Tables'!$A$4,4)+0,RIGHT(LEFT(D2749,7),2)=RIGHT(LEFT(' Pivot Tables'!$A$4,7),2)),1,0)</f>
        <v>0</v>
      </c>
      <c r="Y2749" s="6">
        <f>1/COUNTIF(Таблица1[Order ID],Таблица1[[#This Row],[Order ID]])</f>
        <v>0.5</v>
      </c>
      <c r="Z2749" s="9">
        <f>1/COUNTIFS(Таблица1[Customer Name],Таблица1[[#This Row],[Customer Name]],Таблица1[Order-Year-Month],Таблица1[[#This Row],[Order-Year-Month]])</f>
        <v>0.5</v>
      </c>
    </row>
    <row r="2750" spans="1:26" x14ac:dyDescent="0.2">
      <c r="A2750" s="6">
        <v>3630</v>
      </c>
      <c r="B2750" s="7">
        <v>25927</v>
      </c>
      <c r="C2750" s="8">
        <f>DATE(2012,12,31)-1349</f>
        <v>39925</v>
      </c>
      <c r="D2750" s="8" t="str">
        <f t="shared" si="52"/>
        <v>2009-04 (апрель 2009)</v>
      </c>
      <c r="E2750" s="9" t="s">
        <v>63</v>
      </c>
      <c r="F2750" s="7">
        <v>43</v>
      </c>
      <c r="G2750" s="7">
        <v>945.9</v>
      </c>
      <c r="H2750" s="7">
        <v>0.08</v>
      </c>
      <c r="I2750" s="9" t="s">
        <v>22</v>
      </c>
      <c r="J2750" s="10">
        <v>105.7</v>
      </c>
      <c r="K2750" s="11">
        <v>22.01</v>
      </c>
      <c r="L2750" s="11">
        <v>5.53</v>
      </c>
      <c r="M2750" s="9" t="s">
        <v>815</v>
      </c>
      <c r="N2750" s="6" t="s">
        <v>1453</v>
      </c>
      <c r="O2750" s="6" t="s">
        <v>512</v>
      </c>
      <c r="P2750" s="9" t="s">
        <v>41</v>
      </c>
      <c r="Q2750" s="9" t="s">
        <v>26</v>
      </c>
      <c r="R2750" s="9" t="s">
        <v>95</v>
      </c>
      <c r="S2750" s="7" t="s">
        <v>1147</v>
      </c>
      <c r="T2750" s="9" t="s">
        <v>52</v>
      </c>
      <c r="U2750" s="7">
        <v>0.59</v>
      </c>
      <c r="V2750" s="12">
        <f>C2750+2</f>
        <v>39927</v>
      </c>
      <c r="W2750">
        <f>IF(D2750=' Pivot Tables'!$A$4,1,0)</f>
        <v>0</v>
      </c>
      <c r="X2750">
        <f>IF(AND(LEFT(D2750,4)+1=LEFT(' Pivot Tables'!$A$4,4)+0,RIGHT(LEFT(D2750,7),2)=RIGHT(LEFT(' Pivot Tables'!$A$4,7),2)),1,0)</f>
        <v>0</v>
      </c>
      <c r="Y2750" s="6">
        <f>1/COUNTIF(Таблица1[Order ID],Таблица1[[#This Row],[Order ID]])</f>
        <v>0.5</v>
      </c>
      <c r="Z2750" s="9">
        <f>1/COUNTIFS(Таблица1[Customer Name],Таблица1[[#This Row],[Customer Name]],Таблица1[Order-Year-Month],Таблица1[[#This Row],[Order-Year-Month]])</f>
        <v>0.5</v>
      </c>
    </row>
    <row r="2751" spans="1:26" x14ac:dyDescent="0.2">
      <c r="A2751" s="6">
        <v>3664</v>
      </c>
      <c r="B2751" s="7">
        <v>26243</v>
      </c>
      <c r="C2751" s="8">
        <f>DATE(2012,12,31)-534</f>
        <v>40740</v>
      </c>
      <c r="D2751" s="8" t="str">
        <f t="shared" si="52"/>
        <v>2011-07 (июль 2011)</v>
      </c>
      <c r="E2751" s="9" t="s">
        <v>21</v>
      </c>
      <c r="F2751" s="7">
        <v>42</v>
      </c>
      <c r="G2751" s="7">
        <v>71.319999999999993</v>
      </c>
      <c r="H2751" s="7">
        <v>0.08</v>
      </c>
      <c r="I2751" s="9" t="s">
        <v>22</v>
      </c>
      <c r="J2751" s="10">
        <v>-4.9000000000000004</v>
      </c>
      <c r="K2751" s="11">
        <v>1.82</v>
      </c>
      <c r="L2751" s="11">
        <v>1</v>
      </c>
      <c r="M2751" s="9" t="s">
        <v>1479</v>
      </c>
      <c r="N2751" s="6" t="s">
        <v>1453</v>
      </c>
      <c r="O2751" s="6" t="s">
        <v>512</v>
      </c>
      <c r="P2751" s="9" t="s">
        <v>41</v>
      </c>
      <c r="Q2751" s="9" t="s">
        <v>26</v>
      </c>
      <c r="R2751" s="9" t="s">
        <v>95</v>
      </c>
      <c r="S2751" s="7" t="s">
        <v>1480</v>
      </c>
      <c r="T2751" s="9" t="s">
        <v>68</v>
      </c>
      <c r="U2751" s="7">
        <v>0.4</v>
      </c>
      <c r="V2751" s="12">
        <f>C2751+4</f>
        <v>40744</v>
      </c>
      <c r="W2751">
        <f>IF(D2751=' Pivot Tables'!$A$4,1,0)</f>
        <v>0</v>
      </c>
      <c r="X2751">
        <f>IF(AND(LEFT(D2751,4)+1=LEFT(' Pivot Tables'!$A$4,4)+0,RIGHT(LEFT(D2751,7),2)=RIGHT(LEFT(' Pivot Tables'!$A$4,7),2)),1,0)</f>
        <v>0</v>
      </c>
      <c r="Y2751" s="6">
        <f>1/COUNTIF(Таблица1[Order ID],Таблица1[[#This Row],[Order ID]])</f>
        <v>1</v>
      </c>
      <c r="Z2751" s="9">
        <f>1/COUNTIFS(Таблица1[Customer Name],Таблица1[[#This Row],[Customer Name]],Таблица1[Order-Year-Month],Таблица1[[#This Row],[Order-Year-Month]])</f>
        <v>1</v>
      </c>
    </row>
    <row r="2752" spans="1:26" x14ac:dyDescent="0.2">
      <c r="A2752" s="6">
        <v>3997</v>
      </c>
      <c r="B2752" s="7">
        <v>28515</v>
      </c>
      <c r="C2752" s="8">
        <f>DATE(2012,12,31)-915</f>
        <v>40359</v>
      </c>
      <c r="D2752" s="8" t="str">
        <f t="shared" si="52"/>
        <v>2010-06 (июнь 2010)</v>
      </c>
      <c r="E2752" s="9" t="s">
        <v>30</v>
      </c>
      <c r="F2752" s="7">
        <v>33</v>
      </c>
      <c r="G2752" s="7">
        <v>750.86</v>
      </c>
      <c r="H2752" s="7">
        <v>0</v>
      </c>
      <c r="I2752" s="9" t="s">
        <v>22</v>
      </c>
      <c r="J2752" s="10">
        <v>302.12400000000002</v>
      </c>
      <c r="K2752" s="11">
        <v>21.38</v>
      </c>
      <c r="L2752" s="11">
        <v>2.99</v>
      </c>
      <c r="M2752" s="9" t="s">
        <v>598</v>
      </c>
      <c r="N2752" s="6" t="s">
        <v>1453</v>
      </c>
      <c r="O2752" s="6" t="s">
        <v>512</v>
      </c>
      <c r="P2752" s="9" t="s">
        <v>41</v>
      </c>
      <c r="Q2752" s="9" t="s">
        <v>26</v>
      </c>
      <c r="R2752" s="9" t="s">
        <v>37</v>
      </c>
      <c r="S2752" s="7" t="s">
        <v>1303</v>
      </c>
      <c r="T2752" s="9" t="s">
        <v>39</v>
      </c>
      <c r="U2752" s="7">
        <v>0.36</v>
      </c>
      <c r="V2752" s="12">
        <f>C2752+1</f>
        <v>40360</v>
      </c>
      <c r="W2752">
        <f>IF(D2752=' Pivot Tables'!$A$4,1,0)</f>
        <v>0</v>
      </c>
      <c r="X2752">
        <f>IF(AND(LEFT(D2752,4)+1=LEFT(' Pivot Tables'!$A$4,4)+0,RIGHT(LEFT(D2752,7),2)=RIGHT(LEFT(' Pivot Tables'!$A$4,7),2)),1,0)</f>
        <v>0</v>
      </c>
      <c r="Y2752" s="6">
        <f>1/COUNTIF(Таблица1[Order ID],Таблица1[[#This Row],[Order ID]])</f>
        <v>0.5</v>
      </c>
      <c r="Z2752" s="9">
        <f>1/COUNTIFS(Таблица1[Customer Name],Таблица1[[#This Row],[Customer Name]],Таблица1[Order-Year-Month],Таблица1[[#This Row],[Order-Year-Month]])</f>
        <v>0.5</v>
      </c>
    </row>
    <row r="2753" spans="1:26" x14ac:dyDescent="0.2">
      <c r="A2753" s="6">
        <v>4180</v>
      </c>
      <c r="B2753" s="7">
        <v>29667</v>
      </c>
      <c r="C2753" s="8">
        <f>DATE(2012,12,31)-1256</f>
        <v>40018</v>
      </c>
      <c r="D2753" s="8" t="str">
        <f t="shared" si="52"/>
        <v>2009-07 (июль 2009)</v>
      </c>
      <c r="E2753" s="9" t="s">
        <v>45</v>
      </c>
      <c r="F2753" s="7">
        <v>14</v>
      </c>
      <c r="G2753" s="7">
        <v>215.31</v>
      </c>
      <c r="H2753" s="7">
        <v>0.09</v>
      </c>
      <c r="I2753" s="9" t="s">
        <v>22</v>
      </c>
      <c r="J2753" s="10">
        <v>-51.75</v>
      </c>
      <c r="K2753" s="11">
        <v>15.28</v>
      </c>
      <c r="L2753" s="11">
        <v>10.91</v>
      </c>
      <c r="M2753" s="9" t="s">
        <v>1481</v>
      </c>
      <c r="N2753" s="6" t="s">
        <v>1453</v>
      </c>
      <c r="O2753" s="6" t="s">
        <v>512</v>
      </c>
      <c r="P2753" s="9" t="s">
        <v>41</v>
      </c>
      <c r="Q2753" s="9" t="s">
        <v>26</v>
      </c>
      <c r="R2753" s="9" t="s">
        <v>37</v>
      </c>
      <c r="S2753" s="7" t="s">
        <v>558</v>
      </c>
      <c r="T2753" s="9" t="s">
        <v>39</v>
      </c>
      <c r="U2753" s="7">
        <v>0.36</v>
      </c>
      <c r="V2753" s="12">
        <f>C2753+1</f>
        <v>40019</v>
      </c>
      <c r="W2753">
        <f>IF(D2753=' Pivot Tables'!$A$4,1,0)</f>
        <v>0</v>
      </c>
      <c r="X2753">
        <f>IF(AND(LEFT(D2753,4)+1=LEFT(' Pivot Tables'!$A$4,4)+0,RIGHT(LEFT(D2753,7),2)=RIGHT(LEFT(' Pivot Tables'!$A$4,7),2)),1,0)</f>
        <v>0</v>
      </c>
      <c r="Y2753" s="6">
        <f>1/COUNTIF(Таблица1[Order ID],Таблица1[[#This Row],[Order ID]])</f>
        <v>1</v>
      </c>
      <c r="Z2753" s="9">
        <f>1/COUNTIFS(Таблица1[Customer Name],Таблица1[[#This Row],[Customer Name]],Таблица1[Order-Year-Month],Таблица1[[#This Row],[Order-Year-Month]])</f>
        <v>1</v>
      </c>
    </row>
    <row r="2754" spans="1:26" x14ac:dyDescent="0.2">
      <c r="A2754" s="6">
        <v>4226</v>
      </c>
      <c r="B2754" s="7">
        <v>30023</v>
      </c>
      <c r="C2754" s="8">
        <f>DATE(2012,12,31)-808</f>
        <v>40466</v>
      </c>
      <c r="D2754" s="8" t="str">
        <f t="shared" si="52"/>
        <v>2010-10 (октябрь 2010)</v>
      </c>
      <c r="E2754" s="9" t="s">
        <v>21</v>
      </c>
      <c r="F2754" s="7">
        <v>14</v>
      </c>
      <c r="G2754" s="7">
        <v>157.33000000000001</v>
      </c>
      <c r="H2754" s="7">
        <v>0.1</v>
      </c>
      <c r="I2754" s="9" t="s">
        <v>22</v>
      </c>
      <c r="J2754" s="10">
        <v>-76.34</v>
      </c>
      <c r="K2754" s="11">
        <v>11.35</v>
      </c>
      <c r="L2754" s="11">
        <v>8.6</v>
      </c>
      <c r="M2754" s="9" t="s">
        <v>1482</v>
      </c>
      <c r="N2754" s="6" t="s">
        <v>1453</v>
      </c>
      <c r="O2754" s="6" t="s">
        <v>512</v>
      </c>
      <c r="P2754" s="9" t="s">
        <v>33</v>
      </c>
      <c r="Q2754" s="9" t="s">
        <v>26</v>
      </c>
      <c r="R2754" s="9" t="s">
        <v>27</v>
      </c>
      <c r="S2754" s="7" t="s">
        <v>1030</v>
      </c>
      <c r="T2754" s="9" t="s">
        <v>39</v>
      </c>
      <c r="U2754" s="7">
        <v>0.56999999999999995</v>
      </c>
      <c r="V2754" s="12">
        <f>C2754+9</f>
        <v>40475</v>
      </c>
      <c r="W2754">
        <f>IF(D2754=' Pivot Tables'!$A$4,1,0)</f>
        <v>0</v>
      </c>
      <c r="X2754">
        <f>IF(AND(LEFT(D2754,4)+1=LEFT(' Pivot Tables'!$A$4,4)+0,RIGHT(LEFT(D2754,7),2)=RIGHT(LEFT(' Pivot Tables'!$A$4,7),2)),1,0)</f>
        <v>0</v>
      </c>
      <c r="Y2754" s="6">
        <f>1/COUNTIF(Таблица1[Order ID],Таблица1[[#This Row],[Order ID]])</f>
        <v>0.25</v>
      </c>
      <c r="Z2754" s="9">
        <f>1/COUNTIFS(Таблица1[Customer Name],Таблица1[[#This Row],[Customer Name]],Таблица1[Order-Year-Month],Таблица1[[#This Row],[Order-Year-Month]])</f>
        <v>0.25</v>
      </c>
    </row>
    <row r="2755" spans="1:26" x14ac:dyDescent="0.2">
      <c r="A2755" s="6">
        <v>4248</v>
      </c>
      <c r="B2755" s="7">
        <v>30215</v>
      </c>
      <c r="C2755" s="8">
        <f>DATE(2012,12,31)-1404</f>
        <v>39870</v>
      </c>
      <c r="D2755" s="8" t="str">
        <f t="shared" ref="D2755:D2818" si="53">TEXT(C2755,"гггг-ММ (ММММ гггг)")</f>
        <v>2009-02 (февраль 2009)</v>
      </c>
      <c r="E2755" s="9" t="s">
        <v>63</v>
      </c>
      <c r="F2755" s="7">
        <v>20</v>
      </c>
      <c r="G2755" s="7">
        <v>125.84</v>
      </c>
      <c r="H2755" s="7">
        <v>0.1</v>
      </c>
      <c r="I2755" s="9" t="s">
        <v>22</v>
      </c>
      <c r="J2755" s="10">
        <v>18.420000000000002</v>
      </c>
      <c r="K2755" s="11">
        <v>6.88</v>
      </c>
      <c r="L2755" s="11">
        <v>2</v>
      </c>
      <c r="M2755" s="9" t="s">
        <v>1483</v>
      </c>
      <c r="N2755" s="6" t="s">
        <v>1453</v>
      </c>
      <c r="O2755" s="6" t="s">
        <v>512</v>
      </c>
      <c r="P2755" s="9" t="s">
        <v>60</v>
      </c>
      <c r="Q2755" s="9" t="s">
        <v>26</v>
      </c>
      <c r="R2755" s="9" t="s">
        <v>61</v>
      </c>
      <c r="S2755" s="7" t="s">
        <v>1063</v>
      </c>
      <c r="T2755" s="9" t="s">
        <v>68</v>
      </c>
      <c r="U2755" s="7">
        <v>0.39</v>
      </c>
      <c r="V2755" s="12">
        <f>C2755+1</f>
        <v>39871</v>
      </c>
      <c r="W2755">
        <f>IF(D2755=' Pivot Tables'!$A$4,1,0)</f>
        <v>0</v>
      </c>
      <c r="X2755">
        <f>IF(AND(LEFT(D2755,4)+1=LEFT(' Pivot Tables'!$A$4,4)+0,RIGHT(LEFT(D2755,7),2)=RIGHT(LEFT(' Pivot Tables'!$A$4,7),2)),1,0)</f>
        <v>0</v>
      </c>
      <c r="Y2755" s="6">
        <f>1/COUNTIF(Таблица1[Order ID],Таблица1[[#This Row],[Order ID]])</f>
        <v>0.5</v>
      </c>
      <c r="Z2755" s="9">
        <f>1/COUNTIFS(Таблица1[Customer Name],Таблица1[[#This Row],[Customer Name]],Таблица1[Order-Year-Month],Таблица1[[#This Row],[Order-Year-Month]])</f>
        <v>0.5</v>
      </c>
    </row>
    <row r="2756" spans="1:26" x14ac:dyDescent="0.2">
      <c r="A2756" s="6">
        <v>4468</v>
      </c>
      <c r="B2756" s="7">
        <v>31845</v>
      </c>
      <c r="C2756" s="8">
        <f>DATE(2012,12,31)-70</f>
        <v>41204</v>
      </c>
      <c r="D2756" s="8" t="str">
        <f t="shared" si="53"/>
        <v>2012-10 (октябрь 2012)</v>
      </c>
      <c r="E2756" s="9" t="s">
        <v>21</v>
      </c>
      <c r="F2756" s="7">
        <v>11</v>
      </c>
      <c r="G2756" s="7">
        <v>114.55</v>
      </c>
      <c r="H2756" s="7">
        <v>0.05</v>
      </c>
      <c r="I2756" s="9" t="s">
        <v>22</v>
      </c>
      <c r="J2756" s="10">
        <v>28.61</v>
      </c>
      <c r="K2756" s="11">
        <v>10.06</v>
      </c>
      <c r="L2756" s="11">
        <v>2.06</v>
      </c>
      <c r="M2756" s="9" t="s">
        <v>1484</v>
      </c>
      <c r="N2756" s="6" t="s">
        <v>1453</v>
      </c>
      <c r="O2756" s="6" t="s">
        <v>512</v>
      </c>
      <c r="P2756" s="9" t="s">
        <v>41</v>
      </c>
      <c r="Q2756" s="9" t="s">
        <v>26</v>
      </c>
      <c r="R2756" s="9" t="s">
        <v>61</v>
      </c>
      <c r="S2756" s="7" t="s">
        <v>602</v>
      </c>
      <c r="T2756" s="9" t="s">
        <v>68</v>
      </c>
      <c r="U2756" s="7">
        <v>0.39</v>
      </c>
      <c r="V2756" s="12">
        <f>C2756+7</f>
        <v>41211</v>
      </c>
      <c r="W2756">
        <f>IF(D2756=' Pivot Tables'!$A$4,1,0)</f>
        <v>0</v>
      </c>
      <c r="X2756">
        <f>IF(AND(LEFT(D2756,4)+1=LEFT(' Pivot Tables'!$A$4,4)+0,RIGHT(LEFT(D2756,7),2)=RIGHT(LEFT(' Pivot Tables'!$A$4,7),2)),1,0)</f>
        <v>0</v>
      </c>
      <c r="Y2756" s="6">
        <f>1/COUNTIF(Таблица1[Order ID],Таблица1[[#This Row],[Order ID]])</f>
        <v>0.5</v>
      </c>
      <c r="Z2756" s="9">
        <f>1/COUNTIFS(Таблица1[Customer Name],Таблица1[[#This Row],[Customer Name]],Таблица1[Order-Year-Month],Таблица1[[#This Row],[Order-Year-Month]])</f>
        <v>0.5</v>
      </c>
    </row>
    <row r="2757" spans="1:26" x14ac:dyDescent="0.2">
      <c r="A2757" s="6">
        <v>4638</v>
      </c>
      <c r="B2757" s="7">
        <v>32999</v>
      </c>
      <c r="C2757" s="8">
        <f>DATE(2012,12,31)-1357</f>
        <v>39917</v>
      </c>
      <c r="D2757" s="8" t="str">
        <f t="shared" si="53"/>
        <v>2009-04 (апрель 2009)</v>
      </c>
      <c r="E2757" s="9" t="s">
        <v>21</v>
      </c>
      <c r="F2757" s="7">
        <v>14</v>
      </c>
      <c r="G2757" s="7">
        <v>1386.65</v>
      </c>
      <c r="H2757" s="7">
        <v>0.09</v>
      </c>
      <c r="I2757" s="9" t="s">
        <v>31</v>
      </c>
      <c r="J2757" s="10">
        <v>-193.58</v>
      </c>
      <c r="K2757" s="11">
        <v>100.98</v>
      </c>
      <c r="L2757" s="11">
        <v>35.840000000000003</v>
      </c>
      <c r="M2757" s="9" t="s">
        <v>1470</v>
      </c>
      <c r="N2757" s="6" t="s">
        <v>1453</v>
      </c>
      <c r="O2757" s="6" t="s">
        <v>512</v>
      </c>
      <c r="P2757" s="9" t="s">
        <v>60</v>
      </c>
      <c r="Q2757" s="9" t="s">
        <v>49</v>
      </c>
      <c r="R2757" s="9" t="s">
        <v>80</v>
      </c>
      <c r="S2757" s="7" t="s">
        <v>705</v>
      </c>
      <c r="T2757" s="9" t="s">
        <v>82</v>
      </c>
      <c r="U2757" s="7">
        <v>0.62</v>
      </c>
      <c r="V2757" s="12">
        <f>C2757+5</f>
        <v>39922</v>
      </c>
      <c r="W2757">
        <f>IF(D2757=' Pivot Tables'!$A$4,1,0)</f>
        <v>0</v>
      </c>
      <c r="X2757">
        <f>IF(AND(LEFT(D2757,4)+1=LEFT(' Pivot Tables'!$A$4,4)+0,RIGHT(LEFT(D2757,7),2)=RIGHT(LEFT(' Pivot Tables'!$A$4,7),2)),1,0)</f>
        <v>0</v>
      </c>
      <c r="Y2757" s="6">
        <f>1/COUNTIF(Таблица1[Order ID],Таблица1[[#This Row],[Order ID]])</f>
        <v>1</v>
      </c>
      <c r="Z2757" s="9">
        <f>1/COUNTIFS(Таблица1[Customer Name],Таблица1[[#This Row],[Customer Name]],Таблица1[Order-Year-Month],Таблица1[[#This Row],[Order-Year-Month]])</f>
        <v>1</v>
      </c>
    </row>
    <row r="2758" spans="1:26" x14ac:dyDescent="0.2">
      <c r="A2758" s="6">
        <v>5013</v>
      </c>
      <c r="B2758" s="7">
        <v>35777</v>
      </c>
      <c r="C2758" s="8">
        <f>DATE(2012,12,31)-845</f>
        <v>40429</v>
      </c>
      <c r="D2758" s="8" t="str">
        <f t="shared" si="53"/>
        <v>2010-09 (сентябрь 2010)</v>
      </c>
      <c r="E2758" s="9" t="s">
        <v>78</v>
      </c>
      <c r="F2758" s="7">
        <v>35</v>
      </c>
      <c r="G2758" s="7">
        <v>136.72</v>
      </c>
      <c r="H2758" s="7">
        <v>0.09</v>
      </c>
      <c r="I2758" s="9" t="s">
        <v>22</v>
      </c>
      <c r="J2758" s="10">
        <v>5.91</v>
      </c>
      <c r="K2758" s="11">
        <v>4.13</v>
      </c>
      <c r="L2758" s="11">
        <v>1.23</v>
      </c>
      <c r="M2758" s="9" t="s">
        <v>1485</v>
      </c>
      <c r="N2758" s="6" t="s">
        <v>1453</v>
      </c>
      <c r="O2758" s="6" t="s">
        <v>512</v>
      </c>
      <c r="P2758" s="9" t="s">
        <v>60</v>
      </c>
      <c r="Q2758" s="9" t="s">
        <v>26</v>
      </c>
      <c r="R2758" s="9" t="s">
        <v>95</v>
      </c>
      <c r="S2758" s="7" t="s">
        <v>1486</v>
      </c>
      <c r="T2758" s="9" t="s">
        <v>68</v>
      </c>
      <c r="U2758" s="7">
        <v>0.55000000000000004</v>
      </c>
      <c r="V2758" s="12">
        <f>C2758+2</f>
        <v>40431</v>
      </c>
      <c r="W2758">
        <f>IF(D2758=' Pivot Tables'!$A$4,1,0)</f>
        <v>0</v>
      </c>
      <c r="X2758">
        <f>IF(AND(LEFT(D2758,4)+1=LEFT(' Pivot Tables'!$A$4,4)+0,RIGHT(LEFT(D2758,7),2)=RIGHT(LEFT(' Pivot Tables'!$A$4,7),2)),1,0)</f>
        <v>0</v>
      </c>
      <c r="Y2758" s="6">
        <f>1/COUNTIF(Таблица1[Order ID],Таблица1[[#This Row],[Order ID]])</f>
        <v>1</v>
      </c>
      <c r="Z2758" s="9">
        <f>1/COUNTIFS(Таблица1[Customer Name],Таблица1[[#This Row],[Customer Name]],Таблица1[Order-Year-Month],Таблица1[[#This Row],[Order-Year-Month]])</f>
        <v>1</v>
      </c>
    </row>
    <row r="2759" spans="1:26" x14ac:dyDescent="0.2">
      <c r="A2759" s="6">
        <v>5052</v>
      </c>
      <c r="B2759" s="7">
        <v>36005</v>
      </c>
      <c r="C2759" s="8">
        <f>DATE(2012,12,31)-836</f>
        <v>40438</v>
      </c>
      <c r="D2759" s="8" t="str">
        <f t="shared" si="53"/>
        <v>2010-09 (сентябрь 2010)</v>
      </c>
      <c r="E2759" s="9" t="s">
        <v>21</v>
      </c>
      <c r="F2759" s="7">
        <v>1</v>
      </c>
      <c r="G2759" s="7">
        <v>29.65</v>
      </c>
      <c r="H2759" s="7">
        <v>0.05</v>
      </c>
      <c r="I2759" s="9" t="s">
        <v>56</v>
      </c>
      <c r="J2759" s="10">
        <v>-16.54</v>
      </c>
      <c r="K2759" s="11">
        <v>14.98</v>
      </c>
      <c r="L2759" s="11">
        <v>7.69</v>
      </c>
      <c r="M2759" s="9" t="s">
        <v>1487</v>
      </c>
      <c r="N2759" s="6" t="s">
        <v>1453</v>
      </c>
      <c r="O2759" s="6" t="s">
        <v>512</v>
      </c>
      <c r="P2759" s="9" t="s">
        <v>25</v>
      </c>
      <c r="Q2759" s="9" t="s">
        <v>26</v>
      </c>
      <c r="R2759" s="9" t="s">
        <v>27</v>
      </c>
      <c r="S2759" s="7" t="s">
        <v>1240</v>
      </c>
      <c r="T2759" s="9" t="s">
        <v>39</v>
      </c>
      <c r="U2759" s="7">
        <v>0.56999999999999995</v>
      </c>
      <c r="V2759" s="12">
        <f>C2759+4</f>
        <v>40442</v>
      </c>
      <c r="W2759">
        <f>IF(D2759=' Pivot Tables'!$A$4,1,0)</f>
        <v>0</v>
      </c>
      <c r="X2759">
        <f>IF(AND(LEFT(D2759,4)+1=LEFT(' Pivot Tables'!$A$4,4)+0,RIGHT(LEFT(D2759,7),2)=RIGHT(LEFT(' Pivot Tables'!$A$4,7),2)),1,0)</f>
        <v>0</v>
      </c>
      <c r="Y2759" s="6">
        <f>1/COUNTIF(Таблица1[Order ID],Таблица1[[#This Row],[Order ID]])</f>
        <v>1</v>
      </c>
      <c r="Z2759" s="9">
        <f>1/COUNTIFS(Таблица1[Customer Name],Таблица1[[#This Row],[Customer Name]],Таблица1[Order-Year-Month],Таблица1[[#This Row],[Order-Year-Month]])</f>
        <v>1</v>
      </c>
    </row>
    <row r="2760" spans="1:26" x14ac:dyDescent="0.2">
      <c r="A2760" s="6">
        <v>5080</v>
      </c>
      <c r="B2760" s="7">
        <v>36196</v>
      </c>
      <c r="C2760" s="8">
        <f>DATE(2012,12,31)-513</f>
        <v>40761</v>
      </c>
      <c r="D2760" s="8" t="str">
        <f t="shared" si="53"/>
        <v>2011-08 (август 2011)</v>
      </c>
      <c r="E2760" s="9" t="s">
        <v>45</v>
      </c>
      <c r="F2760" s="7">
        <v>6</v>
      </c>
      <c r="G2760" s="7">
        <v>62.03</v>
      </c>
      <c r="H2760" s="7">
        <v>0.09</v>
      </c>
      <c r="I2760" s="9" t="s">
        <v>22</v>
      </c>
      <c r="J2760" s="10">
        <v>17.309999999999999</v>
      </c>
      <c r="K2760" s="11">
        <v>9.77</v>
      </c>
      <c r="L2760" s="11">
        <v>6.02</v>
      </c>
      <c r="M2760" s="9" t="s">
        <v>1488</v>
      </c>
      <c r="N2760" s="6" t="s">
        <v>1453</v>
      </c>
      <c r="O2760" s="6" t="s">
        <v>512</v>
      </c>
      <c r="P2760" s="9" t="s">
        <v>33</v>
      </c>
      <c r="Q2760" s="9" t="s">
        <v>49</v>
      </c>
      <c r="R2760" s="9" t="s">
        <v>50</v>
      </c>
      <c r="S2760" s="7" t="s">
        <v>446</v>
      </c>
      <c r="T2760" s="9" t="s">
        <v>48</v>
      </c>
      <c r="U2760" s="7">
        <v>0.48</v>
      </c>
      <c r="V2760" s="12">
        <f>C2760+1</f>
        <v>40762</v>
      </c>
      <c r="W2760">
        <f>IF(D2760=' Pivot Tables'!$A$4,1,0)</f>
        <v>0</v>
      </c>
      <c r="X2760">
        <f>IF(AND(LEFT(D2760,4)+1=LEFT(' Pivot Tables'!$A$4,4)+0,RIGHT(LEFT(D2760,7),2)=RIGHT(LEFT(' Pivot Tables'!$A$4,7),2)),1,0)</f>
        <v>0</v>
      </c>
      <c r="Y2760" s="6">
        <f>1/COUNTIF(Таблица1[Order ID],Таблица1[[#This Row],[Order ID]])</f>
        <v>0.5</v>
      </c>
      <c r="Z2760" s="9">
        <f>1/COUNTIFS(Таблица1[Customer Name],Таблица1[[#This Row],[Customer Name]],Таблица1[Order-Year-Month],Таблица1[[#This Row],[Order-Year-Month]])</f>
        <v>0.5</v>
      </c>
    </row>
    <row r="2761" spans="1:26" x14ac:dyDescent="0.2">
      <c r="A2761" s="6">
        <v>5084</v>
      </c>
      <c r="B2761" s="7">
        <v>36230</v>
      </c>
      <c r="C2761" s="8">
        <f>DATE(2012,12,31)-1300</f>
        <v>39974</v>
      </c>
      <c r="D2761" s="8" t="str">
        <f t="shared" si="53"/>
        <v>2009-06 (июнь 2009)</v>
      </c>
      <c r="E2761" s="9" t="s">
        <v>30</v>
      </c>
      <c r="F2761" s="7">
        <v>7</v>
      </c>
      <c r="G2761" s="7">
        <v>57.03</v>
      </c>
      <c r="H2761" s="7">
        <v>0</v>
      </c>
      <c r="I2761" s="9" t="s">
        <v>22</v>
      </c>
      <c r="J2761" s="10">
        <v>-31.38</v>
      </c>
      <c r="K2761" s="11">
        <v>7.28</v>
      </c>
      <c r="L2761" s="11">
        <v>3.52</v>
      </c>
      <c r="M2761" s="9" t="s">
        <v>1489</v>
      </c>
      <c r="N2761" s="6" t="s">
        <v>1453</v>
      </c>
      <c r="O2761" s="6" t="s">
        <v>512</v>
      </c>
      <c r="P2761" s="9" t="s">
        <v>25</v>
      </c>
      <c r="Q2761" s="9" t="s">
        <v>42</v>
      </c>
      <c r="R2761" s="9" t="s">
        <v>70</v>
      </c>
      <c r="S2761" s="7" t="s">
        <v>735</v>
      </c>
      <c r="T2761" s="9" t="s">
        <v>52</v>
      </c>
      <c r="U2761" s="7">
        <v>0.68</v>
      </c>
      <c r="V2761" s="12">
        <f>C2761+0</f>
        <v>39974</v>
      </c>
      <c r="W2761">
        <f>IF(D2761=' Pivot Tables'!$A$4,1,0)</f>
        <v>0</v>
      </c>
      <c r="X2761">
        <f>IF(AND(LEFT(D2761,4)+1=LEFT(' Pivot Tables'!$A$4,4)+0,RIGHT(LEFT(D2761,7),2)=RIGHT(LEFT(' Pivot Tables'!$A$4,7),2)),1,0)</f>
        <v>0</v>
      </c>
      <c r="Y2761" s="6">
        <f>1/COUNTIF(Таблица1[Order ID],Таблица1[[#This Row],[Order ID]])</f>
        <v>1</v>
      </c>
      <c r="Z2761" s="9">
        <f>1/COUNTIFS(Таблица1[Customer Name],Таблица1[[#This Row],[Customer Name]],Таблица1[Order-Year-Month],Таблица1[[#This Row],[Order-Year-Month]])</f>
        <v>1</v>
      </c>
    </row>
    <row r="2762" spans="1:26" x14ac:dyDescent="0.2">
      <c r="A2762" s="6">
        <v>5093</v>
      </c>
      <c r="B2762" s="7">
        <v>36294</v>
      </c>
      <c r="C2762" s="8">
        <f>DATE(2012,12,31)-133</f>
        <v>41141</v>
      </c>
      <c r="D2762" s="8" t="str">
        <f t="shared" si="53"/>
        <v>2012-08 (август 2012)</v>
      </c>
      <c r="E2762" s="9" t="s">
        <v>63</v>
      </c>
      <c r="F2762" s="7">
        <v>46</v>
      </c>
      <c r="G2762" s="7">
        <v>611.16</v>
      </c>
      <c r="H2762" s="7">
        <v>0.04</v>
      </c>
      <c r="I2762" s="9" t="s">
        <v>22</v>
      </c>
      <c r="J2762" s="10">
        <v>100.215</v>
      </c>
      <c r="K2762" s="11">
        <v>12.95</v>
      </c>
      <c r="L2762" s="11">
        <v>4.9800000000000004</v>
      </c>
      <c r="M2762" s="9" t="s">
        <v>1490</v>
      </c>
      <c r="N2762" s="6" t="s">
        <v>1453</v>
      </c>
      <c r="O2762" s="6" t="s">
        <v>512</v>
      </c>
      <c r="P2762" s="9" t="s">
        <v>41</v>
      </c>
      <c r="Q2762" s="9" t="s">
        <v>26</v>
      </c>
      <c r="R2762" s="9" t="s">
        <v>37</v>
      </c>
      <c r="S2762" s="7" t="s">
        <v>278</v>
      </c>
      <c r="T2762" s="9" t="s">
        <v>39</v>
      </c>
      <c r="U2762" s="7">
        <v>0.4</v>
      </c>
      <c r="V2762" s="12">
        <f>C2762+2</f>
        <v>41143</v>
      </c>
      <c r="W2762">
        <f>IF(D2762=' Pivot Tables'!$A$4,1,0)</f>
        <v>0</v>
      </c>
      <c r="X2762">
        <f>IF(AND(LEFT(D2762,4)+1=LEFT(' Pivot Tables'!$A$4,4)+0,RIGHT(LEFT(D2762,7),2)=RIGHT(LEFT(' Pivot Tables'!$A$4,7),2)),1,0)</f>
        <v>0</v>
      </c>
      <c r="Y2762" s="6">
        <f>1/COUNTIF(Таблица1[Order ID],Таблица1[[#This Row],[Order ID]])</f>
        <v>1</v>
      </c>
      <c r="Z2762" s="9">
        <f>1/COUNTIFS(Таблица1[Customer Name],Таблица1[[#This Row],[Customer Name]],Таблица1[Order-Year-Month],Таблица1[[#This Row],[Order-Year-Month]])</f>
        <v>1</v>
      </c>
    </row>
    <row r="2763" spans="1:26" x14ac:dyDescent="0.2">
      <c r="A2763" s="6">
        <v>5158</v>
      </c>
      <c r="B2763" s="7">
        <v>36737</v>
      </c>
      <c r="C2763" s="8">
        <f>DATE(2012,12,31)-1022</f>
        <v>40252</v>
      </c>
      <c r="D2763" s="8" t="str">
        <f t="shared" si="53"/>
        <v>2010-03 (март 2010)</v>
      </c>
      <c r="E2763" s="9" t="s">
        <v>45</v>
      </c>
      <c r="F2763" s="7">
        <v>26</v>
      </c>
      <c r="G2763" s="7">
        <v>1462.1614999999999</v>
      </c>
      <c r="H2763" s="7">
        <v>0.03</v>
      </c>
      <c r="I2763" s="9" t="s">
        <v>22</v>
      </c>
      <c r="J2763" s="10">
        <v>215.43299999999999</v>
      </c>
      <c r="K2763" s="11">
        <v>65.989999999999995</v>
      </c>
      <c r="L2763" s="11">
        <v>5.99</v>
      </c>
      <c r="M2763" s="9" t="s">
        <v>1473</v>
      </c>
      <c r="N2763" s="6" t="s">
        <v>1453</v>
      </c>
      <c r="O2763" s="6" t="s">
        <v>512</v>
      </c>
      <c r="P2763" s="9" t="s">
        <v>33</v>
      </c>
      <c r="Q2763" s="9" t="s">
        <v>42</v>
      </c>
      <c r="R2763" s="9" t="s">
        <v>43</v>
      </c>
      <c r="S2763" s="7" t="s">
        <v>560</v>
      </c>
      <c r="T2763" s="9" t="s">
        <v>39</v>
      </c>
      <c r="U2763" s="7">
        <v>0.57999999999999996</v>
      </c>
      <c r="V2763" s="12">
        <f>C2763+1</f>
        <v>40253</v>
      </c>
      <c r="W2763">
        <f>IF(D2763=' Pivot Tables'!$A$4,1,0)</f>
        <v>0</v>
      </c>
      <c r="X2763">
        <f>IF(AND(LEFT(D2763,4)+1=LEFT(' Pivot Tables'!$A$4,4)+0,RIGHT(LEFT(D2763,7),2)=RIGHT(LEFT(' Pivot Tables'!$A$4,7),2)),1,0)</f>
        <v>0</v>
      </c>
      <c r="Y2763" s="6">
        <f>1/COUNTIF(Таблица1[Order ID],Таблица1[[#This Row],[Order ID]])</f>
        <v>0.33333333333333331</v>
      </c>
      <c r="Z2763" s="9">
        <f>1/COUNTIFS(Таблица1[Customer Name],Таблица1[[#This Row],[Customer Name]],Таблица1[Order-Year-Month],Таблица1[[#This Row],[Order-Year-Month]])</f>
        <v>0.33333333333333331</v>
      </c>
    </row>
    <row r="2764" spans="1:26" x14ac:dyDescent="0.2">
      <c r="A2764" s="6">
        <v>5241</v>
      </c>
      <c r="B2764" s="7">
        <v>37287</v>
      </c>
      <c r="C2764" s="8">
        <f>DATE(2012,12,31)-60</f>
        <v>41214</v>
      </c>
      <c r="D2764" s="8" t="str">
        <f t="shared" si="53"/>
        <v>2012-11 (ноябрь 2012)</v>
      </c>
      <c r="E2764" s="9" t="s">
        <v>21</v>
      </c>
      <c r="F2764" s="7">
        <v>45</v>
      </c>
      <c r="G2764" s="7">
        <v>130.25</v>
      </c>
      <c r="H2764" s="7">
        <v>0.05</v>
      </c>
      <c r="I2764" s="9" t="s">
        <v>22</v>
      </c>
      <c r="J2764" s="10">
        <v>0.89</v>
      </c>
      <c r="K2764" s="11">
        <v>2.98</v>
      </c>
      <c r="L2764" s="11">
        <v>1.58</v>
      </c>
      <c r="M2764" s="9" t="s">
        <v>1491</v>
      </c>
      <c r="N2764" s="6" t="s">
        <v>1453</v>
      </c>
      <c r="O2764" s="6" t="s">
        <v>512</v>
      </c>
      <c r="P2764" s="9" t="s">
        <v>41</v>
      </c>
      <c r="Q2764" s="9" t="s">
        <v>26</v>
      </c>
      <c r="R2764" s="9" t="s">
        <v>66</v>
      </c>
      <c r="S2764" s="7" t="s">
        <v>1310</v>
      </c>
      <c r="T2764" s="9" t="s">
        <v>68</v>
      </c>
      <c r="U2764" s="7">
        <v>0.39</v>
      </c>
      <c r="V2764" s="12">
        <f>C2764+5</f>
        <v>41219</v>
      </c>
      <c r="W2764">
        <f>IF(D2764=' Pivot Tables'!$A$4,1,0)</f>
        <v>0</v>
      </c>
      <c r="X2764">
        <f>IF(AND(LEFT(D2764,4)+1=LEFT(' Pivot Tables'!$A$4,4)+0,RIGHT(LEFT(D2764,7),2)=RIGHT(LEFT(' Pivot Tables'!$A$4,7),2)),1,0)</f>
        <v>0</v>
      </c>
      <c r="Y2764" s="6">
        <f>1/COUNTIF(Таблица1[Order ID],Таблица1[[#This Row],[Order ID]])</f>
        <v>0.33333333333333331</v>
      </c>
      <c r="Z2764" s="9">
        <f>1/COUNTIFS(Таблица1[Customer Name],Таблица1[[#This Row],[Customer Name]],Таблица1[Order-Year-Month],Таблица1[[#This Row],[Order-Year-Month]])</f>
        <v>0.33333333333333331</v>
      </c>
    </row>
    <row r="2765" spans="1:26" x14ac:dyDescent="0.2">
      <c r="A2765" s="6">
        <v>5323</v>
      </c>
      <c r="B2765" s="7">
        <v>37831</v>
      </c>
      <c r="C2765" s="8">
        <f>DATE(2012,12,31)-158</f>
        <v>41116</v>
      </c>
      <c r="D2765" s="8" t="str">
        <f t="shared" si="53"/>
        <v>2012-07 (июль 2012)</v>
      </c>
      <c r="E2765" s="9" t="s">
        <v>45</v>
      </c>
      <c r="F2765" s="7">
        <v>30</v>
      </c>
      <c r="G2765" s="7">
        <v>453.87</v>
      </c>
      <c r="H2765" s="7">
        <v>0.08</v>
      </c>
      <c r="I2765" s="9" t="s">
        <v>22</v>
      </c>
      <c r="J2765" s="10">
        <v>76.59</v>
      </c>
      <c r="K2765" s="11">
        <v>15.98</v>
      </c>
      <c r="L2765" s="11">
        <v>4</v>
      </c>
      <c r="M2765" s="9" t="s">
        <v>1492</v>
      </c>
      <c r="N2765" s="6" t="s">
        <v>1453</v>
      </c>
      <c r="O2765" s="6" t="s">
        <v>512</v>
      </c>
      <c r="P2765" s="9" t="s">
        <v>41</v>
      </c>
      <c r="Q2765" s="9" t="s">
        <v>42</v>
      </c>
      <c r="R2765" s="9" t="s">
        <v>70</v>
      </c>
      <c r="S2765" s="7" t="s">
        <v>536</v>
      </c>
      <c r="T2765" s="9" t="s">
        <v>39</v>
      </c>
      <c r="U2765" s="7">
        <v>0.37</v>
      </c>
      <c r="V2765" s="12">
        <f>C2765+2</f>
        <v>41118</v>
      </c>
      <c r="W2765">
        <f>IF(D2765=' Pivot Tables'!$A$4,1,0)</f>
        <v>0</v>
      </c>
      <c r="X2765">
        <f>IF(AND(LEFT(D2765,4)+1=LEFT(' Pivot Tables'!$A$4,4)+0,RIGHT(LEFT(D2765,7),2)=RIGHT(LEFT(' Pivot Tables'!$A$4,7),2)),1,0)</f>
        <v>0</v>
      </c>
      <c r="Y2765" s="6">
        <f>1/COUNTIF(Таблица1[Order ID],Таблица1[[#This Row],[Order ID]])</f>
        <v>1</v>
      </c>
      <c r="Z2765" s="9">
        <f>1/COUNTIFS(Таблица1[Customer Name],Таблица1[[#This Row],[Customer Name]],Таблица1[Order-Year-Month],Таблица1[[#This Row],[Order-Year-Month]])</f>
        <v>1</v>
      </c>
    </row>
    <row r="2766" spans="1:26" x14ac:dyDescent="0.2">
      <c r="A2766" s="6">
        <v>5400</v>
      </c>
      <c r="B2766" s="7">
        <v>38372</v>
      </c>
      <c r="C2766" s="8">
        <f>DATE(2012,12,31)-961</f>
        <v>40313</v>
      </c>
      <c r="D2766" s="8" t="str">
        <f t="shared" si="53"/>
        <v>2010-05 (май 2010)</v>
      </c>
      <c r="E2766" s="9" t="s">
        <v>30</v>
      </c>
      <c r="F2766" s="7">
        <v>33</v>
      </c>
      <c r="G2766" s="7">
        <v>310.99</v>
      </c>
      <c r="H2766" s="7">
        <v>7.0000000000000007E-2</v>
      </c>
      <c r="I2766" s="9" t="s">
        <v>22</v>
      </c>
      <c r="J2766" s="10">
        <v>106.45</v>
      </c>
      <c r="K2766" s="11">
        <v>9.68</v>
      </c>
      <c r="L2766" s="11">
        <v>2.0299999999999998</v>
      </c>
      <c r="M2766" s="9" t="s">
        <v>1493</v>
      </c>
      <c r="N2766" s="6" t="s">
        <v>1453</v>
      </c>
      <c r="O2766" s="6" t="s">
        <v>512</v>
      </c>
      <c r="P2766" s="9" t="s">
        <v>33</v>
      </c>
      <c r="Q2766" s="9" t="s">
        <v>26</v>
      </c>
      <c r="R2766" s="9" t="s">
        <v>61</v>
      </c>
      <c r="S2766" s="7" t="s">
        <v>1119</v>
      </c>
      <c r="T2766" s="9" t="s">
        <v>68</v>
      </c>
      <c r="U2766" s="7">
        <v>0.37</v>
      </c>
      <c r="V2766" s="12">
        <f>C2766+1</f>
        <v>40314</v>
      </c>
      <c r="W2766">
        <f>IF(D2766=' Pivot Tables'!$A$4,1,0)</f>
        <v>0</v>
      </c>
      <c r="X2766">
        <f>IF(AND(LEFT(D2766,4)+1=LEFT(' Pivot Tables'!$A$4,4)+0,RIGHT(LEFT(D2766,7),2)=RIGHT(LEFT(' Pivot Tables'!$A$4,7),2)),1,0)</f>
        <v>0</v>
      </c>
      <c r="Y2766" s="6">
        <f>1/COUNTIF(Таблица1[Order ID],Таблица1[[#This Row],[Order ID]])</f>
        <v>0.5</v>
      </c>
      <c r="Z2766" s="9">
        <f>1/COUNTIFS(Таблица1[Customer Name],Таблица1[[#This Row],[Customer Name]],Таблица1[Order-Year-Month],Таблица1[[#This Row],[Order-Year-Month]])</f>
        <v>0.5</v>
      </c>
    </row>
    <row r="2767" spans="1:26" x14ac:dyDescent="0.2">
      <c r="A2767" s="6">
        <v>5478</v>
      </c>
      <c r="B2767" s="7">
        <v>38912</v>
      </c>
      <c r="C2767" s="8">
        <f>DATE(2012,12,31)-64</f>
        <v>41210</v>
      </c>
      <c r="D2767" s="8" t="str">
        <f t="shared" si="53"/>
        <v>2012-10 (октябрь 2012)</v>
      </c>
      <c r="E2767" s="9" t="s">
        <v>21</v>
      </c>
      <c r="F2767" s="7">
        <v>26</v>
      </c>
      <c r="G2767" s="7">
        <v>1514.9634999999998</v>
      </c>
      <c r="H2767" s="7">
        <v>0.02</v>
      </c>
      <c r="I2767" s="9" t="s">
        <v>22</v>
      </c>
      <c r="J2767" s="10">
        <v>310.185</v>
      </c>
      <c r="K2767" s="11">
        <v>65.989999999999995</v>
      </c>
      <c r="L2767" s="11">
        <v>4.99</v>
      </c>
      <c r="M2767" s="9" t="s">
        <v>1494</v>
      </c>
      <c r="N2767" s="6" t="s">
        <v>1453</v>
      </c>
      <c r="O2767" s="6" t="s">
        <v>512</v>
      </c>
      <c r="P2767" s="9" t="s">
        <v>41</v>
      </c>
      <c r="Q2767" s="9" t="s">
        <v>42</v>
      </c>
      <c r="R2767" s="9" t="s">
        <v>43</v>
      </c>
      <c r="S2767" s="7" t="s">
        <v>692</v>
      </c>
      <c r="T2767" s="9" t="s">
        <v>39</v>
      </c>
      <c r="U2767" s="7">
        <v>0.56999999999999995</v>
      </c>
      <c r="V2767" s="12">
        <f>C2767+7</f>
        <v>41217</v>
      </c>
      <c r="W2767">
        <f>IF(D2767=' Pivot Tables'!$A$4,1,0)</f>
        <v>0</v>
      </c>
      <c r="X2767">
        <f>IF(AND(LEFT(D2767,4)+1=LEFT(' Pivot Tables'!$A$4,4)+0,RIGHT(LEFT(D2767,7),2)=RIGHT(LEFT(' Pivot Tables'!$A$4,7),2)),1,0)</f>
        <v>0</v>
      </c>
      <c r="Y2767" s="6">
        <f>1/COUNTIF(Таблица1[Order ID],Таблица1[[#This Row],[Order ID]])</f>
        <v>0.5</v>
      </c>
      <c r="Z2767" s="9">
        <f>1/COUNTIFS(Таблица1[Customer Name],Таблица1[[#This Row],[Customer Name]],Таблица1[Order-Year-Month],Таблица1[[#This Row],[Order-Year-Month]])</f>
        <v>0.5</v>
      </c>
    </row>
    <row r="2768" spans="1:26" x14ac:dyDescent="0.2">
      <c r="A2768" s="6">
        <v>5504</v>
      </c>
      <c r="B2768" s="7">
        <v>39040</v>
      </c>
      <c r="C2768" s="8">
        <f>DATE(2012,12,31)-1320</f>
        <v>39954</v>
      </c>
      <c r="D2768" s="8" t="str">
        <f t="shared" si="53"/>
        <v>2009-05 (май 2009)</v>
      </c>
      <c r="E2768" s="9" t="s">
        <v>78</v>
      </c>
      <c r="F2768" s="7">
        <v>7</v>
      </c>
      <c r="G2768" s="7">
        <v>19.36</v>
      </c>
      <c r="H2768" s="7">
        <v>0.04</v>
      </c>
      <c r="I2768" s="9" t="s">
        <v>56</v>
      </c>
      <c r="J2768" s="10">
        <v>-1</v>
      </c>
      <c r="K2768" s="11">
        <v>1.98</v>
      </c>
      <c r="L2768" s="11">
        <v>0.7</v>
      </c>
      <c r="M2768" s="9" t="s">
        <v>1481</v>
      </c>
      <c r="N2768" s="6" t="s">
        <v>1453</v>
      </c>
      <c r="O2768" s="6" t="s">
        <v>512</v>
      </c>
      <c r="P2768" s="9" t="s">
        <v>41</v>
      </c>
      <c r="Q2768" s="9" t="s">
        <v>26</v>
      </c>
      <c r="R2768" s="9" t="s">
        <v>66</v>
      </c>
      <c r="S2768" s="7" t="s">
        <v>1114</v>
      </c>
      <c r="T2768" s="9" t="s">
        <v>68</v>
      </c>
      <c r="U2768" s="7">
        <v>0.83</v>
      </c>
      <c r="V2768" s="12">
        <f>C2768+1</f>
        <v>39955</v>
      </c>
      <c r="W2768">
        <f>IF(D2768=' Pivot Tables'!$A$4,1,0)</f>
        <v>0</v>
      </c>
      <c r="X2768">
        <f>IF(AND(LEFT(D2768,4)+1=LEFT(' Pivot Tables'!$A$4,4)+0,RIGHT(LEFT(D2768,7),2)=RIGHT(LEFT(' Pivot Tables'!$A$4,7),2)),1,0)</f>
        <v>0</v>
      </c>
      <c r="Y2768" s="6">
        <f>1/COUNTIF(Таблица1[Order ID],Таблица1[[#This Row],[Order ID]])</f>
        <v>0.5</v>
      </c>
      <c r="Z2768" s="9">
        <f>1/COUNTIFS(Таблица1[Customer Name],Таблица1[[#This Row],[Customer Name]],Таблица1[Order-Year-Month],Таблица1[[#This Row],[Order-Year-Month]])</f>
        <v>0.5</v>
      </c>
    </row>
    <row r="2769" spans="1:26" x14ac:dyDescent="0.2">
      <c r="A2769" s="6">
        <v>5761</v>
      </c>
      <c r="B2769" s="7">
        <v>40896</v>
      </c>
      <c r="C2769" s="8">
        <f>DATE(2012,12,31)-486</f>
        <v>40788</v>
      </c>
      <c r="D2769" s="8" t="str">
        <f t="shared" si="53"/>
        <v>2011-09 (сентябрь 2011)</v>
      </c>
      <c r="E2769" s="9" t="s">
        <v>45</v>
      </c>
      <c r="F2769" s="7">
        <v>21</v>
      </c>
      <c r="G2769" s="7">
        <v>155.72999999999999</v>
      </c>
      <c r="H2769" s="7">
        <v>0.03</v>
      </c>
      <c r="I2769" s="9" t="s">
        <v>56</v>
      </c>
      <c r="J2769" s="10">
        <v>42.86</v>
      </c>
      <c r="K2769" s="11">
        <v>7.4</v>
      </c>
      <c r="L2769" s="11">
        <v>1.71</v>
      </c>
      <c r="M2769" s="9" t="s">
        <v>1495</v>
      </c>
      <c r="N2769" s="6" t="s">
        <v>1453</v>
      </c>
      <c r="O2769" s="6" t="s">
        <v>512</v>
      </c>
      <c r="P2769" s="9" t="s">
        <v>41</v>
      </c>
      <c r="Q2769" s="9" t="s">
        <v>26</v>
      </c>
      <c r="R2769" s="9" t="s">
        <v>61</v>
      </c>
      <c r="S2769" s="7" t="s">
        <v>864</v>
      </c>
      <c r="T2769" s="9" t="s">
        <v>68</v>
      </c>
      <c r="U2769" s="7">
        <v>0.4</v>
      </c>
      <c r="V2769" s="12">
        <f>C2769+1</f>
        <v>40789</v>
      </c>
      <c r="W2769">
        <f>IF(D2769=' Pivot Tables'!$A$4,1,0)</f>
        <v>0</v>
      </c>
      <c r="X2769">
        <f>IF(AND(LEFT(D2769,4)+1=LEFT(' Pivot Tables'!$A$4,4)+0,RIGHT(LEFT(D2769,7),2)=RIGHT(LEFT(' Pivot Tables'!$A$4,7),2)),1,0)</f>
        <v>0</v>
      </c>
      <c r="Y2769" s="6">
        <f>1/COUNTIF(Таблица1[Order ID],Таблица1[[#This Row],[Order ID]])</f>
        <v>1</v>
      </c>
      <c r="Z2769" s="9">
        <f>1/COUNTIFS(Таблица1[Customer Name],Таблица1[[#This Row],[Customer Name]],Таблица1[Order-Year-Month],Таблица1[[#This Row],[Order-Year-Month]])</f>
        <v>1</v>
      </c>
    </row>
    <row r="2770" spans="1:26" x14ac:dyDescent="0.2">
      <c r="A2770" s="6">
        <v>5776</v>
      </c>
      <c r="B2770" s="7">
        <v>40994</v>
      </c>
      <c r="C2770" s="8">
        <f>DATE(2012,12,31)-83</f>
        <v>41191</v>
      </c>
      <c r="D2770" s="8" t="str">
        <f t="shared" si="53"/>
        <v>2012-10 (октябрь 2012)</v>
      </c>
      <c r="E2770" s="9" t="s">
        <v>30</v>
      </c>
      <c r="F2770" s="7">
        <v>42</v>
      </c>
      <c r="G2770" s="7">
        <v>793.04</v>
      </c>
      <c r="H2770" s="7">
        <v>0.1</v>
      </c>
      <c r="I2770" s="9" t="s">
        <v>22</v>
      </c>
      <c r="J2770" s="10">
        <v>323.07650000000001</v>
      </c>
      <c r="K2770" s="11">
        <v>20.98</v>
      </c>
      <c r="L2770" s="11">
        <v>1.49</v>
      </c>
      <c r="M2770" s="9" t="s">
        <v>1496</v>
      </c>
      <c r="N2770" s="6" t="s">
        <v>1453</v>
      </c>
      <c r="O2770" s="6" t="s">
        <v>512</v>
      </c>
      <c r="P2770" s="9" t="s">
        <v>25</v>
      </c>
      <c r="Q2770" s="9" t="s">
        <v>26</v>
      </c>
      <c r="R2770" s="9" t="s">
        <v>37</v>
      </c>
      <c r="S2770" s="7" t="s">
        <v>645</v>
      </c>
      <c r="T2770" s="9" t="s">
        <v>39</v>
      </c>
      <c r="U2770" s="7">
        <v>0.35</v>
      </c>
      <c r="V2770" s="12">
        <f>C2770+2</f>
        <v>41193</v>
      </c>
      <c r="W2770">
        <f>IF(D2770=' Pivot Tables'!$A$4,1,0)</f>
        <v>0</v>
      </c>
      <c r="X2770">
        <f>IF(AND(LEFT(D2770,4)+1=LEFT(' Pivot Tables'!$A$4,4)+0,RIGHT(LEFT(D2770,7),2)=RIGHT(LEFT(' Pivot Tables'!$A$4,7),2)),1,0)</f>
        <v>0</v>
      </c>
      <c r="Y2770" s="6">
        <f>1/COUNTIF(Таблица1[Order ID],Таблица1[[#This Row],[Order ID]])</f>
        <v>1</v>
      </c>
      <c r="Z2770" s="9">
        <f>1/COUNTIFS(Таблица1[Customer Name],Таблица1[[#This Row],[Customer Name]],Таблица1[Order-Year-Month],Таблица1[[#This Row],[Order-Year-Month]])</f>
        <v>1</v>
      </c>
    </row>
    <row r="2771" spans="1:26" x14ac:dyDescent="0.2">
      <c r="A2771" s="6">
        <v>5864</v>
      </c>
      <c r="B2771" s="7">
        <v>41607</v>
      </c>
      <c r="C2771" s="8">
        <f>DATE(2012,12,31)-1108</f>
        <v>40166</v>
      </c>
      <c r="D2771" s="8" t="str">
        <f t="shared" si="53"/>
        <v>2009-12 (декабрь 2009)</v>
      </c>
      <c r="E2771" s="9" t="s">
        <v>63</v>
      </c>
      <c r="F2771" s="7">
        <v>36</v>
      </c>
      <c r="G2771" s="7">
        <v>4115.74</v>
      </c>
      <c r="H2771" s="7">
        <v>0.1</v>
      </c>
      <c r="I2771" s="9" t="s">
        <v>22</v>
      </c>
      <c r="J2771" s="10">
        <v>1719.4735000000001</v>
      </c>
      <c r="K2771" s="11">
        <v>120.98</v>
      </c>
      <c r="L2771" s="11">
        <v>9.07</v>
      </c>
      <c r="M2771" s="9" t="s">
        <v>1464</v>
      </c>
      <c r="N2771" s="6" t="s">
        <v>1453</v>
      </c>
      <c r="O2771" s="6" t="s">
        <v>512</v>
      </c>
      <c r="P2771" s="9" t="s">
        <v>41</v>
      </c>
      <c r="Q2771" s="9" t="s">
        <v>26</v>
      </c>
      <c r="R2771" s="9" t="s">
        <v>37</v>
      </c>
      <c r="S2771" s="7" t="s">
        <v>477</v>
      </c>
      <c r="T2771" s="9" t="s">
        <v>39</v>
      </c>
      <c r="U2771" s="7">
        <v>0.35</v>
      </c>
      <c r="V2771" s="12">
        <f>C2771+2</f>
        <v>40168</v>
      </c>
      <c r="W2771">
        <f>IF(D2771=' Pivot Tables'!$A$4,1,0)</f>
        <v>0</v>
      </c>
      <c r="X2771">
        <f>IF(AND(LEFT(D2771,4)+1=LEFT(' Pivot Tables'!$A$4,4)+0,RIGHT(LEFT(D2771,7),2)=RIGHT(LEFT(' Pivot Tables'!$A$4,7),2)),1,0)</f>
        <v>0</v>
      </c>
      <c r="Y2771" s="6">
        <f>1/COUNTIF(Таблица1[Order ID],Таблица1[[#This Row],[Order ID]])</f>
        <v>1</v>
      </c>
      <c r="Z2771" s="9">
        <f>1/COUNTIFS(Таблица1[Customer Name],Таблица1[[#This Row],[Customer Name]],Таблица1[Order-Year-Month],Таблица1[[#This Row],[Order-Year-Month]])</f>
        <v>1</v>
      </c>
    </row>
    <row r="2772" spans="1:26" x14ac:dyDescent="0.2">
      <c r="A2772" s="6">
        <v>5874</v>
      </c>
      <c r="B2772" s="7">
        <v>41666</v>
      </c>
      <c r="C2772" s="8">
        <f>DATE(2012,12,31)-303</f>
        <v>40971</v>
      </c>
      <c r="D2772" s="8" t="str">
        <f t="shared" si="53"/>
        <v>2012-03 (март 2012)</v>
      </c>
      <c r="E2772" s="9" t="s">
        <v>63</v>
      </c>
      <c r="F2772" s="7">
        <v>26</v>
      </c>
      <c r="G2772" s="7">
        <v>596.15599999999995</v>
      </c>
      <c r="H2772" s="7">
        <v>0.1</v>
      </c>
      <c r="I2772" s="9" t="s">
        <v>56</v>
      </c>
      <c r="J2772" s="10">
        <v>-97.921999999999997</v>
      </c>
      <c r="K2772" s="11">
        <v>28.99</v>
      </c>
      <c r="L2772" s="11">
        <v>8.59</v>
      </c>
      <c r="M2772" s="9" t="s">
        <v>1497</v>
      </c>
      <c r="N2772" s="6" t="s">
        <v>1453</v>
      </c>
      <c r="O2772" s="6" t="s">
        <v>512</v>
      </c>
      <c r="P2772" s="9" t="s">
        <v>25</v>
      </c>
      <c r="Q2772" s="9" t="s">
        <v>42</v>
      </c>
      <c r="R2772" s="9" t="s">
        <v>43</v>
      </c>
      <c r="S2772" s="7" t="s">
        <v>508</v>
      </c>
      <c r="T2772" s="9" t="s">
        <v>48</v>
      </c>
      <c r="U2772" s="7">
        <v>0.56000000000000005</v>
      </c>
      <c r="V2772" s="12">
        <f>C2772+1</f>
        <v>40972</v>
      </c>
      <c r="W2772">
        <f>IF(D2772=' Pivot Tables'!$A$4,1,0)</f>
        <v>0</v>
      </c>
      <c r="X2772">
        <f>IF(AND(LEFT(D2772,4)+1=LEFT(' Pivot Tables'!$A$4,4)+0,RIGHT(LEFT(D2772,7),2)=RIGHT(LEFT(' Pivot Tables'!$A$4,7),2)),1,0)</f>
        <v>0</v>
      </c>
      <c r="Y2772" s="6">
        <f>1/COUNTIF(Таблица1[Order ID],Таблица1[[#This Row],[Order ID]])</f>
        <v>1</v>
      </c>
      <c r="Z2772" s="9">
        <f>1/COUNTIFS(Таблица1[Customer Name],Таблица1[[#This Row],[Customer Name]],Таблица1[Order-Year-Month],Таблица1[[#This Row],[Order-Year-Month]])</f>
        <v>1</v>
      </c>
    </row>
    <row r="2773" spans="1:26" x14ac:dyDescent="0.2">
      <c r="A2773" s="6">
        <v>5961</v>
      </c>
      <c r="B2773" s="7">
        <v>42306</v>
      </c>
      <c r="C2773" s="8">
        <f>DATE(2012,12,31)-108</f>
        <v>41166</v>
      </c>
      <c r="D2773" s="8" t="str">
        <f t="shared" si="53"/>
        <v>2012-09 (сентябрь 2012)</v>
      </c>
      <c r="E2773" s="9" t="s">
        <v>30</v>
      </c>
      <c r="F2773" s="7">
        <v>18</v>
      </c>
      <c r="G2773" s="7">
        <v>47.4</v>
      </c>
      <c r="H2773" s="7">
        <v>0.03</v>
      </c>
      <c r="I2773" s="9" t="s">
        <v>22</v>
      </c>
      <c r="J2773" s="10">
        <v>-63.03</v>
      </c>
      <c r="K2773" s="11">
        <v>2.2799999999999998</v>
      </c>
      <c r="L2773" s="11">
        <v>5.2</v>
      </c>
      <c r="M2773" s="9" t="s">
        <v>1498</v>
      </c>
      <c r="N2773" s="6" t="s">
        <v>1453</v>
      </c>
      <c r="O2773" s="6" t="s">
        <v>512</v>
      </c>
      <c r="P2773" s="9" t="s">
        <v>33</v>
      </c>
      <c r="Q2773" s="9" t="s">
        <v>26</v>
      </c>
      <c r="R2773" s="9" t="s">
        <v>95</v>
      </c>
      <c r="S2773" s="7" t="s">
        <v>1499</v>
      </c>
      <c r="T2773" s="9" t="s">
        <v>68</v>
      </c>
      <c r="U2773" s="7">
        <v>0.41</v>
      </c>
      <c r="V2773" s="12">
        <f>C2773+2</f>
        <v>41168</v>
      </c>
      <c r="W2773">
        <f>IF(D2773=' Pivot Tables'!$A$4,1,0)</f>
        <v>0</v>
      </c>
      <c r="X2773">
        <f>IF(AND(LEFT(D2773,4)+1=LEFT(' Pivot Tables'!$A$4,4)+0,RIGHT(LEFT(D2773,7),2)=RIGHT(LEFT(' Pivot Tables'!$A$4,7),2)),1,0)</f>
        <v>0</v>
      </c>
      <c r="Y2773" s="6">
        <f>1/COUNTIF(Таблица1[Order ID],Таблица1[[#This Row],[Order ID]])</f>
        <v>0.33333333333333331</v>
      </c>
      <c r="Z2773" s="9">
        <f>1/COUNTIFS(Таблица1[Customer Name],Таблица1[[#This Row],[Customer Name]],Таблица1[Order-Year-Month],Таблица1[[#This Row],[Order-Year-Month]])</f>
        <v>0.33333333333333331</v>
      </c>
    </row>
    <row r="2774" spans="1:26" x14ac:dyDescent="0.2">
      <c r="A2774" s="6">
        <v>5994</v>
      </c>
      <c r="B2774" s="7">
        <v>42469</v>
      </c>
      <c r="C2774" s="8">
        <f>DATE(2012,12,31)-53</f>
        <v>41221</v>
      </c>
      <c r="D2774" s="8" t="str">
        <f t="shared" si="53"/>
        <v>2012-11 (ноябрь 2012)</v>
      </c>
      <c r="E2774" s="9" t="s">
        <v>45</v>
      </c>
      <c r="F2774" s="7">
        <v>31</v>
      </c>
      <c r="G2774" s="7">
        <v>934.87</v>
      </c>
      <c r="H2774" s="7">
        <v>0.09</v>
      </c>
      <c r="I2774" s="9" t="s">
        <v>22</v>
      </c>
      <c r="J2774" s="10">
        <v>98.6935</v>
      </c>
      <c r="K2774" s="11">
        <v>31.74</v>
      </c>
      <c r="L2774" s="11">
        <v>12.62</v>
      </c>
      <c r="M2774" s="9" t="s">
        <v>1500</v>
      </c>
      <c r="N2774" s="6" t="s">
        <v>1453</v>
      </c>
      <c r="O2774" s="6" t="s">
        <v>512</v>
      </c>
      <c r="P2774" s="9" t="s">
        <v>33</v>
      </c>
      <c r="Q2774" s="9" t="s">
        <v>26</v>
      </c>
      <c r="R2774" s="9" t="s">
        <v>37</v>
      </c>
      <c r="S2774" s="7" t="s">
        <v>1223</v>
      </c>
      <c r="T2774" s="9" t="s">
        <v>39</v>
      </c>
      <c r="U2774" s="7">
        <v>0.37</v>
      </c>
      <c r="V2774" s="12">
        <f>C2774+1</f>
        <v>41222</v>
      </c>
      <c r="W2774">
        <f>IF(D2774=' Pivot Tables'!$A$4,1,0)</f>
        <v>0</v>
      </c>
      <c r="X2774">
        <f>IF(AND(LEFT(D2774,4)+1=LEFT(' Pivot Tables'!$A$4,4)+0,RIGHT(LEFT(D2774,7),2)=RIGHT(LEFT(' Pivot Tables'!$A$4,7),2)),1,0)</f>
        <v>0</v>
      </c>
      <c r="Y2774" s="6">
        <f>1/COUNTIF(Таблица1[Order ID],Таблица1[[#This Row],[Order ID]])</f>
        <v>0.5</v>
      </c>
      <c r="Z2774" s="9">
        <f>1/COUNTIFS(Таблица1[Customer Name],Таблица1[[#This Row],[Customer Name]],Таблица1[Order-Year-Month],Таблица1[[#This Row],[Order-Year-Month]])</f>
        <v>0.25</v>
      </c>
    </row>
    <row r="2775" spans="1:26" x14ac:dyDescent="0.2">
      <c r="A2775" s="6">
        <v>6002</v>
      </c>
      <c r="B2775" s="7">
        <v>42528</v>
      </c>
      <c r="C2775" s="8">
        <f>DATE(2012,12,31)-1042</f>
        <v>40232</v>
      </c>
      <c r="D2775" s="8" t="str">
        <f t="shared" si="53"/>
        <v>2010-02 (февраль 2010)</v>
      </c>
      <c r="E2775" s="9" t="s">
        <v>63</v>
      </c>
      <c r="F2775" s="7">
        <v>46</v>
      </c>
      <c r="G2775" s="7">
        <v>161.28</v>
      </c>
      <c r="H2775" s="7">
        <v>0.01</v>
      </c>
      <c r="I2775" s="9" t="s">
        <v>22</v>
      </c>
      <c r="J2775" s="10">
        <v>56.73</v>
      </c>
      <c r="K2775" s="11">
        <v>3.49</v>
      </c>
      <c r="L2775" s="11">
        <v>0.76</v>
      </c>
      <c r="M2775" s="9" t="s">
        <v>1501</v>
      </c>
      <c r="N2775" s="6" t="s">
        <v>1453</v>
      </c>
      <c r="O2775" s="6" t="s">
        <v>512</v>
      </c>
      <c r="P2775" s="9" t="s">
        <v>33</v>
      </c>
      <c r="Q2775" s="9" t="s">
        <v>26</v>
      </c>
      <c r="R2775" s="9" t="s">
        <v>66</v>
      </c>
      <c r="S2775" s="7" t="s">
        <v>1258</v>
      </c>
      <c r="T2775" s="9" t="s">
        <v>68</v>
      </c>
      <c r="U2775" s="7">
        <v>0.39</v>
      </c>
      <c r="V2775" s="12">
        <f>C2775+2</f>
        <v>40234</v>
      </c>
      <c r="W2775">
        <f>IF(D2775=' Pivot Tables'!$A$4,1,0)</f>
        <v>0</v>
      </c>
      <c r="X2775">
        <f>IF(AND(LEFT(D2775,4)+1=LEFT(' Pivot Tables'!$A$4,4)+0,RIGHT(LEFT(D2775,7),2)=RIGHT(LEFT(' Pivot Tables'!$A$4,7),2)),1,0)</f>
        <v>0</v>
      </c>
      <c r="Y2775" s="6">
        <f>1/COUNTIF(Таблица1[Order ID],Таблица1[[#This Row],[Order ID]])</f>
        <v>0.2</v>
      </c>
      <c r="Z2775" s="9">
        <f>1/COUNTIFS(Таблица1[Customer Name],Таблица1[[#This Row],[Customer Name]],Таблица1[Order-Year-Month],Таблица1[[#This Row],[Order-Year-Month]])</f>
        <v>0.2</v>
      </c>
    </row>
    <row r="2776" spans="1:26" x14ac:dyDescent="0.2">
      <c r="A2776" s="6">
        <v>6049</v>
      </c>
      <c r="B2776" s="7">
        <v>42884</v>
      </c>
      <c r="C2776" s="8">
        <f>DATE(2012,12,31)-1025</f>
        <v>40249</v>
      </c>
      <c r="D2776" s="8" t="str">
        <f t="shared" si="53"/>
        <v>2010-03 (март 2010)</v>
      </c>
      <c r="E2776" s="9" t="s">
        <v>45</v>
      </c>
      <c r="F2776" s="7">
        <v>29</v>
      </c>
      <c r="G2776" s="7">
        <v>12098.87</v>
      </c>
      <c r="H2776" s="7">
        <v>0.04</v>
      </c>
      <c r="I2776" s="9" t="s">
        <v>31</v>
      </c>
      <c r="J2776" s="10">
        <v>-969.0483660000001</v>
      </c>
      <c r="K2776" s="11">
        <v>400.98</v>
      </c>
      <c r="L2776" s="11">
        <v>42.52</v>
      </c>
      <c r="M2776" s="9" t="s">
        <v>1500</v>
      </c>
      <c r="N2776" s="6" t="s">
        <v>1453</v>
      </c>
      <c r="O2776" s="6" t="s">
        <v>512</v>
      </c>
      <c r="P2776" s="9" t="s">
        <v>33</v>
      </c>
      <c r="Q2776" s="9" t="s">
        <v>49</v>
      </c>
      <c r="R2776" s="9" t="s">
        <v>83</v>
      </c>
      <c r="S2776" s="7" t="s">
        <v>1136</v>
      </c>
      <c r="T2776" s="9" t="s">
        <v>82</v>
      </c>
      <c r="U2776" s="7">
        <v>0.71</v>
      </c>
      <c r="V2776" s="12">
        <f>C2776+0</f>
        <v>40249</v>
      </c>
      <c r="W2776">
        <f>IF(D2776=' Pivot Tables'!$A$4,1,0)</f>
        <v>0</v>
      </c>
      <c r="X2776">
        <f>IF(AND(LEFT(D2776,4)+1=LEFT(' Pivot Tables'!$A$4,4)+0,RIGHT(LEFT(D2776,7),2)=RIGHT(LEFT(' Pivot Tables'!$A$4,7),2)),1,0)</f>
        <v>0</v>
      </c>
      <c r="Y2776" s="6">
        <f>1/COUNTIF(Таблица1[Order ID],Таблица1[[#This Row],[Order ID]])</f>
        <v>1</v>
      </c>
      <c r="Z2776" s="9">
        <f>1/COUNTIFS(Таблица1[Customer Name],Таблица1[[#This Row],[Customer Name]],Таблица1[Order-Year-Month],Таблица1[[#This Row],[Order-Year-Month]])</f>
        <v>0.5</v>
      </c>
    </row>
    <row r="2777" spans="1:26" x14ac:dyDescent="0.2">
      <c r="A2777" s="6">
        <v>6116</v>
      </c>
      <c r="B2777" s="7">
        <v>43302</v>
      </c>
      <c r="C2777" s="8">
        <f>DATE(2012,12,31)-496</f>
        <v>40778</v>
      </c>
      <c r="D2777" s="8" t="str">
        <f t="shared" si="53"/>
        <v>2011-08 (август 2011)</v>
      </c>
      <c r="E2777" s="9" t="s">
        <v>21</v>
      </c>
      <c r="F2777" s="7">
        <v>4</v>
      </c>
      <c r="G2777" s="7">
        <v>8.8699999999999992</v>
      </c>
      <c r="H2777" s="7">
        <v>0.09</v>
      </c>
      <c r="I2777" s="9" t="s">
        <v>22</v>
      </c>
      <c r="J2777" s="10">
        <v>-5.14</v>
      </c>
      <c r="K2777" s="11">
        <v>1.95</v>
      </c>
      <c r="L2777" s="11">
        <v>1.63</v>
      </c>
      <c r="M2777" s="9" t="s">
        <v>1484</v>
      </c>
      <c r="N2777" s="6" t="s">
        <v>1453</v>
      </c>
      <c r="O2777" s="6" t="s">
        <v>512</v>
      </c>
      <c r="P2777" s="9" t="s">
        <v>41</v>
      </c>
      <c r="Q2777" s="9" t="s">
        <v>26</v>
      </c>
      <c r="R2777" s="9" t="s">
        <v>95</v>
      </c>
      <c r="S2777" s="7" t="s">
        <v>1502</v>
      </c>
      <c r="T2777" s="9" t="s">
        <v>68</v>
      </c>
      <c r="U2777" s="7">
        <v>0.46</v>
      </c>
      <c r="V2777" s="12">
        <f>C2777+9</f>
        <v>40787</v>
      </c>
      <c r="W2777">
        <f>IF(D2777=' Pivot Tables'!$A$4,1,0)</f>
        <v>0</v>
      </c>
      <c r="X2777">
        <f>IF(AND(LEFT(D2777,4)+1=LEFT(' Pivot Tables'!$A$4,4)+0,RIGHT(LEFT(D2777,7),2)=RIGHT(LEFT(' Pivot Tables'!$A$4,7),2)),1,0)</f>
        <v>0</v>
      </c>
      <c r="Y2777" s="6">
        <f>1/COUNTIF(Таблица1[Order ID],Таблица1[[#This Row],[Order ID]])</f>
        <v>0.33333333333333331</v>
      </c>
      <c r="Z2777" s="9">
        <f>1/COUNTIFS(Таблица1[Customer Name],Таблица1[[#This Row],[Customer Name]],Таблица1[Order-Year-Month],Таблица1[[#This Row],[Order-Year-Month]])</f>
        <v>0.33333333333333331</v>
      </c>
    </row>
    <row r="2778" spans="1:26" x14ac:dyDescent="0.2">
      <c r="A2778" s="6">
        <v>6137</v>
      </c>
      <c r="B2778" s="7">
        <v>43460</v>
      </c>
      <c r="C2778" s="8">
        <f>DATE(2012,12,31)-203</f>
        <v>41071</v>
      </c>
      <c r="D2778" s="8" t="str">
        <f t="shared" si="53"/>
        <v>2012-06 (июнь 2012)</v>
      </c>
      <c r="E2778" s="9" t="s">
        <v>63</v>
      </c>
      <c r="F2778" s="7">
        <v>2</v>
      </c>
      <c r="G2778" s="7">
        <v>25.09</v>
      </c>
      <c r="H2778" s="7">
        <v>7.0000000000000007E-2</v>
      </c>
      <c r="I2778" s="9" t="s">
        <v>22</v>
      </c>
      <c r="J2778" s="10">
        <v>-17.594999999999999</v>
      </c>
      <c r="K2778" s="11">
        <v>8.0399999999999991</v>
      </c>
      <c r="L2778" s="11">
        <v>8.94</v>
      </c>
      <c r="M2778" s="9" t="s">
        <v>1481</v>
      </c>
      <c r="N2778" s="6" t="s">
        <v>1453</v>
      </c>
      <c r="O2778" s="6" t="s">
        <v>512</v>
      </c>
      <c r="P2778" s="9" t="s">
        <v>41</v>
      </c>
      <c r="Q2778" s="9" t="s">
        <v>26</v>
      </c>
      <c r="R2778" s="9" t="s">
        <v>37</v>
      </c>
      <c r="S2778" s="7" t="s">
        <v>529</v>
      </c>
      <c r="T2778" s="9" t="s">
        <v>39</v>
      </c>
      <c r="U2778" s="7">
        <v>0.4</v>
      </c>
      <c r="V2778" s="12">
        <f>C2778+1</f>
        <v>41072</v>
      </c>
      <c r="W2778">
        <f>IF(D2778=' Pivot Tables'!$A$4,1,0)</f>
        <v>0</v>
      </c>
      <c r="X2778">
        <f>IF(AND(LEFT(D2778,4)+1=LEFT(' Pivot Tables'!$A$4,4)+0,RIGHT(LEFT(D2778,7),2)=RIGHT(LEFT(' Pivot Tables'!$A$4,7),2)),1,0)</f>
        <v>0</v>
      </c>
      <c r="Y2778" s="6">
        <f>1/COUNTIF(Таблица1[Order ID],Таблица1[[#This Row],[Order ID]])</f>
        <v>1</v>
      </c>
      <c r="Z2778" s="9">
        <f>1/COUNTIFS(Таблица1[Customer Name],Таблица1[[#This Row],[Customer Name]],Таблица1[Order-Year-Month],Таблица1[[#This Row],[Order-Year-Month]])</f>
        <v>1</v>
      </c>
    </row>
    <row r="2779" spans="1:26" x14ac:dyDescent="0.2">
      <c r="A2779" s="6">
        <v>6206</v>
      </c>
      <c r="B2779" s="7">
        <v>43972</v>
      </c>
      <c r="C2779" s="8">
        <f>DATE(2012,12,31)-1021</f>
        <v>40253</v>
      </c>
      <c r="D2779" s="8" t="str">
        <f t="shared" si="53"/>
        <v>2010-03 (март 2010)</v>
      </c>
      <c r="E2779" s="9" t="s">
        <v>21</v>
      </c>
      <c r="F2779" s="7">
        <v>12</v>
      </c>
      <c r="G2779" s="7">
        <v>714.39099999999996</v>
      </c>
      <c r="H2779" s="7">
        <v>0</v>
      </c>
      <c r="I2779" s="9" t="s">
        <v>22</v>
      </c>
      <c r="J2779" s="10">
        <v>-62.325999999999993</v>
      </c>
      <c r="K2779" s="11">
        <v>65.989999999999995</v>
      </c>
      <c r="L2779" s="11">
        <v>8.99</v>
      </c>
      <c r="M2779" s="9" t="s">
        <v>1503</v>
      </c>
      <c r="N2779" s="6" t="s">
        <v>1453</v>
      </c>
      <c r="O2779" s="6" t="s">
        <v>512</v>
      </c>
      <c r="P2779" s="9" t="s">
        <v>33</v>
      </c>
      <c r="Q2779" s="9" t="s">
        <v>42</v>
      </c>
      <c r="R2779" s="9" t="s">
        <v>43</v>
      </c>
      <c r="S2779" s="7" t="s">
        <v>429</v>
      </c>
      <c r="T2779" s="9" t="s">
        <v>39</v>
      </c>
      <c r="U2779" s="7">
        <v>0.57999999999999996</v>
      </c>
      <c r="V2779" s="12">
        <f>C2779+2</f>
        <v>40255</v>
      </c>
      <c r="W2779">
        <f>IF(D2779=' Pivot Tables'!$A$4,1,0)</f>
        <v>0</v>
      </c>
      <c r="X2779">
        <f>IF(AND(LEFT(D2779,4)+1=LEFT(' Pivot Tables'!$A$4,4)+0,RIGHT(LEFT(D2779,7),2)=RIGHT(LEFT(' Pivot Tables'!$A$4,7),2)),1,0)</f>
        <v>0</v>
      </c>
      <c r="Y2779" s="6">
        <f>1/COUNTIF(Таблица1[Order ID],Таблица1[[#This Row],[Order ID]])</f>
        <v>1</v>
      </c>
      <c r="Z2779" s="9">
        <f>1/COUNTIFS(Таблица1[Customer Name],Таблица1[[#This Row],[Customer Name]],Таблица1[Order-Year-Month],Таблица1[[#This Row],[Order-Year-Month]])</f>
        <v>1</v>
      </c>
    </row>
    <row r="2780" spans="1:26" x14ac:dyDescent="0.2">
      <c r="A2780" s="6">
        <v>6211</v>
      </c>
      <c r="B2780" s="7">
        <v>44000</v>
      </c>
      <c r="C2780" s="8">
        <f>DATE(2012,12,31)-88</f>
        <v>41186</v>
      </c>
      <c r="D2780" s="8" t="str">
        <f t="shared" si="53"/>
        <v>2012-10 (октябрь 2012)</v>
      </c>
      <c r="E2780" s="9" t="s">
        <v>45</v>
      </c>
      <c r="F2780" s="7">
        <v>15</v>
      </c>
      <c r="G2780" s="7">
        <v>502.8</v>
      </c>
      <c r="H2780" s="7">
        <v>0</v>
      </c>
      <c r="I2780" s="9" t="s">
        <v>22</v>
      </c>
      <c r="J2780" s="10">
        <v>-19.100000000000001</v>
      </c>
      <c r="K2780" s="11">
        <v>30.98</v>
      </c>
      <c r="L2780" s="11">
        <v>19.510000000000002</v>
      </c>
      <c r="M2780" s="9" t="s">
        <v>1475</v>
      </c>
      <c r="N2780" s="6" t="s">
        <v>1453</v>
      </c>
      <c r="O2780" s="6" t="s">
        <v>512</v>
      </c>
      <c r="P2780" s="9" t="s">
        <v>25</v>
      </c>
      <c r="Q2780" s="9" t="s">
        <v>26</v>
      </c>
      <c r="R2780" s="9" t="s">
        <v>76</v>
      </c>
      <c r="S2780" s="7" t="s">
        <v>1504</v>
      </c>
      <c r="T2780" s="9" t="s">
        <v>39</v>
      </c>
      <c r="U2780" s="7">
        <v>0.36</v>
      </c>
      <c r="V2780" s="12">
        <f>C2780+0</f>
        <v>41186</v>
      </c>
      <c r="W2780">
        <f>IF(D2780=' Pivot Tables'!$A$4,1,0)</f>
        <v>0</v>
      </c>
      <c r="X2780">
        <f>IF(AND(LEFT(D2780,4)+1=LEFT(' Pivot Tables'!$A$4,4)+0,RIGHT(LEFT(D2780,7),2)=RIGHT(LEFT(' Pivot Tables'!$A$4,7),2)),1,0)</f>
        <v>0</v>
      </c>
      <c r="Y2780" s="6">
        <f>1/COUNTIF(Таблица1[Order ID],Таблица1[[#This Row],[Order ID]])</f>
        <v>0.25</v>
      </c>
      <c r="Z2780" s="9">
        <f>1/COUNTIFS(Таблица1[Customer Name],Таблица1[[#This Row],[Customer Name]],Таблица1[Order-Year-Month],Таблица1[[#This Row],[Order-Year-Month]])</f>
        <v>0.25</v>
      </c>
    </row>
    <row r="2781" spans="1:26" x14ac:dyDescent="0.2">
      <c r="A2781" s="6">
        <v>6488</v>
      </c>
      <c r="B2781" s="7">
        <v>46177</v>
      </c>
      <c r="C2781" s="8">
        <f>DATE(2012,12,31)-757</f>
        <v>40517</v>
      </c>
      <c r="D2781" s="8" t="str">
        <f t="shared" si="53"/>
        <v>2010-12 (декабрь 2010)</v>
      </c>
      <c r="E2781" s="9" t="s">
        <v>21</v>
      </c>
      <c r="F2781" s="7">
        <v>33</v>
      </c>
      <c r="G2781" s="7">
        <v>468.46</v>
      </c>
      <c r="H2781" s="7">
        <v>0.01</v>
      </c>
      <c r="I2781" s="9" t="s">
        <v>22</v>
      </c>
      <c r="J2781" s="10">
        <v>-292.7</v>
      </c>
      <c r="K2781" s="11">
        <v>12.99</v>
      </c>
      <c r="L2781" s="11">
        <v>14.37</v>
      </c>
      <c r="M2781" s="9" t="s">
        <v>815</v>
      </c>
      <c r="N2781" s="6" t="s">
        <v>1453</v>
      </c>
      <c r="O2781" s="6" t="s">
        <v>512</v>
      </c>
      <c r="P2781" s="9" t="s">
        <v>41</v>
      </c>
      <c r="Q2781" s="9" t="s">
        <v>49</v>
      </c>
      <c r="R2781" s="9" t="s">
        <v>50</v>
      </c>
      <c r="S2781" s="7" t="s">
        <v>1129</v>
      </c>
      <c r="T2781" s="9" t="s">
        <v>29</v>
      </c>
      <c r="U2781" s="7">
        <v>0.73</v>
      </c>
      <c r="V2781" s="12">
        <f>C2781+0</f>
        <v>40517</v>
      </c>
      <c r="W2781">
        <f>IF(D2781=' Pivot Tables'!$A$4,1,0)</f>
        <v>0</v>
      </c>
      <c r="X2781">
        <f>IF(AND(LEFT(D2781,4)+1=LEFT(' Pivot Tables'!$A$4,4)+0,RIGHT(LEFT(D2781,7),2)=RIGHT(LEFT(' Pivot Tables'!$A$4,7),2)),1,0)</f>
        <v>0</v>
      </c>
      <c r="Y2781" s="6">
        <f>1/COUNTIF(Таблица1[Order ID],Таблица1[[#This Row],[Order ID]])</f>
        <v>0.33333333333333331</v>
      </c>
      <c r="Z2781" s="9">
        <f>1/COUNTIFS(Таблица1[Customer Name],Таблица1[[#This Row],[Customer Name]],Таблица1[Order-Year-Month],Таблица1[[#This Row],[Order-Year-Month]])</f>
        <v>0.33333333333333331</v>
      </c>
    </row>
    <row r="2782" spans="1:26" x14ac:dyDescent="0.2">
      <c r="A2782" s="6">
        <v>6773</v>
      </c>
      <c r="B2782" s="7">
        <v>48226</v>
      </c>
      <c r="C2782" s="8">
        <f>DATE(2012,12,31)-1455</f>
        <v>39819</v>
      </c>
      <c r="D2782" s="8" t="str">
        <f t="shared" si="53"/>
        <v>2009-01 (январь 2009)</v>
      </c>
      <c r="E2782" s="9" t="s">
        <v>21</v>
      </c>
      <c r="F2782" s="7">
        <v>23</v>
      </c>
      <c r="G2782" s="7">
        <v>2357.4499999999998</v>
      </c>
      <c r="H2782" s="7">
        <v>0.02</v>
      </c>
      <c r="I2782" s="9" t="s">
        <v>31</v>
      </c>
      <c r="J2782" s="10">
        <v>-108.8</v>
      </c>
      <c r="K2782" s="11">
        <v>100.98</v>
      </c>
      <c r="L2782" s="11">
        <v>35.840000000000003</v>
      </c>
      <c r="M2782" s="9" t="s">
        <v>1497</v>
      </c>
      <c r="N2782" s="6" t="s">
        <v>1453</v>
      </c>
      <c r="O2782" s="6" t="s">
        <v>512</v>
      </c>
      <c r="P2782" s="9" t="s">
        <v>25</v>
      </c>
      <c r="Q2782" s="9" t="s">
        <v>49</v>
      </c>
      <c r="R2782" s="9" t="s">
        <v>80</v>
      </c>
      <c r="S2782" s="7" t="s">
        <v>705</v>
      </c>
      <c r="T2782" s="9" t="s">
        <v>82</v>
      </c>
      <c r="U2782" s="7">
        <v>0.62</v>
      </c>
      <c r="V2782" s="12">
        <f>C2782+0</f>
        <v>39819</v>
      </c>
      <c r="W2782">
        <f>IF(D2782=' Pivot Tables'!$A$4,1,0)</f>
        <v>0</v>
      </c>
      <c r="X2782">
        <f>IF(AND(LEFT(D2782,4)+1=LEFT(' Pivot Tables'!$A$4,4)+0,RIGHT(LEFT(D2782,7),2)=RIGHT(LEFT(' Pivot Tables'!$A$4,7),2)),1,0)</f>
        <v>1</v>
      </c>
      <c r="Y2782" s="6">
        <f>1/COUNTIF(Таблица1[Order ID],Таблица1[[#This Row],[Order ID]])</f>
        <v>1</v>
      </c>
      <c r="Z2782" s="9">
        <f>1/COUNTIFS(Таблица1[Customer Name],Таблица1[[#This Row],[Customer Name]],Таблица1[Order-Year-Month],Таблица1[[#This Row],[Order-Year-Month]])</f>
        <v>1</v>
      </c>
    </row>
    <row r="2783" spans="1:26" x14ac:dyDescent="0.2">
      <c r="A2783" s="6">
        <v>6803</v>
      </c>
      <c r="B2783" s="7">
        <v>48455</v>
      </c>
      <c r="C2783" s="8">
        <f>DATE(2012,12,31)-1308</f>
        <v>39966</v>
      </c>
      <c r="D2783" s="8" t="str">
        <f t="shared" si="53"/>
        <v>2009-06 (июнь 2009)</v>
      </c>
      <c r="E2783" s="9" t="s">
        <v>78</v>
      </c>
      <c r="F2783" s="7">
        <v>34</v>
      </c>
      <c r="G2783" s="7">
        <v>817.53</v>
      </c>
      <c r="H2783" s="7">
        <v>0.03</v>
      </c>
      <c r="I2783" s="9" t="s">
        <v>22</v>
      </c>
      <c r="J2783" s="10">
        <v>76.63</v>
      </c>
      <c r="K2783" s="11">
        <v>22.84</v>
      </c>
      <c r="L2783" s="11">
        <v>11.54</v>
      </c>
      <c r="M2783" s="9" t="s">
        <v>1361</v>
      </c>
      <c r="N2783" s="6" t="s">
        <v>1453</v>
      </c>
      <c r="O2783" s="6" t="s">
        <v>512</v>
      </c>
      <c r="P2783" s="9" t="s">
        <v>25</v>
      </c>
      <c r="Q2783" s="9" t="s">
        <v>26</v>
      </c>
      <c r="R2783" s="9" t="s">
        <v>61</v>
      </c>
      <c r="S2783" s="7" t="s">
        <v>1505</v>
      </c>
      <c r="T2783" s="9" t="s">
        <v>39</v>
      </c>
      <c r="U2783" s="7">
        <v>0.39</v>
      </c>
      <c r="V2783" s="12">
        <f>C2783+1</f>
        <v>39967</v>
      </c>
      <c r="W2783">
        <f>IF(D2783=' Pivot Tables'!$A$4,1,0)</f>
        <v>0</v>
      </c>
      <c r="X2783">
        <f>IF(AND(LEFT(D2783,4)+1=LEFT(' Pivot Tables'!$A$4,4)+0,RIGHT(LEFT(D2783,7),2)=RIGHT(LEFT(' Pivot Tables'!$A$4,7),2)),1,0)</f>
        <v>0</v>
      </c>
      <c r="Y2783" s="6">
        <f>1/COUNTIF(Таблица1[Order ID],Таблица1[[#This Row],[Order ID]])</f>
        <v>0.33333333333333331</v>
      </c>
      <c r="Z2783" s="9">
        <f>1/COUNTIFS(Таблица1[Customer Name],Таблица1[[#This Row],[Customer Name]],Таблица1[Order-Year-Month],Таблица1[[#This Row],[Order-Year-Month]])</f>
        <v>0.33333333333333331</v>
      </c>
    </row>
    <row r="2784" spans="1:26" x14ac:dyDescent="0.2">
      <c r="A2784" s="6">
        <v>6866</v>
      </c>
      <c r="B2784" s="7">
        <v>48929</v>
      </c>
      <c r="C2784" s="8">
        <f>DATE(2012,12,31)-1166</f>
        <v>40108</v>
      </c>
      <c r="D2784" s="8" t="str">
        <f t="shared" si="53"/>
        <v>2009-10 (октябрь 2009)</v>
      </c>
      <c r="E2784" s="9" t="s">
        <v>30</v>
      </c>
      <c r="F2784" s="7">
        <v>1</v>
      </c>
      <c r="G2784" s="7">
        <v>55.43</v>
      </c>
      <c r="H2784" s="7">
        <v>0.01</v>
      </c>
      <c r="I2784" s="9" t="s">
        <v>22</v>
      </c>
      <c r="J2784" s="10">
        <v>-48.91</v>
      </c>
      <c r="K2784" s="11">
        <v>35.44</v>
      </c>
      <c r="L2784" s="11">
        <v>19.989999999999998</v>
      </c>
      <c r="M2784" s="9" t="s">
        <v>1506</v>
      </c>
      <c r="N2784" s="6" t="s">
        <v>1453</v>
      </c>
      <c r="O2784" s="6" t="s">
        <v>512</v>
      </c>
      <c r="P2784" s="9" t="s">
        <v>25</v>
      </c>
      <c r="Q2784" s="9" t="s">
        <v>26</v>
      </c>
      <c r="R2784" s="9" t="s">
        <v>61</v>
      </c>
      <c r="S2784" s="7" t="s">
        <v>1507</v>
      </c>
      <c r="T2784" s="9" t="s">
        <v>39</v>
      </c>
      <c r="U2784" s="7">
        <v>0.38</v>
      </c>
      <c r="V2784" s="12">
        <f>C2784+1</f>
        <v>40109</v>
      </c>
      <c r="W2784">
        <f>IF(D2784=' Pivot Tables'!$A$4,1,0)</f>
        <v>0</v>
      </c>
      <c r="X2784">
        <f>IF(AND(LEFT(D2784,4)+1=LEFT(' Pivot Tables'!$A$4,4)+0,RIGHT(LEFT(D2784,7),2)=RIGHT(LEFT(' Pivot Tables'!$A$4,7),2)),1,0)</f>
        <v>0</v>
      </c>
      <c r="Y2784" s="6">
        <f>1/COUNTIF(Таблица1[Order ID],Таблица1[[#This Row],[Order ID]])</f>
        <v>0.5</v>
      </c>
      <c r="Z2784" s="9">
        <f>1/COUNTIFS(Таблица1[Customer Name],Таблица1[[#This Row],[Customer Name]],Таблица1[Order-Year-Month],Таблица1[[#This Row],[Order-Year-Month]])</f>
        <v>0.5</v>
      </c>
    </row>
    <row r="2785" spans="1:26" x14ac:dyDescent="0.2">
      <c r="A2785" s="6">
        <v>6875</v>
      </c>
      <c r="B2785" s="7">
        <v>48994</v>
      </c>
      <c r="C2785" s="8">
        <f>DATE(2012,12,31)-801</f>
        <v>40473</v>
      </c>
      <c r="D2785" s="8" t="str">
        <f t="shared" si="53"/>
        <v>2010-10 (октябрь 2010)</v>
      </c>
      <c r="E2785" s="9" t="s">
        <v>45</v>
      </c>
      <c r="F2785" s="7">
        <v>6</v>
      </c>
      <c r="G2785" s="7">
        <v>1086.3900000000001</v>
      </c>
      <c r="H2785" s="7">
        <v>0.03</v>
      </c>
      <c r="I2785" s="9" t="s">
        <v>22</v>
      </c>
      <c r="J2785" s="10">
        <v>-311.23</v>
      </c>
      <c r="K2785" s="11">
        <v>167.27</v>
      </c>
      <c r="L2785" s="11">
        <v>35</v>
      </c>
      <c r="M2785" s="9" t="s">
        <v>1488</v>
      </c>
      <c r="N2785" s="6" t="s">
        <v>1453</v>
      </c>
      <c r="O2785" s="6" t="s">
        <v>512</v>
      </c>
      <c r="P2785" s="9" t="s">
        <v>33</v>
      </c>
      <c r="Q2785" s="9" t="s">
        <v>26</v>
      </c>
      <c r="R2785" s="9" t="s">
        <v>27</v>
      </c>
      <c r="S2785" s="7" t="s">
        <v>978</v>
      </c>
      <c r="T2785" s="9" t="s">
        <v>29</v>
      </c>
      <c r="U2785" s="7">
        <v>0.85</v>
      </c>
      <c r="V2785" s="12">
        <f>C2785+2</f>
        <v>40475</v>
      </c>
      <c r="W2785">
        <f>IF(D2785=' Pivot Tables'!$A$4,1,0)</f>
        <v>0</v>
      </c>
      <c r="X2785">
        <f>IF(AND(LEFT(D2785,4)+1=LEFT(' Pivot Tables'!$A$4,4)+0,RIGHT(LEFT(D2785,7),2)=RIGHT(LEFT(' Pivot Tables'!$A$4,7),2)),1,0)</f>
        <v>0</v>
      </c>
      <c r="Y2785" s="6">
        <f>1/COUNTIF(Таблица1[Order ID],Таблица1[[#This Row],[Order ID]])</f>
        <v>1</v>
      </c>
      <c r="Z2785" s="9">
        <f>1/COUNTIFS(Таблица1[Customer Name],Таблица1[[#This Row],[Customer Name]],Таблица1[Order-Year-Month],Таблица1[[#This Row],[Order-Year-Month]])</f>
        <v>1</v>
      </c>
    </row>
    <row r="2786" spans="1:26" x14ac:dyDescent="0.2">
      <c r="A2786" s="6">
        <v>7164</v>
      </c>
      <c r="B2786" s="7">
        <v>51111</v>
      </c>
      <c r="C2786" s="8">
        <f>DATE(2012,12,31)-326</f>
        <v>40948</v>
      </c>
      <c r="D2786" s="8" t="str">
        <f t="shared" si="53"/>
        <v>2012-02 (февраль 2012)</v>
      </c>
      <c r="E2786" s="9" t="s">
        <v>45</v>
      </c>
      <c r="F2786" s="7">
        <v>1</v>
      </c>
      <c r="G2786" s="7">
        <v>61.097999999999992</v>
      </c>
      <c r="H2786" s="7">
        <v>0.02</v>
      </c>
      <c r="I2786" s="9" t="s">
        <v>22</v>
      </c>
      <c r="J2786" s="10">
        <v>-257.71899999999999</v>
      </c>
      <c r="K2786" s="11">
        <v>65.989999999999995</v>
      </c>
      <c r="L2786" s="11">
        <v>5.92</v>
      </c>
      <c r="M2786" s="9" t="s">
        <v>1508</v>
      </c>
      <c r="N2786" s="6" t="s">
        <v>1453</v>
      </c>
      <c r="O2786" s="6" t="s">
        <v>512</v>
      </c>
      <c r="P2786" s="9" t="s">
        <v>60</v>
      </c>
      <c r="Q2786" s="9" t="s">
        <v>42</v>
      </c>
      <c r="R2786" s="9" t="s">
        <v>43</v>
      </c>
      <c r="S2786" s="7" t="s">
        <v>359</v>
      </c>
      <c r="T2786" s="9" t="s">
        <v>39</v>
      </c>
      <c r="U2786" s="7">
        <v>0.55000000000000004</v>
      </c>
      <c r="V2786" s="12">
        <f>C2786+2</f>
        <v>40950</v>
      </c>
      <c r="W2786">
        <f>IF(D2786=' Pivot Tables'!$A$4,1,0)</f>
        <v>0</v>
      </c>
      <c r="X2786">
        <f>IF(AND(LEFT(D2786,4)+1=LEFT(' Pivot Tables'!$A$4,4)+0,RIGHT(LEFT(D2786,7),2)=RIGHT(LEFT(' Pivot Tables'!$A$4,7),2)),1,0)</f>
        <v>0</v>
      </c>
      <c r="Y2786" s="6">
        <f>1/COUNTIF(Таблица1[Order ID],Таблица1[[#This Row],[Order ID]])</f>
        <v>1</v>
      </c>
      <c r="Z2786" s="9">
        <f>1/COUNTIFS(Таблица1[Customer Name],Таблица1[[#This Row],[Customer Name]],Таблица1[Order-Year-Month],Таблица1[[#This Row],[Order-Year-Month]])</f>
        <v>1</v>
      </c>
    </row>
    <row r="2787" spans="1:26" x14ac:dyDescent="0.2">
      <c r="A2787" s="6">
        <v>7740</v>
      </c>
      <c r="B2787" s="7">
        <v>55425</v>
      </c>
      <c r="C2787" s="8">
        <f>DATE(2012,12,31)-426</f>
        <v>40848</v>
      </c>
      <c r="D2787" s="8" t="str">
        <f t="shared" si="53"/>
        <v>2011-11 (ноябрь 2011)</v>
      </c>
      <c r="E2787" s="9" t="s">
        <v>78</v>
      </c>
      <c r="F2787" s="7">
        <v>42</v>
      </c>
      <c r="G2787" s="7">
        <v>4373.8535000000002</v>
      </c>
      <c r="H2787" s="7">
        <v>0.04</v>
      </c>
      <c r="I2787" s="9" t="s">
        <v>56</v>
      </c>
      <c r="J2787" s="10">
        <v>963.67499999999995</v>
      </c>
      <c r="K2787" s="11">
        <v>125.99</v>
      </c>
      <c r="L2787" s="11">
        <v>7.69</v>
      </c>
      <c r="M2787" s="9" t="s">
        <v>1509</v>
      </c>
      <c r="N2787" s="6" t="s">
        <v>1453</v>
      </c>
      <c r="O2787" s="6" t="s">
        <v>512</v>
      </c>
      <c r="P2787" s="9" t="s">
        <v>41</v>
      </c>
      <c r="Q2787" s="9" t="s">
        <v>42</v>
      </c>
      <c r="R2787" s="9" t="s">
        <v>43</v>
      </c>
      <c r="S2787" s="7" t="s">
        <v>843</v>
      </c>
      <c r="T2787" s="9" t="s">
        <v>39</v>
      </c>
      <c r="U2787" s="7">
        <v>0.59</v>
      </c>
      <c r="V2787" s="12">
        <f>C2787+1</f>
        <v>40849</v>
      </c>
      <c r="W2787">
        <f>IF(D2787=' Pivot Tables'!$A$4,1,0)</f>
        <v>0</v>
      </c>
      <c r="X2787">
        <f>IF(AND(LEFT(D2787,4)+1=LEFT(' Pivot Tables'!$A$4,4)+0,RIGHT(LEFT(D2787,7),2)=RIGHT(LEFT(' Pivot Tables'!$A$4,7),2)),1,0)</f>
        <v>0</v>
      </c>
      <c r="Y2787" s="6">
        <f>1/COUNTIF(Таблица1[Order ID],Таблица1[[#This Row],[Order ID]])</f>
        <v>0.33333333333333331</v>
      </c>
      <c r="Z2787" s="9">
        <f>1/COUNTIFS(Таблица1[Customer Name],Таблица1[[#This Row],[Customer Name]],Таблица1[Order-Year-Month],Таблица1[[#This Row],[Order-Year-Month]])</f>
        <v>0.33333333333333331</v>
      </c>
    </row>
    <row r="2788" spans="1:26" x14ac:dyDescent="0.2">
      <c r="A2788" s="6">
        <v>7803</v>
      </c>
      <c r="B2788" s="7">
        <v>55815</v>
      </c>
      <c r="C2788" s="8">
        <f>DATE(2012,12,31)-718</f>
        <v>40556</v>
      </c>
      <c r="D2788" s="8" t="str">
        <f t="shared" si="53"/>
        <v>2011-01 (январь 2011)</v>
      </c>
      <c r="E2788" s="9" t="s">
        <v>30</v>
      </c>
      <c r="F2788" s="7">
        <v>28</v>
      </c>
      <c r="G2788" s="7">
        <v>2860.19</v>
      </c>
      <c r="H2788" s="7">
        <v>0.04</v>
      </c>
      <c r="I2788" s="9" t="s">
        <v>56</v>
      </c>
      <c r="J2788" s="10">
        <v>458.4</v>
      </c>
      <c r="K2788" s="11">
        <v>105.29</v>
      </c>
      <c r="L2788" s="11">
        <v>10.119999999999999</v>
      </c>
      <c r="M2788" s="9" t="s">
        <v>1492</v>
      </c>
      <c r="N2788" s="6" t="s">
        <v>1453</v>
      </c>
      <c r="O2788" s="6" t="s">
        <v>512</v>
      </c>
      <c r="P2788" s="9" t="s">
        <v>41</v>
      </c>
      <c r="Q2788" s="9" t="s">
        <v>49</v>
      </c>
      <c r="R2788" s="9" t="s">
        <v>50</v>
      </c>
      <c r="S2788" s="7" t="s">
        <v>1510</v>
      </c>
      <c r="T2788" s="9" t="s">
        <v>29</v>
      </c>
      <c r="U2788" s="7">
        <v>0.79</v>
      </c>
      <c r="V2788" s="12">
        <f>C2788+1</f>
        <v>40557</v>
      </c>
      <c r="W2788">
        <f>IF(D2788=' Pivot Tables'!$A$4,1,0)</f>
        <v>0</v>
      </c>
      <c r="X2788">
        <f>IF(AND(LEFT(D2788,4)+1=LEFT(' Pivot Tables'!$A$4,4)+0,RIGHT(LEFT(D2788,7),2)=RIGHT(LEFT(' Pivot Tables'!$A$4,7),2)),1,0)</f>
        <v>0</v>
      </c>
      <c r="Y2788" s="6">
        <f>1/COUNTIF(Таблица1[Order ID],Таблица1[[#This Row],[Order ID]])</f>
        <v>1</v>
      </c>
      <c r="Z2788" s="9">
        <f>1/COUNTIFS(Таблица1[Customer Name],Таблица1[[#This Row],[Customer Name]],Таблица1[Order-Year-Month],Таблица1[[#This Row],[Order-Year-Month]])</f>
        <v>1</v>
      </c>
    </row>
    <row r="2789" spans="1:26" x14ac:dyDescent="0.2">
      <c r="A2789" s="6">
        <v>7827</v>
      </c>
      <c r="B2789" s="7">
        <v>55940</v>
      </c>
      <c r="C2789" s="8">
        <f>DATE(2012,12,31)-1342</f>
        <v>39932</v>
      </c>
      <c r="D2789" s="8" t="str">
        <f t="shared" si="53"/>
        <v>2009-04 (апрель 2009)</v>
      </c>
      <c r="E2789" s="9" t="s">
        <v>45</v>
      </c>
      <c r="F2789" s="7">
        <v>29</v>
      </c>
      <c r="G2789" s="7">
        <v>2925.78</v>
      </c>
      <c r="H2789" s="7">
        <v>0.03</v>
      </c>
      <c r="I2789" s="9" t="s">
        <v>22</v>
      </c>
      <c r="J2789" s="10">
        <v>1041.29</v>
      </c>
      <c r="K2789" s="11">
        <v>100.98</v>
      </c>
      <c r="L2789" s="11">
        <v>7.18</v>
      </c>
      <c r="M2789" s="9" t="s">
        <v>1406</v>
      </c>
      <c r="N2789" s="6" t="s">
        <v>1453</v>
      </c>
      <c r="O2789" s="6" t="s">
        <v>512</v>
      </c>
      <c r="P2789" s="9" t="s">
        <v>41</v>
      </c>
      <c r="Q2789" s="9" t="s">
        <v>42</v>
      </c>
      <c r="R2789" s="9" t="s">
        <v>70</v>
      </c>
      <c r="S2789" s="7" t="s">
        <v>642</v>
      </c>
      <c r="T2789" s="9" t="s">
        <v>39</v>
      </c>
      <c r="U2789" s="7">
        <v>0.4</v>
      </c>
      <c r="V2789" s="12">
        <f>C2789+1</f>
        <v>39933</v>
      </c>
      <c r="W2789">
        <f>IF(D2789=' Pivot Tables'!$A$4,1,0)</f>
        <v>0</v>
      </c>
      <c r="X2789">
        <f>IF(AND(LEFT(D2789,4)+1=LEFT(' Pivot Tables'!$A$4,4)+0,RIGHT(LEFT(D2789,7),2)=RIGHT(LEFT(' Pivot Tables'!$A$4,7),2)),1,0)</f>
        <v>0</v>
      </c>
      <c r="Y2789" s="6">
        <f>1/COUNTIF(Таблица1[Order ID],Таблица1[[#This Row],[Order ID]])</f>
        <v>1</v>
      </c>
      <c r="Z2789" s="9">
        <f>1/COUNTIFS(Таблица1[Customer Name],Таблица1[[#This Row],[Customer Name]],Таблица1[Order-Year-Month],Таблица1[[#This Row],[Order-Year-Month]])</f>
        <v>1</v>
      </c>
    </row>
    <row r="2790" spans="1:26" x14ac:dyDescent="0.2">
      <c r="A2790" s="6">
        <v>7858</v>
      </c>
      <c r="B2790" s="7">
        <v>56166</v>
      </c>
      <c r="C2790" s="8">
        <f>DATE(2012,12,31)-880</f>
        <v>40394</v>
      </c>
      <c r="D2790" s="8" t="str">
        <f t="shared" si="53"/>
        <v>2010-08 (август 2010)</v>
      </c>
      <c r="E2790" s="9" t="s">
        <v>78</v>
      </c>
      <c r="F2790" s="7">
        <v>1</v>
      </c>
      <c r="G2790" s="7">
        <v>142.24</v>
      </c>
      <c r="H2790" s="7">
        <v>0.08</v>
      </c>
      <c r="I2790" s="9" t="s">
        <v>31</v>
      </c>
      <c r="J2790" s="10">
        <v>-62.19</v>
      </c>
      <c r="K2790" s="11">
        <v>100.89</v>
      </c>
      <c r="L2790" s="11">
        <v>42</v>
      </c>
      <c r="M2790" s="9" t="s">
        <v>1511</v>
      </c>
      <c r="N2790" s="6" t="s">
        <v>1453</v>
      </c>
      <c r="O2790" s="6" t="s">
        <v>512</v>
      </c>
      <c r="P2790" s="9" t="s">
        <v>33</v>
      </c>
      <c r="Q2790" s="9" t="s">
        <v>49</v>
      </c>
      <c r="R2790" s="9" t="s">
        <v>112</v>
      </c>
      <c r="S2790" s="7" t="s">
        <v>694</v>
      </c>
      <c r="T2790" s="9" t="s">
        <v>36</v>
      </c>
      <c r="U2790" s="7">
        <v>0.61</v>
      </c>
      <c r="V2790" s="12">
        <f>C2790+1</f>
        <v>40395</v>
      </c>
      <c r="W2790">
        <f>IF(D2790=' Pivot Tables'!$A$4,1,0)</f>
        <v>0</v>
      </c>
      <c r="X2790">
        <f>IF(AND(LEFT(D2790,4)+1=LEFT(' Pivot Tables'!$A$4,4)+0,RIGHT(LEFT(D2790,7),2)=RIGHT(LEFT(' Pivot Tables'!$A$4,7),2)),1,0)</f>
        <v>0</v>
      </c>
      <c r="Y2790" s="6">
        <f>1/COUNTIF(Таблица1[Order ID],Таблица1[[#This Row],[Order ID]])</f>
        <v>0.5</v>
      </c>
      <c r="Z2790" s="9">
        <f>1/COUNTIFS(Таблица1[Customer Name],Таблица1[[#This Row],[Customer Name]],Таблица1[Order-Year-Month],Таблица1[[#This Row],[Order-Year-Month]])</f>
        <v>0.5</v>
      </c>
    </row>
    <row r="2791" spans="1:26" x14ac:dyDescent="0.2">
      <c r="A2791" s="6">
        <v>8080</v>
      </c>
      <c r="B2791" s="7">
        <v>57638</v>
      </c>
      <c r="C2791" s="8">
        <f>DATE(2012,12,31)-253</f>
        <v>41021</v>
      </c>
      <c r="D2791" s="8" t="str">
        <f t="shared" si="53"/>
        <v>2012-04 (апрель 2012)</v>
      </c>
      <c r="E2791" s="9" t="s">
        <v>21</v>
      </c>
      <c r="F2791" s="7">
        <v>49</v>
      </c>
      <c r="G2791" s="7">
        <v>570.42999999999995</v>
      </c>
      <c r="H2791" s="7">
        <v>7.0000000000000007E-2</v>
      </c>
      <c r="I2791" s="9" t="s">
        <v>22</v>
      </c>
      <c r="J2791" s="10">
        <v>78.89</v>
      </c>
      <c r="K2791" s="11">
        <v>11.48</v>
      </c>
      <c r="L2791" s="11">
        <v>5.43</v>
      </c>
      <c r="M2791" s="9" t="s">
        <v>1488</v>
      </c>
      <c r="N2791" s="6" t="s">
        <v>1453</v>
      </c>
      <c r="O2791" s="6" t="s">
        <v>512</v>
      </c>
      <c r="P2791" s="9" t="s">
        <v>33</v>
      </c>
      <c r="Q2791" s="9" t="s">
        <v>26</v>
      </c>
      <c r="R2791" s="9" t="s">
        <v>61</v>
      </c>
      <c r="S2791" s="7" t="s">
        <v>148</v>
      </c>
      <c r="T2791" s="9" t="s">
        <v>39</v>
      </c>
      <c r="U2791" s="7">
        <v>0.36</v>
      </c>
      <c r="V2791" s="12">
        <f>C2791+2</f>
        <v>41023</v>
      </c>
      <c r="W2791">
        <f>IF(D2791=' Pivot Tables'!$A$4,1,0)</f>
        <v>0</v>
      </c>
      <c r="X2791">
        <f>IF(AND(LEFT(D2791,4)+1=LEFT(' Pivot Tables'!$A$4,4)+0,RIGHT(LEFT(D2791,7),2)=RIGHT(LEFT(' Pivot Tables'!$A$4,7),2)),1,0)</f>
        <v>0</v>
      </c>
      <c r="Y2791" s="6">
        <f>1/COUNTIF(Таблица1[Order ID],Таблица1[[#This Row],[Order ID]])</f>
        <v>0.33333333333333331</v>
      </c>
      <c r="Z2791" s="9">
        <f>1/COUNTIFS(Таблица1[Customer Name],Таблица1[[#This Row],[Customer Name]],Таблица1[Order-Year-Month],Таблица1[[#This Row],[Order-Year-Month]])</f>
        <v>0.33333333333333331</v>
      </c>
    </row>
    <row r="2792" spans="1:26" x14ac:dyDescent="0.2">
      <c r="A2792" s="6">
        <v>8081</v>
      </c>
      <c r="B2792" s="7">
        <v>57638</v>
      </c>
      <c r="C2792" s="8">
        <f>DATE(2012,12,31)-253</f>
        <v>41021</v>
      </c>
      <c r="D2792" s="8" t="str">
        <f t="shared" si="53"/>
        <v>2012-04 (апрель 2012)</v>
      </c>
      <c r="E2792" s="9" t="s">
        <v>21</v>
      </c>
      <c r="F2792" s="7">
        <v>49</v>
      </c>
      <c r="G2792" s="7">
        <v>100.08</v>
      </c>
      <c r="H2792" s="7">
        <v>0.08</v>
      </c>
      <c r="I2792" s="9" t="s">
        <v>22</v>
      </c>
      <c r="J2792" s="10">
        <v>-85.58</v>
      </c>
      <c r="K2792" s="11">
        <v>2.08</v>
      </c>
      <c r="L2792" s="11">
        <v>2.56</v>
      </c>
      <c r="M2792" s="9" t="s">
        <v>1488</v>
      </c>
      <c r="N2792" s="6" t="s">
        <v>1453</v>
      </c>
      <c r="O2792" s="6" t="s">
        <v>512</v>
      </c>
      <c r="P2792" s="9" t="s">
        <v>33</v>
      </c>
      <c r="Q2792" s="9" t="s">
        <v>26</v>
      </c>
      <c r="R2792" s="9" t="s">
        <v>150</v>
      </c>
      <c r="S2792" s="7" t="s">
        <v>750</v>
      </c>
      <c r="T2792" s="9" t="s">
        <v>52</v>
      </c>
      <c r="U2792" s="7">
        <v>0.55000000000000004</v>
      </c>
      <c r="V2792" s="12">
        <f>C2792+2</f>
        <v>41023</v>
      </c>
      <c r="W2792">
        <f>IF(D2792=' Pivot Tables'!$A$4,1,0)</f>
        <v>0</v>
      </c>
      <c r="X2792">
        <f>IF(AND(LEFT(D2792,4)+1=LEFT(' Pivot Tables'!$A$4,4)+0,RIGHT(LEFT(D2792,7),2)=RIGHT(LEFT(' Pivot Tables'!$A$4,7),2)),1,0)</f>
        <v>0</v>
      </c>
      <c r="Y2792" s="6">
        <f>1/COUNTIF(Таблица1[Order ID],Таблица1[[#This Row],[Order ID]])</f>
        <v>0.33333333333333331</v>
      </c>
      <c r="Z2792" s="9">
        <f>1/COUNTIFS(Таблица1[Customer Name],Таблица1[[#This Row],[Customer Name]],Таблица1[Order-Year-Month],Таблица1[[#This Row],[Order-Year-Month]])</f>
        <v>0.33333333333333331</v>
      </c>
    </row>
    <row r="2793" spans="1:26" x14ac:dyDescent="0.2">
      <c r="A2793" s="6">
        <v>8109</v>
      </c>
      <c r="B2793" s="7">
        <v>57890</v>
      </c>
      <c r="C2793" s="8">
        <f>DATE(2012,12,31)-1404</f>
        <v>39870</v>
      </c>
      <c r="D2793" s="8" t="str">
        <f t="shared" si="53"/>
        <v>2009-02 (февраль 2009)</v>
      </c>
      <c r="E2793" s="9" t="s">
        <v>78</v>
      </c>
      <c r="F2793" s="7">
        <v>15</v>
      </c>
      <c r="G2793" s="7">
        <v>803.04</v>
      </c>
      <c r="H2793" s="7">
        <v>0.08</v>
      </c>
      <c r="I2793" s="9" t="s">
        <v>22</v>
      </c>
      <c r="J2793" s="10">
        <v>282.32</v>
      </c>
      <c r="K2793" s="11">
        <v>55.48</v>
      </c>
      <c r="L2793" s="11">
        <v>6.79</v>
      </c>
      <c r="M2793" s="9" t="s">
        <v>1512</v>
      </c>
      <c r="N2793" s="6" t="s">
        <v>1453</v>
      </c>
      <c r="O2793" s="6" t="s">
        <v>512</v>
      </c>
      <c r="P2793" s="9" t="s">
        <v>60</v>
      </c>
      <c r="Q2793" s="9" t="s">
        <v>26</v>
      </c>
      <c r="R2793" s="9" t="s">
        <v>61</v>
      </c>
      <c r="S2793" s="7" t="s">
        <v>1065</v>
      </c>
      <c r="T2793" s="9" t="s">
        <v>39</v>
      </c>
      <c r="U2793" s="7">
        <v>0.37</v>
      </c>
      <c r="V2793" s="12">
        <f>C2793+2</f>
        <v>39872</v>
      </c>
      <c r="W2793">
        <f>IF(D2793=' Pivot Tables'!$A$4,1,0)</f>
        <v>0</v>
      </c>
      <c r="X2793">
        <f>IF(AND(LEFT(D2793,4)+1=LEFT(' Pivot Tables'!$A$4,4)+0,RIGHT(LEFT(D2793,7),2)=RIGHT(LEFT(' Pivot Tables'!$A$4,7),2)),1,0)</f>
        <v>0</v>
      </c>
      <c r="Y2793" s="6">
        <f>1/COUNTIF(Таблица1[Order ID],Таблица1[[#This Row],[Order ID]])</f>
        <v>1</v>
      </c>
      <c r="Z2793" s="9">
        <f>1/COUNTIFS(Таблица1[Customer Name],Таблица1[[#This Row],[Customer Name]],Таблица1[Order-Year-Month],Таблица1[[#This Row],[Order-Year-Month]])</f>
        <v>1</v>
      </c>
    </row>
    <row r="2794" spans="1:26" x14ac:dyDescent="0.2">
      <c r="A2794" s="6">
        <v>327</v>
      </c>
      <c r="B2794" s="7">
        <v>2244</v>
      </c>
      <c r="C2794" s="8">
        <f>DATE(2012,12,31)-1088</f>
        <v>40186</v>
      </c>
      <c r="D2794" s="8" t="str">
        <f t="shared" si="53"/>
        <v>2010-01 (январь 2010)</v>
      </c>
      <c r="E2794" s="9" t="s">
        <v>78</v>
      </c>
      <c r="F2794" s="7">
        <v>19</v>
      </c>
      <c r="G2794" s="7">
        <v>88.61</v>
      </c>
      <c r="H2794" s="7">
        <v>0.01</v>
      </c>
      <c r="I2794" s="9" t="s">
        <v>56</v>
      </c>
      <c r="J2794" s="10">
        <v>21.471</v>
      </c>
      <c r="K2794" s="11">
        <v>3.8</v>
      </c>
      <c r="L2794" s="11">
        <v>1.49</v>
      </c>
      <c r="M2794" s="9" t="s">
        <v>1513</v>
      </c>
      <c r="N2794" s="6" t="s">
        <v>974</v>
      </c>
      <c r="O2794" s="6" t="s">
        <v>512</v>
      </c>
      <c r="P2794" s="9" t="s">
        <v>33</v>
      </c>
      <c r="Q2794" s="9" t="s">
        <v>26</v>
      </c>
      <c r="R2794" s="9" t="s">
        <v>37</v>
      </c>
      <c r="S2794" s="7" t="s">
        <v>269</v>
      </c>
      <c r="T2794" s="9" t="s">
        <v>39</v>
      </c>
      <c r="U2794" s="7">
        <v>0.38</v>
      </c>
      <c r="V2794" s="12">
        <f>C2794+2</f>
        <v>40188</v>
      </c>
      <c r="W2794">
        <f>IF(D2794=' Pivot Tables'!$A$4,1,0)</f>
        <v>1</v>
      </c>
      <c r="X2794">
        <f>IF(AND(LEFT(D2794,4)+1=LEFT(' Pivot Tables'!$A$4,4)+0,RIGHT(LEFT(D2794,7),2)=RIGHT(LEFT(' Pivot Tables'!$A$4,7),2)),1,0)</f>
        <v>0</v>
      </c>
      <c r="Y2794" s="6">
        <f>1/COUNTIF(Таблица1[Order ID],Таблица1[[#This Row],[Order ID]])</f>
        <v>1</v>
      </c>
      <c r="Z2794" s="9">
        <f>1/COUNTIFS(Таблица1[Customer Name],Таблица1[[#This Row],[Customer Name]],Таблица1[Order-Year-Month],Таблица1[[#This Row],[Order-Year-Month]])</f>
        <v>0.33333333333333331</v>
      </c>
    </row>
    <row r="2795" spans="1:26" x14ac:dyDescent="0.2">
      <c r="A2795" s="6">
        <v>455</v>
      </c>
      <c r="B2795" s="7">
        <v>3104</v>
      </c>
      <c r="C2795" s="8">
        <f>DATE(2012,12,31)-838</f>
        <v>40436</v>
      </c>
      <c r="D2795" s="8" t="str">
        <f t="shared" si="53"/>
        <v>2010-09 (сентябрь 2010)</v>
      </c>
      <c r="E2795" s="9" t="s">
        <v>63</v>
      </c>
      <c r="F2795" s="7">
        <v>50</v>
      </c>
      <c r="G2795" s="7">
        <v>336.06</v>
      </c>
      <c r="H2795" s="7">
        <v>0.01</v>
      </c>
      <c r="I2795" s="9" t="s">
        <v>22</v>
      </c>
      <c r="J2795" s="10">
        <v>-240.78</v>
      </c>
      <c r="K2795" s="11">
        <v>6.48</v>
      </c>
      <c r="L2795" s="11">
        <v>8.8800000000000008</v>
      </c>
      <c r="M2795" s="9" t="s">
        <v>1514</v>
      </c>
      <c r="N2795" s="6" t="s">
        <v>974</v>
      </c>
      <c r="O2795" s="6" t="s">
        <v>512</v>
      </c>
      <c r="P2795" s="9" t="s">
        <v>33</v>
      </c>
      <c r="Q2795" s="9" t="s">
        <v>26</v>
      </c>
      <c r="R2795" s="9" t="s">
        <v>61</v>
      </c>
      <c r="S2795" s="7" t="s">
        <v>224</v>
      </c>
      <c r="T2795" s="9" t="s">
        <v>39</v>
      </c>
      <c r="U2795" s="7">
        <v>0.37</v>
      </c>
      <c r="V2795" s="12">
        <f>C2795+2</f>
        <v>40438</v>
      </c>
      <c r="W2795">
        <f>IF(D2795=' Pivot Tables'!$A$4,1,0)</f>
        <v>0</v>
      </c>
      <c r="X2795">
        <f>IF(AND(LEFT(D2795,4)+1=LEFT(' Pivot Tables'!$A$4,4)+0,RIGHT(LEFT(D2795,7),2)=RIGHT(LEFT(' Pivot Tables'!$A$4,7),2)),1,0)</f>
        <v>0</v>
      </c>
      <c r="Y2795" s="6">
        <f>1/COUNTIF(Таблица1[Order ID],Таблица1[[#This Row],[Order ID]])</f>
        <v>0.5</v>
      </c>
      <c r="Z2795" s="9">
        <f>1/COUNTIFS(Таблица1[Customer Name],Таблица1[[#This Row],[Customer Name]],Таблица1[Order-Year-Month],Таблица1[[#This Row],[Order-Year-Month]])</f>
        <v>0.5</v>
      </c>
    </row>
    <row r="2796" spans="1:26" x14ac:dyDescent="0.2">
      <c r="A2796" s="6">
        <v>456</v>
      </c>
      <c r="B2796" s="7">
        <v>3104</v>
      </c>
      <c r="C2796" s="8">
        <f>DATE(2012,12,31)-838</f>
        <v>40436</v>
      </c>
      <c r="D2796" s="8" t="str">
        <f t="shared" si="53"/>
        <v>2010-09 (сентябрь 2010)</v>
      </c>
      <c r="E2796" s="9" t="s">
        <v>63</v>
      </c>
      <c r="F2796" s="7">
        <v>24</v>
      </c>
      <c r="G2796" s="7">
        <v>380.38</v>
      </c>
      <c r="H2796" s="7">
        <v>0.06</v>
      </c>
      <c r="I2796" s="9" t="s">
        <v>56</v>
      </c>
      <c r="J2796" s="10">
        <v>7.29</v>
      </c>
      <c r="K2796" s="11">
        <v>15.94</v>
      </c>
      <c r="L2796" s="11">
        <v>5.45</v>
      </c>
      <c r="M2796" s="9" t="s">
        <v>1514</v>
      </c>
      <c r="N2796" s="6" t="s">
        <v>974</v>
      </c>
      <c r="O2796" s="6" t="s">
        <v>512</v>
      </c>
      <c r="P2796" s="9" t="s">
        <v>33</v>
      </c>
      <c r="Q2796" s="9" t="s">
        <v>26</v>
      </c>
      <c r="R2796" s="9" t="s">
        <v>95</v>
      </c>
      <c r="S2796" s="7" t="s">
        <v>469</v>
      </c>
      <c r="T2796" s="9" t="s">
        <v>52</v>
      </c>
      <c r="U2796" s="7">
        <v>0.55000000000000004</v>
      </c>
      <c r="V2796" s="12">
        <f>C2796+0</f>
        <v>40436</v>
      </c>
      <c r="W2796">
        <f>IF(D2796=' Pivot Tables'!$A$4,1,0)</f>
        <v>0</v>
      </c>
      <c r="X2796">
        <f>IF(AND(LEFT(D2796,4)+1=LEFT(' Pivot Tables'!$A$4,4)+0,RIGHT(LEFT(D2796,7),2)=RIGHT(LEFT(' Pivot Tables'!$A$4,7),2)),1,0)</f>
        <v>0</v>
      </c>
      <c r="Y2796" s="6">
        <f>1/COUNTIF(Таблица1[Order ID],Таблица1[[#This Row],[Order ID]])</f>
        <v>0.5</v>
      </c>
      <c r="Z2796" s="9">
        <f>1/COUNTIFS(Таблица1[Customer Name],Таблица1[[#This Row],[Customer Name]],Таблица1[Order-Year-Month],Таблица1[[#This Row],[Order-Year-Month]])</f>
        <v>0.5</v>
      </c>
    </row>
    <row r="2797" spans="1:26" x14ac:dyDescent="0.2">
      <c r="A2797" s="6">
        <v>860</v>
      </c>
      <c r="B2797" s="7">
        <v>6179</v>
      </c>
      <c r="C2797" s="8">
        <f>DATE(2012,12,31)-1308</f>
        <v>39966</v>
      </c>
      <c r="D2797" s="8" t="str">
        <f t="shared" si="53"/>
        <v>2009-06 (июнь 2009)</v>
      </c>
      <c r="E2797" s="9" t="s">
        <v>45</v>
      </c>
      <c r="F2797" s="7">
        <v>50</v>
      </c>
      <c r="G2797" s="7">
        <v>477.53</v>
      </c>
      <c r="H2797" s="7">
        <v>0.09</v>
      </c>
      <c r="I2797" s="9" t="s">
        <v>22</v>
      </c>
      <c r="J2797" s="10">
        <v>197.76</v>
      </c>
      <c r="K2797" s="11">
        <v>9.7799999999999994</v>
      </c>
      <c r="L2797" s="11">
        <v>1.39</v>
      </c>
      <c r="M2797" s="9" t="s">
        <v>1513</v>
      </c>
      <c r="N2797" s="6" t="s">
        <v>974</v>
      </c>
      <c r="O2797" s="6" t="s">
        <v>512</v>
      </c>
      <c r="P2797" s="9" t="s">
        <v>33</v>
      </c>
      <c r="Q2797" s="9" t="s">
        <v>26</v>
      </c>
      <c r="R2797" s="9" t="s">
        <v>76</v>
      </c>
      <c r="S2797" s="7" t="s">
        <v>571</v>
      </c>
      <c r="T2797" s="9" t="s">
        <v>39</v>
      </c>
      <c r="U2797" s="7">
        <v>0.39</v>
      </c>
      <c r="V2797" s="12">
        <f>C2797+1</f>
        <v>39967</v>
      </c>
      <c r="W2797">
        <f>IF(D2797=' Pivot Tables'!$A$4,1,0)</f>
        <v>0</v>
      </c>
      <c r="X2797">
        <f>IF(AND(LEFT(D2797,4)+1=LEFT(' Pivot Tables'!$A$4,4)+0,RIGHT(LEFT(D2797,7),2)=RIGHT(LEFT(' Pivot Tables'!$A$4,7),2)),1,0)</f>
        <v>0</v>
      </c>
      <c r="Y2797" s="6">
        <f>1/COUNTIF(Таблица1[Order ID],Таблица1[[#This Row],[Order ID]])</f>
        <v>0.5</v>
      </c>
      <c r="Z2797" s="9">
        <f>1/COUNTIFS(Таблица1[Customer Name],Таблица1[[#This Row],[Customer Name]],Таблица1[Order-Year-Month],Таблица1[[#This Row],[Order-Year-Month]])</f>
        <v>0.5</v>
      </c>
    </row>
    <row r="2798" spans="1:26" x14ac:dyDescent="0.2">
      <c r="A2798" s="6">
        <v>861</v>
      </c>
      <c r="B2798" s="7">
        <v>6179</v>
      </c>
      <c r="C2798" s="8">
        <f>DATE(2012,12,31)-1308</f>
        <v>39966</v>
      </c>
      <c r="D2798" s="8" t="str">
        <f t="shared" si="53"/>
        <v>2009-06 (июнь 2009)</v>
      </c>
      <c r="E2798" s="9" t="s">
        <v>45</v>
      </c>
      <c r="F2798" s="7">
        <v>15</v>
      </c>
      <c r="G2798" s="7">
        <v>2690.7514999999999</v>
      </c>
      <c r="H2798" s="7">
        <v>0</v>
      </c>
      <c r="I2798" s="9" t="s">
        <v>22</v>
      </c>
      <c r="J2798" s="10">
        <v>234.61199999999999</v>
      </c>
      <c r="K2798" s="11">
        <v>200.99</v>
      </c>
      <c r="L2798" s="11">
        <v>8.08</v>
      </c>
      <c r="M2798" s="9" t="s">
        <v>1513</v>
      </c>
      <c r="N2798" s="6" t="s">
        <v>974</v>
      </c>
      <c r="O2798" s="6" t="s">
        <v>512</v>
      </c>
      <c r="P2798" s="9" t="s">
        <v>33</v>
      </c>
      <c r="Q2798" s="9" t="s">
        <v>42</v>
      </c>
      <c r="R2798" s="9" t="s">
        <v>43</v>
      </c>
      <c r="S2798" s="7" t="s">
        <v>208</v>
      </c>
      <c r="T2798" s="9" t="s">
        <v>39</v>
      </c>
      <c r="U2798" s="7">
        <v>0.59</v>
      </c>
      <c r="V2798" s="12">
        <f>C2798+2</f>
        <v>39968</v>
      </c>
      <c r="W2798">
        <f>IF(D2798=' Pivot Tables'!$A$4,1,0)</f>
        <v>0</v>
      </c>
      <c r="X2798">
        <f>IF(AND(LEFT(D2798,4)+1=LEFT(' Pivot Tables'!$A$4,4)+0,RIGHT(LEFT(D2798,7),2)=RIGHT(LEFT(' Pivot Tables'!$A$4,7),2)),1,0)</f>
        <v>0</v>
      </c>
      <c r="Y2798" s="6">
        <f>1/COUNTIF(Таблица1[Order ID],Таблица1[[#This Row],[Order ID]])</f>
        <v>0.5</v>
      </c>
      <c r="Z2798" s="9">
        <f>1/COUNTIFS(Таблица1[Customer Name],Таблица1[[#This Row],[Customer Name]],Таблица1[Order-Year-Month],Таблица1[[#This Row],[Order-Year-Month]])</f>
        <v>0.5</v>
      </c>
    </row>
    <row r="2799" spans="1:26" x14ac:dyDescent="0.2">
      <c r="A2799" s="6">
        <v>1624</v>
      </c>
      <c r="B2799" s="7">
        <v>11747</v>
      </c>
      <c r="C2799" s="8">
        <f>DATE(2012,12,31)-1040</f>
        <v>40234</v>
      </c>
      <c r="D2799" s="8" t="str">
        <f t="shared" si="53"/>
        <v>2010-02 (февраль 2010)</v>
      </c>
      <c r="E2799" s="9" t="s">
        <v>63</v>
      </c>
      <c r="F2799" s="7">
        <v>3</v>
      </c>
      <c r="G2799" s="7">
        <v>315.27999999999997</v>
      </c>
      <c r="H2799" s="7">
        <v>0.08</v>
      </c>
      <c r="I2799" s="9" t="s">
        <v>22</v>
      </c>
      <c r="J2799" s="10">
        <v>-261.54809999999998</v>
      </c>
      <c r="K2799" s="11">
        <v>99.99</v>
      </c>
      <c r="L2799" s="11">
        <v>19.989999999999998</v>
      </c>
      <c r="M2799" s="9" t="s">
        <v>1514</v>
      </c>
      <c r="N2799" s="6" t="s">
        <v>974</v>
      </c>
      <c r="O2799" s="6" t="s">
        <v>512</v>
      </c>
      <c r="P2799" s="9" t="s">
        <v>33</v>
      </c>
      <c r="Q2799" s="9" t="s">
        <v>42</v>
      </c>
      <c r="R2799" s="9" t="s">
        <v>210</v>
      </c>
      <c r="S2799" s="7" t="s">
        <v>409</v>
      </c>
      <c r="T2799" s="9" t="s">
        <v>39</v>
      </c>
      <c r="U2799" s="7">
        <v>0.52</v>
      </c>
      <c r="V2799" s="12">
        <f>C2799+0</f>
        <v>40234</v>
      </c>
      <c r="W2799">
        <f>IF(D2799=' Pivot Tables'!$A$4,1,0)</f>
        <v>0</v>
      </c>
      <c r="X2799">
        <f>IF(AND(LEFT(D2799,4)+1=LEFT(' Pivot Tables'!$A$4,4)+0,RIGHT(LEFT(D2799,7),2)=RIGHT(LEFT(' Pivot Tables'!$A$4,7),2)),1,0)</f>
        <v>0</v>
      </c>
      <c r="Y2799" s="6">
        <f>1/COUNTIF(Таблица1[Order ID],Таблица1[[#This Row],[Order ID]])</f>
        <v>1</v>
      </c>
      <c r="Z2799" s="9">
        <f>1/COUNTIFS(Таблица1[Customer Name],Таблица1[[#This Row],[Customer Name]],Таблица1[Order-Year-Month],Таблица1[[#This Row],[Order-Year-Month]])</f>
        <v>1</v>
      </c>
    </row>
    <row r="2800" spans="1:26" x14ac:dyDescent="0.2">
      <c r="A2800" s="6">
        <v>1646</v>
      </c>
      <c r="B2800" s="7">
        <v>11877</v>
      </c>
      <c r="C2800" s="8">
        <f>DATE(2012,12,31)-953</f>
        <v>40321</v>
      </c>
      <c r="D2800" s="8" t="str">
        <f t="shared" si="53"/>
        <v>2010-05 (май 2010)</v>
      </c>
      <c r="E2800" s="9" t="s">
        <v>45</v>
      </c>
      <c r="F2800" s="7">
        <v>19</v>
      </c>
      <c r="G2800" s="7">
        <v>796.14</v>
      </c>
      <c r="H2800" s="7">
        <v>0.03</v>
      </c>
      <c r="I2800" s="9" t="s">
        <v>22</v>
      </c>
      <c r="J2800" s="10">
        <v>320.0675</v>
      </c>
      <c r="K2800" s="11">
        <v>41.94</v>
      </c>
      <c r="L2800" s="11">
        <v>2.99</v>
      </c>
      <c r="M2800" s="9" t="s">
        <v>1514</v>
      </c>
      <c r="N2800" s="6" t="s">
        <v>974</v>
      </c>
      <c r="O2800" s="6" t="s">
        <v>512</v>
      </c>
      <c r="P2800" s="9" t="s">
        <v>33</v>
      </c>
      <c r="Q2800" s="9" t="s">
        <v>26</v>
      </c>
      <c r="R2800" s="9" t="s">
        <v>37</v>
      </c>
      <c r="S2800" s="7" t="s">
        <v>369</v>
      </c>
      <c r="T2800" s="9" t="s">
        <v>39</v>
      </c>
      <c r="U2800" s="7">
        <v>0.35</v>
      </c>
      <c r="V2800" s="12">
        <f>C2800+1</f>
        <v>40322</v>
      </c>
      <c r="W2800">
        <f>IF(D2800=' Pivot Tables'!$A$4,1,0)</f>
        <v>0</v>
      </c>
      <c r="X2800">
        <f>IF(AND(LEFT(D2800,4)+1=LEFT(' Pivot Tables'!$A$4,4)+0,RIGHT(LEFT(D2800,7),2)=RIGHT(LEFT(' Pivot Tables'!$A$4,7),2)),1,0)</f>
        <v>0</v>
      </c>
      <c r="Y2800" s="6">
        <f>1/COUNTIF(Таблица1[Order ID],Таблица1[[#This Row],[Order ID]])</f>
        <v>0.5</v>
      </c>
      <c r="Z2800" s="9">
        <f>1/COUNTIFS(Таблица1[Customer Name],Таблица1[[#This Row],[Customer Name]],Таблица1[Order-Year-Month],Таблица1[[#This Row],[Order-Year-Month]])</f>
        <v>0.5</v>
      </c>
    </row>
    <row r="2801" spans="1:26" x14ac:dyDescent="0.2">
      <c r="A2801" s="6">
        <v>1647</v>
      </c>
      <c r="B2801" s="7">
        <v>11877</v>
      </c>
      <c r="C2801" s="8">
        <f>DATE(2012,12,31)-953</f>
        <v>40321</v>
      </c>
      <c r="D2801" s="8" t="str">
        <f t="shared" si="53"/>
        <v>2010-05 (май 2010)</v>
      </c>
      <c r="E2801" s="9" t="s">
        <v>45</v>
      </c>
      <c r="F2801" s="7">
        <v>31</v>
      </c>
      <c r="G2801" s="7">
        <v>142.96</v>
      </c>
      <c r="H2801" s="7">
        <v>0.09</v>
      </c>
      <c r="I2801" s="9" t="s">
        <v>22</v>
      </c>
      <c r="J2801" s="10">
        <v>33.590000000000003</v>
      </c>
      <c r="K2801" s="11">
        <v>4.7300000000000004</v>
      </c>
      <c r="L2801" s="11">
        <v>1.52</v>
      </c>
      <c r="M2801" s="9" t="s">
        <v>1514</v>
      </c>
      <c r="N2801" s="6" t="s">
        <v>974</v>
      </c>
      <c r="O2801" s="6" t="s">
        <v>512</v>
      </c>
      <c r="P2801" s="9" t="s">
        <v>33</v>
      </c>
      <c r="Q2801" s="9" t="s">
        <v>26</v>
      </c>
      <c r="R2801" s="9" t="s">
        <v>61</v>
      </c>
      <c r="S2801" s="7" t="s">
        <v>1515</v>
      </c>
      <c r="T2801" s="9" t="s">
        <v>68</v>
      </c>
      <c r="U2801" s="7">
        <v>0.36</v>
      </c>
      <c r="V2801" s="12">
        <f>C2801+2</f>
        <v>40323</v>
      </c>
      <c r="W2801">
        <f>IF(D2801=' Pivot Tables'!$A$4,1,0)</f>
        <v>0</v>
      </c>
      <c r="X2801">
        <f>IF(AND(LEFT(D2801,4)+1=LEFT(' Pivot Tables'!$A$4,4)+0,RIGHT(LEFT(D2801,7),2)=RIGHT(LEFT(' Pivot Tables'!$A$4,7),2)),1,0)</f>
        <v>0</v>
      </c>
      <c r="Y2801" s="6">
        <f>1/COUNTIF(Таблица1[Order ID],Таблица1[[#This Row],[Order ID]])</f>
        <v>0.5</v>
      </c>
      <c r="Z2801" s="9">
        <f>1/COUNTIFS(Таблица1[Customer Name],Таблица1[[#This Row],[Customer Name]],Таблица1[Order-Year-Month],Таблица1[[#This Row],[Order-Year-Month]])</f>
        <v>0.5</v>
      </c>
    </row>
    <row r="2802" spans="1:26" x14ac:dyDescent="0.2">
      <c r="A2802" s="6">
        <v>2139</v>
      </c>
      <c r="B2802" s="7">
        <v>15271</v>
      </c>
      <c r="C2802" s="8">
        <f>DATE(2012,12,31)-890</f>
        <v>40384</v>
      </c>
      <c r="D2802" s="8" t="str">
        <f t="shared" si="53"/>
        <v>2010-07 (июль 2010)</v>
      </c>
      <c r="E2802" s="9" t="s">
        <v>78</v>
      </c>
      <c r="F2802" s="7">
        <v>18</v>
      </c>
      <c r="G2802" s="7">
        <v>2389.3000000000002</v>
      </c>
      <c r="H2802" s="7">
        <v>0.01</v>
      </c>
      <c r="I2802" s="9" t="s">
        <v>22</v>
      </c>
      <c r="J2802" s="10">
        <v>589.38</v>
      </c>
      <c r="K2802" s="11">
        <v>128.24</v>
      </c>
      <c r="L2802" s="11">
        <v>12.65</v>
      </c>
      <c r="M2802" s="9" t="s">
        <v>1513</v>
      </c>
      <c r="N2802" s="6" t="s">
        <v>974</v>
      </c>
      <c r="O2802" s="6" t="s">
        <v>512</v>
      </c>
      <c r="P2802" s="9" t="s">
        <v>33</v>
      </c>
      <c r="Q2802" s="9" t="s">
        <v>49</v>
      </c>
      <c r="R2802" s="9" t="s">
        <v>112</v>
      </c>
      <c r="S2802" s="7" t="s">
        <v>545</v>
      </c>
      <c r="T2802" s="9" t="s">
        <v>48</v>
      </c>
      <c r="U2802" s="7"/>
      <c r="V2802" s="12">
        <f>C2802+0</f>
        <v>40384</v>
      </c>
      <c r="W2802">
        <f>IF(D2802=' Pivot Tables'!$A$4,1,0)</f>
        <v>0</v>
      </c>
      <c r="X2802">
        <f>IF(AND(LEFT(D2802,4)+1=LEFT(' Pivot Tables'!$A$4,4)+0,RIGHT(LEFT(D2802,7),2)=RIGHT(LEFT(' Pivot Tables'!$A$4,7),2)),1,0)</f>
        <v>0</v>
      </c>
      <c r="Y2802" s="6">
        <f>1/COUNTIF(Таблица1[Order ID],Таблица1[[#This Row],[Order ID]])</f>
        <v>0.5</v>
      </c>
      <c r="Z2802" s="9">
        <f>1/COUNTIFS(Таблица1[Customer Name],Таблица1[[#This Row],[Customer Name]],Таблица1[Order-Year-Month],Таблица1[[#This Row],[Order-Year-Month]])</f>
        <v>0.5</v>
      </c>
    </row>
    <row r="2803" spans="1:26" x14ac:dyDescent="0.2">
      <c r="A2803" s="6">
        <v>2140</v>
      </c>
      <c r="B2803" s="7">
        <v>15271</v>
      </c>
      <c r="C2803" s="8">
        <f>DATE(2012,12,31)-890</f>
        <v>40384</v>
      </c>
      <c r="D2803" s="8" t="str">
        <f t="shared" si="53"/>
        <v>2010-07 (июль 2010)</v>
      </c>
      <c r="E2803" s="9" t="s">
        <v>78</v>
      </c>
      <c r="F2803" s="7">
        <v>7</v>
      </c>
      <c r="G2803" s="7">
        <v>222.25800000000001</v>
      </c>
      <c r="H2803" s="7">
        <v>0.03</v>
      </c>
      <c r="I2803" s="9" t="s">
        <v>22</v>
      </c>
      <c r="J2803" s="10">
        <v>-77.901999999999987</v>
      </c>
      <c r="K2803" s="11">
        <v>35.99</v>
      </c>
      <c r="L2803" s="11">
        <v>1.25</v>
      </c>
      <c r="M2803" s="9" t="s">
        <v>1513</v>
      </c>
      <c r="N2803" s="6" t="s">
        <v>974</v>
      </c>
      <c r="O2803" s="6" t="s">
        <v>512</v>
      </c>
      <c r="P2803" s="9" t="s">
        <v>33</v>
      </c>
      <c r="Q2803" s="9" t="s">
        <v>42</v>
      </c>
      <c r="R2803" s="9" t="s">
        <v>43</v>
      </c>
      <c r="S2803" s="7" t="s">
        <v>695</v>
      </c>
      <c r="T2803" s="9" t="s">
        <v>52</v>
      </c>
      <c r="U2803" s="7">
        <v>0.56999999999999995</v>
      </c>
      <c r="V2803" s="12">
        <f>C2803+0</f>
        <v>40384</v>
      </c>
      <c r="W2803">
        <f>IF(D2803=' Pivot Tables'!$A$4,1,0)</f>
        <v>0</v>
      </c>
      <c r="X2803">
        <f>IF(AND(LEFT(D2803,4)+1=LEFT(' Pivot Tables'!$A$4,4)+0,RIGHT(LEFT(D2803,7),2)=RIGHT(LEFT(' Pivot Tables'!$A$4,7),2)),1,0)</f>
        <v>0</v>
      </c>
      <c r="Y2803" s="6">
        <f>1/COUNTIF(Таблица1[Order ID],Таблица1[[#This Row],[Order ID]])</f>
        <v>0.5</v>
      </c>
      <c r="Z2803" s="9">
        <f>1/COUNTIFS(Таблица1[Customer Name],Таблица1[[#This Row],[Customer Name]],Таблица1[Order-Year-Month],Таблица1[[#This Row],[Order-Year-Month]])</f>
        <v>0.5</v>
      </c>
    </row>
    <row r="2804" spans="1:26" x14ac:dyDescent="0.2">
      <c r="A2804" s="6">
        <v>3142</v>
      </c>
      <c r="B2804" s="7">
        <v>22561</v>
      </c>
      <c r="C2804" s="8">
        <f>DATE(2012,12,31)-711</f>
        <v>40563</v>
      </c>
      <c r="D2804" s="8" t="str">
        <f t="shared" si="53"/>
        <v>2011-01 (январь 2011)</v>
      </c>
      <c r="E2804" s="9" t="s">
        <v>78</v>
      </c>
      <c r="F2804" s="7">
        <v>7</v>
      </c>
      <c r="G2804" s="7">
        <v>128.62</v>
      </c>
      <c r="H2804" s="7">
        <v>7.0000000000000007E-2</v>
      </c>
      <c r="I2804" s="9" t="s">
        <v>22</v>
      </c>
      <c r="J2804" s="10">
        <v>-27.78</v>
      </c>
      <c r="K2804" s="11">
        <v>17.670000000000002</v>
      </c>
      <c r="L2804" s="11">
        <v>8.99</v>
      </c>
      <c r="M2804" s="9" t="s">
        <v>1514</v>
      </c>
      <c r="N2804" s="6" t="s">
        <v>974</v>
      </c>
      <c r="O2804" s="6" t="s">
        <v>512</v>
      </c>
      <c r="P2804" s="9" t="s">
        <v>33</v>
      </c>
      <c r="Q2804" s="9" t="s">
        <v>49</v>
      </c>
      <c r="R2804" s="9" t="s">
        <v>50</v>
      </c>
      <c r="S2804" s="7" t="s">
        <v>763</v>
      </c>
      <c r="T2804" s="9" t="s">
        <v>52</v>
      </c>
      <c r="U2804" s="7">
        <v>0.47</v>
      </c>
      <c r="V2804" s="12">
        <f>C2804+2</f>
        <v>40565</v>
      </c>
      <c r="W2804">
        <f>IF(D2804=' Pivot Tables'!$A$4,1,0)</f>
        <v>0</v>
      </c>
      <c r="X2804">
        <f>IF(AND(LEFT(D2804,4)+1=LEFT(' Pivot Tables'!$A$4,4)+0,RIGHT(LEFT(D2804,7),2)=RIGHT(LEFT(' Pivot Tables'!$A$4,7),2)),1,0)</f>
        <v>0</v>
      </c>
      <c r="Y2804" s="6">
        <f>1/COUNTIF(Таблица1[Order ID],Таблица1[[#This Row],[Order ID]])</f>
        <v>0.33333333333333331</v>
      </c>
      <c r="Z2804" s="9">
        <f>1/COUNTIFS(Таблица1[Customer Name],Таблица1[[#This Row],[Customer Name]],Таблица1[Order-Year-Month],Таблица1[[#This Row],[Order-Year-Month]])</f>
        <v>0.33333333333333331</v>
      </c>
    </row>
    <row r="2805" spans="1:26" x14ac:dyDescent="0.2">
      <c r="A2805" s="6">
        <v>3143</v>
      </c>
      <c r="B2805" s="7">
        <v>22561</v>
      </c>
      <c r="C2805" s="8">
        <f>DATE(2012,12,31)-711</f>
        <v>40563</v>
      </c>
      <c r="D2805" s="8" t="str">
        <f t="shared" si="53"/>
        <v>2011-01 (январь 2011)</v>
      </c>
      <c r="E2805" s="9" t="s">
        <v>78</v>
      </c>
      <c r="F2805" s="7">
        <v>50</v>
      </c>
      <c r="G2805" s="7">
        <v>424</v>
      </c>
      <c r="H2805" s="7">
        <v>0.03</v>
      </c>
      <c r="I2805" s="9" t="s">
        <v>22</v>
      </c>
      <c r="J2805" s="10">
        <v>-19.77</v>
      </c>
      <c r="K2805" s="11">
        <v>8.67</v>
      </c>
      <c r="L2805" s="11">
        <v>3.5</v>
      </c>
      <c r="M2805" s="9" t="s">
        <v>1514</v>
      </c>
      <c r="N2805" s="6" t="s">
        <v>974</v>
      </c>
      <c r="O2805" s="6" t="s">
        <v>512</v>
      </c>
      <c r="P2805" s="9" t="s">
        <v>33</v>
      </c>
      <c r="Q2805" s="9" t="s">
        <v>26</v>
      </c>
      <c r="R2805" s="9" t="s">
        <v>34</v>
      </c>
      <c r="S2805" s="7" t="s">
        <v>1128</v>
      </c>
      <c r="T2805" s="9" t="s">
        <v>39</v>
      </c>
      <c r="U2805" s="7">
        <v>0.57999999999999996</v>
      </c>
      <c r="V2805" s="12">
        <f>C2805+2</f>
        <v>40565</v>
      </c>
      <c r="W2805">
        <f>IF(D2805=' Pivot Tables'!$A$4,1,0)</f>
        <v>0</v>
      </c>
      <c r="X2805">
        <f>IF(AND(LEFT(D2805,4)+1=LEFT(' Pivot Tables'!$A$4,4)+0,RIGHT(LEFT(D2805,7),2)=RIGHT(LEFT(' Pivot Tables'!$A$4,7),2)),1,0)</f>
        <v>0</v>
      </c>
      <c r="Y2805" s="6">
        <f>1/COUNTIF(Таблица1[Order ID],Таблица1[[#This Row],[Order ID]])</f>
        <v>0.33333333333333331</v>
      </c>
      <c r="Z2805" s="9">
        <f>1/COUNTIFS(Таблица1[Customer Name],Таблица1[[#This Row],[Customer Name]],Таблица1[Order-Year-Month],Таблица1[[#This Row],[Order-Year-Month]])</f>
        <v>0.33333333333333331</v>
      </c>
    </row>
    <row r="2806" spans="1:26" x14ac:dyDescent="0.2">
      <c r="A2806" s="6">
        <v>3144</v>
      </c>
      <c r="B2806" s="7">
        <v>22561</v>
      </c>
      <c r="C2806" s="8">
        <f>DATE(2012,12,31)-711</f>
        <v>40563</v>
      </c>
      <c r="D2806" s="8" t="str">
        <f t="shared" si="53"/>
        <v>2011-01 (январь 2011)</v>
      </c>
      <c r="E2806" s="9" t="s">
        <v>78</v>
      </c>
      <c r="F2806" s="7">
        <v>5</v>
      </c>
      <c r="G2806" s="7">
        <v>504.79</v>
      </c>
      <c r="H2806" s="7">
        <v>0.03</v>
      </c>
      <c r="I2806" s="9" t="s">
        <v>56</v>
      </c>
      <c r="J2806" s="10">
        <v>-245.09</v>
      </c>
      <c r="K2806" s="11">
        <v>99.99</v>
      </c>
      <c r="L2806" s="11">
        <v>19.989999999999998</v>
      </c>
      <c r="M2806" s="9" t="s">
        <v>1514</v>
      </c>
      <c r="N2806" s="6" t="s">
        <v>974</v>
      </c>
      <c r="O2806" s="6" t="s">
        <v>512</v>
      </c>
      <c r="P2806" s="9" t="s">
        <v>33</v>
      </c>
      <c r="Q2806" s="9" t="s">
        <v>42</v>
      </c>
      <c r="R2806" s="9" t="s">
        <v>70</v>
      </c>
      <c r="S2806" s="7" t="s">
        <v>306</v>
      </c>
      <c r="T2806" s="9" t="s">
        <v>39</v>
      </c>
      <c r="U2806" s="7">
        <v>0.5</v>
      </c>
      <c r="V2806" s="12">
        <f>C2806+2</f>
        <v>40565</v>
      </c>
      <c r="W2806">
        <f>IF(D2806=' Pivot Tables'!$A$4,1,0)</f>
        <v>0</v>
      </c>
      <c r="X2806">
        <f>IF(AND(LEFT(D2806,4)+1=LEFT(' Pivot Tables'!$A$4,4)+0,RIGHT(LEFT(D2806,7),2)=RIGHT(LEFT(' Pivot Tables'!$A$4,7),2)),1,0)</f>
        <v>0</v>
      </c>
      <c r="Y2806" s="6">
        <f>1/COUNTIF(Таблица1[Order ID],Таблица1[[#This Row],[Order ID]])</f>
        <v>0.33333333333333331</v>
      </c>
      <c r="Z2806" s="9">
        <f>1/COUNTIFS(Таблица1[Customer Name],Таблица1[[#This Row],[Customer Name]],Таблица1[Order-Year-Month],Таблица1[[#This Row],[Order-Year-Month]])</f>
        <v>0.33333333333333331</v>
      </c>
    </row>
    <row r="2807" spans="1:26" x14ac:dyDescent="0.2">
      <c r="A2807" s="6">
        <v>3621</v>
      </c>
      <c r="B2807" s="7">
        <v>25860</v>
      </c>
      <c r="C2807" s="8">
        <f>DATE(2012,12,31)-1094</f>
        <v>40180</v>
      </c>
      <c r="D2807" s="8" t="str">
        <f t="shared" si="53"/>
        <v>2010-01 (январь 2010)</v>
      </c>
      <c r="E2807" s="9" t="s">
        <v>21</v>
      </c>
      <c r="F2807" s="7">
        <v>9</v>
      </c>
      <c r="G2807" s="7">
        <v>740.2</v>
      </c>
      <c r="H2807" s="7">
        <v>0.05</v>
      </c>
      <c r="I2807" s="9" t="s">
        <v>56</v>
      </c>
      <c r="J2807" s="10">
        <v>239.94</v>
      </c>
      <c r="K2807" s="11">
        <v>83.98</v>
      </c>
      <c r="L2807" s="11">
        <v>5.01</v>
      </c>
      <c r="M2807" s="9" t="s">
        <v>1513</v>
      </c>
      <c r="N2807" s="6" t="s">
        <v>974</v>
      </c>
      <c r="O2807" s="6" t="s">
        <v>512</v>
      </c>
      <c r="P2807" s="9" t="s">
        <v>33</v>
      </c>
      <c r="Q2807" s="9" t="s">
        <v>26</v>
      </c>
      <c r="R2807" s="9" t="s">
        <v>76</v>
      </c>
      <c r="S2807" s="7" t="s">
        <v>955</v>
      </c>
      <c r="T2807" s="9" t="s">
        <v>39</v>
      </c>
      <c r="U2807" s="7">
        <v>0.38</v>
      </c>
      <c r="V2807" s="12">
        <f>C2807+2</f>
        <v>40182</v>
      </c>
      <c r="W2807">
        <f>IF(D2807=' Pivot Tables'!$A$4,1,0)</f>
        <v>1</v>
      </c>
      <c r="X2807">
        <f>IF(AND(LEFT(D2807,4)+1=LEFT(' Pivot Tables'!$A$4,4)+0,RIGHT(LEFT(D2807,7),2)=RIGHT(LEFT(' Pivot Tables'!$A$4,7),2)),1,0)</f>
        <v>0</v>
      </c>
      <c r="Y2807" s="6">
        <f>1/COUNTIF(Таблица1[Order ID],Таблица1[[#This Row],[Order ID]])</f>
        <v>0.5</v>
      </c>
      <c r="Z2807" s="9">
        <f>1/COUNTIFS(Таблица1[Customer Name],Таблица1[[#This Row],[Customer Name]],Таблица1[Order-Year-Month],Таблица1[[#This Row],[Order-Year-Month]])</f>
        <v>0.33333333333333331</v>
      </c>
    </row>
    <row r="2808" spans="1:26" x14ac:dyDescent="0.2">
      <c r="A2808" s="6">
        <v>3622</v>
      </c>
      <c r="B2808" s="7">
        <v>25860</v>
      </c>
      <c r="C2808" s="8">
        <f>DATE(2012,12,31)-1094</f>
        <v>40180</v>
      </c>
      <c r="D2808" s="8" t="str">
        <f t="shared" si="53"/>
        <v>2010-01 (январь 2010)</v>
      </c>
      <c r="E2808" s="9" t="s">
        <v>21</v>
      </c>
      <c r="F2808" s="7">
        <v>23</v>
      </c>
      <c r="G2808" s="7">
        <v>1288.7784999999999</v>
      </c>
      <c r="H2808" s="7">
        <v>7.0000000000000007E-2</v>
      </c>
      <c r="I2808" s="9" t="s">
        <v>22</v>
      </c>
      <c r="J2808" s="10">
        <v>-185.88900000000001</v>
      </c>
      <c r="K2808" s="11">
        <v>65.989999999999995</v>
      </c>
      <c r="L2808" s="11">
        <v>19.989999999999998</v>
      </c>
      <c r="M2808" s="9" t="s">
        <v>1513</v>
      </c>
      <c r="N2808" s="6" t="s">
        <v>974</v>
      </c>
      <c r="O2808" s="6" t="s">
        <v>512</v>
      </c>
      <c r="P2808" s="9" t="s">
        <v>33</v>
      </c>
      <c r="Q2808" s="9" t="s">
        <v>42</v>
      </c>
      <c r="R2808" s="9" t="s">
        <v>43</v>
      </c>
      <c r="S2808" s="7" t="s">
        <v>784</v>
      </c>
      <c r="T2808" s="9" t="s">
        <v>39</v>
      </c>
      <c r="U2808" s="7">
        <v>0.59</v>
      </c>
      <c r="V2808" s="12">
        <f>C2808+9</f>
        <v>40189</v>
      </c>
      <c r="W2808">
        <f>IF(D2808=' Pivot Tables'!$A$4,1,0)</f>
        <v>1</v>
      </c>
      <c r="X2808">
        <f>IF(AND(LEFT(D2808,4)+1=LEFT(' Pivot Tables'!$A$4,4)+0,RIGHT(LEFT(D2808,7),2)=RIGHT(LEFT(' Pivot Tables'!$A$4,7),2)),1,0)</f>
        <v>0</v>
      </c>
      <c r="Y2808" s="6">
        <f>1/COUNTIF(Таблица1[Order ID],Таблица1[[#This Row],[Order ID]])</f>
        <v>0.5</v>
      </c>
      <c r="Z2808" s="9">
        <f>1/COUNTIFS(Таблица1[Customer Name],Таблица1[[#This Row],[Customer Name]],Таблица1[Order-Year-Month],Таблица1[[#This Row],[Order-Year-Month]])</f>
        <v>0.33333333333333331</v>
      </c>
    </row>
    <row r="2809" spans="1:26" x14ac:dyDescent="0.2">
      <c r="A2809" s="6">
        <v>121</v>
      </c>
      <c r="B2809" s="7">
        <v>775</v>
      </c>
      <c r="C2809" s="8">
        <f>DATE(2012,12,31)-655</f>
        <v>40619</v>
      </c>
      <c r="D2809" s="8" t="str">
        <f t="shared" si="53"/>
        <v>2011-03 (март 2011)</v>
      </c>
      <c r="E2809" s="9" t="s">
        <v>78</v>
      </c>
      <c r="F2809" s="7">
        <v>35</v>
      </c>
      <c r="G2809" s="7">
        <v>43.57</v>
      </c>
      <c r="H2809" s="7">
        <v>0.1</v>
      </c>
      <c r="I2809" s="9" t="s">
        <v>22</v>
      </c>
      <c r="J2809" s="10">
        <v>-19.170000000000002</v>
      </c>
      <c r="K2809" s="11">
        <v>1.26</v>
      </c>
      <c r="L2809" s="11">
        <v>0.7</v>
      </c>
      <c r="M2809" s="9" t="s">
        <v>1516</v>
      </c>
      <c r="N2809" s="6" t="s">
        <v>974</v>
      </c>
      <c r="O2809" s="6" t="s">
        <v>512</v>
      </c>
      <c r="P2809" s="9" t="s">
        <v>25</v>
      </c>
      <c r="Q2809" s="9" t="s">
        <v>26</v>
      </c>
      <c r="R2809" s="9" t="s">
        <v>66</v>
      </c>
      <c r="S2809" s="7" t="s">
        <v>351</v>
      </c>
      <c r="T2809" s="9" t="s">
        <v>68</v>
      </c>
      <c r="U2809" s="7">
        <v>0.81</v>
      </c>
      <c r="V2809" s="12">
        <f>C2809+1</f>
        <v>40620</v>
      </c>
      <c r="W2809">
        <f>IF(D2809=' Pivot Tables'!$A$4,1,0)</f>
        <v>0</v>
      </c>
      <c r="X2809">
        <f>IF(AND(LEFT(D2809,4)+1=LEFT(' Pivot Tables'!$A$4,4)+0,RIGHT(LEFT(D2809,7),2)=RIGHT(LEFT(' Pivot Tables'!$A$4,7),2)),1,0)</f>
        <v>0</v>
      </c>
      <c r="Y2809" s="6">
        <f>1/COUNTIF(Таблица1[Order ID],Таблица1[[#This Row],[Order ID]])</f>
        <v>0.5</v>
      </c>
      <c r="Z2809" s="9">
        <f>1/COUNTIFS(Таблица1[Customer Name],Таблица1[[#This Row],[Customer Name]],Таблица1[Order-Year-Month],Таблица1[[#This Row],[Order-Year-Month]])</f>
        <v>0.5</v>
      </c>
    </row>
    <row r="2810" spans="1:26" x14ac:dyDescent="0.2">
      <c r="A2810" s="6">
        <v>122</v>
      </c>
      <c r="B2810" s="7">
        <v>775</v>
      </c>
      <c r="C2810" s="8">
        <f>DATE(2012,12,31)-655</f>
        <v>40619</v>
      </c>
      <c r="D2810" s="8" t="str">
        <f t="shared" si="53"/>
        <v>2011-03 (март 2011)</v>
      </c>
      <c r="E2810" s="9" t="s">
        <v>78</v>
      </c>
      <c r="F2810" s="7">
        <v>8</v>
      </c>
      <c r="G2810" s="7">
        <v>31.87</v>
      </c>
      <c r="H2810" s="7">
        <v>0.1</v>
      </c>
      <c r="I2810" s="9" t="s">
        <v>22</v>
      </c>
      <c r="J2810" s="10">
        <v>-1.25</v>
      </c>
      <c r="K2810" s="11">
        <v>4.26</v>
      </c>
      <c r="L2810" s="11">
        <v>1.2</v>
      </c>
      <c r="M2810" s="9" t="s">
        <v>1516</v>
      </c>
      <c r="N2810" s="6" t="s">
        <v>974</v>
      </c>
      <c r="O2810" s="6" t="s">
        <v>512</v>
      </c>
      <c r="P2810" s="9" t="s">
        <v>25</v>
      </c>
      <c r="Q2810" s="9" t="s">
        <v>26</v>
      </c>
      <c r="R2810" s="9" t="s">
        <v>95</v>
      </c>
      <c r="S2810" s="7" t="s">
        <v>865</v>
      </c>
      <c r="T2810" s="9" t="s">
        <v>68</v>
      </c>
      <c r="U2810" s="7">
        <v>0.44</v>
      </c>
      <c r="V2810" s="12">
        <f>C2810+2</f>
        <v>40621</v>
      </c>
      <c r="W2810">
        <f>IF(D2810=' Pivot Tables'!$A$4,1,0)</f>
        <v>0</v>
      </c>
      <c r="X2810">
        <f>IF(AND(LEFT(D2810,4)+1=LEFT(' Pivot Tables'!$A$4,4)+0,RIGHT(LEFT(D2810,7),2)=RIGHT(LEFT(' Pivot Tables'!$A$4,7),2)),1,0)</f>
        <v>0</v>
      </c>
      <c r="Y2810" s="6">
        <f>1/COUNTIF(Таблица1[Order ID],Таблица1[[#This Row],[Order ID]])</f>
        <v>0.5</v>
      </c>
      <c r="Z2810" s="9">
        <f>1/COUNTIFS(Таблица1[Customer Name],Таблица1[[#This Row],[Customer Name]],Таблица1[Order-Year-Month],Таблица1[[#This Row],[Order-Year-Month]])</f>
        <v>0.5</v>
      </c>
    </row>
    <row r="2811" spans="1:26" x14ac:dyDescent="0.2">
      <c r="A2811" s="6">
        <v>141</v>
      </c>
      <c r="B2811" s="7">
        <v>900</v>
      </c>
      <c r="C2811" s="8">
        <f>DATE(2012,12,31)-1188</f>
        <v>40086</v>
      </c>
      <c r="D2811" s="8" t="str">
        <f t="shared" si="53"/>
        <v>2009-09 (сентябрь 2009)</v>
      </c>
      <c r="E2811" s="9" t="s">
        <v>45</v>
      </c>
      <c r="F2811" s="7">
        <v>29</v>
      </c>
      <c r="G2811" s="7">
        <v>1193.6500000000001</v>
      </c>
      <c r="H2811" s="7">
        <v>7.0000000000000007E-2</v>
      </c>
      <c r="I2811" s="9" t="s">
        <v>22</v>
      </c>
      <c r="J2811" s="10">
        <v>507.57749999999999</v>
      </c>
      <c r="K2811" s="11">
        <v>40.98</v>
      </c>
      <c r="L2811" s="11">
        <v>2.99</v>
      </c>
      <c r="M2811" s="9" t="s">
        <v>1517</v>
      </c>
      <c r="N2811" s="6" t="s">
        <v>974</v>
      </c>
      <c r="O2811" s="6" t="s">
        <v>512</v>
      </c>
      <c r="P2811" s="9" t="s">
        <v>60</v>
      </c>
      <c r="Q2811" s="9" t="s">
        <v>26</v>
      </c>
      <c r="R2811" s="9" t="s">
        <v>37</v>
      </c>
      <c r="S2811" s="7" t="s">
        <v>451</v>
      </c>
      <c r="T2811" s="9" t="s">
        <v>39</v>
      </c>
      <c r="U2811" s="7">
        <v>0.36</v>
      </c>
      <c r="V2811" s="12">
        <f>C2811+1</f>
        <v>40087</v>
      </c>
      <c r="W2811">
        <f>IF(D2811=' Pivot Tables'!$A$4,1,0)</f>
        <v>0</v>
      </c>
      <c r="X2811">
        <f>IF(AND(LEFT(D2811,4)+1=LEFT(' Pivot Tables'!$A$4,4)+0,RIGHT(LEFT(D2811,7),2)=RIGHT(LEFT(' Pivot Tables'!$A$4,7),2)),1,0)</f>
        <v>0</v>
      </c>
      <c r="Y2811" s="6">
        <f>1/COUNTIF(Таблица1[Order ID],Таблица1[[#This Row],[Order ID]])</f>
        <v>1</v>
      </c>
      <c r="Z2811" s="9">
        <f>1/COUNTIFS(Таблица1[Customer Name],Таблица1[[#This Row],[Customer Name]],Таблица1[Order-Year-Month],Таблица1[[#This Row],[Order-Year-Month]])</f>
        <v>1</v>
      </c>
    </row>
    <row r="2812" spans="1:26" x14ac:dyDescent="0.2">
      <c r="A2812" s="6">
        <v>154</v>
      </c>
      <c r="B2812" s="7">
        <v>964</v>
      </c>
      <c r="C2812" s="8">
        <f>DATE(2012,12,31)-592</f>
        <v>40682</v>
      </c>
      <c r="D2812" s="8" t="str">
        <f t="shared" si="53"/>
        <v>2011-05 (май 2011)</v>
      </c>
      <c r="E2812" s="9" t="s">
        <v>63</v>
      </c>
      <c r="F2812" s="7">
        <v>4</v>
      </c>
      <c r="G2812" s="7">
        <v>40.020000000000003</v>
      </c>
      <c r="H2812" s="7">
        <v>0.02</v>
      </c>
      <c r="I2812" s="9" t="s">
        <v>22</v>
      </c>
      <c r="J2812" s="10">
        <v>-1.28</v>
      </c>
      <c r="K2812" s="11">
        <v>9.93</v>
      </c>
      <c r="L2812" s="11">
        <v>1.0900000000000001</v>
      </c>
      <c r="M2812" s="9" t="s">
        <v>1518</v>
      </c>
      <c r="N2812" s="6" t="s">
        <v>974</v>
      </c>
      <c r="O2812" s="6" t="s">
        <v>512</v>
      </c>
      <c r="P2812" s="9" t="s">
        <v>41</v>
      </c>
      <c r="Q2812" s="9" t="s">
        <v>26</v>
      </c>
      <c r="R2812" s="9" t="s">
        <v>95</v>
      </c>
      <c r="S2812" s="7" t="s">
        <v>1048</v>
      </c>
      <c r="T2812" s="9" t="s">
        <v>68</v>
      </c>
      <c r="U2812" s="7">
        <v>0.43</v>
      </c>
      <c r="V2812" s="12">
        <f>C2812+2</f>
        <v>40684</v>
      </c>
      <c r="W2812">
        <f>IF(D2812=' Pivot Tables'!$A$4,1,0)</f>
        <v>0</v>
      </c>
      <c r="X2812">
        <f>IF(AND(LEFT(D2812,4)+1=LEFT(' Pivot Tables'!$A$4,4)+0,RIGHT(LEFT(D2812,7),2)=RIGHT(LEFT(' Pivot Tables'!$A$4,7),2)),1,0)</f>
        <v>0</v>
      </c>
      <c r="Y2812" s="6">
        <f>1/COUNTIF(Таблица1[Order ID],Таблица1[[#This Row],[Order ID]])</f>
        <v>0.5</v>
      </c>
      <c r="Z2812" s="9">
        <f>1/COUNTIFS(Таблица1[Customer Name],Таблица1[[#This Row],[Customer Name]],Таблица1[Order-Year-Month],Таблица1[[#This Row],[Order-Year-Month]])</f>
        <v>0.25</v>
      </c>
    </row>
    <row r="2813" spans="1:26" x14ac:dyDescent="0.2">
      <c r="A2813" s="6">
        <v>394</v>
      </c>
      <c r="B2813" s="7">
        <v>2722</v>
      </c>
      <c r="C2813" s="8">
        <f>DATE(2012,12,31)-1363</f>
        <v>39911</v>
      </c>
      <c r="D2813" s="8" t="str">
        <f t="shared" si="53"/>
        <v>2009-04 (апрель 2009)</v>
      </c>
      <c r="E2813" s="9" t="s">
        <v>21</v>
      </c>
      <c r="F2813" s="7">
        <v>46</v>
      </c>
      <c r="G2813" s="7">
        <v>1895.55</v>
      </c>
      <c r="H2813" s="7">
        <v>0.06</v>
      </c>
      <c r="I2813" s="9" t="s">
        <v>22</v>
      </c>
      <c r="J2813" s="10">
        <v>807.62</v>
      </c>
      <c r="K2813" s="11">
        <v>40.97</v>
      </c>
      <c r="L2813" s="11">
        <v>1.99</v>
      </c>
      <c r="M2813" s="9" t="s">
        <v>1474</v>
      </c>
      <c r="N2813" s="6" t="s">
        <v>974</v>
      </c>
      <c r="O2813" s="6" t="s">
        <v>512</v>
      </c>
      <c r="P2813" s="9" t="s">
        <v>33</v>
      </c>
      <c r="Q2813" s="9" t="s">
        <v>42</v>
      </c>
      <c r="R2813" s="9" t="s">
        <v>70</v>
      </c>
      <c r="S2813" s="7" t="s">
        <v>1519</v>
      </c>
      <c r="T2813" s="9" t="s">
        <v>52</v>
      </c>
      <c r="U2813" s="7">
        <v>0.42</v>
      </c>
      <c r="V2813" s="12">
        <f>C2813+4</f>
        <v>39915</v>
      </c>
      <c r="W2813">
        <f>IF(D2813=' Pivot Tables'!$A$4,1,0)</f>
        <v>0</v>
      </c>
      <c r="X2813">
        <f>IF(AND(LEFT(D2813,4)+1=LEFT(' Pivot Tables'!$A$4,4)+0,RIGHT(LEFT(D2813,7),2)=RIGHT(LEFT(' Pivot Tables'!$A$4,7),2)),1,0)</f>
        <v>0</v>
      </c>
      <c r="Y2813" s="6">
        <f>1/COUNTIF(Таблица1[Order ID],Таблица1[[#This Row],[Order ID]])</f>
        <v>1</v>
      </c>
      <c r="Z2813" s="9">
        <f>1/COUNTIFS(Таблица1[Customer Name],Таблица1[[#This Row],[Customer Name]],Таблица1[Order-Year-Month],Таблица1[[#This Row],[Order-Year-Month]])</f>
        <v>1</v>
      </c>
    </row>
    <row r="2814" spans="1:26" x14ac:dyDescent="0.2">
      <c r="A2814" s="6">
        <v>454</v>
      </c>
      <c r="B2814" s="7">
        <v>3078</v>
      </c>
      <c r="C2814" s="8">
        <f>DATE(2012,12,31)-1054</f>
        <v>40220</v>
      </c>
      <c r="D2814" s="8" t="str">
        <f t="shared" si="53"/>
        <v>2010-02 (февраль 2010)</v>
      </c>
      <c r="E2814" s="9" t="s">
        <v>30</v>
      </c>
      <c r="F2814" s="7">
        <v>1</v>
      </c>
      <c r="G2814" s="7">
        <v>316.61</v>
      </c>
      <c r="H2814" s="7">
        <v>0.1</v>
      </c>
      <c r="I2814" s="9" t="s">
        <v>31</v>
      </c>
      <c r="J2814" s="10">
        <v>-187.29</v>
      </c>
      <c r="K2814" s="11">
        <v>291.73</v>
      </c>
      <c r="L2814" s="11">
        <v>48.8</v>
      </c>
      <c r="M2814" s="9" t="s">
        <v>1520</v>
      </c>
      <c r="N2814" s="6" t="s">
        <v>974</v>
      </c>
      <c r="O2814" s="6" t="s">
        <v>512</v>
      </c>
      <c r="P2814" s="9" t="s">
        <v>41</v>
      </c>
      <c r="Q2814" s="9" t="s">
        <v>49</v>
      </c>
      <c r="R2814" s="9" t="s">
        <v>112</v>
      </c>
      <c r="S2814" s="7" t="s">
        <v>373</v>
      </c>
      <c r="T2814" s="9" t="s">
        <v>36</v>
      </c>
      <c r="U2814" s="7">
        <v>0.56000000000000005</v>
      </c>
      <c r="V2814" s="12">
        <f>C2814+2</f>
        <v>40222</v>
      </c>
      <c r="W2814">
        <f>IF(D2814=' Pivot Tables'!$A$4,1,0)</f>
        <v>0</v>
      </c>
      <c r="X2814">
        <f>IF(AND(LEFT(D2814,4)+1=LEFT(' Pivot Tables'!$A$4,4)+0,RIGHT(LEFT(D2814,7),2)=RIGHT(LEFT(' Pivot Tables'!$A$4,7),2)),1,0)</f>
        <v>0</v>
      </c>
      <c r="Y2814" s="6">
        <f>1/COUNTIF(Таблица1[Order ID],Таблица1[[#This Row],[Order ID]])</f>
        <v>0.5</v>
      </c>
      <c r="Z2814" s="9">
        <f>1/COUNTIFS(Таблица1[Customer Name],Таблица1[[#This Row],[Customer Name]],Таблица1[Order-Year-Month],Таблица1[[#This Row],[Order-Year-Month]])</f>
        <v>0.5</v>
      </c>
    </row>
    <row r="2815" spans="1:26" x14ac:dyDescent="0.2">
      <c r="A2815" s="6">
        <v>496</v>
      </c>
      <c r="B2815" s="7">
        <v>3456</v>
      </c>
      <c r="C2815" s="8">
        <f>DATE(2012,12,31)-945</f>
        <v>40329</v>
      </c>
      <c r="D2815" s="8" t="str">
        <f t="shared" si="53"/>
        <v>2010-05 (май 2010)</v>
      </c>
      <c r="E2815" s="9" t="s">
        <v>21</v>
      </c>
      <c r="F2815" s="7">
        <v>20</v>
      </c>
      <c r="G2815" s="7">
        <v>5418.68</v>
      </c>
      <c r="H2815" s="7">
        <v>7.0000000000000007E-2</v>
      </c>
      <c r="I2815" s="9" t="s">
        <v>31</v>
      </c>
      <c r="J2815" s="10">
        <v>332.30070000000001</v>
      </c>
      <c r="K2815" s="11">
        <v>280.98</v>
      </c>
      <c r="L2815" s="11">
        <v>35.67</v>
      </c>
      <c r="M2815" s="9" t="s">
        <v>1477</v>
      </c>
      <c r="N2815" s="6" t="s">
        <v>974</v>
      </c>
      <c r="O2815" s="6" t="s">
        <v>512</v>
      </c>
      <c r="P2815" s="9" t="s">
        <v>25</v>
      </c>
      <c r="Q2815" s="9" t="s">
        <v>49</v>
      </c>
      <c r="R2815" s="9" t="s">
        <v>83</v>
      </c>
      <c r="S2815" s="7" t="s">
        <v>526</v>
      </c>
      <c r="T2815" s="9" t="s">
        <v>82</v>
      </c>
      <c r="U2815" s="7">
        <v>0.66</v>
      </c>
      <c r="V2815" s="12">
        <f>C2815+4</f>
        <v>40333</v>
      </c>
      <c r="W2815">
        <f>IF(D2815=' Pivot Tables'!$A$4,1,0)</f>
        <v>0</v>
      </c>
      <c r="X2815">
        <f>IF(AND(LEFT(D2815,4)+1=LEFT(' Pivot Tables'!$A$4,4)+0,RIGHT(LEFT(D2815,7),2)=RIGHT(LEFT(' Pivot Tables'!$A$4,7),2)),1,0)</f>
        <v>0</v>
      </c>
      <c r="Y2815" s="6">
        <f>1/COUNTIF(Таблица1[Order ID],Таблица1[[#This Row],[Order ID]])</f>
        <v>1</v>
      </c>
      <c r="Z2815" s="9">
        <f>1/COUNTIFS(Таблица1[Customer Name],Таблица1[[#This Row],[Customer Name]],Таблица1[Order-Year-Month],Таблица1[[#This Row],[Order-Year-Month]])</f>
        <v>0.33333333333333331</v>
      </c>
    </row>
    <row r="2816" spans="1:26" x14ac:dyDescent="0.2">
      <c r="A2816" s="6">
        <v>518</v>
      </c>
      <c r="B2816" s="7">
        <v>3556</v>
      </c>
      <c r="C2816" s="8">
        <f>DATE(2012,12,31)-100</f>
        <v>41174</v>
      </c>
      <c r="D2816" s="8" t="str">
        <f t="shared" si="53"/>
        <v>2012-09 (сентябрь 2012)</v>
      </c>
      <c r="E2816" s="9" t="s">
        <v>45</v>
      </c>
      <c r="F2816" s="7">
        <v>48</v>
      </c>
      <c r="G2816" s="7">
        <v>269.37</v>
      </c>
      <c r="H2816" s="7">
        <v>0.05</v>
      </c>
      <c r="I2816" s="9" t="s">
        <v>22</v>
      </c>
      <c r="J2816" s="10">
        <v>-103.54600000000001</v>
      </c>
      <c r="K2816" s="11">
        <v>5.74</v>
      </c>
      <c r="L2816" s="11">
        <v>5.01</v>
      </c>
      <c r="M2816" s="9" t="s">
        <v>1477</v>
      </c>
      <c r="N2816" s="6" t="s">
        <v>974</v>
      </c>
      <c r="O2816" s="6" t="s">
        <v>512</v>
      </c>
      <c r="P2816" s="9" t="s">
        <v>60</v>
      </c>
      <c r="Q2816" s="9" t="s">
        <v>26</v>
      </c>
      <c r="R2816" s="9" t="s">
        <v>37</v>
      </c>
      <c r="S2816" s="7" t="s">
        <v>363</v>
      </c>
      <c r="T2816" s="9" t="s">
        <v>39</v>
      </c>
      <c r="U2816" s="7">
        <v>0.39</v>
      </c>
      <c r="V2816" s="12">
        <f>C2816+3</f>
        <v>41177</v>
      </c>
      <c r="W2816">
        <f>IF(D2816=' Pivot Tables'!$A$4,1,0)</f>
        <v>0</v>
      </c>
      <c r="X2816">
        <f>IF(AND(LEFT(D2816,4)+1=LEFT(' Pivot Tables'!$A$4,4)+0,RIGHT(LEFT(D2816,7),2)=RIGHT(LEFT(' Pivot Tables'!$A$4,7),2)),1,0)</f>
        <v>0</v>
      </c>
      <c r="Y2816" s="6">
        <f>1/COUNTIF(Таблица1[Order ID],Таблица1[[#This Row],[Order ID]])</f>
        <v>0.5</v>
      </c>
      <c r="Z2816" s="9">
        <f>1/COUNTIFS(Таблица1[Customer Name],Таблица1[[#This Row],[Customer Name]],Таблица1[Order-Year-Month],Таблица1[[#This Row],[Order-Year-Month]])</f>
        <v>0.5</v>
      </c>
    </row>
    <row r="2817" spans="1:26" x14ac:dyDescent="0.2">
      <c r="A2817" s="6">
        <v>542</v>
      </c>
      <c r="B2817" s="7">
        <v>3654</v>
      </c>
      <c r="C2817" s="8">
        <f>DATE(2012,12,31)-212</f>
        <v>41062</v>
      </c>
      <c r="D2817" s="8" t="str">
        <f t="shared" si="53"/>
        <v>2012-06 (июнь 2012)</v>
      </c>
      <c r="E2817" s="9" t="s">
        <v>21</v>
      </c>
      <c r="F2817" s="7">
        <v>39</v>
      </c>
      <c r="G2817" s="7">
        <v>7338.79</v>
      </c>
      <c r="H2817" s="7">
        <v>0.03</v>
      </c>
      <c r="I2817" s="9" t="s">
        <v>22</v>
      </c>
      <c r="J2817" s="10">
        <v>4031.62</v>
      </c>
      <c r="K2817" s="11">
        <v>204.1</v>
      </c>
      <c r="L2817" s="11">
        <v>13.99</v>
      </c>
      <c r="M2817" s="9" t="s">
        <v>1459</v>
      </c>
      <c r="N2817" s="6" t="s">
        <v>974</v>
      </c>
      <c r="O2817" s="6" t="s">
        <v>512</v>
      </c>
      <c r="P2817" s="9" t="s">
        <v>41</v>
      </c>
      <c r="Q2817" s="9" t="s">
        <v>42</v>
      </c>
      <c r="R2817" s="9" t="s">
        <v>210</v>
      </c>
      <c r="S2817" s="7" t="s">
        <v>470</v>
      </c>
      <c r="T2817" s="9" t="s">
        <v>48</v>
      </c>
      <c r="U2817" s="7">
        <v>0.37</v>
      </c>
      <c r="V2817" s="12">
        <f>C2817+5</f>
        <v>41067</v>
      </c>
      <c r="W2817">
        <f>IF(D2817=' Pivot Tables'!$A$4,1,0)</f>
        <v>0</v>
      </c>
      <c r="X2817">
        <f>IF(AND(LEFT(D2817,4)+1=LEFT(' Pivot Tables'!$A$4,4)+0,RIGHT(LEFT(D2817,7),2)=RIGHT(LEFT(' Pivot Tables'!$A$4,7),2)),1,0)</f>
        <v>0</v>
      </c>
      <c r="Y2817" s="6">
        <f>1/COUNTIF(Таблица1[Order ID],Таблица1[[#This Row],[Order ID]])</f>
        <v>0.33333333333333331</v>
      </c>
      <c r="Z2817" s="9">
        <f>1/COUNTIFS(Таблица1[Customer Name],Таблица1[[#This Row],[Customer Name]],Таблица1[Order-Year-Month],Таблица1[[#This Row],[Order-Year-Month]])</f>
        <v>0.33333333333333331</v>
      </c>
    </row>
    <row r="2818" spans="1:26" x14ac:dyDescent="0.2">
      <c r="A2818" s="6">
        <v>543</v>
      </c>
      <c r="B2818" s="7">
        <v>3654</v>
      </c>
      <c r="C2818" s="8">
        <f>DATE(2012,12,31)-212</f>
        <v>41062</v>
      </c>
      <c r="D2818" s="8" t="str">
        <f t="shared" si="53"/>
        <v>2012-06 (июнь 2012)</v>
      </c>
      <c r="E2818" s="9" t="s">
        <v>21</v>
      </c>
      <c r="F2818" s="7">
        <v>47</v>
      </c>
      <c r="G2818" s="7">
        <v>12569.31</v>
      </c>
      <c r="H2818" s="7">
        <v>0.1</v>
      </c>
      <c r="I2818" s="9" t="s">
        <v>31</v>
      </c>
      <c r="J2818" s="10">
        <v>3160.63</v>
      </c>
      <c r="K2818" s="11">
        <v>279.81</v>
      </c>
      <c r="L2818" s="11">
        <v>23.19</v>
      </c>
      <c r="M2818" s="9" t="s">
        <v>1459</v>
      </c>
      <c r="N2818" s="6" t="s">
        <v>974</v>
      </c>
      <c r="O2818" s="6" t="s">
        <v>512</v>
      </c>
      <c r="P2818" s="9" t="s">
        <v>41</v>
      </c>
      <c r="Q2818" s="9" t="s">
        <v>26</v>
      </c>
      <c r="R2818" s="9" t="s">
        <v>34</v>
      </c>
      <c r="S2818" s="7" t="s">
        <v>494</v>
      </c>
      <c r="T2818" s="9" t="s">
        <v>36</v>
      </c>
      <c r="U2818" s="7">
        <v>0.59</v>
      </c>
      <c r="V2818" s="12">
        <f>C2818+0</f>
        <v>41062</v>
      </c>
      <c r="W2818">
        <f>IF(D2818=' Pivot Tables'!$A$4,1,0)</f>
        <v>0</v>
      </c>
      <c r="X2818">
        <f>IF(AND(LEFT(D2818,4)+1=LEFT(' Pivot Tables'!$A$4,4)+0,RIGHT(LEFT(D2818,7),2)=RIGHT(LEFT(' Pivot Tables'!$A$4,7),2)),1,0)</f>
        <v>0</v>
      </c>
      <c r="Y2818" s="6">
        <f>1/COUNTIF(Таблица1[Order ID],Таблица1[[#This Row],[Order ID]])</f>
        <v>0.33333333333333331</v>
      </c>
      <c r="Z2818" s="9">
        <f>1/COUNTIFS(Таблица1[Customer Name],Таблица1[[#This Row],[Customer Name]],Таблица1[Order-Year-Month],Таблица1[[#This Row],[Order-Year-Month]])</f>
        <v>0.33333333333333331</v>
      </c>
    </row>
    <row r="2819" spans="1:26" x14ac:dyDescent="0.2">
      <c r="A2819" s="6">
        <v>546</v>
      </c>
      <c r="B2819" s="7">
        <v>3680</v>
      </c>
      <c r="C2819" s="8">
        <f>DATE(2012,12,31)-22</f>
        <v>41252</v>
      </c>
      <c r="D2819" s="8" t="str">
        <f t="shared" ref="D2819:D2882" si="54">TEXT(C2819,"гггг-ММ (ММММ гггг)")</f>
        <v>2012-12 (декабрь 2012)</v>
      </c>
      <c r="E2819" s="9" t="s">
        <v>45</v>
      </c>
      <c r="F2819" s="7">
        <v>27</v>
      </c>
      <c r="G2819" s="7">
        <v>177.95</v>
      </c>
      <c r="H2819" s="7">
        <v>0.09</v>
      </c>
      <c r="I2819" s="9" t="s">
        <v>22</v>
      </c>
      <c r="J2819" s="10">
        <v>-61.75</v>
      </c>
      <c r="K2819" s="11">
        <v>6.48</v>
      </c>
      <c r="L2819" s="11">
        <v>6</v>
      </c>
      <c r="M2819" s="9" t="s">
        <v>1521</v>
      </c>
      <c r="N2819" s="6" t="s">
        <v>974</v>
      </c>
      <c r="O2819" s="6" t="s">
        <v>512</v>
      </c>
      <c r="P2819" s="9" t="s">
        <v>41</v>
      </c>
      <c r="Q2819" s="9" t="s">
        <v>26</v>
      </c>
      <c r="R2819" s="9" t="s">
        <v>61</v>
      </c>
      <c r="S2819" s="7" t="s">
        <v>1522</v>
      </c>
      <c r="T2819" s="9" t="s">
        <v>39</v>
      </c>
      <c r="U2819" s="7">
        <v>0.37</v>
      </c>
      <c r="V2819" s="12">
        <f>C2819+2</f>
        <v>41254</v>
      </c>
      <c r="W2819">
        <f>IF(D2819=' Pivot Tables'!$A$4,1,0)</f>
        <v>0</v>
      </c>
      <c r="X2819">
        <f>IF(AND(LEFT(D2819,4)+1=LEFT(' Pivot Tables'!$A$4,4)+0,RIGHT(LEFT(D2819,7),2)=RIGHT(LEFT(' Pivot Tables'!$A$4,7),2)),1,0)</f>
        <v>0</v>
      </c>
      <c r="Y2819" s="6">
        <f>1/COUNTIF(Таблица1[Order ID],Таблица1[[#This Row],[Order ID]])</f>
        <v>0.5</v>
      </c>
      <c r="Z2819" s="9">
        <f>1/COUNTIFS(Таблица1[Customer Name],Таблица1[[#This Row],[Customer Name]],Таблица1[Order-Year-Month],Таблица1[[#This Row],[Order-Year-Month]])</f>
        <v>0.25</v>
      </c>
    </row>
    <row r="2820" spans="1:26" x14ac:dyDescent="0.2">
      <c r="A2820" s="6">
        <v>579</v>
      </c>
      <c r="B2820" s="7">
        <v>3942</v>
      </c>
      <c r="C2820" s="8">
        <f>DATE(2012,12,31)-918</f>
        <v>40356</v>
      </c>
      <c r="D2820" s="8" t="str">
        <f t="shared" si="54"/>
        <v>2010-06 (июнь 2010)</v>
      </c>
      <c r="E2820" s="9" t="s">
        <v>45</v>
      </c>
      <c r="F2820" s="7">
        <v>11</v>
      </c>
      <c r="G2820" s="7">
        <v>225.14</v>
      </c>
      <c r="H2820" s="7">
        <v>0.08</v>
      </c>
      <c r="I2820" s="9" t="s">
        <v>22</v>
      </c>
      <c r="J2820" s="10">
        <v>-42.61</v>
      </c>
      <c r="K2820" s="11">
        <v>20.149999999999999</v>
      </c>
      <c r="L2820" s="11">
        <v>8.99</v>
      </c>
      <c r="M2820" s="9" t="s">
        <v>1456</v>
      </c>
      <c r="N2820" s="6" t="s">
        <v>974</v>
      </c>
      <c r="O2820" s="6" t="s">
        <v>512</v>
      </c>
      <c r="P2820" s="9" t="s">
        <v>25</v>
      </c>
      <c r="Q2820" s="9" t="s">
        <v>26</v>
      </c>
      <c r="R2820" s="9" t="s">
        <v>95</v>
      </c>
      <c r="S2820" s="7" t="s">
        <v>634</v>
      </c>
      <c r="T2820" s="9" t="s">
        <v>52</v>
      </c>
      <c r="U2820" s="7">
        <v>0.57999999999999996</v>
      </c>
      <c r="V2820" s="12">
        <f>C2820+1</f>
        <v>40357</v>
      </c>
      <c r="W2820">
        <f>IF(D2820=' Pivot Tables'!$A$4,1,0)</f>
        <v>0</v>
      </c>
      <c r="X2820">
        <f>IF(AND(LEFT(D2820,4)+1=LEFT(' Pivot Tables'!$A$4,4)+0,RIGHT(LEFT(D2820,7),2)=RIGHT(LEFT(' Pivot Tables'!$A$4,7),2)),1,0)</f>
        <v>0</v>
      </c>
      <c r="Y2820" s="6">
        <f>1/COUNTIF(Таблица1[Order ID],Таблица1[[#This Row],[Order ID]])</f>
        <v>0.5</v>
      </c>
      <c r="Z2820" s="9">
        <f>1/COUNTIFS(Таблица1[Customer Name],Таблица1[[#This Row],[Customer Name]],Таблица1[Order-Year-Month],Таблица1[[#This Row],[Order-Year-Month]])</f>
        <v>0.25</v>
      </c>
    </row>
    <row r="2821" spans="1:26" x14ac:dyDescent="0.2">
      <c r="A2821" s="6">
        <v>609</v>
      </c>
      <c r="B2821" s="7">
        <v>4162</v>
      </c>
      <c r="C2821" s="8">
        <f>DATE(2012,12,31)-326</f>
        <v>40948</v>
      </c>
      <c r="D2821" s="8" t="str">
        <f t="shared" si="54"/>
        <v>2012-02 (февраль 2012)</v>
      </c>
      <c r="E2821" s="9" t="s">
        <v>21</v>
      </c>
      <c r="F2821" s="7">
        <v>2</v>
      </c>
      <c r="G2821" s="7">
        <v>381.6</v>
      </c>
      <c r="H2821" s="7">
        <v>0.1</v>
      </c>
      <c r="I2821" s="9" t="s">
        <v>22</v>
      </c>
      <c r="J2821" s="10">
        <v>-319.02</v>
      </c>
      <c r="K2821" s="11">
        <v>193.17</v>
      </c>
      <c r="L2821" s="11">
        <v>19.989999999999998</v>
      </c>
      <c r="M2821" s="9" t="s">
        <v>1523</v>
      </c>
      <c r="N2821" s="6" t="s">
        <v>974</v>
      </c>
      <c r="O2821" s="6" t="s">
        <v>512</v>
      </c>
      <c r="P2821" s="9" t="s">
        <v>25</v>
      </c>
      <c r="Q2821" s="9" t="s">
        <v>26</v>
      </c>
      <c r="R2821" s="9" t="s">
        <v>27</v>
      </c>
      <c r="S2821" s="7" t="s">
        <v>338</v>
      </c>
      <c r="T2821" s="9" t="s">
        <v>39</v>
      </c>
      <c r="U2821" s="7">
        <v>0.71</v>
      </c>
      <c r="V2821" s="12">
        <f>C2821+4</f>
        <v>40952</v>
      </c>
      <c r="W2821">
        <f>IF(D2821=' Pivot Tables'!$A$4,1,0)</f>
        <v>0</v>
      </c>
      <c r="X2821">
        <f>IF(AND(LEFT(D2821,4)+1=LEFT(' Pivot Tables'!$A$4,4)+0,RIGHT(LEFT(D2821,7),2)=RIGHT(LEFT(' Pivot Tables'!$A$4,7),2)),1,0)</f>
        <v>0</v>
      </c>
      <c r="Y2821" s="6">
        <f>1/COUNTIF(Таблица1[Order ID],Таблица1[[#This Row],[Order ID]])</f>
        <v>1</v>
      </c>
      <c r="Z2821" s="9">
        <f>1/COUNTIFS(Таблица1[Customer Name],Таблица1[[#This Row],[Customer Name]],Таблица1[Order-Year-Month],Таблица1[[#This Row],[Order-Year-Month]])</f>
        <v>1</v>
      </c>
    </row>
    <row r="2822" spans="1:26" x14ac:dyDescent="0.2">
      <c r="A2822" s="6">
        <v>699</v>
      </c>
      <c r="B2822" s="7">
        <v>4896</v>
      </c>
      <c r="C2822" s="8">
        <f>DATE(2012,12,31)-132</f>
        <v>41142</v>
      </c>
      <c r="D2822" s="8" t="str">
        <f t="shared" si="54"/>
        <v>2012-08 (август 2012)</v>
      </c>
      <c r="E2822" s="9" t="s">
        <v>78</v>
      </c>
      <c r="F2822" s="7">
        <v>25</v>
      </c>
      <c r="G2822" s="7">
        <v>831.52</v>
      </c>
      <c r="H2822" s="7">
        <v>7.0000000000000007E-2</v>
      </c>
      <c r="I2822" s="9" t="s">
        <v>22</v>
      </c>
      <c r="J2822" s="10">
        <v>259.47000000000003</v>
      </c>
      <c r="K2822" s="11">
        <v>35.409999999999997</v>
      </c>
      <c r="L2822" s="11">
        <v>1.99</v>
      </c>
      <c r="M2822" s="9" t="s">
        <v>1524</v>
      </c>
      <c r="N2822" s="6" t="s">
        <v>974</v>
      </c>
      <c r="O2822" s="6" t="s">
        <v>512</v>
      </c>
      <c r="P2822" s="9" t="s">
        <v>25</v>
      </c>
      <c r="Q2822" s="9" t="s">
        <v>42</v>
      </c>
      <c r="R2822" s="9" t="s">
        <v>70</v>
      </c>
      <c r="S2822" s="7" t="s">
        <v>971</v>
      </c>
      <c r="T2822" s="9" t="s">
        <v>52</v>
      </c>
      <c r="U2822" s="7">
        <v>0.43</v>
      </c>
      <c r="V2822" s="12">
        <f>C2822+0</f>
        <v>41142</v>
      </c>
      <c r="W2822">
        <f>IF(D2822=' Pivot Tables'!$A$4,1,0)</f>
        <v>0</v>
      </c>
      <c r="X2822">
        <f>IF(AND(LEFT(D2822,4)+1=LEFT(' Pivot Tables'!$A$4,4)+0,RIGHT(LEFT(D2822,7),2)=RIGHT(LEFT(' Pivot Tables'!$A$4,7),2)),1,0)</f>
        <v>0</v>
      </c>
      <c r="Y2822" s="6">
        <f>1/COUNTIF(Таблица1[Order ID],Таблица1[[#This Row],[Order ID]])</f>
        <v>0.33333333333333331</v>
      </c>
      <c r="Z2822" s="9">
        <f>1/COUNTIFS(Таблица1[Customer Name],Таблица1[[#This Row],[Customer Name]],Таблица1[Order-Year-Month],Таблица1[[#This Row],[Order-Year-Month]])</f>
        <v>0.33333333333333331</v>
      </c>
    </row>
    <row r="2823" spans="1:26" x14ac:dyDescent="0.2">
      <c r="A2823" s="6">
        <v>700</v>
      </c>
      <c r="B2823" s="7">
        <v>4896</v>
      </c>
      <c r="C2823" s="8">
        <f>DATE(2012,12,31)-132</f>
        <v>41142</v>
      </c>
      <c r="D2823" s="8" t="str">
        <f t="shared" si="54"/>
        <v>2012-08 (август 2012)</v>
      </c>
      <c r="E2823" s="9" t="s">
        <v>78</v>
      </c>
      <c r="F2823" s="7">
        <v>10</v>
      </c>
      <c r="G2823" s="7">
        <v>1089.8699999999999</v>
      </c>
      <c r="H2823" s="7">
        <v>0.06</v>
      </c>
      <c r="I2823" s="9" t="s">
        <v>56</v>
      </c>
      <c r="J2823" s="10">
        <v>-124.509</v>
      </c>
      <c r="K2823" s="11">
        <v>125.99</v>
      </c>
      <c r="L2823" s="11">
        <v>5.99</v>
      </c>
      <c r="M2823" s="9" t="s">
        <v>1524</v>
      </c>
      <c r="N2823" s="6" t="s">
        <v>974</v>
      </c>
      <c r="O2823" s="6" t="s">
        <v>512</v>
      </c>
      <c r="P2823" s="9" t="s">
        <v>25</v>
      </c>
      <c r="Q2823" s="9" t="s">
        <v>42</v>
      </c>
      <c r="R2823" s="9" t="s">
        <v>43</v>
      </c>
      <c r="S2823" s="7" t="s">
        <v>1525</v>
      </c>
      <c r="T2823" s="9" t="s">
        <v>39</v>
      </c>
      <c r="U2823" s="7">
        <v>0.56000000000000005</v>
      </c>
      <c r="V2823" s="12">
        <f>C2823+2</f>
        <v>41144</v>
      </c>
      <c r="W2823">
        <f>IF(D2823=' Pivot Tables'!$A$4,1,0)</f>
        <v>0</v>
      </c>
      <c r="X2823">
        <f>IF(AND(LEFT(D2823,4)+1=LEFT(' Pivot Tables'!$A$4,4)+0,RIGHT(LEFT(D2823,7),2)=RIGHT(LEFT(' Pivot Tables'!$A$4,7),2)),1,0)</f>
        <v>0</v>
      </c>
      <c r="Y2823" s="6">
        <f>1/COUNTIF(Таблица1[Order ID],Таблица1[[#This Row],[Order ID]])</f>
        <v>0.33333333333333331</v>
      </c>
      <c r="Z2823" s="9">
        <f>1/COUNTIFS(Таблица1[Customer Name],Таблица1[[#This Row],[Customer Name]],Таблица1[Order-Year-Month],Таблица1[[#This Row],[Order-Year-Month]])</f>
        <v>0.33333333333333331</v>
      </c>
    </row>
    <row r="2824" spans="1:26" x14ac:dyDescent="0.2">
      <c r="A2824" s="6">
        <v>708</v>
      </c>
      <c r="B2824" s="7">
        <v>4965</v>
      </c>
      <c r="C2824" s="8">
        <f>DATE(2012,12,31)-803</f>
        <v>40471</v>
      </c>
      <c r="D2824" s="8" t="str">
        <f t="shared" si="54"/>
        <v>2010-10 (октябрь 2010)</v>
      </c>
      <c r="E2824" s="9" t="s">
        <v>21</v>
      </c>
      <c r="F2824" s="7">
        <v>14</v>
      </c>
      <c r="G2824" s="7">
        <v>1068.79</v>
      </c>
      <c r="H2824" s="7">
        <v>7.0000000000000007E-2</v>
      </c>
      <c r="I2824" s="9" t="s">
        <v>22</v>
      </c>
      <c r="J2824" s="10">
        <v>56.05</v>
      </c>
      <c r="K2824" s="11">
        <v>76.72</v>
      </c>
      <c r="L2824" s="11">
        <v>19.95</v>
      </c>
      <c r="M2824" s="9" t="s">
        <v>1520</v>
      </c>
      <c r="N2824" s="6" t="s">
        <v>974</v>
      </c>
      <c r="O2824" s="6" t="s">
        <v>512</v>
      </c>
      <c r="P2824" s="9" t="s">
        <v>41</v>
      </c>
      <c r="Q2824" s="9" t="s">
        <v>26</v>
      </c>
      <c r="R2824" s="9" t="s">
        <v>34</v>
      </c>
      <c r="S2824" s="7" t="s">
        <v>447</v>
      </c>
      <c r="T2824" s="9" t="s">
        <v>29</v>
      </c>
      <c r="U2824" s="7">
        <v>0.54</v>
      </c>
      <c r="V2824" s="12">
        <f>C2824+0</f>
        <v>40471</v>
      </c>
      <c r="W2824">
        <f>IF(D2824=' Pivot Tables'!$A$4,1,0)</f>
        <v>0</v>
      </c>
      <c r="X2824">
        <f>IF(AND(LEFT(D2824,4)+1=LEFT(' Pivot Tables'!$A$4,4)+0,RIGHT(LEFT(D2824,7),2)=RIGHT(LEFT(' Pivot Tables'!$A$4,7),2)),1,0)</f>
        <v>0</v>
      </c>
      <c r="Y2824" s="6">
        <f>1/COUNTIF(Таблица1[Order ID],Таблица1[[#This Row],[Order ID]])</f>
        <v>0.5</v>
      </c>
      <c r="Z2824" s="9">
        <f>1/COUNTIFS(Таблица1[Customer Name],Таблица1[[#This Row],[Customer Name]],Таблица1[Order-Year-Month],Таблица1[[#This Row],[Order-Year-Month]])</f>
        <v>0.5</v>
      </c>
    </row>
    <row r="2825" spans="1:26" x14ac:dyDescent="0.2">
      <c r="A2825" s="6">
        <v>809</v>
      </c>
      <c r="B2825" s="7">
        <v>5830</v>
      </c>
      <c r="C2825" s="8">
        <f>DATE(2012,12,31)-1013</f>
        <v>40261</v>
      </c>
      <c r="D2825" s="8" t="str">
        <f t="shared" si="54"/>
        <v>2010-03 (март 2010)</v>
      </c>
      <c r="E2825" s="9" t="s">
        <v>63</v>
      </c>
      <c r="F2825" s="7">
        <v>49</v>
      </c>
      <c r="G2825" s="7">
        <v>2012.14</v>
      </c>
      <c r="H2825" s="7">
        <v>7.0000000000000007E-2</v>
      </c>
      <c r="I2825" s="9" t="s">
        <v>22</v>
      </c>
      <c r="J2825" s="10">
        <v>241.74</v>
      </c>
      <c r="K2825" s="11">
        <v>40.97</v>
      </c>
      <c r="L2825" s="11">
        <v>14.45</v>
      </c>
      <c r="M2825" s="9" t="s">
        <v>1526</v>
      </c>
      <c r="N2825" s="6" t="s">
        <v>974</v>
      </c>
      <c r="O2825" s="6" t="s">
        <v>512</v>
      </c>
      <c r="P2825" s="9" t="s">
        <v>41</v>
      </c>
      <c r="Q2825" s="9" t="s">
        <v>49</v>
      </c>
      <c r="R2825" s="9" t="s">
        <v>50</v>
      </c>
      <c r="S2825" s="7" t="s">
        <v>310</v>
      </c>
      <c r="T2825" s="9" t="s">
        <v>29</v>
      </c>
      <c r="U2825" s="7">
        <v>0.56999999999999995</v>
      </c>
      <c r="V2825" s="12">
        <f>C2825+1</f>
        <v>40262</v>
      </c>
      <c r="W2825">
        <f>IF(D2825=' Pivot Tables'!$A$4,1,0)</f>
        <v>0</v>
      </c>
      <c r="X2825">
        <f>IF(AND(LEFT(D2825,4)+1=LEFT(' Pivot Tables'!$A$4,4)+0,RIGHT(LEFT(D2825,7),2)=RIGHT(LEFT(' Pivot Tables'!$A$4,7),2)),1,0)</f>
        <v>0</v>
      </c>
      <c r="Y2825" s="6">
        <f>1/COUNTIF(Таблица1[Order ID],Таблица1[[#This Row],[Order ID]])</f>
        <v>1</v>
      </c>
      <c r="Z2825" s="9">
        <f>1/COUNTIFS(Таблица1[Customer Name],Таблица1[[#This Row],[Customer Name]],Таблица1[Order-Year-Month],Таблица1[[#This Row],[Order-Year-Month]])</f>
        <v>1</v>
      </c>
    </row>
    <row r="2826" spans="1:26" x14ac:dyDescent="0.2">
      <c r="A2826" s="6">
        <v>852</v>
      </c>
      <c r="B2826" s="7">
        <v>6116</v>
      </c>
      <c r="C2826" s="8">
        <f>DATE(2012,12,31)-1382</f>
        <v>39892</v>
      </c>
      <c r="D2826" s="8" t="str">
        <f t="shared" si="54"/>
        <v>2009-03 (март 2009)</v>
      </c>
      <c r="E2826" s="9" t="s">
        <v>63</v>
      </c>
      <c r="F2826" s="7">
        <v>7</v>
      </c>
      <c r="G2826" s="7">
        <v>150.77000000000001</v>
      </c>
      <c r="H2826" s="7">
        <v>0.01</v>
      </c>
      <c r="I2826" s="9" t="s">
        <v>22</v>
      </c>
      <c r="J2826" s="10">
        <v>-72.23</v>
      </c>
      <c r="K2826" s="11">
        <v>19.98</v>
      </c>
      <c r="L2826" s="11">
        <v>4</v>
      </c>
      <c r="M2826" s="9" t="s">
        <v>149</v>
      </c>
      <c r="N2826" s="6" t="s">
        <v>974</v>
      </c>
      <c r="O2826" s="6" t="s">
        <v>512</v>
      </c>
      <c r="P2826" s="9" t="s">
        <v>41</v>
      </c>
      <c r="Q2826" s="9" t="s">
        <v>42</v>
      </c>
      <c r="R2826" s="9" t="s">
        <v>70</v>
      </c>
      <c r="S2826" s="7" t="s">
        <v>655</v>
      </c>
      <c r="T2826" s="9" t="s">
        <v>39</v>
      </c>
      <c r="U2826" s="7">
        <v>0.68</v>
      </c>
      <c r="V2826" s="12">
        <f>C2826+0</f>
        <v>39892</v>
      </c>
      <c r="W2826">
        <f>IF(D2826=' Pivot Tables'!$A$4,1,0)</f>
        <v>0</v>
      </c>
      <c r="X2826">
        <f>IF(AND(LEFT(D2826,4)+1=LEFT(' Pivot Tables'!$A$4,4)+0,RIGHT(LEFT(D2826,7),2)=RIGHT(LEFT(' Pivot Tables'!$A$4,7),2)),1,0)</f>
        <v>0</v>
      </c>
      <c r="Y2826" s="6">
        <f>1/COUNTIF(Таблица1[Order ID],Таблица1[[#This Row],[Order ID]])</f>
        <v>0.5</v>
      </c>
      <c r="Z2826" s="9">
        <f>1/COUNTIFS(Таблица1[Customer Name],Таблица1[[#This Row],[Customer Name]],Таблица1[Order-Year-Month],Таблица1[[#This Row],[Order-Year-Month]])</f>
        <v>0.5</v>
      </c>
    </row>
    <row r="2827" spans="1:26" x14ac:dyDescent="0.2">
      <c r="A2827" s="6">
        <v>926</v>
      </c>
      <c r="B2827" s="7">
        <v>6695</v>
      </c>
      <c r="C2827" s="8">
        <f>DATE(2012,12,31)-187</f>
        <v>41087</v>
      </c>
      <c r="D2827" s="8" t="str">
        <f t="shared" si="54"/>
        <v>2012-06 (июнь 2012)</v>
      </c>
      <c r="E2827" s="9" t="s">
        <v>21</v>
      </c>
      <c r="F2827" s="7">
        <v>49</v>
      </c>
      <c r="G2827" s="7">
        <v>295.24</v>
      </c>
      <c r="H2827" s="7">
        <v>0.08</v>
      </c>
      <c r="I2827" s="9" t="s">
        <v>56</v>
      </c>
      <c r="J2827" s="10">
        <v>-279.93299999999999</v>
      </c>
      <c r="K2827" s="11">
        <v>5.81</v>
      </c>
      <c r="L2827" s="11">
        <v>8.49</v>
      </c>
      <c r="M2827" s="9" t="s">
        <v>1460</v>
      </c>
      <c r="N2827" s="6" t="s">
        <v>974</v>
      </c>
      <c r="O2827" s="6" t="s">
        <v>512</v>
      </c>
      <c r="P2827" s="9" t="s">
        <v>41</v>
      </c>
      <c r="Q2827" s="9" t="s">
        <v>26</v>
      </c>
      <c r="R2827" s="9" t="s">
        <v>37</v>
      </c>
      <c r="S2827" s="7" t="s">
        <v>213</v>
      </c>
      <c r="T2827" s="9" t="s">
        <v>39</v>
      </c>
      <c r="U2827" s="7">
        <v>0.39</v>
      </c>
      <c r="V2827" s="12">
        <f>C2827+0</f>
        <v>41087</v>
      </c>
      <c r="W2827">
        <f>IF(D2827=' Pivot Tables'!$A$4,1,0)</f>
        <v>0</v>
      </c>
      <c r="X2827">
        <f>IF(AND(LEFT(D2827,4)+1=LEFT(' Pivot Tables'!$A$4,4)+0,RIGHT(LEFT(D2827,7),2)=RIGHT(LEFT(' Pivot Tables'!$A$4,7),2)),1,0)</f>
        <v>0</v>
      </c>
      <c r="Y2827" s="6">
        <f>1/COUNTIF(Таблица1[Order ID],Таблица1[[#This Row],[Order ID]])</f>
        <v>1</v>
      </c>
      <c r="Z2827" s="9">
        <f>1/COUNTIFS(Таблица1[Customer Name],Таблица1[[#This Row],[Customer Name]],Таблица1[Order-Year-Month],Таблица1[[#This Row],[Order-Year-Month]])</f>
        <v>1</v>
      </c>
    </row>
    <row r="2828" spans="1:26" x14ac:dyDescent="0.2">
      <c r="A2828" s="6">
        <v>952</v>
      </c>
      <c r="B2828" s="7">
        <v>6885</v>
      </c>
      <c r="C2828" s="8">
        <f>DATE(2012,12,31)-195</f>
        <v>41079</v>
      </c>
      <c r="D2828" s="8" t="str">
        <f t="shared" si="54"/>
        <v>2012-06 (июнь 2012)</v>
      </c>
      <c r="E2828" s="9" t="s">
        <v>21</v>
      </c>
      <c r="F2828" s="7">
        <v>4</v>
      </c>
      <c r="G2828" s="7">
        <v>481.27</v>
      </c>
      <c r="H2828" s="7">
        <v>0.02</v>
      </c>
      <c r="I2828" s="9" t="s">
        <v>31</v>
      </c>
      <c r="J2828" s="10">
        <v>-181.27</v>
      </c>
      <c r="K2828" s="11">
        <v>113.98</v>
      </c>
      <c r="L2828" s="11">
        <v>30</v>
      </c>
      <c r="M2828" s="9" t="s">
        <v>1484</v>
      </c>
      <c r="N2828" s="6" t="s">
        <v>974</v>
      </c>
      <c r="O2828" s="6" t="s">
        <v>512</v>
      </c>
      <c r="P2828" s="9" t="s">
        <v>41</v>
      </c>
      <c r="Q2828" s="9" t="s">
        <v>49</v>
      </c>
      <c r="R2828" s="9" t="s">
        <v>112</v>
      </c>
      <c r="S2828" s="7" t="s">
        <v>840</v>
      </c>
      <c r="T2828" s="9" t="s">
        <v>36</v>
      </c>
      <c r="U2828" s="7">
        <v>0.69</v>
      </c>
      <c r="V2828" s="12">
        <f>C2828+2</f>
        <v>41081</v>
      </c>
      <c r="W2828">
        <f>IF(D2828=' Pivot Tables'!$A$4,1,0)</f>
        <v>0</v>
      </c>
      <c r="X2828">
        <f>IF(AND(LEFT(D2828,4)+1=LEFT(' Pivot Tables'!$A$4,4)+0,RIGHT(LEFT(D2828,7),2)=RIGHT(LEFT(' Pivot Tables'!$A$4,7),2)),1,0)</f>
        <v>0</v>
      </c>
      <c r="Y2828" s="6">
        <f>1/COUNTIF(Таблица1[Order ID],Таблица1[[#This Row],[Order ID]])</f>
        <v>0.5</v>
      </c>
      <c r="Z2828" s="9">
        <f>1/COUNTIFS(Таблица1[Customer Name],Таблица1[[#This Row],[Customer Name]],Таблица1[Order-Year-Month],Таблица1[[#This Row],[Order-Year-Month]])</f>
        <v>0.5</v>
      </c>
    </row>
    <row r="2829" spans="1:26" x14ac:dyDescent="0.2">
      <c r="A2829" s="6">
        <v>1021</v>
      </c>
      <c r="B2829" s="7">
        <v>7458</v>
      </c>
      <c r="C2829" s="8">
        <f>DATE(2012,12,31)-271</f>
        <v>41003</v>
      </c>
      <c r="D2829" s="8" t="str">
        <f t="shared" si="54"/>
        <v>2012-04 (апрель 2012)</v>
      </c>
      <c r="E2829" s="9" t="s">
        <v>78</v>
      </c>
      <c r="F2829" s="7">
        <v>16</v>
      </c>
      <c r="G2829" s="7">
        <v>226.81</v>
      </c>
      <c r="H2829" s="7">
        <v>0.05</v>
      </c>
      <c r="I2829" s="9" t="s">
        <v>22</v>
      </c>
      <c r="J2829" s="10">
        <v>-5.3704999999999998</v>
      </c>
      <c r="K2829" s="11">
        <v>14.45</v>
      </c>
      <c r="L2829" s="11">
        <v>7.17</v>
      </c>
      <c r="M2829" s="9" t="s">
        <v>1517</v>
      </c>
      <c r="N2829" s="6" t="s">
        <v>974</v>
      </c>
      <c r="O2829" s="6" t="s">
        <v>512</v>
      </c>
      <c r="P2829" s="9" t="s">
        <v>41</v>
      </c>
      <c r="Q2829" s="9" t="s">
        <v>26</v>
      </c>
      <c r="R2829" s="9" t="s">
        <v>37</v>
      </c>
      <c r="S2829" s="7" t="s">
        <v>1125</v>
      </c>
      <c r="T2829" s="9" t="s">
        <v>39</v>
      </c>
      <c r="U2829" s="7">
        <v>0.38</v>
      </c>
      <c r="V2829" s="12">
        <f>C2829+2</f>
        <v>41005</v>
      </c>
      <c r="W2829">
        <f>IF(D2829=' Pivot Tables'!$A$4,1,0)</f>
        <v>0</v>
      </c>
      <c r="X2829">
        <f>IF(AND(LEFT(D2829,4)+1=LEFT(' Pivot Tables'!$A$4,4)+0,RIGHT(LEFT(D2829,7),2)=RIGHT(LEFT(' Pivot Tables'!$A$4,7),2)),1,0)</f>
        <v>0</v>
      </c>
      <c r="Y2829" s="6">
        <f>1/COUNTIF(Таблица1[Order ID],Таблица1[[#This Row],[Order ID]])</f>
        <v>0.33333333333333331</v>
      </c>
      <c r="Z2829" s="9">
        <f>1/COUNTIFS(Таблица1[Customer Name],Таблица1[[#This Row],[Customer Name]],Таблица1[Order-Year-Month],Таблица1[[#This Row],[Order-Year-Month]])</f>
        <v>0.33333333333333331</v>
      </c>
    </row>
    <row r="2830" spans="1:26" x14ac:dyDescent="0.2">
      <c r="A2830" s="6">
        <v>1022</v>
      </c>
      <c r="B2830" s="7">
        <v>7458</v>
      </c>
      <c r="C2830" s="8">
        <f>DATE(2012,12,31)-271</f>
        <v>41003</v>
      </c>
      <c r="D2830" s="8" t="str">
        <f t="shared" si="54"/>
        <v>2012-04 (апрель 2012)</v>
      </c>
      <c r="E2830" s="9" t="s">
        <v>78</v>
      </c>
      <c r="F2830" s="7">
        <v>46</v>
      </c>
      <c r="G2830" s="7">
        <v>511.07</v>
      </c>
      <c r="H2830" s="7">
        <v>0.01</v>
      </c>
      <c r="I2830" s="9" t="s">
        <v>22</v>
      </c>
      <c r="J2830" s="10">
        <v>-165.74</v>
      </c>
      <c r="K2830" s="11">
        <v>10.97</v>
      </c>
      <c r="L2830" s="11">
        <v>6.5</v>
      </c>
      <c r="M2830" s="9" t="s">
        <v>1517</v>
      </c>
      <c r="N2830" s="6" t="s">
        <v>974</v>
      </c>
      <c r="O2830" s="6" t="s">
        <v>512</v>
      </c>
      <c r="P2830" s="9" t="s">
        <v>41</v>
      </c>
      <c r="Q2830" s="9" t="s">
        <v>42</v>
      </c>
      <c r="R2830" s="9" t="s">
        <v>70</v>
      </c>
      <c r="S2830" s="7" t="s">
        <v>336</v>
      </c>
      <c r="T2830" s="9" t="s">
        <v>39</v>
      </c>
      <c r="U2830" s="7">
        <v>0.64</v>
      </c>
      <c r="V2830" s="12">
        <f>C2830+1</f>
        <v>41004</v>
      </c>
      <c r="W2830">
        <f>IF(D2830=' Pivot Tables'!$A$4,1,0)</f>
        <v>0</v>
      </c>
      <c r="X2830">
        <f>IF(AND(LEFT(D2830,4)+1=LEFT(' Pivot Tables'!$A$4,4)+0,RIGHT(LEFT(D2830,7),2)=RIGHT(LEFT(' Pivot Tables'!$A$4,7),2)),1,0)</f>
        <v>0</v>
      </c>
      <c r="Y2830" s="6">
        <f>1/COUNTIF(Таблица1[Order ID],Таблица1[[#This Row],[Order ID]])</f>
        <v>0.33333333333333331</v>
      </c>
      <c r="Z2830" s="9">
        <f>1/COUNTIFS(Таблица1[Customer Name],Таблица1[[#This Row],[Customer Name]],Таблица1[Order-Year-Month],Таблица1[[#This Row],[Order-Year-Month]])</f>
        <v>0.33333333333333331</v>
      </c>
    </row>
    <row r="2831" spans="1:26" x14ac:dyDescent="0.2">
      <c r="A2831" s="6">
        <v>1202</v>
      </c>
      <c r="B2831" s="7">
        <v>8807</v>
      </c>
      <c r="C2831" s="8">
        <f>DATE(2012,12,31)-1040</f>
        <v>40234</v>
      </c>
      <c r="D2831" s="8" t="str">
        <f t="shared" si="54"/>
        <v>2010-02 (февраль 2010)</v>
      </c>
      <c r="E2831" s="9" t="s">
        <v>21</v>
      </c>
      <c r="F2831" s="7">
        <v>19</v>
      </c>
      <c r="G2831" s="7">
        <v>428.14</v>
      </c>
      <c r="H2831" s="7">
        <v>0.04</v>
      </c>
      <c r="I2831" s="9" t="s">
        <v>22</v>
      </c>
      <c r="J2831" s="10">
        <v>-6.04</v>
      </c>
      <c r="K2831" s="11">
        <v>22.84</v>
      </c>
      <c r="L2831" s="11">
        <v>11.54</v>
      </c>
      <c r="M2831" s="9" t="s">
        <v>1460</v>
      </c>
      <c r="N2831" s="6" t="s">
        <v>974</v>
      </c>
      <c r="O2831" s="6" t="s">
        <v>512</v>
      </c>
      <c r="P2831" s="9" t="s">
        <v>33</v>
      </c>
      <c r="Q2831" s="9" t="s">
        <v>26</v>
      </c>
      <c r="R2831" s="9" t="s">
        <v>61</v>
      </c>
      <c r="S2831" s="7" t="s">
        <v>1505</v>
      </c>
      <c r="T2831" s="9" t="s">
        <v>39</v>
      </c>
      <c r="U2831" s="7">
        <v>0.39</v>
      </c>
      <c r="V2831" s="12">
        <f>C2831+2</f>
        <v>40236</v>
      </c>
      <c r="W2831">
        <f>IF(D2831=' Pivot Tables'!$A$4,1,0)</f>
        <v>0</v>
      </c>
      <c r="X2831">
        <f>IF(AND(LEFT(D2831,4)+1=LEFT(' Pivot Tables'!$A$4,4)+0,RIGHT(LEFT(D2831,7),2)=RIGHT(LEFT(' Pivot Tables'!$A$4,7),2)),1,0)</f>
        <v>0</v>
      </c>
      <c r="Y2831" s="6">
        <f>1/COUNTIF(Таблица1[Order ID],Таблица1[[#This Row],[Order ID]])</f>
        <v>0.5</v>
      </c>
      <c r="Z2831" s="9">
        <f>1/COUNTIFS(Таблица1[Customer Name],Таблица1[[#This Row],[Customer Name]],Таблица1[Order-Year-Month],Таблица1[[#This Row],[Order-Year-Month]])</f>
        <v>0.5</v>
      </c>
    </row>
    <row r="2832" spans="1:26" x14ac:dyDescent="0.2">
      <c r="A2832" s="6">
        <v>1239</v>
      </c>
      <c r="B2832" s="7">
        <v>9024</v>
      </c>
      <c r="C2832" s="8">
        <f>DATE(2012,12,31)-212</f>
        <v>41062</v>
      </c>
      <c r="D2832" s="8" t="str">
        <f t="shared" si="54"/>
        <v>2012-06 (июнь 2012)</v>
      </c>
      <c r="E2832" s="9" t="s">
        <v>63</v>
      </c>
      <c r="F2832" s="7">
        <v>44</v>
      </c>
      <c r="G2832" s="7">
        <v>2318.2134999999998</v>
      </c>
      <c r="H2832" s="7">
        <v>7.0000000000000007E-2</v>
      </c>
      <c r="I2832" s="9" t="s">
        <v>22</v>
      </c>
      <c r="J2832" s="10">
        <v>583.74900000000002</v>
      </c>
      <c r="K2832" s="11">
        <v>65.989999999999995</v>
      </c>
      <c r="L2832" s="11">
        <v>2.79</v>
      </c>
      <c r="M2832" s="9" t="s">
        <v>1527</v>
      </c>
      <c r="N2832" s="6" t="s">
        <v>974</v>
      </c>
      <c r="O2832" s="6" t="s">
        <v>512</v>
      </c>
      <c r="P2832" s="9" t="s">
        <v>60</v>
      </c>
      <c r="Q2832" s="9" t="s">
        <v>42</v>
      </c>
      <c r="R2832" s="9" t="s">
        <v>43</v>
      </c>
      <c r="S2832" s="7" t="s">
        <v>895</v>
      </c>
      <c r="T2832" s="9" t="s">
        <v>39</v>
      </c>
      <c r="U2832" s="7">
        <v>0.56000000000000005</v>
      </c>
      <c r="V2832" s="12">
        <f>C2832+0</f>
        <v>41062</v>
      </c>
      <c r="W2832">
        <f>IF(D2832=' Pivot Tables'!$A$4,1,0)</f>
        <v>0</v>
      </c>
      <c r="X2832">
        <f>IF(AND(LEFT(D2832,4)+1=LEFT(' Pivot Tables'!$A$4,4)+0,RIGHT(LEFT(D2832,7),2)=RIGHT(LEFT(' Pivot Tables'!$A$4,7),2)),1,0)</f>
        <v>0</v>
      </c>
      <c r="Y2832" s="6">
        <f>1/COUNTIF(Таблица1[Order ID],Таблица1[[#This Row],[Order ID]])</f>
        <v>0.33333333333333331</v>
      </c>
      <c r="Z2832" s="9">
        <f>1/COUNTIFS(Таблица1[Customer Name],Таблица1[[#This Row],[Customer Name]],Таблица1[Order-Year-Month],Таблица1[[#This Row],[Order-Year-Month]])</f>
        <v>0.33333333333333331</v>
      </c>
    </row>
    <row r="2833" spans="1:26" x14ac:dyDescent="0.2">
      <c r="A2833" s="6">
        <v>1309</v>
      </c>
      <c r="B2833" s="7">
        <v>9602</v>
      </c>
      <c r="C2833" s="8">
        <f>DATE(2012,12,31)-51</f>
        <v>41223</v>
      </c>
      <c r="D2833" s="8" t="str">
        <f t="shared" si="54"/>
        <v>2012-11 (ноябрь 2012)</v>
      </c>
      <c r="E2833" s="9" t="s">
        <v>78</v>
      </c>
      <c r="F2833" s="7">
        <v>16</v>
      </c>
      <c r="G2833" s="7">
        <v>36.229999999999997</v>
      </c>
      <c r="H2833" s="7">
        <v>0.02</v>
      </c>
      <c r="I2833" s="9" t="s">
        <v>22</v>
      </c>
      <c r="J2833" s="10">
        <v>-24.87</v>
      </c>
      <c r="K2833" s="11">
        <v>2.12</v>
      </c>
      <c r="L2833" s="11">
        <v>1.99</v>
      </c>
      <c r="M2833" s="9" t="s">
        <v>1061</v>
      </c>
      <c r="N2833" s="6" t="s">
        <v>974</v>
      </c>
      <c r="O2833" s="6" t="s">
        <v>512</v>
      </c>
      <c r="P2833" s="9" t="s">
        <v>33</v>
      </c>
      <c r="Q2833" s="9" t="s">
        <v>42</v>
      </c>
      <c r="R2833" s="9" t="s">
        <v>70</v>
      </c>
      <c r="S2833" s="7" t="s">
        <v>1232</v>
      </c>
      <c r="T2833" s="9" t="s">
        <v>52</v>
      </c>
      <c r="U2833" s="7">
        <v>0.55000000000000004</v>
      </c>
      <c r="V2833" s="12">
        <f>C2833+2</f>
        <v>41225</v>
      </c>
      <c r="W2833">
        <f>IF(D2833=' Pivot Tables'!$A$4,1,0)</f>
        <v>0</v>
      </c>
      <c r="X2833">
        <f>IF(AND(LEFT(D2833,4)+1=LEFT(' Pivot Tables'!$A$4,4)+0,RIGHT(LEFT(D2833,7),2)=RIGHT(LEFT(' Pivot Tables'!$A$4,7),2)),1,0)</f>
        <v>0</v>
      </c>
      <c r="Y2833" s="6">
        <f>1/COUNTIF(Таблица1[Order ID],Таблица1[[#This Row],[Order ID]])</f>
        <v>0.33333333333333331</v>
      </c>
      <c r="Z2833" s="9">
        <f>1/COUNTIFS(Таблица1[Customer Name],Таблица1[[#This Row],[Customer Name]],Таблица1[Order-Year-Month],Таблица1[[#This Row],[Order-Year-Month]])</f>
        <v>0.33333333333333331</v>
      </c>
    </row>
    <row r="2834" spans="1:26" x14ac:dyDescent="0.2">
      <c r="A2834" s="6">
        <v>1358</v>
      </c>
      <c r="B2834" s="7">
        <v>9894</v>
      </c>
      <c r="C2834" s="8">
        <f>DATE(2012,12,31)-1384</f>
        <v>39890</v>
      </c>
      <c r="D2834" s="8" t="str">
        <f t="shared" si="54"/>
        <v>2009-03 (март 2009)</v>
      </c>
      <c r="E2834" s="9" t="s">
        <v>30</v>
      </c>
      <c r="F2834" s="7">
        <v>16</v>
      </c>
      <c r="G2834" s="7">
        <v>5403.75</v>
      </c>
      <c r="H2834" s="7">
        <v>0.08</v>
      </c>
      <c r="I2834" s="9" t="s">
        <v>31</v>
      </c>
      <c r="J2834" s="10">
        <v>103.83</v>
      </c>
      <c r="K2834" s="11">
        <v>355.98</v>
      </c>
      <c r="L2834" s="11">
        <v>58.92</v>
      </c>
      <c r="M2834" s="9" t="s">
        <v>1462</v>
      </c>
      <c r="N2834" s="6" t="s">
        <v>974</v>
      </c>
      <c r="O2834" s="6" t="s">
        <v>512</v>
      </c>
      <c r="P2834" s="9" t="s">
        <v>25</v>
      </c>
      <c r="Q2834" s="9" t="s">
        <v>49</v>
      </c>
      <c r="R2834" s="9" t="s">
        <v>112</v>
      </c>
      <c r="S2834" s="7" t="s">
        <v>253</v>
      </c>
      <c r="T2834" s="9" t="s">
        <v>36</v>
      </c>
      <c r="U2834" s="7">
        <v>0.64</v>
      </c>
      <c r="V2834" s="12">
        <f>C2834+2</f>
        <v>39892</v>
      </c>
      <c r="W2834">
        <f>IF(D2834=' Pivot Tables'!$A$4,1,0)</f>
        <v>0</v>
      </c>
      <c r="X2834">
        <f>IF(AND(LEFT(D2834,4)+1=LEFT(' Pivot Tables'!$A$4,4)+0,RIGHT(LEFT(D2834,7),2)=RIGHT(LEFT(' Pivot Tables'!$A$4,7),2)),1,0)</f>
        <v>0</v>
      </c>
      <c r="Y2834" s="6">
        <f>1/COUNTIF(Таблица1[Order ID],Таблица1[[#This Row],[Order ID]])</f>
        <v>1</v>
      </c>
      <c r="Z2834" s="9">
        <f>1/COUNTIFS(Таблица1[Customer Name],Таблица1[[#This Row],[Customer Name]],Таблица1[Order-Year-Month],Таблица1[[#This Row],[Order-Year-Month]])</f>
        <v>1</v>
      </c>
    </row>
    <row r="2835" spans="1:26" x14ac:dyDescent="0.2">
      <c r="A2835" s="6">
        <v>1426</v>
      </c>
      <c r="B2835" s="7">
        <v>10338</v>
      </c>
      <c r="C2835" s="8">
        <f>DATE(2012,12,31)-536</f>
        <v>40738</v>
      </c>
      <c r="D2835" s="8" t="str">
        <f t="shared" si="54"/>
        <v>2011-07 (июль 2011)</v>
      </c>
      <c r="E2835" s="9" t="s">
        <v>45</v>
      </c>
      <c r="F2835" s="7">
        <v>7</v>
      </c>
      <c r="G2835" s="7">
        <v>363.57</v>
      </c>
      <c r="H2835" s="7">
        <v>0.02</v>
      </c>
      <c r="I2835" s="9" t="s">
        <v>31</v>
      </c>
      <c r="J2835" s="10">
        <v>33.988949999999996</v>
      </c>
      <c r="K2835" s="11">
        <v>44.43</v>
      </c>
      <c r="L2835" s="11">
        <v>46.59</v>
      </c>
      <c r="M2835" s="9" t="s">
        <v>1464</v>
      </c>
      <c r="N2835" s="6" t="s">
        <v>974</v>
      </c>
      <c r="O2835" s="6" t="s">
        <v>512</v>
      </c>
      <c r="P2835" s="9" t="s">
        <v>41</v>
      </c>
      <c r="Q2835" s="9" t="s">
        <v>49</v>
      </c>
      <c r="R2835" s="9" t="s">
        <v>83</v>
      </c>
      <c r="S2835" s="7" t="s">
        <v>1528</v>
      </c>
      <c r="T2835" s="9" t="s">
        <v>82</v>
      </c>
      <c r="U2835" s="7">
        <v>0.67</v>
      </c>
      <c r="V2835" s="12">
        <f>C2835+2</f>
        <v>40740</v>
      </c>
      <c r="W2835">
        <f>IF(D2835=' Pivot Tables'!$A$4,1,0)</f>
        <v>0</v>
      </c>
      <c r="X2835">
        <f>IF(AND(LEFT(D2835,4)+1=LEFT(' Pivot Tables'!$A$4,4)+0,RIGHT(LEFT(D2835,7),2)=RIGHT(LEFT(' Pivot Tables'!$A$4,7),2)),1,0)</f>
        <v>0</v>
      </c>
      <c r="Y2835" s="6">
        <f>1/COUNTIF(Таблица1[Order ID],Таблица1[[#This Row],[Order ID]])</f>
        <v>0.5</v>
      </c>
      <c r="Z2835" s="9">
        <f>1/COUNTIFS(Таблица1[Customer Name],Таблица1[[#This Row],[Customer Name]],Таблица1[Order-Year-Month],Таблица1[[#This Row],[Order-Year-Month]])</f>
        <v>0.5</v>
      </c>
    </row>
    <row r="2836" spans="1:26" x14ac:dyDescent="0.2">
      <c r="A2836" s="6">
        <v>1528</v>
      </c>
      <c r="B2836" s="7">
        <v>11011</v>
      </c>
      <c r="C2836" s="8">
        <f>DATE(2012,12,31)-232</f>
        <v>41042</v>
      </c>
      <c r="D2836" s="8" t="str">
        <f t="shared" si="54"/>
        <v>2012-05 (май 2012)</v>
      </c>
      <c r="E2836" s="9" t="s">
        <v>30</v>
      </c>
      <c r="F2836" s="7">
        <v>36</v>
      </c>
      <c r="G2836" s="7">
        <v>305.62</v>
      </c>
      <c r="H2836" s="7">
        <v>0.1</v>
      </c>
      <c r="I2836" s="9" t="s">
        <v>22</v>
      </c>
      <c r="J2836" s="10">
        <v>-129.86000000000001</v>
      </c>
      <c r="K2836" s="11">
        <v>8.74</v>
      </c>
      <c r="L2836" s="11">
        <v>8.2899999999999991</v>
      </c>
      <c r="M2836" s="9" t="s">
        <v>1487</v>
      </c>
      <c r="N2836" s="6" t="s">
        <v>974</v>
      </c>
      <c r="O2836" s="6" t="s">
        <v>512</v>
      </c>
      <c r="P2836" s="9" t="s">
        <v>25</v>
      </c>
      <c r="Q2836" s="9" t="s">
        <v>26</v>
      </c>
      <c r="R2836" s="9" t="s">
        <v>76</v>
      </c>
      <c r="S2836" s="7" t="s">
        <v>567</v>
      </c>
      <c r="T2836" s="9" t="s">
        <v>39</v>
      </c>
      <c r="U2836" s="7">
        <v>0.38</v>
      </c>
      <c r="V2836" s="12">
        <f>C2836+1</f>
        <v>41043</v>
      </c>
      <c r="W2836">
        <f>IF(D2836=' Pivot Tables'!$A$4,1,0)</f>
        <v>0</v>
      </c>
      <c r="X2836">
        <f>IF(AND(LEFT(D2836,4)+1=LEFT(' Pivot Tables'!$A$4,4)+0,RIGHT(LEFT(D2836,7),2)=RIGHT(LEFT(' Pivot Tables'!$A$4,7),2)),1,0)</f>
        <v>0</v>
      </c>
      <c r="Y2836" s="6">
        <f>1/COUNTIF(Таблица1[Order ID],Таблица1[[#This Row],[Order ID]])</f>
        <v>0.33333333333333331</v>
      </c>
      <c r="Z2836" s="9">
        <f>1/COUNTIFS(Таблица1[Customer Name],Таблица1[[#This Row],[Customer Name]],Таблица1[Order-Year-Month],Таблица1[[#This Row],[Order-Year-Month]])</f>
        <v>0.33333333333333331</v>
      </c>
    </row>
    <row r="2837" spans="1:26" x14ac:dyDescent="0.2">
      <c r="A2837" s="6">
        <v>1564</v>
      </c>
      <c r="B2837" s="7">
        <v>11271</v>
      </c>
      <c r="C2837" s="8">
        <f>DATE(2012,12,31)-440</f>
        <v>40834</v>
      </c>
      <c r="D2837" s="8" t="str">
        <f t="shared" si="54"/>
        <v>2011-10 (октябрь 2011)</v>
      </c>
      <c r="E2837" s="9" t="s">
        <v>30</v>
      </c>
      <c r="F2837" s="7">
        <v>46</v>
      </c>
      <c r="G2837" s="7">
        <v>157.87</v>
      </c>
      <c r="H2837" s="7">
        <v>0</v>
      </c>
      <c r="I2837" s="9" t="s">
        <v>22</v>
      </c>
      <c r="J2837" s="10">
        <v>-115.8</v>
      </c>
      <c r="K2837" s="11">
        <v>3.28</v>
      </c>
      <c r="L2837" s="11">
        <v>3.97</v>
      </c>
      <c r="M2837" s="9" t="s">
        <v>1529</v>
      </c>
      <c r="N2837" s="6" t="s">
        <v>974</v>
      </c>
      <c r="O2837" s="6" t="s">
        <v>512</v>
      </c>
      <c r="P2837" s="9" t="s">
        <v>41</v>
      </c>
      <c r="Q2837" s="9" t="s">
        <v>26</v>
      </c>
      <c r="R2837" s="9" t="s">
        <v>95</v>
      </c>
      <c r="S2837" s="7" t="s">
        <v>572</v>
      </c>
      <c r="T2837" s="9" t="s">
        <v>68</v>
      </c>
      <c r="U2837" s="7">
        <v>0.56000000000000005</v>
      </c>
      <c r="V2837" s="12">
        <f>C2837+2</f>
        <v>40836</v>
      </c>
      <c r="W2837">
        <f>IF(D2837=' Pivot Tables'!$A$4,1,0)</f>
        <v>0</v>
      </c>
      <c r="X2837">
        <f>IF(AND(LEFT(D2837,4)+1=LEFT(' Pivot Tables'!$A$4,4)+0,RIGHT(LEFT(D2837,7),2)=RIGHT(LEFT(' Pivot Tables'!$A$4,7),2)),1,0)</f>
        <v>0</v>
      </c>
      <c r="Y2837" s="6">
        <f>1/COUNTIF(Таблица1[Order ID],Таблица1[[#This Row],[Order ID]])</f>
        <v>1</v>
      </c>
      <c r="Z2837" s="9">
        <f>1/COUNTIFS(Таблица1[Customer Name],Таблица1[[#This Row],[Customer Name]],Таблица1[Order-Year-Month],Таблица1[[#This Row],[Order-Year-Month]])</f>
        <v>1</v>
      </c>
    </row>
    <row r="2838" spans="1:26" x14ac:dyDescent="0.2">
      <c r="A2838" s="6">
        <v>1665</v>
      </c>
      <c r="B2838" s="7">
        <v>12005</v>
      </c>
      <c r="C2838" s="8">
        <f>DATE(2012,12,31)-190</f>
        <v>41084</v>
      </c>
      <c r="D2838" s="8" t="str">
        <f t="shared" si="54"/>
        <v>2012-06 (июнь 2012)</v>
      </c>
      <c r="E2838" s="9" t="s">
        <v>45</v>
      </c>
      <c r="F2838" s="7">
        <v>4</v>
      </c>
      <c r="G2838" s="7">
        <v>1660.86</v>
      </c>
      <c r="H2838" s="7">
        <v>0.04</v>
      </c>
      <c r="I2838" s="9" t="s">
        <v>22</v>
      </c>
      <c r="J2838" s="10">
        <v>-164.59</v>
      </c>
      <c r="K2838" s="11">
        <v>415.88</v>
      </c>
      <c r="L2838" s="11">
        <v>11.37</v>
      </c>
      <c r="M2838" s="9" t="s">
        <v>1493</v>
      </c>
      <c r="N2838" s="6" t="s">
        <v>974</v>
      </c>
      <c r="O2838" s="6" t="s">
        <v>512</v>
      </c>
      <c r="P2838" s="9" t="s">
        <v>60</v>
      </c>
      <c r="Q2838" s="9" t="s">
        <v>26</v>
      </c>
      <c r="R2838" s="9" t="s">
        <v>27</v>
      </c>
      <c r="S2838" s="7" t="s">
        <v>358</v>
      </c>
      <c r="T2838" s="9" t="s">
        <v>39</v>
      </c>
      <c r="U2838" s="7">
        <v>0.56999999999999995</v>
      </c>
      <c r="V2838" s="12">
        <f>C2838+2</f>
        <v>41086</v>
      </c>
      <c r="W2838">
        <f>IF(D2838=' Pivot Tables'!$A$4,1,0)</f>
        <v>0</v>
      </c>
      <c r="X2838">
        <f>IF(AND(LEFT(D2838,4)+1=LEFT(' Pivot Tables'!$A$4,4)+0,RIGHT(LEFT(D2838,7),2)=RIGHT(LEFT(' Pivot Tables'!$A$4,7),2)),1,0)</f>
        <v>0</v>
      </c>
      <c r="Y2838" s="6">
        <f>1/COUNTIF(Таблица1[Order ID],Таблица1[[#This Row],[Order ID]])</f>
        <v>1</v>
      </c>
      <c r="Z2838" s="9">
        <f>1/COUNTIFS(Таблица1[Customer Name],Таблица1[[#This Row],[Customer Name]],Таблица1[Order-Year-Month],Таблица1[[#This Row],[Order-Year-Month]])</f>
        <v>1</v>
      </c>
    </row>
    <row r="2839" spans="1:26" x14ac:dyDescent="0.2">
      <c r="A2839" s="6">
        <v>1846</v>
      </c>
      <c r="B2839" s="7">
        <v>13284</v>
      </c>
      <c r="C2839" s="8">
        <f>DATE(2012,12,31)-141</f>
        <v>41133</v>
      </c>
      <c r="D2839" s="8" t="str">
        <f t="shared" si="54"/>
        <v>2012-08 (август 2012)</v>
      </c>
      <c r="E2839" s="9" t="s">
        <v>30</v>
      </c>
      <c r="F2839" s="7">
        <v>22</v>
      </c>
      <c r="G2839" s="7">
        <v>9062.44</v>
      </c>
      <c r="H2839" s="7">
        <v>0.05</v>
      </c>
      <c r="I2839" s="9" t="s">
        <v>22</v>
      </c>
      <c r="J2839" s="10">
        <v>3858.2774999999997</v>
      </c>
      <c r="K2839" s="11">
        <v>420.98</v>
      </c>
      <c r="L2839" s="11">
        <v>19.989999999999998</v>
      </c>
      <c r="M2839" s="9" t="s">
        <v>1467</v>
      </c>
      <c r="N2839" s="6" t="s">
        <v>974</v>
      </c>
      <c r="O2839" s="6" t="s">
        <v>512</v>
      </c>
      <c r="P2839" s="9" t="s">
        <v>33</v>
      </c>
      <c r="Q2839" s="9" t="s">
        <v>26</v>
      </c>
      <c r="R2839" s="9" t="s">
        <v>37</v>
      </c>
      <c r="S2839" s="7" t="s">
        <v>607</v>
      </c>
      <c r="T2839" s="9" t="s">
        <v>39</v>
      </c>
      <c r="U2839" s="7">
        <v>0.35</v>
      </c>
      <c r="V2839" s="12">
        <f>C2839+1</f>
        <v>41134</v>
      </c>
      <c r="W2839">
        <f>IF(D2839=' Pivot Tables'!$A$4,1,0)</f>
        <v>0</v>
      </c>
      <c r="X2839">
        <f>IF(AND(LEFT(D2839,4)+1=LEFT(' Pivot Tables'!$A$4,4)+0,RIGHT(LEFT(D2839,7),2)=RIGHT(LEFT(' Pivot Tables'!$A$4,7),2)),1,0)</f>
        <v>0</v>
      </c>
      <c r="Y2839" s="6">
        <f>1/COUNTIF(Таблица1[Order ID],Таблица1[[#This Row],[Order ID]])</f>
        <v>0.5</v>
      </c>
      <c r="Z2839" s="9">
        <f>1/COUNTIFS(Таблица1[Customer Name],Таблица1[[#This Row],[Customer Name]],Таблица1[Order-Year-Month],Таблица1[[#This Row],[Order-Year-Month]])</f>
        <v>0.5</v>
      </c>
    </row>
    <row r="2840" spans="1:26" x14ac:dyDescent="0.2">
      <c r="A2840" s="6">
        <v>1847</v>
      </c>
      <c r="B2840" s="7">
        <v>13284</v>
      </c>
      <c r="C2840" s="8">
        <f>DATE(2012,12,31)-141</f>
        <v>41133</v>
      </c>
      <c r="D2840" s="8" t="str">
        <f t="shared" si="54"/>
        <v>2012-08 (август 2012)</v>
      </c>
      <c r="E2840" s="9" t="s">
        <v>30</v>
      </c>
      <c r="F2840" s="7">
        <v>49</v>
      </c>
      <c r="G2840" s="7">
        <v>1662.57</v>
      </c>
      <c r="H2840" s="7">
        <v>0.1</v>
      </c>
      <c r="I2840" s="9" t="s">
        <v>22</v>
      </c>
      <c r="J2840" s="10">
        <v>674.99350000000004</v>
      </c>
      <c r="K2840" s="11">
        <v>37.700000000000003</v>
      </c>
      <c r="L2840" s="11">
        <v>2.99</v>
      </c>
      <c r="M2840" s="9" t="s">
        <v>1467</v>
      </c>
      <c r="N2840" s="6" t="s">
        <v>974</v>
      </c>
      <c r="O2840" s="6" t="s">
        <v>512</v>
      </c>
      <c r="P2840" s="9" t="s">
        <v>33</v>
      </c>
      <c r="Q2840" s="9" t="s">
        <v>26</v>
      </c>
      <c r="R2840" s="9" t="s">
        <v>37</v>
      </c>
      <c r="S2840" s="7" t="s">
        <v>952</v>
      </c>
      <c r="T2840" s="9" t="s">
        <v>39</v>
      </c>
      <c r="U2840" s="7">
        <v>0.35</v>
      </c>
      <c r="V2840" s="12">
        <f>C2840+1</f>
        <v>41134</v>
      </c>
      <c r="W2840">
        <f>IF(D2840=' Pivot Tables'!$A$4,1,0)</f>
        <v>0</v>
      </c>
      <c r="X2840">
        <f>IF(AND(LEFT(D2840,4)+1=LEFT(' Pivot Tables'!$A$4,4)+0,RIGHT(LEFT(D2840,7),2)=RIGHT(LEFT(' Pivot Tables'!$A$4,7),2)),1,0)</f>
        <v>0</v>
      </c>
      <c r="Y2840" s="6">
        <f>1/COUNTIF(Таблица1[Order ID],Таблица1[[#This Row],[Order ID]])</f>
        <v>0.5</v>
      </c>
      <c r="Z2840" s="9">
        <f>1/COUNTIFS(Таблица1[Customer Name],Таблица1[[#This Row],[Customer Name]],Таблица1[Order-Year-Month],Таблица1[[#This Row],[Order-Year-Month]])</f>
        <v>0.5</v>
      </c>
    </row>
    <row r="2841" spans="1:26" x14ac:dyDescent="0.2">
      <c r="A2841" s="6">
        <v>1871</v>
      </c>
      <c r="B2841" s="7">
        <v>13476</v>
      </c>
      <c r="C2841" s="8">
        <f>DATE(2012,12,31)-807</f>
        <v>40467</v>
      </c>
      <c r="D2841" s="8" t="str">
        <f t="shared" si="54"/>
        <v>2010-10 (октябрь 2010)</v>
      </c>
      <c r="E2841" s="9" t="s">
        <v>45</v>
      </c>
      <c r="F2841" s="7">
        <v>3</v>
      </c>
      <c r="G2841" s="7">
        <v>173.33</v>
      </c>
      <c r="H2841" s="7">
        <v>0.09</v>
      </c>
      <c r="I2841" s="9" t="s">
        <v>22</v>
      </c>
      <c r="J2841" s="10">
        <v>-121.39</v>
      </c>
      <c r="K2841" s="11">
        <v>52.99</v>
      </c>
      <c r="L2841" s="11">
        <v>19.989999999999998</v>
      </c>
      <c r="M2841" s="9" t="s">
        <v>1383</v>
      </c>
      <c r="N2841" s="6" t="s">
        <v>974</v>
      </c>
      <c r="O2841" s="6" t="s">
        <v>512</v>
      </c>
      <c r="P2841" s="9" t="s">
        <v>60</v>
      </c>
      <c r="Q2841" s="9" t="s">
        <v>26</v>
      </c>
      <c r="R2841" s="9" t="s">
        <v>27</v>
      </c>
      <c r="S2841" s="7" t="s">
        <v>740</v>
      </c>
      <c r="T2841" s="9" t="s">
        <v>39</v>
      </c>
      <c r="U2841" s="7">
        <v>0.81</v>
      </c>
      <c r="V2841" s="12">
        <f>C2841+1</f>
        <v>40468</v>
      </c>
      <c r="W2841">
        <f>IF(D2841=' Pivot Tables'!$A$4,1,0)</f>
        <v>0</v>
      </c>
      <c r="X2841">
        <f>IF(AND(LEFT(D2841,4)+1=LEFT(' Pivot Tables'!$A$4,4)+0,RIGHT(LEFT(D2841,7),2)=RIGHT(LEFT(' Pivot Tables'!$A$4,7),2)),1,0)</f>
        <v>0</v>
      </c>
      <c r="Y2841" s="6">
        <f>1/COUNTIF(Таблица1[Order ID],Таблица1[[#This Row],[Order ID]])</f>
        <v>0.33333333333333331</v>
      </c>
      <c r="Z2841" s="9">
        <f>1/COUNTIFS(Таблица1[Customer Name],Таблица1[[#This Row],[Customer Name]],Таблица1[Order-Year-Month],Таблица1[[#This Row],[Order-Year-Month]])</f>
        <v>0.33333333333333331</v>
      </c>
    </row>
    <row r="2842" spans="1:26" x14ac:dyDescent="0.2">
      <c r="A2842" s="6">
        <v>1988</v>
      </c>
      <c r="B2842" s="7">
        <v>14182</v>
      </c>
      <c r="C2842" s="8">
        <f>DATE(2012,12,31)-1288</f>
        <v>39986</v>
      </c>
      <c r="D2842" s="8" t="str">
        <f t="shared" si="54"/>
        <v>2009-06 (июнь 2009)</v>
      </c>
      <c r="E2842" s="9" t="s">
        <v>21</v>
      </c>
      <c r="F2842" s="7">
        <v>23</v>
      </c>
      <c r="G2842" s="7">
        <v>2433.5500000000002</v>
      </c>
      <c r="H2842" s="7">
        <v>0.05</v>
      </c>
      <c r="I2842" s="9" t="s">
        <v>22</v>
      </c>
      <c r="J2842" s="10">
        <v>355.93200000000002</v>
      </c>
      <c r="K2842" s="11">
        <v>125.99</v>
      </c>
      <c r="L2842" s="11">
        <v>8.08</v>
      </c>
      <c r="M2842" s="9" t="s">
        <v>1469</v>
      </c>
      <c r="N2842" s="6" t="s">
        <v>974</v>
      </c>
      <c r="O2842" s="6" t="s">
        <v>512</v>
      </c>
      <c r="P2842" s="9" t="s">
        <v>25</v>
      </c>
      <c r="Q2842" s="9" t="s">
        <v>42</v>
      </c>
      <c r="R2842" s="9" t="s">
        <v>43</v>
      </c>
      <c r="S2842" s="7" t="s">
        <v>271</v>
      </c>
      <c r="T2842" s="9" t="s">
        <v>39</v>
      </c>
      <c r="U2842" s="7">
        <v>0.56999999999999995</v>
      </c>
      <c r="V2842" s="12">
        <f>C2842+5</f>
        <v>39991</v>
      </c>
      <c r="W2842">
        <f>IF(D2842=' Pivot Tables'!$A$4,1,0)</f>
        <v>0</v>
      </c>
      <c r="X2842">
        <f>IF(AND(LEFT(D2842,4)+1=LEFT(' Pivot Tables'!$A$4,4)+0,RIGHT(LEFT(D2842,7),2)=RIGHT(LEFT(' Pivot Tables'!$A$4,7),2)),1,0)</f>
        <v>0</v>
      </c>
      <c r="Y2842" s="6">
        <f>1/COUNTIF(Таблица1[Order ID],Таблица1[[#This Row],[Order ID]])</f>
        <v>1</v>
      </c>
      <c r="Z2842" s="9">
        <f>1/COUNTIFS(Таблица1[Customer Name],Таблица1[[#This Row],[Customer Name]],Таблица1[Order-Year-Month],Таблица1[[#This Row],[Order-Year-Month]])</f>
        <v>1</v>
      </c>
    </row>
    <row r="2843" spans="1:26" x14ac:dyDescent="0.2">
      <c r="A2843" s="6">
        <v>2015</v>
      </c>
      <c r="B2843" s="7">
        <v>14375</v>
      </c>
      <c r="C2843" s="8">
        <f>DATE(2012,12,31)-1065</f>
        <v>40209</v>
      </c>
      <c r="D2843" s="8" t="str">
        <f t="shared" si="54"/>
        <v>2010-01 (январь 2010)</v>
      </c>
      <c r="E2843" s="9" t="s">
        <v>63</v>
      </c>
      <c r="F2843" s="7">
        <v>50</v>
      </c>
      <c r="G2843" s="7">
        <v>3872.38</v>
      </c>
      <c r="H2843" s="7">
        <v>0.1</v>
      </c>
      <c r="I2843" s="9" t="s">
        <v>22</v>
      </c>
      <c r="J2843" s="10">
        <v>1110.3499999999999</v>
      </c>
      <c r="K2843" s="11">
        <v>83.93</v>
      </c>
      <c r="L2843" s="11">
        <v>19.989999999999998</v>
      </c>
      <c r="M2843" s="9" t="s">
        <v>815</v>
      </c>
      <c r="N2843" s="6" t="s">
        <v>974</v>
      </c>
      <c r="O2843" s="6" t="s">
        <v>512</v>
      </c>
      <c r="P2843" s="9" t="s">
        <v>41</v>
      </c>
      <c r="Q2843" s="9" t="s">
        <v>26</v>
      </c>
      <c r="R2843" s="9" t="s">
        <v>76</v>
      </c>
      <c r="S2843" s="7" t="s">
        <v>821</v>
      </c>
      <c r="T2843" s="9" t="s">
        <v>39</v>
      </c>
      <c r="U2843" s="7">
        <v>0.38</v>
      </c>
      <c r="V2843" s="12">
        <f>C2843+1</f>
        <v>40210</v>
      </c>
      <c r="W2843">
        <f>IF(D2843=' Pivot Tables'!$A$4,1,0)</f>
        <v>1</v>
      </c>
      <c r="X2843">
        <f>IF(AND(LEFT(D2843,4)+1=LEFT(' Pivot Tables'!$A$4,4)+0,RIGHT(LEFT(D2843,7),2)=RIGHT(LEFT(' Pivot Tables'!$A$4,7),2)),1,0)</f>
        <v>0</v>
      </c>
      <c r="Y2843" s="6">
        <f>1/COUNTIF(Таблица1[Order ID],Таблица1[[#This Row],[Order ID]])</f>
        <v>0.5</v>
      </c>
      <c r="Z2843" s="9">
        <f>1/COUNTIFS(Таблица1[Customer Name],Таблица1[[#This Row],[Customer Name]],Таблица1[Order-Year-Month],Таблица1[[#This Row],[Order-Year-Month]])</f>
        <v>0.5</v>
      </c>
    </row>
    <row r="2844" spans="1:26" x14ac:dyDescent="0.2">
      <c r="A2844" s="6">
        <v>2036</v>
      </c>
      <c r="B2844" s="7">
        <v>14528</v>
      </c>
      <c r="C2844" s="8">
        <f>DATE(2012,12,31)-1295</f>
        <v>39979</v>
      </c>
      <c r="D2844" s="8" t="str">
        <f t="shared" si="54"/>
        <v>2009-06 (июнь 2009)</v>
      </c>
      <c r="E2844" s="9" t="s">
        <v>78</v>
      </c>
      <c r="F2844" s="7">
        <v>14</v>
      </c>
      <c r="G2844" s="7">
        <v>78.44</v>
      </c>
      <c r="H2844" s="7">
        <v>0.09</v>
      </c>
      <c r="I2844" s="9" t="s">
        <v>22</v>
      </c>
      <c r="J2844" s="10">
        <v>11.0245</v>
      </c>
      <c r="K2844" s="11">
        <v>5.98</v>
      </c>
      <c r="L2844" s="11">
        <v>1.49</v>
      </c>
      <c r="M2844" s="9" t="s">
        <v>1459</v>
      </c>
      <c r="N2844" s="6" t="s">
        <v>974</v>
      </c>
      <c r="O2844" s="6" t="s">
        <v>512</v>
      </c>
      <c r="P2844" s="9" t="s">
        <v>60</v>
      </c>
      <c r="Q2844" s="9" t="s">
        <v>26</v>
      </c>
      <c r="R2844" s="9" t="s">
        <v>37</v>
      </c>
      <c r="S2844" s="7" t="s">
        <v>1351</v>
      </c>
      <c r="T2844" s="9" t="s">
        <v>39</v>
      </c>
      <c r="U2844" s="7">
        <v>0.39</v>
      </c>
      <c r="V2844" s="12">
        <f>C2844+2</f>
        <v>39981</v>
      </c>
      <c r="W2844">
        <f>IF(D2844=' Pivot Tables'!$A$4,1,0)</f>
        <v>0</v>
      </c>
      <c r="X2844">
        <f>IF(AND(LEFT(D2844,4)+1=LEFT(' Pivot Tables'!$A$4,4)+0,RIGHT(LEFT(D2844,7),2)=RIGHT(LEFT(' Pivot Tables'!$A$4,7),2)),1,0)</f>
        <v>0</v>
      </c>
      <c r="Y2844" s="6">
        <f>1/COUNTIF(Таблица1[Order ID],Таблица1[[#This Row],[Order ID]])</f>
        <v>1</v>
      </c>
      <c r="Z2844" s="9">
        <f>1/COUNTIFS(Таблица1[Customer Name],Таблица1[[#This Row],[Customer Name]],Таблица1[Order-Year-Month],Таблица1[[#This Row],[Order-Year-Month]])</f>
        <v>1</v>
      </c>
    </row>
    <row r="2845" spans="1:26" x14ac:dyDescent="0.2">
      <c r="A2845" s="6">
        <v>2052</v>
      </c>
      <c r="B2845" s="7">
        <v>14662</v>
      </c>
      <c r="C2845" s="8">
        <f>DATE(2012,12,31)-411</f>
        <v>40863</v>
      </c>
      <c r="D2845" s="8" t="str">
        <f t="shared" si="54"/>
        <v>2011-11 (ноябрь 2011)</v>
      </c>
      <c r="E2845" s="9" t="s">
        <v>30</v>
      </c>
      <c r="F2845" s="7">
        <v>48</v>
      </c>
      <c r="G2845" s="7">
        <v>257.75</v>
      </c>
      <c r="H2845" s="7">
        <v>0.02</v>
      </c>
      <c r="I2845" s="9" t="s">
        <v>22</v>
      </c>
      <c r="J2845" s="10">
        <v>-66.260000000000005</v>
      </c>
      <c r="K2845" s="11">
        <v>4.9800000000000004</v>
      </c>
      <c r="L2845" s="11">
        <v>4.75</v>
      </c>
      <c r="M2845" s="9" t="s">
        <v>1459</v>
      </c>
      <c r="N2845" s="6" t="s">
        <v>974</v>
      </c>
      <c r="O2845" s="6" t="s">
        <v>512</v>
      </c>
      <c r="P2845" s="9" t="s">
        <v>41</v>
      </c>
      <c r="Q2845" s="9" t="s">
        <v>26</v>
      </c>
      <c r="R2845" s="9" t="s">
        <v>61</v>
      </c>
      <c r="S2845" s="7" t="s">
        <v>156</v>
      </c>
      <c r="T2845" s="9" t="s">
        <v>39</v>
      </c>
      <c r="U2845" s="7">
        <v>0.36</v>
      </c>
      <c r="V2845" s="12">
        <f>C2845+1</f>
        <v>40864</v>
      </c>
      <c r="W2845">
        <f>IF(D2845=' Pivot Tables'!$A$4,1,0)</f>
        <v>0</v>
      </c>
      <c r="X2845">
        <f>IF(AND(LEFT(D2845,4)+1=LEFT(' Pivot Tables'!$A$4,4)+0,RIGHT(LEFT(D2845,7),2)=RIGHT(LEFT(' Pivot Tables'!$A$4,7),2)),1,0)</f>
        <v>0</v>
      </c>
      <c r="Y2845" s="6">
        <f>1/COUNTIF(Таблица1[Order ID],Таблица1[[#This Row],[Order ID]])</f>
        <v>0.33333333333333331</v>
      </c>
      <c r="Z2845" s="9">
        <f>1/COUNTIFS(Таблица1[Customer Name],Таблица1[[#This Row],[Customer Name]],Таблица1[Order-Year-Month],Таблица1[[#This Row],[Order-Year-Month]])</f>
        <v>0.25</v>
      </c>
    </row>
    <row r="2846" spans="1:26" x14ac:dyDescent="0.2">
      <c r="A2846" s="6">
        <v>2054</v>
      </c>
      <c r="B2846" s="7">
        <v>14662</v>
      </c>
      <c r="C2846" s="8">
        <f>DATE(2012,12,31)-411</f>
        <v>40863</v>
      </c>
      <c r="D2846" s="8" t="str">
        <f t="shared" si="54"/>
        <v>2011-11 (ноябрь 2011)</v>
      </c>
      <c r="E2846" s="9" t="s">
        <v>30</v>
      </c>
      <c r="F2846" s="7">
        <v>48</v>
      </c>
      <c r="G2846" s="7">
        <v>5139.8819999999996</v>
      </c>
      <c r="H2846" s="7">
        <v>0.01</v>
      </c>
      <c r="I2846" s="9" t="s">
        <v>22</v>
      </c>
      <c r="J2846" s="10">
        <v>1275.6690000000001</v>
      </c>
      <c r="K2846" s="11">
        <v>125.99</v>
      </c>
      <c r="L2846" s="11">
        <v>8.99</v>
      </c>
      <c r="M2846" s="9" t="s">
        <v>1459</v>
      </c>
      <c r="N2846" s="6" t="s">
        <v>974</v>
      </c>
      <c r="O2846" s="6" t="s">
        <v>512</v>
      </c>
      <c r="P2846" s="9" t="s">
        <v>41</v>
      </c>
      <c r="Q2846" s="9" t="s">
        <v>42</v>
      </c>
      <c r="R2846" s="9" t="s">
        <v>43</v>
      </c>
      <c r="S2846" s="7" t="s">
        <v>924</v>
      </c>
      <c r="T2846" s="9" t="s">
        <v>39</v>
      </c>
      <c r="U2846" s="7">
        <v>0.59</v>
      </c>
      <c r="V2846" s="12">
        <f>C2846+1</f>
        <v>40864</v>
      </c>
      <c r="W2846">
        <f>IF(D2846=' Pivot Tables'!$A$4,1,0)</f>
        <v>0</v>
      </c>
      <c r="X2846">
        <f>IF(AND(LEFT(D2846,4)+1=LEFT(' Pivot Tables'!$A$4,4)+0,RIGHT(LEFT(D2846,7),2)=RIGHT(LEFT(' Pivot Tables'!$A$4,7),2)),1,0)</f>
        <v>0</v>
      </c>
      <c r="Y2846" s="6">
        <f>1/COUNTIF(Таблица1[Order ID],Таблица1[[#This Row],[Order ID]])</f>
        <v>0.33333333333333331</v>
      </c>
      <c r="Z2846" s="9">
        <f>1/COUNTIFS(Таблица1[Customer Name],Таблица1[[#This Row],[Customer Name]],Таблица1[Order-Year-Month],Таблица1[[#This Row],[Order-Year-Month]])</f>
        <v>0.25</v>
      </c>
    </row>
    <row r="2847" spans="1:26" x14ac:dyDescent="0.2">
      <c r="A2847" s="6">
        <v>2100</v>
      </c>
      <c r="B2847" s="7">
        <v>15009</v>
      </c>
      <c r="C2847" s="8">
        <f>DATE(2012,12,31)-376</f>
        <v>40898</v>
      </c>
      <c r="D2847" s="8" t="str">
        <f t="shared" si="54"/>
        <v>2011-12 (декабрь 2011)</v>
      </c>
      <c r="E2847" s="9" t="s">
        <v>45</v>
      </c>
      <c r="F2847" s="7">
        <v>28</v>
      </c>
      <c r="G2847" s="7">
        <v>229.43</v>
      </c>
      <c r="H2847" s="7">
        <v>0.08</v>
      </c>
      <c r="I2847" s="9" t="s">
        <v>56</v>
      </c>
      <c r="J2847" s="10">
        <v>61.09</v>
      </c>
      <c r="K2847" s="11">
        <v>7.78</v>
      </c>
      <c r="L2847" s="11">
        <v>2.5</v>
      </c>
      <c r="M2847" s="9" t="s">
        <v>1530</v>
      </c>
      <c r="N2847" s="6" t="s">
        <v>974</v>
      </c>
      <c r="O2847" s="6" t="s">
        <v>512</v>
      </c>
      <c r="P2847" s="9" t="s">
        <v>25</v>
      </c>
      <c r="Q2847" s="9" t="s">
        <v>26</v>
      </c>
      <c r="R2847" s="9" t="s">
        <v>76</v>
      </c>
      <c r="S2847" s="7" t="s">
        <v>1080</v>
      </c>
      <c r="T2847" s="9" t="s">
        <v>39</v>
      </c>
      <c r="U2847" s="7">
        <v>0.38</v>
      </c>
      <c r="V2847" s="12">
        <f>C2847+1</f>
        <v>40899</v>
      </c>
      <c r="W2847">
        <f>IF(D2847=' Pivot Tables'!$A$4,1,0)</f>
        <v>0</v>
      </c>
      <c r="X2847">
        <f>IF(AND(LEFT(D2847,4)+1=LEFT(' Pivot Tables'!$A$4,4)+0,RIGHT(LEFT(D2847,7),2)=RIGHT(LEFT(' Pivot Tables'!$A$4,7),2)),1,0)</f>
        <v>0</v>
      </c>
      <c r="Y2847" s="6">
        <f>1/COUNTIF(Таблица1[Order ID],Таблица1[[#This Row],[Order ID]])</f>
        <v>0.5</v>
      </c>
      <c r="Z2847" s="9">
        <f>1/COUNTIFS(Таблица1[Customer Name],Таблица1[[#This Row],[Customer Name]],Таблица1[Order-Year-Month],Таблица1[[#This Row],[Order-Year-Month]])</f>
        <v>0.5</v>
      </c>
    </row>
    <row r="2848" spans="1:26" x14ac:dyDescent="0.2">
      <c r="A2848" s="6">
        <v>2167</v>
      </c>
      <c r="B2848" s="7">
        <v>15619</v>
      </c>
      <c r="C2848" s="8">
        <f>DATE(2012,12,31)-552</f>
        <v>40722</v>
      </c>
      <c r="D2848" s="8" t="str">
        <f t="shared" si="54"/>
        <v>2011-06 (июнь 2011)</v>
      </c>
      <c r="E2848" s="9" t="s">
        <v>21</v>
      </c>
      <c r="F2848" s="7">
        <v>36</v>
      </c>
      <c r="G2848" s="7">
        <v>123.13</v>
      </c>
      <c r="H2848" s="7">
        <v>0.05</v>
      </c>
      <c r="I2848" s="9" t="s">
        <v>56</v>
      </c>
      <c r="J2848" s="10">
        <v>20.57</v>
      </c>
      <c r="K2848" s="11">
        <v>3.29</v>
      </c>
      <c r="L2848" s="11">
        <v>1.35</v>
      </c>
      <c r="M2848" s="9" t="s">
        <v>1531</v>
      </c>
      <c r="N2848" s="6" t="s">
        <v>974</v>
      </c>
      <c r="O2848" s="6" t="s">
        <v>512</v>
      </c>
      <c r="P2848" s="9" t="s">
        <v>41</v>
      </c>
      <c r="Q2848" s="9" t="s">
        <v>26</v>
      </c>
      <c r="R2848" s="9" t="s">
        <v>66</v>
      </c>
      <c r="S2848" s="7" t="s">
        <v>464</v>
      </c>
      <c r="T2848" s="9" t="s">
        <v>68</v>
      </c>
      <c r="U2848" s="7">
        <v>0.4</v>
      </c>
      <c r="V2848" s="12">
        <f>C2848+4</f>
        <v>40726</v>
      </c>
      <c r="W2848">
        <f>IF(D2848=' Pivot Tables'!$A$4,1,0)</f>
        <v>0</v>
      </c>
      <c r="X2848">
        <f>IF(AND(LEFT(D2848,4)+1=LEFT(' Pivot Tables'!$A$4,4)+0,RIGHT(LEFT(D2848,7),2)=RIGHT(LEFT(' Pivot Tables'!$A$4,7),2)),1,0)</f>
        <v>0</v>
      </c>
      <c r="Y2848" s="6">
        <f>1/COUNTIF(Таблица1[Order ID],Таблица1[[#This Row],[Order ID]])</f>
        <v>0.5</v>
      </c>
      <c r="Z2848" s="9">
        <f>1/COUNTIFS(Таблица1[Customer Name],Таблица1[[#This Row],[Customer Name]],Таблица1[Order-Year-Month],Таблица1[[#This Row],[Order-Year-Month]])</f>
        <v>0.5</v>
      </c>
    </row>
    <row r="2849" spans="1:26" x14ac:dyDescent="0.2">
      <c r="A2849" s="6">
        <v>2212</v>
      </c>
      <c r="B2849" s="7">
        <v>15971</v>
      </c>
      <c r="C2849" s="8">
        <f>DATE(2012,12,31)-1235</f>
        <v>40039</v>
      </c>
      <c r="D2849" s="8" t="str">
        <f t="shared" si="54"/>
        <v>2009-08 (август 2009)</v>
      </c>
      <c r="E2849" s="9" t="s">
        <v>30</v>
      </c>
      <c r="F2849" s="7">
        <v>15</v>
      </c>
      <c r="G2849" s="7">
        <v>2172.5149999999999</v>
      </c>
      <c r="H2849" s="7">
        <v>0.06</v>
      </c>
      <c r="I2849" s="9" t="s">
        <v>22</v>
      </c>
      <c r="J2849" s="10">
        <v>32.750999999999998</v>
      </c>
      <c r="K2849" s="11">
        <v>175.99</v>
      </c>
      <c r="L2849" s="11">
        <v>8.99</v>
      </c>
      <c r="M2849" s="9" t="s">
        <v>1532</v>
      </c>
      <c r="N2849" s="6" t="s">
        <v>974</v>
      </c>
      <c r="O2849" s="6" t="s">
        <v>512</v>
      </c>
      <c r="P2849" s="9" t="s">
        <v>33</v>
      </c>
      <c r="Q2849" s="9" t="s">
        <v>42</v>
      </c>
      <c r="R2849" s="9" t="s">
        <v>43</v>
      </c>
      <c r="S2849" s="7" t="s">
        <v>631</v>
      </c>
      <c r="T2849" s="9" t="s">
        <v>39</v>
      </c>
      <c r="U2849" s="7">
        <v>0.56999999999999995</v>
      </c>
      <c r="V2849" s="12">
        <f>C2849+1</f>
        <v>40040</v>
      </c>
      <c r="W2849">
        <f>IF(D2849=' Pivot Tables'!$A$4,1,0)</f>
        <v>0</v>
      </c>
      <c r="X2849">
        <f>IF(AND(LEFT(D2849,4)+1=LEFT(' Pivot Tables'!$A$4,4)+0,RIGHT(LEFT(D2849,7),2)=RIGHT(LEFT(' Pivot Tables'!$A$4,7),2)),1,0)</f>
        <v>0</v>
      </c>
      <c r="Y2849" s="6">
        <f>1/COUNTIF(Таблица1[Order ID],Таблица1[[#This Row],[Order ID]])</f>
        <v>1</v>
      </c>
      <c r="Z2849" s="9">
        <f>1/COUNTIFS(Таблица1[Customer Name],Таблица1[[#This Row],[Customer Name]],Таблица1[Order-Year-Month],Таблица1[[#This Row],[Order-Year-Month]])</f>
        <v>1</v>
      </c>
    </row>
    <row r="2850" spans="1:26" x14ac:dyDescent="0.2">
      <c r="A2850" s="6">
        <v>2217</v>
      </c>
      <c r="B2850" s="7">
        <v>16036</v>
      </c>
      <c r="C2850" s="8">
        <f>DATE(2012,12,31)-361</f>
        <v>40913</v>
      </c>
      <c r="D2850" s="8" t="str">
        <f t="shared" si="54"/>
        <v>2012-01 (январь 2012)</v>
      </c>
      <c r="E2850" s="9" t="s">
        <v>63</v>
      </c>
      <c r="F2850" s="7">
        <v>28</v>
      </c>
      <c r="G2850" s="7">
        <v>2160.27</v>
      </c>
      <c r="H2850" s="7">
        <v>0.09</v>
      </c>
      <c r="I2850" s="9" t="s">
        <v>22</v>
      </c>
      <c r="J2850" s="10">
        <v>-818.32</v>
      </c>
      <c r="K2850" s="11">
        <v>80.98</v>
      </c>
      <c r="L2850" s="11">
        <v>35</v>
      </c>
      <c r="M2850" s="9" t="s">
        <v>1473</v>
      </c>
      <c r="N2850" s="6" t="s">
        <v>974</v>
      </c>
      <c r="O2850" s="6" t="s">
        <v>512</v>
      </c>
      <c r="P2850" s="9" t="s">
        <v>41</v>
      </c>
      <c r="Q2850" s="9" t="s">
        <v>26</v>
      </c>
      <c r="R2850" s="9" t="s">
        <v>27</v>
      </c>
      <c r="S2850" s="7" t="s">
        <v>171</v>
      </c>
      <c r="T2850" s="9" t="s">
        <v>29</v>
      </c>
      <c r="U2850" s="7">
        <v>0.81</v>
      </c>
      <c r="V2850" s="12">
        <f>C2850+1</f>
        <v>40914</v>
      </c>
      <c r="W2850">
        <f>IF(D2850=' Pivot Tables'!$A$4,1,0)</f>
        <v>0</v>
      </c>
      <c r="X2850">
        <f>IF(AND(LEFT(D2850,4)+1=LEFT(' Pivot Tables'!$A$4,4)+0,RIGHT(LEFT(D2850,7),2)=RIGHT(LEFT(' Pivot Tables'!$A$4,7),2)),1,0)</f>
        <v>0</v>
      </c>
      <c r="Y2850" s="6">
        <f>1/COUNTIF(Таблица1[Order ID],Таблица1[[#This Row],[Order ID]])</f>
        <v>0.25</v>
      </c>
      <c r="Z2850" s="9">
        <f>1/COUNTIFS(Таблица1[Customer Name],Таблица1[[#This Row],[Customer Name]],Таблица1[Order-Year-Month],Таблица1[[#This Row],[Order-Year-Month]])</f>
        <v>0.25</v>
      </c>
    </row>
    <row r="2851" spans="1:26" x14ac:dyDescent="0.2">
      <c r="A2851" s="6">
        <v>2284</v>
      </c>
      <c r="B2851" s="7">
        <v>16452</v>
      </c>
      <c r="C2851" s="8">
        <f>DATE(2012,12,31)-130</f>
        <v>41144</v>
      </c>
      <c r="D2851" s="8" t="str">
        <f t="shared" si="54"/>
        <v>2012-08 (август 2012)</v>
      </c>
      <c r="E2851" s="9" t="s">
        <v>63</v>
      </c>
      <c r="F2851" s="7">
        <v>46</v>
      </c>
      <c r="G2851" s="7">
        <v>134.41999999999999</v>
      </c>
      <c r="H2851" s="7">
        <v>0.05</v>
      </c>
      <c r="I2851" s="9" t="s">
        <v>22</v>
      </c>
      <c r="J2851" s="10">
        <v>9.34</v>
      </c>
      <c r="K2851" s="11">
        <v>2.88</v>
      </c>
      <c r="L2851" s="11">
        <v>1.01</v>
      </c>
      <c r="M2851" s="9" t="s">
        <v>1470</v>
      </c>
      <c r="N2851" s="6" t="s">
        <v>974</v>
      </c>
      <c r="O2851" s="6" t="s">
        <v>512</v>
      </c>
      <c r="P2851" s="9" t="s">
        <v>60</v>
      </c>
      <c r="Q2851" s="9" t="s">
        <v>26</v>
      </c>
      <c r="R2851" s="9" t="s">
        <v>95</v>
      </c>
      <c r="S2851" s="7" t="s">
        <v>736</v>
      </c>
      <c r="T2851" s="9" t="s">
        <v>68</v>
      </c>
      <c r="U2851" s="7">
        <v>0.55000000000000004</v>
      </c>
      <c r="V2851" s="12">
        <f>C2851+1</f>
        <v>41145</v>
      </c>
      <c r="W2851">
        <f>IF(D2851=' Pivot Tables'!$A$4,1,0)</f>
        <v>0</v>
      </c>
      <c r="X2851">
        <f>IF(AND(LEFT(D2851,4)+1=LEFT(' Pivot Tables'!$A$4,4)+0,RIGHT(LEFT(D2851,7),2)=RIGHT(LEFT(' Pivot Tables'!$A$4,7),2)),1,0)</f>
        <v>0</v>
      </c>
      <c r="Y2851" s="6">
        <f>1/COUNTIF(Таблица1[Order ID],Таблица1[[#This Row],[Order ID]])</f>
        <v>1</v>
      </c>
      <c r="Z2851" s="9">
        <f>1/COUNTIFS(Таблица1[Customer Name],Таблица1[[#This Row],[Customer Name]],Таблица1[Order-Year-Month],Таблица1[[#This Row],[Order-Year-Month]])</f>
        <v>1</v>
      </c>
    </row>
    <row r="2852" spans="1:26" x14ac:dyDescent="0.2">
      <c r="A2852" s="6">
        <v>2299</v>
      </c>
      <c r="B2852" s="7">
        <v>16548</v>
      </c>
      <c r="C2852" s="8">
        <f>DATE(2012,12,31)-330</f>
        <v>40944</v>
      </c>
      <c r="D2852" s="8" t="str">
        <f t="shared" si="54"/>
        <v>2012-02 (февраль 2012)</v>
      </c>
      <c r="E2852" s="9" t="s">
        <v>45</v>
      </c>
      <c r="F2852" s="7">
        <v>40</v>
      </c>
      <c r="G2852" s="7">
        <v>3028.86</v>
      </c>
      <c r="H2852" s="7">
        <v>0.04</v>
      </c>
      <c r="I2852" s="9" t="s">
        <v>22</v>
      </c>
      <c r="J2852" s="10">
        <v>-2595.6502000000005</v>
      </c>
      <c r="K2852" s="11">
        <v>71.37</v>
      </c>
      <c r="L2852" s="11">
        <v>69</v>
      </c>
      <c r="M2852" s="9" t="s">
        <v>1470</v>
      </c>
      <c r="N2852" s="6" t="s">
        <v>974</v>
      </c>
      <c r="O2852" s="6" t="s">
        <v>512</v>
      </c>
      <c r="P2852" s="9" t="s">
        <v>33</v>
      </c>
      <c r="Q2852" s="9" t="s">
        <v>49</v>
      </c>
      <c r="R2852" s="9" t="s">
        <v>83</v>
      </c>
      <c r="S2852" s="7" t="s">
        <v>84</v>
      </c>
      <c r="T2852" s="9" t="s">
        <v>29</v>
      </c>
      <c r="U2852" s="7">
        <v>0.68</v>
      </c>
      <c r="V2852" s="12">
        <f>C2852+2</f>
        <v>40946</v>
      </c>
      <c r="W2852">
        <f>IF(D2852=' Pivot Tables'!$A$4,1,0)</f>
        <v>0</v>
      </c>
      <c r="X2852">
        <f>IF(AND(LEFT(D2852,4)+1=LEFT(' Pivot Tables'!$A$4,4)+0,RIGHT(LEFT(D2852,7),2)=RIGHT(LEFT(' Pivot Tables'!$A$4,7),2)),1,0)</f>
        <v>0</v>
      </c>
      <c r="Y2852" s="6">
        <f>1/COUNTIF(Таблица1[Order ID],Таблица1[[#This Row],[Order ID]])</f>
        <v>0.5</v>
      </c>
      <c r="Z2852" s="9">
        <f>1/COUNTIFS(Таблица1[Customer Name],Таблица1[[#This Row],[Customer Name]],Таблица1[Order-Year-Month],Таблица1[[#This Row],[Order-Year-Month]])</f>
        <v>1</v>
      </c>
    </row>
    <row r="2853" spans="1:26" x14ac:dyDescent="0.2">
      <c r="A2853" s="6">
        <v>2400</v>
      </c>
      <c r="B2853" s="7">
        <v>17408</v>
      </c>
      <c r="C2853" s="8">
        <f>DATE(2012,12,31)-1314</f>
        <v>39960</v>
      </c>
      <c r="D2853" s="8" t="str">
        <f t="shared" si="54"/>
        <v>2009-05 (май 2009)</v>
      </c>
      <c r="E2853" s="9" t="s">
        <v>45</v>
      </c>
      <c r="F2853" s="7">
        <v>26</v>
      </c>
      <c r="G2853" s="7">
        <v>149.69999999999999</v>
      </c>
      <c r="H2853" s="7">
        <v>0.05</v>
      </c>
      <c r="I2853" s="9" t="s">
        <v>56</v>
      </c>
      <c r="J2853" s="10">
        <v>-132.62950000000001</v>
      </c>
      <c r="K2853" s="11">
        <v>5.4</v>
      </c>
      <c r="L2853" s="11">
        <v>7.78</v>
      </c>
      <c r="M2853" s="9" t="s">
        <v>1529</v>
      </c>
      <c r="N2853" s="6" t="s">
        <v>974</v>
      </c>
      <c r="O2853" s="6" t="s">
        <v>512</v>
      </c>
      <c r="P2853" s="9" t="s">
        <v>41</v>
      </c>
      <c r="Q2853" s="9" t="s">
        <v>26</v>
      </c>
      <c r="R2853" s="9" t="s">
        <v>37</v>
      </c>
      <c r="S2853" s="7" t="s">
        <v>330</v>
      </c>
      <c r="T2853" s="9" t="s">
        <v>39</v>
      </c>
      <c r="U2853" s="7">
        <v>0.37</v>
      </c>
      <c r="V2853" s="12">
        <f>C2853+2</f>
        <v>39962</v>
      </c>
      <c r="W2853">
        <f>IF(D2853=' Pivot Tables'!$A$4,1,0)</f>
        <v>0</v>
      </c>
      <c r="X2853">
        <f>IF(AND(LEFT(D2853,4)+1=LEFT(' Pivot Tables'!$A$4,4)+0,RIGHT(LEFT(D2853,7),2)=RIGHT(LEFT(' Pivot Tables'!$A$4,7),2)),1,0)</f>
        <v>0</v>
      </c>
      <c r="Y2853" s="6">
        <f>1/COUNTIF(Таблица1[Order ID],Таблица1[[#This Row],[Order ID]])</f>
        <v>0.5</v>
      </c>
      <c r="Z2853" s="9">
        <f>1/COUNTIFS(Таблица1[Customer Name],Таблица1[[#This Row],[Customer Name]],Таблица1[Order-Year-Month],Таблица1[[#This Row],[Order-Year-Month]])</f>
        <v>0.5</v>
      </c>
    </row>
    <row r="2854" spans="1:26" x14ac:dyDescent="0.2">
      <c r="A2854" s="6">
        <v>2403</v>
      </c>
      <c r="B2854" s="7">
        <v>17410</v>
      </c>
      <c r="C2854" s="8">
        <f>DATE(2012,12,31)-852</f>
        <v>40422</v>
      </c>
      <c r="D2854" s="8" t="str">
        <f t="shared" si="54"/>
        <v>2010-09 (сентябрь 2010)</v>
      </c>
      <c r="E2854" s="9" t="s">
        <v>21</v>
      </c>
      <c r="F2854" s="7">
        <v>5</v>
      </c>
      <c r="G2854" s="7">
        <v>284.67349999999999</v>
      </c>
      <c r="H2854" s="7">
        <v>0.04</v>
      </c>
      <c r="I2854" s="9" t="s">
        <v>56</v>
      </c>
      <c r="J2854" s="10">
        <v>-247.23599999999999</v>
      </c>
      <c r="K2854" s="11">
        <v>65.989999999999995</v>
      </c>
      <c r="L2854" s="11">
        <v>8.99</v>
      </c>
      <c r="M2854" s="9" t="s">
        <v>1383</v>
      </c>
      <c r="N2854" s="6" t="s">
        <v>974</v>
      </c>
      <c r="O2854" s="6" t="s">
        <v>512</v>
      </c>
      <c r="P2854" s="9" t="s">
        <v>60</v>
      </c>
      <c r="Q2854" s="9" t="s">
        <v>42</v>
      </c>
      <c r="R2854" s="9" t="s">
        <v>43</v>
      </c>
      <c r="S2854" s="7" t="s">
        <v>1181</v>
      </c>
      <c r="T2854" s="9" t="s">
        <v>39</v>
      </c>
      <c r="U2854" s="7">
        <v>0.56000000000000005</v>
      </c>
      <c r="V2854" s="12">
        <f>C2854+5</f>
        <v>40427</v>
      </c>
      <c r="W2854">
        <f>IF(D2854=' Pivot Tables'!$A$4,1,0)</f>
        <v>0</v>
      </c>
      <c r="X2854">
        <f>IF(AND(LEFT(D2854,4)+1=LEFT(' Pivot Tables'!$A$4,4)+0,RIGHT(LEFT(D2854,7),2)=RIGHT(LEFT(' Pivot Tables'!$A$4,7),2)),1,0)</f>
        <v>0</v>
      </c>
      <c r="Y2854" s="6">
        <f>1/COUNTIF(Таблица1[Order ID],Таблица1[[#This Row],[Order ID]])</f>
        <v>0.5</v>
      </c>
      <c r="Z2854" s="9">
        <f>1/COUNTIFS(Таблица1[Customer Name],Таблица1[[#This Row],[Customer Name]],Таблица1[Order-Year-Month],Таблица1[[#This Row],[Order-Year-Month]])</f>
        <v>0.5</v>
      </c>
    </row>
    <row r="2855" spans="1:26" x14ac:dyDescent="0.2">
      <c r="A2855" s="6">
        <v>2606</v>
      </c>
      <c r="B2855" s="7">
        <v>18849</v>
      </c>
      <c r="C2855" s="8">
        <f>DATE(2012,12,31)-148</f>
        <v>41126</v>
      </c>
      <c r="D2855" s="8" t="str">
        <f t="shared" si="54"/>
        <v>2012-08 (август 2012)</v>
      </c>
      <c r="E2855" s="9" t="s">
        <v>30</v>
      </c>
      <c r="F2855" s="7">
        <v>6</v>
      </c>
      <c r="G2855" s="7">
        <v>751.71</v>
      </c>
      <c r="H2855" s="7">
        <v>0.09</v>
      </c>
      <c r="I2855" s="9" t="s">
        <v>22</v>
      </c>
      <c r="J2855" s="10">
        <v>50.83</v>
      </c>
      <c r="K2855" s="11">
        <v>131.12</v>
      </c>
      <c r="L2855" s="11">
        <v>0.99</v>
      </c>
      <c r="M2855" s="9" t="s">
        <v>1533</v>
      </c>
      <c r="N2855" s="6" t="s">
        <v>974</v>
      </c>
      <c r="O2855" s="6" t="s">
        <v>512</v>
      </c>
      <c r="P2855" s="9" t="s">
        <v>41</v>
      </c>
      <c r="Q2855" s="9" t="s">
        <v>26</v>
      </c>
      <c r="R2855" s="9" t="s">
        <v>34</v>
      </c>
      <c r="S2855" s="7" t="s">
        <v>722</v>
      </c>
      <c r="T2855" s="9" t="s">
        <v>39</v>
      </c>
      <c r="U2855" s="7">
        <v>0.55000000000000004</v>
      </c>
      <c r="V2855" s="12">
        <f>C2855+0</f>
        <v>41126</v>
      </c>
      <c r="W2855">
        <f>IF(D2855=' Pivot Tables'!$A$4,1,0)</f>
        <v>0</v>
      </c>
      <c r="X2855">
        <f>IF(AND(LEFT(D2855,4)+1=LEFT(' Pivot Tables'!$A$4,4)+0,RIGHT(LEFT(D2855,7),2)=RIGHT(LEFT(' Pivot Tables'!$A$4,7),2)),1,0)</f>
        <v>0</v>
      </c>
      <c r="Y2855" s="6">
        <f>1/COUNTIF(Таблица1[Order ID],Таблица1[[#This Row],[Order ID]])</f>
        <v>0.33333333333333331</v>
      </c>
      <c r="Z2855" s="9">
        <f>1/COUNTIFS(Таблица1[Customer Name],Таблица1[[#This Row],[Customer Name]],Таблица1[Order-Year-Month],Таблица1[[#This Row],[Order-Year-Month]])</f>
        <v>0.33333333333333331</v>
      </c>
    </row>
    <row r="2856" spans="1:26" x14ac:dyDescent="0.2">
      <c r="A2856" s="6">
        <v>2649</v>
      </c>
      <c r="B2856" s="7">
        <v>19174</v>
      </c>
      <c r="C2856" s="8">
        <f>DATE(2012,12,31)-899</f>
        <v>40375</v>
      </c>
      <c r="D2856" s="8" t="str">
        <f t="shared" si="54"/>
        <v>2010-07 (июль 2010)</v>
      </c>
      <c r="E2856" s="9" t="s">
        <v>63</v>
      </c>
      <c r="F2856" s="7">
        <v>35</v>
      </c>
      <c r="G2856" s="7">
        <v>5311.973</v>
      </c>
      <c r="H2856" s="7">
        <v>0.02</v>
      </c>
      <c r="I2856" s="9" t="s">
        <v>22</v>
      </c>
      <c r="J2856" s="10">
        <v>1142.0820000000001</v>
      </c>
      <c r="K2856" s="11">
        <v>179.99</v>
      </c>
      <c r="L2856" s="11">
        <v>13.99</v>
      </c>
      <c r="M2856" s="9" t="s">
        <v>1487</v>
      </c>
      <c r="N2856" s="6" t="s">
        <v>974</v>
      </c>
      <c r="O2856" s="6" t="s">
        <v>512</v>
      </c>
      <c r="P2856" s="9" t="s">
        <v>25</v>
      </c>
      <c r="Q2856" s="9" t="s">
        <v>42</v>
      </c>
      <c r="R2856" s="9" t="s">
        <v>43</v>
      </c>
      <c r="S2856" s="7" t="s">
        <v>343</v>
      </c>
      <c r="T2856" s="9" t="s">
        <v>48</v>
      </c>
      <c r="U2856" s="7">
        <v>0.56999999999999995</v>
      </c>
      <c r="V2856" s="12">
        <f>C2856+2</f>
        <v>40377</v>
      </c>
      <c r="W2856">
        <f>IF(D2856=' Pivot Tables'!$A$4,1,0)</f>
        <v>0</v>
      </c>
      <c r="X2856">
        <f>IF(AND(LEFT(D2856,4)+1=LEFT(' Pivot Tables'!$A$4,4)+0,RIGHT(LEFT(D2856,7),2)=RIGHT(LEFT(' Pivot Tables'!$A$4,7),2)),1,0)</f>
        <v>0</v>
      </c>
      <c r="Y2856" s="6">
        <f>1/COUNTIF(Таблица1[Order ID],Таблица1[[#This Row],[Order ID]])</f>
        <v>0.25</v>
      </c>
      <c r="Z2856" s="9">
        <f>1/COUNTIFS(Таблица1[Customer Name],Таблица1[[#This Row],[Customer Name]],Таблица1[Order-Year-Month],Таблица1[[#This Row],[Order-Year-Month]])</f>
        <v>0.25</v>
      </c>
    </row>
    <row r="2857" spans="1:26" x14ac:dyDescent="0.2">
      <c r="A2857" s="6">
        <v>2650</v>
      </c>
      <c r="B2857" s="7">
        <v>19174</v>
      </c>
      <c r="C2857" s="8">
        <f>DATE(2012,12,31)-899</f>
        <v>40375</v>
      </c>
      <c r="D2857" s="8" t="str">
        <f t="shared" si="54"/>
        <v>2010-07 (июль 2010)</v>
      </c>
      <c r="E2857" s="9" t="s">
        <v>63</v>
      </c>
      <c r="F2857" s="7">
        <v>19</v>
      </c>
      <c r="G2857" s="7">
        <v>1061.905</v>
      </c>
      <c r="H2857" s="7">
        <v>0.06</v>
      </c>
      <c r="I2857" s="9" t="s">
        <v>22</v>
      </c>
      <c r="J2857" s="10">
        <v>152.74799999999999</v>
      </c>
      <c r="K2857" s="11">
        <v>65.989999999999995</v>
      </c>
      <c r="L2857" s="11">
        <v>2.5</v>
      </c>
      <c r="M2857" s="9" t="s">
        <v>1487</v>
      </c>
      <c r="N2857" s="6" t="s">
        <v>974</v>
      </c>
      <c r="O2857" s="6" t="s">
        <v>512</v>
      </c>
      <c r="P2857" s="9" t="s">
        <v>25</v>
      </c>
      <c r="Q2857" s="9" t="s">
        <v>42</v>
      </c>
      <c r="R2857" s="9" t="s">
        <v>43</v>
      </c>
      <c r="S2857" s="7" t="s">
        <v>963</v>
      </c>
      <c r="T2857" s="9" t="s">
        <v>39</v>
      </c>
      <c r="U2857" s="7">
        <v>0.56000000000000005</v>
      </c>
      <c r="V2857" s="12">
        <f>C2857+1</f>
        <v>40376</v>
      </c>
      <c r="W2857">
        <f>IF(D2857=' Pivot Tables'!$A$4,1,0)</f>
        <v>0</v>
      </c>
      <c r="X2857">
        <f>IF(AND(LEFT(D2857,4)+1=LEFT(' Pivot Tables'!$A$4,4)+0,RIGHT(LEFT(D2857,7),2)=RIGHT(LEFT(' Pivot Tables'!$A$4,7),2)),1,0)</f>
        <v>0</v>
      </c>
      <c r="Y2857" s="6">
        <f>1/COUNTIF(Таблица1[Order ID],Таблица1[[#This Row],[Order ID]])</f>
        <v>0.25</v>
      </c>
      <c r="Z2857" s="9">
        <f>1/COUNTIFS(Таблица1[Customer Name],Таблица1[[#This Row],[Customer Name]],Таблица1[Order-Year-Month],Таблица1[[#This Row],[Order-Year-Month]])</f>
        <v>0.25</v>
      </c>
    </row>
    <row r="2858" spans="1:26" x14ac:dyDescent="0.2">
      <c r="A2858" s="6">
        <v>2651</v>
      </c>
      <c r="B2858" s="7">
        <v>19174</v>
      </c>
      <c r="C2858" s="8">
        <f>DATE(2012,12,31)-899</f>
        <v>40375</v>
      </c>
      <c r="D2858" s="8" t="str">
        <f t="shared" si="54"/>
        <v>2010-07 (июль 2010)</v>
      </c>
      <c r="E2858" s="9" t="s">
        <v>63</v>
      </c>
      <c r="F2858" s="7">
        <v>48</v>
      </c>
      <c r="G2858" s="7">
        <v>1631.04</v>
      </c>
      <c r="H2858" s="7">
        <v>0</v>
      </c>
      <c r="I2858" s="9" t="s">
        <v>22</v>
      </c>
      <c r="J2858" s="10">
        <v>665.63</v>
      </c>
      <c r="K2858" s="11">
        <v>33.979999999999997</v>
      </c>
      <c r="L2858" s="11">
        <v>1.99</v>
      </c>
      <c r="M2858" s="9" t="s">
        <v>1487</v>
      </c>
      <c r="N2858" s="6" t="s">
        <v>974</v>
      </c>
      <c r="O2858" s="6" t="s">
        <v>512</v>
      </c>
      <c r="P2858" s="9" t="s">
        <v>25</v>
      </c>
      <c r="Q2858" s="9" t="s">
        <v>42</v>
      </c>
      <c r="R2858" s="9" t="s">
        <v>70</v>
      </c>
      <c r="S2858" s="7" t="s">
        <v>1534</v>
      </c>
      <c r="T2858" s="9" t="s">
        <v>52</v>
      </c>
      <c r="U2858" s="7">
        <v>0.45</v>
      </c>
      <c r="V2858" s="12">
        <f>C2858+2</f>
        <v>40377</v>
      </c>
      <c r="W2858">
        <f>IF(D2858=' Pivot Tables'!$A$4,1,0)</f>
        <v>0</v>
      </c>
      <c r="X2858">
        <f>IF(AND(LEFT(D2858,4)+1=LEFT(' Pivot Tables'!$A$4,4)+0,RIGHT(LEFT(D2858,7),2)=RIGHT(LEFT(' Pivot Tables'!$A$4,7),2)),1,0)</f>
        <v>0</v>
      </c>
      <c r="Y2858" s="6">
        <f>1/COUNTIF(Таблица1[Order ID],Таблица1[[#This Row],[Order ID]])</f>
        <v>0.25</v>
      </c>
      <c r="Z2858" s="9">
        <f>1/COUNTIFS(Таблица1[Customer Name],Таблица1[[#This Row],[Customer Name]],Таблица1[Order-Year-Month],Таблица1[[#This Row],[Order-Year-Month]])</f>
        <v>0.25</v>
      </c>
    </row>
    <row r="2859" spans="1:26" x14ac:dyDescent="0.2">
      <c r="A2859" s="6">
        <v>2784</v>
      </c>
      <c r="B2859" s="7">
        <v>20098</v>
      </c>
      <c r="C2859" s="8">
        <f>DATE(2012,12,31)-389</f>
        <v>40885</v>
      </c>
      <c r="D2859" s="8" t="str">
        <f t="shared" si="54"/>
        <v>2011-12 (декабрь 2011)</v>
      </c>
      <c r="E2859" s="9" t="s">
        <v>63</v>
      </c>
      <c r="F2859" s="7">
        <v>11</v>
      </c>
      <c r="G2859" s="7">
        <v>183.32</v>
      </c>
      <c r="H2859" s="7">
        <v>0.04</v>
      </c>
      <c r="I2859" s="9" t="s">
        <v>22</v>
      </c>
      <c r="J2859" s="10">
        <v>-61.100100000000005</v>
      </c>
      <c r="K2859" s="11">
        <v>15.99</v>
      </c>
      <c r="L2859" s="11">
        <v>9.4</v>
      </c>
      <c r="M2859" s="9" t="s">
        <v>1466</v>
      </c>
      <c r="N2859" s="6" t="s">
        <v>974</v>
      </c>
      <c r="O2859" s="6" t="s">
        <v>512</v>
      </c>
      <c r="P2859" s="9" t="s">
        <v>33</v>
      </c>
      <c r="Q2859" s="9" t="s">
        <v>42</v>
      </c>
      <c r="R2859" s="9" t="s">
        <v>210</v>
      </c>
      <c r="S2859" s="7" t="s">
        <v>489</v>
      </c>
      <c r="T2859" s="9" t="s">
        <v>39</v>
      </c>
      <c r="U2859" s="7">
        <v>0.49</v>
      </c>
      <c r="V2859" s="12">
        <f>C2859+2</f>
        <v>40887</v>
      </c>
      <c r="W2859">
        <f>IF(D2859=' Pivot Tables'!$A$4,1,0)</f>
        <v>0</v>
      </c>
      <c r="X2859">
        <f>IF(AND(LEFT(D2859,4)+1=LEFT(' Pivot Tables'!$A$4,4)+0,RIGHT(LEFT(D2859,7),2)=RIGHT(LEFT(' Pivot Tables'!$A$4,7),2)),1,0)</f>
        <v>0</v>
      </c>
      <c r="Y2859" s="6">
        <f>1/COUNTIF(Таблица1[Order ID],Таблица1[[#This Row],[Order ID]])</f>
        <v>0.5</v>
      </c>
      <c r="Z2859" s="9">
        <f>1/COUNTIFS(Таблица1[Customer Name],Таблица1[[#This Row],[Customer Name]],Таблица1[Order-Year-Month],Таблица1[[#This Row],[Order-Year-Month]])</f>
        <v>0.5</v>
      </c>
    </row>
    <row r="2860" spans="1:26" x14ac:dyDescent="0.2">
      <c r="A2860" s="6">
        <v>2874</v>
      </c>
      <c r="B2860" s="7">
        <v>20711</v>
      </c>
      <c r="C2860" s="8">
        <f>DATE(2012,12,31)-1442</f>
        <v>39832</v>
      </c>
      <c r="D2860" s="8" t="str">
        <f t="shared" si="54"/>
        <v>2009-01 (январь 2009)</v>
      </c>
      <c r="E2860" s="9" t="s">
        <v>78</v>
      </c>
      <c r="F2860" s="7">
        <v>5</v>
      </c>
      <c r="G2860" s="7">
        <v>98.66</v>
      </c>
      <c r="H2860" s="7">
        <v>0.1</v>
      </c>
      <c r="I2860" s="9" t="s">
        <v>22</v>
      </c>
      <c r="J2860" s="10">
        <v>-19.52</v>
      </c>
      <c r="K2860" s="11">
        <v>18.97</v>
      </c>
      <c r="L2860" s="11">
        <v>9.0299999999999994</v>
      </c>
      <c r="M2860" s="9" t="s">
        <v>1503</v>
      </c>
      <c r="N2860" s="6" t="s">
        <v>974</v>
      </c>
      <c r="O2860" s="6" t="s">
        <v>512</v>
      </c>
      <c r="P2860" s="9" t="s">
        <v>33</v>
      </c>
      <c r="Q2860" s="9" t="s">
        <v>26</v>
      </c>
      <c r="R2860" s="9" t="s">
        <v>61</v>
      </c>
      <c r="S2860" s="7" t="s">
        <v>123</v>
      </c>
      <c r="T2860" s="9" t="s">
        <v>39</v>
      </c>
      <c r="U2860" s="7">
        <v>0.37</v>
      </c>
      <c r="V2860" s="12">
        <f>C2860+2</f>
        <v>39834</v>
      </c>
      <c r="W2860">
        <f>IF(D2860=' Pivot Tables'!$A$4,1,0)</f>
        <v>0</v>
      </c>
      <c r="X2860">
        <f>IF(AND(LEFT(D2860,4)+1=LEFT(' Pivot Tables'!$A$4,4)+0,RIGHT(LEFT(D2860,7),2)=RIGHT(LEFT(' Pivot Tables'!$A$4,7),2)),1,0)</f>
        <v>1</v>
      </c>
      <c r="Y2860" s="6">
        <f>1/COUNTIF(Таблица1[Order ID],Таблица1[[#This Row],[Order ID]])</f>
        <v>0.5</v>
      </c>
      <c r="Z2860" s="9">
        <f>1/COUNTIFS(Таблица1[Customer Name],Таблица1[[#This Row],[Customer Name]],Таблица1[Order-Year-Month],Таблица1[[#This Row],[Order-Year-Month]])</f>
        <v>0.5</v>
      </c>
    </row>
    <row r="2861" spans="1:26" x14ac:dyDescent="0.2">
      <c r="A2861" s="6">
        <v>2898</v>
      </c>
      <c r="B2861" s="7">
        <v>20932</v>
      </c>
      <c r="C2861" s="8">
        <f>DATE(2012,12,31)-155</f>
        <v>41119</v>
      </c>
      <c r="D2861" s="8" t="str">
        <f t="shared" si="54"/>
        <v>2012-07 (июль 2012)</v>
      </c>
      <c r="E2861" s="9" t="s">
        <v>30</v>
      </c>
      <c r="F2861" s="7">
        <v>38</v>
      </c>
      <c r="G2861" s="7">
        <v>123.26</v>
      </c>
      <c r="H2861" s="7">
        <v>0.02</v>
      </c>
      <c r="I2861" s="9" t="s">
        <v>22</v>
      </c>
      <c r="J2861" s="10">
        <v>-4.7300000000000004</v>
      </c>
      <c r="K2861" s="11">
        <v>3.26</v>
      </c>
      <c r="L2861" s="11">
        <v>1.86</v>
      </c>
      <c r="M2861" s="9" t="s">
        <v>1458</v>
      </c>
      <c r="N2861" s="6" t="s">
        <v>974</v>
      </c>
      <c r="O2861" s="6" t="s">
        <v>512</v>
      </c>
      <c r="P2861" s="9" t="s">
        <v>25</v>
      </c>
      <c r="Q2861" s="9" t="s">
        <v>26</v>
      </c>
      <c r="R2861" s="9" t="s">
        <v>95</v>
      </c>
      <c r="S2861" s="7" t="s">
        <v>1535</v>
      </c>
      <c r="T2861" s="9" t="s">
        <v>68</v>
      </c>
      <c r="U2861" s="7">
        <v>0.41</v>
      </c>
      <c r="V2861" s="12">
        <f>C2861+2</f>
        <v>41121</v>
      </c>
      <c r="W2861">
        <f>IF(D2861=' Pivot Tables'!$A$4,1,0)</f>
        <v>0</v>
      </c>
      <c r="X2861">
        <f>IF(AND(LEFT(D2861,4)+1=LEFT(' Pivot Tables'!$A$4,4)+0,RIGHT(LEFT(D2861,7),2)=RIGHT(LEFT(' Pivot Tables'!$A$4,7),2)),1,0)</f>
        <v>0</v>
      </c>
      <c r="Y2861" s="6">
        <f>1/COUNTIF(Таблица1[Order ID],Таблица1[[#This Row],[Order ID]])</f>
        <v>1</v>
      </c>
      <c r="Z2861" s="9">
        <f>1/COUNTIFS(Таблица1[Customer Name],Таблица1[[#This Row],[Customer Name]],Таблица1[Order-Year-Month],Таблица1[[#This Row],[Order-Year-Month]])</f>
        <v>0.5</v>
      </c>
    </row>
    <row r="2862" spans="1:26" x14ac:dyDescent="0.2">
      <c r="A2862" s="6">
        <v>2943</v>
      </c>
      <c r="B2862" s="7">
        <v>21319</v>
      </c>
      <c r="C2862" s="8">
        <f>DATE(2012,12,31)-977</f>
        <v>40297</v>
      </c>
      <c r="D2862" s="8" t="str">
        <f t="shared" si="54"/>
        <v>2010-04 (апрель 2010)</v>
      </c>
      <c r="E2862" s="9" t="s">
        <v>63</v>
      </c>
      <c r="F2862" s="7">
        <v>5</v>
      </c>
      <c r="G2862" s="7">
        <v>2361.1</v>
      </c>
      <c r="H2862" s="7">
        <v>0.01</v>
      </c>
      <c r="I2862" s="9" t="s">
        <v>31</v>
      </c>
      <c r="J2862" s="10">
        <v>-1042.7139999999999</v>
      </c>
      <c r="K2862" s="11">
        <v>449.99</v>
      </c>
      <c r="L2862" s="11">
        <v>49</v>
      </c>
      <c r="M2862" s="9" t="s">
        <v>1466</v>
      </c>
      <c r="N2862" s="6" t="s">
        <v>974</v>
      </c>
      <c r="O2862" s="6" t="s">
        <v>512</v>
      </c>
      <c r="P2862" s="9" t="s">
        <v>33</v>
      </c>
      <c r="Q2862" s="9" t="s">
        <v>42</v>
      </c>
      <c r="R2862" s="9" t="s">
        <v>99</v>
      </c>
      <c r="S2862" s="7" t="s">
        <v>100</v>
      </c>
      <c r="T2862" s="9" t="s">
        <v>36</v>
      </c>
      <c r="U2862" s="7">
        <v>0.38</v>
      </c>
      <c r="V2862" s="12">
        <f>C2862+1</f>
        <v>40298</v>
      </c>
      <c r="W2862">
        <f>IF(D2862=' Pivot Tables'!$A$4,1,0)</f>
        <v>0</v>
      </c>
      <c r="X2862">
        <f>IF(AND(LEFT(D2862,4)+1=LEFT(' Pivot Tables'!$A$4,4)+0,RIGHT(LEFT(D2862,7),2)=RIGHT(LEFT(' Pivot Tables'!$A$4,7),2)),1,0)</f>
        <v>0</v>
      </c>
      <c r="Y2862" s="6">
        <f>1/COUNTIF(Таблица1[Order ID],Таблица1[[#This Row],[Order ID]])</f>
        <v>0.33333333333333331</v>
      </c>
      <c r="Z2862" s="9">
        <f>1/COUNTIFS(Таблица1[Customer Name],Таблица1[[#This Row],[Customer Name]],Таблица1[Order-Year-Month],Таблица1[[#This Row],[Order-Year-Month]])</f>
        <v>0.33333333333333331</v>
      </c>
    </row>
    <row r="2863" spans="1:26" x14ac:dyDescent="0.2">
      <c r="A2863" s="6">
        <v>2947</v>
      </c>
      <c r="B2863" s="7">
        <v>21344</v>
      </c>
      <c r="C2863" s="8">
        <f>DATE(2012,12,31)-22</f>
        <v>41252</v>
      </c>
      <c r="D2863" s="8" t="str">
        <f t="shared" si="54"/>
        <v>2012-12 (декабрь 2012)</v>
      </c>
      <c r="E2863" s="9" t="s">
        <v>21</v>
      </c>
      <c r="F2863" s="7">
        <v>48</v>
      </c>
      <c r="G2863" s="7">
        <v>2011.46</v>
      </c>
      <c r="H2863" s="7">
        <v>0.01</v>
      </c>
      <c r="I2863" s="9" t="s">
        <v>22</v>
      </c>
      <c r="J2863" s="10">
        <v>171.07</v>
      </c>
      <c r="K2863" s="11">
        <v>41.32</v>
      </c>
      <c r="L2863" s="11">
        <v>8.66</v>
      </c>
      <c r="M2863" s="9" t="s">
        <v>1469</v>
      </c>
      <c r="N2863" s="6" t="s">
        <v>974</v>
      </c>
      <c r="O2863" s="6" t="s">
        <v>512</v>
      </c>
      <c r="P2863" s="9" t="s">
        <v>41</v>
      </c>
      <c r="Q2863" s="9" t="s">
        <v>49</v>
      </c>
      <c r="R2863" s="9" t="s">
        <v>50</v>
      </c>
      <c r="S2863" s="7" t="s">
        <v>639</v>
      </c>
      <c r="T2863" s="9" t="s">
        <v>48</v>
      </c>
      <c r="U2863" s="7">
        <v>0.76</v>
      </c>
      <c r="V2863" s="12">
        <f>C2863+7</f>
        <v>41259</v>
      </c>
      <c r="W2863">
        <f>IF(D2863=' Pivot Tables'!$A$4,1,0)</f>
        <v>0</v>
      </c>
      <c r="X2863">
        <f>IF(AND(LEFT(D2863,4)+1=LEFT(' Pivot Tables'!$A$4,4)+0,RIGHT(LEFT(D2863,7),2)=RIGHT(LEFT(' Pivot Tables'!$A$4,7),2)),1,0)</f>
        <v>0</v>
      </c>
      <c r="Y2863" s="6">
        <f>1/COUNTIF(Таблица1[Order ID],Таблица1[[#This Row],[Order ID]])</f>
        <v>0.33333333333333331</v>
      </c>
      <c r="Z2863" s="9">
        <f>1/COUNTIFS(Таблица1[Customer Name],Таблица1[[#This Row],[Customer Name]],Таблица1[Order-Year-Month],Таблица1[[#This Row],[Order-Year-Month]])</f>
        <v>0.33333333333333331</v>
      </c>
    </row>
    <row r="2864" spans="1:26" x14ac:dyDescent="0.2">
      <c r="A2864" s="6">
        <v>2980</v>
      </c>
      <c r="B2864" s="7">
        <v>21538</v>
      </c>
      <c r="C2864" s="8">
        <f>DATE(2012,12,31)-1253</f>
        <v>40021</v>
      </c>
      <c r="D2864" s="8" t="str">
        <f t="shared" si="54"/>
        <v>2009-07 (июль 2009)</v>
      </c>
      <c r="E2864" s="9" t="s">
        <v>63</v>
      </c>
      <c r="F2864" s="7">
        <v>31</v>
      </c>
      <c r="G2864" s="7">
        <v>87.32</v>
      </c>
      <c r="H2864" s="7">
        <v>0.08</v>
      </c>
      <c r="I2864" s="9" t="s">
        <v>22</v>
      </c>
      <c r="J2864" s="10">
        <v>-1.18</v>
      </c>
      <c r="K2864" s="11">
        <v>2.94</v>
      </c>
      <c r="L2864" s="11">
        <v>0.96</v>
      </c>
      <c r="M2864" s="9" t="s">
        <v>1536</v>
      </c>
      <c r="N2864" s="6" t="s">
        <v>974</v>
      </c>
      <c r="O2864" s="6" t="s">
        <v>512</v>
      </c>
      <c r="P2864" s="9" t="s">
        <v>25</v>
      </c>
      <c r="Q2864" s="9" t="s">
        <v>26</v>
      </c>
      <c r="R2864" s="9" t="s">
        <v>95</v>
      </c>
      <c r="S2864" s="7" t="s">
        <v>486</v>
      </c>
      <c r="T2864" s="9" t="s">
        <v>68</v>
      </c>
      <c r="U2864" s="7">
        <v>0.57999999999999996</v>
      </c>
      <c r="V2864" s="12">
        <f>C2864+2</f>
        <v>40023</v>
      </c>
      <c r="W2864">
        <f>IF(D2864=' Pivot Tables'!$A$4,1,0)</f>
        <v>0</v>
      </c>
      <c r="X2864">
        <f>IF(AND(LEFT(D2864,4)+1=LEFT(' Pivot Tables'!$A$4,4)+0,RIGHT(LEFT(D2864,7),2)=RIGHT(LEFT(' Pivot Tables'!$A$4,7),2)),1,0)</f>
        <v>0</v>
      </c>
      <c r="Y2864" s="6">
        <f>1/COUNTIF(Таблица1[Order ID],Таблица1[[#This Row],[Order ID]])</f>
        <v>1</v>
      </c>
      <c r="Z2864" s="9">
        <f>1/COUNTIFS(Таблица1[Customer Name],Таблица1[[#This Row],[Customer Name]],Таблица1[Order-Year-Month],Таблица1[[#This Row],[Order-Year-Month]])</f>
        <v>1</v>
      </c>
    </row>
    <row r="2865" spans="1:26" x14ac:dyDescent="0.2">
      <c r="A2865" s="6">
        <v>2990</v>
      </c>
      <c r="B2865" s="7">
        <v>21574</v>
      </c>
      <c r="C2865" s="8">
        <f>DATE(2012,12,31)-1081</f>
        <v>40193</v>
      </c>
      <c r="D2865" s="8" t="str">
        <f t="shared" si="54"/>
        <v>2010-01 (январь 2010)</v>
      </c>
      <c r="E2865" s="9" t="s">
        <v>78</v>
      </c>
      <c r="F2865" s="7">
        <v>33</v>
      </c>
      <c r="G2865" s="7">
        <v>77.55</v>
      </c>
      <c r="H2865" s="7">
        <v>0</v>
      </c>
      <c r="I2865" s="9" t="s">
        <v>22</v>
      </c>
      <c r="J2865" s="10">
        <v>-37.200000000000003</v>
      </c>
      <c r="K2865" s="11">
        <v>2.12</v>
      </c>
      <c r="L2865" s="11">
        <v>1.99</v>
      </c>
      <c r="M2865" s="9" t="s">
        <v>1462</v>
      </c>
      <c r="N2865" s="6" t="s">
        <v>974</v>
      </c>
      <c r="O2865" s="6" t="s">
        <v>512</v>
      </c>
      <c r="P2865" s="9" t="s">
        <v>25</v>
      </c>
      <c r="Q2865" s="9" t="s">
        <v>42</v>
      </c>
      <c r="R2865" s="9" t="s">
        <v>70</v>
      </c>
      <c r="S2865" s="7" t="s">
        <v>1232</v>
      </c>
      <c r="T2865" s="9" t="s">
        <v>52</v>
      </c>
      <c r="U2865" s="7">
        <v>0.55000000000000004</v>
      </c>
      <c r="V2865" s="12">
        <f>C2865+1</f>
        <v>40194</v>
      </c>
      <c r="W2865">
        <f>IF(D2865=' Pivot Tables'!$A$4,1,0)</f>
        <v>1</v>
      </c>
      <c r="X2865">
        <f>IF(AND(LEFT(D2865,4)+1=LEFT(' Pivot Tables'!$A$4,4)+0,RIGHT(LEFT(D2865,7),2)=RIGHT(LEFT(' Pivot Tables'!$A$4,7),2)),1,0)</f>
        <v>0</v>
      </c>
      <c r="Y2865" s="6">
        <f>1/COUNTIF(Таблица1[Order ID],Таблица1[[#This Row],[Order ID]])</f>
        <v>1</v>
      </c>
      <c r="Z2865" s="9">
        <f>1/COUNTIFS(Таблица1[Customer Name],Таблица1[[#This Row],[Customer Name]],Таблица1[Order-Year-Month],Таблица1[[#This Row],[Order-Year-Month]])</f>
        <v>0.25</v>
      </c>
    </row>
    <row r="2866" spans="1:26" x14ac:dyDescent="0.2">
      <c r="A2866" s="6">
        <v>3102</v>
      </c>
      <c r="B2866" s="7">
        <v>22242</v>
      </c>
      <c r="C2866" s="8">
        <f>DATE(2012,12,31)-1295</f>
        <v>39979</v>
      </c>
      <c r="D2866" s="8" t="str">
        <f t="shared" si="54"/>
        <v>2009-06 (июнь 2009)</v>
      </c>
      <c r="E2866" s="9" t="s">
        <v>45</v>
      </c>
      <c r="F2866" s="7">
        <v>50</v>
      </c>
      <c r="G2866" s="7">
        <v>329.91</v>
      </c>
      <c r="H2866" s="7">
        <v>0.04</v>
      </c>
      <c r="I2866" s="9" t="s">
        <v>22</v>
      </c>
      <c r="J2866" s="10">
        <v>-279.93</v>
      </c>
      <c r="K2866" s="11">
        <v>6.48</v>
      </c>
      <c r="L2866" s="11">
        <v>9.5399999999999991</v>
      </c>
      <c r="M2866" s="9" t="s">
        <v>1383</v>
      </c>
      <c r="N2866" s="6" t="s">
        <v>974</v>
      </c>
      <c r="O2866" s="6" t="s">
        <v>512</v>
      </c>
      <c r="P2866" s="9" t="s">
        <v>60</v>
      </c>
      <c r="Q2866" s="9" t="s">
        <v>26</v>
      </c>
      <c r="R2866" s="9" t="s">
        <v>61</v>
      </c>
      <c r="S2866" s="7" t="s">
        <v>518</v>
      </c>
      <c r="T2866" s="9" t="s">
        <v>39</v>
      </c>
      <c r="U2866" s="7">
        <v>0.37</v>
      </c>
      <c r="V2866" s="12">
        <f>C2866+2</f>
        <v>39981</v>
      </c>
      <c r="W2866">
        <f>IF(D2866=' Pivot Tables'!$A$4,1,0)</f>
        <v>0</v>
      </c>
      <c r="X2866">
        <f>IF(AND(LEFT(D2866,4)+1=LEFT(' Pivot Tables'!$A$4,4)+0,RIGHT(LEFT(D2866,7),2)=RIGHT(LEFT(' Pivot Tables'!$A$4,7),2)),1,0)</f>
        <v>0</v>
      </c>
      <c r="Y2866" s="6">
        <f>1/COUNTIF(Таблица1[Order ID],Таблица1[[#This Row],[Order ID]])</f>
        <v>1</v>
      </c>
      <c r="Z2866" s="9">
        <f>1/COUNTIFS(Таблица1[Customer Name],Таблица1[[#This Row],[Customer Name]],Таблица1[Order-Year-Month],Таблица1[[#This Row],[Order-Year-Month]])</f>
        <v>1</v>
      </c>
    </row>
    <row r="2867" spans="1:26" x14ac:dyDescent="0.2">
      <c r="A2867" s="6">
        <v>3215</v>
      </c>
      <c r="B2867" s="7">
        <v>23078</v>
      </c>
      <c r="C2867" s="8">
        <f>DATE(2012,12,31)-473</f>
        <v>40801</v>
      </c>
      <c r="D2867" s="8" t="str">
        <f t="shared" si="54"/>
        <v>2011-09 (сентябрь 2011)</v>
      </c>
      <c r="E2867" s="9" t="s">
        <v>63</v>
      </c>
      <c r="F2867" s="7">
        <v>8</v>
      </c>
      <c r="G2867" s="7">
        <v>342.27</v>
      </c>
      <c r="H2867" s="7">
        <v>0.09</v>
      </c>
      <c r="I2867" s="9" t="s">
        <v>22</v>
      </c>
      <c r="J2867" s="10">
        <v>-17.68</v>
      </c>
      <c r="K2867" s="11">
        <v>40.99</v>
      </c>
      <c r="L2867" s="11">
        <v>19.989999999999998</v>
      </c>
      <c r="M2867" s="9" t="s">
        <v>1474</v>
      </c>
      <c r="N2867" s="6" t="s">
        <v>974</v>
      </c>
      <c r="O2867" s="6" t="s">
        <v>512</v>
      </c>
      <c r="P2867" s="9" t="s">
        <v>33</v>
      </c>
      <c r="Q2867" s="9" t="s">
        <v>26</v>
      </c>
      <c r="R2867" s="9" t="s">
        <v>61</v>
      </c>
      <c r="S2867" s="7" t="s">
        <v>105</v>
      </c>
      <c r="T2867" s="9" t="s">
        <v>39</v>
      </c>
      <c r="U2867" s="7">
        <v>0.36</v>
      </c>
      <c r="V2867" s="12">
        <f>C2867+2</f>
        <v>40803</v>
      </c>
      <c r="W2867">
        <f>IF(D2867=' Pivot Tables'!$A$4,1,0)</f>
        <v>0</v>
      </c>
      <c r="X2867">
        <f>IF(AND(LEFT(D2867,4)+1=LEFT(' Pivot Tables'!$A$4,4)+0,RIGHT(LEFT(D2867,7),2)=RIGHT(LEFT(' Pivot Tables'!$A$4,7),2)),1,0)</f>
        <v>0</v>
      </c>
      <c r="Y2867" s="6">
        <f>1/COUNTIF(Таблица1[Order ID],Таблица1[[#This Row],[Order ID]])</f>
        <v>0.33333333333333331</v>
      </c>
      <c r="Z2867" s="9">
        <f>1/COUNTIFS(Таблица1[Customer Name],Таблица1[[#This Row],[Customer Name]],Таблица1[Order-Year-Month],Таблица1[[#This Row],[Order-Year-Month]])</f>
        <v>0.33333333333333331</v>
      </c>
    </row>
    <row r="2868" spans="1:26" x14ac:dyDescent="0.2">
      <c r="A2868" s="6">
        <v>3250</v>
      </c>
      <c r="B2868" s="7">
        <v>23271</v>
      </c>
      <c r="C2868" s="8">
        <f>DATE(2012,12,31)-789</f>
        <v>40485</v>
      </c>
      <c r="D2868" s="8" t="str">
        <f t="shared" si="54"/>
        <v>2010-11 (ноябрь 2010)</v>
      </c>
      <c r="E2868" s="9" t="s">
        <v>30</v>
      </c>
      <c r="F2868" s="7">
        <v>1</v>
      </c>
      <c r="G2868" s="7">
        <v>794.58</v>
      </c>
      <c r="H2868" s="7">
        <v>0.09</v>
      </c>
      <c r="I2868" s="9" t="s">
        <v>31</v>
      </c>
      <c r="J2868" s="10">
        <v>-1748.3433</v>
      </c>
      <c r="K2868" s="11">
        <v>808.49</v>
      </c>
      <c r="L2868" s="11">
        <v>55.3</v>
      </c>
      <c r="M2868" s="9" t="s">
        <v>1264</v>
      </c>
      <c r="N2868" s="6" t="s">
        <v>974</v>
      </c>
      <c r="O2868" s="6" t="s">
        <v>512</v>
      </c>
      <c r="P2868" s="9" t="s">
        <v>25</v>
      </c>
      <c r="Q2868" s="9" t="s">
        <v>42</v>
      </c>
      <c r="R2868" s="9" t="s">
        <v>210</v>
      </c>
      <c r="S2868" s="7" t="s">
        <v>1537</v>
      </c>
      <c r="T2868" s="9" t="s">
        <v>36</v>
      </c>
      <c r="U2868" s="7">
        <v>0.4</v>
      </c>
      <c r="V2868" s="12">
        <f>C2868+1</f>
        <v>40486</v>
      </c>
      <c r="W2868">
        <f>IF(D2868=' Pivot Tables'!$A$4,1,0)</f>
        <v>0</v>
      </c>
      <c r="X2868">
        <f>IF(AND(LEFT(D2868,4)+1=LEFT(' Pivot Tables'!$A$4,4)+0,RIGHT(LEFT(D2868,7),2)=RIGHT(LEFT(' Pivot Tables'!$A$4,7),2)),1,0)</f>
        <v>0</v>
      </c>
      <c r="Y2868" s="6">
        <f>1/COUNTIF(Таблица1[Order ID],Таблица1[[#This Row],[Order ID]])</f>
        <v>1</v>
      </c>
      <c r="Z2868" s="9">
        <f>1/COUNTIFS(Таблица1[Customer Name],Таблица1[[#This Row],[Customer Name]],Таблица1[Order-Year-Month],Таблица1[[#This Row],[Order-Year-Month]])</f>
        <v>1</v>
      </c>
    </row>
    <row r="2869" spans="1:26" x14ac:dyDescent="0.2">
      <c r="A2869" s="6">
        <v>3280</v>
      </c>
      <c r="B2869" s="7">
        <v>23428</v>
      </c>
      <c r="C2869" s="8">
        <f>DATE(2012,12,31)-64</f>
        <v>41210</v>
      </c>
      <c r="D2869" s="8" t="str">
        <f t="shared" si="54"/>
        <v>2012-10 (октябрь 2012)</v>
      </c>
      <c r="E2869" s="9" t="s">
        <v>30</v>
      </c>
      <c r="F2869" s="7">
        <v>41</v>
      </c>
      <c r="G2869" s="7">
        <v>980.95</v>
      </c>
      <c r="H2869" s="7">
        <v>0.02</v>
      </c>
      <c r="I2869" s="9" t="s">
        <v>22</v>
      </c>
      <c r="J2869" s="10">
        <v>234.68</v>
      </c>
      <c r="K2869" s="11">
        <v>22.84</v>
      </c>
      <c r="L2869" s="11">
        <v>8.18</v>
      </c>
      <c r="M2869" s="9" t="s">
        <v>1538</v>
      </c>
      <c r="N2869" s="6" t="s">
        <v>974</v>
      </c>
      <c r="O2869" s="6" t="s">
        <v>512</v>
      </c>
      <c r="P2869" s="9" t="s">
        <v>25</v>
      </c>
      <c r="Q2869" s="9" t="s">
        <v>26</v>
      </c>
      <c r="R2869" s="9" t="s">
        <v>61</v>
      </c>
      <c r="S2869" s="7" t="s">
        <v>1539</v>
      </c>
      <c r="T2869" s="9" t="s">
        <v>39</v>
      </c>
      <c r="U2869" s="7">
        <v>0.39</v>
      </c>
      <c r="V2869" s="12">
        <f>C2869+2</f>
        <v>41212</v>
      </c>
      <c r="W2869">
        <f>IF(D2869=' Pivot Tables'!$A$4,1,0)</f>
        <v>0</v>
      </c>
      <c r="X2869">
        <f>IF(AND(LEFT(D2869,4)+1=LEFT(' Pivot Tables'!$A$4,4)+0,RIGHT(LEFT(D2869,7),2)=RIGHT(LEFT(' Pivot Tables'!$A$4,7),2)),1,0)</f>
        <v>0</v>
      </c>
      <c r="Y2869" s="6">
        <f>1/COUNTIF(Таблица1[Order ID],Таблица1[[#This Row],[Order ID]])</f>
        <v>1</v>
      </c>
      <c r="Z2869" s="9">
        <f>1/COUNTIFS(Таблица1[Customer Name],Таблица1[[#This Row],[Customer Name]],Таблица1[Order-Year-Month],Таблица1[[#This Row],[Order-Year-Month]])</f>
        <v>1</v>
      </c>
    </row>
    <row r="2870" spans="1:26" x14ac:dyDescent="0.2">
      <c r="A2870" s="6">
        <v>3307</v>
      </c>
      <c r="B2870" s="7">
        <v>23619</v>
      </c>
      <c r="C2870" s="8">
        <f>DATE(2012,12,31)-10</f>
        <v>41264</v>
      </c>
      <c r="D2870" s="8" t="str">
        <f t="shared" si="54"/>
        <v>2012-12 (декабрь 2012)</v>
      </c>
      <c r="E2870" s="9" t="s">
        <v>63</v>
      </c>
      <c r="F2870" s="7">
        <v>45</v>
      </c>
      <c r="G2870" s="7">
        <v>285.91000000000003</v>
      </c>
      <c r="H2870" s="7">
        <v>0.02</v>
      </c>
      <c r="I2870" s="9" t="s">
        <v>22</v>
      </c>
      <c r="J2870" s="10">
        <v>-104.99</v>
      </c>
      <c r="K2870" s="11">
        <v>6.24</v>
      </c>
      <c r="L2870" s="11">
        <v>5.22</v>
      </c>
      <c r="M2870" s="9" t="s">
        <v>1472</v>
      </c>
      <c r="N2870" s="6" t="s">
        <v>974</v>
      </c>
      <c r="O2870" s="6" t="s">
        <v>512</v>
      </c>
      <c r="P2870" s="9" t="s">
        <v>25</v>
      </c>
      <c r="Q2870" s="9" t="s">
        <v>49</v>
      </c>
      <c r="R2870" s="9" t="s">
        <v>50</v>
      </c>
      <c r="S2870" s="7" t="s">
        <v>1140</v>
      </c>
      <c r="T2870" s="9" t="s">
        <v>39</v>
      </c>
      <c r="U2870" s="7">
        <v>0.6</v>
      </c>
      <c r="V2870" s="12">
        <f>C2870+2</f>
        <v>41266</v>
      </c>
      <c r="W2870">
        <f>IF(D2870=' Pivot Tables'!$A$4,1,0)</f>
        <v>0</v>
      </c>
      <c r="X2870">
        <f>IF(AND(LEFT(D2870,4)+1=LEFT(' Pivot Tables'!$A$4,4)+0,RIGHT(LEFT(D2870,7),2)=RIGHT(LEFT(' Pivot Tables'!$A$4,7),2)),1,0)</f>
        <v>0</v>
      </c>
      <c r="Y2870" s="6">
        <f>1/COUNTIF(Таблица1[Order ID],Таблица1[[#This Row],[Order ID]])</f>
        <v>0.33333333333333331</v>
      </c>
      <c r="Z2870" s="9">
        <f>1/COUNTIFS(Таблица1[Customer Name],Таблица1[[#This Row],[Customer Name]],Таблица1[Order-Year-Month],Таблица1[[#This Row],[Order-Year-Month]])</f>
        <v>0.25</v>
      </c>
    </row>
    <row r="2871" spans="1:26" x14ac:dyDescent="0.2">
      <c r="A2871" s="6">
        <v>3308</v>
      </c>
      <c r="B2871" s="7">
        <v>23619</v>
      </c>
      <c r="C2871" s="8">
        <f>DATE(2012,12,31)-10</f>
        <v>41264</v>
      </c>
      <c r="D2871" s="8" t="str">
        <f t="shared" si="54"/>
        <v>2012-12 (декабрь 2012)</v>
      </c>
      <c r="E2871" s="9" t="s">
        <v>63</v>
      </c>
      <c r="F2871" s="7">
        <v>48</v>
      </c>
      <c r="G2871" s="7">
        <v>2611.8035</v>
      </c>
      <c r="H2871" s="7">
        <v>0.06</v>
      </c>
      <c r="I2871" s="9" t="s">
        <v>22</v>
      </c>
      <c r="J2871" s="10">
        <v>644.81400000000008</v>
      </c>
      <c r="K2871" s="11">
        <v>65.989999999999995</v>
      </c>
      <c r="L2871" s="11">
        <v>5.92</v>
      </c>
      <c r="M2871" s="9" t="s">
        <v>1472</v>
      </c>
      <c r="N2871" s="6" t="s">
        <v>974</v>
      </c>
      <c r="O2871" s="6" t="s">
        <v>512</v>
      </c>
      <c r="P2871" s="9" t="s">
        <v>25</v>
      </c>
      <c r="Q2871" s="9" t="s">
        <v>42</v>
      </c>
      <c r="R2871" s="9" t="s">
        <v>43</v>
      </c>
      <c r="S2871" s="7" t="s">
        <v>359</v>
      </c>
      <c r="T2871" s="9" t="s">
        <v>39</v>
      </c>
      <c r="U2871" s="7">
        <v>0.55000000000000004</v>
      </c>
      <c r="V2871" s="12">
        <f>C2871+3</f>
        <v>41267</v>
      </c>
      <c r="W2871">
        <f>IF(D2871=' Pivot Tables'!$A$4,1,0)</f>
        <v>0</v>
      </c>
      <c r="X2871">
        <f>IF(AND(LEFT(D2871,4)+1=LEFT(' Pivot Tables'!$A$4,4)+0,RIGHT(LEFT(D2871,7),2)=RIGHT(LEFT(' Pivot Tables'!$A$4,7),2)),1,0)</f>
        <v>0</v>
      </c>
      <c r="Y2871" s="6">
        <f>1/COUNTIF(Таблица1[Order ID],Таблица1[[#This Row],[Order ID]])</f>
        <v>0.33333333333333331</v>
      </c>
      <c r="Z2871" s="9">
        <f>1/COUNTIFS(Таблица1[Customer Name],Таблица1[[#This Row],[Customer Name]],Таблица1[Order-Year-Month],Таблица1[[#This Row],[Order-Year-Month]])</f>
        <v>0.25</v>
      </c>
    </row>
    <row r="2872" spans="1:26" x14ac:dyDescent="0.2">
      <c r="A2872" s="6">
        <v>3364</v>
      </c>
      <c r="B2872" s="7">
        <v>24067</v>
      </c>
      <c r="C2872" s="8">
        <f>DATE(2012,12,31)-131</f>
        <v>41143</v>
      </c>
      <c r="D2872" s="8" t="str">
        <f t="shared" si="54"/>
        <v>2012-08 (август 2012)</v>
      </c>
      <c r="E2872" s="9" t="s">
        <v>30</v>
      </c>
      <c r="F2872" s="7">
        <v>30</v>
      </c>
      <c r="G2872" s="7">
        <v>128.25</v>
      </c>
      <c r="H2872" s="7">
        <v>7.0000000000000007E-2</v>
      </c>
      <c r="I2872" s="9" t="s">
        <v>56</v>
      </c>
      <c r="J2872" s="10">
        <v>-95.311999999999998</v>
      </c>
      <c r="K2872" s="11">
        <v>3.98</v>
      </c>
      <c r="L2872" s="11">
        <v>5.26</v>
      </c>
      <c r="M2872" s="9" t="s">
        <v>598</v>
      </c>
      <c r="N2872" s="6" t="s">
        <v>974</v>
      </c>
      <c r="O2872" s="6" t="s">
        <v>512</v>
      </c>
      <c r="P2872" s="9" t="s">
        <v>41</v>
      </c>
      <c r="Q2872" s="9" t="s">
        <v>26</v>
      </c>
      <c r="R2872" s="9" t="s">
        <v>37</v>
      </c>
      <c r="S2872" s="7" t="s">
        <v>1348</v>
      </c>
      <c r="T2872" s="9" t="s">
        <v>39</v>
      </c>
      <c r="U2872" s="7">
        <v>0.38</v>
      </c>
      <c r="V2872" s="12">
        <f>C2872+2</f>
        <v>41145</v>
      </c>
      <c r="W2872">
        <f>IF(D2872=' Pivot Tables'!$A$4,1,0)</f>
        <v>0</v>
      </c>
      <c r="X2872">
        <f>IF(AND(LEFT(D2872,4)+1=LEFT(' Pivot Tables'!$A$4,4)+0,RIGHT(LEFT(D2872,7),2)=RIGHT(LEFT(' Pivot Tables'!$A$4,7),2)),1,0)</f>
        <v>0</v>
      </c>
      <c r="Y2872" s="6">
        <f>1/COUNTIF(Таблица1[Order ID],Таблица1[[#This Row],[Order ID]])</f>
        <v>0.33333333333333331</v>
      </c>
      <c r="Z2872" s="9">
        <f>1/COUNTIFS(Таблица1[Customer Name],Таблица1[[#This Row],[Customer Name]],Таблица1[Order-Year-Month],Таблица1[[#This Row],[Order-Year-Month]])</f>
        <v>0.33333333333333331</v>
      </c>
    </row>
    <row r="2873" spans="1:26" x14ac:dyDescent="0.2">
      <c r="A2873" s="6">
        <v>3524</v>
      </c>
      <c r="B2873" s="7">
        <v>25092</v>
      </c>
      <c r="C2873" s="8">
        <f>DATE(2012,12,31)-761</f>
        <v>40513</v>
      </c>
      <c r="D2873" s="8" t="str">
        <f t="shared" si="54"/>
        <v>2010-12 (декабрь 2010)</v>
      </c>
      <c r="E2873" s="9" t="s">
        <v>30</v>
      </c>
      <c r="F2873" s="7">
        <v>6</v>
      </c>
      <c r="G2873" s="7">
        <v>141.27000000000001</v>
      </c>
      <c r="H2873" s="7">
        <v>0.08</v>
      </c>
      <c r="I2873" s="9" t="s">
        <v>56</v>
      </c>
      <c r="J2873" s="10">
        <v>28.1435</v>
      </c>
      <c r="K2873" s="11">
        <v>21.38</v>
      </c>
      <c r="L2873" s="11">
        <v>2.99</v>
      </c>
      <c r="M2873" s="9" t="s">
        <v>1540</v>
      </c>
      <c r="N2873" s="6" t="s">
        <v>974</v>
      </c>
      <c r="O2873" s="6" t="s">
        <v>512</v>
      </c>
      <c r="P2873" s="9" t="s">
        <v>33</v>
      </c>
      <c r="Q2873" s="9" t="s">
        <v>26</v>
      </c>
      <c r="R2873" s="9" t="s">
        <v>37</v>
      </c>
      <c r="S2873" s="7" t="s">
        <v>1541</v>
      </c>
      <c r="T2873" s="9" t="s">
        <v>39</v>
      </c>
      <c r="U2873" s="7">
        <v>0.37</v>
      </c>
      <c r="V2873" s="12">
        <f>C2873+2</f>
        <v>40515</v>
      </c>
      <c r="W2873">
        <f>IF(D2873=' Pivot Tables'!$A$4,1,0)</f>
        <v>0</v>
      </c>
      <c r="X2873">
        <f>IF(AND(LEFT(D2873,4)+1=LEFT(' Pivot Tables'!$A$4,4)+0,RIGHT(LEFT(D2873,7),2)=RIGHT(LEFT(' Pivot Tables'!$A$4,7),2)),1,0)</f>
        <v>0</v>
      </c>
      <c r="Y2873" s="6">
        <f>1/COUNTIF(Таблица1[Order ID],Таблица1[[#This Row],[Order ID]])</f>
        <v>0.33333333333333331</v>
      </c>
      <c r="Z2873" s="9">
        <f>1/COUNTIFS(Таблица1[Customer Name],Таблица1[[#This Row],[Customer Name]],Таблица1[Order-Year-Month],Таблица1[[#This Row],[Order-Year-Month]])</f>
        <v>0.33333333333333331</v>
      </c>
    </row>
    <row r="2874" spans="1:26" x14ac:dyDescent="0.2">
      <c r="A2874" s="6">
        <v>3525</v>
      </c>
      <c r="B2874" s="7">
        <v>25092</v>
      </c>
      <c r="C2874" s="8">
        <f>DATE(2012,12,31)-761</f>
        <v>40513</v>
      </c>
      <c r="D2874" s="8" t="str">
        <f t="shared" si="54"/>
        <v>2010-12 (декабрь 2010)</v>
      </c>
      <c r="E2874" s="9" t="s">
        <v>30</v>
      </c>
      <c r="F2874" s="7">
        <v>9</v>
      </c>
      <c r="G2874" s="7">
        <v>16.02</v>
      </c>
      <c r="H2874" s="7">
        <v>0.09</v>
      </c>
      <c r="I2874" s="9" t="s">
        <v>22</v>
      </c>
      <c r="J2874" s="10">
        <v>-2.82</v>
      </c>
      <c r="K2874" s="11">
        <v>1.81</v>
      </c>
      <c r="L2874" s="11">
        <v>0.75</v>
      </c>
      <c r="M2874" s="9" t="s">
        <v>1540</v>
      </c>
      <c r="N2874" s="6" t="s">
        <v>974</v>
      </c>
      <c r="O2874" s="6" t="s">
        <v>512</v>
      </c>
      <c r="P2874" s="9" t="s">
        <v>33</v>
      </c>
      <c r="Q2874" s="9" t="s">
        <v>26</v>
      </c>
      <c r="R2874" s="9" t="s">
        <v>66</v>
      </c>
      <c r="S2874" s="7" t="s">
        <v>384</v>
      </c>
      <c r="T2874" s="9" t="s">
        <v>68</v>
      </c>
      <c r="U2874" s="7">
        <v>0.52</v>
      </c>
      <c r="V2874" s="12">
        <f>C2874+2</f>
        <v>40515</v>
      </c>
      <c r="W2874">
        <f>IF(D2874=' Pivot Tables'!$A$4,1,0)</f>
        <v>0</v>
      </c>
      <c r="X2874">
        <f>IF(AND(LEFT(D2874,4)+1=LEFT(' Pivot Tables'!$A$4,4)+0,RIGHT(LEFT(D2874,7),2)=RIGHT(LEFT(' Pivot Tables'!$A$4,7),2)),1,0)</f>
        <v>0</v>
      </c>
      <c r="Y2874" s="6">
        <f>1/COUNTIF(Таблица1[Order ID],Таблица1[[#This Row],[Order ID]])</f>
        <v>0.33333333333333331</v>
      </c>
      <c r="Z2874" s="9">
        <f>1/COUNTIFS(Таблица1[Customer Name],Таблица1[[#This Row],[Customer Name]],Таблица1[Order-Year-Month],Таблица1[[#This Row],[Order-Year-Month]])</f>
        <v>0.33333333333333331</v>
      </c>
    </row>
    <row r="2875" spans="1:26" x14ac:dyDescent="0.2">
      <c r="A2875" s="6">
        <v>3546</v>
      </c>
      <c r="B2875" s="7">
        <v>25280</v>
      </c>
      <c r="C2875" s="8">
        <f>DATE(2012,12,31)-590</f>
        <v>40684</v>
      </c>
      <c r="D2875" s="8" t="str">
        <f t="shared" si="54"/>
        <v>2011-05 (май 2011)</v>
      </c>
      <c r="E2875" s="9" t="s">
        <v>45</v>
      </c>
      <c r="F2875" s="7">
        <v>47</v>
      </c>
      <c r="G2875" s="7">
        <v>202.64</v>
      </c>
      <c r="H2875" s="7">
        <v>0.03</v>
      </c>
      <c r="I2875" s="9" t="s">
        <v>22</v>
      </c>
      <c r="J2875" s="10">
        <v>28.75</v>
      </c>
      <c r="K2875" s="11">
        <v>4.13</v>
      </c>
      <c r="L2875" s="11">
        <v>1.17</v>
      </c>
      <c r="M2875" s="9" t="s">
        <v>1518</v>
      </c>
      <c r="N2875" s="6" t="s">
        <v>974</v>
      </c>
      <c r="O2875" s="6" t="s">
        <v>512</v>
      </c>
      <c r="P2875" s="9" t="s">
        <v>41</v>
      </c>
      <c r="Q2875" s="9" t="s">
        <v>26</v>
      </c>
      <c r="R2875" s="9" t="s">
        <v>95</v>
      </c>
      <c r="S2875" s="7" t="s">
        <v>1437</v>
      </c>
      <c r="T2875" s="9" t="s">
        <v>68</v>
      </c>
      <c r="U2875" s="7">
        <v>0.56999999999999995</v>
      </c>
      <c r="V2875" s="12">
        <f>C2875+1</f>
        <v>40685</v>
      </c>
      <c r="W2875">
        <f>IF(D2875=' Pivot Tables'!$A$4,1,0)</f>
        <v>0</v>
      </c>
      <c r="X2875">
        <f>IF(AND(LEFT(D2875,4)+1=LEFT(' Pivot Tables'!$A$4,4)+0,RIGHT(LEFT(D2875,7),2)=RIGHT(LEFT(' Pivot Tables'!$A$4,7),2)),1,0)</f>
        <v>0</v>
      </c>
      <c r="Y2875" s="6">
        <f>1/COUNTIF(Таблица1[Order ID],Таблица1[[#This Row],[Order ID]])</f>
        <v>0.5</v>
      </c>
      <c r="Z2875" s="9">
        <f>1/COUNTIFS(Таблица1[Customer Name],Таблица1[[#This Row],[Customer Name]],Таблица1[Order-Year-Month],Таблица1[[#This Row],[Order-Year-Month]])</f>
        <v>0.25</v>
      </c>
    </row>
    <row r="2876" spans="1:26" x14ac:dyDescent="0.2">
      <c r="A2876" s="6">
        <v>3565</v>
      </c>
      <c r="B2876" s="7">
        <v>25442</v>
      </c>
      <c r="C2876" s="8">
        <f>DATE(2012,12,31)-361</f>
        <v>40913</v>
      </c>
      <c r="D2876" s="8" t="str">
        <f t="shared" si="54"/>
        <v>2012-01 (январь 2012)</v>
      </c>
      <c r="E2876" s="9" t="s">
        <v>30</v>
      </c>
      <c r="F2876" s="7">
        <v>40</v>
      </c>
      <c r="G2876" s="7">
        <v>453.98</v>
      </c>
      <c r="H2876" s="7">
        <v>0.02</v>
      </c>
      <c r="I2876" s="9" t="s">
        <v>22</v>
      </c>
      <c r="J2876" s="10">
        <v>67.599999999999994</v>
      </c>
      <c r="K2876" s="11">
        <v>11.34</v>
      </c>
      <c r="L2876" s="11">
        <v>5.01</v>
      </c>
      <c r="M2876" s="9" t="s">
        <v>1477</v>
      </c>
      <c r="N2876" s="6" t="s">
        <v>974</v>
      </c>
      <c r="O2876" s="6" t="s">
        <v>512</v>
      </c>
      <c r="P2876" s="9" t="s">
        <v>60</v>
      </c>
      <c r="Q2876" s="9" t="s">
        <v>26</v>
      </c>
      <c r="R2876" s="9" t="s">
        <v>61</v>
      </c>
      <c r="S2876" s="7" t="s">
        <v>226</v>
      </c>
      <c r="T2876" s="9" t="s">
        <v>39</v>
      </c>
      <c r="U2876" s="7">
        <v>0.36</v>
      </c>
      <c r="V2876" s="12">
        <f>C2876+2</f>
        <v>40915</v>
      </c>
      <c r="W2876">
        <f>IF(D2876=' Pivot Tables'!$A$4,1,0)</f>
        <v>0</v>
      </c>
      <c r="X2876">
        <f>IF(AND(LEFT(D2876,4)+1=LEFT(' Pivot Tables'!$A$4,4)+0,RIGHT(LEFT(D2876,7),2)=RIGHT(LEFT(' Pivot Tables'!$A$4,7),2)),1,0)</f>
        <v>0</v>
      </c>
      <c r="Y2876" s="6">
        <f>1/COUNTIF(Таблица1[Order ID],Таблица1[[#This Row],[Order ID]])</f>
        <v>0.5</v>
      </c>
      <c r="Z2876" s="9">
        <f>1/COUNTIFS(Таблица1[Customer Name],Таблица1[[#This Row],[Customer Name]],Таблица1[Order-Year-Month],Таблица1[[#This Row],[Order-Year-Month]])</f>
        <v>0.5</v>
      </c>
    </row>
    <row r="2877" spans="1:26" x14ac:dyDescent="0.2">
      <c r="A2877" s="6">
        <v>3599</v>
      </c>
      <c r="B2877" s="7">
        <v>25666</v>
      </c>
      <c r="C2877" s="8">
        <f>DATE(2012,12,31)-120</f>
        <v>41154</v>
      </c>
      <c r="D2877" s="8" t="str">
        <f t="shared" si="54"/>
        <v>2012-09 (сентябрь 2012)</v>
      </c>
      <c r="E2877" s="9" t="s">
        <v>78</v>
      </c>
      <c r="F2877" s="7">
        <v>36</v>
      </c>
      <c r="G2877" s="7">
        <v>5072.34</v>
      </c>
      <c r="H2877" s="7">
        <v>0.06</v>
      </c>
      <c r="I2877" s="9" t="s">
        <v>22</v>
      </c>
      <c r="J2877" s="10">
        <v>369.46</v>
      </c>
      <c r="K2877" s="11">
        <v>140.85</v>
      </c>
      <c r="L2877" s="11">
        <v>19.989999999999998</v>
      </c>
      <c r="M2877" s="9" t="s">
        <v>1061</v>
      </c>
      <c r="N2877" s="6" t="s">
        <v>974</v>
      </c>
      <c r="O2877" s="6" t="s">
        <v>512</v>
      </c>
      <c r="P2877" s="9" t="s">
        <v>33</v>
      </c>
      <c r="Q2877" s="9" t="s">
        <v>26</v>
      </c>
      <c r="R2877" s="9" t="s">
        <v>27</v>
      </c>
      <c r="S2877" s="7" t="s">
        <v>538</v>
      </c>
      <c r="T2877" s="9" t="s">
        <v>39</v>
      </c>
      <c r="U2877" s="7">
        <v>0.73</v>
      </c>
      <c r="V2877" s="12">
        <f>C2877+1</f>
        <v>41155</v>
      </c>
      <c r="W2877">
        <f>IF(D2877=' Pivot Tables'!$A$4,1,0)</f>
        <v>0</v>
      </c>
      <c r="X2877">
        <f>IF(AND(LEFT(D2877,4)+1=LEFT(' Pivot Tables'!$A$4,4)+0,RIGHT(LEFT(D2877,7),2)=RIGHT(LEFT(' Pivot Tables'!$A$4,7),2)),1,0)</f>
        <v>0</v>
      </c>
      <c r="Y2877" s="6">
        <f>1/COUNTIF(Таблица1[Order ID],Таблица1[[#This Row],[Order ID]])</f>
        <v>0.5</v>
      </c>
      <c r="Z2877" s="9">
        <f>1/COUNTIFS(Таблица1[Customer Name],Таблица1[[#This Row],[Customer Name]],Таблица1[Order-Year-Month],Таблица1[[#This Row],[Order-Year-Month]])</f>
        <v>0.5</v>
      </c>
    </row>
    <row r="2878" spans="1:26" x14ac:dyDescent="0.2">
      <c r="A2878" s="6">
        <v>3600</v>
      </c>
      <c r="B2878" s="7">
        <v>25669</v>
      </c>
      <c r="C2878" s="8">
        <f>DATE(2012,12,31)-715</f>
        <v>40559</v>
      </c>
      <c r="D2878" s="8" t="str">
        <f t="shared" si="54"/>
        <v>2011-01 (январь 2011)</v>
      </c>
      <c r="E2878" s="9" t="s">
        <v>78</v>
      </c>
      <c r="F2878" s="7">
        <v>12</v>
      </c>
      <c r="G2878" s="7">
        <v>45.63</v>
      </c>
      <c r="H2878" s="7">
        <v>0.02</v>
      </c>
      <c r="I2878" s="9" t="s">
        <v>22</v>
      </c>
      <c r="J2878" s="10">
        <v>15.42</v>
      </c>
      <c r="K2878" s="11">
        <v>3.69</v>
      </c>
      <c r="L2878" s="11">
        <v>0.5</v>
      </c>
      <c r="M2878" s="9" t="s">
        <v>1264</v>
      </c>
      <c r="N2878" s="6" t="s">
        <v>974</v>
      </c>
      <c r="O2878" s="6" t="s">
        <v>512</v>
      </c>
      <c r="P2878" s="9" t="s">
        <v>25</v>
      </c>
      <c r="Q2878" s="9" t="s">
        <v>26</v>
      </c>
      <c r="R2878" s="9" t="s">
        <v>88</v>
      </c>
      <c r="S2878" s="7" t="s">
        <v>202</v>
      </c>
      <c r="T2878" s="9" t="s">
        <v>39</v>
      </c>
      <c r="U2878" s="7">
        <v>0.38</v>
      </c>
      <c r="V2878" s="12">
        <f>C2878+0</f>
        <v>40559</v>
      </c>
      <c r="W2878">
        <f>IF(D2878=' Pivot Tables'!$A$4,1,0)</f>
        <v>0</v>
      </c>
      <c r="X2878">
        <f>IF(AND(LEFT(D2878,4)+1=LEFT(' Pivot Tables'!$A$4,4)+0,RIGHT(LEFT(D2878,7),2)=RIGHT(LEFT(' Pivot Tables'!$A$4,7),2)),1,0)</f>
        <v>0</v>
      </c>
      <c r="Y2878" s="6">
        <f>1/COUNTIF(Таблица1[Order ID],Таблица1[[#This Row],[Order ID]])</f>
        <v>1</v>
      </c>
      <c r="Z2878" s="9">
        <f>1/COUNTIFS(Таблица1[Customer Name],Таблица1[[#This Row],[Customer Name]],Таблица1[Order-Year-Month],Таблица1[[#This Row],[Order-Year-Month]])</f>
        <v>1</v>
      </c>
    </row>
    <row r="2879" spans="1:26" x14ac:dyDescent="0.2">
      <c r="A2879" s="6">
        <v>3669</v>
      </c>
      <c r="B2879" s="7">
        <v>26276</v>
      </c>
      <c r="C2879" s="8">
        <f>DATE(2012,12,31)-841</f>
        <v>40433</v>
      </c>
      <c r="D2879" s="8" t="str">
        <f t="shared" si="54"/>
        <v>2010-09 (сентябрь 2010)</v>
      </c>
      <c r="E2879" s="9" t="s">
        <v>21</v>
      </c>
      <c r="F2879" s="7">
        <v>21</v>
      </c>
      <c r="G2879" s="7">
        <v>3685.38</v>
      </c>
      <c r="H2879" s="7">
        <v>0</v>
      </c>
      <c r="I2879" s="9" t="s">
        <v>56</v>
      </c>
      <c r="J2879" s="10">
        <v>1040.6199999999999</v>
      </c>
      <c r="K2879" s="11">
        <v>170.98</v>
      </c>
      <c r="L2879" s="11">
        <v>13.99</v>
      </c>
      <c r="M2879" s="9" t="s">
        <v>1406</v>
      </c>
      <c r="N2879" s="6" t="s">
        <v>974</v>
      </c>
      <c r="O2879" s="6" t="s">
        <v>512</v>
      </c>
      <c r="P2879" s="9" t="s">
        <v>41</v>
      </c>
      <c r="Q2879" s="9" t="s">
        <v>49</v>
      </c>
      <c r="R2879" s="9" t="s">
        <v>50</v>
      </c>
      <c r="S2879" s="7" t="s">
        <v>1542</v>
      </c>
      <c r="T2879" s="9" t="s">
        <v>48</v>
      </c>
      <c r="U2879" s="7">
        <v>0.75</v>
      </c>
      <c r="V2879" s="12">
        <f>C2879+7</f>
        <v>40440</v>
      </c>
      <c r="W2879">
        <f>IF(D2879=' Pivot Tables'!$A$4,1,0)</f>
        <v>0</v>
      </c>
      <c r="X2879">
        <f>IF(AND(LEFT(D2879,4)+1=LEFT(' Pivot Tables'!$A$4,4)+0,RIGHT(LEFT(D2879,7),2)=RIGHT(LEFT(' Pivot Tables'!$A$4,7),2)),1,0)</f>
        <v>0</v>
      </c>
      <c r="Y2879" s="6">
        <f>1/COUNTIF(Таблица1[Order ID],Таблица1[[#This Row],[Order ID]])</f>
        <v>0.5</v>
      </c>
      <c r="Z2879" s="9">
        <f>1/COUNTIFS(Таблица1[Customer Name],Таблица1[[#This Row],[Customer Name]],Таблица1[Order-Year-Month],Таблица1[[#This Row],[Order-Year-Month]])</f>
        <v>0.5</v>
      </c>
    </row>
    <row r="2880" spans="1:26" x14ac:dyDescent="0.2">
      <c r="A2880" s="6">
        <v>3766</v>
      </c>
      <c r="B2880" s="7">
        <v>26912</v>
      </c>
      <c r="C2880" s="8">
        <f>DATE(2012,12,31)-248</f>
        <v>41026</v>
      </c>
      <c r="D2880" s="8" t="str">
        <f t="shared" si="54"/>
        <v>2012-04 (апрель 2012)</v>
      </c>
      <c r="E2880" s="9" t="s">
        <v>21</v>
      </c>
      <c r="F2880" s="7">
        <v>21</v>
      </c>
      <c r="G2880" s="7">
        <v>1090.1099999999999</v>
      </c>
      <c r="H2880" s="7">
        <v>0.08</v>
      </c>
      <c r="I2880" s="9" t="s">
        <v>22</v>
      </c>
      <c r="J2880" s="10">
        <v>55.870000000000054</v>
      </c>
      <c r="K2880" s="11">
        <v>53.98</v>
      </c>
      <c r="L2880" s="11">
        <v>5.5</v>
      </c>
      <c r="M2880" s="9" t="s">
        <v>1383</v>
      </c>
      <c r="N2880" s="6" t="s">
        <v>974</v>
      </c>
      <c r="O2880" s="6" t="s">
        <v>512</v>
      </c>
      <c r="P2880" s="9" t="s">
        <v>60</v>
      </c>
      <c r="Q2880" s="9" t="s">
        <v>42</v>
      </c>
      <c r="R2880" s="9" t="s">
        <v>70</v>
      </c>
      <c r="S2880" s="7" t="s">
        <v>958</v>
      </c>
      <c r="T2880" s="9" t="s">
        <v>39</v>
      </c>
      <c r="U2880" s="7">
        <v>0.62</v>
      </c>
      <c r="V2880" s="12">
        <f>C2880+9</f>
        <v>41035</v>
      </c>
      <c r="W2880">
        <f>IF(D2880=' Pivot Tables'!$A$4,1,0)</f>
        <v>0</v>
      </c>
      <c r="X2880">
        <f>IF(AND(LEFT(D2880,4)+1=LEFT(' Pivot Tables'!$A$4,4)+0,RIGHT(LEFT(D2880,7),2)=RIGHT(LEFT(' Pivot Tables'!$A$4,7),2)),1,0)</f>
        <v>0</v>
      </c>
      <c r="Y2880" s="6">
        <f>1/COUNTIF(Таблица1[Order ID],Таблица1[[#This Row],[Order ID]])</f>
        <v>0.5</v>
      </c>
      <c r="Z2880" s="9">
        <f>1/COUNTIFS(Таблица1[Customer Name],Таблица1[[#This Row],[Customer Name]],Таблица1[Order-Year-Month],Таблица1[[#This Row],[Order-Year-Month]])</f>
        <v>0.5</v>
      </c>
    </row>
    <row r="2881" spans="1:26" x14ac:dyDescent="0.2">
      <c r="A2881" s="6">
        <v>3809</v>
      </c>
      <c r="B2881" s="7">
        <v>27137</v>
      </c>
      <c r="C2881" s="8">
        <f>DATE(2012,12,31)-366</f>
        <v>40908</v>
      </c>
      <c r="D2881" s="8" t="str">
        <f t="shared" si="54"/>
        <v>2011-12 (декабрь 2011)</v>
      </c>
      <c r="E2881" s="9" t="s">
        <v>30</v>
      </c>
      <c r="F2881" s="7">
        <v>2</v>
      </c>
      <c r="G2881" s="7">
        <v>60.5625</v>
      </c>
      <c r="H2881" s="7">
        <v>0.02</v>
      </c>
      <c r="I2881" s="9" t="s">
        <v>22</v>
      </c>
      <c r="J2881" s="10">
        <v>-165.53900000000002</v>
      </c>
      <c r="K2881" s="11">
        <v>35.99</v>
      </c>
      <c r="L2881" s="11">
        <v>1.1000000000000001</v>
      </c>
      <c r="M2881" s="9" t="s">
        <v>1523</v>
      </c>
      <c r="N2881" s="6" t="s">
        <v>974</v>
      </c>
      <c r="O2881" s="6" t="s">
        <v>512</v>
      </c>
      <c r="P2881" s="9" t="s">
        <v>25</v>
      </c>
      <c r="Q2881" s="9" t="s">
        <v>42</v>
      </c>
      <c r="R2881" s="9" t="s">
        <v>43</v>
      </c>
      <c r="S2881" s="7" t="s">
        <v>1082</v>
      </c>
      <c r="T2881" s="9" t="s">
        <v>39</v>
      </c>
      <c r="U2881" s="7">
        <v>0.55000000000000004</v>
      </c>
      <c r="V2881" s="12">
        <f>C2881+2</f>
        <v>40910</v>
      </c>
      <c r="W2881">
        <f>IF(D2881=' Pivot Tables'!$A$4,1,0)</f>
        <v>0</v>
      </c>
      <c r="X2881">
        <f>IF(AND(LEFT(D2881,4)+1=LEFT(' Pivot Tables'!$A$4,4)+0,RIGHT(LEFT(D2881,7),2)=RIGHT(LEFT(' Pivot Tables'!$A$4,7),2)),1,0)</f>
        <v>0</v>
      </c>
      <c r="Y2881" s="6">
        <f>1/COUNTIF(Таблица1[Order ID],Таблица1[[#This Row],[Order ID]])</f>
        <v>1</v>
      </c>
      <c r="Z2881" s="9">
        <f>1/COUNTIFS(Таблица1[Customer Name],Таблица1[[#This Row],[Customer Name]],Таблица1[Order-Year-Month],Таблица1[[#This Row],[Order-Year-Month]])</f>
        <v>1</v>
      </c>
    </row>
    <row r="2882" spans="1:26" x14ac:dyDescent="0.2">
      <c r="A2882" s="6">
        <v>3836</v>
      </c>
      <c r="B2882" s="7">
        <v>27335</v>
      </c>
      <c r="C2882" s="8">
        <f>DATE(2012,12,31)-786</f>
        <v>40488</v>
      </c>
      <c r="D2882" s="8" t="str">
        <f t="shared" si="54"/>
        <v>2010-11 (ноябрь 2010)</v>
      </c>
      <c r="E2882" s="9" t="s">
        <v>21</v>
      </c>
      <c r="F2882" s="7">
        <v>23</v>
      </c>
      <c r="G2882" s="7">
        <v>67.47</v>
      </c>
      <c r="H2882" s="7">
        <v>0.03</v>
      </c>
      <c r="I2882" s="9" t="s">
        <v>22</v>
      </c>
      <c r="J2882" s="10">
        <v>-100.6</v>
      </c>
      <c r="K2882" s="11">
        <v>2.66</v>
      </c>
      <c r="L2882" s="11">
        <v>6.35</v>
      </c>
      <c r="M2882" s="9" t="s">
        <v>1459</v>
      </c>
      <c r="N2882" s="6" t="s">
        <v>974</v>
      </c>
      <c r="O2882" s="6" t="s">
        <v>512</v>
      </c>
      <c r="P2882" s="9" t="s">
        <v>41</v>
      </c>
      <c r="Q2882" s="9" t="s">
        <v>26</v>
      </c>
      <c r="R2882" s="9" t="s">
        <v>76</v>
      </c>
      <c r="S2882" s="7" t="s">
        <v>1174</v>
      </c>
      <c r="T2882" s="9" t="s">
        <v>39</v>
      </c>
      <c r="U2882" s="7">
        <v>0.36</v>
      </c>
      <c r="V2882" s="12">
        <f>C2882+0</f>
        <v>40488</v>
      </c>
      <c r="W2882">
        <f>IF(D2882=' Pivot Tables'!$A$4,1,0)</f>
        <v>0</v>
      </c>
      <c r="X2882">
        <f>IF(AND(LEFT(D2882,4)+1=LEFT(' Pivot Tables'!$A$4,4)+0,RIGHT(LEFT(D2882,7),2)=RIGHT(LEFT(' Pivot Tables'!$A$4,7),2)),1,0)</f>
        <v>0</v>
      </c>
      <c r="Y2882" s="6">
        <f>1/COUNTIF(Таблица1[Order ID],Таблица1[[#This Row],[Order ID]])</f>
        <v>1</v>
      </c>
      <c r="Z2882" s="9">
        <f>1/COUNTIFS(Таблица1[Customer Name],Таблица1[[#This Row],[Customer Name]],Таблица1[Order-Year-Month],Таблица1[[#This Row],[Order-Year-Month]])</f>
        <v>1</v>
      </c>
    </row>
    <row r="2883" spans="1:26" x14ac:dyDescent="0.2">
      <c r="A2883" s="6">
        <v>3846</v>
      </c>
      <c r="B2883" s="7">
        <v>27430</v>
      </c>
      <c r="C2883" s="8">
        <f>DATE(2012,12,31)-700</f>
        <v>40574</v>
      </c>
      <c r="D2883" s="8" t="str">
        <f t="shared" ref="D2883:D2946" si="55">TEXT(C2883,"гггг-ММ (ММММ гггг)")</f>
        <v>2011-01 (январь 2011)</v>
      </c>
      <c r="E2883" s="9" t="s">
        <v>30</v>
      </c>
      <c r="F2883" s="7">
        <v>3</v>
      </c>
      <c r="G2883" s="7">
        <v>315.27</v>
      </c>
      <c r="H2883" s="7">
        <v>0.08</v>
      </c>
      <c r="I2883" s="9" t="s">
        <v>22</v>
      </c>
      <c r="J2883" s="10">
        <v>278.60000000000002</v>
      </c>
      <c r="K2883" s="11">
        <v>105.98</v>
      </c>
      <c r="L2883" s="11">
        <v>13.99</v>
      </c>
      <c r="M2883" s="9" t="s">
        <v>1543</v>
      </c>
      <c r="N2883" s="6" t="s">
        <v>974</v>
      </c>
      <c r="O2883" s="6" t="s">
        <v>512</v>
      </c>
      <c r="P2883" s="9" t="s">
        <v>25</v>
      </c>
      <c r="Q2883" s="9" t="s">
        <v>49</v>
      </c>
      <c r="R2883" s="9" t="s">
        <v>50</v>
      </c>
      <c r="S2883" s="7" t="s">
        <v>242</v>
      </c>
      <c r="T2883" s="9" t="s">
        <v>48</v>
      </c>
      <c r="U2883" s="7">
        <v>0.65</v>
      </c>
      <c r="V2883" s="12">
        <f>C2883+1</f>
        <v>40575</v>
      </c>
      <c r="W2883">
        <f>IF(D2883=' Pivot Tables'!$A$4,1,0)</f>
        <v>0</v>
      </c>
      <c r="X2883">
        <f>IF(AND(LEFT(D2883,4)+1=LEFT(' Pivot Tables'!$A$4,4)+0,RIGHT(LEFT(D2883,7),2)=RIGHT(LEFT(' Pivot Tables'!$A$4,7),2)),1,0)</f>
        <v>0</v>
      </c>
      <c r="Y2883" s="6">
        <f>1/COUNTIF(Таблица1[Order ID],Таблица1[[#This Row],[Order ID]])</f>
        <v>0.5</v>
      </c>
      <c r="Z2883" s="9">
        <f>1/COUNTIFS(Таблица1[Customer Name],Таблица1[[#This Row],[Customer Name]],Таблица1[Order-Year-Month],Таблица1[[#This Row],[Order-Year-Month]])</f>
        <v>0.25</v>
      </c>
    </row>
    <row r="2884" spans="1:26" x14ac:dyDescent="0.2">
      <c r="A2884" s="6">
        <v>3866</v>
      </c>
      <c r="B2884" s="7">
        <v>27559</v>
      </c>
      <c r="C2884" s="8">
        <f>DATE(2012,12,31)-428</f>
        <v>40846</v>
      </c>
      <c r="D2884" s="8" t="str">
        <f t="shared" si="55"/>
        <v>2011-10 (октябрь 2011)</v>
      </c>
      <c r="E2884" s="9" t="s">
        <v>30</v>
      </c>
      <c r="F2884" s="7">
        <v>38</v>
      </c>
      <c r="G2884" s="7">
        <v>465.9</v>
      </c>
      <c r="H2884" s="7">
        <v>0.05</v>
      </c>
      <c r="I2884" s="9" t="s">
        <v>22</v>
      </c>
      <c r="J2884" s="10">
        <v>79.34</v>
      </c>
      <c r="K2884" s="11">
        <v>12.28</v>
      </c>
      <c r="L2884" s="11">
        <v>4.8600000000000003</v>
      </c>
      <c r="M2884" s="9" t="s">
        <v>1544</v>
      </c>
      <c r="N2884" s="6" t="s">
        <v>974</v>
      </c>
      <c r="O2884" s="6" t="s">
        <v>512</v>
      </c>
      <c r="P2884" s="9" t="s">
        <v>60</v>
      </c>
      <c r="Q2884" s="9" t="s">
        <v>26</v>
      </c>
      <c r="R2884" s="9" t="s">
        <v>61</v>
      </c>
      <c r="S2884" s="7" t="s">
        <v>1226</v>
      </c>
      <c r="T2884" s="9" t="s">
        <v>39</v>
      </c>
      <c r="U2884" s="7">
        <v>0.38</v>
      </c>
      <c r="V2884" s="12">
        <f>C2884+1</f>
        <v>40847</v>
      </c>
      <c r="W2884">
        <f>IF(D2884=' Pivot Tables'!$A$4,1,0)</f>
        <v>0</v>
      </c>
      <c r="X2884">
        <f>IF(AND(LEFT(D2884,4)+1=LEFT(' Pivot Tables'!$A$4,4)+0,RIGHT(LEFT(D2884,7),2)=RIGHT(LEFT(' Pivot Tables'!$A$4,7),2)),1,0)</f>
        <v>0</v>
      </c>
      <c r="Y2884" s="6">
        <f>1/COUNTIF(Таблица1[Order ID],Таблица1[[#This Row],[Order ID]])</f>
        <v>1</v>
      </c>
      <c r="Z2884" s="9">
        <f>1/COUNTIFS(Таблица1[Customer Name],Таблица1[[#This Row],[Customer Name]],Таблица1[Order-Year-Month],Таблица1[[#This Row],[Order-Year-Month]])</f>
        <v>1</v>
      </c>
    </row>
    <row r="2885" spans="1:26" x14ac:dyDescent="0.2">
      <c r="A2885" s="6">
        <v>4195</v>
      </c>
      <c r="B2885" s="7">
        <v>29797</v>
      </c>
      <c r="C2885" s="8">
        <f>DATE(2012,12,31)-919</f>
        <v>40355</v>
      </c>
      <c r="D2885" s="8" t="str">
        <f t="shared" si="55"/>
        <v>2010-06 (июнь 2010)</v>
      </c>
      <c r="E2885" s="9" t="s">
        <v>30</v>
      </c>
      <c r="F2885" s="7">
        <v>50</v>
      </c>
      <c r="G2885" s="7">
        <v>742.05</v>
      </c>
      <c r="H2885" s="7">
        <v>0.05</v>
      </c>
      <c r="I2885" s="9" t="s">
        <v>22</v>
      </c>
      <c r="J2885" s="10">
        <v>-337.98</v>
      </c>
      <c r="K2885" s="11">
        <v>14.89</v>
      </c>
      <c r="L2885" s="11">
        <v>13.56</v>
      </c>
      <c r="M2885" s="9" t="s">
        <v>1536</v>
      </c>
      <c r="N2885" s="6" t="s">
        <v>974</v>
      </c>
      <c r="O2885" s="6" t="s">
        <v>512</v>
      </c>
      <c r="P2885" s="9" t="s">
        <v>25</v>
      </c>
      <c r="Q2885" s="9" t="s">
        <v>49</v>
      </c>
      <c r="R2885" s="9" t="s">
        <v>50</v>
      </c>
      <c r="S2885" s="7" t="s">
        <v>1034</v>
      </c>
      <c r="T2885" s="9" t="s">
        <v>29</v>
      </c>
      <c r="U2885" s="7">
        <v>0.57999999999999996</v>
      </c>
      <c r="V2885" s="12">
        <f>C2885+2</f>
        <v>40357</v>
      </c>
      <c r="W2885">
        <f>IF(D2885=' Pivot Tables'!$A$4,1,0)</f>
        <v>0</v>
      </c>
      <c r="X2885">
        <f>IF(AND(LEFT(D2885,4)+1=LEFT(' Pivot Tables'!$A$4,4)+0,RIGHT(LEFT(D2885,7),2)=RIGHT(LEFT(' Pivot Tables'!$A$4,7),2)),1,0)</f>
        <v>0</v>
      </c>
      <c r="Y2885" s="6">
        <f>1/COUNTIF(Таблица1[Order ID],Таблица1[[#This Row],[Order ID]])</f>
        <v>1</v>
      </c>
      <c r="Z2885" s="9">
        <f>1/COUNTIFS(Таблица1[Customer Name],Таблица1[[#This Row],[Customer Name]],Таблица1[Order-Year-Month],Таблица1[[#This Row],[Order-Year-Month]])</f>
        <v>0.5</v>
      </c>
    </row>
    <row r="2886" spans="1:26" x14ac:dyDescent="0.2">
      <c r="A2886" s="6">
        <v>4227</v>
      </c>
      <c r="B2886" s="7">
        <v>30023</v>
      </c>
      <c r="C2886" s="8">
        <f>DATE(2012,12,31)-808</f>
        <v>40466</v>
      </c>
      <c r="D2886" s="8" t="str">
        <f t="shared" si="55"/>
        <v>2010-10 (октябрь 2010)</v>
      </c>
      <c r="E2886" s="9" t="s">
        <v>21</v>
      </c>
      <c r="F2886" s="7">
        <v>28</v>
      </c>
      <c r="G2886" s="7">
        <v>10253.75</v>
      </c>
      <c r="H2886" s="7">
        <v>0.1</v>
      </c>
      <c r="I2886" s="9" t="s">
        <v>31</v>
      </c>
      <c r="J2886" s="10">
        <v>3256.81</v>
      </c>
      <c r="K2886" s="11">
        <v>400.97</v>
      </c>
      <c r="L2886" s="11">
        <v>48.26</v>
      </c>
      <c r="M2886" s="9" t="s">
        <v>1482</v>
      </c>
      <c r="N2886" s="6" t="s">
        <v>974</v>
      </c>
      <c r="O2886" s="6" t="s">
        <v>512</v>
      </c>
      <c r="P2886" s="9" t="s">
        <v>33</v>
      </c>
      <c r="Q2886" s="9" t="s">
        <v>42</v>
      </c>
      <c r="R2886" s="9" t="s">
        <v>210</v>
      </c>
      <c r="S2886" s="7" t="s">
        <v>966</v>
      </c>
      <c r="T2886" s="9" t="s">
        <v>82</v>
      </c>
      <c r="U2886" s="7">
        <v>0.36</v>
      </c>
      <c r="V2886" s="12">
        <f>C2886+2</f>
        <v>40468</v>
      </c>
      <c r="W2886">
        <f>IF(D2886=' Pivot Tables'!$A$4,1,0)</f>
        <v>0</v>
      </c>
      <c r="X2886">
        <f>IF(AND(LEFT(D2886,4)+1=LEFT(' Pivot Tables'!$A$4,4)+0,RIGHT(LEFT(D2886,7),2)=RIGHT(LEFT(' Pivot Tables'!$A$4,7),2)),1,0)</f>
        <v>0</v>
      </c>
      <c r="Y2886" s="6">
        <f>1/COUNTIF(Таблица1[Order ID],Таблица1[[#This Row],[Order ID]])</f>
        <v>0.25</v>
      </c>
      <c r="Z2886" s="9">
        <f>1/COUNTIFS(Таблица1[Customer Name],Таблица1[[#This Row],[Customer Name]],Таблица1[Order-Year-Month],Таблица1[[#This Row],[Order-Year-Month]])</f>
        <v>0.25</v>
      </c>
    </row>
    <row r="2887" spans="1:26" x14ac:dyDescent="0.2">
      <c r="A2887" s="6">
        <v>4445</v>
      </c>
      <c r="B2887" s="7">
        <v>31682</v>
      </c>
      <c r="C2887" s="8">
        <f>DATE(2012,12,31)-1028</f>
        <v>40246</v>
      </c>
      <c r="D2887" s="8" t="str">
        <f t="shared" si="55"/>
        <v>2010-03 (март 2010)</v>
      </c>
      <c r="E2887" s="9" t="s">
        <v>21</v>
      </c>
      <c r="F2887" s="7">
        <v>42</v>
      </c>
      <c r="G2887" s="7">
        <v>3186.77</v>
      </c>
      <c r="H2887" s="7">
        <v>0.09</v>
      </c>
      <c r="I2887" s="9" t="s">
        <v>22</v>
      </c>
      <c r="J2887" s="10">
        <v>455.42</v>
      </c>
      <c r="K2887" s="11">
        <v>76.72</v>
      </c>
      <c r="L2887" s="11">
        <v>19.95</v>
      </c>
      <c r="M2887" s="9" t="s">
        <v>1457</v>
      </c>
      <c r="N2887" s="6" t="s">
        <v>974</v>
      </c>
      <c r="O2887" s="6" t="s">
        <v>512</v>
      </c>
      <c r="P2887" s="9" t="s">
        <v>41</v>
      </c>
      <c r="Q2887" s="9" t="s">
        <v>26</v>
      </c>
      <c r="R2887" s="9" t="s">
        <v>34</v>
      </c>
      <c r="S2887" s="7" t="s">
        <v>447</v>
      </c>
      <c r="T2887" s="9" t="s">
        <v>29</v>
      </c>
      <c r="U2887" s="7">
        <v>0.54</v>
      </c>
      <c r="V2887" s="12">
        <f>C2887+9</f>
        <v>40255</v>
      </c>
      <c r="W2887">
        <f>IF(D2887=' Pivot Tables'!$A$4,1,0)</f>
        <v>0</v>
      </c>
      <c r="X2887">
        <f>IF(AND(LEFT(D2887,4)+1=LEFT(' Pivot Tables'!$A$4,4)+0,RIGHT(LEFT(D2887,7),2)=RIGHT(LEFT(' Pivot Tables'!$A$4,7),2)),1,0)</f>
        <v>0</v>
      </c>
      <c r="Y2887" s="6">
        <f>1/COUNTIF(Таблица1[Order ID],Таблица1[[#This Row],[Order ID]])</f>
        <v>1</v>
      </c>
      <c r="Z2887" s="9">
        <f>1/COUNTIFS(Таблица1[Customer Name],Таблица1[[#This Row],[Customer Name]],Таблица1[Order-Year-Month],Таблица1[[#This Row],[Order-Year-Month]])</f>
        <v>0.25</v>
      </c>
    </row>
    <row r="2888" spans="1:26" x14ac:dyDescent="0.2">
      <c r="A2888" s="6">
        <v>4467</v>
      </c>
      <c r="B2888" s="7">
        <v>31845</v>
      </c>
      <c r="C2888" s="8">
        <f>DATE(2012,12,31)-70</f>
        <v>41204</v>
      </c>
      <c r="D2888" s="8" t="str">
        <f t="shared" si="55"/>
        <v>2012-10 (октябрь 2012)</v>
      </c>
      <c r="E2888" s="9" t="s">
        <v>21</v>
      </c>
      <c r="F2888" s="7">
        <v>36</v>
      </c>
      <c r="G2888" s="7">
        <v>3645.12</v>
      </c>
      <c r="H2888" s="7">
        <v>0.04</v>
      </c>
      <c r="I2888" s="9" t="s">
        <v>31</v>
      </c>
      <c r="J2888" s="10">
        <v>807.29</v>
      </c>
      <c r="K2888" s="11">
        <v>100.98</v>
      </c>
      <c r="L2888" s="11">
        <v>15.66</v>
      </c>
      <c r="M2888" s="9" t="s">
        <v>1484</v>
      </c>
      <c r="N2888" s="6" t="s">
        <v>974</v>
      </c>
      <c r="O2888" s="6" t="s">
        <v>512</v>
      </c>
      <c r="P2888" s="9" t="s">
        <v>41</v>
      </c>
      <c r="Q2888" s="9" t="s">
        <v>26</v>
      </c>
      <c r="R2888" s="9" t="s">
        <v>34</v>
      </c>
      <c r="S2888" s="7" t="s">
        <v>1076</v>
      </c>
      <c r="T2888" s="9" t="s">
        <v>36</v>
      </c>
      <c r="U2888" s="7">
        <v>0.56999999999999995</v>
      </c>
      <c r="V2888" s="12">
        <f>C2888+0</f>
        <v>41204</v>
      </c>
      <c r="W2888">
        <f>IF(D2888=' Pivot Tables'!$A$4,1,0)</f>
        <v>0</v>
      </c>
      <c r="X2888">
        <f>IF(AND(LEFT(D2888,4)+1=LEFT(' Pivot Tables'!$A$4,4)+0,RIGHT(LEFT(D2888,7),2)=RIGHT(LEFT(' Pivot Tables'!$A$4,7),2)),1,0)</f>
        <v>0</v>
      </c>
      <c r="Y2888" s="6">
        <f>1/COUNTIF(Таблица1[Order ID],Таблица1[[#This Row],[Order ID]])</f>
        <v>0.5</v>
      </c>
      <c r="Z2888" s="9">
        <f>1/COUNTIFS(Таблица1[Customer Name],Таблица1[[#This Row],[Customer Name]],Таблица1[Order-Year-Month],Таблица1[[#This Row],[Order-Year-Month]])</f>
        <v>0.5</v>
      </c>
    </row>
    <row r="2889" spans="1:26" x14ac:dyDescent="0.2">
      <c r="A2889" s="6">
        <v>4553</v>
      </c>
      <c r="B2889" s="7">
        <v>32389</v>
      </c>
      <c r="C2889" s="8">
        <f>DATE(2012,12,31)-792</f>
        <v>40482</v>
      </c>
      <c r="D2889" s="8" t="str">
        <f t="shared" si="55"/>
        <v>2010-10 (октябрь 2010)</v>
      </c>
      <c r="E2889" s="9" t="s">
        <v>63</v>
      </c>
      <c r="F2889" s="7">
        <v>23</v>
      </c>
      <c r="G2889" s="7">
        <v>934.07</v>
      </c>
      <c r="H2889" s="7">
        <v>7.0000000000000007E-2</v>
      </c>
      <c r="I2889" s="9" t="s">
        <v>22</v>
      </c>
      <c r="J2889" s="10">
        <v>-7.5</v>
      </c>
      <c r="K2889" s="11">
        <v>39.99</v>
      </c>
      <c r="L2889" s="11">
        <v>10.25</v>
      </c>
      <c r="M2889" s="9" t="s">
        <v>1545</v>
      </c>
      <c r="N2889" s="6" t="s">
        <v>974</v>
      </c>
      <c r="O2889" s="6" t="s">
        <v>512</v>
      </c>
      <c r="P2889" s="9" t="s">
        <v>25</v>
      </c>
      <c r="Q2889" s="9" t="s">
        <v>42</v>
      </c>
      <c r="R2889" s="9" t="s">
        <v>70</v>
      </c>
      <c r="S2889" s="7" t="s">
        <v>577</v>
      </c>
      <c r="T2889" s="9" t="s">
        <v>39</v>
      </c>
      <c r="U2889" s="7">
        <v>0.55000000000000004</v>
      </c>
      <c r="V2889" s="12">
        <f>C2889+2</f>
        <v>40484</v>
      </c>
      <c r="W2889">
        <f>IF(D2889=' Pivot Tables'!$A$4,1,0)</f>
        <v>0</v>
      </c>
      <c r="X2889">
        <f>IF(AND(LEFT(D2889,4)+1=LEFT(' Pivot Tables'!$A$4,4)+0,RIGHT(LEFT(D2889,7),2)=RIGHT(LEFT(' Pivot Tables'!$A$4,7),2)),1,0)</f>
        <v>0</v>
      </c>
      <c r="Y2889" s="6">
        <f>1/COUNTIF(Таблица1[Order ID],Таблица1[[#This Row],[Order ID]])</f>
        <v>0.33333333333333331</v>
      </c>
      <c r="Z2889" s="9">
        <f>1/COUNTIFS(Таблица1[Customer Name],Таблица1[[#This Row],[Customer Name]],Таблица1[Order-Year-Month],Таблица1[[#This Row],[Order-Year-Month]])</f>
        <v>0.25</v>
      </c>
    </row>
    <row r="2890" spans="1:26" x14ac:dyDescent="0.2">
      <c r="A2890" s="6">
        <v>4556</v>
      </c>
      <c r="B2890" s="7">
        <v>32420</v>
      </c>
      <c r="C2890" s="8">
        <f>DATE(2012,12,31)-1251</f>
        <v>40023</v>
      </c>
      <c r="D2890" s="8" t="str">
        <f t="shared" si="55"/>
        <v>2009-07 (июль 2009)</v>
      </c>
      <c r="E2890" s="9" t="s">
        <v>63</v>
      </c>
      <c r="F2890" s="7">
        <v>35</v>
      </c>
      <c r="G2890" s="7">
        <v>175.08</v>
      </c>
      <c r="H2890" s="7">
        <v>7.0000000000000007E-2</v>
      </c>
      <c r="I2890" s="9" t="s">
        <v>22</v>
      </c>
      <c r="J2890" s="10">
        <v>-168.72</v>
      </c>
      <c r="K2890" s="11">
        <v>5.0199999999999996</v>
      </c>
      <c r="L2890" s="11">
        <v>5.14</v>
      </c>
      <c r="M2890" s="9" t="s">
        <v>1488</v>
      </c>
      <c r="N2890" s="6" t="s">
        <v>974</v>
      </c>
      <c r="O2890" s="6" t="s">
        <v>512</v>
      </c>
      <c r="P2890" s="9" t="s">
        <v>33</v>
      </c>
      <c r="Q2890" s="9" t="s">
        <v>42</v>
      </c>
      <c r="R2890" s="9" t="s">
        <v>70</v>
      </c>
      <c r="S2890" s="7" t="s">
        <v>361</v>
      </c>
      <c r="T2890" s="9" t="s">
        <v>52</v>
      </c>
      <c r="U2890" s="7">
        <v>0.79</v>
      </c>
      <c r="V2890" s="12">
        <f>C2890+2</f>
        <v>40025</v>
      </c>
      <c r="W2890">
        <f>IF(D2890=' Pivot Tables'!$A$4,1,0)</f>
        <v>0</v>
      </c>
      <c r="X2890">
        <f>IF(AND(LEFT(D2890,4)+1=LEFT(' Pivot Tables'!$A$4,4)+0,RIGHT(LEFT(D2890,7),2)=RIGHT(LEFT(' Pivot Tables'!$A$4,7),2)),1,0)</f>
        <v>0</v>
      </c>
      <c r="Y2890" s="6">
        <f>1/COUNTIF(Таблица1[Order ID],Таблица1[[#This Row],[Order ID]])</f>
        <v>0.5</v>
      </c>
      <c r="Z2890" s="9">
        <f>1/COUNTIFS(Таблица1[Customer Name],Таблица1[[#This Row],[Customer Name]],Таблица1[Order-Year-Month],Таблица1[[#This Row],[Order-Year-Month]])</f>
        <v>0.5</v>
      </c>
    </row>
    <row r="2891" spans="1:26" x14ac:dyDescent="0.2">
      <c r="A2891" s="6">
        <v>4732</v>
      </c>
      <c r="B2891" s="7">
        <v>33699</v>
      </c>
      <c r="C2891" s="8">
        <f>DATE(2012,12,31)-1254</f>
        <v>40020</v>
      </c>
      <c r="D2891" s="8" t="str">
        <f t="shared" si="55"/>
        <v>2009-07 (июль 2009)</v>
      </c>
      <c r="E2891" s="9" t="s">
        <v>21</v>
      </c>
      <c r="F2891" s="7">
        <v>18</v>
      </c>
      <c r="G2891" s="7">
        <v>290.07</v>
      </c>
      <c r="H2891" s="7">
        <v>7.0000000000000007E-2</v>
      </c>
      <c r="I2891" s="9" t="s">
        <v>22</v>
      </c>
      <c r="J2891" s="10">
        <v>-114.2</v>
      </c>
      <c r="K2891" s="11">
        <v>16.739999999999998</v>
      </c>
      <c r="L2891" s="11">
        <v>7.04</v>
      </c>
      <c r="M2891" s="9" t="s">
        <v>1471</v>
      </c>
      <c r="N2891" s="6" t="s">
        <v>974</v>
      </c>
      <c r="O2891" s="6" t="s">
        <v>512</v>
      </c>
      <c r="P2891" s="9" t="s">
        <v>25</v>
      </c>
      <c r="Q2891" s="9" t="s">
        <v>26</v>
      </c>
      <c r="R2891" s="9" t="s">
        <v>27</v>
      </c>
      <c r="S2891" s="7" t="s">
        <v>1441</v>
      </c>
      <c r="T2891" s="9" t="s">
        <v>39</v>
      </c>
      <c r="U2891" s="7">
        <v>0.81</v>
      </c>
      <c r="V2891" s="12">
        <f>C2891+7</f>
        <v>40027</v>
      </c>
      <c r="W2891">
        <f>IF(D2891=' Pivot Tables'!$A$4,1,0)</f>
        <v>0</v>
      </c>
      <c r="X2891">
        <f>IF(AND(LEFT(D2891,4)+1=LEFT(' Pivot Tables'!$A$4,4)+0,RIGHT(LEFT(D2891,7),2)=RIGHT(LEFT(' Pivot Tables'!$A$4,7),2)),1,0)</f>
        <v>0</v>
      </c>
      <c r="Y2891" s="6">
        <f>1/COUNTIF(Таблица1[Order ID],Таблица1[[#This Row],[Order ID]])</f>
        <v>0.33333333333333331</v>
      </c>
      <c r="Z2891" s="9">
        <f>1/COUNTIFS(Таблица1[Customer Name],Таблица1[[#This Row],[Customer Name]],Таблица1[Order-Year-Month],Таблица1[[#This Row],[Order-Year-Month]])</f>
        <v>0.33333333333333331</v>
      </c>
    </row>
    <row r="2892" spans="1:26" x14ac:dyDescent="0.2">
      <c r="A2892" s="6">
        <v>4734</v>
      </c>
      <c r="B2892" s="7">
        <v>33699</v>
      </c>
      <c r="C2892" s="8">
        <f>DATE(2012,12,31)-1254</f>
        <v>40020</v>
      </c>
      <c r="D2892" s="8" t="str">
        <f t="shared" si="55"/>
        <v>2009-07 (июль 2009)</v>
      </c>
      <c r="E2892" s="9" t="s">
        <v>21</v>
      </c>
      <c r="F2892" s="7">
        <v>31</v>
      </c>
      <c r="G2892" s="7">
        <v>196.81</v>
      </c>
      <c r="H2892" s="7">
        <v>0.06</v>
      </c>
      <c r="I2892" s="9" t="s">
        <v>22</v>
      </c>
      <c r="J2892" s="10">
        <v>70.39</v>
      </c>
      <c r="K2892" s="11">
        <v>6.45</v>
      </c>
      <c r="L2892" s="11">
        <v>1.34</v>
      </c>
      <c r="M2892" s="9" t="s">
        <v>1471</v>
      </c>
      <c r="N2892" s="6" t="s">
        <v>974</v>
      </c>
      <c r="O2892" s="6" t="s">
        <v>512</v>
      </c>
      <c r="P2892" s="9" t="s">
        <v>25</v>
      </c>
      <c r="Q2892" s="9" t="s">
        <v>26</v>
      </c>
      <c r="R2892" s="9" t="s">
        <v>61</v>
      </c>
      <c r="S2892" s="7" t="s">
        <v>1039</v>
      </c>
      <c r="T2892" s="9" t="s">
        <v>68</v>
      </c>
      <c r="U2892" s="7">
        <v>0.36</v>
      </c>
      <c r="V2892" s="12">
        <f>C2892+5</f>
        <v>40025</v>
      </c>
      <c r="W2892">
        <f>IF(D2892=' Pivot Tables'!$A$4,1,0)</f>
        <v>0</v>
      </c>
      <c r="X2892">
        <f>IF(AND(LEFT(D2892,4)+1=LEFT(' Pivot Tables'!$A$4,4)+0,RIGHT(LEFT(D2892,7),2)=RIGHT(LEFT(' Pivot Tables'!$A$4,7),2)),1,0)</f>
        <v>0</v>
      </c>
      <c r="Y2892" s="6">
        <f>1/COUNTIF(Таблица1[Order ID],Таблица1[[#This Row],[Order ID]])</f>
        <v>0.33333333333333331</v>
      </c>
      <c r="Z2892" s="9">
        <f>1/COUNTIFS(Таблица1[Customer Name],Таблица1[[#This Row],[Customer Name]],Таблица1[Order-Year-Month],Таблица1[[#This Row],[Order-Year-Month]])</f>
        <v>0.33333333333333331</v>
      </c>
    </row>
    <row r="2893" spans="1:26" x14ac:dyDescent="0.2">
      <c r="A2893" s="6">
        <v>4754</v>
      </c>
      <c r="B2893" s="7">
        <v>33797</v>
      </c>
      <c r="C2893" s="8">
        <f>DATE(2012,12,31)-1450</f>
        <v>39824</v>
      </c>
      <c r="D2893" s="8" t="str">
        <f t="shared" si="55"/>
        <v>2009-01 (январь 2009)</v>
      </c>
      <c r="E2893" s="9" t="s">
        <v>45</v>
      </c>
      <c r="F2893" s="7">
        <v>20</v>
      </c>
      <c r="G2893" s="7">
        <v>4531.34</v>
      </c>
      <c r="H2893" s="7">
        <v>0.08</v>
      </c>
      <c r="I2893" s="9" t="s">
        <v>31</v>
      </c>
      <c r="J2893" s="10">
        <v>653.67999999999995</v>
      </c>
      <c r="K2893" s="11">
        <v>297.64</v>
      </c>
      <c r="L2893" s="11">
        <v>14.7</v>
      </c>
      <c r="M2893" s="9" t="s">
        <v>1546</v>
      </c>
      <c r="N2893" s="6" t="s">
        <v>974</v>
      </c>
      <c r="O2893" s="6" t="s">
        <v>512</v>
      </c>
      <c r="P2893" s="9" t="s">
        <v>25</v>
      </c>
      <c r="Q2893" s="9" t="s">
        <v>42</v>
      </c>
      <c r="R2893" s="9" t="s">
        <v>210</v>
      </c>
      <c r="S2893" s="7" t="s">
        <v>758</v>
      </c>
      <c r="T2893" s="9" t="s">
        <v>36</v>
      </c>
      <c r="U2893" s="7">
        <v>0.56999999999999995</v>
      </c>
      <c r="V2893" s="12">
        <f>C2893+0</f>
        <v>39824</v>
      </c>
      <c r="W2893">
        <f>IF(D2893=' Pivot Tables'!$A$4,1,0)</f>
        <v>0</v>
      </c>
      <c r="X2893">
        <f>IF(AND(LEFT(D2893,4)+1=LEFT(' Pivot Tables'!$A$4,4)+0,RIGHT(LEFT(D2893,7),2)=RIGHT(LEFT(' Pivot Tables'!$A$4,7),2)),1,0)</f>
        <v>1</v>
      </c>
      <c r="Y2893" s="6">
        <f>1/COUNTIF(Таблица1[Order ID],Таблица1[[#This Row],[Order ID]])</f>
        <v>0.2</v>
      </c>
      <c r="Z2893" s="9">
        <f>1/COUNTIFS(Таблица1[Customer Name],Таблица1[[#This Row],[Customer Name]],Таблица1[Order-Year-Month],Таблица1[[#This Row],[Order-Year-Month]])</f>
        <v>0.2</v>
      </c>
    </row>
    <row r="2894" spans="1:26" x14ac:dyDescent="0.2">
      <c r="A2894" s="6">
        <v>4755</v>
      </c>
      <c r="B2894" s="7">
        <v>33797</v>
      </c>
      <c r="C2894" s="8">
        <f>DATE(2012,12,31)-1450</f>
        <v>39824</v>
      </c>
      <c r="D2894" s="8" t="str">
        <f t="shared" si="55"/>
        <v>2009-01 (январь 2009)</v>
      </c>
      <c r="E2894" s="9" t="s">
        <v>45</v>
      </c>
      <c r="F2894" s="7">
        <v>44</v>
      </c>
      <c r="G2894" s="7">
        <v>574.5</v>
      </c>
      <c r="H2894" s="7">
        <v>0.02</v>
      </c>
      <c r="I2894" s="9" t="s">
        <v>22</v>
      </c>
      <c r="J2894" s="10">
        <v>-449.04</v>
      </c>
      <c r="K2894" s="11">
        <v>12.99</v>
      </c>
      <c r="L2894" s="11">
        <v>14.37</v>
      </c>
      <c r="M2894" s="9" t="s">
        <v>1546</v>
      </c>
      <c r="N2894" s="6" t="s">
        <v>974</v>
      </c>
      <c r="O2894" s="6" t="s">
        <v>512</v>
      </c>
      <c r="P2894" s="9" t="s">
        <v>25</v>
      </c>
      <c r="Q2894" s="9" t="s">
        <v>49</v>
      </c>
      <c r="R2894" s="9" t="s">
        <v>50</v>
      </c>
      <c r="S2894" s="7" t="s">
        <v>1129</v>
      </c>
      <c r="T2894" s="9" t="s">
        <v>29</v>
      </c>
      <c r="U2894" s="7">
        <v>0.73</v>
      </c>
      <c r="V2894" s="12">
        <f>C2894+1</f>
        <v>39825</v>
      </c>
      <c r="W2894">
        <f>IF(D2894=' Pivot Tables'!$A$4,1,0)</f>
        <v>0</v>
      </c>
      <c r="X2894">
        <f>IF(AND(LEFT(D2894,4)+1=LEFT(' Pivot Tables'!$A$4,4)+0,RIGHT(LEFT(D2894,7),2)=RIGHT(LEFT(' Pivot Tables'!$A$4,7),2)),1,0)</f>
        <v>1</v>
      </c>
      <c r="Y2894" s="6">
        <f>1/COUNTIF(Таблица1[Order ID],Таблица1[[#This Row],[Order ID]])</f>
        <v>0.2</v>
      </c>
      <c r="Z2894" s="9">
        <f>1/COUNTIFS(Таблица1[Customer Name],Таблица1[[#This Row],[Customer Name]],Таблица1[Order-Year-Month],Таблица1[[#This Row],[Order-Year-Month]])</f>
        <v>0.2</v>
      </c>
    </row>
    <row r="2895" spans="1:26" x14ac:dyDescent="0.2">
      <c r="A2895" s="6">
        <v>4756</v>
      </c>
      <c r="B2895" s="7">
        <v>33797</v>
      </c>
      <c r="C2895" s="8">
        <f>DATE(2012,12,31)-1450</f>
        <v>39824</v>
      </c>
      <c r="D2895" s="8" t="str">
        <f t="shared" si="55"/>
        <v>2009-01 (январь 2009)</v>
      </c>
      <c r="E2895" s="9" t="s">
        <v>45</v>
      </c>
      <c r="F2895" s="7">
        <v>18</v>
      </c>
      <c r="G2895" s="7">
        <v>262.94</v>
      </c>
      <c r="H2895" s="7">
        <v>0.06</v>
      </c>
      <c r="I2895" s="9" t="s">
        <v>22</v>
      </c>
      <c r="J2895" s="10">
        <v>-22.37</v>
      </c>
      <c r="K2895" s="11">
        <v>14.42</v>
      </c>
      <c r="L2895" s="11">
        <v>6.75</v>
      </c>
      <c r="M2895" s="9" t="s">
        <v>1546</v>
      </c>
      <c r="N2895" s="6" t="s">
        <v>974</v>
      </c>
      <c r="O2895" s="6" t="s">
        <v>512</v>
      </c>
      <c r="P2895" s="9" t="s">
        <v>25</v>
      </c>
      <c r="Q2895" s="9" t="s">
        <v>26</v>
      </c>
      <c r="R2895" s="9" t="s">
        <v>34</v>
      </c>
      <c r="S2895" s="7" t="s">
        <v>1036</v>
      </c>
      <c r="T2895" s="9" t="s">
        <v>48</v>
      </c>
      <c r="U2895" s="7">
        <v>0.52</v>
      </c>
      <c r="V2895" s="12">
        <f>C2895+1</f>
        <v>39825</v>
      </c>
      <c r="W2895">
        <f>IF(D2895=' Pivot Tables'!$A$4,1,0)</f>
        <v>0</v>
      </c>
      <c r="X2895">
        <f>IF(AND(LEFT(D2895,4)+1=LEFT(' Pivot Tables'!$A$4,4)+0,RIGHT(LEFT(D2895,7),2)=RIGHT(LEFT(' Pivot Tables'!$A$4,7),2)),1,0)</f>
        <v>1</v>
      </c>
      <c r="Y2895" s="6">
        <f>1/COUNTIF(Таблица1[Order ID],Таблица1[[#This Row],[Order ID]])</f>
        <v>0.2</v>
      </c>
      <c r="Z2895" s="9">
        <f>1/COUNTIFS(Таблица1[Customer Name],Таблица1[[#This Row],[Customer Name]],Таблица1[Order-Year-Month],Таблица1[[#This Row],[Order-Year-Month]])</f>
        <v>0.2</v>
      </c>
    </row>
    <row r="2896" spans="1:26" x14ac:dyDescent="0.2">
      <c r="A2896" s="6">
        <v>4782</v>
      </c>
      <c r="B2896" s="7">
        <v>33958</v>
      </c>
      <c r="C2896" s="8">
        <f>DATE(2012,12,31)-698</f>
        <v>40576</v>
      </c>
      <c r="D2896" s="8" t="str">
        <f t="shared" si="55"/>
        <v>2011-02 (февраль 2011)</v>
      </c>
      <c r="E2896" s="9" t="s">
        <v>78</v>
      </c>
      <c r="F2896" s="7">
        <v>27</v>
      </c>
      <c r="G2896" s="7">
        <v>462.36600000000004</v>
      </c>
      <c r="H2896" s="7">
        <v>0.1</v>
      </c>
      <c r="I2896" s="9" t="s">
        <v>22</v>
      </c>
      <c r="J2896" s="10">
        <v>-120.054</v>
      </c>
      <c r="K2896" s="11">
        <v>20.99</v>
      </c>
      <c r="L2896" s="11">
        <v>3.3</v>
      </c>
      <c r="M2896" s="9" t="s">
        <v>1547</v>
      </c>
      <c r="N2896" s="6" t="s">
        <v>974</v>
      </c>
      <c r="O2896" s="6" t="s">
        <v>512</v>
      </c>
      <c r="P2896" s="9" t="s">
        <v>25</v>
      </c>
      <c r="Q2896" s="9" t="s">
        <v>42</v>
      </c>
      <c r="R2896" s="9" t="s">
        <v>43</v>
      </c>
      <c r="S2896" s="7" t="s">
        <v>295</v>
      </c>
      <c r="T2896" s="9" t="s">
        <v>52</v>
      </c>
      <c r="U2896" s="7">
        <v>0.81</v>
      </c>
      <c r="V2896" s="12">
        <f>C2896+2</f>
        <v>40578</v>
      </c>
      <c r="W2896">
        <f>IF(D2896=' Pivot Tables'!$A$4,1,0)</f>
        <v>0</v>
      </c>
      <c r="X2896">
        <f>IF(AND(LEFT(D2896,4)+1=LEFT(' Pivot Tables'!$A$4,4)+0,RIGHT(LEFT(D2896,7),2)=RIGHT(LEFT(' Pivot Tables'!$A$4,7),2)),1,0)</f>
        <v>0</v>
      </c>
      <c r="Y2896" s="6">
        <f>1/COUNTIF(Таблица1[Order ID],Таблица1[[#This Row],[Order ID]])</f>
        <v>0.5</v>
      </c>
      <c r="Z2896" s="9">
        <f>1/COUNTIFS(Таблица1[Customer Name],Таблица1[[#This Row],[Customer Name]],Таблица1[Order-Year-Month],Таблица1[[#This Row],[Order-Year-Month]])</f>
        <v>0.5</v>
      </c>
    </row>
    <row r="2897" spans="1:26" x14ac:dyDescent="0.2">
      <c r="A2897" s="6">
        <v>4783</v>
      </c>
      <c r="B2897" s="7">
        <v>33958</v>
      </c>
      <c r="C2897" s="8">
        <f>DATE(2012,12,31)-698</f>
        <v>40576</v>
      </c>
      <c r="D2897" s="8" t="str">
        <f t="shared" si="55"/>
        <v>2011-02 (февраль 2011)</v>
      </c>
      <c r="E2897" s="9" t="s">
        <v>78</v>
      </c>
      <c r="F2897" s="7">
        <v>14</v>
      </c>
      <c r="G2897" s="7">
        <v>336.48</v>
      </c>
      <c r="H2897" s="7">
        <v>0.09</v>
      </c>
      <c r="I2897" s="9" t="s">
        <v>22</v>
      </c>
      <c r="J2897" s="10">
        <v>5.56</v>
      </c>
      <c r="K2897" s="11">
        <v>25.99</v>
      </c>
      <c r="L2897" s="11">
        <v>5.37</v>
      </c>
      <c r="M2897" s="9" t="s">
        <v>1547</v>
      </c>
      <c r="N2897" s="6" t="s">
        <v>974</v>
      </c>
      <c r="O2897" s="6" t="s">
        <v>512</v>
      </c>
      <c r="P2897" s="9" t="s">
        <v>25</v>
      </c>
      <c r="Q2897" s="9" t="s">
        <v>26</v>
      </c>
      <c r="R2897" s="9" t="s">
        <v>95</v>
      </c>
      <c r="S2897" s="7" t="s">
        <v>1548</v>
      </c>
      <c r="T2897" s="9" t="s">
        <v>39</v>
      </c>
      <c r="U2897" s="7">
        <v>0.56000000000000005</v>
      </c>
      <c r="V2897" s="12">
        <f>C2897+2</f>
        <v>40578</v>
      </c>
      <c r="W2897">
        <f>IF(D2897=' Pivot Tables'!$A$4,1,0)</f>
        <v>0</v>
      </c>
      <c r="X2897">
        <f>IF(AND(LEFT(D2897,4)+1=LEFT(' Pivot Tables'!$A$4,4)+0,RIGHT(LEFT(D2897,7),2)=RIGHT(LEFT(' Pivot Tables'!$A$4,7),2)),1,0)</f>
        <v>0</v>
      </c>
      <c r="Y2897" s="6">
        <f>1/COUNTIF(Таблица1[Order ID],Таблица1[[#This Row],[Order ID]])</f>
        <v>0.5</v>
      </c>
      <c r="Z2897" s="9">
        <f>1/COUNTIFS(Таблица1[Customer Name],Таблица1[[#This Row],[Customer Name]],Таблица1[Order-Year-Month],Таблица1[[#This Row],[Order-Year-Month]])</f>
        <v>0.5</v>
      </c>
    </row>
    <row r="2898" spans="1:26" x14ac:dyDescent="0.2">
      <c r="A2898" s="6">
        <v>5119</v>
      </c>
      <c r="B2898" s="7">
        <v>36454</v>
      </c>
      <c r="C2898" s="8">
        <f>DATE(2012,12,31)-682</f>
        <v>40592</v>
      </c>
      <c r="D2898" s="8" t="str">
        <f t="shared" si="55"/>
        <v>2011-02 (февраль 2011)</v>
      </c>
      <c r="E2898" s="9" t="s">
        <v>78</v>
      </c>
      <c r="F2898" s="7">
        <v>8</v>
      </c>
      <c r="G2898" s="7">
        <v>69.569999999999993</v>
      </c>
      <c r="H2898" s="7">
        <v>0.05</v>
      </c>
      <c r="I2898" s="9" t="s">
        <v>22</v>
      </c>
      <c r="J2898" s="10">
        <v>-36.06</v>
      </c>
      <c r="K2898" s="11">
        <v>7.98</v>
      </c>
      <c r="L2898" s="11">
        <v>6.5</v>
      </c>
      <c r="M2898" s="9" t="s">
        <v>1543</v>
      </c>
      <c r="N2898" s="6" t="s">
        <v>974</v>
      </c>
      <c r="O2898" s="6" t="s">
        <v>512</v>
      </c>
      <c r="P2898" s="9" t="s">
        <v>25</v>
      </c>
      <c r="Q2898" s="9" t="s">
        <v>26</v>
      </c>
      <c r="R2898" s="9" t="s">
        <v>27</v>
      </c>
      <c r="S2898" s="7" t="s">
        <v>1549</v>
      </c>
      <c r="T2898" s="9" t="s">
        <v>48</v>
      </c>
      <c r="U2898" s="7">
        <v>0.59</v>
      </c>
      <c r="V2898" s="12">
        <f>C2898+3</f>
        <v>40595</v>
      </c>
      <c r="W2898">
        <f>IF(D2898=' Pivot Tables'!$A$4,1,0)</f>
        <v>0</v>
      </c>
      <c r="X2898">
        <f>IF(AND(LEFT(D2898,4)+1=LEFT(' Pivot Tables'!$A$4,4)+0,RIGHT(LEFT(D2898,7),2)=RIGHT(LEFT(' Pivot Tables'!$A$4,7),2)),1,0)</f>
        <v>0</v>
      </c>
      <c r="Y2898" s="6">
        <f>1/COUNTIF(Таблица1[Order ID],Таблица1[[#This Row],[Order ID]])</f>
        <v>1</v>
      </c>
      <c r="Z2898" s="9">
        <f>1/COUNTIFS(Таблица1[Customer Name],Таблица1[[#This Row],[Customer Name]],Таблица1[Order-Year-Month],Таблица1[[#This Row],[Order-Year-Month]])</f>
        <v>1</v>
      </c>
    </row>
    <row r="2899" spans="1:26" x14ac:dyDescent="0.2">
      <c r="A2899" s="6">
        <v>5134</v>
      </c>
      <c r="B2899" s="7">
        <v>36609</v>
      </c>
      <c r="C2899" s="8">
        <f>DATE(2012,12,31)-1327</f>
        <v>39947</v>
      </c>
      <c r="D2899" s="8" t="str">
        <f t="shared" si="55"/>
        <v>2009-05 (май 2009)</v>
      </c>
      <c r="E2899" s="9" t="s">
        <v>45</v>
      </c>
      <c r="F2899" s="7">
        <v>8</v>
      </c>
      <c r="G2899" s="7">
        <v>45.73</v>
      </c>
      <c r="H2899" s="7">
        <v>0</v>
      </c>
      <c r="I2899" s="9" t="s">
        <v>22</v>
      </c>
      <c r="J2899" s="10">
        <v>-23.29</v>
      </c>
      <c r="K2899" s="11">
        <v>4.9800000000000004</v>
      </c>
      <c r="L2899" s="11">
        <v>5.49</v>
      </c>
      <c r="M2899" s="9" t="s">
        <v>1491</v>
      </c>
      <c r="N2899" s="6" t="s">
        <v>974</v>
      </c>
      <c r="O2899" s="6" t="s">
        <v>512</v>
      </c>
      <c r="P2899" s="9" t="s">
        <v>60</v>
      </c>
      <c r="Q2899" s="9" t="s">
        <v>26</v>
      </c>
      <c r="R2899" s="9" t="s">
        <v>61</v>
      </c>
      <c r="S2899" s="7" t="s">
        <v>1224</v>
      </c>
      <c r="T2899" s="9" t="s">
        <v>39</v>
      </c>
      <c r="U2899" s="7">
        <v>0.38</v>
      </c>
      <c r="V2899" s="12">
        <f>C2899+2</f>
        <v>39949</v>
      </c>
      <c r="W2899">
        <f>IF(D2899=' Pivot Tables'!$A$4,1,0)</f>
        <v>0</v>
      </c>
      <c r="X2899">
        <f>IF(AND(LEFT(D2899,4)+1=LEFT(' Pivot Tables'!$A$4,4)+0,RIGHT(LEFT(D2899,7),2)=RIGHT(LEFT(' Pivot Tables'!$A$4,7),2)),1,0)</f>
        <v>0</v>
      </c>
      <c r="Y2899" s="6">
        <f>1/COUNTIF(Таблица1[Order ID],Таблица1[[#This Row],[Order ID]])</f>
        <v>1</v>
      </c>
      <c r="Z2899" s="9">
        <f>1/COUNTIFS(Таблица1[Customer Name],Таблица1[[#This Row],[Customer Name]],Таблица1[Order-Year-Month],Таблица1[[#This Row],[Order-Year-Month]])</f>
        <v>0.25</v>
      </c>
    </row>
    <row r="2900" spans="1:26" x14ac:dyDescent="0.2">
      <c r="A2900" s="6">
        <v>5170</v>
      </c>
      <c r="B2900" s="7">
        <v>36800</v>
      </c>
      <c r="C2900" s="8">
        <f>DATE(2012,12,31)-843</f>
        <v>40431</v>
      </c>
      <c r="D2900" s="8" t="str">
        <f t="shared" si="55"/>
        <v>2010-09 (сентябрь 2010)</v>
      </c>
      <c r="E2900" s="9" t="s">
        <v>30</v>
      </c>
      <c r="F2900" s="7">
        <v>4</v>
      </c>
      <c r="G2900" s="7">
        <v>58.44</v>
      </c>
      <c r="H2900" s="7">
        <v>0.05</v>
      </c>
      <c r="I2900" s="9" t="s">
        <v>56</v>
      </c>
      <c r="J2900" s="10">
        <v>-7.04</v>
      </c>
      <c r="K2900" s="11">
        <v>10.89</v>
      </c>
      <c r="L2900" s="11">
        <v>4.5</v>
      </c>
      <c r="M2900" s="9" t="s">
        <v>1464</v>
      </c>
      <c r="N2900" s="6" t="s">
        <v>974</v>
      </c>
      <c r="O2900" s="6" t="s">
        <v>512</v>
      </c>
      <c r="P2900" s="9" t="s">
        <v>41</v>
      </c>
      <c r="Q2900" s="9" t="s">
        <v>26</v>
      </c>
      <c r="R2900" s="9" t="s">
        <v>34</v>
      </c>
      <c r="S2900" s="7" t="s">
        <v>345</v>
      </c>
      <c r="T2900" s="9" t="s">
        <v>39</v>
      </c>
      <c r="U2900" s="7">
        <v>0.59</v>
      </c>
      <c r="V2900" s="12">
        <f>C2900+1</f>
        <v>40432</v>
      </c>
      <c r="W2900">
        <f>IF(D2900=' Pivot Tables'!$A$4,1,0)</f>
        <v>0</v>
      </c>
      <c r="X2900">
        <f>IF(AND(LEFT(D2900,4)+1=LEFT(' Pivot Tables'!$A$4,4)+0,RIGHT(LEFT(D2900,7),2)=RIGHT(LEFT(' Pivot Tables'!$A$4,7),2)),1,0)</f>
        <v>0</v>
      </c>
      <c r="Y2900" s="6">
        <f>1/COUNTIF(Таблица1[Order ID],Таблица1[[#This Row],[Order ID]])</f>
        <v>1</v>
      </c>
      <c r="Z2900" s="9">
        <f>1/COUNTIFS(Таблица1[Customer Name],Таблица1[[#This Row],[Customer Name]],Таблица1[Order-Year-Month],Таблица1[[#This Row],[Order-Year-Month]])</f>
        <v>1</v>
      </c>
    </row>
    <row r="2901" spans="1:26" x14ac:dyDescent="0.2">
      <c r="A2901" s="6">
        <v>5239</v>
      </c>
      <c r="B2901" s="7">
        <v>37287</v>
      </c>
      <c r="C2901" s="8">
        <f>DATE(2012,12,31)-60</f>
        <v>41214</v>
      </c>
      <c r="D2901" s="8" t="str">
        <f t="shared" si="55"/>
        <v>2012-11 (ноябрь 2012)</v>
      </c>
      <c r="E2901" s="9" t="s">
        <v>21</v>
      </c>
      <c r="F2901" s="7">
        <v>18</v>
      </c>
      <c r="G2901" s="7">
        <v>122.41</v>
      </c>
      <c r="H2901" s="7">
        <v>0.09</v>
      </c>
      <c r="I2901" s="9" t="s">
        <v>22</v>
      </c>
      <c r="J2901" s="10">
        <v>2.37</v>
      </c>
      <c r="K2901" s="11">
        <v>6.64</v>
      </c>
      <c r="L2901" s="11">
        <v>4.95</v>
      </c>
      <c r="M2901" s="9" t="s">
        <v>1491</v>
      </c>
      <c r="N2901" s="6" t="s">
        <v>974</v>
      </c>
      <c r="O2901" s="6" t="s">
        <v>512</v>
      </c>
      <c r="P2901" s="9" t="s">
        <v>41</v>
      </c>
      <c r="Q2901" s="9" t="s">
        <v>49</v>
      </c>
      <c r="R2901" s="9" t="s">
        <v>50</v>
      </c>
      <c r="S2901" s="7" t="s">
        <v>51</v>
      </c>
      <c r="T2901" s="9" t="s">
        <v>52</v>
      </c>
      <c r="U2901" s="7">
        <v>0.37</v>
      </c>
      <c r="V2901" s="12">
        <f>C2901+4</f>
        <v>41218</v>
      </c>
      <c r="W2901">
        <f>IF(D2901=' Pivot Tables'!$A$4,1,0)</f>
        <v>0</v>
      </c>
      <c r="X2901">
        <f>IF(AND(LEFT(D2901,4)+1=LEFT(' Pivot Tables'!$A$4,4)+0,RIGHT(LEFT(D2901,7),2)=RIGHT(LEFT(' Pivot Tables'!$A$4,7),2)),1,0)</f>
        <v>0</v>
      </c>
      <c r="Y2901" s="6">
        <f>1/COUNTIF(Таблица1[Order ID],Таблица1[[#This Row],[Order ID]])</f>
        <v>0.33333333333333331</v>
      </c>
      <c r="Z2901" s="9">
        <f>1/COUNTIFS(Таблица1[Customer Name],Таблица1[[#This Row],[Customer Name]],Таблица1[Order-Year-Month],Таблица1[[#This Row],[Order-Year-Month]])</f>
        <v>0.33333333333333331</v>
      </c>
    </row>
    <row r="2902" spans="1:26" x14ac:dyDescent="0.2">
      <c r="A2902" s="6">
        <v>5262</v>
      </c>
      <c r="B2902" s="7">
        <v>37443</v>
      </c>
      <c r="C2902" s="8">
        <f>DATE(2012,12,31)-991</f>
        <v>40283</v>
      </c>
      <c r="D2902" s="8" t="str">
        <f t="shared" si="55"/>
        <v>2010-04 (апрель 2010)</v>
      </c>
      <c r="E2902" s="9" t="s">
        <v>45</v>
      </c>
      <c r="F2902" s="7">
        <v>50</v>
      </c>
      <c r="G2902" s="7">
        <v>2869.44</v>
      </c>
      <c r="H2902" s="7">
        <v>0.08</v>
      </c>
      <c r="I2902" s="9" t="s">
        <v>22</v>
      </c>
      <c r="J2902" s="10">
        <v>840.55</v>
      </c>
      <c r="K2902" s="11">
        <v>59.98</v>
      </c>
      <c r="L2902" s="11">
        <v>3.99</v>
      </c>
      <c r="M2902" s="9" t="s">
        <v>1536</v>
      </c>
      <c r="N2902" s="6" t="s">
        <v>974</v>
      </c>
      <c r="O2902" s="6" t="s">
        <v>512</v>
      </c>
      <c r="P2902" s="9" t="s">
        <v>25</v>
      </c>
      <c r="Q2902" s="9" t="s">
        <v>26</v>
      </c>
      <c r="R2902" s="9" t="s">
        <v>34</v>
      </c>
      <c r="S2902" s="7" t="s">
        <v>448</v>
      </c>
      <c r="T2902" s="9" t="s">
        <v>39</v>
      </c>
      <c r="U2902" s="7">
        <v>0.56999999999999995</v>
      </c>
      <c r="V2902" s="12">
        <f>C2902+0</f>
        <v>40283</v>
      </c>
      <c r="W2902">
        <f>IF(D2902=' Pivot Tables'!$A$4,1,0)</f>
        <v>0</v>
      </c>
      <c r="X2902">
        <f>IF(AND(LEFT(D2902,4)+1=LEFT(' Pivot Tables'!$A$4,4)+0,RIGHT(LEFT(D2902,7),2)=RIGHT(LEFT(' Pivot Tables'!$A$4,7),2)),1,0)</f>
        <v>0</v>
      </c>
      <c r="Y2902" s="6">
        <f>1/COUNTIF(Таблица1[Order ID],Таблица1[[#This Row],[Order ID]])</f>
        <v>0.5</v>
      </c>
      <c r="Z2902" s="9">
        <f>1/COUNTIFS(Таблица1[Customer Name],Таблица1[[#This Row],[Customer Name]],Таблица1[Order-Year-Month],Таблица1[[#This Row],[Order-Year-Month]])</f>
        <v>0.5</v>
      </c>
    </row>
    <row r="2903" spans="1:26" x14ac:dyDescent="0.2">
      <c r="A2903" s="6">
        <v>5311</v>
      </c>
      <c r="B2903" s="7">
        <v>37792</v>
      </c>
      <c r="C2903" s="8">
        <f>DATE(2012,12,31)-368</f>
        <v>40906</v>
      </c>
      <c r="D2903" s="8" t="str">
        <f t="shared" si="55"/>
        <v>2011-12 (декабрь 2011)</v>
      </c>
      <c r="E2903" s="9" t="s">
        <v>30</v>
      </c>
      <c r="F2903" s="7">
        <v>49</v>
      </c>
      <c r="G2903" s="7">
        <v>183.08</v>
      </c>
      <c r="H2903" s="7">
        <v>0.01</v>
      </c>
      <c r="I2903" s="9" t="s">
        <v>22</v>
      </c>
      <c r="J2903" s="10">
        <v>82.49</v>
      </c>
      <c r="K2903" s="11">
        <v>3.69</v>
      </c>
      <c r="L2903" s="11">
        <v>0.5</v>
      </c>
      <c r="M2903" s="9" t="s">
        <v>1479</v>
      </c>
      <c r="N2903" s="6" t="s">
        <v>974</v>
      </c>
      <c r="O2903" s="6" t="s">
        <v>512</v>
      </c>
      <c r="P2903" s="9" t="s">
        <v>41</v>
      </c>
      <c r="Q2903" s="9" t="s">
        <v>26</v>
      </c>
      <c r="R2903" s="9" t="s">
        <v>88</v>
      </c>
      <c r="S2903" s="7" t="s">
        <v>1445</v>
      </c>
      <c r="T2903" s="9" t="s">
        <v>39</v>
      </c>
      <c r="U2903" s="7">
        <v>0.38</v>
      </c>
      <c r="V2903" s="12">
        <f>C2903+2</f>
        <v>40908</v>
      </c>
      <c r="W2903">
        <f>IF(D2903=' Pivot Tables'!$A$4,1,0)</f>
        <v>0</v>
      </c>
      <c r="X2903">
        <f>IF(AND(LEFT(D2903,4)+1=LEFT(' Pivot Tables'!$A$4,4)+0,RIGHT(LEFT(D2903,7),2)=RIGHT(LEFT(' Pivot Tables'!$A$4,7),2)),1,0)</f>
        <v>0</v>
      </c>
      <c r="Y2903" s="6">
        <f>1/COUNTIF(Таблица1[Order ID],Таблица1[[#This Row],[Order ID]])</f>
        <v>0.5</v>
      </c>
      <c r="Z2903" s="9">
        <f>1/COUNTIFS(Таблица1[Customer Name],Таблица1[[#This Row],[Customer Name]],Таблица1[Order-Year-Month],Таблица1[[#This Row],[Order-Year-Month]])</f>
        <v>0.33333333333333331</v>
      </c>
    </row>
    <row r="2904" spans="1:26" x14ac:dyDescent="0.2">
      <c r="A2904" s="6">
        <v>5321</v>
      </c>
      <c r="B2904" s="7">
        <v>37829</v>
      </c>
      <c r="C2904" s="8">
        <f>DATE(2012,12,31)-824</f>
        <v>40450</v>
      </c>
      <c r="D2904" s="8" t="str">
        <f t="shared" si="55"/>
        <v>2010-09 (сентябрь 2010)</v>
      </c>
      <c r="E2904" s="9" t="s">
        <v>45</v>
      </c>
      <c r="F2904" s="7">
        <v>28</v>
      </c>
      <c r="G2904" s="7">
        <v>257.89999999999998</v>
      </c>
      <c r="H2904" s="7">
        <v>0</v>
      </c>
      <c r="I2904" s="9" t="s">
        <v>22</v>
      </c>
      <c r="J2904" s="10">
        <v>-84.69</v>
      </c>
      <c r="K2904" s="11">
        <v>8.74</v>
      </c>
      <c r="L2904" s="11">
        <v>8.2899999999999991</v>
      </c>
      <c r="M2904" s="9" t="s">
        <v>1479</v>
      </c>
      <c r="N2904" s="6" t="s">
        <v>974</v>
      </c>
      <c r="O2904" s="6" t="s">
        <v>512</v>
      </c>
      <c r="P2904" s="9" t="s">
        <v>41</v>
      </c>
      <c r="Q2904" s="9" t="s">
        <v>26</v>
      </c>
      <c r="R2904" s="9" t="s">
        <v>76</v>
      </c>
      <c r="S2904" s="7" t="s">
        <v>567</v>
      </c>
      <c r="T2904" s="9" t="s">
        <v>39</v>
      </c>
      <c r="U2904" s="7">
        <v>0.38</v>
      </c>
      <c r="V2904" s="12">
        <f>C2904+2</f>
        <v>40452</v>
      </c>
      <c r="W2904">
        <f>IF(D2904=' Pivot Tables'!$A$4,1,0)</f>
        <v>0</v>
      </c>
      <c r="X2904">
        <f>IF(AND(LEFT(D2904,4)+1=LEFT(' Pivot Tables'!$A$4,4)+0,RIGHT(LEFT(D2904,7),2)=RIGHT(LEFT(' Pivot Tables'!$A$4,7),2)),1,0)</f>
        <v>0</v>
      </c>
      <c r="Y2904" s="6">
        <f>1/COUNTIF(Таблица1[Order ID],Таблица1[[#This Row],[Order ID]])</f>
        <v>1</v>
      </c>
      <c r="Z2904" s="9">
        <f>1/COUNTIFS(Таблица1[Customer Name],Таблица1[[#This Row],[Customer Name]],Таблица1[Order-Year-Month],Таблица1[[#This Row],[Order-Year-Month]])</f>
        <v>1</v>
      </c>
    </row>
    <row r="2905" spans="1:26" x14ac:dyDescent="0.2">
      <c r="A2905" s="6">
        <v>5361</v>
      </c>
      <c r="B2905" s="7">
        <v>38087</v>
      </c>
      <c r="C2905" s="8">
        <f>DATE(2012,12,31)-1409</f>
        <v>39865</v>
      </c>
      <c r="D2905" s="8" t="str">
        <f t="shared" si="55"/>
        <v>2009-02 (февраль 2009)</v>
      </c>
      <c r="E2905" s="9" t="s">
        <v>78</v>
      </c>
      <c r="F2905" s="7">
        <v>18</v>
      </c>
      <c r="G2905" s="7">
        <v>901.81</v>
      </c>
      <c r="H2905" s="7">
        <v>0.02</v>
      </c>
      <c r="I2905" s="9" t="s">
        <v>22</v>
      </c>
      <c r="J2905" s="10">
        <v>-76.89</v>
      </c>
      <c r="K2905" s="11">
        <v>49.99</v>
      </c>
      <c r="L2905" s="11">
        <v>19.989999999999998</v>
      </c>
      <c r="M2905" s="9" t="s">
        <v>1264</v>
      </c>
      <c r="N2905" s="6" t="s">
        <v>974</v>
      </c>
      <c r="O2905" s="6" t="s">
        <v>512</v>
      </c>
      <c r="P2905" s="9" t="s">
        <v>25</v>
      </c>
      <c r="Q2905" s="9" t="s">
        <v>42</v>
      </c>
      <c r="R2905" s="9" t="s">
        <v>70</v>
      </c>
      <c r="S2905" s="7" t="s">
        <v>590</v>
      </c>
      <c r="T2905" s="9" t="s">
        <v>39</v>
      </c>
      <c r="U2905" s="7">
        <v>0.41</v>
      </c>
      <c r="V2905" s="12">
        <f>C2905+0</f>
        <v>39865</v>
      </c>
      <c r="W2905">
        <f>IF(D2905=' Pivot Tables'!$A$4,1,0)</f>
        <v>0</v>
      </c>
      <c r="X2905">
        <f>IF(AND(LEFT(D2905,4)+1=LEFT(' Pivot Tables'!$A$4,4)+0,RIGHT(LEFT(D2905,7),2)=RIGHT(LEFT(' Pivot Tables'!$A$4,7),2)),1,0)</f>
        <v>0</v>
      </c>
      <c r="Y2905" s="6">
        <f>1/COUNTIF(Таблица1[Order ID],Таблица1[[#This Row],[Order ID]])</f>
        <v>1</v>
      </c>
      <c r="Z2905" s="9">
        <f>1/COUNTIFS(Таблица1[Customer Name],Таблица1[[#This Row],[Customer Name]],Таблица1[Order-Year-Month],Таблица1[[#This Row],[Order-Year-Month]])</f>
        <v>1</v>
      </c>
    </row>
    <row r="2906" spans="1:26" x14ac:dyDescent="0.2">
      <c r="A2906" s="6">
        <v>5393</v>
      </c>
      <c r="B2906" s="7">
        <v>38341</v>
      </c>
      <c r="C2906" s="8">
        <f>DATE(2012,12,31)-1323</f>
        <v>39951</v>
      </c>
      <c r="D2906" s="8" t="str">
        <f t="shared" si="55"/>
        <v>2009-05 (май 2009)</v>
      </c>
      <c r="E2906" s="9" t="s">
        <v>63</v>
      </c>
      <c r="F2906" s="7">
        <v>38</v>
      </c>
      <c r="G2906" s="7">
        <v>623.12649999999996</v>
      </c>
      <c r="H2906" s="7">
        <v>0.09</v>
      </c>
      <c r="I2906" s="9" t="s">
        <v>22</v>
      </c>
      <c r="J2906" s="10">
        <v>122.292</v>
      </c>
      <c r="K2906" s="11">
        <v>20.99</v>
      </c>
      <c r="L2906" s="11">
        <v>0.99</v>
      </c>
      <c r="M2906" s="9" t="s">
        <v>1550</v>
      </c>
      <c r="N2906" s="6" t="s">
        <v>974</v>
      </c>
      <c r="O2906" s="6" t="s">
        <v>512</v>
      </c>
      <c r="P2906" s="9" t="s">
        <v>41</v>
      </c>
      <c r="Q2906" s="9" t="s">
        <v>42</v>
      </c>
      <c r="R2906" s="9" t="s">
        <v>43</v>
      </c>
      <c r="S2906" s="7" t="s">
        <v>837</v>
      </c>
      <c r="T2906" s="9" t="s">
        <v>68</v>
      </c>
      <c r="U2906" s="7">
        <v>0.56999999999999995</v>
      </c>
      <c r="V2906" s="12">
        <f>C2906+0</f>
        <v>39951</v>
      </c>
      <c r="W2906">
        <f>IF(D2906=' Pivot Tables'!$A$4,1,0)</f>
        <v>0</v>
      </c>
      <c r="X2906">
        <f>IF(AND(LEFT(D2906,4)+1=LEFT(' Pivot Tables'!$A$4,4)+0,RIGHT(LEFT(D2906,7),2)=RIGHT(LEFT(' Pivot Tables'!$A$4,7),2)),1,0)</f>
        <v>0</v>
      </c>
      <c r="Y2906" s="6">
        <f>1/COUNTIF(Таблица1[Order ID],Таблица1[[#This Row],[Order ID]])</f>
        <v>0.33333333333333331</v>
      </c>
      <c r="Z2906" s="9">
        <f>1/COUNTIFS(Таблица1[Customer Name],Таблица1[[#This Row],[Customer Name]],Таблица1[Order-Year-Month],Таблица1[[#This Row],[Order-Year-Month]])</f>
        <v>0.33333333333333331</v>
      </c>
    </row>
    <row r="2907" spans="1:26" x14ac:dyDescent="0.2">
      <c r="A2907" s="6">
        <v>5436</v>
      </c>
      <c r="B2907" s="7">
        <v>38599</v>
      </c>
      <c r="C2907" s="8">
        <f>DATE(2012,12,31)-1162</f>
        <v>40112</v>
      </c>
      <c r="D2907" s="8" t="str">
        <f t="shared" si="55"/>
        <v>2009-10 (октябрь 2009)</v>
      </c>
      <c r="E2907" s="9" t="s">
        <v>30</v>
      </c>
      <c r="F2907" s="7">
        <v>27</v>
      </c>
      <c r="G2907" s="7">
        <v>2651.23</v>
      </c>
      <c r="H2907" s="7">
        <v>0.09</v>
      </c>
      <c r="I2907" s="9" t="s">
        <v>22</v>
      </c>
      <c r="J2907" s="10">
        <v>-741.81</v>
      </c>
      <c r="K2907" s="11">
        <v>101.41</v>
      </c>
      <c r="L2907" s="11">
        <v>35</v>
      </c>
      <c r="M2907" s="9" t="s">
        <v>1466</v>
      </c>
      <c r="N2907" s="6" t="s">
        <v>974</v>
      </c>
      <c r="O2907" s="6" t="s">
        <v>512</v>
      </c>
      <c r="P2907" s="9" t="s">
        <v>33</v>
      </c>
      <c r="Q2907" s="9" t="s">
        <v>26</v>
      </c>
      <c r="R2907" s="9" t="s">
        <v>27</v>
      </c>
      <c r="S2907" s="7" t="s">
        <v>1231</v>
      </c>
      <c r="T2907" s="9" t="s">
        <v>29</v>
      </c>
      <c r="U2907" s="7">
        <v>0.82</v>
      </c>
      <c r="V2907" s="12">
        <f>C2907+1</f>
        <v>40113</v>
      </c>
      <c r="W2907">
        <f>IF(D2907=' Pivot Tables'!$A$4,1,0)</f>
        <v>0</v>
      </c>
      <c r="X2907">
        <f>IF(AND(LEFT(D2907,4)+1=LEFT(' Pivot Tables'!$A$4,4)+0,RIGHT(LEFT(D2907,7),2)=RIGHT(LEFT(' Pivot Tables'!$A$4,7),2)),1,0)</f>
        <v>0</v>
      </c>
      <c r="Y2907" s="6">
        <f>1/COUNTIF(Таблица1[Order ID],Таблица1[[#This Row],[Order ID]])</f>
        <v>1</v>
      </c>
      <c r="Z2907" s="9">
        <f>1/COUNTIFS(Таблица1[Customer Name],Таблица1[[#This Row],[Customer Name]],Таблица1[Order-Year-Month],Таблица1[[#This Row],[Order-Year-Month]])</f>
        <v>1</v>
      </c>
    </row>
    <row r="2908" spans="1:26" x14ac:dyDescent="0.2">
      <c r="A2908" s="6">
        <v>5451</v>
      </c>
      <c r="B2908" s="7">
        <v>38721</v>
      </c>
      <c r="C2908" s="8">
        <f>DATE(2012,12,31)-1378</f>
        <v>39896</v>
      </c>
      <c r="D2908" s="8" t="str">
        <f t="shared" si="55"/>
        <v>2009-03 (март 2009)</v>
      </c>
      <c r="E2908" s="9" t="s">
        <v>78</v>
      </c>
      <c r="F2908" s="7">
        <v>17</v>
      </c>
      <c r="G2908" s="7">
        <v>107.56</v>
      </c>
      <c r="H2908" s="7">
        <v>0.1</v>
      </c>
      <c r="I2908" s="9" t="s">
        <v>22</v>
      </c>
      <c r="J2908" s="10">
        <v>-25</v>
      </c>
      <c r="K2908" s="11">
        <v>6.64</v>
      </c>
      <c r="L2908" s="11">
        <v>54.95</v>
      </c>
      <c r="M2908" s="9" t="s">
        <v>1471</v>
      </c>
      <c r="N2908" s="6" t="s">
        <v>974</v>
      </c>
      <c r="O2908" s="6" t="s">
        <v>512</v>
      </c>
      <c r="P2908" s="9" t="s">
        <v>25</v>
      </c>
      <c r="Q2908" s="9" t="s">
        <v>49</v>
      </c>
      <c r="R2908" s="9" t="s">
        <v>50</v>
      </c>
      <c r="S2908" s="7" t="s">
        <v>51</v>
      </c>
      <c r="T2908" s="9" t="s">
        <v>52</v>
      </c>
      <c r="U2908" s="7">
        <v>0.37</v>
      </c>
      <c r="V2908" s="12">
        <f>C2908+2</f>
        <v>39898</v>
      </c>
      <c r="W2908">
        <f>IF(D2908=' Pivot Tables'!$A$4,1,0)</f>
        <v>0</v>
      </c>
      <c r="X2908">
        <f>IF(AND(LEFT(D2908,4)+1=LEFT(' Pivot Tables'!$A$4,4)+0,RIGHT(LEFT(D2908,7),2)=RIGHT(LEFT(' Pivot Tables'!$A$4,7),2)),1,0)</f>
        <v>0</v>
      </c>
      <c r="Y2908" s="6">
        <f>1/COUNTIF(Таблица1[Order ID],Таблица1[[#This Row],[Order ID]])</f>
        <v>0.5</v>
      </c>
      <c r="Z2908" s="9">
        <f>1/COUNTIFS(Таблица1[Customer Name],Таблица1[[#This Row],[Customer Name]],Таблица1[Order-Year-Month],Таблица1[[#This Row],[Order-Year-Month]])</f>
        <v>0.5</v>
      </c>
    </row>
    <row r="2909" spans="1:26" x14ac:dyDescent="0.2">
      <c r="A2909" s="6">
        <v>5452</v>
      </c>
      <c r="B2909" s="7">
        <v>38721</v>
      </c>
      <c r="C2909" s="8">
        <f>DATE(2012,12,31)-1378</f>
        <v>39896</v>
      </c>
      <c r="D2909" s="8" t="str">
        <f t="shared" si="55"/>
        <v>2009-03 (март 2009)</v>
      </c>
      <c r="E2909" s="9" t="s">
        <v>78</v>
      </c>
      <c r="F2909" s="7">
        <v>15</v>
      </c>
      <c r="G2909" s="7">
        <v>1386.69</v>
      </c>
      <c r="H2909" s="7">
        <v>0.05</v>
      </c>
      <c r="I2909" s="9" t="s">
        <v>22</v>
      </c>
      <c r="J2909" s="10">
        <v>363</v>
      </c>
      <c r="K2909" s="11">
        <v>90.48</v>
      </c>
      <c r="L2909" s="11">
        <v>19.989999999999998</v>
      </c>
      <c r="M2909" s="9" t="s">
        <v>1471</v>
      </c>
      <c r="N2909" s="6" t="s">
        <v>974</v>
      </c>
      <c r="O2909" s="6" t="s">
        <v>512</v>
      </c>
      <c r="P2909" s="9" t="s">
        <v>25</v>
      </c>
      <c r="Q2909" s="9" t="s">
        <v>26</v>
      </c>
      <c r="R2909" s="9" t="s">
        <v>76</v>
      </c>
      <c r="S2909" s="7" t="s">
        <v>1167</v>
      </c>
      <c r="T2909" s="9" t="s">
        <v>39</v>
      </c>
      <c r="U2909" s="7">
        <v>0.4</v>
      </c>
      <c r="V2909" s="12">
        <f>C2909+1</f>
        <v>39897</v>
      </c>
      <c r="W2909">
        <f>IF(D2909=' Pivot Tables'!$A$4,1,0)</f>
        <v>0</v>
      </c>
      <c r="X2909">
        <f>IF(AND(LEFT(D2909,4)+1=LEFT(' Pivot Tables'!$A$4,4)+0,RIGHT(LEFT(D2909,7),2)=RIGHT(LEFT(' Pivot Tables'!$A$4,7),2)),1,0)</f>
        <v>0</v>
      </c>
      <c r="Y2909" s="6">
        <f>1/COUNTIF(Таблица1[Order ID],Таблица1[[#This Row],[Order ID]])</f>
        <v>0.5</v>
      </c>
      <c r="Z2909" s="9">
        <f>1/COUNTIFS(Таблица1[Customer Name],Таблица1[[#This Row],[Customer Name]],Таблица1[Order-Year-Month],Таблица1[[#This Row],[Order-Year-Month]])</f>
        <v>0.5</v>
      </c>
    </row>
    <row r="2910" spans="1:26" x14ac:dyDescent="0.2">
      <c r="A2910" s="6">
        <v>5494</v>
      </c>
      <c r="B2910" s="7">
        <v>38976</v>
      </c>
      <c r="C2910" s="8">
        <f>DATE(2012,12,31)-737</f>
        <v>40537</v>
      </c>
      <c r="D2910" s="8" t="str">
        <f t="shared" si="55"/>
        <v>2010-12 (декабрь 2010)</v>
      </c>
      <c r="E2910" s="9" t="s">
        <v>78</v>
      </c>
      <c r="F2910" s="7">
        <v>16</v>
      </c>
      <c r="G2910" s="7">
        <v>6813.93</v>
      </c>
      <c r="H2910" s="7">
        <v>0.09</v>
      </c>
      <c r="I2910" s="9" t="s">
        <v>31</v>
      </c>
      <c r="J2910" s="10">
        <v>358.19</v>
      </c>
      <c r="K2910" s="11">
        <v>449.99</v>
      </c>
      <c r="L2910" s="11">
        <v>49</v>
      </c>
      <c r="M2910" s="9" t="s">
        <v>1509</v>
      </c>
      <c r="N2910" s="6" t="s">
        <v>974</v>
      </c>
      <c r="O2910" s="6" t="s">
        <v>512</v>
      </c>
      <c r="P2910" s="9" t="s">
        <v>41</v>
      </c>
      <c r="Q2910" s="9" t="s">
        <v>42</v>
      </c>
      <c r="R2910" s="9" t="s">
        <v>99</v>
      </c>
      <c r="S2910" s="7" t="s">
        <v>100</v>
      </c>
      <c r="T2910" s="9" t="s">
        <v>36</v>
      </c>
      <c r="U2910" s="7">
        <v>0.38</v>
      </c>
      <c r="V2910" s="12">
        <f>C2910+1</f>
        <v>40538</v>
      </c>
      <c r="W2910">
        <f>IF(D2910=' Pivot Tables'!$A$4,1,0)</f>
        <v>0</v>
      </c>
      <c r="X2910">
        <f>IF(AND(LEFT(D2910,4)+1=LEFT(' Pivot Tables'!$A$4,4)+0,RIGHT(LEFT(D2910,7),2)=RIGHT(LEFT(' Pivot Tables'!$A$4,7),2)),1,0)</f>
        <v>0</v>
      </c>
      <c r="Y2910" s="6">
        <f>1/COUNTIF(Таблица1[Order ID],Таблица1[[#This Row],[Order ID]])</f>
        <v>0.5</v>
      </c>
      <c r="Z2910" s="9">
        <f>1/COUNTIFS(Таблица1[Customer Name],Таблица1[[#This Row],[Customer Name]],Таблица1[Order-Year-Month],Таблица1[[#This Row],[Order-Year-Month]])</f>
        <v>0.5</v>
      </c>
    </row>
    <row r="2911" spans="1:26" x14ac:dyDescent="0.2">
      <c r="A2911" s="6">
        <v>5549</v>
      </c>
      <c r="B2911" s="7">
        <v>39300</v>
      </c>
      <c r="C2911" s="8">
        <f>DATE(2012,12,31)-253</f>
        <v>41021</v>
      </c>
      <c r="D2911" s="8" t="str">
        <f t="shared" si="55"/>
        <v>2012-04 (апрель 2012)</v>
      </c>
      <c r="E2911" s="9" t="s">
        <v>30</v>
      </c>
      <c r="F2911" s="7">
        <v>9</v>
      </c>
      <c r="G2911" s="7">
        <v>44.51</v>
      </c>
      <c r="H2911" s="7">
        <v>0.01</v>
      </c>
      <c r="I2911" s="9" t="s">
        <v>22</v>
      </c>
      <c r="J2911" s="10">
        <v>-43.48</v>
      </c>
      <c r="K2911" s="11">
        <v>4.0599999999999996</v>
      </c>
      <c r="L2911" s="11">
        <v>6.89</v>
      </c>
      <c r="M2911" s="9" t="s">
        <v>1551</v>
      </c>
      <c r="N2911" s="6" t="s">
        <v>974</v>
      </c>
      <c r="O2911" s="6" t="s">
        <v>512</v>
      </c>
      <c r="P2911" s="9" t="s">
        <v>60</v>
      </c>
      <c r="Q2911" s="9" t="s">
        <v>26</v>
      </c>
      <c r="R2911" s="9" t="s">
        <v>34</v>
      </c>
      <c r="S2911" s="7" t="s">
        <v>408</v>
      </c>
      <c r="T2911" s="9" t="s">
        <v>39</v>
      </c>
      <c r="U2911" s="7">
        <v>0.6</v>
      </c>
      <c r="V2911" s="12">
        <f>C2911+2</f>
        <v>41023</v>
      </c>
      <c r="W2911">
        <f>IF(D2911=' Pivot Tables'!$A$4,1,0)</f>
        <v>0</v>
      </c>
      <c r="X2911">
        <f>IF(AND(LEFT(D2911,4)+1=LEFT(' Pivot Tables'!$A$4,4)+0,RIGHT(LEFT(D2911,7),2)=RIGHT(LEFT(' Pivot Tables'!$A$4,7),2)),1,0)</f>
        <v>0</v>
      </c>
      <c r="Y2911" s="6">
        <f>1/COUNTIF(Таблица1[Order ID],Таблица1[[#This Row],[Order ID]])</f>
        <v>1</v>
      </c>
      <c r="Z2911" s="9">
        <f>1/COUNTIFS(Таблица1[Customer Name],Таблица1[[#This Row],[Customer Name]],Таблица1[Order-Year-Month],Таблица1[[#This Row],[Order-Year-Month]])</f>
        <v>1</v>
      </c>
    </row>
    <row r="2912" spans="1:26" x14ac:dyDescent="0.2">
      <c r="A2912" s="6">
        <v>5564</v>
      </c>
      <c r="B2912" s="7">
        <v>39393</v>
      </c>
      <c r="C2912" s="8">
        <f>DATE(2012,12,31)-775</f>
        <v>40499</v>
      </c>
      <c r="D2912" s="8" t="str">
        <f t="shared" si="55"/>
        <v>2010-11 (ноябрь 2010)</v>
      </c>
      <c r="E2912" s="9" t="s">
        <v>45</v>
      </c>
      <c r="F2912" s="7">
        <v>23</v>
      </c>
      <c r="G2912" s="7">
        <v>218.29</v>
      </c>
      <c r="H2912" s="7">
        <v>0.09</v>
      </c>
      <c r="I2912" s="9" t="s">
        <v>22</v>
      </c>
      <c r="J2912" s="10">
        <v>-32.433599999999998</v>
      </c>
      <c r="K2912" s="11">
        <v>9.49</v>
      </c>
      <c r="L2912" s="11">
        <v>5.76</v>
      </c>
      <c r="M2912" s="9" t="s">
        <v>1471</v>
      </c>
      <c r="N2912" s="6" t="s">
        <v>974</v>
      </c>
      <c r="O2912" s="6" t="s">
        <v>512</v>
      </c>
      <c r="P2912" s="9" t="s">
        <v>25</v>
      </c>
      <c r="Q2912" s="9" t="s">
        <v>42</v>
      </c>
      <c r="R2912" s="9" t="s">
        <v>210</v>
      </c>
      <c r="S2912" s="7" t="s">
        <v>659</v>
      </c>
      <c r="T2912" s="9" t="s">
        <v>48</v>
      </c>
      <c r="U2912" s="7">
        <v>0.39</v>
      </c>
      <c r="V2912" s="12">
        <f>C2912+2</f>
        <v>40501</v>
      </c>
      <c r="W2912">
        <f>IF(D2912=' Pivot Tables'!$A$4,1,0)</f>
        <v>0</v>
      </c>
      <c r="X2912">
        <f>IF(AND(LEFT(D2912,4)+1=LEFT(' Pivot Tables'!$A$4,4)+0,RIGHT(LEFT(D2912,7),2)=RIGHT(LEFT(' Pivot Tables'!$A$4,7),2)),1,0)</f>
        <v>0</v>
      </c>
      <c r="Y2912" s="6">
        <f>1/COUNTIF(Таблица1[Order ID],Таблица1[[#This Row],[Order ID]])</f>
        <v>1</v>
      </c>
      <c r="Z2912" s="9">
        <f>1/COUNTIFS(Таблица1[Customer Name],Таблица1[[#This Row],[Customer Name]],Таблица1[Order-Year-Month],Таблица1[[#This Row],[Order-Year-Month]])</f>
        <v>1</v>
      </c>
    </row>
    <row r="2913" spans="1:26" x14ac:dyDescent="0.2">
      <c r="A2913" s="6">
        <v>5624</v>
      </c>
      <c r="B2913" s="7">
        <v>39842</v>
      </c>
      <c r="C2913" s="8">
        <f>DATE(2012,12,31)-743</f>
        <v>40531</v>
      </c>
      <c r="D2913" s="8" t="str">
        <f t="shared" si="55"/>
        <v>2010-12 (декабрь 2010)</v>
      </c>
      <c r="E2913" s="9" t="s">
        <v>63</v>
      </c>
      <c r="F2913" s="7">
        <v>38</v>
      </c>
      <c r="G2913" s="7">
        <v>1554.21</v>
      </c>
      <c r="H2913" s="7">
        <v>0.08</v>
      </c>
      <c r="I2913" s="9" t="s">
        <v>56</v>
      </c>
      <c r="J2913" s="10">
        <v>114.45</v>
      </c>
      <c r="K2913" s="11">
        <v>41.32</v>
      </c>
      <c r="L2913" s="11">
        <v>8.66</v>
      </c>
      <c r="M2913" s="9" t="s">
        <v>1503</v>
      </c>
      <c r="N2913" s="6" t="s">
        <v>974</v>
      </c>
      <c r="O2913" s="6" t="s">
        <v>512</v>
      </c>
      <c r="P2913" s="9" t="s">
        <v>33</v>
      </c>
      <c r="Q2913" s="9" t="s">
        <v>49</v>
      </c>
      <c r="R2913" s="9" t="s">
        <v>50</v>
      </c>
      <c r="S2913" s="7" t="s">
        <v>639</v>
      </c>
      <c r="T2913" s="9" t="s">
        <v>48</v>
      </c>
      <c r="U2913" s="7">
        <v>0.76</v>
      </c>
      <c r="V2913" s="12">
        <f>C2913+0</f>
        <v>40531</v>
      </c>
      <c r="W2913">
        <f>IF(D2913=' Pivot Tables'!$A$4,1,0)</f>
        <v>0</v>
      </c>
      <c r="X2913">
        <f>IF(AND(LEFT(D2913,4)+1=LEFT(' Pivot Tables'!$A$4,4)+0,RIGHT(LEFT(D2913,7),2)=RIGHT(LEFT(' Pivot Tables'!$A$4,7),2)),1,0)</f>
        <v>0</v>
      </c>
      <c r="Y2913" s="6">
        <f>1/COUNTIF(Таблица1[Order ID],Таблица1[[#This Row],[Order ID]])</f>
        <v>0.5</v>
      </c>
      <c r="Z2913" s="9">
        <f>1/COUNTIFS(Таблица1[Customer Name],Таблица1[[#This Row],[Customer Name]],Таблица1[Order-Year-Month],Таблица1[[#This Row],[Order-Year-Month]])</f>
        <v>0.5</v>
      </c>
    </row>
    <row r="2914" spans="1:26" x14ac:dyDescent="0.2">
      <c r="A2914" s="6">
        <v>5888</v>
      </c>
      <c r="B2914" s="7">
        <v>41766</v>
      </c>
      <c r="C2914" s="8">
        <f>DATE(2012,12,31)-111</f>
        <v>41163</v>
      </c>
      <c r="D2914" s="8" t="str">
        <f t="shared" si="55"/>
        <v>2012-09 (сентябрь 2012)</v>
      </c>
      <c r="E2914" s="9" t="s">
        <v>78</v>
      </c>
      <c r="F2914" s="7">
        <v>7</v>
      </c>
      <c r="G2914" s="7">
        <v>273.42</v>
      </c>
      <c r="H2914" s="7">
        <v>0</v>
      </c>
      <c r="I2914" s="9" t="s">
        <v>22</v>
      </c>
      <c r="J2914" s="10">
        <v>10.064</v>
      </c>
      <c r="K2914" s="11">
        <v>34.54</v>
      </c>
      <c r="L2914" s="11">
        <v>14.72</v>
      </c>
      <c r="M2914" s="9" t="s">
        <v>1518</v>
      </c>
      <c r="N2914" s="6" t="s">
        <v>974</v>
      </c>
      <c r="O2914" s="6" t="s">
        <v>512</v>
      </c>
      <c r="P2914" s="9" t="s">
        <v>41</v>
      </c>
      <c r="Q2914" s="9" t="s">
        <v>26</v>
      </c>
      <c r="R2914" s="9" t="s">
        <v>37</v>
      </c>
      <c r="S2914" s="7" t="s">
        <v>229</v>
      </c>
      <c r="T2914" s="9" t="s">
        <v>39</v>
      </c>
      <c r="U2914" s="7">
        <v>0.37</v>
      </c>
      <c r="V2914" s="12">
        <f>C2914+1</f>
        <v>41164</v>
      </c>
      <c r="W2914">
        <f>IF(D2914=' Pivot Tables'!$A$4,1,0)</f>
        <v>0</v>
      </c>
      <c r="X2914">
        <f>IF(AND(LEFT(D2914,4)+1=LEFT(' Pivot Tables'!$A$4,4)+0,RIGHT(LEFT(D2914,7),2)=RIGHT(LEFT(' Pivot Tables'!$A$4,7),2)),1,0)</f>
        <v>0</v>
      </c>
      <c r="Y2914" s="6">
        <f>1/COUNTIF(Таблица1[Order ID],Таблица1[[#This Row],[Order ID]])</f>
        <v>0.5</v>
      </c>
      <c r="Z2914" s="9">
        <f>1/COUNTIFS(Таблица1[Customer Name],Таблица1[[#This Row],[Customer Name]],Таблица1[Order-Year-Month],Таблица1[[#This Row],[Order-Year-Month]])</f>
        <v>0.5</v>
      </c>
    </row>
    <row r="2915" spans="1:26" x14ac:dyDescent="0.2">
      <c r="A2915" s="6">
        <v>5960</v>
      </c>
      <c r="B2915" s="7">
        <v>42306</v>
      </c>
      <c r="C2915" s="8">
        <f>DATE(2012,12,31)-108</f>
        <v>41166</v>
      </c>
      <c r="D2915" s="8" t="str">
        <f t="shared" si="55"/>
        <v>2012-09 (сентябрь 2012)</v>
      </c>
      <c r="E2915" s="9" t="s">
        <v>30</v>
      </c>
      <c r="F2915" s="7">
        <v>19</v>
      </c>
      <c r="G2915" s="7">
        <v>773.83</v>
      </c>
      <c r="H2915" s="7">
        <v>0.06</v>
      </c>
      <c r="I2915" s="9" t="s">
        <v>22</v>
      </c>
      <c r="J2915" s="10">
        <v>146.79</v>
      </c>
      <c r="K2915" s="11">
        <v>40.98</v>
      </c>
      <c r="L2915" s="11">
        <v>5.33</v>
      </c>
      <c r="M2915" s="9" t="s">
        <v>1498</v>
      </c>
      <c r="N2915" s="6" t="s">
        <v>974</v>
      </c>
      <c r="O2915" s="6" t="s">
        <v>512</v>
      </c>
      <c r="P2915" s="9" t="s">
        <v>33</v>
      </c>
      <c r="Q2915" s="9" t="s">
        <v>26</v>
      </c>
      <c r="R2915" s="9" t="s">
        <v>34</v>
      </c>
      <c r="S2915" s="7" t="s">
        <v>682</v>
      </c>
      <c r="T2915" s="9" t="s">
        <v>39</v>
      </c>
      <c r="U2915" s="7">
        <v>0.56999999999999995</v>
      </c>
      <c r="V2915" s="12">
        <f>C2915+2</f>
        <v>41168</v>
      </c>
      <c r="W2915">
        <f>IF(D2915=' Pivot Tables'!$A$4,1,0)</f>
        <v>0</v>
      </c>
      <c r="X2915">
        <f>IF(AND(LEFT(D2915,4)+1=LEFT(' Pivot Tables'!$A$4,4)+0,RIGHT(LEFT(D2915,7),2)=RIGHT(LEFT(' Pivot Tables'!$A$4,7),2)),1,0)</f>
        <v>0</v>
      </c>
      <c r="Y2915" s="6">
        <f>1/COUNTIF(Таблица1[Order ID],Таблица1[[#This Row],[Order ID]])</f>
        <v>0.33333333333333331</v>
      </c>
      <c r="Z2915" s="9">
        <f>1/COUNTIFS(Таблица1[Customer Name],Таблица1[[#This Row],[Customer Name]],Таблица1[Order-Year-Month],Таблица1[[#This Row],[Order-Year-Month]])</f>
        <v>0.33333333333333331</v>
      </c>
    </row>
    <row r="2916" spans="1:26" x14ac:dyDescent="0.2">
      <c r="A2916" s="6">
        <v>5999</v>
      </c>
      <c r="B2916" s="7">
        <v>42528</v>
      </c>
      <c r="C2916" s="8">
        <f>DATE(2012,12,31)-1042</f>
        <v>40232</v>
      </c>
      <c r="D2916" s="8" t="str">
        <f t="shared" si="55"/>
        <v>2010-02 (февраль 2010)</v>
      </c>
      <c r="E2916" s="9" t="s">
        <v>63</v>
      </c>
      <c r="F2916" s="7">
        <v>37</v>
      </c>
      <c r="G2916" s="7">
        <v>1356.45</v>
      </c>
      <c r="H2916" s="7">
        <v>0.02</v>
      </c>
      <c r="I2916" s="9" t="s">
        <v>22</v>
      </c>
      <c r="J2916" s="10">
        <v>47.65</v>
      </c>
      <c r="K2916" s="11">
        <v>35.44</v>
      </c>
      <c r="L2916" s="11">
        <v>19.989999999999998</v>
      </c>
      <c r="M2916" s="9" t="s">
        <v>1501</v>
      </c>
      <c r="N2916" s="6" t="s">
        <v>974</v>
      </c>
      <c r="O2916" s="6" t="s">
        <v>512</v>
      </c>
      <c r="P2916" s="9" t="s">
        <v>33</v>
      </c>
      <c r="Q2916" s="9" t="s">
        <v>26</v>
      </c>
      <c r="R2916" s="9" t="s">
        <v>61</v>
      </c>
      <c r="S2916" s="7" t="s">
        <v>1507</v>
      </c>
      <c r="T2916" s="9" t="s">
        <v>39</v>
      </c>
      <c r="U2916" s="7">
        <v>0.38</v>
      </c>
      <c r="V2916" s="12">
        <f>C2916+2</f>
        <v>40234</v>
      </c>
      <c r="W2916">
        <f>IF(D2916=' Pivot Tables'!$A$4,1,0)</f>
        <v>0</v>
      </c>
      <c r="X2916">
        <f>IF(AND(LEFT(D2916,4)+1=LEFT(' Pivot Tables'!$A$4,4)+0,RIGHT(LEFT(D2916,7),2)=RIGHT(LEFT(' Pivot Tables'!$A$4,7),2)),1,0)</f>
        <v>0</v>
      </c>
      <c r="Y2916" s="6">
        <f>1/COUNTIF(Таблица1[Order ID],Таблица1[[#This Row],[Order ID]])</f>
        <v>0.2</v>
      </c>
      <c r="Z2916" s="9">
        <f>1/COUNTIFS(Таблица1[Customer Name],Таблица1[[#This Row],[Customer Name]],Таблица1[Order-Year-Month],Таблица1[[#This Row],[Order-Year-Month]])</f>
        <v>0.2</v>
      </c>
    </row>
    <row r="2917" spans="1:26" x14ac:dyDescent="0.2">
      <c r="A2917" s="6">
        <v>6000</v>
      </c>
      <c r="B2917" s="7">
        <v>42528</v>
      </c>
      <c r="C2917" s="8">
        <f>DATE(2012,12,31)-1042</f>
        <v>40232</v>
      </c>
      <c r="D2917" s="8" t="str">
        <f t="shared" si="55"/>
        <v>2010-02 (февраль 2010)</v>
      </c>
      <c r="E2917" s="9" t="s">
        <v>63</v>
      </c>
      <c r="F2917" s="7">
        <v>13</v>
      </c>
      <c r="G2917" s="7">
        <v>250.75</v>
      </c>
      <c r="H2917" s="7">
        <v>0.02</v>
      </c>
      <c r="I2917" s="9" t="s">
        <v>22</v>
      </c>
      <c r="J2917" s="10">
        <v>-43.52</v>
      </c>
      <c r="K2917" s="11">
        <v>17.7</v>
      </c>
      <c r="L2917" s="11">
        <v>9.4700000000000006</v>
      </c>
      <c r="M2917" s="9" t="s">
        <v>1501</v>
      </c>
      <c r="N2917" s="6" t="s">
        <v>974</v>
      </c>
      <c r="O2917" s="6" t="s">
        <v>512</v>
      </c>
      <c r="P2917" s="9" t="s">
        <v>33</v>
      </c>
      <c r="Q2917" s="9" t="s">
        <v>26</v>
      </c>
      <c r="R2917" s="9" t="s">
        <v>27</v>
      </c>
      <c r="S2917" s="7" t="s">
        <v>1446</v>
      </c>
      <c r="T2917" s="9" t="s">
        <v>39</v>
      </c>
      <c r="U2917" s="7">
        <v>0.59</v>
      </c>
      <c r="V2917" s="12">
        <f>C2917+1</f>
        <v>40233</v>
      </c>
      <c r="W2917">
        <f>IF(D2917=' Pivot Tables'!$A$4,1,0)</f>
        <v>0</v>
      </c>
      <c r="X2917">
        <f>IF(AND(LEFT(D2917,4)+1=LEFT(' Pivot Tables'!$A$4,4)+0,RIGHT(LEFT(D2917,7),2)=RIGHT(LEFT(' Pivot Tables'!$A$4,7),2)),1,0)</f>
        <v>0</v>
      </c>
      <c r="Y2917" s="6">
        <f>1/COUNTIF(Таблица1[Order ID],Таблица1[[#This Row],[Order ID]])</f>
        <v>0.2</v>
      </c>
      <c r="Z2917" s="9">
        <f>1/COUNTIFS(Таблица1[Customer Name],Таблица1[[#This Row],[Customer Name]],Таблица1[Order-Year-Month],Таблица1[[#This Row],[Order-Year-Month]])</f>
        <v>0.2</v>
      </c>
    </row>
    <row r="2918" spans="1:26" x14ac:dyDescent="0.2">
      <c r="A2918" s="6">
        <v>6001</v>
      </c>
      <c r="B2918" s="7">
        <v>42528</v>
      </c>
      <c r="C2918" s="8">
        <f>DATE(2012,12,31)-1042</f>
        <v>40232</v>
      </c>
      <c r="D2918" s="8" t="str">
        <f t="shared" si="55"/>
        <v>2010-02 (февраль 2010)</v>
      </c>
      <c r="E2918" s="9" t="s">
        <v>63</v>
      </c>
      <c r="F2918" s="7">
        <v>31</v>
      </c>
      <c r="G2918" s="7">
        <v>313.05</v>
      </c>
      <c r="H2918" s="7">
        <v>0.02</v>
      </c>
      <c r="I2918" s="9" t="s">
        <v>56</v>
      </c>
      <c r="J2918" s="10">
        <v>81.87</v>
      </c>
      <c r="K2918" s="11">
        <v>9.7799999999999994</v>
      </c>
      <c r="L2918" s="11">
        <v>1.99</v>
      </c>
      <c r="M2918" s="9" t="s">
        <v>1501</v>
      </c>
      <c r="N2918" s="6" t="s">
        <v>974</v>
      </c>
      <c r="O2918" s="6" t="s">
        <v>512</v>
      </c>
      <c r="P2918" s="9" t="s">
        <v>33</v>
      </c>
      <c r="Q2918" s="9" t="s">
        <v>42</v>
      </c>
      <c r="R2918" s="9" t="s">
        <v>70</v>
      </c>
      <c r="S2918" s="7" t="s">
        <v>244</v>
      </c>
      <c r="T2918" s="9" t="s">
        <v>52</v>
      </c>
      <c r="U2918" s="7">
        <v>0.43</v>
      </c>
      <c r="V2918" s="12">
        <f>C2918+1</f>
        <v>40233</v>
      </c>
      <c r="W2918">
        <f>IF(D2918=' Pivot Tables'!$A$4,1,0)</f>
        <v>0</v>
      </c>
      <c r="X2918">
        <f>IF(AND(LEFT(D2918,4)+1=LEFT(' Pivot Tables'!$A$4,4)+0,RIGHT(LEFT(D2918,7),2)=RIGHT(LEFT(' Pivot Tables'!$A$4,7),2)),1,0)</f>
        <v>0</v>
      </c>
      <c r="Y2918" s="6">
        <f>1/COUNTIF(Таблица1[Order ID],Таблица1[[#This Row],[Order ID]])</f>
        <v>0.2</v>
      </c>
      <c r="Z2918" s="9">
        <f>1/COUNTIFS(Таблица1[Customer Name],Таблица1[[#This Row],[Customer Name]],Таблица1[Order-Year-Month],Таблица1[[#This Row],[Order-Year-Month]])</f>
        <v>0.2</v>
      </c>
    </row>
    <row r="2919" spans="1:26" x14ac:dyDescent="0.2">
      <c r="A2919" s="6">
        <v>6115</v>
      </c>
      <c r="B2919" s="7">
        <v>43302</v>
      </c>
      <c r="C2919" s="8">
        <f>DATE(2012,12,31)-496</f>
        <v>40778</v>
      </c>
      <c r="D2919" s="8" t="str">
        <f t="shared" si="55"/>
        <v>2011-08 (август 2011)</v>
      </c>
      <c r="E2919" s="9" t="s">
        <v>21</v>
      </c>
      <c r="F2919" s="7">
        <v>39</v>
      </c>
      <c r="G2919" s="7">
        <v>6888.6635000000006</v>
      </c>
      <c r="H2919" s="7">
        <v>0.03</v>
      </c>
      <c r="I2919" s="9" t="s">
        <v>22</v>
      </c>
      <c r="J2919" s="10">
        <v>1925.5770000000002</v>
      </c>
      <c r="K2919" s="11">
        <v>205.99</v>
      </c>
      <c r="L2919" s="11">
        <v>5</v>
      </c>
      <c r="M2919" s="9" t="s">
        <v>1484</v>
      </c>
      <c r="N2919" s="6" t="s">
        <v>974</v>
      </c>
      <c r="O2919" s="6" t="s">
        <v>512</v>
      </c>
      <c r="P2919" s="9" t="s">
        <v>41</v>
      </c>
      <c r="Q2919" s="9" t="s">
        <v>42</v>
      </c>
      <c r="R2919" s="9" t="s">
        <v>43</v>
      </c>
      <c r="S2919" s="7" t="s">
        <v>1318</v>
      </c>
      <c r="T2919" s="9" t="s">
        <v>39</v>
      </c>
      <c r="U2919" s="7">
        <v>0.59</v>
      </c>
      <c r="V2919" s="12">
        <f>C2919+7</f>
        <v>40785</v>
      </c>
      <c r="W2919">
        <f>IF(D2919=' Pivot Tables'!$A$4,1,0)</f>
        <v>0</v>
      </c>
      <c r="X2919">
        <f>IF(AND(LEFT(D2919,4)+1=LEFT(' Pivot Tables'!$A$4,4)+0,RIGHT(LEFT(D2919,7),2)=RIGHT(LEFT(' Pivot Tables'!$A$4,7),2)),1,0)</f>
        <v>0</v>
      </c>
      <c r="Y2919" s="6">
        <f>1/COUNTIF(Таблица1[Order ID],Таблица1[[#This Row],[Order ID]])</f>
        <v>0.33333333333333331</v>
      </c>
      <c r="Z2919" s="9">
        <f>1/COUNTIFS(Таблица1[Customer Name],Таблица1[[#This Row],[Customer Name]],Таблица1[Order-Year-Month],Таблица1[[#This Row],[Order-Year-Month]])</f>
        <v>0.33333333333333331</v>
      </c>
    </row>
    <row r="2920" spans="1:26" x14ac:dyDescent="0.2">
      <c r="A2920" s="6">
        <v>6180</v>
      </c>
      <c r="B2920" s="7">
        <v>43813</v>
      </c>
      <c r="C2920" s="8">
        <f>DATE(2012,12,31)-1259</f>
        <v>40015</v>
      </c>
      <c r="D2920" s="8" t="str">
        <f t="shared" si="55"/>
        <v>2009-07 (июль 2009)</v>
      </c>
      <c r="E2920" s="9" t="s">
        <v>45</v>
      </c>
      <c r="F2920" s="7">
        <v>23</v>
      </c>
      <c r="G2920" s="7">
        <v>384.21</v>
      </c>
      <c r="H2920" s="7">
        <v>0.04</v>
      </c>
      <c r="I2920" s="9" t="s">
        <v>22</v>
      </c>
      <c r="J2920" s="10">
        <v>-266.22000000000003</v>
      </c>
      <c r="K2920" s="11">
        <v>15.51</v>
      </c>
      <c r="L2920" s="11">
        <v>17.78</v>
      </c>
      <c r="M2920" s="9" t="s">
        <v>1457</v>
      </c>
      <c r="N2920" s="6" t="s">
        <v>974</v>
      </c>
      <c r="O2920" s="6" t="s">
        <v>512</v>
      </c>
      <c r="P2920" s="9" t="s">
        <v>41</v>
      </c>
      <c r="Q2920" s="9" t="s">
        <v>26</v>
      </c>
      <c r="R2920" s="9" t="s">
        <v>27</v>
      </c>
      <c r="S2920" s="7" t="s">
        <v>383</v>
      </c>
      <c r="T2920" s="9" t="s">
        <v>39</v>
      </c>
      <c r="U2920" s="7">
        <v>0.59</v>
      </c>
      <c r="V2920" s="12">
        <f>C2920+2</f>
        <v>40017</v>
      </c>
      <c r="W2920">
        <f>IF(D2920=' Pivot Tables'!$A$4,1,0)</f>
        <v>0</v>
      </c>
      <c r="X2920">
        <f>IF(AND(LEFT(D2920,4)+1=LEFT(' Pivot Tables'!$A$4,4)+0,RIGHT(LEFT(D2920,7),2)=RIGHT(LEFT(' Pivot Tables'!$A$4,7),2)),1,0)</f>
        <v>0</v>
      </c>
      <c r="Y2920" s="6">
        <f>1/COUNTIF(Таблица1[Order ID],Таблица1[[#This Row],[Order ID]])</f>
        <v>1</v>
      </c>
      <c r="Z2920" s="9">
        <f>1/COUNTIFS(Таблица1[Customer Name],Таблица1[[#This Row],[Customer Name]],Таблица1[Order-Year-Month],Таблица1[[#This Row],[Order-Year-Month]])</f>
        <v>0.5</v>
      </c>
    </row>
    <row r="2921" spans="1:26" x14ac:dyDescent="0.2">
      <c r="A2921" s="6">
        <v>6256</v>
      </c>
      <c r="B2921" s="7">
        <v>44292</v>
      </c>
      <c r="C2921" s="8">
        <f>DATE(2012,12,31)-566</f>
        <v>40708</v>
      </c>
      <c r="D2921" s="8" t="str">
        <f t="shared" si="55"/>
        <v>2011-06 (июнь 2011)</v>
      </c>
      <c r="E2921" s="9" t="s">
        <v>45</v>
      </c>
      <c r="F2921" s="7">
        <v>1</v>
      </c>
      <c r="G2921" s="7">
        <v>10.48</v>
      </c>
      <c r="H2921" s="7">
        <v>0</v>
      </c>
      <c r="I2921" s="9" t="s">
        <v>56</v>
      </c>
      <c r="J2921" s="10">
        <v>-3.78</v>
      </c>
      <c r="K2921" s="11">
        <v>5.18</v>
      </c>
      <c r="L2921" s="11">
        <v>2.04</v>
      </c>
      <c r="M2921" s="9" t="s">
        <v>598</v>
      </c>
      <c r="N2921" s="6" t="s">
        <v>974</v>
      </c>
      <c r="O2921" s="6" t="s">
        <v>512</v>
      </c>
      <c r="P2921" s="9" t="s">
        <v>41</v>
      </c>
      <c r="Q2921" s="9" t="s">
        <v>26</v>
      </c>
      <c r="R2921" s="9" t="s">
        <v>61</v>
      </c>
      <c r="S2921" s="7" t="s">
        <v>391</v>
      </c>
      <c r="T2921" s="9" t="s">
        <v>68</v>
      </c>
      <c r="U2921" s="7">
        <v>0.36</v>
      </c>
      <c r="V2921" s="12">
        <f>C2921+1</f>
        <v>40709</v>
      </c>
      <c r="W2921">
        <f>IF(D2921=' Pivot Tables'!$A$4,1,0)</f>
        <v>0</v>
      </c>
      <c r="X2921">
        <f>IF(AND(LEFT(D2921,4)+1=LEFT(' Pivot Tables'!$A$4,4)+0,RIGHT(LEFT(D2921,7),2)=RIGHT(LEFT(' Pivot Tables'!$A$4,7),2)),1,0)</f>
        <v>0</v>
      </c>
      <c r="Y2921" s="6">
        <f>1/COUNTIF(Таблица1[Order ID],Таблица1[[#This Row],[Order ID]])</f>
        <v>1</v>
      </c>
      <c r="Z2921" s="9">
        <f>1/COUNTIFS(Таблица1[Customer Name],Таблица1[[#This Row],[Customer Name]],Таблица1[Order-Year-Month],Таблица1[[#This Row],[Order-Year-Month]])</f>
        <v>1</v>
      </c>
    </row>
    <row r="2922" spans="1:26" x14ac:dyDescent="0.2">
      <c r="A2922" s="6">
        <v>6298</v>
      </c>
      <c r="B2922" s="7">
        <v>44583</v>
      </c>
      <c r="C2922" s="8">
        <f>DATE(2012,12,31)-1184</f>
        <v>40090</v>
      </c>
      <c r="D2922" s="8" t="str">
        <f t="shared" si="55"/>
        <v>2009-10 (октябрь 2009)</v>
      </c>
      <c r="E2922" s="9" t="s">
        <v>21</v>
      </c>
      <c r="F2922" s="7">
        <v>6</v>
      </c>
      <c r="G2922" s="7">
        <v>17.59</v>
      </c>
      <c r="H2922" s="7">
        <v>0.1</v>
      </c>
      <c r="I2922" s="9" t="s">
        <v>22</v>
      </c>
      <c r="J2922" s="10">
        <v>-19.739999999999998</v>
      </c>
      <c r="K2922" s="11">
        <v>2.2200000000000002</v>
      </c>
      <c r="L2922" s="11">
        <v>5</v>
      </c>
      <c r="M2922" s="9" t="s">
        <v>1533</v>
      </c>
      <c r="N2922" s="6" t="s">
        <v>974</v>
      </c>
      <c r="O2922" s="6" t="s">
        <v>512</v>
      </c>
      <c r="P2922" s="9" t="s">
        <v>41</v>
      </c>
      <c r="Q2922" s="9" t="s">
        <v>26</v>
      </c>
      <c r="R2922" s="9" t="s">
        <v>34</v>
      </c>
      <c r="S2922" s="7" t="s">
        <v>1352</v>
      </c>
      <c r="T2922" s="9" t="s">
        <v>39</v>
      </c>
      <c r="U2922" s="7">
        <v>0.55000000000000004</v>
      </c>
      <c r="V2922" s="12">
        <f>C2922+5</f>
        <v>40095</v>
      </c>
      <c r="W2922">
        <f>IF(D2922=' Pivot Tables'!$A$4,1,0)</f>
        <v>0</v>
      </c>
      <c r="X2922">
        <f>IF(AND(LEFT(D2922,4)+1=LEFT(' Pivot Tables'!$A$4,4)+0,RIGHT(LEFT(D2922,7),2)=RIGHT(LEFT(' Pivot Tables'!$A$4,7),2)),1,0)</f>
        <v>0</v>
      </c>
      <c r="Y2922" s="6">
        <f>1/COUNTIF(Таблица1[Order ID],Таблица1[[#This Row],[Order ID]])</f>
        <v>0.5</v>
      </c>
      <c r="Z2922" s="9">
        <f>1/COUNTIFS(Таблица1[Customer Name],Таблица1[[#This Row],[Customer Name]],Таблица1[Order-Year-Month],Таблица1[[#This Row],[Order-Year-Month]])</f>
        <v>0.5</v>
      </c>
    </row>
    <row r="2923" spans="1:26" x14ac:dyDescent="0.2">
      <c r="A2923" s="6">
        <v>6391</v>
      </c>
      <c r="B2923" s="7">
        <v>45381</v>
      </c>
      <c r="C2923" s="8">
        <f>DATE(2012,12,31)-498</f>
        <v>40776</v>
      </c>
      <c r="D2923" s="8" t="str">
        <f t="shared" si="55"/>
        <v>2011-08 (август 2011)</v>
      </c>
      <c r="E2923" s="9" t="s">
        <v>63</v>
      </c>
      <c r="F2923" s="7">
        <v>1</v>
      </c>
      <c r="G2923" s="7">
        <v>11.81</v>
      </c>
      <c r="H2923" s="7">
        <v>0.01</v>
      </c>
      <c r="I2923" s="9" t="s">
        <v>22</v>
      </c>
      <c r="J2923" s="10">
        <v>-7.95</v>
      </c>
      <c r="K2923" s="11">
        <v>5.89</v>
      </c>
      <c r="L2923" s="11">
        <v>5.57</v>
      </c>
      <c r="M2923" s="9" t="s">
        <v>1552</v>
      </c>
      <c r="N2923" s="6" t="s">
        <v>974</v>
      </c>
      <c r="O2923" s="6" t="s">
        <v>512</v>
      </c>
      <c r="P2923" s="9" t="s">
        <v>25</v>
      </c>
      <c r="Q2923" s="9" t="s">
        <v>49</v>
      </c>
      <c r="R2923" s="9" t="s">
        <v>50</v>
      </c>
      <c r="S2923" s="7" t="s">
        <v>467</v>
      </c>
      <c r="T2923" s="9" t="s">
        <v>39</v>
      </c>
      <c r="U2923" s="7">
        <v>0.41</v>
      </c>
      <c r="V2923" s="12">
        <f>C2923+2</f>
        <v>40778</v>
      </c>
      <c r="W2923">
        <f>IF(D2923=' Pivot Tables'!$A$4,1,0)</f>
        <v>0</v>
      </c>
      <c r="X2923">
        <f>IF(AND(LEFT(D2923,4)+1=LEFT(' Pivot Tables'!$A$4,4)+0,RIGHT(LEFT(D2923,7),2)=RIGHT(LEFT(' Pivot Tables'!$A$4,7),2)),1,0)</f>
        <v>0</v>
      </c>
      <c r="Y2923" s="6">
        <f>1/COUNTIF(Таблица1[Order ID],Таблица1[[#This Row],[Order ID]])</f>
        <v>0.33333333333333331</v>
      </c>
      <c r="Z2923" s="9">
        <f>1/COUNTIFS(Таблица1[Customer Name],Таблица1[[#This Row],[Customer Name]],Таблица1[Order-Year-Month],Таблица1[[#This Row],[Order-Year-Month]])</f>
        <v>0.33333333333333331</v>
      </c>
    </row>
    <row r="2924" spans="1:26" x14ac:dyDescent="0.2">
      <c r="A2924" s="6">
        <v>6543</v>
      </c>
      <c r="B2924" s="7">
        <v>46531</v>
      </c>
      <c r="C2924" s="8">
        <f>DATE(2012,12,31)-498</f>
        <v>40776</v>
      </c>
      <c r="D2924" s="8" t="str">
        <f t="shared" si="55"/>
        <v>2011-08 (август 2011)</v>
      </c>
      <c r="E2924" s="9" t="s">
        <v>21</v>
      </c>
      <c r="F2924" s="7">
        <v>39</v>
      </c>
      <c r="G2924" s="7">
        <v>4211</v>
      </c>
      <c r="H2924" s="7">
        <v>7.0000000000000007E-2</v>
      </c>
      <c r="I2924" s="9" t="s">
        <v>22</v>
      </c>
      <c r="J2924" s="10">
        <v>-270.57373200000001</v>
      </c>
      <c r="K2924" s="11">
        <v>111.96</v>
      </c>
      <c r="L2924" s="11">
        <v>69</v>
      </c>
      <c r="M2924" s="9" t="s">
        <v>1466</v>
      </c>
      <c r="N2924" s="6" t="s">
        <v>974</v>
      </c>
      <c r="O2924" s="6" t="s">
        <v>512</v>
      </c>
      <c r="P2924" s="9" t="s">
        <v>33</v>
      </c>
      <c r="Q2924" s="9" t="s">
        <v>49</v>
      </c>
      <c r="R2924" s="9" t="s">
        <v>83</v>
      </c>
      <c r="S2924" s="7" t="s">
        <v>1363</v>
      </c>
      <c r="T2924" s="9" t="s">
        <v>29</v>
      </c>
      <c r="U2924" s="7">
        <v>0.63</v>
      </c>
      <c r="V2924" s="12">
        <f>C2924+7</f>
        <v>40783</v>
      </c>
      <c r="W2924">
        <f>IF(D2924=' Pivot Tables'!$A$4,1,0)</f>
        <v>0</v>
      </c>
      <c r="X2924">
        <f>IF(AND(LEFT(D2924,4)+1=LEFT(' Pivot Tables'!$A$4,4)+0,RIGHT(LEFT(D2924,7),2)=RIGHT(LEFT(' Pivot Tables'!$A$4,7),2)),1,0)</f>
        <v>0</v>
      </c>
      <c r="Y2924" s="6">
        <f>1/COUNTIF(Таблица1[Order ID],Таблица1[[#This Row],[Order ID]])</f>
        <v>0.25</v>
      </c>
      <c r="Z2924" s="9">
        <f>1/COUNTIFS(Таблица1[Customer Name],Таблица1[[#This Row],[Customer Name]],Таблица1[Order-Year-Month],Таблица1[[#This Row],[Order-Year-Month]])</f>
        <v>0.25</v>
      </c>
    </row>
    <row r="2925" spans="1:26" x14ac:dyDescent="0.2">
      <c r="A2925" s="6">
        <v>6626</v>
      </c>
      <c r="B2925" s="7">
        <v>47136</v>
      </c>
      <c r="C2925" s="8">
        <f>DATE(2012,12,31)-707</f>
        <v>40567</v>
      </c>
      <c r="D2925" s="8" t="str">
        <f t="shared" si="55"/>
        <v>2011-01 (январь 2011)</v>
      </c>
      <c r="E2925" s="9" t="s">
        <v>63</v>
      </c>
      <c r="F2925" s="7">
        <v>18</v>
      </c>
      <c r="G2925" s="7">
        <v>89.99</v>
      </c>
      <c r="H2925" s="7">
        <v>0</v>
      </c>
      <c r="I2925" s="9" t="s">
        <v>22</v>
      </c>
      <c r="J2925" s="10">
        <v>18.954999999999998</v>
      </c>
      <c r="K2925" s="11">
        <v>4.82</v>
      </c>
      <c r="L2925" s="11">
        <v>1.49</v>
      </c>
      <c r="M2925" s="9" t="s">
        <v>1553</v>
      </c>
      <c r="N2925" s="6" t="s">
        <v>974</v>
      </c>
      <c r="O2925" s="6" t="s">
        <v>512</v>
      </c>
      <c r="P2925" s="9" t="s">
        <v>25</v>
      </c>
      <c r="Q2925" s="9" t="s">
        <v>26</v>
      </c>
      <c r="R2925" s="9" t="s">
        <v>37</v>
      </c>
      <c r="S2925" s="7" t="s">
        <v>961</v>
      </c>
      <c r="T2925" s="9" t="s">
        <v>39</v>
      </c>
      <c r="U2925" s="7">
        <v>0.36</v>
      </c>
      <c r="V2925" s="12">
        <f>C2925+2</f>
        <v>40569</v>
      </c>
      <c r="W2925">
        <f>IF(D2925=' Pivot Tables'!$A$4,1,0)</f>
        <v>0</v>
      </c>
      <c r="X2925">
        <f>IF(AND(LEFT(D2925,4)+1=LEFT(' Pivot Tables'!$A$4,4)+0,RIGHT(LEFT(D2925,7),2)=RIGHT(LEFT(' Pivot Tables'!$A$4,7),2)),1,0)</f>
        <v>0</v>
      </c>
      <c r="Y2925" s="6">
        <f>1/COUNTIF(Таблица1[Order ID],Таблица1[[#This Row],[Order ID]])</f>
        <v>1</v>
      </c>
      <c r="Z2925" s="9">
        <f>1/COUNTIFS(Таблица1[Customer Name],Таблица1[[#This Row],[Customer Name]],Таблица1[Order-Year-Month],Таблица1[[#This Row],[Order-Year-Month]])</f>
        <v>1</v>
      </c>
    </row>
    <row r="2926" spans="1:26" x14ac:dyDescent="0.2">
      <c r="A2926" s="6">
        <v>6711</v>
      </c>
      <c r="B2926" s="7">
        <v>47813</v>
      </c>
      <c r="C2926" s="8">
        <f>DATE(2012,12,31)-1222</f>
        <v>40052</v>
      </c>
      <c r="D2926" s="8" t="str">
        <f t="shared" si="55"/>
        <v>2009-08 (август 2009)</v>
      </c>
      <c r="E2926" s="9" t="s">
        <v>30</v>
      </c>
      <c r="F2926" s="7">
        <v>50</v>
      </c>
      <c r="G2926" s="7">
        <v>343</v>
      </c>
      <c r="H2926" s="7">
        <v>0</v>
      </c>
      <c r="I2926" s="9" t="s">
        <v>22</v>
      </c>
      <c r="J2926" s="10">
        <v>-76.94</v>
      </c>
      <c r="K2926" s="11">
        <v>6.68</v>
      </c>
      <c r="L2926" s="11">
        <v>5.66</v>
      </c>
      <c r="M2926" s="9" t="s">
        <v>1485</v>
      </c>
      <c r="N2926" s="6" t="s">
        <v>974</v>
      </c>
      <c r="O2926" s="6" t="s">
        <v>512</v>
      </c>
      <c r="P2926" s="9" t="s">
        <v>60</v>
      </c>
      <c r="Q2926" s="9" t="s">
        <v>26</v>
      </c>
      <c r="R2926" s="9" t="s">
        <v>61</v>
      </c>
      <c r="S2926" s="7" t="s">
        <v>860</v>
      </c>
      <c r="T2926" s="9" t="s">
        <v>39</v>
      </c>
      <c r="U2926" s="7">
        <v>0.37</v>
      </c>
      <c r="V2926" s="12">
        <f>C2926+2</f>
        <v>40054</v>
      </c>
      <c r="W2926">
        <f>IF(D2926=' Pivot Tables'!$A$4,1,0)</f>
        <v>0</v>
      </c>
      <c r="X2926">
        <f>IF(AND(LEFT(D2926,4)+1=LEFT(' Pivot Tables'!$A$4,4)+0,RIGHT(LEFT(D2926,7),2)=RIGHT(LEFT(' Pivot Tables'!$A$4,7),2)),1,0)</f>
        <v>0</v>
      </c>
      <c r="Y2926" s="6">
        <f>1/COUNTIF(Таблица1[Order ID],Таблица1[[#This Row],[Order ID]])</f>
        <v>1</v>
      </c>
      <c r="Z2926" s="9">
        <f>1/COUNTIFS(Таблица1[Customer Name],Таблица1[[#This Row],[Customer Name]],Таблица1[Order-Year-Month],Таблица1[[#This Row],[Order-Year-Month]])</f>
        <v>1</v>
      </c>
    </row>
    <row r="2927" spans="1:26" x14ac:dyDescent="0.2">
      <c r="A2927" s="6">
        <v>6778</v>
      </c>
      <c r="B2927" s="7">
        <v>48263</v>
      </c>
      <c r="C2927" s="8">
        <f>DATE(2012,12,31)-1028</f>
        <v>40246</v>
      </c>
      <c r="D2927" s="8" t="str">
        <f t="shared" si="55"/>
        <v>2010-03 (март 2010)</v>
      </c>
      <c r="E2927" s="9" t="s">
        <v>63</v>
      </c>
      <c r="F2927" s="7">
        <v>28</v>
      </c>
      <c r="G2927" s="7">
        <v>164.22</v>
      </c>
      <c r="H2927" s="7">
        <v>0.1</v>
      </c>
      <c r="I2927" s="9" t="s">
        <v>22</v>
      </c>
      <c r="J2927" s="10">
        <v>-124.72</v>
      </c>
      <c r="K2927" s="11">
        <v>5.98</v>
      </c>
      <c r="L2927" s="11">
        <v>7.5</v>
      </c>
      <c r="M2927" s="9" t="s">
        <v>1501</v>
      </c>
      <c r="N2927" s="6" t="s">
        <v>974</v>
      </c>
      <c r="O2927" s="6" t="s">
        <v>512</v>
      </c>
      <c r="P2927" s="9" t="s">
        <v>33</v>
      </c>
      <c r="Q2927" s="9" t="s">
        <v>26</v>
      </c>
      <c r="R2927" s="9" t="s">
        <v>61</v>
      </c>
      <c r="S2927" s="7" t="s">
        <v>579</v>
      </c>
      <c r="T2927" s="9" t="s">
        <v>39</v>
      </c>
      <c r="U2927" s="7">
        <v>0.4</v>
      </c>
      <c r="V2927" s="12">
        <f>C2927+1</f>
        <v>40247</v>
      </c>
      <c r="W2927">
        <f>IF(D2927=' Pivot Tables'!$A$4,1,0)</f>
        <v>0</v>
      </c>
      <c r="X2927">
        <f>IF(AND(LEFT(D2927,4)+1=LEFT(' Pivot Tables'!$A$4,4)+0,RIGHT(LEFT(D2927,7),2)=RIGHT(LEFT(' Pivot Tables'!$A$4,7),2)),1,0)</f>
        <v>0</v>
      </c>
      <c r="Y2927" s="6">
        <f>1/COUNTIF(Таблица1[Order ID],Таблица1[[#This Row],[Order ID]])</f>
        <v>0.5</v>
      </c>
      <c r="Z2927" s="9">
        <f>1/COUNTIFS(Таблица1[Customer Name],Таблица1[[#This Row],[Customer Name]],Таблица1[Order-Year-Month],Таблица1[[#This Row],[Order-Year-Month]])</f>
        <v>0.5</v>
      </c>
    </row>
    <row r="2928" spans="1:26" x14ac:dyDescent="0.2">
      <c r="A2928" s="6">
        <v>6805</v>
      </c>
      <c r="B2928" s="7">
        <v>48455</v>
      </c>
      <c r="C2928" s="8">
        <f>DATE(2012,12,31)-1308</f>
        <v>39966</v>
      </c>
      <c r="D2928" s="8" t="str">
        <f t="shared" si="55"/>
        <v>2009-06 (июнь 2009)</v>
      </c>
      <c r="E2928" s="9" t="s">
        <v>78</v>
      </c>
      <c r="F2928" s="7">
        <v>17</v>
      </c>
      <c r="G2928" s="7">
        <v>182.47</v>
      </c>
      <c r="H2928" s="7">
        <v>0.05</v>
      </c>
      <c r="I2928" s="9" t="s">
        <v>22</v>
      </c>
      <c r="J2928" s="10">
        <v>-3.18</v>
      </c>
      <c r="K2928" s="11">
        <v>10.98</v>
      </c>
      <c r="L2928" s="11">
        <v>3.37</v>
      </c>
      <c r="M2928" s="9" t="s">
        <v>1361</v>
      </c>
      <c r="N2928" s="6" t="s">
        <v>974</v>
      </c>
      <c r="O2928" s="6" t="s">
        <v>512</v>
      </c>
      <c r="P2928" s="9" t="s">
        <v>25</v>
      </c>
      <c r="Q2928" s="9" t="s">
        <v>26</v>
      </c>
      <c r="R2928" s="9" t="s">
        <v>150</v>
      </c>
      <c r="S2928" s="7" t="s">
        <v>465</v>
      </c>
      <c r="T2928" s="9" t="s">
        <v>52</v>
      </c>
      <c r="U2928" s="7">
        <v>0.56999999999999995</v>
      </c>
      <c r="V2928" s="12">
        <f>C2928+1</f>
        <v>39967</v>
      </c>
      <c r="W2928">
        <f>IF(D2928=' Pivot Tables'!$A$4,1,0)</f>
        <v>0</v>
      </c>
      <c r="X2928">
        <f>IF(AND(LEFT(D2928,4)+1=LEFT(' Pivot Tables'!$A$4,4)+0,RIGHT(LEFT(D2928,7),2)=RIGHT(LEFT(' Pivot Tables'!$A$4,7),2)),1,0)</f>
        <v>0</v>
      </c>
      <c r="Y2928" s="6">
        <f>1/COUNTIF(Таблица1[Order ID],Таблица1[[#This Row],[Order ID]])</f>
        <v>0.33333333333333331</v>
      </c>
      <c r="Z2928" s="9">
        <f>1/COUNTIFS(Таблица1[Customer Name],Таблица1[[#This Row],[Customer Name]],Таблица1[Order-Year-Month],Таблица1[[#This Row],[Order-Year-Month]])</f>
        <v>0.33333333333333331</v>
      </c>
    </row>
    <row r="2929" spans="1:26" x14ac:dyDescent="0.2">
      <c r="A2929" s="6">
        <v>6840</v>
      </c>
      <c r="B2929" s="7">
        <v>48706</v>
      </c>
      <c r="C2929" s="8">
        <f>DATE(2012,12,31)-62</f>
        <v>41212</v>
      </c>
      <c r="D2929" s="8" t="str">
        <f t="shared" si="55"/>
        <v>2012-10 (октябрь 2012)</v>
      </c>
      <c r="E2929" s="9" t="s">
        <v>21</v>
      </c>
      <c r="F2929" s="7">
        <v>18</v>
      </c>
      <c r="G2929" s="7">
        <v>132.78</v>
      </c>
      <c r="H2929" s="7">
        <v>0.09</v>
      </c>
      <c r="I2929" s="9" t="s">
        <v>22</v>
      </c>
      <c r="J2929" s="10">
        <v>-130.96</v>
      </c>
      <c r="K2929" s="11">
        <v>7.28</v>
      </c>
      <c r="L2929" s="11">
        <v>11.15</v>
      </c>
      <c r="M2929" s="9" t="s">
        <v>1530</v>
      </c>
      <c r="N2929" s="6" t="s">
        <v>974</v>
      </c>
      <c r="O2929" s="6" t="s">
        <v>512</v>
      </c>
      <c r="P2929" s="9" t="s">
        <v>25</v>
      </c>
      <c r="Q2929" s="9" t="s">
        <v>26</v>
      </c>
      <c r="R2929" s="9" t="s">
        <v>61</v>
      </c>
      <c r="S2929" s="7" t="s">
        <v>666</v>
      </c>
      <c r="T2929" s="9" t="s">
        <v>39</v>
      </c>
      <c r="U2929" s="7">
        <v>0.37</v>
      </c>
      <c r="V2929" s="12">
        <f>C2929+7</f>
        <v>41219</v>
      </c>
      <c r="W2929">
        <f>IF(D2929=' Pivot Tables'!$A$4,1,0)</f>
        <v>0</v>
      </c>
      <c r="X2929">
        <f>IF(AND(LEFT(D2929,4)+1=LEFT(' Pivot Tables'!$A$4,4)+0,RIGHT(LEFT(D2929,7),2)=RIGHT(LEFT(' Pivot Tables'!$A$4,7),2)),1,0)</f>
        <v>0</v>
      </c>
      <c r="Y2929" s="6">
        <f>1/COUNTIF(Таблица1[Order ID],Таблица1[[#This Row],[Order ID]])</f>
        <v>0.5</v>
      </c>
      <c r="Z2929" s="9">
        <f>1/COUNTIFS(Таблица1[Customer Name],Таблица1[[#This Row],[Customer Name]],Таблица1[Order-Year-Month],Таблица1[[#This Row],[Order-Year-Month]])</f>
        <v>0.5</v>
      </c>
    </row>
    <row r="2930" spans="1:26" x14ac:dyDescent="0.2">
      <c r="A2930" s="6">
        <v>6865</v>
      </c>
      <c r="B2930" s="7">
        <v>48929</v>
      </c>
      <c r="C2930" s="8">
        <f>DATE(2012,12,31)-1166</f>
        <v>40108</v>
      </c>
      <c r="D2930" s="8" t="str">
        <f t="shared" si="55"/>
        <v>2009-10 (октябрь 2009)</v>
      </c>
      <c r="E2930" s="9" t="s">
        <v>30</v>
      </c>
      <c r="F2930" s="7">
        <v>45</v>
      </c>
      <c r="G2930" s="7">
        <v>2096.6999999999998</v>
      </c>
      <c r="H2930" s="7">
        <v>0.03</v>
      </c>
      <c r="I2930" s="9" t="s">
        <v>22</v>
      </c>
      <c r="J2930" s="10">
        <v>939.67</v>
      </c>
      <c r="K2930" s="11">
        <v>47.9</v>
      </c>
      <c r="L2930" s="11">
        <v>5.86</v>
      </c>
      <c r="M2930" s="9" t="s">
        <v>1506</v>
      </c>
      <c r="N2930" s="6" t="s">
        <v>974</v>
      </c>
      <c r="O2930" s="6" t="s">
        <v>512</v>
      </c>
      <c r="P2930" s="9" t="s">
        <v>25</v>
      </c>
      <c r="Q2930" s="9" t="s">
        <v>26</v>
      </c>
      <c r="R2930" s="9" t="s">
        <v>61</v>
      </c>
      <c r="S2930" s="7" t="s">
        <v>841</v>
      </c>
      <c r="T2930" s="9" t="s">
        <v>39</v>
      </c>
      <c r="U2930" s="7">
        <v>0.37</v>
      </c>
      <c r="V2930" s="12">
        <f>C2930+3</f>
        <v>40111</v>
      </c>
      <c r="W2930">
        <f>IF(D2930=' Pivot Tables'!$A$4,1,0)</f>
        <v>0</v>
      </c>
      <c r="X2930">
        <f>IF(AND(LEFT(D2930,4)+1=LEFT(' Pivot Tables'!$A$4,4)+0,RIGHT(LEFT(D2930,7),2)=RIGHT(LEFT(' Pivot Tables'!$A$4,7),2)),1,0)</f>
        <v>0</v>
      </c>
      <c r="Y2930" s="6">
        <f>1/COUNTIF(Таблица1[Order ID],Таблица1[[#This Row],[Order ID]])</f>
        <v>0.5</v>
      </c>
      <c r="Z2930" s="9">
        <f>1/COUNTIFS(Таблица1[Customer Name],Таблица1[[#This Row],[Customer Name]],Таблица1[Order-Year-Month],Таблица1[[#This Row],[Order-Year-Month]])</f>
        <v>0.5</v>
      </c>
    </row>
    <row r="2931" spans="1:26" x14ac:dyDescent="0.2">
      <c r="A2931" s="6">
        <v>6873</v>
      </c>
      <c r="B2931" s="7">
        <v>48963</v>
      </c>
      <c r="C2931" s="8">
        <f>DATE(2012,12,31)-804</f>
        <v>40470</v>
      </c>
      <c r="D2931" s="8" t="str">
        <f t="shared" si="55"/>
        <v>2010-10 (октябрь 2010)</v>
      </c>
      <c r="E2931" s="9" t="s">
        <v>45</v>
      </c>
      <c r="F2931" s="7">
        <v>12</v>
      </c>
      <c r="G2931" s="7">
        <v>81.87</v>
      </c>
      <c r="H2931" s="7">
        <v>7.0000000000000007E-2</v>
      </c>
      <c r="I2931" s="9" t="s">
        <v>22</v>
      </c>
      <c r="J2931" s="10">
        <v>-31.14</v>
      </c>
      <c r="K2931" s="11">
        <v>6.48</v>
      </c>
      <c r="L2931" s="11">
        <v>5.94</v>
      </c>
      <c r="M2931" s="9" t="s">
        <v>1470</v>
      </c>
      <c r="N2931" s="6" t="s">
        <v>974</v>
      </c>
      <c r="O2931" s="6" t="s">
        <v>512</v>
      </c>
      <c r="P2931" s="9" t="s">
        <v>60</v>
      </c>
      <c r="Q2931" s="9" t="s">
        <v>26</v>
      </c>
      <c r="R2931" s="9" t="s">
        <v>61</v>
      </c>
      <c r="S2931" s="7" t="s">
        <v>994</v>
      </c>
      <c r="T2931" s="9" t="s">
        <v>39</v>
      </c>
      <c r="U2931" s="7">
        <v>0.37</v>
      </c>
      <c r="V2931" s="12">
        <f>C2931+2</f>
        <v>40472</v>
      </c>
      <c r="W2931">
        <f>IF(D2931=' Pivot Tables'!$A$4,1,0)</f>
        <v>0</v>
      </c>
      <c r="X2931">
        <f>IF(AND(LEFT(D2931,4)+1=LEFT(' Pivot Tables'!$A$4,4)+0,RIGHT(LEFT(D2931,7),2)=RIGHT(LEFT(' Pivot Tables'!$A$4,7),2)),1,0)</f>
        <v>0</v>
      </c>
      <c r="Y2931" s="6">
        <f>1/COUNTIF(Таблица1[Order ID],Таблица1[[#This Row],[Order ID]])</f>
        <v>1</v>
      </c>
      <c r="Z2931" s="9">
        <f>1/COUNTIFS(Таблица1[Customer Name],Таблица1[[#This Row],[Customer Name]],Таблица1[Order-Year-Month],Таблица1[[#This Row],[Order-Year-Month]])</f>
        <v>1</v>
      </c>
    </row>
    <row r="2932" spans="1:26" x14ac:dyDescent="0.2">
      <c r="A2932" s="6">
        <v>6909</v>
      </c>
      <c r="B2932" s="7">
        <v>49312</v>
      </c>
      <c r="C2932" s="8">
        <f>DATE(2012,12,31)-679</f>
        <v>40595</v>
      </c>
      <c r="D2932" s="8" t="str">
        <f t="shared" si="55"/>
        <v>2011-02 (февраль 2011)</v>
      </c>
      <c r="E2932" s="9" t="s">
        <v>78</v>
      </c>
      <c r="F2932" s="7">
        <v>30</v>
      </c>
      <c r="G2932" s="7">
        <v>164.41</v>
      </c>
      <c r="H2932" s="7">
        <v>0</v>
      </c>
      <c r="I2932" s="9" t="s">
        <v>22</v>
      </c>
      <c r="J2932" s="10">
        <v>-128.52000000000001</v>
      </c>
      <c r="K2932" s="11">
        <v>4.9800000000000004</v>
      </c>
      <c r="L2932" s="11">
        <v>7.54</v>
      </c>
      <c r="M2932" s="9" t="s">
        <v>1533</v>
      </c>
      <c r="N2932" s="6" t="s">
        <v>974</v>
      </c>
      <c r="O2932" s="6" t="s">
        <v>512</v>
      </c>
      <c r="P2932" s="9" t="s">
        <v>41</v>
      </c>
      <c r="Q2932" s="9" t="s">
        <v>26</v>
      </c>
      <c r="R2932" s="9" t="s">
        <v>61</v>
      </c>
      <c r="S2932" s="7" t="s">
        <v>1554</v>
      </c>
      <c r="T2932" s="9" t="s">
        <v>39</v>
      </c>
      <c r="U2932" s="7">
        <v>0.38</v>
      </c>
      <c r="V2932" s="12">
        <f>C2932+1</f>
        <v>40596</v>
      </c>
      <c r="W2932">
        <f>IF(D2932=' Pivot Tables'!$A$4,1,0)</f>
        <v>0</v>
      </c>
      <c r="X2932">
        <f>IF(AND(LEFT(D2932,4)+1=LEFT(' Pivot Tables'!$A$4,4)+0,RIGHT(LEFT(D2932,7),2)=RIGHT(LEFT(' Pivot Tables'!$A$4,7),2)),1,0)</f>
        <v>0</v>
      </c>
      <c r="Y2932" s="6">
        <f>1/COUNTIF(Таблица1[Order ID],Таблица1[[#This Row],[Order ID]])</f>
        <v>0.5</v>
      </c>
      <c r="Z2932" s="9">
        <f>1/COUNTIFS(Таблица1[Customer Name],Таблица1[[#This Row],[Customer Name]],Таблица1[Order-Year-Month],Таблица1[[#This Row],[Order-Year-Month]])</f>
        <v>0.5</v>
      </c>
    </row>
    <row r="2933" spans="1:26" x14ac:dyDescent="0.2">
      <c r="A2933" s="6">
        <v>6931</v>
      </c>
      <c r="B2933" s="7">
        <v>49472</v>
      </c>
      <c r="C2933" s="8">
        <f>DATE(2012,12,31)-899</f>
        <v>40375</v>
      </c>
      <c r="D2933" s="8" t="str">
        <f t="shared" si="55"/>
        <v>2010-07 (июль 2010)</v>
      </c>
      <c r="E2933" s="9" t="s">
        <v>21</v>
      </c>
      <c r="F2933" s="7">
        <v>15</v>
      </c>
      <c r="G2933" s="7">
        <v>144.13999999999999</v>
      </c>
      <c r="H2933" s="7">
        <v>0.05</v>
      </c>
      <c r="I2933" s="9" t="s">
        <v>22</v>
      </c>
      <c r="J2933" s="10">
        <v>12.09</v>
      </c>
      <c r="K2933" s="11">
        <v>9.7799999999999994</v>
      </c>
      <c r="L2933" s="11">
        <v>1.99</v>
      </c>
      <c r="M2933" s="9" t="s">
        <v>1555</v>
      </c>
      <c r="N2933" s="6" t="s">
        <v>974</v>
      </c>
      <c r="O2933" s="6" t="s">
        <v>512</v>
      </c>
      <c r="P2933" s="9" t="s">
        <v>25</v>
      </c>
      <c r="Q2933" s="9" t="s">
        <v>42</v>
      </c>
      <c r="R2933" s="9" t="s">
        <v>70</v>
      </c>
      <c r="S2933" s="7" t="s">
        <v>244</v>
      </c>
      <c r="T2933" s="9" t="s">
        <v>52</v>
      </c>
      <c r="U2933" s="7">
        <v>0.43</v>
      </c>
      <c r="V2933" s="12">
        <f>C2933+5</f>
        <v>40380</v>
      </c>
      <c r="W2933">
        <f>IF(D2933=' Pivot Tables'!$A$4,1,0)</f>
        <v>0</v>
      </c>
      <c r="X2933">
        <f>IF(AND(LEFT(D2933,4)+1=LEFT(' Pivot Tables'!$A$4,4)+0,RIGHT(LEFT(D2933,7),2)=RIGHT(LEFT(' Pivot Tables'!$A$4,7),2)),1,0)</f>
        <v>0</v>
      </c>
      <c r="Y2933" s="6">
        <f>1/COUNTIF(Таблица1[Order ID],Таблица1[[#This Row],[Order ID]])</f>
        <v>0.33333333333333331</v>
      </c>
      <c r="Z2933" s="9">
        <f>1/COUNTIFS(Таблица1[Customer Name],Таблица1[[#This Row],[Customer Name]],Таблица1[Order-Year-Month],Таблица1[[#This Row],[Order-Year-Month]])</f>
        <v>0.33333333333333331</v>
      </c>
    </row>
    <row r="2934" spans="1:26" x14ac:dyDescent="0.2">
      <c r="A2934" s="6">
        <v>6932</v>
      </c>
      <c r="B2934" s="7">
        <v>49472</v>
      </c>
      <c r="C2934" s="8">
        <f>DATE(2012,12,31)-899</f>
        <v>40375</v>
      </c>
      <c r="D2934" s="8" t="str">
        <f t="shared" si="55"/>
        <v>2010-07 (июль 2010)</v>
      </c>
      <c r="E2934" s="9" t="s">
        <v>21</v>
      </c>
      <c r="F2934" s="7">
        <v>9</v>
      </c>
      <c r="G2934" s="7">
        <v>30.65</v>
      </c>
      <c r="H2934" s="7">
        <v>0.03</v>
      </c>
      <c r="I2934" s="9" t="s">
        <v>22</v>
      </c>
      <c r="J2934" s="10">
        <v>8.0000000000000071E-2</v>
      </c>
      <c r="K2934" s="11">
        <v>3.29</v>
      </c>
      <c r="L2934" s="11">
        <v>1.35</v>
      </c>
      <c r="M2934" s="9" t="s">
        <v>1555</v>
      </c>
      <c r="N2934" s="6" t="s">
        <v>974</v>
      </c>
      <c r="O2934" s="6" t="s">
        <v>512</v>
      </c>
      <c r="P2934" s="9" t="s">
        <v>25</v>
      </c>
      <c r="Q2934" s="9" t="s">
        <v>26</v>
      </c>
      <c r="R2934" s="9" t="s">
        <v>66</v>
      </c>
      <c r="S2934" s="7" t="s">
        <v>464</v>
      </c>
      <c r="T2934" s="9" t="s">
        <v>68</v>
      </c>
      <c r="U2934" s="7">
        <v>0.4</v>
      </c>
      <c r="V2934" s="12">
        <f>C2934+4</f>
        <v>40379</v>
      </c>
      <c r="W2934">
        <f>IF(D2934=' Pivot Tables'!$A$4,1,0)</f>
        <v>0</v>
      </c>
      <c r="X2934">
        <f>IF(AND(LEFT(D2934,4)+1=LEFT(' Pivot Tables'!$A$4,4)+0,RIGHT(LEFT(D2934,7),2)=RIGHT(LEFT(' Pivot Tables'!$A$4,7),2)),1,0)</f>
        <v>0</v>
      </c>
      <c r="Y2934" s="6">
        <f>1/COUNTIF(Таблица1[Order ID],Таблица1[[#This Row],[Order ID]])</f>
        <v>0.33333333333333331</v>
      </c>
      <c r="Z2934" s="9">
        <f>1/COUNTIFS(Таблица1[Customer Name],Таблица1[[#This Row],[Customer Name]],Таблица1[Order-Year-Month],Таблица1[[#This Row],[Order-Year-Month]])</f>
        <v>0.33333333333333331</v>
      </c>
    </row>
    <row r="2935" spans="1:26" x14ac:dyDescent="0.2">
      <c r="A2935" s="6">
        <v>6981</v>
      </c>
      <c r="B2935" s="7">
        <v>49891</v>
      </c>
      <c r="C2935" s="8">
        <f>DATE(2012,12,31)-1206</f>
        <v>40068</v>
      </c>
      <c r="D2935" s="8" t="str">
        <f t="shared" si="55"/>
        <v>2009-09 (сентябрь 2009)</v>
      </c>
      <c r="E2935" s="9" t="s">
        <v>45</v>
      </c>
      <c r="F2935" s="7">
        <v>40</v>
      </c>
      <c r="G2935" s="7">
        <v>259.83</v>
      </c>
      <c r="H2935" s="7">
        <v>0</v>
      </c>
      <c r="I2935" s="9" t="s">
        <v>22</v>
      </c>
      <c r="J2935" s="10">
        <v>80.733000000000004</v>
      </c>
      <c r="K2935" s="11">
        <v>5.98</v>
      </c>
      <c r="L2935" s="11">
        <v>1.49</v>
      </c>
      <c r="M2935" s="9" t="s">
        <v>1556</v>
      </c>
      <c r="N2935" s="6" t="s">
        <v>974</v>
      </c>
      <c r="O2935" s="6" t="s">
        <v>512</v>
      </c>
      <c r="P2935" s="9" t="s">
        <v>33</v>
      </c>
      <c r="Q2935" s="9" t="s">
        <v>26</v>
      </c>
      <c r="R2935" s="9" t="s">
        <v>37</v>
      </c>
      <c r="S2935" s="7" t="s">
        <v>1351</v>
      </c>
      <c r="T2935" s="9" t="s">
        <v>39</v>
      </c>
      <c r="U2935" s="7">
        <v>0.39</v>
      </c>
      <c r="V2935" s="12">
        <f>C2935+2</f>
        <v>40070</v>
      </c>
      <c r="W2935">
        <f>IF(D2935=' Pivot Tables'!$A$4,1,0)</f>
        <v>0</v>
      </c>
      <c r="X2935">
        <f>IF(AND(LEFT(D2935,4)+1=LEFT(' Pivot Tables'!$A$4,4)+0,RIGHT(LEFT(D2935,7),2)=RIGHT(LEFT(' Pivot Tables'!$A$4,7),2)),1,0)</f>
        <v>0</v>
      </c>
      <c r="Y2935" s="6">
        <f>1/COUNTIF(Таблица1[Order ID],Таблица1[[#This Row],[Order ID]])</f>
        <v>0.5</v>
      </c>
      <c r="Z2935" s="9">
        <f>1/COUNTIFS(Таблица1[Customer Name],Таблица1[[#This Row],[Customer Name]],Таблица1[Order-Year-Month],Таблица1[[#This Row],[Order-Year-Month]])</f>
        <v>0.5</v>
      </c>
    </row>
    <row r="2936" spans="1:26" x14ac:dyDescent="0.2">
      <c r="A2936" s="6">
        <v>6995</v>
      </c>
      <c r="B2936" s="7">
        <v>49984</v>
      </c>
      <c r="C2936" s="8">
        <f>DATE(2012,12,31)-1330</f>
        <v>39944</v>
      </c>
      <c r="D2936" s="8" t="str">
        <f t="shared" si="55"/>
        <v>2009-05 (май 2009)</v>
      </c>
      <c r="E2936" s="9" t="s">
        <v>21</v>
      </c>
      <c r="F2936" s="7">
        <v>14</v>
      </c>
      <c r="G2936" s="7">
        <v>57.28</v>
      </c>
      <c r="H2936" s="7">
        <v>0.02</v>
      </c>
      <c r="I2936" s="9" t="s">
        <v>22</v>
      </c>
      <c r="J2936" s="10">
        <v>7.31</v>
      </c>
      <c r="K2936" s="11">
        <v>3.8</v>
      </c>
      <c r="L2936" s="11">
        <v>1.49</v>
      </c>
      <c r="M2936" s="9" t="s">
        <v>1506</v>
      </c>
      <c r="N2936" s="6" t="s">
        <v>974</v>
      </c>
      <c r="O2936" s="6" t="s">
        <v>512</v>
      </c>
      <c r="P2936" s="9" t="s">
        <v>25</v>
      </c>
      <c r="Q2936" s="9" t="s">
        <v>26</v>
      </c>
      <c r="R2936" s="9" t="s">
        <v>37</v>
      </c>
      <c r="S2936" s="7" t="s">
        <v>269</v>
      </c>
      <c r="T2936" s="9" t="s">
        <v>39</v>
      </c>
      <c r="U2936" s="7">
        <v>0.38</v>
      </c>
      <c r="V2936" s="12">
        <f>C2936+4</f>
        <v>39948</v>
      </c>
      <c r="W2936">
        <f>IF(D2936=' Pivot Tables'!$A$4,1,0)</f>
        <v>0</v>
      </c>
      <c r="X2936">
        <f>IF(AND(LEFT(D2936,4)+1=LEFT(' Pivot Tables'!$A$4,4)+0,RIGHT(LEFT(D2936,7),2)=RIGHT(LEFT(' Pivot Tables'!$A$4,7),2)),1,0)</f>
        <v>0</v>
      </c>
      <c r="Y2936" s="6">
        <f>1/COUNTIF(Таблица1[Order ID],Таблица1[[#This Row],[Order ID]])</f>
        <v>0.5</v>
      </c>
      <c r="Z2936" s="9">
        <f>1/COUNTIFS(Таблица1[Customer Name],Таблица1[[#This Row],[Customer Name]],Таблица1[Order-Year-Month],Таблица1[[#This Row],[Order-Year-Month]])</f>
        <v>0.33333333333333331</v>
      </c>
    </row>
    <row r="2937" spans="1:26" x14ac:dyDescent="0.2">
      <c r="A2937" s="6">
        <v>6996</v>
      </c>
      <c r="B2937" s="7">
        <v>49984</v>
      </c>
      <c r="C2937" s="8">
        <f>DATE(2012,12,31)-1330</f>
        <v>39944</v>
      </c>
      <c r="D2937" s="8" t="str">
        <f t="shared" si="55"/>
        <v>2009-05 (май 2009)</v>
      </c>
      <c r="E2937" s="9" t="s">
        <v>21</v>
      </c>
      <c r="F2937" s="7">
        <v>32</v>
      </c>
      <c r="G2937" s="7">
        <v>227.87</v>
      </c>
      <c r="H2937" s="7">
        <v>0.02</v>
      </c>
      <c r="I2937" s="9" t="s">
        <v>22</v>
      </c>
      <c r="J2937" s="10">
        <v>-130.61000000000001</v>
      </c>
      <c r="K2937" s="11">
        <v>6.48</v>
      </c>
      <c r="L2937" s="11">
        <v>8.4</v>
      </c>
      <c r="M2937" s="9" t="s">
        <v>1506</v>
      </c>
      <c r="N2937" s="6" t="s">
        <v>974</v>
      </c>
      <c r="O2937" s="6" t="s">
        <v>512</v>
      </c>
      <c r="P2937" s="9" t="s">
        <v>25</v>
      </c>
      <c r="Q2937" s="9" t="s">
        <v>26</v>
      </c>
      <c r="R2937" s="9" t="s">
        <v>61</v>
      </c>
      <c r="S2937" s="7" t="s">
        <v>1097</v>
      </c>
      <c r="T2937" s="9" t="s">
        <v>39</v>
      </c>
      <c r="U2937" s="7">
        <v>0.37</v>
      </c>
      <c r="V2937" s="12">
        <f>C2937+0</f>
        <v>39944</v>
      </c>
      <c r="W2937">
        <f>IF(D2937=' Pivot Tables'!$A$4,1,0)</f>
        <v>0</v>
      </c>
      <c r="X2937">
        <f>IF(AND(LEFT(D2937,4)+1=LEFT(' Pivot Tables'!$A$4,4)+0,RIGHT(LEFT(D2937,7),2)=RIGHT(LEFT(' Pivot Tables'!$A$4,7),2)),1,0)</f>
        <v>0</v>
      </c>
      <c r="Y2937" s="6">
        <f>1/COUNTIF(Таблица1[Order ID],Таблица1[[#This Row],[Order ID]])</f>
        <v>0.5</v>
      </c>
      <c r="Z2937" s="9">
        <f>1/COUNTIFS(Таблица1[Customer Name],Таблица1[[#This Row],[Customer Name]],Таблица1[Order-Year-Month],Таблица1[[#This Row],[Order-Year-Month]])</f>
        <v>0.33333333333333331</v>
      </c>
    </row>
    <row r="2938" spans="1:26" x14ac:dyDescent="0.2">
      <c r="A2938" s="6">
        <v>7074</v>
      </c>
      <c r="B2938" s="7">
        <v>50471</v>
      </c>
      <c r="C2938" s="8">
        <f>DATE(2012,12,31)-363</f>
        <v>40911</v>
      </c>
      <c r="D2938" s="8" t="str">
        <f t="shared" si="55"/>
        <v>2012-01 (январь 2012)</v>
      </c>
      <c r="E2938" s="9" t="s">
        <v>21</v>
      </c>
      <c r="F2938" s="7">
        <v>25</v>
      </c>
      <c r="G2938" s="7">
        <v>5859.25</v>
      </c>
      <c r="H2938" s="7">
        <v>0.02</v>
      </c>
      <c r="I2938" s="9" t="s">
        <v>31</v>
      </c>
      <c r="J2938" s="10">
        <v>1358.53</v>
      </c>
      <c r="K2938" s="11">
        <v>226.67</v>
      </c>
      <c r="L2938" s="11">
        <v>28.16</v>
      </c>
      <c r="M2938" s="9" t="s">
        <v>1553</v>
      </c>
      <c r="N2938" s="6" t="s">
        <v>974</v>
      </c>
      <c r="O2938" s="6" t="s">
        <v>512</v>
      </c>
      <c r="P2938" s="9" t="s">
        <v>41</v>
      </c>
      <c r="Q2938" s="9" t="s">
        <v>49</v>
      </c>
      <c r="R2938" s="9" t="s">
        <v>112</v>
      </c>
      <c r="S2938" s="7" t="s">
        <v>215</v>
      </c>
      <c r="T2938" s="9" t="s">
        <v>36</v>
      </c>
      <c r="U2938" s="7">
        <v>0.59</v>
      </c>
      <c r="V2938" s="12">
        <f>C2938+2</f>
        <v>40913</v>
      </c>
      <c r="W2938">
        <f>IF(D2938=' Pivot Tables'!$A$4,1,0)</f>
        <v>0</v>
      </c>
      <c r="X2938">
        <f>IF(AND(LEFT(D2938,4)+1=LEFT(' Pivot Tables'!$A$4,4)+0,RIGHT(LEFT(D2938,7),2)=RIGHT(LEFT(' Pivot Tables'!$A$4,7),2)),1,0)</f>
        <v>0</v>
      </c>
      <c r="Y2938" s="6">
        <f>1/COUNTIF(Таблица1[Order ID],Таблица1[[#This Row],[Order ID]])</f>
        <v>1</v>
      </c>
      <c r="Z2938" s="9">
        <f>1/COUNTIFS(Таблица1[Customer Name],Таблица1[[#This Row],[Customer Name]],Таблица1[Order-Year-Month],Таблица1[[#This Row],[Order-Year-Month]])</f>
        <v>1</v>
      </c>
    </row>
    <row r="2939" spans="1:26" x14ac:dyDescent="0.2">
      <c r="A2939" s="6">
        <v>7176</v>
      </c>
      <c r="B2939" s="7">
        <v>51203</v>
      </c>
      <c r="C2939" s="8">
        <f>DATE(2012,12,31)-376</f>
        <v>40898</v>
      </c>
      <c r="D2939" s="8" t="str">
        <f t="shared" si="55"/>
        <v>2011-12 (декабрь 2011)</v>
      </c>
      <c r="E2939" s="9" t="s">
        <v>30</v>
      </c>
      <c r="F2939" s="7">
        <v>49</v>
      </c>
      <c r="G2939" s="7">
        <v>26622.55</v>
      </c>
      <c r="H2939" s="7">
        <v>0.08</v>
      </c>
      <c r="I2939" s="9" t="s">
        <v>31</v>
      </c>
      <c r="J2939" s="10">
        <v>3146.2154999999998</v>
      </c>
      <c r="K2939" s="11">
        <v>550.98</v>
      </c>
      <c r="L2939" s="11">
        <v>45.7</v>
      </c>
      <c r="M2939" s="9" t="s">
        <v>1479</v>
      </c>
      <c r="N2939" s="6" t="s">
        <v>974</v>
      </c>
      <c r="O2939" s="6" t="s">
        <v>512</v>
      </c>
      <c r="P2939" s="9" t="s">
        <v>60</v>
      </c>
      <c r="Q2939" s="9" t="s">
        <v>49</v>
      </c>
      <c r="R2939" s="9" t="s">
        <v>83</v>
      </c>
      <c r="S2939" s="7" t="s">
        <v>1557</v>
      </c>
      <c r="T2939" s="9" t="s">
        <v>82</v>
      </c>
      <c r="U2939" s="7">
        <v>0.71</v>
      </c>
      <c r="V2939" s="12">
        <f>C2939+1</f>
        <v>40899</v>
      </c>
      <c r="W2939">
        <f>IF(D2939=' Pivot Tables'!$A$4,1,0)</f>
        <v>0</v>
      </c>
      <c r="X2939">
        <f>IF(AND(LEFT(D2939,4)+1=LEFT(' Pivot Tables'!$A$4,4)+0,RIGHT(LEFT(D2939,7),2)=RIGHT(LEFT(' Pivot Tables'!$A$4,7),2)),1,0)</f>
        <v>0</v>
      </c>
      <c r="Y2939" s="6">
        <f>1/COUNTIF(Таблица1[Order ID],Таблица1[[#This Row],[Order ID]])</f>
        <v>1</v>
      </c>
      <c r="Z2939" s="9">
        <f>1/COUNTIFS(Таблица1[Customer Name],Таблица1[[#This Row],[Customer Name]],Таблица1[Order-Year-Month],Таблица1[[#This Row],[Order-Year-Month]])</f>
        <v>0.33333333333333331</v>
      </c>
    </row>
    <row r="2940" spans="1:26" x14ac:dyDescent="0.2">
      <c r="A2940" s="6">
        <v>7179</v>
      </c>
      <c r="B2940" s="7">
        <v>51233</v>
      </c>
      <c r="C2940" s="8">
        <f>DATE(2012,12,31)-1118</f>
        <v>40156</v>
      </c>
      <c r="D2940" s="8" t="str">
        <f t="shared" si="55"/>
        <v>2009-12 (декабрь 2009)</v>
      </c>
      <c r="E2940" s="9" t="s">
        <v>21</v>
      </c>
      <c r="F2940" s="7">
        <v>3</v>
      </c>
      <c r="G2940" s="7">
        <v>26.5</v>
      </c>
      <c r="H2940" s="7">
        <v>0.05</v>
      </c>
      <c r="I2940" s="9" t="s">
        <v>22</v>
      </c>
      <c r="J2940" s="10">
        <v>20.12</v>
      </c>
      <c r="K2940" s="11">
        <v>7.59</v>
      </c>
      <c r="L2940" s="11">
        <v>4</v>
      </c>
      <c r="M2940" s="9" t="s">
        <v>1479</v>
      </c>
      <c r="N2940" s="6" t="s">
        <v>974</v>
      </c>
      <c r="O2940" s="6" t="s">
        <v>512</v>
      </c>
      <c r="P2940" s="9" t="s">
        <v>41</v>
      </c>
      <c r="Q2940" s="9" t="s">
        <v>49</v>
      </c>
      <c r="R2940" s="9" t="s">
        <v>50</v>
      </c>
      <c r="S2940" s="7" t="s">
        <v>504</v>
      </c>
      <c r="T2940" s="9" t="s">
        <v>68</v>
      </c>
      <c r="U2940" s="7">
        <v>0.42</v>
      </c>
      <c r="V2940" s="12">
        <f>C2940+0</f>
        <v>40156</v>
      </c>
      <c r="W2940">
        <f>IF(D2940=' Pivot Tables'!$A$4,1,0)</f>
        <v>0</v>
      </c>
      <c r="X2940">
        <f>IF(AND(LEFT(D2940,4)+1=LEFT(' Pivot Tables'!$A$4,4)+0,RIGHT(LEFT(D2940,7),2)=RIGHT(LEFT(' Pivot Tables'!$A$4,7),2)),1,0)</f>
        <v>0</v>
      </c>
      <c r="Y2940" s="6">
        <f>1/COUNTIF(Таблица1[Order ID],Таблица1[[#This Row],[Order ID]])</f>
        <v>1</v>
      </c>
      <c r="Z2940" s="9">
        <f>1/COUNTIFS(Таблица1[Customer Name],Таблица1[[#This Row],[Customer Name]],Таблица1[Order-Year-Month],Таблица1[[#This Row],[Order-Year-Month]])</f>
        <v>1</v>
      </c>
    </row>
    <row r="2941" spans="1:26" x14ac:dyDescent="0.2">
      <c r="A2941" s="6">
        <v>7322</v>
      </c>
      <c r="B2941" s="7">
        <v>52195</v>
      </c>
      <c r="C2941" s="8">
        <f>DATE(2012,12,31)-432</f>
        <v>40842</v>
      </c>
      <c r="D2941" s="8" t="str">
        <f t="shared" si="55"/>
        <v>2011-10 (октябрь 2011)</v>
      </c>
      <c r="E2941" s="9" t="s">
        <v>45</v>
      </c>
      <c r="F2941" s="7">
        <v>19</v>
      </c>
      <c r="G2941" s="7">
        <v>267</v>
      </c>
      <c r="H2941" s="7">
        <v>0.09</v>
      </c>
      <c r="I2941" s="9" t="s">
        <v>22</v>
      </c>
      <c r="J2941" s="10">
        <v>-2.8289999999999997</v>
      </c>
      <c r="K2941" s="11">
        <v>14.45</v>
      </c>
      <c r="L2941" s="11">
        <v>7.17</v>
      </c>
      <c r="M2941" s="9" t="s">
        <v>1523</v>
      </c>
      <c r="N2941" s="6" t="s">
        <v>974</v>
      </c>
      <c r="O2941" s="6" t="s">
        <v>512</v>
      </c>
      <c r="P2941" s="9" t="s">
        <v>25</v>
      </c>
      <c r="Q2941" s="9" t="s">
        <v>26</v>
      </c>
      <c r="R2941" s="9" t="s">
        <v>37</v>
      </c>
      <c r="S2941" s="7" t="s">
        <v>1125</v>
      </c>
      <c r="T2941" s="9" t="s">
        <v>39</v>
      </c>
      <c r="U2941" s="7">
        <v>0.38</v>
      </c>
      <c r="V2941" s="12">
        <f>C2941+1</f>
        <v>40843</v>
      </c>
      <c r="W2941">
        <f>IF(D2941=' Pivot Tables'!$A$4,1,0)</f>
        <v>0</v>
      </c>
      <c r="X2941">
        <f>IF(AND(LEFT(D2941,4)+1=LEFT(' Pivot Tables'!$A$4,4)+0,RIGHT(LEFT(D2941,7),2)=RIGHT(LEFT(' Pivot Tables'!$A$4,7),2)),1,0)</f>
        <v>0</v>
      </c>
      <c r="Y2941" s="6">
        <f>1/COUNTIF(Таблица1[Order ID],Таблица1[[#This Row],[Order ID]])</f>
        <v>1</v>
      </c>
      <c r="Z2941" s="9">
        <f>1/COUNTIFS(Таблица1[Customer Name],Таблица1[[#This Row],[Customer Name]],Таблица1[Order-Year-Month],Таблица1[[#This Row],[Order-Year-Month]])</f>
        <v>1</v>
      </c>
    </row>
    <row r="2942" spans="1:26" x14ac:dyDescent="0.2">
      <c r="A2942" s="6">
        <v>7445</v>
      </c>
      <c r="B2942" s="7">
        <v>53123</v>
      </c>
      <c r="C2942" s="8">
        <f>DATE(2012,12,31)-1218</f>
        <v>40056</v>
      </c>
      <c r="D2942" s="8" t="str">
        <f t="shared" si="55"/>
        <v>2009-08 (август 2009)</v>
      </c>
      <c r="E2942" s="9" t="s">
        <v>45</v>
      </c>
      <c r="F2942" s="7">
        <v>25</v>
      </c>
      <c r="G2942" s="7">
        <v>265.75</v>
      </c>
      <c r="H2942" s="7">
        <v>0.06</v>
      </c>
      <c r="I2942" s="9" t="s">
        <v>22</v>
      </c>
      <c r="J2942" s="10">
        <v>13.999499999999999</v>
      </c>
      <c r="K2942" s="11">
        <v>10.98</v>
      </c>
      <c r="L2942" s="11">
        <v>5.14</v>
      </c>
      <c r="M2942" s="9" t="s">
        <v>1558</v>
      </c>
      <c r="N2942" s="6" t="s">
        <v>974</v>
      </c>
      <c r="O2942" s="6" t="s">
        <v>512</v>
      </c>
      <c r="P2942" s="9" t="s">
        <v>41</v>
      </c>
      <c r="Q2942" s="9" t="s">
        <v>26</v>
      </c>
      <c r="R2942" s="9" t="s">
        <v>37</v>
      </c>
      <c r="S2942" s="7" t="s">
        <v>656</v>
      </c>
      <c r="T2942" s="9" t="s">
        <v>39</v>
      </c>
      <c r="U2942" s="7">
        <v>0.36</v>
      </c>
      <c r="V2942" s="12">
        <f>C2942+2</f>
        <v>40058</v>
      </c>
      <c r="W2942">
        <f>IF(D2942=' Pivot Tables'!$A$4,1,0)</f>
        <v>0</v>
      </c>
      <c r="X2942">
        <f>IF(AND(LEFT(D2942,4)+1=LEFT(' Pivot Tables'!$A$4,4)+0,RIGHT(LEFT(D2942,7),2)=RIGHT(LEFT(' Pivot Tables'!$A$4,7),2)),1,0)</f>
        <v>0</v>
      </c>
      <c r="Y2942" s="6">
        <f>1/COUNTIF(Таблица1[Order ID],Таблица1[[#This Row],[Order ID]])</f>
        <v>1</v>
      </c>
      <c r="Z2942" s="9">
        <f>1/COUNTIFS(Таблица1[Customer Name],Таблица1[[#This Row],[Customer Name]],Таблица1[Order-Year-Month],Таблица1[[#This Row],[Order-Year-Month]])</f>
        <v>1</v>
      </c>
    </row>
    <row r="2943" spans="1:26" x14ac:dyDescent="0.2">
      <c r="A2943" s="6">
        <v>7622</v>
      </c>
      <c r="B2943" s="7">
        <v>54533</v>
      </c>
      <c r="C2943" s="8">
        <f>DATE(2012,12,31)-379</f>
        <v>40895</v>
      </c>
      <c r="D2943" s="8" t="str">
        <f t="shared" si="55"/>
        <v>2011-12 (декабрь 2011)</v>
      </c>
      <c r="E2943" s="9" t="s">
        <v>63</v>
      </c>
      <c r="F2943" s="7">
        <v>21</v>
      </c>
      <c r="G2943" s="7">
        <v>162.25</v>
      </c>
      <c r="H2943" s="7">
        <v>0.03</v>
      </c>
      <c r="I2943" s="9" t="s">
        <v>22</v>
      </c>
      <c r="J2943" s="10">
        <v>-42.722499999999997</v>
      </c>
      <c r="K2943" s="11">
        <v>7.1</v>
      </c>
      <c r="L2943" s="11">
        <v>6.05</v>
      </c>
      <c r="M2943" s="9" t="s">
        <v>1559</v>
      </c>
      <c r="N2943" s="6" t="s">
        <v>974</v>
      </c>
      <c r="O2943" s="6" t="s">
        <v>512</v>
      </c>
      <c r="P2943" s="9" t="s">
        <v>41</v>
      </c>
      <c r="Q2943" s="9" t="s">
        <v>26</v>
      </c>
      <c r="R2943" s="9" t="s">
        <v>37</v>
      </c>
      <c r="S2943" s="7" t="s">
        <v>435</v>
      </c>
      <c r="T2943" s="9" t="s">
        <v>39</v>
      </c>
      <c r="U2943" s="7">
        <v>0.39</v>
      </c>
      <c r="V2943" s="12">
        <f>C2943+1</f>
        <v>40896</v>
      </c>
      <c r="W2943">
        <f>IF(D2943=' Pivot Tables'!$A$4,1,0)</f>
        <v>0</v>
      </c>
      <c r="X2943">
        <f>IF(AND(LEFT(D2943,4)+1=LEFT(' Pivot Tables'!$A$4,4)+0,RIGHT(LEFT(D2943,7),2)=RIGHT(LEFT(' Pivot Tables'!$A$4,7),2)),1,0)</f>
        <v>0</v>
      </c>
      <c r="Y2943" s="6">
        <f>1/COUNTIF(Таблица1[Order ID],Таблица1[[#This Row],[Order ID]])</f>
        <v>1</v>
      </c>
      <c r="Z2943" s="9">
        <f>1/COUNTIFS(Таблица1[Customer Name],Таблица1[[#This Row],[Customer Name]],Таблица1[Order-Year-Month],Таблица1[[#This Row],[Order-Year-Month]])</f>
        <v>1</v>
      </c>
    </row>
    <row r="2944" spans="1:26" x14ac:dyDescent="0.2">
      <c r="A2944" s="6">
        <v>7691</v>
      </c>
      <c r="B2944" s="7">
        <v>55139</v>
      </c>
      <c r="C2944" s="8">
        <f>DATE(2012,12,31)-1079</f>
        <v>40195</v>
      </c>
      <c r="D2944" s="8" t="str">
        <f t="shared" si="55"/>
        <v>2010-01 (январь 2010)</v>
      </c>
      <c r="E2944" s="9" t="s">
        <v>45</v>
      </c>
      <c r="F2944" s="7">
        <v>26</v>
      </c>
      <c r="G2944" s="7">
        <v>85.71</v>
      </c>
      <c r="H2944" s="7">
        <v>0.08</v>
      </c>
      <c r="I2944" s="9" t="s">
        <v>22</v>
      </c>
      <c r="J2944" s="10">
        <v>9.32</v>
      </c>
      <c r="K2944" s="11">
        <v>3.28</v>
      </c>
      <c r="L2944" s="11">
        <v>0.98</v>
      </c>
      <c r="M2944" s="9" t="s">
        <v>1560</v>
      </c>
      <c r="N2944" s="6" t="s">
        <v>974</v>
      </c>
      <c r="O2944" s="6" t="s">
        <v>512</v>
      </c>
      <c r="P2944" s="9" t="s">
        <v>25</v>
      </c>
      <c r="Q2944" s="9" t="s">
        <v>26</v>
      </c>
      <c r="R2944" s="9" t="s">
        <v>95</v>
      </c>
      <c r="S2944" s="7" t="s">
        <v>1561</v>
      </c>
      <c r="T2944" s="9" t="s">
        <v>68</v>
      </c>
      <c r="U2944" s="7">
        <v>0.52</v>
      </c>
      <c r="V2944" s="12">
        <f>C2944+1</f>
        <v>40196</v>
      </c>
      <c r="W2944">
        <f>IF(D2944=' Pivot Tables'!$A$4,1,0)</f>
        <v>1</v>
      </c>
      <c r="X2944">
        <f>IF(AND(LEFT(D2944,4)+1=LEFT(' Pivot Tables'!$A$4,4)+0,RIGHT(LEFT(D2944,7),2)=RIGHT(LEFT(' Pivot Tables'!$A$4,7),2)),1,0)</f>
        <v>0</v>
      </c>
      <c r="Y2944" s="6">
        <f>1/COUNTIF(Таблица1[Order ID],Таблица1[[#This Row],[Order ID]])</f>
        <v>0.5</v>
      </c>
      <c r="Z2944" s="9">
        <f>1/COUNTIFS(Таблица1[Customer Name],Таблица1[[#This Row],[Customer Name]],Таблица1[Order-Year-Month],Таблица1[[#This Row],[Order-Year-Month]])</f>
        <v>0.5</v>
      </c>
    </row>
    <row r="2945" spans="1:26" x14ac:dyDescent="0.2">
      <c r="A2945" s="6">
        <v>7734</v>
      </c>
      <c r="B2945" s="7">
        <v>55392</v>
      </c>
      <c r="C2945" s="8">
        <f>DATE(2012,12,31)-1304</f>
        <v>39970</v>
      </c>
      <c r="D2945" s="8" t="str">
        <f t="shared" si="55"/>
        <v>2009-06 (июнь 2009)</v>
      </c>
      <c r="E2945" s="9" t="s">
        <v>78</v>
      </c>
      <c r="F2945" s="7">
        <v>39</v>
      </c>
      <c r="G2945" s="7">
        <v>104.97</v>
      </c>
      <c r="H2945" s="7">
        <v>7.0000000000000007E-2</v>
      </c>
      <c r="I2945" s="9" t="s">
        <v>22</v>
      </c>
      <c r="J2945" s="10">
        <v>3.21</v>
      </c>
      <c r="K2945" s="11">
        <v>2.84</v>
      </c>
      <c r="L2945" s="11">
        <v>0.93</v>
      </c>
      <c r="M2945" s="9" t="s">
        <v>1488</v>
      </c>
      <c r="N2945" s="6" t="s">
        <v>974</v>
      </c>
      <c r="O2945" s="6" t="s">
        <v>512</v>
      </c>
      <c r="P2945" s="9" t="s">
        <v>33</v>
      </c>
      <c r="Q2945" s="9" t="s">
        <v>26</v>
      </c>
      <c r="R2945" s="9" t="s">
        <v>95</v>
      </c>
      <c r="S2945" s="7" t="s">
        <v>98</v>
      </c>
      <c r="T2945" s="9" t="s">
        <v>68</v>
      </c>
      <c r="U2945" s="7">
        <v>0.54</v>
      </c>
      <c r="V2945" s="12">
        <f>C2945+2</f>
        <v>39972</v>
      </c>
      <c r="W2945">
        <f>IF(D2945=' Pivot Tables'!$A$4,1,0)</f>
        <v>0</v>
      </c>
      <c r="X2945">
        <f>IF(AND(LEFT(D2945,4)+1=LEFT(' Pivot Tables'!$A$4,4)+0,RIGHT(LEFT(D2945,7),2)=RIGHT(LEFT(' Pivot Tables'!$A$4,7),2)),1,0)</f>
        <v>0</v>
      </c>
      <c r="Y2945" s="6">
        <f>1/COUNTIF(Таблица1[Order ID],Таблица1[[#This Row],[Order ID]])</f>
        <v>0.5</v>
      </c>
      <c r="Z2945" s="9">
        <f>1/COUNTIFS(Таблица1[Customer Name],Таблица1[[#This Row],[Customer Name]],Таблица1[Order-Year-Month],Таблица1[[#This Row],[Order-Year-Month]])</f>
        <v>0.2</v>
      </c>
    </row>
    <row r="2946" spans="1:26" x14ac:dyDescent="0.2">
      <c r="A2946" s="6">
        <v>7768</v>
      </c>
      <c r="B2946" s="7">
        <v>55616</v>
      </c>
      <c r="C2946" s="8">
        <f>DATE(2012,12,31)-603</f>
        <v>40671</v>
      </c>
      <c r="D2946" s="8" t="str">
        <f t="shared" si="55"/>
        <v>2011-05 (май 2011)</v>
      </c>
      <c r="E2946" s="9" t="s">
        <v>30</v>
      </c>
      <c r="F2946" s="7">
        <v>29</v>
      </c>
      <c r="G2946" s="7">
        <v>184.74</v>
      </c>
      <c r="H2946" s="7">
        <v>0</v>
      </c>
      <c r="I2946" s="9" t="s">
        <v>22</v>
      </c>
      <c r="J2946" s="10">
        <v>-102.25</v>
      </c>
      <c r="K2946" s="11">
        <v>5.98</v>
      </c>
      <c r="L2946" s="11">
        <v>4.38</v>
      </c>
      <c r="M2946" s="9" t="s">
        <v>1562</v>
      </c>
      <c r="N2946" s="6" t="s">
        <v>974</v>
      </c>
      <c r="O2946" s="6" t="s">
        <v>512</v>
      </c>
      <c r="P2946" s="9" t="s">
        <v>33</v>
      </c>
      <c r="Q2946" s="9" t="s">
        <v>42</v>
      </c>
      <c r="R2946" s="9" t="s">
        <v>70</v>
      </c>
      <c r="S2946" s="7" t="s">
        <v>104</v>
      </c>
      <c r="T2946" s="9" t="s">
        <v>52</v>
      </c>
      <c r="U2946" s="7">
        <v>0.75</v>
      </c>
      <c r="V2946" s="12">
        <f>C2946+1</f>
        <v>40672</v>
      </c>
      <c r="W2946">
        <f>IF(D2946=' Pivot Tables'!$A$4,1,0)</f>
        <v>0</v>
      </c>
      <c r="X2946">
        <f>IF(AND(LEFT(D2946,4)+1=LEFT(' Pivot Tables'!$A$4,4)+0,RIGHT(LEFT(D2946,7),2)=RIGHT(LEFT(' Pivot Tables'!$A$4,7),2)),1,0)</f>
        <v>0</v>
      </c>
      <c r="Y2946" s="6">
        <f>1/COUNTIF(Таблица1[Order ID],Таблица1[[#This Row],[Order ID]])</f>
        <v>0.5</v>
      </c>
      <c r="Z2946" s="9">
        <f>1/COUNTIFS(Таблица1[Customer Name],Таблица1[[#This Row],[Customer Name]],Таблица1[Order-Year-Month],Таблица1[[#This Row],[Order-Year-Month]])</f>
        <v>0.5</v>
      </c>
    </row>
    <row r="2947" spans="1:26" x14ac:dyDescent="0.2">
      <c r="A2947" s="6">
        <v>7822</v>
      </c>
      <c r="B2947" s="7">
        <v>55909</v>
      </c>
      <c r="C2947" s="8">
        <f>DATE(2012,12,31)-1322</f>
        <v>39952</v>
      </c>
      <c r="D2947" s="8" t="str">
        <f t="shared" ref="D2947:D3010" si="56">TEXT(C2947,"гггг-ММ (ММММ гггг)")</f>
        <v>2009-05 (май 2009)</v>
      </c>
      <c r="E2947" s="9" t="s">
        <v>21</v>
      </c>
      <c r="F2947" s="7">
        <v>3</v>
      </c>
      <c r="G2947" s="7">
        <v>526.76</v>
      </c>
      <c r="H2947" s="7">
        <v>7.0000000000000007E-2</v>
      </c>
      <c r="I2947" s="9" t="s">
        <v>22</v>
      </c>
      <c r="J2947" s="10">
        <v>-93.828500000000005</v>
      </c>
      <c r="K2947" s="11">
        <v>172.99</v>
      </c>
      <c r="L2947" s="11">
        <v>19.989999999999998</v>
      </c>
      <c r="M2947" s="9" t="s">
        <v>1563</v>
      </c>
      <c r="N2947" s="6" t="s">
        <v>974</v>
      </c>
      <c r="O2947" s="6" t="s">
        <v>512</v>
      </c>
      <c r="P2947" s="9" t="s">
        <v>60</v>
      </c>
      <c r="Q2947" s="9" t="s">
        <v>26</v>
      </c>
      <c r="R2947" s="9" t="s">
        <v>37</v>
      </c>
      <c r="S2947" s="7" t="s">
        <v>616</v>
      </c>
      <c r="T2947" s="9" t="s">
        <v>39</v>
      </c>
      <c r="U2947" s="7">
        <v>0.39</v>
      </c>
      <c r="V2947" s="12">
        <f>C2947+4</f>
        <v>39956</v>
      </c>
      <c r="W2947">
        <f>IF(D2947=' Pivot Tables'!$A$4,1,0)</f>
        <v>0</v>
      </c>
      <c r="X2947">
        <f>IF(AND(LEFT(D2947,4)+1=LEFT(' Pivot Tables'!$A$4,4)+0,RIGHT(LEFT(D2947,7),2)=RIGHT(LEFT(' Pivot Tables'!$A$4,7),2)),1,0)</f>
        <v>0</v>
      </c>
      <c r="Y2947" s="6">
        <f>1/COUNTIF(Таблица1[Order ID],Таблица1[[#This Row],[Order ID]])</f>
        <v>0.5</v>
      </c>
      <c r="Z2947" s="9">
        <f>1/COUNTIFS(Таблица1[Customer Name],Таблица1[[#This Row],[Customer Name]],Таблица1[Order-Year-Month],Таблица1[[#This Row],[Order-Year-Month]])</f>
        <v>0.5</v>
      </c>
    </row>
    <row r="2948" spans="1:26" x14ac:dyDescent="0.2">
      <c r="A2948" s="6">
        <v>7826</v>
      </c>
      <c r="B2948" s="7">
        <v>55938</v>
      </c>
      <c r="C2948" s="8">
        <f>DATE(2012,12,31)-182</f>
        <v>41092</v>
      </c>
      <c r="D2948" s="8" t="str">
        <f t="shared" si="56"/>
        <v>2012-07 (июль 2012)</v>
      </c>
      <c r="E2948" s="9" t="s">
        <v>45</v>
      </c>
      <c r="F2948" s="7">
        <v>18</v>
      </c>
      <c r="G2948" s="7">
        <v>1769.9</v>
      </c>
      <c r="H2948" s="7">
        <v>0.05</v>
      </c>
      <c r="I2948" s="9" t="s">
        <v>56</v>
      </c>
      <c r="J2948" s="10">
        <v>-468.89</v>
      </c>
      <c r="K2948" s="11">
        <v>95.99</v>
      </c>
      <c r="L2948" s="11">
        <v>35</v>
      </c>
      <c r="M2948" s="9" t="s">
        <v>1547</v>
      </c>
      <c r="N2948" s="6" t="s">
        <v>974</v>
      </c>
      <c r="O2948" s="6" t="s">
        <v>512</v>
      </c>
      <c r="P2948" s="9" t="s">
        <v>25</v>
      </c>
      <c r="Q2948" s="9" t="s">
        <v>26</v>
      </c>
      <c r="R2948" s="9" t="s">
        <v>27</v>
      </c>
      <c r="S2948" s="7" t="s">
        <v>1411</v>
      </c>
      <c r="T2948" s="9" t="s">
        <v>29</v>
      </c>
      <c r="U2948" s="7"/>
      <c r="V2948" s="12">
        <f>C2948+1</f>
        <v>41093</v>
      </c>
      <c r="W2948">
        <f>IF(D2948=' Pivot Tables'!$A$4,1,0)</f>
        <v>0</v>
      </c>
      <c r="X2948">
        <f>IF(AND(LEFT(D2948,4)+1=LEFT(' Pivot Tables'!$A$4,4)+0,RIGHT(LEFT(D2948,7),2)=RIGHT(LEFT(' Pivot Tables'!$A$4,7),2)),1,0)</f>
        <v>0</v>
      </c>
      <c r="Y2948" s="6">
        <f>1/COUNTIF(Таблица1[Order ID],Таблица1[[#This Row],[Order ID]])</f>
        <v>0.5</v>
      </c>
      <c r="Z2948" s="9">
        <f>1/COUNTIFS(Таблица1[Customer Name],Таблица1[[#This Row],[Customer Name]],Таблица1[Order-Year-Month],Таблица1[[#This Row],[Order-Year-Month]])</f>
        <v>0.5</v>
      </c>
    </row>
    <row r="2949" spans="1:26" x14ac:dyDescent="0.2">
      <c r="A2949" s="6">
        <v>7857</v>
      </c>
      <c r="B2949" s="7">
        <v>56166</v>
      </c>
      <c r="C2949" s="8">
        <f>DATE(2012,12,31)-880</f>
        <v>40394</v>
      </c>
      <c r="D2949" s="8" t="str">
        <f t="shared" si="56"/>
        <v>2010-08 (август 2010)</v>
      </c>
      <c r="E2949" s="9" t="s">
        <v>78</v>
      </c>
      <c r="F2949" s="7">
        <v>45</v>
      </c>
      <c r="G2949" s="7">
        <v>615.67999999999995</v>
      </c>
      <c r="H2949" s="7">
        <v>0.08</v>
      </c>
      <c r="I2949" s="9" t="s">
        <v>22</v>
      </c>
      <c r="J2949" s="10">
        <v>-54.34</v>
      </c>
      <c r="K2949" s="11">
        <v>14.42</v>
      </c>
      <c r="L2949" s="11">
        <v>6.75</v>
      </c>
      <c r="M2949" s="9" t="s">
        <v>1511</v>
      </c>
      <c r="N2949" s="6" t="s">
        <v>974</v>
      </c>
      <c r="O2949" s="6" t="s">
        <v>512</v>
      </c>
      <c r="P2949" s="9" t="s">
        <v>33</v>
      </c>
      <c r="Q2949" s="9" t="s">
        <v>26</v>
      </c>
      <c r="R2949" s="9" t="s">
        <v>34</v>
      </c>
      <c r="S2949" s="7" t="s">
        <v>1036</v>
      </c>
      <c r="T2949" s="9" t="s">
        <v>48</v>
      </c>
      <c r="U2949" s="7">
        <v>0.52</v>
      </c>
      <c r="V2949" s="12">
        <f>C2949+2</f>
        <v>40396</v>
      </c>
      <c r="W2949">
        <f>IF(D2949=' Pivot Tables'!$A$4,1,0)</f>
        <v>0</v>
      </c>
      <c r="X2949">
        <f>IF(AND(LEFT(D2949,4)+1=LEFT(' Pivot Tables'!$A$4,4)+0,RIGHT(LEFT(D2949,7),2)=RIGHT(LEFT(' Pivot Tables'!$A$4,7),2)),1,0)</f>
        <v>0</v>
      </c>
      <c r="Y2949" s="6">
        <f>1/COUNTIF(Таблица1[Order ID],Таблица1[[#This Row],[Order ID]])</f>
        <v>0.5</v>
      </c>
      <c r="Z2949" s="9">
        <f>1/COUNTIFS(Таблица1[Customer Name],Таблица1[[#This Row],[Customer Name]],Таблица1[Order-Year-Month],Таблица1[[#This Row],[Order-Year-Month]])</f>
        <v>0.5</v>
      </c>
    </row>
    <row r="2950" spans="1:26" x14ac:dyDescent="0.2">
      <c r="A2950" s="6">
        <v>7902</v>
      </c>
      <c r="B2950" s="7">
        <v>56515</v>
      </c>
      <c r="C2950" s="8">
        <f>DATE(2012,12,31)-584</f>
        <v>40690</v>
      </c>
      <c r="D2950" s="8" t="str">
        <f t="shared" si="56"/>
        <v>2011-05 (май 2011)</v>
      </c>
      <c r="E2950" s="9" t="s">
        <v>63</v>
      </c>
      <c r="F2950" s="7">
        <v>18</v>
      </c>
      <c r="G2950" s="7">
        <v>126.62</v>
      </c>
      <c r="H2950" s="7">
        <v>0.08</v>
      </c>
      <c r="I2950" s="9" t="s">
        <v>56</v>
      </c>
      <c r="J2950" s="10">
        <v>60.79</v>
      </c>
      <c r="K2950" s="11">
        <v>6.3</v>
      </c>
      <c r="L2950" s="11">
        <v>0.5</v>
      </c>
      <c r="M2950" s="9" t="s">
        <v>1506</v>
      </c>
      <c r="N2950" s="6" t="s">
        <v>974</v>
      </c>
      <c r="O2950" s="6" t="s">
        <v>512</v>
      </c>
      <c r="P2950" s="9" t="s">
        <v>25</v>
      </c>
      <c r="Q2950" s="9" t="s">
        <v>26</v>
      </c>
      <c r="R2950" s="9" t="s">
        <v>88</v>
      </c>
      <c r="S2950" s="7" t="s">
        <v>461</v>
      </c>
      <c r="T2950" s="9" t="s">
        <v>39</v>
      </c>
      <c r="U2950" s="7">
        <v>0.39</v>
      </c>
      <c r="V2950" s="12">
        <f>C2950+1</f>
        <v>40691</v>
      </c>
      <c r="W2950">
        <f>IF(D2950=' Pivot Tables'!$A$4,1,0)</f>
        <v>0</v>
      </c>
      <c r="X2950">
        <f>IF(AND(LEFT(D2950,4)+1=LEFT(' Pivot Tables'!$A$4,4)+0,RIGHT(LEFT(D2950,7),2)=RIGHT(LEFT(' Pivot Tables'!$A$4,7),2)),1,0)</f>
        <v>0</v>
      </c>
      <c r="Y2950" s="6">
        <f>1/COUNTIF(Таблица1[Order ID],Таблица1[[#This Row],[Order ID]])</f>
        <v>0.5</v>
      </c>
      <c r="Z2950" s="9">
        <f>1/COUNTIFS(Таблица1[Customer Name],Таблица1[[#This Row],[Customer Name]],Таблица1[Order-Year-Month],Таблица1[[#This Row],[Order-Year-Month]])</f>
        <v>0.5</v>
      </c>
    </row>
    <row r="2951" spans="1:26" x14ac:dyDescent="0.2">
      <c r="A2951" s="6">
        <v>7945</v>
      </c>
      <c r="B2951" s="7">
        <v>56768</v>
      </c>
      <c r="C2951" s="8">
        <f>DATE(2012,12,31)-523</f>
        <v>40751</v>
      </c>
      <c r="D2951" s="8" t="str">
        <f t="shared" si="56"/>
        <v>2011-07 (июль 2011)</v>
      </c>
      <c r="E2951" s="9" t="s">
        <v>78</v>
      </c>
      <c r="F2951" s="7">
        <v>37</v>
      </c>
      <c r="G2951" s="7">
        <v>111.39</v>
      </c>
      <c r="H2951" s="7">
        <v>0.02</v>
      </c>
      <c r="I2951" s="9" t="s">
        <v>22</v>
      </c>
      <c r="J2951" s="10">
        <v>20.059999999999999</v>
      </c>
      <c r="K2951" s="11">
        <v>2.88</v>
      </c>
      <c r="L2951" s="11">
        <v>0.7</v>
      </c>
      <c r="M2951" s="9" t="s">
        <v>1482</v>
      </c>
      <c r="N2951" s="6" t="s">
        <v>974</v>
      </c>
      <c r="O2951" s="6" t="s">
        <v>512</v>
      </c>
      <c r="P2951" s="9" t="s">
        <v>41</v>
      </c>
      <c r="Q2951" s="9" t="s">
        <v>26</v>
      </c>
      <c r="R2951" s="9" t="s">
        <v>95</v>
      </c>
      <c r="S2951" s="7" t="s">
        <v>96</v>
      </c>
      <c r="T2951" s="9" t="s">
        <v>68</v>
      </c>
      <c r="U2951" s="7">
        <v>0.56000000000000005</v>
      </c>
      <c r="V2951" s="12">
        <f>C2951+2</f>
        <v>40753</v>
      </c>
      <c r="W2951">
        <f>IF(D2951=' Pivot Tables'!$A$4,1,0)</f>
        <v>0</v>
      </c>
      <c r="X2951">
        <f>IF(AND(LEFT(D2951,4)+1=LEFT(' Pivot Tables'!$A$4,4)+0,RIGHT(LEFT(D2951,7),2)=RIGHT(LEFT(' Pivot Tables'!$A$4,7),2)),1,0)</f>
        <v>0</v>
      </c>
      <c r="Y2951" s="6">
        <f>1/COUNTIF(Таблица1[Order ID],Таблица1[[#This Row],[Order ID]])</f>
        <v>0.5</v>
      </c>
      <c r="Z2951" s="9">
        <f>1/COUNTIFS(Таблица1[Customer Name],Таблица1[[#This Row],[Customer Name]],Таблица1[Order-Year-Month],Таблица1[[#This Row],[Order-Year-Month]])</f>
        <v>0.5</v>
      </c>
    </row>
    <row r="2952" spans="1:26" x14ac:dyDescent="0.2">
      <c r="A2952" s="6">
        <v>7961</v>
      </c>
      <c r="B2952" s="7">
        <v>56900</v>
      </c>
      <c r="C2952" s="8">
        <f>DATE(2012,12,31)-401</f>
        <v>40873</v>
      </c>
      <c r="D2952" s="8" t="str">
        <f t="shared" si="56"/>
        <v>2011-11 (ноябрь 2011)</v>
      </c>
      <c r="E2952" s="9" t="s">
        <v>45</v>
      </c>
      <c r="F2952" s="7">
        <v>16</v>
      </c>
      <c r="G2952" s="7">
        <v>54.32</v>
      </c>
      <c r="H2952" s="7">
        <v>0.09</v>
      </c>
      <c r="I2952" s="9" t="s">
        <v>22</v>
      </c>
      <c r="J2952" s="10">
        <v>16.11</v>
      </c>
      <c r="K2952" s="11">
        <v>3.41</v>
      </c>
      <c r="L2952" s="11">
        <v>0.7</v>
      </c>
      <c r="M2952" s="9" t="s">
        <v>1564</v>
      </c>
      <c r="N2952" s="6" t="s">
        <v>974</v>
      </c>
      <c r="O2952" s="6" t="s">
        <v>512</v>
      </c>
      <c r="P2952" s="9" t="s">
        <v>25</v>
      </c>
      <c r="Q2952" s="9" t="s">
        <v>26</v>
      </c>
      <c r="R2952" s="9" t="s">
        <v>66</v>
      </c>
      <c r="S2952" s="7" t="s">
        <v>1407</v>
      </c>
      <c r="T2952" s="9" t="s">
        <v>68</v>
      </c>
      <c r="U2952" s="7">
        <v>0.37</v>
      </c>
      <c r="V2952" s="12">
        <f>C2952+2</f>
        <v>40875</v>
      </c>
      <c r="W2952">
        <f>IF(D2952=' Pivot Tables'!$A$4,1,0)</f>
        <v>0</v>
      </c>
      <c r="X2952">
        <f>IF(AND(LEFT(D2952,4)+1=LEFT(' Pivot Tables'!$A$4,4)+0,RIGHT(LEFT(D2952,7),2)=RIGHT(LEFT(' Pivot Tables'!$A$4,7),2)),1,0)</f>
        <v>0</v>
      </c>
      <c r="Y2952" s="6">
        <f>1/COUNTIF(Таблица1[Order ID],Таблица1[[#This Row],[Order ID]])</f>
        <v>1</v>
      </c>
      <c r="Z2952" s="9">
        <f>1/COUNTIFS(Таблица1[Customer Name],Таблица1[[#This Row],[Customer Name]],Таблица1[Order-Year-Month],Таблица1[[#This Row],[Order-Year-Month]])</f>
        <v>1</v>
      </c>
    </row>
    <row r="2953" spans="1:26" x14ac:dyDescent="0.2">
      <c r="A2953" s="6">
        <v>7974</v>
      </c>
      <c r="B2953" s="7">
        <v>57056</v>
      </c>
      <c r="C2953" s="8">
        <f>DATE(2012,12,31)-53</f>
        <v>41221</v>
      </c>
      <c r="D2953" s="8" t="str">
        <f t="shared" si="56"/>
        <v>2012-11 (ноябрь 2012)</v>
      </c>
      <c r="E2953" s="9" t="s">
        <v>21</v>
      </c>
      <c r="F2953" s="7">
        <v>29</v>
      </c>
      <c r="G2953" s="7">
        <v>2185.61</v>
      </c>
      <c r="H2953" s="7">
        <v>0.01</v>
      </c>
      <c r="I2953" s="9" t="s">
        <v>31</v>
      </c>
      <c r="J2953" s="10">
        <v>-2897.2515000000003</v>
      </c>
      <c r="K2953" s="11">
        <v>70.89</v>
      </c>
      <c r="L2953" s="11">
        <v>89.3</v>
      </c>
      <c r="M2953" s="9" t="s">
        <v>1564</v>
      </c>
      <c r="N2953" s="6" t="s">
        <v>974</v>
      </c>
      <c r="O2953" s="6" t="s">
        <v>512</v>
      </c>
      <c r="P2953" s="9" t="s">
        <v>41</v>
      </c>
      <c r="Q2953" s="9" t="s">
        <v>49</v>
      </c>
      <c r="R2953" s="9" t="s">
        <v>83</v>
      </c>
      <c r="S2953" s="7" t="s">
        <v>1071</v>
      </c>
      <c r="T2953" s="9" t="s">
        <v>82</v>
      </c>
      <c r="U2953" s="7">
        <v>0.72</v>
      </c>
      <c r="V2953" s="12">
        <f>C2953+7</f>
        <v>41228</v>
      </c>
      <c r="W2953">
        <f>IF(D2953=' Pivot Tables'!$A$4,1,0)</f>
        <v>0</v>
      </c>
      <c r="X2953">
        <f>IF(AND(LEFT(D2953,4)+1=LEFT(' Pivot Tables'!$A$4,4)+0,RIGHT(LEFT(D2953,7),2)=RIGHT(LEFT(' Pivot Tables'!$A$4,7),2)),1,0)</f>
        <v>0</v>
      </c>
      <c r="Y2953" s="6">
        <f>1/COUNTIF(Таблица1[Order ID],Таблица1[[#This Row],[Order ID]])</f>
        <v>1</v>
      </c>
      <c r="Z2953" s="9">
        <f>1/COUNTIFS(Таблица1[Customer Name],Таблица1[[#This Row],[Customer Name]],Таблица1[Order-Year-Month],Таблица1[[#This Row],[Order-Year-Month]])</f>
        <v>1</v>
      </c>
    </row>
    <row r="2954" spans="1:26" x14ac:dyDescent="0.2">
      <c r="A2954" s="6">
        <v>8170</v>
      </c>
      <c r="B2954" s="7">
        <v>58372</v>
      </c>
      <c r="C2954" s="8">
        <f>DATE(2012,12,31)-639</f>
        <v>40635</v>
      </c>
      <c r="D2954" s="8" t="str">
        <f t="shared" si="56"/>
        <v>2011-04 (апрель 2011)</v>
      </c>
      <c r="E2954" s="9" t="s">
        <v>21</v>
      </c>
      <c r="F2954" s="7">
        <v>48</v>
      </c>
      <c r="G2954" s="7">
        <v>184.1</v>
      </c>
      <c r="H2954" s="7">
        <v>0.04</v>
      </c>
      <c r="I2954" s="9" t="s">
        <v>22</v>
      </c>
      <c r="J2954" s="10">
        <v>43.2</v>
      </c>
      <c r="K2954" s="11">
        <v>3.98</v>
      </c>
      <c r="L2954" s="11">
        <v>0.7</v>
      </c>
      <c r="M2954" s="9" t="s">
        <v>1341</v>
      </c>
      <c r="N2954" s="6" t="s">
        <v>974</v>
      </c>
      <c r="O2954" s="6" t="s">
        <v>512</v>
      </c>
      <c r="P2954" s="9" t="s">
        <v>41</v>
      </c>
      <c r="Q2954" s="9" t="s">
        <v>26</v>
      </c>
      <c r="R2954" s="9" t="s">
        <v>95</v>
      </c>
      <c r="S2954" s="7" t="s">
        <v>1565</v>
      </c>
      <c r="T2954" s="9" t="s">
        <v>68</v>
      </c>
      <c r="U2954" s="7">
        <v>0.52</v>
      </c>
      <c r="V2954" s="12">
        <f>C2954+5</f>
        <v>40640</v>
      </c>
      <c r="W2954">
        <f>IF(D2954=' Pivot Tables'!$A$4,1,0)</f>
        <v>0</v>
      </c>
      <c r="X2954">
        <f>IF(AND(LEFT(D2954,4)+1=LEFT(' Pivot Tables'!$A$4,4)+0,RIGHT(LEFT(D2954,7),2)=RIGHT(LEFT(' Pivot Tables'!$A$4,7),2)),1,0)</f>
        <v>0</v>
      </c>
      <c r="Y2954" s="6">
        <f>1/COUNTIF(Таблица1[Order ID],Таблица1[[#This Row],[Order ID]])</f>
        <v>0.5</v>
      </c>
      <c r="Z2954" s="9">
        <f>1/COUNTIFS(Таблица1[Customer Name],Таблица1[[#This Row],[Customer Name]],Таблица1[Order-Year-Month],Таблица1[[#This Row],[Order-Year-Month]])</f>
        <v>0.5</v>
      </c>
    </row>
    <row r="2955" spans="1:26" x14ac:dyDescent="0.2">
      <c r="A2955" s="6">
        <v>8297</v>
      </c>
      <c r="B2955" s="7">
        <v>59270</v>
      </c>
      <c r="C2955" s="8">
        <f>DATE(2012,12,31)-1085</f>
        <v>40189</v>
      </c>
      <c r="D2955" s="8" t="str">
        <f t="shared" si="56"/>
        <v>2010-01 (январь 2010)</v>
      </c>
      <c r="E2955" s="9" t="s">
        <v>30</v>
      </c>
      <c r="F2955" s="7">
        <v>48</v>
      </c>
      <c r="G2955" s="7">
        <v>25312</v>
      </c>
      <c r="H2955" s="7">
        <v>0.01</v>
      </c>
      <c r="I2955" s="9" t="s">
        <v>31</v>
      </c>
      <c r="J2955" s="10">
        <v>8788.81</v>
      </c>
      <c r="K2955" s="11">
        <v>517.48</v>
      </c>
      <c r="L2955" s="11">
        <v>16.63</v>
      </c>
      <c r="M2955" s="9" t="s">
        <v>1553</v>
      </c>
      <c r="N2955" s="6" t="s">
        <v>974</v>
      </c>
      <c r="O2955" s="6" t="s">
        <v>512</v>
      </c>
      <c r="P2955" s="9" t="s">
        <v>25</v>
      </c>
      <c r="Q2955" s="9" t="s">
        <v>42</v>
      </c>
      <c r="R2955" s="9" t="s">
        <v>210</v>
      </c>
      <c r="S2955" s="7" t="s">
        <v>851</v>
      </c>
      <c r="T2955" s="9" t="s">
        <v>82</v>
      </c>
      <c r="U2955" s="7">
        <v>0.59</v>
      </c>
      <c r="V2955" s="12">
        <f>C2955+2</f>
        <v>40191</v>
      </c>
      <c r="W2955">
        <f>IF(D2955=' Pivot Tables'!$A$4,1,0)</f>
        <v>1</v>
      </c>
      <c r="X2955">
        <f>IF(AND(LEFT(D2955,4)+1=LEFT(' Pivot Tables'!$A$4,4)+0,RIGHT(LEFT(D2955,7),2)=RIGHT(LEFT(' Pivot Tables'!$A$4,7),2)),1,0)</f>
        <v>0</v>
      </c>
      <c r="Y2955" s="6">
        <f>1/COUNTIF(Таблица1[Order ID],Таблица1[[#This Row],[Order ID]])</f>
        <v>0.25</v>
      </c>
      <c r="Z2955" s="9">
        <f>1/COUNTIFS(Таблица1[Customer Name],Таблица1[[#This Row],[Customer Name]],Таблица1[Order-Year-Month],Таблица1[[#This Row],[Order-Year-Month]])</f>
        <v>0.25</v>
      </c>
    </row>
    <row r="2956" spans="1:26" x14ac:dyDescent="0.2">
      <c r="A2956" s="6">
        <v>8298</v>
      </c>
      <c r="B2956" s="7">
        <v>59270</v>
      </c>
      <c r="C2956" s="8">
        <f>DATE(2012,12,31)-1085</f>
        <v>40189</v>
      </c>
      <c r="D2956" s="8" t="str">
        <f t="shared" si="56"/>
        <v>2010-01 (январь 2010)</v>
      </c>
      <c r="E2956" s="9" t="s">
        <v>30</v>
      </c>
      <c r="F2956" s="7">
        <v>14</v>
      </c>
      <c r="G2956" s="7">
        <v>2138.63</v>
      </c>
      <c r="H2956" s="7">
        <v>0.01</v>
      </c>
      <c r="I2956" s="9" t="s">
        <v>22</v>
      </c>
      <c r="J2956" s="10">
        <v>453.03</v>
      </c>
      <c r="K2956" s="11">
        <v>142.86000000000001</v>
      </c>
      <c r="L2956" s="11">
        <v>19.989999999999998</v>
      </c>
      <c r="M2956" s="9" t="s">
        <v>1553</v>
      </c>
      <c r="N2956" s="6" t="s">
        <v>974</v>
      </c>
      <c r="O2956" s="6" t="s">
        <v>512</v>
      </c>
      <c r="P2956" s="9" t="s">
        <v>25</v>
      </c>
      <c r="Q2956" s="9" t="s">
        <v>26</v>
      </c>
      <c r="R2956" s="9" t="s">
        <v>27</v>
      </c>
      <c r="S2956" s="7" t="s">
        <v>887</v>
      </c>
      <c r="T2956" s="9" t="s">
        <v>39</v>
      </c>
      <c r="U2956" s="7">
        <v>0.56000000000000005</v>
      </c>
      <c r="V2956" s="12">
        <f>C2956+1</f>
        <v>40190</v>
      </c>
      <c r="W2956">
        <f>IF(D2956=' Pivot Tables'!$A$4,1,0)</f>
        <v>1</v>
      </c>
      <c r="X2956">
        <f>IF(AND(LEFT(D2956,4)+1=LEFT(' Pivot Tables'!$A$4,4)+0,RIGHT(LEFT(D2956,7),2)=RIGHT(LEFT(' Pivot Tables'!$A$4,7),2)),1,0)</f>
        <v>0</v>
      </c>
      <c r="Y2956" s="6">
        <f>1/COUNTIF(Таблица1[Order ID],Таблица1[[#This Row],[Order ID]])</f>
        <v>0.25</v>
      </c>
      <c r="Z2956" s="9">
        <f>1/COUNTIFS(Таблица1[Customer Name],Таблица1[[#This Row],[Customer Name]],Таблица1[Order-Year-Month],Таблица1[[#This Row],[Order-Year-Month]])</f>
        <v>0.25</v>
      </c>
    </row>
    <row r="2957" spans="1:26" x14ac:dyDescent="0.2">
      <c r="A2957" s="6">
        <v>8343</v>
      </c>
      <c r="B2957" s="7">
        <v>59619</v>
      </c>
      <c r="C2957" s="8">
        <f>DATE(2012,12,31)-1052</f>
        <v>40222</v>
      </c>
      <c r="D2957" s="8" t="str">
        <f t="shared" si="56"/>
        <v>2010-02 (февраль 2010)</v>
      </c>
      <c r="E2957" s="9" t="s">
        <v>45</v>
      </c>
      <c r="F2957" s="7">
        <v>12</v>
      </c>
      <c r="G2957" s="7">
        <v>76.040000000000006</v>
      </c>
      <c r="H2957" s="7">
        <v>0.04</v>
      </c>
      <c r="I2957" s="9" t="s">
        <v>22</v>
      </c>
      <c r="J2957" s="10">
        <v>-47.55</v>
      </c>
      <c r="K2957" s="11">
        <v>5.98</v>
      </c>
      <c r="L2957" s="11">
        <v>7.15</v>
      </c>
      <c r="M2957" s="9" t="s">
        <v>1498</v>
      </c>
      <c r="N2957" s="6" t="s">
        <v>974</v>
      </c>
      <c r="O2957" s="6" t="s">
        <v>512</v>
      </c>
      <c r="P2957" s="9" t="s">
        <v>33</v>
      </c>
      <c r="Q2957" s="9" t="s">
        <v>26</v>
      </c>
      <c r="R2957" s="9" t="s">
        <v>61</v>
      </c>
      <c r="S2957" s="7" t="s">
        <v>1424</v>
      </c>
      <c r="T2957" s="9" t="s">
        <v>39</v>
      </c>
      <c r="U2957" s="7">
        <v>0.36</v>
      </c>
      <c r="V2957" s="12">
        <f>C2957+2</f>
        <v>40224</v>
      </c>
      <c r="W2957">
        <f>IF(D2957=' Pivot Tables'!$A$4,1,0)</f>
        <v>0</v>
      </c>
      <c r="X2957">
        <f>IF(AND(LEFT(D2957,4)+1=LEFT(' Pivot Tables'!$A$4,4)+0,RIGHT(LEFT(D2957,7),2)=RIGHT(LEFT(' Pivot Tables'!$A$4,7),2)),1,0)</f>
        <v>0</v>
      </c>
      <c r="Y2957" s="6">
        <f>1/COUNTIF(Таблица1[Order ID],Таблица1[[#This Row],[Order ID]])</f>
        <v>0.5</v>
      </c>
      <c r="Z2957" s="9">
        <f>1/COUNTIFS(Таблица1[Customer Name],Таблица1[[#This Row],[Customer Name]],Таблица1[Order-Year-Month],Таблица1[[#This Row],[Order-Year-Month]])</f>
        <v>0.5</v>
      </c>
    </row>
    <row r="2958" spans="1:26" x14ac:dyDescent="0.2">
      <c r="A2958" s="6">
        <v>8367</v>
      </c>
      <c r="B2958" s="7">
        <v>59781</v>
      </c>
      <c r="C2958" s="8">
        <f>DATE(2012,12,31)-19</f>
        <v>41255</v>
      </c>
      <c r="D2958" s="8" t="str">
        <f t="shared" si="56"/>
        <v>2012-12 (декабрь 2012)</v>
      </c>
      <c r="E2958" s="9" t="s">
        <v>45</v>
      </c>
      <c r="F2958" s="7">
        <v>24</v>
      </c>
      <c r="G2958" s="7">
        <v>4408.2700000000004</v>
      </c>
      <c r="H2958" s="7">
        <v>0.04</v>
      </c>
      <c r="I2958" s="9" t="s">
        <v>31</v>
      </c>
      <c r="J2958" s="10">
        <v>329.28</v>
      </c>
      <c r="K2958" s="11">
        <v>180.98</v>
      </c>
      <c r="L2958" s="11">
        <v>30</v>
      </c>
      <c r="M2958" s="9" t="s">
        <v>1566</v>
      </c>
      <c r="N2958" s="6" t="s">
        <v>974</v>
      </c>
      <c r="O2958" s="6" t="s">
        <v>512</v>
      </c>
      <c r="P2958" s="9" t="s">
        <v>41</v>
      </c>
      <c r="Q2958" s="9" t="s">
        <v>49</v>
      </c>
      <c r="R2958" s="9" t="s">
        <v>112</v>
      </c>
      <c r="S2958" s="7" t="s">
        <v>957</v>
      </c>
      <c r="T2958" s="9" t="s">
        <v>36</v>
      </c>
      <c r="U2958" s="7">
        <v>0.69</v>
      </c>
      <c r="V2958" s="12">
        <f>C2958+1</f>
        <v>41256</v>
      </c>
      <c r="W2958">
        <f>IF(D2958=' Pivot Tables'!$A$4,1,0)</f>
        <v>0</v>
      </c>
      <c r="X2958">
        <f>IF(AND(LEFT(D2958,4)+1=LEFT(' Pivot Tables'!$A$4,4)+0,RIGHT(LEFT(D2958,7),2)=RIGHT(LEFT(' Pivot Tables'!$A$4,7),2)),1,0)</f>
        <v>0</v>
      </c>
      <c r="Y2958" s="6">
        <f>1/COUNTIF(Таблица1[Order ID],Таблица1[[#This Row],[Order ID]])</f>
        <v>0.2</v>
      </c>
      <c r="Z2958" s="9">
        <f>1/COUNTIFS(Таблица1[Customer Name],Таблица1[[#This Row],[Customer Name]],Таблица1[Order-Year-Month],Таблица1[[#This Row],[Order-Year-Month]])</f>
        <v>0.2</v>
      </c>
    </row>
    <row r="2959" spans="1:26" x14ac:dyDescent="0.2">
      <c r="A2959" s="6">
        <v>23</v>
      </c>
      <c r="B2959" s="7">
        <v>132</v>
      </c>
      <c r="C2959" s="8">
        <f>DATE(2012,12,31)-935</f>
        <v>40339</v>
      </c>
      <c r="D2959" s="8" t="str">
        <f t="shared" si="56"/>
        <v>2010-06 (июнь 2010)</v>
      </c>
      <c r="E2959" s="9" t="s">
        <v>63</v>
      </c>
      <c r="F2959" s="7">
        <v>30</v>
      </c>
      <c r="G2959" s="7">
        <v>4011.65</v>
      </c>
      <c r="H2959" s="7">
        <v>0.05</v>
      </c>
      <c r="I2959" s="9" t="s">
        <v>31</v>
      </c>
      <c r="J2959" s="10">
        <v>-603.79999999999995</v>
      </c>
      <c r="K2959" s="11">
        <v>130.97999999999999</v>
      </c>
      <c r="L2959" s="11">
        <v>54.74</v>
      </c>
      <c r="M2959" s="9" t="s">
        <v>1567</v>
      </c>
      <c r="N2959" s="6" t="s">
        <v>974</v>
      </c>
      <c r="O2959" s="6" t="s">
        <v>512</v>
      </c>
      <c r="P2959" s="9" t="s">
        <v>33</v>
      </c>
      <c r="Q2959" s="9" t="s">
        <v>49</v>
      </c>
      <c r="R2959" s="9" t="s">
        <v>80</v>
      </c>
      <c r="S2959" s="7" t="s">
        <v>807</v>
      </c>
      <c r="T2959" s="9" t="s">
        <v>82</v>
      </c>
      <c r="U2959" s="7">
        <v>0.69</v>
      </c>
      <c r="V2959" s="12">
        <f>C2959+3</f>
        <v>40342</v>
      </c>
      <c r="W2959">
        <f>IF(D2959=' Pivot Tables'!$A$4,1,0)</f>
        <v>0</v>
      </c>
      <c r="X2959">
        <f>IF(AND(LEFT(D2959,4)+1=LEFT(' Pivot Tables'!$A$4,4)+0,RIGHT(LEFT(D2959,7),2)=RIGHT(LEFT(' Pivot Tables'!$A$4,7),2)),1,0)</f>
        <v>0</v>
      </c>
      <c r="Y2959" s="6">
        <f>1/COUNTIF(Таблица1[Order ID],Таблица1[[#This Row],[Order ID]])</f>
        <v>0.5</v>
      </c>
      <c r="Z2959" s="9">
        <f>1/COUNTIFS(Таблица1[Customer Name],Таблица1[[#This Row],[Customer Name]],Таблица1[Order-Year-Month],Таблица1[[#This Row],[Order-Year-Month]])</f>
        <v>0.5</v>
      </c>
    </row>
    <row r="2960" spans="1:26" x14ac:dyDescent="0.2">
      <c r="A2960" s="6">
        <v>42</v>
      </c>
      <c r="B2960" s="7">
        <v>258</v>
      </c>
      <c r="C2960" s="8">
        <f>DATE(2012,12,31)-734</f>
        <v>40540</v>
      </c>
      <c r="D2960" s="8" t="str">
        <f t="shared" si="56"/>
        <v>2010-12 (декабрь 2010)</v>
      </c>
      <c r="E2960" s="9" t="s">
        <v>78</v>
      </c>
      <c r="F2960" s="7">
        <v>21</v>
      </c>
      <c r="G2960" s="7">
        <v>154.35</v>
      </c>
      <c r="H2960" s="7">
        <v>0</v>
      </c>
      <c r="I2960" s="9" t="s">
        <v>22</v>
      </c>
      <c r="J2960" s="10">
        <v>-91.14</v>
      </c>
      <c r="K2960" s="11">
        <v>6.48</v>
      </c>
      <c r="L2960" s="11">
        <v>8.74</v>
      </c>
      <c r="M2960" s="9" t="s">
        <v>1568</v>
      </c>
      <c r="N2960" s="6" t="s">
        <v>974</v>
      </c>
      <c r="O2960" s="6" t="s">
        <v>512</v>
      </c>
      <c r="P2960" s="9" t="s">
        <v>60</v>
      </c>
      <c r="Q2960" s="9" t="s">
        <v>26</v>
      </c>
      <c r="R2960" s="9" t="s">
        <v>61</v>
      </c>
      <c r="S2960" s="7" t="s">
        <v>1210</v>
      </c>
      <c r="T2960" s="9" t="s">
        <v>39</v>
      </c>
      <c r="U2960" s="7">
        <v>0.36</v>
      </c>
      <c r="V2960" s="12">
        <f>C2960+2</f>
        <v>40542</v>
      </c>
      <c r="W2960">
        <f>IF(D2960=' Pivot Tables'!$A$4,1,0)</f>
        <v>0</v>
      </c>
      <c r="X2960">
        <f>IF(AND(LEFT(D2960,4)+1=LEFT(' Pivot Tables'!$A$4,4)+0,RIGHT(LEFT(D2960,7),2)=RIGHT(LEFT(' Pivot Tables'!$A$4,7),2)),1,0)</f>
        <v>0</v>
      </c>
      <c r="Y2960" s="6">
        <f>1/COUNTIF(Таблица1[Order ID],Таблица1[[#This Row],[Order ID]])</f>
        <v>0.33333333333333331</v>
      </c>
      <c r="Z2960" s="9">
        <f>1/COUNTIFS(Таблица1[Customer Name],Таблица1[[#This Row],[Customer Name]],Таблица1[Order-Year-Month],Таблица1[[#This Row],[Order-Year-Month]])</f>
        <v>0.33333333333333331</v>
      </c>
    </row>
    <row r="2961" spans="1:26" x14ac:dyDescent="0.2">
      <c r="A2961" s="6">
        <v>43</v>
      </c>
      <c r="B2961" s="7">
        <v>258</v>
      </c>
      <c r="C2961" s="8">
        <f>DATE(2012,12,31)-734</f>
        <v>40540</v>
      </c>
      <c r="D2961" s="8" t="str">
        <f t="shared" si="56"/>
        <v>2010-12 (декабрь 2010)</v>
      </c>
      <c r="E2961" s="9" t="s">
        <v>78</v>
      </c>
      <c r="F2961" s="7">
        <v>7</v>
      </c>
      <c r="G2961" s="7">
        <v>201.36</v>
      </c>
      <c r="H2961" s="7">
        <v>0</v>
      </c>
      <c r="I2961" s="9" t="s">
        <v>31</v>
      </c>
      <c r="J2961" s="10">
        <v>-284.39999999999998</v>
      </c>
      <c r="K2961" s="11">
        <v>20.98</v>
      </c>
      <c r="L2961" s="11">
        <v>53.03</v>
      </c>
      <c r="M2961" s="9" t="s">
        <v>1568</v>
      </c>
      <c r="N2961" s="6" t="s">
        <v>974</v>
      </c>
      <c r="O2961" s="6" t="s">
        <v>512</v>
      </c>
      <c r="P2961" s="9" t="s">
        <v>60</v>
      </c>
      <c r="Q2961" s="9" t="s">
        <v>26</v>
      </c>
      <c r="R2961" s="9" t="s">
        <v>27</v>
      </c>
      <c r="S2961" s="7" t="s">
        <v>218</v>
      </c>
      <c r="T2961" s="9" t="s">
        <v>36</v>
      </c>
      <c r="U2961" s="7">
        <v>0.78</v>
      </c>
      <c r="V2961" s="12">
        <f>C2961+1</f>
        <v>40541</v>
      </c>
      <c r="W2961">
        <f>IF(D2961=' Pivot Tables'!$A$4,1,0)</f>
        <v>0</v>
      </c>
      <c r="X2961">
        <f>IF(AND(LEFT(D2961,4)+1=LEFT(' Pivot Tables'!$A$4,4)+0,RIGHT(LEFT(D2961,7),2)=RIGHT(LEFT(' Pivot Tables'!$A$4,7),2)),1,0)</f>
        <v>0</v>
      </c>
      <c r="Y2961" s="6">
        <f>1/COUNTIF(Таблица1[Order ID],Таблица1[[#This Row],[Order ID]])</f>
        <v>0.33333333333333331</v>
      </c>
      <c r="Z2961" s="9">
        <f>1/COUNTIFS(Таблица1[Customer Name],Таблица1[[#This Row],[Customer Name]],Таблица1[Order-Year-Month],Таблица1[[#This Row],[Order-Year-Month]])</f>
        <v>0.33333333333333331</v>
      </c>
    </row>
    <row r="2962" spans="1:26" x14ac:dyDescent="0.2">
      <c r="A2962" s="6">
        <v>57</v>
      </c>
      <c r="B2962" s="7">
        <v>325</v>
      </c>
      <c r="C2962" s="8">
        <f>DATE(2012,12,31)-807</f>
        <v>40467</v>
      </c>
      <c r="D2962" s="8" t="str">
        <f t="shared" si="56"/>
        <v>2010-10 (октябрь 2010)</v>
      </c>
      <c r="E2962" s="9" t="s">
        <v>21</v>
      </c>
      <c r="F2962" s="7">
        <v>9</v>
      </c>
      <c r="G2962" s="7">
        <v>884.12750000000005</v>
      </c>
      <c r="H2962" s="7">
        <v>0.06</v>
      </c>
      <c r="I2962" s="9" t="s">
        <v>22</v>
      </c>
      <c r="J2962" s="10">
        <v>-178.70600000000002</v>
      </c>
      <c r="K2962" s="11">
        <v>115.99</v>
      </c>
      <c r="L2962" s="11">
        <v>4.2300000000000004</v>
      </c>
      <c r="M2962" s="9" t="s">
        <v>1465</v>
      </c>
      <c r="N2962" s="6" t="s">
        <v>974</v>
      </c>
      <c r="O2962" s="6" t="s">
        <v>512</v>
      </c>
      <c r="P2962" s="9" t="s">
        <v>41</v>
      </c>
      <c r="Q2962" s="9" t="s">
        <v>42</v>
      </c>
      <c r="R2962" s="9" t="s">
        <v>43</v>
      </c>
      <c r="S2962" s="7" t="s">
        <v>1569</v>
      </c>
      <c r="T2962" s="9" t="s">
        <v>39</v>
      </c>
      <c r="U2962" s="7">
        <v>0.56000000000000005</v>
      </c>
      <c r="V2962" s="12">
        <f>C2962+4</f>
        <v>40471</v>
      </c>
      <c r="W2962">
        <f>IF(D2962=' Pivot Tables'!$A$4,1,0)</f>
        <v>0</v>
      </c>
      <c r="X2962">
        <f>IF(AND(LEFT(D2962,4)+1=LEFT(' Pivot Tables'!$A$4,4)+0,RIGHT(LEFT(D2962,7),2)=RIGHT(LEFT(' Pivot Tables'!$A$4,7),2)),1,0)</f>
        <v>0</v>
      </c>
      <c r="Y2962" s="6">
        <f>1/COUNTIF(Таблица1[Order ID],Таблица1[[#This Row],[Order ID]])</f>
        <v>1</v>
      </c>
      <c r="Z2962" s="9">
        <f>1/COUNTIFS(Таблица1[Customer Name],Таблица1[[#This Row],[Customer Name]],Таблица1[Order-Year-Month],Таблица1[[#This Row],[Order-Year-Month]])</f>
        <v>1</v>
      </c>
    </row>
    <row r="2963" spans="1:26" x14ac:dyDescent="0.2">
      <c r="A2963" s="6">
        <v>217</v>
      </c>
      <c r="B2963" s="7">
        <v>1444</v>
      </c>
      <c r="C2963" s="8">
        <f>DATE(2012,12,31)-1122</f>
        <v>40152</v>
      </c>
      <c r="D2963" s="8" t="str">
        <f t="shared" si="56"/>
        <v>2009-12 (декабрь 2009)</v>
      </c>
      <c r="E2963" s="9" t="s">
        <v>63</v>
      </c>
      <c r="F2963" s="7">
        <v>32</v>
      </c>
      <c r="G2963" s="7">
        <v>21717.360000000001</v>
      </c>
      <c r="H2963" s="7">
        <v>0.06</v>
      </c>
      <c r="I2963" s="9" t="s">
        <v>56</v>
      </c>
      <c r="J2963" s="10">
        <v>8249.86</v>
      </c>
      <c r="K2963" s="11">
        <v>699.99</v>
      </c>
      <c r="L2963" s="11">
        <v>24.49</v>
      </c>
      <c r="M2963" s="9" t="s">
        <v>1383</v>
      </c>
      <c r="N2963" s="6" t="s">
        <v>974</v>
      </c>
      <c r="O2963" s="6" t="s">
        <v>512</v>
      </c>
      <c r="P2963" s="9" t="s">
        <v>60</v>
      </c>
      <c r="Q2963" s="9" t="s">
        <v>42</v>
      </c>
      <c r="R2963" s="9" t="s">
        <v>99</v>
      </c>
      <c r="S2963" s="7" t="s">
        <v>411</v>
      </c>
      <c r="T2963" s="9" t="s">
        <v>29</v>
      </c>
      <c r="U2963" s="7">
        <v>0.41</v>
      </c>
      <c r="V2963" s="12">
        <f>C2963+2</f>
        <v>40154</v>
      </c>
      <c r="W2963">
        <f>IF(D2963=' Pivot Tables'!$A$4,1,0)</f>
        <v>0</v>
      </c>
      <c r="X2963">
        <f>IF(AND(LEFT(D2963,4)+1=LEFT(' Pivot Tables'!$A$4,4)+0,RIGHT(LEFT(D2963,7),2)=RIGHT(LEFT(' Pivot Tables'!$A$4,7),2)),1,0)</f>
        <v>0</v>
      </c>
      <c r="Y2963" s="6">
        <f>1/COUNTIF(Таблица1[Order ID],Таблица1[[#This Row],[Order ID]])</f>
        <v>0.2</v>
      </c>
      <c r="Z2963" s="9">
        <f>1/COUNTIFS(Таблица1[Customer Name],Таблица1[[#This Row],[Customer Name]],Таблица1[Order-Year-Month],Таблица1[[#This Row],[Order-Year-Month]])</f>
        <v>0.2</v>
      </c>
    </row>
    <row r="2964" spans="1:26" x14ac:dyDescent="0.2">
      <c r="A2964" s="6">
        <v>302</v>
      </c>
      <c r="B2964" s="7">
        <v>2084</v>
      </c>
      <c r="C2964" s="8">
        <f>DATE(2012,12,31)-1021</f>
        <v>40253</v>
      </c>
      <c r="D2964" s="8" t="str">
        <f t="shared" si="56"/>
        <v>2010-03 (март 2010)</v>
      </c>
      <c r="E2964" s="9" t="s">
        <v>30</v>
      </c>
      <c r="F2964" s="7">
        <v>16</v>
      </c>
      <c r="G2964" s="7">
        <v>692.73</v>
      </c>
      <c r="H2964" s="7">
        <v>0.01</v>
      </c>
      <c r="I2964" s="9" t="s">
        <v>22</v>
      </c>
      <c r="J2964" s="10">
        <v>94.97</v>
      </c>
      <c r="K2964" s="11">
        <v>40.99</v>
      </c>
      <c r="L2964" s="11">
        <v>17.48</v>
      </c>
      <c r="M2964" s="9" t="s">
        <v>1329</v>
      </c>
      <c r="N2964" s="6" t="s">
        <v>974</v>
      </c>
      <c r="O2964" s="6" t="s">
        <v>512</v>
      </c>
      <c r="P2964" s="9" t="s">
        <v>41</v>
      </c>
      <c r="Q2964" s="9" t="s">
        <v>26</v>
      </c>
      <c r="R2964" s="9" t="s">
        <v>61</v>
      </c>
      <c r="S2964" s="7" t="s">
        <v>236</v>
      </c>
      <c r="T2964" s="9" t="s">
        <v>39</v>
      </c>
      <c r="U2964" s="7">
        <v>0.36</v>
      </c>
      <c r="V2964" s="12">
        <f>C2964+2</f>
        <v>40255</v>
      </c>
      <c r="W2964">
        <f>IF(D2964=' Pivot Tables'!$A$4,1,0)</f>
        <v>0</v>
      </c>
      <c r="X2964">
        <f>IF(AND(LEFT(D2964,4)+1=LEFT(' Pivot Tables'!$A$4,4)+0,RIGHT(LEFT(D2964,7),2)=RIGHT(LEFT(' Pivot Tables'!$A$4,7),2)),1,0)</f>
        <v>0</v>
      </c>
      <c r="Y2964" s="6">
        <f>1/COUNTIF(Таблица1[Order ID],Таблица1[[#This Row],[Order ID]])</f>
        <v>1</v>
      </c>
      <c r="Z2964" s="9">
        <f>1/COUNTIFS(Таблица1[Customer Name],Таблица1[[#This Row],[Customer Name]],Таблица1[Order-Year-Month],Таблица1[[#This Row],[Order-Year-Month]])</f>
        <v>1</v>
      </c>
    </row>
    <row r="2965" spans="1:26" x14ac:dyDescent="0.2">
      <c r="A2965" s="6">
        <v>480</v>
      </c>
      <c r="B2965" s="7">
        <v>3332</v>
      </c>
      <c r="C2965" s="8">
        <f>DATE(2012,12,31)-1153</f>
        <v>40121</v>
      </c>
      <c r="D2965" s="8" t="str">
        <f t="shared" si="56"/>
        <v>2009-11 (ноябрь 2009)</v>
      </c>
      <c r="E2965" s="9" t="s">
        <v>78</v>
      </c>
      <c r="F2965" s="7">
        <v>6</v>
      </c>
      <c r="G2965" s="7">
        <v>22.19</v>
      </c>
      <c r="H2965" s="7">
        <v>0.01</v>
      </c>
      <c r="I2965" s="9" t="s">
        <v>22</v>
      </c>
      <c r="J2965" s="10">
        <v>-3.51</v>
      </c>
      <c r="K2965" s="11">
        <v>3.26</v>
      </c>
      <c r="L2965" s="11">
        <v>1.86</v>
      </c>
      <c r="M2965" s="9" t="s">
        <v>1494</v>
      </c>
      <c r="N2965" s="6" t="s">
        <v>974</v>
      </c>
      <c r="O2965" s="6" t="s">
        <v>512</v>
      </c>
      <c r="P2965" s="9" t="s">
        <v>41</v>
      </c>
      <c r="Q2965" s="9" t="s">
        <v>26</v>
      </c>
      <c r="R2965" s="9" t="s">
        <v>95</v>
      </c>
      <c r="S2965" s="7" t="s">
        <v>1535</v>
      </c>
      <c r="T2965" s="9" t="s">
        <v>68</v>
      </c>
      <c r="U2965" s="7">
        <v>0.41</v>
      </c>
      <c r="V2965" s="12">
        <f>C2965+2</f>
        <v>40123</v>
      </c>
      <c r="W2965">
        <f>IF(D2965=' Pivot Tables'!$A$4,1,0)</f>
        <v>0</v>
      </c>
      <c r="X2965">
        <f>IF(AND(LEFT(D2965,4)+1=LEFT(' Pivot Tables'!$A$4,4)+0,RIGHT(LEFT(D2965,7),2)=RIGHT(LEFT(' Pivot Tables'!$A$4,7),2)),1,0)</f>
        <v>0</v>
      </c>
      <c r="Y2965" s="6">
        <f>1/COUNTIF(Таблица1[Order ID],Таблица1[[#This Row],[Order ID]])</f>
        <v>1</v>
      </c>
      <c r="Z2965" s="9">
        <f>1/COUNTIFS(Таблица1[Customer Name],Таблица1[[#This Row],[Customer Name]],Таблица1[Order-Year-Month],Таблица1[[#This Row],[Order-Year-Month]])</f>
        <v>1</v>
      </c>
    </row>
    <row r="2966" spans="1:26" x14ac:dyDescent="0.2">
      <c r="A2966" s="6">
        <v>494</v>
      </c>
      <c r="B2966" s="7">
        <v>3397</v>
      </c>
      <c r="C2966" s="8">
        <f>DATE(2012,12,31)-1288</f>
        <v>39986</v>
      </c>
      <c r="D2966" s="8" t="str">
        <f t="shared" si="56"/>
        <v>2009-06 (июнь 2009)</v>
      </c>
      <c r="E2966" s="9" t="s">
        <v>63</v>
      </c>
      <c r="F2966" s="7">
        <v>43</v>
      </c>
      <c r="G2966" s="7">
        <v>815.89</v>
      </c>
      <c r="H2966" s="7">
        <v>0.1</v>
      </c>
      <c r="I2966" s="9" t="s">
        <v>22</v>
      </c>
      <c r="J2966" s="10">
        <v>-20.25</v>
      </c>
      <c r="K2966" s="11">
        <v>19.98</v>
      </c>
      <c r="L2966" s="11">
        <v>4</v>
      </c>
      <c r="M2966" s="9" t="s">
        <v>1501</v>
      </c>
      <c r="N2966" s="6" t="s">
        <v>974</v>
      </c>
      <c r="O2966" s="6" t="s">
        <v>512</v>
      </c>
      <c r="P2966" s="9" t="s">
        <v>33</v>
      </c>
      <c r="Q2966" s="9" t="s">
        <v>42</v>
      </c>
      <c r="R2966" s="9" t="s">
        <v>70</v>
      </c>
      <c r="S2966" s="7" t="s">
        <v>655</v>
      </c>
      <c r="T2966" s="9" t="s">
        <v>39</v>
      </c>
      <c r="U2966" s="7">
        <v>0.68</v>
      </c>
      <c r="V2966" s="12">
        <f>C2966+2</f>
        <v>39988</v>
      </c>
      <c r="W2966">
        <f>IF(D2966=' Pivot Tables'!$A$4,1,0)</f>
        <v>0</v>
      </c>
      <c r="X2966">
        <f>IF(AND(LEFT(D2966,4)+1=LEFT(' Pivot Tables'!$A$4,4)+0,RIGHT(LEFT(D2966,7),2)=RIGHT(LEFT(' Pivot Tables'!$A$4,7),2)),1,0)</f>
        <v>0</v>
      </c>
      <c r="Y2966" s="6">
        <f>1/COUNTIF(Таблица1[Order ID],Таблица1[[#This Row],[Order ID]])</f>
        <v>0.5</v>
      </c>
      <c r="Z2966" s="9">
        <f>1/COUNTIFS(Таблица1[Customer Name],Таблица1[[#This Row],[Customer Name]],Таблица1[Order-Year-Month],Таблица1[[#This Row],[Order-Year-Month]])</f>
        <v>0.5</v>
      </c>
    </row>
    <row r="2967" spans="1:26" x14ac:dyDescent="0.2">
      <c r="A2967" s="6">
        <v>519</v>
      </c>
      <c r="B2967" s="7">
        <v>3556</v>
      </c>
      <c r="C2967" s="8">
        <f>DATE(2012,12,31)-100</f>
        <v>41174</v>
      </c>
      <c r="D2967" s="8" t="str">
        <f t="shared" si="56"/>
        <v>2012-09 (сентябрь 2012)</v>
      </c>
      <c r="E2967" s="9" t="s">
        <v>45</v>
      </c>
      <c r="F2967" s="7">
        <v>41</v>
      </c>
      <c r="G2967" s="7">
        <v>4933.99</v>
      </c>
      <c r="H2967" s="7">
        <v>0.1</v>
      </c>
      <c r="I2967" s="9" t="s">
        <v>22</v>
      </c>
      <c r="J2967" s="10">
        <v>1161.8900000000001</v>
      </c>
      <c r="K2967" s="11">
        <v>128.24</v>
      </c>
      <c r="L2967" s="11">
        <v>12.65</v>
      </c>
      <c r="M2967" s="9" t="s">
        <v>1477</v>
      </c>
      <c r="N2967" s="6" t="s">
        <v>974</v>
      </c>
      <c r="O2967" s="6" t="s">
        <v>512</v>
      </c>
      <c r="P2967" s="9" t="s">
        <v>60</v>
      </c>
      <c r="Q2967" s="9" t="s">
        <v>49</v>
      </c>
      <c r="R2967" s="9" t="s">
        <v>112</v>
      </c>
      <c r="S2967" s="7" t="s">
        <v>545</v>
      </c>
      <c r="T2967" s="9" t="s">
        <v>48</v>
      </c>
      <c r="U2967" s="7"/>
      <c r="V2967" s="12">
        <f>C2967+0</f>
        <v>41174</v>
      </c>
      <c r="W2967">
        <f>IF(D2967=' Pivot Tables'!$A$4,1,0)</f>
        <v>0</v>
      </c>
      <c r="X2967">
        <f>IF(AND(LEFT(D2967,4)+1=LEFT(' Pivot Tables'!$A$4,4)+0,RIGHT(LEFT(D2967,7),2)=RIGHT(LEFT(' Pivot Tables'!$A$4,7),2)),1,0)</f>
        <v>0</v>
      </c>
      <c r="Y2967" s="6">
        <f>1/COUNTIF(Таблица1[Order ID],Таблица1[[#This Row],[Order ID]])</f>
        <v>0.5</v>
      </c>
      <c r="Z2967" s="9">
        <f>1/COUNTIFS(Таблица1[Customer Name],Таблица1[[#This Row],[Customer Name]],Таблица1[Order-Year-Month],Таблица1[[#This Row],[Order-Year-Month]])</f>
        <v>0.5</v>
      </c>
    </row>
    <row r="2968" spans="1:26" x14ac:dyDescent="0.2">
      <c r="A2968" s="6">
        <v>529</v>
      </c>
      <c r="B2968" s="7">
        <v>3589</v>
      </c>
      <c r="C2968" s="8">
        <f>DATE(2012,12,31)-1316</f>
        <v>39958</v>
      </c>
      <c r="D2968" s="8" t="str">
        <f t="shared" si="56"/>
        <v>2009-05 (май 2009)</v>
      </c>
      <c r="E2968" s="9" t="s">
        <v>30</v>
      </c>
      <c r="F2968" s="7">
        <v>23</v>
      </c>
      <c r="G2968" s="7">
        <v>72.930000000000007</v>
      </c>
      <c r="H2968" s="7">
        <v>0.01</v>
      </c>
      <c r="I2968" s="9" t="s">
        <v>22</v>
      </c>
      <c r="J2968" s="10">
        <v>28.55</v>
      </c>
      <c r="K2968" s="11">
        <v>3.15</v>
      </c>
      <c r="L2968" s="11">
        <v>0.49</v>
      </c>
      <c r="M2968" s="9" t="s">
        <v>1570</v>
      </c>
      <c r="N2968" s="6" t="s">
        <v>974</v>
      </c>
      <c r="O2968" s="6" t="s">
        <v>512</v>
      </c>
      <c r="P2968" s="9" t="s">
        <v>60</v>
      </c>
      <c r="Q2968" s="9" t="s">
        <v>26</v>
      </c>
      <c r="R2968" s="9" t="s">
        <v>88</v>
      </c>
      <c r="S2968" s="7" t="s">
        <v>1234</v>
      </c>
      <c r="T2968" s="9" t="s">
        <v>39</v>
      </c>
      <c r="U2968" s="7">
        <v>0.37</v>
      </c>
      <c r="V2968" s="12">
        <f>C2968+2</f>
        <v>39960</v>
      </c>
      <c r="W2968">
        <f>IF(D2968=' Pivot Tables'!$A$4,1,0)</f>
        <v>0</v>
      </c>
      <c r="X2968">
        <f>IF(AND(LEFT(D2968,4)+1=LEFT(' Pivot Tables'!$A$4,4)+0,RIGHT(LEFT(D2968,7),2)=RIGHT(LEFT(' Pivot Tables'!$A$4,7),2)),1,0)</f>
        <v>0</v>
      </c>
      <c r="Y2968" s="6">
        <f>1/COUNTIF(Таблица1[Order ID],Таблица1[[#This Row],[Order ID]])</f>
        <v>1</v>
      </c>
      <c r="Z2968" s="9">
        <f>1/COUNTIFS(Таблица1[Customer Name],Таблица1[[#This Row],[Customer Name]],Таблица1[Order-Year-Month],Таблица1[[#This Row],[Order-Year-Month]])</f>
        <v>1</v>
      </c>
    </row>
    <row r="2969" spans="1:26" x14ac:dyDescent="0.2">
      <c r="A2969" s="6">
        <v>573</v>
      </c>
      <c r="B2969" s="7">
        <v>3905</v>
      </c>
      <c r="C2969" s="8">
        <f>DATE(2012,12,31)-742</f>
        <v>40532</v>
      </c>
      <c r="D2969" s="8" t="str">
        <f t="shared" si="56"/>
        <v>2010-12 (декабрь 2010)</v>
      </c>
      <c r="E2969" s="9" t="s">
        <v>45</v>
      </c>
      <c r="F2969" s="7">
        <v>42</v>
      </c>
      <c r="G2969" s="7">
        <v>2537.88</v>
      </c>
      <c r="H2969" s="7">
        <v>0.03</v>
      </c>
      <c r="I2969" s="9" t="s">
        <v>31</v>
      </c>
      <c r="J2969" s="10">
        <v>-377.25</v>
      </c>
      <c r="K2969" s="11">
        <v>60.89</v>
      </c>
      <c r="L2969" s="11">
        <v>32.409999999999997</v>
      </c>
      <c r="M2969" s="9" t="s">
        <v>1467</v>
      </c>
      <c r="N2969" s="6" t="s">
        <v>974</v>
      </c>
      <c r="O2969" s="6" t="s">
        <v>512</v>
      </c>
      <c r="P2969" s="9" t="s">
        <v>33</v>
      </c>
      <c r="Q2969" s="9" t="s">
        <v>49</v>
      </c>
      <c r="R2969" s="9" t="s">
        <v>112</v>
      </c>
      <c r="S2969" s="7" t="s">
        <v>1416</v>
      </c>
      <c r="T2969" s="9" t="s">
        <v>36</v>
      </c>
      <c r="U2969" s="7">
        <v>0.56000000000000005</v>
      </c>
      <c r="V2969" s="12">
        <f>C2969+1</f>
        <v>40533</v>
      </c>
      <c r="W2969">
        <f>IF(D2969=' Pivot Tables'!$A$4,1,0)</f>
        <v>0</v>
      </c>
      <c r="X2969">
        <f>IF(AND(LEFT(D2969,4)+1=LEFT(' Pivot Tables'!$A$4,4)+0,RIGHT(LEFT(D2969,7),2)=RIGHT(LEFT(' Pivot Tables'!$A$4,7),2)),1,0)</f>
        <v>0</v>
      </c>
      <c r="Y2969" s="6">
        <f>1/COUNTIF(Таблица1[Order ID],Таблица1[[#This Row],[Order ID]])</f>
        <v>1</v>
      </c>
      <c r="Z2969" s="9">
        <f>1/COUNTIFS(Таблица1[Customer Name],Таблица1[[#This Row],[Customer Name]],Таблица1[Order-Year-Month],Таблица1[[#This Row],[Order-Year-Month]])</f>
        <v>1</v>
      </c>
    </row>
    <row r="2970" spans="1:26" x14ac:dyDescent="0.2">
      <c r="A2970" s="6">
        <v>590</v>
      </c>
      <c r="B2970" s="7">
        <v>4033</v>
      </c>
      <c r="C2970" s="8">
        <f>DATE(2012,12,31)-944</f>
        <v>40330</v>
      </c>
      <c r="D2970" s="8" t="str">
        <f t="shared" si="56"/>
        <v>2010-06 (июнь 2010)</v>
      </c>
      <c r="E2970" s="9" t="s">
        <v>21</v>
      </c>
      <c r="F2970" s="7">
        <v>38</v>
      </c>
      <c r="G2970" s="7">
        <v>19269.05</v>
      </c>
      <c r="H2970" s="7">
        <v>0</v>
      </c>
      <c r="I2970" s="9" t="s">
        <v>31</v>
      </c>
      <c r="J2970" s="10">
        <v>4127.79</v>
      </c>
      <c r="K2970" s="11">
        <v>500.98</v>
      </c>
      <c r="L2970" s="11">
        <v>41.44</v>
      </c>
      <c r="M2970" s="9" t="s">
        <v>1571</v>
      </c>
      <c r="N2970" s="6" t="s">
        <v>974</v>
      </c>
      <c r="O2970" s="6" t="s">
        <v>512</v>
      </c>
      <c r="P2970" s="9" t="s">
        <v>33</v>
      </c>
      <c r="Q2970" s="9" t="s">
        <v>49</v>
      </c>
      <c r="R2970" s="9" t="s">
        <v>80</v>
      </c>
      <c r="S2970" s="7" t="s">
        <v>1572</v>
      </c>
      <c r="T2970" s="9" t="s">
        <v>82</v>
      </c>
      <c r="U2970" s="7">
        <v>0.66</v>
      </c>
      <c r="V2970" s="12">
        <f>C2970+7</f>
        <v>40337</v>
      </c>
      <c r="W2970">
        <f>IF(D2970=' Pivot Tables'!$A$4,1,0)</f>
        <v>0</v>
      </c>
      <c r="X2970">
        <f>IF(AND(LEFT(D2970,4)+1=LEFT(' Pivot Tables'!$A$4,4)+0,RIGHT(LEFT(D2970,7),2)=RIGHT(LEFT(' Pivot Tables'!$A$4,7),2)),1,0)</f>
        <v>0</v>
      </c>
      <c r="Y2970" s="6">
        <f>1/COUNTIF(Таблица1[Order ID],Таблица1[[#This Row],[Order ID]])</f>
        <v>0.5</v>
      </c>
      <c r="Z2970" s="9">
        <f>1/COUNTIFS(Таблица1[Customer Name],Таблица1[[#This Row],[Customer Name]],Таблица1[Order-Year-Month],Таблица1[[#This Row],[Order-Year-Month]])</f>
        <v>0.5</v>
      </c>
    </row>
    <row r="2971" spans="1:26" x14ac:dyDescent="0.2">
      <c r="A2971" s="6">
        <v>662</v>
      </c>
      <c r="B2971" s="7">
        <v>4647</v>
      </c>
      <c r="C2971" s="8">
        <f>DATE(2012,12,31)-1328</f>
        <v>39946</v>
      </c>
      <c r="D2971" s="8" t="str">
        <f t="shared" si="56"/>
        <v>2009-05 (май 2009)</v>
      </c>
      <c r="E2971" s="9" t="s">
        <v>63</v>
      </c>
      <c r="F2971" s="7">
        <v>33</v>
      </c>
      <c r="G2971" s="7">
        <v>1590.163</v>
      </c>
      <c r="H2971" s="7">
        <v>0.01</v>
      </c>
      <c r="I2971" s="9" t="s">
        <v>22</v>
      </c>
      <c r="J2971" s="10">
        <v>-57.541000000000004</v>
      </c>
      <c r="K2971" s="11">
        <v>55.99</v>
      </c>
      <c r="L2971" s="11">
        <v>5</v>
      </c>
      <c r="M2971" s="9" t="s">
        <v>1457</v>
      </c>
      <c r="N2971" s="6" t="s">
        <v>974</v>
      </c>
      <c r="O2971" s="6" t="s">
        <v>512</v>
      </c>
      <c r="P2971" s="9" t="s">
        <v>41</v>
      </c>
      <c r="Q2971" s="9" t="s">
        <v>42</v>
      </c>
      <c r="R2971" s="9" t="s">
        <v>43</v>
      </c>
      <c r="S2971" s="7" t="s">
        <v>268</v>
      </c>
      <c r="T2971" s="9" t="s">
        <v>52</v>
      </c>
      <c r="U2971" s="7">
        <v>0.8</v>
      </c>
      <c r="V2971" s="12">
        <f>C2971+1</f>
        <v>39947</v>
      </c>
      <c r="W2971">
        <f>IF(D2971=' Pivot Tables'!$A$4,1,0)</f>
        <v>0</v>
      </c>
      <c r="X2971">
        <f>IF(AND(LEFT(D2971,4)+1=LEFT(' Pivot Tables'!$A$4,4)+0,RIGHT(LEFT(D2971,7),2)=RIGHT(LEFT(' Pivot Tables'!$A$4,7),2)),1,0)</f>
        <v>0</v>
      </c>
      <c r="Y2971" s="6">
        <f>1/COUNTIF(Таблица1[Order ID],Таблица1[[#This Row],[Order ID]])</f>
        <v>0.25</v>
      </c>
      <c r="Z2971" s="9">
        <f>1/COUNTIFS(Таблица1[Customer Name],Таблица1[[#This Row],[Customer Name]],Таблица1[Order-Year-Month],Таблица1[[#This Row],[Order-Year-Month]])</f>
        <v>0.25</v>
      </c>
    </row>
    <row r="2972" spans="1:26" x14ac:dyDescent="0.2">
      <c r="A2972" s="6">
        <v>686</v>
      </c>
      <c r="B2972" s="7">
        <v>4773</v>
      </c>
      <c r="C2972" s="8">
        <f>DATE(2012,12,31)-375</f>
        <v>40899</v>
      </c>
      <c r="D2972" s="8" t="str">
        <f t="shared" si="56"/>
        <v>2011-12 (декабрь 2011)</v>
      </c>
      <c r="E2972" s="9" t="s">
        <v>78</v>
      </c>
      <c r="F2972" s="7">
        <v>26</v>
      </c>
      <c r="G2972" s="7">
        <v>311.38</v>
      </c>
      <c r="H2972" s="7">
        <v>0.06</v>
      </c>
      <c r="I2972" s="9" t="s">
        <v>22</v>
      </c>
      <c r="J2972" s="10">
        <v>34.119999999999997</v>
      </c>
      <c r="K2972" s="11">
        <v>11.58</v>
      </c>
      <c r="L2972" s="11">
        <v>5.72</v>
      </c>
      <c r="M2972" s="9" t="s">
        <v>1568</v>
      </c>
      <c r="N2972" s="6" t="s">
        <v>974</v>
      </c>
      <c r="O2972" s="6" t="s">
        <v>512</v>
      </c>
      <c r="P2972" s="9" t="s">
        <v>60</v>
      </c>
      <c r="Q2972" s="9" t="s">
        <v>26</v>
      </c>
      <c r="R2972" s="9" t="s">
        <v>76</v>
      </c>
      <c r="S2972" s="7" t="s">
        <v>304</v>
      </c>
      <c r="T2972" s="9" t="s">
        <v>39</v>
      </c>
      <c r="U2972" s="7">
        <v>0.35</v>
      </c>
      <c r="V2972" s="12">
        <f>C2972+1</f>
        <v>40900</v>
      </c>
      <c r="W2972">
        <f>IF(D2972=' Pivot Tables'!$A$4,1,0)</f>
        <v>0</v>
      </c>
      <c r="X2972">
        <f>IF(AND(LEFT(D2972,4)+1=LEFT(' Pivot Tables'!$A$4,4)+0,RIGHT(LEFT(D2972,7),2)=RIGHT(LEFT(' Pivot Tables'!$A$4,7),2)),1,0)</f>
        <v>0</v>
      </c>
      <c r="Y2972" s="6">
        <f>1/COUNTIF(Таблица1[Order ID],Таблица1[[#This Row],[Order ID]])</f>
        <v>0.5</v>
      </c>
      <c r="Z2972" s="9">
        <f>1/COUNTIFS(Таблица1[Customer Name],Таблица1[[#This Row],[Customer Name]],Таблица1[Order-Year-Month],Таблица1[[#This Row],[Order-Year-Month]])</f>
        <v>0.25</v>
      </c>
    </row>
    <row r="2973" spans="1:26" x14ac:dyDescent="0.2">
      <c r="A2973" s="6">
        <v>724</v>
      </c>
      <c r="B2973" s="7">
        <v>5189</v>
      </c>
      <c r="C2973" s="8">
        <f>DATE(2012,12,31)-767</f>
        <v>40507</v>
      </c>
      <c r="D2973" s="8" t="str">
        <f t="shared" si="56"/>
        <v>2010-11 (ноябрь 2010)</v>
      </c>
      <c r="E2973" s="9" t="s">
        <v>21</v>
      </c>
      <c r="F2973" s="7">
        <v>8</v>
      </c>
      <c r="G2973" s="7">
        <v>24.72</v>
      </c>
      <c r="H2973" s="7">
        <v>0.06</v>
      </c>
      <c r="I2973" s="9" t="s">
        <v>22</v>
      </c>
      <c r="J2973" s="10">
        <v>-21.47</v>
      </c>
      <c r="K2973" s="11">
        <v>2.74</v>
      </c>
      <c r="L2973" s="11">
        <v>3.5</v>
      </c>
      <c r="M2973" s="9" t="s">
        <v>1521</v>
      </c>
      <c r="N2973" s="6" t="s">
        <v>974</v>
      </c>
      <c r="O2973" s="6" t="s">
        <v>512</v>
      </c>
      <c r="P2973" s="9" t="s">
        <v>41</v>
      </c>
      <c r="Q2973" s="9" t="s">
        <v>26</v>
      </c>
      <c r="R2973" s="9" t="s">
        <v>95</v>
      </c>
      <c r="S2973" s="7" t="s">
        <v>1573</v>
      </c>
      <c r="T2973" s="9" t="s">
        <v>52</v>
      </c>
      <c r="U2973" s="7">
        <v>0.57999999999999996</v>
      </c>
      <c r="V2973" s="12">
        <f>C2973+2</f>
        <v>40509</v>
      </c>
      <c r="W2973">
        <f>IF(D2973=' Pivot Tables'!$A$4,1,0)</f>
        <v>0</v>
      </c>
      <c r="X2973">
        <f>IF(AND(LEFT(D2973,4)+1=LEFT(' Pivot Tables'!$A$4,4)+0,RIGHT(LEFT(D2973,7),2)=RIGHT(LEFT(' Pivot Tables'!$A$4,7),2)),1,0)</f>
        <v>0</v>
      </c>
      <c r="Y2973" s="6">
        <f>1/COUNTIF(Таблица1[Order ID],Таблица1[[#This Row],[Order ID]])</f>
        <v>0.33333333333333331</v>
      </c>
      <c r="Z2973" s="9">
        <f>1/COUNTIFS(Таблица1[Customer Name],Таблица1[[#This Row],[Customer Name]],Таблица1[Order-Year-Month],Таблица1[[#This Row],[Order-Year-Month]])</f>
        <v>0.33333333333333331</v>
      </c>
    </row>
    <row r="2974" spans="1:26" x14ac:dyDescent="0.2">
      <c r="A2974" s="6">
        <v>772</v>
      </c>
      <c r="B2974" s="7">
        <v>5510</v>
      </c>
      <c r="C2974" s="8">
        <f>DATE(2012,12,31)-1089</f>
        <v>40185</v>
      </c>
      <c r="D2974" s="8" t="str">
        <f t="shared" si="56"/>
        <v>2010-01 (январь 2010)</v>
      </c>
      <c r="E2974" s="9" t="s">
        <v>63</v>
      </c>
      <c r="F2974" s="7">
        <v>12</v>
      </c>
      <c r="G2974" s="7">
        <v>116.38</v>
      </c>
      <c r="H2974" s="7">
        <v>0.08</v>
      </c>
      <c r="I2974" s="9" t="s">
        <v>22</v>
      </c>
      <c r="J2974" s="10">
        <v>29.68</v>
      </c>
      <c r="K2974" s="11">
        <v>9.68</v>
      </c>
      <c r="L2974" s="11">
        <v>2.0299999999999998</v>
      </c>
      <c r="M2974" s="9" t="s">
        <v>1570</v>
      </c>
      <c r="N2974" s="6" t="s">
        <v>974</v>
      </c>
      <c r="O2974" s="6" t="s">
        <v>512</v>
      </c>
      <c r="P2974" s="9" t="s">
        <v>60</v>
      </c>
      <c r="Q2974" s="9" t="s">
        <v>26</v>
      </c>
      <c r="R2974" s="9" t="s">
        <v>61</v>
      </c>
      <c r="S2974" s="7" t="s">
        <v>1119</v>
      </c>
      <c r="T2974" s="9" t="s">
        <v>68</v>
      </c>
      <c r="U2974" s="7">
        <v>0.37</v>
      </c>
      <c r="V2974" s="12">
        <f>C2974+3</f>
        <v>40188</v>
      </c>
      <c r="W2974">
        <f>IF(D2974=' Pivot Tables'!$A$4,1,0)</f>
        <v>1</v>
      </c>
      <c r="X2974">
        <f>IF(AND(LEFT(D2974,4)+1=LEFT(' Pivot Tables'!$A$4,4)+0,RIGHT(LEFT(D2974,7),2)=RIGHT(LEFT(' Pivot Tables'!$A$4,7),2)),1,0)</f>
        <v>0</v>
      </c>
      <c r="Y2974" s="6">
        <f>1/COUNTIF(Таблица1[Order ID],Таблица1[[#This Row],[Order ID]])</f>
        <v>1</v>
      </c>
      <c r="Z2974" s="9">
        <f>1/COUNTIFS(Таблица1[Customer Name],Таблица1[[#This Row],[Customer Name]],Таблица1[Order-Year-Month],Таблица1[[#This Row],[Order-Year-Month]])</f>
        <v>1</v>
      </c>
    </row>
    <row r="2975" spans="1:26" x14ac:dyDescent="0.2">
      <c r="A2975" s="6">
        <v>886</v>
      </c>
      <c r="B2975" s="7">
        <v>6369</v>
      </c>
      <c r="C2975" s="8">
        <f>DATE(2012,12,31)-1108</f>
        <v>40166</v>
      </c>
      <c r="D2975" s="8" t="str">
        <f t="shared" si="56"/>
        <v>2009-12 (декабрь 2009)</v>
      </c>
      <c r="E2975" s="9" t="s">
        <v>30</v>
      </c>
      <c r="F2975" s="7">
        <v>30</v>
      </c>
      <c r="G2975" s="7">
        <v>14922.16</v>
      </c>
      <c r="H2975" s="7">
        <v>0.1</v>
      </c>
      <c r="I2975" s="9" t="s">
        <v>31</v>
      </c>
      <c r="J2975" s="10">
        <v>545.69745</v>
      </c>
      <c r="K2975" s="11">
        <v>550.98</v>
      </c>
      <c r="L2975" s="11">
        <v>45.7</v>
      </c>
      <c r="M2975" s="9" t="s">
        <v>1570</v>
      </c>
      <c r="N2975" s="6" t="s">
        <v>974</v>
      </c>
      <c r="O2975" s="6" t="s">
        <v>512</v>
      </c>
      <c r="P2975" s="9" t="s">
        <v>41</v>
      </c>
      <c r="Q2975" s="9" t="s">
        <v>49</v>
      </c>
      <c r="R2975" s="9" t="s">
        <v>83</v>
      </c>
      <c r="S2975" s="7" t="s">
        <v>1557</v>
      </c>
      <c r="T2975" s="9" t="s">
        <v>82</v>
      </c>
      <c r="U2975" s="7">
        <v>0.71</v>
      </c>
      <c r="V2975" s="12">
        <f>C2975+2</f>
        <v>40168</v>
      </c>
      <c r="W2975">
        <f>IF(D2975=' Pivot Tables'!$A$4,1,0)</f>
        <v>0</v>
      </c>
      <c r="X2975">
        <f>IF(AND(LEFT(D2975,4)+1=LEFT(' Pivot Tables'!$A$4,4)+0,RIGHT(LEFT(D2975,7),2)=RIGHT(LEFT(' Pivot Tables'!$A$4,7),2)),1,0)</f>
        <v>0</v>
      </c>
      <c r="Y2975" s="6">
        <f>1/COUNTIF(Таблица1[Order ID],Таблица1[[#This Row],[Order ID]])</f>
        <v>1</v>
      </c>
      <c r="Z2975" s="9">
        <f>1/COUNTIFS(Таблица1[Customer Name],Таблица1[[#This Row],[Customer Name]],Таблица1[Order-Year-Month],Таблица1[[#This Row],[Order-Year-Month]])</f>
        <v>1</v>
      </c>
    </row>
    <row r="2976" spans="1:26" x14ac:dyDescent="0.2">
      <c r="A2976" s="6">
        <v>887</v>
      </c>
      <c r="B2976" s="7">
        <v>6373</v>
      </c>
      <c r="C2976" s="8">
        <f>DATE(2012,12,31)-343</f>
        <v>40931</v>
      </c>
      <c r="D2976" s="8" t="str">
        <f t="shared" si="56"/>
        <v>2012-01 (январь 2012)</v>
      </c>
      <c r="E2976" s="9" t="s">
        <v>45</v>
      </c>
      <c r="F2976" s="7">
        <v>1</v>
      </c>
      <c r="G2976" s="7">
        <v>62.77</v>
      </c>
      <c r="H2976" s="7">
        <v>0.01</v>
      </c>
      <c r="I2976" s="9" t="s">
        <v>22</v>
      </c>
      <c r="J2976" s="10">
        <v>-36.840000000000003</v>
      </c>
      <c r="K2976" s="11">
        <v>60.97</v>
      </c>
      <c r="L2976" s="11">
        <v>4.5</v>
      </c>
      <c r="M2976" s="9" t="s">
        <v>1570</v>
      </c>
      <c r="N2976" s="6" t="s">
        <v>974</v>
      </c>
      <c r="O2976" s="6" t="s">
        <v>512</v>
      </c>
      <c r="P2976" s="9" t="s">
        <v>60</v>
      </c>
      <c r="Q2976" s="9" t="s">
        <v>26</v>
      </c>
      <c r="R2976" s="9" t="s">
        <v>34</v>
      </c>
      <c r="S2976" s="7" t="s">
        <v>1574</v>
      </c>
      <c r="T2976" s="9" t="s">
        <v>39</v>
      </c>
      <c r="U2976" s="7">
        <v>0.56000000000000005</v>
      </c>
      <c r="V2976" s="12">
        <f>C2976+1</f>
        <v>40932</v>
      </c>
      <c r="W2976">
        <f>IF(D2976=' Pivot Tables'!$A$4,1,0)</f>
        <v>0</v>
      </c>
      <c r="X2976">
        <f>IF(AND(LEFT(D2976,4)+1=LEFT(' Pivot Tables'!$A$4,4)+0,RIGHT(LEFT(D2976,7),2)=RIGHT(LEFT(' Pivot Tables'!$A$4,7),2)),1,0)</f>
        <v>0</v>
      </c>
      <c r="Y2976" s="6">
        <f>1/COUNTIF(Таблица1[Order ID],Таблица1[[#This Row],[Order ID]])</f>
        <v>1</v>
      </c>
      <c r="Z2976" s="9">
        <f>1/COUNTIFS(Таблица1[Customer Name],Таблица1[[#This Row],[Customer Name]],Таблица1[Order-Year-Month],Таблица1[[#This Row],[Order-Year-Month]])</f>
        <v>1</v>
      </c>
    </row>
    <row r="2977" spans="1:26" x14ac:dyDescent="0.2">
      <c r="A2977" s="6">
        <v>900</v>
      </c>
      <c r="B2977" s="7">
        <v>6465</v>
      </c>
      <c r="C2977" s="8">
        <f>DATE(2012,12,31)-507</f>
        <v>40767</v>
      </c>
      <c r="D2977" s="8" t="str">
        <f t="shared" si="56"/>
        <v>2011-08 (август 2011)</v>
      </c>
      <c r="E2977" s="9" t="s">
        <v>21</v>
      </c>
      <c r="F2977" s="7">
        <v>36</v>
      </c>
      <c r="G2977" s="7">
        <v>240.14</v>
      </c>
      <c r="H2977" s="7">
        <v>0.06</v>
      </c>
      <c r="I2977" s="9" t="s">
        <v>56</v>
      </c>
      <c r="J2977" s="10">
        <v>57.78</v>
      </c>
      <c r="K2977" s="11">
        <v>6.88</v>
      </c>
      <c r="L2977" s="11">
        <v>2</v>
      </c>
      <c r="M2977" s="9" t="s">
        <v>1538</v>
      </c>
      <c r="N2977" s="6" t="s">
        <v>974</v>
      </c>
      <c r="O2977" s="6" t="s">
        <v>512</v>
      </c>
      <c r="P2977" s="9" t="s">
        <v>25</v>
      </c>
      <c r="Q2977" s="9" t="s">
        <v>26</v>
      </c>
      <c r="R2977" s="9" t="s">
        <v>61</v>
      </c>
      <c r="S2977" s="7" t="s">
        <v>1063</v>
      </c>
      <c r="T2977" s="9" t="s">
        <v>68</v>
      </c>
      <c r="U2977" s="7">
        <v>0.39</v>
      </c>
      <c r="V2977" s="12">
        <f>C2977+7</f>
        <v>40774</v>
      </c>
      <c r="W2977">
        <f>IF(D2977=' Pivot Tables'!$A$4,1,0)</f>
        <v>0</v>
      </c>
      <c r="X2977">
        <f>IF(AND(LEFT(D2977,4)+1=LEFT(' Pivot Tables'!$A$4,4)+0,RIGHT(LEFT(D2977,7),2)=RIGHT(LEFT(' Pivot Tables'!$A$4,7),2)),1,0)</f>
        <v>0</v>
      </c>
      <c r="Y2977" s="6">
        <f>1/COUNTIF(Таблица1[Order ID],Таблица1[[#This Row],[Order ID]])</f>
        <v>1</v>
      </c>
      <c r="Z2977" s="9">
        <f>1/COUNTIFS(Таблица1[Customer Name],Таблица1[[#This Row],[Customer Name]],Таблица1[Order-Year-Month],Таблица1[[#This Row],[Order-Year-Month]])</f>
        <v>1</v>
      </c>
    </row>
    <row r="2978" spans="1:26" x14ac:dyDescent="0.2">
      <c r="A2978" s="6">
        <v>953</v>
      </c>
      <c r="B2978" s="7">
        <v>6885</v>
      </c>
      <c r="C2978" s="8">
        <f>DATE(2012,12,31)-195</f>
        <v>41079</v>
      </c>
      <c r="D2978" s="8" t="str">
        <f t="shared" si="56"/>
        <v>2012-06 (июнь 2012)</v>
      </c>
      <c r="E2978" s="9" t="s">
        <v>21</v>
      </c>
      <c r="F2978" s="7">
        <v>40</v>
      </c>
      <c r="G2978" s="7">
        <v>879.54</v>
      </c>
      <c r="H2978" s="7">
        <v>0.09</v>
      </c>
      <c r="I2978" s="9" t="s">
        <v>22</v>
      </c>
      <c r="J2978" s="10">
        <v>166.93</v>
      </c>
      <c r="K2978" s="11">
        <v>23.99</v>
      </c>
      <c r="L2978" s="11">
        <v>6.3</v>
      </c>
      <c r="M2978" s="9" t="s">
        <v>1484</v>
      </c>
      <c r="N2978" s="6" t="s">
        <v>974</v>
      </c>
      <c r="O2978" s="6" t="s">
        <v>512</v>
      </c>
      <c r="P2978" s="9" t="s">
        <v>41</v>
      </c>
      <c r="Q2978" s="9" t="s">
        <v>42</v>
      </c>
      <c r="R2978" s="9" t="s">
        <v>210</v>
      </c>
      <c r="S2978" s="7" t="s">
        <v>595</v>
      </c>
      <c r="T2978" s="9" t="s">
        <v>48</v>
      </c>
      <c r="U2978" s="7">
        <v>0.38</v>
      </c>
      <c r="V2978" s="12">
        <f>C2978+0</f>
        <v>41079</v>
      </c>
      <c r="W2978">
        <f>IF(D2978=' Pivot Tables'!$A$4,1,0)</f>
        <v>0</v>
      </c>
      <c r="X2978">
        <f>IF(AND(LEFT(D2978,4)+1=LEFT(' Pivot Tables'!$A$4,4)+0,RIGHT(LEFT(D2978,7),2)=RIGHT(LEFT(' Pivot Tables'!$A$4,7),2)),1,0)</f>
        <v>0</v>
      </c>
      <c r="Y2978" s="6">
        <f>1/COUNTIF(Таблица1[Order ID],Таблица1[[#This Row],[Order ID]])</f>
        <v>0.5</v>
      </c>
      <c r="Z2978" s="9">
        <f>1/COUNTIFS(Таблица1[Customer Name],Таблица1[[#This Row],[Customer Name]],Таблица1[Order-Year-Month],Таблица1[[#This Row],[Order-Year-Month]])</f>
        <v>0.5</v>
      </c>
    </row>
    <row r="2979" spans="1:26" x14ac:dyDescent="0.2">
      <c r="A2979" s="6">
        <v>1004</v>
      </c>
      <c r="B2979" s="7">
        <v>7297</v>
      </c>
      <c r="C2979" s="8">
        <f>DATE(2012,12,31)-1204</f>
        <v>40070</v>
      </c>
      <c r="D2979" s="8" t="str">
        <f t="shared" si="56"/>
        <v>2009-09 (сентябрь 2009)</v>
      </c>
      <c r="E2979" s="9" t="s">
        <v>30</v>
      </c>
      <c r="F2979" s="7">
        <v>4</v>
      </c>
      <c r="G2979" s="7">
        <v>1620.94</v>
      </c>
      <c r="H2979" s="7">
        <v>0.1</v>
      </c>
      <c r="I2979" s="9" t="s">
        <v>31</v>
      </c>
      <c r="J2979" s="10">
        <v>-969.0483660000001</v>
      </c>
      <c r="K2979" s="11">
        <v>400.98</v>
      </c>
      <c r="L2979" s="11">
        <v>76.37</v>
      </c>
      <c r="M2979" s="9" t="s">
        <v>1575</v>
      </c>
      <c r="N2979" s="6" t="s">
        <v>974</v>
      </c>
      <c r="O2979" s="6" t="s">
        <v>512</v>
      </c>
      <c r="P2979" s="9" t="s">
        <v>25</v>
      </c>
      <c r="Q2979" s="9" t="s">
        <v>49</v>
      </c>
      <c r="R2979" s="9" t="s">
        <v>83</v>
      </c>
      <c r="S2979" s="7" t="s">
        <v>1136</v>
      </c>
      <c r="T2979" s="9" t="s">
        <v>82</v>
      </c>
      <c r="U2979" s="7">
        <v>0.6</v>
      </c>
      <c r="V2979" s="12">
        <f>C2979+1</f>
        <v>40071</v>
      </c>
      <c r="W2979">
        <f>IF(D2979=' Pivot Tables'!$A$4,1,0)</f>
        <v>0</v>
      </c>
      <c r="X2979">
        <f>IF(AND(LEFT(D2979,4)+1=LEFT(' Pivot Tables'!$A$4,4)+0,RIGHT(LEFT(D2979,7),2)=RIGHT(LEFT(' Pivot Tables'!$A$4,7),2)),1,0)</f>
        <v>0</v>
      </c>
      <c r="Y2979" s="6">
        <f>1/COUNTIF(Таблица1[Order ID],Таблица1[[#This Row],[Order ID]])</f>
        <v>0.33333333333333331</v>
      </c>
      <c r="Z2979" s="9">
        <f>1/COUNTIFS(Таблица1[Customer Name],Таблица1[[#This Row],[Customer Name]],Таблица1[Order-Year-Month],Таблица1[[#This Row],[Order-Year-Month]])</f>
        <v>0.33333333333333331</v>
      </c>
    </row>
    <row r="2980" spans="1:26" x14ac:dyDescent="0.2">
      <c r="A2980" s="6">
        <v>1009</v>
      </c>
      <c r="B2980" s="7">
        <v>7367</v>
      </c>
      <c r="C2980" s="8">
        <f>DATE(2012,12,31)-575</f>
        <v>40699</v>
      </c>
      <c r="D2980" s="8" t="str">
        <f t="shared" si="56"/>
        <v>2011-06 (июнь 2011)</v>
      </c>
      <c r="E2980" s="9" t="s">
        <v>21</v>
      </c>
      <c r="F2980" s="7">
        <v>48</v>
      </c>
      <c r="G2980" s="7">
        <v>269.93</v>
      </c>
      <c r="H2980" s="7">
        <v>0.05</v>
      </c>
      <c r="I2980" s="9" t="s">
        <v>56</v>
      </c>
      <c r="J2980" s="10">
        <v>119.64</v>
      </c>
      <c r="K2980" s="11">
        <v>5.43</v>
      </c>
      <c r="L2980" s="11">
        <v>0.95</v>
      </c>
      <c r="M2980" s="9" t="s">
        <v>1458</v>
      </c>
      <c r="N2980" s="6" t="s">
        <v>974</v>
      </c>
      <c r="O2980" s="6" t="s">
        <v>512</v>
      </c>
      <c r="P2980" s="9" t="s">
        <v>25</v>
      </c>
      <c r="Q2980" s="9" t="s">
        <v>26</v>
      </c>
      <c r="R2980" s="9" t="s">
        <v>61</v>
      </c>
      <c r="S2980" s="7" t="s">
        <v>588</v>
      </c>
      <c r="T2980" s="9" t="s">
        <v>68</v>
      </c>
      <c r="U2980" s="7">
        <v>0.36</v>
      </c>
      <c r="V2980" s="12">
        <f>C2980+5</f>
        <v>40704</v>
      </c>
      <c r="W2980">
        <f>IF(D2980=' Pivot Tables'!$A$4,1,0)</f>
        <v>0</v>
      </c>
      <c r="X2980">
        <f>IF(AND(LEFT(D2980,4)+1=LEFT(' Pivot Tables'!$A$4,4)+0,RIGHT(LEFT(D2980,7),2)=RIGHT(LEFT(' Pivot Tables'!$A$4,7),2)),1,0)</f>
        <v>0</v>
      </c>
      <c r="Y2980" s="6">
        <f>1/COUNTIF(Таблица1[Order ID],Таблица1[[#This Row],[Order ID]])</f>
        <v>0.5</v>
      </c>
      <c r="Z2980" s="9">
        <f>1/COUNTIFS(Таблица1[Customer Name],Таблица1[[#This Row],[Customer Name]],Таблица1[Order-Year-Month],Таблица1[[#This Row],[Order-Year-Month]])</f>
        <v>0.5</v>
      </c>
    </row>
    <row r="2981" spans="1:26" x14ac:dyDescent="0.2">
      <c r="A2981" s="6">
        <v>1051</v>
      </c>
      <c r="B2981" s="7">
        <v>7751</v>
      </c>
      <c r="C2981" s="8">
        <f>DATE(2012,12,31)-8</f>
        <v>41266</v>
      </c>
      <c r="D2981" s="8" t="str">
        <f t="shared" si="56"/>
        <v>2012-12 (декабрь 2012)</v>
      </c>
      <c r="E2981" s="9" t="s">
        <v>45</v>
      </c>
      <c r="F2981" s="7">
        <v>45</v>
      </c>
      <c r="G2981" s="7">
        <v>4547.8999999999996</v>
      </c>
      <c r="H2981" s="7">
        <v>0.01</v>
      </c>
      <c r="I2981" s="9" t="s">
        <v>31</v>
      </c>
      <c r="J2981" s="10">
        <v>-768.14</v>
      </c>
      <c r="K2981" s="11">
        <v>95.98</v>
      </c>
      <c r="L2981" s="11">
        <v>58.2</v>
      </c>
      <c r="M2981" s="9" t="s">
        <v>1264</v>
      </c>
      <c r="N2981" s="6" t="s">
        <v>974</v>
      </c>
      <c r="O2981" s="6" t="s">
        <v>512</v>
      </c>
      <c r="P2981" s="9" t="s">
        <v>41</v>
      </c>
      <c r="Q2981" s="9" t="s">
        <v>49</v>
      </c>
      <c r="R2981" s="9" t="s">
        <v>112</v>
      </c>
      <c r="S2981" s="7" t="s">
        <v>1321</v>
      </c>
      <c r="T2981" s="9" t="s">
        <v>36</v>
      </c>
      <c r="U2981" s="7">
        <v>0.57999999999999996</v>
      </c>
      <c r="V2981" s="12">
        <f>C2981+1</f>
        <v>41267</v>
      </c>
      <c r="W2981">
        <f>IF(D2981=' Pivot Tables'!$A$4,1,0)</f>
        <v>0</v>
      </c>
      <c r="X2981">
        <f>IF(AND(LEFT(D2981,4)+1=LEFT(' Pivot Tables'!$A$4,4)+0,RIGHT(LEFT(D2981,7),2)=RIGHT(LEFT(' Pivot Tables'!$A$4,7),2)),1,0)</f>
        <v>0</v>
      </c>
      <c r="Y2981" s="6">
        <f>1/COUNTIF(Таблица1[Order ID],Таблица1[[#This Row],[Order ID]])</f>
        <v>1</v>
      </c>
      <c r="Z2981" s="9">
        <f>1/COUNTIFS(Таблица1[Customer Name],Таблица1[[#This Row],[Customer Name]],Таблица1[Order-Year-Month],Таблица1[[#This Row],[Order-Year-Month]])</f>
        <v>1</v>
      </c>
    </row>
    <row r="2982" spans="1:26" x14ac:dyDescent="0.2">
      <c r="A2982" s="6">
        <v>1159</v>
      </c>
      <c r="B2982" s="7">
        <v>8422</v>
      </c>
      <c r="C2982" s="8">
        <f>DATE(2012,12,31)-1357</f>
        <v>39917</v>
      </c>
      <c r="D2982" s="8" t="str">
        <f t="shared" si="56"/>
        <v>2009-04 (апрель 2009)</v>
      </c>
      <c r="E2982" s="9" t="s">
        <v>63</v>
      </c>
      <c r="F2982" s="7">
        <v>18</v>
      </c>
      <c r="G2982" s="7">
        <v>4212.7519999999995</v>
      </c>
      <c r="H2982" s="7">
        <v>0.06</v>
      </c>
      <c r="I2982" s="9" t="s">
        <v>31</v>
      </c>
      <c r="J2982" s="10">
        <v>-715.7782060000003</v>
      </c>
      <c r="K2982" s="11">
        <v>296.18</v>
      </c>
      <c r="L2982" s="11">
        <v>54.12</v>
      </c>
      <c r="M2982" s="9" t="s">
        <v>1576</v>
      </c>
      <c r="N2982" s="6" t="s">
        <v>974</v>
      </c>
      <c r="O2982" s="6" t="s">
        <v>512</v>
      </c>
      <c r="P2982" s="9" t="s">
        <v>60</v>
      </c>
      <c r="Q2982" s="9" t="s">
        <v>49</v>
      </c>
      <c r="R2982" s="9" t="s">
        <v>83</v>
      </c>
      <c r="S2982" s="7" t="s">
        <v>425</v>
      </c>
      <c r="T2982" s="9" t="s">
        <v>82</v>
      </c>
      <c r="U2982" s="7">
        <v>0.76</v>
      </c>
      <c r="V2982" s="12">
        <f>C2982+1</f>
        <v>39918</v>
      </c>
      <c r="W2982">
        <f>IF(D2982=' Pivot Tables'!$A$4,1,0)</f>
        <v>0</v>
      </c>
      <c r="X2982">
        <f>IF(AND(LEFT(D2982,4)+1=LEFT(' Pivot Tables'!$A$4,4)+0,RIGHT(LEFT(D2982,7),2)=RIGHT(LEFT(' Pivot Tables'!$A$4,7),2)),1,0)</f>
        <v>0</v>
      </c>
      <c r="Y2982" s="6">
        <f>1/COUNTIF(Таблица1[Order ID],Таблица1[[#This Row],[Order ID]])</f>
        <v>0.5</v>
      </c>
      <c r="Z2982" s="9">
        <f>1/COUNTIFS(Таблица1[Customer Name],Таблица1[[#This Row],[Customer Name]],Таблица1[Order-Year-Month],Таблица1[[#This Row],[Order-Year-Month]])</f>
        <v>0.5</v>
      </c>
    </row>
    <row r="2983" spans="1:26" x14ac:dyDescent="0.2">
      <c r="A2983" s="6">
        <v>1244</v>
      </c>
      <c r="B2983" s="7">
        <v>9062</v>
      </c>
      <c r="C2983" s="8">
        <f>DATE(2012,12,31)-652</f>
        <v>40622</v>
      </c>
      <c r="D2983" s="8" t="str">
        <f t="shared" si="56"/>
        <v>2011-03 (март 2011)</v>
      </c>
      <c r="E2983" s="9" t="s">
        <v>30</v>
      </c>
      <c r="F2983" s="7">
        <v>32</v>
      </c>
      <c r="G2983" s="7">
        <v>119.2</v>
      </c>
      <c r="H2983" s="7">
        <v>0.06</v>
      </c>
      <c r="I2983" s="9" t="s">
        <v>22</v>
      </c>
      <c r="J2983" s="10">
        <v>30.61</v>
      </c>
      <c r="K2983" s="11">
        <v>3.93</v>
      </c>
      <c r="L2983" s="11">
        <v>0.99</v>
      </c>
      <c r="M2983" s="9" t="s">
        <v>1462</v>
      </c>
      <c r="N2983" s="6" t="s">
        <v>974</v>
      </c>
      <c r="O2983" s="6" t="s">
        <v>512</v>
      </c>
      <c r="P2983" s="9" t="s">
        <v>33</v>
      </c>
      <c r="Q2983" s="9" t="s">
        <v>26</v>
      </c>
      <c r="R2983" s="9" t="s">
        <v>66</v>
      </c>
      <c r="S2983" s="7" t="s">
        <v>386</v>
      </c>
      <c r="T2983" s="9" t="s">
        <v>68</v>
      </c>
      <c r="U2983" s="7">
        <v>0.39</v>
      </c>
      <c r="V2983" s="12">
        <f>C2983+1</f>
        <v>40623</v>
      </c>
      <c r="W2983">
        <f>IF(D2983=' Pivot Tables'!$A$4,1,0)</f>
        <v>0</v>
      </c>
      <c r="X2983">
        <f>IF(AND(LEFT(D2983,4)+1=LEFT(' Pivot Tables'!$A$4,4)+0,RIGHT(LEFT(D2983,7),2)=RIGHT(LEFT(' Pivot Tables'!$A$4,7),2)),1,0)</f>
        <v>0</v>
      </c>
      <c r="Y2983" s="6">
        <f>1/COUNTIF(Таблица1[Order ID],Таблица1[[#This Row],[Order ID]])</f>
        <v>0.5</v>
      </c>
      <c r="Z2983" s="9">
        <f>1/COUNTIFS(Таблица1[Customer Name],Таблица1[[#This Row],[Customer Name]],Таблица1[Order-Year-Month],Таблица1[[#This Row],[Order-Year-Month]])</f>
        <v>0.5</v>
      </c>
    </row>
    <row r="2984" spans="1:26" x14ac:dyDescent="0.2">
      <c r="A2984" s="6">
        <v>1403</v>
      </c>
      <c r="B2984" s="7">
        <v>10209</v>
      </c>
      <c r="C2984" s="8">
        <f>DATE(2012,12,31)-763</f>
        <v>40511</v>
      </c>
      <c r="D2984" s="8" t="str">
        <f t="shared" si="56"/>
        <v>2010-11 (ноябрь 2010)</v>
      </c>
      <c r="E2984" s="9" t="s">
        <v>63</v>
      </c>
      <c r="F2984" s="7">
        <v>48</v>
      </c>
      <c r="G2984" s="7">
        <v>418.82</v>
      </c>
      <c r="H2984" s="7">
        <v>0.02</v>
      </c>
      <c r="I2984" s="9" t="s">
        <v>22</v>
      </c>
      <c r="J2984" s="10">
        <v>-60.213999999999999</v>
      </c>
      <c r="K2984" s="11">
        <v>8.6</v>
      </c>
      <c r="L2984" s="11">
        <v>6.19</v>
      </c>
      <c r="M2984" s="9" t="s">
        <v>1464</v>
      </c>
      <c r="N2984" s="6" t="s">
        <v>974</v>
      </c>
      <c r="O2984" s="6" t="s">
        <v>512</v>
      </c>
      <c r="P2984" s="9" t="s">
        <v>41</v>
      </c>
      <c r="Q2984" s="9" t="s">
        <v>26</v>
      </c>
      <c r="R2984" s="9" t="s">
        <v>37</v>
      </c>
      <c r="S2984" s="7" t="s">
        <v>872</v>
      </c>
      <c r="T2984" s="9" t="s">
        <v>39</v>
      </c>
      <c r="U2984" s="7">
        <v>0.38</v>
      </c>
      <c r="V2984" s="12">
        <f>C2984+2</f>
        <v>40513</v>
      </c>
      <c r="W2984">
        <f>IF(D2984=' Pivot Tables'!$A$4,1,0)</f>
        <v>0</v>
      </c>
      <c r="X2984">
        <f>IF(AND(LEFT(D2984,4)+1=LEFT(' Pivot Tables'!$A$4,4)+0,RIGHT(LEFT(D2984,7),2)=RIGHT(LEFT(' Pivot Tables'!$A$4,7),2)),1,0)</f>
        <v>0</v>
      </c>
      <c r="Y2984" s="6">
        <f>1/COUNTIF(Таблица1[Order ID],Таблица1[[#This Row],[Order ID]])</f>
        <v>0.5</v>
      </c>
      <c r="Z2984" s="9">
        <f>1/COUNTIFS(Таблица1[Customer Name],Таблица1[[#This Row],[Customer Name]],Таблица1[Order-Year-Month],Таблица1[[#This Row],[Order-Year-Month]])</f>
        <v>0.5</v>
      </c>
    </row>
    <row r="2985" spans="1:26" x14ac:dyDescent="0.2">
      <c r="A2985" s="6">
        <v>1412</v>
      </c>
      <c r="B2985" s="7">
        <v>10245</v>
      </c>
      <c r="C2985" s="8">
        <f>DATE(2012,12,31)-687</f>
        <v>40587</v>
      </c>
      <c r="D2985" s="8" t="str">
        <f t="shared" si="56"/>
        <v>2011-02 (февраль 2011)</v>
      </c>
      <c r="E2985" s="9" t="s">
        <v>63</v>
      </c>
      <c r="F2985" s="7">
        <v>23</v>
      </c>
      <c r="G2985" s="7">
        <v>127.17</v>
      </c>
      <c r="H2985" s="7">
        <v>0.1</v>
      </c>
      <c r="I2985" s="9" t="s">
        <v>22</v>
      </c>
      <c r="J2985" s="10">
        <v>-108.1345</v>
      </c>
      <c r="K2985" s="11">
        <v>5.53</v>
      </c>
      <c r="L2985" s="11">
        <v>6.98</v>
      </c>
      <c r="M2985" s="9" t="s">
        <v>1481</v>
      </c>
      <c r="N2985" s="6" t="s">
        <v>974</v>
      </c>
      <c r="O2985" s="6" t="s">
        <v>512</v>
      </c>
      <c r="P2985" s="9" t="s">
        <v>41</v>
      </c>
      <c r="Q2985" s="9" t="s">
        <v>26</v>
      </c>
      <c r="R2985" s="9" t="s">
        <v>37</v>
      </c>
      <c r="S2985" s="7" t="s">
        <v>667</v>
      </c>
      <c r="T2985" s="9" t="s">
        <v>39</v>
      </c>
      <c r="U2985" s="7">
        <v>0.39</v>
      </c>
      <c r="V2985" s="12">
        <f>C2985+2</f>
        <v>40589</v>
      </c>
      <c r="W2985">
        <f>IF(D2985=' Pivot Tables'!$A$4,1,0)</f>
        <v>0</v>
      </c>
      <c r="X2985">
        <f>IF(AND(LEFT(D2985,4)+1=LEFT(' Pivot Tables'!$A$4,4)+0,RIGHT(LEFT(D2985,7),2)=RIGHT(LEFT(' Pivot Tables'!$A$4,7),2)),1,0)</f>
        <v>0</v>
      </c>
      <c r="Y2985" s="6">
        <f>1/COUNTIF(Таблица1[Order ID],Таблица1[[#This Row],[Order ID]])</f>
        <v>0.33333333333333331</v>
      </c>
      <c r="Z2985" s="9">
        <f>1/COUNTIFS(Таблица1[Customer Name],Таблица1[[#This Row],[Customer Name]],Таблица1[Order-Year-Month],Таблица1[[#This Row],[Order-Year-Month]])</f>
        <v>0.33333333333333331</v>
      </c>
    </row>
    <row r="2986" spans="1:26" x14ac:dyDescent="0.2">
      <c r="A2986" s="6">
        <v>1525</v>
      </c>
      <c r="B2986" s="7">
        <v>11008</v>
      </c>
      <c r="C2986" s="8">
        <f>DATE(2012,12,31)-1406</f>
        <v>39868</v>
      </c>
      <c r="D2986" s="8" t="str">
        <f t="shared" si="56"/>
        <v>2009-02 (февраль 2009)</v>
      </c>
      <c r="E2986" s="9" t="s">
        <v>78</v>
      </c>
      <c r="F2986" s="7">
        <v>17</v>
      </c>
      <c r="G2986" s="7">
        <v>2545.89</v>
      </c>
      <c r="H2986" s="7">
        <v>0.01</v>
      </c>
      <c r="I2986" s="9" t="s">
        <v>22</v>
      </c>
      <c r="J2986" s="10">
        <v>-321.51</v>
      </c>
      <c r="K2986" s="11">
        <v>138.13999999999999</v>
      </c>
      <c r="L2986" s="11">
        <v>35</v>
      </c>
      <c r="M2986" s="9" t="s">
        <v>1516</v>
      </c>
      <c r="N2986" s="6" t="s">
        <v>974</v>
      </c>
      <c r="O2986" s="6" t="s">
        <v>512</v>
      </c>
      <c r="P2986" s="9" t="s">
        <v>25</v>
      </c>
      <c r="Q2986" s="9" t="s">
        <v>26</v>
      </c>
      <c r="R2986" s="9" t="s">
        <v>27</v>
      </c>
      <c r="S2986" s="7" t="s">
        <v>58</v>
      </c>
      <c r="T2986" s="9" t="s">
        <v>29</v>
      </c>
      <c r="U2986" s="7"/>
      <c r="V2986" s="12">
        <f>C2986+2</f>
        <v>39870</v>
      </c>
      <c r="W2986">
        <f>IF(D2986=' Pivot Tables'!$A$4,1,0)</f>
        <v>0</v>
      </c>
      <c r="X2986">
        <f>IF(AND(LEFT(D2986,4)+1=LEFT(' Pivot Tables'!$A$4,4)+0,RIGHT(LEFT(D2986,7),2)=RIGHT(LEFT(' Pivot Tables'!$A$4,7),2)),1,0)</f>
        <v>0</v>
      </c>
      <c r="Y2986" s="6">
        <f>1/COUNTIF(Таблица1[Order ID],Таблица1[[#This Row],[Order ID]])</f>
        <v>1</v>
      </c>
      <c r="Z2986" s="9">
        <f>1/COUNTIFS(Таблица1[Customer Name],Таблица1[[#This Row],[Customer Name]],Таблица1[Order-Year-Month],Таблица1[[#This Row],[Order-Year-Month]])</f>
        <v>1</v>
      </c>
    </row>
    <row r="2987" spans="1:26" x14ac:dyDescent="0.2">
      <c r="A2987" s="6">
        <v>1600</v>
      </c>
      <c r="B2987" s="7">
        <v>11585</v>
      </c>
      <c r="C2987" s="8">
        <f>DATE(2012,12,31)-1387</f>
        <v>39887</v>
      </c>
      <c r="D2987" s="8" t="str">
        <f t="shared" si="56"/>
        <v>2009-03 (март 2009)</v>
      </c>
      <c r="E2987" s="9" t="s">
        <v>63</v>
      </c>
      <c r="F2987" s="7">
        <v>17</v>
      </c>
      <c r="G2987" s="7">
        <v>281.83999999999997</v>
      </c>
      <c r="H2987" s="7">
        <v>0.1</v>
      </c>
      <c r="I2987" s="9" t="s">
        <v>22</v>
      </c>
      <c r="J2987" s="10">
        <v>-99.55</v>
      </c>
      <c r="K2987" s="11">
        <v>17.98</v>
      </c>
      <c r="L2987" s="11">
        <v>4</v>
      </c>
      <c r="M2987" s="9" t="s">
        <v>1466</v>
      </c>
      <c r="N2987" s="6" t="s">
        <v>974</v>
      </c>
      <c r="O2987" s="6" t="s">
        <v>512</v>
      </c>
      <c r="P2987" s="9" t="s">
        <v>33</v>
      </c>
      <c r="Q2987" s="9" t="s">
        <v>42</v>
      </c>
      <c r="R2987" s="9" t="s">
        <v>70</v>
      </c>
      <c r="S2987" s="7" t="s">
        <v>846</v>
      </c>
      <c r="T2987" s="9" t="s">
        <v>39</v>
      </c>
      <c r="U2987" s="7">
        <v>0.79</v>
      </c>
      <c r="V2987" s="12">
        <f>C2987+1</f>
        <v>39888</v>
      </c>
      <c r="W2987">
        <f>IF(D2987=' Pivot Tables'!$A$4,1,0)</f>
        <v>0</v>
      </c>
      <c r="X2987">
        <f>IF(AND(LEFT(D2987,4)+1=LEFT(' Pivot Tables'!$A$4,4)+0,RIGHT(LEFT(D2987,7),2)=RIGHT(LEFT(' Pivot Tables'!$A$4,7),2)),1,0)</f>
        <v>0</v>
      </c>
      <c r="Y2987" s="6">
        <f>1/COUNTIF(Таблица1[Order ID],Таблица1[[#This Row],[Order ID]])</f>
        <v>0.5</v>
      </c>
      <c r="Z2987" s="9">
        <f>1/COUNTIFS(Таблица1[Customer Name],Таблица1[[#This Row],[Customer Name]],Таблица1[Order-Year-Month],Таблица1[[#This Row],[Order-Year-Month]])</f>
        <v>0.5</v>
      </c>
    </row>
    <row r="2988" spans="1:26" x14ac:dyDescent="0.2">
      <c r="A2988" s="6">
        <v>1870</v>
      </c>
      <c r="B2988" s="7">
        <v>13472</v>
      </c>
      <c r="C2988" s="8">
        <f>DATE(2012,12,31)-432</f>
        <v>40842</v>
      </c>
      <c r="D2988" s="8" t="str">
        <f t="shared" si="56"/>
        <v>2011-10 (октябрь 2011)</v>
      </c>
      <c r="E2988" s="9" t="s">
        <v>78</v>
      </c>
      <c r="F2988" s="7">
        <v>26</v>
      </c>
      <c r="G2988" s="7">
        <v>106.03</v>
      </c>
      <c r="H2988" s="7">
        <v>0.09</v>
      </c>
      <c r="I2988" s="9" t="s">
        <v>22</v>
      </c>
      <c r="J2988" s="10">
        <v>42.89</v>
      </c>
      <c r="K2988" s="11">
        <v>4.13</v>
      </c>
      <c r="L2988" s="11">
        <v>0.5</v>
      </c>
      <c r="M2988" s="9" t="s">
        <v>1454</v>
      </c>
      <c r="N2988" s="6" t="s">
        <v>974</v>
      </c>
      <c r="O2988" s="6" t="s">
        <v>512</v>
      </c>
      <c r="P2988" s="9" t="s">
        <v>60</v>
      </c>
      <c r="Q2988" s="9" t="s">
        <v>26</v>
      </c>
      <c r="R2988" s="9" t="s">
        <v>88</v>
      </c>
      <c r="S2988" s="7" t="s">
        <v>184</v>
      </c>
      <c r="T2988" s="9" t="s">
        <v>39</v>
      </c>
      <c r="U2988" s="7">
        <v>0.39</v>
      </c>
      <c r="V2988" s="12">
        <f>C2988+1</f>
        <v>40843</v>
      </c>
      <c r="W2988">
        <f>IF(D2988=' Pivot Tables'!$A$4,1,0)</f>
        <v>0</v>
      </c>
      <c r="X2988">
        <f>IF(AND(LEFT(D2988,4)+1=LEFT(' Pivot Tables'!$A$4,4)+0,RIGHT(LEFT(D2988,7),2)=RIGHT(LEFT(' Pivot Tables'!$A$4,7),2)),1,0)</f>
        <v>0</v>
      </c>
      <c r="Y2988" s="6">
        <f>1/COUNTIF(Таблица1[Order ID],Таблица1[[#This Row],[Order ID]])</f>
        <v>1</v>
      </c>
      <c r="Z2988" s="9">
        <f>1/COUNTIFS(Таблица1[Customer Name],Таблица1[[#This Row],[Customer Name]],Таблица1[Order-Year-Month],Таблица1[[#This Row],[Order-Year-Month]])</f>
        <v>1</v>
      </c>
    </row>
    <row r="2989" spans="1:26" x14ac:dyDescent="0.2">
      <c r="A2989" s="6">
        <v>1973</v>
      </c>
      <c r="B2989" s="7">
        <v>14114</v>
      </c>
      <c r="C2989" s="8">
        <f>DATE(2012,12,31)-1365</f>
        <v>39909</v>
      </c>
      <c r="D2989" s="8" t="str">
        <f t="shared" si="56"/>
        <v>2009-04 (апрель 2009)</v>
      </c>
      <c r="E2989" s="9" t="s">
        <v>78</v>
      </c>
      <c r="F2989" s="7">
        <v>29</v>
      </c>
      <c r="G2989" s="7">
        <v>65.16</v>
      </c>
      <c r="H2989" s="7">
        <v>0.03</v>
      </c>
      <c r="I2989" s="9" t="s">
        <v>22</v>
      </c>
      <c r="J2989" s="10">
        <v>-7.04</v>
      </c>
      <c r="K2989" s="11">
        <v>2.1800000000000002</v>
      </c>
      <c r="L2989" s="11">
        <v>1.38</v>
      </c>
      <c r="M2989" s="9" t="s">
        <v>1545</v>
      </c>
      <c r="N2989" s="6" t="s">
        <v>974</v>
      </c>
      <c r="O2989" s="6" t="s">
        <v>512</v>
      </c>
      <c r="P2989" s="9" t="s">
        <v>25</v>
      </c>
      <c r="Q2989" s="9" t="s">
        <v>26</v>
      </c>
      <c r="R2989" s="9" t="s">
        <v>66</v>
      </c>
      <c r="S2989" s="7" t="s">
        <v>1577</v>
      </c>
      <c r="T2989" s="9" t="s">
        <v>68</v>
      </c>
      <c r="U2989" s="7">
        <v>0.44</v>
      </c>
      <c r="V2989" s="12">
        <f>C2989+0</f>
        <v>39909</v>
      </c>
      <c r="W2989">
        <f>IF(D2989=' Pivot Tables'!$A$4,1,0)</f>
        <v>0</v>
      </c>
      <c r="X2989">
        <f>IF(AND(LEFT(D2989,4)+1=LEFT(' Pivot Tables'!$A$4,4)+0,RIGHT(LEFT(D2989,7),2)=RIGHT(LEFT(' Pivot Tables'!$A$4,7),2)),1,0)</f>
        <v>0</v>
      </c>
      <c r="Y2989" s="6">
        <f>1/COUNTIF(Таблица1[Order ID],Таблица1[[#This Row],[Order ID]])</f>
        <v>0.33333333333333331</v>
      </c>
      <c r="Z2989" s="9">
        <f>1/COUNTIFS(Таблица1[Customer Name],Таблица1[[#This Row],[Customer Name]],Таблица1[Order-Year-Month],Таблица1[[#This Row],[Order-Year-Month]])</f>
        <v>0.33333333333333331</v>
      </c>
    </row>
    <row r="2990" spans="1:26" x14ac:dyDescent="0.2">
      <c r="A2990" s="6">
        <v>2060</v>
      </c>
      <c r="B2990" s="7">
        <v>14727</v>
      </c>
      <c r="C2990" s="8">
        <f>DATE(2012,12,31)-165</f>
        <v>41109</v>
      </c>
      <c r="D2990" s="8" t="str">
        <f t="shared" si="56"/>
        <v>2012-07 (июль 2012)</v>
      </c>
      <c r="E2990" s="9" t="s">
        <v>63</v>
      </c>
      <c r="F2990" s="7">
        <v>33</v>
      </c>
      <c r="G2990" s="7">
        <v>2269.41</v>
      </c>
      <c r="H2990" s="7">
        <v>0.05</v>
      </c>
      <c r="I2990" s="9" t="s">
        <v>22</v>
      </c>
      <c r="J2990" s="10">
        <v>630.17999999999995</v>
      </c>
      <c r="K2990" s="11">
        <v>70.97</v>
      </c>
      <c r="L2990" s="11">
        <v>3.5</v>
      </c>
      <c r="M2990" s="9" t="s">
        <v>1469</v>
      </c>
      <c r="N2990" s="6" t="s">
        <v>974</v>
      </c>
      <c r="O2990" s="6" t="s">
        <v>512</v>
      </c>
      <c r="P2990" s="9" t="s">
        <v>25</v>
      </c>
      <c r="Q2990" s="9" t="s">
        <v>26</v>
      </c>
      <c r="R2990" s="9" t="s">
        <v>34</v>
      </c>
      <c r="S2990" s="7" t="s">
        <v>1401</v>
      </c>
      <c r="T2990" s="9" t="s">
        <v>39</v>
      </c>
      <c r="U2990" s="7">
        <v>0.59</v>
      </c>
      <c r="V2990" s="12">
        <f>C2990+1</f>
        <v>41110</v>
      </c>
      <c r="W2990">
        <f>IF(D2990=' Pivot Tables'!$A$4,1,0)</f>
        <v>0</v>
      </c>
      <c r="X2990">
        <f>IF(AND(LEFT(D2990,4)+1=LEFT(' Pivot Tables'!$A$4,4)+0,RIGHT(LEFT(D2990,7),2)=RIGHT(LEFT(' Pivot Tables'!$A$4,7),2)),1,0)</f>
        <v>0</v>
      </c>
      <c r="Y2990" s="6">
        <f>1/COUNTIF(Таблица1[Order ID],Таблица1[[#This Row],[Order ID]])</f>
        <v>0.5</v>
      </c>
      <c r="Z2990" s="9">
        <f>1/COUNTIFS(Таблица1[Customer Name],Таблица1[[#This Row],[Customer Name]],Таблица1[Order-Year-Month],Таблица1[[#This Row],[Order-Year-Month]])</f>
        <v>0.5</v>
      </c>
    </row>
    <row r="2991" spans="1:26" x14ac:dyDescent="0.2">
      <c r="A2991" s="6">
        <v>2153</v>
      </c>
      <c r="B2991" s="7">
        <v>15399</v>
      </c>
      <c r="C2991" s="8">
        <f>DATE(2012,12,31)-232</f>
        <v>41042</v>
      </c>
      <c r="D2991" s="8" t="str">
        <f t="shared" si="56"/>
        <v>2012-05 (май 2012)</v>
      </c>
      <c r="E2991" s="9" t="s">
        <v>78</v>
      </c>
      <c r="F2991" s="7">
        <v>46</v>
      </c>
      <c r="G2991" s="7">
        <v>2514.5124999999998</v>
      </c>
      <c r="H2991" s="7">
        <v>0.04</v>
      </c>
      <c r="I2991" s="9" t="s">
        <v>56</v>
      </c>
      <c r="J2991" s="10">
        <v>601.65</v>
      </c>
      <c r="K2991" s="11">
        <v>65.989999999999995</v>
      </c>
      <c r="L2991" s="11">
        <v>4.99</v>
      </c>
      <c r="M2991" s="9" t="s">
        <v>1578</v>
      </c>
      <c r="N2991" s="6" t="s">
        <v>974</v>
      </c>
      <c r="O2991" s="6" t="s">
        <v>512</v>
      </c>
      <c r="P2991" s="9" t="s">
        <v>25</v>
      </c>
      <c r="Q2991" s="9" t="s">
        <v>42</v>
      </c>
      <c r="R2991" s="9" t="s">
        <v>43</v>
      </c>
      <c r="S2991" s="7" t="s">
        <v>692</v>
      </c>
      <c r="T2991" s="9" t="s">
        <v>39</v>
      </c>
      <c r="U2991" s="7">
        <v>0.56999999999999995</v>
      </c>
      <c r="V2991" s="12">
        <f>C2991+1</f>
        <v>41043</v>
      </c>
      <c r="W2991">
        <f>IF(D2991=' Pivot Tables'!$A$4,1,0)</f>
        <v>0</v>
      </c>
      <c r="X2991">
        <f>IF(AND(LEFT(D2991,4)+1=LEFT(' Pivot Tables'!$A$4,4)+0,RIGHT(LEFT(D2991,7),2)=RIGHT(LEFT(' Pivot Tables'!$A$4,7),2)),1,0)</f>
        <v>0</v>
      </c>
      <c r="Y2991" s="6">
        <f>1/COUNTIF(Таблица1[Order ID],Таблица1[[#This Row],[Order ID]])</f>
        <v>0.33333333333333331</v>
      </c>
      <c r="Z2991" s="9">
        <f>1/COUNTIFS(Таблица1[Customer Name],Таблица1[[#This Row],[Customer Name]],Таблица1[Order-Year-Month],Таблица1[[#This Row],[Order-Year-Month]])</f>
        <v>0.33333333333333331</v>
      </c>
    </row>
    <row r="2992" spans="1:26" x14ac:dyDescent="0.2">
      <c r="A2992" s="6">
        <v>2168</v>
      </c>
      <c r="B2992" s="7">
        <v>15619</v>
      </c>
      <c r="C2992" s="8">
        <f>DATE(2012,12,31)-552</f>
        <v>40722</v>
      </c>
      <c r="D2992" s="8" t="str">
        <f t="shared" si="56"/>
        <v>2011-06 (июнь 2011)</v>
      </c>
      <c r="E2992" s="9" t="s">
        <v>21</v>
      </c>
      <c r="F2992" s="7">
        <v>9</v>
      </c>
      <c r="G2992" s="7">
        <v>1425.21</v>
      </c>
      <c r="H2992" s="7">
        <v>0.1</v>
      </c>
      <c r="I2992" s="9" t="s">
        <v>31</v>
      </c>
      <c r="J2992" s="10">
        <v>-65.02</v>
      </c>
      <c r="K2992" s="11">
        <v>160.97999999999999</v>
      </c>
      <c r="L2992" s="11">
        <v>30</v>
      </c>
      <c r="M2992" s="9" t="s">
        <v>1531</v>
      </c>
      <c r="N2992" s="6" t="s">
        <v>974</v>
      </c>
      <c r="O2992" s="6" t="s">
        <v>512</v>
      </c>
      <c r="P2992" s="9" t="s">
        <v>41</v>
      </c>
      <c r="Q2992" s="9" t="s">
        <v>49</v>
      </c>
      <c r="R2992" s="9" t="s">
        <v>112</v>
      </c>
      <c r="S2992" s="7" t="s">
        <v>746</v>
      </c>
      <c r="T2992" s="9" t="s">
        <v>36</v>
      </c>
      <c r="U2992" s="7">
        <v>0.62</v>
      </c>
      <c r="V2992" s="12">
        <f>C2992+7</f>
        <v>40729</v>
      </c>
      <c r="W2992">
        <f>IF(D2992=' Pivot Tables'!$A$4,1,0)</f>
        <v>0</v>
      </c>
      <c r="X2992">
        <f>IF(AND(LEFT(D2992,4)+1=LEFT(' Pivot Tables'!$A$4,4)+0,RIGHT(LEFT(D2992,7),2)=RIGHT(LEFT(' Pivot Tables'!$A$4,7),2)),1,0)</f>
        <v>0</v>
      </c>
      <c r="Y2992" s="6">
        <f>1/COUNTIF(Таблица1[Order ID],Таблица1[[#This Row],[Order ID]])</f>
        <v>0.5</v>
      </c>
      <c r="Z2992" s="9">
        <f>1/COUNTIFS(Таблица1[Customer Name],Таблица1[[#This Row],[Customer Name]],Таблица1[Order-Year-Month],Таблица1[[#This Row],[Order-Year-Month]])</f>
        <v>0.5</v>
      </c>
    </row>
    <row r="2993" spans="1:26" x14ac:dyDescent="0.2">
      <c r="A2993" s="6">
        <v>2248</v>
      </c>
      <c r="B2993" s="7">
        <v>16194</v>
      </c>
      <c r="C2993" s="8">
        <f>DATE(2012,12,31)-816</f>
        <v>40458</v>
      </c>
      <c r="D2993" s="8" t="str">
        <f t="shared" si="56"/>
        <v>2010-10 (октябрь 2010)</v>
      </c>
      <c r="E2993" s="9" t="s">
        <v>45</v>
      </c>
      <c r="F2993" s="7">
        <v>24</v>
      </c>
      <c r="G2993" s="7">
        <v>2435.5135</v>
      </c>
      <c r="H2993" s="7">
        <v>0.08</v>
      </c>
      <c r="I2993" s="9" t="s">
        <v>22</v>
      </c>
      <c r="J2993" s="10">
        <v>315.48599999999999</v>
      </c>
      <c r="K2993" s="11">
        <v>125.99</v>
      </c>
      <c r="L2993" s="11">
        <v>4.2</v>
      </c>
      <c r="M2993" s="9" t="s">
        <v>1578</v>
      </c>
      <c r="N2993" s="6" t="s">
        <v>974</v>
      </c>
      <c r="O2993" s="6" t="s">
        <v>512</v>
      </c>
      <c r="P2993" s="9" t="s">
        <v>25</v>
      </c>
      <c r="Q2993" s="9" t="s">
        <v>42</v>
      </c>
      <c r="R2993" s="9" t="s">
        <v>43</v>
      </c>
      <c r="S2993" s="7" t="s">
        <v>1579</v>
      </c>
      <c r="T2993" s="9" t="s">
        <v>39</v>
      </c>
      <c r="U2993" s="7">
        <v>0.59</v>
      </c>
      <c r="V2993" s="12">
        <f>C2993+2</f>
        <v>40460</v>
      </c>
      <c r="W2993">
        <f>IF(D2993=' Pivot Tables'!$A$4,1,0)</f>
        <v>0</v>
      </c>
      <c r="X2993">
        <f>IF(AND(LEFT(D2993,4)+1=LEFT(' Pivot Tables'!$A$4,4)+0,RIGHT(LEFT(D2993,7),2)=RIGHT(LEFT(' Pivot Tables'!$A$4,7),2)),1,0)</f>
        <v>0</v>
      </c>
      <c r="Y2993" s="6">
        <f>1/COUNTIF(Таблица1[Order ID],Таблица1[[#This Row],[Order ID]])</f>
        <v>1</v>
      </c>
      <c r="Z2993" s="9">
        <f>1/COUNTIFS(Таблица1[Customer Name],Таблица1[[#This Row],[Customer Name]],Таблица1[Order-Year-Month],Таблица1[[#This Row],[Order-Year-Month]])</f>
        <v>1</v>
      </c>
    </row>
    <row r="2994" spans="1:26" x14ac:dyDescent="0.2">
      <c r="A2994" s="6">
        <v>2255</v>
      </c>
      <c r="B2994" s="7">
        <v>16229</v>
      </c>
      <c r="C2994" s="8">
        <f>DATE(2012,12,31)-1373</f>
        <v>39901</v>
      </c>
      <c r="D2994" s="8" t="str">
        <f t="shared" si="56"/>
        <v>2009-03 (март 2009)</v>
      </c>
      <c r="E2994" s="9" t="s">
        <v>30</v>
      </c>
      <c r="F2994" s="7">
        <v>19</v>
      </c>
      <c r="G2994" s="7">
        <v>568.74350000000004</v>
      </c>
      <c r="H2994" s="7">
        <v>0.05</v>
      </c>
      <c r="I2994" s="9" t="s">
        <v>22</v>
      </c>
      <c r="J2994" s="10">
        <v>143.79300000000001</v>
      </c>
      <c r="K2994" s="11">
        <v>35.99</v>
      </c>
      <c r="L2994" s="11">
        <v>3.3</v>
      </c>
      <c r="M2994" s="9" t="s">
        <v>1472</v>
      </c>
      <c r="N2994" s="6" t="s">
        <v>974</v>
      </c>
      <c r="O2994" s="6" t="s">
        <v>512</v>
      </c>
      <c r="P2994" s="9" t="s">
        <v>25</v>
      </c>
      <c r="Q2994" s="9" t="s">
        <v>42</v>
      </c>
      <c r="R2994" s="9" t="s">
        <v>43</v>
      </c>
      <c r="S2994" s="7" t="s">
        <v>417</v>
      </c>
      <c r="T2994" s="9" t="s">
        <v>52</v>
      </c>
      <c r="U2994" s="7">
        <v>0.39</v>
      </c>
      <c r="V2994" s="12">
        <f>C2994+2</f>
        <v>39903</v>
      </c>
      <c r="W2994">
        <f>IF(D2994=' Pivot Tables'!$A$4,1,0)</f>
        <v>0</v>
      </c>
      <c r="X2994">
        <f>IF(AND(LEFT(D2994,4)+1=LEFT(' Pivot Tables'!$A$4,4)+0,RIGHT(LEFT(D2994,7),2)=RIGHT(LEFT(' Pivot Tables'!$A$4,7),2)),1,0)</f>
        <v>0</v>
      </c>
      <c r="Y2994" s="6">
        <f>1/COUNTIF(Таблица1[Order ID],Таблица1[[#This Row],[Order ID]])</f>
        <v>0.5</v>
      </c>
      <c r="Z2994" s="9">
        <f>1/COUNTIFS(Таблица1[Customer Name],Таблица1[[#This Row],[Customer Name]],Таблица1[Order-Year-Month],Таблица1[[#This Row],[Order-Year-Month]])</f>
        <v>0.5</v>
      </c>
    </row>
    <row r="2995" spans="1:26" x14ac:dyDescent="0.2">
      <c r="A2995" s="6">
        <v>2260</v>
      </c>
      <c r="B2995" s="7">
        <v>16231</v>
      </c>
      <c r="C2995" s="8">
        <f>DATE(2012,12,31)-118</f>
        <v>41156</v>
      </c>
      <c r="D2995" s="8" t="str">
        <f t="shared" si="56"/>
        <v>2012-09 (сентябрь 2012)</v>
      </c>
      <c r="E2995" s="9" t="s">
        <v>21</v>
      </c>
      <c r="F2995" s="7">
        <v>20</v>
      </c>
      <c r="G2995" s="7">
        <v>2506.38</v>
      </c>
      <c r="H2995" s="7">
        <v>7.0000000000000007E-2</v>
      </c>
      <c r="I2995" s="9" t="s">
        <v>31</v>
      </c>
      <c r="J2995" s="10">
        <v>-500.45710000000014</v>
      </c>
      <c r="K2995" s="11">
        <v>124.49</v>
      </c>
      <c r="L2995" s="11">
        <v>51.94</v>
      </c>
      <c r="M2995" s="9" t="s">
        <v>1472</v>
      </c>
      <c r="N2995" s="6" t="s">
        <v>974</v>
      </c>
      <c r="O2995" s="6" t="s">
        <v>512</v>
      </c>
      <c r="P2995" s="9" t="s">
        <v>33</v>
      </c>
      <c r="Q2995" s="9" t="s">
        <v>49</v>
      </c>
      <c r="R2995" s="9" t="s">
        <v>83</v>
      </c>
      <c r="S2995" s="7" t="s">
        <v>432</v>
      </c>
      <c r="T2995" s="9" t="s">
        <v>82</v>
      </c>
      <c r="U2995" s="7">
        <v>0.63</v>
      </c>
      <c r="V2995" s="12">
        <f>C2995+5</f>
        <v>41161</v>
      </c>
      <c r="W2995">
        <f>IF(D2995=' Pivot Tables'!$A$4,1,0)</f>
        <v>0</v>
      </c>
      <c r="X2995">
        <f>IF(AND(LEFT(D2995,4)+1=LEFT(' Pivot Tables'!$A$4,4)+0,RIGHT(LEFT(D2995,7),2)=RIGHT(LEFT(' Pivot Tables'!$A$4,7),2)),1,0)</f>
        <v>0</v>
      </c>
      <c r="Y2995" s="6">
        <f>1/COUNTIF(Таблица1[Order ID],Таблица1[[#This Row],[Order ID]])</f>
        <v>1</v>
      </c>
      <c r="Z2995" s="9">
        <f>1/COUNTIFS(Таблица1[Customer Name],Таблица1[[#This Row],[Customer Name]],Таблица1[Order-Year-Month],Таблица1[[#This Row],[Order-Year-Month]])</f>
        <v>1</v>
      </c>
    </row>
    <row r="2996" spans="1:26" x14ac:dyDescent="0.2">
      <c r="A2996" s="6">
        <v>2312</v>
      </c>
      <c r="B2996" s="7">
        <v>16674</v>
      </c>
      <c r="C2996" s="8">
        <f>DATE(2012,12,31)-612</f>
        <v>40662</v>
      </c>
      <c r="D2996" s="8" t="str">
        <f t="shared" si="56"/>
        <v>2011-04 (апрель 2011)</v>
      </c>
      <c r="E2996" s="9" t="s">
        <v>21</v>
      </c>
      <c r="F2996" s="7">
        <v>49</v>
      </c>
      <c r="G2996" s="7">
        <v>1959.43</v>
      </c>
      <c r="H2996" s="7">
        <v>0.09</v>
      </c>
      <c r="I2996" s="9" t="s">
        <v>22</v>
      </c>
      <c r="J2996" s="10">
        <v>467.72</v>
      </c>
      <c r="K2996" s="11">
        <v>42.98</v>
      </c>
      <c r="L2996" s="11">
        <v>4.62</v>
      </c>
      <c r="M2996" s="9" t="s">
        <v>1555</v>
      </c>
      <c r="N2996" s="6" t="s">
        <v>974</v>
      </c>
      <c r="O2996" s="6" t="s">
        <v>512</v>
      </c>
      <c r="P2996" s="9" t="s">
        <v>25</v>
      </c>
      <c r="Q2996" s="9" t="s">
        <v>26</v>
      </c>
      <c r="R2996" s="9" t="s">
        <v>34</v>
      </c>
      <c r="S2996" s="7" t="s">
        <v>852</v>
      </c>
      <c r="T2996" s="9" t="s">
        <v>39</v>
      </c>
      <c r="U2996" s="7">
        <v>0.56000000000000005</v>
      </c>
      <c r="V2996" s="12">
        <f>C2996+7</f>
        <v>40669</v>
      </c>
      <c r="W2996">
        <f>IF(D2996=' Pivot Tables'!$A$4,1,0)</f>
        <v>0</v>
      </c>
      <c r="X2996">
        <f>IF(AND(LEFT(D2996,4)+1=LEFT(' Pivot Tables'!$A$4,4)+0,RIGHT(LEFT(D2996,7),2)=RIGHT(LEFT(' Pivot Tables'!$A$4,7),2)),1,0)</f>
        <v>0</v>
      </c>
      <c r="Y2996" s="6">
        <f>1/COUNTIF(Таблица1[Order ID],Таблица1[[#This Row],[Order ID]])</f>
        <v>0.5</v>
      </c>
      <c r="Z2996" s="9">
        <f>1/COUNTIFS(Таблица1[Customer Name],Таблица1[[#This Row],[Customer Name]],Таблица1[Order-Year-Month],Таблица1[[#This Row],[Order-Year-Month]])</f>
        <v>0.5</v>
      </c>
    </row>
    <row r="2997" spans="1:26" x14ac:dyDescent="0.2">
      <c r="A2997" s="6">
        <v>2313</v>
      </c>
      <c r="B2997" s="7">
        <v>16674</v>
      </c>
      <c r="C2997" s="8">
        <f>DATE(2012,12,31)-612</f>
        <v>40662</v>
      </c>
      <c r="D2997" s="8" t="str">
        <f t="shared" si="56"/>
        <v>2011-04 (апрель 2011)</v>
      </c>
      <c r="E2997" s="9" t="s">
        <v>21</v>
      </c>
      <c r="F2997" s="7">
        <v>39</v>
      </c>
      <c r="G2997" s="7">
        <v>14072.64</v>
      </c>
      <c r="H2997" s="7">
        <v>0.02</v>
      </c>
      <c r="I2997" s="9" t="s">
        <v>31</v>
      </c>
      <c r="J2997" s="10">
        <v>2177.54</v>
      </c>
      <c r="K2997" s="11">
        <v>355.98</v>
      </c>
      <c r="L2997" s="11">
        <v>58.92</v>
      </c>
      <c r="M2997" s="9" t="s">
        <v>1555</v>
      </c>
      <c r="N2997" s="6" t="s">
        <v>974</v>
      </c>
      <c r="O2997" s="6" t="s">
        <v>512</v>
      </c>
      <c r="P2997" s="9" t="s">
        <v>25</v>
      </c>
      <c r="Q2997" s="9" t="s">
        <v>49</v>
      </c>
      <c r="R2997" s="9" t="s">
        <v>112</v>
      </c>
      <c r="S2997" s="7" t="s">
        <v>253</v>
      </c>
      <c r="T2997" s="9" t="s">
        <v>36</v>
      </c>
      <c r="U2997" s="7">
        <v>0.64</v>
      </c>
      <c r="V2997" s="12">
        <f>C2997+9</f>
        <v>40671</v>
      </c>
      <c r="W2997">
        <f>IF(D2997=' Pivot Tables'!$A$4,1,0)</f>
        <v>0</v>
      </c>
      <c r="X2997">
        <f>IF(AND(LEFT(D2997,4)+1=LEFT(' Pivot Tables'!$A$4,4)+0,RIGHT(LEFT(D2997,7),2)=RIGHT(LEFT(' Pivot Tables'!$A$4,7),2)),1,0)</f>
        <v>0</v>
      </c>
      <c r="Y2997" s="6">
        <f>1/COUNTIF(Таблица1[Order ID],Таблица1[[#This Row],[Order ID]])</f>
        <v>0.5</v>
      </c>
      <c r="Z2997" s="9">
        <f>1/COUNTIFS(Таблица1[Customer Name],Таблица1[[#This Row],[Customer Name]],Таблица1[Order-Year-Month],Таблица1[[#This Row],[Order-Year-Month]])</f>
        <v>0.5</v>
      </c>
    </row>
    <row r="2998" spans="1:26" x14ac:dyDescent="0.2">
      <c r="A2998" s="6">
        <v>2320</v>
      </c>
      <c r="B2998" s="7">
        <v>16710</v>
      </c>
      <c r="C2998" s="8">
        <f>DATE(2012,12,31)-617</f>
        <v>40657</v>
      </c>
      <c r="D2998" s="8" t="str">
        <f t="shared" si="56"/>
        <v>2011-04 (апрель 2011)</v>
      </c>
      <c r="E2998" s="9" t="s">
        <v>30</v>
      </c>
      <c r="F2998" s="7">
        <v>47</v>
      </c>
      <c r="G2998" s="7">
        <v>5549.79</v>
      </c>
      <c r="H2998" s="7">
        <v>0.09</v>
      </c>
      <c r="I2998" s="9" t="s">
        <v>31</v>
      </c>
      <c r="J2998" s="10">
        <v>1300.8</v>
      </c>
      <c r="K2998" s="11">
        <v>145.44999999999999</v>
      </c>
      <c r="L2998" s="11">
        <v>17.850000000000001</v>
      </c>
      <c r="M2998" s="9" t="s">
        <v>1501</v>
      </c>
      <c r="N2998" s="6" t="s">
        <v>974</v>
      </c>
      <c r="O2998" s="6" t="s">
        <v>512</v>
      </c>
      <c r="P2998" s="9" t="s">
        <v>33</v>
      </c>
      <c r="Q2998" s="9" t="s">
        <v>42</v>
      </c>
      <c r="R2998" s="9" t="s">
        <v>210</v>
      </c>
      <c r="S2998" s="7" t="s">
        <v>234</v>
      </c>
      <c r="T2998" s="9" t="s">
        <v>36</v>
      </c>
      <c r="U2998" s="7">
        <v>0.56000000000000005</v>
      </c>
      <c r="V2998" s="12">
        <f>C2998+2</f>
        <v>40659</v>
      </c>
      <c r="W2998">
        <f>IF(D2998=' Pivot Tables'!$A$4,1,0)</f>
        <v>0</v>
      </c>
      <c r="X2998">
        <f>IF(AND(LEFT(D2998,4)+1=LEFT(' Pivot Tables'!$A$4,4)+0,RIGHT(LEFT(D2998,7),2)=RIGHT(LEFT(' Pivot Tables'!$A$4,7),2)),1,0)</f>
        <v>0</v>
      </c>
      <c r="Y2998" s="6">
        <f>1/COUNTIF(Таблица1[Order ID],Таблица1[[#This Row],[Order ID]])</f>
        <v>1</v>
      </c>
      <c r="Z2998" s="9">
        <f>1/COUNTIFS(Таблица1[Customer Name],Таблица1[[#This Row],[Customer Name]],Таблица1[Order-Year-Month],Таблица1[[#This Row],[Order-Year-Month]])</f>
        <v>1</v>
      </c>
    </row>
    <row r="2999" spans="1:26" x14ac:dyDescent="0.2">
      <c r="A2999" s="6">
        <v>2401</v>
      </c>
      <c r="B2999" s="7">
        <v>17408</v>
      </c>
      <c r="C2999" s="8">
        <f>DATE(2012,12,31)-1314</f>
        <v>39960</v>
      </c>
      <c r="D2999" s="8" t="str">
        <f t="shared" si="56"/>
        <v>2009-05 (май 2009)</v>
      </c>
      <c r="E2999" s="9" t="s">
        <v>45</v>
      </c>
      <c r="F2999" s="7">
        <v>41</v>
      </c>
      <c r="G2999" s="7">
        <v>728.12699999999995</v>
      </c>
      <c r="H2999" s="7">
        <v>0.02</v>
      </c>
      <c r="I2999" s="9" t="s">
        <v>22</v>
      </c>
      <c r="J2999" s="10">
        <v>49.787999999999997</v>
      </c>
      <c r="K2999" s="11">
        <v>20.99</v>
      </c>
      <c r="L2999" s="11">
        <v>4.8099999999999996</v>
      </c>
      <c r="M2999" s="9" t="s">
        <v>1529</v>
      </c>
      <c r="N2999" s="6" t="s">
        <v>974</v>
      </c>
      <c r="O2999" s="6" t="s">
        <v>512</v>
      </c>
      <c r="P2999" s="9" t="s">
        <v>41</v>
      </c>
      <c r="Q2999" s="9" t="s">
        <v>42</v>
      </c>
      <c r="R2999" s="9" t="s">
        <v>43</v>
      </c>
      <c r="S2999" s="7" t="s">
        <v>760</v>
      </c>
      <c r="T2999" s="9" t="s">
        <v>48</v>
      </c>
      <c r="U2999" s="7">
        <v>0.57999999999999996</v>
      </c>
      <c r="V2999" s="12">
        <f>C2999+2</f>
        <v>39962</v>
      </c>
      <c r="W2999">
        <f>IF(D2999=' Pivot Tables'!$A$4,1,0)</f>
        <v>0</v>
      </c>
      <c r="X2999">
        <f>IF(AND(LEFT(D2999,4)+1=LEFT(' Pivot Tables'!$A$4,4)+0,RIGHT(LEFT(D2999,7),2)=RIGHT(LEFT(' Pivot Tables'!$A$4,7),2)),1,0)</f>
        <v>0</v>
      </c>
      <c r="Y2999" s="6">
        <f>1/COUNTIF(Таблица1[Order ID],Таблица1[[#This Row],[Order ID]])</f>
        <v>0.5</v>
      </c>
      <c r="Z2999" s="9">
        <f>1/COUNTIFS(Таблица1[Customer Name],Таблица1[[#This Row],[Customer Name]],Таблица1[Order-Year-Month],Таблица1[[#This Row],[Order-Year-Month]])</f>
        <v>0.5</v>
      </c>
    </row>
    <row r="3000" spans="1:26" x14ac:dyDescent="0.2">
      <c r="A3000" s="6">
        <v>2437</v>
      </c>
      <c r="B3000" s="7">
        <v>17698</v>
      </c>
      <c r="C3000" s="8">
        <f>DATE(2012,12,31)-232</f>
        <v>41042</v>
      </c>
      <c r="D3000" s="8" t="str">
        <f t="shared" si="56"/>
        <v>2012-05 (май 2012)</v>
      </c>
      <c r="E3000" s="9" t="s">
        <v>30</v>
      </c>
      <c r="F3000" s="7">
        <v>22</v>
      </c>
      <c r="G3000" s="7">
        <v>1118.2514999999999</v>
      </c>
      <c r="H3000" s="7">
        <v>0.1</v>
      </c>
      <c r="I3000" s="9" t="s">
        <v>22</v>
      </c>
      <c r="J3000" s="10">
        <v>-59.587000000000003</v>
      </c>
      <c r="K3000" s="11">
        <v>65.989999999999995</v>
      </c>
      <c r="L3000" s="11">
        <v>8.99</v>
      </c>
      <c r="M3000" s="9" t="s">
        <v>1558</v>
      </c>
      <c r="N3000" s="6" t="s">
        <v>974</v>
      </c>
      <c r="O3000" s="6" t="s">
        <v>512</v>
      </c>
      <c r="P3000" s="9" t="s">
        <v>41</v>
      </c>
      <c r="Q3000" s="9" t="s">
        <v>42</v>
      </c>
      <c r="R3000" s="9" t="s">
        <v>43</v>
      </c>
      <c r="S3000" s="7" t="s">
        <v>429</v>
      </c>
      <c r="T3000" s="9" t="s">
        <v>39</v>
      </c>
      <c r="U3000" s="7">
        <v>0.57999999999999996</v>
      </c>
      <c r="V3000" s="12">
        <f>C3000+2</f>
        <v>41044</v>
      </c>
      <c r="W3000">
        <f>IF(D3000=' Pivot Tables'!$A$4,1,0)</f>
        <v>0</v>
      </c>
      <c r="X3000">
        <f>IF(AND(LEFT(D3000,4)+1=LEFT(' Pivot Tables'!$A$4,4)+0,RIGHT(LEFT(D3000,7),2)=RIGHT(LEFT(' Pivot Tables'!$A$4,7),2)),1,0)</f>
        <v>0</v>
      </c>
      <c r="Y3000" s="6">
        <f>1/COUNTIF(Таблица1[Order ID],Таблица1[[#This Row],[Order ID]])</f>
        <v>0.33333333333333331</v>
      </c>
      <c r="Z3000" s="9">
        <f>1/COUNTIFS(Таблица1[Customer Name],Таблица1[[#This Row],[Customer Name]],Таблица1[Order-Year-Month],Таблица1[[#This Row],[Order-Year-Month]])</f>
        <v>0.33333333333333331</v>
      </c>
    </row>
    <row r="3001" spans="1:26" x14ac:dyDescent="0.2">
      <c r="A3001" s="6">
        <v>2438</v>
      </c>
      <c r="B3001" s="7">
        <v>17698</v>
      </c>
      <c r="C3001" s="8">
        <f>DATE(2012,12,31)-232</f>
        <v>41042</v>
      </c>
      <c r="D3001" s="8" t="str">
        <f t="shared" si="56"/>
        <v>2012-05 (май 2012)</v>
      </c>
      <c r="E3001" s="9" t="s">
        <v>30</v>
      </c>
      <c r="F3001" s="7">
        <v>40</v>
      </c>
      <c r="G3001" s="7">
        <v>609.4</v>
      </c>
      <c r="H3001" s="7">
        <v>0.04</v>
      </c>
      <c r="I3001" s="9" t="s">
        <v>22</v>
      </c>
      <c r="J3001" s="10">
        <v>-89.228499999999997</v>
      </c>
      <c r="K3001" s="11">
        <v>15.28</v>
      </c>
      <c r="L3001" s="11">
        <v>10.91</v>
      </c>
      <c r="M3001" s="9" t="s">
        <v>1558</v>
      </c>
      <c r="N3001" s="6" t="s">
        <v>974</v>
      </c>
      <c r="O3001" s="6" t="s">
        <v>512</v>
      </c>
      <c r="P3001" s="9" t="s">
        <v>41</v>
      </c>
      <c r="Q3001" s="9" t="s">
        <v>26</v>
      </c>
      <c r="R3001" s="9" t="s">
        <v>37</v>
      </c>
      <c r="S3001" s="7" t="s">
        <v>558</v>
      </c>
      <c r="T3001" s="9" t="s">
        <v>39</v>
      </c>
      <c r="U3001" s="7">
        <v>0.36</v>
      </c>
      <c r="V3001" s="12">
        <f>C3001+1</f>
        <v>41043</v>
      </c>
      <c r="W3001">
        <f>IF(D3001=' Pivot Tables'!$A$4,1,0)</f>
        <v>0</v>
      </c>
      <c r="X3001">
        <f>IF(AND(LEFT(D3001,4)+1=LEFT(' Pivot Tables'!$A$4,4)+0,RIGHT(LEFT(D3001,7),2)=RIGHT(LEFT(' Pivot Tables'!$A$4,7),2)),1,0)</f>
        <v>0</v>
      </c>
      <c r="Y3001" s="6">
        <f>1/COUNTIF(Таблица1[Order ID],Таблица1[[#This Row],[Order ID]])</f>
        <v>0.33333333333333331</v>
      </c>
      <c r="Z3001" s="9">
        <f>1/COUNTIFS(Таблица1[Customer Name],Таблица1[[#This Row],[Customer Name]],Таблица1[Order-Year-Month],Таблица1[[#This Row],[Order-Year-Month]])</f>
        <v>0.33333333333333331</v>
      </c>
    </row>
    <row r="3002" spans="1:26" x14ac:dyDescent="0.2">
      <c r="A3002" s="6">
        <v>2570</v>
      </c>
      <c r="B3002" s="7">
        <v>18534</v>
      </c>
      <c r="C3002" s="8">
        <f>DATE(2012,12,31)-367</f>
        <v>40907</v>
      </c>
      <c r="D3002" s="8" t="str">
        <f t="shared" si="56"/>
        <v>2011-12 (декабрь 2011)</v>
      </c>
      <c r="E3002" s="9" t="s">
        <v>21</v>
      </c>
      <c r="F3002" s="7">
        <v>36</v>
      </c>
      <c r="G3002" s="7">
        <v>282.58</v>
      </c>
      <c r="H3002" s="7">
        <v>0.1</v>
      </c>
      <c r="I3002" s="9" t="s">
        <v>56</v>
      </c>
      <c r="J3002" s="10">
        <v>21.68</v>
      </c>
      <c r="K3002" s="11">
        <v>8.33</v>
      </c>
      <c r="L3002" s="11">
        <v>1.99</v>
      </c>
      <c r="M3002" s="9" t="s">
        <v>1495</v>
      </c>
      <c r="N3002" s="6" t="s">
        <v>974</v>
      </c>
      <c r="O3002" s="6" t="s">
        <v>512</v>
      </c>
      <c r="P3002" s="9" t="s">
        <v>41</v>
      </c>
      <c r="Q3002" s="9" t="s">
        <v>42</v>
      </c>
      <c r="R3002" s="9" t="s">
        <v>70</v>
      </c>
      <c r="S3002" s="7" t="s">
        <v>324</v>
      </c>
      <c r="T3002" s="9" t="s">
        <v>52</v>
      </c>
      <c r="U3002" s="7">
        <v>0.52</v>
      </c>
      <c r="V3002" s="12">
        <f>C3002+0</f>
        <v>40907</v>
      </c>
      <c r="W3002">
        <f>IF(D3002=' Pivot Tables'!$A$4,1,0)</f>
        <v>0</v>
      </c>
      <c r="X3002">
        <f>IF(AND(LEFT(D3002,4)+1=LEFT(' Pivot Tables'!$A$4,4)+0,RIGHT(LEFT(D3002,7),2)=RIGHT(LEFT(' Pivot Tables'!$A$4,7),2)),1,0)</f>
        <v>0</v>
      </c>
      <c r="Y3002" s="6">
        <f>1/COUNTIF(Таблица1[Order ID],Таблица1[[#This Row],[Order ID]])</f>
        <v>1</v>
      </c>
      <c r="Z3002" s="9">
        <f>1/COUNTIFS(Таблица1[Customer Name],Таблица1[[#This Row],[Customer Name]],Таблица1[Order-Year-Month],Таблица1[[#This Row],[Order-Year-Month]])</f>
        <v>0.5</v>
      </c>
    </row>
    <row r="3003" spans="1:26" x14ac:dyDescent="0.2">
      <c r="A3003" s="6">
        <v>2622</v>
      </c>
      <c r="B3003" s="7">
        <v>18951</v>
      </c>
      <c r="C3003" s="8">
        <f>DATE(2012,12,31)-551</f>
        <v>40723</v>
      </c>
      <c r="D3003" s="8" t="str">
        <f t="shared" si="56"/>
        <v>2011-06 (июнь 2011)</v>
      </c>
      <c r="E3003" s="9" t="s">
        <v>78</v>
      </c>
      <c r="F3003" s="7">
        <v>16</v>
      </c>
      <c r="G3003" s="7">
        <v>61.5</v>
      </c>
      <c r="H3003" s="7">
        <v>0.09</v>
      </c>
      <c r="I3003" s="9" t="s">
        <v>22</v>
      </c>
      <c r="J3003" s="10">
        <v>-16.27</v>
      </c>
      <c r="K3003" s="11">
        <v>3.98</v>
      </c>
      <c r="L3003" s="11">
        <v>2.97</v>
      </c>
      <c r="M3003" s="9" t="s">
        <v>1481</v>
      </c>
      <c r="N3003" s="6" t="s">
        <v>974</v>
      </c>
      <c r="O3003" s="6" t="s">
        <v>512</v>
      </c>
      <c r="P3003" s="9" t="s">
        <v>41</v>
      </c>
      <c r="Q3003" s="9" t="s">
        <v>26</v>
      </c>
      <c r="R3003" s="9" t="s">
        <v>61</v>
      </c>
      <c r="S3003" s="7" t="s">
        <v>134</v>
      </c>
      <c r="T3003" s="9" t="s">
        <v>68</v>
      </c>
      <c r="U3003" s="7">
        <v>0.35</v>
      </c>
      <c r="V3003" s="12">
        <f>C3003+1</f>
        <v>40724</v>
      </c>
      <c r="W3003">
        <f>IF(D3003=' Pivot Tables'!$A$4,1,0)</f>
        <v>0</v>
      </c>
      <c r="X3003">
        <f>IF(AND(LEFT(D3003,4)+1=LEFT(' Pivot Tables'!$A$4,4)+0,RIGHT(LEFT(D3003,7),2)=RIGHT(LEFT(' Pivot Tables'!$A$4,7),2)),1,0)</f>
        <v>0</v>
      </c>
      <c r="Y3003" s="6">
        <f>1/COUNTIF(Таблица1[Order ID],Таблица1[[#This Row],[Order ID]])</f>
        <v>0.5</v>
      </c>
      <c r="Z3003" s="9">
        <f>1/COUNTIFS(Таблица1[Customer Name],Таблица1[[#This Row],[Customer Name]],Таблица1[Order-Year-Month],Таблица1[[#This Row],[Order-Year-Month]])</f>
        <v>0.5</v>
      </c>
    </row>
    <row r="3004" spans="1:26" x14ac:dyDescent="0.2">
      <c r="A3004" s="6">
        <v>2623</v>
      </c>
      <c r="B3004" s="7">
        <v>18951</v>
      </c>
      <c r="C3004" s="8">
        <f>DATE(2012,12,31)-551</f>
        <v>40723</v>
      </c>
      <c r="D3004" s="8" t="str">
        <f t="shared" si="56"/>
        <v>2011-06 (июнь 2011)</v>
      </c>
      <c r="E3004" s="9" t="s">
        <v>78</v>
      </c>
      <c r="F3004" s="7">
        <v>10</v>
      </c>
      <c r="G3004" s="7">
        <v>324.3175</v>
      </c>
      <c r="H3004" s="7">
        <v>0.03</v>
      </c>
      <c r="I3004" s="9" t="s">
        <v>56</v>
      </c>
      <c r="J3004" s="10">
        <v>-169.74100000000001</v>
      </c>
      <c r="K3004" s="11">
        <v>35.99</v>
      </c>
      <c r="L3004" s="11">
        <v>5</v>
      </c>
      <c r="M3004" s="9" t="s">
        <v>1481</v>
      </c>
      <c r="N3004" s="6" t="s">
        <v>974</v>
      </c>
      <c r="O3004" s="6" t="s">
        <v>512</v>
      </c>
      <c r="P3004" s="9" t="s">
        <v>41</v>
      </c>
      <c r="Q3004" s="9" t="s">
        <v>42</v>
      </c>
      <c r="R3004" s="9" t="s">
        <v>43</v>
      </c>
      <c r="S3004" s="7" t="s">
        <v>825</v>
      </c>
      <c r="T3004" s="9" t="s">
        <v>39</v>
      </c>
      <c r="U3004" s="7">
        <v>0.85</v>
      </c>
      <c r="V3004" s="12">
        <f>C3004+2</f>
        <v>40725</v>
      </c>
      <c r="W3004">
        <f>IF(D3004=' Pivot Tables'!$A$4,1,0)</f>
        <v>0</v>
      </c>
      <c r="X3004">
        <f>IF(AND(LEFT(D3004,4)+1=LEFT(' Pivot Tables'!$A$4,4)+0,RIGHT(LEFT(D3004,7),2)=RIGHT(LEFT(' Pivot Tables'!$A$4,7),2)),1,0)</f>
        <v>0</v>
      </c>
      <c r="Y3004" s="6">
        <f>1/COUNTIF(Таблица1[Order ID],Таблица1[[#This Row],[Order ID]])</f>
        <v>0.5</v>
      </c>
      <c r="Z3004" s="9">
        <f>1/COUNTIFS(Таблица1[Customer Name],Таблица1[[#This Row],[Customer Name]],Таблица1[Order-Year-Month],Таблица1[[#This Row],[Order-Year-Month]])</f>
        <v>0.5</v>
      </c>
    </row>
    <row r="3005" spans="1:26" x14ac:dyDescent="0.2">
      <c r="A3005" s="6">
        <v>2648</v>
      </c>
      <c r="B3005" s="7">
        <v>19174</v>
      </c>
      <c r="C3005" s="8">
        <f>DATE(2012,12,31)-899</f>
        <v>40375</v>
      </c>
      <c r="D3005" s="8" t="str">
        <f t="shared" si="56"/>
        <v>2010-07 (июль 2010)</v>
      </c>
      <c r="E3005" s="9" t="s">
        <v>63</v>
      </c>
      <c r="F3005" s="7">
        <v>49</v>
      </c>
      <c r="G3005" s="7">
        <v>214.62</v>
      </c>
      <c r="H3005" s="7">
        <v>0.05</v>
      </c>
      <c r="I3005" s="9" t="s">
        <v>22</v>
      </c>
      <c r="J3005" s="10">
        <v>-151.42049999999998</v>
      </c>
      <c r="K3005" s="11">
        <v>4.24</v>
      </c>
      <c r="L3005" s="11">
        <v>5.41</v>
      </c>
      <c r="M3005" s="9" t="s">
        <v>1487</v>
      </c>
      <c r="N3005" s="6" t="s">
        <v>974</v>
      </c>
      <c r="O3005" s="6" t="s">
        <v>512</v>
      </c>
      <c r="P3005" s="9" t="s">
        <v>25</v>
      </c>
      <c r="Q3005" s="9" t="s">
        <v>26</v>
      </c>
      <c r="R3005" s="9" t="s">
        <v>37</v>
      </c>
      <c r="S3005" s="7" t="s">
        <v>873</v>
      </c>
      <c r="T3005" s="9" t="s">
        <v>39</v>
      </c>
      <c r="U3005" s="7">
        <v>0.35</v>
      </c>
      <c r="V3005" s="12">
        <f>C3005+2</f>
        <v>40377</v>
      </c>
      <c r="W3005">
        <f>IF(D3005=' Pivot Tables'!$A$4,1,0)</f>
        <v>0</v>
      </c>
      <c r="X3005">
        <f>IF(AND(LEFT(D3005,4)+1=LEFT(' Pivot Tables'!$A$4,4)+0,RIGHT(LEFT(D3005,7),2)=RIGHT(LEFT(' Pivot Tables'!$A$4,7),2)),1,0)</f>
        <v>0</v>
      </c>
      <c r="Y3005" s="6">
        <f>1/COUNTIF(Таблица1[Order ID],Таблица1[[#This Row],[Order ID]])</f>
        <v>0.25</v>
      </c>
      <c r="Z3005" s="9">
        <f>1/COUNTIFS(Таблица1[Customer Name],Таблица1[[#This Row],[Customer Name]],Таблица1[Order-Year-Month],Таблица1[[#This Row],[Order-Year-Month]])</f>
        <v>0.25</v>
      </c>
    </row>
    <row r="3006" spans="1:26" x14ac:dyDescent="0.2">
      <c r="A3006" s="6">
        <v>2785</v>
      </c>
      <c r="B3006" s="7">
        <v>20098</v>
      </c>
      <c r="C3006" s="8">
        <f>DATE(2012,12,31)-389</f>
        <v>40885</v>
      </c>
      <c r="D3006" s="8" t="str">
        <f t="shared" si="56"/>
        <v>2011-12 (декабрь 2011)</v>
      </c>
      <c r="E3006" s="9" t="s">
        <v>63</v>
      </c>
      <c r="F3006" s="7">
        <v>8</v>
      </c>
      <c r="G3006" s="7">
        <v>194.11</v>
      </c>
      <c r="H3006" s="7">
        <v>0.03</v>
      </c>
      <c r="I3006" s="9" t="s">
        <v>22</v>
      </c>
      <c r="J3006" s="10">
        <v>87.66</v>
      </c>
      <c r="K3006" s="11">
        <v>22.72</v>
      </c>
      <c r="L3006" s="11">
        <v>8.99</v>
      </c>
      <c r="M3006" s="9" t="s">
        <v>1466</v>
      </c>
      <c r="N3006" s="6" t="s">
        <v>974</v>
      </c>
      <c r="O3006" s="6" t="s">
        <v>512</v>
      </c>
      <c r="P3006" s="9" t="s">
        <v>33</v>
      </c>
      <c r="Q3006" s="9" t="s">
        <v>49</v>
      </c>
      <c r="R3006" s="9" t="s">
        <v>50</v>
      </c>
      <c r="S3006" s="7" t="s">
        <v>315</v>
      </c>
      <c r="T3006" s="9" t="s">
        <v>52</v>
      </c>
      <c r="U3006" s="7">
        <v>0.44</v>
      </c>
      <c r="V3006" s="12">
        <f>C3006+0</f>
        <v>40885</v>
      </c>
      <c r="W3006">
        <f>IF(D3006=' Pivot Tables'!$A$4,1,0)</f>
        <v>0</v>
      </c>
      <c r="X3006">
        <f>IF(AND(LEFT(D3006,4)+1=LEFT(' Pivot Tables'!$A$4,4)+0,RIGHT(LEFT(D3006,7),2)=RIGHT(LEFT(' Pivot Tables'!$A$4,7),2)),1,0)</f>
        <v>0</v>
      </c>
      <c r="Y3006" s="6">
        <f>1/COUNTIF(Таблица1[Order ID],Таблица1[[#This Row],[Order ID]])</f>
        <v>0.5</v>
      </c>
      <c r="Z3006" s="9">
        <f>1/COUNTIFS(Таблица1[Customer Name],Таблица1[[#This Row],[Customer Name]],Таблица1[Order-Year-Month],Таблица1[[#This Row],[Order-Year-Month]])</f>
        <v>0.5</v>
      </c>
    </row>
    <row r="3007" spans="1:26" x14ac:dyDescent="0.2">
      <c r="A3007" s="6">
        <v>2942</v>
      </c>
      <c r="B3007" s="7">
        <v>21319</v>
      </c>
      <c r="C3007" s="8">
        <f>DATE(2012,12,31)-977</f>
        <v>40297</v>
      </c>
      <c r="D3007" s="8" t="str">
        <f t="shared" si="56"/>
        <v>2010-04 (апрель 2010)</v>
      </c>
      <c r="E3007" s="9" t="s">
        <v>63</v>
      </c>
      <c r="F3007" s="7">
        <v>11</v>
      </c>
      <c r="G3007" s="7">
        <v>167.53</v>
      </c>
      <c r="H3007" s="7">
        <v>0.03</v>
      </c>
      <c r="I3007" s="9" t="s">
        <v>22</v>
      </c>
      <c r="J3007" s="10">
        <v>-40.94</v>
      </c>
      <c r="K3007" s="11">
        <v>14.98</v>
      </c>
      <c r="L3007" s="11">
        <v>7.69</v>
      </c>
      <c r="M3007" s="9" t="s">
        <v>1466</v>
      </c>
      <c r="N3007" s="6" t="s">
        <v>974</v>
      </c>
      <c r="O3007" s="6" t="s">
        <v>512</v>
      </c>
      <c r="P3007" s="9" t="s">
        <v>33</v>
      </c>
      <c r="Q3007" s="9" t="s">
        <v>26</v>
      </c>
      <c r="R3007" s="9" t="s">
        <v>27</v>
      </c>
      <c r="S3007" s="7" t="s">
        <v>1240</v>
      </c>
      <c r="T3007" s="9" t="s">
        <v>39</v>
      </c>
      <c r="U3007" s="7">
        <v>0.56999999999999995</v>
      </c>
      <c r="V3007" s="12">
        <f>C3007+3</f>
        <v>40300</v>
      </c>
      <c r="W3007">
        <f>IF(D3007=' Pivot Tables'!$A$4,1,0)</f>
        <v>0</v>
      </c>
      <c r="X3007">
        <f>IF(AND(LEFT(D3007,4)+1=LEFT(' Pivot Tables'!$A$4,4)+0,RIGHT(LEFT(D3007,7),2)=RIGHT(LEFT(' Pivot Tables'!$A$4,7),2)),1,0)</f>
        <v>0</v>
      </c>
      <c r="Y3007" s="6">
        <f>1/COUNTIF(Таблица1[Order ID],Таблица1[[#This Row],[Order ID]])</f>
        <v>0.33333333333333331</v>
      </c>
      <c r="Z3007" s="9">
        <f>1/COUNTIFS(Таблица1[Customer Name],Таблица1[[#This Row],[Customer Name]],Таблица1[Order-Year-Month],Таблица1[[#This Row],[Order-Year-Month]])</f>
        <v>0.33333333333333331</v>
      </c>
    </row>
    <row r="3008" spans="1:26" x14ac:dyDescent="0.2">
      <c r="A3008" s="6">
        <v>2944</v>
      </c>
      <c r="B3008" s="7">
        <v>21319</v>
      </c>
      <c r="C3008" s="8">
        <f>DATE(2012,12,31)-977</f>
        <v>40297</v>
      </c>
      <c r="D3008" s="8" t="str">
        <f t="shared" si="56"/>
        <v>2010-04 (апрель 2010)</v>
      </c>
      <c r="E3008" s="9" t="s">
        <v>63</v>
      </c>
      <c r="F3008" s="7">
        <v>42</v>
      </c>
      <c r="G3008" s="7">
        <v>1060.3399999999999</v>
      </c>
      <c r="H3008" s="7">
        <v>0.04</v>
      </c>
      <c r="I3008" s="9" t="s">
        <v>31</v>
      </c>
      <c r="J3008" s="10">
        <v>-174.94</v>
      </c>
      <c r="K3008" s="11">
        <v>23.99</v>
      </c>
      <c r="L3008" s="11">
        <v>15.68</v>
      </c>
      <c r="M3008" s="9" t="s">
        <v>1466</v>
      </c>
      <c r="N3008" s="6" t="s">
        <v>974</v>
      </c>
      <c r="O3008" s="6" t="s">
        <v>512</v>
      </c>
      <c r="P3008" s="9" t="s">
        <v>33</v>
      </c>
      <c r="Q3008" s="9" t="s">
        <v>49</v>
      </c>
      <c r="R3008" s="9" t="s">
        <v>50</v>
      </c>
      <c r="S3008" s="7" t="s">
        <v>1372</v>
      </c>
      <c r="T3008" s="9" t="s">
        <v>36</v>
      </c>
      <c r="U3008" s="7">
        <v>0.62</v>
      </c>
      <c r="V3008" s="12">
        <f>C3008+1</f>
        <v>40298</v>
      </c>
      <c r="W3008">
        <f>IF(D3008=' Pivot Tables'!$A$4,1,0)</f>
        <v>0</v>
      </c>
      <c r="X3008">
        <f>IF(AND(LEFT(D3008,4)+1=LEFT(' Pivot Tables'!$A$4,4)+0,RIGHT(LEFT(D3008,7),2)=RIGHT(LEFT(' Pivot Tables'!$A$4,7),2)),1,0)</f>
        <v>0</v>
      </c>
      <c r="Y3008" s="6">
        <f>1/COUNTIF(Таблица1[Order ID],Таблица1[[#This Row],[Order ID]])</f>
        <v>0.33333333333333331</v>
      </c>
      <c r="Z3008" s="9">
        <f>1/COUNTIFS(Таблица1[Customer Name],Таблица1[[#This Row],[Customer Name]],Таблица1[Order-Year-Month],Таблица1[[#This Row],[Order-Year-Month]])</f>
        <v>0.33333333333333331</v>
      </c>
    </row>
    <row r="3009" spans="1:26" x14ac:dyDescent="0.2">
      <c r="A3009" s="6">
        <v>3081</v>
      </c>
      <c r="B3009" s="7">
        <v>22115</v>
      </c>
      <c r="C3009" s="8">
        <f>DATE(2012,12,31)-930</f>
        <v>40344</v>
      </c>
      <c r="D3009" s="8" t="str">
        <f t="shared" si="56"/>
        <v>2010-06 (июнь 2010)</v>
      </c>
      <c r="E3009" s="9" t="s">
        <v>21</v>
      </c>
      <c r="F3009" s="7">
        <v>5</v>
      </c>
      <c r="G3009" s="7">
        <v>751.94</v>
      </c>
      <c r="H3009" s="7">
        <v>0.02</v>
      </c>
      <c r="I3009" s="9" t="s">
        <v>31</v>
      </c>
      <c r="J3009" s="10">
        <v>-283.94189999999998</v>
      </c>
      <c r="K3009" s="11">
        <v>145.44999999999999</v>
      </c>
      <c r="L3009" s="11">
        <v>17.850000000000001</v>
      </c>
      <c r="M3009" s="9" t="s">
        <v>1462</v>
      </c>
      <c r="N3009" s="6" t="s">
        <v>974</v>
      </c>
      <c r="O3009" s="6" t="s">
        <v>512</v>
      </c>
      <c r="P3009" s="9" t="s">
        <v>33</v>
      </c>
      <c r="Q3009" s="9" t="s">
        <v>42</v>
      </c>
      <c r="R3009" s="9" t="s">
        <v>210</v>
      </c>
      <c r="S3009" s="7" t="s">
        <v>234</v>
      </c>
      <c r="T3009" s="9" t="s">
        <v>36</v>
      </c>
      <c r="U3009" s="7">
        <v>0.56000000000000005</v>
      </c>
      <c r="V3009" s="12">
        <f>C3009+0</f>
        <v>40344</v>
      </c>
      <c r="W3009">
        <f>IF(D3009=' Pivot Tables'!$A$4,1,0)</f>
        <v>0</v>
      </c>
      <c r="X3009">
        <f>IF(AND(LEFT(D3009,4)+1=LEFT(' Pivot Tables'!$A$4,4)+0,RIGHT(LEFT(D3009,7),2)=RIGHT(LEFT(' Pivot Tables'!$A$4,7),2)),1,0)</f>
        <v>0</v>
      </c>
      <c r="Y3009" s="6">
        <f>1/COUNTIF(Таблица1[Order ID],Таблица1[[#This Row],[Order ID]])</f>
        <v>1</v>
      </c>
      <c r="Z3009" s="9">
        <f>1/COUNTIFS(Таблица1[Customer Name],Таблица1[[#This Row],[Customer Name]],Таблица1[Order-Year-Month],Таблица1[[#This Row],[Order-Year-Month]])</f>
        <v>0.25</v>
      </c>
    </row>
    <row r="3010" spans="1:26" x14ac:dyDescent="0.2">
      <c r="A3010" s="6">
        <v>3088</v>
      </c>
      <c r="B3010" s="7">
        <v>22149</v>
      </c>
      <c r="C3010" s="8">
        <f>DATE(2012,12,31)-465</f>
        <v>40809</v>
      </c>
      <c r="D3010" s="8" t="str">
        <f t="shared" si="56"/>
        <v>2011-09 (сентябрь 2011)</v>
      </c>
      <c r="E3010" s="9" t="s">
        <v>21</v>
      </c>
      <c r="F3010" s="7">
        <v>17</v>
      </c>
      <c r="G3010" s="7">
        <v>48.24</v>
      </c>
      <c r="H3010" s="7">
        <v>0.09</v>
      </c>
      <c r="I3010" s="9" t="s">
        <v>22</v>
      </c>
      <c r="J3010" s="10">
        <v>-1.62</v>
      </c>
      <c r="K3010" s="11">
        <v>2.88</v>
      </c>
      <c r="L3010" s="11">
        <v>1.01</v>
      </c>
      <c r="M3010" s="9" t="s">
        <v>1469</v>
      </c>
      <c r="N3010" s="6" t="s">
        <v>974</v>
      </c>
      <c r="O3010" s="6" t="s">
        <v>512</v>
      </c>
      <c r="P3010" s="9" t="s">
        <v>25</v>
      </c>
      <c r="Q3010" s="9" t="s">
        <v>26</v>
      </c>
      <c r="R3010" s="9" t="s">
        <v>95</v>
      </c>
      <c r="S3010" s="7" t="s">
        <v>736</v>
      </c>
      <c r="T3010" s="9" t="s">
        <v>68</v>
      </c>
      <c r="U3010" s="7">
        <v>0.55000000000000004</v>
      </c>
      <c r="V3010" s="12">
        <f>C3010+5</f>
        <v>40814</v>
      </c>
      <c r="W3010">
        <f>IF(D3010=' Pivot Tables'!$A$4,1,0)</f>
        <v>0</v>
      </c>
      <c r="X3010">
        <f>IF(AND(LEFT(D3010,4)+1=LEFT(' Pivot Tables'!$A$4,4)+0,RIGHT(LEFT(D3010,7),2)=RIGHT(LEFT(' Pivot Tables'!$A$4,7),2)),1,0)</f>
        <v>0</v>
      </c>
      <c r="Y3010" s="6">
        <f>1/COUNTIF(Таблица1[Order ID],Таблица1[[#This Row],[Order ID]])</f>
        <v>0.5</v>
      </c>
      <c r="Z3010" s="9">
        <f>1/COUNTIFS(Таблица1[Customer Name],Таблица1[[#This Row],[Customer Name]],Таблица1[Order-Year-Month],Таблица1[[#This Row],[Order-Year-Month]])</f>
        <v>0.25</v>
      </c>
    </row>
    <row r="3011" spans="1:26" x14ac:dyDescent="0.2">
      <c r="A3011" s="6">
        <v>3108</v>
      </c>
      <c r="B3011" s="7">
        <v>22338</v>
      </c>
      <c r="C3011" s="8">
        <f>DATE(2012,12,31)-962</f>
        <v>40312</v>
      </c>
      <c r="D3011" s="8" t="str">
        <f t="shared" ref="D3011:D3074" si="57">TEXT(C3011,"гггг-ММ (ММММ гггг)")</f>
        <v>2010-05 (май 2010)</v>
      </c>
      <c r="E3011" s="9" t="s">
        <v>63</v>
      </c>
      <c r="F3011" s="7">
        <v>36</v>
      </c>
      <c r="G3011" s="7">
        <v>200.08</v>
      </c>
      <c r="H3011" s="7">
        <v>0.05</v>
      </c>
      <c r="I3011" s="9" t="s">
        <v>22</v>
      </c>
      <c r="J3011" s="10">
        <v>-62.97</v>
      </c>
      <c r="K3011" s="11">
        <v>5.28</v>
      </c>
      <c r="L3011" s="11">
        <v>5.0599999999999996</v>
      </c>
      <c r="M3011" s="9" t="s">
        <v>1571</v>
      </c>
      <c r="N3011" s="6" t="s">
        <v>974</v>
      </c>
      <c r="O3011" s="6" t="s">
        <v>512</v>
      </c>
      <c r="P3011" s="9" t="s">
        <v>33</v>
      </c>
      <c r="Q3011" s="9" t="s">
        <v>26</v>
      </c>
      <c r="R3011" s="9" t="s">
        <v>61</v>
      </c>
      <c r="S3011" s="7" t="s">
        <v>1580</v>
      </c>
      <c r="T3011" s="9" t="s">
        <v>39</v>
      </c>
      <c r="U3011" s="7">
        <v>0.37</v>
      </c>
      <c r="V3011" s="12">
        <f>C3011+1</f>
        <v>40313</v>
      </c>
      <c r="W3011">
        <f>IF(D3011=' Pivot Tables'!$A$4,1,0)</f>
        <v>0</v>
      </c>
      <c r="X3011">
        <f>IF(AND(LEFT(D3011,4)+1=LEFT(' Pivot Tables'!$A$4,4)+0,RIGHT(LEFT(D3011,7),2)=RIGHT(LEFT(' Pivot Tables'!$A$4,7),2)),1,0)</f>
        <v>0</v>
      </c>
      <c r="Y3011" s="6">
        <f>1/COUNTIF(Таблица1[Order ID],Таблица1[[#This Row],[Order ID]])</f>
        <v>0.5</v>
      </c>
      <c r="Z3011" s="9">
        <f>1/COUNTIFS(Таблица1[Customer Name],Таблица1[[#This Row],[Customer Name]],Таблица1[Order-Year-Month],Таблица1[[#This Row],[Order-Year-Month]])</f>
        <v>0.5</v>
      </c>
    </row>
    <row r="3012" spans="1:26" x14ac:dyDescent="0.2">
      <c r="A3012" s="6">
        <v>3151</v>
      </c>
      <c r="B3012" s="7">
        <v>22627</v>
      </c>
      <c r="C3012" s="8">
        <f>DATE(2012,12,31)-1003</f>
        <v>40271</v>
      </c>
      <c r="D3012" s="8" t="str">
        <f t="shared" si="57"/>
        <v>2010-04 (апрель 2010)</v>
      </c>
      <c r="E3012" s="9" t="s">
        <v>21</v>
      </c>
      <c r="F3012" s="7">
        <v>33</v>
      </c>
      <c r="G3012" s="7">
        <v>1934.6</v>
      </c>
      <c r="H3012" s="7">
        <v>0.09</v>
      </c>
      <c r="I3012" s="9" t="s">
        <v>22</v>
      </c>
      <c r="J3012" s="10">
        <v>614.03</v>
      </c>
      <c r="K3012" s="11">
        <v>63.94</v>
      </c>
      <c r="L3012" s="11">
        <v>14.48</v>
      </c>
      <c r="M3012" s="9" t="s">
        <v>1581</v>
      </c>
      <c r="N3012" s="6" t="s">
        <v>974</v>
      </c>
      <c r="O3012" s="6" t="s">
        <v>512</v>
      </c>
      <c r="P3012" s="9" t="s">
        <v>25</v>
      </c>
      <c r="Q3012" s="9" t="s">
        <v>49</v>
      </c>
      <c r="R3012" s="9" t="s">
        <v>50</v>
      </c>
      <c r="S3012" s="7" t="s">
        <v>433</v>
      </c>
      <c r="T3012" s="9" t="s">
        <v>39</v>
      </c>
      <c r="U3012" s="7">
        <v>0.46</v>
      </c>
      <c r="V3012" s="12">
        <f>C3012+5</f>
        <v>40276</v>
      </c>
      <c r="W3012">
        <f>IF(D3012=' Pivot Tables'!$A$4,1,0)</f>
        <v>0</v>
      </c>
      <c r="X3012">
        <f>IF(AND(LEFT(D3012,4)+1=LEFT(' Pivot Tables'!$A$4,4)+0,RIGHT(LEFT(D3012,7),2)=RIGHT(LEFT(' Pivot Tables'!$A$4,7),2)),1,0)</f>
        <v>0</v>
      </c>
      <c r="Y3012" s="6">
        <f>1/COUNTIF(Таблица1[Order ID],Таблица1[[#This Row],[Order ID]])</f>
        <v>0.5</v>
      </c>
      <c r="Z3012" s="9">
        <f>1/COUNTIFS(Таблица1[Customer Name],Таблица1[[#This Row],[Customer Name]],Таблица1[Order-Year-Month],Таблица1[[#This Row],[Order-Year-Month]])</f>
        <v>0.5</v>
      </c>
    </row>
    <row r="3013" spans="1:26" x14ac:dyDescent="0.2">
      <c r="A3013" s="6">
        <v>3175</v>
      </c>
      <c r="B3013" s="7">
        <v>22820</v>
      </c>
      <c r="C3013" s="8">
        <f>DATE(2012,12,31)-867</f>
        <v>40407</v>
      </c>
      <c r="D3013" s="8" t="str">
        <f t="shared" si="57"/>
        <v>2010-08 (август 2010)</v>
      </c>
      <c r="E3013" s="9" t="s">
        <v>30</v>
      </c>
      <c r="F3013" s="7">
        <v>18</v>
      </c>
      <c r="G3013" s="7">
        <v>144.84</v>
      </c>
      <c r="H3013" s="7">
        <v>0</v>
      </c>
      <c r="I3013" s="9" t="s">
        <v>22</v>
      </c>
      <c r="J3013" s="10">
        <v>21.49</v>
      </c>
      <c r="K3013" s="11">
        <v>7.89</v>
      </c>
      <c r="L3013" s="11">
        <v>2.82</v>
      </c>
      <c r="M3013" s="9" t="s">
        <v>1465</v>
      </c>
      <c r="N3013" s="6" t="s">
        <v>974</v>
      </c>
      <c r="O3013" s="6" t="s">
        <v>512</v>
      </c>
      <c r="P3013" s="9" t="s">
        <v>33</v>
      </c>
      <c r="Q3013" s="9" t="s">
        <v>26</v>
      </c>
      <c r="R3013" s="9" t="s">
        <v>66</v>
      </c>
      <c r="S3013" s="7" t="s">
        <v>793</v>
      </c>
      <c r="T3013" s="9" t="s">
        <v>68</v>
      </c>
      <c r="U3013" s="7">
        <v>0.4</v>
      </c>
      <c r="V3013" s="12">
        <f>C3013+3</f>
        <v>40410</v>
      </c>
      <c r="W3013">
        <f>IF(D3013=' Pivot Tables'!$A$4,1,0)</f>
        <v>0</v>
      </c>
      <c r="X3013">
        <f>IF(AND(LEFT(D3013,4)+1=LEFT(' Pivot Tables'!$A$4,4)+0,RIGHT(LEFT(D3013,7),2)=RIGHT(LEFT(' Pivot Tables'!$A$4,7),2)),1,0)</f>
        <v>0</v>
      </c>
      <c r="Y3013" s="6">
        <f>1/COUNTIF(Таблица1[Order ID],Таблица1[[#This Row],[Order ID]])</f>
        <v>0.5</v>
      </c>
      <c r="Z3013" s="9">
        <f>1/COUNTIFS(Таблица1[Customer Name],Таблица1[[#This Row],[Customer Name]],Таблица1[Order-Year-Month],Таблица1[[#This Row],[Order-Year-Month]])</f>
        <v>0.5</v>
      </c>
    </row>
    <row r="3014" spans="1:26" x14ac:dyDescent="0.2">
      <c r="A3014" s="6">
        <v>3187</v>
      </c>
      <c r="B3014" s="7">
        <v>22880</v>
      </c>
      <c r="C3014" s="8">
        <f>DATE(2012,12,31)-946</f>
        <v>40328</v>
      </c>
      <c r="D3014" s="8" t="str">
        <f t="shared" si="57"/>
        <v>2010-05 (май 2010)</v>
      </c>
      <c r="E3014" s="9" t="s">
        <v>63</v>
      </c>
      <c r="F3014" s="7">
        <v>13</v>
      </c>
      <c r="G3014" s="7">
        <v>24.96</v>
      </c>
      <c r="H3014" s="7">
        <v>0.01</v>
      </c>
      <c r="I3014" s="9" t="s">
        <v>22</v>
      </c>
      <c r="J3014" s="10">
        <v>-20.68</v>
      </c>
      <c r="K3014" s="11">
        <v>1.7</v>
      </c>
      <c r="L3014" s="11">
        <v>1.99</v>
      </c>
      <c r="M3014" s="9" t="s">
        <v>1564</v>
      </c>
      <c r="N3014" s="6" t="s">
        <v>974</v>
      </c>
      <c r="O3014" s="6" t="s">
        <v>512</v>
      </c>
      <c r="P3014" s="9" t="s">
        <v>25</v>
      </c>
      <c r="Q3014" s="9" t="s">
        <v>42</v>
      </c>
      <c r="R3014" s="9" t="s">
        <v>70</v>
      </c>
      <c r="S3014" s="7" t="s">
        <v>945</v>
      </c>
      <c r="T3014" s="9" t="s">
        <v>52</v>
      </c>
      <c r="U3014" s="7">
        <v>0.51</v>
      </c>
      <c r="V3014" s="12">
        <f>C3014+3</f>
        <v>40331</v>
      </c>
      <c r="W3014">
        <f>IF(D3014=' Pivot Tables'!$A$4,1,0)</f>
        <v>0</v>
      </c>
      <c r="X3014">
        <f>IF(AND(LEFT(D3014,4)+1=LEFT(' Pivot Tables'!$A$4,4)+0,RIGHT(LEFT(D3014,7),2)=RIGHT(LEFT(' Pivot Tables'!$A$4,7),2)),1,0)</f>
        <v>0</v>
      </c>
      <c r="Y3014" s="6">
        <f>1/COUNTIF(Таблица1[Order ID],Таблица1[[#This Row],[Order ID]])</f>
        <v>1</v>
      </c>
      <c r="Z3014" s="9">
        <f>1/COUNTIFS(Таблица1[Customer Name],Таблица1[[#This Row],[Customer Name]],Таблица1[Order-Year-Month],Таблица1[[#This Row],[Order-Year-Month]])</f>
        <v>1</v>
      </c>
    </row>
    <row r="3015" spans="1:26" x14ac:dyDescent="0.2">
      <c r="A3015" s="6">
        <v>3217</v>
      </c>
      <c r="B3015" s="7">
        <v>23078</v>
      </c>
      <c r="C3015" s="8">
        <f>DATE(2012,12,31)-473</f>
        <v>40801</v>
      </c>
      <c r="D3015" s="8" t="str">
        <f t="shared" si="57"/>
        <v>2011-09 (сентябрь 2011)</v>
      </c>
      <c r="E3015" s="9" t="s">
        <v>63</v>
      </c>
      <c r="F3015" s="7">
        <v>39</v>
      </c>
      <c r="G3015" s="7">
        <v>577.95000000000005</v>
      </c>
      <c r="H3015" s="7">
        <v>7.0000000000000007E-2</v>
      </c>
      <c r="I3015" s="9" t="s">
        <v>22</v>
      </c>
      <c r="J3015" s="10">
        <v>-86.43</v>
      </c>
      <c r="K3015" s="11">
        <v>15.73</v>
      </c>
      <c r="L3015" s="11">
        <v>7.42</v>
      </c>
      <c r="M3015" s="9" t="s">
        <v>1474</v>
      </c>
      <c r="N3015" s="6" t="s">
        <v>974</v>
      </c>
      <c r="O3015" s="6" t="s">
        <v>512</v>
      </c>
      <c r="P3015" s="9" t="s">
        <v>33</v>
      </c>
      <c r="Q3015" s="9" t="s">
        <v>26</v>
      </c>
      <c r="R3015" s="9" t="s">
        <v>150</v>
      </c>
      <c r="S3015" s="7" t="s">
        <v>1287</v>
      </c>
      <c r="T3015" s="9" t="s">
        <v>52</v>
      </c>
      <c r="U3015" s="7">
        <v>0.56000000000000005</v>
      </c>
      <c r="V3015" s="12">
        <f>C3015+2</f>
        <v>40803</v>
      </c>
      <c r="W3015">
        <f>IF(D3015=' Pivot Tables'!$A$4,1,0)</f>
        <v>0</v>
      </c>
      <c r="X3015">
        <f>IF(AND(LEFT(D3015,4)+1=LEFT(' Pivot Tables'!$A$4,4)+0,RIGHT(LEFT(D3015,7),2)=RIGHT(LEFT(' Pivot Tables'!$A$4,7),2)),1,0)</f>
        <v>0</v>
      </c>
      <c r="Y3015" s="6">
        <f>1/COUNTIF(Таблица1[Order ID],Таблица1[[#This Row],[Order ID]])</f>
        <v>0.33333333333333331</v>
      </c>
      <c r="Z3015" s="9">
        <f>1/COUNTIFS(Таблица1[Customer Name],Таблица1[[#This Row],[Customer Name]],Таблица1[Order-Year-Month],Таблица1[[#This Row],[Order-Year-Month]])</f>
        <v>0.33333333333333331</v>
      </c>
    </row>
    <row r="3016" spans="1:26" x14ac:dyDescent="0.2">
      <c r="A3016" s="6">
        <v>3246</v>
      </c>
      <c r="B3016" s="7">
        <v>23268</v>
      </c>
      <c r="C3016" s="8">
        <f>DATE(2012,12,31)-350</f>
        <v>40924</v>
      </c>
      <c r="D3016" s="8" t="str">
        <f t="shared" si="57"/>
        <v>2012-01 (январь 2012)</v>
      </c>
      <c r="E3016" s="9" t="s">
        <v>30</v>
      </c>
      <c r="F3016" s="7">
        <v>5</v>
      </c>
      <c r="G3016" s="7">
        <v>255.31</v>
      </c>
      <c r="H3016" s="7">
        <v>0.02</v>
      </c>
      <c r="I3016" s="9" t="s">
        <v>22</v>
      </c>
      <c r="J3016" s="10">
        <v>41.41</v>
      </c>
      <c r="K3016" s="11">
        <v>48.04</v>
      </c>
      <c r="L3016" s="11">
        <v>5.79</v>
      </c>
      <c r="M3016" s="9" t="s">
        <v>1582</v>
      </c>
      <c r="N3016" s="6" t="s">
        <v>974</v>
      </c>
      <c r="O3016" s="6" t="s">
        <v>512</v>
      </c>
      <c r="P3016" s="9" t="s">
        <v>60</v>
      </c>
      <c r="Q3016" s="9" t="s">
        <v>26</v>
      </c>
      <c r="R3016" s="9" t="s">
        <v>61</v>
      </c>
      <c r="S3016" s="7" t="s">
        <v>940</v>
      </c>
      <c r="T3016" s="9" t="s">
        <v>39</v>
      </c>
      <c r="U3016" s="7">
        <v>0.37</v>
      </c>
      <c r="V3016" s="12">
        <f>C3016+2</f>
        <v>40926</v>
      </c>
      <c r="W3016">
        <f>IF(D3016=' Pivot Tables'!$A$4,1,0)</f>
        <v>0</v>
      </c>
      <c r="X3016">
        <f>IF(AND(LEFT(D3016,4)+1=LEFT(' Pivot Tables'!$A$4,4)+0,RIGHT(LEFT(D3016,7),2)=RIGHT(LEFT(' Pivot Tables'!$A$4,7),2)),1,0)</f>
        <v>0</v>
      </c>
      <c r="Y3016" s="6">
        <f>1/COUNTIF(Таблица1[Order ID],Таблица1[[#This Row],[Order ID]])</f>
        <v>0.5</v>
      </c>
      <c r="Z3016" s="9">
        <f>1/COUNTIFS(Таблица1[Customer Name],Таблица1[[#This Row],[Customer Name]],Таблица1[Order-Year-Month],Таблица1[[#This Row],[Order-Year-Month]])</f>
        <v>0.5</v>
      </c>
    </row>
    <row r="3017" spans="1:26" x14ac:dyDescent="0.2">
      <c r="A3017" s="6">
        <v>3354</v>
      </c>
      <c r="B3017" s="7">
        <v>24003</v>
      </c>
      <c r="C3017" s="8">
        <f>DATE(2012,12,31)-1157</f>
        <v>40117</v>
      </c>
      <c r="D3017" s="8" t="str">
        <f t="shared" si="57"/>
        <v>2009-10 (октябрь 2009)</v>
      </c>
      <c r="E3017" s="9" t="s">
        <v>78</v>
      </c>
      <c r="F3017" s="7">
        <v>4</v>
      </c>
      <c r="G3017" s="7">
        <v>129.78649999999999</v>
      </c>
      <c r="H3017" s="7">
        <v>0.05</v>
      </c>
      <c r="I3017" s="9" t="s">
        <v>56</v>
      </c>
      <c r="J3017" s="10">
        <v>-116.512</v>
      </c>
      <c r="K3017" s="11">
        <v>35.99</v>
      </c>
      <c r="L3017" s="11">
        <v>5.99</v>
      </c>
      <c r="M3017" s="9" t="s">
        <v>1475</v>
      </c>
      <c r="N3017" s="6" t="s">
        <v>974</v>
      </c>
      <c r="O3017" s="6" t="s">
        <v>512</v>
      </c>
      <c r="P3017" s="9" t="s">
        <v>41</v>
      </c>
      <c r="Q3017" s="9" t="s">
        <v>42</v>
      </c>
      <c r="R3017" s="9" t="s">
        <v>43</v>
      </c>
      <c r="S3017" s="7" t="s">
        <v>907</v>
      </c>
      <c r="T3017" s="9" t="s">
        <v>68</v>
      </c>
      <c r="U3017" s="7">
        <v>0.38</v>
      </c>
      <c r="V3017" s="12">
        <f>C3017+2</f>
        <v>40119</v>
      </c>
      <c r="W3017">
        <f>IF(D3017=' Pivot Tables'!$A$4,1,0)</f>
        <v>0</v>
      </c>
      <c r="X3017">
        <f>IF(AND(LEFT(D3017,4)+1=LEFT(' Pivot Tables'!$A$4,4)+0,RIGHT(LEFT(D3017,7),2)=RIGHT(LEFT(' Pivot Tables'!$A$4,7),2)),1,0)</f>
        <v>0</v>
      </c>
      <c r="Y3017" s="6">
        <f>1/COUNTIF(Таблица1[Order ID],Таблица1[[#This Row],[Order ID]])</f>
        <v>0.25</v>
      </c>
      <c r="Z3017" s="9">
        <f>1/COUNTIFS(Таблица1[Customer Name],Таблица1[[#This Row],[Customer Name]],Таблица1[Order-Year-Month],Таблица1[[#This Row],[Order-Year-Month]])</f>
        <v>0.25</v>
      </c>
    </row>
    <row r="3018" spans="1:26" x14ac:dyDescent="0.2">
      <c r="A3018" s="6">
        <v>3379</v>
      </c>
      <c r="B3018" s="7">
        <v>24102</v>
      </c>
      <c r="C3018" s="8">
        <f>DATE(2012,12,31)-762</f>
        <v>40512</v>
      </c>
      <c r="D3018" s="8" t="str">
        <f t="shared" si="57"/>
        <v>2010-11 (ноябрь 2010)</v>
      </c>
      <c r="E3018" s="9" t="s">
        <v>78</v>
      </c>
      <c r="F3018" s="7">
        <v>50</v>
      </c>
      <c r="G3018" s="7">
        <v>1844.26</v>
      </c>
      <c r="H3018" s="7">
        <v>0.03</v>
      </c>
      <c r="I3018" s="9" t="s">
        <v>22</v>
      </c>
      <c r="J3018" s="10">
        <v>47.58</v>
      </c>
      <c r="K3018" s="11">
        <v>37.76</v>
      </c>
      <c r="L3018" s="11">
        <v>12.9</v>
      </c>
      <c r="M3018" s="9" t="s">
        <v>1487</v>
      </c>
      <c r="N3018" s="6" t="s">
        <v>974</v>
      </c>
      <c r="O3018" s="6" t="s">
        <v>512</v>
      </c>
      <c r="P3018" s="9" t="s">
        <v>25</v>
      </c>
      <c r="Q3018" s="9" t="s">
        <v>26</v>
      </c>
      <c r="R3018" s="9" t="s">
        <v>27</v>
      </c>
      <c r="S3018" s="7" t="s">
        <v>1087</v>
      </c>
      <c r="T3018" s="9" t="s">
        <v>39</v>
      </c>
      <c r="U3018" s="7">
        <v>0.56999999999999995</v>
      </c>
      <c r="V3018" s="12">
        <f>C3018+1</f>
        <v>40513</v>
      </c>
      <c r="W3018">
        <f>IF(D3018=' Pivot Tables'!$A$4,1,0)</f>
        <v>0</v>
      </c>
      <c r="X3018">
        <f>IF(AND(LEFT(D3018,4)+1=LEFT(' Pivot Tables'!$A$4,4)+0,RIGHT(LEFT(D3018,7),2)=RIGHT(LEFT(' Pivot Tables'!$A$4,7),2)),1,0)</f>
        <v>0</v>
      </c>
      <c r="Y3018" s="6">
        <f>1/COUNTIF(Таблица1[Order ID],Таблица1[[#This Row],[Order ID]])</f>
        <v>1</v>
      </c>
      <c r="Z3018" s="9">
        <f>1/COUNTIFS(Таблица1[Customer Name],Таблица1[[#This Row],[Customer Name]],Таблица1[Order-Year-Month],Таблица1[[#This Row],[Order-Year-Month]])</f>
        <v>1</v>
      </c>
    </row>
    <row r="3019" spans="1:26" x14ac:dyDescent="0.2">
      <c r="A3019" s="6">
        <v>3423</v>
      </c>
      <c r="B3019" s="7">
        <v>24422</v>
      </c>
      <c r="C3019" s="8">
        <f>DATE(2012,12,31)-368</f>
        <v>40906</v>
      </c>
      <c r="D3019" s="8" t="str">
        <f t="shared" si="57"/>
        <v>2011-12 (декабрь 2011)</v>
      </c>
      <c r="E3019" s="9" t="s">
        <v>78</v>
      </c>
      <c r="F3019" s="7">
        <v>20</v>
      </c>
      <c r="G3019" s="7">
        <v>3467.28</v>
      </c>
      <c r="H3019" s="7">
        <v>0.06</v>
      </c>
      <c r="I3019" s="9" t="s">
        <v>31</v>
      </c>
      <c r="J3019" s="10">
        <v>-433.29014300000011</v>
      </c>
      <c r="K3019" s="11">
        <v>179.29</v>
      </c>
      <c r="L3019" s="11">
        <v>29.21</v>
      </c>
      <c r="M3019" s="9" t="s">
        <v>1465</v>
      </c>
      <c r="N3019" s="6" t="s">
        <v>974</v>
      </c>
      <c r="O3019" s="6" t="s">
        <v>512</v>
      </c>
      <c r="P3019" s="9" t="s">
        <v>41</v>
      </c>
      <c r="Q3019" s="9" t="s">
        <v>49</v>
      </c>
      <c r="R3019" s="9" t="s">
        <v>83</v>
      </c>
      <c r="S3019" s="7" t="s">
        <v>207</v>
      </c>
      <c r="T3019" s="9" t="s">
        <v>82</v>
      </c>
      <c r="U3019" s="7">
        <v>0.76</v>
      </c>
      <c r="V3019" s="12">
        <f>C3019+2</f>
        <v>40908</v>
      </c>
      <c r="W3019">
        <f>IF(D3019=' Pivot Tables'!$A$4,1,0)</f>
        <v>0</v>
      </c>
      <c r="X3019">
        <f>IF(AND(LEFT(D3019,4)+1=LEFT(' Pivot Tables'!$A$4,4)+0,RIGHT(LEFT(D3019,7),2)=RIGHT(LEFT(' Pivot Tables'!$A$4,7),2)),1,0)</f>
        <v>0</v>
      </c>
      <c r="Y3019" s="6">
        <f>1/COUNTIF(Таблица1[Order ID],Таблица1[[#This Row],[Order ID]])</f>
        <v>1</v>
      </c>
      <c r="Z3019" s="9">
        <f>1/COUNTIFS(Таблица1[Customer Name],Таблица1[[#This Row],[Customer Name]],Таблица1[Order-Year-Month],Таблица1[[#This Row],[Order-Year-Month]])</f>
        <v>1</v>
      </c>
    </row>
    <row r="3020" spans="1:26" x14ac:dyDescent="0.2">
      <c r="A3020" s="6">
        <v>3459</v>
      </c>
      <c r="B3020" s="7">
        <v>24644</v>
      </c>
      <c r="C3020" s="8">
        <f>DATE(2012,12,31)-1252</f>
        <v>40022</v>
      </c>
      <c r="D3020" s="8" t="str">
        <f t="shared" si="57"/>
        <v>2009-07 (июль 2009)</v>
      </c>
      <c r="E3020" s="9" t="s">
        <v>78</v>
      </c>
      <c r="F3020" s="7">
        <v>46</v>
      </c>
      <c r="G3020" s="7">
        <v>5897.47</v>
      </c>
      <c r="H3020" s="7">
        <v>0</v>
      </c>
      <c r="I3020" s="9" t="s">
        <v>31</v>
      </c>
      <c r="J3020" s="10">
        <v>-1764.29</v>
      </c>
      <c r="K3020" s="11">
        <v>122.99</v>
      </c>
      <c r="L3020" s="11">
        <v>70.2</v>
      </c>
      <c r="M3020" s="9" t="s">
        <v>1531</v>
      </c>
      <c r="N3020" s="6" t="s">
        <v>974</v>
      </c>
      <c r="O3020" s="6" t="s">
        <v>512</v>
      </c>
      <c r="P3020" s="9" t="s">
        <v>41</v>
      </c>
      <c r="Q3020" s="9" t="s">
        <v>49</v>
      </c>
      <c r="R3020" s="9" t="s">
        <v>112</v>
      </c>
      <c r="S3020" s="7" t="s">
        <v>426</v>
      </c>
      <c r="T3020" s="9" t="s">
        <v>36</v>
      </c>
      <c r="U3020" s="7">
        <v>0.74</v>
      </c>
      <c r="V3020" s="12">
        <f>C3020+1</f>
        <v>40023</v>
      </c>
      <c r="W3020">
        <f>IF(D3020=' Pivot Tables'!$A$4,1,0)</f>
        <v>0</v>
      </c>
      <c r="X3020">
        <f>IF(AND(LEFT(D3020,4)+1=LEFT(' Pivot Tables'!$A$4,4)+0,RIGHT(LEFT(D3020,7),2)=RIGHT(LEFT(' Pivot Tables'!$A$4,7),2)),1,0)</f>
        <v>0</v>
      </c>
      <c r="Y3020" s="6">
        <f>1/COUNTIF(Таблица1[Order ID],Таблица1[[#This Row],[Order ID]])</f>
        <v>0.5</v>
      </c>
      <c r="Z3020" s="9">
        <f>1/COUNTIFS(Таблица1[Customer Name],Таблица1[[#This Row],[Customer Name]],Таблица1[Order-Year-Month],Таблица1[[#This Row],[Order-Year-Month]])</f>
        <v>0.5</v>
      </c>
    </row>
    <row r="3021" spans="1:26" x14ac:dyDescent="0.2">
      <c r="A3021" s="6">
        <v>3693</v>
      </c>
      <c r="B3021" s="7">
        <v>26401</v>
      </c>
      <c r="C3021" s="8">
        <f>DATE(2012,12,31)-810</f>
        <v>40464</v>
      </c>
      <c r="D3021" s="8" t="str">
        <f t="shared" si="57"/>
        <v>2010-10 (октябрь 2010)</v>
      </c>
      <c r="E3021" s="9" t="s">
        <v>63</v>
      </c>
      <c r="F3021" s="7">
        <v>1</v>
      </c>
      <c r="G3021" s="7">
        <v>415</v>
      </c>
      <c r="H3021" s="7">
        <v>7.0000000000000007E-2</v>
      </c>
      <c r="I3021" s="9" t="s">
        <v>22</v>
      </c>
      <c r="J3021" s="10">
        <v>-199.3065</v>
      </c>
      <c r="K3021" s="11">
        <v>420.98</v>
      </c>
      <c r="L3021" s="11">
        <v>19.989999999999998</v>
      </c>
      <c r="M3021" s="9" t="s">
        <v>1545</v>
      </c>
      <c r="N3021" s="6" t="s">
        <v>974</v>
      </c>
      <c r="O3021" s="6" t="s">
        <v>512</v>
      </c>
      <c r="P3021" s="9" t="s">
        <v>25</v>
      </c>
      <c r="Q3021" s="9" t="s">
        <v>26</v>
      </c>
      <c r="R3021" s="9" t="s">
        <v>37</v>
      </c>
      <c r="S3021" s="7" t="s">
        <v>607</v>
      </c>
      <c r="T3021" s="9" t="s">
        <v>39</v>
      </c>
      <c r="U3021" s="7">
        <v>0.35</v>
      </c>
      <c r="V3021" s="12">
        <f>C3021+2</f>
        <v>40466</v>
      </c>
      <c r="W3021">
        <f>IF(D3021=' Pivot Tables'!$A$4,1,0)</f>
        <v>0</v>
      </c>
      <c r="X3021">
        <f>IF(AND(LEFT(D3021,4)+1=LEFT(' Pivot Tables'!$A$4,4)+0,RIGHT(LEFT(D3021,7),2)=RIGHT(LEFT(' Pivot Tables'!$A$4,7),2)),1,0)</f>
        <v>0</v>
      </c>
      <c r="Y3021" s="6">
        <f>1/COUNTIF(Таблица1[Order ID],Таблица1[[#This Row],[Order ID]])</f>
        <v>1</v>
      </c>
      <c r="Z3021" s="9">
        <f>1/COUNTIFS(Таблица1[Customer Name],Таблица1[[#This Row],[Customer Name]],Таблица1[Order-Year-Month],Таблица1[[#This Row],[Order-Year-Month]])</f>
        <v>0.25</v>
      </c>
    </row>
    <row r="3022" spans="1:26" x14ac:dyDescent="0.2">
      <c r="A3022" s="6">
        <v>3918</v>
      </c>
      <c r="B3022" s="7">
        <v>27938</v>
      </c>
      <c r="C3022" s="8">
        <f>DATE(2012,12,31)-1336</f>
        <v>39938</v>
      </c>
      <c r="D3022" s="8" t="str">
        <f t="shared" si="57"/>
        <v>2009-05 (май 2009)</v>
      </c>
      <c r="E3022" s="9" t="s">
        <v>63</v>
      </c>
      <c r="F3022" s="7">
        <v>40</v>
      </c>
      <c r="G3022" s="7">
        <v>1233.51</v>
      </c>
      <c r="H3022" s="7">
        <v>0.05</v>
      </c>
      <c r="I3022" s="9" t="s">
        <v>22</v>
      </c>
      <c r="J3022" s="10">
        <v>308.67</v>
      </c>
      <c r="K3022" s="11">
        <v>30.98</v>
      </c>
      <c r="L3022" s="11">
        <v>9.18</v>
      </c>
      <c r="M3022" s="9" t="s">
        <v>1383</v>
      </c>
      <c r="N3022" s="6" t="s">
        <v>974</v>
      </c>
      <c r="O3022" s="6" t="s">
        <v>512</v>
      </c>
      <c r="P3022" s="9" t="s">
        <v>60</v>
      </c>
      <c r="Q3022" s="9" t="s">
        <v>26</v>
      </c>
      <c r="R3022" s="9" t="s">
        <v>61</v>
      </c>
      <c r="S3022" s="7" t="s">
        <v>1583</v>
      </c>
      <c r="T3022" s="9" t="s">
        <v>39</v>
      </c>
      <c r="U3022" s="7">
        <v>0.4</v>
      </c>
      <c r="V3022" s="12">
        <f>C3022+0</f>
        <v>39938</v>
      </c>
      <c r="W3022">
        <f>IF(D3022=' Pivot Tables'!$A$4,1,0)</f>
        <v>0</v>
      </c>
      <c r="X3022">
        <f>IF(AND(LEFT(D3022,4)+1=LEFT(' Pivot Tables'!$A$4,4)+0,RIGHT(LEFT(D3022,7),2)=RIGHT(LEFT(' Pivot Tables'!$A$4,7),2)),1,0)</f>
        <v>0</v>
      </c>
      <c r="Y3022" s="6">
        <f>1/COUNTIF(Таблица1[Order ID],Таблица1[[#This Row],[Order ID]])</f>
        <v>1</v>
      </c>
      <c r="Z3022" s="9">
        <f>1/COUNTIFS(Таблица1[Customer Name],Таблица1[[#This Row],[Customer Name]],Таблица1[Order-Year-Month],Таблица1[[#This Row],[Order-Year-Month]])</f>
        <v>1</v>
      </c>
    </row>
    <row r="3023" spans="1:26" x14ac:dyDescent="0.2">
      <c r="A3023" s="6">
        <v>3996</v>
      </c>
      <c r="B3023" s="7">
        <v>28515</v>
      </c>
      <c r="C3023" s="8">
        <f>DATE(2012,12,31)-915</f>
        <v>40359</v>
      </c>
      <c r="D3023" s="8" t="str">
        <f t="shared" si="57"/>
        <v>2010-06 (июнь 2010)</v>
      </c>
      <c r="E3023" s="9" t="s">
        <v>30</v>
      </c>
      <c r="F3023" s="7">
        <v>48</v>
      </c>
      <c r="G3023" s="7">
        <v>379.78</v>
      </c>
      <c r="H3023" s="7">
        <v>0.1</v>
      </c>
      <c r="I3023" s="9" t="s">
        <v>22</v>
      </c>
      <c r="J3023" s="10">
        <v>-71.59</v>
      </c>
      <c r="K3023" s="11">
        <v>8.32</v>
      </c>
      <c r="L3023" s="11">
        <v>2.38</v>
      </c>
      <c r="M3023" s="9" t="s">
        <v>598</v>
      </c>
      <c r="N3023" s="6" t="s">
        <v>974</v>
      </c>
      <c r="O3023" s="6" t="s">
        <v>512</v>
      </c>
      <c r="P3023" s="9" t="s">
        <v>41</v>
      </c>
      <c r="Q3023" s="9" t="s">
        <v>42</v>
      </c>
      <c r="R3023" s="9" t="s">
        <v>70</v>
      </c>
      <c r="S3023" s="7" t="s">
        <v>1584</v>
      </c>
      <c r="T3023" s="9" t="s">
        <v>52</v>
      </c>
      <c r="U3023" s="7">
        <v>0.74</v>
      </c>
      <c r="V3023" s="12">
        <f>C3023+2</f>
        <v>40361</v>
      </c>
      <c r="W3023">
        <f>IF(D3023=' Pivot Tables'!$A$4,1,0)</f>
        <v>0</v>
      </c>
      <c r="X3023">
        <f>IF(AND(LEFT(D3023,4)+1=LEFT(' Pivot Tables'!$A$4,4)+0,RIGHT(LEFT(D3023,7),2)=RIGHT(LEFT(' Pivot Tables'!$A$4,7),2)),1,0)</f>
        <v>0</v>
      </c>
      <c r="Y3023" s="6">
        <f>1/COUNTIF(Таблица1[Order ID],Таблица1[[#This Row],[Order ID]])</f>
        <v>0.5</v>
      </c>
      <c r="Z3023" s="9">
        <f>1/COUNTIFS(Таблица1[Customer Name],Таблица1[[#This Row],[Customer Name]],Таблица1[Order-Year-Month],Таблица1[[#This Row],[Order-Year-Month]])</f>
        <v>0.5</v>
      </c>
    </row>
    <row r="3024" spans="1:26" x14ac:dyDescent="0.2">
      <c r="A3024" s="6">
        <v>4114</v>
      </c>
      <c r="B3024" s="7">
        <v>29280</v>
      </c>
      <c r="C3024" s="8">
        <f>DATE(2012,12,31)-278</f>
        <v>40996</v>
      </c>
      <c r="D3024" s="8" t="str">
        <f t="shared" si="57"/>
        <v>2012-03 (март 2012)</v>
      </c>
      <c r="E3024" s="9" t="s">
        <v>63</v>
      </c>
      <c r="F3024" s="7">
        <v>30</v>
      </c>
      <c r="G3024" s="7">
        <v>856.34</v>
      </c>
      <c r="H3024" s="7">
        <v>0.06</v>
      </c>
      <c r="I3024" s="9" t="s">
        <v>22</v>
      </c>
      <c r="J3024" s="10">
        <v>248.91</v>
      </c>
      <c r="K3024" s="11">
        <v>28.38</v>
      </c>
      <c r="L3024" s="11">
        <v>1.99</v>
      </c>
      <c r="M3024" s="9" t="s">
        <v>1581</v>
      </c>
      <c r="N3024" s="6" t="s">
        <v>974</v>
      </c>
      <c r="O3024" s="6" t="s">
        <v>512</v>
      </c>
      <c r="P3024" s="9" t="s">
        <v>25</v>
      </c>
      <c r="Q3024" s="9" t="s">
        <v>42</v>
      </c>
      <c r="R3024" s="9" t="s">
        <v>70</v>
      </c>
      <c r="S3024" s="7" t="s">
        <v>1585</v>
      </c>
      <c r="T3024" s="9" t="s">
        <v>52</v>
      </c>
      <c r="U3024" s="7">
        <v>0.51</v>
      </c>
      <c r="V3024" s="12">
        <f>C3024+1</f>
        <v>40997</v>
      </c>
      <c r="W3024">
        <f>IF(D3024=' Pivot Tables'!$A$4,1,0)</f>
        <v>0</v>
      </c>
      <c r="X3024">
        <f>IF(AND(LEFT(D3024,4)+1=LEFT(' Pivot Tables'!$A$4,4)+0,RIGHT(LEFT(D3024,7),2)=RIGHT(LEFT(' Pivot Tables'!$A$4,7),2)),1,0)</f>
        <v>0</v>
      </c>
      <c r="Y3024" s="6">
        <f>1/COUNTIF(Таблица1[Order ID],Таблица1[[#This Row],[Order ID]])</f>
        <v>0.5</v>
      </c>
      <c r="Z3024" s="9">
        <f>1/COUNTIFS(Таблица1[Customer Name],Таблица1[[#This Row],[Customer Name]],Таблица1[Order-Year-Month],Таблица1[[#This Row],[Order-Year-Month]])</f>
        <v>0.5</v>
      </c>
    </row>
    <row r="3025" spans="1:26" x14ac:dyDescent="0.2">
      <c r="A3025" s="6">
        <v>4127</v>
      </c>
      <c r="B3025" s="7">
        <v>29346</v>
      </c>
      <c r="C3025" s="8">
        <f>DATE(2012,12,31)-1233</f>
        <v>40041</v>
      </c>
      <c r="D3025" s="8" t="str">
        <f t="shared" si="57"/>
        <v>2009-08 (август 2009)</v>
      </c>
      <c r="E3025" s="9" t="s">
        <v>21</v>
      </c>
      <c r="F3025" s="7">
        <v>2</v>
      </c>
      <c r="G3025" s="7">
        <v>29.06</v>
      </c>
      <c r="H3025" s="7">
        <v>0.1</v>
      </c>
      <c r="I3025" s="9" t="s">
        <v>22</v>
      </c>
      <c r="J3025" s="10">
        <v>-16.149999999999999</v>
      </c>
      <c r="K3025" s="11">
        <v>11.58</v>
      </c>
      <c r="L3025" s="11">
        <v>6.97</v>
      </c>
      <c r="M3025" s="9" t="s">
        <v>1406</v>
      </c>
      <c r="N3025" s="6" t="s">
        <v>974</v>
      </c>
      <c r="O3025" s="6" t="s">
        <v>512</v>
      </c>
      <c r="P3025" s="9" t="s">
        <v>41</v>
      </c>
      <c r="Q3025" s="9" t="s">
        <v>26</v>
      </c>
      <c r="R3025" s="9" t="s">
        <v>76</v>
      </c>
      <c r="S3025" s="7" t="s">
        <v>304</v>
      </c>
      <c r="T3025" s="9" t="s">
        <v>39</v>
      </c>
      <c r="U3025" s="7">
        <v>0.35</v>
      </c>
      <c r="V3025" s="12">
        <f>C3025+4</f>
        <v>40045</v>
      </c>
      <c r="W3025">
        <f>IF(D3025=' Pivot Tables'!$A$4,1,0)</f>
        <v>0</v>
      </c>
      <c r="X3025">
        <f>IF(AND(LEFT(D3025,4)+1=LEFT(' Pivot Tables'!$A$4,4)+0,RIGHT(LEFT(D3025,7),2)=RIGHT(LEFT(' Pivot Tables'!$A$4,7),2)),1,0)</f>
        <v>0</v>
      </c>
      <c r="Y3025" s="6">
        <f>1/COUNTIF(Таблица1[Order ID],Таблица1[[#This Row],[Order ID]])</f>
        <v>1</v>
      </c>
      <c r="Z3025" s="9">
        <f>1/COUNTIFS(Таблица1[Customer Name],Таблица1[[#This Row],[Customer Name]],Таблица1[Order-Year-Month],Таблица1[[#This Row],[Order-Year-Month]])</f>
        <v>1</v>
      </c>
    </row>
    <row r="3026" spans="1:26" x14ac:dyDescent="0.2">
      <c r="A3026" s="6">
        <v>4129</v>
      </c>
      <c r="B3026" s="7">
        <v>29349</v>
      </c>
      <c r="C3026" s="8">
        <f>DATE(2012,12,31)-935</f>
        <v>40339</v>
      </c>
      <c r="D3026" s="8" t="str">
        <f t="shared" si="57"/>
        <v>2010-06 (июнь 2010)</v>
      </c>
      <c r="E3026" s="9" t="s">
        <v>30</v>
      </c>
      <c r="F3026" s="7">
        <v>46</v>
      </c>
      <c r="G3026" s="7">
        <v>2526.54</v>
      </c>
      <c r="H3026" s="7">
        <v>0.04</v>
      </c>
      <c r="I3026" s="9" t="s">
        <v>22</v>
      </c>
      <c r="J3026" s="10">
        <v>772.11</v>
      </c>
      <c r="K3026" s="11">
        <v>65.989999999999995</v>
      </c>
      <c r="L3026" s="11">
        <v>2.5</v>
      </c>
      <c r="M3026" s="9" t="s">
        <v>1469</v>
      </c>
      <c r="N3026" s="6" t="s">
        <v>974</v>
      </c>
      <c r="O3026" s="6" t="s">
        <v>512</v>
      </c>
      <c r="P3026" s="9" t="s">
        <v>25</v>
      </c>
      <c r="Q3026" s="9" t="s">
        <v>42</v>
      </c>
      <c r="R3026" s="9" t="s">
        <v>43</v>
      </c>
      <c r="S3026" s="7" t="s">
        <v>1179</v>
      </c>
      <c r="T3026" s="9" t="s">
        <v>39</v>
      </c>
      <c r="U3026" s="7">
        <v>0.55000000000000004</v>
      </c>
      <c r="V3026" s="12">
        <f>C3026+2</f>
        <v>40341</v>
      </c>
      <c r="W3026">
        <f>IF(D3026=' Pivot Tables'!$A$4,1,0)</f>
        <v>0</v>
      </c>
      <c r="X3026">
        <f>IF(AND(LEFT(D3026,4)+1=LEFT(' Pivot Tables'!$A$4,4)+0,RIGHT(LEFT(D3026,7),2)=RIGHT(LEFT(' Pivot Tables'!$A$4,7),2)),1,0)</f>
        <v>0</v>
      </c>
      <c r="Y3026" s="6">
        <f>1/COUNTIF(Таблица1[Order ID],Таблица1[[#This Row],[Order ID]])</f>
        <v>0.5</v>
      </c>
      <c r="Z3026" s="9">
        <f>1/COUNTIFS(Таблица1[Customer Name],Таблица1[[#This Row],[Customer Name]],Таблица1[Order-Year-Month],Таблица1[[#This Row],[Order-Year-Month]])</f>
        <v>0.5</v>
      </c>
    </row>
    <row r="3027" spans="1:26" x14ac:dyDescent="0.2">
      <c r="A3027" s="6">
        <v>4153</v>
      </c>
      <c r="B3027" s="7">
        <v>29473</v>
      </c>
      <c r="C3027" s="8">
        <f>DATE(2012,12,31)-320</f>
        <v>40954</v>
      </c>
      <c r="D3027" s="8" t="str">
        <f t="shared" si="57"/>
        <v>2012-02 (февраль 2012)</v>
      </c>
      <c r="E3027" s="9" t="s">
        <v>63</v>
      </c>
      <c r="F3027" s="7">
        <v>31</v>
      </c>
      <c r="G3027" s="7">
        <v>206.28649999999999</v>
      </c>
      <c r="H3027" s="7">
        <v>0.05</v>
      </c>
      <c r="I3027" s="9" t="s">
        <v>22</v>
      </c>
      <c r="J3027" s="10">
        <v>-111.98</v>
      </c>
      <c r="K3027" s="11">
        <v>7.99</v>
      </c>
      <c r="L3027" s="11">
        <v>5.03</v>
      </c>
      <c r="M3027" s="9" t="s">
        <v>1540</v>
      </c>
      <c r="N3027" s="6" t="s">
        <v>974</v>
      </c>
      <c r="O3027" s="6" t="s">
        <v>512</v>
      </c>
      <c r="P3027" s="9" t="s">
        <v>33</v>
      </c>
      <c r="Q3027" s="9" t="s">
        <v>42</v>
      </c>
      <c r="R3027" s="9" t="s">
        <v>43</v>
      </c>
      <c r="S3027" s="7" t="s">
        <v>140</v>
      </c>
      <c r="T3027" s="9" t="s">
        <v>48</v>
      </c>
      <c r="U3027" s="7">
        <v>0.6</v>
      </c>
      <c r="V3027" s="12">
        <f>C3027+2</f>
        <v>40956</v>
      </c>
      <c r="W3027">
        <f>IF(D3027=' Pivot Tables'!$A$4,1,0)</f>
        <v>0</v>
      </c>
      <c r="X3027">
        <f>IF(AND(LEFT(D3027,4)+1=LEFT(' Pivot Tables'!$A$4,4)+0,RIGHT(LEFT(D3027,7),2)=RIGHT(LEFT(' Pivot Tables'!$A$4,7),2)),1,0)</f>
        <v>0</v>
      </c>
      <c r="Y3027" s="6">
        <f>1/COUNTIF(Таблица1[Order ID],Таблица1[[#This Row],[Order ID]])</f>
        <v>0.5</v>
      </c>
      <c r="Z3027" s="9">
        <f>1/COUNTIFS(Таблица1[Customer Name],Таблица1[[#This Row],[Customer Name]],Таблица1[Order-Year-Month],Таблица1[[#This Row],[Order-Year-Month]])</f>
        <v>0.5</v>
      </c>
    </row>
    <row r="3028" spans="1:26" x14ac:dyDescent="0.2">
      <c r="A3028" s="6">
        <v>4205</v>
      </c>
      <c r="B3028" s="7">
        <v>29893</v>
      </c>
      <c r="C3028" s="8">
        <f>DATE(2012,12,31)-198</f>
        <v>41076</v>
      </c>
      <c r="D3028" s="8" t="str">
        <f t="shared" si="57"/>
        <v>2012-06 (июнь 2012)</v>
      </c>
      <c r="E3028" s="9" t="s">
        <v>63</v>
      </c>
      <c r="F3028" s="7">
        <v>24</v>
      </c>
      <c r="G3028" s="7">
        <v>5452.9</v>
      </c>
      <c r="H3028" s="7">
        <v>7.0000000000000007E-2</v>
      </c>
      <c r="I3028" s="9" t="s">
        <v>31</v>
      </c>
      <c r="J3028" s="10">
        <v>426.67</v>
      </c>
      <c r="K3028" s="11">
        <v>225.02</v>
      </c>
      <c r="L3028" s="11">
        <v>28.66</v>
      </c>
      <c r="M3028" s="9" t="s">
        <v>1496</v>
      </c>
      <c r="N3028" s="6" t="s">
        <v>974</v>
      </c>
      <c r="O3028" s="6" t="s">
        <v>512</v>
      </c>
      <c r="P3028" s="9" t="s">
        <v>25</v>
      </c>
      <c r="Q3028" s="9" t="s">
        <v>26</v>
      </c>
      <c r="R3028" s="9" t="s">
        <v>27</v>
      </c>
      <c r="S3028" s="7" t="s">
        <v>399</v>
      </c>
      <c r="T3028" s="9" t="s">
        <v>36</v>
      </c>
      <c r="U3028" s="7">
        <v>0.72</v>
      </c>
      <c r="V3028" s="12">
        <f>C3028+1</f>
        <v>41077</v>
      </c>
      <c r="W3028">
        <f>IF(D3028=' Pivot Tables'!$A$4,1,0)</f>
        <v>0</v>
      </c>
      <c r="X3028">
        <f>IF(AND(LEFT(D3028,4)+1=LEFT(' Pivot Tables'!$A$4,4)+0,RIGHT(LEFT(D3028,7),2)=RIGHT(LEFT(' Pivot Tables'!$A$4,7),2)),1,0)</f>
        <v>0</v>
      </c>
      <c r="Y3028" s="6">
        <f>1/COUNTIF(Таблица1[Order ID],Таблица1[[#This Row],[Order ID]])</f>
        <v>1</v>
      </c>
      <c r="Z3028" s="9">
        <f>1/COUNTIFS(Таблица1[Customer Name],Таблица1[[#This Row],[Customer Name]],Таблица1[Order-Year-Month],Таблица1[[#This Row],[Order-Year-Month]])</f>
        <v>1</v>
      </c>
    </row>
    <row r="3029" spans="1:26" x14ac:dyDescent="0.2">
      <c r="A3029" s="6">
        <v>4228</v>
      </c>
      <c r="B3029" s="7">
        <v>30023</v>
      </c>
      <c r="C3029" s="8">
        <f>DATE(2012,12,31)-808</f>
        <v>40466</v>
      </c>
      <c r="D3029" s="8" t="str">
        <f t="shared" si="57"/>
        <v>2010-10 (октябрь 2010)</v>
      </c>
      <c r="E3029" s="9" t="s">
        <v>21</v>
      </c>
      <c r="F3029" s="7">
        <v>36</v>
      </c>
      <c r="G3029" s="7">
        <v>840.24</v>
      </c>
      <c r="H3029" s="7">
        <v>0</v>
      </c>
      <c r="I3029" s="9" t="s">
        <v>22</v>
      </c>
      <c r="J3029" s="10">
        <v>19.73</v>
      </c>
      <c r="K3029" s="11">
        <v>21.38</v>
      </c>
      <c r="L3029" s="11">
        <v>8.99</v>
      </c>
      <c r="M3029" s="9" t="s">
        <v>1482</v>
      </c>
      <c r="N3029" s="6" t="s">
        <v>974</v>
      </c>
      <c r="O3029" s="6" t="s">
        <v>512</v>
      </c>
      <c r="P3029" s="9" t="s">
        <v>33</v>
      </c>
      <c r="Q3029" s="9" t="s">
        <v>26</v>
      </c>
      <c r="R3029" s="9" t="s">
        <v>95</v>
      </c>
      <c r="S3029" s="7" t="s">
        <v>436</v>
      </c>
      <c r="T3029" s="9" t="s">
        <v>52</v>
      </c>
      <c r="U3029" s="7">
        <v>0.59</v>
      </c>
      <c r="V3029" s="12">
        <f>C3029+0</f>
        <v>40466</v>
      </c>
      <c r="W3029">
        <f>IF(D3029=' Pivot Tables'!$A$4,1,0)</f>
        <v>0</v>
      </c>
      <c r="X3029">
        <f>IF(AND(LEFT(D3029,4)+1=LEFT(' Pivot Tables'!$A$4,4)+0,RIGHT(LEFT(D3029,7),2)=RIGHT(LEFT(' Pivot Tables'!$A$4,7),2)),1,0)</f>
        <v>0</v>
      </c>
      <c r="Y3029" s="6">
        <f>1/COUNTIF(Таблица1[Order ID],Таблица1[[#This Row],[Order ID]])</f>
        <v>0.25</v>
      </c>
      <c r="Z3029" s="9">
        <f>1/COUNTIFS(Таблица1[Customer Name],Таблица1[[#This Row],[Customer Name]],Таблица1[Order-Year-Month],Таблица1[[#This Row],[Order-Year-Month]])</f>
        <v>0.25</v>
      </c>
    </row>
    <row r="3030" spans="1:26" x14ac:dyDescent="0.2">
      <c r="A3030" s="6">
        <v>4247</v>
      </c>
      <c r="B3030" s="7">
        <v>30215</v>
      </c>
      <c r="C3030" s="8">
        <f>DATE(2012,12,31)-1404</f>
        <v>39870</v>
      </c>
      <c r="D3030" s="8" t="str">
        <f t="shared" si="57"/>
        <v>2009-02 (февраль 2009)</v>
      </c>
      <c r="E3030" s="9" t="s">
        <v>63</v>
      </c>
      <c r="F3030" s="7">
        <v>23</v>
      </c>
      <c r="G3030" s="7">
        <v>3637.7280000000001</v>
      </c>
      <c r="H3030" s="7">
        <v>0.06</v>
      </c>
      <c r="I3030" s="9" t="s">
        <v>22</v>
      </c>
      <c r="J3030" s="10">
        <v>349.47</v>
      </c>
      <c r="K3030" s="11">
        <v>195.99</v>
      </c>
      <c r="L3030" s="11">
        <v>8.99</v>
      </c>
      <c r="M3030" s="9" t="s">
        <v>1483</v>
      </c>
      <c r="N3030" s="6" t="s">
        <v>974</v>
      </c>
      <c r="O3030" s="6" t="s">
        <v>512</v>
      </c>
      <c r="P3030" s="9" t="s">
        <v>60</v>
      </c>
      <c r="Q3030" s="9" t="s">
        <v>42</v>
      </c>
      <c r="R3030" s="9" t="s">
        <v>43</v>
      </c>
      <c r="S3030" s="7" t="s">
        <v>670</v>
      </c>
      <c r="T3030" s="9" t="s">
        <v>39</v>
      </c>
      <c r="U3030" s="7">
        <v>0.6</v>
      </c>
      <c r="V3030" s="12">
        <f>C3030+2</f>
        <v>39872</v>
      </c>
      <c r="W3030">
        <f>IF(D3030=' Pivot Tables'!$A$4,1,0)</f>
        <v>0</v>
      </c>
      <c r="X3030">
        <f>IF(AND(LEFT(D3030,4)+1=LEFT(' Pivot Tables'!$A$4,4)+0,RIGHT(LEFT(D3030,7),2)=RIGHT(LEFT(' Pivot Tables'!$A$4,7),2)),1,0)</f>
        <v>0</v>
      </c>
      <c r="Y3030" s="6">
        <f>1/COUNTIF(Таблица1[Order ID],Таблица1[[#This Row],[Order ID]])</f>
        <v>0.5</v>
      </c>
      <c r="Z3030" s="9">
        <f>1/COUNTIFS(Таблица1[Customer Name],Таблица1[[#This Row],[Customer Name]],Таблица1[Order-Year-Month],Таблица1[[#This Row],[Order-Year-Month]])</f>
        <v>0.5</v>
      </c>
    </row>
    <row r="3031" spans="1:26" x14ac:dyDescent="0.2">
      <c r="A3031" s="6">
        <v>4311</v>
      </c>
      <c r="B3031" s="7">
        <v>30720</v>
      </c>
      <c r="C3031" s="8">
        <f>DATE(2012,12,31)-95</f>
        <v>41179</v>
      </c>
      <c r="D3031" s="8" t="str">
        <f t="shared" si="57"/>
        <v>2012-09 (сентябрь 2012)</v>
      </c>
      <c r="E3031" s="9" t="s">
        <v>21</v>
      </c>
      <c r="F3031" s="7">
        <v>27</v>
      </c>
      <c r="G3031" s="7">
        <v>2398.9</v>
      </c>
      <c r="H3031" s="7">
        <v>0.09</v>
      </c>
      <c r="I3031" s="9" t="s">
        <v>56</v>
      </c>
      <c r="J3031" s="10">
        <v>656.95</v>
      </c>
      <c r="K3031" s="11">
        <v>95.46</v>
      </c>
      <c r="L3031" s="11">
        <v>18.13</v>
      </c>
      <c r="M3031" s="9" t="s">
        <v>1581</v>
      </c>
      <c r="N3031" s="6" t="s">
        <v>974</v>
      </c>
      <c r="O3031" s="6" t="s">
        <v>512</v>
      </c>
      <c r="P3031" s="9" t="s">
        <v>25</v>
      </c>
      <c r="Q3031" s="9" t="s">
        <v>49</v>
      </c>
      <c r="R3031" s="9" t="s">
        <v>50</v>
      </c>
      <c r="S3031" s="7" t="s">
        <v>1586</v>
      </c>
      <c r="T3031" s="9" t="s">
        <v>29</v>
      </c>
      <c r="U3031" s="7">
        <v>0.56000000000000005</v>
      </c>
      <c r="V3031" s="12">
        <f>C3031+5</f>
        <v>41184</v>
      </c>
      <c r="W3031">
        <f>IF(D3031=' Pivot Tables'!$A$4,1,0)</f>
        <v>0</v>
      </c>
      <c r="X3031">
        <f>IF(AND(LEFT(D3031,4)+1=LEFT(' Pivot Tables'!$A$4,4)+0,RIGHT(LEFT(D3031,7),2)=RIGHT(LEFT(' Pivot Tables'!$A$4,7),2)),1,0)</f>
        <v>0</v>
      </c>
      <c r="Y3031" s="6">
        <f>1/COUNTIF(Таблица1[Order ID],Таблица1[[#This Row],[Order ID]])</f>
        <v>0.33333333333333331</v>
      </c>
      <c r="Z3031" s="9">
        <f>1/COUNTIFS(Таблица1[Customer Name],Таблица1[[#This Row],[Customer Name]],Таблица1[Order-Year-Month],Таблица1[[#This Row],[Order-Year-Month]])</f>
        <v>0.33333333333333331</v>
      </c>
    </row>
    <row r="3032" spans="1:26" x14ac:dyDescent="0.2">
      <c r="A3032" s="6">
        <v>4333</v>
      </c>
      <c r="B3032" s="7">
        <v>30884</v>
      </c>
      <c r="C3032" s="8">
        <f>DATE(2012,12,31)-827</f>
        <v>40447</v>
      </c>
      <c r="D3032" s="8" t="str">
        <f t="shared" si="57"/>
        <v>2010-09 (сентябрь 2010)</v>
      </c>
      <c r="E3032" s="9" t="s">
        <v>21</v>
      </c>
      <c r="F3032" s="7">
        <v>6</v>
      </c>
      <c r="G3032" s="7">
        <v>763.44799999999998</v>
      </c>
      <c r="H3032" s="7">
        <v>0.05</v>
      </c>
      <c r="I3032" s="9" t="s">
        <v>31</v>
      </c>
      <c r="J3032" s="10">
        <v>-352.95903500000009</v>
      </c>
      <c r="K3032" s="11">
        <v>146.05000000000001</v>
      </c>
      <c r="L3032" s="11">
        <v>80.2</v>
      </c>
      <c r="M3032" s="9" t="s">
        <v>1457</v>
      </c>
      <c r="N3032" s="6" t="s">
        <v>974</v>
      </c>
      <c r="O3032" s="6" t="s">
        <v>512</v>
      </c>
      <c r="P3032" s="9" t="s">
        <v>41</v>
      </c>
      <c r="Q3032" s="9" t="s">
        <v>49</v>
      </c>
      <c r="R3032" s="9" t="s">
        <v>83</v>
      </c>
      <c r="S3032" s="7" t="s">
        <v>1101</v>
      </c>
      <c r="T3032" s="9" t="s">
        <v>82</v>
      </c>
      <c r="U3032" s="7">
        <v>0.71</v>
      </c>
      <c r="V3032" s="12">
        <f>C3032+5</f>
        <v>40452</v>
      </c>
      <c r="W3032">
        <f>IF(D3032=' Pivot Tables'!$A$4,1,0)</f>
        <v>0</v>
      </c>
      <c r="X3032">
        <f>IF(AND(LEFT(D3032,4)+1=LEFT(' Pivot Tables'!$A$4,4)+0,RIGHT(LEFT(D3032,7),2)=RIGHT(LEFT(' Pivot Tables'!$A$4,7),2)),1,0)</f>
        <v>0</v>
      </c>
      <c r="Y3032" s="6">
        <f>1/COUNTIF(Таблица1[Order ID],Таблица1[[#This Row],[Order ID]])</f>
        <v>1</v>
      </c>
      <c r="Z3032" s="9">
        <f>1/COUNTIFS(Таблица1[Customer Name],Таблица1[[#This Row],[Customer Name]],Таблица1[Order-Year-Month],Таблица1[[#This Row],[Order-Year-Month]])</f>
        <v>1</v>
      </c>
    </row>
    <row r="3033" spans="1:26" x14ac:dyDescent="0.2">
      <c r="A3033" s="6">
        <v>4398</v>
      </c>
      <c r="B3033" s="7">
        <v>31303</v>
      </c>
      <c r="C3033" s="8">
        <f>DATE(2012,12,31)-652</f>
        <v>40622</v>
      </c>
      <c r="D3033" s="8" t="str">
        <f t="shared" si="57"/>
        <v>2011-03 (март 2011)</v>
      </c>
      <c r="E3033" s="9" t="s">
        <v>21</v>
      </c>
      <c r="F3033" s="7">
        <v>50</v>
      </c>
      <c r="G3033" s="7">
        <v>306.13</v>
      </c>
      <c r="H3033" s="7">
        <v>0.09</v>
      </c>
      <c r="I3033" s="9" t="s">
        <v>56</v>
      </c>
      <c r="J3033" s="10">
        <v>87.600999999999999</v>
      </c>
      <c r="K3033" s="11">
        <v>5.98</v>
      </c>
      <c r="L3033" s="11">
        <v>1.49</v>
      </c>
      <c r="M3033" s="9" t="s">
        <v>1485</v>
      </c>
      <c r="N3033" s="6" t="s">
        <v>974</v>
      </c>
      <c r="O3033" s="6" t="s">
        <v>512</v>
      </c>
      <c r="P3033" s="9" t="s">
        <v>60</v>
      </c>
      <c r="Q3033" s="9" t="s">
        <v>26</v>
      </c>
      <c r="R3033" s="9" t="s">
        <v>37</v>
      </c>
      <c r="S3033" s="7" t="s">
        <v>1351</v>
      </c>
      <c r="T3033" s="9" t="s">
        <v>39</v>
      </c>
      <c r="U3033" s="7">
        <v>0.39</v>
      </c>
      <c r="V3033" s="12">
        <f>C3033+2</f>
        <v>40624</v>
      </c>
      <c r="W3033">
        <f>IF(D3033=' Pivot Tables'!$A$4,1,0)</f>
        <v>0</v>
      </c>
      <c r="X3033">
        <f>IF(AND(LEFT(D3033,4)+1=LEFT(' Pivot Tables'!$A$4,4)+0,RIGHT(LEFT(D3033,7),2)=RIGHT(LEFT(' Pivot Tables'!$A$4,7),2)),1,0)</f>
        <v>0</v>
      </c>
      <c r="Y3033" s="6">
        <f>1/COUNTIF(Таблица1[Order ID],Таблица1[[#This Row],[Order ID]])</f>
        <v>1</v>
      </c>
      <c r="Z3033" s="9">
        <f>1/COUNTIFS(Таблица1[Customer Name],Таблица1[[#This Row],[Customer Name]],Таблица1[Order-Year-Month],Таблица1[[#This Row],[Order-Year-Month]])</f>
        <v>1</v>
      </c>
    </row>
    <row r="3034" spans="1:26" x14ac:dyDescent="0.2">
      <c r="A3034" s="6">
        <v>4402</v>
      </c>
      <c r="B3034" s="7">
        <v>31392</v>
      </c>
      <c r="C3034" s="8">
        <f>DATE(2012,12,31)-970</f>
        <v>40304</v>
      </c>
      <c r="D3034" s="8" t="str">
        <f t="shared" si="57"/>
        <v>2010-05 (май 2010)</v>
      </c>
      <c r="E3034" s="9" t="s">
        <v>21</v>
      </c>
      <c r="F3034" s="7">
        <v>21</v>
      </c>
      <c r="G3034" s="7">
        <v>128.86000000000001</v>
      </c>
      <c r="H3034" s="7">
        <v>0.1</v>
      </c>
      <c r="I3034" s="9" t="s">
        <v>22</v>
      </c>
      <c r="J3034" s="10">
        <v>-42.81</v>
      </c>
      <c r="K3034" s="11">
        <v>6.48</v>
      </c>
      <c r="L3034" s="11">
        <v>5.16</v>
      </c>
      <c r="M3034" s="9" t="s">
        <v>1477</v>
      </c>
      <c r="N3034" s="6" t="s">
        <v>974</v>
      </c>
      <c r="O3034" s="6" t="s">
        <v>512</v>
      </c>
      <c r="P3034" s="9" t="s">
        <v>60</v>
      </c>
      <c r="Q3034" s="9" t="s">
        <v>26</v>
      </c>
      <c r="R3034" s="9" t="s">
        <v>61</v>
      </c>
      <c r="S3034" s="7" t="s">
        <v>576</v>
      </c>
      <c r="T3034" s="9" t="s">
        <v>39</v>
      </c>
      <c r="U3034" s="7">
        <v>0.37</v>
      </c>
      <c r="V3034" s="12">
        <f>C3034+7</f>
        <v>40311</v>
      </c>
      <c r="W3034">
        <f>IF(D3034=' Pivot Tables'!$A$4,1,0)</f>
        <v>0</v>
      </c>
      <c r="X3034">
        <f>IF(AND(LEFT(D3034,4)+1=LEFT(' Pivot Tables'!$A$4,4)+0,RIGHT(LEFT(D3034,7),2)=RIGHT(LEFT(' Pivot Tables'!$A$4,7),2)),1,0)</f>
        <v>0</v>
      </c>
      <c r="Y3034" s="6">
        <f>1/COUNTIF(Таблица1[Order ID],Таблица1[[#This Row],[Order ID]])</f>
        <v>0.5</v>
      </c>
      <c r="Z3034" s="9">
        <f>1/COUNTIFS(Таблица1[Customer Name],Таблица1[[#This Row],[Customer Name]],Таблица1[Order-Year-Month],Таблица1[[#This Row],[Order-Year-Month]])</f>
        <v>0.33333333333333331</v>
      </c>
    </row>
    <row r="3035" spans="1:26" x14ac:dyDescent="0.2">
      <c r="A3035" s="6">
        <v>4449</v>
      </c>
      <c r="B3035" s="7">
        <v>31715</v>
      </c>
      <c r="C3035" s="8">
        <f>DATE(2012,12,31)-1452</f>
        <v>39822</v>
      </c>
      <c r="D3035" s="8" t="str">
        <f t="shared" si="57"/>
        <v>2009-01 (январь 2009)</v>
      </c>
      <c r="E3035" s="9" t="s">
        <v>45</v>
      </c>
      <c r="F3035" s="7">
        <v>24</v>
      </c>
      <c r="G3035" s="7">
        <v>64.11</v>
      </c>
      <c r="H3035" s="7">
        <v>0.09</v>
      </c>
      <c r="I3035" s="9" t="s">
        <v>22</v>
      </c>
      <c r="J3035" s="10">
        <v>-4.09</v>
      </c>
      <c r="K3035" s="11">
        <v>2.78</v>
      </c>
      <c r="L3035" s="11">
        <v>0.97</v>
      </c>
      <c r="M3035" s="9" t="s">
        <v>1547</v>
      </c>
      <c r="N3035" s="6" t="s">
        <v>974</v>
      </c>
      <c r="O3035" s="6" t="s">
        <v>512</v>
      </c>
      <c r="P3035" s="9" t="s">
        <v>25</v>
      </c>
      <c r="Q3035" s="9" t="s">
        <v>26</v>
      </c>
      <c r="R3035" s="9" t="s">
        <v>95</v>
      </c>
      <c r="S3035" s="7" t="s">
        <v>1284</v>
      </c>
      <c r="T3035" s="9" t="s">
        <v>68</v>
      </c>
      <c r="U3035" s="7">
        <v>0.59</v>
      </c>
      <c r="V3035" s="12">
        <f>C3035+2</f>
        <v>39824</v>
      </c>
      <c r="W3035">
        <f>IF(D3035=' Pivot Tables'!$A$4,1,0)</f>
        <v>0</v>
      </c>
      <c r="X3035">
        <f>IF(AND(LEFT(D3035,4)+1=LEFT(' Pivot Tables'!$A$4,4)+0,RIGHT(LEFT(D3035,7),2)=RIGHT(LEFT(' Pivot Tables'!$A$4,7),2)),1,0)</f>
        <v>1</v>
      </c>
      <c r="Y3035" s="6">
        <f>1/COUNTIF(Таблица1[Order ID],Таблица1[[#This Row],[Order ID]])</f>
        <v>0.33333333333333331</v>
      </c>
      <c r="Z3035" s="9">
        <f>1/COUNTIFS(Таблица1[Customer Name],Таблица1[[#This Row],[Customer Name]],Таблица1[Order-Year-Month],Таблица1[[#This Row],[Order-Year-Month]])</f>
        <v>0.33333333333333331</v>
      </c>
    </row>
    <row r="3036" spans="1:26" x14ac:dyDescent="0.2">
      <c r="A3036" s="6">
        <v>4557</v>
      </c>
      <c r="B3036" s="7">
        <v>32420</v>
      </c>
      <c r="C3036" s="8">
        <f>DATE(2012,12,31)-1251</f>
        <v>40023</v>
      </c>
      <c r="D3036" s="8" t="str">
        <f t="shared" si="57"/>
        <v>2009-07 (июль 2009)</v>
      </c>
      <c r="E3036" s="9" t="s">
        <v>63</v>
      </c>
      <c r="F3036" s="7">
        <v>19</v>
      </c>
      <c r="G3036" s="7">
        <v>5369.46</v>
      </c>
      <c r="H3036" s="7">
        <v>7.0000000000000007E-2</v>
      </c>
      <c r="I3036" s="9" t="s">
        <v>31</v>
      </c>
      <c r="J3036" s="10">
        <v>-439.62</v>
      </c>
      <c r="K3036" s="11">
        <v>280.98</v>
      </c>
      <c r="L3036" s="11">
        <v>57</v>
      </c>
      <c r="M3036" s="9" t="s">
        <v>1488</v>
      </c>
      <c r="N3036" s="6" t="s">
        <v>974</v>
      </c>
      <c r="O3036" s="6" t="s">
        <v>512</v>
      </c>
      <c r="P3036" s="9" t="s">
        <v>33</v>
      </c>
      <c r="Q3036" s="9" t="s">
        <v>49</v>
      </c>
      <c r="R3036" s="9" t="s">
        <v>112</v>
      </c>
      <c r="S3036" s="7" t="s">
        <v>697</v>
      </c>
      <c r="T3036" s="9" t="s">
        <v>36</v>
      </c>
      <c r="U3036" s="7">
        <v>0.78</v>
      </c>
      <c r="V3036" s="12">
        <f>C3036+2</f>
        <v>40025</v>
      </c>
      <c r="W3036">
        <f>IF(D3036=' Pivot Tables'!$A$4,1,0)</f>
        <v>0</v>
      </c>
      <c r="X3036">
        <f>IF(AND(LEFT(D3036,4)+1=LEFT(' Pivot Tables'!$A$4,4)+0,RIGHT(LEFT(D3036,7),2)=RIGHT(LEFT(' Pivot Tables'!$A$4,7),2)),1,0)</f>
        <v>0</v>
      </c>
      <c r="Y3036" s="6">
        <f>1/COUNTIF(Таблица1[Order ID],Таблица1[[#This Row],[Order ID]])</f>
        <v>0.5</v>
      </c>
      <c r="Z3036" s="9">
        <f>1/COUNTIFS(Таблица1[Customer Name],Таблица1[[#This Row],[Customer Name]],Таблица1[Order-Year-Month],Таблица1[[#This Row],[Order-Year-Month]])</f>
        <v>0.5</v>
      </c>
    </row>
    <row r="3037" spans="1:26" x14ac:dyDescent="0.2">
      <c r="A3037" s="6">
        <v>4630</v>
      </c>
      <c r="B3037" s="7">
        <v>32965</v>
      </c>
      <c r="C3037" s="8">
        <f>DATE(2012,12,31)-676</f>
        <v>40598</v>
      </c>
      <c r="D3037" s="8" t="str">
        <f t="shared" si="57"/>
        <v>2011-02 (февраль 2011)</v>
      </c>
      <c r="E3037" s="9" t="s">
        <v>30</v>
      </c>
      <c r="F3037" s="7">
        <v>2</v>
      </c>
      <c r="G3037" s="7">
        <v>11.15</v>
      </c>
      <c r="H3037" s="7">
        <v>0.04</v>
      </c>
      <c r="I3037" s="9" t="s">
        <v>22</v>
      </c>
      <c r="J3037" s="10">
        <v>-5.54</v>
      </c>
      <c r="K3037" s="11">
        <v>3.98</v>
      </c>
      <c r="L3037" s="11">
        <v>2.97</v>
      </c>
      <c r="M3037" s="9" t="s">
        <v>1496</v>
      </c>
      <c r="N3037" s="6" t="s">
        <v>974</v>
      </c>
      <c r="O3037" s="6" t="s">
        <v>512</v>
      </c>
      <c r="P3037" s="9" t="s">
        <v>25</v>
      </c>
      <c r="Q3037" s="9" t="s">
        <v>26</v>
      </c>
      <c r="R3037" s="9" t="s">
        <v>61</v>
      </c>
      <c r="S3037" s="7" t="s">
        <v>134</v>
      </c>
      <c r="T3037" s="9" t="s">
        <v>68</v>
      </c>
      <c r="U3037" s="7">
        <v>0.35</v>
      </c>
      <c r="V3037" s="12">
        <f>C3037+1</f>
        <v>40599</v>
      </c>
      <c r="W3037">
        <f>IF(D3037=' Pivot Tables'!$A$4,1,0)</f>
        <v>0</v>
      </c>
      <c r="X3037">
        <f>IF(AND(LEFT(D3037,4)+1=LEFT(' Pivot Tables'!$A$4,4)+0,RIGHT(LEFT(D3037,7),2)=RIGHT(LEFT(' Pivot Tables'!$A$4,7),2)),1,0)</f>
        <v>0</v>
      </c>
      <c r="Y3037" s="6">
        <f>1/COUNTIF(Таблица1[Order ID],Таблица1[[#This Row],[Order ID]])</f>
        <v>0.5</v>
      </c>
      <c r="Z3037" s="9">
        <f>1/COUNTIFS(Таблица1[Customer Name],Таблица1[[#This Row],[Customer Name]],Таблица1[Order-Year-Month],Таблица1[[#This Row],[Order-Year-Month]])</f>
        <v>0.5</v>
      </c>
    </row>
    <row r="3038" spans="1:26" x14ac:dyDescent="0.2">
      <c r="A3038" s="6">
        <v>4674</v>
      </c>
      <c r="B3038" s="7">
        <v>33253</v>
      </c>
      <c r="C3038" s="8">
        <f>DATE(2012,12,31)-397</f>
        <v>40877</v>
      </c>
      <c r="D3038" s="8" t="str">
        <f t="shared" si="57"/>
        <v>2011-11 (ноябрь 2011)</v>
      </c>
      <c r="E3038" s="9" t="s">
        <v>45</v>
      </c>
      <c r="F3038" s="7">
        <v>17</v>
      </c>
      <c r="G3038" s="7">
        <v>524.21199999999999</v>
      </c>
      <c r="H3038" s="7">
        <v>0.04</v>
      </c>
      <c r="I3038" s="9" t="s">
        <v>22</v>
      </c>
      <c r="J3038" s="10">
        <v>127.854</v>
      </c>
      <c r="K3038" s="11">
        <v>35.99</v>
      </c>
      <c r="L3038" s="11">
        <v>3.3</v>
      </c>
      <c r="M3038" s="9" t="s">
        <v>1527</v>
      </c>
      <c r="N3038" s="6" t="s">
        <v>974</v>
      </c>
      <c r="O3038" s="6" t="s">
        <v>512</v>
      </c>
      <c r="P3038" s="9" t="s">
        <v>60</v>
      </c>
      <c r="Q3038" s="9" t="s">
        <v>42</v>
      </c>
      <c r="R3038" s="9" t="s">
        <v>43</v>
      </c>
      <c r="S3038" s="7" t="s">
        <v>417</v>
      </c>
      <c r="T3038" s="9" t="s">
        <v>52</v>
      </c>
      <c r="U3038" s="7">
        <v>0.39</v>
      </c>
      <c r="V3038" s="12">
        <f>C3038+2</f>
        <v>40879</v>
      </c>
      <c r="W3038">
        <f>IF(D3038=' Pivot Tables'!$A$4,1,0)</f>
        <v>0</v>
      </c>
      <c r="X3038">
        <f>IF(AND(LEFT(D3038,4)+1=LEFT(' Pivot Tables'!$A$4,4)+0,RIGHT(LEFT(D3038,7),2)=RIGHT(LEFT(' Pivot Tables'!$A$4,7),2)),1,0)</f>
        <v>0</v>
      </c>
      <c r="Y3038" s="6">
        <f>1/COUNTIF(Таблица1[Order ID],Таблица1[[#This Row],[Order ID]])</f>
        <v>0.5</v>
      </c>
      <c r="Z3038" s="9">
        <f>1/COUNTIFS(Таблица1[Customer Name],Таблица1[[#This Row],[Customer Name]],Таблица1[Order-Year-Month],Таблица1[[#This Row],[Order-Year-Month]])</f>
        <v>0.5</v>
      </c>
    </row>
    <row r="3039" spans="1:26" x14ac:dyDescent="0.2">
      <c r="A3039" s="6">
        <v>4784</v>
      </c>
      <c r="B3039" s="7">
        <v>33959</v>
      </c>
      <c r="C3039" s="8">
        <f>DATE(2012,12,31)-1249</f>
        <v>40025</v>
      </c>
      <c r="D3039" s="8" t="str">
        <f t="shared" si="57"/>
        <v>2009-07 (июль 2009)</v>
      </c>
      <c r="E3039" s="9" t="s">
        <v>78</v>
      </c>
      <c r="F3039" s="7">
        <v>23</v>
      </c>
      <c r="G3039" s="7">
        <v>367.53</v>
      </c>
      <c r="H3039" s="7">
        <v>0.03</v>
      </c>
      <c r="I3039" s="9" t="s">
        <v>31</v>
      </c>
      <c r="J3039" s="10">
        <v>11.650950000000002</v>
      </c>
      <c r="K3039" s="11">
        <v>15.23</v>
      </c>
      <c r="L3039" s="11">
        <v>27.75</v>
      </c>
      <c r="M3039" s="9" t="s">
        <v>1494</v>
      </c>
      <c r="N3039" s="6" t="s">
        <v>974</v>
      </c>
      <c r="O3039" s="6" t="s">
        <v>512</v>
      </c>
      <c r="P3039" s="9" t="s">
        <v>41</v>
      </c>
      <c r="Q3039" s="9" t="s">
        <v>49</v>
      </c>
      <c r="R3039" s="9" t="s">
        <v>83</v>
      </c>
      <c r="S3039" s="7" t="s">
        <v>1186</v>
      </c>
      <c r="T3039" s="9" t="s">
        <v>82</v>
      </c>
      <c r="U3039" s="7">
        <v>0.76</v>
      </c>
      <c r="V3039" s="12">
        <f>C3039+1</f>
        <v>40026</v>
      </c>
      <c r="W3039">
        <f>IF(D3039=' Pivot Tables'!$A$4,1,0)</f>
        <v>0</v>
      </c>
      <c r="X3039">
        <f>IF(AND(LEFT(D3039,4)+1=LEFT(' Pivot Tables'!$A$4,4)+0,RIGHT(LEFT(D3039,7),2)=RIGHT(LEFT(' Pivot Tables'!$A$4,7),2)),1,0)</f>
        <v>0</v>
      </c>
      <c r="Y3039" s="6">
        <f>1/COUNTIF(Таблица1[Order ID],Таблица1[[#This Row],[Order ID]])</f>
        <v>1</v>
      </c>
      <c r="Z3039" s="9">
        <f>1/COUNTIFS(Таблица1[Customer Name],Таблица1[[#This Row],[Customer Name]],Таблица1[Order-Year-Month],Таблица1[[#This Row],[Order-Year-Month]])</f>
        <v>1</v>
      </c>
    </row>
    <row r="3040" spans="1:26" x14ac:dyDescent="0.2">
      <c r="A3040" s="6">
        <v>4959</v>
      </c>
      <c r="B3040" s="7">
        <v>35271</v>
      </c>
      <c r="C3040" s="8">
        <f>DATE(2012,12,31)-889</f>
        <v>40385</v>
      </c>
      <c r="D3040" s="8" t="str">
        <f t="shared" si="57"/>
        <v>2010-07 (июль 2010)</v>
      </c>
      <c r="E3040" s="9" t="s">
        <v>30</v>
      </c>
      <c r="F3040" s="7">
        <v>19</v>
      </c>
      <c r="G3040" s="7">
        <v>1083.4014999999999</v>
      </c>
      <c r="H3040" s="7">
        <v>0.02</v>
      </c>
      <c r="I3040" s="9" t="s">
        <v>22</v>
      </c>
      <c r="J3040" s="10">
        <v>64.53</v>
      </c>
      <c r="K3040" s="11">
        <v>65.989999999999995</v>
      </c>
      <c r="L3040" s="11">
        <v>8.99</v>
      </c>
      <c r="M3040" s="9" t="s">
        <v>1493</v>
      </c>
      <c r="N3040" s="6" t="s">
        <v>974</v>
      </c>
      <c r="O3040" s="6" t="s">
        <v>512</v>
      </c>
      <c r="P3040" s="9" t="s">
        <v>60</v>
      </c>
      <c r="Q3040" s="9" t="s">
        <v>42</v>
      </c>
      <c r="R3040" s="9" t="s">
        <v>43</v>
      </c>
      <c r="S3040" s="7" t="s">
        <v>1181</v>
      </c>
      <c r="T3040" s="9" t="s">
        <v>39</v>
      </c>
      <c r="U3040" s="7">
        <v>0.56000000000000005</v>
      </c>
      <c r="V3040" s="12">
        <f>C3040+1</f>
        <v>40386</v>
      </c>
      <c r="W3040">
        <f>IF(D3040=' Pivot Tables'!$A$4,1,0)</f>
        <v>0</v>
      </c>
      <c r="X3040">
        <f>IF(AND(LEFT(D3040,4)+1=LEFT(' Pivot Tables'!$A$4,4)+0,RIGHT(LEFT(D3040,7),2)=RIGHT(LEFT(' Pivot Tables'!$A$4,7),2)),1,0)</f>
        <v>0</v>
      </c>
      <c r="Y3040" s="6">
        <f>1/COUNTIF(Таблица1[Order ID],Таблица1[[#This Row],[Order ID]])</f>
        <v>1</v>
      </c>
      <c r="Z3040" s="9">
        <f>1/COUNTIFS(Таблица1[Customer Name],Таблица1[[#This Row],[Customer Name]],Таблица1[Order-Year-Month],Таблица1[[#This Row],[Order-Year-Month]])</f>
        <v>1</v>
      </c>
    </row>
    <row r="3041" spans="1:26" x14ac:dyDescent="0.2">
      <c r="A3041" s="6">
        <v>5108</v>
      </c>
      <c r="B3041" s="7">
        <v>36390</v>
      </c>
      <c r="C3041" s="8">
        <f>DATE(2012,12,31)-80</f>
        <v>41194</v>
      </c>
      <c r="D3041" s="8" t="str">
        <f t="shared" si="57"/>
        <v>2012-10 (октябрь 2012)</v>
      </c>
      <c r="E3041" s="9" t="s">
        <v>30</v>
      </c>
      <c r="F3041" s="7">
        <v>3</v>
      </c>
      <c r="G3041" s="7">
        <v>329.63</v>
      </c>
      <c r="H3041" s="7">
        <v>0.05</v>
      </c>
      <c r="I3041" s="9" t="s">
        <v>22</v>
      </c>
      <c r="J3041" s="10">
        <v>-541.33199999999999</v>
      </c>
      <c r="K3041" s="11">
        <v>125.99</v>
      </c>
      <c r="L3041" s="11">
        <v>8.99</v>
      </c>
      <c r="M3041" s="9" t="s">
        <v>79</v>
      </c>
      <c r="N3041" s="6" t="s">
        <v>974</v>
      </c>
      <c r="O3041" s="6" t="s">
        <v>512</v>
      </c>
      <c r="P3041" s="9" t="s">
        <v>41</v>
      </c>
      <c r="Q3041" s="9" t="s">
        <v>42</v>
      </c>
      <c r="R3041" s="9" t="s">
        <v>43</v>
      </c>
      <c r="S3041" s="7" t="s">
        <v>924</v>
      </c>
      <c r="T3041" s="9" t="s">
        <v>39</v>
      </c>
      <c r="U3041" s="7">
        <v>0.59</v>
      </c>
      <c r="V3041" s="12">
        <f>C3041+2</f>
        <v>41196</v>
      </c>
      <c r="W3041">
        <f>IF(D3041=' Pivot Tables'!$A$4,1,0)</f>
        <v>0</v>
      </c>
      <c r="X3041">
        <f>IF(AND(LEFT(D3041,4)+1=LEFT(' Pivot Tables'!$A$4,4)+0,RIGHT(LEFT(D3041,7),2)=RIGHT(LEFT(' Pivot Tables'!$A$4,7),2)),1,0)</f>
        <v>0</v>
      </c>
      <c r="Y3041" s="6">
        <f>1/COUNTIF(Таблица1[Order ID],Таблица1[[#This Row],[Order ID]])</f>
        <v>1</v>
      </c>
      <c r="Z3041" s="9">
        <f>1/COUNTIFS(Таблица1[Customer Name],Таблица1[[#This Row],[Customer Name]],Таблица1[Order-Year-Month],Таблица1[[#This Row],[Order-Year-Month]])</f>
        <v>1</v>
      </c>
    </row>
    <row r="3042" spans="1:26" x14ac:dyDescent="0.2">
      <c r="A3042" s="6">
        <v>5265</v>
      </c>
      <c r="B3042" s="7">
        <v>37447</v>
      </c>
      <c r="C3042" s="8">
        <f>DATE(2012,12,31)-1272</f>
        <v>40002</v>
      </c>
      <c r="D3042" s="8" t="str">
        <f t="shared" si="57"/>
        <v>2009-07 (июль 2009)</v>
      </c>
      <c r="E3042" s="9" t="s">
        <v>21</v>
      </c>
      <c r="F3042" s="7">
        <v>23</v>
      </c>
      <c r="G3042" s="7">
        <v>139.44999999999999</v>
      </c>
      <c r="H3042" s="7">
        <v>0.02</v>
      </c>
      <c r="I3042" s="9" t="s">
        <v>22</v>
      </c>
      <c r="J3042" s="10">
        <v>-137.494</v>
      </c>
      <c r="K3042" s="11">
        <v>5.81</v>
      </c>
      <c r="L3042" s="11">
        <v>8.49</v>
      </c>
      <c r="M3042" s="9" t="s">
        <v>1383</v>
      </c>
      <c r="N3042" s="6" t="s">
        <v>974</v>
      </c>
      <c r="O3042" s="6" t="s">
        <v>512</v>
      </c>
      <c r="P3042" s="9" t="s">
        <v>60</v>
      </c>
      <c r="Q3042" s="9" t="s">
        <v>26</v>
      </c>
      <c r="R3042" s="9" t="s">
        <v>37</v>
      </c>
      <c r="S3042" s="7" t="s">
        <v>213</v>
      </c>
      <c r="T3042" s="9" t="s">
        <v>39</v>
      </c>
      <c r="U3042" s="7">
        <v>0.39</v>
      </c>
      <c r="V3042" s="12">
        <f>C3042+4</f>
        <v>40006</v>
      </c>
      <c r="W3042">
        <f>IF(D3042=' Pivot Tables'!$A$4,1,0)</f>
        <v>0</v>
      </c>
      <c r="X3042">
        <f>IF(AND(LEFT(D3042,4)+1=LEFT(' Pivot Tables'!$A$4,4)+0,RIGHT(LEFT(D3042,7),2)=RIGHT(LEFT(' Pivot Tables'!$A$4,7),2)),1,0)</f>
        <v>0</v>
      </c>
      <c r="Y3042" s="6">
        <f>1/COUNTIF(Таблица1[Order ID],Таблица1[[#This Row],[Order ID]])</f>
        <v>1</v>
      </c>
      <c r="Z3042" s="9">
        <f>1/COUNTIFS(Таблица1[Customer Name],Таблица1[[#This Row],[Customer Name]],Таблица1[Order-Year-Month],Таблица1[[#This Row],[Order-Year-Month]])</f>
        <v>1</v>
      </c>
    </row>
    <row r="3043" spans="1:26" x14ac:dyDescent="0.2">
      <c r="A3043" s="6">
        <v>5394</v>
      </c>
      <c r="B3043" s="7">
        <v>38341</v>
      </c>
      <c r="C3043" s="8">
        <f>DATE(2012,12,31)-1323</f>
        <v>39951</v>
      </c>
      <c r="D3043" s="8" t="str">
        <f t="shared" si="57"/>
        <v>2009-05 (май 2009)</v>
      </c>
      <c r="E3043" s="9" t="s">
        <v>63</v>
      </c>
      <c r="F3043" s="7">
        <v>15</v>
      </c>
      <c r="G3043" s="7">
        <v>62.62</v>
      </c>
      <c r="H3043" s="7">
        <v>0.1</v>
      </c>
      <c r="I3043" s="9" t="s">
        <v>56</v>
      </c>
      <c r="J3043" s="10">
        <v>-67.0565</v>
      </c>
      <c r="K3043" s="11">
        <v>3.36</v>
      </c>
      <c r="L3043" s="11">
        <v>6.27</v>
      </c>
      <c r="M3043" s="9" t="s">
        <v>1550</v>
      </c>
      <c r="N3043" s="6" t="s">
        <v>974</v>
      </c>
      <c r="O3043" s="6" t="s">
        <v>512</v>
      </c>
      <c r="P3043" s="9" t="s">
        <v>41</v>
      </c>
      <c r="Q3043" s="9" t="s">
        <v>26</v>
      </c>
      <c r="R3043" s="9" t="s">
        <v>37</v>
      </c>
      <c r="S3043" s="7" t="s">
        <v>410</v>
      </c>
      <c r="T3043" s="9" t="s">
        <v>39</v>
      </c>
      <c r="U3043" s="7">
        <v>0.4</v>
      </c>
      <c r="V3043" s="12">
        <f>C3043+1</f>
        <v>39952</v>
      </c>
      <c r="W3043">
        <f>IF(D3043=' Pivot Tables'!$A$4,1,0)</f>
        <v>0</v>
      </c>
      <c r="X3043">
        <f>IF(AND(LEFT(D3043,4)+1=LEFT(' Pivot Tables'!$A$4,4)+0,RIGHT(LEFT(D3043,7),2)=RIGHT(LEFT(' Pivot Tables'!$A$4,7),2)),1,0)</f>
        <v>0</v>
      </c>
      <c r="Y3043" s="6">
        <f>1/COUNTIF(Таблица1[Order ID],Таблица1[[#This Row],[Order ID]])</f>
        <v>0.33333333333333331</v>
      </c>
      <c r="Z3043" s="9">
        <f>1/COUNTIFS(Таблица1[Customer Name],Таблица1[[#This Row],[Customer Name]],Таблица1[Order-Year-Month],Таблица1[[#This Row],[Order-Year-Month]])</f>
        <v>0.33333333333333331</v>
      </c>
    </row>
    <row r="3044" spans="1:26" x14ac:dyDescent="0.2">
      <c r="A3044" s="6">
        <v>5395</v>
      </c>
      <c r="B3044" s="7">
        <v>38341</v>
      </c>
      <c r="C3044" s="8">
        <f>DATE(2012,12,31)-1323</f>
        <v>39951</v>
      </c>
      <c r="D3044" s="8" t="str">
        <f t="shared" si="57"/>
        <v>2009-05 (май 2009)</v>
      </c>
      <c r="E3044" s="9" t="s">
        <v>63</v>
      </c>
      <c r="F3044" s="7">
        <v>5</v>
      </c>
      <c r="G3044" s="7">
        <v>64.25</v>
      </c>
      <c r="H3044" s="7">
        <v>7.0000000000000007E-2</v>
      </c>
      <c r="I3044" s="9" t="s">
        <v>22</v>
      </c>
      <c r="J3044" s="10">
        <v>-7.94</v>
      </c>
      <c r="K3044" s="11">
        <v>12.28</v>
      </c>
      <c r="L3044" s="11">
        <v>4.8600000000000003</v>
      </c>
      <c r="M3044" s="9" t="s">
        <v>1550</v>
      </c>
      <c r="N3044" s="6" t="s">
        <v>974</v>
      </c>
      <c r="O3044" s="6" t="s">
        <v>512</v>
      </c>
      <c r="P3044" s="9" t="s">
        <v>41</v>
      </c>
      <c r="Q3044" s="9" t="s">
        <v>26</v>
      </c>
      <c r="R3044" s="9" t="s">
        <v>61</v>
      </c>
      <c r="S3044" s="7" t="s">
        <v>1226</v>
      </c>
      <c r="T3044" s="9" t="s">
        <v>39</v>
      </c>
      <c r="U3044" s="7">
        <v>0.38</v>
      </c>
      <c r="V3044" s="12">
        <f>C3044+2</f>
        <v>39953</v>
      </c>
      <c r="W3044">
        <f>IF(D3044=' Pivot Tables'!$A$4,1,0)</f>
        <v>0</v>
      </c>
      <c r="X3044">
        <f>IF(AND(LEFT(D3044,4)+1=LEFT(' Pivot Tables'!$A$4,4)+0,RIGHT(LEFT(D3044,7),2)=RIGHT(LEFT(' Pivot Tables'!$A$4,7),2)),1,0)</f>
        <v>0</v>
      </c>
      <c r="Y3044" s="6">
        <f>1/COUNTIF(Таблица1[Order ID],Таблица1[[#This Row],[Order ID]])</f>
        <v>0.33333333333333331</v>
      </c>
      <c r="Z3044" s="9">
        <f>1/COUNTIFS(Таблица1[Customer Name],Таблица1[[#This Row],[Customer Name]],Таблица1[Order-Year-Month],Таблица1[[#This Row],[Order-Year-Month]])</f>
        <v>0.33333333333333331</v>
      </c>
    </row>
    <row r="3045" spans="1:26" x14ac:dyDescent="0.2">
      <c r="A3045" s="6">
        <v>5453</v>
      </c>
      <c r="B3045" s="7">
        <v>38723</v>
      </c>
      <c r="C3045" s="8">
        <f>DATE(2012,12,31)-102</f>
        <v>41172</v>
      </c>
      <c r="D3045" s="8" t="str">
        <f t="shared" si="57"/>
        <v>2012-09 (сентябрь 2012)</v>
      </c>
      <c r="E3045" s="9" t="s">
        <v>78</v>
      </c>
      <c r="F3045" s="7">
        <v>39</v>
      </c>
      <c r="G3045" s="7">
        <v>2617.13</v>
      </c>
      <c r="H3045" s="7">
        <v>0</v>
      </c>
      <c r="I3045" s="9" t="s">
        <v>22</v>
      </c>
      <c r="J3045" s="10">
        <v>368.87</v>
      </c>
      <c r="K3045" s="11">
        <v>64.98</v>
      </c>
      <c r="L3045" s="11">
        <v>6.88</v>
      </c>
      <c r="M3045" s="9" t="s">
        <v>1582</v>
      </c>
      <c r="N3045" s="6" t="s">
        <v>974</v>
      </c>
      <c r="O3045" s="6" t="s">
        <v>512</v>
      </c>
      <c r="P3045" s="9" t="s">
        <v>60</v>
      </c>
      <c r="Q3045" s="9" t="s">
        <v>26</v>
      </c>
      <c r="R3045" s="9" t="s">
        <v>27</v>
      </c>
      <c r="S3045" s="7" t="s">
        <v>519</v>
      </c>
      <c r="T3045" s="9" t="s">
        <v>39</v>
      </c>
      <c r="U3045" s="7">
        <v>0.73</v>
      </c>
      <c r="V3045" s="12">
        <f>C3045+2</f>
        <v>41174</v>
      </c>
      <c r="W3045">
        <f>IF(D3045=' Pivot Tables'!$A$4,1,0)</f>
        <v>0</v>
      </c>
      <c r="X3045">
        <f>IF(AND(LEFT(D3045,4)+1=LEFT(' Pivot Tables'!$A$4,4)+0,RIGHT(LEFT(D3045,7),2)=RIGHT(LEFT(' Pivot Tables'!$A$4,7),2)),1,0)</f>
        <v>0</v>
      </c>
      <c r="Y3045" s="6">
        <f>1/COUNTIF(Таблица1[Order ID],Таблица1[[#This Row],[Order ID]])</f>
        <v>0.5</v>
      </c>
      <c r="Z3045" s="9">
        <f>1/COUNTIFS(Таблица1[Customer Name],Таблица1[[#This Row],[Customer Name]],Таблица1[Order-Year-Month],Таблица1[[#This Row],[Order-Year-Month]])</f>
        <v>0.5</v>
      </c>
    </row>
    <row r="3046" spans="1:26" x14ac:dyDescent="0.2">
      <c r="A3046" s="6">
        <v>5467</v>
      </c>
      <c r="B3046" s="7">
        <v>38851</v>
      </c>
      <c r="C3046" s="8">
        <f>DATE(2012,12,31)-204</f>
        <v>41070</v>
      </c>
      <c r="D3046" s="8" t="str">
        <f t="shared" si="57"/>
        <v>2012-06 (июнь 2012)</v>
      </c>
      <c r="E3046" s="9" t="s">
        <v>78</v>
      </c>
      <c r="F3046" s="7">
        <v>1</v>
      </c>
      <c r="G3046" s="7">
        <v>8.49</v>
      </c>
      <c r="H3046" s="7">
        <v>0.06</v>
      </c>
      <c r="I3046" s="9" t="s">
        <v>22</v>
      </c>
      <c r="J3046" s="10">
        <v>-5.7385000000000002</v>
      </c>
      <c r="K3046" s="11">
        <v>3.74</v>
      </c>
      <c r="L3046" s="11">
        <v>4.6900000000000004</v>
      </c>
      <c r="M3046" s="9" t="s">
        <v>1491</v>
      </c>
      <c r="N3046" s="6" t="s">
        <v>974</v>
      </c>
      <c r="O3046" s="6" t="s">
        <v>512</v>
      </c>
      <c r="P3046" s="9" t="s">
        <v>41</v>
      </c>
      <c r="Q3046" s="9" t="s">
        <v>26</v>
      </c>
      <c r="R3046" s="9" t="s">
        <v>37</v>
      </c>
      <c r="S3046" s="7" t="s">
        <v>1587</v>
      </c>
      <c r="T3046" s="9" t="s">
        <v>39</v>
      </c>
      <c r="U3046" s="7">
        <v>0.35</v>
      </c>
      <c r="V3046" s="12">
        <f>C3046+1</f>
        <v>41071</v>
      </c>
      <c r="W3046">
        <f>IF(D3046=' Pivot Tables'!$A$4,1,0)</f>
        <v>0</v>
      </c>
      <c r="X3046">
        <f>IF(AND(LEFT(D3046,4)+1=LEFT(' Pivot Tables'!$A$4,4)+0,RIGHT(LEFT(D3046,7),2)=RIGHT(LEFT(' Pivot Tables'!$A$4,7),2)),1,0)</f>
        <v>0</v>
      </c>
      <c r="Y3046" s="6">
        <f>1/COUNTIF(Таблица1[Order ID],Таблица1[[#This Row],[Order ID]])</f>
        <v>1</v>
      </c>
      <c r="Z3046" s="9">
        <f>1/COUNTIFS(Таблица1[Customer Name],Таблица1[[#This Row],[Customer Name]],Таблица1[Order-Year-Month],Таблица1[[#This Row],[Order-Year-Month]])</f>
        <v>1</v>
      </c>
    </row>
    <row r="3047" spans="1:26" x14ac:dyDescent="0.2">
      <c r="A3047" s="6">
        <v>5470</v>
      </c>
      <c r="B3047" s="7">
        <v>38882</v>
      </c>
      <c r="C3047" s="8">
        <f>DATE(2012,12,31)-1113</f>
        <v>40161</v>
      </c>
      <c r="D3047" s="8" t="str">
        <f t="shared" si="57"/>
        <v>2009-12 (декабрь 2009)</v>
      </c>
      <c r="E3047" s="9" t="s">
        <v>78</v>
      </c>
      <c r="F3047" s="7">
        <v>40</v>
      </c>
      <c r="G3047" s="7">
        <v>2169.4899999999998</v>
      </c>
      <c r="H3047" s="7">
        <v>0.06</v>
      </c>
      <c r="I3047" s="9" t="s">
        <v>22</v>
      </c>
      <c r="J3047" s="10">
        <v>1043.43</v>
      </c>
      <c r="K3047" s="11">
        <v>55.48</v>
      </c>
      <c r="L3047" s="11">
        <v>4.8499999999999996</v>
      </c>
      <c r="M3047" s="9" t="s">
        <v>1061</v>
      </c>
      <c r="N3047" s="6" t="s">
        <v>974</v>
      </c>
      <c r="O3047" s="6" t="s">
        <v>512</v>
      </c>
      <c r="P3047" s="9" t="s">
        <v>33</v>
      </c>
      <c r="Q3047" s="9" t="s">
        <v>26</v>
      </c>
      <c r="R3047" s="9" t="s">
        <v>61</v>
      </c>
      <c r="S3047" s="7" t="s">
        <v>1478</v>
      </c>
      <c r="T3047" s="9" t="s">
        <v>39</v>
      </c>
      <c r="U3047" s="7">
        <v>0.37</v>
      </c>
      <c r="V3047" s="12">
        <f>C3047+0</f>
        <v>40161</v>
      </c>
      <c r="W3047">
        <f>IF(D3047=' Pivot Tables'!$A$4,1,0)</f>
        <v>0</v>
      </c>
      <c r="X3047">
        <f>IF(AND(LEFT(D3047,4)+1=LEFT(' Pivot Tables'!$A$4,4)+0,RIGHT(LEFT(D3047,7),2)=RIGHT(LEFT(' Pivot Tables'!$A$4,7),2)),1,0)</f>
        <v>0</v>
      </c>
      <c r="Y3047" s="6">
        <f>1/COUNTIF(Таблица1[Order ID],Таблица1[[#This Row],[Order ID]])</f>
        <v>0.5</v>
      </c>
      <c r="Z3047" s="9">
        <f>1/COUNTIFS(Таблица1[Customer Name],Таблица1[[#This Row],[Customer Name]],Таблица1[Order-Year-Month],Таблица1[[#This Row],[Order-Year-Month]])</f>
        <v>0.5</v>
      </c>
    </row>
    <row r="3048" spans="1:26" x14ac:dyDescent="0.2">
      <c r="A3048" s="6">
        <v>5540</v>
      </c>
      <c r="B3048" s="7">
        <v>39266</v>
      </c>
      <c r="C3048" s="8">
        <f>DATE(2012,12,31)-126</f>
        <v>41148</v>
      </c>
      <c r="D3048" s="8" t="str">
        <f t="shared" si="57"/>
        <v>2012-08 (август 2012)</v>
      </c>
      <c r="E3048" s="9" t="s">
        <v>30</v>
      </c>
      <c r="F3048" s="7">
        <v>4</v>
      </c>
      <c r="G3048" s="7">
        <v>64.09</v>
      </c>
      <c r="H3048" s="7">
        <v>0.02</v>
      </c>
      <c r="I3048" s="9" t="s">
        <v>22</v>
      </c>
      <c r="J3048" s="10">
        <v>3.72</v>
      </c>
      <c r="K3048" s="11">
        <v>15.57</v>
      </c>
      <c r="L3048" s="11">
        <v>1.39</v>
      </c>
      <c r="M3048" s="9" t="s">
        <v>1475</v>
      </c>
      <c r="N3048" s="6" t="s">
        <v>974</v>
      </c>
      <c r="O3048" s="6" t="s">
        <v>512</v>
      </c>
      <c r="P3048" s="9" t="s">
        <v>25</v>
      </c>
      <c r="Q3048" s="9" t="s">
        <v>26</v>
      </c>
      <c r="R3048" s="9" t="s">
        <v>76</v>
      </c>
      <c r="S3048" s="7" t="s">
        <v>1176</v>
      </c>
      <c r="T3048" s="9" t="s">
        <v>39</v>
      </c>
      <c r="U3048" s="7">
        <v>0.38</v>
      </c>
      <c r="V3048" s="12">
        <f>C3048+1</f>
        <v>41149</v>
      </c>
      <c r="W3048">
        <f>IF(D3048=' Pivot Tables'!$A$4,1,0)</f>
        <v>0</v>
      </c>
      <c r="X3048">
        <f>IF(AND(LEFT(D3048,4)+1=LEFT(' Pivot Tables'!$A$4,4)+0,RIGHT(LEFT(D3048,7),2)=RIGHT(LEFT(' Pivot Tables'!$A$4,7),2)),1,0)</f>
        <v>0</v>
      </c>
      <c r="Y3048" s="6">
        <f>1/COUNTIF(Таблица1[Order ID],Таблица1[[#This Row],[Order ID]])</f>
        <v>0.33333333333333331</v>
      </c>
      <c r="Z3048" s="9">
        <f>1/COUNTIFS(Таблица1[Customer Name],Таблица1[[#This Row],[Customer Name]],Таблица1[Order-Year-Month],Таблица1[[#This Row],[Order-Year-Month]])</f>
        <v>0.25</v>
      </c>
    </row>
    <row r="3049" spans="1:26" x14ac:dyDescent="0.2">
      <c r="A3049" s="6">
        <v>5614</v>
      </c>
      <c r="B3049" s="7">
        <v>39780</v>
      </c>
      <c r="C3049" s="8">
        <f>DATE(2012,12,31)-1303</f>
        <v>39971</v>
      </c>
      <c r="D3049" s="8" t="str">
        <f t="shared" si="57"/>
        <v>2009-06 (июнь 2009)</v>
      </c>
      <c r="E3049" s="9" t="s">
        <v>21</v>
      </c>
      <c r="F3049" s="7">
        <v>48</v>
      </c>
      <c r="G3049" s="7">
        <v>2208.31</v>
      </c>
      <c r="H3049" s="7">
        <v>0.04</v>
      </c>
      <c r="I3049" s="9" t="s">
        <v>22</v>
      </c>
      <c r="J3049" s="10">
        <v>569.08000000000004</v>
      </c>
      <c r="K3049" s="11">
        <v>45.98</v>
      </c>
      <c r="L3049" s="11">
        <v>4.8</v>
      </c>
      <c r="M3049" s="9" t="s">
        <v>1466</v>
      </c>
      <c r="N3049" s="6" t="s">
        <v>974</v>
      </c>
      <c r="O3049" s="6" t="s">
        <v>512</v>
      </c>
      <c r="P3049" s="9" t="s">
        <v>33</v>
      </c>
      <c r="Q3049" s="9" t="s">
        <v>49</v>
      </c>
      <c r="R3049" s="9" t="s">
        <v>50</v>
      </c>
      <c r="S3049" s="7" t="s">
        <v>654</v>
      </c>
      <c r="T3049" s="9" t="s">
        <v>68</v>
      </c>
      <c r="U3049" s="7">
        <v>0.68</v>
      </c>
      <c r="V3049" s="12">
        <f>C3049+2</f>
        <v>39973</v>
      </c>
      <c r="W3049">
        <f>IF(D3049=' Pivot Tables'!$A$4,1,0)</f>
        <v>0</v>
      </c>
      <c r="X3049">
        <f>IF(AND(LEFT(D3049,4)+1=LEFT(' Pivot Tables'!$A$4,4)+0,RIGHT(LEFT(D3049,7),2)=RIGHT(LEFT(' Pivot Tables'!$A$4,7),2)),1,0)</f>
        <v>0</v>
      </c>
      <c r="Y3049" s="6">
        <f>1/COUNTIF(Таблица1[Order ID],Таблица1[[#This Row],[Order ID]])</f>
        <v>0.5</v>
      </c>
      <c r="Z3049" s="9">
        <f>1/COUNTIFS(Таблица1[Customer Name],Таблица1[[#This Row],[Customer Name]],Таблица1[Order-Year-Month],Таблица1[[#This Row],[Order-Year-Month]])</f>
        <v>0.2</v>
      </c>
    </row>
    <row r="3050" spans="1:26" x14ac:dyDescent="0.2">
      <c r="A3050" s="6">
        <v>5625</v>
      </c>
      <c r="B3050" s="7">
        <v>39842</v>
      </c>
      <c r="C3050" s="8">
        <f>DATE(2012,12,31)-743</f>
        <v>40531</v>
      </c>
      <c r="D3050" s="8" t="str">
        <f t="shared" si="57"/>
        <v>2010-12 (декабрь 2010)</v>
      </c>
      <c r="E3050" s="9" t="s">
        <v>63</v>
      </c>
      <c r="F3050" s="7">
        <v>22</v>
      </c>
      <c r="G3050" s="7">
        <v>1295.502</v>
      </c>
      <c r="H3050" s="7">
        <v>0.01</v>
      </c>
      <c r="I3050" s="9" t="s">
        <v>56</v>
      </c>
      <c r="J3050" s="10">
        <v>224.85599999999999</v>
      </c>
      <c r="K3050" s="11">
        <v>65.989999999999995</v>
      </c>
      <c r="L3050" s="11">
        <v>3.99</v>
      </c>
      <c r="M3050" s="9" t="s">
        <v>1503</v>
      </c>
      <c r="N3050" s="6" t="s">
        <v>974</v>
      </c>
      <c r="O3050" s="6" t="s">
        <v>512</v>
      </c>
      <c r="P3050" s="9" t="s">
        <v>33</v>
      </c>
      <c r="Q3050" s="9" t="s">
        <v>42</v>
      </c>
      <c r="R3050" s="9" t="s">
        <v>43</v>
      </c>
      <c r="S3050" s="7" t="s">
        <v>582</v>
      </c>
      <c r="T3050" s="9" t="s">
        <v>39</v>
      </c>
      <c r="U3050" s="7">
        <v>0.59</v>
      </c>
      <c r="V3050" s="12">
        <f>C3050+1</f>
        <v>40532</v>
      </c>
      <c r="W3050">
        <f>IF(D3050=' Pivot Tables'!$A$4,1,0)</f>
        <v>0</v>
      </c>
      <c r="X3050">
        <f>IF(AND(LEFT(D3050,4)+1=LEFT(' Pivot Tables'!$A$4,4)+0,RIGHT(LEFT(D3050,7),2)=RIGHT(LEFT(' Pivot Tables'!$A$4,7),2)),1,0)</f>
        <v>0</v>
      </c>
      <c r="Y3050" s="6">
        <f>1/COUNTIF(Таблица1[Order ID],Таблица1[[#This Row],[Order ID]])</f>
        <v>0.5</v>
      </c>
      <c r="Z3050" s="9">
        <f>1/COUNTIFS(Таблица1[Customer Name],Таблица1[[#This Row],[Customer Name]],Таблица1[Order-Year-Month],Таблица1[[#This Row],[Order-Year-Month]])</f>
        <v>0.5</v>
      </c>
    </row>
    <row r="3051" spans="1:26" x14ac:dyDescent="0.2">
      <c r="A3051" s="6">
        <v>5652</v>
      </c>
      <c r="B3051" s="7">
        <v>40005</v>
      </c>
      <c r="C3051" s="8">
        <f>DATE(2012,12,31)-890</f>
        <v>40384</v>
      </c>
      <c r="D3051" s="8" t="str">
        <f t="shared" si="57"/>
        <v>2010-07 (июль 2010)</v>
      </c>
      <c r="E3051" s="9" t="s">
        <v>30</v>
      </c>
      <c r="F3051" s="7">
        <v>20</v>
      </c>
      <c r="G3051" s="7">
        <v>873.82</v>
      </c>
      <c r="H3051" s="7">
        <v>0.1</v>
      </c>
      <c r="I3051" s="9" t="s">
        <v>22</v>
      </c>
      <c r="J3051" s="10">
        <v>244.45</v>
      </c>
      <c r="K3051" s="11">
        <v>45.98</v>
      </c>
      <c r="L3051" s="11">
        <v>4.8</v>
      </c>
      <c r="M3051" s="9" t="s">
        <v>1536</v>
      </c>
      <c r="N3051" s="6" t="s">
        <v>974</v>
      </c>
      <c r="O3051" s="6" t="s">
        <v>512</v>
      </c>
      <c r="P3051" s="9" t="s">
        <v>25</v>
      </c>
      <c r="Q3051" s="9" t="s">
        <v>49</v>
      </c>
      <c r="R3051" s="9" t="s">
        <v>50</v>
      </c>
      <c r="S3051" s="7" t="s">
        <v>654</v>
      </c>
      <c r="T3051" s="9" t="s">
        <v>68</v>
      </c>
      <c r="U3051" s="7">
        <v>0.68</v>
      </c>
      <c r="V3051" s="12">
        <f>C3051+3</f>
        <v>40387</v>
      </c>
      <c r="W3051">
        <f>IF(D3051=' Pivot Tables'!$A$4,1,0)</f>
        <v>0</v>
      </c>
      <c r="X3051">
        <f>IF(AND(LEFT(D3051,4)+1=LEFT(' Pivot Tables'!$A$4,4)+0,RIGHT(LEFT(D3051,7),2)=RIGHT(LEFT(' Pivot Tables'!$A$4,7),2)),1,0)</f>
        <v>0</v>
      </c>
      <c r="Y3051" s="6">
        <f>1/COUNTIF(Таблица1[Order ID],Таблица1[[#This Row],[Order ID]])</f>
        <v>0.5</v>
      </c>
      <c r="Z3051" s="9">
        <f>1/COUNTIFS(Таблица1[Customer Name],Таблица1[[#This Row],[Customer Name]],Таблица1[Order-Year-Month],Таблица1[[#This Row],[Order-Year-Month]])</f>
        <v>0.5</v>
      </c>
    </row>
    <row r="3052" spans="1:26" x14ac:dyDescent="0.2">
      <c r="A3052" s="6">
        <v>5733</v>
      </c>
      <c r="B3052" s="7">
        <v>40704</v>
      </c>
      <c r="C3052" s="8">
        <f>DATE(2012,12,31)-1454</f>
        <v>39820</v>
      </c>
      <c r="D3052" s="8" t="str">
        <f t="shared" si="57"/>
        <v>2009-01 (январь 2009)</v>
      </c>
      <c r="E3052" s="9" t="s">
        <v>21</v>
      </c>
      <c r="F3052" s="7">
        <v>6</v>
      </c>
      <c r="G3052" s="7">
        <v>11.57</v>
      </c>
      <c r="H3052" s="7">
        <v>0.01</v>
      </c>
      <c r="I3052" s="9" t="s">
        <v>22</v>
      </c>
      <c r="J3052" s="10">
        <v>-2.06</v>
      </c>
      <c r="K3052" s="11">
        <v>1.76</v>
      </c>
      <c r="L3052" s="11">
        <v>0.7</v>
      </c>
      <c r="M3052" s="9" t="s">
        <v>1588</v>
      </c>
      <c r="N3052" s="6" t="s">
        <v>974</v>
      </c>
      <c r="O3052" s="6" t="s">
        <v>512</v>
      </c>
      <c r="P3052" s="9" t="s">
        <v>41</v>
      </c>
      <c r="Q3052" s="9" t="s">
        <v>26</v>
      </c>
      <c r="R3052" s="9" t="s">
        <v>95</v>
      </c>
      <c r="S3052" s="7" t="s">
        <v>387</v>
      </c>
      <c r="T3052" s="9" t="s">
        <v>68</v>
      </c>
      <c r="U3052" s="7">
        <v>0.56000000000000005</v>
      </c>
      <c r="V3052" s="12">
        <f>C3052+5</f>
        <v>39825</v>
      </c>
      <c r="W3052">
        <f>IF(D3052=' Pivot Tables'!$A$4,1,0)</f>
        <v>0</v>
      </c>
      <c r="X3052">
        <f>IF(AND(LEFT(D3052,4)+1=LEFT(' Pivot Tables'!$A$4,4)+0,RIGHT(LEFT(D3052,7),2)=RIGHT(LEFT(' Pivot Tables'!$A$4,7),2)),1,0)</f>
        <v>1</v>
      </c>
      <c r="Y3052" s="6">
        <f>1/COUNTIF(Таблица1[Order ID],Таблица1[[#This Row],[Order ID]])</f>
        <v>1</v>
      </c>
      <c r="Z3052" s="9">
        <f>1/COUNTIFS(Таблица1[Customer Name],Таблица1[[#This Row],[Customer Name]],Таблица1[Order-Year-Month],Таблица1[[#This Row],[Order-Year-Month]])</f>
        <v>1</v>
      </c>
    </row>
    <row r="3053" spans="1:26" x14ac:dyDescent="0.2">
      <c r="A3053" s="6">
        <v>5833</v>
      </c>
      <c r="B3053" s="7">
        <v>41383</v>
      </c>
      <c r="C3053" s="8">
        <f>DATE(2012,12,31)-964</f>
        <v>40310</v>
      </c>
      <c r="D3053" s="8" t="str">
        <f t="shared" si="57"/>
        <v>2010-05 (май 2010)</v>
      </c>
      <c r="E3053" s="9" t="s">
        <v>21</v>
      </c>
      <c r="F3053" s="7">
        <v>36</v>
      </c>
      <c r="G3053" s="7">
        <v>1449.45</v>
      </c>
      <c r="H3053" s="7">
        <v>0.04</v>
      </c>
      <c r="I3053" s="9" t="s">
        <v>22</v>
      </c>
      <c r="J3053" s="10">
        <v>620.06650000000002</v>
      </c>
      <c r="K3053" s="11">
        <v>41.94</v>
      </c>
      <c r="L3053" s="11">
        <v>2.99</v>
      </c>
      <c r="M3053" s="9" t="s">
        <v>1487</v>
      </c>
      <c r="N3053" s="6" t="s">
        <v>974</v>
      </c>
      <c r="O3053" s="6" t="s">
        <v>512</v>
      </c>
      <c r="P3053" s="9" t="s">
        <v>25</v>
      </c>
      <c r="Q3053" s="9" t="s">
        <v>26</v>
      </c>
      <c r="R3053" s="9" t="s">
        <v>37</v>
      </c>
      <c r="S3053" s="7" t="s">
        <v>369</v>
      </c>
      <c r="T3053" s="9" t="s">
        <v>39</v>
      </c>
      <c r="U3053" s="7">
        <v>0.35</v>
      </c>
      <c r="V3053" s="12">
        <f>C3053+7</f>
        <v>40317</v>
      </c>
      <c r="W3053">
        <f>IF(D3053=' Pivot Tables'!$A$4,1,0)</f>
        <v>0</v>
      </c>
      <c r="X3053">
        <f>IF(AND(LEFT(D3053,4)+1=LEFT(' Pivot Tables'!$A$4,4)+0,RIGHT(LEFT(D3053,7),2)=RIGHT(LEFT(' Pivot Tables'!$A$4,7),2)),1,0)</f>
        <v>0</v>
      </c>
      <c r="Y3053" s="6">
        <f>1/COUNTIF(Таблица1[Order ID],Таблица1[[#This Row],[Order ID]])</f>
        <v>0.5</v>
      </c>
      <c r="Z3053" s="9">
        <f>1/COUNTIFS(Таблица1[Customer Name],Таблица1[[#This Row],[Customer Name]],Таблица1[Order-Year-Month],Таблица1[[#This Row],[Order-Year-Month]])</f>
        <v>0.5</v>
      </c>
    </row>
    <row r="3054" spans="1:26" x14ac:dyDescent="0.2">
      <c r="A3054" s="6">
        <v>5840</v>
      </c>
      <c r="B3054" s="7">
        <v>41415</v>
      </c>
      <c r="C3054" s="8">
        <f>DATE(2012,12,31)-1147</f>
        <v>40127</v>
      </c>
      <c r="D3054" s="8" t="str">
        <f t="shared" si="57"/>
        <v>2009-11 (ноябрь 2009)</v>
      </c>
      <c r="E3054" s="9" t="s">
        <v>21</v>
      </c>
      <c r="F3054" s="7">
        <v>10</v>
      </c>
      <c r="G3054" s="7">
        <v>80.92</v>
      </c>
      <c r="H3054" s="7">
        <v>0.09</v>
      </c>
      <c r="I3054" s="9" t="s">
        <v>22</v>
      </c>
      <c r="J3054" s="10">
        <v>-20.16</v>
      </c>
      <c r="K3054" s="11">
        <v>7.64</v>
      </c>
      <c r="L3054" s="11">
        <v>5.83</v>
      </c>
      <c r="M3054" s="9" t="s">
        <v>1575</v>
      </c>
      <c r="N3054" s="6" t="s">
        <v>974</v>
      </c>
      <c r="O3054" s="6" t="s">
        <v>512</v>
      </c>
      <c r="P3054" s="9" t="s">
        <v>25</v>
      </c>
      <c r="Q3054" s="9" t="s">
        <v>26</v>
      </c>
      <c r="R3054" s="9" t="s">
        <v>61</v>
      </c>
      <c r="S3054" s="7" t="s">
        <v>371</v>
      </c>
      <c r="T3054" s="9" t="s">
        <v>68</v>
      </c>
      <c r="U3054" s="7">
        <v>0.36</v>
      </c>
      <c r="V3054" s="12">
        <f>C3054+5</f>
        <v>40132</v>
      </c>
      <c r="W3054">
        <f>IF(D3054=' Pivot Tables'!$A$4,1,0)</f>
        <v>0</v>
      </c>
      <c r="X3054">
        <f>IF(AND(LEFT(D3054,4)+1=LEFT(' Pivot Tables'!$A$4,4)+0,RIGHT(LEFT(D3054,7),2)=RIGHT(LEFT(' Pivot Tables'!$A$4,7),2)),1,0)</f>
        <v>0</v>
      </c>
      <c r="Y3054" s="6">
        <f>1/COUNTIF(Таблица1[Order ID],Таблица1[[#This Row],[Order ID]])</f>
        <v>1</v>
      </c>
      <c r="Z3054" s="9">
        <f>1/COUNTIFS(Таблица1[Customer Name],Таблица1[[#This Row],[Customer Name]],Таблица1[Order-Year-Month],Таблица1[[#This Row],[Order-Year-Month]])</f>
        <v>1</v>
      </c>
    </row>
    <row r="3055" spans="1:26" x14ac:dyDescent="0.2">
      <c r="A3055" s="6">
        <v>5898</v>
      </c>
      <c r="B3055" s="7">
        <v>41825</v>
      </c>
      <c r="C3055" s="8">
        <f>DATE(2012,12,31)-1227</f>
        <v>40047</v>
      </c>
      <c r="D3055" s="8" t="str">
        <f t="shared" si="57"/>
        <v>2009-08 (август 2009)</v>
      </c>
      <c r="E3055" s="9" t="s">
        <v>78</v>
      </c>
      <c r="F3055" s="7">
        <v>50</v>
      </c>
      <c r="G3055" s="7">
        <v>7817.45</v>
      </c>
      <c r="H3055" s="7">
        <v>0.03</v>
      </c>
      <c r="I3055" s="9" t="s">
        <v>31</v>
      </c>
      <c r="J3055" s="10">
        <v>-1303.5999999999999</v>
      </c>
      <c r="K3055" s="11">
        <v>150.88999999999999</v>
      </c>
      <c r="L3055" s="11">
        <v>60.2</v>
      </c>
      <c r="M3055" s="9" t="s">
        <v>79</v>
      </c>
      <c r="N3055" s="6" t="s">
        <v>974</v>
      </c>
      <c r="O3055" s="6" t="s">
        <v>512</v>
      </c>
      <c r="P3055" s="9" t="s">
        <v>33</v>
      </c>
      <c r="Q3055" s="9" t="s">
        <v>49</v>
      </c>
      <c r="R3055" s="9" t="s">
        <v>112</v>
      </c>
      <c r="S3055" s="7" t="s">
        <v>933</v>
      </c>
      <c r="T3055" s="9" t="s">
        <v>36</v>
      </c>
      <c r="U3055" s="7">
        <v>0.77</v>
      </c>
      <c r="V3055" s="12">
        <f>C3055+0</f>
        <v>40047</v>
      </c>
      <c r="W3055">
        <f>IF(D3055=' Pivot Tables'!$A$4,1,0)</f>
        <v>0</v>
      </c>
      <c r="X3055">
        <f>IF(AND(LEFT(D3055,4)+1=LEFT(' Pivot Tables'!$A$4,4)+0,RIGHT(LEFT(D3055,7),2)=RIGHT(LEFT(' Pivot Tables'!$A$4,7),2)),1,0)</f>
        <v>0</v>
      </c>
      <c r="Y3055" s="6">
        <f>1/COUNTIF(Таблица1[Order ID],Таблица1[[#This Row],[Order ID]])</f>
        <v>0.5</v>
      </c>
      <c r="Z3055" s="9">
        <f>1/COUNTIFS(Таблица1[Customer Name],Таблица1[[#This Row],[Customer Name]],Таблица1[Order-Year-Month],Таблица1[[#This Row],[Order-Year-Month]])</f>
        <v>1</v>
      </c>
    </row>
    <row r="3056" spans="1:26" x14ac:dyDescent="0.2">
      <c r="A3056" s="6">
        <v>5899</v>
      </c>
      <c r="B3056" s="7">
        <v>41826</v>
      </c>
      <c r="C3056" s="8">
        <f>DATE(2012,12,31)-807</f>
        <v>40467</v>
      </c>
      <c r="D3056" s="8" t="str">
        <f t="shared" si="57"/>
        <v>2010-10 (октябрь 2010)</v>
      </c>
      <c r="E3056" s="9" t="s">
        <v>63</v>
      </c>
      <c r="F3056" s="7">
        <v>4</v>
      </c>
      <c r="G3056" s="7">
        <v>63.93</v>
      </c>
      <c r="H3056" s="7">
        <v>0.03</v>
      </c>
      <c r="I3056" s="9" t="s">
        <v>56</v>
      </c>
      <c r="J3056" s="10">
        <v>40.630000000000003</v>
      </c>
      <c r="K3056" s="11">
        <v>9.77</v>
      </c>
      <c r="L3056" s="11">
        <v>6.02</v>
      </c>
      <c r="M3056" s="9" t="s">
        <v>1466</v>
      </c>
      <c r="N3056" s="6" t="s">
        <v>974</v>
      </c>
      <c r="O3056" s="6" t="s">
        <v>512</v>
      </c>
      <c r="P3056" s="9" t="s">
        <v>33</v>
      </c>
      <c r="Q3056" s="9" t="s">
        <v>49</v>
      </c>
      <c r="R3056" s="9" t="s">
        <v>50</v>
      </c>
      <c r="S3056" s="7" t="s">
        <v>446</v>
      </c>
      <c r="T3056" s="9" t="s">
        <v>48</v>
      </c>
      <c r="U3056" s="7">
        <v>0.48</v>
      </c>
      <c r="V3056" s="12">
        <f>C3056+2</f>
        <v>40469</v>
      </c>
      <c r="W3056">
        <f>IF(D3056=' Pivot Tables'!$A$4,1,0)</f>
        <v>0</v>
      </c>
      <c r="X3056">
        <f>IF(AND(LEFT(D3056,4)+1=LEFT(' Pivot Tables'!$A$4,4)+0,RIGHT(LEFT(D3056,7),2)=RIGHT(LEFT(' Pivot Tables'!$A$4,7),2)),1,0)</f>
        <v>0</v>
      </c>
      <c r="Y3056" s="6">
        <f>1/COUNTIF(Таблица1[Order ID],Таблица1[[#This Row],[Order ID]])</f>
        <v>0.5</v>
      </c>
      <c r="Z3056" s="9">
        <f>1/COUNTIFS(Таблица1[Customer Name],Таблица1[[#This Row],[Customer Name]],Таблица1[Order-Year-Month],Таблица1[[#This Row],[Order-Year-Month]])</f>
        <v>0.5</v>
      </c>
    </row>
    <row r="3057" spans="1:26" x14ac:dyDescent="0.2">
      <c r="A3057" s="6">
        <v>5946</v>
      </c>
      <c r="B3057" s="7">
        <v>42213</v>
      </c>
      <c r="C3057" s="8">
        <f>DATE(2012,12,31)-651</f>
        <v>40623</v>
      </c>
      <c r="D3057" s="8" t="str">
        <f t="shared" si="57"/>
        <v>2011-03 (март 2011)</v>
      </c>
      <c r="E3057" s="9" t="s">
        <v>78</v>
      </c>
      <c r="F3057" s="7">
        <v>46</v>
      </c>
      <c r="G3057" s="7">
        <v>110.96</v>
      </c>
      <c r="H3057" s="7">
        <v>0.08</v>
      </c>
      <c r="I3057" s="9" t="s">
        <v>22</v>
      </c>
      <c r="J3057" s="10">
        <v>35.92</v>
      </c>
      <c r="K3057" s="11">
        <v>2.61</v>
      </c>
      <c r="L3057" s="11">
        <v>0.5</v>
      </c>
      <c r="M3057" s="9" t="s">
        <v>1264</v>
      </c>
      <c r="N3057" s="6" t="s">
        <v>974</v>
      </c>
      <c r="O3057" s="6" t="s">
        <v>512</v>
      </c>
      <c r="P3057" s="9" t="s">
        <v>25</v>
      </c>
      <c r="Q3057" s="9" t="s">
        <v>26</v>
      </c>
      <c r="R3057" s="9" t="s">
        <v>88</v>
      </c>
      <c r="S3057" s="7" t="s">
        <v>406</v>
      </c>
      <c r="T3057" s="9" t="s">
        <v>39</v>
      </c>
      <c r="U3057" s="7">
        <v>0.39</v>
      </c>
      <c r="V3057" s="12">
        <f>C3057+2</f>
        <v>40625</v>
      </c>
      <c r="W3057">
        <f>IF(D3057=' Pivot Tables'!$A$4,1,0)</f>
        <v>0</v>
      </c>
      <c r="X3057">
        <f>IF(AND(LEFT(D3057,4)+1=LEFT(' Pivot Tables'!$A$4,4)+0,RIGHT(LEFT(D3057,7),2)=RIGHT(LEFT(' Pivot Tables'!$A$4,7),2)),1,0)</f>
        <v>0</v>
      </c>
      <c r="Y3057" s="6">
        <f>1/COUNTIF(Таблица1[Order ID],Таблица1[[#This Row],[Order ID]])</f>
        <v>1</v>
      </c>
      <c r="Z3057" s="9">
        <f>1/COUNTIFS(Таблица1[Customer Name],Таблица1[[#This Row],[Customer Name]],Таблица1[Order-Year-Month],Таблица1[[#This Row],[Order-Year-Month]])</f>
        <v>1</v>
      </c>
    </row>
    <row r="3058" spans="1:26" x14ac:dyDescent="0.2">
      <c r="A3058" s="6">
        <v>5995</v>
      </c>
      <c r="B3058" s="7">
        <v>42469</v>
      </c>
      <c r="C3058" s="8">
        <f>DATE(2012,12,31)-53</f>
        <v>41221</v>
      </c>
      <c r="D3058" s="8" t="str">
        <f t="shared" si="57"/>
        <v>2012-11 (ноябрь 2012)</v>
      </c>
      <c r="E3058" s="9" t="s">
        <v>45</v>
      </c>
      <c r="F3058" s="7">
        <v>18</v>
      </c>
      <c r="G3058" s="7">
        <v>2130.8200000000002</v>
      </c>
      <c r="H3058" s="7">
        <v>0.05</v>
      </c>
      <c r="I3058" s="9" t="s">
        <v>22</v>
      </c>
      <c r="J3058" s="10">
        <v>818.91549999999995</v>
      </c>
      <c r="K3058" s="11">
        <v>120.98</v>
      </c>
      <c r="L3058" s="11">
        <v>9.07</v>
      </c>
      <c r="M3058" s="9" t="s">
        <v>1500</v>
      </c>
      <c r="N3058" s="6" t="s">
        <v>974</v>
      </c>
      <c r="O3058" s="6" t="s">
        <v>512</v>
      </c>
      <c r="P3058" s="9" t="s">
        <v>33</v>
      </c>
      <c r="Q3058" s="9" t="s">
        <v>26</v>
      </c>
      <c r="R3058" s="9" t="s">
        <v>37</v>
      </c>
      <c r="S3058" s="7" t="s">
        <v>477</v>
      </c>
      <c r="T3058" s="9" t="s">
        <v>39</v>
      </c>
      <c r="U3058" s="7">
        <v>0.35</v>
      </c>
      <c r="V3058" s="12">
        <f>C3058+1</f>
        <v>41222</v>
      </c>
      <c r="W3058">
        <f>IF(D3058=' Pivot Tables'!$A$4,1,0)</f>
        <v>0</v>
      </c>
      <c r="X3058">
        <f>IF(AND(LEFT(D3058,4)+1=LEFT(' Pivot Tables'!$A$4,4)+0,RIGHT(LEFT(D3058,7),2)=RIGHT(LEFT(' Pivot Tables'!$A$4,7),2)),1,0)</f>
        <v>0</v>
      </c>
      <c r="Y3058" s="6">
        <f>1/COUNTIF(Таблица1[Order ID],Таблица1[[#This Row],[Order ID]])</f>
        <v>0.5</v>
      </c>
      <c r="Z3058" s="9">
        <f>1/COUNTIFS(Таблица1[Customer Name],Таблица1[[#This Row],[Customer Name]],Таблица1[Order-Year-Month],Таблица1[[#This Row],[Order-Year-Month]])</f>
        <v>0.25</v>
      </c>
    </row>
    <row r="3059" spans="1:26" x14ac:dyDescent="0.2">
      <c r="A3059" s="6">
        <v>6117</v>
      </c>
      <c r="B3059" s="7">
        <v>43302</v>
      </c>
      <c r="C3059" s="8">
        <f>DATE(2012,12,31)-496</f>
        <v>40778</v>
      </c>
      <c r="D3059" s="8" t="str">
        <f t="shared" si="57"/>
        <v>2011-08 (август 2011)</v>
      </c>
      <c r="E3059" s="9" t="s">
        <v>21</v>
      </c>
      <c r="F3059" s="7">
        <v>43</v>
      </c>
      <c r="G3059" s="7">
        <v>720.61299999999994</v>
      </c>
      <c r="H3059" s="7">
        <v>7.0000000000000007E-2</v>
      </c>
      <c r="I3059" s="9" t="s">
        <v>22</v>
      </c>
      <c r="J3059" s="10">
        <v>329.67899999999997</v>
      </c>
      <c r="K3059" s="11">
        <v>20.99</v>
      </c>
      <c r="L3059" s="11">
        <v>0.99</v>
      </c>
      <c r="M3059" s="9" t="s">
        <v>1484</v>
      </c>
      <c r="N3059" s="6" t="s">
        <v>974</v>
      </c>
      <c r="O3059" s="6" t="s">
        <v>512</v>
      </c>
      <c r="P3059" s="9" t="s">
        <v>41</v>
      </c>
      <c r="Q3059" s="9" t="s">
        <v>42</v>
      </c>
      <c r="R3059" s="9" t="s">
        <v>43</v>
      </c>
      <c r="S3059" s="7" t="s">
        <v>272</v>
      </c>
      <c r="T3059" s="9" t="s">
        <v>68</v>
      </c>
      <c r="U3059" s="7">
        <v>0.37</v>
      </c>
      <c r="V3059" s="12">
        <f>C3059+9</f>
        <v>40787</v>
      </c>
      <c r="W3059">
        <f>IF(D3059=' Pivot Tables'!$A$4,1,0)</f>
        <v>0</v>
      </c>
      <c r="X3059">
        <f>IF(AND(LEFT(D3059,4)+1=LEFT(' Pivot Tables'!$A$4,4)+0,RIGHT(LEFT(D3059,7),2)=RIGHT(LEFT(' Pivot Tables'!$A$4,7),2)),1,0)</f>
        <v>0</v>
      </c>
      <c r="Y3059" s="6">
        <f>1/COUNTIF(Таблица1[Order ID],Таблица1[[#This Row],[Order ID]])</f>
        <v>0.33333333333333331</v>
      </c>
      <c r="Z3059" s="9">
        <f>1/COUNTIFS(Таблица1[Customer Name],Таблица1[[#This Row],[Customer Name]],Таблица1[Order-Year-Month],Таблица1[[#This Row],[Order-Year-Month]])</f>
        <v>0.33333333333333331</v>
      </c>
    </row>
    <row r="3060" spans="1:26" x14ac:dyDescent="0.2">
      <c r="A3060" s="6">
        <v>6156</v>
      </c>
      <c r="B3060" s="7">
        <v>43588</v>
      </c>
      <c r="C3060" s="8">
        <f>DATE(2012,12,31)-121</f>
        <v>41153</v>
      </c>
      <c r="D3060" s="8" t="str">
        <f t="shared" si="57"/>
        <v>2012-09 (сентябрь 2012)</v>
      </c>
      <c r="E3060" s="9" t="s">
        <v>63</v>
      </c>
      <c r="F3060" s="7">
        <v>16</v>
      </c>
      <c r="G3060" s="7">
        <v>3075.7520000000004</v>
      </c>
      <c r="H3060" s="7">
        <v>0.04</v>
      </c>
      <c r="I3060" s="9" t="s">
        <v>31</v>
      </c>
      <c r="J3060" s="10">
        <v>-572.68539900000019</v>
      </c>
      <c r="K3060" s="11">
        <v>236.97</v>
      </c>
      <c r="L3060" s="11">
        <v>59.24</v>
      </c>
      <c r="M3060" s="9" t="s">
        <v>1512</v>
      </c>
      <c r="N3060" s="6" t="s">
        <v>974</v>
      </c>
      <c r="O3060" s="6" t="s">
        <v>512</v>
      </c>
      <c r="P3060" s="9" t="s">
        <v>60</v>
      </c>
      <c r="Q3060" s="9" t="s">
        <v>49</v>
      </c>
      <c r="R3060" s="9" t="s">
        <v>83</v>
      </c>
      <c r="S3060" s="7" t="s">
        <v>1149</v>
      </c>
      <c r="T3060" s="9" t="s">
        <v>82</v>
      </c>
      <c r="U3060" s="7">
        <v>0.61</v>
      </c>
      <c r="V3060" s="12">
        <f>C3060+3</f>
        <v>41156</v>
      </c>
      <c r="W3060">
        <f>IF(D3060=' Pivot Tables'!$A$4,1,0)</f>
        <v>0</v>
      </c>
      <c r="X3060">
        <f>IF(AND(LEFT(D3060,4)+1=LEFT(' Pivot Tables'!$A$4,4)+0,RIGHT(LEFT(D3060,7),2)=RIGHT(LEFT(' Pivot Tables'!$A$4,7),2)),1,0)</f>
        <v>0</v>
      </c>
      <c r="Y3060" s="6">
        <f>1/COUNTIF(Таблица1[Order ID],Таблица1[[#This Row],[Order ID]])</f>
        <v>0.5</v>
      </c>
      <c r="Z3060" s="9">
        <f>1/COUNTIFS(Таблица1[Customer Name],Таблица1[[#This Row],[Customer Name]],Таблица1[Order-Year-Month],Таблица1[[#This Row],[Order-Year-Month]])</f>
        <v>0.5</v>
      </c>
    </row>
    <row r="3061" spans="1:26" x14ac:dyDescent="0.2">
      <c r="A3061" s="6">
        <v>6208</v>
      </c>
      <c r="B3061" s="7">
        <v>44000</v>
      </c>
      <c r="C3061" s="8">
        <f>DATE(2012,12,31)-88</f>
        <v>41186</v>
      </c>
      <c r="D3061" s="8" t="str">
        <f t="shared" si="57"/>
        <v>2012-10 (октябрь 2012)</v>
      </c>
      <c r="E3061" s="9" t="s">
        <v>45</v>
      </c>
      <c r="F3061" s="7">
        <v>18</v>
      </c>
      <c r="G3061" s="7">
        <v>85.03</v>
      </c>
      <c r="H3061" s="7">
        <v>0.05</v>
      </c>
      <c r="I3061" s="9" t="s">
        <v>22</v>
      </c>
      <c r="J3061" s="10">
        <v>-75.31</v>
      </c>
      <c r="K3061" s="11">
        <v>4.28</v>
      </c>
      <c r="L3061" s="11">
        <v>6.72</v>
      </c>
      <c r="M3061" s="9" t="s">
        <v>1475</v>
      </c>
      <c r="N3061" s="6" t="s">
        <v>974</v>
      </c>
      <c r="O3061" s="6" t="s">
        <v>512</v>
      </c>
      <c r="P3061" s="9" t="s">
        <v>25</v>
      </c>
      <c r="Q3061" s="9" t="s">
        <v>26</v>
      </c>
      <c r="R3061" s="9" t="s">
        <v>61</v>
      </c>
      <c r="S3061" s="7" t="s">
        <v>1007</v>
      </c>
      <c r="T3061" s="9" t="s">
        <v>39</v>
      </c>
      <c r="U3061" s="7">
        <v>0.4</v>
      </c>
      <c r="V3061" s="12">
        <f>C3061+0</f>
        <v>41186</v>
      </c>
      <c r="W3061">
        <f>IF(D3061=' Pivot Tables'!$A$4,1,0)</f>
        <v>0</v>
      </c>
      <c r="X3061">
        <f>IF(AND(LEFT(D3061,4)+1=LEFT(' Pivot Tables'!$A$4,4)+0,RIGHT(LEFT(D3061,7),2)=RIGHT(LEFT(' Pivot Tables'!$A$4,7),2)),1,0)</f>
        <v>0</v>
      </c>
      <c r="Y3061" s="6">
        <f>1/COUNTIF(Таблица1[Order ID],Таблица1[[#This Row],[Order ID]])</f>
        <v>0.25</v>
      </c>
      <c r="Z3061" s="9">
        <f>1/COUNTIFS(Таблица1[Customer Name],Таблица1[[#This Row],[Customer Name]],Таблица1[Order-Year-Month],Таблица1[[#This Row],[Order-Year-Month]])</f>
        <v>0.25</v>
      </c>
    </row>
    <row r="3062" spans="1:26" x14ac:dyDescent="0.2">
      <c r="A3062" s="6">
        <v>6389</v>
      </c>
      <c r="B3062" s="7">
        <v>45381</v>
      </c>
      <c r="C3062" s="8">
        <f>DATE(2012,12,31)-498</f>
        <v>40776</v>
      </c>
      <c r="D3062" s="8" t="str">
        <f t="shared" si="57"/>
        <v>2011-08 (август 2011)</v>
      </c>
      <c r="E3062" s="9" t="s">
        <v>63</v>
      </c>
      <c r="F3062" s="7">
        <v>26</v>
      </c>
      <c r="G3062" s="7">
        <v>164.1</v>
      </c>
      <c r="H3062" s="7">
        <v>0.03</v>
      </c>
      <c r="I3062" s="9" t="s">
        <v>56</v>
      </c>
      <c r="J3062" s="10">
        <v>-41.216000000000001</v>
      </c>
      <c r="K3062" s="11">
        <v>5.74</v>
      </c>
      <c r="L3062" s="11">
        <v>5.01</v>
      </c>
      <c r="M3062" s="9" t="s">
        <v>1552</v>
      </c>
      <c r="N3062" s="6" t="s">
        <v>974</v>
      </c>
      <c r="O3062" s="6" t="s">
        <v>512</v>
      </c>
      <c r="P3062" s="9" t="s">
        <v>25</v>
      </c>
      <c r="Q3062" s="9" t="s">
        <v>26</v>
      </c>
      <c r="R3062" s="9" t="s">
        <v>37</v>
      </c>
      <c r="S3062" s="7" t="s">
        <v>363</v>
      </c>
      <c r="T3062" s="9" t="s">
        <v>39</v>
      </c>
      <c r="U3062" s="7">
        <v>0.39</v>
      </c>
      <c r="V3062" s="12">
        <f>C3062+1</f>
        <v>40777</v>
      </c>
      <c r="W3062">
        <f>IF(D3062=' Pivot Tables'!$A$4,1,0)</f>
        <v>0</v>
      </c>
      <c r="X3062">
        <f>IF(AND(LEFT(D3062,4)+1=LEFT(' Pivot Tables'!$A$4,4)+0,RIGHT(LEFT(D3062,7),2)=RIGHT(LEFT(' Pivot Tables'!$A$4,7),2)),1,0)</f>
        <v>0</v>
      </c>
      <c r="Y3062" s="6">
        <f>1/COUNTIF(Таблица1[Order ID],Таблица1[[#This Row],[Order ID]])</f>
        <v>0.33333333333333331</v>
      </c>
      <c r="Z3062" s="9">
        <f>1/COUNTIFS(Таблица1[Customer Name],Таблица1[[#This Row],[Customer Name]],Таблица1[Order-Year-Month],Таблица1[[#This Row],[Order-Year-Month]])</f>
        <v>0.33333333333333331</v>
      </c>
    </row>
    <row r="3063" spans="1:26" x14ac:dyDescent="0.2">
      <c r="A3063" s="6">
        <v>6390</v>
      </c>
      <c r="B3063" s="7">
        <v>45381</v>
      </c>
      <c r="C3063" s="8">
        <f>DATE(2012,12,31)-498</f>
        <v>40776</v>
      </c>
      <c r="D3063" s="8" t="str">
        <f t="shared" si="57"/>
        <v>2011-08 (август 2011)</v>
      </c>
      <c r="E3063" s="9" t="s">
        <v>63</v>
      </c>
      <c r="F3063" s="7">
        <v>23</v>
      </c>
      <c r="G3063" s="7">
        <v>1316.87</v>
      </c>
      <c r="H3063" s="7">
        <v>0.02</v>
      </c>
      <c r="I3063" s="9" t="s">
        <v>56</v>
      </c>
      <c r="J3063" s="10">
        <v>204.7</v>
      </c>
      <c r="K3063" s="11">
        <v>53.98</v>
      </c>
      <c r="L3063" s="11">
        <v>5.5</v>
      </c>
      <c r="M3063" s="9" t="s">
        <v>1552</v>
      </c>
      <c r="N3063" s="6" t="s">
        <v>974</v>
      </c>
      <c r="O3063" s="6" t="s">
        <v>512</v>
      </c>
      <c r="P3063" s="9" t="s">
        <v>25</v>
      </c>
      <c r="Q3063" s="9" t="s">
        <v>42</v>
      </c>
      <c r="R3063" s="9" t="s">
        <v>70</v>
      </c>
      <c r="S3063" s="7" t="s">
        <v>958</v>
      </c>
      <c r="T3063" s="9" t="s">
        <v>39</v>
      </c>
      <c r="U3063" s="7">
        <v>0.62</v>
      </c>
      <c r="V3063" s="12">
        <f>C3063+2</f>
        <v>40778</v>
      </c>
      <c r="W3063">
        <f>IF(D3063=' Pivot Tables'!$A$4,1,0)</f>
        <v>0</v>
      </c>
      <c r="X3063">
        <f>IF(AND(LEFT(D3063,4)+1=LEFT(' Pivot Tables'!$A$4,4)+0,RIGHT(LEFT(D3063,7),2)=RIGHT(LEFT(' Pivot Tables'!$A$4,7),2)),1,0)</f>
        <v>0</v>
      </c>
      <c r="Y3063" s="6">
        <f>1/COUNTIF(Таблица1[Order ID],Таблица1[[#This Row],[Order ID]])</f>
        <v>0.33333333333333331</v>
      </c>
      <c r="Z3063" s="9">
        <f>1/COUNTIFS(Таблица1[Customer Name],Таблица1[[#This Row],[Customer Name]],Таблица1[Order-Year-Month],Таблица1[[#This Row],[Order-Year-Month]])</f>
        <v>0.33333333333333331</v>
      </c>
    </row>
    <row r="3064" spans="1:26" x14ac:dyDescent="0.2">
      <c r="A3064" s="6">
        <v>6431</v>
      </c>
      <c r="B3064" s="7">
        <v>45728</v>
      </c>
      <c r="C3064" s="8">
        <f>DATE(2012,12,31)-924</f>
        <v>40350</v>
      </c>
      <c r="D3064" s="8" t="str">
        <f t="shared" si="57"/>
        <v>2010-06 (июнь 2010)</v>
      </c>
      <c r="E3064" s="9" t="s">
        <v>30</v>
      </c>
      <c r="F3064" s="7">
        <v>11</v>
      </c>
      <c r="G3064" s="7">
        <v>38.24</v>
      </c>
      <c r="H3064" s="7">
        <v>0.02</v>
      </c>
      <c r="I3064" s="9" t="s">
        <v>22</v>
      </c>
      <c r="J3064" s="10">
        <v>-37.549999999999997</v>
      </c>
      <c r="K3064" s="11">
        <v>2.88</v>
      </c>
      <c r="L3064" s="11">
        <v>5.33</v>
      </c>
      <c r="M3064" s="9" t="s">
        <v>1456</v>
      </c>
      <c r="N3064" s="6" t="s">
        <v>974</v>
      </c>
      <c r="O3064" s="6" t="s">
        <v>512</v>
      </c>
      <c r="P3064" s="9" t="s">
        <v>25</v>
      </c>
      <c r="Q3064" s="9" t="s">
        <v>26</v>
      </c>
      <c r="R3064" s="9" t="s">
        <v>88</v>
      </c>
      <c r="S3064" s="7" t="s">
        <v>1589</v>
      </c>
      <c r="T3064" s="9" t="s">
        <v>39</v>
      </c>
      <c r="U3064" s="7">
        <v>0.36</v>
      </c>
      <c r="V3064" s="12">
        <f>C3064+1</f>
        <v>40351</v>
      </c>
      <c r="W3064">
        <f>IF(D3064=' Pivot Tables'!$A$4,1,0)</f>
        <v>0</v>
      </c>
      <c r="X3064">
        <f>IF(AND(LEFT(D3064,4)+1=LEFT(' Pivot Tables'!$A$4,4)+0,RIGHT(LEFT(D3064,7),2)=RIGHT(LEFT(' Pivot Tables'!$A$4,7),2)),1,0)</f>
        <v>0</v>
      </c>
      <c r="Y3064" s="6">
        <f>1/COUNTIF(Таблица1[Order ID],Таблица1[[#This Row],[Order ID]])</f>
        <v>0.5</v>
      </c>
      <c r="Z3064" s="9">
        <f>1/COUNTIFS(Таблица1[Customer Name],Таблица1[[#This Row],[Customer Name]],Таблица1[Order-Year-Month],Таблица1[[#This Row],[Order-Year-Month]])</f>
        <v>0.25</v>
      </c>
    </row>
    <row r="3065" spans="1:26" x14ac:dyDescent="0.2">
      <c r="A3065" s="6">
        <v>6456</v>
      </c>
      <c r="B3065" s="7">
        <v>45984</v>
      </c>
      <c r="C3065" s="8">
        <f>DATE(2012,12,31)-339</f>
        <v>40935</v>
      </c>
      <c r="D3065" s="8" t="str">
        <f t="shared" si="57"/>
        <v>2012-01 (январь 2012)</v>
      </c>
      <c r="E3065" s="9" t="s">
        <v>63</v>
      </c>
      <c r="F3065" s="7">
        <v>27</v>
      </c>
      <c r="G3065" s="7">
        <v>80.33</v>
      </c>
      <c r="H3065" s="7">
        <v>0.01</v>
      </c>
      <c r="I3065" s="9" t="s">
        <v>22</v>
      </c>
      <c r="J3065" s="10">
        <v>2.4900000000000002</v>
      </c>
      <c r="K3065" s="11">
        <v>2.94</v>
      </c>
      <c r="L3065" s="11">
        <v>0.96</v>
      </c>
      <c r="M3065" s="9" t="s">
        <v>1406</v>
      </c>
      <c r="N3065" s="6" t="s">
        <v>974</v>
      </c>
      <c r="O3065" s="6" t="s">
        <v>512</v>
      </c>
      <c r="P3065" s="9" t="s">
        <v>41</v>
      </c>
      <c r="Q3065" s="9" t="s">
        <v>26</v>
      </c>
      <c r="R3065" s="9" t="s">
        <v>95</v>
      </c>
      <c r="S3065" s="7" t="s">
        <v>486</v>
      </c>
      <c r="T3065" s="9" t="s">
        <v>68</v>
      </c>
      <c r="U3065" s="7">
        <v>0.57999999999999996</v>
      </c>
      <c r="V3065" s="12">
        <f>C3065+2</f>
        <v>40937</v>
      </c>
      <c r="W3065">
        <f>IF(D3065=' Pivot Tables'!$A$4,1,0)</f>
        <v>0</v>
      </c>
      <c r="X3065">
        <f>IF(AND(LEFT(D3065,4)+1=LEFT(' Pivot Tables'!$A$4,4)+0,RIGHT(LEFT(D3065,7),2)=RIGHT(LEFT(' Pivot Tables'!$A$4,7),2)),1,0)</f>
        <v>0</v>
      </c>
      <c r="Y3065" s="6">
        <f>1/COUNTIF(Таблица1[Order ID],Таблица1[[#This Row],[Order ID]])</f>
        <v>1</v>
      </c>
      <c r="Z3065" s="9">
        <f>1/COUNTIFS(Таблица1[Customer Name],Таблица1[[#This Row],[Customer Name]],Таблица1[Order-Year-Month],Таблица1[[#This Row],[Order-Year-Month]])</f>
        <v>1</v>
      </c>
    </row>
    <row r="3066" spans="1:26" x14ac:dyDescent="0.2">
      <c r="A3066" s="6">
        <v>6459</v>
      </c>
      <c r="B3066" s="7">
        <v>45988</v>
      </c>
      <c r="C3066" s="8">
        <f>DATE(2012,12,31)-1217</f>
        <v>40057</v>
      </c>
      <c r="D3066" s="8" t="str">
        <f t="shared" si="57"/>
        <v>2009-09 (сентябрь 2009)</v>
      </c>
      <c r="E3066" s="9" t="s">
        <v>78</v>
      </c>
      <c r="F3066" s="7">
        <v>43</v>
      </c>
      <c r="G3066" s="7">
        <v>3832.24</v>
      </c>
      <c r="H3066" s="7">
        <v>0.09</v>
      </c>
      <c r="I3066" s="9" t="s">
        <v>56</v>
      </c>
      <c r="J3066" s="10">
        <v>-1570.32</v>
      </c>
      <c r="K3066" s="11">
        <v>90.98</v>
      </c>
      <c r="L3066" s="11">
        <v>56.2</v>
      </c>
      <c r="M3066" s="9" t="s">
        <v>1590</v>
      </c>
      <c r="N3066" s="6" t="s">
        <v>974</v>
      </c>
      <c r="O3066" s="6" t="s">
        <v>512</v>
      </c>
      <c r="P3066" s="9" t="s">
        <v>60</v>
      </c>
      <c r="Q3066" s="9" t="s">
        <v>49</v>
      </c>
      <c r="R3066" s="9" t="s">
        <v>50</v>
      </c>
      <c r="S3066" s="7" t="s">
        <v>574</v>
      </c>
      <c r="T3066" s="9" t="s">
        <v>48</v>
      </c>
      <c r="U3066" s="7">
        <v>0.74</v>
      </c>
      <c r="V3066" s="12">
        <f>C3066+1</f>
        <v>40058</v>
      </c>
      <c r="W3066">
        <f>IF(D3066=' Pivot Tables'!$A$4,1,0)</f>
        <v>0</v>
      </c>
      <c r="X3066">
        <f>IF(AND(LEFT(D3066,4)+1=LEFT(' Pivot Tables'!$A$4,4)+0,RIGHT(LEFT(D3066,7),2)=RIGHT(LEFT(' Pivot Tables'!$A$4,7),2)),1,0)</f>
        <v>0</v>
      </c>
      <c r="Y3066" s="6">
        <f>1/COUNTIF(Таблица1[Order ID],Таблица1[[#This Row],[Order ID]])</f>
        <v>1</v>
      </c>
      <c r="Z3066" s="9">
        <f>1/COUNTIFS(Таблица1[Customer Name],Таблица1[[#This Row],[Customer Name]],Таблица1[Order-Year-Month],Таблица1[[#This Row],[Order-Year-Month]])</f>
        <v>0.5</v>
      </c>
    </row>
    <row r="3067" spans="1:26" x14ac:dyDescent="0.2">
      <c r="A3067" s="6">
        <v>6489</v>
      </c>
      <c r="B3067" s="7">
        <v>46177</v>
      </c>
      <c r="C3067" s="8">
        <f>DATE(2012,12,31)-757</f>
        <v>40517</v>
      </c>
      <c r="D3067" s="8" t="str">
        <f t="shared" si="57"/>
        <v>2010-12 (декабрь 2010)</v>
      </c>
      <c r="E3067" s="9" t="s">
        <v>21</v>
      </c>
      <c r="F3067" s="7">
        <v>48</v>
      </c>
      <c r="G3067" s="7">
        <v>9708.64</v>
      </c>
      <c r="H3067" s="7">
        <v>0.1</v>
      </c>
      <c r="I3067" s="9" t="s">
        <v>31</v>
      </c>
      <c r="J3067" s="10">
        <v>-528.65312500000005</v>
      </c>
      <c r="K3067" s="11">
        <v>218.75</v>
      </c>
      <c r="L3067" s="11">
        <v>69.64</v>
      </c>
      <c r="M3067" s="9" t="s">
        <v>815</v>
      </c>
      <c r="N3067" s="6" t="s">
        <v>974</v>
      </c>
      <c r="O3067" s="6" t="s">
        <v>512</v>
      </c>
      <c r="P3067" s="9" t="s">
        <v>41</v>
      </c>
      <c r="Q3067" s="9" t="s">
        <v>49</v>
      </c>
      <c r="R3067" s="9" t="s">
        <v>83</v>
      </c>
      <c r="S3067" s="7" t="s">
        <v>254</v>
      </c>
      <c r="T3067" s="9" t="s">
        <v>82</v>
      </c>
      <c r="U3067" s="7">
        <v>0.77</v>
      </c>
      <c r="V3067" s="12">
        <f>C3067+2</f>
        <v>40519</v>
      </c>
      <c r="W3067">
        <f>IF(D3067=' Pivot Tables'!$A$4,1,0)</f>
        <v>0</v>
      </c>
      <c r="X3067">
        <f>IF(AND(LEFT(D3067,4)+1=LEFT(' Pivot Tables'!$A$4,4)+0,RIGHT(LEFT(D3067,7),2)=RIGHT(LEFT(' Pivot Tables'!$A$4,7),2)),1,0)</f>
        <v>0</v>
      </c>
      <c r="Y3067" s="6">
        <f>1/COUNTIF(Таблица1[Order ID],Таблица1[[#This Row],[Order ID]])</f>
        <v>0.33333333333333331</v>
      </c>
      <c r="Z3067" s="9">
        <f>1/COUNTIFS(Таблица1[Customer Name],Таблица1[[#This Row],[Customer Name]],Таблица1[Order-Year-Month],Таблица1[[#This Row],[Order-Year-Month]])</f>
        <v>0.33333333333333331</v>
      </c>
    </row>
    <row r="3068" spans="1:26" x14ac:dyDescent="0.2">
      <c r="A3068" s="6">
        <v>6620</v>
      </c>
      <c r="B3068" s="7">
        <v>47106</v>
      </c>
      <c r="C3068" s="8">
        <f>DATE(2012,12,31)-433</f>
        <v>40841</v>
      </c>
      <c r="D3068" s="8" t="str">
        <f t="shared" si="57"/>
        <v>2011-10 (октябрь 2011)</v>
      </c>
      <c r="E3068" s="9" t="s">
        <v>63</v>
      </c>
      <c r="F3068" s="7">
        <v>40</v>
      </c>
      <c r="G3068" s="7">
        <v>6618.4570000000003</v>
      </c>
      <c r="H3068" s="7">
        <v>0.1</v>
      </c>
      <c r="I3068" s="9" t="s">
        <v>22</v>
      </c>
      <c r="J3068" s="10">
        <v>1489.9590000000001</v>
      </c>
      <c r="K3068" s="11">
        <v>205.99</v>
      </c>
      <c r="L3068" s="11">
        <v>5.99</v>
      </c>
      <c r="M3068" s="9" t="s">
        <v>1576</v>
      </c>
      <c r="N3068" s="6" t="s">
        <v>974</v>
      </c>
      <c r="O3068" s="6" t="s">
        <v>512</v>
      </c>
      <c r="P3068" s="9" t="s">
        <v>60</v>
      </c>
      <c r="Q3068" s="9" t="s">
        <v>42</v>
      </c>
      <c r="R3068" s="9" t="s">
        <v>43</v>
      </c>
      <c r="S3068" s="7" t="s">
        <v>714</v>
      </c>
      <c r="T3068" s="9" t="s">
        <v>39</v>
      </c>
      <c r="U3068" s="7">
        <v>0.59</v>
      </c>
      <c r="V3068" s="12">
        <f>C3068+2</f>
        <v>40843</v>
      </c>
      <c r="W3068">
        <f>IF(D3068=' Pivot Tables'!$A$4,1,0)</f>
        <v>0</v>
      </c>
      <c r="X3068">
        <f>IF(AND(LEFT(D3068,4)+1=LEFT(' Pivot Tables'!$A$4,4)+0,RIGHT(LEFT(D3068,7),2)=RIGHT(LEFT(' Pivot Tables'!$A$4,7),2)),1,0)</f>
        <v>0</v>
      </c>
      <c r="Y3068" s="6">
        <f>1/COUNTIF(Таблица1[Order ID],Таблица1[[#This Row],[Order ID]])</f>
        <v>0.5</v>
      </c>
      <c r="Z3068" s="9">
        <f>1/COUNTIFS(Таблица1[Customer Name],Таблица1[[#This Row],[Customer Name]],Таблица1[Order-Year-Month],Таблица1[[#This Row],[Order-Year-Month]])</f>
        <v>0.5</v>
      </c>
    </row>
    <row r="3069" spans="1:26" x14ac:dyDescent="0.2">
      <c r="A3069" s="6">
        <v>6630</v>
      </c>
      <c r="B3069" s="7">
        <v>47169</v>
      </c>
      <c r="C3069" s="8">
        <f>DATE(2012,12,31)-1034</f>
        <v>40240</v>
      </c>
      <c r="D3069" s="8" t="str">
        <f t="shared" si="57"/>
        <v>2010-03 (март 2010)</v>
      </c>
      <c r="E3069" s="9" t="s">
        <v>63</v>
      </c>
      <c r="F3069" s="7">
        <v>15</v>
      </c>
      <c r="G3069" s="7">
        <v>803.26699999999994</v>
      </c>
      <c r="H3069" s="7">
        <v>0.06</v>
      </c>
      <c r="I3069" s="9" t="s">
        <v>22</v>
      </c>
      <c r="J3069" s="10">
        <v>-19.965</v>
      </c>
      <c r="K3069" s="11">
        <v>65.989999999999995</v>
      </c>
      <c r="L3069" s="11">
        <v>5.26</v>
      </c>
      <c r="M3069" s="9" t="s">
        <v>1591</v>
      </c>
      <c r="N3069" s="6" t="s">
        <v>974</v>
      </c>
      <c r="O3069" s="6" t="s">
        <v>512</v>
      </c>
      <c r="P3069" s="9" t="s">
        <v>60</v>
      </c>
      <c r="Q3069" s="9" t="s">
        <v>42</v>
      </c>
      <c r="R3069" s="9" t="s">
        <v>43</v>
      </c>
      <c r="S3069" s="7" t="s">
        <v>390</v>
      </c>
      <c r="T3069" s="9" t="s">
        <v>39</v>
      </c>
      <c r="U3069" s="7">
        <v>0.56000000000000005</v>
      </c>
      <c r="V3069" s="12">
        <f>C3069+1</f>
        <v>40241</v>
      </c>
      <c r="W3069">
        <f>IF(D3069=' Pivot Tables'!$A$4,1,0)</f>
        <v>0</v>
      </c>
      <c r="X3069">
        <f>IF(AND(LEFT(D3069,4)+1=LEFT(' Pivot Tables'!$A$4,4)+0,RIGHT(LEFT(D3069,7),2)=RIGHT(LEFT(' Pivot Tables'!$A$4,7),2)),1,0)</f>
        <v>0</v>
      </c>
      <c r="Y3069" s="6">
        <f>1/COUNTIF(Таблица1[Order ID],Таблица1[[#This Row],[Order ID]])</f>
        <v>1</v>
      </c>
      <c r="Z3069" s="9">
        <f>1/COUNTIFS(Таблица1[Customer Name],Таблица1[[#This Row],[Customer Name]],Таблица1[Order-Year-Month],Таблица1[[#This Row],[Order-Year-Month]])</f>
        <v>1</v>
      </c>
    </row>
    <row r="3070" spans="1:26" x14ac:dyDescent="0.2">
      <c r="A3070" s="6">
        <v>6751</v>
      </c>
      <c r="B3070" s="7">
        <v>48071</v>
      </c>
      <c r="C3070" s="8">
        <f>DATE(2012,12,31)-669</f>
        <v>40605</v>
      </c>
      <c r="D3070" s="8" t="str">
        <f t="shared" si="57"/>
        <v>2011-03 (март 2011)</v>
      </c>
      <c r="E3070" s="9" t="s">
        <v>21</v>
      </c>
      <c r="F3070" s="7">
        <v>1</v>
      </c>
      <c r="G3070" s="7">
        <v>22.74</v>
      </c>
      <c r="H3070" s="7">
        <v>0.03</v>
      </c>
      <c r="I3070" s="9" t="s">
        <v>56</v>
      </c>
      <c r="J3070" s="10">
        <v>-13.59</v>
      </c>
      <c r="K3070" s="11">
        <v>12.64</v>
      </c>
      <c r="L3070" s="11">
        <v>4.9800000000000004</v>
      </c>
      <c r="M3070" s="9" t="s">
        <v>1551</v>
      </c>
      <c r="N3070" s="6" t="s">
        <v>974</v>
      </c>
      <c r="O3070" s="6" t="s">
        <v>512</v>
      </c>
      <c r="P3070" s="9" t="s">
        <v>60</v>
      </c>
      <c r="Q3070" s="9" t="s">
        <v>49</v>
      </c>
      <c r="R3070" s="9" t="s">
        <v>50</v>
      </c>
      <c r="S3070" s="7" t="s">
        <v>997</v>
      </c>
      <c r="T3070" s="9" t="s">
        <v>52</v>
      </c>
      <c r="U3070" s="7">
        <v>0.48</v>
      </c>
      <c r="V3070" s="12">
        <f>C3070+9</f>
        <v>40614</v>
      </c>
      <c r="W3070">
        <f>IF(D3070=' Pivot Tables'!$A$4,1,0)</f>
        <v>0</v>
      </c>
      <c r="X3070">
        <f>IF(AND(LEFT(D3070,4)+1=LEFT(' Pivot Tables'!$A$4,4)+0,RIGHT(LEFT(D3070,7),2)=RIGHT(LEFT(' Pivot Tables'!$A$4,7),2)),1,0)</f>
        <v>0</v>
      </c>
      <c r="Y3070" s="6">
        <f>1/COUNTIF(Таблица1[Order ID],Таблица1[[#This Row],[Order ID]])</f>
        <v>1</v>
      </c>
      <c r="Z3070" s="9">
        <f>1/COUNTIFS(Таблица1[Customer Name],Таблица1[[#This Row],[Customer Name]],Таблица1[Order-Year-Month],Таблица1[[#This Row],[Order-Year-Month]])</f>
        <v>1</v>
      </c>
    </row>
    <row r="3071" spans="1:26" x14ac:dyDescent="0.2">
      <c r="A3071" s="6">
        <v>6910</v>
      </c>
      <c r="B3071" s="7">
        <v>49312</v>
      </c>
      <c r="C3071" s="8">
        <f>DATE(2012,12,31)-679</f>
        <v>40595</v>
      </c>
      <c r="D3071" s="8" t="str">
        <f t="shared" si="57"/>
        <v>2011-02 (февраль 2011)</v>
      </c>
      <c r="E3071" s="9" t="s">
        <v>78</v>
      </c>
      <c r="F3071" s="7">
        <v>19</v>
      </c>
      <c r="G3071" s="7">
        <v>1882.18</v>
      </c>
      <c r="H3071" s="7">
        <v>0.09</v>
      </c>
      <c r="I3071" s="9" t="s">
        <v>56</v>
      </c>
      <c r="J3071" s="10">
        <v>336.26</v>
      </c>
      <c r="K3071" s="11">
        <v>107.53</v>
      </c>
      <c r="L3071" s="11">
        <v>5.81</v>
      </c>
      <c r="M3071" s="9" t="s">
        <v>1533</v>
      </c>
      <c r="N3071" s="6" t="s">
        <v>974</v>
      </c>
      <c r="O3071" s="6" t="s">
        <v>512</v>
      </c>
      <c r="P3071" s="9" t="s">
        <v>41</v>
      </c>
      <c r="Q3071" s="9" t="s">
        <v>49</v>
      </c>
      <c r="R3071" s="9" t="s">
        <v>50</v>
      </c>
      <c r="S3071" s="7" t="s">
        <v>473</v>
      </c>
      <c r="T3071" s="9" t="s">
        <v>48</v>
      </c>
      <c r="U3071" s="7">
        <v>0.65</v>
      </c>
      <c r="V3071" s="12">
        <f>C3071+2</f>
        <v>40597</v>
      </c>
      <c r="W3071">
        <f>IF(D3071=' Pivot Tables'!$A$4,1,0)</f>
        <v>0</v>
      </c>
      <c r="X3071">
        <f>IF(AND(LEFT(D3071,4)+1=LEFT(' Pivot Tables'!$A$4,4)+0,RIGHT(LEFT(D3071,7),2)=RIGHT(LEFT(' Pivot Tables'!$A$4,7),2)),1,0)</f>
        <v>0</v>
      </c>
      <c r="Y3071" s="6">
        <f>1/COUNTIF(Таблица1[Order ID],Таблица1[[#This Row],[Order ID]])</f>
        <v>0.5</v>
      </c>
      <c r="Z3071" s="9">
        <f>1/COUNTIFS(Таблица1[Customer Name],Таблица1[[#This Row],[Customer Name]],Таблица1[Order-Year-Month],Таблица1[[#This Row],[Order-Year-Month]])</f>
        <v>0.5</v>
      </c>
    </row>
    <row r="3072" spans="1:26" x14ac:dyDescent="0.2">
      <c r="A3072" s="6">
        <v>6930</v>
      </c>
      <c r="B3072" s="7">
        <v>49472</v>
      </c>
      <c r="C3072" s="8">
        <f>DATE(2012,12,31)-899</f>
        <v>40375</v>
      </c>
      <c r="D3072" s="8" t="str">
        <f t="shared" si="57"/>
        <v>2010-07 (июль 2010)</v>
      </c>
      <c r="E3072" s="9" t="s">
        <v>21</v>
      </c>
      <c r="F3072" s="7">
        <v>23</v>
      </c>
      <c r="G3072" s="7">
        <v>103.2</v>
      </c>
      <c r="H3072" s="7">
        <v>0.02</v>
      </c>
      <c r="I3072" s="9" t="s">
        <v>22</v>
      </c>
      <c r="J3072" s="10">
        <v>17.89</v>
      </c>
      <c r="K3072" s="11">
        <v>4.28</v>
      </c>
      <c r="L3072" s="11">
        <v>0.94</v>
      </c>
      <c r="M3072" s="9" t="s">
        <v>1555</v>
      </c>
      <c r="N3072" s="6" t="s">
        <v>974</v>
      </c>
      <c r="O3072" s="6" t="s">
        <v>512</v>
      </c>
      <c r="P3072" s="9" t="s">
        <v>25</v>
      </c>
      <c r="Q3072" s="9" t="s">
        <v>26</v>
      </c>
      <c r="R3072" s="9" t="s">
        <v>95</v>
      </c>
      <c r="S3072" s="7" t="s">
        <v>540</v>
      </c>
      <c r="T3072" s="9" t="s">
        <v>68</v>
      </c>
      <c r="U3072" s="7">
        <v>0.56000000000000005</v>
      </c>
      <c r="V3072" s="12">
        <f>C3072+5</f>
        <v>40380</v>
      </c>
      <c r="W3072">
        <f>IF(D3072=' Pivot Tables'!$A$4,1,0)</f>
        <v>0</v>
      </c>
      <c r="X3072">
        <f>IF(AND(LEFT(D3072,4)+1=LEFT(' Pivot Tables'!$A$4,4)+0,RIGHT(LEFT(D3072,7),2)=RIGHT(LEFT(' Pivot Tables'!$A$4,7),2)),1,0)</f>
        <v>0</v>
      </c>
      <c r="Y3072" s="6">
        <f>1/COUNTIF(Таблица1[Order ID],Таблица1[[#This Row],[Order ID]])</f>
        <v>0.33333333333333331</v>
      </c>
      <c r="Z3072" s="9">
        <f>1/COUNTIFS(Таблица1[Customer Name],Таблица1[[#This Row],[Customer Name]],Таблица1[Order-Year-Month],Таблица1[[#This Row],[Order-Year-Month]])</f>
        <v>0.33333333333333331</v>
      </c>
    </row>
    <row r="3073" spans="1:26" x14ac:dyDescent="0.2">
      <c r="A3073" s="6">
        <v>6980</v>
      </c>
      <c r="B3073" s="7">
        <v>49891</v>
      </c>
      <c r="C3073" s="8">
        <f>DATE(2012,12,31)-1206</f>
        <v>40068</v>
      </c>
      <c r="D3073" s="8" t="str">
        <f t="shared" si="57"/>
        <v>2009-09 (сентябрь 2009)</v>
      </c>
      <c r="E3073" s="9" t="s">
        <v>45</v>
      </c>
      <c r="F3073" s="7">
        <v>19</v>
      </c>
      <c r="G3073" s="7">
        <v>88.4</v>
      </c>
      <c r="H3073" s="7">
        <v>0.08</v>
      </c>
      <c r="I3073" s="9" t="s">
        <v>22</v>
      </c>
      <c r="J3073" s="10">
        <v>35.5</v>
      </c>
      <c r="K3073" s="11">
        <v>4.91</v>
      </c>
      <c r="L3073" s="11">
        <v>0.5</v>
      </c>
      <c r="M3073" s="9" t="s">
        <v>1556</v>
      </c>
      <c r="N3073" s="6" t="s">
        <v>974</v>
      </c>
      <c r="O3073" s="6" t="s">
        <v>512</v>
      </c>
      <c r="P3073" s="9" t="s">
        <v>33</v>
      </c>
      <c r="Q3073" s="9" t="s">
        <v>26</v>
      </c>
      <c r="R3073" s="9" t="s">
        <v>88</v>
      </c>
      <c r="S3073" s="7" t="s">
        <v>1370</v>
      </c>
      <c r="T3073" s="9" t="s">
        <v>39</v>
      </c>
      <c r="U3073" s="7">
        <v>0.36</v>
      </c>
      <c r="V3073" s="12">
        <f>C3073+0</f>
        <v>40068</v>
      </c>
      <c r="W3073">
        <f>IF(D3073=' Pivot Tables'!$A$4,1,0)</f>
        <v>0</v>
      </c>
      <c r="X3073">
        <f>IF(AND(LEFT(D3073,4)+1=LEFT(' Pivot Tables'!$A$4,4)+0,RIGHT(LEFT(D3073,7),2)=RIGHT(LEFT(' Pivot Tables'!$A$4,7),2)),1,0)</f>
        <v>0</v>
      </c>
      <c r="Y3073" s="6">
        <f>1/COUNTIF(Таблица1[Order ID],Таблица1[[#This Row],[Order ID]])</f>
        <v>0.5</v>
      </c>
      <c r="Z3073" s="9">
        <f>1/COUNTIFS(Таблица1[Customer Name],Таблица1[[#This Row],[Customer Name]],Таблица1[Order-Year-Month],Таблица1[[#This Row],[Order-Year-Month]])</f>
        <v>0.5</v>
      </c>
    </row>
    <row r="3074" spans="1:26" x14ac:dyDescent="0.2">
      <c r="A3074" s="6">
        <v>7041</v>
      </c>
      <c r="B3074" s="7">
        <v>50276</v>
      </c>
      <c r="C3074" s="8">
        <f>DATE(2012,12,31)-686</f>
        <v>40588</v>
      </c>
      <c r="D3074" s="8" t="str">
        <f t="shared" si="57"/>
        <v>2011-02 (февраль 2011)</v>
      </c>
      <c r="E3074" s="9" t="s">
        <v>45</v>
      </c>
      <c r="F3074" s="7">
        <v>34</v>
      </c>
      <c r="G3074" s="7">
        <v>390.35</v>
      </c>
      <c r="H3074" s="7">
        <v>0.05</v>
      </c>
      <c r="I3074" s="9" t="s">
        <v>22</v>
      </c>
      <c r="J3074" s="10">
        <v>71.03</v>
      </c>
      <c r="K3074" s="11">
        <v>11.55</v>
      </c>
      <c r="L3074" s="11">
        <v>2.36</v>
      </c>
      <c r="M3074" s="9" t="s">
        <v>1564</v>
      </c>
      <c r="N3074" s="6" t="s">
        <v>974</v>
      </c>
      <c r="O3074" s="6" t="s">
        <v>512</v>
      </c>
      <c r="P3074" s="9" t="s">
        <v>25</v>
      </c>
      <c r="Q3074" s="9" t="s">
        <v>26</v>
      </c>
      <c r="R3074" s="9" t="s">
        <v>95</v>
      </c>
      <c r="S3074" s="7" t="s">
        <v>990</v>
      </c>
      <c r="T3074" s="9" t="s">
        <v>68</v>
      </c>
      <c r="U3074" s="7">
        <v>0.55000000000000004</v>
      </c>
      <c r="V3074" s="12">
        <f>C3074+1</f>
        <v>40589</v>
      </c>
      <c r="W3074">
        <f>IF(D3074=' Pivot Tables'!$A$4,1,0)</f>
        <v>0</v>
      </c>
      <c r="X3074">
        <f>IF(AND(LEFT(D3074,4)+1=LEFT(' Pivot Tables'!$A$4,4)+0,RIGHT(LEFT(D3074,7),2)=RIGHT(LEFT(' Pivot Tables'!$A$4,7),2)),1,0)</f>
        <v>0</v>
      </c>
      <c r="Y3074" s="6">
        <f>1/COUNTIF(Таблица1[Order ID],Таблица1[[#This Row],[Order ID]])</f>
        <v>1</v>
      </c>
      <c r="Z3074" s="9">
        <f>1/COUNTIFS(Таблица1[Customer Name],Таблица1[[#This Row],[Customer Name]],Таблица1[Order-Year-Month],Таблица1[[#This Row],[Order-Year-Month]])</f>
        <v>1</v>
      </c>
    </row>
    <row r="3075" spans="1:26" x14ac:dyDescent="0.2">
      <c r="A3075" s="6">
        <v>7162</v>
      </c>
      <c r="B3075" s="7">
        <v>51107</v>
      </c>
      <c r="C3075" s="8">
        <f>DATE(2012,12,31)-97</f>
        <v>41177</v>
      </c>
      <c r="D3075" s="8" t="str">
        <f t="shared" ref="D3075:D3138" si="58">TEXT(C3075,"гггг-ММ (ММММ гггг)")</f>
        <v>2012-09 (сентябрь 2012)</v>
      </c>
      <c r="E3075" s="9" t="s">
        <v>45</v>
      </c>
      <c r="F3075" s="7">
        <v>36</v>
      </c>
      <c r="G3075" s="7">
        <v>772.67</v>
      </c>
      <c r="H3075" s="7">
        <v>0</v>
      </c>
      <c r="I3075" s="9" t="s">
        <v>22</v>
      </c>
      <c r="J3075" s="10">
        <v>286.86650000000003</v>
      </c>
      <c r="K3075" s="11">
        <v>21.38</v>
      </c>
      <c r="L3075" s="11">
        <v>2.99</v>
      </c>
      <c r="M3075" s="9" t="s">
        <v>1592</v>
      </c>
      <c r="N3075" s="6" t="s">
        <v>974</v>
      </c>
      <c r="O3075" s="6" t="s">
        <v>512</v>
      </c>
      <c r="P3075" s="9" t="s">
        <v>41</v>
      </c>
      <c r="Q3075" s="9" t="s">
        <v>26</v>
      </c>
      <c r="R3075" s="9" t="s">
        <v>37</v>
      </c>
      <c r="S3075" s="7" t="s">
        <v>1541</v>
      </c>
      <c r="T3075" s="9" t="s">
        <v>39</v>
      </c>
      <c r="U3075" s="7">
        <v>0.37</v>
      </c>
      <c r="V3075" s="12">
        <f>C3075+1</f>
        <v>41178</v>
      </c>
      <c r="W3075">
        <f>IF(D3075=' Pivot Tables'!$A$4,1,0)</f>
        <v>0</v>
      </c>
      <c r="X3075">
        <f>IF(AND(LEFT(D3075,4)+1=LEFT(' Pivot Tables'!$A$4,4)+0,RIGHT(LEFT(D3075,7),2)=RIGHT(LEFT(' Pivot Tables'!$A$4,7),2)),1,0)</f>
        <v>0</v>
      </c>
      <c r="Y3075" s="6">
        <f>1/COUNTIF(Таблица1[Order ID],Таблица1[[#This Row],[Order ID]])</f>
        <v>1</v>
      </c>
      <c r="Z3075" s="9">
        <f>1/COUNTIFS(Таблица1[Customer Name],Таблица1[[#This Row],[Customer Name]],Таблица1[Order-Year-Month],Таблица1[[#This Row],[Order-Year-Month]])</f>
        <v>1</v>
      </c>
    </row>
    <row r="3076" spans="1:26" x14ac:dyDescent="0.2">
      <c r="A3076" s="6">
        <v>7260</v>
      </c>
      <c r="B3076" s="7">
        <v>51783</v>
      </c>
      <c r="C3076" s="8">
        <f>DATE(2012,12,31)-416</f>
        <v>40858</v>
      </c>
      <c r="D3076" s="8" t="str">
        <f t="shared" si="58"/>
        <v>2011-11 (ноябрь 2011)</v>
      </c>
      <c r="E3076" s="9" t="s">
        <v>63</v>
      </c>
      <c r="F3076" s="7">
        <v>10</v>
      </c>
      <c r="G3076" s="7">
        <v>1875.18</v>
      </c>
      <c r="H3076" s="7">
        <v>0.01</v>
      </c>
      <c r="I3076" s="9" t="s">
        <v>31</v>
      </c>
      <c r="J3076" s="10">
        <v>-433.29014300000011</v>
      </c>
      <c r="K3076" s="11">
        <v>179.29</v>
      </c>
      <c r="L3076" s="11">
        <v>29.21</v>
      </c>
      <c r="M3076" s="9" t="s">
        <v>1341</v>
      </c>
      <c r="N3076" s="6" t="s">
        <v>974</v>
      </c>
      <c r="O3076" s="6" t="s">
        <v>512</v>
      </c>
      <c r="P3076" s="9" t="s">
        <v>33</v>
      </c>
      <c r="Q3076" s="9" t="s">
        <v>49</v>
      </c>
      <c r="R3076" s="9" t="s">
        <v>83</v>
      </c>
      <c r="S3076" s="7" t="s">
        <v>207</v>
      </c>
      <c r="T3076" s="9" t="s">
        <v>82</v>
      </c>
      <c r="U3076" s="7">
        <v>0.74</v>
      </c>
      <c r="V3076" s="12">
        <f>C3076+2</f>
        <v>40860</v>
      </c>
      <c r="W3076">
        <f>IF(D3076=' Pivot Tables'!$A$4,1,0)</f>
        <v>0</v>
      </c>
      <c r="X3076">
        <f>IF(AND(LEFT(D3076,4)+1=LEFT(' Pivot Tables'!$A$4,4)+0,RIGHT(LEFT(D3076,7),2)=RIGHT(LEFT(' Pivot Tables'!$A$4,7),2)),1,0)</f>
        <v>0</v>
      </c>
      <c r="Y3076" s="6">
        <f>1/COUNTIF(Таблица1[Order ID],Таблица1[[#This Row],[Order ID]])</f>
        <v>0.33333333333333331</v>
      </c>
      <c r="Z3076" s="9">
        <f>1/COUNTIFS(Таблица1[Customer Name],Таблица1[[#This Row],[Customer Name]],Таблица1[Order-Year-Month],Таблица1[[#This Row],[Order-Year-Month]])</f>
        <v>0.33333333333333331</v>
      </c>
    </row>
    <row r="3077" spans="1:26" x14ac:dyDescent="0.2">
      <c r="A3077" s="6">
        <v>7295</v>
      </c>
      <c r="B3077" s="7">
        <v>52006</v>
      </c>
      <c r="C3077" s="8">
        <f>DATE(2012,12,31)-1286</f>
        <v>39988</v>
      </c>
      <c r="D3077" s="8" t="str">
        <f t="shared" si="58"/>
        <v>2009-06 (июнь 2009)</v>
      </c>
      <c r="E3077" s="9" t="s">
        <v>63</v>
      </c>
      <c r="F3077" s="7">
        <v>42</v>
      </c>
      <c r="G3077" s="7">
        <v>375.76</v>
      </c>
      <c r="H3077" s="7">
        <v>0</v>
      </c>
      <c r="I3077" s="9" t="s">
        <v>22</v>
      </c>
      <c r="J3077" s="10">
        <v>-241.63</v>
      </c>
      <c r="K3077" s="11">
        <v>8.3699999999999992</v>
      </c>
      <c r="L3077" s="11">
        <v>10.16</v>
      </c>
      <c r="M3077" s="9" t="s">
        <v>1457</v>
      </c>
      <c r="N3077" s="6" t="s">
        <v>974</v>
      </c>
      <c r="O3077" s="6" t="s">
        <v>512</v>
      </c>
      <c r="P3077" s="9" t="s">
        <v>41</v>
      </c>
      <c r="Q3077" s="9" t="s">
        <v>49</v>
      </c>
      <c r="R3077" s="9" t="s">
        <v>50</v>
      </c>
      <c r="S3077" s="7" t="s">
        <v>948</v>
      </c>
      <c r="T3077" s="9" t="s">
        <v>29</v>
      </c>
      <c r="U3077" s="7">
        <v>0.59</v>
      </c>
      <c r="V3077" s="12">
        <f>C3077+2</f>
        <v>39990</v>
      </c>
      <c r="W3077">
        <f>IF(D3077=' Pivot Tables'!$A$4,1,0)</f>
        <v>0</v>
      </c>
      <c r="X3077">
        <f>IF(AND(LEFT(D3077,4)+1=LEFT(' Pivot Tables'!$A$4,4)+0,RIGHT(LEFT(D3077,7),2)=RIGHT(LEFT(' Pivot Tables'!$A$4,7),2)),1,0)</f>
        <v>0</v>
      </c>
      <c r="Y3077" s="6">
        <f>1/COUNTIF(Таблица1[Order ID],Таблица1[[#This Row],[Order ID]])</f>
        <v>0.5</v>
      </c>
      <c r="Z3077" s="9">
        <f>1/COUNTIFS(Таблица1[Customer Name],Таблица1[[#This Row],[Customer Name]],Таблица1[Order-Year-Month],Таблица1[[#This Row],[Order-Year-Month]])</f>
        <v>0.5</v>
      </c>
    </row>
    <row r="3078" spans="1:26" x14ac:dyDescent="0.2">
      <c r="A3078" s="6">
        <v>7429</v>
      </c>
      <c r="B3078" s="7">
        <v>52934</v>
      </c>
      <c r="C3078" s="8">
        <f>DATE(2012,12,31)-523</f>
        <v>40751</v>
      </c>
      <c r="D3078" s="8" t="str">
        <f t="shared" si="58"/>
        <v>2011-07 (июль 2011)</v>
      </c>
      <c r="E3078" s="9" t="s">
        <v>78</v>
      </c>
      <c r="F3078" s="7">
        <v>20</v>
      </c>
      <c r="G3078" s="7">
        <v>92.15</v>
      </c>
      <c r="H3078" s="7">
        <v>0.08</v>
      </c>
      <c r="I3078" s="9" t="s">
        <v>22</v>
      </c>
      <c r="J3078" s="10">
        <v>36.979999999999997</v>
      </c>
      <c r="K3078" s="11">
        <v>4.91</v>
      </c>
      <c r="L3078" s="11">
        <v>0.5</v>
      </c>
      <c r="M3078" s="9" t="s">
        <v>1506</v>
      </c>
      <c r="N3078" s="6" t="s">
        <v>974</v>
      </c>
      <c r="O3078" s="6" t="s">
        <v>512</v>
      </c>
      <c r="P3078" s="9" t="s">
        <v>41</v>
      </c>
      <c r="Q3078" s="9" t="s">
        <v>26</v>
      </c>
      <c r="R3078" s="9" t="s">
        <v>88</v>
      </c>
      <c r="S3078" s="7" t="s">
        <v>1370</v>
      </c>
      <c r="T3078" s="9" t="s">
        <v>39</v>
      </c>
      <c r="U3078" s="7">
        <v>0.36</v>
      </c>
      <c r="V3078" s="12">
        <f>C3078+1</f>
        <v>40752</v>
      </c>
      <c r="W3078">
        <f>IF(D3078=' Pivot Tables'!$A$4,1,0)</f>
        <v>0</v>
      </c>
      <c r="X3078">
        <f>IF(AND(LEFT(D3078,4)+1=LEFT(' Pivot Tables'!$A$4,4)+0,RIGHT(LEFT(D3078,7),2)=RIGHT(LEFT(' Pivot Tables'!$A$4,7),2)),1,0)</f>
        <v>0</v>
      </c>
      <c r="Y3078" s="6">
        <f>1/COUNTIF(Таблица1[Order ID],Таблица1[[#This Row],[Order ID]])</f>
        <v>1</v>
      </c>
      <c r="Z3078" s="9">
        <f>1/COUNTIFS(Таблица1[Customer Name],Таблица1[[#This Row],[Customer Name]],Таблица1[Order-Year-Month],Таблица1[[#This Row],[Order-Year-Month]])</f>
        <v>1</v>
      </c>
    </row>
    <row r="3079" spans="1:26" x14ac:dyDescent="0.2">
      <c r="A3079" s="6">
        <v>7555</v>
      </c>
      <c r="B3079" s="7">
        <v>54053</v>
      </c>
      <c r="C3079" s="8">
        <f>DATE(2012,12,31)-321</f>
        <v>40953</v>
      </c>
      <c r="D3079" s="8" t="str">
        <f t="shared" si="58"/>
        <v>2012-02 (февраль 2012)</v>
      </c>
      <c r="E3079" s="9" t="s">
        <v>30</v>
      </c>
      <c r="F3079" s="7">
        <v>18</v>
      </c>
      <c r="G3079" s="7">
        <v>821.78849999999989</v>
      </c>
      <c r="H3079" s="7">
        <v>0.06</v>
      </c>
      <c r="I3079" s="9" t="s">
        <v>56</v>
      </c>
      <c r="J3079" s="10">
        <v>-230.34</v>
      </c>
      <c r="K3079" s="11">
        <v>55.99</v>
      </c>
      <c r="L3079" s="11">
        <v>5</v>
      </c>
      <c r="M3079" s="9" t="s">
        <v>1501</v>
      </c>
      <c r="N3079" s="6" t="s">
        <v>974</v>
      </c>
      <c r="O3079" s="6" t="s">
        <v>512</v>
      </c>
      <c r="P3079" s="9" t="s">
        <v>33</v>
      </c>
      <c r="Q3079" s="9" t="s">
        <v>42</v>
      </c>
      <c r="R3079" s="9" t="s">
        <v>43</v>
      </c>
      <c r="S3079" s="7" t="s">
        <v>268</v>
      </c>
      <c r="T3079" s="9" t="s">
        <v>52</v>
      </c>
      <c r="U3079" s="7">
        <v>0.8</v>
      </c>
      <c r="V3079" s="12">
        <f>C3079+1</f>
        <v>40954</v>
      </c>
      <c r="W3079">
        <f>IF(D3079=' Pivot Tables'!$A$4,1,0)</f>
        <v>0</v>
      </c>
      <c r="X3079">
        <f>IF(AND(LEFT(D3079,4)+1=LEFT(' Pivot Tables'!$A$4,4)+0,RIGHT(LEFT(D3079,7),2)=RIGHT(LEFT(' Pivot Tables'!$A$4,7),2)),1,0)</f>
        <v>0</v>
      </c>
      <c r="Y3079" s="6">
        <f>1/COUNTIF(Таблица1[Order ID],Таблица1[[#This Row],[Order ID]])</f>
        <v>0.5</v>
      </c>
      <c r="Z3079" s="9">
        <f>1/COUNTIFS(Таблица1[Customer Name],Таблица1[[#This Row],[Customer Name]],Таблица1[Order-Year-Month],Таблица1[[#This Row],[Order-Year-Month]])</f>
        <v>0.5</v>
      </c>
    </row>
    <row r="3080" spans="1:26" x14ac:dyDescent="0.2">
      <c r="A3080" s="6">
        <v>7708</v>
      </c>
      <c r="B3080" s="7">
        <v>55239</v>
      </c>
      <c r="C3080" s="8">
        <f>DATE(2012,12,31)-28</f>
        <v>41246</v>
      </c>
      <c r="D3080" s="8" t="str">
        <f t="shared" si="58"/>
        <v>2012-12 (декабрь 2012)</v>
      </c>
      <c r="E3080" s="9" t="s">
        <v>78</v>
      </c>
      <c r="F3080" s="7">
        <v>13</v>
      </c>
      <c r="G3080" s="7">
        <v>95.68</v>
      </c>
      <c r="H3080" s="7">
        <v>7.0000000000000007E-2</v>
      </c>
      <c r="I3080" s="9" t="s">
        <v>56</v>
      </c>
      <c r="J3080" s="10">
        <v>-15.27</v>
      </c>
      <c r="K3080" s="11">
        <v>6.48</v>
      </c>
      <c r="L3080" s="11">
        <v>5.14</v>
      </c>
      <c r="M3080" s="9" t="s">
        <v>1562</v>
      </c>
      <c r="N3080" s="6" t="s">
        <v>974</v>
      </c>
      <c r="O3080" s="6" t="s">
        <v>512</v>
      </c>
      <c r="P3080" s="9" t="s">
        <v>33</v>
      </c>
      <c r="Q3080" s="9" t="s">
        <v>26</v>
      </c>
      <c r="R3080" s="9" t="s">
        <v>61</v>
      </c>
      <c r="S3080" s="7" t="s">
        <v>1184</v>
      </c>
      <c r="T3080" s="9" t="s">
        <v>39</v>
      </c>
      <c r="U3080" s="7">
        <v>0.37</v>
      </c>
      <c r="V3080" s="12">
        <f>C3080+1</f>
        <v>41247</v>
      </c>
      <c r="W3080">
        <f>IF(D3080=' Pivot Tables'!$A$4,1,0)</f>
        <v>0</v>
      </c>
      <c r="X3080">
        <f>IF(AND(LEFT(D3080,4)+1=LEFT(' Pivot Tables'!$A$4,4)+0,RIGHT(LEFT(D3080,7),2)=RIGHT(LEFT(' Pivot Tables'!$A$4,7),2)),1,0)</f>
        <v>0</v>
      </c>
      <c r="Y3080" s="6">
        <f>1/COUNTIF(Таблица1[Order ID],Таблица1[[#This Row],[Order ID]])</f>
        <v>0.5</v>
      </c>
      <c r="Z3080" s="9">
        <f>1/COUNTIFS(Таблица1[Customer Name],Таблица1[[#This Row],[Customer Name]],Таблица1[Order-Year-Month],Таблица1[[#This Row],[Order-Year-Month]])</f>
        <v>0.5</v>
      </c>
    </row>
    <row r="3081" spans="1:26" x14ac:dyDescent="0.2">
      <c r="A3081" s="6">
        <v>7739</v>
      </c>
      <c r="B3081" s="7">
        <v>55425</v>
      </c>
      <c r="C3081" s="8">
        <f>DATE(2012,12,31)-426</f>
        <v>40848</v>
      </c>
      <c r="D3081" s="8" t="str">
        <f t="shared" si="58"/>
        <v>2011-11 (ноябрь 2011)</v>
      </c>
      <c r="E3081" s="9" t="s">
        <v>78</v>
      </c>
      <c r="F3081" s="7">
        <v>7</v>
      </c>
      <c r="G3081" s="7">
        <v>73.86</v>
      </c>
      <c r="H3081" s="7">
        <v>0.08</v>
      </c>
      <c r="I3081" s="9" t="s">
        <v>22</v>
      </c>
      <c r="J3081" s="10">
        <v>-52.49</v>
      </c>
      <c r="K3081" s="11">
        <v>9.7100000000000009</v>
      </c>
      <c r="L3081" s="11">
        <v>9.4499999999999993</v>
      </c>
      <c r="M3081" s="9" t="s">
        <v>1509</v>
      </c>
      <c r="N3081" s="6" t="s">
        <v>974</v>
      </c>
      <c r="O3081" s="6" t="s">
        <v>512</v>
      </c>
      <c r="P3081" s="9" t="s">
        <v>41</v>
      </c>
      <c r="Q3081" s="9" t="s">
        <v>26</v>
      </c>
      <c r="R3081" s="9" t="s">
        <v>27</v>
      </c>
      <c r="S3081" s="7" t="s">
        <v>927</v>
      </c>
      <c r="T3081" s="9" t="s">
        <v>39</v>
      </c>
      <c r="U3081" s="7">
        <v>0.6</v>
      </c>
      <c r="V3081" s="12">
        <f>C3081+1</f>
        <v>40849</v>
      </c>
      <c r="W3081">
        <f>IF(D3081=' Pivot Tables'!$A$4,1,0)</f>
        <v>0</v>
      </c>
      <c r="X3081">
        <f>IF(AND(LEFT(D3081,4)+1=LEFT(' Pivot Tables'!$A$4,4)+0,RIGHT(LEFT(D3081,7),2)=RIGHT(LEFT(' Pivot Tables'!$A$4,7),2)),1,0)</f>
        <v>0</v>
      </c>
      <c r="Y3081" s="6">
        <f>1/COUNTIF(Таблица1[Order ID],Таблица1[[#This Row],[Order ID]])</f>
        <v>0.33333333333333331</v>
      </c>
      <c r="Z3081" s="9">
        <f>1/COUNTIFS(Таблица1[Customer Name],Таблица1[[#This Row],[Customer Name]],Таблица1[Order-Year-Month],Таблица1[[#This Row],[Order-Year-Month]])</f>
        <v>0.33333333333333331</v>
      </c>
    </row>
    <row r="3082" spans="1:26" x14ac:dyDescent="0.2">
      <c r="A3082" s="6">
        <v>7901</v>
      </c>
      <c r="B3082" s="7">
        <v>56515</v>
      </c>
      <c r="C3082" s="8">
        <f>DATE(2012,12,31)-584</f>
        <v>40690</v>
      </c>
      <c r="D3082" s="8" t="str">
        <f t="shared" si="58"/>
        <v>2011-05 (май 2011)</v>
      </c>
      <c r="E3082" s="9" t="s">
        <v>63</v>
      </c>
      <c r="F3082" s="7">
        <v>17</v>
      </c>
      <c r="G3082" s="7">
        <v>979.52</v>
      </c>
      <c r="H3082" s="7">
        <v>0.1</v>
      </c>
      <c r="I3082" s="9" t="s">
        <v>31</v>
      </c>
      <c r="J3082" s="10">
        <v>-362.04</v>
      </c>
      <c r="K3082" s="11">
        <v>58.14</v>
      </c>
      <c r="L3082" s="11">
        <v>36.61</v>
      </c>
      <c r="M3082" s="9" t="s">
        <v>1506</v>
      </c>
      <c r="N3082" s="6" t="s">
        <v>974</v>
      </c>
      <c r="O3082" s="6" t="s">
        <v>512</v>
      </c>
      <c r="P3082" s="9" t="s">
        <v>25</v>
      </c>
      <c r="Q3082" s="9" t="s">
        <v>49</v>
      </c>
      <c r="R3082" s="9" t="s">
        <v>80</v>
      </c>
      <c r="S3082" s="7" t="s">
        <v>233</v>
      </c>
      <c r="T3082" s="9" t="s">
        <v>82</v>
      </c>
      <c r="U3082" s="7">
        <v>0.61</v>
      </c>
      <c r="V3082" s="12">
        <f>C3082+2</f>
        <v>40692</v>
      </c>
      <c r="W3082">
        <f>IF(D3082=' Pivot Tables'!$A$4,1,0)</f>
        <v>0</v>
      </c>
      <c r="X3082">
        <f>IF(AND(LEFT(D3082,4)+1=LEFT(' Pivot Tables'!$A$4,4)+0,RIGHT(LEFT(D3082,7),2)=RIGHT(LEFT(' Pivot Tables'!$A$4,7),2)),1,0)</f>
        <v>0</v>
      </c>
      <c r="Y3082" s="6">
        <f>1/COUNTIF(Таблица1[Order ID],Таблица1[[#This Row],[Order ID]])</f>
        <v>0.5</v>
      </c>
      <c r="Z3082" s="9">
        <f>1/COUNTIFS(Таблица1[Customer Name],Таблица1[[#This Row],[Customer Name]],Таблица1[Order-Year-Month],Таблица1[[#This Row],[Order-Year-Month]])</f>
        <v>0.5</v>
      </c>
    </row>
    <row r="3083" spans="1:26" x14ac:dyDescent="0.2">
      <c r="A3083" s="6">
        <v>8079</v>
      </c>
      <c r="B3083" s="7">
        <v>57638</v>
      </c>
      <c r="C3083" s="8">
        <f>DATE(2012,12,31)-253</f>
        <v>41021</v>
      </c>
      <c r="D3083" s="8" t="str">
        <f t="shared" si="58"/>
        <v>2012-04 (апрель 2012)</v>
      </c>
      <c r="E3083" s="9" t="s">
        <v>21</v>
      </c>
      <c r="F3083" s="7">
        <v>35</v>
      </c>
      <c r="G3083" s="7">
        <v>5740.6239999999998</v>
      </c>
      <c r="H3083" s="7">
        <v>0.09</v>
      </c>
      <c r="I3083" s="9" t="s">
        <v>31</v>
      </c>
      <c r="J3083" s="10">
        <v>-526.47809500000005</v>
      </c>
      <c r="K3083" s="11">
        <v>217.85</v>
      </c>
      <c r="L3083" s="11">
        <v>29.1</v>
      </c>
      <c r="M3083" s="9" t="s">
        <v>1488</v>
      </c>
      <c r="N3083" s="6" t="s">
        <v>974</v>
      </c>
      <c r="O3083" s="6" t="s">
        <v>512</v>
      </c>
      <c r="P3083" s="9" t="s">
        <v>33</v>
      </c>
      <c r="Q3083" s="9" t="s">
        <v>49</v>
      </c>
      <c r="R3083" s="9" t="s">
        <v>83</v>
      </c>
      <c r="S3083" s="7" t="s">
        <v>1199</v>
      </c>
      <c r="T3083" s="9" t="s">
        <v>82</v>
      </c>
      <c r="U3083" s="7">
        <v>0.68</v>
      </c>
      <c r="V3083" s="12">
        <f>C3083+5</f>
        <v>41026</v>
      </c>
      <c r="W3083">
        <f>IF(D3083=' Pivot Tables'!$A$4,1,0)</f>
        <v>0</v>
      </c>
      <c r="X3083">
        <f>IF(AND(LEFT(D3083,4)+1=LEFT(' Pivot Tables'!$A$4,4)+0,RIGHT(LEFT(D3083,7),2)=RIGHT(LEFT(' Pivot Tables'!$A$4,7),2)),1,0)</f>
        <v>0</v>
      </c>
      <c r="Y3083" s="6">
        <f>1/COUNTIF(Таблица1[Order ID],Таблица1[[#This Row],[Order ID]])</f>
        <v>0.33333333333333331</v>
      </c>
      <c r="Z3083" s="9">
        <f>1/COUNTIFS(Таблица1[Customer Name],Таблица1[[#This Row],[Customer Name]],Таблица1[Order-Year-Month],Таблица1[[#This Row],[Order-Year-Month]])</f>
        <v>0.33333333333333331</v>
      </c>
    </row>
    <row r="3084" spans="1:26" x14ac:dyDescent="0.2">
      <c r="A3084" s="6">
        <v>8195</v>
      </c>
      <c r="B3084" s="7">
        <v>58599</v>
      </c>
      <c r="C3084" s="8">
        <f>DATE(2012,12,31)-1082</f>
        <v>40192</v>
      </c>
      <c r="D3084" s="8" t="str">
        <f t="shared" si="58"/>
        <v>2010-01 (январь 2010)</v>
      </c>
      <c r="E3084" s="9" t="s">
        <v>78</v>
      </c>
      <c r="F3084" s="7">
        <v>49</v>
      </c>
      <c r="G3084" s="7">
        <v>5332.42</v>
      </c>
      <c r="H3084" s="7">
        <v>0.06</v>
      </c>
      <c r="I3084" s="9" t="s">
        <v>31</v>
      </c>
      <c r="J3084" s="10">
        <v>-219.2</v>
      </c>
      <c r="K3084" s="11">
        <v>113.98</v>
      </c>
      <c r="L3084" s="11">
        <v>30</v>
      </c>
      <c r="M3084" s="9" t="s">
        <v>1593</v>
      </c>
      <c r="N3084" s="6" t="s">
        <v>974</v>
      </c>
      <c r="O3084" s="6" t="s">
        <v>512</v>
      </c>
      <c r="P3084" s="9" t="s">
        <v>25</v>
      </c>
      <c r="Q3084" s="9" t="s">
        <v>49</v>
      </c>
      <c r="R3084" s="9" t="s">
        <v>112</v>
      </c>
      <c r="S3084" s="7" t="s">
        <v>840</v>
      </c>
      <c r="T3084" s="9" t="s">
        <v>36</v>
      </c>
      <c r="U3084" s="7">
        <v>0.69</v>
      </c>
      <c r="V3084" s="12">
        <f>C3084+1</f>
        <v>40193</v>
      </c>
      <c r="W3084">
        <f>IF(D3084=' Pivot Tables'!$A$4,1,0)</f>
        <v>1</v>
      </c>
      <c r="X3084">
        <f>IF(AND(LEFT(D3084,4)+1=LEFT(' Pivot Tables'!$A$4,4)+0,RIGHT(LEFT(D3084,7),2)=RIGHT(LEFT(' Pivot Tables'!$A$4,7),2)),1,0)</f>
        <v>0</v>
      </c>
      <c r="Y3084" s="6">
        <f>1/COUNTIF(Таблица1[Order ID],Таблица1[[#This Row],[Order ID]])</f>
        <v>0.5</v>
      </c>
      <c r="Z3084" s="9">
        <f>1/COUNTIFS(Таблица1[Customer Name],Таблица1[[#This Row],[Customer Name]],Таблица1[Order-Year-Month],Таблица1[[#This Row],[Order-Year-Month]])</f>
        <v>0.5</v>
      </c>
    </row>
    <row r="3085" spans="1:26" x14ac:dyDescent="0.2">
      <c r="A3085" s="6">
        <v>8265</v>
      </c>
      <c r="B3085" s="7">
        <v>59075</v>
      </c>
      <c r="C3085" s="8">
        <f>DATE(2012,12,31)-309</f>
        <v>40965</v>
      </c>
      <c r="D3085" s="8" t="str">
        <f t="shared" si="58"/>
        <v>2012-02 (февраль 2012)</v>
      </c>
      <c r="E3085" s="9" t="s">
        <v>21</v>
      </c>
      <c r="F3085" s="7">
        <v>4</v>
      </c>
      <c r="G3085" s="7">
        <v>21.84</v>
      </c>
      <c r="H3085" s="7">
        <v>0.02</v>
      </c>
      <c r="I3085" s="9" t="s">
        <v>22</v>
      </c>
      <c r="J3085" s="10">
        <v>-25.31</v>
      </c>
      <c r="K3085" s="11">
        <v>4.7699999999999996</v>
      </c>
      <c r="L3085" s="11">
        <v>2.39</v>
      </c>
      <c r="M3085" s="9" t="s">
        <v>1308</v>
      </c>
      <c r="N3085" s="6" t="s">
        <v>974</v>
      </c>
      <c r="O3085" s="6" t="s">
        <v>512</v>
      </c>
      <c r="P3085" s="9" t="s">
        <v>25</v>
      </c>
      <c r="Q3085" s="9" t="s">
        <v>42</v>
      </c>
      <c r="R3085" s="9" t="s">
        <v>70</v>
      </c>
      <c r="S3085" s="7" t="s">
        <v>732</v>
      </c>
      <c r="T3085" s="9" t="s">
        <v>52</v>
      </c>
      <c r="U3085" s="7">
        <v>0.72</v>
      </c>
      <c r="V3085" s="12">
        <f>C3085+8</f>
        <v>40973</v>
      </c>
      <c r="W3085">
        <f>IF(D3085=' Pivot Tables'!$A$4,1,0)</f>
        <v>0</v>
      </c>
      <c r="X3085">
        <f>IF(AND(LEFT(D3085,4)+1=LEFT(' Pivot Tables'!$A$4,4)+0,RIGHT(LEFT(D3085,7),2)=RIGHT(LEFT(' Pivot Tables'!$A$4,7),2)),1,0)</f>
        <v>0</v>
      </c>
      <c r="Y3085" s="6">
        <f>1/COUNTIF(Таблица1[Order ID],Таблица1[[#This Row],[Order ID]])</f>
        <v>0.5</v>
      </c>
      <c r="Z3085" s="9">
        <f>1/COUNTIFS(Таблица1[Customer Name],Таблица1[[#This Row],[Customer Name]],Таблица1[Order-Year-Month],Таблица1[[#This Row],[Order-Year-Month]])</f>
        <v>0.5</v>
      </c>
    </row>
    <row r="3086" spans="1:26" x14ac:dyDescent="0.2">
      <c r="A3086" s="6">
        <v>8300</v>
      </c>
      <c r="B3086" s="7">
        <v>59270</v>
      </c>
      <c r="C3086" s="8">
        <f>DATE(2012,12,31)-1085</f>
        <v>40189</v>
      </c>
      <c r="D3086" s="8" t="str">
        <f t="shared" si="58"/>
        <v>2010-01 (январь 2010)</v>
      </c>
      <c r="E3086" s="9" t="s">
        <v>30</v>
      </c>
      <c r="F3086" s="7">
        <v>47</v>
      </c>
      <c r="G3086" s="7">
        <v>1597.02</v>
      </c>
      <c r="H3086" s="7">
        <v>0.01</v>
      </c>
      <c r="I3086" s="9" t="s">
        <v>22</v>
      </c>
      <c r="J3086" s="10">
        <v>749.03</v>
      </c>
      <c r="K3086" s="11">
        <v>31.78</v>
      </c>
      <c r="L3086" s="11">
        <v>1.99</v>
      </c>
      <c r="M3086" s="9" t="s">
        <v>1553</v>
      </c>
      <c r="N3086" s="6" t="s">
        <v>974</v>
      </c>
      <c r="O3086" s="6" t="s">
        <v>512</v>
      </c>
      <c r="P3086" s="9" t="s">
        <v>25</v>
      </c>
      <c r="Q3086" s="9" t="s">
        <v>42</v>
      </c>
      <c r="R3086" s="9" t="s">
        <v>70</v>
      </c>
      <c r="S3086" s="7" t="s">
        <v>132</v>
      </c>
      <c r="T3086" s="9" t="s">
        <v>52</v>
      </c>
      <c r="U3086" s="7">
        <v>0.42</v>
      </c>
      <c r="V3086" s="12">
        <f>C3086+2</f>
        <v>40191</v>
      </c>
      <c r="W3086">
        <f>IF(D3086=' Pivot Tables'!$A$4,1,0)</f>
        <v>1</v>
      </c>
      <c r="X3086">
        <f>IF(AND(LEFT(D3086,4)+1=LEFT(' Pivot Tables'!$A$4,4)+0,RIGHT(LEFT(D3086,7),2)=RIGHT(LEFT(' Pivot Tables'!$A$4,7),2)),1,0)</f>
        <v>0</v>
      </c>
      <c r="Y3086" s="6">
        <f>1/COUNTIF(Таблица1[Order ID],Таблица1[[#This Row],[Order ID]])</f>
        <v>0.25</v>
      </c>
      <c r="Z3086" s="9">
        <f>1/COUNTIFS(Таблица1[Customer Name],Таблица1[[#This Row],[Customer Name]],Таблица1[Order-Year-Month],Таблица1[[#This Row],[Order-Year-Month]])</f>
        <v>0.25</v>
      </c>
    </row>
    <row r="3087" spans="1:26" x14ac:dyDescent="0.2">
      <c r="A3087" s="6">
        <v>58</v>
      </c>
      <c r="B3087" s="7">
        <v>326</v>
      </c>
      <c r="C3087" s="8">
        <f>DATE(2012,12,31)-577</f>
        <v>40697</v>
      </c>
      <c r="D3087" s="8" t="str">
        <f t="shared" si="58"/>
        <v>2011-06 (июнь 2011)</v>
      </c>
      <c r="E3087" s="9" t="s">
        <v>30</v>
      </c>
      <c r="F3087" s="7">
        <v>34</v>
      </c>
      <c r="G3087" s="7">
        <v>218.27</v>
      </c>
      <c r="H3087" s="7">
        <v>0.03</v>
      </c>
      <c r="I3087" s="9" t="s">
        <v>22</v>
      </c>
      <c r="J3087" s="10">
        <v>-44.137</v>
      </c>
      <c r="K3087" s="11">
        <v>5.99</v>
      </c>
      <c r="L3087" s="11">
        <v>4.92</v>
      </c>
      <c r="M3087" s="9" t="s">
        <v>1594</v>
      </c>
      <c r="N3087" s="6" t="s">
        <v>1595</v>
      </c>
      <c r="O3087" s="6" t="s">
        <v>1595</v>
      </c>
      <c r="P3087" s="9" t="s">
        <v>33</v>
      </c>
      <c r="Q3087" s="9" t="s">
        <v>26</v>
      </c>
      <c r="R3087" s="9" t="s">
        <v>37</v>
      </c>
      <c r="S3087" s="7" t="s">
        <v>452</v>
      </c>
      <c r="T3087" s="9" t="s">
        <v>39</v>
      </c>
      <c r="U3087" s="7">
        <v>0.38</v>
      </c>
      <c r="V3087" s="12">
        <f>C3087+1</f>
        <v>40698</v>
      </c>
      <c r="W3087">
        <f>IF(D3087=' Pivot Tables'!$A$4,1,0)</f>
        <v>0</v>
      </c>
      <c r="X3087">
        <f>IF(AND(LEFT(D3087,4)+1=LEFT(' Pivot Tables'!$A$4,4)+0,RIGHT(LEFT(D3087,7),2)=RIGHT(LEFT(' Pivot Tables'!$A$4,7),2)),1,0)</f>
        <v>0</v>
      </c>
      <c r="Y3087" s="6">
        <f>1/COUNTIF(Таблица1[Order ID],Таблица1[[#This Row],[Order ID]])</f>
        <v>0.5</v>
      </c>
      <c r="Z3087" s="9">
        <f>1/COUNTIFS(Таблица1[Customer Name],Таблица1[[#This Row],[Customer Name]],Таблица1[Order-Year-Month],Таблица1[[#This Row],[Order-Year-Month]])</f>
        <v>0.5</v>
      </c>
    </row>
    <row r="3088" spans="1:26" x14ac:dyDescent="0.2">
      <c r="A3088" s="6">
        <v>59</v>
      </c>
      <c r="B3088" s="7">
        <v>326</v>
      </c>
      <c r="C3088" s="8">
        <f>DATE(2012,12,31)-577</f>
        <v>40697</v>
      </c>
      <c r="D3088" s="8" t="str">
        <f t="shared" si="58"/>
        <v>2011-06 (июнь 2011)</v>
      </c>
      <c r="E3088" s="9" t="s">
        <v>30</v>
      </c>
      <c r="F3088" s="7">
        <v>17</v>
      </c>
      <c r="G3088" s="7">
        <v>100.95</v>
      </c>
      <c r="H3088" s="7">
        <v>0.05</v>
      </c>
      <c r="I3088" s="9" t="s">
        <v>22</v>
      </c>
      <c r="J3088" s="10">
        <v>-21.3</v>
      </c>
      <c r="K3088" s="11">
        <v>5.81</v>
      </c>
      <c r="L3088" s="11">
        <v>3.37</v>
      </c>
      <c r="M3088" s="9" t="s">
        <v>1594</v>
      </c>
      <c r="N3088" s="6" t="s">
        <v>1595</v>
      </c>
      <c r="O3088" s="6" t="s">
        <v>1595</v>
      </c>
      <c r="P3088" s="9" t="s">
        <v>33</v>
      </c>
      <c r="Q3088" s="9" t="s">
        <v>26</v>
      </c>
      <c r="R3088" s="9" t="s">
        <v>66</v>
      </c>
      <c r="S3088" s="7" t="s">
        <v>792</v>
      </c>
      <c r="T3088" s="9" t="s">
        <v>68</v>
      </c>
      <c r="U3088" s="7">
        <v>0.54</v>
      </c>
      <c r="V3088" s="12">
        <f>C3088+1</f>
        <v>40698</v>
      </c>
      <c r="W3088">
        <f>IF(D3088=' Pivot Tables'!$A$4,1,0)</f>
        <v>0</v>
      </c>
      <c r="X3088">
        <f>IF(AND(LEFT(D3088,4)+1=LEFT(' Pivot Tables'!$A$4,4)+0,RIGHT(LEFT(D3088,7),2)=RIGHT(LEFT(' Pivot Tables'!$A$4,7),2)),1,0)</f>
        <v>0</v>
      </c>
      <c r="Y3088" s="6">
        <f>1/COUNTIF(Таблица1[Order ID],Таблица1[[#This Row],[Order ID]])</f>
        <v>0.5</v>
      </c>
      <c r="Z3088" s="9">
        <f>1/COUNTIFS(Таблица1[Customer Name],Таблица1[[#This Row],[Customer Name]],Таблица1[Order-Year-Month],Таблица1[[#This Row],[Order-Year-Month]])</f>
        <v>0.5</v>
      </c>
    </row>
    <row r="3089" spans="1:26" x14ac:dyDescent="0.2">
      <c r="A3089" s="6">
        <v>99</v>
      </c>
      <c r="B3089" s="7">
        <v>614</v>
      </c>
      <c r="C3089" s="8">
        <f>DATE(2012,12,31)-31</f>
        <v>41243</v>
      </c>
      <c r="D3089" s="8" t="str">
        <f t="shared" si="58"/>
        <v>2012-11 (ноябрь 2012)</v>
      </c>
      <c r="E3089" s="9" t="s">
        <v>30</v>
      </c>
      <c r="F3089" s="7">
        <v>41</v>
      </c>
      <c r="G3089" s="7">
        <v>628.22</v>
      </c>
      <c r="H3089" s="7">
        <v>0</v>
      </c>
      <c r="I3089" s="9" t="s">
        <v>22</v>
      </c>
      <c r="J3089" s="10">
        <v>163.81</v>
      </c>
      <c r="K3089" s="11">
        <v>14.34</v>
      </c>
      <c r="L3089" s="11">
        <v>5</v>
      </c>
      <c r="M3089" s="9" t="s">
        <v>1296</v>
      </c>
      <c r="N3089" s="6" t="s">
        <v>1595</v>
      </c>
      <c r="O3089" s="6" t="s">
        <v>1595</v>
      </c>
      <c r="P3089" s="9" t="s">
        <v>41</v>
      </c>
      <c r="Q3089" s="9" t="s">
        <v>49</v>
      </c>
      <c r="R3089" s="9" t="s">
        <v>50</v>
      </c>
      <c r="S3089" s="7" t="s">
        <v>706</v>
      </c>
      <c r="T3089" s="9" t="s">
        <v>52</v>
      </c>
      <c r="U3089" s="7">
        <v>0.49</v>
      </c>
      <c r="V3089" s="12">
        <f>C3089+2</f>
        <v>41245</v>
      </c>
      <c r="W3089">
        <f>IF(D3089=' Pivot Tables'!$A$4,1,0)</f>
        <v>0</v>
      </c>
      <c r="X3089">
        <f>IF(AND(LEFT(D3089,4)+1=LEFT(' Pivot Tables'!$A$4,4)+0,RIGHT(LEFT(D3089,7),2)=RIGHT(LEFT(' Pivot Tables'!$A$4,7),2)),1,0)</f>
        <v>0</v>
      </c>
      <c r="Y3089" s="6">
        <f>1/COUNTIF(Таблица1[Order ID],Таблица1[[#This Row],[Order ID]])</f>
        <v>0.5</v>
      </c>
      <c r="Z3089" s="9">
        <f>1/COUNTIFS(Таблица1[Customer Name],Таблица1[[#This Row],[Customer Name]],Таблица1[Order-Year-Month],Таблица1[[#This Row],[Order-Year-Month]])</f>
        <v>0.5</v>
      </c>
    </row>
    <row r="3090" spans="1:26" x14ac:dyDescent="0.2">
      <c r="A3090" s="6">
        <v>100</v>
      </c>
      <c r="B3090" s="7">
        <v>614</v>
      </c>
      <c r="C3090" s="8">
        <f>DATE(2012,12,31)-31</f>
        <v>41243</v>
      </c>
      <c r="D3090" s="8" t="str">
        <f t="shared" si="58"/>
        <v>2012-11 (ноябрь 2012)</v>
      </c>
      <c r="E3090" s="9" t="s">
        <v>30</v>
      </c>
      <c r="F3090" s="7">
        <v>24</v>
      </c>
      <c r="G3090" s="7">
        <v>3366.1</v>
      </c>
      <c r="H3090" s="7">
        <v>7.0000000000000007E-2</v>
      </c>
      <c r="I3090" s="9" t="s">
        <v>31</v>
      </c>
      <c r="J3090" s="10">
        <v>-335.31712500000003</v>
      </c>
      <c r="K3090" s="11">
        <v>138.75</v>
      </c>
      <c r="L3090" s="11">
        <v>52.42</v>
      </c>
      <c r="M3090" s="9" t="s">
        <v>1296</v>
      </c>
      <c r="N3090" s="6" t="s">
        <v>1595</v>
      </c>
      <c r="O3090" s="6" t="s">
        <v>1595</v>
      </c>
      <c r="P3090" s="9" t="s">
        <v>41</v>
      </c>
      <c r="Q3090" s="9" t="s">
        <v>49</v>
      </c>
      <c r="R3090" s="9" t="s">
        <v>83</v>
      </c>
      <c r="S3090" s="7" t="s">
        <v>1596</v>
      </c>
      <c r="T3090" s="9" t="s">
        <v>82</v>
      </c>
      <c r="U3090" s="7">
        <v>0.74</v>
      </c>
      <c r="V3090" s="12">
        <f>C3090+1</f>
        <v>41244</v>
      </c>
      <c r="W3090">
        <f>IF(D3090=' Pivot Tables'!$A$4,1,0)</f>
        <v>0</v>
      </c>
      <c r="X3090">
        <f>IF(AND(LEFT(D3090,4)+1=LEFT(' Pivot Tables'!$A$4,4)+0,RIGHT(LEFT(D3090,7),2)=RIGHT(LEFT(' Pivot Tables'!$A$4,7),2)),1,0)</f>
        <v>0</v>
      </c>
      <c r="Y3090" s="6">
        <f>1/COUNTIF(Таблица1[Order ID],Таблица1[[#This Row],[Order ID]])</f>
        <v>0.5</v>
      </c>
      <c r="Z3090" s="9">
        <f>1/COUNTIFS(Таблица1[Customer Name],Таблица1[[#This Row],[Customer Name]],Таблица1[Order-Year-Month],Таблица1[[#This Row],[Order-Year-Month]])</f>
        <v>0.5</v>
      </c>
    </row>
    <row r="3091" spans="1:26" x14ac:dyDescent="0.2">
      <c r="A3091" s="6">
        <v>139</v>
      </c>
      <c r="B3091" s="7">
        <v>898</v>
      </c>
      <c r="C3091" s="8">
        <f>DATE(2012,12,31)-943</f>
        <v>40331</v>
      </c>
      <c r="D3091" s="8" t="str">
        <f t="shared" si="58"/>
        <v>2010-06 (июнь 2010)</v>
      </c>
      <c r="E3091" s="9" t="s">
        <v>30</v>
      </c>
      <c r="F3091" s="7">
        <v>40</v>
      </c>
      <c r="G3091" s="7">
        <v>676.13</v>
      </c>
      <c r="H3091" s="7">
        <v>0.03</v>
      </c>
      <c r="I3091" s="9" t="s">
        <v>22</v>
      </c>
      <c r="J3091" s="10">
        <v>45.39</v>
      </c>
      <c r="K3091" s="11">
        <v>15.98</v>
      </c>
      <c r="L3091" s="11">
        <v>6.5</v>
      </c>
      <c r="M3091" s="9" t="s">
        <v>1597</v>
      </c>
      <c r="N3091" s="6" t="s">
        <v>1595</v>
      </c>
      <c r="O3091" s="6" t="s">
        <v>1595</v>
      </c>
      <c r="P3091" s="9" t="s">
        <v>33</v>
      </c>
      <c r="Q3091" s="9" t="s">
        <v>42</v>
      </c>
      <c r="R3091" s="9" t="s">
        <v>70</v>
      </c>
      <c r="S3091" s="7" t="s">
        <v>536</v>
      </c>
      <c r="T3091" s="9" t="s">
        <v>39</v>
      </c>
      <c r="U3091" s="7">
        <v>0.48</v>
      </c>
      <c r="V3091" s="12">
        <f>C3091+2</f>
        <v>40333</v>
      </c>
      <c r="W3091">
        <f>IF(D3091=' Pivot Tables'!$A$4,1,0)</f>
        <v>0</v>
      </c>
      <c r="X3091">
        <f>IF(AND(LEFT(D3091,4)+1=LEFT(' Pivot Tables'!$A$4,4)+0,RIGHT(LEFT(D3091,7),2)=RIGHT(LEFT(' Pivot Tables'!$A$4,7),2)),1,0)</f>
        <v>0</v>
      </c>
      <c r="Y3091" s="6">
        <f>1/COUNTIF(Таблица1[Order ID],Таблица1[[#This Row],[Order ID]])</f>
        <v>0.5</v>
      </c>
      <c r="Z3091" s="9">
        <f>1/COUNTIFS(Таблица1[Customer Name],Таблица1[[#This Row],[Customer Name]],Таблица1[Order-Year-Month],Таблица1[[#This Row],[Order-Year-Month]])</f>
        <v>0.5</v>
      </c>
    </row>
    <row r="3092" spans="1:26" x14ac:dyDescent="0.2">
      <c r="A3092" s="6">
        <v>140</v>
      </c>
      <c r="B3092" s="7">
        <v>898</v>
      </c>
      <c r="C3092" s="8">
        <f>DATE(2012,12,31)-943</f>
        <v>40331</v>
      </c>
      <c r="D3092" s="8" t="str">
        <f t="shared" si="58"/>
        <v>2010-06 (июнь 2010)</v>
      </c>
      <c r="E3092" s="9" t="s">
        <v>30</v>
      </c>
      <c r="F3092" s="7">
        <v>26</v>
      </c>
      <c r="G3092" s="7">
        <v>7668.55</v>
      </c>
      <c r="H3092" s="7">
        <v>0.04</v>
      </c>
      <c r="I3092" s="9" t="s">
        <v>31</v>
      </c>
      <c r="J3092" s="10">
        <v>-715.7782060000003</v>
      </c>
      <c r="K3092" s="11">
        <v>296.18</v>
      </c>
      <c r="L3092" s="11">
        <v>54.12</v>
      </c>
      <c r="M3092" s="9" t="s">
        <v>1597</v>
      </c>
      <c r="N3092" s="6" t="s">
        <v>1595</v>
      </c>
      <c r="O3092" s="6" t="s">
        <v>1595</v>
      </c>
      <c r="P3092" s="9" t="s">
        <v>33</v>
      </c>
      <c r="Q3092" s="9" t="s">
        <v>49</v>
      </c>
      <c r="R3092" s="9" t="s">
        <v>83</v>
      </c>
      <c r="S3092" s="7" t="s">
        <v>425</v>
      </c>
      <c r="T3092" s="9" t="s">
        <v>82</v>
      </c>
      <c r="U3092" s="7">
        <v>0.76</v>
      </c>
      <c r="V3092" s="12">
        <f>C3092+0</f>
        <v>40331</v>
      </c>
      <c r="W3092">
        <f>IF(D3092=' Pivot Tables'!$A$4,1,0)</f>
        <v>0</v>
      </c>
      <c r="X3092">
        <f>IF(AND(LEFT(D3092,4)+1=LEFT(' Pivot Tables'!$A$4,4)+0,RIGHT(LEFT(D3092,7),2)=RIGHT(LEFT(' Pivot Tables'!$A$4,7),2)),1,0)</f>
        <v>0</v>
      </c>
      <c r="Y3092" s="6">
        <f>1/COUNTIF(Таблица1[Order ID],Таблица1[[#This Row],[Order ID]])</f>
        <v>0.5</v>
      </c>
      <c r="Z3092" s="9">
        <f>1/COUNTIFS(Таблица1[Customer Name],Таблица1[[#This Row],[Customer Name]],Таблица1[Order-Year-Month],Таблица1[[#This Row],[Order-Year-Month]])</f>
        <v>0.5</v>
      </c>
    </row>
    <row r="3093" spans="1:26" x14ac:dyDescent="0.2">
      <c r="A3093" s="6">
        <v>166</v>
      </c>
      <c r="B3093" s="7">
        <v>1031</v>
      </c>
      <c r="C3093" s="8">
        <f>DATE(2012,12,31)-1218</f>
        <v>40056</v>
      </c>
      <c r="D3093" s="8" t="str">
        <f t="shared" si="58"/>
        <v>2009-08 (август 2009)</v>
      </c>
      <c r="E3093" s="9" t="s">
        <v>63</v>
      </c>
      <c r="F3093" s="7">
        <v>34</v>
      </c>
      <c r="G3093" s="7">
        <v>226.1</v>
      </c>
      <c r="H3093" s="7">
        <v>0</v>
      </c>
      <c r="I3093" s="9" t="s">
        <v>22</v>
      </c>
      <c r="J3093" s="10">
        <v>-52.21</v>
      </c>
      <c r="K3093" s="11">
        <v>6.37</v>
      </c>
      <c r="L3093" s="11">
        <v>5.19</v>
      </c>
      <c r="M3093" s="9" t="s">
        <v>1597</v>
      </c>
      <c r="N3093" s="6" t="s">
        <v>1595</v>
      </c>
      <c r="O3093" s="6" t="s">
        <v>1595</v>
      </c>
      <c r="P3093" s="9" t="s">
        <v>33</v>
      </c>
      <c r="Q3093" s="9" t="s">
        <v>26</v>
      </c>
      <c r="R3093" s="9" t="s">
        <v>37</v>
      </c>
      <c r="S3093" s="7" t="s">
        <v>1379</v>
      </c>
      <c r="T3093" s="9" t="s">
        <v>39</v>
      </c>
      <c r="U3093" s="7">
        <v>0.38</v>
      </c>
      <c r="V3093" s="12">
        <f>C3093+2</f>
        <v>40058</v>
      </c>
      <c r="W3093">
        <f>IF(D3093=' Pivot Tables'!$A$4,1,0)</f>
        <v>0</v>
      </c>
      <c r="X3093">
        <f>IF(AND(LEFT(D3093,4)+1=LEFT(' Pivot Tables'!$A$4,4)+0,RIGHT(LEFT(D3093,7),2)=RIGHT(LEFT(' Pivot Tables'!$A$4,7),2)),1,0)</f>
        <v>0</v>
      </c>
      <c r="Y3093" s="6">
        <f>1/COUNTIF(Таблица1[Order ID],Таблица1[[#This Row],[Order ID]])</f>
        <v>1</v>
      </c>
      <c r="Z3093" s="9">
        <f>1/COUNTIFS(Таблица1[Customer Name],Таблица1[[#This Row],[Customer Name]],Таблица1[Order-Year-Month],Таблица1[[#This Row],[Order-Year-Month]])</f>
        <v>1</v>
      </c>
    </row>
    <row r="3094" spans="1:26" x14ac:dyDescent="0.2">
      <c r="A3094" s="6">
        <v>224</v>
      </c>
      <c r="B3094" s="7">
        <v>1447</v>
      </c>
      <c r="C3094" s="8">
        <f>DATE(2012,12,31)-78</f>
        <v>41196</v>
      </c>
      <c r="D3094" s="8" t="str">
        <f t="shared" si="58"/>
        <v>2012-10 (октябрь 2012)</v>
      </c>
      <c r="E3094" s="9" t="s">
        <v>30</v>
      </c>
      <c r="F3094" s="7">
        <v>40</v>
      </c>
      <c r="G3094" s="7">
        <v>2135.9734999999996</v>
      </c>
      <c r="H3094" s="7">
        <v>7.0000000000000007E-2</v>
      </c>
      <c r="I3094" s="9" t="s">
        <v>22</v>
      </c>
      <c r="J3094" s="10">
        <v>239.4</v>
      </c>
      <c r="K3094" s="11">
        <v>65.989999999999995</v>
      </c>
      <c r="L3094" s="11">
        <v>8.99</v>
      </c>
      <c r="M3094" s="9" t="s">
        <v>1598</v>
      </c>
      <c r="N3094" s="6" t="s">
        <v>1595</v>
      </c>
      <c r="O3094" s="6" t="s">
        <v>1595</v>
      </c>
      <c r="P3094" s="9" t="s">
        <v>33</v>
      </c>
      <c r="Q3094" s="9" t="s">
        <v>42</v>
      </c>
      <c r="R3094" s="9" t="s">
        <v>43</v>
      </c>
      <c r="S3094" s="7" t="s">
        <v>1599</v>
      </c>
      <c r="T3094" s="9" t="s">
        <v>39</v>
      </c>
      <c r="U3094" s="7">
        <v>0.59</v>
      </c>
      <c r="V3094" s="12">
        <f>C3094+3</f>
        <v>41199</v>
      </c>
      <c r="W3094">
        <f>IF(D3094=' Pivot Tables'!$A$4,1,0)</f>
        <v>0</v>
      </c>
      <c r="X3094">
        <f>IF(AND(LEFT(D3094,4)+1=LEFT(' Pivot Tables'!$A$4,4)+0,RIGHT(LEFT(D3094,7),2)=RIGHT(LEFT(' Pivot Tables'!$A$4,7),2)),1,0)</f>
        <v>0</v>
      </c>
      <c r="Y3094" s="6">
        <f>1/COUNTIF(Таблица1[Order ID],Таблица1[[#This Row],[Order ID]])</f>
        <v>1</v>
      </c>
      <c r="Z3094" s="9">
        <f>1/COUNTIFS(Таблица1[Customer Name],Таблица1[[#This Row],[Customer Name]],Таблица1[Order-Year-Month],Таблица1[[#This Row],[Order-Year-Month]])</f>
        <v>0.5</v>
      </c>
    </row>
    <row r="3095" spans="1:26" x14ac:dyDescent="0.2">
      <c r="A3095" s="6">
        <v>311</v>
      </c>
      <c r="B3095" s="7">
        <v>2150</v>
      </c>
      <c r="C3095" s="8">
        <f>DATE(2012,12,31)-1308</f>
        <v>39966</v>
      </c>
      <c r="D3095" s="8" t="str">
        <f t="shared" si="58"/>
        <v>2009-06 (июнь 2009)</v>
      </c>
      <c r="E3095" s="9" t="s">
        <v>63</v>
      </c>
      <c r="F3095" s="7">
        <v>21</v>
      </c>
      <c r="G3095" s="7">
        <v>3905.75</v>
      </c>
      <c r="H3095" s="7">
        <v>0.01</v>
      </c>
      <c r="I3095" s="9" t="s">
        <v>31</v>
      </c>
      <c r="J3095" s="10">
        <v>55.301850000000002</v>
      </c>
      <c r="K3095" s="11">
        <v>179.29</v>
      </c>
      <c r="L3095" s="11">
        <v>29.21</v>
      </c>
      <c r="M3095" s="9" t="s">
        <v>1600</v>
      </c>
      <c r="N3095" s="6" t="s">
        <v>1595</v>
      </c>
      <c r="O3095" s="6" t="s">
        <v>1595</v>
      </c>
      <c r="P3095" s="9" t="s">
        <v>41</v>
      </c>
      <c r="Q3095" s="9" t="s">
        <v>49</v>
      </c>
      <c r="R3095" s="9" t="s">
        <v>83</v>
      </c>
      <c r="S3095" s="7" t="s">
        <v>207</v>
      </c>
      <c r="T3095" s="9" t="s">
        <v>82</v>
      </c>
      <c r="U3095" s="7">
        <v>0.76</v>
      </c>
      <c r="V3095" s="12">
        <f>C3095+2</f>
        <v>39968</v>
      </c>
      <c r="W3095">
        <f>IF(D3095=' Pivot Tables'!$A$4,1,0)</f>
        <v>0</v>
      </c>
      <c r="X3095">
        <f>IF(AND(LEFT(D3095,4)+1=LEFT(' Pivot Tables'!$A$4,4)+0,RIGHT(LEFT(D3095,7),2)=RIGHT(LEFT(' Pivot Tables'!$A$4,7),2)),1,0)</f>
        <v>0</v>
      </c>
      <c r="Y3095" s="6">
        <f>1/COUNTIF(Таблица1[Order ID],Таблица1[[#This Row],[Order ID]])</f>
        <v>1</v>
      </c>
      <c r="Z3095" s="9">
        <f>1/COUNTIFS(Таблица1[Customer Name],Таблица1[[#This Row],[Customer Name]],Таблица1[Order-Year-Month],Таблица1[[#This Row],[Order-Year-Month]])</f>
        <v>0.25</v>
      </c>
    </row>
    <row r="3096" spans="1:26" x14ac:dyDescent="0.2">
      <c r="A3096" s="6">
        <v>320</v>
      </c>
      <c r="B3096" s="7">
        <v>2211</v>
      </c>
      <c r="C3096" s="8">
        <f>DATE(2012,12,31)-1281</f>
        <v>39993</v>
      </c>
      <c r="D3096" s="8" t="str">
        <f t="shared" si="58"/>
        <v>2009-06 (июнь 2009)</v>
      </c>
      <c r="E3096" s="9" t="s">
        <v>30</v>
      </c>
      <c r="F3096" s="7">
        <v>22</v>
      </c>
      <c r="G3096" s="7">
        <v>1651.09</v>
      </c>
      <c r="H3096" s="7">
        <v>0.05</v>
      </c>
      <c r="I3096" s="9" t="s">
        <v>22</v>
      </c>
      <c r="J3096" s="10">
        <v>-2.3800000000000239</v>
      </c>
      <c r="K3096" s="11">
        <v>73.98</v>
      </c>
      <c r="L3096" s="11">
        <v>12.14</v>
      </c>
      <c r="M3096" s="9" t="s">
        <v>1600</v>
      </c>
      <c r="N3096" s="6" t="s">
        <v>1595</v>
      </c>
      <c r="O3096" s="6" t="s">
        <v>1595</v>
      </c>
      <c r="P3096" s="9" t="s">
        <v>60</v>
      </c>
      <c r="Q3096" s="9" t="s">
        <v>42</v>
      </c>
      <c r="R3096" s="9" t="s">
        <v>70</v>
      </c>
      <c r="S3096" s="7" t="s">
        <v>810</v>
      </c>
      <c r="T3096" s="9" t="s">
        <v>39</v>
      </c>
      <c r="U3096" s="7">
        <v>0.67</v>
      </c>
      <c r="V3096" s="12">
        <f>C3096+1</f>
        <v>39994</v>
      </c>
      <c r="W3096">
        <f>IF(D3096=' Pivot Tables'!$A$4,1,0)</f>
        <v>0</v>
      </c>
      <c r="X3096">
        <f>IF(AND(LEFT(D3096,4)+1=LEFT(' Pivot Tables'!$A$4,4)+0,RIGHT(LEFT(D3096,7),2)=RIGHT(LEFT(' Pivot Tables'!$A$4,7),2)),1,0)</f>
        <v>0</v>
      </c>
      <c r="Y3096" s="6">
        <f>1/COUNTIF(Таблица1[Order ID],Таблица1[[#This Row],[Order ID]])</f>
        <v>0.33333333333333331</v>
      </c>
      <c r="Z3096" s="9">
        <f>1/COUNTIFS(Таблица1[Customer Name],Таблица1[[#This Row],[Customer Name]],Таблица1[Order-Year-Month],Таблица1[[#This Row],[Order-Year-Month]])</f>
        <v>0.25</v>
      </c>
    </row>
    <row r="3097" spans="1:26" x14ac:dyDescent="0.2">
      <c r="A3097" s="6">
        <v>321</v>
      </c>
      <c r="B3097" s="7">
        <v>2211</v>
      </c>
      <c r="C3097" s="8">
        <f>DATE(2012,12,31)-1281</f>
        <v>39993</v>
      </c>
      <c r="D3097" s="8" t="str">
        <f t="shared" si="58"/>
        <v>2009-06 (июнь 2009)</v>
      </c>
      <c r="E3097" s="9" t="s">
        <v>30</v>
      </c>
      <c r="F3097" s="7">
        <v>14</v>
      </c>
      <c r="G3097" s="7">
        <v>95.89</v>
      </c>
      <c r="H3097" s="7">
        <v>0</v>
      </c>
      <c r="I3097" s="9" t="s">
        <v>22</v>
      </c>
      <c r="J3097" s="10">
        <v>-46.31</v>
      </c>
      <c r="K3097" s="11">
        <v>5.98</v>
      </c>
      <c r="L3097" s="11">
        <v>7.15</v>
      </c>
      <c r="M3097" s="9" t="s">
        <v>1600</v>
      </c>
      <c r="N3097" s="6" t="s">
        <v>1595</v>
      </c>
      <c r="O3097" s="6" t="s">
        <v>1595</v>
      </c>
      <c r="P3097" s="9" t="s">
        <v>60</v>
      </c>
      <c r="Q3097" s="9" t="s">
        <v>26</v>
      </c>
      <c r="R3097" s="9" t="s">
        <v>61</v>
      </c>
      <c r="S3097" s="7" t="s">
        <v>1424</v>
      </c>
      <c r="T3097" s="9" t="s">
        <v>39</v>
      </c>
      <c r="U3097" s="7">
        <v>0.36</v>
      </c>
      <c r="V3097" s="12">
        <f>C3097+2</f>
        <v>39995</v>
      </c>
      <c r="W3097">
        <f>IF(D3097=' Pivot Tables'!$A$4,1,0)</f>
        <v>0</v>
      </c>
      <c r="X3097">
        <f>IF(AND(LEFT(D3097,4)+1=LEFT(' Pivot Tables'!$A$4,4)+0,RIGHT(LEFT(D3097,7),2)=RIGHT(LEFT(' Pivot Tables'!$A$4,7),2)),1,0)</f>
        <v>0</v>
      </c>
      <c r="Y3097" s="6">
        <f>1/COUNTIF(Таблица1[Order ID],Таблица1[[#This Row],[Order ID]])</f>
        <v>0.33333333333333331</v>
      </c>
      <c r="Z3097" s="9">
        <f>1/COUNTIFS(Таблица1[Customer Name],Таблица1[[#This Row],[Customer Name]],Таблица1[Order-Year-Month],Таблица1[[#This Row],[Order-Year-Month]])</f>
        <v>0.25</v>
      </c>
    </row>
    <row r="3098" spans="1:26" x14ac:dyDescent="0.2">
      <c r="A3098" s="6">
        <v>322</v>
      </c>
      <c r="B3098" s="7">
        <v>2211</v>
      </c>
      <c r="C3098" s="8">
        <f>DATE(2012,12,31)-1281</f>
        <v>39993</v>
      </c>
      <c r="D3098" s="8" t="str">
        <f t="shared" si="58"/>
        <v>2009-06 (июнь 2009)</v>
      </c>
      <c r="E3098" s="9" t="s">
        <v>30</v>
      </c>
      <c r="F3098" s="7">
        <v>23</v>
      </c>
      <c r="G3098" s="7">
        <v>80.38</v>
      </c>
      <c r="H3098" s="7">
        <v>0.09</v>
      </c>
      <c r="I3098" s="9" t="s">
        <v>22</v>
      </c>
      <c r="J3098" s="10">
        <v>-71.11</v>
      </c>
      <c r="K3098" s="11">
        <v>3.57</v>
      </c>
      <c r="L3098" s="11">
        <v>4.17</v>
      </c>
      <c r="M3098" s="9" t="s">
        <v>1600</v>
      </c>
      <c r="N3098" s="6" t="s">
        <v>1595</v>
      </c>
      <c r="O3098" s="6" t="s">
        <v>1595</v>
      </c>
      <c r="P3098" s="9" t="s">
        <v>60</v>
      </c>
      <c r="Q3098" s="9" t="s">
        <v>26</v>
      </c>
      <c r="R3098" s="9" t="s">
        <v>95</v>
      </c>
      <c r="S3098" s="7" t="s">
        <v>739</v>
      </c>
      <c r="T3098" s="9" t="s">
        <v>52</v>
      </c>
      <c r="U3098" s="7">
        <v>0.59</v>
      </c>
      <c r="V3098" s="12">
        <f>C3098+2</f>
        <v>39995</v>
      </c>
      <c r="W3098">
        <f>IF(D3098=' Pivot Tables'!$A$4,1,0)</f>
        <v>0</v>
      </c>
      <c r="X3098">
        <f>IF(AND(LEFT(D3098,4)+1=LEFT(' Pivot Tables'!$A$4,4)+0,RIGHT(LEFT(D3098,7),2)=RIGHT(LEFT(' Pivot Tables'!$A$4,7),2)),1,0)</f>
        <v>0</v>
      </c>
      <c r="Y3098" s="6">
        <f>1/COUNTIF(Таблица1[Order ID],Таблица1[[#This Row],[Order ID]])</f>
        <v>0.33333333333333331</v>
      </c>
      <c r="Z3098" s="9">
        <f>1/COUNTIFS(Таблица1[Customer Name],Таблица1[[#This Row],[Customer Name]],Таблица1[Order-Year-Month],Таблица1[[#This Row],[Order-Year-Month]])</f>
        <v>0.25</v>
      </c>
    </row>
    <row r="3099" spans="1:26" x14ac:dyDescent="0.2">
      <c r="A3099" s="6">
        <v>339</v>
      </c>
      <c r="B3099" s="7">
        <v>2307</v>
      </c>
      <c r="C3099" s="8">
        <f>DATE(2012,12,31)-917</f>
        <v>40357</v>
      </c>
      <c r="D3099" s="8" t="str">
        <f t="shared" si="58"/>
        <v>2010-06 (июнь 2010)</v>
      </c>
      <c r="E3099" s="9" t="s">
        <v>21</v>
      </c>
      <c r="F3099" s="7">
        <v>32</v>
      </c>
      <c r="G3099" s="7">
        <v>182.33</v>
      </c>
      <c r="H3099" s="7">
        <v>0.1</v>
      </c>
      <c r="I3099" s="9" t="s">
        <v>22</v>
      </c>
      <c r="J3099" s="10">
        <v>40.850999999999999</v>
      </c>
      <c r="K3099" s="11">
        <v>5.98</v>
      </c>
      <c r="L3099" s="11">
        <v>1.49</v>
      </c>
      <c r="M3099" s="9" t="s">
        <v>1601</v>
      </c>
      <c r="N3099" s="6" t="s">
        <v>1595</v>
      </c>
      <c r="O3099" s="6" t="s">
        <v>1595</v>
      </c>
      <c r="P3099" s="9" t="s">
        <v>41</v>
      </c>
      <c r="Q3099" s="9" t="s">
        <v>26</v>
      </c>
      <c r="R3099" s="9" t="s">
        <v>37</v>
      </c>
      <c r="S3099" s="7" t="s">
        <v>1351</v>
      </c>
      <c r="T3099" s="9" t="s">
        <v>39</v>
      </c>
      <c r="U3099" s="7">
        <v>0.39</v>
      </c>
      <c r="V3099" s="12">
        <f>C3099+0</f>
        <v>40357</v>
      </c>
      <c r="W3099">
        <f>IF(D3099=' Pivot Tables'!$A$4,1,0)</f>
        <v>0</v>
      </c>
      <c r="X3099">
        <f>IF(AND(LEFT(D3099,4)+1=LEFT(' Pivot Tables'!$A$4,4)+0,RIGHT(LEFT(D3099,7),2)=RIGHT(LEFT(' Pivot Tables'!$A$4,7),2)),1,0)</f>
        <v>0</v>
      </c>
      <c r="Y3099" s="6">
        <f>1/COUNTIF(Таблица1[Order ID],Таблица1[[#This Row],[Order ID]])</f>
        <v>1</v>
      </c>
      <c r="Z3099" s="9">
        <f>1/COUNTIFS(Таблица1[Customer Name],Таблица1[[#This Row],[Customer Name]],Таблица1[Order-Year-Month],Таблица1[[#This Row],[Order-Year-Month]])</f>
        <v>1</v>
      </c>
    </row>
    <row r="3100" spans="1:26" x14ac:dyDescent="0.2">
      <c r="A3100" s="6">
        <v>345</v>
      </c>
      <c r="B3100" s="7">
        <v>2370</v>
      </c>
      <c r="C3100" s="8">
        <f>DATE(2012,12,31)-1445</f>
        <v>39829</v>
      </c>
      <c r="D3100" s="8" t="str">
        <f t="shared" si="58"/>
        <v>2009-01 (январь 2009)</v>
      </c>
      <c r="E3100" s="9" t="s">
        <v>78</v>
      </c>
      <c r="F3100" s="7">
        <v>6</v>
      </c>
      <c r="G3100" s="7">
        <v>679.6</v>
      </c>
      <c r="H3100" s="7">
        <v>0.02</v>
      </c>
      <c r="I3100" s="9" t="s">
        <v>22</v>
      </c>
      <c r="J3100" s="10">
        <v>-85.76</v>
      </c>
      <c r="K3100" s="11">
        <v>110.98</v>
      </c>
      <c r="L3100" s="11">
        <v>13.99</v>
      </c>
      <c r="M3100" s="9" t="s">
        <v>1597</v>
      </c>
      <c r="N3100" s="6" t="s">
        <v>1595</v>
      </c>
      <c r="O3100" s="6" t="s">
        <v>1595</v>
      </c>
      <c r="P3100" s="9" t="s">
        <v>33</v>
      </c>
      <c r="Q3100" s="9" t="s">
        <v>49</v>
      </c>
      <c r="R3100" s="9" t="s">
        <v>50</v>
      </c>
      <c r="S3100" s="7" t="s">
        <v>563</v>
      </c>
      <c r="T3100" s="9" t="s">
        <v>48</v>
      </c>
      <c r="U3100" s="7">
        <v>0.69</v>
      </c>
      <c r="V3100" s="12">
        <f>C3100+2</f>
        <v>39831</v>
      </c>
      <c r="W3100">
        <f>IF(D3100=' Pivot Tables'!$A$4,1,0)</f>
        <v>0</v>
      </c>
      <c r="X3100">
        <f>IF(AND(LEFT(D3100,4)+1=LEFT(' Pivot Tables'!$A$4,4)+0,RIGHT(LEFT(D3100,7),2)=RIGHT(LEFT(' Pivot Tables'!$A$4,7),2)),1,0)</f>
        <v>1</v>
      </c>
      <c r="Y3100" s="6">
        <f>1/COUNTIF(Таблица1[Order ID],Таблица1[[#This Row],[Order ID]])</f>
        <v>0.5</v>
      </c>
      <c r="Z3100" s="9">
        <f>1/COUNTIFS(Таблица1[Customer Name],Таблица1[[#This Row],[Customer Name]],Таблица1[Order-Year-Month],Таблица1[[#This Row],[Order-Year-Month]])</f>
        <v>0.5</v>
      </c>
    </row>
    <row r="3101" spans="1:26" x14ac:dyDescent="0.2">
      <c r="A3101" s="6">
        <v>346</v>
      </c>
      <c r="B3101" s="7">
        <v>2370</v>
      </c>
      <c r="C3101" s="8">
        <f>DATE(2012,12,31)-1445</f>
        <v>39829</v>
      </c>
      <c r="D3101" s="8" t="str">
        <f t="shared" si="58"/>
        <v>2009-01 (январь 2009)</v>
      </c>
      <c r="E3101" s="9" t="s">
        <v>78</v>
      </c>
      <c r="F3101" s="7">
        <v>30</v>
      </c>
      <c r="G3101" s="7">
        <v>257.42</v>
      </c>
      <c r="H3101" s="7">
        <v>0.01</v>
      </c>
      <c r="I3101" s="9" t="s">
        <v>22</v>
      </c>
      <c r="J3101" s="10">
        <v>59.18</v>
      </c>
      <c r="K3101" s="11">
        <v>8.01</v>
      </c>
      <c r="L3101" s="11">
        <v>2.87</v>
      </c>
      <c r="M3101" s="9" t="s">
        <v>1597</v>
      </c>
      <c r="N3101" s="6" t="s">
        <v>1595</v>
      </c>
      <c r="O3101" s="6" t="s">
        <v>1595</v>
      </c>
      <c r="P3101" s="9" t="s">
        <v>33</v>
      </c>
      <c r="Q3101" s="9" t="s">
        <v>26</v>
      </c>
      <c r="R3101" s="9" t="s">
        <v>61</v>
      </c>
      <c r="S3101" s="7" t="s">
        <v>701</v>
      </c>
      <c r="T3101" s="9" t="s">
        <v>68</v>
      </c>
      <c r="U3101" s="7">
        <v>0.4</v>
      </c>
      <c r="V3101" s="12">
        <f>C3101+2</f>
        <v>39831</v>
      </c>
      <c r="W3101">
        <f>IF(D3101=' Pivot Tables'!$A$4,1,0)</f>
        <v>0</v>
      </c>
      <c r="X3101">
        <f>IF(AND(LEFT(D3101,4)+1=LEFT(' Pivot Tables'!$A$4,4)+0,RIGHT(LEFT(D3101,7),2)=RIGHT(LEFT(' Pivot Tables'!$A$4,7),2)),1,0)</f>
        <v>1</v>
      </c>
      <c r="Y3101" s="6">
        <f>1/COUNTIF(Таблица1[Order ID],Таблица1[[#This Row],[Order ID]])</f>
        <v>0.5</v>
      </c>
      <c r="Z3101" s="9">
        <f>1/COUNTIFS(Таблица1[Customer Name],Таблица1[[#This Row],[Customer Name]],Таблица1[Order-Year-Month],Таблица1[[#This Row],[Order-Year-Month]])</f>
        <v>0.5</v>
      </c>
    </row>
    <row r="3102" spans="1:26" x14ac:dyDescent="0.2">
      <c r="A3102" s="6">
        <v>348</v>
      </c>
      <c r="B3102" s="7">
        <v>2374</v>
      </c>
      <c r="C3102" s="8">
        <f>DATE(2012,12,31)-795</f>
        <v>40479</v>
      </c>
      <c r="D3102" s="8" t="str">
        <f t="shared" si="58"/>
        <v>2010-10 (октябрь 2010)</v>
      </c>
      <c r="E3102" s="9" t="s">
        <v>45</v>
      </c>
      <c r="F3102" s="7">
        <v>21</v>
      </c>
      <c r="G3102" s="7">
        <v>78.17</v>
      </c>
      <c r="H3102" s="7">
        <v>0.01</v>
      </c>
      <c r="I3102" s="9" t="s">
        <v>56</v>
      </c>
      <c r="J3102" s="10">
        <v>-72.703000000000003</v>
      </c>
      <c r="K3102" s="11">
        <v>2.84</v>
      </c>
      <c r="L3102" s="11">
        <v>5.44</v>
      </c>
      <c r="M3102" s="9" t="s">
        <v>1602</v>
      </c>
      <c r="N3102" s="6" t="s">
        <v>1595</v>
      </c>
      <c r="O3102" s="6" t="s">
        <v>1595</v>
      </c>
      <c r="P3102" s="9" t="s">
        <v>33</v>
      </c>
      <c r="Q3102" s="9" t="s">
        <v>26</v>
      </c>
      <c r="R3102" s="9" t="s">
        <v>37</v>
      </c>
      <c r="S3102" s="7" t="s">
        <v>1117</v>
      </c>
      <c r="T3102" s="9" t="s">
        <v>39</v>
      </c>
      <c r="U3102" s="7">
        <v>0.36</v>
      </c>
      <c r="V3102" s="12">
        <f>C3102+2</f>
        <v>40481</v>
      </c>
      <c r="W3102">
        <f>IF(D3102=' Pivot Tables'!$A$4,1,0)</f>
        <v>0</v>
      </c>
      <c r="X3102">
        <f>IF(AND(LEFT(D3102,4)+1=LEFT(' Pivot Tables'!$A$4,4)+0,RIGHT(LEFT(D3102,7),2)=RIGHT(LEFT(' Pivot Tables'!$A$4,7),2)),1,0)</f>
        <v>0</v>
      </c>
      <c r="Y3102" s="6">
        <f>1/COUNTIF(Таблица1[Order ID],Таблица1[[#This Row],[Order ID]])</f>
        <v>1</v>
      </c>
      <c r="Z3102" s="9">
        <f>1/COUNTIFS(Таблица1[Customer Name],Таблица1[[#This Row],[Customer Name]],Таблица1[Order-Year-Month],Таблица1[[#This Row],[Order-Year-Month]])</f>
        <v>1</v>
      </c>
    </row>
    <row r="3103" spans="1:26" x14ac:dyDescent="0.2">
      <c r="A3103" s="6">
        <v>462</v>
      </c>
      <c r="B3103" s="7">
        <v>3138</v>
      </c>
      <c r="C3103" s="8">
        <f>DATE(2012,12,31)-1422</f>
        <v>39852</v>
      </c>
      <c r="D3103" s="8" t="str">
        <f t="shared" si="58"/>
        <v>2009-02 (февраль 2009)</v>
      </c>
      <c r="E3103" s="9" t="s">
        <v>45</v>
      </c>
      <c r="F3103" s="7">
        <v>4</v>
      </c>
      <c r="G3103" s="7">
        <v>718.03</v>
      </c>
      <c r="H3103" s="7">
        <v>7.0000000000000007E-2</v>
      </c>
      <c r="I3103" s="9" t="s">
        <v>56</v>
      </c>
      <c r="J3103" s="10">
        <v>-427.47</v>
      </c>
      <c r="K3103" s="11">
        <v>179.99</v>
      </c>
      <c r="L3103" s="11">
        <v>19.989999999999998</v>
      </c>
      <c r="M3103" s="9" t="s">
        <v>1603</v>
      </c>
      <c r="N3103" s="6" t="s">
        <v>1595</v>
      </c>
      <c r="O3103" s="6" t="s">
        <v>1595</v>
      </c>
      <c r="P3103" s="9" t="s">
        <v>33</v>
      </c>
      <c r="Q3103" s="9" t="s">
        <v>42</v>
      </c>
      <c r="R3103" s="9" t="s">
        <v>70</v>
      </c>
      <c r="S3103" s="7" t="s">
        <v>811</v>
      </c>
      <c r="T3103" s="9" t="s">
        <v>39</v>
      </c>
      <c r="U3103" s="7">
        <v>0.48</v>
      </c>
      <c r="V3103" s="12">
        <f>C3103+0</f>
        <v>39852</v>
      </c>
      <c r="W3103">
        <f>IF(D3103=' Pivot Tables'!$A$4,1,0)</f>
        <v>0</v>
      </c>
      <c r="X3103">
        <f>IF(AND(LEFT(D3103,4)+1=LEFT(' Pivot Tables'!$A$4,4)+0,RIGHT(LEFT(D3103,7),2)=RIGHT(LEFT(' Pivot Tables'!$A$4,7),2)),1,0)</f>
        <v>0</v>
      </c>
      <c r="Y3103" s="6">
        <f>1/COUNTIF(Таблица1[Order ID],Таблица1[[#This Row],[Order ID]])</f>
        <v>1</v>
      </c>
      <c r="Z3103" s="9">
        <f>1/COUNTIFS(Таблица1[Customer Name],Таблица1[[#This Row],[Customer Name]],Таблица1[Order-Year-Month],Таблица1[[#This Row],[Order-Year-Month]])</f>
        <v>1</v>
      </c>
    </row>
    <row r="3104" spans="1:26" x14ac:dyDescent="0.2">
      <c r="A3104" s="6">
        <v>463</v>
      </c>
      <c r="B3104" s="7">
        <v>3141</v>
      </c>
      <c r="C3104" s="8">
        <f>DATE(2012,12,31)-418</f>
        <v>40856</v>
      </c>
      <c r="D3104" s="8" t="str">
        <f t="shared" si="58"/>
        <v>2011-11 (ноябрь 2011)</v>
      </c>
      <c r="E3104" s="9" t="s">
        <v>78</v>
      </c>
      <c r="F3104" s="7">
        <v>30</v>
      </c>
      <c r="G3104" s="7">
        <v>534.96</v>
      </c>
      <c r="H3104" s="7">
        <v>0.08</v>
      </c>
      <c r="I3104" s="9" t="s">
        <v>22</v>
      </c>
      <c r="J3104" s="10">
        <v>-26.72</v>
      </c>
      <c r="K3104" s="11">
        <v>18.89</v>
      </c>
      <c r="L3104" s="11">
        <v>3.17</v>
      </c>
      <c r="M3104" s="9" t="s">
        <v>1396</v>
      </c>
      <c r="N3104" s="6" t="s">
        <v>1595</v>
      </c>
      <c r="O3104" s="6" t="s">
        <v>1595</v>
      </c>
      <c r="P3104" s="9" t="s">
        <v>60</v>
      </c>
      <c r="Q3104" s="9" t="s">
        <v>42</v>
      </c>
      <c r="R3104" s="9" t="s">
        <v>70</v>
      </c>
      <c r="S3104" s="7" t="s">
        <v>1604</v>
      </c>
      <c r="T3104" s="9" t="s">
        <v>52</v>
      </c>
      <c r="U3104" s="7">
        <v>0.69</v>
      </c>
      <c r="V3104" s="12">
        <f>C3104+2</f>
        <v>40858</v>
      </c>
      <c r="W3104">
        <f>IF(D3104=' Pivot Tables'!$A$4,1,0)</f>
        <v>0</v>
      </c>
      <c r="X3104">
        <f>IF(AND(LEFT(D3104,4)+1=LEFT(' Pivot Tables'!$A$4,4)+0,RIGHT(LEFT(D3104,7),2)=RIGHT(LEFT(' Pivot Tables'!$A$4,7),2)),1,0)</f>
        <v>0</v>
      </c>
      <c r="Y3104" s="6">
        <f>1/COUNTIF(Таблица1[Order ID],Таблица1[[#This Row],[Order ID]])</f>
        <v>1</v>
      </c>
      <c r="Z3104" s="9">
        <f>1/COUNTIFS(Таблица1[Customer Name],Таблица1[[#This Row],[Customer Name]],Таблица1[Order-Year-Month],Таблица1[[#This Row],[Order-Year-Month]])</f>
        <v>0.25</v>
      </c>
    </row>
    <row r="3105" spans="1:26" x14ac:dyDescent="0.2">
      <c r="A3105" s="6">
        <v>641</v>
      </c>
      <c r="B3105" s="7">
        <v>4515</v>
      </c>
      <c r="C3105" s="8">
        <f>DATE(2012,12,31)-290</f>
        <v>40984</v>
      </c>
      <c r="D3105" s="8" t="str">
        <f t="shared" si="58"/>
        <v>2012-03 (март 2012)</v>
      </c>
      <c r="E3105" s="9" t="s">
        <v>78</v>
      </c>
      <c r="F3105" s="7">
        <v>7</v>
      </c>
      <c r="G3105" s="7">
        <v>887.94</v>
      </c>
      <c r="H3105" s="7">
        <v>0.02</v>
      </c>
      <c r="I3105" s="9" t="s">
        <v>22</v>
      </c>
      <c r="J3105" s="10">
        <v>49.45</v>
      </c>
      <c r="K3105" s="11">
        <v>120.97</v>
      </c>
      <c r="L3105" s="11">
        <v>7.11</v>
      </c>
      <c r="M3105" s="9" t="s">
        <v>1600</v>
      </c>
      <c r="N3105" s="6" t="s">
        <v>1595</v>
      </c>
      <c r="O3105" s="6" t="s">
        <v>1595</v>
      </c>
      <c r="P3105" s="9" t="s">
        <v>33</v>
      </c>
      <c r="Q3105" s="9" t="s">
        <v>42</v>
      </c>
      <c r="R3105" s="9" t="s">
        <v>210</v>
      </c>
      <c r="S3105" s="7" t="s">
        <v>211</v>
      </c>
      <c r="T3105" s="9" t="s">
        <v>48</v>
      </c>
      <c r="U3105" s="7">
        <v>0.36</v>
      </c>
      <c r="V3105" s="12">
        <f>C3105+1</f>
        <v>40985</v>
      </c>
      <c r="W3105">
        <f>IF(D3105=' Pivot Tables'!$A$4,1,0)</f>
        <v>0</v>
      </c>
      <c r="X3105">
        <f>IF(AND(LEFT(D3105,4)+1=LEFT(' Pivot Tables'!$A$4,4)+0,RIGHT(LEFT(D3105,7),2)=RIGHT(LEFT(' Pivot Tables'!$A$4,7),2)),1,0)</f>
        <v>0</v>
      </c>
      <c r="Y3105" s="6">
        <f>1/COUNTIF(Таблица1[Order ID],Таблица1[[#This Row],[Order ID]])</f>
        <v>1</v>
      </c>
      <c r="Z3105" s="9">
        <f>1/COUNTIFS(Таблица1[Customer Name],Таблица1[[#This Row],[Customer Name]],Таблица1[Order-Year-Month],Таблица1[[#This Row],[Order-Year-Month]])</f>
        <v>1</v>
      </c>
    </row>
    <row r="3106" spans="1:26" x14ac:dyDescent="0.2">
      <c r="A3106" s="6">
        <v>675</v>
      </c>
      <c r="B3106" s="7">
        <v>4708</v>
      </c>
      <c r="C3106" s="8">
        <f>DATE(2012,12,31)-1188</f>
        <v>40086</v>
      </c>
      <c r="D3106" s="8" t="str">
        <f t="shared" si="58"/>
        <v>2009-09 (сентябрь 2009)</v>
      </c>
      <c r="E3106" s="9" t="s">
        <v>78</v>
      </c>
      <c r="F3106" s="7">
        <v>29</v>
      </c>
      <c r="G3106" s="7">
        <v>180.38</v>
      </c>
      <c r="H3106" s="7">
        <v>0.08</v>
      </c>
      <c r="I3106" s="9" t="s">
        <v>22</v>
      </c>
      <c r="J3106" s="10">
        <v>-119.32</v>
      </c>
      <c r="K3106" s="11">
        <v>6.48</v>
      </c>
      <c r="L3106" s="11">
        <v>7.49</v>
      </c>
      <c r="M3106" s="9" t="s">
        <v>1594</v>
      </c>
      <c r="N3106" s="6" t="s">
        <v>1595</v>
      </c>
      <c r="O3106" s="6" t="s">
        <v>1595</v>
      </c>
      <c r="P3106" s="9" t="s">
        <v>41</v>
      </c>
      <c r="Q3106" s="9" t="s">
        <v>26</v>
      </c>
      <c r="R3106" s="9" t="s">
        <v>61</v>
      </c>
      <c r="S3106" s="7" t="s">
        <v>643</v>
      </c>
      <c r="T3106" s="9" t="s">
        <v>39</v>
      </c>
      <c r="U3106" s="7">
        <v>0.37</v>
      </c>
      <c r="V3106" s="12">
        <f>C3106+2</f>
        <v>40088</v>
      </c>
      <c r="W3106">
        <f>IF(D3106=' Pivot Tables'!$A$4,1,0)</f>
        <v>0</v>
      </c>
      <c r="X3106">
        <f>IF(AND(LEFT(D3106,4)+1=LEFT(' Pivot Tables'!$A$4,4)+0,RIGHT(LEFT(D3106,7),2)=RIGHT(LEFT(' Pivot Tables'!$A$4,7),2)),1,0)</f>
        <v>0</v>
      </c>
      <c r="Y3106" s="6">
        <f>1/COUNTIF(Таблица1[Order ID],Таблица1[[#This Row],[Order ID]])</f>
        <v>1</v>
      </c>
      <c r="Z3106" s="9">
        <f>1/COUNTIFS(Таблица1[Customer Name],Таблица1[[#This Row],[Customer Name]],Таблица1[Order-Year-Month],Таблица1[[#This Row],[Order-Year-Month]])</f>
        <v>1</v>
      </c>
    </row>
    <row r="3107" spans="1:26" x14ac:dyDescent="0.2">
      <c r="A3107" s="6">
        <v>720</v>
      </c>
      <c r="B3107" s="7">
        <v>5155</v>
      </c>
      <c r="C3107" s="8">
        <f>DATE(2012,12,31)-1299</f>
        <v>39975</v>
      </c>
      <c r="D3107" s="8" t="str">
        <f t="shared" si="58"/>
        <v>2009-06 (июнь 2009)</v>
      </c>
      <c r="E3107" s="9" t="s">
        <v>30</v>
      </c>
      <c r="F3107" s="7">
        <v>14</v>
      </c>
      <c r="G3107" s="7">
        <v>569.21</v>
      </c>
      <c r="H3107" s="7">
        <v>0.01</v>
      </c>
      <c r="I3107" s="9" t="s">
        <v>22</v>
      </c>
      <c r="J3107" s="10">
        <v>-38.51</v>
      </c>
      <c r="K3107" s="11">
        <v>39.979999999999997</v>
      </c>
      <c r="L3107" s="11">
        <v>4</v>
      </c>
      <c r="M3107" s="9" t="s">
        <v>1605</v>
      </c>
      <c r="N3107" s="6" t="s">
        <v>1595</v>
      </c>
      <c r="O3107" s="6" t="s">
        <v>1595</v>
      </c>
      <c r="P3107" s="9" t="s">
        <v>41</v>
      </c>
      <c r="Q3107" s="9" t="s">
        <v>42</v>
      </c>
      <c r="R3107" s="9" t="s">
        <v>70</v>
      </c>
      <c r="S3107" s="7" t="s">
        <v>906</v>
      </c>
      <c r="T3107" s="9" t="s">
        <v>39</v>
      </c>
      <c r="U3107" s="7">
        <v>0.7</v>
      </c>
      <c r="V3107" s="12">
        <f>C3107+1</f>
        <v>39976</v>
      </c>
      <c r="W3107">
        <f>IF(D3107=' Pivot Tables'!$A$4,1,0)</f>
        <v>0</v>
      </c>
      <c r="X3107">
        <f>IF(AND(LEFT(D3107,4)+1=LEFT(' Pivot Tables'!$A$4,4)+0,RIGHT(LEFT(D3107,7),2)=RIGHT(LEFT(' Pivot Tables'!$A$4,7),2)),1,0)</f>
        <v>0</v>
      </c>
      <c r="Y3107" s="6">
        <f>1/COUNTIF(Таблица1[Order ID],Таблица1[[#This Row],[Order ID]])</f>
        <v>1</v>
      </c>
      <c r="Z3107" s="9">
        <f>1/COUNTIFS(Таблица1[Customer Name],Таблица1[[#This Row],[Customer Name]],Таблица1[Order-Year-Month],Таблица1[[#This Row],[Order-Year-Month]])</f>
        <v>1</v>
      </c>
    </row>
    <row r="3108" spans="1:26" x14ac:dyDescent="0.2">
      <c r="A3108" s="6">
        <v>752</v>
      </c>
      <c r="B3108" s="7">
        <v>5382</v>
      </c>
      <c r="C3108" s="8">
        <f>DATE(2012,12,31)-354</f>
        <v>40920</v>
      </c>
      <c r="D3108" s="8" t="str">
        <f t="shared" si="58"/>
        <v>2012-01 (январь 2012)</v>
      </c>
      <c r="E3108" s="9" t="s">
        <v>21</v>
      </c>
      <c r="F3108" s="7">
        <v>30</v>
      </c>
      <c r="G3108" s="7">
        <v>260.12</v>
      </c>
      <c r="H3108" s="7">
        <v>0.05</v>
      </c>
      <c r="I3108" s="9" t="s">
        <v>22</v>
      </c>
      <c r="J3108" s="10">
        <v>36.54</v>
      </c>
      <c r="K3108" s="11">
        <v>8.98</v>
      </c>
      <c r="L3108" s="11">
        <v>4.1900000000000004</v>
      </c>
      <c r="M3108" s="9" t="s">
        <v>1594</v>
      </c>
      <c r="N3108" s="6" t="s">
        <v>1595</v>
      </c>
      <c r="O3108" s="6" t="s">
        <v>1595</v>
      </c>
      <c r="P3108" s="9" t="s">
        <v>33</v>
      </c>
      <c r="Q3108" s="9" t="s">
        <v>49</v>
      </c>
      <c r="R3108" s="9" t="s">
        <v>50</v>
      </c>
      <c r="S3108" s="7" t="s">
        <v>1606</v>
      </c>
      <c r="T3108" s="9" t="s">
        <v>52</v>
      </c>
      <c r="U3108" s="7">
        <v>0.43</v>
      </c>
      <c r="V3108" s="12">
        <f>C3108+7</f>
        <v>40927</v>
      </c>
      <c r="W3108">
        <f>IF(D3108=' Pivot Tables'!$A$4,1,0)</f>
        <v>0</v>
      </c>
      <c r="X3108">
        <f>IF(AND(LEFT(D3108,4)+1=LEFT(' Pivot Tables'!$A$4,4)+0,RIGHT(LEFT(D3108,7),2)=RIGHT(LEFT(' Pivot Tables'!$A$4,7),2)),1,0)</f>
        <v>0</v>
      </c>
      <c r="Y3108" s="6">
        <f>1/COUNTIF(Таблица1[Order ID],Таблица1[[#This Row],[Order ID]])</f>
        <v>1</v>
      </c>
      <c r="Z3108" s="9">
        <f>1/COUNTIFS(Таблица1[Customer Name],Таблица1[[#This Row],[Customer Name]],Таблица1[Order-Year-Month],Таблица1[[#This Row],[Order-Year-Month]])</f>
        <v>1</v>
      </c>
    </row>
    <row r="3109" spans="1:26" x14ac:dyDescent="0.2">
      <c r="A3109" s="6">
        <v>756</v>
      </c>
      <c r="B3109" s="7">
        <v>5414</v>
      </c>
      <c r="C3109" s="8">
        <f>DATE(2012,12,31)-1013</f>
        <v>40261</v>
      </c>
      <c r="D3109" s="8" t="str">
        <f t="shared" si="58"/>
        <v>2010-03 (март 2010)</v>
      </c>
      <c r="E3109" s="9" t="s">
        <v>45</v>
      </c>
      <c r="F3109" s="7">
        <v>14</v>
      </c>
      <c r="G3109" s="7">
        <v>284.62</v>
      </c>
      <c r="H3109" s="7">
        <v>0.1</v>
      </c>
      <c r="I3109" s="9" t="s">
        <v>56</v>
      </c>
      <c r="J3109" s="10">
        <v>-27.08</v>
      </c>
      <c r="K3109" s="11">
        <v>20.98</v>
      </c>
      <c r="L3109" s="11">
        <v>5.42</v>
      </c>
      <c r="M3109" s="9" t="s">
        <v>1594</v>
      </c>
      <c r="N3109" s="6" t="s">
        <v>1595</v>
      </c>
      <c r="O3109" s="6" t="s">
        <v>1595</v>
      </c>
      <c r="P3109" s="9" t="s">
        <v>41</v>
      </c>
      <c r="Q3109" s="9" t="s">
        <v>26</v>
      </c>
      <c r="R3109" s="9" t="s">
        <v>27</v>
      </c>
      <c r="S3109" s="7" t="s">
        <v>718</v>
      </c>
      <c r="T3109" s="9" t="s">
        <v>39</v>
      </c>
      <c r="U3109" s="7">
        <v>0.66</v>
      </c>
      <c r="V3109" s="12">
        <f>C3109+1</f>
        <v>40262</v>
      </c>
      <c r="W3109">
        <f>IF(D3109=' Pivot Tables'!$A$4,1,0)</f>
        <v>0</v>
      </c>
      <c r="X3109">
        <f>IF(AND(LEFT(D3109,4)+1=LEFT(' Pivot Tables'!$A$4,4)+0,RIGHT(LEFT(D3109,7),2)=RIGHT(LEFT(' Pivot Tables'!$A$4,7),2)),1,0)</f>
        <v>0</v>
      </c>
      <c r="Y3109" s="6">
        <f>1/COUNTIF(Таблица1[Order ID],Таблица1[[#This Row],[Order ID]])</f>
        <v>1</v>
      </c>
      <c r="Z3109" s="9">
        <f>1/COUNTIFS(Таблица1[Customer Name],Таблица1[[#This Row],[Customer Name]],Таблица1[Order-Year-Month],Таблица1[[#This Row],[Order-Year-Month]])</f>
        <v>1</v>
      </c>
    </row>
    <row r="3110" spans="1:26" x14ac:dyDescent="0.2">
      <c r="A3110" s="6">
        <v>894</v>
      </c>
      <c r="B3110" s="7">
        <v>6433</v>
      </c>
      <c r="C3110" s="8">
        <f>DATE(2012,12,31)-405</f>
        <v>40869</v>
      </c>
      <c r="D3110" s="8" t="str">
        <f t="shared" si="58"/>
        <v>2011-11 (ноябрь 2011)</v>
      </c>
      <c r="E3110" s="9" t="s">
        <v>63</v>
      </c>
      <c r="F3110" s="7">
        <v>41</v>
      </c>
      <c r="G3110" s="7">
        <v>159.26</v>
      </c>
      <c r="H3110" s="7">
        <v>0.01</v>
      </c>
      <c r="I3110" s="9" t="s">
        <v>22</v>
      </c>
      <c r="J3110" s="10">
        <v>73.89</v>
      </c>
      <c r="K3110" s="11">
        <v>3.69</v>
      </c>
      <c r="L3110" s="11">
        <v>0.5</v>
      </c>
      <c r="M3110" s="9" t="s">
        <v>1396</v>
      </c>
      <c r="N3110" s="6" t="s">
        <v>1595</v>
      </c>
      <c r="O3110" s="6" t="s">
        <v>1595</v>
      </c>
      <c r="P3110" s="9" t="s">
        <v>60</v>
      </c>
      <c r="Q3110" s="9" t="s">
        <v>26</v>
      </c>
      <c r="R3110" s="9" t="s">
        <v>88</v>
      </c>
      <c r="S3110" s="7" t="s">
        <v>202</v>
      </c>
      <c r="T3110" s="9" t="s">
        <v>39</v>
      </c>
      <c r="U3110" s="7">
        <v>0.38</v>
      </c>
      <c r="V3110" s="12">
        <f>C3110+1</f>
        <v>40870</v>
      </c>
      <c r="W3110">
        <f>IF(D3110=' Pivot Tables'!$A$4,1,0)</f>
        <v>0</v>
      </c>
      <c r="X3110">
        <f>IF(AND(LEFT(D3110,4)+1=LEFT(' Pivot Tables'!$A$4,4)+0,RIGHT(LEFT(D3110,7),2)=RIGHT(LEFT(' Pivot Tables'!$A$4,7),2)),1,0)</f>
        <v>0</v>
      </c>
      <c r="Y3110" s="6">
        <f>1/COUNTIF(Таблица1[Order ID],Таблица1[[#This Row],[Order ID]])</f>
        <v>1</v>
      </c>
      <c r="Z3110" s="9">
        <f>1/COUNTIFS(Таблица1[Customer Name],Таблица1[[#This Row],[Customer Name]],Таблица1[Order-Year-Month],Таблица1[[#This Row],[Order-Year-Month]])</f>
        <v>0.25</v>
      </c>
    </row>
    <row r="3111" spans="1:26" x14ac:dyDescent="0.2">
      <c r="A3111" s="6">
        <v>898</v>
      </c>
      <c r="B3111" s="7">
        <v>6464</v>
      </c>
      <c r="C3111" s="8">
        <f>DATE(2012,12,31)-1313</f>
        <v>39961</v>
      </c>
      <c r="D3111" s="8" t="str">
        <f t="shared" si="58"/>
        <v>2009-05 (май 2009)</v>
      </c>
      <c r="E3111" s="9" t="s">
        <v>63</v>
      </c>
      <c r="F3111" s="7">
        <v>1</v>
      </c>
      <c r="G3111" s="7">
        <v>57.84</v>
      </c>
      <c r="H3111" s="7">
        <v>7.0000000000000007E-2</v>
      </c>
      <c r="I3111" s="9" t="s">
        <v>22</v>
      </c>
      <c r="J3111" s="10">
        <v>-41.77</v>
      </c>
      <c r="K3111" s="11">
        <v>60.97</v>
      </c>
      <c r="L3111" s="11">
        <v>4.5</v>
      </c>
      <c r="M3111" s="9" t="s">
        <v>497</v>
      </c>
      <c r="N3111" s="6" t="s">
        <v>1595</v>
      </c>
      <c r="O3111" s="6" t="s">
        <v>1595</v>
      </c>
      <c r="P3111" s="9" t="s">
        <v>33</v>
      </c>
      <c r="Q3111" s="9" t="s">
        <v>26</v>
      </c>
      <c r="R3111" s="9" t="s">
        <v>34</v>
      </c>
      <c r="S3111" s="7" t="s">
        <v>1574</v>
      </c>
      <c r="T3111" s="9" t="s">
        <v>39</v>
      </c>
      <c r="U3111" s="7">
        <v>0.56000000000000005</v>
      </c>
      <c r="V3111" s="12">
        <f>C3111+2</f>
        <v>39963</v>
      </c>
      <c r="W3111">
        <f>IF(D3111=' Pivot Tables'!$A$4,1,0)</f>
        <v>0</v>
      </c>
      <c r="X3111">
        <f>IF(AND(LEFT(D3111,4)+1=LEFT(' Pivot Tables'!$A$4,4)+0,RIGHT(LEFT(D3111,7),2)=RIGHT(LEFT(' Pivot Tables'!$A$4,7),2)),1,0)</f>
        <v>0</v>
      </c>
      <c r="Y3111" s="6">
        <f>1/COUNTIF(Таблица1[Order ID],Таблица1[[#This Row],[Order ID]])</f>
        <v>0.5</v>
      </c>
      <c r="Z3111" s="9">
        <f>1/COUNTIFS(Таблица1[Customer Name],Таблица1[[#This Row],[Customer Name]],Таблица1[Order-Year-Month],Таблица1[[#This Row],[Order-Year-Month]])</f>
        <v>0.5</v>
      </c>
    </row>
    <row r="3112" spans="1:26" x14ac:dyDescent="0.2">
      <c r="A3112" s="6">
        <v>899</v>
      </c>
      <c r="B3112" s="7">
        <v>6464</v>
      </c>
      <c r="C3112" s="8">
        <f>DATE(2012,12,31)-1313</f>
        <v>39961</v>
      </c>
      <c r="D3112" s="8" t="str">
        <f t="shared" si="58"/>
        <v>2009-05 (май 2009)</v>
      </c>
      <c r="E3112" s="9" t="s">
        <v>63</v>
      </c>
      <c r="F3112" s="7">
        <v>42</v>
      </c>
      <c r="G3112" s="7">
        <v>3991.99</v>
      </c>
      <c r="H3112" s="7">
        <v>0</v>
      </c>
      <c r="I3112" s="9" t="s">
        <v>22</v>
      </c>
      <c r="J3112" s="10">
        <v>-1014.11</v>
      </c>
      <c r="K3112" s="11">
        <v>90.98</v>
      </c>
      <c r="L3112" s="11">
        <v>56.2</v>
      </c>
      <c r="M3112" s="9" t="s">
        <v>497</v>
      </c>
      <c r="N3112" s="6" t="s">
        <v>1595</v>
      </c>
      <c r="O3112" s="6" t="s">
        <v>1595</v>
      </c>
      <c r="P3112" s="9" t="s">
        <v>33</v>
      </c>
      <c r="Q3112" s="9" t="s">
        <v>49</v>
      </c>
      <c r="R3112" s="9" t="s">
        <v>50</v>
      </c>
      <c r="S3112" s="7" t="s">
        <v>574</v>
      </c>
      <c r="T3112" s="9" t="s">
        <v>48</v>
      </c>
      <c r="U3112" s="7">
        <v>0.74</v>
      </c>
      <c r="V3112" s="12">
        <f>C3112+2</f>
        <v>39963</v>
      </c>
      <c r="W3112">
        <f>IF(D3112=' Pivot Tables'!$A$4,1,0)</f>
        <v>0</v>
      </c>
      <c r="X3112">
        <f>IF(AND(LEFT(D3112,4)+1=LEFT(' Pivot Tables'!$A$4,4)+0,RIGHT(LEFT(D3112,7),2)=RIGHT(LEFT(' Pivot Tables'!$A$4,7),2)),1,0)</f>
        <v>0</v>
      </c>
      <c r="Y3112" s="6">
        <f>1/COUNTIF(Таблица1[Order ID],Таблица1[[#This Row],[Order ID]])</f>
        <v>0.5</v>
      </c>
      <c r="Z3112" s="9">
        <f>1/COUNTIFS(Таблица1[Customer Name],Таблица1[[#This Row],[Customer Name]],Таблица1[Order-Year-Month],Таблица1[[#This Row],[Order-Year-Month]])</f>
        <v>0.5</v>
      </c>
    </row>
    <row r="3113" spans="1:26" x14ac:dyDescent="0.2">
      <c r="A3113" s="6">
        <v>1064</v>
      </c>
      <c r="B3113" s="7">
        <v>7846</v>
      </c>
      <c r="C3113" s="8">
        <f>DATE(2012,12,31)-555</f>
        <v>40719</v>
      </c>
      <c r="D3113" s="8" t="str">
        <f t="shared" si="58"/>
        <v>2011-06 (июнь 2011)</v>
      </c>
      <c r="E3113" s="9" t="s">
        <v>21</v>
      </c>
      <c r="F3113" s="7">
        <v>47</v>
      </c>
      <c r="G3113" s="7">
        <v>2926.33</v>
      </c>
      <c r="H3113" s="7">
        <v>0.09</v>
      </c>
      <c r="I3113" s="9" t="s">
        <v>22</v>
      </c>
      <c r="J3113" s="10">
        <v>499.27300000000002</v>
      </c>
      <c r="K3113" s="11">
        <v>67.28</v>
      </c>
      <c r="L3113" s="11">
        <v>19.989999999999998</v>
      </c>
      <c r="M3113" s="9" t="s">
        <v>1296</v>
      </c>
      <c r="N3113" s="6" t="s">
        <v>1595</v>
      </c>
      <c r="O3113" s="6" t="s">
        <v>1595</v>
      </c>
      <c r="P3113" s="9" t="s">
        <v>41</v>
      </c>
      <c r="Q3113" s="9" t="s">
        <v>26</v>
      </c>
      <c r="R3113" s="9" t="s">
        <v>37</v>
      </c>
      <c r="S3113" s="7" t="s">
        <v>637</v>
      </c>
      <c r="T3113" s="9" t="s">
        <v>39</v>
      </c>
      <c r="U3113" s="7">
        <v>0.4</v>
      </c>
      <c r="V3113" s="12">
        <f>C3113+5</f>
        <v>40724</v>
      </c>
      <c r="W3113">
        <f>IF(D3113=' Pivot Tables'!$A$4,1,0)</f>
        <v>0</v>
      </c>
      <c r="X3113">
        <f>IF(AND(LEFT(D3113,4)+1=LEFT(' Pivot Tables'!$A$4,4)+0,RIGHT(LEFT(D3113,7),2)=RIGHT(LEFT(' Pivot Tables'!$A$4,7),2)),1,0)</f>
        <v>0</v>
      </c>
      <c r="Y3113" s="6">
        <f>1/COUNTIF(Таблица1[Order ID],Таблица1[[#This Row],[Order ID]])</f>
        <v>0.25</v>
      </c>
      <c r="Z3113" s="9">
        <f>1/COUNTIFS(Таблица1[Customer Name],Таблица1[[#This Row],[Customer Name]],Таблица1[Order-Year-Month],Таблица1[[#This Row],[Order-Year-Month]])</f>
        <v>0.25</v>
      </c>
    </row>
    <row r="3114" spans="1:26" x14ac:dyDescent="0.2">
      <c r="A3114" s="6">
        <v>1065</v>
      </c>
      <c r="B3114" s="7">
        <v>7846</v>
      </c>
      <c r="C3114" s="8">
        <f>DATE(2012,12,31)-555</f>
        <v>40719</v>
      </c>
      <c r="D3114" s="8" t="str">
        <f t="shared" si="58"/>
        <v>2011-06 (июнь 2011)</v>
      </c>
      <c r="E3114" s="9" t="s">
        <v>21</v>
      </c>
      <c r="F3114" s="7">
        <v>20</v>
      </c>
      <c r="G3114" s="7">
        <v>40.049999999999997</v>
      </c>
      <c r="H3114" s="7">
        <v>0.1</v>
      </c>
      <c r="I3114" s="9" t="s">
        <v>22</v>
      </c>
      <c r="J3114" s="10">
        <v>-10.223500000000001</v>
      </c>
      <c r="K3114" s="11">
        <v>2.08</v>
      </c>
      <c r="L3114" s="11">
        <v>1.49</v>
      </c>
      <c r="M3114" s="9" t="s">
        <v>1296</v>
      </c>
      <c r="N3114" s="6" t="s">
        <v>1595</v>
      </c>
      <c r="O3114" s="6" t="s">
        <v>1595</v>
      </c>
      <c r="P3114" s="9" t="s">
        <v>41</v>
      </c>
      <c r="Q3114" s="9" t="s">
        <v>26</v>
      </c>
      <c r="R3114" s="9" t="s">
        <v>37</v>
      </c>
      <c r="S3114" s="7" t="s">
        <v>745</v>
      </c>
      <c r="T3114" s="9" t="s">
        <v>39</v>
      </c>
      <c r="U3114" s="7">
        <v>0.36</v>
      </c>
      <c r="V3114" s="12">
        <f>C3114+5</f>
        <v>40724</v>
      </c>
      <c r="W3114">
        <f>IF(D3114=' Pivot Tables'!$A$4,1,0)</f>
        <v>0</v>
      </c>
      <c r="X3114">
        <f>IF(AND(LEFT(D3114,4)+1=LEFT(' Pivot Tables'!$A$4,4)+0,RIGHT(LEFT(D3114,7),2)=RIGHT(LEFT(' Pivot Tables'!$A$4,7),2)),1,0)</f>
        <v>0</v>
      </c>
      <c r="Y3114" s="6">
        <f>1/COUNTIF(Таблица1[Order ID],Таблица1[[#This Row],[Order ID]])</f>
        <v>0.25</v>
      </c>
      <c r="Z3114" s="9">
        <f>1/COUNTIFS(Таблица1[Customer Name],Таблица1[[#This Row],[Customer Name]],Таблица1[Order-Year-Month],Таблица1[[#This Row],[Order-Year-Month]])</f>
        <v>0.25</v>
      </c>
    </row>
    <row r="3115" spans="1:26" x14ac:dyDescent="0.2">
      <c r="A3115" s="6">
        <v>1066</v>
      </c>
      <c r="B3115" s="7">
        <v>7846</v>
      </c>
      <c r="C3115" s="8">
        <f>DATE(2012,12,31)-555</f>
        <v>40719</v>
      </c>
      <c r="D3115" s="8" t="str">
        <f t="shared" si="58"/>
        <v>2011-06 (июнь 2011)</v>
      </c>
      <c r="E3115" s="9" t="s">
        <v>21</v>
      </c>
      <c r="F3115" s="7">
        <v>20</v>
      </c>
      <c r="G3115" s="7">
        <v>552.87</v>
      </c>
      <c r="H3115" s="7">
        <v>0.01</v>
      </c>
      <c r="I3115" s="9" t="s">
        <v>22</v>
      </c>
      <c r="J3115" s="10">
        <v>-64.819999999999993</v>
      </c>
      <c r="K3115" s="11">
        <v>26.31</v>
      </c>
      <c r="L3115" s="11">
        <v>5.89</v>
      </c>
      <c r="M3115" s="9" t="s">
        <v>1296</v>
      </c>
      <c r="N3115" s="6" t="s">
        <v>1595</v>
      </c>
      <c r="O3115" s="6" t="s">
        <v>1595</v>
      </c>
      <c r="P3115" s="9" t="s">
        <v>41</v>
      </c>
      <c r="Q3115" s="9" t="s">
        <v>42</v>
      </c>
      <c r="R3115" s="9" t="s">
        <v>70</v>
      </c>
      <c r="S3115" s="7" t="s">
        <v>420</v>
      </c>
      <c r="T3115" s="9" t="s">
        <v>39</v>
      </c>
      <c r="U3115" s="7">
        <v>0.75</v>
      </c>
      <c r="V3115" s="12">
        <f>C3115+7</f>
        <v>40726</v>
      </c>
      <c r="W3115">
        <f>IF(D3115=' Pivot Tables'!$A$4,1,0)</f>
        <v>0</v>
      </c>
      <c r="X3115">
        <f>IF(AND(LEFT(D3115,4)+1=LEFT(' Pivot Tables'!$A$4,4)+0,RIGHT(LEFT(D3115,7),2)=RIGHT(LEFT(' Pivot Tables'!$A$4,7),2)),1,0)</f>
        <v>0</v>
      </c>
      <c r="Y3115" s="6">
        <f>1/COUNTIF(Таблица1[Order ID],Таблица1[[#This Row],[Order ID]])</f>
        <v>0.25</v>
      </c>
      <c r="Z3115" s="9">
        <f>1/COUNTIFS(Таблица1[Customer Name],Таблица1[[#This Row],[Customer Name]],Таблица1[Order-Year-Month],Таблица1[[#This Row],[Order-Year-Month]])</f>
        <v>0.25</v>
      </c>
    </row>
    <row r="3116" spans="1:26" x14ac:dyDescent="0.2">
      <c r="A3116" s="6">
        <v>1067</v>
      </c>
      <c r="B3116" s="7">
        <v>7846</v>
      </c>
      <c r="C3116" s="8">
        <f>DATE(2012,12,31)-555</f>
        <v>40719</v>
      </c>
      <c r="D3116" s="8" t="str">
        <f t="shared" si="58"/>
        <v>2011-06 (июнь 2011)</v>
      </c>
      <c r="E3116" s="9" t="s">
        <v>21</v>
      </c>
      <c r="F3116" s="7">
        <v>12</v>
      </c>
      <c r="G3116" s="7">
        <v>26.33</v>
      </c>
      <c r="H3116" s="7">
        <v>0.05</v>
      </c>
      <c r="I3116" s="9" t="s">
        <v>22</v>
      </c>
      <c r="J3116" s="10">
        <v>-33.61</v>
      </c>
      <c r="K3116" s="11">
        <v>1.76</v>
      </c>
      <c r="L3116" s="11">
        <v>4.8600000000000003</v>
      </c>
      <c r="M3116" s="9" t="s">
        <v>1296</v>
      </c>
      <c r="N3116" s="6" t="s">
        <v>1595</v>
      </c>
      <c r="O3116" s="6" t="s">
        <v>1595</v>
      </c>
      <c r="P3116" s="9" t="s">
        <v>41</v>
      </c>
      <c r="Q3116" s="9" t="s">
        <v>49</v>
      </c>
      <c r="R3116" s="9" t="s">
        <v>50</v>
      </c>
      <c r="S3116" s="7" t="s">
        <v>1607</v>
      </c>
      <c r="T3116" s="9" t="s">
        <v>39</v>
      </c>
      <c r="U3116" s="7">
        <v>0.41</v>
      </c>
      <c r="V3116" s="12">
        <f>C3116+0</f>
        <v>40719</v>
      </c>
      <c r="W3116">
        <f>IF(D3116=' Pivot Tables'!$A$4,1,0)</f>
        <v>0</v>
      </c>
      <c r="X3116">
        <f>IF(AND(LEFT(D3116,4)+1=LEFT(' Pivot Tables'!$A$4,4)+0,RIGHT(LEFT(D3116,7),2)=RIGHT(LEFT(' Pivot Tables'!$A$4,7),2)),1,0)</f>
        <v>0</v>
      </c>
      <c r="Y3116" s="6">
        <f>1/COUNTIF(Таблица1[Order ID],Таблица1[[#This Row],[Order ID]])</f>
        <v>0.25</v>
      </c>
      <c r="Z3116" s="9">
        <f>1/COUNTIFS(Таблица1[Customer Name],Таблица1[[#This Row],[Customer Name]],Таблица1[Order-Year-Month],Таблица1[[#This Row],[Order-Year-Month]])</f>
        <v>0.25</v>
      </c>
    </row>
    <row r="3117" spans="1:26" x14ac:dyDescent="0.2">
      <c r="A3117" s="6">
        <v>1077</v>
      </c>
      <c r="B3117" s="7">
        <v>7936</v>
      </c>
      <c r="C3117" s="8">
        <f>DATE(2012,12,31)-1001</f>
        <v>40273</v>
      </c>
      <c r="D3117" s="8" t="str">
        <f t="shared" si="58"/>
        <v>2010-04 (апрель 2010)</v>
      </c>
      <c r="E3117" s="9" t="s">
        <v>21</v>
      </c>
      <c r="F3117" s="7">
        <v>50</v>
      </c>
      <c r="G3117" s="7">
        <v>2851.17</v>
      </c>
      <c r="H3117" s="7">
        <v>0.06</v>
      </c>
      <c r="I3117" s="9" t="s">
        <v>31</v>
      </c>
      <c r="J3117" s="10">
        <v>-868.88</v>
      </c>
      <c r="K3117" s="11">
        <v>58.14</v>
      </c>
      <c r="L3117" s="11">
        <v>36.61</v>
      </c>
      <c r="M3117" s="9" t="s">
        <v>1605</v>
      </c>
      <c r="N3117" s="6" t="s">
        <v>1595</v>
      </c>
      <c r="O3117" s="6" t="s">
        <v>1595</v>
      </c>
      <c r="P3117" s="9" t="s">
        <v>41</v>
      </c>
      <c r="Q3117" s="9" t="s">
        <v>49</v>
      </c>
      <c r="R3117" s="9" t="s">
        <v>80</v>
      </c>
      <c r="S3117" s="7" t="s">
        <v>233</v>
      </c>
      <c r="T3117" s="9" t="s">
        <v>82</v>
      </c>
      <c r="U3117" s="7">
        <v>0.61</v>
      </c>
      <c r="V3117" s="12">
        <f>C3117+0</f>
        <v>40273</v>
      </c>
      <c r="W3117">
        <f>IF(D3117=' Pivot Tables'!$A$4,1,0)</f>
        <v>0</v>
      </c>
      <c r="X3117">
        <f>IF(AND(LEFT(D3117,4)+1=LEFT(' Pivot Tables'!$A$4,4)+0,RIGHT(LEFT(D3117,7),2)=RIGHT(LEFT(' Pivot Tables'!$A$4,7),2)),1,0)</f>
        <v>0</v>
      </c>
      <c r="Y3117" s="6">
        <f>1/COUNTIF(Таблица1[Order ID],Таблица1[[#This Row],[Order ID]])</f>
        <v>0.5</v>
      </c>
      <c r="Z3117" s="9">
        <f>1/COUNTIFS(Таблица1[Customer Name],Таблица1[[#This Row],[Customer Name]],Таблица1[Order-Year-Month],Таблица1[[#This Row],[Order-Year-Month]])</f>
        <v>0.5</v>
      </c>
    </row>
    <row r="3118" spans="1:26" x14ac:dyDescent="0.2">
      <c r="A3118" s="6">
        <v>1078</v>
      </c>
      <c r="B3118" s="7">
        <v>7936</v>
      </c>
      <c r="C3118" s="8">
        <f>DATE(2012,12,31)-1001</f>
        <v>40273</v>
      </c>
      <c r="D3118" s="8" t="str">
        <f t="shared" si="58"/>
        <v>2010-04 (апрель 2010)</v>
      </c>
      <c r="E3118" s="9" t="s">
        <v>21</v>
      </c>
      <c r="F3118" s="7">
        <v>15</v>
      </c>
      <c r="G3118" s="7">
        <v>183.43</v>
      </c>
      <c r="H3118" s="7">
        <v>0.06</v>
      </c>
      <c r="I3118" s="9" t="s">
        <v>22</v>
      </c>
      <c r="J3118" s="10">
        <v>-41.86</v>
      </c>
      <c r="K3118" s="11">
        <v>12.44</v>
      </c>
      <c r="L3118" s="11">
        <v>6.27</v>
      </c>
      <c r="M3118" s="9" t="s">
        <v>1605</v>
      </c>
      <c r="N3118" s="6" t="s">
        <v>1595</v>
      </c>
      <c r="O3118" s="6" t="s">
        <v>1595</v>
      </c>
      <c r="P3118" s="9" t="s">
        <v>41</v>
      </c>
      <c r="Q3118" s="9" t="s">
        <v>26</v>
      </c>
      <c r="R3118" s="9" t="s">
        <v>27</v>
      </c>
      <c r="S3118" s="7" t="s">
        <v>756</v>
      </c>
      <c r="T3118" s="9" t="s">
        <v>48</v>
      </c>
      <c r="U3118" s="7">
        <v>0.56999999999999995</v>
      </c>
      <c r="V3118" s="12">
        <f>C3118+5</f>
        <v>40278</v>
      </c>
      <c r="W3118">
        <f>IF(D3118=' Pivot Tables'!$A$4,1,0)</f>
        <v>0</v>
      </c>
      <c r="X3118">
        <f>IF(AND(LEFT(D3118,4)+1=LEFT(' Pivot Tables'!$A$4,4)+0,RIGHT(LEFT(D3118,7),2)=RIGHT(LEFT(' Pivot Tables'!$A$4,7),2)),1,0)</f>
        <v>0</v>
      </c>
      <c r="Y3118" s="6">
        <f>1/COUNTIF(Таблица1[Order ID],Таблица1[[#This Row],[Order ID]])</f>
        <v>0.5</v>
      </c>
      <c r="Z3118" s="9">
        <f>1/COUNTIFS(Таблица1[Customer Name],Таблица1[[#This Row],[Customer Name]],Таблица1[Order-Year-Month],Таблица1[[#This Row],[Order-Year-Month]])</f>
        <v>0.5</v>
      </c>
    </row>
    <row r="3119" spans="1:26" x14ac:dyDescent="0.2">
      <c r="A3119" s="6">
        <v>1118</v>
      </c>
      <c r="B3119" s="7">
        <v>8195</v>
      </c>
      <c r="C3119" s="8">
        <f>DATE(2012,12,31)-725</f>
        <v>40549</v>
      </c>
      <c r="D3119" s="8" t="str">
        <f t="shared" si="58"/>
        <v>2011-01 (январь 2011)</v>
      </c>
      <c r="E3119" s="9" t="s">
        <v>63</v>
      </c>
      <c r="F3119" s="7">
        <v>5</v>
      </c>
      <c r="G3119" s="7">
        <v>51.3</v>
      </c>
      <c r="H3119" s="7">
        <v>0.05</v>
      </c>
      <c r="I3119" s="9" t="s">
        <v>56</v>
      </c>
      <c r="J3119" s="10">
        <v>-32.479999999999997</v>
      </c>
      <c r="K3119" s="11">
        <v>7.28</v>
      </c>
      <c r="L3119" s="11">
        <v>11.15</v>
      </c>
      <c r="M3119" s="9" t="s">
        <v>497</v>
      </c>
      <c r="N3119" s="6" t="s">
        <v>1595</v>
      </c>
      <c r="O3119" s="6" t="s">
        <v>1595</v>
      </c>
      <c r="P3119" s="9" t="s">
        <v>33</v>
      </c>
      <c r="Q3119" s="9" t="s">
        <v>26</v>
      </c>
      <c r="R3119" s="9" t="s">
        <v>61</v>
      </c>
      <c r="S3119" s="7" t="s">
        <v>666</v>
      </c>
      <c r="T3119" s="9" t="s">
        <v>39</v>
      </c>
      <c r="U3119" s="7">
        <v>0.37</v>
      </c>
      <c r="V3119" s="12">
        <f>C3119+1</f>
        <v>40550</v>
      </c>
      <c r="W3119">
        <f>IF(D3119=' Pivot Tables'!$A$4,1,0)</f>
        <v>0</v>
      </c>
      <c r="X3119">
        <f>IF(AND(LEFT(D3119,4)+1=LEFT(' Pivot Tables'!$A$4,4)+0,RIGHT(LEFT(D3119,7),2)=RIGHT(LEFT(' Pivot Tables'!$A$4,7),2)),1,0)</f>
        <v>0</v>
      </c>
      <c r="Y3119" s="6">
        <f>1/COUNTIF(Таблица1[Order ID],Таблица1[[#This Row],[Order ID]])</f>
        <v>0.33333333333333331</v>
      </c>
      <c r="Z3119" s="9">
        <f>1/COUNTIFS(Таблица1[Customer Name],Таблица1[[#This Row],[Customer Name]],Таблица1[Order-Year-Month],Таблица1[[#This Row],[Order-Year-Month]])</f>
        <v>0.16666666666666666</v>
      </c>
    </row>
    <row r="3120" spans="1:26" x14ac:dyDescent="0.2">
      <c r="A3120" s="6">
        <v>1119</v>
      </c>
      <c r="B3120" s="7">
        <v>8195</v>
      </c>
      <c r="C3120" s="8">
        <f>DATE(2012,12,31)-725</f>
        <v>40549</v>
      </c>
      <c r="D3120" s="8" t="str">
        <f t="shared" si="58"/>
        <v>2011-01 (январь 2011)</v>
      </c>
      <c r="E3120" s="9" t="s">
        <v>63</v>
      </c>
      <c r="F3120" s="7">
        <v>1</v>
      </c>
      <c r="G3120" s="7">
        <v>8.48</v>
      </c>
      <c r="H3120" s="7">
        <v>0.1</v>
      </c>
      <c r="I3120" s="9" t="s">
        <v>22</v>
      </c>
      <c r="J3120" s="10">
        <v>-7.9</v>
      </c>
      <c r="K3120" s="11">
        <v>5.08</v>
      </c>
      <c r="L3120" s="11">
        <v>3.63</v>
      </c>
      <c r="M3120" s="9" t="s">
        <v>497</v>
      </c>
      <c r="N3120" s="6" t="s">
        <v>1595</v>
      </c>
      <c r="O3120" s="6" t="s">
        <v>1595</v>
      </c>
      <c r="P3120" s="9" t="s">
        <v>33</v>
      </c>
      <c r="Q3120" s="9" t="s">
        <v>49</v>
      </c>
      <c r="R3120" s="9" t="s">
        <v>50</v>
      </c>
      <c r="S3120" s="7" t="s">
        <v>939</v>
      </c>
      <c r="T3120" s="9" t="s">
        <v>68</v>
      </c>
      <c r="U3120" s="7">
        <v>0.51</v>
      </c>
      <c r="V3120" s="12">
        <f>C3120+2</f>
        <v>40551</v>
      </c>
      <c r="W3120">
        <f>IF(D3120=' Pivot Tables'!$A$4,1,0)</f>
        <v>0</v>
      </c>
      <c r="X3120">
        <f>IF(AND(LEFT(D3120,4)+1=LEFT(' Pivot Tables'!$A$4,4)+0,RIGHT(LEFT(D3120,7),2)=RIGHT(LEFT(' Pivot Tables'!$A$4,7),2)),1,0)</f>
        <v>0</v>
      </c>
      <c r="Y3120" s="6">
        <f>1/COUNTIF(Таблица1[Order ID],Таблица1[[#This Row],[Order ID]])</f>
        <v>0.33333333333333331</v>
      </c>
      <c r="Z3120" s="9">
        <f>1/COUNTIFS(Таблица1[Customer Name],Таблица1[[#This Row],[Customer Name]],Таблица1[Order-Year-Month],Таблица1[[#This Row],[Order-Year-Month]])</f>
        <v>0.16666666666666666</v>
      </c>
    </row>
    <row r="3121" spans="1:26" x14ac:dyDescent="0.2">
      <c r="A3121" s="6">
        <v>1120</v>
      </c>
      <c r="B3121" s="7">
        <v>8195</v>
      </c>
      <c r="C3121" s="8">
        <f>DATE(2012,12,31)-725</f>
        <v>40549</v>
      </c>
      <c r="D3121" s="8" t="str">
        <f t="shared" si="58"/>
        <v>2011-01 (январь 2011)</v>
      </c>
      <c r="E3121" s="9" t="s">
        <v>63</v>
      </c>
      <c r="F3121" s="7">
        <v>26</v>
      </c>
      <c r="G3121" s="7">
        <v>87.52</v>
      </c>
      <c r="H3121" s="7">
        <v>0.03</v>
      </c>
      <c r="I3121" s="9" t="s">
        <v>22</v>
      </c>
      <c r="J3121" s="10">
        <v>-70.02</v>
      </c>
      <c r="K3121" s="11">
        <v>3.28</v>
      </c>
      <c r="L3121" s="11">
        <v>3.97</v>
      </c>
      <c r="M3121" s="9" t="s">
        <v>497</v>
      </c>
      <c r="N3121" s="6" t="s">
        <v>1595</v>
      </c>
      <c r="O3121" s="6" t="s">
        <v>1595</v>
      </c>
      <c r="P3121" s="9" t="s">
        <v>33</v>
      </c>
      <c r="Q3121" s="9" t="s">
        <v>26</v>
      </c>
      <c r="R3121" s="9" t="s">
        <v>95</v>
      </c>
      <c r="S3121" s="7" t="s">
        <v>572</v>
      </c>
      <c r="T3121" s="9" t="s">
        <v>68</v>
      </c>
      <c r="U3121" s="7">
        <v>0.56000000000000005</v>
      </c>
      <c r="V3121" s="12">
        <f>C3121+1</f>
        <v>40550</v>
      </c>
      <c r="W3121">
        <f>IF(D3121=' Pivot Tables'!$A$4,1,0)</f>
        <v>0</v>
      </c>
      <c r="X3121">
        <f>IF(AND(LEFT(D3121,4)+1=LEFT(' Pivot Tables'!$A$4,4)+0,RIGHT(LEFT(D3121,7),2)=RIGHT(LEFT(' Pivot Tables'!$A$4,7),2)),1,0)</f>
        <v>0</v>
      </c>
      <c r="Y3121" s="6">
        <f>1/COUNTIF(Таблица1[Order ID],Таблица1[[#This Row],[Order ID]])</f>
        <v>0.33333333333333331</v>
      </c>
      <c r="Z3121" s="9">
        <f>1/COUNTIFS(Таблица1[Customer Name],Таблица1[[#This Row],[Customer Name]],Таблица1[Order-Year-Month],Таблица1[[#This Row],[Order-Year-Month]])</f>
        <v>0.16666666666666666</v>
      </c>
    </row>
    <row r="3122" spans="1:26" x14ac:dyDescent="0.2">
      <c r="A3122" s="6">
        <v>1137</v>
      </c>
      <c r="B3122" s="7">
        <v>8293</v>
      </c>
      <c r="C3122" s="8">
        <f>DATE(2012,12,31)-143</f>
        <v>41131</v>
      </c>
      <c r="D3122" s="8" t="str">
        <f t="shared" si="58"/>
        <v>2012-08 (август 2012)</v>
      </c>
      <c r="E3122" s="9" t="s">
        <v>21</v>
      </c>
      <c r="F3122" s="7">
        <v>50</v>
      </c>
      <c r="G3122" s="7">
        <v>1497.7594999999999</v>
      </c>
      <c r="H3122" s="7">
        <v>0.04</v>
      </c>
      <c r="I3122" s="9" t="s">
        <v>22</v>
      </c>
      <c r="J3122" s="10">
        <v>483.66</v>
      </c>
      <c r="K3122" s="11">
        <v>35.99</v>
      </c>
      <c r="L3122" s="11">
        <v>1.1000000000000001</v>
      </c>
      <c r="M3122" s="9" t="s">
        <v>1608</v>
      </c>
      <c r="N3122" s="6" t="s">
        <v>1595</v>
      </c>
      <c r="O3122" s="6" t="s">
        <v>1595</v>
      </c>
      <c r="P3122" s="9" t="s">
        <v>25</v>
      </c>
      <c r="Q3122" s="9" t="s">
        <v>42</v>
      </c>
      <c r="R3122" s="9" t="s">
        <v>43</v>
      </c>
      <c r="S3122" s="7" t="s">
        <v>1082</v>
      </c>
      <c r="T3122" s="9" t="s">
        <v>39</v>
      </c>
      <c r="U3122" s="7">
        <v>0.55000000000000004</v>
      </c>
      <c r="V3122" s="12">
        <f>C3122+5</f>
        <v>41136</v>
      </c>
      <c r="W3122">
        <f>IF(D3122=' Pivot Tables'!$A$4,1,0)</f>
        <v>0</v>
      </c>
      <c r="X3122">
        <f>IF(AND(LEFT(D3122,4)+1=LEFT(' Pivot Tables'!$A$4,4)+0,RIGHT(LEFT(D3122,7),2)=RIGHT(LEFT(' Pivot Tables'!$A$4,7),2)),1,0)</f>
        <v>0</v>
      </c>
      <c r="Y3122" s="6">
        <f>1/COUNTIF(Таблица1[Order ID],Таблица1[[#This Row],[Order ID]])</f>
        <v>0.5</v>
      </c>
      <c r="Z3122" s="9">
        <f>1/COUNTIFS(Таблица1[Customer Name],Таблица1[[#This Row],[Customer Name]],Таблица1[Order-Year-Month],Таблица1[[#This Row],[Order-Year-Month]])</f>
        <v>0.5</v>
      </c>
    </row>
    <row r="3123" spans="1:26" x14ac:dyDescent="0.2">
      <c r="A3123" s="6">
        <v>1270</v>
      </c>
      <c r="B3123" s="7">
        <v>9248</v>
      </c>
      <c r="C3123" s="8">
        <f>DATE(2012,12,31)-1104</f>
        <v>40170</v>
      </c>
      <c r="D3123" s="8" t="str">
        <f t="shared" si="58"/>
        <v>2009-12 (декабрь 2009)</v>
      </c>
      <c r="E3123" s="9" t="s">
        <v>45</v>
      </c>
      <c r="F3123" s="7">
        <v>41</v>
      </c>
      <c r="G3123" s="7">
        <v>2811.7</v>
      </c>
      <c r="H3123" s="7">
        <v>0.09</v>
      </c>
      <c r="I3123" s="9" t="s">
        <v>22</v>
      </c>
      <c r="J3123" s="10">
        <v>-3074.2712000000006</v>
      </c>
      <c r="K3123" s="11">
        <v>71.37</v>
      </c>
      <c r="L3123" s="11">
        <v>69</v>
      </c>
      <c r="M3123" s="9" t="s">
        <v>1594</v>
      </c>
      <c r="N3123" s="6" t="s">
        <v>1595</v>
      </c>
      <c r="O3123" s="6" t="s">
        <v>1595</v>
      </c>
      <c r="P3123" s="9" t="s">
        <v>60</v>
      </c>
      <c r="Q3123" s="9" t="s">
        <v>49</v>
      </c>
      <c r="R3123" s="9" t="s">
        <v>83</v>
      </c>
      <c r="S3123" s="7" t="s">
        <v>84</v>
      </c>
      <c r="T3123" s="9" t="s">
        <v>29</v>
      </c>
      <c r="U3123" s="7">
        <v>0.68</v>
      </c>
      <c r="V3123" s="12">
        <f>C3123+1</f>
        <v>40171</v>
      </c>
      <c r="W3123">
        <f>IF(D3123=' Pivot Tables'!$A$4,1,0)</f>
        <v>0</v>
      </c>
      <c r="X3123">
        <f>IF(AND(LEFT(D3123,4)+1=LEFT(' Pivot Tables'!$A$4,4)+0,RIGHT(LEFT(D3123,7),2)=RIGHT(LEFT(' Pivot Tables'!$A$4,7),2)),1,0)</f>
        <v>0</v>
      </c>
      <c r="Y3123" s="6">
        <f>1/COUNTIF(Таблица1[Order ID],Таблица1[[#This Row],[Order ID]])</f>
        <v>1</v>
      </c>
      <c r="Z3123" s="9">
        <f>1/COUNTIFS(Таблица1[Customer Name],Таблица1[[#This Row],[Customer Name]],Таблица1[Order-Year-Month],Таблица1[[#This Row],[Order-Year-Month]])</f>
        <v>0.33333333333333331</v>
      </c>
    </row>
    <row r="3124" spans="1:26" x14ac:dyDescent="0.2">
      <c r="A3124" s="6">
        <v>1284</v>
      </c>
      <c r="B3124" s="7">
        <v>9347</v>
      </c>
      <c r="C3124" s="8">
        <f>DATE(2012,12,31)-144</f>
        <v>41130</v>
      </c>
      <c r="D3124" s="8" t="str">
        <f t="shared" si="58"/>
        <v>2012-08 (август 2012)</v>
      </c>
      <c r="E3124" s="9" t="s">
        <v>21</v>
      </c>
      <c r="F3124" s="7">
        <v>31</v>
      </c>
      <c r="G3124" s="7">
        <v>131.19999999999999</v>
      </c>
      <c r="H3124" s="7">
        <v>0.01</v>
      </c>
      <c r="I3124" s="9" t="s">
        <v>22</v>
      </c>
      <c r="J3124" s="10">
        <v>-107.98</v>
      </c>
      <c r="K3124" s="11">
        <v>3.95</v>
      </c>
      <c r="L3124" s="11">
        <v>5.13</v>
      </c>
      <c r="M3124" s="9" t="s">
        <v>1594</v>
      </c>
      <c r="N3124" s="6" t="s">
        <v>1595</v>
      </c>
      <c r="O3124" s="6" t="s">
        <v>1595</v>
      </c>
      <c r="P3124" s="9" t="s">
        <v>41</v>
      </c>
      <c r="Q3124" s="9" t="s">
        <v>26</v>
      </c>
      <c r="R3124" s="9" t="s">
        <v>34</v>
      </c>
      <c r="S3124" s="7" t="s">
        <v>1029</v>
      </c>
      <c r="T3124" s="9" t="s">
        <v>39</v>
      </c>
      <c r="U3124" s="7">
        <v>0.59</v>
      </c>
      <c r="V3124" s="12">
        <f>C3124+9</f>
        <v>41139</v>
      </c>
      <c r="W3124">
        <f>IF(D3124=' Pivot Tables'!$A$4,1,0)</f>
        <v>0</v>
      </c>
      <c r="X3124">
        <f>IF(AND(LEFT(D3124,4)+1=LEFT(' Pivot Tables'!$A$4,4)+0,RIGHT(LEFT(D3124,7),2)=RIGHT(LEFT(' Pivot Tables'!$A$4,7),2)),1,0)</f>
        <v>0</v>
      </c>
      <c r="Y3124" s="6">
        <f>1/COUNTIF(Таблица1[Order ID],Таблица1[[#This Row],[Order ID]])</f>
        <v>1</v>
      </c>
      <c r="Z3124" s="9">
        <f>1/COUNTIFS(Таблица1[Customer Name],Таблица1[[#This Row],[Customer Name]],Таблица1[Order-Year-Month],Таблица1[[#This Row],[Order-Year-Month]])</f>
        <v>1</v>
      </c>
    </row>
    <row r="3125" spans="1:26" x14ac:dyDescent="0.2">
      <c r="A3125" s="6">
        <v>1289</v>
      </c>
      <c r="B3125" s="7">
        <v>9472</v>
      </c>
      <c r="C3125" s="8">
        <f>DATE(2012,12,31)-564</f>
        <v>40710</v>
      </c>
      <c r="D3125" s="8" t="str">
        <f t="shared" si="58"/>
        <v>2011-06 (июнь 2011)</v>
      </c>
      <c r="E3125" s="9" t="s">
        <v>78</v>
      </c>
      <c r="F3125" s="7">
        <v>17</v>
      </c>
      <c r="G3125" s="7">
        <v>53.91</v>
      </c>
      <c r="H3125" s="7">
        <v>0.05</v>
      </c>
      <c r="I3125" s="9" t="s">
        <v>22</v>
      </c>
      <c r="J3125" s="10">
        <v>19.47</v>
      </c>
      <c r="K3125" s="11">
        <v>3.15</v>
      </c>
      <c r="L3125" s="11">
        <v>0.49</v>
      </c>
      <c r="M3125" s="9" t="s">
        <v>1609</v>
      </c>
      <c r="N3125" s="6" t="s">
        <v>1595</v>
      </c>
      <c r="O3125" s="6" t="s">
        <v>1595</v>
      </c>
      <c r="P3125" s="9" t="s">
        <v>60</v>
      </c>
      <c r="Q3125" s="9" t="s">
        <v>26</v>
      </c>
      <c r="R3125" s="9" t="s">
        <v>88</v>
      </c>
      <c r="S3125" s="7" t="s">
        <v>1234</v>
      </c>
      <c r="T3125" s="9" t="s">
        <v>39</v>
      </c>
      <c r="U3125" s="7">
        <v>0.37</v>
      </c>
      <c r="V3125" s="12">
        <f>C3125+3</f>
        <v>40713</v>
      </c>
      <c r="W3125">
        <f>IF(D3125=' Pivot Tables'!$A$4,1,0)</f>
        <v>0</v>
      </c>
      <c r="X3125">
        <f>IF(AND(LEFT(D3125,4)+1=LEFT(' Pivot Tables'!$A$4,4)+0,RIGHT(LEFT(D3125,7),2)=RIGHT(LEFT(' Pivot Tables'!$A$4,7),2)),1,0)</f>
        <v>0</v>
      </c>
      <c r="Y3125" s="6">
        <f>1/COUNTIF(Таблица1[Order ID],Таблица1[[#This Row],[Order ID]])</f>
        <v>1</v>
      </c>
      <c r="Z3125" s="9">
        <f>1/COUNTIFS(Таблица1[Customer Name],Таблица1[[#This Row],[Customer Name]],Таблица1[Order-Year-Month],Таблица1[[#This Row],[Order-Year-Month]])</f>
        <v>1</v>
      </c>
    </row>
    <row r="3126" spans="1:26" x14ac:dyDescent="0.2">
      <c r="A3126" s="6">
        <v>1333</v>
      </c>
      <c r="B3126" s="7">
        <v>9733</v>
      </c>
      <c r="C3126" s="8">
        <f>DATE(2012,12,31)-1385</f>
        <v>39889</v>
      </c>
      <c r="D3126" s="8" t="str">
        <f t="shared" si="58"/>
        <v>2009-03 (март 2009)</v>
      </c>
      <c r="E3126" s="9" t="s">
        <v>45</v>
      </c>
      <c r="F3126" s="7">
        <v>39</v>
      </c>
      <c r="G3126" s="7">
        <v>223.64</v>
      </c>
      <c r="H3126" s="7">
        <v>0.1</v>
      </c>
      <c r="I3126" s="9" t="s">
        <v>22</v>
      </c>
      <c r="J3126" s="10">
        <v>-90.26</v>
      </c>
      <c r="K3126" s="11">
        <v>5.98</v>
      </c>
      <c r="L3126" s="11">
        <v>5.35</v>
      </c>
      <c r="M3126" s="9" t="s">
        <v>1610</v>
      </c>
      <c r="N3126" s="6" t="s">
        <v>1595</v>
      </c>
      <c r="O3126" s="6" t="s">
        <v>1595</v>
      </c>
      <c r="P3126" s="9" t="s">
        <v>60</v>
      </c>
      <c r="Q3126" s="9" t="s">
        <v>26</v>
      </c>
      <c r="R3126" s="9" t="s">
        <v>61</v>
      </c>
      <c r="S3126" s="7" t="s">
        <v>882</v>
      </c>
      <c r="T3126" s="9" t="s">
        <v>39</v>
      </c>
      <c r="U3126" s="7">
        <v>0.4</v>
      </c>
      <c r="V3126" s="12">
        <f>C3126+0</f>
        <v>39889</v>
      </c>
      <c r="W3126">
        <f>IF(D3126=' Pivot Tables'!$A$4,1,0)</f>
        <v>0</v>
      </c>
      <c r="X3126">
        <f>IF(AND(LEFT(D3126,4)+1=LEFT(' Pivot Tables'!$A$4,4)+0,RIGHT(LEFT(D3126,7),2)=RIGHT(LEFT(' Pivot Tables'!$A$4,7),2)),1,0)</f>
        <v>0</v>
      </c>
      <c r="Y3126" s="6">
        <f>1/COUNTIF(Таблица1[Order ID],Таблица1[[#This Row],[Order ID]])</f>
        <v>1</v>
      </c>
      <c r="Z3126" s="9">
        <f>1/COUNTIFS(Таблица1[Customer Name],Таблица1[[#This Row],[Customer Name]],Таблица1[Order-Year-Month],Таблица1[[#This Row],[Order-Year-Month]])</f>
        <v>1</v>
      </c>
    </row>
    <row r="3127" spans="1:26" x14ac:dyDescent="0.2">
      <c r="A3127" s="6">
        <v>1388</v>
      </c>
      <c r="B3127" s="7">
        <v>10054</v>
      </c>
      <c r="C3127" s="8">
        <f>DATE(2012,12,31)-613</f>
        <v>40661</v>
      </c>
      <c r="D3127" s="8" t="str">
        <f t="shared" si="58"/>
        <v>2011-04 (апрель 2011)</v>
      </c>
      <c r="E3127" s="9" t="s">
        <v>30</v>
      </c>
      <c r="F3127" s="7">
        <v>2</v>
      </c>
      <c r="G3127" s="7">
        <v>203.3</v>
      </c>
      <c r="H3127" s="7">
        <v>0.08</v>
      </c>
      <c r="I3127" s="9" t="s">
        <v>22</v>
      </c>
      <c r="J3127" s="10">
        <v>148.25</v>
      </c>
      <c r="K3127" s="11">
        <v>79.52</v>
      </c>
      <c r="L3127" s="11">
        <v>48.2</v>
      </c>
      <c r="M3127" s="9" t="s">
        <v>1611</v>
      </c>
      <c r="N3127" s="6" t="s">
        <v>1595</v>
      </c>
      <c r="O3127" s="6" t="s">
        <v>1595</v>
      </c>
      <c r="P3127" s="9" t="s">
        <v>60</v>
      </c>
      <c r="Q3127" s="9" t="s">
        <v>49</v>
      </c>
      <c r="R3127" s="9" t="s">
        <v>50</v>
      </c>
      <c r="S3127" s="7" t="s">
        <v>902</v>
      </c>
      <c r="T3127" s="9" t="s">
        <v>48</v>
      </c>
      <c r="U3127" s="7">
        <v>0.74</v>
      </c>
      <c r="V3127" s="12">
        <f>C3127+2</f>
        <v>40663</v>
      </c>
      <c r="W3127">
        <f>IF(D3127=' Pivot Tables'!$A$4,1,0)</f>
        <v>0</v>
      </c>
      <c r="X3127">
        <f>IF(AND(LEFT(D3127,4)+1=LEFT(' Pivot Tables'!$A$4,4)+0,RIGHT(LEFT(D3127,7),2)=RIGHT(LEFT(' Pivot Tables'!$A$4,7),2)),1,0)</f>
        <v>0</v>
      </c>
      <c r="Y3127" s="6">
        <f>1/COUNTIF(Таблица1[Order ID],Таблица1[[#This Row],[Order ID]])</f>
        <v>0.5</v>
      </c>
      <c r="Z3127" s="9">
        <f>1/COUNTIFS(Таблица1[Customer Name],Таблица1[[#This Row],[Customer Name]],Таблица1[Order-Year-Month],Таблица1[[#This Row],[Order-Year-Month]])</f>
        <v>0.5</v>
      </c>
    </row>
    <row r="3128" spans="1:26" x14ac:dyDescent="0.2">
      <c r="A3128" s="6">
        <v>1389</v>
      </c>
      <c r="B3128" s="7">
        <v>10054</v>
      </c>
      <c r="C3128" s="8">
        <f>DATE(2012,12,31)-613</f>
        <v>40661</v>
      </c>
      <c r="D3128" s="8" t="str">
        <f t="shared" si="58"/>
        <v>2011-04 (апрель 2011)</v>
      </c>
      <c r="E3128" s="9" t="s">
        <v>30</v>
      </c>
      <c r="F3128" s="7">
        <v>2</v>
      </c>
      <c r="G3128" s="7">
        <v>196.85149999999999</v>
      </c>
      <c r="H3128" s="7">
        <v>0.09</v>
      </c>
      <c r="I3128" s="9" t="s">
        <v>22</v>
      </c>
      <c r="J3128" s="10">
        <v>-606.59500000000003</v>
      </c>
      <c r="K3128" s="11">
        <v>125.99</v>
      </c>
      <c r="L3128" s="11">
        <v>5.99</v>
      </c>
      <c r="M3128" s="9" t="s">
        <v>1611</v>
      </c>
      <c r="N3128" s="6" t="s">
        <v>1595</v>
      </c>
      <c r="O3128" s="6" t="s">
        <v>1595</v>
      </c>
      <c r="P3128" s="9" t="s">
        <v>60</v>
      </c>
      <c r="Q3128" s="9" t="s">
        <v>42</v>
      </c>
      <c r="R3128" s="9" t="s">
        <v>43</v>
      </c>
      <c r="S3128" s="7" t="s">
        <v>1525</v>
      </c>
      <c r="T3128" s="9" t="s">
        <v>39</v>
      </c>
      <c r="U3128" s="7">
        <v>0.56000000000000005</v>
      </c>
      <c r="V3128" s="12">
        <f>C3128+0</f>
        <v>40661</v>
      </c>
      <c r="W3128">
        <f>IF(D3128=' Pivot Tables'!$A$4,1,0)</f>
        <v>0</v>
      </c>
      <c r="X3128">
        <f>IF(AND(LEFT(D3128,4)+1=LEFT(' Pivot Tables'!$A$4,4)+0,RIGHT(LEFT(D3128,7),2)=RIGHT(LEFT(' Pivot Tables'!$A$4,7),2)),1,0)</f>
        <v>0</v>
      </c>
      <c r="Y3128" s="6">
        <f>1/COUNTIF(Таблица1[Order ID],Таблица1[[#This Row],[Order ID]])</f>
        <v>0.5</v>
      </c>
      <c r="Z3128" s="9">
        <f>1/COUNTIFS(Таблица1[Customer Name],Таблица1[[#This Row],[Customer Name]],Таблица1[Order-Year-Month],Таблица1[[#This Row],[Order-Year-Month]])</f>
        <v>0.5</v>
      </c>
    </row>
    <row r="3129" spans="1:26" x14ac:dyDescent="0.2">
      <c r="A3129" s="6">
        <v>1471</v>
      </c>
      <c r="B3129" s="7">
        <v>10627</v>
      </c>
      <c r="C3129" s="8">
        <f>DATE(2012,12,31)-1041</f>
        <v>40233</v>
      </c>
      <c r="D3129" s="8" t="str">
        <f t="shared" si="58"/>
        <v>2010-02 (февраль 2010)</v>
      </c>
      <c r="E3129" s="9" t="s">
        <v>21</v>
      </c>
      <c r="F3129" s="7">
        <v>4</v>
      </c>
      <c r="G3129" s="7">
        <v>40.229999999999997</v>
      </c>
      <c r="H3129" s="7">
        <v>0.05</v>
      </c>
      <c r="I3129" s="9" t="s">
        <v>22</v>
      </c>
      <c r="J3129" s="10">
        <v>-30.26</v>
      </c>
      <c r="K3129" s="11">
        <v>7.77</v>
      </c>
      <c r="L3129" s="11">
        <v>9.23</v>
      </c>
      <c r="M3129" s="9" t="s">
        <v>1396</v>
      </c>
      <c r="N3129" s="6" t="s">
        <v>1595</v>
      </c>
      <c r="O3129" s="6" t="s">
        <v>1595</v>
      </c>
      <c r="P3129" s="9" t="s">
        <v>60</v>
      </c>
      <c r="Q3129" s="9" t="s">
        <v>26</v>
      </c>
      <c r="R3129" s="9" t="s">
        <v>34</v>
      </c>
      <c r="S3129" s="7" t="s">
        <v>1386</v>
      </c>
      <c r="T3129" s="9" t="s">
        <v>39</v>
      </c>
      <c r="U3129" s="7">
        <v>0.57999999999999996</v>
      </c>
      <c r="V3129" s="12">
        <f>C3129+5</f>
        <v>40238</v>
      </c>
      <c r="W3129">
        <f>IF(D3129=' Pivot Tables'!$A$4,1,0)</f>
        <v>0</v>
      </c>
      <c r="X3129">
        <f>IF(AND(LEFT(D3129,4)+1=LEFT(' Pivot Tables'!$A$4,4)+0,RIGHT(LEFT(D3129,7),2)=RIGHT(LEFT(' Pivot Tables'!$A$4,7),2)),1,0)</f>
        <v>0</v>
      </c>
      <c r="Y3129" s="6">
        <f>1/COUNTIF(Таблица1[Order ID],Таблица1[[#This Row],[Order ID]])</f>
        <v>1</v>
      </c>
      <c r="Z3129" s="9">
        <f>1/COUNTIFS(Таблица1[Customer Name],Таблица1[[#This Row],[Customer Name]],Таблица1[Order-Year-Month],Таблица1[[#This Row],[Order-Year-Month]])</f>
        <v>0.2</v>
      </c>
    </row>
    <row r="3130" spans="1:26" x14ac:dyDescent="0.2">
      <c r="A3130" s="6">
        <v>1472</v>
      </c>
      <c r="B3130" s="7">
        <v>10629</v>
      </c>
      <c r="C3130" s="8">
        <f>DATE(2012,12,31)-1207</f>
        <v>40067</v>
      </c>
      <c r="D3130" s="8" t="str">
        <f t="shared" si="58"/>
        <v>2009-09 (сентябрь 2009)</v>
      </c>
      <c r="E3130" s="9" t="s">
        <v>78</v>
      </c>
      <c r="F3130" s="7">
        <v>39</v>
      </c>
      <c r="G3130" s="7">
        <v>341.55</v>
      </c>
      <c r="H3130" s="7">
        <v>0.06</v>
      </c>
      <c r="I3130" s="9" t="s">
        <v>22</v>
      </c>
      <c r="J3130" s="10">
        <v>-255.65</v>
      </c>
      <c r="K3130" s="11">
        <v>8.3699999999999992</v>
      </c>
      <c r="L3130" s="11">
        <v>10.16</v>
      </c>
      <c r="M3130" s="9" t="s">
        <v>1611</v>
      </c>
      <c r="N3130" s="6" t="s">
        <v>1595</v>
      </c>
      <c r="O3130" s="6" t="s">
        <v>1595</v>
      </c>
      <c r="P3130" s="9" t="s">
        <v>41</v>
      </c>
      <c r="Q3130" s="9" t="s">
        <v>49</v>
      </c>
      <c r="R3130" s="9" t="s">
        <v>50</v>
      </c>
      <c r="S3130" s="7" t="s">
        <v>948</v>
      </c>
      <c r="T3130" s="9" t="s">
        <v>29</v>
      </c>
      <c r="U3130" s="7">
        <v>0.59</v>
      </c>
      <c r="V3130" s="12">
        <f>C3130+2</f>
        <v>40069</v>
      </c>
      <c r="W3130">
        <f>IF(D3130=' Pivot Tables'!$A$4,1,0)</f>
        <v>0</v>
      </c>
      <c r="X3130">
        <f>IF(AND(LEFT(D3130,4)+1=LEFT(' Pivot Tables'!$A$4,4)+0,RIGHT(LEFT(D3130,7),2)=RIGHT(LEFT(' Pivot Tables'!$A$4,7),2)),1,0)</f>
        <v>0</v>
      </c>
      <c r="Y3130" s="6">
        <f>1/COUNTIF(Таблица1[Order ID],Таблица1[[#This Row],[Order ID]])</f>
        <v>0.5</v>
      </c>
      <c r="Z3130" s="9">
        <f>1/COUNTIFS(Таблица1[Customer Name],Таблица1[[#This Row],[Customer Name]],Таблица1[Order-Year-Month],Таблица1[[#This Row],[Order-Year-Month]])</f>
        <v>0.25</v>
      </c>
    </row>
    <row r="3131" spans="1:26" x14ac:dyDescent="0.2">
      <c r="A3131" s="6">
        <v>1473</v>
      </c>
      <c r="B3131" s="7">
        <v>10629</v>
      </c>
      <c r="C3131" s="8">
        <f>DATE(2012,12,31)-1207</f>
        <v>40067</v>
      </c>
      <c r="D3131" s="8" t="str">
        <f t="shared" si="58"/>
        <v>2009-09 (сентябрь 2009)</v>
      </c>
      <c r="E3131" s="9" t="s">
        <v>78</v>
      </c>
      <c r="F3131" s="7">
        <v>14</v>
      </c>
      <c r="G3131" s="7">
        <v>98.37</v>
      </c>
      <c r="H3131" s="7">
        <v>0.09</v>
      </c>
      <c r="I3131" s="9" t="s">
        <v>56</v>
      </c>
      <c r="J3131" s="10">
        <v>-76.540000000000006</v>
      </c>
      <c r="K3131" s="11">
        <v>6.48</v>
      </c>
      <c r="L3131" s="11">
        <v>9.17</v>
      </c>
      <c r="M3131" s="9" t="s">
        <v>1611</v>
      </c>
      <c r="N3131" s="6" t="s">
        <v>1595</v>
      </c>
      <c r="O3131" s="6" t="s">
        <v>1595</v>
      </c>
      <c r="P3131" s="9" t="s">
        <v>41</v>
      </c>
      <c r="Q3131" s="9" t="s">
        <v>26</v>
      </c>
      <c r="R3131" s="9" t="s">
        <v>61</v>
      </c>
      <c r="S3131" s="7" t="s">
        <v>1612</v>
      </c>
      <c r="T3131" s="9" t="s">
        <v>39</v>
      </c>
      <c r="U3131" s="7">
        <v>0.37</v>
      </c>
      <c r="V3131" s="12">
        <f>C3131+2</f>
        <v>40069</v>
      </c>
      <c r="W3131">
        <f>IF(D3131=' Pivot Tables'!$A$4,1,0)</f>
        <v>0</v>
      </c>
      <c r="X3131">
        <f>IF(AND(LEFT(D3131,4)+1=LEFT(' Pivot Tables'!$A$4,4)+0,RIGHT(LEFT(D3131,7),2)=RIGHT(LEFT(' Pivot Tables'!$A$4,7),2)),1,0)</f>
        <v>0</v>
      </c>
      <c r="Y3131" s="6">
        <f>1/COUNTIF(Таблица1[Order ID],Таблица1[[#This Row],[Order ID]])</f>
        <v>0.5</v>
      </c>
      <c r="Z3131" s="9">
        <f>1/COUNTIFS(Таблица1[Customer Name],Таблица1[[#This Row],[Customer Name]],Таблица1[Order-Year-Month],Таблица1[[#This Row],[Order-Year-Month]])</f>
        <v>0.25</v>
      </c>
    </row>
    <row r="3132" spans="1:26" x14ac:dyDescent="0.2">
      <c r="A3132" s="6">
        <v>1493</v>
      </c>
      <c r="B3132" s="7">
        <v>10784</v>
      </c>
      <c r="C3132" s="8">
        <f>DATE(2012,12,31)-910</f>
        <v>40364</v>
      </c>
      <c r="D3132" s="8" t="str">
        <f t="shared" si="58"/>
        <v>2010-07 (июль 2010)</v>
      </c>
      <c r="E3132" s="9" t="s">
        <v>45</v>
      </c>
      <c r="F3132" s="7">
        <v>2</v>
      </c>
      <c r="G3132" s="7">
        <v>19.36</v>
      </c>
      <c r="H3132" s="7">
        <v>0.1</v>
      </c>
      <c r="I3132" s="9" t="s">
        <v>22</v>
      </c>
      <c r="J3132" s="10">
        <v>-11.85</v>
      </c>
      <c r="K3132" s="11">
        <v>6.78</v>
      </c>
      <c r="L3132" s="11">
        <v>6.18</v>
      </c>
      <c r="M3132" s="9" t="s">
        <v>1600</v>
      </c>
      <c r="N3132" s="6" t="s">
        <v>1595</v>
      </c>
      <c r="O3132" s="6" t="s">
        <v>1595</v>
      </c>
      <c r="P3132" s="9" t="s">
        <v>60</v>
      </c>
      <c r="Q3132" s="9" t="s">
        <v>26</v>
      </c>
      <c r="R3132" s="9" t="s">
        <v>61</v>
      </c>
      <c r="S3132" s="7" t="s">
        <v>814</v>
      </c>
      <c r="T3132" s="9" t="s">
        <v>39</v>
      </c>
      <c r="U3132" s="7">
        <v>0.39</v>
      </c>
      <c r="V3132" s="12">
        <f>C3132+1</f>
        <v>40365</v>
      </c>
      <c r="W3132">
        <f>IF(D3132=' Pivot Tables'!$A$4,1,0)</f>
        <v>0</v>
      </c>
      <c r="X3132">
        <f>IF(AND(LEFT(D3132,4)+1=LEFT(' Pivot Tables'!$A$4,4)+0,RIGHT(LEFT(D3132,7),2)=RIGHT(LEFT(' Pivot Tables'!$A$4,7),2)),1,0)</f>
        <v>0</v>
      </c>
      <c r="Y3132" s="6">
        <f>1/COUNTIF(Таблица1[Order ID],Таблица1[[#This Row],[Order ID]])</f>
        <v>0.5</v>
      </c>
      <c r="Z3132" s="9">
        <f>1/COUNTIFS(Таблица1[Customer Name],Таблица1[[#This Row],[Customer Name]],Таблица1[Order-Year-Month],Таблица1[[#This Row],[Order-Year-Month]])</f>
        <v>0.5</v>
      </c>
    </row>
    <row r="3133" spans="1:26" x14ac:dyDescent="0.2">
      <c r="A3133" s="6">
        <v>1494</v>
      </c>
      <c r="B3133" s="7">
        <v>10784</v>
      </c>
      <c r="C3133" s="8">
        <f>DATE(2012,12,31)-910</f>
        <v>40364</v>
      </c>
      <c r="D3133" s="8" t="str">
        <f t="shared" si="58"/>
        <v>2010-07 (июль 2010)</v>
      </c>
      <c r="E3133" s="9" t="s">
        <v>45</v>
      </c>
      <c r="F3133" s="7">
        <v>30</v>
      </c>
      <c r="G3133" s="7">
        <v>206.27</v>
      </c>
      <c r="H3133" s="7">
        <v>0.09</v>
      </c>
      <c r="I3133" s="9" t="s">
        <v>22</v>
      </c>
      <c r="J3133" s="10">
        <v>-54.441000000000003</v>
      </c>
      <c r="K3133" s="11">
        <v>6.81</v>
      </c>
      <c r="L3133" s="11">
        <v>5.48</v>
      </c>
      <c r="M3133" s="9" t="s">
        <v>1600</v>
      </c>
      <c r="N3133" s="6" t="s">
        <v>1595</v>
      </c>
      <c r="O3133" s="6" t="s">
        <v>1595</v>
      </c>
      <c r="P3133" s="9" t="s">
        <v>60</v>
      </c>
      <c r="Q3133" s="9" t="s">
        <v>26</v>
      </c>
      <c r="R3133" s="9" t="s">
        <v>37</v>
      </c>
      <c r="S3133" s="7" t="s">
        <v>1319</v>
      </c>
      <c r="T3133" s="9" t="s">
        <v>39</v>
      </c>
      <c r="U3133" s="7">
        <v>0.37</v>
      </c>
      <c r="V3133" s="12">
        <f>C3133+2</f>
        <v>40366</v>
      </c>
      <c r="W3133">
        <f>IF(D3133=' Pivot Tables'!$A$4,1,0)</f>
        <v>0</v>
      </c>
      <c r="X3133">
        <f>IF(AND(LEFT(D3133,4)+1=LEFT(' Pivot Tables'!$A$4,4)+0,RIGHT(LEFT(D3133,7),2)=RIGHT(LEFT(' Pivot Tables'!$A$4,7),2)),1,0)</f>
        <v>0</v>
      </c>
      <c r="Y3133" s="6">
        <f>1/COUNTIF(Таблица1[Order ID],Таблица1[[#This Row],[Order ID]])</f>
        <v>0.5</v>
      </c>
      <c r="Z3133" s="9">
        <f>1/COUNTIFS(Таблица1[Customer Name],Таблица1[[#This Row],[Customer Name]],Таблица1[Order-Year-Month],Таблица1[[#This Row],[Order-Year-Month]])</f>
        <v>0.5</v>
      </c>
    </row>
    <row r="3134" spans="1:26" x14ac:dyDescent="0.2">
      <c r="A3134" s="6">
        <v>1500</v>
      </c>
      <c r="B3134" s="7">
        <v>10823</v>
      </c>
      <c r="C3134" s="8">
        <f>DATE(2012,12,31)-202</f>
        <v>41072</v>
      </c>
      <c r="D3134" s="8" t="str">
        <f t="shared" si="58"/>
        <v>2012-06 (июнь 2012)</v>
      </c>
      <c r="E3134" s="9" t="s">
        <v>21</v>
      </c>
      <c r="F3134" s="7">
        <v>3</v>
      </c>
      <c r="G3134" s="7">
        <v>133.9</v>
      </c>
      <c r="H3134" s="7">
        <v>0.03</v>
      </c>
      <c r="I3134" s="9" t="s">
        <v>22</v>
      </c>
      <c r="J3134" s="10">
        <v>-14.581999999999999</v>
      </c>
      <c r="K3134" s="11">
        <v>43.41</v>
      </c>
      <c r="L3134" s="11">
        <v>2.99</v>
      </c>
      <c r="M3134" s="9" t="s">
        <v>1611</v>
      </c>
      <c r="N3134" s="6" t="s">
        <v>1595</v>
      </c>
      <c r="O3134" s="6" t="s">
        <v>1595</v>
      </c>
      <c r="P3134" s="9" t="s">
        <v>60</v>
      </c>
      <c r="Q3134" s="9" t="s">
        <v>26</v>
      </c>
      <c r="R3134" s="9" t="s">
        <v>37</v>
      </c>
      <c r="S3134" s="7" t="s">
        <v>200</v>
      </c>
      <c r="T3134" s="9" t="s">
        <v>39</v>
      </c>
      <c r="U3134" s="7">
        <v>0.39</v>
      </c>
      <c r="V3134" s="12">
        <f>C3134+0</f>
        <v>41072</v>
      </c>
      <c r="W3134">
        <f>IF(D3134=' Pivot Tables'!$A$4,1,0)</f>
        <v>0</v>
      </c>
      <c r="X3134">
        <f>IF(AND(LEFT(D3134,4)+1=LEFT(' Pivot Tables'!$A$4,4)+0,RIGHT(LEFT(D3134,7),2)=RIGHT(LEFT(' Pivot Tables'!$A$4,7),2)),1,0)</f>
        <v>0</v>
      </c>
      <c r="Y3134" s="6">
        <f>1/COUNTIF(Таблица1[Order ID],Таблица1[[#This Row],[Order ID]])</f>
        <v>1</v>
      </c>
      <c r="Z3134" s="9">
        <f>1/COUNTIFS(Таблица1[Customer Name],Таблица1[[#This Row],[Customer Name]],Таблица1[Order-Year-Month],Таблица1[[#This Row],[Order-Year-Month]])</f>
        <v>0.5</v>
      </c>
    </row>
    <row r="3135" spans="1:26" x14ac:dyDescent="0.2">
      <c r="A3135" s="6">
        <v>1511</v>
      </c>
      <c r="B3135" s="7">
        <v>10919</v>
      </c>
      <c r="C3135" s="8">
        <f>DATE(2012,12,31)-1010</f>
        <v>40264</v>
      </c>
      <c r="D3135" s="8" t="str">
        <f t="shared" si="58"/>
        <v>2010-03 (март 2010)</v>
      </c>
      <c r="E3135" s="9" t="s">
        <v>30</v>
      </c>
      <c r="F3135" s="7">
        <v>42</v>
      </c>
      <c r="G3135" s="7">
        <v>2040.95</v>
      </c>
      <c r="H3135" s="7">
        <v>7.0000000000000007E-2</v>
      </c>
      <c r="I3135" s="9" t="s">
        <v>22</v>
      </c>
      <c r="J3135" s="10">
        <v>-1231.8699999999999</v>
      </c>
      <c r="K3135" s="11">
        <v>48.91</v>
      </c>
      <c r="L3135" s="11">
        <v>35</v>
      </c>
      <c r="M3135" s="9" t="s">
        <v>1613</v>
      </c>
      <c r="N3135" s="6" t="s">
        <v>1595</v>
      </c>
      <c r="O3135" s="6" t="s">
        <v>1595</v>
      </c>
      <c r="P3135" s="9" t="s">
        <v>41</v>
      </c>
      <c r="Q3135" s="9" t="s">
        <v>26</v>
      </c>
      <c r="R3135" s="9" t="s">
        <v>27</v>
      </c>
      <c r="S3135" s="7" t="s">
        <v>418</v>
      </c>
      <c r="T3135" s="9" t="s">
        <v>29</v>
      </c>
      <c r="U3135" s="7">
        <v>0.83</v>
      </c>
      <c r="V3135" s="12">
        <f>C3135+0</f>
        <v>40264</v>
      </c>
      <c r="W3135">
        <f>IF(D3135=' Pivot Tables'!$A$4,1,0)</f>
        <v>0</v>
      </c>
      <c r="X3135">
        <f>IF(AND(LEFT(D3135,4)+1=LEFT(' Pivot Tables'!$A$4,4)+0,RIGHT(LEFT(D3135,7),2)=RIGHT(LEFT(' Pivot Tables'!$A$4,7),2)),1,0)</f>
        <v>0</v>
      </c>
      <c r="Y3135" s="6">
        <f>1/COUNTIF(Таблица1[Order ID],Таблица1[[#This Row],[Order ID]])</f>
        <v>1</v>
      </c>
      <c r="Z3135" s="9">
        <f>1/COUNTIFS(Таблица1[Customer Name],Таблица1[[#This Row],[Customer Name]],Таблица1[Order-Year-Month],Таблица1[[#This Row],[Order-Year-Month]])</f>
        <v>1</v>
      </c>
    </row>
    <row r="3136" spans="1:26" x14ac:dyDescent="0.2">
      <c r="A3136" s="6">
        <v>1585</v>
      </c>
      <c r="B3136" s="7">
        <v>11429</v>
      </c>
      <c r="C3136" s="8">
        <f>DATE(2012,12,31)-1034</f>
        <v>40240</v>
      </c>
      <c r="D3136" s="8" t="str">
        <f t="shared" si="58"/>
        <v>2010-03 (март 2010)</v>
      </c>
      <c r="E3136" s="9" t="s">
        <v>21</v>
      </c>
      <c r="F3136" s="7">
        <v>39</v>
      </c>
      <c r="G3136" s="7">
        <v>446.04</v>
      </c>
      <c r="H3136" s="7">
        <v>0.01</v>
      </c>
      <c r="I3136" s="9" t="s">
        <v>22</v>
      </c>
      <c r="J3136" s="10">
        <v>59.040999999999997</v>
      </c>
      <c r="K3136" s="11">
        <v>10.98</v>
      </c>
      <c r="L3136" s="11">
        <v>5.14</v>
      </c>
      <c r="M3136" s="9" t="s">
        <v>1608</v>
      </c>
      <c r="N3136" s="6" t="s">
        <v>1595</v>
      </c>
      <c r="O3136" s="6" t="s">
        <v>1595</v>
      </c>
      <c r="P3136" s="9" t="s">
        <v>60</v>
      </c>
      <c r="Q3136" s="9" t="s">
        <v>26</v>
      </c>
      <c r="R3136" s="9" t="s">
        <v>37</v>
      </c>
      <c r="S3136" s="7" t="s">
        <v>656</v>
      </c>
      <c r="T3136" s="9" t="s">
        <v>39</v>
      </c>
      <c r="U3136" s="7">
        <v>0.36</v>
      </c>
      <c r="V3136" s="12">
        <f>C3136+4</f>
        <v>40244</v>
      </c>
      <c r="W3136">
        <f>IF(D3136=' Pivot Tables'!$A$4,1,0)</f>
        <v>0</v>
      </c>
      <c r="X3136">
        <f>IF(AND(LEFT(D3136,4)+1=LEFT(' Pivot Tables'!$A$4,4)+0,RIGHT(LEFT(D3136,7),2)=RIGHT(LEFT(' Pivot Tables'!$A$4,7),2)),1,0)</f>
        <v>0</v>
      </c>
      <c r="Y3136" s="6">
        <f>1/COUNTIF(Таблица1[Order ID],Таблица1[[#This Row],[Order ID]])</f>
        <v>0.5</v>
      </c>
      <c r="Z3136" s="9">
        <f>1/COUNTIFS(Таблица1[Customer Name],Таблица1[[#This Row],[Customer Name]],Таблица1[Order-Year-Month],Таблица1[[#This Row],[Order-Year-Month]])</f>
        <v>0.5</v>
      </c>
    </row>
    <row r="3137" spans="1:26" x14ac:dyDescent="0.2">
      <c r="A3137" s="6">
        <v>1586</v>
      </c>
      <c r="B3137" s="7">
        <v>11429</v>
      </c>
      <c r="C3137" s="8">
        <f>DATE(2012,12,31)-1034</f>
        <v>40240</v>
      </c>
      <c r="D3137" s="8" t="str">
        <f t="shared" si="58"/>
        <v>2010-03 (март 2010)</v>
      </c>
      <c r="E3137" s="9" t="s">
        <v>21</v>
      </c>
      <c r="F3137" s="7">
        <v>46</v>
      </c>
      <c r="G3137" s="7">
        <v>18421.2</v>
      </c>
      <c r="H3137" s="7">
        <v>0.06</v>
      </c>
      <c r="I3137" s="9" t="s">
        <v>31</v>
      </c>
      <c r="J3137" s="10">
        <v>-969.0483660000001</v>
      </c>
      <c r="K3137" s="11">
        <v>400.98</v>
      </c>
      <c r="L3137" s="11">
        <v>42.52</v>
      </c>
      <c r="M3137" s="9" t="s">
        <v>1608</v>
      </c>
      <c r="N3137" s="6" t="s">
        <v>1595</v>
      </c>
      <c r="O3137" s="6" t="s">
        <v>1595</v>
      </c>
      <c r="P3137" s="9" t="s">
        <v>60</v>
      </c>
      <c r="Q3137" s="9" t="s">
        <v>49</v>
      </c>
      <c r="R3137" s="9" t="s">
        <v>83</v>
      </c>
      <c r="S3137" s="7" t="s">
        <v>1136</v>
      </c>
      <c r="T3137" s="9" t="s">
        <v>82</v>
      </c>
      <c r="U3137" s="7">
        <v>0.71</v>
      </c>
      <c r="V3137" s="12">
        <f>C3137+2</f>
        <v>40242</v>
      </c>
      <c r="W3137">
        <f>IF(D3137=' Pivot Tables'!$A$4,1,0)</f>
        <v>0</v>
      </c>
      <c r="X3137">
        <f>IF(AND(LEFT(D3137,4)+1=LEFT(' Pivot Tables'!$A$4,4)+0,RIGHT(LEFT(D3137,7),2)=RIGHT(LEFT(' Pivot Tables'!$A$4,7),2)),1,0)</f>
        <v>0</v>
      </c>
      <c r="Y3137" s="6">
        <f>1/COUNTIF(Таблица1[Order ID],Таблица1[[#This Row],[Order ID]])</f>
        <v>0.5</v>
      </c>
      <c r="Z3137" s="9">
        <f>1/COUNTIFS(Таблица1[Customer Name],Таблица1[[#This Row],[Customer Name]],Таблица1[Order-Year-Month],Таблица1[[#This Row],[Order-Year-Month]])</f>
        <v>0.5</v>
      </c>
    </row>
    <row r="3138" spans="1:26" x14ac:dyDescent="0.2">
      <c r="A3138" s="6">
        <v>1605</v>
      </c>
      <c r="B3138" s="7">
        <v>11650</v>
      </c>
      <c r="C3138" s="8">
        <f>DATE(2012,12,31)-98</f>
        <v>41176</v>
      </c>
      <c r="D3138" s="8" t="str">
        <f t="shared" si="58"/>
        <v>2012-09 (сентябрь 2012)</v>
      </c>
      <c r="E3138" s="9" t="s">
        <v>45</v>
      </c>
      <c r="F3138" s="7">
        <v>26</v>
      </c>
      <c r="G3138" s="7">
        <v>1090.4000000000001</v>
      </c>
      <c r="H3138" s="7">
        <v>0.06</v>
      </c>
      <c r="I3138" s="9" t="s">
        <v>22</v>
      </c>
      <c r="J3138" s="10">
        <v>146.24</v>
      </c>
      <c r="K3138" s="11">
        <v>40.97</v>
      </c>
      <c r="L3138" s="11">
        <v>8.99</v>
      </c>
      <c r="M3138" s="9" t="s">
        <v>1614</v>
      </c>
      <c r="N3138" s="6" t="s">
        <v>1595</v>
      </c>
      <c r="O3138" s="6" t="s">
        <v>1595</v>
      </c>
      <c r="P3138" s="9" t="s">
        <v>60</v>
      </c>
      <c r="Q3138" s="9" t="s">
        <v>26</v>
      </c>
      <c r="R3138" s="9" t="s">
        <v>95</v>
      </c>
      <c r="S3138" s="7" t="s">
        <v>777</v>
      </c>
      <c r="T3138" s="9" t="s">
        <v>52</v>
      </c>
      <c r="U3138" s="7">
        <v>0.59</v>
      </c>
      <c r="V3138" s="12">
        <f>C3138+2</f>
        <v>41178</v>
      </c>
      <c r="W3138">
        <f>IF(D3138=' Pivot Tables'!$A$4,1,0)</f>
        <v>0</v>
      </c>
      <c r="X3138">
        <f>IF(AND(LEFT(D3138,4)+1=LEFT(' Pivot Tables'!$A$4,4)+0,RIGHT(LEFT(D3138,7),2)=RIGHT(LEFT(' Pivot Tables'!$A$4,7),2)),1,0)</f>
        <v>0</v>
      </c>
      <c r="Y3138" s="6">
        <f>1/COUNTIF(Таблица1[Order ID],Таблица1[[#This Row],[Order ID]])</f>
        <v>0.5</v>
      </c>
      <c r="Z3138" s="9">
        <f>1/COUNTIFS(Таблица1[Customer Name],Таблица1[[#This Row],[Customer Name]],Таблица1[Order-Year-Month],Таблица1[[#This Row],[Order-Year-Month]])</f>
        <v>0.5</v>
      </c>
    </row>
    <row r="3139" spans="1:26" x14ac:dyDescent="0.2">
      <c r="A3139" s="6">
        <v>1793</v>
      </c>
      <c r="B3139" s="7">
        <v>12837</v>
      </c>
      <c r="C3139" s="8">
        <f>DATE(2012,12,31)-29</f>
        <v>41245</v>
      </c>
      <c r="D3139" s="8" t="str">
        <f t="shared" ref="D3139:D3202" si="59">TEXT(C3139,"гггг-ММ (ММММ гггг)")</f>
        <v>2012-12 (декабрь 2012)</v>
      </c>
      <c r="E3139" s="9" t="s">
        <v>63</v>
      </c>
      <c r="F3139" s="7">
        <v>50</v>
      </c>
      <c r="G3139" s="7">
        <v>1100.21</v>
      </c>
      <c r="H3139" s="7">
        <v>0.03</v>
      </c>
      <c r="I3139" s="9" t="s">
        <v>22</v>
      </c>
      <c r="J3139" s="10">
        <v>433.59</v>
      </c>
      <c r="K3139" s="11">
        <v>22.24</v>
      </c>
      <c r="L3139" s="11">
        <v>1.99</v>
      </c>
      <c r="M3139" s="9" t="s">
        <v>1296</v>
      </c>
      <c r="N3139" s="6" t="s">
        <v>1595</v>
      </c>
      <c r="O3139" s="6" t="s">
        <v>1595</v>
      </c>
      <c r="P3139" s="9" t="s">
        <v>60</v>
      </c>
      <c r="Q3139" s="9" t="s">
        <v>42</v>
      </c>
      <c r="R3139" s="9" t="s">
        <v>70</v>
      </c>
      <c r="S3139" s="7" t="s">
        <v>1116</v>
      </c>
      <c r="T3139" s="9" t="s">
        <v>52</v>
      </c>
      <c r="U3139" s="7">
        <v>0.43</v>
      </c>
      <c r="V3139" s="12">
        <f>C3139+0</f>
        <v>41245</v>
      </c>
      <c r="W3139">
        <f>IF(D3139=' Pivot Tables'!$A$4,1,0)</f>
        <v>0</v>
      </c>
      <c r="X3139">
        <f>IF(AND(LEFT(D3139,4)+1=LEFT(' Pivot Tables'!$A$4,4)+0,RIGHT(LEFT(D3139,7),2)=RIGHT(LEFT(' Pivot Tables'!$A$4,7),2)),1,0)</f>
        <v>0</v>
      </c>
      <c r="Y3139" s="6">
        <f>1/COUNTIF(Таблица1[Order ID],Таблица1[[#This Row],[Order ID]])</f>
        <v>0.5</v>
      </c>
      <c r="Z3139" s="9">
        <f>1/COUNTIFS(Таблица1[Customer Name],Таблица1[[#This Row],[Customer Name]],Таблица1[Order-Year-Month],Таблица1[[#This Row],[Order-Year-Month]])</f>
        <v>0.5</v>
      </c>
    </row>
    <row r="3140" spans="1:26" x14ac:dyDescent="0.2">
      <c r="A3140" s="6">
        <v>1856</v>
      </c>
      <c r="B3140" s="7">
        <v>13347</v>
      </c>
      <c r="C3140" s="8">
        <f>DATE(2012,12,31)-983</f>
        <v>40291</v>
      </c>
      <c r="D3140" s="8" t="str">
        <f t="shared" si="59"/>
        <v>2010-04 (апрель 2010)</v>
      </c>
      <c r="E3140" s="9" t="s">
        <v>45</v>
      </c>
      <c r="F3140" s="7">
        <v>24</v>
      </c>
      <c r="G3140" s="7">
        <v>104.89</v>
      </c>
      <c r="H3140" s="7">
        <v>7.0000000000000007E-2</v>
      </c>
      <c r="I3140" s="9" t="s">
        <v>56</v>
      </c>
      <c r="J3140" s="10">
        <v>22.839500000000001</v>
      </c>
      <c r="K3140" s="11">
        <v>3.8</v>
      </c>
      <c r="L3140" s="11">
        <v>1.49</v>
      </c>
      <c r="M3140" s="9" t="s">
        <v>1602</v>
      </c>
      <c r="N3140" s="6" t="s">
        <v>1595</v>
      </c>
      <c r="O3140" s="6" t="s">
        <v>1595</v>
      </c>
      <c r="P3140" s="9" t="s">
        <v>33</v>
      </c>
      <c r="Q3140" s="9" t="s">
        <v>26</v>
      </c>
      <c r="R3140" s="9" t="s">
        <v>37</v>
      </c>
      <c r="S3140" s="7" t="s">
        <v>269</v>
      </c>
      <c r="T3140" s="9" t="s">
        <v>39</v>
      </c>
      <c r="U3140" s="7">
        <v>0.38</v>
      </c>
      <c r="V3140" s="12">
        <f>C3140+1</f>
        <v>40292</v>
      </c>
      <c r="W3140">
        <f>IF(D3140=' Pivot Tables'!$A$4,1,0)</f>
        <v>0</v>
      </c>
      <c r="X3140">
        <f>IF(AND(LEFT(D3140,4)+1=LEFT(' Pivot Tables'!$A$4,4)+0,RIGHT(LEFT(D3140,7),2)=RIGHT(LEFT(' Pivot Tables'!$A$4,7),2)),1,0)</f>
        <v>0</v>
      </c>
      <c r="Y3140" s="6">
        <f>1/COUNTIF(Таблица1[Order ID],Таблица1[[#This Row],[Order ID]])</f>
        <v>1</v>
      </c>
      <c r="Z3140" s="9">
        <f>1/COUNTIFS(Таблица1[Customer Name],Таблица1[[#This Row],[Customer Name]],Таблица1[Order-Year-Month],Таблица1[[#This Row],[Order-Year-Month]])</f>
        <v>1</v>
      </c>
    </row>
    <row r="3141" spans="1:26" x14ac:dyDescent="0.2">
      <c r="A3141" s="6">
        <v>1861</v>
      </c>
      <c r="B3141" s="7">
        <v>13381</v>
      </c>
      <c r="C3141" s="8">
        <f>DATE(2012,12,31)-502</f>
        <v>40772</v>
      </c>
      <c r="D3141" s="8" t="str">
        <f t="shared" si="59"/>
        <v>2011-08 (август 2011)</v>
      </c>
      <c r="E3141" s="9" t="s">
        <v>63</v>
      </c>
      <c r="F3141" s="7">
        <v>41</v>
      </c>
      <c r="G3141" s="7">
        <v>10714.78</v>
      </c>
      <c r="H3141" s="7">
        <v>0</v>
      </c>
      <c r="I3141" s="9" t="s">
        <v>31</v>
      </c>
      <c r="J3141" s="10">
        <v>-627.64115700000002</v>
      </c>
      <c r="K3141" s="11">
        <v>259.70999999999998</v>
      </c>
      <c r="L3141" s="11">
        <v>66.67</v>
      </c>
      <c r="M3141" s="9" t="s">
        <v>1600</v>
      </c>
      <c r="N3141" s="6" t="s">
        <v>1595</v>
      </c>
      <c r="O3141" s="6" t="s">
        <v>1595</v>
      </c>
      <c r="P3141" s="9" t="s">
        <v>33</v>
      </c>
      <c r="Q3141" s="9" t="s">
        <v>49</v>
      </c>
      <c r="R3141" s="9" t="s">
        <v>83</v>
      </c>
      <c r="S3141" s="7" t="s">
        <v>510</v>
      </c>
      <c r="T3141" s="9" t="s">
        <v>82</v>
      </c>
      <c r="U3141" s="7">
        <v>0.65</v>
      </c>
      <c r="V3141" s="12">
        <f>C3141+0</f>
        <v>40772</v>
      </c>
      <c r="W3141">
        <f>IF(D3141=' Pivot Tables'!$A$4,1,0)</f>
        <v>0</v>
      </c>
      <c r="X3141">
        <f>IF(AND(LEFT(D3141,4)+1=LEFT(' Pivot Tables'!$A$4,4)+0,RIGHT(LEFT(D3141,7),2)=RIGHT(LEFT(' Pivot Tables'!$A$4,7),2)),1,0)</f>
        <v>0</v>
      </c>
      <c r="Y3141" s="6">
        <f>1/COUNTIF(Таблица1[Order ID],Таблица1[[#This Row],[Order ID]])</f>
        <v>1</v>
      </c>
      <c r="Z3141" s="9">
        <f>1/COUNTIFS(Таблица1[Customer Name],Таблица1[[#This Row],[Customer Name]],Таблица1[Order-Year-Month],Таблица1[[#This Row],[Order-Year-Month]])</f>
        <v>1</v>
      </c>
    </row>
    <row r="3142" spans="1:26" x14ac:dyDescent="0.2">
      <c r="A3142" s="6">
        <v>1905</v>
      </c>
      <c r="B3142" s="7">
        <v>13634</v>
      </c>
      <c r="C3142" s="8">
        <f>DATE(2012,12,31)-623</f>
        <v>40651</v>
      </c>
      <c r="D3142" s="8" t="str">
        <f t="shared" si="59"/>
        <v>2011-04 (апрель 2011)</v>
      </c>
      <c r="E3142" s="9" t="s">
        <v>30</v>
      </c>
      <c r="F3142" s="7">
        <v>46</v>
      </c>
      <c r="G3142" s="7">
        <v>1824.13</v>
      </c>
      <c r="H3142" s="7">
        <v>0.05</v>
      </c>
      <c r="I3142" s="9" t="s">
        <v>22</v>
      </c>
      <c r="J3142" s="10">
        <v>104.51</v>
      </c>
      <c r="K3142" s="11">
        <v>39.979999999999997</v>
      </c>
      <c r="L3142" s="11">
        <v>7.12</v>
      </c>
      <c r="M3142" s="9" t="s">
        <v>1603</v>
      </c>
      <c r="N3142" s="6" t="s">
        <v>1595</v>
      </c>
      <c r="O3142" s="6" t="s">
        <v>1595</v>
      </c>
      <c r="P3142" s="9" t="s">
        <v>33</v>
      </c>
      <c r="Q3142" s="9" t="s">
        <v>42</v>
      </c>
      <c r="R3142" s="9" t="s">
        <v>70</v>
      </c>
      <c r="S3142" s="7" t="s">
        <v>1084</v>
      </c>
      <c r="T3142" s="9" t="s">
        <v>39</v>
      </c>
      <c r="U3142" s="7">
        <v>0.67</v>
      </c>
      <c r="V3142" s="12">
        <f>C3142+0</f>
        <v>40651</v>
      </c>
      <c r="W3142">
        <f>IF(D3142=' Pivot Tables'!$A$4,1,0)</f>
        <v>0</v>
      </c>
      <c r="X3142">
        <f>IF(AND(LEFT(D3142,4)+1=LEFT(' Pivot Tables'!$A$4,4)+0,RIGHT(LEFT(D3142,7),2)=RIGHT(LEFT(' Pivot Tables'!$A$4,7),2)),1,0)</f>
        <v>0</v>
      </c>
      <c r="Y3142" s="6">
        <f>1/COUNTIF(Таблица1[Order ID],Таблица1[[#This Row],[Order ID]])</f>
        <v>0.5</v>
      </c>
      <c r="Z3142" s="9">
        <f>1/COUNTIFS(Таблица1[Customer Name],Таблица1[[#This Row],[Customer Name]],Таблица1[Order-Year-Month],Таблица1[[#This Row],[Order-Year-Month]])</f>
        <v>0.5</v>
      </c>
    </row>
    <row r="3143" spans="1:26" x14ac:dyDescent="0.2">
      <c r="A3143" s="6">
        <v>1906</v>
      </c>
      <c r="B3143" s="7">
        <v>13634</v>
      </c>
      <c r="C3143" s="8">
        <f>DATE(2012,12,31)-623</f>
        <v>40651</v>
      </c>
      <c r="D3143" s="8" t="str">
        <f t="shared" si="59"/>
        <v>2011-04 (апрель 2011)</v>
      </c>
      <c r="E3143" s="9" t="s">
        <v>30</v>
      </c>
      <c r="F3143" s="7">
        <v>27</v>
      </c>
      <c r="G3143" s="7">
        <v>151.38</v>
      </c>
      <c r="H3143" s="7">
        <v>0.04</v>
      </c>
      <c r="I3143" s="9" t="s">
        <v>22</v>
      </c>
      <c r="J3143" s="10">
        <v>-55.61</v>
      </c>
      <c r="K3143" s="11">
        <v>5.58</v>
      </c>
      <c r="L3143" s="11">
        <v>5.3</v>
      </c>
      <c r="M3143" s="9" t="s">
        <v>1603</v>
      </c>
      <c r="N3143" s="6" t="s">
        <v>1595</v>
      </c>
      <c r="O3143" s="6" t="s">
        <v>1595</v>
      </c>
      <c r="P3143" s="9" t="s">
        <v>33</v>
      </c>
      <c r="Q3143" s="9" t="s">
        <v>26</v>
      </c>
      <c r="R3143" s="9" t="s">
        <v>76</v>
      </c>
      <c r="S3143" s="7" t="s">
        <v>881</v>
      </c>
      <c r="T3143" s="9" t="s">
        <v>39</v>
      </c>
      <c r="U3143" s="7">
        <v>0.35</v>
      </c>
      <c r="V3143" s="12">
        <f>C3143+1</f>
        <v>40652</v>
      </c>
      <c r="W3143">
        <f>IF(D3143=' Pivot Tables'!$A$4,1,0)</f>
        <v>0</v>
      </c>
      <c r="X3143">
        <f>IF(AND(LEFT(D3143,4)+1=LEFT(' Pivot Tables'!$A$4,4)+0,RIGHT(LEFT(D3143,7),2)=RIGHT(LEFT(' Pivot Tables'!$A$4,7),2)),1,0)</f>
        <v>0</v>
      </c>
      <c r="Y3143" s="6">
        <f>1/COUNTIF(Таблица1[Order ID],Таблица1[[#This Row],[Order ID]])</f>
        <v>0.5</v>
      </c>
      <c r="Z3143" s="9">
        <f>1/COUNTIFS(Таблица1[Customer Name],Таблица1[[#This Row],[Customer Name]],Таблица1[Order-Year-Month],Таблица1[[#This Row],[Order-Year-Month]])</f>
        <v>0.5</v>
      </c>
    </row>
    <row r="3144" spans="1:26" x14ac:dyDescent="0.2">
      <c r="A3144" s="6">
        <v>1914</v>
      </c>
      <c r="B3144" s="7">
        <v>13729</v>
      </c>
      <c r="C3144" s="8">
        <f>DATE(2012,12,31)-1460</f>
        <v>39814</v>
      </c>
      <c r="D3144" s="8" t="str">
        <f t="shared" si="59"/>
        <v>2009-01 (январь 2009)</v>
      </c>
      <c r="E3144" s="9" t="s">
        <v>45</v>
      </c>
      <c r="F3144" s="7">
        <v>9</v>
      </c>
      <c r="G3144" s="7">
        <v>872.48</v>
      </c>
      <c r="H3144" s="7">
        <v>0.08</v>
      </c>
      <c r="I3144" s="9" t="s">
        <v>56</v>
      </c>
      <c r="J3144" s="10">
        <v>-342.91</v>
      </c>
      <c r="K3144" s="11">
        <v>95.99</v>
      </c>
      <c r="L3144" s="11">
        <v>35</v>
      </c>
      <c r="M3144" s="9" t="s">
        <v>1396</v>
      </c>
      <c r="N3144" s="6" t="s">
        <v>1595</v>
      </c>
      <c r="O3144" s="6" t="s">
        <v>1595</v>
      </c>
      <c r="P3144" s="9" t="s">
        <v>60</v>
      </c>
      <c r="Q3144" s="9" t="s">
        <v>26</v>
      </c>
      <c r="R3144" s="9" t="s">
        <v>27</v>
      </c>
      <c r="S3144" s="7" t="s">
        <v>1411</v>
      </c>
      <c r="T3144" s="9" t="s">
        <v>29</v>
      </c>
      <c r="U3144" s="7"/>
      <c r="V3144" s="12">
        <f t="shared" ref="V3144:V3150" si="60">C3144+2</f>
        <v>39816</v>
      </c>
      <c r="W3144">
        <f>IF(D3144=' Pivot Tables'!$A$4,1,0)</f>
        <v>0</v>
      </c>
      <c r="X3144">
        <f>IF(AND(LEFT(D3144,4)+1=LEFT(' Pivot Tables'!$A$4,4)+0,RIGHT(LEFT(D3144,7),2)=RIGHT(LEFT(' Pivot Tables'!$A$4,7),2)),1,0)</f>
        <v>1</v>
      </c>
      <c r="Y3144" s="6">
        <f>1/COUNTIF(Таблица1[Order ID],Таблица1[[#This Row],[Order ID]])</f>
        <v>1</v>
      </c>
      <c r="Z3144" s="9">
        <f>1/COUNTIFS(Таблица1[Customer Name],Таблица1[[#This Row],[Customer Name]],Таблица1[Order-Year-Month],Таблица1[[#This Row],[Order-Year-Month]])</f>
        <v>1</v>
      </c>
    </row>
    <row r="3145" spans="1:26" x14ac:dyDescent="0.2">
      <c r="A3145" s="6">
        <v>1915</v>
      </c>
      <c r="B3145" s="7">
        <v>13730</v>
      </c>
      <c r="C3145" s="8">
        <f>DATE(2012,12,31)-602</f>
        <v>40672</v>
      </c>
      <c r="D3145" s="8" t="str">
        <f t="shared" si="59"/>
        <v>2011-05 (май 2011)</v>
      </c>
      <c r="E3145" s="9" t="s">
        <v>30</v>
      </c>
      <c r="F3145" s="7">
        <v>26</v>
      </c>
      <c r="G3145" s="7">
        <v>3617.64</v>
      </c>
      <c r="H3145" s="7">
        <v>7.0000000000000007E-2</v>
      </c>
      <c r="I3145" s="9" t="s">
        <v>31</v>
      </c>
      <c r="J3145" s="10">
        <v>-354.12520000000006</v>
      </c>
      <c r="K3145" s="11">
        <v>146.34</v>
      </c>
      <c r="L3145" s="11">
        <v>43.75</v>
      </c>
      <c r="M3145" s="9" t="s">
        <v>1603</v>
      </c>
      <c r="N3145" s="6" t="s">
        <v>1595</v>
      </c>
      <c r="O3145" s="6" t="s">
        <v>1595</v>
      </c>
      <c r="P3145" s="9" t="s">
        <v>41</v>
      </c>
      <c r="Q3145" s="9" t="s">
        <v>49</v>
      </c>
      <c r="R3145" s="9" t="s">
        <v>83</v>
      </c>
      <c r="S3145" s="7" t="s">
        <v>204</v>
      </c>
      <c r="T3145" s="9" t="s">
        <v>82</v>
      </c>
      <c r="U3145" s="7">
        <v>0.64</v>
      </c>
      <c r="V3145" s="12">
        <f t="shared" si="60"/>
        <v>40674</v>
      </c>
      <c r="W3145">
        <f>IF(D3145=' Pivot Tables'!$A$4,1,0)</f>
        <v>0</v>
      </c>
      <c r="X3145">
        <f>IF(AND(LEFT(D3145,4)+1=LEFT(' Pivot Tables'!$A$4,4)+0,RIGHT(LEFT(D3145,7),2)=RIGHT(LEFT(' Pivot Tables'!$A$4,7),2)),1,0)</f>
        <v>0</v>
      </c>
      <c r="Y3145" s="6">
        <f>1/COUNTIF(Таблица1[Order ID],Таблица1[[#This Row],[Order ID]])</f>
        <v>1</v>
      </c>
      <c r="Z3145" s="9">
        <f>1/COUNTIFS(Таблица1[Customer Name],Таблица1[[#This Row],[Customer Name]],Таблица1[Order-Year-Month],Таблица1[[#This Row],[Order-Year-Month]])</f>
        <v>1</v>
      </c>
    </row>
    <row r="3146" spans="1:26" x14ac:dyDescent="0.2">
      <c r="A3146" s="6">
        <v>1972</v>
      </c>
      <c r="B3146" s="7">
        <v>14113</v>
      </c>
      <c r="C3146" s="8">
        <f>DATE(2012,12,31)-515</f>
        <v>40759</v>
      </c>
      <c r="D3146" s="8" t="str">
        <f t="shared" si="59"/>
        <v>2011-08 (август 2011)</v>
      </c>
      <c r="E3146" s="9" t="s">
        <v>30</v>
      </c>
      <c r="F3146" s="7">
        <v>22</v>
      </c>
      <c r="G3146" s="7">
        <v>8218.16</v>
      </c>
      <c r="H3146" s="7">
        <v>0.09</v>
      </c>
      <c r="I3146" s="9" t="s">
        <v>31</v>
      </c>
      <c r="J3146" s="10">
        <v>-774.14480000000015</v>
      </c>
      <c r="K3146" s="11">
        <v>376.13</v>
      </c>
      <c r="L3146" s="11">
        <v>85.63</v>
      </c>
      <c r="M3146" s="9" t="s">
        <v>1611</v>
      </c>
      <c r="N3146" s="6" t="s">
        <v>1595</v>
      </c>
      <c r="O3146" s="6" t="s">
        <v>1595</v>
      </c>
      <c r="P3146" s="9" t="s">
        <v>60</v>
      </c>
      <c r="Q3146" s="9" t="s">
        <v>49</v>
      </c>
      <c r="R3146" s="9" t="s">
        <v>83</v>
      </c>
      <c r="S3146" s="7" t="s">
        <v>725</v>
      </c>
      <c r="T3146" s="9" t="s">
        <v>82</v>
      </c>
      <c r="U3146" s="7">
        <v>0.74</v>
      </c>
      <c r="V3146" s="12">
        <f t="shared" si="60"/>
        <v>40761</v>
      </c>
      <c r="W3146">
        <f>IF(D3146=' Pivot Tables'!$A$4,1,0)</f>
        <v>0</v>
      </c>
      <c r="X3146">
        <f>IF(AND(LEFT(D3146,4)+1=LEFT(' Pivot Tables'!$A$4,4)+0,RIGHT(LEFT(D3146,7),2)=RIGHT(LEFT(' Pivot Tables'!$A$4,7),2)),1,0)</f>
        <v>0</v>
      </c>
      <c r="Y3146" s="6">
        <f>1/COUNTIF(Таблица1[Order ID],Таблица1[[#This Row],[Order ID]])</f>
        <v>1</v>
      </c>
      <c r="Z3146" s="9">
        <f>1/COUNTIFS(Таблица1[Customer Name],Таблица1[[#This Row],[Customer Name]],Таблица1[Order-Year-Month],Таблица1[[#This Row],[Order-Year-Month]])</f>
        <v>1</v>
      </c>
    </row>
    <row r="3147" spans="1:26" x14ac:dyDescent="0.2">
      <c r="A3147" s="6">
        <v>1989</v>
      </c>
      <c r="B3147" s="7">
        <v>14210</v>
      </c>
      <c r="C3147" s="8">
        <f>DATE(2012,12,31)-188</f>
        <v>41086</v>
      </c>
      <c r="D3147" s="8" t="str">
        <f t="shared" si="59"/>
        <v>2012-06 (июнь 2012)</v>
      </c>
      <c r="E3147" s="9" t="s">
        <v>45</v>
      </c>
      <c r="F3147" s="7">
        <v>19</v>
      </c>
      <c r="G3147" s="7">
        <v>676.79</v>
      </c>
      <c r="H3147" s="7">
        <v>0</v>
      </c>
      <c r="I3147" s="9" t="s">
        <v>22</v>
      </c>
      <c r="J3147" s="10">
        <v>213.2</v>
      </c>
      <c r="K3147" s="11">
        <v>33.29</v>
      </c>
      <c r="L3147" s="11">
        <v>1.99</v>
      </c>
      <c r="M3147" s="9" t="s">
        <v>1611</v>
      </c>
      <c r="N3147" s="6" t="s">
        <v>1595</v>
      </c>
      <c r="O3147" s="6" t="s">
        <v>1595</v>
      </c>
      <c r="P3147" s="9" t="s">
        <v>60</v>
      </c>
      <c r="Q3147" s="9" t="s">
        <v>42</v>
      </c>
      <c r="R3147" s="9" t="s">
        <v>70</v>
      </c>
      <c r="S3147" s="7" t="s">
        <v>1615</v>
      </c>
      <c r="T3147" s="9" t="s">
        <v>52</v>
      </c>
      <c r="U3147" s="7">
        <v>0.41</v>
      </c>
      <c r="V3147" s="12">
        <f t="shared" si="60"/>
        <v>41088</v>
      </c>
      <c r="W3147">
        <f>IF(D3147=' Pivot Tables'!$A$4,1,0)</f>
        <v>0</v>
      </c>
      <c r="X3147">
        <f>IF(AND(LEFT(D3147,4)+1=LEFT(' Pivot Tables'!$A$4,4)+0,RIGHT(LEFT(D3147,7),2)=RIGHT(LEFT(' Pivot Tables'!$A$4,7),2)),1,0)</f>
        <v>0</v>
      </c>
      <c r="Y3147" s="6">
        <f>1/COUNTIF(Таблица1[Order ID],Таблица1[[#This Row],[Order ID]])</f>
        <v>1</v>
      </c>
      <c r="Z3147" s="9">
        <f>1/COUNTIFS(Таблица1[Customer Name],Таблица1[[#This Row],[Customer Name]],Таблица1[Order-Year-Month],Таблица1[[#This Row],[Order-Year-Month]])</f>
        <v>0.5</v>
      </c>
    </row>
    <row r="3148" spans="1:26" x14ac:dyDescent="0.2">
      <c r="A3148" s="6">
        <v>2000</v>
      </c>
      <c r="B3148" s="7">
        <v>14272</v>
      </c>
      <c r="C3148" s="8">
        <f>DATE(2012,12,31)-323</f>
        <v>40951</v>
      </c>
      <c r="D3148" s="8" t="str">
        <f t="shared" si="59"/>
        <v>2012-02 (февраль 2012)</v>
      </c>
      <c r="E3148" s="9" t="s">
        <v>63</v>
      </c>
      <c r="F3148" s="7">
        <v>32</v>
      </c>
      <c r="G3148" s="7">
        <v>2409.96</v>
      </c>
      <c r="H3148" s="7">
        <v>7.0000000000000007E-2</v>
      </c>
      <c r="I3148" s="9" t="s">
        <v>22</v>
      </c>
      <c r="J3148" s="10">
        <v>575.1</v>
      </c>
      <c r="K3148" s="11">
        <v>80.98</v>
      </c>
      <c r="L3148" s="11">
        <v>4.5</v>
      </c>
      <c r="M3148" s="9" t="s">
        <v>1600</v>
      </c>
      <c r="N3148" s="6" t="s">
        <v>1595</v>
      </c>
      <c r="O3148" s="6" t="s">
        <v>1595</v>
      </c>
      <c r="P3148" s="9" t="s">
        <v>60</v>
      </c>
      <c r="Q3148" s="9" t="s">
        <v>26</v>
      </c>
      <c r="R3148" s="9" t="s">
        <v>34</v>
      </c>
      <c r="S3148" s="7" t="s">
        <v>1369</v>
      </c>
      <c r="T3148" s="9" t="s">
        <v>39</v>
      </c>
      <c r="U3148" s="7">
        <v>0.59</v>
      </c>
      <c r="V3148" s="12">
        <f t="shared" si="60"/>
        <v>40953</v>
      </c>
      <c r="W3148">
        <f>IF(D3148=' Pivot Tables'!$A$4,1,0)</f>
        <v>0</v>
      </c>
      <c r="X3148">
        <f>IF(AND(LEFT(D3148,4)+1=LEFT(' Pivot Tables'!$A$4,4)+0,RIGHT(LEFT(D3148,7),2)=RIGHT(LEFT(' Pivot Tables'!$A$4,7),2)),1,0)</f>
        <v>0</v>
      </c>
      <c r="Y3148" s="6">
        <f>1/COUNTIF(Таблица1[Order ID],Таблица1[[#This Row],[Order ID]])</f>
        <v>1</v>
      </c>
      <c r="Z3148" s="9">
        <f>1/COUNTIFS(Таблица1[Customer Name],Таблица1[[#This Row],[Customer Name]],Таблица1[Order-Year-Month],Таблица1[[#This Row],[Order-Year-Month]])</f>
        <v>1</v>
      </c>
    </row>
    <row r="3149" spans="1:26" x14ac:dyDescent="0.2">
      <c r="A3149" s="6">
        <v>2019</v>
      </c>
      <c r="B3149" s="7">
        <v>14401</v>
      </c>
      <c r="C3149" s="8">
        <f>DATE(2012,12,31)-515</f>
        <v>40759</v>
      </c>
      <c r="D3149" s="8" t="str">
        <f t="shared" si="59"/>
        <v>2011-08 (август 2011)</v>
      </c>
      <c r="E3149" s="9" t="s">
        <v>45</v>
      </c>
      <c r="F3149" s="7">
        <v>10</v>
      </c>
      <c r="G3149" s="7">
        <v>931.14949999999999</v>
      </c>
      <c r="H3149" s="7">
        <v>0.06</v>
      </c>
      <c r="I3149" s="9" t="s">
        <v>22</v>
      </c>
      <c r="J3149" s="10">
        <v>-128.83199999999999</v>
      </c>
      <c r="K3149" s="11">
        <v>110.99</v>
      </c>
      <c r="L3149" s="11">
        <v>2.5</v>
      </c>
      <c r="M3149" s="9" t="s">
        <v>1608</v>
      </c>
      <c r="N3149" s="6" t="s">
        <v>1595</v>
      </c>
      <c r="O3149" s="6" t="s">
        <v>1595</v>
      </c>
      <c r="P3149" s="9" t="s">
        <v>25</v>
      </c>
      <c r="Q3149" s="9" t="s">
        <v>42</v>
      </c>
      <c r="R3149" s="9" t="s">
        <v>43</v>
      </c>
      <c r="S3149" s="7" t="s">
        <v>493</v>
      </c>
      <c r="T3149" s="9" t="s">
        <v>39</v>
      </c>
      <c r="U3149" s="7">
        <v>0.56999999999999995</v>
      </c>
      <c r="V3149" s="12">
        <f t="shared" si="60"/>
        <v>40761</v>
      </c>
      <c r="W3149">
        <f>IF(D3149=' Pivot Tables'!$A$4,1,0)</f>
        <v>0</v>
      </c>
      <c r="X3149">
        <f>IF(AND(LEFT(D3149,4)+1=LEFT(' Pivot Tables'!$A$4,4)+0,RIGHT(LEFT(D3149,7),2)=RIGHT(LEFT(' Pivot Tables'!$A$4,7),2)),1,0)</f>
        <v>0</v>
      </c>
      <c r="Y3149" s="6">
        <f>1/COUNTIF(Таблица1[Order ID],Таблица1[[#This Row],[Order ID]])</f>
        <v>1</v>
      </c>
      <c r="Z3149" s="9">
        <f>1/COUNTIFS(Таблица1[Customer Name],Таблица1[[#This Row],[Customer Name]],Таблица1[Order-Year-Month],Таблица1[[#This Row],[Order-Year-Month]])</f>
        <v>1</v>
      </c>
    </row>
    <row r="3150" spans="1:26" x14ac:dyDescent="0.2">
      <c r="A3150" s="6">
        <v>2211</v>
      </c>
      <c r="B3150" s="7">
        <v>15941</v>
      </c>
      <c r="C3150" s="8">
        <f>DATE(2012,12,31)-387</f>
        <v>40887</v>
      </c>
      <c r="D3150" s="8" t="str">
        <f t="shared" si="59"/>
        <v>2011-12 (декабрь 2011)</v>
      </c>
      <c r="E3150" s="9" t="s">
        <v>45</v>
      </c>
      <c r="F3150" s="7">
        <v>15</v>
      </c>
      <c r="G3150" s="7">
        <v>951.09</v>
      </c>
      <c r="H3150" s="7">
        <v>0.02</v>
      </c>
      <c r="I3150" s="9" t="s">
        <v>31</v>
      </c>
      <c r="J3150" s="10">
        <v>-246.32</v>
      </c>
      <c r="K3150" s="11">
        <v>58.14</v>
      </c>
      <c r="L3150" s="11">
        <v>36.61</v>
      </c>
      <c r="M3150" s="9" t="s">
        <v>1594</v>
      </c>
      <c r="N3150" s="6" t="s">
        <v>1595</v>
      </c>
      <c r="O3150" s="6" t="s">
        <v>1595</v>
      </c>
      <c r="P3150" s="9" t="s">
        <v>33</v>
      </c>
      <c r="Q3150" s="9" t="s">
        <v>49</v>
      </c>
      <c r="R3150" s="9" t="s">
        <v>80</v>
      </c>
      <c r="S3150" s="7" t="s">
        <v>233</v>
      </c>
      <c r="T3150" s="9" t="s">
        <v>82</v>
      </c>
      <c r="U3150" s="7">
        <v>0.61</v>
      </c>
      <c r="V3150" s="12">
        <f t="shared" si="60"/>
        <v>40889</v>
      </c>
      <c r="W3150">
        <f>IF(D3150=' Pivot Tables'!$A$4,1,0)</f>
        <v>0</v>
      </c>
      <c r="X3150">
        <f>IF(AND(LEFT(D3150,4)+1=LEFT(' Pivot Tables'!$A$4,4)+0,RIGHT(LEFT(D3150,7),2)=RIGHT(LEFT(' Pivot Tables'!$A$4,7),2)),1,0)</f>
        <v>0</v>
      </c>
      <c r="Y3150" s="6">
        <f>1/COUNTIF(Таблица1[Order ID],Таблица1[[#This Row],[Order ID]])</f>
        <v>1</v>
      </c>
      <c r="Z3150" s="9">
        <f>1/COUNTIFS(Таблица1[Customer Name],Таблица1[[#This Row],[Customer Name]],Таблица1[Order-Year-Month],Таблица1[[#This Row],[Order-Year-Month]])</f>
        <v>1</v>
      </c>
    </row>
    <row r="3151" spans="1:26" x14ac:dyDescent="0.2">
      <c r="A3151" s="6">
        <v>2479</v>
      </c>
      <c r="B3151" s="7">
        <v>18023</v>
      </c>
      <c r="C3151" s="8">
        <f>DATE(2012,12,31)-676</f>
        <v>40598</v>
      </c>
      <c r="D3151" s="8" t="str">
        <f t="shared" si="59"/>
        <v>2011-02 (февраль 2011)</v>
      </c>
      <c r="E3151" s="9" t="s">
        <v>63</v>
      </c>
      <c r="F3151" s="7">
        <v>38</v>
      </c>
      <c r="G3151" s="7">
        <v>4502.26</v>
      </c>
      <c r="H3151" s="7">
        <v>0.09</v>
      </c>
      <c r="I3151" s="9" t="s">
        <v>31</v>
      </c>
      <c r="J3151" s="10">
        <v>1272.17</v>
      </c>
      <c r="K3151" s="11">
        <v>120.97</v>
      </c>
      <c r="L3151" s="11">
        <v>26.3</v>
      </c>
      <c r="M3151" s="9" t="s">
        <v>1614</v>
      </c>
      <c r="N3151" s="6" t="s">
        <v>1595</v>
      </c>
      <c r="O3151" s="6" t="s">
        <v>1595</v>
      </c>
      <c r="P3151" s="9" t="s">
        <v>60</v>
      </c>
      <c r="Q3151" s="9" t="s">
        <v>42</v>
      </c>
      <c r="R3151" s="9" t="s">
        <v>210</v>
      </c>
      <c r="S3151" s="7" t="s">
        <v>487</v>
      </c>
      <c r="T3151" s="9" t="s">
        <v>36</v>
      </c>
      <c r="U3151" s="7">
        <v>0.38</v>
      </c>
      <c r="V3151" s="12">
        <f>C3151+1</f>
        <v>40599</v>
      </c>
      <c r="W3151">
        <f>IF(D3151=' Pivot Tables'!$A$4,1,0)</f>
        <v>0</v>
      </c>
      <c r="X3151">
        <f>IF(AND(LEFT(D3151,4)+1=LEFT(' Pivot Tables'!$A$4,4)+0,RIGHT(LEFT(D3151,7),2)=RIGHT(LEFT(' Pivot Tables'!$A$4,7),2)),1,0)</f>
        <v>0</v>
      </c>
      <c r="Y3151" s="6">
        <f>1/COUNTIF(Таблица1[Order ID],Таблица1[[#This Row],[Order ID]])</f>
        <v>0.5</v>
      </c>
      <c r="Z3151" s="9">
        <f>1/COUNTIFS(Таблица1[Customer Name],Таблица1[[#This Row],[Customer Name]],Таблица1[Order-Year-Month],Таблица1[[#This Row],[Order-Year-Month]])</f>
        <v>0.5</v>
      </c>
    </row>
    <row r="3152" spans="1:26" x14ac:dyDescent="0.2">
      <c r="A3152" s="6">
        <v>2480</v>
      </c>
      <c r="B3152" s="7">
        <v>18023</v>
      </c>
      <c r="C3152" s="8">
        <f>DATE(2012,12,31)-676</f>
        <v>40598</v>
      </c>
      <c r="D3152" s="8" t="str">
        <f t="shared" si="59"/>
        <v>2011-02 (февраль 2011)</v>
      </c>
      <c r="E3152" s="9" t="s">
        <v>63</v>
      </c>
      <c r="F3152" s="7">
        <v>34</v>
      </c>
      <c r="G3152" s="7">
        <v>192.23</v>
      </c>
      <c r="H3152" s="7">
        <v>7.0000000000000007E-2</v>
      </c>
      <c r="I3152" s="9" t="s">
        <v>22</v>
      </c>
      <c r="J3152" s="10">
        <v>-149.84</v>
      </c>
      <c r="K3152" s="11">
        <v>5.78</v>
      </c>
      <c r="L3152" s="11">
        <v>7.64</v>
      </c>
      <c r="M3152" s="9" t="s">
        <v>1614</v>
      </c>
      <c r="N3152" s="6" t="s">
        <v>1595</v>
      </c>
      <c r="O3152" s="6" t="s">
        <v>1595</v>
      </c>
      <c r="P3152" s="9" t="s">
        <v>60</v>
      </c>
      <c r="Q3152" s="9" t="s">
        <v>26</v>
      </c>
      <c r="R3152" s="9" t="s">
        <v>61</v>
      </c>
      <c r="S3152" s="7" t="s">
        <v>804</v>
      </c>
      <c r="T3152" s="9" t="s">
        <v>39</v>
      </c>
      <c r="U3152" s="7">
        <v>0.36</v>
      </c>
      <c r="V3152" s="12">
        <f>C3152+1</f>
        <v>40599</v>
      </c>
      <c r="W3152">
        <f>IF(D3152=' Pivot Tables'!$A$4,1,0)</f>
        <v>0</v>
      </c>
      <c r="X3152">
        <f>IF(AND(LEFT(D3152,4)+1=LEFT(' Pivot Tables'!$A$4,4)+0,RIGHT(LEFT(D3152,7),2)=RIGHT(LEFT(' Pivot Tables'!$A$4,7),2)),1,0)</f>
        <v>0</v>
      </c>
      <c r="Y3152" s="6">
        <f>1/COUNTIF(Таблица1[Order ID],Таблица1[[#This Row],[Order ID]])</f>
        <v>0.5</v>
      </c>
      <c r="Z3152" s="9">
        <f>1/COUNTIFS(Таблица1[Customer Name],Таблица1[[#This Row],[Customer Name]],Таблица1[Order-Year-Month],Таблица1[[#This Row],[Order-Year-Month]])</f>
        <v>0.5</v>
      </c>
    </row>
    <row r="3153" spans="1:26" x14ac:dyDescent="0.2">
      <c r="A3153" s="6">
        <v>2526</v>
      </c>
      <c r="B3153" s="7">
        <v>18341</v>
      </c>
      <c r="C3153" s="8">
        <f>DATE(2012,12,31)-897</f>
        <v>40377</v>
      </c>
      <c r="D3153" s="8" t="str">
        <f t="shared" si="59"/>
        <v>2010-07 (июль 2010)</v>
      </c>
      <c r="E3153" s="9" t="s">
        <v>78</v>
      </c>
      <c r="F3153" s="7">
        <v>39</v>
      </c>
      <c r="G3153" s="7">
        <v>237.89</v>
      </c>
      <c r="H3153" s="7">
        <v>0</v>
      </c>
      <c r="I3153" s="9" t="s">
        <v>22</v>
      </c>
      <c r="J3153" s="10">
        <v>-165.26</v>
      </c>
      <c r="K3153" s="11">
        <v>5.78</v>
      </c>
      <c r="L3153" s="11">
        <v>7.96</v>
      </c>
      <c r="M3153" s="9" t="s">
        <v>1603</v>
      </c>
      <c r="N3153" s="6" t="s">
        <v>1595</v>
      </c>
      <c r="O3153" s="6" t="s">
        <v>1595</v>
      </c>
      <c r="P3153" s="9" t="s">
        <v>33</v>
      </c>
      <c r="Q3153" s="9" t="s">
        <v>26</v>
      </c>
      <c r="R3153" s="9" t="s">
        <v>61</v>
      </c>
      <c r="S3153" s="7" t="s">
        <v>754</v>
      </c>
      <c r="T3153" s="9" t="s">
        <v>39</v>
      </c>
      <c r="U3153" s="7">
        <v>0.36</v>
      </c>
      <c r="V3153" s="12">
        <f>C3153+0</f>
        <v>40377</v>
      </c>
      <c r="W3153">
        <f>IF(D3153=' Pivot Tables'!$A$4,1,0)</f>
        <v>0</v>
      </c>
      <c r="X3153">
        <f>IF(AND(LEFT(D3153,4)+1=LEFT(' Pivot Tables'!$A$4,4)+0,RIGHT(LEFT(D3153,7),2)=RIGHT(LEFT(' Pivot Tables'!$A$4,7),2)),1,0)</f>
        <v>0</v>
      </c>
      <c r="Y3153" s="6">
        <f>1/COUNTIF(Таблица1[Order ID],Таблица1[[#This Row],[Order ID]])</f>
        <v>1</v>
      </c>
      <c r="Z3153" s="9">
        <f>1/COUNTIFS(Таблица1[Customer Name],Таблица1[[#This Row],[Customer Name]],Таблица1[Order-Year-Month],Таблица1[[#This Row],[Order-Year-Month]])</f>
        <v>1</v>
      </c>
    </row>
    <row r="3154" spans="1:26" x14ac:dyDescent="0.2">
      <c r="A3154" s="6">
        <v>2535</v>
      </c>
      <c r="B3154" s="7">
        <v>18400</v>
      </c>
      <c r="C3154" s="8">
        <f>DATE(2012,12,31)-391</f>
        <v>40883</v>
      </c>
      <c r="D3154" s="8" t="str">
        <f t="shared" si="59"/>
        <v>2011-12 (декабрь 2011)</v>
      </c>
      <c r="E3154" s="9" t="s">
        <v>45</v>
      </c>
      <c r="F3154" s="7">
        <v>29</v>
      </c>
      <c r="G3154" s="7">
        <v>598.49</v>
      </c>
      <c r="H3154" s="7">
        <v>0.05</v>
      </c>
      <c r="I3154" s="9" t="s">
        <v>22</v>
      </c>
      <c r="J3154" s="10">
        <v>34.159999999999997</v>
      </c>
      <c r="K3154" s="11">
        <v>20.95</v>
      </c>
      <c r="L3154" s="11">
        <v>4</v>
      </c>
      <c r="M3154" s="9" t="s">
        <v>497</v>
      </c>
      <c r="N3154" s="6" t="s">
        <v>1595</v>
      </c>
      <c r="O3154" s="6" t="s">
        <v>1595</v>
      </c>
      <c r="P3154" s="9" t="s">
        <v>33</v>
      </c>
      <c r="Q3154" s="9" t="s">
        <v>42</v>
      </c>
      <c r="R3154" s="9" t="s">
        <v>70</v>
      </c>
      <c r="S3154" s="7" t="s">
        <v>231</v>
      </c>
      <c r="T3154" s="9" t="s">
        <v>39</v>
      </c>
      <c r="U3154" s="7">
        <v>0.6</v>
      </c>
      <c r="V3154" s="12">
        <f>C3154+1</f>
        <v>40884</v>
      </c>
      <c r="W3154">
        <f>IF(D3154=' Pivot Tables'!$A$4,1,0)</f>
        <v>0</v>
      </c>
      <c r="X3154">
        <f>IF(AND(LEFT(D3154,4)+1=LEFT(' Pivot Tables'!$A$4,4)+0,RIGHT(LEFT(D3154,7),2)=RIGHT(LEFT(' Pivot Tables'!$A$4,7),2)),1,0)</f>
        <v>0</v>
      </c>
      <c r="Y3154" s="6">
        <f>1/COUNTIF(Таблица1[Order ID],Таблица1[[#This Row],[Order ID]])</f>
        <v>1</v>
      </c>
      <c r="Z3154" s="9">
        <f>1/COUNTIFS(Таблица1[Customer Name],Таблица1[[#This Row],[Customer Name]],Таблица1[Order-Year-Month],Таблица1[[#This Row],[Order-Year-Month]])</f>
        <v>1</v>
      </c>
    </row>
    <row r="3155" spans="1:26" x14ac:dyDescent="0.2">
      <c r="A3155" s="6">
        <v>2621</v>
      </c>
      <c r="B3155" s="7">
        <v>18950</v>
      </c>
      <c r="C3155" s="8">
        <f>DATE(2012,12,31)-308</f>
        <v>40966</v>
      </c>
      <c r="D3155" s="8" t="str">
        <f t="shared" si="59"/>
        <v>2012-02 (февраль 2012)</v>
      </c>
      <c r="E3155" s="9" t="s">
        <v>21</v>
      </c>
      <c r="F3155" s="7">
        <v>33</v>
      </c>
      <c r="G3155" s="7">
        <v>3008.5</v>
      </c>
      <c r="H3155" s="7">
        <v>0.05</v>
      </c>
      <c r="I3155" s="9" t="s">
        <v>31</v>
      </c>
      <c r="J3155" s="10">
        <v>1101.9000000000001</v>
      </c>
      <c r="K3155" s="11">
        <v>90.97</v>
      </c>
      <c r="L3155" s="11">
        <v>14</v>
      </c>
      <c r="M3155" s="9" t="s">
        <v>1598</v>
      </c>
      <c r="N3155" s="6" t="s">
        <v>1595</v>
      </c>
      <c r="O3155" s="6" t="s">
        <v>1595</v>
      </c>
      <c r="P3155" s="9" t="s">
        <v>25</v>
      </c>
      <c r="Q3155" s="9" t="s">
        <v>42</v>
      </c>
      <c r="R3155" s="9" t="s">
        <v>210</v>
      </c>
      <c r="S3155" s="7" t="s">
        <v>772</v>
      </c>
      <c r="T3155" s="9" t="s">
        <v>36</v>
      </c>
      <c r="U3155" s="7">
        <v>0.36</v>
      </c>
      <c r="V3155" s="12">
        <f>C3155+6</f>
        <v>40972</v>
      </c>
      <c r="W3155">
        <f>IF(D3155=' Pivot Tables'!$A$4,1,0)</f>
        <v>0</v>
      </c>
      <c r="X3155">
        <f>IF(AND(LEFT(D3155,4)+1=LEFT(' Pivot Tables'!$A$4,4)+0,RIGHT(LEFT(D3155,7),2)=RIGHT(LEFT(' Pivot Tables'!$A$4,7),2)),1,0)</f>
        <v>0</v>
      </c>
      <c r="Y3155" s="6">
        <f>1/COUNTIF(Таблица1[Order ID],Таблица1[[#This Row],[Order ID]])</f>
        <v>1</v>
      </c>
      <c r="Z3155" s="9">
        <f>1/COUNTIFS(Таблица1[Customer Name],Таблица1[[#This Row],[Customer Name]],Таблица1[Order-Year-Month],Таблица1[[#This Row],[Order-Year-Month]])</f>
        <v>0.5</v>
      </c>
    </row>
    <row r="3156" spans="1:26" x14ac:dyDescent="0.2">
      <c r="A3156" s="6">
        <v>2641</v>
      </c>
      <c r="B3156" s="7">
        <v>19111</v>
      </c>
      <c r="C3156" s="8">
        <f>DATE(2012,12,31)-1184</f>
        <v>40090</v>
      </c>
      <c r="D3156" s="8" t="str">
        <f t="shared" si="59"/>
        <v>2009-10 (октябрь 2009)</v>
      </c>
      <c r="E3156" s="9" t="s">
        <v>21</v>
      </c>
      <c r="F3156" s="7">
        <v>24</v>
      </c>
      <c r="G3156" s="7">
        <v>195.83</v>
      </c>
      <c r="H3156" s="7">
        <v>0.04</v>
      </c>
      <c r="I3156" s="9" t="s">
        <v>22</v>
      </c>
      <c r="J3156" s="10">
        <v>10.79</v>
      </c>
      <c r="K3156" s="11">
        <v>8.33</v>
      </c>
      <c r="L3156" s="11">
        <v>1.99</v>
      </c>
      <c r="M3156" s="9" t="s">
        <v>1616</v>
      </c>
      <c r="N3156" s="6" t="s">
        <v>1595</v>
      </c>
      <c r="O3156" s="6" t="s">
        <v>1595</v>
      </c>
      <c r="P3156" s="9" t="s">
        <v>33</v>
      </c>
      <c r="Q3156" s="9" t="s">
        <v>42</v>
      </c>
      <c r="R3156" s="9" t="s">
        <v>70</v>
      </c>
      <c r="S3156" s="7" t="s">
        <v>324</v>
      </c>
      <c r="T3156" s="9" t="s">
        <v>52</v>
      </c>
      <c r="U3156" s="7">
        <v>0.52</v>
      </c>
      <c r="V3156" s="12">
        <f>C3156+5</f>
        <v>40095</v>
      </c>
      <c r="W3156">
        <f>IF(D3156=' Pivot Tables'!$A$4,1,0)</f>
        <v>0</v>
      </c>
      <c r="X3156">
        <f>IF(AND(LEFT(D3156,4)+1=LEFT(' Pivot Tables'!$A$4,4)+0,RIGHT(LEFT(D3156,7),2)=RIGHT(LEFT(' Pivot Tables'!$A$4,7),2)),1,0)</f>
        <v>0</v>
      </c>
      <c r="Y3156" s="6">
        <f>1/COUNTIF(Таблица1[Order ID],Таблица1[[#This Row],[Order ID]])</f>
        <v>1</v>
      </c>
      <c r="Z3156" s="9">
        <f>1/COUNTIFS(Таблица1[Customer Name],Таблица1[[#This Row],[Customer Name]],Таблица1[Order-Year-Month],Таблица1[[#This Row],[Order-Year-Month]])</f>
        <v>1</v>
      </c>
    </row>
    <row r="3157" spans="1:26" x14ac:dyDescent="0.2">
      <c r="A3157" s="6">
        <v>2644</v>
      </c>
      <c r="B3157" s="7">
        <v>19139</v>
      </c>
      <c r="C3157" s="8">
        <f>DATE(2012,12,31)-759</f>
        <v>40515</v>
      </c>
      <c r="D3157" s="8" t="str">
        <f t="shared" si="59"/>
        <v>2010-12 (декабрь 2010)</v>
      </c>
      <c r="E3157" s="9" t="s">
        <v>45</v>
      </c>
      <c r="F3157" s="7">
        <v>15</v>
      </c>
      <c r="G3157" s="7">
        <v>94.84</v>
      </c>
      <c r="H3157" s="7">
        <v>0.01</v>
      </c>
      <c r="I3157" s="9" t="s">
        <v>22</v>
      </c>
      <c r="J3157" s="10">
        <v>-26.66</v>
      </c>
      <c r="K3157" s="11">
        <v>5.98</v>
      </c>
      <c r="L3157" s="11">
        <v>5.15</v>
      </c>
      <c r="M3157" s="9" t="s">
        <v>1611</v>
      </c>
      <c r="N3157" s="6" t="s">
        <v>1595</v>
      </c>
      <c r="O3157" s="6" t="s">
        <v>1595</v>
      </c>
      <c r="P3157" s="9" t="s">
        <v>41</v>
      </c>
      <c r="Q3157" s="9" t="s">
        <v>26</v>
      </c>
      <c r="R3157" s="9" t="s">
        <v>61</v>
      </c>
      <c r="S3157" s="7" t="s">
        <v>995</v>
      </c>
      <c r="T3157" s="9" t="s">
        <v>39</v>
      </c>
      <c r="U3157" s="7">
        <v>0.36</v>
      </c>
      <c r="V3157" s="12">
        <f>C3157+1</f>
        <v>40516</v>
      </c>
      <c r="W3157">
        <f>IF(D3157=' Pivot Tables'!$A$4,1,0)</f>
        <v>0</v>
      </c>
      <c r="X3157">
        <f>IF(AND(LEFT(D3157,4)+1=LEFT(' Pivot Tables'!$A$4,4)+0,RIGHT(LEFT(D3157,7),2)=RIGHT(LEFT(' Pivot Tables'!$A$4,7),2)),1,0)</f>
        <v>0</v>
      </c>
      <c r="Y3157" s="6">
        <f>1/COUNTIF(Таблица1[Order ID],Таблица1[[#This Row],[Order ID]])</f>
        <v>1</v>
      </c>
      <c r="Z3157" s="9">
        <f>1/COUNTIFS(Таблица1[Customer Name],Таблица1[[#This Row],[Customer Name]],Таблица1[Order-Year-Month],Таблица1[[#This Row],[Order-Year-Month]])</f>
        <v>0.16666666666666666</v>
      </c>
    </row>
    <row r="3158" spans="1:26" x14ac:dyDescent="0.2">
      <c r="A3158" s="6">
        <v>2672</v>
      </c>
      <c r="B3158" s="7">
        <v>19332</v>
      </c>
      <c r="C3158" s="8">
        <f>DATE(2012,12,31)-308</f>
        <v>40966</v>
      </c>
      <c r="D3158" s="8" t="str">
        <f t="shared" si="59"/>
        <v>2012-02 (февраль 2012)</v>
      </c>
      <c r="E3158" s="9" t="s">
        <v>30</v>
      </c>
      <c r="F3158" s="7">
        <v>46</v>
      </c>
      <c r="G3158" s="7">
        <v>8246.86</v>
      </c>
      <c r="H3158" s="7">
        <v>0.06</v>
      </c>
      <c r="I3158" s="9" t="s">
        <v>31</v>
      </c>
      <c r="J3158" s="10">
        <v>-433.29014300000011</v>
      </c>
      <c r="K3158" s="11">
        <v>179.29</v>
      </c>
      <c r="L3158" s="11">
        <v>29.21</v>
      </c>
      <c r="M3158" s="9" t="s">
        <v>1598</v>
      </c>
      <c r="N3158" s="6" t="s">
        <v>1595</v>
      </c>
      <c r="O3158" s="6" t="s">
        <v>1595</v>
      </c>
      <c r="P3158" s="9" t="s">
        <v>33</v>
      </c>
      <c r="Q3158" s="9" t="s">
        <v>49</v>
      </c>
      <c r="R3158" s="9" t="s">
        <v>83</v>
      </c>
      <c r="S3158" s="7" t="s">
        <v>207</v>
      </c>
      <c r="T3158" s="9" t="s">
        <v>82</v>
      </c>
      <c r="U3158" s="7">
        <v>0.74</v>
      </c>
      <c r="V3158" s="12">
        <f>C3158+2</f>
        <v>40968</v>
      </c>
      <c r="W3158">
        <f>IF(D3158=' Pivot Tables'!$A$4,1,0)</f>
        <v>0</v>
      </c>
      <c r="X3158">
        <f>IF(AND(LEFT(D3158,4)+1=LEFT(' Pivot Tables'!$A$4,4)+0,RIGHT(LEFT(D3158,7),2)=RIGHT(LEFT(' Pivot Tables'!$A$4,7),2)),1,0)</f>
        <v>0</v>
      </c>
      <c r="Y3158" s="6">
        <f>1/COUNTIF(Таблица1[Order ID],Таблица1[[#This Row],[Order ID]])</f>
        <v>1</v>
      </c>
      <c r="Z3158" s="9">
        <f>1/COUNTIFS(Таблица1[Customer Name],Таблица1[[#This Row],[Customer Name]],Таблица1[Order-Year-Month],Таблица1[[#This Row],[Order-Year-Month]])</f>
        <v>0.5</v>
      </c>
    </row>
    <row r="3159" spans="1:26" x14ac:dyDescent="0.2">
      <c r="A3159" s="6">
        <v>2904</v>
      </c>
      <c r="B3159" s="7">
        <v>20965</v>
      </c>
      <c r="C3159" s="8">
        <f>DATE(2012,12,31)-1107</f>
        <v>40167</v>
      </c>
      <c r="D3159" s="8" t="str">
        <f t="shared" si="59"/>
        <v>2009-12 (декабрь 2009)</v>
      </c>
      <c r="E3159" s="9" t="s">
        <v>78</v>
      </c>
      <c r="F3159" s="7">
        <v>38</v>
      </c>
      <c r="G3159" s="7">
        <v>2315.11</v>
      </c>
      <c r="H3159" s="7">
        <v>0.06</v>
      </c>
      <c r="I3159" s="9" t="s">
        <v>22</v>
      </c>
      <c r="J3159" s="10">
        <v>532.21</v>
      </c>
      <c r="K3159" s="11">
        <v>59.76</v>
      </c>
      <c r="L3159" s="11">
        <v>9.7100000000000009</v>
      </c>
      <c r="M3159" s="9" t="s">
        <v>1594</v>
      </c>
      <c r="N3159" s="6" t="s">
        <v>1595</v>
      </c>
      <c r="O3159" s="6" t="s">
        <v>1595</v>
      </c>
      <c r="P3159" s="9" t="s">
        <v>33</v>
      </c>
      <c r="Q3159" s="9" t="s">
        <v>26</v>
      </c>
      <c r="R3159" s="9" t="s">
        <v>27</v>
      </c>
      <c r="S3159" s="7" t="s">
        <v>1617</v>
      </c>
      <c r="T3159" s="9" t="s">
        <v>39</v>
      </c>
      <c r="U3159" s="7">
        <v>0.56999999999999995</v>
      </c>
      <c r="V3159" s="12">
        <f>C3159+3</f>
        <v>40170</v>
      </c>
      <c r="W3159">
        <f>IF(D3159=' Pivot Tables'!$A$4,1,0)</f>
        <v>0</v>
      </c>
      <c r="X3159">
        <f>IF(AND(LEFT(D3159,4)+1=LEFT(' Pivot Tables'!$A$4,4)+0,RIGHT(LEFT(D3159,7),2)=RIGHT(LEFT(' Pivot Tables'!$A$4,7),2)),1,0)</f>
        <v>0</v>
      </c>
      <c r="Y3159" s="6">
        <f>1/COUNTIF(Таблица1[Order ID],Таблица1[[#This Row],[Order ID]])</f>
        <v>0.5</v>
      </c>
      <c r="Z3159" s="9">
        <f>1/COUNTIFS(Таблица1[Customer Name],Таблица1[[#This Row],[Customer Name]],Таблица1[Order-Year-Month],Таблица1[[#This Row],[Order-Year-Month]])</f>
        <v>0.33333333333333331</v>
      </c>
    </row>
    <row r="3160" spans="1:26" x14ac:dyDescent="0.2">
      <c r="A3160" s="6">
        <v>2905</v>
      </c>
      <c r="B3160" s="7">
        <v>20965</v>
      </c>
      <c r="C3160" s="8">
        <f>DATE(2012,12,31)-1107</f>
        <v>40167</v>
      </c>
      <c r="D3160" s="8" t="str">
        <f t="shared" si="59"/>
        <v>2009-12 (декабрь 2009)</v>
      </c>
      <c r="E3160" s="9" t="s">
        <v>78</v>
      </c>
      <c r="F3160" s="7">
        <v>8</v>
      </c>
      <c r="G3160" s="7">
        <v>1264.2304999999999</v>
      </c>
      <c r="H3160" s="7">
        <v>7.0000000000000007E-2</v>
      </c>
      <c r="I3160" s="9" t="s">
        <v>22</v>
      </c>
      <c r="J3160" s="10">
        <v>-444.68599999999998</v>
      </c>
      <c r="K3160" s="11">
        <v>195.99</v>
      </c>
      <c r="L3160" s="11">
        <v>4.2</v>
      </c>
      <c r="M3160" s="9" t="s">
        <v>1594</v>
      </c>
      <c r="N3160" s="6" t="s">
        <v>1595</v>
      </c>
      <c r="O3160" s="6" t="s">
        <v>1595</v>
      </c>
      <c r="P3160" s="9" t="s">
        <v>33</v>
      </c>
      <c r="Q3160" s="9" t="s">
        <v>42</v>
      </c>
      <c r="R3160" s="9" t="s">
        <v>43</v>
      </c>
      <c r="S3160" s="7" t="s">
        <v>1017</v>
      </c>
      <c r="T3160" s="9" t="s">
        <v>39</v>
      </c>
      <c r="U3160" s="7">
        <v>0.56000000000000005</v>
      </c>
      <c r="V3160" s="12">
        <f>C3160+3</f>
        <v>40170</v>
      </c>
      <c r="W3160">
        <f>IF(D3160=' Pivot Tables'!$A$4,1,0)</f>
        <v>0</v>
      </c>
      <c r="X3160">
        <f>IF(AND(LEFT(D3160,4)+1=LEFT(' Pivot Tables'!$A$4,4)+0,RIGHT(LEFT(D3160,7),2)=RIGHT(LEFT(' Pivot Tables'!$A$4,7),2)),1,0)</f>
        <v>0</v>
      </c>
      <c r="Y3160" s="6">
        <f>1/COUNTIF(Таблица1[Order ID],Таблица1[[#This Row],[Order ID]])</f>
        <v>0.5</v>
      </c>
      <c r="Z3160" s="9">
        <f>1/COUNTIFS(Таблица1[Customer Name],Таблица1[[#This Row],[Customer Name]],Таблица1[Order-Year-Month],Таблица1[[#This Row],[Order-Year-Month]])</f>
        <v>0.33333333333333331</v>
      </c>
    </row>
    <row r="3161" spans="1:26" x14ac:dyDescent="0.2">
      <c r="A3161" s="6">
        <v>2932</v>
      </c>
      <c r="B3161" s="7">
        <v>21249</v>
      </c>
      <c r="C3161" s="8">
        <f>DATE(2012,12,31)-834</f>
        <v>40440</v>
      </c>
      <c r="D3161" s="8" t="str">
        <f t="shared" si="59"/>
        <v>2010-09 (сентябрь 2010)</v>
      </c>
      <c r="E3161" s="9" t="s">
        <v>21</v>
      </c>
      <c r="F3161" s="7">
        <v>22</v>
      </c>
      <c r="G3161" s="7">
        <v>1082.8</v>
      </c>
      <c r="H3161" s="7">
        <v>0.02</v>
      </c>
      <c r="I3161" s="9" t="s">
        <v>22</v>
      </c>
      <c r="J3161" s="10">
        <v>299.35000000000002</v>
      </c>
      <c r="K3161" s="11">
        <v>48.58</v>
      </c>
      <c r="L3161" s="11">
        <v>3.99</v>
      </c>
      <c r="M3161" s="9" t="s">
        <v>1598</v>
      </c>
      <c r="N3161" s="6" t="s">
        <v>1595</v>
      </c>
      <c r="O3161" s="6" t="s">
        <v>1595</v>
      </c>
      <c r="P3161" s="9" t="s">
        <v>25</v>
      </c>
      <c r="Q3161" s="9" t="s">
        <v>26</v>
      </c>
      <c r="R3161" s="9" t="s">
        <v>34</v>
      </c>
      <c r="S3161" s="7" t="s">
        <v>988</v>
      </c>
      <c r="T3161" s="9" t="s">
        <v>39</v>
      </c>
      <c r="U3161" s="7">
        <v>0.56000000000000005</v>
      </c>
      <c r="V3161" s="12">
        <f>C3161+2</f>
        <v>40442</v>
      </c>
      <c r="W3161">
        <f>IF(D3161=' Pivot Tables'!$A$4,1,0)</f>
        <v>0</v>
      </c>
      <c r="X3161">
        <f>IF(AND(LEFT(D3161,4)+1=LEFT(' Pivot Tables'!$A$4,4)+0,RIGHT(LEFT(D3161,7),2)=RIGHT(LEFT(' Pivot Tables'!$A$4,7),2)),1,0)</f>
        <v>0</v>
      </c>
      <c r="Y3161" s="6">
        <f>1/COUNTIF(Таблица1[Order ID],Таблица1[[#This Row],[Order ID]])</f>
        <v>0.5</v>
      </c>
      <c r="Z3161" s="9">
        <f>1/COUNTIFS(Таблица1[Customer Name],Таблица1[[#This Row],[Customer Name]],Таблица1[Order-Year-Month],Таблица1[[#This Row],[Order-Year-Month]])</f>
        <v>0.5</v>
      </c>
    </row>
    <row r="3162" spans="1:26" x14ac:dyDescent="0.2">
      <c r="A3162" s="6">
        <v>2933</v>
      </c>
      <c r="B3162" s="7">
        <v>21249</v>
      </c>
      <c r="C3162" s="8">
        <f>DATE(2012,12,31)-834</f>
        <v>40440</v>
      </c>
      <c r="D3162" s="8" t="str">
        <f t="shared" si="59"/>
        <v>2010-09 (сентябрь 2010)</v>
      </c>
      <c r="E3162" s="9" t="s">
        <v>21</v>
      </c>
      <c r="F3162" s="7">
        <v>7</v>
      </c>
      <c r="G3162" s="7">
        <v>1260.2014999999999</v>
      </c>
      <c r="H3162" s="7">
        <v>0.03</v>
      </c>
      <c r="I3162" s="9" t="s">
        <v>22</v>
      </c>
      <c r="J3162" s="10">
        <v>-522.995</v>
      </c>
      <c r="K3162" s="11">
        <v>205.99</v>
      </c>
      <c r="L3162" s="11">
        <v>8.99</v>
      </c>
      <c r="M3162" s="9" t="s">
        <v>1598</v>
      </c>
      <c r="N3162" s="6" t="s">
        <v>1595</v>
      </c>
      <c r="O3162" s="6" t="s">
        <v>1595</v>
      </c>
      <c r="P3162" s="9" t="s">
        <v>25</v>
      </c>
      <c r="Q3162" s="9" t="s">
        <v>42</v>
      </c>
      <c r="R3162" s="9" t="s">
        <v>43</v>
      </c>
      <c r="S3162" s="7" t="s">
        <v>1021</v>
      </c>
      <c r="T3162" s="9" t="s">
        <v>39</v>
      </c>
      <c r="U3162" s="7">
        <v>0.6</v>
      </c>
      <c r="V3162" s="12">
        <f>C3162+2</f>
        <v>40442</v>
      </c>
      <c r="W3162">
        <f>IF(D3162=' Pivot Tables'!$A$4,1,0)</f>
        <v>0</v>
      </c>
      <c r="X3162">
        <f>IF(AND(LEFT(D3162,4)+1=LEFT(' Pivot Tables'!$A$4,4)+0,RIGHT(LEFT(D3162,7),2)=RIGHT(LEFT(' Pivot Tables'!$A$4,7),2)),1,0)</f>
        <v>0</v>
      </c>
      <c r="Y3162" s="6">
        <f>1/COUNTIF(Таблица1[Order ID],Таблица1[[#This Row],[Order ID]])</f>
        <v>0.5</v>
      </c>
      <c r="Z3162" s="9">
        <f>1/COUNTIFS(Таблица1[Customer Name],Таблица1[[#This Row],[Customer Name]],Таблица1[Order-Year-Month],Таблица1[[#This Row],[Order-Year-Month]])</f>
        <v>0.5</v>
      </c>
    </row>
    <row r="3163" spans="1:26" x14ac:dyDescent="0.2">
      <c r="A3163" s="6">
        <v>3139</v>
      </c>
      <c r="B3163" s="7">
        <v>22529</v>
      </c>
      <c r="C3163" s="8">
        <f>DATE(2012,12,31)-969</f>
        <v>40305</v>
      </c>
      <c r="D3163" s="8" t="str">
        <f t="shared" si="59"/>
        <v>2010-05 (май 2010)</v>
      </c>
      <c r="E3163" s="9" t="s">
        <v>63</v>
      </c>
      <c r="F3163" s="7">
        <v>28</v>
      </c>
      <c r="G3163" s="7">
        <v>1623.09</v>
      </c>
      <c r="H3163" s="7">
        <v>0.02</v>
      </c>
      <c r="I3163" s="9" t="s">
        <v>22</v>
      </c>
      <c r="J3163" s="10">
        <v>245.88</v>
      </c>
      <c r="K3163" s="11">
        <v>56.96</v>
      </c>
      <c r="L3163" s="11">
        <v>13.22</v>
      </c>
      <c r="M3163" s="9" t="s">
        <v>1600</v>
      </c>
      <c r="N3163" s="6" t="s">
        <v>1595</v>
      </c>
      <c r="O3163" s="6" t="s">
        <v>1595</v>
      </c>
      <c r="P3163" s="9" t="s">
        <v>60</v>
      </c>
      <c r="Q3163" s="9" t="s">
        <v>26</v>
      </c>
      <c r="R3163" s="9" t="s">
        <v>34</v>
      </c>
      <c r="S3163" s="7" t="s">
        <v>541</v>
      </c>
      <c r="T3163" s="9" t="s">
        <v>39</v>
      </c>
      <c r="U3163" s="7">
        <v>0.56000000000000005</v>
      </c>
      <c r="V3163" s="12">
        <f>C3163+0</f>
        <v>40305</v>
      </c>
      <c r="W3163">
        <f>IF(D3163=' Pivot Tables'!$A$4,1,0)</f>
        <v>0</v>
      </c>
      <c r="X3163">
        <f>IF(AND(LEFT(D3163,4)+1=LEFT(' Pivot Tables'!$A$4,4)+0,RIGHT(LEFT(D3163,7),2)=RIGHT(LEFT(' Pivot Tables'!$A$4,7),2)),1,0)</f>
        <v>0</v>
      </c>
      <c r="Y3163" s="6">
        <f>1/COUNTIF(Таблица1[Order ID],Таблица1[[#This Row],[Order ID]])</f>
        <v>1</v>
      </c>
      <c r="Z3163" s="9">
        <f>1/COUNTIFS(Таблица1[Customer Name],Таблица1[[#This Row],[Customer Name]],Таблица1[Order-Year-Month],Таблица1[[#This Row],[Order-Year-Month]])</f>
        <v>1</v>
      </c>
    </row>
    <row r="3164" spans="1:26" x14ac:dyDescent="0.2">
      <c r="A3164" s="6">
        <v>3255</v>
      </c>
      <c r="B3164" s="7">
        <v>23303</v>
      </c>
      <c r="C3164" s="8">
        <f>DATE(2012,12,31)-1290</f>
        <v>39984</v>
      </c>
      <c r="D3164" s="8" t="str">
        <f t="shared" si="59"/>
        <v>2009-06 (июнь 2009)</v>
      </c>
      <c r="E3164" s="9" t="s">
        <v>45</v>
      </c>
      <c r="F3164" s="7">
        <v>39</v>
      </c>
      <c r="G3164" s="7">
        <v>238.49</v>
      </c>
      <c r="H3164" s="7">
        <v>0.09</v>
      </c>
      <c r="I3164" s="9" t="s">
        <v>22</v>
      </c>
      <c r="J3164" s="10">
        <v>-110.56</v>
      </c>
      <c r="K3164" s="11">
        <v>6.48</v>
      </c>
      <c r="L3164" s="11">
        <v>6.22</v>
      </c>
      <c r="M3164" s="9" t="s">
        <v>497</v>
      </c>
      <c r="N3164" s="6" t="s">
        <v>1595</v>
      </c>
      <c r="O3164" s="6" t="s">
        <v>1595</v>
      </c>
      <c r="P3164" s="9" t="s">
        <v>33</v>
      </c>
      <c r="Q3164" s="9" t="s">
        <v>26</v>
      </c>
      <c r="R3164" s="9" t="s">
        <v>61</v>
      </c>
      <c r="S3164" s="7" t="s">
        <v>943</v>
      </c>
      <c r="T3164" s="9" t="s">
        <v>39</v>
      </c>
      <c r="U3164" s="7">
        <v>0.37</v>
      </c>
      <c r="V3164" s="12">
        <f>C3164+2</f>
        <v>39986</v>
      </c>
      <c r="W3164">
        <f>IF(D3164=' Pivot Tables'!$A$4,1,0)</f>
        <v>0</v>
      </c>
      <c r="X3164">
        <f>IF(AND(LEFT(D3164,4)+1=LEFT(' Pivot Tables'!$A$4,4)+0,RIGHT(LEFT(D3164,7),2)=RIGHT(LEFT(' Pivot Tables'!$A$4,7),2)),1,0)</f>
        <v>0</v>
      </c>
      <c r="Y3164" s="6">
        <f>1/COUNTIF(Таблица1[Order ID],Таблица1[[#This Row],[Order ID]])</f>
        <v>1</v>
      </c>
      <c r="Z3164" s="9">
        <f>1/COUNTIFS(Таблица1[Customer Name],Таблица1[[#This Row],[Customer Name]],Таблица1[Order-Year-Month],Таблица1[[#This Row],[Order-Year-Month]])</f>
        <v>1</v>
      </c>
    </row>
    <row r="3165" spans="1:26" x14ac:dyDescent="0.2">
      <c r="A3165" s="6">
        <v>3274</v>
      </c>
      <c r="B3165" s="7">
        <v>23398</v>
      </c>
      <c r="C3165" s="8">
        <f>DATE(2012,12,31)-1389</f>
        <v>39885</v>
      </c>
      <c r="D3165" s="8" t="str">
        <f t="shared" si="59"/>
        <v>2009-03 (март 2009)</v>
      </c>
      <c r="E3165" s="9" t="s">
        <v>63</v>
      </c>
      <c r="F3165" s="7">
        <v>19</v>
      </c>
      <c r="G3165" s="7">
        <v>123.1</v>
      </c>
      <c r="H3165" s="7">
        <v>0.06</v>
      </c>
      <c r="I3165" s="9" t="s">
        <v>22</v>
      </c>
      <c r="J3165" s="10">
        <v>-75.44</v>
      </c>
      <c r="K3165" s="11">
        <v>6.48</v>
      </c>
      <c r="L3165" s="11">
        <v>7.37</v>
      </c>
      <c r="M3165" s="9" t="s">
        <v>1601</v>
      </c>
      <c r="N3165" s="6" t="s">
        <v>1595</v>
      </c>
      <c r="O3165" s="6" t="s">
        <v>1595</v>
      </c>
      <c r="P3165" s="9" t="s">
        <v>41</v>
      </c>
      <c r="Q3165" s="9" t="s">
        <v>26</v>
      </c>
      <c r="R3165" s="9" t="s">
        <v>61</v>
      </c>
      <c r="S3165" s="7" t="s">
        <v>859</v>
      </c>
      <c r="T3165" s="9" t="s">
        <v>39</v>
      </c>
      <c r="U3165" s="7">
        <v>0.37</v>
      </c>
      <c r="V3165" s="12">
        <f>C3165+1</f>
        <v>39886</v>
      </c>
      <c r="W3165">
        <f>IF(D3165=' Pivot Tables'!$A$4,1,0)</f>
        <v>0</v>
      </c>
      <c r="X3165">
        <f>IF(AND(LEFT(D3165,4)+1=LEFT(' Pivot Tables'!$A$4,4)+0,RIGHT(LEFT(D3165,7),2)=RIGHT(LEFT(' Pivot Tables'!$A$4,7),2)),1,0)</f>
        <v>0</v>
      </c>
      <c r="Y3165" s="6">
        <f>1/COUNTIF(Таблица1[Order ID],Таблица1[[#This Row],[Order ID]])</f>
        <v>1</v>
      </c>
      <c r="Z3165" s="9">
        <f>1/COUNTIFS(Таблица1[Customer Name],Таблица1[[#This Row],[Customer Name]],Таблица1[Order-Year-Month],Таблица1[[#This Row],[Order-Year-Month]])</f>
        <v>1</v>
      </c>
    </row>
    <row r="3166" spans="1:26" x14ac:dyDescent="0.2">
      <c r="A3166" s="6">
        <v>3410</v>
      </c>
      <c r="B3166" s="7">
        <v>24356</v>
      </c>
      <c r="C3166" s="8">
        <f>DATE(2012,12,31)-965</f>
        <v>40309</v>
      </c>
      <c r="D3166" s="8" t="str">
        <f t="shared" si="59"/>
        <v>2010-05 (май 2010)</v>
      </c>
      <c r="E3166" s="9" t="s">
        <v>63</v>
      </c>
      <c r="F3166" s="7">
        <v>37</v>
      </c>
      <c r="G3166" s="7">
        <v>12612.66</v>
      </c>
      <c r="H3166" s="7">
        <v>0.06</v>
      </c>
      <c r="I3166" s="9" t="s">
        <v>31</v>
      </c>
      <c r="J3166" s="10">
        <v>3325.03</v>
      </c>
      <c r="K3166" s="11">
        <v>350.99</v>
      </c>
      <c r="L3166" s="11">
        <v>39</v>
      </c>
      <c r="M3166" s="9" t="s">
        <v>1598</v>
      </c>
      <c r="N3166" s="6" t="s">
        <v>1595</v>
      </c>
      <c r="O3166" s="6" t="s">
        <v>1595</v>
      </c>
      <c r="P3166" s="9" t="s">
        <v>33</v>
      </c>
      <c r="Q3166" s="9" t="s">
        <v>49</v>
      </c>
      <c r="R3166" s="9" t="s">
        <v>112</v>
      </c>
      <c r="S3166" s="7" t="s">
        <v>1618</v>
      </c>
      <c r="T3166" s="9" t="s">
        <v>36</v>
      </c>
      <c r="U3166" s="7">
        <v>0.55000000000000004</v>
      </c>
      <c r="V3166" s="12">
        <f>C3166+2</f>
        <v>40311</v>
      </c>
      <c r="W3166">
        <f>IF(D3166=' Pivot Tables'!$A$4,1,0)</f>
        <v>0</v>
      </c>
      <c r="X3166">
        <f>IF(AND(LEFT(D3166,4)+1=LEFT(' Pivot Tables'!$A$4,4)+0,RIGHT(LEFT(D3166,7),2)=RIGHT(LEFT(' Pivot Tables'!$A$4,7),2)),1,0)</f>
        <v>0</v>
      </c>
      <c r="Y3166" s="6">
        <f>1/COUNTIF(Таблица1[Order ID],Таблица1[[#This Row],[Order ID]])</f>
        <v>1</v>
      </c>
      <c r="Z3166" s="9">
        <f>1/COUNTIFS(Таблица1[Customer Name],Таблица1[[#This Row],[Customer Name]],Таблица1[Order-Year-Month],Таблица1[[#This Row],[Order-Year-Month]])</f>
        <v>0.33333333333333331</v>
      </c>
    </row>
    <row r="3167" spans="1:26" x14ac:dyDescent="0.2">
      <c r="A3167" s="6">
        <v>3539</v>
      </c>
      <c r="B3167" s="7">
        <v>25188</v>
      </c>
      <c r="C3167" s="8">
        <f>DATE(2012,12,31)-728</f>
        <v>40546</v>
      </c>
      <c r="D3167" s="8" t="str">
        <f t="shared" si="59"/>
        <v>2011-01 (январь 2011)</v>
      </c>
      <c r="E3167" s="9" t="s">
        <v>63</v>
      </c>
      <c r="F3167" s="7">
        <v>20</v>
      </c>
      <c r="G3167" s="7">
        <v>1564.1614999999999</v>
      </c>
      <c r="H3167" s="7">
        <v>0</v>
      </c>
      <c r="I3167" s="9" t="s">
        <v>22</v>
      </c>
      <c r="J3167" s="10">
        <v>682.47899999999993</v>
      </c>
      <c r="K3167" s="11">
        <v>85.99</v>
      </c>
      <c r="L3167" s="11">
        <v>2.5</v>
      </c>
      <c r="M3167" s="9" t="s">
        <v>1614</v>
      </c>
      <c r="N3167" s="6" t="s">
        <v>1595</v>
      </c>
      <c r="O3167" s="6" t="s">
        <v>1595</v>
      </c>
      <c r="P3167" s="9" t="s">
        <v>60</v>
      </c>
      <c r="Q3167" s="9" t="s">
        <v>42</v>
      </c>
      <c r="R3167" s="9" t="s">
        <v>43</v>
      </c>
      <c r="S3167" s="7" t="s">
        <v>440</v>
      </c>
      <c r="T3167" s="9" t="s">
        <v>39</v>
      </c>
      <c r="U3167" s="7">
        <v>0.35</v>
      </c>
      <c r="V3167" s="12">
        <f>C3167+2</f>
        <v>40548</v>
      </c>
      <c r="W3167">
        <f>IF(D3167=' Pivot Tables'!$A$4,1,0)</f>
        <v>0</v>
      </c>
      <c r="X3167">
        <f>IF(AND(LEFT(D3167,4)+1=LEFT(' Pivot Tables'!$A$4,4)+0,RIGHT(LEFT(D3167,7),2)=RIGHT(LEFT(' Pivot Tables'!$A$4,7),2)),1,0)</f>
        <v>0</v>
      </c>
      <c r="Y3167" s="6">
        <f>1/COUNTIF(Таблица1[Order ID],Таблица1[[#This Row],[Order ID]])</f>
        <v>1</v>
      </c>
      <c r="Z3167" s="9">
        <f>1/COUNTIFS(Таблица1[Customer Name],Таблица1[[#This Row],[Customer Name]],Таблица1[Order-Year-Month],Таблица1[[#This Row],[Order-Year-Month]])</f>
        <v>1</v>
      </c>
    </row>
    <row r="3168" spans="1:26" x14ac:dyDescent="0.2">
      <c r="A3168" s="6">
        <v>3543</v>
      </c>
      <c r="B3168" s="7">
        <v>25249</v>
      </c>
      <c r="C3168" s="8">
        <f>DATE(2012,12,31)-55</f>
        <v>41219</v>
      </c>
      <c r="D3168" s="8" t="str">
        <f t="shared" si="59"/>
        <v>2012-11 (ноябрь 2012)</v>
      </c>
      <c r="E3168" s="9" t="s">
        <v>63</v>
      </c>
      <c r="F3168" s="7">
        <v>34</v>
      </c>
      <c r="G3168" s="7">
        <v>926.85</v>
      </c>
      <c r="H3168" s="7">
        <v>0.09</v>
      </c>
      <c r="I3168" s="9" t="s">
        <v>22</v>
      </c>
      <c r="J3168" s="10">
        <v>382.94200000000001</v>
      </c>
      <c r="K3168" s="11">
        <v>28.53</v>
      </c>
      <c r="L3168" s="11">
        <v>1.49</v>
      </c>
      <c r="M3168" s="9" t="s">
        <v>1600</v>
      </c>
      <c r="N3168" s="6" t="s">
        <v>1595</v>
      </c>
      <c r="O3168" s="6" t="s">
        <v>1595</v>
      </c>
      <c r="P3168" s="9" t="s">
        <v>33</v>
      </c>
      <c r="Q3168" s="9" t="s">
        <v>26</v>
      </c>
      <c r="R3168" s="9" t="s">
        <v>37</v>
      </c>
      <c r="S3168" s="7" t="s">
        <v>380</v>
      </c>
      <c r="T3168" s="9" t="s">
        <v>39</v>
      </c>
      <c r="U3168" s="7">
        <v>0.38</v>
      </c>
      <c r="V3168" s="12">
        <f>C3168+2</f>
        <v>41221</v>
      </c>
      <c r="W3168">
        <f>IF(D3168=' Pivot Tables'!$A$4,1,0)</f>
        <v>0</v>
      </c>
      <c r="X3168">
        <f>IF(AND(LEFT(D3168,4)+1=LEFT(' Pivot Tables'!$A$4,4)+0,RIGHT(LEFT(D3168,7),2)=RIGHT(LEFT(' Pivot Tables'!$A$4,7),2)),1,0)</f>
        <v>0</v>
      </c>
      <c r="Y3168" s="6">
        <f>1/COUNTIF(Таблица1[Order ID],Таблица1[[#This Row],[Order ID]])</f>
        <v>1</v>
      </c>
      <c r="Z3168" s="9">
        <f>1/COUNTIFS(Таблица1[Customer Name],Таблица1[[#This Row],[Customer Name]],Таблица1[Order-Year-Month],Таблица1[[#This Row],[Order-Year-Month]])</f>
        <v>1</v>
      </c>
    </row>
    <row r="3169" spans="1:26" x14ac:dyDescent="0.2">
      <c r="A3169" s="6">
        <v>3774</v>
      </c>
      <c r="B3169" s="7">
        <v>26948</v>
      </c>
      <c r="C3169" s="8">
        <f>DATE(2012,12,31)-405</f>
        <v>40869</v>
      </c>
      <c r="D3169" s="8" t="str">
        <f t="shared" si="59"/>
        <v>2011-11 (ноябрь 2011)</v>
      </c>
      <c r="E3169" s="9" t="s">
        <v>30</v>
      </c>
      <c r="F3169" s="7">
        <v>21</v>
      </c>
      <c r="G3169" s="7">
        <v>203.55</v>
      </c>
      <c r="H3169" s="7">
        <v>0.03</v>
      </c>
      <c r="I3169" s="9" t="s">
        <v>56</v>
      </c>
      <c r="J3169" s="10">
        <v>38.6</v>
      </c>
      <c r="K3169" s="11">
        <v>9.11</v>
      </c>
      <c r="L3169" s="11">
        <v>2.25</v>
      </c>
      <c r="M3169" s="9" t="s">
        <v>1396</v>
      </c>
      <c r="N3169" s="6" t="s">
        <v>1595</v>
      </c>
      <c r="O3169" s="6" t="s">
        <v>1595</v>
      </c>
      <c r="P3169" s="9" t="s">
        <v>60</v>
      </c>
      <c r="Q3169" s="9" t="s">
        <v>26</v>
      </c>
      <c r="R3169" s="9" t="s">
        <v>95</v>
      </c>
      <c r="S3169" s="7" t="s">
        <v>709</v>
      </c>
      <c r="T3169" s="9" t="s">
        <v>68</v>
      </c>
      <c r="U3169" s="7">
        <v>0.52</v>
      </c>
      <c r="V3169" s="12">
        <f>C3169+1</f>
        <v>40870</v>
      </c>
      <c r="W3169">
        <f>IF(D3169=' Pivot Tables'!$A$4,1,0)</f>
        <v>0</v>
      </c>
      <c r="X3169">
        <f>IF(AND(LEFT(D3169,4)+1=LEFT(' Pivot Tables'!$A$4,4)+0,RIGHT(LEFT(D3169,7),2)=RIGHT(LEFT(' Pivot Tables'!$A$4,7),2)),1,0)</f>
        <v>0</v>
      </c>
      <c r="Y3169" s="6">
        <f>1/COUNTIF(Таблица1[Order ID],Таблица1[[#This Row],[Order ID]])</f>
        <v>0.5</v>
      </c>
      <c r="Z3169" s="9">
        <f>1/COUNTIFS(Таблица1[Customer Name],Таблица1[[#This Row],[Customer Name]],Таблица1[Order-Year-Month],Таблица1[[#This Row],[Order-Year-Month]])</f>
        <v>0.25</v>
      </c>
    </row>
    <row r="3170" spans="1:26" x14ac:dyDescent="0.2">
      <c r="A3170" s="6">
        <v>3819</v>
      </c>
      <c r="B3170" s="7">
        <v>27232</v>
      </c>
      <c r="C3170" s="8">
        <f>DATE(2012,12,31)-866</f>
        <v>40408</v>
      </c>
      <c r="D3170" s="8" t="str">
        <f t="shared" si="59"/>
        <v>2010-08 (август 2010)</v>
      </c>
      <c r="E3170" s="9" t="s">
        <v>45</v>
      </c>
      <c r="F3170" s="7">
        <v>19</v>
      </c>
      <c r="G3170" s="7">
        <v>639.29999999999995</v>
      </c>
      <c r="H3170" s="7">
        <v>0.05</v>
      </c>
      <c r="I3170" s="9" t="s">
        <v>22</v>
      </c>
      <c r="J3170" s="10">
        <v>30.21</v>
      </c>
      <c r="K3170" s="11">
        <v>34.99</v>
      </c>
      <c r="L3170" s="11">
        <v>7.73</v>
      </c>
      <c r="M3170" s="9" t="s">
        <v>497</v>
      </c>
      <c r="N3170" s="6" t="s">
        <v>1595</v>
      </c>
      <c r="O3170" s="6" t="s">
        <v>1595</v>
      </c>
      <c r="P3170" s="9" t="s">
        <v>33</v>
      </c>
      <c r="Q3170" s="9" t="s">
        <v>26</v>
      </c>
      <c r="R3170" s="9" t="s">
        <v>95</v>
      </c>
      <c r="S3170" s="7" t="s">
        <v>1355</v>
      </c>
      <c r="T3170" s="9" t="s">
        <v>39</v>
      </c>
      <c r="U3170" s="7">
        <v>0.59</v>
      </c>
      <c r="V3170" s="12">
        <f>C3170+2</f>
        <v>40410</v>
      </c>
      <c r="W3170">
        <f>IF(D3170=' Pivot Tables'!$A$4,1,0)</f>
        <v>0</v>
      </c>
      <c r="X3170">
        <f>IF(AND(LEFT(D3170,4)+1=LEFT(' Pivot Tables'!$A$4,4)+0,RIGHT(LEFT(D3170,7),2)=RIGHT(LEFT(' Pivot Tables'!$A$4,7),2)),1,0)</f>
        <v>0</v>
      </c>
      <c r="Y3170" s="6">
        <f>1/COUNTIF(Таблица1[Order ID],Таблица1[[#This Row],[Order ID]])</f>
        <v>1</v>
      </c>
      <c r="Z3170" s="9">
        <f>1/COUNTIFS(Таблица1[Customer Name],Таблица1[[#This Row],[Customer Name]],Таблица1[Order-Year-Month],Таблица1[[#This Row],[Order-Year-Month]])</f>
        <v>1</v>
      </c>
    </row>
    <row r="3171" spans="1:26" x14ac:dyDescent="0.2">
      <c r="A3171" s="6">
        <v>3871</v>
      </c>
      <c r="B3171" s="7">
        <v>27622</v>
      </c>
      <c r="C3171" s="8">
        <f>DATE(2012,12,31)-694</f>
        <v>40580</v>
      </c>
      <c r="D3171" s="8" t="str">
        <f t="shared" si="59"/>
        <v>2011-02 (февраль 2011)</v>
      </c>
      <c r="E3171" s="9" t="s">
        <v>63</v>
      </c>
      <c r="F3171" s="7">
        <v>4</v>
      </c>
      <c r="G3171" s="7">
        <v>1280.73</v>
      </c>
      <c r="H3171" s="7">
        <v>0.09</v>
      </c>
      <c r="I3171" s="9" t="s">
        <v>31</v>
      </c>
      <c r="J3171" s="10">
        <v>-774.89068800000007</v>
      </c>
      <c r="K3171" s="11">
        <v>320.64</v>
      </c>
      <c r="L3171" s="11">
        <v>43.57</v>
      </c>
      <c r="M3171" s="9" t="s">
        <v>1594</v>
      </c>
      <c r="N3171" s="6" t="s">
        <v>1595</v>
      </c>
      <c r="O3171" s="6" t="s">
        <v>1595</v>
      </c>
      <c r="P3171" s="9" t="s">
        <v>33</v>
      </c>
      <c r="Q3171" s="9" t="s">
        <v>49</v>
      </c>
      <c r="R3171" s="9" t="s">
        <v>83</v>
      </c>
      <c r="S3171" s="7" t="s">
        <v>1619</v>
      </c>
      <c r="T3171" s="9" t="s">
        <v>82</v>
      </c>
      <c r="U3171" s="7">
        <v>0.63</v>
      </c>
      <c r="V3171" s="12">
        <f>C3171+1</f>
        <v>40581</v>
      </c>
      <c r="W3171">
        <f>IF(D3171=' Pivot Tables'!$A$4,1,0)</f>
        <v>0</v>
      </c>
      <c r="X3171">
        <f>IF(AND(LEFT(D3171,4)+1=LEFT(' Pivot Tables'!$A$4,4)+0,RIGHT(LEFT(D3171,7),2)=RIGHT(LEFT(' Pivot Tables'!$A$4,7),2)),1,0)</f>
        <v>0</v>
      </c>
      <c r="Y3171" s="6">
        <f>1/COUNTIF(Таблица1[Order ID],Таблица1[[#This Row],[Order ID]])</f>
        <v>1</v>
      </c>
      <c r="Z3171" s="9">
        <f>1/COUNTIFS(Таблица1[Customer Name],Таблица1[[#This Row],[Customer Name]],Таблица1[Order-Year-Month],Таблица1[[#This Row],[Order-Year-Month]])</f>
        <v>1</v>
      </c>
    </row>
    <row r="3172" spans="1:26" x14ac:dyDescent="0.2">
      <c r="A3172" s="6">
        <v>3928</v>
      </c>
      <c r="B3172" s="7">
        <v>28002</v>
      </c>
      <c r="C3172" s="8">
        <f>DATE(2012,12,31)-1178</f>
        <v>40096</v>
      </c>
      <c r="D3172" s="8" t="str">
        <f t="shared" si="59"/>
        <v>2009-10 (октябрь 2009)</v>
      </c>
      <c r="E3172" s="9" t="s">
        <v>78</v>
      </c>
      <c r="F3172" s="7">
        <v>5</v>
      </c>
      <c r="G3172" s="7">
        <v>43.55</v>
      </c>
      <c r="H3172" s="7">
        <v>0.1</v>
      </c>
      <c r="I3172" s="9" t="s">
        <v>22</v>
      </c>
      <c r="J3172" s="10">
        <v>-3.64</v>
      </c>
      <c r="K3172" s="11">
        <v>9.11</v>
      </c>
      <c r="L3172" s="11">
        <v>2.15</v>
      </c>
      <c r="M3172" s="9" t="s">
        <v>1608</v>
      </c>
      <c r="N3172" s="6" t="s">
        <v>1595</v>
      </c>
      <c r="O3172" s="6" t="s">
        <v>1595</v>
      </c>
      <c r="P3172" s="9" t="s">
        <v>60</v>
      </c>
      <c r="Q3172" s="9" t="s">
        <v>26</v>
      </c>
      <c r="R3172" s="9" t="s">
        <v>61</v>
      </c>
      <c r="S3172" s="7" t="s">
        <v>1402</v>
      </c>
      <c r="T3172" s="9" t="s">
        <v>68</v>
      </c>
      <c r="U3172" s="7">
        <v>0.4</v>
      </c>
      <c r="V3172" s="12">
        <f>C3172+2</f>
        <v>40098</v>
      </c>
      <c r="W3172">
        <f>IF(D3172=' Pivot Tables'!$A$4,1,0)</f>
        <v>0</v>
      </c>
      <c r="X3172">
        <f>IF(AND(LEFT(D3172,4)+1=LEFT(' Pivot Tables'!$A$4,4)+0,RIGHT(LEFT(D3172,7),2)=RIGHT(LEFT(' Pivot Tables'!$A$4,7),2)),1,0)</f>
        <v>0</v>
      </c>
      <c r="Y3172" s="6">
        <f>1/COUNTIF(Таблица1[Order ID],Таблица1[[#This Row],[Order ID]])</f>
        <v>1</v>
      </c>
      <c r="Z3172" s="9">
        <f>1/COUNTIFS(Таблица1[Customer Name],Таблица1[[#This Row],[Customer Name]],Таблица1[Order-Year-Month],Таблица1[[#This Row],[Order-Year-Month]])</f>
        <v>1</v>
      </c>
    </row>
    <row r="3173" spans="1:26" x14ac:dyDescent="0.2">
      <c r="A3173" s="6">
        <v>3978</v>
      </c>
      <c r="B3173" s="7">
        <v>28390</v>
      </c>
      <c r="C3173" s="8">
        <f>DATE(2012,12,31)-328</f>
        <v>40946</v>
      </c>
      <c r="D3173" s="8" t="str">
        <f t="shared" si="59"/>
        <v>2012-02 (февраль 2012)</v>
      </c>
      <c r="E3173" s="9" t="s">
        <v>30</v>
      </c>
      <c r="F3173" s="7">
        <v>44</v>
      </c>
      <c r="G3173" s="7">
        <v>809.77</v>
      </c>
      <c r="H3173" s="7">
        <v>0.1</v>
      </c>
      <c r="I3173" s="9" t="s">
        <v>22</v>
      </c>
      <c r="J3173" s="10">
        <v>83.48</v>
      </c>
      <c r="K3173" s="11">
        <v>20.28</v>
      </c>
      <c r="L3173" s="11">
        <v>6.68</v>
      </c>
      <c r="M3173" s="9" t="s">
        <v>1620</v>
      </c>
      <c r="N3173" s="6" t="s">
        <v>1595</v>
      </c>
      <c r="O3173" s="6" t="s">
        <v>1595</v>
      </c>
      <c r="P3173" s="9" t="s">
        <v>25</v>
      </c>
      <c r="Q3173" s="9" t="s">
        <v>49</v>
      </c>
      <c r="R3173" s="9" t="s">
        <v>50</v>
      </c>
      <c r="S3173" s="7" t="s">
        <v>1621</v>
      </c>
      <c r="T3173" s="9" t="s">
        <v>39</v>
      </c>
      <c r="U3173" s="7">
        <v>0.53</v>
      </c>
      <c r="V3173" s="12">
        <f>C3173+2</f>
        <v>40948</v>
      </c>
      <c r="W3173">
        <f>IF(D3173=' Pivot Tables'!$A$4,1,0)</f>
        <v>0</v>
      </c>
      <c r="X3173">
        <f>IF(AND(LEFT(D3173,4)+1=LEFT(' Pivot Tables'!$A$4,4)+0,RIGHT(LEFT(D3173,7),2)=RIGHT(LEFT(' Pivot Tables'!$A$4,7),2)),1,0)</f>
        <v>0</v>
      </c>
      <c r="Y3173" s="6">
        <f>1/COUNTIF(Таблица1[Order ID],Таблица1[[#This Row],[Order ID]])</f>
        <v>1</v>
      </c>
      <c r="Z3173" s="9">
        <f>1/COUNTIFS(Таблица1[Customer Name],Таблица1[[#This Row],[Customer Name]],Таблица1[Order-Year-Month],Таблица1[[#This Row],[Order-Year-Month]])</f>
        <v>1</v>
      </c>
    </row>
    <row r="3174" spans="1:26" x14ac:dyDescent="0.2">
      <c r="A3174" s="6">
        <v>4108</v>
      </c>
      <c r="B3174" s="7">
        <v>29223</v>
      </c>
      <c r="C3174" s="8">
        <f>DATE(2012,12,31)-346</f>
        <v>40928</v>
      </c>
      <c r="D3174" s="8" t="str">
        <f t="shared" si="59"/>
        <v>2012-01 (январь 2012)</v>
      </c>
      <c r="E3174" s="9" t="s">
        <v>30</v>
      </c>
      <c r="F3174" s="7">
        <v>48</v>
      </c>
      <c r="G3174" s="7">
        <v>24701.119999999999</v>
      </c>
      <c r="H3174" s="7">
        <v>0.04</v>
      </c>
      <c r="I3174" s="9" t="s">
        <v>31</v>
      </c>
      <c r="J3174" s="10">
        <v>8022.94</v>
      </c>
      <c r="K3174" s="11">
        <v>500.98</v>
      </c>
      <c r="L3174" s="11">
        <v>26</v>
      </c>
      <c r="M3174" s="9" t="s">
        <v>1609</v>
      </c>
      <c r="N3174" s="6" t="s">
        <v>1595</v>
      </c>
      <c r="O3174" s="6" t="s">
        <v>1595</v>
      </c>
      <c r="P3174" s="9" t="s">
        <v>60</v>
      </c>
      <c r="Q3174" s="9" t="s">
        <v>49</v>
      </c>
      <c r="R3174" s="9" t="s">
        <v>112</v>
      </c>
      <c r="S3174" s="7" t="s">
        <v>119</v>
      </c>
      <c r="T3174" s="9" t="s">
        <v>36</v>
      </c>
      <c r="U3174" s="7">
        <v>0.6</v>
      </c>
      <c r="V3174" s="12">
        <f>C3174+2</f>
        <v>40930</v>
      </c>
      <c r="W3174">
        <f>IF(D3174=' Pivot Tables'!$A$4,1,0)</f>
        <v>0</v>
      </c>
      <c r="X3174">
        <f>IF(AND(LEFT(D3174,4)+1=LEFT(' Pivot Tables'!$A$4,4)+0,RIGHT(LEFT(D3174,7),2)=RIGHT(LEFT(' Pivot Tables'!$A$4,7),2)),1,0)</f>
        <v>0</v>
      </c>
      <c r="Y3174" s="6">
        <f>1/COUNTIF(Таблица1[Order ID],Таблица1[[#This Row],[Order ID]])</f>
        <v>1</v>
      </c>
      <c r="Z3174" s="9">
        <f>1/COUNTIFS(Таблица1[Customer Name],Таблица1[[#This Row],[Customer Name]],Таблица1[Order-Year-Month],Таблица1[[#This Row],[Order-Year-Month]])</f>
        <v>1</v>
      </c>
    </row>
    <row r="3175" spans="1:26" x14ac:dyDescent="0.2">
      <c r="A3175" s="6">
        <v>4134</v>
      </c>
      <c r="B3175" s="7">
        <v>29351</v>
      </c>
      <c r="C3175" s="8">
        <f>DATE(2012,12,31)-455</f>
        <v>40819</v>
      </c>
      <c r="D3175" s="8" t="str">
        <f t="shared" si="59"/>
        <v>2011-10 (октябрь 2011)</v>
      </c>
      <c r="E3175" s="9" t="s">
        <v>63</v>
      </c>
      <c r="F3175" s="7">
        <v>17</v>
      </c>
      <c r="G3175" s="7">
        <v>5122.6099999999997</v>
      </c>
      <c r="H3175" s="7">
        <v>0.05</v>
      </c>
      <c r="I3175" s="9" t="s">
        <v>22</v>
      </c>
      <c r="J3175" s="10">
        <v>1784.0394999999999</v>
      </c>
      <c r="K3175" s="11">
        <v>304.99</v>
      </c>
      <c r="L3175" s="11">
        <v>19.989999999999998</v>
      </c>
      <c r="M3175" s="9" t="s">
        <v>1597</v>
      </c>
      <c r="N3175" s="6" t="s">
        <v>1595</v>
      </c>
      <c r="O3175" s="6" t="s">
        <v>1595</v>
      </c>
      <c r="P3175" s="9" t="s">
        <v>33</v>
      </c>
      <c r="Q3175" s="9" t="s">
        <v>26</v>
      </c>
      <c r="R3175" s="9" t="s">
        <v>37</v>
      </c>
      <c r="S3175" s="7" t="s">
        <v>1165</v>
      </c>
      <c r="T3175" s="9" t="s">
        <v>39</v>
      </c>
      <c r="U3175" s="7">
        <v>0.4</v>
      </c>
      <c r="V3175" s="12">
        <f>C3175+2</f>
        <v>40821</v>
      </c>
      <c r="W3175">
        <f>IF(D3175=' Pivot Tables'!$A$4,1,0)</f>
        <v>0</v>
      </c>
      <c r="X3175">
        <f>IF(AND(LEFT(D3175,4)+1=LEFT(' Pivot Tables'!$A$4,4)+0,RIGHT(LEFT(D3175,7),2)=RIGHT(LEFT(' Pivot Tables'!$A$4,7),2)),1,0)</f>
        <v>0</v>
      </c>
      <c r="Y3175" s="6">
        <f>1/COUNTIF(Таблица1[Order ID],Таблица1[[#This Row],[Order ID]])</f>
        <v>1</v>
      </c>
      <c r="Z3175" s="9">
        <f>1/COUNTIFS(Таблица1[Customer Name],Таблица1[[#This Row],[Customer Name]],Таблица1[Order-Year-Month],Таблица1[[#This Row],[Order-Year-Month]])</f>
        <v>1</v>
      </c>
    </row>
    <row r="3176" spans="1:26" x14ac:dyDescent="0.2">
      <c r="A3176" s="6">
        <v>4160</v>
      </c>
      <c r="B3176" s="7">
        <v>29506</v>
      </c>
      <c r="C3176" s="8">
        <f>DATE(2012,12,31)-566</f>
        <v>40708</v>
      </c>
      <c r="D3176" s="8" t="str">
        <f t="shared" si="59"/>
        <v>2011-06 (июнь 2011)</v>
      </c>
      <c r="E3176" s="9" t="s">
        <v>78</v>
      </c>
      <c r="F3176" s="7">
        <v>46</v>
      </c>
      <c r="G3176" s="7">
        <v>221.13</v>
      </c>
      <c r="H3176" s="7">
        <v>0.01</v>
      </c>
      <c r="I3176" s="9" t="s">
        <v>22</v>
      </c>
      <c r="J3176" s="10">
        <v>59.703999999999994</v>
      </c>
      <c r="K3176" s="11">
        <v>4.55</v>
      </c>
      <c r="L3176" s="11">
        <v>1.49</v>
      </c>
      <c r="M3176" s="9" t="s">
        <v>1622</v>
      </c>
      <c r="N3176" s="6" t="s">
        <v>1595</v>
      </c>
      <c r="O3176" s="6" t="s">
        <v>1595</v>
      </c>
      <c r="P3176" s="9" t="s">
        <v>33</v>
      </c>
      <c r="Q3176" s="9" t="s">
        <v>26</v>
      </c>
      <c r="R3176" s="9" t="s">
        <v>37</v>
      </c>
      <c r="S3176" s="7" t="s">
        <v>522</v>
      </c>
      <c r="T3176" s="9" t="s">
        <v>39</v>
      </c>
      <c r="U3176" s="7">
        <v>0.35</v>
      </c>
      <c r="V3176" s="12">
        <f>C3176+2</f>
        <v>40710</v>
      </c>
      <c r="W3176">
        <f>IF(D3176=' Pivot Tables'!$A$4,1,0)</f>
        <v>0</v>
      </c>
      <c r="X3176">
        <f>IF(AND(LEFT(D3176,4)+1=LEFT(' Pivot Tables'!$A$4,4)+0,RIGHT(LEFT(D3176,7),2)=RIGHT(LEFT(' Pivot Tables'!$A$4,7),2)),1,0)</f>
        <v>0</v>
      </c>
      <c r="Y3176" s="6">
        <f>1/COUNTIF(Таблица1[Order ID],Таблица1[[#This Row],[Order ID]])</f>
        <v>0.5</v>
      </c>
      <c r="Z3176" s="9">
        <f>1/COUNTIFS(Таблица1[Customer Name],Таблица1[[#This Row],[Customer Name]],Таблица1[Order-Year-Month],Таблица1[[#This Row],[Order-Year-Month]])</f>
        <v>0.5</v>
      </c>
    </row>
    <row r="3177" spans="1:26" x14ac:dyDescent="0.2">
      <c r="A3177" s="6">
        <v>4161</v>
      </c>
      <c r="B3177" s="7">
        <v>29506</v>
      </c>
      <c r="C3177" s="8">
        <f>DATE(2012,12,31)-566</f>
        <v>40708</v>
      </c>
      <c r="D3177" s="8" t="str">
        <f t="shared" si="59"/>
        <v>2011-06 (июнь 2011)</v>
      </c>
      <c r="E3177" s="9" t="s">
        <v>78</v>
      </c>
      <c r="F3177" s="7">
        <v>8</v>
      </c>
      <c r="G3177" s="7">
        <v>16.350000000000001</v>
      </c>
      <c r="H3177" s="7">
        <v>0.05</v>
      </c>
      <c r="I3177" s="9" t="s">
        <v>22</v>
      </c>
      <c r="J3177" s="10">
        <v>-5.6234999999999999</v>
      </c>
      <c r="K3177" s="11">
        <v>1.88</v>
      </c>
      <c r="L3177" s="11">
        <v>1.49</v>
      </c>
      <c r="M3177" s="9" t="s">
        <v>1622</v>
      </c>
      <c r="N3177" s="6" t="s">
        <v>1595</v>
      </c>
      <c r="O3177" s="6" t="s">
        <v>1595</v>
      </c>
      <c r="P3177" s="9" t="s">
        <v>33</v>
      </c>
      <c r="Q3177" s="9" t="s">
        <v>26</v>
      </c>
      <c r="R3177" s="9" t="s">
        <v>37</v>
      </c>
      <c r="S3177" s="7" t="s">
        <v>172</v>
      </c>
      <c r="T3177" s="9" t="s">
        <v>39</v>
      </c>
      <c r="U3177" s="7">
        <v>0.37</v>
      </c>
      <c r="V3177" s="12">
        <f>C3177+1</f>
        <v>40709</v>
      </c>
      <c r="W3177">
        <f>IF(D3177=' Pivot Tables'!$A$4,1,0)</f>
        <v>0</v>
      </c>
      <c r="X3177">
        <f>IF(AND(LEFT(D3177,4)+1=LEFT(' Pivot Tables'!$A$4,4)+0,RIGHT(LEFT(D3177,7),2)=RIGHT(LEFT(' Pivot Tables'!$A$4,7),2)),1,0)</f>
        <v>0</v>
      </c>
      <c r="Y3177" s="6">
        <f>1/COUNTIF(Таблица1[Order ID],Таблица1[[#This Row],[Order ID]])</f>
        <v>0.5</v>
      </c>
      <c r="Z3177" s="9">
        <f>1/COUNTIFS(Таблица1[Customer Name],Таблица1[[#This Row],[Customer Name]],Таблица1[Order-Year-Month],Таблица1[[#This Row],[Order-Year-Month]])</f>
        <v>0.5</v>
      </c>
    </row>
    <row r="3178" spans="1:26" x14ac:dyDescent="0.2">
      <c r="A3178" s="6">
        <v>4175</v>
      </c>
      <c r="B3178" s="7">
        <v>29633</v>
      </c>
      <c r="C3178" s="8">
        <f>DATE(2012,12,31)-1288</f>
        <v>39986</v>
      </c>
      <c r="D3178" s="8" t="str">
        <f t="shared" si="59"/>
        <v>2009-06 (июнь 2009)</v>
      </c>
      <c r="E3178" s="9" t="s">
        <v>78</v>
      </c>
      <c r="F3178" s="7">
        <v>11</v>
      </c>
      <c r="G3178" s="7">
        <v>96.01</v>
      </c>
      <c r="H3178" s="7">
        <v>0.01</v>
      </c>
      <c r="I3178" s="9" t="s">
        <v>22</v>
      </c>
      <c r="J3178" s="10">
        <v>-43.24</v>
      </c>
      <c r="K3178" s="11">
        <v>7.98</v>
      </c>
      <c r="L3178" s="11">
        <v>6.5</v>
      </c>
      <c r="M3178" s="9" t="s">
        <v>1622</v>
      </c>
      <c r="N3178" s="6" t="s">
        <v>1595</v>
      </c>
      <c r="O3178" s="6" t="s">
        <v>1595</v>
      </c>
      <c r="P3178" s="9" t="s">
        <v>33</v>
      </c>
      <c r="Q3178" s="9" t="s">
        <v>26</v>
      </c>
      <c r="R3178" s="9" t="s">
        <v>27</v>
      </c>
      <c r="S3178" s="7" t="s">
        <v>1549</v>
      </c>
      <c r="T3178" s="9" t="s">
        <v>48</v>
      </c>
      <c r="U3178" s="7">
        <v>0.59</v>
      </c>
      <c r="V3178" s="12">
        <f>C3178+1</f>
        <v>39987</v>
      </c>
      <c r="W3178">
        <f>IF(D3178=' Pivot Tables'!$A$4,1,0)</f>
        <v>0</v>
      </c>
      <c r="X3178">
        <f>IF(AND(LEFT(D3178,4)+1=LEFT(' Pivot Tables'!$A$4,4)+0,RIGHT(LEFT(D3178,7),2)=RIGHT(LEFT(' Pivot Tables'!$A$4,7),2)),1,0)</f>
        <v>0</v>
      </c>
      <c r="Y3178" s="6">
        <f>1/COUNTIF(Таблица1[Order ID],Таблица1[[#This Row],[Order ID]])</f>
        <v>1</v>
      </c>
      <c r="Z3178" s="9">
        <f>1/COUNTIFS(Таблица1[Customer Name],Таблица1[[#This Row],[Customer Name]],Таблица1[Order-Year-Month],Таблица1[[#This Row],[Order-Year-Month]])</f>
        <v>1</v>
      </c>
    </row>
    <row r="3179" spans="1:26" x14ac:dyDescent="0.2">
      <c r="A3179" s="6">
        <v>4189</v>
      </c>
      <c r="B3179" s="7">
        <v>29764</v>
      </c>
      <c r="C3179" s="8">
        <f>DATE(2012,12,31)-162</f>
        <v>41112</v>
      </c>
      <c r="D3179" s="8" t="str">
        <f t="shared" si="59"/>
        <v>2012-07 (июль 2012)</v>
      </c>
      <c r="E3179" s="9" t="s">
        <v>78</v>
      </c>
      <c r="F3179" s="7">
        <v>10</v>
      </c>
      <c r="G3179" s="7">
        <v>165.09</v>
      </c>
      <c r="H3179" s="7">
        <v>0</v>
      </c>
      <c r="I3179" s="9" t="s">
        <v>56</v>
      </c>
      <c r="J3179" s="10">
        <v>-8.5904999999999987</v>
      </c>
      <c r="K3179" s="11">
        <v>15.01</v>
      </c>
      <c r="L3179" s="11">
        <v>8.4</v>
      </c>
      <c r="M3179" s="9" t="s">
        <v>1598</v>
      </c>
      <c r="N3179" s="6" t="s">
        <v>1595</v>
      </c>
      <c r="O3179" s="6" t="s">
        <v>1595</v>
      </c>
      <c r="P3179" s="9" t="s">
        <v>25</v>
      </c>
      <c r="Q3179" s="9" t="s">
        <v>26</v>
      </c>
      <c r="R3179" s="9" t="s">
        <v>37</v>
      </c>
      <c r="S3179" s="7" t="s">
        <v>443</v>
      </c>
      <c r="T3179" s="9" t="s">
        <v>39</v>
      </c>
      <c r="U3179" s="7">
        <v>0.39</v>
      </c>
      <c r="V3179" s="12">
        <f>C3179+1</f>
        <v>41113</v>
      </c>
      <c r="W3179">
        <f>IF(D3179=' Pivot Tables'!$A$4,1,0)</f>
        <v>0</v>
      </c>
      <c r="X3179">
        <f>IF(AND(LEFT(D3179,4)+1=LEFT(' Pivot Tables'!$A$4,4)+0,RIGHT(LEFT(D3179,7),2)=RIGHT(LEFT(' Pivot Tables'!$A$4,7),2)),1,0)</f>
        <v>0</v>
      </c>
      <c r="Y3179" s="6">
        <f>1/COUNTIF(Таблица1[Order ID],Таблица1[[#This Row],[Order ID]])</f>
        <v>1</v>
      </c>
      <c r="Z3179" s="9">
        <f>1/COUNTIFS(Таблица1[Customer Name],Таблица1[[#This Row],[Customer Name]],Таблица1[Order-Year-Month],Таблица1[[#This Row],[Order-Year-Month]])</f>
        <v>1</v>
      </c>
    </row>
    <row r="3180" spans="1:26" x14ac:dyDescent="0.2">
      <c r="A3180" s="6">
        <v>4216</v>
      </c>
      <c r="B3180" s="7">
        <v>29958</v>
      </c>
      <c r="C3180" s="8">
        <f>DATE(2012,12,31)-725</f>
        <v>40549</v>
      </c>
      <c r="D3180" s="8" t="str">
        <f t="shared" si="59"/>
        <v>2011-01 (январь 2011)</v>
      </c>
      <c r="E3180" s="9" t="s">
        <v>30</v>
      </c>
      <c r="F3180" s="7">
        <v>47</v>
      </c>
      <c r="G3180" s="7">
        <v>307.57</v>
      </c>
      <c r="H3180" s="7">
        <v>0</v>
      </c>
      <c r="I3180" s="9" t="s">
        <v>22</v>
      </c>
      <c r="J3180" s="10">
        <v>-72.3005</v>
      </c>
      <c r="K3180" s="11">
        <v>6.37</v>
      </c>
      <c r="L3180" s="11">
        <v>5.19</v>
      </c>
      <c r="M3180" s="9" t="s">
        <v>1598</v>
      </c>
      <c r="N3180" s="6" t="s">
        <v>1595</v>
      </c>
      <c r="O3180" s="6" t="s">
        <v>1595</v>
      </c>
      <c r="P3180" s="9" t="s">
        <v>33</v>
      </c>
      <c r="Q3180" s="9" t="s">
        <v>26</v>
      </c>
      <c r="R3180" s="9" t="s">
        <v>37</v>
      </c>
      <c r="S3180" s="7" t="s">
        <v>1379</v>
      </c>
      <c r="T3180" s="9" t="s">
        <v>39</v>
      </c>
      <c r="U3180" s="7">
        <v>0.38</v>
      </c>
      <c r="V3180" s="12">
        <f>C3180+1</f>
        <v>40550</v>
      </c>
      <c r="W3180">
        <f>IF(D3180=' Pivot Tables'!$A$4,1,0)</f>
        <v>0</v>
      </c>
      <c r="X3180">
        <f>IF(AND(LEFT(D3180,4)+1=LEFT(' Pivot Tables'!$A$4,4)+0,RIGHT(LEFT(D3180,7),2)=RIGHT(LEFT(' Pivot Tables'!$A$4,7),2)),1,0)</f>
        <v>0</v>
      </c>
      <c r="Y3180" s="6">
        <f>1/COUNTIF(Таблица1[Order ID],Таблица1[[#This Row],[Order ID]])</f>
        <v>0.5</v>
      </c>
      <c r="Z3180" s="9">
        <f>1/COUNTIFS(Таблица1[Customer Name],Таблица1[[#This Row],[Customer Name]],Таблица1[Order-Year-Month],Таблица1[[#This Row],[Order-Year-Month]])</f>
        <v>0.5</v>
      </c>
    </row>
    <row r="3181" spans="1:26" x14ac:dyDescent="0.2">
      <c r="A3181" s="6">
        <v>4217</v>
      </c>
      <c r="B3181" s="7">
        <v>29958</v>
      </c>
      <c r="C3181" s="8">
        <f>DATE(2012,12,31)-725</f>
        <v>40549</v>
      </c>
      <c r="D3181" s="8" t="str">
        <f t="shared" si="59"/>
        <v>2011-01 (январь 2011)</v>
      </c>
      <c r="E3181" s="9" t="s">
        <v>30</v>
      </c>
      <c r="F3181" s="7">
        <v>32</v>
      </c>
      <c r="G3181" s="7">
        <v>14861.07</v>
      </c>
      <c r="H3181" s="7">
        <v>0.1</v>
      </c>
      <c r="I3181" s="9" t="s">
        <v>31</v>
      </c>
      <c r="J3181" s="10">
        <v>3408.29</v>
      </c>
      <c r="K3181" s="11">
        <v>500.98</v>
      </c>
      <c r="L3181" s="11">
        <v>26</v>
      </c>
      <c r="M3181" s="9" t="s">
        <v>1598</v>
      </c>
      <c r="N3181" s="6" t="s">
        <v>1595</v>
      </c>
      <c r="O3181" s="6" t="s">
        <v>1595</v>
      </c>
      <c r="P3181" s="9" t="s">
        <v>33</v>
      </c>
      <c r="Q3181" s="9" t="s">
        <v>49</v>
      </c>
      <c r="R3181" s="9" t="s">
        <v>112</v>
      </c>
      <c r="S3181" s="7" t="s">
        <v>119</v>
      </c>
      <c r="T3181" s="9" t="s">
        <v>36</v>
      </c>
      <c r="U3181" s="7">
        <v>0.6</v>
      </c>
      <c r="V3181" s="12">
        <f>C3181+2</f>
        <v>40551</v>
      </c>
      <c r="W3181">
        <f>IF(D3181=' Pivot Tables'!$A$4,1,0)</f>
        <v>0</v>
      </c>
      <c r="X3181">
        <f>IF(AND(LEFT(D3181,4)+1=LEFT(' Pivot Tables'!$A$4,4)+0,RIGHT(LEFT(D3181,7),2)=RIGHT(LEFT(' Pivot Tables'!$A$4,7),2)),1,0)</f>
        <v>0</v>
      </c>
      <c r="Y3181" s="6">
        <f>1/COUNTIF(Таблица1[Order ID],Таблица1[[#This Row],[Order ID]])</f>
        <v>0.5</v>
      </c>
      <c r="Z3181" s="9">
        <f>1/COUNTIFS(Таблица1[Customer Name],Таблица1[[#This Row],[Customer Name]],Таблица1[Order-Year-Month],Таблица1[[#This Row],[Order-Year-Month]])</f>
        <v>0.5</v>
      </c>
    </row>
    <row r="3182" spans="1:26" x14ac:dyDescent="0.2">
      <c r="A3182" s="6">
        <v>4435</v>
      </c>
      <c r="B3182" s="7">
        <v>31616</v>
      </c>
      <c r="C3182" s="8">
        <f>DATE(2012,12,31)-856</f>
        <v>40418</v>
      </c>
      <c r="D3182" s="8" t="str">
        <f t="shared" si="59"/>
        <v>2010-08 (август 2010)</v>
      </c>
      <c r="E3182" s="9" t="s">
        <v>78</v>
      </c>
      <c r="F3182" s="7">
        <v>45</v>
      </c>
      <c r="G3182" s="7">
        <v>182.7</v>
      </c>
      <c r="H3182" s="7">
        <v>0.08</v>
      </c>
      <c r="I3182" s="9" t="s">
        <v>22</v>
      </c>
      <c r="J3182" s="10">
        <v>-156.41149999999999</v>
      </c>
      <c r="K3182" s="11">
        <v>4.24</v>
      </c>
      <c r="L3182" s="11">
        <v>5.41</v>
      </c>
      <c r="M3182" s="9" t="s">
        <v>1597</v>
      </c>
      <c r="N3182" s="6" t="s">
        <v>1595</v>
      </c>
      <c r="O3182" s="6" t="s">
        <v>1595</v>
      </c>
      <c r="P3182" s="9" t="s">
        <v>33</v>
      </c>
      <c r="Q3182" s="9" t="s">
        <v>26</v>
      </c>
      <c r="R3182" s="9" t="s">
        <v>37</v>
      </c>
      <c r="S3182" s="7" t="s">
        <v>873</v>
      </c>
      <c r="T3182" s="9" t="s">
        <v>39</v>
      </c>
      <c r="U3182" s="7">
        <v>0.35</v>
      </c>
      <c r="V3182" s="12">
        <f>C3182+1</f>
        <v>40419</v>
      </c>
      <c r="W3182">
        <f>IF(D3182=' Pivot Tables'!$A$4,1,0)</f>
        <v>0</v>
      </c>
      <c r="X3182">
        <f>IF(AND(LEFT(D3182,4)+1=LEFT(' Pivot Tables'!$A$4,4)+0,RIGHT(LEFT(D3182,7),2)=RIGHT(LEFT(' Pivot Tables'!$A$4,7),2)),1,0)</f>
        <v>0</v>
      </c>
      <c r="Y3182" s="6">
        <f>1/COUNTIF(Таблица1[Order ID],Таблица1[[#This Row],[Order ID]])</f>
        <v>0.5</v>
      </c>
      <c r="Z3182" s="9">
        <f>1/COUNTIFS(Таблица1[Customer Name],Таблица1[[#This Row],[Customer Name]],Таблица1[Order-Year-Month],Таблица1[[#This Row],[Order-Year-Month]])</f>
        <v>0.5</v>
      </c>
    </row>
    <row r="3183" spans="1:26" x14ac:dyDescent="0.2">
      <c r="A3183" s="6">
        <v>4436</v>
      </c>
      <c r="B3183" s="7">
        <v>31616</v>
      </c>
      <c r="C3183" s="8">
        <f>DATE(2012,12,31)-856</f>
        <v>40418</v>
      </c>
      <c r="D3183" s="8" t="str">
        <f t="shared" si="59"/>
        <v>2010-08 (август 2010)</v>
      </c>
      <c r="E3183" s="9" t="s">
        <v>78</v>
      </c>
      <c r="F3183" s="7">
        <v>46</v>
      </c>
      <c r="G3183" s="7">
        <v>141.08000000000001</v>
      </c>
      <c r="H3183" s="7">
        <v>0.04</v>
      </c>
      <c r="I3183" s="9" t="s">
        <v>22</v>
      </c>
      <c r="J3183" s="10">
        <v>36.96</v>
      </c>
      <c r="K3183" s="11">
        <v>3.08</v>
      </c>
      <c r="L3183" s="11">
        <v>0.99</v>
      </c>
      <c r="M3183" s="9" t="s">
        <v>1597</v>
      </c>
      <c r="N3183" s="6" t="s">
        <v>1595</v>
      </c>
      <c r="O3183" s="6" t="s">
        <v>1595</v>
      </c>
      <c r="P3183" s="9" t="s">
        <v>33</v>
      </c>
      <c r="Q3183" s="9" t="s">
        <v>26</v>
      </c>
      <c r="R3183" s="9" t="s">
        <v>88</v>
      </c>
      <c r="S3183" s="7" t="s">
        <v>368</v>
      </c>
      <c r="T3183" s="9" t="s">
        <v>39</v>
      </c>
      <c r="U3183" s="7">
        <v>0.37</v>
      </c>
      <c r="V3183" s="12">
        <f>C3183+1</f>
        <v>40419</v>
      </c>
      <c r="W3183">
        <f>IF(D3183=' Pivot Tables'!$A$4,1,0)</f>
        <v>0</v>
      </c>
      <c r="X3183">
        <f>IF(AND(LEFT(D3183,4)+1=LEFT(' Pivot Tables'!$A$4,4)+0,RIGHT(LEFT(D3183,7),2)=RIGHT(LEFT(' Pivot Tables'!$A$4,7),2)),1,0)</f>
        <v>0</v>
      </c>
      <c r="Y3183" s="6">
        <f>1/COUNTIF(Таблица1[Order ID],Таблица1[[#This Row],[Order ID]])</f>
        <v>0.5</v>
      </c>
      <c r="Z3183" s="9">
        <f>1/COUNTIFS(Таблица1[Customer Name],Таблица1[[#This Row],[Customer Name]],Таблица1[Order-Year-Month],Таблица1[[#This Row],[Order-Year-Month]])</f>
        <v>0.5</v>
      </c>
    </row>
    <row r="3184" spans="1:26" x14ac:dyDescent="0.2">
      <c r="A3184" s="6">
        <v>4483</v>
      </c>
      <c r="B3184" s="7">
        <v>31907</v>
      </c>
      <c r="C3184" s="8">
        <f>DATE(2012,12,31)-958</f>
        <v>40316</v>
      </c>
      <c r="D3184" s="8" t="str">
        <f t="shared" si="59"/>
        <v>2010-05 (май 2010)</v>
      </c>
      <c r="E3184" s="9" t="s">
        <v>21</v>
      </c>
      <c r="F3184" s="7">
        <v>38</v>
      </c>
      <c r="G3184" s="7">
        <v>331.53</v>
      </c>
      <c r="H3184" s="7">
        <v>0</v>
      </c>
      <c r="I3184" s="9" t="s">
        <v>22</v>
      </c>
      <c r="J3184" s="10">
        <v>-35.97</v>
      </c>
      <c r="K3184" s="11">
        <v>8.4600000000000009</v>
      </c>
      <c r="L3184" s="11">
        <v>3.62</v>
      </c>
      <c r="M3184" s="9" t="s">
        <v>1597</v>
      </c>
      <c r="N3184" s="6" t="s">
        <v>1595</v>
      </c>
      <c r="O3184" s="6" t="s">
        <v>1595</v>
      </c>
      <c r="P3184" s="9" t="s">
        <v>33</v>
      </c>
      <c r="Q3184" s="9" t="s">
        <v>42</v>
      </c>
      <c r="R3184" s="9" t="s">
        <v>70</v>
      </c>
      <c r="S3184" s="7" t="s">
        <v>1221</v>
      </c>
      <c r="T3184" s="9" t="s">
        <v>52</v>
      </c>
      <c r="U3184" s="7">
        <v>0.61</v>
      </c>
      <c r="V3184" s="12">
        <f>C3184+5</f>
        <v>40321</v>
      </c>
      <c r="W3184">
        <f>IF(D3184=' Pivot Tables'!$A$4,1,0)</f>
        <v>0</v>
      </c>
      <c r="X3184">
        <f>IF(AND(LEFT(D3184,4)+1=LEFT(' Pivot Tables'!$A$4,4)+0,RIGHT(LEFT(D3184,7),2)=RIGHT(LEFT(' Pivot Tables'!$A$4,7),2)),1,0)</f>
        <v>0</v>
      </c>
      <c r="Y3184" s="6">
        <f>1/COUNTIF(Таблица1[Order ID],Таблица1[[#This Row],[Order ID]])</f>
        <v>1</v>
      </c>
      <c r="Z3184" s="9">
        <f>1/COUNTIFS(Таблица1[Customer Name],Таблица1[[#This Row],[Customer Name]],Таблица1[Order-Year-Month],Таблица1[[#This Row],[Order-Year-Month]])</f>
        <v>1</v>
      </c>
    </row>
    <row r="3185" spans="1:26" x14ac:dyDescent="0.2">
      <c r="A3185" s="6">
        <v>4494</v>
      </c>
      <c r="B3185" s="7">
        <v>32001</v>
      </c>
      <c r="C3185" s="8">
        <f>DATE(2012,12,31)-430</f>
        <v>40844</v>
      </c>
      <c r="D3185" s="8" t="str">
        <f t="shared" si="59"/>
        <v>2011-10 (октябрь 2011)</v>
      </c>
      <c r="E3185" s="9" t="s">
        <v>21</v>
      </c>
      <c r="F3185" s="7">
        <v>22</v>
      </c>
      <c r="G3185" s="7">
        <v>494.84</v>
      </c>
      <c r="H3185" s="7">
        <v>7.0000000000000007E-2</v>
      </c>
      <c r="I3185" s="9" t="s">
        <v>22</v>
      </c>
      <c r="J3185" s="10">
        <v>205.13</v>
      </c>
      <c r="K3185" s="11">
        <v>22.23</v>
      </c>
      <c r="L3185" s="11">
        <v>3.63</v>
      </c>
      <c r="M3185" s="9" t="s">
        <v>1620</v>
      </c>
      <c r="N3185" s="6" t="s">
        <v>1595</v>
      </c>
      <c r="O3185" s="6" t="s">
        <v>1595</v>
      </c>
      <c r="P3185" s="9" t="s">
        <v>25</v>
      </c>
      <c r="Q3185" s="9" t="s">
        <v>49</v>
      </c>
      <c r="R3185" s="9" t="s">
        <v>50</v>
      </c>
      <c r="S3185" s="7" t="s">
        <v>632</v>
      </c>
      <c r="T3185" s="9" t="s">
        <v>52</v>
      </c>
      <c r="U3185" s="7">
        <v>0.52</v>
      </c>
      <c r="V3185" s="12">
        <f>C3185+5</f>
        <v>40849</v>
      </c>
      <c r="W3185">
        <f>IF(D3185=' Pivot Tables'!$A$4,1,0)</f>
        <v>0</v>
      </c>
      <c r="X3185">
        <f>IF(AND(LEFT(D3185,4)+1=LEFT(' Pivot Tables'!$A$4,4)+0,RIGHT(LEFT(D3185,7),2)=RIGHT(LEFT(' Pivot Tables'!$A$4,7),2)),1,0)</f>
        <v>0</v>
      </c>
      <c r="Y3185" s="6">
        <f>1/COUNTIF(Таблица1[Order ID],Таблица1[[#This Row],[Order ID]])</f>
        <v>0.5</v>
      </c>
      <c r="Z3185" s="9">
        <f>1/COUNTIFS(Таблица1[Customer Name],Таблица1[[#This Row],[Customer Name]],Таблица1[Order-Year-Month],Таблица1[[#This Row],[Order-Year-Month]])</f>
        <v>0.5</v>
      </c>
    </row>
    <row r="3186" spans="1:26" x14ac:dyDescent="0.2">
      <c r="A3186" s="6">
        <v>4495</v>
      </c>
      <c r="B3186" s="7">
        <v>32001</v>
      </c>
      <c r="C3186" s="8">
        <f>DATE(2012,12,31)-430</f>
        <v>40844</v>
      </c>
      <c r="D3186" s="8" t="str">
        <f t="shared" si="59"/>
        <v>2011-10 (октябрь 2011)</v>
      </c>
      <c r="E3186" s="9" t="s">
        <v>21</v>
      </c>
      <c r="F3186" s="7">
        <v>11</v>
      </c>
      <c r="G3186" s="7">
        <v>3443.21</v>
      </c>
      <c r="H3186" s="7">
        <v>0</v>
      </c>
      <c r="I3186" s="9" t="s">
        <v>22</v>
      </c>
      <c r="J3186" s="10">
        <v>794.2</v>
      </c>
      <c r="K3186" s="11">
        <v>300.98</v>
      </c>
      <c r="L3186" s="11">
        <v>13.99</v>
      </c>
      <c r="M3186" s="9" t="s">
        <v>1620</v>
      </c>
      <c r="N3186" s="6" t="s">
        <v>1595</v>
      </c>
      <c r="O3186" s="6" t="s">
        <v>1595</v>
      </c>
      <c r="P3186" s="9" t="s">
        <v>25</v>
      </c>
      <c r="Q3186" s="9" t="s">
        <v>42</v>
      </c>
      <c r="R3186" s="9" t="s">
        <v>210</v>
      </c>
      <c r="S3186" s="7" t="s">
        <v>1135</v>
      </c>
      <c r="T3186" s="9" t="s">
        <v>48</v>
      </c>
      <c r="U3186" s="7">
        <v>0.39</v>
      </c>
      <c r="V3186" s="12">
        <f>C3186+2</f>
        <v>40846</v>
      </c>
      <c r="W3186">
        <f>IF(D3186=' Pivot Tables'!$A$4,1,0)</f>
        <v>0</v>
      </c>
      <c r="X3186">
        <f>IF(AND(LEFT(D3186,4)+1=LEFT(' Pivot Tables'!$A$4,4)+0,RIGHT(LEFT(D3186,7),2)=RIGHT(LEFT(' Pivot Tables'!$A$4,7),2)),1,0)</f>
        <v>0</v>
      </c>
      <c r="Y3186" s="6">
        <f>1/COUNTIF(Таблица1[Order ID],Таблица1[[#This Row],[Order ID]])</f>
        <v>0.5</v>
      </c>
      <c r="Z3186" s="9">
        <f>1/COUNTIFS(Таблица1[Customer Name],Таблица1[[#This Row],[Customer Name]],Таблица1[Order-Year-Month],Таблица1[[#This Row],[Order-Year-Month]])</f>
        <v>0.5</v>
      </c>
    </row>
    <row r="3187" spans="1:26" x14ac:dyDescent="0.2">
      <c r="A3187" s="6">
        <v>4506</v>
      </c>
      <c r="B3187" s="7">
        <v>32069</v>
      </c>
      <c r="C3187" s="8">
        <f>DATE(2012,12,31)-408</f>
        <v>40866</v>
      </c>
      <c r="D3187" s="8" t="str">
        <f t="shared" si="59"/>
        <v>2011-11 (ноябрь 2011)</v>
      </c>
      <c r="E3187" s="9" t="s">
        <v>45</v>
      </c>
      <c r="F3187" s="7">
        <v>8</v>
      </c>
      <c r="G3187" s="7">
        <v>1100</v>
      </c>
      <c r="H3187" s="7">
        <v>7.0000000000000007E-2</v>
      </c>
      <c r="I3187" s="9" t="s">
        <v>31</v>
      </c>
      <c r="J3187" s="10">
        <v>-240.31140000000002</v>
      </c>
      <c r="K3187" s="11">
        <v>145.44999999999999</v>
      </c>
      <c r="L3187" s="11">
        <v>17.850000000000001</v>
      </c>
      <c r="M3187" s="9" t="s">
        <v>1610</v>
      </c>
      <c r="N3187" s="6" t="s">
        <v>1595</v>
      </c>
      <c r="O3187" s="6" t="s">
        <v>1595</v>
      </c>
      <c r="P3187" s="9" t="s">
        <v>33</v>
      </c>
      <c r="Q3187" s="9" t="s">
        <v>42</v>
      </c>
      <c r="R3187" s="9" t="s">
        <v>210</v>
      </c>
      <c r="S3187" s="7" t="s">
        <v>234</v>
      </c>
      <c r="T3187" s="9" t="s">
        <v>36</v>
      </c>
      <c r="U3187" s="7">
        <v>0.56000000000000005</v>
      </c>
      <c r="V3187" s="12">
        <f>C3187+0</f>
        <v>40866</v>
      </c>
      <c r="W3187">
        <f>IF(D3187=' Pivot Tables'!$A$4,1,0)</f>
        <v>0</v>
      </c>
      <c r="X3187">
        <f>IF(AND(LEFT(D3187,4)+1=LEFT(' Pivot Tables'!$A$4,4)+0,RIGHT(LEFT(D3187,7),2)=RIGHT(LEFT(' Pivot Tables'!$A$4,7),2)),1,0)</f>
        <v>0</v>
      </c>
      <c r="Y3187" s="6">
        <f>1/COUNTIF(Таблица1[Order ID],Таблица1[[#This Row],[Order ID]])</f>
        <v>0.5</v>
      </c>
      <c r="Z3187" s="9">
        <f>1/COUNTIFS(Таблица1[Customer Name],Таблица1[[#This Row],[Customer Name]],Таблица1[Order-Year-Month],Таблица1[[#This Row],[Order-Year-Month]])</f>
        <v>0.5</v>
      </c>
    </row>
    <row r="3188" spans="1:26" x14ac:dyDescent="0.2">
      <c r="A3188" s="6">
        <v>4512</v>
      </c>
      <c r="B3188" s="7">
        <v>32102</v>
      </c>
      <c r="C3188" s="8">
        <f>DATE(2012,12,31)-17</f>
        <v>41257</v>
      </c>
      <c r="D3188" s="8" t="str">
        <f t="shared" si="59"/>
        <v>2012-12 (декабрь 2012)</v>
      </c>
      <c r="E3188" s="9" t="s">
        <v>63</v>
      </c>
      <c r="F3188" s="7">
        <v>2</v>
      </c>
      <c r="G3188" s="7">
        <v>19.809999999999999</v>
      </c>
      <c r="H3188" s="7">
        <v>0.02</v>
      </c>
      <c r="I3188" s="9" t="s">
        <v>22</v>
      </c>
      <c r="J3188" s="10">
        <v>-10.39</v>
      </c>
      <c r="K3188" s="11">
        <v>6.48</v>
      </c>
      <c r="L3188" s="11">
        <v>6.22</v>
      </c>
      <c r="M3188" s="9" t="s">
        <v>1623</v>
      </c>
      <c r="N3188" s="6" t="s">
        <v>1595</v>
      </c>
      <c r="O3188" s="6" t="s">
        <v>1595</v>
      </c>
      <c r="P3188" s="9" t="s">
        <v>60</v>
      </c>
      <c r="Q3188" s="9" t="s">
        <v>26</v>
      </c>
      <c r="R3188" s="9" t="s">
        <v>61</v>
      </c>
      <c r="S3188" s="7" t="s">
        <v>943</v>
      </c>
      <c r="T3188" s="9" t="s">
        <v>39</v>
      </c>
      <c r="U3188" s="7">
        <v>0.37</v>
      </c>
      <c r="V3188" s="12">
        <f>C3188+2</f>
        <v>41259</v>
      </c>
      <c r="W3188">
        <f>IF(D3188=' Pivot Tables'!$A$4,1,0)</f>
        <v>0</v>
      </c>
      <c r="X3188">
        <f>IF(AND(LEFT(D3188,4)+1=LEFT(' Pivot Tables'!$A$4,4)+0,RIGHT(LEFT(D3188,7),2)=RIGHT(LEFT(' Pivot Tables'!$A$4,7),2)),1,0)</f>
        <v>0</v>
      </c>
      <c r="Y3188" s="6">
        <f>1/COUNTIF(Таблица1[Order ID],Таблица1[[#This Row],[Order ID]])</f>
        <v>1</v>
      </c>
      <c r="Z3188" s="9">
        <f>1/COUNTIFS(Таблица1[Customer Name],Таблица1[[#This Row],[Customer Name]],Таблица1[Order-Year-Month],Таблица1[[#This Row],[Order-Year-Month]])</f>
        <v>1</v>
      </c>
    </row>
    <row r="3189" spans="1:26" x14ac:dyDescent="0.2">
      <c r="A3189" s="6">
        <v>4561</v>
      </c>
      <c r="B3189" s="7">
        <v>32450</v>
      </c>
      <c r="C3189" s="8">
        <f>DATE(2012,12,31)-378</f>
        <v>40896</v>
      </c>
      <c r="D3189" s="8" t="str">
        <f t="shared" si="59"/>
        <v>2011-12 (декабрь 2011)</v>
      </c>
      <c r="E3189" s="9" t="s">
        <v>63</v>
      </c>
      <c r="F3189" s="7">
        <v>37</v>
      </c>
      <c r="G3189" s="7">
        <v>2638.79</v>
      </c>
      <c r="H3189" s="7">
        <v>0.1</v>
      </c>
      <c r="I3189" s="9" t="s">
        <v>31</v>
      </c>
      <c r="J3189" s="10">
        <v>54.230849999999997</v>
      </c>
      <c r="K3189" s="11">
        <v>70.89</v>
      </c>
      <c r="L3189" s="11">
        <v>89.3</v>
      </c>
      <c r="M3189" s="9" t="s">
        <v>1598</v>
      </c>
      <c r="N3189" s="6" t="s">
        <v>1595</v>
      </c>
      <c r="O3189" s="6" t="s">
        <v>1595</v>
      </c>
      <c r="P3189" s="9" t="s">
        <v>25</v>
      </c>
      <c r="Q3189" s="9" t="s">
        <v>49</v>
      </c>
      <c r="R3189" s="9" t="s">
        <v>83</v>
      </c>
      <c r="S3189" s="7" t="s">
        <v>1071</v>
      </c>
      <c r="T3189" s="9" t="s">
        <v>82</v>
      </c>
      <c r="U3189" s="7">
        <v>0.69</v>
      </c>
      <c r="V3189" s="12">
        <f>C3189+0</f>
        <v>40896</v>
      </c>
      <c r="W3189">
        <f>IF(D3189=' Pivot Tables'!$A$4,1,0)</f>
        <v>0</v>
      </c>
      <c r="X3189">
        <f>IF(AND(LEFT(D3189,4)+1=LEFT(' Pivot Tables'!$A$4,4)+0,RIGHT(LEFT(D3189,7),2)=RIGHT(LEFT(' Pivot Tables'!$A$4,7),2)),1,0)</f>
        <v>0</v>
      </c>
      <c r="Y3189" s="6">
        <f>1/COUNTIF(Таблица1[Order ID],Таблица1[[#This Row],[Order ID]])</f>
        <v>1</v>
      </c>
      <c r="Z3189" s="9">
        <f>1/COUNTIFS(Таблица1[Customer Name],Таблица1[[#This Row],[Customer Name]],Таблица1[Order-Year-Month],Таблица1[[#This Row],[Order-Year-Month]])</f>
        <v>0.5</v>
      </c>
    </row>
    <row r="3190" spans="1:26" x14ac:dyDescent="0.2">
      <c r="A3190" s="6">
        <v>4572</v>
      </c>
      <c r="B3190" s="7">
        <v>32546</v>
      </c>
      <c r="C3190" s="8">
        <f>DATE(2012,12,31)-654</f>
        <v>40620</v>
      </c>
      <c r="D3190" s="8" t="str">
        <f t="shared" si="59"/>
        <v>2011-03 (март 2011)</v>
      </c>
      <c r="E3190" s="9" t="s">
        <v>78</v>
      </c>
      <c r="F3190" s="7">
        <v>6</v>
      </c>
      <c r="G3190" s="7">
        <v>156.09</v>
      </c>
      <c r="H3190" s="7">
        <v>0</v>
      </c>
      <c r="I3190" s="9" t="s">
        <v>22</v>
      </c>
      <c r="J3190" s="10">
        <v>-34.844999999999999</v>
      </c>
      <c r="K3190" s="11">
        <v>22.38</v>
      </c>
      <c r="L3190" s="11">
        <v>15.1</v>
      </c>
      <c r="M3190" s="9" t="s">
        <v>1609</v>
      </c>
      <c r="N3190" s="6" t="s">
        <v>1595</v>
      </c>
      <c r="O3190" s="6" t="s">
        <v>1595</v>
      </c>
      <c r="P3190" s="9" t="s">
        <v>60</v>
      </c>
      <c r="Q3190" s="9" t="s">
        <v>26</v>
      </c>
      <c r="R3190" s="9" t="s">
        <v>37</v>
      </c>
      <c r="S3190" s="7" t="s">
        <v>415</v>
      </c>
      <c r="T3190" s="9" t="s">
        <v>39</v>
      </c>
      <c r="U3190" s="7">
        <v>0.38</v>
      </c>
      <c r="V3190" s="12">
        <f>C3190+2</f>
        <v>40622</v>
      </c>
      <c r="W3190">
        <f>IF(D3190=' Pivot Tables'!$A$4,1,0)</f>
        <v>0</v>
      </c>
      <c r="X3190">
        <f>IF(AND(LEFT(D3190,4)+1=LEFT(' Pivot Tables'!$A$4,4)+0,RIGHT(LEFT(D3190,7),2)=RIGHT(LEFT(' Pivot Tables'!$A$4,7),2)),1,0)</f>
        <v>0</v>
      </c>
      <c r="Y3190" s="6">
        <f>1/COUNTIF(Таблица1[Order ID],Таблица1[[#This Row],[Order ID]])</f>
        <v>0.5</v>
      </c>
      <c r="Z3190" s="9">
        <f>1/COUNTIFS(Таблица1[Customer Name],Таблица1[[#This Row],[Customer Name]],Таблица1[Order-Year-Month],Таблица1[[#This Row],[Order-Year-Month]])</f>
        <v>0.5</v>
      </c>
    </row>
    <row r="3191" spans="1:26" x14ac:dyDescent="0.2">
      <c r="A3191" s="6">
        <v>4573</v>
      </c>
      <c r="B3191" s="7">
        <v>32546</v>
      </c>
      <c r="C3191" s="8">
        <f>DATE(2012,12,31)-654</f>
        <v>40620</v>
      </c>
      <c r="D3191" s="8" t="str">
        <f t="shared" si="59"/>
        <v>2011-03 (март 2011)</v>
      </c>
      <c r="E3191" s="9" t="s">
        <v>78</v>
      </c>
      <c r="F3191" s="7">
        <v>47</v>
      </c>
      <c r="G3191" s="7">
        <v>1294.0230000000001</v>
      </c>
      <c r="H3191" s="7">
        <v>0.1</v>
      </c>
      <c r="I3191" s="9" t="s">
        <v>22</v>
      </c>
      <c r="J3191" s="10">
        <v>607.25700000000006</v>
      </c>
      <c r="K3191" s="11">
        <v>35.99</v>
      </c>
      <c r="L3191" s="11">
        <v>1.25</v>
      </c>
      <c r="M3191" s="9" t="s">
        <v>1609</v>
      </c>
      <c r="N3191" s="6" t="s">
        <v>1595</v>
      </c>
      <c r="O3191" s="6" t="s">
        <v>1595</v>
      </c>
      <c r="P3191" s="9" t="s">
        <v>60</v>
      </c>
      <c r="Q3191" s="9" t="s">
        <v>42</v>
      </c>
      <c r="R3191" s="9" t="s">
        <v>43</v>
      </c>
      <c r="S3191" s="7" t="s">
        <v>1218</v>
      </c>
      <c r="T3191" s="9" t="s">
        <v>52</v>
      </c>
      <c r="U3191" s="7">
        <v>0.36</v>
      </c>
      <c r="V3191" s="12">
        <f>C3191+1</f>
        <v>40621</v>
      </c>
      <c r="W3191">
        <f>IF(D3191=' Pivot Tables'!$A$4,1,0)</f>
        <v>0</v>
      </c>
      <c r="X3191">
        <f>IF(AND(LEFT(D3191,4)+1=LEFT(' Pivot Tables'!$A$4,4)+0,RIGHT(LEFT(D3191,7),2)=RIGHT(LEFT(' Pivot Tables'!$A$4,7),2)),1,0)</f>
        <v>0</v>
      </c>
      <c r="Y3191" s="6">
        <f>1/COUNTIF(Таблица1[Order ID],Таблица1[[#This Row],[Order ID]])</f>
        <v>0.5</v>
      </c>
      <c r="Z3191" s="9">
        <f>1/COUNTIFS(Таблица1[Customer Name],Таблица1[[#This Row],[Customer Name]],Таблица1[Order-Year-Month],Таблица1[[#This Row],[Order-Year-Month]])</f>
        <v>0.5</v>
      </c>
    </row>
    <row r="3192" spans="1:26" x14ac:dyDescent="0.2">
      <c r="A3192" s="6">
        <v>4640</v>
      </c>
      <c r="B3192" s="7">
        <v>33029</v>
      </c>
      <c r="C3192" s="8">
        <f>DATE(2012,12,31)-214</f>
        <v>41060</v>
      </c>
      <c r="D3192" s="8" t="str">
        <f t="shared" si="59"/>
        <v>2012-05 (май 2012)</v>
      </c>
      <c r="E3192" s="9" t="s">
        <v>30</v>
      </c>
      <c r="F3192" s="7">
        <v>39</v>
      </c>
      <c r="G3192" s="7">
        <v>16028.26</v>
      </c>
      <c r="H3192" s="7">
        <v>0.02</v>
      </c>
      <c r="I3192" s="9" t="s">
        <v>31</v>
      </c>
      <c r="J3192" s="10">
        <v>-1008.7305800000001</v>
      </c>
      <c r="K3192" s="11">
        <v>417.4</v>
      </c>
      <c r="L3192" s="11">
        <v>75.23</v>
      </c>
      <c r="M3192" s="9" t="s">
        <v>1622</v>
      </c>
      <c r="N3192" s="6" t="s">
        <v>1595</v>
      </c>
      <c r="O3192" s="6" t="s">
        <v>1595</v>
      </c>
      <c r="P3192" s="9" t="s">
        <v>33</v>
      </c>
      <c r="Q3192" s="9" t="s">
        <v>49</v>
      </c>
      <c r="R3192" s="9" t="s">
        <v>83</v>
      </c>
      <c r="S3192" s="7" t="s">
        <v>665</v>
      </c>
      <c r="T3192" s="9" t="s">
        <v>82</v>
      </c>
      <c r="U3192" s="7">
        <v>0.79</v>
      </c>
      <c r="V3192" s="12">
        <f>C3192+2</f>
        <v>41062</v>
      </c>
      <c r="W3192">
        <f>IF(D3192=' Pivot Tables'!$A$4,1,0)</f>
        <v>0</v>
      </c>
      <c r="X3192">
        <f>IF(AND(LEFT(D3192,4)+1=LEFT(' Pivot Tables'!$A$4,4)+0,RIGHT(LEFT(D3192,7),2)=RIGHT(LEFT(' Pivot Tables'!$A$4,7),2)),1,0)</f>
        <v>0</v>
      </c>
      <c r="Y3192" s="6">
        <f>1/COUNTIF(Таблица1[Order ID],Таблица1[[#This Row],[Order ID]])</f>
        <v>0.5</v>
      </c>
      <c r="Z3192" s="9">
        <f>1/COUNTIFS(Таблица1[Customer Name],Таблица1[[#This Row],[Customer Name]],Таблица1[Order-Year-Month],Таблица1[[#This Row],[Order-Year-Month]])</f>
        <v>0.5</v>
      </c>
    </row>
    <row r="3193" spans="1:26" x14ac:dyDescent="0.2">
      <c r="A3193" s="6">
        <v>4641</v>
      </c>
      <c r="B3193" s="7">
        <v>33029</v>
      </c>
      <c r="C3193" s="8">
        <f>DATE(2012,12,31)-214</f>
        <v>41060</v>
      </c>
      <c r="D3193" s="8" t="str">
        <f t="shared" si="59"/>
        <v>2012-05 (май 2012)</v>
      </c>
      <c r="E3193" s="9" t="s">
        <v>30</v>
      </c>
      <c r="F3193" s="7">
        <v>8</v>
      </c>
      <c r="G3193" s="7">
        <v>738.25049999999999</v>
      </c>
      <c r="H3193" s="7">
        <v>0.1</v>
      </c>
      <c r="I3193" s="9" t="s">
        <v>22</v>
      </c>
      <c r="J3193" s="10">
        <v>-286.363</v>
      </c>
      <c r="K3193" s="11">
        <v>115.99</v>
      </c>
      <c r="L3193" s="11">
        <v>2.5</v>
      </c>
      <c r="M3193" s="9" t="s">
        <v>1622</v>
      </c>
      <c r="N3193" s="6" t="s">
        <v>1595</v>
      </c>
      <c r="O3193" s="6" t="s">
        <v>1595</v>
      </c>
      <c r="P3193" s="9" t="s">
        <v>33</v>
      </c>
      <c r="Q3193" s="9" t="s">
        <v>42</v>
      </c>
      <c r="R3193" s="9" t="s">
        <v>43</v>
      </c>
      <c r="S3193" s="7" t="s">
        <v>125</v>
      </c>
      <c r="T3193" s="9" t="s">
        <v>39</v>
      </c>
      <c r="U3193" s="7">
        <v>0.56999999999999995</v>
      </c>
      <c r="V3193" s="12">
        <f>C3193+1</f>
        <v>41061</v>
      </c>
      <c r="W3193">
        <f>IF(D3193=' Pivot Tables'!$A$4,1,0)</f>
        <v>0</v>
      </c>
      <c r="X3193">
        <f>IF(AND(LEFT(D3193,4)+1=LEFT(' Pivot Tables'!$A$4,4)+0,RIGHT(LEFT(D3193,7),2)=RIGHT(LEFT(' Pivot Tables'!$A$4,7),2)),1,0)</f>
        <v>0</v>
      </c>
      <c r="Y3193" s="6">
        <f>1/COUNTIF(Таблица1[Order ID],Таблица1[[#This Row],[Order ID]])</f>
        <v>0.5</v>
      </c>
      <c r="Z3193" s="9">
        <f>1/COUNTIFS(Таблица1[Customer Name],Таблица1[[#This Row],[Customer Name]],Таблица1[Order-Year-Month],Таблица1[[#This Row],[Order-Year-Month]])</f>
        <v>0.5</v>
      </c>
    </row>
    <row r="3194" spans="1:26" x14ac:dyDescent="0.2">
      <c r="A3194" s="6">
        <v>4645</v>
      </c>
      <c r="B3194" s="7">
        <v>33061</v>
      </c>
      <c r="C3194" s="8">
        <f>DATE(2012,12,31)-535</f>
        <v>40739</v>
      </c>
      <c r="D3194" s="8" t="str">
        <f t="shared" si="59"/>
        <v>2011-07 (июль 2011)</v>
      </c>
      <c r="E3194" s="9" t="s">
        <v>30</v>
      </c>
      <c r="F3194" s="7">
        <v>48</v>
      </c>
      <c r="G3194" s="7">
        <v>5318.89</v>
      </c>
      <c r="H3194" s="7">
        <v>0.06</v>
      </c>
      <c r="I3194" s="9" t="s">
        <v>22</v>
      </c>
      <c r="J3194" s="10">
        <v>525.15</v>
      </c>
      <c r="K3194" s="11">
        <v>111.03</v>
      </c>
      <c r="L3194" s="11">
        <v>8.64</v>
      </c>
      <c r="M3194" s="9" t="s">
        <v>1614</v>
      </c>
      <c r="N3194" s="6" t="s">
        <v>1595</v>
      </c>
      <c r="O3194" s="6" t="s">
        <v>1595</v>
      </c>
      <c r="P3194" s="9" t="s">
        <v>60</v>
      </c>
      <c r="Q3194" s="9" t="s">
        <v>26</v>
      </c>
      <c r="R3194" s="9" t="s">
        <v>27</v>
      </c>
      <c r="S3194" s="7" t="s">
        <v>199</v>
      </c>
      <c r="T3194" s="9" t="s">
        <v>39</v>
      </c>
      <c r="U3194" s="7">
        <v>0.78</v>
      </c>
      <c r="V3194" s="12">
        <f>C3194+2</f>
        <v>40741</v>
      </c>
      <c r="W3194">
        <f>IF(D3194=' Pivot Tables'!$A$4,1,0)</f>
        <v>0</v>
      </c>
      <c r="X3194">
        <f>IF(AND(LEFT(D3194,4)+1=LEFT(' Pivot Tables'!$A$4,4)+0,RIGHT(LEFT(D3194,7),2)=RIGHT(LEFT(' Pivot Tables'!$A$4,7),2)),1,0)</f>
        <v>0</v>
      </c>
      <c r="Y3194" s="6">
        <f>1/COUNTIF(Таблица1[Order ID],Таблица1[[#This Row],[Order ID]])</f>
        <v>1</v>
      </c>
      <c r="Z3194" s="9">
        <f>1/COUNTIFS(Таблица1[Customer Name],Таблица1[[#This Row],[Customer Name]],Таблица1[Order-Year-Month],Таблица1[[#This Row],[Order-Year-Month]])</f>
        <v>1</v>
      </c>
    </row>
    <row r="3195" spans="1:26" x14ac:dyDescent="0.2">
      <c r="A3195" s="6">
        <v>4698</v>
      </c>
      <c r="B3195" s="7">
        <v>33478</v>
      </c>
      <c r="C3195" s="8">
        <f>DATE(2012,12,31)-931</f>
        <v>40343</v>
      </c>
      <c r="D3195" s="8" t="str">
        <f t="shared" si="59"/>
        <v>2010-06 (июнь 2010)</v>
      </c>
      <c r="E3195" s="9" t="s">
        <v>30</v>
      </c>
      <c r="F3195" s="7">
        <v>21</v>
      </c>
      <c r="G3195" s="7">
        <v>125.9</v>
      </c>
      <c r="H3195" s="7">
        <v>0.04</v>
      </c>
      <c r="I3195" s="9" t="s">
        <v>56</v>
      </c>
      <c r="J3195" s="10">
        <v>5.85</v>
      </c>
      <c r="K3195" s="11">
        <v>5.88</v>
      </c>
      <c r="L3195" s="11">
        <v>3.04</v>
      </c>
      <c r="M3195" s="9" t="s">
        <v>1624</v>
      </c>
      <c r="N3195" s="6" t="s">
        <v>1595</v>
      </c>
      <c r="O3195" s="6" t="s">
        <v>1595</v>
      </c>
      <c r="P3195" s="9" t="s">
        <v>33</v>
      </c>
      <c r="Q3195" s="9" t="s">
        <v>26</v>
      </c>
      <c r="R3195" s="9" t="s">
        <v>61</v>
      </c>
      <c r="S3195" s="7" t="s">
        <v>136</v>
      </c>
      <c r="T3195" s="9" t="s">
        <v>68</v>
      </c>
      <c r="U3195" s="7">
        <v>0.36</v>
      </c>
      <c r="V3195" s="12">
        <f>C3195+2</f>
        <v>40345</v>
      </c>
      <c r="W3195">
        <f>IF(D3195=' Pivot Tables'!$A$4,1,0)</f>
        <v>0</v>
      </c>
      <c r="X3195">
        <f>IF(AND(LEFT(D3195,4)+1=LEFT(' Pivot Tables'!$A$4,4)+0,RIGHT(LEFT(D3195,7),2)=RIGHT(LEFT(' Pivot Tables'!$A$4,7),2)),1,0)</f>
        <v>0</v>
      </c>
      <c r="Y3195" s="6">
        <f>1/COUNTIF(Таблица1[Order ID],Таблица1[[#This Row],[Order ID]])</f>
        <v>1</v>
      </c>
      <c r="Z3195" s="9">
        <f>1/COUNTIFS(Таблица1[Customer Name],Таблица1[[#This Row],[Customer Name]],Таблица1[Order-Year-Month],Таблица1[[#This Row],[Order-Year-Month]])</f>
        <v>1</v>
      </c>
    </row>
    <row r="3196" spans="1:26" x14ac:dyDescent="0.2">
      <c r="A3196" s="6">
        <v>4708</v>
      </c>
      <c r="B3196" s="7">
        <v>33540</v>
      </c>
      <c r="C3196" s="8">
        <f>DATE(2012,12,31)-574</f>
        <v>40700</v>
      </c>
      <c r="D3196" s="8" t="str">
        <f t="shared" si="59"/>
        <v>2011-06 (июнь 2011)</v>
      </c>
      <c r="E3196" s="9" t="s">
        <v>21</v>
      </c>
      <c r="F3196" s="7">
        <v>21</v>
      </c>
      <c r="G3196" s="7">
        <v>190.99</v>
      </c>
      <c r="H3196" s="7">
        <v>0.1</v>
      </c>
      <c r="I3196" s="9" t="s">
        <v>22</v>
      </c>
      <c r="J3196" s="10">
        <v>-27.15</v>
      </c>
      <c r="K3196" s="11">
        <v>9.85</v>
      </c>
      <c r="L3196" s="11">
        <v>4.82</v>
      </c>
      <c r="M3196" s="9" t="s">
        <v>1598</v>
      </c>
      <c r="N3196" s="6" t="s">
        <v>1595</v>
      </c>
      <c r="O3196" s="6" t="s">
        <v>1595</v>
      </c>
      <c r="P3196" s="9" t="s">
        <v>33</v>
      </c>
      <c r="Q3196" s="9" t="s">
        <v>26</v>
      </c>
      <c r="R3196" s="9" t="s">
        <v>95</v>
      </c>
      <c r="S3196" s="7" t="s">
        <v>1625</v>
      </c>
      <c r="T3196" s="9" t="s">
        <v>68</v>
      </c>
      <c r="U3196" s="7">
        <v>0.47</v>
      </c>
      <c r="V3196" s="12">
        <f>C3196+4</f>
        <v>40704</v>
      </c>
      <c r="W3196">
        <f>IF(D3196=' Pivot Tables'!$A$4,1,0)</f>
        <v>0</v>
      </c>
      <c r="X3196">
        <f>IF(AND(LEFT(D3196,4)+1=LEFT(' Pivot Tables'!$A$4,4)+0,RIGHT(LEFT(D3196,7),2)=RIGHT(LEFT(' Pivot Tables'!$A$4,7),2)),1,0)</f>
        <v>0</v>
      </c>
      <c r="Y3196" s="6">
        <f>1/COUNTIF(Таблица1[Order ID],Таблица1[[#This Row],[Order ID]])</f>
        <v>1</v>
      </c>
      <c r="Z3196" s="9">
        <f>1/COUNTIFS(Таблица1[Customer Name],Таблица1[[#This Row],[Customer Name]],Таблица1[Order-Year-Month],Таблица1[[#This Row],[Order-Year-Month]])</f>
        <v>1</v>
      </c>
    </row>
    <row r="3197" spans="1:26" x14ac:dyDescent="0.2">
      <c r="A3197" s="6">
        <v>4762</v>
      </c>
      <c r="B3197" s="7">
        <v>33862</v>
      </c>
      <c r="C3197" s="8">
        <f>DATE(2012,12,31)-923</f>
        <v>40351</v>
      </c>
      <c r="D3197" s="8" t="str">
        <f t="shared" si="59"/>
        <v>2010-06 (июнь 2010)</v>
      </c>
      <c r="E3197" s="9" t="s">
        <v>45</v>
      </c>
      <c r="F3197" s="7">
        <v>22</v>
      </c>
      <c r="G3197" s="7">
        <v>125.57</v>
      </c>
      <c r="H3197" s="7">
        <v>0.03</v>
      </c>
      <c r="I3197" s="9" t="s">
        <v>22</v>
      </c>
      <c r="J3197" s="10">
        <v>-45.16</v>
      </c>
      <c r="K3197" s="11">
        <v>5.58</v>
      </c>
      <c r="L3197" s="11">
        <v>5.3</v>
      </c>
      <c r="M3197" s="9" t="s">
        <v>1602</v>
      </c>
      <c r="N3197" s="6" t="s">
        <v>1595</v>
      </c>
      <c r="O3197" s="6" t="s">
        <v>1595</v>
      </c>
      <c r="P3197" s="9" t="s">
        <v>33</v>
      </c>
      <c r="Q3197" s="9" t="s">
        <v>26</v>
      </c>
      <c r="R3197" s="9" t="s">
        <v>76</v>
      </c>
      <c r="S3197" s="7" t="s">
        <v>881</v>
      </c>
      <c r="T3197" s="9" t="s">
        <v>39</v>
      </c>
      <c r="U3197" s="7">
        <v>0.35</v>
      </c>
      <c r="V3197" s="12">
        <f>C3197+1</f>
        <v>40352</v>
      </c>
      <c r="W3197">
        <f>IF(D3197=' Pivot Tables'!$A$4,1,0)</f>
        <v>0</v>
      </c>
      <c r="X3197">
        <f>IF(AND(LEFT(D3197,4)+1=LEFT(' Pivot Tables'!$A$4,4)+0,RIGHT(LEFT(D3197,7),2)=RIGHT(LEFT(' Pivot Tables'!$A$4,7),2)),1,0)</f>
        <v>0</v>
      </c>
      <c r="Y3197" s="6">
        <f>1/COUNTIF(Таблица1[Order ID],Таблица1[[#This Row],[Order ID]])</f>
        <v>1</v>
      </c>
      <c r="Z3197" s="9">
        <f>1/COUNTIFS(Таблица1[Customer Name],Таблица1[[#This Row],[Customer Name]],Таблица1[Order-Year-Month],Таблица1[[#This Row],[Order-Year-Month]])</f>
        <v>1</v>
      </c>
    </row>
    <row r="3198" spans="1:26" x14ac:dyDescent="0.2">
      <c r="A3198" s="6">
        <v>4845</v>
      </c>
      <c r="B3198" s="7">
        <v>34470</v>
      </c>
      <c r="C3198" s="8">
        <f>DATE(2012,12,31)-334</f>
        <v>40940</v>
      </c>
      <c r="D3198" s="8" t="str">
        <f t="shared" si="59"/>
        <v>2012-02 (февраль 2012)</v>
      </c>
      <c r="E3198" s="9" t="s">
        <v>78</v>
      </c>
      <c r="F3198" s="7">
        <v>31</v>
      </c>
      <c r="G3198" s="7">
        <v>2966.13</v>
      </c>
      <c r="H3198" s="7">
        <v>0.08</v>
      </c>
      <c r="I3198" s="9" t="s">
        <v>31</v>
      </c>
      <c r="J3198" s="10">
        <v>-1456.31</v>
      </c>
      <c r="K3198" s="11">
        <v>100.98</v>
      </c>
      <c r="L3198" s="11">
        <v>57.38</v>
      </c>
      <c r="M3198" s="9" t="s">
        <v>1623</v>
      </c>
      <c r="N3198" s="6" t="s">
        <v>1595</v>
      </c>
      <c r="O3198" s="6" t="s">
        <v>1595</v>
      </c>
      <c r="P3198" s="9" t="s">
        <v>60</v>
      </c>
      <c r="Q3198" s="9" t="s">
        <v>49</v>
      </c>
      <c r="R3198" s="9" t="s">
        <v>80</v>
      </c>
      <c r="S3198" s="7" t="s">
        <v>162</v>
      </c>
      <c r="T3198" s="9" t="s">
        <v>82</v>
      </c>
      <c r="U3198" s="7">
        <v>0.78</v>
      </c>
      <c r="V3198" s="12">
        <f>C3198+1</f>
        <v>40941</v>
      </c>
      <c r="W3198">
        <f>IF(D3198=' Pivot Tables'!$A$4,1,0)</f>
        <v>0</v>
      </c>
      <c r="X3198">
        <f>IF(AND(LEFT(D3198,4)+1=LEFT(' Pivot Tables'!$A$4,4)+0,RIGHT(LEFT(D3198,7),2)=RIGHT(LEFT(' Pivot Tables'!$A$4,7),2)),1,0)</f>
        <v>0</v>
      </c>
      <c r="Y3198" s="6">
        <f>1/COUNTIF(Таблица1[Order ID],Таблица1[[#This Row],[Order ID]])</f>
        <v>1</v>
      </c>
      <c r="Z3198" s="9">
        <f>1/COUNTIFS(Таблица1[Customer Name],Таблица1[[#This Row],[Customer Name]],Таблица1[Order-Year-Month],Таблица1[[#This Row],[Order-Year-Month]])</f>
        <v>0.5</v>
      </c>
    </row>
    <row r="3199" spans="1:26" x14ac:dyDescent="0.2">
      <c r="A3199" s="6">
        <v>5077</v>
      </c>
      <c r="B3199" s="7">
        <v>36161</v>
      </c>
      <c r="C3199" s="8">
        <f>DATE(2012,12,31)-1080</f>
        <v>40194</v>
      </c>
      <c r="D3199" s="8" t="str">
        <f t="shared" si="59"/>
        <v>2010-01 (январь 2010)</v>
      </c>
      <c r="E3199" s="9" t="s">
        <v>78</v>
      </c>
      <c r="F3199" s="7">
        <v>6</v>
      </c>
      <c r="G3199" s="7">
        <v>29.19</v>
      </c>
      <c r="H3199" s="7">
        <v>0.03</v>
      </c>
      <c r="I3199" s="9" t="s">
        <v>22</v>
      </c>
      <c r="J3199" s="10">
        <v>0.64600000000000002</v>
      </c>
      <c r="K3199" s="11">
        <v>4.49</v>
      </c>
      <c r="L3199" s="11">
        <v>1.49</v>
      </c>
      <c r="M3199" s="9" t="s">
        <v>1620</v>
      </c>
      <c r="N3199" s="6" t="s">
        <v>1595</v>
      </c>
      <c r="O3199" s="6" t="s">
        <v>1595</v>
      </c>
      <c r="P3199" s="9" t="s">
        <v>25</v>
      </c>
      <c r="Q3199" s="9" t="s">
        <v>26</v>
      </c>
      <c r="R3199" s="9" t="s">
        <v>37</v>
      </c>
      <c r="S3199" s="7" t="s">
        <v>987</v>
      </c>
      <c r="T3199" s="9" t="s">
        <v>39</v>
      </c>
      <c r="U3199" s="7">
        <v>0.39</v>
      </c>
      <c r="V3199" s="12">
        <f>C3199+1</f>
        <v>40195</v>
      </c>
      <c r="W3199">
        <f>IF(D3199=' Pivot Tables'!$A$4,1,0)</f>
        <v>1</v>
      </c>
      <c r="X3199">
        <f>IF(AND(LEFT(D3199,4)+1=LEFT(' Pivot Tables'!$A$4,4)+0,RIGHT(LEFT(D3199,7),2)=RIGHT(LEFT(' Pivot Tables'!$A$4,7),2)),1,0)</f>
        <v>0</v>
      </c>
      <c r="Y3199" s="6">
        <f>1/COUNTIF(Таблица1[Order ID],Таблица1[[#This Row],[Order ID]])</f>
        <v>1</v>
      </c>
      <c r="Z3199" s="9">
        <f>1/COUNTIFS(Таблица1[Customer Name],Таблица1[[#This Row],[Customer Name]],Таблица1[Order-Year-Month],Таблица1[[#This Row],[Order-Year-Month]])</f>
        <v>1</v>
      </c>
    </row>
    <row r="3200" spans="1:26" x14ac:dyDescent="0.2">
      <c r="A3200" s="6">
        <v>5302</v>
      </c>
      <c r="B3200" s="7">
        <v>37760</v>
      </c>
      <c r="C3200" s="8">
        <f>DATE(2012,12,31)-1235</f>
        <v>40039</v>
      </c>
      <c r="D3200" s="8" t="str">
        <f t="shared" si="59"/>
        <v>2009-08 (август 2009)</v>
      </c>
      <c r="E3200" s="9" t="s">
        <v>30</v>
      </c>
      <c r="F3200" s="7">
        <v>18</v>
      </c>
      <c r="G3200" s="7">
        <v>157.85</v>
      </c>
      <c r="H3200" s="7">
        <v>0.01</v>
      </c>
      <c r="I3200" s="9" t="s">
        <v>22</v>
      </c>
      <c r="J3200" s="10">
        <v>10.74</v>
      </c>
      <c r="K3200" s="11">
        <v>8.33</v>
      </c>
      <c r="L3200" s="11">
        <v>1.99</v>
      </c>
      <c r="M3200" s="9" t="s">
        <v>1598</v>
      </c>
      <c r="N3200" s="6" t="s">
        <v>1595</v>
      </c>
      <c r="O3200" s="6" t="s">
        <v>1595</v>
      </c>
      <c r="P3200" s="9" t="s">
        <v>25</v>
      </c>
      <c r="Q3200" s="9" t="s">
        <v>42</v>
      </c>
      <c r="R3200" s="9" t="s">
        <v>70</v>
      </c>
      <c r="S3200" s="7" t="s">
        <v>324</v>
      </c>
      <c r="T3200" s="9" t="s">
        <v>52</v>
      </c>
      <c r="U3200" s="7">
        <v>0.52</v>
      </c>
      <c r="V3200" s="12">
        <f>C3200+1</f>
        <v>40040</v>
      </c>
      <c r="W3200">
        <f>IF(D3200=' Pivot Tables'!$A$4,1,0)</f>
        <v>0</v>
      </c>
      <c r="X3200">
        <f>IF(AND(LEFT(D3200,4)+1=LEFT(' Pivot Tables'!$A$4,4)+0,RIGHT(LEFT(D3200,7),2)=RIGHT(LEFT(' Pivot Tables'!$A$4,7),2)),1,0)</f>
        <v>0</v>
      </c>
      <c r="Y3200" s="6">
        <f>1/COUNTIF(Таблица1[Order ID],Таблица1[[#This Row],[Order ID]])</f>
        <v>0.5</v>
      </c>
      <c r="Z3200" s="9">
        <f>1/COUNTIFS(Таблица1[Customer Name],Таблица1[[#This Row],[Customer Name]],Таблица1[Order-Year-Month],Таблица1[[#This Row],[Order-Year-Month]])</f>
        <v>0.5</v>
      </c>
    </row>
    <row r="3201" spans="1:26" x14ac:dyDescent="0.2">
      <c r="A3201" s="6">
        <v>5303</v>
      </c>
      <c r="B3201" s="7">
        <v>37760</v>
      </c>
      <c r="C3201" s="8">
        <f>DATE(2012,12,31)-1235</f>
        <v>40039</v>
      </c>
      <c r="D3201" s="8" t="str">
        <f t="shared" si="59"/>
        <v>2009-08 (август 2009)</v>
      </c>
      <c r="E3201" s="9" t="s">
        <v>30</v>
      </c>
      <c r="F3201" s="7">
        <v>38</v>
      </c>
      <c r="G3201" s="7">
        <v>2773.0314999999996</v>
      </c>
      <c r="H3201" s="7">
        <v>0.04</v>
      </c>
      <c r="I3201" s="9" t="s">
        <v>22</v>
      </c>
      <c r="J3201" s="10">
        <v>897.86699999999996</v>
      </c>
      <c r="K3201" s="11">
        <v>85.99</v>
      </c>
      <c r="L3201" s="11">
        <v>0.99</v>
      </c>
      <c r="M3201" s="9" t="s">
        <v>1598</v>
      </c>
      <c r="N3201" s="6" t="s">
        <v>1595</v>
      </c>
      <c r="O3201" s="6" t="s">
        <v>1595</v>
      </c>
      <c r="P3201" s="9" t="s">
        <v>25</v>
      </c>
      <c r="Q3201" s="9" t="s">
        <v>42</v>
      </c>
      <c r="R3201" s="9" t="s">
        <v>43</v>
      </c>
      <c r="S3201" s="7" t="s">
        <v>741</v>
      </c>
      <c r="T3201" s="9" t="s">
        <v>68</v>
      </c>
      <c r="U3201" s="7">
        <v>0.55000000000000004</v>
      </c>
      <c r="V3201" s="12">
        <f>C3201+2</f>
        <v>40041</v>
      </c>
      <c r="W3201">
        <f>IF(D3201=' Pivot Tables'!$A$4,1,0)</f>
        <v>0</v>
      </c>
      <c r="X3201">
        <f>IF(AND(LEFT(D3201,4)+1=LEFT(' Pivot Tables'!$A$4,4)+0,RIGHT(LEFT(D3201,7),2)=RIGHT(LEFT(' Pivot Tables'!$A$4,7),2)),1,0)</f>
        <v>0</v>
      </c>
      <c r="Y3201" s="6">
        <f>1/COUNTIF(Таблица1[Order ID],Таблица1[[#This Row],[Order ID]])</f>
        <v>0.5</v>
      </c>
      <c r="Z3201" s="9">
        <f>1/COUNTIFS(Таблица1[Customer Name],Таблица1[[#This Row],[Customer Name]],Таблица1[Order-Year-Month],Таблица1[[#This Row],[Order-Year-Month]])</f>
        <v>0.5</v>
      </c>
    </row>
    <row r="3202" spans="1:26" x14ac:dyDescent="0.2">
      <c r="A3202" s="6">
        <v>5335</v>
      </c>
      <c r="B3202" s="7">
        <v>37895</v>
      </c>
      <c r="C3202" s="8">
        <f>DATE(2012,12,31)-276</f>
        <v>40998</v>
      </c>
      <c r="D3202" s="8" t="str">
        <f t="shared" si="59"/>
        <v>2012-03 (март 2012)</v>
      </c>
      <c r="E3202" s="9" t="s">
        <v>78</v>
      </c>
      <c r="F3202" s="7">
        <v>14</v>
      </c>
      <c r="G3202" s="7">
        <v>304.64999999999998</v>
      </c>
      <c r="H3202" s="7">
        <v>0.1</v>
      </c>
      <c r="I3202" s="9" t="s">
        <v>22</v>
      </c>
      <c r="J3202" s="10">
        <v>24.2</v>
      </c>
      <c r="K3202" s="11">
        <v>21.98</v>
      </c>
      <c r="L3202" s="11">
        <v>8.32</v>
      </c>
      <c r="M3202" s="9" t="s">
        <v>1598</v>
      </c>
      <c r="N3202" s="6" t="s">
        <v>1595</v>
      </c>
      <c r="O3202" s="6" t="s">
        <v>1595</v>
      </c>
      <c r="P3202" s="9" t="s">
        <v>25</v>
      </c>
      <c r="Q3202" s="9" t="s">
        <v>26</v>
      </c>
      <c r="R3202" s="9" t="s">
        <v>61</v>
      </c>
      <c r="S3202" s="7" t="s">
        <v>308</v>
      </c>
      <c r="T3202" s="9" t="s">
        <v>68</v>
      </c>
      <c r="U3202" s="7">
        <v>0.39</v>
      </c>
      <c r="V3202" s="12">
        <f>C3202+3</f>
        <v>41001</v>
      </c>
      <c r="W3202">
        <f>IF(D3202=' Pivot Tables'!$A$4,1,0)</f>
        <v>0</v>
      </c>
      <c r="X3202">
        <f>IF(AND(LEFT(D3202,4)+1=LEFT(' Pivot Tables'!$A$4,4)+0,RIGHT(LEFT(D3202,7),2)=RIGHT(LEFT(' Pivot Tables'!$A$4,7),2)),1,0)</f>
        <v>0</v>
      </c>
      <c r="Y3202" s="6">
        <f>1/COUNTIF(Таблица1[Order ID],Таблица1[[#This Row],[Order ID]])</f>
        <v>1</v>
      </c>
      <c r="Z3202" s="9">
        <f>1/COUNTIFS(Таблица1[Customer Name],Таблица1[[#This Row],[Customer Name]],Таблица1[Order-Year-Month],Таблица1[[#This Row],[Order-Year-Month]])</f>
        <v>1</v>
      </c>
    </row>
    <row r="3203" spans="1:26" x14ac:dyDescent="0.2">
      <c r="A3203" s="6">
        <v>5402</v>
      </c>
      <c r="B3203" s="7">
        <v>38403</v>
      </c>
      <c r="C3203" s="8">
        <f>DATE(2012,12,31)-590</f>
        <v>40684</v>
      </c>
      <c r="D3203" s="8" t="str">
        <f t="shared" ref="D3203:D3266" si="61">TEXT(C3203,"гггг-ММ (ММММ гггг)")</f>
        <v>2011-05 (май 2011)</v>
      </c>
      <c r="E3203" s="9" t="s">
        <v>21</v>
      </c>
      <c r="F3203" s="7">
        <v>49</v>
      </c>
      <c r="G3203" s="7">
        <v>142.1</v>
      </c>
      <c r="H3203" s="7">
        <v>0.01</v>
      </c>
      <c r="I3203" s="9" t="s">
        <v>22</v>
      </c>
      <c r="J3203" s="10">
        <v>37.03</v>
      </c>
      <c r="K3203" s="11">
        <v>2.88</v>
      </c>
      <c r="L3203" s="11">
        <v>0.99</v>
      </c>
      <c r="M3203" s="9" t="s">
        <v>1358</v>
      </c>
      <c r="N3203" s="6" t="s">
        <v>1595</v>
      </c>
      <c r="O3203" s="6" t="s">
        <v>1595</v>
      </c>
      <c r="P3203" s="9" t="s">
        <v>60</v>
      </c>
      <c r="Q3203" s="9" t="s">
        <v>26</v>
      </c>
      <c r="R3203" s="9" t="s">
        <v>88</v>
      </c>
      <c r="S3203" s="7" t="s">
        <v>300</v>
      </c>
      <c r="T3203" s="9" t="s">
        <v>39</v>
      </c>
      <c r="U3203" s="7">
        <v>0.36</v>
      </c>
      <c r="V3203" s="12">
        <f>C3203+4</f>
        <v>40688</v>
      </c>
      <c r="W3203">
        <f>IF(D3203=' Pivot Tables'!$A$4,1,0)</f>
        <v>0</v>
      </c>
      <c r="X3203">
        <f>IF(AND(LEFT(D3203,4)+1=LEFT(' Pivot Tables'!$A$4,4)+0,RIGHT(LEFT(D3203,7),2)=RIGHT(LEFT(' Pivot Tables'!$A$4,7),2)),1,0)</f>
        <v>0</v>
      </c>
      <c r="Y3203" s="6">
        <f>1/COUNTIF(Таблица1[Order ID],Таблица1[[#This Row],[Order ID]])</f>
        <v>1</v>
      </c>
      <c r="Z3203" s="9">
        <f>1/COUNTIFS(Таблица1[Customer Name],Таблица1[[#This Row],[Customer Name]],Таблица1[Order-Year-Month],Таблица1[[#This Row],[Order-Year-Month]])</f>
        <v>0.5</v>
      </c>
    </row>
    <row r="3204" spans="1:26" x14ac:dyDescent="0.2">
      <c r="A3204" s="6">
        <v>5440</v>
      </c>
      <c r="B3204" s="7">
        <v>38630</v>
      </c>
      <c r="C3204" s="8">
        <f>DATE(2012,12,31)-989</f>
        <v>40285</v>
      </c>
      <c r="D3204" s="8" t="str">
        <f t="shared" si="61"/>
        <v>2010-04 (апрель 2010)</v>
      </c>
      <c r="E3204" s="9" t="s">
        <v>63</v>
      </c>
      <c r="F3204" s="7">
        <v>13</v>
      </c>
      <c r="G3204" s="7">
        <v>2175.2179999999998</v>
      </c>
      <c r="H3204" s="7">
        <v>7.0000000000000007E-2</v>
      </c>
      <c r="I3204" s="9" t="s">
        <v>22</v>
      </c>
      <c r="J3204" s="10">
        <v>44.55</v>
      </c>
      <c r="K3204" s="11">
        <v>195.99</v>
      </c>
      <c r="L3204" s="11">
        <v>3.99</v>
      </c>
      <c r="M3204" s="9" t="s">
        <v>1623</v>
      </c>
      <c r="N3204" s="6" t="s">
        <v>1595</v>
      </c>
      <c r="O3204" s="6" t="s">
        <v>1595</v>
      </c>
      <c r="P3204" s="9" t="s">
        <v>60</v>
      </c>
      <c r="Q3204" s="9" t="s">
        <v>42</v>
      </c>
      <c r="R3204" s="9" t="s">
        <v>43</v>
      </c>
      <c r="S3204" s="7" t="s">
        <v>44</v>
      </c>
      <c r="T3204" s="9" t="s">
        <v>39</v>
      </c>
      <c r="U3204" s="7">
        <v>0.57999999999999996</v>
      </c>
      <c r="V3204" s="12">
        <f>C3204+1</f>
        <v>40286</v>
      </c>
      <c r="W3204">
        <f>IF(D3204=' Pivot Tables'!$A$4,1,0)</f>
        <v>0</v>
      </c>
      <c r="X3204">
        <f>IF(AND(LEFT(D3204,4)+1=LEFT(' Pivot Tables'!$A$4,4)+0,RIGHT(LEFT(D3204,7),2)=RIGHT(LEFT(' Pivot Tables'!$A$4,7),2)),1,0)</f>
        <v>0</v>
      </c>
      <c r="Y3204" s="6">
        <f>1/COUNTIF(Таблица1[Order ID],Таблица1[[#This Row],[Order ID]])</f>
        <v>1</v>
      </c>
      <c r="Z3204" s="9">
        <f>1/COUNTIFS(Таблица1[Customer Name],Таблица1[[#This Row],[Customer Name]],Таблица1[Order-Year-Month],Таблица1[[#This Row],[Order-Year-Month]])</f>
        <v>1</v>
      </c>
    </row>
    <row r="3205" spans="1:26" x14ac:dyDescent="0.2">
      <c r="A3205" s="6">
        <v>5684</v>
      </c>
      <c r="B3205" s="7">
        <v>40165</v>
      </c>
      <c r="C3205" s="8">
        <f>DATE(2012,12,31)-670</f>
        <v>40604</v>
      </c>
      <c r="D3205" s="8" t="str">
        <f t="shared" si="61"/>
        <v>2011-03 (март 2011)</v>
      </c>
      <c r="E3205" s="9" t="s">
        <v>30</v>
      </c>
      <c r="F3205" s="7">
        <v>50</v>
      </c>
      <c r="G3205" s="7">
        <v>421.36</v>
      </c>
      <c r="H3205" s="7">
        <v>7.0000000000000007E-2</v>
      </c>
      <c r="I3205" s="9" t="s">
        <v>22</v>
      </c>
      <c r="J3205" s="10">
        <v>-75.17</v>
      </c>
      <c r="K3205" s="11">
        <v>8.6199999999999992</v>
      </c>
      <c r="L3205" s="11">
        <v>4.5</v>
      </c>
      <c r="M3205" s="9" t="s">
        <v>1603</v>
      </c>
      <c r="N3205" s="6" t="s">
        <v>1595</v>
      </c>
      <c r="O3205" s="6" t="s">
        <v>1595</v>
      </c>
      <c r="P3205" s="9" t="s">
        <v>33</v>
      </c>
      <c r="Q3205" s="9" t="s">
        <v>26</v>
      </c>
      <c r="R3205" s="9" t="s">
        <v>34</v>
      </c>
      <c r="S3205" s="7" t="s">
        <v>1626</v>
      </c>
      <c r="T3205" s="9" t="s">
        <v>39</v>
      </c>
      <c r="U3205" s="7">
        <v>0.59</v>
      </c>
      <c r="V3205" s="12">
        <f>C3205+3</f>
        <v>40607</v>
      </c>
      <c r="W3205">
        <f>IF(D3205=' Pivot Tables'!$A$4,1,0)</f>
        <v>0</v>
      </c>
      <c r="X3205">
        <f>IF(AND(LEFT(D3205,4)+1=LEFT(' Pivot Tables'!$A$4,4)+0,RIGHT(LEFT(D3205,7),2)=RIGHT(LEFT(' Pivot Tables'!$A$4,7),2)),1,0)</f>
        <v>0</v>
      </c>
      <c r="Y3205" s="6">
        <f>1/COUNTIF(Таблица1[Order ID],Таблица1[[#This Row],[Order ID]])</f>
        <v>1</v>
      </c>
      <c r="Z3205" s="9">
        <f>1/COUNTIFS(Таблица1[Customer Name],Таблица1[[#This Row],[Customer Name]],Таблица1[Order-Year-Month],Таблица1[[#This Row],[Order-Year-Month]])</f>
        <v>1</v>
      </c>
    </row>
    <row r="3206" spans="1:26" x14ac:dyDescent="0.2">
      <c r="A3206" s="6">
        <v>5686</v>
      </c>
      <c r="B3206" s="7">
        <v>40194</v>
      </c>
      <c r="C3206" s="8">
        <f>DATE(2012,12,31)-817</f>
        <v>40457</v>
      </c>
      <c r="D3206" s="8" t="str">
        <f t="shared" si="61"/>
        <v>2010-10 (октябрь 2010)</v>
      </c>
      <c r="E3206" s="9" t="s">
        <v>45</v>
      </c>
      <c r="F3206" s="7">
        <v>30</v>
      </c>
      <c r="G3206" s="7">
        <v>4506.8500000000004</v>
      </c>
      <c r="H3206" s="7">
        <v>0.1</v>
      </c>
      <c r="I3206" s="9" t="s">
        <v>31</v>
      </c>
      <c r="J3206" s="10">
        <v>290.66000000000003</v>
      </c>
      <c r="K3206" s="11">
        <v>160.97999999999999</v>
      </c>
      <c r="L3206" s="11">
        <v>30</v>
      </c>
      <c r="M3206" s="9" t="s">
        <v>1598</v>
      </c>
      <c r="N3206" s="6" t="s">
        <v>1595</v>
      </c>
      <c r="O3206" s="6" t="s">
        <v>1595</v>
      </c>
      <c r="P3206" s="9" t="s">
        <v>33</v>
      </c>
      <c r="Q3206" s="9" t="s">
        <v>49</v>
      </c>
      <c r="R3206" s="9" t="s">
        <v>112</v>
      </c>
      <c r="S3206" s="7" t="s">
        <v>746</v>
      </c>
      <c r="T3206" s="9" t="s">
        <v>36</v>
      </c>
      <c r="U3206" s="7">
        <v>0.62</v>
      </c>
      <c r="V3206" s="12">
        <f>C3206+1</f>
        <v>40458</v>
      </c>
      <c r="W3206">
        <f>IF(D3206=' Pivot Tables'!$A$4,1,0)</f>
        <v>0</v>
      </c>
      <c r="X3206">
        <f>IF(AND(LEFT(D3206,4)+1=LEFT(' Pivot Tables'!$A$4,4)+0,RIGHT(LEFT(D3206,7),2)=RIGHT(LEFT(' Pivot Tables'!$A$4,7),2)),1,0)</f>
        <v>0</v>
      </c>
      <c r="Y3206" s="6">
        <f>1/COUNTIF(Таблица1[Order ID],Таблица1[[#This Row],[Order ID]])</f>
        <v>0.33333333333333331</v>
      </c>
      <c r="Z3206" s="9">
        <f>1/COUNTIFS(Таблица1[Customer Name],Таблица1[[#This Row],[Customer Name]],Таблица1[Order-Year-Month],Таблица1[[#This Row],[Order-Year-Month]])</f>
        <v>0.33333333333333331</v>
      </c>
    </row>
    <row r="3207" spans="1:26" x14ac:dyDescent="0.2">
      <c r="A3207" s="6">
        <v>5687</v>
      </c>
      <c r="B3207" s="7">
        <v>40194</v>
      </c>
      <c r="C3207" s="8">
        <f>DATE(2012,12,31)-817</f>
        <v>40457</v>
      </c>
      <c r="D3207" s="8" t="str">
        <f t="shared" si="61"/>
        <v>2010-10 (октябрь 2010)</v>
      </c>
      <c r="E3207" s="9" t="s">
        <v>45</v>
      </c>
      <c r="F3207" s="7">
        <v>16</v>
      </c>
      <c r="G3207" s="7">
        <v>2110.37</v>
      </c>
      <c r="H3207" s="7">
        <v>0</v>
      </c>
      <c r="I3207" s="9" t="s">
        <v>31</v>
      </c>
      <c r="J3207" s="10">
        <v>-14.415900000000001</v>
      </c>
      <c r="K3207" s="11">
        <v>119.99</v>
      </c>
      <c r="L3207" s="11">
        <v>56.14</v>
      </c>
      <c r="M3207" s="9" t="s">
        <v>1598</v>
      </c>
      <c r="N3207" s="6" t="s">
        <v>1595</v>
      </c>
      <c r="O3207" s="6" t="s">
        <v>1595</v>
      </c>
      <c r="P3207" s="9" t="s">
        <v>33</v>
      </c>
      <c r="Q3207" s="9" t="s">
        <v>42</v>
      </c>
      <c r="R3207" s="9" t="s">
        <v>210</v>
      </c>
      <c r="S3207" s="7" t="s">
        <v>950</v>
      </c>
      <c r="T3207" s="9" t="s">
        <v>82</v>
      </c>
      <c r="U3207" s="7">
        <v>0.39</v>
      </c>
      <c r="V3207" s="12">
        <f>C3207+2</f>
        <v>40459</v>
      </c>
      <c r="W3207">
        <f>IF(D3207=' Pivot Tables'!$A$4,1,0)</f>
        <v>0</v>
      </c>
      <c r="X3207">
        <f>IF(AND(LEFT(D3207,4)+1=LEFT(' Pivot Tables'!$A$4,4)+0,RIGHT(LEFT(D3207,7),2)=RIGHT(LEFT(' Pivot Tables'!$A$4,7),2)),1,0)</f>
        <v>0</v>
      </c>
      <c r="Y3207" s="6">
        <f>1/COUNTIF(Таблица1[Order ID],Таблица1[[#This Row],[Order ID]])</f>
        <v>0.33333333333333331</v>
      </c>
      <c r="Z3207" s="9">
        <f>1/COUNTIFS(Таблица1[Customer Name],Таблица1[[#This Row],[Customer Name]],Таблица1[Order-Year-Month],Таблица1[[#This Row],[Order-Year-Month]])</f>
        <v>0.33333333333333331</v>
      </c>
    </row>
    <row r="3208" spans="1:26" x14ac:dyDescent="0.2">
      <c r="A3208" s="6">
        <v>5688</v>
      </c>
      <c r="B3208" s="7">
        <v>40194</v>
      </c>
      <c r="C3208" s="8">
        <f>DATE(2012,12,31)-817</f>
        <v>40457</v>
      </c>
      <c r="D3208" s="8" t="str">
        <f t="shared" si="61"/>
        <v>2010-10 (октябрь 2010)</v>
      </c>
      <c r="E3208" s="9" t="s">
        <v>45</v>
      </c>
      <c r="F3208" s="7">
        <v>34</v>
      </c>
      <c r="G3208" s="7">
        <v>1094.9105</v>
      </c>
      <c r="H3208" s="7">
        <v>0.02</v>
      </c>
      <c r="I3208" s="9" t="s">
        <v>22</v>
      </c>
      <c r="J3208" s="10">
        <v>-112.123</v>
      </c>
      <c r="K3208" s="11">
        <v>35.99</v>
      </c>
      <c r="L3208" s="11">
        <v>5</v>
      </c>
      <c r="M3208" s="9" t="s">
        <v>1598</v>
      </c>
      <c r="N3208" s="6" t="s">
        <v>1595</v>
      </c>
      <c r="O3208" s="6" t="s">
        <v>1595</v>
      </c>
      <c r="P3208" s="9" t="s">
        <v>33</v>
      </c>
      <c r="Q3208" s="9" t="s">
        <v>42</v>
      </c>
      <c r="R3208" s="9" t="s">
        <v>43</v>
      </c>
      <c r="S3208" s="7" t="s">
        <v>825</v>
      </c>
      <c r="T3208" s="9" t="s">
        <v>39</v>
      </c>
      <c r="U3208" s="7">
        <v>0.85</v>
      </c>
      <c r="V3208" s="12">
        <f>C3208+2</f>
        <v>40459</v>
      </c>
      <c r="W3208">
        <f>IF(D3208=' Pivot Tables'!$A$4,1,0)</f>
        <v>0</v>
      </c>
      <c r="X3208">
        <f>IF(AND(LEFT(D3208,4)+1=LEFT(' Pivot Tables'!$A$4,4)+0,RIGHT(LEFT(D3208,7),2)=RIGHT(LEFT(' Pivot Tables'!$A$4,7),2)),1,0)</f>
        <v>0</v>
      </c>
      <c r="Y3208" s="6">
        <f>1/COUNTIF(Таблица1[Order ID],Таблица1[[#This Row],[Order ID]])</f>
        <v>0.33333333333333331</v>
      </c>
      <c r="Z3208" s="9">
        <f>1/COUNTIFS(Таблица1[Customer Name],Таблица1[[#This Row],[Customer Name]],Таблица1[Order-Year-Month],Таблица1[[#This Row],[Order-Year-Month]])</f>
        <v>0.33333333333333331</v>
      </c>
    </row>
    <row r="3209" spans="1:26" x14ac:dyDescent="0.2">
      <c r="A3209" s="6">
        <v>5713</v>
      </c>
      <c r="B3209" s="7">
        <v>40454</v>
      </c>
      <c r="C3209" s="8">
        <f>DATE(2012,12,31)-620</f>
        <v>40654</v>
      </c>
      <c r="D3209" s="8" t="str">
        <f t="shared" si="61"/>
        <v>2011-04 (апрель 2011)</v>
      </c>
      <c r="E3209" s="9" t="s">
        <v>45</v>
      </c>
      <c r="F3209" s="7">
        <v>43</v>
      </c>
      <c r="G3209" s="7">
        <v>1243.8800000000001</v>
      </c>
      <c r="H3209" s="7">
        <v>0.1</v>
      </c>
      <c r="I3209" s="9" t="s">
        <v>22</v>
      </c>
      <c r="J3209" s="10">
        <v>22.71</v>
      </c>
      <c r="K3209" s="11">
        <v>30.98</v>
      </c>
      <c r="L3209" s="11">
        <v>8.99</v>
      </c>
      <c r="M3209" s="9" t="s">
        <v>1627</v>
      </c>
      <c r="N3209" s="6" t="s">
        <v>1595</v>
      </c>
      <c r="O3209" s="6" t="s">
        <v>1595</v>
      </c>
      <c r="P3209" s="9" t="s">
        <v>41</v>
      </c>
      <c r="Q3209" s="9" t="s">
        <v>26</v>
      </c>
      <c r="R3209" s="9" t="s">
        <v>95</v>
      </c>
      <c r="S3209" s="7" t="s">
        <v>1055</v>
      </c>
      <c r="T3209" s="9" t="s">
        <v>52</v>
      </c>
      <c r="U3209" s="7">
        <v>0.57999999999999996</v>
      </c>
      <c r="V3209" s="12">
        <f>C3209+3</f>
        <v>40657</v>
      </c>
      <c r="W3209">
        <f>IF(D3209=' Pivot Tables'!$A$4,1,0)</f>
        <v>0</v>
      </c>
      <c r="X3209">
        <f>IF(AND(LEFT(D3209,4)+1=LEFT(' Pivot Tables'!$A$4,4)+0,RIGHT(LEFT(D3209,7),2)=RIGHT(LEFT(' Pivot Tables'!$A$4,7),2)),1,0)</f>
        <v>0</v>
      </c>
      <c r="Y3209" s="6">
        <f>1/COUNTIF(Таблица1[Order ID],Таблица1[[#This Row],[Order ID]])</f>
        <v>1</v>
      </c>
      <c r="Z3209" s="9">
        <f>1/COUNTIFS(Таблица1[Customer Name],Таблица1[[#This Row],[Customer Name]],Таблица1[Order-Year-Month],Таблица1[[#This Row],[Order-Year-Month]])</f>
        <v>1</v>
      </c>
    </row>
    <row r="3210" spans="1:26" x14ac:dyDescent="0.2">
      <c r="A3210" s="6">
        <v>5730</v>
      </c>
      <c r="B3210" s="7">
        <v>40672</v>
      </c>
      <c r="C3210" s="8">
        <f>DATE(2012,12,31)-63</f>
        <v>41211</v>
      </c>
      <c r="D3210" s="8" t="str">
        <f t="shared" si="61"/>
        <v>2012-10 (октябрь 2012)</v>
      </c>
      <c r="E3210" s="9" t="s">
        <v>21</v>
      </c>
      <c r="F3210" s="7">
        <v>16</v>
      </c>
      <c r="G3210" s="7">
        <v>1617.91</v>
      </c>
      <c r="H3210" s="7">
        <v>0.04</v>
      </c>
      <c r="I3210" s="9" t="s">
        <v>31</v>
      </c>
      <c r="J3210" s="10">
        <v>-159.21</v>
      </c>
      <c r="K3210" s="11">
        <v>100.98</v>
      </c>
      <c r="L3210" s="11">
        <v>35.840000000000003</v>
      </c>
      <c r="M3210" s="9" t="s">
        <v>1598</v>
      </c>
      <c r="N3210" s="6" t="s">
        <v>1595</v>
      </c>
      <c r="O3210" s="6" t="s">
        <v>1595</v>
      </c>
      <c r="P3210" s="9" t="s">
        <v>33</v>
      </c>
      <c r="Q3210" s="9" t="s">
        <v>49</v>
      </c>
      <c r="R3210" s="9" t="s">
        <v>80</v>
      </c>
      <c r="S3210" s="7" t="s">
        <v>705</v>
      </c>
      <c r="T3210" s="9" t="s">
        <v>82</v>
      </c>
      <c r="U3210" s="7">
        <v>0.62</v>
      </c>
      <c r="V3210" s="12">
        <f>C3210+2</f>
        <v>41213</v>
      </c>
      <c r="W3210">
        <f>IF(D3210=' Pivot Tables'!$A$4,1,0)</f>
        <v>0</v>
      </c>
      <c r="X3210">
        <f>IF(AND(LEFT(D3210,4)+1=LEFT(' Pivot Tables'!$A$4,4)+0,RIGHT(LEFT(D3210,7),2)=RIGHT(LEFT(' Pivot Tables'!$A$4,7),2)),1,0)</f>
        <v>0</v>
      </c>
      <c r="Y3210" s="6">
        <f>1/COUNTIF(Таблица1[Order ID],Таблица1[[#This Row],[Order ID]])</f>
        <v>1</v>
      </c>
      <c r="Z3210" s="9">
        <f>1/COUNTIFS(Таблица1[Customer Name],Таблица1[[#This Row],[Customer Name]],Таблица1[Order-Year-Month],Таблица1[[#This Row],[Order-Year-Month]])</f>
        <v>0.5</v>
      </c>
    </row>
    <row r="3211" spans="1:26" x14ac:dyDescent="0.2">
      <c r="A3211" s="6">
        <v>5749</v>
      </c>
      <c r="B3211" s="7">
        <v>40833</v>
      </c>
      <c r="C3211" s="8">
        <f>DATE(2012,12,31)-900</f>
        <v>40374</v>
      </c>
      <c r="D3211" s="8" t="str">
        <f t="shared" si="61"/>
        <v>2010-07 (июль 2010)</v>
      </c>
      <c r="E3211" s="9" t="s">
        <v>21</v>
      </c>
      <c r="F3211" s="7">
        <v>48</v>
      </c>
      <c r="G3211" s="7">
        <v>2688.0825</v>
      </c>
      <c r="H3211" s="7">
        <v>0.04</v>
      </c>
      <c r="I3211" s="9" t="s">
        <v>22</v>
      </c>
      <c r="J3211" s="10">
        <v>844.82100000000003</v>
      </c>
      <c r="K3211" s="11">
        <v>65.989999999999995</v>
      </c>
      <c r="L3211" s="11">
        <v>2.5</v>
      </c>
      <c r="M3211" s="9" t="s">
        <v>1358</v>
      </c>
      <c r="N3211" s="6" t="s">
        <v>1595</v>
      </c>
      <c r="O3211" s="6" t="s">
        <v>1595</v>
      </c>
      <c r="P3211" s="9" t="s">
        <v>60</v>
      </c>
      <c r="Q3211" s="9" t="s">
        <v>42</v>
      </c>
      <c r="R3211" s="9" t="s">
        <v>43</v>
      </c>
      <c r="S3211" s="7" t="s">
        <v>963</v>
      </c>
      <c r="T3211" s="9" t="s">
        <v>39</v>
      </c>
      <c r="U3211" s="7">
        <v>0.56000000000000005</v>
      </c>
      <c r="V3211" s="12">
        <f>C3211+9</f>
        <v>40383</v>
      </c>
      <c r="W3211">
        <f>IF(D3211=' Pivot Tables'!$A$4,1,0)</f>
        <v>0</v>
      </c>
      <c r="X3211">
        <f>IF(AND(LEFT(D3211,4)+1=LEFT(' Pivot Tables'!$A$4,4)+0,RIGHT(LEFT(D3211,7),2)=RIGHT(LEFT(' Pivot Tables'!$A$4,7),2)),1,0)</f>
        <v>0</v>
      </c>
      <c r="Y3211" s="6">
        <f>1/COUNTIF(Таблица1[Order ID],Таблица1[[#This Row],[Order ID]])</f>
        <v>1</v>
      </c>
      <c r="Z3211" s="9">
        <f>1/COUNTIFS(Таблица1[Customer Name],Таблица1[[#This Row],[Customer Name]],Таблица1[Order-Year-Month],Таблица1[[#This Row],[Order-Year-Month]])</f>
        <v>1</v>
      </c>
    </row>
    <row r="3212" spans="1:26" x14ac:dyDescent="0.2">
      <c r="A3212" s="6">
        <v>5843</v>
      </c>
      <c r="B3212" s="7">
        <v>41441</v>
      </c>
      <c r="C3212" s="8">
        <f>DATE(2012,12,31)-343</f>
        <v>40931</v>
      </c>
      <c r="D3212" s="8" t="str">
        <f t="shared" si="61"/>
        <v>2012-01 (январь 2012)</v>
      </c>
      <c r="E3212" s="9" t="s">
        <v>63</v>
      </c>
      <c r="F3212" s="7">
        <v>41</v>
      </c>
      <c r="G3212" s="7">
        <v>221.08</v>
      </c>
      <c r="H3212" s="7">
        <v>0</v>
      </c>
      <c r="I3212" s="9" t="s">
        <v>22</v>
      </c>
      <c r="J3212" s="10">
        <v>-108.20350000000001</v>
      </c>
      <c r="K3212" s="11">
        <v>4.91</v>
      </c>
      <c r="L3212" s="11">
        <v>5.68</v>
      </c>
      <c r="M3212" s="9" t="s">
        <v>1628</v>
      </c>
      <c r="N3212" s="6" t="s">
        <v>1595</v>
      </c>
      <c r="O3212" s="6" t="s">
        <v>1595</v>
      </c>
      <c r="P3212" s="9" t="s">
        <v>41</v>
      </c>
      <c r="Q3212" s="9" t="s">
        <v>26</v>
      </c>
      <c r="R3212" s="9" t="s">
        <v>37</v>
      </c>
      <c r="S3212" s="7" t="s">
        <v>1345</v>
      </c>
      <c r="T3212" s="9" t="s">
        <v>39</v>
      </c>
      <c r="U3212" s="7">
        <v>0.36</v>
      </c>
      <c r="V3212" s="12">
        <f>C3212+1</f>
        <v>40932</v>
      </c>
      <c r="W3212">
        <f>IF(D3212=' Pivot Tables'!$A$4,1,0)</f>
        <v>0</v>
      </c>
      <c r="X3212">
        <f>IF(AND(LEFT(D3212,4)+1=LEFT(' Pivot Tables'!$A$4,4)+0,RIGHT(LEFT(D3212,7),2)=RIGHT(LEFT(' Pivot Tables'!$A$4,7),2)),1,0)</f>
        <v>0</v>
      </c>
      <c r="Y3212" s="6">
        <f>1/COUNTIF(Таблица1[Order ID],Таблица1[[#This Row],[Order ID]])</f>
        <v>1</v>
      </c>
      <c r="Z3212" s="9">
        <f>1/COUNTIFS(Таблица1[Customer Name],Таблица1[[#This Row],[Customer Name]],Таблица1[Order-Year-Month],Таблица1[[#This Row],[Order-Year-Month]])</f>
        <v>1</v>
      </c>
    </row>
    <row r="3213" spans="1:26" x14ac:dyDescent="0.2">
      <c r="A3213" s="6">
        <v>6079</v>
      </c>
      <c r="B3213" s="7">
        <v>43076</v>
      </c>
      <c r="C3213" s="8">
        <f>DATE(2012,12,31)-929</f>
        <v>40345</v>
      </c>
      <c r="D3213" s="8" t="str">
        <f t="shared" si="61"/>
        <v>2010-06 (июнь 2010)</v>
      </c>
      <c r="E3213" s="9" t="s">
        <v>45</v>
      </c>
      <c r="F3213" s="7">
        <v>33</v>
      </c>
      <c r="G3213" s="7">
        <v>3636.37</v>
      </c>
      <c r="H3213" s="7">
        <v>0.06</v>
      </c>
      <c r="I3213" s="9" t="s">
        <v>31</v>
      </c>
      <c r="J3213" s="10">
        <v>-176.91</v>
      </c>
      <c r="K3213" s="11">
        <v>113.98</v>
      </c>
      <c r="L3213" s="11">
        <v>30</v>
      </c>
      <c r="M3213" s="9" t="s">
        <v>1623</v>
      </c>
      <c r="N3213" s="6" t="s">
        <v>1595</v>
      </c>
      <c r="O3213" s="6" t="s">
        <v>1595</v>
      </c>
      <c r="P3213" s="9" t="s">
        <v>60</v>
      </c>
      <c r="Q3213" s="9" t="s">
        <v>49</v>
      </c>
      <c r="R3213" s="9" t="s">
        <v>112</v>
      </c>
      <c r="S3213" s="7" t="s">
        <v>840</v>
      </c>
      <c r="T3213" s="9" t="s">
        <v>36</v>
      </c>
      <c r="U3213" s="7">
        <v>0.69</v>
      </c>
      <c r="V3213" s="12">
        <f>C3213+0</f>
        <v>40345</v>
      </c>
      <c r="W3213">
        <f>IF(D3213=' Pivot Tables'!$A$4,1,0)</f>
        <v>0</v>
      </c>
      <c r="X3213">
        <f>IF(AND(LEFT(D3213,4)+1=LEFT(' Pivot Tables'!$A$4,4)+0,RIGHT(LEFT(D3213,7),2)=RIGHT(LEFT(' Pivot Tables'!$A$4,7),2)),1,0)</f>
        <v>0</v>
      </c>
      <c r="Y3213" s="6">
        <f>1/COUNTIF(Таблица1[Order ID],Таблица1[[#This Row],[Order ID]])</f>
        <v>1</v>
      </c>
      <c r="Z3213" s="9">
        <f>1/COUNTIFS(Таблица1[Customer Name],Таблица1[[#This Row],[Customer Name]],Таблица1[Order-Year-Month],Таблица1[[#This Row],[Order-Year-Month]])</f>
        <v>1</v>
      </c>
    </row>
    <row r="3214" spans="1:26" x14ac:dyDescent="0.2">
      <c r="A3214" s="6">
        <v>6102</v>
      </c>
      <c r="B3214" s="7">
        <v>43233</v>
      </c>
      <c r="C3214" s="8">
        <f>DATE(2012,12,31)-926</f>
        <v>40348</v>
      </c>
      <c r="D3214" s="8" t="str">
        <f t="shared" si="61"/>
        <v>2010-06 (июнь 2010)</v>
      </c>
      <c r="E3214" s="9" t="s">
        <v>78</v>
      </c>
      <c r="F3214" s="7">
        <v>30</v>
      </c>
      <c r="G3214" s="7">
        <v>203.48</v>
      </c>
      <c r="H3214" s="7">
        <v>0.04</v>
      </c>
      <c r="I3214" s="9" t="s">
        <v>56</v>
      </c>
      <c r="J3214" s="10">
        <v>-71.91</v>
      </c>
      <c r="K3214" s="11">
        <v>6.48</v>
      </c>
      <c r="L3214" s="11">
        <v>6.35</v>
      </c>
      <c r="M3214" s="9" t="s">
        <v>1600</v>
      </c>
      <c r="N3214" s="6" t="s">
        <v>1595</v>
      </c>
      <c r="O3214" s="6" t="s">
        <v>1595</v>
      </c>
      <c r="P3214" s="9" t="s">
        <v>60</v>
      </c>
      <c r="Q3214" s="9" t="s">
        <v>26</v>
      </c>
      <c r="R3214" s="9" t="s">
        <v>61</v>
      </c>
      <c r="S3214" s="7" t="s">
        <v>1629</v>
      </c>
      <c r="T3214" s="9" t="s">
        <v>39</v>
      </c>
      <c r="U3214" s="7">
        <v>0.37</v>
      </c>
      <c r="V3214" s="12">
        <f>C3214+2</f>
        <v>40350</v>
      </c>
      <c r="W3214">
        <f>IF(D3214=' Pivot Tables'!$A$4,1,0)</f>
        <v>0</v>
      </c>
      <c r="X3214">
        <f>IF(AND(LEFT(D3214,4)+1=LEFT(' Pivot Tables'!$A$4,4)+0,RIGHT(LEFT(D3214,7),2)=RIGHT(LEFT(' Pivot Tables'!$A$4,7),2)),1,0)</f>
        <v>0</v>
      </c>
      <c r="Y3214" s="6">
        <f>1/COUNTIF(Таблица1[Order ID],Таблица1[[#This Row],[Order ID]])</f>
        <v>1</v>
      </c>
      <c r="Z3214" s="9">
        <f>1/COUNTIFS(Таблица1[Customer Name],Таблица1[[#This Row],[Customer Name]],Таблица1[Order-Year-Month],Таблица1[[#This Row],[Order-Year-Month]])</f>
        <v>1</v>
      </c>
    </row>
    <row r="3215" spans="1:26" x14ac:dyDescent="0.2">
      <c r="A3215" s="6">
        <v>6120</v>
      </c>
      <c r="B3215" s="7">
        <v>43332</v>
      </c>
      <c r="C3215" s="8">
        <f>DATE(2012,12,31)-112</f>
        <v>41162</v>
      </c>
      <c r="D3215" s="8" t="str">
        <f t="shared" si="61"/>
        <v>2012-09 (сентябрь 2012)</v>
      </c>
      <c r="E3215" s="9" t="s">
        <v>30</v>
      </c>
      <c r="F3215" s="7">
        <v>31</v>
      </c>
      <c r="G3215" s="7">
        <v>1750</v>
      </c>
      <c r="H3215" s="7">
        <v>0.03</v>
      </c>
      <c r="I3215" s="9" t="s">
        <v>56</v>
      </c>
      <c r="J3215" s="10">
        <v>559.38</v>
      </c>
      <c r="K3215" s="11">
        <v>55.48</v>
      </c>
      <c r="L3215" s="11">
        <v>14.3</v>
      </c>
      <c r="M3215" s="9" t="s">
        <v>1609</v>
      </c>
      <c r="N3215" s="6" t="s">
        <v>1595</v>
      </c>
      <c r="O3215" s="6" t="s">
        <v>1595</v>
      </c>
      <c r="P3215" s="9" t="s">
        <v>60</v>
      </c>
      <c r="Q3215" s="9" t="s">
        <v>26</v>
      </c>
      <c r="R3215" s="9" t="s">
        <v>61</v>
      </c>
      <c r="S3215" s="7" t="s">
        <v>507</v>
      </c>
      <c r="T3215" s="9" t="s">
        <v>39</v>
      </c>
      <c r="U3215" s="7">
        <v>0.37</v>
      </c>
      <c r="V3215" s="12">
        <f>C3215+0</f>
        <v>41162</v>
      </c>
      <c r="W3215">
        <f>IF(D3215=' Pivot Tables'!$A$4,1,0)</f>
        <v>0</v>
      </c>
      <c r="X3215">
        <f>IF(AND(LEFT(D3215,4)+1=LEFT(' Pivot Tables'!$A$4,4)+0,RIGHT(LEFT(D3215,7),2)=RIGHT(LEFT(' Pivot Tables'!$A$4,7),2)),1,0)</f>
        <v>0</v>
      </c>
      <c r="Y3215" s="6">
        <f>1/COUNTIF(Таблица1[Order ID],Таблица1[[#This Row],[Order ID]])</f>
        <v>1</v>
      </c>
      <c r="Z3215" s="9">
        <f>1/COUNTIFS(Таблица1[Customer Name],Таблица1[[#This Row],[Customer Name]],Таблица1[Order-Year-Month],Таблица1[[#This Row],[Order-Year-Month]])</f>
        <v>1</v>
      </c>
    </row>
    <row r="3216" spans="1:26" x14ac:dyDescent="0.2">
      <c r="A3216" s="6">
        <v>6122</v>
      </c>
      <c r="B3216" s="7">
        <v>43362</v>
      </c>
      <c r="C3216" s="8">
        <f>DATE(2012,12,31)-1449</f>
        <v>39825</v>
      </c>
      <c r="D3216" s="8" t="str">
        <f t="shared" si="61"/>
        <v>2009-01 (январь 2009)</v>
      </c>
      <c r="E3216" s="9" t="s">
        <v>78</v>
      </c>
      <c r="F3216" s="7">
        <v>45</v>
      </c>
      <c r="G3216" s="7">
        <v>15963.09</v>
      </c>
      <c r="H3216" s="7">
        <v>0.03</v>
      </c>
      <c r="I3216" s="9" t="s">
        <v>31</v>
      </c>
      <c r="J3216" s="10">
        <v>4276.7299999999996</v>
      </c>
      <c r="K3216" s="11">
        <v>350.98</v>
      </c>
      <c r="L3216" s="11">
        <v>30</v>
      </c>
      <c r="M3216" s="9" t="s">
        <v>287</v>
      </c>
      <c r="N3216" s="6" t="s">
        <v>1595</v>
      </c>
      <c r="O3216" s="6" t="s">
        <v>1595</v>
      </c>
      <c r="P3216" s="9" t="s">
        <v>33</v>
      </c>
      <c r="Q3216" s="9" t="s">
        <v>49</v>
      </c>
      <c r="R3216" s="9" t="s">
        <v>112</v>
      </c>
      <c r="S3216" s="7" t="s">
        <v>1397</v>
      </c>
      <c r="T3216" s="9" t="s">
        <v>36</v>
      </c>
      <c r="U3216" s="7">
        <v>0.61</v>
      </c>
      <c r="V3216" s="12">
        <f>C3216+3</f>
        <v>39828</v>
      </c>
      <c r="W3216">
        <f>IF(D3216=' Pivot Tables'!$A$4,1,0)</f>
        <v>0</v>
      </c>
      <c r="X3216">
        <f>IF(AND(LEFT(D3216,4)+1=LEFT(' Pivot Tables'!$A$4,4)+0,RIGHT(LEFT(D3216,7),2)=RIGHT(LEFT(' Pivot Tables'!$A$4,7),2)),1,0)</f>
        <v>1</v>
      </c>
      <c r="Y3216" s="6">
        <f>1/COUNTIF(Таблица1[Order ID],Таблица1[[#This Row],[Order ID]])</f>
        <v>0.5</v>
      </c>
      <c r="Z3216" s="9">
        <f>1/COUNTIFS(Таблица1[Customer Name],Таблица1[[#This Row],[Customer Name]],Таблица1[Order-Year-Month],Таблица1[[#This Row],[Order-Year-Month]])</f>
        <v>0.33333333333333331</v>
      </c>
    </row>
    <row r="3217" spans="1:26" x14ac:dyDescent="0.2">
      <c r="A3217" s="6">
        <v>6123</v>
      </c>
      <c r="B3217" s="7">
        <v>43362</v>
      </c>
      <c r="C3217" s="8">
        <f>DATE(2012,12,31)-1449</f>
        <v>39825</v>
      </c>
      <c r="D3217" s="8" t="str">
        <f t="shared" si="61"/>
        <v>2009-01 (январь 2009)</v>
      </c>
      <c r="E3217" s="9" t="s">
        <v>78</v>
      </c>
      <c r="F3217" s="7">
        <v>33</v>
      </c>
      <c r="G3217" s="7">
        <v>58.48</v>
      </c>
      <c r="H3217" s="7">
        <v>0.04</v>
      </c>
      <c r="I3217" s="9" t="s">
        <v>22</v>
      </c>
      <c r="J3217" s="10">
        <v>2.72</v>
      </c>
      <c r="K3217" s="11">
        <v>1.68</v>
      </c>
      <c r="L3217" s="11">
        <v>1</v>
      </c>
      <c r="M3217" s="9" t="s">
        <v>287</v>
      </c>
      <c r="N3217" s="6" t="s">
        <v>1595</v>
      </c>
      <c r="O3217" s="6" t="s">
        <v>1595</v>
      </c>
      <c r="P3217" s="9" t="s">
        <v>33</v>
      </c>
      <c r="Q3217" s="9" t="s">
        <v>26</v>
      </c>
      <c r="R3217" s="9" t="s">
        <v>95</v>
      </c>
      <c r="S3217" s="7" t="s">
        <v>1468</v>
      </c>
      <c r="T3217" s="9" t="s">
        <v>68</v>
      </c>
      <c r="U3217" s="7">
        <v>0.35</v>
      </c>
      <c r="V3217" s="12">
        <f>C3217+2</f>
        <v>39827</v>
      </c>
      <c r="W3217">
        <f>IF(D3217=' Pivot Tables'!$A$4,1,0)</f>
        <v>0</v>
      </c>
      <c r="X3217">
        <f>IF(AND(LEFT(D3217,4)+1=LEFT(' Pivot Tables'!$A$4,4)+0,RIGHT(LEFT(D3217,7),2)=RIGHT(LEFT(' Pivot Tables'!$A$4,7),2)),1,0)</f>
        <v>1</v>
      </c>
      <c r="Y3217" s="6">
        <f>1/COUNTIF(Таблица1[Order ID],Таблица1[[#This Row],[Order ID]])</f>
        <v>0.5</v>
      </c>
      <c r="Z3217" s="9">
        <f>1/COUNTIFS(Таблица1[Customer Name],Таблица1[[#This Row],[Customer Name]],Таблица1[Order-Year-Month],Таблица1[[#This Row],[Order-Year-Month]])</f>
        <v>0.33333333333333331</v>
      </c>
    </row>
    <row r="3218" spans="1:26" x14ac:dyDescent="0.2">
      <c r="A3218" s="6">
        <v>6138</v>
      </c>
      <c r="B3218" s="7">
        <v>43488</v>
      </c>
      <c r="C3218" s="8">
        <f>DATE(2012,12,31)-196</f>
        <v>41078</v>
      </c>
      <c r="D3218" s="8" t="str">
        <f t="shared" si="61"/>
        <v>2012-06 (июнь 2012)</v>
      </c>
      <c r="E3218" s="9" t="s">
        <v>78</v>
      </c>
      <c r="F3218" s="7">
        <v>46</v>
      </c>
      <c r="G3218" s="7">
        <v>2116.1999999999998</v>
      </c>
      <c r="H3218" s="7">
        <v>0.08</v>
      </c>
      <c r="I3218" s="9" t="s">
        <v>22</v>
      </c>
      <c r="J3218" s="10">
        <v>483.67</v>
      </c>
      <c r="K3218" s="11">
        <v>48.92</v>
      </c>
      <c r="L3218" s="11">
        <v>4.5</v>
      </c>
      <c r="M3218" s="9" t="s">
        <v>1358</v>
      </c>
      <c r="N3218" s="6" t="s">
        <v>1595</v>
      </c>
      <c r="O3218" s="6" t="s">
        <v>1595</v>
      </c>
      <c r="P3218" s="9" t="s">
        <v>60</v>
      </c>
      <c r="Q3218" s="9" t="s">
        <v>26</v>
      </c>
      <c r="R3218" s="9" t="s">
        <v>34</v>
      </c>
      <c r="S3218" s="7" t="s">
        <v>775</v>
      </c>
      <c r="T3218" s="9" t="s">
        <v>39</v>
      </c>
      <c r="U3218" s="7">
        <v>0.59</v>
      </c>
      <c r="V3218" s="12">
        <f>C3218+1</f>
        <v>41079</v>
      </c>
      <c r="W3218">
        <f>IF(D3218=' Pivot Tables'!$A$4,1,0)</f>
        <v>0</v>
      </c>
      <c r="X3218">
        <f>IF(AND(LEFT(D3218,4)+1=LEFT(' Pivot Tables'!$A$4,4)+0,RIGHT(LEFT(D3218,7),2)=RIGHT(LEFT(' Pivot Tables'!$A$4,7),2)),1,0)</f>
        <v>0</v>
      </c>
      <c r="Y3218" s="6">
        <f>1/COUNTIF(Таблица1[Order ID],Таблица1[[#This Row],[Order ID]])</f>
        <v>0.2</v>
      </c>
      <c r="Z3218" s="9">
        <f>1/COUNTIFS(Таблица1[Customer Name],Таблица1[[#This Row],[Customer Name]],Таблица1[Order-Year-Month],Таблица1[[#This Row],[Order-Year-Month]])</f>
        <v>0.2</v>
      </c>
    </row>
    <row r="3219" spans="1:26" x14ac:dyDescent="0.2">
      <c r="A3219" s="6">
        <v>6139</v>
      </c>
      <c r="B3219" s="7">
        <v>43488</v>
      </c>
      <c r="C3219" s="8">
        <f>DATE(2012,12,31)-196</f>
        <v>41078</v>
      </c>
      <c r="D3219" s="8" t="str">
        <f t="shared" si="61"/>
        <v>2012-06 (июнь 2012)</v>
      </c>
      <c r="E3219" s="9" t="s">
        <v>78</v>
      </c>
      <c r="F3219" s="7">
        <v>46</v>
      </c>
      <c r="G3219" s="7">
        <v>766.36</v>
      </c>
      <c r="H3219" s="7">
        <v>0</v>
      </c>
      <c r="I3219" s="9" t="s">
        <v>22</v>
      </c>
      <c r="J3219" s="10">
        <v>399.12</v>
      </c>
      <c r="K3219" s="11">
        <v>15.57</v>
      </c>
      <c r="L3219" s="11">
        <v>1.39</v>
      </c>
      <c r="M3219" s="9" t="s">
        <v>1358</v>
      </c>
      <c r="N3219" s="6" t="s">
        <v>1595</v>
      </c>
      <c r="O3219" s="6" t="s">
        <v>1595</v>
      </c>
      <c r="P3219" s="9" t="s">
        <v>60</v>
      </c>
      <c r="Q3219" s="9" t="s">
        <v>26</v>
      </c>
      <c r="R3219" s="9" t="s">
        <v>76</v>
      </c>
      <c r="S3219" s="7" t="s">
        <v>1176</v>
      </c>
      <c r="T3219" s="9" t="s">
        <v>39</v>
      </c>
      <c r="U3219" s="7">
        <v>0.38</v>
      </c>
      <c r="V3219" s="12">
        <f>C3219+1</f>
        <v>41079</v>
      </c>
      <c r="W3219">
        <f>IF(D3219=' Pivot Tables'!$A$4,1,0)</f>
        <v>0</v>
      </c>
      <c r="X3219">
        <f>IF(AND(LEFT(D3219,4)+1=LEFT(' Pivot Tables'!$A$4,4)+0,RIGHT(LEFT(D3219,7),2)=RIGHT(LEFT(' Pivot Tables'!$A$4,7),2)),1,0)</f>
        <v>0</v>
      </c>
      <c r="Y3219" s="6">
        <f>1/COUNTIF(Таблица1[Order ID],Таблица1[[#This Row],[Order ID]])</f>
        <v>0.2</v>
      </c>
      <c r="Z3219" s="9">
        <f>1/COUNTIFS(Таблица1[Customer Name],Таблица1[[#This Row],[Customer Name]],Таблица1[Order-Year-Month],Таблица1[[#This Row],[Order-Year-Month]])</f>
        <v>0.2</v>
      </c>
    </row>
    <row r="3220" spans="1:26" x14ac:dyDescent="0.2">
      <c r="A3220" s="6">
        <v>6140</v>
      </c>
      <c r="B3220" s="7">
        <v>43488</v>
      </c>
      <c r="C3220" s="8">
        <f>DATE(2012,12,31)-196</f>
        <v>41078</v>
      </c>
      <c r="D3220" s="8" t="str">
        <f t="shared" si="61"/>
        <v>2012-06 (июнь 2012)</v>
      </c>
      <c r="E3220" s="9" t="s">
        <v>78</v>
      </c>
      <c r="F3220" s="7">
        <v>28</v>
      </c>
      <c r="G3220" s="7">
        <v>547.32000000000005</v>
      </c>
      <c r="H3220" s="7">
        <v>0.1</v>
      </c>
      <c r="I3220" s="9" t="s">
        <v>22</v>
      </c>
      <c r="J3220" s="10">
        <v>42.39</v>
      </c>
      <c r="K3220" s="11">
        <v>20.239999999999998</v>
      </c>
      <c r="L3220" s="11">
        <v>6.67</v>
      </c>
      <c r="M3220" s="9" t="s">
        <v>1358</v>
      </c>
      <c r="N3220" s="6" t="s">
        <v>1595</v>
      </c>
      <c r="O3220" s="6" t="s">
        <v>1595</v>
      </c>
      <c r="P3220" s="9" t="s">
        <v>60</v>
      </c>
      <c r="Q3220" s="9" t="s">
        <v>49</v>
      </c>
      <c r="R3220" s="9" t="s">
        <v>50</v>
      </c>
      <c r="S3220" s="7" t="s">
        <v>427</v>
      </c>
      <c r="T3220" s="9" t="s">
        <v>52</v>
      </c>
      <c r="U3220" s="7">
        <v>0.49</v>
      </c>
      <c r="V3220" s="12">
        <f>C3220+1</f>
        <v>41079</v>
      </c>
      <c r="W3220">
        <f>IF(D3220=' Pivot Tables'!$A$4,1,0)</f>
        <v>0</v>
      </c>
      <c r="X3220">
        <f>IF(AND(LEFT(D3220,4)+1=LEFT(' Pivot Tables'!$A$4,4)+0,RIGHT(LEFT(D3220,7),2)=RIGHT(LEFT(' Pivot Tables'!$A$4,7),2)),1,0)</f>
        <v>0</v>
      </c>
      <c r="Y3220" s="6">
        <f>1/COUNTIF(Таблица1[Order ID],Таблица1[[#This Row],[Order ID]])</f>
        <v>0.2</v>
      </c>
      <c r="Z3220" s="9">
        <f>1/COUNTIFS(Таблица1[Customer Name],Таблица1[[#This Row],[Customer Name]],Таблица1[Order-Year-Month],Таблица1[[#This Row],[Order-Year-Month]])</f>
        <v>0.2</v>
      </c>
    </row>
    <row r="3221" spans="1:26" x14ac:dyDescent="0.2">
      <c r="A3221" s="6">
        <v>6141</v>
      </c>
      <c r="B3221" s="7">
        <v>43488</v>
      </c>
      <c r="C3221" s="8">
        <f>DATE(2012,12,31)-196</f>
        <v>41078</v>
      </c>
      <c r="D3221" s="8" t="str">
        <f t="shared" si="61"/>
        <v>2012-06 (июнь 2012)</v>
      </c>
      <c r="E3221" s="9" t="s">
        <v>78</v>
      </c>
      <c r="F3221" s="7">
        <v>13</v>
      </c>
      <c r="G3221" s="7">
        <v>192.44</v>
      </c>
      <c r="H3221" s="7">
        <v>0.05</v>
      </c>
      <c r="I3221" s="9" t="s">
        <v>22</v>
      </c>
      <c r="J3221" s="10">
        <v>6.7744999999999997</v>
      </c>
      <c r="K3221" s="11">
        <v>14.48</v>
      </c>
      <c r="L3221" s="11">
        <v>6.46</v>
      </c>
      <c r="M3221" s="9" t="s">
        <v>1358</v>
      </c>
      <c r="N3221" s="6" t="s">
        <v>1595</v>
      </c>
      <c r="O3221" s="6" t="s">
        <v>1595</v>
      </c>
      <c r="P3221" s="9" t="s">
        <v>60</v>
      </c>
      <c r="Q3221" s="9" t="s">
        <v>26</v>
      </c>
      <c r="R3221" s="9" t="s">
        <v>37</v>
      </c>
      <c r="S3221" s="7" t="s">
        <v>816</v>
      </c>
      <c r="T3221" s="9" t="s">
        <v>39</v>
      </c>
      <c r="U3221" s="7">
        <v>0.38</v>
      </c>
      <c r="V3221" s="12">
        <f>C3221+2</f>
        <v>41080</v>
      </c>
      <c r="W3221">
        <f>IF(D3221=' Pivot Tables'!$A$4,1,0)</f>
        <v>0</v>
      </c>
      <c r="X3221">
        <f>IF(AND(LEFT(D3221,4)+1=LEFT(' Pivot Tables'!$A$4,4)+0,RIGHT(LEFT(D3221,7),2)=RIGHT(LEFT(' Pivot Tables'!$A$4,7),2)),1,0)</f>
        <v>0</v>
      </c>
      <c r="Y3221" s="6">
        <f>1/COUNTIF(Таблица1[Order ID],Таблица1[[#This Row],[Order ID]])</f>
        <v>0.2</v>
      </c>
      <c r="Z3221" s="9">
        <f>1/COUNTIFS(Таблица1[Customer Name],Таблица1[[#This Row],[Customer Name]],Таблица1[Order-Year-Month],Таблица1[[#This Row],[Order-Year-Month]])</f>
        <v>0.2</v>
      </c>
    </row>
    <row r="3222" spans="1:26" x14ac:dyDescent="0.2">
      <c r="A3222" s="6">
        <v>6142</v>
      </c>
      <c r="B3222" s="7">
        <v>43488</v>
      </c>
      <c r="C3222" s="8">
        <f>DATE(2012,12,31)-196</f>
        <v>41078</v>
      </c>
      <c r="D3222" s="8" t="str">
        <f t="shared" si="61"/>
        <v>2012-06 (июнь 2012)</v>
      </c>
      <c r="E3222" s="9" t="s">
        <v>78</v>
      </c>
      <c r="F3222" s="7">
        <v>3</v>
      </c>
      <c r="G3222" s="7">
        <v>1294.3499999999999</v>
      </c>
      <c r="H3222" s="7">
        <v>0.06</v>
      </c>
      <c r="I3222" s="9" t="s">
        <v>22</v>
      </c>
      <c r="J3222" s="10">
        <v>-1569.06</v>
      </c>
      <c r="K3222" s="11">
        <v>449.99</v>
      </c>
      <c r="L3222" s="11">
        <v>24.49</v>
      </c>
      <c r="M3222" s="9" t="s">
        <v>1358</v>
      </c>
      <c r="N3222" s="6" t="s">
        <v>1595</v>
      </c>
      <c r="O3222" s="6" t="s">
        <v>1595</v>
      </c>
      <c r="P3222" s="9" t="s">
        <v>60</v>
      </c>
      <c r="Q3222" s="9" t="s">
        <v>42</v>
      </c>
      <c r="R3222" s="9" t="s">
        <v>99</v>
      </c>
      <c r="S3222" s="7" t="s">
        <v>1630</v>
      </c>
      <c r="T3222" s="9" t="s">
        <v>29</v>
      </c>
      <c r="U3222" s="7">
        <v>0.4</v>
      </c>
      <c r="V3222" s="12">
        <f>C3222+2</f>
        <v>41080</v>
      </c>
      <c r="W3222">
        <f>IF(D3222=' Pivot Tables'!$A$4,1,0)</f>
        <v>0</v>
      </c>
      <c r="X3222">
        <f>IF(AND(LEFT(D3222,4)+1=LEFT(' Pivot Tables'!$A$4,4)+0,RIGHT(LEFT(D3222,7),2)=RIGHT(LEFT(' Pivot Tables'!$A$4,7),2)),1,0)</f>
        <v>0</v>
      </c>
      <c r="Y3222" s="6">
        <f>1/COUNTIF(Таблица1[Order ID],Таблица1[[#This Row],[Order ID]])</f>
        <v>0.2</v>
      </c>
      <c r="Z3222" s="9">
        <f>1/COUNTIFS(Таблица1[Customer Name],Таблица1[[#This Row],[Customer Name]],Таблица1[Order-Year-Month],Таблица1[[#This Row],[Order-Year-Month]])</f>
        <v>0.2</v>
      </c>
    </row>
    <row r="3223" spans="1:26" x14ac:dyDescent="0.2">
      <c r="A3223" s="6">
        <v>6148</v>
      </c>
      <c r="B3223" s="7">
        <v>43526</v>
      </c>
      <c r="C3223" s="8">
        <f>DATE(2012,12,31)-950</f>
        <v>40324</v>
      </c>
      <c r="D3223" s="8" t="str">
        <f t="shared" si="61"/>
        <v>2010-05 (май 2010)</v>
      </c>
      <c r="E3223" s="9" t="s">
        <v>30</v>
      </c>
      <c r="F3223" s="7">
        <v>49</v>
      </c>
      <c r="G3223" s="7">
        <v>561.05999999999995</v>
      </c>
      <c r="H3223" s="7">
        <v>7.0000000000000007E-2</v>
      </c>
      <c r="I3223" s="9" t="s">
        <v>22</v>
      </c>
      <c r="J3223" s="10">
        <v>-2.23</v>
      </c>
      <c r="K3223" s="11">
        <v>11.58</v>
      </c>
      <c r="L3223" s="11">
        <v>6.97</v>
      </c>
      <c r="M3223" s="9" t="s">
        <v>1598</v>
      </c>
      <c r="N3223" s="6" t="s">
        <v>1595</v>
      </c>
      <c r="O3223" s="6" t="s">
        <v>1595</v>
      </c>
      <c r="P3223" s="9" t="s">
        <v>33</v>
      </c>
      <c r="Q3223" s="9" t="s">
        <v>26</v>
      </c>
      <c r="R3223" s="9" t="s">
        <v>76</v>
      </c>
      <c r="S3223" s="7" t="s">
        <v>304</v>
      </c>
      <c r="T3223" s="9" t="s">
        <v>39</v>
      </c>
      <c r="U3223" s="7">
        <v>0.35</v>
      </c>
      <c r="V3223" s="12">
        <f>C3223+0</f>
        <v>40324</v>
      </c>
      <c r="W3223">
        <f>IF(D3223=' Pivot Tables'!$A$4,1,0)</f>
        <v>0</v>
      </c>
      <c r="X3223">
        <f>IF(AND(LEFT(D3223,4)+1=LEFT(' Pivot Tables'!$A$4,4)+0,RIGHT(LEFT(D3223,7),2)=RIGHT(LEFT(' Pivot Tables'!$A$4,7),2)),1,0)</f>
        <v>0</v>
      </c>
      <c r="Y3223" s="6">
        <f>1/COUNTIF(Таблица1[Order ID],Таблица1[[#This Row],[Order ID]])</f>
        <v>0.5</v>
      </c>
      <c r="Z3223" s="9">
        <f>1/COUNTIFS(Таблица1[Customer Name],Таблица1[[#This Row],[Customer Name]],Таблица1[Order-Year-Month],Таблица1[[#This Row],[Order-Year-Month]])</f>
        <v>0.33333333333333331</v>
      </c>
    </row>
    <row r="3224" spans="1:26" x14ac:dyDescent="0.2">
      <c r="A3224" s="6">
        <v>6149</v>
      </c>
      <c r="B3224" s="7">
        <v>43526</v>
      </c>
      <c r="C3224" s="8">
        <f>DATE(2012,12,31)-950</f>
        <v>40324</v>
      </c>
      <c r="D3224" s="8" t="str">
        <f t="shared" si="61"/>
        <v>2010-05 (май 2010)</v>
      </c>
      <c r="E3224" s="9" t="s">
        <v>30</v>
      </c>
      <c r="F3224" s="7">
        <v>19</v>
      </c>
      <c r="G3224" s="7">
        <v>320.02999999999997</v>
      </c>
      <c r="H3224" s="7">
        <v>0</v>
      </c>
      <c r="I3224" s="9" t="s">
        <v>22</v>
      </c>
      <c r="J3224" s="10">
        <v>-43.22</v>
      </c>
      <c r="K3224" s="11">
        <v>15.31</v>
      </c>
      <c r="L3224" s="11">
        <v>8.7799999999999994</v>
      </c>
      <c r="M3224" s="9" t="s">
        <v>1598</v>
      </c>
      <c r="N3224" s="6" t="s">
        <v>1595</v>
      </c>
      <c r="O3224" s="6" t="s">
        <v>1595</v>
      </c>
      <c r="P3224" s="9" t="s">
        <v>33</v>
      </c>
      <c r="Q3224" s="9" t="s">
        <v>26</v>
      </c>
      <c r="R3224" s="9" t="s">
        <v>27</v>
      </c>
      <c r="S3224" s="7" t="s">
        <v>748</v>
      </c>
      <c r="T3224" s="9" t="s">
        <v>39</v>
      </c>
      <c r="U3224" s="7">
        <v>0.56999999999999995</v>
      </c>
      <c r="V3224" s="12">
        <f>C3224+1</f>
        <v>40325</v>
      </c>
      <c r="W3224">
        <f>IF(D3224=' Pivot Tables'!$A$4,1,0)</f>
        <v>0</v>
      </c>
      <c r="X3224">
        <f>IF(AND(LEFT(D3224,4)+1=LEFT(' Pivot Tables'!$A$4,4)+0,RIGHT(LEFT(D3224,7),2)=RIGHT(LEFT(' Pivot Tables'!$A$4,7),2)),1,0)</f>
        <v>0</v>
      </c>
      <c r="Y3224" s="6">
        <f>1/COUNTIF(Таблица1[Order ID],Таблица1[[#This Row],[Order ID]])</f>
        <v>0.5</v>
      </c>
      <c r="Z3224" s="9">
        <f>1/COUNTIFS(Таблица1[Customer Name],Таблица1[[#This Row],[Customer Name]],Таблица1[Order-Year-Month],Таблица1[[#This Row],[Order-Year-Month]])</f>
        <v>0.33333333333333331</v>
      </c>
    </row>
    <row r="3225" spans="1:26" x14ac:dyDescent="0.2">
      <c r="A3225" s="6">
        <v>6232</v>
      </c>
      <c r="B3225" s="7">
        <v>44134</v>
      </c>
      <c r="C3225" s="8">
        <f>DATE(2012,12,31)-1158</f>
        <v>40116</v>
      </c>
      <c r="D3225" s="8" t="str">
        <f t="shared" si="61"/>
        <v>2009-10 (октябрь 2009)</v>
      </c>
      <c r="E3225" s="9" t="s">
        <v>30</v>
      </c>
      <c r="F3225" s="7">
        <v>35</v>
      </c>
      <c r="G3225" s="7">
        <v>620.02</v>
      </c>
      <c r="H3225" s="7">
        <v>0.05</v>
      </c>
      <c r="I3225" s="9" t="s">
        <v>22</v>
      </c>
      <c r="J3225" s="10">
        <v>50.04</v>
      </c>
      <c r="K3225" s="11">
        <v>17.670000000000002</v>
      </c>
      <c r="L3225" s="11">
        <v>8.99</v>
      </c>
      <c r="M3225" s="9" t="s">
        <v>1631</v>
      </c>
      <c r="N3225" s="6" t="s">
        <v>1595</v>
      </c>
      <c r="O3225" s="6" t="s">
        <v>1595</v>
      </c>
      <c r="P3225" s="9" t="s">
        <v>60</v>
      </c>
      <c r="Q3225" s="9" t="s">
        <v>49</v>
      </c>
      <c r="R3225" s="9" t="s">
        <v>50</v>
      </c>
      <c r="S3225" s="7" t="s">
        <v>763</v>
      </c>
      <c r="T3225" s="9" t="s">
        <v>52</v>
      </c>
      <c r="U3225" s="7">
        <v>0.47</v>
      </c>
      <c r="V3225" s="12">
        <f>C3225+2</f>
        <v>40118</v>
      </c>
      <c r="W3225">
        <f>IF(D3225=' Pivot Tables'!$A$4,1,0)</f>
        <v>0</v>
      </c>
      <c r="X3225">
        <f>IF(AND(LEFT(D3225,4)+1=LEFT(' Pivot Tables'!$A$4,4)+0,RIGHT(LEFT(D3225,7),2)=RIGHT(LEFT(' Pivot Tables'!$A$4,7),2)),1,0)</f>
        <v>0</v>
      </c>
      <c r="Y3225" s="6">
        <f>1/COUNTIF(Таблица1[Order ID],Таблица1[[#This Row],[Order ID]])</f>
        <v>1</v>
      </c>
      <c r="Z3225" s="9">
        <f>1/COUNTIFS(Таблица1[Customer Name],Таблица1[[#This Row],[Customer Name]],Таблица1[Order-Year-Month],Таблица1[[#This Row],[Order-Year-Month]])</f>
        <v>0.5</v>
      </c>
    </row>
    <row r="3226" spans="1:26" x14ac:dyDescent="0.2">
      <c r="A3226" s="6">
        <v>6235</v>
      </c>
      <c r="B3226" s="7">
        <v>44196</v>
      </c>
      <c r="C3226" s="8">
        <f>DATE(2012,12,31)-1227</f>
        <v>40047</v>
      </c>
      <c r="D3226" s="8" t="str">
        <f t="shared" si="61"/>
        <v>2009-08 (август 2009)</v>
      </c>
      <c r="E3226" s="9" t="s">
        <v>45</v>
      </c>
      <c r="F3226" s="7">
        <v>12</v>
      </c>
      <c r="G3226" s="7">
        <v>653.78599999999994</v>
      </c>
      <c r="H3226" s="7">
        <v>0.09</v>
      </c>
      <c r="I3226" s="9" t="s">
        <v>22</v>
      </c>
      <c r="J3226" s="10">
        <v>-83.467999999999989</v>
      </c>
      <c r="K3226" s="11">
        <v>65.989999999999995</v>
      </c>
      <c r="L3226" s="11">
        <v>5.31</v>
      </c>
      <c r="M3226" s="9" t="s">
        <v>1627</v>
      </c>
      <c r="N3226" s="6" t="s">
        <v>1595</v>
      </c>
      <c r="O3226" s="6" t="s">
        <v>1595</v>
      </c>
      <c r="P3226" s="9" t="s">
        <v>41</v>
      </c>
      <c r="Q3226" s="9" t="s">
        <v>42</v>
      </c>
      <c r="R3226" s="9" t="s">
        <v>43</v>
      </c>
      <c r="S3226" s="7" t="s">
        <v>430</v>
      </c>
      <c r="T3226" s="9" t="s">
        <v>39</v>
      </c>
      <c r="U3226" s="7">
        <v>0.56999999999999995</v>
      </c>
      <c r="V3226" s="12">
        <f>C3226+1</f>
        <v>40048</v>
      </c>
      <c r="W3226">
        <f>IF(D3226=' Pivot Tables'!$A$4,1,0)</f>
        <v>0</v>
      </c>
      <c r="X3226">
        <f>IF(AND(LEFT(D3226,4)+1=LEFT(' Pivot Tables'!$A$4,4)+0,RIGHT(LEFT(D3226,7),2)=RIGHT(LEFT(' Pivot Tables'!$A$4,7),2)),1,0)</f>
        <v>0</v>
      </c>
      <c r="Y3226" s="6">
        <f>1/COUNTIF(Таблица1[Order ID],Таблица1[[#This Row],[Order ID]])</f>
        <v>0.5</v>
      </c>
      <c r="Z3226" s="9">
        <f>1/COUNTIFS(Таблица1[Customer Name],Таблица1[[#This Row],[Customer Name]],Таблица1[Order-Year-Month],Таблица1[[#This Row],[Order-Year-Month]])</f>
        <v>0.5</v>
      </c>
    </row>
    <row r="3227" spans="1:26" x14ac:dyDescent="0.2">
      <c r="A3227" s="6">
        <v>6266</v>
      </c>
      <c r="B3227" s="7">
        <v>44358</v>
      </c>
      <c r="C3227" s="8">
        <f>DATE(2012,12,31)-1005</f>
        <v>40269</v>
      </c>
      <c r="D3227" s="8" t="str">
        <f t="shared" si="61"/>
        <v>2010-04 (апрель 2010)</v>
      </c>
      <c r="E3227" s="9" t="s">
        <v>30</v>
      </c>
      <c r="F3227" s="7">
        <v>22</v>
      </c>
      <c r="G3227" s="7">
        <v>5288.89</v>
      </c>
      <c r="H3227" s="7">
        <v>0</v>
      </c>
      <c r="I3227" s="9" t="s">
        <v>31</v>
      </c>
      <c r="J3227" s="10">
        <v>547.03620000000001</v>
      </c>
      <c r="K3227" s="11">
        <v>227.55</v>
      </c>
      <c r="L3227" s="11">
        <v>32.479999999999997</v>
      </c>
      <c r="M3227" s="9" t="s">
        <v>1627</v>
      </c>
      <c r="N3227" s="6" t="s">
        <v>1595</v>
      </c>
      <c r="O3227" s="6" t="s">
        <v>1595</v>
      </c>
      <c r="P3227" s="9" t="s">
        <v>60</v>
      </c>
      <c r="Q3227" s="9" t="s">
        <v>49</v>
      </c>
      <c r="R3227" s="9" t="s">
        <v>83</v>
      </c>
      <c r="S3227" s="7" t="s">
        <v>1632</v>
      </c>
      <c r="T3227" s="9" t="s">
        <v>82</v>
      </c>
      <c r="U3227" s="7">
        <v>0.68</v>
      </c>
      <c r="V3227" s="12">
        <f>C3227+2</f>
        <v>40271</v>
      </c>
      <c r="W3227">
        <f>IF(D3227=' Pivot Tables'!$A$4,1,0)</f>
        <v>0</v>
      </c>
      <c r="X3227">
        <f>IF(AND(LEFT(D3227,4)+1=LEFT(' Pivot Tables'!$A$4,4)+0,RIGHT(LEFT(D3227,7),2)=RIGHT(LEFT(' Pivot Tables'!$A$4,7),2)),1,0)</f>
        <v>0</v>
      </c>
      <c r="Y3227" s="6">
        <f>1/COUNTIF(Таблица1[Order ID],Таблица1[[#This Row],[Order ID]])</f>
        <v>1</v>
      </c>
      <c r="Z3227" s="9">
        <f>1/COUNTIFS(Таблица1[Customer Name],Таблица1[[#This Row],[Customer Name]],Таблица1[Order-Year-Month],Таблица1[[#This Row],[Order-Year-Month]])</f>
        <v>1</v>
      </c>
    </row>
    <row r="3228" spans="1:26" x14ac:dyDescent="0.2">
      <c r="A3228" s="6">
        <v>6284</v>
      </c>
      <c r="B3228" s="7">
        <v>44480</v>
      </c>
      <c r="C3228" s="8">
        <f>DATE(2012,12,31)-964</f>
        <v>40310</v>
      </c>
      <c r="D3228" s="8" t="str">
        <f t="shared" si="61"/>
        <v>2010-05 (май 2010)</v>
      </c>
      <c r="E3228" s="9" t="s">
        <v>63</v>
      </c>
      <c r="F3228" s="7">
        <v>25</v>
      </c>
      <c r="G3228" s="7">
        <v>1321.55</v>
      </c>
      <c r="H3228" s="7">
        <v>0.1</v>
      </c>
      <c r="I3228" s="9" t="s">
        <v>22</v>
      </c>
      <c r="J3228" s="10">
        <v>448.24</v>
      </c>
      <c r="K3228" s="11">
        <v>54.96</v>
      </c>
      <c r="L3228" s="11">
        <v>10.75</v>
      </c>
      <c r="M3228" s="9" t="s">
        <v>1623</v>
      </c>
      <c r="N3228" s="6" t="s">
        <v>1595</v>
      </c>
      <c r="O3228" s="6" t="s">
        <v>1595</v>
      </c>
      <c r="P3228" s="9" t="s">
        <v>60</v>
      </c>
      <c r="Q3228" s="9" t="s">
        <v>26</v>
      </c>
      <c r="R3228" s="9" t="s">
        <v>61</v>
      </c>
      <c r="S3228" s="7" t="s">
        <v>350</v>
      </c>
      <c r="T3228" s="9" t="s">
        <v>39</v>
      </c>
      <c r="U3228" s="7">
        <v>0.36</v>
      </c>
      <c r="V3228" s="12">
        <f>C3228+2</f>
        <v>40312</v>
      </c>
      <c r="W3228">
        <f>IF(D3228=' Pivot Tables'!$A$4,1,0)</f>
        <v>0</v>
      </c>
      <c r="X3228">
        <f>IF(AND(LEFT(D3228,4)+1=LEFT(' Pivot Tables'!$A$4,4)+0,RIGHT(LEFT(D3228,7),2)=RIGHT(LEFT(' Pivot Tables'!$A$4,7),2)),1,0)</f>
        <v>0</v>
      </c>
      <c r="Y3228" s="6">
        <f>1/COUNTIF(Таблица1[Order ID],Таблица1[[#This Row],[Order ID]])</f>
        <v>1</v>
      </c>
      <c r="Z3228" s="9">
        <f>1/COUNTIFS(Таблица1[Customer Name],Таблица1[[#This Row],[Customer Name]],Таблица1[Order-Year-Month],Таблица1[[#This Row],[Order-Year-Month]])</f>
        <v>1</v>
      </c>
    </row>
    <row r="3229" spans="1:26" x14ac:dyDescent="0.2">
      <c r="A3229" s="6">
        <v>6293</v>
      </c>
      <c r="B3229" s="7">
        <v>44546</v>
      </c>
      <c r="C3229" s="8">
        <f>DATE(2012,12,31)-1013</f>
        <v>40261</v>
      </c>
      <c r="D3229" s="8" t="str">
        <f t="shared" si="61"/>
        <v>2010-03 (март 2010)</v>
      </c>
      <c r="E3229" s="9" t="s">
        <v>78</v>
      </c>
      <c r="F3229" s="7">
        <v>15</v>
      </c>
      <c r="G3229" s="7">
        <v>55.2</v>
      </c>
      <c r="H3229" s="7">
        <v>0.05</v>
      </c>
      <c r="I3229" s="9" t="s">
        <v>22</v>
      </c>
      <c r="J3229" s="10">
        <v>4.26</v>
      </c>
      <c r="K3229" s="11">
        <v>3.58</v>
      </c>
      <c r="L3229" s="11">
        <v>1.63</v>
      </c>
      <c r="M3229" s="9" t="s">
        <v>1623</v>
      </c>
      <c r="N3229" s="6" t="s">
        <v>1595</v>
      </c>
      <c r="O3229" s="6" t="s">
        <v>1595</v>
      </c>
      <c r="P3229" s="9" t="s">
        <v>60</v>
      </c>
      <c r="Q3229" s="9" t="s">
        <v>26</v>
      </c>
      <c r="R3229" s="9" t="s">
        <v>66</v>
      </c>
      <c r="S3229" s="7" t="s">
        <v>1075</v>
      </c>
      <c r="T3229" s="9" t="s">
        <v>68</v>
      </c>
      <c r="U3229" s="7">
        <v>0.36</v>
      </c>
      <c r="V3229" s="12">
        <f>C3229+1</f>
        <v>40262</v>
      </c>
      <c r="W3229">
        <f>IF(D3229=' Pivot Tables'!$A$4,1,0)</f>
        <v>0</v>
      </c>
      <c r="X3229">
        <f>IF(AND(LEFT(D3229,4)+1=LEFT(' Pivot Tables'!$A$4,4)+0,RIGHT(LEFT(D3229,7),2)=RIGHT(LEFT(' Pivot Tables'!$A$4,7),2)),1,0)</f>
        <v>0</v>
      </c>
      <c r="Y3229" s="6">
        <f>1/COUNTIF(Таблица1[Order ID],Таблица1[[#This Row],[Order ID]])</f>
        <v>1</v>
      </c>
      <c r="Z3229" s="9">
        <f>1/COUNTIFS(Таблица1[Customer Name],Таблица1[[#This Row],[Customer Name]],Таблица1[Order-Year-Month],Таблица1[[#This Row],[Order-Year-Month]])</f>
        <v>1</v>
      </c>
    </row>
    <row r="3230" spans="1:26" x14ac:dyDescent="0.2">
      <c r="A3230" s="6">
        <v>6311</v>
      </c>
      <c r="B3230" s="7">
        <v>44647</v>
      </c>
      <c r="C3230" s="8">
        <f>DATE(2012,12,31)-342</f>
        <v>40932</v>
      </c>
      <c r="D3230" s="8" t="str">
        <f t="shared" si="61"/>
        <v>2012-01 (январь 2012)</v>
      </c>
      <c r="E3230" s="9" t="s">
        <v>21</v>
      </c>
      <c r="F3230" s="7">
        <v>47</v>
      </c>
      <c r="G3230" s="7">
        <v>23239.96</v>
      </c>
      <c r="H3230" s="7">
        <v>0.06</v>
      </c>
      <c r="I3230" s="9" t="s">
        <v>31</v>
      </c>
      <c r="J3230" s="10">
        <v>6888.36</v>
      </c>
      <c r="K3230" s="11">
        <v>500.98</v>
      </c>
      <c r="L3230" s="11">
        <v>26</v>
      </c>
      <c r="M3230" s="9" t="s">
        <v>1613</v>
      </c>
      <c r="N3230" s="6" t="s">
        <v>1595</v>
      </c>
      <c r="O3230" s="6" t="s">
        <v>1595</v>
      </c>
      <c r="P3230" s="9" t="s">
        <v>41</v>
      </c>
      <c r="Q3230" s="9" t="s">
        <v>49</v>
      </c>
      <c r="R3230" s="9" t="s">
        <v>112</v>
      </c>
      <c r="S3230" s="7" t="s">
        <v>119</v>
      </c>
      <c r="T3230" s="9" t="s">
        <v>36</v>
      </c>
      <c r="U3230" s="7">
        <v>0.6</v>
      </c>
      <c r="V3230" s="12">
        <f>C3230+0</f>
        <v>40932</v>
      </c>
      <c r="W3230">
        <f>IF(D3230=' Pivot Tables'!$A$4,1,0)</f>
        <v>0</v>
      </c>
      <c r="X3230">
        <f>IF(AND(LEFT(D3230,4)+1=LEFT(' Pivot Tables'!$A$4,4)+0,RIGHT(LEFT(D3230,7),2)=RIGHT(LEFT(' Pivot Tables'!$A$4,7),2)),1,0)</f>
        <v>0</v>
      </c>
      <c r="Y3230" s="6">
        <f>1/COUNTIF(Таблица1[Order ID],Таблица1[[#This Row],[Order ID]])</f>
        <v>0.5</v>
      </c>
      <c r="Z3230" s="9">
        <f>1/COUNTIFS(Таблица1[Customer Name],Таблица1[[#This Row],[Customer Name]],Таблица1[Order-Year-Month],Таблица1[[#This Row],[Order-Year-Month]])</f>
        <v>0.5</v>
      </c>
    </row>
    <row r="3231" spans="1:26" x14ac:dyDescent="0.2">
      <c r="A3231" s="6">
        <v>6312</v>
      </c>
      <c r="B3231" s="7">
        <v>44647</v>
      </c>
      <c r="C3231" s="8">
        <f>DATE(2012,12,31)-342</f>
        <v>40932</v>
      </c>
      <c r="D3231" s="8" t="str">
        <f t="shared" si="61"/>
        <v>2012-01 (январь 2012)</v>
      </c>
      <c r="E3231" s="9" t="s">
        <v>21</v>
      </c>
      <c r="F3231" s="7">
        <v>24</v>
      </c>
      <c r="G3231" s="7">
        <v>302.91000000000003</v>
      </c>
      <c r="H3231" s="7">
        <v>0.05</v>
      </c>
      <c r="I3231" s="9" t="s">
        <v>22</v>
      </c>
      <c r="J3231" s="10">
        <v>-36.76</v>
      </c>
      <c r="K3231" s="11">
        <v>12.28</v>
      </c>
      <c r="L3231" s="11">
        <v>6.13</v>
      </c>
      <c r="M3231" s="9" t="s">
        <v>1613</v>
      </c>
      <c r="N3231" s="6" t="s">
        <v>1595</v>
      </c>
      <c r="O3231" s="6" t="s">
        <v>1595</v>
      </c>
      <c r="P3231" s="9" t="s">
        <v>41</v>
      </c>
      <c r="Q3231" s="9" t="s">
        <v>26</v>
      </c>
      <c r="R3231" s="9" t="s">
        <v>27</v>
      </c>
      <c r="S3231" s="7" t="s">
        <v>275</v>
      </c>
      <c r="T3231" s="9" t="s">
        <v>39</v>
      </c>
      <c r="U3231" s="7">
        <v>0.56999999999999995</v>
      </c>
      <c r="V3231" s="12">
        <f>C3231+4</f>
        <v>40936</v>
      </c>
      <c r="W3231">
        <f>IF(D3231=' Pivot Tables'!$A$4,1,0)</f>
        <v>0</v>
      </c>
      <c r="X3231">
        <f>IF(AND(LEFT(D3231,4)+1=LEFT(' Pivot Tables'!$A$4,4)+0,RIGHT(LEFT(D3231,7),2)=RIGHT(LEFT(' Pivot Tables'!$A$4,7),2)),1,0)</f>
        <v>0</v>
      </c>
      <c r="Y3231" s="6">
        <f>1/COUNTIF(Таблица1[Order ID],Таблица1[[#This Row],[Order ID]])</f>
        <v>0.5</v>
      </c>
      <c r="Z3231" s="9">
        <f>1/COUNTIFS(Таблица1[Customer Name],Таблица1[[#This Row],[Customer Name]],Таблица1[Order-Year-Month],Таблица1[[#This Row],[Order-Year-Month]])</f>
        <v>0.5</v>
      </c>
    </row>
    <row r="3232" spans="1:26" x14ac:dyDescent="0.2">
      <c r="A3232" s="6">
        <v>6385</v>
      </c>
      <c r="B3232" s="7">
        <v>45376</v>
      </c>
      <c r="C3232" s="8">
        <f>DATE(2012,12,31)-395</f>
        <v>40879</v>
      </c>
      <c r="D3232" s="8" t="str">
        <f t="shared" si="61"/>
        <v>2011-12 (декабрь 2011)</v>
      </c>
      <c r="E3232" s="9" t="s">
        <v>78</v>
      </c>
      <c r="F3232" s="7">
        <v>19</v>
      </c>
      <c r="G3232" s="7">
        <v>6648.58</v>
      </c>
      <c r="H3232" s="7">
        <v>0.08</v>
      </c>
      <c r="I3232" s="9" t="s">
        <v>31</v>
      </c>
      <c r="J3232" s="10">
        <v>-555.98</v>
      </c>
      <c r="K3232" s="11">
        <v>370.98</v>
      </c>
      <c r="L3232" s="11">
        <v>99</v>
      </c>
      <c r="M3232" s="9" t="s">
        <v>1602</v>
      </c>
      <c r="N3232" s="6" t="s">
        <v>1595</v>
      </c>
      <c r="O3232" s="6" t="s">
        <v>1595</v>
      </c>
      <c r="P3232" s="9" t="s">
        <v>33</v>
      </c>
      <c r="Q3232" s="9" t="s">
        <v>26</v>
      </c>
      <c r="R3232" s="9" t="s">
        <v>27</v>
      </c>
      <c r="S3232" s="7" t="s">
        <v>342</v>
      </c>
      <c r="T3232" s="9" t="s">
        <v>36</v>
      </c>
      <c r="U3232" s="7">
        <v>0.65</v>
      </c>
      <c r="V3232" s="12">
        <f>C3232+1</f>
        <v>40880</v>
      </c>
      <c r="W3232">
        <f>IF(D3232=' Pivot Tables'!$A$4,1,0)</f>
        <v>0</v>
      </c>
      <c r="X3232">
        <f>IF(AND(LEFT(D3232,4)+1=LEFT(' Pivot Tables'!$A$4,4)+0,RIGHT(LEFT(D3232,7),2)=RIGHT(LEFT(' Pivot Tables'!$A$4,7),2)),1,0)</f>
        <v>0</v>
      </c>
      <c r="Y3232" s="6">
        <f>1/COUNTIF(Таблица1[Order ID],Таблица1[[#This Row],[Order ID]])</f>
        <v>1</v>
      </c>
      <c r="Z3232" s="9">
        <f>1/COUNTIFS(Таблица1[Customer Name],Таблица1[[#This Row],[Customer Name]],Таблица1[Order-Year-Month],Таблица1[[#This Row],[Order-Year-Month]])</f>
        <v>1</v>
      </c>
    </row>
    <row r="3233" spans="1:26" x14ac:dyDescent="0.2">
      <c r="A3233" s="6">
        <v>6477</v>
      </c>
      <c r="B3233" s="7">
        <v>46115</v>
      </c>
      <c r="C3233" s="8">
        <f>DATE(2012,12,31)-670</f>
        <v>40604</v>
      </c>
      <c r="D3233" s="8" t="str">
        <f t="shared" si="61"/>
        <v>2011-03 (март 2011)</v>
      </c>
      <c r="E3233" s="9" t="s">
        <v>78</v>
      </c>
      <c r="F3233" s="7">
        <v>35</v>
      </c>
      <c r="G3233" s="7">
        <v>677.43</v>
      </c>
      <c r="H3233" s="7">
        <v>0.1</v>
      </c>
      <c r="I3233" s="9" t="s">
        <v>22</v>
      </c>
      <c r="J3233" s="10">
        <v>-37.99</v>
      </c>
      <c r="K3233" s="11">
        <v>19.98</v>
      </c>
      <c r="L3233" s="11">
        <v>4</v>
      </c>
      <c r="M3233" s="9" t="s">
        <v>1628</v>
      </c>
      <c r="N3233" s="6" t="s">
        <v>1595</v>
      </c>
      <c r="O3233" s="6" t="s">
        <v>1595</v>
      </c>
      <c r="P3233" s="9" t="s">
        <v>25</v>
      </c>
      <c r="Q3233" s="9" t="s">
        <v>42</v>
      </c>
      <c r="R3233" s="9" t="s">
        <v>70</v>
      </c>
      <c r="S3233" s="7" t="s">
        <v>655</v>
      </c>
      <c r="T3233" s="9" t="s">
        <v>39</v>
      </c>
      <c r="U3233" s="7">
        <v>0.68</v>
      </c>
      <c r="V3233" s="12">
        <f>C3233+2</f>
        <v>40606</v>
      </c>
      <c r="W3233">
        <f>IF(D3233=' Pivot Tables'!$A$4,1,0)</f>
        <v>0</v>
      </c>
      <c r="X3233">
        <f>IF(AND(LEFT(D3233,4)+1=LEFT(' Pivot Tables'!$A$4,4)+0,RIGHT(LEFT(D3233,7),2)=RIGHT(LEFT(' Pivot Tables'!$A$4,7),2)),1,0)</f>
        <v>0</v>
      </c>
      <c r="Y3233" s="6">
        <f>1/COUNTIF(Таблица1[Order ID],Таблица1[[#This Row],[Order ID]])</f>
        <v>0.5</v>
      </c>
      <c r="Z3233" s="9">
        <f>1/COUNTIFS(Таблица1[Customer Name],Таблица1[[#This Row],[Customer Name]],Таблица1[Order-Year-Month],Таблица1[[#This Row],[Order-Year-Month]])</f>
        <v>0.5</v>
      </c>
    </row>
    <row r="3234" spans="1:26" x14ac:dyDescent="0.2">
      <c r="A3234" s="6">
        <v>6478</v>
      </c>
      <c r="B3234" s="7">
        <v>46115</v>
      </c>
      <c r="C3234" s="8">
        <f>DATE(2012,12,31)-670</f>
        <v>40604</v>
      </c>
      <c r="D3234" s="8" t="str">
        <f t="shared" si="61"/>
        <v>2011-03 (март 2011)</v>
      </c>
      <c r="E3234" s="9" t="s">
        <v>78</v>
      </c>
      <c r="F3234" s="7">
        <v>38</v>
      </c>
      <c r="G3234" s="7">
        <v>491.78</v>
      </c>
      <c r="H3234" s="7">
        <v>0</v>
      </c>
      <c r="I3234" s="9" t="s">
        <v>22</v>
      </c>
      <c r="J3234" s="10">
        <v>44.04</v>
      </c>
      <c r="K3234" s="11">
        <v>12.28</v>
      </c>
      <c r="L3234" s="11">
        <v>6.47</v>
      </c>
      <c r="M3234" s="9" t="s">
        <v>1628</v>
      </c>
      <c r="N3234" s="6" t="s">
        <v>1595</v>
      </c>
      <c r="O3234" s="6" t="s">
        <v>1595</v>
      </c>
      <c r="P3234" s="9" t="s">
        <v>25</v>
      </c>
      <c r="Q3234" s="9" t="s">
        <v>26</v>
      </c>
      <c r="R3234" s="9" t="s">
        <v>61</v>
      </c>
      <c r="S3234" s="7" t="s">
        <v>131</v>
      </c>
      <c r="T3234" s="9" t="s">
        <v>39</v>
      </c>
      <c r="U3234" s="7">
        <v>0.38</v>
      </c>
      <c r="V3234" s="12">
        <f>C3234+0</f>
        <v>40604</v>
      </c>
      <c r="W3234">
        <f>IF(D3234=' Pivot Tables'!$A$4,1,0)</f>
        <v>0</v>
      </c>
      <c r="X3234">
        <f>IF(AND(LEFT(D3234,4)+1=LEFT(' Pivot Tables'!$A$4,4)+0,RIGHT(LEFT(D3234,7),2)=RIGHT(LEFT(' Pivot Tables'!$A$4,7),2)),1,0)</f>
        <v>0</v>
      </c>
      <c r="Y3234" s="6">
        <f>1/COUNTIF(Таблица1[Order ID],Таблица1[[#This Row],[Order ID]])</f>
        <v>0.5</v>
      </c>
      <c r="Z3234" s="9">
        <f>1/COUNTIFS(Таблица1[Customer Name],Таблица1[[#This Row],[Customer Name]],Таблица1[Order-Year-Month],Таблица1[[#This Row],[Order-Year-Month]])</f>
        <v>0.5</v>
      </c>
    </row>
    <row r="3235" spans="1:26" x14ac:dyDescent="0.2">
      <c r="A3235" s="6">
        <v>6625</v>
      </c>
      <c r="B3235" s="7">
        <v>47109</v>
      </c>
      <c r="C3235" s="8">
        <f>DATE(2012,12,31)-477</f>
        <v>40797</v>
      </c>
      <c r="D3235" s="8" t="str">
        <f t="shared" si="61"/>
        <v>2011-09 (сентябрь 2011)</v>
      </c>
      <c r="E3235" s="9" t="s">
        <v>30</v>
      </c>
      <c r="F3235" s="7">
        <v>47</v>
      </c>
      <c r="G3235" s="7">
        <v>6131.54</v>
      </c>
      <c r="H3235" s="7">
        <v>0.06</v>
      </c>
      <c r="I3235" s="9" t="s">
        <v>22</v>
      </c>
      <c r="J3235" s="10">
        <v>1844.96</v>
      </c>
      <c r="K3235" s="11">
        <v>128.24</v>
      </c>
      <c r="L3235" s="11">
        <v>12.65</v>
      </c>
      <c r="M3235" s="9" t="s">
        <v>1628</v>
      </c>
      <c r="N3235" s="6" t="s">
        <v>1595</v>
      </c>
      <c r="O3235" s="6" t="s">
        <v>1595</v>
      </c>
      <c r="P3235" s="9" t="s">
        <v>25</v>
      </c>
      <c r="Q3235" s="9" t="s">
        <v>49</v>
      </c>
      <c r="R3235" s="9" t="s">
        <v>112</v>
      </c>
      <c r="S3235" s="7" t="s">
        <v>545</v>
      </c>
      <c r="T3235" s="9" t="s">
        <v>48</v>
      </c>
      <c r="U3235" s="7"/>
      <c r="V3235" s="12">
        <f>C3235+2</f>
        <v>40799</v>
      </c>
      <c r="W3235">
        <f>IF(D3235=' Pivot Tables'!$A$4,1,0)</f>
        <v>0</v>
      </c>
      <c r="X3235">
        <f>IF(AND(LEFT(D3235,4)+1=LEFT(' Pivot Tables'!$A$4,4)+0,RIGHT(LEFT(D3235,7),2)=RIGHT(LEFT(' Pivot Tables'!$A$4,7),2)),1,0)</f>
        <v>0</v>
      </c>
      <c r="Y3235" s="6">
        <f>1/COUNTIF(Таблица1[Order ID],Таблица1[[#This Row],[Order ID]])</f>
        <v>1</v>
      </c>
      <c r="Z3235" s="9">
        <f>1/COUNTIFS(Таблица1[Customer Name],Таблица1[[#This Row],[Customer Name]],Таблица1[Order-Year-Month],Таблица1[[#This Row],[Order-Year-Month]])</f>
        <v>1</v>
      </c>
    </row>
    <row r="3236" spans="1:26" x14ac:dyDescent="0.2">
      <c r="A3236" s="6">
        <v>6687</v>
      </c>
      <c r="B3236" s="7">
        <v>47556</v>
      </c>
      <c r="C3236" s="8">
        <f>DATE(2012,12,31)-890</f>
        <v>40384</v>
      </c>
      <c r="D3236" s="8" t="str">
        <f t="shared" si="61"/>
        <v>2010-07 (июль 2010)</v>
      </c>
      <c r="E3236" s="9" t="s">
        <v>21</v>
      </c>
      <c r="F3236" s="7">
        <v>29</v>
      </c>
      <c r="G3236" s="7">
        <v>475.58</v>
      </c>
      <c r="H3236" s="7">
        <v>0.04</v>
      </c>
      <c r="I3236" s="9" t="s">
        <v>22</v>
      </c>
      <c r="J3236" s="10">
        <v>108.21</v>
      </c>
      <c r="K3236" s="11">
        <v>15.98</v>
      </c>
      <c r="L3236" s="11">
        <v>4</v>
      </c>
      <c r="M3236" s="9" t="s">
        <v>1623</v>
      </c>
      <c r="N3236" s="6" t="s">
        <v>1595</v>
      </c>
      <c r="O3236" s="6" t="s">
        <v>1595</v>
      </c>
      <c r="P3236" s="9" t="s">
        <v>60</v>
      </c>
      <c r="Q3236" s="9" t="s">
        <v>42</v>
      </c>
      <c r="R3236" s="9" t="s">
        <v>70</v>
      </c>
      <c r="S3236" s="7" t="s">
        <v>536</v>
      </c>
      <c r="T3236" s="9" t="s">
        <v>39</v>
      </c>
      <c r="U3236" s="7">
        <v>0.37</v>
      </c>
      <c r="V3236" s="12">
        <f>C3236+2</f>
        <v>40386</v>
      </c>
      <c r="W3236">
        <f>IF(D3236=' Pivot Tables'!$A$4,1,0)</f>
        <v>0</v>
      </c>
      <c r="X3236">
        <f>IF(AND(LEFT(D3236,4)+1=LEFT(' Pivot Tables'!$A$4,4)+0,RIGHT(LEFT(D3236,7),2)=RIGHT(LEFT(' Pivot Tables'!$A$4,7),2)),1,0)</f>
        <v>0</v>
      </c>
      <c r="Y3236" s="6">
        <f>1/COUNTIF(Таблица1[Order ID],Таблица1[[#This Row],[Order ID]])</f>
        <v>1</v>
      </c>
      <c r="Z3236" s="9">
        <f>1/COUNTIFS(Таблица1[Customer Name],Таблица1[[#This Row],[Customer Name]],Таблица1[Order-Year-Month],Таблица1[[#This Row],[Order-Year-Month]])</f>
        <v>1</v>
      </c>
    </row>
    <row r="3237" spans="1:26" x14ac:dyDescent="0.2">
      <c r="A3237" s="6">
        <v>6698</v>
      </c>
      <c r="B3237" s="7">
        <v>47712</v>
      </c>
      <c r="C3237" s="8">
        <f>DATE(2012,12,31)-902</f>
        <v>40372</v>
      </c>
      <c r="D3237" s="8" t="str">
        <f t="shared" si="61"/>
        <v>2010-07 (июль 2010)</v>
      </c>
      <c r="E3237" s="9" t="s">
        <v>21</v>
      </c>
      <c r="F3237" s="7">
        <v>50</v>
      </c>
      <c r="G3237" s="7">
        <v>274.04000000000002</v>
      </c>
      <c r="H3237" s="7">
        <v>0.1</v>
      </c>
      <c r="I3237" s="9" t="s">
        <v>56</v>
      </c>
      <c r="J3237" s="10">
        <v>-243.869</v>
      </c>
      <c r="K3237" s="11">
        <v>5.38</v>
      </c>
      <c r="L3237" s="11">
        <v>7.57</v>
      </c>
      <c r="M3237" s="9" t="s">
        <v>1631</v>
      </c>
      <c r="N3237" s="6" t="s">
        <v>1595</v>
      </c>
      <c r="O3237" s="6" t="s">
        <v>1595</v>
      </c>
      <c r="P3237" s="9" t="s">
        <v>60</v>
      </c>
      <c r="Q3237" s="9" t="s">
        <v>26</v>
      </c>
      <c r="R3237" s="9" t="s">
        <v>37</v>
      </c>
      <c r="S3237" s="7" t="s">
        <v>1633</v>
      </c>
      <c r="T3237" s="9" t="s">
        <v>39</v>
      </c>
      <c r="U3237" s="7">
        <v>0.36</v>
      </c>
      <c r="V3237" s="12">
        <f>C3237+5</f>
        <v>40377</v>
      </c>
      <c r="W3237">
        <f>IF(D3237=' Pivot Tables'!$A$4,1,0)</f>
        <v>0</v>
      </c>
      <c r="X3237">
        <f>IF(AND(LEFT(D3237,4)+1=LEFT(' Pivot Tables'!$A$4,4)+0,RIGHT(LEFT(D3237,7),2)=RIGHT(LEFT(' Pivot Tables'!$A$4,7),2)),1,0)</f>
        <v>0</v>
      </c>
      <c r="Y3237" s="6">
        <f>1/COUNTIF(Таблица1[Order ID],Таблица1[[#This Row],[Order ID]])</f>
        <v>1</v>
      </c>
      <c r="Z3237" s="9">
        <f>1/COUNTIFS(Таблица1[Customer Name],Таблица1[[#This Row],[Customer Name]],Таблица1[Order-Year-Month],Таблица1[[#This Row],[Order-Year-Month]])</f>
        <v>1</v>
      </c>
    </row>
    <row r="3238" spans="1:26" x14ac:dyDescent="0.2">
      <c r="A3238" s="6">
        <v>6756</v>
      </c>
      <c r="B3238" s="7">
        <v>48135</v>
      </c>
      <c r="C3238" s="8">
        <f>DATE(2012,12,31)-1352</f>
        <v>39922</v>
      </c>
      <c r="D3238" s="8" t="str">
        <f t="shared" si="61"/>
        <v>2009-04 (апрель 2009)</v>
      </c>
      <c r="E3238" s="9" t="s">
        <v>30</v>
      </c>
      <c r="F3238" s="7">
        <v>20</v>
      </c>
      <c r="G3238" s="7">
        <v>3960.99</v>
      </c>
      <c r="H3238" s="7">
        <v>0.09</v>
      </c>
      <c r="I3238" s="9" t="s">
        <v>56</v>
      </c>
      <c r="J3238" s="10">
        <v>631.33000000000004</v>
      </c>
      <c r="K3238" s="11">
        <v>199.99</v>
      </c>
      <c r="L3238" s="11">
        <v>24.49</v>
      </c>
      <c r="M3238" s="9" t="s">
        <v>1396</v>
      </c>
      <c r="N3238" s="6" t="s">
        <v>1595</v>
      </c>
      <c r="O3238" s="6" t="s">
        <v>1595</v>
      </c>
      <c r="P3238" s="9" t="s">
        <v>60</v>
      </c>
      <c r="Q3238" s="9" t="s">
        <v>42</v>
      </c>
      <c r="R3238" s="9" t="s">
        <v>99</v>
      </c>
      <c r="S3238" s="7" t="s">
        <v>619</v>
      </c>
      <c r="T3238" s="9" t="s">
        <v>29</v>
      </c>
      <c r="U3238" s="7">
        <v>0.46</v>
      </c>
      <c r="V3238" s="12">
        <f>C3238+2</f>
        <v>39924</v>
      </c>
      <c r="W3238">
        <f>IF(D3238=' Pivot Tables'!$A$4,1,0)</f>
        <v>0</v>
      </c>
      <c r="X3238">
        <f>IF(AND(LEFT(D3238,4)+1=LEFT(' Pivot Tables'!$A$4,4)+0,RIGHT(LEFT(D3238,7),2)=RIGHT(LEFT(' Pivot Tables'!$A$4,7),2)),1,0)</f>
        <v>0</v>
      </c>
      <c r="Y3238" s="6">
        <f>1/COUNTIF(Таблица1[Order ID],Таблица1[[#This Row],[Order ID]])</f>
        <v>0.5</v>
      </c>
      <c r="Z3238" s="9">
        <f>1/COUNTIFS(Таблица1[Customer Name],Таблица1[[#This Row],[Customer Name]],Таблица1[Order-Year-Month],Таблица1[[#This Row],[Order-Year-Month]])</f>
        <v>0.5</v>
      </c>
    </row>
    <row r="3239" spans="1:26" x14ac:dyDescent="0.2">
      <c r="A3239" s="6">
        <v>6758</v>
      </c>
      <c r="B3239" s="7">
        <v>48161</v>
      </c>
      <c r="C3239" s="8">
        <f>DATE(2012,12,31)-588</f>
        <v>40686</v>
      </c>
      <c r="D3239" s="8" t="str">
        <f t="shared" si="61"/>
        <v>2011-05 (май 2011)</v>
      </c>
      <c r="E3239" s="9" t="s">
        <v>45</v>
      </c>
      <c r="F3239" s="7">
        <v>16</v>
      </c>
      <c r="G3239" s="7">
        <v>139.69</v>
      </c>
      <c r="H3239" s="7">
        <v>0.01</v>
      </c>
      <c r="I3239" s="9" t="s">
        <v>22</v>
      </c>
      <c r="J3239" s="10">
        <v>-95.64</v>
      </c>
      <c r="K3239" s="11">
        <v>7.77</v>
      </c>
      <c r="L3239" s="11">
        <v>9.23</v>
      </c>
      <c r="M3239" s="9" t="s">
        <v>1600</v>
      </c>
      <c r="N3239" s="6" t="s">
        <v>1595</v>
      </c>
      <c r="O3239" s="6" t="s">
        <v>1595</v>
      </c>
      <c r="P3239" s="9" t="s">
        <v>60</v>
      </c>
      <c r="Q3239" s="9" t="s">
        <v>26</v>
      </c>
      <c r="R3239" s="9" t="s">
        <v>34</v>
      </c>
      <c r="S3239" s="7" t="s">
        <v>1386</v>
      </c>
      <c r="T3239" s="9" t="s">
        <v>39</v>
      </c>
      <c r="U3239" s="7">
        <v>0.57999999999999996</v>
      </c>
      <c r="V3239" s="12">
        <f>C3239+2</f>
        <v>40688</v>
      </c>
      <c r="W3239">
        <f>IF(D3239=' Pivot Tables'!$A$4,1,0)</f>
        <v>0</v>
      </c>
      <c r="X3239">
        <f>IF(AND(LEFT(D3239,4)+1=LEFT(' Pivot Tables'!$A$4,4)+0,RIGHT(LEFT(D3239,7),2)=RIGHT(LEFT(' Pivot Tables'!$A$4,7),2)),1,0)</f>
        <v>0</v>
      </c>
      <c r="Y3239" s="6">
        <f>1/COUNTIF(Таблица1[Order ID],Таблица1[[#This Row],[Order ID]])</f>
        <v>0.5</v>
      </c>
      <c r="Z3239" s="9">
        <f>1/COUNTIFS(Таблица1[Customer Name],Таблица1[[#This Row],[Customer Name]],Таблица1[Order-Year-Month],Таблица1[[#This Row],[Order-Year-Month]])</f>
        <v>0.5</v>
      </c>
    </row>
    <row r="3240" spans="1:26" x14ac:dyDescent="0.2">
      <c r="A3240" s="6">
        <v>6759</v>
      </c>
      <c r="B3240" s="7">
        <v>48161</v>
      </c>
      <c r="C3240" s="8">
        <f>DATE(2012,12,31)-588</f>
        <v>40686</v>
      </c>
      <c r="D3240" s="8" t="str">
        <f t="shared" si="61"/>
        <v>2011-05 (май 2011)</v>
      </c>
      <c r="E3240" s="9" t="s">
        <v>45</v>
      </c>
      <c r="F3240" s="7">
        <v>39</v>
      </c>
      <c r="G3240" s="7">
        <v>6030.58</v>
      </c>
      <c r="H3240" s="7">
        <v>0.09</v>
      </c>
      <c r="I3240" s="9" t="s">
        <v>22</v>
      </c>
      <c r="J3240" s="10">
        <v>1197.855</v>
      </c>
      <c r="K3240" s="11">
        <v>195.99</v>
      </c>
      <c r="L3240" s="11">
        <v>8.99</v>
      </c>
      <c r="M3240" s="9" t="s">
        <v>1600</v>
      </c>
      <c r="N3240" s="6" t="s">
        <v>1595</v>
      </c>
      <c r="O3240" s="6" t="s">
        <v>1595</v>
      </c>
      <c r="P3240" s="9" t="s">
        <v>60</v>
      </c>
      <c r="Q3240" s="9" t="s">
        <v>42</v>
      </c>
      <c r="R3240" s="9" t="s">
        <v>43</v>
      </c>
      <c r="S3240" s="7" t="s">
        <v>479</v>
      </c>
      <c r="T3240" s="9" t="s">
        <v>39</v>
      </c>
      <c r="U3240" s="7">
        <v>0.57999999999999996</v>
      </c>
      <c r="V3240" s="12">
        <f>C3240+1</f>
        <v>40687</v>
      </c>
      <c r="W3240">
        <f>IF(D3240=' Pivot Tables'!$A$4,1,0)</f>
        <v>0</v>
      </c>
      <c r="X3240">
        <f>IF(AND(LEFT(D3240,4)+1=LEFT(' Pivot Tables'!$A$4,4)+0,RIGHT(LEFT(D3240,7),2)=RIGHT(LEFT(' Pivot Tables'!$A$4,7),2)),1,0)</f>
        <v>0</v>
      </c>
      <c r="Y3240" s="6">
        <f>1/COUNTIF(Таблица1[Order ID],Таблица1[[#This Row],[Order ID]])</f>
        <v>0.5</v>
      </c>
      <c r="Z3240" s="9">
        <f>1/COUNTIFS(Таблица1[Customer Name],Таблица1[[#This Row],[Customer Name]],Таблица1[Order-Year-Month],Таблица1[[#This Row],[Order-Year-Month]])</f>
        <v>0.5</v>
      </c>
    </row>
    <row r="3241" spans="1:26" x14ac:dyDescent="0.2">
      <c r="A3241" s="6">
        <v>6816</v>
      </c>
      <c r="B3241" s="7">
        <v>48515</v>
      </c>
      <c r="C3241" s="8">
        <f>DATE(2012,12,31)-377</f>
        <v>40897</v>
      </c>
      <c r="D3241" s="8" t="str">
        <f t="shared" si="61"/>
        <v>2011-12 (декабрь 2011)</v>
      </c>
      <c r="E3241" s="9" t="s">
        <v>78</v>
      </c>
      <c r="F3241" s="7">
        <v>47</v>
      </c>
      <c r="G3241" s="7">
        <v>725.8</v>
      </c>
      <c r="H3241" s="7">
        <v>0.01</v>
      </c>
      <c r="I3241" s="9" t="s">
        <v>56</v>
      </c>
      <c r="J3241" s="10">
        <v>327.45</v>
      </c>
      <c r="K3241" s="11">
        <v>15.04</v>
      </c>
      <c r="L3241" s="11">
        <v>1.97</v>
      </c>
      <c r="M3241" s="9" t="s">
        <v>1598</v>
      </c>
      <c r="N3241" s="6" t="s">
        <v>1595</v>
      </c>
      <c r="O3241" s="6" t="s">
        <v>1595</v>
      </c>
      <c r="P3241" s="9" t="s">
        <v>33</v>
      </c>
      <c r="Q3241" s="9" t="s">
        <v>26</v>
      </c>
      <c r="R3241" s="9" t="s">
        <v>61</v>
      </c>
      <c r="S3241" s="7" t="s">
        <v>688</v>
      </c>
      <c r="T3241" s="9" t="s">
        <v>68</v>
      </c>
      <c r="U3241" s="7">
        <v>0.39</v>
      </c>
      <c r="V3241" s="12">
        <f>C3241+0</f>
        <v>40897</v>
      </c>
      <c r="W3241">
        <f>IF(D3241=' Pivot Tables'!$A$4,1,0)</f>
        <v>0</v>
      </c>
      <c r="X3241">
        <f>IF(AND(LEFT(D3241,4)+1=LEFT(' Pivot Tables'!$A$4,4)+0,RIGHT(LEFT(D3241,7),2)=RIGHT(LEFT(' Pivot Tables'!$A$4,7),2)),1,0)</f>
        <v>0</v>
      </c>
      <c r="Y3241" s="6">
        <f>1/COUNTIF(Таблица1[Order ID],Таблица1[[#This Row],[Order ID]])</f>
        <v>1</v>
      </c>
      <c r="Z3241" s="9">
        <f>1/COUNTIFS(Таблица1[Customer Name],Таблица1[[#This Row],[Customer Name]],Таблица1[Order-Year-Month],Таблица1[[#This Row],[Order-Year-Month]])</f>
        <v>0.5</v>
      </c>
    </row>
    <row r="3242" spans="1:26" x14ac:dyDescent="0.2">
      <c r="A3242" s="6">
        <v>6829</v>
      </c>
      <c r="B3242" s="7">
        <v>48642</v>
      </c>
      <c r="C3242" s="8">
        <f>DATE(2012,12,31)-1064</f>
        <v>40210</v>
      </c>
      <c r="D3242" s="8" t="str">
        <f t="shared" si="61"/>
        <v>2010-02 (февраль 2010)</v>
      </c>
      <c r="E3242" s="9" t="s">
        <v>30</v>
      </c>
      <c r="F3242" s="7">
        <v>36</v>
      </c>
      <c r="G3242" s="7">
        <v>111.83</v>
      </c>
      <c r="H3242" s="7">
        <v>0</v>
      </c>
      <c r="I3242" s="9" t="s">
        <v>22</v>
      </c>
      <c r="J3242" s="10">
        <v>19.36</v>
      </c>
      <c r="K3242" s="11">
        <v>2.94</v>
      </c>
      <c r="L3242" s="11">
        <v>0.7</v>
      </c>
      <c r="M3242" s="9" t="s">
        <v>1396</v>
      </c>
      <c r="N3242" s="6" t="s">
        <v>1595</v>
      </c>
      <c r="O3242" s="6" t="s">
        <v>1595</v>
      </c>
      <c r="P3242" s="9" t="s">
        <v>60</v>
      </c>
      <c r="Q3242" s="9" t="s">
        <v>26</v>
      </c>
      <c r="R3242" s="9" t="s">
        <v>95</v>
      </c>
      <c r="S3242" s="7" t="s">
        <v>1192</v>
      </c>
      <c r="T3242" s="9" t="s">
        <v>68</v>
      </c>
      <c r="U3242" s="7">
        <v>0.57999999999999996</v>
      </c>
      <c r="V3242" s="12">
        <f>C3242+0</f>
        <v>40210</v>
      </c>
      <c r="W3242">
        <f>IF(D3242=' Pivot Tables'!$A$4,1,0)</f>
        <v>0</v>
      </c>
      <c r="X3242">
        <f>IF(AND(LEFT(D3242,4)+1=LEFT(' Pivot Tables'!$A$4,4)+0,RIGHT(LEFT(D3242,7),2)=RIGHT(LEFT(' Pivot Tables'!$A$4,7),2)),1,0)</f>
        <v>0</v>
      </c>
      <c r="Y3242" s="6">
        <f>1/COUNTIF(Таблица1[Order ID],Таблица1[[#This Row],[Order ID]])</f>
        <v>0.25</v>
      </c>
      <c r="Z3242" s="9">
        <f>1/COUNTIFS(Таблица1[Customer Name],Таблица1[[#This Row],[Customer Name]],Таблица1[Order-Year-Month],Таблица1[[#This Row],[Order-Year-Month]])</f>
        <v>0.2</v>
      </c>
    </row>
    <row r="3243" spans="1:26" x14ac:dyDescent="0.2">
      <c r="A3243" s="6">
        <v>6830</v>
      </c>
      <c r="B3243" s="7">
        <v>48642</v>
      </c>
      <c r="C3243" s="8">
        <f>DATE(2012,12,31)-1064</f>
        <v>40210</v>
      </c>
      <c r="D3243" s="8" t="str">
        <f t="shared" si="61"/>
        <v>2010-02 (февраль 2010)</v>
      </c>
      <c r="E3243" s="9" t="s">
        <v>30</v>
      </c>
      <c r="F3243" s="7">
        <v>50</v>
      </c>
      <c r="G3243" s="7">
        <v>4159.6279999999997</v>
      </c>
      <c r="H3243" s="7">
        <v>0.05</v>
      </c>
      <c r="I3243" s="9" t="s">
        <v>56</v>
      </c>
      <c r="J3243" s="10">
        <v>1332.9090000000001</v>
      </c>
      <c r="K3243" s="11">
        <v>95.99</v>
      </c>
      <c r="L3243" s="11">
        <v>4.9000000000000004</v>
      </c>
      <c r="M3243" s="9" t="s">
        <v>1396</v>
      </c>
      <c r="N3243" s="6" t="s">
        <v>1595</v>
      </c>
      <c r="O3243" s="6" t="s">
        <v>1595</v>
      </c>
      <c r="P3243" s="9" t="s">
        <v>60</v>
      </c>
      <c r="Q3243" s="9" t="s">
        <v>42</v>
      </c>
      <c r="R3243" s="9" t="s">
        <v>43</v>
      </c>
      <c r="S3243" s="7" t="s">
        <v>1254</v>
      </c>
      <c r="T3243" s="9" t="s">
        <v>39</v>
      </c>
      <c r="U3243" s="7">
        <v>0.56000000000000005</v>
      </c>
      <c r="V3243" s="12">
        <f>C3243+0</f>
        <v>40210</v>
      </c>
      <c r="W3243">
        <f>IF(D3243=' Pivot Tables'!$A$4,1,0)</f>
        <v>0</v>
      </c>
      <c r="X3243">
        <f>IF(AND(LEFT(D3243,4)+1=LEFT(' Pivot Tables'!$A$4,4)+0,RIGHT(LEFT(D3243,7),2)=RIGHT(LEFT(' Pivot Tables'!$A$4,7),2)),1,0)</f>
        <v>0</v>
      </c>
      <c r="Y3243" s="6">
        <f>1/COUNTIF(Таблица1[Order ID],Таблица1[[#This Row],[Order ID]])</f>
        <v>0.25</v>
      </c>
      <c r="Z3243" s="9">
        <f>1/COUNTIFS(Таблица1[Customer Name],Таблица1[[#This Row],[Customer Name]],Таблица1[Order-Year-Month],Таблица1[[#This Row],[Order-Year-Month]])</f>
        <v>0.2</v>
      </c>
    </row>
    <row r="3244" spans="1:26" x14ac:dyDescent="0.2">
      <c r="A3244" s="6">
        <v>7089</v>
      </c>
      <c r="B3244" s="7">
        <v>50567</v>
      </c>
      <c r="C3244" s="8">
        <f>DATE(2012,12,31)-330</f>
        <v>40944</v>
      </c>
      <c r="D3244" s="8" t="str">
        <f t="shared" si="61"/>
        <v>2012-02 (февраль 2012)</v>
      </c>
      <c r="E3244" s="9" t="s">
        <v>63</v>
      </c>
      <c r="F3244" s="7">
        <v>22</v>
      </c>
      <c r="G3244" s="7">
        <v>1505.67</v>
      </c>
      <c r="H3244" s="7">
        <v>0.1</v>
      </c>
      <c r="I3244" s="9" t="s">
        <v>31</v>
      </c>
      <c r="J3244" s="10">
        <v>-436.23</v>
      </c>
      <c r="K3244" s="11">
        <v>70.98</v>
      </c>
      <c r="L3244" s="11">
        <v>30</v>
      </c>
      <c r="M3244" s="9" t="s">
        <v>1623</v>
      </c>
      <c r="N3244" s="6" t="s">
        <v>1595</v>
      </c>
      <c r="O3244" s="6" t="s">
        <v>1595</v>
      </c>
      <c r="P3244" s="9" t="s">
        <v>60</v>
      </c>
      <c r="Q3244" s="9" t="s">
        <v>49</v>
      </c>
      <c r="R3244" s="9" t="s">
        <v>112</v>
      </c>
      <c r="S3244" s="7" t="s">
        <v>850</v>
      </c>
      <c r="T3244" s="9" t="s">
        <v>36</v>
      </c>
      <c r="U3244" s="7">
        <v>0.73</v>
      </c>
      <c r="V3244" s="12">
        <f>C3244+1</f>
        <v>40945</v>
      </c>
      <c r="W3244">
        <f>IF(D3244=' Pivot Tables'!$A$4,1,0)</f>
        <v>0</v>
      </c>
      <c r="X3244">
        <f>IF(AND(LEFT(D3244,4)+1=LEFT(' Pivot Tables'!$A$4,4)+0,RIGHT(LEFT(D3244,7),2)=RIGHT(LEFT(' Pivot Tables'!$A$4,7),2)),1,0)</f>
        <v>0</v>
      </c>
      <c r="Y3244" s="6">
        <f>1/COUNTIF(Таблица1[Order ID],Таблица1[[#This Row],[Order ID]])</f>
        <v>1</v>
      </c>
      <c r="Z3244" s="9">
        <f>1/COUNTIFS(Таблица1[Customer Name],Таблица1[[#This Row],[Customer Name]],Таблица1[Order-Year-Month],Таблица1[[#This Row],[Order-Year-Month]])</f>
        <v>0.5</v>
      </c>
    </row>
    <row r="3245" spans="1:26" x14ac:dyDescent="0.2">
      <c r="A3245" s="6">
        <v>7241</v>
      </c>
      <c r="B3245" s="7">
        <v>51623</v>
      </c>
      <c r="C3245" s="8">
        <f>DATE(2012,12,31)-1448</f>
        <v>39826</v>
      </c>
      <c r="D3245" s="8" t="str">
        <f t="shared" si="61"/>
        <v>2009-01 (январь 2009)</v>
      </c>
      <c r="E3245" s="9" t="s">
        <v>78</v>
      </c>
      <c r="F3245" s="7">
        <v>17</v>
      </c>
      <c r="G3245" s="7">
        <v>39.229999999999997</v>
      </c>
      <c r="H3245" s="7">
        <v>0.06</v>
      </c>
      <c r="I3245" s="9" t="s">
        <v>22</v>
      </c>
      <c r="J3245" s="10">
        <v>-66.58</v>
      </c>
      <c r="K3245" s="11">
        <v>2.08</v>
      </c>
      <c r="L3245" s="11">
        <v>5.33</v>
      </c>
      <c r="M3245" s="9" t="s">
        <v>1358</v>
      </c>
      <c r="N3245" s="6" t="s">
        <v>1595</v>
      </c>
      <c r="O3245" s="6" t="s">
        <v>1595</v>
      </c>
      <c r="P3245" s="9" t="s">
        <v>60</v>
      </c>
      <c r="Q3245" s="9" t="s">
        <v>49</v>
      </c>
      <c r="R3245" s="9" t="s">
        <v>50</v>
      </c>
      <c r="S3245" s="7" t="s">
        <v>216</v>
      </c>
      <c r="T3245" s="9" t="s">
        <v>39</v>
      </c>
      <c r="U3245" s="7">
        <v>0.43</v>
      </c>
      <c r="V3245" s="12">
        <f>C3245+0</f>
        <v>39826</v>
      </c>
      <c r="W3245">
        <f>IF(D3245=' Pivot Tables'!$A$4,1,0)</f>
        <v>0</v>
      </c>
      <c r="X3245">
        <f>IF(AND(LEFT(D3245,4)+1=LEFT(' Pivot Tables'!$A$4,4)+0,RIGHT(LEFT(D3245,7),2)=RIGHT(LEFT(' Pivot Tables'!$A$4,7),2)),1,0)</f>
        <v>1</v>
      </c>
      <c r="Y3245" s="6">
        <f>1/COUNTIF(Таблица1[Order ID],Таблица1[[#This Row],[Order ID]])</f>
        <v>1</v>
      </c>
      <c r="Z3245" s="9">
        <f>1/COUNTIFS(Таблица1[Customer Name],Таблица1[[#This Row],[Customer Name]],Таблица1[Order-Year-Month],Таблица1[[#This Row],[Order-Year-Month]])</f>
        <v>1</v>
      </c>
    </row>
    <row r="3246" spans="1:26" x14ac:dyDescent="0.2">
      <c r="A3246" s="6">
        <v>7320</v>
      </c>
      <c r="B3246" s="7">
        <v>52194</v>
      </c>
      <c r="C3246" s="8">
        <f>DATE(2012,12,31)-751</f>
        <v>40523</v>
      </c>
      <c r="D3246" s="8" t="str">
        <f t="shared" si="61"/>
        <v>2010-12 (декабрь 2010)</v>
      </c>
      <c r="E3246" s="9" t="s">
        <v>78</v>
      </c>
      <c r="F3246" s="7">
        <v>25</v>
      </c>
      <c r="G3246" s="7">
        <v>612.92999999999995</v>
      </c>
      <c r="H3246" s="7">
        <v>0.1</v>
      </c>
      <c r="I3246" s="9" t="s">
        <v>22</v>
      </c>
      <c r="J3246" s="10">
        <v>-5.0369999999999999</v>
      </c>
      <c r="K3246" s="11">
        <v>24.92</v>
      </c>
      <c r="L3246" s="11">
        <v>12.98</v>
      </c>
      <c r="M3246" s="9" t="s">
        <v>1609</v>
      </c>
      <c r="N3246" s="6" t="s">
        <v>1595</v>
      </c>
      <c r="O3246" s="6" t="s">
        <v>1595</v>
      </c>
      <c r="P3246" s="9" t="s">
        <v>60</v>
      </c>
      <c r="Q3246" s="9" t="s">
        <v>26</v>
      </c>
      <c r="R3246" s="9" t="s">
        <v>37</v>
      </c>
      <c r="S3246" s="7" t="s">
        <v>319</v>
      </c>
      <c r="T3246" s="9" t="s">
        <v>39</v>
      </c>
      <c r="U3246" s="7">
        <v>0.39</v>
      </c>
      <c r="V3246" s="12">
        <f>C3246+1</f>
        <v>40524</v>
      </c>
      <c r="W3246">
        <f>IF(D3246=' Pivot Tables'!$A$4,1,0)</f>
        <v>0</v>
      </c>
      <c r="X3246">
        <f>IF(AND(LEFT(D3246,4)+1=LEFT(' Pivot Tables'!$A$4,4)+0,RIGHT(LEFT(D3246,7),2)=RIGHT(LEFT(' Pivot Tables'!$A$4,7),2)),1,0)</f>
        <v>0</v>
      </c>
      <c r="Y3246" s="6">
        <f>1/COUNTIF(Таблица1[Order ID],Таблица1[[#This Row],[Order ID]])</f>
        <v>0.5</v>
      </c>
      <c r="Z3246" s="9">
        <f>1/COUNTIFS(Таблица1[Customer Name],Таблица1[[#This Row],[Customer Name]],Таблица1[Order-Year-Month],Таблица1[[#This Row],[Order-Year-Month]])</f>
        <v>0.5</v>
      </c>
    </row>
    <row r="3247" spans="1:26" x14ac:dyDescent="0.2">
      <c r="A3247" s="6">
        <v>7321</v>
      </c>
      <c r="B3247" s="7">
        <v>52194</v>
      </c>
      <c r="C3247" s="8">
        <f>DATE(2012,12,31)-751</f>
        <v>40523</v>
      </c>
      <c r="D3247" s="8" t="str">
        <f t="shared" si="61"/>
        <v>2010-12 (декабрь 2010)</v>
      </c>
      <c r="E3247" s="9" t="s">
        <v>78</v>
      </c>
      <c r="F3247" s="7">
        <v>12</v>
      </c>
      <c r="G3247" s="7">
        <v>1551.34</v>
      </c>
      <c r="H3247" s="7">
        <v>0.03</v>
      </c>
      <c r="I3247" s="9" t="s">
        <v>31</v>
      </c>
      <c r="J3247" s="10">
        <v>-483.12</v>
      </c>
      <c r="K3247" s="11">
        <v>120.98</v>
      </c>
      <c r="L3247" s="11">
        <v>78.64</v>
      </c>
      <c r="M3247" s="9" t="s">
        <v>1609</v>
      </c>
      <c r="N3247" s="6" t="s">
        <v>1595</v>
      </c>
      <c r="O3247" s="6" t="s">
        <v>1595</v>
      </c>
      <c r="P3247" s="9" t="s">
        <v>60</v>
      </c>
      <c r="Q3247" s="9" t="s">
        <v>49</v>
      </c>
      <c r="R3247" s="9" t="s">
        <v>80</v>
      </c>
      <c r="S3247" s="7" t="s">
        <v>1247</v>
      </c>
      <c r="T3247" s="9" t="s">
        <v>82</v>
      </c>
      <c r="U3247" s="7">
        <v>0.75</v>
      </c>
      <c r="V3247" s="12">
        <f>C3247+1</f>
        <v>40524</v>
      </c>
      <c r="W3247">
        <f>IF(D3247=' Pivot Tables'!$A$4,1,0)</f>
        <v>0</v>
      </c>
      <c r="X3247">
        <f>IF(AND(LEFT(D3247,4)+1=LEFT(' Pivot Tables'!$A$4,4)+0,RIGHT(LEFT(D3247,7),2)=RIGHT(LEFT(' Pivot Tables'!$A$4,7),2)),1,0)</f>
        <v>0</v>
      </c>
      <c r="Y3247" s="6">
        <f>1/COUNTIF(Таблица1[Order ID],Таблица1[[#This Row],[Order ID]])</f>
        <v>0.5</v>
      </c>
      <c r="Z3247" s="9">
        <f>1/COUNTIFS(Таблица1[Customer Name],Таблица1[[#This Row],[Customer Name]],Таблица1[Order-Year-Month],Таблица1[[#This Row],[Order-Year-Month]])</f>
        <v>0.5</v>
      </c>
    </row>
    <row r="3248" spans="1:26" x14ac:dyDescent="0.2">
      <c r="A3248" s="6">
        <v>7338</v>
      </c>
      <c r="B3248" s="7">
        <v>52291</v>
      </c>
      <c r="C3248" s="8">
        <f>DATE(2012,12,31)-1159</f>
        <v>40115</v>
      </c>
      <c r="D3248" s="8" t="str">
        <f t="shared" si="61"/>
        <v>2009-10 (октябрь 2009)</v>
      </c>
      <c r="E3248" s="9" t="s">
        <v>78</v>
      </c>
      <c r="F3248" s="7">
        <v>48</v>
      </c>
      <c r="G3248" s="7">
        <v>287.54000000000002</v>
      </c>
      <c r="H3248" s="7">
        <v>0.04</v>
      </c>
      <c r="I3248" s="9" t="s">
        <v>22</v>
      </c>
      <c r="J3248" s="10">
        <v>57.28</v>
      </c>
      <c r="K3248" s="11">
        <v>5.98</v>
      </c>
      <c r="L3248" s="11">
        <v>0.96</v>
      </c>
      <c r="M3248" s="9" t="s">
        <v>1594</v>
      </c>
      <c r="N3248" s="6" t="s">
        <v>1595</v>
      </c>
      <c r="O3248" s="6" t="s">
        <v>1595</v>
      </c>
      <c r="P3248" s="9" t="s">
        <v>41</v>
      </c>
      <c r="Q3248" s="9" t="s">
        <v>26</v>
      </c>
      <c r="R3248" s="9" t="s">
        <v>95</v>
      </c>
      <c r="S3248" s="7" t="s">
        <v>749</v>
      </c>
      <c r="T3248" s="9" t="s">
        <v>68</v>
      </c>
      <c r="U3248" s="7">
        <v>0.6</v>
      </c>
      <c r="V3248" s="12">
        <f>C3248+2</f>
        <v>40117</v>
      </c>
      <c r="W3248">
        <f>IF(D3248=' Pivot Tables'!$A$4,1,0)</f>
        <v>0</v>
      </c>
      <c r="X3248">
        <f>IF(AND(LEFT(D3248,4)+1=LEFT(' Pivot Tables'!$A$4,4)+0,RIGHT(LEFT(D3248,7),2)=RIGHT(LEFT(' Pivot Tables'!$A$4,7),2)),1,0)</f>
        <v>0</v>
      </c>
      <c r="Y3248" s="6">
        <f>1/COUNTIF(Таблица1[Order ID],Таблица1[[#This Row],[Order ID]])</f>
        <v>0.5</v>
      </c>
      <c r="Z3248" s="9">
        <f>1/COUNTIFS(Таблица1[Customer Name],Таблица1[[#This Row],[Customer Name]],Таблица1[Order-Year-Month],Таблица1[[#This Row],[Order-Year-Month]])</f>
        <v>0.5</v>
      </c>
    </row>
    <row r="3249" spans="1:26" x14ac:dyDescent="0.2">
      <c r="A3249" s="6">
        <v>7339</v>
      </c>
      <c r="B3249" s="7">
        <v>52291</v>
      </c>
      <c r="C3249" s="8">
        <f>DATE(2012,12,31)-1159</f>
        <v>40115</v>
      </c>
      <c r="D3249" s="8" t="str">
        <f t="shared" si="61"/>
        <v>2009-10 (октябрь 2009)</v>
      </c>
      <c r="E3249" s="9" t="s">
        <v>78</v>
      </c>
      <c r="F3249" s="7">
        <v>5</v>
      </c>
      <c r="G3249" s="7">
        <v>88.314999999999998</v>
      </c>
      <c r="H3249" s="7">
        <v>0.01</v>
      </c>
      <c r="I3249" s="9" t="s">
        <v>22</v>
      </c>
      <c r="J3249" s="10">
        <v>-72.401999999999987</v>
      </c>
      <c r="K3249" s="11">
        <v>20.99</v>
      </c>
      <c r="L3249" s="11">
        <v>0.99</v>
      </c>
      <c r="M3249" s="9" t="s">
        <v>1594</v>
      </c>
      <c r="N3249" s="6" t="s">
        <v>1595</v>
      </c>
      <c r="O3249" s="6" t="s">
        <v>1595</v>
      </c>
      <c r="P3249" s="9" t="s">
        <v>41</v>
      </c>
      <c r="Q3249" s="9" t="s">
        <v>42</v>
      </c>
      <c r="R3249" s="9" t="s">
        <v>43</v>
      </c>
      <c r="S3249" s="7" t="s">
        <v>837</v>
      </c>
      <c r="T3249" s="9" t="s">
        <v>68</v>
      </c>
      <c r="U3249" s="7">
        <v>0.56999999999999995</v>
      </c>
      <c r="V3249" s="12">
        <f>C3249+1</f>
        <v>40116</v>
      </c>
      <c r="W3249">
        <f>IF(D3249=' Pivot Tables'!$A$4,1,0)</f>
        <v>0</v>
      </c>
      <c r="X3249">
        <f>IF(AND(LEFT(D3249,4)+1=LEFT(' Pivot Tables'!$A$4,4)+0,RIGHT(LEFT(D3249,7),2)=RIGHT(LEFT(' Pivot Tables'!$A$4,7),2)),1,0)</f>
        <v>0</v>
      </c>
      <c r="Y3249" s="6">
        <f>1/COUNTIF(Таблица1[Order ID],Таблица1[[#This Row],[Order ID]])</f>
        <v>0.5</v>
      </c>
      <c r="Z3249" s="9">
        <f>1/COUNTIFS(Таблица1[Customer Name],Таблица1[[#This Row],[Customer Name]],Таблица1[Order-Year-Month],Таблица1[[#This Row],[Order-Year-Month]])</f>
        <v>0.5</v>
      </c>
    </row>
    <row r="3250" spans="1:26" x14ac:dyDescent="0.2">
      <c r="A3250" s="6">
        <v>7600</v>
      </c>
      <c r="B3250" s="7">
        <v>54370</v>
      </c>
      <c r="C3250" s="8">
        <f>DATE(2012,12,31)-267</f>
        <v>41007</v>
      </c>
      <c r="D3250" s="8" t="str">
        <f t="shared" si="61"/>
        <v>2012-04 (апрель 2012)</v>
      </c>
      <c r="E3250" s="9" t="s">
        <v>45</v>
      </c>
      <c r="F3250" s="7">
        <v>49</v>
      </c>
      <c r="G3250" s="7">
        <v>4968.5</v>
      </c>
      <c r="H3250" s="7">
        <v>0</v>
      </c>
      <c r="I3250" s="9" t="s">
        <v>22</v>
      </c>
      <c r="J3250" s="10">
        <v>1041.28</v>
      </c>
      <c r="K3250" s="11">
        <v>99.99</v>
      </c>
      <c r="L3250" s="11">
        <v>19.989999999999998</v>
      </c>
      <c r="M3250" s="9" t="s">
        <v>1601</v>
      </c>
      <c r="N3250" s="6" t="s">
        <v>1595</v>
      </c>
      <c r="O3250" s="6" t="s">
        <v>1595</v>
      </c>
      <c r="P3250" s="9" t="s">
        <v>41</v>
      </c>
      <c r="Q3250" s="9" t="s">
        <v>42</v>
      </c>
      <c r="R3250" s="9" t="s">
        <v>70</v>
      </c>
      <c r="S3250" s="7" t="s">
        <v>337</v>
      </c>
      <c r="T3250" s="9" t="s">
        <v>39</v>
      </c>
      <c r="U3250" s="7">
        <v>0.52</v>
      </c>
      <c r="V3250" s="12">
        <f>C3250+0</f>
        <v>41007</v>
      </c>
      <c r="W3250">
        <f>IF(D3250=' Pivot Tables'!$A$4,1,0)</f>
        <v>0</v>
      </c>
      <c r="X3250">
        <f>IF(AND(LEFT(D3250,4)+1=LEFT(' Pivot Tables'!$A$4,4)+0,RIGHT(LEFT(D3250,7),2)=RIGHT(LEFT(' Pivot Tables'!$A$4,7),2)),1,0)</f>
        <v>0</v>
      </c>
      <c r="Y3250" s="6">
        <f>1/COUNTIF(Таблица1[Order ID],Таблица1[[#This Row],[Order ID]])</f>
        <v>1</v>
      </c>
      <c r="Z3250" s="9">
        <f>1/COUNTIFS(Таблица1[Customer Name],Таблица1[[#This Row],[Customer Name]],Таблица1[Order-Year-Month],Таблица1[[#This Row],[Order-Year-Month]])</f>
        <v>1</v>
      </c>
    </row>
    <row r="3251" spans="1:26" x14ac:dyDescent="0.2">
      <c r="A3251" s="6">
        <v>7619</v>
      </c>
      <c r="B3251" s="7">
        <v>54528</v>
      </c>
      <c r="C3251" s="8">
        <f>DATE(2012,12,31)-727</f>
        <v>40547</v>
      </c>
      <c r="D3251" s="8" t="str">
        <f t="shared" si="61"/>
        <v>2011-01 (январь 2011)</v>
      </c>
      <c r="E3251" s="9" t="s">
        <v>63</v>
      </c>
      <c r="F3251" s="7">
        <v>15</v>
      </c>
      <c r="G3251" s="7">
        <v>92.03</v>
      </c>
      <c r="H3251" s="7">
        <v>0.03</v>
      </c>
      <c r="I3251" s="9" t="s">
        <v>22</v>
      </c>
      <c r="J3251" s="10">
        <v>19.71</v>
      </c>
      <c r="K3251" s="11">
        <v>6.08</v>
      </c>
      <c r="L3251" s="11">
        <v>0.91</v>
      </c>
      <c r="M3251" s="9" t="s">
        <v>497</v>
      </c>
      <c r="N3251" s="6" t="s">
        <v>1595</v>
      </c>
      <c r="O3251" s="6" t="s">
        <v>1595</v>
      </c>
      <c r="P3251" s="9" t="s">
        <v>33</v>
      </c>
      <c r="Q3251" s="9" t="s">
        <v>26</v>
      </c>
      <c r="R3251" s="9" t="s">
        <v>95</v>
      </c>
      <c r="S3251" s="7" t="s">
        <v>1366</v>
      </c>
      <c r="T3251" s="9" t="s">
        <v>68</v>
      </c>
      <c r="U3251" s="7">
        <v>0.51</v>
      </c>
      <c r="V3251" s="12">
        <f>C3251+1</f>
        <v>40548</v>
      </c>
      <c r="W3251">
        <f>IF(D3251=' Pivot Tables'!$A$4,1,0)</f>
        <v>0</v>
      </c>
      <c r="X3251">
        <f>IF(AND(LEFT(D3251,4)+1=LEFT(' Pivot Tables'!$A$4,4)+0,RIGHT(LEFT(D3251,7),2)=RIGHT(LEFT(' Pivot Tables'!$A$4,7),2)),1,0)</f>
        <v>0</v>
      </c>
      <c r="Y3251" s="6">
        <f>1/COUNTIF(Таблица1[Order ID],Таблица1[[#This Row],[Order ID]])</f>
        <v>0.33333333333333331</v>
      </c>
      <c r="Z3251" s="9">
        <f>1/COUNTIFS(Таблица1[Customer Name],Таблица1[[#This Row],[Customer Name]],Таблица1[Order-Year-Month],Таблица1[[#This Row],[Order-Year-Month]])</f>
        <v>0.16666666666666666</v>
      </c>
    </row>
    <row r="3252" spans="1:26" x14ac:dyDescent="0.2">
      <c r="A3252" s="6">
        <v>7636</v>
      </c>
      <c r="B3252" s="7">
        <v>54659</v>
      </c>
      <c r="C3252" s="8">
        <f>DATE(2012,12,31)-504</f>
        <v>40770</v>
      </c>
      <c r="D3252" s="8" t="str">
        <f t="shared" si="61"/>
        <v>2011-08 (август 2011)</v>
      </c>
      <c r="E3252" s="9" t="s">
        <v>30</v>
      </c>
      <c r="F3252" s="7">
        <v>38</v>
      </c>
      <c r="G3252" s="7">
        <v>262.89999999999998</v>
      </c>
      <c r="H3252" s="7">
        <v>0.06</v>
      </c>
      <c r="I3252" s="9" t="s">
        <v>22</v>
      </c>
      <c r="J3252" s="10">
        <v>-41.98</v>
      </c>
      <c r="K3252" s="11">
        <v>6.68</v>
      </c>
      <c r="L3252" s="11">
        <v>5.2</v>
      </c>
      <c r="M3252" s="9" t="s">
        <v>1601</v>
      </c>
      <c r="N3252" s="6" t="s">
        <v>1595</v>
      </c>
      <c r="O3252" s="6" t="s">
        <v>1595</v>
      </c>
      <c r="P3252" s="9" t="s">
        <v>41</v>
      </c>
      <c r="Q3252" s="9" t="s">
        <v>26</v>
      </c>
      <c r="R3252" s="9" t="s">
        <v>61</v>
      </c>
      <c r="S3252" s="7" t="s">
        <v>445</v>
      </c>
      <c r="T3252" s="9" t="s">
        <v>39</v>
      </c>
      <c r="U3252" s="7">
        <v>0.37</v>
      </c>
      <c r="V3252" s="12">
        <f>C3252+0</f>
        <v>40770</v>
      </c>
      <c r="W3252">
        <f>IF(D3252=' Pivot Tables'!$A$4,1,0)</f>
        <v>0</v>
      </c>
      <c r="X3252">
        <f>IF(AND(LEFT(D3252,4)+1=LEFT(' Pivot Tables'!$A$4,4)+0,RIGHT(LEFT(D3252,7),2)=RIGHT(LEFT(' Pivot Tables'!$A$4,7),2)),1,0)</f>
        <v>0</v>
      </c>
      <c r="Y3252" s="6">
        <f>1/COUNTIF(Таблица1[Order ID],Таблица1[[#This Row],[Order ID]])</f>
        <v>1</v>
      </c>
      <c r="Z3252" s="9">
        <f>1/COUNTIFS(Таблица1[Customer Name],Таблица1[[#This Row],[Customer Name]],Таблица1[Order-Year-Month],Таблица1[[#This Row],[Order-Year-Month]])</f>
        <v>1</v>
      </c>
    </row>
    <row r="3253" spans="1:26" x14ac:dyDescent="0.2">
      <c r="A3253" s="6">
        <v>7670</v>
      </c>
      <c r="B3253" s="7">
        <v>54981</v>
      </c>
      <c r="C3253" s="8">
        <f>DATE(2012,12,31)-324</f>
        <v>40950</v>
      </c>
      <c r="D3253" s="8" t="str">
        <f t="shared" si="61"/>
        <v>2012-02 (февраль 2012)</v>
      </c>
      <c r="E3253" s="9" t="s">
        <v>30</v>
      </c>
      <c r="F3253" s="7">
        <v>31</v>
      </c>
      <c r="G3253" s="7">
        <v>1024.31</v>
      </c>
      <c r="H3253" s="7">
        <v>0.03</v>
      </c>
      <c r="I3253" s="9" t="s">
        <v>22</v>
      </c>
      <c r="J3253" s="10">
        <v>174.7175</v>
      </c>
      <c r="K3253" s="11">
        <v>31.74</v>
      </c>
      <c r="L3253" s="11">
        <v>12.62</v>
      </c>
      <c r="M3253" s="9" t="s">
        <v>1616</v>
      </c>
      <c r="N3253" s="6" t="s">
        <v>1595</v>
      </c>
      <c r="O3253" s="6" t="s">
        <v>1595</v>
      </c>
      <c r="P3253" s="9" t="s">
        <v>60</v>
      </c>
      <c r="Q3253" s="9" t="s">
        <v>26</v>
      </c>
      <c r="R3253" s="9" t="s">
        <v>37</v>
      </c>
      <c r="S3253" s="7" t="s">
        <v>1223</v>
      </c>
      <c r="T3253" s="9" t="s">
        <v>39</v>
      </c>
      <c r="U3253" s="7">
        <v>0.37</v>
      </c>
      <c r="V3253" s="12">
        <f t="shared" ref="V3253:V3259" si="62">C3253+1</f>
        <v>40951</v>
      </c>
      <c r="W3253">
        <f>IF(D3253=' Pivot Tables'!$A$4,1,0)</f>
        <v>0</v>
      </c>
      <c r="X3253">
        <f>IF(AND(LEFT(D3253,4)+1=LEFT(' Pivot Tables'!$A$4,4)+0,RIGHT(LEFT(D3253,7),2)=RIGHT(LEFT(' Pivot Tables'!$A$4,7),2)),1,0)</f>
        <v>0</v>
      </c>
      <c r="Y3253" s="6">
        <f>1/COUNTIF(Таблица1[Order ID],Таблица1[[#This Row],[Order ID]])</f>
        <v>1</v>
      </c>
      <c r="Z3253" s="9">
        <f>1/COUNTIFS(Таблица1[Customer Name],Таблица1[[#This Row],[Customer Name]],Таблица1[Order-Year-Month],Таблица1[[#This Row],[Order-Year-Month]])</f>
        <v>1</v>
      </c>
    </row>
    <row r="3254" spans="1:26" x14ac:dyDescent="0.2">
      <c r="A3254" s="6">
        <v>7726</v>
      </c>
      <c r="B3254" s="7">
        <v>55361</v>
      </c>
      <c r="C3254" s="8">
        <f>DATE(2012,12,31)-649</f>
        <v>40625</v>
      </c>
      <c r="D3254" s="8" t="str">
        <f t="shared" si="61"/>
        <v>2011-03 (март 2011)</v>
      </c>
      <c r="E3254" s="9" t="s">
        <v>45</v>
      </c>
      <c r="F3254" s="7">
        <v>22</v>
      </c>
      <c r="G3254" s="7">
        <v>51.39</v>
      </c>
      <c r="H3254" s="7">
        <v>0.06</v>
      </c>
      <c r="I3254" s="9" t="s">
        <v>56</v>
      </c>
      <c r="J3254" s="10">
        <v>-64.37</v>
      </c>
      <c r="K3254" s="11">
        <v>1.76</v>
      </c>
      <c r="L3254" s="11">
        <v>4.8600000000000003</v>
      </c>
      <c r="M3254" s="9" t="s">
        <v>1620</v>
      </c>
      <c r="N3254" s="6" t="s">
        <v>1595</v>
      </c>
      <c r="O3254" s="6" t="s">
        <v>1595</v>
      </c>
      <c r="P3254" s="9" t="s">
        <v>25</v>
      </c>
      <c r="Q3254" s="9" t="s">
        <v>49</v>
      </c>
      <c r="R3254" s="9" t="s">
        <v>50</v>
      </c>
      <c r="S3254" s="7" t="s">
        <v>1607</v>
      </c>
      <c r="T3254" s="9" t="s">
        <v>39</v>
      </c>
      <c r="U3254" s="7">
        <v>0.41</v>
      </c>
      <c r="V3254" s="12">
        <f t="shared" si="62"/>
        <v>40626</v>
      </c>
      <c r="W3254">
        <f>IF(D3254=' Pivot Tables'!$A$4,1,0)</f>
        <v>0</v>
      </c>
      <c r="X3254">
        <f>IF(AND(LEFT(D3254,4)+1=LEFT(' Pivot Tables'!$A$4,4)+0,RIGHT(LEFT(D3254,7),2)=RIGHT(LEFT(' Pivot Tables'!$A$4,7),2)),1,0)</f>
        <v>0</v>
      </c>
      <c r="Y3254" s="6">
        <f>1/COUNTIF(Таблица1[Order ID],Таблица1[[#This Row],[Order ID]])</f>
        <v>0.5</v>
      </c>
      <c r="Z3254" s="9">
        <f>1/COUNTIFS(Таблица1[Customer Name],Таблица1[[#This Row],[Customer Name]],Таблица1[Order-Year-Month],Таблица1[[#This Row],[Order-Year-Month]])</f>
        <v>0.5</v>
      </c>
    </row>
    <row r="3255" spans="1:26" x14ac:dyDescent="0.2">
      <c r="A3255" s="6">
        <v>7727</v>
      </c>
      <c r="B3255" s="7">
        <v>55361</v>
      </c>
      <c r="C3255" s="8">
        <f>DATE(2012,12,31)-649</f>
        <v>40625</v>
      </c>
      <c r="D3255" s="8" t="str">
        <f t="shared" si="61"/>
        <v>2011-03 (март 2011)</v>
      </c>
      <c r="E3255" s="9" t="s">
        <v>45</v>
      </c>
      <c r="F3255" s="7">
        <v>31</v>
      </c>
      <c r="G3255" s="7">
        <v>293.52</v>
      </c>
      <c r="H3255" s="7">
        <v>0.08</v>
      </c>
      <c r="I3255" s="9" t="s">
        <v>22</v>
      </c>
      <c r="J3255" s="10">
        <v>-116.66</v>
      </c>
      <c r="K3255" s="11">
        <v>9.3800000000000008</v>
      </c>
      <c r="L3255" s="11">
        <v>7.28</v>
      </c>
      <c r="M3255" s="9" t="s">
        <v>1620</v>
      </c>
      <c r="N3255" s="6" t="s">
        <v>1595</v>
      </c>
      <c r="O3255" s="6" t="s">
        <v>1595</v>
      </c>
      <c r="P3255" s="9" t="s">
        <v>25</v>
      </c>
      <c r="Q3255" s="9" t="s">
        <v>26</v>
      </c>
      <c r="R3255" s="9" t="s">
        <v>27</v>
      </c>
      <c r="S3255" s="7" t="s">
        <v>981</v>
      </c>
      <c r="T3255" s="9" t="s">
        <v>39</v>
      </c>
      <c r="U3255" s="7">
        <v>0.56999999999999995</v>
      </c>
      <c r="V3255" s="12">
        <f t="shared" si="62"/>
        <v>40626</v>
      </c>
      <c r="W3255">
        <f>IF(D3255=' Pivot Tables'!$A$4,1,0)</f>
        <v>0</v>
      </c>
      <c r="X3255">
        <f>IF(AND(LEFT(D3255,4)+1=LEFT(' Pivot Tables'!$A$4,4)+0,RIGHT(LEFT(D3255,7),2)=RIGHT(LEFT(' Pivot Tables'!$A$4,7),2)),1,0)</f>
        <v>0</v>
      </c>
      <c r="Y3255" s="6">
        <f>1/COUNTIF(Таблица1[Order ID],Таблица1[[#This Row],[Order ID]])</f>
        <v>0.5</v>
      </c>
      <c r="Z3255" s="9">
        <f>1/COUNTIFS(Таблица1[Customer Name],Таблица1[[#This Row],[Customer Name]],Таблица1[Order-Year-Month],Таблица1[[#This Row],[Order-Year-Month]])</f>
        <v>0.5</v>
      </c>
    </row>
    <row r="3256" spans="1:26" x14ac:dyDescent="0.2">
      <c r="A3256" s="6">
        <v>7820</v>
      </c>
      <c r="B3256" s="7">
        <v>55908</v>
      </c>
      <c r="C3256" s="8">
        <f>DATE(2012,12,31)-1318</f>
        <v>39956</v>
      </c>
      <c r="D3256" s="8" t="str">
        <f t="shared" si="61"/>
        <v>2009-05 (май 2009)</v>
      </c>
      <c r="E3256" s="9" t="s">
        <v>30</v>
      </c>
      <c r="F3256" s="7">
        <v>44</v>
      </c>
      <c r="G3256" s="7">
        <v>1844.97</v>
      </c>
      <c r="H3256" s="7">
        <v>0.03</v>
      </c>
      <c r="I3256" s="9" t="s">
        <v>22</v>
      </c>
      <c r="J3256" s="10">
        <v>807.38100000000009</v>
      </c>
      <c r="K3256" s="11">
        <v>42.8</v>
      </c>
      <c r="L3256" s="11">
        <v>2.99</v>
      </c>
      <c r="M3256" s="9" t="s">
        <v>1628</v>
      </c>
      <c r="N3256" s="6" t="s">
        <v>1595</v>
      </c>
      <c r="O3256" s="6" t="s">
        <v>1595</v>
      </c>
      <c r="P3256" s="9" t="s">
        <v>41</v>
      </c>
      <c r="Q3256" s="9" t="s">
        <v>26</v>
      </c>
      <c r="R3256" s="9" t="s">
        <v>37</v>
      </c>
      <c r="S3256" s="7" t="s">
        <v>1154</v>
      </c>
      <c r="T3256" s="9" t="s">
        <v>39</v>
      </c>
      <c r="U3256" s="7">
        <v>0.36</v>
      </c>
      <c r="V3256" s="12">
        <f t="shared" si="62"/>
        <v>39957</v>
      </c>
      <c r="W3256">
        <f>IF(D3256=' Pivot Tables'!$A$4,1,0)</f>
        <v>0</v>
      </c>
      <c r="X3256">
        <f>IF(AND(LEFT(D3256,4)+1=LEFT(' Pivot Tables'!$A$4,4)+0,RIGHT(LEFT(D3256,7),2)=RIGHT(LEFT(' Pivot Tables'!$A$4,7),2)),1,0)</f>
        <v>0</v>
      </c>
      <c r="Y3256" s="6">
        <f>1/COUNTIF(Таблица1[Order ID],Таблица1[[#This Row],[Order ID]])</f>
        <v>1</v>
      </c>
      <c r="Z3256" s="9">
        <f>1/COUNTIFS(Таблица1[Customer Name],Таблица1[[#This Row],[Customer Name]],Таблица1[Order-Year-Month],Таблица1[[#This Row],[Order-Year-Month]])</f>
        <v>0.5</v>
      </c>
    </row>
    <row r="3257" spans="1:26" x14ac:dyDescent="0.2">
      <c r="A3257" s="6">
        <v>7865</v>
      </c>
      <c r="B3257" s="7">
        <v>56257</v>
      </c>
      <c r="C3257" s="8">
        <f>DATE(2012,12,31)-479</f>
        <v>40795</v>
      </c>
      <c r="D3257" s="8" t="str">
        <f t="shared" si="61"/>
        <v>2011-09 (сентябрь 2011)</v>
      </c>
      <c r="E3257" s="9" t="s">
        <v>63</v>
      </c>
      <c r="F3257" s="7">
        <v>49</v>
      </c>
      <c r="G3257" s="7">
        <v>266.3</v>
      </c>
      <c r="H3257" s="7">
        <v>0.03</v>
      </c>
      <c r="I3257" s="9" t="s">
        <v>56</v>
      </c>
      <c r="J3257" s="10">
        <v>-135.06</v>
      </c>
      <c r="K3257" s="11">
        <v>4.97</v>
      </c>
      <c r="L3257" s="11">
        <v>5.71</v>
      </c>
      <c r="M3257" s="9" t="s">
        <v>1631</v>
      </c>
      <c r="N3257" s="6" t="s">
        <v>1595</v>
      </c>
      <c r="O3257" s="6" t="s">
        <v>1595</v>
      </c>
      <c r="P3257" s="9" t="s">
        <v>60</v>
      </c>
      <c r="Q3257" s="9" t="s">
        <v>49</v>
      </c>
      <c r="R3257" s="9" t="s">
        <v>50</v>
      </c>
      <c r="S3257" s="7" t="s">
        <v>1634</v>
      </c>
      <c r="T3257" s="9" t="s">
        <v>48</v>
      </c>
      <c r="U3257" s="7">
        <v>0.54</v>
      </c>
      <c r="V3257" s="12">
        <f t="shared" si="62"/>
        <v>40796</v>
      </c>
      <c r="W3257">
        <f>IF(D3257=' Pivot Tables'!$A$4,1,0)</f>
        <v>0</v>
      </c>
      <c r="X3257">
        <f>IF(AND(LEFT(D3257,4)+1=LEFT(' Pivot Tables'!$A$4,4)+0,RIGHT(LEFT(D3257,7),2)=RIGHT(LEFT(' Pivot Tables'!$A$4,7),2)),1,0)</f>
        <v>0</v>
      </c>
      <c r="Y3257" s="6">
        <f>1/COUNTIF(Таблица1[Order ID],Таблица1[[#This Row],[Order ID]])</f>
        <v>1</v>
      </c>
      <c r="Z3257" s="9">
        <f>1/COUNTIFS(Таблица1[Customer Name],Таблица1[[#This Row],[Customer Name]],Таблица1[Order-Year-Month],Таблица1[[#This Row],[Order-Year-Month]])</f>
        <v>1</v>
      </c>
    </row>
    <row r="3258" spans="1:26" x14ac:dyDescent="0.2">
      <c r="A3258" s="6">
        <v>7972</v>
      </c>
      <c r="B3258" s="7">
        <v>57029</v>
      </c>
      <c r="C3258" s="8">
        <f>DATE(2012,12,31)-664</f>
        <v>40610</v>
      </c>
      <c r="D3258" s="8" t="str">
        <f t="shared" si="61"/>
        <v>2011-03 (март 2011)</v>
      </c>
      <c r="E3258" s="9" t="s">
        <v>78</v>
      </c>
      <c r="F3258" s="7">
        <v>17</v>
      </c>
      <c r="G3258" s="7">
        <v>74.25</v>
      </c>
      <c r="H3258" s="7">
        <v>0.01</v>
      </c>
      <c r="I3258" s="9" t="s">
        <v>22</v>
      </c>
      <c r="J3258" s="10">
        <v>-56.166000000000004</v>
      </c>
      <c r="K3258" s="11">
        <v>3.98</v>
      </c>
      <c r="L3258" s="11">
        <v>5.26</v>
      </c>
      <c r="M3258" s="9" t="s">
        <v>1602</v>
      </c>
      <c r="N3258" s="6" t="s">
        <v>1595</v>
      </c>
      <c r="O3258" s="6" t="s">
        <v>1595</v>
      </c>
      <c r="P3258" s="9" t="s">
        <v>33</v>
      </c>
      <c r="Q3258" s="9" t="s">
        <v>26</v>
      </c>
      <c r="R3258" s="9" t="s">
        <v>37</v>
      </c>
      <c r="S3258" s="7" t="s">
        <v>1348</v>
      </c>
      <c r="T3258" s="9" t="s">
        <v>39</v>
      </c>
      <c r="U3258" s="7">
        <v>0.38</v>
      </c>
      <c r="V3258" s="12">
        <f t="shared" si="62"/>
        <v>40611</v>
      </c>
      <c r="W3258">
        <f>IF(D3258=' Pivot Tables'!$A$4,1,0)</f>
        <v>0</v>
      </c>
      <c r="X3258">
        <f>IF(AND(LEFT(D3258,4)+1=LEFT(' Pivot Tables'!$A$4,4)+0,RIGHT(LEFT(D3258,7),2)=RIGHT(LEFT(' Pivot Tables'!$A$4,7),2)),1,0)</f>
        <v>0</v>
      </c>
      <c r="Y3258" s="6">
        <f>1/COUNTIF(Таблица1[Order ID],Таблица1[[#This Row],[Order ID]])</f>
        <v>0.5</v>
      </c>
      <c r="Z3258" s="9">
        <f>1/COUNTIFS(Таблица1[Customer Name],Таблица1[[#This Row],[Customer Name]],Таблица1[Order-Year-Month],Таблица1[[#This Row],[Order-Year-Month]])</f>
        <v>0.5</v>
      </c>
    </row>
    <row r="3259" spans="1:26" x14ac:dyDescent="0.2">
      <c r="A3259" s="6">
        <v>7973</v>
      </c>
      <c r="B3259" s="7">
        <v>57029</v>
      </c>
      <c r="C3259" s="8">
        <f>DATE(2012,12,31)-664</f>
        <v>40610</v>
      </c>
      <c r="D3259" s="8" t="str">
        <f t="shared" si="61"/>
        <v>2011-03 (март 2011)</v>
      </c>
      <c r="E3259" s="9" t="s">
        <v>78</v>
      </c>
      <c r="F3259" s="7">
        <v>4</v>
      </c>
      <c r="G3259" s="7">
        <v>23.23</v>
      </c>
      <c r="H3259" s="7">
        <v>0.09</v>
      </c>
      <c r="I3259" s="9" t="s">
        <v>22</v>
      </c>
      <c r="J3259" s="10">
        <v>-19.059999999999999</v>
      </c>
      <c r="K3259" s="11">
        <v>4.28</v>
      </c>
      <c r="L3259" s="11">
        <v>6.72</v>
      </c>
      <c r="M3259" s="9" t="s">
        <v>1602</v>
      </c>
      <c r="N3259" s="6" t="s">
        <v>1595</v>
      </c>
      <c r="O3259" s="6" t="s">
        <v>1595</v>
      </c>
      <c r="P3259" s="9" t="s">
        <v>33</v>
      </c>
      <c r="Q3259" s="9" t="s">
        <v>26</v>
      </c>
      <c r="R3259" s="9" t="s">
        <v>61</v>
      </c>
      <c r="S3259" s="7" t="s">
        <v>1007</v>
      </c>
      <c r="T3259" s="9" t="s">
        <v>39</v>
      </c>
      <c r="U3259" s="7">
        <v>0.4</v>
      </c>
      <c r="V3259" s="12">
        <f t="shared" si="62"/>
        <v>40611</v>
      </c>
      <c r="W3259">
        <f>IF(D3259=' Pivot Tables'!$A$4,1,0)</f>
        <v>0</v>
      </c>
      <c r="X3259">
        <f>IF(AND(LEFT(D3259,4)+1=LEFT(' Pivot Tables'!$A$4,4)+0,RIGHT(LEFT(D3259,7),2)=RIGHT(LEFT(' Pivot Tables'!$A$4,7),2)),1,0)</f>
        <v>0</v>
      </c>
      <c r="Y3259" s="6">
        <f>1/COUNTIF(Таблица1[Order ID],Таблица1[[#This Row],[Order ID]])</f>
        <v>0.5</v>
      </c>
      <c r="Z3259" s="9">
        <f>1/COUNTIFS(Таблица1[Customer Name],Таблица1[[#This Row],[Customer Name]],Таблица1[Order-Year-Month],Таблица1[[#This Row],[Order-Year-Month]])</f>
        <v>0.5</v>
      </c>
    </row>
    <row r="3260" spans="1:26" x14ac:dyDescent="0.2">
      <c r="A3260" s="6">
        <v>8134</v>
      </c>
      <c r="B3260" s="7">
        <v>58145</v>
      </c>
      <c r="C3260" s="8">
        <f>DATE(2012,12,31)-229</f>
        <v>41045</v>
      </c>
      <c r="D3260" s="8" t="str">
        <f t="shared" si="61"/>
        <v>2012-05 (май 2012)</v>
      </c>
      <c r="E3260" s="9" t="s">
        <v>63</v>
      </c>
      <c r="F3260" s="7">
        <v>33</v>
      </c>
      <c r="G3260" s="7">
        <v>203.49</v>
      </c>
      <c r="H3260" s="7">
        <v>0</v>
      </c>
      <c r="I3260" s="9" t="s">
        <v>56</v>
      </c>
      <c r="J3260" s="10">
        <v>46.21</v>
      </c>
      <c r="K3260" s="11">
        <v>5.84</v>
      </c>
      <c r="L3260" s="11">
        <v>1.2</v>
      </c>
      <c r="M3260" s="9" t="s">
        <v>1278</v>
      </c>
      <c r="N3260" s="6" t="s">
        <v>1595</v>
      </c>
      <c r="O3260" s="6" t="s">
        <v>1595</v>
      </c>
      <c r="P3260" s="9" t="s">
        <v>41</v>
      </c>
      <c r="Q3260" s="9" t="s">
        <v>49</v>
      </c>
      <c r="R3260" s="9" t="s">
        <v>50</v>
      </c>
      <c r="S3260" s="7" t="s">
        <v>574</v>
      </c>
      <c r="T3260" s="9" t="s">
        <v>48</v>
      </c>
      <c r="U3260" s="7">
        <v>0.74</v>
      </c>
      <c r="V3260" s="12">
        <f>C3260+0</f>
        <v>41045</v>
      </c>
      <c r="W3260">
        <f>IF(D3260=' Pivot Tables'!$A$4,1,0)</f>
        <v>0</v>
      </c>
      <c r="X3260">
        <f>IF(AND(LEFT(D3260,4)+1=LEFT(' Pivot Tables'!$A$4,4)+0,RIGHT(LEFT(D3260,7),2)=RIGHT(LEFT(' Pivot Tables'!$A$4,7),2)),1,0)</f>
        <v>0</v>
      </c>
      <c r="Y3260" s="6">
        <f>1/COUNTIF(Таблица1[Order ID],Таблица1[[#This Row],[Order ID]])</f>
        <v>1</v>
      </c>
      <c r="Z3260" s="9">
        <f>1/COUNTIFS(Таблица1[Customer Name],Таблица1[[#This Row],[Customer Name]],Таблица1[Order-Year-Month],Таблица1[[#This Row],[Order-Year-Month]])</f>
        <v>0.33333333333333331</v>
      </c>
    </row>
    <row r="3261" spans="1:26" x14ac:dyDescent="0.2">
      <c r="A3261" s="6">
        <v>8137</v>
      </c>
      <c r="B3261" s="7">
        <v>58151</v>
      </c>
      <c r="C3261" s="8">
        <f>DATE(2012,12,31)-1189</f>
        <v>40085</v>
      </c>
      <c r="D3261" s="8" t="str">
        <f t="shared" si="61"/>
        <v>2009-09 (сентябрь 2009)</v>
      </c>
      <c r="E3261" s="9" t="s">
        <v>30</v>
      </c>
      <c r="F3261" s="7">
        <v>33</v>
      </c>
      <c r="G3261" s="7">
        <v>211.48</v>
      </c>
      <c r="H3261" s="7">
        <v>0.1</v>
      </c>
      <c r="I3261" s="9" t="s">
        <v>22</v>
      </c>
      <c r="J3261" s="10">
        <v>18.147500000000001</v>
      </c>
      <c r="K3261" s="11">
        <v>6.75</v>
      </c>
      <c r="L3261" s="11">
        <v>2.99</v>
      </c>
      <c r="M3261" s="9" t="s">
        <v>1358</v>
      </c>
      <c r="N3261" s="6" t="s">
        <v>1595</v>
      </c>
      <c r="O3261" s="6" t="s">
        <v>1595</v>
      </c>
      <c r="P3261" s="9" t="s">
        <v>60</v>
      </c>
      <c r="Q3261" s="9" t="s">
        <v>26</v>
      </c>
      <c r="R3261" s="9" t="s">
        <v>37</v>
      </c>
      <c r="S3261" s="7" t="s">
        <v>362</v>
      </c>
      <c r="T3261" s="9" t="s">
        <v>39</v>
      </c>
      <c r="U3261" s="7">
        <v>0.35</v>
      </c>
      <c r="V3261" s="12">
        <f>C3261+0</f>
        <v>40085</v>
      </c>
      <c r="W3261">
        <f>IF(D3261=' Pivot Tables'!$A$4,1,0)</f>
        <v>0</v>
      </c>
      <c r="X3261">
        <f>IF(AND(LEFT(D3261,4)+1=LEFT(' Pivot Tables'!$A$4,4)+0,RIGHT(LEFT(D3261,7),2)=RIGHT(LEFT(' Pivot Tables'!$A$4,7),2)),1,0)</f>
        <v>0</v>
      </c>
      <c r="Y3261" s="6">
        <f>1/COUNTIF(Таблица1[Order ID],Таблица1[[#This Row],[Order ID]])</f>
        <v>0.5</v>
      </c>
      <c r="Z3261" s="9">
        <f>1/COUNTIFS(Таблица1[Customer Name],Таблица1[[#This Row],[Customer Name]],Таблица1[Order-Year-Month],Таблица1[[#This Row],[Order-Year-Month]])</f>
        <v>0.5</v>
      </c>
    </row>
    <row r="3262" spans="1:26" x14ac:dyDescent="0.2">
      <c r="A3262" s="6">
        <v>8138</v>
      </c>
      <c r="B3262" s="7">
        <v>58151</v>
      </c>
      <c r="C3262" s="8">
        <f>DATE(2012,12,31)-1189</f>
        <v>40085</v>
      </c>
      <c r="D3262" s="8" t="str">
        <f t="shared" si="61"/>
        <v>2009-09 (сентябрь 2009)</v>
      </c>
      <c r="E3262" s="9" t="s">
        <v>30</v>
      </c>
      <c r="F3262" s="7">
        <v>38</v>
      </c>
      <c r="G3262" s="7">
        <v>5601.1</v>
      </c>
      <c r="H3262" s="7">
        <v>0.02</v>
      </c>
      <c r="I3262" s="9" t="s">
        <v>56</v>
      </c>
      <c r="J3262" s="10">
        <v>1515.7</v>
      </c>
      <c r="K3262" s="11">
        <v>142.86000000000001</v>
      </c>
      <c r="L3262" s="11">
        <v>19.989999999999998</v>
      </c>
      <c r="M3262" s="9" t="s">
        <v>1358</v>
      </c>
      <c r="N3262" s="6" t="s">
        <v>1595</v>
      </c>
      <c r="O3262" s="6" t="s">
        <v>1595</v>
      </c>
      <c r="P3262" s="9" t="s">
        <v>60</v>
      </c>
      <c r="Q3262" s="9" t="s">
        <v>26</v>
      </c>
      <c r="R3262" s="9" t="s">
        <v>27</v>
      </c>
      <c r="S3262" s="7" t="s">
        <v>887</v>
      </c>
      <c r="T3262" s="9" t="s">
        <v>39</v>
      </c>
      <c r="U3262" s="7">
        <v>0.56000000000000005</v>
      </c>
      <c r="V3262" s="12">
        <f>C3262+0</f>
        <v>40085</v>
      </c>
      <c r="W3262">
        <f>IF(D3262=' Pivot Tables'!$A$4,1,0)</f>
        <v>0</v>
      </c>
      <c r="X3262">
        <f>IF(AND(LEFT(D3262,4)+1=LEFT(' Pivot Tables'!$A$4,4)+0,RIGHT(LEFT(D3262,7),2)=RIGHT(LEFT(' Pivot Tables'!$A$4,7),2)),1,0)</f>
        <v>0</v>
      </c>
      <c r="Y3262" s="6">
        <f>1/COUNTIF(Таблица1[Order ID],Таблица1[[#This Row],[Order ID]])</f>
        <v>0.5</v>
      </c>
      <c r="Z3262" s="9">
        <f>1/COUNTIFS(Таблица1[Customer Name],Таблица1[[#This Row],[Customer Name]],Таблица1[Order-Year-Month],Таблица1[[#This Row],[Order-Year-Month]])</f>
        <v>0.5</v>
      </c>
    </row>
    <row r="3263" spans="1:26" x14ac:dyDescent="0.2">
      <c r="A3263" s="6">
        <v>8207</v>
      </c>
      <c r="B3263" s="7">
        <v>58659</v>
      </c>
      <c r="C3263" s="8">
        <f>DATE(2012,12,31)-799</f>
        <v>40475</v>
      </c>
      <c r="D3263" s="8" t="str">
        <f t="shared" si="61"/>
        <v>2010-10 (октябрь 2010)</v>
      </c>
      <c r="E3263" s="9" t="s">
        <v>30</v>
      </c>
      <c r="F3263" s="7">
        <v>2</v>
      </c>
      <c r="G3263" s="7">
        <v>21.01</v>
      </c>
      <c r="H3263" s="7">
        <v>0.03</v>
      </c>
      <c r="I3263" s="9" t="s">
        <v>22</v>
      </c>
      <c r="J3263" s="10">
        <v>-13.13</v>
      </c>
      <c r="K3263" s="11">
        <v>6.48</v>
      </c>
      <c r="L3263" s="11">
        <v>8.19</v>
      </c>
      <c r="M3263" s="9" t="s">
        <v>1628</v>
      </c>
      <c r="N3263" s="6" t="s">
        <v>1595</v>
      </c>
      <c r="O3263" s="6" t="s">
        <v>1595</v>
      </c>
      <c r="P3263" s="9" t="s">
        <v>25</v>
      </c>
      <c r="Q3263" s="9" t="s">
        <v>26</v>
      </c>
      <c r="R3263" s="9" t="s">
        <v>61</v>
      </c>
      <c r="S3263" s="7" t="s">
        <v>176</v>
      </c>
      <c r="T3263" s="9" t="s">
        <v>39</v>
      </c>
      <c r="U3263" s="7">
        <v>0.37</v>
      </c>
      <c r="V3263" s="12">
        <f>C3263+2</f>
        <v>40477</v>
      </c>
      <c r="W3263">
        <f>IF(D3263=' Pivot Tables'!$A$4,1,0)</f>
        <v>0</v>
      </c>
      <c r="X3263">
        <f>IF(AND(LEFT(D3263,4)+1=LEFT(' Pivot Tables'!$A$4,4)+0,RIGHT(LEFT(D3263,7),2)=RIGHT(LEFT(' Pivot Tables'!$A$4,7),2)),1,0)</f>
        <v>0</v>
      </c>
      <c r="Y3263" s="6">
        <f>1/COUNTIF(Таблица1[Order ID],Таблица1[[#This Row],[Order ID]])</f>
        <v>1</v>
      </c>
      <c r="Z3263" s="9">
        <f>1/COUNTIFS(Таблица1[Customer Name],Таблица1[[#This Row],[Customer Name]],Таблица1[Order-Year-Month],Таблица1[[#This Row],[Order-Year-Month]])</f>
        <v>1</v>
      </c>
    </row>
    <row r="3264" spans="1:26" x14ac:dyDescent="0.2">
      <c r="A3264" s="6">
        <v>8216</v>
      </c>
      <c r="B3264" s="7">
        <v>58727</v>
      </c>
      <c r="C3264" s="8">
        <f>DATE(2012,12,31)-1274</f>
        <v>40000</v>
      </c>
      <c r="D3264" s="8" t="str">
        <f t="shared" si="61"/>
        <v>2009-07 (июль 2009)</v>
      </c>
      <c r="E3264" s="9" t="s">
        <v>63</v>
      </c>
      <c r="F3264" s="7">
        <v>20</v>
      </c>
      <c r="G3264" s="7">
        <v>525.78</v>
      </c>
      <c r="H3264" s="7">
        <v>0.03</v>
      </c>
      <c r="I3264" s="9" t="s">
        <v>22</v>
      </c>
      <c r="J3264" s="10">
        <v>180.64</v>
      </c>
      <c r="K3264" s="11">
        <v>26.48</v>
      </c>
      <c r="L3264" s="11">
        <v>6.93</v>
      </c>
      <c r="M3264" s="9" t="s">
        <v>1600</v>
      </c>
      <c r="N3264" s="6" t="s">
        <v>1595</v>
      </c>
      <c r="O3264" s="6" t="s">
        <v>1595</v>
      </c>
      <c r="P3264" s="9" t="s">
        <v>60</v>
      </c>
      <c r="Q3264" s="9" t="s">
        <v>49</v>
      </c>
      <c r="R3264" s="9" t="s">
        <v>50</v>
      </c>
      <c r="S3264" s="7" t="s">
        <v>649</v>
      </c>
      <c r="T3264" s="9" t="s">
        <v>39</v>
      </c>
      <c r="U3264" s="7">
        <v>0.49</v>
      </c>
      <c r="V3264" s="12">
        <f>C3264+1</f>
        <v>40001</v>
      </c>
      <c r="W3264">
        <f>IF(D3264=' Pivot Tables'!$A$4,1,0)</f>
        <v>0</v>
      </c>
      <c r="X3264">
        <f>IF(AND(LEFT(D3264,4)+1=LEFT(' Pivot Tables'!$A$4,4)+0,RIGHT(LEFT(D3264,7),2)=RIGHT(LEFT(' Pivot Tables'!$A$4,7),2)),1,0)</f>
        <v>0</v>
      </c>
      <c r="Y3264" s="6">
        <f>1/COUNTIF(Таблица1[Order ID],Таблица1[[#This Row],[Order ID]])</f>
        <v>1</v>
      </c>
      <c r="Z3264" s="9">
        <f>1/COUNTIFS(Таблица1[Customer Name],Таблица1[[#This Row],[Customer Name]],Таблица1[Order-Year-Month],Таблица1[[#This Row],[Order-Year-Month]])</f>
        <v>1</v>
      </c>
    </row>
    <row r="3265" spans="1:26" x14ac:dyDescent="0.2">
      <c r="A3265" s="6">
        <v>44</v>
      </c>
      <c r="B3265" s="7">
        <v>258</v>
      </c>
      <c r="C3265" s="8">
        <f>DATE(2012,12,31)-734</f>
        <v>40540</v>
      </c>
      <c r="D3265" s="8" t="str">
        <f t="shared" si="61"/>
        <v>2010-12 (декабрь 2010)</v>
      </c>
      <c r="E3265" s="9" t="s">
        <v>78</v>
      </c>
      <c r="F3265" s="7">
        <v>33</v>
      </c>
      <c r="G3265" s="7">
        <v>216.77</v>
      </c>
      <c r="H3265" s="7">
        <v>0.02</v>
      </c>
      <c r="I3265" s="9" t="s">
        <v>22</v>
      </c>
      <c r="J3265" s="10">
        <v>-55.108000000000004</v>
      </c>
      <c r="K3265" s="11">
        <v>6.54</v>
      </c>
      <c r="L3265" s="11">
        <v>5.27</v>
      </c>
      <c r="M3265" s="9" t="s">
        <v>1568</v>
      </c>
      <c r="N3265" s="6" t="s">
        <v>1595</v>
      </c>
      <c r="O3265" s="6" t="s">
        <v>1595</v>
      </c>
      <c r="P3265" s="9" t="s">
        <v>60</v>
      </c>
      <c r="Q3265" s="9" t="s">
        <v>26</v>
      </c>
      <c r="R3265" s="9" t="s">
        <v>37</v>
      </c>
      <c r="S3265" s="7" t="s">
        <v>744</v>
      </c>
      <c r="T3265" s="9" t="s">
        <v>39</v>
      </c>
      <c r="U3265" s="7">
        <v>0.36</v>
      </c>
      <c r="V3265" s="12">
        <f>C3265+2</f>
        <v>40542</v>
      </c>
      <c r="W3265">
        <f>IF(D3265=' Pivot Tables'!$A$4,1,0)</f>
        <v>0</v>
      </c>
      <c r="X3265">
        <f>IF(AND(LEFT(D3265,4)+1=LEFT(' Pivot Tables'!$A$4,4)+0,RIGHT(LEFT(D3265,7),2)=RIGHT(LEFT(' Pivot Tables'!$A$4,7),2)),1,0)</f>
        <v>0</v>
      </c>
      <c r="Y3265" s="6">
        <f>1/COUNTIF(Таблица1[Order ID],Таблица1[[#This Row],[Order ID]])</f>
        <v>0.33333333333333331</v>
      </c>
      <c r="Z3265" s="9">
        <f>1/COUNTIFS(Таблица1[Customer Name],Таблица1[[#This Row],[Customer Name]],Таблица1[Order-Year-Month],Таблица1[[#This Row],[Order-Year-Month]])</f>
        <v>0.33333333333333331</v>
      </c>
    </row>
    <row r="3266" spans="1:26" x14ac:dyDescent="0.2">
      <c r="A3266" s="6">
        <v>153</v>
      </c>
      <c r="B3266" s="7">
        <v>964</v>
      </c>
      <c r="C3266" s="8">
        <f>DATE(2012,12,31)-592</f>
        <v>40682</v>
      </c>
      <c r="D3266" s="8" t="str">
        <f t="shared" si="61"/>
        <v>2011-05 (май 2011)</v>
      </c>
      <c r="E3266" s="9" t="s">
        <v>63</v>
      </c>
      <c r="F3266" s="7">
        <v>50</v>
      </c>
      <c r="G3266" s="7">
        <v>315.02</v>
      </c>
      <c r="H3266" s="7">
        <v>0.02</v>
      </c>
      <c r="I3266" s="9" t="s">
        <v>22</v>
      </c>
      <c r="J3266" s="10">
        <v>95.157499999999999</v>
      </c>
      <c r="K3266" s="11">
        <v>5.98</v>
      </c>
      <c r="L3266" s="11">
        <v>1.49</v>
      </c>
      <c r="M3266" s="9" t="s">
        <v>1518</v>
      </c>
      <c r="N3266" s="6" t="s">
        <v>1595</v>
      </c>
      <c r="O3266" s="6" t="s">
        <v>1595</v>
      </c>
      <c r="P3266" s="9" t="s">
        <v>41</v>
      </c>
      <c r="Q3266" s="9" t="s">
        <v>26</v>
      </c>
      <c r="R3266" s="9" t="s">
        <v>37</v>
      </c>
      <c r="S3266" s="7" t="s">
        <v>1351</v>
      </c>
      <c r="T3266" s="9" t="s">
        <v>39</v>
      </c>
      <c r="U3266" s="7">
        <v>0.39</v>
      </c>
      <c r="V3266" s="12">
        <f>C3266+2</f>
        <v>40684</v>
      </c>
      <c r="W3266">
        <f>IF(D3266=' Pivot Tables'!$A$4,1,0)</f>
        <v>0</v>
      </c>
      <c r="X3266">
        <f>IF(AND(LEFT(D3266,4)+1=LEFT(' Pivot Tables'!$A$4,4)+0,RIGHT(LEFT(D3266,7),2)=RIGHT(LEFT(' Pivot Tables'!$A$4,7),2)),1,0)</f>
        <v>0</v>
      </c>
      <c r="Y3266" s="6">
        <f>1/COUNTIF(Таблица1[Order ID],Таблица1[[#This Row],[Order ID]])</f>
        <v>0.5</v>
      </c>
      <c r="Z3266" s="9">
        <f>1/COUNTIFS(Таблица1[Customer Name],Таблица1[[#This Row],[Customer Name]],Таблица1[Order-Year-Month],Таблица1[[#This Row],[Order-Year-Month]])</f>
        <v>0.25</v>
      </c>
    </row>
    <row r="3267" spans="1:26" x14ac:dyDescent="0.2">
      <c r="A3267" s="6">
        <v>177</v>
      </c>
      <c r="B3267" s="7">
        <v>1154</v>
      </c>
      <c r="C3267" s="8">
        <f>DATE(2012,12,31)-321</f>
        <v>40953</v>
      </c>
      <c r="D3267" s="8" t="str">
        <f t="shared" ref="D3267:D3330" si="63">TEXT(C3267,"гггг-ММ (ММММ гггг)")</f>
        <v>2012-02 (февраль 2012)</v>
      </c>
      <c r="E3267" s="9" t="s">
        <v>78</v>
      </c>
      <c r="F3267" s="7">
        <v>23</v>
      </c>
      <c r="G3267" s="7">
        <v>115.1</v>
      </c>
      <c r="H3267" s="7">
        <v>0.02</v>
      </c>
      <c r="I3267" s="9" t="s">
        <v>22</v>
      </c>
      <c r="J3267" s="10">
        <v>53.13</v>
      </c>
      <c r="K3267" s="11">
        <v>4.91</v>
      </c>
      <c r="L3267" s="11">
        <v>0.5</v>
      </c>
      <c r="M3267" s="9" t="s">
        <v>1452</v>
      </c>
      <c r="N3267" s="6" t="s">
        <v>1595</v>
      </c>
      <c r="O3267" s="6" t="s">
        <v>1595</v>
      </c>
      <c r="P3267" s="9" t="s">
        <v>60</v>
      </c>
      <c r="Q3267" s="9" t="s">
        <v>26</v>
      </c>
      <c r="R3267" s="9" t="s">
        <v>88</v>
      </c>
      <c r="S3267" s="7" t="s">
        <v>509</v>
      </c>
      <c r="T3267" s="9" t="s">
        <v>39</v>
      </c>
      <c r="U3267" s="7">
        <v>0.36</v>
      </c>
      <c r="V3267" s="12">
        <f>C3267+2</f>
        <v>40955</v>
      </c>
      <c r="W3267">
        <f>IF(D3267=' Pivot Tables'!$A$4,1,0)</f>
        <v>0</v>
      </c>
      <c r="X3267">
        <f>IF(AND(LEFT(D3267,4)+1=LEFT(' Pivot Tables'!$A$4,4)+0,RIGHT(LEFT(D3267,7),2)=RIGHT(LEFT(' Pivot Tables'!$A$4,7),2)),1,0)</f>
        <v>0</v>
      </c>
      <c r="Y3267" s="6">
        <f>1/COUNTIF(Таблица1[Order ID],Таблица1[[#This Row],[Order ID]])</f>
        <v>0.25</v>
      </c>
      <c r="Z3267" s="9">
        <f>1/COUNTIFS(Таблица1[Customer Name],Таблица1[[#This Row],[Customer Name]],Таблица1[Order-Year-Month],Таблица1[[#This Row],[Order-Year-Month]])</f>
        <v>0.5</v>
      </c>
    </row>
    <row r="3268" spans="1:26" x14ac:dyDescent="0.2">
      <c r="A3268" s="6">
        <v>227</v>
      </c>
      <c r="B3268" s="7">
        <v>1537</v>
      </c>
      <c r="C3268" s="8">
        <f>DATE(2012,12,31)-321</f>
        <v>40953</v>
      </c>
      <c r="D3268" s="8" t="str">
        <f t="shared" si="63"/>
        <v>2012-02 (февраль 2012)</v>
      </c>
      <c r="E3268" s="9" t="s">
        <v>45</v>
      </c>
      <c r="F3268" s="7">
        <v>5</v>
      </c>
      <c r="G3268" s="7">
        <v>16.600000000000001</v>
      </c>
      <c r="H3268" s="7">
        <v>7.0000000000000007E-2</v>
      </c>
      <c r="I3268" s="9" t="s">
        <v>22</v>
      </c>
      <c r="J3268" s="10">
        <v>-20.297499999999999</v>
      </c>
      <c r="K3268" s="11">
        <v>2.16</v>
      </c>
      <c r="L3268" s="11">
        <v>6.05</v>
      </c>
      <c r="M3268" s="9" t="s">
        <v>1635</v>
      </c>
      <c r="N3268" s="6" t="s">
        <v>1595</v>
      </c>
      <c r="O3268" s="6" t="s">
        <v>1595</v>
      </c>
      <c r="P3268" s="9" t="s">
        <v>41</v>
      </c>
      <c r="Q3268" s="9" t="s">
        <v>26</v>
      </c>
      <c r="R3268" s="9" t="s">
        <v>37</v>
      </c>
      <c r="S3268" s="7" t="s">
        <v>516</v>
      </c>
      <c r="T3268" s="9" t="s">
        <v>39</v>
      </c>
      <c r="U3268" s="7">
        <v>0.37</v>
      </c>
      <c r="V3268" s="12">
        <f>C3268+0</f>
        <v>40953</v>
      </c>
      <c r="W3268">
        <f>IF(D3268=' Pivot Tables'!$A$4,1,0)</f>
        <v>0</v>
      </c>
      <c r="X3268">
        <f>IF(AND(LEFT(D3268,4)+1=LEFT(' Pivot Tables'!$A$4,4)+0,RIGHT(LEFT(D3268,7),2)=RIGHT(LEFT(' Pivot Tables'!$A$4,7),2)),1,0)</f>
        <v>0</v>
      </c>
      <c r="Y3268" s="6">
        <f>1/COUNTIF(Таблица1[Order ID],Таблица1[[#This Row],[Order ID]])</f>
        <v>1</v>
      </c>
      <c r="Z3268" s="9">
        <f>1/COUNTIFS(Таблица1[Customer Name],Таблица1[[#This Row],[Customer Name]],Таблица1[Order-Year-Month],Таблица1[[#This Row],[Order-Year-Month]])</f>
        <v>1</v>
      </c>
    </row>
    <row r="3269" spans="1:26" x14ac:dyDescent="0.2">
      <c r="A3269" s="6">
        <v>650</v>
      </c>
      <c r="B3269" s="7">
        <v>4580</v>
      </c>
      <c r="C3269" s="8">
        <f>DATE(2012,12,31)-778</f>
        <v>40496</v>
      </c>
      <c r="D3269" s="8" t="str">
        <f t="shared" si="63"/>
        <v>2010-11 (ноябрь 2010)</v>
      </c>
      <c r="E3269" s="9" t="s">
        <v>45</v>
      </c>
      <c r="F3269" s="7">
        <v>28</v>
      </c>
      <c r="G3269" s="7">
        <v>7384.54</v>
      </c>
      <c r="H3269" s="7">
        <v>0.09</v>
      </c>
      <c r="I3269" s="9" t="s">
        <v>31</v>
      </c>
      <c r="J3269" s="10">
        <v>-2301.5278000000003</v>
      </c>
      <c r="K3269" s="11">
        <v>280.98</v>
      </c>
      <c r="L3269" s="11">
        <v>81.98</v>
      </c>
      <c r="M3269" s="9" t="s">
        <v>1457</v>
      </c>
      <c r="N3269" s="6" t="s">
        <v>1595</v>
      </c>
      <c r="O3269" s="6" t="s">
        <v>1595</v>
      </c>
      <c r="P3269" s="9" t="s">
        <v>33</v>
      </c>
      <c r="Q3269" s="9" t="s">
        <v>49</v>
      </c>
      <c r="R3269" s="9" t="s">
        <v>83</v>
      </c>
      <c r="S3269" s="7" t="s">
        <v>526</v>
      </c>
      <c r="T3269" s="9" t="s">
        <v>82</v>
      </c>
      <c r="U3269" s="7">
        <v>0.78</v>
      </c>
      <c r="V3269" s="12">
        <f>C3269+1</f>
        <v>40497</v>
      </c>
      <c r="W3269">
        <f>IF(D3269=' Pivot Tables'!$A$4,1,0)</f>
        <v>0</v>
      </c>
      <c r="X3269">
        <f>IF(AND(LEFT(D3269,4)+1=LEFT(' Pivot Tables'!$A$4,4)+0,RIGHT(LEFT(D3269,7),2)=RIGHT(LEFT(' Pivot Tables'!$A$4,7),2)),1,0)</f>
        <v>0</v>
      </c>
      <c r="Y3269" s="6">
        <f>1/COUNTIF(Таблица1[Order ID],Таблица1[[#This Row],[Order ID]])</f>
        <v>1</v>
      </c>
      <c r="Z3269" s="9">
        <f>1/COUNTIFS(Таблица1[Customer Name],Таблица1[[#This Row],[Customer Name]],Таблица1[Order-Year-Month],Таблица1[[#This Row],[Order-Year-Month]])</f>
        <v>1</v>
      </c>
    </row>
    <row r="3270" spans="1:26" x14ac:dyDescent="0.2">
      <c r="A3270" s="6">
        <v>663</v>
      </c>
      <c r="B3270" s="7">
        <v>4647</v>
      </c>
      <c r="C3270" s="8">
        <f>DATE(2012,12,31)-1328</f>
        <v>39946</v>
      </c>
      <c r="D3270" s="8" t="str">
        <f t="shared" si="63"/>
        <v>2009-05 (май 2009)</v>
      </c>
      <c r="E3270" s="9" t="s">
        <v>63</v>
      </c>
      <c r="F3270" s="7">
        <v>34</v>
      </c>
      <c r="G3270" s="7">
        <v>482.93</v>
      </c>
      <c r="H3270" s="7">
        <v>0.06</v>
      </c>
      <c r="I3270" s="9" t="s">
        <v>22</v>
      </c>
      <c r="J3270" s="10">
        <v>-67.59</v>
      </c>
      <c r="K3270" s="11">
        <v>13.9</v>
      </c>
      <c r="L3270" s="11">
        <v>7.59</v>
      </c>
      <c r="M3270" s="9" t="s">
        <v>1457</v>
      </c>
      <c r="N3270" s="6" t="s">
        <v>1595</v>
      </c>
      <c r="O3270" s="6" t="s">
        <v>1595</v>
      </c>
      <c r="P3270" s="9" t="s">
        <v>41</v>
      </c>
      <c r="Q3270" s="9" t="s">
        <v>26</v>
      </c>
      <c r="R3270" s="9" t="s">
        <v>150</v>
      </c>
      <c r="S3270" s="7" t="s">
        <v>422</v>
      </c>
      <c r="T3270" s="9" t="s">
        <v>52</v>
      </c>
      <c r="U3270" s="7">
        <v>0.56000000000000005</v>
      </c>
      <c r="V3270" s="12">
        <f>C3270+1</f>
        <v>39947</v>
      </c>
      <c r="W3270">
        <f>IF(D3270=' Pivot Tables'!$A$4,1,0)</f>
        <v>0</v>
      </c>
      <c r="X3270">
        <f>IF(AND(LEFT(D3270,4)+1=LEFT(' Pivot Tables'!$A$4,4)+0,RIGHT(LEFT(D3270,7),2)=RIGHT(LEFT(' Pivot Tables'!$A$4,7),2)),1,0)</f>
        <v>0</v>
      </c>
      <c r="Y3270" s="6">
        <f>1/COUNTIF(Таблица1[Order ID],Таблица1[[#This Row],[Order ID]])</f>
        <v>0.25</v>
      </c>
      <c r="Z3270" s="9">
        <f>1/COUNTIFS(Таблица1[Customer Name],Таблица1[[#This Row],[Customer Name]],Таблица1[Order-Year-Month],Таблица1[[#This Row],[Order-Year-Month]])</f>
        <v>0.25</v>
      </c>
    </row>
    <row r="3271" spans="1:26" x14ac:dyDescent="0.2">
      <c r="A3271" s="6">
        <v>1101</v>
      </c>
      <c r="B3271" s="7">
        <v>8097</v>
      </c>
      <c r="C3271" s="8">
        <f>DATE(2012,12,31)-753</f>
        <v>40521</v>
      </c>
      <c r="D3271" s="8" t="str">
        <f t="shared" si="63"/>
        <v>2010-12 (декабрь 2010)</v>
      </c>
      <c r="E3271" s="9" t="s">
        <v>63</v>
      </c>
      <c r="F3271" s="7">
        <v>48</v>
      </c>
      <c r="G3271" s="7">
        <v>7522.8</v>
      </c>
      <c r="H3271" s="7">
        <v>0.04</v>
      </c>
      <c r="I3271" s="9" t="s">
        <v>56</v>
      </c>
      <c r="J3271" s="10">
        <v>3187.37</v>
      </c>
      <c r="K3271" s="11">
        <v>162.93</v>
      </c>
      <c r="L3271" s="11">
        <v>19.989999999999998</v>
      </c>
      <c r="M3271" s="9" t="s">
        <v>1591</v>
      </c>
      <c r="N3271" s="6" t="s">
        <v>1595</v>
      </c>
      <c r="O3271" s="6" t="s">
        <v>1595</v>
      </c>
      <c r="P3271" s="9" t="s">
        <v>60</v>
      </c>
      <c r="Q3271" s="9" t="s">
        <v>26</v>
      </c>
      <c r="R3271" s="9" t="s">
        <v>76</v>
      </c>
      <c r="S3271" s="7" t="s">
        <v>449</v>
      </c>
      <c r="T3271" s="9" t="s">
        <v>39</v>
      </c>
      <c r="U3271" s="7">
        <v>0.39</v>
      </c>
      <c r="V3271" s="12">
        <f>C3271+2</f>
        <v>40523</v>
      </c>
      <c r="W3271">
        <f>IF(D3271=' Pivot Tables'!$A$4,1,0)</f>
        <v>0</v>
      </c>
      <c r="X3271">
        <f>IF(AND(LEFT(D3271,4)+1=LEFT(' Pivot Tables'!$A$4,4)+0,RIGHT(LEFT(D3271,7),2)=RIGHT(LEFT(' Pivot Tables'!$A$4,7),2)),1,0)</f>
        <v>0</v>
      </c>
      <c r="Y3271" s="6">
        <f>1/COUNTIF(Таблица1[Order ID],Таблица1[[#This Row],[Order ID]])</f>
        <v>1</v>
      </c>
      <c r="Z3271" s="9">
        <f>1/COUNTIFS(Таблица1[Customer Name],Таблица1[[#This Row],[Customer Name]],Таблица1[Order-Year-Month],Таблица1[[#This Row],[Order-Year-Month]])</f>
        <v>1</v>
      </c>
    </row>
    <row r="3272" spans="1:26" x14ac:dyDescent="0.2">
      <c r="A3272" s="6">
        <v>1158</v>
      </c>
      <c r="B3272" s="7">
        <v>8422</v>
      </c>
      <c r="C3272" s="8">
        <f>DATE(2012,12,31)-1357</f>
        <v>39917</v>
      </c>
      <c r="D3272" s="8" t="str">
        <f t="shared" si="63"/>
        <v>2009-04 (апрель 2009)</v>
      </c>
      <c r="E3272" s="9" t="s">
        <v>63</v>
      </c>
      <c r="F3272" s="7">
        <v>33</v>
      </c>
      <c r="G3272" s="7">
        <v>1003.71</v>
      </c>
      <c r="H3272" s="7">
        <v>0.01</v>
      </c>
      <c r="I3272" s="9" t="s">
        <v>56</v>
      </c>
      <c r="J3272" s="10">
        <v>-22.82</v>
      </c>
      <c r="K3272" s="11">
        <v>29.1</v>
      </c>
      <c r="L3272" s="11">
        <v>4</v>
      </c>
      <c r="M3272" s="9" t="s">
        <v>1576</v>
      </c>
      <c r="N3272" s="6" t="s">
        <v>1595</v>
      </c>
      <c r="O3272" s="6" t="s">
        <v>1595</v>
      </c>
      <c r="P3272" s="9" t="s">
        <v>60</v>
      </c>
      <c r="Q3272" s="9" t="s">
        <v>42</v>
      </c>
      <c r="R3272" s="9" t="s">
        <v>70</v>
      </c>
      <c r="S3272" s="7" t="s">
        <v>1636</v>
      </c>
      <c r="T3272" s="9" t="s">
        <v>39</v>
      </c>
      <c r="U3272" s="7">
        <v>0.78</v>
      </c>
      <c r="V3272" s="12">
        <f>C3272+2</f>
        <v>39919</v>
      </c>
      <c r="W3272">
        <f>IF(D3272=' Pivot Tables'!$A$4,1,0)</f>
        <v>0</v>
      </c>
      <c r="X3272">
        <f>IF(AND(LEFT(D3272,4)+1=LEFT(' Pivot Tables'!$A$4,4)+0,RIGHT(LEFT(D3272,7),2)=RIGHT(LEFT(' Pivot Tables'!$A$4,7),2)),1,0)</f>
        <v>0</v>
      </c>
      <c r="Y3272" s="6">
        <f>1/COUNTIF(Таблица1[Order ID],Таблица1[[#This Row],[Order ID]])</f>
        <v>0.5</v>
      </c>
      <c r="Z3272" s="9">
        <f>1/COUNTIFS(Таблица1[Customer Name],Таблица1[[#This Row],[Customer Name]],Таблица1[Order-Year-Month],Таблица1[[#This Row],[Order-Year-Month]])</f>
        <v>0.5</v>
      </c>
    </row>
    <row r="3273" spans="1:26" x14ac:dyDescent="0.2">
      <c r="A3273" s="6">
        <v>1186</v>
      </c>
      <c r="B3273" s="7">
        <v>8677</v>
      </c>
      <c r="C3273" s="8">
        <f>DATE(2012,12,31)-85</f>
        <v>41189</v>
      </c>
      <c r="D3273" s="8" t="str">
        <f t="shared" si="63"/>
        <v>2012-10 (октябрь 2012)</v>
      </c>
      <c r="E3273" s="9" t="s">
        <v>30</v>
      </c>
      <c r="F3273" s="7">
        <v>38</v>
      </c>
      <c r="G3273" s="7">
        <v>1610.76</v>
      </c>
      <c r="H3273" s="7">
        <v>0.1</v>
      </c>
      <c r="I3273" s="9" t="s">
        <v>22</v>
      </c>
      <c r="J3273" s="10">
        <v>-8.67</v>
      </c>
      <c r="K3273" s="11">
        <v>43.57</v>
      </c>
      <c r="L3273" s="11">
        <v>16.36</v>
      </c>
      <c r="M3273" s="9" t="s">
        <v>1637</v>
      </c>
      <c r="N3273" s="6" t="s">
        <v>1595</v>
      </c>
      <c r="O3273" s="6" t="s">
        <v>1595</v>
      </c>
      <c r="P3273" s="9" t="s">
        <v>41</v>
      </c>
      <c r="Q3273" s="9" t="s">
        <v>26</v>
      </c>
      <c r="R3273" s="9" t="s">
        <v>27</v>
      </c>
      <c r="S3273" s="7" t="s">
        <v>1338</v>
      </c>
      <c r="T3273" s="9" t="s">
        <v>39</v>
      </c>
      <c r="U3273" s="7">
        <v>0.55000000000000004</v>
      </c>
      <c r="V3273" s="12">
        <f>C3273+2</f>
        <v>41191</v>
      </c>
      <c r="W3273">
        <f>IF(D3273=' Pivot Tables'!$A$4,1,0)</f>
        <v>0</v>
      </c>
      <c r="X3273">
        <f>IF(AND(LEFT(D3273,4)+1=LEFT(' Pivot Tables'!$A$4,4)+0,RIGHT(LEFT(D3273,7),2)=RIGHT(LEFT(' Pivot Tables'!$A$4,7),2)),1,0)</f>
        <v>0</v>
      </c>
      <c r="Y3273" s="6">
        <f>1/COUNTIF(Таблица1[Order ID],Таблица1[[#This Row],[Order ID]])</f>
        <v>1</v>
      </c>
      <c r="Z3273" s="9">
        <f>1/COUNTIFS(Таблица1[Customer Name],Таблица1[[#This Row],[Customer Name]],Таблица1[Order-Year-Month],Таблица1[[#This Row],[Order-Year-Month]])</f>
        <v>1</v>
      </c>
    </row>
    <row r="3274" spans="1:26" x14ac:dyDescent="0.2">
      <c r="A3274" s="6">
        <v>1238</v>
      </c>
      <c r="B3274" s="7">
        <v>9024</v>
      </c>
      <c r="C3274" s="8">
        <f>DATE(2012,12,31)-212</f>
        <v>41062</v>
      </c>
      <c r="D3274" s="8" t="str">
        <f t="shared" si="63"/>
        <v>2012-06 (июнь 2012)</v>
      </c>
      <c r="E3274" s="9" t="s">
        <v>63</v>
      </c>
      <c r="F3274" s="7">
        <v>2</v>
      </c>
      <c r="G3274" s="7">
        <v>12.12</v>
      </c>
      <c r="H3274" s="7">
        <v>0.03</v>
      </c>
      <c r="I3274" s="9" t="s">
        <v>22</v>
      </c>
      <c r="J3274" s="10">
        <v>-4.55</v>
      </c>
      <c r="K3274" s="11">
        <v>5.43</v>
      </c>
      <c r="L3274" s="11">
        <v>0.95</v>
      </c>
      <c r="M3274" s="9" t="s">
        <v>1527</v>
      </c>
      <c r="N3274" s="6" t="s">
        <v>1595</v>
      </c>
      <c r="O3274" s="6" t="s">
        <v>1595</v>
      </c>
      <c r="P3274" s="9" t="s">
        <v>60</v>
      </c>
      <c r="Q3274" s="9" t="s">
        <v>26</v>
      </c>
      <c r="R3274" s="9" t="s">
        <v>61</v>
      </c>
      <c r="S3274" s="7" t="s">
        <v>588</v>
      </c>
      <c r="T3274" s="9" t="s">
        <v>68</v>
      </c>
      <c r="U3274" s="7">
        <v>0.36</v>
      </c>
      <c r="V3274" s="12">
        <f>C3274+1</f>
        <v>41063</v>
      </c>
      <c r="W3274">
        <f>IF(D3274=' Pivot Tables'!$A$4,1,0)</f>
        <v>0</v>
      </c>
      <c r="X3274">
        <f>IF(AND(LEFT(D3274,4)+1=LEFT(' Pivot Tables'!$A$4,4)+0,RIGHT(LEFT(D3274,7),2)=RIGHT(LEFT(' Pivot Tables'!$A$4,7),2)),1,0)</f>
        <v>0</v>
      </c>
      <c r="Y3274" s="6">
        <f>1/COUNTIF(Таблица1[Order ID],Таблица1[[#This Row],[Order ID]])</f>
        <v>0.33333333333333331</v>
      </c>
      <c r="Z3274" s="9">
        <f>1/COUNTIFS(Таблица1[Customer Name],Таблица1[[#This Row],[Customer Name]],Таблица1[Order-Year-Month],Таблица1[[#This Row],[Order-Year-Month]])</f>
        <v>0.33333333333333331</v>
      </c>
    </row>
    <row r="3275" spans="1:26" x14ac:dyDescent="0.2">
      <c r="A3275" s="6">
        <v>1392</v>
      </c>
      <c r="B3275" s="7">
        <v>10114</v>
      </c>
      <c r="C3275" s="8">
        <f>DATE(2012,12,31)-1057</f>
        <v>40217</v>
      </c>
      <c r="D3275" s="8" t="str">
        <f t="shared" si="63"/>
        <v>2010-02 (февраль 2010)</v>
      </c>
      <c r="E3275" s="9" t="s">
        <v>78</v>
      </c>
      <c r="F3275" s="7">
        <v>39</v>
      </c>
      <c r="G3275" s="7">
        <v>147.88</v>
      </c>
      <c r="H3275" s="7">
        <v>0</v>
      </c>
      <c r="I3275" s="9" t="s">
        <v>22</v>
      </c>
      <c r="J3275" s="10">
        <v>-142.91049999999998</v>
      </c>
      <c r="K3275" s="11">
        <v>3.58</v>
      </c>
      <c r="L3275" s="11">
        <v>5.47</v>
      </c>
      <c r="M3275" s="9" t="s">
        <v>1496</v>
      </c>
      <c r="N3275" s="6" t="s">
        <v>1595</v>
      </c>
      <c r="O3275" s="6" t="s">
        <v>1595</v>
      </c>
      <c r="P3275" s="9" t="s">
        <v>25</v>
      </c>
      <c r="Q3275" s="9" t="s">
        <v>26</v>
      </c>
      <c r="R3275" s="9" t="s">
        <v>37</v>
      </c>
      <c r="S3275" s="7" t="s">
        <v>462</v>
      </c>
      <c r="T3275" s="9" t="s">
        <v>39</v>
      </c>
      <c r="U3275" s="7">
        <v>0.37</v>
      </c>
      <c r="V3275" s="12">
        <f>C3275+2</f>
        <v>40219</v>
      </c>
      <c r="W3275">
        <f>IF(D3275=' Pivot Tables'!$A$4,1,0)</f>
        <v>0</v>
      </c>
      <c r="X3275">
        <f>IF(AND(LEFT(D3275,4)+1=LEFT(' Pivot Tables'!$A$4,4)+0,RIGHT(LEFT(D3275,7),2)=RIGHT(LEFT(' Pivot Tables'!$A$4,7),2)),1,0)</f>
        <v>0</v>
      </c>
      <c r="Y3275" s="6">
        <f>1/COUNTIF(Таблица1[Order ID],Таблица1[[#This Row],[Order ID]])</f>
        <v>1</v>
      </c>
      <c r="Z3275" s="9">
        <f>1/COUNTIFS(Таблица1[Customer Name],Таблица1[[#This Row],[Customer Name]],Таблица1[Order-Year-Month],Таблица1[[#This Row],[Order-Year-Month]])</f>
        <v>1</v>
      </c>
    </row>
    <row r="3276" spans="1:26" x14ac:dyDescent="0.2">
      <c r="A3276" s="6">
        <v>1557</v>
      </c>
      <c r="B3276" s="7">
        <v>11236</v>
      </c>
      <c r="C3276" s="8">
        <f>DATE(2012,12,31)-793</f>
        <v>40481</v>
      </c>
      <c r="D3276" s="8" t="str">
        <f t="shared" si="63"/>
        <v>2010-10 (октябрь 2010)</v>
      </c>
      <c r="E3276" s="9" t="s">
        <v>30</v>
      </c>
      <c r="F3276" s="7">
        <v>4</v>
      </c>
      <c r="G3276" s="7">
        <v>1629.75</v>
      </c>
      <c r="H3276" s="7">
        <v>0.03</v>
      </c>
      <c r="I3276" s="9" t="s">
        <v>22</v>
      </c>
      <c r="J3276" s="10">
        <v>-195.7</v>
      </c>
      <c r="K3276" s="11">
        <v>415.88</v>
      </c>
      <c r="L3276" s="11">
        <v>11.37</v>
      </c>
      <c r="M3276" s="9" t="s">
        <v>1555</v>
      </c>
      <c r="N3276" s="6" t="s">
        <v>1595</v>
      </c>
      <c r="O3276" s="6" t="s">
        <v>1595</v>
      </c>
      <c r="P3276" s="9" t="s">
        <v>25</v>
      </c>
      <c r="Q3276" s="9" t="s">
        <v>26</v>
      </c>
      <c r="R3276" s="9" t="s">
        <v>27</v>
      </c>
      <c r="S3276" s="7" t="s">
        <v>358</v>
      </c>
      <c r="T3276" s="9" t="s">
        <v>39</v>
      </c>
      <c r="U3276" s="7">
        <v>0.56999999999999995</v>
      </c>
      <c r="V3276" s="12">
        <f>C3276+2</f>
        <v>40483</v>
      </c>
      <c r="W3276">
        <f>IF(D3276=' Pivot Tables'!$A$4,1,0)</f>
        <v>0</v>
      </c>
      <c r="X3276">
        <f>IF(AND(LEFT(D3276,4)+1=LEFT(' Pivot Tables'!$A$4,4)+0,RIGHT(LEFT(D3276,7),2)=RIGHT(LEFT(' Pivot Tables'!$A$4,7),2)),1,0)</f>
        <v>0</v>
      </c>
      <c r="Y3276" s="6">
        <f>1/COUNTIF(Таблица1[Order ID],Таблица1[[#This Row],[Order ID]])</f>
        <v>0.25</v>
      </c>
      <c r="Z3276" s="9">
        <f>1/COUNTIFS(Таблица1[Customer Name],Таблица1[[#This Row],[Customer Name]],Таблица1[Order-Year-Month],Таблица1[[#This Row],[Order-Year-Month]])</f>
        <v>0.25</v>
      </c>
    </row>
    <row r="3277" spans="1:26" x14ac:dyDescent="0.2">
      <c r="A3277" s="6">
        <v>1616</v>
      </c>
      <c r="B3277" s="7">
        <v>11687</v>
      </c>
      <c r="C3277" s="8">
        <f>DATE(2012,12,31)-372</f>
        <v>40902</v>
      </c>
      <c r="D3277" s="8" t="str">
        <f t="shared" si="63"/>
        <v>2011-12 (декабрь 2011)</v>
      </c>
      <c r="E3277" s="9" t="s">
        <v>30</v>
      </c>
      <c r="F3277" s="7">
        <v>26</v>
      </c>
      <c r="G3277" s="7">
        <v>188.93</v>
      </c>
      <c r="H3277" s="7">
        <v>0.04</v>
      </c>
      <c r="I3277" s="9" t="s">
        <v>22</v>
      </c>
      <c r="J3277" s="10">
        <v>58.32</v>
      </c>
      <c r="K3277" s="11">
        <v>7.28</v>
      </c>
      <c r="L3277" s="11">
        <v>1.77</v>
      </c>
      <c r="M3277" s="9" t="s">
        <v>1493</v>
      </c>
      <c r="N3277" s="6" t="s">
        <v>1595</v>
      </c>
      <c r="O3277" s="6" t="s">
        <v>1595</v>
      </c>
      <c r="P3277" s="9" t="s">
        <v>60</v>
      </c>
      <c r="Q3277" s="9" t="s">
        <v>26</v>
      </c>
      <c r="R3277" s="9" t="s">
        <v>61</v>
      </c>
      <c r="S3277" s="7" t="s">
        <v>1638</v>
      </c>
      <c r="T3277" s="9" t="s">
        <v>68</v>
      </c>
      <c r="U3277" s="7">
        <v>0.37</v>
      </c>
      <c r="V3277" s="12">
        <f>C3277+0</f>
        <v>40902</v>
      </c>
      <c r="W3277">
        <f>IF(D3277=' Pivot Tables'!$A$4,1,0)</f>
        <v>0</v>
      </c>
      <c r="X3277">
        <f>IF(AND(LEFT(D3277,4)+1=LEFT(' Pivot Tables'!$A$4,4)+0,RIGHT(LEFT(D3277,7),2)=RIGHT(LEFT(' Pivot Tables'!$A$4,7),2)),1,0)</f>
        <v>0</v>
      </c>
      <c r="Y3277" s="6">
        <f>1/COUNTIF(Таблица1[Order ID],Таблица1[[#This Row],[Order ID]])</f>
        <v>1</v>
      </c>
      <c r="Z3277" s="9">
        <f>1/COUNTIFS(Таблица1[Customer Name],Таблица1[[#This Row],[Customer Name]],Таблица1[Order-Year-Month],Таблица1[[#This Row],[Order-Year-Month]])</f>
        <v>1</v>
      </c>
    </row>
    <row r="3278" spans="1:26" x14ac:dyDescent="0.2">
      <c r="A3278" s="6">
        <v>1768</v>
      </c>
      <c r="B3278" s="7">
        <v>12643</v>
      </c>
      <c r="C3278" s="8">
        <f>DATE(2012,12,31)-1018</f>
        <v>40256</v>
      </c>
      <c r="D3278" s="8" t="str">
        <f t="shared" si="63"/>
        <v>2010-03 (март 2010)</v>
      </c>
      <c r="E3278" s="9" t="s">
        <v>21</v>
      </c>
      <c r="F3278" s="7">
        <v>22</v>
      </c>
      <c r="G3278" s="7">
        <v>345.69</v>
      </c>
      <c r="H3278" s="7">
        <v>0.02</v>
      </c>
      <c r="I3278" s="9" t="s">
        <v>22</v>
      </c>
      <c r="J3278" s="10">
        <v>143.22999999999999</v>
      </c>
      <c r="K3278" s="11">
        <v>15.04</v>
      </c>
      <c r="L3278" s="11">
        <v>1.97</v>
      </c>
      <c r="M3278" s="9" t="s">
        <v>1264</v>
      </c>
      <c r="N3278" s="6" t="s">
        <v>1595</v>
      </c>
      <c r="O3278" s="6" t="s">
        <v>1595</v>
      </c>
      <c r="P3278" s="9" t="s">
        <v>25</v>
      </c>
      <c r="Q3278" s="9" t="s">
        <v>26</v>
      </c>
      <c r="R3278" s="9" t="s">
        <v>61</v>
      </c>
      <c r="S3278" s="7" t="s">
        <v>688</v>
      </c>
      <c r="T3278" s="9" t="s">
        <v>68</v>
      </c>
      <c r="U3278" s="7">
        <v>0.39</v>
      </c>
      <c r="V3278" s="12">
        <f>C3278+2</f>
        <v>40258</v>
      </c>
      <c r="W3278">
        <f>IF(D3278=' Pivot Tables'!$A$4,1,0)</f>
        <v>0</v>
      </c>
      <c r="X3278">
        <f>IF(AND(LEFT(D3278,4)+1=LEFT(' Pivot Tables'!$A$4,4)+0,RIGHT(LEFT(D3278,7),2)=RIGHT(LEFT(' Pivot Tables'!$A$4,7),2)),1,0)</f>
        <v>0</v>
      </c>
      <c r="Y3278" s="6">
        <f>1/COUNTIF(Таблица1[Order ID],Таблица1[[#This Row],[Order ID]])</f>
        <v>1</v>
      </c>
      <c r="Z3278" s="9">
        <f>1/COUNTIFS(Таблица1[Customer Name],Таблица1[[#This Row],[Customer Name]],Таблица1[Order-Year-Month],Таблица1[[#This Row],[Order-Year-Month]])</f>
        <v>1</v>
      </c>
    </row>
    <row r="3279" spans="1:26" x14ac:dyDescent="0.2">
      <c r="A3279" s="6">
        <v>1821</v>
      </c>
      <c r="B3279" s="7">
        <v>13089</v>
      </c>
      <c r="C3279" s="8">
        <f>DATE(2012,12,31)-383</f>
        <v>40891</v>
      </c>
      <c r="D3279" s="8" t="str">
        <f t="shared" si="63"/>
        <v>2011-12 (декабрь 2011)</v>
      </c>
      <c r="E3279" s="9" t="s">
        <v>45</v>
      </c>
      <c r="F3279" s="7">
        <v>34</v>
      </c>
      <c r="G3279" s="7">
        <v>3577.11</v>
      </c>
      <c r="H3279" s="7">
        <v>0.1</v>
      </c>
      <c r="I3279" s="9" t="s">
        <v>31</v>
      </c>
      <c r="J3279" s="10">
        <v>-1620.41</v>
      </c>
      <c r="K3279" s="11">
        <v>114.98</v>
      </c>
      <c r="L3279" s="11">
        <v>58.72</v>
      </c>
      <c r="M3279" s="9" t="s">
        <v>1484</v>
      </c>
      <c r="N3279" s="6" t="s">
        <v>1595</v>
      </c>
      <c r="O3279" s="6" t="s">
        <v>1595</v>
      </c>
      <c r="P3279" s="9" t="s">
        <v>41</v>
      </c>
      <c r="Q3279" s="9" t="s">
        <v>49</v>
      </c>
      <c r="R3279" s="9" t="s">
        <v>80</v>
      </c>
      <c r="S3279" s="7" t="s">
        <v>983</v>
      </c>
      <c r="T3279" s="9" t="s">
        <v>82</v>
      </c>
      <c r="U3279" s="7">
        <v>0.76</v>
      </c>
      <c r="V3279" s="12">
        <f>C3279+3</f>
        <v>40894</v>
      </c>
      <c r="W3279">
        <f>IF(D3279=' Pivot Tables'!$A$4,1,0)</f>
        <v>0</v>
      </c>
      <c r="X3279">
        <f>IF(AND(LEFT(D3279,4)+1=LEFT(' Pivot Tables'!$A$4,4)+0,RIGHT(LEFT(D3279,7),2)=RIGHT(LEFT(' Pivot Tables'!$A$4,7),2)),1,0)</f>
        <v>0</v>
      </c>
      <c r="Y3279" s="6">
        <f>1/COUNTIF(Таблица1[Order ID],Таблица1[[#This Row],[Order ID]])</f>
        <v>1</v>
      </c>
      <c r="Z3279" s="9">
        <f>1/COUNTIFS(Таблица1[Customer Name],Таблица1[[#This Row],[Customer Name]],Таблица1[Order-Year-Month],Таблица1[[#This Row],[Order-Year-Month]])</f>
        <v>1</v>
      </c>
    </row>
    <row r="3280" spans="1:26" x14ac:dyDescent="0.2">
      <c r="A3280" s="6">
        <v>1859</v>
      </c>
      <c r="B3280" s="7">
        <v>13378</v>
      </c>
      <c r="C3280" s="8">
        <f>DATE(2012,12,31)-1197</f>
        <v>40077</v>
      </c>
      <c r="D3280" s="8" t="str">
        <f t="shared" si="63"/>
        <v>2009-09 (сентябрь 2009)</v>
      </c>
      <c r="E3280" s="9" t="s">
        <v>21</v>
      </c>
      <c r="F3280" s="7">
        <v>16</v>
      </c>
      <c r="G3280" s="7">
        <v>96.04</v>
      </c>
      <c r="H3280" s="7">
        <v>0.05</v>
      </c>
      <c r="I3280" s="9" t="s">
        <v>22</v>
      </c>
      <c r="J3280" s="10">
        <v>-50.75</v>
      </c>
      <c r="K3280" s="11">
        <v>5.74</v>
      </c>
      <c r="L3280" s="11">
        <v>5.3</v>
      </c>
      <c r="M3280" s="9" t="s">
        <v>1509</v>
      </c>
      <c r="N3280" s="6" t="s">
        <v>1595</v>
      </c>
      <c r="O3280" s="6" t="s">
        <v>1595</v>
      </c>
      <c r="P3280" s="9" t="s">
        <v>41</v>
      </c>
      <c r="Q3280" s="9" t="s">
        <v>26</v>
      </c>
      <c r="R3280" s="9" t="s">
        <v>150</v>
      </c>
      <c r="S3280" s="7" t="s">
        <v>1375</v>
      </c>
      <c r="T3280" s="9" t="s">
        <v>52</v>
      </c>
      <c r="U3280" s="7">
        <v>0.55000000000000004</v>
      </c>
      <c r="V3280" s="12">
        <f>C3280+5</f>
        <v>40082</v>
      </c>
      <c r="W3280">
        <f>IF(D3280=' Pivot Tables'!$A$4,1,0)</f>
        <v>0</v>
      </c>
      <c r="X3280">
        <f>IF(AND(LEFT(D3280,4)+1=LEFT(' Pivot Tables'!$A$4,4)+0,RIGHT(LEFT(D3280,7),2)=RIGHT(LEFT(' Pivot Tables'!$A$4,7),2)),1,0)</f>
        <v>0</v>
      </c>
      <c r="Y3280" s="6">
        <f>1/COUNTIF(Таблица1[Order ID],Таблица1[[#This Row],[Order ID]])</f>
        <v>1</v>
      </c>
      <c r="Z3280" s="9">
        <f>1/COUNTIFS(Таблица1[Customer Name],Таблица1[[#This Row],[Customer Name]],Таблица1[Order-Year-Month],Таблица1[[#This Row],[Order-Year-Month]])</f>
        <v>1</v>
      </c>
    </row>
    <row r="3281" spans="1:26" x14ac:dyDescent="0.2">
      <c r="A3281" s="6">
        <v>1932</v>
      </c>
      <c r="B3281" s="7">
        <v>13824</v>
      </c>
      <c r="C3281" s="8">
        <f>DATE(2012,12,31)-1100</f>
        <v>40174</v>
      </c>
      <c r="D3281" s="8" t="str">
        <f t="shared" si="63"/>
        <v>2009-12 (декабрь 2009)</v>
      </c>
      <c r="E3281" s="9" t="s">
        <v>21</v>
      </c>
      <c r="F3281" s="7">
        <v>19</v>
      </c>
      <c r="G3281" s="7">
        <v>55.27</v>
      </c>
      <c r="H3281" s="7">
        <v>0.05</v>
      </c>
      <c r="I3281" s="9" t="s">
        <v>22</v>
      </c>
      <c r="J3281" s="10">
        <v>19.12</v>
      </c>
      <c r="K3281" s="11">
        <v>2.89</v>
      </c>
      <c r="L3281" s="11">
        <v>0.5</v>
      </c>
      <c r="M3281" s="9" t="s">
        <v>1477</v>
      </c>
      <c r="N3281" s="6" t="s">
        <v>1595</v>
      </c>
      <c r="O3281" s="6" t="s">
        <v>1595</v>
      </c>
      <c r="P3281" s="9" t="s">
        <v>60</v>
      </c>
      <c r="Q3281" s="9" t="s">
        <v>26</v>
      </c>
      <c r="R3281" s="9" t="s">
        <v>88</v>
      </c>
      <c r="S3281" s="7" t="s">
        <v>474</v>
      </c>
      <c r="T3281" s="9" t="s">
        <v>39</v>
      </c>
      <c r="U3281" s="7">
        <v>0.38</v>
      </c>
      <c r="V3281" s="12">
        <f>C3281+7</f>
        <v>40181</v>
      </c>
      <c r="W3281">
        <f>IF(D3281=' Pivot Tables'!$A$4,1,0)</f>
        <v>0</v>
      </c>
      <c r="X3281">
        <f>IF(AND(LEFT(D3281,4)+1=LEFT(' Pivot Tables'!$A$4,4)+0,RIGHT(LEFT(D3281,7),2)=RIGHT(LEFT(' Pivot Tables'!$A$4,7),2)),1,0)</f>
        <v>0</v>
      </c>
      <c r="Y3281" s="6">
        <f>1/COUNTIF(Таблица1[Order ID],Таблица1[[#This Row],[Order ID]])</f>
        <v>1</v>
      </c>
      <c r="Z3281" s="9">
        <f>1/COUNTIFS(Таблица1[Customer Name],Таблица1[[#This Row],[Customer Name]],Таблица1[Order-Year-Month],Таблица1[[#This Row],[Order-Year-Month]])</f>
        <v>1</v>
      </c>
    </row>
    <row r="3282" spans="1:26" x14ac:dyDescent="0.2">
      <c r="A3282" s="6">
        <v>2572</v>
      </c>
      <c r="B3282" s="7">
        <v>18562</v>
      </c>
      <c r="C3282" s="8">
        <f>DATE(2012,12,31)-377</f>
        <v>40897</v>
      </c>
      <c r="D3282" s="8" t="str">
        <f t="shared" si="63"/>
        <v>2011-12 (декабрь 2011)</v>
      </c>
      <c r="E3282" s="9" t="s">
        <v>78</v>
      </c>
      <c r="F3282" s="7">
        <v>41</v>
      </c>
      <c r="G3282" s="7">
        <v>160.11000000000001</v>
      </c>
      <c r="H3282" s="7">
        <v>0.1</v>
      </c>
      <c r="I3282" s="9" t="s">
        <v>22</v>
      </c>
      <c r="J3282" s="10">
        <v>-26.73</v>
      </c>
      <c r="K3282" s="11">
        <v>3.98</v>
      </c>
      <c r="L3282" s="11">
        <v>2.97</v>
      </c>
      <c r="M3282" s="9" t="s">
        <v>1383</v>
      </c>
      <c r="N3282" s="6" t="s">
        <v>1595</v>
      </c>
      <c r="O3282" s="6" t="s">
        <v>1595</v>
      </c>
      <c r="P3282" s="9" t="s">
        <v>60</v>
      </c>
      <c r="Q3282" s="9" t="s">
        <v>26</v>
      </c>
      <c r="R3282" s="9" t="s">
        <v>61</v>
      </c>
      <c r="S3282" s="7" t="s">
        <v>134</v>
      </c>
      <c r="T3282" s="9" t="s">
        <v>68</v>
      </c>
      <c r="U3282" s="7">
        <v>0.35</v>
      </c>
      <c r="V3282" s="12">
        <f>C3282+2</f>
        <v>40899</v>
      </c>
      <c r="W3282">
        <f>IF(D3282=' Pivot Tables'!$A$4,1,0)</f>
        <v>0</v>
      </c>
      <c r="X3282">
        <f>IF(AND(LEFT(D3282,4)+1=LEFT(' Pivot Tables'!$A$4,4)+0,RIGHT(LEFT(D3282,7),2)=RIGHT(LEFT(' Pivot Tables'!$A$4,7),2)),1,0)</f>
        <v>0</v>
      </c>
      <c r="Y3282" s="6">
        <f>1/COUNTIF(Таблица1[Order ID],Таблица1[[#This Row],[Order ID]])</f>
        <v>1</v>
      </c>
      <c r="Z3282" s="9">
        <f>1/COUNTIFS(Таблица1[Customer Name],Таблица1[[#This Row],[Customer Name]],Таблица1[Order-Year-Month],Таблица1[[#This Row],[Order-Year-Month]])</f>
        <v>1</v>
      </c>
    </row>
    <row r="3283" spans="1:26" x14ac:dyDescent="0.2">
      <c r="A3283" s="6">
        <v>2876</v>
      </c>
      <c r="B3283" s="7">
        <v>20737</v>
      </c>
      <c r="C3283" s="8">
        <f>DATE(2012,12,31)-372</f>
        <v>40902</v>
      </c>
      <c r="D3283" s="8" t="str">
        <f t="shared" si="63"/>
        <v>2011-12 (декабрь 2011)</v>
      </c>
      <c r="E3283" s="9" t="s">
        <v>63</v>
      </c>
      <c r="F3283" s="7">
        <v>10</v>
      </c>
      <c r="G3283" s="7">
        <v>1410.93</v>
      </c>
      <c r="H3283" s="7">
        <v>0.08</v>
      </c>
      <c r="I3283" s="9" t="s">
        <v>31</v>
      </c>
      <c r="J3283" s="10">
        <v>-317.48</v>
      </c>
      <c r="K3283" s="11">
        <v>140.97999999999999</v>
      </c>
      <c r="L3283" s="11">
        <v>36.090000000000003</v>
      </c>
      <c r="M3283" s="9" t="s">
        <v>1544</v>
      </c>
      <c r="N3283" s="6" t="s">
        <v>1595</v>
      </c>
      <c r="O3283" s="6" t="s">
        <v>1595</v>
      </c>
      <c r="P3283" s="9" t="s">
        <v>60</v>
      </c>
      <c r="Q3283" s="9" t="s">
        <v>49</v>
      </c>
      <c r="R3283" s="9" t="s">
        <v>80</v>
      </c>
      <c r="S3283" s="7" t="s">
        <v>349</v>
      </c>
      <c r="T3283" s="9" t="s">
        <v>82</v>
      </c>
      <c r="U3283" s="7">
        <v>0.77</v>
      </c>
      <c r="V3283" s="12">
        <f>C3283+1</f>
        <v>40903</v>
      </c>
      <c r="W3283">
        <f>IF(D3283=' Pivot Tables'!$A$4,1,0)</f>
        <v>0</v>
      </c>
      <c r="X3283">
        <f>IF(AND(LEFT(D3283,4)+1=LEFT(' Pivot Tables'!$A$4,4)+0,RIGHT(LEFT(D3283,7),2)=RIGHT(LEFT(' Pivot Tables'!$A$4,7),2)),1,0)</f>
        <v>0</v>
      </c>
      <c r="Y3283" s="6">
        <f>1/COUNTIF(Таблица1[Order ID],Таблица1[[#This Row],[Order ID]])</f>
        <v>0.5</v>
      </c>
      <c r="Z3283" s="9">
        <f>1/COUNTIFS(Таблица1[Customer Name],Таблица1[[#This Row],[Customer Name]],Таблица1[Order-Year-Month],Таблица1[[#This Row],[Order-Year-Month]])</f>
        <v>0.2</v>
      </c>
    </row>
    <row r="3284" spans="1:26" x14ac:dyDescent="0.2">
      <c r="A3284" s="6">
        <v>2896</v>
      </c>
      <c r="B3284" s="7">
        <v>20900</v>
      </c>
      <c r="C3284" s="8">
        <f>DATE(2012,12,31)-768</f>
        <v>40506</v>
      </c>
      <c r="D3284" s="8" t="str">
        <f t="shared" si="63"/>
        <v>2010-11 (ноябрь 2010)</v>
      </c>
      <c r="E3284" s="9" t="s">
        <v>21</v>
      </c>
      <c r="F3284" s="7">
        <v>50</v>
      </c>
      <c r="G3284" s="7">
        <v>1978.3664999999999</v>
      </c>
      <c r="H3284" s="7">
        <v>0</v>
      </c>
      <c r="I3284" s="9" t="s">
        <v>22</v>
      </c>
      <c r="J3284" s="10">
        <v>483.59700000000004</v>
      </c>
      <c r="K3284" s="11">
        <v>45.99</v>
      </c>
      <c r="L3284" s="11">
        <v>4.99</v>
      </c>
      <c r="M3284" s="9" t="s">
        <v>1639</v>
      </c>
      <c r="N3284" s="6" t="s">
        <v>1595</v>
      </c>
      <c r="O3284" s="6" t="s">
        <v>1595</v>
      </c>
      <c r="P3284" s="9" t="s">
        <v>41</v>
      </c>
      <c r="Q3284" s="9" t="s">
        <v>42</v>
      </c>
      <c r="R3284" s="9" t="s">
        <v>43</v>
      </c>
      <c r="S3284" s="7" t="s">
        <v>1325</v>
      </c>
      <c r="T3284" s="9" t="s">
        <v>39</v>
      </c>
      <c r="U3284" s="7">
        <v>0.56999999999999995</v>
      </c>
      <c r="V3284" s="12">
        <f>C3284+2</f>
        <v>40508</v>
      </c>
      <c r="W3284">
        <f>IF(D3284=' Pivot Tables'!$A$4,1,0)</f>
        <v>0</v>
      </c>
      <c r="X3284">
        <f>IF(AND(LEFT(D3284,4)+1=LEFT(' Pivot Tables'!$A$4,4)+0,RIGHT(LEFT(D3284,7),2)=RIGHT(LEFT(' Pivot Tables'!$A$4,7),2)),1,0)</f>
        <v>0</v>
      </c>
      <c r="Y3284" s="6">
        <f>1/COUNTIF(Таблица1[Order ID],Таблица1[[#This Row],[Order ID]])</f>
        <v>1</v>
      </c>
      <c r="Z3284" s="9">
        <f>1/COUNTIFS(Таблица1[Customer Name],Таблица1[[#This Row],[Customer Name]],Таблица1[Order-Year-Month],Таблица1[[#This Row],[Order-Year-Month]])</f>
        <v>1</v>
      </c>
    </row>
    <row r="3285" spans="1:26" x14ac:dyDescent="0.2">
      <c r="A3285" s="6">
        <v>3729</v>
      </c>
      <c r="B3285" s="7">
        <v>26658</v>
      </c>
      <c r="C3285" s="8">
        <f>DATE(2012,12,31)-375</f>
        <v>40899</v>
      </c>
      <c r="D3285" s="8" t="str">
        <f t="shared" si="63"/>
        <v>2011-12 (декабрь 2011)</v>
      </c>
      <c r="E3285" s="9" t="s">
        <v>30</v>
      </c>
      <c r="F3285" s="7">
        <v>17</v>
      </c>
      <c r="G3285" s="7">
        <v>72.75</v>
      </c>
      <c r="H3285" s="7">
        <v>0.05</v>
      </c>
      <c r="I3285" s="9" t="s">
        <v>22</v>
      </c>
      <c r="J3285" s="10">
        <v>-57.891000000000005</v>
      </c>
      <c r="K3285" s="11">
        <v>3.98</v>
      </c>
      <c r="L3285" s="11">
        <v>5.26</v>
      </c>
      <c r="M3285" s="9" t="s">
        <v>1489</v>
      </c>
      <c r="N3285" s="6" t="s">
        <v>1595</v>
      </c>
      <c r="O3285" s="6" t="s">
        <v>1595</v>
      </c>
      <c r="P3285" s="9" t="s">
        <v>25</v>
      </c>
      <c r="Q3285" s="9" t="s">
        <v>26</v>
      </c>
      <c r="R3285" s="9" t="s">
        <v>37</v>
      </c>
      <c r="S3285" s="7" t="s">
        <v>1348</v>
      </c>
      <c r="T3285" s="9" t="s">
        <v>39</v>
      </c>
      <c r="U3285" s="7">
        <v>0.38</v>
      </c>
      <c r="V3285" s="12">
        <f>C3285+0</f>
        <v>40899</v>
      </c>
      <c r="W3285">
        <f>IF(D3285=' Pivot Tables'!$A$4,1,0)</f>
        <v>0</v>
      </c>
      <c r="X3285">
        <f>IF(AND(LEFT(D3285,4)+1=LEFT(' Pivot Tables'!$A$4,4)+0,RIGHT(LEFT(D3285,7),2)=RIGHT(LEFT(' Pivot Tables'!$A$4,7),2)),1,0)</f>
        <v>0</v>
      </c>
      <c r="Y3285" s="6">
        <f>1/COUNTIF(Таблица1[Order ID],Таблица1[[#This Row],[Order ID]])</f>
        <v>1</v>
      </c>
      <c r="Z3285" s="9">
        <f>1/COUNTIFS(Таблица1[Customer Name],Таблица1[[#This Row],[Customer Name]],Таблица1[Order-Year-Month],Таблица1[[#This Row],[Order-Year-Month]])</f>
        <v>1</v>
      </c>
    </row>
    <row r="3286" spans="1:26" x14ac:dyDescent="0.2">
      <c r="A3286" s="6">
        <v>3826</v>
      </c>
      <c r="B3286" s="7">
        <v>27271</v>
      </c>
      <c r="C3286" s="8">
        <f>DATE(2012,12,31)-474</f>
        <v>40800</v>
      </c>
      <c r="D3286" s="8" t="str">
        <f t="shared" si="63"/>
        <v>2011-09 (сентябрь 2011)</v>
      </c>
      <c r="E3286" s="9" t="s">
        <v>45</v>
      </c>
      <c r="F3286" s="7">
        <v>8</v>
      </c>
      <c r="G3286" s="7">
        <v>301.57</v>
      </c>
      <c r="H3286" s="7">
        <v>0</v>
      </c>
      <c r="I3286" s="9" t="s">
        <v>31</v>
      </c>
      <c r="J3286" s="10">
        <v>-77.31</v>
      </c>
      <c r="K3286" s="11">
        <v>33.94</v>
      </c>
      <c r="L3286" s="11">
        <v>19.190000000000001</v>
      </c>
      <c r="M3286" s="9" t="s">
        <v>1637</v>
      </c>
      <c r="N3286" s="6" t="s">
        <v>1595</v>
      </c>
      <c r="O3286" s="6" t="s">
        <v>1595</v>
      </c>
      <c r="P3286" s="9" t="s">
        <v>41</v>
      </c>
      <c r="Q3286" s="9" t="s">
        <v>49</v>
      </c>
      <c r="R3286" s="9" t="s">
        <v>112</v>
      </c>
      <c r="S3286" s="7" t="s">
        <v>323</v>
      </c>
      <c r="T3286" s="9" t="s">
        <v>36</v>
      </c>
      <c r="U3286" s="7">
        <v>0.57999999999999996</v>
      </c>
      <c r="V3286" s="12">
        <f>C3286+1</f>
        <v>40801</v>
      </c>
      <c r="W3286">
        <f>IF(D3286=' Pivot Tables'!$A$4,1,0)</f>
        <v>0</v>
      </c>
      <c r="X3286">
        <f>IF(AND(LEFT(D3286,4)+1=LEFT(' Pivot Tables'!$A$4,4)+0,RIGHT(LEFT(D3286,7),2)=RIGHT(LEFT(' Pivot Tables'!$A$4,7),2)),1,0)</f>
        <v>0</v>
      </c>
      <c r="Y3286" s="6">
        <f>1/COUNTIF(Таблица1[Order ID],Таблица1[[#This Row],[Order ID]])</f>
        <v>1</v>
      </c>
      <c r="Z3286" s="9">
        <f>1/COUNTIFS(Таблица1[Customer Name],Таблица1[[#This Row],[Customer Name]],Таблица1[Order-Year-Month],Таблица1[[#This Row],[Order-Year-Month]])</f>
        <v>1</v>
      </c>
    </row>
    <row r="3287" spans="1:26" x14ac:dyDescent="0.2">
      <c r="A3287" s="6">
        <v>3927</v>
      </c>
      <c r="B3287" s="7">
        <v>28001</v>
      </c>
      <c r="C3287" s="8">
        <f>DATE(2012,12,31)-1296</f>
        <v>39978</v>
      </c>
      <c r="D3287" s="8" t="str">
        <f t="shared" si="63"/>
        <v>2009-06 (июнь 2009)</v>
      </c>
      <c r="E3287" s="9" t="s">
        <v>78</v>
      </c>
      <c r="F3287" s="7">
        <v>21</v>
      </c>
      <c r="G3287" s="7">
        <v>4201.08</v>
      </c>
      <c r="H3287" s="7">
        <v>0.01</v>
      </c>
      <c r="I3287" s="9" t="s">
        <v>22</v>
      </c>
      <c r="J3287" s="10">
        <v>1162.76</v>
      </c>
      <c r="K3287" s="11">
        <v>194.3</v>
      </c>
      <c r="L3287" s="11">
        <v>11.54</v>
      </c>
      <c r="M3287" s="9" t="s">
        <v>1485</v>
      </c>
      <c r="N3287" s="6" t="s">
        <v>1595</v>
      </c>
      <c r="O3287" s="6" t="s">
        <v>1595</v>
      </c>
      <c r="P3287" s="9" t="s">
        <v>60</v>
      </c>
      <c r="Q3287" s="9" t="s">
        <v>49</v>
      </c>
      <c r="R3287" s="9" t="s">
        <v>50</v>
      </c>
      <c r="S3287" s="7" t="s">
        <v>209</v>
      </c>
      <c r="T3287" s="9" t="s">
        <v>29</v>
      </c>
      <c r="U3287" s="7">
        <v>0.59</v>
      </c>
      <c r="V3287" s="12">
        <f>C3287+2</f>
        <v>39980</v>
      </c>
      <c r="W3287">
        <f>IF(D3287=' Pivot Tables'!$A$4,1,0)</f>
        <v>0</v>
      </c>
      <c r="X3287">
        <f>IF(AND(LEFT(D3287,4)+1=LEFT(' Pivot Tables'!$A$4,4)+0,RIGHT(LEFT(D3287,7),2)=RIGHT(LEFT(' Pivot Tables'!$A$4,7),2)),1,0)</f>
        <v>0</v>
      </c>
      <c r="Y3287" s="6">
        <f>1/COUNTIF(Таблица1[Order ID],Таблица1[[#This Row],[Order ID]])</f>
        <v>0.5</v>
      </c>
      <c r="Z3287" s="9">
        <f>1/COUNTIFS(Таблица1[Customer Name],Таблица1[[#This Row],[Customer Name]],Таблица1[Order-Year-Month],Таблица1[[#This Row],[Order-Year-Month]])</f>
        <v>0.5</v>
      </c>
    </row>
    <row r="3288" spans="1:26" x14ac:dyDescent="0.2">
      <c r="A3288" s="6">
        <v>3950</v>
      </c>
      <c r="B3288" s="7">
        <v>28161</v>
      </c>
      <c r="C3288" s="8">
        <f>DATE(2012,12,31)-1295</f>
        <v>39979</v>
      </c>
      <c r="D3288" s="8" t="str">
        <f t="shared" si="63"/>
        <v>2009-06 (июнь 2009)</v>
      </c>
      <c r="E3288" s="9" t="s">
        <v>45</v>
      </c>
      <c r="F3288" s="7">
        <v>15</v>
      </c>
      <c r="G3288" s="7">
        <v>5028.3100000000004</v>
      </c>
      <c r="H3288" s="7">
        <v>0.06</v>
      </c>
      <c r="I3288" s="9" t="s">
        <v>31</v>
      </c>
      <c r="J3288" s="10">
        <v>664.88</v>
      </c>
      <c r="K3288" s="11">
        <v>350.98</v>
      </c>
      <c r="L3288" s="11">
        <v>30</v>
      </c>
      <c r="M3288" s="9" t="s">
        <v>1466</v>
      </c>
      <c r="N3288" s="6" t="s">
        <v>1595</v>
      </c>
      <c r="O3288" s="6" t="s">
        <v>1595</v>
      </c>
      <c r="P3288" s="9" t="s">
        <v>33</v>
      </c>
      <c r="Q3288" s="9" t="s">
        <v>49</v>
      </c>
      <c r="R3288" s="9" t="s">
        <v>112</v>
      </c>
      <c r="S3288" s="7" t="s">
        <v>1397</v>
      </c>
      <c r="T3288" s="9" t="s">
        <v>36</v>
      </c>
      <c r="U3288" s="7">
        <v>0.61</v>
      </c>
      <c r="V3288" s="12">
        <f>C3288+2</f>
        <v>39981</v>
      </c>
      <c r="W3288">
        <f>IF(D3288=' Pivot Tables'!$A$4,1,0)</f>
        <v>0</v>
      </c>
      <c r="X3288">
        <f>IF(AND(LEFT(D3288,4)+1=LEFT(' Pivot Tables'!$A$4,4)+0,RIGHT(LEFT(D3288,7),2)=RIGHT(LEFT(' Pivot Tables'!$A$4,7),2)),1,0)</f>
        <v>0</v>
      </c>
      <c r="Y3288" s="6">
        <f>1/COUNTIF(Таблица1[Order ID],Таблица1[[#This Row],[Order ID]])</f>
        <v>0.33333333333333331</v>
      </c>
      <c r="Z3288" s="9">
        <f>1/COUNTIFS(Таблица1[Customer Name],Таблица1[[#This Row],[Customer Name]],Таблица1[Order-Year-Month],Таблица1[[#This Row],[Order-Year-Month]])</f>
        <v>0.2</v>
      </c>
    </row>
    <row r="3289" spans="1:26" x14ac:dyDescent="0.2">
      <c r="A3289" s="6">
        <v>4113</v>
      </c>
      <c r="B3289" s="7">
        <v>29280</v>
      </c>
      <c r="C3289" s="8">
        <f>DATE(2012,12,31)-278</f>
        <v>40996</v>
      </c>
      <c r="D3289" s="8" t="str">
        <f t="shared" si="63"/>
        <v>2012-03 (март 2012)</v>
      </c>
      <c r="E3289" s="9" t="s">
        <v>63</v>
      </c>
      <c r="F3289" s="7">
        <v>19</v>
      </c>
      <c r="G3289" s="7">
        <v>238.35</v>
      </c>
      <c r="H3289" s="7">
        <v>0</v>
      </c>
      <c r="I3289" s="9" t="s">
        <v>22</v>
      </c>
      <c r="J3289" s="10">
        <v>-64.510000000000005</v>
      </c>
      <c r="K3289" s="11">
        <v>11.66</v>
      </c>
      <c r="L3289" s="11">
        <v>7.95</v>
      </c>
      <c r="M3289" s="9" t="s">
        <v>1581</v>
      </c>
      <c r="N3289" s="6" t="s">
        <v>1595</v>
      </c>
      <c r="O3289" s="6" t="s">
        <v>1595</v>
      </c>
      <c r="P3289" s="9" t="s">
        <v>25</v>
      </c>
      <c r="Q3289" s="9" t="s">
        <v>26</v>
      </c>
      <c r="R3289" s="9" t="s">
        <v>95</v>
      </c>
      <c r="S3289" s="7" t="s">
        <v>555</v>
      </c>
      <c r="T3289" s="9" t="s">
        <v>52</v>
      </c>
      <c r="U3289" s="7">
        <v>0.57999999999999996</v>
      </c>
      <c r="V3289" s="12">
        <f>C3289+1</f>
        <v>40997</v>
      </c>
      <c r="W3289">
        <f>IF(D3289=' Pivot Tables'!$A$4,1,0)</f>
        <v>0</v>
      </c>
      <c r="X3289">
        <f>IF(AND(LEFT(D3289,4)+1=LEFT(' Pivot Tables'!$A$4,4)+0,RIGHT(LEFT(D3289,7),2)=RIGHT(LEFT(' Pivot Tables'!$A$4,7),2)),1,0)</f>
        <v>0</v>
      </c>
      <c r="Y3289" s="6">
        <f>1/COUNTIF(Таблица1[Order ID],Таблица1[[#This Row],[Order ID]])</f>
        <v>0.5</v>
      </c>
      <c r="Z3289" s="9">
        <f>1/COUNTIFS(Таблица1[Customer Name],Таблица1[[#This Row],[Customer Name]],Таблица1[Order-Year-Month],Таблица1[[#This Row],[Order-Year-Month]])</f>
        <v>0.5</v>
      </c>
    </row>
    <row r="3290" spans="1:26" x14ac:dyDescent="0.2">
      <c r="A3290" s="6">
        <v>4132</v>
      </c>
      <c r="B3290" s="7">
        <v>29350</v>
      </c>
      <c r="C3290" s="8">
        <f>DATE(2012,12,31)-1224</f>
        <v>40050</v>
      </c>
      <c r="D3290" s="8" t="str">
        <f t="shared" si="63"/>
        <v>2009-08 (август 2009)</v>
      </c>
      <c r="E3290" s="9" t="s">
        <v>30</v>
      </c>
      <c r="F3290" s="7">
        <v>10</v>
      </c>
      <c r="G3290" s="7">
        <v>150.33000000000001</v>
      </c>
      <c r="H3290" s="7">
        <v>0.1</v>
      </c>
      <c r="I3290" s="9" t="s">
        <v>22</v>
      </c>
      <c r="J3290" s="10">
        <v>-47.88</v>
      </c>
      <c r="K3290" s="11">
        <v>15.14</v>
      </c>
      <c r="L3290" s="11">
        <v>4.53</v>
      </c>
      <c r="M3290" s="9" t="s">
        <v>1462</v>
      </c>
      <c r="N3290" s="6" t="s">
        <v>1595</v>
      </c>
      <c r="O3290" s="6" t="s">
        <v>1595</v>
      </c>
      <c r="P3290" s="9" t="s">
        <v>33</v>
      </c>
      <c r="Q3290" s="9" t="s">
        <v>26</v>
      </c>
      <c r="R3290" s="9" t="s">
        <v>27</v>
      </c>
      <c r="S3290" s="7" t="s">
        <v>721</v>
      </c>
      <c r="T3290" s="9" t="s">
        <v>39</v>
      </c>
      <c r="U3290" s="7">
        <v>0.81</v>
      </c>
      <c r="V3290" s="12">
        <f>C3290+3</f>
        <v>40053</v>
      </c>
      <c r="W3290">
        <f>IF(D3290=' Pivot Tables'!$A$4,1,0)</f>
        <v>0</v>
      </c>
      <c r="X3290">
        <f>IF(AND(LEFT(D3290,4)+1=LEFT(' Pivot Tables'!$A$4,4)+0,RIGHT(LEFT(D3290,7),2)=RIGHT(LEFT(' Pivot Tables'!$A$4,7),2)),1,0)</f>
        <v>0</v>
      </c>
      <c r="Y3290" s="6">
        <f>1/COUNTIF(Таблица1[Order ID],Таблица1[[#This Row],[Order ID]])</f>
        <v>0.33333333333333331</v>
      </c>
      <c r="Z3290" s="9">
        <f>1/COUNTIFS(Таблица1[Customer Name],Таблица1[[#This Row],[Customer Name]],Таблица1[Order-Year-Month],Таблица1[[#This Row],[Order-Year-Month]])</f>
        <v>0.33333333333333331</v>
      </c>
    </row>
    <row r="3291" spans="1:26" x14ac:dyDescent="0.2">
      <c r="A3291" s="6">
        <v>4179</v>
      </c>
      <c r="B3291" s="7">
        <v>29666</v>
      </c>
      <c r="C3291" s="8">
        <f>DATE(2012,12,31)-367</f>
        <v>40907</v>
      </c>
      <c r="D3291" s="8" t="str">
        <f t="shared" si="63"/>
        <v>2011-12 (декабрь 2011)</v>
      </c>
      <c r="E3291" s="9" t="s">
        <v>45</v>
      </c>
      <c r="F3291" s="7">
        <v>29</v>
      </c>
      <c r="G3291" s="7">
        <v>155.86000000000001</v>
      </c>
      <c r="H3291" s="7">
        <v>0.09</v>
      </c>
      <c r="I3291" s="9" t="s">
        <v>22</v>
      </c>
      <c r="J3291" s="10">
        <v>-152.59</v>
      </c>
      <c r="K3291" s="11">
        <v>5.28</v>
      </c>
      <c r="L3291" s="11">
        <v>8.16</v>
      </c>
      <c r="M3291" s="9" t="s">
        <v>1545</v>
      </c>
      <c r="N3291" s="6" t="s">
        <v>1595</v>
      </c>
      <c r="O3291" s="6" t="s">
        <v>1595</v>
      </c>
      <c r="P3291" s="9" t="s">
        <v>25</v>
      </c>
      <c r="Q3291" s="9" t="s">
        <v>26</v>
      </c>
      <c r="R3291" s="9" t="s">
        <v>61</v>
      </c>
      <c r="S3291" s="7" t="s">
        <v>1640</v>
      </c>
      <c r="T3291" s="9" t="s">
        <v>39</v>
      </c>
      <c r="U3291" s="7">
        <v>0.4</v>
      </c>
      <c r="V3291" s="12">
        <f>C3291+1</f>
        <v>40908</v>
      </c>
      <c r="W3291">
        <f>IF(D3291=' Pivot Tables'!$A$4,1,0)</f>
        <v>0</v>
      </c>
      <c r="X3291">
        <f>IF(AND(LEFT(D3291,4)+1=LEFT(' Pivot Tables'!$A$4,4)+0,RIGHT(LEFT(D3291,7),2)=RIGHT(LEFT(' Pivot Tables'!$A$4,7),2)),1,0)</f>
        <v>0</v>
      </c>
      <c r="Y3291" s="6">
        <f>1/COUNTIF(Таблица1[Order ID],Таблица1[[#This Row],[Order ID]])</f>
        <v>0.5</v>
      </c>
      <c r="Z3291" s="9">
        <f>1/COUNTIFS(Таблица1[Customer Name],Таблица1[[#This Row],[Customer Name]],Таблица1[Order-Year-Month],Таблица1[[#This Row],[Order-Year-Month]])</f>
        <v>0.5</v>
      </c>
    </row>
    <row r="3292" spans="1:26" x14ac:dyDescent="0.2">
      <c r="A3292" s="6">
        <v>4182</v>
      </c>
      <c r="B3292" s="7">
        <v>29700</v>
      </c>
      <c r="C3292" s="8">
        <f>DATE(2012,12,31)-1000</f>
        <v>40274</v>
      </c>
      <c r="D3292" s="8" t="str">
        <f t="shared" si="63"/>
        <v>2010-04 (апрель 2010)</v>
      </c>
      <c r="E3292" s="9" t="s">
        <v>63</v>
      </c>
      <c r="F3292" s="7">
        <v>9</v>
      </c>
      <c r="G3292" s="7">
        <v>30.35</v>
      </c>
      <c r="H3292" s="7">
        <v>0.01</v>
      </c>
      <c r="I3292" s="9" t="s">
        <v>22</v>
      </c>
      <c r="J3292" s="10">
        <v>5.0199999999999996</v>
      </c>
      <c r="K3292" s="11">
        <v>3.08</v>
      </c>
      <c r="L3292" s="11">
        <v>0.99</v>
      </c>
      <c r="M3292" s="9" t="s">
        <v>1462</v>
      </c>
      <c r="N3292" s="6" t="s">
        <v>1595</v>
      </c>
      <c r="O3292" s="6" t="s">
        <v>1595</v>
      </c>
      <c r="P3292" s="9" t="s">
        <v>33</v>
      </c>
      <c r="Q3292" s="9" t="s">
        <v>26</v>
      </c>
      <c r="R3292" s="9" t="s">
        <v>88</v>
      </c>
      <c r="S3292" s="7" t="s">
        <v>368</v>
      </c>
      <c r="T3292" s="9" t="s">
        <v>39</v>
      </c>
      <c r="U3292" s="7">
        <v>0.37</v>
      </c>
      <c r="V3292" s="12">
        <f>C3292+1</f>
        <v>40275</v>
      </c>
      <c r="W3292">
        <f>IF(D3292=' Pivot Tables'!$A$4,1,0)</f>
        <v>0</v>
      </c>
      <c r="X3292">
        <f>IF(AND(LEFT(D3292,4)+1=LEFT(' Pivot Tables'!$A$4,4)+0,RIGHT(LEFT(D3292,7),2)=RIGHT(LEFT(' Pivot Tables'!$A$4,7),2)),1,0)</f>
        <v>0</v>
      </c>
      <c r="Y3292" s="6">
        <f>1/COUNTIF(Таблица1[Order ID],Таблица1[[#This Row],[Order ID]])</f>
        <v>1</v>
      </c>
      <c r="Z3292" s="9">
        <f>1/COUNTIFS(Таблица1[Customer Name],Таблица1[[#This Row],[Customer Name]],Таблица1[Order-Year-Month],Таблица1[[#This Row],[Order-Year-Month]])</f>
        <v>1</v>
      </c>
    </row>
    <row r="3293" spans="1:26" x14ac:dyDescent="0.2">
      <c r="A3293" s="6">
        <v>4315</v>
      </c>
      <c r="B3293" s="7">
        <v>30754</v>
      </c>
      <c r="C3293" s="8">
        <f>DATE(2012,12,31)-767</f>
        <v>40507</v>
      </c>
      <c r="D3293" s="8" t="str">
        <f t="shared" si="63"/>
        <v>2010-11 (ноябрь 2010)</v>
      </c>
      <c r="E3293" s="9" t="s">
        <v>21</v>
      </c>
      <c r="F3293" s="7">
        <v>20</v>
      </c>
      <c r="G3293" s="7">
        <v>4108.17</v>
      </c>
      <c r="H3293" s="7">
        <v>0.09</v>
      </c>
      <c r="I3293" s="9" t="s">
        <v>22</v>
      </c>
      <c r="J3293" s="10">
        <v>-505.98447900000014</v>
      </c>
      <c r="K3293" s="11">
        <v>209.37</v>
      </c>
      <c r="L3293" s="11">
        <v>69</v>
      </c>
      <c r="M3293" s="9" t="s">
        <v>1470</v>
      </c>
      <c r="N3293" s="6" t="s">
        <v>1595</v>
      </c>
      <c r="O3293" s="6" t="s">
        <v>1595</v>
      </c>
      <c r="P3293" s="9" t="s">
        <v>60</v>
      </c>
      <c r="Q3293" s="9" t="s">
        <v>49</v>
      </c>
      <c r="R3293" s="9" t="s">
        <v>83</v>
      </c>
      <c r="S3293" s="7" t="s">
        <v>936</v>
      </c>
      <c r="T3293" s="9" t="s">
        <v>29</v>
      </c>
      <c r="U3293" s="7">
        <v>0.79</v>
      </c>
      <c r="V3293" s="12">
        <f>C3293+4</f>
        <v>40511</v>
      </c>
      <c r="W3293">
        <f>IF(D3293=' Pivot Tables'!$A$4,1,0)</f>
        <v>0</v>
      </c>
      <c r="X3293">
        <f>IF(AND(LEFT(D3293,4)+1=LEFT(' Pivot Tables'!$A$4,4)+0,RIGHT(LEFT(D3293,7),2)=RIGHT(LEFT(' Pivot Tables'!$A$4,7),2)),1,0)</f>
        <v>0</v>
      </c>
      <c r="Y3293" s="6">
        <f>1/COUNTIF(Таблица1[Order ID],Таблица1[[#This Row],[Order ID]])</f>
        <v>1</v>
      </c>
      <c r="Z3293" s="9">
        <f>1/COUNTIFS(Таблица1[Customer Name],Таблица1[[#This Row],[Customer Name]],Таблица1[Order-Year-Month],Таблица1[[#This Row],[Order-Year-Month]])</f>
        <v>1</v>
      </c>
    </row>
    <row r="3294" spans="1:26" x14ac:dyDescent="0.2">
      <c r="A3294" s="6">
        <v>4443</v>
      </c>
      <c r="B3294" s="7">
        <v>31650</v>
      </c>
      <c r="C3294" s="8">
        <f>DATE(2012,12,31)-873</f>
        <v>40401</v>
      </c>
      <c r="D3294" s="8" t="str">
        <f t="shared" si="63"/>
        <v>2010-08 (август 2010)</v>
      </c>
      <c r="E3294" s="9" t="s">
        <v>45</v>
      </c>
      <c r="F3294" s="7">
        <v>19</v>
      </c>
      <c r="G3294" s="7">
        <v>1504.97</v>
      </c>
      <c r="H3294" s="7">
        <v>0.02</v>
      </c>
      <c r="I3294" s="9" t="s">
        <v>22</v>
      </c>
      <c r="J3294" s="10">
        <v>-0.30999999999997385</v>
      </c>
      <c r="K3294" s="11">
        <v>77.510000000000005</v>
      </c>
      <c r="L3294" s="11">
        <v>4</v>
      </c>
      <c r="M3294" s="9" t="s">
        <v>1532</v>
      </c>
      <c r="N3294" s="6" t="s">
        <v>1595</v>
      </c>
      <c r="O3294" s="6" t="s">
        <v>1595</v>
      </c>
      <c r="P3294" s="9" t="s">
        <v>33</v>
      </c>
      <c r="Q3294" s="9" t="s">
        <v>42</v>
      </c>
      <c r="R3294" s="9" t="s">
        <v>70</v>
      </c>
      <c r="S3294" s="7" t="s">
        <v>1122</v>
      </c>
      <c r="T3294" s="9" t="s">
        <v>39</v>
      </c>
      <c r="U3294" s="7">
        <v>0.76</v>
      </c>
      <c r="V3294" s="12">
        <f>C3294+1</f>
        <v>40402</v>
      </c>
      <c r="W3294">
        <f>IF(D3294=' Pivot Tables'!$A$4,1,0)</f>
        <v>0</v>
      </c>
      <c r="X3294">
        <f>IF(AND(LEFT(D3294,4)+1=LEFT(' Pivot Tables'!$A$4,4)+0,RIGHT(LEFT(D3294,7),2)=RIGHT(LEFT(' Pivot Tables'!$A$4,7),2)),1,0)</f>
        <v>0</v>
      </c>
      <c r="Y3294" s="6">
        <f>1/COUNTIF(Таблица1[Order ID],Таблица1[[#This Row],[Order ID]])</f>
        <v>1</v>
      </c>
      <c r="Z3294" s="9">
        <f>1/COUNTIFS(Таблица1[Customer Name],Таблица1[[#This Row],[Customer Name]],Таблица1[Order-Year-Month],Таблица1[[#This Row],[Order-Year-Month]])</f>
        <v>1</v>
      </c>
    </row>
    <row r="3295" spans="1:26" x14ac:dyDescent="0.2">
      <c r="A3295" s="6">
        <v>4538</v>
      </c>
      <c r="B3295" s="7">
        <v>32292</v>
      </c>
      <c r="C3295" s="8">
        <f>DATE(2012,12,31)-320</f>
        <v>40954</v>
      </c>
      <c r="D3295" s="8" t="str">
        <f t="shared" si="63"/>
        <v>2012-02 (февраль 2012)</v>
      </c>
      <c r="E3295" s="9" t="s">
        <v>21</v>
      </c>
      <c r="F3295" s="7">
        <v>49</v>
      </c>
      <c r="G3295" s="7">
        <v>5008.7609999999995</v>
      </c>
      <c r="H3295" s="7">
        <v>0.04</v>
      </c>
      <c r="I3295" s="9" t="s">
        <v>22</v>
      </c>
      <c r="J3295" s="10">
        <v>1601.64</v>
      </c>
      <c r="K3295" s="11">
        <v>115.99</v>
      </c>
      <c r="L3295" s="11">
        <v>5.99</v>
      </c>
      <c r="M3295" s="9" t="s">
        <v>1494</v>
      </c>
      <c r="N3295" s="6" t="s">
        <v>1595</v>
      </c>
      <c r="O3295" s="6" t="s">
        <v>1595</v>
      </c>
      <c r="P3295" s="9" t="s">
        <v>41</v>
      </c>
      <c r="Q3295" s="9" t="s">
        <v>42</v>
      </c>
      <c r="R3295" s="9" t="s">
        <v>43</v>
      </c>
      <c r="S3295" s="7" t="s">
        <v>1270</v>
      </c>
      <c r="T3295" s="9" t="s">
        <v>39</v>
      </c>
      <c r="U3295" s="7">
        <v>0.56999999999999995</v>
      </c>
      <c r="V3295" s="12">
        <f>C3295+7</f>
        <v>40961</v>
      </c>
      <c r="W3295">
        <f>IF(D3295=' Pivot Tables'!$A$4,1,0)</f>
        <v>0</v>
      </c>
      <c r="X3295">
        <f>IF(AND(LEFT(D3295,4)+1=LEFT(' Pivot Tables'!$A$4,4)+0,RIGHT(LEFT(D3295,7),2)=RIGHT(LEFT(' Pivot Tables'!$A$4,7),2)),1,0)</f>
        <v>0</v>
      </c>
      <c r="Y3295" s="6">
        <f>1/COUNTIF(Таблица1[Order ID],Таблица1[[#This Row],[Order ID]])</f>
        <v>0.5</v>
      </c>
      <c r="Z3295" s="9">
        <f>1/COUNTIFS(Таблица1[Customer Name],Таблица1[[#This Row],[Customer Name]],Таблица1[Order-Year-Month],Таблица1[[#This Row],[Order-Year-Month]])</f>
        <v>0.5</v>
      </c>
    </row>
    <row r="3296" spans="1:26" x14ac:dyDescent="0.2">
      <c r="A3296" s="6">
        <v>4950</v>
      </c>
      <c r="B3296" s="7">
        <v>35201</v>
      </c>
      <c r="C3296" s="8">
        <f>DATE(2012,12,31)-941</f>
        <v>40333</v>
      </c>
      <c r="D3296" s="8" t="str">
        <f t="shared" si="63"/>
        <v>2010-06 (июнь 2010)</v>
      </c>
      <c r="E3296" s="9" t="s">
        <v>21</v>
      </c>
      <c r="F3296" s="7">
        <v>18</v>
      </c>
      <c r="G3296" s="7">
        <v>211.44</v>
      </c>
      <c r="H3296" s="7">
        <v>0.03</v>
      </c>
      <c r="I3296" s="9" t="s">
        <v>22</v>
      </c>
      <c r="J3296" s="10">
        <v>-75.81</v>
      </c>
      <c r="K3296" s="11">
        <v>10.97</v>
      </c>
      <c r="L3296" s="11">
        <v>6.5</v>
      </c>
      <c r="M3296" s="9" t="s">
        <v>1491</v>
      </c>
      <c r="N3296" s="6" t="s">
        <v>1595</v>
      </c>
      <c r="O3296" s="6" t="s">
        <v>1595</v>
      </c>
      <c r="P3296" s="9" t="s">
        <v>60</v>
      </c>
      <c r="Q3296" s="9" t="s">
        <v>42</v>
      </c>
      <c r="R3296" s="9" t="s">
        <v>70</v>
      </c>
      <c r="S3296" s="7" t="s">
        <v>336</v>
      </c>
      <c r="T3296" s="9" t="s">
        <v>39</v>
      </c>
      <c r="U3296" s="7">
        <v>0.64</v>
      </c>
      <c r="V3296" s="12">
        <f>C3296+7</f>
        <v>40340</v>
      </c>
      <c r="W3296">
        <f>IF(D3296=' Pivot Tables'!$A$4,1,0)</f>
        <v>0</v>
      </c>
      <c r="X3296">
        <f>IF(AND(LEFT(D3296,4)+1=LEFT(' Pivot Tables'!$A$4,4)+0,RIGHT(LEFT(D3296,7),2)=RIGHT(LEFT(' Pivot Tables'!$A$4,7),2)),1,0)</f>
        <v>0</v>
      </c>
      <c r="Y3296" s="6">
        <f>1/COUNTIF(Таблица1[Order ID],Таблица1[[#This Row],[Order ID]])</f>
        <v>1</v>
      </c>
      <c r="Z3296" s="9">
        <f>1/COUNTIFS(Таблица1[Customer Name],Таблица1[[#This Row],[Customer Name]],Таблица1[Order-Year-Month],Таблица1[[#This Row],[Order-Year-Month]])</f>
        <v>1</v>
      </c>
    </row>
    <row r="3297" spans="1:26" x14ac:dyDescent="0.2">
      <c r="A3297" s="6">
        <v>4967</v>
      </c>
      <c r="B3297" s="7">
        <v>35360</v>
      </c>
      <c r="C3297" s="8">
        <f>DATE(2012,12,31)-623</f>
        <v>40651</v>
      </c>
      <c r="D3297" s="8" t="str">
        <f t="shared" si="63"/>
        <v>2011-04 (апрель 2011)</v>
      </c>
      <c r="E3297" s="9" t="s">
        <v>78</v>
      </c>
      <c r="F3297" s="7">
        <v>4</v>
      </c>
      <c r="G3297" s="7">
        <v>41.06</v>
      </c>
      <c r="H3297" s="7">
        <v>0.04</v>
      </c>
      <c r="I3297" s="9" t="s">
        <v>22</v>
      </c>
      <c r="J3297" s="10">
        <v>-16.387499999999999</v>
      </c>
      <c r="K3297" s="11">
        <v>8.8800000000000008</v>
      </c>
      <c r="L3297" s="11">
        <v>6.28</v>
      </c>
      <c r="M3297" s="9" t="s">
        <v>1490</v>
      </c>
      <c r="N3297" s="6" t="s">
        <v>1595</v>
      </c>
      <c r="O3297" s="6" t="s">
        <v>1595</v>
      </c>
      <c r="P3297" s="9" t="s">
        <v>41</v>
      </c>
      <c r="Q3297" s="9" t="s">
        <v>26</v>
      </c>
      <c r="R3297" s="9" t="s">
        <v>37</v>
      </c>
      <c r="S3297" s="7" t="s">
        <v>1173</v>
      </c>
      <c r="T3297" s="9" t="s">
        <v>39</v>
      </c>
      <c r="U3297" s="7">
        <v>0.35</v>
      </c>
      <c r="V3297" s="12">
        <f>C3297+2</f>
        <v>40653</v>
      </c>
      <c r="W3297">
        <f>IF(D3297=' Pivot Tables'!$A$4,1,0)</f>
        <v>0</v>
      </c>
      <c r="X3297">
        <f>IF(AND(LEFT(D3297,4)+1=LEFT(' Pivot Tables'!$A$4,4)+0,RIGHT(LEFT(D3297,7),2)=RIGHT(LEFT(' Pivot Tables'!$A$4,7),2)),1,0)</f>
        <v>0</v>
      </c>
      <c r="Y3297" s="6">
        <f>1/COUNTIF(Таблица1[Order ID],Таблица1[[#This Row],[Order ID]])</f>
        <v>1</v>
      </c>
      <c r="Z3297" s="9">
        <f>1/COUNTIFS(Таблица1[Customer Name],Таблица1[[#This Row],[Customer Name]],Таблица1[Order-Year-Month],Таблица1[[#This Row],[Order-Year-Month]])</f>
        <v>1</v>
      </c>
    </row>
    <row r="3298" spans="1:26" x14ac:dyDescent="0.2">
      <c r="A3298" s="6">
        <v>4989</v>
      </c>
      <c r="B3298" s="7">
        <v>35492</v>
      </c>
      <c r="C3298" s="8">
        <f>DATE(2012,12,31)-325</f>
        <v>40949</v>
      </c>
      <c r="D3298" s="8" t="str">
        <f t="shared" si="63"/>
        <v>2012-02 (февраль 2012)</v>
      </c>
      <c r="E3298" s="9" t="s">
        <v>63</v>
      </c>
      <c r="F3298" s="7">
        <v>36</v>
      </c>
      <c r="G3298" s="7">
        <v>455.93</v>
      </c>
      <c r="H3298" s="7">
        <v>0.02</v>
      </c>
      <c r="I3298" s="9" t="s">
        <v>56</v>
      </c>
      <c r="J3298" s="10">
        <v>83.51</v>
      </c>
      <c r="K3298" s="11">
        <v>12.64</v>
      </c>
      <c r="L3298" s="11">
        <v>4.9800000000000004</v>
      </c>
      <c r="M3298" s="9" t="s">
        <v>1406</v>
      </c>
      <c r="N3298" s="6" t="s">
        <v>1595</v>
      </c>
      <c r="O3298" s="6" t="s">
        <v>1595</v>
      </c>
      <c r="P3298" s="9" t="s">
        <v>41</v>
      </c>
      <c r="Q3298" s="9" t="s">
        <v>49</v>
      </c>
      <c r="R3298" s="9" t="s">
        <v>50</v>
      </c>
      <c r="S3298" s="7" t="s">
        <v>997</v>
      </c>
      <c r="T3298" s="9" t="s">
        <v>52</v>
      </c>
      <c r="U3298" s="7">
        <v>0.48</v>
      </c>
      <c r="V3298" s="12">
        <f>C3298+2</f>
        <v>40951</v>
      </c>
      <c r="W3298">
        <f>IF(D3298=' Pivot Tables'!$A$4,1,0)</f>
        <v>0</v>
      </c>
      <c r="X3298">
        <f>IF(AND(LEFT(D3298,4)+1=LEFT(' Pivot Tables'!$A$4,4)+0,RIGHT(LEFT(D3298,7),2)=RIGHT(LEFT(' Pivot Tables'!$A$4,7),2)),1,0)</f>
        <v>0</v>
      </c>
      <c r="Y3298" s="6">
        <f>1/COUNTIF(Таблица1[Order ID],Таблица1[[#This Row],[Order ID]])</f>
        <v>1</v>
      </c>
      <c r="Z3298" s="9">
        <f>1/COUNTIFS(Таблица1[Customer Name],Таблица1[[#This Row],[Customer Name]],Таблица1[Order-Year-Month],Таблица1[[#This Row],[Order-Year-Month]])</f>
        <v>0.5</v>
      </c>
    </row>
    <row r="3299" spans="1:26" x14ac:dyDescent="0.2">
      <c r="A3299" s="6">
        <v>5267</v>
      </c>
      <c r="B3299" s="7">
        <v>37473</v>
      </c>
      <c r="C3299" s="8">
        <f>DATE(2012,12,31)-1187</f>
        <v>40087</v>
      </c>
      <c r="D3299" s="8" t="str">
        <f t="shared" si="63"/>
        <v>2009-10 (октябрь 2009)</v>
      </c>
      <c r="E3299" s="9" t="s">
        <v>21</v>
      </c>
      <c r="F3299" s="7">
        <v>8</v>
      </c>
      <c r="G3299" s="7">
        <v>43.72</v>
      </c>
      <c r="H3299" s="7">
        <v>0.06</v>
      </c>
      <c r="I3299" s="9" t="s">
        <v>22</v>
      </c>
      <c r="J3299" s="10">
        <v>2.12</v>
      </c>
      <c r="K3299" s="11">
        <v>5.18</v>
      </c>
      <c r="L3299" s="11">
        <v>2.04</v>
      </c>
      <c r="M3299" s="9" t="s">
        <v>1489</v>
      </c>
      <c r="N3299" s="6" t="s">
        <v>1595</v>
      </c>
      <c r="O3299" s="6" t="s">
        <v>1595</v>
      </c>
      <c r="P3299" s="9" t="s">
        <v>25</v>
      </c>
      <c r="Q3299" s="9" t="s">
        <v>26</v>
      </c>
      <c r="R3299" s="9" t="s">
        <v>61</v>
      </c>
      <c r="S3299" s="7" t="s">
        <v>391</v>
      </c>
      <c r="T3299" s="9" t="s">
        <v>68</v>
      </c>
      <c r="U3299" s="7">
        <v>0.36</v>
      </c>
      <c r="V3299" s="12">
        <f>C3299+0</f>
        <v>40087</v>
      </c>
      <c r="W3299">
        <f>IF(D3299=' Pivot Tables'!$A$4,1,0)</f>
        <v>0</v>
      </c>
      <c r="X3299">
        <f>IF(AND(LEFT(D3299,4)+1=LEFT(' Pivot Tables'!$A$4,4)+0,RIGHT(LEFT(D3299,7),2)=RIGHT(LEFT(' Pivot Tables'!$A$4,7),2)),1,0)</f>
        <v>0</v>
      </c>
      <c r="Y3299" s="6">
        <f>1/COUNTIF(Таблица1[Order ID],Таблица1[[#This Row],[Order ID]])</f>
        <v>0.5</v>
      </c>
      <c r="Z3299" s="9">
        <f>1/COUNTIFS(Таблица1[Customer Name],Таблица1[[#This Row],[Customer Name]],Таблица1[Order-Year-Month],Таблица1[[#This Row],[Order-Year-Month]])</f>
        <v>0.5</v>
      </c>
    </row>
    <row r="3300" spans="1:26" x14ac:dyDescent="0.2">
      <c r="A3300" s="6">
        <v>5515</v>
      </c>
      <c r="B3300" s="7">
        <v>39079</v>
      </c>
      <c r="C3300" s="8">
        <f>DATE(2012,12,31)-481</f>
        <v>40793</v>
      </c>
      <c r="D3300" s="8" t="str">
        <f t="shared" si="63"/>
        <v>2011-09 (сентябрь 2011)</v>
      </c>
      <c r="E3300" s="9" t="s">
        <v>30</v>
      </c>
      <c r="F3300" s="7">
        <v>46</v>
      </c>
      <c r="G3300" s="7">
        <v>75.599999999999994</v>
      </c>
      <c r="H3300" s="7">
        <v>0.09</v>
      </c>
      <c r="I3300" s="9" t="s">
        <v>22</v>
      </c>
      <c r="J3300" s="10">
        <v>-225.25049999999999</v>
      </c>
      <c r="K3300" s="11">
        <v>1.68</v>
      </c>
      <c r="L3300" s="11">
        <v>5.28</v>
      </c>
      <c r="M3300" s="9" t="s">
        <v>1575</v>
      </c>
      <c r="N3300" s="6" t="s">
        <v>1595</v>
      </c>
      <c r="O3300" s="6" t="s">
        <v>1595</v>
      </c>
      <c r="P3300" s="9" t="s">
        <v>25</v>
      </c>
      <c r="Q3300" s="9" t="s">
        <v>26</v>
      </c>
      <c r="R3300" s="9" t="s">
        <v>37</v>
      </c>
      <c r="S3300" s="7" t="s">
        <v>1641</v>
      </c>
      <c r="T3300" s="9" t="s">
        <v>39</v>
      </c>
      <c r="U3300" s="7">
        <v>0.37</v>
      </c>
      <c r="V3300" s="12">
        <f>C3300+0</f>
        <v>40793</v>
      </c>
      <c r="W3300">
        <f>IF(D3300=' Pivot Tables'!$A$4,1,0)</f>
        <v>0</v>
      </c>
      <c r="X3300">
        <f>IF(AND(LEFT(D3300,4)+1=LEFT(' Pivot Tables'!$A$4,4)+0,RIGHT(LEFT(D3300,7),2)=RIGHT(LEFT(' Pivot Tables'!$A$4,7),2)),1,0)</f>
        <v>0</v>
      </c>
      <c r="Y3300" s="6">
        <f>1/COUNTIF(Таблица1[Order ID],Таблица1[[#This Row],[Order ID]])</f>
        <v>1</v>
      </c>
      <c r="Z3300" s="9">
        <f>1/COUNTIFS(Таблица1[Customer Name],Таблица1[[#This Row],[Customer Name]],Таблица1[Order-Year-Month],Таблица1[[#This Row],[Order-Year-Month]])</f>
        <v>1</v>
      </c>
    </row>
    <row r="3301" spans="1:26" x14ac:dyDescent="0.2">
      <c r="A3301" s="6">
        <v>5541</v>
      </c>
      <c r="B3301" s="7">
        <v>39266</v>
      </c>
      <c r="C3301" s="8">
        <f>DATE(2012,12,31)-126</f>
        <v>41148</v>
      </c>
      <c r="D3301" s="8" t="str">
        <f t="shared" si="63"/>
        <v>2012-08 (август 2012)</v>
      </c>
      <c r="E3301" s="9" t="s">
        <v>30</v>
      </c>
      <c r="F3301" s="7">
        <v>14</v>
      </c>
      <c r="G3301" s="7">
        <v>36.409999999999997</v>
      </c>
      <c r="H3301" s="7">
        <v>0.09</v>
      </c>
      <c r="I3301" s="9" t="s">
        <v>22</v>
      </c>
      <c r="J3301" s="10">
        <v>9.94</v>
      </c>
      <c r="K3301" s="11">
        <v>2.61</v>
      </c>
      <c r="L3301" s="11">
        <v>0.5</v>
      </c>
      <c r="M3301" s="9" t="s">
        <v>1475</v>
      </c>
      <c r="N3301" s="6" t="s">
        <v>1595</v>
      </c>
      <c r="O3301" s="6" t="s">
        <v>1595</v>
      </c>
      <c r="P3301" s="9" t="s">
        <v>25</v>
      </c>
      <c r="Q3301" s="9" t="s">
        <v>26</v>
      </c>
      <c r="R3301" s="9" t="s">
        <v>88</v>
      </c>
      <c r="S3301" s="7" t="s">
        <v>406</v>
      </c>
      <c r="T3301" s="9" t="s">
        <v>39</v>
      </c>
      <c r="U3301" s="7">
        <v>0.39</v>
      </c>
      <c r="V3301" s="12">
        <f>C3301+2</f>
        <v>41150</v>
      </c>
      <c r="W3301">
        <f>IF(D3301=' Pivot Tables'!$A$4,1,0)</f>
        <v>0</v>
      </c>
      <c r="X3301">
        <f>IF(AND(LEFT(D3301,4)+1=LEFT(' Pivot Tables'!$A$4,4)+0,RIGHT(LEFT(D3301,7),2)=RIGHT(LEFT(' Pivot Tables'!$A$4,7),2)),1,0)</f>
        <v>0</v>
      </c>
      <c r="Y3301" s="6">
        <f>1/COUNTIF(Таблица1[Order ID],Таблица1[[#This Row],[Order ID]])</f>
        <v>0.33333333333333331</v>
      </c>
      <c r="Z3301" s="9">
        <f>1/COUNTIFS(Таблица1[Customer Name],Таблица1[[#This Row],[Customer Name]],Таблица1[Order-Year-Month],Таблица1[[#This Row],[Order-Year-Month]])</f>
        <v>0.25</v>
      </c>
    </row>
    <row r="3302" spans="1:26" x14ac:dyDescent="0.2">
      <c r="A3302" s="6">
        <v>5706</v>
      </c>
      <c r="B3302" s="7">
        <v>40356</v>
      </c>
      <c r="C3302" s="8">
        <f>DATE(2012,12,31)-1108</f>
        <v>40166</v>
      </c>
      <c r="D3302" s="8" t="str">
        <f t="shared" si="63"/>
        <v>2009-12 (декабрь 2009)</v>
      </c>
      <c r="E3302" s="9" t="s">
        <v>45</v>
      </c>
      <c r="F3302" s="7">
        <v>48</v>
      </c>
      <c r="G3302" s="7">
        <v>201.98</v>
      </c>
      <c r="H3302" s="7">
        <v>0.05</v>
      </c>
      <c r="I3302" s="9" t="s">
        <v>56</v>
      </c>
      <c r="J3302" s="10">
        <v>-245.67</v>
      </c>
      <c r="K3302" s="11">
        <v>4.0599999999999996</v>
      </c>
      <c r="L3302" s="11">
        <v>6.89</v>
      </c>
      <c r="M3302" s="9" t="s">
        <v>79</v>
      </c>
      <c r="N3302" s="6" t="s">
        <v>1595</v>
      </c>
      <c r="O3302" s="6" t="s">
        <v>1595</v>
      </c>
      <c r="P3302" s="9" t="s">
        <v>41</v>
      </c>
      <c r="Q3302" s="9" t="s">
        <v>26</v>
      </c>
      <c r="R3302" s="9" t="s">
        <v>34</v>
      </c>
      <c r="S3302" s="7" t="s">
        <v>408</v>
      </c>
      <c r="T3302" s="9" t="s">
        <v>39</v>
      </c>
      <c r="U3302" s="7">
        <v>0.6</v>
      </c>
      <c r="V3302" s="12">
        <f>C3302+2</f>
        <v>40168</v>
      </c>
      <c r="W3302">
        <f>IF(D3302=' Pivot Tables'!$A$4,1,0)</f>
        <v>0</v>
      </c>
      <c r="X3302">
        <f>IF(AND(LEFT(D3302,4)+1=LEFT(' Pivot Tables'!$A$4,4)+0,RIGHT(LEFT(D3302,7),2)=RIGHT(LEFT(' Pivot Tables'!$A$4,7),2)),1,0)</f>
        <v>0</v>
      </c>
      <c r="Y3302" s="6">
        <f>1/COUNTIF(Таблица1[Order ID],Таблица1[[#This Row],[Order ID]])</f>
        <v>1</v>
      </c>
      <c r="Z3302" s="9">
        <f>1/COUNTIFS(Таблица1[Customer Name],Таблица1[[#This Row],[Customer Name]],Таблица1[Order-Year-Month],Таблица1[[#This Row],[Order-Year-Month]])</f>
        <v>0.5</v>
      </c>
    </row>
    <row r="3303" spans="1:26" x14ac:dyDescent="0.2">
      <c r="A3303" s="6">
        <v>6014</v>
      </c>
      <c r="B3303" s="7">
        <v>42599</v>
      </c>
      <c r="C3303" s="8">
        <f>DATE(2012,12,31)-1365</f>
        <v>39909</v>
      </c>
      <c r="D3303" s="8" t="str">
        <f t="shared" si="63"/>
        <v>2009-04 (апрель 2009)</v>
      </c>
      <c r="E3303" s="9" t="s">
        <v>63</v>
      </c>
      <c r="F3303" s="7">
        <v>31</v>
      </c>
      <c r="G3303" s="7">
        <v>9459.94</v>
      </c>
      <c r="H3303" s="7">
        <v>0.04</v>
      </c>
      <c r="I3303" s="9" t="s">
        <v>31</v>
      </c>
      <c r="J3303" s="10">
        <v>2023.75</v>
      </c>
      <c r="K3303" s="11">
        <v>300.98</v>
      </c>
      <c r="L3303" s="11">
        <v>54.92</v>
      </c>
      <c r="M3303" s="9" t="s">
        <v>1501</v>
      </c>
      <c r="N3303" s="6" t="s">
        <v>1595</v>
      </c>
      <c r="O3303" s="6" t="s">
        <v>1595</v>
      </c>
      <c r="P3303" s="9" t="s">
        <v>33</v>
      </c>
      <c r="Q3303" s="9" t="s">
        <v>49</v>
      </c>
      <c r="R3303" s="9" t="s">
        <v>80</v>
      </c>
      <c r="S3303" s="7" t="s">
        <v>559</v>
      </c>
      <c r="T3303" s="9" t="s">
        <v>82</v>
      </c>
      <c r="U3303" s="7">
        <v>0.55000000000000004</v>
      </c>
      <c r="V3303" s="12">
        <f>C3303+1</f>
        <v>39910</v>
      </c>
      <c r="W3303">
        <f>IF(D3303=' Pivot Tables'!$A$4,1,0)</f>
        <v>0</v>
      </c>
      <c r="X3303">
        <f>IF(AND(LEFT(D3303,4)+1=LEFT(' Pivot Tables'!$A$4,4)+0,RIGHT(LEFT(D3303,7),2)=RIGHT(LEFT(' Pivot Tables'!$A$4,7),2)),1,0)</f>
        <v>0</v>
      </c>
      <c r="Y3303" s="6">
        <f>1/COUNTIF(Таблица1[Order ID],Таблица1[[#This Row],[Order ID]])</f>
        <v>1</v>
      </c>
      <c r="Z3303" s="9">
        <f>1/COUNTIFS(Таблица1[Customer Name],Таблица1[[#This Row],[Customer Name]],Таблица1[Order-Year-Month],Таблица1[[#This Row],[Order-Year-Month]])</f>
        <v>1</v>
      </c>
    </row>
    <row r="3304" spans="1:26" x14ac:dyDescent="0.2">
      <c r="A3304" s="6">
        <v>6425</v>
      </c>
      <c r="B3304" s="7">
        <v>45670</v>
      </c>
      <c r="C3304" s="8">
        <f>DATE(2012,12,31)-146</f>
        <v>41128</v>
      </c>
      <c r="D3304" s="8" t="str">
        <f t="shared" si="63"/>
        <v>2012-08 (август 2012)</v>
      </c>
      <c r="E3304" s="9" t="s">
        <v>21</v>
      </c>
      <c r="F3304" s="7">
        <v>2</v>
      </c>
      <c r="G3304" s="7">
        <v>20.16</v>
      </c>
      <c r="H3304" s="7">
        <v>0.06</v>
      </c>
      <c r="I3304" s="9" t="s">
        <v>22</v>
      </c>
      <c r="J3304" s="10">
        <v>-13.32</v>
      </c>
      <c r="K3304" s="11">
        <v>6.48</v>
      </c>
      <c r="L3304" s="11">
        <v>7.86</v>
      </c>
      <c r="M3304" s="9" t="s">
        <v>1464</v>
      </c>
      <c r="N3304" s="6" t="s">
        <v>1595</v>
      </c>
      <c r="O3304" s="6" t="s">
        <v>1595</v>
      </c>
      <c r="P3304" s="9" t="s">
        <v>41</v>
      </c>
      <c r="Q3304" s="9" t="s">
        <v>26</v>
      </c>
      <c r="R3304" s="9" t="s">
        <v>61</v>
      </c>
      <c r="S3304" s="7" t="s">
        <v>153</v>
      </c>
      <c r="T3304" s="9" t="s">
        <v>39</v>
      </c>
      <c r="U3304" s="7">
        <v>0.37</v>
      </c>
      <c r="V3304" s="12">
        <f>C3304+4</f>
        <v>41132</v>
      </c>
      <c r="W3304">
        <f>IF(D3304=' Pivot Tables'!$A$4,1,0)</f>
        <v>0</v>
      </c>
      <c r="X3304">
        <f>IF(AND(LEFT(D3304,4)+1=LEFT(' Pivot Tables'!$A$4,4)+0,RIGHT(LEFT(D3304,7),2)=RIGHT(LEFT(' Pivot Tables'!$A$4,7),2)),1,0)</f>
        <v>0</v>
      </c>
      <c r="Y3304" s="6">
        <f>1/COUNTIF(Таблица1[Order ID],Таблица1[[#This Row],[Order ID]])</f>
        <v>1</v>
      </c>
      <c r="Z3304" s="9">
        <f>1/COUNTIFS(Таблица1[Customer Name],Таблица1[[#This Row],[Customer Name]],Таблица1[Order-Year-Month],Таблица1[[#This Row],[Order-Year-Month]])</f>
        <v>1</v>
      </c>
    </row>
    <row r="3305" spans="1:26" x14ac:dyDescent="0.2">
      <c r="A3305" s="6">
        <v>6542</v>
      </c>
      <c r="B3305" s="7">
        <v>46531</v>
      </c>
      <c r="C3305" s="8">
        <f>DATE(2012,12,31)-498</f>
        <v>40776</v>
      </c>
      <c r="D3305" s="8" t="str">
        <f t="shared" si="63"/>
        <v>2011-08 (август 2011)</v>
      </c>
      <c r="E3305" s="9" t="s">
        <v>21</v>
      </c>
      <c r="F3305" s="7">
        <v>23</v>
      </c>
      <c r="G3305" s="7">
        <v>84.47</v>
      </c>
      <c r="H3305" s="7">
        <v>0.06</v>
      </c>
      <c r="I3305" s="9" t="s">
        <v>22</v>
      </c>
      <c r="J3305" s="10">
        <v>7.9815000000000005</v>
      </c>
      <c r="K3305" s="11">
        <v>3.8</v>
      </c>
      <c r="L3305" s="11">
        <v>1.49</v>
      </c>
      <c r="M3305" s="9" t="s">
        <v>1466</v>
      </c>
      <c r="N3305" s="6" t="s">
        <v>1595</v>
      </c>
      <c r="O3305" s="6" t="s">
        <v>1595</v>
      </c>
      <c r="P3305" s="9" t="s">
        <v>33</v>
      </c>
      <c r="Q3305" s="9" t="s">
        <v>26</v>
      </c>
      <c r="R3305" s="9" t="s">
        <v>37</v>
      </c>
      <c r="S3305" s="7" t="s">
        <v>269</v>
      </c>
      <c r="T3305" s="9" t="s">
        <v>39</v>
      </c>
      <c r="U3305" s="7">
        <v>0.38</v>
      </c>
      <c r="V3305" s="12">
        <f>C3305+0</f>
        <v>40776</v>
      </c>
      <c r="W3305">
        <f>IF(D3305=' Pivot Tables'!$A$4,1,0)</f>
        <v>0</v>
      </c>
      <c r="X3305">
        <f>IF(AND(LEFT(D3305,4)+1=LEFT(' Pivot Tables'!$A$4,4)+0,RIGHT(LEFT(D3305,7),2)=RIGHT(LEFT(' Pivot Tables'!$A$4,7),2)),1,0)</f>
        <v>0</v>
      </c>
      <c r="Y3305" s="6">
        <f>1/COUNTIF(Таблица1[Order ID],Таблица1[[#This Row],[Order ID]])</f>
        <v>0.25</v>
      </c>
      <c r="Z3305" s="9">
        <f>1/COUNTIFS(Таблица1[Customer Name],Таблица1[[#This Row],[Customer Name]],Таблица1[Order-Year-Month],Таблица1[[#This Row],[Order-Year-Month]])</f>
        <v>0.25</v>
      </c>
    </row>
    <row r="3306" spans="1:26" x14ac:dyDescent="0.2">
      <c r="A3306" s="6">
        <v>6691</v>
      </c>
      <c r="B3306" s="7">
        <v>47617</v>
      </c>
      <c r="C3306" s="8">
        <f>DATE(2012,12,31)-1119</f>
        <v>40155</v>
      </c>
      <c r="D3306" s="8" t="str">
        <f t="shared" si="63"/>
        <v>2009-12 (декабрь 2009)</v>
      </c>
      <c r="E3306" s="9" t="s">
        <v>45</v>
      </c>
      <c r="F3306" s="7">
        <v>17</v>
      </c>
      <c r="G3306" s="7">
        <v>5001.29</v>
      </c>
      <c r="H3306" s="7">
        <v>0.09</v>
      </c>
      <c r="I3306" s="9" t="s">
        <v>22</v>
      </c>
      <c r="J3306" s="10">
        <v>1680.9175</v>
      </c>
      <c r="K3306" s="11">
        <v>304.99</v>
      </c>
      <c r="L3306" s="11">
        <v>19.989999999999998</v>
      </c>
      <c r="M3306" s="9" t="s">
        <v>79</v>
      </c>
      <c r="N3306" s="6" t="s">
        <v>1595</v>
      </c>
      <c r="O3306" s="6" t="s">
        <v>1595</v>
      </c>
      <c r="P3306" s="9" t="s">
        <v>41</v>
      </c>
      <c r="Q3306" s="9" t="s">
        <v>26</v>
      </c>
      <c r="R3306" s="9" t="s">
        <v>37</v>
      </c>
      <c r="S3306" s="7" t="s">
        <v>1165</v>
      </c>
      <c r="T3306" s="9" t="s">
        <v>39</v>
      </c>
      <c r="U3306" s="7">
        <v>0.4</v>
      </c>
      <c r="V3306" s="12">
        <f>C3306+1</f>
        <v>40156</v>
      </c>
      <c r="W3306">
        <f>IF(D3306=' Pivot Tables'!$A$4,1,0)</f>
        <v>0</v>
      </c>
      <c r="X3306">
        <f>IF(AND(LEFT(D3306,4)+1=LEFT(' Pivot Tables'!$A$4,4)+0,RIGHT(LEFT(D3306,7),2)=RIGHT(LEFT(' Pivot Tables'!$A$4,7),2)),1,0)</f>
        <v>0</v>
      </c>
      <c r="Y3306" s="6">
        <f>1/COUNTIF(Таблица1[Order ID],Таблица1[[#This Row],[Order ID]])</f>
        <v>1</v>
      </c>
      <c r="Z3306" s="9">
        <f>1/COUNTIFS(Таблица1[Customer Name],Таблица1[[#This Row],[Customer Name]],Таблица1[Order-Year-Month],Таблица1[[#This Row],[Order-Year-Month]])</f>
        <v>0.5</v>
      </c>
    </row>
    <row r="3307" spans="1:26" x14ac:dyDescent="0.2">
      <c r="A3307" s="6">
        <v>6713</v>
      </c>
      <c r="B3307" s="7">
        <v>47842</v>
      </c>
      <c r="C3307" s="8">
        <f>DATE(2012,12,31)-964</f>
        <v>40310</v>
      </c>
      <c r="D3307" s="8" t="str">
        <f t="shared" si="63"/>
        <v>2010-05 (май 2010)</v>
      </c>
      <c r="E3307" s="9" t="s">
        <v>63</v>
      </c>
      <c r="F3307" s="7">
        <v>50</v>
      </c>
      <c r="G3307" s="7">
        <v>230.23</v>
      </c>
      <c r="H3307" s="7">
        <v>0.06</v>
      </c>
      <c r="I3307" s="9" t="s">
        <v>56</v>
      </c>
      <c r="J3307" s="10">
        <v>-150.93</v>
      </c>
      <c r="K3307" s="11">
        <v>4.28</v>
      </c>
      <c r="L3307" s="11">
        <v>5.74</v>
      </c>
      <c r="M3307" s="9" t="s">
        <v>1543</v>
      </c>
      <c r="N3307" s="6" t="s">
        <v>1595</v>
      </c>
      <c r="O3307" s="6" t="s">
        <v>1595</v>
      </c>
      <c r="P3307" s="9" t="s">
        <v>25</v>
      </c>
      <c r="Q3307" s="9" t="s">
        <v>26</v>
      </c>
      <c r="R3307" s="9" t="s">
        <v>61</v>
      </c>
      <c r="S3307" s="7" t="s">
        <v>648</v>
      </c>
      <c r="T3307" s="9" t="s">
        <v>39</v>
      </c>
      <c r="U3307" s="7">
        <v>0.4</v>
      </c>
      <c r="V3307" s="12">
        <f>C3307+0</f>
        <v>40310</v>
      </c>
      <c r="W3307">
        <f>IF(D3307=' Pivot Tables'!$A$4,1,0)</f>
        <v>0</v>
      </c>
      <c r="X3307">
        <f>IF(AND(LEFT(D3307,4)+1=LEFT(' Pivot Tables'!$A$4,4)+0,RIGHT(LEFT(D3307,7),2)=RIGHT(LEFT(' Pivot Tables'!$A$4,7),2)),1,0)</f>
        <v>0</v>
      </c>
      <c r="Y3307" s="6">
        <f>1/COUNTIF(Таблица1[Order ID],Таблица1[[#This Row],[Order ID]])</f>
        <v>1</v>
      </c>
      <c r="Z3307" s="9">
        <f>1/COUNTIFS(Таблица1[Customer Name],Таблица1[[#This Row],[Customer Name]],Таблица1[Order-Year-Month],Таблица1[[#This Row],[Order-Year-Month]])</f>
        <v>1</v>
      </c>
    </row>
    <row r="3308" spans="1:26" x14ac:dyDescent="0.2">
      <c r="A3308" s="6">
        <v>6819</v>
      </c>
      <c r="B3308" s="7">
        <v>48548</v>
      </c>
      <c r="C3308" s="8">
        <f>DATE(2012,12,31)-646</f>
        <v>40628</v>
      </c>
      <c r="D3308" s="8" t="str">
        <f t="shared" si="63"/>
        <v>2011-03 (март 2011)</v>
      </c>
      <c r="E3308" s="9" t="s">
        <v>78</v>
      </c>
      <c r="F3308" s="7">
        <v>3</v>
      </c>
      <c r="G3308" s="7">
        <v>13.71</v>
      </c>
      <c r="H3308" s="7">
        <v>0.03</v>
      </c>
      <c r="I3308" s="9" t="s">
        <v>22</v>
      </c>
      <c r="J3308" s="10">
        <v>-10.27</v>
      </c>
      <c r="K3308" s="11">
        <v>3.28</v>
      </c>
      <c r="L3308" s="11">
        <v>3.97</v>
      </c>
      <c r="M3308" s="9" t="s">
        <v>1481</v>
      </c>
      <c r="N3308" s="6" t="s">
        <v>1595</v>
      </c>
      <c r="O3308" s="6" t="s">
        <v>1595</v>
      </c>
      <c r="P3308" s="9" t="s">
        <v>41</v>
      </c>
      <c r="Q3308" s="9" t="s">
        <v>26</v>
      </c>
      <c r="R3308" s="9" t="s">
        <v>95</v>
      </c>
      <c r="S3308" s="7" t="s">
        <v>572</v>
      </c>
      <c r="T3308" s="9" t="s">
        <v>68</v>
      </c>
      <c r="U3308" s="7">
        <v>0.56000000000000005</v>
      </c>
      <c r="V3308" s="12">
        <f>C3308+1</f>
        <v>40629</v>
      </c>
      <c r="W3308">
        <f>IF(D3308=' Pivot Tables'!$A$4,1,0)</f>
        <v>0</v>
      </c>
      <c r="X3308">
        <f>IF(AND(LEFT(D3308,4)+1=LEFT(' Pivot Tables'!$A$4,4)+0,RIGHT(LEFT(D3308,7),2)=RIGHT(LEFT(' Pivot Tables'!$A$4,7),2)),1,0)</f>
        <v>0</v>
      </c>
      <c r="Y3308" s="6">
        <f>1/COUNTIF(Таблица1[Order ID],Таблица1[[#This Row],[Order ID]])</f>
        <v>1</v>
      </c>
      <c r="Z3308" s="9">
        <f>1/COUNTIFS(Таблица1[Customer Name],Таблица1[[#This Row],[Customer Name]],Таблица1[Order-Year-Month],Таблица1[[#This Row],[Order-Year-Month]])</f>
        <v>1</v>
      </c>
    </row>
    <row r="3309" spans="1:26" x14ac:dyDescent="0.2">
      <c r="A3309" s="6">
        <v>6880</v>
      </c>
      <c r="B3309" s="7">
        <v>49056</v>
      </c>
      <c r="C3309" s="8">
        <f>DATE(2012,12,31)-1187</f>
        <v>40087</v>
      </c>
      <c r="D3309" s="8" t="str">
        <f t="shared" si="63"/>
        <v>2009-10 (октябрь 2009)</v>
      </c>
      <c r="E3309" s="9" t="s">
        <v>30</v>
      </c>
      <c r="F3309" s="7">
        <v>46</v>
      </c>
      <c r="G3309" s="7">
        <v>300.07</v>
      </c>
      <c r="H3309" s="7">
        <v>0.05</v>
      </c>
      <c r="I3309" s="9" t="s">
        <v>22</v>
      </c>
      <c r="J3309" s="10">
        <v>-209.58</v>
      </c>
      <c r="K3309" s="11">
        <v>6.48</v>
      </c>
      <c r="L3309" s="11">
        <v>8.4</v>
      </c>
      <c r="M3309" s="9" t="s">
        <v>1483</v>
      </c>
      <c r="N3309" s="6" t="s">
        <v>1595</v>
      </c>
      <c r="O3309" s="6" t="s">
        <v>1595</v>
      </c>
      <c r="P3309" s="9" t="s">
        <v>60</v>
      </c>
      <c r="Q3309" s="9" t="s">
        <v>26</v>
      </c>
      <c r="R3309" s="9" t="s">
        <v>61</v>
      </c>
      <c r="S3309" s="7" t="s">
        <v>1097</v>
      </c>
      <c r="T3309" s="9" t="s">
        <v>39</v>
      </c>
      <c r="U3309" s="7">
        <v>0.37</v>
      </c>
      <c r="V3309" s="12">
        <f>C3309+2</f>
        <v>40089</v>
      </c>
      <c r="W3309">
        <f>IF(D3309=' Pivot Tables'!$A$4,1,0)</f>
        <v>0</v>
      </c>
      <c r="X3309">
        <f>IF(AND(LEFT(D3309,4)+1=LEFT(' Pivot Tables'!$A$4,4)+0,RIGHT(LEFT(D3309,7),2)=RIGHT(LEFT(' Pivot Tables'!$A$4,7),2)),1,0)</f>
        <v>0</v>
      </c>
      <c r="Y3309" s="6">
        <f>1/COUNTIF(Таблица1[Order ID],Таблица1[[#This Row],[Order ID]])</f>
        <v>0.5</v>
      </c>
      <c r="Z3309" s="9">
        <f>1/COUNTIFS(Таблица1[Customer Name],Таблица1[[#This Row],[Customer Name]],Таблица1[Order-Year-Month],Таблица1[[#This Row],[Order-Year-Month]])</f>
        <v>0.5</v>
      </c>
    </row>
    <row r="3310" spans="1:26" x14ac:dyDescent="0.2">
      <c r="A3310" s="6">
        <v>7115</v>
      </c>
      <c r="B3310" s="7">
        <v>50759</v>
      </c>
      <c r="C3310" s="8">
        <f>DATE(2012,12,31)-1018</f>
        <v>40256</v>
      </c>
      <c r="D3310" s="8" t="str">
        <f t="shared" si="63"/>
        <v>2010-03 (март 2010)</v>
      </c>
      <c r="E3310" s="9" t="s">
        <v>21</v>
      </c>
      <c r="F3310" s="7">
        <v>46</v>
      </c>
      <c r="G3310" s="7">
        <v>2422.721</v>
      </c>
      <c r="H3310" s="7">
        <v>0.1</v>
      </c>
      <c r="I3310" s="9" t="s">
        <v>22</v>
      </c>
      <c r="J3310" s="10">
        <v>366.18299999999999</v>
      </c>
      <c r="K3310" s="11">
        <v>65.989999999999995</v>
      </c>
      <c r="L3310" s="11">
        <v>8.99</v>
      </c>
      <c r="M3310" s="9" t="s">
        <v>1553</v>
      </c>
      <c r="N3310" s="6" t="s">
        <v>1595</v>
      </c>
      <c r="O3310" s="6" t="s">
        <v>1595</v>
      </c>
      <c r="P3310" s="9" t="s">
        <v>41</v>
      </c>
      <c r="Q3310" s="9" t="s">
        <v>42</v>
      </c>
      <c r="R3310" s="9" t="s">
        <v>43</v>
      </c>
      <c r="S3310" s="7" t="s">
        <v>534</v>
      </c>
      <c r="T3310" s="9" t="s">
        <v>39</v>
      </c>
      <c r="U3310" s="7">
        <v>0.56000000000000005</v>
      </c>
      <c r="V3310" s="12">
        <f>C3310+5</f>
        <v>40261</v>
      </c>
      <c r="W3310">
        <f>IF(D3310=' Pivot Tables'!$A$4,1,0)</f>
        <v>0</v>
      </c>
      <c r="X3310">
        <f>IF(AND(LEFT(D3310,4)+1=LEFT(' Pivot Tables'!$A$4,4)+0,RIGHT(LEFT(D3310,7),2)=RIGHT(LEFT(' Pivot Tables'!$A$4,7),2)),1,0)</f>
        <v>0</v>
      </c>
      <c r="Y3310" s="6">
        <f>1/COUNTIF(Таблица1[Order ID],Таблица1[[#This Row],[Order ID]])</f>
        <v>1</v>
      </c>
      <c r="Z3310" s="9">
        <f>1/COUNTIFS(Таблица1[Customer Name],Таблица1[[#This Row],[Customer Name]],Таблица1[Order-Year-Month],Таблица1[[#This Row],[Order-Year-Month]])</f>
        <v>1</v>
      </c>
    </row>
    <row r="3311" spans="1:26" x14ac:dyDescent="0.2">
      <c r="A3311" s="6">
        <v>7229</v>
      </c>
      <c r="B3311" s="7">
        <v>51556</v>
      </c>
      <c r="C3311" s="8">
        <f>DATE(2012,12,31)-65</f>
        <v>41209</v>
      </c>
      <c r="D3311" s="8" t="str">
        <f t="shared" si="63"/>
        <v>2012-10 (октябрь 2012)</v>
      </c>
      <c r="E3311" s="9" t="s">
        <v>30</v>
      </c>
      <c r="F3311" s="7">
        <v>10</v>
      </c>
      <c r="G3311" s="7">
        <v>45.69</v>
      </c>
      <c r="H3311" s="7">
        <v>0.01</v>
      </c>
      <c r="I3311" s="9" t="s">
        <v>56</v>
      </c>
      <c r="J3311" s="10">
        <v>-24.21</v>
      </c>
      <c r="K3311" s="11">
        <v>3.57</v>
      </c>
      <c r="L3311" s="11">
        <v>4.17</v>
      </c>
      <c r="M3311" s="9" t="s">
        <v>598</v>
      </c>
      <c r="N3311" s="6" t="s">
        <v>1595</v>
      </c>
      <c r="O3311" s="6" t="s">
        <v>1595</v>
      </c>
      <c r="P3311" s="9" t="s">
        <v>41</v>
      </c>
      <c r="Q3311" s="9" t="s">
        <v>26</v>
      </c>
      <c r="R3311" s="9" t="s">
        <v>95</v>
      </c>
      <c r="S3311" s="7" t="s">
        <v>739</v>
      </c>
      <c r="T3311" s="9" t="s">
        <v>52</v>
      </c>
      <c r="U3311" s="7">
        <v>0.59</v>
      </c>
      <c r="V3311" s="12">
        <f>C3311+2</f>
        <v>41211</v>
      </c>
      <c r="W3311">
        <f>IF(D3311=' Pivot Tables'!$A$4,1,0)</f>
        <v>0</v>
      </c>
      <c r="X3311">
        <f>IF(AND(LEFT(D3311,4)+1=LEFT(' Pivot Tables'!$A$4,4)+0,RIGHT(LEFT(D3311,7),2)=RIGHT(LEFT(' Pivot Tables'!$A$4,7),2)),1,0)</f>
        <v>0</v>
      </c>
      <c r="Y3311" s="6">
        <f>1/COUNTIF(Таблица1[Order ID],Таблица1[[#This Row],[Order ID]])</f>
        <v>1</v>
      </c>
      <c r="Z3311" s="9">
        <f>1/COUNTIFS(Таблица1[Customer Name],Таблица1[[#This Row],[Customer Name]],Таблица1[Order-Year-Month],Таблица1[[#This Row],[Order-Year-Month]])</f>
        <v>1</v>
      </c>
    </row>
    <row r="3312" spans="1:26" x14ac:dyDescent="0.2">
      <c r="A3312" s="6">
        <v>7240</v>
      </c>
      <c r="B3312" s="7">
        <v>51620</v>
      </c>
      <c r="C3312" s="8">
        <f>DATE(2012,12,31)-298</f>
        <v>40976</v>
      </c>
      <c r="D3312" s="8" t="str">
        <f t="shared" si="63"/>
        <v>2012-03 (март 2012)</v>
      </c>
      <c r="E3312" s="9" t="s">
        <v>63</v>
      </c>
      <c r="F3312" s="7">
        <v>12</v>
      </c>
      <c r="G3312" s="7">
        <v>173.97</v>
      </c>
      <c r="H3312" s="7">
        <v>0.03</v>
      </c>
      <c r="I3312" s="9" t="s">
        <v>22</v>
      </c>
      <c r="J3312" s="10">
        <v>-2.5499999999999998</v>
      </c>
      <c r="K3312" s="11">
        <v>13.48</v>
      </c>
      <c r="L3312" s="11">
        <v>4.51</v>
      </c>
      <c r="M3312" s="9" t="s">
        <v>1494</v>
      </c>
      <c r="N3312" s="6" t="s">
        <v>1595</v>
      </c>
      <c r="O3312" s="6" t="s">
        <v>1595</v>
      </c>
      <c r="P3312" s="9" t="s">
        <v>41</v>
      </c>
      <c r="Q3312" s="9" t="s">
        <v>26</v>
      </c>
      <c r="R3312" s="9" t="s">
        <v>27</v>
      </c>
      <c r="S3312" s="7" t="s">
        <v>101</v>
      </c>
      <c r="T3312" s="9" t="s">
        <v>39</v>
      </c>
      <c r="U3312" s="7">
        <v>0.59</v>
      </c>
      <c r="V3312" s="12">
        <f>C3312+1</f>
        <v>40977</v>
      </c>
      <c r="W3312">
        <f>IF(D3312=' Pivot Tables'!$A$4,1,0)</f>
        <v>0</v>
      </c>
      <c r="X3312">
        <f>IF(AND(LEFT(D3312,4)+1=LEFT(' Pivot Tables'!$A$4,4)+0,RIGHT(LEFT(D3312,7),2)=RIGHT(LEFT(' Pivot Tables'!$A$4,7),2)),1,0)</f>
        <v>0</v>
      </c>
      <c r="Y3312" s="6">
        <f>1/COUNTIF(Таблица1[Order ID],Таблица1[[#This Row],[Order ID]])</f>
        <v>1</v>
      </c>
      <c r="Z3312" s="9">
        <f>1/COUNTIFS(Таблица1[Customer Name],Таблица1[[#This Row],[Customer Name]],Таблица1[Order-Year-Month],Таблица1[[#This Row],[Order-Year-Month]])</f>
        <v>1</v>
      </c>
    </row>
    <row r="3313" spans="1:26" x14ac:dyDescent="0.2">
      <c r="A3313" s="6">
        <v>7406</v>
      </c>
      <c r="B3313" s="7">
        <v>52837</v>
      </c>
      <c r="C3313" s="8">
        <f>DATE(2012,12,31)-348</f>
        <v>40926</v>
      </c>
      <c r="D3313" s="8" t="str">
        <f t="shared" si="63"/>
        <v>2012-01 (январь 2012)</v>
      </c>
      <c r="E3313" s="9" t="s">
        <v>78</v>
      </c>
      <c r="F3313" s="7">
        <v>32</v>
      </c>
      <c r="G3313" s="7">
        <v>5934.39</v>
      </c>
      <c r="H3313" s="7">
        <v>0.08</v>
      </c>
      <c r="I3313" s="9" t="s">
        <v>22</v>
      </c>
      <c r="J3313" s="10">
        <v>519.54999999999995</v>
      </c>
      <c r="K3313" s="11">
        <v>193.17</v>
      </c>
      <c r="L3313" s="11">
        <v>19.989999999999998</v>
      </c>
      <c r="M3313" s="9" t="s">
        <v>1588</v>
      </c>
      <c r="N3313" s="6" t="s">
        <v>1595</v>
      </c>
      <c r="O3313" s="6" t="s">
        <v>1595</v>
      </c>
      <c r="P3313" s="9" t="s">
        <v>41</v>
      </c>
      <c r="Q3313" s="9" t="s">
        <v>26</v>
      </c>
      <c r="R3313" s="9" t="s">
        <v>27</v>
      </c>
      <c r="S3313" s="7" t="s">
        <v>338</v>
      </c>
      <c r="T3313" s="9" t="s">
        <v>39</v>
      </c>
      <c r="U3313" s="7">
        <v>0.71</v>
      </c>
      <c r="V3313" s="12">
        <f>C3313+2</f>
        <v>40928</v>
      </c>
      <c r="W3313">
        <f>IF(D3313=' Pivot Tables'!$A$4,1,0)</f>
        <v>0</v>
      </c>
      <c r="X3313">
        <f>IF(AND(LEFT(D3313,4)+1=LEFT(' Pivot Tables'!$A$4,4)+0,RIGHT(LEFT(D3313,7),2)=RIGHT(LEFT(' Pivot Tables'!$A$4,7),2)),1,0)</f>
        <v>0</v>
      </c>
      <c r="Y3313" s="6">
        <f>1/COUNTIF(Таблица1[Order ID],Таблица1[[#This Row],[Order ID]])</f>
        <v>1</v>
      </c>
      <c r="Z3313" s="9">
        <f>1/COUNTIFS(Таблица1[Customer Name],Таблица1[[#This Row],[Customer Name]],Таблица1[Order-Year-Month],Таблица1[[#This Row],[Order-Year-Month]])</f>
        <v>1</v>
      </c>
    </row>
    <row r="3314" spans="1:26" x14ac:dyDescent="0.2">
      <c r="A3314" s="6">
        <v>7629</v>
      </c>
      <c r="B3314" s="7">
        <v>54592</v>
      </c>
      <c r="C3314" s="8">
        <f>DATE(2012,12,31)-568</f>
        <v>40706</v>
      </c>
      <c r="D3314" s="8" t="str">
        <f t="shared" si="63"/>
        <v>2011-06 (июнь 2011)</v>
      </c>
      <c r="E3314" s="9" t="s">
        <v>21</v>
      </c>
      <c r="F3314" s="7">
        <v>28</v>
      </c>
      <c r="G3314" s="7">
        <v>1971.56</v>
      </c>
      <c r="H3314" s="7">
        <v>0.05</v>
      </c>
      <c r="I3314" s="9" t="s">
        <v>31</v>
      </c>
      <c r="J3314" s="10">
        <v>-15.29</v>
      </c>
      <c r="K3314" s="11">
        <v>70.98</v>
      </c>
      <c r="L3314" s="11">
        <v>26.85</v>
      </c>
      <c r="M3314" s="9" t="s">
        <v>1530</v>
      </c>
      <c r="N3314" s="6" t="s">
        <v>1595</v>
      </c>
      <c r="O3314" s="6" t="s">
        <v>1595</v>
      </c>
      <c r="P3314" s="9" t="s">
        <v>25</v>
      </c>
      <c r="Q3314" s="9" t="s">
        <v>49</v>
      </c>
      <c r="R3314" s="9" t="s">
        <v>80</v>
      </c>
      <c r="S3314" s="7" t="s">
        <v>1642</v>
      </c>
      <c r="T3314" s="9" t="s">
        <v>82</v>
      </c>
      <c r="U3314" s="7"/>
      <c r="V3314" s="12">
        <f>C3314+4</f>
        <v>40710</v>
      </c>
      <c r="W3314">
        <f>IF(D3314=' Pivot Tables'!$A$4,1,0)</f>
        <v>0</v>
      </c>
      <c r="X3314">
        <f>IF(AND(LEFT(D3314,4)+1=LEFT(' Pivot Tables'!$A$4,4)+0,RIGHT(LEFT(D3314,7),2)=RIGHT(LEFT(' Pivot Tables'!$A$4,7),2)),1,0)</f>
        <v>0</v>
      </c>
      <c r="Y3314" s="6">
        <f>1/COUNTIF(Таблица1[Order ID],Таблица1[[#This Row],[Order ID]])</f>
        <v>0.5</v>
      </c>
      <c r="Z3314" s="9">
        <f>1/COUNTIFS(Таблица1[Customer Name],Таблица1[[#This Row],[Customer Name]],Таблица1[Order-Year-Month],Таблица1[[#This Row],[Order-Year-Month]])</f>
        <v>0.5</v>
      </c>
    </row>
    <row r="3315" spans="1:26" x14ac:dyDescent="0.2">
      <c r="A3315" s="6">
        <v>7700</v>
      </c>
      <c r="B3315" s="7">
        <v>55202</v>
      </c>
      <c r="C3315" s="8">
        <f>DATE(2012,12,31)-495</f>
        <v>40779</v>
      </c>
      <c r="D3315" s="8" t="str">
        <f t="shared" si="63"/>
        <v>2011-08 (август 2011)</v>
      </c>
      <c r="E3315" s="9" t="s">
        <v>21</v>
      </c>
      <c r="F3315" s="7">
        <v>33</v>
      </c>
      <c r="G3315" s="7">
        <v>3093.76</v>
      </c>
      <c r="H3315" s="7">
        <v>7.0000000000000007E-2</v>
      </c>
      <c r="I3315" s="9" t="s">
        <v>56</v>
      </c>
      <c r="J3315" s="10">
        <v>-850.71</v>
      </c>
      <c r="K3315" s="11">
        <v>95.99</v>
      </c>
      <c r="L3315" s="11">
        <v>35</v>
      </c>
      <c r="M3315" s="9" t="s">
        <v>1560</v>
      </c>
      <c r="N3315" s="6" t="s">
        <v>1595</v>
      </c>
      <c r="O3315" s="6" t="s">
        <v>1595</v>
      </c>
      <c r="P3315" s="9" t="s">
        <v>25</v>
      </c>
      <c r="Q3315" s="9" t="s">
        <v>26</v>
      </c>
      <c r="R3315" s="9" t="s">
        <v>27</v>
      </c>
      <c r="S3315" s="7" t="s">
        <v>1411</v>
      </c>
      <c r="T3315" s="9" t="s">
        <v>29</v>
      </c>
      <c r="U3315" s="7"/>
      <c r="V3315" s="12">
        <f>C3315+2</f>
        <v>40781</v>
      </c>
      <c r="W3315">
        <f>IF(D3315=' Pivot Tables'!$A$4,1,0)</f>
        <v>0</v>
      </c>
      <c r="X3315">
        <f>IF(AND(LEFT(D3315,4)+1=LEFT(' Pivot Tables'!$A$4,4)+0,RIGHT(LEFT(D3315,7),2)=RIGHT(LEFT(' Pivot Tables'!$A$4,7),2)),1,0)</f>
        <v>0</v>
      </c>
      <c r="Y3315" s="6">
        <f>1/COUNTIF(Таблица1[Order ID],Таблица1[[#This Row],[Order ID]])</f>
        <v>0.5</v>
      </c>
      <c r="Z3315" s="9">
        <f>1/COUNTIFS(Таблица1[Customer Name],Таблица1[[#This Row],[Customer Name]],Таблица1[Order-Year-Month],Таблица1[[#This Row],[Order-Year-Month]])</f>
        <v>0.25</v>
      </c>
    </row>
    <row r="3316" spans="1:26" x14ac:dyDescent="0.2">
      <c r="A3316" s="6">
        <v>7707</v>
      </c>
      <c r="B3316" s="7">
        <v>55239</v>
      </c>
      <c r="C3316" s="8">
        <f>DATE(2012,12,31)-28</f>
        <v>41246</v>
      </c>
      <c r="D3316" s="8" t="str">
        <f t="shared" si="63"/>
        <v>2012-12 (декабрь 2012)</v>
      </c>
      <c r="E3316" s="9" t="s">
        <v>78</v>
      </c>
      <c r="F3316" s="7">
        <v>6</v>
      </c>
      <c r="G3316" s="7">
        <v>1008.872</v>
      </c>
      <c r="H3316" s="7">
        <v>0.02</v>
      </c>
      <c r="I3316" s="9" t="s">
        <v>56</v>
      </c>
      <c r="J3316" s="10">
        <v>-505.98447900000014</v>
      </c>
      <c r="K3316" s="11">
        <v>209.37</v>
      </c>
      <c r="L3316" s="11">
        <v>69</v>
      </c>
      <c r="M3316" s="9" t="s">
        <v>1562</v>
      </c>
      <c r="N3316" s="6" t="s">
        <v>1595</v>
      </c>
      <c r="O3316" s="6" t="s">
        <v>1595</v>
      </c>
      <c r="P3316" s="9" t="s">
        <v>33</v>
      </c>
      <c r="Q3316" s="9" t="s">
        <v>49</v>
      </c>
      <c r="R3316" s="9" t="s">
        <v>83</v>
      </c>
      <c r="S3316" s="7" t="s">
        <v>936</v>
      </c>
      <c r="T3316" s="9" t="s">
        <v>29</v>
      </c>
      <c r="U3316" s="7">
        <v>0.79</v>
      </c>
      <c r="V3316" s="12">
        <f>C3316+0</f>
        <v>41246</v>
      </c>
      <c r="W3316">
        <f>IF(D3316=' Pivot Tables'!$A$4,1,0)</f>
        <v>0</v>
      </c>
      <c r="X3316">
        <f>IF(AND(LEFT(D3316,4)+1=LEFT(' Pivot Tables'!$A$4,4)+0,RIGHT(LEFT(D3316,7),2)=RIGHT(LEFT(' Pivot Tables'!$A$4,7),2)),1,0)</f>
        <v>0</v>
      </c>
      <c r="Y3316" s="6">
        <f>1/COUNTIF(Таблица1[Order ID],Таблица1[[#This Row],[Order ID]])</f>
        <v>0.5</v>
      </c>
      <c r="Z3316" s="9">
        <f>1/COUNTIFS(Таблица1[Customer Name],Таблица1[[#This Row],[Customer Name]],Таблица1[Order-Year-Month],Таблица1[[#This Row],[Order-Year-Month]])</f>
        <v>0.5</v>
      </c>
    </row>
    <row r="3317" spans="1:26" x14ac:dyDescent="0.2">
      <c r="A3317" s="6">
        <v>8111</v>
      </c>
      <c r="B3317" s="7">
        <v>57894</v>
      </c>
      <c r="C3317" s="8">
        <f>DATE(2012,12,31)-272</f>
        <v>41002</v>
      </c>
      <c r="D3317" s="8" t="str">
        <f t="shared" si="63"/>
        <v>2012-04 (апрель 2012)</v>
      </c>
      <c r="E3317" s="9" t="s">
        <v>21</v>
      </c>
      <c r="F3317" s="7">
        <v>47</v>
      </c>
      <c r="G3317" s="7">
        <v>13382.01</v>
      </c>
      <c r="H3317" s="7">
        <v>0.09</v>
      </c>
      <c r="I3317" s="9" t="s">
        <v>31</v>
      </c>
      <c r="J3317" s="10">
        <v>2852.94</v>
      </c>
      <c r="K3317" s="11">
        <v>306.14</v>
      </c>
      <c r="L3317" s="11">
        <v>26.53</v>
      </c>
      <c r="M3317" s="9" t="s">
        <v>1512</v>
      </c>
      <c r="N3317" s="6" t="s">
        <v>1595</v>
      </c>
      <c r="O3317" s="6" t="s">
        <v>1595</v>
      </c>
      <c r="P3317" s="9" t="s">
        <v>60</v>
      </c>
      <c r="Q3317" s="9" t="s">
        <v>42</v>
      </c>
      <c r="R3317" s="9" t="s">
        <v>210</v>
      </c>
      <c r="S3317" s="7" t="s">
        <v>1085</v>
      </c>
      <c r="T3317" s="9" t="s">
        <v>36</v>
      </c>
      <c r="U3317" s="7">
        <v>0.56000000000000005</v>
      </c>
      <c r="V3317" s="12">
        <f>C3317+2</f>
        <v>41004</v>
      </c>
      <c r="W3317">
        <f>IF(D3317=' Pivot Tables'!$A$4,1,0)</f>
        <v>0</v>
      </c>
      <c r="X3317">
        <f>IF(AND(LEFT(D3317,4)+1=LEFT(' Pivot Tables'!$A$4,4)+0,RIGHT(LEFT(D3317,7),2)=RIGHT(LEFT(' Pivot Tables'!$A$4,7),2)),1,0)</f>
        <v>0</v>
      </c>
      <c r="Y3317" s="6">
        <f>1/COUNTIF(Таблица1[Order ID],Таблица1[[#This Row],[Order ID]])</f>
        <v>1</v>
      </c>
      <c r="Z3317" s="9">
        <f>1/COUNTIFS(Таблица1[Customer Name],Таблица1[[#This Row],[Customer Name]],Таблица1[Order-Year-Month],Таблица1[[#This Row],[Order-Year-Month]])</f>
        <v>1</v>
      </c>
    </row>
    <row r="3318" spans="1:26" x14ac:dyDescent="0.2">
      <c r="A3318" s="6">
        <v>8196</v>
      </c>
      <c r="B3318" s="7">
        <v>58599</v>
      </c>
      <c r="C3318" s="8">
        <f>DATE(2012,12,31)-1082</f>
        <v>40192</v>
      </c>
      <c r="D3318" s="8" t="str">
        <f t="shared" si="63"/>
        <v>2010-01 (январь 2010)</v>
      </c>
      <c r="E3318" s="9" t="s">
        <v>78</v>
      </c>
      <c r="F3318" s="7">
        <v>19</v>
      </c>
      <c r="G3318" s="7">
        <v>2328.62</v>
      </c>
      <c r="H3318" s="7">
        <v>0</v>
      </c>
      <c r="I3318" s="9" t="s">
        <v>31</v>
      </c>
      <c r="J3318" s="10">
        <v>45.54</v>
      </c>
      <c r="K3318" s="11">
        <v>120.98</v>
      </c>
      <c r="L3318" s="11">
        <v>30</v>
      </c>
      <c r="M3318" s="9" t="s">
        <v>1593</v>
      </c>
      <c r="N3318" s="6" t="s">
        <v>1595</v>
      </c>
      <c r="O3318" s="6" t="s">
        <v>1595</v>
      </c>
      <c r="P3318" s="9" t="s">
        <v>25</v>
      </c>
      <c r="Q3318" s="9" t="s">
        <v>49</v>
      </c>
      <c r="R3318" s="9" t="s">
        <v>112</v>
      </c>
      <c r="S3318" s="7" t="s">
        <v>116</v>
      </c>
      <c r="T3318" s="9" t="s">
        <v>36</v>
      </c>
      <c r="U3318" s="7">
        <v>0.64</v>
      </c>
      <c r="V3318" s="12">
        <f>C3318+1</f>
        <v>40193</v>
      </c>
      <c r="W3318">
        <f>IF(D3318=' Pivot Tables'!$A$4,1,0)</f>
        <v>1</v>
      </c>
      <c r="X3318">
        <f>IF(AND(LEFT(D3318,4)+1=LEFT(' Pivot Tables'!$A$4,4)+0,RIGHT(LEFT(D3318,7),2)=RIGHT(LEFT(' Pivot Tables'!$A$4,7),2)),1,0)</f>
        <v>0</v>
      </c>
      <c r="Y3318" s="6">
        <f>1/COUNTIF(Таблица1[Order ID],Таблица1[[#This Row],[Order ID]])</f>
        <v>0.5</v>
      </c>
      <c r="Z3318" s="9">
        <f>1/COUNTIFS(Таблица1[Customer Name],Таблица1[[#This Row],[Customer Name]],Таблица1[Order-Year-Month],Таблица1[[#This Row],[Order-Year-Month]])</f>
        <v>0.5</v>
      </c>
    </row>
    <row r="3319" spans="1:26" x14ac:dyDescent="0.2">
      <c r="A3319" s="6">
        <v>22</v>
      </c>
      <c r="B3319" s="7">
        <v>132</v>
      </c>
      <c r="C3319" s="8">
        <f>DATE(2012,12,31)-935</f>
        <v>40339</v>
      </c>
      <c r="D3319" s="8" t="str">
        <f t="shared" si="63"/>
        <v>2010-06 (июнь 2010)</v>
      </c>
      <c r="E3319" s="9" t="s">
        <v>63</v>
      </c>
      <c r="F3319" s="7">
        <v>27</v>
      </c>
      <c r="G3319" s="7">
        <v>192.81399999999999</v>
      </c>
      <c r="H3319" s="7">
        <v>0.03</v>
      </c>
      <c r="I3319" s="9" t="s">
        <v>22</v>
      </c>
      <c r="J3319" s="10">
        <v>-86.195999999999998</v>
      </c>
      <c r="K3319" s="11">
        <v>7.99</v>
      </c>
      <c r="L3319" s="11">
        <v>5.03</v>
      </c>
      <c r="M3319" s="9" t="s">
        <v>1567</v>
      </c>
      <c r="N3319" s="6" t="s">
        <v>1595</v>
      </c>
      <c r="O3319" s="6" t="s">
        <v>1595</v>
      </c>
      <c r="P3319" s="9" t="s">
        <v>33</v>
      </c>
      <c r="Q3319" s="9" t="s">
        <v>42</v>
      </c>
      <c r="R3319" s="9" t="s">
        <v>43</v>
      </c>
      <c r="S3319" s="7" t="s">
        <v>140</v>
      </c>
      <c r="T3319" s="9" t="s">
        <v>48</v>
      </c>
      <c r="U3319" s="7">
        <v>0.6</v>
      </c>
      <c r="V3319" s="12">
        <f>C3319+1</f>
        <v>40340</v>
      </c>
      <c r="W3319">
        <f>IF(D3319=' Pivot Tables'!$A$4,1,0)</f>
        <v>0</v>
      </c>
      <c r="X3319">
        <f>IF(AND(LEFT(D3319,4)+1=LEFT(' Pivot Tables'!$A$4,4)+0,RIGHT(LEFT(D3319,7),2)=RIGHT(LEFT(' Pivot Tables'!$A$4,7),2)),1,0)</f>
        <v>0</v>
      </c>
      <c r="Y3319" s="6">
        <f>1/COUNTIF(Таблица1[Order ID],Таблица1[[#This Row],[Order ID]])</f>
        <v>0.5</v>
      </c>
      <c r="Z3319" s="9">
        <f>1/COUNTIFS(Таблица1[Customer Name],Таблица1[[#This Row],[Customer Name]],Таблица1[Order-Year-Month],Таблица1[[#This Row],[Order-Year-Month]])</f>
        <v>0.5</v>
      </c>
    </row>
    <row r="3320" spans="1:26" x14ac:dyDescent="0.2">
      <c r="A3320" s="6">
        <v>182</v>
      </c>
      <c r="B3320" s="7">
        <v>1191</v>
      </c>
      <c r="C3320" s="8">
        <f>DATE(2012,12,31)-421</f>
        <v>40853</v>
      </c>
      <c r="D3320" s="8" t="str">
        <f t="shared" si="63"/>
        <v>2011-11 (ноябрь 2011)</v>
      </c>
      <c r="E3320" s="9" t="s">
        <v>63</v>
      </c>
      <c r="F3320" s="7">
        <v>35</v>
      </c>
      <c r="G3320" s="7">
        <v>3532.96</v>
      </c>
      <c r="H3320" s="7">
        <v>0.08</v>
      </c>
      <c r="I3320" s="9" t="s">
        <v>31</v>
      </c>
      <c r="J3320" s="10">
        <v>-243.60336000000004</v>
      </c>
      <c r="K3320" s="11">
        <v>100.8</v>
      </c>
      <c r="L3320" s="11">
        <v>60</v>
      </c>
      <c r="M3320" s="9" t="s">
        <v>1459</v>
      </c>
      <c r="N3320" s="6" t="s">
        <v>1595</v>
      </c>
      <c r="O3320" s="6" t="s">
        <v>1595</v>
      </c>
      <c r="P3320" s="9" t="s">
        <v>60</v>
      </c>
      <c r="Q3320" s="9" t="s">
        <v>49</v>
      </c>
      <c r="R3320" s="9" t="s">
        <v>83</v>
      </c>
      <c r="S3320" s="7" t="s">
        <v>476</v>
      </c>
      <c r="T3320" s="9" t="s">
        <v>36</v>
      </c>
      <c r="U3320" s="7">
        <v>0.59</v>
      </c>
      <c r="V3320" s="12">
        <f>C3320+1</f>
        <v>40854</v>
      </c>
      <c r="W3320">
        <f>IF(D3320=' Pivot Tables'!$A$4,1,0)</f>
        <v>0</v>
      </c>
      <c r="X3320">
        <f>IF(AND(LEFT(D3320,4)+1=LEFT(' Pivot Tables'!$A$4,4)+0,RIGHT(LEFT(D3320,7),2)=RIGHT(LEFT(' Pivot Tables'!$A$4,7),2)),1,0)</f>
        <v>0</v>
      </c>
      <c r="Y3320" s="6">
        <f>1/COUNTIF(Таблица1[Order ID],Таблица1[[#This Row],[Order ID]])</f>
        <v>1</v>
      </c>
      <c r="Z3320" s="9">
        <f>1/COUNTIFS(Таблица1[Customer Name],Таблица1[[#This Row],[Customer Name]],Таблица1[Order-Year-Month],Таблица1[[#This Row],[Order-Year-Month]])</f>
        <v>0.25</v>
      </c>
    </row>
    <row r="3321" spans="1:26" x14ac:dyDescent="0.2">
      <c r="A3321" s="6">
        <v>220</v>
      </c>
      <c r="B3321" s="7">
        <v>1444</v>
      </c>
      <c r="C3321" s="8">
        <f>DATE(2012,12,31)-1122</f>
        <v>40152</v>
      </c>
      <c r="D3321" s="8" t="str">
        <f t="shared" si="63"/>
        <v>2009-12 (декабрь 2009)</v>
      </c>
      <c r="E3321" s="9" t="s">
        <v>63</v>
      </c>
      <c r="F3321" s="7">
        <v>24</v>
      </c>
      <c r="G3321" s="7">
        <v>416.4</v>
      </c>
      <c r="H3321" s="7">
        <v>0.02</v>
      </c>
      <c r="I3321" s="9" t="s">
        <v>22</v>
      </c>
      <c r="J3321" s="10">
        <v>24.33</v>
      </c>
      <c r="K3321" s="11">
        <v>17.149999999999999</v>
      </c>
      <c r="L3321" s="11">
        <v>4.96</v>
      </c>
      <c r="M3321" s="9" t="s">
        <v>1383</v>
      </c>
      <c r="N3321" s="6" t="s">
        <v>1595</v>
      </c>
      <c r="O3321" s="6" t="s">
        <v>1595</v>
      </c>
      <c r="P3321" s="9" t="s">
        <v>60</v>
      </c>
      <c r="Q3321" s="9" t="s">
        <v>26</v>
      </c>
      <c r="R3321" s="9" t="s">
        <v>27</v>
      </c>
      <c r="S3321" s="7" t="s">
        <v>1643</v>
      </c>
      <c r="T3321" s="9" t="s">
        <v>39</v>
      </c>
      <c r="U3321" s="7">
        <v>0.57999999999999996</v>
      </c>
      <c r="V3321" s="12">
        <f>C3321+2</f>
        <v>40154</v>
      </c>
      <c r="W3321">
        <f>IF(D3321=' Pivot Tables'!$A$4,1,0)</f>
        <v>0</v>
      </c>
      <c r="X3321">
        <f>IF(AND(LEFT(D3321,4)+1=LEFT(' Pivot Tables'!$A$4,4)+0,RIGHT(LEFT(D3321,7),2)=RIGHT(LEFT(' Pivot Tables'!$A$4,7),2)),1,0)</f>
        <v>0</v>
      </c>
      <c r="Y3321" s="6">
        <f>1/COUNTIF(Таблица1[Order ID],Таблица1[[#This Row],[Order ID]])</f>
        <v>0.2</v>
      </c>
      <c r="Z3321" s="9">
        <f>1/COUNTIFS(Таблица1[Customer Name],Таблица1[[#This Row],[Customer Name]],Таблица1[Order-Year-Month],Таблица1[[#This Row],[Order-Year-Month]])</f>
        <v>0.2</v>
      </c>
    </row>
    <row r="3322" spans="1:26" x14ac:dyDescent="0.2">
      <c r="A3322" s="6">
        <v>284</v>
      </c>
      <c r="B3322" s="7">
        <v>1985</v>
      </c>
      <c r="C3322" s="8">
        <f>DATE(2012,12,31)-1217</f>
        <v>40057</v>
      </c>
      <c r="D3322" s="8" t="str">
        <f t="shared" si="63"/>
        <v>2009-09 (сентябрь 2009)</v>
      </c>
      <c r="E3322" s="9" t="s">
        <v>45</v>
      </c>
      <c r="F3322" s="7">
        <v>1</v>
      </c>
      <c r="G3322" s="7">
        <v>11.35</v>
      </c>
      <c r="H3322" s="7">
        <v>0.09</v>
      </c>
      <c r="I3322" s="9" t="s">
        <v>22</v>
      </c>
      <c r="J3322" s="10">
        <v>-7.96</v>
      </c>
      <c r="K3322" s="11">
        <v>5.78</v>
      </c>
      <c r="L3322" s="11">
        <v>5.67</v>
      </c>
      <c r="M3322" s="9" t="s">
        <v>1527</v>
      </c>
      <c r="N3322" s="6" t="s">
        <v>1595</v>
      </c>
      <c r="O3322" s="6" t="s">
        <v>1595</v>
      </c>
      <c r="P3322" s="9" t="s">
        <v>60</v>
      </c>
      <c r="Q3322" s="9" t="s">
        <v>26</v>
      </c>
      <c r="R3322" s="9" t="s">
        <v>61</v>
      </c>
      <c r="S3322" s="7" t="s">
        <v>587</v>
      </c>
      <c r="T3322" s="9" t="s">
        <v>39</v>
      </c>
      <c r="U3322" s="7">
        <v>0.36</v>
      </c>
      <c r="V3322" s="12">
        <f>C3322+2</f>
        <v>40059</v>
      </c>
      <c r="W3322">
        <f>IF(D3322=' Pivot Tables'!$A$4,1,0)</f>
        <v>0</v>
      </c>
      <c r="X3322">
        <f>IF(AND(LEFT(D3322,4)+1=LEFT(' Pivot Tables'!$A$4,4)+0,RIGHT(LEFT(D3322,7),2)=RIGHT(LEFT(' Pivot Tables'!$A$4,7),2)),1,0)</f>
        <v>0</v>
      </c>
      <c r="Y3322" s="6">
        <f>1/COUNTIF(Таблица1[Order ID],Таблица1[[#This Row],[Order ID]])</f>
        <v>0.5</v>
      </c>
      <c r="Z3322" s="9">
        <f>1/COUNTIFS(Таблица1[Customer Name],Таблица1[[#This Row],[Customer Name]],Таблица1[Order-Year-Month],Таблица1[[#This Row],[Order-Year-Month]])</f>
        <v>0.5</v>
      </c>
    </row>
    <row r="3323" spans="1:26" x14ac:dyDescent="0.2">
      <c r="A3323" s="6">
        <v>285</v>
      </c>
      <c r="B3323" s="7">
        <v>1988</v>
      </c>
      <c r="C3323" s="8">
        <f>DATE(2012,12,31)-453</f>
        <v>40821</v>
      </c>
      <c r="D3323" s="8" t="str">
        <f t="shared" si="63"/>
        <v>2011-10 (октябрь 2011)</v>
      </c>
      <c r="E3323" s="9" t="s">
        <v>45</v>
      </c>
      <c r="F3323" s="7">
        <v>9</v>
      </c>
      <c r="G3323" s="7">
        <v>122.14</v>
      </c>
      <c r="H3323" s="7">
        <v>0.04</v>
      </c>
      <c r="I3323" s="9" t="s">
        <v>22</v>
      </c>
      <c r="J3323" s="10">
        <v>-16.989999999999998</v>
      </c>
      <c r="K3323" s="11">
        <v>13.48</v>
      </c>
      <c r="L3323" s="11">
        <v>4.51</v>
      </c>
      <c r="M3323" s="9" t="s">
        <v>1509</v>
      </c>
      <c r="N3323" s="6" t="s">
        <v>1595</v>
      </c>
      <c r="O3323" s="6" t="s">
        <v>1595</v>
      </c>
      <c r="P3323" s="9" t="s">
        <v>41</v>
      </c>
      <c r="Q3323" s="9" t="s">
        <v>26</v>
      </c>
      <c r="R3323" s="9" t="s">
        <v>27</v>
      </c>
      <c r="S3323" s="7" t="s">
        <v>101</v>
      </c>
      <c r="T3323" s="9" t="s">
        <v>39</v>
      </c>
      <c r="U3323" s="7">
        <v>0.59</v>
      </c>
      <c r="V3323" s="12">
        <f>C3323+2</f>
        <v>40823</v>
      </c>
      <c r="W3323">
        <f>IF(D3323=' Pivot Tables'!$A$4,1,0)</f>
        <v>0</v>
      </c>
      <c r="X3323">
        <f>IF(AND(LEFT(D3323,4)+1=LEFT(' Pivot Tables'!$A$4,4)+0,RIGHT(LEFT(D3323,7),2)=RIGHT(LEFT(' Pivot Tables'!$A$4,7),2)),1,0)</f>
        <v>0</v>
      </c>
      <c r="Y3323" s="6">
        <f>1/COUNTIF(Таблица1[Order ID],Таблица1[[#This Row],[Order ID]])</f>
        <v>1</v>
      </c>
      <c r="Z3323" s="9">
        <f>1/COUNTIFS(Таблица1[Customer Name],Таблица1[[#This Row],[Customer Name]],Таблица1[Order-Year-Month],Таблица1[[#This Row],[Order-Year-Month]])</f>
        <v>1</v>
      </c>
    </row>
    <row r="3324" spans="1:26" x14ac:dyDescent="0.2">
      <c r="A3324" s="6">
        <v>337</v>
      </c>
      <c r="B3324" s="7">
        <v>2305</v>
      </c>
      <c r="C3324" s="8">
        <f>DATE(2012,12,31)-1071</f>
        <v>40203</v>
      </c>
      <c r="D3324" s="8" t="str">
        <f t="shared" si="63"/>
        <v>2010-01 (январь 2010)</v>
      </c>
      <c r="E3324" s="9" t="s">
        <v>30</v>
      </c>
      <c r="F3324" s="7">
        <v>11</v>
      </c>
      <c r="G3324" s="7">
        <v>1382.8</v>
      </c>
      <c r="H3324" s="7">
        <v>0.01</v>
      </c>
      <c r="I3324" s="9" t="s">
        <v>22</v>
      </c>
      <c r="J3324" s="10">
        <v>141.31</v>
      </c>
      <c r="K3324" s="11">
        <v>120.33</v>
      </c>
      <c r="L3324" s="11">
        <v>19.989999999999998</v>
      </c>
      <c r="M3324" s="9" t="s">
        <v>1644</v>
      </c>
      <c r="N3324" s="6" t="s">
        <v>1595</v>
      </c>
      <c r="O3324" s="6" t="s">
        <v>1595</v>
      </c>
      <c r="P3324" s="9" t="s">
        <v>60</v>
      </c>
      <c r="Q3324" s="9" t="s">
        <v>26</v>
      </c>
      <c r="R3324" s="9" t="s">
        <v>27</v>
      </c>
      <c r="S3324" s="7" t="s">
        <v>1148</v>
      </c>
      <c r="T3324" s="9" t="s">
        <v>39</v>
      </c>
      <c r="U3324" s="7">
        <v>0.59</v>
      </c>
      <c r="V3324" s="12">
        <f>C3324+0</f>
        <v>40203</v>
      </c>
      <c r="W3324">
        <f>IF(D3324=' Pivot Tables'!$A$4,1,0)</f>
        <v>1</v>
      </c>
      <c r="X3324">
        <f>IF(AND(LEFT(D3324,4)+1=LEFT(' Pivot Tables'!$A$4,4)+0,RIGHT(LEFT(D3324,7),2)=RIGHT(LEFT(' Pivot Tables'!$A$4,7),2)),1,0)</f>
        <v>0</v>
      </c>
      <c r="Y3324" s="6">
        <f>1/COUNTIF(Таблица1[Order ID],Таблица1[[#This Row],[Order ID]])</f>
        <v>0.33333333333333331</v>
      </c>
      <c r="Z3324" s="9">
        <f>1/COUNTIFS(Таблица1[Customer Name],Таблица1[[#This Row],[Customer Name]],Таблица1[Order-Year-Month],Таблица1[[#This Row],[Order-Year-Month]])</f>
        <v>0.33333333333333331</v>
      </c>
    </row>
    <row r="3325" spans="1:26" x14ac:dyDescent="0.2">
      <c r="A3325" s="6">
        <v>495</v>
      </c>
      <c r="B3325" s="7">
        <v>3397</v>
      </c>
      <c r="C3325" s="8">
        <f>DATE(2012,12,31)-1288</f>
        <v>39986</v>
      </c>
      <c r="D3325" s="8" t="str">
        <f t="shared" si="63"/>
        <v>2009-06 (июнь 2009)</v>
      </c>
      <c r="E3325" s="9" t="s">
        <v>63</v>
      </c>
      <c r="F3325" s="7">
        <v>11</v>
      </c>
      <c r="G3325" s="7">
        <v>30.61</v>
      </c>
      <c r="H3325" s="7">
        <v>0.09</v>
      </c>
      <c r="I3325" s="9" t="s">
        <v>22</v>
      </c>
      <c r="J3325" s="10">
        <v>-3.3809999999999998</v>
      </c>
      <c r="K3325" s="11">
        <v>2.88</v>
      </c>
      <c r="L3325" s="11">
        <v>1.49</v>
      </c>
      <c r="M3325" s="9" t="s">
        <v>1501</v>
      </c>
      <c r="N3325" s="6" t="s">
        <v>1595</v>
      </c>
      <c r="O3325" s="6" t="s">
        <v>1595</v>
      </c>
      <c r="P3325" s="9" t="s">
        <v>33</v>
      </c>
      <c r="Q3325" s="9" t="s">
        <v>26</v>
      </c>
      <c r="R3325" s="9" t="s">
        <v>37</v>
      </c>
      <c r="S3325" s="7" t="s">
        <v>782</v>
      </c>
      <c r="T3325" s="9" t="s">
        <v>39</v>
      </c>
      <c r="U3325" s="7">
        <v>0.36</v>
      </c>
      <c r="V3325" s="12">
        <f>C3325+1</f>
        <v>39987</v>
      </c>
      <c r="W3325">
        <f>IF(D3325=' Pivot Tables'!$A$4,1,0)</f>
        <v>0</v>
      </c>
      <c r="X3325">
        <f>IF(AND(LEFT(D3325,4)+1=LEFT(' Pivot Tables'!$A$4,4)+0,RIGHT(LEFT(D3325,7),2)=RIGHT(LEFT(' Pivot Tables'!$A$4,7),2)),1,0)</f>
        <v>0</v>
      </c>
      <c r="Y3325" s="6">
        <f>1/COUNTIF(Таблица1[Order ID],Таблица1[[#This Row],[Order ID]])</f>
        <v>0.5</v>
      </c>
      <c r="Z3325" s="9">
        <f>1/COUNTIFS(Таблица1[Customer Name],Таблица1[[#This Row],[Customer Name]],Таблица1[Order-Year-Month],Таблица1[[#This Row],[Order-Year-Month]])</f>
        <v>0.5</v>
      </c>
    </row>
    <row r="3326" spans="1:26" x14ac:dyDescent="0.2">
      <c r="A3326" s="6">
        <v>547</v>
      </c>
      <c r="B3326" s="7">
        <v>3680</v>
      </c>
      <c r="C3326" s="8">
        <f>DATE(2012,12,31)-22</f>
        <v>41252</v>
      </c>
      <c r="D3326" s="8" t="str">
        <f t="shared" si="63"/>
        <v>2012-12 (декабрь 2012)</v>
      </c>
      <c r="E3326" s="9" t="s">
        <v>45</v>
      </c>
      <c r="F3326" s="7">
        <v>24</v>
      </c>
      <c r="G3326" s="7">
        <v>99.53</v>
      </c>
      <c r="H3326" s="7">
        <v>0.1</v>
      </c>
      <c r="I3326" s="9" t="s">
        <v>56</v>
      </c>
      <c r="J3326" s="10">
        <v>18.2835</v>
      </c>
      <c r="K3326" s="11">
        <v>3.8</v>
      </c>
      <c r="L3326" s="11">
        <v>1.49</v>
      </c>
      <c r="M3326" s="9" t="s">
        <v>1521</v>
      </c>
      <c r="N3326" s="6" t="s">
        <v>1595</v>
      </c>
      <c r="O3326" s="6" t="s">
        <v>1595</v>
      </c>
      <c r="P3326" s="9" t="s">
        <v>41</v>
      </c>
      <c r="Q3326" s="9" t="s">
        <v>26</v>
      </c>
      <c r="R3326" s="9" t="s">
        <v>37</v>
      </c>
      <c r="S3326" s="7" t="s">
        <v>269</v>
      </c>
      <c r="T3326" s="9" t="s">
        <v>39</v>
      </c>
      <c r="U3326" s="7">
        <v>0.38</v>
      </c>
      <c r="V3326" s="12">
        <f>C3326+2</f>
        <v>41254</v>
      </c>
      <c r="W3326">
        <f>IF(D3326=' Pivot Tables'!$A$4,1,0)</f>
        <v>0</v>
      </c>
      <c r="X3326">
        <f>IF(AND(LEFT(D3326,4)+1=LEFT(' Pivot Tables'!$A$4,4)+0,RIGHT(LEFT(D3326,7),2)=RIGHT(LEFT(' Pivot Tables'!$A$4,7),2)),1,0)</f>
        <v>0</v>
      </c>
      <c r="Y3326" s="6">
        <f>1/COUNTIF(Таблица1[Order ID],Таблица1[[#This Row],[Order ID]])</f>
        <v>0.5</v>
      </c>
      <c r="Z3326" s="9">
        <f>1/COUNTIFS(Таблица1[Customer Name],Таблица1[[#This Row],[Customer Name]],Таблица1[Order-Year-Month],Таблица1[[#This Row],[Order-Year-Month]])</f>
        <v>0.25</v>
      </c>
    </row>
    <row r="3327" spans="1:26" x14ac:dyDescent="0.2">
      <c r="A3327" s="6">
        <v>572</v>
      </c>
      <c r="B3327" s="7">
        <v>3877</v>
      </c>
      <c r="C3327" s="8">
        <f>DATE(2012,12,31)-956</f>
        <v>40318</v>
      </c>
      <c r="D3327" s="8" t="str">
        <f t="shared" si="63"/>
        <v>2010-05 (май 2010)</v>
      </c>
      <c r="E3327" s="9" t="s">
        <v>21</v>
      </c>
      <c r="F3327" s="7">
        <v>14</v>
      </c>
      <c r="G3327" s="7">
        <v>700.46</v>
      </c>
      <c r="H3327" s="7">
        <v>0.02</v>
      </c>
      <c r="I3327" s="9" t="s">
        <v>56</v>
      </c>
      <c r="J3327" s="10">
        <v>254.31</v>
      </c>
      <c r="K3327" s="11">
        <v>48.04</v>
      </c>
      <c r="L3327" s="11">
        <v>7.23</v>
      </c>
      <c r="M3327" s="9" t="s">
        <v>1509</v>
      </c>
      <c r="N3327" s="6" t="s">
        <v>1595</v>
      </c>
      <c r="O3327" s="6" t="s">
        <v>1595</v>
      </c>
      <c r="P3327" s="9" t="s">
        <v>41</v>
      </c>
      <c r="Q3327" s="9" t="s">
        <v>26</v>
      </c>
      <c r="R3327" s="9" t="s">
        <v>61</v>
      </c>
      <c r="S3327" s="7" t="s">
        <v>527</v>
      </c>
      <c r="T3327" s="9" t="s">
        <v>39</v>
      </c>
      <c r="U3327" s="7">
        <v>0.37</v>
      </c>
      <c r="V3327" s="12">
        <f>C3327+0</f>
        <v>40318</v>
      </c>
      <c r="W3327">
        <f>IF(D3327=' Pivot Tables'!$A$4,1,0)</f>
        <v>0</v>
      </c>
      <c r="X3327">
        <f>IF(AND(LEFT(D3327,4)+1=LEFT(' Pivot Tables'!$A$4,4)+0,RIGHT(LEFT(D3327,7),2)=RIGHT(LEFT(' Pivot Tables'!$A$4,7),2)),1,0)</f>
        <v>0</v>
      </c>
      <c r="Y3327" s="6">
        <f>1/COUNTIF(Таблица1[Order ID],Таблица1[[#This Row],[Order ID]])</f>
        <v>1</v>
      </c>
      <c r="Z3327" s="9">
        <f>1/COUNTIFS(Таблица1[Customer Name],Таблица1[[#This Row],[Customer Name]],Таблица1[Order-Year-Month],Таблица1[[#This Row],[Order-Year-Month]])</f>
        <v>1</v>
      </c>
    </row>
    <row r="3328" spans="1:26" x14ac:dyDescent="0.2">
      <c r="A3328" s="6">
        <v>589</v>
      </c>
      <c r="B3328" s="7">
        <v>4033</v>
      </c>
      <c r="C3328" s="8">
        <f>DATE(2012,12,31)-944</f>
        <v>40330</v>
      </c>
      <c r="D3328" s="8" t="str">
        <f t="shared" si="63"/>
        <v>2010-06 (июнь 2010)</v>
      </c>
      <c r="E3328" s="9" t="s">
        <v>21</v>
      </c>
      <c r="F3328" s="7">
        <v>21</v>
      </c>
      <c r="G3328" s="7">
        <v>763.12</v>
      </c>
      <c r="H3328" s="7">
        <v>0.03</v>
      </c>
      <c r="I3328" s="9" t="s">
        <v>22</v>
      </c>
      <c r="J3328" s="10">
        <v>140.33000000000001</v>
      </c>
      <c r="K3328" s="11">
        <v>34.76</v>
      </c>
      <c r="L3328" s="11">
        <v>5.49</v>
      </c>
      <c r="M3328" s="9" t="s">
        <v>1571</v>
      </c>
      <c r="N3328" s="6" t="s">
        <v>1595</v>
      </c>
      <c r="O3328" s="6" t="s">
        <v>1595</v>
      </c>
      <c r="P3328" s="9" t="s">
        <v>33</v>
      </c>
      <c r="Q3328" s="9" t="s">
        <v>26</v>
      </c>
      <c r="R3328" s="9" t="s">
        <v>27</v>
      </c>
      <c r="S3328" s="7" t="s">
        <v>327</v>
      </c>
      <c r="T3328" s="9" t="s">
        <v>39</v>
      </c>
      <c r="U3328" s="7">
        <v>0.6</v>
      </c>
      <c r="V3328" s="12">
        <f>C3328+2</f>
        <v>40332</v>
      </c>
      <c r="W3328">
        <f>IF(D3328=' Pivot Tables'!$A$4,1,0)</f>
        <v>0</v>
      </c>
      <c r="X3328">
        <f>IF(AND(LEFT(D3328,4)+1=LEFT(' Pivot Tables'!$A$4,4)+0,RIGHT(LEFT(D3328,7),2)=RIGHT(LEFT(' Pivot Tables'!$A$4,7),2)),1,0)</f>
        <v>0</v>
      </c>
      <c r="Y3328" s="6">
        <f>1/COUNTIF(Таблица1[Order ID],Таблица1[[#This Row],[Order ID]])</f>
        <v>0.5</v>
      </c>
      <c r="Z3328" s="9">
        <f>1/COUNTIFS(Таблица1[Customer Name],Таблица1[[#This Row],[Customer Name]],Таблица1[Order-Year-Month],Таблица1[[#This Row],[Order-Year-Month]])</f>
        <v>0.5</v>
      </c>
    </row>
    <row r="3329" spans="1:26" x14ac:dyDescent="0.2">
      <c r="A3329" s="6">
        <v>604</v>
      </c>
      <c r="B3329" s="7">
        <v>4103</v>
      </c>
      <c r="C3329" s="8">
        <f>DATE(2012,12,31)-182</f>
        <v>41092</v>
      </c>
      <c r="D3329" s="8" t="str">
        <f t="shared" si="63"/>
        <v>2012-07 (июль 2012)</v>
      </c>
      <c r="E3329" s="9" t="s">
        <v>21</v>
      </c>
      <c r="F3329" s="7">
        <v>3</v>
      </c>
      <c r="G3329" s="7">
        <v>42.5</v>
      </c>
      <c r="H3329" s="7">
        <v>7.0000000000000007E-2</v>
      </c>
      <c r="I3329" s="9" t="s">
        <v>22</v>
      </c>
      <c r="J3329" s="10">
        <v>-28.43</v>
      </c>
      <c r="K3329" s="11">
        <v>11.66</v>
      </c>
      <c r="L3329" s="11">
        <v>8.99</v>
      </c>
      <c r="M3329" s="9" t="s">
        <v>1570</v>
      </c>
      <c r="N3329" s="6" t="s">
        <v>1595</v>
      </c>
      <c r="O3329" s="6" t="s">
        <v>1595</v>
      </c>
      <c r="P3329" s="9" t="s">
        <v>60</v>
      </c>
      <c r="Q3329" s="9" t="s">
        <v>26</v>
      </c>
      <c r="R3329" s="9" t="s">
        <v>95</v>
      </c>
      <c r="S3329" s="7" t="s">
        <v>498</v>
      </c>
      <c r="T3329" s="9" t="s">
        <v>52</v>
      </c>
      <c r="U3329" s="7">
        <v>0.59</v>
      </c>
      <c r="V3329" s="12">
        <f>C3329+4</f>
        <v>41096</v>
      </c>
      <c r="W3329">
        <f>IF(D3329=' Pivot Tables'!$A$4,1,0)</f>
        <v>0</v>
      </c>
      <c r="X3329">
        <f>IF(AND(LEFT(D3329,4)+1=LEFT(' Pivot Tables'!$A$4,4)+0,RIGHT(LEFT(D3329,7),2)=RIGHT(LEFT(' Pivot Tables'!$A$4,7),2)),1,0)</f>
        <v>0</v>
      </c>
      <c r="Y3329" s="6">
        <f>1/COUNTIF(Таблица1[Order ID],Таблица1[[#This Row],[Order ID]])</f>
        <v>1</v>
      </c>
      <c r="Z3329" s="9">
        <f>1/COUNTIFS(Таблица1[Customer Name],Таблица1[[#This Row],[Customer Name]],Таблица1[Order-Year-Month],Таблица1[[#This Row],[Order-Year-Month]])</f>
        <v>1</v>
      </c>
    </row>
    <row r="3330" spans="1:26" x14ac:dyDescent="0.2">
      <c r="A3330" s="6">
        <v>637</v>
      </c>
      <c r="B3330" s="7">
        <v>4455</v>
      </c>
      <c r="C3330" s="8">
        <f>DATE(2012,12,31)-813</f>
        <v>40461</v>
      </c>
      <c r="D3330" s="8" t="str">
        <f t="shared" si="63"/>
        <v>2010-10 (октябрь 2010)</v>
      </c>
      <c r="E3330" s="9" t="s">
        <v>63</v>
      </c>
      <c r="F3330" s="7">
        <v>39</v>
      </c>
      <c r="G3330" s="7">
        <v>279.29000000000002</v>
      </c>
      <c r="H3330" s="7">
        <v>7.0000000000000007E-2</v>
      </c>
      <c r="I3330" s="9" t="s">
        <v>22</v>
      </c>
      <c r="J3330" s="10">
        <v>14.15</v>
      </c>
      <c r="K3330" s="11">
        <v>7.59</v>
      </c>
      <c r="L3330" s="11">
        <v>4</v>
      </c>
      <c r="M3330" s="9" t="s">
        <v>1496</v>
      </c>
      <c r="N3330" s="6" t="s">
        <v>1595</v>
      </c>
      <c r="O3330" s="6" t="s">
        <v>1595</v>
      </c>
      <c r="P3330" s="9" t="s">
        <v>25</v>
      </c>
      <c r="Q3330" s="9" t="s">
        <v>49</v>
      </c>
      <c r="R3330" s="9" t="s">
        <v>50</v>
      </c>
      <c r="S3330" s="7" t="s">
        <v>504</v>
      </c>
      <c r="T3330" s="9" t="s">
        <v>68</v>
      </c>
      <c r="U3330" s="7">
        <v>0.42</v>
      </c>
      <c r="V3330" s="12">
        <f t="shared" ref="V3330:V3337" si="64">C3330+2</f>
        <v>40463</v>
      </c>
      <c r="W3330">
        <f>IF(D3330=' Pivot Tables'!$A$4,1,0)</f>
        <v>0</v>
      </c>
      <c r="X3330">
        <f>IF(AND(LEFT(D3330,4)+1=LEFT(' Pivot Tables'!$A$4,4)+0,RIGHT(LEFT(D3330,7),2)=RIGHT(LEFT(' Pivot Tables'!$A$4,7),2)),1,0)</f>
        <v>0</v>
      </c>
      <c r="Y3330" s="6">
        <f>1/COUNTIF(Таблица1[Order ID],Таблица1[[#This Row],[Order ID]])</f>
        <v>1</v>
      </c>
      <c r="Z3330" s="9">
        <f>1/COUNTIFS(Таблица1[Customer Name],Таблица1[[#This Row],[Customer Name]],Таблица1[Order-Year-Month],Таблица1[[#This Row],[Order-Year-Month]])</f>
        <v>1</v>
      </c>
    </row>
    <row r="3331" spans="1:26" x14ac:dyDescent="0.2">
      <c r="A3331" s="6">
        <v>701</v>
      </c>
      <c r="B3331" s="7">
        <v>4896</v>
      </c>
      <c r="C3331" s="8">
        <f>DATE(2012,12,31)-132</f>
        <v>41142</v>
      </c>
      <c r="D3331" s="8" t="str">
        <f t="shared" ref="D3331:D3394" si="65">TEXT(C3331,"гггг-ММ (ММММ гггг)")</f>
        <v>2012-08 (август 2012)</v>
      </c>
      <c r="E3331" s="9" t="s">
        <v>78</v>
      </c>
      <c r="F3331" s="7">
        <v>21</v>
      </c>
      <c r="G3331" s="7">
        <v>121.3</v>
      </c>
      <c r="H3331" s="7">
        <v>0.05</v>
      </c>
      <c r="I3331" s="9" t="s">
        <v>22</v>
      </c>
      <c r="J3331" s="10">
        <v>-64.871499999999997</v>
      </c>
      <c r="K3331" s="11">
        <v>5.8</v>
      </c>
      <c r="L3331" s="11">
        <v>5.59</v>
      </c>
      <c r="M3331" s="9" t="s">
        <v>1524</v>
      </c>
      <c r="N3331" s="6" t="s">
        <v>1595</v>
      </c>
      <c r="O3331" s="6" t="s">
        <v>1595</v>
      </c>
      <c r="P3331" s="9" t="s">
        <v>25</v>
      </c>
      <c r="Q3331" s="9" t="s">
        <v>26</v>
      </c>
      <c r="R3331" s="9" t="s">
        <v>37</v>
      </c>
      <c r="S3331" s="7" t="s">
        <v>991</v>
      </c>
      <c r="T3331" s="9" t="s">
        <v>39</v>
      </c>
      <c r="U3331" s="7">
        <v>0.4</v>
      </c>
      <c r="V3331" s="12">
        <f t="shared" si="64"/>
        <v>41144</v>
      </c>
      <c r="W3331">
        <f>IF(D3331=' Pivot Tables'!$A$4,1,0)</f>
        <v>0</v>
      </c>
      <c r="X3331">
        <f>IF(AND(LEFT(D3331,4)+1=LEFT(' Pivot Tables'!$A$4,4)+0,RIGHT(LEFT(D3331,7),2)=RIGHT(LEFT(' Pivot Tables'!$A$4,7),2)),1,0)</f>
        <v>0</v>
      </c>
      <c r="Y3331" s="6">
        <f>1/COUNTIF(Таблица1[Order ID],Таблица1[[#This Row],[Order ID]])</f>
        <v>0.33333333333333331</v>
      </c>
      <c r="Z3331" s="9">
        <f>1/COUNTIFS(Таблица1[Customer Name],Таблица1[[#This Row],[Customer Name]],Таблица1[Order-Year-Month],Таблица1[[#This Row],[Order-Year-Month]])</f>
        <v>0.33333333333333331</v>
      </c>
    </row>
    <row r="3332" spans="1:26" x14ac:dyDescent="0.2">
      <c r="A3332" s="6">
        <v>706</v>
      </c>
      <c r="B3332" s="7">
        <v>4960</v>
      </c>
      <c r="C3332" s="8">
        <f>DATE(2012,12,31)-675</f>
        <v>40599</v>
      </c>
      <c r="D3332" s="8" t="str">
        <f t="shared" si="65"/>
        <v>2011-02 (февраль 2011)</v>
      </c>
      <c r="E3332" s="9" t="s">
        <v>21</v>
      </c>
      <c r="F3332" s="7">
        <v>4</v>
      </c>
      <c r="G3332" s="7">
        <v>40.869999999999997</v>
      </c>
      <c r="H3332" s="7">
        <v>0.04</v>
      </c>
      <c r="I3332" s="9" t="s">
        <v>56</v>
      </c>
      <c r="J3332" s="10">
        <v>-16.38</v>
      </c>
      <c r="K3332" s="11">
        <v>6.48</v>
      </c>
      <c r="L3332" s="11">
        <v>8.74</v>
      </c>
      <c r="M3332" s="9" t="s">
        <v>1227</v>
      </c>
      <c r="N3332" s="6" t="s">
        <v>1595</v>
      </c>
      <c r="O3332" s="6" t="s">
        <v>1595</v>
      </c>
      <c r="P3332" s="9" t="s">
        <v>41</v>
      </c>
      <c r="Q3332" s="9" t="s">
        <v>26</v>
      </c>
      <c r="R3332" s="9" t="s">
        <v>61</v>
      </c>
      <c r="S3332" s="7" t="s">
        <v>1210</v>
      </c>
      <c r="T3332" s="9" t="s">
        <v>39</v>
      </c>
      <c r="U3332" s="7">
        <v>0.36</v>
      </c>
      <c r="V3332" s="12">
        <f t="shared" si="64"/>
        <v>40601</v>
      </c>
      <c r="W3332">
        <f>IF(D3332=' Pivot Tables'!$A$4,1,0)</f>
        <v>0</v>
      </c>
      <c r="X3332">
        <f>IF(AND(LEFT(D3332,4)+1=LEFT(' Pivot Tables'!$A$4,4)+0,RIGHT(LEFT(D3332,7),2)=RIGHT(LEFT(' Pivot Tables'!$A$4,7),2)),1,0)</f>
        <v>0</v>
      </c>
      <c r="Y3332" s="6">
        <f>1/COUNTIF(Таблица1[Order ID],Таблица1[[#This Row],[Order ID]])</f>
        <v>0.5</v>
      </c>
      <c r="Z3332" s="9">
        <f>1/COUNTIFS(Таблица1[Customer Name],Таблица1[[#This Row],[Customer Name]],Таблица1[Order-Year-Month],Таблица1[[#This Row],[Order-Year-Month]])</f>
        <v>0.5</v>
      </c>
    </row>
    <row r="3333" spans="1:26" x14ac:dyDescent="0.2">
      <c r="A3333" s="6">
        <v>723</v>
      </c>
      <c r="B3333" s="7">
        <v>5189</v>
      </c>
      <c r="C3333" s="8">
        <f>DATE(2012,12,31)-767</f>
        <v>40507</v>
      </c>
      <c r="D3333" s="8" t="str">
        <f t="shared" si="65"/>
        <v>2010-11 (ноябрь 2010)</v>
      </c>
      <c r="E3333" s="9" t="s">
        <v>21</v>
      </c>
      <c r="F3333" s="7">
        <v>14</v>
      </c>
      <c r="G3333" s="7">
        <v>2066.63</v>
      </c>
      <c r="H3333" s="7">
        <v>0.03</v>
      </c>
      <c r="I3333" s="9" t="s">
        <v>22</v>
      </c>
      <c r="J3333" s="10">
        <v>65.58</v>
      </c>
      <c r="K3333" s="11">
        <v>140.85</v>
      </c>
      <c r="L3333" s="11">
        <v>19.989999999999998</v>
      </c>
      <c r="M3333" s="9" t="s">
        <v>1521</v>
      </c>
      <c r="N3333" s="6" t="s">
        <v>1595</v>
      </c>
      <c r="O3333" s="6" t="s">
        <v>1595</v>
      </c>
      <c r="P3333" s="9" t="s">
        <v>41</v>
      </c>
      <c r="Q3333" s="9" t="s">
        <v>26</v>
      </c>
      <c r="R3333" s="9" t="s">
        <v>27</v>
      </c>
      <c r="S3333" s="7" t="s">
        <v>538</v>
      </c>
      <c r="T3333" s="9" t="s">
        <v>39</v>
      </c>
      <c r="U3333" s="7">
        <v>0.73</v>
      </c>
      <c r="V3333" s="12">
        <f t="shared" si="64"/>
        <v>40509</v>
      </c>
      <c r="W3333">
        <f>IF(D3333=' Pivot Tables'!$A$4,1,0)</f>
        <v>0</v>
      </c>
      <c r="X3333">
        <f>IF(AND(LEFT(D3333,4)+1=LEFT(' Pivot Tables'!$A$4,4)+0,RIGHT(LEFT(D3333,7),2)=RIGHT(LEFT(' Pivot Tables'!$A$4,7),2)),1,0)</f>
        <v>0</v>
      </c>
      <c r="Y3333" s="6">
        <f>1/COUNTIF(Таблица1[Order ID],Таблица1[[#This Row],[Order ID]])</f>
        <v>0.33333333333333331</v>
      </c>
      <c r="Z3333" s="9">
        <f>1/COUNTIFS(Таблица1[Customer Name],Таблица1[[#This Row],[Customer Name]],Таблица1[Order-Year-Month],Таблица1[[#This Row],[Order-Year-Month]])</f>
        <v>0.33333333333333331</v>
      </c>
    </row>
    <row r="3334" spans="1:26" x14ac:dyDescent="0.2">
      <c r="A3334" s="6">
        <v>848</v>
      </c>
      <c r="B3334" s="7">
        <v>6086</v>
      </c>
      <c r="C3334" s="8">
        <f>DATE(2012,12,31)-466</f>
        <v>40808</v>
      </c>
      <c r="D3334" s="8" t="str">
        <f t="shared" si="65"/>
        <v>2011-09 (сентябрь 2011)</v>
      </c>
      <c r="E3334" s="9" t="s">
        <v>78</v>
      </c>
      <c r="F3334" s="7">
        <v>48</v>
      </c>
      <c r="G3334" s="7">
        <v>1734.72</v>
      </c>
      <c r="H3334" s="7">
        <v>0.04</v>
      </c>
      <c r="I3334" s="9" t="s">
        <v>22</v>
      </c>
      <c r="J3334" s="10">
        <v>57.89</v>
      </c>
      <c r="K3334" s="11">
        <v>35.44</v>
      </c>
      <c r="L3334" s="11">
        <v>19.989999999999998</v>
      </c>
      <c r="M3334" s="9" t="s">
        <v>1558</v>
      </c>
      <c r="N3334" s="6" t="s">
        <v>1595</v>
      </c>
      <c r="O3334" s="6" t="s">
        <v>1595</v>
      </c>
      <c r="P3334" s="9" t="s">
        <v>41</v>
      </c>
      <c r="Q3334" s="9" t="s">
        <v>26</v>
      </c>
      <c r="R3334" s="9" t="s">
        <v>61</v>
      </c>
      <c r="S3334" s="7" t="s">
        <v>1507</v>
      </c>
      <c r="T3334" s="9" t="s">
        <v>39</v>
      </c>
      <c r="U3334" s="7">
        <v>0.38</v>
      </c>
      <c r="V3334" s="12">
        <f t="shared" si="64"/>
        <v>40810</v>
      </c>
      <c r="W3334">
        <f>IF(D3334=' Pivot Tables'!$A$4,1,0)</f>
        <v>0</v>
      </c>
      <c r="X3334">
        <f>IF(AND(LEFT(D3334,4)+1=LEFT(' Pivot Tables'!$A$4,4)+0,RIGHT(LEFT(D3334,7),2)=RIGHT(LEFT(' Pivot Tables'!$A$4,7),2)),1,0)</f>
        <v>0</v>
      </c>
      <c r="Y3334" s="6">
        <f>1/COUNTIF(Таблица1[Order ID],Таблица1[[#This Row],[Order ID]])</f>
        <v>1</v>
      </c>
      <c r="Z3334" s="9">
        <f>1/COUNTIFS(Таблица1[Customer Name],Таблица1[[#This Row],[Customer Name]],Таблица1[Order-Year-Month],Таблица1[[#This Row],[Order-Year-Month]])</f>
        <v>1</v>
      </c>
    </row>
    <row r="3335" spans="1:26" x14ac:dyDescent="0.2">
      <c r="A3335" s="6">
        <v>955</v>
      </c>
      <c r="B3335" s="7">
        <v>6912</v>
      </c>
      <c r="C3335" s="8">
        <f>DATE(2012,12,31)-387</f>
        <v>40887</v>
      </c>
      <c r="D3335" s="8" t="str">
        <f t="shared" si="65"/>
        <v>2011-12 (декабрь 2011)</v>
      </c>
      <c r="E3335" s="9" t="s">
        <v>45</v>
      </c>
      <c r="F3335" s="7">
        <v>14</v>
      </c>
      <c r="G3335" s="7">
        <v>294.52</v>
      </c>
      <c r="H3335" s="7">
        <v>0.09</v>
      </c>
      <c r="I3335" s="9" t="s">
        <v>22</v>
      </c>
      <c r="J3335" s="10">
        <v>15.34</v>
      </c>
      <c r="K3335" s="11">
        <v>21.78</v>
      </c>
      <c r="L3335" s="11">
        <v>5.94</v>
      </c>
      <c r="M3335" s="9" t="s">
        <v>1538</v>
      </c>
      <c r="N3335" s="6" t="s">
        <v>1595</v>
      </c>
      <c r="O3335" s="6" t="s">
        <v>1595</v>
      </c>
      <c r="P3335" s="9" t="s">
        <v>25</v>
      </c>
      <c r="Q3335" s="9" t="s">
        <v>26</v>
      </c>
      <c r="R3335" s="9" t="s">
        <v>34</v>
      </c>
      <c r="S3335" s="7" t="s">
        <v>47</v>
      </c>
      <c r="T3335" s="9" t="s">
        <v>48</v>
      </c>
      <c r="U3335" s="7">
        <v>0.5</v>
      </c>
      <c r="V3335" s="12">
        <f t="shared" si="64"/>
        <v>40889</v>
      </c>
      <c r="W3335">
        <f>IF(D3335=' Pivot Tables'!$A$4,1,0)</f>
        <v>0</v>
      </c>
      <c r="X3335">
        <f>IF(AND(LEFT(D3335,4)+1=LEFT(' Pivot Tables'!$A$4,4)+0,RIGHT(LEFT(D3335,7),2)=RIGHT(LEFT(' Pivot Tables'!$A$4,7),2)),1,0)</f>
        <v>0</v>
      </c>
      <c r="Y3335" s="6">
        <f>1/COUNTIF(Таблица1[Order ID],Таблица1[[#This Row],[Order ID]])</f>
        <v>1</v>
      </c>
      <c r="Z3335" s="9">
        <f>1/COUNTIFS(Таблица1[Customer Name],Таблица1[[#This Row],[Customer Name]],Таблица1[Order-Year-Month],Таблица1[[#This Row],[Order-Year-Month]])</f>
        <v>1</v>
      </c>
    </row>
    <row r="3336" spans="1:26" x14ac:dyDescent="0.2">
      <c r="A3336" s="6">
        <v>960</v>
      </c>
      <c r="B3336" s="7">
        <v>6950</v>
      </c>
      <c r="C3336" s="8">
        <f>DATE(2012,12,31)-280</f>
        <v>40994</v>
      </c>
      <c r="D3336" s="8" t="str">
        <f t="shared" si="65"/>
        <v>2012-03 (март 2012)</v>
      </c>
      <c r="E3336" s="9" t="s">
        <v>21</v>
      </c>
      <c r="F3336" s="7">
        <v>4</v>
      </c>
      <c r="G3336" s="7">
        <v>187.39949999999999</v>
      </c>
      <c r="H3336" s="7">
        <v>0.08</v>
      </c>
      <c r="I3336" s="9" t="s">
        <v>22</v>
      </c>
      <c r="J3336" s="10">
        <v>-225.30199999999999</v>
      </c>
      <c r="K3336" s="11">
        <v>55.99</v>
      </c>
      <c r="L3336" s="11">
        <v>3.3</v>
      </c>
      <c r="M3336" s="9" t="s">
        <v>1485</v>
      </c>
      <c r="N3336" s="6" t="s">
        <v>1595</v>
      </c>
      <c r="O3336" s="6" t="s">
        <v>1595</v>
      </c>
      <c r="P3336" s="9" t="s">
        <v>60</v>
      </c>
      <c r="Q3336" s="9" t="s">
        <v>42</v>
      </c>
      <c r="R3336" s="9" t="s">
        <v>43</v>
      </c>
      <c r="S3336" s="7" t="s">
        <v>292</v>
      </c>
      <c r="T3336" s="9" t="s">
        <v>52</v>
      </c>
      <c r="U3336" s="7">
        <v>0.59</v>
      </c>
      <c r="V3336" s="12">
        <f t="shared" si="64"/>
        <v>40996</v>
      </c>
      <c r="W3336">
        <f>IF(D3336=' Pivot Tables'!$A$4,1,0)</f>
        <v>0</v>
      </c>
      <c r="X3336">
        <f>IF(AND(LEFT(D3336,4)+1=LEFT(' Pivot Tables'!$A$4,4)+0,RIGHT(LEFT(D3336,7),2)=RIGHT(LEFT(' Pivot Tables'!$A$4,7),2)),1,0)</f>
        <v>0</v>
      </c>
      <c r="Y3336" s="6">
        <f>1/COUNTIF(Таблица1[Order ID],Таблица1[[#This Row],[Order ID]])</f>
        <v>1</v>
      </c>
      <c r="Z3336" s="9">
        <f>1/COUNTIFS(Таблица1[Customer Name],Таблица1[[#This Row],[Customer Name]],Таблица1[Order-Year-Month],Таблица1[[#This Row],[Order-Year-Month]])</f>
        <v>1</v>
      </c>
    </row>
    <row r="3337" spans="1:26" x14ac:dyDescent="0.2">
      <c r="A3337" s="6">
        <v>972</v>
      </c>
      <c r="B3337" s="7">
        <v>7075</v>
      </c>
      <c r="C3337" s="8">
        <f>DATE(2012,12,31)-448</f>
        <v>40826</v>
      </c>
      <c r="D3337" s="8" t="str">
        <f t="shared" si="65"/>
        <v>2011-10 (октябрь 2011)</v>
      </c>
      <c r="E3337" s="9" t="s">
        <v>21</v>
      </c>
      <c r="F3337" s="7">
        <v>15</v>
      </c>
      <c r="G3337" s="7">
        <v>241.89</v>
      </c>
      <c r="H3337" s="7">
        <v>0.02</v>
      </c>
      <c r="I3337" s="9" t="s">
        <v>22</v>
      </c>
      <c r="J3337" s="10">
        <v>-83.3</v>
      </c>
      <c r="K3337" s="11">
        <v>15.42</v>
      </c>
      <c r="L3337" s="11">
        <v>10.68</v>
      </c>
      <c r="M3337" s="9" t="s">
        <v>1526</v>
      </c>
      <c r="N3337" s="6" t="s">
        <v>1595</v>
      </c>
      <c r="O3337" s="6" t="s">
        <v>1595</v>
      </c>
      <c r="P3337" s="9" t="s">
        <v>41</v>
      </c>
      <c r="Q3337" s="9" t="s">
        <v>26</v>
      </c>
      <c r="R3337" s="9" t="s">
        <v>27</v>
      </c>
      <c r="S3337" s="7" t="s">
        <v>1645</v>
      </c>
      <c r="T3337" s="9" t="s">
        <v>39</v>
      </c>
      <c r="U3337" s="7">
        <v>0.57999999999999996</v>
      </c>
      <c r="V3337" s="12">
        <f t="shared" si="64"/>
        <v>40828</v>
      </c>
      <c r="W3337">
        <f>IF(D3337=' Pivot Tables'!$A$4,1,0)</f>
        <v>0</v>
      </c>
      <c r="X3337">
        <f>IF(AND(LEFT(D3337,4)+1=LEFT(' Pivot Tables'!$A$4,4)+0,RIGHT(LEFT(D3337,7),2)=RIGHT(LEFT(' Pivot Tables'!$A$4,7),2)),1,0)</f>
        <v>0</v>
      </c>
      <c r="Y3337" s="6">
        <f>1/COUNTIF(Таблица1[Order ID],Таблица1[[#This Row],[Order ID]])</f>
        <v>0.5</v>
      </c>
      <c r="Z3337" s="9">
        <f>1/COUNTIFS(Таблица1[Customer Name],Таблица1[[#This Row],[Customer Name]],Таблица1[Order-Year-Month],Таблица1[[#This Row],[Order-Year-Month]])</f>
        <v>0.5</v>
      </c>
    </row>
    <row r="3338" spans="1:26" x14ac:dyDescent="0.2">
      <c r="A3338" s="6">
        <v>973</v>
      </c>
      <c r="B3338" s="7">
        <v>7075</v>
      </c>
      <c r="C3338" s="8">
        <f>DATE(2012,12,31)-448</f>
        <v>40826</v>
      </c>
      <c r="D3338" s="8" t="str">
        <f t="shared" si="65"/>
        <v>2011-10 (октябрь 2011)</v>
      </c>
      <c r="E3338" s="9" t="s">
        <v>21</v>
      </c>
      <c r="F3338" s="7">
        <v>43</v>
      </c>
      <c r="G3338" s="7">
        <v>83.34</v>
      </c>
      <c r="H3338" s="7">
        <v>0.01</v>
      </c>
      <c r="I3338" s="9" t="s">
        <v>22</v>
      </c>
      <c r="J3338" s="10">
        <v>-93.18</v>
      </c>
      <c r="K3338" s="11">
        <v>1.86</v>
      </c>
      <c r="L3338" s="11">
        <v>2.58</v>
      </c>
      <c r="M3338" s="9" t="s">
        <v>1526</v>
      </c>
      <c r="N3338" s="6" t="s">
        <v>1595</v>
      </c>
      <c r="O3338" s="6" t="s">
        <v>1595</v>
      </c>
      <c r="P3338" s="9" t="s">
        <v>41</v>
      </c>
      <c r="Q3338" s="9" t="s">
        <v>26</v>
      </c>
      <c r="R3338" s="9" t="s">
        <v>66</v>
      </c>
      <c r="S3338" s="7" t="s">
        <v>783</v>
      </c>
      <c r="T3338" s="9" t="s">
        <v>68</v>
      </c>
      <c r="U3338" s="7">
        <v>0.82</v>
      </c>
      <c r="V3338" s="12">
        <f>C3338+4</f>
        <v>40830</v>
      </c>
      <c r="W3338">
        <f>IF(D3338=' Pivot Tables'!$A$4,1,0)</f>
        <v>0</v>
      </c>
      <c r="X3338">
        <f>IF(AND(LEFT(D3338,4)+1=LEFT(' Pivot Tables'!$A$4,4)+0,RIGHT(LEFT(D3338,7),2)=RIGHT(LEFT(' Pivot Tables'!$A$4,7),2)),1,0)</f>
        <v>0</v>
      </c>
      <c r="Y3338" s="6">
        <f>1/COUNTIF(Таблица1[Order ID],Таблица1[[#This Row],[Order ID]])</f>
        <v>0.5</v>
      </c>
      <c r="Z3338" s="9">
        <f>1/COUNTIFS(Таблица1[Customer Name],Таблица1[[#This Row],[Customer Name]],Таблица1[Order-Year-Month],Таблица1[[#This Row],[Order-Year-Month]])</f>
        <v>0.5</v>
      </c>
    </row>
    <row r="3339" spans="1:26" x14ac:dyDescent="0.2">
      <c r="A3339" s="6">
        <v>1003</v>
      </c>
      <c r="B3339" s="7">
        <v>7297</v>
      </c>
      <c r="C3339" s="8">
        <f>DATE(2012,12,31)-1204</f>
        <v>40070</v>
      </c>
      <c r="D3339" s="8" t="str">
        <f t="shared" si="65"/>
        <v>2009-09 (сентябрь 2009)</v>
      </c>
      <c r="E3339" s="9" t="s">
        <v>30</v>
      </c>
      <c r="F3339" s="7">
        <v>7</v>
      </c>
      <c r="G3339" s="7">
        <v>296.83999999999997</v>
      </c>
      <c r="H3339" s="7">
        <v>0.08</v>
      </c>
      <c r="I3339" s="9" t="s">
        <v>22</v>
      </c>
      <c r="J3339" s="10">
        <v>-71.83</v>
      </c>
      <c r="K3339" s="11">
        <v>45.19</v>
      </c>
      <c r="L3339" s="11">
        <v>1.99</v>
      </c>
      <c r="M3339" s="9" t="s">
        <v>1575</v>
      </c>
      <c r="N3339" s="6" t="s">
        <v>1595</v>
      </c>
      <c r="O3339" s="6" t="s">
        <v>1595</v>
      </c>
      <c r="P3339" s="9" t="s">
        <v>25</v>
      </c>
      <c r="Q3339" s="9" t="s">
        <v>42</v>
      </c>
      <c r="R3339" s="9" t="s">
        <v>70</v>
      </c>
      <c r="S3339" s="7" t="s">
        <v>379</v>
      </c>
      <c r="T3339" s="9" t="s">
        <v>52</v>
      </c>
      <c r="U3339" s="7">
        <v>0.55000000000000004</v>
      </c>
      <c r="V3339" s="12">
        <f>C3339+1</f>
        <v>40071</v>
      </c>
      <c r="W3339">
        <f>IF(D3339=' Pivot Tables'!$A$4,1,0)</f>
        <v>0</v>
      </c>
      <c r="X3339">
        <f>IF(AND(LEFT(D3339,4)+1=LEFT(' Pivot Tables'!$A$4,4)+0,RIGHT(LEFT(D3339,7),2)=RIGHT(LEFT(' Pivot Tables'!$A$4,7),2)),1,0)</f>
        <v>0</v>
      </c>
      <c r="Y3339" s="6">
        <f>1/COUNTIF(Таблица1[Order ID],Таблица1[[#This Row],[Order ID]])</f>
        <v>0.33333333333333331</v>
      </c>
      <c r="Z3339" s="9">
        <f>1/COUNTIFS(Таблица1[Customer Name],Таблица1[[#This Row],[Customer Name]],Таблица1[Order-Year-Month],Таблица1[[#This Row],[Order-Year-Month]])</f>
        <v>0.33333333333333331</v>
      </c>
    </row>
    <row r="3340" spans="1:26" x14ac:dyDescent="0.2">
      <c r="A3340" s="6">
        <v>1080</v>
      </c>
      <c r="B3340" s="7">
        <v>7938</v>
      </c>
      <c r="C3340" s="8">
        <f>DATE(2012,12,31)-1024</f>
        <v>40250</v>
      </c>
      <c r="D3340" s="8" t="str">
        <f t="shared" si="65"/>
        <v>2010-03 (март 2010)</v>
      </c>
      <c r="E3340" s="9" t="s">
        <v>63</v>
      </c>
      <c r="F3340" s="7">
        <v>23</v>
      </c>
      <c r="G3340" s="7">
        <v>139.19</v>
      </c>
      <c r="H3340" s="7">
        <v>0.04</v>
      </c>
      <c r="I3340" s="9" t="s">
        <v>22</v>
      </c>
      <c r="J3340" s="10">
        <v>-86.73</v>
      </c>
      <c r="K3340" s="11">
        <v>5.98</v>
      </c>
      <c r="L3340" s="11">
        <v>7.15</v>
      </c>
      <c r="M3340" s="9" t="s">
        <v>1457</v>
      </c>
      <c r="N3340" s="6" t="s">
        <v>1595</v>
      </c>
      <c r="O3340" s="6" t="s">
        <v>1595</v>
      </c>
      <c r="P3340" s="9" t="s">
        <v>41</v>
      </c>
      <c r="Q3340" s="9" t="s">
        <v>26</v>
      </c>
      <c r="R3340" s="9" t="s">
        <v>61</v>
      </c>
      <c r="S3340" s="7" t="s">
        <v>1424</v>
      </c>
      <c r="T3340" s="9" t="s">
        <v>39</v>
      </c>
      <c r="U3340" s="7">
        <v>0.36</v>
      </c>
      <c r="V3340" s="12">
        <f>C3340+2</f>
        <v>40252</v>
      </c>
      <c r="W3340">
        <f>IF(D3340=' Pivot Tables'!$A$4,1,0)</f>
        <v>0</v>
      </c>
      <c r="X3340">
        <f>IF(AND(LEFT(D3340,4)+1=LEFT(' Pivot Tables'!$A$4,4)+0,RIGHT(LEFT(D3340,7),2)=RIGHT(LEFT(' Pivot Tables'!$A$4,7),2)),1,0)</f>
        <v>0</v>
      </c>
      <c r="Y3340" s="6">
        <f>1/COUNTIF(Таблица1[Order ID],Таблица1[[#This Row],[Order ID]])</f>
        <v>0.33333333333333331</v>
      </c>
      <c r="Z3340" s="9">
        <f>1/COUNTIFS(Таблица1[Customer Name],Таблица1[[#This Row],[Customer Name]],Таблица1[Order-Year-Month],Таблица1[[#This Row],[Order-Year-Month]])</f>
        <v>0.25</v>
      </c>
    </row>
    <row r="3341" spans="1:26" x14ac:dyDescent="0.2">
      <c r="A3341" s="6">
        <v>1099</v>
      </c>
      <c r="B3341" s="7">
        <v>8065</v>
      </c>
      <c r="C3341" s="8">
        <f>DATE(2012,12,31)-71</f>
        <v>41203</v>
      </c>
      <c r="D3341" s="8" t="str">
        <f t="shared" si="65"/>
        <v>2012-10 (октябрь 2012)</v>
      </c>
      <c r="E3341" s="9" t="s">
        <v>63</v>
      </c>
      <c r="F3341" s="7">
        <v>17</v>
      </c>
      <c r="G3341" s="7">
        <v>1125.76</v>
      </c>
      <c r="H3341" s="7">
        <v>0</v>
      </c>
      <c r="I3341" s="9" t="s">
        <v>22</v>
      </c>
      <c r="J3341" s="10">
        <v>379.28</v>
      </c>
      <c r="K3341" s="11">
        <v>60.65</v>
      </c>
      <c r="L3341" s="11">
        <v>12.23</v>
      </c>
      <c r="M3341" s="9" t="s">
        <v>1575</v>
      </c>
      <c r="N3341" s="6" t="s">
        <v>1595</v>
      </c>
      <c r="O3341" s="6" t="s">
        <v>1595</v>
      </c>
      <c r="P3341" s="9" t="s">
        <v>25</v>
      </c>
      <c r="Q3341" s="9" t="s">
        <v>49</v>
      </c>
      <c r="R3341" s="9" t="s">
        <v>50</v>
      </c>
      <c r="S3341" s="7" t="s">
        <v>1217</v>
      </c>
      <c r="T3341" s="9" t="s">
        <v>48</v>
      </c>
      <c r="U3341" s="7">
        <v>0.64</v>
      </c>
      <c r="V3341" s="12">
        <f>C3341+2</f>
        <v>41205</v>
      </c>
      <c r="W3341">
        <f>IF(D3341=' Pivot Tables'!$A$4,1,0)</f>
        <v>0</v>
      </c>
      <c r="X3341">
        <f>IF(AND(LEFT(D3341,4)+1=LEFT(' Pivot Tables'!$A$4,4)+0,RIGHT(LEFT(D3341,7),2)=RIGHT(LEFT(' Pivot Tables'!$A$4,7),2)),1,0)</f>
        <v>0</v>
      </c>
      <c r="Y3341" s="6">
        <f>1/COUNTIF(Таблица1[Order ID],Таблица1[[#This Row],[Order ID]])</f>
        <v>1</v>
      </c>
      <c r="Z3341" s="9">
        <f>1/COUNTIFS(Таблица1[Customer Name],Таблица1[[#This Row],[Customer Name]],Таблица1[Order-Year-Month],Таблица1[[#This Row],[Order-Year-Month]])</f>
        <v>1</v>
      </c>
    </row>
    <row r="3342" spans="1:26" x14ac:dyDescent="0.2">
      <c r="A3342" s="6">
        <v>1135</v>
      </c>
      <c r="B3342" s="7">
        <v>8292</v>
      </c>
      <c r="C3342" s="8">
        <f>DATE(2012,12,31)-1064</f>
        <v>40210</v>
      </c>
      <c r="D3342" s="8" t="str">
        <f t="shared" si="65"/>
        <v>2010-02 (февраль 2010)</v>
      </c>
      <c r="E3342" s="9" t="s">
        <v>45</v>
      </c>
      <c r="F3342" s="7">
        <v>18</v>
      </c>
      <c r="G3342" s="7">
        <v>299.87</v>
      </c>
      <c r="H3342" s="7">
        <v>0.02</v>
      </c>
      <c r="I3342" s="9" t="s">
        <v>22</v>
      </c>
      <c r="J3342" s="10">
        <v>130.04</v>
      </c>
      <c r="K3342" s="11">
        <v>15.74</v>
      </c>
      <c r="L3342" s="11">
        <v>1.39</v>
      </c>
      <c r="M3342" s="9" t="s">
        <v>1639</v>
      </c>
      <c r="N3342" s="6" t="s">
        <v>1595</v>
      </c>
      <c r="O3342" s="6" t="s">
        <v>1595</v>
      </c>
      <c r="P3342" s="9" t="s">
        <v>41</v>
      </c>
      <c r="Q3342" s="9" t="s">
        <v>26</v>
      </c>
      <c r="R3342" s="9" t="s">
        <v>76</v>
      </c>
      <c r="S3342" s="7" t="s">
        <v>77</v>
      </c>
      <c r="T3342" s="9" t="s">
        <v>39</v>
      </c>
      <c r="U3342" s="7">
        <v>0.4</v>
      </c>
      <c r="V3342" s="12">
        <f>C3342+1</f>
        <v>40211</v>
      </c>
      <c r="W3342">
        <f>IF(D3342=' Pivot Tables'!$A$4,1,0)</f>
        <v>0</v>
      </c>
      <c r="X3342">
        <f>IF(AND(LEFT(D3342,4)+1=LEFT(' Pivot Tables'!$A$4,4)+0,RIGHT(LEFT(D3342,7),2)=RIGHT(LEFT(' Pivot Tables'!$A$4,7),2)),1,0)</f>
        <v>0</v>
      </c>
      <c r="Y3342" s="6">
        <f>1/COUNTIF(Таблица1[Order ID],Таблица1[[#This Row],[Order ID]])</f>
        <v>1</v>
      </c>
      <c r="Z3342" s="9">
        <f>1/COUNTIFS(Таблица1[Customer Name],Таблица1[[#This Row],[Customer Name]],Таблица1[Order-Year-Month],Таблица1[[#This Row],[Order-Year-Month]])</f>
        <v>1</v>
      </c>
    </row>
    <row r="3343" spans="1:26" x14ac:dyDescent="0.2">
      <c r="A3343" s="6">
        <v>1166</v>
      </c>
      <c r="B3343" s="7">
        <v>8513</v>
      </c>
      <c r="C3343" s="8">
        <f>DATE(2012,12,31)-535</f>
        <v>40739</v>
      </c>
      <c r="D3343" s="8" t="str">
        <f t="shared" si="65"/>
        <v>2011-07 (июль 2011)</v>
      </c>
      <c r="E3343" s="9" t="s">
        <v>21</v>
      </c>
      <c r="F3343" s="7">
        <v>8</v>
      </c>
      <c r="G3343" s="7">
        <v>84.64</v>
      </c>
      <c r="H3343" s="7">
        <v>0</v>
      </c>
      <c r="I3343" s="9" t="s">
        <v>56</v>
      </c>
      <c r="J3343" s="10">
        <v>-9.2899999999999991</v>
      </c>
      <c r="K3343" s="11">
        <v>8.6199999999999992</v>
      </c>
      <c r="L3343" s="11">
        <v>4.5</v>
      </c>
      <c r="M3343" s="9" t="s">
        <v>1487</v>
      </c>
      <c r="N3343" s="6" t="s">
        <v>1595</v>
      </c>
      <c r="O3343" s="6" t="s">
        <v>1595</v>
      </c>
      <c r="P3343" s="9" t="s">
        <v>25</v>
      </c>
      <c r="Q3343" s="9" t="s">
        <v>26</v>
      </c>
      <c r="R3343" s="9" t="s">
        <v>34</v>
      </c>
      <c r="S3343" s="7" t="s">
        <v>1626</v>
      </c>
      <c r="T3343" s="9" t="s">
        <v>39</v>
      </c>
      <c r="U3343" s="7">
        <v>0.59</v>
      </c>
      <c r="V3343" s="12">
        <f>C3343+7</f>
        <v>40746</v>
      </c>
      <c r="W3343">
        <f>IF(D3343=' Pivot Tables'!$A$4,1,0)</f>
        <v>0</v>
      </c>
      <c r="X3343">
        <f>IF(AND(LEFT(D3343,4)+1=LEFT(' Pivot Tables'!$A$4,4)+0,RIGHT(LEFT(D3343,7),2)=RIGHT(LEFT(' Pivot Tables'!$A$4,7),2)),1,0)</f>
        <v>0</v>
      </c>
      <c r="Y3343" s="6">
        <f>1/COUNTIF(Таблица1[Order ID],Таблица1[[#This Row],[Order ID]])</f>
        <v>0.5</v>
      </c>
      <c r="Z3343" s="9">
        <f>1/COUNTIFS(Таблица1[Customer Name],Таблица1[[#This Row],[Customer Name]],Таблица1[Order-Year-Month],Таблица1[[#This Row],[Order-Year-Month]])</f>
        <v>0.33333333333333331</v>
      </c>
    </row>
    <row r="3344" spans="1:26" x14ac:dyDescent="0.2">
      <c r="A3344" s="6">
        <v>1240</v>
      </c>
      <c r="B3344" s="7">
        <v>9024</v>
      </c>
      <c r="C3344" s="8">
        <f>DATE(2012,12,31)-212</f>
        <v>41062</v>
      </c>
      <c r="D3344" s="8" t="str">
        <f t="shared" si="65"/>
        <v>2012-06 (июнь 2012)</v>
      </c>
      <c r="E3344" s="9" t="s">
        <v>63</v>
      </c>
      <c r="F3344" s="7">
        <v>30</v>
      </c>
      <c r="G3344" s="7">
        <v>1136.44</v>
      </c>
      <c r="H3344" s="7">
        <v>0.09</v>
      </c>
      <c r="I3344" s="9" t="s">
        <v>22</v>
      </c>
      <c r="J3344" s="10">
        <v>-9.2999999999999687</v>
      </c>
      <c r="K3344" s="11">
        <v>40.98</v>
      </c>
      <c r="L3344" s="11">
        <v>6.5</v>
      </c>
      <c r="M3344" s="9" t="s">
        <v>1527</v>
      </c>
      <c r="N3344" s="6" t="s">
        <v>1595</v>
      </c>
      <c r="O3344" s="6" t="s">
        <v>1595</v>
      </c>
      <c r="P3344" s="9" t="s">
        <v>60</v>
      </c>
      <c r="Q3344" s="9" t="s">
        <v>42</v>
      </c>
      <c r="R3344" s="9" t="s">
        <v>70</v>
      </c>
      <c r="S3344" s="7" t="s">
        <v>1646</v>
      </c>
      <c r="T3344" s="9" t="s">
        <v>39</v>
      </c>
      <c r="U3344" s="7">
        <v>0.64</v>
      </c>
      <c r="V3344" s="12">
        <f>C3344+2</f>
        <v>41064</v>
      </c>
      <c r="W3344">
        <f>IF(D3344=' Pivot Tables'!$A$4,1,0)</f>
        <v>0</v>
      </c>
      <c r="X3344">
        <f>IF(AND(LEFT(D3344,4)+1=LEFT(' Pivot Tables'!$A$4,4)+0,RIGHT(LEFT(D3344,7),2)=RIGHT(LEFT(' Pivot Tables'!$A$4,7),2)),1,0)</f>
        <v>0</v>
      </c>
      <c r="Y3344" s="6">
        <f>1/COUNTIF(Таблица1[Order ID],Таблица1[[#This Row],[Order ID]])</f>
        <v>0.33333333333333331</v>
      </c>
      <c r="Z3344" s="9">
        <f>1/COUNTIFS(Таблица1[Customer Name],Таблица1[[#This Row],[Customer Name]],Таблица1[Order-Year-Month],Таблица1[[#This Row],[Order-Year-Month]])</f>
        <v>0.33333333333333331</v>
      </c>
    </row>
    <row r="3345" spans="1:26" x14ac:dyDescent="0.2">
      <c r="A3345" s="6">
        <v>1314</v>
      </c>
      <c r="B3345" s="7">
        <v>9635</v>
      </c>
      <c r="C3345" s="8">
        <f>DATE(2012,12,31)-1358</f>
        <v>39916</v>
      </c>
      <c r="D3345" s="8" t="str">
        <f t="shared" si="65"/>
        <v>2009-04 (апрель 2009)</v>
      </c>
      <c r="E3345" s="9" t="s">
        <v>78</v>
      </c>
      <c r="F3345" s="7">
        <v>1</v>
      </c>
      <c r="G3345" s="7">
        <v>3.42</v>
      </c>
      <c r="H3345" s="7">
        <v>0.05</v>
      </c>
      <c r="I3345" s="9" t="s">
        <v>22</v>
      </c>
      <c r="J3345" s="10">
        <v>-2.9094999999999995</v>
      </c>
      <c r="K3345" s="11">
        <v>1.88</v>
      </c>
      <c r="L3345" s="11">
        <v>1.49</v>
      </c>
      <c r="M3345" s="9" t="s">
        <v>1329</v>
      </c>
      <c r="N3345" s="6" t="s">
        <v>1595</v>
      </c>
      <c r="O3345" s="6" t="s">
        <v>1595</v>
      </c>
      <c r="P3345" s="9" t="s">
        <v>41</v>
      </c>
      <c r="Q3345" s="9" t="s">
        <v>26</v>
      </c>
      <c r="R3345" s="9" t="s">
        <v>37</v>
      </c>
      <c r="S3345" s="7" t="s">
        <v>172</v>
      </c>
      <c r="T3345" s="9" t="s">
        <v>39</v>
      </c>
      <c r="U3345" s="7">
        <v>0.37</v>
      </c>
      <c r="V3345" s="12">
        <f>C3345+2</f>
        <v>39918</v>
      </c>
      <c r="W3345">
        <f>IF(D3345=' Pivot Tables'!$A$4,1,0)</f>
        <v>0</v>
      </c>
      <c r="X3345">
        <f>IF(AND(LEFT(D3345,4)+1=LEFT(' Pivot Tables'!$A$4,4)+0,RIGHT(LEFT(D3345,7),2)=RIGHT(LEFT(' Pivot Tables'!$A$4,7),2)),1,0)</f>
        <v>0</v>
      </c>
      <c r="Y3345" s="6">
        <f>1/COUNTIF(Таблица1[Order ID],Таблица1[[#This Row],[Order ID]])</f>
        <v>1</v>
      </c>
      <c r="Z3345" s="9">
        <f>1/COUNTIFS(Таблица1[Customer Name],Таблица1[[#This Row],[Customer Name]],Таблица1[Order-Year-Month],Таблица1[[#This Row],[Order-Year-Month]])</f>
        <v>1</v>
      </c>
    </row>
    <row r="3346" spans="1:26" x14ac:dyDescent="0.2">
      <c r="A3346" s="6">
        <v>1444</v>
      </c>
      <c r="B3346" s="7">
        <v>10436</v>
      </c>
      <c r="C3346" s="8">
        <f>DATE(2012,12,31)-729</f>
        <v>40545</v>
      </c>
      <c r="D3346" s="8" t="str">
        <f t="shared" si="65"/>
        <v>2011-01 (январь 2011)</v>
      </c>
      <c r="E3346" s="9" t="s">
        <v>21</v>
      </c>
      <c r="F3346" s="7">
        <v>24</v>
      </c>
      <c r="G3346" s="7">
        <v>138.75</v>
      </c>
      <c r="H3346" s="7">
        <v>0.09</v>
      </c>
      <c r="I3346" s="9" t="s">
        <v>22</v>
      </c>
      <c r="J3346" s="10">
        <v>49.81</v>
      </c>
      <c r="K3346" s="11">
        <v>5.84</v>
      </c>
      <c r="L3346" s="11">
        <v>1</v>
      </c>
      <c r="M3346" s="9" t="s">
        <v>1459</v>
      </c>
      <c r="N3346" s="6" t="s">
        <v>1595</v>
      </c>
      <c r="O3346" s="6" t="s">
        <v>1595</v>
      </c>
      <c r="P3346" s="9" t="s">
        <v>41</v>
      </c>
      <c r="Q3346" s="9" t="s">
        <v>26</v>
      </c>
      <c r="R3346" s="9" t="s">
        <v>95</v>
      </c>
      <c r="S3346" s="7" t="s">
        <v>1144</v>
      </c>
      <c r="T3346" s="9" t="s">
        <v>68</v>
      </c>
      <c r="U3346" s="7">
        <v>0.38</v>
      </c>
      <c r="V3346" s="12">
        <f>C3346+7</f>
        <v>40552</v>
      </c>
      <c r="W3346">
        <f>IF(D3346=' Pivot Tables'!$A$4,1,0)</f>
        <v>0</v>
      </c>
      <c r="X3346">
        <f>IF(AND(LEFT(D3346,4)+1=LEFT(' Pivot Tables'!$A$4,4)+0,RIGHT(LEFT(D3346,7),2)=RIGHT(LEFT(' Pivot Tables'!$A$4,7),2)),1,0)</f>
        <v>0</v>
      </c>
      <c r="Y3346" s="6">
        <f>1/COUNTIF(Таблица1[Order ID],Таблица1[[#This Row],[Order ID]])</f>
        <v>1</v>
      </c>
      <c r="Z3346" s="9">
        <f>1/COUNTIFS(Таблица1[Customer Name],Таблица1[[#This Row],[Customer Name]],Таблица1[Order-Year-Month],Таблица1[[#This Row],[Order-Year-Month]])</f>
        <v>0.5</v>
      </c>
    </row>
    <row r="3347" spans="1:26" x14ac:dyDescent="0.2">
      <c r="A3347" s="6">
        <v>1491</v>
      </c>
      <c r="B3347" s="7">
        <v>10752</v>
      </c>
      <c r="C3347" s="8">
        <f>DATE(2012,12,31)-478</f>
        <v>40796</v>
      </c>
      <c r="D3347" s="8" t="str">
        <f t="shared" si="65"/>
        <v>2011-09 (сентябрь 2011)</v>
      </c>
      <c r="E3347" s="9" t="s">
        <v>78</v>
      </c>
      <c r="F3347" s="7">
        <v>5</v>
      </c>
      <c r="G3347" s="7">
        <v>95.38</v>
      </c>
      <c r="H3347" s="7">
        <v>0.03</v>
      </c>
      <c r="I3347" s="9" t="s">
        <v>22</v>
      </c>
      <c r="J3347" s="10">
        <v>-36.891999999999996</v>
      </c>
      <c r="K3347" s="11">
        <v>15.99</v>
      </c>
      <c r="L3347" s="11">
        <v>13.18</v>
      </c>
      <c r="M3347" s="9" t="s">
        <v>1593</v>
      </c>
      <c r="N3347" s="6" t="s">
        <v>1595</v>
      </c>
      <c r="O3347" s="6" t="s">
        <v>1595</v>
      </c>
      <c r="P3347" s="9" t="s">
        <v>25</v>
      </c>
      <c r="Q3347" s="9" t="s">
        <v>26</v>
      </c>
      <c r="R3347" s="9" t="s">
        <v>37</v>
      </c>
      <c r="S3347" s="7" t="s">
        <v>92</v>
      </c>
      <c r="T3347" s="9" t="s">
        <v>39</v>
      </c>
      <c r="U3347" s="7">
        <v>0.37</v>
      </c>
      <c r="V3347" s="12">
        <f>C3347+1</f>
        <v>40797</v>
      </c>
      <c r="W3347">
        <f>IF(D3347=' Pivot Tables'!$A$4,1,0)</f>
        <v>0</v>
      </c>
      <c r="X3347">
        <f>IF(AND(LEFT(D3347,4)+1=LEFT(' Pivot Tables'!$A$4,4)+0,RIGHT(LEFT(D3347,7),2)=RIGHT(LEFT(' Pivot Tables'!$A$4,7),2)),1,0)</f>
        <v>0</v>
      </c>
      <c r="Y3347" s="6">
        <f>1/COUNTIF(Таблица1[Order ID],Таблица1[[#This Row],[Order ID]])</f>
        <v>1</v>
      </c>
      <c r="Z3347" s="9">
        <f>1/COUNTIFS(Таблица1[Customer Name],Таблица1[[#This Row],[Customer Name]],Таблица1[Order-Year-Month],Таблица1[[#This Row],[Order-Year-Month]])</f>
        <v>1</v>
      </c>
    </row>
    <row r="3348" spans="1:26" x14ac:dyDescent="0.2">
      <c r="A3348" s="6">
        <v>1527</v>
      </c>
      <c r="B3348" s="7">
        <v>11011</v>
      </c>
      <c r="C3348" s="8">
        <f>DATE(2012,12,31)-232</f>
        <v>41042</v>
      </c>
      <c r="D3348" s="8" t="str">
        <f t="shared" si="65"/>
        <v>2012-05 (май 2012)</v>
      </c>
      <c r="E3348" s="9" t="s">
        <v>30</v>
      </c>
      <c r="F3348" s="7">
        <v>36</v>
      </c>
      <c r="G3348" s="7">
        <v>251.05</v>
      </c>
      <c r="H3348" s="7">
        <v>0.1</v>
      </c>
      <c r="I3348" s="9" t="s">
        <v>22</v>
      </c>
      <c r="J3348" s="10">
        <v>118.79</v>
      </c>
      <c r="K3348" s="11">
        <v>7.31</v>
      </c>
      <c r="L3348" s="11">
        <v>0.49</v>
      </c>
      <c r="M3348" s="9" t="s">
        <v>1487</v>
      </c>
      <c r="N3348" s="6" t="s">
        <v>1595</v>
      </c>
      <c r="O3348" s="6" t="s">
        <v>1595</v>
      </c>
      <c r="P3348" s="9" t="s">
        <v>25</v>
      </c>
      <c r="Q3348" s="9" t="s">
        <v>26</v>
      </c>
      <c r="R3348" s="9" t="s">
        <v>88</v>
      </c>
      <c r="S3348" s="7" t="s">
        <v>107</v>
      </c>
      <c r="T3348" s="9" t="s">
        <v>39</v>
      </c>
      <c r="U3348" s="7">
        <v>0.38</v>
      </c>
      <c r="V3348" s="12">
        <f>C3348+1</f>
        <v>41043</v>
      </c>
      <c r="W3348">
        <f>IF(D3348=' Pivot Tables'!$A$4,1,0)</f>
        <v>0</v>
      </c>
      <c r="X3348">
        <f>IF(AND(LEFT(D3348,4)+1=LEFT(' Pivot Tables'!$A$4,4)+0,RIGHT(LEFT(D3348,7),2)=RIGHT(LEFT(' Pivot Tables'!$A$4,7),2)),1,0)</f>
        <v>0</v>
      </c>
      <c r="Y3348" s="6">
        <f>1/COUNTIF(Таблица1[Order ID],Таблица1[[#This Row],[Order ID]])</f>
        <v>0.33333333333333331</v>
      </c>
      <c r="Z3348" s="9">
        <f>1/COUNTIFS(Таблица1[Customer Name],Таблица1[[#This Row],[Customer Name]],Таблица1[Order-Year-Month],Таблица1[[#This Row],[Order-Year-Month]])</f>
        <v>0.33333333333333331</v>
      </c>
    </row>
    <row r="3349" spans="1:26" x14ac:dyDescent="0.2">
      <c r="A3349" s="6">
        <v>1558</v>
      </c>
      <c r="B3349" s="7">
        <v>11236</v>
      </c>
      <c r="C3349" s="8">
        <f>DATE(2012,12,31)-793</f>
        <v>40481</v>
      </c>
      <c r="D3349" s="8" t="str">
        <f t="shared" si="65"/>
        <v>2010-10 (октябрь 2010)</v>
      </c>
      <c r="E3349" s="9" t="s">
        <v>30</v>
      </c>
      <c r="F3349" s="7">
        <v>49</v>
      </c>
      <c r="G3349" s="7">
        <v>261.02</v>
      </c>
      <c r="H3349" s="7">
        <v>0.01</v>
      </c>
      <c r="I3349" s="9" t="s">
        <v>22</v>
      </c>
      <c r="J3349" s="10">
        <v>-94.046999999999997</v>
      </c>
      <c r="K3349" s="11">
        <v>4.9800000000000004</v>
      </c>
      <c r="L3349" s="11">
        <v>4.95</v>
      </c>
      <c r="M3349" s="9" t="s">
        <v>1555</v>
      </c>
      <c r="N3349" s="6" t="s">
        <v>1595</v>
      </c>
      <c r="O3349" s="6" t="s">
        <v>1595</v>
      </c>
      <c r="P3349" s="9" t="s">
        <v>25</v>
      </c>
      <c r="Q3349" s="9" t="s">
        <v>26</v>
      </c>
      <c r="R3349" s="9" t="s">
        <v>37</v>
      </c>
      <c r="S3349" s="7" t="s">
        <v>691</v>
      </c>
      <c r="T3349" s="9" t="s">
        <v>39</v>
      </c>
      <c r="U3349" s="7">
        <v>0.37</v>
      </c>
      <c r="V3349" s="12">
        <f>C3349+1</f>
        <v>40482</v>
      </c>
      <c r="W3349">
        <f>IF(D3349=' Pivot Tables'!$A$4,1,0)</f>
        <v>0</v>
      </c>
      <c r="X3349">
        <f>IF(AND(LEFT(D3349,4)+1=LEFT(' Pivot Tables'!$A$4,4)+0,RIGHT(LEFT(D3349,7),2)=RIGHT(LEFT(' Pivot Tables'!$A$4,7),2)),1,0)</f>
        <v>0</v>
      </c>
      <c r="Y3349" s="6">
        <f>1/COUNTIF(Таблица1[Order ID],Таблица1[[#This Row],[Order ID]])</f>
        <v>0.25</v>
      </c>
      <c r="Z3349" s="9">
        <f>1/COUNTIFS(Таблица1[Customer Name],Таблица1[[#This Row],[Customer Name]],Таблица1[Order-Year-Month],Таблица1[[#This Row],[Order-Year-Month]])</f>
        <v>0.25</v>
      </c>
    </row>
    <row r="3350" spans="1:26" x14ac:dyDescent="0.2">
      <c r="A3350" s="6">
        <v>1604</v>
      </c>
      <c r="B3350" s="7">
        <v>11650</v>
      </c>
      <c r="C3350" s="8">
        <f>DATE(2012,12,31)-98</f>
        <v>41176</v>
      </c>
      <c r="D3350" s="8" t="str">
        <f t="shared" si="65"/>
        <v>2012-09 (сентябрь 2012)</v>
      </c>
      <c r="E3350" s="9" t="s">
        <v>45</v>
      </c>
      <c r="F3350" s="7">
        <v>30</v>
      </c>
      <c r="G3350" s="7">
        <v>243.49</v>
      </c>
      <c r="H3350" s="7">
        <v>0.08</v>
      </c>
      <c r="I3350" s="9" t="s">
        <v>22</v>
      </c>
      <c r="J3350" s="10">
        <v>-45.89</v>
      </c>
      <c r="K3350" s="11">
        <v>8.32</v>
      </c>
      <c r="L3350" s="11">
        <v>2.38</v>
      </c>
      <c r="M3350" s="9" t="s">
        <v>1614</v>
      </c>
      <c r="N3350" s="6" t="s">
        <v>1595</v>
      </c>
      <c r="O3350" s="6" t="s">
        <v>1595</v>
      </c>
      <c r="P3350" s="9" t="s">
        <v>60</v>
      </c>
      <c r="Q3350" s="9" t="s">
        <v>42</v>
      </c>
      <c r="R3350" s="9" t="s">
        <v>70</v>
      </c>
      <c r="S3350" s="7" t="s">
        <v>1584</v>
      </c>
      <c r="T3350" s="9" t="s">
        <v>52</v>
      </c>
      <c r="U3350" s="7">
        <v>0.74</v>
      </c>
      <c r="V3350" s="12">
        <f>C3350+1</f>
        <v>41177</v>
      </c>
      <c r="W3350">
        <f>IF(D3350=' Pivot Tables'!$A$4,1,0)</f>
        <v>0</v>
      </c>
      <c r="X3350">
        <f>IF(AND(LEFT(D3350,4)+1=LEFT(' Pivot Tables'!$A$4,4)+0,RIGHT(LEFT(D3350,7),2)=RIGHT(LEFT(' Pivot Tables'!$A$4,7),2)),1,0)</f>
        <v>0</v>
      </c>
      <c r="Y3350" s="6">
        <f>1/COUNTIF(Таблица1[Order ID],Таблица1[[#This Row],[Order ID]])</f>
        <v>0.5</v>
      </c>
      <c r="Z3350" s="9">
        <f>1/COUNTIFS(Таблица1[Customer Name],Таблица1[[#This Row],[Customer Name]],Таблица1[Order-Year-Month],Таблица1[[#This Row],[Order-Year-Month]])</f>
        <v>0.5</v>
      </c>
    </row>
    <row r="3351" spans="1:26" x14ac:dyDescent="0.2">
      <c r="A3351" s="6">
        <v>1628</v>
      </c>
      <c r="B3351" s="7">
        <v>11779</v>
      </c>
      <c r="C3351" s="8">
        <f>DATE(2012,12,31)-916</f>
        <v>40358</v>
      </c>
      <c r="D3351" s="8" t="str">
        <f t="shared" si="65"/>
        <v>2010-06 (июнь 2010)</v>
      </c>
      <c r="E3351" s="9" t="s">
        <v>45</v>
      </c>
      <c r="F3351" s="7">
        <v>45</v>
      </c>
      <c r="G3351" s="7">
        <v>311.10000000000002</v>
      </c>
      <c r="H3351" s="7">
        <v>0.04</v>
      </c>
      <c r="I3351" s="9" t="s">
        <v>22</v>
      </c>
      <c r="J3351" s="10">
        <v>86.6</v>
      </c>
      <c r="K3351" s="11">
        <v>6.88</v>
      </c>
      <c r="L3351" s="11">
        <v>2</v>
      </c>
      <c r="M3351" s="9" t="s">
        <v>1501</v>
      </c>
      <c r="N3351" s="6" t="s">
        <v>1595</v>
      </c>
      <c r="O3351" s="6" t="s">
        <v>1595</v>
      </c>
      <c r="P3351" s="9" t="s">
        <v>33</v>
      </c>
      <c r="Q3351" s="9" t="s">
        <v>26</v>
      </c>
      <c r="R3351" s="9" t="s">
        <v>61</v>
      </c>
      <c r="S3351" s="7" t="s">
        <v>1063</v>
      </c>
      <c r="T3351" s="9" t="s">
        <v>68</v>
      </c>
      <c r="U3351" s="7">
        <v>0.39</v>
      </c>
      <c r="V3351" s="12">
        <f>C3351+2</f>
        <v>40360</v>
      </c>
      <c r="W3351">
        <f>IF(D3351=' Pivot Tables'!$A$4,1,0)</f>
        <v>0</v>
      </c>
      <c r="X3351">
        <f>IF(AND(LEFT(D3351,4)+1=LEFT(' Pivot Tables'!$A$4,4)+0,RIGHT(LEFT(D3351,7),2)=RIGHT(LEFT(' Pivot Tables'!$A$4,7),2)),1,0)</f>
        <v>0</v>
      </c>
      <c r="Y3351" s="6">
        <f>1/COUNTIF(Таблица1[Order ID],Таблица1[[#This Row],[Order ID]])</f>
        <v>0.5</v>
      </c>
      <c r="Z3351" s="9">
        <f>1/COUNTIFS(Таблица1[Customer Name],Таблица1[[#This Row],[Customer Name]],Таблица1[Order-Year-Month],Таблица1[[#This Row],[Order-Year-Month]])</f>
        <v>0.5</v>
      </c>
    </row>
    <row r="3352" spans="1:26" x14ac:dyDescent="0.2">
      <c r="A3352" s="6">
        <v>1629</v>
      </c>
      <c r="B3352" s="7">
        <v>11779</v>
      </c>
      <c r="C3352" s="8">
        <f>DATE(2012,12,31)-916</f>
        <v>40358</v>
      </c>
      <c r="D3352" s="8" t="str">
        <f t="shared" si="65"/>
        <v>2010-06 (июнь 2010)</v>
      </c>
      <c r="E3352" s="9" t="s">
        <v>45</v>
      </c>
      <c r="F3352" s="7">
        <v>43</v>
      </c>
      <c r="G3352" s="7">
        <v>452.93</v>
      </c>
      <c r="H3352" s="7">
        <v>0.09</v>
      </c>
      <c r="I3352" s="9" t="s">
        <v>22</v>
      </c>
      <c r="J3352" s="10">
        <v>-172.34</v>
      </c>
      <c r="K3352" s="11">
        <v>10.97</v>
      </c>
      <c r="L3352" s="11">
        <v>6.5</v>
      </c>
      <c r="M3352" s="9" t="s">
        <v>1501</v>
      </c>
      <c r="N3352" s="6" t="s">
        <v>1595</v>
      </c>
      <c r="O3352" s="6" t="s">
        <v>1595</v>
      </c>
      <c r="P3352" s="9" t="s">
        <v>33</v>
      </c>
      <c r="Q3352" s="9" t="s">
        <v>42</v>
      </c>
      <c r="R3352" s="9" t="s">
        <v>70</v>
      </c>
      <c r="S3352" s="7" t="s">
        <v>336</v>
      </c>
      <c r="T3352" s="9" t="s">
        <v>39</v>
      </c>
      <c r="U3352" s="7">
        <v>0.64</v>
      </c>
      <c r="V3352" s="12">
        <f>C3352+1</f>
        <v>40359</v>
      </c>
      <c r="W3352">
        <f>IF(D3352=' Pivot Tables'!$A$4,1,0)</f>
        <v>0</v>
      </c>
      <c r="X3352">
        <f>IF(AND(LEFT(D3352,4)+1=LEFT(' Pivot Tables'!$A$4,4)+0,RIGHT(LEFT(D3352,7),2)=RIGHT(LEFT(' Pivot Tables'!$A$4,7),2)),1,0)</f>
        <v>0</v>
      </c>
      <c r="Y3352" s="6">
        <f>1/COUNTIF(Таблица1[Order ID],Таблица1[[#This Row],[Order ID]])</f>
        <v>0.5</v>
      </c>
      <c r="Z3352" s="9">
        <f>1/COUNTIFS(Таблица1[Customer Name],Таблица1[[#This Row],[Customer Name]],Таблица1[Order-Year-Month],Таблица1[[#This Row],[Order-Year-Month]])</f>
        <v>0.5</v>
      </c>
    </row>
    <row r="3353" spans="1:26" x14ac:dyDescent="0.2">
      <c r="A3353" s="6">
        <v>1748</v>
      </c>
      <c r="B3353" s="7">
        <v>12515</v>
      </c>
      <c r="C3353" s="8">
        <f>DATE(2012,12,31)-963</f>
        <v>40311</v>
      </c>
      <c r="D3353" s="8" t="str">
        <f t="shared" si="65"/>
        <v>2010-05 (май 2010)</v>
      </c>
      <c r="E3353" s="9" t="s">
        <v>63</v>
      </c>
      <c r="F3353" s="7">
        <v>16</v>
      </c>
      <c r="G3353" s="7">
        <v>1702.499</v>
      </c>
      <c r="H3353" s="7">
        <v>0.08</v>
      </c>
      <c r="I3353" s="9" t="s">
        <v>22</v>
      </c>
      <c r="J3353" s="10">
        <v>133.452</v>
      </c>
      <c r="K3353" s="11">
        <v>125.99</v>
      </c>
      <c r="L3353" s="11">
        <v>5.99</v>
      </c>
      <c r="M3353" s="9" t="s">
        <v>1524</v>
      </c>
      <c r="N3353" s="6" t="s">
        <v>1595</v>
      </c>
      <c r="O3353" s="6" t="s">
        <v>1595</v>
      </c>
      <c r="P3353" s="9" t="s">
        <v>25</v>
      </c>
      <c r="Q3353" s="9" t="s">
        <v>42</v>
      </c>
      <c r="R3353" s="9" t="s">
        <v>43</v>
      </c>
      <c r="S3353" s="7" t="s">
        <v>1525</v>
      </c>
      <c r="T3353" s="9" t="s">
        <v>39</v>
      </c>
      <c r="U3353" s="7">
        <v>0.56000000000000005</v>
      </c>
      <c r="V3353" s="12">
        <f>C3353+3</f>
        <v>40314</v>
      </c>
      <c r="W3353">
        <f>IF(D3353=' Pivot Tables'!$A$4,1,0)</f>
        <v>0</v>
      </c>
      <c r="X3353">
        <f>IF(AND(LEFT(D3353,4)+1=LEFT(' Pivot Tables'!$A$4,4)+0,RIGHT(LEFT(D3353,7),2)=RIGHT(LEFT(' Pivot Tables'!$A$4,7),2)),1,0)</f>
        <v>0</v>
      </c>
      <c r="Y3353" s="6">
        <f>1/COUNTIF(Таблица1[Order ID],Таблица1[[#This Row],[Order ID]])</f>
        <v>1</v>
      </c>
      <c r="Z3353" s="9">
        <f>1/COUNTIFS(Таблица1[Customer Name],Таблица1[[#This Row],[Customer Name]],Таблица1[Order-Year-Month],Таблица1[[#This Row],[Order-Year-Month]])</f>
        <v>1</v>
      </c>
    </row>
    <row r="3354" spans="1:26" x14ac:dyDescent="0.2">
      <c r="A3354" s="6">
        <v>1754</v>
      </c>
      <c r="B3354" s="7">
        <v>12580</v>
      </c>
      <c r="C3354" s="8">
        <f>DATE(2012,12,31)-1083</f>
        <v>40191</v>
      </c>
      <c r="D3354" s="8" t="str">
        <f t="shared" si="65"/>
        <v>2010-01 (январь 2010)</v>
      </c>
      <c r="E3354" s="9" t="s">
        <v>21</v>
      </c>
      <c r="F3354" s="7">
        <v>43</v>
      </c>
      <c r="G3354" s="7">
        <v>140.72</v>
      </c>
      <c r="H3354" s="7">
        <v>0.04</v>
      </c>
      <c r="I3354" s="9" t="s">
        <v>22</v>
      </c>
      <c r="J3354" s="10">
        <v>-115.53</v>
      </c>
      <c r="K3354" s="11">
        <v>3.28</v>
      </c>
      <c r="L3354" s="11">
        <v>3.97</v>
      </c>
      <c r="M3354" s="9" t="s">
        <v>1545</v>
      </c>
      <c r="N3354" s="6" t="s">
        <v>1595</v>
      </c>
      <c r="O3354" s="6" t="s">
        <v>1595</v>
      </c>
      <c r="P3354" s="9" t="s">
        <v>25</v>
      </c>
      <c r="Q3354" s="9" t="s">
        <v>26</v>
      </c>
      <c r="R3354" s="9" t="s">
        <v>95</v>
      </c>
      <c r="S3354" s="7" t="s">
        <v>570</v>
      </c>
      <c r="T3354" s="9" t="s">
        <v>68</v>
      </c>
      <c r="U3354" s="7">
        <v>0.56000000000000005</v>
      </c>
      <c r="V3354" s="12">
        <f>C3354+2</f>
        <v>40193</v>
      </c>
      <c r="W3354">
        <f>IF(D3354=' Pivot Tables'!$A$4,1,0)</f>
        <v>1</v>
      </c>
      <c r="X3354">
        <f>IF(AND(LEFT(D3354,4)+1=LEFT(' Pivot Tables'!$A$4,4)+0,RIGHT(LEFT(D3354,7),2)=RIGHT(LEFT(' Pivot Tables'!$A$4,7),2)),1,0)</f>
        <v>0</v>
      </c>
      <c r="Y3354" s="6">
        <f>1/COUNTIF(Таблица1[Order ID],Таблица1[[#This Row],[Order ID]])</f>
        <v>0.5</v>
      </c>
      <c r="Z3354" s="9">
        <f>1/COUNTIFS(Таблица1[Customer Name],Таблица1[[#This Row],[Customer Name]],Таблица1[Order-Year-Month],Таблица1[[#This Row],[Order-Year-Month]])</f>
        <v>0.5</v>
      </c>
    </row>
    <row r="3355" spans="1:26" x14ac:dyDescent="0.2">
      <c r="A3355" s="6">
        <v>1795</v>
      </c>
      <c r="B3355" s="7">
        <v>12868</v>
      </c>
      <c r="C3355" s="8">
        <f>DATE(2012,12,31)-671</f>
        <v>40603</v>
      </c>
      <c r="D3355" s="8" t="str">
        <f t="shared" si="65"/>
        <v>2011-03 (март 2011)</v>
      </c>
      <c r="E3355" s="9" t="s">
        <v>78</v>
      </c>
      <c r="F3355" s="7">
        <v>31</v>
      </c>
      <c r="G3355" s="7">
        <v>53.33</v>
      </c>
      <c r="H3355" s="7">
        <v>0.09</v>
      </c>
      <c r="I3355" s="9" t="s">
        <v>22</v>
      </c>
      <c r="J3355" s="10">
        <v>-2.44</v>
      </c>
      <c r="K3355" s="11">
        <v>1.76</v>
      </c>
      <c r="L3355" s="11">
        <v>0.7</v>
      </c>
      <c r="M3355" s="9" t="s">
        <v>1467</v>
      </c>
      <c r="N3355" s="6" t="s">
        <v>1595</v>
      </c>
      <c r="O3355" s="6" t="s">
        <v>1595</v>
      </c>
      <c r="P3355" s="9" t="s">
        <v>33</v>
      </c>
      <c r="Q3355" s="9" t="s">
        <v>26</v>
      </c>
      <c r="R3355" s="9" t="s">
        <v>95</v>
      </c>
      <c r="S3355" s="7" t="s">
        <v>387</v>
      </c>
      <c r="T3355" s="9" t="s">
        <v>68</v>
      </c>
      <c r="U3355" s="7">
        <v>0.56000000000000005</v>
      </c>
      <c r="V3355" s="12">
        <f>C3355+1</f>
        <v>40604</v>
      </c>
      <c r="W3355">
        <f>IF(D3355=' Pivot Tables'!$A$4,1,0)</f>
        <v>0</v>
      </c>
      <c r="X3355">
        <f>IF(AND(LEFT(D3355,4)+1=LEFT(' Pivot Tables'!$A$4,4)+0,RIGHT(LEFT(D3355,7),2)=RIGHT(LEFT(' Pivot Tables'!$A$4,7),2)),1,0)</f>
        <v>0</v>
      </c>
      <c r="Y3355" s="6">
        <f>1/COUNTIF(Таблица1[Order ID],Таблица1[[#This Row],[Order ID]])</f>
        <v>0.5</v>
      </c>
      <c r="Z3355" s="9">
        <f>1/COUNTIFS(Таблица1[Customer Name],Таблица1[[#This Row],[Customer Name]],Таблица1[Order-Year-Month],Таблица1[[#This Row],[Order-Year-Month]])</f>
        <v>0.5</v>
      </c>
    </row>
    <row r="3356" spans="1:26" x14ac:dyDescent="0.2">
      <c r="A3356" s="6">
        <v>1809</v>
      </c>
      <c r="B3356" s="7">
        <v>12931</v>
      </c>
      <c r="C3356" s="8">
        <f>DATE(2012,12,31)-251</f>
        <v>41023</v>
      </c>
      <c r="D3356" s="8" t="str">
        <f t="shared" si="65"/>
        <v>2012-04 (апрель 2012)</v>
      </c>
      <c r="E3356" s="9" t="s">
        <v>63</v>
      </c>
      <c r="F3356" s="7">
        <v>11</v>
      </c>
      <c r="G3356" s="7">
        <v>653.91999999999996</v>
      </c>
      <c r="H3356" s="7">
        <v>0.02</v>
      </c>
      <c r="I3356" s="9" t="s">
        <v>22</v>
      </c>
      <c r="J3356" s="10">
        <v>52.89</v>
      </c>
      <c r="K3356" s="11">
        <v>59.76</v>
      </c>
      <c r="L3356" s="11">
        <v>9.7100000000000009</v>
      </c>
      <c r="M3356" s="9" t="s">
        <v>1591</v>
      </c>
      <c r="N3356" s="6" t="s">
        <v>1595</v>
      </c>
      <c r="O3356" s="6" t="s">
        <v>1595</v>
      </c>
      <c r="P3356" s="9" t="s">
        <v>60</v>
      </c>
      <c r="Q3356" s="9" t="s">
        <v>26</v>
      </c>
      <c r="R3356" s="9" t="s">
        <v>27</v>
      </c>
      <c r="S3356" s="7" t="s">
        <v>1617</v>
      </c>
      <c r="T3356" s="9" t="s">
        <v>39</v>
      </c>
      <c r="U3356" s="7">
        <v>0.56999999999999995</v>
      </c>
      <c r="V3356" s="12">
        <f>C3356+1</f>
        <v>41024</v>
      </c>
      <c r="W3356">
        <f>IF(D3356=' Pivot Tables'!$A$4,1,0)</f>
        <v>0</v>
      </c>
      <c r="X3356">
        <f>IF(AND(LEFT(D3356,4)+1=LEFT(' Pivot Tables'!$A$4,4)+0,RIGHT(LEFT(D3356,7),2)=RIGHT(LEFT(' Pivot Tables'!$A$4,7),2)),1,0)</f>
        <v>0</v>
      </c>
      <c r="Y3356" s="6">
        <f>1/COUNTIF(Таблица1[Order ID],Таблица1[[#This Row],[Order ID]])</f>
        <v>1</v>
      </c>
      <c r="Z3356" s="9">
        <f>1/COUNTIFS(Таблица1[Customer Name],Таблица1[[#This Row],[Customer Name]],Таблица1[Order-Year-Month],Таблица1[[#This Row],[Order-Year-Month]])</f>
        <v>1</v>
      </c>
    </row>
    <row r="3357" spans="1:26" x14ac:dyDescent="0.2">
      <c r="A3357" s="6">
        <v>1815</v>
      </c>
      <c r="B3357" s="7">
        <v>13027</v>
      </c>
      <c r="C3357" s="8">
        <f>DATE(2012,12,31)-351</f>
        <v>40923</v>
      </c>
      <c r="D3357" s="8" t="str">
        <f t="shared" si="65"/>
        <v>2012-01 (январь 2012)</v>
      </c>
      <c r="E3357" s="9" t="s">
        <v>78</v>
      </c>
      <c r="F3357" s="7">
        <v>42</v>
      </c>
      <c r="G3357" s="7">
        <v>290.68</v>
      </c>
      <c r="H3357" s="7">
        <v>0.03</v>
      </c>
      <c r="I3357" s="9" t="s">
        <v>22</v>
      </c>
      <c r="J3357" s="10">
        <v>-93.5</v>
      </c>
      <c r="K3357" s="11">
        <v>6.78</v>
      </c>
      <c r="L3357" s="11">
        <v>6.18</v>
      </c>
      <c r="M3357" s="9" t="s">
        <v>1487</v>
      </c>
      <c r="N3357" s="6" t="s">
        <v>1595</v>
      </c>
      <c r="O3357" s="6" t="s">
        <v>1595</v>
      </c>
      <c r="P3357" s="9" t="s">
        <v>25</v>
      </c>
      <c r="Q3357" s="9" t="s">
        <v>26</v>
      </c>
      <c r="R3357" s="9" t="s">
        <v>61</v>
      </c>
      <c r="S3357" s="7" t="s">
        <v>814</v>
      </c>
      <c r="T3357" s="9" t="s">
        <v>39</v>
      </c>
      <c r="U3357" s="7">
        <v>0.39</v>
      </c>
      <c r="V3357" s="12">
        <f>C3357+2</f>
        <v>40925</v>
      </c>
      <c r="W3357">
        <f>IF(D3357=' Pivot Tables'!$A$4,1,0)</f>
        <v>0</v>
      </c>
      <c r="X3357">
        <f>IF(AND(LEFT(D3357,4)+1=LEFT(' Pivot Tables'!$A$4,4)+0,RIGHT(LEFT(D3357,7),2)=RIGHT(LEFT(' Pivot Tables'!$A$4,7),2)),1,0)</f>
        <v>0</v>
      </c>
      <c r="Y3357" s="6">
        <f>1/COUNTIF(Таблица1[Order ID],Таблица1[[#This Row],[Order ID]])</f>
        <v>1</v>
      </c>
      <c r="Z3357" s="9">
        <f>1/COUNTIFS(Таблица1[Customer Name],Таблица1[[#This Row],[Customer Name]],Таблица1[Order-Year-Month],Таблица1[[#This Row],[Order-Year-Month]])</f>
        <v>1</v>
      </c>
    </row>
    <row r="3358" spans="1:26" x14ac:dyDescent="0.2">
      <c r="A3358" s="6">
        <v>1873</v>
      </c>
      <c r="B3358" s="7">
        <v>13476</v>
      </c>
      <c r="C3358" s="8">
        <f>DATE(2012,12,31)-807</f>
        <v>40467</v>
      </c>
      <c r="D3358" s="8" t="str">
        <f t="shared" si="65"/>
        <v>2010-10 (октябрь 2010)</v>
      </c>
      <c r="E3358" s="9" t="s">
        <v>45</v>
      </c>
      <c r="F3358" s="7">
        <v>47</v>
      </c>
      <c r="G3358" s="7">
        <v>231.29</v>
      </c>
      <c r="H3358" s="7">
        <v>0.09</v>
      </c>
      <c r="I3358" s="9" t="s">
        <v>56</v>
      </c>
      <c r="J3358" s="10">
        <v>-147.85550000000001</v>
      </c>
      <c r="K3358" s="11">
        <v>4.91</v>
      </c>
      <c r="L3358" s="11">
        <v>5.68</v>
      </c>
      <c r="M3358" s="9" t="s">
        <v>1383</v>
      </c>
      <c r="N3358" s="6" t="s">
        <v>1595</v>
      </c>
      <c r="O3358" s="6" t="s">
        <v>1595</v>
      </c>
      <c r="P3358" s="9" t="s">
        <v>60</v>
      </c>
      <c r="Q3358" s="9" t="s">
        <v>26</v>
      </c>
      <c r="R3358" s="9" t="s">
        <v>37</v>
      </c>
      <c r="S3358" s="7" t="s">
        <v>1345</v>
      </c>
      <c r="T3358" s="9" t="s">
        <v>39</v>
      </c>
      <c r="U3358" s="7">
        <v>0.36</v>
      </c>
      <c r="V3358" s="12">
        <f>C3358+2</f>
        <v>40469</v>
      </c>
      <c r="W3358">
        <f>IF(D3358=' Pivot Tables'!$A$4,1,0)</f>
        <v>0</v>
      </c>
      <c r="X3358">
        <f>IF(AND(LEFT(D3358,4)+1=LEFT(' Pivot Tables'!$A$4,4)+0,RIGHT(LEFT(D3358,7),2)=RIGHT(LEFT(' Pivot Tables'!$A$4,7),2)),1,0)</f>
        <v>0</v>
      </c>
      <c r="Y3358" s="6">
        <f>1/COUNTIF(Таблица1[Order ID],Таблица1[[#This Row],[Order ID]])</f>
        <v>0.33333333333333331</v>
      </c>
      <c r="Z3358" s="9">
        <f>1/COUNTIFS(Таблица1[Customer Name],Таблица1[[#This Row],[Customer Name]],Таблица1[Order-Year-Month],Таблица1[[#This Row],[Order-Year-Month]])</f>
        <v>0.33333333333333331</v>
      </c>
    </row>
    <row r="3359" spans="1:26" x14ac:dyDescent="0.2">
      <c r="A3359" s="6">
        <v>1891</v>
      </c>
      <c r="B3359" s="7">
        <v>13572</v>
      </c>
      <c r="C3359" s="8">
        <f>DATE(2012,12,31)-228</f>
        <v>41046</v>
      </c>
      <c r="D3359" s="8" t="str">
        <f t="shared" si="65"/>
        <v>2012-05 (май 2012)</v>
      </c>
      <c r="E3359" s="9" t="s">
        <v>78</v>
      </c>
      <c r="F3359" s="7">
        <v>7</v>
      </c>
      <c r="G3359" s="7">
        <v>40.11</v>
      </c>
      <c r="H3359" s="7">
        <v>7.0000000000000007E-2</v>
      </c>
      <c r="I3359" s="9" t="s">
        <v>22</v>
      </c>
      <c r="J3359" s="10">
        <v>-43.71</v>
      </c>
      <c r="K3359" s="11">
        <v>5.0199999999999996</v>
      </c>
      <c r="L3359" s="11">
        <v>5.14</v>
      </c>
      <c r="M3359" s="9" t="s">
        <v>1582</v>
      </c>
      <c r="N3359" s="6" t="s">
        <v>1595</v>
      </c>
      <c r="O3359" s="6" t="s">
        <v>1595</v>
      </c>
      <c r="P3359" s="9" t="s">
        <v>60</v>
      </c>
      <c r="Q3359" s="9" t="s">
        <v>42</v>
      </c>
      <c r="R3359" s="9" t="s">
        <v>70</v>
      </c>
      <c r="S3359" s="7" t="s">
        <v>361</v>
      </c>
      <c r="T3359" s="9" t="s">
        <v>52</v>
      </c>
      <c r="U3359" s="7">
        <v>0.79</v>
      </c>
      <c r="V3359" s="12">
        <f>C3359+1</f>
        <v>41047</v>
      </c>
      <c r="W3359">
        <f>IF(D3359=' Pivot Tables'!$A$4,1,0)</f>
        <v>0</v>
      </c>
      <c r="X3359">
        <f>IF(AND(LEFT(D3359,4)+1=LEFT(' Pivot Tables'!$A$4,4)+0,RIGHT(LEFT(D3359,7),2)=RIGHT(LEFT(' Pivot Tables'!$A$4,7),2)),1,0)</f>
        <v>0</v>
      </c>
      <c r="Y3359" s="6">
        <f>1/COUNTIF(Таблица1[Order ID],Таблица1[[#This Row],[Order ID]])</f>
        <v>1</v>
      </c>
      <c r="Z3359" s="9">
        <f>1/COUNTIFS(Таблица1[Customer Name],Таблица1[[#This Row],[Customer Name]],Таблица1[Order-Year-Month],Таблица1[[#This Row],[Order-Year-Month]])</f>
        <v>1</v>
      </c>
    </row>
    <row r="3360" spans="1:26" x14ac:dyDescent="0.2">
      <c r="A3360" s="6">
        <v>1916</v>
      </c>
      <c r="B3360" s="7">
        <v>13731</v>
      </c>
      <c r="C3360" s="8">
        <f>DATE(2012,12,31)-967</f>
        <v>40307</v>
      </c>
      <c r="D3360" s="8" t="str">
        <f t="shared" si="65"/>
        <v>2010-05 (май 2010)</v>
      </c>
      <c r="E3360" s="9" t="s">
        <v>45</v>
      </c>
      <c r="F3360" s="7">
        <v>10</v>
      </c>
      <c r="G3360" s="7">
        <v>44.08</v>
      </c>
      <c r="H3360" s="7">
        <v>0.08</v>
      </c>
      <c r="I3360" s="9" t="s">
        <v>22</v>
      </c>
      <c r="J3360" s="10">
        <v>6.79</v>
      </c>
      <c r="K3360" s="11">
        <v>4.4800000000000004</v>
      </c>
      <c r="L3360" s="11">
        <v>1.22</v>
      </c>
      <c r="M3360" s="9" t="s">
        <v>1489</v>
      </c>
      <c r="N3360" s="6" t="s">
        <v>1595</v>
      </c>
      <c r="O3360" s="6" t="s">
        <v>1595</v>
      </c>
      <c r="P3360" s="9" t="s">
        <v>25</v>
      </c>
      <c r="Q3360" s="9" t="s">
        <v>26</v>
      </c>
      <c r="R3360" s="9" t="s">
        <v>61</v>
      </c>
      <c r="S3360" s="7" t="s">
        <v>222</v>
      </c>
      <c r="T3360" s="9" t="s">
        <v>68</v>
      </c>
      <c r="U3360" s="7">
        <v>0.36</v>
      </c>
      <c r="V3360" s="12">
        <f>C3360+3</f>
        <v>40310</v>
      </c>
      <c r="W3360">
        <f>IF(D3360=' Pivot Tables'!$A$4,1,0)</f>
        <v>0</v>
      </c>
      <c r="X3360">
        <f>IF(AND(LEFT(D3360,4)+1=LEFT(' Pivot Tables'!$A$4,4)+0,RIGHT(LEFT(D3360,7),2)=RIGHT(LEFT(' Pivot Tables'!$A$4,7),2)),1,0)</f>
        <v>0</v>
      </c>
      <c r="Y3360" s="6">
        <f>1/COUNTIF(Таблица1[Order ID],Таблица1[[#This Row],[Order ID]])</f>
        <v>1</v>
      </c>
      <c r="Z3360" s="9">
        <f>1/COUNTIFS(Таблица1[Customer Name],Таблица1[[#This Row],[Customer Name]],Таблица1[Order-Year-Month],Таблица1[[#This Row],[Order-Year-Month]])</f>
        <v>1</v>
      </c>
    </row>
    <row r="3361" spans="1:26" x14ac:dyDescent="0.2">
      <c r="A3361" s="6">
        <v>1971</v>
      </c>
      <c r="B3361" s="7">
        <v>14112</v>
      </c>
      <c r="C3361" s="8">
        <f>DATE(2012,12,31)-1256</f>
        <v>40018</v>
      </c>
      <c r="D3361" s="8" t="str">
        <f t="shared" si="65"/>
        <v>2009-07 (июль 2009)</v>
      </c>
      <c r="E3361" s="9" t="s">
        <v>21</v>
      </c>
      <c r="F3361" s="7">
        <v>1</v>
      </c>
      <c r="G3361" s="7">
        <v>68.45</v>
      </c>
      <c r="H3361" s="7">
        <v>0.02</v>
      </c>
      <c r="I3361" s="9" t="s">
        <v>56</v>
      </c>
      <c r="J3361" s="10">
        <v>-25.76</v>
      </c>
      <c r="K3361" s="11">
        <v>50.98</v>
      </c>
      <c r="L3361" s="11">
        <v>13.66</v>
      </c>
      <c r="M3361" s="9" t="s">
        <v>1520</v>
      </c>
      <c r="N3361" s="6" t="s">
        <v>1595</v>
      </c>
      <c r="O3361" s="6" t="s">
        <v>1595</v>
      </c>
      <c r="P3361" s="9" t="s">
        <v>41</v>
      </c>
      <c r="Q3361" s="9" t="s">
        <v>26</v>
      </c>
      <c r="R3361" s="9" t="s">
        <v>34</v>
      </c>
      <c r="S3361" s="7" t="s">
        <v>517</v>
      </c>
      <c r="T3361" s="9" t="s">
        <v>39</v>
      </c>
      <c r="U3361" s="7">
        <v>0.57999999999999996</v>
      </c>
      <c r="V3361" s="12">
        <f>C3361+0</f>
        <v>40018</v>
      </c>
      <c r="W3361">
        <f>IF(D3361=' Pivot Tables'!$A$4,1,0)</f>
        <v>0</v>
      </c>
      <c r="X3361">
        <f>IF(AND(LEFT(D3361,4)+1=LEFT(' Pivot Tables'!$A$4,4)+0,RIGHT(LEFT(D3361,7),2)=RIGHT(LEFT(' Pivot Tables'!$A$4,7),2)),1,0)</f>
        <v>0</v>
      </c>
      <c r="Y3361" s="6">
        <f>1/COUNTIF(Таблица1[Order ID],Таблица1[[#This Row],[Order ID]])</f>
        <v>1</v>
      </c>
      <c r="Z3361" s="9">
        <f>1/COUNTIFS(Таблица1[Customer Name],Таблица1[[#This Row],[Customer Name]],Таблица1[Order-Year-Month],Таблица1[[#This Row],[Order-Year-Month]])</f>
        <v>1</v>
      </c>
    </row>
    <row r="3362" spans="1:26" x14ac:dyDescent="0.2">
      <c r="A3362" s="6">
        <v>1974</v>
      </c>
      <c r="B3362" s="7">
        <v>14114</v>
      </c>
      <c r="C3362" s="8">
        <f>DATE(2012,12,31)-1365</f>
        <v>39909</v>
      </c>
      <c r="D3362" s="8" t="str">
        <f t="shared" si="65"/>
        <v>2009-04 (апрель 2009)</v>
      </c>
      <c r="E3362" s="9" t="s">
        <v>78</v>
      </c>
      <c r="F3362" s="7">
        <v>38</v>
      </c>
      <c r="G3362" s="7">
        <v>6532.48</v>
      </c>
      <c r="H3362" s="7">
        <v>0.01</v>
      </c>
      <c r="I3362" s="9" t="s">
        <v>31</v>
      </c>
      <c r="J3362" s="10">
        <v>538.52</v>
      </c>
      <c r="K3362" s="11">
        <v>170.98</v>
      </c>
      <c r="L3362" s="11">
        <v>35.89</v>
      </c>
      <c r="M3362" s="9" t="s">
        <v>1545</v>
      </c>
      <c r="N3362" s="6" t="s">
        <v>1595</v>
      </c>
      <c r="O3362" s="6" t="s">
        <v>1595</v>
      </c>
      <c r="P3362" s="9" t="s">
        <v>25</v>
      </c>
      <c r="Q3362" s="9" t="s">
        <v>49</v>
      </c>
      <c r="R3362" s="9" t="s">
        <v>80</v>
      </c>
      <c r="S3362" s="7" t="s">
        <v>964</v>
      </c>
      <c r="T3362" s="9" t="s">
        <v>82</v>
      </c>
      <c r="U3362" s="7">
        <v>0.66</v>
      </c>
      <c r="V3362" s="12">
        <f>C3362+2</f>
        <v>39911</v>
      </c>
      <c r="W3362">
        <f>IF(D3362=' Pivot Tables'!$A$4,1,0)</f>
        <v>0</v>
      </c>
      <c r="X3362">
        <f>IF(AND(LEFT(D3362,4)+1=LEFT(' Pivot Tables'!$A$4,4)+0,RIGHT(LEFT(D3362,7),2)=RIGHT(LEFT(' Pivot Tables'!$A$4,7),2)),1,0)</f>
        <v>0</v>
      </c>
      <c r="Y3362" s="6">
        <f>1/COUNTIF(Таблица1[Order ID],Таблица1[[#This Row],[Order ID]])</f>
        <v>0.33333333333333331</v>
      </c>
      <c r="Z3362" s="9">
        <f>1/COUNTIFS(Таблица1[Customer Name],Таблица1[[#This Row],[Customer Name]],Таблица1[Order-Year-Month],Таблица1[[#This Row],[Order-Year-Month]])</f>
        <v>0.33333333333333331</v>
      </c>
    </row>
    <row r="3363" spans="1:26" x14ac:dyDescent="0.2">
      <c r="A3363" s="6">
        <v>1975</v>
      </c>
      <c r="B3363" s="7">
        <v>14114</v>
      </c>
      <c r="C3363" s="8">
        <f>DATE(2012,12,31)-1365</f>
        <v>39909</v>
      </c>
      <c r="D3363" s="8" t="str">
        <f t="shared" si="65"/>
        <v>2009-04 (апрель 2009)</v>
      </c>
      <c r="E3363" s="9" t="s">
        <v>78</v>
      </c>
      <c r="F3363" s="7">
        <v>41</v>
      </c>
      <c r="G3363" s="7">
        <v>241.9</v>
      </c>
      <c r="H3363" s="7">
        <v>0.05</v>
      </c>
      <c r="I3363" s="9" t="s">
        <v>22</v>
      </c>
      <c r="J3363" s="10">
        <v>-136.69999999999999</v>
      </c>
      <c r="K3363" s="11">
        <v>5.77</v>
      </c>
      <c r="L3363" s="11">
        <v>5.92</v>
      </c>
      <c r="M3363" s="9" t="s">
        <v>1545</v>
      </c>
      <c r="N3363" s="6" t="s">
        <v>1595</v>
      </c>
      <c r="O3363" s="6" t="s">
        <v>1595</v>
      </c>
      <c r="P3363" s="9" t="s">
        <v>25</v>
      </c>
      <c r="Q3363" s="9" t="s">
        <v>49</v>
      </c>
      <c r="R3363" s="9" t="s">
        <v>50</v>
      </c>
      <c r="S3363" s="7" t="s">
        <v>1647</v>
      </c>
      <c r="T3363" s="9" t="s">
        <v>48</v>
      </c>
      <c r="U3363" s="7">
        <v>0.55000000000000004</v>
      </c>
      <c r="V3363" s="12">
        <f>C3363+0</f>
        <v>39909</v>
      </c>
      <c r="W3363">
        <f>IF(D3363=' Pivot Tables'!$A$4,1,0)</f>
        <v>0</v>
      </c>
      <c r="X3363">
        <f>IF(AND(LEFT(D3363,4)+1=LEFT(' Pivot Tables'!$A$4,4)+0,RIGHT(LEFT(D3363,7),2)=RIGHT(LEFT(' Pivot Tables'!$A$4,7),2)),1,0)</f>
        <v>0</v>
      </c>
      <c r="Y3363" s="6">
        <f>1/COUNTIF(Таблица1[Order ID],Таблица1[[#This Row],[Order ID]])</f>
        <v>0.33333333333333331</v>
      </c>
      <c r="Z3363" s="9">
        <f>1/COUNTIFS(Таблица1[Customer Name],Таблица1[[#This Row],[Customer Name]],Таблица1[Order-Year-Month],Таблица1[[#This Row],[Order-Year-Month]])</f>
        <v>0.33333333333333331</v>
      </c>
    </row>
    <row r="3364" spans="1:26" x14ac:dyDescent="0.2">
      <c r="A3364" s="6">
        <v>2099</v>
      </c>
      <c r="B3364" s="7">
        <v>15009</v>
      </c>
      <c r="C3364" s="8">
        <f>DATE(2012,12,31)-376</f>
        <v>40898</v>
      </c>
      <c r="D3364" s="8" t="str">
        <f t="shared" si="65"/>
        <v>2011-12 (декабрь 2011)</v>
      </c>
      <c r="E3364" s="9" t="s">
        <v>45</v>
      </c>
      <c r="F3364" s="7">
        <v>46</v>
      </c>
      <c r="G3364" s="7">
        <v>1200.1300000000001</v>
      </c>
      <c r="H3364" s="7">
        <v>0.09</v>
      </c>
      <c r="I3364" s="9" t="s">
        <v>56</v>
      </c>
      <c r="J3364" s="10">
        <v>-7.8</v>
      </c>
      <c r="K3364" s="11">
        <v>28.15</v>
      </c>
      <c r="L3364" s="11">
        <v>8.99</v>
      </c>
      <c r="M3364" s="9" t="s">
        <v>1530</v>
      </c>
      <c r="N3364" s="6" t="s">
        <v>1595</v>
      </c>
      <c r="O3364" s="6" t="s">
        <v>1595</v>
      </c>
      <c r="P3364" s="9" t="s">
        <v>25</v>
      </c>
      <c r="Q3364" s="9" t="s">
        <v>26</v>
      </c>
      <c r="R3364" s="9" t="s">
        <v>95</v>
      </c>
      <c r="S3364" s="7" t="s">
        <v>155</v>
      </c>
      <c r="T3364" s="9" t="s">
        <v>52</v>
      </c>
      <c r="U3364" s="7">
        <v>0.56999999999999995</v>
      </c>
      <c r="V3364" s="12">
        <f>C3364+2</f>
        <v>40900</v>
      </c>
      <c r="W3364">
        <f>IF(D3364=' Pivot Tables'!$A$4,1,0)</f>
        <v>0</v>
      </c>
      <c r="X3364">
        <f>IF(AND(LEFT(D3364,4)+1=LEFT(' Pivot Tables'!$A$4,4)+0,RIGHT(LEFT(D3364,7),2)=RIGHT(LEFT(' Pivot Tables'!$A$4,7),2)),1,0)</f>
        <v>0</v>
      </c>
      <c r="Y3364" s="6">
        <f>1/COUNTIF(Таблица1[Order ID],Таблица1[[#This Row],[Order ID]])</f>
        <v>0.5</v>
      </c>
      <c r="Z3364" s="9">
        <f>1/COUNTIFS(Таблица1[Customer Name],Таблица1[[#This Row],[Customer Name]],Таблица1[Order-Year-Month],Таблица1[[#This Row],[Order-Year-Month]])</f>
        <v>0.5</v>
      </c>
    </row>
    <row r="3365" spans="1:26" x14ac:dyDescent="0.2">
      <c r="A3365" s="6">
        <v>2152</v>
      </c>
      <c r="B3365" s="7">
        <v>15399</v>
      </c>
      <c r="C3365" s="8">
        <f>DATE(2012,12,31)-232</f>
        <v>41042</v>
      </c>
      <c r="D3365" s="8" t="str">
        <f t="shared" si="65"/>
        <v>2012-05 (май 2012)</v>
      </c>
      <c r="E3365" s="9" t="s">
        <v>78</v>
      </c>
      <c r="F3365" s="7">
        <v>7</v>
      </c>
      <c r="G3365" s="7">
        <v>2202.4499999999998</v>
      </c>
      <c r="H3365" s="7">
        <v>0.01</v>
      </c>
      <c r="I3365" s="9" t="s">
        <v>31</v>
      </c>
      <c r="J3365" s="10">
        <v>-51.280000000000086</v>
      </c>
      <c r="K3365" s="11">
        <v>284.98</v>
      </c>
      <c r="L3365" s="11">
        <v>69.55</v>
      </c>
      <c r="M3365" s="9" t="s">
        <v>1578</v>
      </c>
      <c r="N3365" s="6" t="s">
        <v>1595</v>
      </c>
      <c r="O3365" s="6" t="s">
        <v>1595</v>
      </c>
      <c r="P3365" s="9" t="s">
        <v>25</v>
      </c>
      <c r="Q3365" s="9" t="s">
        <v>49</v>
      </c>
      <c r="R3365" s="9" t="s">
        <v>112</v>
      </c>
      <c r="S3365" s="7" t="s">
        <v>834</v>
      </c>
      <c r="T3365" s="9" t="s">
        <v>36</v>
      </c>
      <c r="U3365" s="7">
        <v>0.6</v>
      </c>
      <c r="V3365" s="12">
        <f>C3365+2</f>
        <v>41044</v>
      </c>
      <c r="W3365">
        <f>IF(D3365=' Pivot Tables'!$A$4,1,0)</f>
        <v>0</v>
      </c>
      <c r="X3365">
        <f>IF(AND(LEFT(D3365,4)+1=LEFT(' Pivot Tables'!$A$4,4)+0,RIGHT(LEFT(D3365,7),2)=RIGHT(LEFT(' Pivot Tables'!$A$4,7),2)),1,0)</f>
        <v>0</v>
      </c>
      <c r="Y3365" s="6">
        <f>1/COUNTIF(Таблица1[Order ID],Таблица1[[#This Row],[Order ID]])</f>
        <v>0.33333333333333331</v>
      </c>
      <c r="Z3365" s="9">
        <f>1/COUNTIFS(Таблица1[Customer Name],Таблица1[[#This Row],[Customer Name]],Таблица1[Order-Year-Month],Таблица1[[#This Row],[Order-Year-Month]])</f>
        <v>0.33333333333333331</v>
      </c>
    </row>
    <row r="3366" spans="1:26" x14ac:dyDescent="0.2">
      <c r="A3366" s="6">
        <v>2218</v>
      </c>
      <c r="B3366" s="7">
        <v>16036</v>
      </c>
      <c r="C3366" s="8">
        <f>DATE(2012,12,31)-361</f>
        <v>40913</v>
      </c>
      <c r="D3366" s="8" t="str">
        <f t="shared" si="65"/>
        <v>2012-01 (январь 2012)</v>
      </c>
      <c r="E3366" s="9" t="s">
        <v>63</v>
      </c>
      <c r="F3366" s="7">
        <v>28</v>
      </c>
      <c r="G3366" s="7">
        <v>169.22</v>
      </c>
      <c r="H3366" s="7">
        <v>0.05</v>
      </c>
      <c r="I3366" s="9" t="s">
        <v>22</v>
      </c>
      <c r="J3366" s="10">
        <v>-165.10550000000001</v>
      </c>
      <c r="K3366" s="11">
        <v>5.81</v>
      </c>
      <c r="L3366" s="11">
        <v>8.49</v>
      </c>
      <c r="M3366" s="9" t="s">
        <v>1473</v>
      </c>
      <c r="N3366" s="6" t="s">
        <v>1595</v>
      </c>
      <c r="O3366" s="6" t="s">
        <v>1595</v>
      </c>
      <c r="P3366" s="9" t="s">
        <v>41</v>
      </c>
      <c r="Q3366" s="9" t="s">
        <v>26</v>
      </c>
      <c r="R3366" s="9" t="s">
        <v>37</v>
      </c>
      <c r="S3366" s="7" t="s">
        <v>213</v>
      </c>
      <c r="T3366" s="9" t="s">
        <v>39</v>
      </c>
      <c r="U3366" s="7">
        <v>0.39</v>
      </c>
      <c r="V3366" s="12">
        <f>C3366+2</f>
        <v>40915</v>
      </c>
      <c r="W3366">
        <f>IF(D3366=' Pivot Tables'!$A$4,1,0)</f>
        <v>0</v>
      </c>
      <c r="X3366">
        <f>IF(AND(LEFT(D3366,4)+1=LEFT(' Pivot Tables'!$A$4,4)+0,RIGHT(LEFT(D3366,7),2)=RIGHT(LEFT(' Pivot Tables'!$A$4,7),2)),1,0)</f>
        <v>0</v>
      </c>
      <c r="Y3366" s="6">
        <f>1/COUNTIF(Таблица1[Order ID],Таблица1[[#This Row],[Order ID]])</f>
        <v>0.25</v>
      </c>
      <c r="Z3366" s="9">
        <f>1/COUNTIFS(Таблица1[Customer Name],Таблица1[[#This Row],[Customer Name]],Таблица1[Order-Year-Month],Таблица1[[#This Row],[Order-Year-Month]])</f>
        <v>0.25</v>
      </c>
    </row>
    <row r="3367" spans="1:26" x14ac:dyDescent="0.2">
      <c r="A3367" s="6">
        <v>2219</v>
      </c>
      <c r="B3367" s="7">
        <v>16036</v>
      </c>
      <c r="C3367" s="8">
        <f>DATE(2012,12,31)-361</f>
        <v>40913</v>
      </c>
      <c r="D3367" s="8" t="str">
        <f t="shared" si="65"/>
        <v>2012-01 (январь 2012)</v>
      </c>
      <c r="E3367" s="9" t="s">
        <v>63</v>
      </c>
      <c r="F3367" s="7">
        <v>10</v>
      </c>
      <c r="G3367" s="7">
        <v>1319.421</v>
      </c>
      <c r="H3367" s="7">
        <v>7.0000000000000007E-2</v>
      </c>
      <c r="I3367" s="9" t="s">
        <v>22</v>
      </c>
      <c r="J3367" s="10">
        <v>-268.87299999999999</v>
      </c>
      <c r="K3367" s="11">
        <v>155.99</v>
      </c>
      <c r="L3367" s="11">
        <v>8.08</v>
      </c>
      <c r="M3367" s="9" t="s">
        <v>1473</v>
      </c>
      <c r="N3367" s="6" t="s">
        <v>1595</v>
      </c>
      <c r="O3367" s="6" t="s">
        <v>1595</v>
      </c>
      <c r="P3367" s="9" t="s">
        <v>41</v>
      </c>
      <c r="Q3367" s="9" t="s">
        <v>42</v>
      </c>
      <c r="R3367" s="9" t="s">
        <v>43</v>
      </c>
      <c r="S3367" s="7" t="s">
        <v>867</v>
      </c>
      <c r="T3367" s="9" t="s">
        <v>39</v>
      </c>
      <c r="U3367" s="7">
        <v>0.6</v>
      </c>
      <c r="V3367" s="12">
        <f>C3367+1</f>
        <v>40914</v>
      </c>
      <c r="W3367">
        <f>IF(D3367=' Pivot Tables'!$A$4,1,0)</f>
        <v>0</v>
      </c>
      <c r="X3367">
        <f>IF(AND(LEFT(D3367,4)+1=LEFT(' Pivot Tables'!$A$4,4)+0,RIGHT(LEFT(D3367,7),2)=RIGHT(LEFT(' Pivot Tables'!$A$4,7),2)),1,0)</f>
        <v>0</v>
      </c>
      <c r="Y3367" s="6">
        <f>1/COUNTIF(Таблица1[Order ID],Таблица1[[#This Row],[Order ID]])</f>
        <v>0.25</v>
      </c>
      <c r="Z3367" s="9">
        <f>1/COUNTIFS(Таблица1[Customer Name],Таблица1[[#This Row],[Customer Name]],Таблица1[Order-Year-Month],Таблица1[[#This Row],[Order-Year-Month]])</f>
        <v>0.25</v>
      </c>
    </row>
    <row r="3368" spans="1:26" x14ac:dyDescent="0.2">
      <c r="A3368" s="6">
        <v>2220</v>
      </c>
      <c r="B3368" s="7">
        <v>16036</v>
      </c>
      <c r="C3368" s="8">
        <f>DATE(2012,12,31)-361</f>
        <v>40913</v>
      </c>
      <c r="D3368" s="8" t="str">
        <f t="shared" si="65"/>
        <v>2012-01 (январь 2012)</v>
      </c>
      <c r="E3368" s="9" t="s">
        <v>63</v>
      </c>
      <c r="F3368" s="7">
        <v>33</v>
      </c>
      <c r="G3368" s="7">
        <v>550.92999999999995</v>
      </c>
      <c r="H3368" s="7">
        <v>0.1</v>
      </c>
      <c r="I3368" s="9" t="s">
        <v>22</v>
      </c>
      <c r="J3368" s="10">
        <v>-141.6</v>
      </c>
      <c r="K3368" s="11">
        <v>17.7</v>
      </c>
      <c r="L3368" s="11">
        <v>9.4700000000000006</v>
      </c>
      <c r="M3368" s="9" t="s">
        <v>1473</v>
      </c>
      <c r="N3368" s="6" t="s">
        <v>1595</v>
      </c>
      <c r="O3368" s="6" t="s">
        <v>1595</v>
      </c>
      <c r="P3368" s="9" t="s">
        <v>41</v>
      </c>
      <c r="Q3368" s="9" t="s">
        <v>26</v>
      </c>
      <c r="R3368" s="9" t="s">
        <v>27</v>
      </c>
      <c r="S3368" s="7" t="s">
        <v>1446</v>
      </c>
      <c r="T3368" s="9" t="s">
        <v>39</v>
      </c>
      <c r="U3368" s="7">
        <v>0.59</v>
      </c>
      <c r="V3368" s="12">
        <f>C3368+1</f>
        <v>40914</v>
      </c>
      <c r="W3368">
        <f>IF(D3368=' Pivot Tables'!$A$4,1,0)</f>
        <v>0</v>
      </c>
      <c r="X3368">
        <f>IF(AND(LEFT(D3368,4)+1=LEFT(' Pivot Tables'!$A$4,4)+0,RIGHT(LEFT(D3368,7),2)=RIGHT(LEFT(' Pivot Tables'!$A$4,7),2)),1,0)</f>
        <v>0</v>
      </c>
      <c r="Y3368" s="6">
        <f>1/COUNTIF(Таблица1[Order ID],Таблица1[[#This Row],[Order ID]])</f>
        <v>0.25</v>
      </c>
      <c r="Z3368" s="9">
        <f>1/COUNTIFS(Таблица1[Customer Name],Таблица1[[#This Row],[Customer Name]],Таблица1[Order-Year-Month],Таблица1[[#This Row],[Order-Year-Month]])</f>
        <v>0.25</v>
      </c>
    </row>
    <row r="3369" spans="1:26" x14ac:dyDescent="0.2">
      <c r="A3369" s="6">
        <v>2374</v>
      </c>
      <c r="B3369" s="7">
        <v>17216</v>
      </c>
      <c r="C3369" s="8">
        <f>DATE(2012,12,31)-218</f>
        <v>41056</v>
      </c>
      <c r="D3369" s="8" t="str">
        <f t="shared" si="65"/>
        <v>2012-05 (май 2012)</v>
      </c>
      <c r="E3369" s="9" t="s">
        <v>63</v>
      </c>
      <c r="F3369" s="7">
        <v>7</v>
      </c>
      <c r="G3369" s="7">
        <v>2236.16</v>
      </c>
      <c r="H3369" s="7">
        <v>0.05</v>
      </c>
      <c r="I3369" s="9" t="s">
        <v>31</v>
      </c>
      <c r="J3369" s="10">
        <v>-99.160000000000082</v>
      </c>
      <c r="K3369" s="11">
        <v>320.98</v>
      </c>
      <c r="L3369" s="11">
        <v>58.95</v>
      </c>
      <c r="M3369" s="9" t="s">
        <v>1462</v>
      </c>
      <c r="N3369" s="6" t="s">
        <v>1595</v>
      </c>
      <c r="O3369" s="6" t="s">
        <v>1595</v>
      </c>
      <c r="P3369" s="9" t="s">
        <v>25</v>
      </c>
      <c r="Q3369" s="9" t="s">
        <v>49</v>
      </c>
      <c r="R3369" s="9" t="s">
        <v>112</v>
      </c>
      <c r="S3369" s="7" t="s">
        <v>181</v>
      </c>
      <c r="T3369" s="9" t="s">
        <v>36</v>
      </c>
      <c r="U3369" s="7">
        <v>0.56999999999999995</v>
      </c>
      <c r="V3369" s="12">
        <f>C3369+1</f>
        <v>41057</v>
      </c>
      <c r="W3369">
        <f>IF(D3369=' Pivot Tables'!$A$4,1,0)</f>
        <v>0</v>
      </c>
      <c r="X3369">
        <f>IF(AND(LEFT(D3369,4)+1=LEFT(' Pivot Tables'!$A$4,4)+0,RIGHT(LEFT(D3369,7),2)=RIGHT(LEFT(' Pivot Tables'!$A$4,7),2)),1,0)</f>
        <v>0</v>
      </c>
      <c r="Y3369" s="6">
        <f>1/COUNTIF(Таблица1[Order ID],Таблица1[[#This Row],[Order ID]])</f>
        <v>1</v>
      </c>
      <c r="Z3369" s="9">
        <f>1/COUNTIFS(Таблица1[Customer Name],Таблица1[[#This Row],[Customer Name]],Таблица1[Order-Year-Month],Таблица1[[#This Row],[Order-Year-Month]])</f>
        <v>1</v>
      </c>
    </row>
    <row r="3370" spans="1:26" x14ac:dyDescent="0.2">
      <c r="A3370" s="6">
        <v>2436</v>
      </c>
      <c r="B3370" s="7">
        <v>17698</v>
      </c>
      <c r="C3370" s="8">
        <f>DATE(2012,12,31)-232</f>
        <v>41042</v>
      </c>
      <c r="D3370" s="8" t="str">
        <f t="shared" si="65"/>
        <v>2012-05 (май 2012)</v>
      </c>
      <c r="E3370" s="9" t="s">
        <v>30</v>
      </c>
      <c r="F3370" s="7">
        <v>43</v>
      </c>
      <c r="G3370" s="7">
        <v>1883.82</v>
      </c>
      <c r="H3370" s="7">
        <v>0.08</v>
      </c>
      <c r="I3370" s="9" t="s">
        <v>22</v>
      </c>
      <c r="J3370" s="10">
        <v>528.77</v>
      </c>
      <c r="K3370" s="11">
        <v>44.01</v>
      </c>
      <c r="L3370" s="11">
        <v>3.5</v>
      </c>
      <c r="M3370" s="9" t="s">
        <v>1558</v>
      </c>
      <c r="N3370" s="6" t="s">
        <v>1595</v>
      </c>
      <c r="O3370" s="6" t="s">
        <v>1595</v>
      </c>
      <c r="P3370" s="9" t="s">
        <v>41</v>
      </c>
      <c r="Q3370" s="9" t="s">
        <v>26</v>
      </c>
      <c r="R3370" s="9" t="s">
        <v>34</v>
      </c>
      <c r="S3370" s="7" t="s">
        <v>1648</v>
      </c>
      <c r="T3370" s="9" t="s">
        <v>39</v>
      </c>
      <c r="U3370" s="7">
        <v>0.59</v>
      </c>
      <c r="V3370" s="12">
        <f>C3370+2</f>
        <v>41044</v>
      </c>
      <c r="W3370">
        <f>IF(D3370=' Pivot Tables'!$A$4,1,0)</f>
        <v>0</v>
      </c>
      <c r="X3370">
        <f>IF(AND(LEFT(D3370,4)+1=LEFT(' Pivot Tables'!$A$4,4)+0,RIGHT(LEFT(D3370,7),2)=RIGHT(LEFT(' Pivot Tables'!$A$4,7),2)),1,0)</f>
        <v>0</v>
      </c>
      <c r="Y3370" s="6">
        <f>1/COUNTIF(Таблица1[Order ID],Таблица1[[#This Row],[Order ID]])</f>
        <v>0.33333333333333331</v>
      </c>
      <c r="Z3370" s="9">
        <f>1/COUNTIFS(Таблица1[Customer Name],Таблица1[[#This Row],[Customer Name]],Таблица1[Order-Year-Month],Таблица1[[#This Row],[Order-Year-Month]])</f>
        <v>0.33333333333333331</v>
      </c>
    </row>
    <row r="3371" spans="1:26" x14ac:dyDescent="0.2">
      <c r="A3371" s="6">
        <v>2467</v>
      </c>
      <c r="B3371" s="7">
        <v>17953</v>
      </c>
      <c r="C3371" s="8">
        <f>DATE(2012,12,31)-133</f>
        <v>41141</v>
      </c>
      <c r="D3371" s="8" t="str">
        <f t="shared" si="65"/>
        <v>2012-08 (август 2012)</v>
      </c>
      <c r="E3371" s="9" t="s">
        <v>30</v>
      </c>
      <c r="F3371" s="7">
        <v>21</v>
      </c>
      <c r="G3371" s="7">
        <v>1490.56</v>
      </c>
      <c r="H3371" s="7">
        <v>0.01</v>
      </c>
      <c r="I3371" s="9" t="s">
        <v>31</v>
      </c>
      <c r="J3371" s="10">
        <v>-499.51</v>
      </c>
      <c r="K3371" s="11">
        <v>68.81</v>
      </c>
      <c r="L3371" s="11">
        <v>60</v>
      </c>
      <c r="M3371" s="9" t="s">
        <v>1471</v>
      </c>
      <c r="N3371" s="6" t="s">
        <v>1595</v>
      </c>
      <c r="O3371" s="6" t="s">
        <v>1595</v>
      </c>
      <c r="P3371" s="9" t="s">
        <v>25</v>
      </c>
      <c r="Q3371" s="9" t="s">
        <v>26</v>
      </c>
      <c r="R3371" s="9" t="s">
        <v>34</v>
      </c>
      <c r="S3371" s="7" t="s">
        <v>605</v>
      </c>
      <c r="T3371" s="9" t="s">
        <v>36</v>
      </c>
      <c r="U3371" s="7">
        <v>0.41</v>
      </c>
      <c r="V3371" s="12">
        <f>C3371+2</f>
        <v>41143</v>
      </c>
      <c r="W3371">
        <f>IF(D3371=' Pivot Tables'!$A$4,1,0)</f>
        <v>0</v>
      </c>
      <c r="X3371">
        <f>IF(AND(LEFT(D3371,4)+1=LEFT(' Pivot Tables'!$A$4,4)+0,RIGHT(LEFT(D3371,7),2)=RIGHT(LEFT(' Pivot Tables'!$A$4,7),2)),1,0)</f>
        <v>0</v>
      </c>
      <c r="Y3371" s="6">
        <f>1/COUNTIF(Таблица1[Order ID],Таблица1[[#This Row],[Order ID]])</f>
        <v>0.33333333333333331</v>
      </c>
      <c r="Z3371" s="9">
        <f>1/COUNTIFS(Таблица1[Customer Name],Таблица1[[#This Row],[Customer Name]],Таблица1[Order-Year-Month],Таблица1[[#This Row],[Order-Year-Month]])</f>
        <v>0.33333333333333331</v>
      </c>
    </row>
    <row r="3372" spans="1:26" x14ac:dyDescent="0.2">
      <c r="A3372" s="6">
        <v>2468</v>
      </c>
      <c r="B3372" s="7">
        <v>17953</v>
      </c>
      <c r="C3372" s="8">
        <f>DATE(2012,12,31)-133</f>
        <v>41141</v>
      </c>
      <c r="D3372" s="8" t="str">
        <f t="shared" si="65"/>
        <v>2012-08 (август 2012)</v>
      </c>
      <c r="E3372" s="9" t="s">
        <v>30</v>
      </c>
      <c r="F3372" s="7">
        <v>17</v>
      </c>
      <c r="G3372" s="7">
        <v>105.44</v>
      </c>
      <c r="H3372" s="7">
        <v>0</v>
      </c>
      <c r="I3372" s="9" t="s">
        <v>22</v>
      </c>
      <c r="J3372" s="10">
        <v>18.760000000000002</v>
      </c>
      <c r="K3372" s="11">
        <v>5.84</v>
      </c>
      <c r="L3372" s="11">
        <v>1.2</v>
      </c>
      <c r="M3372" s="9" t="s">
        <v>1471</v>
      </c>
      <c r="N3372" s="6" t="s">
        <v>1595</v>
      </c>
      <c r="O3372" s="6" t="s">
        <v>1595</v>
      </c>
      <c r="P3372" s="9" t="s">
        <v>25</v>
      </c>
      <c r="Q3372" s="9" t="s">
        <v>26</v>
      </c>
      <c r="R3372" s="9" t="s">
        <v>95</v>
      </c>
      <c r="S3372" s="7" t="s">
        <v>413</v>
      </c>
      <c r="T3372" s="9" t="s">
        <v>68</v>
      </c>
      <c r="U3372" s="7">
        <v>0.55000000000000004</v>
      </c>
      <c r="V3372" s="12">
        <f>C3372+2</f>
        <v>41143</v>
      </c>
      <c r="W3372">
        <f>IF(D3372=' Pivot Tables'!$A$4,1,0)</f>
        <v>0</v>
      </c>
      <c r="X3372">
        <f>IF(AND(LEFT(D3372,4)+1=LEFT(' Pivot Tables'!$A$4,4)+0,RIGHT(LEFT(D3372,7),2)=RIGHT(LEFT(' Pivot Tables'!$A$4,7),2)),1,0)</f>
        <v>0</v>
      </c>
      <c r="Y3372" s="6">
        <f>1/COUNTIF(Таблица1[Order ID],Таблица1[[#This Row],[Order ID]])</f>
        <v>0.33333333333333331</v>
      </c>
      <c r="Z3372" s="9">
        <f>1/COUNTIFS(Таблица1[Customer Name],Таблица1[[#This Row],[Customer Name]],Таблица1[Order-Year-Month],Таблица1[[#This Row],[Order-Year-Month]])</f>
        <v>0.33333333333333331</v>
      </c>
    </row>
    <row r="3373" spans="1:26" x14ac:dyDescent="0.2">
      <c r="A3373" s="6">
        <v>2472</v>
      </c>
      <c r="B3373" s="7">
        <v>17959</v>
      </c>
      <c r="C3373" s="8">
        <f>DATE(2012,12,31)-113</f>
        <v>41161</v>
      </c>
      <c r="D3373" s="8" t="str">
        <f t="shared" si="65"/>
        <v>2012-09 (сентябрь 2012)</v>
      </c>
      <c r="E3373" s="9" t="s">
        <v>63</v>
      </c>
      <c r="F3373" s="7">
        <v>28</v>
      </c>
      <c r="G3373" s="7">
        <v>1201.68</v>
      </c>
      <c r="H3373" s="7">
        <v>0.01</v>
      </c>
      <c r="I3373" s="9" t="s">
        <v>22</v>
      </c>
      <c r="J3373" s="10">
        <v>146.80000000000001</v>
      </c>
      <c r="K3373" s="11">
        <v>40.99</v>
      </c>
      <c r="L3373" s="11">
        <v>19.989999999999998</v>
      </c>
      <c r="M3373" s="9" t="s">
        <v>1591</v>
      </c>
      <c r="N3373" s="6" t="s">
        <v>1595</v>
      </c>
      <c r="O3373" s="6" t="s">
        <v>1595</v>
      </c>
      <c r="P3373" s="9" t="s">
        <v>60</v>
      </c>
      <c r="Q3373" s="9" t="s">
        <v>26</v>
      </c>
      <c r="R3373" s="9" t="s">
        <v>61</v>
      </c>
      <c r="S3373" s="7" t="s">
        <v>105</v>
      </c>
      <c r="T3373" s="9" t="s">
        <v>39</v>
      </c>
      <c r="U3373" s="7">
        <v>0.36</v>
      </c>
      <c r="V3373" s="12">
        <f>C3373+3</f>
        <v>41164</v>
      </c>
      <c r="W3373">
        <f>IF(D3373=' Pivot Tables'!$A$4,1,0)</f>
        <v>0</v>
      </c>
      <c r="X3373">
        <f>IF(AND(LEFT(D3373,4)+1=LEFT(' Pivot Tables'!$A$4,4)+0,RIGHT(LEFT(D3373,7),2)=RIGHT(LEFT(' Pivot Tables'!$A$4,7),2)),1,0)</f>
        <v>0</v>
      </c>
      <c r="Y3373" s="6">
        <f>1/COUNTIF(Таблица1[Order ID],Таблица1[[#This Row],[Order ID]])</f>
        <v>0.5</v>
      </c>
      <c r="Z3373" s="9">
        <f>1/COUNTIFS(Таблица1[Customer Name],Таблица1[[#This Row],[Customer Name]],Таблица1[Order-Year-Month],Таблица1[[#This Row],[Order-Year-Month]])</f>
        <v>0.5</v>
      </c>
    </row>
    <row r="3374" spans="1:26" x14ac:dyDescent="0.2">
      <c r="A3374" s="6">
        <v>2473</v>
      </c>
      <c r="B3374" s="7">
        <v>17959</v>
      </c>
      <c r="C3374" s="8">
        <f>DATE(2012,12,31)-113</f>
        <v>41161</v>
      </c>
      <c r="D3374" s="8" t="str">
        <f t="shared" si="65"/>
        <v>2012-09 (сентябрь 2012)</v>
      </c>
      <c r="E3374" s="9" t="s">
        <v>63</v>
      </c>
      <c r="F3374" s="7">
        <v>21</v>
      </c>
      <c r="G3374" s="7">
        <v>2784.57</v>
      </c>
      <c r="H3374" s="7">
        <v>0.05</v>
      </c>
      <c r="I3374" s="9" t="s">
        <v>22</v>
      </c>
      <c r="J3374" s="10">
        <v>847.06</v>
      </c>
      <c r="K3374" s="11">
        <v>136.97999999999999</v>
      </c>
      <c r="L3374" s="11">
        <v>24.49</v>
      </c>
      <c r="M3374" s="9" t="s">
        <v>1591</v>
      </c>
      <c r="N3374" s="6" t="s">
        <v>1595</v>
      </c>
      <c r="O3374" s="6" t="s">
        <v>1595</v>
      </c>
      <c r="P3374" s="9" t="s">
        <v>60</v>
      </c>
      <c r="Q3374" s="9" t="s">
        <v>49</v>
      </c>
      <c r="R3374" s="9" t="s">
        <v>50</v>
      </c>
      <c r="S3374" s="7" t="s">
        <v>480</v>
      </c>
      <c r="T3374" s="9" t="s">
        <v>29</v>
      </c>
      <c r="U3374" s="7">
        <v>0.59</v>
      </c>
      <c r="V3374" s="12">
        <f>C3374+3</f>
        <v>41164</v>
      </c>
      <c r="W3374">
        <f>IF(D3374=' Pivot Tables'!$A$4,1,0)</f>
        <v>0</v>
      </c>
      <c r="X3374">
        <f>IF(AND(LEFT(D3374,4)+1=LEFT(' Pivot Tables'!$A$4,4)+0,RIGHT(LEFT(D3374,7),2)=RIGHT(LEFT(' Pivot Tables'!$A$4,7),2)),1,0)</f>
        <v>0</v>
      </c>
      <c r="Y3374" s="6">
        <f>1/COUNTIF(Таблица1[Order ID],Таблица1[[#This Row],[Order ID]])</f>
        <v>0.5</v>
      </c>
      <c r="Z3374" s="9">
        <f>1/COUNTIFS(Таблица1[Customer Name],Таблица1[[#This Row],[Customer Name]],Таблица1[Order-Year-Month],Таблица1[[#This Row],[Order-Year-Month]])</f>
        <v>0.5</v>
      </c>
    </row>
    <row r="3375" spans="1:26" x14ac:dyDescent="0.2">
      <c r="A3375" s="6">
        <v>2478</v>
      </c>
      <c r="B3375" s="7">
        <v>18017</v>
      </c>
      <c r="C3375" s="8">
        <f>DATE(2012,12,31)-1012</f>
        <v>40262</v>
      </c>
      <c r="D3375" s="8" t="str">
        <f t="shared" si="65"/>
        <v>2010-03 (март 2010)</v>
      </c>
      <c r="E3375" s="9" t="s">
        <v>78</v>
      </c>
      <c r="F3375" s="7">
        <v>22</v>
      </c>
      <c r="G3375" s="7">
        <v>5202.8960000000006</v>
      </c>
      <c r="H3375" s="7">
        <v>0.02</v>
      </c>
      <c r="I3375" s="9" t="s">
        <v>31</v>
      </c>
      <c r="J3375" s="10">
        <v>-715.7782060000003</v>
      </c>
      <c r="K3375" s="11">
        <v>296.18</v>
      </c>
      <c r="L3375" s="11">
        <v>54.12</v>
      </c>
      <c r="M3375" s="9" t="s">
        <v>1578</v>
      </c>
      <c r="N3375" s="6" t="s">
        <v>1595</v>
      </c>
      <c r="O3375" s="6" t="s">
        <v>1595</v>
      </c>
      <c r="P3375" s="9" t="s">
        <v>25</v>
      </c>
      <c r="Q3375" s="9" t="s">
        <v>49</v>
      </c>
      <c r="R3375" s="9" t="s">
        <v>83</v>
      </c>
      <c r="S3375" s="7" t="s">
        <v>425</v>
      </c>
      <c r="T3375" s="9" t="s">
        <v>82</v>
      </c>
      <c r="U3375" s="7">
        <v>0.76</v>
      </c>
      <c r="V3375" s="12">
        <f>C3375+2</f>
        <v>40264</v>
      </c>
      <c r="W3375">
        <f>IF(D3375=' Pivot Tables'!$A$4,1,0)</f>
        <v>0</v>
      </c>
      <c r="X3375">
        <f>IF(AND(LEFT(D3375,4)+1=LEFT(' Pivot Tables'!$A$4,4)+0,RIGHT(LEFT(D3375,7),2)=RIGHT(LEFT(' Pivot Tables'!$A$4,7),2)),1,0)</f>
        <v>0</v>
      </c>
      <c r="Y3375" s="6">
        <f>1/COUNTIF(Таблица1[Order ID],Таблица1[[#This Row],[Order ID]])</f>
        <v>1</v>
      </c>
      <c r="Z3375" s="9">
        <f>1/COUNTIFS(Таблица1[Customer Name],Таблица1[[#This Row],[Customer Name]],Таблица1[Order-Year-Month],Таблица1[[#This Row],[Order-Year-Month]])</f>
        <v>1</v>
      </c>
    </row>
    <row r="3376" spans="1:26" x14ac:dyDescent="0.2">
      <c r="A3376" s="6">
        <v>2532</v>
      </c>
      <c r="B3376" s="7">
        <v>18373</v>
      </c>
      <c r="C3376" s="8">
        <f>DATE(2012,12,31)-263</f>
        <v>41011</v>
      </c>
      <c r="D3376" s="8" t="str">
        <f t="shared" si="65"/>
        <v>2012-04 (апрель 2012)</v>
      </c>
      <c r="E3376" s="9" t="s">
        <v>78</v>
      </c>
      <c r="F3376" s="7">
        <v>35</v>
      </c>
      <c r="G3376" s="7">
        <v>6608.24</v>
      </c>
      <c r="H3376" s="7">
        <v>0.09</v>
      </c>
      <c r="I3376" s="9" t="s">
        <v>22</v>
      </c>
      <c r="J3376" s="10">
        <v>2164.64</v>
      </c>
      <c r="K3376" s="11">
        <v>207.48</v>
      </c>
      <c r="L3376" s="11">
        <v>0.99</v>
      </c>
      <c r="M3376" s="9" t="s">
        <v>1495</v>
      </c>
      <c r="N3376" s="6" t="s">
        <v>1595</v>
      </c>
      <c r="O3376" s="6" t="s">
        <v>1595</v>
      </c>
      <c r="P3376" s="9" t="s">
        <v>41</v>
      </c>
      <c r="Q3376" s="9" t="s">
        <v>26</v>
      </c>
      <c r="R3376" s="9" t="s">
        <v>34</v>
      </c>
      <c r="S3376" s="7" t="s">
        <v>232</v>
      </c>
      <c r="T3376" s="9" t="s">
        <v>39</v>
      </c>
      <c r="U3376" s="7">
        <v>0.55000000000000004</v>
      </c>
      <c r="V3376" s="12">
        <f>C3376+0</f>
        <v>41011</v>
      </c>
      <c r="W3376">
        <f>IF(D3376=' Pivot Tables'!$A$4,1,0)</f>
        <v>0</v>
      </c>
      <c r="X3376">
        <f>IF(AND(LEFT(D3376,4)+1=LEFT(' Pivot Tables'!$A$4,4)+0,RIGHT(LEFT(D3376,7),2)=RIGHT(LEFT(' Pivot Tables'!$A$4,7),2)),1,0)</f>
        <v>0</v>
      </c>
      <c r="Y3376" s="6">
        <f>1/COUNTIF(Таблица1[Order ID],Таблица1[[#This Row],[Order ID]])</f>
        <v>1</v>
      </c>
      <c r="Z3376" s="9">
        <f>1/COUNTIFS(Таблица1[Customer Name],Таблица1[[#This Row],[Customer Name]],Таблица1[Order-Year-Month],Таблица1[[#This Row],[Order-Year-Month]])</f>
        <v>1</v>
      </c>
    </row>
    <row r="3377" spans="1:26" x14ac:dyDescent="0.2">
      <c r="A3377" s="6">
        <v>2708</v>
      </c>
      <c r="B3377" s="7">
        <v>19558</v>
      </c>
      <c r="C3377" s="8">
        <f>DATE(2012,12,31)-675</f>
        <v>40599</v>
      </c>
      <c r="D3377" s="8" t="str">
        <f t="shared" si="65"/>
        <v>2011-02 (февраль 2011)</v>
      </c>
      <c r="E3377" s="9" t="s">
        <v>21</v>
      </c>
      <c r="F3377" s="7">
        <v>2</v>
      </c>
      <c r="G3377" s="7">
        <v>7.98</v>
      </c>
      <c r="H3377" s="7">
        <v>0.04</v>
      </c>
      <c r="I3377" s="9" t="s">
        <v>22</v>
      </c>
      <c r="J3377" s="10">
        <v>-3.93</v>
      </c>
      <c r="K3377" s="11">
        <v>3.29</v>
      </c>
      <c r="L3377" s="11">
        <v>1.35</v>
      </c>
      <c r="M3377" s="9" t="s">
        <v>1639</v>
      </c>
      <c r="N3377" s="6" t="s">
        <v>1595</v>
      </c>
      <c r="O3377" s="6" t="s">
        <v>1595</v>
      </c>
      <c r="P3377" s="9" t="s">
        <v>41</v>
      </c>
      <c r="Q3377" s="9" t="s">
        <v>26</v>
      </c>
      <c r="R3377" s="9" t="s">
        <v>66</v>
      </c>
      <c r="S3377" s="7" t="s">
        <v>464</v>
      </c>
      <c r="T3377" s="9" t="s">
        <v>68</v>
      </c>
      <c r="U3377" s="7">
        <v>0.4</v>
      </c>
      <c r="V3377" s="12">
        <f>C3377+3</f>
        <v>40602</v>
      </c>
      <c r="W3377">
        <f>IF(D3377=' Pivot Tables'!$A$4,1,0)</f>
        <v>0</v>
      </c>
      <c r="X3377">
        <f>IF(AND(LEFT(D3377,4)+1=LEFT(' Pivot Tables'!$A$4,4)+0,RIGHT(LEFT(D3377,7),2)=RIGHT(LEFT(' Pivot Tables'!$A$4,7),2)),1,0)</f>
        <v>0</v>
      </c>
      <c r="Y3377" s="6">
        <f>1/COUNTIF(Таблица1[Order ID],Таблица1[[#This Row],[Order ID]])</f>
        <v>1</v>
      </c>
      <c r="Z3377" s="9">
        <f>1/COUNTIFS(Таблица1[Customer Name],Таблица1[[#This Row],[Customer Name]],Таблица1[Order-Year-Month],Таблица1[[#This Row],[Order-Year-Month]])</f>
        <v>1</v>
      </c>
    </row>
    <row r="3378" spans="1:26" x14ac:dyDescent="0.2">
      <c r="A3378" s="6">
        <v>2849</v>
      </c>
      <c r="B3378" s="7">
        <v>20518</v>
      </c>
      <c r="C3378" s="8">
        <f>DATE(2012,12,31)-1183</f>
        <v>40091</v>
      </c>
      <c r="D3378" s="8" t="str">
        <f t="shared" si="65"/>
        <v>2009-10 (октябрь 2009)</v>
      </c>
      <c r="E3378" s="9" t="s">
        <v>78</v>
      </c>
      <c r="F3378" s="7">
        <v>49</v>
      </c>
      <c r="G3378" s="7">
        <v>8252.360999999999</v>
      </c>
      <c r="H3378" s="7">
        <v>7.0000000000000007E-2</v>
      </c>
      <c r="I3378" s="9" t="s">
        <v>22</v>
      </c>
      <c r="J3378" s="10">
        <v>2418.5610000000001</v>
      </c>
      <c r="K3378" s="11">
        <v>200.99</v>
      </c>
      <c r="L3378" s="11">
        <v>4.2</v>
      </c>
      <c r="M3378" s="9" t="s">
        <v>1509</v>
      </c>
      <c r="N3378" s="6" t="s">
        <v>1595</v>
      </c>
      <c r="O3378" s="6" t="s">
        <v>1595</v>
      </c>
      <c r="P3378" s="9" t="s">
        <v>41</v>
      </c>
      <c r="Q3378" s="9" t="s">
        <v>42</v>
      </c>
      <c r="R3378" s="9" t="s">
        <v>43</v>
      </c>
      <c r="S3378" s="7" t="s">
        <v>457</v>
      </c>
      <c r="T3378" s="9" t="s">
        <v>39</v>
      </c>
      <c r="U3378" s="7">
        <v>0.59</v>
      </c>
      <c r="V3378" s="12">
        <f>C3378+1</f>
        <v>40092</v>
      </c>
      <c r="W3378">
        <f>IF(D3378=' Pivot Tables'!$A$4,1,0)</f>
        <v>0</v>
      </c>
      <c r="X3378">
        <f>IF(AND(LEFT(D3378,4)+1=LEFT(' Pivot Tables'!$A$4,4)+0,RIGHT(LEFT(D3378,7),2)=RIGHT(LEFT(' Pivot Tables'!$A$4,7),2)),1,0)</f>
        <v>0</v>
      </c>
      <c r="Y3378" s="6">
        <f>1/COUNTIF(Таблица1[Order ID],Таблица1[[#This Row],[Order ID]])</f>
        <v>0.5</v>
      </c>
      <c r="Z3378" s="9">
        <f>1/COUNTIFS(Таблица1[Customer Name],Таблица1[[#This Row],[Customer Name]],Таблица1[Order-Year-Month],Таблица1[[#This Row],[Order-Year-Month]])</f>
        <v>0.5</v>
      </c>
    </row>
    <row r="3379" spans="1:26" x14ac:dyDescent="0.2">
      <c r="A3379" s="6">
        <v>2850</v>
      </c>
      <c r="B3379" s="7">
        <v>20518</v>
      </c>
      <c r="C3379" s="8">
        <f>DATE(2012,12,31)-1183</f>
        <v>40091</v>
      </c>
      <c r="D3379" s="8" t="str">
        <f t="shared" si="65"/>
        <v>2009-10 (октябрь 2009)</v>
      </c>
      <c r="E3379" s="9" t="s">
        <v>78</v>
      </c>
      <c r="F3379" s="7">
        <v>7</v>
      </c>
      <c r="G3379" s="7">
        <v>2205.84</v>
      </c>
      <c r="H3379" s="7">
        <v>0.01</v>
      </c>
      <c r="I3379" s="9" t="s">
        <v>31</v>
      </c>
      <c r="J3379" s="10">
        <v>-313.13040000000001</v>
      </c>
      <c r="K3379" s="11">
        <v>297.48</v>
      </c>
      <c r="L3379" s="11">
        <v>18.059999999999999</v>
      </c>
      <c r="M3379" s="9" t="s">
        <v>1509</v>
      </c>
      <c r="N3379" s="6" t="s">
        <v>1595</v>
      </c>
      <c r="O3379" s="6" t="s">
        <v>1595</v>
      </c>
      <c r="P3379" s="9" t="s">
        <v>41</v>
      </c>
      <c r="Q3379" s="9" t="s">
        <v>42</v>
      </c>
      <c r="R3379" s="9" t="s">
        <v>210</v>
      </c>
      <c r="S3379" s="7" t="s">
        <v>758</v>
      </c>
      <c r="T3379" s="9" t="s">
        <v>36</v>
      </c>
      <c r="U3379" s="7">
        <v>0.6</v>
      </c>
      <c r="V3379" s="12">
        <f>C3379+1</f>
        <v>40092</v>
      </c>
      <c r="W3379">
        <f>IF(D3379=' Pivot Tables'!$A$4,1,0)</f>
        <v>0</v>
      </c>
      <c r="X3379">
        <f>IF(AND(LEFT(D3379,4)+1=LEFT(' Pivot Tables'!$A$4,4)+0,RIGHT(LEFT(D3379,7),2)=RIGHT(LEFT(' Pivot Tables'!$A$4,7),2)),1,0)</f>
        <v>0</v>
      </c>
      <c r="Y3379" s="6">
        <f>1/COUNTIF(Таблица1[Order ID],Таблица1[[#This Row],[Order ID]])</f>
        <v>0.5</v>
      </c>
      <c r="Z3379" s="9">
        <f>1/COUNTIFS(Таблица1[Customer Name],Таблица1[[#This Row],[Customer Name]],Таблица1[Order-Year-Month],Таблица1[[#This Row],[Order-Year-Month]])</f>
        <v>0.5</v>
      </c>
    </row>
    <row r="3380" spans="1:26" x14ac:dyDescent="0.2">
      <c r="A3380" s="6">
        <v>2877</v>
      </c>
      <c r="B3380" s="7">
        <v>20737</v>
      </c>
      <c r="C3380" s="8">
        <f>DATE(2012,12,31)-372</f>
        <v>40902</v>
      </c>
      <c r="D3380" s="8" t="str">
        <f t="shared" si="65"/>
        <v>2011-12 (декабрь 2011)</v>
      </c>
      <c r="E3380" s="9" t="s">
        <v>63</v>
      </c>
      <c r="F3380" s="7">
        <v>15</v>
      </c>
      <c r="G3380" s="7">
        <v>3364.2480000000005</v>
      </c>
      <c r="H3380" s="7">
        <v>0.1</v>
      </c>
      <c r="I3380" s="9" t="s">
        <v>31</v>
      </c>
      <c r="J3380" s="10">
        <v>-693.23039500000016</v>
      </c>
      <c r="K3380" s="11">
        <v>286.85000000000002</v>
      </c>
      <c r="L3380" s="11">
        <v>61.76</v>
      </c>
      <c r="M3380" s="9" t="s">
        <v>1544</v>
      </c>
      <c r="N3380" s="6" t="s">
        <v>1595</v>
      </c>
      <c r="O3380" s="6" t="s">
        <v>1595</v>
      </c>
      <c r="P3380" s="9" t="s">
        <v>60</v>
      </c>
      <c r="Q3380" s="9" t="s">
        <v>49</v>
      </c>
      <c r="R3380" s="9" t="s">
        <v>83</v>
      </c>
      <c r="S3380" s="7" t="s">
        <v>1086</v>
      </c>
      <c r="T3380" s="9" t="s">
        <v>82</v>
      </c>
      <c r="U3380" s="7">
        <v>0.78</v>
      </c>
      <c r="V3380" s="12">
        <f>C3380+2</f>
        <v>40904</v>
      </c>
      <c r="W3380">
        <f>IF(D3380=' Pivot Tables'!$A$4,1,0)</f>
        <v>0</v>
      </c>
      <c r="X3380">
        <f>IF(AND(LEFT(D3380,4)+1=LEFT(' Pivot Tables'!$A$4,4)+0,RIGHT(LEFT(D3380,7),2)=RIGHT(LEFT(' Pivot Tables'!$A$4,7),2)),1,0)</f>
        <v>0</v>
      </c>
      <c r="Y3380" s="6">
        <f>1/COUNTIF(Таблица1[Order ID],Таблица1[[#This Row],[Order ID]])</f>
        <v>0.5</v>
      </c>
      <c r="Z3380" s="9">
        <f>1/COUNTIFS(Таблица1[Customer Name],Таблица1[[#This Row],[Customer Name]],Таблица1[Order-Year-Month],Таблица1[[#This Row],[Order-Year-Month]])</f>
        <v>0.2</v>
      </c>
    </row>
    <row r="3381" spans="1:26" x14ac:dyDescent="0.2">
      <c r="A3381" s="6">
        <v>2897</v>
      </c>
      <c r="B3381" s="7">
        <v>20903</v>
      </c>
      <c r="C3381" s="8">
        <f>DATE(2012,12,31)-1321</f>
        <v>39953</v>
      </c>
      <c r="D3381" s="8" t="str">
        <f t="shared" si="65"/>
        <v>2009-05 (май 2009)</v>
      </c>
      <c r="E3381" s="9" t="s">
        <v>30</v>
      </c>
      <c r="F3381" s="7">
        <v>4</v>
      </c>
      <c r="G3381" s="7">
        <v>442.99</v>
      </c>
      <c r="H3381" s="7">
        <v>0.04</v>
      </c>
      <c r="I3381" s="9" t="s">
        <v>31</v>
      </c>
      <c r="J3381" s="10">
        <v>-152.76</v>
      </c>
      <c r="K3381" s="11">
        <v>100.98</v>
      </c>
      <c r="L3381" s="11">
        <v>35.840000000000003</v>
      </c>
      <c r="M3381" s="9" t="s">
        <v>1532</v>
      </c>
      <c r="N3381" s="6" t="s">
        <v>1595</v>
      </c>
      <c r="O3381" s="6" t="s">
        <v>1595</v>
      </c>
      <c r="P3381" s="9" t="s">
        <v>33</v>
      </c>
      <c r="Q3381" s="9" t="s">
        <v>49</v>
      </c>
      <c r="R3381" s="9" t="s">
        <v>80</v>
      </c>
      <c r="S3381" s="7" t="s">
        <v>705</v>
      </c>
      <c r="T3381" s="9" t="s">
        <v>82</v>
      </c>
      <c r="U3381" s="7">
        <v>0.62</v>
      </c>
      <c r="V3381" s="12">
        <f>C3381+1</f>
        <v>39954</v>
      </c>
      <c r="W3381">
        <f>IF(D3381=' Pivot Tables'!$A$4,1,0)</f>
        <v>0</v>
      </c>
      <c r="X3381">
        <f>IF(AND(LEFT(D3381,4)+1=LEFT(' Pivot Tables'!$A$4,4)+0,RIGHT(LEFT(D3381,7),2)=RIGHT(LEFT(' Pivot Tables'!$A$4,7),2)),1,0)</f>
        <v>0</v>
      </c>
      <c r="Y3381" s="6">
        <f>1/COUNTIF(Таблица1[Order ID],Таблица1[[#This Row],[Order ID]])</f>
        <v>1</v>
      </c>
      <c r="Z3381" s="9">
        <f>1/COUNTIFS(Таблица1[Customer Name],Таблица1[[#This Row],[Customer Name]],Таблица1[Order-Year-Month],Таблица1[[#This Row],[Order-Year-Month]])</f>
        <v>1</v>
      </c>
    </row>
    <row r="3382" spans="1:26" x14ac:dyDescent="0.2">
      <c r="A3382" s="6">
        <v>2945</v>
      </c>
      <c r="B3382" s="7">
        <v>21344</v>
      </c>
      <c r="C3382" s="8">
        <f>DATE(2012,12,31)-22</f>
        <v>41252</v>
      </c>
      <c r="D3382" s="8" t="str">
        <f t="shared" si="65"/>
        <v>2012-12 (декабрь 2012)</v>
      </c>
      <c r="E3382" s="9" t="s">
        <v>21</v>
      </c>
      <c r="F3382" s="7">
        <v>29</v>
      </c>
      <c r="G3382" s="7">
        <v>587.20000000000005</v>
      </c>
      <c r="H3382" s="7">
        <v>0.08</v>
      </c>
      <c r="I3382" s="9" t="s">
        <v>22</v>
      </c>
      <c r="J3382" s="10">
        <v>134.25</v>
      </c>
      <c r="K3382" s="11">
        <v>20.89</v>
      </c>
      <c r="L3382" s="11">
        <v>1.99</v>
      </c>
      <c r="M3382" s="9" t="s">
        <v>1469</v>
      </c>
      <c r="N3382" s="6" t="s">
        <v>1595</v>
      </c>
      <c r="O3382" s="6" t="s">
        <v>1595</v>
      </c>
      <c r="P3382" s="9" t="s">
        <v>41</v>
      </c>
      <c r="Q3382" s="9" t="s">
        <v>42</v>
      </c>
      <c r="R3382" s="9" t="s">
        <v>70</v>
      </c>
      <c r="S3382" s="7" t="s">
        <v>303</v>
      </c>
      <c r="T3382" s="9" t="s">
        <v>52</v>
      </c>
      <c r="U3382" s="7">
        <v>0.48</v>
      </c>
      <c r="V3382" s="12">
        <f>C3382+4</f>
        <v>41256</v>
      </c>
      <c r="W3382">
        <f>IF(D3382=' Pivot Tables'!$A$4,1,0)</f>
        <v>0</v>
      </c>
      <c r="X3382">
        <f>IF(AND(LEFT(D3382,4)+1=LEFT(' Pivot Tables'!$A$4,4)+0,RIGHT(LEFT(D3382,7),2)=RIGHT(LEFT(' Pivot Tables'!$A$4,7),2)),1,0)</f>
        <v>0</v>
      </c>
      <c r="Y3382" s="6">
        <f>1/COUNTIF(Таблица1[Order ID],Таблица1[[#This Row],[Order ID]])</f>
        <v>0.33333333333333331</v>
      </c>
      <c r="Z3382" s="9">
        <f>1/COUNTIFS(Таблица1[Customer Name],Таблица1[[#This Row],[Customer Name]],Таблица1[Order-Year-Month],Таблица1[[#This Row],[Order-Year-Month]])</f>
        <v>0.33333333333333331</v>
      </c>
    </row>
    <row r="3383" spans="1:26" x14ac:dyDescent="0.2">
      <c r="A3383" s="6">
        <v>2946</v>
      </c>
      <c r="B3383" s="7">
        <v>21344</v>
      </c>
      <c r="C3383" s="8">
        <f>DATE(2012,12,31)-22</f>
        <v>41252</v>
      </c>
      <c r="D3383" s="8" t="str">
        <f t="shared" si="65"/>
        <v>2012-12 (декабрь 2012)</v>
      </c>
      <c r="E3383" s="9" t="s">
        <v>21</v>
      </c>
      <c r="F3383" s="7">
        <v>39</v>
      </c>
      <c r="G3383" s="7">
        <v>110.79</v>
      </c>
      <c r="H3383" s="7">
        <v>0.05</v>
      </c>
      <c r="I3383" s="9" t="s">
        <v>22</v>
      </c>
      <c r="J3383" s="10">
        <v>42.68</v>
      </c>
      <c r="K3383" s="11">
        <v>2.89</v>
      </c>
      <c r="L3383" s="11">
        <v>0.5</v>
      </c>
      <c r="M3383" s="9" t="s">
        <v>1469</v>
      </c>
      <c r="N3383" s="6" t="s">
        <v>1595</v>
      </c>
      <c r="O3383" s="6" t="s">
        <v>1595</v>
      </c>
      <c r="P3383" s="9" t="s">
        <v>41</v>
      </c>
      <c r="Q3383" s="9" t="s">
        <v>26</v>
      </c>
      <c r="R3383" s="9" t="s">
        <v>88</v>
      </c>
      <c r="S3383" s="7" t="s">
        <v>474</v>
      </c>
      <c r="T3383" s="9" t="s">
        <v>39</v>
      </c>
      <c r="U3383" s="7">
        <v>0.38</v>
      </c>
      <c r="V3383" s="12">
        <f>C3383+9</f>
        <v>41261</v>
      </c>
      <c r="W3383">
        <f>IF(D3383=' Pivot Tables'!$A$4,1,0)</f>
        <v>0</v>
      </c>
      <c r="X3383">
        <f>IF(AND(LEFT(D3383,4)+1=LEFT(' Pivot Tables'!$A$4,4)+0,RIGHT(LEFT(D3383,7),2)=RIGHT(LEFT(' Pivot Tables'!$A$4,7),2)),1,0)</f>
        <v>0</v>
      </c>
      <c r="Y3383" s="6">
        <f>1/COUNTIF(Таблица1[Order ID],Таблица1[[#This Row],[Order ID]])</f>
        <v>0.33333333333333331</v>
      </c>
      <c r="Z3383" s="9">
        <f>1/COUNTIFS(Таблица1[Customer Name],Таблица1[[#This Row],[Customer Name]],Таблица1[Order-Year-Month],Таблица1[[#This Row],[Order-Year-Month]])</f>
        <v>0.33333333333333331</v>
      </c>
    </row>
    <row r="3384" spans="1:26" x14ac:dyDescent="0.2">
      <c r="A3384" s="6">
        <v>2998</v>
      </c>
      <c r="B3384" s="7">
        <v>21606</v>
      </c>
      <c r="C3384" s="8">
        <f>DATE(2012,12,31)-709</f>
        <v>40565</v>
      </c>
      <c r="D3384" s="8" t="str">
        <f t="shared" si="65"/>
        <v>2011-01 (январь 2011)</v>
      </c>
      <c r="E3384" s="9" t="s">
        <v>45</v>
      </c>
      <c r="F3384" s="7">
        <v>29</v>
      </c>
      <c r="G3384" s="7">
        <v>516.62</v>
      </c>
      <c r="H3384" s="7">
        <v>0.06</v>
      </c>
      <c r="I3384" s="9" t="s">
        <v>22</v>
      </c>
      <c r="J3384" s="10">
        <v>138.33000000000001</v>
      </c>
      <c r="K3384" s="11">
        <v>17.48</v>
      </c>
      <c r="L3384" s="11">
        <v>1.99</v>
      </c>
      <c r="M3384" s="9" t="s">
        <v>1471</v>
      </c>
      <c r="N3384" s="6" t="s">
        <v>1595</v>
      </c>
      <c r="O3384" s="6" t="s">
        <v>1595</v>
      </c>
      <c r="P3384" s="9" t="s">
        <v>25</v>
      </c>
      <c r="Q3384" s="9" t="s">
        <v>42</v>
      </c>
      <c r="R3384" s="9" t="s">
        <v>70</v>
      </c>
      <c r="S3384" s="7" t="s">
        <v>1449</v>
      </c>
      <c r="T3384" s="9" t="s">
        <v>52</v>
      </c>
      <c r="U3384" s="7">
        <v>0.46</v>
      </c>
      <c r="V3384" s="12">
        <f>C3384+1</f>
        <v>40566</v>
      </c>
      <c r="W3384">
        <f>IF(D3384=' Pivot Tables'!$A$4,1,0)</f>
        <v>0</v>
      </c>
      <c r="X3384">
        <f>IF(AND(LEFT(D3384,4)+1=LEFT(' Pivot Tables'!$A$4,4)+0,RIGHT(LEFT(D3384,7),2)=RIGHT(LEFT(' Pivot Tables'!$A$4,7),2)),1,0)</f>
        <v>0</v>
      </c>
      <c r="Y3384" s="6">
        <f>1/COUNTIF(Таблица1[Order ID],Таблица1[[#This Row],[Order ID]])</f>
        <v>0.5</v>
      </c>
      <c r="Z3384" s="9">
        <f>1/COUNTIFS(Таблица1[Customer Name],Таблица1[[#This Row],[Customer Name]],Таблица1[Order-Year-Month],Таблица1[[#This Row],[Order-Year-Month]])</f>
        <v>0.5</v>
      </c>
    </row>
    <row r="3385" spans="1:26" x14ac:dyDescent="0.2">
      <c r="A3385" s="6">
        <v>3095</v>
      </c>
      <c r="B3385" s="7">
        <v>22183</v>
      </c>
      <c r="C3385" s="8">
        <f>DATE(2012,12,31)-252</f>
        <v>41022</v>
      </c>
      <c r="D3385" s="8" t="str">
        <f t="shared" si="65"/>
        <v>2012-04 (апрель 2012)</v>
      </c>
      <c r="E3385" s="9" t="s">
        <v>63</v>
      </c>
      <c r="F3385" s="7">
        <v>30</v>
      </c>
      <c r="G3385" s="7">
        <v>177.22</v>
      </c>
      <c r="H3385" s="7">
        <v>0.06</v>
      </c>
      <c r="I3385" s="9" t="s">
        <v>22</v>
      </c>
      <c r="J3385" s="10">
        <v>68.959999999999994</v>
      </c>
      <c r="K3385" s="11">
        <v>5.84</v>
      </c>
      <c r="L3385" s="11">
        <v>1</v>
      </c>
      <c r="M3385" s="9" t="s">
        <v>1637</v>
      </c>
      <c r="N3385" s="6" t="s">
        <v>1595</v>
      </c>
      <c r="O3385" s="6" t="s">
        <v>1595</v>
      </c>
      <c r="P3385" s="9" t="s">
        <v>41</v>
      </c>
      <c r="Q3385" s="9" t="s">
        <v>26</v>
      </c>
      <c r="R3385" s="9" t="s">
        <v>95</v>
      </c>
      <c r="S3385" s="7" t="s">
        <v>1144</v>
      </c>
      <c r="T3385" s="9" t="s">
        <v>68</v>
      </c>
      <c r="U3385" s="7">
        <v>0.38</v>
      </c>
      <c r="V3385" s="12">
        <f>C3385+1</f>
        <v>41023</v>
      </c>
      <c r="W3385">
        <f>IF(D3385=' Pivot Tables'!$A$4,1,0)</f>
        <v>0</v>
      </c>
      <c r="X3385">
        <f>IF(AND(LEFT(D3385,4)+1=LEFT(' Pivot Tables'!$A$4,4)+0,RIGHT(LEFT(D3385,7),2)=RIGHT(LEFT(' Pivot Tables'!$A$4,7),2)),1,0)</f>
        <v>0</v>
      </c>
      <c r="Y3385" s="6">
        <f>1/COUNTIF(Таблица1[Order ID],Таблица1[[#This Row],[Order ID]])</f>
        <v>1</v>
      </c>
      <c r="Z3385" s="9">
        <f>1/COUNTIFS(Таблица1[Customer Name],Таблица1[[#This Row],[Customer Name]],Таблица1[Order-Year-Month],Таблица1[[#This Row],[Order-Year-Month]])</f>
        <v>1</v>
      </c>
    </row>
    <row r="3386" spans="1:26" x14ac:dyDescent="0.2">
      <c r="A3386" s="6">
        <v>3109</v>
      </c>
      <c r="B3386" s="7">
        <v>22338</v>
      </c>
      <c r="C3386" s="8">
        <f>DATE(2012,12,31)-962</f>
        <v>40312</v>
      </c>
      <c r="D3386" s="8" t="str">
        <f t="shared" si="65"/>
        <v>2010-05 (май 2010)</v>
      </c>
      <c r="E3386" s="9" t="s">
        <v>63</v>
      </c>
      <c r="F3386" s="7">
        <v>24</v>
      </c>
      <c r="G3386" s="7">
        <v>790.24</v>
      </c>
      <c r="H3386" s="7">
        <v>0.09</v>
      </c>
      <c r="I3386" s="9" t="s">
        <v>22</v>
      </c>
      <c r="J3386" s="10">
        <v>-213.18</v>
      </c>
      <c r="K3386" s="11">
        <v>35.770000000000003</v>
      </c>
      <c r="L3386" s="11">
        <v>9.02</v>
      </c>
      <c r="M3386" s="9" t="s">
        <v>1571</v>
      </c>
      <c r="N3386" s="6" t="s">
        <v>1595</v>
      </c>
      <c r="O3386" s="6" t="s">
        <v>1595</v>
      </c>
      <c r="P3386" s="9" t="s">
        <v>33</v>
      </c>
      <c r="Q3386" s="9" t="s">
        <v>42</v>
      </c>
      <c r="R3386" s="9" t="s">
        <v>70</v>
      </c>
      <c r="S3386" s="7" t="s">
        <v>1649</v>
      </c>
      <c r="T3386" s="9" t="s">
        <v>39</v>
      </c>
      <c r="U3386" s="7">
        <v>0.75</v>
      </c>
      <c r="V3386" s="12">
        <f>C3386+1</f>
        <v>40313</v>
      </c>
      <c r="W3386">
        <f>IF(D3386=' Pivot Tables'!$A$4,1,0)</f>
        <v>0</v>
      </c>
      <c r="X3386">
        <f>IF(AND(LEFT(D3386,4)+1=LEFT(' Pivot Tables'!$A$4,4)+0,RIGHT(LEFT(D3386,7),2)=RIGHT(LEFT(' Pivot Tables'!$A$4,7),2)),1,0)</f>
        <v>0</v>
      </c>
      <c r="Y3386" s="6">
        <f>1/COUNTIF(Таблица1[Order ID],Таблица1[[#This Row],[Order ID]])</f>
        <v>0.5</v>
      </c>
      <c r="Z3386" s="9">
        <f>1/COUNTIFS(Таблица1[Customer Name],Таблица1[[#This Row],[Customer Name]],Таблица1[Order-Year-Month],Таблица1[[#This Row],[Order-Year-Month]])</f>
        <v>0.5</v>
      </c>
    </row>
    <row r="3387" spans="1:26" x14ac:dyDescent="0.2">
      <c r="A3387" s="6">
        <v>3247</v>
      </c>
      <c r="B3387" s="7">
        <v>23268</v>
      </c>
      <c r="C3387" s="8">
        <f>DATE(2012,12,31)-350</f>
        <v>40924</v>
      </c>
      <c r="D3387" s="8" t="str">
        <f t="shared" si="65"/>
        <v>2012-01 (январь 2012)</v>
      </c>
      <c r="E3387" s="9" t="s">
        <v>30</v>
      </c>
      <c r="F3387" s="7">
        <v>14</v>
      </c>
      <c r="G3387" s="7">
        <v>50.85</v>
      </c>
      <c r="H3387" s="7">
        <v>0.09</v>
      </c>
      <c r="I3387" s="9" t="s">
        <v>56</v>
      </c>
      <c r="J3387" s="10">
        <v>-6.81</v>
      </c>
      <c r="K3387" s="11">
        <v>3.6</v>
      </c>
      <c r="L3387" s="11">
        <v>2.2000000000000002</v>
      </c>
      <c r="M3387" s="9" t="s">
        <v>1582</v>
      </c>
      <c r="N3387" s="6" t="s">
        <v>1595</v>
      </c>
      <c r="O3387" s="6" t="s">
        <v>1595</v>
      </c>
      <c r="P3387" s="9" t="s">
        <v>60</v>
      </c>
      <c r="Q3387" s="9" t="s">
        <v>26</v>
      </c>
      <c r="R3387" s="9" t="s">
        <v>61</v>
      </c>
      <c r="S3387" s="7" t="s">
        <v>1365</v>
      </c>
      <c r="T3387" s="9" t="s">
        <v>68</v>
      </c>
      <c r="U3387" s="7">
        <v>0.39</v>
      </c>
      <c r="V3387" s="12">
        <f>C3387+2</f>
        <v>40926</v>
      </c>
      <c r="W3387">
        <f>IF(D3387=' Pivot Tables'!$A$4,1,0)</f>
        <v>0</v>
      </c>
      <c r="X3387">
        <f>IF(AND(LEFT(D3387,4)+1=LEFT(' Pivot Tables'!$A$4,4)+0,RIGHT(LEFT(D3387,7),2)=RIGHT(LEFT(' Pivot Tables'!$A$4,7),2)),1,0)</f>
        <v>0</v>
      </c>
      <c r="Y3387" s="6">
        <f>1/COUNTIF(Таблица1[Order ID],Таблица1[[#This Row],[Order ID]])</f>
        <v>0.5</v>
      </c>
      <c r="Z3387" s="9">
        <f>1/COUNTIFS(Таблица1[Customer Name],Таблица1[[#This Row],[Customer Name]],Таблица1[Order-Year-Month],Таблица1[[#This Row],[Order-Year-Month]])</f>
        <v>0.5</v>
      </c>
    </row>
    <row r="3388" spans="1:26" x14ac:dyDescent="0.2">
      <c r="A3388" s="6">
        <v>3287</v>
      </c>
      <c r="B3388" s="7">
        <v>23522</v>
      </c>
      <c r="C3388" s="8">
        <f>DATE(2012,12,31)-630</f>
        <v>40644</v>
      </c>
      <c r="D3388" s="8" t="str">
        <f t="shared" si="65"/>
        <v>2011-04 (апрель 2011)</v>
      </c>
      <c r="E3388" s="9" t="s">
        <v>78</v>
      </c>
      <c r="F3388" s="7">
        <v>20</v>
      </c>
      <c r="G3388" s="7">
        <v>1077.8084999999999</v>
      </c>
      <c r="H3388" s="7">
        <v>0.06</v>
      </c>
      <c r="I3388" s="9" t="s">
        <v>56</v>
      </c>
      <c r="J3388" s="10">
        <v>17.253</v>
      </c>
      <c r="K3388" s="11">
        <v>65.989999999999995</v>
      </c>
      <c r="L3388" s="11">
        <v>8.99</v>
      </c>
      <c r="M3388" s="9" t="s">
        <v>1538</v>
      </c>
      <c r="N3388" s="6" t="s">
        <v>1595</v>
      </c>
      <c r="O3388" s="6" t="s">
        <v>1595</v>
      </c>
      <c r="P3388" s="9" t="s">
        <v>25</v>
      </c>
      <c r="Q3388" s="9" t="s">
        <v>42</v>
      </c>
      <c r="R3388" s="9" t="s">
        <v>43</v>
      </c>
      <c r="S3388" s="7" t="s">
        <v>1181</v>
      </c>
      <c r="T3388" s="9" t="s">
        <v>39</v>
      </c>
      <c r="U3388" s="7">
        <v>0.56000000000000005</v>
      </c>
      <c r="V3388" s="12">
        <f>C3388+2</f>
        <v>40646</v>
      </c>
      <c r="W3388">
        <f>IF(D3388=' Pivot Tables'!$A$4,1,0)</f>
        <v>0</v>
      </c>
      <c r="X3388">
        <f>IF(AND(LEFT(D3388,4)+1=LEFT(' Pivot Tables'!$A$4,4)+0,RIGHT(LEFT(D3388,7),2)=RIGHT(LEFT(' Pivot Tables'!$A$4,7),2)),1,0)</f>
        <v>0</v>
      </c>
      <c r="Y3388" s="6">
        <f>1/COUNTIF(Таблица1[Order ID],Таблица1[[#This Row],[Order ID]])</f>
        <v>0.25</v>
      </c>
      <c r="Z3388" s="9">
        <f>1/COUNTIFS(Таблица1[Customer Name],Таблица1[[#This Row],[Customer Name]],Таблица1[Order-Year-Month],Таблица1[[#This Row],[Order-Year-Month]])</f>
        <v>0.25</v>
      </c>
    </row>
    <row r="3389" spans="1:26" x14ac:dyDescent="0.2">
      <c r="A3389" s="6">
        <v>3288</v>
      </c>
      <c r="B3389" s="7">
        <v>23522</v>
      </c>
      <c r="C3389" s="8">
        <f>DATE(2012,12,31)-630</f>
        <v>40644</v>
      </c>
      <c r="D3389" s="8" t="str">
        <f t="shared" si="65"/>
        <v>2011-04 (апрель 2011)</v>
      </c>
      <c r="E3389" s="9" t="s">
        <v>78</v>
      </c>
      <c r="F3389" s="7">
        <v>19</v>
      </c>
      <c r="G3389" s="7">
        <v>2899.98</v>
      </c>
      <c r="H3389" s="7">
        <v>0.1</v>
      </c>
      <c r="I3389" s="9" t="s">
        <v>22</v>
      </c>
      <c r="J3389" s="10">
        <v>666.01</v>
      </c>
      <c r="K3389" s="11">
        <v>159.99</v>
      </c>
      <c r="L3389" s="11">
        <v>5.5</v>
      </c>
      <c r="M3389" s="9" t="s">
        <v>1538</v>
      </c>
      <c r="N3389" s="6" t="s">
        <v>1595</v>
      </c>
      <c r="O3389" s="6" t="s">
        <v>1595</v>
      </c>
      <c r="P3389" s="9" t="s">
        <v>25</v>
      </c>
      <c r="Q3389" s="9" t="s">
        <v>42</v>
      </c>
      <c r="R3389" s="9" t="s">
        <v>70</v>
      </c>
      <c r="S3389" s="7" t="s">
        <v>1019</v>
      </c>
      <c r="T3389" s="9" t="s">
        <v>39</v>
      </c>
      <c r="U3389" s="7">
        <v>0.49</v>
      </c>
      <c r="V3389" s="12">
        <f>C3389+1</f>
        <v>40645</v>
      </c>
      <c r="W3389">
        <f>IF(D3389=' Pivot Tables'!$A$4,1,0)</f>
        <v>0</v>
      </c>
      <c r="X3389">
        <f>IF(AND(LEFT(D3389,4)+1=LEFT(' Pivot Tables'!$A$4,4)+0,RIGHT(LEFT(D3389,7),2)=RIGHT(LEFT(' Pivot Tables'!$A$4,7),2)),1,0)</f>
        <v>0</v>
      </c>
      <c r="Y3389" s="6">
        <f>1/COUNTIF(Таблица1[Order ID],Таблица1[[#This Row],[Order ID]])</f>
        <v>0.25</v>
      </c>
      <c r="Z3389" s="9">
        <f>1/COUNTIFS(Таблица1[Customer Name],Таблица1[[#This Row],[Customer Name]],Таблица1[Order-Year-Month],Таблица1[[#This Row],[Order-Year-Month]])</f>
        <v>0.25</v>
      </c>
    </row>
    <row r="3390" spans="1:26" x14ac:dyDescent="0.2">
      <c r="A3390" s="6">
        <v>3289</v>
      </c>
      <c r="B3390" s="7">
        <v>23522</v>
      </c>
      <c r="C3390" s="8">
        <f>DATE(2012,12,31)-630</f>
        <v>40644</v>
      </c>
      <c r="D3390" s="8" t="str">
        <f t="shared" si="65"/>
        <v>2011-04 (апрель 2011)</v>
      </c>
      <c r="E3390" s="9" t="s">
        <v>78</v>
      </c>
      <c r="F3390" s="7">
        <v>36</v>
      </c>
      <c r="G3390" s="7">
        <v>233.38</v>
      </c>
      <c r="H3390" s="7">
        <v>0.1</v>
      </c>
      <c r="I3390" s="9" t="s">
        <v>22</v>
      </c>
      <c r="J3390" s="10">
        <v>-180.17</v>
      </c>
      <c r="K3390" s="11">
        <v>6.48</v>
      </c>
      <c r="L3390" s="11">
        <v>8.73</v>
      </c>
      <c r="M3390" s="9" t="s">
        <v>1538</v>
      </c>
      <c r="N3390" s="6" t="s">
        <v>1595</v>
      </c>
      <c r="O3390" s="6" t="s">
        <v>1595</v>
      </c>
      <c r="P3390" s="9" t="s">
        <v>25</v>
      </c>
      <c r="Q3390" s="9" t="s">
        <v>26</v>
      </c>
      <c r="R3390" s="9" t="s">
        <v>61</v>
      </c>
      <c r="S3390" s="7" t="s">
        <v>828</v>
      </c>
      <c r="T3390" s="9" t="s">
        <v>39</v>
      </c>
      <c r="U3390" s="7">
        <v>0.37</v>
      </c>
      <c r="V3390" s="12">
        <f>C3390+2</f>
        <v>40646</v>
      </c>
      <c r="W3390">
        <f>IF(D3390=' Pivot Tables'!$A$4,1,0)</f>
        <v>0</v>
      </c>
      <c r="X3390">
        <f>IF(AND(LEFT(D3390,4)+1=LEFT(' Pivot Tables'!$A$4,4)+0,RIGHT(LEFT(D3390,7),2)=RIGHT(LEFT(' Pivot Tables'!$A$4,7),2)),1,0)</f>
        <v>0</v>
      </c>
      <c r="Y3390" s="6">
        <f>1/COUNTIF(Таблица1[Order ID],Таблица1[[#This Row],[Order ID]])</f>
        <v>0.25</v>
      </c>
      <c r="Z3390" s="9">
        <f>1/COUNTIFS(Таблица1[Customer Name],Таблица1[[#This Row],[Customer Name]],Таблица1[Order-Year-Month],Таблица1[[#This Row],[Order-Year-Month]])</f>
        <v>0.25</v>
      </c>
    </row>
    <row r="3391" spans="1:26" x14ac:dyDescent="0.2">
      <c r="A3391" s="6">
        <v>3349</v>
      </c>
      <c r="B3391" s="7">
        <v>23968</v>
      </c>
      <c r="C3391" s="8">
        <f>DATE(2012,12,31)-668</f>
        <v>40606</v>
      </c>
      <c r="D3391" s="8" t="str">
        <f t="shared" si="65"/>
        <v>2011-03 (март 2011)</v>
      </c>
      <c r="E3391" s="9" t="s">
        <v>78</v>
      </c>
      <c r="F3391" s="7">
        <v>19</v>
      </c>
      <c r="G3391" s="7">
        <v>127.48</v>
      </c>
      <c r="H3391" s="7">
        <v>0.05</v>
      </c>
      <c r="I3391" s="9" t="s">
        <v>22</v>
      </c>
      <c r="J3391" s="10">
        <v>-41.99</v>
      </c>
      <c r="K3391" s="11">
        <v>6.48</v>
      </c>
      <c r="L3391" s="11">
        <v>5.84</v>
      </c>
      <c r="M3391" s="9" t="s">
        <v>1495</v>
      </c>
      <c r="N3391" s="6" t="s">
        <v>1595</v>
      </c>
      <c r="O3391" s="6" t="s">
        <v>1595</v>
      </c>
      <c r="P3391" s="9" t="s">
        <v>41</v>
      </c>
      <c r="Q3391" s="9" t="s">
        <v>26</v>
      </c>
      <c r="R3391" s="9" t="s">
        <v>61</v>
      </c>
      <c r="S3391" s="7" t="s">
        <v>776</v>
      </c>
      <c r="T3391" s="9" t="s">
        <v>39</v>
      </c>
      <c r="U3391" s="7">
        <v>0.37</v>
      </c>
      <c r="V3391" s="12">
        <f>C3391+3</f>
        <v>40609</v>
      </c>
      <c r="W3391">
        <f>IF(D3391=' Pivot Tables'!$A$4,1,0)</f>
        <v>0</v>
      </c>
      <c r="X3391">
        <f>IF(AND(LEFT(D3391,4)+1=LEFT(' Pivot Tables'!$A$4,4)+0,RIGHT(LEFT(D3391,7),2)=RIGHT(LEFT(' Pivot Tables'!$A$4,7),2)),1,0)</f>
        <v>0</v>
      </c>
      <c r="Y3391" s="6">
        <f>1/COUNTIF(Таблица1[Order ID],Таблица1[[#This Row],[Order ID]])</f>
        <v>1</v>
      </c>
      <c r="Z3391" s="9">
        <f>1/COUNTIFS(Таблица1[Customer Name],Таблица1[[#This Row],[Customer Name]],Таблица1[Order-Year-Month],Таблица1[[#This Row],[Order-Year-Month]])</f>
        <v>1</v>
      </c>
    </row>
    <row r="3392" spans="1:26" x14ac:dyDescent="0.2">
      <c r="A3392" s="6">
        <v>3458</v>
      </c>
      <c r="B3392" s="7">
        <v>24644</v>
      </c>
      <c r="C3392" s="8">
        <f>DATE(2012,12,31)-1252</f>
        <v>40022</v>
      </c>
      <c r="D3392" s="8" t="str">
        <f t="shared" si="65"/>
        <v>2009-07 (июль 2009)</v>
      </c>
      <c r="E3392" s="9" t="s">
        <v>78</v>
      </c>
      <c r="F3392" s="7">
        <v>40</v>
      </c>
      <c r="G3392" s="7">
        <v>2550.12</v>
      </c>
      <c r="H3392" s="7">
        <v>0.01</v>
      </c>
      <c r="I3392" s="9" t="s">
        <v>56</v>
      </c>
      <c r="J3392" s="10">
        <v>882.45</v>
      </c>
      <c r="K3392" s="11">
        <v>60.97</v>
      </c>
      <c r="L3392" s="11">
        <v>4.5</v>
      </c>
      <c r="M3392" s="9" t="s">
        <v>1531</v>
      </c>
      <c r="N3392" s="6" t="s">
        <v>1595</v>
      </c>
      <c r="O3392" s="6" t="s">
        <v>1595</v>
      </c>
      <c r="P3392" s="9" t="s">
        <v>41</v>
      </c>
      <c r="Q3392" s="9" t="s">
        <v>26</v>
      </c>
      <c r="R3392" s="9" t="s">
        <v>34</v>
      </c>
      <c r="S3392" s="7" t="s">
        <v>1574</v>
      </c>
      <c r="T3392" s="9" t="s">
        <v>39</v>
      </c>
      <c r="U3392" s="7">
        <v>0.56000000000000005</v>
      </c>
      <c r="V3392" s="12">
        <f>C3392+2</f>
        <v>40024</v>
      </c>
      <c r="W3392">
        <f>IF(D3392=' Pivot Tables'!$A$4,1,0)</f>
        <v>0</v>
      </c>
      <c r="X3392">
        <f>IF(AND(LEFT(D3392,4)+1=LEFT(' Pivot Tables'!$A$4,4)+0,RIGHT(LEFT(D3392,7),2)=RIGHT(LEFT(' Pivot Tables'!$A$4,7),2)),1,0)</f>
        <v>0</v>
      </c>
      <c r="Y3392" s="6">
        <f>1/COUNTIF(Таблица1[Order ID],Таблица1[[#This Row],[Order ID]])</f>
        <v>0.5</v>
      </c>
      <c r="Z3392" s="9">
        <f>1/COUNTIFS(Таблица1[Customer Name],Таблица1[[#This Row],[Customer Name]],Таблица1[Order-Year-Month],Таблица1[[#This Row],[Order-Year-Month]])</f>
        <v>0.5</v>
      </c>
    </row>
    <row r="3393" spans="1:26" x14ac:dyDescent="0.2">
      <c r="A3393" s="6">
        <v>3570</v>
      </c>
      <c r="B3393" s="7">
        <v>25472</v>
      </c>
      <c r="C3393" s="8">
        <f>DATE(2012,12,31)-1320</f>
        <v>39954</v>
      </c>
      <c r="D3393" s="8" t="str">
        <f t="shared" si="65"/>
        <v>2009-05 (май 2009)</v>
      </c>
      <c r="E3393" s="9" t="s">
        <v>30</v>
      </c>
      <c r="F3393" s="7">
        <v>40</v>
      </c>
      <c r="G3393" s="7">
        <v>194.02</v>
      </c>
      <c r="H3393" s="7">
        <v>0.03</v>
      </c>
      <c r="I3393" s="9" t="s">
        <v>22</v>
      </c>
      <c r="J3393" s="10">
        <v>80.349999999999994</v>
      </c>
      <c r="K3393" s="11">
        <v>4.9800000000000004</v>
      </c>
      <c r="L3393" s="11">
        <v>0.8</v>
      </c>
      <c r="M3393" s="9" t="s">
        <v>1581</v>
      </c>
      <c r="N3393" s="6" t="s">
        <v>1595</v>
      </c>
      <c r="O3393" s="6" t="s">
        <v>1595</v>
      </c>
      <c r="P3393" s="9" t="s">
        <v>25</v>
      </c>
      <c r="Q3393" s="9" t="s">
        <v>26</v>
      </c>
      <c r="R3393" s="9" t="s">
        <v>61</v>
      </c>
      <c r="S3393" s="7" t="s">
        <v>842</v>
      </c>
      <c r="T3393" s="9" t="s">
        <v>68</v>
      </c>
      <c r="U3393" s="7">
        <v>0.36</v>
      </c>
      <c r="V3393" s="12">
        <f>C3393+1</f>
        <v>39955</v>
      </c>
      <c r="W3393">
        <f>IF(D3393=' Pivot Tables'!$A$4,1,0)</f>
        <v>0</v>
      </c>
      <c r="X3393">
        <f>IF(AND(LEFT(D3393,4)+1=LEFT(' Pivot Tables'!$A$4,4)+0,RIGHT(LEFT(D3393,7),2)=RIGHT(LEFT(' Pivot Tables'!$A$4,7),2)),1,0)</f>
        <v>0</v>
      </c>
      <c r="Y3393" s="6">
        <f>1/COUNTIF(Таблица1[Order ID],Таблица1[[#This Row],[Order ID]])</f>
        <v>1</v>
      </c>
      <c r="Z3393" s="9">
        <f>1/COUNTIFS(Таблица1[Customer Name],Таблица1[[#This Row],[Customer Name]],Таблица1[Order-Year-Month],Таблица1[[#This Row],[Order-Year-Month]])</f>
        <v>1</v>
      </c>
    </row>
    <row r="3394" spans="1:26" x14ac:dyDescent="0.2">
      <c r="A3394" s="6">
        <v>3629</v>
      </c>
      <c r="B3394" s="7">
        <v>25927</v>
      </c>
      <c r="C3394" s="8">
        <f>DATE(2012,12,31)-1349</f>
        <v>39925</v>
      </c>
      <c r="D3394" s="8" t="str">
        <f t="shared" si="65"/>
        <v>2009-04 (апрель 2009)</v>
      </c>
      <c r="E3394" s="9" t="s">
        <v>63</v>
      </c>
      <c r="F3394" s="7">
        <v>14</v>
      </c>
      <c r="G3394" s="7">
        <v>422.83</v>
      </c>
      <c r="H3394" s="7">
        <v>0.02</v>
      </c>
      <c r="I3394" s="9" t="s">
        <v>22</v>
      </c>
      <c r="J3394" s="10">
        <v>-21.06</v>
      </c>
      <c r="K3394" s="11">
        <v>29.74</v>
      </c>
      <c r="L3394" s="11">
        <v>6.64</v>
      </c>
      <c r="M3394" s="9" t="s">
        <v>815</v>
      </c>
      <c r="N3394" s="6" t="s">
        <v>1595</v>
      </c>
      <c r="O3394" s="6" t="s">
        <v>1595</v>
      </c>
      <c r="P3394" s="9" t="s">
        <v>41</v>
      </c>
      <c r="Q3394" s="9" t="s">
        <v>26</v>
      </c>
      <c r="R3394" s="9" t="s">
        <v>27</v>
      </c>
      <c r="S3394" s="7" t="s">
        <v>376</v>
      </c>
      <c r="T3394" s="9" t="s">
        <v>39</v>
      </c>
      <c r="U3394" s="7">
        <v>0.7</v>
      </c>
      <c r="V3394" s="12">
        <f>C3394+0</f>
        <v>39925</v>
      </c>
      <c r="W3394">
        <f>IF(D3394=' Pivot Tables'!$A$4,1,0)</f>
        <v>0</v>
      </c>
      <c r="X3394">
        <f>IF(AND(LEFT(D3394,4)+1=LEFT(' Pivot Tables'!$A$4,4)+0,RIGHT(LEFT(D3394,7),2)=RIGHT(LEFT(' Pivot Tables'!$A$4,7),2)),1,0)</f>
        <v>0</v>
      </c>
      <c r="Y3394" s="6">
        <f>1/COUNTIF(Таблица1[Order ID],Таблица1[[#This Row],[Order ID]])</f>
        <v>0.5</v>
      </c>
      <c r="Z3394" s="9">
        <f>1/COUNTIFS(Таблица1[Customer Name],Таблица1[[#This Row],[Customer Name]],Таблица1[Order-Year-Month],Таблица1[[#This Row],[Order-Year-Month]])</f>
        <v>0.5</v>
      </c>
    </row>
    <row r="3395" spans="1:26" x14ac:dyDescent="0.2">
      <c r="A3395" s="6">
        <v>3634</v>
      </c>
      <c r="B3395" s="7">
        <v>25955</v>
      </c>
      <c r="C3395" s="8">
        <f>DATE(2012,12,31)-607</f>
        <v>40667</v>
      </c>
      <c r="D3395" s="8" t="str">
        <f t="shared" ref="D3395:D3458" si="66">TEXT(C3395,"гггг-ММ (ММММ гггг)")</f>
        <v>2011-05 (май 2011)</v>
      </c>
      <c r="E3395" s="9" t="s">
        <v>45</v>
      </c>
      <c r="F3395" s="7">
        <v>10</v>
      </c>
      <c r="G3395" s="7">
        <v>170.35</v>
      </c>
      <c r="H3395" s="7">
        <v>0.03</v>
      </c>
      <c r="I3395" s="9" t="s">
        <v>22</v>
      </c>
      <c r="J3395" s="10">
        <v>-39.92</v>
      </c>
      <c r="K3395" s="11">
        <v>16.059999999999999</v>
      </c>
      <c r="L3395" s="11">
        <v>8.34</v>
      </c>
      <c r="M3395" s="9" t="s">
        <v>1406</v>
      </c>
      <c r="N3395" s="6" t="s">
        <v>1595</v>
      </c>
      <c r="O3395" s="6" t="s">
        <v>1595</v>
      </c>
      <c r="P3395" s="9" t="s">
        <v>41</v>
      </c>
      <c r="Q3395" s="9" t="s">
        <v>26</v>
      </c>
      <c r="R3395" s="9" t="s">
        <v>27</v>
      </c>
      <c r="S3395" s="7" t="s">
        <v>967</v>
      </c>
      <c r="T3395" s="9" t="s">
        <v>39</v>
      </c>
      <c r="U3395" s="7">
        <v>0.59</v>
      </c>
      <c r="V3395" s="12">
        <f>C3395+2</f>
        <v>40669</v>
      </c>
      <c r="W3395">
        <f>IF(D3395=' Pivot Tables'!$A$4,1,0)</f>
        <v>0</v>
      </c>
      <c r="X3395">
        <f>IF(AND(LEFT(D3395,4)+1=LEFT(' Pivot Tables'!$A$4,4)+0,RIGHT(LEFT(D3395,7),2)=RIGHT(LEFT(' Pivot Tables'!$A$4,7),2)),1,0)</f>
        <v>0</v>
      </c>
      <c r="Y3395" s="6">
        <f>1/COUNTIF(Таблица1[Order ID],Таблица1[[#This Row],[Order ID]])</f>
        <v>1</v>
      </c>
      <c r="Z3395" s="9">
        <f>1/COUNTIFS(Таблица1[Customer Name],Таблица1[[#This Row],[Customer Name]],Таблица1[Order-Year-Month],Таблица1[[#This Row],[Order-Year-Month]])</f>
        <v>1</v>
      </c>
    </row>
    <row r="3396" spans="1:26" x14ac:dyDescent="0.2">
      <c r="A3396" s="6">
        <v>3668</v>
      </c>
      <c r="B3396" s="7">
        <v>26276</v>
      </c>
      <c r="C3396" s="8">
        <f>DATE(2012,12,31)-841</f>
        <v>40433</v>
      </c>
      <c r="D3396" s="8" t="str">
        <f t="shared" si="66"/>
        <v>2010-09 (сентябрь 2010)</v>
      </c>
      <c r="E3396" s="9" t="s">
        <v>21</v>
      </c>
      <c r="F3396" s="7">
        <v>19</v>
      </c>
      <c r="G3396" s="7">
        <v>20329.8</v>
      </c>
      <c r="H3396" s="7">
        <v>0</v>
      </c>
      <c r="I3396" s="9" t="s">
        <v>22</v>
      </c>
      <c r="J3396" s="10">
        <v>9224.1</v>
      </c>
      <c r="K3396" s="11">
        <v>999.99</v>
      </c>
      <c r="L3396" s="11">
        <v>13.99</v>
      </c>
      <c r="M3396" s="9" t="s">
        <v>1406</v>
      </c>
      <c r="N3396" s="6" t="s">
        <v>1595</v>
      </c>
      <c r="O3396" s="6" t="s">
        <v>1595</v>
      </c>
      <c r="P3396" s="9" t="s">
        <v>41</v>
      </c>
      <c r="Q3396" s="9" t="s">
        <v>42</v>
      </c>
      <c r="R3396" s="9" t="s">
        <v>210</v>
      </c>
      <c r="S3396" s="7" t="s">
        <v>1426</v>
      </c>
      <c r="T3396" s="9" t="s">
        <v>48</v>
      </c>
      <c r="U3396" s="7">
        <v>0.36</v>
      </c>
      <c r="V3396" s="12">
        <f>C3396+4</f>
        <v>40437</v>
      </c>
      <c r="W3396">
        <f>IF(D3396=' Pivot Tables'!$A$4,1,0)</f>
        <v>0</v>
      </c>
      <c r="X3396">
        <f>IF(AND(LEFT(D3396,4)+1=LEFT(' Pivot Tables'!$A$4,4)+0,RIGHT(LEFT(D3396,7),2)=RIGHT(LEFT(' Pivot Tables'!$A$4,7),2)),1,0)</f>
        <v>0</v>
      </c>
      <c r="Y3396" s="6">
        <f>1/COUNTIF(Таблица1[Order ID],Таблица1[[#This Row],[Order ID]])</f>
        <v>0.5</v>
      </c>
      <c r="Z3396" s="9">
        <f>1/COUNTIFS(Таблица1[Customer Name],Таблица1[[#This Row],[Customer Name]],Таблица1[Order-Year-Month],Таблица1[[#This Row],[Order-Year-Month]])</f>
        <v>0.5</v>
      </c>
    </row>
    <row r="3397" spans="1:26" x14ac:dyDescent="0.2">
      <c r="A3397" s="6">
        <v>3676</v>
      </c>
      <c r="B3397" s="7">
        <v>26306</v>
      </c>
      <c r="C3397" s="8">
        <f>DATE(2012,12,31)-62</f>
        <v>41212</v>
      </c>
      <c r="D3397" s="8" t="str">
        <f t="shared" si="66"/>
        <v>2012-10 (октябрь 2012)</v>
      </c>
      <c r="E3397" s="9" t="s">
        <v>21</v>
      </c>
      <c r="F3397" s="7">
        <v>15</v>
      </c>
      <c r="G3397" s="7">
        <v>2567.64</v>
      </c>
      <c r="H3397" s="7">
        <v>0</v>
      </c>
      <c r="I3397" s="9" t="s">
        <v>22</v>
      </c>
      <c r="J3397" s="10">
        <v>-505.98447900000014</v>
      </c>
      <c r="K3397" s="11">
        <v>209.37</v>
      </c>
      <c r="L3397" s="11">
        <v>69</v>
      </c>
      <c r="M3397" s="9" t="s">
        <v>1550</v>
      </c>
      <c r="N3397" s="6" t="s">
        <v>1595</v>
      </c>
      <c r="O3397" s="6" t="s">
        <v>1595</v>
      </c>
      <c r="P3397" s="9" t="s">
        <v>41</v>
      </c>
      <c r="Q3397" s="9" t="s">
        <v>49</v>
      </c>
      <c r="R3397" s="9" t="s">
        <v>83</v>
      </c>
      <c r="S3397" s="7" t="s">
        <v>936</v>
      </c>
      <c r="T3397" s="9" t="s">
        <v>29</v>
      </c>
      <c r="U3397" s="7">
        <v>0.79</v>
      </c>
      <c r="V3397" s="12">
        <f>C3397+5</f>
        <v>41217</v>
      </c>
      <c r="W3397">
        <f>IF(D3397=' Pivot Tables'!$A$4,1,0)</f>
        <v>0</v>
      </c>
      <c r="X3397">
        <f>IF(AND(LEFT(D3397,4)+1=LEFT(' Pivot Tables'!$A$4,4)+0,RIGHT(LEFT(D3397,7),2)=RIGHT(LEFT(' Pivot Tables'!$A$4,7),2)),1,0)</f>
        <v>0</v>
      </c>
      <c r="Y3397" s="6">
        <f>1/COUNTIF(Таблица1[Order ID],Таблица1[[#This Row],[Order ID]])</f>
        <v>0.5</v>
      </c>
      <c r="Z3397" s="9">
        <f>1/COUNTIFS(Таблица1[Customer Name],Таблица1[[#This Row],[Customer Name]],Таблица1[Order-Year-Month],Таблица1[[#This Row],[Order-Year-Month]])</f>
        <v>0.5</v>
      </c>
    </row>
    <row r="3398" spans="1:26" x14ac:dyDescent="0.2">
      <c r="A3398" s="6">
        <v>3739</v>
      </c>
      <c r="B3398" s="7">
        <v>26724</v>
      </c>
      <c r="C3398" s="8">
        <f>DATE(2012,12,31)-1424</f>
        <v>39850</v>
      </c>
      <c r="D3398" s="8" t="str">
        <f t="shared" si="66"/>
        <v>2009-02 (февраль 2009)</v>
      </c>
      <c r="E3398" s="9" t="s">
        <v>78</v>
      </c>
      <c r="F3398" s="7">
        <v>2</v>
      </c>
      <c r="G3398" s="7">
        <v>1838.18</v>
      </c>
      <c r="H3398" s="7">
        <v>0.09</v>
      </c>
      <c r="I3398" s="9" t="s">
        <v>22</v>
      </c>
      <c r="J3398" s="10">
        <v>-2531.4825000000001</v>
      </c>
      <c r="K3398" s="11">
        <v>999.99</v>
      </c>
      <c r="L3398" s="11">
        <v>13.99</v>
      </c>
      <c r="M3398" s="9" t="s">
        <v>1560</v>
      </c>
      <c r="N3398" s="6" t="s">
        <v>1595</v>
      </c>
      <c r="O3398" s="6" t="s">
        <v>1595</v>
      </c>
      <c r="P3398" s="9" t="s">
        <v>25</v>
      </c>
      <c r="Q3398" s="9" t="s">
        <v>42</v>
      </c>
      <c r="R3398" s="9" t="s">
        <v>210</v>
      </c>
      <c r="S3398" s="7" t="s">
        <v>1426</v>
      </c>
      <c r="T3398" s="9" t="s">
        <v>48</v>
      </c>
      <c r="U3398" s="7">
        <v>0.36</v>
      </c>
      <c r="V3398" s="12">
        <f>C3398+2</f>
        <v>39852</v>
      </c>
      <c r="W3398">
        <f>IF(D3398=' Pivot Tables'!$A$4,1,0)</f>
        <v>0</v>
      </c>
      <c r="X3398">
        <f>IF(AND(LEFT(D3398,4)+1=LEFT(' Pivot Tables'!$A$4,4)+0,RIGHT(LEFT(D3398,7),2)=RIGHT(LEFT(' Pivot Tables'!$A$4,7),2)),1,0)</f>
        <v>0</v>
      </c>
      <c r="Y3398" s="6">
        <f>1/COUNTIF(Таблица1[Order ID],Таблица1[[#This Row],[Order ID]])</f>
        <v>1</v>
      </c>
      <c r="Z3398" s="9">
        <f>1/COUNTIFS(Таблица1[Customer Name],Таблица1[[#This Row],[Customer Name]],Таблица1[Order-Year-Month],Таблица1[[#This Row],[Order-Year-Month]])</f>
        <v>1</v>
      </c>
    </row>
    <row r="3399" spans="1:26" x14ac:dyDescent="0.2">
      <c r="A3399" s="6">
        <v>3749</v>
      </c>
      <c r="B3399" s="7">
        <v>26784</v>
      </c>
      <c r="C3399" s="8">
        <f>DATE(2012,12,31)-892</f>
        <v>40382</v>
      </c>
      <c r="D3399" s="8" t="str">
        <f t="shared" si="66"/>
        <v>2010-07 (июль 2010)</v>
      </c>
      <c r="E3399" s="9" t="s">
        <v>78</v>
      </c>
      <c r="F3399" s="7">
        <v>12</v>
      </c>
      <c r="G3399" s="7">
        <v>1466.95</v>
      </c>
      <c r="H3399" s="7">
        <v>0.02</v>
      </c>
      <c r="I3399" s="9" t="s">
        <v>31</v>
      </c>
      <c r="J3399" s="10">
        <v>-64.14</v>
      </c>
      <c r="K3399" s="11">
        <v>120.98</v>
      </c>
      <c r="L3399" s="11">
        <v>30</v>
      </c>
      <c r="M3399" s="9" t="s">
        <v>1488</v>
      </c>
      <c r="N3399" s="6" t="s">
        <v>1595</v>
      </c>
      <c r="O3399" s="6" t="s">
        <v>1595</v>
      </c>
      <c r="P3399" s="9" t="s">
        <v>33</v>
      </c>
      <c r="Q3399" s="9" t="s">
        <v>49</v>
      </c>
      <c r="R3399" s="9" t="s">
        <v>112</v>
      </c>
      <c r="S3399" s="7" t="s">
        <v>116</v>
      </c>
      <c r="T3399" s="9" t="s">
        <v>36</v>
      </c>
      <c r="U3399" s="7">
        <v>0.64</v>
      </c>
      <c r="V3399" s="12">
        <f>C3399+1</f>
        <v>40383</v>
      </c>
      <c r="W3399">
        <f>IF(D3399=' Pivot Tables'!$A$4,1,0)</f>
        <v>0</v>
      </c>
      <c r="X3399">
        <f>IF(AND(LEFT(D3399,4)+1=LEFT(' Pivot Tables'!$A$4,4)+0,RIGHT(LEFT(D3399,7),2)=RIGHT(LEFT(' Pivot Tables'!$A$4,7),2)),1,0)</f>
        <v>0</v>
      </c>
      <c r="Y3399" s="6">
        <f>1/COUNTIF(Таблица1[Order ID],Таблица1[[#This Row],[Order ID]])</f>
        <v>0.5</v>
      </c>
      <c r="Z3399" s="9">
        <f>1/COUNTIFS(Таблица1[Customer Name],Таблица1[[#This Row],[Customer Name]],Таблица1[Order-Year-Month],Таблица1[[#This Row],[Order-Year-Month]])</f>
        <v>0.25</v>
      </c>
    </row>
    <row r="3400" spans="1:26" x14ac:dyDescent="0.2">
      <c r="A3400" s="6">
        <v>3750</v>
      </c>
      <c r="B3400" s="7">
        <v>26784</v>
      </c>
      <c r="C3400" s="8">
        <f>DATE(2012,12,31)-892</f>
        <v>40382</v>
      </c>
      <c r="D3400" s="8" t="str">
        <f t="shared" si="66"/>
        <v>2010-07 (июль 2010)</v>
      </c>
      <c r="E3400" s="9" t="s">
        <v>78</v>
      </c>
      <c r="F3400" s="7">
        <v>33</v>
      </c>
      <c r="G3400" s="7">
        <v>440.23</v>
      </c>
      <c r="H3400" s="7">
        <v>0.09</v>
      </c>
      <c r="I3400" s="9" t="s">
        <v>22</v>
      </c>
      <c r="J3400" s="10">
        <v>-37.9407</v>
      </c>
      <c r="K3400" s="11">
        <v>13.99</v>
      </c>
      <c r="L3400" s="11">
        <v>7.51</v>
      </c>
      <c r="M3400" s="9" t="s">
        <v>1488</v>
      </c>
      <c r="N3400" s="6" t="s">
        <v>1595</v>
      </c>
      <c r="O3400" s="6" t="s">
        <v>1595</v>
      </c>
      <c r="P3400" s="9" t="s">
        <v>33</v>
      </c>
      <c r="Q3400" s="9" t="s">
        <v>42</v>
      </c>
      <c r="R3400" s="9" t="s">
        <v>210</v>
      </c>
      <c r="S3400" s="7" t="s">
        <v>687</v>
      </c>
      <c r="T3400" s="9" t="s">
        <v>48</v>
      </c>
      <c r="U3400" s="7">
        <v>0.39</v>
      </c>
      <c r="V3400" s="12">
        <f>C3400+1</f>
        <v>40383</v>
      </c>
      <c r="W3400">
        <f>IF(D3400=' Pivot Tables'!$A$4,1,0)</f>
        <v>0</v>
      </c>
      <c r="X3400">
        <f>IF(AND(LEFT(D3400,4)+1=LEFT(' Pivot Tables'!$A$4,4)+0,RIGHT(LEFT(D3400,7),2)=RIGHT(LEFT(' Pivot Tables'!$A$4,7),2)),1,0)</f>
        <v>0</v>
      </c>
      <c r="Y3400" s="6">
        <f>1/COUNTIF(Таблица1[Order ID],Таблица1[[#This Row],[Order ID]])</f>
        <v>0.5</v>
      </c>
      <c r="Z3400" s="9">
        <f>1/COUNTIFS(Таблица1[Customer Name],Таблица1[[#This Row],[Customer Name]],Таблица1[Order-Year-Month],Таблица1[[#This Row],[Order-Year-Month]])</f>
        <v>0.25</v>
      </c>
    </row>
    <row r="3401" spans="1:26" x14ac:dyDescent="0.2">
      <c r="A3401" s="6">
        <v>3765</v>
      </c>
      <c r="B3401" s="7">
        <v>26912</v>
      </c>
      <c r="C3401" s="8">
        <f>DATE(2012,12,31)-248</f>
        <v>41026</v>
      </c>
      <c r="D3401" s="8" t="str">
        <f t="shared" si="66"/>
        <v>2012-04 (апрель 2012)</v>
      </c>
      <c r="E3401" s="9" t="s">
        <v>21</v>
      </c>
      <c r="F3401" s="7">
        <v>18</v>
      </c>
      <c r="G3401" s="7">
        <v>3136.2024999999999</v>
      </c>
      <c r="H3401" s="7">
        <v>7.0000000000000007E-2</v>
      </c>
      <c r="I3401" s="9" t="s">
        <v>22</v>
      </c>
      <c r="J3401" s="10">
        <v>439.77599999999995</v>
      </c>
      <c r="K3401" s="11">
        <v>205.99</v>
      </c>
      <c r="L3401" s="11">
        <v>5.26</v>
      </c>
      <c r="M3401" s="9" t="s">
        <v>1383</v>
      </c>
      <c r="N3401" s="6" t="s">
        <v>1595</v>
      </c>
      <c r="O3401" s="6" t="s">
        <v>1595</v>
      </c>
      <c r="P3401" s="9" t="s">
        <v>60</v>
      </c>
      <c r="Q3401" s="9" t="s">
        <v>42</v>
      </c>
      <c r="R3401" s="9" t="s">
        <v>43</v>
      </c>
      <c r="S3401" s="7" t="s">
        <v>329</v>
      </c>
      <c r="T3401" s="9" t="s">
        <v>39</v>
      </c>
      <c r="U3401" s="7">
        <v>0.56000000000000005</v>
      </c>
      <c r="V3401" s="12">
        <f>C3401+4</f>
        <v>41030</v>
      </c>
      <c r="W3401">
        <f>IF(D3401=' Pivot Tables'!$A$4,1,0)</f>
        <v>0</v>
      </c>
      <c r="X3401">
        <f>IF(AND(LEFT(D3401,4)+1=LEFT(' Pivot Tables'!$A$4,4)+0,RIGHT(LEFT(D3401,7),2)=RIGHT(LEFT(' Pivot Tables'!$A$4,7),2)),1,0)</f>
        <v>0</v>
      </c>
      <c r="Y3401" s="6">
        <f>1/COUNTIF(Таблица1[Order ID],Таблица1[[#This Row],[Order ID]])</f>
        <v>0.5</v>
      </c>
      <c r="Z3401" s="9">
        <f>1/COUNTIFS(Таблица1[Customer Name],Таблица1[[#This Row],[Customer Name]],Таблица1[Order-Year-Month],Таблица1[[#This Row],[Order-Year-Month]])</f>
        <v>0.5</v>
      </c>
    </row>
    <row r="3402" spans="1:26" x14ac:dyDescent="0.2">
      <c r="A3402" s="6">
        <v>3776</v>
      </c>
      <c r="B3402" s="7">
        <v>26949</v>
      </c>
      <c r="C3402" s="8">
        <f>DATE(2012,12,31)-1234</f>
        <v>40040</v>
      </c>
      <c r="D3402" s="8" t="str">
        <f t="shared" si="66"/>
        <v>2009-08 (август 2009)</v>
      </c>
      <c r="E3402" s="9" t="s">
        <v>78</v>
      </c>
      <c r="F3402" s="7">
        <v>48</v>
      </c>
      <c r="G3402" s="7">
        <v>460.69</v>
      </c>
      <c r="H3402" s="7">
        <v>0.06</v>
      </c>
      <c r="I3402" s="9" t="s">
        <v>22</v>
      </c>
      <c r="J3402" s="10">
        <v>-103.48</v>
      </c>
      <c r="K3402" s="11">
        <v>9.48</v>
      </c>
      <c r="L3402" s="11">
        <v>7.29</v>
      </c>
      <c r="M3402" s="9" t="s">
        <v>1544</v>
      </c>
      <c r="N3402" s="6" t="s">
        <v>1595</v>
      </c>
      <c r="O3402" s="6" t="s">
        <v>1595</v>
      </c>
      <c r="P3402" s="9" t="s">
        <v>60</v>
      </c>
      <c r="Q3402" s="9" t="s">
        <v>49</v>
      </c>
      <c r="R3402" s="9" t="s">
        <v>50</v>
      </c>
      <c r="S3402" s="7" t="s">
        <v>934</v>
      </c>
      <c r="T3402" s="9" t="s">
        <v>52</v>
      </c>
      <c r="U3402" s="7">
        <v>0.45</v>
      </c>
      <c r="V3402" s="12">
        <f>C3402+2</f>
        <v>40042</v>
      </c>
      <c r="W3402">
        <f>IF(D3402=' Pivot Tables'!$A$4,1,0)</f>
        <v>0</v>
      </c>
      <c r="X3402">
        <f>IF(AND(LEFT(D3402,4)+1=LEFT(' Pivot Tables'!$A$4,4)+0,RIGHT(LEFT(D3402,7),2)=RIGHT(LEFT(' Pivot Tables'!$A$4,7),2)),1,0)</f>
        <v>0</v>
      </c>
      <c r="Y3402" s="6">
        <f>1/COUNTIF(Таблица1[Order ID],Таблица1[[#This Row],[Order ID]])</f>
        <v>1</v>
      </c>
      <c r="Z3402" s="9">
        <f>1/COUNTIFS(Таблица1[Customer Name],Таблица1[[#This Row],[Customer Name]],Таблица1[Order-Year-Month],Таблица1[[#This Row],[Order-Year-Month]])</f>
        <v>1</v>
      </c>
    </row>
    <row r="3403" spans="1:26" x14ac:dyDescent="0.2">
      <c r="A3403" s="6">
        <v>3845</v>
      </c>
      <c r="B3403" s="7">
        <v>27430</v>
      </c>
      <c r="C3403" s="8">
        <f>DATE(2012,12,31)-700</f>
        <v>40574</v>
      </c>
      <c r="D3403" s="8" t="str">
        <f t="shared" si="66"/>
        <v>2011-01 (январь 2011)</v>
      </c>
      <c r="E3403" s="9" t="s">
        <v>30</v>
      </c>
      <c r="F3403" s="7">
        <v>12</v>
      </c>
      <c r="G3403" s="7">
        <v>82.64</v>
      </c>
      <c r="H3403" s="7">
        <v>0.1</v>
      </c>
      <c r="I3403" s="9" t="s">
        <v>22</v>
      </c>
      <c r="J3403" s="10">
        <v>0.35</v>
      </c>
      <c r="K3403" s="11">
        <v>7.08</v>
      </c>
      <c r="L3403" s="11">
        <v>2.35</v>
      </c>
      <c r="M3403" s="9" t="s">
        <v>1543</v>
      </c>
      <c r="N3403" s="6" t="s">
        <v>1595</v>
      </c>
      <c r="O3403" s="6" t="s">
        <v>1595</v>
      </c>
      <c r="P3403" s="9" t="s">
        <v>25</v>
      </c>
      <c r="Q3403" s="9" t="s">
        <v>26</v>
      </c>
      <c r="R3403" s="9" t="s">
        <v>95</v>
      </c>
      <c r="S3403" s="7" t="s">
        <v>286</v>
      </c>
      <c r="T3403" s="9" t="s">
        <v>68</v>
      </c>
      <c r="U3403" s="7">
        <v>0.47</v>
      </c>
      <c r="V3403" s="12">
        <f>C3403+1</f>
        <v>40575</v>
      </c>
      <c r="W3403">
        <f>IF(D3403=' Pivot Tables'!$A$4,1,0)</f>
        <v>0</v>
      </c>
      <c r="X3403">
        <f>IF(AND(LEFT(D3403,4)+1=LEFT(' Pivot Tables'!$A$4,4)+0,RIGHT(LEFT(D3403,7),2)=RIGHT(LEFT(' Pivot Tables'!$A$4,7),2)),1,0)</f>
        <v>0</v>
      </c>
      <c r="Y3403" s="6">
        <f>1/COUNTIF(Таблица1[Order ID],Таблица1[[#This Row],[Order ID]])</f>
        <v>0.5</v>
      </c>
      <c r="Z3403" s="9">
        <f>1/COUNTIFS(Таблица1[Customer Name],Таблица1[[#This Row],[Customer Name]],Таблица1[Order-Year-Month],Таблица1[[#This Row],[Order-Year-Month]])</f>
        <v>0.25</v>
      </c>
    </row>
    <row r="3404" spans="1:26" x14ac:dyDescent="0.2">
      <c r="A3404" s="6">
        <v>3949</v>
      </c>
      <c r="B3404" s="7">
        <v>28161</v>
      </c>
      <c r="C3404" s="8">
        <f>DATE(2012,12,31)-1295</f>
        <v>39979</v>
      </c>
      <c r="D3404" s="8" t="str">
        <f t="shared" si="66"/>
        <v>2009-06 (июнь 2009)</v>
      </c>
      <c r="E3404" s="9" t="s">
        <v>45</v>
      </c>
      <c r="F3404" s="7">
        <v>10</v>
      </c>
      <c r="G3404" s="7">
        <v>784.08</v>
      </c>
      <c r="H3404" s="7">
        <v>0.02</v>
      </c>
      <c r="I3404" s="9" t="s">
        <v>31</v>
      </c>
      <c r="J3404" s="10">
        <v>-222.77</v>
      </c>
      <c r="K3404" s="11">
        <v>70.98</v>
      </c>
      <c r="L3404" s="11">
        <v>46.74</v>
      </c>
      <c r="M3404" s="9" t="s">
        <v>1466</v>
      </c>
      <c r="N3404" s="6" t="s">
        <v>1595</v>
      </c>
      <c r="O3404" s="6" t="s">
        <v>1595</v>
      </c>
      <c r="P3404" s="9" t="s">
        <v>33</v>
      </c>
      <c r="Q3404" s="9" t="s">
        <v>49</v>
      </c>
      <c r="R3404" s="9" t="s">
        <v>80</v>
      </c>
      <c r="S3404" s="7" t="s">
        <v>989</v>
      </c>
      <c r="T3404" s="9" t="s">
        <v>82</v>
      </c>
      <c r="U3404" s="7">
        <v>0.56000000000000005</v>
      </c>
      <c r="V3404" s="12">
        <f>C3404+1</f>
        <v>39980</v>
      </c>
      <c r="W3404">
        <f>IF(D3404=' Pivot Tables'!$A$4,1,0)</f>
        <v>0</v>
      </c>
      <c r="X3404">
        <f>IF(AND(LEFT(D3404,4)+1=LEFT(' Pivot Tables'!$A$4,4)+0,RIGHT(LEFT(D3404,7),2)=RIGHT(LEFT(' Pivot Tables'!$A$4,7),2)),1,0)</f>
        <v>0</v>
      </c>
      <c r="Y3404" s="6">
        <f>1/COUNTIF(Таблица1[Order ID],Таблица1[[#This Row],[Order ID]])</f>
        <v>0.33333333333333331</v>
      </c>
      <c r="Z3404" s="9">
        <f>1/COUNTIFS(Таблица1[Customer Name],Таблица1[[#This Row],[Customer Name]],Таблица1[Order-Year-Month],Таблица1[[#This Row],[Order-Year-Month]])</f>
        <v>0.2</v>
      </c>
    </row>
    <row r="3405" spans="1:26" x14ac:dyDescent="0.2">
      <c r="A3405" s="6">
        <v>3951</v>
      </c>
      <c r="B3405" s="7">
        <v>28161</v>
      </c>
      <c r="C3405" s="8">
        <f>DATE(2012,12,31)-1295</f>
        <v>39979</v>
      </c>
      <c r="D3405" s="8" t="str">
        <f t="shared" si="66"/>
        <v>2009-06 (июнь 2009)</v>
      </c>
      <c r="E3405" s="9" t="s">
        <v>45</v>
      </c>
      <c r="F3405" s="7">
        <v>41</v>
      </c>
      <c r="G3405" s="7">
        <v>1085.6099999999999</v>
      </c>
      <c r="H3405" s="7">
        <v>0.04</v>
      </c>
      <c r="I3405" s="9" t="s">
        <v>22</v>
      </c>
      <c r="J3405" s="10">
        <v>-33.32</v>
      </c>
      <c r="K3405" s="11">
        <v>27.48</v>
      </c>
      <c r="L3405" s="11">
        <v>4</v>
      </c>
      <c r="M3405" s="9" t="s">
        <v>1466</v>
      </c>
      <c r="N3405" s="6" t="s">
        <v>1595</v>
      </c>
      <c r="O3405" s="6" t="s">
        <v>1595</v>
      </c>
      <c r="P3405" s="9" t="s">
        <v>33</v>
      </c>
      <c r="Q3405" s="9" t="s">
        <v>42</v>
      </c>
      <c r="R3405" s="9" t="s">
        <v>70</v>
      </c>
      <c r="S3405" s="7" t="s">
        <v>762</v>
      </c>
      <c r="T3405" s="9" t="s">
        <v>39</v>
      </c>
      <c r="U3405" s="7">
        <v>0.75</v>
      </c>
      <c r="V3405" s="12">
        <f>C3405+2</f>
        <v>39981</v>
      </c>
      <c r="W3405">
        <f>IF(D3405=' Pivot Tables'!$A$4,1,0)</f>
        <v>0</v>
      </c>
      <c r="X3405">
        <f>IF(AND(LEFT(D3405,4)+1=LEFT(' Pivot Tables'!$A$4,4)+0,RIGHT(LEFT(D3405,7),2)=RIGHT(LEFT(' Pivot Tables'!$A$4,7),2)),1,0)</f>
        <v>0</v>
      </c>
      <c r="Y3405" s="6">
        <f>1/COUNTIF(Таблица1[Order ID],Таблица1[[#This Row],[Order ID]])</f>
        <v>0.33333333333333331</v>
      </c>
      <c r="Z3405" s="9">
        <f>1/COUNTIFS(Таблица1[Customer Name],Таблица1[[#This Row],[Customer Name]],Таблица1[Order-Year-Month],Таблица1[[#This Row],[Order-Year-Month]])</f>
        <v>0.2</v>
      </c>
    </row>
    <row r="3406" spans="1:26" x14ac:dyDescent="0.2">
      <c r="A3406" s="6">
        <v>4070</v>
      </c>
      <c r="B3406" s="7">
        <v>28992</v>
      </c>
      <c r="C3406" s="8">
        <f>DATE(2012,12,31)-469</f>
        <v>40805</v>
      </c>
      <c r="D3406" s="8" t="str">
        <f t="shared" si="66"/>
        <v>2011-09 (сентябрь 2011)</v>
      </c>
      <c r="E3406" s="9" t="s">
        <v>78</v>
      </c>
      <c r="F3406" s="7">
        <v>41</v>
      </c>
      <c r="G3406" s="7">
        <v>6863.95</v>
      </c>
      <c r="H3406" s="7">
        <v>0.1</v>
      </c>
      <c r="I3406" s="9" t="s">
        <v>56</v>
      </c>
      <c r="J3406" s="10">
        <v>1662.92</v>
      </c>
      <c r="K3406" s="11">
        <v>178.47</v>
      </c>
      <c r="L3406" s="11">
        <v>19.989999999999998</v>
      </c>
      <c r="M3406" s="9" t="s">
        <v>1465</v>
      </c>
      <c r="N3406" s="6" t="s">
        <v>1595</v>
      </c>
      <c r="O3406" s="6" t="s">
        <v>1595</v>
      </c>
      <c r="P3406" s="9" t="s">
        <v>33</v>
      </c>
      <c r="Q3406" s="9" t="s">
        <v>26</v>
      </c>
      <c r="R3406" s="9" t="s">
        <v>27</v>
      </c>
      <c r="S3406" s="7" t="s">
        <v>1195</v>
      </c>
      <c r="T3406" s="9" t="s">
        <v>39</v>
      </c>
      <c r="U3406" s="7">
        <v>0.55000000000000004</v>
      </c>
      <c r="V3406" s="12">
        <f>C3406+1</f>
        <v>40806</v>
      </c>
      <c r="W3406">
        <f>IF(D3406=' Pivot Tables'!$A$4,1,0)</f>
        <v>0</v>
      </c>
      <c r="X3406">
        <f>IF(AND(LEFT(D3406,4)+1=LEFT(' Pivot Tables'!$A$4,4)+0,RIGHT(LEFT(D3406,7),2)=RIGHT(LEFT(' Pivot Tables'!$A$4,7),2)),1,0)</f>
        <v>0</v>
      </c>
      <c r="Y3406" s="6">
        <f>1/COUNTIF(Таблица1[Order ID],Таблица1[[#This Row],[Order ID]])</f>
        <v>1</v>
      </c>
      <c r="Z3406" s="9">
        <f>1/COUNTIFS(Таблица1[Customer Name],Таблица1[[#This Row],[Customer Name]],Таблица1[Order-Year-Month],Таблица1[[#This Row],[Order-Year-Month]])</f>
        <v>0.5</v>
      </c>
    </row>
    <row r="3407" spans="1:26" x14ac:dyDescent="0.2">
      <c r="A3407" s="6">
        <v>4130</v>
      </c>
      <c r="B3407" s="7">
        <v>29349</v>
      </c>
      <c r="C3407" s="8">
        <f>DATE(2012,12,31)-935</f>
        <v>40339</v>
      </c>
      <c r="D3407" s="8" t="str">
        <f t="shared" si="66"/>
        <v>2010-06 (июнь 2010)</v>
      </c>
      <c r="E3407" s="9" t="s">
        <v>30</v>
      </c>
      <c r="F3407" s="7">
        <v>33</v>
      </c>
      <c r="G3407" s="7">
        <v>162.38999999999999</v>
      </c>
      <c r="H3407" s="7">
        <v>0.1</v>
      </c>
      <c r="I3407" s="9" t="s">
        <v>22</v>
      </c>
      <c r="J3407" s="10">
        <v>-101.68</v>
      </c>
      <c r="K3407" s="11">
        <v>5.28</v>
      </c>
      <c r="L3407" s="11">
        <v>5.57</v>
      </c>
      <c r="M3407" s="9" t="s">
        <v>1469</v>
      </c>
      <c r="N3407" s="6" t="s">
        <v>1595</v>
      </c>
      <c r="O3407" s="6" t="s">
        <v>1595</v>
      </c>
      <c r="P3407" s="9" t="s">
        <v>25</v>
      </c>
      <c r="Q3407" s="9" t="s">
        <v>26</v>
      </c>
      <c r="R3407" s="9" t="s">
        <v>61</v>
      </c>
      <c r="S3407" s="7" t="s">
        <v>1650</v>
      </c>
      <c r="T3407" s="9" t="s">
        <v>39</v>
      </c>
      <c r="U3407" s="7">
        <v>0.4</v>
      </c>
      <c r="V3407" s="12">
        <f>C3407+2</f>
        <v>40341</v>
      </c>
      <c r="W3407">
        <f>IF(D3407=' Pivot Tables'!$A$4,1,0)</f>
        <v>0</v>
      </c>
      <c r="X3407">
        <f>IF(AND(LEFT(D3407,4)+1=LEFT(' Pivot Tables'!$A$4,4)+0,RIGHT(LEFT(D3407,7),2)=RIGHT(LEFT(' Pivot Tables'!$A$4,7),2)),1,0)</f>
        <v>0</v>
      </c>
      <c r="Y3407" s="6">
        <f>1/COUNTIF(Таблица1[Order ID],Таблица1[[#This Row],[Order ID]])</f>
        <v>0.5</v>
      </c>
      <c r="Z3407" s="9">
        <f>1/COUNTIFS(Таблица1[Customer Name],Таблица1[[#This Row],[Customer Name]],Таблица1[Order-Year-Month],Таблица1[[#This Row],[Order-Year-Month]])</f>
        <v>0.5</v>
      </c>
    </row>
    <row r="3408" spans="1:26" x14ac:dyDescent="0.2">
      <c r="A3408" s="6">
        <v>4131</v>
      </c>
      <c r="B3408" s="7">
        <v>29350</v>
      </c>
      <c r="C3408" s="8">
        <f>DATE(2012,12,31)-1224</f>
        <v>40050</v>
      </c>
      <c r="D3408" s="8" t="str">
        <f t="shared" si="66"/>
        <v>2009-08 (август 2009)</v>
      </c>
      <c r="E3408" s="9" t="s">
        <v>30</v>
      </c>
      <c r="F3408" s="7">
        <v>47</v>
      </c>
      <c r="G3408" s="7">
        <v>2519.5500000000002</v>
      </c>
      <c r="H3408" s="7">
        <v>0.05</v>
      </c>
      <c r="I3408" s="9" t="s">
        <v>22</v>
      </c>
      <c r="J3408" s="10">
        <v>592.52650000000006</v>
      </c>
      <c r="K3408" s="11">
        <v>52.4</v>
      </c>
      <c r="L3408" s="11">
        <v>16.11</v>
      </c>
      <c r="M3408" s="9" t="s">
        <v>1462</v>
      </c>
      <c r="N3408" s="6" t="s">
        <v>1595</v>
      </c>
      <c r="O3408" s="6" t="s">
        <v>1595</v>
      </c>
      <c r="P3408" s="9" t="s">
        <v>33</v>
      </c>
      <c r="Q3408" s="9" t="s">
        <v>26</v>
      </c>
      <c r="R3408" s="9" t="s">
        <v>37</v>
      </c>
      <c r="S3408" s="7" t="s">
        <v>1110</v>
      </c>
      <c r="T3408" s="9" t="s">
        <v>39</v>
      </c>
      <c r="U3408" s="7">
        <v>0.39</v>
      </c>
      <c r="V3408" s="12">
        <f>C3408+2</f>
        <v>40052</v>
      </c>
      <c r="W3408">
        <f>IF(D3408=' Pivot Tables'!$A$4,1,0)</f>
        <v>0</v>
      </c>
      <c r="X3408">
        <f>IF(AND(LEFT(D3408,4)+1=LEFT(' Pivot Tables'!$A$4,4)+0,RIGHT(LEFT(D3408,7),2)=RIGHT(LEFT(' Pivot Tables'!$A$4,7),2)),1,0)</f>
        <v>0</v>
      </c>
      <c r="Y3408" s="6">
        <f>1/COUNTIF(Таблица1[Order ID],Таблица1[[#This Row],[Order ID]])</f>
        <v>0.33333333333333331</v>
      </c>
      <c r="Z3408" s="9">
        <f>1/COUNTIFS(Таблица1[Customer Name],Таблица1[[#This Row],[Customer Name]],Таблица1[Order-Year-Month],Таблица1[[#This Row],[Order-Year-Month]])</f>
        <v>0.33333333333333331</v>
      </c>
    </row>
    <row r="3409" spans="1:26" x14ac:dyDescent="0.2">
      <c r="A3409" s="6">
        <v>4133</v>
      </c>
      <c r="B3409" s="7">
        <v>29350</v>
      </c>
      <c r="C3409" s="8">
        <f>DATE(2012,12,31)-1224</f>
        <v>40050</v>
      </c>
      <c r="D3409" s="8" t="str">
        <f t="shared" si="66"/>
        <v>2009-08 (август 2009)</v>
      </c>
      <c r="E3409" s="9" t="s">
        <v>30</v>
      </c>
      <c r="F3409" s="7">
        <v>46</v>
      </c>
      <c r="G3409" s="7">
        <v>1634.17</v>
      </c>
      <c r="H3409" s="7">
        <v>0.05</v>
      </c>
      <c r="I3409" s="9" t="s">
        <v>56</v>
      </c>
      <c r="J3409" s="10">
        <v>232.8</v>
      </c>
      <c r="K3409" s="11">
        <v>36.549999999999997</v>
      </c>
      <c r="L3409" s="11">
        <v>13.89</v>
      </c>
      <c r="M3409" s="9" t="s">
        <v>1462</v>
      </c>
      <c r="N3409" s="6" t="s">
        <v>1595</v>
      </c>
      <c r="O3409" s="6" t="s">
        <v>1595</v>
      </c>
      <c r="P3409" s="9" t="s">
        <v>33</v>
      </c>
      <c r="Q3409" s="9" t="s">
        <v>26</v>
      </c>
      <c r="R3409" s="9" t="s">
        <v>95</v>
      </c>
      <c r="S3409" s="7" t="s">
        <v>290</v>
      </c>
      <c r="T3409" s="9" t="s">
        <v>68</v>
      </c>
      <c r="U3409" s="7">
        <v>0.41</v>
      </c>
      <c r="V3409" s="12">
        <f>C3409+1</f>
        <v>40051</v>
      </c>
      <c r="W3409">
        <f>IF(D3409=' Pivot Tables'!$A$4,1,0)</f>
        <v>0</v>
      </c>
      <c r="X3409">
        <f>IF(AND(LEFT(D3409,4)+1=LEFT(' Pivot Tables'!$A$4,4)+0,RIGHT(LEFT(D3409,7),2)=RIGHT(LEFT(' Pivot Tables'!$A$4,7),2)),1,0)</f>
        <v>0</v>
      </c>
      <c r="Y3409" s="6">
        <f>1/COUNTIF(Таблица1[Order ID],Таблица1[[#This Row],[Order ID]])</f>
        <v>0.33333333333333331</v>
      </c>
      <c r="Z3409" s="9">
        <f>1/COUNTIFS(Таблица1[Customer Name],Таблица1[[#This Row],[Customer Name]],Таблица1[Order-Year-Month],Таблица1[[#This Row],[Order-Year-Month]])</f>
        <v>0.33333333333333331</v>
      </c>
    </row>
    <row r="3410" spans="1:26" x14ac:dyDescent="0.2">
      <c r="A3410" s="6">
        <v>4152</v>
      </c>
      <c r="B3410" s="7">
        <v>29473</v>
      </c>
      <c r="C3410" s="8">
        <f>DATE(2012,12,31)-320</f>
        <v>40954</v>
      </c>
      <c r="D3410" s="8" t="str">
        <f t="shared" si="66"/>
        <v>2012-02 (февраль 2012)</v>
      </c>
      <c r="E3410" s="9" t="s">
        <v>63</v>
      </c>
      <c r="F3410" s="7">
        <v>40</v>
      </c>
      <c r="G3410" s="7">
        <v>13367.82</v>
      </c>
      <c r="H3410" s="7">
        <v>0</v>
      </c>
      <c r="I3410" s="9" t="s">
        <v>31</v>
      </c>
      <c r="J3410" s="10">
        <v>-774.89068800000007</v>
      </c>
      <c r="K3410" s="11">
        <v>320.64</v>
      </c>
      <c r="L3410" s="11">
        <v>29.2</v>
      </c>
      <c r="M3410" s="9" t="s">
        <v>1540</v>
      </c>
      <c r="N3410" s="6" t="s">
        <v>1595</v>
      </c>
      <c r="O3410" s="6" t="s">
        <v>1595</v>
      </c>
      <c r="P3410" s="9" t="s">
        <v>33</v>
      </c>
      <c r="Q3410" s="9" t="s">
        <v>49</v>
      </c>
      <c r="R3410" s="9" t="s">
        <v>83</v>
      </c>
      <c r="S3410" s="7" t="s">
        <v>1619</v>
      </c>
      <c r="T3410" s="9" t="s">
        <v>82</v>
      </c>
      <c r="U3410" s="7">
        <v>0.66</v>
      </c>
      <c r="V3410" s="12">
        <f>C3410+1</f>
        <v>40955</v>
      </c>
      <c r="W3410">
        <f>IF(D3410=' Pivot Tables'!$A$4,1,0)</f>
        <v>0</v>
      </c>
      <c r="X3410">
        <f>IF(AND(LEFT(D3410,4)+1=LEFT(' Pivot Tables'!$A$4,4)+0,RIGHT(LEFT(D3410,7),2)=RIGHT(LEFT(' Pivot Tables'!$A$4,7),2)),1,0)</f>
        <v>0</v>
      </c>
      <c r="Y3410" s="6">
        <f>1/COUNTIF(Таблица1[Order ID],Таблица1[[#This Row],[Order ID]])</f>
        <v>0.5</v>
      </c>
      <c r="Z3410" s="9">
        <f>1/COUNTIFS(Таблица1[Customer Name],Таблица1[[#This Row],[Customer Name]],Таблица1[Order-Year-Month],Таблица1[[#This Row],[Order-Year-Month]])</f>
        <v>0.5</v>
      </c>
    </row>
    <row r="3411" spans="1:26" x14ac:dyDescent="0.2">
      <c r="A3411" s="6">
        <v>4225</v>
      </c>
      <c r="B3411" s="7">
        <v>30023</v>
      </c>
      <c r="C3411" s="8">
        <f>DATE(2012,12,31)-808</f>
        <v>40466</v>
      </c>
      <c r="D3411" s="8" t="str">
        <f t="shared" si="66"/>
        <v>2010-10 (октябрь 2010)</v>
      </c>
      <c r="E3411" s="9" t="s">
        <v>21</v>
      </c>
      <c r="F3411" s="7">
        <v>34</v>
      </c>
      <c r="G3411" s="7">
        <v>16193.16</v>
      </c>
      <c r="H3411" s="7">
        <v>0.02</v>
      </c>
      <c r="I3411" s="9" t="s">
        <v>31</v>
      </c>
      <c r="J3411" s="10">
        <v>6463.34</v>
      </c>
      <c r="K3411" s="11">
        <v>449.99</v>
      </c>
      <c r="L3411" s="11">
        <v>49</v>
      </c>
      <c r="M3411" s="9" t="s">
        <v>1482</v>
      </c>
      <c r="N3411" s="6" t="s">
        <v>1595</v>
      </c>
      <c r="O3411" s="6" t="s">
        <v>1595</v>
      </c>
      <c r="P3411" s="9" t="s">
        <v>33</v>
      </c>
      <c r="Q3411" s="9" t="s">
        <v>42</v>
      </c>
      <c r="R3411" s="9" t="s">
        <v>99</v>
      </c>
      <c r="S3411" s="7" t="s">
        <v>100</v>
      </c>
      <c r="T3411" s="9" t="s">
        <v>36</v>
      </c>
      <c r="U3411" s="7">
        <v>0.38</v>
      </c>
      <c r="V3411" s="12">
        <f>C3411+4</f>
        <v>40470</v>
      </c>
      <c r="W3411">
        <f>IF(D3411=' Pivot Tables'!$A$4,1,0)</f>
        <v>0</v>
      </c>
      <c r="X3411">
        <f>IF(AND(LEFT(D3411,4)+1=LEFT(' Pivot Tables'!$A$4,4)+0,RIGHT(LEFT(D3411,7),2)=RIGHT(LEFT(' Pivot Tables'!$A$4,7),2)),1,0)</f>
        <v>0</v>
      </c>
      <c r="Y3411" s="6">
        <f>1/COUNTIF(Таблица1[Order ID],Таблица1[[#This Row],[Order ID]])</f>
        <v>0.25</v>
      </c>
      <c r="Z3411" s="9">
        <f>1/COUNTIFS(Таблица1[Customer Name],Таблица1[[#This Row],[Customer Name]],Таблица1[Order-Year-Month],Таблица1[[#This Row],[Order-Year-Month]])</f>
        <v>0.25</v>
      </c>
    </row>
    <row r="3412" spans="1:26" x14ac:dyDescent="0.2">
      <c r="A3412" s="6">
        <v>4241</v>
      </c>
      <c r="B3412" s="7">
        <v>30150</v>
      </c>
      <c r="C3412" s="8">
        <f>DATE(2012,12,31)-819</f>
        <v>40455</v>
      </c>
      <c r="D3412" s="8" t="str">
        <f t="shared" si="66"/>
        <v>2010-10 (октябрь 2010)</v>
      </c>
      <c r="E3412" s="9" t="s">
        <v>78</v>
      </c>
      <c r="F3412" s="7">
        <v>30</v>
      </c>
      <c r="G3412" s="7">
        <v>443.46</v>
      </c>
      <c r="H3412" s="7">
        <v>0.06</v>
      </c>
      <c r="I3412" s="9" t="s">
        <v>22</v>
      </c>
      <c r="J3412" s="10">
        <v>193.12</v>
      </c>
      <c r="K3412" s="11">
        <v>15.57</v>
      </c>
      <c r="L3412" s="11">
        <v>1.39</v>
      </c>
      <c r="M3412" s="9" t="s">
        <v>1544</v>
      </c>
      <c r="N3412" s="6" t="s">
        <v>1595</v>
      </c>
      <c r="O3412" s="6" t="s">
        <v>1595</v>
      </c>
      <c r="P3412" s="9" t="s">
        <v>60</v>
      </c>
      <c r="Q3412" s="9" t="s">
        <v>26</v>
      </c>
      <c r="R3412" s="9" t="s">
        <v>76</v>
      </c>
      <c r="S3412" s="7" t="s">
        <v>1176</v>
      </c>
      <c r="T3412" s="9" t="s">
        <v>39</v>
      </c>
      <c r="U3412" s="7">
        <v>0.38</v>
      </c>
      <c r="V3412" s="12">
        <f>C3412+1</f>
        <v>40456</v>
      </c>
      <c r="W3412">
        <f>IF(D3412=' Pivot Tables'!$A$4,1,0)</f>
        <v>0</v>
      </c>
      <c r="X3412">
        <f>IF(AND(LEFT(D3412,4)+1=LEFT(' Pivot Tables'!$A$4,4)+0,RIGHT(LEFT(D3412,7),2)=RIGHT(LEFT(' Pivot Tables'!$A$4,7),2)),1,0)</f>
        <v>0</v>
      </c>
      <c r="Y3412" s="6">
        <f>1/COUNTIF(Таблица1[Order ID],Таблица1[[#This Row],[Order ID]])</f>
        <v>1</v>
      </c>
      <c r="Z3412" s="9">
        <f>1/COUNTIFS(Таблица1[Customer Name],Таблица1[[#This Row],[Customer Name]],Таблица1[Order-Year-Month],Таблица1[[#This Row],[Order-Year-Month]])</f>
        <v>1</v>
      </c>
    </row>
    <row r="3413" spans="1:26" x14ac:dyDescent="0.2">
      <c r="A3413" s="6">
        <v>4242</v>
      </c>
      <c r="B3413" s="7">
        <v>30151</v>
      </c>
      <c r="C3413" s="8">
        <f>DATE(2012,12,31)-702</f>
        <v>40572</v>
      </c>
      <c r="D3413" s="8" t="str">
        <f t="shared" si="66"/>
        <v>2011-01 (январь 2011)</v>
      </c>
      <c r="E3413" s="9" t="s">
        <v>45</v>
      </c>
      <c r="F3413" s="7">
        <v>31</v>
      </c>
      <c r="G3413" s="7">
        <v>792.76</v>
      </c>
      <c r="H3413" s="7">
        <v>0.02</v>
      </c>
      <c r="I3413" s="9" t="s">
        <v>22</v>
      </c>
      <c r="J3413" s="10">
        <v>33.370999999999995</v>
      </c>
      <c r="K3413" s="11">
        <v>24.92</v>
      </c>
      <c r="L3413" s="11">
        <v>12.98</v>
      </c>
      <c r="M3413" s="9" t="s">
        <v>1459</v>
      </c>
      <c r="N3413" s="6" t="s">
        <v>1595</v>
      </c>
      <c r="O3413" s="6" t="s">
        <v>1595</v>
      </c>
      <c r="P3413" s="9" t="s">
        <v>60</v>
      </c>
      <c r="Q3413" s="9" t="s">
        <v>26</v>
      </c>
      <c r="R3413" s="9" t="s">
        <v>37</v>
      </c>
      <c r="S3413" s="7" t="s">
        <v>319</v>
      </c>
      <c r="T3413" s="9" t="s">
        <v>39</v>
      </c>
      <c r="U3413" s="7">
        <v>0.39</v>
      </c>
      <c r="V3413" s="12">
        <f>C3413+2</f>
        <v>40574</v>
      </c>
      <c r="W3413">
        <f>IF(D3413=' Pivot Tables'!$A$4,1,0)</f>
        <v>0</v>
      </c>
      <c r="X3413">
        <f>IF(AND(LEFT(D3413,4)+1=LEFT(' Pivot Tables'!$A$4,4)+0,RIGHT(LEFT(D3413,7),2)=RIGHT(LEFT(' Pivot Tables'!$A$4,7),2)),1,0)</f>
        <v>0</v>
      </c>
      <c r="Y3413" s="6">
        <f>1/COUNTIF(Таблица1[Order ID],Таблица1[[#This Row],[Order ID]])</f>
        <v>1</v>
      </c>
      <c r="Z3413" s="9">
        <f>1/COUNTIFS(Таблица1[Customer Name],Таблица1[[#This Row],[Customer Name]],Таблица1[Order-Year-Month],Таблица1[[#This Row],[Order-Year-Month]])</f>
        <v>0.5</v>
      </c>
    </row>
    <row r="3414" spans="1:26" x14ac:dyDescent="0.2">
      <c r="A3414" s="6">
        <v>4251</v>
      </c>
      <c r="B3414" s="7">
        <v>30276</v>
      </c>
      <c r="C3414" s="8">
        <f>DATE(2012,12,31)-493</f>
        <v>40781</v>
      </c>
      <c r="D3414" s="8" t="str">
        <f t="shared" si="66"/>
        <v>2011-08 (август 2011)</v>
      </c>
      <c r="E3414" s="9" t="s">
        <v>21</v>
      </c>
      <c r="F3414" s="7">
        <v>44</v>
      </c>
      <c r="G3414" s="7">
        <v>1453.704</v>
      </c>
      <c r="H3414" s="7">
        <v>0</v>
      </c>
      <c r="I3414" s="9" t="s">
        <v>22</v>
      </c>
      <c r="J3414" s="10">
        <v>549.83699999999999</v>
      </c>
      <c r="K3414" s="11">
        <v>35.99</v>
      </c>
      <c r="L3414" s="11">
        <v>1.1000000000000001</v>
      </c>
      <c r="M3414" s="9" t="s">
        <v>1457</v>
      </c>
      <c r="N3414" s="6" t="s">
        <v>1595</v>
      </c>
      <c r="O3414" s="6" t="s">
        <v>1595</v>
      </c>
      <c r="P3414" s="9" t="s">
        <v>41</v>
      </c>
      <c r="Q3414" s="9" t="s">
        <v>42</v>
      </c>
      <c r="R3414" s="9" t="s">
        <v>43</v>
      </c>
      <c r="S3414" s="7" t="s">
        <v>1082</v>
      </c>
      <c r="T3414" s="9" t="s">
        <v>39</v>
      </c>
      <c r="U3414" s="7">
        <v>0.55000000000000004</v>
      </c>
      <c r="V3414" s="12">
        <f>C3414+4</f>
        <v>40785</v>
      </c>
      <c r="W3414">
        <f>IF(D3414=' Pivot Tables'!$A$4,1,0)</f>
        <v>0</v>
      </c>
      <c r="X3414">
        <f>IF(AND(LEFT(D3414,4)+1=LEFT(' Pivot Tables'!$A$4,4)+0,RIGHT(LEFT(D3414,7),2)=RIGHT(LEFT(' Pivot Tables'!$A$4,7),2)),1,0)</f>
        <v>0</v>
      </c>
      <c r="Y3414" s="6">
        <f>1/COUNTIF(Таблица1[Order ID],Таблица1[[#This Row],[Order ID]])</f>
        <v>0.5</v>
      </c>
      <c r="Z3414" s="9">
        <f>1/COUNTIFS(Таблица1[Customer Name],Таблица1[[#This Row],[Customer Name]],Таблица1[Order-Year-Month],Таблица1[[#This Row],[Order-Year-Month]])</f>
        <v>0.5</v>
      </c>
    </row>
    <row r="3415" spans="1:26" x14ac:dyDescent="0.2">
      <c r="A3415" s="6">
        <v>4252</v>
      </c>
      <c r="B3415" s="7">
        <v>30276</v>
      </c>
      <c r="C3415" s="8">
        <f>DATE(2012,12,31)-493</f>
        <v>40781</v>
      </c>
      <c r="D3415" s="8" t="str">
        <f t="shared" si="66"/>
        <v>2011-08 (август 2011)</v>
      </c>
      <c r="E3415" s="9" t="s">
        <v>21</v>
      </c>
      <c r="F3415" s="7">
        <v>34</v>
      </c>
      <c r="G3415" s="7">
        <v>7656.3040000000001</v>
      </c>
      <c r="H3415" s="7">
        <v>0.1</v>
      </c>
      <c r="I3415" s="9" t="s">
        <v>31</v>
      </c>
      <c r="J3415" s="10">
        <v>-715.7782060000003</v>
      </c>
      <c r="K3415" s="11">
        <v>296.18</v>
      </c>
      <c r="L3415" s="11">
        <v>54.12</v>
      </c>
      <c r="M3415" s="9" t="s">
        <v>1457</v>
      </c>
      <c r="N3415" s="6" t="s">
        <v>1595</v>
      </c>
      <c r="O3415" s="6" t="s">
        <v>1595</v>
      </c>
      <c r="P3415" s="9" t="s">
        <v>41</v>
      </c>
      <c r="Q3415" s="9" t="s">
        <v>49</v>
      </c>
      <c r="R3415" s="9" t="s">
        <v>83</v>
      </c>
      <c r="S3415" s="7" t="s">
        <v>425</v>
      </c>
      <c r="T3415" s="9" t="s">
        <v>82</v>
      </c>
      <c r="U3415" s="7">
        <v>0.76</v>
      </c>
      <c r="V3415" s="12">
        <f>C3415+4</f>
        <v>40785</v>
      </c>
      <c r="W3415">
        <f>IF(D3415=' Pivot Tables'!$A$4,1,0)</f>
        <v>0</v>
      </c>
      <c r="X3415">
        <f>IF(AND(LEFT(D3415,4)+1=LEFT(' Pivot Tables'!$A$4,4)+0,RIGHT(LEFT(D3415,7),2)=RIGHT(LEFT(' Pivot Tables'!$A$4,7),2)),1,0)</f>
        <v>0</v>
      </c>
      <c r="Y3415" s="6">
        <f>1/COUNTIF(Таблица1[Order ID],Таблица1[[#This Row],[Order ID]])</f>
        <v>0.5</v>
      </c>
      <c r="Z3415" s="9">
        <f>1/COUNTIFS(Таблица1[Customer Name],Таблица1[[#This Row],[Customer Name]],Таблица1[Order-Year-Month],Таблица1[[#This Row],[Order-Year-Month]])</f>
        <v>0.5</v>
      </c>
    </row>
    <row r="3416" spans="1:26" x14ac:dyDescent="0.2">
      <c r="A3416" s="6">
        <v>4254</v>
      </c>
      <c r="B3416" s="7">
        <v>30279</v>
      </c>
      <c r="C3416" s="8">
        <f>DATE(2012,12,31)-390</f>
        <v>40884</v>
      </c>
      <c r="D3416" s="8" t="str">
        <f t="shared" si="66"/>
        <v>2011-12 (декабрь 2011)</v>
      </c>
      <c r="E3416" s="9" t="s">
        <v>78</v>
      </c>
      <c r="F3416" s="7">
        <v>25</v>
      </c>
      <c r="G3416" s="7">
        <v>1412.98</v>
      </c>
      <c r="H3416" s="7">
        <v>0.1</v>
      </c>
      <c r="I3416" s="9" t="s">
        <v>22</v>
      </c>
      <c r="J3416" s="10">
        <v>324.95999999999998</v>
      </c>
      <c r="K3416" s="11">
        <v>60.97</v>
      </c>
      <c r="L3416" s="11">
        <v>4.5</v>
      </c>
      <c r="M3416" s="9" t="s">
        <v>1639</v>
      </c>
      <c r="N3416" s="6" t="s">
        <v>1595</v>
      </c>
      <c r="O3416" s="6" t="s">
        <v>1595</v>
      </c>
      <c r="P3416" s="9" t="s">
        <v>41</v>
      </c>
      <c r="Q3416" s="9" t="s">
        <v>26</v>
      </c>
      <c r="R3416" s="9" t="s">
        <v>34</v>
      </c>
      <c r="S3416" s="7" t="s">
        <v>1574</v>
      </c>
      <c r="T3416" s="9" t="s">
        <v>39</v>
      </c>
      <c r="U3416" s="7">
        <v>0.56000000000000005</v>
      </c>
      <c r="V3416" s="12">
        <f>C3416+0</f>
        <v>40884</v>
      </c>
      <c r="W3416">
        <f>IF(D3416=' Pivot Tables'!$A$4,1,0)</f>
        <v>0</v>
      </c>
      <c r="X3416">
        <f>IF(AND(LEFT(D3416,4)+1=LEFT(' Pivot Tables'!$A$4,4)+0,RIGHT(LEFT(D3416,7),2)=RIGHT(LEFT(' Pivot Tables'!$A$4,7),2)),1,0)</f>
        <v>0</v>
      </c>
      <c r="Y3416" s="6">
        <f>1/COUNTIF(Таблица1[Order ID],Таблица1[[#This Row],[Order ID]])</f>
        <v>0.5</v>
      </c>
      <c r="Z3416" s="9">
        <f>1/COUNTIFS(Таблица1[Customer Name],Таблица1[[#This Row],[Customer Name]],Таблица1[Order-Year-Month],Таблица1[[#This Row],[Order-Year-Month]])</f>
        <v>0.5</v>
      </c>
    </row>
    <row r="3417" spans="1:26" x14ac:dyDescent="0.2">
      <c r="A3417" s="6">
        <v>4255</v>
      </c>
      <c r="B3417" s="7">
        <v>30279</v>
      </c>
      <c r="C3417" s="8">
        <f>DATE(2012,12,31)-390</f>
        <v>40884</v>
      </c>
      <c r="D3417" s="8" t="str">
        <f t="shared" si="66"/>
        <v>2011-12 (декабрь 2011)</v>
      </c>
      <c r="E3417" s="9" t="s">
        <v>78</v>
      </c>
      <c r="F3417" s="7">
        <v>39</v>
      </c>
      <c r="G3417" s="7">
        <v>19539.939999999999</v>
      </c>
      <c r="H3417" s="7">
        <v>0.06</v>
      </c>
      <c r="I3417" s="9" t="s">
        <v>31</v>
      </c>
      <c r="J3417" s="10">
        <v>4914.24</v>
      </c>
      <c r="K3417" s="11">
        <v>517.48</v>
      </c>
      <c r="L3417" s="11">
        <v>16.63</v>
      </c>
      <c r="M3417" s="9" t="s">
        <v>1639</v>
      </c>
      <c r="N3417" s="6" t="s">
        <v>1595</v>
      </c>
      <c r="O3417" s="6" t="s">
        <v>1595</v>
      </c>
      <c r="P3417" s="9" t="s">
        <v>41</v>
      </c>
      <c r="Q3417" s="9" t="s">
        <v>42</v>
      </c>
      <c r="R3417" s="9" t="s">
        <v>210</v>
      </c>
      <c r="S3417" s="7" t="s">
        <v>851</v>
      </c>
      <c r="T3417" s="9" t="s">
        <v>82</v>
      </c>
      <c r="U3417" s="7">
        <v>0.59</v>
      </c>
      <c r="V3417" s="12">
        <f>C3417+1</f>
        <v>40885</v>
      </c>
      <c r="W3417">
        <f>IF(D3417=' Pivot Tables'!$A$4,1,0)</f>
        <v>0</v>
      </c>
      <c r="X3417">
        <f>IF(AND(LEFT(D3417,4)+1=LEFT(' Pivot Tables'!$A$4,4)+0,RIGHT(LEFT(D3417,7),2)=RIGHT(LEFT(' Pivot Tables'!$A$4,7),2)),1,0)</f>
        <v>0</v>
      </c>
      <c r="Y3417" s="6">
        <f>1/COUNTIF(Таблица1[Order ID],Таблица1[[#This Row],[Order ID]])</f>
        <v>0.5</v>
      </c>
      <c r="Z3417" s="9">
        <f>1/COUNTIFS(Таблица1[Customer Name],Таблица1[[#This Row],[Customer Name]],Таблица1[Order-Year-Month],Таблица1[[#This Row],[Order-Year-Month]])</f>
        <v>0.5</v>
      </c>
    </row>
    <row r="3418" spans="1:26" x14ac:dyDescent="0.2">
      <c r="A3418" s="6">
        <v>4587</v>
      </c>
      <c r="B3418" s="7">
        <v>32640</v>
      </c>
      <c r="C3418" s="8">
        <f>DATE(2012,12,31)-107</f>
        <v>41167</v>
      </c>
      <c r="D3418" s="8" t="str">
        <f t="shared" si="66"/>
        <v>2012-09 (сентябрь 2012)</v>
      </c>
      <c r="E3418" s="9" t="s">
        <v>30</v>
      </c>
      <c r="F3418" s="7">
        <v>18</v>
      </c>
      <c r="G3418" s="7">
        <v>126.69</v>
      </c>
      <c r="H3418" s="7">
        <v>0.04</v>
      </c>
      <c r="I3418" s="9" t="s">
        <v>22</v>
      </c>
      <c r="J3418" s="10">
        <v>-35.558</v>
      </c>
      <c r="K3418" s="11">
        <v>6.81</v>
      </c>
      <c r="L3418" s="11">
        <v>5.48</v>
      </c>
      <c r="M3418" s="9" t="s">
        <v>1516</v>
      </c>
      <c r="N3418" s="6" t="s">
        <v>1595</v>
      </c>
      <c r="O3418" s="6" t="s">
        <v>1595</v>
      </c>
      <c r="P3418" s="9" t="s">
        <v>25</v>
      </c>
      <c r="Q3418" s="9" t="s">
        <v>26</v>
      </c>
      <c r="R3418" s="9" t="s">
        <v>37</v>
      </c>
      <c r="S3418" s="7" t="s">
        <v>1319</v>
      </c>
      <c r="T3418" s="9" t="s">
        <v>39</v>
      </c>
      <c r="U3418" s="7">
        <v>0.37</v>
      </c>
      <c r="V3418" s="12">
        <f>C3418+2</f>
        <v>41169</v>
      </c>
      <c r="W3418">
        <f>IF(D3418=' Pivot Tables'!$A$4,1,0)</f>
        <v>0</v>
      </c>
      <c r="X3418">
        <f>IF(AND(LEFT(D3418,4)+1=LEFT(' Pivot Tables'!$A$4,4)+0,RIGHT(LEFT(D3418,7),2)=RIGHT(LEFT(' Pivot Tables'!$A$4,7),2)),1,0)</f>
        <v>0</v>
      </c>
      <c r="Y3418" s="6">
        <f>1/COUNTIF(Таблица1[Order ID],Таблица1[[#This Row],[Order ID]])</f>
        <v>0.5</v>
      </c>
      <c r="Z3418" s="9">
        <f>1/COUNTIFS(Таблица1[Customer Name],Таблица1[[#This Row],[Customer Name]],Таблица1[Order-Year-Month],Таблица1[[#This Row],[Order-Year-Month]])</f>
        <v>0.5</v>
      </c>
    </row>
    <row r="3419" spans="1:26" x14ac:dyDescent="0.2">
      <c r="A3419" s="6">
        <v>4588</v>
      </c>
      <c r="B3419" s="7">
        <v>32640</v>
      </c>
      <c r="C3419" s="8">
        <f>DATE(2012,12,31)-107</f>
        <v>41167</v>
      </c>
      <c r="D3419" s="8" t="str">
        <f t="shared" si="66"/>
        <v>2012-09 (сентябрь 2012)</v>
      </c>
      <c r="E3419" s="9" t="s">
        <v>30</v>
      </c>
      <c r="F3419" s="7">
        <v>12</v>
      </c>
      <c r="G3419" s="7">
        <v>162.11000000000001</v>
      </c>
      <c r="H3419" s="7">
        <v>0.04</v>
      </c>
      <c r="I3419" s="9" t="s">
        <v>56</v>
      </c>
      <c r="J3419" s="10">
        <v>3.91</v>
      </c>
      <c r="K3419" s="11">
        <v>12.28</v>
      </c>
      <c r="L3419" s="11">
        <v>6.47</v>
      </c>
      <c r="M3419" s="9" t="s">
        <v>1516</v>
      </c>
      <c r="N3419" s="6" t="s">
        <v>1595</v>
      </c>
      <c r="O3419" s="6" t="s">
        <v>1595</v>
      </c>
      <c r="P3419" s="9" t="s">
        <v>25</v>
      </c>
      <c r="Q3419" s="9" t="s">
        <v>26</v>
      </c>
      <c r="R3419" s="9" t="s">
        <v>61</v>
      </c>
      <c r="S3419" s="7" t="s">
        <v>131</v>
      </c>
      <c r="T3419" s="9" t="s">
        <v>39</v>
      </c>
      <c r="U3419" s="7">
        <v>0.38</v>
      </c>
      <c r="V3419" s="12">
        <f>C3419+2</f>
        <v>41169</v>
      </c>
      <c r="W3419">
        <f>IF(D3419=' Pivot Tables'!$A$4,1,0)</f>
        <v>0</v>
      </c>
      <c r="X3419">
        <f>IF(AND(LEFT(D3419,4)+1=LEFT(' Pivot Tables'!$A$4,4)+0,RIGHT(LEFT(D3419,7),2)=RIGHT(LEFT(' Pivot Tables'!$A$4,7),2)),1,0)</f>
        <v>0</v>
      </c>
      <c r="Y3419" s="6">
        <f>1/COUNTIF(Таблица1[Order ID],Таблица1[[#This Row],[Order ID]])</f>
        <v>0.5</v>
      </c>
      <c r="Z3419" s="9">
        <f>1/COUNTIFS(Таблица1[Customer Name],Таблица1[[#This Row],[Customer Name]],Таблица1[Order-Year-Month],Таблица1[[#This Row],[Order-Year-Month]])</f>
        <v>0.5</v>
      </c>
    </row>
    <row r="3420" spans="1:26" x14ac:dyDescent="0.2">
      <c r="A3420" s="6">
        <v>4621</v>
      </c>
      <c r="B3420" s="7">
        <v>32902</v>
      </c>
      <c r="C3420" s="8">
        <f>DATE(2012,12,31)-303</f>
        <v>40971</v>
      </c>
      <c r="D3420" s="8" t="str">
        <f t="shared" si="66"/>
        <v>2012-03 (март 2012)</v>
      </c>
      <c r="E3420" s="9" t="s">
        <v>30</v>
      </c>
      <c r="F3420" s="7">
        <v>34</v>
      </c>
      <c r="G3420" s="7">
        <v>145.47999999999999</v>
      </c>
      <c r="H3420" s="7">
        <v>0.03</v>
      </c>
      <c r="I3420" s="9" t="s">
        <v>56</v>
      </c>
      <c r="J3420" s="10">
        <v>32.43</v>
      </c>
      <c r="K3420" s="11">
        <v>4.26</v>
      </c>
      <c r="L3420" s="11">
        <v>1.2</v>
      </c>
      <c r="M3420" s="9" t="s">
        <v>1651</v>
      </c>
      <c r="N3420" s="6" t="s">
        <v>1595</v>
      </c>
      <c r="O3420" s="6" t="s">
        <v>1595</v>
      </c>
      <c r="P3420" s="9" t="s">
        <v>60</v>
      </c>
      <c r="Q3420" s="9" t="s">
        <v>26</v>
      </c>
      <c r="R3420" s="9" t="s">
        <v>95</v>
      </c>
      <c r="S3420" s="7" t="s">
        <v>865</v>
      </c>
      <c r="T3420" s="9" t="s">
        <v>68</v>
      </c>
      <c r="U3420" s="7">
        <v>0.44</v>
      </c>
      <c r="V3420" s="12">
        <f>C3420+1</f>
        <v>40972</v>
      </c>
      <c r="W3420">
        <f>IF(D3420=' Pivot Tables'!$A$4,1,0)</f>
        <v>0</v>
      </c>
      <c r="X3420">
        <f>IF(AND(LEFT(D3420,4)+1=LEFT(' Pivot Tables'!$A$4,4)+0,RIGHT(LEFT(D3420,7),2)=RIGHT(LEFT(' Pivot Tables'!$A$4,7),2)),1,0)</f>
        <v>0</v>
      </c>
      <c r="Y3420" s="6">
        <f>1/COUNTIF(Таблица1[Order ID],Таблица1[[#This Row],[Order ID]])</f>
        <v>0.33333333333333331</v>
      </c>
      <c r="Z3420" s="9">
        <f>1/COUNTIFS(Таблица1[Customer Name],Таблица1[[#This Row],[Customer Name]],Таблица1[Order-Year-Month],Таблица1[[#This Row],[Order-Year-Month]])</f>
        <v>0.33333333333333331</v>
      </c>
    </row>
    <row r="3421" spans="1:26" x14ac:dyDescent="0.2">
      <c r="A3421" s="6">
        <v>4631</v>
      </c>
      <c r="B3421" s="7">
        <v>32965</v>
      </c>
      <c r="C3421" s="8">
        <f>DATE(2012,12,31)-676</f>
        <v>40598</v>
      </c>
      <c r="D3421" s="8" t="str">
        <f t="shared" si="66"/>
        <v>2011-02 (февраль 2011)</v>
      </c>
      <c r="E3421" s="9" t="s">
        <v>30</v>
      </c>
      <c r="F3421" s="7">
        <v>25</v>
      </c>
      <c r="G3421" s="7">
        <v>2427.25</v>
      </c>
      <c r="H3421" s="7">
        <v>0.1</v>
      </c>
      <c r="I3421" s="9" t="s">
        <v>22</v>
      </c>
      <c r="J3421" s="10">
        <v>227.67</v>
      </c>
      <c r="K3421" s="11">
        <v>99.99</v>
      </c>
      <c r="L3421" s="11">
        <v>19.989999999999998</v>
      </c>
      <c r="M3421" s="9" t="s">
        <v>1496</v>
      </c>
      <c r="N3421" s="6" t="s">
        <v>1595</v>
      </c>
      <c r="O3421" s="6" t="s">
        <v>1595</v>
      </c>
      <c r="P3421" s="9" t="s">
        <v>25</v>
      </c>
      <c r="Q3421" s="9" t="s">
        <v>42</v>
      </c>
      <c r="R3421" s="9" t="s">
        <v>70</v>
      </c>
      <c r="S3421" s="7" t="s">
        <v>337</v>
      </c>
      <c r="T3421" s="9" t="s">
        <v>39</v>
      </c>
      <c r="U3421" s="7">
        <v>0.52</v>
      </c>
      <c r="V3421" s="12">
        <f>C3421+1</f>
        <v>40599</v>
      </c>
      <c r="W3421">
        <f>IF(D3421=' Pivot Tables'!$A$4,1,0)</f>
        <v>0</v>
      </c>
      <c r="X3421">
        <f>IF(AND(LEFT(D3421,4)+1=LEFT(' Pivot Tables'!$A$4,4)+0,RIGHT(LEFT(D3421,7),2)=RIGHT(LEFT(' Pivot Tables'!$A$4,7),2)),1,0)</f>
        <v>0</v>
      </c>
      <c r="Y3421" s="6">
        <f>1/COUNTIF(Таблица1[Order ID],Таблица1[[#This Row],[Order ID]])</f>
        <v>0.5</v>
      </c>
      <c r="Z3421" s="9">
        <f>1/COUNTIFS(Таблица1[Customer Name],Таблица1[[#This Row],[Customer Name]],Таблица1[Order-Year-Month],Таблица1[[#This Row],[Order-Year-Month]])</f>
        <v>0.5</v>
      </c>
    </row>
    <row r="3422" spans="1:26" x14ac:dyDescent="0.2">
      <c r="A3422" s="6">
        <v>4639</v>
      </c>
      <c r="B3422" s="7">
        <v>33025</v>
      </c>
      <c r="C3422" s="8">
        <f>DATE(2012,12,31)-1437</f>
        <v>39837</v>
      </c>
      <c r="D3422" s="8" t="str">
        <f t="shared" si="66"/>
        <v>2009-01 (январь 2009)</v>
      </c>
      <c r="E3422" s="9" t="s">
        <v>21</v>
      </c>
      <c r="F3422" s="7">
        <v>5</v>
      </c>
      <c r="G3422" s="7">
        <v>318.31</v>
      </c>
      <c r="H3422" s="7">
        <v>0.08</v>
      </c>
      <c r="I3422" s="9" t="s">
        <v>22</v>
      </c>
      <c r="J3422" s="10">
        <v>-19.059999999999999</v>
      </c>
      <c r="K3422" s="11">
        <v>67.84</v>
      </c>
      <c r="L3422" s="11">
        <v>0.99</v>
      </c>
      <c r="M3422" s="9" t="s">
        <v>1575</v>
      </c>
      <c r="N3422" s="6" t="s">
        <v>1595</v>
      </c>
      <c r="O3422" s="6" t="s">
        <v>1595</v>
      </c>
      <c r="P3422" s="9" t="s">
        <v>25</v>
      </c>
      <c r="Q3422" s="9" t="s">
        <v>26</v>
      </c>
      <c r="R3422" s="9" t="s">
        <v>34</v>
      </c>
      <c r="S3422" s="7" t="s">
        <v>439</v>
      </c>
      <c r="T3422" s="9" t="s">
        <v>39</v>
      </c>
      <c r="U3422" s="7">
        <v>0.57999999999999996</v>
      </c>
      <c r="V3422" s="12">
        <f>C3422+5</f>
        <v>39842</v>
      </c>
      <c r="W3422">
        <f>IF(D3422=' Pivot Tables'!$A$4,1,0)</f>
        <v>0</v>
      </c>
      <c r="X3422">
        <f>IF(AND(LEFT(D3422,4)+1=LEFT(' Pivot Tables'!$A$4,4)+0,RIGHT(LEFT(D3422,7),2)=RIGHT(LEFT(' Pivot Tables'!$A$4,7),2)),1,0)</f>
        <v>1</v>
      </c>
      <c r="Y3422" s="6">
        <f>1/COUNTIF(Таблица1[Order ID],Таблица1[[#This Row],[Order ID]])</f>
        <v>1</v>
      </c>
      <c r="Z3422" s="9">
        <f>1/COUNTIFS(Таблица1[Customer Name],Таблица1[[#This Row],[Customer Name]],Таблица1[Order-Year-Month],Таблица1[[#This Row],[Order-Year-Month]])</f>
        <v>1</v>
      </c>
    </row>
    <row r="3423" spans="1:26" x14ac:dyDescent="0.2">
      <c r="A3423" s="6">
        <v>4655</v>
      </c>
      <c r="B3423" s="7">
        <v>33154</v>
      </c>
      <c r="C3423" s="8">
        <f>DATE(2012,12,31)-881</f>
        <v>40393</v>
      </c>
      <c r="D3423" s="8" t="str">
        <f t="shared" si="66"/>
        <v>2010-08 (август 2010)</v>
      </c>
      <c r="E3423" s="9" t="s">
        <v>78</v>
      </c>
      <c r="F3423" s="7">
        <v>7</v>
      </c>
      <c r="G3423" s="7">
        <v>368.02449999999999</v>
      </c>
      <c r="H3423" s="7">
        <v>0.09</v>
      </c>
      <c r="I3423" s="9" t="s">
        <v>22</v>
      </c>
      <c r="J3423" s="10">
        <v>-218.81199999999998</v>
      </c>
      <c r="K3423" s="11">
        <v>65.989999999999995</v>
      </c>
      <c r="L3423" s="11">
        <v>4.2</v>
      </c>
      <c r="M3423" s="9" t="s">
        <v>1473</v>
      </c>
      <c r="N3423" s="6" t="s">
        <v>1595</v>
      </c>
      <c r="O3423" s="6" t="s">
        <v>1595</v>
      </c>
      <c r="P3423" s="9" t="s">
        <v>41</v>
      </c>
      <c r="Q3423" s="9" t="s">
        <v>42</v>
      </c>
      <c r="R3423" s="9" t="s">
        <v>43</v>
      </c>
      <c r="S3423" s="7" t="s">
        <v>1399</v>
      </c>
      <c r="T3423" s="9" t="s">
        <v>39</v>
      </c>
      <c r="U3423" s="7">
        <v>0.59</v>
      </c>
      <c r="V3423" s="12">
        <f>C3423+3</f>
        <v>40396</v>
      </c>
      <c r="W3423">
        <f>IF(D3423=' Pivot Tables'!$A$4,1,0)</f>
        <v>0</v>
      </c>
      <c r="X3423">
        <f>IF(AND(LEFT(D3423,4)+1=LEFT(' Pivot Tables'!$A$4,4)+0,RIGHT(LEFT(D3423,7),2)=RIGHT(LEFT(' Pivot Tables'!$A$4,7),2)),1,0)</f>
        <v>0</v>
      </c>
      <c r="Y3423" s="6">
        <f>1/COUNTIF(Таблица1[Order ID],Таблица1[[#This Row],[Order ID]])</f>
        <v>1</v>
      </c>
      <c r="Z3423" s="9">
        <f>1/COUNTIFS(Таблица1[Customer Name],Таблица1[[#This Row],[Customer Name]],Таблица1[Order-Year-Month],Таблица1[[#This Row],[Order-Year-Month]])</f>
        <v>1</v>
      </c>
    </row>
    <row r="3424" spans="1:26" x14ac:dyDescent="0.2">
      <c r="A3424" s="6">
        <v>4673</v>
      </c>
      <c r="B3424" s="7">
        <v>33253</v>
      </c>
      <c r="C3424" s="8">
        <f>DATE(2012,12,31)-397</f>
        <v>40877</v>
      </c>
      <c r="D3424" s="8" t="str">
        <f t="shared" si="66"/>
        <v>2011-11 (ноябрь 2011)</v>
      </c>
      <c r="E3424" s="9" t="s">
        <v>45</v>
      </c>
      <c r="F3424" s="7">
        <v>6</v>
      </c>
      <c r="G3424" s="7">
        <v>24.2</v>
      </c>
      <c r="H3424" s="7">
        <v>0.08</v>
      </c>
      <c r="I3424" s="9" t="s">
        <v>22</v>
      </c>
      <c r="J3424" s="10">
        <v>-5.2</v>
      </c>
      <c r="K3424" s="11">
        <v>4.13</v>
      </c>
      <c r="L3424" s="11">
        <v>1.17</v>
      </c>
      <c r="M3424" s="9" t="s">
        <v>1527</v>
      </c>
      <c r="N3424" s="6" t="s">
        <v>1595</v>
      </c>
      <c r="O3424" s="6" t="s">
        <v>1595</v>
      </c>
      <c r="P3424" s="9" t="s">
        <v>60</v>
      </c>
      <c r="Q3424" s="9" t="s">
        <v>26</v>
      </c>
      <c r="R3424" s="9" t="s">
        <v>95</v>
      </c>
      <c r="S3424" s="7" t="s">
        <v>1437</v>
      </c>
      <c r="T3424" s="9" t="s">
        <v>68</v>
      </c>
      <c r="U3424" s="7">
        <v>0.56999999999999995</v>
      </c>
      <c r="V3424" s="12">
        <f>C3424+2</f>
        <v>40879</v>
      </c>
      <c r="W3424">
        <f>IF(D3424=' Pivot Tables'!$A$4,1,0)</f>
        <v>0</v>
      </c>
      <c r="X3424">
        <f>IF(AND(LEFT(D3424,4)+1=LEFT(' Pivot Tables'!$A$4,4)+0,RIGHT(LEFT(D3424,7),2)=RIGHT(LEFT(' Pivot Tables'!$A$4,7),2)),1,0)</f>
        <v>0</v>
      </c>
      <c r="Y3424" s="6">
        <f>1/COUNTIF(Таблица1[Order ID],Таблица1[[#This Row],[Order ID]])</f>
        <v>0.5</v>
      </c>
      <c r="Z3424" s="9">
        <f>1/COUNTIFS(Таблица1[Customer Name],Таблица1[[#This Row],[Customer Name]],Таблица1[Order-Year-Month],Таблица1[[#This Row],[Order-Year-Month]])</f>
        <v>0.5</v>
      </c>
    </row>
    <row r="3425" spans="1:26" x14ac:dyDescent="0.2">
      <c r="A3425" s="6">
        <v>4733</v>
      </c>
      <c r="B3425" s="7">
        <v>33699</v>
      </c>
      <c r="C3425" s="8">
        <f>DATE(2012,12,31)-1254</f>
        <v>40020</v>
      </c>
      <c r="D3425" s="8" t="str">
        <f t="shared" si="66"/>
        <v>2009-07 (июль 2009)</v>
      </c>
      <c r="E3425" s="9" t="s">
        <v>21</v>
      </c>
      <c r="F3425" s="7">
        <v>13</v>
      </c>
      <c r="G3425" s="7">
        <v>1619.51</v>
      </c>
      <c r="H3425" s="7">
        <v>0.05</v>
      </c>
      <c r="I3425" s="9" t="s">
        <v>31</v>
      </c>
      <c r="J3425" s="10">
        <v>-722.23</v>
      </c>
      <c r="K3425" s="11">
        <v>122.99</v>
      </c>
      <c r="L3425" s="11">
        <v>70.2</v>
      </c>
      <c r="M3425" s="9" t="s">
        <v>1471</v>
      </c>
      <c r="N3425" s="6" t="s">
        <v>1595</v>
      </c>
      <c r="O3425" s="6" t="s">
        <v>1595</v>
      </c>
      <c r="P3425" s="9" t="s">
        <v>25</v>
      </c>
      <c r="Q3425" s="9" t="s">
        <v>49</v>
      </c>
      <c r="R3425" s="9" t="s">
        <v>112</v>
      </c>
      <c r="S3425" s="7" t="s">
        <v>426</v>
      </c>
      <c r="T3425" s="9" t="s">
        <v>36</v>
      </c>
      <c r="U3425" s="7">
        <v>0.74</v>
      </c>
      <c r="V3425" s="12">
        <f>C3425+4</f>
        <v>40024</v>
      </c>
      <c r="W3425">
        <f>IF(D3425=' Pivot Tables'!$A$4,1,0)</f>
        <v>0</v>
      </c>
      <c r="X3425">
        <f>IF(AND(LEFT(D3425,4)+1=LEFT(' Pivot Tables'!$A$4,4)+0,RIGHT(LEFT(D3425,7),2)=RIGHT(LEFT(' Pivot Tables'!$A$4,7),2)),1,0)</f>
        <v>0</v>
      </c>
      <c r="Y3425" s="6">
        <f>1/COUNTIF(Таблица1[Order ID],Таблица1[[#This Row],[Order ID]])</f>
        <v>0.33333333333333331</v>
      </c>
      <c r="Z3425" s="9">
        <f>1/COUNTIFS(Таблица1[Customer Name],Таблица1[[#This Row],[Customer Name]],Таблица1[Order-Year-Month],Таблица1[[#This Row],[Order-Year-Month]])</f>
        <v>0.33333333333333331</v>
      </c>
    </row>
    <row r="3426" spans="1:26" x14ac:dyDescent="0.2">
      <c r="A3426" s="6">
        <v>4747</v>
      </c>
      <c r="B3426" s="7">
        <v>33761</v>
      </c>
      <c r="C3426" s="8">
        <f>DATE(2012,12,31)-149</f>
        <v>41125</v>
      </c>
      <c r="D3426" s="8" t="str">
        <f t="shared" si="66"/>
        <v>2012-08 (август 2012)</v>
      </c>
      <c r="E3426" s="9" t="s">
        <v>30</v>
      </c>
      <c r="F3426" s="7">
        <v>45</v>
      </c>
      <c r="G3426" s="7">
        <v>463.93</v>
      </c>
      <c r="H3426" s="7">
        <v>0.06</v>
      </c>
      <c r="I3426" s="9" t="s">
        <v>22</v>
      </c>
      <c r="J3426" s="10">
        <v>29.96</v>
      </c>
      <c r="K3426" s="11">
        <v>10.48</v>
      </c>
      <c r="L3426" s="11">
        <v>2.89</v>
      </c>
      <c r="M3426" s="9" t="s">
        <v>1582</v>
      </c>
      <c r="N3426" s="6" t="s">
        <v>1595</v>
      </c>
      <c r="O3426" s="6" t="s">
        <v>1595</v>
      </c>
      <c r="P3426" s="9" t="s">
        <v>60</v>
      </c>
      <c r="Q3426" s="9" t="s">
        <v>26</v>
      </c>
      <c r="R3426" s="9" t="s">
        <v>95</v>
      </c>
      <c r="S3426" s="7" t="s">
        <v>499</v>
      </c>
      <c r="T3426" s="9" t="s">
        <v>52</v>
      </c>
      <c r="U3426" s="7">
        <v>0.6</v>
      </c>
      <c r="V3426" s="12">
        <f>C3426+1</f>
        <v>41126</v>
      </c>
      <c r="W3426">
        <f>IF(D3426=' Pivot Tables'!$A$4,1,0)</f>
        <v>0</v>
      </c>
      <c r="X3426">
        <f>IF(AND(LEFT(D3426,4)+1=LEFT(' Pivot Tables'!$A$4,4)+0,RIGHT(LEFT(D3426,7),2)=RIGHT(LEFT(' Pivot Tables'!$A$4,7),2)),1,0)</f>
        <v>0</v>
      </c>
      <c r="Y3426" s="6">
        <f>1/COUNTIF(Таблица1[Order ID],Таблица1[[#This Row],[Order ID]])</f>
        <v>1</v>
      </c>
      <c r="Z3426" s="9">
        <f>1/COUNTIFS(Таблица1[Customer Name],Таблица1[[#This Row],[Customer Name]],Таблица1[Order-Year-Month],Таблица1[[#This Row],[Order-Year-Month]])</f>
        <v>1</v>
      </c>
    </row>
    <row r="3427" spans="1:26" x14ac:dyDescent="0.2">
      <c r="A3427" s="6">
        <v>4757</v>
      </c>
      <c r="B3427" s="7">
        <v>33797</v>
      </c>
      <c r="C3427" s="8">
        <f>DATE(2012,12,31)-1450</f>
        <v>39824</v>
      </c>
      <c r="D3427" s="8" t="str">
        <f t="shared" si="66"/>
        <v>2009-01 (январь 2009)</v>
      </c>
      <c r="E3427" s="9" t="s">
        <v>45</v>
      </c>
      <c r="F3427" s="7">
        <v>29</v>
      </c>
      <c r="G3427" s="7">
        <v>138.16999999999999</v>
      </c>
      <c r="H3427" s="7">
        <v>0.05</v>
      </c>
      <c r="I3427" s="9" t="s">
        <v>56</v>
      </c>
      <c r="J3427" s="10">
        <v>-103.78</v>
      </c>
      <c r="K3427" s="11">
        <v>4.1399999999999997</v>
      </c>
      <c r="L3427" s="11">
        <v>6.6</v>
      </c>
      <c r="M3427" s="9" t="s">
        <v>1546</v>
      </c>
      <c r="N3427" s="6" t="s">
        <v>1595</v>
      </c>
      <c r="O3427" s="6" t="s">
        <v>1595</v>
      </c>
      <c r="P3427" s="9" t="s">
        <v>25</v>
      </c>
      <c r="Q3427" s="9" t="s">
        <v>49</v>
      </c>
      <c r="R3427" s="9" t="s">
        <v>50</v>
      </c>
      <c r="S3427" s="7" t="s">
        <v>524</v>
      </c>
      <c r="T3427" s="9" t="s">
        <v>39</v>
      </c>
      <c r="U3427" s="7">
        <v>0.49</v>
      </c>
      <c r="V3427" s="12">
        <f>C3427+2</f>
        <v>39826</v>
      </c>
      <c r="W3427">
        <f>IF(D3427=' Pivot Tables'!$A$4,1,0)</f>
        <v>0</v>
      </c>
      <c r="X3427">
        <f>IF(AND(LEFT(D3427,4)+1=LEFT(' Pivot Tables'!$A$4,4)+0,RIGHT(LEFT(D3427,7),2)=RIGHT(LEFT(' Pivot Tables'!$A$4,7),2)),1,0)</f>
        <v>1</v>
      </c>
      <c r="Y3427" s="6">
        <f>1/COUNTIF(Таблица1[Order ID],Таблица1[[#This Row],[Order ID]])</f>
        <v>0.2</v>
      </c>
      <c r="Z3427" s="9">
        <f>1/COUNTIFS(Таблица1[Customer Name],Таблица1[[#This Row],[Customer Name]],Таблица1[Order-Year-Month],Таблица1[[#This Row],[Order-Year-Month]])</f>
        <v>0.2</v>
      </c>
    </row>
    <row r="3428" spans="1:26" x14ac:dyDescent="0.2">
      <c r="A3428" s="6">
        <v>4758</v>
      </c>
      <c r="B3428" s="7">
        <v>33797</v>
      </c>
      <c r="C3428" s="8">
        <f>DATE(2012,12,31)-1450</f>
        <v>39824</v>
      </c>
      <c r="D3428" s="8" t="str">
        <f t="shared" si="66"/>
        <v>2009-01 (январь 2009)</v>
      </c>
      <c r="E3428" s="9" t="s">
        <v>45</v>
      </c>
      <c r="F3428" s="7">
        <v>18</v>
      </c>
      <c r="G3428" s="7">
        <v>216.87</v>
      </c>
      <c r="H3428" s="7">
        <v>0.03</v>
      </c>
      <c r="I3428" s="9" t="s">
        <v>22</v>
      </c>
      <c r="J3428" s="10">
        <v>30.53</v>
      </c>
      <c r="K3428" s="11">
        <v>11.34</v>
      </c>
      <c r="L3428" s="11">
        <v>5.01</v>
      </c>
      <c r="M3428" s="9" t="s">
        <v>1546</v>
      </c>
      <c r="N3428" s="6" t="s">
        <v>1595</v>
      </c>
      <c r="O3428" s="6" t="s">
        <v>1595</v>
      </c>
      <c r="P3428" s="9" t="s">
        <v>25</v>
      </c>
      <c r="Q3428" s="9" t="s">
        <v>26</v>
      </c>
      <c r="R3428" s="9" t="s">
        <v>61</v>
      </c>
      <c r="S3428" s="7" t="s">
        <v>226</v>
      </c>
      <c r="T3428" s="9" t="s">
        <v>39</v>
      </c>
      <c r="U3428" s="7">
        <v>0.36</v>
      </c>
      <c r="V3428" s="12">
        <f>C3428+0</f>
        <v>39824</v>
      </c>
      <c r="W3428">
        <f>IF(D3428=' Pivot Tables'!$A$4,1,0)</f>
        <v>0</v>
      </c>
      <c r="X3428">
        <f>IF(AND(LEFT(D3428,4)+1=LEFT(' Pivot Tables'!$A$4,4)+0,RIGHT(LEFT(D3428,7),2)=RIGHT(LEFT(' Pivot Tables'!$A$4,7),2)),1,0)</f>
        <v>1</v>
      </c>
      <c r="Y3428" s="6">
        <f>1/COUNTIF(Таблица1[Order ID],Таблица1[[#This Row],[Order ID]])</f>
        <v>0.2</v>
      </c>
      <c r="Z3428" s="9">
        <f>1/COUNTIFS(Таблица1[Customer Name],Таблица1[[#This Row],[Customer Name]],Таблица1[Order-Year-Month],Таблица1[[#This Row],[Order-Year-Month]])</f>
        <v>0.2</v>
      </c>
    </row>
    <row r="3429" spans="1:26" x14ac:dyDescent="0.2">
      <c r="A3429" s="6">
        <v>4826</v>
      </c>
      <c r="B3429" s="7">
        <v>34309</v>
      </c>
      <c r="C3429" s="8">
        <f>DATE(2012,12,31)-116</f>
        <v>41158</v>
      </c>
      <c r="D3429" s="8" t="str">
        <f t="shared" si="66"/>
        <v>2012-09 (сентябрь 2012)</v>
      </c>
      <c r="E3429" s="9" t="s">
        <v>30</v>
      </c>
      <c r="F3429" s="7">
        <v>16</v>
      </c>
      <c r="G3429" s="7">
        <v>75.77</v>
      </c>
      <c r="H3429" s="7">
        <v>0</v>
      </c>
      <c r="I3429" s="9" t="s">
        <v>22</v>
      </c>
      <c r="J3429" s="10">
        <v>-56.62</v>
      </c>
      <c r="K3429" s="11">
        <v>4.37</v>
      </c>
      <c r="L3429" s="11">
        <v>5.15</v>
      </c>
      <c r="M3429" s="9" t="s">
        <v>1487</v>
      </c>
      <c r="N3429" s="6" t="s">
        <v>1595</v>
      </c>
      <c r="O3429" s="6" t="s">
        <v>1595</v>
      </c>
      <c r="P3429" s="9" t="s">
        <v>25</v>
      </c>
      <c r="Q3429" s="9" t="s">
        <v>26</v>
      </c>
      <c r="R3429" s="9" t="s">
        <v>34</v>
      </c>
      <c r="S3429" s="7" t="s">
        <v>690</v>
      </c>
      <c r="T3429" s="9" t="s">
        <v>39</v>
      </c>
      <c r="U3429" s="7">
        <v>0.59</v>
      </c>
      <c r="V3429" s="12">
        <f>C3429+2</f>
        <v>41160</v>
      </c>
      <c r="W3429">
        <f>IF(D3429=' Pivot Tables'!$A$4,1,0)</f>
        <v>0</v>
      </c>
      <c r="X3429">
        <f>IF(AND(LEFT(D3429,4)+1=LEFT(' Pivot Tables'!$A$4,4)+0,RIGHT(LEFT(D3429,7),2)=RIGHT(LEFT(' Pivot Tables'!$A$4,7),2)),1,0)</f>
        <v>0</v>
      </c>
      <c r="Y3429" s="6">
        <f>1/COUNTIF(Таблица1[Order ID],Таблица1[[#This Row],[Order ID]])</f>
        <v>1</v>
      </c>
      <c r="Z3429" s="9">
        <f>1/COUNTIFS(Таблица1[Customer Name],Таблица1[[#This Row],[Customer Name]],Таблица1[Order-Year-Month],Таблица1[[#This Row],[Order-Year-Month]])</f>
        <v>1</v>
      </c>
    </row>
    <row r="3430" spans="1:26" x14ac:dyDescent="0.2">
      <c r="A3430" s="6">
        <v>4859</v>
      </c>
      <c r="B3430" s="7">
        <v>34595</v>
      </c>
      <c r="C3430" s="8">
        <f>DATE(2012,12,31)-165</f>
        <v>41109</v>
      </c>
      <c r="D3430" s="8" t="str">
        <f t="shared" si="66"/>
        <v>2012-07 (июль 2012)</v>
      </c>
      <c r="E3430" s="9" t="s">
        <v>63</v>
      </c>
      <c r="F3430" s="7">
        <v>12</v>
      </c>
      <c r="G3430" s="7">
        <v>488.65</v>
      </c>
      <c r="H3430" s="7">
        <v>7.0000000000000007E-2</v>
      </c>
      <c r="I3430" s="9" t="s">
        <v>22</v>
      </c>
      <c r="J3430" s="10">
        <v>19.829999999999998</v>
      </c>
      <c r="K3430" s="11">
        <v>40.99</v>
      </c>
      <c r="L3430" s="11">
        <v>17.48</v>
      </c>
      <c r="M3430" s="9" t="s">
        <v>1545</v>
      </c>
      <c r="N3430" s="6" t="s">
        <v>1595</v>
      </c>
      <c r="O3430" s="6" t="s">
        <v>1595</v>
      </c>
      <c r="P3430" s="9" t="s">
        <v>25</v>
      </c>
      <c r="Q3430" s="9" t="s">
        <v>26</v>
      </c>
      <c r="R3430" s="9" t="s">
        <v>61</v>
      </c>
      <c r="S3430" s="7" t="s">
        <v>236</v>
      </c>
      <c r="T3430" s="9" t="s">
        <v>39</v>
      </c>
      <c r="U3430" s="7">
        <v>0.36</v>
      </c>
      <c r="V3430" s="12">
        <f>C3430+1</f>
        <v>41110</v>
      </c>
      <c r="W3430">
        <f>IF(D3430=' Pivot Tables'!$A$4,1,0)</f>
        <v>0</v>
      </c>
      <c r="X3430">
        <f>IF(AND(LEFT(D3430,4)+1=LEFT(' Pivot Tables'!$A$4,4)+0,RIGHT(LEFT(D3430,7),2)=RIGHT(LEFT(' Pivot Tables'!$A$4,7),2)),1,0)</f>
        <v>0</v>
      </c>
      <c r="Y3430" s="6">
        <f>1/COUNTIF(Таблица1[Order ID],Таблица1[[#This Row],[Order ID]])</f>
        <v>1</v>
      </c>
      <c r="Z3430" s="9">
        <f>1/COUNTIFS(Таблица1[Customer Name],Таблица1[[#This Row],[Customer Name]],Таблица1[Order-Year-Month],Таблица1[[#This Row],[Order-Year-Month]])</f>
        <v>1</v>
      </c>
    </row>
    <row r="3431" spans="1:26" x14ac:dyDescent="0.2">
      <c r="A3431" s="6">
        <v>4872</v>
      </c>
      <c r="B3431" s="7">
        <v>34662</v>
      </c>
      <c r="C3431" s="8">
        <f>DATE(2012,12,31)-356</f>
        <v>40918</v>
      </c>
      <c r="D3431" s="8" t="str">
        <f t="shared" si="66"/>
        <v>2012-01 (январь 2012)</v>
      </c>
      <c r="E3431" s="9" t="s">
        <v>78</v>
      </c>
      <c r="F3431" s="7">
        <v>35</v>
      </c>
      <c r="G3431" s="7">
        <v>12741.81</v>
      </c>
      <c r="H3431" s="7">
        <v>0.09</v>
      </c>
      <c r="I3431" s="9" t="s">
        <v>31</v>
      </c>
      <c r="J3431" s="10">
        <v>95.059999999999945</v>
      </c>
      <c r="K3431" s="11">
        <v>370.98</v>
      </c>
      <c r="L3431" s="11">
        <v>99</v>
      </c>
      <c r="M3431" s="9" t="s">
        <v>1556</v>
      </c>
      <c r="N3431" s="6" t="s">
        <v>1595</v>
      </c>
      <c r="O3431" s="6" t="s">
        <v>1595</v>
      </c>
      <c r="P3431" s="9" t="s">
        <v>33</v>
      </c>
      <c r="Q3431" s="9" t="s">
        <v>26</v>
      </c>
      <c r="R3431" s="9" t="s">
        <v>27</v>
      </c>
      <c r="S3431" s="7" t="s">
        <v>342</v>
      </c>
      <c r="T3431" s="9" t="s">
        <v>36</v>
      </c>
      <c r="U3431" s="7">
        <v>0.65</v>
      </c>
      <c r="V3431" s="12">
        <f>C3431+2</f>
        <v>40920</v>
      </c>
      <c r="W3431">
        <f>IF(D3431=' Pivot Tables'!$A$4,1,0)</f>
        <v>0</v>
      </c>
      <c r="X3431">
        <f>IF(AND(LEFT(D3431,4)+1=LEFT(' Pivot Tables'!$A$4,4)+0,RIGHT(LEFT(D3431,7),2)=RIGHT(LEFT(' Pivot Tables'!$A$4,7),2)),1,0)</f>
        <v>0</v>
      </c>
      <c r="Y3431" s="6">
        <f>1/COUNTIF(Таблица1[Order ID],Таблица1[[#This Row],[Order ID]])</f>
        <v>1</v>
      </c>
      <c r="Z3431" s="9">
        <f>1/COUNTIFS(Таблица1[Customer Name],Таблица1[[#This Row],[Customer Name]],Таблица1[Order-Year-Month],Таблица1[[#This Row],[Order-Year-Month]])</f>
        <v>1</v>
      </c>
    </row>
    <row r="3432" spans="1:26" x14ac:dyDescent="0.2">
      <c r="A3432" s="6">
        <v>4874</v>
      </c>
      <c r="B3432" s="7">
        <v>34689</v>
      </c>
      <c r="C3432" s="8">
        <f>DATE(2012,12,31)-1134</f>
        <v>40140</v>
      </c>
      <c r="D3432" s="8" t="str">
        <f t="shared" si="66"/>
        <v>2009-11 (ноябрь 2009)</v>
      </c>
      <c r="E3432" s="9" t="s">
        <v>21</v>
      </c>
      <c r="F3432" s="7">
        <v>36</v>
      </c>
      <c r="G3432" s="7">
        <v>572.4</v>
      </c>
      <c r="H3432" s="7">
        <v>7.0000000000000007E-2</v>
      </c>
      <c r="I3432" s="9" t="s">
        <v>22</v>
      </c>
      <c r="J3432" s="10">
        <v>-39.5</v>
      </c>
      <c r="K3432" s="11">
        <v>16.91</v>
      </c>
      <c r="L3432" s="11">
        <v>6.25</v>
      </c>
      <c r="M3432" s="9" t="s">
        <v>1491</v>
      </c>
      <c r="N3432" s="6" t="s">
        <v>1595</v>
      </c>
      <c r="O3432" s="6" t="s">
        <v>1595</v>
      </c>
      <c r="P3432" s="9" t="s">
        <v>60</v>
      </c>
      <c r="Q3432" s="9" t="s">
        <v>26</v>
      </c>
      <c r="R3432" s="9" t="s">
        <v>27</v>
      </c>
      <c r="S3432" s="7" t="s">
        <v>794</v>
      </c>
      <c r="T3432" s="9" t="s">
        <v>39</v>
      </c>
      <c r="U3432" s="7">
        <v>0.57999999999999996</v>
      </c>
      <c r="V3432" s="12">
        <f>C3432+7</f>
        <v>40147</v>
      </c>
      <c r="W3432">
        <f>IF(D3432=' Pivot Tables'!$A$4,1,0)</f>
        <v>0</v>
      </c>
      <c r="X3432">
        <f>IF(AND(LEFT(D3432,4)+1=LEFT(' Pivot Tables'!$A$4,4)+0,RIGHT(LEFT(D3432,7),2)=RIGHT(LEFT(' Pivot Tables'!$A$4,7),2)),1,0)</f>
        <v>0</v>
      </c>
      <c r="Y3432" s="6">
        <f>1/COUNTIF(Таблица1[Order ID],Таблица1[[#This Row],[Order ID]])</f>
        <v>1</v>
      </c>
      <c r="Z3432" s="9">
        <f>1/COUNTIFS(Таблица1[Customer Name],Таблица1[[#This Row],[Customer Name]],Таблица1[Order-Year-Month],Таблица1[[#This Row],[Order-Year-Month]])</f>
        <v>1</v>
      </c>
    </row>
    <row r="3433" spans="1:26" x14ac:dyDescent="0.2">
      <c r="A3433" s="6">
        <v>4878</v>
      </c>
      <c r="B3433" s="7">
        <v>34694</v>
      </c>
      <c r="C3433" s="8">
        <f>DATE(2012,12,31)-613</f>
        <v>40661</v>
      </c>
      <c r="D3433" s="8" t="str">
        <f t="shared" si="66"/>
        <v>2011-04 (апрель 2011)</v>
      </c>
      <c r="E3433" s="9" t="s">
        <v>21</v>
      </c>
      <c r="F3433" s="7">
        <v>11</v>
      </c>
      <c r="G3433" s="7">
        <v>55.49</v>
      </c>
      <c r="H3433" s="7">
        <v>0.04</v>
      </c>
      <c r="I3433" s="9" t="s">
        <v>22</v>
      </c>
      <c r="J3433" s="10">
        <v>-37.32</v>
      </c>
      <c r="K3433" s="11">
        <v>4.4800000000000004</v>
      </c>
      <c r="L3433" s="11">
        <v>7.24</v>
      </c>
      <c r="M3433" s="9" t="s">
        <v>1532</v>
      </c>
      <c r="N3433" s="6" t="s">
        <v>1595</v>
      </c>
      <c r="O3433" s="6" t="s">
        <v>1595</v>
      </c>
      <c r="P3433" s="9" t="s">
        <v>33</v>
      </c>
      <c r="Q3433" s="9" t="s">
        <v>49</v>
      </c>
      <c r="R3433" s="9" t="s">
        <v>50</v>
      </c>
      <c r="S3433" s="7" t="s">
        <v>1652</v>
      </c>
      <c r="T3433" s="9" t="s">
        <v>39</v>
      </c>
      <c r="U3433" s="7">
        <v>0.54</v>
      </c>
      <c r="V3433" s="12">
        <f>C3433+0</f>
        <v>40661</v>
      </c>
      <c r="W3433">
        <f>IF(D3433=' Pivot Tables'!$A$4,1,0)</f>
        <v>0</v>
      </c>
      <c r="X3433">
        <f>IF(AND(LEFT(D3433,4)+1=LEFT(' Pivot Tables'!$A$4,4)+0,RIGHT(LEFT(D3433,7),2)=RIGHT(LEFT(' Pivot Tables'!$A$4,7),2)),1,0)</f>
        <v>0</v>
      </c>
      <c r="Y3433" s="6">
        <f>1/COUNTIF(Таблица1[Order ID],Таблица1[[#This Row],[Order ID]])</f>
        <v>1</v>
      </c>
      <c r="Z3433" s="9">
        <f>1/COUNTIFS(Таблица1[Customer Name],Таблица1[[#This Row],[Customer Name]],Таблица1[Order-Year-Month],Таблица1[[#This Row],[Order-Year-Month]])</f>
        <v>1</v>
      </c>
    </row>
    <row r="3434" spans="1:26" x14ac:dyDescent="0.2">
      <c r="A3434" s="6">
        <v>4883</v>
      </c>
      <c r="B3434" s="7">
        <v>34725</v>
      </c>
      <c r="C3434" s="8">
        <f>DATE(2012,12,31)-523</f>
        <v>40751</v>
      </c>
      <c r="D3434" s="8" t="str">
        <f t="shared" si="66"/>
        <v>2011-07 (июль 2011)</v>
      </c>
      <c r="E3434" s="9" t="s">
        <v>21</v>
      </c>
      <c r="F3434" s="7">
        <v>14</v>
      </c>
      <c r="G3434" s="7">
        <v>1885.41</v>
      </c>
      <c r="H3434" s="7">
        <v>0.08</v>
      </c>
      <c r="I3434" s="9" t="s">
        <v>22</v>
      </c>
      <c r="J3434" s="10">
        <v>-524.74</v>
      </c>
      <c r="K3434" s="11">
        <v>138.13999999999999</v>
      </c>
      <c r="L3434" s="11">
        <v>35</v>
      </c>
      <c r="M3434" s="9" t="s">
        <v>1487</v>
      </c>
      <c r="N3434" s="6" t="s">
        <v>1595</v>
      </c>
      <c r="O3434" s="6" t="s">
        <v>1595</v>
      </c>
      <c r="P3434" s="9" t="s">
        <v>25</v>
      </c>
      <c r="Q3434" s="9" t="s">
        <v>26</v>
      </c>
      <c r="R3434" s="9" t="s">
        <v>27</v>
      </c>
      <c r="S3434" s="7" t="s">
        <v>58</v>
      </c>
      <c r="T3434" s="9" t="s">
        <v>29</v>
      </c>
      <c r="U3434" s="7"/>
      <c r="V3434" s="12">
        <f>C3434+2</f>
        <v>40753</v>
      </c>
      <c r="W3434">
        <f>IF(D3434=' Pivot Tables'!$A$4,1,0)</f>
        <v>0</v>
      </c>
      <c r="X3434">
        <f>IF(AND(LEFT(D3434,4)+1=LEFT(' Pivot Tables'!$A$4,4)+0,RIGHT(LEFT(D3434,7),2)=RIGHT(LEFT(' Pivot Tables'!$A$4,7),2)),1,0)</f>
        <v>0</v>
      </c>
      <c r="Y3434" s="6">
        <f>1/COUNTIF(Таблица1[Order ID],Таблица1[[#This Row],[Order ID]])</f>
        <v>1</v>
      </c>
      <c r="Z3434" s="9">
        <f>1/COUNTIFS(Таблица1[Customer Name],Таблица1[[#This Row],[Customer Name]],Таблица1[Order-Year-Month],Таблица1[[#This Row],[Order-Year-Month]])</f>
        <v>0.33333333333333331</v>
      </c>
    </row>
    <row r="3435" spans="1:26" x14ac:dyDescent="0.2">
      <c r="A3435" s="6">
        <v>4960</v>
      </c>
      <c r="B3435" s="7">
        <v>35296</v>
      </c>
      <c r="C3435" s="8">
        <f>DATE(2012,12,31)-651</f>
        <v>40623</v>
      </c>
      <c r="D3435" s="8" t="str">
        <f t="shared" si="66"/>
        <v>2011-03 (март 2011)</v>
      </c>
      <c r="E3435" s="9" t="s">
        <v>21</v>
      </c>
      <c r="F3435" s="7">
        <v>7</v>
      </c>
      <c r="G3435" s="7">
        <v>407.8725</v>
      </c>
      <c r="H3435" s="7">
        <v>0.02</v>
      </c>
      <c r="I3435" s="9" t="s">
        <v>22</v>
      </c>
      <c r="J3435" s="10">
        <v>-165.62699999999998</v>
      </c>
      <c r="K3435" s="11">
        <v>65.989999999999995</v>
      </c>
      <c r="L3435" s="11">
        <v>3.99</v>
      </c>
      <c r="M3435" s="9" t="s">
        <v>1521</v>
      </c>
      <c r="N3435" s="6" t="s">
        <v>1595</v>
      </c>
      <c r="O3435" s="6" t="s">
        <v>1595</v>
      </c>
      <c r="P3435" s="9" t="s">
        <v>41</v>
      </c>
      <c r="Q3435" s="9" t="s">
        <v>42</v>
      </c>
      <c r="R3435" s="9" t="s">
        <v>43</v>
      </c>
      <c r="S3435" s="7" t="s">
        <v>582</v>
      </c>
      <c r="T3435" s="9" t="s">
        <v>39</v>
      </c>
      <c r="U3435" s="7">
        <v>0.59</v>
      </c>
      <c r="V3435" s="12">
        <f>C3435+2</f>
        <v>40625</v>
      </c>
      <c r="W3435">
        <f>IF(D3435=' Pivot Tables'!$A$4,1,0)</f>
        <v>0</v>
      </c>
      <c r="X3435">
        <f>IF(AND(LEFT(D3435,4)+1=LEFT(' Pivot Tables'!$A$4,4)+0,RIGHT(LEFT(D3435,7),2)=RIGHT(LEFT(' Pivot Tables'!$A$4,7),2)),1,0)</f>
        <v>0</v>
      </c>
      <c r="Y3435" s="6">
        <f>1/COUNTIF(Таблица1[Order ID],Таблица1[[#This Row],[Order ID]])</f>
        <v>1</v>
      </c>
      <c r="Z3435" s="9">
        <f>1/COUNTIFS(Таблица1[Customer Name],Таблица1[[#This Row],[Customer Name]],Таблица1[Order-Year-Month],Таблица1[[#This Row],[Order-Year-Month]])</f>
        <v>1</v>
      </c>
    </row>
    <row r="3436" spans="1:26" x14ac:dyDescent="0.2">
      <c r="A3436" s="6">
        <v>4990</v>
      </c>
      <c r="B3436" s="7">
        <v>35494</v>
      </c>
      <c r="C3436" s="8">
        <f>DATE(2012,12,31)-686</f>
        <v>40588</v>
      </c>
      <c r="D3436" s="8" t="str">
        <f t="shared" si="66"/>
        <v>2011-02 (февраль 2011)</v>
      </c>
      <c r="E3436" s="9" t="s">
        <v>63</v>
      </c>
      <c r="F3436" s="7">
        <v>18</v>
      </c>
      <c r="G3436" s="7">
        <v>1731.1040000000003</v>
      </c>
      <c r="H3436" s="7">
        <v>0.01</v>
      </c>
      <c r="I3436" s="9" t="s">
        <v>22</v>
      </c>
      <c r="J3436" s="10">
        <v>-270.57373200000001</v>
      </c>
      <c r="K3436" s="11">
        <v>111.96</v>
      </c>
      <c r="L3436" s="11">
        <v>69</v>
      </c>
      <c r="M3436" s="9" t="s">
        <v>1562</v>
      </c>
      <c r="N3436" s="6" t="s">
        <v>1595</v>
      </c>
      <c r="O3436" s="6" t="s">
        <v>1595</v>
      </c>
      <c r="P3436" s="9" t="s">
        <v>33</v>
      </c>
      <c r="Q3436" s="9" t="s">
        <v>49</v>
      </c>
      <c r="R3436" s="9" t="s">
        <v>83</v>
      </c>
      <c r="S3436" s="7" t="s">
        <v>1363</v>
      </c>
      <c r="T3436" s="9" t="s">
        <v>29</v>
      </c>
      <c r="U3436" s="7">
        <v>0.63</v>
      </c>
      <c r="V3436" s="12">
        <f>C3436+1</f>
        <v>40589</v>
      </c>
      <c r="W3436">
        <f>IF(D3436=' Pivot Tables'!$A$4,1,0)</f>
        <v>0</v>
      </c>
      <c r="X3436">
        <f>IF(AND(LEFT(D3436,4)+1=LEFT(' Pivot Tables'!$A$4,4)+0,RIGHT(LEFT(D3436,7),2)=RIGHT(LEFT(' Pivot Tables'!$A$4,7),2)),1,0)</f>
        <v>0</v>
      </c>
      <c r="Y3436" s="6">
        <f>1/COUNTIF(Таблица1[Order ID],Таблица1[[#This Row],[Order ID]])</f>
        <v>1</v>
      </c>
      <c r="Z3436" s="9">
        <f>1/COUNTIFS(Таблица1[Customer Name],Таблица1[[#This Row],[Customer Name]],Таблица1[Order-Year-Month],Таблица1[[#This Row],[Order-Year-Month]])</f>
        <v>1</v>
      </c>
    </row>
    <row r="3437" spans="1:26" x14ac:dyDescent="0.2">
      <c r="A3437" s="6">
        <v>5030</v>
      </c>
      <c r="B3437" s="7">
        <v>35845</v>
      </c>
      <c r="C3437" s="8">
        <f>DATE(2012,12,31)-725</f>
        <v>40549</v>
      </c>
      <c r="D3437" s="8" t="str">
        <f t="shared" si="66"/>
        <v>2011-01 (январь 2011)</v>
      </c>
      <c r="E3437" s="9" t="s">
        <v>30</v>
      </c>
      <c r="F3437" s="7">
        <v>15</v>
      </c>
      <c r="G3437" s="7">
        <v>5713.48</v>
      </c>
      <c r="H3437" s="7">
        <v>0.05</v>
      </c>
      <c r="I3437" s="9" t="s">
        <v>31</v>
      </c>
      <c r="J3437" s="10">
        <v>-712.52610000000004</v>
      </c>
      <c r="K3437" s="11">
        <v>376.13</v>
      </c>
      <c r="L3437" s="11">
        <v>85.63</v>
      </c>
      <c r="M3437" s="9" t="s">
        <v>1533</v>
      </c>
      <c r="N3437" s="6" t="s">
        <v>1595</v>
      </c>
      <c r="O3437" s="6" t="s">
        <v>1595</v>
      </c>
      <c r="P3437" s="9" t="s">
        <v>41</v>
      </c>
      <c r="Q3437" s="9" t="s">
        <v>49</v>
      </c>
      <c r="R3437" s="9" t="s">
        <v>83</v>
      </c>
      <c r="S3437" s="7" t="s">
        <v>725</v>
      </c>
      <c r="T3437" s="9" t="s">
        <v>82</v>
      </c>
      <c r="U3437" s="7">
        <v>0.74</v>
      </c>
      <c r="V3437" s="12">
        <f>C3437+2</f>
        <v>40551</v>
      </c>
      <c r="W3437">
        <f>IF(D3437=' Pivot Tables'!$A$4,1,0)</f>
        <v>0</v>
      </c>
      <c r="X3437">
        <f>IF(AND(LEFT(D3437,4)+1=LEFT(' Pivot Tables'!$A$4,4)+0,RIGHT(LEFT(D3437,7),2)=RIGHT(LEFT(' Pivot Tables'!$A$4,7),2)),1,0)</f>
        <v>0</v>
      </c>
      <c r="Y3437" s="6">
        <f>1/COUNTIF(Таблица1[Order ID],Таблица1[[#This Row],[Order ID]])</f>
        <v>1</v>
      </c>
      <c r="Z3437" s="9">
        <f>1/COUNTIFS(Таблица1[Customer Name],Таблица1[[#This Row],[Customer Name]],Таблица1[Order-Year-Month],Таблица1[[#This Row],[Order-Year-Month]])</f>
        <v>1</v>
      </c>
    </row>
    <row r="3438" spans="1:26" x14ac:dyDescent="0.2">
      <c r="A3438" s="6">
        <v>5036</v>
      </c>
      <c r="B3438" s="7">
        <v>35905</v>
      </c>
      <c r="C3438" s="8">
        <f>DATE(2012,12,31)-316</f>
        <v>40958</v>
      </c>
      <c r="D3438" s="8" t="str">
        <f t="shared" si="66"/>
        <v>2012-02 (февраль 2012)</v>
      </c>
      <c r="E3438" s="9" t="s">
        <v>21</v>
      </c>
      <c r="F3438" s="7">
        <v>20</v>
      </c>
      <c r="G3438" s="7">
        <v>37.4</v>
      </c>
      <c r="H3438" s="7">
        <v>0.09</v>
      </c>
      <c r="I3438" s="9" t="s">
        <v>56</v>
      </c>
      <c r="J3438" s="10">
        <v>-17.18</v>
      </c>
      <c r="K3438" s="11">
        <v>1.68</v>
      </c>
      <c r="L3438" s="11">
        <v>1.57</v>
      </c>
      <c r="M3438" s="9" t="s">
        <v>1533</v>
      </c>
      <c r="N3438" s="6" t="s">
        <v>1595</v>
      </c>
      <c r="O3438" s="6" t="s">
        <v>1595</v>
      </c>
      <c r="P3438" s="9" t="s">
        <v>41</v>
      </c>
      <c r="Q3438" s="9" t="s">
        <v>26</v>
      </c>
      <c r="R3438" s="9" t="s">
        <v>95</v>
      </c>
      <c r="S3438" s="7" t="s">
        <v>220</v>
      </c>
      <c r="T3438" s="9" t="s">
        <v>68</v>
      </c>
      <c r="U3438" s="7">
        <v>0.59</v>
      </c>
      <c r="V3438" s="12">
        <f>C3438+5</f>
        <v>40963</v>
      </c>
      <c r="W3438">
        <f>IF(D3438=' Pivot Tables'!$A$4,1,0)</f>
        <v>0</v>
      </c>
      <c r="X3438">
        <f>IF(AND(LEFT(D3438,4)+1=LEFT(' Pivot Tables'!$A$4,4)+0,RIGHT(LEFT(D3438,7),2)=RIGHT(LEFT(' Pivot Tables'!$A$4,7),2)),1,0)</f>
        <v>0</v>
      </c>
      <c r="Y3438" s="6">
        <f>1/COUNTIF(Таблица1[Order ID],Таблица1[[#This Row],[Order ID]])</f>
        <v>1</v>
      </c>
      <c r="Z3438" s="9">
        <f>1/COUNTIFS(Таблица1[Customer Name],Таблица1[[#This Row],[Customer Name]],Таблица1[Order-Year-Month],Таблица1[[#This Row],[Order-Year-Month]])</f>
        <v>0.5</v>
      </c>
    </row>
    <row r="3439" spans="1:26" x14ac:dyDescent="0.2">
      <c r="A3439" s="6">
        <v>5240</v>
      </c>
      <c r="B3439" s="7">
        <v>37287</v>
      </c>
      <c r="C3439" s="8">
        <f>DATE(2012,12,31)-60</f>
        <v>41214</v>
      </c>
      <c r="D3439" s="8" t="str">
        <f t="shared" si="66"/>
        <v>2012-11 (ноябрь 2012)</v>
      </c>
      <c r="E3439" s="9" t="s">
        <v>21</v>
      </c>
      <c r="F3439" s="7">
        <v>22</v>
      </c>
      <c r="G3439" s="7">
        <v>2052.2655</v>
      </c>
      <c r="H3439" s="7">
        <v>0.04</v>
      </c>
      <c r="I3439" s="9" t="s">
        <v>22</v>
      </c>
      <c r="J3439" s="10">
        <v>371.40300000000002</v>
      </c>
      <c r="K3439" s="11">
        <v>110.99</v>
      </c>
      <c r="L3439" s="11">
        <v>2.5</v>
      </c>
      <c r="M3439" s="9" t="s">
        <v>1491</v>
      </c>
      <c r="N3439" s="6" t="s">
        <v>1595</v>
      </c>
      <c r="O3439" s="6" t="s">
        <v>1595</v>
      </c>
      <c r="P3439" s="9" t="s">
        <v>41</v>
      </c>
      <c r="Q3439" s="9" t="s">
        <v>42</v>
      </c>
      <c r="R3439" s="9" t="s">
        <v>43</v>
      </c>
      <c r="S3439" s="7" t="s">
        <v>493</v>
      </c>
      <c r="T3439" s="9" t="s">
        <v>39</v>
      </c>
      <c r="U3439" s="7">
        <v>0.56999999999999995</v>
      </c>
      <c r="V3439" s="12">
        <f>C3439+4</f>
        <v>41218</v>
      </c>
      <c r="W3439">
        <f>IF(D3439=' Pivot Tables'!$A$4,1,0)</f>
        <v>0</v>
      </c>
      <c r="X3439">
        <f>IF(AND(LEFT(D3439,4)+1=LEFT(' Pivot Tables'!$A$4,4)+0,RIGHT(LEFT(D3439,7),2)=RIGHT(LEFT(' Pivot Tables'!$A$4,7),2)),1,0)</f>
        <v>0</v>
      </c>
      <c r="Y3439" s="6">
        <f>1/COUNTIF(Таблица1[Order ID],Таблица1[[#This Row],[Order ID]])</f>
        <v>0.33333333333333331</v>
      </c>
      <c r="Z3439" s="9">
        <f>1/COUNTIFS(Таблица1[Customer Name],Таблица1[[#This Row],[Customer Name]],Таблица1[Order-Year-Month],Таблица1[[#This Row],[Order-Year-Month]])</f>
        <v>0.33333333333333331</v>
      </c>
    </row>
    <row r="3440" spans="1:26" x14ac:dyDescent="0.2">
      <c r="A3440" s="6">
        <v>5263</v>
      </c>
      <c r="B3440" s="7">
        <v>37443</v>
      </c>
      <c r="C3440" s="8">
        <f>DATE(2012,12,31)-991</f>
        <v>40283</v>
      </c>
      <c r="D3440" s="8" t="str">
        <f t="shared" si="66"/>
        <v>2010-04 (апрель 2010)</v>
      </c>
      <c r="E3440" s="9" t="s">
        <v>45</v>
      </c>
      <c r="F3440" s="7">
        <v>21</v>
      </c>
      <c r="G3440" s="7">
        <v>2172.7019999999998</v>
      </c>
      <c r="H3440" s="7">
        <v>0.01</v>
      </c>
      <c r="I3440" s="9" t="s">
        <v>22</v>
      </c>
      <c r="J3440" s="10">
        <v>481.74299999999999</v>
      </c>
      <c r="K3440" s="11">
        <v>115.99</v>
      </c>
      <c r="L3440" s="11">
        <v>2.5</v>
      </c>
      <c r="M3440" s="9" t="s">
        <v>1536</v>
      </c>
      <c r="N3440" s="6" t="s">
        <v>1595</v>
      </c>
      <c r="O3440" s="6" t="s">
        <v>1595</v>
      </c>
      <c r="P3440" s="9" t="s">
        <v>25</v>
      </c>
      <c r="Q3440" s="9" t="s">
        <v>42</v>
      </c>
      <c r="R3440" s="9" t="s">
        <v>43</v>
      </c>
      <c r="S3440" s="7" t="s">
        <v>125</v>
      </c>
      <c r="T3440" s="9" t="s">
        <v>39</v>
      </c>
      <c r="U3440" s="7">
        <v>0.56999999999999995</v>
      </c>
      <c r="V3440" s="12">
        <f>C3440+2</f>
        <v>40285</v>
      </c>
      <c r="W3440">
        <f>IF(D3440=' Pivot Tables'!$A$4,1,0)</f>
        <v>0</v>
      </c>
      <c r="X3440">
        <f>IF(AND(LEFT(D3440,4)+1=LEFT(' Pivot Tables'!$A$4,4)+0,RIGHT(LEFT(D3440,7),2)=RIGHT(LEFT(' Pivot Tables'!$A$4,7),2)),1,0)</f>
        <v>0</v>
      </c>
      <c r="Y3440" s="6">
        <f>1/COUNTIF(Таблица1[Order ID],Таблица1[[#This Row],[Order ID]])</f>
        <v>0.5</v>
      </c>
      <c r="Z3440" s="9">
        <f>1/COUNTIFS(Таблица1[Customer Name],Таблица1[[#This Row],[Customer Name]],Таблица1[Order-Year-Month],Таблица1[[#This Row],[Order-Year-Month]])</f>
        <v>0.5</v>
      </c>
    </row>
    <row r="3441" spans="1:26" x14ac:dyDescent="0.2">
      <c r="A3441" s="6">
        <v>5299</v>
      </c>
      <c r="B3441" s="7">
        <v>37731</v>
      </c>
      <c r="C3441" s="8">
        <f>DATE(2012,12,31)-1153</f>
        <v>40121</v>
      </c>
      <c r="D3441" s="8" t="str">
        <f t="shared" si="66"/>
        <v>2009-11 (ноябрь 2009)</v>
      </c>
      <c r="E3441" s="9" t="s">
        <v>78</v>
      </c>
      <c r="F3441" s="7">
        <v>25</v>
      </c>
      <c r="G3441" s="7">
        <v>88.37</v>
      </c>
      <c r="H3441" s="7">
        <v>0.09</v>
      </c>
      <c r="I3441" s="9" t="s">
        <v>22</v>
      </c>
      <c r="J3441" s="10">
        <v>33.68</v>
      </c>
      <c r="K3441" s="11">
        <v>3.75</v>
      </c>
      <c r="L3441" s="11">
        <v>0.5</v>
      </c>
      <c r="M3441" s="9" t="s">
        <v>1582</v>
      </c>
      <c r="N3441" s="6" t="s">
        <v>1595</v>
      </c>
      <c r="O3441" s="6" t="s">
        <v>1595</v>
      </c>
      <c r="P3441" s="9" t="s">
        <v>60</v>
      </c>
      <c r="Q3441" s="9" t="s">
        <v>26</v>
      </c>
      <c r="R3441" s="9" t="s">
        <v>88</v>
      </c>
      <c r="S3441" s="7" t="s">
        <v>959</v>
      </c>
      <c r="T3441" s="9" t="s">
        <v>39</v>
      </c>
      <c r="U3441" s="7">
        <v>0.37</v>
      </c>
      <c r="V3441" s="12">
        <f>C3441+2</f>
        <v>40123</v>
      </c>
      <c r="W3441">
        <f>IF(D3441=' Pivot Tables'!$A$4,1,0)</f>
        <v>0</v>
      </c>
      <c r="X3441">
        <f>IF(AND(LEFT(D3441,4)+1=LEFT(' Pivot Tables'!$A$4,4)+0,RIGHT(LEFT(D3441,7),2)=RIGHT(LEFT(' Pivot Tables'!$A$4,7),2)),1,0)</f>
        <v>0</v>
      </c>
      <c r="Y3441" s="6">
        <f>1/COUNTIF(Таблица1[Order ID],Таблица1[[#This Row],[Order ID]])</f>
        <v>0.5</v>
      </c>
      <c r="Z3441" s="9">
        <f>1/COUNTIFS(Таблица1[Customer Name],Таблица1[[#This Row],[Customer Name]],Таблица1[Order-Year-Month],Таблица1[[#This Row],[Order-Year-Month]])</f>
        <v>0.5</v>
      </c>
    </row>
    <row r="3442" spans="1:26" x14ac:dyDescent="0.2">
      <c r="A3442" s="6">
        <v>5310</v>
      </c>
      <c r="B3442" s="7">
        <v>37792</v>
      </c>
      <c r="C3442" s="8">
        <f>DATE(2012,12,31)-368</f>
        <v>40906</v>
      </c>
      <c r="D3442" s="8" t="str">
        <f t="shared" si="66"/>
        <v>2011-12 (декабрь 2011)</v>
      </c>
      <c r="E3442" s="9" t="s">
        <v>30</v>
      </c>
      <c r="F3442" s="7">
        <v>14</v>
      </c>
      <c r="G3442" s="7">
        <v>36.74</v>
      </c>
      <c r="H3442" s="7">
        <v>0.09</v>
      </c>
      <c r="I3442" s="9" t="s">
        <v>22</v>
      </c>
      <c r="J3442" s="10">
        <v>-5.36</v>
      </c>
      <c r="K3442" s="11">
        <v>2.78</v>
      </c>
      <c r="L3442" s="11">
        <v>0.97</v>
      </c>
      <c r="M3442" s="9" t="s">
        <v>1479</v>
      </c>
      <c r="N3442" s="6" t="s">
        <v>1595</v>
      </c>
      <c r="O3442" s="6" t="s">
        <v>1595</v>
      </c>
      <c r="P3442" s="9" t="s">
        <v>41</v>
      </c>
      <c r="Q3442" s="9" t="s">
        <v>26</v>
      </c>
      <c r="R3442" s="9" t="s">
        <v>95</v>
      </c>
      <c r="S3442" s="7" t="s">
        <v>1284</v>
      </c>
      <c r="T3442" s="9" t="s">
        <v>68</v>
      </c>
      <c r="U3442" s="7">
        <v>0.59</v>
      </c>
      <c r="V3442" s="12">
        <f>C3442+1</f>
        <v>40907</v>
      </c>
      <c r="W3442">
        <f>IF(D3442=' Pivot Tables'!$A$4,1,0)</f>
        <v>0</v>
      </c>
      <c r="X3442">
        <f>IF(AND(LEFT(D3442,4)+1=LEFT(' Pivot Tables'!$A$4,4)+0,RIGHT(LEFT(D3442,7),2)=RIGHT(LEFT(' Pivot Tables'!$A$4,7),2)),1,0)</f>
        <v>0</v>
      </c>
      <c r="Y3442" s="6">
        <f>1/COUNTIF(Таблица1[Order ID],Таблица1[[#This Row],[Order ID]])</f>
        <v>0.5</v>
      </c>
      <c r="Z3442" s="9">
        <f>1/COUNTIFS(Таблица1[Customer Name],Таблица1[[#This Row],[Customer Name]],Таблица1[Order-Year-Month],Таблица1[[#This Row],[Order-Year-Month]])</f>
        <v>0.33333333333333331</v>
      </c>
    </row>
    <row r="3443" spans="1:26" x14ac:dyDescent="0.2">
      <c r="A3443" s="6">
        <v>5334</v>
      </c>
      <c r="B3443" s="7">
        <v>37893</v>
      </c>
      <c r="C3443" s="8">
        <f>DATE(2012,12,31)-403</f>
        <v>40871</v>
      </c>
      <c r="D3443" s="8" t="str">
        <f t="shared" si="66"/>
        <v>2011-11 (ноябрь 2011)</v>
      </c>
      <c r="E3443" s="9" t="s">
        <v>45</v>
      </c>
      <c r="F3443" s="7">
        <v>14</v>
      </c>
      <c r="G3443" s="7">
        <v>436.78</v>
      </c>
      <c r="H3443" s="7">
        <v>0.04</v>
      </c>
      <c r="I3443" s="9" t="s">
        <v>22</v>
      </c>
      <c r="J3443" s="10">
        <v>25.69</v>
      </c>
      <c r="K3443" s="11">
        <v>29.99</v>
      </c>
      <c r="L3443" s="11">
        <v>5.5</v>
      </c>
      <c r="M3443" s="9" t="s">
        <v>1653</v>
      </c>
      <c r="N3443" s="6" t="s">
        <v>1595</v>
      </c>
      <c r="O3443" s="6" t="s">
        <v>1595</v>
      </c>
      <c r="P3443" s="9" t="s">
        <v>41</v>
      </c>
      <c r="Q3443" s="9" t="s">
        <v>42</v>
      </c>
      <c r="R3443" s="9" t="s">
        <v>70</v>
      </c>
      <c r="S3443" s="7" t="s">
        <v>1177</v>
      </c>
      <c r="T3443" s="9" t="s">
        <v>39</v>
      </c>
      <c r="U3443" s="7">
        <v>0.51</v>
      </c>
      <c r="V3443" s="12">
        <f>C3443+1</f>
        <v>40872</v>
      </c>
      <c r="W3443">
        <f>IF(D3443=' Pivot Tables'!$A$4,1,0)</f>
        <v>0</v>
      </c>
      <c r="X3443">
        <f>IF(AND(LEFT(D3443,4)+1=LEFT(' Pivot Tables'!$A$4,4)+0,RIGHT(LEFT(D3443,7),2)=RIGHT(LEFT(' Pivot Tables'!$A$4,7),2)),1,0)</f>
        <v>0</v>
      </c>
      <c r="Y3443" s="6">
        <f>1/COUNTIF(Таблица1[Order ID],Таблица1[[#This Row],[Order ID]])</f>
        <v>1</v>
      </c>
      <c r="Z3443" s="9">
        <f>1/COUNTIFS(Таблица1[Customer Name],Таблица1[[#This Row],[Customer Name]],Таблица1[Order-Year-Month],Таблица1[[#This Row],[Order-Year-Month]])</f>
        <v>1</v>
      </c>
    </row>
    <row r="3444" spans="1:26" x14ac:dyDescent="0.2">
      <c r="A3444" s="6">
        <v>5399</v>
      </c>
      <c r="B3444" s="7">
        <v>38372</v>
      </c>
      <c r="C3444" s="8">
        <f>DATE(2012,12,31)-961</f>
        <v>40313</v>
      </c>
      <c r="D3444" s="8" t="str">
        <f t="shared" si="66"/>
        <v>2010-05 (май 2010)</v>
      </c>
      <c r="E3444" s="9" t="s">
        <v>30</v>
      </c>
      <c r="F3444" s="7">
        <v>46</v>
      </c>
      <c r="G3444" s="7">
        <v>1053.8399999999999</v>
      </c>
      <c r="H3444" s="7">
        <v>0</v>
      </c>
      <c r="I3444" s="9" t="s">
        <v>22</v>
      </c>
      <c r="J3444" s="10">
        <v>-632.16</v>
      </c>
      <c r="K3444" s="11">
        <v>20.98</v>
      </c>
      <c r="L3444" s="11">
        <v>21.2</v>
      </c>
      <c r="M3444" s="9" t="s">
        <v>1493</v>
      </c>
      <c r="N3444" s="6" t="s">
        <v>1595</v>
      </c>
      <c r="O3444" s="6" t="s">
        <v>1595</v>
      </c>
      <c r="P3444" s="9" t="s">
        <v>33</v>
      </c>
      <c r="Q3444" s="9" t="s">
        <v>49</v>
      </c>
      <c r="R3444" s="9" t="s">
        <v>50</v>
      </c>
      <c r="S3444" s="7" t="s">
        <v>1654</v>
      </c>
      <c r="T3444" s="9" t="s">
        <v>48</v>
      </c>
      <c r="U3444" s="7">
        <v>0.78</v>
      </c>
      <c r="V3444" s="12">
        <f>C3444+0</f>
        <v>40313</v>
      </c>
      <c r="W3444">
        <f>IF(D3444=' Pivot Tables'!$A$4,1,0)</f>
        <v>0</v>
      </c>
      <c r="X3444">
        <f>IF(AND(LEFT(D3444,4)+1=LEFT(' Pivot Tables'!$A$4,4)+0,RIGHT(LEFT(D3444,7),2)=RIGHT(LEFT(' Pivot Tables'!$A$4,7),2)),1,0)</f>
        <v>0</v>
      </c>
      <c r="Y3444" s="6">
        <f>1/COUNTIF(Таблица1[Order ID],Таблица1[[#This Row],[Order ID]])</f>
        <v>0.5</v>
      </c>
      <c r="Z3444" s="9">
        <f>1/COUNTIFS(Таблица1[Customer Name],Таблица1[[#This Row],[Customer Name]],Таблица1[Order-Year-Month],Таблица1[[#This Row],[Order-Year-Month]])</f>
        <v>0.5</v>
      </c>
    </row>
    <row r="3445" spans="1:26" x14ac:dyDescent="0.2">
      <c r="A3445" s="6">
        <v>5427</v>
      </c>
      <c r="B3445" s="7">
        <v>38564</v>
      </c>
      <c r="C3445" s="8">
        <f>DATE(2012,12,31)-1155</f>
        <v>40119</v>
      </c>
      <c r="D3445" s="8" t="str">
        <f t="shared" si="66"/>
        <v>2009-11 (ноябрь 2009)</v>
      </c>
      <c r="E3445" s="9" t="s">
        <v>78</v>
      </c>
      <c r="F3445" s="7">
        <v>37</v>
      </c>
      <c r="G3445" s="7">
        <v>9517.6</v>
      </c>
      <c r="H3445" s="7">
        <v>0.09</v>
      </c>
      <c r="I3445" s="9" t="s">
        <v>31</v>
      </c>
      <c r="J3445" s="10">
        <v>-1262.44</v>
      </c>
      <c r="K3445" s="11">
        <v>280.98</v>
      </c>
      <c r="L3445" s="11">
        <v>57</v>
      </c>
      <c r="M3445" s="9" t="s">
        <v>79</v>
      </c>
      <c r="N3445" s="6" t="s">
        <v>1595</v>
      </c>
      <c r="O3445" s="6" t="s">
        <v>1595</v>
      </c>
      <c r="P3445" s="9" t="s">
        <v>60</v>
      </c>
      <c r="Q3445" s="9" t="s">
        <v>49</v>
      </c>
      <c r="R3445" s="9" t="s">
        <v>112</v>
      </c>
      <c r="S3445" s="7" t="s">
        <v>697</v>
      </c>
      <c r="T3445" s="9" t="s">
        <v>36</v>
      </c>
      <c r="U3445" s="7">
        <v>0.78</v>
      </c>
      <c r="V3445" s="12">
        <f>C3445+3</f>
        <v>40122</v>
      </c>
      <c r="W3445">
        <f>IF(D3445=' Pivot Tables'!$A$4,1,0)</f>
        <v>0</v>
      </c>
      <c r="X3445">
        <f>IF(AND(LEFT(D3445,4)+1=LEFT(' Pivot Tables'!$A$4,4)+0,RIGHT(LEFT(D3445,7),2)=RIGHT(LEFT(' Pivot Tables'!$A$4,7),2)),1,0)</f>
        <v>0</v>
      </c>
      <c r="Y3445" s="6">
        <f>1/COUNTIF(Таблица1[Order ID],Таблица1[[#This Row],[Order ID]])</f>
        <v>0.33333333333333331</v>
      </c>
      <c r="Z3445" s="9">
        <f>1/COUNTIFS(Таблица1[Customer Name],Таблица1[[#This Row],[Customer Name]],Таблица1[Order-Year-Month],Таблица1[[#This Row],[Order-Year-Month]])</f>
        <v>0.5</v>
      </c>
    </row>
    <row r="3446" spans="1:26" x14ac:dyDescent="0.2">
      <c r="A3446" s="6">
        <v>5477</v>
      </c>
      <c r="B3446" s="7">
        <v>38912</v>
      </c>
      <c r="C3446" s="8">
        <f>DATE(2012,12,31)-64</f>
        <v>41210</v>
      </c>
      <c r="D3446" s="8" t="str">
        <f t="shared" si="66"/>
        <v>2012-10 (октябрь 2012)</v>
      </c>
      <c r="E3446" s="9" t="s">
        <v>21</v>
      </c>
      <c r="F3446" s="7">
        <v>46</v>
      </c>
      <c r="G3446" s="7">
        <v>6943.94</v>
      </c>
      <c r="H3446" s="7">
        <v>0.01</v>
      </c>
      <c r="I3446" s="9" t="s">
        <v>22</v>
      </c>
      <c r="J3446" s="10">
        <v>608.9</v>
      </c>
      <c r="K3446" s="11">
        <v>152.47999999999999</v>
      </c>
      <c r="L3446" s="11">
        <v>4</v>
      </c>
      <c r="M3446" s="9" t="s">
        <v>1494</v>
      </c>
      <c r="N3446" s="6" t="s">
        <v>1595</v>
      </c>
      <c r="O3446" s="6" t="s">
        <v>1595</v>
      </c>
      <c r="P3446" s="9" t="s">
        <v>41</v>
      </c>
      <c r="Q3446" s="9" t="s">
        <v>42</v>
      </c>
      <c r="R3446" s="9" t="s">
        <v>70</v>
      </c>
      <c r="S3446" s="7" t="s">
        <v>844</v>
      </c>
      <c r="T3446" s="9" t="s">
        <v>39</v>
      </c>
      <c r="U3446" s="7">
        <v>0.79</v>
      </c>
      <c r="V3446" s="12">
        <f>C3446+2</f>
        <v>41212</v>
      </c>
      <c r="W3446">
        <f>IF(D3446=' Pivot Tables'!$A$4,1,0)</f>
        <v>0</v>
      </c>
      <c r="X3446">
        <f>IF(AND(LEFT(D3446,4)+1=LEFT(' Pivot Tables'!$A$4,4)+0,RIGHT(LEFT(D3446,7),2)=RIGHT(LEFT(' Pivot Tables'!$A$4,7),2)),1,0)</f>
        <v>0</v>
      </c>
      <c r="Y3446" s="6">
        <f>1/COUNTIF(Таблица1[Order ID],Таблица1[[#This Row],[Order ID]])</f>
        <v>0.5</v>
      </c>
      <c r="Z3446" s="9">
        <f>1/COUNTIFS(Таблица1[Customer Name],Таблица1[[#This Row],[Customer Name]],Таблица1[Order-Year-Month],Таблица1[[#This Row],[Order-Year-Month]])</f>
        <v>0.5</v>
      </c>
    </row>
    <row r="3447" spans="1:26" x14ac:dyDescent="0.2">
      <c r="A3447" s="6">
        <v>5493</v>
      </c>
      <c r="B3447" s="7">
        <v>38976</v>
      </c>
      <c r="C3447" s="8">
        <f>DATE(2012,12,31)-737</f>
        <v>40537</v>
      </c>
      <c r="D3447" s="8" t="str">
        <f t="shared" si="66"/>
        <v>2010-12 (декабрь 2010)</v>
      </c>
      <c r="E3447" s="9" t="s">
        <v>78</v>
      </c>
      <c r="F3447" s="7">
        <v>46</v>
      </c>
      <c r="G3447" s="7">
        <v>944.76</v>
      </c>
      <c r="H3447" s="7">
        <v>0.03</v>
      </c>
      <c r="I3447" s="9" t="s">
        <v>22</v>
      </c>
      <c r="J3447" s="10">
        <v>165.46</v>
      </c>
      <c r="K3447" s="11">
        <v>19.98</v>
      </c>
      <c r="L3447" s="11">
        <v>8.68</v>
      </c>
      <c r="M3447" s="9" t="s">
        <v>1509</v>
      </c>
      <c r="N3447" s="6" t="s">
        <v>1595</v>
      </c>
      <c r="O3447" s="6" t="s">
        <v>1595</v>
      </c>
      <c r="P3447" s="9" t="s">
        <v>41</v>
      </c>
      <c r="Q3447" s="9" t="s">
        <v>26</v>
      </c>
      <c r="R3447" s="9" t="s">
        <v>61</v>
      </c>
      <c r="S3447" s="7" t="s">
        <v>617</v>
      </c>
      <c r="T3447" s="9" t="s">
        <v>39</v>
      </c>
      <c r="U3447" s="7">
        <v>0.37</v>
      </c>
      <c r="V3447" s="12">
        <f>C3447+2</f>
        <v>40539</v>
      </c>
      <c r="W3447">
        <f>IF(D3447=' Pivot Tables'!$A$4,1,0)</f>
        <v>0</v>
      </c>
      <c r="X3447">
        <f>IF(AND(LEFT(D3447,4)+1=LEFT(' Pivot Tables'!$A$4,4)+0,RIGHT(LEFT(D3447,7),2)=RIGHT(LEFT(' Pivot Tables'!$A$4,7),2)),1,0)</f>
        <v>0</v>
      </c>
      <c r="Y3447" s="6">
        <f>1/COUNTIF(Таблица1[Order ID],Таблица1[[#This Row],[Order ID]])</f>
        <v>0.5</v>
      </c>
      <c r="Z3447" s="9">
        <f>1/COUNTIFS(Таблица1[Customer Name],Таблица1[[#This Row],[Customer Name]],Таблица1[Order-Year-Month],Таблица1[[#This Row],[Order-Year-Month]])</f>
        <v>0.5</v>
      </c>
    </row>
    <row r="3448" spans="1:26" x14ac:dyDescent="0.2">
      <c r="A3448" s="6">
        <v>5503</v>
      </c>
      <c r="B3448" s="7">
        <v>39040</v>
      </c>
      <c r="C3448" s="8">
        <f>DATE(2012,12,31)-1320</f>
        <v>39954</v>
      </c>
      <c r="D3448" s="8" t="str">
        <f t="shared" si="66"/>
        <v>2009-05 (май 2009)</v>
      </c>
      <c r="E3448" s="9" t="s">
        <v>78</v>
      </c>
      <c r="F3448" s="7">
        <v>26</v>
      </c>
      <c r="G3448" s="7">
        <v>1204.5094999999999</v>
      </c>
      <c r="H3448" s="7">
        <v>0.03</v>
      </c>
      <c r="I3448" s="9" t="s">
        <v>22</v>
      </c>
      <c r="J3448" s="10">
        <v>-221.25399999999999</v>
      </c>
      <c r="K3448" s="11">
        <v>55.99</v>
      </c>
      <c r="L3448" s="11">
        <v>5</v>
      </c>
      <c r="M3448" s="9" t="s">
        <v>1481</v>
      </c>
      <c r="N3448" s="6" t="s">
        <v>1595</v>
      </c>
      <c r="O3448" s="6" t="s">
        <v>1595</v>
      </c>
      <c r="P3448" s="9" t="s">
        <v>41</v>
      </c>
      <c r="Q3448" s="9" t="s">
        <v>42</v>
      </c>
      <c r="R3448" s="9" t="s">
        <v>43</v>
      </c>
      <c r="S3448" s="7" t="s">
        <v>248</v>
      </c>
      <c r="T3448" s="9" t="s">
        <v>52</v>
      </c>
      <c r="U3448" s="7">
        <v>0.83</v>
      </c>
      <c r="V3448" s="12">
        <f>C3448+1</f>
        <v>39955</v>
      </c>
      <c r="W3448">
        <f>IF(D3448=' Pivot Tables'!$A$4,1,0)</f>
        <v>0</v>
      </c>
      <c r="X3448">
        <f>IF(AND(LEFT(D3448,4)+1=LEFT(' Pivot Tables'!$A$4,4)+0,RIGHT(LEFT(D3448,7),2)=RIGHT(LEFT(' Pivot Tables'!$A$4,7),2)),1,0)</f>
        <v>0</v>
      </c>
      <c r="Y3448" s="6">
        <f>1/COUNTIF(Таблица1[Order ID],Таблица1[[#This Row],[Order ID]])</f>
        <v>0.5</v>
      </c>
      <c r="Z3448" s="9">
        <f>1/COUNTIFS(Таблица1[Customer Name],Таблица1[[#This Row],[Customer Name]],Таблица1[Order-Year-Month],Таблица1[[#This Row],[Order-Year-Month]])</f>
        <v>0.5</v>
      </c>
    </row>
    <row r="3449" spans="1:26" x14ac:dyDescent="0.2">
      <c r="A3449" s="6">
        <v>5530</v>
      </c>
      <c r="B3449" s="7">
        <v>39169</v>
      </c>
      <c r="C3449" s="8">
        <f>DATE(2012,12,31)-493</f>
        <v>40781</v>
      </c>
      <c r="D3449" s="8" t="str">
        <f t="shared" si="66"/>
        <v>2011-08 (август 2011)</v>
      </c>
      <c r="E3449" s="9" t="s">
        <v>63</v>
      </c>
      <c r="F3449" s="7">
        <v>5</v>
      </c>
      <c r="G3449" s="7">
        <v>24.91</v>
      </c>
      <c r="H3449" s="7">
        <v>0</v>
      </c>
      <c r="I3449" s="9" t="s">
        <v>22</v>
      </c>
      <c r="J3449" s="10">
        <v>-0.9</v>
      </c>
      <c r="K3449" s="11">
        <v>4.84</v>
      </c>
      <c r="L3449" s="11">
        <v>0.71</v>
      </c>
      <c r="M3449" s="9" t="s">
        <v>1383</v>
      </c>
      <c r="N3449" s="6" t="s">
        <v>1595</v>
      </c>
      <c r="O3449" s="6" t="s">
        <v>1595</v>
      </c>
      <c r="P3449" s="9" t="s">
        <v>60</v>
      </c>
      <c r="Q3449" s="9" t="s">
        <v>26</v>
      </c>
      <c r="R3449" s="9" t="s">
        <v>95</v>
      </c>
      <c r="S3449" s="7" t="s">
        <v>633</v>
      </c>
      <c r="T3449" s="9" t="s">
        <v>68</v>
      </c>
      <c r="U3449" s="7">
        <v>0.52</v>
      </c>
      <c r="V3449" s="12">
        <f>C3449+1</f>
        <v>40782</v>
      </c>
      <c r="W3449">
        <f>IF(D3449=' Pivot Tables'!$A$4,1,0)</f>
        <v>0</v>
      </c>
      <c r="X3449">
        <f>IF(AND(LEFT(D3449,4)+1=LEFT(' Pivot Tables'!$A$4,4)+0,RIGHT(LEFT(D3449,7),2)=RIGHT(LEFT(' Pivot Tables'!$A$4,7),2)),1,0)</f>
        <v>0</v>
      </c>
      <c r="Y3449" s="6">
        <f>1/COUNTIF(Таблица1[Order ID],Таблица1[[#This Row],[Order ID]])</f>
        <v>1</v>
      </c>
      <c r="Z3449" s="9">
        <f>1/COUNTIFS(Таблица1[Customer Name],Таблица1[[#This Row],[Customer Name]],Таблица1[Order-Year-Month],Таблица1[[#This Row],[Order-Year-Month]])</f>
        <v>1</v>
      </c>
    </row>
    <row r="3450" spans="1:26" x14ac:dyDescent="0.2">
      <c r="A3450" s="6">
        <v>5538</v>
      </c>
      <c r="B3450" s="7">
        <v>39238</v>
      </c>
      <c r="C3450" s="8">
        <f>DATE(2012,12,31)-827</f>
        <v>40447</v>
      </c>
      <c r="D3450" s="8" t="str">
        <f t="shared" si="66"/>
        <v>2010-09 (сентябрь 2010)</v>
      </c>
      <c r="E3450" s="9" t="s">
        <v>78</v>
      </c>
      <c r="F3450" s="7">
        <v>9</v>
      </c>
      <c r="G3450" s="7">
        <v>373.48</v>
      </c>
      <c r="H3450" s="7">
        <v>0.1</v>
      </c>
      <c r="I3450" s="9" t="s">
        <v>56</v>
      </c>
      <c r="J3450" s="10">
        <v>112.05550000000001</v>
      </c>
      <c r="K3450" s="11">
        <v>40.98</v>
      </c>
      <c r="L3450" s="11">
        <v>2.99</v>
      </c>
      <c r="M3450" s="9" t="s">
        <v>1495</v>
      </c>
      <c r="N3450" s="6" t="s">
        <v>1595</v>
      </c>
      <c r="O3450" s="6" t="s">
        <v>1595</v>
      </c>
      <c r="P3450" s="9" t="s">
        <v>41</v>
      </c>
      <c r="Q3450" s="9" t="s">
        <v>26</v>
      </c>
      <c r="R3450" s="9" t="s">
        <v>37</v>
      </c>
      <c r="S3450" s="7" t="s">
        <v>451</v>
      </c>
      <c r="T3450" s="9" t="s">
        <v>39</v>
      </c>
      <c r="U3450" s="7">
        <v>0.36</v>
      </c>
      <c r="V3450" s="12">
        <f>C3450+1</f>
        <v>40448</v>
      </c>
      <c r="W3450">
        <f>IF(D3450=' Pivot Tables'!$A$4,1,0)</f>
        <v>0</v>
      </c>
      <c r="X3450">
        <f>IF(AND(LEFT(D3450,4)+1=LEFT(' Pivot Tables'!$A$4,4)+0,RIGHT(LEFT(D3450,7),2)=RIGHT(LEFT(' Pivot Tables'!$A$4,7),2)),1,0)</f>
        <v>0</v>
      </c>
      <c r="Y3450" s="6">
        <f>1/COUNTIF(Таблица1[Order ID],Таблица1[[#This Row],[Order ID]])</f>
        <v>1</v>
      </c>
      <c r="Z3450" s="9">
        <f>1/COUNTIFS(Таблица1[Customer Name],Таблица1[[#This Row],[Customer Name]],Таблица1[Order-Year-Month],Таблица1[[#This Row],[Order-Year-Month]])</f>
        <v>1</v>
      </c>
    </row>
    <row r="3451" spans="1:26" x14ac:dyDescent="0.2">
      <c r="A3451" s="6">
        <v>5567</v>
      </c>
      <c r="B3451" s="7">
        <v>39426</v>
      </c>
      <c r="C3451" s="8">
        <f>DATE(2012,12,31)-1315</f>
        <v>39959</v>
      </c>
      <c r="D3451" s="8" t="str">
        <f t="shared" si="66"/>
        <v>2009-05 (май 2009)</v>
      </c>
      <c r="E3451" s="9" t="s">
        <v>78</v>
      </c>
      <c r="F3451" s="7">
        <v>21</v>
      </c>
      <c r="G3451" s="7">
        <v>56.21</v>
      </c>
      <c r="H3451" s="7">
        <v>0.05</v>
      </c>
      <c r="I3451" s="9" t="s">
        <v>22</v>
      </c>
      <c r="J3451" s="10">
        <v>12.71</v>
      </c>
      <c r="K3451" s="11">
        <v>2.62</v>
      </c>
      <c r="L3451" s="11">
        <v>0.8</v>
      </c>
      <c r="M3451" s="9" t="s">
        <v>1506</v>
      </c>
      <c r="N3451" s="6" t="s">
        <v>1595</v>
      </c>
      <c r="O3451" s="6" t="s">
        <v>1595</v>
      </c>
      <c r="P3451" s="9" t="s">
        <v>25</v>
      </c>
      <c r="Q3451" s="9" t="s">
        <v>26</v>
      </c>
      <c r="R3451" s="9" t="s">
        <v>66</v>
      </c>
      <c r="S3451" s="7" t="s">
        <v>861</v>
      </c>
      <c r="T3451" s="9" t="s">
        <v>68</v>
      </c>
      <c r="U3451" s="7">
        <v>0.39</v>
      </c>
      <c r="V3451" s="12">
        <f>C3451+1</f>
        <v>39960</v>
      </c>
      <c r="W3451">
        <f>IF(D3451=' Pivot Tables'!$A$4,1,0)</f>
        <v>0</v>
      </c>
      <c r="X3451">
        <f>IF(AND(LEFT(D3451,4)+1=LEFT(' Pivot Tables'!$A$4,4)+0,RIGHT(LEFT(D3451,7),2)=RIGHT(LEFT(' Pivot Tables'!$A$4,7),2)),1,0)</f>
        <v>0</v>
      </c>
      <c r="Y3451" s="6">
        <f>1/COUNTIF(Таблица1[Order ID],Таблица1[[#This Row],[Order ID]])</f>
        <v>1</v>
      </c>
      <c r="Z3451" s="9">
        <f>1/COUNTIFS(Таблица1[Customer Name],Таблица1[[#This Row],[Customer Name]],Таблица1[Order-Year-Month],Таблица1[[#This Row],[Order-Year-Month]])</f>
        <v>0.33333333333333331</v>
      </c>
    </row>
    <row r="3452" spans="1:26" x14ac:dyDescent="0.2">
      <c r="A3452" s="6">
        <v>5613</v>
      </c>
      <c r="B3452" s="7">
        <v>39780</v>
      </c>
      <c r="C3452" s="8">
        <f>DATE(2012,12,31)-1303</f>
        <v>39971</v>
      </c>
      <c r="D3452" s="8" t="str">
        <f t="shared" si="66"/>
        <v>2009-06 (июнь 2009)</v>
      </c>
      <c r="E3452" s="9" t="s">
        <v>21</v>
      </c>
      <c r="F3452" s="7">
        <v>33</v>
      </c>
      <c r="G3452" s="7">
        <v>1683.69</v>
      </c>
      <c r="H3452" s="7">
        <v>0.02</v>
      </c>
      <c r="I3452" s="9" t="s">
        <v>22</v>
      </c>
      <c r="J3452" s="10">
        <v>809.97</v>
      </c>
      <c r="K3452" s="11">
        <v>48.04</v>
      </c>
      <c r="L3452" s="11">
        <v>5.79</v>
      </c>
      <c r="M3452" s="9" t="s">
        <v>1466</v>
      </c>
      <c r="N3452" s="6" t="s">
        <v>1595</v>
      </c>
      <c r="O3452" s="6" t="s">
        <v>1595</v>
      </c>
      <c r="P3452" s="9" t="s">
        <v>33</v>
      </c>
      <c r="Q3452" s="9" t="s">
        <v>26</v>
      </c>
      <c r="R3452" s="9" t="s">
        <v>61</v>
      </c>
      <c r="S3452" s="7" t="s">
        <v>940</v>
      </c>
      <c r="T3452" s="9" t="s">
        <v>39</v>
      </c>
      <c r="U3452" s="7">
        <v>0.37</v>
      </c>
      <c r="V3452" s="12">
        <f>C3452+7</f>
        <v>39978</v>
      </c>
      <c r="W3452">
        <f>IF(D3452=' Pivot Tables'!$A$4,1,0)</f>
        <v>0</v>
      </c>
      <c r="X3452">
        <f>IF(AND(LEFT(D3452,4)+1=LEFT(' Pivot Tables'!$A$4,4)+0,RIGHT(LEFT(D3452,7),2)=RIGHT(LEFT(' Pivot Tables'!$A$4,7),2)),1,0)</f>
        <v>0</v>
      </c>
      <c r="Y3452" s="6">
        <f>1/COUNTIF(Таблица1[Order ID],Таблица1[[#This Row],[Order ID]])</f>
        <v>0.5</v>
      </c>
      <c r="Z3452" s="9">
        <f>1/COUNTIFS(Таблица1[Customer Name],Таблица1[[#This Row],[Customer Name]],Таблица1[Order-Year-Month],Таблица1[[#This Row],[Order-Year-Month]])</f>
        <v>0.2</v>
      </c>
    </row>
    <row r="3453" spans="1:26" x14ac:dyDescent="0.2">
      <c r="A3453" s="6">
        <v>5653</v>
      </c>
      <c r="B3453" s="7">
        <v>40005</v>
      </c>
      <c r="C3453" s="8">
        <f>DATE(2012,12,31)-890</f>
        <v>40384</v>
      </c>
      <c r="D3453" s="8" t="str">
        <f t="shared" si="66"/>
        <v>2010-07 (июль 2010)</v>
      </c>
      <c r="E3453" s="9" t="s">
        <v>30</v>
      </c>
      <c r="F3453" s="7">
        <v>9</v>
      </c>
      <c r="G3453" s="7">
        <v>130.43</v>
      </c>
      <c r="H3453" s="7">
        <v>0.03</v>
      </c>
      <c r="I3453" s="9" t="s">
        <v>22</v>
      </c>
      <c r="J3453" s="10">
        <v>-8.6999999999999993</v>
      </c>
      <c r="K3453" s="11">
        <v>13.48</v>
      </c>
      <c r="L3453" s="11">
        <v>4.51</v>
      </c>
      <c r="M3453" s="9" t="s">
        <v>1536</v>
      </c>
      <c r="N3453" s="6" t="s">
        <v>1595</v>
      </c>
      <c r="O3453" s="6" t="s">
        <v>1595</v>
      </c>
      <c r="P3453" s="9" t="s">
        <v>25</v>
      </c>
      <c r="Q3453" s="9" t="s">
        <v>26</v>
      </c>
      <c r="R3453" s="9" t="s">
        <v>27</v>
      </c>
      <c r="S3453" s="7" t="s">
        <v>101</v>
      </c>
      <c r="T3453" s="9" t="s">
        <v>39</v>
      </c>
      <c r="U3453" s="7">
        <v>0.59</v>
      </c>
      <c r="V3453" s="12">
        <f>C3453+0</f>
        <v>40384</v>
      </c>
      <c r="W3453">
        <f>IF(D3453=' Pivot Tables'!$A$4,1,0)</f>
        <v>0</v>
      </c>
      <c r="X3453">
        <f>IF(AND(LEFT(D3453,4)+1=LEFT(' Pivot Tables'!$A$4,4)+0,RIGHT(LEFT(D3453,7),2)=RIGHT(LEFT(' Pivot Tables'!$A$4,7),2)),1,0)</f>
        <v>0</v>
      </c>
      <c r="Y3453" s="6">
        <f>1/COUNTIF(Таблица1[Order ID],Таблица1[[#This Row],[Order ID]])</f>
        <v>0.5</v>
      </c>
      <c r="Z3453" s="9">
        <f>1/COUNTIFS(Таблица1[Customer Name],Таблица1[[#This Row],[Customer Name]],Таблица1[Order-Year-Month],Таблица1[[#This Row],[Order-Year-Month]])</f>
        <v>0.5</v>
      </c>
    </row>
    <row r="3454" spans="1:26" x14ac:dyDescent="0.2">
      <c r="A3454" s="6">
        <v>5829</v>
      </c>
      <c r="B3454" s="7">
        <v>41350</v>
      </c>
      <c r="C3454" s="8">
        <f>DATE(2012,12,31)-968</f>
        <v>40306</v>
      </c>
      <c r="D3454" s="8" t="str">
        <f t="shared" si="66"/>
        <v>2010-05 (май 2010)</v>
      </c>
      <c r="E3454" s="9" t="s">
        <v>63</v>
      </c>
      <c r="F3454" s="7">
        <v>1</v>
      </c>
      <c r="G3454" s="7">
        <v>423.3</v>
      </c>
      <c r="H3454" s="7">
        <v>0.01</v>
      </c>
      <c r="I3454" s="9" t="s">
        <v>22</v>
      </c>
      <c r="J3454" s="10">
        <v>-259.01</v>
      </c>
      <c r="K3454" s="11">
        <v>419.19</v>
      </c>
      <c r="L3454" s="11">
        <v>19.989999999999998</v>
      </c>
      <c r="M3454" s="9" t="s">
        <v>1530</v>
      </c>
      <c r="N3454" s="6" t="s">
        <v>1595</v>
      </c>
      <c r="O3454" s="6" t="s">
        <v>1595</v>
      </c>
      <c r="P3454" s="9" t="s">
        <v>25</v>
      </c>
      <c r="Q3454" s="9" t="s">
        <v>26</v>
      </c>
      <c r="R3454" s="9" t="s">
        <v>27</v>
      </c>
      <c r="S3454" s="7" t="s">
        <v>1655</v>
      </c>
      <c r="T3454" s="9" t="s">
        <v>39</v>
      </c>
      <c r="U3454" s="7">
        <v>0.57999999999999996</v>
      </c>
      <c r="V3454" s="12">
        <f>C3454+1</f>
        <v>40307</v>
      </c>
      <c r="W3454">
        <f>IF(D3454=' Pivot Tables'!$A$4,1,0)</f>
        <v>0</v>
      </c>
      <c r="X3454">
        <f>IF(AND(LEFT(D3454,4)+1=LEFT(' Pivot Tables'!$A$4,4)+0,RIGHT(LEFT(D3454,7),2)=RIGHT(LEFT(' Pivot Tables'!$A$4,7),2)),1,0)</f>
        <v>0</v>
      </c>
      <c r="Y3454" s="6">
        <f>1/COUNTIF(Таблица1[Order ID],Таблица1[[#This Row],[Order ID]])</f>
        <v>1</v>
      </c>
      <c r="Z3454" s="9">
        <f>1/COUNTIFS(Таблица1[Customer Name],Таблица1[[#This Row],[Customer Name]],Таблица1[Order-Year-Month],Таблица1[[#This Row],[Order-Year-Month]])</f>
        <v>1</v>
      </c>
    </row>
    <row r="3455" spans="1:26" x14ac:dyDescent="0.2">
      <c r="A3455" s="6">
        <v>5834</v>
      </c>
      <c r="B3455" s="7">
        <v>41383</v>
      </c>
      <c r="C3455" s="8">
        <f>DATE(2012,12,31)-964</f>
        <v>40310</v>
      </c>
      <c r="D3455" s="8" t="str">
        <f t="shared" si="66"/>
        <v>2010-05 (май 2010)</v>
      </c>
      <c r="E3455" s="9" t="s">
        <v>21</v>
      </c>
      <c r="F3455" s="7">
        <v>38</v>
      </c>
      <c r="G3455" s="7">
        <v>2702.3</v>
      </c>
      <c r="H3455" s="7">
        <v>0.03</v>
      </c>
      <c r="I3455" s="9" t="s">
        <v>31</v>
      </c>
      <c r="J3455" s="10">
        <v>-1330.78</v>
      </c>
      <c r="K3455" s="11">
        <v>70.98</v>
      </c>
      <c r="L3455" s="11">
        <v>59.81</v>
      </c>
      <c r="M3455" s="9" t="s">
        <v>1487</v>
      </c>
      <c r="N3455" s="6" t="s">
        <v>1595</v>
      </c>
      <c r="O3455" s="6" t="s">
        <v>1595</v>
      </c>
      <c r="P3455" s="9" t="s">
        <v>25</v>
      </c>
      <c r="Q3455" s="9" t="s">
        <v>49</v>
      </c>
      <c r="R3455" s="9" t="s">
        <v>112</v>
      </c>
      <c r="S3455" s="7" t="s">
        <v>1400</v>
      </c>
      <c r="T3455" s="9" t="s">
        <v>36</v>
      </c>
      <c r="U3455" s="7">
        <v>0.6</v>
      </c>
      <c r="V3455" s="12">
        <f>C3455+4</f>
        <v>40314</v>
      </c>
      <c r="W3455">
        <f>IF(D3455=' Pivot Tables'!$A$4,1,0)</f>
        <v>0</v>
      </c>
      <c r="X3455">
        <f>IF(AND(LEFT(D3455,4)+1=LEFT(' Pivot Tables'!$A$4,4)+0,RIGHT(LEFT(D3455,7),2)=RIGHT(LEFT(' Pivot Tables'!$A$4,7),2)),1,0)</f>
        <v>0</v>
      </c>
      <c r="Y3455" s="6">
        <f>1/COUNTIF(Таблица1[Order ID],Таблица1[[#This Row],[Order ID]])</f>
        <v>0.5</v>
      </c>
      <c r="Z3455" s="9">
        <f>1/COUNTIFS(Таблица1[Customer Name],Таблица1[[#This Row],[Customer Name]],Таблица1[Order-Year-Month],Таблица1[[#This Row],[Order-Year-Month]])</f>
        <v>0.5</v>
      </c>
    </row>
    <row r="3456" spans="1:26" x14ac:dyDescent="0.2">
      <c r="A3456" s="6">
        <v>5900</v>
      </c>
      <c r="B3456" s="7">
        <v>41826</v>
      </c>
      <c r="C3456" s="8">
        <f>DATE(2012,12,31)-807</f>
        <v>40467</v>
      </c>
      <c r="D3456" s="8" t="str">
        <f t="shared" si="66"/>
        <v>2010-10 (октябрь 2010)</v>
      </c>
      <c r="E3456" s="9" t="s">
        <v>63</v>
      </c>
      <c r="F3456" s="7">
        <v>2</v>
      </c>
      <c r="G3456" s="7">
        <v>570.98</v>
      </c>
      <c r="H3456" s="7">
        <v>0.05</v>
      </c>
      <c r="I3456" s="9" t="s">
        <v>31</v>
      </c>
      <c r="J3456" s="10">
        <v>-340.48</v>
      </c>
      <c r="K3456" s="11">
        <v>258.98</v>
      </c>
      <c r="L3456" s="11">
        <v>54.31</v>
      </c>
      <c r="M3456" s="9" t="s">
        <v>1466</v>
      </c>
      <c r="N3456" s="6" t="s">
        <v>1595</v>
      </c>
      <c r="O3456" s="6" t="s">
        <v>1595</v>
      </c>
      <c r="P3456" s="9" t="s">
        <v>33</v>
      </c>
      <c r="Q3456" s="9" t="s">
        <v>49</v>
      </c>
      <c r="R3456" s="9" t="s">
        <v>112</v>
      </c>
      <c r="S3456" s="7" t="s">
        <v>915</v>
      </c>
      <c r="T3456" s="9" t="s">
        <v>36</v>
      </c>
      <c r="U3456" s="7">
        <v>0.55000000000000004</v>
      </c>
      <c r="V3456" s="12">
        <f>C3456+2</f>
        <v>40469</v>
      </c>
      <c r="W3456">
        <f>IF(D3456=' Pivot Tables'!$A$4,1,0)</f>
        <v>0</v>
      </c>
      <c r="X3456">
        <f>IF(AND(LEFT(D3456,4)+1=LEFT(' Pivot Tables'!$A$4,4)+0,RIGHT(LEFT(D3456,7),2)=RIGHT(LEFT(' Pivot Tables'!$A$4,7),2)),1,0)</f>
        <v>0</v>
      </c>
      <c r="Y3456" s="6">
        <f>1/COUNTIF(Таблица1[Order ID],Таблица1[[#This Row],[Order ID]])</f>
        <v>0.5</v>
      </c>
      <c r="Z3456" s="9">
        <f>1/COUNTIFS(Таблица1[Customer Name],Таблица1[[#This Row],[Customer Name]],Таблица1[Order-Year-Month],Таблица1[[#This Row],[Order-Year-Month]])</f>
        <v>0.5</v>
      </c>
    </row>
    <row r="3457" spans="1:26" x14ac:dyDescent="0.2">
      <c r="A3457" s="6">
        <v>5996</v>
      </c>
      <c r="B3457" s="7">
        <v>42471</v>
      </c>
      <c r="C3457" s="8">
        <f>DATE(2012,12,31)-297</f>
        <v>40977</v>
      </c>
      <c r="D3457" s="8" t="str">
        <f t="shared" si="66"/>
        <v>2012-03 (март 2012)</v>
      </c>
      <c r="E3457" s="9" t="s">
        <v>21</v>
      </c>
      <c r="F3457" s="7">
        <v>23</v>
      </c>
      <c r="G3457" s="7">
        <v>44.89</v>
      </c>
      <c r="H3457" s="7">
        <v>0.09</v>
      </c>
      <c r="I3457" s="9" t="s">
        <v>22</v>
      </c>
      <c r="J3457" s="10">
        <v>-17.13</v>
      </c>
      <c r="K3457" s="11">
        <v>1.95</v>
      </c>
      <c r="L3457" s="11">
        <v>1.63</v>
      </c>
      <c r="M3457" s="9" t="s">
        <v>1556</v>
      </c>
      <c r="N3457" s="6" t="s">
        <v>1595</v>
      </c>
      <c r="O3457" s="6" t="s">
        <v>1595</v>
      </c>
      <c r="P3457" s="9" t="s">
        <v>33</v>
      </c>
      <c r="Q3457" s="9" t="s">
        <v>26</v>
      </c>
      <c r="R3457" s="9" t="s">
        <v>95</v>
      </c>
      <c r="S3457" s="7" t="s">
        <v>1502</v>
      </c>
      <c r="T3457" s="9" t="s">
        <v>68</v>
      </c>
      <c r="U3457" s="7">
        <v>0.46</v>
      </c>
      <c r="V3457" s="12">
        <f>C3457+2</f>
        <v>40979</v>
      </c>
      <c r="W3457">
        <f>IF(D3457=' Pivot Tables'!$A$4,1,0)</f>
        <v>0</v>
      </c>
      <c r="X3457">
        <f>IF(AND(LEFT(D3457,4)+1=LEFT(' Pivot Tables'!$A$4,4)+0,RIGHT(LEFT(D3457,7),2)=RIGHT(LEFT(' Pivot Tables'!$A$4,7),2)),1,0)</f>
        <v>0</v>
      </c>
      <c r="Y3457" s="6">
        <f>1/COUNTIF(Таблица1[Order ID],Таблица1[[#This Row],[Order ID]])</f>
        <v>1</v>
      </c>
      <c r="Z3457" s="9">
        <f>1/COUNTIFS(Таблица1[Customer Name],Таблица1[[#This Row],[Customer Name]],Таблица1[Order-Year-Month],Таблица1[[#This Row],[Order-Year-Month]])</f>
        <v>1</v>
      </c>
    </row>
    <row r="3458" spans="1:26" x14ac:dyDescent="0.2">
      <c r="A3458" s="6">
        <v>6003</v>
      </c>
      <c r="B3458" s="7">
        <v>42528</v>
      </c>
      <c r="C3458" s="8">
        <f>DATE(2012,12,31)-1042</f>
        <v>40232</v>
      </c>
      <c r="D3458" s="8" t="str">
        <f t="shared" si="66"/>
        <v>2010-02 (февраль 2010)</v>
      </c>
      <c r="E3458" s="9" t="s">
        <v>63</v>
      </c>
      <c r="F3458" s="7">
        <v>29</v>
      </c>
      <c r="G3458" s="7">
        <v>200.7</v>
      </c>
      <c r="H3458" s="7">
        <v>0.02</v>
      </c>
      <c r="I3458" s="9" t="s">
        <v>22</v>
      </c>
      <c r="J3458" s="10">
        <v>-147.72</v>
      </c>
      <c r="K3458" s="11">
        <v>6.48</v>
      </c>
      <c r="L3458" s="11">
        <v>9.17</v>
      </c>
      <c r="M3458" s="9" t="s">
        <v>1501</v>
      </c>
      <c r="N3458" s="6" t="s">
        <v>1595</v>
      </c>
      <c r="O3458" s="6" t="s">
        <v>1595</v>
      </c>
      <c r="P3458" s="9" t="s">
        <v>33</v>
      </c>
      <c r="Q3458" s="9" t="s">
        <v>26</v>
      </c>
      <c r="R3458" s="9" t="s">
        <v>61</v>
      </c>
      <c r="S3458" s="7" t="s">
        <v>1612</v>
      </c>
      <c r="T3458" s="9" t="s">
        <v>39</v>
      </c>
      <c r="U3458" s="7">
        <v>0.37</v>
      </c>
      <c r="V3458" s="12">
        <f>C3458+1</f>
        <v>40233</v>
      </c>
      <c r="W3458">
        <f>IF(D3458=' Pivot Tables'!$A$4,1,0)</f>
        <v>0</v>
      </c>
      <c r="X3458">
        <f>IF(AND(LEFT(D3458,4)+1=LEFT(' Pivot Tables'!$A$4,4)+0,RIGHT(LEFT(D3458,7),2)=RIGHT(LEFT(' Pivot Tables'!$A$4,7),2)),1,0)</f>
        <v>0</v>
      </c>
      <c r="Y3458" s="6">
        <f>1/COUNTIF(Таблица1[Order ID],Таблица1[[#This Row],[Order ID]])</f>
        <v>0.2</v>
      </c>
      <c r="Z3458" s="9">
        <f>1/COUNTIFS(Таблица1[Customer Name],Таблица1[[#This Row],[Customer Name]],Таблица1[Order-Year-Month],Таблица1[[#This Row],[Order-Year-Month]])</f>
        <v>0.2</v>
      </c>
    </row>
    <row r="3459" spans="1:26" x14ac:dyDescent="0.2">
      <c r="A3459" s="6">
        <v>6004</v>
      </c>
      <c r="B3459" s="7">
        <v>42529</v>
      </c>
      <c r="C3459" s="8">
        <f>DATE(2012,12,31)-813</f>
        <v>40461</v>
      </c>
      <c r="D3459" s="8" t="str">
        <f t="shared" ref="D3459:D3522" si="67">TEXT(C3459,"гггг-ММ (ММММ гггг)")</f>
        <v>2010-10 (октябрь 2010)</v>
      </c>
      <c r="E3459" s="9" t="s">
        <v>21</v>
      </c>
      <c r="F3459" s="7">
        <v>2</v>
      </c>
      <c r="G3459" s="7">
        <v>6.34</v>
      </c>
      <c r="H3459" s="7">
        <v>0.08</v>
      </c>
      <c r="I3459" s="9" t="s">
        <v>22</v>
      </c>
      <c r="J3459" s="10">
        <v>-4.4400000000000004</v>
      </c>
      <c r="K3459" s="11">
        <v>2.78</v>
      </c>
      <c r="L3459" s="11">
        <v>0.97</v>
      </c>
      <c r="M3459" s="9" t="s">
        <v>1560</v>
      </c>
      <c r="N3459" s="6" t="s">
        <v>1595</v>
      </c>
      <c r="O3459" s="6" t="s">
        <v>1595</v>
      </c>
      <c r="P3459" s="9" t="s">
        <v>25</v>
      </c>
      <c r="Q3459" s="9" t="s">
        <v>26</v>
      </c>
      <c r="R3459" s="9" t="s">
        <v>95</v>
      </c>
      <c r="S3459" s="7" t="s">
        <v>1284</v>
      </c>
      <c r="T3459" s="9" t="s">
        <v>68</v>
      </c>
      <c r="U3459" s="7">
        <v>0.59</v>
      </c>
      <c r="V3459" s="12">
        <f>C3459+4</f>
        <v>40465</v>
      </c>
      <c r="W3459">
        <f>IF(D3459=' Pivot Tables'!$A$4,1,0)</f>
        <v>0</v>
      </c>
      <c r="X3459">
        <f>IF(AND(LEFT(D3459,4)+1=LEFT(' Pivot Tables'!$A$4,4)+0,RIGHT(LEFT(D3459,7),2)=RIGHT(LEFT(' Pivot Tables'!$A$4,7),2)),1,0)</f>
        <v>0</v>
      </c>
      <c r="Y3459" s="6">
        <f>1/COUNTIF(Таблица1[Order ID],Таблица1[[#This Row],[Order ID]])</f>
        <v>0.33333333333333331</v>
      </c>
      <c r="Z3459" s="9">
        <f>1/COUNTIFS(Таблица1[Customer Name],Таблица1[[#This Row],[Customer Name]],Таблица1[Order-Year-Month],Таблица1[[#This Row],[Order-Year-Month]])</f>
        <v>0.33333333333333331</v>
      </c>
    </row>
    <row r="3460" spans="1:26" x14ac:dyDescent="0.2">
      <c r="A3460" s="6">
        <v>6006</v>
      </c>
      <c r="B3460" s="7">
        <v>42529</v>
      </c>
      <c r="C3460" s="8">
        <f>DATE(2012,12,31)-813</f>
        <v>40461</v>
      </c>
      <c r="D3460" s="8" t="str">
        <f t="shared" si="67"/>
        <v>2010-10 (октябрь 2010)</v>
      </c>
      <c r="E3460" s="9" t="s">
        <v>21</v>
      </c>
      <c r="F3460" s="7">
        <v>48</v>
      </c>
      <c r="G3460" s="7">
        <v>2996.93</v>
      </c>
      <c r="H3460" s="7">
        <v>0.04</v>
      </c>
      <c r="I3460" s="9" t="s">
        <v>22</v>
      </c>
      <c r="J3460" s="10">
        <v>1060.8699999999999</v>
      </c>
      <c r="K3460" s="11">
        <v>60.22</v>
      </c>
      <c r="L3460" s="11">
        <v>3.5</v>
      </c>
      <c r="M3460" s="9" t="s">
        <v>1560</v>
      </c>
      <c r="N3460" s="6" t="s">
        <v>1595</v>
      </c>
      <c r="O3460" s="6" t="s">
        <v>1595</v>
      </c>
      <c r="P3460" s="9" t="s">
        <v>25</v>
      </c>
      <c r="Q3460" s="9" t="s">
        <v>26</v>
      </c>
      <c r="R3460" s="9" t="s">
        <v>34</v>
      </c>
      <c r="S3460" s="7" t="s">
        <v>624</v>
      </c>
      <c r="T3460" s="9" t="s">
        <v>39</v>
      </c>
      <c r="U3460" s="7">
        <v>0.56999999999999995</v>
      </c>
      <c r="V3460" s="12">
        <f>C3460+4</f>
        <v>40465</v>
      </c>
      <c r="W3460">
        <f>IF(D3460=' Pivot Tables'!$A$4,1,0)</f>
        <v>0</v>
      </c>
      <c r="X3460">
        <f>IF(AND(LEFT(D3460,4)+1=LEFT(' Pivot Tables'!$A$4,4)+0,RIGHT(LEFT(D3460,7),2)=RIGHT(LEFT(' Pivot Tables'!$A$4,7),2)),1,0)</f>
        <v>0</v>
      </c>
      <c r="Y3460" s="6">
        <f>1/COUNTIF(Таблица1[Order ID],Таблица1[[#This Row],[Order ID]])</f>
        <v>0.33333333333333331</v>
      </c>
      <c r="Z3460" s="9">
        <f>1/COUNTIFS(Таблица1[Customer Name],Таблица1[[#This Row],[Customer Name]],Таблица1[Order-Year-Month],Таблица1[[#This Row],[Order-Year-Month]])</f>
        <v>0.33333333333333331</v>
      </c>
    </row>
    <row r="3461" spans="1:26" x14ac:dyDescent="0.2">
      <c r="A3461" s="6">
        <v>6095</v>
      </c>
      <c r="B3461" s="7">
        <v>43200</v>
      </c>
      <c r="C3461" s="8">
        <f>DATE(2012,12,31)-884</f>
        <v>40390</v>
      </c>
      <c r="D3461" s="8" t="str">
        <f t="shared" si="67"/>
        <v>2010-07 (июль 2010)</v>
      </c>
      <c r="E3461" s="9" t="s">
        <v>45</v>
      </c>
      <c r="F3461" s="7">
        <v>3</v>
      </c>
      <c r="G3461" s="7">
        <v>554.32000000000005</v>
      </c>
      <c r="H3461" s="7">
        <v>0.01</v>
      </c>
      <c r="I3461" s="9" t="s">
        <v>22</v>
      </c>
      <c r="J3461" s="10">
        <v>-62.134500000000003</v>
      </c>
      <c r="K3461" s="11">
        <v>172.99</v>
      </c>
      <c r="L3461" s="11">
        <v>19.989999999999998</v>
      </c>
      <c r="M3461" s="9" t="s">
        <v>1506</v>
      </c>
      <c r="N3461" s="6" t="s">
        <v>1595</v>
      </c>
      <c r="O3461" s="6" t="s">
        <v>1595</v>
      </c>
      <c r="P3461" s="9" t="s">
        <v>25</v>
      </c>
      <c r="Q3461" s="9" t="s">
        <v>26</v>
      </c>
      <c r="R3461" s="9" t="s">
        <v>37</v>
      </c>
      <c r="S3461" s="7" t="s">
        <v>616</v>
      </c>
      <c r="T3461" s="9" t="s">
        <v>39</v>
      </c>
      <c r="U3461" s="7">
        <v>0.39</v>
      </c>
      <c r="V3461" s="12">
        <f>C3461+1</f>
        <v>40391</v>
      </c>
      <c r="W3461">
        <f>IF(D3461=' Pivot Tables'!$A$4,1,0)</f>
        <v>0</v>
      </c>
      <c r="X3461">
        <f>IF(AND(LEFT(D3461,4)+1=LEFT(' Pivot Tables'!$A$4,4)+0,RIGHT(LEFT(D3461,7),2)=RIGHT(LEFT(' Pivot Tables'!$A$4,7),2)),1,0)</f>
        <v>0</v>
      </c>
      <c r="Y3461" s="6">
        <f>1/COUNTIF(Таблица1[Order ID],Таблица1[[#This Row],[Order ID]])</f>
        <v>0.5</v>
      </c>
      <c r="Z3461" s="9">
        <f>1/COUNTIFS(Таблица1[Customer Name],Таблица1[[#This Row],[Customer Name]],Таблица1[Order-Year-Month],Таблица1[[#This Row],[Order-Year-Month]])</f>
        <v>0.25</v>
      </c>
    </row>
    <row r="3462" spans="1:26" x14ac:dyDescent="0.2">
      <c r="A3462" s="6">
        <v>6096</v>
      </c>
      <c r="B3462" s="7">
        <v>43200</v>
      </c>
      <c r="C3462" s="8">
        <f>DATE(2012,12,31)-884</f>
        <v>40390</v>
      </c>
      <c r="D3462" s="8" t="str">
        <f t="shared" si="67"/>
        <v>2010-07 (июль 2010)</v>
      </c>
      <c r="E3462" s="9" t="s">
        <v>45</v>
      </c>
      <c r="F3462" s="7">
        <v>15</v>
      </c>
      <c r="G3462" s="7">
        <v>1073.567</v>
      </c>
      <c r="H3462" s="7">
        <v>0.04</v>
      </c>
      <c r="I3462" s="9" t="s">
        <v>22</v>
      </c>
      <c r="J3462" s="10">
        <v>-305.96499999999997</v>
      </c>
      <c r="K3462" s="11">
        <v>85.99</v>
      </c>
      <c r="L3462" s="11">
        <v>0.99</v>
      </c>
      <c r="M3462" s="9" t="s">
        <v>1506</v>
      </c>
      <c r="N3462" s="6" t="s">
        <v>1595</v>
      </c>
      <c r="O3462" s="6" t="s">
        <v>1595</v>
      </c>
      <c r="P3462" s="9" t="s">
        <v>25</v>
      </c>
      <c r="Q3462" s="9" t="s">
        <v>42</v>
      </c>
      <c r="R3462" s="9" t="s">
        <v>43</v>
      </c>
      <c r="S3462" s="7" t="s">
        <v>146</v>
      </c>
      <c r="T3462" s="9" t="s">
        <v>68</v>
      </c>
      <c r="U3462" s="7">
        <v>0.85</v>
      </c>
      <c r="V3462" s="12">
        <f>C3462+1</f>
        <v>40391</v>
      </c>
      <c r="W3462">
        <f>IF(D3462=' Pivot Tables'!$A$4,1,0)</f>
        <v>0</v>
      </c>
      <c r="X3462">
        <f>IF(AND(LEFT(D3462,4)+1=LEFT(' Pivot Tables'!$A$4,4)+0,RIGHT(LEFT(D3462,7),2)=RIGHT(LEFT(' Pivot Tables'!$A$4,7),2)),1,0)</f>
        <v>0</v>
      </c>
      <c r="Y3462" s="6">
        <f>1/COUNTIF(Таблица1[Order ID],Таблица1[[#This Row],[Order ID]])</f>
        <v>0.5</v>
      </c>
      <c r="Z3462" s="9">
        <f>1/COUNTIFS(Таблица1[Customer Name],Таблица1[[#This Row],[Customer Name]],Таблица1[Order-Year-Month],Таблица1[[#This Row],[Order-Year-Month]])</f>
        <v>0.25</v>
      </c>
    </row>
    <row r="3463" spans="1:26" x14ac:dyDescent="0.2">
      <c r="A3463" s="6">
        <v>6150</v>
      </c>
      <c r="B3463" s="7">
        <v>43553</v>
      </c>
      <c r="C3463" s="8">
        <f>DATE(2012,12,31)-1327</f>
        <v>39947</v>
      </c>
      <c r="D3463" s="8" t="str">
        <f t="shared" si="67"/>
        <v>2009-05 (май 2009)</v>
      </c>
      <c r="E3463" s="9" t="s">
        <v>45</v>
      </c>
      <c r="F3463" s="7">
        <v>29</v>
      </c>
      <c r="G3463" s="7">
        <v>143.29</v>
      </c>
      <c r="H3463" s="7">
        <v>0.05</v>
      </c>
      <c r="I3463" s="9" t="s">
        <v>22</v>
      </c>
      <c r="J3463" s="10">
        <v>-55.54</v>
      </c>
      <c r="K3463" s="11">
        <v>4.9800000000000004</v>
      </c>
      <c r="L3463" s="11">
        <v>4.72</v>
      </c>
      <c r="M3463" s="9" t="s">
        <v>1653</v>
      </c>
      <c r="N3463" s="6" t="s">
        <v>1595</v>
      </c>
      <c r="O3463" s="6" t="s">
        <v>1595</v>
      </c>
      <c r="P3463" s="9" t="s">
        <v>41</v>
      </c>
      <c r="Q3463" s="9" t="s">
        <v>26</v>
      </c>
      <c r="R3463" s="9" t="s">
        <v>61</v>
      </c>
      <c r="S3463" s="7" t="s">
        <v>968</v>
      </c>
      <c r="T3463" s="9" t="s">
        <v>39</v>
      </c>
      <c r="U3463" s="7">
        <v>0.36</v>
      </c>
      <c r="V3463" s="12">
        <f>C3463+1</f>
        <v>39948</v>
      </c>
      <c r="W3463">
        <f>IF(D3463=' Pivot Tables'!$A$4,1,0)</f>
        <v>0</v>
      </c>
      <c r="X3463">
        <f>IF(AND(LEFT(D3463,4)+1=LEFT(' Pivot Tables'!$A$4,4)+0,RIGHT(LEFT(D3463,7),2)=RIGHT(LEFT(' Pivot Tables'!$A$4,7),2)),1,0)</f>
        <v>0</v>
      </c>
      <c r="Y3463" s="6">
        <f>1/COUNTIF(Таблица1[Order ID],Таблица1[[#This Row],[Order ID]])</f>
        <v>1</v>
      </c>
      <c r="Z3463" s="9">
        <f>1/COUNTIFS(Таблица1[Customer Name],Таблица1[[#This Row],[Customer Name]],Таблица1[Order-Year-Month],Таблица1[[#This Row],[Order-Year-Month]])</f>
        <v>1</v>
      </c>
    </row>
    <row r="3464" spans="1:26" x14ac:dyDescent="0.2">
      <c r="A3464" s="6">
        <v>6217</v>
      </c>
      <c r="B3464" s="7">
        <v>44033</v>
      </c>
      <c r="C3464" s="8">
        <f>DATE(2012,12,31)-356</f>
        <v>40918</v>
      </c>
      <c r="D3464" s="8" t="str">
        <f t="shared" si="67"/>
        <v>2012-01 (январь 2012)</v>
      </c>
      <c r="E3464" s="9" t="s">
        <v>78</v>
      </c>
      <c r="F3464" s="7">
        <v>45</v>
      </c>
      <c r="G3464" s="7">
        <v>5811.97</v>
      </c>
      <c r="H3464" s="7">
        <v>0.03</v>
      </c>
      <c r="I3464" s="9" t="s">
        <v>31</v>
      </c>
      <c r="J3464" s="10">
        <v>-434.14800000000008</v>
      </c>
      <c r="K3464" s="11">
        <v>124.49</v>
      </c>
      <c r="L3464" s="11">
        <v>51.94</v>
      </c>
      <c r="M3464" s="9" t="s">
        <v>1456</v>
      </c>
      <c r="N3464" s="6" t="s">
        <v>1595</v>
      </c>
      <c r="O3464" s="6" t="s">
        <v>1595</v>
      </c>
      <c r="P3464" s="9" t="s">
        <v>41</v>
      </c>
      <c r="Q3464" s="9" t="s">
        <v>49</v>
      </c>
      <c r="R3464" s="9" t="s">
        <v>83</v>
      </c>
      <c r="S3464" s="7" t="s">
        <v>432</v>
      </c>
      <c r="T3464" s="9" t="s">
        <v>82</v>
      </c>
      <c r="U3464" s="7">
        <v>0.63</v>
      </c>
      <c r="V3464" s="12">
        <f>C3464+2</f>
        <v>40920</v>
      </c>
      <c r="W3464">
        <f>IF(D3464=' Pivot Tables'!$A$4,1,0)</f>
        <v>0</v>
      </c>
      <c r="X3464">
        <f>IF(AND(LEFT(D3464,4)+1=LEFT(' Pivot Tables'!$A$4,4)+0,RIGHT(LEFT(D3464,7),2)=RIGHT(LEFT(' Pivot Tables'!$A$4,7),2)),1,0)</f>
        <v>0</v>
      </c>
      <c r="Y3464" s="6">
        <f>1/COUNTIF(Таблица1[Order ID],Таблица1[[#This Row],[Order ID]])</f>
        <v>1</v>
      </c>
      <c r="Z3464" s="9">
        <f>1/COUNTIFS(Таблица1[Customer Name],Таблица1[[#This Row],[Customer Name]],Таблица1[Order-Year-Month],Таблица1[[#This Row],[Order-Year-Month]])</f>
        <v>1</v>
      </c>
    </row>
    <row r="3465" spans="1:26" x14ac:dyDescent="0.2">
      <c r="A3465" s="6">
        <v>6223</v>
      </c>
      <c r="B3465" s="7">
        <v>44065</v>
      </c>
      <c r="C3465" s="8">
        <f>DATE(2012,12,31)-912</f>
        <v>40362</v>
      </c>
      <c r="D3465" s="8" t="str">
        <f t="shared" si="67"/>
        <v>2010-07 (июль 2010)</v>
      </c>
      <c r="E3465" s="9" t="s">
        <v>21</v>
      </c>
      <c r="F3465" s="7">
        <v>23</v>
      </c>
      <c r="G3465" s="7">
        <v>1914.16</v>
      </c>
      <c r="H3465" s="7">
        <v>0.01</v>
      </c>
      <c r="I3465" s="9" t="s">
        <v>31</v>
      </c>
      <c r="J3465" s="10">
        <v>128.43</v>
      </c>
      <c r="K3465" s="11">
        <v>80.97</v>
      </c>
      <c r="L3465" s="11">
        <v>33.6</v>
      </c>
      <c r="M3465" s="9" t="s">
        <v>1456</v>
      </c>
      <c r="N3465" s="6" t="s">
        <v>1595</v>
      </c>
      <c r="O3465" s="6" t="s">
        <v>1595</v>
      </c>
      <c r="P3465" s="9" t="s">
        <v>25</v>
      </c>
      <c r="Q3465" s="9" t="s">
        <v>42</v>
      </c>
      <c r="R3465" s="9" t="s">
        <v>210</v>
      </c>
      <c r="S3465" s="7" t="s">
        <v>312</v>
      </c>
      <c r="T3465" s="9" t="s">
        <v>36</v>
      </c>
      <c r="U3465" s="7">
        <v>0.37</v>
      </c>
      <c r="V3465" s="12">
        <f>C3465+7</f>
        <v>40369</v>
      </c>
      <c r="W3465">
        <f>IF(D3465=' Pivot Tables'!$A$4,1,0)</f>
        <v>0</v>
      </c>
      <c r="X3465">
        <f>IF(AND(LEFT(D3465,4)+1=LEFT(' Pivot Tables'!$A$4,4)+0,RIGHT(LEFT(D3465,7),2)=RIGHT(LEFT(' Pivot Tables'!$A$4,7),2)),1,0)</f>
        <v>0</v>
      </c>
      <c r="Y3465" s="6">
        <f>1/COUNTIF(Таблица1[Order ID],Таблица1[[#This Row],[Order ID]])</f>
        <v>1</v>
      </c>
      <c r="Z3465" s="9">
        <f>1/COUNTIFS(Таблица1[Customer Name],Таблица1[[#This Row],[Customer Name]],Таблица1[Order-Year-Month],Таблица1[[#This Row],[Order-Year-Month]])</f>
        <v>1</v>
      </c>
    </row>
    <row r="3466" spans="1:26" x14ac:dyDescent="0.2">
      <c r="A3466" s="6">
        <v>6299</v>
      </c>
      <c r="B3466" s="7">
        <v>44583</v>
      </c>
      <c r="C3466" s="8">
        <f>DATE(2012,12,31)-1184</f>
        <v>40090</v>
      </c>
      <c r="D3466" s="8" t="str">
        <f t="shared" si="67"/>
        <v>2009-10 (октябрь 2009)</v>
      </c>
      <c r="E3466" s="9" t="s">
        <v>21</v>
      </c>
      <c r="F3466" s="7">
        <v>21</v>
      </c>
      <c r="G3466" s="7">
        <v>315.07</v>
      </c>
      <c r="H3466" s="7">
        <v>0.02</v>
      </c>
      <c r="I3466" s="9" t="s">
        <v>22</v>
      </c>
      <c r="J3466" s="10">
        <v>95</v>
      </c>
      <c r="K3466" s="11">
        <v>14.2</v>
      </c>
      <c r="L3466" s="11">
        <v>5.3</v>
      </c>
      <c r="M3466" s="9" t="s">
        <v>1533</v>
      </c>
      <c r="N3466" s="6" t="s">
        <v>1595</v>
      </c>
      <c r="O3466" s="6" t="s">
        <v>1595</v>
      </c>
      <c r="P3466" s="9" t="s">
        <v>41</v>
      </c>
      <c r="Q3466" s="9" t="s">
        <v>49</v>
      </c>
      <c r="R3466" s="9" t="s">
        <v>50</v>
      </c>
      <c r="S3466" s="7" t="s">
        <v>603</v>
      </c>
      <c r="T3466" s="9" t="s">
        <v>68</v>
      </c>
      <c r="U3466" s="7">
        <v>0.46</v>
      </c>
      <c r="V3466" s="12">
        <f>C3466+2</f>
        <v>40092</v>
      </c>
      <c r="W3466">
        <f>IF(D3466=' Pivot Tables'!$A$4,1,0)</f>
        <v>0</v>
      </c>
      <c r="X3466">
        <f>IF(AND(LEFT(D3466,4)+1=LEFT(' Pivot Tables'!$A$4,4)+0,RIGHT(LEFT(D3466,7),2)=RIGHT(LEFT(' Pivot Tables'!$A$4,7),2)),1,0)</f>
        <v>0</v>
      </c>
      <c r="Y3466" s="6">
        <f>1/COUNTIF(Таблица1[Order ID],Таблица1[[#This Row],[Order ID]])</f>
        <v>0.5</v>
      </c>
      <c r="Z3466" s="9">
        <f>1/COUNTIFS(Таблица1[Customer Name],Таблица1[[#This Row],[Customer Name]],Таблица1[Order-Year-Month],Таблица1[[#This Row],[Order-Year-Month]])</f>
        <v>0.5</v>
      </c>
    </row>
    <row r="3467" spans="1:26" x14ac:dyDescent="0.2">
      <c r="A3467" s="6">
        <v>6353</v>
      </c>
      <c r="B3467" s="7">
        <v>45030</v>
      </c>
      <c r="C3467" s="8">
        <f>DATE(2012,12,31)-891</f>
        <v>40383</v>
      </c>
      <c r="D3467" s="8" t="str">
        <f t="shared" si="67"/>
        <v>2010-07 (июль 2010)</v>
      </c>
      <c r="E3467" s="9" t="s">
        <v>30</v>
      </c>
      <c r="F3467" s="7">
        <v>1</v>
      </c>
      <c r="G3467" s="7">
        <v>18.16</v>
      </c>
      <c r="H3467" s="7">
        <v>0.03</v>
      </c>
      <c r="I3467" s="9" t="s">
        <v>22</v>
      </c>
      <c r="J3467" s="10">
        <v>-7.25</v>
      </c>
      <c r="K3467" s="11">
        <v>12.28</v>
      </c>
      <c r="L3467" s="11">
        <v>6.13</v>
      </c>
      <c r="M3467" s="9" t="s">
        <v>1482</v>
      </c>
      <c r="N3467" s="6" t="s">
        <v>1595</v>
      </c>
      <c r="O3467" s="6" t="s">
        <v>1595</v>
      </c>
      <c r="P3467" s="9" t="s">
        <v>33</v>
      </c>
      <c r="Q3467" s="9" t="s">
        <v>26</v>
      </c>
      <c r="R3467" s="9" t="s">
        <v>27</v>
      </c>
      <c r="S3467" s="7" t="s">
        <v>275</v>
      </c>
      <c r="T3467" s="9" t="s">
        <v>39</v>
      </c>
      <c r="U3467" s="7">
        <v>0.56999999999999995</v>
      </c>
      <c r="V3467" s="12">
        <f>C3467+2</f>
        <v>40385</v>
      </c>
      <c r="W3467">
        <f>IF(D3467=' Pivot Tables'!$A$4,1,0)</f>
        <v>0</v>
      </c>
      <c r="X3467">
        <f>IF(AND(LEFT(D3467,4)+1=LEFT(' Pivot Tables'!$A$4,4)+0,RIGHT(LEFT(D3467,7),2)=RIGHT(LEFT(' Pivot Tables'!$A$4,7),2)),1,0)</f>
        <v>0</v>
      </c>
      <c r="Y3467" s="6">
        <f>1/COUNTIF(Таблица1[Order ID],Таблица1[[#This Row],[Order ID]])</f>
        <v>1</v>
      </c>
      <c r="Z3467" s="9">
        <f>1/COUNTIFS(Таблица1[Customer Name],Таблица1[[#This Row],[Customer Name]],Таблица1[Order-Year-Month],Таблица1[[#This Row],[Order-Year-Month]])</f>
        <v>1</v>
      </c>
    </row>
    <row r="3468" spans="1:26" x14ac:dyDescent="0.2">
      <c r="A3468" s="6">
        <v>6487</v>
      </c>
      <c r="B3468" s="7">
        <v>46177</v>
      </c>
      <c r="C3468" s="8">
        <f>DATE(2012,12,31)-757</f>
        <v>40517</v>
      </c>
      <c r="D3468" s="8" t="str">
        <f t="shared" si="67"/>
        <v>2010-12 (декабрь 2010)</v>
      </c>
      <c r="E3468" s="9" t="s">
        <v>21</v>
      </c>
      <c r="F3468" s="7">
        <v>13</v>
      </c>
      <c r="G3468" s="7">
        <v>11169.95</v>
      </c>
      <c r="H3468" s="7">
        <v>7.0000000000000007E-2</v>
      </c>
      <c r="I3468" s="9" t="s">
        <v>22</v>
      </c>
      <c r="J3468" s="10">
        <v>3982.2245000000003</v>
      </c>
      <c r="K3468" s="11">
        <v>896.99</v>
      </c>
      <c r="L3468" s="11">
        <v>19.989999999999998</v>
      </c>
      <c r="M3468" s="9" t="s">
        <v>815</v>
      </c>
      <c r="N3468" s="6" t="s">
        <v>1595</v>
      </c>
      <c r="O3468" s="6" t="s">
        <v>1595</v>
      </c>
      <c r="P3468" s="9" t="s">
        <v>41</v>
      </c>
      <c r="Q3468" s="9" t="s">
        <v>26</v>
      </c>
      <c r="R3468" s="9" t="s">
        <v>37</v>
      </c>
      <c r="S3468" s="7" t="s">
        <v>442</v>
      </c>
      <c r="T3468" s="9" t="s">
        <v>39</v>
      </c>
      <c r="U3468" s="7">
        <v>0.38</v>
      </c>
      <c r="V3468" s="12">
        <f>C3468+0</f>
        <v>40517</v>
      </c>
      <c r="W3468">
        <f>IF(D3468=' Pivot Tables'!$A$4,1,0)</f>
        <v>0</v>
      </c>
      <c r="X3468">
        <f>IF(AND(LEFT(D3468,4)+1=LEFT(' Pivot Tables'!$A$4,4)+0,RIGHT(LEFT(D3468,7),2)=RIGHT(LEFT(' Pivot Tables'!$A$4,7),2)),1,0)</f>
        <v>0</v>
      </c>
      <c r="Y3468" s="6">
        <f>1/COUNTIF(Таблица1[Order ID],Таблица1[[#This Row],[Order ID]])</f>
        <v>0.33333333333333331</v>
      </c>
      <c r="Z3468" s="9">
        <f>1/COUNTIFS(Таблица1[Customer Name],Таблица1[[#This Row],[Customer Name]],Таблица1[Order-Year-Month],Таблица1[[#This Row],[Order-Year-Month]])</f>
        <v>0.33333333333333331</v>
      </c>
    </row>
    <row r="3469" spans="1:26" x14ac:dyDescent="0.2">
      <c r="A3469" s="6">
        <v>6512</v>
      </c>
      <c r="B3469" s="7">
        <v>46341</v>
      </c>
      <c r="C3469" s="8">
        <f>DATE(2012,12,31)-1110</f>
        <v>40164</v>
      </c>
      <c r="D3469" s="8" t="str">
        <f t="shared" si="67"/>
        <v>2009-12 (декабрь 2009)</v>
      </c>
      <c r="E3469" s="9" t="s">
        <v>30</v>
      </c>
      <c r="F3469" s="7">
        <v>23</v>
      </c>
      <c r="G3469" s="7">
        <v>39.130000000000003</v>
      </c>
      <c r="H3469" s="7">
        <v>0.1</v>
      </c>
      <c r="I3469" s="9" t="s">
        <v>22</v>
      </c>
      <c r="J3469" s="10">
        <v>-23.14</v>
      </c>
      <c r="K3469" s="11">
        <v>1.68</v>
      </c>
      <c r="L3469" s="11">
        <v>1.57</v>
      </c>
      <c r="M3469" s="9" t="s">
        <v>1481</v>
      </c>
      <c r="N3469" s="6" t="s">
        <v>1595</v>
      </c>
      <c r="O3469" s="6" t="s">
        <v>1595</v>
      </c>
      <c r="P3469" s="9" t="s">
        <v>41</v>
      </c>
      <c r="Q3469" s="9" t="s">
        <v>26</v>
      </c>
      <c r="R3469" s="9" t="s">
        <v>95</v>
      </c>
      <c r="S3469" s="7" t="s">
        <v>220</v>
      </c>
      <c r="T3469" s="9" t="s">
        <v>68</v>
      </c>
      <c r="U3469" s="7">
        <v>0.59</v>
      </c>
      <c r="V3469" s="12">
        <f>C3469+1</f>
        <v>40165</v>
      </c>
      <c r="W3469">
        <f>IF(D3469=' Pivot Tables'!$A$4,1,0)</f>
        <v>0</v>
      </c>
      <c r="X3469">
        <f>IF(AND(LEFT(D3469,4)+1=LEFT(' Pivot Tables'!$A$4,4)+0,RIGHT(LEFT(D3469,7),2)=RIGHT(LEFT(' Pivot Tables'!$A$4,7),2)),1,0)</f>
        <v>0</v>
      </c>
      <c r="Y3469" s="6">
        <f>1/COUNTIF(Таблица1[Order ID],Таблица1[[#This Row],[Order ID]])</f>
        <v>1</v>
      </c>
      <c r="Z3469" s="9">
        <f>1/COUNTIFS(Таблица1[Customer Name],Таблица1[[#This Row],[Customer Name]],Таблица1[Order-Year-Month],Таблица1[[#This Row],[Order-Year-Month]])</f>
        <v>1</v>
      </c>
    </row>
    <row r="3470" spans="1:26" x14ac:dyDescent="0.2">
      <c r="A3470" s="6">
        <v>6513</v>
      </c>
      <c r="B3470" s="7">
        <v>46368</v>
      </c>
      <c r="C3470" s="8">
        <f>DATE(2012,12,31)-251</f>
        <v>41023</v>
      </c>
      <c r="D3470" s="8" t="str">
        <f t="shared" si="67"/>
        <v>2012-04 (апрель 2012)</v>
      </c>
      <c r="E3470" s="9" t="s">
        <v>30</v>
      </c>
      <c r="F3470" s="7">
        <v>48</v>
      </c>
      <c r="G3470" s="7">
        <v>166.13</v>
      </c>
      <c r="H3470" s="7">
        <v>0</v>
      </c>
      <c r="I3470" s="9" t="s">
        <v>22</v>
      </c>
      <c r="J3470" s="10">
        <v>-119.16</v>
      </c>
      <c r="K3470" s="11">
        <v>3.28</v>
      </c>
      <c r="L3470" s="11">
        <v>3.97</v>
      </c>
      <c r="M3470" s="9" t="s">
        <v>1492</v>
      </c>
      <c r="N3470" s="6" t="s">
        <v>1595</v>
      </c>
      <c r="O3470" s="6" t="s">
        <v>1595</v>
      </c>
      <c r="P3470" s="9" t="s">
        <v>41</v>
      </c>
      <c r="Q3470" s="9" t="s">
        <v>26</v>
      </c>
      <c r="R3470" s="9" t="s">
        <v>95</v>
      </c>
      <c r="S3470" s="7" t="s">
        <v>572</v>
      </c>
      <c r="T3470" s="9" t="s">
        <v>68</v>
      </c>
      <c r="U3470" s="7">
        <v>0.56000000000000005</v>
      </c>
      <c r="V3470" s="12">
        <f>C3470+2</f>
        <v>41025</v>
      </c>
      <c r="W3470">
        <f>IF(D3470=' Pivot Tables'!$A$4,1,0)</f>
        <v>0</v>
      </c>
      <c r="X3470">
        <f>IF(AND(LEFT(D3470,4)+1=LEFT(' Pivot Tables'!$A$4,4)+0,RIGHT(LEFT(D3470,7),2)=RIGHT(LEFT(' Pivot Tables'!$A$4,7),2)),1,0)</f>
        <v>0</v>
      </c>
      <c r="Y3470" s="6">
        <f>1/COUNTIF(Таблица1[Order ID],Таблица1[[#This Row],[Order ID]])</f>
        <v>1</v>
      </c>
      <c r="Z3470" s="9">
        <f>1/COUNTIFS(Таблица1[Customer Name],Таблица1[[#This Row],[Customer Name]],Таблица1[Order-Year-Month],Таблица1[[#This Row],[Order-Year-Month]])</f>
        <v>1</v>
      </c>
    </row>
    <row r="3471" spans="1:26" x14ac:dyDescent="0.2">
      <c r="A3471" s="6">
        <v>6541</v>
      </c>
      <c r="B3471" s="7">
        <v>46531</v>
      </c>
      <c r="C3471" s="8">
        <f>DATE(2012,12,31)-498</f>
        <v>40776</v>
      </c>
      <c r="D3471" s="8" t="str">
        <f t="shared" si="67"/>
        <v>2011-08 (август 2011)</v>
      </c>
      <c r="E3471" s="9" t="s">
        <v>21</v>
      </c>
      <c r="F3471" s="7">
        <v>17</v>
      </c>
      <c r="G3471" s="7">
        <v>3064.6579999999999</v>
      </c>
      <c r="H3471" s="7">
        <v>0.01</v>
      </c>
      <c r="I3471" s="9" t="s">
        <v>22</v>
      </c>
      <c r="J3471" s="10">
        <v>447.33600000000001</v>
      </c>
      <c r="K3471" s="11">
        <v>205.99</v>
      </c>
      <c r="L3471" s="11">
        <v>2.79</v>
      </c>
      <c r="M3471" s="9" t="s">
        <v>1466</v>
      </c>
      <c r="N3471" s="6" t="s">
        <v>1595</v>
      </c>
      <c r="O3471" s="6" t="s">
        <v>1595</v>
      </c>
      <c r="P3471" s="9" t="s">
        <v>33</v>
      </c>
      <c r="Q3471" s="9" t="s">
        <v>42</v>
      </c>
      <c r="R3471" s="9" t="s">
        <v>43</v>
      </c>
      <c r="S3471" s="7" t="s">
        <v>1656</v>
      </c>
      <c r="T3471" s="9" t="s">
        <v>39</v>
      </c>
      <c r="U3471" s="7">
        <v>0.57999999999999996</v>
      </c>
      <c r="V3471" s="12">
        <f>C3471+5</f>
        <v>40781</v>
      </c>
      <c r="W3471">
        <f>IF(D3471=' Pivot Tables'!$A$4,1,0)</f>
        <v>0</v>
      </c>
      <c r="X3471">
        <f>IF(AND(LEFT(D3471,4)+1=LEFT(' Pivot Tables'!$A$4,4)+0,RIGHT(LEFT(D3471,7),2)=RIGHT(LEFT(' Pivot Tables'!$A$4,7),2)),1,0)</f>
        <v>0</v>
      </c>
      <c r="Y3471" s="6">
        <f>1/COUNTIF(Таблица1[Order ID],Таблица1[[#This Row],[Order ID]])</f>
        <v>0.25</v>
      </c>
      <c r="Z3471" s="9">
        <f>1/COUNTIFS(Таблица1[Customer Name],Таблица1[[#This Row],[Customer Name]],Таблица1[Order-Year-Month],Таблица1[[#This Row],[Order-Year-Month]])</f>
        <v>0.25</v>
      </c>
    </row>
    <row r="3472" spans="1:26" x14ac:dyDescent="0.2">
      <c r="A3472" s="6">
        <v>6608</v>
      </c>
      <c r="B3472" s="7">
        <v>47012</v>
      </c>
      <c r="C3472" s="8">
        <f>DATE(2012,12,31)-963</f>
        <v>40311</v>
      </c>
      <c r="D3472" s="8" t="str">
        <f t="shared" si="67"/>
        <v>2010-05 (май 2010)</v>
      </c>
      <c r="E3472" s="9" t="s">
        <v>21</v>
      </c>
      <c r="F3472" s="7">
        <v>35</v>
      </c>
      <c r="G3472" s="7">
        <v>584.41999999999996</v>
      </c>
      <c r="H3472" s="7">
        <v>0.08</v>
      </c>
      <c r="I3472" s="9" t="s">
        <v>56</v>
      </c>
      <c r="J3472" s="10">
        <v>-97.21</v>
      </c>
      <c r="K3472" s="11">
        <v>16.989999999999998</v>
      </c>
      <c r="L3472" s="11">
        <v>8.99</v>
      </c>
      <c r="M3472" s="9" t="s">
        <v>1552</v>
      </c>
      <c r="N3472" s="6" t="s">
        <v>1595</v>
      </c>
      <c r="O3472" s="6" t="s">
        <v>1595</v>
      </c>
      <c r="P3472" s="9" t="s">
        <v>25</v>
      </c>
      <c r="Q3472" s="9" t="s">
        <v>26</v>
      </c>
      <c r="R3472" s="9" t="s">
        <v>95</v>
      </c>
      <c r="S3472" s="7" t="s">
        <v>827</v>
      </c>
      <c r="T3472" s="9" t="s">
        <v>52</v>
      </c>
      <c r="U3472" s="7">
        <v>0.56000000000000005</v>
      </c>
      <c r="V3472" s="12">
        <f>C3472+4</f>
        <v>40315</v>
      </c>
      <c r="W3472">
        <f>IF(D3472=' Pivot Tables'!$A$4,1,0)</f>
        <v>0</v>
      </c>
      <c r="X3472">
        <f>IF(AND(LEFT(D3472,4)+1=LEFT(' Pivot Tables'!$A$4,4)+0,RIGHT(LEFT(D3472,7),2)=RIGHT(LEFT(' Pivot Tables'!$A$4,7),2)),1,0)</f>
        <v>0</v>
      </c>
      <c r="Y3472" s="6">
        <f>1/COUNTIF(Таблица1[Order ID],Таблица1[[#This Row],[Order ID]])</f>
        <v>1</v>
      </c>
      <c r="Z3472" s="9">
        <f>1/COUNTIFS(Таблица1[Customer Name],Таблица1[[#This Row],[Customer Name]],Таблица1[Order-Year-Month],Таблица1[[#This Row],[Order-Year-Month]])</f>
        <v>0.33333333333333331</v>
      </c>
    </row>
    <row r="3473" spans="1:26" x14ac:dyDescent="0.2">
      <c r="A3473" s="6">
        <v>6619</v>
      </c>
      <c r="B3473" s="7">
        <v>47106</v>
      </c>
      <c r="C3473" s="8">
        <f>DATE(2012,12,31)-433</f>
        <v>40841</v>
      </c>
      <c r="D3473" s="8" t="str">
        <f t="shared" si="67"/>
        <v>2011-10 (октябрь 2011)</v>
      </c>
      <c r="E3473" s="9" t="s">
        <v>63</v>
      </c>
      <c r="F3473" s="7">
        <v>37</v>
      </c>
      <c r="G3473" s="7">
        <v>2192.63</v>
      </c>
      <c r="H3473" s="7">
        <v>0.05</v>
      </c>
      <c r="I3473" s="9" t="s">
        <v>22</v>
      </c>
      <c r="J3473" s="10">
        <v>660.06</v>
      </c>
      <c r="K3473" s="11">
        <v>59.98</v>
      </c>
      <c r="L3473" s="11">
        <v>3.99</v>
      </c>
      <c r="M3473" s="9" t="s">
        <v>1576</v>
      </c>
      <c r="N3473" s="6" t="s">
        <v>1595</v>
      </c>
      <c r="O3473" s="6" t="s">
        <v>1595</v>
      </c>
      <c r="P3473" s="9" t="s">
        <v>60</v>
      </c>
      <c r="Q3473" s="9" t="s">
        <v>26</v>
      </c>
      <c r="R3473" s="9" t="s">
        <v>34</v>
      </c>
      <c r="S3473" s="7" t="s">
        <v>448</v>
      </c>
      <c r="T3473" s="9" t="s">
        <v>39</v>
      </c>
      <c r="U3473" s="7">
        <v>0.56999999999999995</v>
      </c>
      <c r="V3473" s="12">
        <f>C3473+2</f>
        <v>40843</v>
      </c>
      <c r="W3473">
        <f>IF(D3473=' Pivot Tables'!$A$4,1,0)</f>
        <v>0</v>
      </c>
      <c r="X3473">
        <f>IF(AND(LEFT(D3473,4)+1=LEFT(' Pivot Tables'!$A$4,4)+0,RIGHT(LEFT(D3473,7),2)=RIGHT(LEFT(' Pivot Tables'!$A$4,7),2)),1,0)</f>
        <v>0</v>
      </c>
      <c r="Y3473" s="6">
        <f>1/COUNTIF(Таблица1[Order ID],Таблица1[[#This Row],[Order ID]])</f>
        <v>0.5</v>
      </c>
      <c r="Z3473" s="9">
        <f>1/COUNTIFS(Таблица1[Customer Name],Таблица1[[#This Row],[Customer Name]],Таблица1[Order-Year-Month],Таблица1[[#This Row],[Order-Year-Month]])</f>
        <v>0.5</v>
      </c>
    </row>
    <row r="3474" spans="1:26" x14ac:dyDescent="0.2">
      <c r="A3474" s="6">
        <v>6693</v>
      </c>
      <c r="B3474" s="7">
        <v>47621</v>
      </c>
      <c r="C3474" s="8">
        <f>DATE(2012,12,31)-1269</f>
        <v>40005</v>
      </c>
      <c r="D3474" s="8" t="str">
        <f t="shared" si="67"/>
        <v>2009-07 (июль 2009)</v>
      </c>
      <c r="E3474" s="9" t="s">
        <v>78</v>
      </c>
      <c r="F3474" s="7">
        <v>16</v>
      </c>
      <c r="G3474" s="7">
        <v>230.74</v>
      </c>
      <c r="H3474" s="7">
        <v>0.08</v>
      </c>
      <c r="I3474" s="9" t="s">
        <v>56</v>
      </c>
      <c r="J3474" s="10">
        <v>27.23</v>
      </c>
      <c r="K3474" s="11">
        <v>14.2</v>
      </c>
      <c r="L3474" s="11">
        <v>5.3</v>
      </c>
      <c r="M3474" s="9" t="s">
        <v>1590</v>
      </c>
      <c r="N3474" s="6" t="s">
        <v>1595</v>
      </c>
      <c r="O3474" s="6" t="s">
        <v>1595</v>
      </c>
      <c r="P3474" s="9" t="s">
        <v>60</v>
      </c>
      <c r="Q3474" s="9" t="s">
        <v>49</v>
      </c>
      <c r="R3474" s="9" t="s">
        <v>50</v>
      </c>
      <c r="S3474" s="7" t="s">
        <v>603</v>
      </c>
      <c r="T3474" s="9" t="s">
        <v>68</v>
      </c>
      <c r="U3474" s="7">
        <v>0.46</v>
      </c>
      <c r="V3474" s="12">
        <f>C3474+2</f>
        <v>40007</v>
      </c>
      <c r="W3474">
        <f>IF(D3474=' Pivot Tables'!$A$4,1,0)</f>
        <v>0</v>
      </c>
      <c r="X3474">
        <f>IF(AND(LEFT(D3474,4)+1=LEFT(' Pivot Tables'!$A$4,4)+0,RIGHT(LEFT(D3474,7),2)=RIGHT(LEFT(' Pivot Tables'!$A$4,7),2)),1,0)</f>
        <v>0</v>
      </c>
      <c r="Y3474" s="6">
        <f>1/COUNTIF(Таблица1[Order ID],Таблица1[[#This Row],[Order ID]])</f>
        <v>1</v>
      </c>
      <c r="Z3474" s="9">
        <f>1/COUNTIFS(Таблица1[Customer Name],Таблица1[[#This Row],[Customer Name]],Таблица1[Order-Year-Month],Таблица1[[#This Row],[Order-Year-Month]])</f>
        <v>1</v>
      </c>
    </row>
    <row r="3475" spans="1:26" x14ac:dyDescent="0.2">
      <c r="A3475" s="6">
        <v>6839</v>
      </c>
      <c r="B3475" s="7">
        <v>48706</v>
      </c>
      <c r="C3475" s="8">
        <f>DATE(2012,12,31)-62</f>
        <v>41212</v>
      </c>
      <c r="D3475" s="8" t="str">
        <f t="shared" si="67"/>
        <v>2012-10 (октябрь 2012)</v>
      </c>
      <c r="E3475" s="9" t="s">
        <v>21</v>
      </c>
      <c r="F3475" s="7">
        <v>28</v>
      </c>
      <c r="G3475" s="7">
        <v>31.2</v>
      </c>
      <c r="H3475" s="7">
        <v>0.09</v>
      </c>
      <c r="I3475" s="9" t="s">
        <v>22</v>
      </c>
      <c r="J3475" s="10">
        <v>-2.81</v>
      </c>
      <c r="K3475" s="11">
        <v>1.1399999999999999</v>
      </c>
      <c r="L3475" s="11">
        <v>0.7</v>
      </c>
      <c r="M3475" s="9" t="s">
        <v>1530</v>
      </c>
      <c r="N3475" s="6" t="s">
        <v>1595</v>
      </c>
      <c r="O3475" s="6" t="s">
        <v>1595</v>
      </c>
      <c r="P3475" s="9" t="s">
        <v>25</v>
      </c>
      <c r="Q3475" s="9" t="s">
        <v>26</v>
      </c>
      <c r="R3475" s="9" t="s">
        <v>66</v>
      </c>
      <c r="S3475" s="7" t="s">
        <v>1657</v>
      </c>
      <c r="T3475" s="9" t="s">
        <v>68</v>
      </c>
      <c r="U3475" s="7">
        <v>0.38</v>
      </c>
      <c r="V3475" s="12">
        <f>C3475+4</f>
        <v>41216</v>
      </c>
      <c r="W3475">
        <f>IF(D3475=' Pivot Tables'!$A$4,1,0)</f>
        <v>0</v>
      </c>
      <c r="X3475">
        <f>IF(AND(LEFT(D3475,4)+1=LEFT(' Pivot Tables'!$A$4,4)+0,RIGHT(LEFT(D3475,7),2)=RIGHT(LEFT(' Pivot Tables'!$A$4,7),2)),1,0)</f>
        <v>0</v>
      </c>
      <c r="Y3475" s="6">
        <f>1/COUNTIF(Таблица1[Order ID],Таблица1[[#This Row],[Order ID]])</f>
        <v>0.5</v>
      </c>
      <c r="Z3475" s="9">
        <f>1/COUNTIFS(Таблица1[Customer Name],Таблица1[[#This Row],[Customer Name]],Таблица1[Order-Year-Month],Таблица1[[#This Row],[Order-Year-Month]])</f>
        <v>0.5</v>
      </c>
    </row>
    <row r="3476" spans="1:26" x14ac:dyDescent="0.2">
      <c r="A3476" s="6">
        <v>6929</v>
      </c>
      <c r="B3476" s="7">
        <v>49443</v>
      </c>
      <c r="C3476" s="8">
        <f>DATE(2012,12,31)-708</f>
        <v>40566</v>
      </c>
      <c r="D3476" s="8" t="str">
        <f t="shared" si="67"/>
        <v>2011-01 (январь 2011)</v>
      </c>
      <c r="E3476" s="9" t="s">
        <v>30</v>
      </c>
      <c r="F3476" s="7">
        <v>41</v>
      </c>
      <c r="G3476" s="7">
        <v>396.15</v>
      </c>
      <c r="H3476" s="7">
        <v>0.05</v>
      </c>
      <c r="I3476" s="9" t="s">
        <v>22</v>
      </c>
      <c r="J3476" s="10">
        <v>-10.98</v>
      </c>
      <c r="K3476" s="11">
        <v>9.85</v>
      </c>
      <c r="L3476" s="11">
        <v>4.82</v>
      </c>
      <c r="M3476" s="9" t="s">
        <v>1511</v>
      </c>
      <c r="N3476" s="6" t="s">
        <v>1595</v>
      </c>
      <c r="O3476" s="6" t="s">
        <v>1595</v>
      </c>
      <c r="P3476" s="9" t="s">
        <v>60</v>
      </c>
      <c r="Q3476" s="9" t="s">
        <v>26</v>
      </c>
      <c r="R3476" s="9" t="s">
        <v>95</v>
      </c>
      <c r="S3476" s="7" t="s">
        <v>1625</v>
      </c>
      <c r="T3476" s="9" t="s">
        <v>68</v>
      </c>
      <c r="U3476" s="7">
        <v>0.47</v>
      </c>
      <c r="V3476" s="12">
        <f>C3476+1</f>
        <v>40567</v>
      </c>
      <c r="W3476">
        <f>IF(D3476=' Pivot Tables'!$A$4,1,0)</f>
        <v>0</v>
      </c>
      <c r="X3476">
        <f>IF(AND(LEFT(D3476,4)+1=LEFT(' Pivot Tables'!$A$4,4)+0,RIGHT(LEFT(D3476,7),2)=RIGHT(LEFT(' Pivot Tables'!$A$4,7),2)),1,0)</f>
        <v>0</v>
      </c>
      <c r="Y3476" s="6">
        <f>1/COUNTIF(Таблица1[Order ID],Таблица1[[#This Row],[Order ID]])</f>
        <v>1</v>
      </c>
      <c r="Z3476" s="9">
        <f>1/COUNTIFS(Таблица1[Customer Name],Таблица1[[#This Row],[Customer Name]],Таблица1[Order-Year-Month],Таблица1[[#This Row],[Order-Year-Month]])</f>
        <v>0.5</v>
      </c>
    </row>
    <row r="3477" spans="1:26" x14ac:dyDescent="0.2">
      <c r="A3477" s="6">
        <v>6972</v>
      </c>
      <c r="B3477" s="7">
        <v>49824</v>
      </c>
      <c r="C3477" s="8">
        <f>DATE(2012,12,31)-650</f>
        <v>40624</v>
      </c>
      <c r="D3477" s="8" t="str">
        <f t="shared" si="67"/>
        <v>2011-03 (март 2011)</v>
      </c>
      <c r="E3477" s="9" t="s">
        <v>30</v>
      </c>
      <c r="F3477" s="7">
        <v>33</v>
      </c>
      <c r="G3477" s="7">
        <v>1900.2259999999999</v>
      </c>
      <c r="H3477" s="7">
        <v>0.01</v>
      </c>
      <c r="I3477" s="9" t="s">
        <v>56</v>
      </c>
      <c r="J3477" s="10">
        <v>440.19900000000001</v>
      </c>
      <c r="K3477" s="11">
        <v>65.989999999999995</v>
      </c>
      <c r="L3477" s="11">
        <v>5.31</v>
      </c>
      <c r="M3477" s="9" t="s">
        <v>1530</v>
      </c>
      <c r="N3477" s="6" t="s">
        <v>1595</v>
      </c>
      <c r="O3477" s="6" t="s">
        <v>1595</v>
      </c>
      <c r="P3477" s="9" t="s">
        <v>25</v>
      </c>
      <c r="Q3477" s="9" t="s">
        <v>42</v>
      </c>
      <c r="R3477" s="9" t="s">
        <v>43</v>
      </c>
      <c r="S3477" s="7" t="s">
        <v>430</v>
      </c>
      <c r="T3477" s="9" t="s">
        <v>39</v>
      </c>
      <c r="U3477" s="7">
        <v>0.56999999999999995</v>
      </c>
      <c r="V3477" s="12">
        <f>C3477+1</f>
        <v>40625</v>
      </c>
      <c r="W3477">
        <f>IF(D3477=' Pivot Tables'!$A$4,1,0)</f>
        <v>0</v>
      </c>
      <c r="X3477">
        <f>IF(AND(LEFT(D3477,4)+1=LEFT(' Pivot Tables'!$A$4,4)+0,RIGHT(LEFT(D3477,7),2)=RIGHT(LEFT(' Pivot Tables'!$A$4,7),2)),1,0)</f>
        <v>0</v>
      </c>
      <c r="Y3477" s="6">
        <f>1/COUNTIF(Таблица1[Order ID],Таблица1[[#This Row],[Order ID]])</f>
        <v>1</v>
      </c>
      <c r="Z3477" s="9">
        <f>1/COUNTIFS(Таблица1[Customer Name],Таблица1[[#This Row],[Customer Name]],Таблица1[Order-Year-Month],Таблица1[[#This Row],[Order-Year-Month]])</f>
        <v>1</v>
      </c>
    </row>
    <row r="3478" spans="1:26" x14ac:dyDescent="0.2">
      <c r="A3478" s="6">
        <v>7156</v>
      </c>
      <c r="B3478" s="7">
        <v>51047</v>
      </c>
      <c r="C3478" s="8">
        <f>DATE(2012,12,31)-1361</f>
        <v>39913</v>
      </c>
      <c r="D3478" s="8" t="str">
        <f t="shared" si="67"/>
        <v>2009-04 (апрель 2009)</v>
      </c>
      <c r="E3478" s="9" t="s">
        <v>63</v>
      </c>
      <c r="F3478" s="7">
        <v>28</v>
      </c>
      <c r="G3478" s="7">
        <v>65.7</v>
      </c>
      <c r="H3478" s="7">
        <v>0.02</v>
      </c>
      <c r="I3478" s="9" t="s">
        <v>56</v>
      </c>
      <c r="J3478" s="10">
        <v>-83.54</v>
      </c>
      <c r="K3478" s="11">
        <v>1.76</v>
      </c>
      <c r="L3478" s="11">
        <v>4.8600000000000003</v>
      </c>
      <c r="M3478" s="9" t="s">
        <v>1639</v>
      </c>
      <c r="N3478" s="6" t="s">
        <v>1595</v>
      </c>
      <c r="O3478" s="6" t="s">
        <v>1595</v>
      </c>
      <c r="P3478" s="9" t="s">
        <v>41</v>
      </c>
      <c r="Q3478" s="9" t="s">
        <v>49</v>
      </c>
      <c r="R3478" s="9" t="s">
        <v>50</v>
      </c>
      <c r="S3478" s="7" t="s">
        <v>1607</v>
      </c>
      <c r="T3478" s="9" t="s">
        <v>39</v>
      </c>
      <c r="U3478" s="7">
        <v>0.41</v>
      </c>
      <c r="V3478" s="12">
        <f>C3478+1</f>
        <v>39914</v>
      </c>
      <c r="W3478">
        <f>IF(D3478=' Pivot Tables'!$A$4,1,0)</f>
        <v>0</v>
      </c>
      <c r="X3478">
        <f>IF(AND(LEFT(D3478,4)+1=LEFT(' Pivot Tables'!$A$4,4)+0,RIGHT(LEFT(D3478,7),2)=RIGHT(LEFT(' Pivot Tables'!$A$4,7),2)),1,0)</f>
        <v>0</v>
      </c>
      <c r="Y3478" s="6">
        <f>1/COUNTIF(Таблица1[Order ID],Таблица1[[#This Row],[Order ID]])</f>
        <v>0.5</v>
      </c>
      <c r="Z3478" s="9">
        <f>1/COUNTIFS(Таблица1[Customer Name],Таблица1[[#This Row],[Customer Name]],Таблица1[Order-Year-Month],Таблица1[[#This Row],[Order-Year-Month]])</f>
        <v>0.5</v>
      </c>
    </row>
    <row r="3479" spans="1:26" x14ac:dyDescent="0.2">
      <c r="A3479" s="6">
        <v>7157</v>
      </c>
      <c r="B3479" s="7">
        <v>51047</v>
      </c>
      <c r="C3479" s="8">
        <f>DATE(2012,12,31)-1361</f>
        <v>39913</v>
      </c>
      <c r="D3479" s="8" t="str">
        <f t="shared" si="67"/>
        <v>2009-04 (апрель 2009)</v>
      </c>
      <c r="E3479" s="9" t="s">
        <v>63</v>
      </c>
      <c r="F3479" s="7">
        <v>38</v>
      </c>
      <c r="G3479" s="7">
        <v>1685.07</v>
      </c>
      <c r="H3479" s="7">
        <v>0.03</v>
      </c>
      <c r="I3479" s="9" t="s">
        <v>22</v>
      </c>
      <c r="J3479" s="10">
        <v>-681.97</v>
      </c>
      <c r="K3479" s="11">
        <v>41.47</v>
      </c>
      <c r="L3479" s="11">
        <v>34.200000000000003</v>
      </c>
      <c r="M3479" s="9" t="s">
        <v>1639</v>
      </c>
      <c r="N3479" s="6" t="s">
        <v>1595</v>
      </c>
      <c r="O3479" s="6" t="s">
        <v>1595</v>
      </c>
      <c r="P3479" s="9" t="s">
        <v>41</v>
      </c>
      <c r="Q3479" s="9" t="s">
        <v>49</v>
      </c>
      <c r="R3479" s="9" t="s">
        <v>50</v>
      </c>
      <c r="S3479" s="7" t="s">
        <v>255</v>
      </c>
      <c r="T3479" s="9" t="s">
        <v>68</v>
      </c>
      <c r="U3479" s="7">
        <v>0.73</v>
      </c>
      <c r="V3479" s="12">
        <f>C3479+1</f>
        <v>39914</v>
      </c>
      <c r="W3479">
        <f>IF(D3479=' Pivot Tables'!$A$4,1,0)</f>
        <v>0</v>
      </c>
      <c r="X3479">
        <f>IF(AND(LEFT(D3479,4)+1=LEFT(' Pivot Tables'!$A$4,4)+0,RIGHT(LEFT(D3479,7),2)=RIGHT(LEFT(' Pivot Tables'!$A$4,7),2)),1,0)</f>
        <v>0</v>
      </c>
      <c r="Y3479" s="6">
        <f>1/COUNTIF(Таблица1[Order ID],Таблица1[[#This Row],[Order ID]])</f>
        <v>0.5</v>
      </c>
      <c r="Z3479" s="9">
        <f>1/COUNTIFS(Таблица1[Customer Name],Таблица1[[#This Row],[Customer Name]],Таблица1[Order-Year-Month],Таблица1[[#This Row],[Order-Year-Month]])</f>
        <v>0.5</v>
      </c>
    </row>
    <row r="3480" spans="1:26" x14ac:dyDescent="0.2">
      <c r="A3480" s="6">
        <v>7261</v>
      </c>
      <c r="B3480" s="7">
        <v>51783</v>
      </c>
      <c r="C3480" s="8">
        <f>DATE(2012,12,31)-416</f>
        <v>40858</v>
      </c>
      <c r="D3480" s="8" t="str">
        <f t="shared" si="67"/>
        <v>2011-11 (ноябрь 2011)</v>
      </c>
      <c r="E3480" s="9" t="s">
        <v>63</v>
      </c>
      <c r="F3480" s="7">
        <v>47</v>
      </c>
      <c r="G3480" s="7">
        <v>3587.72</v>
      </c>
      <c r="H3480" s="7">
        <v>0</v>
      </c>
      <c r="I3480" s="9" t="s">
        <v>31</v>
      </c>
      <c r="J3480" s="10">
        <v>54.230849999999997</v>
      </c>
      <c r="K3480" s="11">
        <v>70.89</v>
      </c>
      <c r="L3480" s="11">
        <v>89.3</v>
      </c>
      <c r="M3480" s="9" t="s">
        <v>1341</v>
      </c>
      <c r="N3480" s="6" t="s">
        <v>1595</v>
      </c>
      <c r="O3480" s="6" t="s">
        <v>1595</v>
      </c>
      <c r="P3480" s="9" t="s">
        <v>33</v>
      </c>
      <c r="Q3480" s="9" t="s">
        <v>49</v>
      </c>
      <c r="R3480" s="9" t="s">
        <v>83</v>
      </c>
      <c r="S3480" s="7" t="s">
        <v>1071</v>
      </c>
      <c r="T3480" s="9" t="s">
        <v>82</v>
      </c>
      <c r="U3480" s="7">
        <v>0.69</v>
      </c>
      <c r="V3480" s="12">
        <f>C3480+2</f>
        <v>40860</v>
      </c>
      <c r="W3480">
        <f>IF(D3480=' Pivot Tables'!$A$4,1,0)</f>
        <v>0</v>
      </c>
      <c r="X3480">
        <f>IF(AND(LEFT(D3480,4)+1=LEFT(' Pivot Tables'!$A$4,4)+0,RIGHT(LEFT(D3480,7),2)=RIGHT(LEFT(' Pivot Tables'!$A$4,7),2)),1,0)</f>
        <v>0</v>
      </c>
      <c r="Y3480" s="6">
        <f>1/COUNTIF(Таблица1[Order ID],Таблица1[[#This Row],[Order ID]])</f>
        <v>0.33333333333333331</v>
      </c>
      <c r="Z3480" s="9">
        <f>1/COUNTIFS(Таблица1[Customer Name],Таблица1[[#This Row],[Customer Name]],Таблица1[Order-Year-Month],Таблица1[[#This Row],[Order-Year-Month]])</f>
        <v>0.33333333333333331</v>
      </c>
    </row>
    <row r="3481" spans="1:26" x14ac:dyDescent="0.2">
      <c r="A3481" s="6">
        <v>7556</v>
      </c>
      <c r="B3481" s="7">
        <v>54053</v>
      </c>
      <c r="C3481" s="8">
        <f>DATE(2012,12,31)-321</f>
        <v>40953</v>
      </c>
      <c r="D3481" s="8" t="str">
        <f t="shared" si="67"/>
        <v>2012-02 (февраль 2012)</v>
      </c>
      <c r="E3481" s="9" t="s">
        <v>30</v>
      </c>
      <c r="F3481" s="7">
        <v>34</v>
      </c>
      <c r="G3481" s="7">
        <v>5634.3525</v>
      </c>
      <c r="H3481" s="7">
        <v>0.03</v>
      </c>
      <c r="I3481" s="9" t="s">
        <v>22</v>
      </c>
      <c r="J3481" s="10">
        <v>1185.4079999999999</v>
      </c>
      <c r="K3481" s="11">
        <v>200.99</v>
      </c>
      <c r="L3481" s="11">
        <v>8.08</v>
      </c>
      <c r="M3481" s="9" t="s">
        <v>1501</v>
      </c>
      <c r="N3481" s="6" t="s">
        <v>1595</v>
      </c>
      <c r="O3481" s="6" t="s">
        <v>1595</v>
      </c>
      <c r="P3481" s="9" t="s">
        <v>33</v>
      </c>
      <c r="Q3481" s="9" t="s">
        <v>42</v>
      </c>
      <c r="R3481" s="9" t="s">
        <v>43</v>
      </c>
      <c r="S3481" s="7" t="s">
        <v>208</v>
      </c>
      <c r="T3481" s="9" t="s">
        <v>39</v>
      </c>
      <c r="U3481" s="7">
        <v>0.59</v>
      </c>
      <c r="V3481" s="12">
        <f>C3481+1</f>
        <v>40954</v>
      </c>
      <c r="W3481">
        <f>IF(D3481=' Pivot Tables'!$A$4,1,0)</f>
        <v>0</v>
      </c>
      <c r="X3481">
        <f>IF(AND(LEFT(D3481,4)+1=LEFT(' Pivot Tables'!$A$4,4)+0,RIGHT(LEFT(D3481,7),2)=RIGHT(LEFT(' Pivot Tables'!$A$4,7),2)),1,0)</f>
        <v>0</v>
      </c>
      <c r="Y3481" s="6">
        <f>1/COUNTIF(Таблица1[Order ID],Таблица1[[#This Row],[Order ID]])</f>
        <v>0.5</v>
      </c>
      <c r="Z3481" s="9">
        <f>1/COUNTIFS(Таблица1[Customer Name],Таблица1[[#This Row],[Customer Name]],Таблица1[Order-Year-Month],Таблица1[[#This Row],[Order-Year-Month]])</f>
        <v>0.5</v>
      </c>
    </row>
    <row r="3482" spans="1:26" x14ac:dyDescent="0.2">
      <c r="A3482" s="6">
        <v>7630</v>
      </c>
      <c r="B3482" s="7">
        <v>54592</v>
      </c>
      <c r="C3482" s="8">
        <f>DATE(2012,12,31)-568</f>
        <v>40706</v>
      </c>
      <c r="D3482" s="8" t="str">
        <f t="shared" si="67"/>
        <v>2011-06 (июнь 2011)</v>
      </c>
      <c r="E3482" s="9" t="s">
        <v>21</v>
      </c>
      <c r="F3482" s="7">
        <v>34</v>
      </c>
      <c r="G3482" s="7">
        <v>154.43</v>
      </c>
      <c r="H3482" s="7">
        <v>0.03</v>
      </c>
      <c r="I3482" s="9" t="s">
        <v>22</v>
      </c>
      <c r="J3482" s="10">
        <v>-133.77000000000001</v>
      </c>
      <c r="K3482" s="11">
        <v>4.18</v>
      </c>
      <c r="L3482" s="11">
        <v>6.92</v>
      </c>
      <c r="M3482" s="9" t="s">
        <v>1530</v>
      </c>
      <c r="N3482" s="6" t="s">
        <v>1595</v>
      </c>
      <c r="O3482" s="6" t="s">
        <v>1595</v>
      </c>
      <c r="P3482" s="9" t="s">
        <v>25</v>
      </c>
      <c r="Q3482" s="9" t="s">
        <v>49</v>
      </c>
      <c r="R3482" s="9" t="s">
        <v>50</v>
      </c>
      <c r="S3482" s="7" t="s">
        <v>980</v>
      </c>
      <c r="T3482" s="9" t="s">
        <v>39</v>
      </c>
      <c r="U3482" s="7">
        <v>0.49</v>
      </c>
      <c r="V3482" s="12">
        <f>C3482+2</f>
        <v>40708</v>
      </c>
      <c r="W3482">
        <f>IF(D3482=' Pivot Tables'!$A$4,1,0)</f>
        <v>0</v>
      </c>
      <c r="X3482">
        <f>IF(AND(LEFT(D3482,4)+1=LEFT(' Pivot Tables'!$A$4,4)+0,RIGHT(LEFT(D3482,7),2)=RIGHT(LEFT(' Pivot Tables'!$A$4,7),2)),1,0)</f>
        <v>0</v>
      </c>
      <c r="Y3482" s="6">
        <f>1/COUNTIF(Таблица1[Order ID],Таблица1[[#This Row],[Order ID]])</f>
        <v>0.5</v>
      </c>
      <c r="Z3482" s="9">
        <f>1/COUNTIFS(Таблица1[Customer Name],Таблица1[[#This Row],[Customer Name]],Таблица1[Order-Year-Month],Таблица1[[#This Row],[Order-Year-Month]])</f>
        <v>0.5</v>
      </c>
    </row>
    <row r="3483" spans="1:26" x14ac:dyDescent="0.2">
      <c r="A3483" s="6">
        <v>7741</v>
      </c>
      <c r="B3483" s="7">
        <v>55425</v>
      </c>
      <c r="C3483" s="8">
        <f>DATE(2012,12,31)-426</f>
        <v>40848</v>
      </c>
      <c r="D3483" s="8" t="str">
        <f t="shared" si="67"/>
        <v>2011-11 (ноябрь 2011)</v>
      </c>
      <c r="E3483" s="9" t="s">
        <v>78</v>
      </c>
      <c r="F3483" s="7">
        <v>8</v>
      </c>
      <c r="G3483" s="7">
        <v>2302.36</v>
      </c>
      <c r="H3483" s="7">
        <v>0.05</v>
      </c>
      <c r="I3483" s="9" t="s">
        <v>56</v>
      </c>
      <c r="J3483" s="10">
        <v>-114.68</v>
      </c>
      <c r="K3483" s="11">
        <v>300.97000000000003</v>
      </c>
      <c r="L3483" s="11">
        <v>7.18</v>
      </c>
      <c r="M3483" s="9" t="s">
        <v>1509</v>
      </c>
      <c r="N3483" s="6" t="s">
        <v>1595</v>
      </c>
      <c r="O3483" s="6" t="s">
        <v>1595</v>
      </c>
      <c r="P3483" s="9" t="s">
        <v>41</v>
      </c>
      <c r="Q3483" s="9" t="s">
        <v>42</v>
      </c>
      <c r="R3483" s="9" t="s">
        <v>70</v>
      </c>
      <c r="S3483" s="7" t="s">
        <v>1658</v>
      </c>
      <c r="T3483" s="9" t="s">
        <v>39</v>
      </c>
      <c r="U3483" s="7">
        <v>0.48</v>
      </c>
      <c r="V3483" s="12">
        <f>C3483+2</f>
        <v>40850</v>
      </c>
      <c r="W3483">
        <f>IF(D3483=' Pivot Tables'!$A$4,1,0)</f>
        <v>0</v>
      </c>
      <c r="X3483">
        <f>IF(AND(LEFT(D3483,4)+1=LEFT(' Pivot Tables'!$A$4,4)+0,RIGHT(LEFT(D3483,7),2)=RIGHT(LEFT(' Pivot Tables'!$A$4,7),2)),1,0)</f>
        <v>0</v>
      </c>
      <c r="Y3483" s="6">
        <f>1/COUNTIF(Таблица1[Order ID],Таблица1[[#This Row],[Order ID]])</f>
        <v>0.33333333333333331</v>
      </c>
      <c r="Z3483" s="9">
        <f>1/COUNTIFS(Таблица1[Customer Name],Таблица1[[#This Row],[Customer Name]],Таблица1[Order-Year-Month],Таблица1[[#This Row],[Order-Year-Month]])</f>
        <v>0.33333333333333331</v>
      </c>
    </row>
    <row r="3484" spans="1:26" x14ac:dyDescent="0.2">
      <c r="A3484" s="6">
        <v>7767</v>
      </c>
      <c r="B3484" s="7">
        <v>55616</v>
      </c>
      <c r="C3484" s="8">
        <f>DATE(2012,12,31)-603</f>
        <v>40671</v>
      </c>
      <c r="D3484" s="8" t="str">
        <f t="shared" si="67"/>
        <v>2011-05 (май 2011)</v>
      </c>
      <c r="E3484" s="9" t="s">
        <v>30</v>
      </c>
      <c r="F3484" s="7">
        <v>24</v>
      </c>
      <c r="G3484" s="7">
        <v>437.47799999999995</v>
      </c>
      <c r="H3484" s="7">
        <v>0.02</v>
      </c>
      <c r="I3484" s="9" t="s">
        <v>22</v>
      </c>
      <c r="J3484" s="10">
        <v>-42.228999999999999</v>
      </c>
      <c r="K3484" s="11">
        <v>20.99</v>
      </c>
      <c r="L3484" s="11">
        <v>1.25</v>
      </c>
      <c r="M3484" s="9" t="s">
        <v>1562</v>
      </c>
      <c r="N3484" s="6" t="s">
        <v>1595</v>
      </c>
      <c r="O3484" s="6" t="s">
        <v>1595</v>
      </c>
      <c r="P3484" s="9" t="s">
        <v>33</v>
      </c>
      <c r="Q3484" s="9" t="s">
        <v>42</v>
      </c>
      <c r="R3484" s="9" t="s">
        <v>43</v>
      </c>
      <c r="S3484" s="7" t="s">
        <v>285</v>
      </c>
      <c r="T3484" s="9" t="s">
        <v>52</v>
      </c>
      <c r="U3484" s="7">
        <v>0.83</v>
      </c>
      <c r="V3484" s="12">
        <f>C3484+1</f>
        <v>40672</v>
      </c>
      <c r="W3484">
        <f>IF(D3484=' Pivot Tables'!$A$4,1,0)</f>
        <v>0</v>
      </c>
      <c r="X3484">
        <f>IF(AND(LEFT(D3484,4)+1=LEFT(' Pivot Tables'!$A$4,4)+0,RIGHT(LEFT(D3484,7),2)=RIGHT(LEFT(' Pivot Tables'!$A$4,7),2)),1,0)</f>
        <v>0</v>
      </c>
      <c r="Y3484" s="6">
        <f>1/COUNTIF(Таблица1[Order ID],Таблица1[[#This Row],[Order ID]])</f>
        <v>0.5</v>
      </c>
      <c r="Z3484" s="9">
        <f>1/COUNTIFS(Таблица1[Customer Name],Таблица1[[#This Row],[Customer Name]],Таблица1[Order-Year-Month],Таблица1[[#This Row],[Order-Year-Month]])</f>
        <v>0.5</v>
      </c>
    </row>
    <row r="3485" spans="1:26" x14ac:dyDescent="0.2">
      <c r="A3485" s="6">
        <v>7821</v>
      </c>
      <c r="B3485" s="7">
        <v>55909</v>
      </c>
      <c r="C3485" s="8">
        <f>DATE(2012,12,31)-1322</f>
        <v>39952</v>
      </c>
      <c r="D3485" s="8" t="str">
        <f t="shared" si="67"/>
        <v>2009-05 (май 2009)</v>
      </c>
      <c r="E3485" s="9" t="s">
        <v>21</v>
      </c>
      <c r="F3485" s="7">
        <v>2</v>
      </c>
      <c r="G3485" s="7">
        <v>32.6</v>
      </c>
      <c r="H3485" s="7">
        <v>0.03</v>
      </c>
      <c r="I3485" s="9" t="s">
        <v>22</v>
      </c>
      <c r="J3485" s="10">
        <v>-20.57</v>
      </c>
      <c r="K3485" s="11">
        <v>13.43</v>
      </c>
      <c r="L3485" s="11">
        <v>5.5</v>
      </c>
      <c r="M3485" s="9" t="s">
        <v>1563</v>
      </c>
      <c r="N3485" s="6" t="s">
        <v>1595</v>
      </c>
      <c r="O3485" s="6" t="s">
        <v>1595</v>
      </c>
      <c r="P3485" s="9" t="s">
        <v>60</v>
      </c>
      <c r="Q3485" s="9" t="s">
        <v>26</v>
      </c>
      <c r="R3485" s="9" t="s">
        <v>27</v>
      </c>
      <c r="S3485" s="7" t="s">
        <v>1066</v>
      </c>
      <c r="T3485" s="9" t="s">
        <v>39</v>
      </c>
      <c r="U3485" s="7">
        <v>0.56999999999999995</v>
      </c>
      <c r="V3485" s="12">
        <f>C3485+7</f>
        <v>39959</v>
      </c>
      <c r="W3485">
        <f>IF(D3485=' Pivot Tables'!$A$4,1,0)</f>
        <v>0</v>
      </c>
      <c r="X3485">
        <f>IF(AND(LEFT(D3485,4)+1=LEFT(' Pivot Tables'!$A$4,4)+0,RIGHT(LEFT(D3485,7),2)=RIGHT(LEFT(' Pivot Tables'!$A$4,7),2)),1,0)</f>
        <v>0</v>
      </c>
      <c r="Y3485" s="6">
        <f>1/COUNTIF(Таблица1[Order ID],Таблица1[[#This Row],[Order ID]])</f>
        <v>0.5</v>
      </c>
      <c r="Z3485" s="9">
        <f>1/COUNTIFS(Таблица1[Customer Name],Таблица1[[#This Row],[Customer Name]],Таблица1[Order-Year-Month],Таблица1[[#This Row],[Order-Year-Month]])</f>
        <v>0.5</v>
      </c>
    </row>
    <row r="3486" spans="1:26" x14ac:dyDescent="0.2">
      <c r="A3486" s="6">
        <v>7825</v>
      </c>
      <c r="B3486" s="7">
        <v>55938</v>
      </c>
      <c r="C3486" s="8">
        <f>DATE(2012,12,31)-182</f>
        <v>41092</v>
      </c>
      <c r="D3486" s="8" t="str">
        <f t="shared" si="67"/>
        <v>2012-07 (июль 2012)</v>
      </c>
      <c r="E3486" s="9" t="s">
        <v>45</v>
      </c>
      <c r="F3486" s="7">
        <v>42</v>
      </c>
      <c r="G3486" s="7">
        <v>802.46</v>
      </c>
      <c r="H3486" s="7">
        <v>0.08</v>
      </c>
      <c r="I3486" s="9" t="s">
        <v>56</v>
      </c>
      <c r="J3486" s="10">
        <v>192.88</v>
      </c>
      <c r="K3486" s="11">
        <v>19.98</v>
      </c>
      <c r="L3486" s="11">
        <v>5.97</v>
      </c>
      <c r="M3486" s="9" t="s">
        <v>1547</v>
      </c>
      <c r="N3486" s="6" t="s">
        <v>1595</v>
      </c>
      <c r="O3486" s="6" t="s">
        <v>1595</v>
      </c>
      <c r="P3486" s="9" t="s">
        <v>25</v>
      </c>
      <c r="Q3486" s="9" t="s">
        <v>26</v>
      </c>
      <c r="R3486" s="9" t="s">
        <v>61</v>
      </c>
      <c r="S3486" s="7" t="s">
        <v>169</v>
      </c>
      <c r="T3486" s="9" t="s">
        <v>39</v>
      </c>
      <c r="U3486" s="7">
        <v>0.38</v>
      </c>
      <c r="V3486" s="12">
        <f>C3486+1</f>
        <v>41093</v>
      </c>
      <c r="W3486">
        <f>IF(D3486=' Pivot Tables'!$A$4,1,0)</f>
        <v>0</v>
      </c>
      <c r="X3486">
        <f>IF(AND(LEFT(D3486,4)+1=LEFT(' Pivot Tables'!$A$4,4)+0,RIGHT(LEFT(D3486,7),2)=RIGHT(LEFT(' Pivot Tables'!$A$4,7),2)),1,0)</f>
        <v>0</v>
      </c>
      <c r="Y3486" s="6">
        <f>1/COUNTIF(Таблица1[Order ID],Таблица1[[#This Row],[Order ID]])</f>
        <v>0.5</v>
      </c>
      <c r="Z3486" s="9">
        <f>1/COUNTIFS(Таблица1[Customer Name],Таблица1[[#This Row],[Customer Name]],Таблица1[Order-Year-Month],Таблица1[[#This Row],[Order-Year-Month]])</f>
        <v>0.5</v>
      </c>
    </row>
    <row r="3487" spans="1:26" x14ac:dyDescent="0.2">
      <c r="A3487" s="6">
        <v>7866</v>
      </c>
      <c r="B3487" s="7">
        <v>56260</v>
      </c>
      <c r="C3487" s="8">
        <f>DATE(2012,12,31)-1234</f>
        <v>40040</v>
      </c>
      <c r="D3487" s="8" t="str">
        <f t="shared" si="67"/>
        <v>2009-08 (август 2009)</v>
      </c>
      <c r="E3487" s="9" t="s">
        <v>45</v>
      </c>
      <c r="F3487" s="7">
        <v>34</v>
      </c>
      <c r="G3487" s="7">
        <v>223.76</v>
      </c>
      <c r="H3487" s="7">
        <v>0.03</v>
      </c>
      <c r="I3487" s="9" t="s">
        <v>22</v>
      </c>
      <c r="J3487" s="10">
        <v>-139.66</v>
      </c>
      <c r="K3487" s="11">
        <v>6.48</v>
      </c>
      <c r="L3487" s="11">
        <v>7.91</v>
      </c>
      <c r="M3487" s="9" t="s">
        <v>1588</v>
      </c>
      <c r="N3487" s="6" t="s">
        <v>1595</v>
      </c>
      <c r="O3487" s="6" t="s">
        <v>1595</v>
      </c>
      <c r="P3487" s="9" t="s">
        <v>41</v>
      </c>
      <c r="Q3487" s="9" t="s">
        <v>26</v>
      </c>
      <c r="R3487" s="9" t="s">
        <v>61</v>
      </c>
      <c r="S3487" s="7" t="s">
        <v>1297</v>
      </c>
      <c r="T3487" s="9" t="s">
        <v>39</v>
      </c>
      <c r="U3487" s="7">
        <v>0.37</v>
      </c>
      <c r="V3487" s="12">
        <f>C3487+1</f>
        <v>40041</v>
      </c>
      <c r="W3487">
        <f>IF(D3487=' Pivot Tables'!$A$4,1,0)</f>
        <v>0</v>
      </c>
      <c r="X3487">
        <f>IF(AND(LEFT(D3487,4)+1=LEFT(' Pivot Tables'!$A$4,4)+0,RIGHT(LEFT(D3487,7),2)=RIGHT(LEFT(' Pivot Tables'!$A$4,7),2)),1,0)</f>
        <v>0</v>
      </c>
      <c r="Y3487" s="6">
        <f>1/COUNTIF(Таблица1[Order ID],Таблица1[[#This Row],[Order ID]])</f>
        <v>1</v>
      </c>
      <c r="Z3487" s="9">
        <f>1/COUNTIFS(Таблица1[Customer Name],Таблица1[[#This Row],[Customer Name]],Таблица1[Order-Year-Month],Таблица1[[#This Row],[Order-Year-Month]])</f>
        <v>1</v>
      </c>
    </row>
    <row r="3488" spans="1:26" x14ac:dyDescent="0.2">
      <c r="A3488" s="6">
        <v>7946</v>
      </c>
      <c r="B3488" s="7">
        <v>56768</v>
      </c>
      <c r="C3488" s="8">
        <f>DATE(2012,12,31)-523</f>
        <v>40751</v>
      </c>
      <c r="D3488" s="8" t="str">
        <f t="shared" si="67"/>
        <v>2011-07 (июль 2011)</v>
      </c>
      <c r="E3488" s="9" t="s">
        <v>78</v>
      </c>
      <c r="F3488" s="7">
        <v>13</v>
      </c>
      <c r="G3488" s="7">
        <v>1207.02</v>
      </c>
      <c r="H3488" s="7">
        <v>0.03</v>
      </c>
      <c r="I3488" s="9" t="s">
        <v>31</v>
      </c>
      <c r="J3488" s="10">
        <v>235.4</v>
      </c>
      <c r="K3488" s="11">
        <v>90.97</v>
      </c>
      <c r="L3488" s="11">
        <v>14</v>
      </c>
      <c r="M3488" s="9" t="s">
        <v>1482</v>
      </c>
      <c r="N3488" s="6" t="s">
        <v>1595</v>
      </c>
      <c r="O3488" s="6" t="s">
        <v>1595</v>
      </c>
      <c r="P3488" s="9" t="s">
        <v>41</v>
      </c>
      <c r="Q3488" s="9" t="s">
        <v>42</v>
      </c>
      <c r="R3488" s="9" t="s">
        <v>210</v>
      </c>
      <c r="S3488" s="7" t="s">
        <v>772</v>
      </c>
      <c r="T3488" s="9" t="s">
        <v>36</v>
      </c>
      <c r="U3488" s="7">
        <v>0.36</v>
      </c>
      <c r="V3488" s="12">
        <f>C3488+1</f>
        <v>40752</v>
      </c>
      <c r="W3488">
        <f>IF(D3488=' Pivot Tables'!$A$4,1,0)</f>
        <v>0</v>
      </c>
      <c r="X3488">
        <f>IF(AND(LEFT(D3488,4)+1=LEFT(' Pivot Tables'!$A$4,4)+0,RIGHT(LEFT(D3488,7),2)=RIGHT(LEFT(' Pivot Tables'!$A$4,7),2)),1,0)</f>
        <v>0</v>
      </c>
      <c r="Y3488" s="6">
        <f>1/COUNTIF(Таблица1[Order ID],Таблица1[[#This Row],[Order ID]])</f>
        <v>0.5</v>
      </c>
      <c r="Z3488" s="9">
        <f>1/COUNTIFS(Таблица1[Customer Name],Таблица1[[#This Row],[Customer Name]],Таблица1[Order-Year-Month],Таблица1[[#This Row],[Order-Year-Month]])</f>
        <v>0.5</v>
      </c>
    </row>
    <row r="3489" spans="1:26" x14ac:dyDescent="0.2">
      <c r="A3489" s="6">
        <v>8156</v>
      </c>
      <c r="B3489" s="7">
        <v>58337</v>
      </c>
      <c r="C3489" s="8">
        <f>DATE(2012,12,31)-1313</f>
        <v>39961</v>
      </c>
      <c r="D3489" s="8" t="str">
        <f t="shared" si="67"/>
        <v>2009-05 (май 2009)</v>
      </c>
      <c r="E3489" s="9" t="s">
        <v>21</v>
      </c>
      <c r="F3489" s="7">
        <v>18</v>
      </c>
      <c r="G3489" s="7">
        <v>106.45</v>
      </c>
      <c r="H3489" s="7">
        <v>0.03</v>
      </c>
      <c r="I3489" s="9" t="s">
        <v>22</v>
      </c>
      <c r="J3489" s="10">
        <v>-5.08</v>
      </c>
      <c r="K3489" s="11">
        <v>5.85</v>
      </c>
      <c r="L3489" s="11">
        <v>2.27</v>
      </c>
      <c r="M3489" s="9" t="s">
        <v>815</v>
      </c>
      <c r="N3489" s="6" t="s">
        <v>1595</v>
      </c>
      <c r="O3489" s="6" t="s">
        <v>1595</v>
      </c>
      <c r="P3489" s="9" t="s">
        <v>41</v>
      </c>
      <c r="Q3489" s="9" t="s">
        <v>26</v>
      </c>
      <c r="R3489" s="9" t="s">
        <v>95</v>
      </c>
      <c r="S3489" s="7" t="s">
        <v>463</v>
      </c>
      <c r="T3489" s="9" t="s">
        <v>68</v>
      </c>
      <c r="U3489" s="7">
        <v>0.56000000000000005</v>
      </c>
      <c r="V3489" s="12">
        <f>C3489+2</f>
        <v>39963</v>
      </c>
      <c r="W3489">
        <f>IF(D3489=' Pivot Tables'!$A$4,1,0)</f>
        <v>0</v>
      </c>
      <c r="X3489">
        <f>IF(AND(LEFT(D3489,4)+1=LEFT(' Pivot Tables'!$A$4,4)+0,RIGHT(LEFT(D3489,7),2)=RIGHT(LEFT(' Pivot Tables'!$A$4,7),2)),1,0)</f>
        <v>0</v>
      </c>
      <c r="Y3489" s="6">
        <f>1/COUNTIF(Таблица1[Order ID],Таблица1[[#This Row],[Order ID]])</f>
        <v>1</v>
      </c>
      <c r="Z3489" s="9">
        <f>1/COUNTIFS(Таблица1[Customer Name],Таблица1[[#This Row],[Customer Name]],Таблица1[Order-Year-Month],Таблица1[[#This Row],[Order-Year-Month]])</f>
        <v>1</v>
      </c>
    </row>
    <row r="3490" spans="1:26" x14ac:dyDescent="0.2">
      <c r="A3490" s="6">
        <v>8161</v>
      </c>
      <c r="B3490" s="7">
        <v>58343</v>
      </c>
      <c r="C3490" s="8">
        <f>DATE(2012,12,31)-1452</f>
        <v>39822</v>
      </c>
      <c r="D3490" s="8" t="str">
        <f t="shared" si="67"/>
        <v>2009-01 (январь 2009)</v>
      </c>
      <c r="E3490" s="9" t="s">
        <v>45</v>
      </c>
      <c r="F3490" s="7">
        <v>39</v>
      </c>
      <c r="G3490" s="7">
        <v>121.87</v>
      </c>
      <c r="H3490" s="7">
        <v>7.0000000000000007E-2</v>
      </c>
      <c r="I3490" s="9" t="s">
        <v>22</v>
      </c>
      <c r="J3490" s="10">
        <v>11.32</v>
      </c>
      <c r="K3490" s="11">
        <v>3.29</v>
      </c>
      <c r="L3490" s="11">
        <v>1.35</v>
      </c>
      <c r="M3490" s="9" t="s">
        <v>1490</v>
      </c>
      <c r="N3490" s="6" t="s">
        <v>1595</v>
      </c>
      <c r="O3490" s="6" t="s">
        <v>1595</v>
      </c>
      <c r="P3490" s="9" t="s">
        <v>41</v>
      </c>
      <c r="Q3490" s="9" t="s">
        <v>26</v>
      </c>
      <c r="R3490" s="9" t="s">
        <v>66</v>
      </c>
      <c r="S3490" s="7" t="s">
        <v>464</v>
      </c>
      <c r="T3490" s="9" t="s">
        <v>68</v>
      </c>
      <c r="U3490" s="7">
        <v>0.4</v>
      </c>
      <c r="V3490" s="12">
        <f>C3490+2</f>
        <v>39824</v>
      </c>
      <c r="W3490">
        <f>IF(D3490=' Pivot Tables'!$A$4,1,0)</f>
        <v>0</v>
      </c>
      <c r="X3490">
        <f>IF(AND(LEFT(D3490,4)+1=LEFT(' Pivot Tables'!$A$4,4)+0,RIGHT(LEFT(D3490,7),2)=RIGHT(LEFT(' Pivot Tables'!$A$4,7),2)),1,0)</f>
        <v>1</v>
      </c>
      <c r="Y3490" s="6">
        <f>1/COUNTIF(Таблица1[Order ID],Таблица1[[#This Row],[Order ID]])</f>
        <v>1</v>
      </c>
      <c r="Z3490" s="9">
        <f>1/COUNTIFS(Таблица1[Customer Name],Таблица1[[#This Row],[Customer Name]],Таблица1[Order-Year-Month],Таблица1[[#This Row],[Order-Year-Month]])</f>
        <v>1</v>
      </c>
    </row>
    <row r="3491" spans="1:26" x14ac:dyDescent="0.2">
      <c r="A3491" s="6">
        <v>8299</v>
      </c>
      <c r="B3491" s="7">
        <v>59270</v>
      </c>
      <c r="C3491" s="8">
        <f>DATE(2012,12,31)-1085</f>
        <v>40189</v>
      </c>
      <c r="D3491" s="8" t="str">
        <f t="shared" si="67"/>
        <v>2010-01 (январь 2010)</v>
      </c>
      <c r="E3491" s="9" t="s">
        <v>30</v>
      </c>
      <c r="F3491" s="7">
        <v>5</v>
      </c>
      <c r="G3491" s="7">
        <v>647.27</v>
      </c>
      <c r="H3491" s="7">
        <v>0.08</v>
      </c>
      <c r="I3491" s="9" t="s">
        <v>31</v>
      </c>
      <c r="J3491" s="10">
        <v>-404.77</v>
      </c>
      <c r="K3491" s="11">
        <v>122.99</v>
      </c>
      <c r="L3491" s="11">
        <v>70.2</v>
      </c>
      <c r="M3491" s="9" t="s">
        <v>1553</v>
      </c>
      <c r="N3491" s="6" t="s">
        <v>1595</v>
      </c>
      <c r="O3491" s="6" t="s">
        <v>1595</v>
      </c>
      <c r="P3491" s="9" t="s">
        <v>25</v>
      </c>
      <c r="Q3491" s="9" t="s">
        <v>49</v>
      </c>
      <c r="R3491" s="9" t="s">
        <v>112</v>
      </c>
      <c r="S3491" s="7" t="s">
        <v>426</v>
      </c>
      <c r="T3491" s="9" t="s">
        <v>36</v>
      </c>
      <c r="U3491" s="7">
        <v>0.74</v>
      </c>
      <c r="V3491" s="12">
        <f>C3491+0</f>
        <v>40189</v>
      </c>
      <c r="W3491">
        <f>IF(D3491=' Pivot Tables'!$A$4,1,0)</f>
        <v>1</v>
      </c>
      <c r="X3491">
        <f>IF(AND(LEFT(D3491,4)+1=LEFT(' Pivot Tables'!$A$4,4)+0,RIGHT(LEFT(D3491,7),2)=RIGHT(LEFT(' Pivot Tables'!$A$4,7),2)),1,0)</f>
        <v>0</v>
      </c>
      <c r="Y3491" s="6">
        <f>1/COUNTIF(Таблица1[Order ID],Таблица1[[#This Row],[Order ID]])</f>
        <v>0.25</v>
      </c>
      <c r="Z3491" s="9">
        <f>1/COUNTIFS(Таблица1[Customer Name],Таблица1[[#This Row],[Customer Name]],Таблица1[Order-Year-Month],Таблица1[[#This Row],[Order-Year-Month]])</f>
        <v>0.25</v>
      </c>
    </row>
    <row r="3492" spans="1:26" x14ac:dyDescent="0.2">
      <c r="A3492" s="6">
        <v>8342</v>
      </c>
      <c r="B3492" s="7">
        <v>59619</v>
      </c>
      <c r="C3492" s="8">
        <f>DATE(2012,12,31)-1052</f>
        <v>40222</v>
      </c>
      <c r="D3492" s="8" t="str">
        <f t="shared" si="67"/>
        <v>2010-02 (февраль 2010)</v>
      </c>
      <c r="E3492" s="9" t="s">
        <v>45</v>
      </c>
      <c r="F3492" s="7">
        <v>35</v>
      </c>
      <c r="G3492" s="7">
        <v>225.4</v>
      </c>
      <c r="H3492" s="7">
        <v>0.08</v>
      </c>
      <c r="I3492" s="9" t="s">
        <v>22</v>
      </c>
      <c r="J3492" s="10">
        <v>-165.48</v>
      </c>
      <c r="K3492" s="11">
        <v>6.48</v>
      </c>
      <c r="L3492" s="11">
        <v>8.4</v>
      </c>
      <c r="M3492" s="9" t="s">
        <v>1498</v>
      </c>
      <c r="N3492" s="6" t="s">
        <v>1595</v>
      </c>
      <c r="O3492" s="6" t="s">
        <v>1595</v>
      </c>
      <c r="P3492" s="9" t="s">
        <v>33</v>
      </c>
      <c r="Q3492" s="9" t="s">
        <v>26</v>
      </c>
      <c r="R3492" s="9" t="s">
        <v>61</v>
      </c>
      <c r="S3492" s="7" t="s">
        <v>1097</v>
      </c>
      <c r="T3492" s="9" t="s">
        <v>39</v>
      </c>
      <c r="U3492" s="7">
        <v>0.37</v>
      </c>
      <c r="V3492" s="12">
        <f>C3492+2</f>
        <v>40224</v>
      </c>
      <c r="W3492">
        <f>IF(D3492=' Pivot Tables'!$A$4,1,0)</f>
        <v>0</v>
      </c>
      <c r="X3492">
        <f>IF(AND(LEFT(D3492,4)+1=LEFT(' Pivot Tables'!$A$4,4)+0,RIGHT(LEFT(D3492,7),2)=RIGHT(LEFT(' Pivot Tables'!$A$4,7),2)),1,0)</f>
        <v>0</v>
      </c>
      <c r="Y3492" s="6">
        <f>1/COUNTIF(Таблица1[Order ID],Таблица1[[#This Row],[Order ID]])</f>
        <v>0.5</v>
      </c>
      <c r="Z3492" s="9">
        <f>1/COUNTIFS(Таблица1[Customer Name],Таблица1[[#This Row],[Customer Name]],Таблица1[Order-Year-Month],Таблица1[[#This Row],[Order-Year-Month]])</f>
        <v>0.5</v>
      </c>
    </row>
    <row r="3493" spans="1:26" x14ac:dyDescent="0.2">
      <c r="A3493" s="6">
        <v>8358</v>
      </c>
      <c r="B3493" s="7">
        <v>59714</v>
      </c>
      <c r="C3493" s="8">
        <f>DATE(2012,12,31)-749</f>
        <v>40525</v>
      </c>
      <c r="D3493" s="8" t="str">
        <f t="shared" si="67"/>
        <v>2010-12 (декабрь 2010)</v>
      </c>
      <c r="E3493" s="9" t="s">
        <v>78</v>
      </c>
      <c r="F3493" s="7">
        <v>26</v>
      </c>
      <c r="G3493" s="7">
        <v>9225.65</v>
      </c>
      <c r="H3493" s="7">
        <v>0.03</v>
      </c>
      <c r="I3493" s="9" t="s">
        <v>31</v>
      </c>
      <c r="J3493" s="10">
        <v>1656.4621499999998</v>
      </c>
      <c r="K3493" s="11">
        <v>349.45</v>
      </c>
      <c r="L3493" s="11">
        <v>60</v>
      </c>
      <c r="M3493" s="9" t="s">
        <v>1566</v>
      </c>
      <c r="N3493" s="6" t="s">
        <v>1595</v>
      </c>
      <c r="O3493" s="6" t="s">
        <v>1595</v>
      </c>
      <c r="P3493" s="9" t="s">
        <v>41</v>
      </c>
      <c r="Q3493" s="9" t="s">
        <v>49</v>
      </c>
      <c r="R3493" s="9" t="s">
        <v>83</v>
      </c>
      <c r="S3493" s="7" t="s">
        <v>311</v>
      </c>
      <c r="T3493" s="9" t="s">
        <v>36</v>
      </c>
      <c r="U3493" s="7"/>
      <c r="V3493" s="12">
        <f>C3493+2</f>
        <v>40527</v>
      </c>
      <c r="W3493">
        <f>IF(D3493=' Pivot Tables'!$A$4,1,0)</f>
        <v>0</v>
      </c>
      <c r="X3493">
        <f>IF(AND(LEFT(D3493,4)+1=LEFT(' Pivot Tables'!$A$4,4)+0,RIGHT(LEFT(D3493,7),2)=RIGHT(LEFT(' Pivot Tables'!$A$4,7),2)),1,0)</f>
        <v>0</v>
      </c>
      <c r="Y3493" s="6">
        <f>1/COUNTIF(Таблица1[Order ID],Таблица1[[#This Row],[Order ID]])</f>
        <v>1</v>
      </c>
      <c r="Z3493" s="9">
        <f>1/COUNTIFS(Таблица1[Customer Name],Таблица1[[#This Row],[Customer Name]],Таблица1[Order-Year-Month],Таблица1[[#This Row],[Order-Year-Month]])</f>
        <v>0.33333333333333331</v>
      </c>
    </row>
    <row r="3494" spans="1:26" x14ac:dyDescent="0.2">
      <c r="A3494" s="6">
        <v>8366</v>
      </c>
      <c r="B3494" s="7">
        <v>59781</v>
      </c>
      <c r="C3494" s="8">
        <f>DATE(2012,12,31)-19</f>
        <v>41255</v>
      </c>
      <c r="D3494" s="8" t="str">
        <f t="shared" si="67"/>
        <v>2012-12 (декабрь 2012)</v>
      </c>
      <c r="E3494" s="9" t="s">
        <v>45</v>
      </c>
      <c r="F3494" s="7">
        <v>18</v>
      </c>
      <c r="G3494" s="7">
        <v>1837.94</v>
      </c>
      <c r="H3494" s="7">
        <v>0.02</v>
      </c>
      <c r="I3494" s="9" t="s">
        <v>22</v>
      </c>
      <c r="J3494" s="10">
        <v>1249.43</v>
      </c>
      <c r="K3494" s="11">
        <v>99.23</v>
      </c>
      <c r="L3494" s="11">
        <v>8.99</v>
      </c>
      <c r="M3494" s="9" t="s">
        <v>1566</v>
      </c>
      <c r="N3494" s="6" t="s">
        <v>1595</v>
      </c>
      <c r="O3494" s="6" t="s">
        <v>1595</v>
      </c>
      <c r="P3494" s="9" t="s">
        <v>41</v>
      </c>
      <c r="Q3494" s="9" t="s">
        <v>49</v>
      </c>
      <c r="R3494" s="9" t="s">
        <v>50</v>
      </c>
      <c r="S3494" s="7" t="s">
        <v>700</v>
      </c>
      <c r="T3494" s="9" t="s">
        <v>52</v>
      </c>
      <c r="U3494" s="7">
        <v>0.35</v>
      </c>
      <c r="V3494" s="12">
        <f>C3494+2</f>
        <v>41257</v>
      </c>
      <c r="W3494">
        <f>IF(D3494=' Pivot Tables'!$A$4,1,0)</f>
        <v>0</v>
      </c>
      <c r="X3494">
        <f>IF(AND(LEFT(D3494,4)+1=LEFT(' Pivot Tables'!$A$4,4)+0,RIGHT(LEFT(D3494,7),2)=RIGHT(LEFT(' Pivot Tables'!$A$4,7),2)),1,0)</f>
        <v>0</v>
      </c>
      <c r="Y3494" s="6">
        <f>1/COUNTIF(Таблица1[Order ID],Таблица1[[#This Row],[Order ID]])</f>
        <v>0.2</v>
      </c>
      <c r="Z3494" s="9">
        <f>1/COUNTIFS(Таблица1[Customer Name],Таблица1[[#This Row],[Customer Name]],Таблица1[Order-Year-Month],Таблица1[[#This Row],[Order-Year-Month]])</f>
        <v>0.2</v>
      </c>
    </row>
    <row r="3495" spans="1:26" x14ac:dyDescent="0.2">
      <c r="A3495" s="6">
        <v>8368</v>
      </c>
      <c r="B3495" s="7">
        <v>59781</v>
      </c>
      <c r="C3495" s="8">
        <f>DATE(2012,12,31)-19</f>
        <v>41255</v>
      </c>
      <c r="D3495" s="8" t="str">
        <f t="shared" si="67"/>
        <v>2012-12 (декабрь 2012)</v>
      </c>
      <c r="E3495" s="9" t="s">
        <v>45</v>
      </c>
      <c r="F3495" s="7">
        <v>28</v>
      </c>
      <c r="G3495" s="7">
        <v>24391.16</v>
      </c>
      <c r="H3495" s="7">
        <v>0.04</v>
      </c>
      <c r="I3495" s="9" t="s">
        <v>31</v>
      </c>
      <c r="J3495" s="10">
        <v>-9611.91</v>
      </c>
      <c r="K3495" s="11">
        <v>880.98</v>
      </c>
      <c r="L3495" s="11">
        <v>44.55</v>
      </c>
      <c r="M3495" s="9" t="s">
        <v>1566</v>
      </c>
      <c r="N3495" s="6" t="s">
        <v>1595</v>
      </c>
      <c r="O3495" s="6" t="s">
        <v>1595</v>
      </c>
      <c r="P3495" s="9" t="s">
        <v>41</v>
      </c>
      <c r="Q3495" s="9" t="s">
        <v>49</v>
      </c>
      <c r="R3495" s="9" t="s">
        <v>80</v>
      </c>
      <c r="S3495" s="7" t="s">
        <v>301</v>
      </c>
      <c r="T3495" s="9" t="s">
        <v>82</v>
      </c>
      <c r="U3495" s="7">
        <v>0.62</v>
      </c>
      <c r="V3495" s="12">
        <f>C3495+1</f>
        <v>41256</v>
      </c>
      <c r="W3495">
        <f>IF(D3495=' Pivot Tables'!$A$4,1,0)</f>
        <v>0</v>
      </c>
      <c r="X3495">
        <f>IF(AND(LEFT(D3495,4)+1=LEFT(' Pivot Tables'!$A$4,4)+0,RIGHT(LEFT(D3495,7),2)=RIGHT(LEFT(' Pivot Tables'!$A$4,7),2)),1,0)</f>
        <v>0</v>
      </c>
      <c r="Y3495" s="6">
        <f>1/COUNTIF(Таблица1[Order ID],Таблица1[[#This Row],[Order ID]])</f>
        <v>0.2</v>
      </c>
      <c r="Z3495" s="9">
        <f>1/COUNTIFS(Таблица1[Customer Name],Таблица1[[#This Row],[Customer Name]],Таблица1[Order-Year-Month],Таблица1[[#This Row],[Order-Year-Month]])</f>
        <v>0.2</v>
      </c>
    </row>
    <row r="3496" spans="1:26" x14ac:dyDescent="0.2">
      <c r="A3496" s="6">
        <v>14</v>
      </c>
      <c r="B3496" s="7">
        <v>70</v>
      </c>
      <c r="C3496" s="8">
        <f>DATE(2012,12,31)-745</f>
        <v>40529</v>
      </c>
      <c r="D3496" s="8" t="str">
        <f t="shared" si="67"/>
        <v>2010-12 (декабрь 2010)</v>
      </c>
      <c r="E3496" s="9" t="s">
        <v>21</v>
      </c>
      <c r="F3496" s="7">
        <v>48</v>
      </c>
      <c r="G3496" s="7">
        <v>90.05</v>
      </c>
      <c r="H3496" s="7">
        <v>0.03</v>
      </c>
      <c r="I3496" s="9" t="s">
        <v>22</v>
      </c>
      <c r="J3496" s="10">
        <v>-107</v>
      </c>
      <c r="K3496" s="11">
        <v>1.86</v>
      </c>
      <c r="L3496" s="11">
        <v>2.58</v>
      </c>
      <c r="M3496" s="9" t="s">
        <v>1611</v>
      </c>
      <c r="N3496" s="6" t="s">
        <v>1595</v>
      </c>
      <c r="O3496" s="6" t="s">
        <v>1595</v>
      </c>
      <c r="P3496" s="9" t="s">
        <v>60</v>
      </c>
      <c r="Q3496" s="9" t="s">
        <v>26</v>
      </c>
      <c r="R3496" s="9" t="s">
        <v>66</v>
      </c>
      <c r="S3496" s="7" t="s">
        <v>783</v>
      </c>
      <c r="T3496" s="9" t="s">
        <v>68</v>
      </c>
      <c r="U3496" s="7">
        <v>0.82</v>
      </c>
      <c r="V3496" s="12">
        <f>C3496+5</f>
        <v>40534</v>
      </c>
      <c r="W3496">
        <f>IF(D3496=' Pivot Tables'!$A$4,1,0)</f>
        <v>0</v>
      </c>
      <c r="X3496">
        <f>IF(AND(LEFT(D3496,4)+1=LEFT(' Pivot Tables'!$A$4,4)+0,RIGHT(LEFT(D3496,7),2)=RIGHT(LEFT(' Pivot Tables'!$A$4,7),2)),1,0)</f>
        <v>0</v>
      </c>
      <c r="Y3496" s="6">
        <f>1/COUNTIF(Таблица1[Order ID],Таблица1[[#This Row],[Order ID]])</f>
        <v>0.5</v>
      </c>
      <c r="Z3496" s="9">
        <f>1/COUNTIFS(Таблица1[Customer Name],Таблица1[[#This Row],[Customer Name]],Таблица1[Order-Year-Month],Таблица1[[#This Row],[Order-Year-Month]])</f>
        <v>0.16666666666666666</v>
      </c>
    </row>
    <row r="3497" spans="1:26" x14ac:dyDescent="0.2">
      <c r="A3497" s="6">
        <v>15</v>
      </c>
      <c r="B3497" s="7">
        <v>70</v>
      </c>
      <c r="C3497" s="8">
        <f>DATE(2012,12,31)-745</f>
        <v>40529</v>
      </c>
      <c r="D3497" s="8" t="str">
        <f t="shared" si="67"/>
        <v>2010-12 (декабрь 2010)</v>
      </c>
      <c r="E3497" s="9" t="s">
        <v>21</v>
      </c>
      <c r="F3497" s="7">
        <v>46</v>
      </c>
      <c r="G3497" s="7">
        <v>7804.53</v>
      </c>
      <c r="H3497" s="7">
        <v>0.05</v>
      </c>
      <c r="I3497" s="9" t="s">
        <v>22</v>
      </c>
      <c r="J3497" s="10">
        <v>2057.1659999999997</v>
      </c>
      <c r="K3497" s="11">
        <v>205.99</v>
      </c>
      <c r="L3497" s="11">
        <v>5.99</v>
      </c>
      <c r="M3497" s="9" t="s">
        <v>1611</v>
      </c>
      <c r="N3497" s="6" t="s">
        <v>1595</v>
      </c>
      <c r="O3497" s="6" t="s">
        <v>1595</v>
      </c>
      <c r="P3497" s="9" t="s">
        <v>60</v>
      </c>
      <c r="Q3497" s="9" t="s">
        <v>42</v>
      </c>
      <c r="R3497" s="9" t="s">
        <v>43</v>
      </c>
      <c r="S3497" s="7" t="s">
        <v>714</v>
      </c>
      <c r="T3497" s="9" t="s">
        <v>39</v>
      </c>
      <c r="U3497" s="7">
        <v>0.59</v>
      </c>
      <c r="V3497" s="12">
        <f>C3497+5</f>
        <v>40534</v>
      </c>
      <c r="W3497">
        <f>IF(D3497=' Pivot Tables'!$A$4,1,0)</f>
        <v>0</v>
      </c>
      <c r="X3497">
        <f>IF(AND(LEFT(D3497,4)+1=LEFT(' Pivot Tables'!$A$4,4)+0,RIGHT(LEFT(D3497,7),2)=RIGHT(LEFT(' Pivot Tables'!$A$4,7),2)),1,0)</f>
        <v>0</v>
      </c>
      <c r="Y3497" s="6">
        <f>1/COUNTIF(Таблица1[Order ID],Таблица1[[#This Row],[Order ID]])</f>
        <v>0.5</v>
      </c>
      <c r="Z3497" s="9">
        <f>1/COUNTIFS(Таблица1[Customer Name],Таблица1[[#This Row],[Customer Name]],Таблица1[Order-Year-Month],Таблица1[[#This Row],[Order-Year-Month]])</f>
        <v>0.16666666666666666</v>
      </c>
    </row>
    <row r="3498" spans="1:26" x14ac:dyDescent="0.2">
      <c r="A3498" s="6">
        <v>25</v>
      </c>
      <c r="B3498" s="7">
        <v>135</v>
      </c>
      <c r="C3498" s="8">
        <f>DATE(2012,12,31)-438</f>
        <v>40836</v>
      </c>
      <c r="D3498" s="8" t="str">
        <f t="shared" si="67"/>
        <v>2011-10 (октябрь 2011)</v>
      </c>
      <c r="E3498" s="9" t="s">
        <v>45</v>
      </c>
      <c r="F3498" s="7">
        <v>25</v>
      </c>
      <c r="G3498" s="7">
        <v>125.85</v>
      </c>
      <c r="H3498" s="7">
        <v>0.09</v>
      </c>
      <c r="I3498" s="9" t="s">
        <v>22</v>
      </c>
      <c r="J3498" s="10">
        <v>-89.25</v>
      </c>
      <c r="K3498" s="11">
        <v>4.9800000000000004</v>
      </c>
      <c r="L3498" s="11">
        <v>4.62</v>
      </c>
      <c r="M3498" s="9" t="s">
        <v>1659</v>
      </c>
      <c r="N3498" s="6" t="s">
        <v>1595</v>
      </c>
      <c r="O3498" s="6" t="s">
        <v>1595</v>
      </c>
      <c r="P3498" s="9" t="s">
        <v>33</v>
      </c>
      <c r="Q3498" s="9" t="s">
        <v>42</v>
      </c>
      <c r="R3498" s="9" t="s">
        <v>70</v>
      </c>
      <c r="S3498" s="7" t="s">
        <v>402</v>
      </c>
      <c r="T3498" s="9" t="s">
        <v>52</v>
      </c>
      <c r="U3498" s="7">
        <v>0.64</v>
      </c>
      <c r="V3498" s="12">
        <f>C3498+2</f>
        <v>40838</v>
      </c>
      <c r="W3498">
        <f>IF(D3498=' Pivot Tables'!$A$4,1,0)</f>
        <v>0</v>
      </c>
      <c r="X3498">
        <f>IF(AND(LEFT(D3498,4)+1=LEFT(' Pivot Tables'!$A$4,4)+0,RIGHT(LEFT(D3498,7),2)=RIGHT(LEFT(' Pivot Tables'!$A$4,7),2)),1,0)</f>
        <v>0</v>
      </c>
      <c r="Y3498" s="6">
        <f>1/COUNTIF(Таблица1[Order ID],Таблица1[[#This Row],[Order ID]])</f>
        <v>1</v>
      </c>
      <c r="Z3498" s="9">
        <f>1/COUNTIFS(Таблица1[Customer Name],Таблица1[[#This Row],[Customer Name]],Таблица1[Order-Year-Month],Таблица1[[#This Row],[Order-Year-Month]])</f>
        <v>1</v>
      </c>
    </row>
    <row r="3499" spans="1:26" x14ac:dyDescent="0.2">
      <c r="A3499" s="6">
        <v>27</v>
      </c>
      <c r="B3499" s="7">
        <v>193</v>
      </c>
      <c r="C3499" s="8">
        <f>DATE(2012,12,31)-877</f>
        <v>40397</v>
      </c>
      <c r="D3499" s="8" t="str">
        <f t="shared" si="67"/>
        <v>2010-08 (август 2010)</v>
      </c>
      <c r="E3499" s="9" t="s">
        <v>78</v>
      </c>
      <c r="F3499" s="7">
        <v>14</v>
      </c>
      <c r="G3499" s="7">
        <v>174.89</v>
      </c>
      <c r="H3499" s="7">
        <v>0.06</v>
      </c>
      <c r="I3499" s="9" t="s">
        <v>22</v>
      </c>
      <c r="J3499" s="10">
        <v>-37.04</v>
      </c>
      <c r="K3499" s="11">
        <v>12.44</v>
      </c>
      <c r="L3499" s="11">
        <v>6.27</v>
      </c>
      <c r="M3499" s="9" t="s">
        <v>929</v>
      </c>
      <c r="N3499" s="6" t="s">
        <v>1595</v>
      </c>
      <c r="O3499" s="6" t="s">
        <v>1595</v>
      </c>
      <c r="P3499" s="9" t="s">
        <v>33</v>
      </c>
      <c r="Q3499" s="9" t="s">
        <v>26</v>
      </c>
      <c r="R3499" s="9" t="s">
        <v>27</v>
      </c>
      <c r="S3499" s="7" t="s">
        <v>756</v>
      </c>
      <c r="T3499" s="9" t="s">
        <v>48</v>
      </c>
      <c r="U3499" s="7">
        <v>0.56999999999999995</v>
      </c>
      <c r="V3499" s="12">
        <f>C3499+2</f>
        <v>40399</v>
      </c>
      <c r="W3499">
        <f>IF(D3499=' Pivot Tables'!$A$4,1,0)</f>
        <v>0</v>
      </c>
      <c r="X3499">
        <f>IF(AND(LEFT(D3499,4)+1=LEFT(' Pivot Tables'!$A$4,4)+0,RIGHT(LEFT(D3499,7),2)=RIGHT(LEFT(' Pivot Tables'!$A$4,7),2)),1,0)</f>
        <v>0</v>
      </c>
      <c r="Y3499" s="6">
        <f>1/COUNTIF(Таблица1[Order ID],Таблица1[[#This Row],[Order ID]])</f>
        <v>1</v>
      </c>
      <c r="Z3499" s="9">
        <f>1/COUNTIFS(Таблица1[Customer Name],Таблица1[[#This Row],[Customer Name]],Таблица1[Order-Year-Month],Таблица1[[#This Row],[Order-Year-Month]])</f>
        <v>1</v>
      </c>
    </row>
    <row r="3500" spans="1:26" x14ac:dyDescent="0.2">
      <c r="A3500" s="6">
        <v>35</v>
      </c>
      <c r="B3500" s="7">
        <v>225</v>
      </c>
      <c r="C3500" s="8">
        <f>DATE(2012,12,31)-587</f>
        <v>40687</v>
      </c>
      <c r="D3500" s="8" t="str">
        <f t="shared" si="67"/>
        <v>2011-05 (май 2011)</v>
      </c>
      <c r="E3500" s="9" t="s">
        <v>78</v>
      </c>
      <c r="F3500" s="7">
        <v>24</v>
      </c>
      <c r="G3500" s="7">
        <v>126.58</v>
      </c>
      <c r="H3500" s="7">
        <v>0.06</v>
      </c>
      <c r="I3500" s="9" t="s">
        <v>22</v>
      </c>
      <c r="J3500" s="10">
        <v>18.27</v>
      </c>
      <c r="K3500" s="11">
        <v>5.58</v>
      </c>
      <c r="L3500" s="11">
        <v>0.7</v>
      </c>
      <c r="M3500" s="9" t="s">
        <v>1563</v>
      </c>
      <c r="N3500" s="6" t="s">
        <v>1595</v>
      </c>
      <c r="O3500" s="6" t="s">
        <v>1595</v>
      </c>
      <c r="P3500" s="9" t="s">
        <v>60</v>
      </c>
      <c r="Q3500" s="9" t="s">
        <v>26</v>
      </c>
      <c r="R3500" s="9" t="s">
        <v>95</v>
      </c>
      <c r="S3500" s="7" t="s">
        <v>823</v>
      </c>
      <c r="T3500" s="9" t="s">
        <v>68</v>
      </c>
      <c r="U3500" s="7">
        <v>0.6</v>
      </c>
      <c r="V3500" s="12">
        <f>C3500+1</f>
        <v>40688</v>
      </c>
      <c r="W3500">
        <f>IF(D3500=' Pivot Tables'!$A$4,1,0)</f>
        <v>0</v>
      </c>
      <c r="X3500">
        <f>IF(AND(LEFT(D3500,4)+1=LEFT(' Pivot Tables'!$A$4,4)+0,RIGHT(LEFT(D3500,7),2)=RIGHT(LEFT(' Pivot Tables'!$A$4,7),2)),1,0)</f>
        <v>0</v>
      </c>
      <c r="Y3500" s="6">
        <f>1/COUNTIF(Таблица1[Order ID],Таблица1[[#This Row],[Order ID]])</f>
        <v>0.5</v>
      </c>
      <c r="Z3500" s="9">
        <f>1/COUNTIFS(Таблица1[Customer Name],Таблица1[[#This Row],[Customer Name]],Таблица1[Order-Year-Month],Таблица1[[#This Row],[Order-Year-Month]])</f>
        <v>0.5</v>
      </c>
    </row>
    <row r="3501" spans="1:26" x14ac:dyDescent="0.2">
      <c r="A3501" s="6">
        <v>36</v>
      </c>
      <c r="B3501" s="7">
        <v>225</v>
      </c>
      <c r="C3501" s="8">
        <f>DATE(2012,12,31)-587</f>
        <v>40687</v>
      </c>
      <c r="D3501" s="8" t="str">
        <f t="shared" si="67"/>
        <v>2011-05 (май 2011)</v>
      </c>
      <c r="E3501" s="9" t="s">
        <v>78</v>
      </c>
      <c r="F3501" s="7">
        <v>1</v>
      </c>
      <c r="G3501" s="7">
        <v>23.7</v>
      </c>
      <c r="H3501" s="7">
        <v>0.05</v>
      </c>
      <c r="I3501" s="9" t="s">
        <v>22</v>
      </c>
      <c r="J3501" s="10">
        <v>-8.9700000000000006</v>
      </c>
      <c r="K3501" s="11">
        <v>19.84</v>
      </c>
      <c r="L3501" s="11">
        <v>4.0999999999999996</v>
      </c>
      <c r="M3501" s="9" t="s">
        <v>1563</v>
      </c>
      <c r="N3501" s="6" t="s">
        <v>1595</v>
      </c>
      <c r="O3501" s="6" t="s">
        <v>1595</v>
      </c>
      <c r="P3501" s="9" t="s">
        <v>60</v>
      </c>
      <c r="Q3501" s="9" t="s">
        <v>26</v>
      </c>
      <c r="R3501" s="9" t="s">
        <v>95</v>
      </c>
      <c r="S3501" s="7" t="s">
        <v>195</v>
      </c>
      <c r="T3501" s="9" t="s">
        <v>68</v>
      </c>
      <c r="U3501" s="7">
        <v>0.44</v>
      </c>
      <c r="V3501" s="12">
        <f>C3501+2</f>
        <v>40689</v>
      </c>
      <c r="W3501">
        <f>IF(D3501=' Pivot Tables'!$A$4,1,0)</f>
        <v>0</v>
      </c>
      <c r="X3501">
        <f>IF(AND(LEFT(D3501,4)+1=LEFT(' Pivot Tables'!$A$4,4)+0,RIGHT(LEFT(D3501,7),2)=RIGHT(LEFT(' Pivot Tables'!$A$4,7),2)),1,0)</f>
        <v>0</v>
      </c>
      <c r="Y3501" s="6">
        <f>1/COUNTIF(Таблица1[Order ID],Таблица1[[#This Row],[Order ID]])</f>
        <v>0.5</v>
      </c>
      <c r="Z3501" s="9">
        <f>1/COUNTIFS(Таблица1[Customer Name],Таблица1[[#This Row],[Customer Name]],Таблица1[Order-Year-Month],Таблица1[[#This Row],[Order-Year-Month]])</f>
        <v>0.5</v>
      </c>
    </row>
    <row r="3502" spans="1:26" x14ac:dyDescent="0.2">
      <c r="A3502" s="6">
        <v>47</v>
      </c>
      <c r="B3502" s="7">
        <v>290</v>
      </c>
      <c r="C3502" s="8">
        <f>DATE(2012,12,31)-1456</f>
        <v>39818</v>
      </c>
      <c r="D3502" s="8" t="str">
        <f t="shared" si="67"/>
        <v>2009-01 (январь 2009)</v>
      </c>
      <c r="E3502" s="9" t="s">
        <v>45</v>
      </c>
      <c r="F3502" s="7">
        <v>24</v>
      </c>
      <c r="G3502" s="7">
        <v>188.73</v>
      </c>
      <c r="H3502" s="7">
        <v>0.05</v>
      </c>
      <c r="I3502" s="9" t="s">
        <v>22</v>
      </c>
      <c r="J3502" s="10">
        <v>-32.479999999999997</v>
      </c>
      <c r="K3502" s="11">
        <v>7.64</v>
      </c>
      <c r="L3502" s="11">
        <v>5.83</v>
      </c>
      <c r="M3502" s="9" t="s">
        <v>1660</v>
      </c>
      <c r="N3502" s="6" t="s">
        <v>1595</v>
      </c>
      <c r="O3502" s="6" t="s">
        <v>1595</v>
      </c>
      <c r="P3502" s="9" t="s">
        <v>60</v>
      </c>
      <c r="Q3502" s="9" t="s">
        <v>26</v>
      </c>
      <c r="R3502" s="9" t="s">
        <v>61</v>
      </c>
      <c r="S3502" s="7" t="s">
        <v>371</v>
      </c>
      <c r="T3502" s="9" t="s">
        <v>68</v>
      </c>
      <c r="U3502" s="7">
        <v>0.36</v>
      </c>
      <c r="V3502" s="12">
        <f>C3502+1</f>
        <v>39819</v>
      </c>
      <c r="W3502">
        <f>IF(D3502=' Pivot Tables'!$A$4,1,0)</f>
        <v>0</v>
      </c>
      <c r="X3502">
        <f>IF(AND(LEFT(D3502,4)+1=LEFT(' Pivot Tables'!$A$4,4)+0,RIGHT(LEFT(D3502,7),2)=RIGHT(LEFT(' Pivot Tables'!$A$4,7),2)),1,0)</f>
        <v>1</v>
      </c>
      <c r="Y3502" s="6">
        <f>1/COUNTIF(Таблица1[Order ID],Таблица1[[#This Row],[Order ID]])</f>
        <v>1</v>
      </c>
      <c r="Z3502" s="9">
        <f>1/COUNTIFS(Таблица1[Customer Name],Таблица1[[#This Row],[Customer Name]],Таблица1[Order-Year-Month],Таблица1[[#This Row],[Order-Year-Month]])</f>
        <v>1</v>
      </c>
    </row>
    <row r="3503" spans="1:26" x14ac:dyDescent="0.2">
      <c r="A3503" s="6">
        <v>104</v>
      </c>
      <c r="B3503" s="7">
        <v>644</v>
      </c>
      <c r="C3503" s="8">
        <f>DATE(2012,12,31)-245</f>
        <v>41029</v>
      </c>
      <c r="D3503" s="8" t="str">
        <f t="shared" si="67"/>
        <v>2012-04 (апрель 2012)</v>
      </c>
      <c r="E3503" s="9" t="s">
        <v>78</v>
      </c>
      <c r="F3503" s="7">
        <v>5</v>
      </c>
      <c r="G3503" s="7">
        <v>1679.58</v>
      </c>
      <c r="H3503" s="7">
        <v>0.01</v>
      </c>
      <c r="I3503" s="9" t="s">
        <v>31</v>
      </c>
      <c r="J3503" s="10">
        <v>-171.92</v>
      </c>
      <c r="K3503" s="11">
        <v>320.98</v>
      </c>
      <c r="L3503" s="11">
        <v>58.95</v>
      </c>
      <c r="M3503" s="9" t="s">
        <v>969</v>
      </c>
      <c r="N3503" s="6" t="s">
        <v>1595</v>
      </c>
      <c r="O3503" s="6" t="s">
        <v>1595</v>
      </c>
      <c r="P3503" s="9" t="s">
        <v>41</v>
      </c>
      <c r="Q3503" s="9" t="s">
        <v>49</v>
      </c>
      <c r="R3503" s="9" t="s">
        <v>112</v>
      </c>
      <c r="S3503" s="7" t="s">
        <v>181</v>
      </c>
      <c r="T3503" s="9" t="s">
        <v>36</v>
      </c>
      <c r="U3503" s="7">
        <v>0.56999999999999995</v>
      </c>
      <c r="V3503" s="12">
        <f>C3503+1</f>
        <v>41030</v>
      </c>
      <c r="W3503">
        <f>IF(D3503=' Pivot Tables'!$A$4,1,0)</f>
        <v>0</v>
      </c>
      <c r="X3503">
        <f>IF(AND(LEFT(D3503,4)+1=LEFT(' Pivot Tables'!$A$4,4)+0,RIGHT(LEFT(D3503,7),2)=RIGHT(LEFT(' Pivot Tables'!$A$4,7),2)),1,0)</f>
        <v>0</v>
      </c>
      <c r="Y3503" s="6">
        <f>1/COUNTIF(Таблица1[Order ID],Таблица1[[#This Row],[Order ID]])</f>
        <v>1</v>
      </c>
      <c r="Z3503" s="9">
        <f>1/COUNTIFS(Таблица1[Customer Name],Таблица1[[#This Row],[Customer Name]],Таблица1[Order-Year-Month],Таблица1[[#This Row],[Order-Year-Month]])</f>
        <v>0.5</v>
      </c>
    </row>
    <row r="3504" spans="1:26" x14ac:dyDescent="0.2">
      <c r="A3504" s="6">
        <v>112</v>
      </c>
      <c r="B3504" s="7">
        <v>738</v>
      </c>
      <c r="C3504" s="8">
        <f>DATE(2012,12,31)-1036</f>
        <v>40238</v>
      </c>
      <c r="D3504" s="8" t="str">
        <f t="shared" si="67"/>
        <v>2010-03 (март 2010)</v>
      </c>
      <c r="E3504" s="9" t="s">
        <v>45</v>
      </c>
      <c r="F3504" s="7">
        <v>7</v>
      </c>
      <c r="G3504" s="7">
        <v>560.51</v>
      </c>
      <c r="H3504" s="7">
        <v>0.04</v>
      </c>
      <c r="I3504" s="9" t="s">
        <v>22</v>
      </c>
      <c r="J3504" s="10">
        <v>32.6</v>
      </c>
      <c r="K3504" s="11">
        <v>80.98</v>
      </c>
      <c r="L3504" s="11">
        <v>4.5</v>
      </c>
      <c r="M3504" s="9" t="s">
        <v>1661</v>
      </c>
      <c r="N3504" s="6" t="s">
        <v>1595</v>
      </c>
      <c r="O3504" s="6" t="s">
        <v>1595</v>
      </c>
      <c r="P3504" s="9" t="s">
        <v>41</v>
      </c>
      <c r="Q3504" s="9" t="s">
        <v>26</v>
      </c>
      <c r="R3504" s="9" t="s">
        <v>34</v>
      </c>
      <c r="S3504" s="7" t="s">
        <v>1369</v>
      </c>
      <c r="T3504" s="9" t="s">
        <v>39</v>
      </c>
      <c r="U3504" s="7">
        <v>0.59</v>
      </c>
      <c r="V3504" s="12">
        <f>C3504+2</f>
        <v>40240</v>
      </c>
      <c r="W3504">
        <f>IF(D3504=' Pivot Tables'!$A$4,1,0)</f>
        <v>0</v>
      </c>
      <c r="X3504">
        <f>IF(AND(LEFT(D3504,4)+1=LEFT(' Pivot Tables'!$A$4,4)+0,RIGHT(LEFT(D3504,7),2)=RIGHT(LEFT(' Pivot Tables'!$A$4,7),2)),1,0)</f>
        <v>0</v>
      </c>
      <c r="Y3504" s="6">
        <f>1/COUNTIF(Таблица1[Order ID],Таблица1[[#This Row],[Order ID]])</f>
        <v>0.5</v>
      </c>
      <c r="Z3504" s="9">
        <f>1/COUNTIFS(Таблица1[Customer Name],Таблица1[[#This Row],[Customer Name]],Таблица1[Order-Year-Month],Таблица1[[#This Row],[Order-Year-Month]])</f>
        <v>0.5</v>
      </c>
    </row>
    <row r="3505" spans="1:26" x14ac:dyDescent="0.2">
      <c r="A3505" s="6">
        <v>113</v>
      </c>
      <c r="B3505" s="7">
        <v>738</v>
      </c>
      <c r="C3505" s="8">
        <f>DATE(2012,12,31)-1036</f>
        <v>40238</v>
      </c>
      <c r="D3505" s="8" t="str">
        <f t="shared" si="67"/>
        <v>2010-03 (март 2010)</v>
      </c>
      <c r="E3505" s="9" t="s">
        <v>45</v>
      </c>
      <c r="F3505" s="7">
        <v>31</v>
      </c>
      <c r="G3505" s="7">
        <v>189.95</v>
      </c>
      <c r="H3505" s="7">
        <v>0.08</v>
      </c>
      <c r="I3505" s="9" t="s">
        <v>22</v>
      </c>
      <c r="J3505" s="10">
        <v>-56.68</v>
      </c>
      <c r="K3505" s="11">
        <v>6.48</v>
      </c>
      <c r="L3505" s="11">
        <v>5.14</v>
      </c>
      <c r="M3505" s="9" t="s">
        <v>1661</v>
      </c>
      <c r="N3505" s="6" t="s">
        <v>1595</v>
      </c>
      <c r="O3505" s="6" t="s">
        <v>1595</v>
      </c>
      <c r="P3505" s="9" t="s">
        <v>41</v>
      </c>
      <c r="Q3505" s="9" t="s">
        <v>26</v>
      </c>
      <c r="R3505" s="9" t="s">
        <v>61</v>
      </c>
      <c r="S3505" s="7" t="s">
        <v>1184</v>
      </c>
      <c r="T3505" s="9" t="s">
        <v>39</v>
      </c>
      <c r="U3505" s="7">
        <v>0.37</v>
      </c>
      <c r="V3505" s="12">
        <f>C3505+1</f>
        <v>40239</v>
      </c>
      <c r="W3505">
        <f>IF(D3505=' Pivot Tables'!$A$4,1,0)</f>
        <v>0</v>
      </c>
      <c r="X3505">
        <f>IF(AND(LEFT(D3505,4)+1=LEFT(' Pivot Tables'!$A$4,4)+0,RIGHT(LEFT(D3505,7),2)=RIGHT(LEFT(' Pivot Tables'!$A$4,7),2)),1,0)</f>
        <v>0</v>
      </c>
      <c r="Y3505" s="6">
        <f>1/COUNTIF(Таблица1[Order ID],Таблица1[[#This Row],[Order ID]])</f>
        <v>0.5</v>
      </c>
      <c r="Z3505" s="9">
        <f>1/COUNTIFS(Таблица1[Customer Name],Таблица1[[#This Row],[Customer Name]],Таблица1[Order-Year-Month],Таблица1[[#This Row],[Order-Year-Month]])</f>
        <v>0.5</v>
      </c>
    </row>
    <row r="3506" spans="1:26" x14ac:dyDescent="0.2">
      <c r="A3506" s="6">
        <v>117</v>
      </c>
      <c r="B3506" s="7">
        <v>772</v>
      </c>
      <c r="C3506" s="8">
        <f>DATE(2012,12,31)-990</f>
        <v>40284</v>
      </c>
      <c r="D3506" s="8" t="str">
        <f t="shared" si="67"/>
        <v>2010-04 (апрель 2010)</v>
      </c>
      <c r="E3506" s="9" t="s">
        <v>30</v>
      </c>
      <c r="F3506" s="7">
        <v>35</v>
      </c>
      <c r="G3506" s="7">
        <v>589.24</v>
      </c>
      <c r="H3506" s="7">
        <v>0.08</v>
      </c>
      <c r="I3506" s="9" t="s">
        <v>22</v>
      </c>
      <c r="J3506" s="10">
        <v>-38.35</v>
      </c>
      <c r="K3506" s="11">
        <v>17.52</v>
      </c>
      <c r="L3506" s="11">
        <v>8.17</v>
      </c>
      <c r="M3506" s="9" t="s">
        <v>1662</v>
      </c>
      <c r="N3506" s="6" t="s">
        <v>1595</v>
      </c>
      <c r="O3506" s="6" t="s">
        <v>1595</v>
      </c>
      <c r="P3506" s="9" t="s">
        <v>33</v>
      </c>
      <c r="Q3506" s="9" t="s">
        <v>26</v>
      </c>
      <c r="R3506" s="9" t="s">
        <v>34</v>
      </c>
      <c r="S3506" s="7" t="s">
        <v>1663</v>
      </c>
      <c r="T3506" s="9" t="s">
        <v>48</v>
      </c>
      <c r="U3506" s="7">
        <v>0.5</v>
      </c>
      <c r="V3506" s="12">
        <f>C3506+2</f>
        <v>40286</v>
      </c>
      <c r="W3506">
        <f>IF(D3506=' Pivot Tables'!$A$4,1,0)</f>
        <v>0</v>
      </c>
      <c r="X3506">
        <f>IF(AND(LEFT(D3506,4)+1=LEFT(' Pivot Tables'!$A$4,4)+0,RIGHT(LEFT(D3506,7),2)=RIGHT(LEFT(' Pivot Tables'!$A$4,7),2)),1,0)</f>
        <v>0</v>
      </c>
      <c r="Y3506" s="6">
        <f>1/COUNTIF(Таблица1[Order ID],Таблица1[[#This Row],[Order ID]])</f>
        <v>0.5</v>
      </c>
      <c r="Z3506" s="9">
        <f>1/COUNTIFS(Таблица1[Customer Name],Таблица1[[#This Row],[Customer Name]],Таблица1[Order-Year-Month],Таблица1[[#This Row],[Order-Year-Month]])</f>
        <v>0.5</v>
      </c>
    </row>
    <row r="3507" spans="1:26" x14ac:dyDescent="0.2">
      <c r="A3507" s="6">
        <v>118</v>
      </c>
      <c r="B3507" s="7">
        <v>772</v>
      </c>
      <c r="C3507" s="8">
        <f>DATE(2012,12,31)-990</f>
        <v>40284</v>
      </c>
      <c r="D3507" s="8" t="str">
        <f t="shared" si="67"/>
        <v>2010-04 (апрель 2010)</v>
      </c>
      <c r="E3507" s="9" t="s">
        <v>30</v>
      </c>
      <c r="F3507" s="7">
        <v>25</v>
      </c>
      <c r="G3507" s="7">
        <v>233.05</v>
      </c>
      <c r="H3507" s="7">
        <v>0.1</v>
      </c>
      <c r="I3507" s="9" t="s">
        <v>22</v>
      </c>
      <c r="J3507" s="10">
        <v>86.93</v>
      </c>
      <c r="K3507" s="11">
        <v>9.9</v>
      </c>
      <c r="L3507" s="11">
        <v>1.39</v>
      </c>
      <c r="M3507" s="9" t="s">
        <v>1662</v>
      </c>
      <c r="N3507" s="6" t="s">
        <v>1595</v>
      </c>
      <c r="O3507" s="6" t="s">
        <v>1595</v>
      </c>
      <c r="P3507" s="9" t="s">
        <v>33</v>
      </c>
      <c r="Q3507" s="9" t="s">
        <v>26</v>
      </c>
      <c r="R3507" s="9" t="s">
        <v>76</v>
      </c>
      <c r="S3507" s="7" t="s">
        <v>1664</v>
      </c>
      <c r="T3507" s="9" t="s">
        <v>39</v>
      </c>
      <c r="U3507" s="7">
        <v>0.37</v>
      </c>
      <c r="V3507" s="12">
        <f>C3507+2</f>
        <v>40286</v>
      </c>
      <c r="W3507">
        <f>IF(D3507=' Pivot Tables'!$A$4,1,0)</f>
        <v>0</v>
      </c>
      <c r="X3507">
        <f>IF(AND(LEFT(D3507,4)+1=LEFT(' Pivot Tables'!$A$4,4)+0,RIGHT(LEFT(D3507,7),2)=RIGHT(LEFT(' Pivot Tables'!$A$4,7),2)),1,0)</f>
        <v>0</v>
      </c>
      <c r="Y3507" s="6">
        <f>1/COUNTIF(Таблица1[Order ID],Таблица1[[#This Row],[Order ID]])</f>
        <v>0.5</v>
      </c>
      <c r="Z3507" s="9">
        <f>1/COUNTIFS(Таблица1[Customer Name],Таблица1[[#This Row],[Customer Name]],Таблица1[Order-Year-Month],Таблица1[[#This Row],[Order-Year-Month]])</f>
        <v>0.5</v>
      </c>
    </row>
    <row r="3508" spans="1:26" x14ac:dyDescent="0.2">
      <c r="A3508" s="6">
        <v>181</v>
      </c>
      <c r="B3508" s="7">
        <v>1189</v>
      </c>
      <c r="C3508" s="8">
        <f>DATE(2012,12,31)-1363</f>
        <v>39911</v>
      </c>
      <c r="D3508" s="8" t="str">
        <f t="shared" si="67"/>
        <v>2009-04 (апрель 2009)</v>
      </c>
      <c r="E3508" s="9" t="s">
        <v>78</v>
      </c>
      <c r="F3508" s="7">
        <v>27</v>
      </c>
      <c r="G3508" s="7">
        <v>129.1</v>
      </c>
      <c r="H3508" s="7">
        <v>0</v>
      </c>
      <c r="I3508" s="9" t="s">
        <v>22</v>
      </c>
      <c r="J3508" s="10">
        <v>-59.82</v>
      </c>
      <c r="K3508" s="11">
        <v>4.42</v>
      </c>
      <c r="L3508" s="11">
        <v>4.99</v>
      </c>
      <c r="M3508" s="9" t="s">
        <v>1072</v>
      </c>
      <c r="N3508" s="6" t="s">
        <v>1595</v>
      </c>
      <c r="O3508" s="6" t="s">
        <v>1595</v>
      </c>
      <c r="P3508" s="9" t="s">
        <v>25</v>
      </c>
      <c r="Q3508" s="9" t="s">
        <v>26</v>
      </c>
      <c r="R3508" s="9" t="s">
        <v>76</v>
      </c>
      <c r="S3508" s="7" t="s">
        <v>1665</v>
      </c>
      <c r="T3508" s="9" t="s">
        <v>39</v>
      </c>
      <c r="U3508" s="7">
        <v>0.38</v>
      </c>
      <c r="V3508" s="12">
        <f>C3508+1</f>
        <v>39912</v>
      </c>
      <c r="W3508">
        <f>IF(D3508=' Pivot Tables'!$A$4,1,0)</f>
        <v>0</v>
      </c>
      <c r="X3508">
        <f>IF(AND(LEFT(D3508,4)+1=LEFT(' Pivot Tables'!$A$4,4)+0,RIGHT(LEFT(D3508,7),2)=RIGHT(LEFT(' Pivot Tables'!$A$4,7),2)),1,0)</f>
        <v>0</v>
      </c>
      <c r="Y3508" s="6">
        <f>1/COUNTIF(Таблица1[Order ID],Таблица1[[#This Row],[Order ID]])</f>
        <v>1</v>
      </c>
      <c r="Z3508" s="9">
        <f>1/COUNTIFS(Таблица1[Customer Name],Таблица1[[#This Row],[Customer Name]],Таблица1[Order-Year-Month],Таблица1[[#This Row],[Order-Year-Month]])</f>
        <v>1</v>
      </c>
    </row>
    <row r="3509" spans="1:26" x14ac:dyDescent="0.2">
      <c r="A3509" s="6">
        <v>263</v>
      </c>
      <c r="B3509" s="7">
        <v>1825</v>
      </c>
      <c r="C3509" s="8">
        <f>DATE(2012,12,31)-758</f>
        <v>40516</v>
      </c>
      <c r="D3509" s="8" t="str">
        <f t="shared" si="67"/>
        <v>2010-12 (декабрь 2010)</v>
      </c>
      <c r="E3509" s="9" t="s">
        <v>63</v>
      </c>
      <c r="F3509" s="7">
        <v>22</v>
      </c>
      <c r="G3509" s="7">
        <v>38.26</v>
      </c>
      <c r="H3509" s="7">
        <v>0.03</v>
      </c>
      <c r="I3509" s="9" t="s">
        <v>22</v>
      </c>
      <c r="J3509" s="10">
        <v>-2.34</v>
      </c>
      <c r="K3509" s="11">
        <v>1.76</v>
      </c>
      <c r="L3509" s="11">
        <v>0.7</v>
      </c>
      <c r="M3509" s="9" t="s">
        <v>1072</v>
      </c>
      <c r="N3509" s="6" t="s">
        <v>1595</v>
      </c>
      <c r="O3509" s="6" t="s">
        <v>1595</v>
      </c>
      <c r="P3509" s="9" t="s">
        <v>25</v>
      </c>
      <c r="Q3509" s="9" t="s">
        <v>26</v>
      </c>
      <c r="R3509" s="9" t="s">
        <v>95</v>
      </c>
      <c r="S3509" s="7" t="s">
        <v>387</v>
      </c>
      <c r="T3509" s="9" t="s">
        <v>68</v>
      </c>
      <c r="U3509" s="7">
        <v>0.56000000000000005</v>
      </c>
      <c r="V3509" s="12">
        <f>C3509+2</f>
        <v>40518</v>
      </c>
      <c r="W3509">
        <f>IF(D3509=' Pivot Tables'!$A$4,1,0)</f>
        <v>0</v>
      </c>
      <c r="X3509">
        <f>IF(AND(LEFT(D3509,4)+1=LEFT(' Pivot Tables'!$A$4,4)+0,RIGHT(LEFT(D3509,7),2)=RIGHT(LEFT(' Pivot Tables'!$A$4,7),2)),1,0)</f>
        <v>0</v>
      </c>
      <c r="Y3509" s="6">
        <f>1/COUNTIF(Таблица1[Order ID],Таблица1[[#This Row],[Order ID]])</f>
        <v>1</v>
      </c>
      <c r="Z3509" s="9">
        <f>1/COUNTIFS(Таблица1[Customer Name],Таблица1[[#This Row],[Customer Name]],Таблица1[Order-Year-Month],Таблица1[[#This Row],[Order-Year-Month]])</f>
        <v>1</v>
      </c>
    </row>
    <row r="3510" spans="1:26" x14ac:dyDescent="0.2">
      <c r="A3510" s="6">
        <v>355</v>
      </c>
      <c r="B3510" s="7">
        <v>2467</v>
      </c>
      <c r="C3510" s="8">
        <f>DATE(2012,12,31)-535</f>
        <v>40739</v>
      </c>
      <c r="D3510" s="8" t="str">
        <f t="shared" si="67"/>
        <v>2011-07 (июль 2011)</v>
      </c>
      <c r="E3510" s="9" t="s">
        <v>45</v>
      </c>
      <c r="F3510" s="7">
        <v>30</v>
      </c>
      <c r="G3510" s="7">
        <v>4147.47</v>
      </c>
      <c r="H3510" s="7">
        <v>0.09</v>
      </c>
      <c r="I3510" s="9" t="s">
        <v>31</v>
      </c>
      <c r="J3510" s="10">
        <v>586.61</v>
      </c>
      <c r="K3510" s="11">
        <v>145.44999999999999</v>
      </c>
      <c r="L3510" s="11">
        <v>17.850000000000001</v>
      </c>
      <c r="M3510" s="9" t="s">
        <v>1661</v>
      </c>
      <c r="N3510" s="6" t="s">
        <v>1595</v>
      </c>
      <c r="O3510" s="6" t="s">
        <v>1595</v>
      </c>
      <c r="P3510" s="9" t="s">
        <v>41</v>
      </c>
      <c r="Q3510" s="9" t="s">
        <v>42</v>
      </c>
      <c r="R3510" s="9" t="s">
        <v>210</v>
      </c>
      <c r="S3510" s="7" t="s">
        <v>234</v>
      </c>
      <c r="T3510" s="9" t="s">
        <v>36</v>
      </c>
      <c r="U3510" s="7">
        <v>0.56000000000000005</v>
      </c>
      <c r="V3510" s="12">
        <f>C3510+1</f>
        <v>40740</v>
      </c>
      <c r="W3510">
        <f>IF(D3510=' Pivot Tables'!$A$4,1,0)</f>
        <v>0</v>
      </c>
      <c r="X3510">
        <f>IF(AND(LEFT(D3510,4)+1=LEFT(' Pivot Tables'!$A$4,4)+0,RIGHT(LEFT(D3510,7),2)=RIGHT(LEFT(' Pivot Tables'!$A$4,7),2)),1,0)</f>
        <v>0</v>
      </c>
      <c r="Y3510" s="6">
        <f>1/COUNTIF(Таблица1[Order ID],Таблица1[[#This Row],[Order ID]])</f>
        <v>1</v>
      </c>
      <c r="Z3510" s="9">
        <f>1/COUNTIFS(Таблица1[Customer Name],Таблица1[[#This Row],[Customer Name]],Таблица1[Order-Year-Month],Таблица1[[#This Row],[Order-Year-Month]])</f>
        <v>1</v>
      </c>
    </row>
    <row r="3511" spans="1:26" x14ac:dyDescent="0.2">
      <c r="A3511" s="6">
        <v>446</v>
      </c>
      <c r="B3511" s="7">
        <v>3014</v>
      </c>
      <c r="C3511" s="8">
        <f>DATE(2012,12,31)-63</f>
        <v>41211</v>
      </c>
      <c r="D3511" s="8" t="str">
        <f t="shared" si="67"/>
        <v>2012-10 (октябрь 2012)</v>
      </c>
      <c r="E3511" s="9" t="s">
        <v>45</v>
      </c>
      <c r="F3511" s="7">
        <v>13</v>
      </c>
      <c r="G3511" s="7">
        <v>4002.14</v>
      </c>
      <c r="H3511" s="7">
        <v>0.02</v>
      </c>
      <c r="I3511" s="9" t="s">
        <v>22</v>
      </c>
      <c r="J3511" s="10">
        <v>1314.3889999999999</v>
      </c>
      <c r="K3511" s="11">
        <v>304.99</v>
      </c>
      <c r="L3511" s="11">
        <v>19.989999999999998</v>
      </c>
      <c r="M3511" s="9" t="s">
        <v>1662</v>
      </c>
      <c r="N3511" s="6" t="s">
        <v>1595</v>
      </c>
      <c r="O3511" s="6" t="s">
        <v>1595</v>
      </c>
      <c r="P3511" s="9" t="s">
        <v>33</v>
      </c>
      <c r="Q3511" s="9" t="s">
        <v>26</v>
      </c>
      <c r="R3511" s="9" t="s">
        <v>37</v>
      </c>
      <c r="S3511" s="7" t="s">
        <v>1165</v>
      </c>
      <c r="T3511" s="9" t="s">
        <v>39</v>
      </c>
      <c r="U3511" s="7">
        <v>0.4</v>
      </c>
      <c r="V3511" s="12">
        <f>C3511+2</f>
        <v>41213</v>
      </c>
      <c r="W3511">
        <f>IF(D3511=' Pivot Tables'!$A$4,1,0)</f>
        <v>0</v>
      </c>
      <c r="X3511">
        <f>IF(AND(LEFT(D3511,4)+1=LEFT(' Pivot Tables'!$A$4,4)+0,RIGHT(LEFT(D3511,7),2)=RIGHT(LEFT(' Pivot Tables'!$A$4,7),2)),1,0)</f>
        <v>0</v>
      </c>
      <c r="Y3511" s="6">
        <f>1/COUNTIF(Таблица1[Order ID],Таблица1[[#This Row],[Order ID]])</f>
        <v>1</v>
      </c>
      <c r="Z3511" s="9">
        <f>1/COUNTIFS(Таблица1[Customer Name],Таблица1[[#This Row],[Customer Name]],Таблица1[Order-Year-Month],Таблица1[[#This Row],[Order-Year-Month]])</f>
        <v>1</v>
      </c>
    </row>
    <row r="3512" spans="1:26" x14ac:dyDescent="0.2">
      <c r="A3512" s="6">
        <v>450</v>
      </c>
      <c r="B3512" s="7">
        <v>3073</v>
      </c>
      <c r="C3512" s="8">
        <f>DATE(2012,12,31)-1454</f>
        <v>39820</v>
      </c>
      <c r="D3512" s="8" t="str">
        <f t="shared" si="67"/>
        <v>2009-01 (январь 2009)</v>
      </c>
      <c r="E3512" s="9" t="s">
        <v>63</v>
      </c>
      <c r="F3512" s="7">
        <v>3</v>
      </c>
      <c r="G3512" s="7">
        <v>10.58</v>
      </c>
      <c r="H3512" s="7">
        <v>0.05</v>
      </c>
      <c r="I3512" s="9" t="s">
        <v>22</v>
      </c>
      <c r="J3512" s="10">
        <v>-11.580500000000001</v>
      </c>
      <c r="K3512" s="11">
        <v>1.98</v>
      </c>
      <c r="L3512" s="11">
        <v>4.7699999999999996</v>
      </c>
      <c r="M3512" s="9" t="s">
        <v>1666</v>
      </c>
      <c r="N3512" s="6" t="s">
        <v>1595</v>
      </c>
      <c r="O3512" s="6" t="s">
        <v>1595</v>
      </c>
      <c r="P3512" s="9" t="s">
        <v>60</v>
      </c>
      <c r="Q3512" s="9" t="s">
        <v>26</v>
      </c>
      <c r="R3512" s="9" t="s">
        <v>37</v>
      </c>
      <c r="S3512" s="7" t="s">
        <v>1667</v>
      </c>
      <c r="T3512" s="9" t="s">
        <v>39</v>
      </c>
      <c r="U3512" s="7">
        <v>0.4</v>
      </c>
      <c r="V3512" s="12">
        <f>C3512+1</f>
        <v>39821</v>
      </c>
      <c r="W3512">
        <f>IF(D3512=' Pivot Tables'!$A$4,1,0)</f>
        <v>0</v>
      </c>
      <c r="X3512">
        <f>IF(AND(LEFT(D3512,4)+1=LEFT(' Pivot Tables'!$A$4,4)+0,RIGHT(LEFT(D3512,7),2)=RIGHT(LEFT(' Pivot Tables'!$A$4,7),2)),1,0)</f>
        <v>1</v>
      </c>
      <c r="Y3512" s="6">
        <f>1/COUNTIF(Таблица1[Order ID],Таблица1[[#This Row],[Order ID]])</f>
        <v>0.33333333333333331</v>
      </c>
      <c r="Z3512" s="9">
        <f>1/COUNTIFS(Таблица1[Customer Name],Таблица1[[#This Row],[Customer Name]],Таблица1[Order-Year-Month],Таблица1[[#This Row],[Order-Year-Month]])</f>
        <v>0.33333333333333331</v>
      </c>
    </row>
    <row r="3513" spans="1:26" x14ac:dyDescent="0.2">
      <c r="A3513" s="6">
        <v>451</v>
      </c>
      <c r="B3513" s="7">
        <v>3073</v>
      </c>
      <c r="C3513" s="8">
        <f>DATE(2012,12,31)-1454</f>
        <v>39820</v>
      </c>
      <c r="D3513" s="8" t="str">
        <f t="shared" si="67"/>
        <v>2009-01 (январь 2009)</v>
      </c>
      <c r="E3513" s="9" t="s">
        <v>63</v>
      </c>
      <c r="F3513" s="7">
        <v>3</v>
      </c>
      <c r="G3513" s="7">
        <v>2119.67</v>
      </c>
      <c r="H3513" s="7">
        <v>7.0000000000000007E-2</v>
      </c>
      <c r="I3513" s="9" t="s">
        <v>56</v>
      </c>
      <c r="J3513" s="10">
        <v>-2314.7399999999998</v>
      </c>
      <c r="K3513" s="11">
        <v>699.99</v>
      </c>
      <c r="L3513" s="11">
        <v>24.49</v>
      </c>
      <c r="M3513" s="9" t="s">
        <v>1666</v>
      </c>
      <c r="N3513" s="6" t="s">
        <v>1595</v>
      </c>
      <c r="O3513" s="6" t="s">
        <v>1595</v>
      </c>
      <c r="P3513" s="9" t="s">
        <v>60</v>
      </c>
      <c r="Q3513" s="9" t="s">
        <v>42</v>
      </c>
      <c r="R3513" s="9" t="s">
        <v>99</v>
      </c>
      <c r="S3513" s="7" t="s">
        <v>411</v>
      </c>
      <c r="T3513" s="9" t="s">
        <v>29</v>
      </c>
      <c r="U3513" s="7">
        <v>0.41</v>
      </c>
      <c r="V3513" s="12">
        <f>C3513+1</f>
        <v>39821</v>
      </c>
      <c r="W3513">
        <f>IF(D3513=' Pivot Tables'!$A$4,1,0)</f>
        <v>0</v>
      </c>
      <c r="X3513">
        <f>IF(AND(LEFT(D3513,4)+1=LEFT(' Pivot Tables'!$A$4,4)+0,RIGHT(LEFT(D3513,7),2)=RIGHT(LEFT(' Pivot Tables'!$A$4,7),2)),1,0)</f>
        <v>1</v>
      </c>
      <c r="Y3513" s="6">
        <f>1/COUNTIF(Таблица1[Order ID],Таблица1[[#This Row],[Order ID]])</f>
        <v>0.33333333333333331</v>
      </c>
      <c r="Z3513" s="9">
        <f>1/COUNTIFS(Таблица1[Customer Name],Таблица1[[#This Row],[Customer Name]],Таблица1[Order-Year-Month],Таблица1[[#This Row],[Order-Year-Month]])</f>
        <v>0.33333333333333331</v>
      </c>
    </row>
    <row r="3514" spans="1:26" x14ac:dyDescent="0.2">
      <c r="A3514" s="6">
        <v>452</v>
      </c>
      <c r="B3514" s="7">
        <v>3073</v>
      </c>
      <c r="C3514" s="8">
        <f>DATE(2012,12,31)-1454</f>
        <v>39820</v>
      </c>
      <c r="D3514" s="8" t="str">
        <f t="shared" si="67"/>
        <v>2009-01 (январь 2009)</v>
      </c>
      <c r="E3514" s="9" t="s">
        <v>63</v>
      </c>
      <c r="F3514" s="7">
        <v>7</v>
      </c>
      <c r="G3514" s="7">
        <v>45923.76</v>
      </c>
      <c r="H3514" s="7">
        <v>7.0000000000000007E-2</v>
      </c>
      <c r="I3514" s="9" t="s">
        <v>22</v>
      </c>
      <c r="J3514" s="10">
        <v>102.60999999999694</v>
      </c>
      <c r="K3514" s="11">
        <v>6783.02</v>
      </c>
      <c r="L3514" s="11">
        <v>24.49</v>
      </c>
      <c r="M3514" s="9" t="s">
        <v>1666</v>
      </c>
      <c r="N3514" s="6" t="s">
        <v>1595</v>
      </c>
      <c r="O3514" s="6" t="s">
        <v>1595</v>
      </c>
      <c r="P3514" s="9" t="s">
        <v>60</v>
      </c>
      <c r="Q3514" s="9" t="s">
        <v>42</v>
      </c>
      <c r="R3514" s="9" t="s">
        <v>210</v>
      </c>
      <c r="S3514" s="7" t="s">
        <v>1668</v>
      </c>
      <c r="T3514" s="9" t="s">
        <v>29</v>
      </c>
      <c r="U3514" s="7">
        <v>0.39</v>
      </c>
      <c r="V3514" s="12">
        <f>C3514+1</f>
        <v>39821</v>
      </c>
      <c r="W3514">
        <f>IF(D3514=' Pivot Tables'!$A$4,1,0)</f>
        <v>0</v>
      </c>
      <c r="X3514">
        <f>IF(AND(LEFT(D3514,4)+1=LEFT(' Pivot Tables'!$A$4,4)+0,RIGHT(LEFT(D3514,7),2)=RIGHT(LEFT(' Pivot Tables'!$A$4,7),2)),1,0)</f>
        <v>1</v>
      </c>
      <c r="Y3514" s="6">
        <f>1/COUNTIF(Таблица1[Order ID],Таблица1[[#This Row],[Order ID]])</f>
        <v>0.33333333333333331</v>
      </c>
      <c r="Z3514" s="9">
        <f>1/COUNTIFS(Таблица1[Customer Name],Таблица1[[#This Row],[Customer Name]],Таблица1[Order-Year-Month],Таблица1[[#This Row],[Order-Year-Month]])</f>
        <v>0.33333333333333331</v>
      </c>
    </row>
    <row r="3515" spans="1:26" x14ac:dyDescent="0.2">
      <c r="A3515" s="6">
        <v>464</v>
      </c>
      <c r="B3515" s="7">
        <v>3168</v>
      </c>
      <c r="C3515" s="8">
        <f>DATE(2012,12,31)-337</f>
        <v>40937</v>
      </c>
      <c r="D3515" s="8" t="str">
        <f t="shared" si="67"/>
        <v>2012-01 (январь 2012)</v>
      </c>
      <c r="E3515" s="9" t="s">
        <v>21</v>
      </c>
      <c r="F3515" s="7">
        <v>14</v>
      </c>
      <c r="G3515" s="7">
        <v>80.599999999999994</v>
      </c>
      <c r="H3515" s="7">
        <v>0.04</v>
      </c>
      <c r="I3515" s="9" t="s">
        <v>22</v>
      </c>
      <c r="J3515" s="10">
        <v>-4.2</v>
      </c>
      <c r="K3515" s="11">
        <v>5.28</v>
      </c>
      <c r="L3515" s="11">
        <v>3.96</v>
      </c>
      <c r="M3515" s="9" t="s">
        <v>1666</v>
      </c>
      <c r="N3515" s="6" t="s">
        <v>1595</v>
      </c>
      <c r="O3515" s="6" t="s">
        <v>1595</v>
      </c>
      <c r="P3515" s="9" t="s">
        <v>60</v>
      </c>
      <c r="Q3515" s="9" t="s">
        <v>49</v>
      </c>
      <c r="R3515" s="9" t="s">
        <v>50</v>
      </c>
      <c r="S3515" s="7" t="s">
        <v>1669</v>
      </c>
      <c r="T3515" s="9" t="s">
        <v>68</v>
      </c>
      <c r="U3515" s="7">
        <v>0.54</v>
      </c>
      <c r="V3515" s="12">
        <f>C3515+5</f>
        <v>40942</v>
      </c>
      <c r="W3515">
        <f>IF(D3515=' Pivot Tables'!$A$4,1,0)</f>
        <v>0</v>
      </c>
      <c r="X3515">
        <f>IF(AND(LEFT(D3515,4)+1=LEFT(' Pivot Tables'!$A$4,4)+0,RIGHT(LEFT(D3515,7),2)=RIGHT(LEFT(' Pivot Tables'!$A$4,7),2)),1,0)</f>
        <v>0</v>
      </c>
      <c r="Y3515" s="6">
        <f>1/COUNTIF(Таблица1[Order ID],Таблица1[[#This Row],[Order ID]])</f>
        <v>1</v>
      </c>
      <c r="Z3515" s="9">
        <f>1/COUNTIFS(Таблица1[Customer Name],Таблица1[[#This Row],[Customer Name]],Таблица1[Order-Year-Month],Таблица1[[#This Row],[Order-Year-Month]])</f>
        <v>1</v>
      </c>
    </row>
    <row r="3516" spans="1:26" x14ac:dyDescent="0.2">
      <c r="A3516" s="6">
        <v>469</v>
      </c>
      <c r="B3516" s="7">
        <v>3205</v>
      </c>
      <c r="C3516" s="8">
        <f>DATE(2012,12,31)-265</f>
        <v>41009</v>
      </c>
      <c r="D3516" s="8" t="str">
        <f t="shared" si="67"/>
        <v>2012-04 (апрель 2012)</v>
      </c>
      <c r="E3516" s="9" t="s">
        <v>21</v>
      </c>
      <c r="F3516" s="7">
        <v>8</v>
      </c>
      <c r="G3516" s="7">
        <v>136.61000000000001</v>
      </c>
      <c r="H3516" s="7">
        <v>0.01</v>
      </c>
      <c r="I3516" s="9" t="s">
        <v>22</v>
      </c>
      <c r="J3516" s="10">
        <v>80.430000000000007</v>
      </c>
      <c r="K3516" s="11">
        <v>15.68</v>
      </c>
      <c r="L3516" s="11">
        <v>3.73</v>
      </c>
      <c r="M3516" s="9" t="s">
        <v>1670</v>
      </c>
      <c r="N3516" s="6" t="s">
        <v>1595</v>
      </c>
      <c r="O3516" s="6" t="s">
        <v>1595</v>
      </c>
      <c r="P3516" s="9" t="s">
        <v>33</v>
      </c>
      <c r="Q3516" s="9" t="s">
        <v>49</v>
      </c>
      <c r="R3516" s="9" t="s">
        <v>50</v>
      </c>
      <c r="S3516" s="7" t="s">
        <v>1044</v>
      </c>
      <c r="T3516" s="9" t="s">
        <v>52</v>
      </c>
      <c r="U3516" s="7">
        <v>0.46</v>
      </c>
      <c r="V3516" s="12">
        <f>C3516+0</f>
        <v>41009</v>
      </c>
      <c r="W3516">
        <f>IF(D3516=' Pivot Tables'!$A$4,1,0)</f>
        <v>0</v>
      </c>
      <c r="X3516">
        <f>IF(AND(LEFT(D3516,4)+1=LEFT(' Pivot Tables'!$A$4,4)+0,RIGHT(LEFT(D3516,7),2)=RIGHT(LEFT(' Pivot Tables'!$A$4,7),2)),1,0)</f>
        <v>0</v>
      </c>
      <c r="Y3516" s="6">
        <f>1/COUNTIF(Таблица1[Order ID],Таблица1[[#This Row],[Order ID]])</f>
        <v>0.5</v>
      </c>
      <c r="Z3516" s="9">
        <f>1/COUNTIFS(Таблица1[Customer Name],Таблица1[[#This Row],[Customer Name]],Таблица1[Order-Year-Month],Таблица1[[#This Row],[Order-Year-Month]])</f>
        <v>0.5</v>
      </c>
    </row>
    <row r="3517" spans="1:26" x14ac:dyDescent="0.2">
      <c r="A3517" s="6">
        <v>470</v>
      </c>
      <c r="B3517" s="7">
        <v>3205</v>
      </c>
      <c r="C3517" s="8">
        <f>DATE(2012,12,31)-265</f>
        <v>41009</v>
      </c>
      <c r="D3517" s="8" t="str">
        <f t="shared" si="67"/>
        <v>2012-04 (апрель 2012)</v>
      </c>
      <c r="E3517" s="9" t="s">
        <v>21</v>
      </c>
      <c r="F3517" s="7">
        <v>42</v>
      </c>
      <c r="G3517" s="7">
        <v>2907.63</v>
      </c>
      <c r="H3517" s="7">
        <v>0.04</v>
      </c>
      <c r="I3517" s="9" t="s">
        <v>56</v>
      </c>
      <c r="J3517" s="10">
        <v>54.598050000000008</v>
      </c>
      <c r="K3517" s="11">
        <v>71.37</v>
      </c>
      <c r="L3517" s="11">
        <v>69</v>
      </c>
      <c r="M3517" s="9" t="s">
        <v>1670</v>
      </c>
      <c r="N3517" s="6" t="s">
        <v>1595</v>
      </c>
      <c r="O3517" s="6" t="s">
        <v>1595</v>
      </c>
      <c r="P3517" s="9" t="s">
        <v>33</v>
      </c>
      <c r="Q3517" s="9" t="s">
        <v>49</v>
      </c>
      <c r="R3517" s="9" t="s">
        <v>83</v>
      </c>
      <c r="S3517" s="7" t="s">
        <v>84</v>
      </c>
      <c r="T3517" s="9" t="s">
        <v>29</v>
      </c>
      <c r="U3517" s="7">
        <v>0.68</v>
      </c>
      <c r="V3517" s="12">
        <f>C3517+4</f>
        <v>41013</v>
      </c>
      <c r="W3517">
        <f>IF(D3517=' Pivot Tables'!$A$4,1,0)</f>
        <v>0</v>
      </c>
      <c r="X3517">
        <f>IF(AND(LEFT(D3517,4)+1=LEFT(' Pivot Tables'!$A$4,4)+0,RIGHT(LEFT(D3517,7),2)=RIGHT(LEFT(' Pivot Tables'!$A$4,7),2)),1,0)</f>
        <v>0</v>
      </c>
      <c r="Y3517" s="6">
        <f>1/COUNTIF(Таблица1[Order ID],Таблица1[[#This Row],[Order ID]])</f>
        <v>0.5</v>
      </c>
      <c r="Z3517" s="9">
        <f>1/COUNTIFS(Таблица1[Customer Name],Таблица1[[#This Row],[Customer Name]],Таблица1[Order-Year-Month],Таблица1[[#This Row],[Order-Year-Month]])</f>
        <v>0.5</v>
      </c>
    </row>
    <row r="3518" spans="1:26" x14ac:dyDescent="0.2">
      <c r="A3518" s="6">
        <v>520</v>
      </c>
      <c r="B3518" s="7">
        <v>3559</v>
      </c>
      <c r="C3518" s="8">
        <f>DATE(2012,12,31)-69</f>
        <v>41205</v>
      </c>
      <c r="D3518" s="8" t="str">
        <f t="shared" si="67"/>
        <v>2012-10 (октябрь 2012)</v>
      </c>
      <c r="E3518" s="9" t="s">
        <v>63</v>
      </c>
      <c r="F3518" s="7">
        <v>34</v>
      </c>
      <c r="G3518" s="7">
        <v>136.66999999999999</v>
      </c>
      <c r="H3518" s="7">
        <v>7.0000000000000007E-2</v>
      </c>
      <c r="I3518" s="9" t="s">
        <v>56</v>
      </c>
      <c r="J3518" s="10">
        <v>-117.92100000000001</v>
      </c>
      <c r="K3518" s="11">
        <v>3.81</v>
      </c>
      <c r="L3518" s="11">
        <v>5.44</v>
      </c>
      <c r="M3518" s="9" t="s">
        <v>657</v>
      </c>
      <c r="N3518" s="6" t="s">
        <v>1595</v>
      </c>
      <c r="O3518" s="6" t="s">
        <v>1595</v>
      </c>
      <c r="P3518" s="9" t="s">
        <v>41</v>
      </c>
      <c r="Q3518" s="9" t="s">
        <v>26</v>
      </c>
      <c r="R3518" s="9" t="s">
        <v>37</v>
      </c>
      <c r="S3518" s="7" t="s">
        <v>551</v>
      </c>
      <c r="T3518" s="9" t="s">
        <v>39</v>
      </c>
      <c r="U3518" s="7">
        <v>0.36</v>
      </c>
      <c r="V3518" s="12">
        <f>C3518+1</f>
        <v>41206</v>
      </c>
      <c r="W3518">
        <f>IF(D3518=' Pivot Tables'!$A$4,1,0)</f>
        <v>0</v>
      </c>
      <c r="X3518">
        <f>IF(AND(LEFT(D3518,4)+1=LEFT(' Pivot Tables'!$A$4,4)+0,RIGHT(LEFT(D3518,7),2)=RIGHT(LEFT(' Pivot Tables'!$A$4,7),2)),1,0)</f>
        <v>0</v>
      </c>
      <c r="Y3518" s="6">
        <f>1/COUNTIF(Таблица1[Order ID],Таблица1[[#This Row],[Order ID]])</f>
        <v>1</v>
      </c>
      <c r="Z3518" s="9">
        <f>1/COUNTIFS(Таблица1[Customer Name],Таблица1[[#This Row],[Customer Name]],Таблица1[Order-Year-Month],Таблица1[[#This Row],[Order-Year-Month]])</f>
        <v>1</v>
      </c>
    </row>
    <row r="3519" spans="1:26" x14ac:dyDescent="0.2">
      <c r="A3519" s="6">
        <v>523</v>
      </c>
      <c r="B3519" s="7">
        <v>3586</v>
      </c>
      <c r="C3519" s="8">
        <f>DATE(2012,12,31)-758</f>
        <v>40516</v>
      </c>
      <c r="D3519" s="8" t="str">
        <f t="shared" si="67"/>
        <v>2010-12 (декабрь 2010)</v>
      </c>
      <c r="E3519" s="9" t="s">
        <v>30</v>
      </c>
      <c r="F3519" s="7">
        <v>32</v>
      </c>
      <c r="G3519" s="7">
        <v>383.57</v>
      </c>
      <c r="H3519" s="7">
        <v>0.06</v>
      </c>
      <c r="I3519" s="9" t="s">
        <v>22</v>
      </c>
      <c r="J3519" s="10">
        <v>70.510000000000005</v>
      </c>
      <c r="K3519" s="11">
        <v>12.58</v>
      </c>
      <c r="L3519" s="11">
        <v>5.16</v>
      </c>
      <c r="M3519" s="9" t="s">
        <v>727</v>
      </c>
      <c r="N3519" s="6" t="s">
        <v>1595</v>
      </c>
      <c r="O3519" s="6" t="s">
        <v>1595</v>
      </c>
      <c r="P3519" s="9" t="s">
        <v>60</v>
      </c>
      <c r="Q3519" s="9" t="s">
        <v>49</v>
      </c>
      <c r="R3519" s="9" t="s">
        <v>50</v>
      </c>
      <c r="S3519" s="7" t="s">
        <v>239</v>
      </c>
      <c r="T3519" s="9" t="s">
        <v>39</v>
      </c>
      <c r="U3519" s="7">
        <v>0.43</v>
      </c>
      <c r="V3519" s="12">
        <f>C3519+1</f>
        <v>40517</v>
      </c>
      <c r="W3519">
        <f>IF(D3519=' Pivot Tables'!$A$4,1,0)</f>
        <v>0</v>
      </c>
      <c r="X3519">
        <f>IF(AND(LEFT(D3519,4)+1=LEFT(' Pivot Tables'!$A$4,4)+0,RIGHT(LEFT(D3519,7),2)=RIGHT(LEFT(' Pivot Tables'!$A$4,7),2)),1,0)</f>
        <v>0</v>
      </c>
      <c r="Y3519" s="6">
        <f>1/COUNTIF(Таблица1[Order ID],Таблица1[[#This Row],[Order ID]])</f>
        <v>0.5</v>
      </c>
      <c r="Z3519" s="9">
        <f>1/COUNTIFS(Таблица1[Customer Name],Таблица1[[#This Row],[Customer Name]],Таблица1[Order-Year-Month],Таблица1[[#This Row],[Order-Year-Month]])</f>
        <v>0.5</v>
      </c>
    </row>
    <row r="3520" spans="1:26" x14ac:dyDescent="0.2">
      <c r="A3520" s="6">
        <v>524</v>
      </c>
      <c r="B3520" s="7">
        <v>3586</v>
      </c>
      <c r="C3520" s="8">
        <f>DATE(2012,12,31)-758</f>
        <v>40516</v>
      </c>
      <c r="D3520" s="8" t="str">
        <f t="shared" si="67"/>
        <v>2010-12 (декабрь 2010)</v>
      </c>
      <c r="E3520" s="9" t="s">
        <v>30</v>
      </c>
      <c r="F3520" s="7">
        <v>31</v>
      </c>
      <c r="G3520" s="7">
        <v>461.1</v>
      </c>
      <c r="H3520" s="7">
        <v>0.05</v>
      </c>
      <c r="I3520" s="9" t="s">
        <v>22</v>
      </c>
      <c r="J3520" s="10">
        <v>116.96</v>
      </c>
      <c r="K3520" s="11">
        <v>14.34</v>
      </c>
      <c r="L3520" s="11">
        <v>5</v>
      </c>
      <c r="M3520" s="9" t="s">
        <v>727</v>
      </c>
      <c r="N3520" s="6" t="s">
        <v>1595</v>
      </c>
      <c r="O3520" s="6" t="s">
        <v>1595</v>
      </c>
      <c r="P3520" s="9" t="s">
        <v>60</v>
      </c>
      <c r="Q3520" s="9" t="s">
        <v>49</v>
      </c>
      <c r="R3520" s="9" t="s">
        <v>50</v>
      </c>
      <c r="S3520" s="7" t="s">
        <v>706</v>
      </c>
      <c r="T3520" s="9" t="s">
        <v>52</v>
      </c>
      <c r="U3520" s="7">
        <v>0.49</v>
      </c>
      <c r="V3520" s="12">
        <f>C3520+2</f>
        <v>40518</v>
      </c>
      <c r="W3520">
        <f>IF(D3520=' Pivot Tables'!$A$4,1,0)</f>
        <v>0</v>
      </c>
      <c r="X3520">
        <f>IF(AND(LEFT(D3520,4)+1=LEFT(' Pivot Tables'!$A$4,4)+0,RIGHT(LEFT(D3520,7),2)=RIGHT(LEFT(' Pivot Tables'!$A$4,7),2)),1,0)</f>
        <v>0</v>
      </c>
      <c r="Y3520" s="6">
        <f>1/COUNTIF(Таблица1[Order ID],Таблица1[[#This Row],[Order ID]])</f>
        <v>0.5</v>
      </c>
      <c r="Z3520" s="9">
        <f>1/COUNTIFS(Таблица1[Customer Name],Таблица1[[#This Row],[Customer Name]],Таблица1[Order-Year-Month],Таблица1[[#This Row],[Order-Year-Month]])</f>
        <v>0.5</v>
      </c>
    </row>
    <row r="3521" spans="1:26" x14ac:dyDescent="0.2">
      <c r="A3521" s="6">
        <v>554</v>
      </c>
      <c r="B3521" s="7">
        <v>3750</v>
      </c>
      <c r="C3521" s="8">
        <f>DATE(2012,12,31)-612</f>
        <v>40662</v>
      </c>
      <c r="D3521" s="8" t="str">
        <f t="shared" si="67"/>
        <v>2011-04 (апрель 2011)</v>
      </c>
      <c r="E3521" s="9" t="s">
        <v>63</v>
      </c>
      <c r="F3521" s="7">
        <v>12</v>
      </c>
      <c r="G3521" s="7">
        <v>76.16</v>
      </c>
      <c r="H3521" s="7">
        <v>0.04</v>
      </c>
      <c r="I3521" s="9" t="s">
        <v>22</v>
      </c>
      <c r="J3521" s="10">
        <v>-24.03</v>
      </c>
      <c r="K3521" s="11">
        <v>5.98</v>
      </c>
      <c r="L3521" s="11">
        <v>5.2</v>
      </c>
      <c r="M3521" s="9" t="s">
        <v>1072</v>
      </c>
      <c r="N3521" s="6" t="s">
        <v>1595</v>
      </c>
      <c r="O3521" s="6" t="s">
        <v>1595</v>
      </c>
      <c r="P3521" s="9" t="s">
        <v>25</v>
      </c>
      <c r="Q3521" s="9" t="s">
        <v>26</v>
      </c>
      <c r="R3521" s="9" t="s">
        <v>61</v>
      </c>
      <c r="S3521" s="7" t="s">
        <v>594</v>
      </c>
      <c r="T3521" s="9" t="s">
        <v>39</v>
      </c>
      <c r="U3521" s="7">
        <v>0.36</v>
      </c>
      <c r="V3521" s="12">
        <f>C3521+2</f>
        <v>40664</v>
      </c>
      <c r="W3521">
        <f>IF(D3521=' Pivot Tables'!$A$4,1,0)</f>
        <v>0</v>
      </c>
      <c r="X3521">
        <f>IF(AND(LEFT(D3521,4)+1=LEFT(' Pivot Tables'!$A$4,4)+0,RIGHT(LEFT(D3521,7),2)=RIGHT(LEFT(' Pivot Tables'!$A$4,7),2)),1,0)</f>
        <v>0</v>
      </c>
      <c r="Y3521" s="6">
        <f>1/COUNTIF(Таблица1[Order ID],Таблица1[[#This Row],[Order ID]])</f>
        <v>1</v>
      </c>
      <c r="Z3521" s="9">
        <f>1/COUNTIFS(Таблица1[Customer Name],Таблица1[[#This Row],[Customer Name]],Таблица1[Order-Year-Month],Таблица1[[#This Row],[Order-Year-Month]])</f>
        <v>1</v>
      </c>
    </row>
    <row r="3522" spans="1:26" x14ac:dyDescent="0.2">
      <c r="A3522" s="6">
        <v>556</v>
      </c>
      <c r="B3522" s="7">
        <v>3778</v>
      </c>
      <c r="C3522" s="8">
        <f>DATE(2012,12,31)-951</f>
        <v>40323</v>
      </c>
      <c r="D3522" s="8" t="str">
        <f t="shared" si="67"/>
        <v>2010-05 (май 2010)</v>
      </c>
      <c r="E3522" s="9" t="s">
        <v>78</v>
      </c>
      <c r="F3522" s="7">
        <v>34</v>
      </c>
      <c r="G3522" s="7">
        <v>268.08999999999997</v>
      </c>
      <c r="H3522" s="7">
        <v>7.0000000000000007E-2</v>
      </c>
      <c r="I3522" s="9" t="s">
        <v>22</v>
      </c>
      <c r="J3522" s="10">
        <v>-63.76</v>
      </c>
      <c r="K3522" s="11">
        <v>8.32</v>
      </c>
      <c r="L3522" s="11">
        <v>2.38</v>
      </c>
      <c r="M3522" s="9" t="s">
        <v>1671</v>
      </c>
      <c r="N3522" s="6" t="s">
        <v>1595</v>
      </c>
      <c r="O3522" s="6" t="s">
        <v>1595</v>
      </c>
      <c r="P3522" s="9" t="s">
        <v>60</v>
      </c>
      <c r="Q3522" s="9" t="s">
        <v>42</v>
      </c>
      <c r="R3522" s="9" t="s">
        <v>70</v>
      </c>
      <c r="S3522" s="7" t="s">
        <v>1584</v>
      </c>
      <c r="T3522" s="9" t="s">
        <v>52</v>
      </c>
      <c r="U3522" s="7">
        <v>0.74</v>
      </c>
      <c r="V3522" s="12">
        <f>C3522+2</f>
        <v>40325</v>
      </c>
      <c r="W3522">
        <f>IF(D3522=' Pivot Tables'!$A$4,1,0)</f>
        <v>0</v>
      </c>
      <c r="X3522">
        <f>IF(AND(LEFT(D3522,4)+1=LEFT(' Pivot Tables'!$A$4,4)+0,RIGHT(LEFT(D3522,7),2)=RIGHT(LEFT(' Pivot Tables'!$A$4,7),2)),1,0)</f>
        <v>0</v>
      </c>
      <c r="Y3522" s="6">
        <f>1/COUNTIF(Таблица1[Order ID],Таблица1[[#This Row],[Order ID]])</f>
        <v>0.25</v>
      </c>
      <c r="Z3522" s="9">
        <f>1/COUNTIFS(Таблица1[Customer Name],Таблица1[[#This Row],[Customer Name]],Таблица1[Order-Year-Month],Таблица1[[#This Row],[Order-Year-Month]])</f>
        <v>0.25</v>
      </c>
    </row>
    <row r="3523" spans="1:26" x14ac:dyDescent="0.2">
      <c r="A3523" s="6">
        <v>557</v>
      </c>
      <c r="B3523" s="7">
        <v>3778</v>
      </c>
      <c r="C3523" s="8">
        <f>DATE(2012,12,31)-951</f>
        <v>40323</v>
      </c>
      <c r="D3523" s="8" t="str">
        <f t="shared" ref="D3523:D3586" si="68">TEXT(C3523,"гггг-ММ (ММММ гггг)")</f>
        <v>2010-05 (май 2010)</v>
      </c>
      <c r="E3523" s="9" t="s">
        <v>78</v>
      </c>
      <c r="F3523" s="7">
        <v>12</v>
      </c>
      <c r="G3523" s="7">
        <v>557.03</v>
      </c>
      <c r="H3523" s="7">
        <v>0.04</v>
      </c>
      <c r="I3523" s="9" t="s">
        <v>22</v>
      </c>
      <c r="J3523" s="10">
        <v>8.9499999999999993</v>
      </c>
      <c r="K3523" s="11">
        <v>45.19</v>
      </c>
      <c r="L3523" s="11">
        <v>1.99</v>
      </c>
      <c r="M3523" s="9" t="s">
        <v>1671</v>
      </c>
      <c r="N3523" s="6" t="s">
        <v>1595</v>
      </c>
      <c r="O3523" s="6" t="s">
        <v>1595</v>
      </c>
      <c r="P3523" s="9" t="s">
        <v>60</v>
      </c>
      <c r="Q3523" s="9" t="s">
        <v>42</v>
      </c>
      <c r="R3523" s="9" t="s">
        <v>70</v>
      </c>
      <c r="S3523" s="7" t="s">
        <v>379</v>
      </c>
      <c r="T3523" s="9" t="s">
        <v>52</v>
      </c>
      <c r="U3523" s="7">
        <v>0.55000000000000004</v>
      </c>
      <c r="V3523" s="12">
        <f>C3523+1</f>
        <v>40324</v>
      </c>
      <c r="W3523">
        <f>IF(D3523=' Pivot Tables'!$A$4,1,0)</f>
        <v>0</v>
      </c>
      <c r="X3523">
        <f>IF(AND(LEFT(D3523,4)+1=LEFT(' Pivot Tables'!$A$4,4)+0,RIGHT(LEFT(D3523,7),2)=RIGHT(LEFT(' Pivot Tables'!$A$4,7),2)),1,0)</f>
        <v>0</v>
      </c>
      <c r="Y3523" s="6">
        <f>1/COUNTIF(Таблица1[Order ID],Таблица1[[#This Row],[Order ID]])</f>
        <v>0.25</v>
      </c>
      <c r="Z3523" s="9">
        <f>1/COUNTIFS(Таблица1[Customer Name],Таблица1[[#This Row],[Customer Name]],Таблица1[Order-Year-Month],Таблица1[[#This Row],[Order-Year-Month]])</f>
        <v>0.25</v>
      </c>
    </row>
    <row r="3524" spans="1:26" x14ac:dyDescent="0.2">
      <c r="A3524" s="6">
        <v>558</v>
      </c>
      <c r="B3524" s="7">
        <v>3778</v>
      </c>
      <c r="C3524" s="8">
        <f>DATE(2012,12,31)-951</f>
        <v>40323</v>
      </c>
      <c r="D3524" s="8" t="str">
        <f t="shared" si="68"/>
        <v>2010-05 (май 2010)</v>
      </c>
      <c r="E3524" s="9" t="s">
        <v>78</v>
      </c>
      <c r="F3524" s="7">
        <v>3</v>
      </c>
      <c r="G3524" s="7">
        <v>26.53</v>
      </c>
      <c r="H3524" s="7">
        <v>0.05</v>
      </c>
      <c r="I3524" s="9" t="s">
        <v>22</v>
      </c>
      <c r="J3524" s="10">
        <v>-15</v>
      </c>
      <c r="K3524" s="11">
        <v>6.68</v>
      </c>
      <c r="L3524" s="11">
        <v>6.92</v>
      </c>
      <c r="M3524" s="9" t="s">
        <v>1671</v>
      </c>
      <c r="N3524" s="6" t="s">
        <v>1595</v>
      </c>
      <c r="O3524" s="6" t="s">
        <v>1595</v>
      </c>
      <c r="P3524" s="9" t="s">
        <v>60</v>
      </c>
      <c r="Q3524" s="9" t="s">
        <v>26</v>
      </c>
      <c r="R3524" s="9" t="s">
        <v>61</v>
      </c>
      <c r="S3524" s="7" t="s">
        <v>678</v>
      </c>
      <c r="T3524" s="9" t="s">
        <v>39</v>
      </c>
      <c r="U3524" s="7">
        <v>0.37</v>
      </c>
      <c r="V3524" s="12">
        <f>C3524+1</f>
        <v>40324</v>
      </c>
      <c r="W3524">
        <f>IF(D3524=' Pivot Tables'!$A$4,1,0)</f>
        <v>0</v>
      </c>
      <c r="X3524">
        <f>IF(AND(LEFT(D3524,4)+1=LEFT(' Pivot Tables'!$A$4,4)+0,RIGHT(LEFT(D3524,7),2)=RIGHT(LEFT(' Pivot Tables'!$A$4,7),2)),1,0)</f>
        <v>0</v>
      </c>
      <c r="Y3524" s="6">
        <f>1/COUNTIF(Таблица1[Order ID],Таблица1[[#This Row],[Order ID]])</f>
        <v>0.25</v>
      </c>
      <c r="Z3524" s="9">
        <f>1/COUNTIFS(Таблица1[Customer Name],Таблица1[[#This Row],[Customer Name]],Таблица1[Order-Year-Month],Таблица1[[#This Row],[Order-Year-Month]])</f>
        <v>0.25</v>
      </c>
    </row>
    <row r="3525" spans="1:26" x14ac:dyDescent="0.2">
      <c r="A3525" s="6">
        <v>559</v>
      </c>
      <c r="B3525" s="7">
        <v>3778</v>
      </c>
      <c r="C3525" s="8">
        <f>DATE(2012,12,31)-951</f>
        <v>40323</v>
      </c>
      <c r="D3525" s="8" t="str">
        <f t="shared" si="68"/>
        <v>2010-05 (май 2010)</v>
      </c>
      <c r="E3525" s="9" t="s">
        <v>78</v>
      </c>
      <c r="F3525" s="7">
        <v>34</v>
      </c>
      <c r="G3525" s="7">
        <v>5133.9234999999999</v>
      </c>
      <c r="H3525" s="7">
        <v>0.02</v>
      </c>
      <c r="I3525" s="9" t="s">
        <v>22</v>
      </c>
      <c r="J3525" s="10">
        <v>1313.9460000000001</v>
      </c>
      <c r="K3525" s="11">
        <v>175.99</v>
      </c>
      <c r="L3525" s="11">
        <v>4.99</v>
      </c>
      <c r="M3525" s="9" t="s">
        <v>1671</v>
      </c>
      <c r="N3525" s="6" t="s">
        <v>1595</v>
      </c>
      <c r="O3525" s="6" t="s">
        <v>1595</v>
      </c>
      <c r="P3525" s="9" t="s">
        <v>60</v>
      </c>
      <c r="Q3525" s="9" t="s">
        <v>42</v>
      </c>
      <c r="R3525" s="9" t="s">
        <v>43</v>
      </c>
      <c r="S3525" s="7" t="s">
        <v>771</v>
      </c>
      <c r="T3525" s="9" t="s">
        <v>39</v>
      </c>
      <c r="U3525" s="7">
        <v>0.59</v>
      </c>
      <c r="V3525" s="12">
        <f>C3525+1</f>
        <v>40324</v>
      </c>
      <c r="W3525">
        <f>IF(D3525=' Pivot Tables'!$A$4,1,0)</f>
        <v>0</v>
      </c>
      <c r="X3525">
        <f>IF(AND(LEFT(D3525,4)+1=LEFT(' Pivot Tables'!$A$4,4)+0,RIGHT(LEFT(D3525,7),2)=RIGHT(LEFT(' Pivot Tables'!$A$4,7),2)),1,0)</f>
        <v>0</v>
      </c>
      <c r="Y3525" s="6">
        <f>1/COUNTIF(Таблица1[Order ID],Таблица1[[#This Row],[Order ID]])</f>
        <v>0.25</v>
      </c>
      <c r="Z3525" s="9">
        <f>1/COUNTIFS(Таблица1[Customer Name],Таблица1[[#This Row],[Customer Name]],Таблица1[Order-Year-Month],Таблица1[[#This Row],[Order-Year-Month]])</f>
        <v>0.25</v>
      </c>
    </row>
    <row r="3526" spans="1:26" x14ac:dyDescent="0.2">
      <c r="A3526" s="6">
        <v>566</v>
      </c>
      <c r="B3526" s="7">
        <v>3841</v>
      </c>
      <c r="C3526" s="8">
        <f>DATE(2012,12,31)-1184</f>
        <v>40090</v>
      </c>
      <c r="D3526" s="8" t="str">
        <f t="shared" si="68"/>
        <v>2009-10 (октябрь 2009)</v>
      </c>
      <c r="E3526" s="9" t="s">
        <v>45</v>
      </c>
      <c r="F3526" s="7">
        <v>19</v>
      </c>
      <c r="G3526" s="7">
        <v>1184.45</v>
      </c>
      <c r="H3526" s="7">
        <v>0.02</v>
      </c>
      <c r="I3526" s="9" t="s">
        <v>22</v>
      </c>
      <c r="J3526" s="10">
        <v>-552.1</v>
      </c>
      <c r="K3526" s="11">
        <v>60.98</v>
      </c>
      <c r="L3526" s="11">
        <v>49</v>
      </c>
      <c r="M3526" s="9" t="s">
        <v>1672</v>
      </c>
      <c r="N3526" s="6" t="s">
        <v>1595</v>
      </c>
      <c r="O3526" s="6" t="s">
        <v>1595</v>
      </c>
      <c r="P3526" s="9" t="s">
        <v>25</v>
      </c>
      <c r="Q3526" s="9" t="s">
        <v>26</v>
      </c>
      <c r="R3526" s="9" t="s">
        <v>34</v>
      </c>
      <c r="S3526" s="7" t="s">
        <v>472</v>
      </c>
      <c r="T3526" s="9" t="s">
        <v>29</v>
      </c>
      <c r="U3526" s="7">
        <v>0.59</v>
      </c>
      <c r="V3526" s="12">
        <f>C3526+2</f>
        <v>40092</v>
      </c>
      <c r="W3526">
        <f>IF(D3526=' Pivot Tables'!$A$4,1,0)</f>
        <v>0</v>
      </c>
      <c r="X3526">
        <f>IF(AND(LEFT(D3526,4)+1=LEFT(' Pivot Tables'!$A$4,4)+0,RIGHT(LEFT(D3526,7),2)=RIGHT(LEFT(' Pivot Tables'!$A$4,7),2)),1,0)</f>
        <v>0</v>
      </c>
      <c r="Y3526" s="6">
        <f>1/COUNTIF(Таблица1[Order ID],Таблица1[[#This Row],[Order ID]])</f>
        <v>0.33333333333333331</v>
      </c>
      <c r="Z3526" s="9">
        <f>1/COUNTIFS(Таблица1[Customer Name],Таблица1[[#This Row],[Customer Name]],Таблица1[Order-Year-Month],Таблица1[[#This Row],[Order-Year-Month]])</f>
        <v>0.33333333333333331</v>
      </c>
    </row>
    <row r="3527" spans="1:26" x14ac:dyDescent="0.2">
      <c r="A3527" s="6">
        <v>567</v>
      </c>
      <c r="B3527" s="7">
        <v>3841</v>
      </c>
      <c r="C3527" s="8">
        <f>DATE(2012,12,31)-1184</f>
        <v>40090</v>
      </c>
      <c r="D3527" s="8" t="str">
        <f t="shared" si="68"/>
        <v>2009-10 (октябрь 2009)</v>
      </c>
      <c r="E3527" s="9" t="s">
        <v>45</v>
      </c>
      <c r="F3527" s="7">
        <v>20</v>
      </c>
      <c r="G3527" s="7">
        <v>25409.63</v>
      </c>
      <c r="H3527" s="7">
        <v>0.02</v>
      </c>
      <c r="I3527" s="9" t="s">
        <v>22</v>
      </c>
      <c r="J3527" s="10">
        <v>11535.281999999999</v>
      </c>
      <c r="K3527" s="11">
        <v>1270.99</v>
      </c>
      <c r="L3527" s="11">
        <v>19.989999999999998</v>
      </c>
      <c r="M3527" s="9" t="s">
        <v>1672</v>
      </c>
      <c r="N3527" s="6" t="s">
        <v>1595</v>
      </c>
      <c r="O3527" s="6" t="s">
        <v>1595</v>
      </c>
      <c r="P3527" s="9" t="s">
        <v>25</v>
      </c>
      <c r="Q3527" s="9" t="s">
        <v>26</v>
      </c>
      <c r="R3527" s="9" t="s">
        <v>37</v>
      </c>
      <c r="S3527" s="7" t="s">
        <v>273</v>
      </c>
      <c r="T3527" s="9" t="s">
        <v>39</v>
      </c>
      <c r="U3527" s="7">
        <v>0.35</v>
      </c>
      <c r="V3527" s="12">
        <f>C3527+2</f>
        <v>40092</v>
      </c>
      <c r="W3527">
        <f>IF(D3527=' Pivot Tables'!$A$4,1,0)</f>
        <v>0</v>
      </c>
      <c r="X3527">
        <f>IF(AND(LEFT(D3527,4)+1=LEFT(' Pivot Tables'!$A$4,4)+0,RIGHT(LEFT(D3527,7),2)=RIGHT(LEFT(' Pivot Tables'!$A$4,7),2)),1,0)</f>
        <v>0</v>
      </c>
      <c r="Y3527" s="6">
        <f>1/COUNTIF(Таблица1[Order ID],Таблица1[[#This Row],[Order ID]])</f>
        <v>0.33333333333333331</v>
      </c>
      <c r="Z3527" s="9">
        <f>1/COUNTIFS(Таблица1[Customer Name],Таблица1[[#This Row],[Customer Name]],Таблица1[Order-Year-Month],Таблица1[[#This Row],[Order-Year-Month]])</f>
        <v>0.33333333333333331</v>
      </c>
    </row>
    <row r="3528" spans="1:26" x14ac:dyDescent="0.2">
      <c r="A3528" s="6">
        <v>568</v>
      </c>
      <c r="B3528" s="7">
        <v>3841</v>
      </c>
      <c r="C3528" s="8">
        <f>DATE(2012,12,31)-1184</f>
        <v>40090</v>
      </c>
      <c r="D3528" s="8" t="str">
        <f t="shared" si="68"/>
        <v>2009-10 (октябрь 2009)</v>
      </c>
      <c r="E3528" s="9" t="s">
        <v>45</v>
      </c>
      <c r="F3528" s="7">
        <v>43</v>
      </c>
      <c r="G3528" s="7">
        <v>7308.2829999999994</v>
      </c>
      <c r="H3528" s="7">
        <v>0.05</v>
      </c>
      <c r="I3528" s="9" t="s">
        <v>56</v>
      </c>
      <c r="J3528" s="10">
        <v>1680.2280000000001</v>
      </c>
      <c r="K3528" s="11">
        <v>205.99</v>
      </c>
      <c r="L3528" s="11">
        <v>8.99</v>
      </c>
      <c r="M3528" s="9" t="s">
        <v>1672</v>
      </c>
      <c r="N3528" s="6" t="s">
        <v>1595</v>
      </c>
      <c r="O3528" s="6" t="s">
        <v>1595</v>
      </c>
      <c r="P3528" s="9" t="s">
        <v>25</v>
      </c>
      <c r="Q3528" s="9" t="s">
        <v>42</v>
      </c>
      <c r="R3528" s="9" t="s">
        <v>43</v>
      </c>
      <c r="S3528" s="7" t="s">
        <v>1021</v>
      </c>
      <c r="T3528" s="9" t="s">
        <v>39</v>
      </c>
      <c r="U3528" s="7">
        <v>0.6</v>
      </c>
      <c r="V3528" s="12">
        <f>C3528+2</f>
        <v>40092</v>
      </c>
      <c r="W3528">
        <f>IF(D3528=' Pivot Tables'!$A$4,1,0)</f>
        <v>0</v>
      </c>
      <c r="X3528">
        <f>IF(AND(LEFT(D3528,4)+1=LEFT(' Pivot Tables'!$A$4,4)+0,RIGHT(LEFT(D3528,7),2)=RIGHT(LEFT(' Pivot Tables'!$A$4,7),2)),1,0)</f>
        <v>0</v>
      </c>
      <c r="Y3528" s="6">
        <f>1/COUNTIF(Таблица1[Order ID],Таблица1[[#This Row],[Order ID]])</f>
        <v>0.33333333333333331</v>
      </c>
      <c r="Z3528" s="9">
        <f>1/COUNTIFS(Таблица1[Customer Name],Таблица1[[#This Row],[Customer Name]],Таблица1[Order-Year-Month],Таблица1[[#This Row],[Order-Year-Month]])</f>
        <v>0.33333333333333331</v>
      </c>
    </row>
    <row r="3529" spans="1:26" x14ac:dyDescent="0.2">
      <c r="A3529" s="6">
        <v>584</v>
      </c>
      <c r="B3529" s="7">
        <v>4004</v>
      </c>
      <c r="C3529" s="8">
        <f>DATE(2012,12,31)-970</f>
        <v>40304</v>
      </c>
      <c r="D3529" s="8" t="str">
        <f t="shared" si="68"/>
        <v>2010-05 (май 2010)</v>
      </c>
      <c r="E3529" s="9" t="s">
        <v>63</v>
      </c>
      <c r="F3529" s="7">
        <v>14</v>
      </c>
      <c r="G3529" s="7">
        <v>63.52</v>
      </c>
      <c r="H3529" s="7">
        <v>0.1</v>
      </c>
      <c r="I3529" s="9" t="s">
        <v>22</v>
      </c>
      <c r="J3529" s="10">
        <v>8.66</v>
      </c>
      <c r="K3529" s="11">
        <v>4.84</v>
      </c>
      <c r="L3529" s="11">
        <v>0.71</v>
      </c>
      <c r="M3529" s="9" t="s">
        <v>1673</v>
      </c>
      <c r="N3529" s="6" t="s">
        <v>1595</v>
      </c>
      <c r="O3529" s="6" t="s">
        <v>1595</v>
      </c>
      <c r="P3529" s="9" t="s">
        <v>41</v>
      </c>
      <c r="Q3529" s="9" t="s">
        <v>26</v>
      </c>
      <c r="R3529" s="9" t="s">
        <v>95</v>
      </c>
      <c r="S3529" s="7" t="s">
        <v>633</v>
      </c>
      <c r="T3529" s="9" t="s">
        <v>68</v>
      </c>
      <c r="U3529" s="7">
        <v>0.52</v>
      </c>
      <c r="V3529" s="12">
        <f>C3529+3</f>
        <v>40307</v>
      </c>
      <c r="W3529">
        <f>IF(D3529=' Pivot Tables'!$A$4,1,0)</f>
        <v>0</v>
      </c>
      <c r="X3529">
        <f>IF(AND(LEFT(D3529,4)+1=LEFT(' Pivot Tables'!$A$4,4)+0,RIGHT(LEFT(D3529,7),2)=RIGHT(LEFT(' Pivot Tables'!$A$4,7),2)),1,0)</f>
        <v>0</v>
      </c>
      <c r="Y3529" s="6">
        <f>1/COUNTIF(Таблица1[Order ID],Таблица1[[#This Row],[Order ID]])</f>
        <v>0.5</v>
      </c>
      <c r="Z3529" s="9">
        <f>1/COUNTIFS(Таблица1[Customer Name],Таблица1[[#This Row],[Customer Name]],Таблица1[Order-Year-Month],Таблица1[[#This Row],[Order-Year-Month]])</f>
        <v>0.5</v>
      </c>
    </row>
    <row r="3530" spans="1:26" x14ac:dyDescent="0.2">
      <c r="A3530" s="6">
        <v>585</v>
      </c>
      <c r="B3530" s="7">
        <v>4004</v>
      </c>
      <c r="C3530" s="8">
        <f>DATE(2012,12,31)-970</f>
        <v>40304</v>
      </c>
      <c r="D3530" s="8" t="str">
        <f t="shared" si="68"/>
        <v>2010-05 (май 2010)</v>
      </c>
      <c r="E3530" s="9" t="s">
        <v>63</v>
      </c>
      <c r="F3530" s="7">
        <v>44</v>
      </c>
      <c r="G3530" s="7">
        <v>1512.25</v>
      </c>
      <c r="H3530" s="7">
        <v>0.05</v>
      </c>
      <c r="I3530" s="9" t="s">
        <v>22</v>
      </c>
      <c r="J3530" s="10">
        <v>195.48</v>
      </c>
      <c r="K3530" s="11">
        <v>34.58</v>
      </c>
      <c r="L3530" s="11">
        <v>8.99</v>
      </c>
      <c r="M3530" s="9" t="s">
        <v>1673</v>
      </c>
      <c r="N3530" s="6" t="s">
        <v>1595</v>
      </c>
      <c r="O3530" s="6" t="s">
        <v>1595</v>
      </c>
      <c r="P3530" s="9" t="s">
        <v>41</v>
      </c>
      <c r="Q3530" s="9" t="s">
        <v>26</v>
      </c>
      <c r="R3530" s="9" t="s">
        <v>95</v>
      </c>
      <c r="S3530" s="7" t="s">
        <v>713</v>
      </c>
      <c r="T3530" s="9" t="s">
        <v>52</v>
      </c>
      <c r="U3530" s="7">
        <v>0.56000000000000005</v>
      </c>
      <c r="V3530" s="12">
        <f>C3530+1</f>
        <v>40305</v>
      </c>
      <c r="W3530">
        <f>IF(D3530=' Pivot Tables'!$A$4,1,0)</f>
        <v>0</v>
      </c>
      <c r="X3530">
        <f>IF(AND(LEFT(D3530,4)+1=LEFT(' Pivot Tables'!$A$4,4)+0,RIGHT(LEFT(D3530,7),2)=RIGHT(LEFT(' Pivot Tables'!$A$4,7),2)),1,0)</f>
        <v>0</v>
      </c>
      <c r="Y3530" s="6">
        <f>1/COUNTIF(Таблица1[Order ID],Таблица1[[#This Row],[Order ID]])</f>
        <v>0.5</v>
      </c>
      <c r="Z3530" s="9">
        <f>1/COUNTIFS(Таблица1[Customer Name],Таблица1[[#This Row],[Customer Name]],Таблица1[Order-Year-Month],Таблица1[[#This Row],[Order-Year-Month]])</f>
        <v>0.5</v>
      </c>
    </row>
    <row r="3531" spans="1:26" x14ac:dyDescent="0.2">
      <c r="A3531" s="6">
        <v>599</v>
      </c>
      <c r="B3531" s="7">
        <v>4096</v>
      </c>
      <c r="C3531" s="8">
        <f>DATE(2012,12,31)-182</f>
        <v>41092</v>
      </c>
      <c r="D3531" s="8" t="str">
        <f t="shared" si="68"/>
        <v>2012-07 (июль 2012)</v>
      </c>
      <c r="E3531" s="9" t="s">
        <v>45</v>
      </c>
      <c r="F3531" s="7">
        <v>21</v>
      </c>
      <c r="G3531" s="7">
        <v>128.28</v>
      </c>
      <c r="H3531" s="7">
        <v>0.04</v>
      </c>
      <c r="I3531" s="9" t="s">
        <v>22</v>
      </c>
      <c r="J3531" s="10">
        <v>53.58</v>
      </c>
      <c r="K3531" s="11">
        <v>6.3</v>
      </c>
      <c r="L3531" s="11">
        <v>0.5</v>
      </c>
      <c r="M3531" s="9" t="s">
        <v>969</v>
      </c>
      <c r="N3531" s="6" t="s">
        <v>1595</v>
      </c>
      <c r="O3531" s="6" t="s">
        <v>1595</v>
      </c>
      <c r="P3531" s="9" t="s">
        <v>41</v>
      </c>
      <c r="Q3531" s="9" t="s">
        <v>26</v>
      </c>
      <c r="R3531" s="9" t="s">
        <v>88</v>
      </c>
      <c r="S3531" s="7" t="s">
        <v>461</v>
      </c>
      <c r="T3531" s="9" t="s">
        <v>39</v>
      </c>
      <c r="U3531" s="7">
        <v>0.39</v>
      </c>
      <c r="V3531" s="12">
        <f>C3531+1</f>
        <v>41093</v>
      </c>
      <c r="W3531">
        <f>IF(D3531=' Pivot Tables'!$A$4,1,0)</f>
        <v>0</v>
      </c>
      <c r="X3531">
        <f>IF(AND(LEFT(D3531,4)+1=LEFT(' Pivot Tables'!$A$4,4)+0,RIGHT(LEFT(D3531,7),2)=RIGHT(LEFT(' Pivot Tables'!$A$4,7),2)),1,0)</f>
        <v>0</v>
      </c>
      <c r="Y3531" s="6">
        <f>1/COUNTIF(Таблица1[Order ID],Таблица1[[#This Row],[Order ID]])</f>
        <v>1</v>
      </c>
      <c r="Z3531" s="9">
        <f>1/COUNTIFS(Таблица1[Customer Name],Таблица1[[#This Row],[Customer Name]],Таблица1[Order-Year-Month],Таблица1[[#This Row],[Order-Year-Month]])</f>
        <v>1</v>
      </c>
    </row>
    <row r="3532" spans="1:26" x14ac:dyDescent="0.2">
      <c r="A3532" s="6">
        <v>682</v>
      </c>
      <c r="B3532" s="7">
        <v>4769</v>
      </c>
      <c r="C3532" s="8">
        <f>DATE(2012,12,31)-628</f>
        <v>40646</v>
      </c>
      <c r="D3532" s="8" t="str">
        <f t="shared" si="68"/>
        <v>2011-04 (апрель 2011)</v>
      </c>
      <c r="E3532" s="9" t="s">
        <v>45</v>
      </c>
      <c r="F3532" s="7">
        <v>41</v>
      </c>
      <c r="G3532" s="7">
        <v>117.4</v>
      </c>
      <c r="H3532" s="7">
        <v>0.01</v>
      </c>
      <c r="I3532" s="9" t="s">
        <v>22</v>
      </c>
      <c r="J3532" s="10">
        <v>48.63</v>
      </c>
      <c r="K3532" s="11">
        <v>2.88</v>
      </c>
      <c r="L3532" s="11">
        <v>0.5</v>
      </c>
      <c r="M3532" s="9" t="s">
        <v>1674</v>
      </c>
      <c r="N3532" s="6" t="s">
        <v>1595</v>
      </c>
      <c r="O3532" s="6" t="s">
        <v>1595</v>
      </c>
      <c r="P3532" s="9" t="s">
        <v>60</v>
      </c>
      <c r="Q3532" s="9" t="s">
        <v>26</v>
      </c>
      <c r="R3532" s="9" t="s">
        <v>88</v>
      </c>
      <c r="S3532" s="7" t="s">
        <v>127</v>
      </c>
      <c r="T3532" s="9" t="s">
        <v>39</v>
      </c>
      <c r="U3532" s="7">
        <v>0.36</v>
      </c>
      <c r="V3532" s="12">
        <f>C3532+1</f>
        <v>40647</v>
      </c>
      <c r="W3532">
        <f>IF(D3532=' Pivot Tables'!$A$4,1,0)</f>
        <v>0</v>
      </c>
      <c r="X3532">
        <f>IF(AND(LEFT(D3532,4)+1=LEFT(' Pivot Tables'!$A$4,4)+0,RIGHT(LEFT(D3532,7),2)=RIGHT(LEFT(' Pivot Tables'!$A$4,7),2)),1,0)</f>
        <v>0</v>
      </c>
      <c r="Y3532" s="6">
        <f>1/COUNTIF(Таблица1[Order ID],Таблица1[[#This Row],[Order ID]])</f>
        <v>1</v>
      </c>
      <c r="Z3532" s="9">
        <f>1/COUNTIFS(Таблица1[Customer Name],Таблица1[[#This Row],[Customer Name]],Таблица1[Order-Year-Month],Таблица1[[#This Row],[Order-Year-Month]])</f>
        <v>0.5</v>
      </c>
    </row>
    <row r="3533" spans="1:26" x14ac:dyDescent="0.2">
      <c r="A3533" s="6">
        <v>688</v>
      </c>
      <c r="B3533" s="7">
        <v>4800</v>
      </c>
      <c r="C3533" s="8">
        <f>DATE(2012,12,31)-361</f>
        <v>40913</v>
      </c>
      <c r="D3533" s="8" t="str">
        <f t="shared" si="68"/>
        <v>2012-01 (январь 2012)</v>
      </c>
      <c r="E3533" s="9" t="s">
        <v>21</v>
      </c>
      <c r="F3533" s="7">
        <v>4</v>
      </c>
      <c r="G3533" s="7">
        <v>41.94</v>
      </c>
      <c r="H3533" s="7">
        <v>0.05</v>
      </c>
      <c r="I3533" s="9" t="s">
        <v>22</v>
      </c>
      <c r="J3533" s="10">
        <v>-26.174000000000003</v>
      </c>
      <c r="K3533" s="11">
        <v>8.0399999999999991</v>
      </c>
      <c r="L3533" s="11">
        <v>8.94</v>
      </c>
      <c r="M3533" s="9" t="s">
        <v>1675</v>
      </c>
      <c r="N3533" s="6" t="s">
        <v>1595</v>
      </c>
      <c r="O3533" s="6" t="s">
        <v>1595</v>
      </c>
      <c r="P3533" s="9" t="s">
        <v>41</v>
      </c>
      <c r="Q3533" s="9" t="s">
        <v>26</v>
      </c>
      <c r="R3533" s="9" t="s">
        <v>37</v>
      </c>
      <c r="S3533" s="7" t="s">
        <v>529</v>
      </c>
      <c r="T3533" s="9" t="s">
        <v>39</v>
      </c>
      <c r="U3533" s="7">
        <v>0.4</v>
      </c>
      <c r="V3533" s="12">
        <f>C3533+7</f>
        <v>40920</v>
      </c>
      <c r="W3533">
        <f>IF(D3533=' Pivot Tables'!$A$4,1,0)</f>
        <v>0</v>
      </c>
      <c r="X3533">
        <f>IF(AND(LEFT(D3533,4)+1=LEFT(' Pivot Tables'!$A$4,4)+0,RIGHT(LEFT(D3533,7),2)=RIGHT(LEFT(' Pivot Tables'!$A$4,7),2)),1,0)</f>
        <v>0</v>
      </c>
      <c r="Y3533" s="6">
        <f>1/COUNTIF(Таблица1[Order ID],Таблица1[[#This Row],[Order ID]])</f>
        <v>0.33333333333333331</v>
      </c>
      <c r="Z3533" s="9">
        <f>1/COUNTIFS(Таблица1[Customer Name],Таблица1[[#This Row],[Customer Name]],Таблица1[Order-Year-Month],Таблица1[[#This Row],[Order-Year-Month]])</f>
        <v>0.33333333333333331</v>
      </c>
    </row>
    <row r="3534" spans="1:26" x14ac:dyDescent="0.2">
      <c r="A3534" s="6">
        <v>689</v>
      </c>
      <c r="B3534" s="7">
        <v>4800</v>
      </c>
      <c r="C3534" s="8">
        <f>DATE(2012,12,31)-361</f>
        <v>40913</v>
      </c>
      <c r="D3534" s="8" t="str">
        <f t="shared" si="68"/>
        <v>2012-01 (январь 2012)</v>
      </c>
      <c r="E3534" s="9" t="s">
        <v>21</v>
      </c>
      <c r="F3534" s="7">
        <v>17</v>
      </c>
      <c r="G3534" s="7">
        <v>89.25</v>
      </c>
      <c r="H3534" s="7">
        <v>0.01</v>
      </c>
      <c r="I3534" s="9" t="s">
        <v>22</v>
      </c>
      <c r="J3534" s="10">
        <v>40.880000000000003</v>
      </c>
      <c r="K3534" s="11">
        <v>4.91</v>
      </c>
      <c r="L3534" s="11">
        <v>0.5</v>
      </c>
      <c r="M3534" s="9" t="s">
        <v>1675</v>
      </c>
      <c r="N3534" s="6" t="s">
        <v>1595</v>
      </c>
      <c r="O3534" s="6" t="s">
        <v>1595</v>
      </c>
      <c r="P3534" s="9" t="s">
        <v>41</v>
      </c>
      <c r="Q3534" s="9" t="s">
        <v>26</v>
      </c>
      <c r="R3534" s="9" t="s">
        <v>88</v>
      </c>
      <c r="S3534" s="7" t="s">
        <v>509</v>
      </c>
      <c r="T3534" s="9" t="s">
        <v>39</v>
      </c>
      <c r="U3534" s="7">
        <v>0.36</v>
      </c>
      <c r="V3534" s="12">
        <f>C3534+7</f>
        <v>40920</v>
      </c>
      <c r="W3534">
        <f>IF(D3534=' Pivot Tables'!$A$4,1,0)</f>
        <v>0</v>
      </c>
      <c r="X3534">
        <f>IF(AND(LEFT(D3534,4)+1=LEFT(' Pivot Tables'!$A$4,4)+0,RIGHT(LEFT(D3534,7),2)=RIGHT(LEFT(' Pivot Tables'!$A$4,7),2)),1,0)</f>
        <v>0</v>
      </c>
      <c r="Y3534" s="6">
        <f>1/COUNTIF(Таблица1[Order ID],Таблица1[[#This Row],[Order ID]])</f>
        <v>0.33333333333333331</v>
      </c>
      <c r="Z3534" s="9">
        <f>1/COUNTIFS(Таблица1[Customer Name],Таблица1[[#This Row],[Customer Name]],Таблица1[Order-Year-Month],Таблица1[[#This Row],[Order-Year-Month]])</f>
        <v>0.33333333333333331</v>
      </c>
    </row>
    <row r="3535" spans="1:26" x14ac:dyDescent="0.2">
      <c r="A3535" s="6">
        <v>690</v>
      </c>
      <c r="B3535" s="7">
        <v>4800</v>
      </c>
      <c r="C3535" s="8">
        <f>DATE(2012,12,31)-361</f>
        <v>40913</v>
      </c>
      <c r="D3535" s="8" t="str">
        <f t="shared" si="68"/>
        <v>2012-01 (январь 2012)</v>
      </c>
      <c r="E3535" s="9" t="s">
        <v>21</v>
      </c>
      <c r="F3535" s="7">
        <v>7</v>
      </c>
      <c r="G3535" s="7">
        <v>79.81</v>
      </c>
      <c r="H3535" s="7">
        <v>7.0000000000000007E-2</v>
      </c>
      <c r="I3535" s="9" t="s">
        <v>22</v>
      </c>
      <c r="J3535" s="10">
        <v>-4.28</v>
      </c>
      <c r="K3535" s="11">
        <v>11.55</v>
      </c>
      <c r="L3535" s="11">
        <v>2.36</v>
      </c>
      <c r="M3535" s="9" t="s">
        <v>1675</v>
      </c>
      <c r="N3535" s="6" t="s">
        <v>1595</v>
      </c>
      <c r="O3535" s="6" t="s">
        <v>1595</v>
      </c>
      <c r="P3535" s="9" t="s">
        <v>41</v>
      </c>
      <c r="Q3535" s="9" t="s">
        <v>26</v>
      </c>
      <c r="R3535" s="9" t="s">
        <v>95</v>
      </c>
      <c r="S3535" s="7" t="s">
        <v>990</v>
      </c>
      <c r="T3535" s="9" t="s">
        <v>68</v>
      </c>
      <c r="U3535" s="7">
        <v>0.55000000000000004</v>
      </c>
      <c r="V3535" s="12">
        <f>C3535+5</f>
        <v>40918</v>
      </c>
      <c r="W3535">
        <f>IF(D3535=' Pivot Tables'!$A$4,1,0)</f>
        <v>0</v>
      </c>
      <c r="X3535">
        <f>IF(AND(LEFT(D3535,4)+1=LEFT(' Pivot Tables'!$A$4,4)+0,RIGHT(LEFT(D3535,7),2)=RIGHT(LEFT(' Pivot Tables'!$A$4,7),2)),1,0)</f>
        <v>0</v>
      </c>
      <c r="Y3535" s="6">
        <f>1/COUNTIF(Таблица1[Order ID],Таблица1[[#This Row],[Order ID]])</f>
        <v>0.33333333333333331</v>
      </c>
      <c r="Z3535" s="9">
        <f>1/COUNTIFS(Таблица1[Customer Name],Таблица1[[#This Row],[Customer Name]],Таблица1[Order-Year-Month],Таблица1[[#This Row],[Order-Year-Month]])</f>
        <v>0.33333333333333331</v>
      </c>
    </row>
    <row r="3536" spans="1:26" x14ac:dyDescent="0.2">
      <c r="A3536" s="6">
        <v>778</v>
      </c>
      <c r="B3536" s="7">
        <v>5543</v>
      </c>
      <c r="C3536" s="8">
        <f>DATE(2012,12,31)-829</f>
        <v>40445</v>
      </c>
      <c r="D3536" s="8" t="str">
        <f t="shared" si="68"/>
        <v>2010-09 (сентябрь 2010)</v>
      </c>
      <c r="E3536" s="9" t="s">
        <v>63</v>
      </c>
      <c r="F3536" s="7">
        <v>15</v>
      </c>
      <c r="G3536" s="7">
        <v>703.54</v>
      </c>
      <c r="H3536" s="7">
        <v>0.04</v>
      </c>
      <c r="I3536" s="9" t="s">
        <v>22</v>
      </c>
      <c r="J3536" s="10">
        <v>138.46</v>
      </c>
      <c r="K3536" s="11">
        <v>48.58</v>
      </c>
      <c r="L3536" s="11">
        <v>3.99</v>
      </c>
      <c r="M3536" s="9" t="s">
        <v>1676</v>
      </c>
      <c r="N3536" s="6" t="s">
        <v>1595</v>
      </c>
      <c r="O3536" s="6" t="s">
        <v>1595</v>
      </c>
      <c r="P3536" s="9" t="s">
        <v>41</v>
      </c>
      <c r="Q3536" s="9" t="s">
        <v>26</v>
      </c>
      <c r="R3536" s="9" t="s">
        <v>34</v>
      </c>
      <c r="S3536" s="7" t="s">
        <v>988</v>
      </c>
      <c r="T3536" s="9" t="s">
        <v>39</v>
      </c>
      <c r="U3536" s="7">
        <v>0.56000000000000005</v>
      </c>
      <c r="V3536" s="12">
        <f>C3536+2</f>
        <v>40447</v>
      </c>
      <c r="W3536">
        <f>IF(D3536=' Pivot Tables'!$A$4,1,0)</f>
        <v>0</v>
      </c>
      <c r="X3536">
        <f>IF(AND(LEFT(D3536,4)+1=LEFT(' Pivot Tables'!$A$4,4)+0,RIGHT(LEFT(D3536,7),2)=RIGHT(LEFT(' Pivot Tables'!$A$4,7),2)),1,0)</f>
        <v>0</v>
      </c>
      <c r="Y3536" s="6">
        <f>1/COUNTIF(Таблица1[Order ID],Таблица1[[#This Row],[Order ID]])</f>
        <v>0.33333333333333331</v>
      </c>
      <c r="Z3536" s="9">
        <f>1/COUNTIFS(Таблица1[Customer Name],Таблица1[[#This Row],[Customer Name]],Таблица1[Order-Year-Month],Таблица1[[#This Row],[Order-Year-Month]])</f>
        <v>0.33333333333333331</v>
      </c>
    </row>
    <row r="3537" spans="1:26" x14ac:dyDescent="0.2">
      <c r="A3537" s="6">
        <v>779</v>
      </c>
      <c r="B3537" s="7">
        <v>5543</v>
      </c>
      <c r="C3537" s="8">
        <f>DATE(2012,12,31)-829</f>
        <v>40445</v>
      </c>
      <c r="D3537" s="8" t="str">
        <f t="shared" si="68"/>
        <v>2010-09 (сентябрь 2010)</v>
      </c>
      <c r="E3537" s="9" t="s">
        <v>63</v>
      </c>
      <c r="F3537" s="7">
        <v>6</v>
      </c>
      <c r="G3537" s="7">
        <v>65.930000000000007</v>
      </c>
      <c r="H3537" s="7">
        <v>0.04</v>
      </c>
      <c r="I3537" s="9" t="s">
        <v>22</v>
      </c>
      <c r="J3537" s="10">
        <v>11.06</v>
      </c>
      <c r="K3537" s="11">
        <v>10.31</v>
      </c>
      <c r="L3537" s="11">
        <v>1.79</v>
      </c>
      <c r="M3537" s="9" t="s">
        <v>1676</v>
      </c>
      <c r="N3537" s="6" t="s">
        <v>1595</v>
      </c>
      <c r="O3537" s="6" t="s">
        <v>1595</v>
      </c>
      <c r="P3537" s="9" t="s">
        <v>41</v>
      </c>
      <c r="Q3537" s="9" t="s">
        <v>26</v>
      </c>
      <c r="R3537" s="9" t="s">
        <v>61</v>
      </c>
      <c r="S3537" s="7" t="s">
        <v>282</v>
      </c>
      <c r="T3537" s="9" t="s">
        <v>68</v>
      </c>
      <c r="U3537" s="7">
        <v>0.38</v>
      </c>
      <c r="V3537" s="12">
        <f>C3537+3</f>
        <v>40448</v>
      </c>
      <c r="W3537">
        <f>IF(D3537=' Pivot Tables'!$A$4,1,0)</f>
        <v>0</v>
      </c>
      <c r="X3537">
        <f>IF(AND(LEFT(D3537,4)+1=LEFT(' Pivot Tables'!$A$4,4)+0,RIGHT(LEFT(D3537,7),2)=RIGHT(LEFT(' Pivot Tables'!$A$4,7),2)),1,0)</f>
        <v>0</v>
      </c>
      <c r="Y3537" s="6">
        <f>1/COUNTIF(Таблица1[Order ID],Таблица1[[#This Row],[Order ID]])</f>
        <v>0.33333333333333331</v>
      </c>
      <c r="Z3537" s="9">
        <f>1/COUNTIFS(Таблица1[Customer Name],Таблица1[[#This Row],[Customer Name]],Таблица1[Order-Year-Month],Таблица1[[#This Row],[Order-Year-Month]])</f>
        <v>0.33333333333333331</v>
      </c>
    </row>
    <row r="3538" spans="1:26" x14ac:dyDescent="0.2">
      <c r="A3538" s="6">
        <v>780</v>
      </c>
      <c r="B3538" s="7">
        <v>5543</v>
      </c>
      <c r="C3538" s="8">
        <f>DATE(2012,12,31)-829</f>
        <v>40445</v>
      </c>
      <c r="D3538" s="8" t="str">
        <f t="shared" si="68"/>
        <v>2010-09 (сентябрь 2010)</v>
      </c>
      <c r="E3538" s="9" t="s">
        <v>63</v>
      </c>
      <c r="F3538" s="7">
        <v>27</v>
      </c>
      <c r="G3538" s="7">
        <v>67.3</v>
      </c>
      <c r="H3538" s="7">
        <v>0.02</v>
      </c>
      <c r="I3538" s="9" t="s">
        <v>22</v>
      </c>
      <c r="J3538" s="10">
        <v>-115.38</v>
      </c>
      <c r="K3538" s="11">
        <v>2.1800000000000002</v>
      </c>
      <c r="L3538" s="11">
        <v>5</v>
      </c>
      <c r="M3538" s="9" t="s">
        <v>1676</v>
      </c>
      <c r="N3538" s="6" t="s">
        <v>1595</v>
      </c>
      <c r="O3538" s="6" t="s">
        <v>1595</v>
      </c>
      <c r="P3538" s="9" t="s">
        <v>41</v>
      </c>
      <c r="Q3538" s="9" t="s">
        <v>26</v>
      </c>
      <c r="R3538" s="9" t="s">
        <v>150</v>
      </c>
      <c r="S3538" s="7" t="s">
        <v>564</v>
      </c>
      <c r="T3538" s="9" t="s">
        <v>68</v>
      </c>
      <c r="U3538" s="7">
        <v>0.81</v>
      </c>
      <c r="V3538" s="12">
        <f>C3538+2</f>
        <v>40447</v>
      </c>
      <c r="W3538">
        <f>IF(D3538=' Pivot Tables'!$A$4,1,0)</f>
        <v>0</v>
      </c>
      <c r="X3538">
        <f>IF(AND(LEFT(D3538,4)+1=LEFT(' Pivot Tables'!$A$4,4)+0,RIGHT(LEFT(D3538,7),2)=RIGHT(LEFT(' Pivot Tables'!$A$4,7),2)),1,0)</f>
        <v>0</v>
      </c>
      <c r="Y3538" s="6">
        <f>1/COUNTIF(Таблица1[Order ID],Таблица1[[#This Row],[Order ID]])</f>
        <v>0.33333333333333331</v>
      </c>
      <c r="Z3538" s="9">
        <f>1/COUNTIFS(Таблица1[Customer Name],Таблица1[[#This Row],[Customer Name]],Таблица1[Order-Year-Month],Таблица1[[#This Row],[Order-Year-Month]])</f>
        <v>0.33333333333333331</v>
      </c>
    </row>
    <row r="3539" spans="1:26" x14ac:dyDescent="0.2">
      <c r="A3539" s="6">
        <v>789</v>
      </c>
      <c r="B3539" s="7">
        <v>5636</v>
      </c>
      <c r="C3539" s="8">
        <f>DATE(2012,12,31)-685</f>
        <v>40589</v>
      </c>
      <c r="D3539" s="8" t="str">
        <f t="shared" si="68"/>
        <v>2011-02 (февраль 2011)</v>
      </c>
      <c r="E3539" s="9" t="s">
        <v>63</v>
      </c>
      <c r="F3539" s="7">
        <v>23</v>
      </c>
      <c r="G3539" s="7">
        <v>138.16999999999999</v>
      </c>
      <c r="H3539" s="7">
        <v>0</v>
      </c>
      <c r="I3539" s="9" t="s">
        <v>22</v>
      </c>
      <c r="J3539" s="10">
        <v>-1.0900000000000001</v>
      </c>
      <c r="K3539" s="11">
        <v>5.85</v>
      </c>
      <c r="L3539" s="11">
        <v>2.27</v>
      </c>
      <c r="M3539" s="9" t="s">
        <v>1677</v>
      </c>
      <c r="N3539" s="6" t="s">
        <v>1595</v>
      </c>
      <c r="O3539" s="6" t="s">
        <v>1595</v>
      </c>
      <c r="P3539" s="9" t="s">
        <v>25</v>
      </c>
      <c r="Q3539" s="9" t="s">
        <v>26</v>
      </c>
      <c r="R3539" s="9" t="s">
        <v>95</v>
      </c>
      <c r="S3539" s="7" t="s">
        <v>463</v>
      </c>
      <c r="T3539" s="9" t="s">
        <v>68</v>
      </c>
      <c r="U3539" s="7">
        <v>0.56000000000000005</v>
      </c>
      <c r="V3539" s="12">
        <f>C3539+2</f>
        <v>40591</v>
      </c>
      <c r="W3539">
        <f>IF(D3539=' Pivot Tables'!$A$4,1,0)</f>
        <v>0</v>
      </c>
      <c r="X3539">
        <f>IF(AND(LEFT(D3539,4)+1=LEFT(' Pivot Tables'!$A$4,4)+0,RIGHT(LEFT(D3539,7),2)=RIGHT(LEFT(' Pivot Tables'!$A$4,7),2)),1,0)</f>
        <v>0</v>
      </c>
      <c r="Y3539" s="6">
        <f>1/COUNTIF(Таблица1[Order ID],Таблица1[[#This Row],[Order ID]])</f>
        <v>1</v>
      </c>
      <c r="Z3539" s="9">
        <f>1/COUNTIFS(Таблица1[Customer Name],Таблица1[[#This Row],[Customer Name]],Таблица1[Order-Year-Month],Таблица1[[#This Row],[Order-Year-Month]])</f>
        <v>1</v>
      </c>
    </row>
    <row r="3540" spans="1:26" x14ac:dyDescent="0.2">
      <c r="A3540" s="6">
        <v>843</v>
      </c>
      <c r="B3540" s="7">
        <v>6050</v>
      </c>
      <c r="C3540" s="8">
        <f>DATE(2012,12,31)-1009</f>
        <v>40265</v>
      </c>
      <c r="D3540" s="8" t="str">
        <f t="shared" si="68"/>
        <v>2010-03 (март 2010)</v>
      </c>
      <c r="E3540" s="9" t="s">
        <v>21</v>
      </c>
      <c r="F3540" s="7">
        <v>3</v>
      </c>
      <c r="G3540" s="7">
        <v>261.94</v>
      </c>
      <c r="H3540" s="7">
        <v>0.06</v>
      </c>
      <c r="I3540" s="9" t="s">
        <v>31</v>
      </c>
      <c r="J3540" s="10">
        <v>-219.77940000000001</v>
      </c>
      <c r="K3540" s="11">
        <v>80.97</v>
      </c>
      <c r="L3540" s="11">
        <v>33.6</v>
      </c>
      <c r="M3540" s="9" t="s">
        <v>1678</v>
      </c>
      <c r="N3540" s="6" t="s">
        <v>1595</v>
      </c>
      <c r="O3540" s="6" t="s">
        <v>1595</v>
      </c>
      <c r="P3540" s="9" t="s">
        <v>25</v>
      </c>
      <c r="Q3540" s="9" t="s">
        <v>42</v>
      </c>
      <c r="R3540" s="9" t="s">
        <v>210</v>
      </c>
      <c r="S3540" s="7" t="s">
        <v>312</v>
      </c>
      <c r="T3540" s="9" t="s">
        <v>36</v>
      </c>
      <c r="U3540" s="7">
        <v>0.37</v>
      </c>
      <c r="V3540" s="12">
        <f>C3540+7</f>
        <v>40272</v>
      </c>
      <c r="W3540">
        <f>IF(D3540=' Pivot Tables'!$A$4,1,0)</f>
        <v>0</v>
      </c>
      <c r="X3540">
        <f>IF(AND(LEFT(D3540,4)+1=LEFT(' Pivot Tables'!$A$4,4)+0,RIGHT(LEFT(D3540,7),2)=RIGHT(LEFT(' Pivot Tables'!$A$4,7),2)),1,0)</f>
        <v>0</v>
      </c>
      <c r="Y3540" s="6">
        <f>1/COUNTIF(Таблица1[Order ID],Таблица1[[#This Row],[Order ID]])</f>
        <v>0.5</v>
      </c>
      <c r="Z3540" s="9">
        <f>1/COUNTIFS(Таблица1[Customer Name],Таблица1[[#This Row],[Customer Name]],Таблица1[Order-Year-Month],Таблица1[[#This Row],[Order-Year-Month]])</f>
        <v>0.5</v>
      </c>
    </row>
    <row r="3541" spans="1:26" x14ac:dyDescent="0.2">
      <c r="A3541" s="6">
        <v>844</v>
      </c>
      <c r="B3541" s="7">
        <v>6050</v>
      </c>
      <c r="C3541" s="8">
        <f>DATE(2012,12,31)-1009</f>
        <v>40265</v>
      </c>
      <c r="D3541" s="8" t="str">
        <f t="shared" si="68"/>
        <v>2010-03 (март 2010)</v>
      </c>
      <c r="E3541" s="9" t="s">
        <v>21</v>
      </c>
      <c r="F3541" s="7">
        <v>47</v>
      </c>
      <c r="G3541" s="7">
        <v>9574.82</v>
      </c>
      <c r="H3541" s="7">
        <v>0.08</v>
      </c>
      <c r="I3541" s="9" t="s">
        <v>22</v>
      </c>
      <c r="J3541" s="10">
        <v>-505.98447900000014</v>
      </c>
      <c r="K3541" s="11">
        <v>209.37</v>
      </c>
      <c r="L3541" s="11">
        <v>69</v>
      </c>
      <c r="M3541" s="9" t="s">
        <v>1678</v>
      </c>
      <c r="N3541" s="6" t="s">
        <v>1595</v>
      </c>
      <c r="O3541" s="6" t="s">
        <v>1595</v>
      </c>
      <c r="P3541" s="9" t="s">
        <v>25</v>
      </c>
      <c r="Q3541" s="9" t="s">
        <v>49</v>
      </c>
      <c r="R3541" s="9" t="s">
        <v>83</v>
      </c>
      <c r="S3541" s="7" t="s">
        <v>936</v>
      </c>
      <c r="T3541" s="9" t="s">
        <v>29</v>
      </c>
      <c r="U3541" s="7">
        <v>0.79</v>
      </c>
      <c r="V3541" s="12">
        <f>C3541+5</f>
        <v>40270</v>
      </c>
      <c r="W3541">
        <f>IF(D3541=' Pivot Tables'!$A$4,1,0)</f>
        <v>0</v>
      </c>
      <c r="X3541">
        <f>IF(AND(LEFT(D3541,4)+1=LEFT(' Pivot Tables'!$A$4,4)+0,RIGHT(LEFT(D3541,7),2)=RIGHT(LEFT(' Pivot Tables'!$A$4,7),2)),1,0)</f>
        <v>0</v>
      </c>
      <c r="Y3541" s="6">
        <f>1/COUNTIF(Таблица1[Order ID],Таблица1[[#This Row],[Order ID]])</f>
        <v>0.5</v>
      </c>
      <c r="Z3541" s="9">
        <f>1/COUNTIFS(Таблица1[Customer Name],Таблица1[[#This Row],[Customer Name]],Таблица1[Order-Year-Month],Таблица1[[#This Row],[Order-Year-Month]])</f>
        <v>0.5</v>
      </c>
    </row>
    <row r="3542" spans="1:26" x14ac:dyDescent="0.2">
      <c r="A3542" s="6">
        <v>857</v>
      </c>
      <c r="B3542" s="7">
        <v>6148</v>
      </c>
      <c r="C3542" s="8">
        <f>DATE(2012,12,31)-373</f>
        <v>40901</v>
      </c>
      <c r="D3542" s="8" t="str">
        <f t="shared" si="68"/>
        <v>2011-12 (декабрь 2011)</v>
      </c>
      <c r="E3542" s="9" t="s">
        <v>63</v>
      </c>
      <c r="F3542" s="7">
        <v>50</v>
      </c>
      <c r="G3542" s="7">
        <v>510.56</v>
      </c>
      <c r="H3542" s="7">
        <v>0.05</v>
      </c>
      <c r="I3542" s="9" t="s">
        <v>22</v>
      </c>
      <c r="J3542" s="10">
        <v>-29.4</v>
      </c>
      <c r="K3542" s="11">
        <v>10.64</v>
      </c>
      <c r="L3542" s="11">
        <v>5.16</v>
      </c>
      <c r="M3542" s="9" t="s">
        <v>1679</v>
      </c>
      <c r="N3542" s="6" t="s">
        <v>1595</v>
      </c>
      <c r="O3542" s="6" t="s">
        <v>1595</v>
      </c>
      <c r="P3542" s="9" t="s">
        <v>25</v>
      </c>
      <c r="Q3542" s="9" t="s">
        <v>49</v>
      </c>
      <c r="R3542" s="9" t="s">
        <v>50</v>
      </c>
      <c r="S3542" s="7" t="s">
        <v>593</v>
      </c>
      <c r="T3542" s="9" t="s">
        <v>39</v>
      </c>
      <c r="U3542" s="7">
        <v>0.56999999999999995</v>
      </c>
      <c r="V3542" s="12">
        <f>C3542+1</f>
        <v>40902</v>
      </c>
      <c r="W3542">
        <f>IF(D3542=' Pivot Tables'!$A$4,1,0)</f>
        <v>0</v>
      </c>
      <c r="X3542">
        <f>IF(AND(LEFT(D3542,4)+1=LEFT(' Pivot Tables'!$A$4,4)+0,RIGHT(LEFT(D3542,7),2)=RIGHT(LEFT(' Pivot Tables'!$A$4,7),2)),1,0)</f>
        <v>0</v>
      </c>
      <c r="Y3542" s="6">
        <f>1/COUNTIF(Таблица1[Order ID],Таблица1[[#This Row],[Order ID]])</f>
        <v>0.5</v>
      </c>
      <c r="Z3542" s="9">
        <f>1/COUNTIFS(Таблица1[Customer Name],Таблица1[[#This Row],[Customer Name]],Таблица1[Order-Year-Month],Таблица1[[#This Row],[Order-Year-Month]])</f>
        <v>0.5</v>
      </c>
    </row>
    <row r="3543" spans="1:26" x14ac:dyDescent="0.2">
      <c r="A3543" s="6">
        <v>858</v>
      </c>
      <c r="B3543" s="7">
        <v>6148</v>
      </c>
      <c r="C3543" s="8">
        <f>DATE(2012,12,31)-373</f>
        <v>40901</v>
      </c>
      <c r="D3543" s="8" t="str">
        <f t="shared" si="68"/>
        <v>2011-12 (декабрь 2011)</v>
      </c>
      <c r="E3543" s="9" t="s">
        <v>63</v>
      </c>
      <c r="F3543" s="7">
        <v>18</v>
      </c>
      <c r="G3543" s="7">
        <v>389.52</v>
      </c>
      <c r="H3543" s="7">
        <v>0.05</v>
      </c>
      <c r="I3543" s="9" t="s">
        <v>56</v>
      </c>
      <c r="J3543" s="10">
        <v>116.37</v>
      </c>
      <c r="K3543" s="11">
        <v>20.28</v>
      </c>
      <c r="L3543" s="11">
        <v>6.68</v>
      </c>
      <c r="M3543" s="9" t="s">
        <v>1679</v>
      </c>
      <c r="N3543" s="6" t="s">
        <v>1595</v>
      </c>
      <c r="O3543" s="6" t="s">
        <v>1595</v>
      </c>
      <c r="P3543" s="9" t="s">
        <v>25</v>
      </c>
      <c r="Q3543" s="9" t="s">
        <v>49</v>
      </c>
      <c r="R3543" s="9" t="s">
        <v>50</v>
      </c>
      <c r="S3543" s="7" t="s">
        <v>1621</v>
      </c>
      <c r="T3543" s="9" t="s">
        <v>39</v>
      </c>
      <c r="U3543" s="7">
        <v>0.53</v>
      </c>
      <c r="V3543" s="12">
        <f>C3543+1</f>
        <v>40902</v>
      </c>
      <c r="W3543">
        <f>IF(D3543=' Pivot Tables'!$A$4,1,0)</f>
        <v>0</v>
      </c>
      <c r="X3543">
        <f>IF(AND(LEFT(D3543,4)+1=LEFT(' Pivot Tables'!$A$4,4)+0,RIGHT(LEFT(D3543,7),2)=RIGHT(LEFT(' Pivot Tables'!$A$4,7),2)),1,0)</f>
        <v>0</v>
      </c>
      <c r="Y3543" s="6">
        <f>1/COUNTIF(Таблица1[Order ID],Таблица1[[#This Row],[Order ID]])</f>
        <v>0.5</v>
      </c>
      <c r="Z3543" s="9">
        <f>1/COUNTIFS(Таблица1[Customer Name],Таблица1[[#This Row],[Customer Name]],Таблица1[Order-Year-Month],Таблица1[[#This Row],[Order-Year-Month]])</f>
        <v>0.5</v>
      </c>
    </row>
    <row r="3544" spans="1:26" x14ac:dyDescent="0.2">
      <c r="A3544" s="6">
        <v>930</v>
      </c>
      <c r="B3544" s="7">
        <v>6727</v>
      </c>
      <c r="C3544" s="8">
        <f>DATE(2012,12,31)-1220</f>
        <v>40054</v>
      </c>
      <c r="D3544" s="8" t="str">
        <f t="shared" si="68"/>
        <v>2009-08 (август 2009)</v>
      </c>
      <c r="E3544" s="9" t="s">
        <v>21</v>
      </c>
      <c r="F3544" s="7">
        <v>12</v>
      </c>
      <c r="G3544" s="7">
        <v>33.43</v>
      </c>
      <c r="H3544" s="7">
        <v>0.06</v>
      </c>
      <c r="I3544" s="9" t="s">
        <v>22</v>
      </c>
      <c r="J3544" s="10">
        <v>8.4700000000000006</v>
      </c>
      <c r="K3544" s="11">
        <v>2.89</v>
      </c>
      <c r="L3544" s="11">
        <v>0.5</v>
      </c>
      <c r="M3544" s="9" t="s">
        <v>1680</v>
      </c>
      <c r="N3544" s="6" t="s">
        <v>1595</v>
      </c>
      <c r="O3544" s="6" t="s">
        <v>1595</v>
      </c>
      <c r="P3544" s="9" t="s">
        <v>33</v>
      </c>
      <c r="Q3544" s="9" t="s">
        <v>26</v>
      </c>
      <c r="R3544" s="9" t="s">
        <v>88</v>
      </c>
      <c r="S3544" s="7" t="s">
        <v>474</v>
      </c>
      <c r="T3544" s="9" t="s">
        <v>39</v>
      </c>
      <c r="U3544" s="7">
        <v>0.38</v>
      </c>
      <c r="V3544" s="12">
        <f>C3544+0</f>
        <v>40054</v>
      </c>
      <c r="W3544">
        <f>IF(D3544=' Pivot Tables'!$A$4,1,0)</f>
        <v>0</v>
      </c>
      <c r="X3544">
        <f>IF(AND(LEFT(D3544,4)+1=LEFT(' Pivot Tables'!$A$4,4)+0,RIGHT(LEFT(D3544,7),2)=RIGHT(LEFT(' Pivot Tables'!$A$4,7),2)),1,0)</f>
        <v>0</v>
      </c>
      <c r="Y3544" s="6">
        <f>1/COUNTIF(Таблица1[Order ID],Таблица1[[#This Row],[Order ID]])</f>
        <v>1</v>
      </c>
      <c r="Z3544" s="9">
        <f>1/COUNTIFS(Таблица1[Customer Name],Таблица1[[#This Row],[Customer Name]],Таблица1[Order-Year-Month],Таблица1[[#This Row],[Order-Year-Month]])</f>
        <v>1</v>
      </c>
    </row>
    <row r="3545" spans="1:26" x14ac:dyDescent="0.2">
      <c r="A3545" s="6">
        <v>979</v>
      </c>
      <c r="B3545" s="7">
        <v>7079</v>
      </c>
      <c r="C3545" s="8">
        <f>DATE(2012,12,31)-1057</f>
        <v>40217</v>
      </c>
      <c r="D3545" s="8" t="str">
        <f t="shared" si="68"/>
        <v>2010-02 (февраль 2010)</v>
      </c>
      <c r="E3545" s="9" t="s">
        <v>63</v>
      </c>
      <c r="F3545" s="7">
        <v>44</v>
      </c>
      <c r="G3545" s="7">
        <v>12296.49</v>
      </c>
      <c r="H3545" s="7">
        <v>0.01</v>
      </c>
      <c r="I3545" s="9" t="s">
        <v>31</v>
      </c>
      <c r="J3545" s="10">
        <v>-416.7</v>
      </c>
      <c r="K3545" s="11">
        <v>280.98</v>
      </c>
      <c r="L3545" s="11">
        <v>57</v>
      </c>
      <c r="M3545" s="9" t="s">
        <v>1681</v>
      </c>
      <c r="N3545" s="6" t="s">
        <v>1595</v>
      </c>
      <c r="O3545" s="6" t="s">
        <v>1595</v>
      </c>
      <c r="P3545" s="9" t="s">
        <v>25</v>
      </c>
      <c r="Q3545" s="9" t="s">
        <v>49</v>
      </c>
      <c r="R3545" s="9" t="s">
        <v>112</v>
      </c>
      <c r="S3545" s="7" t="s">
        <v>697</v>
      </c>
      <c r="T3545" s="9" t="s">
        <v>36</v>
      </c>
      <c r="U3545" s="7">
        <v>0.78</v>
      </c>
      <c r="V3545" s="12">
        <f>C3545+1</f>
        <v>40218</v>
      </c>
      <c r="W3545">
        <f>IF(D3545=' Pivot Tables'!$A$4,1,0)</f>
        <v>0</v>
      </c>
      <c r="X3545">
        <f>IF(AND(LEFT(D3545,4)+1=LEFT(' Pivot Tables'!$A$4,4)+0,RIGHT(LEFT(D3545,7),2)=RIGHT(LEFT(' Pivot Tables'!$A$4,7),2)),1,0)</f>
        <v>0</v>
      </c>
      <c r="Y3545" s="6">
        <f>1/COUNTIF(Таблица1[Order ID],Таблица1[[#This Row],[Order ID]])</f>
        <v>0.5</v>
      </c>
      <c r="Z3545" s="9">
        <f>1/COUNTIFS(Таблица1[Customer Name],Таблица1[[#This Row],[Customer Name]],Таблица1[Order-Year-Month],Таблица1[[#This Row],[Order-Year-Month]])</f>
        <v>0.5</v>
      </c>
    </row>
    <row r="3546" spans="1:26" x14ac:dyDescent="0.2">
      <c r="A3546" s="6">
        <v>980</v>
      </c>
      <c r="B3546" s="7">
        <v>7079</v>
      </c>
      <c r="C3546" s="8">
        <f>DATE(2012,12,31)-1057</f>
        <v>40217</v>
      </c>
      <c r="D3546" s="8" t="str">
        <f t="shared" si="68"/>
        <v>2010-02 (февраль 2010)</v>
      </c>
      <c r="E3546" s="9" t="s">
        <v>63</v>
      </c>
      <c r="F3546" s="7">
        <v>18</v>
      </c>
      <c r="G3546" s="7">
        <v>128.13</v>
      </c>
      <c r="H3546" s="7">
        <v>0.03</v>
      </c>
      <c r="I3546" s="9" t="s">
        <v>22</v>
      </c>
      <c r="J3546" s="10">
        <v>-34.909999999999997</v>
      </c>
      <c r="K3546" s="11">
        <v>6.48</v>
      </c>
      <c r="L3546" s="11">
        <v>5.94</v>
      </c>
      <c r="M3546" s="9" t="s">
        <v>1681</v>
      </c>
      <c r="N3546" s="6" t="s">
        <v>1595</v>
      </c>
      <c r="O3546" s="6" t="s">
        <v>1595</v>
      </c>
      <c r="P3546" s="9" t="s">
        <v>25</v>
      </c>
      <c r="Q3546" s="9" t="s">
        <v>26</v>
      </c>
      <c r="R3546" s="9" t="s">
        <v>61</v>
      </c>
      <c r="S3546" s="7" t="s">
        <v>994</v>
      </c>
      <c r="T3546" s="9" t="s">
        <v>39</v>
      </c>
      <c r="U3546" s="7">
        <v>0.37</v>
      </c>
      <c r="V3546" s="12">
        <f>C3546+2</f>
        <v>40219</v>
      </c>
      <c r="W3546">
        <f>IF(D3546=' Pivot Tables'!$A$4,1,0)</f>
        <v>0</v>
      </c>
      <c r="X3546">
        <f>IF(AND(LEFT(D3546,4)+1=LEFT(' Pivot Tables'!$A$4,4)+0,RIGHT(LEFT(D3546,7),2)=RIGHT(LEFT(' Pivot Tables'!$A$4,7),2)),1,0)</f>
        <v>0</v>
      </c>
      <c r="Y3546" s="6">
        <f>1/COUNTIF(Таблица1[Order ID],Таблица1[[#This Row],[Order ID]])</f>
        <v>0.5</v>
      </c>
      <c r="Z3546" s="9">
        <f>1/COUNTIFS(Таблица1[Customer Name],Таблица1[[#This Row],[Customer Name]],Таблица1[Order-Year-Month],Таблица1[[#This Row],[Order-Year-Month]])</f>
        <v>0.5</v>
      </c>
    </row>
    <row r="3547" spans="1:26" x14ac:dyDescent="0.2">
      <c r="A3547" s="6">
        <v>1005</v>
      </c>
      <c r="B3547" s="7">
        <v>7301</v>
      </c>
      <c r="C3547" s="8">
        <f>DATE(2012,12,31)-734</f>
        <v>40540</v>
      </c>
      <c r="D3547" s="8" t="str">
        <f t="shared" si="68"/>
        <v>2010-12 (декабрь 2010)</v>
      </c>
      <c r="E3547" s="9" t="s">
        <v>21</v>
      </c>
      <c r="F3547" s="7">
        <v>17</v>
      </c>
      <c r="G3547" s="7">
        <v>959.08899999999994</v>
      </c>
      <c r="H3547" s="7">
        <v>0.06</v>
      </c>
      <c r="I3547" s="9" t="s">
        <v>22</v>
      </c>
      <c r="J3547" s="10">
        <v>124.99199999999999</v>
      </c>
      <c r="K3547" s="11">
        <v>65.989999999999995</v>
      </c>
      <c r="L3547" s="11">
        <v>2.5</v>
      </c>
      <c r="M3547" s="9" t="s">
        <v>657</v>
      </c>
      <c r="N3547" s="6" t="s">
        <v>1595</v>
      </c>
      <c r="O3547" s="6" t="s">
        <v>1595</v>
      </c>
      <c r="P3547" s="9" t="s">
        <v>41</v>
      </c>
      <c r="Q3547" s="9" t="s">
        <v>42</v>
      </c>
      <c r="R3547" s="9" t="s">
        <v>43</v>
      </c>
      <c r="S3547" s="7" t="s">
        <v>1179</v>
      </c>
      <c r="T3547" s="9" t="s">
        <v>39</v>
      </c>
      <c r="U3547" s="7">
        <v>0.55000000000000004</v>
      </c>
      <c r="V3547" s="12">
        <f>C3547+17</f>
        <v>40557</v>
      </c>
      <c r="W3547">
        <f>IF(D3547=' Pivot Tables'!$A$4,1,0)</f>
        <v>0</v>
      </c>
      <c r="X3547">
        <f>IF(AND(LEFT(D3547,4)+1=LEFT(' Pivot Tables'!$A$4,4)+0,RIGHT(LEFT(D3547,7),2)=RIGHT(LEFT(' Pivot Tables'!$A$4,7),2)),1,0)</f>
        <v>0</v>
      </c>
      <c r="Y3547" s="6">
        <f>1/COUNTIF(Таблица1[Order ID],Таблица1[[#This Row],[Order ID]])</f>
        <v>1</v>
      </c>
      <c r="Z3547" s="9">
        <f>1/COUNTIFS(Таблица1[Customer Name],Таблица1[[#This Row],[Customer Name]],Таблица1[Order-Year-Month],Таблица1[[#This Row],[Order-Year-Month]])</f>
        <v>0.5</v>
      </c>
    </row>
    <row r="3548" spans="1:26" x14ac:dyDescent="0.2">
      <c r="A3548" s="6">
        <v>1041</v>
      </c>
      <c r="B3548" s="7">
        <v>7623</v>
      </c>
      <c r="C3548" s="8">
        <f>DATE(2012,12,31)-1160</f>
        <v>40114</v>
      </c>
      <c r="D3548" s="8" t="str">
        <f t="shared" si="68"/>
        <v>2009-10 (октябрь 2009)</v>
      </c>
      <c r="E3548" s="9" t="s">
        <v>78</v>
      </c>
      <c r="F3548" s="7">
        <v>18</v>
      </c>
      <c r="G3548" s="7">
        <v>5459.32</v>
      </c>
      <c r="H3548" s="7">
        <v>0.03</v>
      </c>
      <c r="I3548" s="9" t="s">
        <v>22</v>
      </c>
      <c r="J3548" s="10">
        <v>1603.12</v>
      </c>
      <c r="K3548" s="11">
        <v>300.64999999999998</v>
      </c>
      <c r="L3548" s="11">
        <v>24.49</v>
      </c>
      <c r="M3548" s="9" t="s">
        <v>1673</v>
      </c>
      <c r="N3548" s="6" t="s">
        <v>1595</v>
      </c>
      <c r="O3548" s="6" t="s">
        <v>1595</v>
      </c>
      <c r="P3548" s="9" t="s">
        <v>41</v>
      </c>
      <c r="Q3548" s="9" t="s">
        <v>26</v>
      </c>
      <c r="R3548" s="9" t="s">
        <v>34</v>
      </c>
      <c r="S3548" s="7" t="s">
        <v>378</v>
      </c>
      <c r="T3548" s="9" t="s">
        <v>29</v>
      </c>
      <c r="U3548" s="7">
        <v>0.52</v>
      </c>
      <c r="V3548" s="12">
        <f>C3548+2</f>
        <v>40116</v>
      </c>
      <c r="W3548">
        <f>IF(D3548=' Pivot Tables'!$A$4,1,0)</f>
        <v>0</v>
      </c>
      <c r="X3548">
        <f>IF(AND(LEFT(D3548,4)+1=LEFT(' Pivot Tables'!$A$4,4)+0,RIGHT(LEFT(D3548,7),2)=RIGHT(LEFT(' Pivot Tables'!$A$4,7),2)),1,0)</f>
        <v>0</v>
      </c>
      <c r="Y3548" s="6">
        <f>1/COUNTIF(Таблица1[Order ID],Таблица1[[#This Row],[Order ID]])</f>
        <v>0.33333333333333331</v>
      </c>
      <c r="Z3548" s="9">
        <f>1/COUNTIFS(Таблица1[Customer Name],Таблица1[[#This Row],[Customer Name]],Таблица1[Order-Year-Month],Таблица1[[#This Row],[Order-Year-Month]])</f>
        <v>0.33333333333333331</v>
      </c>
    </row>
    <row r="3549" spans="1:26" x14ac:dyDescent="0.2">
      <c r="A3549" s="6">
        <v>1042</v>
      </c>
      <c r="B3549" s="7">
        <v>7623</v>
      </c>
      <c r="C3549" s="8">
        <f>DATE(2012,12,31)-1160</f>
        <v>40114</v>
      </c>
      <c r="D3549" s="8" t="str">
        <f t="shared" si="68"/>
        <v>2009-10 (октябрь 2009)</v>
      </c>
      <c r="E3549" s="9" t="s">
        <v>78</v>
      </c>
      <c r="F3549" s="7">
        <v>37</v>
      </c>
      <c r="G3549" s="7">
        <v>1793.42</v>
      </c>
      <c r="H3549" s="7">
        <v>0.06</v>
      </c>
      <c r="I3549" s="9" t="s">
        <v>22</v>
      </c>
      <c r="J3549" s="10">
        <v>21.5</v>
      </c>
      <c r="K3549" s="11">
        <v>49.99</v>
      </c>
      <c r="L3549" s="11">
        <v>19.989999999999998</v>
      </c>
      <c r="M3549" s="9" t="s">
        <v>1673</v>
      </c>
      <c r="N3549" s="6" t="s">
        <v>1595</v>
      </c>
      <c r="O3549" s="6" t="s">
        <v>1595</v>
      </c>
      <c r="P3549" s="9" t="s">
        <v>41</v>
      </c>
      <c r="Q3549" s="9" t="s">
        <v>42</v>
      </c>
      <c r="R3549" s="9" t="s">
        <v>70</v>
      </c>
      <c r="S3549" s="7" t="s">
        <v>1682</v>
      </c>
      <c r="T3549" s="9" t="s">
        <v>39</v>
      </c>
      <c r="U3549" s="7">
        <v>0.45</v>
      </c>
      <c r="V3549" s="12">
        <f>C3549+2</f>
        <v>40116</v>
      </c>
      <c r="W3549">
        <f>IF(D3549=' Pivot Tables'!$A$4,1,0)</f>
        <v>0</v>
      </c>
      <c r="X3549">
        <f>IF(AND(LEFT(D3549,4)+1=LEFT(' Pivot Tables'!$A$4,4)+0,RIGHT(LEFT(D3549,7),2)=RIGHT(LEFT(' Pivot Tables'!$A$4,7),2)),1,0)</f>
        <v>0</v>
      </c>
      <c r="Y3549" s="6">
        <f>1/COUNTIF(Таблица1[Order ID],Таблица1[[#This Row],[Order ID]])</f>
        <v>0.33333333333333331</v>
      </c>
      <c r="Z3549" s="9">
        <f>1/COUNTIFS(Таблица1[Customer Name],Таблица1[[#This Row],[Customer Name]],Таблица1[Order-Year-Month],Таблица1[[#This Row],[Order-Year-Month]])</f>
        <v>0.33333333333333331</v>
      </c>
    </row>
    <row r="3550" spans="1:26" x14ac:dyDescent="0.2">
      <c r="A3550" s="6">
        <v>1043</v>
      </c>
      <c r="B3550" s="7">
        <v>7623</v>
      </c>
      <c r="C3550" s="8">
        <f>DATE(2012,12,31)-1160</f>
        <v>40114</v>
      </c>
      <c r="D3550" s="8" t="str">
        <f t="shared" si="68"/>
        <v>2009-10 (октябрь 2009)</v>
      </c>
      <c r="E3550" s="9" t="s">
        <v>78</v>
      </c>
      <c r="F3550" s="7">
        <v>32</v>
      </c>
      <c r="G3550" s="7">
        <v>3080.07</v>
      </c>
      <c r="H3550" s="7">
        <v>0.1</v>
      </c>
      <c r="I3550" s="9" t="s">
        <v>22</v>
      </c>
      <c r="J3550" s="10">
        <v>1480.15</v>
      </c>
      <c r="K3550" s="11">
        <v>104.85</v>
      </c>
      <c r="L3550" s="11">
        <v>4.6500000000000004</v>
      </c>
      <c r="M3550" s="9" t="s">
        <v>1673</v>
      </c>
      <c r="N3550" s="6" t="s">
        <v>1595</v>
      </c>
      <c r="O3550" s="6" t="s">
        <v>1595</v>
      </c>
      <c r="P3550" s="9" t="s">
        <v>41</v>
      </c>
      <c r="Q3550" s="9" t="s">
        <v>26</v>
      </c>
      <c r="R3550" s="9" t="s">
        <v>61</v>
      </c>
      <c r="S3550" s="7" t="s">
        <v>652</v>
      </c>
      <c r="T3550" s="9" t="s">
        <v>39</v>
      </c>
      <c r="U3550" s="7">
        <v>0.37</v>
      </c>
      <c r="V3550" s="12">
        <f>C3550+1</f>
        <v>40115</v>
      </c>
      <c r="W3550">
        <f>IF(D3550=' Pivot Tables'!$A$4,1,0)</f>
        <v>0</v>
      </c>
      <c r="X3550">
        <f>IF(AND(LEFT(D3550,4)+1=LEFT(' Pivot Tables'!$A$4,4)+0,RIGHT(LEFT(D3550,7),2)=RIGHT(LEFT(' Pivot Tables'!$A$4,7),2)),1,0)</f>
        <v>0</v>
      </c>
      <c r="Y3550" s="6">
        <f>1/COUNTIF(Таблица1[Order ID],Таблица1[[#This Row],[Order ID]])</f>
        <v>0.33333333333333331</v>
      </c>
      <c r="Z3550" s="9">
        <f>1/COUNTIFS(Таблица1[Customer Name],Таблица1[[#This Row],[Customer Name]],Таблица1[Order-Year-Month],Таблица1[[#This Row],[Order-Year-Month]])</f>
        <v>0.33333333333333331</v>
      </c>
    </row>
    <row r="3551" spans="1:26" x14ac:dyDescent="0.2">
      <c r="A3551" s="6">
        <v>1084</v>
      </c>
      <c r="B3551" s="7">
        <v>8000</v>
      </c>
      <c r="C3551" s="8">
        <f>DATE(2012,12,31)-834</f>
        <v>40440</v>
      </c>
      <c r="D3551" s="8" t="str">
        <f t="shared" si="68"/>
        <v>2010-09 (сентябрь 2010)</v>
      </c>
      <c r="E3551" s="9" t="s">
        <v>21</v>
      </c>
      <c r="F3551" s="7">
        <v>10</v>
      </c>
      <c r="G3551" s="7">
        <v>149.25</v>
      </c>
      <c r="H3551" s="7">
        <v>0.08</v>
      </c>
      <c r="I3551" s="9" t="s">
        <v>22</v>
      </c>
      <c r="J3551" s="10">
        <v>-26.8065</v>
      </c>
      <c r="K3551" s="11">
        <v>15.01</v>
      </c>
      <c r="L3551" s="11">
        <v>8.4</v>
      </c>
      <c r="M3551" s="9" t="s">
        <v>1672</v>
      </c>
      <c r="N3551" s="6" t="s">
        <v>1595</v>
      </c>
      <c r="O3551" s="6" t="s">
        <v>1595</v>
      </c>
      <c r="P3551" s="9" t="s">
        <v>25</v>
      </c>
      <c r="Q3551" s="9" t="s">
        <v>26</v>
      </c>
      <c r="R3551" s="9" t="s">
        <v>37</v>
      </c>
      <c r="S3551" s="7" t="s">
        <v>443</v>
      </c>
      <c r="T3551" s="9" t="s">
        <v>39</v>
      </c>
      <c r="U3551" s="7">
        <v>0.39</v>
      </c>
      <c r="V3551" s="12">
        <f>C3551+2</f>
        <v>40442</v>
      </c>
      <c r="W3551">
        <f>IF(D3551=' Pivot Tables'!$A$4,1,0)</f>
        <v>0</v>
      </c>
      <c r="X3551">
        <f>IF(AND(LEFT(D3551,4)+1=LEFT(' Pivot Tables'!$A$4,4)+0,RIGHT(LEFT(D3551,7),2)=RIGHT(LEFT(' Pivot Tables'!$A$4,7),2)),1,0)</f>
        <v>0</v>
      </c>
      <c r="Y3551" s="6">
        <f>1/COUNTIF(Таблица1[Order ID],Таблица1[[#This Row],[Order ID]])</f>
        <v>0.5</v>
      </c>
      <c r="Z3551" s="9">
        <f>1/COUNTIFS(Таблица1[Customer Name],Таблица1[[#This Row],[Customer Name]],Таблица1[Order-Year-Month],Таблица1[[#This Row],[Order-Year-Month]])</f>
        <v>0.5</v>
      </c>
    </row>
    <row r="3552" spans="1:26" x14ac:dyDescent="0.2">
      <c r="A3552" s="6">
        <v>1085</v>
      </c>
      <c r="B3552" s="7">
        <v>8000</v>
      </c>
      <c r="C3552" s="8">
        <f>DATE(2012,12,31)-834</f>
        <v>40440</v>
      </c>
      <c r="D3552" s="8" t="str">
        <f t="shared" si="68"/>
        <v>2010-09 (сентябрь 2010)</v>
      </c>
      <c r="E3552" s="9" t="s">
        <v>21</v>
      </c>
      <c r="F3552" s="7">
        <v>1</v>
      </c>
      <c r="G3552" s="7">
        <v>10.14</v>
      </c>
      <c r="H3552" s="7">
        <v>0.04</v>
      </c>
      <c r="I3552" s="9" t="s">
        <v>22</v>
      </c>
      <c r="J3552" s="10">
        <v>-7.6130000000000004</v>
      </c>
      <c r="K3552" s="11">
        <v>4.82</v>
      </c>
      <c r="L3552" s="11">
        <v>5.24</v>
      </c>
      <c r="M3552" s="9" t="s">
        <v>1672</v>
      </c>
      <c r="N3552" s="6" t="s">
        <v>1595</v>
      </c>
      <c r="O3552" s="6" t="s">
        <v>1595</v>
      </c>
      <c r="P3552" s="9" t="s">
        <v>25</v>
      </c>
      <c r="Q3552" s="9" t="s">
        <v>26</v>
      </c>
      <c r="R3552" s="9" t="s">
        <v>37</v>
      </c>
      <c r="S3552" s="7" t="s">
        <v>1683</v>
      </c>
      <c r="T3552" s="9" t="s">
        <v>39</v>
      </c>
      <c r="U3552" s="7">
        <v>0.39</v>
      </c>
      <c r="V3552" s="12">
        <f>C3552+2</f>
        <v>40442</v>
      </c>
      <c r="W3552">
        <f>IF(D3552=' Pivot Tables'!$A$4,1,0)</f>
        <v>0</v>
      </c>
      <c r="X3552">
        <f>IF(AND(LEFT(D3552,4)+1=LEFT(' Pivot Tables'!$A$4,4)+0,RIGHT(LEFT(D3552,7),2)=RIGHT(LEFT(' Pivot Tables'!$A$4,7),2)),1,0)</f>
        <v>0</v>
      </c>
      <c r="Y3552" s="6">
        <f>1/COUNTIF(Таблица1[Order ID],Таблица1[[#This Row],[Order ID]])</f>
        <v>0.5</v>
      </c>
      <c r="Z3552" s="9">
        <f>1/COUNTIFS(Таблица1[Customer Name],Таблица1[[#This Row],[Customer Name]],Таблица1[Order-Year-Month],Таблица1[[#This Row],[Order-Year-Month]])</f>
        <v>0.5</v>
      </c>
    </row>
    <row r="3553" spans="1:26" x14ac:dyDescent="0.2">
      <c r="A3553" s="6">
        <v>1097</v>
      </c>
      <c r="B3553" s="7">
        <v>8039</v>
      </c>
      <c r="C3553" s="8">
        <f>DATE(2012,12,31)-130</f>
        <v>41144</v>
      </c>
      <c r="D3553" s="8" t="str">
        <f t="shared" si="68"/>
        <v>2012-08 (август 2012)</v>
      </c>
      <c r="E3553" s="9" t="s">
        <v>63</v>
      </c>
      <c r="F3553" s="7">
        <v>37</v>
      </c>
      <c r="G3553" s="7">
        <v>1199.7</v>
      </c>
      <c r="H3553" s="7">
        <v>0.01</v>
      </c>
      <c r="I3553" s="9" t="s">
        <v>22</v>
      </c>
      <c r="J3553" s="10">
        <v>3.22</v>
      </c>
      <c r="K3553" s="11">
        <v>30.98</v>
      </c>
      <c r="L3553" s="11">
        <v>19.510000000000002</v>
      </c>
      <c r="M3553" s="9" t="s">
        <v>1678</v>
      </c>
      <c r="N3553" s="6" t="s">
        <v>1595</v>
      </c>
      <c r="O3553" s="6" t="s">
        <v>1595</v>
      </c>
      <c r="P3553" s="9" t="s">
        <v>25</v>
      </c>
      <c r="Q3553" s="9" t="s">
        <v>26</v>
      </c>
      <c r="R3553" s="9" t="s">
        <v>76</v>
      </c>
      <c r="S3553" s="7" t="s">
        <v>1504</v>
      </c>
      <c r="T3553" s="9" t="s">
        <v>39</v>
      </c>
      <c r="U3553" s="7">
        <v>0.36</v>
      </c>
      <c r="V3553" s="12">
        <f>C3553+1</f>
        <v>41145</v>
      </c>
      <c r="W3553">
        <f>IF(D3553=' Pivot Tables'!$A$4,1,0)</f>
        <v>0</v>
      </c>
      <c r="X3553">
        <f>IF(AND(LEFT(D3553,4)+1=LEFT(' Pivot Tables'!$A$4,4)+0,RIGHT(LEFT(D3553,7),2)=RIGHT(LEFT(' Pivot Tables'!$A$4,7),2)),1,0)</f>
        <v>0</v>
      </c>
      <c r="Y3553" s="6">
        <f>1/COUNTIF(Таблица1[Order ID],Таблица1[[#This Row],[Order ID]])</f>
        <v>1</v>
      </c>
      <c r="Z3553" s="9">
        <f>1/COUNTIFS(Таблица1[Customer Name],Таблица1[[#This Row],[Customer Name]],Таблица1[Order-Year-Month],Таблица1[[#This Row],[Order-Year-Month]])</f>
        <v>1</v>
      </c>
    </row>
    <row r="3554" spans="1:26" x14ac:dyDescent="0.2">
      <c r="A3554" s="6">
        <v>1112</v>
      </c>
      <c r="B3554" s="7">
        <v>8162</v>
      </c>
      <c r="C3554" s="8">
        <f>DATE(2012,12,31)-1181</f>
        <v>40093</v>
      </c>
      <c r="D3554" s="8" t="str">
        <f t="shared" si="68"/>
        <v>2009-10 (октябрь 2009)</v>
      </c>
      <c r="E3554" s="9" t="s">
        <v>63</v>
      </c>
      <c r="F3554" s="7">
        <v>25</v>
      </c>
      <c r="G3554" s="7">
        <v>670.39</v>
      </c>
      <c r="H3554" s="7">
        <v>0.03</v>
      </c>
      <c r="I3554" s="9" t="s">
        <v>22</v>
      </c>
      <c r="J3554" s="10">
        <v>-82.26</v>
      </c>
      <c r="K3554" s="11">
        <v>27.48</v>
      </c>
      <c r="L3554" s="11">
        <v>4</v>
      </c>
      <c r="M3554" s="9" t="s">
        <v>1679</v>
      </c>
      <c r="N3554" s="6" t="s">
        <v>1595</v>
      </c>
      <c r="O3554" s="6" t="s">
        <v>1595</v>
      </c>
      <c r="P3554" s="9" t="s">
        <v>25</v>
      </c>
      <c r="Q3554" s="9" t="s">
        <v>42</v>
      </c>
      <c r="R3554" s="9" t="s">
        <v>70</v>
      </c>
      <c r="S3554" s="7" t="s">
        <v>762</v>
      </c>
      <c r="T3554" s="9" t="s">
        <v>39</v>
      </c>
      <c r="U3554" s="7">
        <v>0.75</v>
      </c>
      <c r="V3554" s="12">
        <f>C3554+1</f>
        <v>40094</v>
      </c>
      <c r="W3554">
        <f>IF(D3554=' Pivot Tables'!$A$4,1,0)</f>
        <v>0</v>
      </c>
      <c r="X3554">
        <f>IF(AND(LEFT(D3554,4)+1=LEFT(' Pivot Tables'!$A$4,4)+0,RIGHT(LEFT(D3554,7),2)=RIGHT(LEFT(' Pivot Tables'!$A$4,7),2)),1,0)</f>
        <v>0</v>
      </c>
      <c r="Y3554" s="6">
        <f>1/COUNTIF(Таблица1[Order ID],Таблица1[[#This Row],[Order ID]])</f>
        <v>0.33333333333333331</v>
      </c>
      <c r="Z3554" s="9">
        <f>1/COUNTIFS(Таблица1[Customer Name],Таблица1[[#This Row],[Customer Name]],Таблица1[Order-Year-Month],Таблица1[[#This Row],[Order-Year-Month]])</f>
        <v>0.33333333333333331</v>
      </c>
    </row>
    <row r="3555" spans="1:26" x14ac:dyDescent="0.2">
      <c r="A3555" s="6">
        <v>1113</v>
      </c>
      <c r="B3555" s="7">
        <v>8162</v>
      </c>
      <c r="C3555" s="8">
        <f>DATE(2012,12,31)-1181</f>
        <v>40093</v>
      </c>
      <c r="D3555" s="8" t="str">
        <f t="shared" si="68"/>
        <v>2009-10 (октябрь 2009)</v>
      </c>
      <c r="E3555" s="9" t="s">
        <v>63</v>
      </c>
      <c r="F3555" s="7">
        <v>32</v>
      </c>
      <c r="G3555" s="7">
        <v>5618.4</v>
      </c>
      <c r="H3555" s="7">
        <v>0.1</v>
      </c>
      <c r="I3555" s="9" t="s">
        <v>22</v>
      </c>
      <c r="J3555" s="10">
        <v>1314.12</v>
      </c>
      <c r="K3555" s="11">
        <v>179.99</v>
      </c>
      <c r="L3555" s="11">
        <v>19.989999999999998</v>
      </c>
      <c r="M3555" s="9" t="s">
        <v>1679</v>
      </c>
      <c r="N3555" s="6" t="s">
        <v>1595</v>
      </c>
      <c r="O3555" s="6" t="s">
        <v>1595</v>
      </c>
      <c r="P3555" s="9" t="s">
        <v>25</v>
      </c>
      <c r="Q3555" s="9" t="s">
        <v>42</v>
      </c>
      <c r="R3555" s="9" t="s">
        <v>70</v>
      </c>
      <c r="S3555" s="7" t="s">
        <v>811</v>
      </c>
      <c r="T3555" s="9" t="s">
        <v>39</v>
      </c>
      <c r="U3555" s="7">
        <v>0.48</v>
      </c>
      <c r="V3555" s="12">
        <f>C3555+1</f>
        <v>40094</v>
      </c>
      <c r="W3555">
        <f>IF(D3555=' Pivot Tables'!$A$4,1,0)</f>
        <v>0</v>
      </c>
      <c r="X3555">
        <f>IF(AND(LEFT(D3555,4)+1=LEFT(' Pivot Tables'!$A$4,4)+0,RIGHT(LEFT(D3555,7),2)=RIGHT(LEFT(' Pivot Tables'!$A$4,7),2)),1,0)</f>
        <v>0</v>
      </c>
      <c r="Y3555" s="6">
        <f>1/COUNTIF(Таблица1[Order ID],Таблица1[[#This Row],[Order ID]])</f>
        <v>0.33333333333333331</v>
      </c>
      <c r="Z3555" s="9">
        <f>1/COUNTIFS(Таблица1[Customer Name],Таблица1[[#This Row],[Customer Name]],Таблица1[Order-Year-Month],Таблица1[[#This Row],[Order-Year-Month]])</f>
        <v>0.33333333333333331</v>
      </c>
    </row>
    <row r="3556" spans="1:26" x14ac:dyDescent="0.2">
      <c r="A3556" s="6">
        <v>1114</v>
      </c>
      <c r="B3556" s="7">
        <v>8162</v>
      </c>
      <c r="C3556" s="8">
        <f>DATE(2012,12,31)-1181</f>
        <v>40093</v>
      </c>
      <c r="D3556" s="8" t="str">
        <f t="shared" si="68"/>
        <v>2009-10 (октябрь 2009)</v>
      </c>
      <c r="E3556" s="9" t="s">
        <v>63</v>
      </c>
      <c r="F3556" s="7">
        <v>42</v>
      </c>
      <c r="G3556" s="7">
        <v>5450.6</v>
      </c>
      <c r="H3556" s="7">
        <v>0.1</v>
      </c>
      <c r="I3556" s="9" t="s">
        <v>22</v>
      </c>
      <c r="J3556" s="10">
        <v>10.86</v>
      </c>
      <c r="K3556" s="11">
        <v>140.85</v>
      </c>
      <c r="L3556" s="11">
        <v>19.989999999999998</v>
      </c>
      <c r="M3556" s="9" t="s">
        <v>1679</v>
      </c>
      <c r="N3556" s="6" t="s">
        <v>1595</v>
      </c>
      <c r="O3556" s="6" t="s">
        <v>1595</v>
      </c>
      <c r="P3556" s="9" t="s">
        <v>25</v>
      </c>
      <c r="Q3556" s="9" t="s">
        <v>26</v>
      </c>
      <c r="R3556" s="9" t="s">
        <v>27</v>
      </c>
      <c r="S3556" s="7" t="s">
        <v>538</v>
      </c>
      <c r="T3556" s="9" t="s">
        <v>39</v>
      </c>
      <c r="U3556" s="7">
        <v>0.73</v>
      </c>
      <c r="V3556" s="12">
        <f>C3556+2</f>
        <v>40095</v>
      </c>
      <c r="W3556">
        <f>IF(D3556=' Pivot Tables'!$A$4,1,0)</f>
        <v>0</v>
      </c>
      <c r="X3556">
        <f>IF(AND(LEFT(D3556,4)+1=LEFT(' Pivot Tables'!$A$4,4)+0,RIGHT(LEFT(D3556,7),2)=RIGHT(LEFT(' Pivot Tables'!$A$4,7),2)),1,0)</f>
        <v>0</v>
      </c>
      <c r="Y3556" s="6">
        <f>1/COUNTIF(Таблица1[Order ID],Таблица1[[#This Row],[Order ID]])</f>
        <v>0.33333333333333331</v>
      </c>
      <c r="Z3556" s="9">
        <f>1/COUNTIFS(Таблица1[Customer Name],Таблица1[[#This Row],[Customer Name]],Таблица1[Order-Year-Month],Таблица1[[#This Row],[Order-Year-Month]])</f>
        <v>0.33333333333333331</v>
      </c>
    </row>
    <row r="3557" spans="1:26" x14ac:dyDescent="0.2">
      <c r="A3557" s="6">
        <v>1211</v>
      </c>
      <c r="B3557" s="7">
        <v>8870</v>
      </c>
      <c r="C3557" s="8">
        <f>DATE(2012,12,31)-1032</f>
        <v>40242</v>
      </c>
      <c r="D3557" s="8" t="str">
        <f t="shared" si="68"/>
        <v>2010-03 (март 2010)</v>
      </c>
      <c r="E3557" s="9" t="s">
        <v>45</v>
      </c>
      <c r="F3557" s="7">
        <v>15</v>
      </c>
      <c r="G3557" s="7">
        <v>441.58</v>
      </c>
      <c r="H3557" s="7">
        <v>7.0000000000000007E-2</v>
      </c>
      <c r="I3557" s="9" t="s">
        <v>22</v>
      </c>
      <c r="J3557" s="10">
        <v>117.39</v>
      </c>
      <c r="K3557" s="11">
        <v>30.98</v>
      </c>
      <c r="L3557" s="11">
        <v>5.09</v>
      </c>
      <c r="M3557" s="9" t="s">
        <v>1679</v>
      </c>
      <c r="N3557" s="6" t="s">
        <v>1595</v>
      </c>
      <c r="O3557" s="6" t="s">
        <v>1595</v>
      </c>
      <c r="P3557" s="9" t="s">
        <v>25</v>
      </c>
      <c r="Q3557" s="9" t="s">
        <v>26</v>
      </c>
      <c r="R3557" s="9" t="s">
        <v>61</v>
      </c>
      <c r="S3557" s="7" t="s">
        <v>1684</v>
      </c>
      <c r="T3557" s="9" t="s">
        <v>39</v>
      </c>
      <c r="U3557" s="7">
        <v>0.4</v>
      </c>
      <c r="V3557" s="12">
        <f>C3557+1</f>
        <v>40243</v>
      </c>
      <c r="W3557">
        <f>IF(D3557=' Pivot Tables'!$A$4,1,0)</f>
        <v>0</v>
      </c>
      <c r="X3557">
        <f>IF(AND(LEFT(D3557,4)+1=LEFT(' Pivot Tables'!$A$4,4)+0,RIGHT(LEFT(D3557,7),2)=RIGHT(LEFT(' Pivot Tables'!$A$4,7),2)),1,0)</f>
        <v>0</v>
      </c>
      <c r="Y3557" s="6">
        <f>1/COUNTIF(Таблица1[Order ID],Таблица1[[#This Row],[Order ID]])</f>
        <v>1</v>
      </c>
      <c r="Z3557" s="9">
        <f>1/COUNTIFS(Таблица1[Customer Name],Таблица1[[#This Row],[Customer Name]],Таблица1[Order-Year-Month],Таблица1[[#This Row],[Order-Year-Month]])</f>
        <v>1</v>
      </c>
    </row>
    <row r="3558" spans="1:26" x14ac:dyDescent="0.2">
      <c r="A3558" s="6">
        <v>1275</v>
      </c>
      <c r="B3558" s="7">
        <v>9253</v>
      </c>
      <c r="C3558" s="8">
        <f>DATE(2012,12,31)-336</f>
        <v>40938</v>
      </c>
      <c r="D3558" s="8" t="str">
        <f t="shared" si="68"/>
        <v>2012-01 (январь 2012)</v>
      </c>
      <c r="E3558" s="9" t="s">
        <v>78</v>
      </c>
      <c r="F3558" s="7">
        <v>36</v>
      </c>
      <c r="G3558" s="7">
        <v>1644.22</v>
      </c>
      <c r="H3558" s="7">
        <v>0.05</v>
      </c>
      <c r="I3558" s="9" t="s">
        <v>22</v>
      </c>
      <c r="J3558" s="10">
        <v>563.09</v>
      </c>
      <c r="K3558" s="11">
        <v>46.94</v>
      </c>
      <c r="L3558" s="11">
        <v>6.77</v>
      </c>
      <c r="M3558" s="9" t="s">
        <v>862</v>
      </c>
      <c r="N3558" s="6" t="s">
        <v>1595</v>
      </c>
      <c r="O3558" s="6" t="s">
        <v>1595</v>
      </c>
      <c r="P3558" s="9" t="s">
        <v>25</v>
      </c>
      <c r="Q3558" s="9" t="s">
        <v>49</v>
      </c>
      <c r="R3558" s="9" t="s">
        <v>50</v>
      </c>
      <c r="S3558" s="7" t="s">
        <v>1124</v>
      </c>
      <c r="T3558" s="9" t="s">
        <v>39</v>
      </c>
      <c r="U3558" s="7">
        <v>0.44</v>
      </c>
      <c r="V3558" s="12">
        <f>C3558+2</f>
        <v>40940</v>
      </c>
      <c r="W3558">
        <f>IF(D3558=' Pivot Tables'!$A$4,1,0)</f>
        <v>0</v>
      </c>
      <c r="X3558">
        <f>IF(AND(LEFT(D3558,4)+1=LEFT(' Pivot Tables'!$A$4,4)+0,RIGHT(LEFT(D3558,7),2)=RIGHT(LEFT(' Pivot Tables'!$A$4,7),2)),1,0)</f>
        <v>0</v>
      </c>
      <c r="Y3558" s="6">
        <f>1/COUNTIF(Таблица1[Order ID],Таблица1[[#This Row],[Order ID]])</f>
        <v>1</v>
      </c>
      <c r="Z3558" s="9">
        <f>1/COUNTIFS(Таблица1[Customer Name],Таблица1[[#This Row],[Customer Name]],Таблица1[Order-Year-Month],Таблица1[[#This Row],[Order-Year-Month]])</f>
        <v>1</v>
      </c>
    </row>
    <row r="3559" spans="1:26" x14ac:dyDescent="0.2">
      <c r="A3559" s="6">
        <v>1490</v>
      </c>
      <c r="B3559" s="7">
        <v>10722</v>
      </c>
      <c r="C3559" s="8">
        <f>DATE(2012,12,31)-712</f>
        <v>40562</v>
      </c>
      <c r="D3559" s="8" t="str">
        <f t="shared" si="68"/>
        <v>2011-01 (январь 2011)</v>
      </c>
      <c r="E3559" s="9" t="s">
        <v>45</v>
      </c>
      <c r="F3559" s="7">
        <v>8</v>
      </c>
      <c r="G3559" s="7">
        <v>40.26</v>
      </c>
      <c r="H3559" s="7">
        <v>0.01</v>
      </c>
      <c r="I3559" s="9" t="s">
        <v>22</v>
      </c>
      <c r="J3559" s="10">
        <v>-27.44</v>
      </c>
      <c r="K3559" s="11">
        <v>4.28</v>
      </c>
      <c r="L3559" s="11">
        <v>5.68</v>
      </c>
      <c r="M3559" s="9" t="s">
        <v>1660</v>
      </c>
      <c r="N3559" s="6" t="s">
        <v>1595</v>
      </c>
      <c r="O3559" s="6" t="s">
        <v>1595</v>
      </c>
      <c r="P3559" s="9" t="s">
        <v>60</v>
      </c>
      <c r="Q3559" s="9" t="s">
        <v>26</v>
      </c>
      <c r="R3559" s="9" t="s">
        <v>61</v>
      </c>
      <c r="S3559" s="7" t="s">
        <v>838</v>
      </c>
      <c r="T3559" s="9" t="s">
        <v>39</v>
      </c>
      <c r="U3559" s="7">
        <v>0.4</v>
      </c>
      <c r="V3559" s="12">
        <f>C3559+2</f>
        <v>40564</v>
      </c>
      <c r="W3559">
        <f>IF(D3559=' Pivot Tables'!$A$4,1,0)</f>
        <v>0</v>
      </c>
      <c r="X3559">
        <f>IF(AND(LEFT(D3559,4)+1=LEFT(' Pivot Tables'!$A$4,4)+0,RIGHT(LEFT(D3559,7),2)=RIGHT(LEFT(' Pivot Tables'!$A$4,7),2)),1,0)</f>
        <v>0</v>
      </c>
      <c r="Y3559" s="6">
        <f>1/COUNTIF(Таблица1[Order ID],Таблица1[[#This Row],[Order ID]])</f>
        <v>1</v>
      </c>
      <c r="Z3559" s="9">
        <f>1/COUNTIFS(Таблица1[Customer Name],Таблица1[[#This Row],[Customer Name]],Таблица1[Order-Year-Month],Таблица1[[#This Row],[Order-Year-Month]])</f>
        <v>0.5</v>
      </c>
    </row>
    <row r="3560" spans="1:26" x14ac:dyDescent="0.2">
      <c r="A3560" s="6">
        <v>1595</v>
      </c>
      <c r="B3560" s="7">
        <v>11527</v>
      </c>
      <c r="C3560" s="8">
        <f>DATE(2012,12,31)-1278</f>
        <v>39996</v>
      </c>
      <c r="D3560" s="8" t="str">
        <f t="shared" si="68"/>
        <v>2009-07 (июль 2009)</v>
      </c>
      <c r="E3560" s="9" t="s">
        <v>63</v>
      </c>
      <c r="F3560" s="7">
        <v>45</v>
      </c>
      <c r="G3560" s="7">
        <v>4629.67</v>
      </c>
      <c r="H3560" s="7">
        <v>0.04</v>
      </c>
      <c r="I3560" s="9" t="s">
        <v>22</v>
      </c>
      <c r="J3560" s="10">
        <v>2860.71</v>
      </c>
      <c r="K3560" s="11">
        <v>99.23</v>
      </c>
      <c r="L3560" s="11">
        <v>8.99</v>
      </c>
      <c r="M3560" s="9" t="s">
        <v>1674</v>
      </c>
      <c r="N3560" s="6" t="s">
        <v>1595</v>
      </c>
      <c r="O3560" s="6" t="s">
        <v>1595</v>
      </c>
      <c r="P3560" s="9" t="s">
        <v>60</v>
      </c>
      <c r="Q3560" s="9" t="s">
        <v>49</v>
      </c>
      <c r="R3560" s="9" t="s">
        <v>50</v>
      </c>
      <c r="S3560" s="7" t="s">
        <v>700</v>
      </c>
      <c r="T3560" s="9" t="s">
        <v>52</v>
      </c>
      <c r="U3560" s="7">
        <v>0.35</v>
      </c>
      <c r="V3560" s="12">
        <f>C3560+2</f>
        <v>39998</v>
      </c>
      <c r="W3560">
        <f>IF(D3560=' Pivot Tables'!$A$4,1,0)</f>
        <v>0</v>
      </c>
      <c r="X3560">
        <f>IF(AND(LEFT(D3560,4)+1=LEFT(' Pivot Tables'!$A$4,4)+0,RIGHT(LEFT(D3560,7),2)=RIGHT(LEFT(' Pivot Tables'!$A$4,7),2)),1,0)</f>
        <v>0</v>
      </c>
      <c r="Y3560" s="6">
        <f>1/COUNTIF(Таблица1[Order ID],Таблица1[[#This Row],[Order ID]])</f>
        <v>1</v>
      </c>
      <c r="Z3560" s="9">
        <f>1/COUNTIFS(Таблица1[Customer Name],Таблица1[[#This Row],[Customer Name]],Таблица1[Order-Year-Month],Таблица1[[#This Row],[Order-Year-Month]])</f>
        <v>1</v>
      </c>
    </row>
    <row r="3561" spans="1:26" x14ac:dyDescent="0.2">
      <c r="A3561" s="6">
        <v>1613</v>
      </c>
      <c r="B3561" s="7">
        <v>11683</v>
      </c>
      <c r="C3561" s="8">
        <f>DATE(2012,12,31)-328</f>
        <v>40946</v>
      </c>
      <c r="D3561" s="8" t="str">
        <f t="shared" si="68"/>
        <v>2012-02 (февраль 2012)</v>
      </c>
      <c r="E3561" s="9" t="s">
        <v>45</v>
      </c>
      <c r="F3561" s="7">
        <v>28</v>
      </c>
      <c r="G3561" s="7">
        <v>1650.4110000000001</v>
      </c>
      <c r="H3561" s="7">
        <v>0.03</v>
      </c>
      <c r="I3561" s="9" t="s">
        <v>22</v>
      </c>
      <c r="J3561" s="10">
        <v>335.07900000000001</v>
      </c>
      <c r="K3561" s="11">
        <v>65.989999999999995</v>
      </c>
      <c r="L3561" s="11">
        <v>5.99</v>
      </c>
      <c r="M3561" s="9" t="s">
        <v>1676</v>
      </c>
      <c r="N3561" s="6" t="s">
        <v>1595</v>
      </c>
      <c r="O3561" s="6" t="s">
        <v>1595</v>
      </c>
      <c r="P3561" s="9" t="s">
        <v>41</v>
      </c>
      <c r="Q3561" s="9" t="s">
        <v>42</v>
      </c>
      <c r="R3561" s="9" t="s">
        <v>43</v>
      </c>
      <c r="S3561" s="7" t="s">
        <v>560</v>
      </c>
      <c r="T3561" s="9" t="s">
        <v>39</v>
      </c>
      <c r="U3561" s="7">
        <v>0.57999999999999996</v>
      </c>
      <c r="V3561" s="12">
        <f>C3561+0</f>
        <v>40946</v>
      </c>
      <c r="W3561">
        <f>IF(D3561=' Pivot Tables'!$A$4,1,0)</f>
        <v>0</v>
      </c>
      <c r="X3561">
        <f>IF(AND(LEFT(D3561,4)+1=LEFT(' Pivot Tables'!$A$4,4)+0,RIGHT(LEFT(D3561,7),2)=RIGHT(LEFT(' Pivot Tables'!$A$4,7),2)),1,0)</f>
        <v>0</v>
      </c>
      <c r="Y3561" s="6">
        <f>1/COUNTIF(Таблица1[Order ID],Таблица1[[#This Row],[Order ID]])</f>
        <v>1</v>
      </c>
      <c r="Z3561" s="9">
        <f>1/COUNTIFS(Таблица1[Customer Name],Таблица1[[#This Row],[Customer Name]],Таблица1[Order-Year-Month],Таблица1[[#This Row],[Order-Year-Month]])</f>
        <v>1</v>
      </c>
    </row>
    <row r="3562" spans="1:26" x14ac:dyDescent="0.2">
      <c r="A3562" s="6">
        <v>1730</v>
      </c>
      <c r="B3562" s="7">
        <v>12448</v>
      </c>
      <c r="C3562" s="8">
        <f>DATE(2012,12,31)-419</f>
        <v>40855</v>
      </c>
      <c r="D3562" s="8" t="str">
        <f t="shared" si="68"/>
        <v>2011-11 (ноябрь 2011)</v>
      </c>
      <c r="E3562" s="9" t="s">
        <v>78</v>
      </c>
      <c r="F3562" s="7">
        <v>33</v>
      </c>
      <c r="G3562" s="7">
        <v>240.27</v>
      </c>
      <c r="H3562" s="7">
        <v>7.0000000000000007E-2</v>
      </c>
      <c r="I3562" s="9" t="s">
        <v>22</v>
      </c>
      <c r="J3562" s="10">
        <v>-269.80150000000003</v>
      </c>
      <c r="K3562" s="11">
        <v>7.38</v>
      </c>
      <c r="L3562" s="11">
        <v>11.51</v>
      </c>
      <c r="M3562" s="9" t="s">
        <v>1677</v>
      </c>
      <c r="N3562" s="6" t="s">
        <v>1595</v>
      </c>
      <c r="O3562" s="6" t="s">
        <v>1595</v>
      </c>
      <c r="P3562" s="9" t="s">
        <v>25</v>
      </c>
      <c r="Q3562" s="9" t="s">
        <v>26</v>
      </c>
      <c r="R3562" s="9" t="s">
        <v>37</v>
      </c>
      <c r="S3562" s="7" t="s">
        <v>1685</v>
      </c>
      <c r="T3562" s="9" t="s">
        <v>39</v>
      </c>
      <c r="U3562" s="7">
        <v>0.36</v>
      </c>
      <c r="V3562" s="12">
        <f>C3562+3</f>
        <v>40858</v>
      </c>
      <c r="W3562">
        <f>IF(D3562=' Pivot Tables'!$A$4,1,0)</f>
        <v>0</v>
      </c>
      <c r="X3562">
        <f>IF(AND(LEFT(D3562,4)+1=LEFT(' Pivot Tables'!$A$4,4)+0,RIGHT(LEFT(D3562,7),2)=RIGHT(LEFT(' Pivot Tables'!$A$4,7),2)),1,0)</f>
        <v>0</v>
      </c>
      <c r="Y3562" s="6">
        <f>1/COUNTIF(Таблица1[Order ID],Таблица1[[#This Row],[Order ID]])</f>
        <v>0.5</v>
      </c>
      <c r="Z3562" s="9">
        <f>1/COUNTIFS(Таблица1[Customer Name],Таблица1[[#This Row],[Customer Name]],Таблица1[Order-Year-Month],Таблица1[[#This Row],[Order-Year-Month]])</f>
        <v>0.5</v>
      </c>
    </row>
    <row r="3563" spans="1:26" x14ac:dyDescent="0.2">
      <c r="A3563" s="6">
        <v>1731</v>
      </c>
      <c r="B3563" s="7">
        <v>12448</v>
      </c>
      <c r="C3563" s="8">
        <f>DATE(2012,12,31)-419</f>
        <v>40855</v>
      </c>
      <c r="D3563" s="8" t="str">
        <f t="shared" si="68"/>
        <v>2011-11 (ноябрь 2011)</v>
      </c>
      <c r="E3563" s="9" t="s">
        <v>78</v>
      </c>
      <c r="F3563" s="7">
        <v>24</v>
      </c>
      <c r="G3563" s="7">
        <v>6802.37</v>
      </c>
      <c r="H3563" s="7">
        <v>0.08</v>
      </c>
      <c r="I3563" s="9" t="s">
        <v>31</v>
      </c>
      <c r="J3563" s="10">
        <v>459.5</v>
      </c>
      <c r="K3563" s="11">
        <v>284.98</v>
      </c>
      <c r="L3563" s="11">
        <v>69.55</v>
      </c>
      <c r="M3563" s="9" t="s">
        <v>1677</v>
      </c>
      <c r="N3563" s="6" t="s">
        <v>1595</v>
      </c>
      <c r="O3563" s="6" t="s">
        <v>1595</v>
      </c>
      <c r="P3563" s="9" t="s">
        <v>25</v>
      </c>
      <c r="Q3563" s="9" t="s">
        <v>49</v>
      </c>
      <c r="R3563" s="9" t="s">
        <v>112</v>
      </c>
      <c r="S3563" s="7" t="s">
        <v>834</v>
      </c>
      <c r="T3563" s="9" t="s">
        <v>36</v>
      </c>
      <c r="U3563" s="7">
        <v>0.6</v>
      </c>
      <c r="V3563" s="12">
        <f>C3563+1</f>
        <v>40856</v>
      </c>
      <c r="W3563">
        <f>IF(D3563=' Pivot Tables'!$A$4,1,0)</f>
        <v>0</v>
      </c>
      <c r="X3563">
        <f>IF(AND(LEFT(D3563,4)+1=LEFT(' Pivot Tables'!$A$4,4)+0,RIGHT(LEFT(D3563,7),2)=RIGHT(LEFT(' Pivot Tables'!$A$4,7),2)),1,0)</f>
        <v>0</v>
      </c>
      <c r="Y3563" s="6">
        <f>1/COUNTIF(Таблица1[Order ID],Таблица1[[#This Row],[Order ID]])</f>
        <v>0.5</v>
      </c>
      <c r="Z3563" s="9">
        <f>1/COUNTIFS(Таблица1[Customer Name],Таблица1[[#This Row],[Customer Name]],Таблица1[Order-Year-Month],Таблица1[[#This Row],[Order-Year-Month]])</f>
        <v>0.5</v>
      </c>
    </row>
    <row r="3564" spans="1:26" x14ac:dyDescent="0.2">
      <c r="A3564" s="6">
        <v>1816</v>
      </c>
      <c r="B3564" s="7">
        <v>13028</v>
      </c>
      <c r="C3564" s="8">
        <f>DATE(2012,12,31)-1363</f>
        <v>39911</v>
      </c>
      <c r="D3564" s="8" t="str">
        <f t="shared" si="68"/>
        <v>2009-04 (апрель 2009)</v>
      </c>
      <c r="E3564" s="9" t="s">
        <v>78</v>
      </c>
      <c r="F3564" s="7">
        <v>39</v>
      </c>
      <c r="G3564" s="7">
        <v>1357.53</v>
      </c>
      <c r="H3564" s="7">
        <v>0.05</v>
      </c>
      <c r="I3564" s="9" t="s">
        <v>22</v>
      </c>
      <c r="J3564" s="10">
        <v>562.91999999999996</v>
      </c>
      <c r="K3564" s="11">
        <v>35.44</v>
      </c>
      <c r="L3564" s="11">
        <v>5.09</v>
      </c>
      <c r="M3564" s="9" t="s">
        <v>1680</v>
      </c>
      <c r="N3564" s="6" t="s">
        <v>1595</v>
      </c>
      <c r="O3564" s="6" t="s">
        <v>1595</v>
      </c>
      <c r="P3564" s="9" t="s">
        <v>33</v>
      </c>
      <c r="Q3564" s="9" t="s">
        <v>26</v>
      </c>
      <c r="R3564" s="9" t="s">
        <v>61</v>
      </c>
      <c r="S3564" s="7" t="s">
        <v>227</v>
      </c>
      <c r="T3564" s="9" t="s">
        <v>39</v>
      </c>
      <c r="U3564" s="7">
        <v>0.38</v>
      </c>
      <c r="V3564" s="12">
        <f>C3564+1</f>
        <v>39912</v>
      </c>
      <c r="W3564">
        <f>IF(D3564=' Pivot Tables'!$A$4,1,0)</f>
        <v>0</v>
      </c>
      <c r="X3564">
        <f>IF(AND(LEFT(D3564,4)+1=LEFT(' Pivot Tables'!$A$4,4)+0,RIGHT(LEFT(D3564,7),2)=RIGHT(LEFT(' Pivot Tables'!$A$4,7),2)),1,0)</f>
        <v>0</v>
      </c>
      <c r="Y3564" s="6">
        <f>1/COUNTIF(Таблица1[Order ID],Таблица1[[#This Row],[Order ID]])</f>
        <v>1</v>
      </c>
      <c r="Z3564" s="9">
        <f>1/COUNTIFS(Таблица1[Customer Name],Таблица1[[#This Row],[Customer Name]],Таблица1[Order-Year-Month],Таблица1[[#This Row],[Order-Year-Month]])</f>
        <v>1</v>
      </c>
    </row>
    <row r="3565" spans="1:26" x14ac:dyDescent="0.2">
      <c r="A3565" s="6">
        <v>1835</v>
      </c>
      <c r="B3565" s="7">
        <v>13156</v>
      </c>
      <c r="C3565" s="8">
        <f>DATE(2012,12,31)-453</f>
        <v>40821</v>
      </c>
      <c r="D3565" s="8" t="str">
        <f t="shared" si="68"/>
        <v>2011-10 (октябрь 2011)</v>
      </c>
      <c r="E3565" s="9" t="s">
        <v>21</v>
      </c>
      <c r="F3565" s="7">
        <v>12</v>
      </c>
      <c r="G3565" s="7">
        <v>502.01</v>
      </c>
      <c r="H3565" s="7">
        <v>0.04</v>
      </c>
      <c r="I3565" s="9" t="s">
        <v>22</v>
      </c>
      <c r="J3565" s="10">
        <v>159.72999999999999</v>
      </c>
      <c r="K3565" s="11">
        <v>39.979999999999997</v>
      </c>
      <c r="L3565" s="11">
        <v>9.1999999999999993</v>
      </c>
      <c r="M3565" s="9" t="s">
        <v>1686</v>
      </c>
      <c r="N3565" s="6" t="s">
        <v>1595</v>
      </c>
      <c r="O3565" s="6" t="s">
        <v>1595</v>
      </c>
      <c r="P3565" s="9" t="s">
        <v>41</v>
      </c>
      <c r="Q3565" s="9" t="s">
        <v>49</v>
      </c>
      <c r="R3565" s="9" t="s">
        <v>50</v>
      </c>
      <c r="S3565" s="7" t="s">
        <v>238</v>
      </c>
      <c r="T3565" s="9" t="s">
        <v>68</v>
      </c>
      <c r="U3565" s="7">
        <v>0.65</v>
      </c>
      <c r="V3565" s="12">
        <f>C3565+5</f>
        <v>40826</v>
      </c>
      <c r="W3565">
        <f>IF(D3565=' Pivot Tables'!$A$4,1,0)</f>
        <v>0</v>
      </c>
      <c r="X3565">
        <f>IF(AND(LEFT(D3565,4)+1=LEFT(' Pivot Tables'!$A$4,4)+0,RIGHT(LEFT(D3565,7),2)=RIGHT(LEFT(' Pivot Tables'!$A$4,7),2)),1,0)</f>
        <v>0</v>
      </c>
      <c r="Y3565" s="6">
        <f>1/COUNTIF(Таблица1[Order ID],Таблица1[[#This Row],[Order ID]])</f>
        <v>1</v>
      </c>
      <c r="Z3565" s="9">
        <f>1/COUNTIFS(Таблица1[Customer Name],Таблица1[[#This Row],[Customer Name]],Таблица1[Order-Year-Month],Таблица1[[#This Row],[Order-Year-Month]])</f>
        <v>1</v>
      </c>
    </row>
    <row r="3566" spans="1:26" x14ac:dyDescent="0.2">
      <c r="A3566" s="6">
        <v>1840</v>
      </c>
      <c r="B3566" s="7">
        <v>13252</v>
      </c>
      <c r="C3566" s="8">
        <f>DATE(2012,12,31)-1380</f>
        <v>39894</v>
      </c>
      <c r="D3566" s="8" t="str">
        <f t="shared" si="68"/>
        <v>2009-03 (март 2009)</v>
      </c>
      <c r="E3566" s="9" t="s">
        <v>45</v>
      </c>
      <c r="F3566" s="7">
        <v>44</v>
      </c>
      <c r="G3566" s="7">
        <v>7312.86</v>
      </c>
      <c r="H3566" s="7">
        <v>0.03</v>
      </c>
      <c r="I3566" s="9" t="s">
        <v>31</v>
      </c>
      <c r="J3566" s="10">
        <v>1279.3699999999999</v>
      </c>
      <c r="K3566" s="11">
        <v>160.97999999999999</v>
      </c>
      <c r="L3566" s="11">
        <v>30</v>
      </c>
      <c r="M3566" s="9" t="s">
        <v>1662</v>
      </c>
      <c r="N3566" s="6" t="s">
        <v>1595</v>
      </c>
      <c r="O3566" s="6" t="s">
        <v>1595</v>
      </c>
      <c r="P3566" s="9" t="s">
        <v>33</v>
      </c>
      <c r="Q3566" s="9" t="s">
        <v>49</v>
      </c>
      <c r="R3566" s="9" t="s">
        <v>112</v>
      </c>
      <c r="S3566" s="7" t="s">
        <v>746</v>
      </c>
      <c r="T3566" s="9" t="s">
        <v>36</v>
      </c>
      <c r="U3566" s="7">
        <v>0.62</v>
      </c>
      <c r="V3566" s="12">
        <f>C3566+3</f>
        <v>39897</v>
      </c>
      <c r="W3566">
        <f>IF(D3566=' Pivot Tables'!$A$4,1,0)</f>
        <v>0</v>
      </c>
      <c r="X3566">
        <f>IF(AND(LEFT(D3566,4)+1=LEFT(' Pivot Tables'!$A$4,4)+0,RIGHT(LEFT(D3566,7),2)=RIGHT(LEFT(' Pivot Tables'!$A$4,7),2)),1,0)</f>
        <v>0</v>
      </c>
      <c r="Y3566" s="6">
        <f>1/COUNTIF(Таблица1[Order ID],Таблица1[[#This Row],[Order ID]])</f>
        <v>0.5</v>
      </c>
      <c r="Z3566" s="9">
        <f>1/COUNTIFS(Таблица1[Customer Name],Таблица1[[#This Row],[Customer Name]],Таблица1[Order-Year-Month],Таблица1[[#This Row],[Order-Year-Month]])</f>
        <v>0.5</v>
      </c>
    </row>
    <row r="3567" spans="1:26" x14ac:dyDescent="0.2">
      <c r="A3567" s="6">
        <v>1841</v>
      </c>
      <c r="B3567" s="7">
        <v>13252</v>
      </c>
      <c r="C3567" s="8">
        <f>DATE(2012,12,31)-1380</f>
        <v>39894</v>
      </c>
      <c r="D3567" s="8" t="str">
        <f t="shared" si="68"/>
        <v>2009-03 (март 2009)</v>
      </c>
      <c r="E3567" s="9" t="s">
        <v>45</v>
      </c>
      <c r="F3567" s="7">
        <v>39</v>
      </c>
      <c r="G3567" s="7">
        <v>605.16</v>
      </c>
      <c r="H3567" s="7">
        <v>0.09</v>
      </c>
      <c r="I3567" s="9" t="s">
        <v>22</v>
      </c>
      <c r="J3567" s="10">
        <v>154.65</v>
      </c>
      <c r="K3567" s="11">
        <v>15.98</v>
      </c>
      <c r="L3567" s="11">
        <v>4</v>
      </c>
      <c r="M3567" s="9" t="s">
        <v>1662</v>
      </c>
      <c r="N3567" s="6" t="s">
        <v>1595</v>
      </c>
      <c r="O3567" s="6" t="s">
        <v>1595</v>
      </c>
      <c r="P3567" s="9" t="s">
        <v>33</v>
      </c>
      <c r="Q3567" s="9" t="s">
        <v>42</v>
      </c>
      <c r="R3567" s="9" t="s">
        <v>70</v>
      </c>
      <c r="S3567" s="7" t="s">
        <v>536</v>
      </c>
      <c r="T3567" s="9" t="s">
        <v>39</v>
      </c>
      <c r="U3567" s="7">
        <v>0.37</v>
      </c>
      <c r="V3567" s="12">
        <f>C3567+2</f>
        <v>39896</v>
      </c>
      <c r="W3567">
        <f>IF(D3567=' Pivot Tables'!$A$4,1,0)</f>
        <v>0</v>
      </c>
      <c r="X3567">
        <f>IF(AND(LEFT(D3567,4)+1=LEFT(' Pivot Tables'!$A$4,4)+0,RIGHT(LEFT(D3567,7),2)=RIGHT(LEFT(' Pivot Tables'!$A$4,7),2)),1,0)</f>
        <v>0</v>
      </c>
      <c r="Y3567" s="6">
        <f>1/COUNTIF(Таблица1[Order ID],Таблица1[[#This Row],[Order ID]])</f>
        <v>0.5</v>
      </c>
      <c r="Z3567" s="9">
        <f>1/COUNTIFS(Таблица1[Customer Name],Таблица1[[#This Row],[Customer Name]],Таблица1[Order-Year-Month],Таблица1[[#This Row],[Order-Year-Month]])</f>
        <v>0.5</v>
      </c>
    </row>
    <row r="3568" spans="1:26" x14ac:dyDescent="0.2">
      <c r="A3568" s="6">
        <v>1879</v>
      </c>
      <c r="B3568" s="7">
        <v>13540</v>
      </c>
      <c r="C3568" s="8">
        <f>DATE(2012,12,31)-953</f>
        <v>40321</v>
      </c>
      <c r="D3568" s="8" t="str">
        <f t="shared" si="68"/>
        <v>2010-05 (май 2010)</v>
      </c>
      <c r="E3568" s="9" t="s">
        <v>30</v>
      </c>
      <c r="F3568" s="7">
        <v>33</v>
      </c>
      <c r="G3568" s="7">
        <v>121</v>
      </c>
      <c r="H3568" s="7">
        <v>0.09</v>
      </c>
      <c r="I3568" s="9" t="s">
        <v>22</v>
      </c>
      <c r="J3568" s="10">
        <v>51.21</v>
      </c>
      <c r="K3568" s="11">
        <v>3.75</v>
      </c>
      <c r="L3568" s="11">
        <v>0.5</v>
      </c>
      <c r="M3568" s="9" t="s">
        <v>1687</v>
      </c>
      <c r="N3568" s="6" t="s">
        <v>1595</v>
      </c>
      <c r="O3568" s="6" t="s">
        <v>1595</v>
      </c>
      <c r="P3568" s="9" t="s">
        <v>33</v>
      </c>
      <c r="Q3568" s="9" t="s">
        <v>26</v>
      </c>
      <c r="R3568" s="9" t="s">
        <v>88</v>
      </c>
      <c r="S3568" s="7" t="s">
        <v>130</v>
      </c>
      <c r="T3568" s="9" t="s">
        <v>39</v>
      </c>
      <c r="U3568" s="7">
        <v>0.37</v>
      </c>
      <c r="V3568" s="12">
        <f>C3568+2</f>
        <v>40323</v>
      </c>
      <c r="W3568">
        <f>IF(D3568=' Pivot Tables'!$A$4,1,0)</f>
        <v>0</v>
      </c>
      <c r="X3568">
        <f>IF(AND(LEFT(D3568,4)+1=LEFT(' Pivot Tables'!$A$4,4)+0,RIGHT(LEFT(D3568,7),2)=RIGHT(LEFT(' Pivot Tables'!$A$4,7),2)),1,0)</f>
        <v>0</v>
      </c>
      <c r="Y3568" s="6">
        <f>1/COUNTIF(Таблица1[Order ID],Таблица1[[#This Row],[Order ID]])</f>
        <v>0.2</v>
      </c>
      <c r="Z3568" s="9">
        <f>1/COUNTIFS(Таблица1[Customer Name],Таблица1[[#This Row],[Customer Name]],Таблица1[Order-Year-Month],Таблица1[[#This Row],[Order-Year-Month]])</f>
        <v>0.2</v>
      </c>
    </row>
    <row r="3569" spans="1:26" x14ac:dyDescent="0.2">
      <c r="A3569" s="6">
        <v>1880</v>
      </c>
      <c r="B3569" s="7">
        <v>13540</v>
      </c>
      <c r="C3569" s="8">
        <f>DATE(2012,12,31)-953</f>
        <v>40321</v>
      </c>
      <c r="D3569" s="8" t="str">
        <f t="shared" si="68"/>
        <v>2010-05 (май 2010)</v>
      </c>
      <c r="E3569" s="9" t="s">
        <v>30</v>
      </c>
      <c r="F3569" s="7">
        <v>27</v>
      </c>
      <c r="G3569" s="7">
        <v>1484.1849999999999</v>
      </c>
      <c r="H3569" s="7">
        <v>0.02</v>
      </c>
      <c r="I3569" s="9" t="s">
        <v>22</v>
      </c>
      <c r="J3569" s="10">
        <v>239.24699999999999</v>
      </c>
      <c r="K3569" s="11">
        <v>65.989999999999995</v>
      </c>
      <c r="L3569" s="11">
        <v>4.99</v>
      </c>
      <c r="M3569" s="9" t="s">
        <v>1687</v>
      </c>
      <c r="N3569" s="6" t="s">
        <v>1595</v>
      </c>
      <c r="O3569" s="6" t="s">
        <v>1595</v>
      </c>
      <c r="P3569" s="9" t="s">
        <v>33</v>
      </c>
      <c r="Q3569" s="9" t="s">
        <v>42</v>
      </c>
      <c r="R3569" s="9" t="s">
        <v>43</v>
      </c>
      <c r="S3569" s="7" t="s">
        <v>692</v>
      </c>
      <c r="T3569" s="9" t="s">
        <v>39</v>
      </c>
      <c r="U3569" s="7">
        <v>0.56999999999999995</v>
      </c>
      <c r="V3569" s="12">
        <f>C3569+2</f>
        <v>40323</v>
      </c>
      <c r="W3569">
        <f>IF(D3569=' Pivot Tables'!$A$4,1,0)</f>
        <v>0</v>
      </c>
      <c r="X3569">
        <f>IF(AND(LEFT(D3569,4)+1=LEFT(' Pivot Tables'!$A$4,4)+0,RIGHT(LEFT(D3569,7),2)=RIGHT(LEFT(' Pivot Tables'!$A$4,7),2)),1,0)</f>
        <v>0</v>
      </c>
      <c r="Y3569" s="6">
        <f>1/COUNTIF(Таблица1[Order ID],Таблица1[[#This Row],[Order ID]])</f>
        <v>0.2</v>
      </c>
      <c r="Z3569" s="9">
        <f>1/COUNTIFS(Таблица1[Customer Name],Таблица1[[#This Row],[Customer Name]],Таблица1[Order-Year-Month],Таблица1[[#This Row],[Order-Year-Month]])</f>
        <v>0.2</v>
      </c>
    </row>
    <row r="3570" spans="1:26" x14ac:dyDescent="0.2">
      <c r="A3570" s="6">
        <v>1968</v>
      </c>
      <c r="B3570" s="7">
        <v>14081</v>
      </c>
      <c r="C3570" s="8">
        <f>DATE(2012,12,31)-817</f>
        <v>40457</v>
      </c>
      <c r="D3570" s="8" t="str">
        <f t="shared" si="68"/>
        <v>2010-10 (октябрь 2010)</v>
      </c>
      <c r="E3570" s="9" t="s">
        <v>30</v>
      </c>
      <c r="F3570" s="7">
        <v>31</v>
      </c>
      <c r="G3570" s="7">
        <v>1476.12</v>
      </c>
      <c r="H3570" s="7">
        <v>0.03</v>
      </c>
      <c r="I3570" s="9" t="s">
        <v>31</v>
      </c>
      <c r="J3570" s="10">
        <v>-1401.1712000000002</v>
      </c>
      <c r="K3570" s="11">
        <v>44.43</v>
      </c>
      <c r="L3570" s="11">
        <v>46.59</v>
      </c>
      <c r="M3570" s="9" t="s">
        <v>1670</v>
      </c>
      <c r="N3570" s="6" t="s">
        <v>1595</v>
      </c>
      <c r="O3570" s="6" t="s">
        <v>1595</v>
      </c>
      <c r="P3570" s="9" t="s">
        <v>60</v>
      </c>
      <c r="Q3570" s="9" t="s">
        <v>49</v>
      </c>
      <c r="R3570" s="9" t="s">
        <v>83</v>
      </c>
      <c r="S3570" s="7" t="s">
        <v>1528</v>
      </c>
      <c r="T3570" s="9" t="s">
        <v>82</v>
      </c>
      <c r="U3570" s="7">
        <v>0.67</v>
      </c>
      <c r="V3570" s="12">
        <f>C3570+1</f>
        <v>40458</v>
      </c>
      <c r="W3570">
        <f>IF(D3570=' Pivot Tables'!$A$4,1,0)</f>
        <v>0</v>
      </c>
      <c r="X3570">
        <f>IF(AND(LEFT(D3570,4)+1=LEFT(' Pivot Tables'!$A$4,4)+0,RIGHT(LEFT(D3570,7),2)=RIGHT(LEFT(' Pivot Tables'!$A$4,7),2)),1,0)</f>
        <v>0</v>
      </c>
      <c r="Y3570" s="6">
        <f>1/COUNTIF(Таблица1[Order ID],Таблица1[[#This Row],[Order ID]])</f>
        <v>1</v>
      </c>
      <c r="Z3570" s="9">
        <f>1/COUNTIFS(Таблица1[Customer Name],Таблица1[[#This Row],[Customer Name]],Таблица1[Order-Year-Month],Таблица1[[#This Row],[Order-Year-Month]])</f>
        <v>0.33333333333333331</v>
      </c>
    </row>
    <row r="3571" spans="1:26" x14ac:dyDescent="0.2">
      <c r="A3571" s="6">
        <v>1969</v>
      </c>
      <c r="B3571" s="7">
        <v>14086</v>
      </c>
      <c r="C3571" s="8">
        <f>DATE(2012,12,31)-803</f>
        <v>40471</v>
      </c>
      <c r="D3571" s="8" t="str">
        <f t="shared" si="68"/>
        <v>2010-10 (октябрь 2010)</v>
      </c>
      <c r="E3571" s="9" t="s">
        <v>21</v>
      </c>
      <c r="F3571" s="7">
        <v>13</v>
      </c>
      <c r="G3571" s="7">
        <v>1764.97</v>
      </c>
      <c r="H3571" s="7">
        <v>7.0000000000000007E-2</v>
      </c>
      <c r="I3571" s="9" t="s">
        <v>31</v>
      </c>
      <c r="J3571" s="10">
        <v>-383.5</v>
      </c>
      <c r="K3571" s="11">
        <v>130.97999999999999</v>
      </c>
      <c r="L3571" s="11">
        <v>54.74</v>
      </c>
      <c r="M3571" s="9" t="s">
        <v>1670</v>
      </c>
      <c r="N3571" s="6" t="s">
        <v>1595</v>
      </c>
      <c r="O3571" s="6" t="s">
        <v>1595</v>
      </c>
      <c r="P3571" s="9" t="s">
        <v>33</v>
      </c>
      <c r="Q3571" s="9" t="s">
        <v>49</v>
      </c>
      <c r="R3571" s="9" t="s">
        <v>80</v>
      </c>
      <c r="S3571" s="7" t="s">
        <v>807</v>
      </c>
      <c r="T3571" s="9" t="s">
        <v>82</v>
      </c>
      <c r="U3571" s="7">
        <v>0.69</v>
      </c>
      <c r="V3571" s="12">
        <f>C3571+5</f>
        <v>40476</v>
      </c>
      <c r="W3571">
        <f>IF(D3571=' Pivot Tables'!$A$4,1,0)</f>
        <v>0</v>
      </c>
      <c r="X3571">
        <f>IF(AND(LEFT(D3571,4)+1=LEFT(' Pivot Tables'!$A$4,4)+0,RIGHT(LEFT(D3571,7),2)=RIGHT(LEFT(' Pivot Tables'!$A$4,7),2)),1,0)</f>
        <v>0</v>
      </c>
      <c r="Y3571" s="6">
        <f>1/COUNTIF(Таблица1[Order ID],Таблица1[[#This Row],[Order ID]])</f>
        <v>0.5</v>
      </c>
      <c r="Z3571" s="9">
        <f>1/COUNTIFS(Таблица1[Customer Name],Таблица1[[#This Row],[Customer Name]],Таблица1[Order-Year-Month],Таблица1[[#This Row],[Order-Year-Month]])</f>
        <v>0.33333333333333331</v>
      </c>
    </row>
    <row r="3572" spans="1:26" x14ac:dyDescent="0.2">
      <c r="A3572" s="6">
        <v>1970</v>
      </c>
      <c r="B3572" s="7">
        <v>14086</v>
      </c>
      <c r="C3572" s="8">
        <f>DATE(2012,12,31)-803</f>
        <v>40471</v>
      </c>
      <c r="D3572" s="8" t="str">
        <f t="shared" si="68"/>
        <v>2010-10 (октябрь 2010)</v>
      </c>
      <c r="E3572" s="9" t="s">
        <v>21</v>
      </c>
      <c r="F3572" s="7">
        <v>50</v>
      </c>
      <c r="G3572" s="7">
        <v>238.34</v>
      </c>
      <c r="H3572" s="7">
        <v>0.04</v>
      </c>
      <c r="I3572" s="9" t="s">
        <v>22</v>
      </c>
      <c r="J3572" s="10">
        <v>-7.36</v>
      </c>
      <c r="K3572" s="11">
        <v>4.76</v>
      </c>
      <c r="L3572" s="11">
        <v>3.01</v>
      </c>
      <c r="M3572" s="9" t="s">
        <v>1670</v>
      </c>
      <c r="N3572" s="6" t="s">
        <v>1595</v>
      </c>
      <c r="O3572" s="6" t="s">
        <v>1595</v>
      </c>
      <c r="P3572" s="9" t="s">
        <v>33</v>
      </c>
      <c r="Q3572" s="9" t="s">
        <v>26</v>
      </c>
      <c r="R3572" s="9" t="s">
        <v>61</v>
      </c>
      <c r="S3572" s="7" t="s">
        <v>899</v>
      </c>
      <c r="T3572" s="9" t="s">
        <v>68</v>
      </c>
      <c r="U3572" s="7">
        <v>0.36</v>
      </c>
      <c r="V3572" s="12">
        <f>C3572+7</f>
        <v>40478</v>
      </c>
      <c r="W3572">
        <f>IF(D3572=' Pivot Tables'!$A$4,1,0)</f>
        <v>0</v>
      </c>
      <c r="X3572">
        <f>IF(AND(LEFT(D3572,4)+1=LEFT(' Pivot Tables'!$A$4,4)+0,RIGHT(LEFT(D3572,7),2)=RIGHT(LEFT(' Pivot Tables'!$A$4,7),2)),1,0)</f>
        <v>0</v>
      </c>
      <c r="Y3572" s="6">
        <f>1/COUNTIF(Таблица1[Order ID],Таблица1[[#This Row],[Order ID]])</f>
        <v>0.5</v>
      </c>
      <c r="Z3572" s="9">
        <f>1/COUNTIFS(Таблица1[Customer Name],Таблица1[[#This Row],[Customer Name]],Таблица1[Order-Year-Month],Таблица1[[#This Row],[Order-Year-Month]])</f>
        <v>0.33333333333333331</v>
      </c>
    </row>
    <row r="3573" spans="1:26" x14ac:dyDescent="0.2">
      <c r="A3573" s="6">
        <v>2025</v>
      </c>
      <c r="B3573" s="7">
        <v>14435</v>
      </c>
      <c r="C3573" s="8">
        <f>DATE(2012,12,31)-30</f>
        <v>41244</v>
      </c>
      <c r="D3573" s="8" t="str">
        <f t="shared" si="68"/>
        <v>2012-12 (декабрь 2012)</v>
      </c>
      <c r="E3573" s="9" t="s">
        <v>45</v>
      </c>
      <c r="F3573" s="7">
        <v>41</v>
      </c>
      <c r="G3573" s="7">
        <v>3731.59</v>
      </c>
      <c r="H3573" s="7">
        <v>0</v>
      </c>
      <c r="I3573" s="9" t="s">
        <v>31</v>
      </c>
      <c r="J3573" s="10">
        <v>-605.52</v>
      </c>
      <c r="K3573" s="11">
        <v>89.99</v>
      </c>
      <c r="L3573" s="11">
        <v>42</v>
      </c>
      <c r="M3573" s="9" t="s">
        <v>1677</v>
      </c>
      <c r="N3573" s="6" t="s">
        <v>1595</v>
      </c>
      <c r="O3573" s="6" t="s">
        <v>1595</v>
      </c>
      <c r="P3573" s="9" t="s">
        <v>25</v>
      </c>
      <c r="Q3573" s="9" t="s">
        <v>49</v>
      </c>
      <c r="R3573" s="9" t="s">
        <v>112</v>
      </c>
      <c r="S3573" s="7" t="s">
        <v>853</v>
      </c>
      <c r="T3573" s="9" t="s">
        <v>36</v>
      </c>
      <c r="U3573" s="7">
        <v>0.66</v>
      </c>
      <c r="V3573" s="12">
        <f>C3573+1</f>
        <v>41245</v>
      </c>
      <c r="W3573">
        <f>IF(D3573=' Pivot Tables'!$A$4,1,0)</f>
        <v>0</v>
      </c>
      <c r="X3573">
        <f>IF(AND(LEFT(D3573,4)+1=LEFT(' Pivot Tables'!$A$4,4)+0,RIGHT(LEFT(D3573,7),2)=RIGHT(LEFT(' Pivot Tables'!$A$4,7),2)),1,0)</f>
        <v>0</v>
      </c>
      <c r="Y3573" s="6">
        <f>1/COUNTIF(Таблица1[Order ID],Таблица1[[#This Row],[Order ID]])</f>
        <v>0.33333333333333331</v>
      </c>
      <c r="Z3573" s="9">
        <f>1/COUNTIFS(Таблица1[Customer Name],Таблица1[[#This Row],[Customer Name]],Таблица1[Order-Year-Month],Таблица1[[#This Row],[Order-Year-Month]])</f>
        <v>0.33333333333333331</v>
      </c>
    </row>
    <row r="3574" spans="1:26" x14ac:dyDescent="0.2">
      <c r="A3574" s="6">
        <v>2026</v>
      </c>
      <c r="B3574" s="7">
        <v>14435</v>
      </c>
      <c r="C3574" s="8">
        <f>DATE(2012,12,31)-30</f>
        <v>41244</v>
      </c>
      <c r="D3574" s="8" t="str">
        <f t="shared" si="68"/>
        <v>2012-12 (декабрь 2012)</v>
      </c>
      <c r="E3574" s="9" t="s">
        <v>45</v>
      </c>
      <c r="F3574" s="7">
        <v>9</v>
      </c>
      <c r="G3574" s="7">
        <v>33367.85</v>
      </c>
      <c r="H3574" s="7">
        <v>0.01</v>
      </c>
      <c r="I3574" s="9" t="s">
        <v>22</v>
      </c>
      <c r="J3574" s="10">
        <v>3992.52</v>
      </c>
      <c r="K3574" s="11">
        <v>3499.99</v>
      </c>
      <c r="L3574" s="11">
        <v>24.49</v>
      </c>
      <c r="M3574" s="9" t="s">
        <v>1677</v>
      </c>
      <c r="N3574" s="6" t="s">
        <v>1595</v>
      </c>
      <c r="O3574" s="6" t="s">
        <v>1595</v>
      </c>
      <c r="P3574" s="9" t="s">
        <v>25</v>
      </c>
      <c r="Q3574" s="9" t="s">
        <v>42</v>
      </c>
      <c r="R3574" s="9" t="s">
        <v>99</v>
      </c>
      <c r="S3574" s="7" t="s">
        <v>627</v>
      </c>
      <c r="T3574" s="9" t="s">
        <v>29</v>
      </c>
      <c r="U3574" s="7">
        <v>0.37</v>
      </c>
      <c r="V3574" s="12">
        <f>C3574+3</f>
        <v>41247</v>
      </c>
      <c r="W3574">
        <f>IF(D3574=' Pivot Tables'!$A$4,1,0)</f>
        <v>0</v>
      </c>
      <c r="X3574">
        <f>IF(AND(LEFT(D3574,4)+1=LEFT(' Pivot Tables'!$A$4,4)+0,RIGHT(LEFT(D3574,7),2)=RIGHT(LEFT(' Pivot Tables'!$A$4,7),2)),1,0)</f>
        <v>0</v>
      </c>
      <c r="Y3574" s="6">
        <f>1/COUNTIF(Таблица1[Order ID],Таблица1[[#This Row],[Order ID]])</f>
        <v>0.33333333333333331</v>
      </c>
      <c r="Z3574" s="9">
        <f>1/COUNTIFS(Таблица1[Customer Name],Таблица1[[#This Row],[Customer Name]],Таблица1[Order-Year-Month],Таблица1[[#This Row],[Order-Year-Month]])</f>
        <v>0.33333333333333331</v>
      </c>
    </row>
    <row r="3575" spans="1:26" x14ac:dyDescent="0.2">
      <c r="A3575" s="6">
        <v>2027</v>
      </c>
      <c r="B3575" s="7">
        <v>14435</v>
      </c>
      <c r="C3575" s="8">
        <f>DATE(2012,12,31)-30</f>
        <v>41244</v>
      </c>
      <c r="D3575" s="8" t="str">
        <f t="shared" si="68"/>
        <v>2012-12 (декабрь 2012)</v>
      </c>
      <c r="E3575" s="9" t="s">
        <v>45</v>
      </c>
      <c r="F3575" s="7">
        <v>44</v>
      </c>
      <c r="G3575" s="7">
        <v>1299.9100000000001</v>
      </c>
      <c r="H3575" s="7">
        <v>0.06</v>
      </c>
      <c r="I3575" s="9" t="s">
        <v>22</v>
      </c>
      <c r="J3575" s="10">
        <v>439.26</v>
      </c>
      <c r="K3575" s="11">
        <v>30.98</v>
      </c>
      <c r="L3575" s="11">
        <v>5.76</v>
      </c>
      <c r="M3575" s="9" t="s">
        <v>1677</v>
      </c>
      <c r="N3575" s="6" t="s">
        <v>1595</v>
      </c>
      <c r="O3575" s="6" t="s">
        <v>1595</v>
      </c>
      <c r="P3575" s="9" t="s">
        <v>25</v>
      </c>
      <c r="Q3575" s="9" t="s">
        <v>26</v>
      </c>
      <c r="R3575" s="9" t="s">
        <v>61</v>
      </c>
      <c r="S3575" s="7" t="s">
        <v>117</v>
      </c>
      <c r="T3575" s="9" t="s">
        <v>39</v>
      </c>
      <c r="U3575" s="7">
        <v>0.4</v>
      </c>
      <c r="V3575" s="12">
        <f>C3575+0</f>
        <v>41244</v>
      </c>
      <c r="W3575">
        <f>IF(D3575=' Pivot Tables'!$A$4,1,0)</f>
        <v>0</v>
      </c>
      <c r="X3575">
        <f>IF(AND(LEFT(D3575,4)+1=LEFT(' Pivot Tables'!$A$4,4)+0,RIGHT(LEFT(D3575,7),2)=RIGHT(LEFT(' Pivot Tables'!$A$4,7),2)),1,0)</f>
        <v>0</v>
      </c>
      <c r="Y3575" s="6">
        <f>1/COUNTIF(Таблица1[Order ID],Таблица1[[#This Row],[Order ID]])</f>
        <v>0.33333333333333331</v>
      </c>
      <c r="Z3575" s="9">
        <f>1/COUNTIFS(Таблица1[Customer Name],Таблица1[[#This Row],[Customer Name]],Таблица1[Order-Year-Month],Таблица1[[#This Row],[Order-Year-Month]])</f>
        <v>0.33333333333333331</v>
      </c>
    </row>
    <row r="3576" spans="1:26" x14ac:dyDescent="0.2">
      <c r="A3576" s="6">
        <v>2064</v>
      </c>
      <c r="B3576" s="7">
        <v>14784</v>
      </c>
      <c r="C3576" s="8">
        <f>DATE(2012,12,31)-292</f>
        <v>40982</v>
      </c>
      <c r="D3576" s="8" t="str">
        <f t="shared" si="68"/>
        <v>2012-03 (март 2012)</v>
      </c>
      <c r="E3576" s="9" t="s">
        <v>63</v>
      </c>
      <c r="F3576" s="7">
        <v>43</v>
      </c>
      <c r="G3576" s="7">
        <v>2009.05</v>
      </c>
      <c r="H3576" s="7">
        <v>0.04</v>
      </c>
      <c r="I3576" s="9" t="s">
        <v>31</v>
      </c>
      <c r="J3576" s="10">
        <v>33.988949999999996</v>
      </c>
      <c r="K3576" s="11">
        <v>44.43</v>
      </c>
      <c r="L3576" s="11">
        <v>46.59</v>
      </c>
      <c r="M3576" s="9" t="s">
        <v>1681</v>
      </c>
      <c r="N3576" s="6" t="s">
        <v>1595</v>
      </c>
      <c r="O3576" s="6" t="s">
        <v>1595</v>
      </c>
      <c r="P3576" s="9" t="s">
        <v>25</v>
      </c>
      <c r="Q3576" s="9" t="s">
        <v>49</v>
      </c>
      <c r="R3576" s="9" t="s">
        <v>83</v>
      </c>
      <c r="S3576" s="7" t="s">
        <v>1528</v>
      </c>
      <c r="T3576" s="9" t="s">
        <v>82</v>
      </c>
      <c r="U3576" s="7">
        <v>0.67</v>
      </c>
      <c r="V3576" s="12">
        <f>C3576+1</f>
        <v>40983</v>
      </c>
      <c r="W3576">
        <f>IF(D3576=' Pivot Tables'!$A$4,1,0)</f>
        <v>0</v>
      </c>
      <c r="X3576">
        <f>IF(AND(LEFT(D3576,4)+1=LEFT(' Pivot Tables'!$A$4,4)+0,RIGHT(LEFT(D3576,7),2)=RIGHT(LEFT(' Pivot Tables'!$A$4,7),2)),1,0)</f>
        <v>0</v>
      </c>
      <c r="Y3576" s="6">
        <f>1/COUNTIF(Таблица1[Order ID],Таблица1[[#This Row],[Order ID]])</f>
        <v>1</v>
      </c>
      <c r="Z3576" s="9">
        <f>1/COUNTIFS(Таблица1[Customer Name],Таблица1[[#This Row],[Customer Name]],Таблица1[Order-Year-Month],Таблица1[[#This Row],[Order-Year-Month]])</f>
        <v>1</v>
      </c>
    </row>
    <row r="3577" spans="1:26" x14ac:dyDescent="0.2">
      <c r="A3577" s="6">
        <v>2136</v>
      </c>
      <c r="B3577" s="7">
        <v>15264</v>
      </c>
      <c r="C3577" s="8">
        <f>DATE(2012,12,31)-410</f>
        <v>40864</v>
      </c>
      <c r="D3577" s="8" t="str">
        <f t="shared" si="68"/>
        <v>2011-11 (ноябрь 2011)</v>
      </c>
      <c r="E3577" s="9" t="s">
        <v>63</v>
      </c>
      <c r="F3577" s="7">
        <v>3</v>
      </c>
      <c r="G3577" s="7">
        <v>3581.52</v>
      </c>
      <c r="H3577" s="7">
        <v>7.0000000000000007E-2</v>
      </c>
      <c r="I3577" s="9" t="s">
        <v>22</v>
      </c>
      <c r="J3577" s="10">
        <v>-408.21550000000002</v>
      </c>
      <c r="K3577" s="11">
        <v>1270.99</v>
      </c>
      <c r="L3577" s="11">
        <v>19.989999999999998</v>
      </c>
      <c r="M3577" s="9" t="s">
        <v>1674</v>
      </c>
      <c r="N3577" s="6" t="s">
        <v>1595</v>
      </c>
      <c r="O3577" s="6" t="s">
        <v>1595</v>
      </c>
      <c r="P3577" s="9" t="s">
        <v>60</v>
      </c>
      <c r="Q3577" s="9" t="s">
        <v>26</v>
      </c>
      <c r="R3577" s="9" t="s">
        <v>37</v>
      </c>
      <c r="S3577" s="7" t="s">
        <v>273</v>
      </c>
      <c r="T3577" s="9" t="s">
        <v>39</v>
      </c>
      <c r="U3577" s="7">
        <v>0.35</v>
      </c>
      <c r="V3577" s="12">
        <f>C3577+2</f>
        <v>40866</v>
      </c>
      <c r="W3577">
        <f>IF(D3577=' Pivot Tables'!$A$4,1,0)</f>
        <v>0</v>
      </c>
      <c r="X3577">
        <f>IF(AND(LEFT(D3577,4)+1=LEFT(' Pivot Tables'!$A$4,4)+0,RIGHT(LEFT(D3577,7),2)=RIGHT(LEFT(' Pivot Tables'!$A$4,7),2)),1,0)</f>
        <v>0</v>
      </c>
      <c r="Y3577" s="6">
        <f>1/COUNTIF(Таблица1[Order ID],Таблица1[[#This Row],[Order ID]])</f>
        <v>0.5</v>
      </c>
      <c r="Z3577" s="9">
        <f>1/COUNTIFS(Таблица1[Customer Name],Таблица1[[#This Row],[Customer Name]],Таблица1[Order-Year-Month],Таблица1[[#This Row],[Order-Year-Month]])</f>
        <v>0.5</v>
      </c>
    </row>
    <row r="3578" spans="1:26" x14ac:dyDescent="0.2">
      <c r="A3578" s="6">
        <v>2137</v>
      </c>
      <c r="B3578" s="7">
        <v>15264</v>
      </c>
      <c r="C3578" s="8">
        <f>DATE(2012,12,31)-410</f>
        <v>40864</v>
      </c>
      <c r="D3578" s="8" t="str">
        <f t="shared" si="68"/>
        <v>2011-11 (ноябрь 2011)</v>
      </c>
      <c r="E3578" s="9" t="s">
        <v>63</v>
      </c>
      <c r="F3578" s="7">
        <v>13</v>
      </c>
      <c r="G3578" s="7">
        <v>90.15</v>
      </c>
      <c r="H3578" s="7">
        <v>7.0000000000000007E-2</v>
      </c>
      <c r="I3578" s="9" t="s">
        <v>22</v>
      </c>
      <c r="J3578" s="10">
        <v>33.049999999999997</v>
      </c>
      <c r="K3578" s="11">
        <v>7.31</v>
      </c>
      <c r="L3578" s="11">
        <v>0.49</v>
      </c>
      <c r="M3578" s="9" t="s">
        <v>1674</v>
      </c>
      <c r="N3578" s="6" t="s">
        <v>1595</v>
      </c>
      <c r="O3578" s="6" t="s">
        <v>1595</v>
      </c>
      <c r="P3578" s="9" t="s">
        <v>60</v>
      </c>
      <c r="Q3578" s="9" t="s">
        <v>26</v>
      </c>
      <c r="R3578" s="9" t="s">
        <v>88</v>
      </c>
      <c r="S3578" s="7" t="s">
        <v>107</v>
      </c>
      <c r="T3578" s="9" t="s">
        <v>39</v>
      </c>
      <c r="U3578" s="7">
        <v>0.38</v>
      </c>
      <c r="V3578" s="12">
        <f>C3578+0</f>
        <v>40864</v>
      </c>
      <c r="W3578">
        <f>IF(D3578=' Pivot Tables'!$A$4,1,0)</f>
        <v>0</v>
      </c>
      <c r="X3578">
        <f>IF(AND(LEFT(D3578,4)+1=LEFT(' Pivot Tables'!$A$4,4)+0,RIGHT(LEFT(D3578,7),2)=RIGHT(LEFT(' Pivot Tables'!$A$4,7),2)),1,0)</f>
        <v>0</v>
      </c>
      <c r="Y3578" s="6">
        <f>1/COUNTIF(Таблица1[Order ID],Таблица1[[#This Row],[Order ID]])</f>
        <v>0.5</v>
      </c>
      <c r="Z3578" s="9">
        <f>1/COUNTIFS(Таблица1[Customer Name],Таблица1[[#This Row],[Customer Name]],Таблица1[Order-Year-Month],Таблица1[[#This Row],[Order-Year-Month]])</f>
        <v>0.5</v>
      </c>
    </row>
    <row r="3579" spans="1:26" x14ac:dyDescent="0.2">
      <c r="A3579" s="6">
        <v>2273</v>
      </c>
      <c r="B3579" s="7">
        <v>16352</v>
      </c>
      <c r="C3579" s="8">
        <f>DATE(2012,12,31)-154</f>
        <v>41120</v>
      </c>
      <c r="D3579" s="8" t="str">
        <f t="shared" si="68"/>
        <v>2012-07 (июль 2012)</v>
      </c>
      <c r="E3579" s="9" t="s">
        <v>63</v>
      </c>
      <c r="F3579" s="7">
        <v>16</v>
      </c>
      <c r="G3579" s="7">
        <v>113.25</v>
      </c>
      <c r="H3579" s="7">
        <v>0.03</v>
      </c>
      <c r="I3579" s="9" t="s">
        <v>22</v>
      </c>
      <c r="J3579" s="10">
        <v>-43.43</v>
      </c>
      <c r="K3579" s="11">
        <v>6.48</v>
      </c>
      <c r="L3579" s="11">
        <v>6.65</v>
      </c>
      <c r="M3579" s="9" t="s">
        <v>657</v>
      </c>
      <c r="N3579" s="6" t="s">
        <v>1595</v>
      </c>
      <c r="O3579" s="6" t="s">
        <v>1595</v>
      </c>
      <c r="P3579" s="9" t="s">
        <v>41</v>
      </c>
      <c r="Q3579" s="9" t="s">
        <v>26</v>
      </c>
      <c r="R3579" s="9" t="s">
        <v>61</v>
      </c>
      <c r="S3579" s="7" t="s">
        <v>152</v>
      </c>
      <c r="T3579" s="9" t="s">
        <v>39</v>
      </c>
      <c r="U3579" s="7">
        <v>0.36</v>
      </c>
      <c r="V3579" s="12">
        <f>C3579+2</f>
        <v>41122</v>
      </c>
      <c r="W3579">
        <f>IF(D3579=' Pivot Tables'!$A$4,1,0)</f>
        <v>0</v>
      </c>
      <c r="X3579">
        <f>IF(AND(LEFT(D3579,4)+1=LEFT(' Pivot Tables'!$A$4,4)+0,RIGHT(LEFT(D3579,7),2)=RIGHT(LEFT(' Pivot Tables'!$A$4,7),2)),1,0)</f>
        <v>0</v>
      </c>
      <c r="Y3579" s="6">
        <f>1/COUNTIF(Таблица1[Order ID],Таблица1[[#This Row],[Order ID]])</f>
        <v>1</v>
      </c>
      <c r="Z3579" s="9">
        <f>1/COUNTIFS(Таблица1[Customer Name],Таблица1[[#This Row],[Customer Name]],Таблица1[Order-Year-Month],Таблица1[[#This Row],[Order-Year-Month]])</f>
        <v>1</v>
      </c>
    </row>
    <row r="3580" spans="1:26" x14ac:dyDescent="0.2">
      <c r="A3580" s="6">
        <v>2289</v>
      </c>
      <c r="B3580" s="7">
        <v>16513</v>
      </c>
      <c r="C3580" s="8">
        <f>DATE(2012,12,31)-850</f>
        <v>40424</v>
      </c>
      <c r="D3580" s="8" t="str">
        <f t="shared" si="68"/>
        <v>2010-09 (сентябрь 2010)</v>
      </c>
      <c r="E3580" s="9" t="s">
        <v>78</v>
      </c>
      <c r="F3580" s="7">
        <v>10</v>
      </c>
      <c r="G3580" s="7">
        <v>1642.43</v>
      </c>
      <c r="H3580" s="7">
        <v>0.02</v>
      </c>
      <c r="I3580" s="9" t="s">
        <v>31</v>
      </c>
      <c r="J3580" s="10">
        <v>-423.2</v>
      </c>
      <c r="K3580" s="11">
        <v>150.88999999999999</v>
      </c>
      <c r="L3580" s="11">
        <v>60.2</v>
      </c>
      <c r="M3580" s="9" t="s">
        <v>1677</v>
      </c>
      <c r="N3580" s="6" t="s">
        <v>1595</v>
      </c>
      <c r="O3580" s="6" t="s">
        <v>1595</v>
      </c>
      <c r="P3580" s="9" t="s">
        <v>25</v>
      </c>
      <c r="Q3580" s="9" t="s">
        <v>49</v>
      </c>
      <c r="R3580" s="9" t="s">
        <v>112</v>
      </c>
      <c r="S3580" s="7" t="s">
        <v>933</v>
      </c>
      <c r="T3580" s="9" t="s">
        <v>36</v>
      </c>
      <c r="U3580" s="7">
        <v>0.77</v>
      </c>
      <c r="V3580" s="12">
        <f>C3580+1</f>
        <v>40425</v>
      </c>
      <c r="W3580">
        <f>IF(D3580=' Pivot Tables'!$A$4,1,0)</f>
        <v>0</v>
      </c>
      <c r="X3580">
        <f>IF(AND(LEFT(D3580,4)+1=LEFT(' Pivot Tables'!$A$4,4)+0,RIGHT(LEFT(D3580,7),2)=RIGHT(LEFT(' Pivot Tables'!$A$4,7),2)),1,0)</f>
        <v>0</v>
      </c>
      <c r="Y3580" s="6">
        <f>1/COUNTIF(Таблица1[Order ID],Таблица1[[#This Row],[Order ID]])</f>
        <v>1</v>
      </c>
      <c r="Z3580" s="9">
        <f>1/COUNTIFS(Таблица1[Customer Name],Таблица1[[#This Row],[Customer Name]],Таблица1[Order-Year-Month],Таблица1[[#This Row],[Order-Year-Month]])</f>
        <v>1</v>
      </c>
    </row>
    <row r="3581" spans="1:26" x14ac:dyDescent="0.2">
      <c r="A3581" s="6">
        <v>2302</v>
      </c>
      <c r="B3581" s="7">
        <v>16582</v>
      </c>
      <c r="C3581" s="8">
        <f>DATE(2012,12,31)-457</f>
        <v>40817</v>
      </c>
      <c r="D3581" s="8" t="str">
        <f t="shared" si="68"/>
        <v>2011-10 (октябрь 2011)</v>
      </c>
      <c r="E3581" s="9" t="s">
        <v>78</v>
      </c>
      <c r="F3581" s="7">
        <v>26</v>
      </c>
      <c r="G3581" s="7">
        <v>6766.8559999999998</v>
      </c>
      <c r="H3581" s="7">
        <v>0.02</v>
      </c>
      <c r="I3581" s="9" t="s">
        <v>31</v>
      </c>
      <c r="J3581" s="10">
        <v>-774.89068800000007</v>
      </c>
      <c r="K3581" s="11">
        <v>320.64</v>
      </c>
      <c r="L3581" s="11">
        <v>43.57</v>
      </c>
      <c r="M3581" s="9" t="s">
        <v>1688</v>
      </c>
      <c r="N3581" s="6" t="s">
        <v>1595</v>
      </c>
      <c r="O3581" s="6" t="s">
        <v>1595</v>
      </c>
      <c r="P3581" s="9" t="s">
        <v>60</v>
      </c>
      <c r="Q3581" s="9" t="s">
        <v>49</v>
      </c>
      <c r="R3581" s="9" t="s">
        <v>83</v>
      </c>
      <c r="S3581" s="7" t="s">
        <v>1619</v>
      </c>
      <c r="T3581" s="9" t="s">
        <v>82</v>
      </c>
      <c r="U3581" s="7">
        <v>0.63</v>
      </c>
      <c r="V3581" s="12">
        <f>C3581+2</f>
        <v>40819</v>
      </c>
      <c r="W3581">
        <f>IF(D3581=' Pivot Tables'!$A$4,1,0)</f>
        <v>0</v>
      </c>
      <c r="X3581">
        <f>IF(AND(LEFT(D3581,4)+1=LEFT(' Pivot Tables'!$A$4,4)+0,RIGHT(LEFT(D3581,7),2)=RIGHT(LEFT(' Pivot Tables'!$A$4,7),2)),1,0)</f>
        <v>0</v>
      </c>
      <c r="Y3581" s="6">
        <f>1/COUNTIF(Таблица1[Order ID],Таблица1[[#This Row],[Order ID]])</f>
        <v>1</v>
      </c>
      <c r="Z3581" s="9">
        <f>1/COUNTIFS(Таблица1[Customer Name],Таблица1[[#This Row],[Customer Name]],Таблица1[Order-Year-Month],Таблица1[[#This Row],[Order-Year-Month]])</f>
        <v>1</v>
      </c>
    </row>
    <row r="3582" spans="1:26" x14ac:dyDescent="0.2">
      <c r="A3582" s="6">
        <v>2307</v>
      </c>
      <c r="B3582" s="7">
        <v>16640</v>
      </c>
      <c r="C3582" s="8">
        <f>DATE(2012,12,31)-888</f>
        <v>40386</v>
      </c>
      <c r="D3582" s="8" t="str">
        <f t="shared" si="68"/>
        <v>2010-07 (июль 2010)</v>
      </c>
      <c r="E3582" s="9" t="s">
        <v>21</v>
      </c>
      <c r="F3582" s="7">
        <v>6</v>
      </c>
      <c r="G3582" s="7">
        <v>652.33000000000004</v>
      </c>
      <c r="H3582" s="7">
        <v>0.09</v>
      </c>
      <c r="I3582" s="9" t="s">
        <v>31</v>
      </c>
      <c r="J3582" s="10">
        <v>-227.51</v>
      </c>
      <c r="K3582" s="11">
        <v>113.98</v>
      </c>
      <c r="L3582" s="11">
        <v>30</v>
      </c>
      <c r="M3582" s="9" t="s">
        <v>1689</v>
      </c>
      <c r="N3582" s="6" t="s">
        <v>1595</v>
      </c>
      <c r="O3582" s="6" t="s">
        <v>1595</v>
      </c>
      <c r="P3582" s="9" t="s">
        <v>41</v>
      </c>
      <c r="Q3582" s="9" t="s">
        <v>49</v>
      </c>
      <c r="R3582" s="9" t="s">
        <v>112</v>
      </c>
      <c r="S3582" s="7" t="s">
        <v>840</v>
      </c>
      <c r="T3582" s="9" t="s">
        <v>36</v>
      </c>
      <c r="U3582" s="7">
        <v>0.69</v>
      </c>
      <c r="V3582" s="12">
        <f>C3582+2</f>
        <v>40388</v>
      </c>
      <c r="W3582">
        <f>IF(D3582=' Pivot Tables'!$A$4,1,0)</f>
        <v>0</v>
      </c>
      <c r="X3582">
        <f>IF(AND(LEFT(D3582,4)+1=LEFT(' Pivot Tables'!$A$4,4)+0,RIGHT(LEFT(D3582,7),2)=RIGHT(LEFT(' Pivot Tables'!$A$4,7),2)),1,0)</f>
        <v>0</v>
      </c>
      <c r="Y3582" s="6">
        <f>1/COUNTIF(Таблица1[Order ID],Таблица1[[#This Row],[Order ID]])</f>
        <v>1</v>
      </c>
      <c r="Z3582" s="9">
        <f>1/COUNTIFS(Таблица1[Customer Name],Таблица1[[#This Row],[Customer Name]],Таблица1[Order-Year-Month],Таблица1[[#This Row],[Order-Year-Month]])</f>
        <v>1</v>
      </c>
    </row>
    <row r="3583" spans="1:26" x14ac:dyDescent="0.2">
      <c r="A3583" s="6">
        <v>2321</v>
      </c>
      <c r="B3583" s="7">
        <v>16711</v>
      </c>
      <c r="C3583" s="8">
        <f>DATE(2012,12,31)-250</f>
        <v>41024</v>
      </c>
      <c r="D3583" s="8" t="str">
        <f t="shared" si="68"/>
        <v>2012-04 (апрель 2012)</v>
      </c>
      <c r="E3583" s="9" t="s">
        <v>45</v>
      </c>
      <c r="F3583" s="7">
        <v>3</v>
      </c>
      <c r="G3583" s="7">
        <v>3.96</v>
      </c>
      <c r="H3583" s="7">
        <v>0.1</v>
      </c>
      <c r="I3583" s="9" t="s">
        <v>22</v>
      </c>
      <c r="J3583" s="10">
        <v>-1.72</v>
      </c>
      <c r="K3583" s="11">
        <v>1.1399999999999999</v>
      </c>
      <c r="L3583" s="11">
        <v>0.7</v>
      </c>
      <c r="M3583" s="9" t="s">
        <v>1690</v>
      </c>
      <c r="N3583" s="6" t="s">
        <v>1595</v>
      </c>
      <c r="O3583" s="6" t="s">
        <v>1595</v>
      </c>
      <c r="P3583" s="9" t="s">
        <v>25</v>
      </c>
      <c r="Q3583" s="9" t="s">
        <v>26</v>
      </c>
      <c r="R3583" s="9" t="s">
        <v>66</v>
      </c>
      <c r="S3583" s="7" t="s">
        <v>1657</v>
      </c>
      <c r="T3583" s="9" t="s">
        <v>68</v>
      </c>
      <c r="U3583" s="7">
        <v>0.38</v>
      </c>
      <c r="V3583" s="12">
        <f>C3583+2</f>
        <v>41026</v>
      </c>
      <c r="W3583">
        <f>IF(D3583=' Pivot Tables'!$A$4,1,0)</f>
        <v>0</v>
      </c>
      <c r="X3583">
        <f>IF(AND(LEFT(D3583,4)+1=LEFT(' Pivot Tables'!$A$4,4)+0,RIGHT(LEFT(D3583,7),2)=RIGHT(LEFT(' Pivot Tables'!$A$4,7),2)),1,0)</f>
        <v>0</v>
      </c>
      <c r="Y3583" s="6">
        <f>1/COUNTIF(Таблица1[Order ID],Таблица1[[#This Row],[Order ID]])</f>
        <v>1</v>
      </c>
      <c r="Z3583" s="9">
        <f>1/COUNTIFS(Таблица1[Customer Name],Таблица1[[#This Row],[Customer Name]],Таблица1[Order-Year-Month],Таблица1[[#This Row],[Order-Year-Month]])</f>
        <v>1</v>
      </c>
    </row>
    <row r="3584" spans="1:26" x14ac:dyDescent="0.2">
      <c r="A3584" s="6">
        <v>2375</v>
      </c>
      <c r="B3584" s="7">
        <v>17218</v>
      </c>
      <c r="C3584" s="8">
        <f>DATE(2012,12,31)-161</f>
        <v>41113</v>
      </c>
      <c r="D3584" s="8" t="str">
        <f t="shared" si="68"/>
        <v>2012-07 (июль 2012)</v>
      </c>
      <c r="E3584" s="9" t="s">
        <v>78</v>
      </c>
      <c r="F3584" s="7">
        <v>32</v>
      </c>
      <c r="G3584" s="7">
        <v>157.85</v>
      </c>
      <c r="H3584" s="7">
        <v>0.06</v>
      </c>
      <c r="I3584" s="9" t="s">
        <v>22</v>
      </c>
      <c r="J3584" s="10">
        <v>22.54</v>
      </c>
      <c r="K3584" s="11">
        <v>5.18</v>
      </c>
      <c r="L3584" s="11">
        <v>2.04</v>
      </c>
      <c r="M3584" s="9" t="s">
        <v>1691</v>
      </c>
      <c r="N3584" s="6" t="s">
        <v>1595</v>
      </c>
      <c r="O3584" s="6" t="s">
        <v>1595</v>
      </c>
      <c r="P3584" s="9" t="s">
        <v>33</v>
      </c>
      <c r="Q3584" s="9" t="s">
        <v>26</v>
      </c>
      <c r="R3584" s="9" t="s">
        <v>61</v>
      </c>
      <c r="S3584" s="7" t="s">
        <v>391</v>
      </c>
      <c r="T3584" s="9" t="s">
        <v>68</v>
      </c>
      <c r="U3584" s="7">
        <v>0.36</v>
      </c>
      <c r="V3584" s="12">
        <f>C3584+2</f>
        <v>41115</v>
      </c>
      <c r="W3584">
        <f>IF(D3584=' Pivot Tables'!$A$4,1,0)</f>
        <v>0</v>
      </c>
      <c r="X3584">
        <f>IF(AND(LEFT(D3584,4)+1=LEFT(' Pivot Tables'!$A$4,4)+0,RIGHT(LEFT(D3584,7),2)=RIGHT(LEFT(' Pivot Tables'!$A$4,7),2)),1,0)</f>
        <v>0</v>
      </c>
      <c r="Y3584" s="6">
        <f>1/COUNTIF(Таблица1[Order ID],Таблица1[[#This Row],[Order ID]])</f>
        <v>1</v>
      </c>
      <c r="Z3584" s="9">
        <f>1/COUNTIFS(Таблица1[Customer Name],Таблица1[[#This Row],[Customer Name]],Таблица1[Order-Year-Month],Таблица1[[#This Row],[Order-Year-Month]])</f>
        <v>1</v>
      </c>
    </row>
    <row r="3585" spans="1:26" x14ac:dyDescent="0.2">
      <c r="A3585" s="6">
        <v>2381</v>
      </c>
      <c r="B3585" s="7">
        <v>17255</v>
      </c>
      <c r="C3585" s="8">
        <f>DATE(2012,12,31)-901</f>
        <v>40373</v>
      </c>
      <c r="D3585" s="8" t="str">
        <f t="shared" si="68"/>
        <v>2010-07 (июль 2010)</v>
      </c>
      <c r="E3585" s="9" t="s">
        <v>45</v>
      </c>
      <c r="F3585" s="7">
        <v>17</v>
      </c>
      <c r="G3585" s="7">
        <v>158.19</v>
      </c>
      <c r="H3585" s="7">
        <v>0.09</v>
      </c>
      <c r="I3585" s="9" t="s">
        <v>22</v>
      </c>
      <c r="J3585" s="10">
        <v>-75.22</v>
      </c>
      <c r="K3585" s="11">
        <v>9.3800000000000008</v>
      </c>
      <c r="L3585" s="11">
        <v>7.28</v>
      </c>
      <c r="M3585" s="9" t="s">
        <v>1660</v>
      </c>
      <c r="N3585" s="6" t="s">
        <v>1595</v>
      </c>
      <c r="O3585" s="6" t="s">
        <v>1595</v>
      </c>
      <c r="P3585" s="9" t="s">
        <v>60</v>
      </c>
      <c r="Q3585" s="9" t="s">
        <v>26</v>
      </c>
      <c r="R3585" s="9" t="s">
        <v>27</v>
      </c>
      <c r="S3585" s="7" t="s">
        <v>981</v>
      </c>
      <c r="T3585" s="9" t="s">
        <v>39</v>
      </c>
      <c r="U3585" s="7">
        <v>0.56999999999999995</v>
      </c>
      <c r="V3585" s="12">
        <f>C3585+1</f>
        <v>40374</v>
      </c>
      <c r="W3585">
        <f>IF(D3585=' Pivot Tables'!$A$4,1,0)</f>
        <v>0</v>
      </c>
      <c r="X3585">
        <f>IF(AND(LEFT(D3585,4)+1=LEFT(' Pivot Tables'!$A$4,4)+0,RIGHT(LEFT(D3585,7),2)=RIGHT(LEFT(' Pivot Tables'!$A$4,7),2)),1,0)</f>
        <v>0</v>
      </c>
      <c r="Y3585" s="6">
        <f>1/COUNTIF(Таблица1[Order ID],Таблица1[[#This Row],[Order ID]])</f>
        <v>1</v>
      </c>
      <c r="Z3585" s="9">
        <f>1/COUNTIFS(Таблица1[Customer Name],Таблица1[[#This Row],[Customer Name]],Таблица1[Order-Year-Month],Таблица1[[#This Row],[Order-Year-Month]])</f>
        <v>1</v>
      </c>
    </row>
    <row r="3586" spans="1:26" x14ac:dyDescent="0.2">
      <c r="A3586" s="6">
        <v>2392</v>
      </c>
      <c r="B3586" s="7">
        <v>17317</v>
      </c>
      <c r="C3586" s="8">
        <f>DATE(2012,12,31)-1124</f>
        <v>40150</v>
      </c>
      <c r="D3586" s="8" t="str">
        <f t="shared" si="68"/>
        <v>2009-12 (декабрь 2009)</v>
      </c>
      <c r="E3586" s="9" t="s">
        <v>45</v>
      </c>
      <c r="F3586" s="7">
        <v>7</v>
      </c>
      <c r="G3586" s="7">
        <v>34.659999999999997</v>
      </c>
      <c r="H3586" s="7">
        <v>0.06</v>
      </c>
      <c r="I3586" s="9" t="s">
        <v>22</v>
      </c>
      <c r="J3586" s="10">
        <v>-20.87</v>
      </c>
      <c r="K3586" s="11">
        <v>4.42</v>
      </c>
      <c r="L3586" s="11">
        <v>4.99</v>
      </c>
      <c r="M3586" s="9" t="s">
        <v>1692</v>
      </c>
      <c r="N3586" s="6" t="s">
        <v>1595</v>
      </c>
      <c r="O3586" s="6" t="s">
        <v>1595</v>
      </c>
      <c r="P3586" s="9" t="s">
        <v>41</v>
      </c>
      <c r="Q3586" s="9" t="s">
        <v>26</v>
      </c>
      <c r="R3586" s="9" t="s">
        <v>76</v>
      </c>
      <c r="S3586" s="7" t="s">
        <v>1665</v>
      </c>
      <c r="T3586" s="9" t="s">
        <v>39</v>
      </c>
      <c r="U3586" s="7">
        <v>0.38</v>
      </c>
      <c r="V3586" s="12">
        <f>C3586+2</f>
        <v>40152</v>
      </c>
      <c r="W3586">
        <f>IF(D3586=' Pivot Tables'!$A$4,1,0)</f>
        <v>0</v>
      </c>
      <c r="X3586">
        <f>IF(AND(LEFT(D3586,4)+1=LEFT(' Pivot Tables'!$A$4,4)+0,RIGHT(LEFT(D3586,7),2)=RIGHT(LEFT(' Pivot Tables'!$A$4,7),2)),1,0)</f>
        <v>0</v>
      </c>
      <c r="Y3586" s="6">
        <f>1/COUNTIF(Таблица1[Order ID],Таблица1[[#This Row],[Order ID]])</f>
        <v>1</v>
      </c>
      <c r="Z3586" s="9">
        <f>1/COUNTIFS(Таблица1[Customer Name],Таблица1[[#This Row],[Customer Name]],Таблица1[Order-Year-Month],Таблица1[[#This Row],[Order-Year-Month]])</f>
        <v>1</v>
      </c>
    </row>
    <row r="3587" spans="1:26" x14ac:dyDescent="0.2">
      <c r="A3587" s="6">
        <v>2405</v>
      </c>
      <c r="B3587" s="7">
        <v>17414</v>
      </c>
      <c r="C3587" s="8">
        <f>DATE(2012,12,31)-185</f>
        <v>41089</v>
      </c>
      <c r="D3587" s="8" t="str">
        <f t="shared" ref="D3587:D3650" si="69">TEXT(C3587,"гггг-ММ (ММММ гггг)")</f>
        <v>2012-06 (июнь 2012)</v>
      </c>
      <c r="E3587" s="9" t="s">
        <v>30</v>
      </c>
      <c r="F3587" s="7">
        <v>39</v>
      </c>
      <c r="G3587" s="7">
        <v>3755.43</v>
      </c>
      <c r="H3587" s="7">
        <v>7.0000000000000007E-2</v>
      </c>
      <c r="I3587" s="9" t="s">
        <v>22</v>
      </c>
      <c r="J3587" s="10">
        <v>448.07</v>
      </c>
      <c r="K3587" s="11">
        <v>99.99</v>
      </c>
      <c r="L3587" s="11">
        <v>19.989999999999998</v>
      </c>
      <c r="M3587" s="9" t="s">
        <v>1688</v>
      </c>
      <c r="N3587" s="6" t="s">
        <v>1595</v>
      </c>
      <c r="O3587" s="6" t="s">
        <v>1595</v>
      </c>
      <c r="P3587" s="9" t="s">
        <v>41</v>
      </c>
      <c r="Q3587" s="9" t="s">
        <v>42</v>
      </c>
      <c r="R3587" s="9" t="s">
        <v>70</v>
      </c>
      <c r="S3587" s="7" t="s">
        <v>337</v>
      </c>
      <c r="T3587" s="9" t="s">
        <v>39</v>
      </c>
      <c r="U3587" s="7">
        <v>0.52</v>
      </c>
      <c r="V3587" s="12">
        <f>C3587+2</f>
        <v>41091</v>
      </c>
      <c r="W3587">
        <f>IF(D3587=' Pivot Tables'!$A$4,1,0)</f>
        <v>0</v>
      </c>
      <c r="X3587">
        <f>IF(AND(LEFT(D3587,4)+1=LEFT(' Pivot Tables'!$A$4,4)+0,RIGHT(LEFT(D3587,7),2)=RIGHT(LEFT(' Pivot Tables'!$A$4,7),2)),1,0)</f>
        <v>0</v>
      </c>
      <c r="Y3587" s="6">
        <f>1/COUNTIF(Таблица1[Order ID],Таблица1[[#This Row],[Order ID]])</f>
        <v>0.5</v>
      </c>
      <c r="Z3587" s="9">
        <f>1/COUNTIFS(Таблица1[Customer Name],Таблица1[[#This Row],[Customer Name]],Таблица1[Order-Year-Month],Таблица1[[#This Row],[Order-Year-Month]])</f>
        <v>0.33333333333333331</v>
      </c>
    </row>
    <row r="3588" spans="1:26" x14ac:dyDescent="0.2">
      <c r="A3588" s="6">
        <v>2406</v>
      </c>
      <c r="B3588" s="7">
        <v>17414</v>
      </c>
      <c r="C3588" s="8">
        <f>DATE(2012,12,31)-185</f>
        <v>41089</v>
      </c>
      <c r="D3588" s="8" t="str">
        <f t="shared" si="69"/>
        <v>2012-06 (июнь 2012)</v>
      </c>
      <c r="E3588" s="9" t="s">
        <v>30</v>
      </c>
      <c r="F3588" s="7">
        <v>32</v>
      </c>
      <c r="G3588" s="7">
        <v>347.93</v>
      </c>
      <c r="H3588" s="7">
        <v>0.1</v>
      </c>
      <c r="I3588" s="9" t="s">
        <v>22</v>
      </c>
      <c r="J3588" s="10">
        <v>34.29</v>
      </c>
      <c r="K3588" s="11">
        <v>11.34</v>
      </c>
      <c r="L3588" s="11">
        <v>5.01</v>
      </c>
      <c r="M3588" s="9" t="s">
        <v>1688</v>
      </c>
      <c r="N3588" s="6" t="s">
        <v>1595</v>
      </c>
      <c r="O3588" s="6" t="s">
        <v>1595</v>
      </c>
      <c r="P3588" s="9" t="s">
        <v>41</v>
      </c>
      <c r="Q3588" s="9" t="s">
        <v>26</v>
      </c>
      <c r="R3588" s="9" t="s">
        <v>61</v>
      </c>
      <c r="S3588" s="7" t="s">
        <v>226</v>
      </c>
      <c r="T3588" s="9" t="s">
        <v>39</v>
      </c>
      <c r="U3588" s="7">
        <v>0.36</v>
      </c>
      <c r="V3588" s="12">
        <f>C3588+2</f>
        <v>41091</v>
      </c>
      <c r="W3588">
        <f>IF(D3588=' Pivot Tables'!$A$4,1,0)</f>
        <v>0</v>
      </c>
      <c r="X3588">
        <f>IF(AND(LEFT(D3588,4)+1=LEFT(' Pivot Tables'!$A$4,4)+0,RIGHT(LEFT(D3588,7),2)=RIGHT(LEFT(' Pivot Tables'!$A$4,7),2)),1,0)</f>
        <v>0</v>
      </c>
      <c r="Y3588" s="6">
        <f>1/COUNTIF(Таблица1[Order ID],Таблица1[[#This Row],[Order ID]])</f>
        <v>0.5</v>
      </c>
      <c r="Z3588" s="9">
        <f>1/COUNTIFS(Таблица1[Customer Name],Таблица1[[#This Row],[Customer Name]],Таблица1[Order-Year-Month],Таблица1[[#This Row],[Order-Year-Month]])</f>
        <v>0.33333333333333331</v>
      </c>
    </row>
    <row r="3589" spans="1:26" x14ac:dyDescent="0.2">
      <c r="A3589" s="6">
        <v>2408</v>
      </c>
      <c r="B3589" s="7">
        <v>17446</v>
      </c>
      <c r="C3589" s="8">
        <f>DATE(2012,12,31)-1301</f>
        <v>39973</v>
      </c>
      <c r="D3589" s="8" t="str">
        <f t="shared" si="69"/>
        <v>2009-06 (июнь 2009)</v>
      </c>
      <c r="E3589" s="9" t="s">
        <v>78</v>
      </c>
      <c r="F3589" s="7">
        <v>15</v>
      </c>
      <c r="G3589" s="7">
        <v>138.84</v>
      </c>
      <c r="H3589" s="7">
        <v>0</v>
      </c>
      <c r="I3589" s="9" t="s">
        <v>56</v>
      </c>
      <c r="J3589" s="10">
        <v>8.75</v>
      </c>
      <c r="K3589" s="11">
        <v>8.34</v>
      </c>
      <c r="L3589" s="11">
        <v>2.64</v>
      </c>
      <c r="M3589" s="9" t="s">
        <v>1674</v>
      </c>
      <c r="N3589" s="6" t="s">
        <v>1595</v>
      </c>
      <c r="O3589" s="6" t="s">
        <v>1595</v>
      </c>
      <c r="P3589" s="9" t="s">
        <v>60</v>
      </c>
      <c r="Q3589" s="9" t="s">
        <v>26</v>
      </c>
      <c r="R3589" s="9" t="s">
        <v>150</v>
      </c>
      <c r="S3589" s="7" t="s">
        <v>1381</v>
      </c>
      <c r="T3589" s="9" t="s">
        <v>52</v>
      </c>
      <c r="U3589" s="7">
        <v>0.59</v>
      </c>
      <c r="V3589" s="12">
        <f>C3589+2</f>
        <v>39975</v>
      </c>
      <c r="W3589">
        <f>IF(D3589=' Pivot Tables'!$A$4,1,0)</f>
        <v>0</v>
      </c>
      <c r="X3589">
        <f>IF(AND(LEFT(D3589,4)+1=LEFT(' Pivot Tables'!$A$4,4)+0,RIGHT(LEFT(D3589,7),2)=RIGHT(LEFT(' Pivot Tables'!$A$4,7),2)),1,0)</f>
        <v>0</v>
      </c>
      <c r="Y3589" s="6">
        <f>1/COUNTIF(Таблица1[Order ID],Таблица1[[#This Row],[Order ID]])</f>
        <v>1</v>
      </c>
      <c r="Z3589" s="9">
        <f>1/COUNTIFS(Таблица1[Customer Name],Таблица1[[#This Row],[Customer Name]],Таблица1[Order-Year-Month],Таблица1[[#This Row],[Order-Year-Month]])</f>
        <v>1</v>
      </c>
    </row>
    <row r="3590" spans="1:26" x14ac:dyDescent="0.2">
      <c r="A3590" s="6">
        <v>2446</v>
      </c>
      <c r="B3590" s="7">
        <v>17765</v>
      </c>
      <c r="C3590" s="8">
        <f>DATE(2012,12,31)-473</f>
        <v>40801</v>
      </c>
      <c r="D3590" s="8" t="str">
        <f t="shared" si="69"/>
        <v>2011-09 (сентябрь 2011)</v>
      </c>
      <c r="E3590" s="9" t="s">
        <v>45</v>
      </c>
      <c r="F3590" s="7">
        <v>36</v>
      </c>
      <c r="G3590" s="7">
        <v>79.02</v>
      </c>
      <c r="H3590" s="7">
        <v>0.08</v>
      </c>
      <c r="I3590" s="9" t="s">
        <v>22</v>
      </c>
      <c r="J3590" s="10">
        <v>-192.6825</v>
      </c>
      <c r="K3590" s="11">
        <v>2.16</v>
      </c>
      <c r="L3590" s="11">
        <v>6.05</v>
      </c>
      <c r="M3590" s="9" t="s">
        <v>1677</v>
      </c>
      <c r="N3590" s="6" t="s">
        <v>1595</v>
      </c>
      <c r="O3590" s="6" t="s">
        <v>1595</v>
      </c>
      <c r="P3590" s="9" t="s">
        <v>25</v>
      </c>
      <c r="Q3590" s="9" t="s">
        <v>26</v>
      </c>
      <c r="R3590" s="9" t="s">
        <v>37</v>
      </c>
      <c r="S3590" s="7" t="s">
        <v>516</v>
      </c>
      <c r="T3590" s="9" t="s">
        <v>39</v>
      </c>
      <c r="U3590" s="7">
        <v>0.37</v>
      </c>
      <c r="V3590" s="12">
        <f>C3590+0</f>
        <v>40801</v>
      </c>
      <c r="W3590">
        <f>IF(D3590=' Pivot Tables'!$A$4,1,0)</f>
        <v>0</v>
      </c>
      <c r="X3590">
        <f>IF(AND(LEFT(D3590,4)+1=LEFT(' Pivot Tables'!$A$4,4)+0,RIGHT(LEFT(D3590,7),2)=RIGHT(LEFT(' Pivot Tables'!$A$4,7),2)),1,0)</f>
        <v>0</v>
      </c>
      <c r="Y3590" s="6">
        <f>1/COUNTIF(Таблица1[Order ID],Таблица1[[#This Row],[Order ID]])</f>
        <v>1</v>
      </c>
      <c r="Z3590" s="9">
        <f>1/COUNTIFS(Таблица1[Customer Name],Таблица1[[#This Row],[Customer Name]],Таблица1[Order-Year-Month],Таблица1[[#This Row],[Order-Year-Month]])</f>
        <v>1</v>
      </c>
    </row>
    <row r="3591" spans="1:26" x14ac:dyDescent="0.2">
      <c r="A3591" s="6">
        <v>2471</v>
      </c>
      <c r="B3591" s="7">
        <v>17958</v>
      </c>
      <c r="C3591" s="8">
        <f>DATE(2012,12,31)-508</f>
        <v>40766</v>
      </c>
      <c r="D3591" s="8" t="str">
        <f t="shared" si="69"/>
        <v>2011-08 (август 2011)</v>
      </c>
      <c r="E3591" s="9" t="s">
        <v>21</v>
      </c>
      <c r="F3591" s="7">
        <v>33</v>
      </c>
      <c r="G3591" s="7">
        <v>1053.74</v>
      </c>
      <c r="H3591" s="7">
        <v>7.0000000000000007E-2</v>
      </c>
      <c r="I3591" s="9" t="s">
        <v>22</v>
      </c>
      <c r="J3591" s="10">
        <v>359.53</v>
      </c>
      <c r="K3591" s="11">
        <v>32.479999999999997</v>
      </c>
      <c r="L3591" s="11">
        <v>7.09</v>
      </c>
      <c r="M3591" s="9" t="s">
        <v>1666</v>
      </c>
      <c r="N3591" s="6" t="s">
        <v>1595</v>
      </c>
      <c r="O3591" s="6" t="s">
        <v>1595</v>
      </c>
      <c r="P3591" s="9" t="s">
        <v>60</v>
      </c>
      <c r="Q3591" s="9" t="s">
        <v>49</v>
      </c>
      <c r="R3591" s="9" t="s">
        <v>50</v>
      </c>
      <c r="S3591" s="7" t="s">
        <v>1693</v>
      </c>
      <c r="T3591" s="9" t="s">
        <v>39</v>
      </c>
      <c r="U3591" s="7">
        <v>0.49</v>
      </c>
      <c r="V3591" s="12">
        <f>C3591+4</f>
        <v>40770</v>
      </c>
      <c r="W3591">
        <f>IF(D3591=' Pivot Tables'!$A$4,1,0)</f>
        <v>0</v>
      </c>
      <c r="X3591">
        <f>IF(AND(LEFT(D3591,4)+1=LEFT(' Pivot Tables'!$A$4,4)+0,RIGHT(LEFT(D3591,7),2)=RIGHT(LEFT(' Pivot Tables'!$A$4,7),2)),1,0)</f>
        <v>0</v>
      </c>
      <c r="Y3591" s="6">
        <f>1/COUNTIF(Таблица1[Order ID],Таблица1[[#This Row],[Order ID]])</f>
        <v>1</v>
      </c>
      <c r="Z3591" s="9">
        <f>1/COUNTIFS(Таблица1[Customer Name],Таблица1[[#This Row],[Customer Name]],Таблица1[Order-Year-Month],Таблица1[[#This Row],[Order-Year-Month]])</f>
        <v>1</v>
      </c>
    </row>
    <row r="3592" spans="1:26" x14ac:dyDescent="0.2">
      <c r="A3592" s="6">
        <v>2534</v>
      </c>
      <c r="B3592" s="7">
        <v>18375</v>
      </c>
      <c r="C3592" s="8">
        <f>DATE(2012,12,31)-466</f>
        <v>40808</v>
      </c>
      <c r="D3592" s="8" t="str">
        <f t="shared" si="69"/>
        <v>2011-09 (сентябрь 2011)</v>
      </c>
      <c r="E3592" s="9" t="s">
        <v>21</v>
      </c>
      <c r="F3592" s="7">
        <v>20</v>
      </c>
      <c r="G3592" s="7">
        <v>76.89</v>
      </c>
      <c r="H3592" s="7">
        <v>0.03</v>
      </c>
      <c r="I3592" s="9" t="s">
        <v>22</v>
      </c>
      <c r="J3592" s="10">
        <v>31.64</v>
      </c>
      <c r="K3592" s="11">
        <v>3.75</v>
      </c>
      <c r="L3592" s="11">
        <v>0.5</v>
      </c>
      <c r="M3592" s="9" t="s">
        <v>1687</v>
      </c>
      <c r="N3592" s="6" t="s">
        <v>1595</v>
      </c>
      <c r="O3592" s="6" t="s">
        <v>1595</v>
      </c>
      <c r="P3592" s="9" t="s">
        <v>25</v>
      </c>
      <c r="Q3592" s="9" t="s">
        <v>26</v>
      </c>
      <c r="R3592" s="9" t="s">
        <v>88</v>
      </c>
      <c r="S3592" s="7" t="s">
        <v>130</v>
      </c>
      <c r="T3592" s="9" t="s">
        <v>39</v>
      </c>
      <c r="U3592" s="7">
        <v>0.37</v>
      </c>
      <c r="V3592" s="12">
        <f>C3592+4</f>
        <v>40812</v>
      </c>
      <c r="W3592">
        <f>IF(D3592=' Pivot Tables'!$A$4,1,0)</f>
        <v>0</v>
      </c>
      <c r="X3592">
        <f>IF(AND(LEFT(D3592,4)+1=LEFT(' Pivot Tables'!$A$4,4)+0,RIGHT(LEFT(D3592,7),2)=RIGHT(LEFT(' Pivot Tables'!$A$4,7),2)),1,0)</f>
        <v>0</v>
      </c>
      <c r="Y3592" s="6">
        <f>1/COUNTIF(Таблица1[Order ID],Таблица1[[#This Row],[Order ID]])</f>
        <v>1</v>
      </c>
      <c r="Z3592" s="9">
        <f>1/COUNTIFS(Таблица1[Customer Name],Таблица1[[#This Row],[Customer Name]],Таблица1[Order-Year-Month],Таблица1[[#This Row],[Order-Year-Month]])</f>
        <v>0.5</v>
      </c>
    </row>
    <row r="3593" spans="1:26" x14ac:dyDescent="0.2">
      <c r="A3593" s="6">
        <v>2566</v>
      </c>
      <c r="B3593" s="7">
        <v>18532</v>
      </c>
      <c r="C3593" s="8">
        <f>DATE(2012,12,31)-438</f>
        <v>40836</v>
      </c>
      <c r="D3593" s="8" t="str">
        <f t="shared" si="69"/>
        <v>2011-10 (октябрь 2011)</v>
      </c>
      <c r="E3593" s="9" t="s">
        <v>45</v>
      </c>
      <c r="F3593" s="7">
        <v>29</v>
      </c>
      <c r="G3593" s="7">
        <v>230.77</v>
      </c>
      <c r="H3593" s="7">
        <v>0.09</v>
      </c>
      <c r="I3593" s="9" t="s">
        <v>22</v>
      </c>
      <c r="J3593" s="10">
        <v>-146.24</v>
      </c>
      <c r="K3593" s="11">
        <v>8.4499999999999993</v>
      </c>
      <c r="L3593" s="11">
        <v>7.77</v>
      </c>
      <c r="M3593" s="9" t="s">
        <v>1666</v>
      </c>
      <c r="N3593" s="6" t="s">
        <v>1595</v>
      </c>
      <c r="O3593" s="6" t="s">
        <v>1595</v>
      </c>
      <c r="P3593" s="9" t="s">
        <v>60</v>
      </c>
      <c r="Q3593" s="9" t="s">
        <v>26</v>
      </c>
      <c r="R3593" s="9" t="s">
        <v>150</v>
      </c>
      <c r="S3593" s="7" t="s">
        <v>466</v>
      </c>
      <c r="T3593" s="9" t="s">
        <v>52</v>
      </c>
      <c r="U3593" s="7">
        <v>0.55000000000000004</v>
      </c>
      <c r="V3593" s="12">
        <f>C3593+1</f>
        <v>40837</v>
      </c>
      <c r="W3593">
        <f>IF(D3593=' Pivot Tables'!$A$4,1,0)</f>
        <v>0</v>
      </c>
      <c r="X3593">
        <f>IF(AND(LEFT(D3593,4)+1=LEFT(' Pivot Tables'!$A$4,4)+0,RIGHT(LEFT(D3593,7),2)=RIGHT(LEFT(' Pivot Tables'!$A$4,7),2)),1,0)</f>
        <v>0</v>
      </c>
      <c r="Y3593" s="6">
        <f>1/COUNTIF(Таблица1[Order ID],Таблица1[[#This Row],[Order ID]])</f>
        <v>0.5</v>
      </c>
      <c r="Z3593" s="9">
        <f>1/COUNTIFS(Таблица1[Customer Name],Таблица1[[#This Row],[Customer Name]],Таблица1[Order-Year-Month],Таблица1[[#This Row],[Order-Year-Month]])</f>
        <v>0.5</v>
      </c>
    </row>
    <row r="3594" spans="1:26" x14ac:dyDescent="0.2">
      <c r="A3594" s="6">
        <v>2567</v>
      </c>
      <c r="B3594" s="7">
        <v>18532</v>
      </c>
      <c r="C3594" s="8">
        <f>DATE(2012,12,31)-438</f>
        <v>40836</v>
      </c>
      <c r="D3594" s="8" t="str">
        <f t="shared" si="69"/>
        <v>2011-10 (октябрь 2011)</v>
      </c>
      <c r="E3594" s="9" t="s">
        <v>45</v>
      </c>
      <c r="F3594" s="7">
        <v>31</v>
      </c>
      <c r="G3594" s="7">
        <v>507.58</v>
      </c>
      <c r="H3594" s="7">
        <v>0.01</v>
      </c>
      <c r="I3594" s="9" t="s">
        <v>22</v>
      </c>
      <c r="J3594" s="10">
        <v>-131.59</v>
      </c>
      <c r="K3594" s="11">
        <v>15.42</v>
      </c>
      <c r="L3594" s="11">
        <v>10.68</v>
      </c>
      <c r="M3594" s="9" t="s">
        <v>1666</v>
      </c>
      <c r="N3594" s="6" t="s">
        <v>1595</v>
      </c>
      <c r="O3594" s="6" t="s">
        <v>1595</v>
      </c>
      <c r="P3594" s="9" t="s">
        <v>60</v>
      </c>
      <c r="Q3594" s="9" t="s">
        <v>26</v>
      </c>
      <c r="R3594" s="9" t="s">
        <v>27</v>
      </c>
      <c r="S3594" s="7" t="s">
        <v>1645</v>
      </c>
      <c r="T3594" s="9" t="s">
        <v>39</v>
      </c>
      <c r="U3594" s="7">
        <v>0.57999999999999996</v>
      </c>
      <c r="V3594" s="12">
        <f>C3594+2</f>
        <v>40838</v>
      </c>
      <c r="W3594">
        <f>IF(D3594=' Pivot Tables'!$A$4,1,0)</f>
        <v>0</v>
      </c>
      <c r="X3594">
        <f>IF(AND(LEFT(D3594,4)+1=LEFT(' Pivot Tables'!$A$4,4)+0,RIGHT(LEFT(D3594,7),2)=RIGHT(LEFT(' Pivot Tables'!$A$4,7),2)),1,0)</f>
        <v>0</v>
      </c>
      <c r="Y3594" s="6">
        <f>1/COUNTIF(Таблица1[Order ID],Таблица1[[#This Row],[Order ID]])</f>
        <v>0.5</v>
      </c>
      <c r="Z3594" s="9">
        <f>1/COUNTIFS(Таблица1[Customer Name],Таблица1[[#This Row],[Customer Name]],Таблица1[Order-Year-Month],Таблица1[[#This Row],[Order-Year-Month]])</f>
        <v>0.5</v>
      </c>
    </row>
    <row r="3595" spans="1:26" x14ac:dyDescent="0.2">
      <c r="A3595" s="6">
        <v>2583</v>
      </c>
      <c r="B3595" s="7">
        <v>18627</v>
      </c>
      <c r="C3595" s="8">
        <f>DATE(2012,12,31)-742</f>
        <v>40532</v>
      </c>
      <c r="D3595" s="8" t="str">
        <f t="shared" si="69"/>
        <v>2010-12 (декабрь 2010)</v>
      </c>
      <c r="E3595" s="9" t="s">
        <v>63</v>
      </c>
      <c r="F3595" s="7">
        <v>4</v>
      </c>
      <c r="G3595" s="7">
        <v>15.7</v>
      </c>
      <c r="H3595" s="7">
        <v>0.01</v>
      </c>
      <c r="I3595" s="9" t="s">
        <v>22</v>
      </c>
      <c r="J3595" s="10">
        <v>0.71</v>
      </c>
      <c r="K3595" s="11">
        <v>3.69</v>
      </c>
      <c r="L3595" s="11">
        <v>0.5</v>
      </c>
      <c r="M3595" s="9" t="s">
        <v>1678</v>
      </c>
      <c r="N3595" s="6" t="s">
        <v>1595</v>
      </c>
      <c r="O3595" s="6" t="s">
        <v>1595</v>
      </c>
      <c r="P3595" s="9" t="s">
        <v>25</v>
      </c>
      <c r="Q3595" s="9" t="s">
        <v>26</v>
      </c>
      <c r="R3595" s="9" t="s">
        <v>88</v>
      </c>
      <c r="S3595" s="7" t="s">
        <v>202</v>
      </c>
      <c r="T3595" s="9" t="s">
        <v>39</v>
      </c>
      <c r="U3595" s="7">
        <v>0.38</v>
      </c>
      <c r="V3595" s="12">
        <f>C3595+1</f>
        <v>40533</v>
      </c>
      <c r="W3595">
        <f>IF(D3595=' Pivot Tables'!$A$4,1,0)</f>
        <v>0</v>
      </c>
      <c r="X3595">
        <f>IF(AND(LEFT(D3595,4)+1=LEFT(' Pivot Tables'!$A$4,4)+0,RIGHT(LEFT(D3595,7),2)=RIGHT(LEFT(' Pivot Tables'!$A$4,7),2)),1,0)</f>
        <v>0</v>
      </c>
      <c r="Y3595" s="6">
        <f>1/COUNTIF(Таблица1[Order ID],Таблица1[[#This Row],[Order ID]])</f>
        <v>1</v>
      </c>
      <c r="Z3595" s="9">
        <f>1/COUNTIFS(Таблица1[Customer Name],Таблица1[[#This Row],[Customer Name]],Таблица1[Order-Year-Month],Таблица1[[#This Row],[Order-Year-Month]])</f>
        <v>1</v>
      </c>
    </row>
    <row r="3596" spans="1:26" x14ac:dyDescent="0.2">
      <c r="A3596" s="6">
        <v>2603</v>
      </c>
      <c r="B3596" s="7">
        <v>18816</v>
      </c>
      <c r="C3596" s="8">
        <f>DATE(2012,12,31)-1406</f>
        <v>39868</v>
      </c>
      <c r="D3596" s="8" t="str">
        <f t="shared" si="69"/>
        <v>2009-02 (февраль 2009)</v>
      </c>
      <c r="E3596" s="9" t="s">
        <v>78</v>
      </c>
      <c r="F3596" s="7">
        <v>12</v>
      </c>
      <c r="G3596" s="7">
        <v>580.46</v>
      </c>
      <c r="H3596" s="7">
        <v>0.03</v>
      </c>
      <c r="I3596" s="9" t="s">
        <v>56</v>
      </c>
      <c r="J3596" s="10">
        <v>108.96</v>
      </c>
      <c r="K3596" s="11">
        <v>48.58</v>
      </c>
      <c r="L3596" s="11">
        <v>3.99</v>
      </c>
      <c r="M3596" s="9" t="s">
        <v>354</v>
      </c>
      <c r="N3596" s="6" t="s">
        <v>1595</v>
      </c>
      <c r="O3596" s="6" t="s">
        <v>1595</v>
      </c>
      <c r="P3596" s="9" t="s">
        <v>41</v>
      </c>
      <c r="Q3596" s="9" t="s">
        <v>26</v>
      </c>
      <c r="R3596" s="9" t="s">
        <v>34</v>
      </c>
      <c r="S3596" s="7" t="s">
        <v>988</v>
      </c>
      <c r="T3596" s="9" t="s">
        <v>39</v>
      </c>
      <c r="U3596" s="7">
        <v>0.56000000000000005</v>
      </c>
      <c r="V3596" s="12">
        <f>C3596+2</f>
        <v>39870</v>
      </c>
      <c r="W3596">
        <f>IF(D3596=' Pivot Tables'!$A$4,1,0)</f>
        <v>0</v>
      </c>
      <c r="X3596">
        <f>IF(AND(LEFT(D3596,4)+1=LEFT(' Pivot Tables'!$A$4,4)+0,RIGHT(LEFT(D3596,7),2)=RIGHT(LEFT(' Pivot Tables'!$A$4,7),2)),1,0)</f>
        <v>0</v>
      </c>
      <c r="Y3596" s="6">
        <f>1/COUNTIF(Таблица1[Order ID],Таблица1[[#This Row],[Order ID]])</f>
        <v>1</v>
      </c>
      <c r="Z3596" s="9">
        <f>1/COUNTIFS(Таблица1[Customer Name],Таблица1[[#This Row],[Customer Name]],Таблица1[Order-Year-Month],Таблица1[[#This Row],[Order-Year-Month]])</f>
        <v>1</v>
      </c>
    </row>
    <row r="3597" spans="1:26" x14ac:dyDescent="0.2">
      <c r="A3597" s="6">
        <v>2610</v>
      </c>
      <c r="B3597" s="7">
        <v>18852</v>
      </c>
      <c r="C3597" s="8">
        <f>DATE(2012,12,31)-469</f>
        <v>40805</v>
      </c>
      <c r="D3597" s="8" t="str">
        <f t="shared" si="69"/>
        <v>2011-09 (сентябрь 2011)</v>
      </c>
      <c r="E3597" s="9" t="s">
        <v>30</v>
      </c>
      <c r="F3597" s="7">
        <v>17</v>
      </c>
      <c r="G3597" s="7">
        <v>351.25</v>
      </c>
      <c r="H3597" s="7">
        <v>0.01</v>
      </c>
      <c r="I3597" s="9" t="s">
        <v>56</v>
      </c>
      <c r="J3597" s="10">
        <v>80.73</v>
      </c>
      <c r="K3597" s="11">
        <v>19.98</v>
      </c>
      <c r="L3597" s="11">
        <v>5.97</v>
      </c>
      <c r="M3597" s="9" t="s">
        <v>1687</v>
      </c>
      <c r="N3597" s="6" t="s">
        <v>1595</v>
      </c>
      <c r="O3597" s="6" t="s">
        <v>1595</v>
      </c>
      <c r="P3597" s="9" t="s">
        <v>25</v>
      </c>
      <c r="Q3597" s="9" t="s">
        <v>26</v>
      </c>
      <c r="R3597" s="9" t="s">
        <v>61</v>
      </c>
      <c r="S3597" s="7" t="s">
        <v>169</v>
      </c>
      <c r="T3597" s="9" t="s">
        <v>39</v>
      </c>
      <c r="U3597" s="7">
        <v>0.38</v>
      </c>
      <c r="V3597" s="12">
        <f>C3597+2</f>
        <v>40807</v>
      </c>
      <c r="W3597">
        <f>IF(D3597=' Pivot Tables'!$A$4,1,0)</f>
        <v>0</v>
      </c>
      <c r="X3597">
        <f>IF(AND(LEFT(D3597,4)+1=LEFT(' Pivot Tables'!$A$4,4)+0,RIGHT(LEFT(D3597,7),2)=RIGHT(LEFT(' Pivot Tables'!$A$4,7),2)),1,0)</f>
        <v>0</v>
      </c>
      <c r="Y3597" s="6">
        <f>1/COUNTIF(Таблица1[Order ID],Таблица1[[#This Row],[Order ID]])</f>
        <v>1</v>
      </c>
      <c r="Z3597" s="9">
        <f>1/COUNTIFS(Таблица1[Customer Name],Таблица1[[#This Row],[Customer Name]],Таблица1[Order-Year-Month],Таблица1[[#This Row],[Order-Year-Month]])</f>
        <v>0.5</v>
      </c>
    </row>
    <row r="3598" spans="1:26" x14ac:dyDescent="0.2">
      <c r="A3598" s="6">
        <v>2670</v>
      </c>
      <c r="B3598" s="7">
        <v>19329</v>
      </c>
      <c r="C3598" s="8">
        <f>DATE(2012,12,31)-1030</f>
        <v>40244</v>
      </c>
      <c r="D3598" s="8" t="str">
        <f t="shared" si="69"/>
        <v>2010-03 (март 2010)</v>
      </c>
      <c r="E3598" s="9" t="s">
        <v>45</v>
      </c>
      <c r="F3598" s="7">
        <v>37</v>
      </c>
      <c r="G3598" s="7">
        <v>281.58999999999997</v>
      </c>
      <c r="H3598" s="7">
        <v>7.0000000000000007E-2</v>
      </c>
      <c r="I3598" s="9" t="s">
        <v>22</v>
      </c>
      <c r="J3598" s="10">
        <v>-6.39</v>
      </c>
      <c r="K3598" s="11">
        <v>7.96</v>
      </c>
      <c r="L3598" s="11">
        <v>4.95</v>
      </c>
      <c r="M3598" s="9" t="s">
        <v>1675</v>
      </c>
      <c r="N3598" s="6" t="s">
        <v>1595</v>
      </c>
      <c r="O3598" s="6" t="s">
        <v>1595</v>
      </c>
      <c r="P3598" s="9" t="s">
        <v>41</v>
      </c>
      <c r="Q3598" s="9" t="s">
        <v>49</v>
      </c>
      <c r="R3598" s="9" t="s">
        <v>50</v>
      </c>
      <c r="S3598" s="7" t="s">
        <v>951</v>
      </c>
      <c r="T3598" s="9" t="s">
        <v>39</v>
      </c>
      <c r="U3598" s="7">
        <v>0.41</v>
      </c>
      <c r="V3598" s="12">
        <f>C3598+2</f>
        <v>40246</v>
      </c>
      <c r="W3598">
        <f>IF(D3598=' Pivot Tables'!$A$4,1,0)</f>
        <v>0</v>
      </c>
      <c r="X3598">
        <f>IF(AND(LEFT(D3598,4)+1=LEFT(' Pivot Tables'!$A$4,4)+0,RIGHT(LEFT(D3598,7),2)=RIGHT(LEFT(' Pivot Tables'!$A$4,7),2)),1,0)</f>
        <v>0</v>
      </c>
      <c r="Y3598" s="6">
        <f>1/COUNTIF(Таблица1[Order ID],Таблица1[[#This Row],[Order ID]])</f>
        <v>0.5</v>
      </c>
      <c r="Z3598" s="9">
        <f>1/COUNTIFS(Таблица1[Customer Name],Таблица1[[#This Row],[Customer Name]],Таблица1[Order-Year-Month],Таблица1[[#This Row],[Order-Year-Month]])</f>
        <v>0.5</v>
      </c>
    </row>
    <row r="3599" spans="1:26" x14ac:dyDescent="0.2">
      <c r="A3599" s="6">
        <v>2671</v>
      </c>
      <c r="B3599" s="7">
        <v>19329</v>
      </c>
      <c r="C3599" s="8">
        <f>DATE(2012,12,31)-1030</f>
        <v>40244</v>
      </c>
      <c r="D3599" s="8" t="str">
        <f t="shared" si="69"/>
        <v>2010-03 (март 2010)</v>
      </c>
      <c r="E3599" s="9" t="s">
        <v>45</v>
      </c>
      <c r="F3599" s="7">
        <v>6</v>
      </c>
      <c r="G3599" s="7">
        <v>231.7525</v>
      </c>
      <c r="H3599" s="7">
        <v>0.03</v>
      </c>
      <c r="I3599" s="9" t="s">
        <v>22</v>
      </c>
      <c r="J3599" s="10">
        <v>-155.947</v>
      </c>
      <c r="K3599" s="11">
        <v>45.99</v>
      </c>
      <c r="L3599" s="11">
        <v>4.99</v>
      </c>
      <c r="M3599" s="9" t="s">
        <v>1675</v>
      </c>
      <c r="N3599" s="6" t="s">
        <v>1595</v>
      </c>
      <c r="O3599" s="6" t="s">
        <v>1595</v>
      </c>
      <c r="P3599" s="9" t="s">
        <v>41</v>
      </c>
      <c r="Q3599" s="9" t="s">
        <v>42</v>
      </c>
      <c r="R3599" s="9" t="s">
        <v>43</v>
      </c>
      <c r="S3599" s="7" t="s">
        <v>629</v>
      </c>
      <c r="T3599" s="9" t="s">
        <v>39</v>
      </c>
      <c r="U3599" s="7">
        <v>0.56000000000000005</v>
      </c>
      <c r="V3599" s="12">
        <f>C3599+1</f>
        <v>40245</v>
      </c>
      <c r="W3599">
        <f>IF(D3599=' Pivot Tables'!$A$4,1,0)</f>
        <v>0</v>
      </c>
      <c r="X3599">
        <f>IF(AND(LEFT(D3599,4)+1=LEFT(' Pivot Tables'!$A$4,4)+0,RIGHT(LEFT(D3599,7),2)=RIGHT(LEFT(' Pivot Tables'!$A$4,7),2)),1,0)</f>
        <v>0</v>
      </c>
      <c r="Y3599" s="6">
        <f>1/COUNTIF(Таблица1[Order ID],Таблица1[[#This Row],[Order ID]])</f>
        <v>0.5</v>
      </c>
      <c r="Z3599" s="9">
        <f>1/COUNTIFS(Таблица1[Customer Name],Таблица1[[#This Row],[Customer Name]],Таблица1[Order-Year-Month],Таблица1[[#This Row],[Order-Year-Month]])</f>
        <v>0.5</v>
      </c>
    </row>
    <row r="3600" spans="1:26" x14ac:dyDescent="0.2">
      <c r="A3600" s="6">
        <v>2697</v>
      </c>
      <c r="B3600" s="7">
        <v>19522</v>
      </c>
      <c r="C3600" s="8">
        <f>DATE(2012,12,31)-1168</f>
        <v>40106</v>
      </c>
      <c r="D3600" s="8" t="str">
        <f t="shared" si="69"/>
        <v>2009-10 (октябрь 2009)</v>
      </c>
      <c r="E3600" s="9" t="s">
        <v>63</v>
      </c>
      <c r="F3600" s="7">
        <v>44</v>
      </c>
      <c r="G3600" s="7">
        <v>161.80000000000001</v>
      </c>
      <c r="H3600" s="7">
        <v>0.06</v>
      </c>
      <c r="I3600" s="9" t="s">
        <v>22</v>
      </c>
      <c r="J3600" s="10">
        <v>21.335000000000001</v>
      </c>
      <c r="K3600" s="11">
        <v>3.8</v>
      </c>
      <c r="L3600" s="11">
        <v>1.49</v>
      </c>
      <c r="M3600" s="9" t="s">
        <v>1670</v>
      </c>
      <c r="N3600" s="6" t="s">
        <v>1595</v>
      </c>
      <c r="O3600" s="6" t="s">
        <v>1595</v>
      </c>
      <c r="P3600" s="9" t="s">
        <v>33</v>
      </c>
      <c r="Q3600" s="9" t="s">
        <v>26</v>
      </c>
      <c r="R3600" s="9" t="s">
        <v>37</v>
      </c>
      <c r="S3600" s="7" t="s">
        <v>269</v>
      </c>
      <c r="T3600" s="9" t="s">
        <v>39</v>
      </c>
      <c r="U3600" s="7">
        <v>0.38</v>
      </c>
      <c r="V3600" s="12">
        <f>C3600+1</f>
        <v>40107</v>
      </c>
      <c r="W3600">
        <f>IF(D3600=' Pivot Tables'!$A$4,1,0)</f>
        <v>0</v>
      </c>
      <c r="X3600">
        <f>IF(AND(LEFT(D3600,4)+1=LEFT(' Pivot Tables'!$A$4,4)+0,RIGHT(LEFT(D3600,7),2)=RIGHT(LEFT(' Pivot Tables'!$A$4,7),2)),1,0)</f>
        <v>0</v>
      </c>
      <c r="Y3600" s="6">
        <f>1/COUNTIF(Таблица1[Order ID],Таблица1[[#This Row],[Order ID]])</f>
        <v>0.5</v>
      </c>
      <c r="Z3600" s="9">
        <f>1/COUNTIFS(Таблица1[Customer Name],Таблица1[[#This Row],[Customer Name]],Таблица1[Order-Year-Month],Таблица1[[#This Row],[Order-Year-Month]])</f>
        <v>0.5</v>
      </c>
    </row>
    <row r="3601" spans="1:26" x14ac:dyDescent="0.2">
      <c r="A3601" s="6">
        <v>2698</v>
      </c>
      <c r="B3601" s="7">
        <v>19522</v>
      </c>
      <c r="C3601" s="8">
        <f>DATE(2012,12,31)-1168</f>
        <v>40106</v>
      </c>
      <c r="D3601" s="8" t="str">
        <f t="shared" si="69"/>
        <v>2009-10 (октябрь 2009)</v>
      </c>
      <c r="E3601" s="9" t="s">
        <v>63</v>
      </c>
      <c r="F3601" s="7">
        <v>37</v>
      </c>
      <c r="G3601" s="7">
        <v>64.36</v>
      </c>
      <c r="H3601" s="7">
        <v>0.06</v>
      </c>
      <c r="I3601" s="9" t="s">
        <v>22</v>
      </c>
      <c r="J3601" s="10">
        <v>-1.53</v>
      </c>
      <c r="K3601" s="11">
        <v>1.76</v>
      </c>
      <c r="L3601" s="11">
        <v>0.7</v>
      </c>
      <c r="M3601" s="9" t="s">
        <v>1670</v>
      </c>
      <c r="N3601" s="6" t="s">
        <v>1595</v>
      </c>
      <c r="O3601" s="6" t="s">
        <v>1595</v>
      </c>
      <c r="P3601" s="9" t="s">
        <v>33</v>
      </c>
      <c r="Q3601" s="9" t="s">
        <v>26</v>
      </c>
      <c r="R3601" s="9" t="s">
        <v>95</v>
      </c>
      <c r="S3601" s="7" t="s">
        <v>387</v>
      </c>
      <c r="T3601" s="9" t="s">
        <v>68</v>
      </c>
      <c r="U3601" s="7">
        <v>0.56000000000000005</v>
      </c>
      <c r="V3601" s="12">
        <f>C3601+1</f>
        <v>40107</v>
      </c>
      <c r="W3601">
        <f>IF(D3601=' Pivot Tables'!$A$4,1,0)</f>
        <v>0</v>
      </c>
      <c r="X3601">
        <f>IF(AND(LEFT(D3601,4)+1=LEFT(' Pivot Tables'!$A$4,4)+0,RIGHT(LEFT(D3601,7),2)=RIGHT(LEFT(' Pivot Tables'!$A$4,7),2)),1,0)</f>
        <v>0</v>
      </c>
      <c r="Y3601" s="6">
        <f>1/COUNTIF(Таблица1[Order ID],Таблица1[[#This Row],[Order ID]])</f>
        <v>0.5</v>
      </c>
      <c r="Z3601" s="9">
        <f>1/COUNTIFS(Таблица1[Customer Name],Таблица1[[#This Row],[Customer Name]],Таблица1[Order-Year-Month],Таблица1[[#This Row],[Order-Year-Month]])</f>
        <v>0.5</v>
      </c>
    </row>
    <row r="3602" spans="1:26" x14ac:dyDescent="0.2">
      <c r="A3602" s="6">
        <v>2743</v>
      </c>
      <c r="B3602" s="7">
        <v>19811</v>
      </c>
      <c r="C3602" s="8">
        <f>DATE(2012,12,31)-511</f>
        <v>40763</v>
      </c>
      <c r="D3602" s="8" t="str">
        <f t="shared" si="69"/>
        <v>2011-08 (август 2011)</v>
      </c>
      <c r="E3602" s="9" t="s">
        <v>21</v>
      </c>
      <c r="F3602" s="7">
        <v>49</v>
      </c>
      <c r="G3602" s="7">
        <v>450.66</v>
      </c>
      <c r="H3602" s="7">
        <v>0.01</v>
      </c>
      <c r="I3602" s="9" t="s">
        <v>56</v>
      </c>
      <c r="J3602" s="10">
        <v>-115.1</v>
      </c>
      <c r="K3602" s="11">
        <v>8.57</v>
      </c>
      <c r="L3602" s="11">
        <v>6.14</v>
      </c>
      <c r="M3602" s="9" t="s">
        <v>1694</v>
      </c>
      <c r="N3602" s="6" t="s">
        <v>1595</v>
      </c>
      <c r="O3602" s="6" t="s">
        <v>1595</v>
      </c>
      <c r="P3602" s="9" t="s">
        <v>41</v>
      </c>
      <c r="Q3602" s="9" t="s">
        <v>26</v>
      </c>
      <c r="R3602" s="9" t="s">
        <v>150</v>
      </c>
      <c r="S3602" s="7" t="s">
        <v>1388</v>
      </c>
      <c r="T3602" s="9" t="s">
        <v>52</v>
      </c>
      <c r="U3602" s="7">
        <v>0.59</v>
      </c>
      <c r="V3602" s="12">
        <f>C3602+5</f>
        <v>40768</v>
      </c>
      <c r="W3602">
        <f>IF(D3602=' Pivot Tables'!$A$4,1,0)</f>
        <v>0</v>
      </c>
      <c r="X3602">
        <f>IF(AND(LEFT(D3602,4)+1=LEFT(' Pivot Tables'!$A$4,4)+0,RIGHT(LEFT(D3602,7),2)=RIGHT(LEFT(' Pivot Tables'!$A$4,7),2)),1,0)</f>
        <v>0</v>
      </c>
      <c r="Y3602" s="6">
        <f>1/COUNTIF(Таблица1[Order ID],Таблица1[[#This Row],[Order ID]])</f>
        <v>1</v>
      </c>
      <c r="Z3602" s="9">
        <f>1/COUNTIFS(Таблица1[Customer Name],Таблица1[[#This Row],[Customer Name]],Таблица1[Order-Year-Month],Таблица1[[#This Row],[Order-Year-Month]])</f>
        <v>1</v>
      </c>
    </row>
    <row r="3603" spans="1:26" x14ac:dyDescent="0.2">
      <c r="A3603" s="6">
        <v>2748</v>
      </c>
      <c r="B3603" s="7">
        <v>19841</v>
      </c>
      <c r="C3603" s="8">
        <f>DATE(2012,12,31)-736</f>
        <v>40538</v>
      </c>
      <c r="D3603" s="8" t="str">
        <f t="shared" si="69"/>
        <v>2010-12 (декабрь 2010)</v>
      </c>
      <c r="E3603" s="9" t="s">
        <v>21</v>
      </c>
      <c r="F3603" s="7">
        <v>17</v>
      </c>
      <c r="G3603" s="7">
        <v>213.06</v>
      </c>
      <c r="H3603" s="7">
        <v>0.03</v>
      </c>
      <c r="I3603" s="9" t="s">
        <v>22</v>
      </c>
      <c r="J3603" s="10">
        <v>-31.74</v>
      </c>
      <c r="K3603" s="11">
        <v>11.97</v>
      </c>
      <c r="L3603" s="11">
        <v>5.81</v>
      </c>
      <c r="M3603" s="9" t="s">
        <v>1628</v>
      </c>
      <c r="N3603" s="6" t="s">
        <v>1595</v>
      </c>
      <c r="O3603" s="6" t="s">
        <v>1595</v>
      </c>
      <c r="P3603" s="9" t="s">
        <v>41</v>
      </c>
      <c r="Q3603" s="9" t="s">
        <v>26</v>
      </c>
      <c r="R3603" s="9" t="s">
        <v>95</v>
      </c>
      <c r="S3603" s="7" t="s">
        <v>521</v>
      </c>
      <c r="T3603" s="9" t="s">
        <v>52</v>
      </c>
      <c r="U3603" s="7">
        <v>0.6</v>
      </c>
      <c r="V3603" s="12">
        <f>C3603+27</f>
        <v>40565</v>
      </c>
      <c r="W3603">
        <f>IF(D3603=' Pivot Tables'!$A$4,1,0)</f>
        <v>0</v>
      </c>
      <c r="X3603">
        <f>IF(AND(LEFT(D3603,4)+1=LEFT(' Pivot Tables'!$A$4,4)+0,RIGHT(LEFT(D3603,7),2)=RIGHT(LEFT(' Pivot Tables'!$A$4,7),2)),1,0)</f>
        <v>0</v>
      </c>
      <c r="Y3603" s="6">
        <f>1/COUNTIF(Таблица1[Order ID],Таблица1[[#This Row],[Order ID]])</f>
        <v>0.33333333333333331</v>
      </c>
      <c r="Z3603" s="9">
        <f>1/COUNTIFS(Таблица1[Customer Name],Таблица1[[#This Row],[Customer Name]],Таблица1[Order-Year-Month],Таблица1[[#This Row],[Order-Year-Month]])</f>
        <v>0.33333333333333331</v>
      </c>
    </row>
    <row r="3604" spans="1:26" x14ac:dyDescent="0.2">
      <c r="A3604" s="6">
        <v>2749</v>
      </c>
      <c r="B3604" s="7">
        <v>19841</v>
      </c>
      <c r="C3604" s="8">
        <f>DATE(2012,12,31)-736</f>
        <v>40538</v>
      </c>
      <c r="D3604" s="8" t="str">
        <f t="shared" si="69"/>
        <v>2010-12 (декабрь 2010)</v>
      </c>
      <c r="E3604" s="9" t="s">
        <v>21</v>
      </c>
      <c r="F3604" s="7">
        <v>7</v>
      </c>
      <c r="G3604" s="7">
        <v>1126.4880000000001</v>
      </c>
      <c r="H3604" s="7">
        <v>0.08</v>
      </c>
      <c r="I3604" s="9" t="s">
        <v>22</v>
      </c>
      <c r="J3604" s="10">
        <v>-557.95299999999997</v>
      </c>
      <c r="K3604" s="11">
        <v>195.99</v>
      </c>
      <c r="L3604" s="11">
        <v>4.2</v>
      </c>
      <c r="M3604" s="9" t="s">
        <v>1628</v>
      </c>
      <c r="N3604" s="6" t="s">
        <v>1595</v>
      </c>
      <c r="O3604" s="6" t="s">
        <v>1595</v>
      </c>
      <c r="P3604" s="9" t="s">
        <v>41</v>
      </c>
      <c r="Q3604" s="9" t="s">
        <v>42</v>
      </c>
      <c r="R3604" s="9" t="s">
        <v>43</v>
      </c>
      <c r="S3604" s="7" t="s">
        <v>615</v>
      </c>
      <c r="T3604" s="9" t="s">
        <v>39</v>
      </c>
      <c r="U3604" s="7">
        <v>0.6</v>
      </c>
      <c r="V3604" s="12">
        <f>C3604+31</f>
        <v>40569</v>
      </c>
      <c r="W3604">
        <f>IF(D3604=' Pivot Tables'!$A$4,1,0)</f>
        <v>0</v>
      </c>
      <c r="X3604">
        <f>IF(AND(LEFT(D3604,4)+1=LEFT(' Pivot Tables'!$A$4,4)+0,RIGHT(LEFT(D3604,7),2)=RIGHT(LEFT(' Pivot Tables'!$A$4,7),2)),1,0)</f>
        <v>0</v>
      </c>
      <c r="Y3604" s="6">
        <f>1/COUNTIF(Таблица1[Order ID],Таблица1[[#This Row],[Order ID]])</f>
        <v>0.33333333333333331</v>
      </c>
      <c r="Z3604" s="9">
        <f>1/COUNTIFS(Таблица1[Customer Name],Таблица1[[#This Row],[Customer Name]],Таблица1[Order-Year-Month],Таблица1[[#This Row],[Order-Year-Month]])</f>
        <v>0.33333333333333331</v>
      </c>
    </row>
    <row r="3605" spans="1:26" x14ac:dyDescent="0.2">
      <c r="A3605" s="6">
        <v>2752</v>
      </c>
      <c r="B3605" s="7">
        <v>19874</v>
      </c>
      <c r="C3605" s="8">
        <f>DATE(2012,12,31)-206</f>
        <v>41068</v>
      </c>
      <c r="D3605" s="8" t="str">
        <f t="shared" si="69"/>
        <v>2012-06 (июнь 2012)</v>
      </c>
      <c r="E3605" s="9" t="s">
        <v>30</v>
      </c>
      <c r="F3605" s="7">
        <v>31</v>
      </c>
      <c r="G3605" s="7">
        <v>310.45999999999998</v>
      </c>
      <c r="H3605" s="7">
        <v>0</v>
      </c>
      <c r="I3605" s="9" t="s">
        <v>22</v>
      </c>
      <c r="J3605" s="10">
        <v>-182.52</v>
      </c>
      <c r="K3605" s="11">
        <v>9.7100000000000009</v>
      </c>
      <c r="L3605" s="11">
        <v>9.4499999999999993</v>
      </c>
      <c r="M3605" s="9" t="s">
        <v>1679</v>
      </c>
      <c r="N3605" s="6" t="s">
        <v>1595</v>
      </c>
      <c r="O3605" s="6" t="s">
        <v>1595</v>
      </c>
      <c r="P3605" s="9" t="s">
        <v>25</v>
      </c>
      <c r="Q3605" s="9" t="s">
        <v>26</v>
      </c>
      <c r="R3605" s="9" t="s">
        <v>27</v>
      </c>
      <c r="S3605" s="7" t="s">
        <v>927</v>
      </c>
      <c r="T3605" s="9" t="s">
        <v>39</v>
      </c>
      <c r="U3605" s="7">
        <v>0.6</v>
      </c>
      <c r="V3605" s="12">
        <f>C3605+1</f>
        <v>41069</v>
      </c>
      <c r="W3605">
        <f>IF(D3605=' Pivot Tables'!$A$4,1,0)</f>
        <v>0</v>
      </c>
      <c r="X3605">
        <f>IF(AND(LEFT(D3605,4)+1=LEFT(' Pivot Tables'!$A$4,4)+0,RIGHT(LEFT(D3605,7),2)=RIGHT(LEFT(' Pivot Tables'!$A$4,7),2)),1,0)</f>
        <v>0</v>
      </c>
      <c r="Y3605" s="6">
        <f>1/COUNTIF(Таблица1[Order ID],Таблица1[[#This Row],[Order ID]])</f>
        <v>1</v>
      </c>
      <c r="Z3605" s="9">
        <f>1/COUNTIFS(Таблица1[Customer Name],Таблица1[[#This Row],[Customer Name]],Таблица1[Order-Year-Month],Таблица1[[#This Row],[Order-Year-Month]])</f>
        <v>1</v>
      </c>
    </row>
    <row r="3606" spans="1:26" x14ac:dyDescent="0.2">
      <c r="A3606" s="6">
        <v>2767</v>
      </c>
      <c r="B3606" s="7">
        <v>20003</v>
      </c>
      <c r="C3606" s="8">
        <f>DATE(2012,12,31)-336</f>
        <v>40938</v>
      </c>
      <c r="D3606" s="8" t="str">
        <f t="shared" si="69"/>
        <v>2012-01 (январь 2012)</v>
      </c>
      <c r="E3606" s="9" t="s">
        <v>63</v>
      </c>
      <c r="F3606" s="7">
        <v>5</v>
      </c>
      <c r="G3606" s="7">
        <v>141.97550000000001</v>
      </c>
      <c r="H3606" s="7">
        <v>0.09</v>
      </c>
      <c r="I3606" s="9" t="s">
        <v>22</v>
      </c>
      <c r="J3606" s="10">
        <v>-88.935000000000002</v>
      </c>
      <c r="K3606" s="11">
        <v>35.99</v>
      </c>
      <c r="L3606" s="11">
        <v>0.99</v>
      </c>
      <c r="M3606" s="9" t="s">
        <v>1193</v>
      </c>
      <c r="N3606" s="6" t="s">
        <v>1595</v>
      </c>
      <c r="O3606" s="6" t="s">
        <v>1595</v>
      </c>
      <c r="P3606" s="9" t="s">
        <v>41</v>
      </c>
      <c r="Q3606" s="9" t="s">
        <v>42</v>
      </c>
      <c r="R3606" s="9" t="s">
        <v>43</v>
      </c>
      <c r="S3606" s="7" t="s">
        <v>437</v>
      </c>
      <c r="T3606" s="9" t="s">
        <v>52</v>
      </c>
      <c r="U3606" s="7">
        <v>0.35</v>
      </c>
      <c r="V3606" s="12">
        <f>C3606+2</f>
        <v>40940</v>
      </c>
      <c r="W3606">
        <f>IF(D3606=' Pivot Tables'!$A$4,1,0)</f>
        <v>0</v>
      </c>
      <c r="X3606">
        <f>IF(AND(LEFT(D3606,4)+1=LEFT(' Pivot Tables'!$A$4,4)+0,RIGHT(LEFT(D3606,7),2)=RIGHT(LEFT(' Pivot Tables'!$A$4,7),2)),1,0)</f>
        <v>0</v>
      </c>
      <c r="Y3606" s="6">
        <f>1/COUNTIF(Таблица1[Order ID],Таблица1[[#This Row],[Order ID]])</f>
        <v>0.5</v>
      </c>
      <c r="Z3606" s="9">
        <f>1/COUNTIFS(Таблица1[Customer Name],Таблица1[[#This Row],[Customer Name]],Таблица1[Order-Year-Month],Таблица1[[#This Row],[Order-Year-Month]])</f>
        <v>0.5</v>
      </c>
    </row>
    <row r="3607" spans="1:26" x14ac:dyDescent="0.2">
      <c r="A3607" s="6">
        <v>2780</v>
      </c>
      <c r="B3607" s="7">
        <v>20068</v>
      </c>
      <c r="C3607" s="8">
        <f>DATE(2012,12,31)-672</f>
        <v>40602</v>
      </c>
      <c r="D3607" s="8" t="str">
        <f t="shared" si="69"/>
        <v>2011-02 (февраль 2011)</v>
      </c>
      <c r="E3607" s="9" t="s">
        <v>78</v>
      </c>
      <c r="F3607" s="7">
        <v>9</v>
      </c>
      <c r="G3607" s="7">
        <v>53.18</v>
      </c>
      <c r="H3607" s="7">
        <v>0.09</v>
      </c>
      <c r="I3607" s="9" t="s">
        <v>22</v>
      </c>
      <c r="J3607" s="10">
        <v>-46.1265</v>
      </c>
      <c r="K3607" s="11">
        <v>5.53</v>
      </c>
      <c r="L3607" s="11">
        <v>6.98</v>
      </c>
      <c r="M3607" s="9" t="s">
        <v>1695</v>
      </c>
      <c r="N3607" s="6" t="s">
        <v>1595</v>
      </c>
      <c r="O3607" s="6" t="s">
        <v>1595</v>
      </c>
      <c r="P3607" s="9" t="s">
        <v>60</v>
      </c>
      <c r="Q3607" s="9" t="s">
        <v>26</v>
      </c>
      <c r="R3607" s="9" t="s">
        <v>37</v>
      </c>
      <c r="S3607" s="7" t="s">
        <v>667</v>
      </c>
      <c r="T3607" s="9" t="s">
        <v>39</v>
      </c>
      <c r="U3607" s="7">
        <v>0.39</v>
      </c>
      <c r="V3607" s="12">
        <f>C3607+1</f>
        <v>40603</v>
      </c>
      <c r="W3607">
        <f>IF(D3607=' Pivot Tables'!$A$4,1,0)</f>
        <v>0</v>
      </c>
      <c r="X3607">
        <f>IF(AND(LEFT(D3607,4)+1=LEFT(' Pivot Tables'!$A$4,4)+0,RIGHT(LEFT(D3607,7),2)=RIGHT(LEFT(' Pivot Tables'!$A$4,7),2)),1,0)</f>
        <v>0</v>
      </c>
      <c r="Y3607" s="6">
        <f>1/COUNTIF(Таблица1[Order ID],Таблица1[[#This Row],[Order ID]])</f>
        <v>1</v>
      </c>
      <c r="Z3607" s="9">
        <f>1/COUNTIFS(Таблица1[Customer Name],Таблица1[[#This Row],[Customer Name]],Таблица1[Order-Year-Month],Таблица1[[#This Row],[Order-Year-Month]])</f>
        <v>1</v>
      </c>
    </row>
    <row r="3608" spans="1:26" x14ac:dyDescent="0.2">
      <c r="A3608" s="6">
        <v>2797</v>
      </c>
      <c r="B3608" s="7">
        <v>20162</v>
      </c>
      <c r="C3608" s="8">
        <f>DATE(2012,12,31)-1422</f>
        <v>39852</v>
      </c>
      <c r="D3608" s="8" t="str">
        <f t="shared" si="69"/>
        <v>2009-02 (февраль 2009)</v>
      </c>
      <c r="E3608" s="9" t="s">
        <v>63</v>
      </c>
      <c r="F3608" s="7">
        <v>38</v>
      </c>
      <c r="G3608" s="7">
        <v>607.41999999999996</v>
      </c>
      <c r="H3608" s="7">
        <v>0.03</v>
      </c>
      <c r="I3608" s="9" t="s">
        <v>22</v>
      </c>
      <c r="J3608" s="10">
        <v>-254.13850000000002</v>
      </c>
      <c r="K3608" s="11">
        <v>15.16</v>
      </c>
      <c r="L3608" s="11">
        <v>15.09</v>
      </c>
      <c r="M3608" s="9" t="s">
        <v>1611</v>
      </c>
      <c r="N3608" s="6" t="s">
        <v>1595</v>
      </c>
      <c r="O3608" s="6" t="s">
        <v>1595</v>
      </c>
      <c r="P3608" s="9" t="s">
        <v>60</v>
      </c>
      <c r="Q3608" s="9" t="s">
        <v>26</v>
      </c>
      <c r="R3608" s="9" t="s">
        <v>37</v>
      </c>
      <c r="S3608" s="7" t="s">
        <v>1696</v>
      </c>
      <c r="T3608" s="9" t="s">
        <v>39</v>
      </c>
      <c r="U3608" s="7">
        <v>0.39</v>
      </c>
      <c r="V3608" s="12">
        <f>C3608+1</f>
        <v>39853</v>
      </c>
      <c r="W3608">
        <f>IF(D3608=' Pivot Tables'!$A$4,1,0)</f>
        <v>0</v>
      </c>
      <c r="X3608">
        <f>IF(AND(LEFT(D3608,4)+1=LEFT(' Pivot Tables'!$A$4,4)+0,RIGHT(LEFT(D3608,7),2)=RIGHT(LEFT(' Pivot Tables'!$A$4,7),2)),1,0)</f>
        <v>0</v>
      </c>
      <c r="Y3608" s="6">
        <f>1/COUNTIF(Таблица1[Order ID],Таблица1[[#This Row],[Order ID]])</f>
        <v>1</v>
      </c>
      <c r="Z3608" s="9">
        <f>1/COUNTIFS(Таблица1[Customer Name],Таблица1[[#This Row],[Customer Name]],Таблица1[Order-Year-Month],Таблица1[[#This Row],[Order-Year-Month]])</f>
        <v>1</v>
      </c>
    </row>
    <row r="3609" spans="1:26" x14ac:dyDescent="0.2">
      <c r="A3609" s="6">
        <v>2820</v>
      </c>
      <c r="B3609" s="7">
        <v>20354</v>
      </c>
      <c r="C3609" s="8">
        <f>DATE(2012,12,31)-103</f>
        <v>41171</v>
      </c>
      <c r="D3609" s="8" t="str">
        <f t="shared" si="69"/>
        <v>2012-09 (сентябрь 2012)</v>
      </c>
      <c r="E3609" s="9" t="s">
        <v>78</v>
      </c>
      <c r="F3609" s="7">
        <v>24</v>
      </c>
      <c r="G3609" s="7">
        <v>76.06</v>
      </c>
      <c r="H3609" s="7">
        <v>0.02</v>
      </c>
      <c r="I3609" s="9" t="s">
        <v>22</v>
      </c>
      <c r="J3609" s="10">
        <v>30.03</v>
      </c>
      <c r="K3609" s="11">
        <v>3.15</v>
      </c>
      <c r="L3609" s="11">
        <v>0.49</v>
      </c>
      <c r="M3609" s="9" t="s">
        <v>657</v>
      </c>
      <c r="N3609" s="6" t="s">
        <v>1595</v>
      </c>
      <c r="O3609" s="6" t="s">
        <v>1595</v>
      </c>
      <c r="P3609" s="9" t="s">
        <v>41</v>
      </c>
      <c r="Q3609" s="9" t="s">
        <v>26</v>
      </c>
      <c r="R3609" s="9" t="s">
        <v>88</v>
      </c>
      <c r="S3609" s="7" t="s">
        <v>1234</v>
      </c>
      <c r="T3609" s="9" t="s">
        <v>39</v>
      </c>
      <c r="U3609" s="7">
        <v>0.37</v>
      </c>
      <c r="V3609" s="12">
        <f>C3609+2</f>
        <v>41173</v>
      </c>
      <c r="W3609">
        <f>IF(D3609=' Pivot Tables'!$A$4,1,0)</f>
        <v>0</v>
      </c>
      <c r="X3609">
        <f>IF(AND(LEFT(D3609,4)+1=LEFT(' Pivot Tables'!$A$4,4)+0,RIGHT(LEFT(D3609,7),2)=RIGHT(LEFT(' Pivot Tables'!$A$4,7),2)),1,0)</f>
        <v>0</v>
      </c>
      <c r="Y3609" s="6">
        <f>1/COUNTIF(Таблица1[Order ID],Таблица1[[#This Row],[Order ID]])</f>
        <v>1</v>
      </c>
      <c r="Z3609" s="9">
        <f>1/COUNTIFS(Таблица1[Customer Name],Таблица1[[#This Row],[Customer Name]],Таблица1[Order-Year-Month],Таблица1[[#This Row],[Order-Year-Month]])</f>
        <v>0.33333333333333331</v>
      </c>
    </row>
    <row r="3610" spans="1:26" x14ac:dyDescent="0.2">
      <c r="A3610" s="6">
        <v>2821</v>
      </c>
      <c r="B3610" s="7">
        <v>20384</v>
      </c>
      <c r="C3610" s="8">
        <f>DATE(2012,12,31)-433</f>
        <v>40841</v>
      </c>
      <c r="D3610" s="8" t="str">
        <f t="shared" si="69"/>
        <v>2011-10 (октябрь 2011)</v>
      </c>
      <c r="E3610" s="9" t="s">
        <v>21</v>
      </c>
      <c r="F3610" s="7">
        <v>30</v>
      </c>
      <c r="G3610" s="7">
        <v>396.6</v>
      </c>
      <c r="H3610" s="7">
        <v>0.08</v>
      </c>
      <c r="I3610" s="9" t="s">
        <v>22</v>
      </c>
      <c r="J3610" s="10">
        <v>-148.26</v>
      </c>
      <c r="K3610" s="11">
        <v>14.03</v>
      </c>
      <c r="L3610" s="11">
        <v>9.3699999999999992</v>
      </c>
      <c r="M3610" s="9" t="s">
        <v>1694</v>
      </c>
      <c r="N3610" s="6" t="s">
        <v>1595</v>
      </c>
      <c r="O3610" s="6" t="s">
        <v>1595</v>
      </c>
      <c r="P3610" s="9" t="s">
        <v>41</v>
      </c>
      <c r="Q3610" s="9" t="s">
        <v>26</v>
      </c>
      <c r="R3610" s="9" t="s">
        <v>27</v>
      </c>
      <c r="S3610" s="7" t="s">
        <v>733</v>
      </c>
      <c r="T3610" s="9" t="s">
        <v>39</v>
      </c>
      <c r="U3610" s="7">
        <v>0.56000000000000005</v>
      </c>
      <c r="V3610" s="12">
        <f>C3610+7</f>
        <v>40848</v>
      </c>
      <c r="W3610">
        <f>IF(D3610=' Pivot Tables'!$A$4,1,0)</f>
        <v>0</v>
      </c>
      <c r="X3610">
        <f>IF(AND(LEFT(D3610,4)+1=LEFT(' Pivot Tables'!$A$4,4)+0,RIGHT(LEFT(D3610,7),2)=RIGHT(LEFT(' Pivot Tables'!$A$4,7),2)),1,0)</f>
        <v>0</v>
      </c>
      <c r="Y3610" s="6">
        <f>1/COUNTIF(Таблица1[Order ID],Таблица1[[#This Row],[Order ID]])</f>
        <v>0.5</v>
      </c>
      <c r="Z3610" s="9">
        <f>1/COUNTIFS(Таблица1[Customer Name],Таблица1[[#This Row],[Customer Name]],Таблица1[Order-Year-Month],Таблица1[[#This Row],[Order-Year-Month]])</f>
        <v>0.5</v>
      </c>
    </row>
    <row r="3611" spans="1:26" x14ac:dyDescent="0.2">
      <c r="A3611" s="6">
        <v>2822</v>
      </c>
      <c r="B3611" s="7">
        <v>20384</v>
      </c>
      <c r="C3611" s="8">
        <f>DATE(2012,12,31)-433</f>
        <v>40841</v>
      </c>
      <c r="D3611" s="8" t="str">
        <f t="shared" si="69"/>
        <v>2011-10 (октябрь 2011)</v>
      </c>
      <c r="E3611" s="9" t="s">
        <v>21</v>
      </c>
      <c r="F3611" s="7">
        <v>32</v>
      </c>
      <c r="G3611" s="7">
        <v>6902.51</v>
      </c>
      <c r="H3611" s="7">
        <v>0.04</v>
      </c>
      <c r="I3611" s="9" t="s">
        <v>31</v>
      </c>
      <c r="J3611" s="10">
        <v>-513.79042000000004</v>
      </c>
      <c r="K3611" s="11">
        <v>212.6</v>
      </c>
      <c r="L3611" s="11">
        <v>110.2</v>
      </c>
      <c r="M3611" s="9" t="s">
        <v>1694</v>
      </c>
      <c r="N3611" s="6" t="s">
        <v>1595</v>
      </c>
      <c r="O3611" s="6" t="s">
        <v>1595</v>
      </c>
      <c r="P3611" s="9" t="s">
        <v>41</v>
      </c>
      <c r="Q3611" s="9" t="s">
        <v>49</v>
      </c>
      <c r="R3611" s="9" t="s">
        <v>83</v>
      </c>
      <c r="S3611" s="7" t="s">
        <v>984</v>
      </c>
      <c r="T3611" s="9" t="s">
        <v>82</v>
      </c>
      <c r="U3611" s="7">
        <v>0.73</v>
      </c>
      <c r="V3611" s="12">
        <f>C3611+4</f>
        <v>40845</v>
      </c>
      <c r="W3611">
        <f>IF(D3611=' Pivot Tables'!$A$4,1,0)</f>
        <v>0</v>
      </c>
      <c r="X3611">
        <f>IF(AND(LEFT(D3611,4)+1=LEFT(' Pivot Tables'!$A$4,4)+0,RIGHT(LEFT(D3611,7),2)=RIGHT(LEFT(' Pivot Tables'!$A$4,7),2)),1,0)</f>
        <v>0</v>
      </c>
      <c r="Y3611" s="6">
        <f>1/COUNTIF(Таблица1[Order ID],Таблица1[[#This Row],[Order ID]])</f>
        <v>0.5</v>
      </c>
      <c r="Z3611" s="9">
        <f>1/COUNTIFS(Таблица1[Customer Name],Таблица1[[#This Row],[Customer Name]],Таблица1[Order-Year-Month],Таблица1[[#This Row],[Order-Year-Month]])</f>
        <v>0.5</v>
      </c>
    </row>
    <row r="3612" spans="1:26" x14ac:dyDescent="0.2">
      <c r="A3612" s="6">
        <v>2872</v>
      </c>
      <c r="B3612" s="7">
        <v>20710</v>
      </c>
      <c r="C3612" s="8">
        <f>DATE(2012,12,31)-1128</f>
        <v>40146</v>
      </c>
      <c r="D3612" s="8" t="str">
        <f t="shared" si="69"/>
        <v>2009-11 (ноябрь 2009)</v>
      </c>
      <c r="E3612" s="9" t="s">
        <v>30</v>
      </c>
      <c r="F3612" s="7">
        <v>31</v>
      </c>
      <c r="G3612" s="7">
        <v>180.7</v>
      </c>
      <c r="H3612" s="7">
        <v>0.1</v>
      </c>
      <c r="I3612" s="9" t="s">
        <v>22</v>
      </c>
      <c r="J3612" s="10">
        <v>-94.61</v>
      </c>
      <c r="K3612" s="11">
        <v>5.98</v>
      </c>
      <c r="L3612" s="11">
        <v>3.85</v>
      </c>
      <c r="M3612" s="9" t="s">
        <v>1677</v>
      </c>
      <c r="N3612" s="6" t="s">
        <v>1595</v>
      </c>
      <c r="O3612" s="6" t="s">
        <v>1595</v>
      </c>
      <c r="P3612" s="9" t="s">
        <v>25</v>
      </c>
      <c r="Q3612" s="9" t="s">
        <v>42</v>
      </c>
      <c r="R3612" s="9" t="s">
        <v>70</v>
      </c>
      <c r="S3612" s="7" t="s">
        <v>1697</v>
      </c>
      <c r="T3612" s="9" t="s">
        <v>52</v>
      </c>
      <c r="U3612" s="7">
        <v>0.68</v>
      </c>
      <c r="V3612" s="12">
        <f>C3612+1</f>
        <v>40147</v>
      </c>
      <c r="W3612">
        <f>IF(D3612=' Pivot Tables'!$A$4,1,0)</f>
        <v>0</v>
      </c>
      <c r="X3612">
        <f>IF(AND(LEFT(D3612,4)+1=LEFT(' Pivot Tables'!$A$4,4)+0,RIGHT(LEFT(D3612,7),2)=RIGHT(LEFT(' Pivot Tables'!$A$4,7),2)),1,0)</f>
        <v>0</v>
      </c>
      <c r="Y3612" s="6">
        <f>1/COUNTIF(Таблица1[Order ID],Таблица1[[#This Row],[Order ID]])</f>
        <v>0.5</v>
      </c>
      <c r="Z3612" s="9">
        <f>1/COUNTIFS(Таблица1[Customer Name],Таблица1[[#This Row],[Customer Name]],Таблица1[Order-Year-Month],Таблица1[[#This Row],[Order-Year-Month]])</f>
        <v>0.33333333333333331</v>
      </c>
    </row>
    <row r="3613" spans="1:26" x14ac:dyDescent="0.2">
      <c r="A3613" s="6">
        <v>2873</v>
      </c>
      <c r="B3613" s="7">
        <v>20710</v>
      </c>
      <c r="C3613" s="8">
        <f>DATE(2012,12,31)-1128</f>
        <v>40146</v>
      </c>
      <c r="D3613" s="8" t="str">
        <f t="shared" si="69"/>
        <v>2009-11 (ноябрь 2009)</v>
      </c>
      <c r="E3613" s="9" t="s">
        <v>30</v>
      </c>
      <c r="F3613" s="7">
        <v>26</v>
      </c>
      <c r="G3613" s="7">
        <v>67.400000000000006</v>
      </c>
      <c r="H3613" s="7">
        <v>7.0000000000000007E-2</v>
      </c>
      <c r="I3613" s="9" t="s">
        <v>22</v>
      </c>
      <c r="J3613" s="10">
        <v>22.71</v>
      </c>
      <c r="K3613" s="11">
        <v>2.61</v>
      </c>
      <c r="L3613" s="11">
        <v>0.5</v>
      </c>
      <c r="M3613" s="9" t="s">
        <v>1677</v>
      </c>
      <c r="N3613" s="6" t="s">
        <v>1595</v>
      </c>
      <c r="O3613" s="6" t="s">
        <v>1595</v>
      </c>
      <c r="P3613" s="9" t="s">
        <v>25</v>
      </c>
      <c r="Q3613" s="9" t="s">
        <v>26</v>
      </c>
      <c r="R3613" s="9" t="s">
        <v>88</v>
      </c>
      <c r="S3613" s="7" t="s">
        <v>406</v>
      </c>
      <c r="T3613" s="9" t="s">
        <v>39</v>
      </c>
      <c r="U3613" s="7">
        <v>0.39</v>
      </c>
      <c r="V3613" s="12">
        <f>C3613+2</f>
        <v>40148</v>
      </c>
      <c r="W3613">
        <f>IF(D3613=' Pivot Tables'!$A$4,1,0)</f>
        <v>0</v>
      </c>
      <c r="X3613">
        <f>IF(AND(LEFT(D3613,4)+1=LEFT(' Pivot Tables'!$A$4,4)+0,RIGHT(LEFT(D3613,7),2)=RIGHT(LEFT(' Pivot Tables'!$A$4,7),2)),1,0)</f>
        <v>0</v>
      </c>
      <c r="Y3613" s="6">
        <f>1/COUNTIF(Таблица1[Order ID],Таблица1[[#This Row],[Order ID]])</f>
        <v>0.5</v>
      </c>
      <c r="Z3613" s="9">
        <f>1/COUNTIFS(Таблица1[Customer Name],Таблица1[[#This Row],[Customer Name]],Таблица1[Order-Year-Month],Таблица1[[#This Row],[Order-Year-Month]])</f>
        <v>0.33333333333333331</v>
      </c>
    </row>
    <row r="3614" spans="1:26" x14ac:dyDescent="0.2">
      <c r="A3614" s="6">
        <v>2886</v>
      </c>
      <c r="B3614" s="7">
        <v>20807</v>
      </c>
      <c r="C3614" s="8">
        <f>DATE(2012,12,31)-163</f>
        <v>41111</v>
      </c>
      <c r="D3614" s="8" t="str">
        <f t="shared" si="69"/>
        <v>2012-07 (июль 2012)</v>
      </c>
      <c r="E3614" s="9" t="s">
        <v>45</v>
      </c>
      <c r="F3614" s="7">
        <v>16</v>
      </c>
      <c r="G3614" s="7">
        <v>466.94749999999999</v>
      </c>
      <c r="H3614" s="7">
        <v>0.1</v>
      </c>
      <c r="I3614" s="9" t="s">
        <v>22</v>
      </c>
      <c r="J3614" s="10">
        <v>82.817999999999998</v>
      </c>
      <c r="K3614" s="11">
        <v>35.99</v>
      </c>
      <c r="L3614" s="11">
        <v>3.3</v>
      </c>
      <c r="M3614" s="9" t="s">
        <v>929</v>
      </c>
      <c r="N3614" s="6" t="s">
        <v>1595</v>
      </c>
      <c r="O3614" s="6" t="s">
        <v>1595</v>
      </c>
      <c r="P3614" s="9" t="s">
        <v>33</v>
      </c>
      <c r="Q3614" s="9" t="s">
        <v>42</v>
      </c>
      <c r="R3614" s="9" t="s">
        <v>43</v>
      </c>
      <c r="S3614" s="7" t="s">
        <v>417</v>
      </c>
      <c r="T3614" s="9" t="s">
        <v>52</v>
      </c>
      <c r="U3614" s="7">
        <v>0.39</v>
      </c>
      <c r="V3614" s="12">
        <f>C3614+1</f>
        <v>41112</v>
      </c>
      <c r="W3614">
        <f>IF(D3614=' Pivot Tables'!$A$4,1,0)</f>
        <v>0</v>
      </c>
      <c r="X3614">
        <f>IF(AND(LEFT(D3614,4)+1=LEFT(' Pivot Tables'!$A$4,4)+0,RIGHT(LEFT(D3614,7),2)=RIGHT(LEFT(' Pivot Tables'!$A$4,7),2)),1,0)</f>
        <v>0</v>
      </c>
      <c r="Y3614" s="6">
        <f>1/COUNTIF(Таблица1[Order ID],Таблица1[[#This Row],[Order ID]])</f>
        <v>0.5</v>
      </c>
      <c r="Z3614" s="9">
        <f>1/COUNTIFS(Таблица1[Customer Name],Таблица1[[#This Row],[Customer Name]],Таблица1[Order-Year-Month],Таблица1[[#This Row],[Order-Year-Month]])</f>
        <v>0.5</v>
      </c>
    </row>
    <row r="3615" spans="1:26" x14ac:dyDescent="0.2">
      <c r="A3615" s="6">
        <v>2900</v>
      </c>
      <c r="B3615" s="7">
        <v>20934</v>
      </c>
      <c r="C3615" s="8">
        <f>DATE(2012,12,31)-1076</f>
        <v>40198</v>
      </c>
      <c r="D3615" s="8" t="str">
        <f t="shared" si="69"/>
        <v>2010-01 (январь 2010)</v>
      </c>
      <c r="E3615" s="9" t="s">
        <v>78</v>
      </c>
      <c r="F3615" s="7">
        <v>5</v>
      </c>
      <c r="G3615" s="7">
        <v>1253.8900000000001</v>
      </c>
      <c r="H3615" s="7">
        <v>0.09</v>
      </c>
      <c r="I3615" s="9" t="s">
        <v>31</v>
      </c>
      <c r="J3615" s="10">
        <v>-577.47989999999993</v>
      </c>
      <c r="K3615" s="11">
        <v>264.98</v>
      </c>
      <c r="L3615" s="11">
        <v>17.86</v>
      </c>
      <c r="M3615" s="9" t="s">
        <v>969</v>
      </c>
      <c r="N3615" s="6" t="s">
        <v>1595</v>
      </c>
      <c r="O3615" s="6" t="s">
        <v>1595</v>
      </c>
      <c r="P3615" s="9" t="s">
        <v>41</v>
      </c>
      <c r="Q3615" s="9" t="s">
        <v>42</v>
      </c>
      <c r="R3615" s="9" t="s">
        <v>210</v>
      </c>
      <c r="S3615" s="7" t="s">
        <v>1207</v>
      </c>
      <c r="T3615" s="9" t="s">
        <v>36</v>
      </c>
      <c r="U3615" s="7">
        <v>0.57999999999999996</v>
      </c>
      <c r="V3615" s="12">
        <f>C3615+1</f>
        <v>40199</v>
      </c>
      <c r="W3615">
        <f>IF(D3615=' Pivot Tables'!$A$4,1,0)</f>
        <v>1</v>
      </c>
      <c r="X3615">
        <f>IF(AND(LEFT(D3615,4)+1=LEFT(' Pivot Tables'!$A$4,4)+0,RIGHT(LEFT(D3615,7),2)=RIGHT(LEFT(' Pivot Tables'!$A$4,7),2)),1,0)</f>
        <v>0</v>
      </c>
      <c r="Y3615" s="6">
        <f>1/COUNTIF(Таблица1[Order ID],Таблица1[[#This Row],[Order ID]])</f>
        <v>1</v>
      </c>
      <c r="Z3615" s="9">
        <f>1/COUNTIFS(Таблица1[Customer Name],Таблица1[[#This Row],[Customer Name]],Таблица1[Order-Year-Month],Таблица1[[#This Row],[Order-Year-Month]])</f>
        <v>1</v>
      </c>
    </row>
    <row r="3616" spans="1:26" x14ac:dyDescent="0.2">
      <c r="A3616" s="6">
        <v>2915</v>
      </c>
      <c r="B3616" s="7">
        <v>21057</v>
      </c>
      <c r="C3616" s="8">
        <f>DATE(2012,12,31)-697</f>
        <v>40577</v>
      </c>
      <c r="D3616" s="8" t="str">
        <f t="shared" si="69"/>
        <v>2011-02 (февраль 2011)</v>
      </c>
      <c r="E3616" s="9" t="s">
        <v>21</v>
      </c>
      <c r="F3616" s="7">
        <v>28</v>
      </c>
      <c r="G3616" s="7">
        <v>1103.67</v>
      </c>
      <c r="H3616" s="7">
        <v>0.04</v>
      </c>
      <c r="I3616" s="9" t="s">
        <v>22</v>
      </c>
      <c r="J3616" s="10">
        <v>253.61</v>
      </c>
      <c r="K3616" s="11">
        <v>39.479999999999997</v>
      </c>
      <c r="L3616" s="11">
        <v>1.99</v>
      </c>
      <c r="M3616" s="9" t="s">
        <v>1698</v>
      </c>
      <c r="N3616" s="6" t="s">
        <v>1595</v>
      </c>
      <c r="O3616" s="6" t="s">
        <v>1595</v>
      </c>
      <c r="P3616" s="9" t="s">
        <v>41</v>
      </c>
      <c r="Q3616" s="9" t="s">
        <v>42</v>
      </c>
      <c r="R3616" s="9" t="s">
        <v>70</v>
      </c>
      <c r="S3616" s="7" t="s">
        <v>161</v>
      </c>
      <c r="T3616" s="9" t="s">
        <v>52</v>
      </c>
      <c r="U3616" s="7">
        <v>0.54</v>
      </c>
      <c r="V3616" s="12">
        <f>C3616+7</f>
        <v>40584</v>
      </c>
      <c r="W3616">
        <f>IF(D3616=' Pivot Tables'!$A$4,1,0)</f>
        <v>0</v>
      </c>
      <c r="X3616">
        <f>IF(AND(LEFT(D3616,4)+1=LEFT(' Pivot Tables'!$A$4,4)+0,RIGHT(LEFT(D3616,7),2)=RIGHT(LEFT(' Pivot Tables'!$A$4,7),2)),1,0)</f>
        <v>0</v>
      </c>
      <c r="Y3616" s="6">
        <f>1/COUNTIF(Таблица1[Order ID],Таблица1[[#This Row],[Order ID]])</f>
        <v>1</v>
      </c>
      <c r="Z3616" s="9">
        <f>1/COUNTIFS(Таблица1[Customer Name],Таблица1[[#This Row],[Customer Name]],Таблица1[Order-Year-Month],Таблица1[[#This Row],[Order-Year-Month]])</f>
        <v>1</v>
      </c>
    </row>
    <row r="3617" spans="1:26" x14ac:dyDescent="0.2">
      <c r="A3617" s="6">
        <v>2925</v>
      </c>
      <c r="B3617" s="7">
        <v>21190</v>
      </c>
      <c r="C3617" s="8">
        <f>DATE(2012,12,31)-1313</f>
        <v>39961</v>
      </c>
      <c r="D3617" s="8" t="str">
        <f t="shared" si="69"/>
        <v>2009-05 (май 2009)</v>
      </c>
      <c r="E3617" s="9" t="s">
        <v>63</v>
      </c>
      <c r="F3617" s="7">
        <v>28</v>
      </c>
      <c r="G3617" s="7">
        <v>1062.69</v>
      </c>
      <c r="H3617" s="7">
        <v>0.01</v>
      </c>
      <c r="I3617" s="9" t="s">
        <v>22</v>
      </c>
      <c r="J3617" s="10">
        <v>401.8</v>
      </c>
      <c r="K3617" s="11">
        <v>35.94</v>
      </c>
      <c r="L3617" s="11">
        <v>6.66</v>
      </c>
      <c r="M3617" s="9" t="s">
        <v>1072</v>
      </c>
      <c r="N3617" s="6" t="s">
        <v>1595</v>
      </c>
      <c r="O3617" s="6" t="s">
        <v>1595</v>
      </c>
      <c r="P3617" s="9" t="s">
        <v>25</v>
      </c>
      <c r="Q3617" s="9" t="s">
        <v>26</v>
      </c>
      <c r="R3617" s="9" t="s">
        <v>76</v>
      </c>
      <c r="S3617" s="7" t="s">
        <v>1434</v>
      </c>
      <c r="T3617" s="9" t="s">
        <v>39</v>
      </c>
      <c r="U3617" s="7">
        <v>0.4</v>
      </c>
      <c r="V3617" s="12">
        <f>C3617+0</f>
        <v>39961</v>
      </c>
      <c r="W3617">
        <f>IF(D3617=' Pivot Tables'!$A$4,1,0)</f>
        <v>0</v>
      </c>
      <c r="X3617">
        <f>IF(AND(LEFT(D3617,4)+1=LEFT(' Pivot Tables'!$A$4,4)+0,RIGHT(LEFT(D3617,7),2)=RIGHT(LEFT(' Pivot Tables'!$A$4,7),2)),1,0)</f>
        <v>0</v>
      </c>
      <c r="Y3617" s="6">
        <f>1/COUNTIF(Таблица1[Order ID],Таблица1[[#This Row],[Order ID]])</f>
        <v>1</v>
      </c>
      <c r="Z3617" s="9">
        <f>1/COUNTIFS(Таблица1[Customer Name],Таблица1[[#This Row],[Customer Name]],Таблица1[Order-Year-Month],Таблица1[[#This Row],[Order-Year-Month]])</f>
        <v>0.16666666666666666</v>
      </c>
    </row>
    <row r="3618" spans="1:26" x14ac:dyDescent="0.2">
      <c r="A3618" s="6">
        <v>2977</v>
      </c>
      <c r="B3618" s="7">
        <v>21505</v>
      </c>
      <c r="C3618" s="8">
        <f>DATE(2012,12,31)-28</f>
        <v>41246</v>
      </c>
      <c r="D3618" s="8" t="str">
        <f t="shared" si="69"/>
        <v>2012-12 (декабрь 2012)</v>
      </c>
      <c r="E3618" s="9" t="s">
        <v>21</v>
      </c>
      <c r="F3618" s="7">
        <v>3</v>
      </c>
      <c r="G3618" s="7">
        <v>912.35</v>
      </c>
      <c r="H3618" s="7">
        <v>7.0000000000000007E-2</v>
      </c>
      <c r="I3618" s="9" t="s">
        <v>31</v>
      </c>
      <c r="J3618" s="10">
        <v>-379.22</v>
      </c>
      <c r="K3618" s="11">
        <v>284.98</v>
      </c>
      <c r="L3618" s="11">
        <v>69.55</v>
      </c>
      <c r="M3618" s="9" t="s">
        <v>1686</v>
      </c>
      <c r="N3618" s="6" t="s">
        <v>1595</v>
      </c>
      <c r="O3618" s="6" t="s">
        <v>1595</v>
      </c>
      <c r="P3618" s="9" t="s">
        <v>60</v>
      </c>
      <c r="Q3618" s="9" t="s">
        <v>49</v>
      </c>
      <c r="R3618" s="9" t="s">
        <v>112</v>
      </c>
      <c r="S3618" s="7" t="s">
        <v>834</v>
      </c>
      <c r="T3618" s="9" t="s">
        <v>36</v>
      </c>
      <c r="U3618" s="7">
        <v>0.6</v>
      </c>
      <c r="V3618" s="12">
        <f>C3618+0</f>
        <v>41246</v>
      </c>
      <c r="W3618">
        <f>IF(D3618=' Pivot Tables'!$A$4,1,0)</f>
        <v>0</v>
      </c>
      <c r="X3618">
        <f>IF(AND(LEFT(D3618,4)+1=LEFT(' Pivot Tables'!$A$4,4)+0,RIGHT(LEFT(D3618,7),2)=RIGHT(LEFT(' Pivot Tables'!$A$4,7),2)),1,0)</f>
        <v>0</v>
      </c>
      <c r="Y3618" s="6">
        <f>1/COUNTIF(Таблица1[Order ID],Таблица1[[#This Row],[Order ID]])</f>
        <v>1</v>
      </c>
      <c r="Z3618" s="9">
        <f>1/COUNTIFS(Таблица1[Customer Name],Таблица1[[#This Row],[Customer Name]],Таблица1[Order-Year-Month],Таблица1[[#This Row],[Order-Year-Month]])</f>
        <v>1</v>
      </c>
    </row>
    <row r="3619" spans="1:26" x14ac:dyDescent="0.2">
      <c r="A3619" s="6">
        <v>3076</v>
      </c>
      <c r="B3619" s="7">
        <v>22055</v>
      </c>
      <c r="C3619" s="8">
        <f>DATE(2012,12,31)-99</f>
        <v>41175</v>
      </c>
      <c r="D3619" s="8" t="str">
        <f t="shared" si="69"/>
        <v>2012-09 (сентябрь 2012)</v>
      </c>
      <c r="E3619" s="9" t="s">
        <v>63</v>
      </c>
      <c r="F3619" s="7">
        <v>40</v>
      </c>
      <c r="G3619" s="7">
        <v>6147.24</v>
      </c>
      <c r="H3619" s="7">
        <v>0.05</v>
      </c>
      <c r="I3619" s="9" t="s">
        <v>31</v>
      </c>
      <c r="J3619" s="10">
        <v>632.98</v>
      </c>
      <c r="K3619" s="11">
        <v>160.97999999999999</v>
      </c>
      <c r="L3619" s="11">
        <v>30</v>
      </c>
      <c r="M3619" s="9" t="s">
        <v>1689</v>
      </c>
      <c r="N3619" s="6" t="s">
        <v>1595</v>
      </c>
      <c r="O3619" s="6" t="s">
        <v>1595</v>
      </c>
      <c r="P3619" s="9" t="s">
        <v>41</v>
      </c>
      <c r="Q3619" s="9" t="s">
        <v>49</v>
      </c>
      <c r="R3619" s="9" t="s">
        <v>112</v>
      </c>
      <c r="S3619" s="7" t="s">
        <v>746</v>
      </c>
      <c r="T3619" s="9" t="s">
        <v>36</v>
      </c>
      <c r="U3619" s="7">
        <v>0.62</v>
      </c>
      <c r="V3619" s="12">
        <f>C3619+2</f>
        <v>41177</v>
      </c>
      <c r="W3619">
        <f>IF(D3619=' Pivot Tables'!$A$4,1,0)</f>
        <v>0</v>
      </c>
      <c r="X3619">
        <f>IF(AND(LEFT(D3619,4)+1=LEFT(' Pivot Tables'!$A$4,4)+0,RIGHT(LEFT(D3619,7),2)=RIGHT(LEFT(' Pivot Tables'!$A$4,7),2)),1,0)</f>
        <v>0</v>
      </c>
      <c r="Y3619" s="6">
        <f>1/COUNTIF(Таблица1[Order ID],Таблица1[[#This Row],[Order ID]])</f>
        <v>1</v>
      </c>
      <c r="Z3619" s="9">
        <f>1/COUNTIFS(Таблица1[Customer Name],Таблица1[[#This Row],[Customer Name]],Таблица1[Order-Year-Month],Таблица1[[#This Row],[Order-Year-Month]])</f>
        <v>1</v>
      </c>
    </row>
    <row r="3620" spans="1:26" x14ac:dyDescent="0.2">
      <c r="A3620" s="6">
        <v>3114</v>
      </c>
      <c r="B3620" s="7">
        <v>22371</v>
      </c>
      <c r="C3620" s="8">
        <f>DATE(2012,12,31)-1367</f>
        <v>39907</v>
      </c>
      <c r="D3620" s="8" t="str">
        <f t="shared" si="69"/>
        <v>2009-04 (апрель 2009)</v>
      </c>
      <c r="E3620" s="9" t="s">
        <v>30</v>
      </c>
      <c r="F3620" s="7">
        <v>8</v>
      </c>
      <c r="G3620" s="7">
        <v>70.55</v>
      </c>
      <c r="H3620" s="7">
        <v>0</v>
      </c>
      <c r="I3620" s="9" t="s">
        <v>22</v>
      </c>
      <c r="J3620" s="10">
        <v>-66.170999999999992</v>
      </c>
      <c r="K3620" s="11">
        <v>7.38</v>
      </c>
      <c r="L3620" s="11">
        <v>11.51</v>
      </c>
      <c r="M3620" s="9" t="s">
        <v>1678</v>
      </c>
      <c r="N3620" s="6" t="s">
        <v>1595</v>
      </c>
      <c r="O3620" s="6" t="s">
        <v>1595</v>
      </c>
      <c r="P3620" s="9" t="s">
        <v>25</v>
      </c>
      <c r="Q3620" s="9" t="s">
        <v>26</v>
      </c>
      <c r="R3620" s="9" t="s">
        <v>37</v>
      </c>
      <c r="S3620" s="7" t="s">
        <v>1685</v>
      </c>
      <c r="T3620" s="9" t="s">
        <v>39</v>
      </c>
      <c r="U3620" s="7">
        <v>0.36</v>
      </c>
      <c r="V3620" s="12">
        <f>C3620+1</f>
        <v>39908</v>
      </c>
      <c r="W3620">
        <f>IF(D3620=' Pivot Tables'!$A$4,1,0)</f>
        <v>0</v>
      </c>
      <c r="X3620">
        <f>IF(AND(LEFT(D3620,4)+1=LEFT(' Pivot Tables'!$A$4,4)+0,RIGHT(LEFT(D3620,7),2)=RIGHT(LEFT(' Pivot Tables'!$A$4,7),2)),1,0)</f>
        <v>0</v>
      </c>
      <c r="Y3620" s="6">
        <f>1/COUNTIF(Таблица1[Order ID],Таблица1[[#This Row],[Order ID]])</f>
        <v>1</v>
      </c>
      <c r="Z3620" s="9">
        <f>1/COUNTIFS(Таблица1[Customer Name],Таблица1[[#This Row],[Customer Name]],Таблица1[Order-Year-Month],Таблица1[[#This Row],[Order-Year-Month]])</f>
        <v>1</v>
      </c>
    </row>
    <row r="3621" spans="1:26" x14ac:dyDescent="0.2">
      <c r="A3621" s="6">
        <v>3137</v>
      </c>
      <c r="B3621" s="7">
        <v>22498</v>
      </c>
      <c r="C3621" s="8">
        <f>DATE(2012,12,31)-783</f>
        <v>40491</v>
      </c>
      <c r="D3621" s="8" t="str">
        <f t="shared" si="69"/>
        <v>2010-11 (ноябрь 2010)</v>
      </c>
      <c r="E3621" s="9" t="s">
        <v>78</v>
      </c>
      <c r="F3621" s="7">
        <v>20</v>
      </c>
      <c r="G3621" s="7">
        <v>34.94</v>
      </c>
      <c r="H3621" s="7">
        <v>0.05</v>
      </c>
      <c r="I3621" s="9" t="s">
        <v>22</v>
      </c>
      <c r="J3621" s="10">
        <v>-30.7</v>
      </c>
      <c r="K3621" s="11">
        <v>1.7</v>
      </c>
      <c r="L3621" s="11">
        <v>1.99</v>
      </c>
      <c r="M3621" s="9" t="s">
        <v>1699</v>
      </c>
      <c r="N3621" s="6" t="s">
        <v>1595</v>
      </c>
      <c r="O3621" s="6" t="s">
        <v>1595</v>
      </c>
      <c r="P3621" s="9" t="s">
        <v>33</v>
      </c>
      <c r="Q3621" s="9" t="s">
        <v>42</v>
      </c>
      <c r="R3621" s="9" t="s">
        <v>70</v>
      </c>
      <c r="S3621" s="7" t="s">
        <v>945</v>
      </c>
      <c r="T3621" s="9" t="s">
        <v>52</v>
      </c>
      <c r="U3621" s="7">
        <v>0.51</v>
      </c>
      <c r="V3621" s="12">
        <f>C3621+1</f>
        <v>40492</v>
      </c>
      <c r="W3621">
        <f>IF(D3621=' Pivot Tables'!$A$4,1,0)</f>
        <v>0</v>
      </c>
      <c r="X3621">
        <f>IF(AND(LEFT(D3621,4)+1=LEFT(' Pivot Tables'!$A$4,4)+0,RIGHT(LEFT(D3621,7),2)=RIGHT(LEFT(' Pivot Tables'!$A$4,7),2)),1,0)</f>
        <v>0</v>
      </c>
      <c r="Y3621" s="6">
        <f>1/COUNTIF(Таблица1[Order ID],Таблица1[[#This Row],[Order ID]])</f>
        <v>1</v>
      </c>
      <c r="Z3621" s="9">
        <f>1/COUNTIFS(Таблица1[Customer Name],Таблица1[[#This Row],[Customer Name]],Таблица1[Order-Year-Month],Таблица1[[#This Row],[Order-Year-Month]])</f>
        <v>0.33333333333333331</v>
      </c>
    </row>
    <row r="3622" spans="1:26" x14ac:dyDescent="0.2">
      <c r="A3622" s="6">
        <v>3145</v>
      </c>
      <c r="B3622" s="7">
        <v>22562</v>
      </c>
      <c r="C3622" s="8">
        <f>DATE(2012,12,31)-1375</f>
        <v>39899</v>
      </c>
      <c r="D3622" s="8" t="str">
        <f t="shared" si="69"/>
        <v>2009-03 (март 2009)</v>
      </c>
      <c r="E3622" s="9" t="s">
        <v>63</v>
      </c>
      <c r="F3622" s="7">
        <v>46</v>
      </c>
      <c r="G3622" s="7">
        <v>9304.2000000000007</v>
      </c>
      <c r="H3622" s="7">
        <v>0.08</v>
      </c>
      <c r="I3622" s="9" t="s">
        <v>31</v>
      </c>
      <c r="J3622" s="10">
        <v>1981.17</v>
      </c>
      <c r="K3622" s="11">
        <v>213.45</v>
      </c>
      <c r="L3622" s="11">
        <v>14.7</v>
      </c>
      <c r="M3622" s="9" t="s">
        <v>1686</v>
      </c>
      <c r="N3622" s="6" t="s">
        <v>1595</v>
      </c>
      <c r="O3622" s="6" t="s">
        <v>1595</v>
      </c>
      <c r="P3622" s="9" t="s">
        <v>60</v>
      </c>
      <c r="Q3622" s="9" t="s">
        <v>42</v>
      </c>
      <c r="R3622" s="9" t="s">
        <v>210</v>
      </c>
      <c r="S3622" s="7" t="s">
        <v>1700</v>
      </c>
      <c r="T3622" s="9" t="s">
        <v>36</v>
      </c>
      <c r="U3622" s="7">
        <v>0.59</v>
      </c>
      <c r="V3622" s="12">
        <f>C3622+2</f>
        <v>39901</v>
      </c>
      <c r="W3622">
        <f>IF(D3622=' Pivot Tables'!$A$4,1,0)</f>
        <v>0</v>
      </c>
      <c r="X3622">
        <f>IF(AND(LEFT(D3622,4)+1=LEFT(' Pivot Tables'!$A$4,4)+0,RIGHT(LEFT(D3622,7),2)=RIGHT(LEFT(' Pivot Tables'!$A$4,7),2)),1,0)</f>
        <v>0</v>
      </c>
      <c r="Y3622" s="6">
        <f>1/COUNTIF(Таблица1[Order ID],Таблица1[[#This Row],[Order ID]])</f>
        <v>0.33333333333333331</v>
      </c>
      <c r="Z3622" s="9">
        <f>1/COUNTIFS(Таблица1[Customer Name],Таблица1[[#This Row],[Customer Name]],Таблица1[Order-Year-Month],Таблица1[[#This Row],[Order-Year-Month]])</f>
        <v>0.33333333333333331</v>
      </c>
    </row>
    <row r="3623" spans="1:26" x14ac:dyDescent="0.2">
      <c r="A3623" s="6">
        <v>3146</v>
      </c>
      <c r="B3623" s="7">
        <v>22562</v>
      </c>
      <c r="C3623" s="8">
        <f>DATE(2012,12,31)-1375</f>
        <v>39899</v>
      </c>
      <c r="D3623" s="8" t="str">
        <f t="shared" si="69"/>
        <v>2009-03 (март 2009)</v>
      </c>
      <c r="E3623" s="9" t="s">
        <v>63</v>
      </c>
      <c r="F3623" s="7">
        <v>31</v>
      </c>
      <c r="G3623" s="7">
        <v>1685.05</v>
      </c>
      <c r="H3623" s="7">
        <v>0.1</v>
      </c>
      <c r="I3623" s="9" t="s">
        <v>22</v>
      </c>
      <c r="J3623" s="10">
        <v>518.07000000000005</v>
      </c>
      <c r="K3623" s="11">
        <v>55.98</v>
      </c>
      <c r="L3623" s="11">
        <v>13.88</v>
      </c>
      <c r="M3623" s="9" t="s">
        <v>1686</v>
      </c>
      <c r="N3623" s="6" t="s">
        <v>1595</v>
      </c>
      <c r="O3623" s="6" t="s">
        <v>1595</v>
      </c>
      <c r="P3623" s="9" t="s">
        <v>60</v>
      </c>
      <c r="Q3623" s="9" t="s">
        <v>26</v>
      </c>
      <c r="R3623" s="9" t="s">
        <v>61</v>
      </c>
      <c r="S3623" s="7" t="s">
        <v>421</v>
      </c>
      <c r="T3623" s="9" t="s">
        <v>39</v>
      </c>
      <c r="U3623" s="7">
        <v>0.36</v>
      </c>
      <c r="V3623" s="12">
        <f>C3623+2</f>
        <v>39901</v>
      </c>
      <c r="W3623">
        <f>IF(D3623=' Pivot Tables'!$A$4,1,0)</f>
        <v>0</v>
      </c>
      <c r="X3623">
        <f>IF(AND(LEFT(D3623,4)+1=LEFT(' Pivot Tables'!$A$4,4)+0,RIGHT(LEFT(D3623,7),2)=RIGHT(LEFT(' Pivot Tables'!$A$4,7),2)),1,0)</f>
        <v>0</v>
      </c>
      <c r="Y3623" s="6">
        <f>1/COUNTIF(Таблица1[Order ID],Таблица1[[#This Row],[Order ID]])</f>
        <v>0.33333333333333331</v>
      </c>
      <c r="Z3623" s="9">
        <f>1/COUNTIFS(Таблица1[Customer Name],Таблица1[[#This Row],[Customer Name]],Таблица1[Order-Year-Month],Таблица1[[#This Row],[Order-Year-Month]])</f>
        <v>0.33333333333333331</v>
      </c>
    </row>
    <row r="3624" spans="1:26" x14ac:dyDescent="0.2">
      <c r="A3624" s="6">
        <v>3147</v>
      </c>
      <c r="B3624" s="7">
        <v>22562</v>
      </c>
      <c r="C3624" s="8">
        <f>DATE(2012,12,31)-1375</f>
        <v>39899</v>
      </c>
      <c r="D3624" s="8" t="str">
        <f t="shared" si="69"/>
        <v>2009-03 (март 2009)</v>
      </c>
      <c r="E3624" s="9" t="s">
        <v>63</v>
      </c>
      <c r="F3624" s="7">
        <v>3</v>
      </c>
      <c r="G3624" s="7">
        <v>57.48</v>
      </c>
      <c r="H3624" s="7">
        <v>0</v>
      </c>
      <c r="I3624" s="9" t="s">
        <v>22</v>
      </c>
      <c r="J3624" s="10">
        <v>-28.09</v>
      </c>
      <c r="K3624" s="11">
        <v>16.059999999999999</v>
      </c>
      <c r="L3624" s="11">
        <v>8.34</v>
      </c>
      <c r="M3624" s="9" t="s">
        <v>1686</v>
      </c>
      <c r="N3624" s="6" t="s">
        <v>1595</v>
      </c>
      <c r="O3624" s="6" t="s">
        <v>1595</v>
      </c>
      <c r="P3624" s="9" t="s">
        <v>60</v>
      </c>
      <c r="Q3624" s="9" t="s">
        <v>26</v>
      </c>
      <c r="R3624" s="9" t="s">
        <v>27</v>
      </c>
      <c r="S3624" s="7" t="s">
        <v>967</v>
      </c>
      <c r="T3624" s="9" t="s">
        <v>39</v>
      </c>
      <c r="U3624" s="7">
        <v>0.59</v>
      </c>
      <c r="V3624" s="12">
        <f>C3624+1</f>
        <v>39900</v>
      </c>
      <c r="W3624">
        <f>IF(D3624=' Pivot Tables'!$A$4,1,0)</f>
        <v>0</v>
      </c>
      <c r="X3624">
        <f>IF(AND(LEFT(D3624,4)+1=LEFT(' Pivot Tables'!$A$4,4)+0,RIGHT(LEFT(D3624,7),2)=RIGHT(LEFT(' Pivot Tables'!$A$4,7),2)),1,0)</f>
        <v>0</v>
      </c>
      <c r="Y3624" s="6">
        <f>1/COUNTIF(Таблица1[Order ID],Таблица1[[#This Row],[Order ID]])</f>
        <v>0.33333333333333331</v>
      </c>
      <c r="Z3624" s="9">
        <f>1/COUNTIFS(Таблица1[Customer Name],Таблица1[[#This Row],[Customer Name]],Таблица1[Order-Year-Month],Таблица1[[#This Row],[Order-Year-Month]])</f>
        <v>0.33333333333333331</v>
      </c>
    </row>
    <row r="3625" spans="1:26" x14ac:dyDescent="0.2">
      <c r="A3625" s="6">
        <v>3270</v>
      </c>
      <c r="B3625" s="7">
        <v>23392</v>
      </c>
      <c r="C3625" s="8">
        <f>DATE(2012,12,31)-1233</f>
        <v>40041</v>
      </c>
      <c r="D3625" s="8" t="str">
        <f t="shared" si="69"/>
        <v>2009-08 (август 2009)</v>
      </c>
      <c r="E3625" s="9" t="s">
        <v>63</v>
      </c>
      <c r="F3625" s="7">
        <v>24</v>
      </c>
      <c r="G3625" s="7">
        <v>4276.0960000000005</v>
      </c>
      <c r="H3625" s="7">
        <v>0</v>
      </c>
      <c r="I3625" s="9" t="s">
        <v>22</v>
      </c>
      <c r="J3625" s="10">
        <v>-505.98447900000014</v>
      </c>
      <c r="K3625" s="11">
        <v>209.37</v>
      </c>
      <c r="L3625" s="11">
        <v>69</v>
      </c>
      <c r="M3625" s="9" t="s">
        <v>1686</v>
      </c>
      <c r="N3625" s="6" t="s">
        <v>1595</v>
      </c>
      <c r="O3625" s="6" t="s">
        <v>1595</v>
      </c>
      <c r="P3625" s="9" t="s">
        <v>60</v>
      </c>
      <c r="Q3625" s="9" t="s">
        <v>49</v>
      </c>
      <c r="R3625" s="9" t="s">
        <v>83</v>
      </c>
      <c r="S3625" s="7" t="s">
        <v>936</v>
      </c>
      <c r="T3625" s="9" t="s">
        <v>29</v>
      </c>
      <c r="U3625" s="7">
        <v>0.79</v>
      </c>
      <c r="V3625" s="12">
        <f>C3625+2</f>
        <v>40043</v>
      </c>
      <c r="W3625">
        <f>IF(D3625=' Pivot Tables'!$A$4,1,0)</f>
        <v>0</v>
      </c>
      <c r="X3625">
        <f>IF(AND(LEFT(D3625,4)+1=LEFT(' Pivot Tables'!$A$4,4)+0,RIGHT(LEFT(D3625,7),2)=RIGHT(LEFT(' Pivot Tables'!$A$4,7),2)),1,0)</f>
        <v>0</v>
      </c>
      <c r="Y3625" s="6">
        <f>1/COUNTIF(Таблица1[Order ID],Таблица1[[#This Row],[Order ID]])</f>
        <v>1</v>
      </c>
      <c r="Z3625" s="9">
        <f>1/COUNTIFS(Таблица1[Customer Name],Таблица1[[#This Row],[Customer Name]],Таблица1[Order-Year-Month],Таблица1[[#This Row],[Order-Year-Month]])</f>
        <v>1</v>
      </c>
    </row>
    <row r="3626" spans="1:26" x14ac:dyDescent="0.2">
      <c r="A3626" s="6">
        <v>3327</v>
      </c>
      <c r="B3626" s="7">
        <v>23782</v>
      </c>
      <c r="C3626" s="8">
        <f>DATE(2012,12,31)-1086</f>
        <v>40188</v>
      </c>
      <c r="D3626" s="8" t="str">
        <f t="shared" si="69"/>
        <v>2010-01 (январь 2010)</v>
      </c>
      <c r="E3626" s="9" t="s">
        <v>21</v>
      </c>
      <c r="F3626" s="7">
        <v>46</v>
      </c>
      <c r="G3626" s="7">
        <v>21390.44</v>
      </c>
      <c r="H3626" s="7">
        <v>0.09</v>
      </c>
      <c r="I3626" s="9" t="s">
        <v>31</v>
      </c>
      <c r="J3626" s="10">
        <v>5365.43</v>
      </c>
      <c r="K3626" s="11">
        <v>500.98</v>
      </c>
      <c r="L3626" s="11">
        <v>26</v>
      </c>
      <c r="M3626" s="9" t="s">
        <v>1698</v>
      </c>
      <c r="N3626" s="6" t="s">
        <v>1595</v>
      </c>
      <c r="O3626" s="6" t="s">
        <v>1595</v>
      </c>
      <c r="P3626" s="9" t="s">
        <v>41</v>
      </c>
      <c r="Q3626" s="9" t="s">
        <v>49</v>
      </c>
      <c r="R3626" s="9" t="s">
        <v>112</v>
      </c>
      <c r="S3626" s="7" t="s">
        <v>119</v>
      </c>
      <c r="T3626" s="9" t="s">
        <v>36</v>
      </c>
      <c r="U3626" s="7">
        <v>0.6</v>
      </c>
      <c r="V3626" s="12">
        <f>C3626+0</f>
        <v>40188</v>
      </c>
      <c r="W3626">
        <f>IF(D3626=' Pivot Tables'!$A$4,1,0)</f>
        <v>1</v>
      </c>
      <c r="X3626">
        <f>IF(AND(LEFT(D3626,4)+1=LEFT(' Pivot Tables'!$A$4,4)+0,RIGHT(LEFT(D3626,7),2)=RIGHT(LEFT(' Pivot Tables'!$A$4,7),2)),1,0)</f>
        <v>0</v>
      </c>
      <c r="Y3626" s="6">
        <f>1/COUNTIF(Таблица1[Order ID],Таблица1[[#This Row],[Order ID]])</f>
        <v>0.5</v>
      </c>
      <c r="Z3626" s="9">
        <f>1/COUNTIFS(Таблица1[Customer Name],Таблица1[[#This Row],[Customer Name]],Таблица1[Order-Year-Month],Таблица1[[#This Row],[Order-Year-Month]])</f>
        <v>0.5</v>
      </c>
    </row>
    <row r="3627" spans="1:26" x14ac:dyDescent="0.2">
      <c r="A3627" s="6">
        <v>3328</v>
      </c>
      <c r="B3627" s="7">
        <v>23782</v>
      </c>
      <c r="C3627" s="8">
        <f>DATE(2012,12,31)-1086</f>
        <v>40188</v>
      </c>
      <c r="D3627" s="8" t="str">
        <f t="shared" si="69"/>
        <v>2010-01 (январь 2010)</v>
      </c>
      <c r="E3627" s="9" t="s">
        <v>21</v>
      </c>
      <c r="F3627" s="7">
        <v>7</v>
      </c>
      <c r="G3627" s="7">
        <v>169.75</v>
      </c>
      <c r="H3627" s="7">
        <v>0.09</v>
      </c>
      <c r="I3627" s="9" t="s">
        <v>22</v>
      </c>
      <c r="J3627" s="10">
        <v>-194.85</v>
      </c>
      <c r="K3627" s="11">
        <v>20.34</v>
      </c>
      <c r="L3627" s="11">
        <v>35</v>
      </c>
      <c r="M3627" s="9" t="s">
        <v>1698</v>
      </c>
      <c r="N3627" s="6" t="s">
        <v>1595</v>
      </c>
      <c r="O3627" s="6" t="s">
        <v>1595</v>
      </c>
      <c r="P3627" s="9" t="s">
        <v>41</v>
      </c>
      <c r="Q3627" s="9" t="s">
        <v>26</v>
      </c>
      <c r="R3627" s="9" t="s">
        <v>27</v>
      </c>
      <c r="S3627" s="7" t="s">
        <v>693</v>
      </c>
      <c r="T3627" s="9" t="s">
        <v>29</v>
      </c>
      <c r="U3627" s="7">
        <v>0.84</v>
      </c>
      <c r="V3627" s="12">
        <f>C3627+5</f>
        <v>40193</v>
      </c>
      <c r="W3627">
        <f>IF(D3627=' Pivot Tables'!$A$4,1,0)</f>
        <v>1</v>
      </c>
      <c r="X3627">
        <f>IF(AND(LEFT(D3627,4)+1=LEFT(' Pivot Tables'!$A$4,4)+0,RIGHT(LEFT(D3627,7),2)=RIGHT(LEFT(' Pivot Tables'!$A$4,7),2)),1,0)</f>
        <v>0</v>
      </c>
      <c r="Y3627" s="6">
        <f>1/COUNTIF(Таблица1[Order ID],Таблица1[[#This Row],[Order ID]])</f>
        <v>0.5</v>
      </c>
      <c r="Z3627" s="9">
        <f>1/COUNTIFS(Таблица1[Customer Name],Таблица1[[#This Row],[Customer Name]],Таблица1[Order-Year-Month],Таблица1[[#This Row],[Order-Year-Month]])</f>
        <v>0.5</v>
      </c>
    </row>
    <row r="3628" spans="1:26" x14ac:dyDescent="0.2">
      <c r="A3628" s="6">
        <v>3367</v>
      </c>
      <c r="B3628" s="7">
        <v>24069</v>
      </c>
      <c r="C3628" s="8">
        <f>DATE(2012,12,31)-899</f>
        <v>40375</v>
      </c>
      <c r="D3628" s="8" t="str">
        <f t="shared" si="69"/>
        <v>2010-07 (июль 2010)</v>
      </c>
      <c r="E3628" s="9" t="s">
        <v>21</v>
      </c>
      <c r="F3628" s="7">
        <v>21</v>
      </c>
      <c r="G3628" s="7">
        <v>7981.2</v>
      </c>
      <c r="H3628" s="7">
        <v>0.02</v>
      </c>
      <c r="I3628" s="9" t="s">
        <v>31</v>
      </c>
      <c r="J3628" s="10">
        <v>-592.5205000000002</v>
      </c>
      <c r="K3628" s="11">
        <v>376.13</v>
      </c>
      <c r="L3628" s="11">
        <v>85.63</v>
      </c>
      <c r="M3628" s="9" t="s">
        <v>1659</v>
      </c>
      <c r="N3628" s="6" t="s">
        <v>1595</v>
      </c>
      <c r="O3628" s="6" t="s">
        <v>1595</v>
      </c>
      <c r="P3628" s="9" t="s">
        <v>60</v>
      </c>
      <c r="Q3628" s="9" t="s">
        <v>49</v>
      </c>
      <c r="R3628" s="9" t="s">
        <v>83</v>
      </c>
      <c r="S3628" s="7" t="s">
        <v>725</v>
      </c>
      <c r="T3628" s="9" t="s">
        <v>82</v>
      </c>
      <c r="U3628" s="7">
        <v>0.74</v>
      </c>
      <c r="V3628" s="12">
        <f>C3628+7</f>
        <v>40382</v>
      </c>
      <c r="W3628">
        <f>IF(D3628=' Pivot Tables'!$A$4,1,0)</f>
        <v>0</v>
      </c>
      <c r="X3628">
        <f>IF(AND(LEFT(D3628,4)+1=LEFT(' Pivot Tables'!$A$4,4)+0,RIGHT(LEFT(D3628,7),2)=RIGHT(LEFT(' Pivot Tables'!$A$4,7),2)),1,0)</f>
        <v>0</v>
      </c>
      <c r="Y3628" s="6">
        <f>1/COUNTIF(Таблица1[Order ID],Таблица1[[#This Row],[Order ID]])</f>
        <v>1</v>
      </c>
      <c r="Z3628" s="9">
        <f>1/COUNTIFS(Таблица1[Customer Name],Таблица1[[#This Row],[Customer Name]],Таблица1[Order-Year-Month],Таблица1[[#This Row],[Order-Year-Month]])</f>
        <v>0.5</v>
      </c>
    </row>
    <row r="3629" spans="1:26" x14ac:dyDescent="0.2">
      <c r="A3629" s="6">
        <v>3377</v>
      </c>
      <c r="B3629" s="7">
        <v>24099</v>
      </c>
      <c r="C3629" s="8">
        <f>DATE(2012,12,31)-591</f>
        <v>40683</v>
      </c>
      <c r="D3629" s="8" t="str">
        <f t="shared" si="69"/>
        <v>2011-05 (май 2011)</v>
      </c>
      <c r="E3629" s="9" t="s">
        <v>45</v>
      </c>
      <c r="F3629" s="7">
        <v>6</v>
      </c>
      <c r="G3629" s="7">
        <v>205.24</v>
      </c>
      <c r="H3629" s="7">
        <v>0.01</v>
      </c>
      <c r="I3629" s="9" t="s">
        <v>22</v>
      </c>
      <c r="J3629" s="10">
        <v>-135.51</v>
      </c>
      <c r="K3629" s="11">
        <v>30.98</v>
      </c>
      <c r="L3629" s="11">
        <v>6.5</v>
      </c>
      <c r="M3629" s="9" t="s">
        <v>1675</v>
      </c>
      <c r="N3629" s="6" t="s">
        <v>1595</v>
      </c>
      <c r="O3629" s="6" t="s">
        <v>1595</v>
      </c>
      <c r="P3629" s="9" t="s">
        <v>41</v>
      </c>
      <c r="Q3629" s="9" t="s">
        <v>42</v>
      </c>
      <c r="R3629" s="9" t="s">
        <v>70</v>
      </c>
      <c r="S3629" s="7" t="s">
        <v>805</v>
      </c>
      <c r="T3629" s="9" t="s">
        <v>39</v>
      </c>
      <c r="U3629" s="7">
        <v>0.79</v>
      </c>
      <c r="V3629" s="12">
        <f>C3629+1</f>
        <v>40684</v>
      </c>
      <c r="W3629">
        <f>IF(D3629=' Pivot Tables'!$A$4,1,0)</f>
        <v>0</v>
      </c>
      <c r="X3629">
        <f>IF(AND(LEFT(D3629,4)+1=LEFT(' Pivot Tables'!$A$4,4)+0,RIGHT(LEFT(D3629,7),2)=RIGHT(LEFT(' Pivot Tables'!$A$4,7),2)),1,0)</f>
        <v>0</v>
      </c>
      <c r="Y3629" s="6">
        <f>1/COUNTIF(Таблица1[Order ID],Таблица1[[#This Row],[Order ID]])</f>
        <v>0.5</v>
      </c>
      <c r="Z3629" s="9">
        <f>1/COUNTIFS(Таблица1[Customer Name],Таблица1[[#This Row],[Customer Name]],Таблица1[Order-Year-Month],Таблица1[[#This Row],[Order-Year-Month]])</f>
        <v>0.5</v>
      </c>
    </row>
    <row r="3630" spans="1:26" x14ac:dyDescent="0.2">
      <c r="A3630" s="6">
        <v>3378</v>
      </c>
      <c r="B3630" s="7">
        <v>24099</v>
      </c>
      <c r="C3630" s="8">
        <f>DATE(2012,12,31)-591</f>
        <v>40683</v>
      </c>
      <c r="D3630" s="8" t="str">
        <f t="shared" si="69"/>
        <v>2011-05 (май 2011)</v>
      </c>
      <c r="E3630" s="9" t="s">
        <v>45</v>
      </c>
      <c r="F3630" s="7">
        <v>36</v>
      </c>
      <c r="G3630" s="7">
        <v>825.82</v>
      </c>
      <c r="H3630" s="7">
        <v>0</v>
      </c>
      <c r="I3630" s="9" t="s">
        <v>22</v>
      </c>
      <c r="J3630" s="10">
        <v>-1049.26</v>
      </c>
      <c r="K3630" s="11">
        <v>20.34</v>
      </c>
      <c r="L3630" s="11">
        <v>35</v>
      </c>
      <c r="M3630" s="9" t="s">
        <v>1675</v>
      </c>
      <c r="N3630" s="6" t="s">
        <v>1595</v>
      </c>
      <c r="O3630" s="6" t="s">
        <v>1595</v>
      </c>
      <c r="P3630" s="9" t="s">
        <v>41</v>
      </c>
      <c r="Q3630" s="9" t="s">
        <v>26</v>
      </c>
      <c r="R3630" s="9" t="s">
        <v>27</v>
      </c>
      <c r="S3630" s="7" t="s">
        <v>693</v>
      </c>
      <c r="T3630" s="9" t="s">
        <v>29</v>
      </c>
      <c r="U3630" s="7">
        <v>0.84</v>
      </c>
      <c r="V3630" s="12">
        <f>C3630+1</f>
        <v>40684</v>
      </c>
      <c r="W3630">
        <f>IF(D3630=' Pivot Tables'!$A$4,1,0)</f>
        <v>0</v>
      </c>
      <c r="X3630">
        <f>IF(AND(LEFT(D3630,4)+1=LEFT(' Pivot Tables'!$A$4,4)+0,RIGHT(LEFT(D3630,7),2)=RIGHT(LEFT(' Pivot Tables'!$A$4,7),2)),1,0)</f>
        <v>0</v>
      </c>
      <c r="Y3630" s="6">
        <f>1/COUNTIF(Таблица1[Order ID],Таблица1[[#This Row],[Order ID]])</f>
        <v>0.5</v>
      </c>
      <c r="Z3630" s="9">
        <f>1/COUNTIFS(Таблица1[Customer Name],Таблица1[[#This Row],[Customer Name]],Таблица1[Order-Year-Month],Таблица1[[#This Row],[Order-Year-Month]])</f>
        <v>0.5</v>
      </c>
    </row>
    <row r="3631" spans="1:26" x14ac:dyDescent="0.2">
      <c r="A3631" s="6">
        <v>3401</v>
      </c>
      <c r="B3631" s="7">
        <v>24228</v>
      </c>
      <c r="C3631" s="8">
        <f>DATE(2012,12,31)-1263</f>
        <v>40011</v>
      </c>
      <c r="D3631" s="8" t="str">
        <f t="shared" si="69"/>
        <v>2009-07 (июль 2009)</v>
      </c>
      <c r="E3631" s="9" t="s">
        <v>21</v>
      </c>
      <c r="F3631" s="7">
        <v>31</v>
      </c>
      <c r="G3631" s="7">
        <v>60.64</v>
      </c>
      <c r="H3631" s="7">
        <v>0.05</v>
      </c>
      <c r="I3631" s="9" t="s">
        <v>22</v>
      </c>
      <c r="J3631" s="10">
        <v>-66.62</v>
      </c>
      <c r="K3631" s="11">
        <v>1.86</v>
      </c>
      <c r="L3631" s="11">
        <v>2.58</v>
      </c>
      <c r="M3631" s="9" t="s">
        <v>1659</v>
      </c>
      <c r="N3631" s="6" t="s">
        <v>1595</v>
      </c>
      <c r="O3631" s="6" t="s">
        <v>1595</v>
      </c>
      <c r="P3631" s="9" t="s">
        <v>60</v>
      </c>
      <c r="Q3631" s="9" t="s">
        <v>26</v>
      </c>
      <c r="R3631" s="9" t="s">
        <v>66</v>
      </c>
      <c r="S3631" s="7" t="s">
        <v>783</v>
      </c>
      <c r="T3631" s="9" t="s">
        <v>68</v>
      </c>
      <c r="U3631" s="7">
        <v>0.82</v>
      </c>
      <c r="V3631" s="12">
        <f>C3631+4</f>
        <v>40015</v>
      </c>
      <c r="W3631">
        <f>IF(D3631=' Pivot Tables'!$A$4,1,0)</f>
        <v>0</v>
      </c>
      <c r="X3631">
        <f>IF(AND(LEFT(D3631,4)+1=LEFT(' Pivot Tables'!$A$4,4)+0,RIGHT(LEFT(D3631,7),2)=RIGHT(LEFT(' Pivot Tables'!$A$4,7),2)),1,0)</f>
        <v>0</v>
      </c>
      <c r="Y3631" s="6">
        <f>1/COUNTIF(Таблица1[Order ID],Таблица1[[#This Row],[Order ID]])</f>
        <v>1</v>
      </c>
      <c r="Z3631" s="9">
        <f>1/COUNTIFS(Таблица1[Customer Name],Таблица1[[#This Row],[Customer Name]],Таблица1[Order-Year-Month],Таблица1[[#This Row],[Order-Year-Month]])</f>
        <v>0.25</v>
      </c>
    </row>
    <row r="3632" spans="1:26" x14ac:dyDescent="0.2">
      <c r="A3632" s="6">
        <v>3402</v>
      </c>
      <c r="B3632" s="7">
        <v>24231</v>
      </c>
      <c r="C3632" s="8">
        <f>DATE(2012,12,31)-1242</f>
        <v>40032</v>
      </c>
      <c r="D3632" s="8" t="str">
        <f t="shared" si="69"/>
        <v>2009-08 (август 2009)</v>
      </c>
      <c r="E3632" s="9" t="s">
        <v>45</v>
      </c>
      <c r="F3632" s="7">
        <v>48</v>
      </c>
      <c r="G3632" s="7">
        <v>2482.0340000000001</v>
      </c>
      <c r="H3632" s="7">
        <v>0.08</v>
      </c>
      <c r="I3632" s="9" t="s">
        <v>22</v>
      </c>
      <c r="J3632" s="10">
        <v>421.89299999999997</v>
      </c>
      <c r="K3632" s="11">
        <v>65.989999999999995</v>
      </c>
      <c r="L3632" s="11">
        <v>5.92</v>
      </c>
      <c r="M3632" s="9" t="s">
        <v>1677</v>
      </c>
      <c r="N3632" s="6" t="s">
        <v>1595</v>
      </c>
      <c r="O3632" s="6" t="s">
        <v>1595</v>
      </c>
      <c r="P3632" s="9" t="s">
        <v>25</v>
      </c>
      <c r="Q3632" s="9" t="s">
        <v>42</v>
      </c>
      <c r="R3632" s="9" t="s">
        <v>43</v>
      </c>
      <c r="S3632" s="7" t="s">
        <v>908</v>
      </c>
      <c r="T3632" s="9" t="s">
        <v>39</v>
      </c>
      <c r="U3632" s="7">
        <v>0.57999999999999996</v>
      </c>
      <c r="V3632" s="12">
        <f>C3632+0</f>
        <v>40032</v>
      </c>
      <c r="W3632">
        <f>IF(D3632=' Pivot Tables'!$A$4,1,0)</f>
        <v>0</v>
      </c>
      <c r="X3632">
        <f>IF(AND(LEFT(D3632,4)+1=LEFT(' Pivot Tables'!$A$4,4)+0,RIGHT(LEFT(D3632,7),2)=RIGHT(LEFT(' Pivot Tables'!$A$4,7),2)),1,0)</f>
        <v>0</v>
      </c>
      <c r="Y3632" s="6">
        <f>1/COUNTIF(Таблица1[Order ID],Таблица1[[#This Row],[Order ID]])</f>
        <v>1</v>
      </c>
      <c r="Z3632" s="9">
        <f>1/COUNTIFS(Таблица1[Customer Name],Таблица1[[#This Row],[Customer Name]],Таблица1[Order-Year-Month],Таблица1[[#This Row],[Order-Year-Month]])</f>
        <v>1</v>
      </c>
    </row>
    <row r="3633" spans="1:26" x14ac:dyDescent="0.2">
      <c r="A3633" s="6">
        <v>3452</v>
      </c>
      <c r="B3633" s="7">
        <v>24613</v>
      </c>
      <c r="C3633" s="8">
        <f>DATE(2012,12,31)-168</f>
        <v>41106</v>
      </c>
      <c r="D3633" s="8" t="str">
        <f t="shared" si="69"/>
        <v>2012-07 (июль 2012)</v>
      </c>
      <c r="E3633" s="9" t="s">
        <v>21</v>
      </c>
      <c r="F3633" s="7">
        <v>16</v>
      </c>
      <c r="G3633" s="7">
        <v>9695.84</v>
      </c>
      <c r="H3633" s="7">
        <v>0</v>
      </c>
      <c r="I3633" s="9" t="s">
        <v>22</v>
      </c>
      <c r="J3633" s="10">
        <v>2752.11</v>
      </c>
      <c r="K3633" s="11">
        <v>599.99</v>
      </c>
      <c r="L3633" s="11">
        <v>24.49</v>
      </c>
      <c r="M3633" s="9" t="s">
        <v>1666</v>
      </c>
      <c r="N3633" s="6" t="s">
        <v>1595</v>
      </c>
      <c r="O3633" s="6" t="s">
        <v>1595</v>
      </c>
      <c r="P3633" s="9" t="s">
        <v>60</v>
      </c>
      <c r="Q3633" s="9" t="s">
        <v>42</v>
      </c>
      <c r="R3633" s="9" t="s">
        <v>99</v>
      </c>
      <c r="S3633" s="7" t="s">
        <v>1004</v>
      </c>
      <c r="T3633" s="9" t="s">
        <v>29</v>
      </c>
      <c r="U3633" s="7">
        <v>0.37</v>
      </c>
      <c r="V3633" s="12">
        <f>C3633+9</f>
        <v>41115</v>
      </c>
      <c r="W3633">
        <f>IF(D3633=' Pivot Tables'!$A$4,1,0)</f>
        <v>0</v>
      </c>
      <c r="X3633">
        <f>IF(AND(LEFT(D3633,4)+1=LEFT(' Pivot Tables'!$A$4,4)+0,RIGHT(LEFT(D3633,7),2)=RIGHT(LEFT(' Pivot Tables'!$A$4,7),2)),1,0)</f>
        <v>0</v>
      </c>
      <c r="Y3633" s="6">
        <f>1/COUNTIF(Таблица1[Order ID],Таблица1[[#This Row],[Order ID]])</f>
        <v>0.33333333333333331</v>
      </c>
      <c r="Z3633" s="9">
        <f>1/COUNTIFS(Таблица1[Customer Name],Таблица1[[#This Row],[Customer Name]],Таблица1[Order-Year-Month],Таблица1[[#This Row],[Order-Year-Month]])</f>
        <v>0.33333333333333331</v>
      </c>
    </row>
    <row r="3634" spans="1:26" x14ac:dyDescent="0.2">
      <c r="A3634" s="6">
        <v>3453</v>
      </c>
      <c r="B3634" s="7">
        <v>24613</v>
      </c>
      <c r="C3634" s="8">
        <f>DATE(2012,12,31)-168</f>
        <v>41106</v>
      </c>
      <c r="D3634" s="8" t="str">
        <f t="shared" si="69"/>
        <v>2012-07 (июль 2012)</v>
      </c>
      <c r="E3634" s="9" t="s">
        <v>21</v>
      </c>
      <c r="F3634" s="7">
        <v>36</v>
      </c>
      <c r="G3634" s="7">
        <v>246.79</v>
      </c>
      <c r="H3634" s="7">
        <v>0.01</v>
      </c>
      <c r="I3634" s="9" t="s">
        <v>22</v>
      </c>
      <c r="J3634" s="10">
        <v>-90.08</v>
      </c>
      <c r="K3634" s="11">
        <v>6.48</v>
      </c>
      <c r="L3634" s="11">
        <v>6.6</v>
      </c>
      <c r="M3634" s="9" t="s">
        <v>1666</v>
      </c>
      <c r="N3634" s="6" t="s">
        <v>1595</v>
      </c>
      <c r="O3634" s="6" t="s">
        <v>1595</v>
      </c>
      <c r="P3634" s="9" t="s">
        <v>60</v>
      </c>
      <c r="Q3634" s="9" t="s">
        <v>26</v>
      </c>
      <c r="R3634" s="9" t="s">
        <v>61</v>
      </c>
      <c r="S3634" s="7" t="s">
        <v>346</v>
      </c>
      <c r="T3634" s="9" t="s">
        <v>39</v>
      </c>
      <c r="U3634" s="7">
        <v>0.37</v>
      </c>
      <c r="V3634" s="12">
        <f>C3634+9</f>
        <v>41115</v>
      </c>
      <c r="W3634">
        <f>IF(D3634=' Pivot Tables'!$A$4,1,0)</f>
        <v>0</v>
      </c>
      <c r="X3634">
        <f>IF(AND(LEFT(D3634,4)+1=LEFT(' Pivot Tables'!$A$4,4)+0,RIGHT(LEFT(D3634,7),2)=RIGHT(LEFT(' Pivot Tables'!$A$4,7),2)),1,0)</f>
        <v>0</v>
      </c>
      <c r="Y3634" s="6">
        <f>1/COUNTIF(Таблица1[Order ID],Таблица1[[#This Row],[Order ID]])</f>
        <v>0.33333333333333331</v>
      </c>
      <c r="Z3634" s="9">
        <f>1/COUNTIFS(Таблица1[Customer Name],Таблица1[[#This Row],[Customer Name]],Таблица1[Order-Year-Month],Таблица1[[#This Row],[Order-Year-Month]])</f>
        <v>0.33333333333333331</v>
      </c>
    </row>
    <row r="3635" spans="1:26" x14ac:dyDescent="0.2">
      <c r="A3635" s="6">
        <v>3454</v>
      </c>
      <c r="B3635" s="7">
        <v>24613</v>
      </c>
      <c r="C3635" s="8">
        <f>DATE(2012,12,31)-168</f>
        <v>41106</v>
      </c>
      <c r="D3635" s="8" t="str">
        <f t="shared" si="69"/>
        <v>2012-07 (июль 2012)</v>
      </c>
      <c r="E3635" s="9" t="s">
        <v>21</v>
      </c>
      <c r="F3635" s="7">
        <v>39</v>
      </c>
      <c r="G3635" s="7">
        <v>777.78</v>
      </c>
      <c r="H3635" s="7">
        <v>0.01</v>
      </c>
      <c r="I3635" s="9" t="s">
        <v>22</v>
      </c>
      <c r="J3635" s="10">
        <v>237.75</v>
      </c>
      <c r="K3635" s="11">
        <v>19.84</v>
      </c>
      <c r="L3635" s="11">
        <v>4.0999999999999996</v>
      </c>
      <c r="M3635" s="9" t="s">
        <v>1666</v>
      </c>
      <c r="N3635" s="6" t="s">
        <v>1595</v>
      </c>
      <c r="O3635" s="6" t="s">
        <v>1595</v>
      </c>
      <c r="P3635" s="9" t="s">
        <v>60</v>
      </c>
      <c r="Q3635" s="9" t="s">
        <v>26</v>
      </c>
      <c r="R3635" s="9" t="s">
        <v>95</v>
      </c>
      <c r="S3635" s="7" t="s">
        <v>195</v>
      </c>
      <c r="T3635" s="9" t="s">
        <v>68</v>
      </c>
      <c r="U3635" s="7">
        <v>0.44</v>
      </c>
      <c r="V3635" s="12">
        <f>C3635+9</f>
        <v>41115</v>
      </c>
      <c r="W3635">
        <f>IF(D3635=' Pivot Tables'!$A$4,1,0)</f>
        <v>0</v>
      </c>
      <c r="X3635">
        <f>IF(AND(LEFT(D3635,4)+1=LEFT(' Pivot Tables'!$A$4,4)+0,RIGHT(LEFT(D3635,7),2)=RIGHT(LEFT(' Pivot Tables'!$A$4,7),2)),1,0)</f>
        <v>0</v>
      </c>
      <c r="Y3635" s="6">
        <f>1/COUNTIF(Таблица1[Order ID],Таблица1[[#This Row],[Order ID]])</f>
        <v>0.33333333333333331</v>
      </c>
      <c r="Z3635" s="9">
        <f>1/COUNTIFS(Таблица1[Customer Name],Таблица1[[#This Row],[Customer Name]],Таблица1[Order-Year-Month],Таблица1[[#This Row],[Order-Year-Month]])</f>
        <v>0.33333333333333331</v>
      </c>
    </row>
    <row r="3636" spans="1:26" x14ac:dyDescent="0.2">
      <c r="A3636" s="6">
        <v>3462</v>
      </c>
      <c r="B3636" s="7">
        <v>24647</v>
      </c>
      <c r="C3636" s="8">
        <f>DATE(2012,12,31)-1306</f>
        <v>39968</v>
      </c>
      <c r="D3636" s="8" t="str">
        <f t="shared" si="69"/>
        <v>2009-06 (июнь 2009)</v>
      </c>
      <c r="E3636" s="9" t="s">
        <v>45</v>
      </c>
      <c r="F3636" s="7">
        <v>3</v>
      </c>
      <c r="G3636" s="7">
        <v>3029.97</v>
      </c>
      <c r="H3636" s="7">
        <v>0</v>
      </c>
      <c r="I3636" s="9" t="s">
        <v>22</v>
      </c>
      <c r="J3636" s="10">
        <v>-1819.9964999999997</v>
      </c>
      <c r="K3636" s="11">
        <v>999.99</v>
      </c>
      <c r="L3636" s="11">
        <v>13.99</v>
      </c>
      <c r="M3636" s="9" t="s">
        <v>1694</v>
      </c>
      <c r="N3636" s="6" t="s">
        <v>1595</v>
      </c>
      <c r="O3636" s="6" t="s">
        <v>1595</v>
      </c>
      <c r="P3636" s="9" t="s">
        <v>41</v>
      </c>
      <c r="Q3636" s="9" t="s">
        <v>42</v>
      </c>
      <c r="R3636" s="9" t="s">
        <v>210</v>
      </c>
      <c r="S3636" s="7" t="s">
        <v>1426</v>
      </c>
      <c r="T3636" s="9" t="s">
        <v>48</v>
      </c>
      <c r="U3636" s="7">
        <v>0.36</v>
      </c>
      <c r="V3636" s="12">
        <f>C3636+2</f>
        <v>39970</v>
      </c>
      <c r="W3636">
        <f>IF(D3636=' Pivot Tables'!$A$4,1,0)</f>
        <v>0</v>
      </c>
      <c r="X3636">
        <f>IF(AND(LEFT(D3636,4)+1=LEFT(' Pivot Tables'!$A$4,4)+0,RIGHT(LEFT(D3636,7),2)=RIGHT(LEFT(' Pivot Tables'!$A$4,7),2)),1,0)</f>
        <v>0</v>
      </c>
      <c r="Y3636" s="6">
        <f>1/COUNTIF(Таблица1[Order ID],Таблица1[[#This Row],[Order ID]])</f>
        <v>0.5</v>
      </c>
      <c r="Z3636" s="9">
        <f>1/COUNTIFS(Таблица1[Customer Name],Таблица1[[#This Row],[Customer Name]],Таблица1[Order-Year-Month],Таблица1[[#This Row],[Order-Year-Month]])</f>
        <v>0.5</v>
      </c>
    </row>
    <row r="3637" spans="1:26" x14ac:dyDescent="0.2">
      <c r="A3637" s="6">
        <v>3463</v>
      </c>
      <c r="B3637" s="7">
        <v>24647</v>
      </c>
      <c r="C3637" s="8">
        <f>DATE(2012,12,31)-1306</f>
        <v>39968</v>
      </c>
      <c r="D3637" s="8" t="str">
        <f t="shared" si="69"/>
        <v>2009-06 (июнь 2009)</v>
      </c>
      <c r="E3637" s="9" t="s">
        <v>45</v>
      </c>
      <c r="F3637" s="7">
        <v>34</v>
      </c>
      <c r="G3637" s="7">
        <v>241.04</v>
      </c>
      <c r="H3637" s="7">
        <v>0.05</v>
      </c>
      <c r="I3637" s="9" t="s">
        <v>56</v>
      </c>
      <c r="J3637" s="10">
        <v>-28.2</v>
      </c>
      <c r="K3637" s="11">
        <v>6.48</v>
      </c>
      <c r="L3637" s="11">
        <v>5.14</v>
      </c>
      <c r="M3637" s="9" t="s">
        <v>1694</v>
      </c>
      <c r="N3637" s="6" t="s">
        <v>1595</v>
      </c>
      <c r="O3637" s="6" t="s">
        <v>1595</v>
      </c>
      <c r="P3637" s="9" t="s">
        <v>41</v>
      </c>
      <c r="Q3637" s="9" t="s">
        <v>26</v>
      </c>
      <c r="R3637" s="9" t="s">
        <v>61</v>
      </c>
      <c r="S3637" s="7" t="s">
        <v>1184</v>
      </c>
      <c r="T3637" s="9" t="s">
        <v>39</v>
      </c>
      <c r="U3637" s="7">
        <v>0.37</v>
      </c>
      <c r="V3637" s="12">
        <f>C3637+1</f>
        <v>39969</v>
      </c>
      <c r="W3637">
        <f>IF(D3637=' Pivot Tables'!$A$4,1,0)</f>
        <v>0</v>
      </c>
      <c r="X3637">
        <f>IF(AND(LEFT(D3637,4)+1=LEFT(' Pivot Tables'!$A$4,4)+0,RIGHT(LEFT(D3637,7),2)=RIGHT(LEFT(' Pivot Tables'!$A$4,7),2)),1,0)</f>
        <v>0</v>
      </c>
      <c r="Y3637" s="6">
        <f>1/COUNTIF(Таблица1[Order ID],Таблица1[[#This Row],[Order ID]])</f>
        <v>0.5</v>
      </c>
      <c r="Z3637" s="9">
        <f>1/COUNTIFS(Таблица1[Customer Name],Таблица1[[#This Row],[Customer Name]],Таблица1[Order-Year-Month],Таблица1[[#This Row],[Order-Year-Month]])</f>
        <v>0.5</v>
      </c>
    </row>
    <row r="3638" spans="1:26" x14ac:dyDescent="0.2">
      <c r="A3638" s="6">
        <v>3464</v>
      </c>
      <c r="B3638" s="7">
        <v>24672</v>
      </c>
      <c r="C3638" s="8">
        <f>DATE(2012,12,31)-289</f>
        <v>40985</v>
      </c>
      <c r="D3638" s="8" t="str">
        <f t="shared" si="69"/>
        <v>2012-03 (март 2012)</v>
      </c>
      <c r="E3638" s="9" t="s">
        <v>63</v>
      </c>
      <c r="F3638" s="7">
        <v>5</v>
      </c>
      <c r="G3638" s="7">
        <v>44.17</v>
      </c>
      <c r="H3638" s="7">
        <v>0.02</v>
      </c>
      <c r="I3638" s="9" t="s">
        <v>22</v>
      </c>
      <c r="J3638" s="10">
        <v>23.41</v>
      </c>
      <c r="K3638" s="11">
        <v>7.59</v>
      </c>
      <c r="L3638" s="11">
        <v>4</v>
      </c>
      <c r="M3638" s="9" t="s">
        <v>1680</v>
      </c>
      <c r="N3638" s="6" t="s">
        <v>1595</v>
      </c>
      <c r="O3638" s="6" t="s">
        <v>1595</v>
      </c>
      <c r="P3638" s="9" t="s">
        <v>33</v>
      </c>
      <c r="Q3638" s="9" t="s">
        <v>49</v>
      </c>
      <c r="R3638" s="9" t="s">
        <v>50</v>
      </c>
      <c r="S3638" s="7" t="s">
        <v>504</v>
      </c>
      <c r="T3638" s="9" t="s">
        <v>68</v>
      </c>
      <c r="U3638" s="7">
        <v>0.42</v>
      </c>
      <c r="V3638" s="12">
        <f>C3638+3</f>
        <v>40988</v>
      </c>
      <c r="W3638">
        <f>IF(D3638=' Pivot Tables'!$A$4,1,0)</f>
        <v>0</v>
      </c>
      <c r="X3638">
        <f>IF(AND(LEFT(D3638,4)+1=LEFT(' Pivot Tables'!$A$4,4)+0,RIGHT(LEFT(D3638,7),2)=RIGHT(LEFT(' Pivot Tables'!$A$4,7),2)),1,0)</f>
        <v>0</v>
      </c>
      <c r="Y3638" s="6">
        <f>1/COUNTIF(Таблица1[Order ID],Таблица1[[#This Row],[Order ID]])</f>
        <v>0.33333333333333331</v>
      </c>
      <c r="Z3638" s="9">
        <f>1/COUNTIFS(Таблица1[Customer Name],Таблица1[[#This Row],[Customer Name]],Таблица1[Order-Year-Month],Таблица1[[#This Row],[Order-Year-Month]])</f>
        <v>0.33333333333333331</v>
      </c>
    </row>
    <row r="3639" spans="1:26" x14ac:dyDescent="0.2">
      <c r="A3639" s="6">
        <v>3465</v>
      </c>
      <c r="B3639" s="7">
        <v>24672</v>
      </c>
      <c r="C3639" s="8">
        <f>DATE(2012,12,31)-289</f>
        <v>40985</v>
      </c>
      <c r="D3639" s="8" t="str">
        <f t="shared" si="69"/>
        <v>2012-03 (март 2012)</v>
      </c>
      <c r="E3639" s="9" t="s">
        <v>63</v>
      </c>
      <c r="F3639" s="7">
        <v>37</v>
      </c>
      <c r="G3639" s="7">
        <v>192.92</v>
      </c>
      <c r="H3639" s="7">
        <v>0.09</v>
      </c>
      <c r="I3639" s="9" t="s">
        <v>22</v>
      </c>
      <c r="J3639" s="10">
        <v>74.58</v>
      </c>
      <c r="K3639" s="11">
        <v>5.43</v>
      </c>
      <c r="L3639" s="11">
        <v>0.95</v>
      </c>
      <c r="M3639" s="9" t="s">
        <v>1680</v>
      </c>
      <c r="N3639" s="6" t="s">
        <v>1595</v>
      </c>
      <c r="O3639" s="6" t="s">
        <v>1595</v>
      </c>
      <c r="P3639" s="9" t="s">
        <v>33</v>
      </c>
      <c r="Q3639" s="9" t="s">
        <v>26</v>
      </c>
      <c r="R3639" s="9" t="s">
        <v>61</v>
      </c>
      <c r="S3639" s="7" t="s">
        <v>588</v>
      </c>
      <c r="T3639" s="9" t="s">
        <v>68</v>
      </c>
      <c r="U3639" s="7">
        <v>0.36</v>
      </c>
      <c r="V3639" s="12">
        <f>C3639+2</f>
        <v>40987</v>
      </c>
      <c r="W3639">
        <f>IF(D3639=' Pivot Tables'!$A$4,1,0)</f>
        <v>0</v>
      </c>
      <c r="X3639">
        <f>IF(AND(LEFT(D3639,4)+1=LEFT(' Pivot Tables'!$A$4,4)+0,RIGHT(LEFT(D3639,7),2)=RIGHT(LEFT(' Pivot Tables'!$A$4,7),2)),1,0)</f>
        <v>0</v>
      </c>
      <c r="Y3639" s="6">
        <f>1/COUNTIF(Таблица1[Order ID],Таблица1[[#This Row],[Order ID]])</f>
        <v>0.33333333333333331</v>
      </c>
      <c r="Z3639" s="9">
        <f>1/COUNTIFS(Таблица1[Customer Name],Таблица1[[#This Row],[Customer Name]],Таблица1[Order-Year-Month],Таблица1[[#This Row],[Order-Year-Month]])</f>
        <v>0.33333333333333331</v>
      </c>
    </row>
    <row r="3640" spans="1:26" x14ac:dyDescent="0.2">
      <c r="A3640" s="6">
        <v>3466</v>
      </c>
      <c r="B3640" s="7">
        <v>24672</v>
      </c>
      <c r="C3640" s="8">
        <f>DATE(2012,12,31)-289</f>
        <v>40985</v>
      </c>
      <c r="D3640" s="8" t="str">
        <f t="shared" si="69"/>
        <v>2012-03 (март 2012)</v>
      </c>
      <c r="E3640" s="9" t="s">
        <v>63</v>
      </c>
      <c r="F3640" s="7">
        <v>37</v>
      </c>
      <c r="G3640" s="7">
        <v>10532.94</v>
      </c>
      <c r="H3640" s="7">
        <v>0.06</v>
      </c>
      <c r="I3640" s="9" t="s">
        <v>22</v>
      </c>
      <c r="J3640" s="10">
        <v>406.37</v>
      </c>
      <c r="K3640" s="11">
        <v>279.48</v>
      </c>
      <c r="L3640" s="11">
        <v>35</v>
      </c>
      <c r="M3640" s="9" t="s">
        <v>1680</v>
      </c>
      <c r="N3640" s="6" t="s">
        <v>1595</v>
      </c>
      <c r="O3640" s="6" t="s">
        <v>1595</v>
      </c>
      <c r="P3640" s="9" t="s">
        <v>33</v>
      </c>
      <c r="Q3640" s="9" t="s">
        <v>26</v>
      </c>
      <c r="R3640" s="9" t="s">
        <v>27</v>
      </c>
      <c r="S3640" s="7" t="s">
        <v>180</v>
      </c>
      <c r="T3640" s="9" t="s">
        <v>29</v>
      </c>
      <c r="U3640" s="7">
        <v>0.8</v>
      </c>
      <c r="V3640" s="12">
        <f>C3640+2</f>
        <v>40987</v>
      </c>
      <c r="W3640">
        <f>IF(D3640=' Pivot Tables'!$A$4,1,0)</f>
        <v>0</v>
      </c>
      <c r="X3640">
        <f>IF(AND(LEFT(D3640,4)+1=LEFT(' Pivot Tables'!$A$4,4)+0,RIGHT(LEFT(D3640,7),2)=RIGHT(LEFT(' Pivot Tables'!$A$4,7),2)),1,0)</f>
        <v>0</v>
      </c>
      <c r="Y3640" s="6">
        <f>1/COUNTIF(Таблица1[Order ID],Таблица1[[#This Row],[Order ID]])</f>
        <v>0.33333333333333331</v>
      </c>
      <c r="Z3640" s="9">
        <f>1/COUNTIFS(Таблица1[Customer Name],Таблица1[[#This Row],[Customer Name]],Таблица1[Order-Year-Month],Таблица1[[#This Row],[Order-Year-Month]])</f>
        <v>0.33333333333333331</v>
      </c>
    </row>
    <row r="3641" spans="1:26" x14ac:dyDescent="0.2">
      <c r="A3641" s="6">
        <v>3476</v>
      </c>
      <c r="B3641" s="7">
        <v>24740</v>
      </c>
      <c r="C3641" s="8">
        <f>DATE(2012,12,31)-1086</f>
        <v>40188</v>
      </c>
      <c r="D3641" s="8" t="str">
        <f t="shared" si="69"/>
        <v>2010-01 (январь 2010)</v>
      </c>
      <c r="E3641" s="9" t="s">
        <v>63</v>
      </c>
      <c r="F3641" s="7">
        <v>11</v>
      </c>
      <c r="G3641" s="7">
        <v>1091.47</v>
      </c>
      <c r="H3641" s="7">
        <v>0.04</v>
      </c>
      <c r="I3641" s="9" t="s">
        <v>22</v>
      </c>
      <c r="J3641" s="10">
        <v>160.47999999999999</v>
      </c>
      <c r="K3641" s="11">
        <v>92.23</v>
      </c>
      <c r="L3641" s="11">
        <v>39.61</v>
      </c>
      <c r="M3641" s="9" t="s">
        <v>657</v>
      </c>
      <c r="N3641" s="6" t="s">
        <v>1595</v>
      </c>
      <c r="O3641" s="6" t="s">
        <v>1595</v>
      </c>
      <c r="P3641" s="9" t="s">
        <v>41</v>
      </c>
      <c r="Q3641" s="9" t="s">
        <v>49</v>
      </c>
      <c r="R3641" s="9" t="s">
        <v>50</v>
      </c>
      <c r="S3641" s="7" t="s">
        <v>145</v>
      </c>
      <c r="T3641" s="9" t="s">
        <v>48</v>
      </c>
      <c r="U3641" s="7">
        <v>0.67</v>
      </c>
      <c r="V3641" s="12">
        <f>C3641+1</f>
        <v>40189</v>
      </c>
      <c r="W3641">
        <f>IF(D3641=' Pivot Tables'!$A$4,1,0)</f>
        <v>1</v>
      </c>
      <c r="X3641">
        <f>IF(AND(LEFT(D3641,4)+1=LEFT(' Pivot Tables'!$A$4,4)+0,RIGHT(LEFT(D3641,7),2)=RIGHT(LEFT(' Pivot Tables'!$A$4,7),2)),1,0)</f>
        <v>0</v>
      </c>
      <c r="Y3641" s="6">
        <f>1/COUNTIF(Таблица1[Order ID],Таблица1[[#This Row],[Order ID]])</f>
        <v>0.5</v>
      </c>
      <c r="Z3641" s="9">
        <f>1/COUNTIFS(Таблица1[Customer Name],Таблица1[[#This Row],[Customer Name]],Таблица1[Order-Year-Month],Таблица1[[#This Row],[Order-Year-Month]])</f>
        <v>0.5</v>
      </c>
    </row>
    <row r="3642" spans="1:26" x14ac:dyDescent="0.2">
      <c r="A3642" s="6">
        <v>3477</v>
      </c>
      <c r="B3642" s="7">
        <v>24740</v>
      </c>
      <c r="C3642" s="8">
        <f>DATE(2012,12,31)-1086</f>
        <v>40188</v>
      </c>
      <c r="D3642" s="8" t="str">
        <f t="shared" si="69"/>
        <v>2010-01 (январь 2010)</v>
      </c>
      <c r="E3642" s="9" t="s">
        <v>63</v>
      </c>
      <c r="F3642" s="7">
        <v>35</v>
      </c>
      <c r="G3642" s="7">
        <v>112.59</v>
      </c>
      <c r="H3642" s="7">
        <v>0.09</v>
      </c>
      <c r="I3642" s="9" t="s">
        <v>56</v>
      </c>
      <c r="J3642" s="10">
        <v>-126.7</v>
      </c>
      <c r="K3642" s="11">
        <v>3.28</v>
      </c>
      <c r="L3642" s="11">
        <v>5</v>
      </c>
      <c r="M3642" s="9" t="s">
        <v>657</v>
      </c>
      <c r="N3642" s="6" t="s">
        <v>1595</v>
      </c>
      <c r="O3642" s="6" t="s">
        <v>1595</v>
      </c>
      <c r="P3642" s="9" t="s">
        <v>41</v>
      </c>
      <c r="Q3642" s="9" t="s">
        <v>26</v>
      </c>
      <c r="R3642" s="9" t="s">
        <v>95</v>
      </c>
      <c r="S3642" s="7" t="s">
        <v>878</v>
      </c>
      <c r="T3642" s="9" t="s">
        <v>68</v>
      </c>
      <c r="U3642" s="7">
        <v>0.56000000000000005</v>
      </c>
      <c r="V3642" s="12">
        <f>C3642+0</f>
        <v>40188</v>
      </c>
      <c r="W3642">
        <f>IF(D3642=' Pivot Tables'!$A$4,1,0)</f>
        <v>1</v>
      </c>
      <c r="X3642">
        <f>IF(AND(LEFT(D3642,4)+1=LEFT(' Pivot Tables'!$A$4,4)+0,RIGHT(LEFT(D3642,7),2)=RIGHT(LEFT(' Pivot Tables'!$A$4,7),2)),1,0)</f>
        <v>0</v>
      </c>
      <c r="Y3642" s="6">
        <f>1/COUNTIF(Таблица1[Order ID],Таблица1[[#This Row],[Order ID]])</f>
        <v>0.5</v>
      </c>
      <c r="Z3642" s="9">
        <f>1/COUNTIFS(Таблица1[Customer Name],Таблица1[[#This Row],[Customer Name]],Таблица1[Order-Year-Month],Таблица1[[#This Row],[Order-Year-Month]])</f>
        <v>0.5</v>
      </c>
    </row>
    <row r="3643" spans="1:26" x14ac:dyDescent="0.2">
      <c r="A3643" s="6">
        <v>3578</v>
      </c>
      <c r="B3643" s="7">
        <v>25479</v>
      </c>
      <c r="C3643" s="8">
        <f>DATE(2012,12,31)-613</f>
        <v>40661</v>
      </c>
      <c r="D3643" s="8" t="str">
        <f t="shared" si="69"/>
        <v>2011-04 (апрель 2011)</v>
      </c>
      <c r="E3643" s="9" t="s">
        <v>78</v>
      </c>
      <c r="F3643" s="7">
        <v>3</v>
      </c>
      <c r="G3643" s="7">
        <v>210.5025</v>
      </c>
      <c r="H3643" s="7">
        <v>0.04</v>
      </c>
      <c r="I3643" s="9" t="s">
        <v>22</v>
      </c>
      <c r="J3643" s="10">
        <v>-315.32600000000002</v>
      </c>
      <c r="K3643" s="11">
        <v>85.99</v>
      </c>
      <c r="L3643" s="11">
        <v>1.25</v>
      </c>
      <c r="M3643" s="9" t="s">
        <v>969</v>
      </c>
      <c r="N3643" s="6" t="s">
        <v>1595</v>
      </c>
      <c r="O3643" s="6" t="s">
        <v>1595</v>
      </c>
      <c r="P3643" s="9" t="s">
        <v>41</v>
      </c>
      <c r="Q3643" s="9" t="s">
        <v>42</v>
      </c>
      <c r="R3643" s="9" t="s">
        <v>43</v>
      </c>
      <c r="S3643" s="7" t="s">
        <v>438</v>
      </c>
      <c r="T3643" s="9" t="s">
        <v>52</v>
      </c>
      <c r="U3643" s="7">
        <v>0.39</v>
      </c>
      <c r="V3643" s="12">
        <f>C3643+0</f>
        <v>40661</v>
      </c>
      <c r="W3643">
        <f>IF(D3643=' Pivot Tables'!$A$4,1,0)</f>
        <v>0</v>
      </c>
      <c r="X3643">
        <f>IF(AND(LEFT(D3643,4)+1=LEFT(' Pivot Tables'!$A$4,4)+0,RIGHT(LEFT(D3643,7),2)=RIGHT(LEFT(' Pivot Tables'!$A$4,7),2)),1,0)</f>
        <v>0</v>
      </c>
      <c r="Y3643" s="6">
        <f>1/COUNTIF(Таблица1[Order ID],Таблица1[[#This Row],[Order ID]])</f>
        <v>1</v>
      </c>
      <c r="Z3643" s="9">
        <f>1/COUNTIFS(Таблица1[Customer Name],Таблица1[[#This Row],[Customer Name]],Таблица1[Order-Year-Month],Таблица1[[#This Row],[Order-Year-Month]])</f>
        <v>1</v>
      </c>
    </row>
    <row r="3644" spans="1:26" x14ac:dyDescent="0.2">
      <c r="A3644" s="6">
        <v>3635</v>
      </c>
      <c r="B3644" s="7">
        <v>25985</v>
      </c>
      <c r="C3644" s="8">
        <f>DATE(2012,12,31)-120</f>
        <v>41154</v>
      </c>
      <c r="D3644" s="8" t="str">
        <f t="shared" si="69"/>
        <v>2012-09 (сентябрь 2012)</v>
      </c>
      <c r="E3644" s="9" t="s">
        <v>21</v>
      </c>
      <c r="F3644" s="7">
        <v>50</v>
      </c>
      <c r="G3644" s="7">
        <v>230.63</v>
      </c>
      <c r="H3644" s="7">
        <v>0.1</v>
      </c>
      <c r="I3644" s="9" t="s">
        <v>22</v>
      </c>
      <c r="J3644" s="10">
        <v>-39.71</v>
      </c>
      <c r="K3644" s="11">
        <v>4.91</v>
      </c>
      <c r="L3644" s="11">
        <v>3.05</v>
      </c>
      <c r="M3644" s="9" t="s">
        <v>1701</v>
      </c>
      <c r="N3644" s="6" t="s">
        <v>1595</v>
      </c>
      <c r="O3644" s="6" t="s">
        <v>1595</v>
      </c>
      <c r="P3644" s="9" t="s">
        <v>25</v>
      </c>
      <c r="Q3644" s="9" t="s">
        <v>49</v>
      </c>
      <c r="R3644" s="9" t="s">
        <v>50</v>
      </c>
      <c r="S3644" s="7" t="s">
        <v>1353</v>
      </c>
      <c r="T3644" s="9" t="s">
        <v>52</v>
      </c>
      <c r="U3644" s="7">
        <v>0.52</v>
      </c>
      <c r="V3644" s="12">
        <f>C3644+2</f>
        <v>41156</v>
      </c>
      <c r="W3644">
        <f>IF(D3644=' Pivot Tables'!$A$4,1,0)</f>
        <v>0</v>
      </c>
      <c r="X3644">
        <f>IF(AND(LEFT(D3644,4)+1=LEFT(' Pivot Tables'!$A$4,4)+0,RIGHT(LEFT(D3644,7),2)=RIGHT(LEFT(' Pivot Tables'!$A$4,7),2)),1,0)</f>
        <v>0</v>
      </c>
      <c r="Y3644" s="6">
        <f>1/COUNTIF(Таблица1[Order ID],Таблица1[[#This Row],[Order ID]])</f>
        <v>0.5</v>
      </c>
      <c r="Z3644" s="9">
        <f>1/COUNTIFS(Таблица1[Customer Name],Таблица1[[#This Row],[Customer Name]],Таблица1[Order-Year-Month],Таблица1[[#This Row],[Order-Year-Month]])</f>
        <v>0.5</v>
      </c>
    </row>
    <row r="3645" spans="1:26" x14ac:dyDescent="0.2">
      <c r="A3645" s="6">
        <v>3636</v>
      </c>
      <c r="B3645" s="7">
        <v>25985</v>
      </c>
      <c r="C3645" s="8">
        <f>DATE(2012,12,31)-120</f>
        <v>41154</v>
      </c>
      <c r="D3645" s="8" t="str">
        <f t="shared" si="69"/>
        <v>2012-09 (сентябрь 2012)</v>
      </c>
      <c r="E3645" s="9" t="s">
        <v>21</v>
      </c>
      <c r="F3645" s="7">
        <v>22</v>
      </c>
      <c r="G3645" s="7">
        <v>80.790000000000006</v>
      </c>
      <c r="H3645" s="7">
        <v>0.1</v>
      </c>
      <c r="I3645" s="9" t="s">
        <v>22</v>
      </c>
      <c r="J3645" s="10">
        <v>25.18</v>
      </c>
      <c r="K3645" s="11">
        <v>3.78</v>
      </c>
      <c r="L3645" s="11">
        <v>0.71</v>
      </c>
      <c r="M3645" s="9" t="s">
        <v>1701</v>
      </c>
      <c r="N3645" s="6" t="s">
        <v>1595</v>
      </c>
      <c r="O3645" s="6" t="s">
        <v>1595</v>
      </c>
      <c r="P3645" s="9" t="s">
        <v>25</v>
      </c>
      <c r="Q3645" s="9" t="s">
        <v>26</v>
      </c>
      <c r="R3645" s="9" t="s">
        <v>66</v>
      </c>
      <c r="S3645" s="7" t="s">
        <v>419</v>
      </c>
      <c r="T3645" s="9" t="s">
        <v>68</v>
      </c>
      <c r="U3645" s="7">
        <v>0.39</v>
      </c>
      <c r="V3645" s="12">
        <f>C3645+4</f>
        <v>41158</v>
      </c>
      <c r="W3645">
        <f>IF(D3645=' Pivot Tables'!$A$4,1,0)</f>
        <v>0</v>
      </c>
      <c r="X3645">
        <f>IF(AND(LEFT(D3645,4)+1=LEFT(' Pivot Tables'!$A$4,4)+0,RIGHT(LEFT(D3645,7),2)=RIGHT(LEFT(' Pivot Tables'!$A$4,7),2)),1,0)</f>
        <v>0</v>
      </c>
      <c r="Y3645" s="6">
        <f>1/COUNTIF(Таблица1[Order ID],Таблица1[[#This Row],[Order ID]])</f>
        <v>0.5</v>
      </c>
      <c r="Z3645" s="9">
        <f>1/COUNTIFS(Таблица1[Customer Name],Таблица1[[#This Row],[Customer Name]],Таблица1[Order-Year-Month],Таблица1[[#This Row],[Order-Year-Month]])</f>
        <v>0.5</v>
      </c>
    </row>
    <row r="3646" spans="1:26" x14ac:dyDescent="0.2">
      <c r="A3646" s="6">
        <v>3683</v>
      </c>
      <c r="B3646" s="7">
        <v>26341</v>
      </c>
      <c r="C3646" s="8">
        <f>DATE(2012,12,31)-887</f>
        <v>40387</v>
      </c>
      <c r="D3646" s="8" t="str">
        <f t="shared" si="69"/>
        <v>2010-07 (июль 2010)</v>
      </c>
      <c r="E3646" s="9" t="s">
        <v>78</v>
      </c>
      <c r="F3646" s="7">
        <v>8</v>
      </c>
      <c r="G3646" s="7">
        <v>1095.27</v>
      </c>
      <c r="H3646" s="7">
        <v>0.03</v>
      </c>
      <c r="I3646" s="9" t="s">
        <v>31</v>
      </c>
      <c r="J3646" s="10">
        <v>-281.22380000000004</v>
      </c>
      <c r="K3646" s="11">
        <v>124.49</v>
      </c>
      <c r="L3646" s="11">
        <v>51.94</v>
      </c>
      <c r="M3646" s="9" t="s">
        <v>1563</v>
      </c>
      <c r="N3646" s="6" t="s">
        <v>1595</v>
      </c>
      <c r="O3646" s="6" t="s">
        <v>1595</v>
      </c>
      <c r="P3646" s="9" t="s">
        <v>41</v>
      </c>
      <c r="Q3646" s="9" t="s">
        <v>49</v>
      </c>
      <c r="R3646" s="9" t="s">
        <v>83</v>
      </c>
      <c r="S3646" s="7" t="s">
        <v>432</v>
      </c>
      <c r="T3646" s="9" t="s">
        <v>82</v>
      </c>
      <c r="U3646" s="7">
        <v>0.63</v>
      </c>
      <c r="V3646" s="12">
        <f>C3646+2</f>
        <v>40389</v>
      </c>
      <c r="W3646">
        <f>IF(D3646=' Pivot Tables'!$A$4,1,0)</f>
        <v>0</v>
      </c>
      <c r="X3646">
        <f>IF(AND(LEFT(D3646,4)+1=LEFT(' Pivot Tables'!$A$4,4)+0,RIGHT(LEFT(D3646,7),2)=RIGHT(LEFT(' Pivot Tables'!$A$4,7),2)),1,0)</f>
        <v>0</v>
      </c>
      <c r="Y3646" s="6">
        <f>1/COUNTIF(Таблица1[Order ID],Таблица1[[#This Row],[Order ID]])</f>
        <v>1</v>
      </c>
      <c r="Z3646" s="9">
        <f>1/COUNTIFS(Таблица1[Customer Name],Таблица1[[#This Row],[Customer Name]],Таблица1[Order-Year-Month],Таблица1[[#This Row],[Order-Year-Month]])</f>
        <v>1</v>
      </c>
    </row>
    <row r="3647" spans="1:26" x14ac:dyDescent="0.2">
      <c r="A3647" s="6">
        <v>3695</v>
      </c>
      <c r="B3647" s="7">
        <v>26407</v>
      </c>
      <c r="C3647" s="8">
        <f>DATE(2012,12,31)-195</f>
        <v>41079</v>
      </c>
      <c r="D3647" s="8" t="str">
        <f t="shared" si="69"/>
        <v>2012-06 (июнь 2012)</v>
      </c>
      <c r="E3647" s="9" t="s">
        <v>78</v>
      </c>
      <c r="F3647" s="7">
        <v>34</v>
      </c>
      <c r="G3647" s="7">
        <v>9522.1200000000008</v>
      </c>
      <c r="H3647" s="7">
        <v>0.04</v>
      </c>
      <c r="I3647" s="9" t="s">
        <v>22</v>
      </c>
      <c r="J3647" s="10">
        <v>171.3</v>
      </c>
      <c r="K3647" s="11">
        <v>279.48</v>
      </c>
      <c r="L3647" s="11">
        <v>35</v>
      </c>
      <c r="M3647" s="9" t="s">
        <v>1563</v>
      </c>
      <c r="N3647" s="6" t="s">
        <v>1595</v>
      </c>
      <c r="O3647" s="6" t="s">
        <v>1595</v>
      </c>
      <c r="P3647" s="9" t="s">
        <v>60</v>
      </c>
      <c r="Q3647" s="9" t="s">
        <v>26</v>
      </c>
      <c r="R3647" s="9" t="s">
        <v>27</v>
      </c>
      <c r="S3647" s="7" t="s">
        <v>180</v>
      </c>
      <c r="T3647" s="9" t="s">
        <v>29</v>
      </c>
      <c r="U3647" s="7">
        <v>0.8</v>
      </c>
      <c r="V3647" s="12">
        <f>C3647+2</f>
        <v>41081</v>
      </c>
      <c r="W3647">
        <f>IF(D3647=' Pivot Tables'!$A$4,1,0)</f>
        <v>0</v>
      </c>
      <c r="X3647">
        <f>IF(AND(LEFT(D3647,4)+1=LEFT(' Pivot Tables'!$A$4,4)+0,RIGHT(LEFT(D3647,7),2)=RIGHT(LEFT(' Pivot Tables'!$A$4,7),2)),1,0)</f>
        <v>0</v>
      </c>
      <c r="Y3647" s="6">
        <f>1/COUNTIF(Таблица1[Order ID],Таблица1[[#This Row],[Order ID]])</f>
        <v>0.5</v>
      </c>
      <c r="Z3647" s="9">
        <f>1/COUNTIFS(Таблица1[Customer Name],Таблица1[[#This Row],[Customer Name]],Таблица1[Order-Year-Month],Таблица1[[#This Row],[Order-Year-Month]])</f>
        <v>0.5</v>
      </c>
    </row>
    <row r="3648" spans="1:26" x14ac:dyDescent="0.2">
      <c r="A3648" s="6">
        <v>3696</v>
      </c>
      <c r="B3648" s="7">
        <v>26407</v>
      </c>
      <c r="C3648" s="8">
        <f>DATE(2012,12,31)-195</f>
        <v>41079</v>
      </c>
      <c r="D3648" s="8" t="str">
        <f t="shared" si="69"/>
        <v>2012-06 (июнь 2012)</v>
      </c>
      <c r="E3648" s="9" t="s">
        <v>78</v>
      </c>
      <c r="F3648" s="7">
        <v>16</v>
      </c>
      <c r="G3648" s="7">
        <v>1985.6935000000001</v>
      </c>
      <c r="H3648" s="7">
        <v>0.1</v>
      </c>
      <c r="I3648" s="9" t="s">
        <v>22</v>
      </c>
      <c r="J3648" s="10">
        <v>35.649000000000001</v>
      </c>
      <c r="K3648" s="11">
        <v>155.99</v>
      </c>
      <c r="L3648" s="11">
        <v>8.99</v>
      </c>
      <c r="M3648" s="9" t="s">
        <v>1563</v>
      </c>
      <c r="N3648" s="6" t="s">
        <v>1595</v>
      </c>
      <c r="O3648" s="6" t="s">
        <v>1595</v>
      </c>
      <c r="P3648" s="9" t="s">
        <v>60</v>
      </c>
      <c r="Q3648" s="9" t="s">
        <v>42</v>
      </c>
      <c r="R3648" s="9" t="s">
        <v>43</v>
      </c>
      <c r="S3648" s="7" t="s">
        <v>416</v>
      </c>
      <c r="T3648" s="9" t="s">
        <v>39</v>
      </c>
      <c r="U3648" s="7">
        <v>0.55000000000000004</v>
      </c>
      <c r="V3648" s="12">
        <f>C3648+1</f>
        <v>41080</v>
      </c>
      <c r="W3648">
        <f>IF(D3648=' Pivot Tables'!$A$4,1,0)</f>
        <v>0</v>
      </c>
      <c r="X3648">
        <f>IF(AND(LEFT(D3648,4)+1=LEFT(' Pivot Tables'!$A$4,4)+0,RIGHT(LEFT(D3648,7),2)=RIGHT(LEFT(' Pivot Tables'!$A$4,7),2)),1,0)</f>
        <v>0</v>
      </c>
      <c r="Y3648" s="6">
        <f>1/COUNTIF(Таблица1[Order ID],Таблица1[[#This Row],[Order ID]])</f>
        <v>0.5</v>
      </c>
      <c r="Z3648" s="9">
        <f>1/COUNTIFS(Таблица1[Customer Name],Таблица1[[#This Row],[Customer Name]],Таблица1[Order-Year-Month],Таблица1[[#This Row],[Order-Year-Month]])</f>
        <v>0.5</v>
      </c>
    </row>
    <row r="3649" spans="1:26" x14ac:dyDescent="0.2">
      <c r="A3649" s="6">
        <v>3697</v>
      </c>
      <c r="B3649" s="7">
        <v>26432</v>
      </c>
      <c r="C3649" s="8">
        <f>DATE(2012,12,31)-1097</f>
        <v>40177</v>
      </c>
      <c r="D3649" s="8" t="str">
        <f t="shared" si="69"/>
        <v>2009-12 (декабрь 2009)</v>
      </c>
      <c r="E3649" s="9" t="s">
        <v>21</v>
      </c>
      <c r="F3649" s="7">
        <v>37</v>
      </c>
      <c r="G3649" s="7">
        <v>1420.89</v>
      </c>
      <c r="H3649" s="7">
        <v>0.06</v>
      </c>
      <c r="I3649" s="9" t="s">
        <v>22</v>
      </c>
      <c r="J3649" s="10">
        <v>389.67</v>
      </c>
      <c r="K3649" s="11">
        <v>38.06</v>
      </c>
      <c r="L3649" s="11">
        <v>4.5</v>
      </c>
      <c r="M3649" s="9" t="s">
        <v>657</v>
      </c>
      <c r="N3649" s="6" t="s">
        <v>1595</v>
      </c>
      <c r="O3649" s="6" t="s">
        <v>1595</v>
      </c>
      <c r="P3649" s="9" t="s">
        <v>41</v>
      </c>
      <c r="Q3649" s="9" t="s">
        <v>26</v>
      </c>
      <c r="R3649" s="9" t="s">
        <v>34</v>
      </c>
      <c r="S3649" s="7" t="s">
        <v>1389</v>
      </c>
      <c r="T3649" s="9" t="s">
        <v>39</v>
      </c>
      <c r="U3649" s="7">
        <v>0.56000000000000005</v>
      </c>
      <c r="V3649" s="12">
        <f>C3649+7</f>
        <v>40184</v>
      </c>
      <c r="W3649">
        <f>IF(D3649=' Pivot Tables'!$A$4,1,0)</f>
        <v>0</v>
      </c>
      <c r="X3649">
        <f>IF(AND(LEFT(D3649,4)+1=LEFT(' Pivot Tables'!$A$4,4)+0,RIGHT(LEFT(D3649,7),2)=RIGHT(LEFT(' Pivot Tables'!$A$4,7),2)),1,0)</f>
        <v>0</v>
      </c>
      <c r="Y3649" s="6">
        <f>1/COUNTIF(Таблица1[Order ID],Таблица1[[#This Row],[Order ID]])</f>
        <v>0.33333333333333331</v>
      </c>
      <c r="Z3649" s="9">
        <f>1/COUNTIFS(Таблица1[Customer Name],Таблица1[[#This Row],[Customer Name]],Таблица1[Order-Year-Month],Таблица1[[#This Row],[Order-Year-Month]])</f>
        <v>0.33333333333333331</v>
      </c>
    </row>
    <row r="3650" spans="1:26" x14ac:dyDescent="0.2">
      <c r="A3650" s="6">
        <v>3698</v>
      </c>
      <c r="B3650" s="7">
        <v>26432</v>
      </c>
      <c r="C3650" s="8">
        <f>DATE(2012,12,31)-1097</f>
        <v>40177</v>
      </c>
      <c r="D3650" s="8" t="str">
        <f t="shared" si="69"/>
        <v>2009-12 (декабрь 2009)</v>
      </c>
      <c r="E3650" s="9" t="s">
        <v>21</v>
      </c>
      <c r="F3650" s="7">
        <v>48</v>
      </c>
      <c r="G3650" s="7">
        <v>27820.34</v>
      </c>
      <c r="H3650" s="7">
        <v>0.08</v>
      </c>
      <c r="I3650" s="9" t="s">
        <v>22</v>
      </c>
      <c r="J3650" s="10">
        <v>11630.146000000001</v>
      </c>
      <c r="K3650" s="11">
        <v>599.99</v>
      </c>
      <c r="L3650" s="11">
        <v>24.49</v>
      </c>
      <c r="M3650" s="9" t="s">
        <v>657</v>
      </c>
      <c r="N3650" s="6" t="s">
        <v>1595</v>
      </c>
      <c r="O3650" s="6" t="s">
        <v>1595</v>
      </c>
      <c r="P3650" s="9" t="s">
        <v>41</v>
      </c>
      <c r="Q3650" s="9" t="s">
        <v>42</v>
      </c>
      <c r="R3650" s="9" t="s">
        <v>99</v>
      </c>
      <c r="S3650" s="7" t="s">
        <v>1004</v>
      </c>
      <c r="T3650" s="9" t="s">
        <v>29</v>
      </c>
      <c r="U3650" s="7">
        <v>0.37</v>
      </c>
      <c r="V3650" s="12">
        <f>C3650+9</f>
        <v>40186</v>
      </c>
      <c r="W3650">
        <f>IF(D3650=' Pivot Tables'!$A$4,1,0)</f>
        <v>0</v>
      </c>
      <c r="X3650">
        <f>IF(AND(LEFT(D3650,4)+1=LEFT(' Pivot Tables'!$A$4,4)+0,RIGHT(LEFT(D3650,7),2)=RIGHT(LEFT(' Pivot Tables'!$A$4,7),2)),1,0)</f>
        <v>0</v>
      </c>
      <c r="Y3650" s="6">
        <f>1/COUNTIF(Таблица1[Order ID],Таблица1[[#This Row],[Order ID]])</f>
        <v>0.33333333333333331</v>
      </c>
      <c r="Z3650" s="9">
        <f>1/COUNTIFS(Таблица1[Customer Name],Таблица1[[#This Row],[Customer Name]],Таблица1[Order-Year-Month],Таблица1[[#This Row],[Order-Year-Month]])</f>
        <v>0.33333333333333331</v>
      </c>
    </row>
    <row r="3651" spans="1:26" x14ac:dyDescent="0.2">
      <c r="A3651" s="6">
        <v>3699</v>
      </c>
      <c r="B3651" s="7">
        <v>26432</v>
      </c>
      <c r="C3651" s="8">
        <f>DATE(2012,12,31)-1097</f>
        <v>40177</v>
      </c>
      <c r="D3651" s="8" t="str">
        <f t="shared" ref="D3651:D3714" si="70">TEXT(C3651,"гггг-ММ (ММММ гггг)")</f>
        <v>2009-12 (декабрь 2009)</v>
      </c>
      <c r="E3651" s="9" t="s">
        <v>21</v>
      </c>
      <c r="F3651" s="7">
        <v>11</v>
      </c>
      <c r="G3651" s="7">
        <v>45.18</v>
      </c>
      <c r="H3651" s="7">
        <v>0.1</v>
      </c>
      <c r="I3651" s="9" t="s">
        <v>56</v>
      </c>
      <c r="J3651" s="10">
        <v>-10.77</v>
      </c>
      <c r="K3651" s="11">
        <v>3.98</v>
      </c>
      <c r="L3651" s="11">
        <v>2.97</v>
      </c>
      <c r="M3651" s="9" t="s">
        <v>657</v>
      </c>
      <c r="N3651" s="6" t="s">
        <v>1595</v>
      </c>
      <c r="O3651" s="6" t="s">
        <v>1595</v>
      </c>
      <c r="P3651" s="9" t="s">
        <v>41</v>
      </c>
      <c r="Q3651" s="9" t="s">
        <v>26</v>
      </c>
      <c r="R3651" s="9" t="s">
        <v>61</v>
      </c>
      <c r="S3651" s="7" t="s">
        <v>134</v>
      </c>
      <c r="T3651" s="9" t="s">
        <v>68</v>
      </c>
      <c r="U3651" s="7">
        <v>0.35</v>
      </c>
      <c r="V3651" s="12">
        <f>C3651+5</f>
        <v>40182</v>
      </c>
      <c r="W3651">
        <f>IF(D3651=' Pivot Tables'!$A$4,1,0)</f>
        <v>0</v>
      </c>
      <c r="X3651">
        <f>IF(AND(LEFT(D3651,4)+1=LEFT(' Pivot Tables'!$A$4,4)+0,RIGHT(LEFT(D3651,7),2)=RIGHT(LEFT(' Pivot Tables'!$A$4,7),2)),1,0)</f>
        <v>0</v>
      </c>
      <c r="Y3651" s="6">
        <f>1/COUNTIF(Таблица1[Order ID],Таблица1[[#This Row],[Order ID]])</f>
        <v>0.33333333333333331</v>
      </c>
      <c r="Z3651" s="9">
        <f>1/COUNTIFS(Таблица1[Customer Name],Таблица1[[#This Row],[Customer Name]],Таблица1[Order-Year-Month],Таблица1[[#This Row],[Order-Year-Month]])</f>
        <v>0.33333333333333331</v>
      </c>
    </row>
    <row r="3652" spans="1:26" x14ac:dyDescent="0.2">
      <c r="A3652" s="6">
        <v>3726</v>
      </c>
      <c r="B3652" s="7">
        <v>26630</v>
      </c>
      <c r="C3652" s="8">
        <f>DATE(2012,12,31)-765</f>
        <v>40509</v>
      </c>
      <c r="D3652" s="8" t="str">
        <f t="shared" si="70"/>
        <v>2010-11 (ноябрь 2010)</v>
      </c>
      <c r="E3652" s="9" t="s">
        <v>30</v>
      </c>
      <c r="F3652" s="7">
        <v>9</v>
      </c>
      <c r="G3652" s="7">
        <v>65.67</v>
      </c>
      <c r="H3652" s="7">
        <v>0.02</v>
      </c>
      <c r="I3652" s="9" t="s">
        <v>22</v>
      </c>
      <c r="J3652" s="10">
        <v>-35.200000000000003</v>
      </c>
      <c r="K3652" s="11">
        <v>6.48</v>
      </c>
      <c r="L3652" s="11">
        <v>7.37</v>
      </c>
      <c r="M3652" s="9" t="s">
        <v>657</v>
      </c>
      <c r="N3652" s="6" t="s">
        <v>1595</v>
      </c>
      <c r="O3652" s="6" t="s">
        <v>1595</v>
      </c>
      <c r="P3652" s="9" t="s">
        <v>41</v>
      </c>
      <c r="Q3652" s="9" t="s">
        <v>26</v>
      </c>
      <c r="R3652" s="9" t="s">
        <v>61</v>
      </c>
      <c r="S3652" s="7" t="s">
        <v>859</v>
      </c>
      <c r="T3652" s="9" t="s">
        <v>39</v>
      </c>
      <c r="U3652" s="7">
        <v>0.37</v>
      </c>
      <c r="V3652" s="12">
        <f>C3652+2</f>
        <v>40511</v>
      </c>
      <c r="W3652">
        <f>IF(D3652=' Pivot Tables'!$A$4,1,0)</f>
        <v>0</v>
      </c>
      <c r="X3652">
        <f>IF(AND(LEFT(D3652,4)+1=LEFT(' Pivot Tables'!$A$4,4)+0,RIGHT(LEFT(D3652,7),2)=RIGHT(LEFT(' Pivot Tables'!$A$4,7),2)),1,0)</f>
        <v>0</v>
      </c>
      <c r="Y3652" s="6">
        <f>1/COUNTIF(Таблица1[Order ID],Таблица1[[#This Row],[Order ID]])</f>
        <v>1</v>
      </c>
      <c r="Z3652" s="9">
        <f>1/COUNTIFS(Таблица1[Customer Name],Таблица1[[#This Row],[Customer Name]],Таблица1[Order-Year-Month],Таблица1[[#This Row],[Order-Year-Month]])</f>
        <v>1</v>
      </c>
    </row>
    <row r="3653" spans="1:26" x14ac:dyDescent="0.2">
      <c r="A3653" s="6">
        <v>3730</v>
      </c>
      <c r="B3653" s="7">
        <v>26660</v>
      </c>
      <c r="C3653" s="8">
        <f>DATE(2012,12,31)-288</f>
        <v>40986</v>
      </c>
      <c r="D3653" s="8" t="str">
        <f t="shared" si="70"/>
        <v>2012-03 (март 2012)</v>
      </c>
      <c r="E3653" s="9" t="s">
        <v>63</v>
      </c>
      <c r="F3653" s="7">
        <v>1</v>
      </c>
      <c r="G3653" s="7">
        <v>10.23</v>
      </c>
      <c r="H3653" s="7">
        <v>0.1</v>
      </c>
      <c r="I3653" s="9" t="s">
        <v>22</v>
      </c>
      <c r="J3653" s="10">
        <v>-4.22</v>
      </c>
      <c r="K3653" s="11">
        <v>8.9499999999999993</v>
      </c>
      <c r="L3653" s="11">
        <v>2.0099999999999998</v>
      </c>
      <c r="M3653" s="9" t="s">
        <v>1695</v>
      </c>
      <c r="N3653" s="6" t="s">
        <v>1595</v>
      </c>
      <c r="O3653" s="6" t="s">
        <v>1595</v>
      </c>
      <c r="P3653" s="9" t="s">
        <v>60</v>
      </c>
      <c r="Q3653" s="9" t="s">
        <v>26</v>
      </c>
      <c r="R3653" s="9" t="s">
        <v>61</v>
      </c>
      <c r="S3653" s="7" t="s">
        <v>640</v>
      </c>
      <c r="T3653" s="9" t="s">
        <v>68</v>
      </c>
      <c r="U3653" s="7">
        <v>0.39</v>
      </c>
      <c r="V3653" s="12">
        <f>C3653+0</f>
        <v>40986</v>
      </c>
      <c r="W3653">
        <f>IF(D3653=' Pivot Tables'!$A$4,1,0)</f>
        <v>0</v>
      </c>
      <c r="X3653">
        <f>IF(AND(LEFT(D3653,4)+1=LEFT(' Pivot Tables'!$A$4,4)+0,RIGHT(LEFT(D3653,7),2)=RIGHT(LEFT(' Pivot Tables'!$A$4,7),2)),1,0)</f>
        <v>0</v>
      </c>
      <c r="Y3653" s="6">
        <f>1/COUNTIF(Таблица1[Order ID],Таблица1[[#This Row],[Order ID]])</f>
        <v>1</v>
      </c>
      <c r="Z3653" s="9">
        <f>1/COUNTIFS(Таблица1[Customer Name],Таблица1[[#This Row],[Customer Name]],Таблица1[Order-Year-Month],Таблица1[[#This Row],[Order-Year-Month]])</f>
        <v>0.5</v>
      </c>
    </row>
    <row r="3654" spans="1:26" x14ac:dyDescent="0.2">
      <c r="A3654" s="6">
        <v>3754</v>
      </c>
      <c r="B3654" s="7">
        <v>26818</v>
      </c>
      <c r="C3654" s="8">
        <f>DATE(2012,12,31)-358</f>
        <v>40916</v>
      </c>
      <c r="D3654" s="8" t="str">
        <f t="shared" si="70"/>
        <v>2012-01 (январь 2012)</v>
      </c>
      <c r="E3654" s="9" t="s">
        <v>45</v>
      </c>
      <c r="F3654" s="7">
        <v>23</v>
      </c>
      <c r="G3654" s="7">
        <v>202.84</v>
      </c>
      <c r="H3654" s="7">
        <v>0.05</v>
      </c>
      <c r="I3654" s="9" t="s">
        <v>22</v>
      </c>
      <c r="J3654" s="10">
        <v>-19.481000000000002</v>
      </c>
      <c r="K3654" s="11">
        <v>8.85</v>
      </c>
      <c r="L3654" s="11">
        <v>5.6</v>
      </c>
      <c r="M3654" s="9" t="s">
        <v>1702</v>
      </c>
      <c r="N3654" s="6" t="s">
        <v>1595</v>
      </c>
      <c r="O3654" s="6" t="s">
        <v>1595</v>
      </c>
      <c r="P3654" s="9" t="s">
        <v>25</v>
      </c>
      <c r="Q3654" s="9" t="s">
        <v>26</v>
      </c>
      <c r="R3654" s="9" t="s">
        <v>37</v>
      </c>
      <c r="S3654" s="7" t="s">
        <v>298</v>
      </c>
      <c r="T3654" s="9" t="s">
        <v>39</v>
      </c>
      <c r="U3654" s="7">
        <v>0.36</v>
      </c>
      <c r="V3654" s="12">
        <f>C3654+1</f>
        <v>40917</v>
      </c>
      <c r="W3654">
        <f>IF(D3654=' Pivot Tables'!$A$4,1,0)</f>
        <v>0</v>
      </c>
      <c r="X3654">
        <f>IF(AND(LEFT(D3654,4)+1=LEFT(' Pivot Tables'!$A$4,4)+0,RIGHT(LEFT(D3654,7),2)=RIGHT(LEFT(' Pivot Tables'!$A$4,7),2)),1,0)</f>
        <v>0</v>
      </c>
      <c r="Y3654" s="6">
        <f>1/COUNTIF(Таблица1[Order ID],Таблица1[[#This Row],[Order ID]])</f>
        <v>0.33333333333333331</v>
      </c>
      <c r="Z3654" s="9">
        <f>1/COUNTIFS(Таблица1[Customer Name],Таблица1[[#This Row],[Customer Name]],Таблица1[Order-Year-Month],Таблица1[[#This Row],[Order-Year-Month]])</f>
        <v>0.33333333333333331</v>
      </c>
    </row>
    <row r="3655" spans="1:26" x14ac:dyDescent="0.2">
      <c r="A3655" s="6">
        <v>3755</v>
      </c>
      <c r="B3655" s="7">
        <v>26818</v>
      </c>
      <c r="C3655" s="8">
        <f>DATE(2012,12,31)-358</f>
        <v>40916</v>
      </c>
      <c r="D3655" s="8" t="str">
        <f t="shared" si="70"/>
        <v>2012-01 (январь 2012)</v>
      </c>
      <c r="E3655" s="9" t="s">
        <v>45</v>
      </c>
      <c r="F3655" s="7">
        <v>5</v>
      </c>
      <c r="G3655" s="7">
        <v>78.39</v>
      </c>
      <c r="H3655" s="7">
        <v>0.01</v>
      </c>
      <c r="I3655" s="9" t="s">
        <v>56</v>
      </c>
      <c r="J3655" s="10">
        <v>-5.16</v>
      </c>
      <c r="K3655" s="11">
        <v>11.97</v>
      </c>
      <c r="L3655" s="11">
        <v>4.9800000000000004</v>
      </c>
      <c r="M3655" s="9" t="s">
        <v>1702</v>
      </c>
      <c r="N3655" s="6" t="s">
        <v>1595</v>
      </c>
      <c r="O3655" s="6" t="s">
        <v>1595</v>
      </c>
      <c r="P3655" s="9" t="s">
        <v>25</v>
      </c>
      <c r="Q3655" s="9" t="s">
        <v>26</v>
      </c>
      <c r="R3655" s="9" t="s">
        <v>34</v>
      </c>
      <c r="S3655" s="7" t="s">
        <v>274</v>
      </c>
      <c r="T3655" s="9" t="s">
        <v>39</v>
      </c>
      <c r="U3655" s="7">
        <v>0.57999999999999996</v>
      </c>
      <c r="V3655" s="12">
        <f>C3655+2</f>
        <v>40918</v>
      </c>
      <c r="W3655">
        <f>IF(D3655=' Pivot Tables'!$A$4,1,0)</f>
        <v>0</v>
      </c>
      <c r="X3655">
        <f>IF(AND(LEFT(D3655,4)+1=LEFT(' Pivot Tables'!$A$4,4)+0,RIGHT(LEFT(D3655,7),2)=RIGHT(LEFT(' Pivot Tables'!$A$4,7),2)),1,0)</f>
        <v>0</v>
      </c>
      <c r="Y3655" s="6">
        <f>1/COUNTIF(Таблица1[Order ID],Таблица1[[#This Row],[Order ID]])</f>
        <v>0.33333333333333331</v>
      </c>
      <c r="Z3655" s="9">
        <f>1/COUNTIFS(Таблица1[Customer Name],Таблица1[[#This Row],[Customer Name]],Таблица1[Order-Year-Month],Таблица1[[#This Row],[Order-Year-Month]])</f>
        <v>0.33333333333333331</v>
      </c>
    </row>
    <row r="3656" spans="1:26" x14ac:dyDescent="0.2">
      <c r="A3656" s="6">
        <v>3756</v>
      </c>
      <c r="B3656" s="7">
        <v>26818</v>
      </c>
      <c r="C3656" s="8">
        <f>DATE(2012,12,31)-358</f>
        <v>40916</v>
      </c>
      <c r="D3656" s="8" t="str">
        <f t="shared" si="70"/>
        <v>2012-01 (январь 2012)</v>
      </c>
      <c r="E3656" s="9" t="s">
        <v>45</v>
      </c>
      <c r="F3656" s="7">
        <v>36</v>
      </c>
      <c r="G3656" s="7">
        <v>251.34</v>
      </c>
      <c r="H3656" s="7">
        <v>0.1</v>
      </c>
      <c r="I3656" s="9" t="s">
        <v>22</v>
      </c>
      <c r="J3656" s="10">
        <v>-162.196</v>
      </c>
      <c r="K3656" s="11">
        <v>7.3</v>
      </c>
      <c r="L3656" s="11">
        <v>7.72</v>
      </c>
      <c r="M3656" s="9" t="s">
        <v>1702</v>
      </c>
      <c r="N3656" s="6" t="s">
        <v>1595</v>
      </c>
      <c r="O3656" s="6" t="s">
        <v>1595</v>
      </c>
      <c r="P3656" s="9" t="s">
        <v>25</v>
      </c>
      <c r="Q3656" s="9" t="s">
        <v>26</v>
      </c>
      <c r="R3656" s="9" t="s">
        <v>37</v>
      </c>
      <c r="S3656" s="7" t="s">
        <v>54</v>
      </c>
      <c r="T3656" s="9" t="s">
        <v>39</v>
      </c>
      <c r="U3656" s="7">
        <v>0.38</v>
      </c>
      <c r="V3656" s="12">
        <f>C3656+1</f>
        <v>40917</v>
      </c>
      <c r="W3656">
        <f>IF(D3656=' Pivot Tables'!$A$4,1,0)</f>
        <v>0</v>
      </c>
      <c r="X3656">
        <f>IF(AND(LEFT(D3656,4)+1=LEFT(' Pivot Tables'!$A$4,4)+0,RIGHT(LEFT(D3656,7),2)=RIGHT(LEFT(' Pivot Tables'!$A$4,7),2)),1,0)</f>
        <v>0</v>
      </c>
      <c r="Y3656" s="6">
        <f>1/COUNTIF(Таблица1[Order ID],Таблица1[[#This Row],[Order ID]])</f>
        <v>0.33333333333333331</v>
      </c>
      <c r="Z3656" s="9">
        <f>1/COUNTIFS(Таблица1[Customer Name],Таблица1[[#This Row],[Customer Name]],Таблица1[Order-Year-Month],Таблица1[[#This Row],[Order-Year-Month]])</f>
        <v>0.33333333333333331</v>
      </c>
    </row>
    <row r="3657" spans="1:26" x14ac:dyDescent="0.2">
      <c r="A3657" s="6">
        <v>3790</v>
      </c>
      <c r="B3657" s="7">
        <v>27011</v>
      </c>
      <c r="C3657" s="8">
        <f>DATE(2012,12,31)-732</f>
        <v>40542</v>
      </c>
      <c r="D3657" s="8" t="str">
        <f t="shared" si="70"/>
        <v>2010-12 (декабрь 2010)</v>
      </c>
      <c r="E3657" s="9" t="s">
        <v>63</v>
      </c>
      <c r="F3657" s="7">
        <v>5</v>
      </c>
      <c r="G3657" s="7">
        <v>53.66</v>
      </c>
      <c r="H3657" s="7">
        <v>0.09</v>
      </c>
      <c r="I3657" s="9" t="s">
        <v>22</v>
      </c>
      <c r="J3657" s="10">
        <v>5.69</v>
      </c>
      <c r="K3657" s="11">
        <v>10.94</v>
      </c>
      <c r="L3657" s="11">
        <v>1.39</v>
      </c>
      <c r="M3657" s="9" t="s">
        <v>1659</v>
      </c>
      <c r="N3657" s="6" t="s">
        <v>1595</v>
      </c>
      <c r="O3657" s="6" t="s">
        <v>1595</v>
      </c>
      <c r="P3657" s="9" t="s">
        <v>60</v>
      </c>
      <c r="Q3657" s="9" t="s">
        <v>26</v>
      </c>
      <c r="R3657" s="9" t="s">
        <v>76</v>
      </c>
      <c r="S3657" s="7" t="s">
        <v>450</v>
      </c>
      <c r="T3657" s="9" t="s">
        <v>39</v>
      </c>
      <c r="U3657" s="7">
        <v>0.35</v>
      </c>
      <c r="V3657" s="12">
        <f>C3657+0</f>
        <v>40542</v>
      </c>
      <c r="W3657">
        <f>IF(D3657=' Pivot Tables'!$A$4,1,0)</f>
        <v>0</v>
      </c>
      <c r="X3657">
        <f>IF(AND(LEFT(D3657,4)+1=LEFT(' Pivot Tables'!$A$4,4)+0,RIGHT(LEFT(D3657,7),2)=RIGHT(LEFT(' Pivot Tables'!$A$4,7),2)),1,0)</f>
        <v>0</v>
      </c>
      <c r="Y3657" s="6">
        <f>1/COUNTIF(Таблица1[Order ID],Таблица1[[#This Row],[Order ID]])</f>
        <v>1</v>
      </c>
      <c r="Z3657" s="9">
        <f>1/COUNTIFS(Таблица1[Customer Name],Таблица1[[#This Row],[Customer Name]],Таблица1[Order-Year-Month],Таблица1[[#This Row],[Order-Year-Month]])</f>
        <v>1</v>
      </c>
    </row>
    <row r="3658" spans="1:26" x14ac:dyDescent="0.2">
      <c r="A3658" s="6">
        <v>3903</v>
      </c>
      <c r="B3658" s="7">
        <v>27841</v>
      </c>
      <c r="C3658" s="8">
        <f>DATE(2012,12,31)-106</f>
        <v>41168</v>
      </c>
      <c r="D3658" s="8" t="str">
        <f t="shared" si="70"/>
        <v>2012-09 (сентябрь 2012)</v>
      </c>
      <c r="E3658" s="9" t="s">
        <v>30</v>
      </c>
      <c r="F3658" s="7">
        <v>33</v>
      </c>
      <c r="G3658" s="7">
        <v>67.849999999999994</v>
      </c>
      <c r="H3658" s="7">
        <v>0.05</v>
      </c>
      <c r="I3658" s="9" t="s">
        <v>22</v>
      </c>
      <c r="J3658" s="10">
        <v>1.05</v>
      </c>
      <c r="K3658" s="11">
        <v>2.1</v>
      </c>
      <c r="L3658" s="11">
        <v>0.7</v>
      </c>
      <c r="M3658" s="9" t="s">
        <v>1661</v>
      </c>
      <c r="N3658" s="6" t="s">
        <v>1595</v>
      </c>
      <c r="O3658" s="6" t="s">
        <v>1595</v>
      </c>
      <c r="P3658" s="9" t="s">
        <v>41</v>
      </c>
      <c r="Q3658" s="9" t="s">
        <v>26</v>
      </c>
      <c r="R3658" s="9" t="s">
        <v>95</v>
      </c>
      <c r="S3658" s="7" t="s">
        <v>1703</v>
      </c>
      <c r="T3658" s="9" t="s">
        <v>68</v>
      </c>
      <c r="U3658" s="7">
        <v>0.56999999999999995</v>
      </c>
      <c r="V3658" s="12">
        <f>C3658+2</f>
        <v>41170</v>
      </c>
      <c r="W3658">
        <f>IF(D3658=' Pivot Tables'!$A$4,1,0)</f>
        <v>0</v>
      </c>
      <c r="X3658">
        <f>IF(AND(LEFT(D3658,4)+1=LEFT(' Pivot Tables'!$A$4,4)+0,RIGHT(LEFT(D3658,7),2)=RIGHT(LEFT(' Pivot Tables'!$A$4,7),2)),1,0)</f>
        <v>0</v>
      </c>
      <c r="Y3658" s="6">
        <f>1/COUNTIF(Таблица1[Order ID],Таблица1[[#This Row],[Order ID]])</f>
        <v>1</v>
      </c>
      <c r="Z3658" s="9">
        <f>1/COUNTIFS(Таблица1[Customer Name],Таблица1[[#This Row],[Customer Name]],Таблица1[Order-Year-Month],Таблица1[[#This Row],[Order-Year-Month]])</f>
        <v>1</v>
      </c>
    </row>
    <row r="3659" spans="1:26" x14ac:dyDescent="0.2">
      <c r="A3659" s="6">
        <v>4003</v>
      </c>
      <c r="B3659" s="7">
        <v>28581</v>
      </c>
      <c r="C3659" s="8">
        <f>DATE(2012,12,31)-390</f>
        <v>40884</v>
      </c>
      <c r="D3659" s="8" t="str">
        <f t="shared" si="70"/>
        <v>2011-12 (декабрь 2011)</v>
      </c>
      <c r="E3659" s="9" t="s">
        <v>63</v>
      </c>
      <c r="F3659" s="7">
        <v>1</v>
      </c>
      <c r="G3659" s="7">
        <v>36.4</v>
      </c>
      <c r="H3659" s="7">
        <v>0.06</v>
      </c>
      <c r="I3659" s="9" t="s">
        <v>22</v>
      </c>
      <c r="J3659" s="10">
        <v>-41.561</v>
      </c>
      <c r="K3659" s="11">
        <v>24.92</v>
      </c>
      <c r="L3659" s="11">
        <v>12.98</v>
      </c>
      <c r="M3659" s="9" t="s">
        <v>1695</v>
      </c>
      <c r="N3659" s="6" t="s">
        <v>1595</v>
      </c>
      <c r="O3659" s="6" t="s">
        <v>1595</v>
      </c>
      <c r="P3659" s="9" t="s">
        <v>60</v>
      </c>
      <c r="Q3659" s="9" t="s">
        <v>26</v>
      </c>
      <c r="R3659" s="9" t="s">
        <v>37</v>
      </c>
      <c r="S3659" s="7" t="s">
        <v>319</v>
      </c>
      <c r="T3659" s="9" t="s">
        <v>39</v>
      </c>
      <c r="U3659" s="7">
        <v>0.39</v>
      </c>
      <c r="V3659" s="12">
        <f>C3659+2</f>
        <v>40886</v>
      </c>
      <c r="W3659">
        <f>IF(D3659=' Pivot Tables'!$A$4,1,0)</f>
        <v>0</v>
      </c>
      <c r="X3659">
        <f>IF(AND(LEFT(D3659,4)+1=LEFT(' Pivot Tables'!$A$4,4)+0,RIGHT(LEFT(D3659,7),2)=RIGHT(LEFT(' Pivot Tables'!$A$4,7),2)),1,0)</f>
        <v>0</v>
      </c>
      <c r="Y3659" s="6">
        <f>1/COUNTIF(Таблица1[Order ID],Таблица1[[#This Row],[Order ID]])</f>
        <v>0.5</v>
      </c>
      <c r="Z3659" s="9">
        <f>1/COUNTIFS(Таблица1[Customer Name],Таблица1[[#This Row],[Customer Name]],Таблица1[Order-Year-Month],Таблица1[[#This Row],[Order-Year-Month]])</f>
        <v>0.5</v>
      </c>
    </row>
    <row r="3660" spans="1:26" x14ac:dyDescent="0.2">
      <c r="A3660" s="6">
        <v>4004</v>
      </c>
      <c r="B3660" s="7">
        <v>28581</v>
      </c>
      <c r="C3660" s="8">
        <f>DATE(2012,12,31)-390</f>
        <v>40884</v>
      </c>
      <c r="D3660" s="8" t="str">
        <f t="shared" si="70"/>
        <v>2011-12 (декабрь 2011)</v>
      </c>
      <c r="E3660" s="9" t="s">
        <v>63</v>
      </c>
      <c r="F3660" s="7">
        <v>36</v>
      </c>
      <c r="G3660" s="7">
        <v>176.35</v>
      </c>
      <c r="H3660" s="7">
        <v>0.04</v>
      </c>
      <c r="I3660" s="9" t="s">
        <v>22</v>
      </c>
      <c r="J3660" s="10">
        <v>73.05</v>
      </c>
      <c r="K3660" s="11">
        <v>4.9800000000000004</v>
      </c>
      <c r="L3660" s="11">
        <v>0.8</v>
      </c>
      <c r="M3660" s="9" t="s">
        <v>1695</v>
      </c>
      <c r="N3660" s="6" t="s">
        <v>1595</v>
      </c>
      <c r="O3660" s="6" t="s">
        <v>1595</v>
      </c>
      <c r="P3660" s="9" t="s">
        <v>60</v>
      </c>
      <c r="Q3660" s="9" t="s">
        <v>26</v>
      </c>
      <c r="R3660" s="9" t="s">
        <v>61</v>
      </c>
      <c r="S3660" s="7" t="s">
        <v>842</v>
      </c>
      <c r="T3660" s="9" t="s">
        <v>68</v>
      </c>
      <c r="U3660" s="7">
        <v>0.36</v>
      </c>
      <c r="V3660" s="12">
        <f>C3660+2</f>
        <v>40886</v>
      </c>
      <c r="W3660">
        <f>IF(D3660=' Pivot Tables'!$A$4,1,0)</f>
        <v>0</v>
      </c>
      <c r="X3660">
        <f>IF(AND(LEFT(D3660,4)+1=LEFT(' Pivot Tables'!$A$4,4)+0,RIGHT(LEFT(D3660,7),2)=RIGHT(LEFT(' Pivot Tables'!$A$4,7),2)),1,0)</f>
        <v>0</v>
      </c>
      <c r="Y3660" s="6">
        <f>1/COUNTIF(Таблица1[Order ID],Таблица1[[#This Row],[Order ID]])</f>
        <v>0.5</v>
      </c>
      <c r="Z3660" s="9">
        <f>1/COUNTIFS(Таблица1[Customer Name],Таблица1[[#This Row],[Customer Name]],Таблица1[Order-Year-Month],Таблица1[[#This Row],[Order-Year-Month]])</f>
        <v>0.5</v>
      </c>
    </row>
    <row r="3661" spans="1:26" x14ac:dyDescent="0.2">
      <c r="A3661" s="6">
        <v>4008</v>
      </c>
      <c r="B3661" s="7">
        <v>28611</v>
      </c>
      <c r="C3661" s="8">
        <f>DATE(2012,12,31)-4</f>
        <v>41270</v>
      </c>
      <c r="D3661" s="8" t="str">
        <f t="shared" si="70"/>
        <v>2012-12 (декабрь 2012)</v>
      </c>
      <c r="E3661" s="9" t="s">
        <v>21</v>
      </c>
      <c r="F3661" s="7">
        <v>30</v>
      </c>
      <c r="G3661" s="7">
        <v>15337.58</v>
      </c>
      <c r="H3661" s="7">
        <v>0.1</v>
      </c>
      <c r="I3661" s="9" t="s">
        <v>22</v>
      </c>
      <c r="J3661" s="10">
        <v>6670.4089999999997</v>
      </c>
      <c r="K3661" s="11">
        <v>525.98</v>
      </c>
      <c r="L3661" s="11">
        <v>19.989999999999998</v>
      </c>
      <c r="M3661" s="9" t="s">
        <v>1670</v>
      </c>
      <c r="N3661" s="6" t="s">
        <v>1595</v>
      </c>
      <c r="O3661" s="6" t="s">
        <v>1595</v>
      </c>
      <c r="P3661" s="9" t="s">
        <v>33</v>
      </c>
      <c r="Q3661" s="9" t="s">
        <v>26</v>
      </c>
      <c r="R3661" s="9" t="s">
        <v>37</v>
      </c>
      <c r="S3661" s="7" t="s">
        <v>1704</v>
      </c>
      <c r="T3661" s="9" t="s">
        <v>39</v>
      </c>
      <c r="U3661" s="7">
        <v>0.37</v>
      </c>
      <c r="V3661" s="12">
        <f>C3661+3</f>
        <v>41273</v>
      </c>
      <c r="W3661">
        <f>IF(D3661=' Pivot Tables'!$A$4,1,0)</f>
        <v>0</v>
      </c>
      <c r="X3661">
        <f>IF(AND(LEFT(D3661,4)+1=LEFT(' Pivot Tables'!$A$4,4)+0,RIGHT(LEFT(D3661,7),2)=RIGHT(LEFT(' Pivot Tables'!$A$4,7),2)),1,0)</f>
        <v>0</v>
      </c>
      <c r="Y3661" s="6">
        <f>1/COUNTIF(Таблица1[Order ID],Таблица1[[#This Row],[Order ID]])</f>
        <v>0.5</v>
      </c>
      <c r="Z3661" s="9">
        <f>1/COUNTIFS(Таблица1[Customer Name],Таблица1[[#This Row],[Customer Name]],Таблица1[Order-Year-Month],Таблица1[[#This Row],[Order-Year-Month]])</f>
        <v>0.5</v>
      </c>
    </row>
    <row r="3662" spans="1:26" x14ac:dyDescent="0.2">
      <c r="A3662" s="6">
        <v>4009</v>
      </c>
      <c r="B3662" s="7">
        <v>28611</v>
      </c>
      <c r="C3662" s="8">
        <f>DATE(2012,12,31)-4</f>
        <v>41270</v>
      </c>
      <c r="D3662" s="8" t="str">
        <f t="shared" si="70"/>
        <v>2012-12 (декабрь 2012)</v>
      </c>
      <c r="E3662" s="9" t="s">
        <v>21</v>
      </c>
      <c r="F3662" s="7">
        <v>42</v>
      </c>
      <c r="G3662" s="7">
        <v>3883.4714999999997</v>
      </c>
      <c r="H3662" s="7">
        <v>0.1</v>
      </c>
      <c r="I3662" s="9" t="s">
        <v>22</v>
      </c>
      <c r="J3662" s="10">
        <v>707.16599999999994</v>
      </c>
      <c r="K3662" s="11">
        <v>115.99</v>
      </c>
      <c r="L3662" s="11">
        <v>8.99</v>
      </c>
      <c r="M3662" s="9" t="s">
        <v>1670</v>
      </c>
      <c r="N3662" s="6" t="s">
        <v>1595</v>
      </c>
      <c r="O3662" s="6" t="s">
        <v>1595</v>
      </c>
      <c r="P3662" s="9" t="s">
        <v>33</v>
      </c>
      <c r="Q3662" s="9" t="s">
        <v>42</v>
      </c>
      <c r="R3662" s="9" t="s">
        <v>43</v>
      </c>
      <c r="S3662" s="7" t="s">
        <v>847</v>
      </c>
      <c r="T3662" s="9" t="s">
        <v>39</v>
      </c>
      <c r="U3662" s="7">
        <v>0.57999999999999996</v>
      </c>
      <c r="V3662" s="12">
        <f>C3662+2</f>
        <v>41272</v>
      </c>
      <c r="W3662">
        <f>IF(D3662=' Pivot Tables'!$A$4,1,0)</f>
        <v>0</v>
      </c>
      <c r="X3662">
        <f>IF(AND(LEFT(D3662,4)+1=LEFT(' Pivot Tables'!$A$4,4)+0,RIGHT(LEFT(D3662,7),2)=RIGHT(LEFT(' Pivot Tables'!$A$4,7),2)),1,0)</f>
        <v>0</v>
      </c>
      <c r="Y3662" s="6">
        <f>1/COUNTIF(Таблица1[Order ID],Таблица1[[#This Row],[Order ID]])</f>
        <v>0.5</v>
      </c>
      <c r="Z3662" s="9">
        <f>1/COUNTIFS(Таблица1[Customer Name],Таблица1[[#This Row],[Customer Name]],Таблица1[Order-Year-Month],Таблица1[[#This Row],[Order-Year-Month]])</f>
        <v>0.5</v>
      </c>
    </row>
    <row r="3663" spans="1:26" x14ac:dyDescent="0.2">
      <c r="A3663" s="6">
        <v>4015</v>
      </c>
      <c r="B3663" s="7">
        <v>28647</v>
      </c>
      <c r="C3663" s="8">
        <f>DATE(2012,12,31)-1388</f>
        <v>39886</v>
      </c>
      <c r="D3663" s="8" t="str">
        <f t="shared" si="70"/>
        <v>2009-03 (март 2009)</v>
      </c>
      <c r="E3663" s="9" t="s">
        <v>78</v>
      </c>
      <c r="F3663" s="7">
        <v>38</v>
      </c>
      <c r="G3663" s="7">
        <v>5679.59</v>
      </c>
      <c r="H3663" s="7">
        <v>0.09</v>
      </c>
      <c r="I3663" s="9" t="s">
        <v>56</v>
      </c>
      <c r="J3663" s="10">
        <v>-1763.7477000000003</v>
      </c>
      <c r="K3663" s="11">
        <v>154.13</v>
      </c>
      <c r="L3663" s="11">
        <v>69</v>
      </c>
      <c r="M3663" s="9" t="s">
        <v>1695</v>
      </c>
      <c r="N3663" s="6" t="s">
        <v>1595</v>
      </c>
      <c r="O3663" s="6" t="s">
        <v>1595</v>
      </c>
      <c r="P3663" s="9" t="s">
        <v>41</v>
      </c>
      <c r="Q3663" s="9" t="s">
        <v>49</v>
      </c>
      <c r="R3663" s="9" t="s">
        <v>83</v>
      </c>
      <c r="S3663" s="7" t="s">
        <v>778</v>
      </c>
      <c r="T3663" s="9" t="s">
        <v>29</v>
      </c>
      <c r="U3663" s="7">
        <v>0.68</v>
      </c>
      <c r="V3663" s="12">
        <f>C3663+1</f>
        <v>39887</v>
      </c>
      <c r="W3663">
        <f>IF(D3663=' Pivot Tables'!$A$4,1,0)</f>
        <v>0</v>
      </c>
      <c r="X3663">
        <f>IF(AND(LEFT(D3663,4)+1=LEFT(' Pivot Tables'!$A$4,4)+0,RIGHT(LEFT(D3663,7),2)=RIGHT(LEFT(' Pivot Tables'!$A$4,7),2)),1,0)</f>
        <v>0</v>
      </c>
      <c r="Y3663" s="6">
        <f>1/COUNTIF(Таблица1[Order ID],Таблица1[[#This Row],[Order ID]])</f>
        <v>1</v>
      </c>
      <c r="Z3663" s="9">
        <f>1/COUNTIFS(Таблица1[Customer Name],Таблица1[[#This Row],[Customer Name]],Таблица1[Order-Year-Month],Таблица1[[#This Row],[Order-Year-Month]])</f>
        <v>1</v>
      </c>
    </row>
    <row r="3664" spans="1:26" x14ac:dyDescent="0.2">
      <c r="A3664" s="6">
        <v>4018</v>
      </c>
      <c r="B3664" s="7">
        <v>28736</v>
      </c>
      <c r="C3664" s="8">
        <f>DATE(2012,12,31)-1350</f>
        <v>39924</v>
      </c>
      <c r="D3664" s="8" t="str">
        <f t="shared" si="70"/>
        <v>2009-04 (апрель 2009)</v>
      </c>
      <c r="E3664" s="9" t="s">
        <v>30</v>
      </c>
      <c r="F3664" s="7">
        <v>26</v>
      </c>
      <c r="G3664" s="7">
        <v>1029.29</v>
      </c>
      <c r="H3664" s="7">
        <v>0.06</v>
      </c>
      <c r="I3664" s="9" t="s">
        <v>22</v>
      </c>
      <c r="J3664" s="10">
        <v>109.16</v>
      </c>
      <c r="K3664" s="11">
        <v>40.99</v>
      </c>
      <c r="L3664" s="11">
        <v>17.48</v>
      </c>
      <c r="M3664" s="9" t="s">
        <v>1705</v>
      </c>
      <c r="N3664" s="6" t="s">
        <v>1595</v>
      </c>
      <c r="O3664" s="6" t="s">
        <v>1595</v>
      </c>
      <c r="P3664" s="9" t="s">
        <v>25</v>
      </c>
      <c r="Q3664" s="9" t="s">
        <v>26</v>
      </c>
      <c r="R3664" s="9" t="s">
        <v>61</v>
      </c>
      <c r="S3664" s="7" t="s">
        <v>236</v>
      </c>
      <c r="T3664" s="9" t="s">
        <v>39</v>
      </c>
      <c r="U3664" s="7">
        <v>0.36</v>
      </c>
      <c r="V3664" s="12">
        <f>C3664+0</f>
        <v>39924</v>
      </c>
      <c r="W3664">
        <f>IF(D3664=' Pivot Tables'!$A$4,1,0)</f>
        <v>0</v>
      </c>
      <c r="X3664">
        <f>IF(AND(LEFT(D3664,4)+1=LEFT(' Pivot Tables'!$A$4,4)+0,RIGHT(LEFT(D3664,7),2)=RIGHT(LEFT(' Pivot Tables'!$A$4,7),2)),1,0)</f>
        <v>0</v>
      </c>
      <c r="Y3664" s="6">
        <f>1/COUNTIF(Таблица1[Order ID],Таблица1[[#This Row],[Order ID]])</f>
        <v>1</v>
      </c>
      <c r="Z3664" s="9">
        <f>1/COUNTIFS(Таблица1[Customer Name],Таблица1[[#This Row],[Customer Name]],Таблица1[Order-Year-Month],Таблица1[[#This Row],[Order-Year-Month]])</f>
        <v>1</v>
      </c>
    </row>
    <row r="3665" spans="1:26" x14ac:dyDescent="0.2">
      <c r="A3665" s="6">
        <v>4041</v>
      </c>
      <c r="B3665" s="7">
        <v>28835</v>
      </c>
      <c r="C3665" s="8">
        <f>DATE(2012,12,31)-275</f>
        <v>40999</v>
      </c>
      <c r="D3665" s="8" t="str">
        <f t="shared" si="70"/>
        <v>2012-03 (март 2012)</v>
      </c>
      <c r="E3665" s="9" t="s">
        <v>45</v>
      </c>
      <c r="F3665" s="7">
        <v>1</v>
      </c>
      <c r="G3665" s="7">
        <v>184.18</v>
      </c>
      <c r="H3665" s="7">
        <v>0.08</v>
      </c>
      <c r="I3665" s="9" t="s">
        <v>22</v>
      </c>
      <c r="J3665" s="10">
        <v>-112.44</v>
      </c>
      <c r="K3665" s="11">
        <v>178.47</v>
      </c>
      <c r="L3665" s="11">
        <v>19.989999999999998</v>
      </c>
      <c r="M3665" s="9" t="s">
        <v>1678</v>
      </c>
      <c r="N3665" s="6" t="s">
        <v>1595</v>
      </c>
      <c r="O3665" s="6" t="s">
        <v>1595</v>
      </c>
      <c r="P3665" s="9" t="s">
        <v>25</v>
      </c>
      <c r="Q3665" s="9" t="s">
        <v>26</v>
      </c>
      <c r="R3665" s="9" t="s">
        <v>27</v>
      </c>
      <c r="S3665" s="7" t="s">
        <v>1195</v>
      </c>
      <c r="T3665" s="9" t="s">
        <v>39</v>
      </c>
      <c r="U3665" s="7">
        <v>0.55000000000000004</v>
      </c>
      <c r="V3665" s="12">
        <f>C3665+2</f>
        <v>41001</v>
      </c>
      <c r="W3665">
        <f>IF(D3665=' Pivot Tables'!$A$4,1,0)</f>
        <v>0</v>
      </c>
      <c r="X3665">
        <f>IF(AND(LEFT(D3665,4)+1=LEFT(' Pivot Tables'!$A$4,4)+0,RIGHT(LEFT(D3665,7),2)=RIGHT(LEFT(' Pivot Tables'!$A$4,7),2)),1,0)</f>
        <v>0</v>
      </c>
      <c r="Y3665" s="6">
        <f>1/COUNTIF(Таблица1[Order ID],Таблица1[[#This Row],[Order ID]])</f>
        <v>1</v>
      </c>
      <c r="Z3665" s="9">
        <f>1/COUNTIFS(Таблица1[Customer Name],Таблица1[[#This Row],[Customer Name]],Таблица1[Order-Year-Month],Таблица1[[#This Row],[Order-Year-Month]])</f>
        <v>0.33333333333333331</v>
      </c>
    </row>
    <row r="3666" spans="1:26" x14ac:dyDescent="0.2">
      <c r="A3666" s="6">
        <v>4106</v>
      </c>
      <c r="B3666" s="7">
        <v>29220</v>
      </c>
      <c r="C3666" s="8">
        <f>DATE(2012,12,31)-2</f>
        <v>41272</v>
      </c>
      <c r="D3666" s="8" t="str">
        <f t="shared" si="70"/>
        <v>2012-12 (декабрь 2012)</v>
      </c>
      <c r="E3666" s="9" t="s">
        <v>63</v>
      </c>
      <c r="F3666" s="7">
        <v>36</v>
      </c>
      <c r="G3666" s="7">
        <v>12690.33</v>
      </c>
      <c r="H3666" s="7">
        <v>0.08</v>
      </c>
      <c r="I3666" s="9" t="s">
        <v>56</v>
      </c>
      <c r="J3666" s="10">
        <v>5045.3024999999998</v>
      </c>
      <c r="K3666" s="11">
        <v>367.99</v>
      </c>
      <c r="L3666" s="11">
        <v>19.989999999999998</v>
      </c>
      <c r="M3666" s="9" t="s">
        <v>657</v>
      </c>
      <c r="N3666" s="6" t="s">
        <v>1595</v>
      </c>
      <c r="O3666" s="6" t="s">
        <v>1595</v>
      </c>
      <c r="P3666" s="9" t="s">
        <v>41</v>
      </c>
      <c r="Q3666" s="9" t="s">
        <v>26</v>
      </c>
      <c r="R3666" s="9" t="s">
        <v>37</v>
      </c>
      <c r="S3666" s="7" t="s">
        <v>1706</v>
      </c>
      <c r="T3666" s="9" t="s">
        <v>39</v>
      </c>
      <c r="U3666" s="7">
        <v>0.4</v>
      </c>
      <c r="V3666" s="12">
        <f>C3666+0</f>
        <v>41272</v>
      </c>
      <c r="W3666">
        <f>IF(D3666=' Pivot Tables'!$A$4,1,0)</f>
        <v>0</v>
      </c>
      <c r="X3666">
        <f>IF(AND(LEFT(D3666,4)+1=LEFT(' Pivot Tables'!$A$4,4)+0,RIGHT(LEFT(D3666,7),2)=RIGHT(LEFT(' Pivot Tables'!$A$4,7),2)),1,0)</f>
        <v>0</v>
      </c>
      <c r="Y3666" s="6">
        <f>1/COUNTIF(Таблица1[Order ID],Таблица1[[#This Row],[Order ID]])</f>
        <v>1</v>
      </c>
      <c r="Z3666" s="9">
        <f>1/COUNTIFS(Таблица1[Customer Name],Таблица1[[#This Row],[Customer Name]],Таблица1[Order-Year-Month],Таблица1[[#This Row],[Order-Year-Month]])</f>
        <v>1</v>
      </c>
    </row>
    <row r="3667" spans="1:26" x14ac:dyDescent="0.2">
      <c r="A3667" s="6">
        <v>4235</v>
      </c>
      <c r="B3667" s="7">
        <v>30114</v>
      </c>
      <c r="C3667" s="8">
        <f>DATE(2012,12,31)-868</f>
        <v>40406</v>
      </c>
      <c r="D3667" s="8" t="str">
        <f t="shared" si="70"/>
        <v>2010-08 (август 2010)</v>
      </c>
      <c r="E3667" s="9" t="s">
        <v>21</v>
      </c>
      <c r="F3667" s="7">
        <v>7</v>
      </c>
      <c r="G3667" s="7">
        <v>4667.28</v>
      </c>
      <c r="H3667" s="7">
        <v>0.09</v>
      </c>
      <c r="I3667" s="9" t="s">
        <v>56</v>
      </c>
      <c r="J3667" s="10">
        <v>-362.88</v>
      </c>
      <c r="K3667" s="11">
        <v>699.99</v>
      </c>
      <c r="L3667" s="11">
        <v>24.49</v>
      </c>
      <c r="M3667" s="9" t="s">
        <v>1661</v>
      </c>
      <c r="N3667" s="6" t="s">
        <v>1595</v>
      </c>
      <c r="O3667" s="6" t="s">
        <v>1595</v>
      </c>
      <c r="P3667" s="9" t="s">
        <v>41</v>
      </c>
      <c r="Q3667" s="9" t="s">
        <v>42</v>
      </c>
      <c r="R3667" s="9" t="s">
        <v>99</v>
      </c>
      <c r="S3667" s="7" t="s">
        <v>411</v>
      </c>
      <c r="T3667" s="9" t="s">
        <v>29</v>
      </c>
      <c r="U3667" s="7">
        <v>0.41</v>
      </c>
      <c r="V3667" s="12">
        <f>C3667+7</f>
        <v>40413</v>
      </c>
      <c r="W3667">
        <f>IF(D3667=' Pivot Tables'!$A$4,1,0)</f>
        <v>0</v>
      </c>
      <c r="X3667">
        <f>IF(AND(LEFT(D3667,4)+1=LEFT(' Pivot Tables'!$A$4,4)+0,RIGHT(LEFT(D3667,7),2)=RIGHT(LEFT(' Pivot Tables'!$A$4,7),2)),1,0)</f>
        <v>0</v>
      </c>
      <c r="Y3667" s="6">
        <f>1/COUNTIF(Таблица1[Order ID],Таблица1[[#This Row],[Order ID]])</f>
        <v>1</v>
      </c>
      <c r="Z3667" s="9">
        <f>1/COUNTIFS(Таблица1[Customer Name],Таблица1[[#This Row],[Customer Name]],Таблица1[Order-Year-Month],Таблица1[[#This Row],[Order-Year-Month]])</f>
        <v>1</v>
      </c>
    </row>
    <row r="3668" spans="1:26" x14ac:dyDescent="0.2">
      <c r="A3668" s="6">
        <v>4258</v>
      </c>
      <c r="B3668" s="7">
        <v>30336</v>
      </c>
      <c r="C3668" s="8">
        <f>DATE(2012,12,31)-1067</f>
        <v>40207</v>
      </c>
      <c r="D3668" s="8" t="str">
        <f t="shared" si="70"/>
        <v>2010-01 (январь 2010)</v>
      </c>
      <c r="E3668" s="9" t="s">
        <v>63</v>
      </c>
      <c r="F3668" s="7">
        <v>28</v>
      </c>
      <c r="G3668" s="7">
        <v>5155.07</v>
      </c>
      <c r="H3668" s="7">
        <v>0.06</v>
      </c>
      <c r="I3668" s="9" t="s">
        <v>22</v>
      </c>
      <c r="J3668" s="10">
        <v>368.79</v>
      </c>
      <c r="K3668" s="11">
        <v>193.17</v>
      </c>
      <c r="L3668" s="11">
        <v>19.989999999999998</v>
      </c>
      <c r="M3668" s="9" t="s">
        <v>1661</v>
      </c>
      <c r="N3668" s="6" t="s">
        <v>1595</v>
      </c>
      <c r="O3668" s="6" t="s">
        <v>1595</v>
      </c>
      <c r="P3668" s="9" t="s">
        <v>41</v>
      </c>
      <c r="Q3668" s="9" t="s">
        <v>26</v>
      </c>
      <c r="R3668" s="9" t="s">
        <v>27</v>
      </c>
      <c r="S3668" s="7" t="s">
        <v>338</v>
      </c>
      <c r="T3668" s="9" t="s">
        <v>39</v>
      </c>
      <c r="U3668" s="7">
        <v>0.71</v>
      </c>
      <c r="V3668" s="12">
        <f>C3668+2</f>
        <v>40209</v>
      </c>
      <c r="W3668">
        <f>IF(D3668=' Pivot Tables'!$A$4,1,0)</f>
        <v>1</v>
      </c>
      <c r="X3668">
        <f>IF(AND(LEFT(D3668,4)+1=LEFT(' Pivot Tables'!$A$4,4)+0,RIGHT(LEFT(D3668,7),2)=RIGHT(LEFT(' Pivot Tables'!$A$4,7),2)),1,0)</f>
        <v>0</v>
      </c>
      <c r="Y3668" s="6">
        <f>1/COUNTIF(Таблица1[Order ID],Таблица1[[#This Row],[Order ID]])</f>
        <v>1</v>
      </c>
      <c r="Z3668" s="9">
        <f>1/COUNTIFS(Таблица1[Customer Name],Таблица1[[#This Row],[Customer Name]],Таблица1[Order-Year-Month],Таблица1[[#This Row],[Order-Year-Month]])</f>
        <v>1</v>
      </c>
    </row>
    <row r="3669" spans="1:26" x14ac:dyDescent="0.2">
      <c r="A3669" s="6">
        <v>4312</v>
      </c>
      <c r="B3669" s="7">
        <v>30725</v>
      </c>
      <c r="C3669" s="8">
        <f>DATE(2012,12,31)-1099</f>
        <v>40175</v>
      </c>
      <c r="D3669" s="8" t="str">
        <f t="shared" si="70"/>
        <v>2009-12 (декабрь 2009)</v>
      </c>
      <c r="E3669" s="9" t="s">
        <v>63</v>
      </c>
      <c r="F3669" s="7">
        <v>39</v>
      </c>
      <c r="G3669" s="7">
        <v>16468.55</v>
      </c>
      <c r="H3669" s="7">
        <v>0.08</v>
      </c>
      <c r="I3669" s="9" t="s">
        <v>31</v>
      </c>
      <c r="J3669" s="10">
        <v>5638.75</v>
      </c>
      <c r="K3669" s="11">
        <v>449.99</v>
      </c>
      <c r="L3669" s="11">
        <v>49</v>
      </c>
      <c r="M3669" s="9" t="s">
        <v>1677</v>
      </c>
      <c r="N3669" s="6" t="s">
        <v>1595</v>
      </c>
      <c r="O3669" s="6" t="s">
        <v>1595</v>
      </c>
      <c r="P3669" s="9" t="s">
        <v>25</v>
      </c>
      <c r="Q3669" s="9" t="s">
        <v>42</v>
      </c>
      <c r="R3669" s="9" t="s">
        <v>99</v>
      </c>
      <c r="S3669" s="7" t="s">
        <v>100</v>
      </c>
      <c r="T3669" s="9" t="s">
        <v>36</v>
      </c>
      <c r="U3669" s="7">
        <v>0.38</v>
      </c>
      <c r="V3669" s="12">
        <f>C3669+1</f>
        <v>40176</v>
      </c>
      <c r="W3669">
        <f>IF(D3669=' Pivot Tables'!$A$4,1,0)</f>
        <v>0</v>
      </c>
      <c r="X3669">
        <f>IF(AND(LEFT(D3669,4)+1=LEFT(' Pivot Tables'!$A$4,4)+0,RIGHT(LEFT(D3669,7),2)=RIGHT(LEFT(' Pivot Tables'!$A$4,7),2)),1,0)</f>
        <v>0</v>
      </c>
      <c r="Y3669" s="6">
        <f>1/COUNTIF(Таблица1[Order ID],Таблица1[[#This Row],[Order ID]])</f>
        <v>1</v>
      </c>
      <c r="Z3669" s="9">
        <f>1/COUNTIFS(Таблица1[Customer Name],Таблица1[[#This Row],[Customer Name]],Таблица1[Order-Year-Month],Таблица1[[#This Row],[Order-Year-Month]])</f>
        <v>1</v>
      </c>
    </row>
    <row r="3670" spans="1:26" x14ac:dyDescent="0.2">
      <c r="A3670" s="6">
        <v>4319</v>
      </c>
      <c r="B3670" s="7">
        <v>30784</v>
      </c>
      <c r="C3670" s="8">
        <f>DATE(2012,12,31)-238</f>
        <v>41036</v>
      </c>
      <c r="D3670" s="8" t="str">
        <f t="shared" si="70"/>
        <v>2012-05 (май 2012)</v>
      </c>
      <c r="E3670" s="9" t="s">
        <v>63</v>
      </c>
      <c r="F3670" s="7">
        <v>10</v>
      </c>
      <c r="G3670" s="7">
        <v>707.3</v>
      </c>
      <c r="H3670" s="7">
        <v>0.06</v>
      </c>
      <c r="I3670" s="9" t="s">
        <v>31</v>
      </c>
      <c r="J3670" s="10">
        <v>-127.94</v>
      </c>
      <c r="K3670" s="11">
        <v>70.98</v>
      </c>
      <c r="L3670" s="11">
        <v>26.74</v>
      </c>
      <c r="M3670" s="9" t="s">
        <v>1628</v>
      </c>
      <c r="N3670" s="6" t="s">
        <v>1595</v>
      </c>
      <c r="O3670" s="6" t="s">
        <v>1595</v>
      </c>
      <c r="P3670" s="9" t="s">
        <v>25</v>
      </c>
      <c r="Q3670" s="9" t="s">
        <v>49</v>
      </c>
      <c r="R3670" s="9" t="s">
        <v>80</v>
      </c>
      <c r="S3670" s="7" t="s">
        <v>675</v>
      </c>
      <c r="T3670" s="9" t="s">
        <v>82</v>
      </c>
      <c r="U3670" s="7">
        <v>0.6</v>
      </c>
      <c r="V3670" s="12">
        <f>C3670+2</f>
        <v>41038</v>
      </c>
      <c r="W3670">
        <f>IF(D3670=' Pivot Tables'!$A$4,1,0)</f>
        <v>0</v>
      </c>
      <c r="X3670">
        <f>IF(AND(LEFT(D3670,4)+1=LEFT(' Pivot Tables'!$A$4,4)+0,RIGHT(LEFT(D3670,7),2)=RIGHT(LEFT(' Pivot Tables'!$A$4,7),2)),1,0)</f>
        <v>0</v>
      </c>
      <c r="Y3670" s="6">
        <f>1/COUNTIF(Таблица1[Order ID],Таблица1[[#This Row],[Order ID]])</f>
        <v>0.5</v>
      </c>
      <c r="Z3670" s="9">
        <f>1/COUNTIFS(Таблица1[Customer Name],Таблица1[[#This Row],[Customer Name]],Таблица1[Order-Year-Month],Таблица1[[#This Row],[Order-Year-Month]])</f>
        <v>0.5</v>
      </c>
    </row>
    <row r="3671" spans="1:26" x14ac:dyDescent="0.2">
      <c r="A3671" s="6">
        <v>4320</v>
      </c>
      <c r="B3671" s="7">
        <v>30784</v>
      </c>
      <c r="C3671" s="8">
        <f>DATE(2012,12,31)-238</f>
        <v>41036</v>
      </c>
      <c r="D3671" s="8" t="str">
        <f t="shared" si="70"/>
        <v>2012-05 (май 2012)</v>
      </c>
      <c r="E3671" s="9" t="s">
        <v>63</v>
      </c>
      <c r="F3671" s="7">
        <v>48</v>
      </c>
      <c r="G3671" s="7">
        <v>335.64</v>
      </c>
      <c r="H3671" s="7">
        <v>0.02</v>
      </c>
      <c r="I3671" s="9" t="s">
        <v>22</v>
      </c>
      <c r="J3671" s="10">
        <v>80.13</v>
      </c>
      <c r="K3671" s="11">
        <v>6.7</v>
      </c>
      <c r="L3671" s="11">
        <v>1.56</v>
      </c>
      <c r="M3671" s="9" t="s">
        <v>1628</v>
      </c>
      <c r="N3671" s="6" t="s">
        <v>1595</v>
      </c>
      <c r="O3671" s="6" t="s">
        <v>1595</v>
      </c>
      <c r="P3671" s="9" t="s">
        <v>25</v>
      </c>
      <c r="Q3671" s="9" t="s">
        <v>26</v>
      </c>
      <c r="R3671" s="9" t="s">
        <v>95</v>
      </c>
      <c r="S3671" s="7" t="s">
        <v>260</v>
      </c>
      <c r="T3671" s="9" t="s">
        <v>68</v>
      </c>
      <c r="U3671" s="7">
        <v>0.52</v>
      </c>
      <c r="V3671" s="12">
        <f>C3671+1</f>
        <v>41037</v>
      </c>
      <c r="W3671">
        <f>IF(D3671=' Pivot Tables'!$A$4,1,0)</f>
        <v>0</v>
      </c>
      <c r="X3671">
        <f>IF(AND(LEFT(D3671,4)+1=LEFT(' Pivot Tables'!$A$4,4)+0,RIGHT(LEFT(D3671,7),2)=RIGHT(LEFT(' Pivot Tables'!$A$4,7),2)),1,0)</f>
        <v>0</v>
      </c>
      <c r="Y3671" s="6">
        <f>1/COUNTIF(Таблица1[Order ID],Таблица1[[#This Row],[Order ID]])</f>
        <v>0.5</v>
      </c>
      <c r="Z3671" s="9">
        <f>1/COUNTIFS(Таблица1[Customer Name],Таблица1[[#This Row],[Customer Name]],Таблица1[Order-Year-Month],Таблица1[[#This Row],[Order-Year-Month]])</f>
        <v>0.5</v>
      </c>
    </row>
    <row r="3672" spans="1:26" x14ac:dyDescent="0.2">
      <c r="A3672" s="6">
        <v>4351</v>
      </c>
      <c r="B3672" s="7">
        <v>31040</v>
      </c>
      <c r="C3672" s="8">
        <f>DATE(2012,12,31)-839</f>
        <v>40435</v>
      </c>
      <c r="D3672" s="8" t="str">
        <f t="shared" si="70"/>
        <v>2010-09 (сентябрь 2010)</v>
      </c>
      <c r="E3672" s="9" t="s">
        <v>45</v>
      </c>
      <c r="F3672" s="7">
        <v>23</v>
      </c>
      <c r="G3672" s="7">
        <v>872.97</v>
      </c>
      <c r="H3672" s="7">
        <v>0.1</v>
      </c>
      <c r="I3672" s="9" t="s">
        <v>22</v>
      </c>
      <c r="J3672" s="10">
        <v>-22.63</v>
      </c>
      <c r="K3672" s="11">
        <v>39.979999999999997</v>
      </c>
      <c r="L3672" s="11">
        <v>4</v>
      </c>
      <c r="M3672" s="9" t="s">
        <v>1661</v>
      </c>
      <c r="N3672" s="6" t="s">
        <v>1595</v>
      </c>
      <c r="O3672" s="6" t="s">
        <v>1595</v>
      </c>
      <c r="P3672" s="9" t="s">
        <v>41</v>
      </c>
      <c r="Q3672" s="9" t="s">
        <v>42</v>
      </c>
      <c r="R3672" s="9" t="s">
        <v>70</v>
      </c>
      <c r="S3672" s="7" t="s">
        <v>906</v>
      </c>
      <c r="T3672" s="9" t="s">
        <v>39</v>
      </c>
      <c r="U3672" s="7">
        <v>0.7</v>
      </c>
      <c r="V3672" s="12">
        <f>C3672+2</f>
        <v>40437</v>
      </c>
      <c r="W3672">
        <f>IF(D3672=' Pivot Tables'!$A$4,1,0)</f>
        <v>0</v>
      </c>
      <c r="X3672">
        <f>IF(AND(LEFT(D3672,4)+1=LEFT(' Pivot Tables'!$A$4,4)+0,RIGHT(LEFT(D3672,7),2)=RIGHT(LEFT(' Pivot Tables'!$A$4,7),2)),1,0)</f>
        <v>0</v>
      </c>
      <c r="Y3672" s="6">
        <f>1/COUNTIF(Таблица1[Order ID],Таблица1[[#This Row],[Order ID]])</f>
        <v>0.5</v>
      </c>
      <c r="Z3672" s="9">
        <f>1/COUNTIFS(Таблица1[Customer Name],Таблица1[[#This Row],[Customer Name]],Таблица1[Order-Year-Month],Таблица1[[#This Row],[Order-Year-Month]])</f>
        <v>0.5</v>
      </c>
    </row>
    <row r="3673" spans="1:26" x14ac:dyDescent="0.2">
      <c r="A3673" s="6">
        <v>4352</v>
      </c>
      <c r="B3673" s="7">
        <v>31040</v>
      </c>
      <c r="C3673" s="8">
        <f>DATE(2012,12,31)-839</f>
        <v>40435</v>
      </c>
      <c r="D3673" s="8" t="str">
        <f t="shared" si="70"/>
        <v>2010-09 (сентябрь 2010)</v>
      </c>
      <c r="E3673" s="9" t="s">
        <v>45</v>
      </c>
      <c r="F3673" s="7">
        <v>19</v>
      </c>
      <c r="G3673" s="7">
        <v>545.71</v>
      </c>
      <c r="H3673" s="7">
        <v>0.1</v>
      </c>
      <c r="I3673" s="9" t="s">
        <v>22</v>
      </c>
      <c r="J3673" s="10">
        <v>-35.47</v>
      </c>
      <c r="K3673" s="11">
        <v>29.74</v>
      </c>
      <c r="L3673" s="11">
        <v>6.64</v>
      </c>
      <c r="M3673" s="9" t="s">
        <v>1661</v>
      </c>
      <c r="N3673" s="6" t="s">
        <v>1595</v>
      </c>
      <c r="O3673" s="6" t="s">
        <v>1595</v>
      </c>
      <c r="P3673" s="9" t="s">
        <v>41</v>
      </c>
      <c r="Q3673" s="9" t="s">
        <v>26</v>
      </c>
      <c r="R3673" s="9" t="s">
        <v>27</v>
      </c>
      <c r="S3673" s="7" t="s">
        <v>376</v>
      </c>
      <c r="T3673" s="9" t="s">
        <v>39</v>
      </c>
      <c r="U3673" s="7">
        <v>0.7</v>
      </c>
      <c r="V3673" s="12">
        <f>C3673+2</f>
        <v>40437</v>
      </c>
      <c r="W3673">
        <f>IF(D3673=' Pivot Tables'!$A$4,1,0)</f>
        <v>0</v>
      </c>
      <c r="X3673">
        <f>IF(AND(LEFT(D3673,4)+1=LEFT(' Pivot Tables'!$A$4,4)+0,RIGHT(LEFT(D3673,7),2)=RIGHT(LEFT(' Pivot Tables'!$A$4,7),2)),1,0)</f>
        <v>0</v>
      </c>
      <c r="Y3673" s="6">
        <f>1/COUNTIF(Таблица1[Order ID],Таблица1[[#This Row],[Order ID]])</f>
        <v>0.5</v>
      </c>
      <c r="Z3673" s="9">
        <f>1/COUNTIFS(Таблица1[Customer Name],Таблица1[[#This Row],[Customer Name]],Таблица1[Order-Year-Month],Таблица1[[#This Row],[Order-Year-Month]])</f>
        <v>0.5</v>
      </c>
    </row>
    <row r="3674" spans="1:26" x14ac:dyDescent="0.2">
      <c r="A3674" s="6">
        <v>4469</v>
      </c>
      <c r="B3674" s="7">
        <v>31846</v>
      </c>
      <c r="C3674" s="8">
        <f>DATE(2012,12,31)-506</f>
        <v>40768</v>
      </c>
      <c r="D3674" s="8" t="str">
        <f t="shared" si="70"/>
        <v>2011-08 (август 2011)</v>
      </c>
      <c r="E3674" s="9" t="s">
        <v>78</v>
      </c>
      <c r="F3674" s="7">
        <v>7</v>
      </c>
      <c r="G3674" s="7">
        <v>261.17</v>
      </c>
      <c r="H3674" s="7">
        <v>0.03</v>
      </c>
      <c r="I3674" s="9" t="s">
        <v>31</v>
      </c>
      <c r="J3674" s="10">
        <v>-78.84</v>
      </c>
      <c r="K3674" s="11">
        <v>33.94</v>
      </c>
      <c r="L3674" s="11">
        <v>19.190000000000001</v>
      </c>
      <c r="M3674" s="9" t="s">
        <v>1686</v>
      </c>
      <c r="N3674" s="6" t="s">
        <v>1595</v>
      </c>
      <c r="O3674" s="6" t="s">
        <v>1595</v>
      </c>
      <c r="P3674" s="9" t="s">
        <v>60</v>
      </c>
      <c r="Q3674" s="9" t="s">
        <v>49</v>
      </c>
      <c r="R3674" s="9" t="s">
        <v>112</v>
      </c>
      <c r="S3674" s="7" t="s">
        <v>323</v>
      </c>
      <c r="T3674" s="9" t="s">
        <v>36</v>
      </c>
      <c r="U3674" s="7">
        <v>0.57999999999999996</v>
      </c>
      <c r="V3674" s="12">
        <f>C3674+2</f>
        <v>40770</v>
      </c>
      <c r="W3674">
        <f>IF(D3674=' Pivot Tables'!$A$4,1,0)</f>
        <v>0</v>
      </c>
      <c r="X3674">
        <f>IF(AND(LEFT(D3674,4)+1=LEFT(' Pivot Tables'!$A$4,4)+0,RIGHT(LEFT(D3674,7),2)=RIGHT(LEFT(' Pivot Tables'!$A$4,7),2)),1,0)</f>
        <v>0</v>
      </c>
      <c r="Y3674" s="6">
        <f>1/COUNTIF(Таблица1[Order ID],Таблица1[[#This Row],[Order ID]])</f>
        <v>1</v>
      </c>
      <c r="Z3674" s="9">
        <f>1/COUNTIFS(Таблица1[Customer Name],Таблица1[[#This Row],[Customer Name]],Таблица1[Order-Year-Month],Таблица1[[#This Row],[Order-Year-Month]])</f>
        <v>1</v>
      </c>
    </row>
    <row r="3675" spans="1:26" x14ac:dyDescent="0.2">
      <c r="A3675" s="6">
        <v>4503</v>
      </c>
      <c r="B3675" s="7">
        <v>32038</v>
      </c>
      <c r="C3675" s="8">
        <f>DATE(2012,12,31)-1293</f>
        <v>39981</v>
      </c>
      <c r="D3675" s="8" t="str">
        <f t="shared" si="70"/>
        <v>2009-06 (июнь 2009)</v>
      </c>
      <c r="E3675" s="9" t="s">
        <v>21</v>
      </c>
      <c r="F3675" s="7">
        <v>26</v>
      </c>
      <c r="G3675" s="7">
        <v>342.4</v>
      </c>
      <c r="H3675" s="7">
        <v>0</v>
      </c>
      <c r="I3675" s="9" t="s">
        <v>56</v>
      </c>
      <c r="J3675" s="10">
        <v>-14.06</v>
      </c>
      <c r="K3675" s="11">
        <v>11.7</v>
      </c>
      <c r="L3675" s="11">
        <v>6.96</v>
      </c>
      <c r="M3675" s="9" t="s">
        <v>1680</v>
      </c>
      <c r="N3675" s="6" t="s">
        <v>1595</v>
      </c>
      <c r="O3675" s="6" t="s">
        <v>1595</v>
      </c>
      <c r="P3675" s="9" t="s">
        <v>33</v>
      </c>
      <c r="Q3675" s="9" t="s">
        <v>26</v>
      </c>
      <c r="R3675" s="9" t="s">
        <v>34</v>
      </c>
      <c r="S3675" s="7" t="s">
        <v>1202</v>
      </c>
      <c r="T3675" s="9" t="s">
        <v>48</v>
      </c>
      <c r="U3675" s="7">
        <v>0.5</v>
      </c>
      <c r="V3675" s="12">
        <f>C3675+2</f>
        <v>39983</v>
      </c>
      <c r="W3675">
        <f>IF(D3675=' Pivot Tables'!$A$4,1,0)</f>
        <v>0</v>
      </c>
      <c r="X3675">
        <f>IF(AND(LEFT(D3675,4)+1=LEFT(' Pivot Tables'!$A$4,4)+0,RIGHT(LEFT(D3675,7),2)=RIGHT(LEFT(' Pivot Tables'!$A$4,7),2)),1,0)</f>
        <v>0</v>
      </c>
      <c r="Y3675" s="6">
        <f>1/COUNTIF(Таблица1[Order ID],Таблица1[[#This Row],[Order ID]])</f>
        <v>1</v>
      </c>
      <c r="Z3675" s="9">
        <f>1/COUNTIFS(Таблица1[Customer Name],Таблица1[[#This Row],[Customer Name]],Таблица1[Order-Year-Month],Таблица1[[#This Row],[Order-Year-Month]])</f>
        <v>1</v>
      </c>
    </row>
    <row r="3676" spans="1:26" x14ac:dyDescent="0.2">
      <c r="A3676" s="6">
        <v>4504</v>
      </c>
      <c r="B3676" s="7">
        <v>32065</v>
      </c>
      <c r="C3676" s="8">
        <f>DATE(2012,12,31)-395</f>
        <v>40879</v>
      </c>
      <c r="D3676" s="8" t="str">
        <f t="shared" si="70"/>
        <v>2011-12 (декабрь 2011)</v>
      </c>
      <c r="E3676" s="9" t="s">
        <v>63</v>
      </c>
      <c r="F3676" s="7">
        <v>25</v>
      </c>
      <c r="G3676" s="7">
        <v>450.28</v>
      </c>
      <c r="H3676" s="7">
        <v>0.09</v>
      </c>
      <c r="I3676" s="9" t="s">
        <v>22</v>
      </c>
      <c r="J3676" s="10">
        <v>-12.3453</v>
      </c>
      <c r="K3676" s="11">
        <v>17.98</v>
      </c>
      <c r="L3676" s="11">
        <v>8.51</v>
      </c>
      <c r="M3676" s="9" t="s">
        <v>1692</v>
      </c>
      <c r="N3676" s="6" t="s">
        <v>1595</v>
      </c>
      <c r="O3676" s="6" t="s">
        <v>1595</v>
      </c>
      <c r="P3676" s="9" t="s">
        <v>41</v>
      </c>
      <c r="Q3676" s="9" t="s">
        <v>42</v>
      </c>
      <c r="R3676" s="9" t="s">
        <v>210</v>
      </c>
      <c r="S3676" s="7" t="s">
        <v>277</v>
      </c>
      <c r="T3676" s="9" t="s">
        <v>48</v>
      </c>
      <c r="U3676" s="7">
        <v>0.4</v>
      </c>
      <c r="V3676" s="12">
        <f>C3676+1</f>
        <v>40880</v>
      </c>
      <c r="W3676">
        <f>IF(D3676=' Pivot Tables'!$A$4,1,0)</f>
        <v>0</v>
      </c>
      <c r="X3676">
        <f>IF(AND(LEFT(D3676,4)+1=LEFT(' Pivot Tables'!$A$4,4)+0,RIGHT(LEFT(D3676,7),2)=RIGHT(LEFT(' Pivot Tables'!$A$4,7),2)),1,0)</f>
        <v>0</v>
      </c>
      <c r="Y3676" s="6">
        <f>1/COUNTIF(Таблица1[Order ID],Таблица1[[#This Row],[Order ID]])</f>
        <v>1</v>
      </c>
      <c r="Z3676" s="9">
        <f>1/COUNTIFS(Таблица1[Customer Name],Таблица1[[#This Row],[Customer Name]],Таблица1[Order-Year-Month],Таблица1[[#This Row],[Order-Year-Month]])</f>
        <v>1</v>
      </c>
    </row>
    <row r="3677" spans="1:26" x14ac:dyDescent="0.2">
      <c r="A3677" s="6">
        <v>4545</v>
      </c>
      <c r="B3677" s="7">
        <v>32326</v>
      </c>
      <c r="C3677" s="8">
        <f>DATE(2012,12,31)-792</f>
        <v>40482</v>
      </c>
      <c r="D3677" s="8" t="str">
        <f t="shared" si="70"/>
        <v>2010-10 (октябрь 2010)</v>
      </c>
      <c r="E3677" s="9" t="s">
        <v>30</v>
      </c>
      <c r="F3677" s="7">
        <v>50</v>
      </c>
      <c r="G3677" s="7">
        <v>929.81</v>
      </c>
      <c r="H3677" s="7">
        <v>0.09</v>
      </c>
      <c r="I3677" s="9" t="s">
        <v>22</v>
      </c>
      <c r="J3677" s="10">
        <v>-188.41</v>
      </c>
      <c r="K3677" s="11">
        <v>19.989999999999998</v>
      </c>
      <c r="L3677" s="11">
        <v>11.17</v>
      </c>
      <c r="M3677" s="9" t="s">
        <v>1608</v>
      </c>
      <c r="N3677" s="6" t="s">
        <v>1595</v>
      </c>
      <c r="O3677" s="6" t="s">
        <v>1595</v>
      </c>
      <c r="P3677" s="9" t="s">
        <v>25</v>
      </c>
      <c r="Q3677" s="9" t="s">
        <v>49</v>
      </c>
      <c r="R3677" s="9" t="s">
        <v>50</v>
      </c>
      <c r="S3677" s="7" t="s">
        <v>340</v>
      </c>
      <c r="T3677" s="9" t="s">
        <v>29</v>
      </c>
      <c r="U3677" s="7">
        <v>0.6</v>
      </c>
      <c r="V3677" s="12">
        <f>C3677+1</f>
        <v>40483</v>
      </c>
      <c r="W3677">
        <f>IF(D3677=' Pivot Tables'!$A$4,1,0)</f>
        <v>0</v>
      </c>
      <c r="X3677">
        <f>IF(AND(LEFT(D3677,4)+1=LEFT(' Pivot Tables'!$A$4,4)+0,RIGHT(LEFT(D3677,7),2)=RIGHT(LEFT(' Pivot Tables'!$A$4,7),2)),1,0)</f>
        <v>0</v>
      </c>
      <c r="Y3677" s="6">
        <f>1/COUNTIF(Таблица1[Order ID],Таблица1[[#This Row],[Order ID]])</f>
        <v>1</v>
      </c>
      <c r="Z3677" s="9">
        <f>1/COUNTIFS(Таблица1[Customer Name],Таблица1[[#This Row],[Customer Name]],Таблица1[Order-Year-Month],Таблица1[[#This Row],[Order-Year-Month]])</f>
        <v>1</v>
      </c>
    </row>
    <row r="3678" spans="1:26" x14ac:dyDescent="0.2">
      <c r="A3678" s="6">
        <v>4584</v>
      </c>
      <c r="B3678" s="7">
        <v>32613</v>
      </c>
      <c r="C3678" s="8">
        <f>DATE(2012,12,31)-381</f>
        <v>40893</v>
      </c>
      <c r="D3678" s="8" t="str">
        <f t="shared" si="70"/>
        <v>2011-12 (декабрь 2011)</v>
      </c>
      <c r="E3678" s="9" t="s">
        <v>21</v>
      </c>
      <c r="F3678" s="7">
        <v>31</v>
      </c>
      <c r="G3678" s="7">
        <v>1359.74</v>
      </c>
      <c r="H3678" s="7">
        <v>0.01</v>
      </c>
      <c r="I3678" s="9" t="s">
        <v>56</v>
      </c>
      <c r="J3678" s="10">
        <v>202.33</v>
      </c>
      <c r="K3678" s="11">
        <v>43.98</v>
      </c>
      <c r="L3678" s="11">
        <v>8.99</v>
      </c>
      <c r="M3678" s="9" t="s">
        <v>1707</v>
      </c>
      <c r="N3678" s="6" t="s">
        <v>1595</v>
      </c>
      <c r="O3678" s="6" t="s">
        <v>1595</v>
      </c>
      <c r="P3678" s="9" t="s">
        <v>33</v>
      </c>
      <c r="Q3678" s="9" t="s">
        <v>26</v>
      </c>
      <c r="R3678" s="9" t="s">
        <v>95</v>
      </c>
      <c r="S3678" s="7" t="s">
        <v>858</v>
      </c>
      <c r="T3678" s="9" t="s">
        <v>52</v>
      </c>
      <c r="U3678" s="7">
        <v>0.57999999999999996</v>
      </c>
      <c r="V3678" s="12">
        <f>C3678+7</f>
        <v>40900</v>
      </c>
      <c r="W3678">
        <f>IF(D3678=' Pivot Tables'!$A$4,1,0)</f>
        <v>0</v>
      </c>
      <c r="X3678">
        <f>IF(AND(LEFT(D3678,4)+1=LEFT(' Pivot Tables'!$A$4,4)+0,RIGHT(LEFT(D3678,7),2)=RIGHT(LEFT(' Pivot Tables'!$A$4,7),2)),1,0)</f>
        <v>0</v>
      </c>
      <c r="Y3678" s="6">
        <f>1/COUNTIF(Таблица1[Order ID],Таблица1[[#This Row],[Order ID]])</f>
        <v>0.33333333333333331</v>
      </c>
      <c r="Z3678" s="9">
        <f>1/COUNTIFS(Таблица1[Customer Name],Таблица1[[#This Row],[Customer Name]],Таблица1[Order-Year-Month],Таблица1[[#This Row],[Order-Year-Month]])</f>
        <v>0.33333333333333331</v>
      </c>
    </row>
    <row r="3679" spans="1:26" x14ac:dyDescent="0.2">
      <c r="A3679" s="6">
        <v>4585</v>
      </c>
      <c r="B3679" s="7">
        <v>32613</v>
      </c>
      <c r="C3679" s="8">
        <f>DATE(2012,12,31)-381</f>
        <v>40893</v>
      </c>
      <c r="D3679" s="8" t="str">
        <f t="shared" si="70"/>
        <v>2011-12 (декабрь 2011)</v>
      </c>
      <c r="E3679" s="9" t="s">
        <v>21</v>
      </c>
      <c r="F3679" s="7">
        <v>38</v>
      </c>
      <c r="G3679" s="7">
        <v>5228.2</v>
      </c>
      <c r="H3679" s="7">
        <v>0</v>
      </c>
      <c r="I3679" s="9" t="s">
        <v>22</v>
      </c>
      <c r="J3679" s="10">
        <v>-691.52</v>
      </c>
      <c r="K3679" s="11">
        <v>135.31</v>
      </c>
      <c r="L3679" s="11">
        <v>35</v>
      </c>
      <c r="M3679" s="9" t="s">
        <v>1707</v>
      </c>
      <c r="N3679" s="6" t="s">
        <v>1595</v>
      </c>
      <c r="O3679" s="6" t="s">
        <v>1595</v>
      </c>
      <c r="P3679" s="9" t="s">
        <v>33</v>
      </c>
      <c r="Q3679" s="9" t="s">
        <v>26</v>
      </c>
      <c r="R3679" s="9" t="s">
        <v>27</v>
      </c>
      <c r="S3679" s="7" t="s">
        <v>1447</v>
      </c>
      <c r="T3679" s="9" t="s">
        <v>29</v>
      </c>
      <c r="U3679" s="7">
        <v>0.84</v>
      </c>
      <c r="V3679" s="12">
        <f>C3679+2</f>
        <v>40895</v>
      </c>
      <c r="W3679">
        <f>IF(D3679=' Pivot Tables'!$A$4,1,0)</f>
        <v>0</v>
      </c>
      <c r="X3679">
        <f>IF(AND(LEFT(D3679,4)+1=LEFT(' Pivot Tables'!$A$4,4)+0,RIGHT(LEFT(D3679,7),2)=RIGHT(LEFT(' Pivot Tables'!$A$4,7),2)),1,0)</f>
        <v>0</v>
      </c>
      <c r="Y3679" s="6">
        <f>1/COUNTIF(Таблица1[Order ID],Таблица1[[#This Row],[Order ID]])</f>
        <v>0.33333333333333331</v>
      </c>
      <c r="Z3679" s="9">
        <f>1/COUNTIFS(Таблица1[Customer Name],Таблица1[[#This Row],[Customer Name]],Таблица1[Order-Year-Month],Таблица1[[#This Row],[Order-Year-Month]])</f>
        <v>0.33333333333333331</v>
      </c>
    </row>
    <row r="3680" spans="1:26" x14ac:dyDescent="0.2">
      <c r="A3680" s="6">
        <v>4586</v>
      </c>
      <c r="B3680" s="7">
        <v>32613</v>
      </c>
      <c r="C3680" s="8">
        <f>DATE(2012,12,31)-381</f>
        <v>40893</v>
      </c>
      <c r="D3680" s="8" t="str">
        <f t="shared" si="70"/>
        <v>2011-12 (декабрь 2011)</v>
      </c>
      <c r="E3680" s="9" t="s">
        <v>21</v>
      </c>
      <c r="F3680" s="7">
        <v>41</v>
      </c>
      <c r="G3680" s="7">
        <v>7174.9435000000003</v>
      </c>
      <c r="H3680" s="7">
        <v>0.02</v>
      </c>
      <c r="I3680" s="9" t="s">
        <v>56</v>
      </c>
      <c r="J3680" s="10">
        <v>2373.2370000000001</v>
      </c>
      <c r="K3680" s="11">
        <v>195.99</v>
      </c>
      <c r="L3680" s="11">
        <v>3.99</v>
      </c>
      <c r="M3680" s="9" t="s">
        <v>1707</v>
      </c>
      <c r="N3680" s="6" t="s">
        <v>1595</v>
      </c>
      <c r="O3680" s="6" t="s">
        <v>1595</v>
      </c>
      <c r="P3680" s="9" t="s">
        <v>33</v>
      </c>
      <c r="Q3680" s="9" t="s">
        <v>42</v>
      </c>
      <c r="R3680" s="9" t="s">
        <v>43</v>
      </c>
      <c r="S3680" s="7" t="s">
        <v>44</v>
      </c>
      <c r="T3680" s="9" t="s">
        <v>39</v>
      </c>
      <c r="U3680" s="7">
        <v>0.57999999999999996</v>
      </c>
      <c r="V3680" s="12">
        <f>C3680+2</f>
        <v>40895</v>
      </c>
      <c r="W3680">
        <f>IF(D3680=' Pivot Tables'!$A$4,1,0)</f>
        <v>0</v>
      </c>
      <c r="X3680">
        <f>IF(AND(LEFT(D3680,4)+1=LEFT(' Pivot Tables'!$A$4,4)+0,RIGHT(LEFT(D3680,7),2)=RIGHT(LEFT(' Pivot Tables'!$A$4,7),2)),1,0)</f>
        <v>0</v>
      </c>
      <c r="Y3680" s="6">
        <f>1/COUNTIF(Таблица1[Order ID],Таблица1[[#This Row],[Order ID]])</f>
        <v>0.33333333333333331</v>
      </c>
      <c r="Z3680" s="9">
        <f>1/COUNTIFS(Таблица1[Customer Name],Таблица1[[#This Row],[Customer Name]],Таблица1[Order-Year-Month],Таблица1[[#This Row],[Order-Year-Month]])</f>
        <v>0.33333333333333331</v>
      </c>
    </row>
    <row r="3681" spans="1:26" x14ac:dyDescent="0.2">
      <c r="A3681" s="6">
        <v>4598</v>
      </c>
      <c r="B3681" s="7">
        <v>32741</v>
      </c>
      <c r="C3681" s="8">
        <f>DATE(2012,12,31)-1415</f>
        <v>39859</v>
      </c>
      <c r="D3681" s="8" t="str">
        <f t="shared" si="70"/>
        <v>2009-02 (февраль 2009)</v>
      </c>
      <c r="E3681" s="9" t="s">
        <v>21</v>
      </c>
      <c r="F3681" s="7">
        <v>13</v>
      </c>
      <c r="G3681" s="7">
        <v>136.24</v>
      </c>
      <c r="H3681" s="7">
        <v>7.0000000000000007E-2</v>
      </c>
      <c r="I3681" s="9" t="s">
        <v>22</v>
      </c>
      <c r="J3681" s="10">
        <v>-81.77</v>
      </c>
      <c r="K3681" s="11">
        <v>9.7100000000000009</v>
      </c>
      <c r="L3681" s="11">
        <v>9.4499999999999993</v>
      </c>
      <c r="M3681" s="9" t="s">
        <v>969</v>
      </c>
      <c r="N3681" s="6" t="s">
        <v>1595</v>
      </c>
      <c r="O3681" s="6" t="s">
        <v>1595</v>
      </c>
      <c r="P3681" s="9" t="s">
        <v>41</v>
      </c>
      <c r="Q3681" s="9" t="s">
        <v>26</v>
      </c>
      <c r="R3681" s="9" t="s">
        <v>27</v>
      </c>
      <c r="S3681" s="7" t="s">
        <v>927</v>
      </c>
      <c r="T3681" s="9" t="s">
        <v>39</v>
      </c>
      <c r="U3681" s="7">
        <v>0.6</v>
      </c>
      <c r="V3681" s="12">
        <f>C3681+7</f>
        <v>39866</v>
      </c>
      <c r="W3681">
        <f>IF(D3681=' Pivot Tables'!$A$4,1,0)</f>
        <v>0</v>
      </c>
      <c r="X3681">
        <f>IF(AND(LEFT(D3681,4)+1=LEFT(' Pivot Tables'!$A$4,4)+0,RIGHT(LEFT(D3681,7),2)=RIGHT(LEFT(' Pivot Tables'!$A$4,7),2)),1,0)</f>
        <v>0</v>
      </c>
      <c r="Y3681" s="6">
        <f>1/COUNTIF(Таблица1[Order ID],Таблица1[[#This Row],[Order ID]])</f>
        <v>1</v>
      </c>
      <c r="Z3681" s="9">
        <f>1/COUNTIFS(Таблица1[Customer Name],Таблица1[[#This Row],[Customer Name]],Таблица1[Order-Year-Month],Таблица1[[#This Row],[Order-Year-Month]])</f>
        <v>1</v>
      </c>
    </row>
    <row r="3682" spans="1:26" x14ac:dyDescent="0.2">
      <c r="A3682" s="6">
        <v>4624</v>
      </c>
      <c r="B3682" s="7">
        <v>32903</v>
      </c>
      <c r="C3682" s="8">
        <f>DATE(2012,12,31)-158</f>
        <v>41116</v>
      </c>
      <c r="D3682" s="8" t="str">
        <f t="shared" si="70"/>
        <v>2012-07 (июль 2012)</v>
      </c>
      <c r="E3682" s="9" t="s">
        <v>21</v>
      </c>
      <c r="F3682" s="7">
        <v>31</v>
      </c>
      <c r="G3682" s="7">
        <v>454.58</v>
      </c>
      <c r="H3682" s="7">
        <v>7.0000000000000007E-2</v>
      </c>
      <c r="I3682" s="9" t="s">
        <v>22</v>
      </c>
      <c r="J3682" s="10">
        <v>-118.75</v>
      </c>
      <c r="K3682" s="11">
        <v>15.31</v>
      </c>
      <c r="L3682" s="11">
        <v>8.7799999999999994</v>
      </c>
      <c r="M3682" s="9" t="s">
        <v>862</v>
      </c>
      <c r="N3682" s="6" t="s">
        <v>1595</v>
      </c>
      <c r="O3682" s="6" t="s">
        <v>1595</v>
      </c>
      <c r="P3682" s="9" t="s">
        <v>25</v>
      </c>
      <c r="Q3682" s="9" t="s">
        <v>26</v>
      </c>
      <c r="R3682" s="9" t="s">
        <v>27</v>
      </c>
      <c r="S3682" s="7" t="s">
        <v>748</v>
      </c>
      <c r="T3682" s="9" t="s">
        <v>39</v>
      </c>
      <c r="U3682" s="7">
        <v>0.56999999999999995</v>
      </c>
      <c r="V3682" s="12">
        <f>C3682+7</f>
        <v>41123</v>
      </c>
      <c r="W3682">
        <f>IF(D3682=' Pivot Tables'!$A$4,1,0)</f>
        <v>0</v>
      </c>
      <c r="X3682">
        <f>IF(AND(LEFT(D3682,4)+1=LEFT(' Pivot Tables'!$A$4,4)+0,RIGHT(LEFT(D3682,7),2)=RIGHT(LEFT(' Pivot Tables'!$A$4,7),2)),1,0)</f>
        <v>0</v>
      </c>
      <c r="Y3682" s="6">
        <f>1/COUNTIF(Таблица1[Order ID],Таблица1[[#This Row],[Order ID]])</f>
        <v>1</v>
      </c>
      <c r="Z3682" s="9">
        <f>1/COUNTIFS(Таблица1[Customer Name],Таблица1[[#This Row],[Customer Name]],Таблица1[Order-Year-Month],Таблица1[[#This Row],[Order-Year-Month]])</f>
        <v>1</v>
      </c>
    </row>
    <row r="3683" spans="1:26" x14ac:dyDescent="0.2">
      <c r="A3683" s="6">
        <v>4642</v>
      </c>
      <c r="B3683" s="7">
        <v>33031</v>
      </c>
      <c r="C3683" s="8">
        <f>DATE(2012,12,31)-129</f>
        <v>41145</v>
      </c>
      <c r="D3683" s="8" t="str">
        <f t="shared" si="70"/>
        <v>2012-08 (август 2012)</v>
      </c>
      <c r="E3683" s="9" t="s">
        <v>30</v>
      </c>
      <c r="F3683" s="7">
        <v>24</v>
      </c>
      <c r="G3683" s="7">
        <v>550.67999999999995</v>
      </c>
      <c r="H3683" s="7">
        <v>0.08</v>
      </c>
      <c r="I3683" s="9" t="s">
        <v>31</v>
      </c>
      <c r="J3683" s="10">
        <v>-134.63</v>
      </c>
      <c r="K3683" s="11">
        <v>23.99</v>
      </c>
      <c r="L3683" s="11">
        <v>15.68</v>
      </c>
      <c r="M3683" s="9" t="s">
        <v>1701</v>
      </c>
      <c r="N3683" s="6" t="s">
        <v>1595</v>
      </c>
      <c r="O3683" s="6" t="s">
        <v>1595</v>
      </c>
      <c r="P3683" s="9" t="s">
        <v>60</v>
      </c>
      <c r="Q3683" s="9" t="s">
        <v>49</v>
      </c>
      <c r="R3683" s="9" t="s">
        <v>50</v>
      </c>
      <c r="S3683" s="7" t="s">
        <v>1372</v>
      </c>
      <c r="T3683" s="9" t="s">
        <v>36</v>
      </c>
      <c r="U3683" s="7">
        <v>0.62</v>
      </c>
      <c r="V3683" s="12">
        <f>C3683+2</f>
        <v>41147</v>
      </c>
      <c r="W3683">
        <f>IF(D3683=' Pivot Tables'!$A$4,1,0)</f>
        <v>0</v>
      </c>
      <c r="X3683">
        <f>IF(AND(LEFT(D3683,4)+1=LEFT(' Pivot Tables'!$A$4,4)+0,RIGHT(LEFT(D3683,7),2)=RIGHT(LEFT(' Pivot Tables'!$A$4,7),2)),1,0)</f>
        <v>0</v>
      </c>
      <c r="Y3683" s="6">
        <f>1/COUNTIF(Таблица1[Order ID],Таблица1[[#This Row],[Order ID]])</f>
        <v>0.5</v>
      </c>
      <c r="Z3683" s="9">
        <f>1/COUNTIFS(Таблица1[Customer Name],Таблица1[[#This Row],[Customer Name]],Таблица1[Order-Year-Month],Таблица1[[#This Row],[Order-Year-Month]])</f>
        <v>0.5</v>
      </c>
    </row>
    <row r="3684" spans="1:26" x14ac:dyDescent="0.2">
      <c r="A3684" s="6">
        <v>4643</v>
      </c>
      <c r="B3684" s="7">
        <v>33031</v>
      </c>
      <c r="C3684" s="8">
        <f>DATE(2012,12,31)-129</f>
        <v>41145</v>
      </c>
      <c r="D3684" s="8" t="str">
        <f t="shared" si="70"/>
        <v>2012-08 (август 2012)</v>
      </c>
      <c r="E3684" s="9" t="s">
        <v>30</v>
      </c>
      <c r="F3684" s="7">
        <v>18</v>
      </c>
      <c r="G3684" s="7">
        <v>120.96</v>
      </c>
      <c r="H3684" s="7">
        <v>0.02</v>
      </c>
      <c r="I3684" s="9" t="s">
        <v>22</v>
      </c>
      <c r="J3684" s="10">
        <v>-53.69</v>
      </c>
      <c r="K3684" s="11">
        <v>6.48</v>
      </c>
      <c r="L3684" s="11">
        <v>6.65</v>
      </c>
      <c r="M3684" s="9" t="s">
        <v>1701</v>
      </c>
      <c r="N3684" s="6" t="s">
        <v>1595</v>
      </c>
      <c r="O3684" s="6" t="s">
        <v>1595</v>
      </c>
      <c r="P3684" s="9" t="s">
        <v>60</v>
      </c>
      <c r="Q3684" s="9" t="s">
        <v>26</v>
      </c>
      <c r="R3684" s="9" t="s">
        <v>61</v>
      </c>
      <c r="S3684" s="7" t="s">
        <v>152</v>
      </c>
      <c r="T3684" s="9" t="s">
        <v>39</v>
      </c>
      <c r="U3684" s="7">
        <v>0.36</v>
      </c>
      <c r="V3684" s="12">
        <f>C3684+1</f>
        <v>41146</v>
      </c>
      <c r="W3684">
        <f>IF(D3684=' Pivot Tables'!$A$4,1,0)</f>
        <v>0</v>
      </c>
      <c r="X3684">
        <f>IF(AND(LEFT(D3684,4)+1=LEFT(' Pivot Tables'!$A$4,4)+0,RIGHT(LEFT(D3684,7),2)=RIGHT(LEFT(' Pivot Tables'!$A$4,7),2)),1,0)</f>
        <v>0</v>
      </c>
      <c r="Y3684" s="6">
        <f>1/COUNTIF(Таблица1[Order ID],Таблица1[[#This Row],[Order ID]])</f>
        <v>0.5</v>
      </c>
      <c r="Z3684" s="9">
        <f>1/COUNTIFS(Таблица1[Customer Name],Таблица1[[#This Row],[Customer Name]],Таблица1[Order-Year-Month],Таблица1[[#This Row],[Order-Year-Month]])</f>
        <v>0.5</v>
      </c>
    </row>
    <row r="3685" spans="1:26" x14ac:dyDescent="0.2">
      <c r="A3685" s="6">
        <v>4654</v>
      </c>
      <c r="B3685" s="7">
        <v>33152</v>
      </c>
      <c r="C3685" s="8">
        <f>DATE(2012,12,31)-771</f>
        <v>40503</v>
      </c>
      <c r="D3685" s="8" t="str">
        <f t="shared" si="70"/>
        <v>2010-11 (ноябрь 2010)</v>
      </c>
      <c r="E3685" s="9" t="s">
        <v>78</v>
      </c>
      <c r="F3685" s="7">
        <v>19</v>
      </c>
      <c r="G3685" s="7">
        <v>2569.6264999999999</v>
      </c>
      <c r="H3685" s="7">
        <v>0</v>
      </c>
      <c r="I3685" s="9" t="s">
        <v>22</v>
      </c>
      <c r="J3685" s="10">
        <v>398.00700000000001</v>
      </c>
      <c r="K3685" s="11">
        <v>155.99</v>
      </c>
      <c r="L3685" s="11">
        <v>8.99</v>
      </c>
      <c r="M3685" s="9" t="s">
        <v>1661</v>
      </c>
      <c r="N3685" s="6" t="s">
        <v>1595</v>
      </c>
      <c r="O3685" s="6" t="s">
        <v>1595</v>
      </c>
      <c r="P3685" s="9" t="s">
        <v>41</v>
      </c>
      <c r="Q3685" s="9" t="s">
        <v>42</v>
      </c>
      <c r="R3685" s="9" t="s">
        <v>43</v>
      </c>
      <c r="S3685" s="7" t="s">
        <v>416</v>
      </c>
      <c r="T3685" s="9" t="s">
        <v>39</v>
      </c>
      <c r="U3685" s="7">
        <v>0.55000000000000004</v>
      </c>
      <c r="V3685" s="12">
        <f>C3685+2</f>
        <v>40505</v>
      </c>
      <c r="W3685">
        <f>IF(D3685=' Pivot Tables'!$A$4,1,0)</f>
        <v>0</v>
      </c>
      <c r="X3685">
        <f>IF(AND(LEFT(D3685,4)+1=LEFT(' Pivot Tables'!$A$4,4)+0,RIGHT(LEFT(D3685,7),2)=RIGHT(LEFT(' Pivot Tables'!$A$4,7),2)),1,0)</f>
        <v>0</v>
      </c>
      <c r="Y3685" s="6">
        <f>1/COUNTIF(Таблица1[Order ID],Таблица1[[#This Row],[Order ID]])</f>
        <v>1</v>
      </c>
      <c r="Z3685" s="9">
        <f>1/COUNTIFS(Таблица1[Customer Name],Таблица1[[#This Row],[Customer Name]],Таблица1[Order-Year-Month],Таблица1[[#This Row],[Order-Year-Month]])</f>
        <v>1</v>
      </c>
    </row>
    <row r="3686" spans="1:26" x14ac:dyDescent="0.2">
      <c r="A3686" s="6">
        <v>4662</v>
      </c>
      <c r="B3686" s="7">
        <v>33217</v>
      </c>
      <c r="C3686" s="8">
        <f>DATE(2012,12,31)-1390</f>
        <v>39884</v>
      </c>
      <c r="D3686" s="8" t="str">
        <f t="shared" si="70"/>
        <v>2009-03 (март 2009)</v>
      </c>
      <c r="E3686" s="9" t="s">
        <v>30</v>
      </c>
      <c r="F3686" s="7">
        <v>20</v>
      </c>
      <c r="G3686" s="7">
        <v>1388.91</v>
      </c>
      <c r="H3686" s="7">
        <v>0.1</v>
      </c>
      <c r="I3686" s="9" t="s">
        <v>22</v>
      </c>
      <c r="J3686" s="10">
        <v>-229.87</v>
      </c>
      <c r="K3686" s="11">
        <v>73.98</v>
      </c>
      <c r="L3686" s="11">
        <v>4</v>
      </c>
      <c r="M3686" s="9" t="s">
        <v>1677</v>
      </c>
      <c r="N3686" s="6" t="s">
        <v>1595</v>
      </c>
      <c r="O3686" s="6" t="s">
        <v>1595</v>
      </c>
      <c r="P3686" s="9" t="s">
        <v>25</v>
      </c>
      <c r="Q3686" s="9" t="s">
        <v>42</v>
      </c>
      <c r="R3686" s="9" t="s">
        <v>70</v>
      </c>
      <c r="S3686" s="7" t="s">
        <v>822</v>
      </c>
      <c r="T3686" s="9" t="s">
        <v>39</v>
      </c>
      <c r="U3686" s="7">
        <v>0.79</v>
      </c>
      <c r="V3686" s="12">
        <f>C3686+1</f>
        <v>39885</v>
      </c>
      <c r="W3686">
        <f>IF(D3686=' Pivot Tables'!$A$4,1,0)</f>
        <v>0</v>
      </c>
      <c r="X3686">
        <f>IF(AND(LEFT(D3686,4)+1=LEFT(' Pivot Tables'!$A$4,4)+0,RIGHT(LEFT(D3686,7),2)=RIGHT(LEFT(' Pivot Tables'!$A$4,7),2)),1,0)</f>
        <v>0</v>
      </c>
      <c r="Y3686" s="6">
        <f>1/COUNTIF(Таблица1[Order ID],Таблица1[[#This Row],[Order ID]])</f>
        <v>0.5</v>
      </c>
      <c r="Z3686" s="9">
        <f>1/COUNTIFS(Таблица1[Customer Name],Таблица1[[#This Row],[Customer Name]],Таблица1[Order-Year-Month],Таблица1[[#This Row],[Order-Year-Month]])</f>
        <v>0.5</v>
      </c>
    </row>
    <row r="3687" spans="1:26" x14ac:dyDescent="0.2">
      <c r="A3687" s="6">
        <v>4663</v>
      </c>
      <c r="B3687" s="7">
        <v>33217</v>
      </c>
      <c r="C3687" s="8">
        <f>DATE(2012,12,31)-1390</f>
        <v>39884</v>
      </c>
      <c r="D3687" s="8" t="str">
        <f t="shared" si="70"/>
        <v>2009-03 (март 2009)</v>
      </c>
      <c r="E3687" s="9" t="s">
        <v>30</v>
      </c>
      <c r="F3687" s="7">
        <v>34</v>
      </c>
      <c r="G3687" s="7">
        <v>1806.65</v>
      </c>
      <c r="H3687" s="7">
        <v>0.05</v>
      </c>
      <c r="I3687" s="9" t="s">
        <v>22</v>
      </c>
      <c r="J3687" s="10">
        <v>599.04</v>
      </c>
      <c r="K3687" s="11">
        <v>51.98</v>
      </c>
      <c r="L3687" s="11">
        <v>10.17</v>
      </c>
      <c r="M3687" s="9" t="s">
        <v>1677</v>
      </c>
      <c r="N3687" s="6" t="s">
        <v>1595</v>
      </c>
      <c r="O3687" s="6" t="s">
        <v>1595</v>
      </c>
      <c r="P3687" s="9" t="s">
        <v>25</v>
      </c>
      <c r="Q3687" s="9" t="s">
        <v>42</v>
      </c>
      <c r="R3687" s="9" t="s">
        <v>210</v>
      </c>
      <c r="S3687" s="7" t="s">
        <v>1215</v>
      </c>
      <c r="T3687" s="9" t="s">
        <v>48</v>
      </c>
      <c r="U3687" s="7">
        <v>0.37</v>
      </c>
      <c r="V3687" s="12">
        <f>C3687+1</f>
        <v>39885</v>
      </c>
      <c r="W3687">
        <f>IF(D3687=' Pivot Tables'!$A$4,1,0)</f>
        <v>0</v>
      </c>
      <c r="X3687">
        <f>IF(AND(LEFT(D3687,4)+1=LEFT(' Pivot Tables'!$A$4,4)+0,RIGHT(LEFT(D3687,7),2)=RIGHT(LEFT(' Pivot Tables'!$A$4,7),2)),1,0)</f>
        <v>0</v>
      </c>
      <c r="Y3687" s="6">
        <f>1/COUNTIF(Таблица1[Order ID],Таблица1[[#This Row],[Order ID]])</f>
        <v>0.5</v>
      </c>
      <c r="Z3687" s="9">
        <f>1/COUNTIFS(Таблица1[Customer Name],Таблица1[[#This Row],[Customer Name]],Таблица1[Order-Year-Month],Таблица1[[#This Row],[Order-Year-Month]])</f>
        <v>0.5</v>
      </c>
    </row>
    <row r="3688" spans="1:26" x14ac:dyDescent="0.2">
      <c r="A3688" s="6">
        <v>4721</v>
      </c>
      <c r="B3688" s="7">
        <v>33606</v>
      </c>
      <c r="C3688" s="8">
        <f>DATE(2012,12,31)-305</f>
        <v>40969</v>
      </c>
      <c r="D3688" s="8" t="str">
        <f t="shared" si="70"/>
        <v>2012-03 (март 2012)</v>
      </c>
      <c r="E3688" s="9" t="s">
        <v>30</v>
      </c>
      <c r="F3688" s="7">
        <v>46</v>
      </c>
      <c r="G3688" s="7">
        <v>410.03</v>
      </c>
      <c r="H3688" s="7">
        <v>0.05</v>
      </c>
      <c r="I3688" s="9" t="s">
        <v>22</v>
      </c>
      <c r="J3688" s="10">
        <v>-138.38999999999999</v>
      </c>
      <c r="K3688" s="11">
        <v>8.75</v>
      </c>
      <c r="L3688" s="11">
        <v>8.5399999999999991</v>
      </c>
      <c r="M3688" s="9" t="s">
        <v>1687</v>
      </c>
      <c r="N3688" s="6" t="s">
        <v>1595</v>
      </c>
      <c r="O3688" s="6" t="s">
        <v>1595</v>
      </c>
      <c r="P3688" s="9" t="s">
        <v>25</v>
      </c>
      <c r="Q3688" s="9" t="s">
        <v>49</v>
      </c>
      <c r="R3688" s="9" t="s">
        <v>50</v>
      </c>
      <c r="S3688" s="7" t="s">
        <v>663</v>
      </c>
      <c r="T3688" s="9" t="s">
        <v>52</v>
      </c>
      <c r="U3688" s="7">
        <v>0.43</v>
      </c>
      <c r="V3688" s="12">
        <f>C3688+2</f>
        <v>40971</v>
      </c>
      <c r="W3688">
        <f>IF(D3688=' Pivot Tables'!$A$4,1,0)</f>
        <v>0</v>
      </c>
      <c r="X3688">
        <f>IF(AND(LEFT(D3688,4)+1=LEFT(' Pivot Tables'!$A$4,4)+0,RIGHT(LEFT(D3688,7),2)=RIGHT(LEFT(' Pivot Tables'!$A$4,7),2)),1,0)</f>
        <v>0</v>
      </c>
      <c r="Y3688" s="6">
        <f>1/COUNTIF(Таблица1[Order ID],Таблица1[[#This Row],[Order ID]])</f>
        <v>1</v>
      </c>
      <c r="Z3688" s="9">
        <f>1/COUNTIFS(Таблица1[Customer Name],Таблица1[[#This Row],[Customer Name]],Таблица1[Order-Year-Month],Таблица1[[#This Row],[Order-Year-Month]])</f>
        <v>1</v>
      </c>
    </row>
    <row r="3689" spans="1:26" x14ac:dyDescent="0.2">
      <c r="A3689" s="6">
        <v>4728</v>
      </c>
      <c r="B3689" s="7">
        <v>33666</v>
      </c>
      <c r="C3689" s="8">
        <f>DATE(2012,12,31)-168</f>
        <v>41106</v>
      </c>
      <c r="D3689" s="8" t="str">
        <f t="shared" si="70"/>
        <v>2012-07 (июль 2012)</v>
      </c>
      <c r="E3689" s="9" t="s">
        <v>45</v>
      </c>
      <c r="F3689" s="7">
        <v>17</v>
      </c>
      <c r="G3689" s="7">
        <v>3801.27</v>
      </c>
      <c r="H3689" s="7">
        <v>0.02</v>
      </c>
      <c r="I3689" s="9" t="s">
        <v>22</v>
      </c>
      <c r="J3689" s="10">
        <v>-861.30330000000004</v>
      </c>
      <c r="K3689" s="11">
        <v>209.37</v>
      </c>
      <c r="L3689" s="11">
        <v>69</v>
      </c>
      <c r="M3689" s="9" t="s">
        <v>1687</v>
      </c>
      <c r="N3689" s="6" t="s">
        <v>1595</v>
      </c>
      <c r="O3689" s="6" t="s">
        <v>1595</v>
      </c>
      <c r="P3689" s="9" t="s">
        <v>60</v>
      </c>
      <c r="Q3689" s="9" t="s">
        <v>49</v>
      </c>
      <c r="R3689" s="9" t="s">
        <v>83</v>
      </c>
      <c r="S3689" s="7" t="s">
        <v>936</v>
      </c>
      <c r="T3689" s="9" t="s">
        <v>29</v>
      </c>
      <c r="U3689" s="7">
        <v>0.79</v>
      </c>
      <c r="V3689" s="12">
        <f>C3689+2</f>
        <v>41108</v>
      </c>
      <c r="W3689">
        <f>IF(D3689=' Pivot Tables'!$A$4,1,0)</f>
        <v>0</v>
      </c>
      <c r="X3689">
        <f>IF(AND(LEFT(D3689,4)+1=LEFT(' Pivot Tables'!$A$4,4)+0,RIGHT(LEFT(D3689,7),2)=RIGHT(LEFT(' Pivot Tables'!$A$4,7),2)),1,0)</f>
        <v>0</v>
      </c>
      <c r="Y3689" s="6">
        <f>1/COUNTIF(Таблица1[Order ID],Таблица1[[#This Row],[Order ID]])</f>
        <v>1</v>
      </c>
      <c r="Z3689" s="9">
        <f>1/COUNTIFS(Таблица1[Customer Name],Таблица1[[#This Row],[Customer Name]],Таблица1[Order-Year-Month],Таблица1[[#This Row],[Order-Year-Month]])</f>
        <v>1</v>
      </c>
    </row>
    <row r="3690" spans="1:26" x14ac:dyDescent="0.2">
      <c r="A3690" s="6">
        <v>4749</v>
      </c>
      <c r="B3690" s="7">
        <v>33764</v>
      </c>
      <c r="C3690" s="8">
        <f>DATE(2012,12,31)-690</f>
        <v>40584</v>
      </c>
      <c r="D3690" s="8" t="str">
        <f t="shared" si="70"/>
        <v>2011-02 (февраль 2011)</v>
      </c>
      <c r="E3690" s="9" t="s">
        <v>78</v>
      </c>
      <c r="F3690" s="7">
        <v>31</v>
      </c>
      <c r="G3690" s="7">
        <v>226.15</v>
      </c>
      <c r="H3690" s="7">
        <v>0.01</v>
      </c>
      <c r="I3690" s="9" t="s">
        <v>22</v>
      </c>
      <c r="J3690" s="10">
        <v>35.979999999999997</v>
      </c>
      <c r="K3690" s="11">
        <v>7.08</v>
      </c>
      <c r="L3690" s="11">
        <v>2.35</v>
      </c>
      <c r="M3690" s="9" t="s">
        <v>1701</v>
      </c>
      <c r="N3690" s="6" t="s">
        <v>1595</v>
      </c>
      <c r="O3690" s="6" t="s">
        <v>1595</v>
      </c>
      <c r="P3690" s="9" t="s">
        <v>25</v>
      </c>
      <c r="Q3690" s="9" t="s">
        <v>26</v>
      </c>
      <c r="R3690" s="9" t="s">
        <v>95</v>
      </c>
      <c r="S3690" s="7" t="s">
        <v>286</v>
      </c>
      <c r="T3690" s="9" t="s">
        <v>68</v>
      </c>
      <c r="U3690" s="7">
        <v>0.47</v>
      </c>
      <c r="V3690" s="12">
        <f>C3690+1</f>
        <v>40585</v>
      </c>
      <c r="W3690">
        <f>IF(D3690=' Pivot Tables'!$A$4,1,0)</f>
        <v>0</v>
      </c>
      <c r="X3690">
        <f>IF(AND(LEFT(D3690,4)+1=LEFT(' Pivot Tables'!$A$4,4)+0,RIGHT(LEFT(D3690,7),2)=RIGHT(LEFT(' Pivot Tables'!$A$4,7),2)),1,0)</f>
        <v>0</v>
      </c>
      <c r="Y3690" s="6">
        <f>1/COUNTIF(Таблица1[Order ID],Таблица1[[#This Row],[Order ID]])</f>
        <v>0.33333333333333331</v>
      </c>
      <c r="Z3690" s="9">
        <f>1/COUNTIFS(Таблица1[Customer Name],Таблица1[[#This Row],[Customer Name]],Таблица1[Order-Year-Month],Таблица1[[#This Row],[Order-Year-Month]])</f>
        <v>0.33333333333333331</v>
      </c>
    </row>
    <row r="3691" spans="1:26" x14ac:dyDescent="0.2">
      <c r="A3691" s="6">
        <v>4776</v>
      </c>
      <c r="B3691" s="7">
        <v>33921</v>
      </c>
      <c r="C3691" s="8">
        <f>DATE(2012,12,31)-1007</f>
        <v>40267</v>
      </c>
      <c r="D3691" s="8" t="str">
        <f t="shared" si="70"/>
        <v>2010-03 (март 2010)</v>
      </c>
      <c r="E3691" s="9" t="s">
        <v>21</v>
      </c>
      <c r="F3691" s="7">
        <v>35</v>
      </c>
      <c r="G3691" s="7">
        <v>1794.03</v>
      </c>
      <c r="H3691" s="7">
        <v>0.05</v>
      </c>
      <c r="I3691" s="9" t="s">
        <v>31</v>
      </c>
      <c r="J3691" s="10">
        <v>196.21</v>
      </c>
      <c r="K3691" s="11">
        <v>50.98</v>
      </c>
      <c r="L3691" s="11">
        <v>14.19</v>
      </c>
      <c r="M3691" s="9" t="s">
        <v>862</v>
      </c>
      <c r="N3691" s="6" t="s">
        <v>1595</v>
      </c>
      <c r="O3691" s="6" t="s">
        <v>1595</v>
      </c>
      <c r="P3691" s="9" t="s">
        <v>25</v>
      </c>
      <c r="Q3691" s="9" t="s">
        <v>49</v>
      </c>
      <c r="R3691" s="9" t="s">
        <v>112</v>
      </c>
      <c r="S3691" s="7" t="s">
        <v>431</v>
      </c>
      <c r="T3691" s="9" t="s">
        <v>36</v>
      </c>
      <c r="U3691" s="7">
        <v>0.56000000000000005</v>
      </c>
      <c r="V3691" s="12">
        <f>C3691+9</f>
        <v>40276</v>
      </c>
      <c r="W3691">
        <f>IF(D3691=' Pivot Tables'!$A$4,1,0)</f>
        <v>0</v>
      </c>
      <c r="X3691">
        <f>IF(AND(LEFT(D3691,4)+1=LEFT(' Pivot Tables'!$A$4,4)+0,RIGHT(LEFT(D3691,7),2)=RIGHT(LEFT(' Pivot Tables'!$A$4,7),2)),1,0)</f>
        <v>0</v>
      </c>
      <c r="Y3691" s="6">
        <f>1/COUNTIF(Таблица1[Order ID],Таблица1[[#This Row],[Order ID]])</f>
        <v>1</v>
      </c>
      <c r="Z3691" s="9">
        <f>1/COUNTIFS(Таблица1[Customer Name],Таблица1[[#This Row],[Customer Name]],Таблица1[Order-Year-Month],Таблица1[[#This Row],[Order-Year-Month]])</f>
        <v>1</v>
      </c>
    </row>
    <row r="3692" spans="1:26" x14ac:dyDescent="0.2">
      <c r="A3692" s="6">
        <v>4781</v>
      </c>
      <c r="B3692" s="7">
        <v>33956</v>
      </c>
      <c r="C3692" s="8">
        <f>DATE(2012,12,31)-347</f>
        <v>40927</v>
      </c>
      <c r="D3692" s="8" t="str">
        <f t="shared" si="70"/>
        <v>2012-01 (январь 2012)</v>
      </c>
      <c r="E3692" s="9" t="s">
        <v>21</v>
      </c>
      <c r="F3692" s="7">
        <v>13</v>
      </c>
      <c r="G3692" s="7">
        <v>109.58</v>
      </c>
      <c r="H3692" s="7">
        <v>0</v>
      </c>
      <c r="I3692" s="9" t="s">
        <v>22</v>
      </c>
      <c r="J3692" s="10">
        <v>31.32</v>
      </c>
      <c r="K3692" s="11">
        <v>7.59</v>
      </c>
      <c r="L3692" s="11">
        <v>4</v>
      </c>
      <c r="M3692" s="9" t="s">
        <v>1072</v>
      </c>
      <c r="N3692" s="6" t="s">
        <v>1595</v>
      </c>
      <c r="O3692" s="6" t="s">
        <v>1595</v>
      </c>
      <c r="P3692" s="9" t="s">
        <v>25</v>
      </c>
      <c r="Q3692" s="9" t="s">
        <v>49</v>
      </c>
      <c r="R3692" s="9" t="s">
        <v>50</v>
      </c>
      <c r="S3692" s="7" t="s">
        <v>504</v>
      </c>
      <c r="T3692" s="9" t="s">
        <v>68</v>
      </c>
      <c r="U3692" s="7">
        <v>0.42</v>
      </c>
      <c r="V3692" s="12">
        <f>C3692+2</f>
        <v>40929</v>
      </c>
      <c r="W3692">
        <f>IF(D3692=' Pivot Tables'!$A$4,1,0)</f>
        <v>0</v>
      </c>
      <c r="X3692">
        <f>IF(AND(LEFT(D3692,4)+1=LEFT(' Pivot Tables'!$A$4,4)+0,RIGHT(LEFT(D3692,7),2)=RIGHT(LEFT(' Pivot Tables'!$A$4,7),2)),1,0)</f>
        <v>0</v>
      </c>
      <c r="Y3692" s="6">
        <f>1/COUNTIF(Таблица1[Order ID],Таблица1[[#This Row],[Order ID]])</f>
        <v>1</v>
      </c>
      <c r="Z3692" s="9">
        <f>1/COUNTIFS(Таблица1[Customer Name],Таблица1[[#This Row],[Customer Name]],Таблица1[Order-Year-Month],Таблица1[[#This Row],[Order-Year-Month]])</f>
        <v>1</v>
      </c>
    </row>
    <row r="3693" spans="1:26" x14ac:dyDescent="0.2">
      <c r="A3693" s="6">
        <v>4790</v>
      </c>
      <c r="B3693" s="7">
        <v>34022</v>
      </c>
      <c r="C3693" s="8">
        <f>DATE(2012,12,31)-58</f>
        <v>41216</v>
      </c>
      <c r="D3693" s="8" t="str">
        <f t="shared" si="70"/>
        <v>2012-11 (ноябрь 2012)</v>
      </c>
      <c r="E3693" s="9" t="s">
        <v>45</v>
      </c>
      <c r="F3693" s="7">
        <v>6</v>
      </c>
      <c r="G3693" s="7">
        <v>43.9</v>
      </c>
      <c r="H3693" s="7">
        <v>0.06</v>
      </c>
      <c r="I3693" s="9" t="s">
        <v>22</v>
      </c>
      <c r="J3693" s="10">
        <v>12.74</v>
      </c>
      <c r="K3693" s="11">
        <v>6.64</v>
      </c>
      <c r="L3693" s="11">
        <v>4.95</v>
      </c>
      <c r="M3693" s="9" t="s">
        <v>1608</v>
      </c>
      <c r="N3693" s="6" t="s">
        <v>1595</v>
      </c>
      <c r="O3693" s="6" t="s">
        <v>1595</v>
      </c>
      <c r="P3693" s="9" t="s">
        <v>25</v>
      </c>
      <c r="Q3693" s="9" t="s">
        <v>49</v>
      </c>
      <c r="R3693" s="9" t="s">
        <v>50</v>
      </c>
      <c r="S3693" s="7" t="s">
        <v>51</v>
      </c>
      <c r="T3693" s="9" t="s">
        <v>52</v>
      </c>
      <c r="U3693" s="7">
        <v>0.37</v>
      </c>
      <c r="V3693" s="12">
        <f>C3693+2</f>
        <v>41218</v>
      </c>
      <c r="W3693">
        <f>IF(D3693=' Pivot Tables'!$A$4,1,0)</f>
        <v>0</v>
      </c>
      <c r="X3693">
        <f>IF(AND(LEFT(D3693,4)+1=LEFT(' Pivot Tables'!$A$4,4)+0,RIGHT(LEFT(D3693,7),2)=RIGHT(LEFT(' Pivot Tables'!$A$4,7),2)),1,0)</f>
        <v>0</v>
      </c>
      <c r="Y3693" s="6">
        <f>1/COUNTIF(Таблица1[Order ID],Таблица1[[#This Row],[Order ID]])</f>
        <v>0.5</v>
      </c>
      <c r="Z3693" s="9">
        <f>1/COUNTIFS(Таблица1[Customer Name],Таблица1[[#This Row],[Customer Name]],Таблица1[Order-Year-Month],Таблица1[[#This Row],[Order-Year-Month]])</f>
        <v>0.5</v>
      </c>
    </row>
    <row r="3694" spans="1:26" x14ac:dyDescent="0.2">
      <c r="A3694" s="6">
        <v>4791</v>
      </c>
      <c r="B3694" s="7">
        <v>34022</v>
      </c>
      <c r="C3694" s="8">
        <f>DATE(2012,12,31)-58</f>
        <v>41216</v>
      </c>
      <c r="D3694" s="8" t="str">
        <f t="shared" si="70"/>
        <v>2012-11 (ноябрь 2012)</v>
      </c>
      <c r="E3694" s="9" t="s">
        <v>45</v>
      </c>
      <c r="F3694" s="7">
        <v>50</v>
      </c>
      <c r="G3694" s="7">
        <v>236.28</v>
      </c>
      <c r="H3694" s="7">
        <v>0.05</v>
      </c>
      <c r="I3694" s="9" t="s">
        <v>22</v>
      </c>
      <c r="J3694" s="10">
        <v>-34.06</v>
      </c>
      <c r="K3694" s="11">
        <v>4.91</v>
      </c>
      <c r="L3694" s="11">
        <v>3.05</v>
      </c>
      <c r="M3694" s="9" t="s">
        <v>1608</v>
      </c>
      <c r="N3694" s="6" t="s">
        <v>1595</v>
      </c>
      <c r="O3694" s="6" t="s">
        <v>1595</v>
      </c>
      <c r="P3694" s="9" t="s">
        <v>25</v>
      </c>
      <c r="Q3694" s="9" t="s">
        <v>49</v>
      </c>
      <c r="R3694" s="9" t="s">
        <v>50</v>
      </c>
      <c r="S3694" s="7" t="s">
        <v>1353</v>
      </c>
      <c r="T3694" s="9" t="s">
        <v>52</v>
      </c>
      <c r="U3694" s="7">
        <v>0.52</v>
      </c>
      <c r="V3694" s="12">
        <f>C3694+0</f>
        <v>41216</v>
      </c>
      <c r="W3694">
        <f>IF(D3694=' Pivot Tables'!$A$4,1,0)</f>
        <v>0</v>
      </c>
      <c r="X3694">
        <f>IF(AND(LEFT(D3694,4)+1=LEFT(' Pivot Tables'!$A$4,4)+0,RIGHT(LEFT(D3694,7),2)=RIGHT(LEFT(' Pivot Tables'!$A$4,7),2)),1,0)</f>
        <v>0</v>
      </c>
      <c r="Y3694" s="6">
        <f>1/COUNTIF(Таблица1[Order ID],Таблица1[[#This Row],[Order ID]])</f>
        <v>0.5</v>
      </c>
      <c r="Z3694" s="9">
        <f>1/COUNTIFS(Таблица1[Customer Name],Таблица1[[#This Row],[Customer Name]],Таблица1[Order-Year-Month],Таблица1[[#This Row],[Order-Year-Month]])</f>
        <v>0.5</v>
      </c>
    </row>
    <row r="3695" spans="1:26" x14ac:dyDescent="0.2">
      <c r="A3695" s="6">
        <v>4801</v>
      </c>
      <c r="B3695" s="7">
        <v>34148</v>
      </c>
      <c r="C3695" s="8">
        <f>DATE(2012,12,31)-132</f>
        <v>41142</v>
      </c>
      <c r="D3695" s="8" t="str">
        <f t="shared" si="70"/>
        <v>2012-08 (август 2012)</v>
      </c>
      <c r="E3695" s="9" t="s">
        <v>78</v>
      </c>
      <c r="F3695" s="7">
        <v>33</v>
      </c>
      <c r="G3695" s="7">
        <v>136.79</v>
      </c>
      <c r="H3695" s="7">
        <v>0.06</v>
      </c>
      <c r="I3695" s="9" t="s">
        <v>22</v>
      </c>
      <c r="J3695" s="10">
        <v>42.71</v>
      </c>
      <c r="K3695" s="11">
        <v>4.13</v>
      </c>
      <c r="L3695" s="11">
        <v>0.99</v>
      </c>
      <c r="M3695" s="9" t="s">
        <v>1687</v>
      </c>
      <c r="N3695" s="6" t="s">
        <v>1595</v>
      </c>
      <c r="O3695" s="6" t="s">
        <v>1595</v>
      </c>
      <c r="P3695" s="9" t="s">
        <v>25</v>
      </c>
      <c r="Q3695" s="9" t="s">
        <v>26</v>
      </c>
      <c r="R3695" s="9" t="s">
        <v>88</v>
      </c>
      <c r="S3695" s="7" t="s">
        <v>492</v>
      </c>
      <c r="T3695" s="9" t="s">
        <v>39</v>
      </c>
      <c r="U3695" s="7">
        <v>0.39</v>
      </c>
      <c r="V3695" s="12">
        <f>C3695+1</f>
        <v>41143</v>
      </c>
      <c r="W3695">
        <f>IF(D3695=' Pivot Tables'!$A$4,1,0)</f>
        <v>0</v>
      </c>
      <c r="X3695">
        <f>IF(AND(LEFT(D3695,4)+1=LEFT(' Pivot Tables'!$A$4,4)+0,RIGHT(LEFT(D3695,7),2)=RIGHT(LEFT(' Pivot Tables'!$A$4,7),2)),1,0)</f>
        <v>0</v>
      </c>
      <c r="Y3695" s="6">
        <f>1/COUNTIF(Таблица1[Order ID],Таблица1[[#This Row],[Order ID]])</f>
        <v>1</v>
      </c>
      <c r="Z3695" s="9">
        <f>1/COUNTIFS(Таблица1[Customer Name],Таблица1[[#This Row],[Customer Name]],Таблица1[Order-Year-Month],Таблица1[[#This Row],[Order-Year-Month]])</f>
        <v>1</v>
      </c>
    </row>
    <row r="3696" spans="1:26" x14ac:dyDescent="0.2">
      <c r="A3696" s="6">
        <v>4808</v>
      </c>
      <c r="B3696" s="7">
        <v>34182</v>
      </c>
      <c r="C3696" s="8">
        <f>DATE(2012,12,31)-75</f>
        <v>41199</v>
      </c>
      <c r="D3696" s="8" t="str">
        <f t="shared" si="70"/>
        <v>2012-10 (октябрь 2012)</v>
      </c>
      <c r="E3696" s="9" t="s">
        <v>78</v>
      </c>
      <c r="F3696" s="7">
        <v>31</v>
      </c>
      <c r="G3696" s="7">
        <v>336.34</v>
      </c>
      <c r="H3696" s="7">
        <v>0.05</v>
      </c>
      <c r="I3696" s="9" t="s">
        <v>22</v>
      </c>
      <c r="J3696" s="10">
        <v>-89.9</v>
      </c>
      <c r="K3696" s="11">
        <v>10.52</v>
      </c>
      <c r="L3696" s="11">
        <v>7.94</v>
      </c>
      <c r="M3696" s="9" t="s">
        <v>1563</v>
      </c>
      <c r="N3696" s="6" t="s">
        <v>1595</v>
      </c>
      <c r="O3696" s="6" t="s">
        <v>1595</v>
      </c>
      <c r="P3696" s="9" t="s">
        <v>60</v>
      </c>
      <c r="Q3696" s="9" t="s">
        <v>49</v>
      </c>
      <c r="R3696" s="9" t="s">
        <v>50</v>
      </c>
      <c r="S3696" s="7" t="s">
        <v>928</v>
      </c>
      <c r="T3696" s="9" t="s">
        <v>52</v>
      </c>
      <c r="U3696" s="7">
        <v>0.52</v>
      </c>
      <c r="V3696" s="12">
        <f>C3696+2</f>
        <v>41201</v>
      </c>
      <c r="W3696">
        <f>IF(D3696=' Pivot Tables'!$A$4,1,0)</f>
        <v>0</v>
      </c>
      <c r="X3696">
        <f>IF(AND(LEFT(D3696,4)+1=LEFT(' Pivot Tables'!$A$4,4)+0,RIGHT(LEFT(D3696,7),2)=RIGHT(LEFT(' Pivot Tables'!$A$4,7),2)),1,0)</f>
        <v>0</v>
      </c>
      <c r="Y3696" s="6">
        <f>1/COUNTIF(Таблица1[Order ID],Таблица1[[#This Row],[Order ID]])</f>
        <v>1</v>
      </c>
      <c r="Z3696" s="9">
        <f>1/COUNTIFS(Таблица1[Customer Name],Таблица1[[#This Row],[Customer Name]],Таблица1[Order-Year-Month],Таблица1[[#This Row],[Order-Year-Month]])</f>
        <v>1</v>
      </c>
    </row>
    <row r="3697" spans="1:26" x14ac:dyDescent="0.2">
      <c r="A3697" s="6">
        <v>4829</v>
      </c>
      <c r="B3697" s="7">
        <v>34337</v>
      </c>
      <c r="C3697" s="8">
        <f>DATE(2012,12,31)-962</f>
        <v>40312</v>
      </c>
      <c r="D3697" s="8" t="str">
        <f t="shared" si="70"/>
        <v>2010-05 (май 2010)</v>
      </c>
      <c r="E3697" s="9" t="s">
        <v>63</v>
      </c>
      <c r="F3697" s="7">
        <v>36</v>
      </c>
      <c r="G3697" s="7">
        <v>3610.85</v>
      </c>
      <c r="H3697" s="7">
        <v>0.04</v>
      </c>
      <c r="I3697" s="9" t="s">
        <v>56</v>
      </c>
      <c r="J3697" s="10">
        <v>2235.37</v>
      </c>
      <c r="K3697" s="11">
        <v>99.23</v>
      </c>
      <c r="L3697" s="11">
        <v>8.99</v>
      </c>
      <c r="M3697" s="9" t="s">
        <v>969</v>
      </c>
      <c r="N3697" s="6" t="s">
        <v>1595</v>
      </c>
      <c r="O3697" s="6" t="s">
        <v>1595</v>
      </c>
      <c r="P3697" s="9" t="s">
        <v>41</v>
      </c>
      <c r="Q3697" s="9" t="s">
        <v>49</v>
      </c>
      <c r="R3697" s="9" t="s">
        <v>50</v>
      </c>
      <c r="S3697" s="7" t="s">
        <v>700</v>
      </c>
      <c r="T3697" s="9" t="s">
        <v>52</v>
      </c>
      <c r="U3697" s="7">
        <v>0.35</v>
      </c>
      <c r="V3697" s="12">
        <f>C3697+1</f>
        <v>40313</v>
      </c>
      <c r="W3697">
        <f>IF(D3697=' Pivot Tables'!$A$4,1,0)</f>
        <v>0</v>
      </c>
      <c r="X3697">
        <f>IF(AND(LEFT(D3697,4)+1=LEFT(' Pivot Tables'!$A$4,4)+0,RIGHT(LEFT(D3697,7),2)=RIGHT(LEFT(' Pivot Tables'!$A$4,7),2)),1,0)</f>
        <v>0</v>
      </c>
      <c r="Y3697" s="6">
        <f>1/COUNTIF(Таблица1[Order ID],Таблица1[[#This Row],[Order ID]])</f>
        <v>1</v>
      </c>
      <c r="Z3697" s="9">
        <f>1/COUNTIFS(Таблица1[Customer Name],Таблица1[[#This Row],[Customer Name]],Таблица1[Order-Year-Month],Таблица1[[#This Row],[Order-Year-Month]])</f>
        <v>1</v>
      </c>
    </row>
    <row r="3698" spans="1:26" x14ac:dyDescent="0.2">
      <c r="A3698" s="6">
        <v>4866</v>
      </c>
      <c r="B3698" s="7">
        <v>34657</v>
      </c>
      <c r="C3698" s="8">
        <f>DATE(2012,12,31)-971</f>
        <v>40303</v>
      </c>
      <c r="D3698" s="8" t="str">
        <f t="shared" si="70"/>
        <v>2010-05 (май 2010)</v>
      </c>
      <c r="E3698" s="9" t="s">
        <v>21</v>
      </c>
      <c r="F3698" s="7">
        <v>46</v>
      </c>
      <c r="G3698" s="7">
        <v>1396.75</v>
      </c>
      <c r="H3698" s="7">
        <v>0.04</v>
      </c>
      <c r="I3698" s="9" t="s">
        <v>56</v>
      </c>
      <c r="J3698" s="10">
        <v>-75.7</v>
      </c>
      <c r="K3698" s="11">
        <v>30.98</v>
      </c>
      <c r="L3698" s="11">
        <v>19.510000000000002</v>
      </c>
      <c r="M3698" s="9" t="s">
        <v>1676</v>
      </c>
      <c r="N3698" s="6" t="s">
        <v>1595</v>
      </c>
      <c r="O3698" s="6" t="s">
        <v>1595</v>
      </c>
      <c r="P3698" s="9" t="s">
        <v>41</v>
      </c>
      <c r="Q3698" s="9" t="s">
        <v>26</v>
      </c>
      <c r="R3698" s="9" t="s">
        <v>76</v>
      </c>
      <c r="S3698" s="7" t="s">
        <v>1504</v>
      </c>
      <c r="T3698" s="9" t="s">
        <v>39</v>
      </c>
      <c r="U3698" s="7">
        <v>0.36</v>
      </c>
      <c r="V3698" s="12">
        <f>C3698+9</f>
        <v>40312</v>
      </c>
      <c r="W3698">
        <f>IF(D3698=' Pivot Tables'!$A$4,1,0)</f>
        <v>0</v>
      </c>
      <c r="X3698">
        <f>IF(AND(LEFT(D3698,4)+1=LEFT(' Pivot Tables'!$A$4,4)+0,RIGHT(LEFT(D3698,7),2)=RIGHT(LEFT(' Pivot Tables'!$A$4,7),2)),1,0)</f>
        <v>0</v>
      </c>
      <c r="Y3698" s="6">
        <f>1/COUNTIF(Таблица1[Order ID],Таблица1[[#This Row],[Order ID]])</f>
        <v>1</v>
      </c>
      <c r="Z3698" s="9">
        <f>1/COUNTIFS(Таблица1[Customer Name],Таблица1[[#This Row],[Customer Name]],Таблица1[Order-Year-Month],Таблица1[[#This Row],[Order-Year-Month]])</f>
        <v>1</v>
      </c>
    </row>
    <row r="3699" spans="1:26" x14ac:dyDescent="0.2">
      <c r="A3699" s="6">
        <v>4884</v>
      </c>
      <c r="B3699" s="7">
        <v>34727</v>
      </c>
      <c r="C3699" s="8">
        <f>DATE(2012,12,31)-659</f>
        <v>40615</v>
      </c>
      <c r="D3699" s="8" t="str">
        <f t="shared" si="70"/>
        <v>2011-03 (март 2011)</v>
      </c>
      <c r="E3699" s="9" t="s">
        <v>21</v>
      </c>
      <c r="F3699" s="7">
        <v>20</v>
      </c>
      <c r="G3699" s="7">
        <v>159.71</v>
      </c>
      <c r="H3699" s="7">
        <v>0.1</v>
      </c>
      <c r="I3699" s="9" t="s">
        <v>56</v>
      </c>
      <c r="J3699" s="10">
        <v>-114.4135</v>
      </c>
      <c r="K3699" s="11">
        <v>8.0399999999999991</v>
      </c>
      <c r="L3699" s="11">
        <v>8.94</v>
      </c>
      <c r="M3699" s="9" t="s">
        <v>1660</v>
      </c>
      <c r="N3699" s="6" t="s">
        <v>1595</v>
      </c>
      <c r="O3699" s="6" t="s">
        <v>1595</v>
      </c>
      <c r="P3699" s="9" t="s">
        <v>41</v>
      </c>
      <c r="Q3699" s="9" t="s">
        <v>26</v>
      </c>
      <c r="R3699" s="9" t="s">
        <v>37</v>
      </c>
      <c r="S3699" s="7" t="s">
        <v>529</v>
      </c>
      <c r="T3699" s="9" t="s">
        <v>39</v>
      </c>
      <c r="U3699" s="7">
        <v>0.4</v>
      </c>
      <c r="V3699" s="12">
        <f>C3699+4</f>
        <v>40619</v>
      </c>
      <c r="W3699">
        <f>IF(D3699=' Pivot Tables'!$A$4,1,0)</f>
        <v>0</v>
      </c>
      <c r="X3699">
        <f>IF(AND(LEFT(D3699,4)+1=LEFT(' Pivot Tables'!$A$4,4)+0,RIGHT(LEFT(D3699,7),2)=RIGHT(LEFT(' Pivot Tables'!$A$4,7),2)),1,0)</f>
        <v>0</v>
      </c>
      <c r="Y3699" s="6">
        <f>1/COUNTIF(Таблица1[Order ID],Таблица1[[#This Row],[Order ID]])</f>
        <v>1</v>
      </c>
      <c r="Z3699" s="9">
        <f>1/COUNTIFS(Таблица1[Customer Name],Таблица1[[#This Row],[Customer Name]],Таблица1[Order-Year-Month],Таблица1[[#This Row],[Order-Year-Month]])</f>
        <v>1</v>
      </c>
    </row>
    <row r="3700" spans="1:26" x14ac:dyDescent="0.2">
      <c r="A3700" s="6">
        <v>4902</v>
      </c>
      <c r="B3700" s="7">
        <v>34881</v>
      </c>
      <c r="C3700" s="8">
        <f>DATE(2012,12,31)-693</f>
        <v>40581</v>
      </c>
      <c r="D3700" s="8" t="str">
        <f t="shared" si="70"/>
        <v>2011-02 (февраль 2011)</v>
      </c>
      <c r="E3700" s="9" t="s">
        <v>63</v>
      </c>
      <c r="F3700" s="7">
        <v>37</v>
      </c>
      <c r="G3700" s="7">
        <v>187.37</v>
      </c>
      <c r="H3700" s="7">
        <v>0.01</v>
      </c>
      <c r="I3700" s="9" t="s">
        <v>22</v>
      </c>
      <c r="J3700" s="10">
        <v>-85.007999999999996</v>
      </c>
      <c r="K3700" s="11">
        <v>4.9800000000000004</v>
      </c>
      <c r="L3700" s="11">
        <v>4.95</v>
      </c>
      <c r="M3700" s="9" t="s">
        <v>1661</v>
      </c>
      <c r="N3700" s="6" t="s">
        <v>1595</v>
      </c>
      <c r="O3700" s="6" t="s">
        <v>1595</v>
      </c>
      <c r="P3700" s="9" t="s">
        <v>41</v>
      </c>
      <c r="Q3700" s="9" t="s">
        <v>26</v>
      </c>
      <c r="R3700" s="9" t="s">
        <v>37</v>
      </c>
      <c r="S3700" s="7" t="s">
        <v>691</v>
      </c>
      <c r="T3700" s="9" t="s">
        <v>39</v>
      </c>
      <c r="U3700" s="7">
        <v>0.37</v>
      </c>
      <c r="V3700" s="12">
        <f>C3700+2</f>
        <v>40583</v>
      </c>
      <c r="W3700">
        <f>IF(D3700=' Pivot Tables'!$A$4,1,0)</f>
        <v>0</v>
      </c>
      <c r="X3700">
        <f>IF(AND(LEFT(D3700,4)+1=LEFT(' Pivot Tables'!$A$4,4)+0,RIGHT(LEFT(D3700,7),2)=RIGHT(LEFT(' Pivot Tables'!$A$4,7),2)),1,0)</f>
        <v>0</v>
      </c>
      <c r="Y3700" s="6">
        <f>1/COUNTIF(Таблица1[Order ID],Таблица1[[#This Row],[Order ID]])</f>
        <v>1</v>
      </c>
      <c r="Z3700" s="9">
        <f>1/COUNTIFS(Таблица1[Customer Name],Таблица1[[#This Row],[Customer Name]],Таблица1[Order-Year-Month],Таблица1[[#This Row],[Order-Year-Month]])</f>
        <v>1</v>
      </c>
    </row>
    <row r="3701" spans="1:26" x14ac:dyDescent="0.2">
      <c r="A3701" s="6">
        <v>4903</v>
      </c>
      <c r="B3701" s="7">
        <v>34882</v>
      </c>
      <c r="C3701" s="8">
        <f>DATE(2012,12,31)-1256</f>
        <v>40018</v>
      </c>
      <c r="D3701" s="8" t="str">
        <f t="shared" si="70"/>
        <v>2009-07 (июль 2009)</v>
      </c>
      <c r="E3701" s="9" t="s">
        <v>78</v>
      </c>
      <c r="F3701" s="7">
        <v>43</v>
      </c>
      <c r="G3701" s="7">
        <v>84.61</v>
      </c>
      <c r="H3701" s="7">
        <v>0.03</v>
      </c>
      <c r="I3701" s="9" t="s">
        <v>22</v>
      </c>
      <c r="J3701" s="10">
        <v>-15.099500000000001</v>
      </c>
      <c r="K3701" s="11">
        <v>1.88</v>
      </c>
      <c r="L3701" s="11">
        <v>1.49</v>
      </c>
      <c r="M3701" s="9" t="s">
        <v>1695</v>
      </c>
      <c r="N3701" s="6" t="s">
        <v>1595</v>
      </c>
      <c r="O3701" s="6" t="s">
        <v>1595</v>
      </c>
      <c r="P3701" s="9" t="s">
        <v>60</v>
      </c>
      <c r="Q3701" s="9" t="s">
        <v>26</v>
      </c>
      <c r="R3701" s="9" t="s">
        <v>37</v>
      </c>
      <c r="S3701" s="7" t="s">
        <v>172</v>
      </c>
      <c r="T3701" s="9" t="s">
        <v>39</v>
      </c>
      <c r="U3701" s="7">
        <v>0.37</v>
      </c>
      <c r="V3701" s="12">
        <f>C3701+1</f>
        <v>40019</v>
      </c>
      <c r="W3701">
        <f>IF(D3701=' Pivot Tables'!$A$4,1,0)</f>
        <v>0</v>
      </c>
      <c r="X3701">
        <f>IF(AND(LEFT(D3701,4)+1=LEFT(' Pivot Tables'!$A$4,4)+0,RIGHT(LEFT(D3701,7),2)=RIGHT(LEFT(' Pivot Tables'!$A$4,7),2)),1,0)</f>
        <v>0</v>
      </c>
      <c r="Y3701" s="6">
        <f>1/COUNTIF(Таблица1[Order ID],Таблица1[[#This Row],[Order ID]])</f>
        <v>1</v>
      </c>
      <c r="Z3701" s="9">
        <f>1/COUNTIFS(Таблица1[Customer Name],Таблица1[[#This Row],[Customer Name]],Таблица1[Order-Year-Month],Таблица1[[#This Row],[Order-Year-Month]])</f>
        <v>1</v>
      </c>
    </row>
    <row r="3702" spans="1:26" x14ac:dyDescent="0.2">
      <c r="A3702" s="6">
        <v>4906</v>
      </c>
      <c r="B3702" s="7">
        <v>34916</v>
      </c>
      <c r="C3702" s="8">
        <f>DATE(2012,12,31)-875</f>
        <v>40399</v>
      </c>
      <c r="D3702" s="8" t="str">
        <f t="shared" si="70"/>
        <v>2010-08 (август 2010)</v>
      </c>
      <c r="E3702" s="9" t="s">
        <v>30</v>
      </c>
      <c r="F3702" s="7">
        <v>3</v>
      </c>
      <c r="G3702" s="7">
        <v>24.36</v>
      </c>
      <c r="H3702" s="7">
        <v>0.08</v>
      </c>
      <c r="I3702" s="9" t="s">
        <v>56</v>
      </c>
      <c r="J3702" s="10">
        <v>10.039999999999999</v>
      </c>
      <c r="K3702" s="11">
        <v>4.82</v>
      </c>
      <c r="L3702" s="11">
        <v>5.72</v>
      </c>
      <c r="M3702" s="9" t="s">
        <v>1687</v>
      </c>
      <c r="N3702" s="6" t="s">
        <v>1595</v>
      </c>
      <c r="O3702" s="6" t="s">
        <v>1595</v>
      </c>
      <c r="P3702" s="9" t="s">
        <v>33</v>
      </c>
      <c r="Q3702" s="9" t="s">
        <v>49</v>
      </c>
      <c r="R3702" s="9" t="s">
        <v>50</v>
      </c>
      <c r="S3702" s="7" t="s">
        <v>584</v>
      </c>
      <c r="T3702" s="9" t="s">
        <v>52</v>
      </c>
      <c r="U3702" s="7">
        <v>0.47</v>
      </c>
      <c r="V3702" s="12">
        <f>C3702+2</f>
        <v>40401</v>
      </c>
      <c r="W3702">
        <f>IF(D3702=' Pivot Tables'!$A$4,1,0)</f>
        <v>0</v>
      </c>
      <c r="X3702">
        <f>IF(AND(LEFT(D3702,4)+1=LEFT(' Pivot Tables'!$A$4,4)+0,RIGHT(LEFT(D3702,7),2)=RIGHT(LEFT(' Pivot Tables'!$A$4,7),2)),1,0)</f>
        <v>0</v>
      </c>
      <c r="Y3702" s="6">
        <f>1/COUNTIF(Таблица1[Order ID],Таблица1[[#This Row],[Order ID]])</f>
        <v>1</v>
      </c>
      <c r="Z3702" s="9">
        <f>1/COUNTIFS(Таблица1[Customer Name],Таблица1[[#This Row],[Customer Name]],Таблица1[Order-Year-Month],Таблица1[[#This Row],[Order-Year-Month]])</f>
        <v>0.5</v>
      </c>
    </row>
    <row r="3703" spans="1:26" x14ac:dyDescent="0.2">
      <c r="A3703" s="6">
        <v>4921</v>
      </c>
      <c r="B3703" s="7">
        <v>35041</v>
      </c>
      <c r="C3703" s="8">
        <f>DATE(2012,12,31)-1356</f>
        <v>39918</v>
      </c>
      <c r="D3703" s="8" t="str">
        <f t="shared" si="70"/>
        <v>2009-04 (апрель 2009)</v>
      </c>
      <c r="E3703" s="9" t="s">
        <v>45</v>
      </c>
      <c r="F3703" s="7">
        <v>28</v>
      </c>
      <c r="G3703" s="7">
        <v>443.73</v>
      </c>
      <c r="H3703" s="7">
        <v>0.01</v>
      </c>
      <c r="I3703" s="9" t="s">
        <v>22</v>
      </c>
      <c r="J3703" s="10">
        <v>-200.85899999999998</v>
      </c>
      <c r="K3703" s="11">
        <v>15.16</v>
      </c>
      <c r="L3703" s="11">
        <v>15.09</v>
      </c>
      <c r="M3703" s="9" t="s">
        <v>1666</v>
      </c>
      <c r="N3703" s="6" t="s">
        <v>1595</v>
      </c>
      <c r="O3703" s="6" t="s">
        <v>1595</v>
      </c>
      <c r="P3703" s="9" t="s">
        <v>60</v>
      </c>
      <c r="Q3703" s="9" t="s">
        <v>26</v>
      </c>
      <c r="R3703" s="9" t="s">
        <v>37</v>
      </c>
      <c r="S3703" s="7" t="s">
        <v>1696</v>
      </c>
      <c r="T3703" s="9" t="s">
        <v>39</v>
      </c>
      <c r="U3703" s="7">
        <v>0.39</v>
      </c>
      <c r="V3703" s="12">
        <f>C3703+0</f>
        <v>39918</v>
      </c>
      <c r="W3703">
        <f>IF(D3703=' Pivot Tables'!$A$4,1,0)</f>
        <v>0</v>
      </c>
      <c r="X3703">
        <f>IF(AND(LEFT(D3703,4)+1=LEFT(' Pivot Tables'!$A$4,4)+0,RIGHT(LEFT(D3703,7),2)=RIGHT(LEFT(' Pivot Tables'!$A$4,7),2)),1,0)</f>
        <v>0</v>
      </c>
      <c r="Y3703" s="6">
        <f>1/COUNTIF(Таблица1[Order ID],Таблица1[[#This Row],[Order ID]])</f>
        <v>1</v>
      </c>
      <c r="Z3703" s="9">
        <f>1/COUNTIFS(Таблица1[Customer Name],Таблица1[[#This Row],[Customer Name]],Таблица1[Order-Year-Month],Таблица1[[#This Row],[Order-Year-Month]])</f>
        <v>1</v>
      </c>
    </row>
    <row r="3704" spans="1:26" x14ac:dyDescent="0.2">
      <c r="A3704" s="6">
        <v>4965</v>
      </c>
      <c r="B3704" s="7">
        <v>35302</v>
      </c>
      <c r="C3704" s="8">
        <f>DATE(2012,12,31)-938</f>
        <v>40336</v>
      </c>
      <c r="D3704" s="8" t="str">
        <f t="shared" si="70"/>
        <v>2010-06 (июнь 2010)</v>
      </c>
      <c r="E3704" s="9" t="s">
        <v>63</v>
      </c>
      <c r="F3704" s="7">
        <v>6</v>
      </c>
      <c r="G3704" s="7">
        <v>188.44</v>
      </c>
      <c r="H3704" s="7">
        <v>0.09</v>
      </c>
      <c r="I3704" s="9" t="s">
        <v>22</v>
      </c>
      <c r="J3704" s="10">
        <v>17.57</v>
      </c>
      <c r="K3704" s="11">
        <v>30.98</v>
      </c>
      <c r="L3704" s="11">
        <v>5.76</v>
      </c>
      <c r="M3704" s="9" t="s">
        <v>1677</v>
      </c>
      <c r="N3704" s="6" t="s">
        <v>1595</v>
      </c>
      <c r="O3704" s="6" t="s">
        <v>1595</v>
      </c>
      <c r="P3704" s="9" t="s">
        <v>25</v>
      </c>
      <c r="Q3704" s="9" t="s">
        <v>26</v>
      </c>
      <c r="R3704" s="9" t="s">
        <v>61</v>
      </c>
      <c r="S3704" s="7" t="s">
        <v>117</v>
      </c>
      <c r="T3704" s="9" t="s">
        <v>39</v>
      </c>
      <c r="U3704" s="7">
        <v>0.4</v>
      </c>
      <c r="V3704" s="12">
        <f>C3704+0</f>
        <v>40336</v>
      </c>
      <c r="W3704">
        <f>IF(D3704=' Pivot Tables'!$A$4,1,0)</f>
        <v>0</v>
      </c>
      <c r="X3704">
        <f>IF(AND(LEFT(D3704,4)+1=LEFT(' Pivot Tables'!$A$4,4)+0,RIGHT(LEFT(D3704,7),2)=RIGHT(LEFT(' Pivot Tables'!$A$4,7),2)),1,0)</f>
        <v>0</v>
      </c>
      <c r="Y3704" s="6">
        <f>1/COUNTIF(Таблица1[Order ID],Таблица1[[#This Row],[Order ID]])</f>
        <v>0.5</v>
      </c>
      <c r="Z3704" s="9">
        <f>1/COUNTIFS(Таблица1[Customer Name],Таблица1[[#This Row],[Customer Name]],Таблица1[Order-Year-Month],Таблица1[[#This Row],[Order-Year-Month]])</f>
        <v>0.5</v>
      </c>
    </row>
    <row r="3705" spans="1:26" x14ac:dyDescent="0.2">
      <c r="A3705" s="6">
        <v>4966</v>
      </c>
      <c r="B3705" s="7">
        <v>35302</v>
      </c>
      <c r="C3705" s="8">
        <f>DATE(2012,12,31)-938</f>
        <v>40336</v>
      </c>
      <c r="D3705" s="8" t="str">
        <f t="shared" si="70"/>
        <v>2010-06 (июнь 2010)</v>
      </c>
      <c r="E3705" s="9" t="s">
        <v>63</v>
      </c>
      <c r="F3705" s="7">
        <v>13</v>
      </c>
      <c r="G3705" s="7">
        <v>1265.4969999999998</v>
      </c>
      <c r="H3705" s="7">
        <v>0.1</v>
      </c>
      <c r="I3705" s="9" t="s">
        <v>22</v>
      </c>
      <c r="J3705" s="10">
        <v>-228.184</v>
      </c>
      <c r="K3705" s="11">
        <v>125.99</v>
      </c>
      <c r="L3705" s="11">
        <v>7.69</v>
      </c>
      <c r="M3705" s="9" t="s">
        <v>1677</v>
      </c>
      <c r="N3705" s="6" t="s">
        <v>1595</v>
      </c>
      <c r="O3705" s="6" t="s">
        <v>1595</v>
      </c>
      <c r="P3705" s="9" t="s">
        <v>25</v>
      </c>
      <c r="Q3705" s="9" t="s">
        <v>42</v>
      </c>
      <c r="R3705" s="9" t="s">
        <v>43</v>
      </c>
      <c r="S3705" s="7" t="s">
        <v>843</v>
      </c>
      <c r="T3705" s="9" t="s">
        <v>39</v>
      </c>
      <c r="U3705" s="7">
        <v>0.59</v>
      </c>
      <c r="V3705" s="12">
        <f>C3705+1</f>
        <v>40337</v>
      </c>
      <c r="W3705">
        <f>IF(D3705=' Pivot Tables'!$A$4,1,0)</f>
        <v>0</v>
      </c>
      <c r="X3705">
        <f>IF(AND(LEFT(D3705,4)+1=LEFT(' Pivot Tables'!$A$4,4)+0,RIGHT(LEFT(D3705,7),2)=RIGHT(LEFT(' Pivot Tables'!$A$4,7),2)),1,0)</f>
        <v>0</v>
      </c>
      <c r="Y3705" s="6">
        <f>1/COUNTIF(Таблица1[Order ID],Таблица1[[#This Row],[Order ID]])</f>
        <v>0.5</v>
      </c>
      <c r="Z3705" s="9">
        <f>1/COUNTIFS(Таблица1[Customer Name],Таблица1[[#This Row],[Customer Name]],Таблица1[Order-Year-Month],Таблица1[[#This Row],[Order-Year-Month]])</f>
        <v>0.5</v>
      </c>
    </row>
    <row r="3706" spans="1:26" x14ac:dyDescent="0.2">
      <c r="A3706" s="6">
        <v>5027</v>
      </c>
      <c r="B3706" s="7">
        <v>35841</v>
      </c>
      <c r="C3706" s="8">
        <f>DATE(2012,12,31)-603</f>
        <v>40671</v>
      </c>
      <c r="D3706" s="8" t="str">
        <f t="shared" si="70"/>
        <v>2011-05 (май 2011)</v>
      </c>
      <c r="E3706" s="9" t="s">
        <v>63</v>
      </c>
      <c r="F3706" s="7">
        <v>23</v>
      </c>
      <c r="G3706" s="7">
        <v>230.41</v>
      </c>
      <c r="H3706" s="7">
        <v>0.06</v>
      </c>
      <c r="I3706" s="9" t="s">
        <v>22</v>
      </c>
      <c r="J3706" s="10">
        <v>94.39</v>
      </c>
      <c r="K3706" s="11">
        <v>9.9</v>
      </c>
      <c r="L3706" s="11">
        <v>1.39</v>
      </c>
      <c r="M3706" s="9" t="s">
        <v>1679</v>
      </c>
      <c r="N3706" s="6" t="s">
        <v>1595</v>
      </c>
      <c r="O3706" s="6" t="s">
        <v>1595</v>
      </c>
      <c r="P3706" s="9" t="s">
        <v>25</v>
      </c>
      <c r="Q3706" s="9" t="s">
        <v>26</v>
      </c>
      <c r="R3706" s="9" t="s">
        <v>76</v>
      </c>
      <c r="S3706" s="7" t="s">
        <v>1664</v>
      </c>
      <c r="T3706" s="9" t="s">
        <v>39</v>
      </c>
      <c r="U3706" s="7">
        <v>0.37</v>
      </c>
      <c r="V3706" s="12">
        <f>C3706+1</f>
        <v>40672</v>
      </c>
      <c r="W3706">
        <f>IF(D3706=' Pivot Tables'!$A$4,1,0)</f>
        <v>0</v>
      </c>
      <c r="X3706">
        <f>IF(AND(LEFT(D3706,4)+1=LEFT(' Pivot Tables'!$A$4,4)+0,RIGHT(LEFT(D3706,7),2)=RIGHT(LEFT(' Pivot Tables'!$A$4,7),2)),1,0)</f>
        <v>0</v>
      </c>
      <c r="Y3706" s="6">
        <f>1/COUNTIF(Таблица1[Order ID],Таблица1[[#This Row],[Order ID]])</f>
        <v>0.5</v>
      </c>
      <c r="Z3706" s="9">
        <f>1/COUNTIFS(Таблица1[Customer Name],Таблица1[[#This Row],[Customer Name]],Таблица1[Order-Year-Month],Таблица1[[#This Row],[Order-Year-Month]])</f>
        <v>0.5</v>
      </c>
    </row>
    <row r="3707" spans="1:26" x14ac:dyDescent="0.2">
      <c r="A3707" s="6">
        <v>5028</v>
      </c>
      <c r="B3707" s="7">
        <v>35841</v>
      </c>
      <c r="C3707" s="8">
        <f>DATE(2012,12,31)-603</f>
        <v>40671</v>
      </c>
      <c r="D3707" s="8" t="str">
        <f t="shared" si="70"/>
        <v>2011-05 (май 2011)</v>
      </c>
      <c r="E3707" s="9" t="s">
        <v>63</v>
      </c>
      <c r="F3707" s="7">
        <v>48</v>
      </c>
      <c r="G3707" s="7">
        <v>5163.0105000000003</v>
      </c>
      <c r="H3707" s="7">
        <v>7.0000000000000007E-2</v>
      </c>
      <c r="I3707" s="9" t="s">
        <v>22</v>
      </c>
      <c r="J3707" s="10">
        <v>1448.325</v>
      </c>
      <c r="K3707" s="11">
        <v>125.99</v>
      </c>
      <c r="L3707" s="11">
        <v>8.08</v>
      </c>
      <c r="M3707" s="9" t="s">
        <v>1679</v>
      </c>
      <c r="N3707" s="6" t="s">
        <v>1595</v>
      </c>
      <c r="O3707" s="6" t="s">
        <v>1595</v>
      </c>
      <c r="P3707" s="9" t="s">
        <v>25</v>
      </c>
      <c r="Q3707" s="9" t="s">
        <v>42</v>
      </c>
      <c r="R3707" s="9" t="s">
        <v>43</v>
      </c>
      <c r="S3707" s="7" t="s">
        <v>586</v>
      </c>
      <c r="T3707" s="9" t="s">
        <v>39</v>
      </c>
      <c r="U3707" s="7">
        <v>0.56999999999999995</v>
      </c>
      <c r="V3707" s="12">
        <f>C3707+1</f>
        <v>40672</v>
      </c>
      <c r="W3707">
        <f>IF(D3707=' Pivot Tables'!$A$4,1,0)</f>
        <v>0</v>
      </c>
      <c r="X3707">
        <f>IF(AND(LEFT(D3707,4)+1=LEFT(' Pivot Tables'!$A$4,4)+0,RIGHT(LEFT(D3707,7),2)=RIGHT(LEFT(' Pivot Tables'!$A$4,7),2)),1,0)</f>
        <v>0</v>
      </c>
      <c r="Y3707" s="6">
        <f>1/COUNTIF(Таблица1[Order ID],Таблица1[[#This Row],[Order ID]])</f>
        <v>0.5</v>
      </c>
      <c r="Z3707" s="9">
        <f>1/COUNTIFS(Таблица1[Customer Name],Таблица1[[#This Row],[Customer Name]],Таблица1[Order-Year-Month],Таблица1[[#This Row],[Order-Year-Month]])</f>
        <v>0.5</v>
      </c>
    </row>
    <row r="3708" spans="1:26" x14ac:dyDescent="0.2">
      <c r="A3708" s="6">
        <v>5054</v>
      </c>
      <c r="B3708" s="7">
        <v>36034</v>
      </c>
      <c r="C3708" s="8">
        <f>DATE(2012,12,31)-76</f>
        <v>41198</v>
      </c>
      <c r="D3708" s="8" t="str">
        <f t="shared" si="70"/>
        <v>2012-10 (октябрь 2012)</v>
      </c>
      <c r="E3708" s="9" t="s">
        <v>30</v>
      </c>
      <c r="F3708" s="7">
        <v>10</v>
      </c>
      <c r="G3708" s="7">
        <v>19.36</v>
      </c>
      <c r="H3708" s="7">
        <v>0</v>
      </c>
      <c r="I3708" s="9" t="s">
        <v>22</v>
      </c>
      <c r="J3708" s="10">
        <v>-1.02</v>
      </c>
      <c r="K3708" s="11">
        <v>1.76</v>
      </c>
      <c r="L3708" s="11">
        <v>0.7</v>
      </c>
      <c r="M3708" s="9" t="s">
        <v>1691</v>
      </c>
      <c r="N3708" s="6" t="s">
        <v>1595</v>
      </c>
      <c r="O3708" s="6" t="s">
        <v>1595</v>
      </c>
      <c r="P3708" s="9" t="s">
        <v>33</v>
      </c>
      <c r="Q3708" s="9" t="s">
        <v>26</v>
      </c>
      <c r="R3708" s="9" t="s">
        <v>95</v>
      </c>
      <c r="S3708" s="7" t="s">
        <v>193</v>
      </c>
      <c r="T3708" s="9" t="s">
        <v>68</v>
      </c>
      <c r="U3708" s="7">
        <v>0.56000000000000005</v>
      </c>
      <c r="V3708" s="12">
        <f>C3708+2</f>
        <v>41200</v>
      </c>
      <c r="W3708">
        <f>IF(D3708=' Pivot Tables'!$A$4,1,0)</f>
        <v>0</v>
      </c>
      <c r="X3708">
        <f>IF(AND(LEFT(D3708,4)+1=LEFT(' Pivot Tables'!$A$4,4)+0,RIGHT(LEFT(D3708,7),2)=RIGHT(LEFT(' Pivot Tables'!$A$4,7),2)),1,0)</f>
        <v>0</v>
      </c>
      <c r="Y3708" s="6">
        <f>1/COUNTIF(Таблица1[Order ID],Таблица1[[#This Row],[Order ID]])</f>
        <v>1</v>
      </c>
      <c r="Z3708" s="9">
        <f>1/COUNTIFS(Таблица1[Customer Name],Таблица1[[#This Row],[Customer Name]],Таблица1[Order-Year-Month],Таблица1[[#This Row],[Order-Year-Month]])</f>
        <v>1</v>
      </c>
    </row>
    <row r="3709" spans="1:26" x14ac:dyDescent="0.2">
      <c r="A3709" s="6">
        <v>5056</v>
      </c>
      <c r="B3709" s="7">
        <v>36065</v>
      </c>
      <c r="C3709" s="8">
        <f>DATE(2012,12,31)-1048</f>
        <v>40226</v>
      </c>
      <c r="D3709" s="8" t="str">
        <f t="shared" si="70"/>
        <v>2010-02 (февраль 2010)</v>
      </c>
      <c r="E3709" s="9" t="s">
        <v>30</v>
      </c>
      <c r="F3709" s="7">
        <v>31</v>
      </c>
      <c r="G3709" s="7">
        <v>538.29999999999995</v>
      </c>
      <c r="H3709" s="7">
        <v>0.03</v>
      </c>
      <c r="I3709" s="9" t="s">
        <v>22</v>
      </c>
      <c r="J3709" s="10">
        <v>-63.98</v>
      </c>
      <c r="K3709" s="11">
        <v>16.98</v>
      </c>
      <c r="L3709" s="11">
        <v>12.39</v>
      </c>
      <c r="M3709" s="9" t="s">
        <v>1702</v>
      </c>
      <c r="N3709" s="6" t="s">
        <v>1595</v>
      </c>
      <c r="O3709" s="6" t="s">
        <v>1595</v>
      </c>
      <c r="P3709" s="9" t="s">
        <v>25</v>
      </c>
      <c r="Q3709" s="9" t="s">
        <v>26</v>
      </c>
      <c r="R3709" s="9" t="s">
        <v>76</v>
      </c>
      <c r="S3709" s="7" t="s">
        <v>478</v>
      </c>
      <c r="T3709" s="9" t="s">
        <v>39</v>
      </c>
      <c r="U3709" s="7">
        <v>0.35</v>
      </c>
      <c r="V3709" s="12">
        <f>C3709+0</f>
        <v>40226</v>
      </c>
      <c r="W3709">
        <f>IF(D3709=' Pivot Tables'!$A$4,1,0)</f>
        <v>0</v>
      </c>
      <c r="X3709">
        <f>IF(AND(LEFT(D3709,4)+1=LEFT(' Pivot Tables'!$A$4,4)+0,RIGHT(LEFT(D3709,7),2)=RIGHT(LEFT(' Pivot Tables'!$A$4,7),2)),1,0)</f>
        <v>0</v>
      </c>
      <c r="Y3709" s="6">
        <f>1/COUNTIF(Таблица1[Order ID],Таблица1[[#This Row],[Order ID]])</f>
        <v>1</v>
      </c>
      <c r="Z3709" s="9">
        <f>1/COUNTIFS(Таблица1[Customer Name],Таблица1[[#This Row],[Customer Name]],Таблица1[Order-Year-Month],Таблица1[[#This Row],[Order-Year-Month]])</f>
        <v>0.5</v>
      </c>
    </row>
    <row r="3710" spans="1:26" x14ac:dyDescent="0.2">
      <c r="A3710" s="6">
        <v>5097</v>
      </c>
      <c r="B3710" s="7">
        <v>36355</v>
      </c>
      <c r="C3710" s="8">
        <f>DATE(2012,12,31)-1125</f>
        <v>40149</v>
      </c>
      <c r="D3710" s="8" t="str">
        <f t="shared" si="70"/>
        <v>2009-12 (декабрь 2009)</v>
      </c>
      <c r="E3710" s="9" t="s">
        <v>63</v>
      </c>
      <c r="F3710" s="7">
        <v>9</v>
      </c>
      <c r="G3710" s="7">
        <v>61.43</v>
      </c>
      <c r="H3710" s="7">
        <v>0.09</v>
      </c>
      <c r="I3710" s="9" t="s">
        <v>56</v>
      </c>
      <c r="J3710" s="10">
        <v>-42.975499999999997</v>
      </c>
      <c r="K3710" s="11">
        <v>5.4</v>
      </c>
      <c r="L3710" s="11">
        <v>7.78</v>
      </c>
      <c r="M3710" s="9" t="s">
        <v>1659</v>
      </c>
      <c r="N3710" s="6" t="s">
        <v>1595</v>
      </c>
      <c r="O3710" s="6" t="s">
        <v>1595</v>
      </c>
      <c r="P3710" s="9" t="s">
        <v>60</v>
      </c>
      <c r="Q3710" s="9" t="s">
        <v>26</v>
      </c>
      <c r="R3710" s="9" t="s">
        <v>37</v>
      </c>
      <c r="S3710" s="7" t="s">
        <v>330</v>
      </c>
      <c r="T3710" s="9" t="s">
        <v>39</v>
      </c>
      <c r="U3710" s="7">
        <v>0.37</v>
      </c>
      <c r="V3710" s="12">
        <f>C3710+0</f>
        <v>40149</v>
      </c>
      <c r="W3710">
        <f>IF(D3710=' Pivot Tables'!$A$4,1,0)</f>
        <v>0</v>
      </c>
      <c r="X3710">
        <f>IF(AND(LEFT(D3710,4)+1=LEFT(' Pivot Tables'!$A$4,4)+0,RIGHT(LEFT(D3710,7),2)=RIGHT(LEFT(' Pivot Tables'!$A$4,7),2)),1,0)</f>
        <v>0</v>
      </c>
      <c r="Y3710" s="6">
        <f>1/COUNTIF(Таблица1[Order ID],Таблица1[[#This Row],[Order ID]])</f>
        <v>0.25</v>
      </c>
      <c r="Z3710" s="9">
        <f>1/COUNTIFS(Таблица1[Customer Name],Таблица1[[#This Row],[Customer Name]],Таблица1[Order-Year-Month],Таблица1[[#This Row],[Order-Year-Month]])</f>
        <v>0.25</v>
      </c>
    </row>
    <row r="3711" spans="1:26" x14ac:dyDescent="0.2">
      <c r="A3711" s="6">
        <v>5098</v>
      </c>
      <c r="B3711" s="7">
        <v>36355</v>
      </c>
      <c r="C3711" s="8">
        <f>DATE(2012,12,31)-1125</f>
        <v>40149</v>
      </c>
      <c r="D3711" s="8" t="str">
        <f t="shared" si="70"/>
        <v>2009-12 (декабрь 2009)</v>
      </c>
      <c r="E3711" s="9" t="s">
        <v>63</v>
      </c>
      <c r="F3711" s="7">
        <v>6</v>
      </c>
      <c r="G3711" s="7">
        <v>129.5</v>
      </c>
      <c r="H3711" s="7">
        <v>0.02</v>
      </c>
      <c r="I3711" s="9" t="s">
        <v>22</v>
      </c>
      <c r="J3711" s="10">
        <v>65.489999999999995</v>
      </c>
      <c r="K3711" s="11">
        <v>20.28</v>
      </c>
      <c r="L3711" s="11">
        <v>6.68</v>
      </c>
      <c r="M3711" s="9" t="s">
        <v>1659</v>
      </c>
      <c r="N3711" s="6" t="s">
        <v>1595</v>
      </c>
      <c r="O3711" s="6" t="s">
        <v>1595</v>
      </c>
      <c r="P3711" s="9" t="s">
        <v>60</v>
      </c>
      <c r="Q3711" s="9" t="s">
        <v>49</v>
      </c>
      <c r="R3711" s="9" t="s">
        <v>50</v>
      </c>
      <c r="S3711" s="7" t="s">
        <v>1621</v>
      </c>
      <c r="T3711" s="9" t="s">
        <v>39</v>
      </c>
      <c r="U3711" s="7">
        <v>0.53</v>
      </c>
      <c r="V3711" s="12">
        <f>C3711+0</f>
        <v>40149</v>
      </c>
      <c r="W3711">
        <f>IF(D3711=' Pivot Tables'!$A$4,1,0)</f>
        <v>0</v>
      </c>
      <c r="X3711">
        <f>IF(AND(LEFT(D3711,4)+1=LEFT(' Pivot Tables'!$A$4,4)+0,RIGHT(LEFT(D3711,7),2)=RIGHT(LEFT(' Pivot Tables'!$A$4,7),2)),1,0)</f>
        <v>0</v>
      </c>
      <c r="Y3711" s="6">
        <f>1/COUNTIF(Таблица1[Order ID],Таблица1[[#This Row],[Order ID]])</f>
        <v>0.25</v>
      </c>
      <c r="Z3711" s="9">
        <f>1/COUNTIFS(Таблица1[Customer Name],Таблица1[[#This Row],[Customer Name]],Таблица1[Order-Year-Month],Таблица1[[#This Row],[Order-Year-Month]])</f>
        <v>0.25</v>
      </c>
    </row>
    <row r="3712" spans="1:26" x14ac:dyDescent="0.2">
      <c r="A3712" s="6">
        <v>5099</v>
      </c>
      <c r="B3712" s="7">
        <v>36355</v>
      </c>
      <c r="C3712" s="8">
        <f>DATE(2012,12,31)-1125</f>
        <v>40149</v>
      </c>
      <c r="D3712" s="8" t="str">
        <f t="shared" si="70"/>
        <v>2009-12 (декабрь 2009)</v>
      </c>
      <c r="E3712" s="9" t="s">
        <v>63</v>
      </c>
      <c r="F3712" s="7">
        <v>10</v>
      </c>
      <c r="G3712" s="7">
        <v>125.95</v>
      </c>
      <c r="H3712" s="7">
        <v>0</v>
      </c>
      <c r="I3712" s="9" t="s">
        <v>22</v>
      </c>
      <c r="J3712" s="10">
        <v>15.73</v>
      </c>
      <c r="K3712" s="11">
        <v>11.55</v>
      </c>
      <c r="L3712" s="11">
        <v>2.36</v>
      </c>
      <c r="M3712" s="9" t="s">
        <v>1659</v>
      </c>
      <c r="N3712" s="6" t="s">
        <v>1595</v>
      </c>
      <c r="O3712" s="6" t="s">
        <v>1595</v>
      </c>
      <c r="P3712" s="9" t="s">
        <v>60</v>
      </c>
      <c r="Q3712" s="9" t="s">
        <v>26</v>
      </c>
      <c r="R3712" s="9" t="s">
        <v>95</v>
      </c>
      <c r="S3712" s="7" t="s">
        <v>990</v>
      </c>
      <c r="T3712" s="9" t="s">
        <v>68</v>
      </c>
      <c r="U3712" s="7">
        <v>0.55000000000000004</v>
      </c>
      <c r="V3712" s="12">
        <f>C3712+1</f>
        <v>40150</v>
      </c>
      <c r="W3712">
        <f>IF(D3712=' Pivot Tables'!$A$4,1,0)</f>
        <v>0</v>
      </c>
      <c r="X3712">
        <f>IF(AND(LEFT(D3712,4)+1=LEFT(' Pivot Tables'!$A$4,4)+0,RIGHT(LEFT(D3712,7),2)=RIGHT(LEFT(' Pivot Tables'!$A$4,7),2)),1,0)</f>
        <v>0</v>
      </c>
      <c r="Y3712" s="6">
        <f>1/COUNTIF(Таблица1[Order ID],Таблица1[[#This Row],[Order ID]])</f>
        <v>0.25</v>
      </c>
      <c r="Z3712" s="9">
        <f>1/COUNTIFS(Таблица1[Customer Name],Таблица1[[#This Row],[Customer Name]],Таблица1[Order-Year-Month],Таблица1[[#This Row],[Order-Year-Month]])</f>
        <v>0.25</v>
      </c>
    </row>
    <row r="3713" spans="1:26" x14ac:dyDescent="0.2">
      <c r="A3713" s="6">
        <v>5100</v>
      </c>
      <c r="B3713" s="7">
        <v>36355</v>
      </c>
      <c r="C3713" s="8">
        <f>DATE(2012,12,31)-1125</f>
        <v>40149</v>
      </c>
      <c r="D3713" s="8" t="str">
        <f t="shared" si="70"/>
        <v>2009-12 (декабрь 2009)</v>
      </c>
      <c r="E3713" s="9" t="s">
        <v>63</v>
      </c>
      <c r="F3713" s="7">
        <v>43</v>
      </c>
      <c r="G3713" s="7">
        <v>90.93</v>
      </c>
      <c r="H3713" s="7">
        <v>0.05</v>
      </c>
      <c r="I3713" s="9" t="s">
        <v>22</v>
      </c>
      <c r="J3713" s="10">
        <v>-72.5</v>
      </c>
      <c r="K3713" s="11">
        <v>2.08</v>
      </c>
      <c r="L3713" s="11">
        <v>2.56</v>
      </c>
      <c r="M3713" s="9" t="s">
        <v>1659</v>
      </c>
      <c r="N3713" s="6" t="s">
        <v>1595</v>
      </c>
      <c r="O3713" s="6" t="s">
        <v>1595</v>
      </c>
      <c r="P3713" s="9" t="s">
        <v>60</v>
      </c>
      <c r="Q3713" s="9" t="s">
        <v>26</v>
      </c>
      <c r="R3713" s="9" t="s">
        <v>150</v>
      </c>
      <c r="S3713" s="7" t="s">
        <v>750</v>
      </c>
      <c r="T3713" s="9" t="s">
        <v>52</v>
      </c>
      <c r="U3713" s="7">
        <v>0.55000000000000004</v>
      </c>
      <c r="V3713" s="12">
        <f>C3713+1</f>
        <v>40150</v>
      </c>
      <c r="W3713">
        <f>IF(D3713=' Pivot Tables'!$A$4,1,0)</f>
        <v>0</v>
      </c>
      <c r="X3713">
        <f>IF(AND(LEFT(D3713,4)+1=LEFT(' Pivot Tables'!$A$4,4)+0,RIGHT(LEFT(D3713,7),2)=RIGHT(LEFT(' Pivot Tables'!$A$4,7),2)),1,0)</f>
        <v>0</v>
      </c>
      <c r="Y3713" s="6">
        <f>1/COUNTIF(Таблица1[Order ID],Таблица1[[#This Row],[Order ID]])</f>
        <v>0.25</v>
      </c>
      <c r="Z3713" s="9">
        <f>1/COUNTIFS(Таблица1[Customer Name],Таблица1[[#This Row],[Customer Name]],Таблица1[Order-Year-Month],Таблица1[[#This Row],[Order-Year-Month]])</f>
        <v>0.25</v>
      </c>
    </row>
    <row r="3714" spans="1:26" x14ac:dyDescent="0.2">
      <c r="A3714" s="6">
        <v>5104</v>
      </c>
      <c r="B3714" s="7">
        <v>36358</v>
      </c>
      <c r="C3714" s="8">
        <f>DATE(2012,12,31)-1328</f>
        <v>39946</v>
      </c>
      <c r="D3714" s="8" t="str">
        <f t="shared" si="70"/>
        <v>2009-05 (май 2009)</v>
      </c>
      <c r="E3714" s="9" t="s">
        <v>45</v>
      </c>
      <c r="F3714" s="7">
        <v>28</v>
      </c>
      <c r="G3714" s="7">
        <v>865.35</v>
      </c>
      <c r="H3714" s="7">
        <v>0.06</v>
      </c>
      <c r="I3714" s="9" t="s">
        <v>22</v>
      </c>
      <c r="J3714" s="10">
        <v>-159.25</v>
      </c>
      <c r="K3714" s="11">
        <v>30.42</v>
      </c>
      <c r="L3714" s="11">
        <v>8.65</v>
      </c>
      <c r="M3714" s="9" t="s">
        <v>1660</v>
      </c>
      <c r="N3714" s="6" t="s">
        <v>1595</v>
      </c>
      <c r="O3714" s="6" t="s">
        <v>1595</v>
      </c>
      <c r="P3714" s="9" t="s">
        <v>41</v>
      </c>
      <c r="Q3714" s="9" t="s">
        <v>42</v>
      </c>
      <c r="R3714" s="9" t="s">
        <v>70</v>
      </c>
      <c r="S3714" s="7" t="s">
        <v>374</v>
      </c>
      <c r="T3714" s="9" t="s">
        <v>39</v>
      </c>
      <c r="U3714" s="7">
        <v>0.74</v>
      </c>
      <c r="V3714" s="12">
        <f>C3714+2</f>
        <v>39948</v>
      </c>
      <c r="W3714">
        <f>IF(D3714=' Pivot Tables'!$A$4,1,0)</f>
        <v>0</v>
      </c>
      <c r="X3714">
        <f>IF(AND(LEFT(D3714,4)+1=LEFT(' Pivot Tables'!$A$4,4)+0,RIGHT(LEFT(D3714,7),2)=RIGHT(LEFT(' Pivot Tables'!$A$4,7),2)),1,0)</f>
        <v>0</v>
      </c>
      <c r="Y3714" s="6">
        <f>1/COUNTIF(Таблица1[Order ID],Таблица1[[#This Row],[Order ID]])</f>
        <v>0.5</v>
      </c>
      <c r="Z3714" s="9">
        <f>1/COUNTIFS(Таблица1[Customer Name],Таблица1[[#This Row],[Customer Name]],Таблица1[Order-Year-Month],Таблица1[[#This Row],[Order-Year-Month]])</f>
        <v>0.5</v>
      </c>
    </row>
    <row r="3715" spans="1:26" x14ac:dyDescent="0.2">
      <c r="A3715" s="6">
        <v>5105</v>
      </c>
      <c r="B3715" s="7">
        <v>36358</v>
      </c>
      <c r="C3715" s="8">
        <f>DATE(2012,12,31)-1328</f>
        <v>39946</v>
      </c>
      <c r="D3715" s="8" t="str">
        <f t="shared" ref="D3715:D3778" si="71">TEXT(C3715,"гггг-ММ (ММММ гггг)")</f>
        <v>2009-05 (май 2009)</v>
      </c>
      <c r="E3715" s="9" t="s">
        <v>45</v>
      </c>
      <c r="F3715" s="7">
        <v>22</v>
      </c>
      <c r="G3715" s="7">
        <v>823.07</v>
      </c>
      <c r="H3715" s="7">
        <v>0.02</v>
      </c>
      <c r="I3715" s="9" t="s">
        <v>22</v>
      </c>
      <c r="J3715" s="10">
        <v>318.25</v>
      </c>
      <c r="K3715" s="11">
        <v>37.94</v>
      </c>
      <c r="L3715" s="11">
        <v>5.08</v>
      </c>
      <c r="M3715" s="9" t="s">
        <v>1660</v>
      </c>
      <c r="N3715" s="6" t="s">
        <v>1595</v>
      </c>
      <c r="O3715" s="6" t="s">
        <v>1595</v>
      </c>
      <c r="P3715" s="9" t="s">
        <v>41</v>
      </c>
      <c r="Q3715" s="9" t="s">
        <v>26</v>
      </c>
      <c r="R3715" s="9" t="s">
        <v>61</v>
      </c>
      <c r="S3715" s="7" t="s">
        <v>684</v>
      </c>
      <c r="T3715" s="9" t="s">
        <v>68</v>
      </c>
      <c r="U3715" s="7">
        <v>0.38</v>
      </c>
      <c r="V3715" s="12">
        <f>C3715+1</f>
        <v>39947</v>
      </c>
      <c r="W3715">
        <f>IF(D3715=' Pivot Tables'!$A$4,1,0)</f>
        <v>0</v>
      </c>
      <c r="X3715">
        <f>IF(AND(LEFT(D3715,4)+1=LEFT(' Pivot Tables'!$A$4,4)+0,RIGHT(LEFT(D3715,7),2)=RIGHT(LEFT(' Pivot Tables'!$A$4,7),2)),1,0)</f>
        <v>0</v>
      </c>
      <c r="Y3715" s="6">
        <f>1/COUNTIF(Таблица1[Order ID],Таблица1[[#This Row],[Order ID]])</f>
        <v>0.5</v>
      </c>
      <c r="Z3715" s="9">
        <f>1/COUNTIFS(Таблица1[Customer Name],Таблица1[[#This Row],[Customer Name]],Таблица1[Order-Year-Month],Таблица1[[#This Row],[Order-Year-Month]])</f>
        <v>0.5</v>
      </c>
    </row>
    <row r="3716" spans="1:26" x14ac:dyDescent="0.2">
      <c r="A3716" s="6">
        <v>5161</v>
      </c>
      <c r="B3716" s="7">
        <v>36739</v>
      </c>
      <c r="C3716" s="8">
        <f>DATE(2012,12,31)-1180</f>
        <v>40094</v>
      </c>
      <c r="D3716" s="8" t="str">
        <f t="shared" si="71"/>
        <v>2009-10 (октябрь 2009)</v>
      </c>
      <c r="E3716" s="9" t="s">
        <v>45</v>
      </c>
      <c r="F3716" s="7">
        <v>16</v>
      </c>
      <c r="G3716" s="7">
        <v>68.040000000000006</v>
      </c>
      <c r="H3716" s="7">
        <v>7.0000000000000007E-2</v>
      </c>
      <c r="I3716" s="9" t="s">
        <v>22</v>
      </c>
      <c r="J3716" s="10">
        <v>-55.521999999999998</v>
      </c>
      <c r="K3716" s="11">
        <v>3.98</v>
      </c>
      <c r="L3716" s="11">
        <v>5.26</v>
      </c>
      <c r="M3716" s="9" t="s">
        <v>1662</v>
      </c>
      <c r="N3716" s="6" t="s">
        <v>1595</v>
      </c>
      <c r="O3716" s="6" t="s">
        <v>1595</v>
      </c>
      <c r="P3716" s="9" t="s">
        <v>33</v>
      </c>
      <c r="Q3716" s="9" t="s">
        <v>26</v>
      </c>
      <c r="R3716" s="9" t="s">
        <v>37</v>
      </c>
      <c r="S3716" s="7" t="s">
        <v>1348</v>
      </c>
      <c r="T3716" s="9" t="s">
        <v>39</v>
      </c>
      <c r="U3716" s="7">
        <v>0.38</v>
      </c>
      <c r="V3716" s="12">
        <f>C3716+2</f>
        <v>40096</v>
      </c>
      <c r="W3716">
        <f>IF(D3716=' Pivot Tables'!$A$4,1,0)</f>
        <v>0</v>
      </c>
      <c r="X3716">
        <f>IF(AND(LEFT(D3716,4)+1=LEFT(' Pivot Tables'!$A$4,4)+0,RIGHT(LEFT(D3716,7),2)=RIGHT(LEFT(' Pivot Tables'!$A$4,7),2)),1,0)</f>
        <v>0</v>
      </c>
      <c r="Y3716" s="6">
        <f>1/COUNTIF(Таблица1[Order ID],Таблица1[[#This Row],[Order ID]])</f>
        <v>0.5</v>
      </c>
      <c r="Z3716" s="9">
        <f>1/COUNTIFS(Таблица1[Customer Name],Таблица1[[#This Row],[Customer Name]],Таблица1[Order-Year-Month],Таблица1[[#This Row],[Order-Year-Month]])</f>
        <v>0.5</v>
      </c>
    </row>
    <row r="3717" spans="1:26" x14ac:dyDescent="0.2">
      <c r="A3717" s="6">
        <v>5162</v>
      </c>
      <c r="B3717" s="7">
        <v>36739</v>
      </c>
      <c r="C3717" s="8">
        <f>DATE(2012,12,31)-1180</f>
        <v>40094</v>
      </c>
      <c r="D3717" s="8" t="str">
        <f t="shared" si="71"/>
        <v>2009-10 (октябрь 2009)</v>
      </c>
      <c r="E3717" s="9" t="s">
        <v>45</v>
      </c>
      <c r="F3717" s="7">
        <v>27</v>
      </c>
      <c r="G3717" s="7">
        <v>331.17</v>
      </c>
      <c r="H3717" s="7">
        <v>7.0000000000000007E-2</v>
      </c>
      <c r="I3717" s="9" t="s">
        <v>22</v>
      </c>
      <c r="J3717" s="10">
        <v>97.19</v>
      </c>
      <c r="K3717" s="11">
        <v>12.22</v>
      </c>
      <c r="L3717" s="11">
        <v>2.85</v>
      </c>
      <c r="M3717" s="9" t="s">
        <v>1662</v>
      </c>
      <c r="N3717" s="6" t="s">
        <v>1595</v>
      </c>
      <c r="O3717" s="6" t="s">
        <v>1595</v>
      </c>
      <c r="P3717" s="9" t="s">
        <v>33</v>
      </c>
      <c r="Q3717" s="9" t="s">
        <v>49</v>
      </c>
      <c r="R3717" s="9" t="s">
        <v>50</v>
      </c>
      <c r="S3717" s="7" t="s">
        <v>245</v>
      </c>
      <c r="T3717" s="9" t="s">
        <v>52</v>
      </c>
      <c r="U3717" s="7">
        <v>0.55000000000000004</v>
      </c>
      <c r="V3717" s="12">
        <f>C3717+0</f>
        <v>40094</v>
      </c>
      <c r="W3717">
        <f>IF(D3717=' Pivot Tables'!$A$4,1,0)</f>
        <v>0</v>
      </c>
      <c r="X3717">
        <f>IF(AND(LEFT(D3717,4)+1=LEFT(' Pivot Tables'!$A$4,4)+0,RIGHT(LEFT(D3717,7),2)=RIGHT(LEFT(' Pivot Tables'!$A$4,7),2)),1,0)</f>
        <v>0</v>
      </c>
      <c r="Y3717" s="6">
        <f>1/COUNTIF(Таблица1[Order ID],Таблица1[[#This Row],[Order ID]])</f>
        <v>0.5</v>
      </c>
      <c r="Z3717" s="9">
        <f>1/COUNTIFS(Таблица1[Customer Name],Таблица1[[#This Row],[Customer Name]],Таблица1[Order-Year-Month],Таблица1[[#This Row],[Order-Year-Month]])</f>
        <v>0.5</v>
      </c>
    </row>
    <row r="3718" spans="1:26" x14ac:dyDescent="0.2">
      <c r="A3718" s="6">
        <v>5165</v>
      </c>
      <c r="B3718" s="7">
        <v>36743</v>
      </c>
      <c r="C3718" s="8">
        <f>DATE(2012,12,31)-114</f>
        <v>41160</v>
      </c>
      <c r="D3718" s="8" t="str">
        <f t="shared" si="71"/>
        <v>2012-09 (сентябрь 2012)</v>
      </c>
      <c r="E3718" s="9" t="s">
        <v>78</v>
      </c>
      <c r="F3718" s="7">
        <v>3</v>
      </c>
      <c r="G3718" s="7">
        <v>26.13</v>
      </c>
      <c r="H3718" s="7">
        <v>0.1</v>
      </c>
      <c r="I3718" s="9" t="s">
        <v>22</v>
      </c>
      <c r="J3718" s="10">
        <v>-10.61</v>
      </c>
      <c r="K3718" s="11">
        <v>7.59</v>
      </c>
      <c r="L3718" s="11">
        <v>4</v>
      </c>
      <c r="M3718" s="9" t="s">
        <v>1692</v>
      </c>
      <c r="N3718" s="6" t="s">
        <v>1595</v>
      </c>
      <c r="O3718" s="6" t="s">
        <v>1595</v>
      </c>
      <c r="P3718" s="9" t="s">
        <v>60</v>
      </c>
      <c r="Q3718" s="9" t="s">
        <v>49</v>
      </c>
      <c r="R3718" s="9" t="s">
        <v>50</v>
      </c>
      <c r="S3718" s="7" t="s">
        <v>504</v>
      </c>
      <c r="T3718" s="9" t="s">
        <v>68</v>
      </c>
      <c r="U3718" s="7">
        <v>0.42</v>
      </c>
      <c r="V3718" s="12">
        <f>C3718+1</f>
        <v>41161</v>
      </c>
      <c r="W3718">
        <f>IF(D3718=' Pivot Tables'!$A$4,1,0)</f>
        <v>0</v>
      </c>
      <c r="X3718">
        <f>IF(AND(LEFT(D3718,4)+1=LEFT(' Pivot Tables'!$A$4,4)+0,RIGHT(LEFT(D3718,7),2)=RIGHT(LEFT(' Pivot Tables'!$A$4,7),2)),1,0)</f>
        <v>0</v>
      </c>
      <c r="Y3718" s="6">
        <f>1/COUNTIF(Таблица1[Order ID],Таблица1[[#This Row],[Order ID]])</f>
        <v>1</v>
      </c>
      <c r="Z3718" s="9">
        <f>1/COUNTIFS(Таблица1[Customer Name],Таблица1[[#This Row],[Customer Name]],Таблица1[Order-Year-Month],Таблица1[[#This Row],[Order-Year-Month]])</f>
        <v>1</v>
      </c>
    </row>
    <row r="3719" spans="1:26" x14ac:dyDescent="0.2">
      <c r="A3719" s="6">
        <v>5186</v>
      </c>
      <c r="B3719" s="7">
        <v>36864</v>
      </c>
      <c r="C3719" s="8">
        <f>DATE(2012,12,31)-155</f>
        <v>41119</v>
      </c>
      <c r="D3719" s="8" t="str">
        <f t="shared" si="71"/>
        <v>2012-07 (июль 2012)</v>
      </c>
      <c r="E3719" s="9" t="s">
        <v>21</v>
      </c>
      <c r="F3719" s="7">
        <v>9</v>
      </c>
      <c r="G3719" s="7">
        <v>55.49</v>
      </c>
      <c r="H3719" s="7">
        <v>0.05</v>
      </c>
      <c r="I3719" s="9" t="s">
        <v>22</v>
      </c>
      <c r="J3719" s="10">
        <v>7.23</v>
      </c>
      <c r="K3719" s="11">
        <v>6.08</v>
      </c>
      <c r="L3719" s="11">
        <v>0.91</v>
      </c>
      <c r="M3719" s="9" t="s">
        <v>1708</v>
      </c>
      <c r="N3719" s="6" t="s">
        <v>1595</v>
      </c>
      <c r="O3719" s="6" t="s">
        <v>1595</v>
      </c>
      <c r="P3719" s="9" t="s">
        <v>60</v>
      </c>
      <c r="Q3719" s="9" t="s">
        <v>26</v>
      </c>
      <c r="R3719" s="9" t="s">
        <v>95</v>
      </c>
      <c r="S3719" s="7" t="s">
        <v>1366</v>
      </c>
      <c r="T3719" s="9" t="s">
        <v>68</v>
      </c>
      <c r="U3719" s="7">
        <v>0.51</v>
      </c>
      <c r="V3719" s="12">
        <f>C3719+2</f>
        <v>41121</v>
      </c>
      <c r="W3719">
        <f>IF(D3719=' Pivot Tables'!$A$4,1,0)</f>
        <v>0</v>
      </c>
      <c r="X3719">
        <f>IF(AND(LEFT(D3719,4)+1=LEFT(' Pivot Tables'!$A$4,4)+0,RIGHT(LEFT(D3719,7),2)=RIGHT(LEFT(' Pivot Tables'!$A$4,7),2)),1,0)</f>
        <v>0</v>
      </c>
      <c r="Y3719" s="6">
        <f>1/COUNTIF(Таблица1[Order ID],Таблица1[[#This Row],[Order ID]])</f>
        <v>1</v>
      </c>
      <c r="Z3719" s="9">
        <f>1/COUNTIFS(Таблица1[Customer Name],Таблица1[[#This Row],[Customer Name]],Таблица1[Order-Year-Month],Таблица1[[#This Row],[Order-Year-Month]])</f>
        <v>1</v>
      </c>
    </row>
    <row r="3720" spans="1:26" x14ac:dyDescent="0.2">
      <c r="A3720" s="6">
        <v>5224</v>
      </c>
      <c r="B3720" s="7">
        <v>37188</v>
      </c>
      <c r="C3720" s="8">
        <f>DATE(2012,12,31)-302</f>
        <v>40972</v>
      </c>
      <c r="D3720" s="8" t="str">
        <f t="shared" si="71"/>
        <v>2012-03 (март 2012)</v>
      </c>
      <c r="E3720" s="9" t="s">
        <v>78</v>
      </c>
      <c r="F3720" s="7">
        <v>24</v>
      </c>
      <c r="G3720" s="7">
        <v>132.02000000000001</v>
      </c>
      <c r="H3720" s="7">
        <v>0.04</v>
      </c>
      <c r="I3720" s="9" t="s">
        <v>56</v>
      </c>
      <c r="J3720" s="10">
        <v>-123.28</v>
      </c>
      <c r="K3720" s="11">
        <v>4.9800000000000004</v>
      </c>
      <c r="L3720" s="11">
        <v>8.33</v>
      </c>
      <c r="M3720" s="9" t="s">
        <v>1695</v>
      </c>
      <c r="N3720" s="6" t="s">
        <v>1595</v>
      </c>
      <c r="O3720" s="6" t="s">
        <v>1595</v>
      </c>
      <c r="P3720" s="9" t="s">
        <v>60</v>
      </c>
      <c r="Q3720" s="9" t="s">
        <v>26</v>
      </c>
      <c r="R3720" s="9" t="s">
        <v>61</v>
      </c>
      <c r="S3720" s="7" t="s">
        <v>62</v>
      </c>
      <c r="T3720" s="9" t="s">
        <v>39</v>
      </c>
      <c r="U3720" s="7">
        <v>0.38</v>
      </c>
      <c r="V3720" s="12">
        <f>C3720+1</f>
        <v>40973</v>
      </c>
      <c r="W3720">
        <f>IF(D3720=' Pivot Tables'!$A$4,1,0)</f>
        <v>0</v>
      </c>
      <c r="X3720">
        <f>IF(AND(LEFT(D3720,4)+1=LEFT(' Pivot Tables'!$A$4,4)+0,RIGHT(LEFT(D3720,7),2)=RIGHT(LEFT(' Pivot Tables'!$A$4,7),2)),1,0)</f>
        <v>0</v>
      </c>
      <c r="Y3720" s="6">
        <f>1/COUNTIF(Таблица1[Order ID],Таблица1[[#This Row],[Order ID]])</f>
        <v>1</v>
      </c>
      <c r="Z3720" s="9">
        <f>1/COUNTIFS(Таблица1[Customer Name],Таблица1[[#This Row],[Customer Name]],Таблица1[Order-Year-Month],Таблица1[[#This Row],[Order-Year-Month]])</f>
        <v>0.5</v>
      </c>
    </row>
    <row r="3721" spans="1:26" x14ac:dyDescent="0.2">
      <c r="A3721" s="6">
        <v>5257</v>
      </c>
      <c r="B3721" s="7">
        <v>37414</v>
      </c>
      <c r="C3721" s="8">
        <f>DATE(2012,12,31)-479</f>
        <v>40795</v>
      </c>
      <c r="D3721" s="8" t="str">
        <f t="shared" si="71"/>
        <v>2011-09 (сентябрь 2011)</v>
      </c>
      <c r="E3721" s="9" t="s">
        <v>21</v>
      </c>
      <c r="F3721" s="7">
        <v>39</v>
      </c>
      <c r="G3721" s="7">
        <v>20596.580000000002</v>
      </c>
      <c r="H3721" s="7">
        <v>0.09</v>
      </c>
      <c r="I3721" s="9" t="s">
        <v>31</v>
      </c>
      <c r="J3721" s="10">
        <v>-1331.5533660000001</v>
      </c>
      <c r="K3721" s="11">
        <v>550.98</v>
      </c>
      <c r="L3721" s="11">
        <v>64.59</v>
      </c>
      <c r="M3721" s="9" t="s">
        <v>1674</v>
      </c>
      <c r="N3721" s="6" t="s">
        <v>1595</v>
      </c>
      <c r="O3721" s="6" t="s">
        <v>1595</v>
      </c>
      <c r="P3721" s="9" t="s">
        <v>60</v>
      </c>
      <c r="Q3721" s="9" t="s">
        <v>49</v>
      </c>
      <c r="R3721" s="9" t="s">
        <v>83</v>
      </c>
      <c r="S3721" s="7" t="s">
        <v>628</v>
      </c>
      <c r="T3721" s="9" t="s">
        <v>82</v>
      </c>
      <c r="U3721" s="7">
        <v>0.66</v>
      </c>
      <c r="V3721" s="12">
        <f>C3721+2</f>
        <v>40797</v>
      </c>
      <c r="W3721">
        <f>IF(D3721=' Pivot Tables'!$A$4,1,0)</f>
        <v>0</v>
      </c>
      <c r="X3721">
        <f>IF(AND(LEFT(D3721,4)+1=LEFT(' Pivot Tables'!$A$4,4)+0,RIGHT(LEFT(D3721,7),2)=RIGHT(LEFT(' Pivot Tables'!$A$4,7),2)),1,0)</f>
        <v>0</v>
      </c>
      <c r="Y3721" s="6">
        <f>1/COUNTIF(Таблица1[Order ID],Таблица1[[#This Row],[Order ID]])</f>
        <v>1</v>
      </c>
      <c r="Z3721" s="9">
        <f>1/COUNTIFS(Таблица1[Customer Name],Таблица1[[#This Row],[Customer Name]],Таблица1[Order-Year-Month],Таблица1[[#This Row],[Order-Year-Month]])</f>
        <v>1</v>
      </c>
    </row>
    <row r="3722" spans="1:26" x14ac:dyDescent="0.2">
      <c r="A3722" s="6">
        <v>5287</v>
      </c>
      <c r="B3722" s="7">
        <v>37638</v>
      </c>
      <c r="C3722" s="8">
        <f>DATE(2012,12,31)-1440</f>
        <v>39834</v>
      </c>
      <c r="D3722" s="8" t="str">
        <f t="shared" si="71"/>
        <v>2009-01 (январь 2009)</v>
      </c>
      <c r="E3722" s="9" t="s">
        <v>21</v>
      </c>
      <c r="F3722" s="7">
        <v>33</v>
      </c>
      <c r="G3722" s="7">
        <v>139.97999999999999</v>
      </c>
      <c r="H3722" s="7">
        <v>7.0000000000000007E-2</v>
      </c>
      <c r="I3722" s="9" t="s">
        <v>22</v>
      </c>
      <c r="J3722" s="10">
        <v>-140.54</v>
      </c>
      <c r="K3722" s="11">
        <v>4.13</v>
      </c>
      <c r="L3722" s="11">
        <v>6.89</v>
      </c>
      <c r="M3722" s="9" t="s">
        <v>1072</v>
      </c>
      <c r="N3722" s="6" t="s">
        <v>1595</v>
      </c>
      <c r="O3722" s="6" t="s">
        <v>1595</v>
      </c>
      <c r="P3722" s="9" t="s">
        <v>25</v>
      </c>
      <c r="Q3722" s="9" t="s">
        <v>26</v>
      </c>
      <c r="R3722" s="9" t="s">
        <v>88</v>
      </c>
      <c r="S3722" s="7" t="s">
        <v>1219</v>
      </c>
      <c r="T3722" s="9" t="s">
        <v>39</v>
      </c>
      <c r="U3722" s="7">
        <v>0.39</v>
      </c>
      <c r="V3722" s="12">
        <f>C3722+2</f>
        <v>39836</v>
      </c>
      <c r="W3722">
        <f>IF(D3722=' Pivot Tables'!$A$4,1,0)</f>
        <v>0</v>
      </c>
      <c r="X3722">
        <f>IF(AND(LEFT(D3722,4)+1=LEFT(' Pivot Tables'!$A$4,4)+0,RIGHT(LEFT(D3722,7),2)=RIGHT(LEFT(' Pivot Tables'!$A$4,7),2)),1,0)</f>
        <v>1</v>
      </c>
      <c r="Y3722" s="6">
        <f>1/COUNTIF(Таблица1[Order ID],Таблица1[[#This Row],[Order ID]])</f>
        <v>1</v>
      </c>
      <c r="Z3722" s="9">
        <f>1/COUNTIFS(Таблица1[Customer Name],Таблица1[[#This Row],[Customer Name]],Таблица1[Order-Year-Month],Таблица1[[#This Row],[Order-Year-Month]])</f>
        <v>1</v>
      </c>
    </row>
    <row r="3723" spans="1:26" x14ac:dyDescent="0.2">
      <c r="A3723" s="6">
        <v>5300</v>
      </c>
      <c r="B3723" s="7">
        <v>37734</v>
      </c>
      <c r="C3723" s="8">
        <f>DATE(2012,12,31)-1101</f>
        <v>40173</v>
      </c>
      <c r="D3723" s="8" t="str">
        <f t="shared" si="71"/>
        <v>2009-12 (декабрь 2009)</v>
      </c>
      <c r="E3723" s="9" t="s">
        <v>78</v>
      </c>
      <c r="F3723" s="7">
        <v>15</v>
      </c>
      <c r="G3723" s="7">
        <v>1393.39</v>
      </c>
      <c r="H3723" s="7">
        <v>0.08</v>
      </c>
      <c r="I3723" s="9" t="s">
        <v>22</v>
      </c>
      <c r="J3723" s="10">
        <v>84.15</v>
      </c>
      <c r="K3723" s="11">
        <v>100.97</v>
      </c>
      <c r="L3723" s="11">
        <v>7.18</v>
      </c>
      <c r="M3723" s="9" t="s">
        <v>1679</v>
      </c>
      <c r="N3723" s="6" t="s">
        <v>1595</v>
      </c>
      <c r="O3723" s="6" t="s">
        <v>1595</v>
      </c>
      <c r="P3723" s="9" t="s">
        <v>25</v>
      </c>
      <c r="Q3723" s="9" t="s">
        <v>42</v>
      </c>
      <c r="R3723" s="9" t="s">
        <v>70</v>
      </c>
      <c r="S3723" s="7" t="s">
        <v>1078</v>
      </c>
      <c r="T3723" s="9" t="s">
        <v>39</v>
      </c>
      <c r="U3723" s="7">
        <v>0.46</v>
      </c>
      <c r="V3723" s="12">
        <f>C3723+1</f>
        <v>40174</v>
      </c>
      <c r="W3723">
        <f>IF(D3723=' Pivot Tables'!$A$4,1,0)</f>
        <v>0</v>
      </c>
      <c r="X3723">
        <f>IF(AND(LEFT(D3723,4)+1=LEFT(' Pivot Tables'!$A$4,4)+0,RIGHT(LEFT(D3723,7),2)=RIGHT(LEFT(' Pivot Tables'!$A$4,7),2)),1,0)</f>
        <v>0</v>
      </c>
      <c r="Y3723" s="6">
        <f>1/COUNTIF(Таблица1[Order ID],Таблица1[[#This Row],[Order ID]])</f>
        <v>0.5</v>
      </c>
      <c r="Z3723" s="9">
        <f>1/COUNTIFS(Таблица1[Customer Name],Таблица1[[#This Row],[Customer Name]],Таблица1[Order-Year-Month],Таблица1[[#This Row],[Order-Year-Month]])</f>
        <v>0.5</v>
      </c>
    </row>
    <row r="3724" spans="1:26" x14ac:dyDescent="0.2">
      <c r="A3724" s="6">
        <v>5301</v>
      </c>
      <c r="B3724" s="7">
        <v>37734</v>
      </c>
      <c r="C3724" s="8">
        <f>DATE(2012,12,31)-1101</f>
        <v>40173</v>
      </c>
      <c r="D3724" s="8" t="str">
        <f t="shared" si="71"/>
        <v>2009-12 (декабрь 2009)</v>
      </c>
      <c r="E3724" s="9" t="s">
        <v>78</v>
      </c>
      <c r="F3724" s="7">
        <v>42</v>
      </c>
      <c r="G3724" s="7">
        <v>601.52</v>
      </c>
      <c r="H3724" s="7">
        <v>0</v>
      </c>
      <c r="I3724" s="9" t="s">
        <v>22</v>
      </c>
      <c r="J3724" s="10">
        <v>171.98</v>
      </c>
      <c r="K3724" s="11">
        <v>13.4</v>
      </c>
      <c r="L3724" s="11">
        <v>4.95</v>
      </c>
      <c r="M3724" s="9" t="s">
        <v>1679</v>
      </c>
      <c r="N3724" s="6" t="s">
        <v>1595</v>
      </c>
      <c r="O3724" s="6" t="s">
        <v>1595</v>
      </c>
      <c r="P3724" s="9" t="s">
        <v>25</v>
      </c>
      <c r="Q3724" s="9" t="s">
        <v>49</v>
      </c>
      <c r="R3724" s="9" t="s">
        <v>50</v>
      </c>
      <c r="S3724" s="7" t="s">
        <v>1709</v>
      </c>
      <c r="T3724" s="9" t="s">
        <v>52</v>
      </c>
      <c r="U3724" s="7">
        <v>0.37</v>
      </c>
      <c r="V3724" s="12">
        <f>C3724+1</f>
        <v>40174</v>
      </c>
      <c r="W3724">
        <f>IF(D3724=' Pivot Tables'!$A$4,1,0)</f>
        <v>0</v>
      </c>
      <c r="X3724">
        <f>IF(AND(LEFT(D3724,4)+1=LEFT(' Pivot Tables'!$A$4,4)+0,RIGHT(LEFT(D3724,7),2)=RIGHT(LEFT(' Pivot Tables'!$A$4,7),2)),1,0)</f>
        <v>0</v>
      </c>
      <c r="Y3724" s="6">
        <f>1/COUNTIF(Таблица1[Order ID],Таблица1[[#This Row],[Order ID]])</f>
        <v>0.5</v>
      </c>
      <c r="Z3724" s="9">
        <f>1/COUNTIFS(Таблица1[Customer Name],Таблица1[[#This Row],[Customer Name]],Таблица1[Order-Year-Month],Таблица1[[#This Row],[Order-Year-Month]])</f>
        <v>0.5</v>
      </c>
    </row>
    <row r="3725" spans="1:26" x14ac:dyDescent="0.2">
      <c r="A3725" s="6">
        <v>5305</v>
      </c>
      <c r="B3725" s="7">
        <v>37763</v>
      </c>
      <c r="C3725" s="8">
        <f>DATE(2012,12,31)-327</f>
        <v>40947</v>
      </c>
      <c r="D3725" s="8" t="str">
        <f t="shared" si="71"/>
        <v>2012-02 (февраль 2012)</v>
      </c>
      <c r="E3725" s="9" t="s">
        <v>45</v>
      </c>
      <c r="F3725" s="7">
        <v>29</v>
      </c>
      <c r="G3725" s="7">
        <v>169.61</v>
      </c>
      <c r="H3725" s="7">
        <v>0.1</v>
      </c>
      <c r="I3725" s="9" t="s">
        <v>22</v>
      </c>
      <c r="J3725" s="10">
        <v>-211.05950000000001</v>
      </c>
      <c r="K3725" s="11">
        <v>5.94</v>
      </c>
      <c r="L3725" s="11">
        <v>9.92</v>
      </c>
      <c r="M3725" s="9" t="s">
        <v>1670</v>
      </c>
      <c r="N3725" s="6" t="s">
        <v>1595</v>
      </c>
      <c r="O3725" s="6" t="s">
        <v>1595</v>
      </c>
      <c r="P3725" s="9" t="s">
        <v>33</v>
      </c>
      <c r="Q3725" s="9" t="s">
        <v>26</v>
      </c>
      <c r="R3725" s="9" t="s">
        <v>37</v>
      </c>
      <c r="S3725" s="7" t="s">
        <v>1436</v>
      </c>
      <c r="T3725" s="9" t="s">
        <v>39</v>
      </c>
      <c r="U3725" s="7">
        <v>0.38</v>
      </c>
      <c r="V3725" s="12">
        <f>C3725+1</f>
        <v>40948</v>
      </c>
      <c r="W3725">
        <f>IF(D3725=' Pivot Tables'!$A$4,1,0)</f>
        <v>0</v>
      </c>
      <c r="X3725">
        <f>IF(AND(LEFT(D3725,4)+1=LEFT(' Pivot Tables'!$A$4,4)+0,RIGHT(LEFT(D3725,7),2)=RIGHT(LEFT(' Pivot Tables'!$A$4,7),2)),1,0)</f>
        <v>0</v>
      </c>
      <c r="Y3725" s="6">
        <f>1/COUNTIF(Таблица1[Order ID],Таблица1[[#This Row],[Order ID]])</f>
        <v>0.5</v>
      </c>
      <c r="Z3725" s="9">
        <f>1/COUNTIFS(Таблица1[Customer Name],Таблица1[[#This Row],[Customer Name]],Таблица1[Order-Year-Month],Таблица1[[#This Row],[Order-Year-Month]])</f>
        <v>0.5</v>
      </c>
    </row>
    <row r="3726" spans="1:26" x14ac:dyDescent="0.2">
      <c r="A3726" s="6">
        <v>5306</v>
      </c>
      <c r="B3726" s="7">
        <v>37763</v>
      </c>
      <c r="C3726" s="8">
        <f>DATE(2012,12,31)-327</f>
        <v>40947</v>
      </c>
      <c r="D3726" s="8" t="str">
        <f t="shared" si="71"/>
        <v>2012-02 (февраль 2012)</v>
      </c>
      <c r="E3726" s="9" t="s">
        <v>45</v>
      </c>
      <c r="F3726" s="7">
        <v>24</v>
      </c>
      <c r="G3726" s="7">
        <v>1247.9275</v>
      </c>
      <c r="H3726" s="7">
        <v>0.1</v>
      </c>
      <c r="I3726" s="9" t="s">
        <v>22</v>
      </c>
      <c r="J3726" s="10">
        <v>186.417</v>
      </c>
      <c r="K3726" s="11">
        <v>65.989999999999995</v>
      </c>
      <c r="L3726" s="11">
        <v>2.5</v>
      </c>
      <c r="M3726" s="9" t="s">
        <v>1670</v>
      </c>
      <c r="N3726" s="6" t="s">
        <v>1595</v>
      </c>
      <c r="O3726" s="6" t="s">
        <v>1595</v>
      </c>
      <c r="P3726" s="9" t="s">
        <v>33</v>
      </c>
      <c r="Q3726" s="9" t="s">
        <v>42</v>
      </c>
      <c r="R3726" s="9" t="s">
        <v>43</v>
      </c>
      <c r="S3726" s="7" t="s">
        <v>757</v>
      </c>
      <c r="T3726" s="9" t="s">
        <v>39</v>
      </c>
      <c r="U3726" s="7">
        <v>0.55000000000000004</v>
      </c>
      <c r="V3726" s="12">
        <f>C3726+1</f>
        <v>40948</v>
      </c>
      <c r="W3726">
        <f>IF(D3726=' Pivot Tables'!$A$4,1,0)</f>
        <v>0</v>
      </c>
      <c r="X3726">
        <f>IF(AND(LEFT(D3726,4)+1=LEFT(' Pivot Tables'!$A$4,4)+0,RIGHT(LEFT(D3726,7),2)=RIGHT(LEFT(' Pivot Tables'!$A$4,7),2)),1,0)</f>
        <v>0</v>
      </c>
      <c r="Y3726" s="6">
        <f>1/COUNTIF(Таблица1[Order ID],Таблица1[[#This Row],[Order ID]])</f>
        <v>0.5</v>
      </c>
      <c r="Z3726" s="9">
        <f>1/COUNTIFS(Таблица1[Customer Name],Таблица1[[#This Row],[Customer Name]],Таблица1[Order-Year-Month],Таблица1[[#This Row],[Order-Year-Month]])</f>
        <v>0.5</v>
      </c>
    </row>
    <row r="3727" spans="1:26" x14ac:dyDescent="0.2">
      <c r="A3727" s="6">
        <v>5324</v>
      </c>
      <c r="B3727" s="7">
        <v>37859</v>
      </c>
      <c r="C3727" s="8">
        <f>DATE(2012,12,31)-1372</f>
        <v>39902</v>
      </c>
      <c r="D3727" s="8" t="str">
        <f t="shared" si="71"/>
        <v>2009-03 (март 2009)</v>
      </c>
      <c r="E3727" s="9" t="s">
        <v>78</v>
      </c>
      <c r="F3727" s="7">
        <v>2</v>
      </c>
      <c r="G3727" s="7">
        <v>29.03</v>
      </c>
      <c r="H3727" s="7">
        <v>0.01</v>
      </c>
      <c r="I3727" s="9" t="s">
        <v>22</v>
      </c>
      <c r="J3727" s="10">
        <v>-11.83</v>
      </c>
      <c r="K3727" s="11">
        <v>11.34</v>
      </c>
      <c r="L3727" s="11">
        <v>5.01</v>
      </c>
      <c r="M3727" s="9" t="s">
        <v>1628</v>
      </c>
      <c r="N3727" s="6" t="s">
        <v>1595</v>
      </c>
      <c r="O3727" s="6" t="s">
        <v>1595</v>
      </c>
      <c r="P3727" s="9" t="s">
        <v>25</v>
      </c>
      <c r="Q3727" s="9" t="s">
        <v>26</v>
      </c>
      <c r="R3727" s="9" t="s">
        <v>61</v>
      </c>
      <c r="S3727" s="7" t="s">
        <v>226</v>
      </c>
      <c r="T3727" s="9" t="s">
        <v>39</v>
      </c>
      <c r="U3727" s="7">
        <v>0.36</v>
      </c>
      <c r="V3727" s="12">
        <f>C3727+2</f>
        <v>39904</v>
      </c>
      <c r="W3727">
        <f>IF(D3727=' Pivot Tables'!$A$4,1,0)</f>
        <v>0</v>
      </c>
      <c r="X3727">
        <f>IF(AND(LEFT(D3727,4)+1=LEFT(' Pivot Tables'!$A$4,4)+0,RIGHT(LEFT(D3727,7),2)=RIGHT(LEFT(' Pivot Tables'!$A$4,7),2)),1,0)</f>
        <v>0</v>
      </c>
      <c r="Y3727" s="6">
        <f>1/COUNTIF(Таблица1[Order ID],Таблица1[[#This Row],[Order ID]])</f>
        <v>1</v>
      </c>
      <c r="Z3727" s="9">
        <f>1/COUNTIFS(Таблица1[Customer Name],Таблица1[[#This Row],[Customer Name]],Таблица1[Order-Year-Month],Таблица1[[#This Row],[Order-Year-Month]])</f>
        <v>1</v>
      </c>
    </row>
    <row r="3728" spans="1:26" x14ac:dyDescent="0.2">
      <c r="A3728" s="6">
        <v>5352</v>
      </c>
      <c r="B3728" s="7">
        <v>38048</v>
      </c>
      <c r="C3728" s="8">
        <f>DATE(2012,12,31)-1072</f>
        <v>40202</v>
      </c>
      <c r="D3728" s="8" t="str">
        <f t="shared" si="71"/>
        <v>2010-01 (январь 2010)</v>
      </c>
      <c r="E3728" s="9" t="s">
        <v>30</v>
      </c>
      <c r="F3728" s="7">
        <v>42</v>
      </c>
      <c r="G3728" s="7">
        <v>2252.2619999999997</v>
      </c>
      <c r="H3728" s="7">
        <v>0.1</v>
      </c>
      <c r="I3728" s="9" t="s">
        <v>22</v>
      </c>
      <c r="J3728" s="10">
        <v>478.10700000000003</v>
      </c>
      <c r="K3728" s="11">
        <v>65.989999999999995</v>
      </c>
      <c r="L3728" s="11">
        <v>5.63</v>
      </c>
      <c r="M3728" s="9" t="s">
        <v>1710</v>
      </c>
      <c r="N3728" s="6" t="s">
        <v>1595</v>
      </c>
      <c r="O3728" s="6" t="s">
        <v>1595</v>
      </c>
      <c r="P3728" s="9" t="s">
        <v>41</v>
      </c>
      <c r="Q3728" s="9" t="s">
        <v>42</v>
      </c>
      <c r="R3728" s="9" t="s">
        <v>43</v>
      </c>
      <c r="S3728" s="7" t="s">
        <v>1419</v>
      </c>
      <c r="T3728" s="9" t="s">
        <v>39</v>
      </c>
      <c r="U3728" s="7">
        <v>0.56000000000000005</v>
      </c>
      <c r="V3728" s="12">
        <f>C3728+0</f>
        <v>40202</v>
      </c>
      <c r="W3728">
        <f>IF(D3728=' Pivot Tables'!$A$4,1,0)</f>
        <v>1</v>
      </c>
      <c r="X3728">
        <f>IF(AND(LEFT(D3728,4)+1=LEFT(' Pivot Tables'!$A$4,4)+0,RIGHT(LEFT(D3728,7),2)=RIGHT(LEFT(' Pivot Tables'!$A$4,7),2)),1,0)</f>
        <v>0</v>
      </c>
      <c r="Y3728" s="6">
        <f>1/COUNTIF(Таблица1[Order ID],Таблица1[[#This Row],[Order ID]])</f>
        <v>0.5</v>
      </c>
      <c r="Z3728" s="9">
        <f>1/COUNTIFS(Таблица1[Customer Name],Таблица1[[#This Row],[Customer Name]],Таблица1[Order-Year-Month],Таблица1[[#This Row],[Order-Year-Month]])</f>
        <v>0.5</v>
      </c>
    </row>
    <row r="3729" spans="1:26" x14ac:dyDescent="0.2">
      <c r="A3729" s="6">
        <v>5353</v>
      </c>
      <c r="B3729" s="7">
        <v>38048</v>
      </c>
      <c r="C3729" s="8">
        <f>DATE(2012,12,31)-1072</f>
        <v>40202</v>
      </c>
      <c r="D3729" s="8" t="str">
        <f t="shared" si="71"/>
        <v>2010-01 (январь 2010)</v>
      </c>
      <c r="E3729" s="9" t="s">
        <v>30</v>
      </c>
      <c r="F3729" s="7">
        <v>47</v>
      </c>
      <c r="G3729" s="7">
        <v>279.01</v>
      </c>
      <c r="H3729" s="7">
        <v>0.05</v>
      </c>
      <c r="I3729" s="9" t="s">
        <v>22</v>
      </c>
      <c r="J3729" s="10">
        <v>-136.84</v>
      </c>
      <c r="K3729" s="11">
        <v>5.77</v>
      </c>
      <c r="L3729" s="11">
        <v>5.92</v>
      </c>
      <c r="M3729" s="9" t="s">
        <v>1710</v>
      </c>
      <c r="N3729" s="6" t="s">
        <v>1595</v>
      </c>
      <c r="O3729" s="6" t="s">
        <v>1595</v>
      </c>
      <c r="P3729" s="9" t="s">
        <v>41</v>
      </c>
      <c r="Q3729" s="9" t="s">
        <v>49</v>
      </c>
      <c r="R3729" s="9" t="s">
        <v>50</v>
      </c>
      <c r="S3729" s="7" t="s">
        <v>1647</v>
      </c>
      <c r="T3729" s="9" t="s">
        <v>48</v>
      </c>
      <c r="U3729" s="7">
        <v>0.55000000000000004</v>
      </c>
      <c r="V3729" s="12">
        <f>C3729+1</f>
        <v>40203</v>
      </c>
      <c r="W3729">
        <f>IF(D3729=' Pivot Tables'!$A$4,1,0)</f>
        <v>1</v>
      </c>
      <c r="X3729">
        <f>IF(AND(LEFT(D3729,4)+1=LEFT(' Pivot Tables'!$A$4,4)+0,RIGHT(LEFT(D3729,7),2)=RIGHT(LEFT(' Pivot Tables'!$A$4,7),2)),1,0)</f>
        <v>0</v>
      </c>
      <c r="Y3729" s="6">
        <f>1/COUNTIF(Таблица1[Order ID],Таблица1[[#This Row],[Order ID]])</f>
        <v>0.5</v>
      </c>
      <c r="Z3729" s="9">
        <f>1/COUNTIFS(Таблица1[Customer Name],Таблица1[[#This Row],[Customer Name]],Таблица1[Order-Year-Month],Таблица1[[#This Row],[Order-Year-Month]])</f>
        <v>0.5</v>
      </c>
    </row>
    <row r="3730" spans="1:26" x14ac:dyDescent="0.2">
      <c r="A3730" s="6">
        <v>5386</v>
      </c>
      <c r="B3730" s="7">
        <v>38305</v>
      </c>
      <c r="C3730" s="8">
        <f>DATE(2012,12,31)-611</f>
        <v>40663</v>
      </c>
      <c r="D3730" s="8" t="str">
        <f t="shared" si="71"/>
        <v>2011-04 (апрель 2011)</v>
      </c>
      <c r="E3730" s="9" t="s">
        <v>78</v>
      </c>
      <c r="F3730" s="7">
        <v>21</v>
      </c>
      <c r="G3730" s="7">
        <v>2561.6705000000002</v>
      </c>
      <c r="H3730" s="7">
        <v>0.08</v>
      </c>
      <c r="I3730" s="9" t="s">
        <v>22</v>
      </c>
      <c r="J3730" s="10">
        <v>88.766999999999996</v>
      </c>
      <c r="K3730" s="11">
        <v>155.99</v>
      </c>
      <c r="L3730" s="11">
        <v>8.08</v>
      </c>
      <c r="M3730" s="9" t="s">
        <v>1707</v>
      </c>
      <c r="N3730" s="6" t="s">
        <v>1595</v>
      </c>
      <c r="O3730" s="6" t="s">
        <v>1595</v>
      </c>
      <c r="P3730" s="9" t="s">
        <v>33</v>
      </c>
      <c r="Q3730" s="9" t="s">
        <v>42</v>
      </c>
      <c r="R3730" s="9" t="s">
        <v>43</v>
      </c>
      <c r="S3730" s="7" t="s">
        <v>333</v>
      </c>
      <c r="T3730" s="9" t="s">
        <v>39</v>
      </c>
      <c r="U3730" s="7">
        <v>0.6</v>
      </c>
      <c r="V3730" s="12">
        <f>C3730+2</f>
        <v>40665</v>
      </c>
      <c r="W3730">
        <f>IF(D3730=' Pivot Tables'!$A$4,1,0)</f>
        <v>0</v>
      </c>
      <c r="X3730">
        <f>IF(AND(LEFT(D3730,4)+1=LEFT(' Pivot Tables'!$A$4,4)+0,RIGHT(LEFT(D3730,7),2)=RIGHT(LEFT(' Pivot Tables'!$A$4,7),2)),1,0)</f>
        <v>0</v>
      </c>
      <c r="Y3730" s="6">
        <f>1/COUNTIF(Таблица1[Order ID],Таблица1[[#This Row],[Order ID]])</f>
        <v>1</v>
      </c>
      <c r="Z3730" s="9">
        <f>1/COUNTIFS(Таблица1[Customer Name],Таблица1[[#This Row],[Customer Name]],Таблица1[Order-Year-Month],Таблица1[[#This Row],[Order-Year-Month]])</f>
        <v>1</v>
      </c>
    </row>
    <row r="3731" spans="1:26" x14ac:dyDescent="0.2">
      <c r="A3731" s="6">
        <v>5398</v>
      </c>
      <c r="B3731" s="7">
        <v>38371</v>
      </c>
      <c r="C3731" s="8">
        <f>DATE(2012,12,31)-1149</f>
        <v>40125</v>
      </c>
      <c r="D3731" s="8" t="str">
        <f t="shared" si="71"/>
        <v>2009-11 (ноябрь 2009)</v>
      </c>
      <c r="E3731" s="9" t="s">
        <v>45</v>
      </c>
      <c r="F3731" s="7">
        <v>24</v>
      </c>
      <c r="G3731" s="7">
        <v>2004.4</v>
      </c>
      <c r="H3731" s="7">
        <v>0.05</v>
      </c>
      <c r="I3731" s="9" t="s">
        <v>56</v>
      </c>
      <c r="J3731" s="10">
        <v>544.29999999999995</v>
      </c>
      <c r="K3731" s="11">
        <v>83.1</v>
      </c>
      <c r="L3731" s="11">
        <v>6.13</v>
      </c>
      <c r="M3731" s="9" t="s">
        <v>1677</v>
      </c>
      <c r="N3731" s="6" t="s">
        <v>1595</v>
      </c>
      <c r="O3731" s="6" t="s">
        <v>1595</v>
      </c>
      <c r="P3731" s="9" t="s">
        <v>25</v>
      </c>
      <c r="Q3731" s="9" t="s">
        <v>42</v>
      </c>
      <c r="R3731" s="9" t="s">
        <v>70</v>
      </c>
      <c r="S3731" s="7" t="s">
        <v>573</v>
      </c>
      <c r="T3731" s="9" t="s">
        <v>39</v>
      </c>
      <c r="U3731" s="7">
        <v>0.45</v>
      </c>
      <c r="V3731" s="12">
        <f>C3731+1</f>
        <v>40126</v>
      </c>
      <c r="W3731">
        <f>IF(D3731=' Pivot Tables'!$A$4,1,0)</f>
        <v>0</v>
      </c>
      <c r="X3731">
        <f>IF(AND(LEFT(D3731,4)+1=LEFT(' Pivot Tables'!$A$4,4)+0,RIGHT(LEFT(D3731,7),2)=RIGHT(LEFT(' Pivot Tables'!$A$4,7),2)),1,0)</f>
        <v>0</v>
      </c>
      <c r="Y3731" s="6">
        <f>1/COUNTIF(Таблица1[Order ID],Таблица1[[#This Row],[Order ID]])</f>
        <v>1</v>
      </c>
      <c r="Z3731" s="9">
        <f>1/COUNTIFS(Таблица1[Customer Name],Таблица1[[#This Row],[Customer Name]],Таблица1[Order-Year-Month],Таблица1[[#This Row],[Order-Year-Month]])</f>
        <v>0.33333333333333331</v>
      </c>
    </row>
    <row r="3732" spans="1:26" x14ac:dyDescent="0.2">
      <c r="A3732" s="6">
        <v>5461</v>
      </c>
      <c r="B3732" s="7">
        <v>38789</v>
      </c>
      <c r="C3732" s="8">
        <f>DATE(2012,12,31)-778</f>
        <v>40496</v>
      </c>
      <c r="D3732" s="8" t="str">
        <f t="shared" si="71"/>
        <v>2010-11 (ноябрь 2010)</v>
      </c>
      <c r="E3732" s="9" t="s">
        <v>30</v>
      </c>
      <c r="F3732" s="7">
        <v>9</v>
      </c>
      <c r="G3732" s="7">
        <v>96.52</v>
      </c>
      <c r="H3732" s="7">
        <v>0.1</v>
      </c>
      <c r="I3732" s="9" t="s">
        <v>22</v>
      </c>
      <c r="J3732" s="10">
        <v>16.78</v>
      </c>
      <c r="K3732" s="11">
        <v>10.64</v>
      </c>
      <c r="L3732" s="11">
        <v>5.16</v>
      </c>
      <c r="M3732" s="9" t="s">
        <v>1679</v>
      </c>
      <c r="N3732" s="6" t="s">
        <v>1595</v>
      </c>
      <c r="O3732" s="6" t="s">
        <v>1595</v>
      </c>
      <c r="P3732" s="9" t="s">
        <v>25</v>
      </c>
      <c r="Q3732" s="9" t="s">
        <v>49</v>
      </c>
      <c r="R3732" s="9" t="s">
        <v>50</v>
      </c>
      <c r="S3732" s="7" t="s">
        <v>593</v>
      </c>
      <c r="T3732" s="9" t="s">
        <v>39</v>
      </c>
      <c r="U3732" s="7">
        <v>0.56999999999999995</v>
      </c>
      <c r="V3732" s="12">
        <f>C3732+1</f>
        <v>40497</v>
      </c>
      <c r="W3732">
        <f>IF(D3732=' Pivot Tables'!$A$4,1,0)</f>
        <v>0</v>
      </c>
      <c r="X3732">
        <f>IF(AND(LEFT(D3732,4)+1=LEFT(' Pivot Tables'!$A$4,4)+0,RIGHT(LEFT(D3732,7),2)=RIGHT(LEFT(' Pivot Tables'!$A$4,7),2)),1,0)</f>
        <v>0</v>
      </c>
      <c r="Y3732" s="6">
        <f>1/COUNTIF(Таблица1[Order ID],Таблица1[[#This Row],[Order ID]])</f>
        <v>0.5</v>
      </c>
      <c r="Z3732" s="9">
        <f>1/COUNTIFS(Таблица1[Customer Name],Таблица1[[#This Row],[Customer Name]],Таблица1[Order-Year-Month],Таблица1[[#This Row],[Order-Year-Month]])</f>
        <v>0.5</v>
      </c>
    </row>
    <row r="3733" spans="1:26" x14ac:dyDescent="0.2">
      <c r="A3733" s="6">
        <v>5462</v>
      </c>
      <c r="B3733" s="7">
        <v>38789</v>
      </c>
      <c r="C3733" s="8">
        <f>DATE(2012,12,31)-778</f>
        <v>40496</v>
      </c>
      <c r="D3733" s="8" t="str">
        <f t="shared" si="71"/>
        <v>2010-11 (ноябрь 2010)</v>
      </c>
      <c r="E3733" s="9" t="s">
        <v>30</v>
      </c>
      <c r="F3733" s="7">
        <v>4</v>
      </c>
      <c r="G3733" s="7">
        <v>115.17</v>
      </c>
      <c r="H3733" s="7">
        <v>0.04</v>
      </c>
      <c r="I3733" s="9" t="s">
        <v>31</v>
      </c>
      <c r="J3733" s="10">
        <v>40.93</v>
      </c>
      <c r="K3733" s="11">
        <v>23.99</v>
      </c>
      <c r="L3733" s="11">
        <v>15.68</v>
      </c>
      <c r="M3733" s="9" t="s">
        <v>1679</v>
      </c>
      <c r="N3733" s="6" t="s">
        <v>1595</v>
      </c>
      <c r="O3733" s="6" t="s">
        <v>1595</v>
      </c>
      <c r="P3733" s="9" t="s">
        <v>25</v>
      </c>
      <c r="Q3733" s="9" t="s">
        <v>49</v>
      </c>
      <c r="R3733" s="9" t="s">
        <v>50</v>
      </c>
      <c r="S3733" s="7" t="s">
        <v>1372</v>
      </c>
      <c r="T3733" s="9" t="s">
        <v>36</v>
      </c>
      <c r="U3733" s="7">
        <v>0.62</v>
      </c>
      <c r="V3733" s="12">
        <f>C3733+1</f>
        <v>40497</v>
      </c>
      <c r="W3733">
        <f>IF(D3733=' Pivot Tables'!$A$4,1,0)</f>
        <v>0</v>
      </c>
      <c r="X3733">
        <f>IF(AND(LEFT(D3733,4)+1=LEFT(' Pivot Tables'!$A$4,4)+0,RIGHT(LEFT(D3733,7),2)=RIGHT(LEFT(' Pivot Tables'!$A$4,7),2)),1,0)</f>
        <v>0</v>
      </c>
      <c r="Y3733" s="6">
        <f>1/COUNTIF(Таблица1[Order ID],Таблица1[[#This Row],[Order ID]])</f>
        <v>0.5</v>
      </c>
      <c r="Z3733" s="9">
        <f>1/COUNTIFS(Таблица1[Customer Name],Таблица1[[#This Row],[Customer Name]],Таблица1[Order-Year-Month],Таблица1[[#This Row],[Order-Year-Month]])</f>
        <v>0.5</v>
      </c>
    </row>
    <row r="3734" spans="1:26" x14ac:dyDescent="0.2">
      <c r="A3734" s="6">
        <v>5511</v>
      </c>
      <c r="B3734" s="7">
        <v>39076</v>
      </c>
      <c r="C3734" s="8">
        <f>DATE(2012,12,31)-1116</f>
        <v>40158</v>
      </c>
      <c r="D3734" s="8" t="str">
        <f t="shared" si="71"/>
        <v>2009-12 (декабрь 2009)</v>
      </c>
      <c r="E3734" s="9" t="s">
        <v>78</v>
      </c>
      <c r="F3734" s="7">
        <v>41</v>
      </c>
      <c r="G3734" s="7">
        <v>222.65</v>
      </c>
      <c r="H3734" s="7">
        <v>0.02</v>
      </c>
      <c r="I3734" s="9" t="s">
        <v>22</v>
      </c>
      <c r="J3734" s="10">
        <v>-131.16</v>
      </c>
      <c r="K3734" s="11">
        <v>5.28</v>
      </c>
      <c r="L3734" s="11">
        <v>6.26</v>
      </c>
      <c r="M3734" s="9" t="s">
        <v>1628</v>
      </c>
      <c r="N3734" s="6" t="s">
        <v>1595</v>
      </c>
      <c r="O3734" s="6" t="s">
        <v>1595</v>
      </c>
      <c r="P3734" s="9" t="s">
        <v>41</v>
      </c>
      <c r="Q3734" s="9" t="s">
        <v>26</v>
      </c>
      <c r="R3734" s="9" t="s">
        <v>61</v>
      </c>
      <c r="S3734" s="7" t="s">
        <v>580</v>
      </c>
      <c r="T3734" s="9" t="s">
        <v>39</v>
      </c>
      <c r="U3734" s="7">
        <v>0.4</v>
      </c>
      <c r="V3734" s="12">
        <f>C3734+1</f>
        <v>40159</v>
      </c>
      <c r="W3734">
        <f>IF(D3734=' Pivot Tables'!$A$4,1,0)</f>
        <v>0</v>
      </c>
      <c r="X3734">
        <f>IF(AND(LEFT(D3734,4)+1=LEFT(' Pivot Tables'!$A$4,4)+0,RIGHT(LEFT(D3734,7),2)=RIGHT(LEFT(' Pivot Tables'!$A$4,7),2)),1,0)</f>
        <v>0</v>
      </c>
      <c r="Y3734" s="6">
        <f>1/COUNTIF(Таблица1[Order ID],Таблица1[[#This Row],[Order ID]])</f>
        <v>1</v>
      </c>
      <c r="Z3734" s="9">
        <f>1/COUNTIFS(Таблица1[Customer Name],Таблица1[[#This Row],[Customer Name]],Таблица1[Order-Year-Month],Таблица1[[#This Row],[Order-Year-Month]])</f>
        <v>1</v>
      </c>
    </row>
    <row r="3735" spans="1:26" x14ac:dyDescent="0.2">
      <c r="A3735" s="6">
        <v>5533</v>
      </c>
      <c r="B3735" s="7">
        <v>39173</v>
      </c>
      <c r="C3735" s="8">
        <f>DATE(2012,12,31)-1445</f>
        <v>39829</v>
      </c>
      <c r="D3735" s="8" t="str">
        <f t="shared" si="71"/>
        <v>2009-01 (январь 2009)</v>
      </c>
      <c r="E3735" s="9" t="s">
        <v>78</v>
      </c>
      <c r="F3735" s="7">
        <v>36</v>
      </c>
      <c r="G3735" s="7">
        <v>76.48</v>
      </c>
      <c r="H3735" s="7">
        <v>0.09</v>
      </c>
      <c r="I3735" s="9" t="s">
        <v>22</v>
      </c>
      <c r="J3735" s="10">
        <v>3.23</v>
      </c>
      <c r="K3735" s="11">
        <v>2.1800000000000002</v>
      </c>
      <c r="L3735" s="11">
        <v>0.78</v>
      </c>
      <c r="M3735" s="9" t="s">
        <v>1608</v>
      </c>
      <c r="N3735" s="6" t="s">
        <v>1595</v>
      </c>
      <c r="O3735" s="6" t="s">
        <v>1595</v>
      </c>
      <c r="P3735" s="9" t="s">
        <v>25</v>
      </c>
      <c r="Q3735" s="9" t="s">
        <v>26</v>
      </c>
      <c r="R3735" s="9" t="s">
        <v>66</v>
      </c>
      <c r="S3735" s="7" t="s">
        <v>428</v>
      </c>
      <c r="T3735" s="9" t="s">
        <v>68</v>
      </c>
      <c r="U3735" s="7">
        <v>0.52</v>
      </c>
      <c r="V3735" s="12">
        <f>C3735+2</f>
        <v>39831</v>
      </c>
      <c r="W3735">
        <f>IF(D3735=' Pivot Tables'!$A$4,1,0)</f>
        <v>0</v>
      </c>
      <c r="X3735">
        <f>IF(AND(LEFT(D3735,4)+1=LEFT(' Pivot Tables'!$A$4,4)+0,RIGHT(LEFT(D3735,7),2)=RIGHT(LEFT(' Pivot Tables'!$A$4,7),2)),1,0)</f>
        <v>1</v>
      </c>
      <c r="Y3735" s="6">
        <f>1/COUNTIF(Таблица1[Order ID],Таблица1[[#This Row],[Order ID]])</f>
        <v>0.5</v>
      </c>
      <c r="Z3735" s="9">
        <f>1/COUNTIFS(Таблица1[Customer Name],Таблица1[[#This Row],[Customer Name]],Таблица1[Order-Year-Month],Таблица1[[#This Row],[Order-Year-Month]])</f>
        <v>0.5</v>
      </c>
    </row>
    <row r="3736" spans="1:26" x14ac:dyDescent="0.2">
      <c r="A3736" s="6">
        <v>5534</v>
      </c>
      <c r="B3736" s="7">
        <v>39173</v>
      </c>
      <c r="C3736" s="8">
        <f>DATE(2012,12,31)-1445</f>
        <v>39829</v>
      </c>
      <c r="D3736" s="8" t="str">
        <f t="shared" si="71"/>
        <v>2009-01 (январь 2009)</v>
      </c>
      <c r="E3736" s="9" t="s">
        <v>78</v>
      </c>
      <c r="F3736" s="7">
        <v>2</v>
      </c>
      <c r="G3736" s="7">
        <v>373.27</v>
      </c>
      <c r="H3736" s="7">
        <v>0.05</v>
      </c>
      <c r="I3736" s="9" t="s">
        <v>31</v>
      </c>
      <c r="J3736" s="10">
        <v>-433.29014300000011</v>
      </c>
      <c r="K3736" s="11">
        <v>179.29</v>
      </c>
      <c r="L3736" s="11">
        <v>29.21</v>
      </c>
      <c r="M3736" s="9" t="s">
        <v>1608</v>
      </c>
      <c r="N3736" s="6" t="s">
        <v>1595</v>
      </c>
      <c r="O3736" s="6" t="s">
        <v>1595</v>
      </c>
      <c r="P3736" s="9" t="s">
        <v>25</v>
      </c>
      <c r="Q3736" s="9" t="s">
        <v>49</v>
      </c>
      <c r="R3736" s="9" t="s">
        <v>83</v>
      </c>
      <c r="S3736" s="7" t="s">
        <v>207</v>
      </c>
      <c r="T3736" s="9" t="s">
        <v>82</v>
      </c>
      <c r="U3736" s="7">
        <v>0.76</v>
      </c>
      <c r="V3736" s="12">
        <f>C3736+2</f>
        <v>39831</v>
      </c>
      <c r="W3736">
        <f>IF(D3736=' Pivot Tables'!$A$4,1,0)</f>
        <v>0</v>
      </c>
      <c r="X3736">
        <f>IF(AND(LEFT(D3736,4)+1=LEFT(' Pivot Tables'!$A$4,4)+0,RIGHT(LEFT(D3736,7),2)=RIGHT(LEFT(' Pivot Tables'!$A$4,7),2)),1,0)</f>
        <v>1</v>
      </c>
      <c r="Y3736" s="6">
        <f>1/COUNTIF(Таблица1[Order ID],Таблица1[[#This Row],[Order ID]])</f>
        <v>0.5</v>
      </c>
      <c r="Z3736" s="9">
        <f>1/COUNTIFS(Таблица1[Customer Name],Таблица1[[#This Row],[Customer Name]],Таблица1[Order-Year-Month],Таблица1[[#This Row],[Order-Year-Month]])</f>
        <v>0.5</v>
      </c>
    </row>
    <row r="3737" spans="1:26" x14ac:dyDescent="0.2">
      <c r="A3737" s="6">
        <v>5557</v>
      </c>
      <c r="B3737" s="7">
        <v>39335</v>
      </c>
      <c r="C3737" s="8">
        <f>DATE(2012,12,31)-1316</f>
        <v>39958</v>
      </c>
      <c r="D3737" s="8" t="str">
        <f t="shared" si="71"/>
        <v>2009-05 (май 2009)</v>
      </c>
      <c r="E3737" s="9" t="s">
        <v>45</v>
      </c>
      <c r="F3737" s="7">
        <v>24</v>
      </c>
      <c r="G3737" s="7">
        <v>113.23</v>
      </c>
      <c r="H3737" s="7">
        <v>0.06</v>
      </c>
      <c r="I3737" s="9" t="s">
        <v>22</v>
      </c>
      <c r="J3737" s="10">
        <v>-45.64</v>
      </c>
      <c r="K3737" s="11">
        <v>4.7699999999999996</v>
      </c>
      <c r="L3737" s="11">
        <v>2.39</v>
      </c>
      <c r="M3737" s="9" t="s">
        <v>1694</v>
      </c>
      <c r="N3737" s="6" t="s">
        <v>1595</v>
      </c>
      <c r="O3737" s="6" t="s">
        <v>1595</v>
      </c>
      <c r="P3737" s="9" t="s">
        <v>41</v>
      </c>
      <c r="Q3737" s="9" t="s">
        <v>42</v>
      </c>
      <c r="R3737" s="9" t="s">
        <v>70</v>
      </c>
      <c r="S3737" s="7" t="s">
        <v>732</v>
      </c>
      <c r="T3737" s="9" t="s">
        <v>52</v>
      </c>
      <c r="U3737" s="7">
        <v>0.72</v>
      </c>
      <c r="V3737" s="12">
        <f>C3737+1</f>
        <v>39959</v>
      </c>
      <c r="W3737">
        <f>IF(D3737=' Pivot Tables'!$A$4,1,0)</f>
        <v>0</v>
      </c>
      <c r="X3737">
        <f>IF(AND(LEFT(D3737,4)+1=LEFT(' Pivot Tables'!$A$4,4)+0,RIGHT(LEFT(D3737,7),2)=RIGHT(LEFT(' Pivot Tables'!$A$4,7),2)),1,0)</f>
        <v>0</v>
      </c>
      <c r="Y3737" s="6">
        <f>1/COUNTIF(Таблица1[Order ID],Таблица1[[#This Row],[Order ID]])</f>
        <v>0.5</v>
      </c>
      <c r="Z3737" s="9">
        <f>1/COUNTIFS(Таблица1[Customer Name],Таблица1[[#This Row],[Customer Name]],Таблица1[Order-Year-Month],Таблица1[[#This Row],[Order-Year-Month]])</f>
        <v>0.5</v>
      </c>
    </row>
    <row r="3738" spans="1:26" x14ac:dyDescent="0.2">
      <c r="A3738" s="6">
        <v>5558</v>
      </c>
      <c r="B3738" s="7">
        <v>39335</v>
      </c>
      <c r="C3738" s="8">
        <f>DATE(2012,12,31)-1316</f>
        <v>39958</v>
      </c>
      <c r="D3738" s="8" t="str">
        <f t="shared" si="71"/>
        <v>2009-05 (май 2009)</v>
      </c>
      <c r="E3738" s="9" t="s">
        <v>45</v>
      </c>
      <c r="F3738" s="7">
        <v>34</v>
      </c>
      <c r="G3738" s="7">
        <v>889.84</v>
      </c>
      <c r="H3738" s="7">
        <v>0.1</v>
      </c>
      <c r="I3738" s="9" t="s">
        <v>22</v>
      </c>
      <c r="J3738" s="10">
        <v>204.49</v>
      </c>
      <c r="K3738" s="11">
        <v>27.18</v>
      </c>
      <c r="L3738" s="11">
        <v>8.23</v>
      </c>
      <c r="M3738" s="9" t="s">
        <v>1694</v>
      </c>
      <c r="N3738" s="6" t="s">
        <v>1595</v>
      </c>
      <c r="O3738" s="6" t="s">
        <v>1595</v>
      </c>
      <c r="P3738" s="9" t="s">
        <v>41</v>
      </c>
      <c r="Q3738" s="9" t="s">
        <v>26</v>
      </c>
      <c r="R3738" s="9" t="s">
        <v>76</v>
      </c>
      <c r="S3738" s="7" t="s">
        <v>809</v>
      </c>
      <c r="T3738" s="9" t="s">
        <v>39</v>
      </c>
      <c r="U3738" s="7">
        <v>0.38</v>
      </c>
      <c r="V3738" s="12">
        <f>C3738+2</f>
        <v>39960</v>
      </c>
      <c r="W3738">
        <f>IF(D3738=' Pivot Tables'!$A$4,1,0)</f>
        <v>0</v>
      </c>
      <c r="X3738">
        <f>IF(AND(LEFT(D3738,4)+1=LEFT(' Pivot Tables'!$A$4,4)+0,RIGHT(LEFT(D3738,7),2)=RIGHT(LEFT(' Pivot Tables'!$A$4,7),2)),1,0)</f>
        <v>0</v>
      </c>
      <c r="Y3738" s="6">
        <f>1/COUNTIF(Таблица1[Order ID],Таблица1[[#This Row],[Order ID]])</f>
        <v>0.5</v>
      </c>
      <c r="Z3738" s="9">
        <f>1/COUNTIFS(Таблица1[Customer Name],Таблица1[[#This Row],[Customer Name]],Таблица1[Order-Year-Month],Таблица1[[#This Row],[Order-Year-Month]])</f>
        <v>0.5</v>
      </c>
    </row>
    <row r="3739" spans="1:26" x14ac:dyDescent="0.2">
      <c r="A3739" s="6">
        <v>5605</v>
      </c>
      <c r="B3739" s="7">
        <v>39744</v>
      </c>
      <c r="C3739" s="8">
        <f>DATE(2012,12,31)-1274</f>
        <v>40000</v>
      </c>
      <c r="D3739" s="8" t="str">
        <f t="shared" si="71"/>
        <v>2009-07 (июль 2009)</v>
      </c>
      <c r="E3739" s="9" t="s">
        <v>63</v>
      </c>
      <c r="F3739" s="7">
        <v>6</v>
      </c>
      <c r="G3739" s="7">
        <v>63.61</v>
      </c>
      <c r="H3739" s="7">
        <v>0.01</v>
      </c>
      <c r="I3739" s="9" t="s">
        <v>22</v>
      </c>
      <c r="J3739" s="10">
        <v>7.59</v>
      </c>
      <c r="K3739" s="11">
        <v>10.06</v>
      </c>
      <c r="L3739" s="11">
        <v>2.06</v>
      </c>
      <c r="M3739" s="9" t="s">
        <v>1659</v>
      </c>
      <c r="N3739" s="6" t="s">
        <v>1595</v>
      </c>
      <c r="O3739" s="6" t="s">
        <v>1595</v>
      </c>
      <c r="P3739" s="9" t="s">
        <v>33</v>
      </c>
      <c r="Q3739" s="9" t="s">
        <v>26</v>
      </c>
      <c r="R3739" s="9" t="s">
        <v>61</v>
      </c>
      <c r="S3739" s="7" t="s">
        <v>602</v>
      </c>
      <c r="T3739" s="9" t="s">
        <v>68</v>
      </c>
      <c r="U3739" s="7">
        <v>0.39</v>
      </c>
      <c r="V3739" s="12">
        <f>C3739+2</f>
        <v>40002</v>
      </c>
      <c r="W3739">
        <f>IF(D3739=' Pivot Tables'!$A$4,1,0)</f>
        <v>0</v>
      </c>
      <c r="X3739">
        <f>IF(AND(LEFT(D3739,4)+1=LEFT(' Pivot Tables'!$A$4,4)+0,RIGHT(LEFT(D3739,7),2)=RIGHT(LEFT(' Pivot Tables'!$A$4,7),2)),1,0)</f>
        <v>0</v>
      </c>
      <c r="Y3739" s="6">
        <f>1/COUNTIF(Таблица1[Order ID],Таблица1[[#This Row],[Order ID]])</f>
        <v>0.33333333333333331</v>
      </c>
      <c r="Z3739" s="9">
        <f>1/COUNTIFS(Таблица1[Customer Name],Таблица1[[#This Row],[Customer Name]],Таблица1[Order-Year-Month],Таблица1[[#This Row],[Order-Year-Month]])</f>
        <v>0.25</v>
      </c>
    </row>
    <row r="3740" spans="1:26" x14ac:dyDescent="0.2">
      <c r="A3740" s="6">
        <v>5606</v>
      </c>
      <c r="B3740" s="7">
        <v>39744</v>
      </c>
      <c r="C3740" s="8">
        <f>DATE(2012,12,31)-1274</f>
        <v>40000</v>
      </c>
      <c r="D3740" s="8" t="str">
        <f t="shared" si="71"/>
        <v>2009-07 (июль 2009)</v>
      </c>
      <c r="E3740" s="9" t="s">
        <v>63</v>
      </c>
      <c r="F3740" s="7">
        <v>9</v>
      </c>
      <c r="G3740" s="7">
        <v>519.95349999999996</v>
      </c>
      <c r="H3740" s="7">
        <v>0</v>
      </c>
      <c r="I3740" s="9" t="s">
        <v>22</v>
      </c>
      <c r="J3740" s="10">
        <v>-107.98699999999999</v>
      </c>
      <c r="K3740" s="11">
        <v>65.989999999999995</v>
      </c>
      <c r="L3740" s="11">
        <v>5.92</v>
      </c>
      <c r="M3740" s="9" t="s">
        <v>1659</v>
      </c>
      <c r="N3740" s="6" t="s">
        <v>1595</v>
      </c>
      <c r="O3740" s="6" t="s">
        <v>1595</v>
      </c>
      <c r="P3740" s="9" t="s">
        <v>33</v>
      </c>
      <c r="Q3740" s="9" t="s">
        <v>42</v>
      </c>
      <c r="R3740" s="9" t="s">
        <v>43</v>
      </c>
      <c r="S3740" s="7" t="s">
        <v>359</v>
      </c>
      <c r="T3740" s="9" t="s">
        <v>39</v>
      </c>
      <c r="U3740" s="7">
        <v>0.55000000000000004</v>
      </c>
      <c r="V3740" s="12">
        <f>C3740+2</f>
        <v>40002</v>
      </c>
      <c r="W3740">
        <f>IF(D3740=' Pivot Tables'!$A$4,1,0)</f>
        <v>0</v>
      </c>
      <c r="X3740">
        <f>IF(AND(LEFT(D3740,4)+1=LEFT(' Pivot Tables'!$A$4,4)+0,RIGHT(LEFT(D3740,7),2)=RIGHT(LEFT(' Pivot Tables'!$A$4,7),2)),1,0)</f>
        <v>0</v>
      </c>
      <c r="Y3740" s="6">
        <f>1/COUNTIF(Таблица1[Order ID],Таблица1[[#This Row],[Order ID]])</f>
        <v>0.33333333333333331</v>
      </c>
      <c r="Z3740" s="9">
        <f>1/COUNTIFS(Таблица1[Customer Name],Таблица1[[#This Row],[Customer Name]],Таблица1[Order-Year-Month],Таблица1[[#This Row],[Order-Year-Month]])</f>
        <v>0.25</v>
      </c>
    </row>
    <row r="3741" spans="1:26" x14ac:dyDescent="0.2">
      <c r="A3741" s="6">
        <v>5607</v>
      </c>
      <c r="B3741" s="7">
        <v>39744</v>
      </c>
      <c r="C3741" s="8">
        <f>DATE(2012,12,31)-1274</f>
        <v>40000</v>
      </c>
      <c r="D3741" s="8" t="str">
        <f t="shared" si="71"/>
        <v>2009-07 (июль 2009)</v>
      </c>
      <c r="E3741" s="9" t="s">
        <v>63</v>
      </c>
      <c r="F3741" s="7">
        <v>41</v>
      </c>
      <c r="G3741" s="7">
        <v>5636.3074999999999</v>
      </c>
      <c r="H3741" s="7">
        <v>0.04</v>
      </c>
      <c r="I3741" s="9" t="s">
        <v>22</v>
      </c>
      <c r="J3741" s="10">
        <v>1595.673</v>
      </c>
      <c r="K3741" s="11">
        <v>155.99</v>
      </c>
      <c r="L3741" s="11">
        <v>8.99</v>
      </c>
      <c r="M3741" s="9" t="s">
        <v>1659</v>
      </c>
      <c r="N3741" s="6" t="s">
        <v>1595</v>
      </c>
      <c r="O3741" s="6" t="s">
        <v>1595</v>
      </c>
      <c r="P3741" s="9" t="s">
        <v>33</v>
      </c>
      <c r="Q3741" s="9" t="s">
        <v>42</v>
      </c>
      <c r="R3741" s="9" t="s">
        <v>43</v>
      </c>
      <c r="S3741" s="7" t="s">
        <v>710</v>
      </c>
      <c r="T3741" s="9" t="s">
        <v>39</v>
      </c>
      <c r="U3741" s="7">
        <v>0.57999999999999996</v>
      </c>
      <c r="V3741" s="12">
        <f>C3741+1</f>
        <v>40001</v>
      </c>
      <c r="W3741">
        <f>IF(D3741=' Pivot Tables'!$A$4,1,0)</f>
        <v>0</v>
      </c>
      <c r="X3741">
        <f>IF(AND(LEFT(D3741,4)+1=LEFT(' Pivot Tables'!$A$4,4)+0,RIGHT(LEFT(D3741,7),2)=RIGHT(LEFT(' Pivot Tables'!$A$4,7),2)),1,0)</f>
        <v>0</v>
      </c>
      <c r="Y3741" s="6">
        <f>1/COUNTIF(Таблица1[Order ID],Таблица1[[#This Row],[Order ID]])</f>
        <v>0.33333333333333331</v>
      </c>
      <c r="Z3741" s="9">
        <f>1/COUNTIFS(Таблица1[Customer Name],Таблица1[[#This Row],[Customer Name]],Таблица1[Order-Year-Month],Таблица1[[#This Row],[Order-Year-Month]])</f>
        <v>0.25</v>
      </c>
    </row>
    <row r="3742" spans="1:26" x14ac:dyDescent="0.2">
      <c r="A3742" s="6">
        <v>5638</v>
      </c>
      <c r="B3742" s="7">
        <v>39878</v>
      </c>
      <c r="C3742" s="8">
        <f>DATE(2012,12,31)-667</f>
        <v>40607</v>
      </c>
      <c r="D3742" s="8" t="str">
        <f t="shared" si="71"/>
        <v>2011-03 (март 2011)</v>
      </c>
      <c r="E3742" s="9" t="s">
        <v>45</v>
      </c>
      <c r="F3742" s="7">
        <v>50</v>
      </c>
      <c r="G3742" s="7">
        <v>7663.74</v>
      </c>
      <c r="H3742" s="7">
        <v>0</v>
      </c>
      <c r="I3742" s="9" t="s">
        <v>31</v>
      </c>
      <c r="J3742" s="10">
        <v>-375.33210000000008</v>
      </c>
      <c r="K3742" s="11">
        <v>150.97999999999999</v>
      </c>
      <c r="L3742" s="11">
        <v>39.25</v>
      </c>
      <c r="M3742" s="9" t="s">
        <v>1673</v>
      </c>
      <c r="N3742" s="6" t="s">
        <v>1595</v>
      </c>
      <c r="O3742" s="6" t="s">
        <v>1595</v>
      </c>
      <c r="P3742" s="9" t="s">
        <v>41</v>
      </c>
      <c r="Q3742" s="9" t="s">
        <v>49</v>
      </c>
      <c r="R3742" s="9" t="s">
        <v>83</v>
      </c>
      <c r="S3742" s="7" t="s">
        <v>1404</v>
      </c>
      <c r="T3742" s="9" t="s">
        <v>82</v>
      </c>
      <c r="U3742" s="7">
        <v>0.75</v>
      </c>
      <c r="V3742" s="12">
        <f>C3742+2</f>
        <v>40609</v>
      </c>
      <c r="W3742">
        <f>IF(D3742=' Pivot Tables'!$A$4,1,0)</f>
        <v>0</v>
      </c>
      <c r="X3742">
        <f>IF(AND(LEFT(D3742,4)+1=LEFT(' Pivot Tables'!$A$4,4)+0,RIGHT(LEFT(D3742,7),2)=RIGHT(LEFT(' Pivot Tables'!$A$4,7),2)),1,0)</f>
        <v>0</v>
      </c>
      <c r="Y3742" s="6">
        <f>1/COUNTIF(Таблица1[Order ID],Таблица1[[#This Row],[Order ID]])</f>
        <v>1</v>
      </c>
      <c r="Z3742" s="9">
        <f>1/COUNTIFS(Таблица1[Customer Name],Таблица1[[#This Row],[Customer Name]],Таблица1[Order-Year-Month],Таблица1[[#This Row],[Order-Year-Month]])</f>
        <v>1</v>
      </c>
    </row>
    <row r="3743" spans="1:26" x14ac:dyDescent="0.2">
      <c r="A3743" s="6">
        <v>5648</v>
      </c>
      <c r="B3743" s="7">
        <v>39972</v>
      </c>
      <c r="C3743" s="8">
        <f>DATE(2012,12,31)-97</f>
        <v>41177</v>
      </c>
      <c r="D3743" s="8" t="str">
        <f t="shared" si="71"/>
        <v>2012-09 (сентябрь 2012)</v>
      </c>
      <c r="E3743" s="9" t="s">
        <v>45</v>
      </c>
      <c r="F3743" s="7">
        <v>35</v>
      </c>
      <c r="G3743" s="7">
        <v>224.58</v>
      </c>
      <c r="H3743" s="7">
        <v>0.03</v>
      </c>
      <c r="I3743" s="9" t="s">
        <v>22</v>
      </c>
      <c r="J3743" s="10">
        <v>108.49</v>
      </c>
      <c r="K3743" s="11">
        <v>6.3</v>
      </c>
      <c r="L3743" s="11">
        <v>0.5</v>
      </c>
      <c r="M3743" s="9" t="s">
        <v>1673</v>
      </c>
      <c r="N3743" s="6" t="s">
        <v>1595</v>
      </c>
      <c r="O3743" s="6" t="s">
        <v>1595</v>
      </c>
      <c r="P3743" s="9" t="s">
        <v>41</v>
      </c>
      <c r="Q3743" s="9" t="s">
        <v>26</v>
      </c>
      <c r="R3743" s="9" t="s">
        <v>88</v>
      </c>
      <c r="S3743" s="7" t="s">
        <v>900</v>
      </c>
      <c r="T3743" s="9" t="s">
        <v>39</v>
      </c>
      <c r="U3743" s="7">
        <v>0.39</v>
      </c>
      <c r="V3743" s="12">
        <f>C3743+1</f>
        <v>41178</v>
      </c>
      <c r="W3743">
        <f>IF(D3743=' Pivot Tables'!$A$4,1,0)</f>
        <v>0</v>
      </c>
      <c r="X3743">
        <f>IF(AND(LEFT(D3743,4)+1=LEFT(' Pivot Tables'!$A$4,4)+0,RIGHT(LEFT(D3743,7),2)=RIGHT(LEFT(' Pivot Tables'!$A$4,7),2)),1,0)</f>
        <v>0</v>
      </c>
      <c r="Y3743" s="6">
        <f>1/COUNTIF(Таблица1[Order ID],Таблица1[[#This Row],[Order ID]])</f>
        <v>0.33333333333333331</v>
      </c>
      <c r="Z3743" s="9">
        <f>1/COUNTIFS(Таблица1[Customer Name],Таблица1[[#This Row],[Customer Name]],Таблица1[Order-Year-Month],Таблица1[[#This Row],[Order-Year-Month]])</f>
        <v>0.33333333333333331</v>
      </c>
    </row>
    <row r="3744" spans="1:26" x14ac:dyDescent="0.2">
      <c r="A3744" s="6">
        <v>5649</v>
      </c>
      <c r="B3744" s="7">
        <v>39972</v>
      </c>
      <c r="C3744" s="8">
        <f>DATE(2012,12,31)-97</f>
        <v>41177</v>
      </c>
      <c r="D3744" s="8" t="str">
        <f t="shared" si="71"/>
        <v>2012-09 (сентябрь 2012)</v>
      </c>
      <c r="E3744" s="9" t="s">
        <v>45</v>
      </c>
      <c r="F3744" s="7">
        <v>36</v>
      </c>
      <c r="G3744" s="7">
        <v>138.59</v>
      </c>
      <c r="H3744" s="7">
        <v>0.01</v>
      </c>
      <c r="I3744" s="9" t="s">
        <v>22</v>
      </c>
      <c r="J3744" s="10">
        <v>62.73</v>
      </c>
      <c r="K3744" s="11">
        <v>3.69</v>
      </c>
      <c r="L3744" s="11">
        <v>0.5</v>
      </c>
      <c r="M3744" s="9" t="s">
        <v>1673</v>
      </c>
      <c r="N3744" s="6" t="s">
        <v>1595</v>
      </c>
      <c r="O3744" s="6" t="s">
        <v>1595</v>
      </c>
      <c r="P3744" s="9" t="s">
        <v>41</v>
      </c>
      <c r="Q3744" s="9" t="s">
        <v>26</v>
      </c>
      <c r="R3744" s="9" t="s">
        <v>88</v>
      </c>
      <c r="S3744" s="7" t="s">
        <v>1445</v>
      </c>
      <c r="T3744" s="9" t="s">
        <v>39</v>
      </c>
      <c r="U3744" s="7">
        <v>0.38</v>
      </c>
      <c r="V3744" s="12">
        <f>C3744+2</f>
        <v>41179</v>
      </c>
      <c r="W3744">
        <f>IF(D3744=' Pivot Tables'!$A$4,1,0)</f>
        <v>0</v>
      </c>
      <c r="X3744">
        <f>IF(AND(LEFT(D3744,4)+1=LEFT(' Pivot Tables'!$A$4,4)+0,RIGHT(LEFT(D3744,7),2)=RIGHT(LEFT(' Pivot Tables'!$A$4,7),2)),1,0)</f>
        <v>0</v>
      </c>
      <c r="Y3744" s="6">
        <f>1/COUNTIF(Таблица1[Order ID],Таблица1[[#This Row],[Order ID]])</f>
        <v>0.33333333333333331</v>
      </c>
      <c r="Z3744" s="9">
        <f>1/COUNTIFS(Таблица1[Customer Name],Таблица1[[#This Row],[Customer Name]],Таблица1[Order-Year-Month],Таблица1[[#This Row],[Order-Year-Month]])</f>
        <v>0.33333333333333331</v>
      </c>
    </row>
    <row r="3745" spans="1:26" x14ac:dyDescent="0.2">
      <c r="A3745" s="6">
        <v>5650</v>
      </c>
      <c r="B3745" s="7">
        <v>39972</v>
      </c>
      <c r="C3745" s="8">
        <f>DATE(2012,12,31)-97</f>
        <v>41177</v>
      </c>
      <c r="D3745" s="8" t="str">
        <f t="shared" si="71"/>
        <v>2012-09 (сентябрь 2012)</v>
      </c>
      <c r="E3745" s="9" t="s">
        <v>45</v>
      </c>
      <c r="F3745" s="7">
        <v>19</v>
      </c>
      <c r="G3745" s="7">
        <v>97.06</v>
      </c>
      <c r="H3745" s="7">
        <v>0.05</v>
      </c>
      <c r="I3745" s="9" t="s">
        <v>22</v>
      </c>
      <c r="J3745" s="10">
        <v>-7.36</v>
      </c>
      <c r="K3745" s="11">
        <v>5.0599999999999996</v>
      </c>
      <c r="L3745" s="11">
        <v>2.99</v>
      </c>
      <c r="M3745" s="9" t="s">
        <v>1673</v>
      </c>
      <c r="N3745" s="6" t="s">
        <v>1595</v>
      </c>
      <c r="O3745" s="6" t="s">
        <v>1595</v>
      </c>
      <c r="P3745" s="9" t="s">
        <v>41</v>
      </c>
      <c r="Q3745" s="9" t="s">
        <v>26</v>
      </c>
      <c r="R3745" s="9" t="s">
        <v>37</v>
      </c>
      <c r="S3745" s="7" t="s">
        <v>1711</v>
      </c>
      <c r="T3745" s="9" t="s">
        <v>39</v>
      </c>
      <c r="U3745" s="7">
        <v>0.38</v>
      </c>
      <c r="V3745" s="12">
        <f>C3745+3</f>
        <v>41180</v>
      </c>
      <c r="W3745">
        <f>IF(D3745=' Pivot Tables'!$A$4,1,0)</f>
        <v>0</v>
      </c>
      <c r="X3745">
        <f>IF(AND(LEFT(D3745,4)+1=LEFT(' Pivot Tables'!$A$4,4)+0,RIGHT(LEFT(D3745,7),2)=RIGHT(LEFT(' Pivot Tables'!$A$4,7),2)),1,0)</f>
        <v>0</v>
      </c>
      <c r="Y3745" s="6">
        <f>1/COUNTIF(Таблица1[Order ID],Таблица1[[#This Row],[Order ID]])</f>
        <v>0.33333333333333331</v>
      </c>
      <c r="Z3745" s="9">
        <f>1/COUNTIFS(Таблица1[Customer Name],Таблица1[[#This Row],[Customer Name]],Таблица1[Order-Year-Month],Таблица1[[#This Row],[Order-Year-Month]])</f>
        <v>0.33333333333333331</v>
      </c>
    </row>
    <row r="3746" spans="1:26" x14ac:dyDescent="0.2">
      <c r="A3746" s="6">
        <v>5728</v>
      </c>
      <c r="B3746" s="7">
        <v>40643</v>
      </c>
      <c r="C3746" s="8">
        <f>DATE(2012,12,31)-636</f>
        <v>40638</v>
      </c>
      <c r="D3746" s="8" t="str">
        <f t="shared" si="71"/>
        <v>2011-04 (апрель 2011)</v>
      </c>
      <c r="E3746" s="9" t="s">
        <v>78</v>
      </c>
      <c r="F3746" s="7">
        <v>23</v>
      </c>
      <c r="G3746" s="7">
        <v>258.74</v>
      </c>
      <c r="H3746" s="7">
        <v>0.05</v>
      </c>
      <c r="I3746" s="9" t="s">
        <v>22</v>
      </c>
      <c r="J3746" s="10">
        <v>10.8</v>
      </c>
      <c r="K3746" s="11">
        <v>11.58</v>
      </c>
      <c r="L3746" s="11">
        <v>5.72</v>
      </c>
      <c r="M3746" s="9" t="s">
        <v>1674</v>
      </c>
      <c r="N3746" s="6" t="s">
        <v>1595</v>
      </c>
      <c r="O3746" s="6" t="s">
        <v>1595</v>
      </c>
      <c r="P3746" s="9" t="s">
        <v>60</v>
      </c>
      <c r="Q3746" s="9" t="s">
        <v>26</v>
      </c>
      <c r="R3746" s="9" t="s">
        <v>76</v>
      </c>
      <c r="S3746" s="7" t="s">
        <v>304</v>
      </c>
      <c r="T3746" s="9" t="s">
        <v>39</v>
      </c>
      <c r="U3746" s="7">
        <v>0.35</v>
      </c>
      <c r="V3746" s="12">
        <f>C3746+2</f>
        <v>40640</v>
      </c>
      <c r="W3746">
        <f>IF(D3746=' Pivot Tables'!$A$4,1,0)</f>
        <v>0</v>
      </c>
      <c r="X3746">
        <f>IF(AND(LEFT(D3746,4)+1=LEFT(' Pivot Tables'!$A$4,4)+0,RIGHT(LEFT(D3746,7),2)=RIGHT(LEFT(' Pivot Tables'!$A$4,7),2)),1,0)</f>
        <v>0</v>
      </c>
      <c r="Y3746" s="6">
        <f>1/COUNTIF(Таблица1[Order ID],Таблица1[[#This Row],[Order ID]])</f>
        <v>1</v>
      </c>
      <c r="Z3746" s="9">
        <f>1/COUNTIFS(Таблица1[Customer Name],Таблица1[[#This Row],[Customer Name]],Таблица1[Order-Year-Month],Таблица1[[#This Row],[Order-Year-Month]])</f>
        <v>0.5</v>
      </c>
    </row>
    <row r="3747" spans="1:26" x14ac:dyDescent="0.2">
      <c r="A3747" s="6">
        <v>5757</v>
      </c>
      <c r="B3747" s="7">
        <v>40870</v>
      </c>
      <c r="C3747" s="8">
        <f>DATE(2012,12,31)-386</f>
        <v>40888</v>
      </c>
      <c r="D3747" s="8" t="str">
        <f t="shared" si="71"/>
        <v>2011-12 (декабрь 2011)</v>
      </c>
      <c r="E3747" s="9" t="s">
        <v>78</v>
      </c>
      <c r="F3747" s="7">
        <v>43</v>
      </c>
      <c r="G3747" s="7">
        <v>12858.88</v>
      </c>
      <c r="H3747" s="7">
        <v>0.08</v>
      </c>
      <c r="I3747" s="9" t="s">
        <v>22</v>
      </c>
      <c r="J3747" s="10">
        <v>4833.2700000000004</v>
      </c>
      <c r="K3747" s="11">
        <v>300.97000000000003</v>
      </c>
      <c r="L3747" s="11">
        <v>7.18</v>
      </c>
      <c r="M3747" s="9" t="s">
        <v>1698</v>
      </c>
      <c r="N3747" s="6" t="s">
        <v>1595</v>
      </c>
      <c r="O3747" s="6" t="s">
        <v>1595</v>
      </c>
      <c r="P3747" s="9" t="s">
        <v>41</v>
      </c>
      <c r="Q3747" s="9" t="s">
        <v>42</v>
      </c>
      <c r="R3747" s="9" t="s">
        <v>70</v>
      </c>
      <c r="S3747" s="7" t="s">
        <v>1658</v>
      </c>
      <c r="T3747" s="9" t="s">
        <v>39</v>
      </c>
      <c r="U3747" s="7">
        <v>0.48</v>
      </c>
      <c r="V3747" s="12">
        <f>C3747+0</f>
        <v>40888</v>
      </c>
      <c r="W3747">
        <f>IF(D3747=' Pivot Tables'!$A$4,1,0)</f>
        <v>0</v>
      </c>
      <c r="X3747">
        <f>IF(AND(LEFT(D3747,4)+1=LEFT(' Pivot Tables'!$A$4,4)+0,RIGHT(LEFT(D3747,7),2)=RIGHT(LEFT(' Pivot Tables'!$A$4,7),2)),1,0)</f>
        <v>0</v>
      </c>
      <c r="Y3747" s="6">
        <f>1/COUNTIF(Таблица1[Order ID],Таблица1[[#This Row],[Order ID]])</f>
        <v>0.5</v>
      </c>
      <c r="Z3747" s="9">
        <f>1/COUNTIFS(Таблица1[Customer Name],Таблица1[[#This Row],[Customer Name]],Таблица1[Order-Year-Month],Таблица1[[#This Row],[Order-Year-Month]])</f>
        <v>0.5</v>
      </c>
    </row>
    <row r="3748" spans="1:26" x14ac:dyDescent="0.2">
      <c r="A3748" s="6">
        <v>5758</v>
      </c>
      <c r="B3748" s="7">
        <v>40870</v>
      </c>
      <c r="C3748" s="8">
        <f>DATE(2012,12,31)-386</f>
        <v>40888</v>
      </c>
      <c r="D3748" s="8" t="str">
        <f t="shared" si="71"/>
        <v>2011-12 (декабрь 2011)</v>
      </c>
      <c r="E3748" s="9" t="s">
        <v>78</v>
      </c>
      <c r="F3748" s="7">
        <v>28</v>
      </c>
      <c r="G3748" s="7">
        <v>146.69</v>
      </c>
      <c r="H3748" s="7">
        <v>0</v>
      </c>
      <c r="I3748" s="9" t="s">
        <v>22</v>
      </c>
      <c r="J3748" s="10">
        <v>-64.05</v>
      </c>
      <c r="K3748" s="11">
        <v>4.95</v>
      </c>
      <c r="L3748" s="11">
        <v>5.32</v>
      </c>
      <c r="M3748" s="9" t="s">
        <v>1698</v>
      </c>
      <c r="N3748" s="6" t="s">
        <v>1595</v>
      </c>
      <c r="O3748" s="6" t="s">
        <v>1595</v>
      </c>
      <c r="P3748" s="9" t="s">
        <v>41</v>
      </c>
      <c r="Q3748" s="9" t="s">
        <v>49</v>
      </c>
      <c r="R3748" s="9" t="s">
        <v>50</v>
      </c>
      <c r="S3748" s="7" t="s">
        <v>1712</v>
      </c>
      <c r="T3748" s="9" t="s">
        <v>39</v>
      </c>
      <c r="U3748" s="7">
        <v>0.41</v>
      </c>
      <c r="V3748" s="12">
        <f>C3748+2</f>
        <v>40890</v>
      </c>
      <c r="W3748">
        <f>IF(D3748=' Pivot Tables'!$A$4,1,0)</f>
        <v>0</v>
      </c>
      <c r="X3748">
        <f>IF(AND(LEFT(D3748,4)+1=LEFT(' Pivot Tables'!$A$4,4)+0,RIGHT(LEFT(D3748,7),2)=RIGHT(LEFT(' Pivot Tables'!$A$4,7),2)),1,0)</f>
        <v>0</v>
      </c>
      <c r="Y3748" s="6">
        <f>1/COUNTIF(Таблица1[Order ID],Таблица1[[#This Row],[Order ID]])</f>
        <v>0.5</v>
      </c>
      <c r="Z3748" s="9">
        <f>1/COUNTIFS(Таблица1[Customer Name],Таблица1[[#This Row],[Customer Name]],Таблица1[Order-Year-Month],Таблица1[[#This Row],[Order-Year-Month]])</f>
        <v>0.5</v>
      </c>
    </row>
    <row r="3749" spans="1:26" x14ac:dyDescent="0.2">
      <c r="A3749" s="6">
        <v>5767</v>
      </c>
      <c r="B3749" s="7">
        <v>40934</v>
      </c>
      <c r="C3749" s="8">
        <f>DATE(2012,12,31)-414</f>
        <v>40860</v>
      </c>
      <c r="D3749" s="8" t="str">
        <f t="shared" si="71"/>
        <v>2011-11 (ноябрь 2011)</v>
      </c>
      <c r="E3749" s="9" t="s">
        <v>45</v>
      </c>
      <c r="F3749" s="7">
        <v>28</v>
      </c>
      <c r="G3749" s="7">
        <v>49.49</v>
      </c>
      <c r="H3749" s="7">
        <v>0.01</v>
      </c>
      <c r="I3749" s="9" t="s">
        <v>22</v>
      </c>
      <c r="J3749" s="10">
        <v>-1.23</v>
      </c>
      <c r="K3749" s="11">
        <v>1.76</v>
      </c>
      <c r="L3749" s="11">
        <v>0.7</v>
      </c>
      <c r="M3749" s="9" t="s">
        <v>1695</v>
      </c>
      <c r="N3749" s="6" t="s">
        <v>1595</v>
      </c>
      <c r="O3749" s="6" t="s">
        <v>1595</v>
      </c>
      <c r="P3749" s="9" t="s">
        <v>60</v>
      </c>
      <c r="Q3749" s="9" t="s">
        <v>26</v>
      </c>
      <c r="R3749" s="9" t="s">
        <v>95</v>
      </c>
      <c r="S3749" s="7" t="s">
        <v>193</v>
      </c>
      <c r="T3749" s="9" t="s">
        <v>68</v>
      </c>
      <c r="U3749" s="7">
        <v>0.56000000000000005</v>
      </c>
      <c r="V3749" s="12">
        <f>C3749+1</f>
        <v>40861</v>
      </c>
      <c r="W3749">
        <f>IF(D3749=' Pivot Tables'!$A$4,1,0)</f>
        <v>0</v>
      </c>
      <c r="X3749">
        <f>IF(AND(LEFT(D3749,4)+1=LEFT(' Pivot Tables'!$A$4,4)+0,RIGHT(LEFT(D3749,7),2)=RIGHT(LEFT(' Pivot Tables'!$A$4,7),2)),1,0)</f>
        <v>0</v>
      </c>
      <c r="Y3749" s="6">
        <f>1/COUNTIF(Таблица1[Order ID],Таблица1[[#This Row],[Order ID]])</f>
        <v>0.5</v>
      </c>
      <c r="Z3749" s="9">
        <f>1/COUNTIFS(Таблица1[Customer Name],Таблица1[[#This Row],[Customer Name]],Таблица1[Order-Year-Month],Таблица1[[#This Row],[Order-Year-Month]])</f>
        <v>0.5</v>
      </c>
    </row>
    <row r="3750" spans="1:26" x14ac:dyDescent="0.2">
      <c r="A3750" s="6">
        <v>5768</v>
      </c>
      <c r="B3750" s="7">
        <v>40934</v>
      </c>
      <c r="C3750" s="8">
        <f>DATE(2012,12,31)-414</f>
        <v>40860</v>
      </c>
      <c r="D3750" s="8" t="str">
        <f t="shared" si="71"/>
        <v>2011-11 (ноябрь 2011)</v>
      </c>
      <c r="E3750" s="9" t="s">
        <v>45</v>
      </c>
      <c r="F3750" s="7">
        <v>11</v>
      </c>
      <c r="G3750" s="7">
        <v>404.14949999999999</v>
      </c>
      <c r="H3750" s="7">
        <v>7.0000000000000007E-2</v>
      </c>
      <c r="I3750" s="9" t="s">
        <v>22</v>
      </c>
      <c r="J3750" s="10">
        <v>-107.503</v>
      </c>
      <c r="K3750" s="11">
        <v>45.99</v>
      </c>
      <c r="L3750" s="11">
        <v>4.99</v>
      </c>
      <c r="M3750" s="9" t="s">
        <v>1695</v>
      </c>
      <c r="N3750" s="6" t="s">
        <v>1595</v>
      </c>
      <c r="O3750" s="6" t="s">
        <v>1595</v>
      </c>
      <c r="P3750" s="9" t="s">
        <v>60</v>
      </c>
      <c r="Q3750" s="9" t="s">
        <v>42</v>
      </c>
      <c r="R3750" s="9" t="s">
        <v>43</v>
      </c>
      <c r="S3750" s="7" t="s">
        <v>1325</v>
      </c>
      <c r="T3750" s="9" t="s">
        <v>39</v>
      </c>
      <c r="U3750" s="7">
        <v>0.56999999999999995</v>
      </c>
      <c r="V3750" s="12">
        <f>C3750+2</f>
        <v>40862</v>
      </c>
      <c r="W3750">
        <f>IF(D3750=' Pivot Tables'!$A$4,1,0)</f>
        <v>0</v>
      </c>
      <c r="X3750">
        <f>IF(AND(LEFT(D3750,4)+1=LEFT(' Pivot Tables'!$A$4,4)+0,RIGHT(LEFT(D3750,7),2)=RIGHT(LEFT(' Pivot Tables'!$A$4,7),2)),1,0)</f>
        <v>0</v>
      </c>
      <c r="Y3750" s="6">
        <f>1/COUNTIF(Таблица1[Order ID],Таблица1[[#This Row],[Order ID]])</f>
        <v>0.5</v>
      </c>
      <c r="Z3750" s="9">
        <f>1/COUNTIFS(Таблица1[Customer Name],Таблица1[[#This Row],[Customer Name]],Таблица1[Order-Year-Month],Таблица1[[#This Row],[Order-Year-Month]])</f>
        <v>0.5</v>
      </c>
    </row>
    <row r="3751" spans="1:26" x14ac:dyDescent="0.2">
      <c r="A3751" s="6">
        <v>5817</v>
      </c>
      <c r="B3751" s="7">
        <v>41254</v>
      </c>
      <c r="C3751" s="8">
        <f>DATE(2012,12,31)-721</f>
        <v>40553</v>
      </c>
      <c r="D3751" s="8" t="str">
        <f t="shared" si="71"/>
        <v>2011-01 (январь 2011)</v>
      </c>
      <c r="E3751" s="9" t="s">
        <v>78</v>
      </c>
      <c r="F3751" s="7">
        <v>17</v>
      </c>
      <c r="G3751" s="7">
        <v>1782.68</v>
      </c>
      <c r="H3751" s="7">
        <v>0.08</v>
      </c>
      <c r="I3751" s="9" t="s">
        <v>22</v>
      </c>
      <c r="J3751" s="10">
        <v>280.64</v>
      </c>
      <c r="K3751" s="11">
        <v>107.53</v>
      </c>
      <c r="L3751" s="11">
        <v>5.81</v>
      </c>
      <c r="M3751" s="9" t="s">
        <v>1694</v>
      </c>
      <c r="N3751" s="6" t="s">
        <v>1595</v>
      </c>
      <c r="O3751" s="6" t="s">
        <v>1595</v>
      </c>
      <c r="P3751" s="9" t="s">
        <v>41</v>
      </c>
      <c r="Q3751" s="9" t="s">
        <v>49</v>
      </c>
      <c r="R3751" s="9" t="s">
        <v>50</v>
      </c>
      <c r="S3751" s="7" t="s">
        <v>473</v>
      </c>
      <c r="T3751" s="9" t="s">
        <v>48</v>
      </c>
      <c r="U3751" s="7">
        <v>0.65</v>
      </c>
      <c r="V3751" s="12">
        <f>C3751+2</f>
        <v>40555</v>
      </c>
      <c r="W3751">
        <f>IF(D3751=' Pivot Tables'!$A$4,1,0)</f>
        <v>0</v>
      </c>
      <c r="X3751">
        <f>IF(AND(LEFT(D3751,4)+1=LEFT(' Pivot Tables'!$A$4,4)+0,RIGHT(LEFT(D3751,7),2)=RIGHT(LEFT(' Pivot Tables'!$A$4,7),2)),1,0)</f>
        <v>0</v>
      </c>
      <c r="Y3751" s="6">
        <f>1/COUNTIF(Таблица1[Order ID],Таблица1[[#This Row],[Order ID]])</f>
        <v>1</v>
      </c>
      <c r="Z3751" s="9">
        <f>1/COUNTIFS(Таблица1[Customer Name],Таблица1[[#This Row],[Customer Name]],Таблица1[Order-Year-Month],Таблица1[[#This Row],[Order-Year-Month]])</f>
        <v>1</v>
      </c>
    </row>
    <row r="3752" spans="1:26" x14ac:dyDescent="0.2">
      <c r="A3752" s="6">
        <v>5844</v>
      </c>
      <c r="B3752" s="7">
        <v>41472</v>
      </c>
      <c r="C3752" s="8">
        <f>DATE(2012,12,31)-1073</f>
        <v>40201</v>
      </c>
      <c r="D3752" s="8" t="str">
        <f t="shared" si="71"/>
        <v>2010-01 (январь 2010)</v>
      </c>
      <c r="E3752" s="9" t="s">
        <v>21</v>
      </c>
      <c r="F3752" s="7">
        <v>48</v>
      </c>
      <c r="G3752" s="7">
        <v>280.87</v>
      </c>
      <c r="H3752" s="7">
        <v>0.01</v>
      </c>
      <c r="I3752" s="9" t="s">
        <v>56</v>
      </c>
      <c r="J3752" s="10">
        <v>-214.15299999999999</v>
      </c>
      <c r="K3752" s="11">
        <v>5.38</v>
      </c>
      <c r="L3752" s="11">
        <v>7.57</v>
      </c>
      <c r="M3752" s="9" t="s">
        <v>1611</v>
      </c>
      <c r="N3752" s="6" t="s">
        <v>1595</v>
      </c>
      <c r="O3752" s="6" t="s">
        <v>1595</v>
      </c>
      <c r="P3752" s="9" t="s">
        <v>60</v>
      </c>
      <c r="Q3752" s="9" t="s">
        <v>26</v>
      </c>
      <c r="R3752" s="9" t="s">
        <v>37</v>
      </c>
      <c r="S3752" s="7" t="s">
        <v>1633</v>
      </c>
      <c r="T3752" s="9" t="s">
        <v>39</v>
      </c>
      <c r="U3752" s="7">
        <v>0.36</v>
      </c>
      <c r="V3752" s="12">
        <f>C3752+7</f>
        <v>40208</v>
      </c>
      <c r="W3752">
        <f>IF(D3752=' Pivot Tables'!$A$4,1,0)</f>
        <v>1</v>
      </c>
      <c r="X3752">
        <f>IF(AND(LEFT(D3752,4)+1=LEFT(' Pivot Tables'!$A$4,4)+0,RIGHT(LEFT(D3752,7),2)=RIGHT(LEFT(' Pivot Tables'!$A$4,7),2)),1,0)</f>
        <v>0</v>
      </c>
      <c r="Y3752" s="6">
        <f>1/COUNTIF(Таблица1[Order ID],Таблица1[[#This Row],[Order ID]])</f>
        <v>1</v>
      </c>
      <c r="Z3752" s="9">
        <f>1/COUNTIFS(Таблица1[Customer Name],Таблица1[[#This Row],[Customer Name]],Таблица1[Order-Year-Month],Таблица1[[#This Row],[Order-Year-Month]])</f>
        <v>1</v>
      </c>
    </row>
    <row r="3753" spans="1:26" x14ac:dyDescent="0.2">
      <c r="A3753" s="6">
        <v>5901</v>
      </c>
      <c r="B3753" s="7">
        <v>41830</v>
      </c>
      <c r="C3753" s="8">
        <f>DATE(2012,12,31)-318</f>
        <v>40956</v>
      </c>
      <c r="D3753" s="8" t="str">
        <f t="shared" si="71"/>
        <v>2012-02 (февраль 2012)</v>
      </c>
      <c r="E3753" s="9" t="s">
        <v>21</v>
      </c>
      <c r="F3753" s="7">
        <v>42</v>
      </c>
      <c r="G3753" s="7">
        <v>5361.08</v>
      </c>
      <c r="H3753" s="7">
        <v>0</v>
      </c>
      <c r="I3753" s="9" t="s">
        <v>31</v>
      </c>
      <c r="J3753" s="10">
        <v>1841.92</v>
      </c>
      <c r="K3753" s="11">
        <v>120.97</v>
      </c>
      <c r="L3753" s="11">
        <v>26.3</v>
      </c>
      <c r="M3753" s="9" t="s">
        <v>1671</v>
      </c>
      <c r="N3753" s="6" t="s">
        <v>1595</v>
      </c>
      <c r="O3753" s="6" t="s">
        <v>1595</v>
      </c>
      <c r="P3753" s="9" t="s">
        <v>60</v>
      </c>
      <c r="Q3753" s="9" t="s">
        <v>42</v>
      </c>
      <c r="R3753" s="9" t="s">
        <v>210</v>
      </c>
      <c r="S3753" s="7" t="s">
        <v>487</v>
      </c>
      <c r="T3753" s="9" t="s">
        <v>36</v>
      </c>
      <c r="U3753" s="7">
        <v>0.38</v>
      </c>
      <c r="V3753" s="12">
        <f>C3753+7</f>
        <v>40963</v>
      </c>
      <c r="W3753">
        <f>IF(D3753=' Pivot Tables'!$A$4,1,0)</f>
        <v>0</v>
      </c>
      <c r="X3753">
        <f>IF(AND(LEFT(D3753,4)+1=LEFT(' Pivot Tables'!$A$4,4)+0,RIGHT(LEFT(D3753,7),2)=RIGHT(LEFT(' Pivot Tables'!$A$4,7),2)),1,0)</f>
        <v>0</v>
      </c>
      <c r="Y3753" s="6">
        <f>1/COUNTIF(Таблица1[Order ID],Таблица1[[#This Row],[Order ID]])</f>
        <v>1</v>
      </c>
      <c r="Z3753" s="9">
        <f>1/COUNTIFS(Таблица1[Customer Name],Таблица1[[#This Row],[Customer Name]],Таблица1[Order-Year-Month],Таблица1[[#This Row],[Order-Year-Month]])</f>
        <v>1</v>
      </c>
    </row>
    <row r="3754" spans="1:26" x14ac:dyDescent="0.2">
      <c r="A3754" s="6">
        <v>5939</v>
      </c>
      <c r="B3754" s="7">
        <v>42144</v>
      </c>
      <c r="C3754" s="8">
        <f>DATE(2012,12,31)-1145</f>
        <v>40129</v>
      </c>
      <c r="D3754" s="8" t="str">
        <f t="shared" si="71"/>
        <v>2009-11 (ноябрь 2009)</v>
      </c>
      <c r="E3754" s="9" t="s">
        <v>63</v>
      </c>
      <c r="F3754" s="7">
        <v>10</v>
      </c>
      <c r="G3754" s="7">
        <v>670.03</v>
      </c>
      <c r="H3754" s="7">
        <v>0.01</v>
      </c>
      <c r="I3754" s="9" t="s">
        <v>56</v>
      </c>
      <c r="J3754" s="10">
        <v>-326.47000000000003</v>
      </c>
      <c r="K3754" s="11">
        <v>64.650000000000006</v>
      </c>
      <c r="L3754" s="11">
        <v>35</v>
      </c>
      <c r="M3754" s="9" t="s">
        <v>1659</v>
      </c>
      <c r="N3754" s="6" t="s">
        <v>1595</v>
      </c>
      <c r="O3754" s="6" t="s">
        <v>1595</v>
      </c>
      <c r="P3754" s="9" t="s">
        <v>33</v>
      </c>
      <c r="Q3754" s="9" t="s">
        <v>26</v>
      </c>
      <c r="R3754" s="9" t="s">
        <v>27</v>
      </c>
      <c r="S3754" s="7" t="s">
        <v>1060</v>
      </c>
      <c r="T3754" s="9" t="s">
        <v>29</v>
      </c>
      <c r="U3754" s="7">
        <v>0.8</v>
      </c>
      <c r="V3754" s="12">
        <f>C3754+2</f>
        <v>40131</v>
      </c>
      <c r="W3754">
        <f>IF(D3754=' Pivot Tables'!$A$4,1,0)</f>
        <v>0</v>
      </c>
      <c r="X3754">
        <f>IF(AND(LEFT(D3754,4)+1=LEFT(' Pivot Tables'!$A$4,4)+0,RIGHT(LEFT(D3754,7),2)=RIGHT(LEFT(' Pivot Tables'!$A$4,7),2)),1,0)</f>
        <v>0</v>
      </c>
      <c r="Y3754" s="6">
        <f>1/COUNTIF(Таблица1[Order ID],Таблица1[[#This Row],[Order ID]])</f>
        <v>1</v>
      </c>
      <c r="Z3754" s="9">
        <f>1/COUNTIFS(Таблица1[Customer Name],Таблица1[[#This Row],[Customer Name]],Таблица1[Order-Year-Month],Таблица1[[#This Row],[Order-Year-Month]])</f>
        <v>1</v>
      </c>
    </row>
    <row r="3755" spans="1:26" x14ac:dyDescent="0.2">
      <c r="A3755" s="6">
        <v>5989</v>
      </c>
      <c r="B3755" s="7">
        <v>42439</v>
      </c>
      <c r="C3755" s="8">
        <f>DATE(2012,12,31)-926</f>
        <v>40348</v>
      </c>
      <c r="D3755" s="8" t="str">
        <f t="shared" si="71"/>
        <v>2010-06 (июнь 2010)</v>
      </c>
      <c r="E3755" s="9" t="s">
        <v>45</v>
      </c>
      <c r="F3755" s="7">
        <v>28</v>
      </c>
      <c r="G3755" s="7">
        <v>164.5</v>
      </c>
      <c r="H3755" s="7">
        <v>0.01</v>
      </c>
      <c r="I3755" s="9" t="s">
        <v>22</v>
      </c>
      <c r="J3755" s="10">
        <v>62.68</v>
      </c>
      <c r="K3755" s="11">
        <v>5.84</v>
      </c>
      <c r="L3755" s="11">
        <v>1</v>
      </c>
      <c r="M3755" s="9" t="s">
        <v>1662</v>
      </c>
      <c r="N3755" s="6" t="s">
        <v>1595</v>
      </c>
      <c r="O3755" s="6" t="s">
        <v>1595</v>
      </c>
      <c r="P3755" s="9" t="s">
        <v>33</v>
      </c>
      <c r="Q3755" s="9" t="s">
        <v>26</v>
      </c>
      <c r="R3755" s="9" t="s">
        <v>95</v>
      </c>
      <c r="S3755" s="7" t="s">
        <v>1144</v>
      </c>
      <c r="T3755" s="9" t="s">
        <v>68</v>
      </c>
      <c r="U3755" s="7">
        <v>0.38</v>
      </c>
      <c r="V3755" s="12">
        <f>C3755+1</f>
        <v>40349</v>
      </c>
      <c r="W3755">
        <f>IF(D3755=' Pivot Tables'!$A$4,1,0)</f>
        <v>0</v>
      </c>
      <c r="X3755">
        <f>IF(AND(LEFT(D3755,4)+1=LEFT(' Pivot Tables'!$A$4,4)+0,RIGHT(LEFT(D3755,7),2)=RIGHT(LEFT(' Pivot Tables'!$A$4,7),2)),1,0)</f>
        <v>0</v>
      </c>
      <c r="Y3755" s="6">
        <f>1/COUNTIF(Таблица1[Order ID],Таблица1[[#This Row],[Order ID]])</f>
        <v>1</v>
      </c>
      <c r="Z3755" s="9">
        <f>1/COUNTIFS(Таблица1[Customer Name],Таблица1[[#This Row],[Customer Name]],Таблица1[Order-Year-Month],Таблица1[[#This Row],[Order-Year-Month]])</f>
        <v>1</v>
      </c>
    </row>
    <row r="3756" spans="1:26" x14ac:dyDescent="0.2">
      <c r="A3756" s="6">
        <v>6037</v>
      </c>
      <c r="B3756" s="7">
        <v>42758</v>
      </c>
      <c r="C3756" s="8">
        <f>DATE(2012,12,31)-51</f>
        <v>41223</v>
      </c>
      <c r="D3756" s="8" t="str">
        <f t="shared" si="71"/>
        <v>2012-11 (ноябрь 2012)</v>
      </c>
      <c r="E3756" s="9" t="s">
        <v>78</v>
      </c>
      <c r="F3756" s="7">
        <v>12</v>
      </c>
      <c r="G3756" s="7">
        <v>1769.74</v>
      </c>
      <c r="H3756" s="7">
        <v>7.0000000000000007E-2</v>
      </c>
      <c r="I3756" s="9" t="s">
        <v>22</v>
      </c>
      <c r="J3756" s="10">
        <v>-333.69</v>
      </c>
      <c r="K3756" s="11">
        <v>152.47999999999999</v>
      </c>
      <c r="L3756" s="11">
        <v>4</v>
      </c>
      <c r="M3756" s="9" t="s">
        <v>1713</v>
      </c>
      <c r="N3756" s="6" t="s">
        <v>1595</v>
      </c>
      <c r="O3756" s="6" t="s">
        <v>1595</v>
      </c>
      <c r="P3756" s="9" t="s">
        <v>60</v>
      </c>
      <c r="Q3756" s="9" t="s">
        <v>42</v>
      </c>
      <c r="R3756" s="9" t="s">
        <v>70</v>
      </c>
      <c r="S3756" s="7" t="s">
        <v>844</v>
      </c>
      <c r="T3756" s="9" t="s">
        <v>39</v>
      </c>
      <c r="U3756" s="7">
        <v>0.79</v>
      </c>
      <c r="V3756" s="12">
        <f>C3756+2</f>
        <v>41225</v>
      </c>
      <c r="W3756">
        <f>IF(D3756=' Pivot Tables'!$A$4,1,0)</f>
        <v>0</v>
      </c>
      <c r="X3756">
        <f>IF(AND(LEFT(D3756,4)+1=LEFT(' Pivot Tables'!$A$4,4)+0,RIGHT(LEFT(D3756,7),2)=RIGHT(LEFT(' Pivot Tables'!$A$4,7),2)),1,0)</f>
        <v>0</v>
      </c>
      <c r="Y3756" s="6">
        <f>1/COUNTIF(Таблица1[Order ID],Таблица1[[#This Row],[Order ID]])</f>
        <v>0.5</v>
      </c>
      <c r="Z3756" s="9">
        <f>1/COUNTIFS(Таблица1[Customer Name],Таблица1[[#This Row],[Customer Name]],Таблица1[Order-Year-Month],Таблица1[[#This Row],[Order-Year-Month]])</f>
        <v>0.5</v>
      </c>
    </row>
    <row r="3757" spans="1:26" x14ac:dyDescent="0.2">
      <c r="A3757" s="6">
        <v>6038</v>
      </c>
      <c r="B3757" s="7">
        <v>42758</v>
      </c>
      <c r="C3757" s="8">
        <f>DATE(2012,12,31)-51</f>
        <v>41223</v>
      </c>
      <c r="D3757" s="8" t="str">
        <f t="shared" si="71"/>
        <v>2012-11 (ноябрь 2012)</v>
      </c>
      <c r="E3757" s="9" t="s">
        <v>78</v>
      </c>
      <c r="F3757" s="7">
        <v>42</v>
      </c>
      <c r="G3757" s="7">
        <v>638.07000000000005</v>
      </c>
      <c r="H3757" s="7">
        <v>0.05</v>
      </c>
      <c r="I3757" s="9" t="s">
        <v>22</v>
      </c>
      <c r="J3757" s="10">
        <v>278.89</v>
      </c>
      <c r="K3757" s="11">
        <v>15.04</v>
      </c>
      <c r="L3757" s="11">
        <v>1.97</v>
      </c>
      <c r="M3757" s="9" t="s">
        <v>1713</v>
      </c>
      <c r="N3757" s="6" t="s">
        <v>1595</v>
      </c>
      <c r="O3757" s="6" t="s">
        <v>1595</v>
      </c>
      <c r="P3757" s="9" t="s">
        <v>60</v>
      </c>
      <c r="Q3757" s="9" t="s">
        <v>26</v>
      </c>
      <c r="R3757" s="9" t="s">
        <v>61</v>
      </c>
      <c r="S3757" s="7" t="s">
        <v>688</v>
      </c>
      <c r="T3757" s="9" t="s">
        <v>68</v>
      </c>
      <c r="U3757" s="7">
        <v>0.39</v>
      </c>
      <c r="V3757" s="12">
        <f>C3757+1</f>
        <v>41224</v>
      </c>
      <c r="W3757">
        <f>IF(D3757=' Pivot Tables'!$A$4,1,0)</f>
        <v>0</v>
      </c>
      <c r="X3757">
        <f>IF(AND(LEFT(D3757,4)+1=LEFT(' Pivot Tables'!$A$4,4)+0,RIGHT(LEFT(D3757,7),2)=RIGHT(LEFT(' Pivot Tables'!$A$4,7),2)),1,0)</f>
        <v>0</v>
      </c>
      <c r="Y3757" s="6">
        <f>1/COUNTIF(Таблица1[Order ID],Таблица1[[#This Row],[Order ID]])</f>
        <v>0.5</v>
      </c>
      <c r="Z3757" s="9">
        <f>1/COUNTIFS(Таблица1[Customer Name],Таблица1[[#This Row],[Customer Name]],Таблица1[Order-Year-Month],Таблица1[[#This Row],[Order-Year-Month]])</f>
        <v>0.5</v>
      </c>
    </row>
    <row r="3758" spans="1:26" x14ac:dyDescent="0.2">
      <c r="A3758" s="6">
        <v>6057</v>
      </c>
      <c r="B3758" s="7">
        <v>42918</v>
      </c>
      <c r="C3758" s="8">
        <f>DATE(2012,12,31)-589</f>
        <v>40685</v>
      </c>
      <c r="D3758" s="8" t="str">
        <f t="shared" si="71"/>
        <v>2011-05 (май 2011)</v>
      </c>
      <c r="E3758" s="9" t="s">
        <v>30</v>
      </c>
      <c r="F3758" s="7">
        <v>38</v>
      </c>
      <c r="G3758" s="7">
        <v>468.95</v>
      </c>
      <c r="H3758" s="7">
        <v>0.02</v>
      </c>
      <c r="I3758" s="9" t="s">
        <v>56</v>
      </c>
      <c r="J3758" s="10">
        <v>-2.3804999999999996</v>
      </c>
      <c r="K3758" s="11">
        <v>11.5</v>
      </c>
      <c r="L3758" s="11">
        <v>7.19</v>
      </c>
      <c r="M3758" s="9" t="s">
        <v>657</v>
      </c>
      <c r="N3758" s="6" t="s">
        <v>1595</v>
      </c>
      <c r="O3758" s="6" t="s">
        <v>1595</v>
      </c>
      <c r="P3758" s="9" t="s">
        <v>41</v>
      </c>
      <c r="Q3758" s="9" t="s">
        <v>26</v>
      </c>
      <c r="R3758" s="9" t="s">
        <v>37</v>
      </c>
      <c r="S3758" s="7" t="s">
        <v>398</v>
      </c>
      <c r="T3758" s="9" t="s">
        <v>39</v>
      </c>
      <c r="U3758" s="7">
        <v>0.4</v>
      </c>
      <c r="V3758" s="12">
        <f>C3758+2</f>
        <v>40687</v>
      </c>
      <c r="W3758">
        <f>IF(D3758=' Pivot Tables'!$A$4,1,0)</f>
        <v>0</v>
      </c>
      <c r="X3758">
        <f>IF(AND(LEFT(D3758,4)+1=LEFT(' Pivot Tables'!$A$4,4)+0,RIGHT(LEFT(D3758,7),2)=RIGHT(LEFT(' Pivot Tables'!$A$4,7),2)),1,0)</f>
        <v>0</v>
      </c>
      <c r="Y3758" s="6">
        <f>1/COUNTIF(Таблица1[Order ID],Таблица1[[#This Row],[Order ID]])</f>
        <v>0.33333333333333331</v>
      </c>
      <c r="Z3758" s="9">
        <f>1/COUNTIFS(Таблица1[Customer Name],Таблица1[[#This Row],[Customer Name]],Таблица1[Order-Year-Month],Таблица1[[#This Row],[Order-Year-Month]])</f>
        <v>0.33333333333333331</v>
      </c>
    </row>
    <row r="3759" spans="1:26" x14ac:dyDescent="0.2">
      <c r="A3759" s="6">
        <v>6064</v>
      </c>
      <c r="B3759" s="7">
        <v>42950</v>
      </c>
      <c r="C3759" s="8">
        <f>DATE(2012,12,31)-862</f>
        <v>40412</v>
      </c>
      <c r="D3759" s="8" t="str">
        <f t="shared" si="71"/>
        <v>2010-08 (август 2010)</v>
      </c>
      <c r="E3759" s="9" t="s">
        <v>30</v>
      </c>
      <c r="F3759" s="7">
        <v>38</v>
      </c>
      <c r="G3759" s="7">
        <v>1142.4849999999999</v>
      </c>
      <c r="H3759" s="7">
        <v>0.09</v>
      </c>
      <c r="I3759" s="9" t="s">
        <v>22</v>
      </c>
      <c r="J3759" s="10">
        <v>303.399</v>
      </c>
      <c r="K3759" s="11">
        <v>35.99</v>
      </c>
      <c r="L3759" s="11">
        <v>1.25</v>
      </c>
      <c r="M3759" s="9" t="s">
        <v>1687</v>
      </c>
      <c r="N3759" s="6" t="s">
        <v>1595</v>
      </c>
      <c r="O3759" s="6" t="s">
        <v>1595</v>
      </c>
      <c r="P3759" s="9" t="s">
        <v>25</v>
      </c>
      <c r="Q3759" s="9" t="s">
        <v>42</v>
      </c>
      <c r="R3759" s="9" t="s">
        <v>43</v>
      </c>
      <c r="S3759" s="7" t="s">
        <v>695</v>
      </c>
      <c r="T3759" s="9" t="s">
        <v>52</v>
      </c>
      <c r="U3759" s="7">
        <v>0.56999999999999995</v>
      </c>
      <c r="V3759" s="12">
        <f>C3759+1</f>
        <v>40413</v>
      </c>
      <c r="W3759">
        <f>IF(D3759=' Pivot Tables'!$A$4,1,0)</f>
        <v>0</v>
      </c>
      <c r="X3759">
        <f>IF(AND(LEFT(D3759,4)+1=LEFT(' Pivot Tables'!$A$4,4)+0,RIGHT(LEFT(D3759,7),2)=RIGHT(LEFT(' Pivot Tables'!$A$4,7),2)),1,0)</f>
        <v>0</v>
      </c>
      <c r="Y3759" s="6">
        <f>1/COUNTIF(Таблица1[Order ID],Таблица1[[#This Row],[Order ID]])</f>
        <v>1</v>
      </c>
      <c r="Z3759" s="9">
        <f>1/COUNTIFS(Таблица1[Customer Name],Таблица1[[#This Row],[Customer Name]],Таблица1[Order-Year-Month],Таблица1[[#This Row],[Order-Year-Month]])</f>
        <v>0.5</v>
      </c>
    </row>
    <row r="3760" spans="1:26" x14ac:dyDescent="0.2">
      <c r="A3760" s="6">
        <v>6065</v>
      </c>
      <c r="B3760" s="7">
        <v>42951</v>
      </c>
      <c r="C3760" s="8">
        <f>DATE(2012,12,31)-106</f>
        <v>41168</v>
      </c>
      <c r="D3760" s="8" t="str">
        <f t="shared" si="71"/>
        <v>2012-09 (сентябрь 2012)</v>
      </c>
      <c r="E3760" s="9" t="s">
        <v>78</v>
      </c>
      <c r="F3760" s="7">
        <v>20</v>
      </c>
      <c r="G3760" s="7">
        <v>2104.991</v>
      </c>
      <c r="H3760" s="7">
        <v>0.09</v>
      </c>
      <c r="I3760" s="9" t="s">
        <v>22</v>
      </c>
      <c r="J3760" s="10">
        <v>165.447</v>
      </c>
      <c r="K3760" s="11">
        <v>125.99</v>
      </c>
      <c r="L3760" s="11">
        <v>8.8000000000000007</v>
      </c>
      <c r="M3760" s="9" t="s">
        <v>1708</v>
      </c>
      <c r="N3760" s="6" t="s">
        <v>1595</v>
      </c>
      <c r="O3760" s="6" t="s">
        <v>1595</v>
      </c>
      <c r="P3760" s="9" t="s">
        <v>60</v>
      </c>
      <c r="Q3760" s="9" t="s">
        <v>42</v>
      </c>
      <c r="R3760" s="9" t="s">
        <v>43</v>
      </c>
      <c r="S3760" s="7" t="s">
        <v>800</v>
      </c>
      <c r="T3760" s="9" t="s">
        <v>39</v>
      </c>
      <c r="U3760" s="7">
        <v>0.59</v>
      </c>
      <c r="V3760" s="12">
        <f>C3760+2</f>
        <v>41170</v>
      </c>
      <c r="W3760">
        <f>IF(D3760=' Pivot Tables'!$A$4,1,0)</f>
        <v>0</v>
      </c>
      <c r="X3760">
        <f>IF(AND(LEFT(D3760,4)+1=LEFT(' Pivot Tables'!$A$4,4)+0,RIGHT(LEFT(D3760,7),2)=RIGHT(LEFT(' Pivot Tables'!$A$4,7),2)),1,0)</f>
        <v>0</v>
      </c>
      <c r="Y3760" s="6">
        <f>1/COUNTIF(Таблица1[Order ID],Таблица1[[#This Row],[Order ID]])</f>
        <v>1</v>
      </c>
      <c r="Z3760" s="9">
        <f>1/COUNTIFS(Таблица1[Customer Name],Таблица1[[#This Row],[Customer Name]],Таблица1[Order-Year-Month],Таблица1[[#This Row],[Order-Year-Month]])</f>
        <v>1</v>
      </c>
    </row>
    <row r="3761" spans="1:26" x14ac:dyDescent="0.2">
      <c r="A3761" s="6">
        <v>6094</v>
      </c>
      <c r="B3761" s="7">
        <v>43172</v>
      </c>
      <c r="C3761" s="8">
        <f>DATE(2012,12,31)-1277</f>
        <v>39997</v>
      </c>
      <c r="D3761" s="8" t="str">
        <f t="shared" si="71"/>
        <v>2009-07 (июль 2009)</v>
      </c>
      <c r="E3761" s="9" t="s">
        <v>21</v>
      </c>
      <c r="F3761" s="7">
        <v>19</v>
      </c>
      <c r="G3761" s="7">
        <v>28.34</v>
      </c>
      <c r="H3761" s="7">
        <v>0.09</v>
      </c>
      <c r="I3761" s="9" t="s">
        <v>22</v>
      </c>
      <c r="J3761" s="10">
        <v>1.68</v>
      </c>
      <c r="K3761" s="11">
        <v>1.48</v>
      </c>
      <c r="L3761" s="11">
        <v>0.7</v>
      </c>
      <c r="M3761" s="9" t="s">
        <v>1568</v>
      </c>
      <c r="N3761" s="6" t="s">
        <v>1595</v>
      </c>
      <c r="O3761" s="6" t="s">
        <v>1595</v>
      </c>
      <c r="P3761" s="9" t="s">
        <v>41</v>
      </c>
      <c r="Q3761" s="9" t="s">
        <v>26</v>
      </c>
      <c r="R3761" s="9" t="s">
        <v>66</v>
      </c>
      <c r="S3761" s="7" t="s">
        <v>623</v>
      </c>
      <c r="T3761" s="9" t="s">
        <v>68</v>
      </c>
      <c r="U3761" s="7">
        <v>0.37</v>
      </c>
      <c r="V3761" s="12">
        <f>C3761+2</f>
        <v>39999</v>
      </c>
      <c r="W3761">
        <f>IF(D3761=' Pivot Tables'!$A$4,1,0)</f>
        <v>0</v>
      </c>
      <c r="X3761">
        <f>IF(AND(LEFT(D3761,4)+1=LEFT(' Pivot Tables'!$A$4,4)+0,RIGHT(LEFT(D3761,7),2)=RIGHT(LEFT(' Pivot Tables'!$A$4,7),2)),1,0)</f>
        <v>0</v>
      </c>
      <c r="Y3761" s="6">
        <f>1/COUNTIF(Таблица1[Order ID],Таблица1[[#This Row],[Order ID]])</f>
        <v>1</v>
      </c>
      <c r="Z3761" s="9">
        <f>1/COUNTIFS(Таблица1[Customer Name],Таблица1[[#This Row],[Customer Name]],Таблица1[Order-Year-Month],Таблица1[[#This Row],[Order-Year-Month]])</f>
        <v>1</v>
      </c>
    </row>
    <row r="3762" spans="1:26" x14ac:dyDescent="0.2">
      <c r="A3762" s="6">
        <v>6108</v>
      </c>
      <c r="B3762" s="7">
        <v>43270</v>
      </c>
      <c r="C3762" s="8">
        <f>DATE(2012,12,31)-121</f>
        <v>41153</v>
      </c>
      <c r="D3762" s="8" t="str">
        <f t="shared" si="71"/>
        <v>2012-09 (сентябрь 2012)</v>
      </c>
      <c r="E3762" s="9" t="s">
        <v>78</v>
      </c>
      <c r="F3762" s="7">
        <v>35</v>
      </c>
      <c r="G3762" s="7">
        <v>343.92</v>
      </c>
      <c r="H3762" s="7">
        <v>0.06</v>
      </c>
      <c r="I3762" s="9" t="s">
        <v>22</v>
      </c>
      <c r="J3762" s="10">
        <v>154.54</v>
      </c>
      <c r="K3762" s="11">
        <v>10.35</v>
      </c>
      <c r="L3762" s="11">
        <v>0.99</v>
      </c>
      <c r="M3762" s="9" t="s">
        <v>1699</v>
      </c>
      <c r="N3762" s="6" t="s">
        <v>1595</v>
      </c>
      <c r="O3762" s="6" t="s">
        <v>1595</v>
      </c>
      <c r="P3762" s="9" t="s">
        <v>33</v>
      </c>
      <c r="Q3762" s="9" t="s">
        <v>26</v>
      </c>
      <c r="R3762" s="9" t="s">
        <v>88</v>
      </c>
      <c r="S3762" s="7" t="s">
        <v>1360</v>
      </c>
      <c r="T3762" s="9" t="s">
        <v>39</v>
      </c>
      <c r="U3762" s="7">
        <v>0.37</v>
      </c>
      <c r="V3762" s="12">
        <f>C3762+2</f>
        <v>41155</v>
      </c>
      <c r="W3762">
        <f>IF(D3762=' Pivot Tables'!$A$4,1,0)</f>
        <v>0</v>
      </c>
      <c r="X3762">
        <f>IF(AND(LEFT(D3762,4)+1=LEFT(' Pivot Tables'!$A$4,4)+0,RIGHT(LEFT(D3762,7),2)=RIGHT(LEFT(' Pivot Tables'!$A$4,7),2)),1,0)</f>
        <v>0</v>
      </c>
      <c r="Y3762" s="6">
        <f>1/COUNTIF(Таблица1[Order ID],Таблица1[[#This Row],[Order ID]])</f>
        <v>1</v>
      </c>
      <c r="Z3762" s="9">
        <f>1/COUNTIFS(Таблица1[Customer Name],Таблица1[[#This Row],[Customer Name]],Таблица1[Order-Year-Month],Таблица1[[#This Row],[Order-Year-Month]])</f>
        <v>1</v>
      </c>
    </row>
    <row r="3763" spans="1:26" x14ac:dyDescent="0.2">
      <c r="A3763" s="6">
        <v>6109</v>
      </c>
      <c r="B3763" s="7">
        <v>43271</v>
      </c>
      <c r="C3763" s="8">
        <f>DATE(2012,12,31)-1034</f>
        <v>40240</v>
      </c>
      <c r="D3763" s="8" t="str">
        <f t="shared" si="71"/>
        <v>2010-03 (март 2010)</v>
      </c>
      <c r="E3763" s="9" t="s">
        <v>63</v>
      </c>
      <c r="F3763" s="7">
        <v>2</v>
      </c>
      <c r="G3763" s="7">
        <v>7.75</v>
      </c>
      <c r="H3763" s="7">
        <v>0.03</v>
      </c>
      <c r="I3763" s="9" t="s">
        <v>22</v>
      </c>
      <c r="J3763" s="10">
        <v>-5.27</v>
      </c>
      <c r="K3763" s="11">
        <v>2.6</v>
      </c>
      <c r="L3763" s="11">
        <v>2.4</v>
      </c>
      <c r="M3763" s="9" t="s">
        <v>1681</v>
      </c>
      <c r="N3763" s="6" t="s">
        <v>1595</v>
      </c>
      <c r="O3763" s="6" t="s">
        <v>1595</v>
      </c>
      <c r="P3763" s="9" t="s">
        <v>25</v>
      </c>
      <c r="Q3763" s="9" t="s">
        <v>26</v>
      </c>
      <c r="R3763" s="9" t="s">
        <v>95</v>
      </c>
      <c r="S3763" s="7" t="s">
        <v>393</v>
      </c>
      <c r="T3763" s="9" t="s">
        <v>68</v>
      </c>
      <c r="U3763" s="7">
        <v>0.57999999999999996</v>
      </c>
      <c r="V3763" s="12">
        <f>C3763+1</f>
        <v>40241</v>
      </c>
      <c r="W3763">
        <f>IF(D3763=' Pivot Tables'!$A$4,1,0)</f>
        <v>0</v>
      </c>
      <c r="X3763">
        <f>IF(AND(LEFT(D3763,4)+1=LEFT(' Pivot Tables'!$A$4,4)+0,RIGHT(LEFT(D3763,7),2)=RIGHT(LEFT(' Pivot Tables'!$A$4,7),2)),1,0)</f>
        <v>0</v>
      </c>
      <c r="Y3763" s="6">
        <f>1/COUNTIF(Таблица1[Order ID],Таблица1[[#This Row],[Order ID]])</f>
        <v>1</v>
      </c>
      <c r="Z3763" s="9">
        <f>1/COUNTIFS(Таблица1[Customer Name],Таблица1[[#This Row],[Customer Name]],Таблица1[Order-Year-Month],Таблица1[[#This Row],[Order-Year-Month]])</f>
        <v>1</v>
      </c>
    </row>
    <row r="3764" spans="1:26" x14ac:dyDescent="0.2">
      <c r="A3764" s="6">
        <v>6168</v>
      </c>
      <c r="B3764" s="7">
        <v>43745</v>
      </c>
      <c r="C3764" s="8">
        <f>DATE(2012,12,31)-791</f>
        <v>40483</v>
      </c>
      <c r="D3764" s="8" t="str">
        <f t="shared" si="71"/>
        <v>2010-11 (ноябрь 2010)</v>
      </c>
      <c r="E3764" s="9" t="s">
        <v>21</v>
      </c>
      <c r="F3764" s="7">
        <v>43</v>
      </c>
      <c r="G3764" s="7">
        <v>2433.5300000000002</v>
      </c>
      <c r="H3764" s="7">
        <v>0.02</v>
      </c>
      <c r="I3764" s="9" t="s">
        <v>22</v>
      </c>
      <c r="J3764" s="10">
        <v>946.7</v>
      </c>
      <c r="K3764" s="11">
        <v>54.48</v>
      </c>
      <c r="L3764" s="11">
        <v>0.99</v>
      </c>
      <c r="M3764" s="9" t="s">
        <v>1692</v>
      </c>
      <c r="N3764" s="6" t="s">
        <v>1595</v>
      </c>
      <c r="O3764" s="6" t="s">
        <v>1595</v>
      </c>
      <c r="P3764" s="9" t="s">
        <v>41</v>
      </c>
      <c r="Q3764" s="9" t="s">
        <v>26</v>
      </c>
      <c r="R3764" s="9" t="s">
        <v>34</v>
      </c>
      <c r="S3764" s="7" t="s">
        <v>1134</v>
      </c>
      <c r="T3764" s="9" t="s">
        <v>39</v>
      </c>
      <c r="U3764" s="7">
        <v>0.56999999999999995</v>
      </c>
      <c r="V3764" s="12">
        <f>C3764+0</f>
        <v>40483</v>
      </c>
      <c r="W3764">
        <f>IF(D3764=' Pivot Tables'!$A$4,1,0)</f>
        <v>0</v>
      </c>
      <c r="X3764">
        <f>IF(AND(LEFT(D3764,4)+1=LEFT(' Pivot Tables'!$A$4,4)+0,RIGHT(LEFT(D3764,7),2)=RIGHT(LEFT(' Pivot Tables'!$A$4,7),2)),1,0)</f>
        <v>0</v>
      </c>
      <c r="Y3764" s="6">
        <f>1/COUNTIF(Таблица1[Order ID],Таблица1[[#This Row],[Order ID]])</f>
        <v>0.16666666666666666</v>
      </c>
      <c r="Z3764" s="9">
        <f>1/COUNTIFS(Таблица1[Customer Name],Таблица1[[#This Row],[Customer Name]],Таблица1[Order-Year-Month],Таблица1[[#This Row],[Order-Year-Month]])</f>
        <v>0.16666666666666666</v>
      </c>
    </row>
    <row r="3765" spans="1:26" x14ac:dyDescent="0.2">
      <c r="A3765" s="6">
        <v>6169</v>
      </c>
      <c r="B3765" s="7">
        <v>43745</v>
      </c>
      <c r="C3765" s="8">
        <f>DATE(2012,12,31)-791</f>
        <v>40483</v>
      </c>
      <c r="D3765" s="8" t="str">
        <f t="shared" si="71"/>
        <v>2010-11 (ноябрь 2010)</v>
      </c>
      <c r="E3765" s="9" t="s">
        <v>21</v>
      </c>
      <c r="F3765" s="7">
        <v>26</v>
      </c>
      <c r="G3765" s="7">
        <v>1368.03</v>
      </c>
      <c r="H3765" s="7">
        <v>0.04</v>
      </c>
      <c r="I3765" s="9" t="s">
        <v>22</v>
      </c>
      <c r="J3765" s="10">
        <v>27.51</v>
      </c>
      <c r="K3765" s="11">
        <v>50.98</v>
      </c>
      <c r="L3765" s="11">
        <v>6.5</v>
      </c>
      <c r="M3765" s="9" t="s">
        <v>1692</v>
      </c>
      <c r="N3765" s="6" t="s">
        <v>1595</v>
      </c>
      <c r="O3765" s="6" t="s">
        <v>1595</v>
      </c>
      <c r="P3765" s="9" t="s">
        <v>41</v>
      </c>
      <c r="Q3765" s="9" t="s">
        <v>42</v>
      </c>
      <c r="R3765" s="9" t="s">
        <v>70</v>
      </c>
      <c r="S3765" s="7" t="s">
        <v>187</v>
      </c>
      <c r="T3765" s="9" t="s">
        <v>39</v>
      </c>
      <c r="U3765" s="7">
        <v>0.73</v>
      </c>
      <c r="V3765" s="12">
        <f>C3765+2</f>
        <v>40485</v>
      </c>
      <c r="W3765">
        <f>IF(D3765=' Pivot Tables'!$A$4,1,0)</f>
        <v>0</v>
      </c>
      <c r="X3765">
        <f>IF(AND(LEFT(D3765,4)+1=LEFT(' Pivot Tables'!$A$4,4)+0,RIGHT(LEFT(D3765,7),2)=RIGHT(LEFT(' Pivot Tables'!$A$4,7),2)),1,0)</f>
        <v>0</v>
      </c>
      <c r="Y3765" s="6">
        <f>1/COUNTIF(Таблица1[Order ID],Таблица1[[#This Row],[Order ID]])</f>
        <v>0.16666666666666666</v>
      </c>
      <c r="Z3765" s="9">
        <f>1/COUNTIFS(Таблица1[Customer Name],Таблица1[[#This Row],[Customer Name]],Таблица1[Order-Year-Month],Таблица1[[#This Row],[Order-Year-Month]])</f>
        <v>0.16666666666666666</v>
      </c>
    </row>
    <row r="3766" spans="1:26" x14ac:dyDescent="0.2">
      <c r="A3766" s="6">
        <v>6170</v>
      </c>
      <c r="B3766" s="7">
        <v>43745</v>
      </c>
      <c r="C3766" s="8">
        <f>DATE(2012,12,31)-791</f>
        <v>40483</v>
      </c>
      <c r="D3766" s="8" t="str">
        <f t="shared" si="71"/>
        <v>2010-11 (ноябрь 2010)</v>
      </c>
      <c r="E3766" s="9" t="s">
        <v>21</v>
      </c>
      <c r="F3766" s="7">
        <v>41</v>
      </c>
      <c r="G3766" s="7">
        <v>260.64</v>
      </c>
      <c r="H3766" s="7">
        <v>0.08</v>
      </c>
      <c r="I3766" s="9" t="s">
        <v>22</v>
      </c>
      <c r="J3766" s="10">
        <v>-106.21</v>
      </c>
      <c r="K3766" s="11">
        <v>6.68</v>
      </c>
      <c r="L3766" s="11">
        <v>6.15</v>
      </c>
      <c r="M3766" s="9" t="s">
        <v>1692</v>
      </c>
      <c r="N3766" s="6" t="s">
        <v>1595</v>
      </c>
      <c r="O3766" s="6" t="s">
        <v>1595</v>
      </c>
      <c r="P3766" s="9" t="s">
        <v>41</v>
      </c>
      <c r="Q3766" s="9" t="s">
        <v>26</v>
      </c>
      <c r="R3766" s="9" t="s">
        <v>61</v>
      </c>
      <c r="S3766" s="7" t="s">
        <v>1714</v>
      </c>
      <c r="T3766" s="9" t="s">
        <v>39</v>
      </c>
      <c r="U3766" s="7">
        <v>0.37</v>
      </c>
      <c r="V3766" s="12">
        <f>C3766+2</f>
        <v>40485</v>
      </c>
      <c r="W3766">
        <f>IF(D3766=' Pivot Tables'!$A$4,1,0)</f>
        <v>0</v>
      </c>
      <c r="X3766">
        <f>IF(AND(LEFT(D3766,4)+1=LEFT(' Pivot Tables'!$A$4,4)+0,RIGHT(LEFT(D3766,7),2)=RIGHT(LEFT(' Pivot Tables'!$A$4,7),2)),1,0)</f>
        <v>0</v>
      </c>
      <c r="Y3766" s="6">
        <f>1/COUNTIF(Таблица1[Order ID],Таблица1[[#This Row],[Order ID]])</f>
        <v>0.16666666666666666</v>
      </c>
      <c r="Z3766" s="9">
        <f>1/COUNTIFS(Таблица1[Customer Name],Таблица1[[#This Row],[Customer Name]],Таблица1[Order-Year-Month],Таблица1[[#This Row],[Order-Year-Month]])</f>
        <v>0.16666666666666666</v>
      </c>
    </row>
    <row r="3767" spans="1:26" x14ac:dyDescent="0.2">
      <c r="A3767" s="6">
        <v>6171</v>
      </c>
      <c r="B3767" s="7">
        <v>43745</v>
      </c>
      <c r="C3767" s="8">
        <f>DATE(2012,12,31)-791</f>
        <v>40483</v>
      </c>
      <c r="D3767" s="8" t="str">
        <f t="shared" si="71"/>
        <v>2010-11 (ноябрь 2010)</v>
      </c>
      <c r="E3767" s="9" t="s">
        <v>21</v>
      </c>
      <c r="F3767" s="7">
        <v>32</v>
      </c>
      <c r="G3767" s="7">
        <v>1250.4264999999998</v>
      </c>
      <c r="H3767" s="7">
        <v>0.02</v>
      </c>
      <c r="I3767" s="9" t="s">
        <v>22</v>
      </c>
      <c r="J3767" s="10">
        <v>303.3</v>
      </c>
      <c r="K3767" s="11">
        <v>45.99</v>
      </c>
      <c r="L3767" s="11">
        <v>2.5</v>
      </c>
      <c r="M3767" s="9" t="s">
        <v>1692</v>
      </c>
      <c r="N3767" s="6" t="s">
        <v>1595</v>
      </c>
      <c r="O3767" s="6" t="s">
        <v>1595</v>
      </c>
      <c r="P3767" s="9" t="s">
        <v>41</v>
      </c>
      <c r="Q3767" s="9" t="s">
        <v>42</v>
      </c>
      <c r="R3767" s="9" t="s">
        <v>43</v>
      </c>
      <c r="S3767" s="7" t="s">
        <v>752</v>
      </c>
      <c r="T3767" s="9" t="s">
        <v>39</v>
      </c>
      <c r="U3767" s="7">
        <v>0.56000000000000005</v>
      </c>
      <c r="V3767" s="12">
        <f>C3767+0</f>
        <v>40483</v>
      </c>
      <c r="W3767">
        <f>IF(D3767=' Pivot Tables'!$A$4,1,0)</f>
        <v>0</v>
      </c>
      <c r="X3767">
        <f>IF(AND(LEFT(D3767,4)+1=LEFT(' Pivot Tables'!$A$4,4)+0,RIGHT(LEFT(D3767,7),2)=RIGHT(LEFT(' Pivot Tables'!$A$4,7),2)),1,0)</f>
        <v>0</v>
      </c>
      <c r="Y3767" s="6">
        <f>1/COUNTIF(Таблица1[Order ID],Таблица1[[#This Row],[Order ID]])</f>
        <v>0.16666666666666666</v>
      </c>
      <c r="Z3767" s="9">
        <f>1/COUNTIFS(Таблица1[Customer Name],Таблица1[[#This Row],[Customer Name]],Таблица1[Order-Year-Month],Таблица1[[#This Row],[Order-Year-Month]])</f>
        <v>0.16666666666666666</v>
      </c>
    </row>
    <row r="3768" spans="1:26" x14ac:dyDescent="0.2">
      <c r="A3768" s="6">
        <v>6175</v>
      </c>
      <c r="B3768" s="7">
        <v>43779</v>
      </c>
      <c r="C3768" s="8">
        <f>DATE(2012,12,31)-1228</f>
        <v>40046</v>
      </c>
      <c r="D3768" s="8" t="str">
        <f t="shared" si="71"/>
        <v>2009-08 (август 2009)</v>
      </c>
      <c r="E3768" s="9" t="s">
        <v>30</v>
      </c>
      <c r="F3768" s="7">
        <v>20</v>
      </c>
      <c r="G3768" s="7">
        <v>3878.49</v>
      </c>
      <c r="H3768" s="7">
        <v>0.09</v>
      </c>
      <c r="I3768" s="9" t="s">
        <v>22</v>
      </c>
      <c r="J3768" s="10">
        <v>1397.86</v>
      </c>
      <c r="K3768" s="11">
        <v>209.84</v>
      </c>
      <c r="L3768" s="11">
        <v>21.21</v>
      </c>
      <c r="M3768" s="9" t="s">
        <v>1705</v>
      </c>
      <c r="N3768" s="6" t="s">
        <v>1595</v>
      </c>
      <c r="O3768" s="6" t="s">
        <v>1595</v>
      </c>
      <c r="P3768" s="9" t="s">
        <v>41</v>
      </c>
      <c r="Q3768" s="9" t="s">
        <v>49</v>
      </c>
      <c r="R3768" s="9" t="s">
        <v>50</v>
      </c>
      <c r="S3768" s="7" t="s">
        <v>1225</v>
      </c>
      <c r="T3768" s="9" t="s">
        <v>29</v>
      </c>
      <c r="U3768" s="7">
        <v>0.59</v>
      </c>
      <c r="V3768" s="12">
        <f>C3768+3</f>
        <v>40049</v>
      </c>
      <c r="W3768">
        <f>IF(D3768=' Pivot Tables'!$A$4,1,0)</f>
        <v>0</v>
      </c>
      <c r="X3768">
        <f>IF(AND(LEFT(D3768,4)+1=LEFT(' Pivot Tables'!$A$4,4)+0,RIGHT(LEFT(D3768,7),2)=RIGHT(LEFT(' Pivot Tables'!$A$4,7),2)),1,0)</f>
        <v>0</v>
      </c>
      <c r="Y3768" s="6">
        <f>1/COUNTIF(Таблица1[Order ID],Таблица1[[#This Row],[Order ID]])</f>
        <v>1</v>
      </c>
      <c r="Z3768" s="9">
        <f>1/COUNTIFS(Таблица1[Customer Name],Таблица1[[#This Row],[Customer Name]],Таблица1[Order-Year-Month],Таблица1[[#This Row],[Order-Year-Month]])</f>
        <v>1</v>
      </c>
    </row>
    <row r="3769" spans="1:26" x14ac:dyDescent="0.2">
      <c r="A3769" s="6">
        <v>6194</v>
      </c>
      <c r="B3769" s="7">
        <v>43877</v>
      </c>
      <c r="C3769" s="8">
        <f>DATE(2012,12,31)-1022</f>
        <v>40252</v>
      </c>
      <c r="D3769" s="8" t="str">
        <f t="shared" si="71"/>
        <v>2010-03 (март 2010)</v>
      </c>
      <c r="E3769" s="9" t="s">
        <v>21</v>
      </c>
      <c r="F3769" s="7">
        <v>36</v>
      </c>
      <c r="G3769" s="7">
        <v>580.04</v>
      </c>
      <c r="H3769" s="7">
        <v>0.09</v>
      </c>
      <c r="I3769" s="9" t="s">
        <v>56</v>
      </c>
      <c r="J3769" s="10">
        <v>-31.86</v>
      </c>
      <c r="K3769" s="11">
        <v>16.91</v>
      </c>
      <c r="L3769" s="11">
        <v>6.25</v>
      </c>
      <c r="M3769" s="9" t="s">
        <v>1660</v>
      </c>
      <c r="N3769" s="6" t="s">
        <v>1595</v>
      </c>
      <c r="O3769" s="6" t="s">
        <v>1595</v>
      </c>
      <c r="P3769" s="9" t="s">
        <v>41</v>
      </c>
      <c r="Q3769" s="9" t="s">
        <v>26</v>
      </c>
      <c r="R3769" s="9" t="s">
        <v>27</v>
      </c>
      <c r="S3769" s="7" t="s">
        <v>794</v>
      </c>
      <c r="T3769" s="9" t="s">
        <v>39</v>
      </c>
      <c r="U3769" s="7">
        <v>0.57999999999999996</v>
      </c>
      <c r="V3769" s="12">
        <f>C3769+0</f>
        <v>40252</v>
      </c>
      <c r="W3769">
        <f>IF(D3769=' Pivot Tables'!$A$4,1,0)</f>
        <v>0</v>
      </c>
      <c r="X3769">
        <f>IF(AND(LEFT(D3769,4)+1=LEFT(' Pivot Tables'!$A$4,4)+0,RIGHT(LEFT(D3769,7),2)=RIGHT(LEFT(' Pivot Tables'!$A$4,7),2)),1,0)</f>
        <v>0</v>
      </c>
      <c r="Y3769" s="6">
        <f>1/COUNTIF(Таблица1[Order ID],Таблица1[[#This Row],[Order ID]])</f>
        <v>1</v>
      </c>
      <c r="Z3769" s="9">
        <f>1/COUNTIFS(Таблица1[Customer Name],Таблица1[[#This Row],[Customer Name]],Таблица1[Order-Year-Month],Таблица1[[#This Row],[Order-Year-Month]])</f>
        <v>0.5</v>
      </c>
    </row>
    <row r="3770" spans="1:26" x14ac:dyDescent="0.2">
      <c r="A3770" s="6">
        <v>6198</v>
      </c>
      <c r="B3770" s="7">
        <v>43907</v>
      </c>
      <c r="C3770" s="8">
        <f>DATE(2012,12,31)-166</f>
        <v>41108</v>
      </c>
      <c r="D3770" s="8" t="str">
        <f t="shared" si="71"/>
        <v>2012-07 (июль 2012)</v>
      </c>
      <c r="E3770" s="9" t="s">
        <v>78</v>
      </c>
      <c r="F3770" s="7">
        <v>42</v>
      </c>
      <c r="G3770" s="7">
        <v>1392.77</v>
      </c>
      <c r="H3770" s="7">
        <v>0</v>
      </c>
      <c r="I3770" s="9" t="s">
        <v>31</v>
      </c>
      <c r="J3770" s="10">
        <v>-1981.5510000000002</v>
      </c>
      <c r="K3770" s="11">
        <v>31.76</v>
      </c>
      <c r="L3770" s="11">
        <v>45.51</v>
      </c>
      <c r="M3770" s="9" t="s">
        <v>1659</v>
      </c>
      <c r="N3770" s="6" t="s">
        <v>1595</v>
      </c>
      <c r="O3770" s="6" t="s">
        <v>1595</v>
      </c>
      <c r="P3770" s="9" t="s">
        <v>41</v>
      </c>
      <c r="Q3770" s="9" t="s">
        <v>49</v>
      </c>
      <c r="R3770" s="9" t="s">
        <v>83</v>
      </c>
      <c r="S3770" s="7" t="s">
        <v>611</v>
      </c>
      <c r="T3770" s="9" t="s">
        <v>82</v>
      </c>
      <c r="U3770" s="7">
        <v>0.65</v>
      </c>
      <c r="V3770" s="12">
        <f>C3770+2</f>
        <v>41110</v>
      </c>
      <c r="W3770">
        <f>IF(D3770=' Pivot Tables'!$A$4,1,0)</f>
        <v>0</v>
      </c>
      <c r="X3770">
        <f>IF(AND(LEFT(D3770,4)+1=LEFT(' Pivot Tables'!$A$4,4)+0,RIGHT(LEFT(D3770,7),2)=RIGHT(LEFT(' Pivot Tables'!$A$4,7),2)),1,0)</f>
        <v>0</v>
      </c>
      <c r="Y3770" s="6">
        <f>1/COUNTIF(Таблица1[Order ID],Таблица1[[#This Row],[Order ID]])</f>
        <v>1</v>
      </c>
      <c r="Z3770" s="9">
        <f>1/COUNTIFS(Таблица1[Customer Name],Таблица1[[#This Row],[Customer Name]],Таблица1[Order-Year-Month],Таблица1[[#This Row],[Order-Year-Month]])</f>
        <v>1</v>
      </c>
    </row>
    <row r="3771" spans="1:26" x14ac:dyDescent="0.2">
      <c r="A3771" s="6">
        <v>6204</v>
      </c>
      <c r="B3771" s="7">
        <v>43940</v>
      </c>
      <c r="C3771" s="8">
        <f>DATE(2012,12,31)-1044</f>
        <v>40230</v>
      </c>
      <c r="D3771" s="8" t="str">
        <f t="shared" si="71"/>
        <v>2010-02 (февраль 2010)</v>
      </c>
      <c r="E3771" s="9" t="s">
        <v>78</v>
      </c>
      <c r="F3771" s="7">
        <v>12</v>
      </c>
      <c r="G3771" s="7">
        <v>1940.21</v>
      </c>
      <c r="H3771" s="7">
        <v>0.09</v>
      </c>
      <c r="I3771" s="9" t="s">
        <v>22</v>
      </c>
      <c r="J3771" s="10">
        <v>-215.33599999999998</v>
      </c>
      <c r="K3771" s="11">
        <v>200.99</v>
      </c>
      <c r="L3771" s="11">
        <v>4.2</v>
      </c>
      <c r="M3771" s="9" t="s">
        <v>1659</v>
      </c>
      <c r="N3771" s="6" t="s">
        <v>1595</v>
      </c>
      <c r="O3771" s="6" t="s">
        <v>1595</v>
      </c>
      <c r="P3771" s="9" t="s">
        <v>33</v>
      </c>
      <c r="Q3771" s="9" t="s">
        <v>42</v>
      </c>
      <c r="R3771" s="9" t="s">
        <v>43</v>
      </c>
      <c r="S3771" s="7" t="s">
        <v>457</v>
      </c>
      <c r="T3771" s="9" t="s">
        <v>39</v>
      </c>
      <c r="U3771" s="7">
        <v>0.59</v>
      </c>
      <c r="V3771" s="12">
        <f>C3771+1</f>
        <v>40231</v>
      </c>
      <c r="W3771">
        <f>IF(D3771=' Pivot Tables'!$A$4,1,0)</f>
        <v>0</v>
      </c>
      <c r="X3771">
        <f>IF(AND(LEFT(D3771,4)+1=LEFT(' Pivot Tables'!$A$4,4)+0,RIGHT(LEFT(D3771,7),2)=RIGHT(LEFT(' Pivot Tables'!$A$4,7),2)),1,0)</f>
        <v>0</v>
      </c>
      <c r="Y3771" s="6">
        <f>1/COUNTIF(Таблица1[Order ID],Таблица1[[#This Row],[Order ID]])</f>
        <v>0.5</v>
      </c>
      <c r="Z3771" s="9">
        <f>1/COUNTIFS(Таблица1[Customer Name],Таблица1[[#This Row],[Customer Name]],Таблица1[Order-Year-Month],Таблица1[[#This Row],[Order-Year-Month]])</f>
        <v>0.5</v>
      </c>
    </row>
    <row r="3772" spans="1:26" x14ac:dyDescent="0.2">
      <c r="A3772" s="6">
        <v>6205</v>
      </c>
      <c r="B3772" s="7">
        <v>43940</v>
      </c>
      <c r="C3772" s="8">
        <f>DATE(2012,12,31)-1044</f>
        <v>40230</v>
      </c>
      <c r="D3772" s="8" t="str">
        <f t="shared" si="71"/>
        <v>2010-02 (февраль 2010)</v>
      </c>
      <c r="E3772" s="9" t="s">
        <v>78</v>
      </c>
      <c r="F3772" s="7">
        <v>44</v>
      </c>
      <c r="G3772" s="7">
        <v>1717.21</v>
      </c>
      <c r="H3772" s="7">
        <v>0.08</v>
      </c>
      <c r="I3772" s="9" t="s">
        <v>22</v>
      </c>
      <c r="J3772" s="10">
        <v>176.13</v>
      </c>
      <c r="K3772" s="11">
        <v>40.97</v>
      </c>
      <c r="L3772" s="11">
        <v>8.99</v>
      </c>
      <c r="M3772" s="9" t="s">
        <v>1659</v>
      </c>
      <c r="N3772" s="6" t="s">
        <v>1595</v>
      </c>
      <c r="O3772" s="6" t="s">
        <v>1595</v>
      </c>
      <c r="P3772" s="9" t="s">
        <v>33</v>
      </c>
      <c r="Q3772" s="9" t="s">
        <v>26</v>
      </c>
      <c r="R3772" s="9" t="s">
        <v>95</v>
      </c>
      <c r="S3772" s="7" t="s">
        <v>777</v>
      </c>
      <c r="T3772" s="9" t="s">
        <v>52</v>
      </c>
      <c r="U3772" s="7">
        <v>0.59</v>
      </c>
      <c r="V3772" s="12">
        <f>C3772+1</f>
        <v>40231</v>
      </c>
      <c r="W3772">
        <f>IF(D3772=' Pivot Tables'!$A$4,1,0)</f>
        <v>0</v>
      </c>
      <c r="X3772">
        <f>IF(AND(LEFT(D3772,4)+1=LEFT(' Pivot Tables'!$A$4,4)+0,RIGHT(LEFT(D3772,7),2)=RIGHT(LEFT(' Pivot Tables'!$A$4,7),2)),1,0)</f>
        <v>0</v>
      </c>
      <c r="Y3772" s="6">
        <f>1/COUNTIF(Таблица1[Order ID],Таблица1[[#This Row],[Order ID]])</f>
        <v>0.5</v>
      </c>
      <c r="Z3772" s="9">
        <f>1/COUNTIFS(Таблица1[Customer Name],Таблица1[[#This Row],[Customer Name]],Таблица1[Order-Year-Month],Таблица1[[#This Row],[Order-Year-Month]])</f>
        <v>0.5</v>
      </c>
    </row>
    <row r="3773" spans="1:26" x14ac:dyDescent="0.2">
      <c r="A3773" s="6">
        <v>6218</v>
      </c>
      <c r="B3773" s="7">
        <v>44036</v>
      </c>
      <c r="C3773" s="8">
        <f>DATE(2012,12,31)-355</f>
        <v>40919</v>
      </c>
      <c r="D3773" s="8" t="str">
        <f t="shared" si="71"/>
        <v>2012-01 (январь 2012)</v>
      </c>
      <c r="E3773" s="9" t="s">
        <v>30</v>
      </c>
      <c r="F3773" s="7">
        <v>40</v>
      </c>
      <c r="G3773" s="7">
        <v>250.13</v>
      </c>
      <c r="H3773" s="7">
        <v>0.01</v>
      </c>
      <c r="I3773" s="9" t="s">
        <v>56</v>
      </c>
      <c r="J3773" s="10">
        <v>61.97</v>
      </c>
      <c r="K3773" s="11">
        <v>5.84</v>
      </c>
      <c r="L3773" s="11">
        <v>1.2</v>
      </c>
      <c r="M3773" s="9" t="s">
        <v>1670</v>
      </c>
      <c r="N3773" s="6" t="s">
        <v>1595</v>
      </c>
      <c r="O3773" s="6" t="s">
        <v>1595</v>
      </c>
      <c r="P3773" s="9" t="s">
        <v>33</v>
      </c>
      <c r="Q3773" s="9" t="s">
        <v>26</v>
      </c>
      <c r="R3773" s="9" t="s">
        <v>95</v>
      </c>
      <c r="S3773" s="7" t="s">
        <v>413</v>
      </c>
      <c r="T3773" s="9" t="s">
        <v>68</v>
      </c>
      <c r="U3773" s="7">
        <v>0.55000000000000004</v>
      </c>
      <c r="V3773" s="12">
        <f>C3773+2</f>
        <v>40921</v>
      </c>
      <c r="W3773">
        <f>IF(D3773=' Pivot Tables'!$A$4,1,0)</f>
        <v>0</v>
      </c>
      <c r="X3773">
        <f>IF(AND(LEFT(D3773,4)+1=LEFT(' Pivot Tables'!$A$4,4)+0,RIGHT(LEFT(D3773,7),2)=RIGHT(LEFT(' Pivot Tables'!$A$4,7),2)),1,0)</f>
        <v>0</v>
      </c>
      <c r="Y3773" s="6">
        <f>1/COUNTIF(Таблица1[Order ID],Таблица1[[#This Row],[Order ID]])</f>
        <v>1</v>
      </c>
      <c r="Z3773" s="9">
        <f>1/COUNTIFS(Таблица1[Customer Name],Таблица1[[#This Row],[Customer Name]],Таблица1[Order-Year-Month],Таблица1[[#This Row],[Order-Year-Month]])</f>
        <v>1</v>
      </c>
    </row>
    <row r="3774" spans="1:26" x14ac:dyDescent="0.2">
      <c r="A3774" s="6">
        <v>6241</v>
      </c>
      <c r="B3774" s="7">
        <v>44225</v>
      </c>
      <c r="C3774" s="8">
        <f>DATE(2012,12,31)-1368</f>
        <v>39906</v>
      </c>
      <c r="D3774" s="8" t="str">
        <f t="shared" si="71"/>
        <v>2009-04 (апрель 2009)</v>
      </c>
      <c r="E3774" s="9" t="s">
        <v>30</v>
      </c>
      <c r="F3774" s="7">
        <v>29</v>
      </c>
      <c r="G3774" s="7">
        <v>1958.32</v>
      </c>
      <c r="H3774" s="7">
        <v>0</v>
      </c>
      <c r="I3774" s="9" t="s">
        <v>22</v>
      </c>
      <c r="J3774" s="10">
        <v>632.29</v>
      </c>
      <c r="K3774" s="11">
        <v>62.18</v>
      </c>
      <c r="L3774" s="11">
        <v>10.84</v>
      </c>
      <c r="M3774" s="9" t="s">
        <v>1713</v>
      </c>
      <c r="N3774" s="6" t="s">
        <v>1595</v>
      </c>
      <c r="O3774" s="6" t="s">
        <v>1595</v>
      </c>
      <c r="P3774" s="9" t="s">
        <v>25</v>
      </c>
      <c r="Q3774" s="9" t="s">
        <v>49</v>
      </c>
      <c r="R3774" s="9" t="s">
        <v>50</v>
      </c>
      <c r="S3774" s="7" t="s">
        <v>1113</v>
      </c>
      <c r="T3774" s="9" t="s">
        <v>48</v>
      </c>
      <c r="U3774" s="7">
        <v>0.63</v>
      </c>
      <c r="V3774" s="12">
        <f>C3774+2</f>
        <v>39908</v>
      </c>
      <c r="W3774">
        <f>IF(D3774=' Pivot Tables'!$A$4,1,0)</f>
        <v>0</v>
      </c>
      <c r="X3774">
        <f>IF(AND(LEFT(D3774,4)+1=LEFT(' Pivot Tables'!$A$4,4)+0,RIGHT(LEFT(D3774,7),2)=RIGHT(LEFT(' Pivot Tables'!$A$4,7),2)),1,0)</f>
        <v>0</v>
      </c>
      <c r="Y3774" s="6">
        <f>1/COUNTIF(Таблица1[Order ID],Таблица1[[#This Row],[Order ID]])</f>
        <v>1</v>
      </c>
      <c r="Z3774" s="9">
        <f>1/COUNTIFS(Таблица1[Customer Name],Таблица1[[#This Row],[Customer Name]],Таблица1[Order-Year-Month],Таблица1[[#This Row],[Order-Year-Month]])</f>
        <v>1</v>
      </c>
    </row>
    <row r="3775" spans="1:26" x14ac:dyDescent="0.2">
      <c r="A3775" s="6">
        <v>6265</v>
      </c>
      <c r="B3775" s="7">
        <v>44352</v>
      </c>
      <c r="C3775" s="8">
        <f>DATE(2012,12,31)-1203</f>
        <v>40071</v>
      </c>
      <c r="D3775" s="8" t="str">
        <f t="shared" si="71"/>
        <v>2009-09 (сентябрь 2009)</v>
      </c>
      <c r="E3775" s="9" t="s">
        <v>45</v>
      </c>
      <c r="F3775" s="7">
        <v>25</v>
      </c>
      <c r="G3775" s="7">
        <v>81.760000000000005</v>
      </c>
      <c r="H3775" s="7">
        <v>0.06</v>
      </c>
      <c r="I3775" s="9" t="s">
        <v>22</v>
      </c>
      <c r="J3775" s="10">
        <v>8.5299999999999994</v>
      </c>
      <c r="K3775" s="11">
        <v>3.29</v>
      </c>
      <c r="L3775" s="11">
        <v>1.35</v>
      </c>
      <c r="M3775" s="9" t="s">
        <v>1690</v>
      </c>
      <c r="N3775" s="6" t="s">
        <v>1595</v>
      </c>
      <c r="O3775" s="6" t="s">
        <v>1595</v>
      </c>
      <c r="P3775" s="9" t="s">
        <v>25</v>
      </c>
      <c r="Q3775" s="9" t="s">
        <v>26</v>
      </c>
      <c r="R3775" s="9" t="s">
        <v>66</v>
      </c>
      <c r="S3775" s="7" t="s">
        <v>464</v>
      </c>
      <c r="T3775" s="9" t="s">
        <v>68</v>
      </c>
      <c r="U3775" s="7">
        <v>0.4</v>
      </c>
      <c r="V3775" s="12">
        <f>C3775+2</f>
        <v>40073</v>
      </c>
      <c r="W3775">
        <f>IF(D3775=' Pivot Tables'!$A$4,1,0)</f>
        <v>0</v>
      </c>
      <c r="X3775">
        <f>IF(AND(LEFT(D3775,4)+1=LEFT(' Pivot Tables'!$A$4,4)+0,RIGHT(LEFT(D3775,7),2)=RIGHT(LEFT(' Pivot Tables'!$A$4,7),2)),1,0)</f>
        <v>0</v>
      </c>
      <c r="Y3775" s="6">
        <f>1/COUNTIF(Таблица1[Order ID],Таблица1[[#This Row],[Order ID]])</f>
        <v>1</v>
      </c>
      <c r="Z3775" s="9">
        <f>1/COUNTIFS(Таблица1[Customer Name],Таблица1[[#This Row],[Customer Name]],Таблица1[Order-Year-Month],Таблица1[[#This Row],[Order-Year-Month]])</f>
        <v>1</v>
      </c>
    </row>
    <row r="3776" spans="1:26" x14ac:dyDescent="0.2">
      <c r="A3776" s="6">
        <v>6286</v>
      </c>
      <c r="B3776" s="7">
        <v>44487</v>
      </c>
      <c r="C3776" s="8">
        <f>DATE(2012,12,31)-1207</f>
        <v>40067</v>
      </c>
      <c r="D3776" s="8" t="str">
        <f t="shared" si="71"/>
        <v>2009-09 (сентябрь 2009)</v>
      </c>
      <c r="E3776" s="9" t="s">
        <v>78</v>
      </c>
      <c r="F3776" s="7">
        <v>4</v>
      </c>
      <c r="G3776" s="7">
        <v>28.15</v>
      </c>
      <c r="H3776" s="7">
        <v>0.09</v>
      </c>
      <c r="I3776" s="9" t="s">
        <v>22</v>
      </c>
      <c r="J3776" s="10">
        <v>-10.09</v>
      </c>
      <c r="K3776" s="11">
        <v>6.28</v>
      </c>
      <c r="L3776" s="11">
        <v>5.29</v>
      </c>
      <c r="M3776" s="9" t="s">
        <v>1611</v>
      </c>
      <c r="N3776" s="6" t="s">
        <v>1595</v>
      </c>
      <c r="O3776" s="6" t="s">
        <v>1595</v>
      </c>
      <c r="P3776" s="9" t="s">
        <v>41</v>
      </c>
      <c r="Q3776" s="9" t="s">
        <v>49</v>
      </c>
      <c r="R3776" s="9" t="s">
        <v>50</v>
      </c>
      <c r="S3776" s="7" t="s">
        <v>612</v>
      </c>
      <c r="T3776" s="9" t="s">
        <v>39</v>
      </c>
      <c r="U3776" s="7">
        <v>0.43</v>
      </c>
      <c r="V3776" s="12">
        <f>C3776+1</f>
        <v>40068</v>
      </c>
      <c r="W3776">
        <f>IF(D3776=' Pivot Tables'!$A$4,1,0)</f>
        <v>0</v>
      </c>
      <c r="X3776">
        <f>IF(AND(LEFT(D3776,4)+1=LEFT(' Pivot Tables'!$A$4,4)+0,RIGHT(LEFT(D3776,7),2)=RIGHT(LEFT(' Pivot Tables'!$A$4,7),2)),1,0)</f>
        <v>0</v>
      </c>
      <c r="Y3776" s="6">
        <f>1/COUNTIF(Таблица1[Order ID],Таблица1[[#This Row],[Order ID]])</f>
        <v>0.5</v>
      </c>
      <c r="Z3776" s="9">
        <f>1/COUNTIFS(Таблица1[Customer Name],Таблица1[[#This Row],[Customer Name]],Таблица1[Order-Year-Month],Таблица1[[#This Row],[Order-Year-Month]])</f>
        <v>0.25</v>
      </c>
    </row>
    <row r="3777" spans="1:26" x14ac:dyDescent="0.2">
      <c r="A3777" s="6">
        <v>6287</v>
      </c>
      <c r="B3777" s="7">
        <v>44487</v>
      </c>
      <c r="C3777" s="8">
        <f>DATE(2012,12,31)-1207</f>
        <v>40067</v>
      </c>
      <c r="D3777" s="8" t="str">
        <f t="shared" si="71"/>
        <v>2009-09 (сентябрь 2009)</v>
      </c>
      <c r="E3777" s="9" t="s">
        <v>78</v>
      </c>
      <c r="F3777" s="7">
        <v>37</v>
      </c>
      <c r="G3777" s="7">
        <v>558.77</v>
      </c>
      <c r="H3777" s="7">
        <v>0.03</v>
      </c>
      <c r="I3777" s="9" t="s">
        <v>22</v>
      </c>
      <c r="J3777" s="10">
        <v>-92.87</v>
      </c>
      <c r="K3777" s="11">
        <v>15.14</v>
      </c>
      <c r="L3777" s="11">
        <v>4.53</v>
      </c>
      <c r="M3777" s="9" t="s">
        <v>1611</v>
      </c>
      <c r="N3777" s="6" t="s">
        <v>1595</v>
      </c>
      <c r="O3777" s="6" t="s">
        <v>1595</v>
      </c>
      <c r="P3777" s="9" t="s">
        <v>41</v>
      </c>
      <c r="Q3777" s="9" t="s">
        <v>26</v>
      </c>
      <c r="R3777" s="9" t="s">
        <v>27</v>
      </c>
      <c r="S3777" s="7" t="s">
        <v>721</v>
      </c>
      <c r="T3777" s="9" t="s">
        <v>39</v>
      </c>
      <c r="U3777" s="7">
        <v>0.81</v>
      </c>
      <c r="V3777" s="12">
        <f>C3777+2</f>
        <v>40069</v>
      </c>
      <c r="W3777">
        <f>IF(D3777=' Pivot Tables'!$A$4,1,0)</f>
        <v>0</v>
      </c>
      <c r="X3777">
        <f>IF(AND(LEFT(D3777,4)+1=LEFT(' Pivot Tables'!$A$4,4)+0,RIGHT(LEFT(D3777,7),2)=RIGHT(LEFT(' Pivot Tables'!$A$4,7),2)),1,0)</f>
        <v>0</v>
      </c>
      <c r="Y3777" s="6">
        <f>1/COUNTIF(Таблица1[Order ID],Таблица1[[#This Row],[Order ID]])</f>
        <v>0.5</v>
      </c>
      <c r="Z3777" s="9">
        <f>1/COUNTIFS(Таблица1[Customer Name],Таблица1[[#This Row],[Customer Name]],Таблица1[Order-Year-Month],Таблица1[[#This Row],[Order-Year-Month]])</f>
        <v>0.25</v>
      </c>
    </row>
    <row r="3778" spans="1:26" x14ac:dyDescent="0.2">
      <c r="A3778" s="6">
        <v>6325</v>
      </c>
      <c r="B3778" s="7">
        <v>44775</v>
      </c>
      <c r="C3778" s="8">
        <f>DATE(2012,12,31)-1189</f>
        <v>40085</v>
      </c>
      <c r="D3778" s="8" t="str">
        <f t="shared" si="71"/>
        <v>2009-09 (сентябрь 2009)</v>
      </c>
      <c r="E3778" s="9" t="s">
        <v>63</v>
      </c>
      <c r="F3778" s="7">
        <v>29</v>
      </c>
      <c r="G3778" s="7">
        <v>209.3</v>
      </c>
      <c r="H3778" s="7">
        <v>7.0000000000000007E-2</v>
      </c>
      <c r="I3778" s="9" t="s">
        <v>56</v>
      </c>
      <c r="J3778" s="10">
        <v>30.49</v>
      </c>
      <c r="K3778" s="11">
        <v>7.08</v>
      </c>
      <c r="L3778" s="11">
        <v>2.35</v>
      </c>
      <c r="M3778" s="9" t="s">
        <v>1677</v>
      </c>
      <c r="N3778" s="6" t="s">
        <v>1595</v>
      </c>
      <c r="O3778" s="6" t="s">
        <v>1595</v>
      </c>
      <c r="P3778" s="9" t="s">
        <v>25</v>
      </c>
      <c r="Q3778" s="9" t="s">
        <v>26</v>
      </c>
      <c r="R3778" s="9" t="s">
        <v>95</v>
      </c>
      <c r="S3778" s="7" t="s">
        <v>286</v>
      </c>
      <c r="T3778" s="9" t="s">
        <v>68</v>
      </c>
      <c r="U3778" s="7">
        <v>0.47</v>
      </c>
      <c r="V3778" s="12">
        <f>C3778+1</f>
        <v>40086</v>
      </c>
      <c r="W3778">
        <f>IF(D3778=' Pivot Tables'!$A$4,1,0)</f>
        <v>0</v>
      </c>
      <c r="X3778">
        <f>IF(AND(LEFT(D3778,4)+1=LEFT(' Pivot Tables'!$A$4,4)+0,RIGHT(LEFT(D3778,7),2)=RIGHT(LEFT(' Pivot Tables'!$A$4,7),2)),1,0)</f>
        <v>0</v>
      </c>
      <c r="Y3778" s="6">
        <f>1/COUNTIF(Таблица1[Order ID],Таблица1[[#This Row],[Order ID]])</f>
        <v>1</v>
      </c>
      <c r="Z3778" s="9">
        <f>1/COUNTIFS(Таблица1[Customer Name],Таблица1[[#This Row],[Customer Name]],Таблица1[Order-Year-Month],Таблица1[[#This Row],[Order-Year-Month]])</f>
        <v>1</v>
      </c>
    </row>
    <row r="3779" spans="1:26" x14ac:dyDescent="0.2">
      <c r="A3779" s="6">
        <v>6511</v>
      </c>
      <c r="B3779" s="7">
        <v>46337</v>
      </c>
      <c r="C3779" s="8">
        <f>DATE(2012,12,31)-248</f>
        <v>41026</v>
      </c>
      <c r="D3779" s="8" t="str">
        <f t="shared" ref="D3779:D3842" si="72">TEXT(C3779,"гггг-ММ (ММММ гггг)")</f>
        <v>2012-04 (апрель 2012)</v>
      </c>
      <c r="E3779" s="9" t="s">
        <v>21</v>
      </c>
      <c r="F3779" s="7">
        <v>34</v>
      </c>
      <c r="G3779" s="7">
        <v>61.45</v>
      </c>
      <c r="H3779" s="7">
        <v>0.06</v>
      </c>
      <c r="I3779" s="9" t="s">
        <v>22</v>
      </c>
      <c r="J3779" s="10">
        <v>0.62</v>
      </c>
      <c r="K3779" s="11">
        <v>1.76</v>
      </c>
      <c r="L3779" s="11">
        <v>0.7</v>
      </c>
      <c r="M3779" s="9" t="s">
        <v>1568</v>
      </c>
      <c r="N3779" s="6" t="s">
        <v>1595</v>
      </c>
      <c r="O3779" s="6" t="s">
        <v>1595</v>
      </c>
      <c r="P3779" s="9" t="s">
        <v>41</v>
      </c>
      <c r="Q3779" s="9" t="s">
        <v>26</v>
      </c>
      <c r="R3779" s="9" t="s">
        <v>95</v>
      </c>
      <c r="S3779" s="7" t="s">
        <v>193</v>
      </c>
      <c r="T3779" s="9" t="s">
        <v>68</v>
      </c>
      <c r="U3779" s="7">
        <v>0.56000000000000005</v>
      </c>
      <c r="V3779" s="12">
        <f>C3779+5</f>
        <v>41031</v>
      </c>
      <c r="W3779">
        <f>IF(D3779=' Pivot Tables'!$A$4,1,0)</f>
        <v>0</v>
      </c>
      <c r="X3779">
        <f>IF(AND(LEFT(D3779,4)+1=LEFT(' Pivot Tables'!$A$4,4)+0,RIGHT(LEFT(D3779,7),2)=RIGHT(LEFT(' Pivot Tables'!$A$4,7),2)),1,0)</f>
        <v>0</v>
      </c>
      <c r="Y3779" s="6">
        <f>1/COUNTIF(Таблица1[Order ID],Таблица1[[#This Row],[Order ID]])</f>
        <v>1</v>
      </c>
      <c r="Z3779" s="9">
        <f>1/COUNTIFS(Таблица1[Customer Name],Таблица1[[#This Row],[Customer Name]],Таблица1[Order-Year-Month],Таблица1[[#This Row],[Order-Year-Month]])</f>
        <v>1</v>
      </c>
    </row>
    <row r="3780" spans="1:26" x14ac:dyDescent="0.2">
      <c r="A3780" s="6">
        <v>6547</v>
      </c>
      <c r="B3780" s="7">
        <v>46562</v>
      </c>
      <c r="C3780" s="8">
        <f>DATE(2012,12,31)-688</f>
        <v>40586</v>
      </c>
      <c r="D3780" s="8" t="str">
        <f t="shared" si="72"/>
        <v>2011-02 (февраль 2011)</v>
      </c>
      <c r="E3780" s="9" t="s">
        <v>45</v>
      </c>
      <c r="F3780" s="7">
        <v>35</v>
      </c>
      <c r="G3780" s="7">
        <v>5407.9</v>
      </c>
      <c r="H3780" s="7">
        <v>0.01</v>
      </c>
      <c r="I3780" s="9" t="s">
        <v>31</v>
      </c>
      <c r="J3780" s="10">
        <v>-352.78986600000002</v>
      </c>
      <c r="K3780" s="11">
        <v>145.97999999999999</v>
      </c>
      <c r="L3780" s="11">
        <v>46.2</v>
      </c>
      <c r="M3780" s="9" t="s">
        <v>1659</v>
      </c>
      <c r="N3780" s="6" t="s">
        <v>1595</v>
      </c>
      <c r="O3780" s="6" t="s">
        <v>1595</v>
      </c>
      <c r="P3780" s="9" t="s">
        <v>60</v>
      </c>
      <c r="Q3780" s="9" t="s">
        <v>49</v>
      </c>
      <c r="R3780" s="9" t="s">
        <v>83</v>
      </c>
      <c r="S3780" s="7" t="s">
        <v>938</v>
      </c>
      <c r="T3780" s="9" t="s">
        <v>82</v>
      </c>
      <c r="U3780" s="7">
        <v>0.69</v>
      </c>
      <c r="V3780" s="12">
        <f>C3780+2</f>
        <v>40588</v>
      </c>
      <c r="W3780">
        <f>IF(D3780=' Pivot Tables'!$A$4,1,0)</f>
        <v>0</v>
      </c>
      <c r="X3780">
        <f>IF(AND(LEFT(D3780,4)+1=LEFT(' Pivot Tables'!$A$4,4)+0,RIGHT(LEFT(D3780,7),2)=RIGHT(LEFT(' Pivot Tables'!$A$4,7),2)),1,0)</f>
        <v>0</v>
      </c>
      <c r="Y3780" s="6">
        <f>1/COUNTIF(Таблица1[Order ID],Таблица1[[#This Row],[Order ID]])</f>
        <v>1</v>
      </c>
      <c r="Z3780" s="9">
        <f>1/COUNTIFS(Таблица1[Customer Name],Таблица1[[#This Row],[Customer Name]],Таблица1[Order-Year-Month],Таблица1[[#This Row],[Order-Year-Month]])</f>
        <v>1</v>
      </c>
    </row>
    <row r="3781" spans="1:26" x14ac:dyDescent="0.2">
      <c r="A3781" s="6">
        <v>6552</v>
      </c>
      <c r="B3781" s="7">
        <v>46597</v>
      </c>
      <c r="C3781" s="8">
        <f>DATE(2012,12,31)-1096</f>
        <v>40178</v>
      </c>
      <c r="D3781" s="8" t="str">
        <f t="shared" si="72"/>
        <v>2009-12 (декабрь 2009)</v>
      </c>
      <c r="E3781" s="9" t="s">
        <v>45</v>
      </c>
      <c r="F3781" s="7">
        <v>47</v>
      </c>
      <c r="G3781" s="7">
        <v>8216.5929999999989</v>
      </c>
      <c r="H3781" s="7">
        <v>0.01</v>
      </c>
      <c r="I3781" s="9" t="s">
        <v>22</v>
      </c>
      <c r="J3781" s="10">
        <v>2463.462</v>
      </c>
      <c r="K3781" s="11">
        <v>195.99</v>
      </c>
      <c r="L3781" s="11">
        <v>8.99</v>
      </c>
      <c r="M3781" s="9" t="s">
        <v>1707</v>
      </c>
      <c r="N3781" s="6" t="s">
        <v>1595</v>
      </c>
      <c r="O3781" s="6" t="s">
        <v>1595</v>
      </c>
      <c r="P3781" s="9" t="s">
        <v>33</v>
      </c>
      <c r="Q3781" s="9" t="s">
        <v>42</v>
      </c>
      <c r="R3781" s="9" t="s">
        <v>43</v>
      </c>
      <c r="S3781" s="7" t="s">
        <v>670</v>
      </c>
      <c r="T3781" s="9" t="s">
        <v>39</v>
      </c>
      <c r="U3781" s="7">
        <v>0.6</v>
      </c>
      <c r="V3781" s="12">
        <f>C3781+0</f>
        <v>40178</v>
      </c>
      <c r="W3781">
        <f>IF(D3781=' Pivot Tables'!$A$4,1,0)</f>
        <v>0</v>
      </c>
      <c r="X3781">
        <f>IF(AND(LEFT(D3781,4)+1=LEFT(' Pivot Tables'!$A$4,4)+0,RIGHT(LEFT(D3781,7),2)=RIGHT(LEFT(' Pivot Tables'!$A$4,7),2)),1,0)</f>
        <v>0</v>
      </c>
      <c r="Y3781" s="6">
        <f>1/COUNTIF(Таблица1[Order ID],Таблица1[[#This Row],[Order ID]])</f>
        <v>0.33333333333333331</v>
      </c>
      <c r="Z3781" s="9">
        <f>1/COUNTIFS(Таблица1[Customer Name],Таблица1[[#This Row],[Customer Name]],Таблица1[Order-Year-Month],Таблица1[[#This Row],[Order-Year-Month]])</f>
        <v>0.33333333333333331</v>
      </c>
    </row>
    <row r="3782" spans="1:26" x14ac:dyDescent="0.2">
      <c r="A3782" s="6">
        <v>6553</v>
      </c>
      <c r="B3782" s="7">
        <v>46597</v>
      </c>
      <c r="C3782" s="8">
        <f>DATE(2012,12,31)-1096</f>
        <v>40178</v>
      </c>
      <c r="D3782" s="8" t="str">
        <f t="shared" si="72"/>
        <v>2009-12 (декабрь 2009)</v>
      </c>
      <c r="E3782" s="9" t="s">
        <v>45</v>
      </c>
      <c r="F3782" s="7">
        <v>10</v>
      </c>
      <c r="G3782" s="7">
        <v>130.36000000000001</v>
      </c>
      <c r="H3782" s="7">
        <v>0.06</v>
      </c>
      <c r="I3782" s="9" t="s">
        <v>22</v>
      </c>
      <c r="J3782" s="10">
        <v>2.431</v>
      </c>
      <c r="K3782" s="11">
        <v>12.95</v>
      </c>
      <c r="L3782" s="11">
        <v>4.9800000000000004</v>
      </c>
      <c r="M3782" s="9" t="s">
        <v>1707</v>
      </c>
      <c r="N3782" s="6" t="s">
        <v>1595</v>
      </c>
      <c r="O3782" s="6" t="s">
        <v>1595</v>
      </c>
      <c r="P3782" s="9" t="s">
        <v>33</v>
      </c>
      <c r="Q3782" s="9" t="s">
        <v>26</v>
      </c>
      <c r="R3782" s="9" t="s">
        <v>37</v>
      </c>
      <c r="S3782" s="7" t="s">
        <v>278</v>
      </c>
      <c r="T3782" s="9" t="s">
        <v>39</v>
      </c>
      <c r="U3782" s="7">
        <v>0.4</v>
      </c>
      <c r="V3782" s="12">
        <f>C3782+2</f>
        <v>40180</v>
      </c>
      <c r="W3782">
        <f>IF(D3782=' Pivot Tables'!$A$4,1,0)</f>
        <v>0</v>
      </c>
      <c r="X3782">
        <f>IF(AND(LEFT(D3782,4)+1=LEFT(' Pivot Tables'!$A$4,4)+0,RIGHT(LEFT(D3782,7),2)=RIGHT(LEFT(' Pivot Tables'!$A$4,7),2)),1,0)</f>
        <v>0</v>
      </c>
      <c r="Y3782" s="6">
        <f>1/COUNTIF(Таблица1[Order ID],Таблица1[[#This Row],[Order ID]])</f>
        <v>0.33333333333333331</v>
      </c>
      <c r="Z3782" s="9">
        <f>1/COUNTIFS(Таблица1[Customer Name],Таблица1[[#This Row],[Customer Name]],Таблица1[Order-Year-Month],Таблица1[[#This Row],[Order-Year-Month]])</f>
        <v>0.33333333333333331</v>
      </c>
    </row>
    <row r="3783" spans="1:26" x14ac:dyDescent="0.2">
      <c r="A3783" s="6">
        <v>6554</v>
      </c>
      <c r="B3783" s="7">
        <v>46597</v>
      </c>
      <c r="C3783" s="8">
        <f>DATE(2012,12,31)-1096</f>
        <v>40178</v>
      </c>
      <c r="D3783" s="8" t="str">
        <f t="shared" si="72"/>
        <v>2009-12 (декабрь 2009)</v>
      </c>
      <c r="E3783" s="9" t="s">
        <v>45</v>
      </c>
      <c r="F3783" s="7">
        <v>1</v>
      </c>
      <c r="G3783" s="7">
        <v>200.57</v>
      </c>
      <c r="H3783" s="7">
        <v>0</v>
      </c>
      <c r="I3783" s="9" t="s">
        <v>31</v>
      </c>
      <c r="J3783" s="10">
        <v>-83.63</v>
      </c>
      <c r="K3783" s="11">
        <v>122.99</v>
      </c>
      <c r="L3783" s="11">
        <v>70.2</v>
      </c>
      <c r="M3783" s="9" t="s">
        <v>1707</v>
      </c>
      <c r="N3783" s="6" t="s">
        <v>1595</v>
      </c>
      <c r="O3783" s="6" t="s">
        <v>1595</v>
      </c>
      <c r="P3783" s="9" t="s">
        <v>33</v>
      </c>
      <c r="Q3783" s="9" t="s">
        <v>49</v>
      </c>
      <c r="R3783" s="9" t="s">
        <v>112</v>
      </c>
      <c r="S3783" s="7" t="s">
        <v>426</v>
      </c>
      <c r="T3783" s="9" t="s">
        <v>36</v>
      </c>
      <c r="U3783" s="7">
        <v>0.74</v>
      </c>
      <c r="V3783" s="12">
        <f>C3783+2</f>
        <v>40180</v>
      </c>
      <c r="W3783">
        <f>IF(D3783=' Pivot Tables'!$A$4,1,0)</f>
        <v>0</v>
      </c>
      <c r="X3783">
        <f>IF(AND(LEFT(D3783,4)+1=LEFT(' Pivot Tables'!$A$4,4)+0,RIGHT(LEFT(D3783,7),2)=RIGHT(LEFT(' Pivot Tables'!$A$4,7),2)),1,0)</f>
        <v>0</v>
      </c>
      <c r="Y3783" s="6">
        <f>1/COUNTIF(Таблица1[Order ID],Таблица1[[#This Row],[Order ID]])</f>
        <v>0.33333333333333331</v>
      </c>
      <c r="Z3783" s="9">
        <f>1/COUNTIFS(Таблица1[Customer Name],Таблица1[[#This Row],[Customer Name]],Таблица1[Order-Year-Month],Таблица1[[#This Row],[Order-Year-Month]])</f>
        <v>0.33333333333333331</v>
      </c>
    </row>
    <row r="3784" spans="1:26" x14ac:dyDescent="0.2">
      <c r="A3784" s="6">
        <v>6570</v>
      </c>
      <c r="B3784" s="7">
        <v>46725</v>
      </c>
      <c r="C3784" s="8">
        <f>DATE(2012,12,31)-833</f>
        <v>40441</v>
      </c>
      <c r="D3784" s="8" t="str">
        <f t="shared" si="72"/>
        <v>2010-09 (сентябрь 2010)</v>
      </c>
      <c r="E3784" s="9" t="s">
        <v>45</v>
      </c>
      <c r="F3784" s="7">
        <v>13</v>
      </c>
      <c r="G3784" s="7">
        <v>80</v>
      </c>
      <c r="H3784" s="7">
        <v>0.03</v>
      </c>
      <c r="I3784" s="9" t="s">
        <v>22</v>
      </c>
      <c r="J3784" s="10">
        <v>10.96</v>
      </c>
      <c r="K3784" s="11">
        <v>5.84</v>
      </c>
      <c r="L3784" s="11">
        <v>1.2</v>
      </c>
      <c r="M3784" s="9" t="s">
        <v>1659</v>
      </c>
      <c r="N3784" s="6" t="s">
        <v>1595</v>
      </c>
      <c r="O3784" s="6" t="s">
        <v>1595</v>
      </c>
      <c r="P3784" s="9" t="s">
        <v>33</v>
      </c>
      <c r="Q3784" s="9" t="s">
        <v>26</v>
      </c>
      <c r="R3784" s="9" t="s">
        <v>95</v>
      </c>
      <c r="S3784" s="7" t="s">
        <v>413</v>
      </c>
      <c r="T3784" s="9" t="s">
        <v>68</v>
      </c>
      <c r="U3784" s="7">
        <v>0.55000000000000004</v>
      </c>
      <c r="V3784" s="12">
        <f>C3784+2</f>
        <v>40443</v>
      </c>
      <c r="W3784">
        <f>IF(D3784=' Pivot Tables'!$A$4,1,0)</f>
        <v>0</v>
      </c>
      <c r="X3784">
        <f>IF(AND(LEFT(D3784,4)+1=LEFT(' Pivot Tables'!$A$4,4)+0,RIGHT(LEFT(D3784,7),2)=RIGHT(LEFT(' Pivot Tables'!$A$4,7),2)),1,0)</f>
        <v>0</v>
      </c>
      <c r="Y3784" s="6">
        <f>1/COUNTIF(Таблица1[Order ID],Таблица1[[#This Row],[Order ID]])</f>
        <v>0.5</v>
      </c>
      <c r="Z3784" s="9">
        <f>1/COUNTIFS(Таблица1[Customer Name],Таблица1[[#This Row],[Customer Name]],Таблица1[Order-Year-Month],Таблица1[[#This Row],[Order-Year-Month]])</f>
        <v>0.5</v>
      </c>
    </row>
    <row r="3785" spans="1:26" x14ac:dyDescent="0.2">
      <c r="A3785" s="6">
        <v>6571</v>
      </c>
      <c r="B3785" s="7">
        <v>46725</v>
      </c>
      <c r="C3785" s="8">
        <f>DATE(2012,12,31)-833</f>
        <v>40441</v>
      </c>
      <c r="D3785" s="8" t="str">
        <f t="shared" si="72"/>
        <v>2010-09 (сентябрь 2010)</v>
      </c>
      <c r="E3785" s="9" t="s">
        <v>45</v>
      </c>
      <c r="F3785" s="7">
        <v>8</v>
      </c>
      <c r="G3785" s="7">
        <v>137.41999999999999</v>
      </c>
      <c r="H3785" s="7">
        <v>0.04</v>
      </c>
      <c r="I3785" s="9" t="s">
        <v>22</v>
      </c>
      <c r="J3785" s="10">
        <v>-24.86</v>
      </c>
      <c r="K3785" s="11">
        <v>16.91</v>
      </c>
      <c r="L3785" s="11">
        <v>6.25</v>
      </c>
      <c r="M3785" s="9" t="s">
        <v>1659</v>
      </c>
      <c r="N3785" s="6" t="s">
        <v>1595</v>
      </c>
      <c r="O3785" s="6" t="s">
        <v>1595</v>
      </c>
      <c r="P3785" s="9" t="s">
        <v>33</v>
      </c>
      <c r="Q3785" s="9" t="s">
        <v>26</v>
      </c>
      <c r="R3785" s="9" t="s">
        <v>27</v>
      </c>
      <c r="S3785" s="7" t="s">
        <v>794</v>
      </c>
      <c r="T3785" s="9" t="s">
        <v>39</v>
      </c>
      <c r="U3785" s="7">
        <v>0.57999999999999996</v>
      </c>
      <c r="V3785" s="12">
        <f>C3785+1</f>
        <v>40442</v>
      </c>
      <c r="W3785">
        <f>IF(D3785=' Pivot Tables'!$A$4,1,0)</f>
        <v>0</v>
      </c>
      <c r="X3785">
        <f>IF(AND(LEFT(D3785,4)+1=LEFT(' Pivot Tables'!$A$4,4)+0,RIGHT(LEFT(D3785,7),2)=RIGHT(LEFT(' Pivot Tables'!$A$4,7),2)),1,0)</f>
        <v>0</v>
      </c>
      <c r="Y3785" s="6">
        <f>1/COUNTIF(Таблица1[Order ID],Таблица1[[#This Row],[Order ID]])</f>
        <v>0.5</v>
      </c>
      <c r="Z3785" s="9">
        <f>1/COUNTIFS(Таблица1[Customer Name],Таблица1[[#This Row],[Customer Name]],Таблица1[Order-Year-Month],Таблица1[[#This Row],[Order-Year-Month]])</f>
        <v>0.5</v>
      </c>
    </row>
    <row r="3786" spans="1:26" x14ac:dyDescent="0.2">
      <c r="A3786" s="6">
        <v>6575</v>
      </c>
      <c r="B3786" s="7">
        <v>46787</v>
      </c>
      <c r="C3786" s="8">
        <f>DATE(2012,12,31)-277</f>
        <v>40997</v>
      </c>
      <c r="D3786" s="8" t="str">
        <f t="shared" si="72"/>
        <v>2012-03 (март 2012)</v>
      </c>
      <c r="E3786" s="9" t="s">
        <v>63</v>
      </c>
      <c r="F3786" s="7">
        <v>28</v>
      </c>
      <c r="G3786" s="7">
        <v>174.1</v>
      </c>
      <c r="H3786" s="7">
        <v>0.1</v>
      </c>
      <c r="I3786" s="9" t="s">
        <v>22</v>
      </c>
      <c r="J3786" s="10">
        <v>-162.75</v>
      </c>
      <c r="K3786" s="11">
        <v>6.48</v>
      </c>
      <c r="L3786" s="11">
        <v>9.17</v>
      </c>
      <c r="M3786" s="9" t="s">
        <v>1661</v>
      </c>
      <c r="N3786" s="6" t="s">
        <v>1595</v>
      </c>
      <c r="O3786" s="6" t="s">
        <v>1595</v>
      </c>
      <c r="P3786" s="9" t="s">
        <v>41</v>
      </c>
      <c r="Q3786" s="9" t="s">
        <v>26</v>
      </c>
      <c r="R3786" s="9" t="s">
        <v>61</v>
      </c>
      <c r="S3786" s="7" t="s">
        <v>1612</v>
      </c>
      <c r="T3786" s="9" t="s">
        <v>39</v>
      </c>
      <c r="U3786" s="7">
        <v>0.37</v>
      </c>
      <c r="V3786" s="12">
        <f>C3786+2</f>
        <v>40999</v>
      </c>
      <c r="W3786">
        <f>IF(D3786=' Pivot Tables'!$A$4,1,0)</f>
        <v>0</v>
      </c>
      <c r="X3786">
        <f>IF(AND(LEFT(D3786,4)+1=LEFT(' Pivot Tables'!$A$4,4)+0,RIGHT(LEFT(D3786,7),2)=RIGHT(LEFT(' Pivot Tables'!$A$4,7),2)),1,0)</f>
        <v>0</v>
      </c>
      <c r="Y3786" s="6">
        <f>1/COUNTIF(Таблица1[Order ID],Таблица1[[#This Row],[Order ID]])</f>
        <v>0.5</v>
      </c>
      <c r="Z3786" s="9">
        <f>1/COUNTIFS(Таблица1[Customer Name],Таблица1[[#This Row],[Customer Name]],Таблица1[Order-Year-Month],Таблица1[[#This Row],[Order-Year-Month]])</f>
        <v>0.5</v>
      </c>
    </row>
    <row r="3787" spans="1:26" x14ac:dyDescent="0.2">
      <c r="A3787" s="6">
        <v>6576</v>
      </c>
      <c r="B3787" s="7">
        <v>46787</v>
      </c>
      <c r="C3787" s="8">
        <f>DATE(2012,12,31)-277</f>
        <v>40997</v>
      </c>
      <c r="D3787" s="8" t="str">
        <f t="shared" si="72"/>
        <v>2012-03 (март 2012)</v>
      </c>
      <c r="E3787" s="9" t="s">
        <v>63</v>
      </c>
      <c r="F3787" s="7">
        <v>32</v>
      </c>
      <c r="G3787" s="7">
        <v>693.17</v>
      </c>
      <c r="H3787" s="7">
        <v>7.0000000000000007E-2</v>
      </c>
      <c r="I3787" s="9" t="s">
        <v>22</v>
      </c>
      <c r="J3787" s="10">
        <v>-59.83</v>
      </c>
      <c r="K3787" s="11">
        <v>22.99</v>
      </c>
      <c r="L3787" s="11">
        <v>8.99</v>
      </c>
      <c r="M3787" s="9" t="s">
        <v>1661</v>
      </c>
      <c r="N3787" s="6" t="s">
        <v>1595</v>
      </c>
      <c r="O3787" s="6" t="s">
        <v>1595</v>
      </c>
      <c r="P3787" s="9" t="s">
        <v>41</v>
      </c>
      <c r="Q3787" s="9" t="s">
        <v>26</v>
      </c>
      <c r="R3787" s="9" t="s">
        <v>95</v>
      </c>
      <c r="S3787" s="7" t="s">
        <v>554</v>
      </c>
      <c r="T3787" s="9" t="s">
        <v>52</v>
      </c>
      <c r="U3787" s="7">
        <v>0.56999999999999995</v>
      </c>
      <c r="V3787" s="12">
        <f>C3787+2</f>
        <v>40999</v>
      </c>
      <c r="W3787">
        <f>IF(D3787=' Pivot Tables'!$A$4,1,0)</f>
        <v>0</v>
      </c>
      <c r="X3787">
        <f>IF(AND(LEFT(D3787,4)+1=LEFT(' Pivot Tables'!$A$4,4)+0,RIGHT(LEFT(D3787,7),2)=RIGHT(LEFT(' Pivot Tables'!$A$4,7),2)),1,0)</f>
        <v>0</v>
      </c>
      <c r="Y3787" s="6">
        <f>1/COUNTIF(Таблица1[Order ID],Таблица1[[#This Row],[Order ID]])</f>
        <v>0.5</v>
      </c>
      <c r="Z3787" s="9">
        <f>1/COUNTIFS(Таблица1[Customer Name],Таблица1[[#This Row],[Customer Name]],Таблица1[Order-Year-Month],Таблица1[[#This Row],[Order-Year-Month]])</f>
        <v>0.5</v>
      </c>
    </row>
    <row r="3788" spans="1:26" x14ac:dyDescent="0.2">
      <c r="A3788" s="6">
        <v>6592</v>
      </c>
      <c r="B3788" s="7">
        <v>46916</v>
      </c>
      <c r="C3788" s="8">
        <f>DATE(2012,12,31)-455</f>
        <v>40819</v>
      </c>
      <c r="D3788" s="8" t="str">
        <f t="shared" si="72"/>
        <v>2011-10 (октябрь 2011)</v>
      </c>
      <c r="E3788" s="9" t="s">
        <v>30</v>
      </c>
      <c r="F3788" s="7">
        <v>40</v>
      </c>
      <c r="G3788" s="7">
        <v>115.51</v>
      </c>
      <c r="H3788" s="7">
        <v>0</v>
      </c>
      <c r="I3788" s="9" t="s">
        <v>22</v>
      </c>
      <c r="J3788" s="10">
        <v>5.54</v>
      </c>
      <c r="K3788" s="11">
        <v>2.78</v>
      </c>
      <c r="L3788" s="11">
        <v>0.97</v>
      </c>
      <c r="M3788" s="9" t="s">
        <v>1713</v>
      </c>
      <c r="N3788" s="6" t="s">
        <v>1595</v>
      </c>
      <c r="O3788" s="6" t="s">
        <v>1595</v>
      </c>
      <c r="P3788" s="9" t="s">
        <v>60</v>
      </c>
      <c r="Q3788" s="9" t="s">
        <v>26</v>
      </c>
      <c r="R3788" s="9" t="s">
        <v>95</v>
      </c>
      <c r="S3788" s="7" t="s">
        <v>1284</v>
      </c>
      <c r="T3788" s="9" t="s">
        <v>68</v>
      </c>
      <c r="U3788" s="7">
        <v>0.59</v>
      </c>
      <c r="V3788" s="12">
        <f>C3788+2</f>
        <v>40821</v>
      </c>
      <c r="W3788">
        <f>IF(D3788=' Pivot Tables'!$A$4,1,0)</f>
        <v>0</v>
      </c>
      <c r="X3788">
        <f>IF(AND(LEFT(D3788,4)+1=LEFT(' Pivot Tables'!$A$4,4)+0,RIGHT(LEFT(D3788,7),2)=RIGHT(LEFT(' Pivot Tables'!$A$4,7),2)),1,0)</f>
        <v>0</v>
      </c>
      <c r="Y3788" s="6">
        <f>1/COUNTIF(Таблица1[Order ID],Таблица1[[#This Row],[Order ID]])</f>
        <v>0.33333333333333331</v>
      </c>
      <c r="Z3788" s="9">
        <f>1/COUNTIFS(Таблица1[Customer Name],Таблица1[[#This Row],[Customer Name]],Таблица1[Order-Year-Month],Таблица1[[#This Row],[Order-Year-Month]])</f>
        <v>0.25</v>
      </c>
    </row>
    <row r="3789" spans="1:26" x14ac:dyDescent="0.2">
      <c r="A3789" s="6">
        <v>6643</v>
      </c>
      <c r="B3789" s="7">
        <v>47265</v>
      </c>
      <c r="C3789" s="8">
        <f>DATE(2012,12,31)-387</f>
        <v>40887</v>
      </c>
      <c r="D3789" s="8" t="str">
        <f t="shared" si="72"/>
        <v>2011-12 (декабрь 2011)</v>
      </c>
      <c r="E3789" s="9" t="s">
        <v>78</v>
      </c>
      <c r="F3789" s="7">
        <v>31</v>
      </c>
      <c r="G3789" s="7">
        <v>187.13</v>
      </c>
      <c r="H3789" s="7">
        <v>0.02</v>
      </c>
      <c r="I3789" s="9" t="s">
        <v>22</v>
      </c>
      <c r="J3789" s="10">
        <v>-60.83</v>
      </c>
      <c r="K3789" s="11">
        <v>5.98</v>
      </c>
      <c r="L3789" s="11">
        <v>5.46</v>
      </c>
      <c r="M3789" s="9" t="s">
        <v>1674</v>
      </c>
      <c r="N3789" s="6" t="s">
        <v>1595</v>
      </c>
      <c r="O3789" s="6" t="s">
        <v>1595</v>
      </c>
      <c r="P3789" s="9" t="s">
        <v>60</v>
      </c>
      <c r="Q3789" s="9" t="s">
        <v>26</v>
      </c>
      <c r="R3789" s="9" t="s">
        <v>61</v>
      </c>
      <c r="S3789" s="7" t="s">
        <v>751</v>
      </c>
      <c r="T3789" s="9" t="s">
        <v>39</v>
      </c>
      <c r="U3789" s="7">
        <v>0.36</v>
      </c>
      <c r="V3789" s="12">
        <f>C3789+1</f>
        <v>40888</v>
      </c>
      <c r="W3789">
        <f>IF(D3789=' Pivot Tables'!$A$4,1,0)</f>
        <v>0</v>
      </c>
      <c r="X3789">
        <f>IF(AND(LEFT(D3789,4)+1=LEFT(' Pivot Tables'!$A$4,4)+0,RIGHT(LEFT(D3789,7),2)=RIGHT(LEFT(' Pivot Tables'!$A$4,7),2)),1,0)</f>
        <v>0</v>
      </c>
      <c r="Y3789" s="6">
        <f>1/COUNTIF(Таблица1[Order ID],Таблица1[[#This Row],[Order ID]])</f>
        <v>1</v>
      </c>
      <c r="Z3789" s="9">
        <f>1/COUNTIFS(Таблица1[Customer Name],Таблица1[[#This Row],[Customer Name]],Таблица1[Order-Year-Month],Таблица1[[#This Row],[Order-Year-Month]])</f>
        <v>1</v>
      </c>
    </row>
    <row r="3790" spans="1:26" x14ac:dyDescent="0.2">
      <c r="A3790" s="6">
        <v>6813</v>
      </c>
      <c r="B3790" s="7">
        <v>48487</v>
      </c>
      <c r="C3790" s="8">
        <f>DATE(2012,12,31)-1085</f>
        <v>40189</v>
      </c>
      <c r="D3790" s="8" t="str">
        <f t="shared" si="72"/>
        <v>2010-01 (январь 2010)</v>
      </c>
      <c r="E3790" s="9" t="s">
        <v>21</v>
      </c>
      <c r="F3790" s="7">
        <v>27</v>
      </c>
      <c r="G3790" s="7">
        <v>360.7</v>
      </c>
      <c r="H3790" s="7">
        <v>0</v>
      </c>
      <c r="I3790" s="9" t="s">
        <v>22</v>
      </c>
      <c r="J3790" s="10">
        <v>146.166</v>
      </c>
      <c r="K3790" s="11">
        <v>12.97</v>
      </c>
      <c r="L3790" s="11">
        <v>1.49</v>
      </c>
      <c r="M3790" s="9" t="s">
        <v>1695</v>
      </c>
      <c r="N3790" s="6" t="s">
        <v>1595</v>
      </c>
      <c r="O3790" s="6" t="s">
        <v>1595</v>
      </c>
      <c r="P3790" s="9" t="s">
        <v>60</v>
      </c>
      <c r="Q3790" s="9" t="s">
        <v>26</v>
      </c>
      <c r="R3790" s="9" t="s">
        <v>37</v>
      </c>
      <c r="S3790" s="7" t="s">
        <v>1269</v>
      </c>
      <c r="T3790" s="9" t="s">
        <v>39</v>
      </c>
      <c r="U3790" s="7">
        <v>0.35</v>
      </c>
      <c r="V3790" s="12">
        <f>C3790+2</f>
        <v>40191</v>
      </c>
      <c r="W3790">
        <f>IF(D3790=' Pivot Tables'!$A$4,1,0)</f>
        <v>1</v>
      </c>
      <c r="X3790">
        <f>IF(AND(LEFT(D3790,4)+1=LEFT(' Pivot Tables'!$A$4,4)+0,RIGHT(LEFT(D3790,7),2)=RIGHT(LEFT(' Pivot Tables'!$A$4,7),2)),1,0)</f>
        <v>0</v>
      </c>
      <c r="Y3790" s="6">
        <f>1/COUNTIF(Таблица1[Order ID],Таблица1[[#This Row],[Order ID]])</f>
        <v>1</v>
      </c>
      <c r="Z3790" s="9">
        <f>1/COUNTIFS(Таблица1[Customer Name],Таблица1[[#This Row],[Customer Name]],Таблица1[Order-Year-Month],Таблица1[[#This Row],[Order-Year-Month]])</f>
        <v>1</v>
      </c>
    </row>
    <row r="3791" spans="1:26" x14ac:dyDescent="0.2">
      <c r="A3791" s="6">
        <v>6850</v>
      </c>
      <c r="B3791" s="7">
        <v>48774</v>
      </c>
      <c r="C3791" s="8">
        <f>DATE(2012,12,31)-144</f>
        <v>41130</v>
      </c>
      <c r="D3791" s="8" t="str">
        <f t="shared" si="72"/>
        <v>2012-08 (август 2012)</v>
      </c>
      <c r="E3791" s="9" t="s">
        <v>30</v>
      </c>
      <c r="F3791" s="7">
        <v>31</v>
      </c>
      <c r="G3791" s="7">
        <v>7323.78</v>
      </c>
      <c r="H3791" s="7">
        <v>0.04</v>
      </c>
      <c r="I3791" s="9" t="s">
        <v>31</v>
      </c>
      <c r="J3791" s="10">
        <v>573.54999999999995</v>
      </c>
      <c r="K3791" s="11">
        <v>243.98</v>
      </c>
      <c r="L3791" s="11">
        <v>62.94</v>
      </c>
      <c r="M3791" s="9" t="s">
        <v>1702</v>
      </c>
      <c r="N3791" s="6" t="s">
        <v>1595</v>
      </c>
      <c r="O3791" s="6" t="s">
        <v>1595</v>
      </c>
      <c r="P3791" s="9" t="s">
        <v>25</v>
      </c>
      <c r="Q3791" s="9" t="s">
        <v>49</v>
      </c>
      <c r="R3791" s="9" t="s">
        <v>112</v>
      </c>
      <c r="S3791" s="7" t="s">
        <v>1715</v>
      </c>
      <c r="T3791" s="9" t="s">
        <v>36</v>
      </c>
      <c r="U3791" s="7">
        <v>0.56999999999999995</v>
      </c>
      <c r="V3791" s="12">
        <f>C3791+2</f>
        <v>41132</v>
      </c>
      <c r="W3791">
        <f>IF(D3791=' Pivot Tables'!$A$4,1,0)</f>
        <v>0</v>
      </c>
      <c r="X3791">
        <f>IF(AND(LEFT(D3791,4)+1=LEFT(' Pivot Tables'!$A$4,4)+0,RIGHT(LEFT(D3791,7),2)=RIGHT(LEFT(' Pivot Tables'!$A$4,7),2)),1,0)</f>
        <v>0</v>
      </c>
      <c r="Y3791" s="6">
        <f>1/COUNTIF(Таблица1[Order ID],Таблица1[[#This Row],[Order ID]])</f>
        <v>1</v>
      </c>
      <c r="Z3791" s="9">
        <f>1/COUNTIFS(Таблица1[Customer Name],Таблица1[[#This Row],[Customer Name]],Таблица1[Order-Year-Month],Таблица1[[#This Row],[Order-Year-Month]])</f>
        <v>1</v>
      </c>
    </row>
    <row r="3792" spans="1:26" x14ac:dyDescent="0.2">
      <c r="A3792" s="6">
        <v>6924</v>
      </c>
      <c r="B3792" s="7">
        <v>49381</v>
      </c>
      <c r="C3792" s="8">
        <f>DATE(2012,12,31)-18</f>
        <v>41256</v>
      </c>
      <c r="D3792" s="8" t="str">
        <f t="shared" si="72"/>
        <v>2012-12 (декабрь 2012)</v>
      </c>
      <c r="E3792" s="9" t="s">
        <v>45</v>
      </c>
      <c r="F3792" s="7">
        <v>21</v>
      </c>
      <c r="G3792" s="7">
        <v>1537.5</v>
      </c>
      <c r="H3792" s="7">
        <v>0.04</v>
      </c>
      <c r="I3792" s="9" t="s">
        <v>22</v>
      </c>
      <c r="J3792" s="10">
        <v>-531.91999999999996</v>
      </c>
      <c r="K3792" s="11">
        <v>70.98</v>
      </c>
      <c r="L3792" s="11">
        <v>35</v>
      </c>
      <c r="M3792" s="9" t="s">
        <v>1680</v>
      </c>
      <c r="N3792" s="6" t="s">
        <v>1595</v>
      </c>
      <c r="O3792" s="6" t="s">
        <v>1595</v>
      </c>
      <c r="P3792" s="9" t="s">
        <v>33</v>
      </c>
      <c r="Q3792" s="9" t="s">
        <v>26</v>
      </c>
      <c r="R3792" s="9" t="s">
        <v>27</v>
      </c>
      <c r="S3792" s="7" t="s">
        <v>1393</v>
      </c>
      <c r="T3792" s="9" t="s">
        <v>29</v>
      </c>
      <c r="U3792" s="7">
        <v>0.8</v>
      </c>
      <c r="V3792" s="12">
        <f>C3792+1</f>
        <v>41257</v>
      </c>
      <c r="W3792">
        <f>IF(D3792=' Pivot Tables'!$A$4,1,0)</f>
        <v>0</v>
      </c>
      <c r="X3792">
        <f>IF(AND(LEFT(D3792,4)+1=LEFT(' Pivot Tables'!$A$4,4)+0,RIGHT(LEFT(D3792,7),2)=RIGHT(LEFT(' Pivot Tables'!$A$4,7),2)),1,0)</f>
        <v>0</v>
      </c>
      <c r="Y3792" s="6">
        <f>1/COUNTIF(Таблица1[Order ID],Таблица1[[#This Row],[Order ID]])</f>
        <v>1</v>
      </c>
      <c r="Z3792" s="9">
        <f>1/COUNTIFS(Таблица1[Customer Name],Таблица1[[#This Row],[Customer Name]],Таблица1[Order-Year-Month],Таблица1[[#This Row],[Order-Year-Month]])</f>
        <v>1</v>
      </c>
    </row>
    <row r="3793" spans="1:26" x14ac:dyDescent="0.2">
      <c r="A3793" s="6">
        <v>6951</v>
      </c>
      <c r="B3793" s="7">
        <v>49666</v>
      </c>
      <c r="C3793" s="8">
        <f>DATE(2012,12,31)-1243</f>
        <v>40031</v>
      </c>
      <c r="D3793" s="8" t="str">
        <f t="shared" si="72"/>
        <v>2009-08 (август 2009)</v>
      </c>
      <c r="E3793" s="9" t="s">
        <v>21</v>
      </c>
      <c r="F3793" s="7">
        <v>46</v>
      </c>
      <c r="G3793" s="7">
        <v>259.25</v>
      </c>
      <c r="H3793" s="7">
        <v>0.1</v>
      </c>
      <c r="I3793" s="9" t="s">
        <v>56</v>
      </c>
      <c r="J3793" s="10">
        <v>-64.03</v>
      </c>
      <c r="K3793" s="11">
        <v>5.68</v>
      </c>
      <c r="L3793" s="11">
        <v>3.6</v>
      </c>
      <c r="M3793" s="9" t="s">
        <v>1666</v>
      </c>
      <c r="N3793" s="6" t="s">
        <v>1595</v>
      </c>
      <c r="O3793" s="6" t="s">
        <v>1595</v>
      </c>
      <c r="P3793" s="9" t="s">
        <v>60</v>
      </c>
      <c r="Q3793" s="9" t="s">
        <v>26</v>
      </c>
      <c r="R3793" s="9" t="s">
        <v>150</v>
      </c>
      <c r="S3793" s="7" t="s">
        <v>1716</v>
      </c>
      <c r="T3793" s="9" t="s">
        <v>52</v>
      </c>
      <c r="U3793" s="7">
        <v>0.56000000000000005</v>
      </c>
      <c r="V3793" s="12">
        <f>C3793+4</f>
        <v>40035</v>
      </c>
      <c r="W3793">
        <f>IF(D3793=' Pivot Tables'!$A$4,1,0)</f>
        <v>0</v>
      </c>
      <c r="X3793">
        <f>IF(AND(LEFT(D3793,4)+1=LEFT(' Pivot Tables'!$A$4,4)+0,RIGHT(LEFT(D3793,7),2)=RIGHT(LEFT(' Pivot Tables'!$A$4,7),2)),1,0)</f>
        <v>0</v>
      </c>
      <c r="Y3793" s="6">
        <f>1/COUNTIF(Таблица1[Order ID],Таблица1[[#This Row],[Order ID]])</f>
        <v>1</v>
      </c>
      <c r="Z3793" s="9">
        <f>1/COUNTIFS(Таблица1[Customer Name],Таблица1[[#This Row],[Customer Name]],Таблица1[Order-Year-Month],Таблица1[[#This Row],[Order-Year-Month]])</f>
        <v>1</v>
      </c>
    </row>
    <row r="3794" spans="1:26" x14ac:dyDescent="0.2">
      <c r="A3794" s="6">
        <v>6959</v>
      </c>
      <c r="B3794" s="7">
        <v>49762</v>
      </c>
      <c r="C3794" s="8">
        <f>DATE(2012,12,31)-565</f>
        <v>40709</v>
      </c>
      <c r="D3794" s="8" t="str">
        <f t="shared" si="72"/>
        <v>2011-06 (июнь 2011)</v>
      </c>
      <c r="E3794" s="9" t="s">
        <v>30</v>
      </c>
      <c r="F3794" s="7">
        <v>35</v>
      </c>
      <c r="G3794" s="7">
        <v>99.13</v>
      </c>
      <c r="H3794" s="7">
        <v>0.09</v>
      </c>
      <c r="I3794" s="9" t="s">
        <v>22</v>
      </c>
      <c r="J3794" s="10">
        <v>23.74</v>
      </c>
      <c r="K3794" s="11">
        <v>2.94</v>
      </c>
      <c r="L3794" s="11">
        <v>0.81</v>
      </c>
      <c r="M3794" s="9" t="s">
        <v>1676</v>
      </c>
      <c r="N3794" s="6" t="s">
        <v>1595</v>
      </c>
      <c r="O3794" s="6" t="s">
        <v>1595</v>
      </c>
      <c r="P3794" s="9" t="s">
        <v>41</v>
      </c>
      <c r="Q3794" s="9" t="s">
        <v>26</v>
      </c>
      <c r="R3794" s="9" t="s">
        <v>95</v>
      </c>
      <c r="S3794" s="7" t="s">
        <v>1130</v>
      </c>
      <c r="T3794" s="9" t="s">
        <v>68</v>
      </c>
      <c r="U3794" s="7">
        <v>0.4</v>
      </c>
      <c r="V3794" s="12">
        <f>C3794+2</f>
        <v>40711</v>
      </c>
      <c r="W3794">
        <f>IF(D3794=' Pivot Tables'!$A$4,1,0)</f>
        <v>0</v>
      </c>
      <c r="X3794">
        <f>IF(AND(LEFT(D3794,4)+1=LEFT(' Pivot Tables'!$A$4,4)+0,RIGHT(LEFT(D3794,7),2)=RIGHT(LEFT(' Pivot Tables'!$A$4,7),2)),1,0)</f>
        <v>0</v>
      </c>
      <c r="Y3794" s="6">
        <f>1/COUNTIF(Таблица1[Order ID],Таблица1[[#This Row],[Order ID]])</f>
        <v>1</v>
      </c>
      <c r="Z3794" s="9">
        <f>1/COUNTIFS(Таблица1[Customer Name],Таблица1[[#This Row],[Customer Name]],Таблица1[Order-Year-Month],Таблица1[[#This Row],[Order-Year-Month]])</f>
        <v>1</v>
      </c>
    </row>
    <row r="3795" spans="1:26" x14ac:dyDescent="0.2">
      <c r="A3795" s="6">
        <v>6976</v>
      </c>
      <c r="B3795" s="7">
        <v>49831</v>
      </c>
      <c r="C3795" s="8">
        <f>DATE(2012,12,31)-861</f>
        <v>40413</v>
      </c>
      <c r="D3795" s="8" t="str">
        <f t="shared" si="72"/>
        <v>2010-08 (август 2010)</v>
      </c>
      <c r="E3795" s="9" t="s">
        <v>78</v>
      </c>
      <c r="F3795" s="7">
        <v>18</v>
      </c>
      <c r="G3795" s="7">
        <v>274.32</v>
      </c>
      <c r="H3795" s="7">
        <v>0.01</v>
      </c>
      <c r="I3795" s="9" t="s">
        <v>22</v>
      </c>
      <c r="J3795" s="10">
        <v>-58.24</v>
      </c>
      <c r="K3795" s="11">
        <v>15.14</v>
      </c>
      <c r="L3795" s="11">
        <v>4.53</v>
      </c>
      <c r="M3795" s="9" t="s">
        <v>1681</v>
      </c>
      <c r="N3795" s="6" t="s">
        <v>1595</v>
      </c>
      <c r="O3795" s="6" t="s">
        <v>1595</v>
      </c>
      <c r="P3795" s="9" t="s">
        <v>25</v>
      </c>
      <c r="Q3795" s="9" t="s">
        <v>26</v>
      </c>
      <c r="R3795" s="9" t="s">
        <v>27</v>
      </c>
      <c r="S3795" s="7" t="s">
        <v>721</v>
      </c>
      <c r="T3795" s="9" t="s">
        <v>39</v>
      </c>
      <c r="U3795" s="7">
        <v>0.81</v>
      </c>
      <c r="V3795" s="12">
        <f>C3795+2</f>
        <v>40415</v>
      </c>
      <c r="W3795">
        <f>IF(D3795=' Pivot Tables'!$A$4,1,0)</f>
        <v>0</v>
      </c>
      <c r="X3795">
        <f>IF(AND(LEFT(D3795,4)+1=LEFT(' Pivot Tables'!$A$4,4)+0,RIGHT(LEFT(D3795,7),2)=RIGHT(LEFT(' Pivot Tables'!$A$4,7),2)),1,0)</f>
        <v>0</v>
      </c>
      <c r="Y3795" s="6">
        <f>1/COUNTIF(Таблица1[Order ID],Таблица1[[#This Row],[Order ID]])</f>
        <v>1</v>
      </c>
      <c r="Z3795" s="9">
        <f>1/COUNTIFS(Таблица1[Customer Name],Таблица1[[#This Row],[Customer Name]],Таблица1[Order-Year-Month],Таблица1[[#This Row],[Order-Year-Month]])</f>
        <v>1</v>
      </c>
    </row>
    <row r="3796" spans="1:26" x14ac:dyDescent="0.2">
      <c r="A3796" s="6">
        <v>6982</v>
      </c>
      <c r="B3796" s="7">
        <v>49892</v>
      </c>
      <c r="C3796" s="8">
        <f>DATE(2012,12,31)-690</f>
        <v>40584</v>
      </c>
      <c r="D3796" s="8" t="str">
        <f t="shared" si="72"/>
        <v>2011-02 (февраль 2011)</v>
      </c>
      <c r="E3796" s="9" t="s">
        <v>21</v>
      </c>
      <c r="F3796" s="7">
        <v>26</v>
      </c>
      <c r="G3796" s="7">
        <v>171.14</v>
      </c>
      <c r="H3796" s="7">
        <v>0.02</v>
      </c>
      <c r="I3796" s="9" t="s">
        <v>22</v>
      </c>
      <c r="J3796" s="10">
        <v>-1172.75</v>
      </c>
      <c r="K3796" s="11">
        <v>4.4800000000000004</v>
      </c>
      <c r="L3796" s="11">
        <v>49</v>
      </c>
      <c r="M3796" s="9" t="s">
        <v>969</v>
      </c>
      <c r="N3796" s="6" t="s">
        <v>1595</v>
      </c>
      <c r="O3796" s="6" t="s">
        <v>1595</v>
      </c>
      <c r="P3796" s="9" t="s">
        <v>41</v>
      </c>
      <c r="Q3796" s="9" t="s">
        <v>26</v>
      </c>
      <c r="R3796" s="9" t="s">
        <v>34</v>
      </c>
      <c r="S3796" s="7" t="s">
        <v>128</v>
      </c>
      <c r="T3796" s="9" t="s">
        <v>29</v>
      </c>
      <c r="U3796" s="7">
        <v>0.6</v>
      </c>
      <c r="V3796" s="12">
        <f>C3796+0</f>
        <v>40584</v>
      </c>
      <c r="W3796">
        <f>IF(D3796=' Pivot Tables'!$A$4,1,0)</f>
        <v>0</v>
      </c>
      <c r="X3796">
        <f>IF(AND(LEFT(D3796,4)+1=LEFT(' Pivot Tables'!$A$4,4)+0,RIGHT(LEFT(D3796,7),2)=RIGHT(LEFT(' Pivot Tables'!$A$4,7),2)),1,0)</f>
        <v>0</v>
      </c>
      <c r="Y3796" s="6">
        <f>1/COUNTIF(Таблица1[Order ID],Таблица1[[#This Row],[Order ID]])</f>
        <v>1</v>
      </c>
      <c r="Z3796" s="9">
        <f>1/COUNTIFS(Таблица1[Customer Name],Таблица1[[#This Row],[Customer Name]],Таблица1[Order-Year-Month],Таблица1[[#This Row],[Order-Year-Month]])</f>
        <v>1</v>
      </c>
    </row>
    <row r="3797" spans="1:26" x14ac:dyDescent="0.2">
      <c r="A3797" s="6">
        <v>7001</v>
      </c>
      <c r="B3797" s="7">
        <v>49988</v>
      </c>
      <c r="C3797" s="8">
        <f>DATE(2012,12,31)-742</f>
        <v>40532</v>
      </c>
      <c r="D3797" s="8" t="str">
        <f t="shared" si="72"/>
        <v>2010-12 (декабрь 2010)</v>
      </c>
      <c r="E3797" s="9" t="s">
        <v>30</v>
      </c>
      <c r="F3797" s="7">
        <v>43</v>
      </c>
      <c r="G3797" s="7">
        <v>7731.09</v>
      </c>
      <c r="H3797" s="7">
        <v>0</v>
      </c>
      <c r="I3797" s="9" t="s">
        <v>22</v>
      </c>
      <c r="J3797" s="10">
        <v>-222.17</v>
      </c>
      <c r="K3797" s="11">
        <v>167.27</v>
      </c>
      <c r="L3797" s="11">
        <v>35</v>
      </c>
      <c r="M3797" s="9" t="s">
        <v>1611</v>
      </c>
      <c r="N3797" s="6" t="s">
        <v>1595</v>
      </c>
      <c r="O3797" s="6" t="s">
        <v>1595</v>
      </c>
      <c r="P3797" s="9" t="s">
        <v>60</v>
      </c>
      <c r="Q3797" s="9" t="s">
        <v>26</v>
      </c>
      <c r="R3797" s="9" t="s">
        <v>27</v>
      </c>
      <c r="S3797" s="7" t="s">
        <v>978</v>
      </c>
      <c r="T3797" s="9" t="s">
        <v>29</v>
      </c>
      <c r="U3797" s="7">
        <v>0.85</v>
      </c>
      <c r="V3797" s="12">
        <f>C3797+3</f>
        <v>40535</v>
      </c>
      <c r="W3797">
        <f>IF(D3797=' Pivot Tables'!$A$4,1,0)</f>
        <v>0</v>
      </c>
      <c r="X3797">
        <f>IF(AND(LEFT(D3797,4)+1=LEFT(' Pivot Tables'!$A$4,4)+0,RIGHT(LEFT(D3797,7),2)=RIGHT(LEFT(' Pivot Tables'!$A$4,7),2)),1,0)</f>
        <v>0</v>
      </c>
      <c r="Y3797" s="6">
        <f>1/COUNTIF(Таблица1[Order ID],Таблица1[[#This Row],[Order ID]])</f>
        <v>0.33333333333333331</v>
      </c>
      <c r="Z3797" s="9">
        <f>1/COUNTIFS(Таблица1[Customer Name],Таблица1[[#This Row],[Customer Name]],Таблица1[Order-Year-Month],Таблица1[[#This Row],[Order-Year-Month]])</f>
        <v>0.16666666666666666</v>
      </c>
    </row>
    <row r="3798" spans="1:26" x14ac:dyDescent="0.2">
      <c r="A3798" s="6">
        <v>7002</v>
      </c>
      <c r="B3798" s="7">
        <v>49988</v>
      </c>
      <c r="C3798" s="8">
        <f>DATE(2012,12,31)-742</f>
        <v>40532</v>
      </c>
      <c r="D3798" s="8" t="str">
        <f t="shared" si="72"/>
        <v>2010-12 (декабрь 2010)</v>
      </c>
      <c r="E3798" s="9" t="s">
        <v>30</v>
      </c>
      <c r="F3798" s="7">
        <v>33</v>
      </c>
      <c r="G3798" s="7">
        <v>10162.576000000001</v>
      </c>
      <c r="H3798" s="7">
        <v>0.08</v>
      </c>
      <c r="I3798" s="9" t="s">
        <v>31</v>
      </c>
      <c r="J3798" s="10">
        <v>-969.0483660000001</v>
      </c>
      <c r="K3798" s="11">
        <v>400.98</v>
      </c>
      <c r="L3798" s="11">
        <v>42.52</v>
      </c>
      <c r="M3798" s="9" t="s">
        <v>1611</v>
      </c>
      <c r="N3798" s="6" t="s">
        <v>1595</v>
      </c>
      <c r="O3798" s="6" t="s">
        <v>1595</v>
      </c>
      <c r="P3798" s="9" t="s">
        <v>60</v>
      </c>
      <c r="Q3798" s="9" t="s">
        <v>49</v>
      </c>
      <c r="R3798" s="9" t="s">
        <v>83</v>
      </c>
      <c r="S3798" s="7" t="s">
        <v>1136</v>
      </c>
      <c r="T3798" s="9" t="s">
        <v>82</v>
      </c>
      <c r="U3798" s="7">
        <v>0.71</v>
      </c>
      <c r="V3798" s="12">
        <f>C3798+2</f>
        <v>40534</v>
      </c>
      <c r="W3798">
        <f>IF(D3798=' Pivot Tables'!$A$4,1,0)</f>
        <v>0</v>
      </c>
      <c r="X3798">
        <f>IF(AND(LEFT(D3798,4)+1=LEFT(' Pivot Tables'!$A$4,4)+0,RIGHT(LEFT(D3798,7),2)=RIGHT(LEFT(' Pivot Tables'!$A$4,7),2)),1,0)</f>
        <v>0</v>
      </c>
      <c r="Y3798" s="6">
        <f>1/COUNTIF(Таблица1[Order ID],Таблица1[[#This Row],[Order ID]])</f>
        <v>0.33333333333333331</v>
      </c>
      <c r="Z3798" s="9">
        <f>1/COUNTIFS(Таблица1[Customer Name],Таблица1[[#This Row],[Customer Name]],Таблица1[Order-Year-Month],Таблица1[[#This Row],[Order-Year-Month]])</f>
        <v>0.16666666666666666</v>
      </c>
    </row>
    <row r="3799" spans="1:26" x14ac:dyDescent="0.2">
      <c r="A3799" s="6">
        <v>7003</v>
      </c>
      <c r="B3799" s="7">
        <v>49988</v>
      </c>
      <c r="C3799" s="8">
        <f>DATE(2012,12,31)-742</f>
        <v>40532</v>
      </c>
      <c r="D3799" s="8" t="str">
        <f t="shared" si="72"/>
        <v>2010-12 (декабрь 2010)</v>
      </c>
      <c r="E3799" s="9" t="s">
        <v>30</v>
      </c>
      <c r="F3799" s="7">
        <v>33</v>
      </c>
      <c r="G3799" s="7">
        <v>5834.6464999999998</v>
      </c>
      <c r="H3799" s="7">
        <v>0.01</v>
      </c>
      <c r="I3799" s="9" t="s">
        <v>22</v>
      </c>
      <c r="J3799" s="10">
        <v>1619.6579999999999</v>
      </c>
      <c r="K3799" s="11">
        <v>205.99</v>
      </c>
      <c r="L3799" s="11">
        <v>2.79</v>
      </c>
      <c r="M3799" s="9" t="s">
        <v>1611</v>
      </c>
      <c r="N3799" s="6" t="s">
        <v>1595</v>
      </c>
      <c r="O3799" s="6" t="s">
        <v>1595</v>
      </c>
      <c r="P3799" s="9" t="s">
        <v>60</v>
      </c>
      <c r="Q3799" s="9" t="s">
        <v>42</v>
      </c>
      <c r="R3799" s="9" t="s">
        <v>43</v>
      </c>
      <c r="S3799" s="7" t="s">
        <v>1656</v>
      </c>
      <c r="T3799" s="9" t="s">
        <v>39</v>
      </c>
      <c r="U3799" s="7">
        <v>0.57999999999999996</v>
      </c>
      <c r="V3799" s="12">
        <f>C3799+3</f>
        <v>40535</v>
      </c>
      <c r="W3799">
        <f>IF(D3799=' Pivot Tables'!$A$4,1,0)</f>
        <v>0</v>
      </c>
      <c r="X3799">
        <f>IF(AND(LEFT(D3799,4)+1=LEFT(' Pivot Tables'!$A$4,4)+0,RIGHT(LEFT(D3799,7),2)=RIGHT(LEFT(' Pivot Tables'!$A$4,7),2)),1,0)</f>
        <v>0</v>
      </c>
      <c r="Y3799" s="6">
        <f>1/COUNTIF(Таблица1[Order ID],Таблица1[[#This Row],[Order ID]])</f>
        <v>0.33333333333333331</v>
      </c>
      <c r="Z3799" s="9">
        <f>1/COUNTIFS(Таблица1[Customer Name],Таблица1[[#This Row],[Customer Name]],Таблица1[Order-Year-Month],Таблица1[[#This Row],[Order-Year-Month]])</f>
        <v>0.16666666666666666</v>
      </c>
    </row>
    <row r="3800" spans="1:26" x14ac:dyDescent="0.2">
      <c r="A3800" s="6">
        <v>7049</v>
      </c>
      <c r="B3800" s="7">
        <v>50308</v>
      </c>
      <c r="C3800" s="8">
        <f>DATE(2012,12,31)-74</f>
        <v>41200</v>
      </c>
      <c r="D3800" s="8" t="str">
        <f t="shared" si="72"/>
        <v>2012-10 (октябрь 2012)</v>
      </c>
      <c r="E3800" s="9" t="s">
        <v>21</v>
      </c>
      <c r="F3800" s="7">
        <v>19</v>
      </c>
      <c r="G3800" s="7">
        <v>86.48</v>
      </c>
      <c r="H3800" s="7">
        <v>0.1</v>
      </c>
      <c r="I3800" s="9" t="s">
        <v>22</v>
      </c>
      <c r="J3800" s="10">
        <v>33.58</v>
      </c>
      <c r="K3800" s="11">
        <v>4.91</v>
      </c>
      <c r="L3800" s="11">
        <v>0.5</v>
      </c>
      <c r="M3800" s="9" t="s">
        <v>1568</v>
      </c>
      <c r="N3800" s="6" t="s">
        <v>1595</v>
      </c>
      <c r="O3800" s="6" t="s">
        <v>1595</v>
      </c>
      <c r="P3800" s="9" t="s">
        <v>60</v>
      </c>
      <c r="Q3800" s="9" t="s">
        <v>26</v>
      </c>
      <c r="R3800" s="9" t="s">
        <v>88</v>
      </c>
      <c r="S3800" s="7" t="s">
        <v>1370</v>
      </c>
      <c r="T3800" s="9" t="s">
        <v>39</v>
      </c>
      <c r="U3800" s="7">
        <v>0.36</v>
      </c>
      <c r="V3800" s="12">
        <f>C3800+7</f>
        <v>41207</v>
      </c>
      <c r="W3800">
        <f>IF(D3800=' Pivot Tables'!$A$4,1,0)</f>
        <v>0</v>
      </c>
      <c r="X3800">
        <f>IF(AND(LEFT(D3800,4)+1=LEFT(' Pivot Tables'!$A$4,4)+0,RIGHT(LEFT(D3800,7),2)=RIGHT(LEFT(' Pivot Tables'!$A$4,7),2)),1,0)</f>
        <v>0</v>
      </c>
      <c r="Y3800" s="6">
        <f>1/COUNTIF(Таблица1[Order ID],Таблица1[[#This Row],[Order ID]])</f>
        <v>1</v>
      </c>
      <c r="Z3800" s="9">
        <f>1/COUNTIFS(Таблица1[Customer Name],Таблица1[[#This Row],[Customer Name]],Таблица1[Order-Year-Month],Таблица1[[#This Row],[Order-Year-Month]])</f>
        <v>0.5</v>
      </c>
    </row>
    <row r="3801" spans="1:26" x14ac:dyDescent="0.2">
      <c r="A3801" s="6">
        <v>7104</v>
      </c>
      <c r="B3801" s="7">
        <v>50692</v>
      </c>
      <c r="C3801" s="8">
        <f>DATE(2012,12,31)-836</f>
        <v>40438</v>
      </c>
      <c r="D3801" s="8" t="str">
        <f t="shared" si="72"/>
        <v>2010-09 (сентябрь 2010)</v>
      </c>
      <c r="E3801" s="9" t="s">
        <v>30</v>
      </c>
      <c r="F3801" s="7">
        <v>28</v>
      </c>
      <c r="G3801" s="7">
        <v>327.95</v>
      </c>
      <c r="H3801" s="7">
        <v>0</v>
      </c>
      <c r="I3801" s="9" t="s">
        <v>22</v>
      </c>
      <c r="J3801" s="10">
        <v>43.6815</v>
      </c>
      <c r="K3801" s="11">
        <v>10.98</v>
      </c>
      <c r="L3801" s="11">
        <v>5.14</v>
      </c>
      <c r="M3801" s="9" t="s">
        <v>1193</v>
      </c>
      <c r="N3801" s="6" t="s">
        <v>1595</v>
      </c>
      <c r="O3801" s="6" t="s">
        <v>1595</v>
      </c>
      <c r="P3801" s="9" t="s">
        <v>41</v>
      </c>
      <c r="Q3801" s="9" t="s">
        <v>26</v>
      </c>
      <c r="R3801" s="9" t="s">
        <v>37</v>
      </c>
      <c r="S3801" s="7" t="s">
        <v>656</v>
      </c>
      <c r="T3801" s="9" t="s">
        <v>39</v>
      </c>
      <c r="U3801" s="7">
        <v>0.36</v>
      </c>
      <c r="V3801" s="12">
        <f>C3801+2</f>
        <v>40440</v>
      </c>
      <c r="W3801">
        <f>IF(D3801=' Pivot Tables'!$A$4,1,0)</f>
        <v>0</v>
      </c>
      <c r="X3801">
        <f>IF(AND(LEFT(D3801,4)+1=LEFT(' Pivot Tables'!$A$4,4)+0,RIGHT(LEFT(D3801,7),2)=RIGHT(LEFT(' Pivot Tables'!$A$4,7),2)),1,0)</f>
        <v>0</v>
      </c>
      <c r="Y3801" s="6">
        <f>1/COUNTIF(Таблица1[Order ID],Таблица1[[#This Row],[Order ID]])</f>
        <v>0.5</v>
      </c>
      <c r="Z3801" s="9">
        <f>1/COUNTIFS(Таблица1[Customer Name],Таблица1[[#This Row],[Customer Name]],Таблица1[Order-Year-Month],Таблица1[[#This Row],[Order-Year-Month]])</f>
        <v>0.5</v>
      </c>
    </row>
    <row r="3802" spans="1:26" x14ac:dyDescent="0.2">
      <c r="A3802" s="6">
        <v>7105</v>
      </c>
      <c r="B3802" s="7">
        <v>50692</v>
      </c>
      <c r="C3802" s="8">
        <f>DATE(2012,12,31)-836</f>
        <v>40438</v>
      </c>
      <c r="D3802" s="8" t="str">
        <f t="shared" si="72"/>
        <v>2010-09 (сентябрь 2010)</v>
      </c>
      <c r="E3802" s="9" t="s">
        <v>30</v>
      </c>
      <c r="F3802" s="7">
        <v>47</v>
      </c>
      <c r="G3802" s="7">
        <v>5606.91</v>
      </c>
      <c r="H3802" s="7">
        <v>0.06</v>
      </c>
      <c r="I3802" s="9" t="s">
        <v>31</v>
      </c>
      <c r="J3802" s="10">
        <v>-300.854983</v>
      </c>
      <c r="K3802" s="11">
        <v>124.49</v>
      </c>
      <c r="L3802" s="11">
        <v>51.94</v>
      </c>
      <c r="M3802" s="9" t="s">
        <v>1193</v>
      </c>
      <c r="N3802" s="6" t="s">
        <v>1595</v>
      </c>
      <c r="O3802" s="6" t="s">
        <v>1595</v>
      </c>
      <c r="P3802" s="9" t="s">
        <v>41</v>
      </c>
      <c r="Q3802" s="9" t="s">
        <v>49</v>
      </c>
      <c r="R3802" s="9" t="s">
        <v>83</v>
      </c>
      <c r="S3802" s="7" t="s">
        <v>432</v>
      </c>
      <c r="T3802" s="9" t="s">
        <v>82</v>
      </c>
      <c r="U3802" s="7">
        <v>0.63</v>
      </c>
      <c r="V3802" s="12">
        <f>C3802+2</f>
        <v>40440</v>
      </c>
      <c r="W3802">
        <f>IF(D3802=' Pivot Tables'!$A$4,1,0)</f>
        <v>0</v>
      </c>
      <c r="X3802">
        <f>IF(AND(LEFT(D3802,4)+1=LEFT(' Pivot Tables'!$A$4,4)+0,RIGHT(LEFT(D3802,7),2)=RIGHT(LEFT(' Pivot Tables'!$A$4,7),2)),1,0)</f>
        <v>0</v>
      </c>
      <c r="Y3802" s="6">
        <f>1/COUNTIF(Таблица1[Order ID],Таблица1[[#This Row],[Order ID]])</f>
        <v>0.5</v>
      </c>
      <c r="Z3802" s="9">
        <f>1/COUNTIFS(Таблица1[Customer Name],Таблица1[[#This Row],[Customer Name]],Таблица1[Order-Year-Month],Таблица1[[#This Row],[Order-Year-Month]])</f>
        <v>0.5</v>
      </c>
    </row>
    <row r="3803" spans="1:26" x14ac:dyDescent="0.2">
      <c r="A3803" s="6">
        <v>7107</v>
      </c>
      <c r="B3803" s="7">
        <v>50725</v>
      </c>
      <c r="C3803" s="8">
        <f>DATE(2012,12,31)-769</f>
        <v>40505</v>
      </c>
      <c r="D3803" s="8" t="str">
        <f t="shared" si="72"/>
        <v>2010-11 (ноябрь 2010)</v>
      </c>
      <c r="E3803" s="9" t="s">
        <v>63</v>
      </c>
      <c r="F3803" s="7">
        <v>1</v>
      </c>
      <c r="G3803" s="7">
        <v>129.88</v>
      </c>
      <c r="H3803" s="7">
        <v>0.1</v>
      </c>
      <c r="I3803" s="9" t="s">
        <v>31</v>
      </c>
      <c r="J3803" s="10">
        <v>-89.9</v>
      </c>
      <c r="K3803" s="11">
        <v>110.98</v>
      </c>
      <c r="L3803" s="11">
        <v>30</v>
      </c>
      <c r="M3803" s="9" t="s">
        <v>1500</v>
      </c>
      <c r="N3803" s="6" t="s">
        <v>1595</v>
      </c>
      <c r="O3803" s="6" t="s">
        <v>1595</v>
      </c>
      <c r="P3803" s="9" t="s">
        <v>33</v>
      </c>
      <c r="Q3803" s="9" t="s">
        <v>49</v>
      </c>
      <c r="R3803" s="9" t="s">
        <v>112</v>
      </c>
      <c r="S3803" s="7" t="s">
        <v>651</v>
      </c>
      <c r="T3803" s="9" t="s">
        <v>36</v>
      </c>
      <c r="U3803" s="7">
        <v>0.71</v>
      </c>
      <c r="V3803" s="12">
        <f>C3803+1</f>
        <v>40506</v>
      </c>
      <c r="W3803">
        <f>IF(D3803=' Pivot Tables'!$A$4,1,0)</f>
        <v>0</v>
      </c>
      <c r="X3803">
        <f>IF(AND(LEFT(D3803,4)+1=LEFT(' Pivot Tables'!$A$4,4)+0,RIGHT(LEFT(D3803,7),2)=RIGHT(LEFT(' Pivot Tables'!$A$4,7),2)),1,0)</f>
        <v>0</v>
      </c>
      <c r="Y3803" s="6">
        <f>1/COUNTIF(Таблица1[Order ID],Таблица1[[#This Row],[Order ID]])</f>
        <v>0.5</v>
      </c>
      <c r="Z3803" s="9">
        <f>1/COUNTIFS(Таблица1[Customer Name],Таблица1[[#This Row],[Customer Name]],Таблица1[Order-Year-Month],Таблица1[[#This Row],[Order-Year-Month]])</f>
        <v>0.5</v>
      </c>
    </row>
    <row r="3804" spans="1:26" x14ac:dyDescent="0.2">
      <c r="A3804" s="6">
        <v>7146</v>
      </c>
      <c r="B3804" s="7">
        <v>50982</v>
      </c>
      <c r="C3804" s="8">
        <f>DATE(2012,12,31)-259</f>
        <v>41015</v>
      </c>
      <c r="D3804" s="8" t="str">
        <f t="shared" si="72"/>
        <v>2012-04 (апрель 2012)</v>
      </c>
      <c r="E3804" s="9" t="s">
        <v>30</v>
      </c>
      <c r="F3804" s="7">
        <v>23</v>
      </c>
      <c r="G3804" s="7">
        <v>86.53</v>
      </c>
      <c r="H3804" s="7">
        <v>0.05</v>
      </c>
      <c r="I3804" s="9" t="s">
        <v>22</v>
      </c>
      <c r="J3804" s="10">
        <v>35.619999999999997</v>
      </c>
      <c r="K3804" s="11">
        <v>3.75</v>
      </c>
      <c r="L3804" s="11">
        <v>0.5</v>
      </c>
      <c r="M3804" s="9" t="s">
        <v>1691</v>
      </c>
      <c r="N3804" s="6" t="s">
        <v>1595</v>
      </c>
      <c r="O3804" s="6" t="s">
        <v>1595</v>
      </c>
      <c r="P3804" s="9" t="s">
        <v>33</v>
      </c>
      <c r="Q3804" s="9" t="s">
        <v>26</v>
      </c>
      <c r="R3804" s="9" t="s">
        <v>88</v>
      </c>
      <c r="S3804" s="7" t="s">
        <v>130</v>
      </c>
      <c r="T3804" s="9" t="s">
        <v>39</v>
      </c>
      <c r="U3804" s="7">
        <v>0.37</v>
      </c>
      <c r="V3804" s="12">
        <f>C3804+1</f>
        <v>41016</v>
      </c>
      <c r="W3804">
        <f>IF(D3804=' Pivot Tables'!$A$4,1,0)</f>
        <v>0</v>
      </c>
      <c r="X3804">
        <f>IF(AND(LEFT(D3804,4)+1=LEFT(' Pivot Tables'!$A$4,4)+0,RIGHT(LEFT(D3804,7),2)=RIGHT(LEFT(' Pivot Tables'!$A$4,7),2)),1,0)</f>
        <v>0</v>
      </c>
      <c r="Y3804" s="6">
        <f>1/COUNTIF(Таблица1[Order ID],Таблица1[[#This Row],[Order ID]])</f>
        <v>1</v>
      </c>
      <c r="Z3804" s="9">
        <f>1/COUNTIFS(Таблица1[Customer Name],Таблица1[[#This Row],[Customer Name]],Таблица1[Order-Year-Month],Таблица1[[#This Row],[Order-Year-Month]])</f>
        <v>1</v>
      </c>
    </row>
    <row r="3805" spans="1:26" x14ac:dyDescent="0.2">
      <c r="A3805" s="6">
        <v>7149</v>
      </c>
      <c r="B3805" s="7">
        <v>51008</v>
      </c>
      <c r="C3805" s="8">
        <f>DATE(2012,12,31)-499</f>
        <v>40775</v>
      </c>
      <c r="D3805" s="8" t="str">
        <f t="shared" si="72"/>
        <v>2011-08 (август 2011)</v>
      </c>
      <c r="E3805" s="9" t="s">
        <v>30</v>
      </c>
      <c r="F3805" s="7">
        <v>20</v>
      </c>
      <c r="G3805" s="7">
        <v>269.66000000000003</v>
      </c>
      <c r="H3805" s="7">
        <v>0.02</v>
      </c>
      <c r="I3805" s="9" t="s">
        <v>22</v>
      </c>
      <c r="J3805" s="10">
        <v>-59.13</v>
      </c>
      <c r="K3805" s="11">
        <v>12.88</v>
      </c>
      <c r="L3805" s="11">
        <v>4.59</v>
      </c>
      <c r="M3805" s="9" t="s">
        <v>1707</v>
      </c>
      <c r="N3805" s="6" t="s">
        <v>1595</v>
      </c>
      <c r="O3805" s="6" t="s">
        <v>1595</v>
      </c>
      <c r="P3805" s="9" t="s">
        <v>33</v>
      </c>
      <c r="Q3805" s="9" t="s">
        <v>26</v>
      </c>
      <c r="R3805" s="9" t="s">
        <v>150</v>
      </c>
      <c r="S3805" s="7" t="s">
        <v>557</v>
      </c>
      <c r="T3805" s="9" t="s">
        <v>68</v>
      </c>
      <c r="U3805" s="7">
        <v>0.82</v>
      </c>
      <c r="V3805" s="12">
        <f>C3805+2</f>
        <v>40777</v>
      </c>
      <c r="W3805">
        <f>IF(D3805=' Pivot Tables'!$A$4,1,0)</f>
        <v>0</v>
      </c>
      <c r="X3805">
        <f>IF(AND(LEFT(D3805,4)+1=LEFT(' Pivot Tables'!$A$4,4)+0,RIGHT(LEFT(D3805,7),2)=RIGHT(LEFT(' Pivot Tables'!$A$4,7),2)),1,0)</f>
        <v>0</v>
      </c>
      <c r="Y3805" s="6">
        <f>1/COUNTIF(Таблица1[Order ID],Таблица1[[#This Row],[Order ID]])</f>
        <v>1</v>
      </c>
      <c r="Z3805" s="9">
        <f>1/COUNTIFS(Таблица1[Customer Name],Таблица1[[#This Row],[Customer Name]],Таблица1[Order-Year-Month],Таблица1[[#This Row],[Order-Year-Month]])</f>
        <v>1</v>
      </c>
    </row>
    <row r="3806" spans="1:26" x14ac:dyDescent="0.2">
      <c r="A3806" s="6">
        <v>7211</v>
      </c>
      <c r="B3806" s="7">
        <v>51463</v>
      </c>
      <c r="C3806" s="8">
        <f>DATE(2012,12,31)-380</f>
        <v>40894</v>
      </c>
      <c r="D3806" s="8" t="str">
        <f t="shared" si="72"/>
        <v>2011-12 (декабрь 2011)</v>
      </c>
      <c r="E3806" s="9" t="s">
        <v>21</v>
      </c>
      <c r="F3806" s="7">
        <v>4</v>
      </c>
      <c r="G3806" s="7">
        <v>28.34</v>
      </c>
      <c r="H3806" s="7">
        <v>0.01</v>
      </c>
      <c r="I3806" s="9" t="s">
        <v>22</v>
      </c>
      <c r="J3806" s="10">
        <v>-18.55</v>
      </c>
      <c r="K3806" s="11">
        <v>4.9800000000000004</v>
      </c>
      <c r="L3806" s="11">
        <v>7.44</v>
      </c>
      <c r="M3806" s="9" t="s">
        <v>1568</v>
      </c>
      <c r="N3806" s="6" t="s">
        <v>1595</v>
      </c>
      <c r="O3806" s="6" t="s">
        <v>1595</v>
      </c>
      <c r="P3806" s="9" t="s">
        <v>41</v>
      </c>
      <c r="Q3806" s="9" t="s">
        <v>26</v>
      </c>
      <c r="R3806" s="9" t="s">
        <v>61</v>
      </c>
      <c r="S3806" s="7" t="s">
        <v>1159</v>
      </c>
      <c r="T3806" s="9" t="s">
        <v>39</v>
      </c>
      <c r="U3806" s="7">
        <v>0.36</v>
      </c>
      <c r="V3806" s="12">
        <f>C3806+9</f>
        <v>40903</v>
      </c>
      <c r="W3806">
        <f>IF(D3806=' Pivot Tables'!$A$4,1,0)</f>
        <v>0</v>
      </c>
      <c r="X3806">
        <f>IF(AND(LEFT(D3806,4)+1=LEFT(' Pivot Tables'!$A$4,4)+0,RIGHT(LEFT(D3806,7),2)=RIGHT(LEFT(' Pivot Tables'!$A$4,7),2)),1,0)</f>
        <v>0</v>
      </c>
      <c r="Y3806" s="6">
        <f>1/COUNTIF(Таблица1[Order ID],Таблица1[[#This Row],[Order ID]])</f>
        <v>0.5</v>
      </c>
      <c r="Z3806" s="9">
        <f>1/COUNTIFS(Таблица1[Customer Name],Таблица1[[#This Row],[Customer Name]],Таблица1[Order-Year-Month],Таблица1[[#This Row],[Order-Year-Month]])</f>
        <v>0.25</v>
      </c>
    </row>
    <row r="3807" spans="1:26" x14ac:dyDescent="0.2">
      <c r="A3807" s="6">
        <v>7212</v>
      </c>
      <c r="B3807" s="7">
        <v>51463</v>
      </c>
      <c r="C3807" s="8">
        <f>DATE(2012,12,31)-380</f>
        <v>40894</v>
      </c>
      <c r="D3807" s="8" t="str">
        <f t="shared" si="72"/>
        <v>2011-12 (декабрь 2011)</v>
      </c>
      <c r="E3807" s="9" t="s">
        <v>21</v>
      </c>
      <c r="F3807" s="7">
        <v>7</v>
      </c>
      <c r="G3807" s="7">
        <v>405.33949999999999</v>
      </c>
      <c r="H3807" s="7">
        <v>0.01</v>
      </c>
      <c r="I3807" s="9" t="s">
        <v>56</v>
      </c>
      <c r="J3807" s="10">
        <v>-147.88399999999999</v>
      </c>
      <c r="K3807" s="11">
        <v>65.989999999999995</v>
      </c>
      <c r="L3807" s="11">
        <v>3.9</v>
      </c>
      <c r="M3807" s="9" t="s">
        <v>1568</v>
      </c>
      <c r="N3807" s="6" t="s">
        <v>1595</v>
      </c>
      <c r="O3807" s="6" t="s">
        <v>1595</v>
      </c>
      <c r="P3807" s="9" t="s">
        <v>41</v>
      </c>
      <c r="Q3807" s="9" t="s">
        <v>42</v>
      </c>
      <c r="R3807" s="9" t="s">
        <v>43</v>
      </c>
      <c r="S3807" s="7" t="s">
        <v>370</v>
      </c>
      <c r="T3807" s="9" t="s">
        <v>39</v>
      </c>
      <c r="U3807" s="7">
        <v>0.55000000000000004</v>
      </c>
      <c r="V3807" s="12">
        <f>C3807+0</f>
        <v>40894</v>
      </c>
      <c r="W3807">
        <f>IF(D3807=' Pivot Tables'!$A$4,1,0)</f>
        <v>0</v>
      </c>
      <c r="X3807">
        <f>IF(AND(LEFT(D3807,4)+1=LEFT(' Pivot Tables'!$A$4,4)+0,RIGHT(LEFT(D3807,7),2)=RIGHT(LEFT(' Pivot Tables'!$A$4,7),2)),1,0)</f>
        <v>0</v>
      </c>
      <c r="Y3807" s="6">
        <f>1/COUNTIF(Таблица1[Order ID],Таблица1[[#This Row],[Order ID]])</f>
        <v>0.5</v>
      </c>
      <c r="Z3807" s="9">
        <f>1/COUNTIFS(Таблица1[Customer Name],Таблица1[[#This Row],[Customer Name]],Таблица1[Order-Year-Month],Таблица1[[#This Row],[Order-Year-Month]])</f>
        <v>0.25</v>
      </c>
    </row>
    <row r="3808" spans="1:26" x14ac:dyDescent="0.2">
      <c r="A3808" s="6">
        <v>7279</v>
      </c>
      <c r="B3808" s="7">
        <v>51943</v>
      </c>
      <c r="C3808" s="8">
        <f>DATE(2012,12,31)-1347</f>
        <v>39927</v>
      </c>
      <c r="D3808" s="8" t="str">
        <f t="shared" si="72"/>
        <v>2009-04 (апрель 2009)</v>
      </c>
      <c r="E3808" s="9" t="s">
        <v>30</v>
      </c>
      <c r="F3808" s="7">
        <v>11</v>
      </c>
      <c r="G3808" s="7">
        <v>113.19</v>
      </c>
      <c r="H3808" s="7">
        <v>0.04</v>
      </c>
      <c r="I3808" s="9" t="s">
        <v>22</v>
      </c>
      <c r="J3808" s="10">
        <v>-53.25</v>
      </c>
      <c r="K3808" s="11">
        <v>9.06</v>
      </c>
      <c r="L3808" s="11">
        <v>9.86</v>
      </c>
      <c r="M3808" s="9" t="s">
        <v>1660</v>
      </c>
      <c r="N3808" s="6" t="s">
        <v>1595</v>
      </c>
      <c r="O3808" s="6" t="s">
        <v>1595</v>
      </c>
      <c r="P3808" s="9" t="s">
        <v>60</v>
      </c>
      <c r="Q3808" s="9" t="s">
        <v>26</v>
      </c>
      <c r="R3808" s="9" t="s">
        <v>61</v>
      </c>
      <c r="S3808" s="7" t="s">
        <v>930</v>
      </c>
      <c r="T3808" s="9" t="s">
        <v>39</v>
      </c>
      <c r="U3808" s="7">
        <v>0.4</v>
      </c>
      <c r="V3808" s="12">
        <f>C3808+1</f>
        <v>39928</v>
      </c>
      <c r="W3808">
        <f>IF(D3808=' Pivot Tables'!$A$4,1,0)</f>
        <v>0</v>
      </c>
      <c r="X3808">
        <f>IF(AND(LEFT(D3808,4)+1=LEFT(' Pivot Tables'!$A$4,4)+0,RIGHT(LEFT(D3808,7),2)=RIGHT(LEFT(' Pivot Tables'!$A$4,7),2)),1,0)</f>
        <v>0</v>
      </c>
      <c r="Y3808" s="6">
        <f>1/COUNTIF(Таблица1[Order ID],Таблица1[[#This Row],[Order ID]])</f>
        <v>0.33333333333333331</v>
      </c>
      <c r="Z3808" s="9">
        <f>1/COUNTIFS(Таблица1[Customer Name],Таблица1[[#This Row],[Customer Name]],Таблица1[Order-Year-Month],Таблица1[[#This Row],[Order-Year-Month]])</f>
        <v>0.33333333333333331</v>
      </c>
    </row>
    <row r="3809" spans="1:26" x14ac:dyDescent="0.2">
      <c r="A3809" s="6">
        <v>7280</v>
      </c>
      <c r="B3809" s="7">
        <v>51943</v>
      </c>
      <c r="C3809" s="8">
        <f>DATE(2012,12,31)-1347</f>
        <v>39927</v>
      </c>
      <c r="D3809" s="8" t="str">
        <f t="shared" si="72"/>
        <v>2009-04 (апрель 2009)</v>
      </c>
      <c r="E3809" s="9" t="s">
        <v>30</v>
      </c>
      <c r="F3809" s="7">
        <v>13</v>
      </c>
      <c r="G3809" s="7">
        <v>196.04</v>
      </c>
      <c r="H3809" s="7">
        <v>0.04</v>
      </c>
      <c r="I3809" s="9" t="s">
        <v>22</v>
      </c>
      <c r="J3809" s="10">
        <v>2.125</v>
      </c>
      <c r="K3809" s="11">
        <v>14.27</v>
      </c>
      <c r="L3809" s="11">
        <v>7.27</v>
      </c>
      <c r="M3809" s="9" t="s">
        <v>1660</v>
      </c>
      <c r="N3809" s="6" t="s">
        <v>1595</v>
      </c>
      <c r="O3809" s="6" t="s">
        <v>1595</v>
      </c>
      <c r="P3809" s="9" t="s">
        <v>60</v>
      </c>
      <c r="Q3809" s="9" t="s">
        <v>26</v>
      </c>
      <c r="R3809" s="9" t="s">
        <v>37</v>
      </c>
      <c r="S3809" s="7" t="s">
        <v>658</v>
      </c>
      <c r="T3809" s="9" t="s">
        <v>39</v>
      </c>
      <c r="U3809" s="7">
        <v>0.38</v>
      </c>
      <c r="V3809" s="12">
        <f>C3809+1</f>
        <v>39928</v>
      </c>
      <c r="W3809">
        <f>IF(D3809=' Pivot Tables'!$A$4,1,0)</f>
        <v>0</v>
      </c>
      <c r="X3809">
        <f>IF(AND(LEFT(D3809,4)+1=LEFT(' Pivot Tables'!$A$4,4)+0,RIGHT(LEFT(D3809,7),2)=RIGHT(LEFT(' Pivot Tables'!$A$4,7),2)),1,0)</f>
        <v>0</v>
      </c>
      <c r="Y3809" s="6">
        <f>1/COUNTIF(Таблица1[Order ID],Таблица1[[#This Row],[Order ID]])</f>
        <v>0.33333333333333331</v>
      </c>
      <c r="Z3809" s="9">
        <f>1/COUNTIFS(Таблица1[Customer Name],Таблица1[[#This Row],[Customer Name]],Таблица1[Order-Year-Month],Таблица1[[#This Row],[Order-Year-Month]])</f>
        <v>0.33333333333333331</v>
      </c>
    </row>
    <row r="3810" spans="1:26" x14ac:dyDescent="0.2">
      <c r="A3810" s="6">
        <v>7281</v>
      </c>
      <c r="B3810" s="7">
        <v>51943</v>
      </c>
      <c r="C3810" s="8">
        <f>DATE(2012,12,31)-1347</f>
        <v>39927</v>
      </c>
      <c r="D3810" s="8" t="str">
        <f t="shared" si="72"/>
        <v>2009-04 (апрель 2009)</v>
      </c>
      <c r="E3810" s="9" t="s">
        <v>30</v>
      </c>
      <c r="F3810" s="7">
        <v>28</v>
      </c>
      <c r="G3810" s="7">
        <v>140.02000000000001</v>
      </c>
      <c r="H3810" s="7">
        <v>0.03</v>
      </c>
      <c r="I3810" s="9" t="s">
        <v>22</v>
      </c>
      <c r="J3810" s="10">
        <v>66.709999999999994</v>
      </c>
      <c r="K3810" s="11">
        <v>4.91</v>
      </c>
      <c r="L3810" s="11">
        <v>0.5</v>
      </c>
      <c r="M3810" s="9" t="s">
        <v>1660</v>
      </c>
      <c r="N3810" s="6" t="s">
        <v>1595</v>
      </c>
      <c r="O3810" s="6" t="s">
        <v>1595</v>
      </c>
      <c r="P3810" s="9" t="s">
        <v>60</v>
      </c>
      <c r="Q3810" s="9" t="s">
        <v>26</v>
      </c>
      <c r="R3810" s="9" t="s">
        <v>88</v>
      </c>
      <c r="S3810" s="7" t="s">
        <v>1370</v>
      </c>
      <c r="T3810" s="9" t="s">
        <v>39</v>
      </c>
      <c r="U3810" s="7">
        <v>0.36</v>
      </c>
      <c r="V3810" s="12">
        <f>C3810+3</f>
        <v>39930</v>
      </c>
      <c r="W3810">
        <f>IF(D3810=' Pivot Tables'!$A$4,1,0)</f>
        <v>0</v>
      </c>
      <c r="X3810">
        <f>IF(AND(LEFT(D3810,4)+1=LEFT(' Pivot Tables'!$A$4,4)+0,RIGHT(LEFT(D3810,7),2)=RIGHT(LEFT(' Pivot Tables'!$A$4,7),2)),1,0)</f>
        <v>0</v>
      </c>
      <c r="Y3810" s="6">
        <f>1/COUNTIF(Таблица1[Order ID],Таблица1[[#This Row],[Order ID]])</f>
        <v>0.33333333333333331</v>
      </c>
      <c r="Z3810" s="9">
        <f>1/COUNTIFS(Таблица1[Customer Name],Таблица1[[#This Row],[Customer Name]],Таблица1[Order-Year-Month],Таблица1[[#This Row],[Order-Year-Month]])</f>
        <v>0.33333333333333331</v>
      </c>
    </row>
    <row r="3811" spans="1:26" x14ac:dyDescent="0.2">
      <c r="A3811" s="6">
        <v>7299</v>
      </c>
      <c r="B3811" s="7">
        <v>52039</v>
      </c>
      <c r="C3811" s="8">
        <f>DATE(2012,12,31)-151</f>
        <v>41123</v>
      </c>
      <c r="D3811" s="8" t="str">
        <f t="shared" si="72"/>
        <v>2012-08 (август 2012)</v>
      </c>
      <c r="E3811" s="9" t="s">
        <v>78</v>
      </c>
      <c r="F3811" s="7">
        <v>48</v>
      </c>
      <c r="G3811" s="7">
        <v>2006.38</v>
      </c>
      <c r="H3811" s="7">
        <v>0</v>
      </c>
      <c r="I3811" s="9" t="s">
        <v>22</v>
      </c>
      <c r="J3811" s="10">
        <v>840.46</v>
      </c>
      <c r="K3811" s="11">
        <v>40.98</v>
      </c>
      <c r="L3811" s="11">
        <v>1.99</v>
      </c>
      <c r="M3811" s="9" t="s">
        <v>1698</v>
      </c>
      <c r="N3811" s="6" t="s">
        <v>1595</v>
      </c>
      <c r="O3811" s="6" t="s">
        <v>1595</v>
      </c>
      <c r="P3811" s="9" t="s">
        <v>41</v>
      </c>
      <c r="Q3811" s="9" t="s">
        <v>42</v>
      </c>
      <c r="R3811" s="9" t="s">
        <v>70</v>
      </c>
      <c r="S3811" s="7" t="s">
        <v>720</v>
      </c>
      <c r="T3811" s="9" t="s">
        <v>52</v>
      </c>
      <c r="U3811" s="7">
        <v>0.44</v>
      </c>
      <c r="V3811" s="12">
        <f>C3811+2</f>
        <v>41125</v>
      </c>
      <c r="W3811">
        <f>IF(D3811=' Pivot Tables'!$A$4,1,0)</f>
        <v>0</v>
      </c>
      <c r="X3811">
        <f>IF(AND(LEFT(D3811,4)+1=LEFT(' Pivot Tables'!$A$4,4)+0,RIGHT(LEFT(D3811,7),2)=RIGHT(LEFT(' Pivot Tables'!$A$4,7),2)),1,0)</f>
        <v>0</v>
      </c>
      <c r="Y3811" s="6">
        <f>1/COUNTIF(Таблица1[Order ID],Таблица1[[#This Row],[Order ID]])</f>
        <v>1</v>
      </c>
      <c r="Z3811" s="9">
        <f>1/COUNTIFS(Таблица1[Customer Name],Таблица1[[#This Row],[Customer Name]],Таблица1[Order-Year-Month],Таблица1[[#This Row],[Order-Year-Month]])</f>
        <v>1</v>
      </c>
    </row>
    <row r="3812" spans="1:26" x14ac:dyDescent="0.2">
      <c r="A3812" s="6">
        <v>7336</v>
      </c>
      <c r="B3812" s="7">
        <v>52290</v>
      </c>
      <c r="C3812" s="8">
        <f>DATE(2012,12,31)-224</f>
        <v>41050</v>
      </c>
      <c r="D3812" s="8" t="str">
        <f t="shared" si="72"/>
        <v>2012-05 (май 2012)</v>
      </c>
      <c r="E3812" s="9" t="s">
        <v>21</v>
      </c>
      <c r="F3812" s="7">
        <v>7</v>
      </c>
      <c r="G3812" s="7">
        <v>1134.05</v>
      </c>
      <c r="H3812" s="7">
        <v>0.08</v>
      </c>
      <c r="I3812" s="9" t="s">
        <v>22</v>
      </c>
      <c r="J3812" s="10">
        <v>149.49799999999999</v>
      </c>
      <c r="K3812" s="11">
        <v>172.99</v>
      </c>
      <c r="L3812" s="11">
        <v>19.989999999999998</v>
      </c>
      <c r="M3812" s="9" t="s">
        <v>1677</v>
      </c>
      <c r="N3812" s="6" t="s">
        <v>1595</v>
      </c>
      <c r="O3812" s="6" t="s">
        <v>1595</v>
      </c>
      <c r="P3812" s="9" t="s">
        <v>25</v>
      </c>
      <c r="Q3812" s="9" t="s">
        <v>26</v>
      </c>
      <c r="R3812" s="9" t="s">
        <v>37</v>
      </c>
      <c r="S3812" s="7" t="s">
        <v>616</v>
      </c>
      <c r="T3812" s="9" t="s">
        <v>39</v>
      </c>
      <c r="U3812" s="7">
        <v>0.39</v>
      </c>
      <c r="V3812" s="12">
        <f>C3812+4</f>
        <v>41054</v>
      </c>
      <c r="W3812">
        <f>IF(D3812=' Pivot Tables'!$A$4,1,0)</f>
        <v>0</v>
      </c>
      <c r="X3812">
        <f>IF(AND(LEFT(D3812,4)+1=LEFT(' Pivot Tables'!$A$4,4)+0,RIGHT(LEFT(D3812,7),2)=RIGHT(LEFT(' Pivot Tables'!$A$4,7),2)),1,0)</f>
        <v>0</v>
      </c>
      <c r="Y3812" s="6">
        <f>1/COUNTIF(Таблица1[Order ID],Таблица1[[#This Row],[Order ID]])</f>
        <v>0.5</v>
      </c>
      <c r="Z3812" s="9">
        <f>1/COUNTIFS(Таблица1[Customer Name],Таблица1[[#This Row],[Customer Name]],Таблица1[Order-Year-Month],Таблица1[[#This Row],[Order-Year-Month]])</f>
        <v>0.5</v>
      </c>
    </row>
    <row r="3813" spans="1:26" x14ac:dyDescent="0.2">
      <c r="A3813" s="6">
        <v>7337</v>
      </c>
      <c r="B3813" s="7">
        <v>52290</v>
      </c>
      <c r="C3813" s="8">
        <f>DATE(2012,12,31)-224</f>
        <v>41050</v>
      </c>
      <c r="D3813" s="8" t="str">
        <f t="shared" si="72"/>
        <v>2012-05 (май 2012)</v>
      </c>
      <c r="E3813" s="9" t="s">
        <v>21</v>
      </c>
      <c r="F3813" s="7">
        <v>28</v>
      </c>
      <c r="G3813" s="7">
        <v>1470.0495000000001</v>
      </c>
      <c r="H3813" s="7">
        <v>0.1</v>
      </c>
      <c r="I3813" s="9" t="s">
        <v>22</v>
      </c>
      <c r="J3813" s="10">
        <v>185.94</v>
      </c>
      <c r="K3813" s="11">
        <v>65.989999999999995</v>
      </c>
      <c r="L3813" s="11">
        <v>4.99</v>
      </c>
      <c r="M3813" s="9" t="s">
        <v>1677</v>
      </c>
      <c r="N3813" s="6" t="s">
        <v>1595</v>
      </c>
      <c r="O3813" s="6" t="s">
        <v>1595</v>
      </c>
      <c r="P3813" s="9" t="s">
        <v>25</v>
      </c>
      <c r="Q3813" s="9" t="s">
        <v>42</v>
      </c>
      <c r="R3813" s="9" t="s">
        <v>43</v>
      </c>
      <c r="S3813" s="7" t="s">
        <v>692</v>
      </c>
      <c r="T3813" s="9" t="s">
        <v>39</v>
      </c>
      <c r="U3813" s="7">
        <v>0.56999999999999995</v>
      </c>
      <c r="V3813" s="12">
        <f>C3813+9</f>
        <v>41059</v>
      </c>
      <c r="W3813">
        <f>IF(D3813=' Pivot Tables'!$A$4,1,0)</f>
        <v>0</v>
      </c>
      <c r="X3813">
        <f>IF(AND(LEFT(D3813,4)+1=LEFT(' Pivot Tables'!$A$4,4)+0,RIGHT(LEFT(D3813,7),2)=RIGHT(LEFT(' Pivot Tables'!$A$4,7),2)),1,0)</f>
        <v>0</v>
      </c>
      <c r="Y3813" s="6">
        <f>1/COUNTIF(Таблица1[Order ID],Таблица1[[#This Row],[Order ID]])</f>
        <v>0.5</v>
      </c>
      <c r="Z3813" s="9">
        <f>1/COUNTIFS(Таблица1[Customer Name],Таблица1[[#This Row],[Customer Name]],Таблица1[Order-Year-Month],Таблица1[[#This Row],[Order-Year-Month]])</f>
        <v>0.5</v>
      </c>
    </row>
    <row r="3814" spans="1:26" x14ac:dyDescent="0.2">
      <c r="A3814" s="6">
        <v>7362</v>
      </c>
      <c r="B3814" s="7">
        <v>52480</v>
      </c>
      <c r="C3814" s="8">
        <f>DATE(2012,12,31)-888</f>
        <v>40386</v>
      </c>
      <c r="D3814" s="8" t="str">
        <f t="shared" si="72"/>
        <v>2010-07 (июль 2010)</v>
      </c>
      <c r="E3814" s="9" t="s">
        <v>45</v>
      </c>
      <c r="F3814" s="7">
        <v>47</v>
      </c>
      <c r="G3814" s="7">
        <v>1020.88</v>
      </c>
      <c r="H3814" s="7">
        <v>0.08</v>
      </c>
      <c r="I3814" s="9" t="s">
        <v>22</v>
      </c>
      <c r="J3814" s="10">
        <v>173.94</v>
      </c>
      <c r="K3814" s="11">
        <v>22.72</v>
      </c>
      <c r="L3814" s="11">
        <v>8.99</v>
      </c>
      <c r="M3814" s="9" t="s">
        <v>1659</v>
      </c>
      <c r="N3814" s="6" t="s">
        <v>1595</v>
      </c>
      <c r="O3814" s="6" t="s">
        <v>1595</v>
      </c>
      <c r="P3814" s="9" t="s">
        <v>60</v>
      </c>
      <c r="Q3814" s="9" t="s">
        <v>49</v>
      </c>
      <c r="R3814" s="9" t="s">
        <v>50</v>
      </c>
      <c r="S3814" s="7" t="s">
        <v>315</v>
      </c>
      <c r="T3814" s="9" t="s">
        <v>52</v>
      </c>
      <c r="U3814" s="7">
        <v>0.44</v>
      </c>
      <c r="V3814" s="12">
        <f>C3814+2</f>
        <v>40388</v>
      </c>
      <c r="W3814">
        <f>IF(D3814=' Pivot Tables'!$A$4,1,0)</f>
        <v>0</v>
      </c>
      <c r="X3814">
        <f>IF(AND(LEFT(D3814,4)+1=LEFT(' Pivot Tables'!$A$4,4)+0,RIGHT(LEFT(D3814,7),2)=RIGHT(LEFT(' Pivot Tables'!$A$4,7),2)),1,0)</f>
        <v>0</v>
      </c>
      <c r="Y3814" s="6">
        <f>1/COUNTIF(Таблица1[Order ID],Таблица1[[#This Row],[Order ID]])</f>
        <v>1</v>
      </c>
      <c r="Z3814" s="9">
        <f>1/COUNTIFS(Таблица1[Customer Name],Таблица1[[#This Row],[Customer Name]],Таблица1[Order-Year-Month],Таблица1[[#This Row],[Order-Year-Month]])</f>
        <v>0.5</v>
      </c>
    </row>
    <row r="3815" spans="1:26" x14ac:dyDescent="0.2">
      <c r="A3815" s="6">
        <v>7365</v>
      </c>
      <c r="B3815" s="7">
        <v>52486</v>
      </c>
      <c r="C3815" s="8">
        <f>DATE(2012,12,31)-727</f>
        <v>40547</v>
      </c>
      <c r="D3815" s="8" t="str">
        <f t="shared" si="72"/>
        <v>2011-01 (январь 2011)</v>
      </c>
      <c r="E3815" s="9" t="s">
        <v>45</v>
      </c>
      <c r="F3815" s="7">
        <v>41</v>
      </c>
      <c r="G3815" s="7">
        <v>11883.2</v>
      </c>
      <c r="H3815" s="7">
        <v>0.1</v>
      </c>
      <c r="I3815" s="9" t="s">
        <v>22</v>
      </c>
      <c r="J3815" s="10">
        <v>4160.88</v>
      </c>
      <c r="K3815" s="11">
        <v>300.97000000000003</v>
      </c>
      <c r="L3815" s="11">
        <v>7.18</v>
      </c>
      <c r="M3815" s="9" t="s">
        <v>1660</v>
      </c>
      <c r="N3815" s="6" t="s">
        <v>1595</v>
      </c>
      <c r="O3815" s="6" t="s">
        <v>1595</v>
      </c>
      <c r="P3815" s="9" t="s">
        <v>60</v>
      </c>
      <c r="Q3815" s="9" t="s">
        <v>42</v>
      </c>
      <c r="R3815" s="9" t="s">
        <v>70</v>
      </c>
      <c r="S3815" s="7" t="s">
        <v>1658</v>
      </c>
      <c r="T3815" s="9" t="s">
        <v>39</v>
      </c>
      <c r="U3815" s="7">
        <v>0.48</v>
      </c>
      <c r="V3815" s="12">
        <f>C3815+1</f>
        <v>40548</v>
      </c>
      <c r="W3815">
        <f>IF(D3815=' Pivot Tables'!$A$4,1,0)</f>
        <v>0</v>
      </c>
      <c r="X3815">
        <f>IF(AND(LEFT(D3815,4)+1=LEFT(' Pivot Tables'!$A$4,4)+0,RIGHT(LEFT(D3815,7),2)=RIGHT(LEFT(' Pivot Tables'!$A$4,7),2)),1,0)</f>
        <v>0</v>
      </c>
      <c r="Y3815" s="6">
        <f>1/COUNTIF(Таблица1[Order ID],Таблица1[[#This Row],[Order ID]])</f>
        <v>1</v>
      </c>
      <c r="Z3815" s="9">
        <f>1/COUNTIFS(Таблица1[Customer Name],Таблица1[[#This Row],[Customer Name]],Таблица1[Order-Year-Month],Таблица1[[#This Row],[Order-Year-Month]])</f>
        <v>0.5</v>
      </c>
    </row>
    <row r="3816" spans="1:26" x14ac:dyDescent="0.2">
      <c r="A3816" s="6">
        <v>7372</v>
      </c>
      <c r="B3816" s="7">
        <v>52519</v>
      </c>
      <c r="C3816" s="8">
        <f>DATE(2012,12,31)-246</f>
        <v>41028</v>
      </c>
      <c r="D3816" s="8" t="str">
        <f t="shared" si="72"/>
        <v>2012-04 (апрель 2012)</v>
      </c>
      <c r="E3816" s="9" t="s">
        <v>30</v>
      </c>
      <c r="F3816" s="7">
        <v>6</v>
      </c>
      <c r="G3816" s="7">
        <v>120.38</v>
      </c>
      <c r="H3816" s="7">
        <v>0.09</v>
      </c>
      <c r="I3816" s="9" t="s">
        <v>22</v>
      </c>
      <c r="J3816" s="10">
        <v>-29.77</v>
      </c>
      <c r="K3816" s="11">
        <v>20.48</v>
      </c>
      <c r="L3816" s="11">
        <v>6.32</v>
      </c>
      <c r="M3816" s="9" t="s">
        <v>969</v>
      </c>
      <c r="N3816" s="6" t="s">
        <v>1595</v>
      </c>
      <c r="O3816" s="6" t="s">
        <v>1595</v>
      </c>
      <c r="P3816" s="9" t="s">
        <v>41</v>
      </c>
      <c r="Q3816" s="9" t="s">
        <v>26</v>
      </c>
      <c r="R3816" s="9" t="s">
        <v>34</v>
      </c>
      <c r="S3816" s="7" t="s">
        <v>891</v>
      </c>
      <c r="T3816" s="9" t="s">
        <v>39</v>
      </c>
      <c r="U3816" s="7">
        <v>0.57999999999999996</v>
      </c>
      <c r="V3816" s="12">
        <f>C3816+2</f>
        <v>41030</v>
      </c>
      <c r="W3816">
        <f>IF(D3816=' Pivot Tables'!$A$4,1,0)</f>
        <v>0</v>
      </c>
      <c r="X3816">
        <f>IF(AND(LEFT(D3816,4)+1=LEFT(' Pivot Tables'!$A$4,4)+0,RIGHT(LEFT(D3816,7),2)=RIGHT(LEFT(' Pivot Tables'!$A$4,7),2)),1,0)</f>
        <v>0</v>
      </c>
      <c r="Y3816" s="6">
        <f>1/COUNTIF(Таблица1[Order ID],Таблица1[[#This Row],[Order ID]])</f>
        <v>1</v>
      </c>
      <c r="Z3816" s="9">
        <f>1/COUNTIFS(Таблица1[Customer Name],Таблица1[[#This Row],[Customer Name]],Таблица1[Order-Year-Month],Таблица1[[#This Row],[Order-Year-Month]])</f>
        <v>0.5</v>
      </c>
    </row>
    <row r="3817" spans="1:26" x14ac:dyDescent="0.2">
      <c r="A3817" s="6">
        <v>7448</v>
      </c>
      <c r="B3817" s="7">
        <v>53152</v>
      </c>
      <c r="C3817" s="8">
        <f>DATE(2012,12,31)-1397</f>
        <v>39877</v>
      </c>
      <c r="D3817" s="8" t="str">
        <f t="shared" si="72"/>
        <v>2009-03 (март 2009)</v>
      </c>
      <c r="E3817" s="9" t="s">
        <v>63</v>
      </c>
      <c r="F3817" s="7">
        <v>36</v>
      </c>
      <c r="G3817" s="7">
        <v>2051.8235</v>
      </c>
      <c r="H3817" s="7">
        <v>0.01</v>
      </c>
      <c r="I3817" s="9" t="s">
        <v>56</v>
      </c>
      <c r="J3817" s="10">
        <v>350.36099999999999</v>
      </c>
      <c r="K3817" s="11">
        <v>65.989999999999995</v>
      </c>
      <c r="L3817" s="11">
        <v>8.8000000000000007</v>
      </c>
      <c r="M3817" s="9" t="s">
        <v>969</v>
      </c>
      <c r="N3817" s="6" t="s">
        <v>1595</v>
      </c>
      <c r="O3817" s="6" t="s">
        <v>1595</v>
      </c>
      <c r="P3817" s="9" t="s">
        <v>41</v>
      </c>
      <c r="Q3817" s="9" t="s">
        <v>42</v>
      </c>
      <c r="R3817" s="9" t="s">
        <v>43</v>
      </c>
      <c r="S3817" s="7" t="s">
        <v>1132</v>
      </c>
      <c r="T3817" s="9" t="s">
        <v>39</v>
      </c>
      <c r="U3817" s="7">
        <v>0.57999999999999996</v>
      </c>
      <c r="V3817" s="12">
        <f>C3817+0</f>
        <v>39877</v>
      </c>
      <c r="W3817">
        <f>IF(D3817=' Pivot Tables'!$A$4,1,0)</f>
        <v>0</v>
      </c>
      <c r="X3817">
        <f>IF(AND(LEFT(D3817,4)+1=LEFT(' Pivot Tables'!$A$4,4)+0,RIGHT(LEFT(D3817,7),2)=RIGHT(LEFT(' Pivot Tables'!$A$4,7),2)),1,0)</f>
        <v>0</v>
      </c>
      <c r="Y3817" s="6">
        <f>1/COUNTIF(Таблица1[Order ID],Таблица1[[#This Row],[Order ID]])</f>
        <v>0.25</v>
      </c>
      <c r="Z3817" s="9">
        <f>1/COUNTIFS(Таблица1[Customer Name],Таблица1[[#This Row],[Customer Name]],Таблица1[Order-Year-Month],Таблица1[[#This Row],[Order-Year-Month]])</f>
        <v>0.25</v>
      </c>
    </row>
    <row r="3818" spans="1:26" x14ac:dyDescent="0.2">
      <c r="A3818" s="6">
        <v>7454</v>
      </c>
      <c r="B3818" s="7">
        <v>53188</v>
      </c>
      <c r="C3818" s="8">
        <f>DATE(2012,12,31)-56</f>
        <v>41218</v>
      </c>
      <c r="D3818" s="8" t="str">
        <f t="shared" si="72"/>
        <v>2012-11 (ноябрь 2012)</v>
      </c>
      <c r="E3818" s="9" t="s">
        <v>30</v>
      </c>
      <c r="F3818" s="7">
        <v>22</v>
      </c>
      <c r="G3818" s="7">
        <v>621.21</v>
      </c>
      <c r="H3818" s="7">
        <v>7.0000000000000007E-2</v>
      </c>
      <c r="I3818" s="9" t="s">
        <v>22</v>
      </c>
      <c r="J3818" s="10">
        <v>-42.35</v>
      </c>
      <c r="K3818" s="11">
        <v>29.74</v>
      </c>
      <c r="L3818" s="11">
        <v>6.64</v>
      </c>
      <c r="M3818" s="9" t="s">
        <v>1660</v>
      </c>
      <c r="N3818" s="6" t="s">
        <v>1595</v>
      </c>
      <c r="O3818" s="6" t="s">
        <v>1595</v>
      </c>
      <c r="P3818" s="9" t="s">
        <v>60</v>
      </c>
      <c r="Q3818" s="9" t="s">
        <v>26</v>
      </c>
      <c r="R3818" s="9" t="s">
        <v>27</v>
      </c>
      <c r="S3818" s="7" t="s">
        <v>376</v>
      </c>
      <c r="T3818" s="9" t="s">
        <v>39</v>
      </c>
      <c r="U3818" s="7">
        <v>0.7</v>
      </c>
      <c r="V3818" s="12">
        <f>C3818+1</f>
        <v>41219</v>
      </c>
      <c r="W3818">
        <f>IF(D3818=' Pivot Tables'!$A$4,1,0)</f>
        <v>0</v>
      </c>
      <c r="X3818">
        <f>IF(AND(LEFT(D3818,4)+1=LEFT(' Pivot Tables'!$A$4,4)+0,RIGHT(LEFT(D3818,7),2)=RIGHT(LEFT(' Pivot Tables'!$A$4,7),2)),1,0)</f>
        <v>0</v>
      </c>
      <c r="Y3818" s="6">
        <f>1/COUNTIF(Таблица1[Order ID],Таблица1[[#This Row],[Order ID]])</f>
        <v>1</v>
      </c>
      <c r="Z3818" s="9">
        <f>1/COUNTIFS(Таблица1[Customer Name],Таблица1[[#This Row],[Customer Name]],Таблица1[Order-Year-Month],Таблица1[[#This Row],[Order-Year-Month]])</f>
        <v>1</v>
      </c>
    </row>
    <row r="3819" spans="1:26" x14ac:dyDescent="0.2">
      <c r="A3819" s="6">
        <v>7461</v>
      </c>
      <c r="B3819" s="7">
        <v>53223</v>
      </c>
      <c r="C3819" s="8">
        <f>DATE(2012,12,31)-170</f>
        <v>41104</v>
      </c>
      <c r="D3819" s="8" t="str">
        <f t="shared" si="72"/>
        <v>2012-07 (июль 2012)</v>
      </c>
      <c r="E3819" s="9" t="s">
        <v>21</v>
      </c>
      <c r="F3819" s="7">
        <v>2</v>
      </c>
      <c r="G3819" s="7">
        <v>13.29</v>
      </c>
      <c r="H3819" s="7">
        <v>0.08</v>
      </c>
      <c r="I3819" s="9" t="s">
        <v>22</v>
      </c>
      <c r="J3819" s="10">
        <v>-10.327</v>
      </c>
      <c r="K3819" s="11">
        <v>4.24</v>
      </c>
      <c r="L3819" s="11">
        <v>5.41</v>
      </c>
      <c r="M3819" s="9" t="s">
        <v>1689</v>
      </c>
      <c r="N3819" s="6" t="s">
        <v>1595</v>
      </c>
      <c r="O3819" s="6" t="s">
        <v>1595</v>
      </c>
      <c r="P3819" s="9" t="s">
        <v>41</v>
      </c>
      <c r="Q3819" s="9" t="s">
        <v>26</v>
      </c>
      <c r="R3819" s="9" t="s">
        <v>37</v>
      </c>
      <c r="S3819" s="7" t="s">
        <v>873</v>
      </c>
      <c r="T3819" s="9" t="s">
        <v>39</v>
      </c>
      <c r="U3819" s="7">
        <v>0.35</v>
      </c>
      <c r="V3819" s="12">
        <f>C3819+7</f>
        <v>41111</v>
      </c>
      <c r="W3819">
        <f>IF(D3819=' Pivot Tables'!$A$4,1,0)</f>
        <v>0</v>
      </c>
      <c r="X3819">
        <f>IF(AND(LEFT(D3819,4)+1=LEFT(' Pivot Tables'!$A$4,4)+0,RIGHT(LEFT(D3819,7),2)=RIGHT(LEFT(' Pivot Tables'!$A$4,7),2)),1,0)</f>
        <v>0</v>
      </c>
      <c r="Y3819" s="6">
        <f>1/COUNTIF(Таблица1[Order ID],Таблица1[[#This Row],[Order ID]])</f>
        <v>1</v>
      </c>
      <c r="Z3819" s="9">
        <f>1/COUNTIFS(Таблица1[Customer Name],Таблица1[[#This Row],[Customer Name]],Таблица1[Order-Year-Month],Таблица1[[#This Row],[Order-Year-Month]])</f>
        <v>1</v>
      </c>
    </row>
    <row r="3820" spans="1:26" x14ac:dyDescent="0.2">
      <c r="A3820" s="6">
        <v>7462</v>
      </c>
      <c r="B3820" s="7">
        <v>53248</v>
      </c>
      <c r="C3820" s="8">
        <f>DATE(2012,12,31)-794</f>
        <v>40480</v>
      </c>
      <c r="D3820" s="8" t="str">
        <f t="shared" si="72"/>
        <v>2010-10 (октябрь 2010)</v>
      </c>
      <c r="E3820" s="9" t="s">
        <v>78</v>
      </c>
      <c r="F3820" s="7">
        <v>7</v>
      </c>
      <c r="G3820" s="7">
        <v>2423.06</v>
      </c>
      <c r="H3820" s="7">
        <v>0.06</v>
      </c>
      <c r="I3820" s="9" t="s">
        <v>31</v>
      </c>
      <c r="J3820" s="10">
        <v>-94.26560000000002</v>
      </c>
      <c r="K3820" s="11">
        <v>348.21</v>
      </c>
      <c r="L3820" s="11">
        <v>40.19</v>
      </c>
      <c r="M3820" s="9" t="s">
        <v>1681</v>
      </c>
      <c r="N3820" s="6" t="s">
        <v>1595</v>
      </c>
      <c r="O3820" s="6" t="s">
        <v>1595</v>
      </c>
      <c r="P3820" s="9" t="s">
        <v>60</v>
      </c>
      <c r="Q3820" s="9" t="s">
        <v>49</v>
      </c>
      <c r="R3820" s="9" t="s">
        <v>83</v>
      </c>
      <c r="S3820" s="7" t="s">
        <v>599</v>
      </c>
      <c r="T3820" s="9" t="s">
        <v>82</v>
      </c>
      <c r="U3820" s="7">
        <v>0.62</v>
      </c>
      <c r="V3820" s="12">
        <f>C3820+1</f>
        <v>40481</v>
      </c>
      <c r="W3820">
        <f>IF(D3820=' Pivot Tables'!$A$4,1,0)</f>
        <v>0</v>
      </c>
      <c r="X3820">
        <f>IF(AND(LEFT(D3820,4)+1=LEFT(' Pivot Tables'!$A$4,4)+0,RIGHT(LEFT(D3820,7),2)=RIGHT(LEFT(' Pivot Tables'!$A$4,7),2)),1,0)</f>
        <v>0</v>
      </c>
      <c r="Y3820" s="6">
        <f>1/COUNTIF(Таблица1[Order ID],Таблица1[[#This Row],[Order ID]])</f>
        <v>1</v>
      </c>
      <c r="Z3820" s="9">
        <f>1/COUNTIFS(Таблица1[Customer Name],Таблица1[[#This Row],[Customer Name]],Таблица1[Order-Year-Month],Таблица1[[#This Row],[Order-Year-Month]])</f>
        <v>1</v>
      </c>
    </row>
    <row r="3821" spans="1:26" x14ac:dyDescent="0.2">
      <c r="A3821" s="6">
        <v>7481</v>
      </c>
      <c r="B3821" s="7">
        <v>53411</v>
      </c>
      <c r="C3821" s="8">
        <f>DATE(2012,12,31)-398</f>
        <v>40876</v>
      </c>
      <c r="D3821" s="8" t="str">
        <f t="shared" si="72"/>
        <v>2011-11 (ноябрь 2011)</v>
      </c>
      <c r="E3821" s="9" t="s">
        <v>78</v>
      </c>
      <c r="F3821" s="7">
        <v>25</v>
      </c>
      <c r="G3821" s="7">
        <v>667.64</v>
      </c>
      <c r="H3821" s="7">
        <v>0.08</v>
      </c>
      <c r="I3821" s="9" t="s">
        <v>22</v>
      </c>
      <c r="J3821" s="10">
        <v>-57.53</v>
      </c>
      <c r="K3821" s="11">
        <v>27.48</v>
      </c>
      <c r="L3821" s="11">
        <v>4</v>
      </c>
      <c r="M3821" s="9" t="s">
        <v>1681</v>
      </c>
      <c r="N3821" s="6" t="s">
        <v>1595</v>
      </c>
      <c r="O3821" s="6" t="s">
        <v>1595</v>
      </c>
      <c r="P3821" s="9" t="s">
        <v>25</v>
      </c>
      <c r="Q3821" s="9" t="s">
        <v>42</v>
      </c>
      <c r="R3821" s="9" t="s">
        <v>70</v>
      </c>
      <c r="S3821" s="7" t="s">
        <v>762</v>
      </c>
      <c r="T3821" s="9" t="s">
        <v>39</v>
      </c>
      <c r="U3821" s="7">
        <v>0.75</v>
      </c>
      <c r="V3821" s="12">
        <f>C3821+1</f>
        <v>40877</v>
      </c>
      <c r="W3821">
        <f>IF(D3821=' Pivot Tables'!$A$4,1,0)</f>
        <v>0</v>
      </c>
      <c r="X3821">
        <f>IF(AND(LEFT(D3821,4)+1=LEFT(' Pivot Tables'!$A$4,4)+0,RIGHT(LEFT(D3821,7),2)=RIGHT(LEFT(' Pivot Tables'!$A$4,7),2)),1,0)</f>
        <v>0</v>
      </c>
      <c r="Y3821" s="6">
        <f>1/COUNTIF(Таблица1[Order ID],Таблица1[[#This Row],[Order ID]])</f>
        <v>1</v>
      </c>
      <c r="Z3821" s="9">
        <f>1/COUNTIFS(Таблица1[Customer Name],Таблица1[[#This Row],[Customer Name]],Таблица1[Order-Year-Month],Таблица1[[#This Row],[Order-Year-Month]])</f>
        <v>1</v>
      </c>
    </row>
    <row r="3822" spans="1:26" x14ac:dyDescent="0.2">
      <c r="A3822" s="6">
        <v>7517</v>
      </c>
      <c r="B3822" s="7">
        <v>53668</v>
      </c>
      <c r="C3822" s="8">
        <f>DATE(2012,12,31)-1006</f>
        <v>40268</v>
      </c>
      <c r="D3822" s="8" t="str">
        <f t="shared" si="72"/>
        <v>2010-03 (март 2010)</v>
      </c>
      <c r="E3822" s="9" t="s">
        <v>45</v>
      </c>
      <c r="F3822" s="7">
        <v>9</v>
      </c>
      <c r="G3822" s="7">
        <v>98.24</v>
      </c>
      <c r="H3822" s="7">
        <v>0.04</v>
      </c>
      <c r="I3822" s="9" t="s">
        <v>22</v>
      </c>
      <c r="J3822" s="10">
        <v>-10.38</v>
      </c>
      <c r="K3822" s="11">
        <v>10.98</v>
      </c>
      <c r="L3822" s="11">
        <v>3.37</v>
      </c>
      <c r="M3822" s="9" t="s">
        <v>1660</v>
      </c>
      <c r="N3822" s="6" t="s">
        <v>1595</v>
      </c>
      <c r="O3822" s="6" t="s">
        <v>1595</v>
      </c>
      <c r="P3822" s="9" t="s">
        <v>41</v>
      </c>
      <c r="Q3822" s="9" t="s">
        <v>26</v>
      </c>
      <c r="R3822" s="9" t="s">
        <v>150</v>
      </c>
      <c r="S3822" s="7" t="s">
        <v>465</v>
      </c>
      <c r="T3822" s="9" t="s">
        <v>52</v>
      </c>
      <c r="U3822" s="7">
        <v>0.56999999999999995</v>
      </c>
      <c r="V3822" s="12">
        <f>C3822+1</f>
        <v>40269</v>
      </c>
      <c r="W3822">
        <f>IF(D3822=' Pivot Tables'!$A$4,1,0)</f>
        <v>0</v>
      </c>
      <c r="X3822">
        <f>IF(AND(LEFT(D3822,4)+1=LEFT(' Pivot Tables'!$A$4,4)+0,RIGHT(LEFT(D3822,7),2)=RIGHT(LEFT(' Pivot Tables'!$A$4,7),2)),1,0)</f>
        <v>0</v>
      </c>
      <c r="Y3822" s="6">
        <f>1/COUNTIF(Таблица1[Order ID],Таблица1[[#This Row],[Order ID]])</f>
        <v>1</v>
      </c>
      <c r="Z3822" s="9">
        <f>1/COUNTIFS(Таблица1[Customer Name],Таблица1[[#This Row],[Customer Name]],Таблица1[Order-Year-Month],Таблица1[[#This Row],[Order-Year-Month]])</f>
        <v>0.5</v>
      </c>
    </row>
    <row r="3823" spans="1:26" x14ac:dyDescent="0.2">
      <c r="A3823" s="6">
        <v>7524</v>
      </c>
      <c r="B3823" s="7">
        <v>53730</v>
      </c>
      <c r="C3823" s="8">
        <f>DATE(2012,12,31)-2</f>
        <v>41272</v>
      </c>
      <c r="D3823" s="8" t="str">
        <f t="shared" si="72"/>
        <v>2012-12 (декабрь 2012)</v>
      </c>
      <c r="E3823" s="9" t="s">
        <v>30</v>
      </c>
      <c r="F3823" s="7">
        <v>40</v>
      </c>
      <c r="G3823" s="7">
        <v>181.8</v>
      </c>
      <c r="H3823" s="7">
        <v>0.05</v>
      </c>
      <c r="I3823" s="9" t="s">
        <v>22</v>
      </c>
      <c r="J3823" s="10">
        <v>-144.739</v>
      </c>
      <c r="K3823" s="11">
        <v>4.54</v>
      </c>
      <c r="L3823" s="11">
        <v>5.83</v>
      </c>
      <c r="M3823" s="9" t="s">
        <v>1193</v>
      </c>
      <c r="N3823" s="6" t="s">
        <v>1595</v>
      </c>
      <c r="O3823" s="6" t="s">
        <v>1595</v>
      </c>
      <c r="P3823" s="9" t="s">
        <v>41</v>
      </c>
      <c r="Q3823" s="9" t="s">
        <v>26</v>
      </c>
      <c r="R3823" s="9" t="s">
        <v>37</v>
      </c>
      <c r="S3823" s="7" t="s">
        <v>1332</v>
      </c>
      <c r="T3823" s="9" t="s">
        <v>39</v>
      </c>
      <c r="U3823" s="7">
        <v>0.36</v>
      </c>
      <c r="V3823" s="12">
        <f>C3823+1</f>
        <v>41273</v>
      </c>
      <c r="W3823">
        <f>IF(D3823=' Pivot Tables'!$A$4,1,0)</f>
        <v>0</v>
      </c>
      <c r="X3823">
        <f>IF(AND(LEFT(D3823,4)+1=LEFT(' Pivot Tables'!$A$4,4)+0,RIGHT(LEFT(D3823,7),2)=RIGHT(LEFT(' Pivot Tables'!$A$4,7),2)),1,0)</f>
        <v>0</v>
      </c>
      <c r="Y3823" s="6">
        <f>1/COUNTIF(Таблица1[Order ID],Таблица1[[#This Row],[Order ID]])</f>
        <v>1</v>
      </c>
      <c r="Z3823" s="9">
        <f>1/COUNTIFS(Таблица1[Customer Name],Таблица1[[#This Row],[Customer Name]],Таблица1[Order-Year-Month],Таблица1[[#This Row],[Order-Year-Month]])</f>
        <v>1</v>
      </c>
    </row>
    <row r="3824" spans="1:26" x14ac:dyDescent="0.2">
      <c r="A3824" s="6">
        <v>7550</v>
      </c>
      <c r="B3824" s="7">
        <v>54020</v>
      </c>
      <c r="C3824" s="8">
        <f>DATE(2012,12,31)-335</f>
        <v>40939</v>
      </c>
      <c r="D3824" s="8" t="str">
        <f t="shared" si="72"/>
        <v>2012-01 (январь 2012)</v>
      </c>
      <c r="E3824" s="9" t="s">
        <v>21</v>
      </c>
      <c r="F3824" s="7">
        <v>35</v>
      </c>
      <c r="G3824" s="7">
        <v>648.58000000000004</v>
      </c>
      <c r="H3824" s="7">
        <v>0.05</v>
      </c>
      <c r="I3824" s="9" t="s">
        <v>22</v>
      </c>
      <c r="J3824" s="10">
        <v>182.63</v>
      </c>
      <c r="K3824" s="11">
        <v>18.97</v>
      </c>
      <c r="L3824" s="11">
        <v>5.21</v>
      </c>
      <c r="M3824" s="9" t="s">
        <v>1686</v>
      </c>
      <c r="N3824" s="6" t="s">
        <v>1595</v>
      </c>
      <c r="O3824" s="6" t="s">
        <v>1595</v>
      </c>
      <c r="P3824" s="9" t="s">
        <v>41</v>
      </c>
      <c r="Q3824" s="9" t="s">
        <v>26</v>
      </c>
      <c r="R3824" s="9" t="s">
        <v>61</v>
      </c>
      <c r="S3824" s="7" t="s">
        <v>182</v>
      </c>
      <c r="T3824" s="9" t="s">
        <v>39</v>
      </c>
      <c r="U3824" s="7">
        <v>0.37</v>
      </c>
      <c r="V3824" s="12">
        <f>C3824+4</f>
        <v>40943</v>
      </c>
      <c r="W3824">
        <f>IF(D3824=' Pivot Tables'!$A$4,1,0)</f>
        <v>0</v>
      </c>
      <c r="X3824">
        <f>IF(AND(LEFT(D3824,4)+1=LEFT(' Pivot Tables'!$A$4,4)+0,RIGHT(LEFT(D3824,7),2)=RIGHT(LEFT(' Pivot Tables'!$A$4,7),2)),1,0)</f>
        <v>0</v>
      </c>
      <c r="Y3824" s="6">
        <f>1/COUNTIF(Таблица1[Order ID],Таблица1[[#This Row],[Order ID]])</f>
        <v>0.5</v>
      </c>
      <c r="Z3824" s="9">
        <f>1/COUNTIFS(Таблица1[Customer Name],Таблица1[[#This Row],[Customer Name]],Таблица1[Order-Year-Month],Таблица1[[#This Row],[Order-Year-Month]])</f>
        <v>0.5</v>
      </c>
    </row>
    <row r="3825" spans="1:26" x14ac:dyDescent="0.2">
      <c r="A3825" s="6">
        <v>7551</v>
      </c>
      <c r="B3825" s="7">
        <v>54020</v>
      </c>
      <c r="C3825" s="8">
        <f>DATE(2012,12,31)-335</f>
        <v>40939</v>
      </c>
      <c r="D3825" s="8" t="str">
        <f t="shared" si="72"/>
        <v>2012-01 (январь 2012)</v>
      </c>
      <c r="E3825" s="9" t="s">
        <v>21</v>
      </c>
      <c r="F3825" s="7">
        <v>43</v>
      </c>
      <c r="G3825" s="7">
        <v>270.56</v>
      </c>
      <c r="H3825" s="7">
        <v>0.09</v>
      </c>
      <c r="I3825" s="9" t="s">
        <v>22</v>
      </c>
      <c r="J3825" s="10">
        <v>-140.47999999999999</v>
      </c>
      <c r="K3825" s="11">
        <v>6.48</v>
      </c>
      <c r="L3825" s="11">
        <v>6.86</v>
      </c>
      <c r="M3825" s="9" t="s">
        <v>1686</v>
      </c>
      <c r="N3825" s="6" t="s">
        <v>1595</v>
      </c>
      <c r="O3825" s="6" t="s">
        <v>1595</v>
      </c>
      <c r="P3825" s="9" t="s">
        <v>41</v>
      </c>
      <c r="Q3825" s="9" t="s">
        <v>26</v>
      </c>
      <c r="R3825" s="9" t="s">
        <v>61</v>
      </c>
      <c r="S3825" s="7" t="s">
        <v>876</v>
      </c>
      <c r="T3825" s="9" t="s">
        <v>39</v>
      </c>
      <c r="U3825" s="7">
        <v>0.37</v>
      </c>
      <c r="V3825" s="12">
        <f>C3825+5</f>
        <v>40944</v>
      </c>
      <c r="W3825">
        <f>IF(D3825=' Pivot Tables'!$A$4,1,0)</f>
        <v>0</v>
      </c>
      <c r="X3825">
        <f>IF(AND(LEFT(D3825,4)+1=LEFT(' Pivot Tables'!$A$4,4)+0,RIGHT(LEFT(D3825,7),2)=RIGHT(LEFT(' Pivot Tables'!$A$4,7),2)),1,0)</f>
        <v>0</v>
      </c>
      <c r="Y3825" s="6">
        <f>1/COUNTIF(Таблица1[Order ID],Таблица1[[#This Row],[Order ID]])</f>
        <v>0.5</v>
      </c>
      <c r="Z3825" s="9">
        <f>1/COUNTIFS(Таблица1[Customer Name],Таблица1[[#This Row],[Customer Name]],Таблица1[Order-Year-Month],Таблица1[[#This Row],[Order-Year-Month]])</f>
        <v>0.5</v>
      </c>
    </row>
    <row r="3826" spans="1:26" x14ac:dyDescent="0.2">
      <c r="A3826" s="6">
        <v>7596</v>
      </c>
      <c r="B3826" s="7">
        <v>54368</v>
      </c>
      <c r="C3826" s="8">
        <f>DATE(2012,12,31)-426</f>
        <v>40848</v>
      </c>
      <c r="D3826" s="8" t="str">
        <f t="shared" si="72"/>
        <v>2011-11 (ноябрь 2011)</v>
      </c>
      <c r="E3826" s="9" t="s">
        <v>45</v>
      </c>
      <c r="F3826" s="7">
        <v>31</v>
      </c>
      <c r="G3826" s="7">
        <v>233.2</v>
      </c>
      <c r="H3826" s="7">
        <v>0.04</v>
      </c>
      <c r="I3826" s="9" t="s">
        <v>22</v>
      </c>
      <c r="J3826" s="10">
        <v>-48.07</v>
      </c>
      <c r="K3826" s="11">
        <v>7.64</v>
      </c>
      <c r="L3826" s="11">
        <v>5.83</v>
      </c>
      <c r="M3826" s="9" t="s">
        <v>728</v>
      </c>
      <c r="N3826" s="6" t="s">
        <v>1595</v>
      </c>
      <c r="O3826" s="6" t="s">
        <v>1595</v>
      </c>
      <c r="P3826" s="9" t="s">
        <v>25</v>
      </c>
      <c r="Q3826" s="9" t="s">
        <v>26</v>
      </c>
      <c r="R3826" s="9" t="s">
        <v>61</v>
      </c>
      <c r="S3826" s="7" t="s">
        <v>371</v>
      </c>
      <c r="T3826" s="9" t="s">
        <v>68</v>
      </c>
      <c r="U3826" s="7">
        <v>0.36</v>
      </c>
      <c r="V3826" s="12">
        <f>C3826+2</f>
        <v>40850</v>
      </c>
      <c r="W3826">
        <f>IF(D3826=' Pivot Tables'!$A$4,1,0)</f>
        <v>0</v>
      </c>
      <c r="X3826">
        <f>IF(AND(LEFT(D3826,4)+1=LEFT(' Pivot Tables'!$A$4,4)+0,RIGHT(LEFT(D3826,7),2)=RIGHT(LEFT(' Pivot Tables'!$A$4,7),2)),1,0)</f>
        <v>0</v>
      </c>
      <c r="Y3826" s="6">
        <f>1/COUNTIF(Таблица1[Order ID],Таблица1[[#This Row],[Order ID]])</f>
        <v>0.33333333333333331</v>
      </c>
      <c r="Z3826" s="9">
        <f>1/COUNTIFS(Таблица1[Customer Name],Таблица1[[#This Row],[Customer Name]],Таблица1[Order-Year-Month],Таблица1[[#This Row],[Order-Year-Month]])</f>
        <v>0.16666666666666666</v>
      </c>
    </row>
    <row r="3827" spans="1:26" x14ac:dyDescent="0.2">
      <c r="A3827" s="6">
        <v>7597</v>
      </c>
      <c r="B3827" s="7">
        <v>54368</v>
      </c>
      <c r="C3827" s="8">
        <f>DATE(2012,12,31)-426</f>
        <v>40848</v>
      </c>
      <c r="D3827" s="8" t="str">
        <f t="shared" si="72"/>
        <v>2011-11 (ноябрь 2011)</v>
      </c>
      <c r="E3827" s="9" t="s">
        <v>45</v>
      </c>
      <c r="F3827" s="7">
        <v>16</v>
      </c>
      <c r="G3827" s="7">
        <v>79.53</v>
      </c>
      <c r="H3827" s="7">
        <v>0.08</v>
      </c>
      <c r="I3827" s="9" t="s">
        <v>22</v>
      </c>
      <c r="J3827" s="10">
        <v>-48.55</v>
      </c>
      <c r="K3827" s="11">
        <v>4.9800000000000004</v>
      </c>
      <c r="L3827" s="11">
        <v>5.49</v>
      </c>
      <c r="M3827" s="9" t="s">
        <v>728</v>
      </c>
      <c r="N3827" s="6" t="s">
        <v>1595</v>
      </c>
      <c r="O3827" s="6" t="s">
        <v>1595</v>
      </c>
      <c r="P3827" s="9" t="s">
        <v>25</v>
      </c>
      <c r="Q3827" s="9" t="s">
        <v>26</v>
      </c>
      <c r="R3827" s="9" t="s">
        <v>61</v>
      </c>
      <c r="S3827" s="7" t="s">
        <v>1224</v>
      </c>
      <c r="T3827" s="9" t="s">
        <v>39</v>
      </c>
      <c r="U3827" s="7">
        <v>0.38</v>
      </c>
      <c r="V3827" s="12">
        <f>C3827+1</f>
        <v>40849</v>
      </c>
      <c r="W3827">
        <f>IF(D3827=' Pivot Tables'!$A$4,1,0)</f>
        <v>0</v>
      </c>
      <c r="X3827">
        <f>IF(AND(LEFT(D3827,4)+1=LEFT(' Pivot Tables'!$A$4,4)+0,RIGHT(LEFT(D3827,7),2)=RIGHT(LEFT(' Pivot Tables'!$A$4,7),2)),1,0)</f>
        <v>0</v>
      </c>
      <c r="Y3827" s="6">
        <f>1/COUNTIF(Таблица1[Order ID],Таблица1[[#This Row],[Order ID]])</f>
        <v>0.33333333333333331</v>
      </c>
      <c r="Z3827" s="9">
        <f>1/COUNTIFS(Таблица1[Customer Name],Таблица1[[#This Row],[Customer Name]],Таблица1[Order-Year-Month],Таблица1[[#This Row],[Order-Year-Month]])</f>
        <v>0.16666666666666666</v>
      </c>
    </row>
    <row r="3828" spans="1:26" x14ac:dyDescent="0.2">
      <c r="A3828" s="6">
        <v>7598</v>
      </c>
      <c r="B3828" s="7">
        <v>54368</v>
      </c>
      <c r="C3828" s="8">
        <f>DATE(2012,12,31)-426</f>
        <v>40848</v>
      </c>
      <c r="D3828" s="8" t="str">
        <f t="shared" si="72"/>
        <v>2011-11 (ноябрь 2011)</v>
      </c>
      <c r="E3828" s="9" t="s">
        <v>45</v>
      </c>
      <c r="F3828" s="7">
        <v>43</v>
      </c>
      <c r="G3828" s="7">
        <v>1680.9769999999999</v>
      </c>
      <c r="H3828" s="7">
        <v>0.05</v>
      </c>
      <c r="I3828" s="9" t="s">
        <v>22</v>
      </c>
      <c r="J3828" s="10">
        <v>383.09400000000005</v>
      </c>
      <c r="K3828" s="11">
        <v>45.99</v>
      </c>
      <c r="L3828" s="11">
        <v>4.99</v>
      </c>
      <c r="M3828" s="9" t="s">
        <v>728</v>
      </c>
      <c r="N3828" s="6" t="s">
        <v>1595</v>
      </c>
      <c r="O3828" s="6" t="s">
        <v>1595</v>
      </c>
      <c r="P3828" s="9" t="s">
        <v>25</v>
      </c>
      <c r="Q3828" s="9" t="s">
        <v>42</v>
      </c>
      <c r="R3828" s="9" t="s">
        <v>43</v>
      </c>
      <c r="S3828" s="7" t="s">
        <v>629</v>
      </c>
      <c r="T3828" s="9" t="s">
        <v>39</v>
      </c>
      <c r="U3828" s="7">
        <v>0.56000000000000005</v>
      </c>
      <c r="V3828" s="12">
        <f>C3828+1</f>
        <v>40849</v>
      </c>
      <c r="W3828">
        <f>IF(D3828=' Pivot Tables'!$A$4,1,0)</f>
        <v>0</v>
      </c>
      <c r="X3828">
        <f>IF(AND(LEFT(D3828,4)+1=LEFT(' Pivot Tables'!$A$4,4)+0,RIGHT(LEFT(D3828,7),2)=RIGHT(LEFT(' Pivot Tables'!$A$4,7),2)),1,0)</f>
        <v>0</v>
      </c>
      <c r="Y3828" s="6">
        <f>1/COUNTIF(Таблица1[Order ID],Таблица1[[#This Row],[Order ID]])</f>
        <v>0.33333333333333331</v>
      </c>
      <c r="Z3828" s="9">
        <f>1/COUNTIFS(Таблица1[Customer Name],Таблица1[[#This Row],[Customer Name]],Таблица1[Order-Year-Month],Таблица1[[#This Row],[Order-Year-Month]])</f>
        <v>0.16666666666666666</v>
      </c>
    </row>
    <row r="3829" spans="1:26" x14ac:dyDescent="0.2">
      <c r="A3829" s="6">
        <v>7640</v>
      </c>
      <c r="B3829" s="7">
        <v>54721</v>
      </c>
      <c r="C3829" s="8">
        <f>DATE(2012,12,31)-74</f>
        <v>41200</v>
      </c>
      <c r="D3829" s="8" t="str">
        <f t="shared" si="72"/>
        <v>2012-10 (октябрь 2012)</v>
      </c>
      <c r="E3829" s="9" t="s">
        <v>45</v>
      </c>
      <c r="F3829" s="7">
        <v>19</v>
      </c>
      <c r="G3829" s="7">
        <v>2002.4</v>
      </c>
      <c r="H3829" s="7">
        <v>0</v>
      </c>
      <c r="I3829" s="9" t="s">
        <v>31</v>
      </c>
      <c r="J3829" s="10">
        <v>151.09</v>
      </c>
      <c r="K3829" s="11">
        <v>100.98</v>
      </c>
      <c r="L3829" s="11">
        <v>26.22</v>
      </c>
      <c r="M3829" s="9" t="s">
        <v>1568</v>
      </c>
      <c r="N3829" s="6" t="s">
        <v>1595</v>
      </c>
      <c r="O3829" s="6" t="s">
        <v>1595</v>
      </c>
      <c r="P3829" s="9" t="s">
        <v>41</v>
      </c>
      <c r="Q3829" s="9" t="s">
        <v>49</v>
      </c>
      <c r="R3829" s="9" t="s">
        <v>80</v>
      </c>
      <c r="S3829" s="7" t="s">
        <v>81</v>
      </c>
      <c r="T3829" s="9" t="s">
        <v>82</v>
      </c>
      <c r="U3829" s="7">
        <v>0.6</v>
      </c>
      <c r="V3829" s="12">
        <f>C3829+1</f>
        <v>41201</v>
      </c>
      <c r="W3829">
        <f>IF(D3829=' Pivot Tables'!$A$4,1,0)</f>
        <v>0</v>
      </c>
      <c r="X3829">
        <f>IF(AND(LEFT(D3829,4)+1=LEFT(' Pivot Tables'!$A$4,4)+0,RIGHT(LEFT(D3829,7),2)=RIGHT(LEFT(' Pivot Tables'!$A$4,7),2)),1,0)</f>
        <v>0</v>
      </c>
      <c r="Y3829" s="6">
        <f>1/COUNTIF(Таблица1[Order ID],Таблица1[[#This Row],[Order ID]])</f>
        <v>1</v>
      </c>
      <c r="Z3829" s="9">
        <f>1/COUNTIFS(Таблица1[Customer Name],Таблица1[[#This Row],[Customer Name]],Таблица1[Order-Year-Month],Таблица1[[#This Row],[Order-Year-Month]])</f>
        <v>0.5</v>
      </c>
    </row>
    <row r="3830" spans="1:26" x14ac:dyDescent="0.2">
      <c r="A3830" s="6">
        <v>7673</v>
      </c>
      <c r="B3830" s="7">
        <v>55013</v>
      </c>
      <c r="C3830" s="8">
        <f>DATE(2012,12,31)-538</f>
        <v>40736</v>
      </c>
      <c r="D3830" s="8" t="str">
        <f t="shared" si="72"/>
        <v>2011-07 (июль 2011)</v>
      </c>
      <c r="E3830" s="9" t="s">
        <v>21</v>
      </c>
      <c r="F3830" s="7">
        <v>5</v>
      </c>
      <c r="G3830" s="7">
        <v>24.3</v>
      </c>
      <c r="H3830" s="7">
        <v>0.02</v>
      </c>
      <c r="I3830" s="9" t="s">
        <v>22</v>
      </c>
      <c r="J3830" s="10">
        <v>3.14</v>
      </c>
      <c r="K3830" s="11">
        <v>4.91</v>
      </c>
      <c r="L3830" s="11">
        <v>0.5</v>
      </c>
      <c r="M3830" s="9" t="s">
        <v>1112</v>
      </c>
      <c r="N3830" s="6" t="s">
        <v>1595</v>
      </c>
      <c r="O3830" s="6" t="s">
        <v>1595</v>
      </c>
      <c r="P3830" s="9" t="s">
        <v>60</v>
      </c>
      <c r="Q3830" s="9" t="s">
        <v>26</v>
      </c>
      <c r="R3830" s="9" t="s">
        <v>88</v>
      </c>
      <c r="S3830" s="7" t="s">
        <v>1370</v>
      </c>
      <c r="T3830" s="9" t="s">
        <v>39</v>
      </c>
      <c r="U3830" s="7">
        <v>0.36</v>
      </c>
      <c r="V3830" s="12">
        <f>C3830+7</f>
        <v>40743</v>
      </c>
      <c r="W3830">
        <f>IF(D3830=' Pivot Tables'!$A$4,1,0)</f>
        <v>0</v>
      </c>
      <c r="X3830">
        <f>IF(AND(LEFT(D3830,4)+1=LEFT(' Pivot Tables'!$A$4,4)+0,RIGHT(LEFT(D3830,7),2)=RIGHT(LEFT(' Pivot Tables'!$A$4,7),2)),1,0)</f>
        <v>0</v>
      </c>
      <c r="Y3830" s="6">
        <f>1/COUNTIF(Таблица1[Order ID],Таблица1[[#This Row],[Order ID]])</f>
        <v>0.5</v>
      </c>
      <c r="Z3830" s="9">
        <f>1/COUNTIFS(Таблица1[Customer Name],Таблица1[[#This Row],[Customer Name]],Таблица1[Order-Year-Month],Таблица1[[#This Row],[Order-Year-Month]])</f>
        <v>0.5</v>
      </c>
    </row>
    <row r="3831" spans="1:26" x14ac:dyDescent="0.2">
      <c r="A3831" s="6">
        <v>7674</v>
      </c>
      <c r="B3831" s="7">
        <v>55013</v>
      </c>
      <c r="C3831" s="8">
        <f>DATE(2012,12,31)-538</f>
        <v>40736</v>
      </c>
      <c r="D3831" s="8" t="str">
        <f t="shared" si="72"/>
        <v>2011-07 (июль 2011)</v>
      </c>
      <c r="E3831" s="9" t="s">
        <v>21</v>
      </c>
      <c r="F3831" s="7">
        <v>14</v>
      </c>
      <c r="G3831" s="7">
        <v>322.61</v>
      </c>
      <c r="H3831" s="7">
        <v>0.02</v>
      </c>
      <c r="I3831" s="9" t="s">
        <v>22</v>
      </c>
      <c r="J3831" s="10">
        <v>19.37</v>
      </c>
      <c r="K3831" s="11">
        <v>22.01</v>
      </c>
      <c r="L3831" s="11">
        <v>5.53</v>
      </c>
      <c r="M3831" s="9" t="s">
        <v>1112</v>
      </c>
      <c r="N3831" s="6" t="s">
        <v>1595</v>
      </c>
      <c r="O3831" s="6" t="s">
        <v>1595</v>
      </c>
      <c r="P3831" s="9" t="s">
        <v>60</v>
      </c>
      <c r="Q3831" s="9" t="s">
        <v>26</v>
      </c>
      <c r="R3831" s="9" t="s">
        <v>95</v>
      </c>
      <c r="S3831" s="7" t="s">
        <v>1147</v>
      </c>
      <c r="T3831" s="9" t="s">
        <v>52</v>
      </c>
      <c r="U3831" s="7">
        <v>0.59</v>
      </c>
      <c r="V3831" s="12">
        <f>C3831+5</f>
        <v>40741</v>
      </c>
      <c r="W3831">
        <f>IF(D3831=' Pivot Tables'!$A$4,1,0)</f>
        <v>0</v>
      </c>
      <c r="X3831">
        <f>IF(AND(LEFT(D3831,4)+1=LEFT(' Pivot Tables'!$A$4,4)+0,RIGHT(LEFT(D3831,7),2)=RIGHT(LEFT(' Pivot Tables'!$A$4,7),2)),1,0)</f>
        <v>0</v>
      </c>
      <c r="Y3831" s="6">
        <f>1/COUNTIF(Таблица1[Order ID],Таблица1[[#This Row],[Order ID]])</f>
        <v>0.5</v>
      </c>
      <c r="Z3831" s="9">
        <f>1/COUNTIFS(Таблица1[Customer Name],Таблица1[[#This Row],[Customer Name]],Таблица1[Order-Year-Month],Таблица1[[#This Row],[Order-Year-Month]])</f>
        <v>0.5</v>
      </c>
    </row>
    <row r="3832" spans="1:26" x14ac:dyDescent="0.2">
      <c r="A3832" s="6">
        <v>7686</v>
      </c>
      <c r="B3832" s="7">
        <v>55077</v>
      </c>
      <c r="C3832" s="8">
        <f>DATE(2012,12,31)-454</f>
        <v>40820</v>
      </c>
      <c r="D3832" s="8" t="str">
        <f t="shared" si="72"/>
        <v>2011-10 (октябрь 2011)</v>
      </c>
      <c r="E3832" s="9" t="s">
        <v>78</v>
      </c>
      <c r="F3832" s="7">
        <v>2</v>
      </c>
      <c r="G3832" s="7">
        <v>31.7</v>
      </c>
      <c r="H3832" s="7">
        <v>0.05</v>
      </c>
      <c r="I3832" s="9" t="s">
        <v>22</v>
      </c>
      <c r="J3832" s="10">
        <v>-44.39</v>
      </c>
      <c r="K3832" s="11">
        <v>14.48</v>
      </c>
      <c r="L3832" s="11">
        <v>1.99</v>
      </c>
      <c r="M3832" s="9" t="s">
        <v>1689</v>
      </c>
      <c r="N3832" s="6" t="s">
        <v>1595</v>
      </c>
      <c r="O3832" s="6" t="s">
        <v>1595</v>
      </c>
      <c r="P3832" s="9" t="s">
        <v>41</v>
      </c>
      <c r="Q3832" s="9" t="s">
        <v>42</v>
      </c>
      <c r="R3832" s="9" t="s">
        <v>70</v>
      </c>
      <c r="S3832" s="7" t="s">
        <v>305</v>
      </c>
      <c r="T3832" s="9" t="s">
        <v>52</v>
      </c>
      <c r="U3832" s="7">
        <v>0.49</v>
      </c>
      <c r="V3832" s="12">
        <f>C3832+2</f>
        <v>40822</v>
      </c>
      <c r="W3832">
        <f>IF(D3832=' Pivot Tables'!$A$4,1,0)</f>
        <v>0</v>
      </c>
      <c r="X3832">
        <f>IF(AND(LEFT(D3832,4)+1=LEFT(' Pivot Tables'!$A$4,4)+0,RIGHT(LEFT(D3832,7),2)=RIGHT(LEFT(' Pivot Tables'!$A$4,7),2)),1,0)</f>
        <v>0</v>
      </c>
      <c r="Y3832" s="6">
        <f>1/COUNTIF(Таблица1[Order ID],Таблица1[[#This Row],[Order ID]])</f>
        <v>0.5</v>
      </c>
      <c r="Z3832" s="9">
        <f>1/COUNTIFS(Таблица1[Customer Name],Таблица1[[#This Row],[Customer Name]],Таблица1[Order-Year-Month],Таблица1[[#This Row],[Order-Year-Month]])</f>
        <v>0.5</v>
      </c>
    </row>
    <row r="3833" spans="1:26" x14ac:dyDescent="0.2">
      <c r="A3833" s="6">
        <v>7687</v>
      </c>
      <c r="B3833" s="7">
        <v>55077</v>
      </c>
      <c r="C3833" s="8">
        <f>DATE(2012,12,31)-454</f>
        <v>40820</v>
      </c>
      <c r="D3833" s="8" t="str">
        <f t="shared" si="72"/>
        <v>2011-10 (октябрь 2011)</v>
      </c>
      <c r="E3833" s="9" t="s">
        <v>78</v>
      </c>
      <c r="F3833" s="7">
        <v>3</v>
      </c>
      <c r="G3833" s="7">
        <v>143.98149999999998</v>
      </c>
      <c r="H3833" s="7">
        <v>0.08</v>
      </c>
      <c r="I3833" s="9" t="s">
        <v>22</v>
      </c>
      <c r="J3833" s="10">
        <v>-283.22800000000001</v>
      </c>
      <c r="K3833" s="11">
        <v>55.99</v>
      </c>
      <c r="L3833" s="11">
        <v>2.5</v>
      </c>
      <c r="M3833" s="9" t="s">
        <v>1689</v>
      </c>
      <c r="N3833" s="6" t="s">
        <v>1595</v>
      </c>
      <c r="O3833" s="6" t="s">
        <v>1595</v>
      </c>
      <c r="P3833" s="9" t="s">
        <v>41</v>
      </c>
      <c r="Q3833" s="9" t="s">
        <v>42</v>
      </c>
      <c r="R3833" s="9" t="s">
        <v>43</v>
      </c>
      <c r="S3833" s="7" t="s">
        <v>1323</v>
      </c>
      <c r="T3833" s="9" t="s">
        <v>52</v>
      </c>
      <c r="U3833" s="7">
        <v>0.83</v>
      </c>
      <c r="V3833" s="12">
        <f>C3833+2</f>
        <v>40822</v>
      </c>
      <c r="W3833">
        <f>IF(D3833=' Pivot Tables'!$A$4,1,0)</f>
        <v>0</v>
      </c>
      <c r="X3833">
        <f>IF(AND(LEFT(D3833,4)+1=LEFT(' Pivot Tables'!$A$4,4)+0,RIGHT(LEFT(D3833,7),2)=RIGHT(LEFT(' Pivot Tables'!$A$4,7),2)),1,0)</f>
        <v>0</v>
      </c>
      <c r="Y3833" s="6">
        <f>1/COUNTIF(Таблица1[Order ID],Таблица1[[#This Row],[Order ID]])</f>
        <v>0.5</v>
      </c>
      <c r="Z3833" s="9">
        <f>1/COUNTIFS(Таблица1[Customer Name],Таблица1[[#This Row],[Customer Name]],Таблица1[Order-Year-Month],Таблица1[[#This Row],[Order-Year-Month]])</f>
        <v>0.5</v>
      </c>
    </row>
    <row r="3834" spans="1:26" x14ac:dyDescent="0.2">
      <c r="A3834" s="6">
        <v>7703</v>
      </c>
      <c r="B3834" s="7">
        <v>55206</v>
      </c>
      <c r="C3834" s="8">
        <f>DATE(2012,12,31)-425</f>
        <v>40849</v>
      </c>
      <c r="D3834" s="8" t="str">
        <f t="shared" si="72"/>
        <v>2011-11 (ноябрь 2011)</v>
      </c>
      <c r="E3834" s="9" t="s">
        <v>63</v>
      </c>
      <c r="F3834" s="7">
        <v>20</v>
      </c>
      <c r="G3834" s="7">
        <v>52.7</v>
      </c>
      <c r="H3834" s="7">
        <v>0.03</v>
      </c>
      <c r="I3834" s="9" t="s">
        <v>56</v>
      </c>
      <c r="J3834" s="10">
        <v>-64.882999999999996</v>
      </c>
      <c r="K3834" s="11">
        <v>1.8</v>
      </c>
      <c r="L3834" s="11">
        <v>4.79</v>
      </c>
      <c r="M3834" s="9" t="s">
        <v>728</v>
      </c>
      <c r="N3834" s="6" t="s">
        <v>1595</v>
      </c>
      <c r="O3834" s="6" t="s">
        <v>1595</v>
      </c>
      <c r="P3834" s="9" t="s">
        <v>60</v>
      </c>
      <c r="Q3834" s="9" t="s">
        <v>26</v>
      </c>
      <c r="R3834" s="9" t="s">
        <v>37</v>
      </c>
      <c r="S3834" s="7" t="s">
        <v>835</v>
      </c>
      <c r="T3834" s="9" t="s">
        <v>39</v>
      </c>
      <c r="U3834" s="7">
        <v>0.37</v>
      </c>
      <c r="V3834" s="12">
        <f>C3834+1</f>
        <v>40850</v>
      </c>
      <c r="W3834">
        <f>IF(D3834=' Pivot Tables'!$A$4,1,0)</f>
        <v>0</v>
      </c>
      <c r="X3834">
        <f>IF(AND(LEFT(D3834,4)+1=LEFT(' Pivot Tables'!$A$4,4)+0,RIGHT(LEFT(D3834,7),2)=RIGHT(LEFT(' Pivot Tables'!$A$4,7),2)),1,0)</f>
        <v>0</v>
      </c>
      <c r="Y3834" s="6">
        <f>1/COUNTIF(Таблица1[Order ID],Таблица1[[#This Row],[Order ID]])</f>
        <v>1</v>
      </c>
      <c r="Z3834" s="9">
        <f>1/COUNTIFS(Таблица1[Customer Name],Таблица1[[#This Row],[Customer Name]],Таблица1[Order-Year-Month],Таблица1[[#This Row],[Order-Year-Month]])</f>
        <v>0.16666666666666666</v>
      </c>
    </row>
    <row r="3835" spans="1:26" x14ac:dyDescent="0.2">
      <c r="A3835" s="6">
        <v>7755</v>
      </c>
      <c r="B3835" s="7">
        <v>55492</v>
      </c>
      <c r="C3835" s="8">
        <f>DATE(2012,12,31)-469</f>
        <v>40805</v>
      </c>
      <c r="D3835" s="8" t="str">
        <f t="shared" si="72"/>
        <v>2011-09 (сентябрь 2011)</v>
      </c>
      <c r="E3835" s="9" t="s">
        <v>78</v>
      </c>
      <c r="F3835" s="7">
        <v>10</v>
      </c>
      <c r="G3835" s="7">
        <v>1124.2440000000001</v>
      </c>
      <c r="H3835" s="7">
        <v>0.03</v>
      </c>
      <c r="I3835" s="9" t="s">
        <v>56</v>
      </c>
      <c r="J3835" s="10">
        <v>-126.44499999999999</v>
      </c>
      <c r="K3835" s="11">
        <v>125.99</v>
      </c>
      <c r="L3835" s="11">
        <v>7.69</v>
      </c>
      <c r="M3835" s="9" t="s">
        <v>1689</v>
      </c>
      <c r="N3835" s="6" t="s">
        <v>1595</v>
      </c>
      <c r="O3835" s="6" t="s">
        <v>1595</v>
      </c>
      <c r="P3835" s="9" t="s">
        <v>41</v>
      </c>
      <c r="Q3835" s="9" t="s">
        <v>42</v>
      </c>
      <c r="R3835" s="9" t="s">
        <v>43</v>
      </c>
      <c r="S3835" s="7" t="s">
        <v>129</v>
      </c>
      <c r="T3835" s="9" t="s">
        <v>39</v>
      </c>
      <c r="U3835" s="7">
        <v>0.57999999999999996</v>
      </c>
      <c r="V3835" s="12">
        <f>C3835+2</f>
        <v>40807</v>
      </c>
      <c r="W3835">
        <f>IF(D3835=' Pivot Tables'!$A$4,1,0)</f>
        <v>0</v>
      </c>
      <c r="X3835">
        <f>IF(AND(LEFT(D3835,4)+1=LEFT(' Pivot Tables'!$A$4,4)+0,RIGHT(LEFT(D3835,7),2)=RIGHT(LEFT(' Pivot Tables'!$A$4,7),2)),1,0)</f>
        <v>0</v>
      </c>
      <c r="Y3835" s="6">
        <f>1/COUNTIF(Таблица1[Order ID],Таблица1[[#This Row],[Order ID]])</f>
        <v>1</v>
      </c>
      <c r="Z3835" s="9">
        <f>1/COUNTIFS(Таблица1[Customer Name],Таблица1[[#This Row],[Customer Name]],Таблица1[Order-Year-Month],Таблица1[[#This Row],[Order-Year-Month]])</f>
        <v>1</v>
      </c>
    </row>
    <row r="3836" spans="1:26" x14ac:dyDescent="0.2">
      <c r="A3836" s="6">
        <v>7789</v>
      </c>
      <c r="B3836" s="7">
        <v>55744</v>
      </c>
      <c r="C3836" s="8">
        <f>DATE(2012,12,31)-438</f>
        <v>40836</v>
      </c>
      <c r="D3836" s="8" t="str">
        <f t="shared" si="72"/>
        <v>2011-10 (октябрь 2011)</v>
      </c>
      <c r="E3836" s="9" t="s">
        <v>78</v>
      </c>
      <c r="F3836" s="7">
        <v>23</v>
      </c>
      <c r="G3836" s="7">
        <v>415.05500000000001</v>
      </c>
      <c r="H3836" s="7">
        <v>0.02</v>
      </c>
      <c r="I3836" s="9" t="s">
        <v>22</v>
      </c>
      <c r="J3836" s="10">
        <v>-44.131999999999998</v>
      </c>
      <c r="K3836" s="11">
        <v>20.99</v>
      </c>
      <c r="L3836" s="11">
        <v>0.99</v>
      </c>
      <c r="M3836" s="9" t="s">
        <v>1699</v>
      </c>
      <c r="N3836" s="6" t="s">
        <v>1595</v>
      </c>
      <c r="O3836" s="6" t="s">
        <v>1595</v>
      </c>
      <c r="P3836" s="9" t="s">
        <v>33</v>
      </c>
      <c r="Q3836" s="9" t="s">
        <v>42</v>
      </c>
      <c r="R3836" s="9" t="s">
        <v>43</v>
      </c>
      <c r="S3836" s="7" t="s">
        <v>1230</v>
      </c>
      <c r="T3836" s="9" t="s">
        <v>52</v>
      </c>
      <c r="U3836" s="7">
        <v>0.83</v>
      </c>
      <c r="V3836" s="12">
        <f>C3836+1</f>
        <v>40837</v>
      </c>
      <c r="W3836">
        <f>IF(D3836=' Pivot Tables'!$A$4,1,0)</f>
        <v>0</v>
      </c>
      <c r="X3836">
        <f>IF(AND(LEFT(D3836,4)+1=LEFT(' Pivot Tables'!$A$4,4)+0,RIGHT(LEFT(D3836,7),2)=RIGHT(LEFT(' Pivot Tables'!$A$4,7),2)),1,0)</f>
        <v>0</v>
      </c>
      <c r="Y3836" s="6">
        <f>1/COUNTIF(Таблица1[Order ID],Таблица1[[#This Row],[Order ID]])</f>
        <v>1</v>
      </c>
      <c r="Z3836" s="9">
        <f>1/COUNTIFS(Таблица1[Customer Name],Таблица1[[#This Row],[Customer Name]],Таблица1[Order-Year-Month],Таблица1[[#This Row],[Order-Year-Month]])</f>
        <v>1</v>
      </c>
    </row>
    <row r="3837" spans="1:26" x14ac:dyDescent="0.2">
      <c r="A3837" s="6">
        <v>7828</v>
      </c>
      <c r="B3837" s="7">
        <v>55968</v>
      </c>
      <c r="C3837" s="8">
        <f>DATE(2012,12,31)-92</f>
        <v>41182</v>
      </c>
      <c r="D3837" s="8" t="str">
        <f t="shared" si="72"/>
        <v>2012-09 (сентябрь 2012)</v>
      </c>
      <c r="E3837" s="9" t="s">
        <v>21</v>
      </c>
      <c r="F3837" s="7">
        <v>40</v>
      </c>
      <c r="G3837" s="7">
        <v>73.62</v>
      </c>
      <c r="H3837" s="7">
        <v>0.05</v>
      </c>
      <c r="I3837" s="9" t="s">
        <v>22</v>
      </c>
      <c r="J3837" s="10">
        <v>0.86</v>
      </c>
      <c r="K3837" s="11">
        <v>1.82</v>
      </c>
      <c r="L3837" s="11">
        <v>1</v>
      </c>
      <c r="M3837" s="9" t="s">
        <v>1695</v>
      </c>
      <c r="N3837" s="6" t="s">
        <v>1595</v>
      </c>
      <c r="O3837" s="6" t="s">
        <v>1595</v>
      </c>
      <c r="P3837" s="9" t="s">
        <v>60</v>
      </c>
      <c r="Q3837" s="9" t="s">
        <v>26</v>
      </c>
      <c r="R3837" s="9" t="s">
        <v>95</v>
      </c>
      <c r="S3837" s="7" t="s">
        <v>1480</v>
      </c>
      <c r="T3837" s="9" t="s">
        <v>68</v>
      </c>
      <c r="U3837" s="7">
        <v>0.4</v>
      </c>
      <c r="V3837" s="12">
        <f>C3837+2</f>
        <v>41184</v>
      </c>
      <c r="W3837">
        <f>IF(D3837=' Pivot Tables'!$A$4,1,0)</f>
        <v>0</v>
      </c>
      <c r="X3837">
        <f>IF(AND(LEFT(D3837,4)+1=LEFT(' Pivot Tables'!$A$4,4)+0,RIGHT(LEFT(D3837,7),2)=RIGHT(LEFT(' Pivot Tables'!$A$4,7),2)),1,0)</f>
        <v>0</v>
      </c>
      <c r="Y3837" s="6">
        <f>1/COUNTIF(Таблица1[Order ID],Таблица1[[#This Row],[Order ID]])</f>
        <v>1</v>
      </c>
      <c r="Z3837" s="9">
        <f>1/COUNTIFS(Таблица1[Customer Name],Таблица1[[#This Row],[Customer Name]],Таблица1[Order-Year-Month],Таблица1[[#This Row],[Order-Year-Month]])</f>
        <v>1</v>
      </c>
    </row>
    <row r="3838" spans="1:26" x14ac:dyDescent="0.2">
      <c r="A3838" s="6">
        <v>7868</v>
      </c>
      <c r="B3838" s="7">
        <v>56288</v>
      </c>
      <c r="C3838" s="8">
        <f>DATE(2012,12,31)-915</f>
        <v>40359</v>
      </c>
      <c r="D3838" s="8" t="str">
        <f t="shared" si="72"/>
        <v>2010-06 (июнь 2010)</v>
      </c>
      <c r="E3838" s="9" t="s">
        <v>45</v>
      </c>
      <c r="F3838" s="7">
        <v>37</v>
      </c>
      <c r="G3838" s="7">
        <v>1287.94</v>
      </c>
      <c r="H3838" s="7">
        <v>0.06</v>
      </c>
      <c r="I3838" s="9" t="s">
        <v>22</v>
      </c>
      <c r="J3838" s="10">
        <v>140.35</v>
      </c>
      <c r="K3838" s="11">
        <v>35.89</v>
      </c>
      <c r="L3838" s="11">
        <v>14.72</v>
      </c>
      <c r="M3838" s="9" t="s">
        <v>1679</v>
      </c>
      <c r="N3838" s="6" t="s">
        <v>1595</v>
      </c>
      <c r="O3838" s="6" t="s">
        <v>1595</v>
      </c>
      <c r="P3838" s="9" t="s">
        <v>25</v>
      </c>
      <c r="Q3838" s="9" t="s">
        <v>26</v>
      </c>
      <c r="R3838" s="9" t="s">
        <v>76</v>
      </c>
      <c r="S3838" s="7" t="s">
        <v>813</v>
      </c>
      <c r="T3838" s="9" t="s">
        <v>39</v>
      </c>
      <c r="U3838" s="7">
        <v>0.4</v>
      </c>
      <c r="V3838" s="12">
        <f>C3838+0</f>
        <v>40359</v>
      </c>
      <c r="W3838">
        <f>IF(D3838=' Pivot Tables'!$A$4,1,0)</f>
        <v>0</v>
      </c>
      <c r="X3838">
        <f>IF(AND(LEFT(D3838,4)+1=LEFT(' Pivot Tables'!$A$4,4)+0,RIGHT(LEFT(D3838,7),2)=RIGHT(LEFT(' Pivot Tables'!$A$4,7),2)),1,0)</f>
        <v>0</v>
      </c>
      <c r="Y3838" s="6">
        <f>1/COUNTIF(Таблица1[Order ID],Таблица1[[#This Row],[Order ID]])</f>
        <v>0.5</v>
      </c>
      <c r="Z3838" s="9">
        <f>1/COUNTIFS(Таблица1[Customer Name],Таблица1[[#This Row],[Customer Name]],Таблица1[Order-Year-Month],Таблица1[[#This Row],[Order-Year-Month]])</f>
        <v>0.5</v>
      </c>
    </row>
    <row r="3839" spans="1:26" x14ac:dyDescent="0.2">
      <c r="A3839" s="6">
        <v>7869</v>
      </c>
      <c r="B3839" s="7">
        <v>56288</v>
      </c>
      <c r="C3839" s="8">
        <f>DATE(2012,12,31)-915</f>
        <v>40359</v>
      </c>
      <c r="D3839" s="8" t="str">
        <f t="shared" si="72"/>
        <v>2010-06 (июнь 2010)</v>
      </c>
      <c r="E3839" s="9" t="s">
        <v>45</v>
      </c>
      <c r="F3839" s="7">
        <v>39</v>
      </c>
      <c r="G3839" s="7">
        <v>585.36</v>
      </c>
      <c r="H3839" s="7">
        <v>7.0000000000000007E-2</v>
      </c>
      <c r="I3839" s="9" t="s">
        <v>56</v>
      </c>
      <c r="J3839" s="10">
        <v>269.26</v>
      </c>
      <c r="K3839" s="11">
        <v>15.57</v>
      </c>
      <c r="L3839" s="11">
        <v>1.39</v>
      </c>
      <c r="M3839" s="9" t="s">
        <v>1679</v>
      </c>
      <c r="N3839" s="6" t="s">
        <v>1595</v>
      </c>
      <c r="O3839" s="6" t="s">
        <v>1595</v>
      </c>
      <c r="P3839" s="9" t="s">
        <v>25</v>
      </c>
      <c r="Q3839" s="9" t="s">
        <v>26</v>
      </c>
      <c r="R3839" s="9" t="s">
        <v>76</v>
      </c>
      <c r="S3839" s="7" t="s">
        <v>1176</v>
      </c>
      <c r="T3839" s="9" t="s">
        <v>39</v>
      </c>
      <c r="U3839" s="7">
        <v>0.38</v>
      </c>
      <c r="V3839" s="12">
        <f>C3839+2</f>
        <v>40361</v>
      </c>
      <c r="W3839">
        <f>IF(D3839=' Pivot Tables'!$A$4,1,0)</f>
        <v>0</v>
      </c>
      <c r="X3839">
        <f>IF(AND(LEFT(D3839,4)+1=LEFT(' Pivot Tables'!$A$4,4)+0,RIGHT(LEFT(D3839,7),2)=RIGHT(LEFT(' Pivot Tables'!$A$4,7),2)),1,0)</f>
        <v>0</v>
      </c>
      <c r="Y3839" s="6">
        <f>1/COUNTIF(Таблица1[Order ID],Таблица1[[#This Row],[Order ID]])</f>
        <v>0.5</v>
      </c>
      <c r="Z3839" s="9">
        <f>1/COUNTIFS(Таблица1[Customer Name],Таблица1[[#This Row],[Customer Name]],Таблица1[Order-Year-Month],Таблица1[[#This Row],[Order-Year-Month]])</f>
        <v>0.5</v>
      </c>
    </row>
    <row r="3840" spans="1:26" x14ac:dyDescent="0.2">
      <c r="A3840" s="6">
        <v>7870</v>
      </c>
      <c r="B3840" s="7">
        <v>56291</v>
      </c>
      <c r="C3840" s="8">
        <f>DATE(2012,12,31)-105</f>
        <v>41169</v>
      </c>
      <c r="D3840" s="8" t="str">
        <f t="shared" si="72"/>
        <v>2012-09 (сентябрь 2012)</v>
      </c>
      <c r="E3840" s="9" t="s">
        <v>45</v>
      </c>
      <c r="F3840" s="7">
        <v>22</v>
      </c>
      <c r="G3840" s="7">
        <v>11022.53</v>
      </c>
      <c r="H3840" s="7">
        <v>0.06</v>
      </c>
      <c r="I3840" s="9" t="s">
        <v>31</v>
      </c>
      <c r="J3840" s="10">
        <v>1869.86</v>
      </c>
      <c r="K3840" s="11">
        <v>517.48</v>
      </c>
      <c r="L3840" s="11">
        <v>16.63</v>
      </c>
      <c r="M3840" s="9" t="s">
        <v>1717</v>
      </c>
      <c r="N3840" s="6" t="s">
        <v>1595</v>
      </c>
      <c r="O3840" s="6" t="s">
        <v>1595</v>
      </c>
      <c r="P3840" s="9" t="s">
        <v>41</v>
      </c>
      <c r="Q3840" s="9" t="s">
        <v>42</v>
      </c>
      <c r="R3840" s="9" t="s">
        <v>210</v>
      </c>
      <c r="S3840" s="7" t="s">
        <v>851</v>
      </c>
      <c r="T3840" s="9" t="s">
        <v>82</v>
      </c>
      <c r="U3840" s="7">
        <v>0.59</v>
      </c>
      <c r="V3840" s="12">
        <f>C3840+2</f>
        <v>41171</v>
      </c>
      <c r="W3840">
        <f>IF(D3840=' Pivot Tables'!$A$4,1,0)</f>
        <v>0</v>
      </c>
      <c r="X3840">
        <f>IF(AND(LEFT(D3840,4)+1=LEFT(' Pivot Tables'!$A$4,4)+0,RIGHT(LEFT(D3840,7),2)=RIGHT(LEFT(' Pivot Tables'!$A$4,7),2)),1,0)</f>
        <v>0</v>
      </c>
      <c r="Y3840" s="6">
        <f>1/COUNTIF(Таблица1[Order ID],Таблица1[[#This Row],[Order ID]])</f>
        <v>0.33333333333333331</v>
      </c>
      <c r="Z3840" s="9">
        <f>1/COUNTIFS(Таблица1[Customer Name],Таблица1[[#This Row],[Customer Name]],Таблица1[Order-Year-Month],Таблица1[[#This Row],[Order-Year-Month]])</f>
        <v>0.33333333333333331</v>
      </c>
    </row>
    <row r="3841" spans="1:26" x14ac:dyDescent="0.2">
      <c r="A3841" s="6">
        <v>7871</v>
      </c>
      <c r="B3841" s="7">
        <v>56291</v>
      </c>
      <c r="C3841" s="8">
        <f>DATE(2012,12,31)-105</f>
        <v>41169</v>
      </c>
      <c r="D3841" s="8" t="str">
        <f t="shared" si="72"/>
        <v>2012-09 (сентябрь 2012)</v>
      </c>
      <c r="E3841" s="9" t="s">
        <v>45</v>
      </c>
      <c r="F3841" s="7">
        <v>25</v>
      </c>
      <c r="G3841" s="7">
        <v>377.37</v>
      </c>
      <c r="H3841" s="7">
        <v>0.04</v>
      </c>
      <c r="I3841" s="9" t="s">
        <v>22</v>
      </c>
      <c r="J3841" s="10">
        <v>151.4</v>
      </c>
      <c r="K3841" s="11">
        <v>15.04</v>
      </c>
      <c r="L3841" s="11">
        <v>1.97</v>
      </c>
      <c r="M3841" s="9" t="s">
        <v>1717</v>
      </c>
      <c r="N3841" s="6" t="s">
        <v>1595</v>
      </c>
      <c r="O3841" s="6" t="s">
        <v>1595</v>
      </c>
      <c r="P3841" s="9" t="s">
        <v>41</v>
      </c>
      <c r="Q3841" s="9" t="s">
        <v>26</v>
      </c>
      <c r="R3841" s="9" t="s">
        <v>61</v>
      </c>
      <c r="S3841" s="7" t="s">
        <v>688</v>
      </c>
      <c r="T3841" s="9" t="s">
        <v>68</v>
      </c>
      <c r="U3841" s="7">
        <v>0.39</v>
      </c>
      <c r="V3841" s="12">
        <f>C3841+0</f>
        <v>41169</v>
      </c>
      <c r="W3841">
        <f>IF(D3841=' Pivot Tables'!$A$4,1,0)</f>
        <v>0</v>
      </c>
      <c r="X3841">
        <f>IF(AND(LEFT(D3841,4)+1=LEFT(' Pivot Tables'!$A$4,4)+0,RIGHT(LEFT(D3841,7),2)=RIGHT(LEFT(' Pivot Tables'!$A$4,7),2)),1,0)</f>
        <v>0</v>
      </c>
      <c r="Y3841" s="6">
        <f>1/COUNTIF(Таблица1[Order ID],Таблица1[[#This Row],[Order ID]])</f>
        <v>0.33333333333333331</v>
      </c>
      <c r="Z3841" s="9">
        <f>1/COUNTIFS(Таблица1[Customer Name],Таблица1[[#This Row],[Customer Name]],Таблица1[Order-Year-Month],Таблица1[[#This Row],[Order-Year-Month]])</f>
        <v>0.33333333333333331</v>
      </c>
    </row>
    <row r="3842" spans="1:26" x14ac:dyDescent="0.2">
      <c r="A3842" s="6">
        <v>7872</v>
      </c>
      <c r="B3842" s="7">
        <v>56291</v>
      </c>
      <c r="C3842" s="8">
        <f>DATE(2012,12,31)-105</f>
        <v>41169</v>
      </c>
      <c r="D3842" s="8" t="str">
        <f t="shared" si="72"/>
        <v>2012-09 (сентябрь 2012)</v>
      </c>
      <c r="E3842" s="9" t="s">
        <v>45</v>
      </c>
      <c r="F3842" s="7">
        <v>47</v>
      </c>
      <c r="G3842" s="7">
        <v>1200.7</v>
      </c>
      <c r="H3842" s="7">
        <v>0.06</v>
      </c>
      <c r="I3842" s="9" t="s">
        <v>22</v>
      </c>
      <c r="J3842" s="10">
        <v>-37.270000000000003</v>
      </c>
      <c r="K3842" s="11">
        <v>24.98</v>
      </c>
      <c r="L3842" s="11">
        <v>8.7899999999999991</v>
      </c>
      <c r="M3842" s="9" t="s">
        <v>1717</v>
      </c>
      <c r="N3842" s="6" t="s">
        <v>1595</v>
      </c>
      <c r="O3842" s="6" t="s">
        <v>1595</v>
      </c>
      <c r="P3842" s="9" t="s">
        <v>41</v>
      </c>
      <c r="Q3842" s="9" t="s">
        <v>26</v>
      </c>
      <c r="R3842" s="9" t="s">
        <v>27</v>
      </c>
      <c r="S3842" s="7" t="s">
        <v>1476</v>
      </c>
      <c r="T3842" s="9" t="s">
        <v>39</v>
      </c>
      <c r="U3842" s="7">
        <v>0.66</v>
      </c>
      <c r="V3842" s="12">
        <f>C3842+1</f>
        <v>41170</v>
      </c>
      <c r="W3842">
        <f>IF(D3842=' Pivot Tables'!$A$4,1,0)</f>
        <v>0</v>
      </c>
      <c r="X3842">
        <f>IF(AND(LEFT(D3842,4)+1=LEFT(' Pivot Tables'!$A$4,4)+0,RIGHT(LEFT(D3842,7),2)=RIGHT(LEFT(' Pivot Tables'!$A$4,7),2)),1,0)</f>
        <v>0</v>
      </c>
      <c r="Y3842" s="6">
        <f>1/COUNTIF(Таблица1[Order ID],Таблица1[[#This Row],[Order ID]])</f>
        <v>0.33333333333333331</v>
      </c>
      <c r="Z3842" s="9">
        <f>1/COUNTIFS(Таблица1[Customer Name],Таблица1[[#This Row],[Customer Name]],Таблица1[Order-Year-Month],Таблица1[[#This Row],[Order-Year-Month]])</f>
        <v>0.33333333333333331</v>
      </c>
    </row>
    <row r="3843" spans="1:26" x14ac:dyDescent="0.2">
      <c r="A3843" s="6">
        <v>7898</v>
      </c>
      <c r="B3843" s="7">
        <v>56486</v>
      </c>
      <c r="C3843" s="8">
        <f>DATE(2012,12,31)-1313</f>
        <v>39961</v>
      </c>
      <c r="D3843" s="8" t="str">
        <f t="shared" ref="D3843:D3906" si="73">TEXT(C3843,"гггг-ММ (ММММ гггг)")</f>
        <v>2009-05 (май 2009)</v>
      </c>
      <c r="E3843" s="9" t="s">
        <v>78</v>
      </c>
      <c r="F3843" s="7">
        <v>11</v>
      </c>
      <c r="G3843" s="7">
        <v>73.62</v>
      </c>
      <c r="H3843" s="7">
        <v>0.03</v>
      </c>
      <c r="I3843" s="9" t="s">
        <v>22</v>
      </c>
      <c r="J3843" s="10">
        <v>-23.5</v>
      </c>
      <c r="K3843" s="11">
        <v>5.98</v>
      </c>
      <c r="L3843" s="11">
        <v>5.35</v>
      </c>
      <c r="M3843" s="9" t="s">
        <v>1673</v>
      </c>
      <c r="N3843" s="6" t="s">
        <v>1595</v>
      </c>
      <c r="O3843" s="6" t="s">
        <v>1595</v>
      </c>
      <c r="P3843" s="9" t="s">
        <v>41</v>
      </c>
      <c r="Q3843" s="9" t="s">
        <v>26</v>
      </c>
      <c r="R3843" s="9" t="s">
        <v>61</v>
      </c>
      <c r="S3843" s="7" t="s">
        <v>882</v>
      </c>
      <c r="T3843" s="9" t="s">
        <v>39</v>
      </c>
      <c r="U3843" s="7">
        <v>0.4</v>
      </c>
      <c r="V3843" s="12">
        <f>C3843+1</f>
        <v>39962</v>
      </c>
      <c r="W3843">
        <f>IF(D3843=' Pivot Tables'!$A$4,1,0)</f>
        <v>0</v>
      </c>
      <c r="X3843">
        <f>IF(AND(LEFT(D3843,4)+1=LEFT(' Pivot Tables'!$A$4,4)+0,RIGHT(LEFT(D3843,7),2)=RIGHT(LEFT(' Pivot Tables'!$A$4,7),2)),1,0)</f>
        <v>0</v>
      </c>
      <c r="Y3843" s="6">
        <f>1/COUNTIF(Таблица1[Order ID],Таблица1[[#This Row],[Order ID]])</f>
        <v>1</v>
      </c>
      <c r="Z3843" s="9">
        <f>1/COUNTIFS(Таблица1[Customer Name],Таблица1[[#This Row],[Customer Name]],Таблица1[Order-Year-Month],Таблица1[[#This Row],[Order-Year-Month]])</f>
        <v>1</v>
      </c>
    </row>
    <row r="3844" spans="1:26" x14ac:dyDescent="0.2">
      <c r="A3844" s="6">
        <v>7899</v>
      </c>
      <c r="B3844" s="7">
        <v>56514</v>
      </c>
      <c r="C3844" s="8">
        <f>DATE(2012,12,31)-324</f>
        <v>40950</v>
      </c>
      <c r="D3844" s="8" t="str">
        <f t="shared" si="73"/>
        <v>2012-02 (февраль 2012)</v>
      </c>
      <c r="E3844" s="9" t="s">
        <v>21</v>
      </c>
      <c r="F3844" s="7">
        <v>3</v>
      </c>
      <c r="G3844" s="7">
        <v>110</v>
      </c>
      <c r="H3844" s="7">
        <v>0.02</v>
      </c>
      <c r="I3844" s="9" t="s">
        <v>22</v>
      </c>
      <c r="J3844" s="10">
        <v>-24.425999999999998</v>
      </c>
      <c r="K3844" s="11">
        <v>30.98</v>
      </c>
      <c r="L3844" s="11">
        <v>11.63</v>
      </c>
      <c r="M3844" s="9" t="s">
        <v>1717</v>
      </c>
      <c r="N3844" s="6" t="s">
        <v>1595</v>
      </c>
      <c r="O3844" s="6" t="s">
        <v>1595</v>
      </c>
      <c r="P3844" s="9" t="s">
        <v>41</v>
      </c>
      <c r="Q3844" s="9" t="s">
        <v>26</v>
      </c>
      <c r="R3844" s="9" t="s">
        <v>37</v>
      </c>
      <c r="S3844" s="7" t="s">
        <v>228</v>
      </c>
      <c r="T3844" s="9" t="s">
        <v>39</v>
      </c>
      <c r="U3844" s="7">
        <v>0.37</v>
      </c>
      <c r="V3844" s="12">
        <f>C3844+7</f>
        <v>40957</v>
      </c>
      <c r="W3844">
        <f>IF(D3844=' Pivot Tables'!$A$4,1,0)</f>
        <v>0</v>
      </c>
      <c r="X3844">
        <f>IF(AND(LEFT(D3844,4)+1=LEFT(' Pivot Tables'!$A$4,4)+0,RIGHT(LEFT(D3844,7),2)=RIGHT(LEFT(' Pivot Tables'!$A$4,7),2)),1,0)</f>
        <v>0</v>
      </c>
      <c r="Y3844" s="6">
        <f>1/COUNTIF(Таблица1[Order ID],Таблица1[[#This Row],[Order ID]])</f>
        <v>0.5</v>
      </c>
      <c r="Z3844" s="9">
        <f>1/COUNTIFS(Таблица1[Customer Name],Таблица1[[#This Row],[Customer Name]],Таблица1[Order-Year-Month],Таблица1[[#This Row],[Order-Year-Month]])</f>
        <v>0.5</v>
      </c>
    </row>
    <row r="3845" spans="1:26" x14ac:dyDescent="0.2">
      <c r="A3845" s="6">
        <v>7900</v>
      </c>
      <c r="B3845" s="7">
        <v>56514</v>
      </c>
      <c r="C3845" s="8">
        <f>DATE(2012,12,31)-324</f>
        <v>40950</v>
      </c>
      <c r="D3845" s="8" t="str">
        <f t="shared" si="73"/>
        <v>2012-02 (февраль 2012)</v>
      </c>
      <c r="E3845" s="9" t="s">
        <v>21</v>
      </c>
      <c r="F3845" s="7">
        <v>35</v>
      </c>
      <c r="G3845" s="7">
        <v>186.89</v>
      </c>
      <c r="H3845" s="7">
        <v>0.02</v>
      </c>
      <c r="I3845" s="9" t="s">
        <v>22</v>
      </c>
      <c r="J3845" s="10">
        <v>-153.19999999999999</v>
      </c>
      <c r="K3845" s="11">
        <v>4.9800000000000004</v>
      </c>
      <c r="L3845" s="11">
        <v>7.54</v>
      </c>
      <c r="M3845" s="9" t="s">
        <v>1717</v>
      </c>
      <c r="N3845" s="6" t="s">
        <v>1595</v>
      </c>
      <c r="O3845" s="6" t="s">
        <v>1595</v>
      </c>
      <c r="P3845" s="9" t="s">
        <v>41</v>
      </c>
      <c r="Q3845" s="9" t="s">
        <v>26</v>
      </c>
      <c r="R3845" s="9" t="s">
        <v>61</v>
      </c>
      <c r="S3845" s="7" t="s">
        <v>1554</v>
      </c>
      <c r="T3845" s="9" t="s">
        <v>39</v>
      </c>
      <c r="U3845" s="7">
        <v>0.38</v>
      </c>
      <c r="V3845" s="12">
        <f>C3845+7</f>
        <v>40957</v>
      </c>
      <c r="W3845">
        <f>IF(D3845=' Pivot Tables'!$A$4,1,0)</f>
        <v>0</v>
      </c>
      <c r="X3845">
        <f>IF(AND(LEFT(D3845,4)+1=LEFT(' Pivot Tables'!$A$4,4)+0,RIGHT(LEFT(D3845,7),2)=RIGHT(LEFT(' Pivot Tables'!$A$4,7),2)),1,0)</f>
        <v>0</v>
      </c>
      <c r="Y3845" s="6">
        <f>1/COUNTIF(Таблица1[Order ID],Таблица1[[#This Row],[Order ID]])</f>
        <v>0.5</v>
      </c>
      <c r="Z3845" s="9">
        <f>1/COUNTIFS(Таблица1[Customer Name],Таблица1[[#This Row],[Customer Name]],Таблица1[Order-Year-Month],Таблица1[[#This Row],[Order-Year-Month]])</f>
        <v>0.5</v>
      </c>
    </row>
    <row r="3846" spans="1:26" x14ac:dyDescent="0.2">
      <c r="A3846" s="6">
        <v>7928</v>
      </c>
      <c r="B3846" s="7">
        <v>56672</v>
      </c>
      <c r="C3846" s="8">
        <f>DATE(2012,12,31)-233</f>
        <v>41041</v>
      </c>
      <c r="D3846" s="8" t="str">
        <f t="shared" si="73"/>
        <v>2012-05 (май 2012)</v>
      </c>
      <c r="E3846" s="9" t="s">
        <v>30</v>
      </c>
      <c r="F3846" s="7">
        <v>34</v>
      </c>
      <c r="G3846" s="7">
        <v>1132.32</v>
      </c>
      <c r="H3846" s="7">
        <v>0.1</v>
      </c>
      <c r="I3846" s="9" t="s">
        <v>22</v>
      </c>
      <c r="J3846" s="10">
        <v>77.45</v>
      </c>
      <c r="K3846" s="11">
        <v>36.549999999999997</v>
      </c>
      <c r="L3846" s="11">
        <v>13.89</v>
      </c>
      <c r="M3846" s="9" t="s">
        <v>1691</v>
      </c>
      <c r="N3846" s="6" t="s">
        <v>1595</v>
      </c>
      <c r="O3846" s="6" t="s">
        <v>1595</v>
      </c>
      <c r="P3846" s="9" t="s">
        <v>33</v>
      </c>
      <c r="Q3846" s="9" t="s">
        <v>26</v>
      </c>
      <c r="R3846" s="9" t="s">
        <v>95</v>
      </c>
      <c r="S3846" s="7" t="s">
        <v>290</v>
      </c>
      <c r="T3846" s="9" t="s">
        <v>68</v>
      </c>
      <c r="U3846" s="7">
        <v>0.41</v>
      </c>
      <c r="V3846" s="12">
        <f>C3846+1</f>
        <v>41042</v>
      </c>
      <c r="W3846">
        <f>IF(D3846=' Pivot Tables'!$A$4,1,0)</f>
        <v>0</v>
      </c>
      <c r="X3846">
        <f>IF(AND(LEFT(D3846,4)+1=LEFT(' Pivot Tables'!$A$4,4)+0,RIGHT(LEFT(D3846,7),2)=RIGHT(LEFT(' Pivot Tables'!$A$4,7),2)),1,0)</f>
        <v>0</v>
      </c>
      <c r="Y3846" s="6">
        <f>1/COUNTIF(Таблица1[Order ID],Таблица1[[#This Row],[Order ID]])</f>
        <v>0.33333333333333331</v>
      </c>
      <c r="Z3846" s="9">
        <f>1/COUNTIFS(Таблица1[Customer Name],Таблица1[[#This Row],[Customer Name]],Таблица1[Order-Year-Month],Таблица1[[#This Row],[Order-Year-Month]])</f>
        <v>0.33333333333333331</v>
      </c>
    </row>
    <row r="3847" spans="1:26" x14ac:dyDescent="0.2">
      <c r="A3847" s="6">
        <v>7929</v>
      </c>
      <c r="B3847" s="7">
        <v>56672</v>
      </c>
      <c r="C3847" s="8">
        <f>DATE(2012,12,31)-233</f>
        <v>41041</v>
      </c>
      <c r="D3847" s="8" t="str">
        <f t="shared" si="73"/>
        <v>2012-05 (май 2012)</v>
      </c>
      <c r="E3847" s="9" t="s">
        <v>30</v>
      </c>
      <c r="F3847" s="7">
        <v>8</v>
      </c>
      <c r="G3847" s="7">
        <v>593.64</v>
      </c>
      <c r="H3847" s="7">
        <v>0.02</v>
      </c>
      <c r="I3847" s="9" t="s">
        <v>31</v>
      </c>
      <c r="J3847" s="10">
        <v>65.246849999999995</v>
      </c>
      <c r="K3847" s="11">
        <v>85.29</v>
      </c>
      <c r="L3847" s="11">
        <v>60</v>
      </c>
      <c r="M3847" s="9" t="s">
        <v>1691</v>
      </c>
      <c r="N3847" s="6" t="s">
        <v>1595</v>
      </c>
      <c r="O3847" s="6" t="s">
        <v>1595</v>
      </c>
      <c r="P3847" s="9" t="s">
        <v>33</v>
      </c>
      <c r="Q3847" s="9" t="s">
        <v>49</v>
      </c>
      <c r="R3847" s="9" t="s">
        <v>83</v>
      </c>
      <c r="S3847" s="7" t="s">
        <v>679</v>
      </c>
      <c r="T3847" s="9" t="s">
        <v>36</v>
      </c>
      <c r="U3847" s="7">
        <v>0.56000000000000005</v>
      </c>
      <c r="V3847" s="12">
        <f>C3847+2</f>
        <v>41043</v>
      </c>
      <c r="W3847">
        <f>IF(D3847=' Pivot Tables'!$A$4,1,0)</f>
        <v>0</v>
      </c>
      <c r="X3847">
        <f>IF(AND(LEFT(D3847,4)+1=LEFT(' Pivot Tables'!$A$4,4)+0,RIGHT(LEFT(D3847,7),2)=RIGHT(LEFT(' Pivot Tables'!$A$4,7),2)),1,0)</f>
        <v>0</v>
      </c>
      <c r="Y3847" s="6">
        <f>1/COUNTIF(Таблица1[Order ID],Таблица1[[#This Row],[Order ID]])</f>
        <v>0.33333333333333331</v>
      </c>
      <c r="Z3847" s="9">
        <f>1/COUNTIFS(Таблица1[Customer Name],Таблица1[[#This Row],[Customer Name]],Таблица1[Order-Year-Month],Таблица1[[#This Row],[Order-Year-Month]])</f>
        <v>0.33333333333333331</v>
      </c>
    </row>
    <row r="3848" spans="1:26" x14ac:dyDescent="0.2">
      <c r="A3848" s="6">
        <v>7930</v>
      </c>
      <c r="B3848" s="7">
        <v>56672</v>
      </c>
      <c r="C3848" s="8">
        <f>DATE(2012,12,31)-233</f>
        <v>41041</v>
      </c>
      <c r="D3848" s="8" t="str">
        <f t="shared" si="73"/>
        <v>2012-05 (май 2012)</v>
      </c>
      <c r="E3848" s="9" t="s">
        <v>30</v>
      </c>
      <c r="F3848" s="7">
        <v>45</v>
      </c>
      <c r="G3848" s="7">
        <v>2438.3694999999998</v>
      </c>
      <c r="H3848" s="7">
        <v>0.1</v>
      </c>
      <c r="I3848" s="9" t="s">
        <v>22</v>
      </c>
      <c r="J3848" s="10">
        <v>317.19600000000003</v>
      </c>
      <c r="K3848" s="11">
        <v>65.989999999999995</v>
      </c>
      <c r="L3848" s="11">
        <v>8.99</v>
      </c>
      <c r="M3848" s="9" t="s">
        <v>1691</v>
      </c>
      <c r="N3848" s="6" t="s">
        <v>1595</v>
      </c>
      <c r="O3848" s="6" t="s">
        <v>1595</v>
      </c>
      <c r="P3848" s="9" t="s">
        <v>33</v>
      </c>
      <c r="Q3848" s="9" t="s">
        <v>42</v>
      </c>
      <c r="R3848" s="9" t="s">
        <v>43</v>
      </c>
      <c r="S3848" s="7" t="s">
        <v>1068</v>
      </c>
      <c r="T3848" s="9" t="s">
        <v>39</v>
      </c>
      <c r="U3848" s="7">
        <v>0.6</v>
      </c>
      <c r="V3848" s="12">
        <f>C3848+2</f>
        <v>41043</v>
      </c>
      <c r="W3848">
        <f>IF(D3848=' Pivot Tables'!$A$4,1,0)</f>
        <v>0</v>
      </c>
      <c r="X3848">
        <f>IF(AND(LEFT(D3848,4)+1=LEFT(' Pivot Tables'!$A$4,4)+0,RIGHT(LEFT(D3848,7),2)=RIGHT(LEFT(' Pivot Tables'!$A$4,7),2)),1,0)</f>
        <v>0</v>
      </c>
      <c r="Y3848" s="6">
        <f>1/COUNTIF(Таблица1[Order ID],Таблица1[[#This Row],[Order ID]])</f>
        <v>0.33333333333333331</v>
      </c>
      <c r="Z3848" s="9">
        <f>1/COUNTIFS(Таблица1[Customer Name],Таблица1[[#This Row],[Customer Name]],Таблица1[Order-Year-Month],Таблица1[[#This Row],[Order-Year-Month]])</f>
        <v>0.33333333333333331</v>
      </c>
    </row>
    <row r="3849" spans="1:26" x14ac:dyDescent="0.2">
      <c r="A3849" s="6">
        <v>7966</v>
      </c>
      <c r="B3849" s="7">
        <v>56931</v>
      </c>
      <c r="C3849" s="8">
        <f>DATE(2012,12,31)-1062</f>
        <v>40212</v>
      </c>
      <c r="D3849" s="8" t="str">
        <f t="shared" si="73"/>
        <v>2010-02 (февраль 2010)</v>
      </c>
      <c r="E3849" s="9" t="s">
        <v>30</v>
      </c>
      <c r="F3849" s="7">
        <v>34</v>
      </c>
      <c r="G3849" s="7">
        <v>232.41550000000001</v>
      </c>
      <c r="H3849" s="7">
        <v>0.05</v>
      </c>
      <c r="I3849" s="9" t="s">
        <v>22</v>
      </c>
      <c r="J3849" s="10">
        <v>-110.59400000000001</v>
      </c>
      <c r="K3849" s="11">
        <v>7.99</v>
      </c>
      <c r="L3849" s="11">
        <v>5.03</v>
      </c>
      <c r="M3849" s="9" t="s">
        <v>1702</v>
      </c>
      <c r="N3849" s="6" t="s">
        <v>1595</v>
      </c>
      <c r="O3849" s="6" t="s">
        <v>1595</v>
      </c>
      <c r="P3849" s="9" t="s">
        <v>25</v>
      </c>
      <c r="Q3849" s="9" t="s">
        <v>42</v>
      </c>
      <c r="R3849" s="9" t="s">
        <v>43</v>
      </c>
      <c r="S3849" s="7" t="s">
        <v>140</v>
      </c>
      <c r="T3849" s="9" t="s">
        <v>48</v>
      </c>
      <c r="U3849" s="7">
        <v>0.6</v>
      </c>
      <c r="V3849" s="12">
        <f>C3849+2</f>
        <v>40214</v>
      </c>
      <c r="W3849">
        <f>IF(D3849=' Pivot Tables'!$A$4,1,0)</f>
        <v>0</v>
      </c>
      <c r="X3849">
        <f>IF(AND(LEFT(D3849,4)+1=LEFT(' Pivot Tables'!$A$4,4)+0,RIGHT(LEFT(D3849,7),2)=RIGHT(LEFT(' Pivot Tables'!$A$4,7),2)),1,0)</f>
        <v>0</v>
      </c>
      <c r="Y3849" s="6">
        <f>1/COUNTIF(Таблица1[Order ID],Таблица1[[#This Row],[Order ID]])</f>
        <v>1</v>
      </c>
      <c r="Z3849" s="9">
        <f>1/COUNTIFS(Таблица1[Customer Name],Таблица1[[#This Row],[Customer Name]],Таблица1[Order-Year-Month],Таблица1[[#This Row],[Order-Year-Month]])</f>
        <v>0.5</v>
      </c>
    </row>
    <row r="3850" spans="1:26" x14ac:dyDescent="0.2">
      <c r="A3850" s="6">
        <v>7971</v>
      </c>
      <c r="B3850" s="7">
        <v>57025</v>
      </c>
      <c r="C3850" s="8">
        <f>DATE(2012,12,31)-188</f>
        <v>41086</v>
      </c>
      <c r="D3850" s="8" t="str">
        <f t="shared" si="73"/>
        <v>2012-06 (июнь 2012)</v>
      </c>
      <c r="E3850" s="9" t="s">
        <v>63</v>
      </c>
      <c r="F3850" s="7">
        <v>8</v>
      </c>
      <c r="G3850" s="7">
        <v>71.099999999999994</v>
      </c>
      <c r="H3850" s="7">
        <v>0.03</v>
      </c>
      <c r="I3850" s="9" t="s">
        <v>22</v>
      </c>
      <c r="J3850" s="10">
        <v>2.2865000000000002</v>
      </c>
      <c r="K3850" s="11">
        <v>8.69</v>
      </c>
      <c r="L3850" s="11">
        <v>2.99</v>
      </c>
      <c r="M3850" s="9" t="s">
        <v>1676</v>
      </c>
      <c r="N3850" s="6" t="s">
        <v>1595</v>
      </c>
      <c r="O3850" s="6" t="s">
        <v>1595</v>
      </c>
      <c r="P3850" s="9" t="s">
        <v>41</v>
      </c>
      <c r="Q3850" s="9" t="s">
        <v>26</v>
      </c>
      <c r="R3850" s="9" t="s">
        <v>37</v>
      </c>
      <c r="S3850" s="7" t="s">
        <v>38</v>
      </c>
      <c r="T3850" s="9" t="s">
        <v>39</v>
      </c>
      <c r="U3850" s="7">
        <v>0.39</v>
      </c>
      <c r="V3850" s="12">
        <f>C3850+2</f>
        <v>41088</v>
      </c>
      <c r="W3850">
        <f>IF(D3850=' Pivot Tables'!$A$4,1,0)</f>
        <v>0</v>
      </c>
      <c r="X3850">
        <f>IF(AND(LEFT(D3850,4)+1=LEFT(' Pivot Tables'!$A$4,4)+0,RIGHT(LEFT(D3850,7),2)=RIGHT(LEFT(' Pivot Tables'!$A$4,7),2)),1,0)</f>
        <v>0</v>
      </c>
      <c r="Y3850" s="6">
        <f>1/COUNTIF(Таблица1[Order ID],Таблица1[[#This Row],[Order ID]])</f>
        <v>1</v>
      </c>
      <c r="Z3850" s="9">
        <f>1/COUNTIFS(Таблица1[Customer Name],Таблица1[[#This Row],[Customer Name]],Таблица1[Order-Year-Month],Таблица1[[#This Row],[Order-Year-Month]])</f>
        <v>1</v>
      </c>
    </row>
    <row r="3851" spans="1:26" x14ac:dyDescent="0.2">
      <c r="A3851" s="6">
        <v>7979</v>
      </c>
      <c r="B3851" s="7">
        <v>57061</v>
      </c>
      <c r="C3851" s="8">
        <f>DATE(2012,12,31)-1127</f>
        <v>40147</v>
      </c>
      <c r="D3851" s="8" t="str">
        <f t="shared" si="73"/>
        <v>2009-11 (ноябрь 2009)</v>
      </c>
      <c r="E3851" s="9" t="s">
        <v>21</v>
      </c>
      <c r="F3851" s="7">
        <v>21</v>
      </c>
      <c r="G3851" s="7">
        <v>470.79</v>
      </c>
      <c r="H3851" s="7">
        <v>0.04</v>
      </c>
      <c r="I3851" s="9" t="s">
        <v>22</v>
      </c>
      <c r="J3851" s="10">
        <v>-80.108999999999995</v>
      </c>
      <c r="K3851" s="11">
        <v>22.38</v>
      </c>
      <c r="L3851" s="11">
        <v>15.1</v>
      </c>
      <c r="M3851" s="9" t="s">
        <v>1702</v>
      </c>
      <c r="N3851" s="6" t="s">
        <v>1595</v>
      </c>
      <c r="O3851" s="6" t="s">
        <v>1595</v>
      </c>
      <c r="P3851" s="9" t="s">
        <v>25</v>
      </c>
      <c r="Q3851" s="9" t="s">
        <v>26</v>
      </c>
      <c r="R3851" s="9" t="s">
        <v>37</v>
      </c>
      <c r="S3851" s="7" t="s">
        <v>415</v>
      </c>
      <c r="T3851" s="9" t="s">
        <v>39</v>
      </c>
      <c r="U3851" s="7">
        <v>0.38</v>
      </c>
      <c r="V3851" s="12">
        <f>C3851+7</f>
        <v>40154</v>
      </c>
      <c r="W3851">
        <f>IF(D3851=' Pivot Tables'!$A$4,1,0)</f>
        <v>0</v>
      </c>
      <c r="X3851">
        <f>IF(AND(LEFT(D3851,4)+1=LEFT(' Pivot Tables'!$A$4,4)+0,RIGHT(LEFT(D3851,7),2)=RIGHT(LEFT(' Pivot Tables'!$A$4,7),2)),1,0)</f>
        <v>0</v>
      </c>
      <c r="Y3851" s="6">
        <f>1/COUNTIF(Таблица1[Order ID],Таблица1[[#This Row],[Order ID]])</f>
        <v>0.33333333333333331</v>
      </c>
      <c r="Z3851" s="9">
        <f>1/COUNTIFS(Таблица1[Customer Name],Таблица1[[#This Row],[Customer Name]],Таблица1[Order-Year-Month],Таблица1[[#This Row],[Order-Year-Month]])</f>
        <v>0.33333333333333331</v>
      </c>
    </row>
    <row r="3852" spans="1:26" x14ac:dyDescent="0.2">
      <c r="A3852" s="6">
        <v>7980</v>
      </c>
      <c r="B3852" s="7">
        <v>57061</v>
      </c>
      <c r="C3852" s="8">
        <f>DATE(2012,12,31)-1127</f>
        <v>40147</v>
      </c>
      <c r="D3852" s="8" t="str">
        <f t="shared" si="73"/>
        <v>2009-11 (ноябрь 2009)</v>
      </c>
      <c r="E3852" s="9" t="s">
        <v>21</v>
      </c>
      <c r="F3852" s="7">
        <v>6</v>
      </c>
      <c r="G3852" s="7">
        <v>36.56</v>
      </c>
      <c r="H3852" s="7">
        <v>7.0000000000000007E-2</v>
      </c>
      <c r="I3852" s="9" t="s">
        <v>22</v>
      </c>
      <c r="J3852" s="10">
        <v>6.22</v>
      </c>
      <c r="K3852" s="11">
        <v>6.3</v>
      </c>
      <c r="L3852" s="11">
        <v>0.5</v>
      </c>
      <c r="M3852" s="9" t="s">
        <v>1702</v>
      </c>
      <c r="N3852" s="6" t="s">
        <v>1595</v>
      </c>
      <c r="O3852" s="6" t="s">
        <v>1595</v>
      </c>
      <c r="P3852" s="9" t="s">
        <v>25</v>
      </c>
      <c r="Q3852" s="9" t="s">
        <v>26</v>
      </c>
      <c r="R3852" s="9" t="s">
        <v>88</v>
      </c>
      <c r="S3852" s="7" t="s">
        <v>461</v>
      </c>
      <c r="T3852" s="9" t="s">
        <v>39</v>
      </c>
      <c r="U3852" s="7">
        <v>0.39</v>
      </c>
      <c r="V3852" s="12">
        <f>C3852+0</f>
        <v>40147</v>
      </c>
      <c r="W3852">
        <f>IF(D3852=' Pivot Tables'!$A$4,1,0)</f>
        <v>0</v>
      </c>
      <c r="X3852">
        <f>IF(AND(LEFT(D3852,4)+1=LEFT(' Pivot Tables'!$A$4,4)+0,RIGHT(LEFT(D3852,7),2)=RIGHT(LEFT(' Pivot Tables'!$A$4,7),2)),1,0)</f>
        <v>0</v>
      </c>
      <c r="Y3852" s="6">
        <f>1/COUNTIF(Таблица1[Order ID],Таблица1[[#This Row],[Order ID]])</f>
        <v>0.33333333333333331</v>
      </c>
      <c r="Z3852" s="9">
        <f>1/COUNTIFS(Таблица1[Customer Name],Таблица1[[#This Row],[Customer Name]],Таблица1[Order-Year-Month],Таблица1[[#This Row],[Order-Year-Month]])</f>
        <v>0.33333333333333331</v>
      </c>
    </row>
    <row r="3853" spans="1:26" x14ac:dyDescent="0.2">
      <c r="A3853" s="6">
        <v>7981</v>
      </c>
      <c r="B3853" s="7">
        <v>57061</v>
      </c>
      <c r="C3853" s="8">
        <f>DATE(2012,12,31)-1127</f>
        <v>40147</v>
      </c>
      <c r="D3853" s="8" t="str">
        <f t="shared" si="73"/>
        <v>2009-11 (ноябрь 2009)</v>
      </c>
      <c r="E3853" s="9" t="s">
        <v>21</v>
      </c>
      <c r="F3853" s="7">
        <v>3</v>
      </c>
      <c r="G3853" s="7">
        <v>55.17</v>
      </c>
      <c r="H3853" s="7">
        <v>0.06</v>
      </c>
      <c r="I3853" s="9" t="s">
        <v>22</v>
      </c>
      <c r="J3853" s="10">
        <v>46.84</v>
      </c>
      <c r="K3853" s="11">
        <v>17.78</v>
      </c>
      <c r="L3853" s="11">
        <v>5.03</v>
      </c>
      <c r="M3853" s="9" t="s">
        <v>1702</v>
      </c>
      <c r="N3853" s="6" t="s">
        <v>1595</v>
      </c>
      <c r="O3853" s="6" t="s">
        <v>1595</v>
      </c>
      <c r="P3853" s="9" t="s">
        <v>25</v>
      </c>
      <c r="Q3853" s="9" t="s">
        <v>49</v>
      </c>
      <c r="R3853" s="9" t="s">
        <v>50</v>
      </c>
      <c r="S3853" s="7" t="s">
        <v>723</v>
      </c>
      <c r="T3853" s="9" t="s">
        <v>39</v>
      </c>
      <c r="U3853" s="7">
        <v>0.54</v>
      </c>
      <c r="V3853" s="12">
        <f>C3853+2</f>
        <v>40149</v>
      </c>
      <c r="W3853">
        <f>IF(D3853=' Pivot Tables'!$A$4,1,0)</f>
        <v>0</v>
      </c>
      <c r="X3853">
        <f>IF(AND(LEFT(D3853,4)+1=LEFT(' Pivot Tables'!$A$4,4)+0,RIGHT(LEFT(D3853,7),2)=RIGHT(LEFT(' Pivot Tables'!$A$4,7),2)),1,0)</f>
        <v>0</v>
      </c>
      <c r="Y3853" s="6">
        <f>1/COUNTIF(Таблица1[Order ID],Таблица1[[#This Row],[Order ID]])</f>
        <v>0.33333333333333331</v>
      </c>
      <c r="Z3853" s="9">
        <f>1/COUNTIFS(Таблица1[Customer Name],Таблица1[[#This Row],[Customer Name]],Таблица1[Order-Year-Month],Таблица1[[#This Row],[Order-Year-Month]])</f>
        <v>0.33333333333333331</v>
      </c>
    </row>
    <row r="3854" spans="1:26" x14ac:dyDescent="0.2">
      <c r="A3854" s="6">
        <v>8008</v>
      </c>
      <c r="B3854" s="7">
        <v>57217</v>
      </c>
      <c r="C3854" s="8">
        <f>DATE(2012,12,31)-710</f>
        <v>40564</v>
      </c>
      <c r="D3854" s="8" t="str">
        <f t="shared" si="73"/>
        <v>2011-01 (январь 2011)</v>
      </c>
      <c r="E3854" s="9" t="s">
        <v>63</v>
      </c>
      <c r="F3854" s="7">
        <v>35</v>
      </c>
      <c r="G3854" s="7">
        <v>422.25</v>
      </c>
      <c r="H3854" s="7">
        <v>0.06</v>
      </c>
      <c r="I3854" s="9" t="s">
        <v>22</v>
      </c>
      <c r="J3854" s="10">
        <v>-116.02</v>
      </c>
      <c r="K3854" s="11">
        <v>11.66</v>
      </c>
      <c r="L3854" s="11">
        <v>7.95</v>
      </c>
      <c r="M3854" s="9" t="s">
        <v>1670</v>
      </c>
      <c r="N3854" s="6" t="s">
        <v>1595</v>
      </c>
      <c r="O3854" s="6" t="s">
        <v>1595</v>
      </c>
      <c r="P3854" s="9" t="s">
        <v>33</v>
      </c>
      <c r="Q3854" s="9" t="s">
        <v>26</v>
      </c>
      <c r="R3854" s="9" t="s">
        <v>95</v>
      </c>
      <c r="S3854" s="7" t="s">
        <v>555</v>
      </c>
      <c r="T3854" s="9" t="s">
        <v>52</v>
      </c>
      <c r="U3854" s="7">
        <v>0.57999999999999996</v>
      </c>
      <c r="V3854" s="12">
        <f>C3854+2</f>
        <v>40566</v>
      </c>
      <c r="W3854">
        <f>IF(D3854=' Pivot Tables'!$A$4,1,0)</f>
        <v>0</v>
      </c>
      <c r="X3854">
        <f>IF(AND(LEFT(D3854,4)+1=LEFT(' Pivot Tables'!$A$4,4)+0,RIGHT(LEFT(D3854,7),2)=RIGHT(LEFT(' Pivot Tables'!$A$4,7),2)),1,0)</f>
        <v>0</v>
      </c>
      <c r="Y3854" s="6">
        <f>1/COUNTIF(Таблица1[Order ID],Таблица1[[#This Row],[Order ID]])</f>
        <v>1</v>
      </c>
      <c r="Z3854" s="9">
        <f>1/COUNTIFS(Таблица1[Customer Name],Таблица1[[#This Row],[Customer Name]],Таблица1[Order-Year-Month],Таблица1[[#This Row],[Order-Year-Month]])</f>
        <v>1</v>
      </c>
    </row>
    <row r="3855" spans="1:26" x14ac:dyDescent="0.2">
      <c r="A3855" s="6">
        <v>8054</v>
      </c>
      <c r="B3855" s="7">
        <v>57504</v>
      </c>
      <c r="C3855" s="8">
        <f>DATE(2012,12,31)-1245</f>
        <v>40029</v>
      </c>
      <c r="D3855" s="8" t="str">
        <f t="shared" si="73"/>
        <v>2009-08 (август 2009)</v>
      </c>
      <c r="E3855" s="9" t="s">
        <v>45</v>
      </c>
      <c r="F3855" s="7">
        <v>44</v>
      </c>
      <c r="G3855" s="7">
        <v>357.48</v>
      </c>
      <c r="H3855" s="7">
        <v>0.01</v>
      </c>
      <c r="I3855" s="9" t="s">
        <v>22</v>
      </c>
      <c r="J3855" s="10">
        <v>160.02000000000001</v>
      </c>
      <c r="K3855" s="11">
        <v>7.64</v>
      </c>
      <c r="L3855" s="11">
        <v>1.39</v>
      </c>
      <c r="M3855" s="9" t="s">
        <v>1699</v>
      </c>
      <c r="N3855" s="6" t="s">
        <v>1595</v>
      </c>
      <c r="O3855" s="6" t="s">
        <v>1595</v>
      </c>
      <c r="P3855" s="9" t="s">
        <v>33</v>
      </c>
      <c r="Q3855" s="9" t="s">
        <v>26</v>
      </c>
      <c r="R3855" s="9" t="s">
        <v>76</v>
      </c>
      <c r="S3855" s="7" t="s">
        <v>1150</v>
      </c>
      <c r="T3855" s="9" t="s">
        <v>39</v>
      </c>
      <c r="U3855" s="7">
        <v>0.36</v>
      </c>
      <c r="V3855" s="12">
        <f>C3855+3</f>
        <v>40032</v>
      </c>
      <c r="W3855">
        <f>IF(D3855=' Pivot Tables'!$A$4,1,0)</f>
        <v>0</v>
      </c>
      <c r="X3855">
        <f>IF(AND(LEFT(D3855,4)+1=LEFT(' Pivot Tables'!$A$4,4)+0,RIGHT(LEFT(D3855,7),2)=RIGHT(LEFT(' Pivot Tables'!$A$4,7),2)),1,0)</f>
        <v>0</v>
      </c>
      <c r="Y3855" s="6">
        <f>1/COUNTIF(Таблица1[Order ID],Таблица1[[#This Row],[Order ID]])</f>
        <v>1</v>
      </c>
      <c r="Z3855" s="9">
        <f>1/COUNTIFS(Таблица1[Customer Name],Таблица1[[#This Row],[Customer Name]],Таблица1[Order-Year-Month],Таблица1[[#This Row],[Order-Year-Month]])</f>
        <v>1</v>
      </c>
    </row>
    <row r="3856" spans="1:26" x14ac:dyDescent="0.2">
      <c r="A3856" s="6">
        <v>8083</v>
      </c>
      <c r="B3856" s="7">
        <v>57666</v>
      </c>
      <c r="C3856" s="8">
        <f>DATE(2012,12,31)-1319</f>
        <v>39955</v>
      </c>
      <c r="D3856" s="8" t="str">
        <f t="shared" si="73"/>
        <v>2009-05 (май 2009)</v>
      </c>
      <c r="E3856" s="9" t="s">
        <v>45</v>
      </c>
      <c r="F3856" s="7">
        <v>45</v>
      </c>
      <c r="G3856" s="7">
        <v>1206.1500000000001</v>
      </c>
      <c r="H3856" s="7">
        <v>0.03</v>
      </c>
      <c r="I3856" s="9" t="s">
        <v>22</v>
      </c>
      <c r="J3856" s="10">
        <v>304.2</v>
      </c>
      <c r="K3856" s="11">
        <v>25.98</v>
      </c>
      <c r="L3856" s="11">
        <v>4.08</v>
      </c>
      <c r="M3856" s="9" t="s">
        <v>1679</v>
      </c>
      <c r="N3856" s="6" t="s">
        <v>1595</v>
      </c>
      <c r="O3856" s="6" t="s">
        <v>1595</v>
      </c>
      <c r="P3856" s="9" t="s">
        <v>25</v>
      </c>
      <c r="Q3856" s="9" t="s">
        <v>26</v>
      </c>
      <c r="R3856" s="9" t="s">
        <v>95</v>
      </c>
      <c r="S3856" s="7" t="s">
        <v>1138</v>
      </c>
      <c r="T3856" s="9" t="s">
        <v>52</v>
      </c>
      <c r="U3856" s="7">
        <v>0.56999999999999995</v>
      </c>
      <c r="V3856" s="12">
        <f>C3856+3</f>
        <v>39958</v>
      </c>
      <c r="W3856">
        <f>IF(D3856=' Pivot Tables'!$A$4,1,0)</f>
        <v>0</v>
      </c>
      <c r="X3856">
        <f>IF(AND(LEFT(D3856,4)+1=LEFT(' Pivot Tables'!$A$4,4)+0,RIGHT(LEFT(D3856,7),2)=RIGHT(LEFT(' Pivot Tables'!$A$4,7),2)),1,0)</f>
        <v>0</v>
      </c>
      <c r="Y3856" s="6">
        <f>1/COUNTIF(Таблица1[Order ID],Таблица1[[#This Row],[Order ID]])</f>
        <v>0.5</v>
      </c>
      <c r="Z3856" s="9">
        <f>1/COUNTIFS(Таблица1[Customer Name],Таблица1[[#This Row],[Customer Name]],Таблица1[Order-Year-Month],Таблица1[[#This Row],[Order-Year-Month]])</f>
        <v>0.5</v>
      </c>
    </row>
    <row r="3857" spans="1:26" x14ac:dyDescent="0.2">
      <c r="A3857" s="6">
        <v>8084</v>
      </c>
      <c r="B3857" s="7">
        <v>57666</v>
      </c>
      <c r="C3857" s="8">
        <f>DATE(2012,12,31)-1319</f>
        <v>39955</v>
      </c>
      <c r="D3857" s="8" t="str">
        <f t="shared" si="73"/>
        <v>2009-05 (май 2009)</v>
      </c>
      <c r="E3857" s="9" t="s">
        <v>45</v>
      </c>
      <c r="F3857" s="7">
        <v>44</v>
      </c>
      <c r="G3857" s="7">
        <v>941.99</v>
      </c>
      <c r="H3857" s="7">
        <v>0.1</v>
      </c>
      <c r="I3857" s="9" t="s">
        <v>31</v>
      </c>
      <c r="J3857" s="10">
        <v>-2111.36</v>
      </c>
      <c r="K3857" s="11">
        <v>20.98</v>
      </c>
      <c r="L3857" s="11">
        <v>53.03</v>
      </c>
      <c r="M3857" s="9" t="s">
        <v>1679</v>
      </c>
      <c r="N3857" s="6" t="s">
        <v>1595</v>
      </c>
      <c r="O3857" s="6" t="s">
        <v>1595</v>
      </c>
      <c r="P3857" s="9" t="s">
        <v>25</v>
      </c>
      <c r="Q3857" s="9" t="s">
        <v>26</v>
      </c>
      <c r="R3857" s="9" t="s">
        <v>27</v>
      </c>
      <c r="S3857" s="7" t="s">
        <v>218</v>
      </c>
      <c r="T3857" s="9" t="s">
        <v>36</v>
      </c>
      <c r="U3857" s="7">
        <v>0.78</v>
      </c>
      <c r="V3857" s="12">
        <f>C3857+0</f>
        <v>39955</v>
      </c>
      <c r="W3857">
        <f>IF(D3857=' Pivot Tables'!$A$4,1,0)</f>
        <v>0</v>
      </c>
      <c r="X3857">
        <f>IF(AND(LEFT(D3857,4)+1=LEFT(' Pivot Tables'!$A$4,4)+0,RIGHT(LEFT(D3857,7),2)=RIGHT(LEFT(' Pivot Tables'!$A$4,7),2)),1,0)</f>
        <v>0</v>
      </c>
      <c r="Y3857" s="6">
        <f>1/COUNTIF(Таблица1[Order ID],Таблица1[[#This Row],[Order ID]])</f>
        <v>0.5</v>
      </c>
      <c r="Z3857" s="9">
        <f>1/COUNTIFS(Таблица1[Customer Name],Таблица1[[#This Row],[Customer Name]],Таблица1[Order-Year-Month],Таблица1[[#This Row],[Order-Year-Month]])</f>
        <v>0.5</v>
      </c>
    </row>
    <row r="3858" spans="1:26" x14ac:dyDescent="0.2">
      <c r="A3858" s="6">
        <v>8183</v>
      </c>
      <c r="B3858" s="7">
        <v>58496</v>
      </c>
      <c r="C3858" s="8">
        <f>DATE(2012,12,31)-569</f>
        <v>40705</v>
      </c>
      <c r="D3858" s="8" t="str">
        <f t="shared" si="73"/>
        <v>2011-06 (июнь 2011)</v>
      </c>
      <c r="E3858" s="9" t="s">
        <v>45</v>
      </c>
      <c r="F3858" s="7">
        <v>20</v>
      </c>
      <c r="G3858" s="7">
        <v>137.97</v>
      </c>
      <c r="H3858" s="7">
        <v>0.06</v>
      </c>
      <c r="I3858" s="9" t="s">
        <v>22</v>
      </c>
      <c r="J3858" s="10">
        <v>-123.94</v>
      </c>
      <c r="K3858" s="11">
        <v>6.48</v>
      </c>
      <c r="L3858" s="11">
        <v>10.050000000000001</v>
      </c>
      <c r="M3858" s="9" t="s">
        <v>1702</v>
      </c>
      <c r="N3858" s="6" t="s">
        <v>1595</v>
      </c>
      <c r="O3858" s="6" t="s">
        <v>1595</v>
      </c>
      <c r="P3858" s="9" t="s">
        <v>25</v>
      </c>
      <c r="Q3858" s="9" t="s">
        <v>26</v>
      </c>
      <c r="R3858" s="9" t="s">
        <v>61</v>
      </c>
      <c r="S3858" s="7" t="s">
        <v>868</v>
      </c>
      <c r="T3858" s="9" t="s">
        <v>39</v>
      </c>
      <c r="U3858" s="7">
        <v>0.37</v>
      </c>
      <c r="V3858" s="12">
        <f>C3858+2</f>
        <v>40707</v>
      </c>
      <c r="W3858">
        <f>IF(D3858=' Pivot Tables'!$A$4,1,0)</f>
        <v>0</v>
      </c>
      <c r="X3858">
        <f>IF(AND(LEFT(D3858,4)+1=LEFT(' Pivot Tables'!$A$4,4)+0,RIGHT(LEFT(D3858,7),2)=RIGHT(LEFT(' Pivot Tables'!$A$4,7),2)),1,0)</f>
        <v>0</v>
      </c>
      <c r="Y3858" s="6">
        <f>1/COUNTIF(Таблица1[Order ID],Таблица1[[#This Row],[Order ID]])</f>
        <v>1</v>
      </c>
      <c r="Z3858" s="9">
        <f>1/COUNTIFS(Таблица1[Customer Name],Таблица1[[#This Row],[Customer Name]],Таблица1[Order-Year-Month],Таблица1[[#This Row],[Order-Year-Month]])</f>
        <v>1</v>
      </c>
    </row>
    <row r="3859" spans="1:26" x14ac:dyDescent="0.2">
      <c r="A3859" s="6">
        <v>8200</v>
      </c>
      <c r="B3859" s="7">
        <v>58628</v>
      </c>
      <c r="C3859" s="8">
        <f>DATE(2012,12,31)-1378</f>
        <v>39896</v>
      </c>
      <c r="D3859" s="8" t="str">
        <f t="shared" si="73"/>
        <v>2009-03 (март 2009)</v>
      </c>
      <c r="E3859" s="9" t="s">
        <v>63</v>
      </c>
      <c r="F3859" s="7">
        <v>23</v>
      </c>
      <c r="G3859" s="7">
        <v>2527.7919999999999</v>
      </c>
      <c r="H3859" s="7">
        <v>0.09</v>
      </c>
      <c r="I3859" s="9" t="s">
        <v>31</v>
      </c>
      <c r="J3859" s="10">
        <v>-335.31712500000003</v>
      </c>
      <c r="K3859" s="11">
        <v>138.75</v>
      </c>
      <c r="L3859" s="11">
        <v>52.42</v>
      </c>
      <c r="M3859" s="9" t="s">
        <v>1702</v>
      </c>
      <c r="N3859" s="6" t="s">
        <v>1595</v>
      </c>
      <c r="O3859" s="6" t="s">
        <v>1595</v>
      </c>
      <c r="P3859" s="9" t="s">
        <v>25</v>
      </c>
      <c r="Q3859" s="9" t="s">
        <v>49</v>
      </c>
      <c r="R3859" s="9" t="s">
        <v>83</v>
      </c>
      <c r="S3859" s="7" t="s">
        <v>1596</v>
      </c>
      <c r="T3859" s="9" t="s">
        <v>82</v>
      </c>
      <c r="U3859" s="7">
        <v>0.74</v>
      </c>
      <c r="V3859" s="12">
        <f>C3859+1</f>
        <v>39897</v>
      </c>
      <c r="W3859">
        <f>IF(D3859=' Pivot Tables'!$A$4,1,0)</f>
        <v>0</v>
      </c>
      <c r="X3859">
        <f>IF(AND(LEFT(D3859,4)+1=LEFT(' Pivot Tables'!$A$4,4)+0,RIGHT(LEFT(D3859,7),2)=RIGHT(LEFT(' Pivot Tables'!$A$4,7),2)),1,0)</f>
        <v>0</v>
      </c>
      <c r="Y3859" s="6">
        <f>1/COUNTIF(Таблица1[Order ID],Таблица1[[#This Row],[Order ID]])</f>
        <v>1</v>
      </c>
      <c r="Z3859" s="9">
        <f>1/COUNTIFS(Таблица1[Customer Name],Таблица1[[#This Row],[Customer Name]],Таблица1[Order-Year-Month],Таблица1[[#This Row],[Order-Year-Month]])</f>
        <v>1</v>
      </c>
    </row>
    <row r="3860" spans="1:26" x14ac:dyDescent="0.2">
      <c r="A3860" s="6">
        <v>8234</v>
      </c>
      <c r="B3860" s="7">
        <v>58854</v>
      </c>
      <c r="C3860" s="8">
        <f>DATE(2012,12,31)-982</f>
        <v>40292</v>
      </c>
      <c r="D3860" s="8" t="str">
        <f t="shared" si="73"/>
        <v>2010-04 (апрель 2010)</v>
      </c>
      <c r="E3860" s="9" t="s">
        <v>78</v>
      </c>
      <c r="F3860" s="7">
        <v>35</v>
      </c>
      <c r="G3860" s="7">
        <v>6130.9</v>
      </c>
      <c r="H3860" s="7">
        <v>0.03</v>
      </c>
      <c r="I3860" s="9" t="s">
        <v>31</v>
      </c>
      <c r="J3860" s="10">
        <v>583.15</v>
      </c>
      <c r="K3860" s="11">
        <v>170.98</v>
      </c>
      <c r="L3860" s="11">
        <v>35.89</v>
      </c>
      <c r="M3860" s="9" t="s">
        <v>1718</v>
      </c>
      <c r="N3860" s="6" t="s">
        <v>1595</v>
      </c>
      <c r="O3860" s="6" t="s">
        <v>1595</v>
      </c>
      <c r="P3860" s="9" t="s">
        <v>41</v>
      </c>
      <c r="Q3860" s="9" t="s">
        <v>49</v>
      </c>
      <c r="R3860" s="9" t="s">
        <v>80</v>
      </c>
      <c r="S3860" s="7" t="s">
        <v>964</v>
      </c>
      <c r="T3860" s="9" t="s">
        <v>82</v>
      </c>
      <c r="U3860" s="7">
        <v>0.66</v>
      </c>
      <c r="V3860" s="12">
        <f>C3860+1</f>
        <v>40293</v>
      </c>
      <c r="W3860">
        <f>IF(D3860=' Pivot Tables'!$A$4,1,0)</f>
        <v>0</v>
      </c>
      <c r="X3860">
        <f>IF(AND(LEFT(D3860,4)+1=LEFT(' Pivot Tables'!$A$4,4)+0,RIGHT(LEFT(D3860,7),2)=RIGHT(LEFT(' Pivot Tables'!$A$4,7),2)),1,0)</f>
        <v>0</v>
      </c>
      <c r="Y3860" s="6">
        <f>1/COUNTIF(Таблица1[Order ID],Таблица1[[#This Row],[Order ID]])</f>
        <v>0.5</v>
      </c>
      <c r="Z3860" s="9">
        <f>1/COUNTIFS(Таблица1[Customer Name],Таблица1[[#This Row],[Customer Name]],Таблица1[Order-Year-Month],Таблица1[[#This Row],[Order-Year-Month]])</f>
        <v>0.5</v>
      </c>
    </row>
    <row r="3861" spans="1:26" x14ac:dyDescent="0.2">
      <c r="A3861" s="6">
        <v>8235</v>
      </c>
      <c r="B3861" s="7">
        <v>58854</v>
      </c>
      <c r="C3861" s="8">
        <f>DATE(2012,12,31)-982</f>
        <v>40292</v>
      </c>
      <c r="D3861" s="8" t="str">
        <f t="shared" si="73"/>
        <v>2010-04 (апрель 2010)</v>
      </c>
      <c r="E3861" s="9" t="s">
        <v>78</v>
      </c>
      <c r="F3861" s="7">
        <v>10</v>
      </c>
      <c r="G3861" s="7">
        <v>193.20500000000001</v>
      </c>
      <c r="H3861" s="7">
        <v>0</v>
      </c>
      <c r="I3861" s="9" t="s">
        <v>22</v>
      </c>
      <c r="J3861" s="10">
        <v>-52.239000000000004</v>
      </c>
      <c r="K3861" s="11">
        <v>20.99</v>
      </c>
      <c r="L3861" s="11">
        <v>4.8099999999999996</v>
      </c>
      <c r="M3861" s="9" t="s">
        <v>1718</v>
      </c>
      <c r="N3861" s="6" t="s">
        <v>1595</v>
      </c>
      <c r="O3861" s="6" t="s">
        <v>1595</v>
      </c>
      <c r="P3861" s="9" t="s">
        <v>41</v>
      </c>
      <c r="Q3861" s="9" t="s">
        <v>42</v>
      </c>
      <c r="R3861" s="9" t="s">
        <v>43</v>
      </c>
      <c r="S3861" s="7" t="s">
        <v>760</v>
      </c>
      <c r="T3861" s="9" t="s">
        <v>48</v>
      </c>
      <c r="U3861" s="7">
        <v>0.57999999999999996</v>
      </c>
      <c r="V3861" s="12">
        <f>C3861+2</f>
        <v>40294</v>
      </c>
      <c r="W3861">
        <f>IF(D3861=' Pivot Tables'!$A$4,1,0)</f>
        <v>0</v>
      </c>
      <c r="X3861">
        <f>IF(AND(LEFT(D3861,4)+1=LEFT(' Pivot Tables'!$A$4,4)+0,RIGHT(LEFT(D3861,7),2)=RIGHT(LEFT(' Pivot Tables'!$A$4,7),2)),1,0)</f>
        <v>0</v>
      </c>
      <c r="Y3861" s="6">
        <f>1/COUNTIF(Таблица1[Order ID],Таблица1[[#This Row],[Order ID]])</f>
        <v>0.5</v>
      </c>
      <c r="Z3861" s="9">
        <f>1/COUNTIFS(Таблица1[Customer Name],Таблица1[[#This Row],[Customer Name]],Таблица1[Order-Year-Month],Таблица1[[#This Row],[Order-Year-Month]])</f>
        <v>0.5</v>
      </c>
    </row>
    <row r="3862" spans="1:26" x14ac:dyDescent="0.2">
      <c r="A3862" s="6">
        <v>8243</v>
      </c>
      <c r="B3862" s="7">
        <v>58917</v>
      </c>
      <c r="C3862" s="8">
        <f>DATE(2012,12,31)-304</f>
        <v>40970</v>
      </c>
      <c r="D3862" s="8" t="str">
        <f t="shared" si="73"/>
        <v>2012-03 (март 2012)</v>
      </c>
      <c r="E3862" s="9" t="s">
        <v>30</v>
      </c>
      <c r="F3862" s="7">
        <v>27</v>
      </c>
      <c r="G3862" s="7">
        <v>14300.26</v>
      </c>
      <c r="H3862" s="7">
        <v>0.01</v>
      </c>
      <c r="I3862" s="9" t="s">
        <v>22</v>
      </c>
      <c r="J3862" s="10">
        <v>6279.18</v>
      </c>
      <c r="K3862" s="11">
        <v>499.99</v>
      </c>
      <c r="L3862" s="11">
        <v>24.49</v>
      </c>
      <c r="M3862" s="9" t="s">
        <v>1672</v>
      </c>
      <c r="N3862" s="6" t="s">
        <v>1595</v>
      </c>
      <c r="O3862" s="6" t="s">
        <v>1595</v>
      </c>
      <c r="P3862" s="9" t="s">
        <v>25</v>
      </c>
      <c r="Q3862" s="9" t="s">
        <v>42</v>
      </c>
      <c r="R3862" s="9" t="s">
        <v>99</v>
      </c>
      <c r="S3862" s="7" t="s">
        <v>217</v>
      </c>
      <c r="T3862" s="9" t="s">
        <v>29</v>
      </c>
      <c r="U3862" s="7">
        <v>0.36</v>
      </c>
      <c r="V3862" s="12">
        <f>C3862+1</f>
        <v>40971</v>
      </c>
      <c r="W3862">
        <f>IF(D3862=' Pivot Tables'!$A$4,1,0)</f>
        <v>0</v>
      </c>
      <c r="X3862">
        <f>IF(AND(LEFT(D3862,4)+1=LEFT(' Pivot Tables'!$A$4,4)+0,RIGHT(LEFT(D3862,7),2)=RIGHT(LEFT(' Pivot Tables'!$A$4,7),2)),1,0)</f>
        <v>0</v>
      </c>
      <c r="Y3862" s="6">
        <f>1/COUNTIF(Таблица1[Order ID],Таблица1[[#This Row],[Order ID]])</f>
        <v>0.5</v>
      </c>
      <c r="Z3862" s="9">
        <f>1/COUNTIFS(Таблица1[Customer Name],Таблица1[[#This Row],[Customer Name]],Таблица1[Order-Year-Month],Таблица1[[#This Row],[Order-Year-Month]])</f>
        <v>0.5</v>
      </c>
    </row>
    <row r="3863" spans="1:26" x14ac:dyDescent="0.2">
      <c r="A3863" s="6">
        <v>8244</v>
      </c>
      <c r="B3863" s="7">
        <v>58917</v>
      </c>
      <c r="C3863" s="8">
        <f>DATE(2012,12,31)-304</f>
        <v>40970</v>
      </c>
      <c r="D3863" s="8" t="str">
        <f t="shared" si="73"/>
        <v>2012-03 (март 2012)</v>
      </c>
      <c r="E3863" s="9" t="s">
        <v>30</v>
      </c>
      <c r="F3863" s="7">
        <v>3</v>
      </c>
      <c r="G3863" s="7">
        <v>62.88</v>
      </c>
      <c r="H3863" s="7">
        <v>0.09</v>
      </c>
      <c r="I3863" s="9" t="s">
        <v>22</v>
      </c>
      <c r="J3863" s="10">
        <v>-25.96</v>
      </c>
      <c r="K3863" s="11">
        <v>21.98</v>
      </c>
      <c r="L3863" s="11">
        <v>2.87</v>
      </c>
      <c r="M3863" s="9" t="s">
        <v>1672</v>
      </c>
      <c r="N3863" s="6" t="s">
        <v>1595</v>
      </c>
      <c r="O3863" s="6" t="s">
        <v>1595</v>
      </c>
      <c r="P3863" s="9" t="s">
        <v>25</v>
      </c>
      <c r="Q3863" s="9" t="s">
        <v>26</v>
      </c>
      <c r="R3863" s="9" t="s">
        <v>95</v>
      </c>
      <c r="S3863" s="7" t="s">
        <v>488</v>
      </c>
      <c r="T3863" s="9" t="s">
        <v>52</v>
      </c>
      <c r="U3863" s="7">
        <v>0.55000000000000004</v>
      </c>
      <c r="V3863" s="12">
        <f>C3863+0</f>
        <v>40970</v>
      </c>
      <c r="W3863">
        <f>IF(D3863=' Pivot Tables'!$A$4,1,0)</f>
        <v>0</v>
      </c>
      <c r="X3863">
        <f>IF(AND(LEFT(D3863,4)+1=LEFT(' Pivot Tables'!$A$4,4)+0,RIGHT(LEFT(D3863,7),2)=RIGHT(LEFT(' Pivot Tables'!$A$4,7),2)),1,0)</f>
        <v>0</v>
      </c>
      <c r="Y3863" s="6">
        <f>1/COUNTIF(Таблица1[Order ID],Таблица1[[#This Row],[Order ID]])</f>
        <v>0.5</v>
      </c>
      <c r="Z3863" s="9">
        <f>1/COUNTIFS(Таблица1[Customer Name],Таблица1[[#This Row],[Customer Name]],Таблица1[Order-Year-Month],Таблица1[[#This Row],[Order-Year-Month]])</f>
        <v>0.5</v>
      </c>
    </row>
    <row r="3864" spans="1:26" x14ac:dyDescent="0.2">
      <c r="A3864" s="6">
        <v>8266</v>
      </c>
      <c r="B3864" s="7">
        <v>59104</v>
      </c>
      <c r="C3864" s="8">
        <f>DATE(2012,12,31)-1418</f>
        <v>39856</v>
      </c>
      <c r="D3864" s="8" t="str">
        <f t="shared" si="73"/>
        <v>2009-02 (февраль 2009)</v>
      </c>
      <c r="E3864" s="9" t="s">
        <v>30</v>
      </c>
      <c r="F3864" s="7">
        <v>13</v>
      </c>
      <c r="G3864" s="7">
        <v>197.61</v>
      </c>
      <c r="H3864" s="7">
        <v>0.08</v>
      </c>
      <c r="I3864" s="9" t="s">
        <v>56</v>
      </c>
      <c r="J3864" s="10">
        <v>3.4595000000000002</v>
      </c>
      <c r="K3864" s="11">
        <v>14.27</v>
      </c>
      <c r="L3864" s="11">
        <v>7.27</v>
      </c>
      <c r="M3864" s="9" t="s">
        <v>1072</v>
      </c>
      <c r="N3864" s="6" t="s">
        <v>1595</v>
      </c>
      <c r="O3864" s="6" t="s">
        <v>1595</v>
      </c>
      <c r="P3864" s="9" t="s">
        <v>25</v>
      </c>
      <c r="Q3864" s="9" t="s">
        <v>26</v>
      </c>
      <c r="R3864" s="9" t="s">
        <v>37</v>
      </c>
      <c r="S3864" s="7" t="s">
        <v>658</v>
      </c>
      <c r="T3864" s="9" t="s">
        <v>39</v>
      </c>
      <c r="U3864" s="7">
        <v>0.38</v>
      </c>
      <c r="V3864" s="12">
        <f>C3864+3</f>
        <v>39859</v>
      </c>
      <c r="W3864">
        <f>IF(D3864=' Pivot Tables'!$A$4,1,0)</f>
        <v>0</v>
      </c>
      <c r="X3864">
        <f>IF(AND(LEFT(D3864,4)+1=LEFT(' Pivot Tables'!$A$4,4)+0,RIGHT(LEFT(D3864,7),2)=RIGHT(LEFT(' Pivot Tables'!$A$4,7),2)),1,0)</f>
        <v>0</v>
      </c>
      <c r="Y3864" s="6">
        <f>1/COUNTIF(Таблица1[Order ID],Таблица1[[#This Row],[Order ID]])</f>
        <v>0.33333333333333331</v>
      </c>
      <c r="Z3864" s="9">
        <f>1/COUNTIFS(Таблица1[Customer Name],Таблица1[[#This Row],[Customer Name]],Таблица1[Order-Year-Month],Таблица1[[#This Row],[Order-Year-Month]])</f>
        <v>0.33333333333333331</v>
      </c>
    </row>
    <row r="3865" spans="1:26" x14ac:dyDescent="0.2">
      <c r="A3865" s="6">
        <v>8267</v>
      </c>
      <c r="B3865" s="7">
        <v>59104</v>
      </c>
      <c r="C3865" s="8">
        <f>DATE(2012,12,31)-1418</f>
        <v>39856</v>
      </c>
      <c r="D3865" s="8" t="str">
        <f t="shared" si="73"/>
        <v>2009-02 (февраль 2009)</v>
      </c>
      <c r="E3865" s="9" t="s">
        <v>30</v>
      </c>
      <c r="F3865" s="7">
        <v>22</v>
      </c>
      <c r="G3865" s="7">
        <v>68.92</v>
      </c>
      <c r="H3865" s="7">
        <v>0.04</v>
      </c>
      <c r="I3865" s="9" t="s">
        <v>22</v>
      </c>
      <c r="J3865" s="10">
        <v>2.63</v>
      </c>
      <c r="K3865" s="11">
        <v>2.98</v>
      </c>
      <c r="L3865" s="11">
        <v>1.58</v>
      </c>
      <c r="M3865" s="9" t="s">
        <v>1072</v>
      </c>
      <c r="N3865" s="6" t="s">
        <v>1595</v>
      </c>
      <c r="O3865" s="6" t="s">
        <v>1595</v>
      </c>
      <c r="P3865" s="9" t="s">
        <v>25</v>
      </c>
      <c r="Q3865" s="9" t="s">
        <v>26</v>
      </c>
      <c r="R3865" s="9" t="s">
        <v>66</v>
      </c>
      <c r="S3865" s="7" t="s">
        <v>1310</v>
      </c>
      <c r="T3865" s="9" t="s">
        <v>68</v>
      </c>
      <c r="U3865" s="7">
        <v>0.39</v>
      </c>
      <c r="V3865" s="12">
        <f>C3865+3</f>
        <v>39859</v>
      </c>
      <c r="W3865">
        <f>IF(D3865=' Pivot Tables'!$A$4,1,0)</f>
        <v>0</v>
      </c>
      <c r="X3865">
        <f>IF(AND(LEFT(D3865,4)+1=LEFT(' Pivot Tables'!$A$4,4)+0,RIGHT(LEFT(D3865,7),2)=RIGHT(LEFT(' Pivot Tables'!$A$4,7),2)),1,0)</f>
        <v>0</v>
      </c>
      <c r="Y3865" s="6">
        <f>1/COUNTIF(Таблица1[Order ID],Таблица1[[#This Row],[Order ID]])</f>
        <v>0.33333333333333331</v>
      </c>
      <c r="Z3865" s="9">
        <f>1/COUNTIFS(Таблица1[Customer Name],Таблица1[[#This Row],[Customer Name]],Таблица1[Order-Year-Month],Таблица1[[#This Row],[Order-Year-Month]])</f>
        <v>0.33333333333333331</v>
      </c>
    </row>
    <row r="3866" spans="1:26" x14ac:dyDescent="0.2">
      <c r="A3866" s="6">
        <v>8268</v>
      </c>
      <c r="B3866" s="7">
        <v>59104</v>
      </c>
      <c r="C3866" s="8">
        <f>DATE(2012,12,31)-1418</f>
        <v>39856</v>
      </c>
      <c r="D3866" s="8" t="str">
        <f t="shared" si="73"/>
        <v>2009-02 (февраль 2009)</v>
      </c>
      <c r="E3866" s="9" t="s">
        <v>30</v>
      </c>
      <c r="F3866" s="7">
        <v>38</v>
      </c>
      <c r="G3866" s="7">
        <v>3594.7434999999996</v>
      </c>
      <c r="H3866" s="7">
        <v>0.05</v>
      </c>
      <c r="I3866" s="9" t="s">
        <v>22</v>
      </c>
      <c r="J3866" s="10">
        <v>1016.973</v>
      </c>
      <c r="K3866" s="11">
        <v>115.99</v>
      </c>
      <c r="L3866" s="11">
        <v>2.5</v>
      </c>
      <c r="M3866" s="9" t="s">
        <v>1072</v>
      </c>
      <c r="N3866" s="6" t="s">
        <v>1595</v>
      </c>
      <c r="O3866" s="6" t="s">
        <v>1595</v>
      </c>
      <c r="P3866" s="9" t="s">
        <v>25</v>
      </c>
      <c r="Q3866" s="9" t="s">
        <v>42</v>
      </c>
      <c r="R3866" s="9" t="s">
        <v>43</v>
      </c>
      <c r="S3866" s="7" t="s">
        <v>1719</v>
      </c>
      <c r="T3866" s="9" t="s">
        <v>39</v>
      </c>
      <c r="U3866" s="7">
        <v>0.55000000000000004</v>
      </c>
      <c r="V3866" s="12">
        <f>C3866+2</f>
        <v>39858</v>
      </c>
      <c r="W3866">
        <f>IF(D3866=' Pivot Tables'!$A$4,1,0)</f>
        <v>0</v>
      </c>
      <c r="X3866">
        <f>IF(AND(LEFT(D3866,4)+1=LEFT(' Pivot Tables'!$A$4,4)+0,RIGHT(LEFT(D3866,7),2)=RIGHT(LEFT(' Pivot Tables'!$A$4,7),2)),1,0)</f>
        <v>0</v>
      </c>
      <c r="Y3866" s="6">
        <f>1/COUNTIF(Таблица1[Order ID],Таблица1[[#This Row],[Order ID]])</f>
        <v>0.33333333333333331</v>
      </c>
      <c r="Z3866" s="9">
        <f>1/COUNTIFS(Таблица1[Customer Name],Таблица1[[#This Row],[Customer Name]],Таблица1[Order-Year-Month],Таблица1[[#This Row],[Order-Year-Month]])</f>
        <v>0.33333333333333331</v>
      </c>
    </row>
    <row r="3867" spans="1:26" x14ac:dyDescent="0.2">
      <c r="A3867" s="6">
        <v>8389</v>
      </c>
      <c r="B3867" s="7">
        <v>59937</v>
      </c>
      <c r="C3867" s="8">
        <f>DATE(2012,12,31)-1099</f>
        <v>40175</v>
      </c>
      <c r="D3867" s="8" t="str">
        <f t="shared" si="73"/>
        <v>2009-12 (декабрь 2009)</v>
      </c>
      <c r="E3867" s="9" t="s">
        <v>30</v>
      </c>
      <c r="F3867" s="7">
        <v>7</v>
      </c>
      <c r="G3867" s="7">
        <v>235.98</v>
      </c>
      <c r="H3867" s="7">
        <v>0.02</v>
      </c>
      <c r="I3867" s="9" t="s">
        <v>22</v>
      </c>
      <c r="J3867" s="10">
        <v>-32.28</v>
      </c>
      <c r="K3867" s="11">
        <v>30.98</v>
      </c>
      <c r="L3867" s="11">
        <v>17.079999999999998</v>
      </c>
      <c r="M3867" s="9" t="s">
        <v>1672</v>
      </c>
      <c r="N3867" s="6" t="s">
        <v>1595</v>
      </c>
      <c r="O3867" s="6" t="s">
        <v>1595</v>
      </c>
      <c r="P3867" s="9" t="s">
        <v>25</v>
      </c>
      <c r="Q3867" s="9" t="s">
        <v>26</v>
      </c>
      <c r="R3867" s="9" t="s">
        <v>61</v>
      </c>
      <c r="S3867" s="7" t="s">
        <v>513</v>
      </c>
      <c r="T3867" s="9" t="s">
        <v>39</v>
      </c>
      <c r="U3867" s="7">
        <v>0.4</v>
      </c>
      <c r="V3867" s="12">
        <f>C3867+1</f>
        <v>40176</v>
      </c>
      <c r="W3867">
        <f>IF(D3867=' Pivot Tables'!$A$4,1,0)</f>
        <v>0</v>
      </c>
      <c r="X3867">
        <f>IF(AND(LEFT(D3867,4)+1=LEFT(' Pivot Tables'!$A$4,4)+0,RIGHT(LEFT(D3867,7),2)=RIGHT(LEFT(' Pivot Tables'!$A$4,7),2)),1,0)</f>
        <v>0</v>
      </c>
      <c r="Y3867" s="6">
        <f>1/COUNTIF(Таблица1[Order ID],Таблица1[[#This Row],[Order ID]])</f>
        <v>1</v>
      </c>
      <c r="Z3867" s="9">
        <f>1/COUNTIFS(Таблица1[Customer Name],Таблица1[[#This Row],[Customer Name]],Таблица1[Order-Year-Month],Таблица1[[#This Row],[Order-Year-Month]])</f>
        <v>1</v>
      </c>
    </row>
    <row r="3868" spans="1:26" x14ac:dyDescent="0.2">
      <c r="A3868" s="6">
        <v>66</v>
      </c>
      <c r="B3868" s="7">
        <v>386</v>
      </c>
      <c r="C3868" s="8">
        <f>DATE(2012,12,31)-707</f>
        <v>40567</v>
      </c>
      <c r="D3868" s="8" t="str">
        <f t="shared" si="73"/>
        <v>2011-01 (январь 2011)</v>
      </c>
      <c r="E3868" s="9" t="s">
        <v>30</v>
      </c>
      <c r="F3868" s="7">
        <v>4</v>
      </c>
      <c r="G3868" s="7">
        <v>14.96</v>
      </c>
      <c r="H3868" s="7">
        <v>0.02</v>
      </c>
      <c r="I3868" s="9" t="s">
        <v>22</v>
      </c>
      <c r="J3868" s="10">
        <v>-3.0000000000000249E-2</v>
      </c>
      <c r="K3868" s="11">
        <v>3.69</v>
      </c>
      <c r="L3868" s="11">
        <v>0.5</v>
      </c>
      <c r="M3868" s="9" t="s">
        <v>1495</v>
      </c>
      <c r="N3868" s="6" t="s">
        <v>1123</v>
      </c>
      <c r="O3868" s="6" t="s">
        <v>1123</v>
      </c>
      <c r="P3868" s="9" t="s">
        <v>41</v>
      </c>
      <c r="Q3868" s="9" t="s">
        <v>26</v>
      </c>
      <c r="R3868" s="9" t="s">
        <v>88</v>
      </c>
      <c r="S3868" s="7" t="s">
        <v>1445</v>
      </c>
      <c r="T3868" s="9" t="s">
        <v>39</v>
      </c>
      <c r="U3868" s="7">
        <v>0.38</v>
      </c>
      <c r="V3868" s="12">
        <f>C3868+2</f>
        <v>40569</v>
      </c>
      <c r="W3868">
        <f>IF(D3868=' Pivot Tables'!$A$4,1,0)</f>
        <v>0</v>
      </c>
      <c r="X3868">
        <f>IF(AND(LEFT(D3868,4)+1=LEFT(' Pivot Tables'!$A$4,4)+0,RIGHT(LEFT(D3868,7),2)=RIGHT(LEFT(' Pivot Tables'!$A$4,7),2)),1,0)</f>
        <v>0</v>
      </c>
      <c r="Y3868" s="6">
        <f>1/COUNTIF(Таблица1[Order ID],Таблица1[[#This Row],[Order ID]])</f>
        <v>0.5</v>
      </c>
      <c r="Z3868" s="9">
        <f>1/COUNTIFS(Таблица1[Customer Name],Таблица1[[#This Row],[Customer Name]],Таблица1[Order-Year-Month],Таблица1[[#This Row],[Order-Year-Month]])</f>
        <v>0.5</v>
      </c>
    </row>
    <row r="3869" spans="1:26" x14ac:dyDescent="0.2">
      <c r="A3869" s="6">
        <v>67</v>
      </c>
      <c r="B3869" s="7">
        <v>386</v>
      </c>
      <c r="C3869" s="8">
        <f>DATE(2012,12,31)-707</f>
        <v>40567</v>
      </c>
      <c r="D3869" s="8" t="str">
        <f t="shared" si="73"/>
        <v>2011-01 (январь 2011)</v>
      </c>
      <c r="E3869" s="9" t="s">
        <v>30</v>
      </c>
      <c r="F3869" s="7">
        <v>4</v>
      </c>
      <c r="G3869" s="7">
        <v>15.69</v>
      </c>
      <c r="H3869" s="7">
        <v>0.09</v>
      </c>
      <c r="I3869" s="9" t="s">
        <v>22</v>
      </c>
      <c r="J3869" s="10">
        <v>-1.59</v>
      </c>
      <c r="K3869" s="11">
        <v>3.85</v>
      </c>
      <c r="L3869" s="11">
        <v>0.7</v>
      </c>
      <c r="M3869" s="9" t="s">
        <v>1495</v>
      </c>
      <c r="N3869" s="6" t="s">
        <v>1123</v>
      </c>
      <c r="O3869" s="6" t="s">
        <v>1123</v>
      </c>
      <c r="P3869" s="9" t="s">
        <v>41</v>
      </c>
      <c r="Q3869" s="9" t="s">
        <v>26</v>
      </c>
      <c r="R3869" s="9" t="s">
        <v>95</v>
      </c>
      <c r="S3869" s="7" t="s">
        <v>1194</v>
      </c>
      <c r="T3869" s="9" t="s">
        <v>68</v>
      </c>
      <c r="U3869" s="7">
        <v>0.44</v>
      </c>
      <c r="V3869" s="12">
        <f>C3869+2</f>
        <v>40569</v>
      </c>
      <c r="W3869">
        <f>IF(D3869=' Pivot Tables'!$A$4,1,0)</f>
        <v>0</v>
      </c>
      <c r="X3869">
        <f>IF(AND(LEFT(D3869,4)+1=LEFT(' Pivot Tables'!$A$4,4)+0,RIGHT(LEFT(D3869,7),2)=RIGHT(LEFT(' Pivot Tables'!$A$4,7),2)),1,0)</f>
        <v>0</v>
      </c>
      <c r="Y3869" s="6">
        <f>1/COUNTIF(Таблица1[Order ID],Таблица1[[#This Row],[Order ID]])</f>
        <v>0.5</v>
      </c>
      <c r="Z3869" s="9">
        <f>1/COUNTIFS(Таблица1[Customer Name],Таблица1[[#This Row],[Customer Name]],Таблица1[Order-Year-Month],Таблица1[[#This Row],[Order-Year-Month]])</f>
        <v>0.5</v>
      </c>
    </row>
    <row r="3870" spans="1:26" x14ac:dyDescent="0.2">
      <c r="A3870" s="6">
        <v>69</v>
      </c>
      <c r="B3870" s="7">
        <v>416</v>
      </c>
      <c r="C3870" s="8">
        <f>DATE(2012,12,31)-827</f>
        <v>40447</v>
      </c>
      <c r="D3870" s="8" t="str">
        <f t="shared" si="73"/>
        <v>2010-09 (сентябрь 2010)</v>
      </c>
      <c r="E3870" s="9" t="s">
        <v>21</v>
      </c>
      <c r="F3870" s="7">
        <v>20</v>
      </c>
      <c r="G3870" s="7">
        <v>1156.6714999999999</v>
      </c>
      <c r="H3870" s="7">
        <v>0.01</v>
      </c>
      <c r="I3870" s="9" t="s">
        <v>56</v>
      </c>
      <c r="J3870" s="10">
        <v>88.524000000000001</v>
      </c>
      <c r="K3870" s="11">
        <v>65.989999999999995</v>
      </c>
      <c r="L3870" s="11">
        <v>7.69</v>
      </c>
      <c r="M3870" s="9" t="s">
        <v>1720</v>
      </c>
      <c r="N3870" s="6" t="s">
        <v>1123</v>
      </c>
      <c r="O3870" s="6" t="s">
        <v>1123</v>
      </c>
      <c r="P3870" s="9" t="s">
        <v>33</v>
      </c>
      <c r="Q3870" s="9" t="s">
        <v>42</v>
      </c>
      <c r="R3870" s="9" t="s">
        <v>43</v>
      </c>
      <c r="S3870" s="7" t="s">
        <v>923</v>
      </c>
      <c r="T3870" s="9" t="s">
        <v>39</v>
      </c>
      <c r="U3870" s="7">
        <v>0.59</v>
      </c>
      <c r="V3870" s="12">
        <f>C3870+5</f>
        <v>40452</v>
      </c>
      <c r="W3870">
        <f>IF(D3870=' Pivot Tables'!$A$4,1,0)</f>
        <v>0</v>
      </c>
      <c r="X3870">
        <f>IF(AND(LEFT(D3870,4)+1=LEFT(' Pivot Tables'!$A$4,4)+0,RIGHT(LEFT(D3870,7),2)=RIGHT(LEFT(' Pivot Tables'!$A$4,7),2)),1,0)</f>
        <v>0</v>
      </c>
      <c r="Y3870" s="6">
        <f>1/COUNTIF(Таблица1[Order ID],Таблица1[[#This Row],[Order ID]])</f>
        <v>1</v>
      </c>
      <c r="Z3870" s="9">
        <f>1/COUNTIFS(Таблица1[Customer Name],Таблица1[[#This Row],[Customer Name]],Таблица1[Order-Year-Month],Таблица1[[#This Row],[Order-Year-Month]])</f>
        <v>1</v>
      </c>
    </row>
    <row r="3871" spans="1:26" x14ac:dyDescent="0.2">
      <c r="A3871" s="6">
        <v>84</v>
      </c>
      <c r="B3871" s="7">
        <v>513</v>
      </c>
      <c r="C3871" s="8">
        <f>DATE(2012,12,31)-611</f>
        <v>40663</v>
      </c>
      <c r="D3871" s="8" t="str">
        <f t="shared" si="73"/>
        <v>2011-04 (апрель 2011)</v>
      </c>
      <c r="E3871" s="9" t="s">
        <v>30</v>
      </c>
      <c r="F3871" s="7">
        <v>33</v>
      </c>
      <c r="G3871" s="7">
        <v>5437.92</v>
      </c>
      <c r="H3871" s="7">
        <v>0</v>
      </c>
      <c r="I3871" s="9" t="s">
        <v>31</v>
      </c>
      <c r="J3871" s="10">
        <v>-684.57</v>
      </c>
      <c r="K3871" s="11">
        <v>150.88999999999999</v>
      </c>
      <c r="L3871" s="11">
        <v>60.2</v>
      </c>
      <c r="M3871" s="9" t="s">
        <v>1721</v>
      </c>
      <c r="N3871" s="6" t="s">
        <v>1123</v>
      </c>
      <c r="O3871" s="6" t="s">
        <v>1123</v>
      </c>
      <c r="P3871" s="9" t="s">
        <v>60</v>
      </c>
      <c r="Q3871" s="9" t="s">
        <v>49</v>
      </c>
      <c r="R3871" s="9" t="s">
        <v>112</v>
      </c>
      <c r="S3871" s="7" t="s">
        <v>933</v>
      </c>
      <c r="T3871" s="9" t="s">
        <v>36</v>
      </c>
      <c r="U3871" s="7">
        <v>0.77</v>
      </c>
      <c r="V3871" s="12">
        <f>C3871+0</f>
        <v>40663</v>
      </c>
      <c r="W3871">
        <f>IF(D3871=' Pivot Tables'!$A$4,1,0)</f>
        <v>0</v>
      </c>
      <c r="X3871">
        <f>IF(AND(LEFT(D3871,4)+1=LEFT(' Pivot Tables'!$A$4,4)+0,RIGHT(LEFT(D3871,7),2)=RIGHT(LEFT(' Pivot Tables'!$A$4,7),2)),1,0)</f>
        <v>0</v>
      </c>
      <c r="Y3871" s="6">
        <f>1/COUNTIF(Таблица1[Order ID],Таблица1[[#This Row],[Order ID]])</f>
        <v>1</v>
      </c>
      <c r="Z3871" s="9">
        <f>1/COUNTIFS(Таблица1[Customer Name],Таблица1[[#This Row],[Customer Name]],Таблица1[Order-Year-Month],Таблица1[[#This Row],[Order-Year-Month]])</f>
        <v>1</v>
      </c>
    </row>
    <row r="3872" spans="1:26" x14ac:dyDescent="0.2">
      <c r="A3872" s="6">
        <v>94</v>
      </c>
      <c r="B3872" s="7">
        <v>611</v>
      </c>
      <c r="C3872" s="8">
        <f>DATE(2012,12,31)-1070</f>
        <v>40204</v>
      </c>
      <c r="D3872" s="8" t="str">
        <f t="shared" si="73"/>
        <v>2010-01 (январь 2010)</v>
      </c>
      <c r="E3872" s="9" t="s">
        <v>78</v>
      </c>
      <c r="F3872" s="7">
        <v>47</v>
      </c>
      <c r="G3872" s="7">
        <v>840.04</v>
      </c>
      <c r="H3872" s="7">
        <v>0.04</v>
      </c>
      <c r="I3872" s="9" t="s">
        <v>22</v>
      </c>
      <c r="J3872" s="10">
        <v>-131.27000000000001</v>
      </c>
      <c r="K3872" s="11">
        <v>17.7</v>
      </c>
      <c r="L3872" s="11">
        <v>9.4700000000000006</v>
      </c>
      <c r="M3872" s="9" t="s">
        <v>1721</v>
      </c>
      <c r="N3872" s="6" t="s">
        <v>1123</v>
      </c>
      <c r="O3872" s="6" t="s">
        <v>1123</v>
      </c>
      <c r="P3872" s="9" t="s">
        <v>60</v>
      </c>
      <c r="Q3872" s="9" t="s">
        <v>26</v>
      </c>
      <c r="R3872" s="9" t="s">
        <v>27</v>
      </c>
      <c r="S3872" s="7" t="s">
        <v>1446</v>
      </c>
      <c r="T3872" s="9" t="s">
        <v>39</v>
      </c>
      <c r="U3872" s="7">
        <v>0.59</v>
      </c>
      <c r="V3872" s="12">
        <f>C3872+2</f>
        <v>40206</v>
      </c>
      <c r="W3872">
        <f>IF(D3872=' Pivot Tables'!$A$4,1,0)</f>
        <v>1</v>
      </c>
      <c r="X3872">
        <f>IF(AND(LEFT(D3872,4)+1=LEFT(' Pivot Tables'!$A$4,4)+0,RIGHT(LEFT(D3872,7),2)=RIGHT(LEFT(' Pivot Tables'!$A$4,7),2)),1,0)</f>
        <v>0</v>
      </c>
      <c r="Y3872" s="6">
        <f>1/COUNTIF(Таблица1[Order ID],Таблица1[[#This Row],[Order ID]])</f>
        <v>1</v>
      </c>
      <c r="Z3872" s="9">
        <f>1/COUNTIFS(Таблица1[Customer Name],Таблица1[[#This Row],[Customer Name]],Таблица1[Order-Year-Month],Таблица1[[#This Row],[Order-Year-Month]])</f>
        <v>1</v>
      </c>
    </row>
    <row r="3873" spans="1:26" x14ac:dyDescent="0.2">
      <c r="A3873" s="6">
        <v>124</v>
      </c>
      <c r="B3873" s="7">
        <v>802</v>
      </c>
      <c r="C3873" s="8">
        <f>DATE(2012,12,31)-727</f>
        <v>40547</v>
      </c>
      <c r="D3873" s="8" t="str">
        <f t="shared" si="73"/>
        <v>2011-01 (январь 2011)</v>
      </c>
      <c r="E3873" s="9" t="s">
        <v>78</v>
      </c>
      <c r="F3873" s="7">
        <v>33</v>
      </c>
      <c r="G3873" s="7">
        <v>378.6</v>
      </c>
      <c r="H3873" s="7">
        <v>0.08</v>
      </c>
      <c r="I3873" s="9" t="s">
        <v>22</v>
      </c>
      <c r="J3873" s="10">
        <v>12.724500000000001</v>
      </c>
      <c r="K3873" s="11">
        <v>11.7</v>
      </c>
      <c r="L3873" s="11">
        <v>5.63</v>
      </c>
      <c r="M3873" s="9" t="s">
        <v>1722</v>
      </c>
      <c r="N3873" s="6" t="s">
        <v>1123</v>
      </c>
      <c r="O3873" s="6" t="s">
        <v>1123</v>
      </c>
      <c r="P3873" s="9" t="s">
        <v>41</v>
      </c>
      <c r="Q3873" s="9" t="s">
        <v>26</v>
      </c>
      <c r="R3873" s="9" t="s">
        <v>37</v>
      </c>
      <c r="S3873" s="7" t="s">
        <v>1333</v>
      </c>
      <c r="T3873" s="9" t="s">
        <v>39</v>
      </c>
      <c r="U3873" s="7">
        <v>0.4</v>
      </c>
      <c r="V3873" s="12">
        <f>C3873+2</f>
        <v>40549</v>
      </c>
      <c r="W3873">
        <f>IF(D3873=' Pivot Tables'!$A$4,1,0)</f>
        <v>0</v>
      </c>
      <c r="X3873">
        <f>IF(AND(LEFT(D3873,4)+1=LEFT(' Pivot Tables'!$A$4,4)+0,RIGHT(LEFT(D3873,7),2)=RIGHT(LEFT(' Pivot Tables'!$A$4,7),2)),1,0)</f>
        <v>0</v>
      </c>
      <c r="Y3873" s="6">
        <f>1/COUNTIF(Таблица1[Order ID],Таблица1[[#This Row],[Order ID]])</f>
        <v>0.5</v>
      </c>
      <c r="Z3873" s="9">
        <f>1/COUNTIFS(Таблица1[Customer Name],Таблица1[[#This Row],[Customer Name]],Таблица1[Order-Year-Month],Таблица1[[#This Row],[Order-Year-Month]])</f>
        <v>0.5</v>
      </c>
    </row>
    <row r="3874" spans="1:26" x14ac:dyDescent="0.2">
      <c r="A3874" s="6">
        <v>125</v>
      </c>
      <c r="B3874" s="7">
        <v>802</v>
      </c>
      <c r="C3874" s="8">
        <f>DATE(2012,12,31)-727</f>
        <v>40547</v>
      </c>
      <c r="D3874" s="8" t="str">
        <f t="shared" si="73"/>
        <v>2011-01 (январь 2011)</v>
      </c>
      <c r="E3874" s="9" t="s">
        <v>78</v>
      </c>
      <c r="F3874" s="7">
        <v>2</v>
      </c>
      <c r="G3874" s="7">
        <v>38.5</v>
      </c>
      <c r="H3874" s="7">
        <v>0.09</v>
      </c>
      <c r="I3874" s="9" t="s">
        <v>22</v>
      </c>
      <c r="J3874" s="10">
        <v>-52.139099999999999</v>
      </c>
      <c r="K3874" s="11">
        <v>15.99</v>
      </c>
      <c r="L3874" s="11">
        <v>9.4</v>
      </c>
      <c r="M3874" s="9" t="s">
        <v>1722</v>
      </c>
      <c r="N3874" s="6" t="s">
        <v>1123</v>
      </c>
      <c r="O3874" s="6" t="s">
        <v>1123</v>
      </c>
      <c r="P3874" s="9" t="s">
        <v>41</v>
      </c>
      <c r="Q3874" s="9" t="s">
        <v>42</v>
      </c>
      <c r="R3874" s="9" t="s">
        <v>210</v>
      </c>
      <c r="S3874" s="7" t="s">
        <v>489</v>
      </c>
      <c r="T3874" s="9" t="s">
        <v>39</v>
      </c>
      <c r="U3874" s="7">
        <v>0.49</v>
      </c>
      <c r="V3874" s="12">
        <f>C3874+0</f>
        <v>40547</v>
      </c>
      <c r="W3874">
        <f>IF(D3874=' Pivot Tables'!$A$4,1,0)</f>
        <v>0</v>
      </c>
      <c r="X3874">
        <f>IF(AND(LEFT(D3874,4)+1=LEFT(' Pivot Tables'!$A$4,4)+0,RIGHT(LEFT(D3874,7),2)=RIGHT(LEFT(' Pivot Tables'!$A$4,7),2)),1,0)</f>
        <v>0</v>
      </c>
      <c r="Y3874" s="6">
        <f>1/COUNTIF(Таблица1[Order ID],Таблица1[[#This Row],[Order ID]])</f>
        <v>0.5</v>
      </c>
      <c r="Z3874" s="9">
        <f>1/COUNTIFS(Таблица1[Customer Name],Таблица1[[#This Row],[Customer Name]],Таблица1[Order-Year-Month],Таблица1[[#This Row],[Order-Year-Month]])</f>
        <v>0.5</v>
      </c>
    </row>
    <row r="3875" spans="1:26" x14ac:dyDescent="0.2">
      <c r="A3875" s="6">
        <v>150</v>
      </c>
      <c r="B3875" s="7">
        <v>960</v>
      </c>
      <c r="C3875" s="8">
        <f>DATE(2012,12,31)-1198</f>
        <v>40076</v>
      </c>
      <c r="D3875" s="8" t="str">
        <f t="shared" si="73"/>
        <v>2009-09 (сентябрь 2009)</v>
      </c>
      <c r="E3875" s="9" t="s">
        <v>63</v>
      </c>
      <c r="F3875" s="7">
        <v>46</v>
      </c>
      <c r="G3875" s="7">
        <v>605.97</v>
      </c>
      <c r="H3875" s="7">
        <v>7.0000000000000007E-2</v>
      </c>
      <c r="I3875" s="9" t="s">
        <v>22</v>
      </c>
      <c r="J3875" s="10">
        <v>-22.72</v>
      </c>
      <c r="K3875" s="11">
        <v>13.73</v>
      </c>
      <c r="L3875" s="11">
        <v>6.85</v>
      </c>
      <c r="M3875" s="9" t="s">
        <v>1723</v>
      </c>
      <c r="N3875" s="6" t="s">
        <v>1123</v>
      </c>
      <c r="O3875" s="6" t="s">
        <v>1123</v>
      </c>
      <c r="P3875" s="9" t="s">
        <v>33</v>
      </c>
      <c r="Q3875" s="9" t="s">
        <v>49</v>
      </c>
      <c r="R3875" s="9" t="s">
        <v>50</v>
      </c>
      <c r="S3875" s="7" t="s">
        <v>1058</v>
      </c>
      <c r="T3875" s="9" t="s">
        <v>68</v>
      </c>
      <c r="U3875" s="7">
        <v>0.54</v>
      </c>
      <c r="V3875" s="12">
        <f>C3875+1</f>
        <v>40077</v>
      </c>
      <c r="W3875">
        <f>IF(D3875=' Pivot Tables'!$A$4,1,0)</f>
        <v>0</v>
      </c>
      <c r="X3875">
        <f>IF(AND(LEFT(D3875,4)+1=LEFT(' Pivot Tables'!$A$4,4)+0,RIGHT(LEFT(D3875,7),2)=RIGHT(LEFT(' Pivot Tables'!$A$4,7),2)),1,0)</f>
        <v>0</v>
      </c>
      <c r="Y3875" s="6">
        <f>1/COUNTIF(Таблица1[Order ID],Таблица1[[#This Row],[Order ID]])</f>
        <v>1</v>
      </c>
      <c r="Z3875" s="9">
        <f>1/COUNTIFS(Таблица1[Customer Name],Таблица1[[#This Row],[Customer Name]],Таблица1[Order-Year-Month],Таблица1[[#This Row],[Order-Year-Month]])</f>
        <v>1</v>
      </c>
    </row>
    <row r="3876" spans="1:26" x14ac:dyDescent="0.2">
      <c r="A3876" s="6">
        <v>155</v>
      </c>
      <c r="B3876" s="7">
        <v>965</v>
      </c>
      <c r="C3876" s="8">
        <f>DATE(2012,12,31)-597</f>
        <v>40677</v>
      </c>
      <c r="D3876" s="8" t="str">
        <f t="shared" si="73"/>
        <v>2011-05 (май 2011)</v>
      </c>
      <c r="E3876" s="9" t="s">
        <v>21</v>
      </c>
      <c r="F3876" s="7">
        <v>42</v>
      </c>
      <c r="G3876" s="7">
        <v>11230.25</v>
      </c>
      <c r="H3876" s="7">
        <v>7.0000000000000007E-2</v>
      </c>
      <c r="I3876" s="9" t="s">
        <v>31</v>
      </c>
      <c r="J3876" s="10">
        <v>-679.0443660000002</v>
      </c>
      <c r="K3876" s="11">
        <v>280.98</v>
      </c>
      <c r="L3876" s="11">
        <v>35.67</v>
      </c>
      <c r="M3876" s="9" t="s">
        <v>1229</v>
      </c>
      <c r="N3876" s="6" t="s">
        <v>1123</v>
      </c>
      <c r="O3876" s="6" t="s">
        <v>1123</v>
      </c>
      <c r="P3876" s="9" t="s">
        <v>41</v>
      </c>
      <c r="Q3876" s="9" t="s">
        <v>49</v>
      </c>
      <c r="R3876" s="9" t="s">
        <v>83</v>
      </c>
      <c r="S3876" s="7" t="s">
        <v>526</v>
      </c>
      <c r="T3876" s="9" t="s">
        <v>82</v>
      </c>
      <c r="U3876" s="7">
        <v>0.66</v>
      </c>
      <c r="V3876" s="12">
        <f>C3876+7</f>
        <v>40684</v>
      </c>
      <c r="W3876">
        <f>IF(D3876=' Pivot Tables'!$A$4,1,0)</f>
        <v>0</v>
      </c>
      <c r="X3876">
        <f>IF(AND(LEFT(D3876,4)+1=LEFT(' Pivot Tables'!$A$4,4)+0,RIGHT(LEFT(D3876,7),2)=RIGHT(LEFT(' Pivot Tables'!$A$4,7),2)),1,0)</f>
        <v>0</v>
      </c>
      <c r="Y3876" s="6">
        <f>1/COUNTIF(Таблица1[Order ID],Таблица1[[#This Row],[Order ID]])</f>
        <v>1</v>
      </c>
      <c r="Z3876" s="9">
        <f>1/COUNTIFS(Таблица1[Customer Name],Таблица1[[#This Row],[Customer Name]],Таблица1[Order-Year-Month],Таблица1[[#This Row],[Order-Year-Month]])</f>
        <v>1</v>
      </c>
    </row>
    <row r="3877" spans="1:26" x14ac:dyDescent="0.2">
      <c r="A3877" s="6">
        <v>174</v>
      </c>
      <c r="B3877" s="7">
        <v>1127</v>
      </c>
      <c r="C3877" s="8">
        <f>DATE(2012,12,31)-470</f>
        <v>40804</v>
      </c>
      <c r="D3877" s="8" t="str">
        <f t="shared" si="73"/>
        <v>2011-09 (сентябрь 2011)</v>
      </c>
      <c r="E3877" s="9" t="s">
        <v>45</v>
      </c>
      <c r="F3877" s="7">
        <v>48</v>
      </c>
      <c r="G3877" s="7">
        <v>5340.5</v>
      </c>
      <c r="H3877" s="7">
        <v>0.01</v>
      </c>
      <c r="I3877" s="9" t="s">
        <v>22</v>
      </c>
      <c r="J3877" s="10">
        <v>1215.28</v>
      </c>
      <c r="K3877" s="11">
        <v>110.98</v>
      </c>
      <c r="L3877" s="11">
        <v>13.99</v>
      </c>
      <c r="M3877" s="9" t="s">
        <v>1720</v>
      </c>
      <c r="N3877" s="6" t="s">
        <v>1123</v>
      </c>
      <c r="O3877" s="6" t="s">
        <v>1123</v>
      </c>
      <c r="P3877" s="9" t="s">
        <v>33</v>
      </c>
      <c r="Q3877" s="9" t="s">
        <v>49</v>
      </c>
      <c r="R3877" s="9" t="s">
        <v>50</v>
      </c>
      <c r="S3877" s="7" t="s">
        <v>563</v>
      </c>
      <c r="T3877" s="9" t="s">
        <v>48</v>
      </c>
      <c r="U3877" s="7">
        <v>0.69</v>
      </c>
      <c r="V3877" s="12">
        <f>C3877+1</f>
        <v>40805</v>
      </c>
      <c r="W3877">
        <f>IF(D3877=' Pivot Tables'!$A$4,1,0)</f>
        <v>0</v>
      </c>
      <c r="X3877">
        <f>IF(AND(LEFT(D3877,4)+1=LEFT(' Pivot Tables'!$A$4,4)+0,RIGHT(LEFT(D3877,7),2)=RIGHT(LEFT(' Pivot Tables'!$A$4,7),2)),1,0)</f>
        <v>0</v>
      </c>
      <c r="Y3877" s="6">
        <f>1/COUNTIF(Таблица1[Order ID],Таблица1[[#This Row],[Order ID]])</f>
        <v>1</v>
      </c>
      <c r="Z3877" s="9">
        <f>1/COUNTIFS(Таблица1[Customer Name],Таблица1[[#This Row],[Customer Name]],Таблица1[Order-Year-Month],Таблица1[[#This Row],[Order-Year-Month]])</f>
        <v>1</v>
      </c>
    </row>
    <row r="3878" spans="1:26" x14ac:dyDescent="0.2">
      <c r="A3878" s="6">
        <v>226</v>
      </c>
      <c r="B3878" s="7">
        <v>1507</v>
      </c>
      <c r="C3878" s="8">
        <f>DATE(2012,12,31)-810</f>
        <v>40464</v>
      </c>
      <c r="D3878" s="8" t="str">
        <f t="shared" si="73"/>
        <v>2010-10 (октябрь 2010)</v>
      </c>
      <c r="E3878" s="9" t="s">
        <v>63</v>
      </c>
      <c r="F3878" s="7">
        <v>29</v>
      </c>
      <c r="G3878" s="7">
        <v>4345.8599999999997</v>
      </c>
      <c r="H3878" s="7">
        <v>0.09</v>
      </c>
      <c r="I3878" s="9" t="s">
        <v>22</v>
      </c>
      <c r="J3878" s="10">
        <v>126.62</v>
      </c>
      <c r="K3878" s="11">
        <v>152.47999999999999</v>
      </c>
      <c r="L3878" s="11">
        <v>4</v>
      </c>
      <c r="M3878" s="9" t="s">
        <v>1724</v>
      </c>
      <c r="N3878" s="6" t="s">
        <v>1123</v>
      </c>
      <c r="O3878" s="6" t="s">
        <v>1123</v>
      </c>
      <c r="P3878" s="9" t="s">
        <v>60</v>
      </c>
      <c r="Q3878" s="9" t="s">
        <v>42</v>
      </c>
      <c r="R3878" s="9" t="s">
        <v>70</v>
      </c>
      <c r="S3878" s="7" t="s">
        <v>844</v>
      </c>
      <c r="T3878" s="9" t="s">
        <v>39</v>
      </c>
      <c r="U3878" s="7">
        <v>0.79</v>
      </c>
      <c r="V3878" s="12">
        <f>C3878+2</f>
        <v>40466</v>
      </c>
      <c r="W3878">
        <f>IF(D3878=' Pivot Tables'!$A$4,1,0)</f>
        <v>0</v>
      </c>
      <c r="X3878">
        <f>IF(AND(LEFT(D3878,4)+1=LEFT(' Pivot Tables'!$A$4,4)+0,RIGHT(LEFT(D3878,7),2)=RIGHT(LEFT(' Pivot Tables'!$A$4,7),2)),1,0)</f>
        <v>0</v>
      </c>
      <c r="Y3878" s="6">
        <f>1/COUNTIF(Таблица1[Order ID],Таблица1[[#This Row],[Order ID]])</f>
        <v>1</v>
      </c>
      <c r="Z3878" s="9">
        <f>1/COUNTIFS(Таблица1[Customer Name],Таблица1[[#This Row],[Customer Name]],Таблица1[Order-Year-Month],Таблица1[[#This Row],[Order-Year-Month]])</f>
        <v>1</v>
      </c>
    </row>
    <row r="3879" spans="1:26" x14ac:dyDescent="0.2">
      <c r="A3879" s="6">
        <v>244</v>
      </c>
      <c r="B3879" s="7">
        <v>1665</v>
      </c>
      <c r="C3879" s="8">
        <f>DATE(2012,12,31)-1334</f>
        <v>39940</v>
      </c>
      <c r="D3879" s="8" t="str">
        <f t="shared" si="73"/>
        <v>2009-05 (май 2009)</v>
      </c>
      <c r="E3879" s="9" t="s">
        <v>30</v>
      </c>
      <c r="F3879" s="7">
        <v>26</v>
      </c>
      <c r="G3879" s="7">
        <v>755.60749999999996</v>
      </c>
      <c r="H3879" s="7">
        <v>0.05</v>
      </c>
      <c r="I3879" s="9" t="s">
        <v>22</v>
      </c>
      <c r="J3879" s="10">
        <v>149.166</v>
      </c>
      <c r="K3879" s="11">
        <v>35.99</v>
      </c>
      <c r="L3879" s="11">
        <v>1.1000000000000001</v>
      </c>
      <c r="M3879" s="9" t="s">
        <v>1725</v>
      </c>
      <c r="N3879" s="6" t="s">
        <v>1123</v>
      </c>
      <c r="O3879" s="6" t="s">
        <v>1123</v>
      </c>
      <c r="P3879" s="9" t="s">
        <v>41</v>
      </c>
      <c r="Q3879" s="9" t="s">
        <v>42</v>
      </c>
      <c r="R3879" s="9" t="s">
        <v>43</v>
      </c>
      <c r="S3879" s="7" t="s">
        <v>1082</v>
      </c>
      <c r="T3879" s="9" t="s">
        <v>39</v>
      </c>
      <c r="U3879" s="7">
        <v>0.55000000000000004</v>
      </c>
      <c r="V3879" s="12">
        <f>C3879+2</f>
        <v>39942</v>
      </c>
      <c r="W3879">
        <f>IF(D3879=' Pivot Tables'!$A$4,1,0)</f>
        <v>0</v>
      </c>
      <c r="X3879">
        <f>IF(AND(LEFT(D3879,4)+1=LEFT(' Pivot Tables'!$A$4,4)+0,RIGHT(LEFT(D3879,7),2)=RIGHT(LEFT(' Pivot Tables'!$A$4,7),2)),1,0)</f>
        <v>0</v>
      </c>
      <c r="Y3879" s="6">
        <f>1/COUNTIF(Таблица1[Order ID],Таблица1[[#This Row],[Order ID]])</f>
        <v>1</v>
      </c>
      <c r="Z3879" s="9">
        <f>1/COUNTIFS(Таблица1[Customer Name],Таблица1[[#This Row],[Customer Name]],Таблица1[Order-Year-Month],Таблица1[[#This Row],[Order-Year-Month]])</f>
        <v>1</v>
      </c>
    </row>
    <row r="3880" spans="1:26" x14ac:dyDescent="0.2">
      <c r="A3880" s="6">
        <v>281</v>
      </c>
      <c r="B3880" s="7">
        <v>1952</v>
      </c>
      <c r="C3880" s="8">
        <f>DATE(2012,12,31)-1387</f>
        <v>39887</v>
      </c>
      <c r="D3880" s="8" t="str">
        <f t="shared" si="73"/>
        <v>2009-03 (март 2009)</v>
      </c>
      <c r="E3880" s="9" t="s">
        <v>30</v>
      </c>
      <c r="F3880" s="7">
        <v>24</v>
      </c>
      <c r="G3880" s="7">
        <v>7287.55</v>
      </c>
      <c r="H3880" s="7">
        <v>0.04</v>
      </c>
      <c r="I3880" s="9" t="s">
        <v>31</v>
      </c>
      <c r="J3880" s="10">
        <v>-715.7782060000003</v>
      </c>
      <c r="K3880" s="11">
        <v>296.18</v>
      </c>
      <c r="L3880" s="11">
        <v>54.12</v>
      </c>
      <c r="M3880" s="9" t="s">
        <v>1726</v>
      </c>
      <c r="N3880" s="6" t="s">
        <v>1123</v>
      </c>
      <c r="O3880" s="6" t="s">
        <v>1123</v>
      </c>
      <c r="P3880" s="9" t="s">
        <v>41</v>
      </c>
      <c r="Q3880" s="9" t="s">
        <v>49</v>
      </c>
      <c r="R3880" s="9" t="s">
        <v>83</v>
      </c>
      <c r="S3880" s="7" t="s">
        <v>425</v>
      </c>
      <c r="T3880" s="9" t="s">
        <v>82</v>
      </c>
      <c r="U3880" s="7">
        <v>0.76</v>
      </c>
      <c r="V3880" s="12">
        <f>C3880+0</f>
        <v>39887</v>
      </c>
      <c r="W3880">
        <f>IF(D3880=' Pivot Tables'!$A$4,1,0)</f>
        <v>0</v>
      </c>
      <c r="X3880">
        <f>IF(AND(LEFT(D3880,4)+1=LEFT(' Pivot Tables'!$A$4,4)+0,RIGHT(LEFT(D3880,7),2)=RIGHT(LEFT(' Pivot Tables'!$A$4,7),2)),1,0)</f>
        <v>0</v>
      </c>
      <c r="Y3880" s="6">
        <f>1/COUNTIF(Таблица1[Order ID],Таблица1[[#This Row],[Order ID]])</f>
        <v>1</v>
      </c>
      <c r="Z3880" s="9">
        <f>1/COUNTIFS(Таблица1[Customer Name],Таблица1[[#This Row],[Customer Name]],Таблица1[Order-Year-Month],Таблица1[[#This Row],[Order-Year-Month]])</f>
        <v>1</v>
      </c>
    </row>
    <row r="3881" spans="1:26" x14ac:dyDescent="0.2">
      <c r="A3881" s="6">
        <v>282</v>
      </c>
      <c r="B3881" s="7">
        <v>1953</v>
      </c>
      <c r="C3881" s="8">
        <f>DATE(2012,12,31)-763</f>
        <v>40511</v>
      </c>
      <c r="D3881" s="8" t="str">
        <f t="shared" si="73"/>
        <v>2010-11 (ноябрь 2010)</v>
      </c>
      <c r="E3881" s="9" t="s">
        <v>63</v>
      </c>
      <c r="F3881" s="7">
        <v>13</v>
      </c>
      <c r="G3881" s="7">
        <v>137.63999999999999</v>
      </c>
      <c r="H3881" s="7">
        <v>0.06</v>
      </c>
      <c r="I3881" s="9" t="s">
        <v>22</v>
      </c>
      <c r="J3881" s="10">
        <v>19.592500000000001</v>
      </c>
      <c r="K3881" s="11">
        <v>10.91</v>
      </c>
      <c r="L3881" s="11">
        <v>2.99</v>
      </c>
      <c r="M3881" s="9" t="s">
        <v>1727</v>
      </c>
      <c r="N3881" s="6" t="s">
        <v>1123</v>
      </c>
      <c r="O3881" s="6" t="s">
        <v>1123</v>
      </c>
      <c r="P3881" s="9" t="s">
        <v>25</v>
      </c>
      <c r="Q3881" s="9" t="s">
        <v>26</v>
      </c>
      <c r="R3881" s="9" t="s">
        <v>37</v>
      </c>
      <c r="S3881" s="7" t="s">
        <v>357</v>
      </c>
      <c r="T3881" s="9" t="s">
        <v>39</v>
      </c>
      <c r="U3881" s="7">
        <v>0.38</v>
      </c>
      <c r="V3881" s="12">
        <f>C3881+0</f>
        <v>40511</v>
      </c>
      <c r="W3881">
        <f>IF(D3881=' Pivot Tables'!$A$4,1,0)</f>
        <v>0</v>
      </c>
      <c r="X3881">
        <f>IF(AND(LEFT(D3881,4)+1=LEFT(' Pivot Tables'!$A$4,4)+0,RIGHT(LEFT(D3881,7),2)=RIGHT(LEFT(' Pivot Tables'!$A$4,7),2)),1,0)</f>
        <v>0</v>
      </c>
      <c r="Y3881" s="6">
        <f>1/COUNTIF(Таблица1[Order ID],Таблица1[[#This Row],[Order ID]])</f>
        <v>1</v>
      </c>
      <c r="Z3881" s="9">
        <f>1/COUNTIFS(Таблица1[Customer Name],Таблица1[[#This Row],[Customer Name]],Таблица1[Order-Year-Month],Таблица1[[#This Row],[Order-Year-Month]])</f>
        <v>1</v>
      </c>
    </row>
    <row r="3882" spans="1:26" x14ac:dyDescent="0.2">
      <c r="A3882" s="6">
        <v>323</v>
      </c>
      <c r="B3882" s="7">
        <v>2213</v>
      </c>
      <c r="C3882" s="8">
        <f>DATE(2012,12,31)-1082</f>
        <v>40192</v>
      </c>
      <c r="D3882" s="8" t="str">
        <f t="shared" si="73"/>
        <v>2010-01 (январь 2010)</v>
      </c>
      <c r="E3882" s="9" t="s">
        <v>45</v>
      </c>
      <c r="F3882" s="7">
        <v>6</v>
      </c>
      <c r="G3882" s="7">
        <v>40.31</v>
      </c>
      <c r="H3882" s="7">
        <v>0.08</v>
      </c>
      <c r="I3882" s="9" t="s">
        <v>22</v>
      </c>
      <c r="J3882" s="10">
        <v>-32.270000000000003</v>
      </c>
      <c r="K3882" s="11">
        <v>5.78</v>
      </c>
      <c r="L3882" s="11">
        <v>8.09</v>
      </c>
      <c r="M3882" s="9" t="s">
        <v>1727</v>
      </c>
      <c r="N3882" s="6" t="s">
        <v>1123</v>
      </c>
      <c r="O3882" s="6" t="s">
        <v>1123</v>
      </c>
      <c r="P3882" s="9" t="s">
        <v>25</v>
      </c>
      <c r="Q3882" s="9" t="s">
        <v>26</v>
      </c>
      <c r="R3882" s="9" t="s">
        <v>61</v>
      </c>
      <c r="S3882" s="7" t="s">
        <v>259</v>
      </c>
      <c r="T3882" s="9" t="s">
        <v>39</v>
      </c>
      <c r="U3882" s="7">
        <v>0.36</v>
      </c>
      <c r="V3882" s="12">
        <f>C3882+1</f>
        <v>40193</v>
      </c>
      <c r="W3882">
        <f>IF(D3882=' Pivot Tables'!$A$4,1,0)</f>
        <v>1</v>
      </c>
      <c r="X3882">
        <f>IF(AND(LEFT(D3882,4)+1=LEFT(' Pivot Tables'!$A$4,4)+0,RIGHT(LEFT(D3882,7),2)=RIGHT(LEFT(' Pivot Tables'!$A$4,7),2)),1,0)</f>
        <v>0</v>
      </c>
      <c r="Y3882" s="6">
        <f>1/COUNTIF(Таблица1[Order ID],Таблица1[[#This Row],[Order ID]])</f>
        <v>1</v>
      </c>
      <c r="Z3882" s="9">
        <f>1/COUNTIFS(Таблица1[Customer Name],Таблица1[[#This Row],[Customer Name]],Таблица1[Order-Year-Month],Таблица1[[#This Row],[Order-Year-Month]])</f>
        <v>1</v>
      </c>
    </row>
    <row r="3883" spans="1:26" x14ac:dyDescent="0.2">
      <c r="A3883" s="6">
        <v>344</v>
      </c>
      <c r="B3883" s="7">
        <v>2368</v>
      </c>
      <c r="C3883" s="8">
        <f>DATE(2012,12,31)-865</f>
        <v>40409</v>
      </c>
      <c r="D3883" s="8" t="str">
        <f t="shared" si="73"/>
        <v>2010-08 (август 2010)</v>
      </c>
      <c r="E3883" s="9" t="s">
        <v>78</v>
      </c>
      <c r="F3883" s="7">
        <v>36</v>
      </c>
      <c r="G3883" s="7">
        <v>508.73</v>
      </c>
      <c r="H3883" s="7">
        <v>0.08</v>
      </c>
      <c r="I3883" s="9" t="s">
        <v>22</v>
      </c>
      <c r="J3883" s="10">
        <v>-229.67</v>
      </c>
      <c r="K3883" s="11">
        <v>14.81</v>
      </c>
      <c r="L3883" s="11">
        <v>13.32</v>
      </c>
      <c r="M3883" s="9" t="s">
        <v>1728</v>
      </c>
      <c r="N3883" s="6" t="s">
        <v>1123</v>
      </c>
      <c r="O3883" s="6" t="s">
        <v>1123</v>
      </c>
      <c r="P3883" s="9" t="s">
        <v>33</v>
      </c>
      <c r="Q3883" s="9" t="s">
        <v>26</v>
      </c>
      <c r="R3883" s="9" t="s">
        <v>34</v>
      </c>
      <c r="S3883" s="7" t="s">
        <v>683</v>
      </c>
      <c r="T3883" s="9" t="s">
        <v>39</v>
      </c>
      <c r="U3883" s="7">
        <v>0.43</v>
      </c>
      <c r="V3883" s="12">
        <f>C3883+2</f>
        <v>40411</v>
      </c>
      <c r="W3883">
        <f>IF(D3883=' Pivot Tables'!$A$4,1,0)</f>
        <v>0</v>
      </c>
      <c r="X3883">
        <f>IF(AND(LEFT(D3883,4)+1=LEFT(' Pivot Tables'!$A$4,4)+0,RIGHT(LEFT(D3883,7),2)=RIGHT(LEFT(' Pivot Tables'!$A$4,7),2)),1,0)</f>
        <v>0</v>
      </c>
      <c r="Y3883" s="6">
        <f>1/COUNTIF(Таблица1[Order ID],Таблица1[[#This Row],[Order ID]])</f>
        <v>1</v>
      </c>
      <c r="Z3883" s="9">
        <f>1/COUNTIFS(Таблица1[Customer Name],Таблица1[[#This Row],[Customer Name]],Таблица1[Order-Year-Month],Таблица1[[#This Row],[Order-Year-Month]])</f>
        <v>1</v>
      </c>
    </row>
    <row r="3884" spans="1:26" x14ac:dyDescent="0.2">
      <c r="A3884" s="6">
        <v>365</v>
      </c>
      <c r="B3884" s="7">
        <v>2560</v>
      </c>
      <c r="C3884" s="8">
        <f>DATE(2012,12,31)-118</f>
        <v>41156</v>
      </c>
      <c r="D3884" s="8" t="str">
        <f t="shared" si="73"/>
        <v>2012-09 (сентябрь 2012)</v>
      </c>
      <c r="E3884" s="9" t="s">
        <v>78</v>
      </c>
      <c r="F3884" s="7">
        <v>32</v>
      </c>
      <c r="G3884" s="7">
        <v>731.22</v>
      </c>
      <c r="H3884" s="7">
        <v>0</v>
      </c>
      <c r="I3884" s="9" t="s">
        <v>22</v>
      </c>
      <c r="J3884" s="10">
        <v>-84.07</v>
      </c>
      <c r="K3884" s="11">
        <v>20.97</v>
      </c>
      <c r="L3884" s="11">
        <v>6.5</v>
      </c>
      <c r="M3884" s="9" t="s">
        <v>1724</v>
      </c>
      <c r="N3884" s="6" t="s">
        <v>1123</v>
      </c>
      <c r="O3884" s="6" t="s">
        <v>1123</v>
      </c>
      <c r="P3884" s="9" t="s">
        <v>60</v>
      </c>
      <c r="Q3884" s="9" t="s">
        <v>42</v>
      </c>
      <c r="R3884" s="9" t="s">
        <v>70</v>
      </c>
      <c r="S3884" s="7" t="s">
        <v>262</v>
      </c>
      <c r="T3884" s="9" t="s">
        <v>39</v>
      </c>
      <c r="U3884" s="7">
        <v>0.78</v>
      </c>
      <c r="V3884" s="12">
        <f>C3884+1</f>
        <v>41157</v>
      </c>
      <c r="W3884">
        <f>IF(D3884=' Pivot Tables'!$A$4,1,0)</f>
        <v>0</v>
      </c>
      <c r="X3884">
        <f>IF(AND(LEFT(D3884,4)+1=LEFT(' Pivot Tables'!$A$4,4)+0,RIGHT(LEFT(D3884,7),2)=RIGHT(LEFT(' Pivot Tables'!$A$4,7),2)),1,0)</f>
        <v>0</v>
      </c>
      <c r="Y3884" s="6">
        <f>1/COUNTIF(Таблица1[Order ID],Таблица1[[#This Row],[Order ID]])</f>
        <v>0.5</v>
      </c>
      <c r="Z3884" s="9">
        <f>1/COUNTIFS(Таблица1[Customer Name],Таблица1[[#This Row],[Customer Name]],Таблица1[Order-Year-Month],Таблица1[[#This Row],[Order-Year-Month]])</f>
        <v>0.5</v>
      </c>
    </row>
    <row r="3885" spans="1:26" x14ac:dyDescent="0.2">
      <c r="A3885" s="6">
        <v>366</v>
      </c>
      <c r="B3885" s="7">
        <v>2560</v>
      </c>
      <c r="C3885" s="8">
        <f>DATE(2012,12,31)-118</f>
        <v>41156</v>
      </c>
      <c r="D3885" s="8" t="str">
        <f t="shared" si="73"/>
        <v>2012-09 (сентябрь 2012)</v>
      </c>
      <c r="E3885" s="9" t="s">
        <v>78</v>
      </c>
      <c r="F3885" s="7">
        <v>23</v>
      </c>
      <c r="G3885" s="7">
        <v>114.14</v>
      </c>
      <c r="H3885" s="7">
        <v>7.0000000000000007E-2</v>
      </c>
      <c r="I3885" s="9" t="s">
        <v>22</v>
      </c>
      <c r="J3885" s="10">
        <v>-65.62</v>
      </c>
      <c r="K3885" s="11">
        <v>4.9800000000000004</v>
      </c>
      <c r="L3885" s="11">
        <v>5.49</v>
      </c>
      <c r="M3885" s="9" t="s">
        <v>1724</v>
      </c>
      <c r="N3885" s="6" t="s">
        <v>1123</v>
      </c>
      <c r="O3885" s="6" t="s">
        <v>1123</v>
      </c>
      <c r="P3885" s="9" t="s">
        <v>60</v>
      </c>
      <c r="Q3885" s="9" t="s">
        <v>26</v>
      </c>
      <c r="R3885" s="9" t="s">
        <v>61</v>
      </c>
      <c r="S3885" s="7" t="s">
        <v>1224</v>
      </c>
      <c r="T3885" s="9" t="s">
        <v>39</v>
      </c>
      <c r="U3885" s="7">
        <v>0.38</v>
      </c>
      <c r="V3885" s="12">
        <f>C3885+2</f>
        <v>41158</v>
      </c>
      <c r="W3885">
        <f>IF(D3885=' Pivot Tables'!$A$4,1,0)</f>
        <v>0</v>
      </c>
      <c r="X3885">
        <f>IF(AND(LEFT(D3885,4)+1=LEFT(' Pivot Tables'!$A$4,4)+0,RIGHT(LEFT(D3885,7),2)=RIGHT(LEFT(' Pivot Tables'!$A$4,7),2)),1,0)</f>
        <v>0</v>
      </c>
      <c r="Y3885" s="6">
        <f>1/COUNTIF(Таблица1[Order ID],Таблица1[[#This Row],[Order ID]])</f>
        <v>0.5</v>
      </c>
      <c r="Z3885" s="9">
        <f>1/COUNTIFS(Таблица1[Customer Name],Таблица1[[#This Row],[Customer Name]],Таблица1[Order-Year-Month],Таблица1[[#This Row],[Order-Year-Month]])</f>
        <v>0.5</v>
      </c>
    </row>
    <row r="3886" spans="1:26" x14ac:dyDescent="0.2">
      <c r="A3886" s="6">
        <v>400</v>
      </c>
      <c r="B3886" s="7">
        <v>2754</v>
      </c>
      <c r="C3886" s="8">
        <f>DATE(2012,12,31)-1369</f>
        <v>39905</v>
      </c>
      <c r="D3886" s="8" t="str">
        <f t="shared" si="73"/>
        <v>2009-04 (апрель 2009)</v>
      </c>
      <c r="E3886" s="9" t="s">
        <v>30</v>
      </c>
      <c r="F3886" s="7">
        <v>16</v>
      </c>
      <c r="G3886" s="7">
        <v>1427.67</v>
      </c>
      <c r="H3886" s="7">
        <v>0.04</v>
      </c>
      <c r="I3886" s="9" t="s">
        <v>22</v>
      </c>
      <c r="J3886" s="10">
        <v>422.8</v>
      </c>
      <c r="K3886" s="11">
        <v>90.24</v>
      </c>
      <c r="L3886" s="11">
        <v>0.99</v>
      </c>
      <c r="M3886" s="9" t="s">
        <v>622</v>
      </c>
      <c r="N3886" s="6" t="s">
        <v>1123</v>
      </c>
      <c r="O3886" s="6" t="s">
        <v>1123</v>
      </c>
      <c r="P3886" s="9" t="s">
        <v>60</v>
      </c>
      <c r="Q3886" s="9" t="s">
        <v>26</v>
      </c>
      <c r="R3886" s="9" t="s">
        <v>34</v>
      </c>
      <c r="S3886" s="7" t="s">
        <v>1729</v>
      </c>
      <c r="T3886" s="9" t="s">
        <v>39</v>
      </c>
      <c r="U3886" s="7">
        <v>0.56000000000000005</v>
      </c>
      <c r="V3886" s="12">
        <f>C3886+2</f>
        <v>39907</v>
      </c>
      <c r="W3886">
        <f>IF(D3886=' Pivot Tables'!$A$4,1,0)</f>
        <v>0</v>
      </c>
      <c r="X3886">
        <f>IF(AND(LEFT(D3886,4)+1=LEFT(' Pivot Tables'!$A$4,4)+0,RIGHT(LEFT(D3886,7),2)=RIGHT(LEFT(' Pivot Tables'!$A$4,7),2)),1,0)</f>
        <v>0</v>
      </c>
      <c r="Y3886" s="6">
        <f>1/COUNTIF(Таблица1[Order ID],Таблица1[[#This Row],[Order ID]])</f>
        <v>0.5</v>
      </c>
      <c r="Z3886" s="9">
        <f>1/COUNTIFS(Таблица1[Customer Name],Таблица1[[#This Row],[Customer Name]],Таблица1[Order-Year-Month],Таблица1[[#This Row],[Order-Year-Month]])</f>
        <v>0.33333333333333331</v>
      </c>
    </row>
    <row r="3887" spans="1:26" x14ac:dyDescent="0.2">
      <c r="A3887" s="6">
        <v>401</v>
      </c>
      <c r="B3887" s="7">
        <v>2754</v>
      </c>
      <c r="C3887" s="8">
        <f>DATE(2012,12,31)-1369</f>
        <v>39905</v>
      </c>
      <c r="D3887" s="8" t="str">
        <f t="shared" si="73"/>
        <v>2009-04 (апрель 2009)</v>
      </c>
      <c r="E3887" s="9" t="s">
        <v>30</v>
      </c>
      <c r="F3887" s="7">
        <v>11</v>
      </c>
      <c r="G3887" s="7">
        <v>499.26</v>
      </c>
      <c r="H3887" s="7">
        <v>0.09</v>
      </c>
      <c r="I3887" s="9" t="s">
        <v>56</v>
      </c>
      <c r="J3887" s="10">
        <v>144.05000000000001</v>
      </c>
      <c r="K3887" s="11">
        <v>47.9</v>
      </c>
      <c r="L3887" s="11">
        <v>5.86</v>
      </c>
      <c r="M3887" s="9" t="s">
        <v>622</v>
      </c>
      <c r="N3887" s="6" t="s">
        <v>1123</v>
      </c>
      <c r="O3887" s="6" t="s">
        <v>1123</v>
      </c>
      <c r="P3887" s="9" t="s">
        <v>60</v>
      </c>
      <c r="Q3887" s="9" t="s">
        <v>26</v>
      </c>
      <c r="R3887" s="9" t="s">
        <v>61</v>
      </c>
      <c r="S3887" s="7" t="s">
        <v>841</v>
      </c>
      <c r="T3887" s="9" t="s">
        <v>39</v>
      </c>
      <c r="U3887" s="7">
        <v>0.37</v>
      </c>
      <c r="V3887" s="12">
        <f>C3887+2</f>
        <v>39907</v>
      </c>
      <c r="W3887">
        <f>IF(D3887=' Pivot Tables'!$A$4,1,0)</f>
        <v>0</v>
      </c>
      <c r="X3887">
        <f>IF(AND(LEFT(D3887,4)+1=LEFT(' Pivot Tables'!$A$4,4)+0,RIGHT(LEFT(D3887,7),2)=RIGHT(LEFT(' Pivot Tables'!$A$4,7),2)),1,0)</f>
        <v>0</v>
      </c>
      <c r="Y3887" s="6">
        <f>1/COUNTIF(Таблица1[Order ID],Таблица1[[#This Row],[Order ID]])</f>
        <v>0.5</v>
      </c>
      <c r="Z3887" s="9">
        <f>1/COUNTIFS(Таблица1[Customer Name],Таблица1[[#This Row],[Customer Name]],Таблица1[Order-Year-Month],Таблица1[[#This Row],[Order-Year-Month]])</f>
        <v>0.33333333333333331</v>
      </c>
    </row>
    <row r="3888" spans="1:26" x14ac:dyDescent="0.2">
      <c r="A3888" s="6">
        <v>402</v>
      </c>
      <c r="B3888" s="7">
        <v>2755</v>
      </c>
      <c r="C3888" s="8">
        <f>DATE(2012,12,31)-329</f>
        <v>40945</v>
      </c>
      <c r="D3888" s="8" t="str">
        <f t="shared" si="73"/>
        <v>2012-02 (февраль 2012)</v>
      </c>
      <c r="E3888" s="9" t="s">
        <v>45</v>
      </c>
      <c r="F3888" s="7">
        <v>30</v>
      </c>
      <c r="G3888" s="7">
        <v>736.3</v>
      </c>
      <c r="H3888" s="7">
        <v>0.03</v>
      </c>
      <c r="I3888" s="9" t="s">
        <v>22</v>
      </c>
      <c r="J3888" s="10">
        <v>259.07150000000001</v>
      </c>
      <c r="K3888" s="11">
        <v>24.95</v>
      </c>
      <c r="L3888" s="11">
        <v>2.99</v>
      </c>
      <c r="M3888" s="9" t="s">
        <v>1730</v>
      </c>
      <c r="N3888" s="6" t="s">
        <v>1123</v>
      </c>
      <c r="O3888" s="6" t="s">
        <v>1123</v>
      </c>
      <c r="P3888" s="9" t="s">
        <v>41</v>
      </c>
      <c r="Q3888" s="9" t="s">
        <v>26</v>
      </c>
      <c r="R3888" s="9" t="s">
        <v>37</v>
      </c>
      <c r="S3888" s="7" t="s">
        <v>1390</v>
      </c>
      <c r="T3888" s="9" t="s">
        <v>39</v>
      </c>
      <c r="U3888" s="7">
        <v>0.39</v>
      </c>
      <c r="V3888" s="12">
        <f>C3888+0</f>
        <v>40945</v>
      </c>
      <c r="W3888">
        <f>IF(D3888=' Pivot Tables'!$A$4,1,0)</f>
        <v>0</v>
      </c>
      <c r="X3888">
        <f>IF(AND(LEFT(D3888,4)+1=LEFT(' Pivot Tables'!$A$4,4)+0,RIGHT(LEFT(D3888,7),2)=RIGHT(LEFT(' Pivot Tables'!$A$4,7),2)),1,0)</f>
        <v>0</v>
      </c>
      <c r="Y3888" s="6">
        <f>1/COUNTIF(Таблица1[Order ID],Таблица1[[#This Row],[Order ID]])</f>
        <v>0.5</v>
      </c>
      <c r="Z3888" s="9">
        <f>1/COUNTIFS(Таблица1[Customer Name],Таблица1[[#This Row],[Customer Name]],Таблица1[Order-Year-Month],Таблица1[[#This Row],[Order-Year-Month]])</f>
        <v>0.5</v>
      </c>
    </row>
    <row r="3889" spans="1:26" x14ac:dyDescent="0.2">
      <c r="A3889" s="6">
        <v>403</v>
      </c>
      <c r="B3889" s="7">
        <v>2755</v>
      </c>
      <c r="C3889" s="8">
        <f>DATE(2012,12,31)-329</f>
        <v>40945</v>
      </c>
      <c r="D3889" s="8" t="str">
        <f t="shared" si="73"/>
        <v>2012-02 (февраль 2012)</v>
      </c>
      <c r="E3889" s="9" t="s">
        <v>45</v>
      </c>
      <c r="F3889" s="7">
        <v>50</v>
      </c>
      <c r="G3889" s="7">
        <v>346.06</v>
      </c>
      <c r="H3889" s="7">
        <v>0</v>
      </c>
      <c r="I3889" s="9" t="s">
        <v>22</v>
      </c>
      <c r="J3889" s="10">
        <v>-76.540000000000006</v>
      </c>
      <c r="K3889" s="11">
        <v>6.48</v>
      </c>
      <c r="L3889" s="11">
        <v>5.86</v>
      </c>
      <c r="M3889" s="9" t="s">
        <v>1730</v>
      </c>
      <c r="N3889" s="6" t="s">
        <v>1123</v>
      </c>
      <c r="O3889" s="6" t="s">
        <v>1123</v>
      </c>
      <c r="P3889" s="9" t="s">
        <v>41</v>
      </c>
      <c r="Q3889" s="9" t="s">
        <v>26</v>
      </c>
      <c r="R3889" s="9" t="s">
        <v>61</v>
      </c>
      <c r="S3889" s="7" t="s">
        <v>174</v>
      </c>
      <c r="T3889" s="9" t="s">
        <v>39</v>
      </c>
      <c r="U3889" s="7">
        <v>0.36</v>
      </c>
      <c r="V3889" s="12">
        <f>C3889+0</f>
        <v>40945</v>
      </c>
      <c r="W3889">
        <f>IF(D3889=' Pivot Tables'!$A$4,1,0)</f>
        <v>0</v>
      </c>
      <c r="X3889">
        <f>IF(AND(LEFT(D3889,4)+1=LEFT(' Pivot Tables'!$A$4,4)+0,RIGHT(LEFT(D3889,7),2)=RIGHT(LEFT(' Pivot Tables'!$A$4,7),2)),1,0)</f>
        <v>0</v>
      </c>
      <c r="Y3889" s="6">
        <f>1/COUNTIF(Таблица1[Order ID],Таблица1[[#This Row],[Order ID]])</f>
        <v>0.5</v>
      </c>
      <c r="Z3889" s="9">
        <f>1/COUNTIFS(Таблица1[Customer Name],Таблица1[[#This Row],[Customer Name]],Таблица1[Order-Year-Month],Таблица1[[#This Row],[Order-Year-Month]])</f>
        <v>0.5</v>
      </c>
    </row>
    <row r="3890" spans="1:26" x14ac:dyDescent="0.2">
      <c r="A3890" s="6">
        <v>481</v>
      </c>
      <c r="B3890" s="7">
        <v>3333</v>
      </c>
      <c r="C3890" s="8">
        <f>DATE(2012,12,31)-107</f>
        <v>41167</v>
      </c>
      <c r="D3890" s="8" t="str">
        <f t="shared" si="73"/>
        <v>2012-09 (сентябрь 2012)</v>
      </c>
      <c r="E3890" s="9" t="s">
        <v>45</v>
      </c>
      <c r="F3890" s="7">
        <v>42</v>
      </c>
      <c r="G3890" s="7">
        <v>927.97</v>
      </c>
      <c r="H3890" s="7">
        <v>0.08</v>
      </c>
      <c r="I3890" s="9" t="s">
        <v>22</v>
      </c>
      <c r="J3890" s="10">
        <v>162.16999999999999</v>
      </c>
      <c r="K3890" s="11">
        <v>22.98</v>
      </c>
      <c r="L3890" s="11">
        <v>4.5</v>
      </c>
      <c r="M3890" s="9" t="s">
        <v>1731</v>
      </c>
      <c r="N3890" s="6" t="s">
        <v>1123</v>
      </c>
      <c r="O3890" s="6" t="s">
        <v>1123</v>
      </c>
      <c r="P3890" s="9" t="s">
        <v>60</v>
      </c>
      <c r="Q3890" s="9" t="s">
        <v>26</v>
      </c>
      <c r="R3890" s="9" t="s">
        <v>34</v>
      </c>
      <c r="S3890" s="7" t="s">
        <v>1139</v>
      </c>
      <c r="T3890" s="9" t="s">
        <v>39</v>
      </c>
      <c r="U3890" s="7">
        <v>0.55000000000000004</v>
      </c>
      <c r="V3890" s="12">
        <f>C3890+2</f>
        <v>41169</v>
      </c>
      <c r="W3890">
        <f>IF(D3890=' Pivot Tables'!$A$4,1,0)</f>
        <v>0</v>
      </c>
      <c r="X3890">
        <f>IF(AND(LEFT(D3890,4)+1=LEFT(' Pivot Tables'!$A$4,4)+0,RIGHT(LEFT(D3890,7),2)=RIGHT(LEFT(' Pivot Tables'!$A$4,7),2)),1,0)</f>
        <v>0</v>
      </c>
      <c r="Y3890" s="6">
        <f>1/COUNTIF(Таблица1[Order ID],Таблица1[[#This Row],[Order ID]])</f>
        <v>0.5</v>
      </c>
      <c r="Z3890" s="9">
        <f>1/COUNTIFS(Таблица1[Customer Name],Таблица1[[#This Row],[Customer Name]],Таблица1[Order-Year-Month],Таблица1[[#This Row],[Order-Year-Month]])</f>
        <v>0.5</v>
      </c>
    </row>
    <row r="3891" spans="1:26" x14ac:dyDescent="0.2">
      <c r="A3891" s="6">
        <v>482</v>
      </c>
      <c r="B3891" s="7">
        <v>3333</v>
      </c>
      <c r="C3891" s="8">
        <f>DATE(2012,12,31)-107</f>
        <v>41167</v>
      </c>
      <c r="D3891" s="8" t="str">
        <f t="shared" si="73"/>
        <v>2012-09 (сентябрь 2012)</v>
      </c>
      <c r="E3891" s="9" t="s">
        <v>45</v>
      </c>
      <c r="F3891" s="7">
        <v>9</v>
      </c>
      <c r="G3891" s="7">
        <v>59.05</v>
      </c>
      <c r="H3891" s="7">
        <v>0.08</v>
      </c>
      <c r="I3891" s="9" t="s">
        <v>22</v>
      </c>
      <c r="J3891" s="10">
        <v>-24.09</v>
      </c>
      <c r="K3891" s="11">
        <v>6.48</v>
      </c>
      <c r="L3891" s="11">
        <v>5.4</v>
      </c>
      <c r="M3891" s="9" t="s">
        <v>1731</v>
      </c>
      <c r="N3891" s="6" t="s">
        <v>1123</v>
      </c>
      <c r="O3891" s="6" t="s">
        <v>1123</v>
      </c>
      <c r="P3891" s="9" t="s">
        <v>60</v>
      </c>
      <c r="Q3891" s="9" t="s">
        <v>26</v>
      </c>
      <c r="R3891" s="9" t="s">
        <v>61</v>
      </c>
      <c r="S3891" s="7" t="s">
        <v>1732</v>
      </c>
      <c r="T3891" s="9" t="s">
        <v>39</v>
      </c>
      <c r="U3891" s="7">
        <v>0.37</v>
      </c>
      <c r="V3891" s="12">
        <f>C3891+0</f>
        <v>41167</v>
      </c>
      <c r="W3891">
        <f>IF(D3891=' Pivot Tables'!$A$4,1,0)</f>
        <v>0</v>
      </c>
      <c r="X3891">
        <f>IF(AND(LEFT(D3891,4)+1=LEFT(' Pivot Tables'!$A$4,4)+0,RIGHT(LEFT(D3891,7),2)=RIGHT(LEFT(' Pivot Tables'!$A$4,7),2)),1,0)</f>
        <v>0</v>
      </c>
      <c r="Y3891" s="6">
        <f>1/COUNTIF(Таблица1[Order ID],Таблица1[[#This Row],[Order ID]])</f>
        <v>0.5</v>
      </c>
      <c r="Z3891" s="9">
        <f>1/COUNTIFS(Таблица1[Customer Name],Таблица1[[#This Row],[Customer Name]],Таблица1[Order-Year-Month],Таблица1[[#This Row],[Order-Year-Month]])</f>
        <v>0.5</v>
      </c>
    </row>
    <row r="3892" spans="1:26" x14ac:dyDescent="0.2">
      <c r="A3892" s="6">
        <v>500</v>
      </c>
      <c r="B3892" s="7">
        <v>3460</v>
      </c>
      <c r="C3892" s="8">
        <f>DATE(2012,12,31)-456</f>
        <v>40818</v>
      </c>
      <c r="D3892" s="8" t="str">
        <f t="shared" si="73"/>
        <v>2011-10 (октябрь 2011)</v>
      </c>
      <c r="E3892" s="9" t="s">
        <v>30</v>
      </c>
      <c r="F3892" s="7">
        <v>27</v>
      </c>
      <c r="G3892" s="7">
        <v>153.22999999999999</v>
      </c>
      <c r="H3892" s="7">
        <v>0.08</v>
      </c>
      <c r="I3892" s="9" t="s">
        <v>22</v>
      </c>
      <c r="J3892" s="10">
        <v>-95.15</v>
      </c>
      <c r="K3892" s="11">
        <v>5.98</v>
      </c>
      <c r="L3892" s="11">
        <v>4.6900000000000004</v>
      </c>
      <c r="M3892" s="9" t="s">
        <v>1733</v>
      </c>
      <c r="N3892" s="6" t="s">
        <v>1123</v>
      </c>
      <c r="O3892" s="6" t="s">
        <v>1123</v>
      </c>
      <c r="P3892" s="9" t="s">
        <v>33</v>
      </c>
      <c r="Q3892" s="9" t="s">
        <v>26</v>
      </c>
      <c r="R3892" s="9" t="s">
        <v>27</v>
      </c>
      <c r="S3892" s="7" t="s">
        <v>505</v>
      </c>
      <c r="T3892" s="9" t="s">
        <v>39</v>
      </c>
      <c r="U3892" s="7">
        <v>0.68</v>
      </c>
      <c r="V3892" s="12">
        <f>C3892+2</f>
        <v>40820</v>
      </c>
      <c r="W3892">
        <f>IF(D3892=' Pivot Tables'!$A$4,1,0)</f>
        <v>0</v>
      </c>
      <c r="X3892">
        <f>IF(AND(LEFT(D3892,4)+1=LEFT(' Pivot Tables'!$A$4,4)+0,RIGHT(LEFT(D3892,7),2)=RIGHT(LEFT(' Pivot Tables'!$A$4,7),2)),1,0)</f>
        <v>0</v>
      </c>
      <c r="Y3892" s="6">
        <f>1/COUNTIF(Таблица1[Order ID],Таблица1[[#This Row],[Order ID]])</f>
        <v>1</v>
      </c>
      <c r="Z3892" s="9">
        <f>1/COUNTIFS(Таблица1[Customer Name],Таблица1[[#This Row],[Customer Name]],Таблица1[Order-Year-Month],Таблица1[[#This Row],[Order-Year-Month]])</f>
        <v>1</v>
      </c>
    </row>
    <row r="3893" spans="1:26" x14ac:dyDescent="0.2">
      <c r="A3893" s="6">
        <v>530</v>
      </c>
      <c r="B3893" s="7">
        <v>3591</v>
      </c>
      <c r="C3893" s="8">
        <f>DATE(2012,12,31)-755</f>
        <v>40519</v>
      </c>
      <c r="D3893" s="8" t="str">
        <f t="shared" si="73"/>
        <v>2010-12 (декабрь 2010)</v>
      </c>
      <c r="E3893" s="9" t="s">
        <v>63</v>
      </c>
      <c r="F3893" s="7">
        <v>3</v>
      </c>
      <c r="G3893" s="7">
        <v>321.57</v>
      </c>
      <c r="H3893" s="7">
        <v>0.01</v>
      </c>
      <c r="I3893" s="9" t="s">
        <v>31</v>
      </c>
      <c r="J3893" s="10">
        <v>-100.05</v>
      </c>
      <c r="K3893" s="11">
        <v>100.98</v>
      </c>
      <c r="L3893" s="11">
        <v>15.66</v>
      </c>
      <c r="M3893" s="9" t="s">
        <v>1734</v>
      </c>
      <c r="N3893" s="6" t="s">
        <v>1123</v>
      </c>
      <c r="O3893" s="6" t="s">
        <v>1123</v>
      </c>
      <c r="P3893" s="9" t="s">
        <v>25</v>
      </c>
      <c r="Q3893" s="9" t="s">
        <v>26</v>
      </c>
      <c r="R3893" s="9" t="s">
        <v>34</v>
      </c>
      <c r="S3893" s="7" t="s">
        <v>1076</v>
      </c>
      <c r="T3893" s="9" t="s">
        <v>36</v>
      </c>
      <c r="U3893" s="7">
        <v>0.56999999999999995</v>
      </c>
      <c r="V3893" s="12">
        <f>C3893+2</f>
        <v>40521</v>
      </c>
      <c r="W3893">
        <f>IF(D3893=' Pivot Tables'!$A$4,1,0)</f>
        <v>0</v>
      </c>
      <c r="X3893">
        <f>IF(AND(LEFT(D3893,4)+1=LEFT(' Pivot Tables'!$A$4,4)+0,RIGHT(LEFT(D3893,7),2)=RIGHT(LEFT(' Pivot Tables'!$A$4,7),2)),1,0)</f>
        <v>0</v>
      </c>
      <c r="Y3893" s="6">
        <f>1/COUNTIF(Таблица1[Order ID],Таблица1[[#This Row],[Order ID]])</f>
        <v>0.5</v>
      </c>
      <c r="Z3893" s="9">
        <f>1/COUNTIFS(Таблица1[Customer Name],Таблица1[[#This Row],[Customer Name]],Таблица1[Order-Year-Month],Таблица1[[#This Row],[Order-Year-Month]])</f>
        <v>0.5</v>
      </c>
    </row>
    <row r="3894" spans="1:26" x14ac:dyDescent="0.2">
      <c r="A3894" s="6">
        <v>531</v>
      </c>
      <c r="B3894" s="7">
        <v>3591</v>
      </c>
      <c r="C3894" s="8">
        <f>DATE(2012,12,31)-755</f>
        <v>40519</v>
      </c>
      <c r="D3894" s="8" t="str">
        <f t="shared" si="73"/>
        <v>2010-12 (декабрь 2010)</v>
      </c>
      <c r="E3894" s="9" t="s">
        <v>63</v>
      </c>
      <c r="F3894" s="7">
        <v>12</v>
      </c>
      <c r="G3894" s="7">
        <v>1085.1600000000001</v>
      </c>
      <c r="H3894" s="7">
        <v>0.08</v>
      </c>
      <c r="I3894" s="9" t="s">
        <v>31</v>
      </c>
      <c r="J3894" s="10">
        <v>-311.54000000000002</v>
      </c>
      <c r="K3894" s="11">
        <v>89.99</v>
      </c>
      <c r="L3894" s="11">
        <v>42</v>
      </c>
      <c r="M3894" s="9" t="s">
        <v>1734</v>
      </c>
      <c r="N3894" s="6" t="s">
        <v>1123</v>
      </c>
      <c r="O3894" s="6" t="s">
        <v>1123</v>
      </c>
      <c r="P3894" s="9" t="s">
        <v>25</v>
      </c>
      <c r="Q3894" s="9" t="s">
        <v>49</v>
      </c>
      <c r="R3894" s="9" t="s">
        <v>112</v>
      </c>
      <c r="S3894" s="7" t="s">
        <v>853</v>
      </c>
      <c r="T3894" s="9" t="s">
        <v>36</v>
      </c>
      <c r="U3894" s="7">
        <v>0.66</v>
      </c>
      <c r="V3894" s="12">
        <f>C3894+1</f>
        <v>40520</v>
      </c>
      <c r="W3894">
        <f>IF(D3894=' Pivot Tables'!$A$4,1,0)</f>
        <v>0</v>
      </c>
      <c r="X3894">
        <f>IF(AND(LEFT(D3894,4)+1=LEFT(' Pivot Tables'!$A$4,4)+0,RIGHT(LEFT(D3894,7),2)=RIGHT(LEFT(' Pivot Tables'!$A$4,7),2)),1,0)</f>
        <v>0</v>
      </c>
      <c r="Y3894" s="6">
        <f>1/COUNTIF(Таблица1[Order ID],Таблица1[[#This Row],[Order ID]])</f>
        <v>0.5</v>
      </c>
      <c r="Z3894" s="9">
        <f>1/COUNTIFS(Таблица1[Customer Name],Таблица1[[#This Row],[Customer Name]],Таблица1[Order-Year-Month],Таблица1[[#This Row],[Order-Year-Month]])</f>
        <v>0.5</v>
      </c>
    </row>
    <row r="3895" spans="1:26" x14ac:dyDescent="0.2">
      <c r="A3895" s="6">
        <v>586</v>
      </c>
      <c r="B3895" s="7">
        <v>4006</v>
      </c>
      <c r="C3895" s="8">
        <f>DATE(2012,12,31)-728</f>
        <v>40546</v>
      </c>
      <c r="D3895" s="8" t="str">
        <f t="shared" si="73"/>
        <v>2011-01 (январь 2011)</v>
      </c>
      <c r="E3895" s="9" t="s">
        <v>63</v>
      </c>
      <c r="F3895" s="7">
        <v>38</v>
      </c>
      <c r="G3895" s="7">
        <v>1441.61</v>
      </c>
      <c r="H3895" s="7">
        <v>0.06</v>
      </c>
      <c r="I3895" s="9" t="s">
        <v>22</v>
      </c>
      <c r="J3895" s="10">
        <v>624.84</v>
      </c>
      <c r="K3895" s="11">
        <v>37.94</v>
      </c>
      <c r="L3895" s="11">
        <v>5.08</v>
      </c>
      <c r="M3895" s="9" t="s">
        <v>1229</v>
      </c>
      <c r="N3895" s="6" t="s">
        <v>1123</v>
      </c>
      <c r="O3895" s="6" t="s">
        <v>1123</v>
      </c>
      <c r="P3895" s="9" t="s">
        <v>41</v>
      </c>
      <c r="Q3895" s="9" t="s">
        <v>26</v>
      </c>
      <c r="R3895" s="9" t="s">
        <v>61</v>
      </c>
      <c r="S3895" s="7" t="s">
        <v>684</v>
      </c>
      <c r="T3895" s="9" t="s">
        <v>68</v>
      </c>
      <c r="U3895" s="7">
        <v>0.38</v>
      </c>
      <c r="V3895" s="12">
        <f>C3895+1</f>
        <v>40547</v>
      </c>
      <c r="W3895">
        <f>IF(D3895=' Pivot Tables'!$A$4,1,0)</f>
        <v>0</v>
      </c>
      <c r="X3895">
        <f>IF(AND(LEFT(D3895,4)+1=LEFT(' Pivot Tables'!$A$4,4)+0,RIGHT(LEFT(D3895,7),2)=RIGHT(LEFT(' Pivot Tables'!$A$4,7),2)),1,0)</f>
        <v>0</v>
      </c>
      <c r="Y3895" s="6">
        <f>1/COUNTIF(Таблица1[Order ID],Таблица1[[#This Row],[Order ID]])</f>
        <v>1</v>
      </c>
      <c r="Z3895" s="9">
        <f>1/COUNTIFS(Таблица1[Customer Name],Таблица1[[#This Row],[Customer Name]],Таблица1[Order-Year-Month],Таблица1[[#This Row],[Order-Year-Month]])</f>
        <v>1</v>
      </c>
    </row>
    <row r="3896" spans="1:26" x14ac:dyDescent="0.2">
      <c r="A3896" s="6">
        <v>611</v>
      </c>
      <c r="B3896" s="7">
        <v>4193</v>
      </c>
      <c r="C3896" s="8">
        <f>DATE(2012,12,31)-1453</f>
        <v>39821</v>
      </c>
      <c r="D3896" s="8" t="str">
        <f t="shared" si="73"/>
        <v>2009-01 (январь 2009)</v>
      </c>
      <c r="E3896" s="9" t="s">
        <v>30</v>
      </c>
      <c r="F3896" s="7">
        <v>16</v>
      </c>
      <c r="G3896" s="7">
        <v>64.290000000000006</v>
      </c>
      <c r="H3896" s="7">
        <v>7.0000000000000007E-2</v>
      </c>
      <c r="I3896" s="9" t="s">
        <v>22</v>
      </c>
      <c r="J3896" s="10">
        <v>14.42</v>
      </c>
      <c r="K3896" s="11">
        <v>4.13</v>
      </c>
      <c r="L3896" s="11">
        <v>0.99</v>
      </c>
      <c r="M3896" s="9" t="s">
        <v>1731</v>
      </c>
      <c r="N3896" s="6" t="s">
        <v>1123</v>
      </c>
      <c r="O3896" s="6" t="s">
        <v>1123</v>
      </c>
      <c r="P3896" s="9" t="s">
        <v>60</v>
      </c>
      <c r="Q3896" s="9" t="s">
        <v>26</v>
      </c>
      <c r="R3896" s="9" t="s">
        <v>88</v>
      </c>
      <c r="S3896" s="7" t="s">
        <v>492</v>
      </c>
      <c r="T3896" s="9" t="s">
        <v>39</v>
      </c>
      <c r="U3896" s="7">
        <v>0.39</v>
      </c>
      <c r="V3896" s="12">
        <f>C3896+0</f>
        <v>39821</v>
      </c>
      <c r="W3896">
        <f>IF(D3896=' Pivot Tables'!$A$4,1,0)</f>
        <v>0</v>
      </c>
      <c r="X3896">
        <f>IF(AND(LEFT(D3896,4)+1=LEFT(' Pivot Tables'!$A$4,4)+0,RIGHT(LEFT(D3896,7),2)=RIGHT(LEFT(' Pivot Tables'!$A$4,7),2)),1,0)</f>
        <v>1</v>
      </c>
      <c r="Y3896" s="6">
        <f>1/COUNTIF(Таблица1[Order ID],Таблица1[[#This Row],[Order ID]])</f>
        <v>0.5</v>
      </c>
      <c r="Z3896" s="9">
        <f>1/COUNTIFS(Таблица1[Customer Name],Таблица1[[#This Row],[Customer Name]],Таблица1[Order-Year-Month],Таблица1[[#This Row],[Order-Year-Month]])</f>
        <v>0.5</v>
      </c>
    </row>
    <row r="3897" spans="1:26" x14ac:dyDescent="0.2">
      <c r="A3897" s="6">
        <v>612</v>
      </c>
      <c r="B3897" s="7">
        <v>4193</v>
      </c>
      <c r="C3897" s="8">
        <f>DATE(2012,12,31)-1453</f>
        <v>39821</v>
      </c>
      <c r="D3897" s="8" t="str">
        <f t="shared" si="73"/>
        <v>2009-01 (январь 2009)</v>
      </c>
      <c r="E3897" s="9" t="s">
        <v>30</v>
      </c>
      <c r="F3897" s="7">
        <v>3</v>
      </c>
      <c r="G3897" s="7">
        <v>75.77</v>
      </c>
      <c r="H3897" s="7">
        <v>0.03</v>
      </c>
      <c r="I3897" s="9" t="s">
        <v>22</v>
      </c>
      <c r="J3897" s="10">
        <v>64.25</v>
      </c>
      <c r="K3897" s="11">
        <v>22.72</v>
      </c>
      <c r="L3897" s="11">
        <v>8.99</v>
      </c>
      <c r="M3897" s="9" t="s">
        <v>1731</v>
      </c>
      <c r="N3897" s="6" t="s">
        <v>1123</v>
      </c>
      <c r="O3897" s="6" t="s">
        <v>1123</v>
      </c>
      <c r="P3897" s="9" t="s">
        <v>60</v>
      </c>
      <c r="Q3897" s="9" t="s">
        <v>49</v>
      </c>
      <c r="R3897" s="9" t="s">
        <v>50</v>
      </c>
      <c r="S3897" s="7" t="s">
        <v>315</v>
      </c>
      <c r="T3897" s="9" t="s">
        <v>52</v>
      </c>
      <c r="U3897" s="7">
        <v>0.44</v>
      </c>
      <c r="V3897" s="12">
        <f>C3897+0</f>
        <v>39821</v>
      </c>
      <c r="W3897">
        <f>IF(D3897=' Pivot Tables'!$A$4,1,0)</f>
        <v>0</v>
      </c>
      <c r="X3897">
        <f>IF(AND(LEFT(D3897,4)+1=LEFT(' Pivot Tables'!$A$4,4)+0,RIGHT(LEFT(D3897,7),2)=RIGHT(LEFT(' Pivot Tables'!$A$4,7),2)),1,0)</f>
        <v>1</v>
      </c>
      <c r="Y3897" s="6">
        <f>1/COUNTIF(Таблица1[Order ID],Таблица1[[#This Row],[Order ID]])</f>
        <v>0.5</v>
      </c>
      <c r="Z3897" s="9">
        <f>1/COUNTIFS(Таблица1[Customer Name],Таблица1[[#This Row],[Customer Name]],Таблица1[Order-Year-Month],Таблица1[[#This Row],[Order-Year-Month]])</f>
        <v>0.5</v>
      </c>
    </row>
    <row r="3898" spans="1:26" x14ac:dyDescent="0.2">
      <c r="A3898" s="6">
        <v>627</v>
      </c>
      <c r="B3898" s="7">
        <v>4387</v>
      </c>
      <c r="C3898" s="8">
        <f>DATE(2012,12,31)-436</f>
        <v>40838</v>
      </c>
      <c r="D3898" s="8" t="str">
        <f t="shared" si="73"/>
        <v>2011-10 (октябрь 2011)</v>
      </c>
      <c r="E3898" s="9" t="s">
        <v>78</v>
      </c>
      <c r="F3898" s="7">
        <v>4</v>
      </c>
      <c r="G3898" s="7">
        <v>640.21</v>
      </c>
      <c r="H3898" s="7">
        <v>7.0000000000000007E-2</v>
      </c>
      <c r="I3898" s="9" t="s">
        <v>31</v>
      </c>
      <c r="J3898" s="10">
        <v>-388.51670000000001</v>
      </c>
      <c r="K3898" s="11">
        <v>150.97999999999999</v>
      </c>
      <c r="L3898" s="11">
        <v>39.25</v>
      </c>
      <c r="M3898" s="9" t="s">
        <v>1731</v>
      </c>
      <c r="N3898" s="6" t="s">
        <v>1123</v>
      </c>
      <c r="O3898" s="6" t="s">
        <v>1123</v>
      </c>
      <c r="P3898" s="9" t="s">
        <v>41</v>
      </c>
      <c r="Q3898" s="9" t="s">
        <v>49</v>
      </c>
      <c r="R3898" s="9" t="s">
        <v>83</v>
      </c>
      <c r="S3898" s="7" t="s">
        <v>1404</v>
      </c>
      <c r="T3898" s="9" t="s">
        <v>82</v>
      </c>
      <c r="U3898" s="7">
        <v>0.75</v>
      </c>
      <c r="V3898" s="12">
        <f>C3898+1</f>
        <v>40839</v>
      </c>
      <c r="W3898">
        <f>IF(D3898=' Pivot Tables'!$A$4,1,0)</f>
        <v>0</v>
      </c>
      <c r="X3898">
        <f>IF(AND(LEFT(D3898,4)+1=LEFT(' Pivot Tables'!$A$4,4)+0,RIGHT(LEFT(D3898,7),2)=RIGHT(LEFT(' Pivot Tables'!$A$4,7),2)),1,0)</f>
        <v>0</v>
      </c>
      <c r="Y3898" s="6">
        <f>1/COUNTIF(Таблица1[Order ID],Таблица1[[#This Row],[Order ID]])</f>
        <v>1</v>
      </c>
      <c r="Z3898" s="9">
        <f>1/COUNTIFS(Таблица1[Customer Name],Таблица1[[#This Row],[Customer Name]],Таблица1[Order-Year-Month],Таблица1[[#This Row],[Order-Year-Month]])</f>
        <v>0.5</v>
      </c>
    </row>
    <row r="3899" spans="1:26" x14ac:dyDescent="0.2">
      <c r="A3899" s="6">
        <v>639</v>
      </c>
      <c r="B3899" s="7">
        <v>4512</v>
      </c>
      <c r="C3899" s="8">
        <f>DATE(2012,12,31)-434</f>
        <v>40840</v>
      </c>
      <c r="D3899" s="8" t="str">
        <f t="shared" si="73"/>
        <v>2011-10 (октябрь 2011)</v>
      </c>
      <c r="E3899" s="9" t="s">
        <v>21</v>
      </c>
      <c r="F3899" s="7">
        <v>43</v>
      </c>
      <c r="G3899" s="7">
        <v>6077.11</v>
      </c>
      <c r="H3899" s="7">
        <v>0.06</v>
      </c>
      <c r="I3899" s="9" t="s">
        <v>31</v>
      </c>
      <c r="J3899" s="10">
        <v>-353.65987800000011</v>
      </c>
      <c r="K3899" s="11">
        <v>146.34</v>
      </c>
      <c r="L3899" s="11">
        <v>43.75</v>
      </c>
      <c r="M3899" s="9" t="s">
        <v>1731</v>
      </c>
      <c r="N3899" s="6" t="s">
        <v>1123</v>
      </c>
      <c r="O3899" s="6" t="s">
        <v>1123</v>
      </c>
      <c r="P3899" s="9" t="s">
        <v>60</v>
      </c>
      <c r="Q3899" s="9" t="s">
        <v>49</v>
      </c>
      <c r="R3899" s="9" t="s">
        <v>83</v>
      </c>
      <c r="S3899" s="7" t="s">
        <v>204</v>
      </c>
      <c r="T3899" s="9" t="s">
        <v>82</v>
      </c>
      <c r="U3899" s="7">
        <v>0.64</v>
      </c>
      <c r="V3899" s="12">
        <f>C3899+5</f>
        <v>40845</v>
      </c>
      <c r="W3899">
        <f>IF(D3899=' Pivot Tables'!$A$4,1,0)</f>
        <v>0</v>
      </c>
      <c r="X3899">
        <f>IF(AND(LEFT(D3899,4)+1=LEFT(' Pivot Tables'!$A$4,4)+0,RIGHT(LEFT(D3899,7),2)=RIGHT(LEFT(' Pivot Tables'!$A$4,7),2)),1,0)</f>
        <v>0</v>
      </c>
      <c r="Y3899" s="6">
        <f>1/COUNTIF(Таблица1[Order ID],Таблица1[[#This Row],[Order ID]])</f>
        <v>1</v>
      </c>
      <c r="Z3899" s="9">
        <f>1/COUNTIFS(Таблица1[Customer Name],Таблица1[[#This Row],[Customer Name]],Таблица1[Order-Year-Month],Таблица1[[#This Row],[Order-Year-Month]])</f>
        <v>0.5</v>
      </c>
    </row>
    <row r="3900" spans="1:26" x14ac:dyDescent="0.2">
      <c r="A3900" s="6">
        <v>685</v>
      </c>
      <c r="B3900" s="7">
        <v>4773</v>
      </c>
      <c r="C3900" s="8">
        <f>DATE(2012,12,31)-375</f>
        <v>40899</v>
      </c>
      <c r="D3900" s="8" t="str">
        <f t="shared" si="73"/>
        <v>2011-12 (декабрь 2011)</v>
      </c>
      <c r="E3900" s="9" t="s">
        <v>78</v>
      </c>
      <c r="F3900" s="7">
        <v>48</v>
      </c>
      <c r="G3900" s="7">
        <v>6746.3119999999999</v>
      </c>
      <c r="H3900" s="7">
        <v>7.0000000000000007E-2</v>
      </c>
      <c r="I3900" s="9" t="s">
        <v>31</v>
      </c>
      <c r="J3900" s="10">
        <v>-433.29014300000011</v>
      </c>
      <c r="K3900" s="11">
        <v>179.29</v>
      </c>
      <c r="L3900" s="11">
        <v>29.21</v>
      </c>
      <c r="M3900" s="9" t="s">
        <v>1568</v>
      </c>
      <c r="N3900" s="6" t="s">
        <v>1123</v>
      </c>
      <c r="O3900" s="6" t="s">
        <v>1123</v>
      </c>
      <c r="P3900" s="9" t="s">
        <v>60</v>
      </c>
      <c r="Q3900" s="9" t="s">
        <v>49</v>
      </c>
      <c r="R3900" s="9" t="s">
        <v>83</v>
      </c>
      <c r="S3900" s="7" t="s">
        <v>207</v>
      </c>
      <c r="T3900" s="9" t="s">
        <v>82</v>
      </c>
      <c r="U3900" s="7">
        <v>0.76</v>
      </c>
      <c r="V3900" s="12">
        <f>C3900+2</f>
        <v>40901</v>
      </c>
      <c r="W3900">
        <f>IF(D3900=' Pivot Tables'!$A$4,1,0)</f>
        <v>0</v>
      </c>
      <c r="X3900">
        <f>IF(AND(LEFT(D3900,4)+1=LEFT(' Pivot Tables'!$A$4,4)+0,RIGHT(LEFT(D3900,7),2)=RIGHT(LEFT(' Pivot Tables'!$A$4,7),2)),1,0)</f>
        <v>0</v>
      </c>
      <c r="Y3900" s="6">
        <f>1/COUNTIF(Таблица1[Order ID],Таблица1[[#This Row],[Order ID]])</f>
        <v>0.5</v>
      </c>
      <c r="Z3900" s="9">
        <f>1/COUNTIFS(Таблица1[Customer Name],Таблица1[[#This Row],[Customer Name]],Таблица1[Order-Year-Month],Таблица1[[#This Row],[Order-Year-Month]])</f>
        <v>0.25</v>
      </c>
    </row>
    <row r="3901" spans="1:26" x14ac:dyDescent="0.2">
      <c r="A3901" s="6">
        <v>694</v>
      </c>
      <c r="B3901" s="7">
        <v>4839</v>
      </c>
      <c r="C3901" s="8">
        <f>DATE(2012,12,31)-1332</f>
        <v>39942</v>
      </c>
      <c r="D3901" s="8" t="str">
        <f t="shared" si="73"/>
        <v>2009-05 (май 2009)</v>
      </c>
      <c r="E3901" s="9" t="s">
        <v>78</v>
      </c>
      <c r="F3901" s="7">
        <v>24</v>
      </c>
      <c r="G3901" s="7">
        <v>159.43</v>
      </c>
      <c r="H3901" s="7">
        <v>0.05</v>
      </c>
      <c r="I3901" s="9" t="s">
        <v>22</v>
      </c>
      <c r="J3901" s="10">
        <v>-120.59</v>
      </c>
      <c r="K3901" s="11">
        <v>6.48</v>
      </c>
      <c r="L3901" s="11">
        <v>8.73</v>
      </c>
      <c r="M3901" s="9" t="s">
        <v>1728</v>
      </c>
      <c r="N3901" s="6" t="s">
        <v>1123</v>
      </c>
      <c r="O3901" s="6" t="s">
        <v>1123</v>
      </c>
      <c r="P3901" s="9" t="s">
        <v>33</v>
      </c>
      <c r="Q3901" s="9" t="s">
        <v>26</v>
      </c>
      <c r="R3901" s="9" t="s">
        <v>61</v>
      </c>
      <c r="S3901" s="7" t="s">
        <v>828</v>
      </c>
      <c r="T3901" s="9" t="s">
        <v>39</v>
      </c>
      <c r="U3901" s="7">
        <v>0.37</v>
      </c>
      <c r="V3901" s="12">
        <f>C3901+0</f>
        <v>39942</v>
      </c>
      <c r="W3901">
        <f>IF(D3901=' Pivot Tables'!$A$4,1,0)</f>
        <v>0</v>
      </c>
      <c r="X3901">
        <f>IF(AND(LEFT(D3901,4)+1=LEFT(' Pivot Tables'!$A$4,4)+0,RIGHT(LEFT(D3901,7),2)=RIGHT(LEFT(' Pivot Tables'!$A$4,7),2)),1,0)</f>
        <v>0</v>
      </c>
      <c r="Y3901" s="6">
        <f>1/COUNTIF(Таблица1[Order ID],Таблица1[[#This Row],[Order ID]])</f>
        <v>1</v>
      </c>
      <c r="Z3901" s="9">
        <f>1/COUNTIFS(Таблица1[Customer Name],Таблица1[[#This Row],[Customer Name]],Таблица1[Order-Year-Month],Таблица1[[#This Row],[Order-Year-Month]])</f>
        <v>1</v>
      </c>
    </row>
    <row r="3902" spans="1:26" x14ac:dyDescent="0.2">
      <c r="A3902" s="6">
        <v>705</v>
      </c>
      <c r="B3902" s="7">
        <v>4935</v>
      </c>
      <c r="C3902" s="8">
        <f>DATE(2012,12,31)-952</f>
        <v>40322</v>
      </c>
      <c r="D3902" s="8" t="str">
        <f t="shared" si="73"/>
        <v>2010-05 (май 2010)</v>
      </c>
      <c r="E3902" s="9" t="s">
        <v>45</v>
      </c>
      <c r="F3902" s="7">
        <v>30</v>
      </c>
      <c r="G3902" s="7">
        <v>106.64</v>
      </c>
      <c r="H3902" s="7">
        <v>0.1</v>
      </c>
      <c r="I3902" s="9" t="s">
        <v>22</v>
      </c>
      <c r="J3902" s="10">
        <v>-31.95</v>
      </c>
      <c r="K3902" s="11">
        <v>3.68</v>
      </c>
      <c r="L3902" s="11">
        <v>1.32</v>
      </c>
      <c r="M3902" s="9" t="s">
        <v>1735</v>
      </c>
      <c r="N3902" s="6" t="s">
        <v>1123</v>
      </c>
      <c r="O3902" s="6" t="s">
        <v>1123</v>
      </c>
      <c r="P3902" s="9" t="s">
        <v>41</v>
      </c>
      <c r="Q3902" s="9" t="s">
        <v>26</v>
      </c>
      <c r="R3902" s="9" t="s">
        <v>150</v>
      </c>
      <c r="S3902" s="7" t="s">
        <v>252</v>
      </c>
      <c r="T3902" s="9" t="s">
        <v>68</v>
      </c>
      <c r="U3902" s="7">
        <v>0.83</v>
      </c>
      <c r="V3902" s="12">
        <f>C3902+3</f>
        <v>40325</v>
      </c>
      <c r="W3902">
        <f>IF(D3902=' Pivot Tables'!$A$4,1,0)</f>
        <v>0</v>
      </c>
      <c r="X3902">
        <f>IF(AND(LEFT(D3902,4)+1=LEFT(' Pivot Tables'!$A$4,4)+0,RIGHT(LEFT(D3902,7),2)=RIGHT(LEFT(' Pivot Tables'!$A$4,7),2)),1,0)</f>
        <v>0</v>
      </c>
      <c r="Y3902" s="6">
        <f>1/COUNTIF(Таблица1[Order ID],Таблица1[[#This Row],[Order ID]])</f>
        <v>1</v>
      </c>
      <c r="Z3902" s="9">
        <f>1/COUNTIFS(Таблица1[Customer Name],Таблица1[[#This Row],[Customer Name]],Таблица1[Order-Year-Month],Таблица1[[#This Row],[Order-Year-Month]])</f>
        <v>1</v>
      </c>
    </row>
    <row r="3903" spans="1:26" x14ac:dyDescent="0.2">
      <c r="A3903" s="6">
        <v>891</v>
      </c>
      <c r="B3903" s="7">
        <v>6403</v>
      </c>
      <c r="C3903" s="8">
        <f>DATE(2012,12,31)-689</f>
        <v>40585</v>
      </c>
      <c r="D3903" s="8" t="str">
        <f t="shared" si="73"/>
        <v>2011-02 (февраль 2011)</v>
      </c>
      <c r="E3903" s="9" t="s">
        <v>21</v>
      </c>
      <c r="F3903" s="7">
        <v>41</v>
      </c>
      <c r="G3903" s="7">
        <v>17874.259999999998</v>
      </c>
      <c r="H3903" s="7">
        <v>0</v>
      </c>
      <c r="I3903" s="9" t="s">
        <v>22</v>
      </c>
      <c r="J3903" s="10">
        <v>6247.95</v>
      </c>
      <c r="K3903" s="11">
        <v>419.19</v>
      </c>
      <c r="L3903" s="11">
        <v>19.989999999999998</v>
      </c>
      <c r="M3903" s="9" t="s">
        <v>1725</v>
      </c>
      <c r="N3903" s="6" t="s">
        <v>1123</v>
      </c>
      <c r="O3903" s="6" t="s">
        <v>1123</v>
      </c>
      <c r="P3903" s="9" t="s">
        <v>25</v>
      </c>
      <c r="Q3903" s="9" t="s">
        <v>26</v>
      </c>
      <c r="R3903" s="9" t="s">
        <v>27</v>
      </c>
      <c r="S3903" s="7" t="s">
        <v>1655</v>
      </c>
      <c r="T3903" s="9" t="s">
        <v>39</v>
      </c>
      <c r="U3903" s="7">
        <v>0.57999999999999996</v>
      </c>
      <c r="V3903" s="12">
        <f>C3903+2</f>
        <v>40587</v>
      </c>
      <c r="W3903">
        <f>IF(D3903=' Pivot Tables'!$A$4,1,0)</f>
        <v>0</v>
      </c>
      <c r="X3903">
        <f>IF(AND(LEFT(D3903,4)+1=LEFT(' Pivot Tables'!$A$4,4)+0,RIGHT(LEFT(D3903,7),2)=RIGHT(LEFT(' Pivot Tables'!$A$4,7),2)),1,0)</f>
        <v>0</v>
      </c>
      <c r="Y3903" s="6">
        <f>1/COUNTIF(Таблица1[Order ID],Таблица1[[#This Row],[Order ID]])</f>
        <v>1</v>
      </c>
      <c r="Z3903" s="9">
        <f>1/COUNTIFS(Таблица1[Customer Name],Таблица1[[#This Row],[Customer Name]],Таблица1[Order-Year-Month],Таблица1[[#This Row],[Order-Year-Month]])</f>
        <v>1</v>
      </c>
    </row>
    <row r="3904" spans="1:26" x14ac:dyDescent="0.2">
      <c r="A3904" s="6">
        <v>932</v>
      </c>
      <c r="B3904" s="7">
        <v>6754</v>
      </c>
      <c r="C3904" s="8">
        <f>DATE(2012,12,31)-508</f>
        <v>40766</v>
      </c>
      <c r="D3904" s="8" t="str">
        <f t="shared" si="73"/>
        <v>2011-08 (август 2011)</v>
      </c>
      <c r="E3904" s="9" t="s">
        <v>30</v>
      </c>
      <c r="F3904" s="7">
        <v>13</v>
      </c>
      <c r="G3904" s="7">
        <v>2388.636</v>
      </c>
      <c r="H3904" s="7">
        <v>0.01</v>
      </c>
      <c r="I3904" s="9" t="s">
        <v>22</v>
      </c>
      <c r="J3904" s="10">
        <v>190.99799999999999</v>
      </c>
      <c r="K3904" s="11">
        <v>205.99</v>
      </c>
      <c r="L3904" s="11">
        <v>5.26</v>
      </c>
      <c r="M3904" s="9" t="s">
        <v>1736</v>
      </c>
      <c r="N3904" s="6" t="s">
        <v>1123</v>
      </c>
      <c r="O3904" s="6" t="s">
        <v>1123</v>
      </c>
      <c r="P3904" s="9" t="s">
        <v>41</v>
      </c>
      <c r="Q3904" s="9" t="s">
        <v>42</v>
      </c>
      <c r="R3904" s="9" t="s">
        <v>43</v>
      </c>
      <c r="S3904" s="7" t="s">
        <v>329</v>
      </c>
      <c r="T3904" s="9" t="s">
        <v>39</v>
      </c>
      <c r="U3904" s="7">
        <v>0.56000000000000005</v>
      </c>
      <c r="V3904" s="12">
        <f>C3904+2</f>
        <v>40768</v>
      </c>
      <c r="W3904">
        <f>IF(D3904=' Pivot Tables'!$A$4,1,0)</f>
        <v>0</v>
      </c>
      <c r="X3904">
        <f>IF(AND(LEFT(D3904,4)+1=LEFT(' Pivot Tables'!$A$4,4)+0,RIGHT(LEFT(D3904,7),2)=RIGHT(LEFT(' Pivot Tables'!$A$4,7),2)),1,0)</f>
        <v>0</v>
      </c>
      <c r="Y3904" s="6">
        <f>1/COUNTIF(Таблица1[Order ID],Таблица1[[#This Row],[Order ID]])</f>
        <v>1</v>
      </c>
      <c r="Z3904" s="9">
        <f>1/COUNTIFS(Таблица1[Customer Name],Таблица1[[#This Row],[Customer Name]],Таблица1[Order-Year-Month],Таблица1[[#This Row],[Order-Year-Month]])</f>
        <v>1</v>
      </c>
    </row>
    <row r="3905" spans="1:26" x14ac:dyDescent="0.2">
      <c r="A3905" s="6">
        <v>1040</v>
      </c>
      <c r="B3905" s="7">
        <v>7619</v>
      </c>
      <c r="C3905" s="8">
        <f>DATE(2012,12,31)-815</f>
        <v>40459</v>
      </c>
      <c r="D3905" s="8" t="str">
        <f t="shared" si="73"/>
        <v>2010-10 (октябрь 2010)</v>
      </c>
      <c r="E3905" s="9" t="s">
        <v>45</v>
      </c>
      <c r="F3905" s="7">
        <v>8</v>
      </c>
      <c r="G3905" s="7">
        <v>141.77000000000001</v>
      </c>
      <c r="H3905" s="7">
        <v>0.02</v>
      </c>
      <c r="I3905" s="9" t="s">
        <v>22</v>
      </c>
      <c r="J3905" s="10">
        <v>-24.48</v>
      </c>
      <c r="K3905" s="11">
        <v>17.48</v>
      </c>
      <c r="L3905" s="11">
        <v>1.99</v>
      </c>
      <c r="M3905" s="9" t="s">
        <v>1728</v>
      </c>
      <c r="N3905" s="6" t="s">
        <v>1123</v>
      </c>
      <c r="O3905" s="6" t="s">
        <v>1123</v>
      </c>
      <c r="P3905" s="9" t="s">
        <v>33</v>
      </c>
      <c r="Q3905" s="9" t="s">
        <v>42</v>
      </c>
      <c r="R3905" s="9" t="s">
        <v>70</v>
      </c>
      <c r="S3905" s="7" t="s">
        <v>1067</v>
      </c>
      <c r="T3905" s="9" t="s">
        <v>52</v>
      </c>
      <c r="U3905" s="7">
        <v>0.45</v>
      </c>
      <c r="V3905" s="12">
        <f>C3905+1</f>
        <v>40460</v>
      </c>
      <c r="W3905">
        <f>IF(D3905=' Pivot Tables'!$A$4,1,0)</f>
        <v>0</v>
      </c>
      <c r="X3905">
        <f>IF(AND(LEFT(D3905,4)+1=LEFT(' Pivot Tables'!$A$4,4)+0,RIGHT(LEFT(D3905,7),2)=RIGHT(LEFT(' Pivot Tables'!$A$4,7),2)),1,0)</f>
        <v>0</v>
      </c>
      <c r="Y3905" s="6">
        <f>1/COUNTIF(Таблица1[Order ID],Таблица1[[#This Row],[Order ID]])</f>
        <v>1</v>
      </c>
      <c r="Z3905" s="9">
        <f>1/COUNTIFS(Таблица1[Customer Name],Таблица1[[#This Row],[Customer Name]],Таблица1[Order-Year-Month],Таблица1[[#This Row],[Order-Year-Month]])</f>
        <v>0.33333333333333331</v>
      </c>
    </row>
    <row r="3906" spans="1:26" x14ac:dyDescent="0.2">
      <c r="A3906" s="6">
        <v>1048</v>
      </c>
      <c r="B3906" s="7">
        <v>7744</v>
      </c>
      <c r="C3906" s="8">
        <f>DATE(2012,12,31)-1140</f>
        <v>40134</v>
      </c>
      <c r="D3906" s="8" t="str">
        <f t="shared" si="73"/>
        <v>2009-11 (ноябрь 2009)</v>
      </c>
      <c r="E3906" s="9" t="s">
        <v>21</v>
      </c>
      <c r="F3906" s="7">
        <v>26</v>
      </c>
      <c r="G3906" s="7">
        <v>4286.55</v>
      </c>
      <c r="H3906" s="7">
        <v>7.0000000000000007E-2</v>
      </c>
      <c r="I3906" s="9" t="s">
        <v>22</v>
      </c>
      <c r="J3906" s="10">
        <v>1416.7035000000001</v>
      </c>
      <c r="K3906" s="11">
        <v>172.99</v>
      </c>
      <c r="L3906" s="11">
        <v>19.989999999999998</v>
      </c>
      <c r="M3906" s="9" t="s">
        <v>1722</v>
      </c>
      <c r="N3906" s="6" t="s">
        <v>1123</v>
      </c>
      <c r="O3906" s="6" t="s">
        <v>1123</v>
      </c>
      <c r="P3906" s="9" t="s">
        <v>41</v>
      </c>
      <c r="Q3906" s="9" t="s">
        <v>26</v>
      </c>
      <c r="R3906" s="9" t="s">
        <v>37</v>
      </c>
      <c r="S3906" s="7" t="s">
        <v>616</v>
      </c>
      <c r="T3906" s="9" t="s">
        <v>39</v>
      </c>
      <c r="U3906" s="7">
        <v>0.39</v>
      </c>
      <c r="V3906" s="12">
        <f>C3906+0</f>
        <v>40134</v>
      </c>
      <c r="W3906">
        <f>IF(D3906=' Pivot Tables'!$A$4,1,0)</f>
        <v>0</v>
      </c>
      <c r="X3906">
        <f>IF(AND(LEFT(D3906,4)+1=LEFT(' Pivot Tables'!$A$4,4)+0,RIGHT(LEFT(D3906,7),2)=RIGHT(LEFT(' Pivot Tables'!$A$4,7),2)),1,0)</f>
        <v>0</v>
      </c>
      <c r="Y3906" s="6">
        <f>1/COUNTIF(Таблица1[Order ID],Таблица1[[#This Row],[Order ID]])</f>
        <v>0.5</v>
      </c>
      <c r="Z3906" s="9">
        <f>1/COUNTIFS(Таблица1[Customer Name],Таблица1[[#This Row],[Customer Name]],Таблица1[Order-Year-Month],Таблица1[[#This Row],[Order-Year-Month]])</f>
        <v>0.5</v>
      </c>
    </row>
    <row r="3907" spans="1:26" x14ac:dyDescent="0.2">
      <c r="A3907" s="6">
        <v>1049</v>
      </c>
      <c r="B3907" s="7">
        <v>7744</v>
      </c>
      <c r="C3907" s="8">
        <f>DATE(2012,12,31)-1140</f>
        <v>40134</v>
      </c>
      <c r="D3907" s="8" t="str">
        <f t="shared" ref="D3907:D3970" si="74">TEXT(C3907,"гггг-ММ (ММММ гггг)")</f>
        <v>2009-11 (ноябрь 2009)</v>
      </c>
      <c r="E3907" s="9" t="s">
        <v>21</v>
      </c>
      <c r="F3907" s="7">
        <v>1</v>
      </c>
      <c r="G3907" s="7">
        <v>8.34</v>
      </c>
      <c r="H3907" s="7">
        <v>0.09</v>
      </c>
      <c r="I3907" s="9" t="s">
        <v>22</v>
      </c>
      <c r="J3907" s="10">
        <v>-3.44</v>
      </c>
      <c r="K3907" s="11">
        <v>7.64</v>
      </c>
      <c r="L3907" s="11">
        <v>1.39</v>
      </c>
      <c r="M3907" s="9" t="s">
        <v>1722</v>
      </c>
      <c r="N3907" s="6" t="s">
        <v>1123</v>
      </c>
      <c r="O3907" s="6" t="s">
        <v>1123</v>
      </c>
      <c r="P3907" s="9" t="s">
        <v>41</v>
      </c>
      <c r="Q3907" s="9" t="s">
        <v>26</v>
      </c>
      <c r="R3907" s="9" t="s">
        <v>76</v>
      </c>
      <c r="S3907" s="7" t="s">
        <v>297</v>
      </c>
      <c r="T3907" s="9" t="s">
        <v>39</v>
      </c>
      <c r="U3907" s="7">
        <v>0.36</v>
      </c>
      <c r="V3907" s="12">
        <f>C3907+9</f>
        <v>40143</v>
      </c>
      <c r="W3907">
        <f>IF(D3907=' Pivot Tables'!$A$4,1,0)</f>
        <v>0</v>
      </c>
      <c r="X3907">
        <f>IF(AND(LEFT(D3907,4)+1=LEFT(' Pivot Tables'!$A$4,4)+0,RIGHT(LEFT(D3907,7),2)=RIGHT(LEFT(' Pivot Tables'!$A$4,7),2)),1,0)</f>
        <v>0</v>
      </c>
      <c r="Y3907" s="6">
        <f>1/COUNTIF(Таблица1[Order ID],Таблица1[[#This Row],[Order ID]])</f>
        <v>0.5</v>
      </c>
      <c r="Z3907" s="9">
        <f>1/COUNTIFS(Таблица1[Customer Name],Таблица1[[#This Row],[Customer Name]],Таблица1[Order-Year-Month],Таблица1[[#This Row],[Order-Year-Month]])</f>
        <v>0.5</v>
      </c>
    </row>
    <row r="3908" spans="1:26" x14ac:dyDescent="0.2">
      <c r="A3908" s="6">
        <v>1089</v>
      </c>
      <c r="B3908" s="7">
        <v>8006</v>
      </c>
      <c r="C3908" s="8">
        <f>DATE(2012,12,31)-577</f>
        <v>40697</v>
      </c>
      <c r="D3908" s="8" t="str">
        <f t="shared" si="74"/>
        <v>2011-06 (июнь 2011)</v>
      </c>
      <c r="E3908" s="9" t="s">
        <v>63</v>
      </c>
      <c r="F3908" s="7">
        <v>27</v>
      </c>
      <c r="G3908" s="7">
        <v>197.15</v>
      </c>
      <c r="H3908" s="7">
        <v>0</v>
      </c>
      <c r="I3908" s="9" t="s">
        <v>56</v>
      </c>
      <c r="J3908" s="10">
        <v>-23.34</v>
      </c>
      <c r="K3908" s="11">
        <v>6.68</v>
      </c>
      <c r="L3908" s="11">
        <v>5.2</v>
      </c>
      <c r="M3908" s="9" t="s">
        <v>1720</v>
      </c>
      <c r="N3908" s="6" t="s">
        <v>1123</v>
      </c>
      <c r="O3908" s="6" t="s">
        <v>1123</v>
      </c>
      <c r="P3908" s="9" t="s">
        <v>33</v>
      </c>
      <c r="Q3908" s="9" t="s">
        <v>26</v>
      </c>
      <c r="R3908" s="9" t="s">
        <v>61</v>
      </c>
      <c r="S3908" s="7" t="s">
        <v>445</v>
      </c>
      <c r="T3908" s="9" t="s">
        <v>39</v>
      </c>
      <c r="U3908" s="7">
        <v>0.37</v>
      </c>
      <c r="V3908" s="12">
        <f>C3908+2</f>
        <v>40699</v>
      </c>
      <c r="W3908">
        <f>IF(D3908=' Pivot Tables'!$A$4,1,0)</f>
        <v>0</v>
      </c>
      <c r="X3908">
        <f>IF(AND(LEFT(D3908,4)+1=LEFT(' Pivot Tables'!$A$4,4)+0,RIGHT(LEFT(D3908,7),2)=RIGHT(LEFT(' Pivot Tables'!$A$4,7),2)),1,0)</f>
        <v>0</v>
      </c>
      <c r="Y3908" s="6">
        <f>1/COUNTIF(Таблица1[Order ID],Таблица1[[#This Row],[Order ID]])</f>
        <v>1</v>
      </c>
      <c r="Z3908" s="9">
        <f>1/COUNTIFS(Таблица1[Customer Name],Таблица1[[#This Row],[Customer Name]],Таблица1[Order-Year-Month],Таблица1[[#This Row],[Order-Year-Month]])</f>
        <v>1</v>
      </c>
    </row>
    <row r="3909" spans="1:26" x14ac:dyDescent="0.2">
      <c r="A3909" s="6">
        <v>1121</v>
      </c>
      <c r="B3909" s="7">
        <v>8224</v>
      </c>
      <c r="C3909" s="8">
        <f>DATE(2012,12,31)-328</f>
        <v>40946</v>
      </c>
      <c r="D3909" s="8" t="str">
        <f t="shared" si="74"/>
        <v>2012-02 (февраль 2012)</v>
      </c>
      <c r="E3909" s="9" t="s">
        <v>45</v>
      </c>
      <c r="F3909" s="7">
        <v>41</v>
      </c>
      <c r="G3909" s="7">
        <v>89.77</v>
      </c>
      <c r="H3909" s="7">
        <v>0.03</v>
      </c>
      <c r="I3909" s="9" t="s">
        <v>22</v>
      </c>
      <c r="J3909" s="10">
        <v>9.92</v>
      </c>
      <c r="K3909" s="11">
        <v>2.21</v>
      </c>
      <c r="L3909" s="11">
        <v>1</v>
      </c>
      <c r="M3909" s="9" t="s">
        <v>973</v>
      </c>
      <c r="N3909" s="6" t="s">
        <v>1123</v>
      </c>
      <c r="O3909" s="6" t="s">
        <v>1123</v>
      </c>
      <c r="P3909" s="9" t="s">
        <v>41</v>
      </c>
      <c r="Q3909" s="9" t="s">
        <v>26</v>
      </c>
      <c r="R3909" s="9" t="s">
        <v>95</v>
      </c>
      <c r="S3909" s="7" t="s">
        <v>1737</v>
      </c>
      <c r="T3909" s="9" t="s">
        <v>68</v>
      </c>
      <c r="U3909" s="7">
        <v>0.38</v>
      </c>
      <c r="V3909" s="12">
        <f>C3909+2</f>
        <v>40948</v>
      </c>
      <c r="W3909">
        <f>IF(D3909=' Pivot Tables'!$A$4,1,0)</f>
        <v>0</v>
      </c>
      <c r="X3909">
        <f>IF(AND(LEFT(D3909,4)+1=LEFT(' Pivot Tables'!$A$4,4)+0,RIGHT(LEFT(D3909,7),2)=RIGHT(LEFT(' Pivot Tables'!$A$4,7),2)),1,0)</f>
        <v>0</v>
      </c>
      <c r="Y3909" s="6">
        <f>1/COUNTIF(Таблица1[Order ID],Таблица1[[#This Row],[Order ID]])</f>
        <v>1</v>
      </c>
      <c r="Z3909" s="9">
        <f>1/COUNTIFS(Таблица1[Customer Name],Таблица1[[#This Row],[Customer Name]],Таблица1[Order-Year-Month],Таблица1[[#This Row],[Order-Year-Month]])</f>
        <v>1</v>
      </c>
    </row>
    <row r="3910" spans="1:26" x14ac:dyDescent="0.2">
      <c r="A3910" s="6">
        <v>1143</v>
      </c>
      <c r="B3910" s="7">
        <v>8323</v>
      </c>
      <c r="C3910" s="8">
        <f>DATE(2012,12,31)-482</f>
        <v>40792</v>
      </c>
      <c r="D3910" s="8" t="str">
        <f t="shared" si="74"/>
        <v>2011-09 (сентябрь 2011)</v>
      </c>
      <c r="E3910" s="9" t="s">
        <v>30</v>
      </c>
      <c r="F3910" s="7">
        <v>45</v>
      </c>
      <c r="G3910" s="7">
        <v>766.96349999999995</v>
      </c>
      <c r="H3910" s="7">
        <v>0.05</v>
      </c>
      <c r="I3910" s="9" t="s">
        <v>56</v>
      </c>
      <c r="J3910" s="10">
        <v>-88.253</v>
      </c>
      <c r="K3910" s="11">
        <v>20.99</v>
      </c>
      <c r="L3910" s="11">
        <v>2.5</v>
      </c>
      <c r="M3910" s="9" t="s">
        <v>1229</v>
      </c>
      <c r="N3910" s="6" t="s">
        <v>1123</v>
      </c>
      <c r="O3910" s="6" t="s">
        <v>1123</v>
      </c>
      <c r="P3910" s="9" t="s">
        <v>60</v>
      </c>
      <c r="Q3910" s="9" t="s">
        <v>42</v>
      </c>
      <c r="R3910" s="9" t="s">
        <v>43</v>
      </c>
      <c r="S3910" s="7" t="s">
        <v>108</v>
      </c>
      <c r="T3910" s="9" t="s">
        <v>68</v>
      </c>
      <c r="U3910" s="7">
        <v>0.81</v>
      </c>
      <c r="V3910" s="12">
        <f>C3910+1</f>
        <v>40793</v>
      </c>
      <c r="W3910">
        <f>IF(D3910=' Pivot Tables'!$A$4,1,0)</f>
        <v>0</v>
      </c>
      <c r="X3910">
        <f>IF(AND(LEFT(D3910,4)+1=LEFT(' Pivot Tables'!$A$4,4)+0,RIGHT(LEFT(D3910,7),2)=RIGHT(LEFT(' Pivot Tables'!$A$4,7),2)),1,0)</f>
        <v>0</v>
      </c>
      <c r="Y3910" s="6">
        <f>1/COUNTIF(Таблица1[Order ID],Таблица1[[#This Row],[Order ID]])</f>
        <v>1</v>
      </c>
      <c r="Z3910" s="9">
        <f>1/COUNTIFS(Таблица1[Customer Name],Таблица1[[#This Row],[Customer Name]],Таблица1[Order-Year-Month],Таблица1[[#This Row],[Order-Year-Month]])</f>
        <v>1</v>
      </c>
    </row>
    <row r="3911" spans="1:26" x14ac:dyDescent="0.2">
      <c r="A3911" s="6">
        <v>1163</v>
      </c>
      <c r="B3911" s="7">
        <v>8480</v>
      </c>
      <c r="C3911" s="8">
        <f>DATE(2012,12,31)-702</f>
        <v>40572</v>
      </c>
      <c r="D3911" s="8" t="str">
        <f t="shared" si="74"/>
        <v>2011-01 (январь 2011)</v>
      </c>
      <c r="E3911" s="9" t="s">
        <v>30</v>
      </c>
      <c r="F3911" s="7">
        <v>11</v>
      </c>
      <c r="G3911" s="7">
        <v>76.36</v>
      </c>
      <c r="H3911" s="7">
        <v>7.0000000000000007E-2</v>
      </c>
      <c r="I3911" s="9" t="s">
        <v>22</v>
      </c>
      <c r="J3911" s="10">
        <v>-58.4</v>
      </c>
      <c r="K3911" s="11">
        <v>6.48</v>
      </c>
      <c r="L3911" s="11">
        <v>8.74</v>
      </c>
      <c r="M3911" s="9" t="s">
        <v>1738</v>
      </c>
      <c r="N3911" s="6" t="s">
        <v>1123</v>
      </c>
      <c r="O3911" s="6" t="s">
        <v>1123</v>
      </c>
      <c r="P3911" s="9" t="s">
        <v>41</v>
      </c>
      <c r="Q3911" s="9" t="s">
        <v>26</v>
      </c>
      <c r="R3911" s="9" t="s">
        <v>61</v>
      </c>
      <c r="S3911" s="7" t="s">
        <v>1210</v>
      </c>
      <c r="T3911" s="9" t="s">
        <v>39</v>
      </c>
      <c r="U3911" s="7">
        <v>0.36</v>
      </c>
      <c r="V3911" s="12">
        <f>C3911+2</f>
        <v>40574</v>
      </c>
      <c r="W3911">
        <f>IF(D3911=' Pivot Tables'!$A$4,1,0)</f>
        <v>0</v>
      </c>
      <c r="X3911">
        <f>IF(AND(LEFT(D3911,4)+1=LEFT(' Pivot Tables'!$A$4,4)+0,RIGHT(LEFT(D3911,7),2)=RIGHT(LEFT(' Pivot Tables'!$A$4,7),2)),1,0)</f>
        <v>0</v>
      </c>
      <c r="Y3911" s="6">
        <f>1/COUNTIF(Таблица1[Order ID],Таблица1[[#This Row],[Order ID]])</f>
        <v>0.5</v>
      </c>
      <c r="Z3911" s="9">
        <f>1/COUNTIFS(Таблица1[Customer Name],Таблица1[[#This Row],[Customer Name]],Таблица1[Order-Year-Month],Таблица1[[#This Row],[Order-Year-Month]])</f>
        <v>0.5</v>
      </c>
    </row>
    <row r="3912" spans="1:26" x14ac:dyDescent="0.2">
      <c r="A3912" s="6">
        <v>1164</v>
      </c>
      <c r="B3912" s="7">
        <v>8480</v>
      </c>
      <c r="C3912" s="8">
        <f>DATE(2012,12,31)-702</f>
        <v>40572</v>
      </c>
      <c r="D3912" s="8" t="str">
        <f t="shared" si="74"/>
        <v>2011-01 (январь 2011)</v>
      </c>
      <c r="E3912" s="9" t="s">
        <v>30</v>
      </c>
      <c r="F3912" s="7">
        <v>3</v>
      </c>
      <c r="G3912" s="7">
        <v>309.9015</v>
      </c>
      <c r="H3912" s="7">
        <v>0.09</v>
      </c>
      <c r="I3912" s="9" t="s">
        <v>22</v>
      </c>
      <c r="J3912" s="10">
        <v>-558.41499999999996</v>
      </c>
      <c r="K3912" s="11">
        <v>125.99</v>
      </c>
      <c r="L3912" s="11">
        <v>7.69</v>
      </c>
      <c r="M3912" s="9" t="s">
        <v>1738</v>
      </c>
      <c r="N3912" s="6" t="s">
        <v>1123</v>
      </c>
      <c r="O3912" s="6" t="s">
        <v>1123</v>
      </c>
      <c r="P3912" s="9" t="s">
        <v>41</v>
      </c>
      <c r="Q3912" s="9" t="s">
        <v>42</v>
      </c>
      <c r="R3912" s="9" t="s">
        <v>43</v>
      </c>
      <c r="S3912" s="7" t="s">
        <v>129</v>
      </c>
      <c r="T3912" s="9" t="s">
        <v>39</v>
      </c>
      <c r="U3912" s="7">
        <v>0.57999999999999996</v>
      </c>
      <c r="V3912" s="12">
        <f>C3912+2</f>
        <v>40574</v>
      </c>
      <c r="W3912">
        <f>IF(D3912=' Pivot Tables'!$A$4,1,0)</f>
        <v>0</v>
      </c>
      <c r="X3912">
        <f>IF(AND(LEFT(D3912,4)+1=LEFT(' Pivot Tables'!$A$4,4)+0,RIGHT(LEFT(D3912,7),2)=RIGHT(LEFT(' Pivot Tables'!$A$4,7),2)),1,0)</f>
        <v>0</v>
      </c>
      <c r="Y3912" s="6">
        <f>1/COUNTIF(Таблица1[Order ID],Таблица1[[#This Row],[Order ID]])</f>
        <v>0.5</v>
      </c>
      <c r="Z3912" s="9">
        <f>1/COUNTIFS(Таблица1[Customer Name],Таблица1[[#This Row],[Customer Name]],Таблица1[Order-Year-Month],Таблица1[[#This Row],[Order-Year-Month]])</f>
        <v>0.5</v>
      </c>
    </row>
    <row r="3913" spans="1:26" x14ac:dyDescent="0.2">
      <c r="A3913" s="6">
        <v>1304</v>
      </c>
      <c r="B3913" s="7">
        <v>9568</v>
      </c>
      <c r="C3913" s="8">
        <f>DATE(2012,12,31)-1030</f>
        <v>40244</v>
      </c>
      <c r="D3913" s="8" t="str">
        <f t="shared" si="74"/>
        <v>2010-03 (март 2010)</v>
      </c>
      <c r="E3913" s="9" t="s">
        <v>45</v>
      </c>
      <c r="F3913" s="7">
        <v>46</v>
      </c>
      <c r="G3913" s="7">
        <v>3725.53</v>
      </c>
      <c r="H3913" s="7">
        <v>0</v>
      </c>
      <c r="I3913" s="9" t="s">
        <v>22</v>
      </c>
      <c r="J3913" s="10">
        <v>748.67</v>
      </c>
      <c r="K3913" s="11">
        <v>76.72</v>
      </c>
      <c r="L3913" s="11">
        <v>19.95</v>
      </c>
      <c r="M3913" s="9" t="s">
        <v>1725</v>
      </c>
      <c r="N3913" s="6" t="s">
        <v>1123</v>
      </c>
      <c r="O3913" s="6" t="s">
        <v>1123</v>
      </c>
      <c r="P3913" s="9" t="s">
        <v>41</v>
      </c>
      <c r="Q3913" s="9" t="s">
        <v>26</v>
      </c>
      <c r="R3913" s="9" t="s">
        <v>34</v>
      </c>
      <c r="S3913" s="7" t="s">
        <v>447</v>
      </c>
      <c r="T3913" s="9" t="s">
        <v>29</v>
      </c>
      <c r="U3913" s="7">
        <v>0.54</v>
      </c>
      <c r="V3913" s="12">
        <f>C3913+2</f>
        <v>40246</v>
      </c>
      <c r="W3913">
        <f>IF(D3913=' Pivot Tables'!$A$4,1,0)</f>
        <v>0</v>
      </c>
      <c r="X3913">
        <f>IF(AND(LEFT(D3913,4)+1=LEFT(' Pivot Tables'!$A$4,4)+0,RIGHT(LEFT(D3913,7),2)=RIGHT(LEFT(' Pivot Tables'!$A$4,7),2)),1,0)</f>
        <v>0</v>
      </c>
      <c r="Y3913" s="6">
        <f>1/COUNTIF(Таблица1[Order ID],Таблица1[[#This Row],[Order ID]])</f>
        <v>1</v>
      </c>
      <c r="Z3913" s="9">
        <f>1/COUNTIFS(Таблица1[Customer Name],Таблица1[[#This Row],[Customer Name]],Таблица1[Order-Year-Month],Таблица1[[#This Row],[Order-Year-Month]])</f>
        <v>1</v>
      </c>
    </row>
    <row r="3914" spans="1:26" x14ac:dyDescent="0.2">
      <c r="A3914" s="6">
        <v>1331</v>
      </c>
      <c r="B3914" s="7">
        <v>9701</v>
      </c>
      <c r="C3914" s="8">
        <f>DATE(2012,12,31)-1038</f>
        <v>40236</v>
      </c>
      <c r="D3914" s="8" t="str">
        <f t="shared" si="74"/>
        <v>2010-02 (февраль 2010)</v>
      </c>
      <c r="E3914" s="9" t="s">
        <v>21</v>
      </c>
      <c r="F3914" s="7">
        <v>8</v>
      </c>
      <c r="G3914" s="7">
        <v>103.75</v>
      </c>
      <c r="H3914" s="7">
        <v>0.01</v>
      </c>
      <c r="I3914" s="9" t="s">
        <v>22</v>
      </c>
      <c r="J3914" s="10">
        <v>25.134499999999999</v>
      </c>
      <c r="K3914" s="11">
        <v>12.97</v>
      </c>
      <c r="L3914" s="11">
        <v>1.49</v>
      </c>
      <c r="M3914" s="9" t="s">
        <v>1734</v>
      </c>
      <c r="N3914" s="6" t="s">
        <v>1123</v>
      </c>
      <c r="O3914" s="6" t="s">
        <v>1123</v>
      </c>
      <c r="P3914" s="9" t="s">
        <v>25</v>
      </c>
      <c r="Q3914" s="9" t="s">
        <v>26</v>
      </c>
      <c r="R3914" s="9" t="s">
        <v>37</v>
      </c>
      <c r="S3914" s="7" t="s">
        <v>1269</v>
      </c>
      <c r="T3914" s="9" t="s">
        <v>39</v>
      </c>
      <c r="U3914" s="7">
        <v>0.35</v>
      </c>
      <c r="V3914" s="12">
        <f>C3914+5</f>
        <v>40241</v>
      </c>
      <c r="W3914">
        <f>IF(D3914=' Pivot Tables'!$A$4,1,0)</f>
        <v>0</v>
      </c>
      <c r="X3914">
        <f>IF(AND(LEFT(D3914,4)+1=LEFT(' Pivot Tables'!$A$4,4)+0,RIGHT(LEFT(D3914,7),2)=RIGHT(LEFT(' Pivot Tables'!$A$4,7),2)),1,0)</f>
        <v>0</v>
      </c>
      <c r="Y3914" s="6">
        <f>1/COUNTIF(Таблица1[Order ID],Таблица1[[#This Row],[Order ID]])</f>
        <v>0.5</v>
      </c>
      <c r="Z3914" s="9">
        <f>1/COUNTIFS(Таблица1[Customer Name],Таблица1[[#This Row],[Customer Name]],Таблица1[Order-Year-Month],Таблица1[[#This Row],[Order-Year-Month]])</f>
        <v>0.5</v>
      </c>
    </row>
    <row r="3915" spans="1:26" x14ac:dyDescent="0.2">
      <c r="A3915" s="6">
        <v>1332</v>
      </c>
      <c r="B3915" s="7">
        <v>9701</v>
      </c>
      <c r="C3915" s="8">
        <f>DATE(2012,12,31)-1038</f>
        <v>40236</v>
      </c>
      <c r="D3915" s="8" t="str">
        <f t="shared" si="74"/>
        <v>2010-02 (февраль 2010)</v>
      </c>
      <c r="E3915" s="9" t="s">
        <v>21</v>
      </c>
      <c r="F3915" s="7">
        <v>9</v>
      </c>
      <c r="G3915" s="7">
        <v>855.86500000000001</v>
      </c>
      <c r="H3915" s="7">
        <v>0.04</v>
      </c>
      <c r="I3915" s="9" t="s">
        <v>22</v>
      </c>
      <c r="J3915" s="10">
        <v>-153.923</v>
      </c>
      <c r="K3915" s="11">
        <v>110.99</v>
      </c>
      <c r="L3915" s="11">
        <v>2.5</v>
      </c>
      <c r="M3915" s="9" t="s">
        <v>1734</v>
      </c>
      <c r="N3915" s="6" t="s">
        <v>1123</v>
      </c>
      <c r="O3915" s="6" t="s">
        <v>1123</v>
      </c>
      <c r="P3915" s="9" t="s">
        <v>25</v>
      </c>
      <c r="Q3915" s="9" t="s">
        <v>42</v>
      </c>
      <c r="R3915" s="9" t="s">
        <v>43</v>
      </c>
      <c r="S3915" s="7" t="s">
        <v>493</v>
      </c>
      <c r="T3915" s="9" t="s">
        <v>39</v>
      </c>
      <c r="U3915" s="7">
        <v>0.56999999999999995</v>
      </c>
      <c r="V3915" s="12">
        <f>C3915+4</f>
        <v>40240</v>
      </c>
      <c r="W3915">
        <f>IF(D3915=' Pivot Tables'!$A$4,1,0)</f>
        <v>0</v>
      </c>
      <c r="X3915">
        <f>IF(AND(LEFT(D3915,4)+1=LEFT(' Pivot Tables'!$A$4,4)+0,RIGHT(LEFT(D3915,7),2)=RIGHT(LEFT(' Pivot Tables'!$A$4,7),2)),1,0)</f>
        <v>0</v>
      </c>
      <c r="Y3915" s="6">
        <f>1/COUNTIF(Таблица1[Order ID],Таблица1[[#This Row],[Order ID]])</f>
        <v>0.5</v>
      </c>
      <c r="Z3915" s="9">
        <f>1/COUNTIFS(Таблица1[Customer Name],Таблица1[[#This Row],[Customer Name]],Таблица1[Order-Year-Month],Таблица1[[#This Row],[Order-Year-Month]])</f>
        <v>0.5</v>
      </c>
    </row>
    <row r="3916" spans="1:26" x14ac:dyDescent="0.2">
      <c r="A3916" s="6">
        <v>1369</v>
      </c>
      <c r="B3916" s="7">
        <v>9926</v>
      </c>
      <c r="C3916" s="8">
        <f>DATE(2012,12,31)-1177</f>
        <v>40097</v>
      </c>
      <c r="D3916" s="8" t="str">
        <f t="shared" si="74"/>
        <v>2009-10 (октябрь 2009)</v>
      </c>
      <c r="E3916" s="9" t="s">
        <v>30</v>
      </c>
      <c r="F3916" s="7">
        <v>25</v>
      </c>
      <c r="G3916" s="7">
        <v>158.83000000000001</v>
      </c>
      <c r="H3916" s="7">
        <v>0</v>
      </c>
      <c r="I3916" s="9" t="s">
        <v>22</v>
      </c>
      <c r="J3916" s="10">
        <v>-56.97</v>
      </c>
      <c r="K3916" s="11">
        <v>5.77</v>
      </c>
      <c r="L3916" s="11">
        <v>5.92</v>
      </c>
      <c r="M3916" s="9" t="s">
        <v>1739</v>
      </c>
      <c r="N3916" s="6" t="s">
        <v>1123</v>
      </c>
      <c r="O3916" s="6" t="s">
        <v>1123</v>
      </c>
      <c r="P3916" s="9" t="s">
        <v>60</v>
      </c>
      <c r="Q3916" s="9" t="s">
        <v>49</v>
      </c>
      <c r="R3916" s="9" t="s">
        <v>50</v>
      </c>
      <c r="S3916" s="7" t="s">
        <v>1647</v>
      </c>
      <c r="T3916" s="9" t="s">
        <v>48</v>
      </c>
      <c r="U3916" s="7">
        <v>0.55000000000000004</v>
      </c>
      <c r="V3916" s="12">
        <f>C3916+2</f>
        <v>40099</v>
      </c>
      <c r="W3916">
        <f>IF(D3916=' Pivot Tables'!$A$4,1,0)</f>
        <v>0</v>
      </c>
      <c r="X3916">
        <f>IF(AND(LEFT(D3916,4)+1=LEFT(' Pivot Tables'!$A$4,4)+0,RIGHT(LEFT(D3916,7),2)=RIGHT(LEFT(' Pivot Tables'!$A$4,7),2)),1,0)</f>
        <v>0</v>
      </c>
      <c r="Y3916" s="6">
        <f>1/COUNTIF(Таблица1[Order ID],Таблица1[[#This Row],[Order ID]])</f>
        <v>1</v>
      </c>
      <c r="Z3916" s="9">
        <f>1/COUNTIFS(Таблица1[Customer Name],Таблица1[[#This Row],[Customer Name]],Таблица1[Order-Year-Month],Таблица1[[#This Row],[Order-Year-Month]])</f>
        <v>1</v>
      </c>
    </row>
    <row r="3917" spans="1:26" x14ac:dyDescent="0.2">
      <c r="A3917" s="6">
        <v>1439</v>
      </c>
      <c r="B3917" s="7">
        <v>10373</v>
      </c>
      <c r="C3917" s="8">
        <f>DATE(2012,12,31)-920</f>
        <v>40354</v>
      </c>
      <c r="D3917" s="8" t="str">
        <f t="shared" si="74"/>
        <v>2010-06 (июнь 2010)</v>
      </c>
      <c r="E3917" s="9" t="s">
        <v>78</v>
      </c>
      <c r="F3917" s="7">
        <v>28</v>
      </c>
      <c r="G3917" s="7">
        <v>193.16</v>
      </c>
      <c r="H3917" s="7">
        <v>0.03</v>
      </c>
      <c r="I3917" s="9" t="s">
        <v>22</v>
      </c>
      <c r="J3917" s="10">
        <v>-71.73</v>
      </c>
      <c r="K3917" s="11">
        <v>6.48</v>
      </c>
      <c r="L3917" s="11">
        <v>6.6</v>
      </c>
      <c r="M3917" s="9" t="s">
        <v>1728</v>
      </c>
      <c r="N3917" s="6" t="s">
        <v>1123</v>
      </c>
      <c r="O3917" s="6" t="s">
        <v>1123</v>
      </c>
      <c r="P3917" s="9" t="s">
        <v>33</v>
      </c>
      <c r="Q3917" s="9" t="s">
        <v>26</v>
      </c>
      <c r="R3917" s="9" t="s">
        <v>61</v>
      </c>
      <c r="S3917" s="7" t="s">
        <v>346</v>
      </c>
      <c r="T3917" s="9" t="s">
        <v>39</v>
      </c>
      <c r="U3917" s="7">
        <v>0.37</v>
      </c>
      <c r="V3917" s="12">
        <f>C3917+2</f>
        <v>40356</v>
      </c>
      <c r="W3917">
        <f>IF(D3917=' Pivot Tables'!$A$4,1,0)</f>
        <v>0</v>
      </c>
      <c r="X3917">
        <f>IF(AND(LEFT(D3917,4)+1=LEFT(' Pivot Tables'!$A$4,4)+0,RIGHT(LEFT(D3917,7),2)=RIGHT(LEFT(' Pivot Tables'!$A$4,7),2)),1,0)</f>
        <v>0</v>
      </c>
      <c r="Y3917" s="6">
        <f>1/COUNTIF(Таблица1[Order ID],Таблица1[[#This Row],[Order ID]])</f>
        <v>1</v>
      </c>
      <c r="Z3917" s="9">
        <f>1/COUNTIFS(Таблица1[Customer Name],Таблица1[[#This Row],[Customer Name]],Таблица1[Order-Year-Month],Таблица1[[#This Row],[Order-Year-Month]])</f>
        <v>0.5</v>
      </c>
    </row>
    <row r="3918" spans="1:26" x14ac:dyDescent="0.2">
      <c r="A3918" s="6">
        <v>1452</v>
      </c>
      <c r="B3918" s="7">
        <v>10470</v>
      </c>
      <c r="C3918" s="8">
        <f>DATE(2012,12,31)-241</f>
        <v>41033</v>
      </c>
      <c r="D3918" s="8" t="str">
        <f t="shared" si="74"/>
        <v>2012-05 (май 2012)</v>
      </c>
      <c r="E3918" s="9" t="s">
        <v>21</v>
      </c>
      <c r="F3918" s="7">
        <v>40</v>
      </c>
      <c r="G3918" s="7">
        <v>1757.43</v>
      </c>
      <c r="H3918" s="7">
        <v>0.02</v>
      </c>
      <c r="I3918" s="9" t="s">
        <v>56</v>
      </c>
      <c r="J3918" s="10">
        <v>490.77</v>
      </c>
      <c r="K3918" s="11">
        <v>44.01</v>
      </c>
      <c r="L3918" s="11">
        <v>3.5</v>
      </c>
      <c r="M3918" s="9" t="s">
        <v>1740</v>
      </c>
      <c r="N3918" s="6" t="s">
        <v>1123</v>
      </c>
      <c r="O3918" s="6" t="s">
        <v>1123</v>
      </c>
      <c r="P3918" s="9" t="s">
        <v>41</v>
      </c>
      <c r="Q3918" s="9" t="s">
        <v>26</v>
      </c>
      <c r="R3918" s="9" t="s">
        <v>34</v>
      </c>
      <c r="S3918" s="7" t="s">
        <v>1648</v>
      </c>
      <c r="T3918" s="9" t="s">
        <v>39</v>
      </c>
      <c r="U3918" s="7">
        <v>0.59</v>
      </c>
      <c r="V3918" s="12">
        <f>C3918+2</f>
        <v>41035</v>
      </c>
      <c r="W3918">
        <f>IF(D3918=' Pivot Tables'!$A$4,1,0)</f>
        <v>0</v>
      </c>
      <c r="X3918">
        <f>IF(AND(LEFT(D3918,4)+1=LEFT(' Pivot Tables'!$A$4,4)+0,RIGHT(LEFT(D3918,7),2)=RIGHT(LEFT(' Pivot Tables'!$A$4,7),2)),1,0)</f>
        <v>0</v>
      </c>
      <c r="Y3918" s="6">
        <f>1/COUNTIF(Таблица1[Order ID],Таблица1[[#This Row],[Order ID]])</f>
        <v>0.25</v>
      </c>
      <c r="Z3918" s="9">
        <f>1/COUNTIFS(Таблица1[Customer Name],Таблица1[[#This Row],[Customer Name]],Таблица1[Order-Year-Month],Таблица1[[#This Row],[Order-Year-Month]])</f>
        <v>0.33333333333333331</v>
      </c>
    </row>
    <row r="3919" spans="1:26" x14ac:dyDescent="0.2">
      <c r="A3919" s="6">
        <v>1453</v>
      </c>
      <c r="B3919" s="7">
        <v>10470</v>
      </c>
      <c r="C3919" s="8">
        <f>DATE(2012,12,31)-241</f>
        <v>41033</v>
      </c>
      <c r="D3919" s="8" t="str">
        <f t="shared" si="74"/>
        <v>2012-05 (май 2012)</v>
      </c>
      <c r="E3919" s="9" t="s">
        <v>21</v>
      </c>
      <c r="F3919" s="7">
        <v>8</v>
      </c>
      <c r="G3919" s="7">
        <v>137.26</v>
      </c>
      <c r="H3919" s="7">
        <v>0.03</v>
      </c>
      <c r="I3919" s="9" t="s">
        <v>22</v>
      </c>
      <c r="J3919" s="10">
        <v>-54.613500000000002</v>
      </c>
      <c r="K3919" s="11">
        <v>15.99</v>
      </c>
      <c r="L3919" s="11">
        <v>13.18</v>
      </c>
      <c r="M3919" s="9" t="s">
        <v>1740</v>
      </c>
      <c r="N3919" s="6" t="s">
        <v>1123</v>
      </c>
      <c r="O3919" s="6" t="s">
        <v>1123</v>
      </c>
      <c r="P3919" s="9" t="s">
        <v>41</v>
      </c>
      <c r="Q3919" s="9" t="s">
        <v>26</v>
      </c>
      <c r="R3919" s="9" t="s">
        <v>37</v>
      </c>
      <c r="S3919" s="7" t="s">
        <v>92</v>
      </c>
      <c r="T3919" s="9" t="s">
        <v>39</v>
      </c>
      <c r="U3919" s="7">
        <v>0.37</v>
      </c>
      <c r="V3919" s="12">
        <f>C3919+7</f>
        <v>41040</v>
      </c>
      <c r="W3919">
        <f>IF(D3919=' Pivot Tables'!$A$4,1,0)</f>
        <v>0</v>
      </c>
      <c r="X3919">
        <f>IF(AND(LEFT(D3919,4)+1=LEFT(' Pivot Tables'!$A$4,4)+0,RIGHT(LEFT(D3919,7),2)=RIGHT(LEFT(' Pivot Tables'!$A$4,7),2)),1,0)</f>
        <v>0</v>
      </c>
      <c r="Y3919" s="6">
        <f>1/COUNTIF(Таблица1[Order ID],Таблица1[[#This Row],[Order ID]])</f>
        <v>0.25</v>
      </c>
      <c r="Z3919" s="9">
        <f>1/COUNTIFS(Таблица1[Customer Name],Таблица1[[#This Row],[Customer Name]],Таблица1[Order-Year-Month],Таблица1[[#This Row],[Order-Year-Month]])</f>
        <v>0.33333333333333331</v>
      </c>
    </row>
    <row r="3920" spans="1:26" x14ac:dyDescent="0.2">
      <c r="A3920" s="6">
        <v>1454</v>
      </c>
      <c r="B3920" s="7">
        <v>10470</v>
      </c>
      <c r="C3920" s="8">
        <f>DATE(2012,12,31)-241</f>
        <v>41033</v>
      </c>
      <c r="D3920" s="8" t="str">
        <f t="shared" si="74"/>
        <v>2012-05 (май 2012)</v>
      </c>
      <c r="E3920" s="9" t="s">
        <v>21</v>
      </c>
      <c r="F3920" s="7">
        <v>20</v>
      </c>
      <c r="G3920" s="7">
        <v>2913.1455000000001</v>
      </c>
      <c r="H3920" s="7">
        <v>0.09</v>
      </c>
      <c r="I3920" s="9" t="s">
        <v>22</v>
      </c>
      <c r="J3920" s="10">
        <v>333.72</v>
      </c>
      <c r="K3920" s="11">
        <v>175.99</v>
      </c>
      <c r="L3920" s="11">
        <v>4.99</v>
      </c>
      <c r="M3920" s="9" t="s">
        <v>1740</v>
      </c>
      <c r="N3920" s="6" t="s">
        <v>1123</v>
      </c>
      <c r="O3920" s="6" t="s">
        <v>1123</v>
      </c>
      <c r="P3920" s="9" t="s">
        <v>41</v>
      </c>
      <c r="Q3920" s="9" t="s">
        <v>42</v>
      </c>
      <c r="R3920" s="9" t="s">
        <v>43</v>
      </c>
      <c r="S3920" s="7" t="s">
        <v>771</v>
      </c>
      <c r="T3920" s="9" t="s">
        <v>39</v>
      </c>
      <c r="U3920" s="7">
        <v>0.59</v>
      </c>
      <c r="V3920" s="12">
        <f>C3920+2</f>
        <v>41035</v>
      </c>
      <c r="W3920">
        <f>IF(D3920=' Pivot Tables'!$A$4,1,0)</f>
        <v>0</v>
      </c>
      <c r="X3920">
        <f>IF(AND(LEFT(D3920,4)+1=LEFT(' Pivot Tables'!$A$4,4)+0,RIGHT(LEFT(D3920,7),2)=RIGHT(LEFT(' Pivot Tables'!$A$4,7),2)),1,0)</f>
        <v>0</v>
      </c>
      <c r="Y3920" s="6">
        <f>1/COUNTIF(Таблица1[Order ID],Таблица1[[#This Row],[Order ID]])</f>
        <v>0.25</v>
      </c>
      <c r="Z3920" s="9">
        <f>1/COUNTIFS(Таблица1[Customer Name],Таблица1[[#This Row],[Customer Name]],Таблица1[Order-Year-Month],Таблица1[[#This Row],[Order-Year-Month]])</f>
        <v>0.33333333333333331</v>
      </c>
    </row>
    <row r="3921" spans="1:26" x14ac:dyDescent="0.2">
      <c r="A3921" s="6">
        <v>1542</v>
      </c>
      <c r="B3921" s="7">
        <v>11111</v>
      </c>
      <c r="C3921" s="8">
        <f>DATE(2012,12,31)-714</f>
        <v>40560</v>
      </c>
      <c r="D3921" s="8" t="str">
        <f t="shared" si="74"/>
        <v>2011-01 (январь 2011)</v>
      </c>
      <c r="E3921" s="9" t="s">
        <v>63</v>
      </c>
      <c r="F3921" s="7">
        <v>7</v>
      </c>
      <c r="G3921" s="7">
        <v>308.52</v>
      </c>
      <c r="H3921" s="7">
        <v>0.1</v>
      </c>
      <c r="I3921" s="9" t="s">
        <v>22</v>
      </c>
      <c r="J3921" s="10">
        <v>-59.85</v>
      </c>
      <c r="K3921" s="11">
        <v>41.47</v>
      </c>
      <c r="L3921" s="11">
        <v>34.200000000000003</v>
      </c>
      <c r="M3921" s="9" t="s">
        <v>1740</v>
      </c>
      <c r="N3921" s="6" t="s">
        <v>1123</v>
      </c>
      <c r="O3921" s="6" t="s">
        <v>1123</v>
      </c>
      <c r="P3921" s="9" t="s">
        <v>41</v>
      </c>
      <c r="Q3921" s="9" t="s">
        <v>49</v>
      </c>
      <c r="R3921" s="9" t="s">
        <v>50</v>
      </c>
      <c r="S3921" s="7" t="s">
        <v>255</v>
      </c>
      <c r="T3921" s="9" t="s">
        <v>68</v>
      </c>
      <c r="U3921" s="7">
        <v>0.73</v>
      </c>
      <c r="V3921" s="12">
        <f>C3921+2</f>
        <v>40562</v>
      </c>
      <c r="W3921">
        <f>IF(D3921=' Pivot Tables'!$A$4,1,0)</f>
        <v>0</v>
      </c>
      <c r="X3921">
        <f>IF(AND(LEFT(D3921,4)+1=LEFT(' Pivot Tables'!$A$4,4)+0,RIGHT(LEFT(D3921,7),2)=RIGHT(LEFT(' Pivot Tables'!$A$4,7),2)),1,0)</f>
        <v>0</v>
      </c>
      <c r="Y3921" s="6">
        <f>1/COUNTIF(Таблица1[Order ID],Таблица1[[#This Row],[Order ID]])</f>
        <v>0.5</v>
      </c>
      <c r="Z3921" s="9">
        <f>1/COUNTIFS(Таблица1[Customer Name],Таблица1[[#This Row],[Customer Name]],Таблица1[Order-Year-Month],Таблица1[[#This Row],[Order-Year-Month]])</f>
        <v>0.5</v>
      </c>
    </row>
    <row r="3922" spans="1:26" x14ac:dyDescent="0.2">
      <c r="A3922" s="6">
        <v>1543</v>
      </c>
      <c r="B3922" s="7">
        <v>11111</v>
      </c>
      <c r="C3922" s="8">
        <f>DATE(2012,12,31)-714</f>
        <v>40560</v>
      </c>
      <c r="D3922" s="8" t="str">
        <f t="shared" si="74"/>
        <v>2011-01 (январь 2011)</v>
      </c>
      <c r="E3922" s="9" t="s">
        <v>63</v>
      </c>
      <c r="F3922" s="7">
        <v>29</v>
      </c>
      <c r="G3922" s="7">
        <v>176.5</v>
      </c>
      <c r="H3922" s="7">
        <v>0.1</v>
      </c>
      <c r="I3922" s="9" t="s">
        <v>22</v>
      </c>
      <c r="J3922" s="10">
        <v>-119.72</v>
      </c>
      <c r="K3922" s="11">
        <v>6.48</v>
      </c>
      <c r="L3922" s="11">
        <v>7.37</v>
      </c>
      <c r="M3922" s="9" t="s">
        <v>1740</v>
      </c>
      <c r="N3922" s="6" t="s">
        <v>1123</v>
      </c>
      <c r="O3922" s="6" t="s">
        <v>1123</v>
      </c>
      <c r="P3922" s="9" t="s">
        <v>41</v>
      </c>
      <c r="Q3922" s="9" t="s">
        <v>26</v>
      </c>
      <c r="R3922" s="9" t="s">
        <v>61</v>
      </c>
      <c r="S3922" s="7" t="s">
        <v>859</v>
      </c>
      <c r="T3922" s="9" t="s">
        <v>39</v>
      </c>
      <c r="U3922" s="7">
        <v>0.37</v>
      </c>
      <c r="V3922" s="12">
        <f>C3922+2</f>
        <v>40562</v>
      </c>
      <c r="W3922">
        <f>IF(D3922=' Pivot Tables'!$A$4,1,0)</f>
        <v>0</v>
      </c>
      <c r="X3922">
        <f>IF(AND(LEFT(D3922,4)+1=LEFT(' Pivot Tables'!$A$4,4)+0,RIGHT(LEFT(D3922,7),2)=RIGHT(LEFT(' Pivot Tables'!$A$4,7),2)),1,0)</f>
        <v>0</v>
      </c>
      <c r="Y3922" s="6">
        <f>1/COUNTIF(Таблица1[Order ID],Таблица1[[#This Row],[Order ID]])</f>
        <v>0.5</v>
      </c>
      <c r="Z3922" s="9">
        <f>1/COUNTIFS(Таблица1[Customer Name],Таблица1[[#This Row],[Customer Name]],Таблица1[Order-Year-Month],Таблица1[[#This Row],[Order-Year-Month]])</f>
        <v>0.5</v>
      </c>
    </row>
    <row r="3923" spans="1:26" x14ac:dyDescent="0.2">
      <c r="A3923" s="6">
        <v>1549</v>
      </c>
      <c r="B3923" s="7">
        <v>11173</v>
      </c>
      <c r="C3923" s="8">
        <f>DATE(2012,12,31)-276</f>
        <v>40998</v>
      </c>
      <c r="D3923" s="8" t="str">
        <f t="shared" si="74"/>
        <v>2012-03 (март 2012)</v>
      </c>
      <c r="E3923" s="9" t="s">
        <v>78</v>
      </c>
      <c r="F3923" s="7">
        <v>37</v>
      </c>
      <c r="G3923" s="7">
        <v>221.66</v>
      </c>
      <c r="H3923" s="7">
        <v>0.08</v>
      </c>
      <c r="I3923" s="9" t="s">
        <v>22</v>
      </c>
      <c r="J3923" s="10">
        <v>-95.17</v>
      </c>
      <c r="K3923" s="11">
        <v>5.98</v>
      </c>
      <c r="L3923" s="11">
        <v>3.85</v>
      </c>
      <c r="M3923" s="9" t="s">
        <v>1137</v>
      </c>
      <c r="N3923" s="6" t="s">
        <v>1123</v>
      </c>
      <c r="O3923" s="6" t="s">
        <v>1123</v>
      </c>
      <c r="P3923" s="9" t="s">
        <v>41</v>
      </c>
      <c r="Q3923" s="9" t="s">
        <v>42</v>
      </c>
      <c r="R3923" s="9" t="s">
        <v>70</v>
      </c>
      <c r="S3923" s="7" t="s">
        <v>1697</v>
      </c>
      <c r="T3923" s="9" t="s">
        <v>52</v>
      </c>
      <c r="U3923" s="7">
        <v>0.68</v>
      </c>
      <c r="V3923" s="12">
        <f>C3923+2</f>
        <v>41000</v>
      </c>
      <c r="W3923">
        <f>IF(D3923=' Pivot Tables'!$A$4,1,0)</f>
        <v>0</v>
      </c>
      <c r="X3923">
        <f>IF(AND(LEFT(D3923,4)+1=LEFT(' Pivot Tables'!$A$4,4)+0,RIGHT(LEFT(D3923,7),2)=RIGHT(LEFT(' Pivot Tables'!$A$4,7),2)),1,0)</f>
        <v>0</v>
      </c>
      <c r="Y3923" s="6">
        <f>1/COUNTIF(Таблица1[Order ID],Таблица1[[#This Row],[Order ID]])</f>
        <v>1</v>
      </c>
      <c r="Z3923" s="9">
        <f>1/COUNTIFS(Таблица1[Customer Name],Таблица1[[#This Row],[Customer Name]],Таблица1[Order-Year-Month],Таблица1[[#This Row],[Order-Year-Month]])</f>
        <v>1</v>
      </c>
    </row>
    <row r="3924" spans="1:26" x14ac:dyDescent="0.2">
      <c r="A3924" s="6">
        <v>1559</v>
      </c>
      <c r="B3924" s="7">
        <v>11239</v>
      </c>
      <c r="C3924" s="8">
        <f>DATE(2012,12,31)-326</f>
        <v>40948</v>
      </c>
      <c r="D3924" s="8" t="str">
        <f t="shared" si="74"/>
        <v>2012-02 (февраль 2012)</v>
      </c>
      <c r="E3924" s="9" t="s">
        <v>78</v>
      </c>
      <c r="F3924" s="7">
        <v>33</v>
      </c>
      <c r="G3924" s="7">
        <v>6170.02</v>
      </c>
      <c r="H3924" s="7">
        <v>0.03</v>
      </c>
      <c r="I3924" s="9" t="s">
        <v>31</v>
      </c>
      <c r="J3924" s="10">
        <v>-433.29014300000011</v>
      </c>
      <c r="K3924" s="11">
        <v>179.29</v>
      </c>
      <c r="L3924" s="11">
        <v>29.21</v>
      </c>
      <c r="M3924" s="9" t="s">
        <v>1741</v>
      </c>
      <c r="N3924" s="6" t="s">
        <v>1123</v>
      </c>
      <c r="O3924" s="6" t="s">
        <v>1123</v>
      </c>
      <c r="P3924" s="9" t="s">
        <v>25</v>
      </c>
      <c r="Q3924" s="9" t="s">
        <v>49</v>
      </c>
      <c r="R3924" s="9" t="s">
        <v>83</v>
      </c>
      <c r="S3924" s="7" t="s">
        <v>207</v>
      </c>
      <c r="T3924" s="9" t="s">
        <v>82</v>
      </c>
      <c r="U3924" s="7">
        <v>0.74</v>
      </c>
      <c r="V3924" s="12">
        <f>C3924+2</f>
        <v>40950</v>
      </c>
      <c r="W3924">
        <f>IF(D3924=' Pivot Tables'!$A$4,1,0)</f>
        <v>0</v>
      </c>
      <c r="X3924">
        <f>IF(AND(LEFT(D3924,4)+1=LEFT(' Pivot Tables'!$A$4,4)+0,RIGHT(LEFT(D3924,7),2)=RIGHT(LEFT(' Pivot Tables'!$A$4,7),2)),1,0)</f>
        <v>0</v>
      </c>
      <c r="Y3924" s="6">
        <f>1/COUNTIF(Таблица1[Order ID],Таблица1[[#This Row],[Order ID]])</f>
        <v>1</v>
      </c>
      <c r="Z3924" s="9">
        <f>1/COUNTIFS(Таблица1[Customer Name],Таблица1[[#This Row],[Customer Name]],Таблица1[Order-Year-Month],Таблица1[[#This Row],[Order-Year-Month]])</f>
        <v>1</v>
      </c>
    </row>
    <row r="3925" spans="1:26" x14ac:dyDescent="0.2">
      <c r="A3925" s="6">
        <v>1576</v>
      </c>
      <c r="B3925" s="7">
        <v>11396</v>
      </c>
      <c r="C3925" s="8">
        <f>DATE(2012,12,31)-163</f>
        <v>41111</v>
      </c>
      <c r="D3925" s="8" t="str">
        <f t="shared" si="74"/>
        <v>2012-07 (июль 2012)</v>
      </c>
      <c r="E3925" s="9" t="s">
        <v>78</v>
      </c>
      <c r="F3925" s="7">
        <v>42</v>
      </c>
      <c r="G3925" s="7">
        <v>12270.3</v>
      </c>
      <c r="H3925" s="7">
        <v>7.0000000000000007E-2</v>
      </c>
      <c r="I3925" s="9" t="s">
        <v>22</v>
      </c>
      <c r="J3925" s="10">
        <v>4842.3734999999997</v>
      </c>
      <c r="K3925" s="11">
        <v>304.99</v>
      </c>
      <c r="L3925" s="11">
        <v>19.989999999999998</v>
      </c>
      <c r="M3925" s="9" t="s">
        <v>1742</v>
      </c>
      <c r="N3925" s="6" t="s">
        <v>1123</v>
      </c>
      <c r="O3925" s="6" t="s">
        <v>1123</v>
      </c>
      <c r="P3925" s="9" t="s">
        <v>41</v>
      </c>
      <c r="Q3925" s="9" t="s">
        <v>26</v>
      </c>
      <c r="R3925" s="9" t="s">
        <v>37</v>
      </c>
      <c r="S3925" s="7" t="s">
        <v>1165</v>
      </c>
      <c r="T3925" s="9" t="s">
        <v>39</v>
      </c>
      <c r="U3925" s="7">
        <v>0.4</v>
      </c>
      <c r="V3925" s="12">
        <f>C3925+1</f>
        <v>41112</v>
      </c>
      <c r="W3925">
        <f>IF(D3925=' Pivot Tables'!$A$4,1,0)</f>
        <v>0</v>
      </c>
      <c r="X3925">
        <f>IF(AND(LEFT(D3925,4)+1=LEFT(' Pivot Tables'!$A$4,4)+0,RIGHT(LEFT(D3925,7),2)=RIGHT(LEFT(' Pivot Tables'!$A$4,7),2)),1,0)</f>
        <v>0</v>
      </c>
      <c r="Y3925" s="6">
        <f>1/COUNTIF(Таблица1[Order ID],Таблица1[[#This Row],[Order ID]])</f>
        <v>1</v>
      </c>
      <c r="Z3925" s="9">
        <f>1/COUNTIFS(Таблица1[Customer Name],Таблица1[[#This Row],[Customer Name]],Таблица1[Order-Year-Month],Таблица1[[#This Row],[Order-Year-Month]])</f>
        <v>1</v>
      </c>
    </row>
    <row r="3926" spans="1:26" x14ac:dyDescent="0.2">
      <c r="A3926" s="6">
        <v>1633</v>
      </c>
      <c r="B3926" s="7">
        <v>11808</v>
      </c>
      <c r="C3926" s="8">
        <f>DATE(2012,12,31)-153</f>
        <v>41121</v>
      </c>
      <c r="D3926" s="8" t="str">
        <f t="shared" si="74"/>
        <v>2012-07 (июль 2012)</v>
      </c>
      <c r="E3926" s="9" t="s">
        <v>45</v>
      </c>
      <c r="F3926" s="7">
        <v>1</v>
      </c>
      <c r="G3926" s="7">
        <v>148.34400000000002</v>
      </c>
      <c r="H3926" s="7">
        <v>0.06</v>
      </c>
      <c r="I3926" s="9" t="s">
        <v>31</v>
      </c>
      <c r="J3926" s="10">
        <v>25.20675</v>
      </c>
      <c r="K3926" s="11">
        <v>150.97999999999999</v>
      </c>
      <c r="L3926" s="11">
        <v>39.25</v>
      </c>
      <c r="M3926" s="9" t="s">
        <v>1495</v>
      </c>
      <c r="N3926" s="6" t="s">
        <v>1123</v>
      </c>
      <c r="O3926" s="6" t="s">
        <v>1123</v>
      </c>
      <c r="P3926" s="9" t="s">
        <v>41</v>
      </c>
      <c r="Q3926" s="9" t="s">
        <v>49</v>
      </c>
      <c r="R3926" s="9" t="s">
        <v>83</v>
      </c>
      <c r="S3926" s="7" t="s">
        <v>1404</v>
      </c>
      <c r="T3926" s="9" t="s">
        <v>82</v>
      </c>
      <c r="U3926" s="7">
        <v>0.75</v>
      </c>
      <c r="V3926" s="12">
        <f>C3926+1</f>
        <v>41122</v>
      </c>
      <c r="W3926">
        <f>IF(D3926=' Pivot Tables'!$A$4,1,0)</f>
        <v>0</v>
      </c>
      <c r="X3926">
        <f>IF(AND(LEFT(D3926,4)+1=LEFT(' Pivot Tables'!$A$4,4)+0,RIGHT(LEFT(D3926,7),2)=RIGHT(LEFT(' Pivot Tables'!$A$4,7),2)),1,0)</f>
        <v>0</v>
      </c>
      <c r="Y3926" s="6">
        <f>1/COUNTIF(Таблица1[Order ID],Таблица1[[#This Row],[Order ID]])</f>
        <v>1</v>
      </c>
      <c r="Z3926" s="9">
        <f>1/COUNTIFS(Таблица1[Customer Name],Таблица1[[#This Row],[Customer Name]],Таблица1[Order-Year-Month],Таблица1[[#This Row],[Order-Year-Month]])</f>
        <v>1</v>
      </c>
    </row>
    <row r="3927" spans="1:26" x14ac:dyDescent="0.2">
      <c r="A3927" s="6">
        <v>1642</v>
      </c>
      <c r="B3927" s="7">
        <v>11874</v>
      </c>
      <c r="C3927" s="8">
        <f>DATE(2012,12,31)-113</f>
        <v>41161</v>
      </c>
      <c r="D3927" s="8" t="str">
        <f t="shared" si="74"/>
        <v>2012-09 (сентябрь 2012)</v>
      </c>
      <c r="E3927" s="9" t="s">
        <v>63</v>
      </c>
      <c r="F3927" s="7">
        <v>1</v>
      </c>
      <c r="G3927" s="7">
        <v>40.29</v>
      </c>
      <c r="H3927" s="7">
        <v>0</v>
      </c>
      <c r="I3927" s="9" t="s">
        <v>22</v>
      </c>
      <c r="J3927" s="10">
        <v>-82.13</v>
      </c>
      <c r="K3927" s="11">
        <v>30.42</v>
      </c>
      <c r="L3927" s="11">
        <v>8.65</v>
      </c>
      <c r="M3927" s="9" t="s">
        <v>1495</v>
      </c>
      <c r="N3927" s="6" t="s">
        <v>1123</v>
      </c>
      <c r="O3927" s="6" t="s">
        <v>1123</v>
      </c>
      <c r="P3927" s="9" t="s">
        <v>41</v>
      </c>
      <c r="Q3927" s="9" t="s">
        <v>42</v>
      </c>
      <c r="R3927" s="9" t="s">
        <v>70</v>
      </c>
      <c r="S3927" s="7" t="s">
        <v>374</v>
      </c>
      <c r="T3927" s="9" t="s">
        <v>39</v>
      </c>
      <c r="U3927" s="7">
        <v>0.74</v>
      </c>
      <c r="V3927" s="12">
        <f>C3927+2</f>
        <v>41163</v>
      </c>
      <c r="W3927">
        <f>IF(D3927=' Pivot Tables'!$A$4,1,0)</f>
        <v>0</v>
      </c>
      <c r="X3927">
        <f>IF(AND(LEFT(D3927,4)+1=LEFT(' Pivot Tables'!$A$4,4)+0,RIGHT(LEFT(D3927,7),2)=RIGHT(LEFT(' Pivot Tables'!$A$4,7),2)),1,0)</f>
        <v>0</v>
      </c>
      <c r="Y3927" s="6">
        <f>1/COUNTIF(Таблица1[Order ID],Таблица1[[#This Row],[Order ID]])</f>
        <v>0.5</v>
      </c>
      <c r="Z3927" s="9">
        <f>1/COUNTIFS(Таблица1[Customer Name],Таблица1[[#This Row],[Customer Name]],Таблица1[Order-Year-Month],Таблица1[[#This Row],[Order-Year-Month]])</f>
        <v>0.5</v>
      </c>
    </row>
    <row r="3928" spans="1:26" x14ac:dyDescent="0.2">
      <c r="A3928" s="6">
        <v>1643</v>
      </c>
      <c r="B3928" s="7">
        <v>11874</v>
      </c>
      <c r="C3928" s="8">
        <f>DATE(2012,12,31)-113</f>
        <v>41161</v>
      </c>
      <c r="D3928" s="8" t="str">
        <f t="shared" si="74"/>
        <v>2012-09 (сентябрь 2012)</v>
      </c>
      <c r="E3928" s="9" t="s">
        <v>63</v>
      </c>
      <c r="F3928" s="7">
        <v>20</v>
      </c>
      <c r="G3928" s="7">
        <v>775.77</v>
      </c>
      <c r="H3928" s="7">
        <v>7.0000000000000007E-2</v>
      </c>
      <c r="I3928" s="9" t="s">
        <v>22</v>
      </c>
      <c r="J3928" s="10">
        <v>179.37</v>
      </c>
      <c r="K3928" s="11">
        <v>39.979999999999997</v>
      </c>
      <c r="L3928" s="11">
        <v>9.83</v>
      </c>
      <c r="M3928" s="9" t="s">
        <v>1495</v>
      </c>
      <c r="N3928" s="6" t="s">
        <v>1123</v>
      </c>
      <c r="O3928" s="6" t="s">
        <v>1123</v>
      </c>
      <c r="P3928" s="9" t="s">
        <v>41</v>
      </c>
      <c r="Q3928" s="9" t="s">
        <v>26</v>
      </c>
      <c r="R3928" s="9" t="s">
        <v>76</v>
      </c>
      <c r="S3928" s="7" t="s">
        <v>1127</v>
      </c>
      <c r="T3928" s="9" t="s">
        <v>39</v>
      </c>
      <c r="U3928" s="7">
        <v>0.4</v>
      </c>
      <c r="V3928" s="12">
        <f>C3928+0</f>
        <v>41161</v>
      </c>
      <c r="W3928">
        <f>IF(D3928=' Pivot Tables'!$A$4,1,0)</f>
        <v>0</v>
      </c>
      <c r="X3928">
        <f>IF(AND(LEFT(D3928,4)+1=LEFT(' Pivot Tables'!$A$4,4)+0,RIGHT(LEFT(D3928,7),2)=RIGHT(LEFT(' Pivot Tables'!$A$4,7),2)),1,0)</f>
        <v>0</v>
      </c>
      <c r="Y3928" s="6">
        <f>1/COUNTIF(Таблица1[Order ID],Таблица1[[#This Row],[Order ID]])</f>
        <v>0.5</v>
      </c>
      <c r="Z3928" s="9">
        <f>1/COUNTIFS(Таблица1[Customer Name],Таблица1[[#This Row],[Customer Name]],Таблица1[Order-Year-Month],Таблица1[[#This Row],[Order-Year-Month]])</f>
        <v>0.5</v>
      </c>
    </row>
    <row r="3929" spans="1:26" x14ac:dyDescent="0.2">
      <c r="A3929" s="6">
        <v>1714</v>
      </c>
      <c r="B3929" s="7">
        <v>12322</v>
      </c>
      <c r="C3929" s="8">
        <f>DATE(2012,12,31)-600</f>
        <v>40674</v>
      </c>
      <c r="D3929" s="8" t="str">
        <f t="shared" si="74"/>
        <v>2011-05 (май 2011)</v>
      </c>
      <c r="E3929" s="9" t="s">
        <v>78</v>
      </c>
      <c r="F3929" s="7">
        <v>36</v>
      </c>
      <c r="G3929" s="7">
        <v>3436.9</v>
      </c>
      <c r="H3929" s="7">
        <v>0.03</v>
      </c>
      <c r="I3929" s="9" t="s">
        <v>56</v>
      </c>
      <c r="J3929" s="10">
        <v>-398.11</v>
      </c>
      <c r="K3929" s="11">
        <v>92.23</v>
      </c>
      <c r="L3929" s="11">
        <v>39.61</v>
      </c>
      <c r="M3929" s="9" t="s">
        <v>1741</v>
      </c>
      <c r="N3929" s="6" t="s">
        <v>1123</v>
      </c>
      <c r="O3929" s="6" t="s">
        <v>1123</v>
      </c>
      <c r="P3929" s="9" t="s">
        <v>25</v>
      </c>
      <c r="Q3929" s="9" t="s">
        <v>49</v>
      </c>
      <c r="R3929" s="9" t="s">
        <v>50</v>
      </c>
      <c r="S3929" s="7" t="s">
        <v>145</v>
      </c>
      <c r="T3929" s="9" t="s">
        <v>48</v>
      </c>
      <c r="U3929" s="7">
        <v>0.67</v>
      </c>
      <c r="V3929" s="12">
        <f>C3929+2</f>
        <v>40676</v>
      </c>
      <c r="W3929">
        <f>IF(D3929=' Pivot Tables'!$A$4,1,0)</f>
        <v>0</v>
      </c>
      <c r="X3929">
        <f>IF(AND(LEFT(D3929,4)+1=LEFT(' Pivot Tables'!$A$4,4)+0,RIGHT(LEFT(D3929,7),2)=RIGHT(LEFT(' Pivot Tables'!$A$4,7),2)),1,0)</f>
        <v>0</v>
      </c>
      <c r="Y3929" s="6">
        <f>1/COUNTIF(Таблица1[Order ID],Таблица1[[#This Row],[Order ID]])</f>
        <v>1</v>
      </c>
      <c r="Z3929" s="9">
        <f>1/COUNTIFS(Таблица1[Customer Name],Таблица1[[#This Row],[Customer Name]],Таблица1[Order-Year-Month],Таблица1[[#This Row],[Order-Year-Month]])</f>
        <v>1</v>
      </c>
    </row>
    <row r="3930" spans="1:26" x14ac:dyDescent="0.2">
      <c r="A3930" s="6">
        <v>1739</v>
      </c>
      <c r="B3930" s="7">
        <v>12480</v>
      </c>
      <c r="C3930" s="8">
        <f>DATE(2012,12,31)-1273</f>
        <v>40001</v>
      </c>
      <c r="D3930" s="8" t="str">
        <f t="shared" si="74"/>
        <v>2009-07 (июль 2009)</v>
      </c>
      <c r="E3930" s="9" t="s">
        <v>63</v>
      </c>
      <c r="F3930" s="7">
        <v>8</v>
      </c>
      <c r="G3930" s="7">
        <v>1187.01</v>
      </c>
      <c r="H3930" s="7">
        <v>0</v>
      </c>
      <c r="I3930" s="9" t="s">
        <v>31</v>
      </c>
      <c r="J3930" s="10">
        <v>-203.27</v>
      </c>
      <c r="K3930" s="11">
        <v>137.47999999999999</v>
      </c>
      <c r="L3930" s="11">
        <v>32.18</v>
      </c>
      <c r="M3930" s="9" t="s">
        <v>1733</v>
      </c>
      <c r="N3930" s="6" t="s">
        <v>1123</v>
      </c>
      <c r="O3930" s="6" t="s">
        <v>1123</v>
      </c>
      <c r="P3930" s="9" t="s">
        <v>25</v>
      </c>
      <c r="Q3930" s="9" t="s">
        <v>49</v>
      </c>
      <c r="R3930" s="9" t="s">
        <v>80</v>
      </c>
      <c r="S3930" s="7" t="s">
        <v>1743</v>
      </c>
      <c r="T3930" s="9" t="s">
        <v>82</v>
      </c>
      <c r="U3930" s="7">
        <v>0.78</v>
      </c>
      <c r="V3930" s="12">
        <f>C3930+1</f>
        <v>40002</v>
      </c>
      <c r="W3930">
        <f>IF(D3930=' Pivot Tables'!$A$4,1,0)</f>
        <v>0</v>
      </c>
      <c r="X3930">
        <f>IF(AND(LEFT(D3930,4)+1=LEFT(' Pivot Tables'!$A$4,4)+0,RIGHT(LEFT(D3930,7),2)=RIGHT(LEFT(' Pivot Tables'!$A$4,7),2)),1,0)</f>
        <v>0</v>
      </c>
      <c r="Y3930" s="6">
        <f>1/COUNTIF(Таблица1[Order ID],Таблица1[[#This Row],[Order ID]])</f>
        <v>1</v>
      </c>
      <c r="Z3930" s="9">
        <f>1/COUNTIFS(Таблица1[Customer Name],Таблица1[[#This Row],[Customer Name]],Таблица1[Order-Year-Month],Таблица1[[#This Row],[Order-Year-Month]])</f>
        <v>1</v>
      </c>
    </row>
    <row r="3931" spans="1:26" x14ac:dyDescent="0.2">
      <c r="A3931" s="6">
        <v>1749</v>
      </c>
      <c r="B3931" s="7">
        <v>12516</v>
      </c>
      <c r="C3931" s="8">
        <f>DATE(2012,12,31)-1317</f>
        <v>39957</v>
      </c>
      <c r="D3931" s="8" t="str">
        <f t="shared" si="74"/>
        <v>2009-05 (май 2009)</v>
      </c>
      <c r="E3931" s="9" t="s">
        <v>21</v>
      </c>
      <c r="F3931" s="7">
        <v>31</v>
      </c>
      <c r="G3931" s="7">
        <v>2360.4299999999998</v>
      </c>
      <c r="H3931" s="7">
        <v>0.1</v>
      </c>
      <c r="I3931" s="9" t="s">
        <v>31</v>
      </c>
      <c r="J3931" s="10">
        <v>66.22</v>
      </c>
      <c r="K3931" s="11">
        <v>80.97</v>
      </c>
      <c r="L3931" s="11">
        <v>33.6</v>
      </c>
      <c r="M3931" s="9" t="s">
        <v>1744</v>
      </c>
      <c r="N3931" s="6" t="s">
        <v>1123</v>
      </c>
      <c r="O3931" s="6" t="s">
        <v>1123</v>
      </c>
      <c r="P3931" s="9" t="s">
        <v>60</v>
      </c>
      <c r="Q3931" s="9" t="s">
        <v>42</v>
      </c>
      <c r="R3931" s="9" t="s">
        <v>210</v>
      </c>
      <c r="S3931" s="7" t="s">
        <v>312</v>
      </c>
      <c r="T3931" s="9" t="s">
        <v>36</v>
      </c>
      <c r="U3931" s="7">
        <v>0.37</v>
      </c>
      <c r="V3931" s="12">
        <f>C3931+5</f>
        <v>39962</v>
      </c>
      <c r="W3931">
        <f>IF(D3931=' Pivot Tables'!$A$4,1,0)</f>
        <v>0</v>
      </c>
      <c r="X3931">
        <f>IF(AND(LEFT(D3931,4)+1=LEFT(' Pivot Tables'!$A$4,4)+0,RIGHT(LEFT(D3931,7),2)=RIGHT(LEFT(' Pivot Tables'!$A$4,7),2)),1,0)</f>
        <v>0</v>
      </c>
      <c r="Y3931" s="6">
        <f>1/COUNTIF(Таблица1[Order ID],Таблица1[[#This Row],[Order ID]])</f>
        <v>0.5</v>
      </c>
      <c r="Z3931" s="9">
        <f>1/COUNTIFS(Таблица1[Customer Name],Таблица1[[#This Row],[Customer Name]],Таблица1[Order-Year-Month],Таблица1[[#This Row],[Order-Year-Month]])</f>
        <v>0.5</v>
      </c>
    </row>
    <row r="3932" spans="1:26" x14ac:dyDescent="0.2">
      <c r="A3932" s="6">
        <v>1750</v>
      </c>
      <c r="B3932" s="7">
        <v>12516</v>
      </c>
      <c r="C3932" s="8">
        <f>DATE(2012,12,31)-1317</f>
        <v>39957</v>
      </c>
      <c r="D3932" s="8" t="str">
        <f t="shared" si="74"/>
        <v>2009-05 (май 2009)</v>
      </c>
      <c r="E3932" s="9" t="s">
        <v>21</v>
      </c>
      <c r="F3932" s="7">
        <v>22</v>
      </c>
      <c r="G3932" s="7">
        <v>154.6</v>
      </c>
      <c r="H3932" s="7">
        <v>0.02</v>
      </c>
      <c r="I3932" s="9" t="s">
        <v>22</v>
      </c>
      <c r="J3932" s="10">
        <v>-23.53</v>
      </c>
      <c r="K3932" s="11">
        <v>6.48</v>
      </c>
      <c r="L3932" s="11">
        <v>5.1100000000000003</v>
      </c>
      <c r="M3932" s="9" t="s">
        <v>1744</v>
      </c>
      <c r="N3932" s="6" t="s">
        <v>1123</v>
      </c>
      <c r="O3932" s="6" t="s">
        <v>1123</v>
      </c>
      <c r="P3932" s="9" t="s">
        <v>60</v>
      </c>
      <c r="Q3932" s="9" t="s">
        <v>26</v>
      </c>
      <c r="R3932" s="9" t="s">
        <v>61</v>
      </c>
      <c r="S3932" s="7" t="s">
        <v>1745</v>
      </c>
      <c r="T3932" s="9" t="s">
        <v>39</v>
      </c>
      <c r="U3932" s="7">
        <v>0.37</v>
      </c>
      <c r="V3932" s="12">
        <f>C3932+4</f>
        <v>39961</v>
      </c>
      <c r="W3932">
        <f>IF(D3932=' Pivot Tables'!$A$4,1,0)</f>
        <v>0</v>
      </c>
      <c r="X3932">
        <f>IF(AND(LEFT(D3932,4)+1=LEFT(' Pivot Tables'!$A$4,4)+0,RIGHT(LEFT(D3932,7),2)=RIGHT(LEFT(' Pivot Tables'!$A$4,7),2)),1,0)</f>
        <v>0</v>
      </c>
      <c r="Y3932" s="6">
        <f>1/COUNTIF(Таблица1[Order ID],Таблица1[[#This Row],[Order ID]])</f>
        <v>0.5</v>
      </c>
      <c r="Z3932" s="9">
        <f>1/COUNTIFS(Таблица1[Customer Name],Таблица1[[#This Row],[Customer Name]],Таблица1[Order-Year-Month],Таблица1[[#This Row],[Order-Year-Month]])</f>
        <v>0.5</v>
      </c>
    </row>
    <row r="3933" spans="1:26" x14ac:dyDescent="0.2">
      <c r="A3933" s="6">
        <v>1820</v>
      </c>
      <c r="B3933" s="7">
        <v>13088</v>
      </c>
      <c r="C3933" s="8">
        <f>DATE(2012,12,31)-984</f>
        <v>40290</v>
      </c>
      <c r="D3933" s="8" t="str">
        <f t="shared" si="74"/>
        <v>2010-04 (апрель 2010)</v>
      </c>
      <c r="E3933" s="9" t="s">
        <v>45</v>
      </c>
      <c r="F3933" s="7">
        <v>46</v>
      </c>
      <c r="G3933" s="7">
        <v>187.92</v>
      </c>
      <c r="H3933" s="7">
        <v>0.08</v>
      </c>
      <c r="I3933" s="9" t="s">
        <v>22</v>
      </c>
      <c r="J3933" s="10">
        <v>-2149.8000000000002</v>
      </c>
      <c r="K3933" s="11">
        <v>3.25</v>
      </c>
      <c r="L3933" s="11">
        <v>49</v>
      </c>
      <c r="M3933" s="9" t="s">
        <v>1746</v>
      </c>
      <c r="N3933" s="6" t="s">
        <v>1123</v>
      </c>
      <c r="O3933" s="6" t="s">
        <v>1123</v>
      </c>
      <c r="P3933" s="9" t="s">
        <v>41</v>
      </c>
      <c r="Q3933" s="9" t="s">
        <v>26</v>
      </c>
      <c r="R3933" s="9" t="s">
        <v>34</v>
      </c>
      <c r="S3933" s="7" t="s">
        <v>1241</v>
      </c>
      <c r="T3933" s="9" t="s">
        <v>29</v>
      </c>
      <c r="U3933" s="7">
        <v>0.56000000000000005</v>
      </c>
      <c r="V3933" s="12">
        <f>C3933+2</f>
        <v>40292</v>
      </c>
      <c r="W3933">
        <f>IF(D3933=' Pivot Tables'!$A$4,1,0)</f>
        <v>0</v>
      </c>
      <c r="X3933">
        <f>IF(AND(LEFT(D3933,4)+1=LEFT(' Pivot Tables'!$A$4,4)+0,RIGHT(LEFT(D3933,7),2)=RIGHT(LEFT(' Pivot Tables'!$A$4,7),2)),1,0)</f>
        <v>0</v>
      </c>
      <c r="Y3933" s="6">
        <f>1/COUNTIF(Таблица1[Order ID],Таблица1[[#This Row],[Order ID]])</f>
        <v>1</v>
      </c>
      <c r="Z3933" s="9">
        <f>1/COUNTIFS(Таблица1[Customer Name],Таблица1[[#This Row],[Customer Name]],Таблица1[Order-Year-Month],Таблица1[[#This Row],[Order-Year-Month]])</f>
        <v>1</v>
      </c>
    </row>
    <row r="3934" spans="1:26" x14ac:dyDescent="0.2">
      <c r="A3934" s="6">
        <v>1828</v>
      </c>
      <c r="B3934" s="7">
        <v>13121</v>
      </c>
      <c r="C3934" s="8">
        <f>DATE(2012,12,31)-1030</f>
        <v>40244</v>
      </c>
      <c r="D3934" s="8" t="str">
        <f t="shared" si="74"/>
        <v>2010-03 (март 2010)</v>
      </c>
      <c r="E3934" s="9" t="s">
        <v>30</v>
      </c>
      <c r="F3934" s="7">
        <v>36</v>
      </c>
      <c r="G3934" s="7">
        <v>1211</v>
      </c>
      <c r="H3934" s="7">
        <v>0</v>
      </c>
      <c r="I3934" s="9" t="s">
        <v>22</v>
      </c>
      <c r="J3934" s="10">
        <v>-27.99</v>
      </c>
      <c r="K3934" s="11">
        <v>30.98</v>
      </c>
      <c r="L3934" s="11">
        <v>6.5</v>
      </c>
      <c r="M3934" s="9" t="s">
        <v>1735</v>
      </c>
      <c r="N3934" s="6" t="s">
        <v>1123</v>
      </c>
      <c r="O3934" s="6" t="s">
        <v>1123</v>
      </c>
      <c r="P3934" s="9" t="s">
        <v>41</v>
      </c>
      <c r="Q3934" s="9" t="s">
        <v>42</v>
      </c>
      <c r="R3934" s="9" t="s">
        <v>70</v>
      </c>
      <c r="S3934" s="7" t="s">
        <v>805</v>
      </c>
      <c r="T3934" s="9" t="s">
        <v>39</v>
      </c>
      <c r="U3934" s="7">
        <v>0.79</v>
      </c>
      <c r="V3934" s="12">
        <f>C3934+1</f>
        <v>40245</v>
      </c>
      <c r="W3934">
        <f>IF(D3934=' Pivot Tables'!$A$4,1,0)</f>
        <v>0</v>
      </c>
      <c r="X3934">
        <f>IF(AND(LEFT(D3934,4)+1=LEFT(' Pivot Tables'!$A$4,4)+0,RIGHT(LEFT(D3934,7),2)=RIGHT(LEFT(' Pivot Tables'!$A$4,7),2)),1,0)</f>
        <v>0</v>
      </c>
      <c r="Y3934" s="6">
        <f>1/COUNTIF(Таблица1[Order ID],Таблица1[[#This Row],[Order ID]])</f>
        <v>0.5</v>
      </c>
      <c r="Z3934" s="9">
        <f>1/COUNTIFS(Таблица1[Customer Name],Таблица1[[#This Row],[Customer Name]],Таблица1[Order-Year-Month],Таблица1[[#This Row],[Order-Year-Month]])</f>
        <v>0.5</v>
      </c>
    </row>
    <row r="3935" spans="1:26" x14ac:dyDescent="0.2">
      <c r="A3935" s="6">
        <v>1829</v>
      </c>
      <c r="B3935" s="7">
        <v>13121</v>
      </c>
      <c r="C3935" s="8">
        <f>DATE(2012,12,31)-1030</f>
        <v>40244</v>
      </c>
      <c r="D3935" s="8" t="str">
        <f t="shared" si="74"/>
        <v>2010-03 (март 2010)</v>
      </c>
      <c r="E3935" s="9" t="s">
        <v>30</v>
      </c>
      <c r="F3935" s="7">
        <v>28</v>
      </c>
      <c r="G3935" s="7">
        <v>4924.1350000000002</v>
      </c>
      <c r="H3935" s="7">
        <v>7.0000000000000007E-2</v>
      </c>
      <c r="I3935" s="9" t="s">
        <v>22</v>
      </c>
      <c r="J3935" s="10">
        <v>1049.5350000000001</v>
      </c>
      <c r="K3935" s="11">
        <v>205.99</v>
      </c>
      <c r="L3935" s="11">
        <v>8.99</v>
      </c>
      <c r="M3935" s="9" t="s">
        <v>1735</v>
      </c>
      <c r="N3935" s="6" t="s">
        <v>1123</v>
      </c>
      <c r="O3935" s="6" t="s">
        <v>1123</v>
      </c>
      <c r="P3935" s="9" t="s">
        <v>41</v>
      </c>
      <c r="Q3935" s="9" t="s">
        <v>42</v>
      </c>
      <c r="R3935" s="9" t="s">
        <v>43</v>
      </c>
      <c r="S3935" s="7" t="s">
        <v>1162</v>
      </c>
      <c r="T3935" s="9" t="s">
        <v>39</v>
      </c>
      <c r="U3935" s="7">
        <v>0.57999999999999996</v>
      </c>
      <c r="V3935" s="12">
        <f>C3935+3</f>
        <v>40247</v>
      </c>
      <c r="W3935">
        <f>IF(D3935=' Pivot Tables'!$A$4,1,0)</f>
        <v>0</v>
      </c>
      <c r="X3935">
        <f>IF(AND(LEFT(D3935,4)+1=LEFT(' Pivot Tables'!$A$4,4)+0,RIGHT(LEFT(D3935,7),2)=RIGHT(LEFT(' Pivot Tables'!$A$4,7),2)),1,0)</f>
        <v>0</v>
      </c>
      <c r="Y3935" s="6">
        <f>1/COUNTIF(Таблица1[Order ID],Таблица1[[#This Row],[Order ID]])</f>
        <v>0.5</v>
      </c>
      <c r="Z3935" s="9">
        <f>1/COUNTIFS(Таблица1[Customer Name],Таблица1[[#This Row],[Customer Name]],Таблица1[Order-Year-Month],Таблица1[[#This Row],[Order-Year-Month]])</f>
        <v>0.5</v>
      </c>
    </row>
    <row r="3936" spans="1:26" x14ac:dyDescent="0.2">
      <c r="A3936" s="6">
        <v>1857</v>
      </c>
      <c r="B3936" s="7">
        <v>13348</v>
      </c>
      <c r="C3936" s="8">
        <f>DATE(2012,12,31)-785</f>
        <v>40489</v>
      </c>
      <c r="D3936" s="8" t="str">
        <f t="shared" si="74"/>
        <v>2010-11 (ноябрь 2010)</v>
      </c>
      <c r="E3936" s="9" t="s">
        <v>63</v>
      </c>
      <c r="F3936" s="7">
        <v>35</v>
      </c>
      <c r="G3936" s="7">
        <v>4890.58</v>
      </c>
      <c r="H3936" s="7">
        <v>0.05</v>
      </c>
      <c r="I3936" s="9" t="s">
        <v>22</v>
      </c>
      <c r="J3936" s="10">
        <v>310.51</v>
      </c>
      <c r="K3936" s="11">
        <v>140.85</v>
      </c>
      <c r="L3936" s="11">
        <v>19.989999999999998</v>
      </c>
      <c r="M3936" s="9" t="s">
        <v>1723</v>
      </c>
      <c r="N3936" s="6" t="s">
        <v>1123</v>
      </c>
      <c r="O3936" s="6" t="s">
        <v>1123</v>
      </c>
      <c r="P3936" s="9" t="s">
        <v>33</v>
      </c>
      <c r="Q3936" s="9" t="s">
        <v>26</v>
      </c>
      <c r="R3936" s="9" t="s">
        <v>27</v>
      </c>
      <c r="S3936" s="7" t="s">
        <v>538</v>
      </c>
      <c r="T3936" s="9" t="s">
        <v>39</v>
      </c>
      <c r="U3936" s="7">
        <v>0.73</v>
      </c>
      <c r="V3936" s="12">
        <f>C3936+1</f>
        <v>40490</v>
      </c>
      <c r="W3936">
        <f>IF(D3936=' Pivot Tables'!$A$4,1,0)</f>
        <v>0</v>
      </c>
      <c r="X3936">
        <f>IF(AND(LEFT(D3936,4)+1=LEFT(' Pivot Tables'!$A$4,4)+0,RIGHT(LEFT(D3936,7),2)=RIGHT(LEFT(' Pivot Tables'!$A$4,7),2)),1,0)</f>
        <v>0</v>
      </c>
      <c r="Y3936" s="6">
        <f>1/COUNTIF(Таблица1[Order ID],Таблица1[[#This Row],[Order ID]])</f>
        <v>1</v>
      </c>
      <c r="Z3936" s="9">
        <f>1/COUNTIFS(Таблица1[Customer Name],Таблица1[[#This Row],[Customer Name]],Таблица1[Order-Year-Month],Таблица1[[#This Row],[Order-Year-Month]])</f>
        <v>0.5</v>
      </c>
    </row>
    <row r="3937" spans="1:26" x14ac:dyDescent="0.2">
      <c r="A3937" s="6">
        <v>1866</v>
      </c>
      <c r="B3937" s="7">
        <v>13413</v>
      </c>
      <c r="C3937" s="8">
        <f>DATE(2012,12,31)-1067</f>
        <v>40207</v>
      </c>
      <c r="D3937" s="8" t="str">
        <f t="shared" si="74"/>
        <v>2010-01 (январь 2010)</v>
      </c>
      <c r="E3937" s="9" t="s">
        <v>78</v>
      </c>
      <c r="F3937" s="7">
        <v>29</v>
      </c>
      <c r="G3937" s="7">
        <v>150.28</v>
      </c>
      <c r="H3937" s="7">
        <v>0.04</v>
      </c>
      <c r="I3937" s="9" t="s">
        <v>22</v>
      </c>
      <c r="J3937" s="10">
        <v>-50.86</v>
      </c>
      <c r="K3937" s="11">
        <v>4.9800000000000004</v>
      </c>
      <c r="L3937" s="11">
        <v>4.7</v>
      </c>
      <c r="M3937" s="9" t="s">
        <v>1747</v>
      </c>
      <c r="N3937" s="6" t="s">
        <v>1123</v>
      </c>
      <c r="O3937" s="6" t="s">
        <v>1123</v>
      </c>
      <c r="P3937" s="9" t="s">
        <v>33</v>
      </c>
      <c r="Q3937" s="9" t="s">
        <v>26</v>
      </c>
      <c r="R3937" s="9" t="s">
        <v>61</v>
      </c>
      <c r="S3937" s="7" t="s">
        <v>937</v>
      </c>
      <c r="T3937" s="9" t="s">
        <v>39</v>
      </c>
      <c r="U3937" s="7">
        <v>0.38</v>
      </c>
      <c r="V3937" s="12">
        <f>C3937+2</f>
        <v>40209</v>
      </c>
      <c r="W3937">
        <f>IF(D3937=' Pivot Tables'!$A$4,1,0)</f>
        <v>1</v>
      </c>
      <c r="X3937">
        <f>IF(AND(LEFT(D3937,4)+1=LEFT(' Pivot Tables'!$A$4,4)+0,RIGHT(LEFT(D3937,7),2)=RIGHT(LEFT(' Pivot Tables'!$A$4,7),2)),1,0)</f>
        <v>0</v>
      </c>
      <c r="Y3937" s="6">
        <f>1/COUNTIF(Таблица1[Order ID],Таблица1[[#This Row],[Order ID]])</f>
        <v>1</v>
      </c>
      <c r="Z3937" s="9">
        <f>1/COUNTIFS(Таблица1[Customer Name],Таблица1[[#This Row],[Customer Name]],Таблица1[Order-Year-Month],Таблица1[[#This Row],[Order-Year-Month]])</f>
        <v>1</v>
      </c>
    </row>
    <row r="3938" spans="1:26" x14ac:dyDescent="0.2">
      <c r="A3938" s="6">
        <v>1869</v>
      </c>
      <c r="B3938" s="7">
        <v>13447</v>
      </c>
      <c r="C3938" s="8">
        <f>DATE(2012,12,31)-1088</f>
        <v>40186</v>
      </c>
      <c r="D3938" s="8" t="str">
        <f t="shared" si="74"/>
        <v>2010-01 (январь 2010)</v>
      </c>
      <c r="E3938" s="9" t="s">
        <v>30</v>
      </c>
      <c r="F3938" s="7">
        <v>24</v>
      </c>
      <c r="G3938" s="7">
        <v>436.48349999999999</v>
      </c>
      <c r="H3938" s="7">
        <v>0.01</v>
      </c>
      <c r="I3938" s="9" t="s">
        <v>22</v>
      </c>
      <c r="J3938" s="10">
        <v>0.8460000000000012</v>
      </c>
      <c r="K3938" s="11">
        <v>20.99</v>
      </c>
      <c r="L3938" s="11">
        <v>4.8099999999999996</v>
      </c>
      <c r="M3938" s="9" t="s">
        <v>1748</v>
      </c>
      <c r="N3938" s="6" t="s">
        <v>1123</v>
      </c>
      <c r="O3938" s="6" t="s">
        <v>1123</v>
      </c>
      <c r="P3938" s="9" t="s">
        <v>41</v>
      </c>
      <c r="Q3938" s="9" t="s">
        <v>42</v>
      </c>
      <c r="R3938" s="9" t="s">
        <v>43</v>
      </c>
      <c r="S3938" s="7" t="s">
        <v>760</v>
      </c>
      <c r="T3938" s="9" t="s">
        <v>48</v>
      </c>
      <c r="U3938" s="7">
        <v>0.57999999999999996</v>
      </c>
      <c r="V3938" s="12">
        <f>C3938+2</f>
        <v>40188</v>
      </c>
      <c r="W3938">
        <f>IF(D3938=' Pivot Tables'!$A$4,1,0)</f>
        <v>1</v>
      </c>
      <c r="X3938">
        <f>IF(AND(LEFT(D3938,4)+1=LEFT(' Pivot Tables'!$A$4,4)+0,RIGHT(LEFT(D3938,7),2)=RIGHT(LEFT(' Pivot Tables'!$A$4,7),2)),1,0)</f>
        <v>0</v>
      </c>
      <c r="Y3938" s="6">
        <f>1/COUNTIF(Таблица1[Order ID],Таблица1[[#This Row],[Order ID]])</f>
        <v>1</v>
      </c>
      <c r="Z3938" s="9">
        <f>1/COUNTIFS(Таблица1[Customer Name],Таблица1[[#This Row],[Customer Name]],Таблица1[Order-Year-Month],Таблица1[[#This Row],[Order-Year-Month]])</f>
        <v>1</v>
      </c>
    </row>
    <row r="3939" spans="1:26" x14ac:dyDescent="0.2">
      <c r="A3939" s="6">
        <v>1910</v>
      </c>
      <c r="B3939" s="7">
        <v>13638</v>
      </c>
      <c r="C3939" s="8">
        <f>DATE(2012,12,31)-458</f>
        <v>40816</v>
      </c>
      <c r="D3939" s="8" t="str">
        <f t="shared" si="74"/>
        <v>2011-09 (сентябрь 2011)</v>
      </c>
      <c r="E3939" s="9" t="s">
        <v>30</v>
      </c>
      <c r="F3939" s="7">
        <v>49</v>
      </c>
      <c r="G3939" s="7">
        <v>682.77</v>
      </c>
      <c r="H3939" s="7">
        <v>0.05</v>
      </c>
      <c r="I3939" s="9" t="s">
        <v>22</v>
      </c>
      <c r="J3939" s="10">
        <v>165.2</v>
      </c>
      <c r="K3939" s="11">
        <v>14.48</v>
      </c>
      <c r="L3939" s="11">
        <v>1.99</v>
      </c>
      <c r="M3939" s="9" t="s">
        <v>1733</v>
      </c>
      <c r="N3939" s="6" t="s">
        <v>1123</v>
      </c>
      <c r="O3939" s="6" t="s">
        <v>1123</v>
      </c>
      <c r="P3939" s="9" t="s">
        <v>33</v>
      </c>
      <c r="Q3939" s="9" t="s">
        <v>42</v>
      </c>
      <c r="R3939" s="9" t="s">
        <v>70</v>
      </c>
      <c r="S3939" s="7" t="s">
        <v>305</v>
      </c>
      <c r="T3939" s="9" t="s">
        <v>52</v>
      </c>
      <c r="U3939" s="7">
        <v>0.49</v>
      </c>
      <c r="V3939" s="12">
        <f>C3939+2</f>
        <v>40818</v>
      </c>
      <c r="W3939">
        <f>IF(D3939=' Pivot Tables'!$A$4,1,0)</f>
        <v>0</v>
      </c>
      <c r="X3939">
        <f>IF(AND(LEFT(D3939,4)+1=LEFT(' Pivot Tables'!$A$4,4)+0,RIGHT(LEFT(D3939,7),2)=RIGHT(LEFT(' Pivot Tables'!$A$4,7),2)),1,0)</f>
        <v>0</v>
      </c>
      <c r="Y3939" s="6">
        <f>1/COUNTIF(Таблица1[Order ID],Таблица1[[#This Row],[Order ID]])</f>
        <v>1</v>
      </c>
      <c r="Z3939" s="9">
        <f>1/COUNTIFS(Таблица1[Customer Name],Таблица1[[#This Row],[Customer Name]],Таблица1[Order-Year-Month],Таблица1[[#This Row],[Order-Year-Month]])</f>
        <v>1</v>
      </c>
    </row>
    <row r="3940" spans="1:26" x14ac:dyDescent="0.2">
      <c r="A3940" s="6">
        <v>1918</v>
      </c>
      <c r="B3940" s="7">
        <v>13761</v>
      </c>
      <c r="C3940" s="8">
        <f>DATE(2012,12,31)-1171</f>
        <v>40103</v>
      </c>
      <c r="D3940" s="8" t="str">
        <f t="shared" si="74"/>
        <v>2009-10 (октябрь 2009)</v>
      </c>
      <c r="E3940" s="9" t="s">
        <v>21</v>
      </c>
      <c r="F3940" s="7">
        <v>32</v>
      </c>
      <c r="G3940" s="7">
        <v>2421.44</v>
      </c>
      <c r="H3940" s="7">
        <v>0.09</v>
      </c>
      <c r="I3940" s="9" t="s">
        <v>22</v>
      </c>
      <c r="J3940" s="10">
        <v>-949.09</v>
      </c>
      <c r="K3940" s="11">
        <v>78.8</v>
      </c>
      <c r="L3940" s="11">
        <v>35</v>
      </c>
      <c r="M3940" s="9" t="s">
        <v>1688</v>
      </c>
      <c r="N3940" s="6" t="s">
        <v>1123</v>
      </c>
      <c r="O3940" s="6" t="s">
        <v>1123</v>
      </c>
      <c r="P3940" s="9" t="s">
        <v>60</v>
      </c>
      <c r="Q3940" s="9" t="s">
        <v>26</v>
      </c>
      <c r="R3940" s="9" t="s">
        <v>27</v>
      </c>
      <c r="S3940" s="7" t="s">
        <v>1749</v>
      </c>
      <c r="T3940" s="9" t="s">
        <v>29</v>
      </c>
      <c r="U3940" s="7">
        <v>0.83</v>
      </c>
      <c r="V3940" s="12">
        <f>C3940+4</f>
        <v>40107</v>
      </c>
      <c r="W3940">
        <f>IF(D3940=' Pivot Tables'!$A$4,1,0)</f>
        <v>0</v>
      </c>
      <c r="X3940">
        <f>IF(AND(LEFT(D3940,4)+1=LEFT(' Pivot Tables'!$A$4,4)+0,RIGHT(LEFT(D3940,7),2)=RIGHT(LEFT(' Pivot Tables'!$A$4,7),2)),1,0)</f>
        <v>0</v>
      </c>
      <c r="Y3940" s="6">
        <f>1/COUNTIF(Таблица1[Order ID],Таблица1[[#This Row],[Order ID]])</f>
        <v>1</v>
      </c>
      <c r="Z3940" s="9">
        <f>1/COUNTIFS(Таблица1[Customer Name],Таблица1[[#This Row],[Customer Name]],Таблица1[Order-Year-Month],Таблица1[[#This Row],[Order-Year-Month]])</f>
        <v>0.5</v>
      </c>
    </row>
    <row r="3941" spans="1:26" x14ac:dyDescent="0.2">
      <c r="A3941" s="6">
        <v>1999</v>
      </c>
      <c r="B3941" s="7">
        <v>14247</v>
      </c>
      <c r="C3941" s="8">
        <f>DATE(2012,12,31)-503</f>
        <v>40771</v>
      </c>
      <c r="D3941" s="8" t="str">
        <f t="shared" si="74"/>
        <v>2011-08 (август 2011)</v>
      </c>
      <c r="E3941" s="9" t="s">
        <v>78</v>
      </c>
      <c r="F3941" s="7">
        <v>4</v>
      </c>
      <c r="G3941" s="7">
        <v>14.75</v>
      </c>
      <c r="H3941" s="7">
        <v>0.03</v>
      </c>
      <c r="I3941" s="9" t="s">
        <v>22</v>
      </c>
      <c r="J3941" s="10">
        <v>-2.4900000000000002</v>
      </c>
      <c r="K3941" s="11">
        <v>3.29</v>
      </c>
      <c r="L3941" s="11">
        <v>1.35</v>
      </c>
      <c r="M3941" s="9" t="s">
        <v>1750</v>
      </c>
      <c r="N3941" s="6" t="s">
        <v>1123</v>
      </c>
      <c r="O3941" s="6" t="s">
        <v>1123</v>
      </c>
      <c r="P3941" s="9" t="s">
        <v>60</v>
      </c>
      <c r="Q3941" s="9" t="s">
        <v>26</v>
      </c>
      <c r="R3941" s="9" t="s">
        <v>66</v>
      </c>
      <c r="S3941" s="7" t="s">
        <v>464</v>
      </c>
      <c r="T3941" s="9" t="s">
        <v>68</v>
      </c>
      <c r="U3941" s="7">
        <v>0.4</v>
      </c>
      <c r="V3941" s="12">
        <f>C3941+2</f>
        <v>40773</v>
      </c>
      <c r="W3941">
        <f>IF(D3941=' Pivot Tables'!$A$4,1,0)</f>
        <v>0</v>
      </c>
      <c r="X3941">
        <f>IF(AND(LEFT(D3941,4)+1=LEFT(' Pivot Tables'!$A$4,4)+0,RIGHT(LEFT(D3941,7),2)=RIGHT(LEFT(' Pivot Tables'!$A$4,7),2)),1,0)</f>
        <v>0</v>
      </c>
      <c r="Y3941" s="6">
        <f>1/COUNTIF(Таблица1[Order ID],Таблица1[[#This Row],[Order ID]])</f>
        <v>1</v>
      </c>
      <c r="Z3941" s="9">
        <f>1/COUNTIFS(Таблица1[Customer Name],Таблица1[[#This Row],[Customer Name]],Таблица1[Order-Year-Month],Таблица1[[#This Row],[Order-Year-Month]])</f>
        <v>1</v>
      </c>
    </row>
    <row r="3942" spans="1:26" x14ac:dyDescent="0.2">
      <c r="A3942" s="6">
        <v>2061</v>
      </c>
      <c r="B3942" s="7">
        <v>14755</v>
      </c>
      <c r="C3942" s="8">
        <f>DATE(2012,12,31)-1091</f>
        <v>40183</v>
      </c>
      <c r="D3942" s="8" t="str">
        <f t="shared" si="74"/>
        <v>2010-01 (январь 2010)</v>
      </c>
      <c r="E3942" s="9" t="s">
        <v>30</v>
      </c>
      <c r="F3942" s="7">
        <v>31</v>
      </c>
      <c r="G3942" s="7">
        <v>111.48</v>
      </c>
      <c r="H3942" s="7">
        <v>0.09</v>
      </c>
      <c r="I3942" s="9" t="s">
        <v>22</v>
      </c>
      <c r="J3942" s="10">
        <v>29.57</v>
      </c>
      <c r="K3942" s="11">
        <v>3.85</v>
      </c>
      <c r="L3942" s="11">
        <v>0.7</v>
      </c>
      <c r="M3942" s="9" t="s">
        <v>1733</v>
      </c>
      <c r="N3942" s="6" t="s">
        <v>1123</v>
      </c>
      <c r="O3942" s="6" t="s">
        <v>1123</v>
      </c>
      <c r="P3942" s="9" t="s">
        <v>33</v>
      </c>
      <c r="Q3942" s="9" t="s">
        <v>26</v>
      </c>
      <c r="R3942" s="9" t="s">
        <v>95</v>
      </c>
      <c r="S3942" s="7" t="s">
        <v>1194</v>
      </c>
      <c r="T3942" s="9" t="s">
        <v>68</v>
      </c>
      <c r="U3942" s="7">
        <v>0.44</v>
      </c>
      <c r="V3942" s="12">
        <f>C3942+0</f>
        <v>40183</v>
      </c>
      <c r="W3942">
        <f>IF(D3942=' Pivot Tables'!$A$4,1,0)</f>
        <v>1</v>
      </c>
      <c r="X3942">
        <f>IF(AND(LEFT(D3942,4)+1=LEFT(' Pivot Tables'!$A$4,4)+0,RIGHT(LEFT(D3942,7),2)=RIGHT(LEFT(' Pivot Tables'!$A$4,7),2)),1,0)</f>
        <v>0</v>
      </c>
      <c r="Y3942" s="6">
        <f>1/COUNTIF(Таблица1[Order ID],Таблица1[[#This Row],[Order ID]])</f>
        <v>0.5</v>
      </c>
      <c r="Z3942" s="9">
        <f>1/COUNTIFS(Таблица1[Customer Name],Таблица1[[#This Row],[Customer Name]],Таблица1[Order-Year-Month],Таблица1[[#This Row],[Order-Year-Month]])</f>
        <v>0.5</v>
      </c>
    </row>
    <row r="3943" spans="1:26" x14ac:dyDescent="0.2">
      <c r="A3943" s="6">
        <v>2062</v>
      </c>
      <c r="B3943" s="7">
        <v>14755</v>
      </c>
      <c r="C3943" s="8">
        <f>DATE(2012,12,31)-1091</f>
        <v>40183</v>
      </c>
      <c r="D3943" s="8" t="str">
        <f t="shared" si="74"/>
        <v>2010-01 (январь 2010)</v>
      </c>
      <c r="E3943" s="9" t="s">
        <v>30</v>
      </c>
      <c r="F3943" s="7">
        <v>44</v>
      </c>
      <c r="G3943" s="7">
        <v>2322.8119999999999</v>
      </c>
      <c r="H3943" s="7">
        <v>0.1</v>
      </c>
      <c r="I3943" s="9" t="s">
        <v>56</v>
      </c>
      <c r="J3943" s="10">
        <v>454.38299999999998</v>
      </c>
      <c r="K3943" s="11">
        <v>65.989999999999995</v>
      </c>
      <c r="L3943" s="11">
        <v>4.2</v>
      </c>
      <c r="M3943" s="9" t="s">
        <v>1733</v>
      </c>
      <c r="N3943" s="6" t="s">
        <v>1123</v>
      </c>
      <c r="O3943" s="6" t="s">
        <v>1123</v>
      </c>
      <c r="P3943" s="9" t="s">
        <v>33</v>
      </c>
      <c r="Q3943" s="9" t="s">
        <v>42</v>
      </c>
      <c r="R3943" s="9" t="s">
        <v>43</v>
      </c>
      <c r="S3943" s="7" t="s">
        <v>1399</v>
      </c>
      <c r="T3943" s="9" t="s">
        <v>39</v>
      </c>
      <c r="U3943" s="7">
        <v>0.59</v>
      </c>
      <c r="V3943" s="12">
        <f>C3943+2</f>
        <v>40185</v>
      </c>
      <c r="W3943">
        <f>IF(D3943=' Pivot Tables'!$A$4,1,0)</f>
        <v>1</v>
      </c>
      <c r="X3943">
        <f>IF(AND(LEFT(D3943,4)+1=LEFT(' Pivot Tables'!$A$4,4)+0,RIGHT(LEFT(D3943,7),2)=RIGHT(LEFT(' Pivot Tables'!$A$4,7),2)),1,0)</f>
        <v>0</v>
      </c>
      <c r="Y3943" s="6">
        <f>1/COUNTIF(Таблица1[Order ID],Таблица1[[#This Row],[Order ID]])</f>
        <v>0.5</v>
      </c>
      <c r="Z3943" s="9">
        <f>1/COUNTIFS(Таблица1[Customer Name],Таблица1[[#This Row],[Customer Name]],Таблица1[Order-Year-Month],Таблица1[[#This Row],[Order-Year-Month]])</f>
        <v>0.5</v>
      </c>
    </row>
    <row r="3944" spans="1:26" x14ac:dyDescent="0.2">
      <c r="A3944" s="6">
        <v>2078</v>
      </c>
      <c r="B3944" s="7">
        <v>14854</v>
      </c>
      <c r="C3944" s="8">
        <f>DATE(2012,12,31)-978</f>
        <v>40296</v>
      </c>
      <c r="D3944" s="8" t="str">
        <f t="shared" si="74"/>
        <v>2010-04 (апрель 2010)</v>
      </c>
      <c r="E3944" s="9" t="s">
        <v>21</v>
      </c>
      <c r="F3944" s="7">
        <v>24</v>
      </c>
      <c r="G3944" s="7">
        <v>391.23</v>
      </c>
      <c r="H3944" s="7">
        <v>7.0000000000000007E-2</v>
      </c>
      <c r="I3944" s="9" t="s">
        <v>22</v>
      </c>
      <c r="J3944" s="10">
        <v>-27.98</v>
      </c>
      <c r="K3944" s="11">
        <v>16.91</v>
      </c>
      <c r="L3944" s="11">
        <v>6.25</v>
      </c>
      <c r="M3944" s="9" t="s">
        <v>1738</v>
      </c>
      <c r="N3944" s="6" t="s">
        <v>1123</v>
      </c>
      <c r="O3944" s="6" t="s">
        <v>1123</v>
      </c>
      <c r="P3944" s="9" t="s">
        <v>41</v>
      </c>
      <c r="Q3944" s="9" t="s">
        <v>26</v>
      </c>
      <c r="R3944" s="9" t="s">
        <v>27</v>
      </c>
      <c r="S3944" s="7" t="s">
        <v>794</v>
      </c>
      <c r="T3944" s="9" t="s">
        <v>39</v>
      </c>
      <c r="U3944" s="7">
        <v>0.57999999999999996</v>
      </c>
      <c r="V3944" s="12">
        <f>C3944+4</f>
        <v>40300</v>
      </c>
      <c r="W3944">
        <f>IF(D3944=' Pivot Tables'!$A$4,1,0)</f>
        <v>0</v>
      </c>
      <c r="X3944">
        <f>IF(AND(LEFT(D3944,4)+1=LEFT(' Pivot Tables'!$A$4,4)+0,RIGHT(LEFT(D3944,7),2)=RIGHT(LEFT(' Pivot Tables'!$A$4,7),2)),1,0)</f>
        <v>0</v>
      </c>
      <c r="Y3944" s="6">
        <f>1/COUNTIF(Таблица1[Order ID],Таблица1[[#This Row],[Order ID]])</f>
        <v>1</v>
      </c>
      <c r="Z3944" s="9">
        <f>1/COUNTIFS(Таблица1[Customer Name],Таблица1[[#This Row],[Customer Name]],Таблица1[Order-Year-Month],Таблица1[[#This Row],[Order-Year-Month]])</f>
        <v>1</v>
      </c>
    </row>
    <row r="3945" spans="1:26" x14ac:dyDescent="0.2">
      <c r="A3945" s="6">
        <v>2109</v>
      </c>
      <c r="B3945" s="7">
        <v>15078</v>
      </c>
      <c r="C3945" s="8">
        <f>DATE(2012,12,31)-783</f>
        <v>40491</v>
      </c>
      <c r="D3945" s="8" t="str">
        <f t="shared" si="74"/>
        <v>2010-11 (ноябрь 2010)</v>
      </c>
      <c r="E3945" s="9" t="s">
        <v>30</v>
      </c>
      <c r="F3945" s="7">
        <v>33</v>
      </c>
      <c r="G3945" s="7">
        <v>207.01</v>
      </c>
      <c r="H3945" s="7">
        <v>0.01</v>
      </c>
      <c r="I3945" s="9" t="s">
        <v>22</v>
      </c>
      <c r="J3945" s="10">
        <v>-36.9</v>
      </c>
      <c r="K3945" s="11">
        <v>5.78</v>
      </c>
      <c r="L3945" s="11">
        <v>4.96</v>
      </c>
      <c r="M3945" s="9" t="s">
        <v>1688</v>
      </c>
      <c r="N3945" s="6" t="s">
        <v>1123</v>
      </c>
      <c r="O3945" s="6" t="s">
        <v>1123</v>
      </c>
      <c r="P3945" s="9" t="s">
        <v>41</v>
      </c>
      <c r="Q3945" s="9" t="s">
        <v>26</v>
      </c>
      <c r="R3945" s="9" t="s">
        <v>61</v>
      </c>
      <c r="S3945" s="7" t="s">
        <v>737</v>
      </c>
      <c r="T3945" s="9" t="s">
        <v>39</v>
      </c>
      <c r="U3945" s="7">
        <v>0.36</v>
      </c>
      <c r="V3945" s="12">
        <f>C3945+1</f>
        <v>40492</v>
      </c>
      <c r="W3945">
        <f>IF(D3945=' Pivot Tables'!$A$4,1,0)</f>
        <v>0</v>
      </c>
      <c r="X3945">
        <f>IF(AND(LEFT(D3945,4)+1=LEFT(' Pivot Tables'!$A$4,4)+0,RIGHT(LEFT(D3945,7),2)=RIGHT(LEFT(' Pivot Tables'!$A$4,7),2)),1,0)</f>
        <v>0</v>
      </c>
      <c r="Y3945" s="6">
        <f>1/COUNTIF(Таблица1[Order ID],Таблица1[[#This Row],[Order ID]])</f>
        <v>1</v>
      </c>
      <c r="Z3945" s="9">
        <f>1/COUNTIFS(Таблица1[Customer Name],Таблица1[[#This Row],[Customer Name]],Таблица1[Order-Year-Month],Таблица1[[#This Row],[Order-Year-Month]])</f>
        <v>1</v>
      </c>
    </row>
    <row r="3946" spans="1:26" x14ac:dyDescent="0.2">
      <c r="A3946" s="6">
        <v>2183</v>
      </c>
      <c r="B3946" s="7">
        <v>15718</v>
      </c>
      <c r="C3946" s="8">
        <f>DATE(2012,12,31)-1434</f>
        <v>39840</v>
      </c>
      <c r="D3946" s="8" t="str">
        <f t="shared" si="74"/>
        <v>2009-01 (январь 2009)</v>
      </c>
      <c r="E3946" s="9" t="s">
        <v>78</v>
      </c>
      <c r="F3946" s="7">
        <v>41</v>
      </c>
      <c r="G3946" s="7">
        <v>1863.02</v>
      </c>
      <c r="H3946" s="7">
        <v>0.03</v>
      </c>
      <c r="I3946" s="9" t="s">
        <v>22</v>
      </c>
      <c r="J3946" s="10">
        <v>360.63</v>
      </c>
      <c r="K3946" s="11">
        <v>43.98</v>
      </c>
      <c r="L3946" s="11">
        <v>8.99</v>
      </c>
      <c r="M3946" s="9" t="s">
        <v>1189</v>
      </c>
      <c r="N3946" s="6" t="s">
        <v>1123</v>
      </c>
      <c r="O3946" s="6" t="s">
        <v>1123</v>
      </c>
      <c r="P3946" s="9" t="s">
        <v>41</v>
      </c>
      <c r="Q3946" s="9" t="s">
        <v>26</v>
      </c>
      <c r="R3946" s="9" t="s">
        <v>95</v>
      </c>
      <c r="S3946" s="7" t="s">
        <v>858</v>
      </c>
      <c r="T3946" s="9" t="s">
        <v>52</v>
      </c>
      <c r="U3946" s="7">
        <v>0.57999999999999996</v>
      </c>
      <c r="V3946" s="12">
        <f>C3946+2</f>
        <v>39842</v>
      </c>
      <c r="W3946">
        <f>IF(D3946=' Pivot Tables'!$A$4,1,0)</f>
        <v>0</v>
      </c>
      <c r="X3946">
        <f>IF(AND(LEFT(D3946,4)+1=LEFT(' Pivot Tables'!$A$4,4)+0,RIGHT(LEFT(D3946,7),2)=RIGHT(LEFT(' Pivot Tables'!$A$4,7),2)),1,0)</f>
        <v>1</v>
      </c>
      <c r="Y3946" s="6">
        <f>1/COUNTIF(Таблица1[Order ID],Таблица1[[#This Row],[Order ID]])</f>
        <v>0.33333333333333331</v>
      </c>
      <c r="Z3946" s="9">
        <f>1/COUNTIFS(Таблица1[Customer Name],Таблица1[[#This Row],[Customer Name]],Таблица1[Order-Year-Month],Таблица1[[#This Row],[Order-Year-Month]])</f>
        <v>0.33333333333333331</v>
      </c>
    </row>
    <row r="3947" spans="1:26" x14ac:dyDescent="0.2">
      <c r="A3947" s="6">
        <v>2184</v>
      </c>
      <c r="B3947" s="7">
        <v>15718</v>
      </c>
      <c r="C3947" s="8">
        <f>DATE(2012,12,31)-1434</f>
        <v>39840</v>
      </c>
      <c r="D3947" s="8" t="str">
        <f t="shared" si="74"/>
        <v>2009-01 (январь 2009)</v>
      </c>
      <c r="E3947" s="9" t="s">
        <v>78</v>
      </c>
      <c r="F3947" s="7">
        <v>50</v>
      </c>
      <c r="G3947" s="7">
        <v>55.89</v>
      </c>
      <c r="H3947" s="7">
        <v>0.06</v>
      </c>
      <c r="I3947" s="9" t="s">
        <v>22</v>
      </c>
      <c r="J3947" s="10">
        <v>-3.05</v>
      </c>
      <c r="K3947" s="11">
        <v>1.1399999999999999</v>
      </c>
      <c r="L3947" s="11">
        <v>0.7</v>
      </c>
      <c r="M3947" s="9" t="s">
        <v>1189</v>
      </c>
      <c r="N3947" s="6" t="s">
        <v>1123</v>
      </c>
      <c r="O3947" s="6" t="s">
        <v>1123</v>
      </c>
      <c r="P3947" s="9" t="s">
        <v>41</v>
      </c>
      <c r="Q3947" s="9" t="s">
        <v>26</v>
      </c>
      <c r="R3947" s="9" t="s">
        <v>66</v>
      </c>
      <c r="S3947" s="7" t="s">
        <v>1657</v>
      </c>
      <c r="T3947" s="9" t="s">
        <v>68</v>
      </c>
      <c r="U3947" s="7">
        <v>0.38</v>
      </c>
      <c r="V3947" s="12">
        <f>C3947+3</f>
        <v>39843</v>
      </c>
      <c r="W3947">
        <f>IF(D3947=' Pivot Tables'!$A$4,1,0)</f>
        <v>0</v>
      </c>
      <c r="X3947">
        <f>IF(AND(LEFT(D3947,4)+1=LEFT(' Pivot Tables'!$A$4,4)+0,RIGHT(LEFT(D3947,7),2)=RIGHT(LEFT(' Pivot Tables'!$A$4,7),2)),1,0)</f>
        <v>1</v>
      </c>
      <c r="Y3947" s="6">
        <f>1/COUNTIF(Таблица1[Order ID],Таблица1[[#This Row],[Order ID]])</f>
        <v>0.33333333333333331</v>
      </c>
      <c r="Z3947" s="9">
        <f>1/COUNTIFS(Таблица1[Customer Name],Таблица1[[#This Row],[Customer Name]],Таблица1[Order-Year-Month],Таблица1[[#This Row],[Order-Year-Month]])</f>
        <v>0.33333333333333331</v>
      </c>
    </row>
    <row r="3948" spans="1:26" x14ac:dyDescent="0.2">
      <c r="A3948" s="6">
        <v>2186</v>
      </c>
      <c r="B3948" s="7">
        <v>15744</v>
      </c>
      <c r="C3948" s="8">
        <f>DATE(2012,12,31)-1016</f>
        <v>40258</v>
      </c>
      <c r="D3948" s="8" t="str">
        <f t="shared" si="74"/>
        <v>2010-03 (март 2010)</v>
      </c>
      <c r="E3948" s="9" t="s">
        <v>78</v>
      </c>
      <c r="F3948" s="7">
        <v>16</v>
      </c>
      <c r="G3948" s="7">
        <v>838.81</v>
      </c>
      <c r="H3948" s="7">
        <v>0.09</v>
      </c>
      <c r="I3948" s="9" t="s">
        <v>22</v>
      </c>
      <c r="J3948" s="10">
        <v>290.77</v>
      </c>
      <c r="K3948" s="11">
        <v>55.48</v>
      </c>
      <c r="L3948" s="11">
        <v>6.79</v>
      </c>
      <c r="M3948" s="9" t="s">
        <v>1229</v>
      </c>
      <c r="N3948" s="6" t="s">
        <v>1123</v>
      </c>
      <c r="O3948" s="6" t="s">
        <v>1123</v>
      </c>
      <c r="P3948" s="9" t="s">
        <v>41</v>
      </c>
      <c r="Q3948" s="9" t="s">
        <v>26</v>
      </c>
      <c r="R3948" s="9" t="s">
        <v>61</v>
      </c>
      <c r="S3948" s="7" t="s">
        <v>1065</v>
      </c>
      <c r="T3948" s="9" t="s">
        <v>39</v>
      </c>
      <c r="U3948" s="7">
        <v>0.37</v>
      </c>
      <c r="V3948" s="12">
        <f>C3948+1</f>
        <v>40259</v>
      </c>
      <c r="W3948">
        <f>IF(D3948=' Pivot Tables'!$A$4,1,0)</f>
        <v>0</v>
      </c>
      <c r="X3948">
        <f>IF(AND(LEFT(D3948,4)+1=LEFT(' Pivot Tables'!$A$4,4)+0,RIGHT(LEFT(D3948,7),2)=RIGHT(LEFT(' Pivot Tables'!$A$4,7),2)),1,0)</f>
        <v>0</v>
      </c>
      <c r="Y3948" s="6">
        <f>1/COUNTIF(Таблица1[Order ID],Таблица1[[#This Row],[Order ID]])</f>
        <v>1</v>
      </c>
      <c r="Z3948" s="9">
        <f>1/COUNTIFS(Таблица1[Customer Name],Таблица1[[#This Row],[Customer Name]],Таблица1[Order-Year-Month],Таблица1[[#This Row],[Order-Year-Month]])</f>
        <v>1</v>
      </c>
    </row>
    <row r="3949" spans="1:26" x14ac:dyDescent="0.2">
      <c r="A3949" s="6">
        <v>2285</v>
      </c>
      <c r="B3949" s="7">
        <v>16454</v>
      </c>
      <c r="C3949" s="8">
        <f>DATE(2012,12,31)-234</f>
        <v>41040</v>
      </c>
      <c r="D3949" s="8" t="str">
        <f t="shared" si="74"/>
        <v>2012-05 (май 2012)</v>
      </c>
      <c r="E3949" s="9" t="s">
        <v>63</v>
      </c>
      <c r="F3949" s="7">
        <v>12</v>
      </c>
      <c r="G3949" s="7">
        <v>94.39</v>
      </c>
      <c r="H3949" s="7">
        <v>0.04</v>
      </c>
      <c r="I3949" s="9" t="s">
        <v>22</v>
      </c>
      <c r="J3949" s="10">
        <v>-29.486000000000001</v>
      </c>
      <c r="K3949" s="11">
        <v>7.1</v>
      </c>
      <c r="L3949" s="11">
        <v>6.05</v>
      </c>
      <c r="M3949" s="9" t="s">
        <v>1382</v>
      </c>
      <c r="N3949" s="6" t="s">
        <v>1123</v>
      </c>
      <c r="O3949" s="6" t="s">
        <v>1123</v>
      </c>
      <c r="P3949" s="9" t="s">
        <v>60</v>
      </c>
      <c r="Q3949" s="9" t="s">
        <v>26</v>
      </c>
      <c r="R3949" s="9" t="s">
        <v>37</v>
      </c>
      <c r="S3949" s="7" t="s">
        <v>435</v>
      </c>
      <c r="T3949" s="9" t="s">
        <v>39</v>
      </c>
      <c r="U3949" s="7">
        <v>0.39</v>
      </c>
      <c r="V3949" s="12">
        <f>C3949+0</f>
        <v>41040</v>
      </c>
      <c r="W3949">
        <f>IF(D3949=' Pivot Tables'!$A$4,1,0)</f>
        <v>0</v>
      </c>
      <c r="X3949">
        <f>IF(AND(LEFT(D3949,4)+1=LEFT(' Pivot Tables'!$A$4,4)+0,RIGHT(LEFT(D3949,7),2)=RIGHT(LEFT(' Pivot Tables'!$A$4,7),2)),1,0)</f>
        <v>0</v>
      </c>
      <c r="Y3949" s="6">
        <f>1/COUNTIF(Таблица1[Order ID],Таблица1[[#This Row],[Order ID]])</f>
        <v>1</v>
      </c>
      <c r="Z3949" s="9">
        <f>1/COUNTIFS(Таблица1[Customer Name],Таблица1[[#This Row],[Customer Name]],Таблица1[Order-Year-Month],Таблица1[[#This Row],[Order-Year-Month]])</f>
        <v>1</v>
      </c>
    </row>
    <row r="3950" spans="1:26" x14ac:dyDescent="0.2">
      <c r="A3950" s="6">
        <v>2314</v>
      </c>
      <c r="B3950" s="7">
        <v>16676</v>
      </c>
      <c r="C3950" s="8">
        <f>DATE(2012,12,31)-1383</f>
        <v>39891</v>
      </c>
      <c r="D3950" s="8" t="str">
        <f t="shared" si="74"/>
        <v>2009-03 (март 2009)</v>
      </c>
      <c r="E3950" s="9" t="s">
        <v>30</v>
      </c>
      <c r="F3950" s="7">
        <v>39</v>
      </c>
      <c r="G3950" s="7">
        <v>936.80199999999991</v>
      </c>
      <c r="H3950" s="7">
        <v>7.0000000000000007E-2</v>
      </c>
      <c r="I3950" s="9" t="s">
        <v>22</v>
      </c>
      <c r="J3950" s="10">
        <v>-12.078000000000001</v>
      </c>
      <c r="K3950" s="11">
        <v>28.99</v>
      </c>
      <c r="L3950" s="11">
        <v>8.59</v>
      </c>
      <c r="M3950" s="9" t="s">
        <v>1728</v>
      </c>
      <c r="N3950" s="6" t="s">
        <v>1123</v>
      </c>
      <c r="O3950" s="6" t="s">
        <v>1123</v>
      </c>
      <c r="P3950" s="9" t="s">
        <v>33</v>
      </c>
      <c r="Q3950" s="9" t="s">
        <v>42</v>
      </c>
      <c r="R3950" s="9" t="s">
        <v>43</v>
      </c>
      <c r="S3950" s="7" t="s">
        <v>508</v>
      </c>
      <c r="T3950" s="9" t="s">
        <v>48</v>
      </c>
      <c r="U3950" s="7">
        <v>0.56000000000000005</v>
      </c>
      <c r="V3950" s="12">
        <f>C3950+0</f>
        <v>39891</v>
      </c>
      <c r="W3950">
        <f>IF(D3950=' Pivot Tables'!$A$4,1,0)</f>
        <v>0</v>
      </c>
      <c r="X3950">
        <f>IF(AND(LEFT(D3950,4)+1=LEFT(' Pivot Tables'!$A$4,4)+0,RIGHT(LEFT(D3950,7),2)=RIGHT(LEFT(' Pivot Tables'!$A$4,7),2)),1,0)</f>
        <v>0</v>
      </c>
      <c r="Y3950" s="6">
        <f>1/COUNTIF(Таблица1[Order ID],Таблица1[[#This Row],[Order ID]])</f>
        <v>1</v>
      </c>
      <c r="Z3950" s="9">
        <f>1/COUNTIFS(Таблица1[Customer Name],Таблица1[[#This Row],[Customer Name]],Таблица1[Order-Year-Month],Таблица1[[#This Row],[Order-Year-Month]])</f>
        <v>1</v>
      </c>
    </row>
    <row r="3951" spans="1:26" x14ac:dyDescent="0.2">
      <c r="A3951" s="6">
        <v>2344</v>
      </c>
      <c r="B3951" s="7">
        <v>16897</v>
      </c>
      <c r="C3951" s="8">
        <f>DATE(2012,12,31)-199</f>
        <v>41075</v>
      </c>
      <c r="D3951" s="8" t="str">
        <f t="shared" si="74"/>
        <v>2012-06 (июнь 2012)</v>
      </c>
      <c r="E3951" s="9" t="s">
        <v>45</v>
      </c>
      <c r="F3951" s="7">
        <v>1</v>
      </c>
      <c r="G3951" s="7">
        <v>379.8</v>
      </c>
      <c r="H3951" s="7">
        <v>0.02</v>
      </c>
      <c r="I3951" s="9" t="s">
        <v>31</v>
      </c>
      <c r="J3951" s="10">
        <v>-183.09</v>
      </c>
      <c r="K3951" s="11">
        <v>320.98</v>
      </c>
      <c r="L3951" s="11">
        <v>58.95</v>
      </c>
      <c r="M3951" s="9" t="s">
        <v>1728</v>
      </c>
      <c r="N3951" s="6" t="s">
        <v>1123</v>
      </c>
      <c r="O3951" s="6" t="s">
        <v>1123</v>
      </c>
      <c r="P3951" s="9" t="s">
        <v>33</v>
      </c>
      <c r="Q3951" s="9" t="s">
        <v>49</v>
      </c>
      <c r="R3951" s="9" t="s">
        <v>112</v>
      </c>
      <c r="S3951" s="7" t="s">
        <v>181</v>
      </c>
      <c r="T3951" s="9" t="s">
        <v>36</v>
      </c>
      <c r="U3951" s="7">
        <v>0.56999999999999995</v>
      </c>
      <c r="V3951" s="12">
        <f>C3951+2</f>
        <v>41077</v>
      </c>
      <c r="W3951">
        <f>IF(D3951=' Pivot Tables'!$A$4,1,0)</f>
        <v>0</v>
      </c>
      <c r="X3951">
        <f>IF(AND(LEFT(D3951,4)+1=LEFT(' Pivot Tables'!$A$4,4)+0,RIGHT(LEFT(D3951,7),2)=RIGHT(LEFT(' Pivot Tables'!$A$4,7),2)),1,0)</f>
        <v>0</v>
      </c>
      <c r="Y3951" s="6">
        <f>1/COUNTIF(Таблица1[Order ID],Таблица1[[#This Row],[Order ID]])</f>
        <v>0.5</v>
      </c>
      <c r="Z3951" s="9">
        <f>1/COUNTIFS(Таблица1[Customer Name],Таблица1[[#This Row],[Customer Name]],Таблица1[Order-Year-Month],Таблица1[[#This Row],[Order-Year-Month]])</f>
        <v>0.5</v>
      </c>
    </row>
    <row r="3952" spans="1:26" x14ac:dyDescent="0.2">
      <c r="A3952" s="6">
        <v>2345</v>
      </c>
      <c r="B3952" s="7">
        <v>16897</v>
      </c>
      <c r="C3952" s="8">
        <f>DATE(2012,12,31)-199</f>
        <v>41075</v>
      </c>
      <c r="D3952" s="8" t="str">
        <f t="shared" si="74"/>
        <v>2012-06 (июнь 2012)</v>
      </c>
      <c r="E3952" s="9" t="s">
        <v>45</v>
      </c>
      <c r="F3952" s="7">
        <v>48</v>
      </c>
      <c r="G3952" s="7">
        <v>107.7</v>
      </c>
      <c r="H3952" s="7">
        <v>0.06</v>
      </c>
      <c r="I3952" s="9" t="s">
        <v>22</v>
      </c>
      <c r="J3952" s="10">
        <v>14.97</v>
      </c>
      <c r="K3952" s="11">
        <v>2.21</v>
      </c>
      <c r="L3952" s="11">
        <v>1</v>
      </c>
      <c r="M3952" s="9" t="s">
        <v>1728</v>
      </c>
      <c r="N3952" s="6" t="s">
        <v>1123</v>
      </c>
      <c r="O3952" s="6" t="s">
        <v>1123</v>
      </c>
      <c r="P3952" s="9" t="s">
        <v>33</v>
      </c>
      <c r="Q3952" s="9" t="s">
        <v>26</v>
      </c>
      <c r="R3952" s="9" t="s">
        <v>95</v>
      </c>
      <c r="S3952" s="7" t="s">
        <v>1737</v>
      </c>
      <c r="T3952" s="9" t="s">
        <v>68</v>
      </c>
      <c r="U3952" s="7">
        <v>0.38</v>
      </c>
      <c r="V3952" s="12">
        <f>C3952+2</f>
        <v>41077</v>
      </c>
      <c r="W3952">
        <f>IF(D3952=' Pivot Tables'!$A$4,1,0)</f>
        <v>0</v>
      </c>
      <c r="X3952">
        <f>IF(AND(LEFT(D3952,4)+1=LEFT(' Pivot Tables'!$A$4,4)+0,RIGHT(LEFT(D3952,7),2)=RIGHT(LEFT(' Pivot Tables'!$A$4,7),2)),1,0)</f>
        <v>0</v>
      </c>
      <c r="Y3952" s="6">
        <f>1/COUNTIF(Таблица1[Order ID],Таблица1[[#This Row],[Order ID]])</f>
        <v>0.5</v>
      </c>
      <c r="Z3952" s="9">
        <f>1/COUNTIFS(Таблица1[Customer Name],Таблица1[[#This Row],[Customer Name]],Таблица1[Order-Year-Month],Таблица1[[#This Row],[Order-Year-Month]])</f>
        <v>0.5</v>
      </c>
    </row>
    <row r="3953" spans="1:26" x14ac:dyDescent="0.2">
      <c r="A3953" s="6">
        <v>2357</v>
      </c>
      <c r="B3953" s="7">
        <v>16999</v>
      </c>
      <c r="C3953" s="8">
        <f>DATE(2012,12,31)-1442</f>
        <v>39832</v>
      </c>
      <c r="D3953" s="8" t="str">
        <f t="shared" si="74"/>
        <v>2009-01 (январь 2009)</v>
      </c>
      <c r="E3953" s="9" t="s">
        <v>78</v>
      </c>
      <c r="F3953" s="7">
        <v>18</v>
      </c>
      <c r="G3953" s="7">
        <v>3568.45</v>
      </c>
      <c r="H3953" s="7">
        <v>0.09</v>
      </c>
      <c r="I3953" s="9" t="s">
        <v>22</v>
      </c>
      <c r="J3953" s="10">
        <v>1081.6199999999999</v>
      </c>
      <c r="K3953" s="11">
        <v>207.48</v>
      </c>
      <c r="L3953" s="11">
        <v>0.99</v>
      </c>
      <c r="M3953" s="9" t="s">
        <v>1720</v>
      </c>
      <c r="N3953" s="6" t="s">
        <v>1123</v>
      </c>
      <c r="O3953" s="6" t="s">
        <v>1123</v>
      </c>
      <c r="P3953" s="9" t="s">
        <v>33</v>
      </c>
      <c r="Q3953" s="9" t="s">
        <v>26</v>
      </c>
      <c r="R3953" s="9" t="s">
        <v>34</v>
      </c>
      <c r="S3953" s="7" t="s">
        <v>232</v>
      </c>
      <c r="T3953" s="9" t="s">
        <v>39</v>
      </c>
      <c r="U3953" s="7">
        <v>0.55000000000000004</v>
      </c>
      <c r="V3953" s="12">
        <f>C3953+2</f>
        <v>39834</v>
      </c>
      <c r="W3953">
        <f>IF(D3953=' Pivot Tables'!$A$4,1,0)</f>
        <v>0</v>
      </c>
      <c r="X3953">
        <f>IF(AND(LEFT(D3953,4)+1=LEFT(' Pivot Tables'!$A$4,4)+0,RIGHT(LEFT(D3953,7),2)=RIGHT(LEFT(' Pivot Tables'!$A$4,7),2)),1,0)</f>
        <v>1</v>
      </c>
      <c r="Y3953" s="6">
        <f>1/COUNTIF(Таблица1[Order ID],Таблица1[[#This Row],[Order ID]])</f>
        <v>1</v>
      </c>
      <c r="Z3953" s="9">
        <f>1/COUNTIFS(Таблица1[Customer Name],Таблица1[[#This Row],[Customer Name]],Таблица1[Order-Year-Month],Таблица1[[#This Row],[Order-Year-Month]])</f>
        <v>1</v>
      </c>
    </row>
    <row r="3954" spans="1:26" x14ac:dyDescent="0.2">
      <c r="A3954" s="6">
        <v>2364</v>
      </c>
      <c r="B3954" s="7">
        <v>17091</v>
      </c>
      <c r="C3954" s="8">
        <f>DATE(2012,12,31)-163</f>
        <v>41111</v>
      </c>
      <c r="D3954" s="8" t="str">
        <f t="shared" si="74"/>
        <v>2012-07 (июль 2012)</v>
      </c>
      <c r="E3954" s="9" t="s">
        <v>63</v>
      </c>
      <c r="F3954" s="7">
        <v>45</v>
      </c>
      <c r="G3954" s="7">
        <v>2604.3150000000001</v>
      </c>
      <c r="H3954" s="7">
        <v>0</v>
      </c>
      <c r="I3954" s="9" t="s">
        <v>22</v>
      </c>
      <c r="J3954" s="10">
        <v>750.87</v>
      </c>
      <c r="K3954" s="11">
        <v>65.989999999999995</v>
      </c>
      <c r="L3954" s="11">
        <v>5.26</v>
      </c>
      <c r="M3954" s="9" t="s">
        <v>1722</v>
      </c>
      <c r="N3954" s="6" t="s">
        <v>1123</v>
      </c>
      <c r="O3954" s="6" t="s">
        <v>1123</v>
      </c>
      <c r="P3954" s="9" t="s">
        <v>25</v>
      </c>
      <c r="Q3954" s="9" t="s">
        <v>42</v>
      </c>
      <c r="R3954" s="9" t="s">
        <v>43</v>
      </c>
      <c r="S3954" s="7" t="s">
        <v>390</v>
      </c>
      <c r="T3954" s="9" t="s">
        <v>39</v>
      </c>
      <c r="U3954" s="7">
        <v>0.56000000000000005</v>
      </c>
      <c r="V3954" s="12">
        <f>C3954+1</f>
        <v>41112</v>
      </c>
      <c r="W3954">
        <f>IF(D3954=' Pivot Tables'!$A$4,1,0)</f>
        <v>0</v>
      </c>
      <c r="X3954">
        <f>IF(AND(LEFT(D3954,4)+1=LEFT(' Pivot Tables'!$A$4,4)+0,RIGHT(LEFT(D3954,7),2)=RIGHT(LEFT(' Pivot Tables'!$A$4,7),2)),1,0)</f>
        <v>0</v>
      </c>
      <c r="Y3954" s="6">
        <f>1/COUNTIF(Таблица1[Order ID],Таблица1[[#This Row],[Order ID]])</f>
        <v>1</v>
      </c>
      <c r="Z3954" s="9">
        <f>1/COUNTIFS(Таблица1[Customer Name],Таблица1[[#This Row],[Customer Name]],Таблица1[Order-Year-Month],Таблица1[[#This Row],[Order-Year-Month]])</f>
        <v>0.5</v>
      </c>
    </row>
    <row r="3955" spans="1:26" x14ac:dyDescent="0.2">
      <c r="A3955" s="6">
        <v>2376</v>
      </c>
      <c r="B3955" s="7">
        <v>17249</v>
      </c>
      <c r="C3955" s="8">
        <f>DATE(2012,12,31)-828</f>
        <v>40446</v>
      </c>
      <c r="D3955" s="8" t="str">
        <f t="shared" si="74"/>
        <v>2010-09 (сентябрь 2010)</v>
      </c>
      <c r="E3955" s="9" t="s">
        <v>21</v>
      </c>
      <c r="F3955" s="7">
        <v>37</v>
      </c>
      <c r="G3955" s="7">
        <v>2911.64</v>
      </c>
      <c r="H3955" s="7">
        <v>0.02</v>
      </c>
      <c r="I3955" s="9" t="s">
        <v>22</v>
      </c>
      <c r="J3955" s="10">
        <v>225.28</v>
      </c>
      <c r="K3955" s="11">
        <v>73.98</v>
      </c>
      <c r="L3955" s="11">
        <v>14.52</v>
      </c>
      <c r="M3955" s="9" t="s">
        <v>1742</v>
      </c>
      <c r="N3955" s="6" t="s">
        <v>1123</v>
      </c>
      <c r="O3955" s="6" t="s">
        <v>1123</v>
      </c>
      <c r="P3955" s="9" t="s">
        <v>41</v>
      </c>
      <c r="Q3955" s="9" t="s">
        <v>42</v>
      </c>
      <c r="R3955" s="9" t="s">
        <v>70</v>
      </c>
      <c r="S3955" s="7" t="s">
        <v>822</v>
      </c>
      <c r="T3955" s="9" t="s">
        <v>39</v>
      </c>
      <c r="U3955" s="7">
        <v>0.65</v>
      </c>
      <c r="V3955" s="12">
        <f>C3955+2</f>
        <v>40448</v>
      </c>
      <c r="W3955">
        <f>IF(D3955=' Pivot Tables'!$A$4,1,0)</f>
        <v>0</v>
      </c>
      <c r="X3955">
        <f>IF(AND(LEFT(D3955,4)+1=LEFT(' Pivot Tables'!$A$4,4)+0,RIGHT(LEFT(D3955,7),2)=RIGHT(LEFT(' Pivot Tables'!$A$4,7),2)),1,0)</f>
        <v>0</v>
      </c>
      <c r="Y3955" s="6">
        <f>1/COUNTIF(Таблица1[Order ID],Таблица1[[#This Row],[Order ID]])</f>
        <v>1</v>
      </c>
      <c r="Z3955" s="9">
        <f>1/COUNTIFS(Таблица1[Customer Name],Таблица1[[#This Row],[Customer Name]],Таблица1[Order-Year-Month],Таблица1[[#This Row],[Order-Year-Month]])</f>
        <v>0.33333333333333331</v>
      </c>
    </row>
    <row r="3956" spans="1:26" x14ac:dyDescent="0.2">
      <c r="A3956" s="6">
        <v>2435</v>
      </c>
      <c r="B3956" s="7">
        <v>17670</v>
      </c>
      <c r="C3956" s="8">
        <f>DATE(2012,12,31)-1224</f>
        <v>40050</v>
      </c>
      <c r="D3956" s="8" t="str">
        <f t="shared" si="74"/>
        <v>2009-08 (август 2009)</v>
      </c>
      <c r="E3956" s="9" t="s">
        <v>63</v>
      </c>
      <c r="F3956" s="7">
        <v>14</v>
      </c>
      <c r="G3956" s="7">
        <v>36.520000000000003</v>
      </c>
      <c r="H3956" s="7">
        <v>7.0000000000000007E-2</v>
      </c>
      <c r="I3956" s="9" t="s">
        <v>22</v>
      </c>
      <c r="J3956" s="10">
        <v>10.050000000000001</v>
      </c>
      <c r="K3956" s="11">
        <v>2.61</v>
      </c>
      <c r="L3956" s="11">
        <v>0.5</v>
      </c>
      <c r="M3956" s="9" t="s">
        <v>1189</v>
      </c>
      <c r="N3956" s="6" t="s">
        <v>1123</v>
      </c>
      <c r="O3956" s="6" t="s">
        <v>1123</v>
      </c>
      <c r="P3956" s="9" t="s">
        <v>41</v>
      </c>
      <c r="Q3956" s="9" t="s">
        <v>26</v>
      </c>
      <c r="R3956" s="9" t="s">
        <v>88</v>
      </c>
      <c r="S3956" s="7" t="s">
        <v>406</v>
      </c>
      <c r="T3956" s="9" t="s">
        <v>39</v>
      </c>
      <c r="U3956" s="7">
        <v>0.39</v>
      </c>
      <c r="V3956" s="12">
        <f>C3956+2</f>
        <v>40052</v>
      </c>
      <c r="W3956">
        <f>IF(D3956=' Pivot Tables'!$A$4,1,0)</f>
        <v>0</v>
      </c>
      <c r="X3956">
        <f>IF(AND(LEFT(D3956,4)+1=LEFT(' Pivot Tables'!$A$4,4)+0,RIGHT(LEFT(D3956,7),2)=RIGHT(LEFT(' Pivot Tables'!$A$4,7),2)),1,0)</f>
        <v>0</v>
      </c>
      <c r="Y3956" s="6">
        <f>1/COUNTIF(Таблица1[Order ID],Таблица1[[#This Row],[Order ID]])</f>
        <v>1</v>
      </c>
      <c r="Z3956" s="9">
        <f>1/COUNTIFS(Таблица1[Customer Name],Таблица1[[#This Row],[Customer Name]],Таблица1[Order-Year-Month],Таблица1[[#This Row],[Order-Year-Month]])</f>
        <v>0.5</v>
      </c>
    </row>
    <row r="3957" spans="1:26" x14ac:dyDescent="0.2">
      <c r="A3957" s="6">
        <v>2448</v>
      </c>
      <c r="B3957" s="7">
        <v>17797</v>
      </c>
      <c r="C3957" s="8">
        <f>DATE(2012,12,31)-174</f>
        <v>41100</v>
      </c>
      <c r="D3957" s="8" t="str">
        <f t="shared" si="74"/>
        <v>2012-07 (июль 2012)</v>
      </c>
      <c r="E3957" s="9" t="s">
        <v>21</v>
      </c>
      <c r="F3957" s="7">
        <v>10</v>
      </c>
      <c r="G3957" s="7">
        <v>1077.28</v>
      </c>
      <c r="H3957" s="7">
        <v>0</v>
      </c>
      <c r="I3957" s="9" t="s">
        <v>31</v>
      </c>
      <c r="J3957" s="10">
        <v>-486.12</v>
      </c>
      <c r="K3957" s="11">
        <v>100.98</v>
      </c>
      <c r="L3957" s="11">
        <v>57.38</v>
      </c>
      <c r="M3957" s="9" t="s">
        <v>1744</v>
      </c>
      <c r="N3957" s="6" t="s">
        <v>1123</v>
      </c>
      <c r="O3957" s="6" t="s">
        <v>1123</v>
      </c>
      <c r="P3957" s="9" t="s">
        <v>60</v>
      </c>
      <c r="Q3957" s="9" t="s">
        <v>49</v>
      </c>
      <c r="R3957" s="9" t="s">
        <v>80</v>
      </c>
      <c r="S3957" s="7" t="s">
        <v>162</v>
      </c>
      <c r="T3957" s="9" t="s">
        <v>82</v>
      </c>
      <c r="U3957" s="7">
        <v>0.78</v>
      </c>
      <c r="V3957" s="12">
        <f>C3957+2</f>
        <v>41102</v>
      </c>
      <c r="W3957">
        <f>IF(D3957=' Pivot Tables'!$A$4,1,0)</f>
        <v>0</v>
      </c>
      <c r="X3957">
        <f>IF(AND(LEFT(D3957,4)+1=LEFT(' Pivot Tables'!$A$4,4)+0,RIGHT(LEFT(D3957,7),2)=RIGHT(LEFT(' Pivot Tables'!$A$4,7),2)),1,0)</f>
        <v>0</v>
      </c>
      <c r="Y3957" s="6">
        <f>1/COUNTIF(Таблица1[Order ID],Таблица1[[#This Row],[Order ID]])</f>
        <v>0.5</v>
      </c>
      <c r="Z3957" s="9">
        <f>1/COUNTIFS(Таблица1[Customer Name],Таблица1[[#This Row],[Customer Name]],Таблица1[Order-Year-Month],Таблица1[[#This Row],[Order-Year-Month]])</f>
        <v>0.5</v>
      </c>
    </row>
    <row r="3958" spans="1:26" x14ac:dyDescent="0.2">
      <c r="A3958" s="6">
        <v>2449</v>
      </c>
      <c r="B3958" s="7">
        <v>17797</v>
      </c>
      <c r="C3958" s="8">
        <f>DATE(2012,12,31)-174</f>
        <v>41100</v>
      </c>
      <c r="D3958" s="8" t="str">
        <f t="shared" si="74"/>
        <v>2012-07 (июль 2012)</v>
      </c>
      <c r="E3958" s="9" t="s">
        <v>21</v>
      </c>
      <c r="F3958" s="7">
        <v>16</v>
      </c>
      <c r="G3958" s="7">
        <v>61.52</v>
      </c>
      <c r="H3958" s="7">
        <v>0.02</v>
      </c>
      <c r="I3958" s="9" t="s">
        <v>22</v>
      </c>
      <c r="J3958" s="10">
        <v>-8.89</v>
      </c>
      <c r="K3958" s="11">
        <v>3.69</v>
      </c>
      <c r="L3958" s="11">
        <v>2.5</v>
      </c>
      <c r="M3958" s="9" t="s">
        <v>1744</v>
      </c>
      <c r="N3958" s="6" t="s">
        <v>1123</v>
      </c>
      <c r="O3958" s="6" t="s">
        <v>1123</v>
      </c>
      <c r="P3958" s="9" t="s">
        <v>60</v>
      </c>
      <c r="Q3958" s="9" t="s">
        <v>26</v>
      </c>
      <c r="R3958" s="9" t="s">
        <v>76</v>
      </c>
      <c r="S3958" s="7" t="s">
        <v>647</v>
      </c>
      <c r="T3958" s="9" t="s">
        <v>39</v>
      </c>
      <c r="U3958" s="7">
        <v>0.39</v>
      </c>
      <c r="V3958" s="12">
        <f>C3958+4</f>
        <v>41104</v>
      </c>
      <c r="W3958">
        <f>IF(D3958=' Pivot Tables'!$A$4,1,0)</f>
        <v>0</v>
      </c>
      <c r="X3958">
        <f>IF(AND(LEFT(D3958,4)+1=LEFT(' Pivot Tables'!$A$4,4)+0,RIGHT(LEFT(D3958,7),2)=RIGHT(LEFT(' Pivot Tables'!$A$4,7),2)),1,0)</f>
        <v>0</v>
      </c>
      <c r="Y3958" s="6">
        <f>1/COUNTIF(Таблица1[Order ID],Таблица1[[#This Row],[Order ID]])</f>
        <v>0.5</v>
      </c>
      <c r="Z3958" s="9">
        <f>1/COUNTIFS(Таблица1[Customer Name],Таблица1[[#This Row],[Customer Name]],Таблица1[Order-Year-Month],Таблица1[[#This Row],[Order-Year-Month]])</f>
        <v>0.5</v>
      </c>
    </row>
    <row r="3959" spans="1:26" x14ac:dyDescent="0.2">
      <c r="A3959" s="6">
        <v>2508</v>
      </c>
      <c r="B3959" s="7">
        <v>18213</v>
      </c>
      <c r="C3959" s="8">
        <f>DATE(2012,12,31)-843</f>
        <v>40431</v>
      </c>
      <c r="D3959" s="8" t="str">
        <f t="shared" si="74"/>
        <v>2010-09 (сентябрь 2010)</v>
      </c>
      <c r="E3959" s="9" t="s">
        <v>63</v>
      </c>
      <c r="F3959" s="7">
        <v>29</v>
      </c>
      <c r="G3959" s="7">
        <v>1111.23</v>
      </c>
      <c r="H3959" s="7">
        <v>0.1</v>
      </c>
      <c r="I3959" s="9" t="s">
        <v>22</v>
      </c>
      <c r="J3959" s="10">
        <v>21.6</v>
      </c>
      <c r="K3959" s="11">
        <v>40.99</v>
      </c>
      <c r="L3959" s="11">
        <v>19.989999999999998</v>
      </c>
      <c r="M3959" s="9" t="s">
        <v>1740</v>
      </c>
      <c r="N3959" s="6" t="s">
        <v>1123</v>
      </c>
      <c r="O3959" s="6" t="s">
        <v>1123</v>
      </c>
      <c r="P3959" s="9" t="s">
        <v>41</v>
      </c>
      <c r="Q3959" s="9" t="s">
        <v>26</v>
      </c>
      <c r="R3959" s="9" t="s">
        <v>61</v>
      </c>
      <c r="S3959" s="7" t="s">
        <v>105</v>
      </c>
      <c r="T3959" s="9" t="s">
        <v>39</v>
      </c>
      <c r="U3959" s="7">
        <v>0.36</v>
      </c>
      <c r="V3959" s="12">
        <f>C3959+2</f>
        <v>40433</v>
      </c>
      <c r="W3959">
        <f>IF(D3959=' Pivot Tables'!$A$4,1,0)</f>
        <v>0</v>
      </c>
      <c r="X3959">
        <f>IF(AND(LEFT(D3959,4)+1=LEFT(' Pivot Tables'!$A$4,4)+0,RIGHT(LEFT(D3959,7),2)=RIGHT(LEFT(' Pivot Tables'!$A$4,7),2)),1,0)</f>
        <v>0</v>
      </c>
      <c r="Y3959" s="6">
        <f>1/COUNTIF(Таблица1[Order ID],Таблица1[[#This Row],[Order ID]])</f>
        <v>1</v>
      </c>
      <c r="Z3959" s="9">
        <f>1/COUNTIFS(Таблица1[Customer Name],Таблица1[[#This Row],[Customer Name]],Таблица1[Order-Year-Month],Таблица1[[#This Row],[Order-Year-Month]])</f>
        <v>1</v>
      </c>
    </row>
    <row r="3960" spans="1:26" x14ac:dyDescent="0.2">
      <c r="A3960" s="6">
        <v>2510</v>
      </c>
      <c r="B3960" s="7">
        <v>18241</v>
      </c>
      <c r="C3960" s="8">
        <f>DATE(2012,12,31)-888</f>
        <v>40386</v>
      </c>
      <c r="D3960" s="8" t="str">
        <f t="shared" si="74"/>
        <v>2010-07 (июль 2010)</v>
      </c>
      <c r="E3960" s="9" t="s">
        <v>21</v>
      </c>
      <c r="F3960" s="7">
        <v>3</v>
      </c>
      <c r="G3960" s="7">
        <v>64.5</v>
      </c>
      <c r="H3960" s="7">
        <v>0.05</v>
      </c>
      <c r="I3960" s="9" t="s">
        <v>22</v>
      </c>
      <c r="J3960" s="10">
        <v>-55.11</v>
      </c>
      <c r="K3960" s="11">
        <v>20.89</v>
      </c>
      <c r="L3960" s="11">
        <v>1.99</v>
      </c>
      <c r="M3960" s="9" t="s">
        <v>1750</v>
      </c>
      <c r="N3960" s="6" t="s">
        <v>1123</v>
      </c>
      <c r="O3960" s="6" t="s">
        <v>1123</v>
      </c>
      <c r="P3960" s="9" t="s">
        <v>60</v>
      </c>
      <c r="Q3960" s="9" t="s">
        <v>42</v>
      </c>
      <c r="R3960" s="9" t="s">
        <v>70</v>
      </c>
      <c r="S3960" s="7" t="s">
        <v>303</v>
      </c>
      <c r="T3960" s="9" t="s">
        <v>52</v>
      </c>
      <c r="U3960" s="7">
        <v>0.48</v>
      </c>
      <c r="V3960" s="12">
        <f>C3960+2</f>
        <v>40388</v>
      </c>
      <c r="W3960">
        <f>IF(D3960=' Pivot Tables'!$A$4,1,0)</f>
        <v>0</v>
      </c>
      <c r="X3960">
        <f>IF(AND(LEFT(D3960,4)+1=LEFT(' Pivot Tables'!$A$4,4)+0,RIGHT(LEFT(D3960,7),2)=RIGHT(LEFT(' Pivot Tables'!$A$4,7),2)),1,0)</f>
        <v>0</v>
      </c>
      <c r="Y3960" s="6">
        <f>1/COUNTIF(Таблица1[Order ID],Таблица1[[#This Row],[Order ID]])</f>
        <v>0.5</v>
      </c>
      <c r="Z3960" s="9">
        <f>1/COUNTIFS(Таблица1[Customer Name],Таблица1[[#This Row],[Customer Name]],Таблица1[Order-Year-Month],Таблица1[[#This Row],[Order-Year-Month]])</f>
        <v>0.5</v>
      </c>
    </row>
    <row r="3961" spans="1:26" x14ac:dyDescent="0.2">
      <c r="A3961" s="6">
        <v>2511</v>
      </c>
      <c r="B3961" s="7">
        <v>18241</v>
      </c>
      <c r="C3961" s="8">
        <f>DATE(2012,12,31)-888</f>
        <v>40386</v>
      </c>
      <c r="D3961" s="8" t="str">
        <f t="shared" si="74"/>
        <v>2010-07 (июль 2010)</v>
      </c>
      <c r="E3961" s="9" t="s">
        <v>21</v>
      </c>
      <c r="F3961" s="7">
        <v>25</v>
      </c>
      <c r="G3961" s="7">
        <v>9944.49</v>
      </c>
      <c r="H3961" s="7">
        <v>0.08</v>
      </c>
      <c r="I3961" s="9" t="s">
        <v>31</v>
      </c>
      <c r="J3961" s="10">
        <v>-969.0483660000001</v>
      </c>
      <c r="K3961" s="11">
        <v>400.98</v>
      </c>
      <c r="L3961" s="11">
        <v>76.37</v>
      </c>
      <c r="M3961" s="9" t="s">
        <v>1750</v>
      </c>
      <c r="N3961" s="6" t="s">
        <v>1123</v>
      </c>
      <c r="O3961" s="6" t="s">
        <v>1123</v>
      </c>
      <c r="P3961" s="9" t="s">
        <v>60</v>
      </c>
      <c r="Q3961" s="9" t="s">
        <v>49</v>
      </c>
      <c r="R3961" s="9" t="s">
        <v>83</v>
      </c>
      <c r="S3961" s="7" t="s">
        <v>1136</v>
      </c>
      <c r="T3961" s="9" t="s">
        <v>82</v>
      </c>
      <c r="U3961" s="7">
        <v>0.6</v>
      </c>
      <c r="V3961" s="12">
        <f>C3961+2</f>
        <v>40388</v>
      </c>
      <c r="W3961">
        <f>IF(D3961=' Pivot Tables'!$A$4,1,0)</f>
        <v>0</v>
      </c>
      <c r="X3961">
        <f>IF(AND(LEFT(D3961,4)+1=LEFT(' Pivot Tables'!$A$4,4)+0,RIGHT(LEFT(D3961,7),2)=RIGHT(LEFT(' Pivot Tables'!$A$4,7),2)),1,0)</f>
        <v>0</v>
      </c>
      <c r="Y3961" s="6">
        <f>1/COUNTIF(Таблица1[Order ID],Таблица1[[#This Row],[Order ID]])</f>
        <v>0.5</v>
      </c>
      <c r="Z3961" s="9">
        <f>1/COUNTIFS(Таблица1[Customer Name],Таблица1[[#This Row],[Customer Name]],Таблица1[Order-Year-Month],Таблица1[[#This Row],[Order-Year-Month]])</f>
        <v>0.5</v>
      </c>
    </row>
    <row r="3962" spans="1:26" x14ac:dyDescent="0.2">
      <c r="A3962" s="6">
        <v>2512</v>
      </c>
      <c r="B3962" s="7">
        <v>18244</v>
      </c>
      <c r="C3962" s="8">
        <f>DATE(2012,12,31)-689</f>
        <v>40585</v>
      </c>
      <c r="D3962" s="8" t="str">
        <f t="shared" si="74"/>
        <v>2011-02 (февраль 2011)</v>
      </c>
      <c r="E3962" s="9" t="s">
        <v>78</v>
      </c>
      <c r="F3962" s="7">
        <v>1</v>
      </c>
      <c r="G3962" s="7">
        <v>172.34</v>
      </c>
      <c r="H3962" s="7">
        <v>0</v>
      </c>
      <c r="I3962" s="9" t="s">
        <v>22</v>
      </c>
      <c r="J3962" s="10">
        <v>-73.22</v>
      </c>
      <c r="K3962" s="11">
        <v>140.81</v>
      </c>
      <c r="L3962" s="11">
        <v>24.49</v>
      </c>
      <c r="M3962" s="9" t="s">
        <v>1382</v>
      </c>
      <c r="N3962" s="6" t="s">
        <v>1123</v>
      </c>
      <c r="O3962" s="6" t="s">
        <v>1123</v>
      </c>
      <c r="P3962" s="9" t="s">
        <v>60</v>
      </c>
      <c r="Q3962" s="9" t="s">
        <v>49</v>
      </c>
      <c r="R3962" s="9" t="s">
        <v>112</v>
      </c>
      <c r="S3962" s="7" t="s">
        <v>314</v>
      </c>
      <c r="T3962" s="9" t="s">
        <v>29</v>
      </c>
      <c r="U3962" s="7">
        <v>0.56999999999999995</v>
      </c>
      <c r="V3962" s="12">
        <f>C3962+2</f>
        <v>40587</v>
      </c>
      <c r="W3962">
        <f>IF(D3962=' Pivot Tables'!$A$4,1,0)</f>
        <v>0</v>
      </c>
      <c r="X3962">
        <f>IF(AND(LEFT(D3962,4)+1=LEFT(' Pivot Tables'!$A$4,4)+0,RIGHT(LEFT(D3962,7),2)=RIGHT(LEFT(' Pivot Tables'!$A$4,7),2)),1,0)</f>
        <v>0</v>
      </c>
      <c r="Y3962" s="6">
        <f>1/COUNTIF(Таблица1[Order ID],Таблица1[[#This Row],[Order ID]])</f>
        <v>1</v>
      </c>
      <c r="Z3962" s="9">
        <f>1/COUNTIFS(Таблица1[Customer Name],Таблица1[[#This Row],[Customer Name]],Таблица1[Order-Year-Month],Таблица1[[#This Row],[Order-Year-Month]])</f>
        <v>0.5</v>
      </c>
    </row>
    <row r="3963" spans="1:26" x14ac:dyDescent="0.2">
      <c r="A3963" s="6">
        <v>2548</v>
      </c>
      <c r="B3963" s="7">
        <v>18465</v>
      </c>
      <c r="C3963" s="8">
        <f>DATE(2012,12,31)-991</f>
        <v>40283</v>
      </c>
      <c r="D3963" s="8" t="str">
        <f t="shared" si="74"/>
        <v>2010-04 (апрель 2010)</v>
      </c>
      <c r="E3963" s="9" t="s">
        <v>30</v>
      </c>
      <c r="F3963" s="7">
        <v>12</v>
      </c>
      <c r="G3963" s="7">
        <v>816.23</v>
      </c>
      <c r="H3963" s="7">
        <v>0.05</v>
      </c>
      <c r="I3963" s="9" t="s">
        <v>22</v>
      </c>
      <c r="J3963" s="10">
        <v>-353.71</v>
      </c>
      <c r="K3963" s="11">
        <v>64.650000000000006</v>
      </c>
      <c r="L3963" s="11">
        <v>35</v>
      </c>
      <c r="M3963" s="9" t="s">
        <v>1751</v>
      </c>
      <c r="N3963" s="6" t="s">
        <v>1123</v>
      </c>
      <c r="O3963" s="6" t="s">
        <v>1123</v>
      </c>
      <c r="P3963" s="9" t="s">
        <v>25</v>
      </c>
      <c r="Q3963" s="9" t="s">
        <v>26</v>
      </c>
      <c r="R3963" s="9" t="s">
        <v>27</v>
      </c>
      <c r="S3963" s="7" t="s">
        <v>1060</v>
      </c>
      <c r="T3963" s="9" t="s">
        <v>29</v>
      </c>
      <c r="U3963" s="7">
        <v>0.8</v>
      </c>
      <c r="V3963" s="12">
        <f>C3963+2</f>
        <v>40285</v>
      </c>
      <c r="W3963">
        <f>IF(D3963=' Pivot Tables'!$A$4,1,0)</f>
        <v>0</v>
      </c>
      <c r="X3963">
        <f>IF(AND(LEFT(D3963,4)+1=LEFT(' Pivot Tables'!$A$4,4)+0,RIGHT(LEFT(D3963,7),2)=RIGHT(LEFT(' Pivot Tables'!$A$4,7),2)),1,0)</f>
        <v>0</v>
      </c>
      <c r="Y3963" s="6">
        <f>1/COUNTIF(Таблица1[Order ID],Таблица1[[#This Row],[Order ID]])</f>
        <v>1</v>
      </c>
      <c r="Z3963" s="9">
        <f>1/COUNTIFS(Таблица1[Customer Name],Таблица1[[#This Row],[Customer Name]],Таблица1[Order-Year-Month],Таблица1[[#This Row],[Order-Year-Month]])</f>
        <v>1</v>
      </c>
    </row>
    <row r="3964" spans="1:26" x14ac:dyDescent="0.2">
      <c r="A3964" s="6">
        <v>2561</v>
      </c>
      <c r="B3964" s="7">
        <v>18528</v>
      </c>
      <c r="C3964" s="8">
        <f>DATE(2012,12,31)-611</f>
        <v>40663</v>
      </c>
      <c r="D3964" s="8" t="str">
        <f t="shared" si="74"/>
        <v>2011-04 (апрель 2011)</v>
      </c>
      <c r="E3964" s="9" t="s">
        <v>78</v>
      </c>
      <c r="F3964" s="7">
        <v>33</v>
      </c>
      <c r="G3964" s="7">
        <v>340.97</v>
      </c>
      <c r="H3964" s="7">
        <v>7.0000000000000007E-2</v>
      </c>
      <c r="I3964" s="9" t="s">
        <v>22</v>
      </c>
      <c r="J3964" s="10">
        <v>-22.82</v>
      </c>
      <c r="K3964" s="11">
        <v>10.98</v>
      </c>
      <c r="L3964" s="11">
        <v>3.99</v>
      </c>
      <c r="M3964" s="9" t="s">
        <v>1229</v>
      </c>
      <c r="N3964" s="6" t="s">
        <v>1123</v>
      </c>
      <c r="O3964" s="6" t="s">
        <v>1123</v>
      </c>
      <c r="P3964" s="9" t="s">
        <v>41</v>
      </c>
      <c r="Q3964" s="9" t="s">
        <v>26</v>
      </c>
      <c r="R3964" s="9" t="s">
        <v>34</v>
      </c>
      <c r="S3964" s="7" t="s">
        <v>1752</v>
      </c>
      <c r="T3964" s="9" t="s">
        <v>39</v>
      </c>
      <c r="U3964" s="7">
        <v>0.57999999999999996</v>
      </c>
      <c r="V3964" s="12">
        <f>C3964+1</f>
        <v>40664</v>
      </c>
      <c r="W3964">
        <f>IF(D3964=' Pivot Tables'!$A$4,1,0)</f>
        <v>0</v>
      </c>
      <c r="X3964">
        <f>IF(AND(LEFT(D3964,4)+1=LEFT(' Pivot Tables'!$A$4,4)+0,RIGHT(LEFT(D3964,7),2)=RIGHT(LEFT(' Pivot Tables'!$A$4,7),2)),1,0)</f>
        <v>0</v>
      </c>
      <c r="Y3964" s="6">
        <f>1/COUNTIF(Таблица1[Order ID],Таблица1[[#This Row],[Order ID]])</f>
        <v>0.5</v>
      </c>
      <c r="Z3964" s="9">
        <f>1/COUNTIFS(Таблица1[Customer Name],Таблица1[[#This Row],[Customer Name]],Таблица1[Order-Year-Month],Таблица1[[#This Row],[Order-Year-Month]])</f>
        <v>0.5</v>
      </c>
    </row>
    <row r="3965" spans="1:26" x14ac:dyDescent="0.2">
      <c r="A3965" s="6">
        <v>2562</v>
      </c>
      <c r="B3965" s="7">
        <v>18528</v>
      </c>
      <c r="C3965" s="8">
        <f>DATE(2012,12,31)-611</f>
        <v>40663</v>
      </c>
      <c r="D3965" s="8" t="str">
        <f t="shared" si="74"/>
        <v>2011-04 (апрель 2011)</v>
      </c>
      <c r="E3965" s="9" t="s">
        <v>78</v>
      </c>
      <c r="F3965" s="7">
        <v>22</v>
      </c>
      <c r="G3965" s="7">
        <v>136.24</v>
      </c>
      <c r="H3965" s="7">
        <v>0.03</v>
      </c>
      <c r="I3965" s="9" t="s">
        <v>22</v>
      </c>
      <c r="J3965" s="10">
        <v>-96.22</v>
      </c>
      <c r="K3965" s="11">
        <v>5.78</v>
      </c>
      <c r="L3965" s="11">
        <v>7.96</v>
      </c>
      <c r="M3965" s="9" t="s">
        <v>1229</v>
      </c>
      <c r="N3965" s="6" t="s">
        <v>1123</v>
      </c>
      <c r="O3965" s="6" t="s">
        <v>1123</v>
      </c>
      <c r="P3965" s="9" t="s">
        <v>41</v>
      </c>
      <c r="Q3965" s="9" t="s">
        <v>26</v>
      </c>
      <c r="R3965" s="9" t="s">
        <v>61</v>
      </c>
      <c r="S3965" s="7" t="s">
        <v>754</v>
      </c>
      <c r="T3965" s="9" t="s">
        <v>39</v>
      </c>
      <c r="U3965" s="7">
        <v>0.36</v>
      </c>
      <c r="V3965" s="12">
        <f>C3965+2</f>
        <v>40665</v>
      </c>
      <c r="W3965">
        <f>IF(D3965=' Pivot Tables'!$A$4,1,0)</f>
        <v>0</v>
      </c>
      <c r="X3965">
        <f>IF(AND(LEFT(D3965,4)+1=LEFT(' Pivot Tables'!$A$4,4)+0,RIGHT(LEFT(D3965,7),2)=RIGHT(LEFT(' Pivot Tables'!$A$4,7),2)),1,0)</f>
        <v>0</v>
      </c>
      <c r="Y3965" s="6">
        <f>1/COUNTIF(Таблица1[Order ID],Таблица1[[#This Row],[Order ID]])</f>
        <v>0.5</v>
      </c>
      <c r="Z3965" s="9">
        <f>1/COUNTIFS(Таблица1[Customer Name],Таблица1[[#This Row],[Customer Name]],Таблица1[Order-Year-Month],Таблица1[[#This Row],[Order-Year-Month]])</f>
        <v>0.5</v>
      </c>
    </row>
    <row r="3966" spans="1:26" x14ac:dyDescent="0.2">
      <c r="A3966" s="6">
        <v>2616</v>
      </c>
      <c r="B3966" s="7">
        <v>18917</v>
      </c>
      <c r="C3966" s="8">
        <f>DATE(2012,12,31)-242</f>
        <v>41032</v>
      </c>
      <c r="D3966" s="8" t="str">
        <f t="shared" si="74"/>
        <v>2012-05 (май 2012)</v>
      </c>
      <c r="E3966" s="9" t="s">
        <v>78</v>
      </c>
      <c r="F3966" s="7">
        <v>14</v>
      </c>
      <c r="G3966" s="7">
        <v>28.82</v>
      </c>
      <c r="H3966" s="7">
        <v>0.08</v>
      </c>
      <c r="I3966" s="9" t="s">
        <v>22</v>
      </c>
      <c r="J3966" s="10">
        <v>-8.3605</v>
      </c>
      <c r="K3966" s="11">
        <v>2.08</v>
      </c>
      <c r="L3966" s="11">
        <v>1.49</v>
      </c>
      <c r="M3966" s="9" t="s">
        <v>1733</v>
      </c>
      <c r="N3966" s="6" t="s">
        <v>1123</v>
      </c>
      <c r="O3966" s="6" t="s">
        <v>1123</v>
      </c>
      <c r="P3966" s="9" t="s">
        <v>25</v>
      </c>
      <c r="Q3966" s="9" t="s">
        <v>26</v>
      </c>
      <c r="R3966" s="9" t="s">
        <v>37</v>
      </c>
      <c r="S3966" s="7" t="s">
        <v>779</v>
      </c>
      <c r="T3966" s="9" t="s">
        <v>39</v>
      </c>
      <c r="U3966" s="7">
        <v>0.38</v>
      </c>
      <c r="V3966" s="12">
        <f>C3966+2</f>
        <v>41034</v>
      </c>
      <c r="W3966">
        <f>IF(D3966=' Pivot Tables'!$A$4,1,0)</f>
        <v>0</v>
      </c>
      <c r="X3966">
        <f>IF(AND(LEFT(D3966,4)+1=LEFT(' Pivot Tables'!$A$4,4)+0,RIGHT(LEFT(D3966,7),2)=RIGHT(LEFT(' Pivot Tables'!$A$4,7),2)),1,0)</f>
        <v>0</v>
      </c>
      <c r="Y3966" s="6">
        <f>1/COUNTIF(Таблица1[Order ID],Таблица1[[#This Row],[Order ID]])</f>
        <v>1</v>
      </c>
      <c r="Z3966" s="9">
        <f>1/COUNTIFS(Таблица1[Customer Name],Таблица1[[#This Row],[Customer Name]],Таблица1[Order-Year-Month],Таблица1[[#This Row],[Order-Year-Month]])</f>
        <v>1</v>
      </c>
    </row>
    <row r="3967" spans="1:26" x14ac:dyDescent="0.2">
      <c r="A3967" s="6">
        <v>2693</v>
      </c>
      <c r="B3967" s="7">
        <v>19493</v>
      </c>
      <c r="C3967" s="8">
        <f>DATE(2012,12,31)-1428</f>
        <v>39846</v>
      </c>
      <c r="D3967" s="8" t="str">
        <f t="shared" si="74"/>
        <v>2009-02 (февраль 2009)</v>
      </c>
      <c r="E3967" s="9" t="s">
        <v>78</v>
      </c>
      <c r="F3967" s="7">
        <v>31</v>
      </c>
      <c r="G3967" s="7">
        <v>4713.25</v>
      </c>
      <c r="H3967" s="7">
        <v>0.1</v>
      </c>
      <c r="I3967" s="9" t="s">
        <v>22</v>
      </c>
      <c r="J3967" s="10">
        <v>-372.48597100000006</v>
      </c>
      <c r="K3967" s="11">
        <v>154.13</v>
      </c>
      <c r="L3967" s="11">
        <v>69</v>
      </c>
      <c r="M3967" s="9" t="s">
        <v>1736</v>
      </c>
      <c r="N3967" s="6" t="s">
        <v>1123</v>
      </c>
      <c r="O3967" s="6" t="s">
        <v>1123</v>
      </c>
      <c r="P3967" s="9" t="s">
        <v>41</v>
      </c>
      <c r="Q3967" s="9" t="s">
        <v>49</v>
      </c>
      <c r="R3967" s="9" t="s">
        <v>83</v>
      </c>
      <c r="S3967" s="7" t="s">
        <v>778</v>
      </c>
      <c r="T3967" s="9" t="s">
        <v>29</v>
      </c>
      <c r="U3967" s="7">
        <v>0.68</v>
      </c>
      <c r="V3967" s="12">
        <f>C3967+1</f>
        <v>39847</v>
      </c>
      <c r="W3967">
        <f>IF(D3967=' Pivot Tables'!$A$4,1,0)</f>
        <v>0</v>
      </c>
      <c r="X3967">
        <f>IF(AND(LEFT(D3967,4)+1=LEFT(' Pivot Tables'!$A$4,4)+0,RIGHT(LEFT(D3967,7),2)=RIGHT(LEFT(' Pivot Tables'!$A$4,7),2)),1,0)</f>
        <v>0</v>
      </c>
      <c r="Y3967" s="6">
        <f>1/COUNTIF(Таблица1[Order ID],Таблица1[[#This Row],[Order ID]])</f>
        <v>1</v>
      </c>
      <c r="Z3967" s="9">
        <f>1/COUNTIFS(Таблица1[Customer Name],Таблица1[[#This Row],[Customer Name]],Таблица1[Order-Year-Month],Таблица1[[#This Row],[Order-Year-Month]])</f>
        <v>1</v>
      </c>
    </row>
    <row r="3968" spans="1:26" x14ac:dyDescent="0.2">
      <c r="A3968" s="6">
        <v>2714</v>
      </c>
      <c r="B3968" s="7">
        <v>19616</v>
      </c>
      <c r="C3968" s="8">
        <f>DATE(2012,12,31)-375</f>
        <v>40899</v>
      </c>
      <c r="D3968" s="8" t="str">
        <f t="shared" si="74"/>
        <v>2011-12 (декабрь 2011)</v>
      </c>
      <c r="E3968" s="9" t="s">
        <v>30</v>
      </c>
      <c r="F3968" s="7">
        <v>3</v>
      </c>
      <c r="G3968" s="7">
        <v>92.31</v>
      </c>
      <c r="H3968" s="7">
        <v>0</v>
      </c>
      <c r="I3968" s="9" t="s">
        <v>22</v>
      </c>
      <c r="J3968" s="10">
        <v>-28.95</v>
      </c>
      <c r="K3968" s="11">
        <v>28.15</v>
      </c>
      <c r="L3968" s="11">
        <v>6.17</v>
      </c>
      <c r="M3968" s="9" t="s">
        <v>1688</v>
      </c>
      <c r="N3968" s="6" t="s">
        <v>1123</v>
      </c>
      <c r="O3968" s="6" t="s">
        <v>1123</v>
      </c>
      <c r="P3968" s="9" t="s">
        <v>41</v>
      </c>
      <c r="Q3968" s="9" t="s">
        <v>26</v>
      </c>
      <c r="R3968" s="9" t="s">
        <v>95</v>
      </c>
      <c r="S3968" s="7" t="s">
        <v>1753</v>
      </c>
      <c r="T3968" s="9" t="s">
        <v>52</v>
      </c>
      <c r="U3968" s="7">
        <v>0.55000000000000004</v>
      </c>
      <c r="V3968" s="12">
        <f>C3968+1</f>
        <v>40900</v>
      </c>
      <c r="W3968">
        <f>IF(D3968=' Pivot Tables'!$A$4,1,0)</f>
        <v>0</v>
      </c>
      <c r="X3968">
        <f>IF(AND(LEFT(D3968,4)+1=LEFT(' Pivot Tables'!$A$4,4)+0,RIGHT(LEFT(D3968,7),2)=RIGHT(LEFT(' Pivot Tables'!$A$4,7),2)),1,0)</f>
        <v>0</v>
      </c>
      <c r="Y3968" s="6">
        <f>1/COUNTIF(Таблица1[Order ID],Таблица1[[#This Row],[Order ID]])</f>
        <v>0.5</v>
      </c>
      <c r="Z3968" s="9">
        <f>1/COUNTIFS(Таблица1[Customer Name],Таблица1[[#This Row],[Customer Name]],Таблица1[Order-Year-Month],Таблица1[[#This Row],[Order-Year-Month]])</f>
        <v>0.5</v>
      </c>
    </row>
    <row r="3969" spans="1:26" x14ac:dyDescent="0.2">
      <c r="A3969" s="6">
        <v>2715</v>
      </c>
      <c r="B3969" s="7">
        <v>19616</v>
      </c>
      <c r="C3969" s="8">
        <f>DATE(2012,12,31)-375</f>
        <v>40899</v>
      </c>
      <c r="D3969" s="8" t="str">
        <f t="shared" si="74"/>
        <v>2011-12 (декабрь 2011)</v>
      </c>
      <c r="E3969" s="9" t="s">
        <v>30</v>
      </c>
      <c r="F3969" s="7">
        <v>42</v>
      </c>
      <c r="G3969" s="7">
        <v>116.94</v>
      </c>
      <c r="H3969" s="7">
        <v>0.06</v>
      </c>
      <c r="I3969" s="9" t="s">
        <v>56</v>
      </c>
      <c r="J3969" s="10">
        <v>-10.01</v>
      </c>
      <c r="K3969" s="11">
        <v>2.78</v>
      </c>
      <c r="L3969" s="11">
        <v>1.25</v>
      </c>
      <c r="M3969" s="9" t="s">
        <v>1688</v>
      </c>
      <c r="N3969" s="6" t="s">
        <v>1123</v>
      </c>
      <c r="O3969" s="6" t="s">
        <v>1123</v>
      </c>
      <c r="P3969" s="9" t="s">
        <v>41</v>
      </c>
      <c r="Q3969" s="9" t="s">
        <v>26</v>
      </c>
      <c r="R3969" s="9" t="s">
        <v>95</v>
      </c>
      <c r="S3969" s="7" t="s">
        <v>490</v>
      </c>
      <c r="T3969" s="9" t="s">
        <v>68</v>
      </c>
      <c r="U3969" s="7">
        <v>0.59</v>
      </c>
      <c r="V3969" s="12">
        <f>C3969+1</f>
        <v>40900</v>
      </c>
      <c r="W3969">
        <f>IF(D3969=' Pivot Tables'!$A$4,1,0)</f>
        <v>0</v>
      </c>
      <c r="X3969">
        <f>IF(AND(LEFT(D3969,4)+1=LEFT(' Pivot Tables'!$A$4,4)+0,RIGHT(LEFT(D3969,7),2)=RIGHT(LEFT(' Pivot Tables'!$A$4,7),2)),1,0)</f>
        <v>0</v>
      </c>
      <c r="Y3969" s="6">
        <f>1/COUNTIF(Таблица1[Order ID],Таблица1[[#This Row],[Order ID]])</f>
        <v>0.5</v>
      </c>
      <c r="Z3969" s="9">
        <f>1/COUNTIFS(Таблица1[Customer Name],Таблица1[[#This Row],[Customer Name]],Таблица1[Order-Year-Month],Таблица1[[#This Row],[Order-Year-Month]])</f>
        <v>0.5</v>
      </c>
    </row>
    <row r="3970" spans="1:26" x14ac:dyDescent="0.2">
      <c r="A3970" s="6">
        <v>2827</v>
      </c>
      <c r="B3970" s="7">
        <v>20390</v>
      </c>
      <c r="C3970" s="8">
        <f>DATE(2012,12,31)-1218</f>
        <v>40056</v>
      </c>
      <c r="D3970" s="8" t="str">
        <f t="shared" si="74"/>
        <v>2009-08 (август 2009)</v>
      </c>
      <c r="E3970" s="9" t="s">
        <v>45</v>
      </c>
      <c r="F3970" s="7">
        <v>35</v>
      </c>
      <c r="G3970" s="7">
        <v>1271.1199999999999</v>
      </c>
      <c r="H3970" s="7">
        <v>0.05</v>
      </c>
      <c r="I3970" s="9" t="s">
        <v>56</v>
      </c>
      <c r="J3970" s="10">
        <v>-62.82</v>
      </c>
      <c r="K3970" s="11">
        <v>34.979999999999997</v>
      </c>
      <c r="L3970" s="11">
        <v>7.53</v>
      </c>
      <c r="M3970" s="9" t="s">
        <v>1731</v>
      </c>
      <c r="N3970" s="6" t="s">
        <v>1123</v>
      </c>
      <c r="O3970" s="6" t="s">
        <v>1123</v>
      </c>
      <c r="P3970" s="9" t="s">
        <v>60</v>
      </c>
      <c r="Q3970" s="9" t="s">
        <v>42</v>
      </c>
      <c r="R3970" s="9" t="s">
        <v>70</v>
      </c>
      <c r="S3970" s="7" t="s">
        <v>1153</v>
      </c>
      <c r="T3970" s="9" t="s">
        <v>39</v>
      </c>
      <c r="U3970" s="7">
        <v>0.76</v>
      </c>
      <c r="V3970" s="12">
        <f>C3970+3</f>
        <v>40059</v>
      </c>
      <c r="W3970">
        <f>IF(D3970=' Pivot Tables'!$A$4,1,0)</f>
        <v>0</v>
      </c>
      <c r="X3970">
        <f>IF(AND(LEFT(D3970,4)+1=LEFT(' Pivot Tables'!$A$4,4)+0,RIGHT(LEFT(D3970,7),2)=RIGHT(LEFT(' Pivot Tables'!$A$4,7),2)),1,0)</f>
        <v>0</v>
      </c>
      <c r="Y3970" s="6">
        <f>1/COUNTIF(Таблица1[Order ID],Таблица1[[#This Row],[Order ID]])</f>
        <v>0.5</v>
      </c>
      <c r="Z3970" s="9">
        <f>1/COUNTIFS(Таблица1[Customer Name],Таблица1[[#This Row],[Customer Name]],Таблица1[Order-Year-Month],Таблица1[[#This Row],[Order-Year-Month]])</f>
        <v>0.5</v>
      </c>
    </row>
    <row r="3971" spans="1:26" x14ac:dyDescent="0.2">
      <c r="A3971" s="6">
        <v>2828</v>
      </c>
      <c r="B3971" s="7">
        <v>20390</v>
      </c>
      <c r="C3971" s="8">
        <f>DATE(2012,12,31)-1218</f>
        <v>40056</v>
      </c>
      <c r="D3971" s="8" t="str">
        <f t="shared" ref="D3971:D4034" si="75">TEXT(C3971,"гггг-ММ (ММММ гггг)")</f>
        <v>2009-08 (август 2009)</v>
      </c>
      <c r="E3971" s="9" t="s">
        <v>45</v>
      </c>
      <c r="F3971" s="7">
        <v>17</v>
      </c>
      <c r="G3971" s="7">
        <v>58.5</v>
      </c>
      <c r="H3971" s="7">
        <v>0</v>
      </c>
      <c r="I3971" s="9" t="s">
        <v>22</v>
      </c>
      <c r="J3971" s="10">
        <v>-25.26</v>
      </c>
      <c r="K3971" s="11">
        <v>3.14</v>
      </c>
      <c r="L3971" s="11">
        <v>1.92</v>
      </c>
      <c r="M3971" s="9" t="s">
        <v>1731</v>
      </c>
      <c r="N3971" s="6" t="s">
        <v>1123</v>
      </c>
      <c r="O3971" s="6" t="s">
        <v>1123</v>
      </c>
      <c r="P3971" s="9" t="s">
        <v>60</v>
      </c>
      <c r="Q3971" s="9" t="s">
        <v>26</v>
      </c>
      <c r="R3971" s="9" t="s">
        <v>150</v>
      </c>
      <c r="S3971" s="7" t="s">
        <v>699</v>
      </c>
      <c r="T3971" s="9" t="s">
        <v>68</v>
      </c>
      <c r="U3971" s="7">
        <v>0.84</v>
      </c>
      <c r="V3971" s="12">
        <f>C3971+2</f>
        <v>40058</v>
      </c>
      <c r="W3971">
        <f>IF(D3971=' Pivot Tables'!$A$4,1,0)</f>
        <v>0</v>
      </c>
      <c r="X3971">
        <f>IF(AND(LEFT(D3971,4)+1=LEFT(' Pivot Tables'!$A$4,4)+0,RIGHT(LEFT(D3971,7),2)=RIGHT(LEFT(' Pivot Tables'!$A$4,7),2)),1,0)</f>
        <v>0</v>
      </c>
      <c r="Y3971" s="6">
        <f>1/COUNTIF(Таблица1[Order ID],Таблица1[[#This Row],[Order ID]])</f>
        <v>0.5</v>
      </c>
      <c r="Z3971" s="9">
        <f>1/COUNTIFS(Таблица1[Customer Name],Таблица1[[#This Row],[Customer Name]],Таблица1[Order-Year-Month],Таблица1[[#This Row],[Order-Year-Month]])</f>
        <v>0.5</v>
      </c>
    </row>
    <row r="3972" spans="1:26" x14ac:dyDescent="0.2">
      <c r="A3972" s="6">
        <v>2834</v>
      </c>
      <c r="B3972" s="7">
        <v>20451</v>
      </c>
      <c r="C3972" s="8">
        <f>DATE(2012,12,31)-220</f>
        <v>41054</v>
      </c>
      <c r="D3972" s="8" t="str">
        <f t="shared" si="75"/>
        <v>2012-05 (май 2012)</v>
      </c>
      <c r="E3972" s="9" t="s">
        <v>78</v>
      </c>
      <c r="F3972" s="7">
        <v>6</v>
      </c>
      <c r="G3972" s="7">
        <v>53.72</v>
      </c>
      <c r="H3972" s="7">
        <v>0.1</v>
      </c>
      <c r="I3972" s="9" t="s">
        <v>22</v>
      </c>
      <c r="J3972" s="10">
        <v>2.82</v>
      </c>
      <c r="K3972" s="11">
        <v>8.9499999999999993</v>
      </c>
      <c r="L3972" s="11">
        <v>2.0099999999999998</v>
      </c>
      <c r="M3972" s="9" t="s">
        <v>1736</v>
      </c>
      <c r="N3972" s="6" t="s">
        <v>1123</v>
      </c>
      <c r="O3972" s="6" t="s">
        <v>1123</v>
      </c>
      <c r="P3972" s="9" t="s">
        <v>41</v>
      </c>
      <c r="Q3972" s="9" t="s">
        <v>26</v>
      </c>
      <c r="R3972" s="9" t="s">
        <v>61</v>
      </c>
      <c r="S3972" s="7" t="s">
        <v>640</v>
      </c>
      <c r="T3972" s="9" t="s">
        <v>68</v>
      </c>
      <c r="U3972" s="7">
        <v>0.39</v>
      </c>
      <c r="V3972" s="12">
        <f>C3972+2</f>
        <v>41056</v>
      </c>
      <c r="W3972">
        <f>IF(D3972=' Pivot Tables'!$A$4,1,0)</f>
        <v>0</v>
      </c>
      <c r="X3972">
        <f>IF(AND(LEFT(D3972,4)+1=LEFT(' Pivot Tables'!$A$4,4)+0,RIGHT(LEFT(D3972,7),2)=RIGHT(LEFT(' Pivot Tables'!$A$4,7),2)),1,0)</f>
        <v>0</v>
      </c>
      <c r="Y3972" s="6">
        <f>1/COUNTIF(Таблица1[Order ID],Таблица1[[#This Row],[Order ID]])</f>
        <v>0.33333333333333331</v>
      </c>
      <c r="Z3972" s="9">
        <f>1/COUNTIFS(Таблица1[Customer Name],Таблица1[[#This Row],[Customer Name]],Таблица1[Order-Year-Month],Таблица1[[#This Row],[Order-Year-Month]])</f>
        <v>0.33333333333333331</v>
      </c>
    </row>
    <row r="3973" spans="1:26" x14ac:dyDescent="0.2">
      <c r="A3973" s="6">
        <v>2835</v>
      </c>
      <c r="B3973" s="7">
        <v>20451</v>
      </c>
      <c r="C3973" s="8">
        <f>DATE(2012,12,31)-220</f>
        <v>41054</v>
      </c>
      <c r="D3973" s="8" t="str">
        <f t="shared" si="75"/>
        <v>2012-05 (май 2012)</v>
      </c>
      <c r="E3973" s="9" t="s">
        <v>78</v>
      </c>
      <c r="F3973" s="7">
        <v>33</v>
      </c>
      <c r="G3973" s="7">
        <v>1809.21</v>
      </c>
      <c r="H3973" s="7">
        <v>0.04</v>
      </c>
      <c r="I3973" s="9" t="s">
        <v>22</v>
      </c>
      <c r="J3973" s="10">
        <v>454.49</v>
      </c>
      <c r="K3973" s="11">
        <v>55.29</v>
      </c>
      <c r="L3973" s="11">
        <v>5.08</v>
      </c>
      <c r="M3973" s="9" t="s">
        <v>1736</v>
      </c>
      <c r="N3973" s="6" t="s">
        <v>1123</v>
      </c>
      <c r="O3973" s="6" t="s">
        <v>1123</v>
      </c>
      <c r="P3973" s="9" t="s">
        <v>41</v>
      </c>
      <c r="Q3973" s="9" t="s">
        <v>26</v>
      </c>
      <c r="R3973" s="9" t="s">
        <v>27</v>
      </c>
      <c r="S3973" s="7" t="s">
        <v>294</v>
      </c>
      <c r="T3973" s="9" t="s">
        <v>39</v>
      </c>
      <c r="U3973" s="7">
        <v>0.59</v>
      </c>
      <c r="V3973" s="12">
        <f>C3973+2</f>
        <v>41056</v>
      </c>
      <c r="W3973">
        <f>IF(D3973=' Pivot Tables'!$A$4,1,0)</f>
        <v>0</v>
      </c>
      <c r="X3973">
        <f>IF(AND(LEFT(D3973,4)+1=LEFT(' Pivot Tables'!$A$4,4)+0,RIGHT(LEFT(D3973,7),2)=RIGHT(LEFT(' Pivot Tables'!$A$4,7),2)),1,0)</f>
        <v>0</v>
      </c>
      <c r="Y3973" s="6">
        <f>1/COUNTIF(Таблица1[Order ID],Таблица1[[#This Row],[Order ID]])</f>
        <v>0.33333333333333331</v>
      </c>
      <c r="Z3973" s="9">
        <f>1/COUNTIFS(Таблица1[Customer Name],Таблица1[[#This Row],[Customer Name]],Таблица1[Order-Year-Month],Таблица1[[#This Row],[Order-Year-Month]])</f>
        <v>0.33333333333333331</v>
      </c>
    </row>
    <row r="3974" spans="1:26" x14ac:dyDescent="0.2">
      <c r="A3974" s="6">
        <v>2836</v>
      </c>
      <c r="B3974" s="7">
        <v>20451</v>
      </c>
      <c r="C3974" s="8">
        <f>DATE(2012,12,31)-220</f>
        <v>41054</v>
      </c>
      <c r="D3974" s="8" t="str">
        <f t="shared" si="75"/>
        <v>2012-05 (май 2012)</v>
      </c>
      <c r="E3974" s="9" t="s">
        <v>78</v>
      </c>
      <c r="F3974" s="7">
        <v>17</v>
      </c>
      <c r="G3974" s="7">
        <v>9150.09</v>
      </c>
      <c r="H3974" s="7">
        <v>0.1</v>
      </c>
      <c r="I3974" s="9" t="s">
        <v>31</v>
      </c>
      <c r="J3974" s="10">
        <v>-1331.5533660000001</v>
      </c>
      <c r="K3974" s="11">
        <v>550.98</v>
      </c>
      <c r="L3974" s="11">
        <v>45.7</v>
      </c>
      <c r="M3974" s="9" t="s">
        <v>1736</v>
      </c>
      <c r="N3974" s="6" t="s">
        <v>1123</v>
      </c>
      <c r="O3974" s="6" t="s">
        <v>1123</v>
      </c>
      <c r="P3974" s="9" t="s">
        <v>41</v>
      </c>
      <c r="Q3974" s="9" t="s">
        <v>49</v>
      </c>
      <c r="R3974" s="9" t="s">
        <v>83</v>
      </c>
      <c r="S3974" s="7" t="s">
        <v>1557</v>
      </c>
      <c r="T3974" s="9" t="s">
        <v>82</v>
      </c>
      <c r="U3974" s="7">
        <v>0.71</v>
      </c>
      <c r="V3974" s="12">
        <f>C3974+2</f>
        <v>41056</v>
      </c>
      <c r="W3974">
        <f>IF(D3974=' Pivot Tables'!$A$4,1,0)</f>
        <v>0</v>
      </c>
      <c r="X3974">
        <f>IF(AND(LEFT(D3974,4)+1=LEFT(' Pivot Tables'!$A$4,4)+0,RIGHT(LEFT(D3974,7),2)=RIGHT(LEFT(' Pivot Tables'!$A$4,7),2)),1,0)</f>
        <v>0</v>
      </c>
      <c r="Y3974" s="6">
        <f>1/COUNTIF(Таблица1[Order ID],Таблица1[[#This Row],[Order ID]])</f>
        <v>0.33333333333333331</v>
      </c>
      <c r="Z3974" s="9">
        <f>1/COUNTIFS(Таблица1[Customer Name],Таблица1[[#This Row],[Customer Name]],Таблица1[Order-Year-Month],Таблица1[[#This Row],[Order-Year-Month]])</f>
        <v>0.33333333333333331</v>
      </c>
    </row>
    <row r="3975" spans="1:26" x14ac:dyDescent="0.2">
      <c r="A3975" s="6">
        <v>2845</v>
      </c>
      <c r="B3975" s="7">
        <v>20486</v>
      </c>
      <c r="C3975" s="8">
        <f>DATE(2012,12,31)-667</f>
        <v>40607</v>
      </c>
      <c r="D3975" s="8" t="str">
        <f t="shared" si="75"/>
        <v>2011-03 (март 2011)</v>
      </c>
      <c r="E3975" s="9" t="s">
        <v>30</v>
      </c>
      <c r="F3975" s="7">
        <v>34</v>
      </c>
      <c r="G3975" s="7">
        <v>306.3</v>
      </c>
      <c r="H3975" s="7">
        <v>7.0000000000000007E-2</v>
      </c>
      <c r="I3975" s="9" t="s">
        <v>22</v>
      </c>
      <c r="J3975" s="10">
        <v>18.73</v>
      </c>
      <c r="K3975" s="11">
        <v>9.27</v>
      </c>
      <c r="L3975" s="11">
        <v>4.3899999999999997</v>
      </c>
      <c r="M3975" s="9" t="s">
        <v>1726</v>
      </c>
      <c r="N3975" s="6" t="s">
        <v>1123</v>
      </c>
      <c r="O3975" s="6" t="s">
        <v>1123</v>
      </c>
      <c r="P3975" s="9" t="s">
        <v>41</v>
      </c>
      <c r="Q3975" s="9" t="s">
        <v>26</v>
      </c>
      <c r="R3975" s="9" t="s">
        <v>61</v>
      </c>
      <c r="S3975" s="7" t="s">
        <v>400</v>
      </c>
      <c r="T3975" s="9" t="s">
        <v>68</v>
      </c>
      <c r="U3975" s="7">
        <v>0.38</v>
      </c>
      <c r="V3975" s="12">
        <f>C3975+1</f>
        <v>40608</v>
      </c>
      <c r="W3975">
        <f>IF(D3975=' Pivot Tables'!$A$4,1,0)</f>
        <v>0</v>
      </c>
      <c r="X3975">
        <f>IF(AND(LEFT(D3975,4)+1=LEFT(' Pivot Tables'!$A$4,4)+0,RIGHT(LEFT(D3975,7),2)=RIGHT(LEFT(' Pivot Tables'!$A$4,7),2)),1,0)</f>
        <v>0</v>
      </c>
      <c r="Y3975" s="6">
        <f>1/COUNTIF(Таблица1[Order ID],Таблица1[[#This Row],[Order ID]])</f>
        <v>0.5</v>
      </c>
      <c r="Z3975" s="9">
        <f>1/COUNTIFS(Таблица1[Customer Name],Таблица1[[#This Row],[Customer Name]],Таблица1[Order-Year-Month],Таблица1[[#This Row],[Order-Year-Month]])</f>
        <v>0.5</v>
      </c>
    </row>
    <row r="3976" spans="1:26" x14ac:dyDescent="0.2">
      <c r="A3976" s="6">
        <v>2846</v>
      </c>
      <c r="B3976" s="7">
        <v>20486</v>
      </c>
      <c r="C3976" s="8">
        <f>DATE(2012,12,31)-667</f>
        <v>40607</v>
      </c>
      <c r="D3976" s="8" t="str">
        <f t="shared" si="75"/>
        <v>2011-03 (март 2011)</v>
      </c>
      <c r="E3976" s="9" t="s">
        <v>30</v>
      </c>
      <c r="F3976" s="7">
        <v>42</v>
      </c>
      <c r="G3976" s="7">
        <v>163.98</v>
      </c>
      <c r="H3976" s="7">
        <v>0.01</v>
      </c>
      <c r="I3976" s="9" t="s">
        <v>22</v>
      </c>
      <c r="J3976" s="10">
        <v>55.73</v>
      </c>
      <c r="K3976" s="11">
        <v>3.85</v>
      </c>
      <c r="L3976" s="11">
        <v>0.7</v>
      </c>
      <c r="M3976" s="9" t="s">
        <v>1726</v>
      </c>
      <c r="N3976" s="6" t="s">
        <v>1123</v>
      </c>
      <c r="O3976" s="6" t="s">
        <v>1123</v>
      </c>
      <c r="P3976" s="9" t="s">
        <v>41</v>
      </c>
      <c r="Q3976" s="9" t="s">
        <v>26</v>
      </c>
      <c r="R3976" s="9" t="s">
        <v>95</v>
      </c>
      <c r="S3976" s="7" t="s">
        <v>1194</v>
      </c>
      <c r="T3976" s="9" t="s">
        <v>68</v>
      </c>
      <c r="U3976" s="7">
        <v>0.44</v>
      </c>
      <c r="V3976" s="12">
        <f>C3976+1</f>
        <v>40608</v>
      </c>
      <c r="W3976">
        <f>IF(D3976=' Pivot Tables'!$A$4,1,0)</f>
        <v>0</v>
      </c>
      <c r="X3976">
        <f>IF(AND(LEFT(D3976,4)+1=LEFT(' Pivot Tables'!$A$4,4)+0,RIGHT(LEFT(D3976,7),2)=RIGHT(LEFT(' Pivot Tables'!$A$4,7),2)),1,0)</f>
        <v>0</v>
      </c>
      <c r="Y3976" s="6">
        <f>1/COUNTIF(Таблица1[Order ID],Таблица1[[#This Row],[Order ID]])</f>
        <v>0.5</v>
      </c>
      <c r="Z3976" s="9">
        <f>1/COUNTIFS(Таблица1[Customer Name],Таблица1[[#This Row],[Customer Name]],Таблица1[Order-Year-Month],Таблица1[[#This Row],[Order-Year-Month]])</f>
        <v>0.5</v>
      </c>
    </row>
    <row r="3977" spans="1:26" x14ac:dyDescent="0.2">
      <c r="A3977" s="6">
        <v>2895</v>
      </c>
      <c r="B3977" s="7">
        <v>20899</v>
      </c>
      <c r="C3977" s="8">
        <f>DATE(2012,12,31)-994</f>
        <v>40280</v>
      </c>
      <c r="D3977" s="8" t="str">
        <f t="shared" si="75"/>
        <v>2010-04 (апрель 2010)</v>
      </c>
      <c r="E3977" s="9" t="s">
        <v>21</v>
      </c>
      <c r="F3977" s="7">
        <v>9</v>
      </c>
      <c r="G3977" s="7">
        <v>495.1</v>
      </c>
      <c r="H3977" s="7">
        <v>0.04</v>
      </c>
      <c r="I3977" s="9" t="s">
        <v>22</v>
      </c>
      <c r="J3977" s="10">
        <v>110.36</v>
      </c>
      <c r="K3977" s="11">
        <v>54.96</v>
      </c>
      <c r="L3977" s="11">
        <v>10.75</v>
      </c>
      <c r="M3977" s="9" t="s">
        <v>1721</v>
      </c>
      <c r="N3977" s="6" t="s">
        <v>1123</v>
      </c>
      <c r="O3977" s="6" t="s">
        <v>1123</v>
      </c>
      <c r="P3977" s="9" t="s">
        <v>60</v>
      </c>
      <c r="Q3977" s="9" t="s">
        <v>26</v>
      </c>
      <c r="R3977" s="9" t="s">
        <v>61</v>
      </c>
      <c r="S3977" s="7" t="s">
        <v>350</v>
      </c>
      <c r="T3977" s="9" t="s">
        <v>39</v>
      </c>
      <c r="U3977" s="7">
        <v>0.36</v>
      </c>
      <c r="V3977" s="12">
        <f>C3977+9</f>
        <v>40289</v>
      </c>
      <c r="W3977">
        <f>IF(D3977=' Pivot Tables'!$A$4,1,0)</f>
        <v>0</v>
      </c>
      <c r="X3977">
        <f>IF(AND(LEFT(D3977,4)+1=LEFT(' Pivot Tables'!$A$4,4)+0,RIGHT(LEFT(D3977,7),2)=RIGHT(LEFT(' Pivot Tables'!$A$4,7),2)),1,0)</f>
        <v>0</v>
      </c>
      <c r="Y3977" s="6">
        <f>1/COUNTIF(Таблица1[Order ID],Таблица1[[#This Row],[Order ID]])</f>
        <v>1</v>
      </c>
      <c r="Z3977" s="9">
        <f>1/COUNTIFS(Таблица1[Customer Name],Таблица1[[#This Row],[Customer Name]],Таблица1[Order-Year-Month],Таблица1[[#This Row],[Order-Year-Month]])</f>
        <v>1</v>
      </c>
    </row>
    <row r="3978" spans="1:26" x14ac:dyDescent="0.2">
      <c r="A3978" s="6">
        <v>2918</v>
      </c>
      <c r="B3978" s="7">
        <v>21089</v>
      </c>
      <c r="C3978" s="8">
        <f>DATE(2012,12,31)-522</f>
        <v>40752</v>
      </c>
      <c r="D3978" s="8" t="str">
        <f t="shared" si="75"/>
        <v>2011-07 (июль 2011)</v>
      </c>
      <c r="E3978" s="9" t="s">
        <v>63</v>
      </c>
      <c r="F3978" s="7">
        <v>4</v>
      </c>
      <c r="G3978" s="7">
        <v>559.75</v>
      </c>
      <c r="H3978" s="7">
        <v>7.0000000000000007E-2</v>
      </c>
      <c r="I3978" s="9" t="s">
        <v>31</v>
      </c>
      <c r="J3978" s="10">
        <v>-331.08</v>
      </c>
      <c r="K3978" s="11">
        <v>122.99</v>
      </c>
      <c r="L3978" s="11">
        <v>70.2</v>
      </c>
      <c r="M3978" s="9" t="s">
        <v>1744</v>
      </c>
      <c r="N3978" s="6" t="s">
        <v>1123</v>
      </c>
      <c r="O3978" s="6" t="s">
        <v>1123</v>
      </c>
      <c r="P3978" s="9" t="s">
        <v>41</v>
      </c>
      <c r="Q3978" s="9" t="s">
        <v>49</v>
      </c>
      <c r="R3978" s="9" t="s">
        <v>112</v>
      </c>
      <c r="S3978" s="7" t="s">
        <v>426</v>
      </c>
      <c r="T3978" s="9" t="s">
        <v>36</v>
      </c>
      <c r="U3978" s="7">
        <v>0.74</v>
      </c>
      <c r="V3978" s="12">
        <f>C3978+2</f>
        <v>40754</v>
      </c>
      <c r="W3978">
        <f>IF(D3978=' Pivot Tables'!$A$4,1,0)</f>
        <v>0</v>
      </c>
      <c r="X3978">
        <f>IF(AND(LEFT(D3978,4)+1=LEFT(' Pivot Tables'!$A$4,4)+0,RIGHT(LEFT(D3978,7),2)=RIGHT(LEFT(' Pivot Tables'!$A$4,7),2)),1,0)</f>
        <v>0</v>
      </c>
      <c r="Y3978" s="6">
        <f>1/COUNTIF(Таблица1[Order ID],Таблица1[[#This Row],[Order ID]])</f>
        <v>1</v>
      </c>
      <c r="Z3978" s="9">
        <f>1/COUNTIFS(Таблица1[Customer Name],Таблица1[[#This Row],[Customer Name]],Таблица1[Order-Year-Month],Таблица1[[#This Row],[Order-Year-Month]])</f>
        <v>1</v>
      </c>
    </row>
    <row r="3979" spans="1:26" x14ac:dyDescent="0.2">
      <c r="A3979" s="6">
        <v>3001</v>
      </c>
      <c r="B3979" s="7">
        <v>21634</v>
      </c>
      <c r="C3979" s="8">
        <f>DATE(2012,12,31)-64</f>
        <v>41210</v>
      </c>
      <c r="D3979" s="8" t="str">
        <f t="shared" si="75"/>
        <v>2012-10 (октябрь 2012)</v>
      </c>
      <c r="E3979" s="9" t="s">
        <v>45</v>
      </c>
      <c r="F3979" s="7">
        <v>8</v>
      </c>
      <c r="G3979" s="7">
        <v>1611.73</v>
      </c>
      <c r="H3979" s="7">
        <v>0.1</v>
      </c>
      <c r="I3979" s="9" t="s">
        <v>31</v>
      </c>
      <c r="J3979" s="10">
        <v>-314.61</v>
      </c>
      <c r="K3979" s="11">
        <v>208.16</v>
      </c>
      <c r="L3979" s="11">
        <v>68.02</v>
      </c>
      <c r="M3979" s="9" t="s">
        <v>1754</v>
      </c>
      <c r="N3979" s="6" t="s">
        <v>1123</v>
      </c>
      <c r="O3979" s="6" t="s">
        <v>1123</v>
      </c>
      <c r="P3979" s="9" t="s">
        <v>60</v>
      </c>
      <c r="Q3979" s="9" t="s">
        <v>26</v>
      </c>
      <c r="R3979" s="9" t="s">
        <v>34</v>
      </c>
      <c r="S3979" s="7" t="s">
        <v>35</v>
      </c>
      <c r="T3979" s="9" t="s">
        <v>36</v>
      </c>
      <c r="U3979" s="7">
        <v>0.57999999999999996</v>
      </c>
      <c r="V3979" s="12">
        <f>C3979+1</f>
        <v>41211</v>
      </c>
      <c r="W3979">
        <f>IF(D3979=' Pivot Tables'!$A$4,1,0)</f>
        <v>0</v>
      </c>
      <c r="X3979">
        <f>IF(AND(LEFT(D3979,4)+1=LEFT(' Pivot Tables'!$A$4,4)+0,RIGHT(LEFT(D3979,7),2)=RIGHT(LEFT(' Pivot Tables'!$A$4,7),2)),1,0)</f>
        <v>0</v>
      </c>
      <c r="Y3979" s="6">
        <f>1/COUNTIF(Таблица1[Order ID],Таблица1[[#This Row],[Order ID]])</f>
        <v>0.5</v>
      </c>
      <c r="Z3979" s="9">
        <f>1/COUNTIFS(Таблица1[Customer Name],Таблица1[[#This Row],[Customer Name]],Таблица1[Order-Year-Month],Таблица1[[#This Row],[Order-Year-Month]])</f>
        <v>0.5</v>
      </c>
    </row>
    <row r="3980" spans="1:26" x14ac:dyDescent="0.2">
      <c r="A3980" s="6">
        <v>3002</v>
      </c>
      <c r="B3980" s="7">
        <v>21634</v>
      </c>
      <c r="C3980" s="8">
        <f>DATE(2012,12,31)-64</f>
        <v>41210</v>
      </c>
      <c r="D3980" s="8" t="str">
        <f t="shared" si="75"/>
        <v>2012-10 (октябрь 2012)</v>
      </c>
      <c r="E3980" s="9" t="s">
        <v>45</v>
      </c>
      <c r="F3980" s="7">
        <v>1</v>
      </c>
      <c r="G3980" s="7">
        <v>1946.55</v>
      </c>
      <c r="H3980" s="7">
        <v>7.0000000000000007E-2</v>
      </c>
      <c r="I3980" s="9" t="s">
        <v>22</v>
      </c>
      <c r="J3980" s="10">
        <v>-4017.6164999999996</v>
      </c>
      <c r="K3980" s="11">
        <v>1938.02</v>
      </c>
      <c r="L3980" s="11">
        <v>13.99</v>
      </c>
      <c r="M3980" s="9" t="s">
        <v>1754</v>
      </c>
      <c r="N3980" s="6" t="s">
        <v>1123</v>
      </c>
      <c r="O3980" s="6" t="s">
        <v>1123</v>
      </c>
      <c r="P3980" s="9" t="s">
        <v>60</v>
      </c>
      <c r="Q3980" s="9" t="s">
        <v>42</v>
      </c>
      <c r="R3980" s="9" t="s">
        <v>210</v>
      </c>
      <c r="S3980" s="7" t="s">
        <v>214</v>
      </c>
      <c r="T3980" s="9" t="s">
        <v>48</v>
      </c>
      <c r="U3980" s="7">
        <v>0.38</v>
      </c>
      <c r="V3980" s="12">
        <f>C3980+3</f>
        <v>41213</v>
      </c>
      <c r="W3980">
        <f>IF(D3980=' Pivot Tables'!$A$4,1,0)</f>
        <v>0</v>
      </c>
      <c r="X3980">
        <f>IF(AND(LEFT(D3980,4)+1=LEFT(' Pivot Tables'!$A$4,4)+0,RIGHT(LEFT(D3980,7),2)=RIGHT(LEFT(' Pivot Tables'!$A$4,7),2)),1,0)</f>
        <v>0</v>
      </c>
      <c r="Y3980" s="6">
        <f>1/COUNTIF(Таблица1[Order ID],Таблица1[[#This Row],[Order ID]])</f>
        <v>0.5</v>
      </c>
      <c r="Z3980" s="9">
        <f>1/COUNTIFS(Таблица1[Customer Name],Таблица1[[#This Row],[Customer Name]],Таблица1[Order-Year-Month],Таблица1[[#This Row],[Order-Year-Month]])</f>
        <v>0.5</v>
      </c>
    </row>
    <row r="3981" spans="1:26" x14ac:dyDescent="0.2">
      <c r="A3981" s="6">
        <v>3012</v>
      </c>
      <c r="B3981" s="7">
        <v>21665</v>
      </c>
      <c r="C3981" s="8">
        <f>DATE(2012,12,31)-77</f>
        <v>41197</v>
      </c>
      <c r="D3981" s="8" t="str">
        <f t="shared" si="75"/>
        <v>2012-10 (октябрь 2012)</v>
      </c>
      <c r="E3981" s="9" t="s">
        <v>30</v>
      </c>
      <c r="F3981" s="7">
        <v>5</v>
      </c>
      <c r="G3981" s="7">
        <v>474.79300000000001</v>
      </c>
      <c r="H3981" s="7">
        <v>0.09</v>
      </c>
      <c r="I3981" s="9" t="s">
        <v>56</v>
      </c>
      <c r="J3981" s="10">
        <v>-407.26400000000001</v>
      </c>
      <c r="K3981" s="11">
        <v>115.99</v>
      </c>
      <c r="L3981" s="11">
        <v>2.5</v>
      </c>
      <c r="M3981" s="9" t="s">
        <v>1721</v>
      </c>
      <c r="N3981" s="6" t="s">
        <v>1123</v>
      </c>
      <c r="O3981" s="6" t="s">
        <v>1123</v>
      </c>
      <c r="P3981" s="9" t="s">
        <v>60</v>
      </c>
      <c r="Q3981" s="9" t="s">
        <v>42</v>
      </c>
      <c r="R3981" s="9" t="s">
        <v>43</v>
      </c>
      <c r="S3981" s="7" t="s">
        <v>1079</v>
      </c>
      <c r="T3981" s="9" t="s">
        <v>39</v>
      </c>
      <c r="U3981" s="7">
        <v>0.57999999999999996</v>
      </c>
      <c r="V3981" s="12">
        <f>C3981+1</f>
        <v>41198</v>
      </c>
      <c r="W3981">
        <f>IF(D3981=' Pivot Tables'!$A$4,1,0)</f>
        <v>0</v>
      </c>
      <c r="X3981">
        <f>IF(AND(LEFT(D3981,4)+1=LEFT(' Pivot Tables'!$A$4,4)+0,RIGHT(LEFT(D3981,7),2)=RIGHT(LEFT(' Pivot Tables'!$A$4,7),2)),1,0)</f>
        <v>0</v>
      </c>
      <c r="Y3981" s="6">
        <f>1/COUNTIF(Таблица1[Order ID],Таблица1[[#This Row],[Order ID]])</f>
        <v>1</v>
      </c>
      <c r="Z3981" s="9">
        <f>1/COUNTIFS(Таблица1[Customer Name],Таблица1[[#This Row],[Customer Name]],Таблица1[Order-Year-Month],Таблица1[[#This Row],[Order-Year-Month]])</f>
        <v>1</v>
      </c>
    </row>
    <row r="3982" spans="1:26" x14ac:dyDescent="0.2">
      <c r="A3982" s="6">
        <v>3020</v>
      </c>
      <c r="B3982" s="7">
        <v>21729</v>
      </c>
      <c r="C3982" s="8">
        <f>DATE(2012,12,31)-25</f>
        <v>41249</v>
      </c>
      <c r="D3982" s="8" t="str">
        <f t="shared" si="75"/>
        <v>2012-12 (декабрь 2012)</v>
      </c>
      <c r="E3982" s="9" t="s">
        <v>21</v>
      </c>
      <c r="F3982" s="7">
        <v>28</v>
      </c>
      <c r="G3982" s="7">
        <v>120.98</v>
      </c>
      <c r="H3982" s="7">
        <v>0</v>
      </c>
      <c r="I3982" s="9" t="s">
        <v>22</v>
      </c>
      <c r="J3982" s="10">
        <v>-92.850999999999999</v>
      </c>
      <c r="K3982" s="11">
        <v>4.13</v>
      </c>
      <c r="L3982" s="11">
        <v>5.34</v>
      </c>
      <c r="M3982" s="9" t="s">
        <v>1735</v>
      </c>
      <c r="N3982" s="6" t="s">
        <v>1123</v>
      </c>
      <c r="O3982" s="6" t="s">
        <v>1123</v>
      </c>
      <c r="P3982" s="9" t="s">
        <v>41</v>
      </c>
      <c r="Q3982" s="9" t="s">
        <v>26</v>
      </c>
      <c r="R3982" s="9" t="s">
        <v>37</v>
      </c>
      <c r="S3982" s="7" t="s">
        <v>680</v>
      </c>
      <c r="T3982" s="9" t="s">
        <v>39</v>
      </c>
      <c r="U3982" s="7">
        <v>0.38</v>
      </c>
      <c r="V3982" s="12">
        <f>C3982+4</f>
        <v>41253</v>
      </c>
      <c r="W3982">
        <f>IF(D3982=' Pivot Tables'!$A$4,1,0)</f>
        <v>0</v>
      </c>
      <c r="X3982">
        <f>IF(AND(LEFT(D3982,4)+1=LEFT(' Pivot Tables'!$A$4,4)+0,RIGHT(LEFT(D3982,7),2)=RIGHT(LEFT(' Pivot Tables'!$A$4,7),2)),1,0)</f>
        <v>0</v>
      </c>
      <c r="Y3982" s="6">
        <f>1/COUNTIF(Таблица1[Order ID],Таблица1[[#This Row],[Order ID]])</f>
        <v>0.5</v>
      </c>
      <c r="Z3982" s="9">
        <f>1/COUNTIFS(Таблица1[Customer Name],Таблица1[[#This Row],[Customer Name]],Таблица1[Order-Year-Month],Таблица1[[#This Row],[Order-Year-Month]])</f>
        <v>0.5</v>
      </c>
    </row>
    <row r="3983" spans="1:26" x14ac:dyDescent="0.2">
      <c r="A3983" s="6">
        <v>3021</v>
      </c>
      <c r="B3983" s="7">
        <v>21729</v>
      </c>
      <c r="C3983" s="8">
        <f>DATE(2012,12,31)-25</f>
        <v>41249</v>
      </c>
      <c r="D3983" s="8" t="str">
        <f t="shared" si="75"/>
        <v>2012-12 (декабрь 2012)</v>
      </c>
      <c r="E3983" s="9" t="s">
        <v>21</v>
      </c>
      <c r="F3983" s="7">
        <v>14</v>
      </c>
      <c r="G3983" s="7">
        <v>1082.6600000000001</v>
      </c>
      <c r="H3983" s="7">
        <v>0.08</v>
      </c>
      <c r="I3983" s="9" t="s">
        <v>22</v>
      </c>
      <c r="J3983" s="10">
        <v>-256.93</v>
      </c>
      <c r="K3983" s="11">
        <v>79.52</v>
      </c>
      <c r="L3983" s="11">
        <v>48.2</v>
      </c>
      <c r="M3983" s="9" t="s">
        <v>1735</v>
      </c>
      <c r="N3983" s="6" t="s">
        <v>1123</v>
      </c>
      <c r="O3983" s="6" t="s">
        <v>1123</v>
      </c>
      <c r="P3983" s="9" t="s">
        <v>41</v>
      </c>
      <c r="Q3983" s="9" t="s">
        <v>49</v>
      </c>
      <c r="R3983" s="9" t="s">
        <v>50</v>
      </c>
      <c r="S3983" s="7" t="s">
        <v>902</v>
      </c>
      <c r="T3983" s="9" t="s">
        <v>48</v>
      </c>
      <c r="U3983" s="7">
        <v>0.74</v>
      </c>
      <c r="V3983" s="12">
        <f>C3983+7</f>
        <v>41256</v>
      </c>
      <c r="W3983">
        <f>IF(D3983=' Pivot Tables'!$A$4,1,0)</f>
        <v>0</v>
      </c>
      <c r="X3983">
        <f>IF(AND(LEFT(D3983,4)+1=LEFT(' Pivot Tables'!$A$4,4)+0,RIGHT(LEFT(D3983,7),2)=RIGHT(LEFT(' Pivot Tables'!$A$4,7),2)),1,0)</f>
        <v>0</v>
      </c>
      <c r="Y3983" s="6">
        <f>1/COUNTIF(Таблица1[Order ID],Таблица1[[#This Row],[Order ID]])</f>
        <v>0.5</v>
      </c>
      <c r="Z3983" s="9">
        <f>1/COUNTIFS(Таблица1[Customer Name],Таблица1[[#This Row],[Customer Name]],Таблица1[Order-Year-Month],Таблица1[[#This Row],[Order-Year-Month]])</f>
        <v>0.5</v>
      </c>
    </row>
    <row r="3984" spans="1:26" x14ac:dyDescent="0.2">
      <c r="A3984" s="6">
        <v>3032</v>
      </c>
      <c r="B3984" s="7">
        <v>21796</v>
      </c>
      <c r="C3984" s="8">
        <f>DATE(2012,12,31)-239</f>
        <v>41035</v>
      </c>
      <c r="D3984" s="8" t="str">
        <f t="shared" si="75"/>
        <v>2012-05 (май 2012)</v>
      </c>
      <c r="E3984" s="9" t="s">
        <v>21</v>
      </c>
      <c r="F3984" s="7">
        <v>46</v>
      </c>
      <c r="G3984" s="7">
        <v>4744.6400000000003</v>
      </c>
      <c r="H3984" s="7">
        <v>0.04</v>
      </c>
      <c r="I3984" s="9" t="s">
        <v>22</v>
      </c>
      <c r="J3984" s="10">
        <v>1033.3800000000001</v>
      </c>
      <c r="K3984" s="11">
        <v>99.99</v>
      </c>
      <c r="L3984" s="11">
        <v>19.989999999999998</v>
      </c>
      <c r="M3984" s="9" t="s">
        <v>1744</v>
      </c>
      <c r="N3984" s="6" t="s">
        <v>1123</v>
      </c>
      <c r="O3984" s="6" t="s">
        <v>1123</v>
      </c>
      <c r="P3984" s="9" t="s">
        <v>60</v>
      </c>
      <c r="Q3984" s="9" t="s">
        <v>42</v>
      </c>
      <c r="R3984" s="9" t="s">
        <v>70</v>
      </c>
      <c r="S3984" s="7" t="s">
        <v>337</v>
      </c>
      <c r="T3984" s="9" t="s">
        <v>39</v>
      </c>
      <c r="U3984" s="7">
        <v>0.52</v>
      </c>
      <c r="V3984" s="12">
        <f>C3984+4</f>
        <v>41039</v>
      </c>
      <c r="W3984">
        <f>IF(D3984=' Pivot Tables'!$A$4,1,0)</f>
        <v>0</v>
      </c>
      <c r="X3984">
        <f>IF(AND(LEFT(D3984,4)+1=LEFT(' Pivot Tables'!$A$4,4)+0,RIGHT(LEFT(D3984,7),2)=RIGHT(LEFT(' Pivot Tables'!$A$4,7),2)),1,0)</f>
        <v>0</v>
      </c>
      <c r="Y3984" s="6">
        <f>1/COUNTIF(Таблица1[Order ID],Таблица1[[#This Row],[Order ID]])</f>
        <v>0.25</v>
      </c>
      <c r="Z3984" s="9">
        <f>1/COUNTIFS(Таблица1[Customer Name],Таблица1[[#This Row],[Customer Name]],Таблица1[Order-Year-Month],Таблица1[[#This Row],[Order-Year-Month]])</f>
        <v>0.25</v>
      </c>
    </row>
    <row r="3985" spans="1:26" x14ac:dyDescent="0.2">
      <c r="A3985" s="6">
        <v>3033</v>
      </c>
      <c r="B3985" s="7">
        <v>21796</v>
      </c>
      <c r="C3985" s="8">
        <f>DATE(2012,12,31)-239</f>
        <v>41035</v>
      </c>
      <c r="D3985" s="8" t="str">
        <f t="shared" si="75"/>
        <v>2012-05 (май 2012)</v>
      </c>
      <c r="E3985" s="9" t="s">
        <v>21</v>
      </c>
      <c r="F3985" s="7">
        <v>2</v>
      </c>
      <c r="G3985" s="7">
        <v>40.825499999999998</v>
      </c>
      <c r="H3985" s="7">
        <v>0.01</v>
      </c>
      <c r="I3985" s="9" t="s">
        <v>22</v>
      </c>
      <c r="J3985" s="10">
        <v>-99.978999999999999</v>
      </c>
      <c r="K3985" s="11">
        <v>20.99</v>
      </c>
      <c r="L3985" s="11">
        <v>4.8099999999999996</v>
      </c>
      <c r="M3985" s="9" t="s">
        <v>1744</v>
      </c>
      <c r="N3985" s="6" t="s">
        <v>1123</v>
      </c>
      <c r="O3985" s="6" t="s">
        <v>1123</v>
      </c>
      <c r="P3985" s="9" t="s">
        <v>60</v>
      </c>
      <c r="Q3985" s="9" t="s">
        <v>42</v>
      </c>
      <c r="R3985" s="9" t="s">
        <v>43</v>
      </c>
      <c r="S3985" s="7" t="s">
        <v>760</v>
      </c>
      <c r="T3985" s="9" t="s">
        <v>48</v>
      </c>
      <c r="U3985" s="7">
        <v>0.57999999999999996</v>
      </c>
      <c r="V3985" s="12">
        <f>C3985+0</f>
        <v>41035</v>
      </c>
      <c r="W3985">
        <f>IF(D3985=' Pivot Tables'!$A$4,1,0)</f>
        <v>0</v>
      </c>
      <c r="X3985">
        <f>IF(AND(LEFT(D3985,4)+1=LEFT(' Pivot Tables'!$A$4,4)+0,RIGHT(LEFT(D3985,7),2)=RIGHT(LEFT(' Pivot Tables'!$A$4,7),2)),1,0)</f>
        <v>0</v>
      </c>
      <c r="Y3985" s="6">
        <f>1/COUNTIF(Таблица1[Order ID],Таблица1[[#This Row],[Order ID]])</f>
        <v>0.25</v>
      </c>
      <c r="Z3985" s="9">
        <f>1/COUNTIFS(Таблица1[Customer Name],Таблица1[[#This Row],[Customer Name]],Таблица1[Order-Year-Month],Таблица1[[#This Row],[Order-Year-Month]])</f>
        <v>0.25</v>
      </c>
    </row>
    <row r="3986" spans="1:26" x14ac:dyDescent="0.2">
      <c r="A3986" s="6">
        <v>3034</v>
      </c>
      <c r="B3986" s="7">
        <v>21796</v>
      </c>
      <c r="C3986" s="8">
        <f>DATE(2012,12,31)-239</f>
        <v>41035</v>
      </c>
      <c r="D3986" s="8" t="str">
        <f t="shared" si="75"/>
        <v>2012-05 (май 2012)</v>
      </c>
      <c r="E3986" s="9" t="s">
        <v>21</v>
      </c>
      <c r="F3986" s="7">
        <v>41</v>
      </c>
      <c r="G3986" s="7">
        <v>607.13</v>
      </c>
      <c r="H3986" s="7">
        <v>0.1</v>
      </c>
      <c r="I3986" s="9" t="s">
        <v>22</v>
      </c>
      <c r="J3986" s="10">
        <v>274.66000000000003</v>
      </c>
      <c r="K3986" s="11">
        <v>15.67</v>
      </c>
      <c r="L3986" s="11">
        <v>1.39</v>
      </c>
      <c r="M3986" s="9" t="s">
        <v>1744</v>
      </c>
      <c r="N3986" s="6" t="s">
        <v>1123</v>
      </c>
      <c r="O3986" s="6" t="s">
        <v>1123</v>
      </c>
      <c r="P3986" s="9" t="s">
        <v>60</v>
      </c>
      <c r="Q3986" s="9" t="s">
        <v>26</v>
      </c>
      <c r="R3986" s="9" t="s">
        <v>76</v>
      </c>
      <c r="S3986" s="7" t="s">
        <v>165</v>
      </c>
      <c r="T3986" s="9" t="s">
        <v>39</v>
      </c>
      <c r="U3986" s="7">
        <v>0.38</v>
      </c>
      <c r="V3986" s="12">
        <f>C3986+7</f>
        <v>41042</v>
      </c>
      <c r="W3986">
        <f>IF(D3986=' Pivot Tables'!$A$4,1,0)</f>
        <v>0</v>
      </c>
      <c r="X3986">
        <f>IF(AND(LEFT(D3986,4)+1=LEFT(' Pivot Tables'!$A$4,4)+0,RIGHT(LEFT(D3986,7),2)=RIGHT(LEFT(' Pivot Tables'!$A$4,7),2)),1,0)</f>
        <v>0</v>
      </c>
      <c r="Y3986" s="6">
        <f>1/COUNTIF(Таблица1[Order ID],Таблица1[[#This Row],[Order ID]])</f>
        <v>0.25</v>
      </c>
      <c r="Z3986" s="9">
        <f>1/COUNTIFS(Таблица1[Customer Name],Таблица1[[#This Row],[Customer Name]],Таблица1[Order-Year-Month],Таблица1[[#This Row],[Order-Year-Month]])</f>
        <v>0.25</v>
      </c>
    </row>
    <row r="3987" spans="1:26" x14ac:dyDescent="0.2">
      <c r="A3987" s="6">
        <v>3035</v>
      </c>
      <c r="B3987" s="7">
        <v>21796</v>
      </c>
      <c r="C3987" s="8">
        <f>DATE(2012,12,31)-239</f>
        <v>41035</v>
      </c>
      <c r="D3987" s="8" t="str">
        <f t="shared" si="75"/>
        <v>2012-05 (май 2012)</v>
      </c>
      <c r="E3987" s="9" t="s">
        <v>21</v>
      </c>
      <c r="F3987" s="7">
        <v>31</v>
      </c>
      <c r="G3987" s="7">
        <v>34.22</v>
      </c>
      <c r="H3987" s="7">
        <v>7.0000000000000007E-2</v>
      </c>
      <c r="I3987" s="9" t="s">
        <v>22</v>
      </c>
      <c r="J3987" s="10">
        <v>-3.19</v>
      </c>
      <c r="K3987" s="11">
        <v>1.1399999999999999</v>
      </c>
      <c r="L3987" s="11">
        <v>0.7</v>
      </c>
      <c r="M3987" s="9" t="s">
        <v>1744</v>
      </c>
      <c r="N3987" s="6" t="s">
        <v>1123</v>
      </c>
      <c r="O3987" s="6" t="s">
        <v>1123</v>
      </c>
      <c r="P3987" s="9" t="s">
        <v>60</v>
      </c>
      <c r="Q3987" s="9" t="s">
        <v>26</v>
      </c>
      <c r="R3987" s="9" t="s">
        <v>66</v>
      </c>
      <c r="S3987" s="7" t="s">
        <v>1657</v>
      </c>
      <c r="T3987" s="9" t="s">
        <v>68</v>
      </c>
      <c r="U3987" s="7">
        <v>0.38</v>
      </c>
      <c r="V3987" s="12">
        <f>C3987+5</f>
        <v>41040</v>
      </c>
      <c r="W3987">
        <f>IF(D3987=' Pivot Tables'!$A$4,1,0)</f>
        <v>0</v>
      </c>
      <c r="X3987">
        <f>IF(AND(LEFT(D3987,4)+1=LEFT(' Pivot Tables'!$A$4,4)+0,RIGHT(LEFT(D3987,7),2)=RIGHT(LEFT(' Pivot Tables'!$A$4,7),2)),1,0)</f>
        <v>0</v>
      </c>
      <c r="Y3987" s="6">
        <f>1/COUNTIF(Таблица1[Order ID],Таблица1[[#This Row],[Order ID]])</f>
        <v>0.25</v>
      </c>
      <c r="Z3987" s="9">
        <f>1/COUNTIFS(Таблица1[Customer Name],Таблица1[[#This Row],[Customer Name]],Таблица1[Order-Year-Month],Таблица1[[#This Row],[Order-Year-Month]])</f>
        <v>0.25</v>
      </c>
    </row>
    <row r="3988" spans="1:26" x14ac:dyDescent="0.2">
      <c r="A3988" s="6">
        <v>3065</v>
      </c>
      <c r="B3988" s="7">
        <v>21958</v>
      </c>
      <c r="C3988" s="8">
        <f>DATE(2012,12,31)-1305</f>
        <v>39969</v>
      </c>
      <c r="D3988" s="8" t="str">
        <f t="shared" si="75"/>
        <v>2009-06 (июнь 2009)</v>
      </c>
      <c r="E3988" s="9" t="s">
        <v>30</v>
      </c>
      <c r="F3988" s="7">
        <v>14</v>
      </c>
      <c r="G3988" s="7">
        <v>4998.03</v>
      </c>
      <c r="H3988" s="7">
        <v>0.09</v>
      </c>
      <c r="I3988" s="9" t="s">
        <v>22</v>
      </c>
      <c r="J3988" s="10">
        <v>1092.94</v>
      </c>
      <c r="K3988" s="11">
        <v>363.25</v>
      </c>
      <c r="L3988" s="11">
        <v>19.989999999999998</v>
      </c>
      <c r="M3988" s="9" t="s">
        <v>1728</v>
      </c>
      <c r="N3988" s="6" t="s">
        <v>1123</v>
      </c>
      <c r="O3988" s="6" t="s">
        <v>1123</v>
      </c>
      <c r="P3988" s="9" t="s">
        <v>33</v>
      </c>
      <c r="Q3988" s="9" t="s">
        <v>26</v>
      </c>
      <c r="R3988" s="9" t="s">
        <v>34</v>
      </c>
      <c r="S3988" s="7" t="s">
        <v>589</v>
      </c>
      <c r="T3988" s="9" t="s">
        <v>39</v>
      </c>
      <c r="U3988" s="7">
        <v>0.56999999999999995</v>
      </c>
      <c r="V3988" s="12">
        <f>C3988+1</f>
        <v>39970</v>
      </c>
      <c r="W3988">
        <f>IF(D3988=' Pivot Tables'!$A$4,1,0)</f>
        <v>0</v>
      </c>
      <c r="X3988">
        <f>IF(AND(LEFT(D3988,4)+1=LEFT(' Pivot Tables'!$A$4,4)+0,RIGHT(LEFT(D3988,7),2)=RIGHT(LEFT(' Pivot Tables'!$A$4,7),2)),1,0)</f>
        <v>0</v>
      </c>
      <c r="Y3988" s="6">
        <f>1/COUNTIF(Таблица1[Order ID],Таблица1[[#This Row],[Order ID]])</f>
        <v>1</v>
      </c>
      <c r="Z3988" s="9">
        <f>1/COUNTIFS(Таблица1[Customer Name],Таблица1[[#This Row],[Customer Name]],Таблица1[Order-Year-Month],Таблица1[[#This Row],[Order-Year-Month]])</f>
        <v>0.5</v>
      </c>
    </row>
    <row r="3989" spans="1:26" x14ac:dyDescent="0.2">
      <c r="A3989" s="6">
        <v>3130</v>
      </c>
      <c r="B3989" s="7">
        <v>22468</v>
      </c>
      <c r="C3989" s="8">
        <f>DATE(2012,12,31)-935</f>
        <v>40339</v>
      </c>
      <c r="D3989" s="8" t="str">
        <f t="shared" si="75"/>
        <v>2010-06 (июнь 2010)</v>
      </c>
      <c r="E3989" s="9" t="s">
        <v>45</v>
      </c>
      <c r="F3989" s="7">
        <v>14</v>
      </c>
      <c r="G3989" s="7">
        <v>323.11</v>
      </c>
      <c r="H3989" s="7">
        <v>0</v>
      </c>
      <c r="I3989" s="9" t="s">
        <v>22</v>
      </c>
      <c r="J3989" s="10">
        <v>41.522500000000001</v>
      </c>
      <c r="K3989" s="11">
        <v>20.98</v>
      </c>
      <c r="L3989" s="11">
        <v>8.83</v>
      </c>
      <c r="M3989" s="9" t="s">
        <v>1733</v>
      </c>
      <c r="N3989" s="6" t="s">
        <v>1123</v>
      </c>
      <c r="O3989" s="6" t="s">
        <v>1123</v>
      </c>
      <c r="P3989" s="9" t="s">
        <v>25</v>
      </c>
      <c r="Q3989" s="9" t="s">
        <v>26</v>
      </c>
      <c r="R3989" s="9" t="s">
        <v>37</v>
      </c>
      <c r="S3989" s="7" t="s">
        <v>475</v>
      </c>
      <c r="T3989" s="9" t="s">
        <v>39</v>
      </c>
      <c r="U3989" s="7">
        <v>0.37</v>
      </c>
      <c r="V3989" s="12">
        <f>C3989+0</f>
        <v>40339</v>
      </c>
      <c r="W3989">
        <f>IF(D3989=' Pivot Tables'!$A$4,1,0)</f>
        <v>0</v>
      </c>
      <c r="X3989">
        <f>IF(AND(LEFT(D3989,4)+1=LEFT(' Pivot Tables'!$A$4,4)+0,RIGHT(LEFT(D3989,7),2)=RIGHT(LEFT(' Pivot Tables'!$A$4,7),2)),1,0)</f>
        <v>0</v>
      </c>
      <c r="Y3989" s="6">
        <f>1/COUNTIF(Таблица1[Order ID],Таблица1[[#This Row],[Order ID]])</f>
        <v>0.33333333333333331</v>
      </c>
      <c r="Z3989" s="9">
        <f>1/COUNTIFS(Таблица1[Customer Name],Таблица1[[#This Row],[Customer Name]],Таблица1[Order-Year-Month],Таблица1[[#This Row],[Order-Year-Month]])</f>
        <v>0.33333333333333331</v>
      </c>
    </row>
    <row r="3990" spans="1:26" x14ac:dyDescent="0.2">
      <c r="A3990" s="6">
        <v>3131</v>
      </c>
      <c r="B3990" s="7">
        <v>22468</v>
      </c>
      <c r="C3990" s="8">
        <f>DATE(2012,12,31)-935</f>
        <v>40339</v>
      </c>
      <c r="D3990" s="8" t="str">
        <f t="shared" si="75"/>
        <v>2010-06 (июнь 2010)</v>
      </c>
      <c r="E3990" s="9" t="s">
        <v>45</v>
      </c>
      <c r="F3990" s="7">
        <v>11</v>
      </c>
      <c r="G3990" s="7">
        <v>65.099999999999994</v>
      </c>
      <c r="H3990" s="7">
        <v>0.03</v>
      </c>
      <c r="I3990" s="9" t="s">
        <v>22</v>
      </c>
      <c r="J3990" s="10">
        <v>13.31</v>
      </c>
      <c r="K3990" s="11">
        <v>5.68</v>
      </c>
      <c r="L3990" s="11">
        <v>1.46</v>
      </c>
      <c r="M3990" s="9" t="s">
        <v>1733</v>
      </c>
      <c r="N3990" s="6" t="s">
        <v>1123</v>
      </c>
      <c r="O3990" s="6" t="s">
        <v>1123</v>
      </c>
      <c r="P3990" s="9" t="s">
        <v>25</v>
      </c>
      <c r="Q3990" s="9" t="s">
        <v>26</v>
      </c>
      <c r="R3990" s="9" t="s">
        <v>61</v>
      </c>
      <c r="S3990" s="7" t="s">
        <v>382</v>
      </c>
      <c r="T3990" s="9" t="s">
        <v>68</v>
      </c>
      <c r="U3990" s="7">
        <v>0.39</v>
      </c>
      <c r="V3990" s="12">
        <f>C3990+1</f>
        <v>40340</v>
      </c>
      <c r="W3990">
        <f>IF(D3990=' Pivot Tables'!$A$4,1,0)</f>
        <v>0</v>
      </c>
      <c r="X3990">
        <f>IF(AND(LEFT(D3990,4)+1=LEFT(' Pivot Tables'!$A$4,4)+0,RIGHT(LEFT(D3990,7),2)=RIGHT(LEFT(' Pivot Tables'!$A$4,7),2)),1,0)</f>
        <v>0</v>
      </c>
      <c r="Y3990" s="6">
        <f>1/COUNTIF(Таблица1[Order ID],Таблица1[[#This Row],[Order ID]])</f>
        <v>0.33333333333333331</v>
      </c>
      <c r="Z3990" s="9">
        <f>1/COUNTIFS(Таблица1[Customer Name],Таблица1[[#This Row],[Customer Name]],Таблица1[Order-Year-Month],Таблица1[[#This Row],[Order-Year-Month]])</f>
        <v>0.33333333333333331</v>
      </c>
    </row>
    <row r="3991" spans="1:26" x14ac:dyDescent="0.2">
      <c r="A3991" s="6">
        <v>3132</v>
      </c>
      <c r="B3991" s="7">
        <v>22468</v>
      </c>
      <c r="C3991" s="8">
        <f>DATE(2012,12,31)-935</f>
        <v>40339</v>
      </c>
      <c r="D3991" s="8" t="str">
        <f t="shared" si="75"/>
        <v>2010-06 (июнь 2010)</v>
      </c>
      <c r="E3991" s="9" t="s">
        <v>45</v>
      </c>
      <c r="F3991" s="7">
        <v>19</v>
      </c>
      <c r="G3991" s="7">
        <v>163.75</v>
      </c>
      <c r="H3991" s="7">
        <v>0</v>
      </c>
      <c r="I3991" s="9" t="s">
        <v>22</v>
      </c>
      <c r="J3991" s="10">
        <v>23.61</v>
      </c>
      <c r="K3991" s="11">
        <v>7.96</v>
      </c>
      <c r="L3991" s="11">
        <v>4.95</v>
      </c>
      <c r="M3991" s="9" t="s">
        <v>1733</v>
      </c>
      <c r="N3991" s="6" t="s">
        <v>1123</v>
      </c>
      <c r="O3991" s="6" t="s">
        <v>1123</v>
      </c>
      <c r="P3991" s="9" t="s">
        <v>25</v>
      </c>
      <c r="Q3991" s="9" t="s">
        <v>49</v>
      </c>
      <c r="R3991" s="9" t="s">
        <v>50</v>
      </c>
      <c r="S3991" s="7" t="s">
        <v>951</v>
      </c>
      <c r="T3991" s="9" t="s">
        <v>39</v>
      </c>
      <c r="U3991" s="7">
        <v>0.41</v>
      </c>
      <c r="V3991" s="12">
        <f>C3991+2</f>
        <v>40341</v>
      </c>
      <c r="W3991">
        <f>IF(D3991=' Pivot Tables'!$A$4,1,0)</f>
        <v>0</v>
      </c>
      <c r="X3991">
        <f>IF(AND(LEFT(D3991,4)+1=LEFT(' Pivot Tables'!$A$4,4)+0,RIGHT(LEFT(D3991,7),2)=RIGHT(LEFT(' Pivot Tables'!$A$4,7),2)),1,0)</f>
        <v>0</v>
      </c>
      <c r="Y3991" s="6">
        <f>1/COUNTIF(Таблица1[Order ID],Таблица1[[#This Row],[Order ID]])</f>
        <v>0.33333333333333331</v>
      </c>
      <c r="Z3991" s="9">
        <f>1/COUNTIFS(Таблица1[Customer Name],Таблица1[[#This Row],[Customer Name]],Таблица1[Order-Year-Month],Таблица1[[#This Row],[Order-Year-Month]])</f>
        <v>0.33333333333333331</v>
      </c>
    </row>
    <row r="3992" spans="1:26" x14ac:dyDescent="0.2">
      <c r="A3992" s="6">
        <v>3149</v>
      </c>
      <c r="B3992" s="7">
        <v>22626</v>
      </c>
      <c r="C3992" s="8">
        <f>DATE(2012,12,31)-916</f>
        <v>40358</v>
      </c>
      <c r="D3992" s="8" t="str">
        <f t="shared" si="75"/>
        <v>2010-06 (июнь 2010)</v>
      </c>
      <c r="E3992" s="9" t="s">
        <v>78</v>
      </c>
      <c r="F3992" s="7">
        <v>17</v>
      </c>
      <c r="G3992" s="7">
        <v>90.93</v>
      </c>
      <c r="H3992" s="7">
        <v>0.02</v>
      </c>
      <c r="I3992" s="9" t="s">
        <v>22</v>
      </c>
      <c r="J3992" s="10">
        <v>14.19</v>
      </c>
      <c r="K3992" s="11">
        <v>5.18</v>
      </c>
      <c r="L3992" s="11">
        <v>2.04</v>
      </c>
      <c r="M3992" s="9" t="s">
        <v>1725</v>
      </c>
      <c r="N3992" s="6" t="s">
        <v>1123</v>
      </c>
      <c r="O3992" s="6" t="s">
        <v>1123</v>
      </c>
      <c r="P3992" s="9" t="s">
        <v>25</v>
      </c>
      <c r="Q3992" s="9" t="s">
        <v>26</v>
      </c>
      <c r="R3992" s="9" t="s">
        <v>61</v>
      </c>
      <c r="S3992" s="7" t="s">
        <v>391</v>
      </c>
      <c r="T3992" s="9" t="s">
        <v>68</v>
      </c>
      <c r="U3992" s="7">
        <v>0.36</v>
      </c>
      <c r="V3992" s="12">
        <f>C3992+2</f>
        <v>40360</v>
      </c>
      <c r="W3992">
        <f>IF(D3992=' Pivot Tables'!$A$4,1,0)</f>
        <v>0</v>
      </c>
      <c r="X3992">
        <f>IF(AND(LEFT(D3992,4)+1=LEFT(' Pivot Tables'!$A$4,4)+0,RIGHT(LEFT(D3992,7),2)=RIGHT(LEFT(' Pivot Tables'!$A$4,7),2)),1,0)</f>
        <v>0</v>
      </c>
      <c r="Y3992" s="6">
        <f>1/COUNTIF(Таблица1[Order ID],Таблица1[[#This Row],[Order ID]])</f>
        <v>0.5</v>
      </c>
      <c r="Z3992" s="9">
        <f>1/COUNTIFS(Таблица1[Customer Name],Таблица1[[#This Row],[Customer Name]],Таблица1[Order-Year-Month],Таблица1[[#This Row],[Order-Year-Month]])</f>
        <v>0.5</v>
      </c>
    </row>
    <row r="3993" spans="1:26" x14ac:dyDescent="0.2">
      <c r="A3993" s="6">
        <v>3150</v>
      </c>
      <c r="B3993" s="7">
        <v>22626</v>
      </c>
      <c r="C3993" s="8">
        <f>DATE(2012,12,31)-916</f>
        <v>40358</v>
      </c>
      <c r="D3993" s="8" t="str">
        <f t="shared" si="75"/>
        <v>2010-06 (июнь 2010)</v>
      </c>
      <c r="E3993" s="9" t="s">
        <v>78</v>
      </c>
      <c r="F3993" s="7">
        <v>35</v>
      </c>
      <c r="G3993" s="7">
        <v>6170.9120000000003</v>
      </c>
      <c r="H3993" s="7">
        <v>0.04</v>
      </c>
      <c r="I3993" s="9" t="s">
        <v>31</v>
      </c>
      <c r="J3993" s="10">
        <v>-528.65312500000005</v>
      </c>
      <c r="K3993" s="11">
        <v>218.75</v>
      </c>
      <c r="L3993" s="11">
        <v>69.64</v>
      </c>
      <c r="M3993" s="9" t="s">
        <v>1725</v>
      </c>
      <c r="N3993" s="6" t="s">
        <v>1123</v>
      </c>
      <c r="O3993" s="6" t="s">
        <v>1123</v>
      </c>
      <c r="P3993" s="9" t="s">
        <v>25</v>
      </c>
      <c r="Q3993" s="9" t="s">
        <v>49</v>
      </c>
      <c r="R3993" s="9" t="s">
        <v>83</v>
      </c>
      <c r="S3993" s="7" t="s">
        <v>254</v>
      </c>
      <c r="T3993" s="9" t="s">
        <v>82</v>
      </c>
      <c r="U3993" s="7">
        <v>0.77</v>
      </c>
      <c r="V3993" s="12">
        <f>C3993+2</f>
        <v>40360</v>
      </c>
      <c r="W3993">
        <f>IF(D3993=' Pivot Tables'!$A$4,1,0)</f>
        <v>0</v>
      </c>
      <c r="X3993">
        <f>IF(AND(LEFT(D3993,4)+1=LEFT(' Pivot Tables'!$A$4,4)+0,RIGHT(LEFT(D3993,7),2)=RIGHT(LEFT(' Pivot Tables'!$A$4,7),2)),1,0)</f>
        <v>0</v>
      </c>
      <c r="Y3993" s="6">
        <f>1/COUNTIF(Таблица1[Order ID],Таблица1[[#This Row],[Order ID]])</f>
        <v>0.5</v>
      </c>
      <c r="Z3993" s="9">
        <f>1/COUNTIFS(Таблица1[Customer Name],Таблица1[[#This Row],[Customer Name]],Таблица1[Order-Year-Month],Таблица1[[#This Row],[Order-Year-Month]])</f>
        <v>0.5</v>
      </c>
    </row>
    <row r="3994" spans="1:26" x14ac:dyDescent="0.2">
      <c r="A3994" s="6">
        <v>3235</v>
      </c>
      <c r="B3994" s="7">
        <v>23205</v>
      </c>
      <c r="C3994" s="8">
        <f>DATE(2012,12,31)-1317</f>
        <v>39957</v>
      </c>
      <c r="D3994" s="8" t="str">
        <f t="shared" si="75"/>
        <v>2009-05 (май 2009)</v>
      </c>
      <c r="E3994" s="9" t="s">
        <v>30</v>
      </c>
      <c r="F3994" s="7">
        <v>8</v>
      </c>
      <c r="G3994" s="7">
        <v>319.62</v>
      </c>
      <c r="H3994" s="7">
        <v>0.08</v>
      </c>
      <c r="I3994" s="9" t="s">
        <v>56</v>
      </c>
      <c r="J3994" s="10">
        <v>-16.64</v>
      </c>
      <c r="K3994" s="11">
        <v>40.98</v>
      </c>
      <c r="L3994" s="11">
        <v>7.2</v>
      </c>
      <c r="M3994" s="9" t="s">
        <v>1720</v>
      </c>
      <c r="N3994" s="6" t="s">
        <v>1123</v>
      </c>
      <c r="O3994" s="6" t="s">
        <v>1123</v>
      </c>
      <c r="P3994" s="9" t="s">
        <v>33</v>
      </c>
      <c r="Q3994" s="9" t="s">
        <v>26</v>
      </c>
      <c r="R3994" s="9" t="s">
        <v>34</v>
      </c>
      <c r="S3994" s="7" t="s">
        <v>1755</v>
      </c>
      <c r="T3994" s="9" t="s">
        <v>39</v>
      </c>
      <c r="U3994" s="7">
        <v>0.6</v>
      </c>
      <c r="V3994" s="12">
        <f>C3994+1</f>
        <v>39958</v>
      </c>
      <c r="W3994">
        <f>IF(D3994=' Pivot Tables'!$A$4,1,0)</f>
        <v>0</v>
      </c>
      <c r="X3994">
        <f>IF(AND(LEFT(D3994,4)+1=LEFT(' Pivot Tables'!$A$4,4)+0,RIGHT(LEFT(D3994,7),2)=RIGHT(LEFT(' Pivot Tables'!$A$4,7),2)),1,0)</f>
        <v>0</v>
      </c>
      <c r="Y3994" s="6">
        <f>1/COUNTIF(Таблица1[Order ID],Таблица1[[#This Row],[Order ID]])</f>
        <v>0.33333333333333331</v>
      </c>
      <c r="Z3994" s="9">
        <f>1/COUNTIFS(Таблица1[Customer Name],Таблица1[[#This Row],[Customer Name]],Таблица1[Order-Year-Month],Таблица1[[#This Row],[Order-Year-Month]])</f>
        <v>0.33333333333333331</v>
      </c>
    </row>
    <row r="3995" spans="1:26" x14ac:dyDescent="0.2">
      <c r="A3995" s="6">
        <v>3236</v>
      </c>
      <c r="B3995" s="7">
        <v>23205</v>
      </c>
      <c r="C3995" s="8">
        <f>DATE(2012,12,31)-1317</f>
        <v>39957</v>
      </c>
      <c r="D3995" s="8" t="str">
        <f t="shared" si="75"/>
        <v>2009-05 (май 2009)</v>
      </c>
      <c r="E3995" s="9" t="s">
        <v>30</v>
      </c>
      <c r="F3995" s="7">
        <v>32</v>
      </c>
      <c r="G3995" s="7">
        <v>263.39</v>
      </c>
      <c r="H3995" s="7">
        <v>0.08</v>
      </c>
      <c r="I3995" s="9" t="s">
        <v>56</v>
      </c>
      <c r="J3995" s="10">
        <v>-59.73</v>
      </c>
      <c r="K3995" s="11">
        <v>8.1199999999999992</v>
      </c>
      <c r="L3995" s="11">
        <v>2.83</v>
      </c>
      <c r="M3995" s="9" t="s">
        <v>1720</v>
      </c>
      <c r="N3995" s="6" t="s">
        <v>1123</v>
      </c>
      <c r="O3995" s="6" t="s">
        <v>1123</v>
      </c>
      <c r="P3995" s="9" t="s">
        <v>33</v>
      </c>
      <c r="Q3995" s="9" t="s">
        <v>42</v>
      </c>
      <c r="R3995" s="9" t="s">
        <v>70</v>
      </c>
      <c r="S3995" s="7" t="s">
        <v>630</v>
      </c>
      <c r="T3995" s="9" t="s">
        <v>52</v>
      </c>
      <c r="U3995" s="7">
        <v>0.77</v>
      </c>
      <c r="V3995" s="12">
        <f>C3995+1</f>
        <v>39958</v>
      </c>
      <c r="W3995">
        <f>IF(D3995=' Pivot Tables'!$A$4,1,0)</f>
        <v>0</v>
      </c>
      <c r="X3995">
        <f>IF(AND(LEFT(D3995,4)+1=LEFT(' Pivot Tables'!$A$4,4)+0,RIGHT(LEFT(D3995,7),2)=RIGHT(LEFT(' Pivot Tables'!$A$4,7),2)),1,0)</f>
        <v>0</v>
      </c>
      <c r="Y3995" s="6">
        <f>1/COUNTIF(Таблица1[Order ID],Таблица1[[#This Row],[Order ID]])</f>
        <v>0.33333333333333331</v>
      </c>
      <c r="Z3995" s="9">
        <f>1/COUNTIFS(Таблица1[Customer Name],Таблица1[[#This Row],[Customer Name]],Таблица1[Order-Year-Month],Таблица1[[#This Row],[Order-Year-Month]])</f>
        <v>0.33333333333333331</v>
      </c>
    </row>
    <row r="3996" spans="1:26" x14ac:dyDescent="0.2">
      <c r="A3996" s="6">
        <v>3237</v>
      </c>
      <c r="B3996" s="7">
        <v>23205</v>
      </c>
      <c r="C3996" s="8">
        <f>DATE(2012,12,31)-1317</f>
        <v>39957</v>
      </c>
      <c r="D3996" s="8" t="str">
        <f t="shared" si="75"/>
        <v>2009-05 (май 2009)</v>
      </c>
      <c r="E3996" s="9" t="s">
        <v>30</v>
      </c>
      <c r="F3996" s="7">
        <v>26</v>
      </c>
      <c r="G3996" s="7">
        <v>7208.8</v>
      </c>
      <c r="H3996" s="7">
        <v>0.02</v>
      </c>
      <c r="I3996" s="9" t="s">
        <v>31</v>
      </c>
      <c r="J3996" s="10">
        <v>-633.44123700000023</v>
      </c>
      <c r="K3996" s="11">
        <v>262.11</v>
      </c>
      <c r="L3996" s="11">
        <v>62.74</v>
      </c>
      <c r="M3996" s="9" t="s">
        <v>1720</v>
      </c>
      <c r="N3996" s="6" t="s">
        <v>1123</v>
      </c>
      <c r="O3996" s="6" t="s">
        <v>1123</v>
      </c>
      <c r="P3996" s="9" t="s">
        <v>33</v>
      </c>
      <c r="Q3996" s="9" t="s">
        <v>49</v>
      </c>
      <c r="R3996" s="9" t="s">
        <v>83</v>
      </c>
      <c r="S3996" s="7" t="s">
        <v>191</v>
      </c>
      <c r="T3996" s="9" t="s">
        <v>82</v>
      </c>
      <c r="U3996" s="7">
        <v>0.75</v>
      </c>
      <c r="V3996" s="12">
        <f>C3996+1</f>
        <v>39958</v>
      </c>
      <c r="W3996">
        <f>IF(D3996=' Pivot Tables'!$A$4,1,0)</f>
        <v>0</v>
      </c>
      <c r="X3996">
        <f>IF(AND(LEFT(D3996,4)+1=LEFT(' Pivot Tables'!$A$4,4)+0,RIGHT(LEFT(D3996,7),2)=RIGHT(LEFT(' Pivot Tables'!$A$4,7),2)),1,0)</f>
        <v>0</v>
      </c>
      <c r="Y3996" s="6">
        <f>1/COUNTIF(Таблица1[Order ID],Таблица1[[#This Row],[Order ID]])</f>
        <v>0.33333333333333331</v>
      </c>
      <c r="Z3996" s="9">
        <f>1/COUNTIFS(Таблица1[Customer Name],Таблица1[[#This Row],[Customer Name]],Таблица1[Order-Year-Month],Таблица1[[#This Row],[Order-Year-Month]])</f>
        <v>0.33333333333333331</v>
      </c>
    </row>
    <row r="3997" spans="1:26" x14ac:dyDescent="0.2">
      <c r="A3997" s="6">
        <v>3271</v>
      </c>
      <c r="B3997" s="7">
        <v>23394</v>
      </c>
      <c r="C3997" s="8">
        <f>DATE(2012,12,31)-977</f>
        <v>40297</v>
      </c>
      <c r="D3997" s="8" t="str">
        <f t="shared" si="75"/>
        <v>2010-04 (апрель 2010)</v>
      </c>
      <c r="E3997" s="9" t="s">
        <v>30</v>
      </c>
      <c r="F3997" s="7">
        <v>45</v>
      </c>
      <c r="G3997" s="7">
        <v>101.57</v>
      </c>
      <c r="H3997" s="7">
        <v>0.01</v>
      </c>
      <c r="I3997" s="9" t="s">
        <v>22</v>
      </c>
      <c r="J3997" s="10">
        <v>-5.9915000000000003</v>
      </c>
      <c r="K3997" s="11">
        <v>2.08</v>
      </c>
      <c r="L3997" s="11">
        <v>1.49</v>
      </c>
      <c r="M3997" s="9" t="s">
        <v>1722</v>
      </c>
      <c r="N3997" s="6" t="s">
        <v>1123</v>
      </c>
      <c r="O3997" s="6" t="s">
        <v>1123</v>
      </c>
      <c r="P3997" s="9" t="s">
        <v>25</v>
      </c>
      <c r="Q3997" s="9" t="s">
        <v>26</v>
      </c>
      <c r="R3997" s="9" t="s">
        <v>37</v>
      </c>
      <c r="S3997" s="7" t="s">
        <v>779</v>
      </c>
      <c r="T3997" s="9" t="s">
        <v>39</v>
      </c>
      <c r="U3997" s="7">
        <v>0.38</v>
      </c>
      <c r="V3997" s="12">
        <f>C3997+1</f>
        <v>40298</v>
      </c>
      <c r="W3997">
        <f>IF(D3997=' Pivot Tables'!$A$4,1,0)</f>
        <v>0</v>
      </c>
      <c r="X3997">
        <f>IF(AND(LEFT(D3997,4)+1=LEFT(' Pivot Tables'!$A$4,4)+0,RIGHT(LEFT(D3997,7),2)=RIGHT(LEFT(' Pivot Tables'!$A$4,7),2)),1,0)</f>
        <v>0</v>
      </c>
      <c r="Y3997" s="6">
        <f>1/COUNTIF(Таблица1[Order ID],Таблица1[[#This Row],[Order ID]])</f>
        <v>1</v>
      </c>
      <c r="Z3997" s="9">
        <f>1/COUNTIFS(Таблица1[Customer Name],Таблица1[[#This Row],[Customer Name]],Таблица1[Order-Year-Month],Таблица1[[#This Row],[Order-Year-Month]])</f>
        <v>1</v>
      </c>
    </row>
    <row r="3998" spans="1:26" x14ac:dyDescent="0.2">
      <c r="A3998" s="6">
        <v>3421</v>
      </c>
      <c r="B3998" s="7">
        <v>24390</v>
      </c>
      <c r="C3998" s="8">
        <f>DATE(2012,12,31)-208</f>
        <v>41066</v>
      </c>
      <c r="D3998" s="8" t="str">
        <f t="shared" si="75"/>
        <v>2012-06 (июнь 2012)</v>
      </c>
      <c r="E3998" s="9" t="s">
        <v>21</v>
      </c>
      <c r="F3998" s="7">
        <v>2</v>
      </c>
      <c r="G3998" s="7">
        <v>107.67</v>
      </c>
      <c r="H3998" s="7">
        <v>0.1</v>
      </c>
      <c r="I3998" s="9" t="s">
        <v>56</v>
      </c>
      <c r="J3998" s="10">
        <v>-234.66</v>
      </c>
      <c r="K3998" s="11">
        <v>50.98</v>
      </c>
      <c r="L3998" s="11">
        <v>6.5</v>
      </c>
      <c r="M3998" s="9" t="s">
        <v>1688</v>
      </c>
      <c r="N3998" s="6" t="s">
        <v>1123</v>
      </c>
      <c r="O3998" s="6" t="s">
        <v>1123</v>
      </c>
      <c r="P3998" s="9" t="s">
        <v>60</v>
      </c>
      <c r="Q3998" s="9" t="s">
        <v>42</v>
      </c>
      <c r="R3998" s="9" t="s">
        <v>70</v>
      </c>
      <c r="S3998" s="7" t="s">
        <v>187</v>
      </c>
      <c r="T3998" s="9" t="s">
        <v>39</v>
      </c>
      <c r="U3998" s="7">
        <v>0.73</v>
      </c>
      <c r="V3998" s="12">
        <f>C3998+2</f>
        <v>41068</v>
      </c>
      <c r="W3998">
        <f>IF(D3998=' Pivot Tables'!$A$4,1,0)</f>
        <v>0</v>
      </c>
      <c r="X3998">
        <f>IF(AND(LEFT(D3998,4)+1=LEFT(' Pivot Tables'!$A$4,4)+0,RIGHT(LEFT(D3998,7),2)=RIGHT(LEFT(' Pivot Tables'!$A$4,7),2)),1,0)</f>
        <v>0</v>
      </c>
      <c r="Y3998" s="6">
        <f>1/COUNTIF(Таблица1[Order ID],Таблица1[[#This Row],[Order ID]])</f>
        <v>1</v>
      </c>
      <c r="Z3998" s="9">
        <f>1/COUNTIFS(Таблица1[Customer Name],Таблица1[[#This Row],[Customer Name]],Таблица1[Order-Year-Month],Таблица1[[#This Row],[Order-Year-Month]])</f>
        <v>0.33333333333333331</v>
      </c>
    </row>
    <row r="3999" spans="1:26" x14ac:dyDescent="0.2">
      <c r="A3999" s="6">
        <v>3457</v>
      </c>
      <c r="B3999" s="7">
        <v>24643</v>
      </c>
      <c r="C3999" s="8">
        <f>DATE(2012,12,31)-246</f>
        <v>41028</v>
      </c>
      <c r="D3999" s="8" t="str">
        <f t="shared" si="75"/>
        <v>2012-04 (апрель 2012)</v>
      </c>
      <c r="E3999" s="9" t="s">
        <v>63</v>
      </c>
      <c r="F3999" s="7">
        <v>30</v>
      </c>
      <c r="G3999" s="7">
        <v>2368.1679999999997</v>
      </c>
      <c r="H3999" s="7">
        <v>0</v>
      </c>
      <c r="I3999" s="9" t="s">
        <v>22</v>
      </c>
      <c r="J3999" s="10">
        <v>1181.2950000000001</v>
      </c>
      <c r="K3999" s="11">
        <v>85.99</v>
      </c>
      <c r="L3999" s="11">
        <v>1.25</v>
      </c>
      <c r="M3999" s="9" t="s">
        <v>1746</v>
      </c>
      <c r="N3999" s="6" t="s">
        <v>1123</v>
      </c>
      <c r="O3999" s="6" t="s">
        <v>1123</v>
      </c>
      <c r="P3999" s="9" t="s">
        <v>41</v>
      </c>
      <c r="Q3999" s="9" t="s">
        <v>42</v>
      </c>
      <c r="R3999" s="9" t="s">
        <v>43</v>
      </c>
      <c r="S3999" s="7" t="s">
        <v>438</v>
      </c>
      <c r="T3999" s="9" t="s">
        <v>52</v>
      </c>
      <c r="U3999" s="7">
        <v>0.39</v>
      </c>
      <c r="V3999" s="12">
        <f>C3999+2</f>
        <v>41030</v>
      </c>
      <c r="W3999">
        <f>IF(D3999=' Pivot Tables'!$A$4,1,0)</f>
        <v>0</v>
      </c>
      <c r="X3999">
        <f>IF(AND(LEFT(D3999,4)+1=LEFT(' Pivot Tables'!$A$4,4)+0,RIGHT(LEFT(D3999,7),2)=RIGHT(LEFT(' Pivot Tables'!$A$4,7),2)),1,0)</f>
        <v>0</v>
      </c>
      <c r="Y3999" s="6">
        <f>1/COUNTIF(Таблица1[Order ID],Таблица1[[#This Row],[Order ID]])</f>
        <v>1</v>
      </c>
      <c r="Z3999" s="9">
        <f>1/COUNTIFS(Таблица1[Customer Name],Таблица1[[#This Row],[Customer Name]],Таблица1[Order-Year-Month],Таблица1[[#This Row],[Order-Year-Month]])</f>
        <v>1</v>
      </c>
    </row>
    <row r="4000" spans="1:26" x14ac:dyDescent="0.2">
      <c r="A4000" s="6">
        <v>3468</v>
      </c>
      <c r="B4000" s="7">
        <v>24679</v>
      </c>
      <c r="C4000" s="8">
        <f>DATE(2012,12,31)-604</f>
        <v>40670</v>
      </c>
      <c r="D4000" s="8" t="str">
        <f t="shared" si="75"/>
        <v>2011-05 (май 2011)</v>
      </c>
      <c r="E4000" s="9" t="s">
        <v>45</v>
      </c>
      <c r="F4000" s="7">
        <v>7</v>
      </c>
      <c r="G4000" s="7">
        <v>33.99</v>
      </c>
      <c r="H4000" s="7">
        <v>0.09</v>
      </c>
      <c r="I4000" s="9" t="s">
        <v>22</v>
      </c>
      <c r="J4000" s="10">
        <v>-25.86</v>
      </c>
      <c r="K4000" s="11">
        <v>4.7699999999999996</v>
      </c>
      <c r="L4000" s="11">
        <v>2.39</v>
      </c>
      <c r="M4000" s="9" t="s">
        <v>1137</v>
      </c>
      <c r="N4000" s="6" t="s">
        <v>1123</v>
      </c>
      <c r="O4000" s="6" t="s">
        <v>1123</v>
      </c>
      <c r="P4000" s="9" t="s">
        <v>41</v>
      </c>
      <c r="Q4000" s="9" t="s">
        <v>42</v>
      </c>
      <c r="R4000" s="9" t="s">
        <v>70</v>
      </c>
      <c r="S4000" s="7" t="s">
        <v>732</v>
      </c>
      <c r="T4000" s="9" t="s">
        <v>52</v>
      </c>
      <c r="U4000" s="7">
        <v>0.72</v>
      </c>
      <c r="V4000" s="12">
        <f>C4000+1</f>
        <v>40671</v>
      </c>
      <c r="W4000">
        <f>IF(D4000=' Pivot Tables'!$A$4,1,0)</f>
        <v>0</v>
      </c>
      <c r="X4000">
        <f>IF(AND(LEFT(D4000,4)+1=LEFT(' Pivot Tables'!$A$4,4)+0,RIGHT(LEFT(D4000,7),2)=RIGHT(LEFT(' Pivot Tables'!$A$4,7),2)),1,0)</f>
        <v>0</v>
      </c>
      <c r="Y4000" s="6">
        <f>1/COUNTIF(Таблица1[Order ID],Таблица1[[#This Row],[Order ID]])</f>
        <v>1</v>
      </c>
      <c r="Z4000" s="9">
        <f>1/COUNTIFS(Таблица1[Customer Name],Таблица1[[#This Row],[Customer Name]],Таблица1[Order-Year-Month],Таблица1[[#This Row],[Order-Year-Month]])</f>
        <v>1</v>
      </c>
    </row>
    <row r="4001" spans="1:26" x14ac:dyDescent="0.2">
      <c r="A4001" s="6">
        <v>3520</v>
      </c>
      <c r="B4001" s="7">
        <v>25062</v>
      </c>
      <c r="C4001" s="8">
        <f>DATE(2012,12,31)-793</f>
        <v>40481</v>
      </c>
      <c r="D4001" s="8" t="str">
        <f t="shared" si="75"/>
        <v>2010-10 (октябрь 2010)</v>
      </c>
      <c r="E4001" s="9" t="s">
        <v>78</v>
      </c>
      <c r="F4001" s="7">
        <v>5</v>
      </c>
      <c r="G4001" s="7">
        <v>78.790000000000006</v>
      </c>
      <c r="H4001" s="7">
        <v>0.03</v>
      </c>
      <c r="I4001" s="9" t="s">
        <v>22</v>
      </c>
      <c r="J4001" s="10">
        <v>-21.29</v>
      </c>
      <c r="K4001" s="11">
        <v>14.42</v>
      </c>
      <c r="L4001" s="11">
        <v>6.75</v>
      </c>
      <c r="M4001" s="9" t="s">
        <v>1728</v>
      </c>
      <c r="N4001" s="6" t="s">
        <v>1123</v>
      </c>
      <c r="O4001" s="6" t="s">
        <v>1123</v>
      </c>
      <c r="P4001" s="9" t="s">
        <v>33</v>
      </c>
      <c r="Q4001" s="9" t="s">
        <v>26</v>
      </c>
      <c r="R4001" s="9" t="s">
        <v>34</v>
      </c>
      <c r="S4001" s="7" t="s">
        <v>1036</v>
      </c>
      <c r="T4001" s="9" t="s">
        <v>48</v>
      </c>
      <c r="U4001" s="7">
        <v>0.52</v>
      </c>
      <c r="V4001" s="12">
        <f>C4001+2</f>
        <v>40483</v>
      </c>
      <c r="W4001">
        <f>IF(D4001=' Pivot Tables'!$A$4,1,0)</f>
        <v>0</v>
      </c>
      <c r="X4001">
        <f>IF(AND(LEFT(D4001,4)+1=LEFT(' Pivot Tables'!$A$4,4)+0,RIGHT(LEFT(D4001,7),2)=RIGHT(LEFT(' Pivot Tables'!$A$4,7),2)),1,0)</f>
        <v>0</v>
      </c>
      <c r="Y4001" s="6">
        <f>1/COUNTIF(Таблица1[Order ID],Таблица1[[#This Row],[Order ID]])</f>
        <v>0.5</v>
      </c>
      <c r="Z4001" s="9">
        <f>1/COUNTIFS(Таблица1[Customer Name],Таблица1[[#This Row],[Customer Name]],Таблица1[Order-Year-Month],Таблица1[[#This Row],[Order-Year-Month]])</f>
        <v>0.33333333333333331</v>
      </c>
    </row>
    <row r="4002" spans="1:26" x14ac:dyDescent="0.2">
      <c r="A4002" s="6">
        <v>3521</v>
      </c>
      <c r="B4002" s="7">
        <v>25062</v>
      </c>
      <c r="C4002" s="8">
        <f>DATE(2012,12,31)-793</f>
        <v>40481</v>
      </c>
      <c r="D4002" s="8" t="str">
        <f t="shared" si="75"/>
        <v>2010-10 (октябрь 2010)</v>
      </c>
      <c r="E4002" s="9" t="s">
        <v>78</v>
      </c>
      <c r="F4002" s="7">
        <v>9</v>
      </c>
      <c r="G4002" s="7">
        <v>3928.25</v>
      </c>
      <c r="H4002" s="7">
        <v>0.04</v>
      </c>
      <c r="I4002" s="9" t="s">
        <v>22</v>
      </c>
      <c r="J4002" s="10">
        <v>1343.2465</v>
      </c>
      <c r="K4002" s="11">
        <v>420.98</v>
      </c>
      <c r="L4002" s="11">
        <v>19.989999999999998</v>
      </c>
      <c r="M4002" s="9" t="s">
        <v>1728</v>
      </c>
      <c r="N4002" s="6" t="s">
        <v>1123</v>
      </c>
      <c r="O4002" s="6" t="s">
        <v>1123</v>
      </c>
      <c r="P4002" s="9" t="s">
        <v>33</v>
      </c>
      <c r="Q4002" s="9" t="s">
        <v>26</v>
      </c>
      <c r="R4002" s="9" t="s">
        <v>37</v>
      </c>
      <c r="S4002" s="7" t="s">
        <v>607</v>
      </c>
      <c r="T4002" s="9" t="s">
        <v>39</v>
      </c>
      <c r="U4002" s="7">
        <v>0.35</v>
      </c>
      <c r="V4002" s="12">
        <f>C4002+2</f>
        <v>40483</v>
      </c>
      <c r="W4002">
        <f>IF(D4002=' Pivot Tables'!$A$4,1,0)</f>
        <v>0</v>
      </c>
      <c r="X4002">
        <f>IF(AND(LEFT(D4002,4)+1=LEFT(' Pivot Tables'!$A$4,4)+0,RIGHT(LEFT(D4002,7),2)=RIGHT(LEFT(' Pivot Tables'!$A$4,7),2)),1,0)</f>
        <v>0</v>
      </c>
      <c r="Y4002" s="6">
        <f>1/COUNTIF(Таблица1[Order ID],Таблица1[[#This Row],[Order ID]])</f>
        <v>0.5</v>
      </c>
      <c r="Z4002" s="9">
        <f>1/COUNTIFS(Таблица1[Customer Name],Таблица1[[#This Row],[Customer Name]],Таблица1[Order-Year-Month],Таблица1[[#This Row],[Order-Year-Month]])</f>
        <v>0.33333333333333331</v>
      </c>
    </row>
    <row r="4003" spans="1:26" x14ac:dyDescent="0.2">
      <c r="A4003" s="6">
        <v>3532</v>
      </c>
      <c r="B4003" s="7">
        <v>25152</v>
      </c>
      <c r="C4003" s="8">
        <f>DATE(2012,12,31)-77</f>
        <v>41197</v>
      </c>
      <c r="D4003" s="8" t="str">
        <f t="shared" si="75"/>
        <v>2012-10 (октябрь 2012)</v>
      </c>
      <c r="E4003" s="9" t="s">
        <v>78</v>
      </c>
      <c r="F4003" s="7">
        <v>29</v>
      </c>
      <c r="G4003" s="7">
        <v>195.21</v>
      </c>
      <c r="H4003" s="7">
        <v>7.0000000000000007E-2</v>
      </c>
      <c r="I4003" s="9" t="s">
        <v>22</v>
      </c>
      <c r="J4003" s="10">
        <v>16.399999999999999</v>
      </c>
      <c r="K4003" s="11">
        <v>7.08</v>
      </c>
      <c r="L4003" s="11">
        <v>2.35</v>
      </c>
      <c r="M4003" s="9" t="s">
        <v>1742</v>
      </c>
      <c r="N4003" s="6" t="s">
        <v>1123</v>
      </c>
      <c r="O4003" s="6" t="s">
        <v>1123</v>
      </c>
      <c r="P4003" s="9" t="s">
        <v>41</v>
      </c>
      <c r="Q4003" s="9" t="s">
        <v>26</v>
      </c>
      <c r="R4003" s="9" t="s">
        <v>95</v>
      </c>
      <c r="S4003" s="7" t="s">
        <v>286</v>
      </c>
      <c r="T4003" s="9" t="s">
        <v>68</v>
      </c>
      <c r="U4003" s="7">
        <v>0.47</v>
      </c>
      <c r="V4003" s="12">
        <f>C4003+2</f>
        <v>41199</v>
      </c>
      <c r="W4003">
        <f>IF(D4003=' Pivot Tables'!$A$4,1,0)</f>
        <v>0</v>
      </c>
      <c r="X4003">
        <f>IF(AND(LEFT(D4003,4)+1=LEFT(' Pivot Tables'!$A$4,4)+0,RIGHT(LEFT(D4003,7),2)=RIGHT(LEFT(' Pivot Tables'!$A$4,7),2)),1,0)</f>
        <v>0</v>
      </c>
      <c r="Y4003" s="6">
        <f>1/COUNTIF(Таблица1[Order ID],Таблица1[[#This Row],[Order ID]])</f>
        <v>1</v>
      </c>
      <c r="Z4003" s="9">
        <f>1/COUNTIFS(Таблица1[Customer Name],Таблица1[[#This Row],[Customer Name]],Таблица1[Order-Year-Month],Таблица1[[#This Row],[Order-Year-Month]])</f>
        <v>1</v>
      </c>
    </row>
    <row r="4004" spans="1:26" x14ac:dyDescent="0.2">
      <c r="A4004" s="6">
        <v>3576</v>
      </c>
      <c r="B4004" s="7">
        <v>25478</v>
      </c>
      <c r="C4004" s="8">
        <f>DATE(2012,12,31)-251</f>
        <v>41023</v>
      </c>
      <c r="D4004" s="8" t="str">
        <f t="shared" si="75"/>
        <v>2012-04 (апрель 2012)</v>
      </c>
      <c r="E4004" s="9" t="s">
        <v>78</v>
      </c>
      <c r="F4004" s="7">
        <v>47</v>
      </c>
      <c r="G4004" s="7">
        <v>4725.0905000000002</v>
      </c>
      <c r="H4004" s="7">
        <v>0.01</v>
      </c>
      <c r="I4004" s="9" t="s">
        <v>22</v>
      </c>
      <c r="J4004" s="10">
        <v>1578.6989999999998</v>
      </c>
      <c r="K4004" s="11">
        <v>115.99</v>
      </c>
      <c r="L4004" s="11">
        <v>2.5</v>
      </c>
      <c r="M4004" s="9" t="s">
        <v>1723</v>
      </c>
      <c r="N4004" s="6" t="s">
        <v>1123</v>
      </c>
      <c r="O4004" s="6" t="s">
        <v>1123</v>
      </c>
      <c r="P4004" s="9" t="s">
        <v>33</v>
      </c>
      <c r="Q4004" s="9" t="s">
        <v>42</v>
      </c>
      <c r="R4004" s="9" t="s">
        <v>43</v>
      </c>
      <c r="S4004" s="7" t="s">
        <v>1395</v>
      </c>
      <c r="T4004" s="9" t="s">
        <v>39</v>
      </c>
      <c r="U4004" s="7">
        <v>0.56999999999999995</v>
      </c>
      <c r="V4004" s="12">
        <f>C4004+0</f>
        <v>41023</v>
      </c>
      <c r="W4004">
        <f>IF(D4004=' Pivot Tables'!$A$4,1,0)</f>
        <v>0</v>
      </c>
      <c r="X4004">
        <f>IF(AND(LEFT(D4004,4)+1=LEFT(' Pivot Tables'!$A$4,4)+0,RIGHT(LEFT(D4004,7),2)=RIGHT(LEFT(' Pivot Tables'!$A$4,7),2)),1,0)</f>
        <v>0</v>
      </c>
      <c r="Y4004" s="6">
        <f>1/COUNTIF(Таблица1[Order ID],Таблица1[[#This Row],[Order ID]])</f>
        <v>0.5</v>
      </c>
      <c r="Z4004" s="9">
        <f>1/COUNTIFS(Таблица1[Customer Name],Таблица1[[#This Row],[Customer Name]],Таблица1[Order-Year-Month],Таблица1[[#This Row],[Order-Year-Month]])</f>
        <v>0.5</v>
      </c>
    </row>
    <row r="4005" spans="1:26" x14ac:dyDescent="0.2">
      <c r="A4005" s="6">
        <v>3577</v>
      </c>
      <c r="B4005" s="7">
        <v>25478</v>
      </c>
      <c r="C4005" s="8">
        <f>DATE(2012,12,31)-251</f>
        <v>41023</v>
      </c>
      <c r="D4005" s="8" t="str">
        <f t="shared" si="75"/>
        <v>2012-04 (апрель 2012)</v>
      </c>
      <c r="E4005" s="9" t="s">
        <v>78</v>
      </c>
      <c r="F4005" s="7">
        <v>50</v>
      </c>
      <c r="G4005" s="7">
        <v>286.76</v>
      </c>
      <c r="H4005" s="7">
        <v>0.09</v>
      </c>
      <c r="I4005" s="9" t="s">
        <v>22</v>
      </c>
      <c r="J4005" s="10">
        <v>77.2</v>
      </c>
      <c r="K4005" s="11">
        <v>6.08</v>
      </c>
      <c r="L4005" s="11">
        <v>1.82</v>
      </c>
      <c r="M4005" s="9" t="s">
        <v>1723</v>
      </c>
      <c r="N4005" s="6" t="s">
        <v>1123</v>
      </c>
      <c r="O4005" s="6" t="s">
        <v>1123</v>
      </c>
      <c r="P4005" s="9" t="s">
        <v>33</v>
      </c>
      <c r="Q4005" s="9" t="s">
        <v>26</v>
      </c>
      <c r="R4005" s="9" t="s">
        <v>66</v>
      </c>
      <c r="S4005" s="7" t="s">
        <v>1331</v>
      </c>
      <c r="T4005" s="9" t="s">
        <v>68</v>
      </c>
      <c r="U4005" s="7">
        <v>0.35</v>
      </c>
      <c r="V4005" s="12">
        <f>C4005+2</f>
        <v>41025</v>
      </c>
      <c r="W4005">
        <f>IF(D4005=' Pivot Tables'!$A$4,1,0)</f>
        <v>0</v>
      </c>
      <c r="X4005">
        <f>IF(AND(LEFT(D4005,4)+1=LEFT(' Pivot Tables'!$A$4,4)+0,RIGHT(LEFT(D4005,7),2)=RIGHT(LEFT(' Pivot Tables'!$A$4,7),2)),1,0)</f>
        <v>0</v>
      </c>
      <c r="Y4005" s="6">
        <f>1/COUNTIF(Таблица1[Order ID],Таблица1[[#This Row],[Order ID]])</f>
        <v>0.5</v>
      </c>
      <c r="Z4005" s="9">
        <f>1/COUNTIFS(Таблица1[Customer Name],Таблица1[[#This Row],[Customer Name]],Таблица1[Order-Year-Month],Таблица1[[#This Row],[Order-Year-Month]])</f>
        <v>0.5</v>
      </c>
    </row>
    <row r="4006" spans="1:26" x14ac:dyDescent="0.2">
      <c r="A4006" s="6">
        <v>3708</v>
      </c>
      <c r="B4006" s="7">
        <v>26469</v>
      </c>
      <c r="C4006" s="8">
        <f>DATE(2012,12,31)-154</f>
        <v>41120</v>
      </c>
      <c r="D4006" s="8" t="str">
        <f t="shared" si="75"/>
        <v>2012-07 (июль 2012)</v>
      </c>
      <c r="E4006" s="9" t="s">
        <v>63</v>
      </c>
      <c r="F4006" s="7">
        <v>4</v>
      </c>
      <c r="G4006" s="7">
        <v>7406.49</v>
      </c>
      <c r="H4006" s="7">
        <v>0.03</v>
      </c>
      <c r="I4006" s="9" t="s">
        <v>22</v>
      </c>
      <c r="J4006" s="10">
        <v>701.21600000000001</v>
      </c>
      <c r="K4006" s="11">
        <v>1889.99</v>
      </c>
      <c r="L4006" s="11">
        <v>19.989999999999998</v>
      </c>
      <c r="M4006" s="9" t="s">
        <v>1721</v>
      </c>
      <c r="N4006" s="6" t="s">
        <v>1123</v>
      </c>
      <c r="O4006" s="6" t="s">
        <v>1123</v>
      </c>
      <c r="P4006" s="9" t="s">
        <v>60</v>
      </c>
      <c r="Q4006" s="9" t="s">
        <v>26</v>
      </c>
      <c r="R4006" s="9" t="s">
        <v>37</v>
      </c>
      <c r="S4006" s="7" t="s">
        <v>1756</v>
      </c>
      <c r="T4006" s="9" t="s">
        <v>39</v>
      </c>
      <c r="U4006" s="7">
        <v>0.36</v>
      </c>
      <c r="V4006" s="12">
        <f>C4006+2</f>
        <v>41122</v>
      </c>
      <c r="W4006">
        <f>IF(D4006=' Pivot Tables'!$A$4,1,0)</f>
        <v>0</v>
      </c>
      <c r="X4006">
        <f>IF(AND(LEFT(D4006,4)+1=LEFT(' Pivot Tables'!$A$4,4)+0,RIGHT(LEFT(D4006,7),2)=RIGHT(LEFT(' Pivot Tables'!$A$4,7),2)),1,0)</f>
        <v>0</v>
      </c>
      <c r="Y4006" s="6">
        <f>1/COUNTIF(Таблица1[Order ID],Таблица1[[#This Row],[Order ID]])</f>
        <v>0.5</v>
      </c>
      <c r="Z4006" s="9">
        <f>1/COUNTIFS(Таблица1[Customer Name],Таблица1[[#This Row],[Customer Name]],Таблица1[Order-Year-Month],Таблица1[[#This Row],[Order-Year-Month]])</f>
        <v>0.5</v>
      </c>
    </row>
    <row r="4007" spans="1:26" x14ac:dyDescent="0.2">
      <c r="A4007" s="6">
        <v>3709</v>
      </c>
      <c r="B4007" s="7">
        <v>26469</v>
      </c>
      <c r="C4007" s="8">
        <f>DATE(2012,12,31)-154</f>
        <v>41120</v>
      </c>
      <c r="D4007" s="8" t="str">
        <f t="shared" si="75"/>
        <v>2012-07 (июль 2012)</v>
      </c>
      <c r="E4007" s="9" t="s">
        <v>63</v>
      </c>
      <c r="F4007" s="7">
        <v>50</v>
      </c>
      <c r="G4007" s="7">
        <v>350.01</v>
      </c>
      <c r="H4007" s="7">
        <v>0.04</v>
      </c>
      <c r="I4007" s="9" t="s">
        <v>22</v>
      </c>
      <c r="J4007" s="10">
        <v>-133.43</v>
      </c>
      <c r="K4007" s="11">
        <v>6.68</v>
      </c>
      <c r="L4007" s="11">
        <v>6.93</v>
      </c>
      <c r="M4007" s="9" t="s">
        <v>1721</v>
      </c>
      <c r="N4007" s="6" t="s">
        <v>1123</v>
      </c>
      <c r="O4007" s="6" t="s">
        <v>1123</v>
      </c>
      <c r="P4007" s="9" t="s">
        <v>60</v>
      </c>
      <c r="Q4007" s="9" t="s">
        <v>26</v>
      </c>
      <c r="R4007" s="9" t="s">
        <v>61</v>
      </c>
      <c r="S4007" s="7" t="s">
        <v>385</v>
      </c>
      <c r="T4007" s="9" t="s">
        <v>39</v>
      </c>
      <c r="U4007" s="7">
        <v>0.37</v>
      </c>
      <c r="V4007" s="12">
        <f>C4007+1</f>
        <v>41121</v>
      </c>
      <c r="W4007">
        <f>IF(D4007=' Pivot Tables'!$A$4,1,0)</f>
        <v>0</v>
      </c>
      <c r="X4007">
        <f>IF(AND(LEFT(D4007,4)+1=LEFT(' Pivot Tables'!$A$4,4)+0,RIGHT(LEFT(D4007,7),2)=RIGHT(LEFT(' Pivot Tables'!$A$4,7),2)),1,0)</f>
        <v>0</v>
      </c>
      <c r="Y4007" s="6">
        <f>1/COUNTIF(Таблица1[Order ID],Таблица1[[#This Row],[Order ID]])</f>
        <v>0.5</v>
      </c>
      <c r="Z4007" s="9">
        <f>1/COUNTIFS(Таблица1[Customer Name],Таблица1[[#This Row],[Customer Name]],Таблица1[Order-Year-Month],Таблица1[[#This Row],[Order-Year-Month]])</f>
        <v>0.5</v>
      </c>
    </row>
    <row r="4008" spans="1:26" x14ac:dyDescent="0.2">
      <c r="A4008" s="6">
        <v>3710</v>
      </c>
      <c r="B4008" s="7">
        <v>26470</v>
      </c>
      <c r="C4008" s="8">
        <f>DATE(2012,12,31)-1381</f>
        <v>39893</v>
      </c>
      <c r="D4008" s="8" t="str">
        <f t="shared" si="75"/>
        <v>2009-03 (март 2009)</v>
      </c>
      <c r="E4008" s="9" t="s">
        <v>30</v>
      </c>
      <c r="F4008" s="7">
        <v>41</v>
      </c>
      <c r="G4008" s="7">
        <v>18081.759999999998</v>
      </c>
      <c r="H4008" s="7">
        <v>0.03</v>
      </c>
      <c r="I4008" s="9" t="s">
        <v>22</v>
      </c>
      <c r="J4008" s="10">
        <v>8822.2775000000001</v>
      </c>
      <c r="K4008" s="11">
        <v>420.98</v>
      </c>
      <c r="L4008" s="11">
        <v>19.989999999999998</v>
      </c>
      <c r="M4008" s="9" t="s">
        <v>1724</v>
      </c>
      <c r="N4008" s="6" t="s">
        <v>1123</v>
      </c>
      <c r="O4008" s="6" t="s">
        <v>1123</v>
      </c>
      <c r="P4008" s="9" t="s">
        <v>60</v>
      </c>
      <c r="Q4008" s="9" t="s">
        <v>26</v>
      </c>
      <c r="R4008" s="9" t="s">
        <v>37</v>
      </c>
      <c r="S4008" s="7" t="s">
        <v>607</v>
      </c>
      <c r="T4008" s="9" t="s">
        <v>39</v>
      </c>
      <c r="U4008" s="7">
        <v>0.35</v>
      </c>
      <c r="V4008" s="12">
        <f>C4008+1</f>
        <v>39894</v>
      </c>
      <c r="W4008">
        <f>IF(D4008=' Pivot Tables'!$A$4,1,0)</f>
        <v>0</v>
      </c>
      <c r="X4008">
        <f>IF(AND(LEFT(D4008,4)+1=LEFT(' Pivot Tables'!$A$4,4)+0,RIGHT(LEFT(D4008,7),2)=RIGHT(LEFT(' Pivot Tables'!$A$4,7),2)),1,0)</f>
        <v>0</v>
      </c>
      <c r="Y4008" s="6">
        <f>1/COUNTIF(Таблица1[Order ID],Таблица1[[#This Row],[Order ID]])</f>
        <v>1</v>
      </c>
      <c r="Z4008" s="9">
        <f>1/COUNTIFS(Таблица1[Customer Name],Таблица1[[#This Row],[Customer Name]],Таблица1[Order-Year-Month],Таблица1[[#This Row],[Order-Year-Month]])</f>
        <v>1</v>
      </c>
    </row>
    <row r="4009" spans="1:26" x14ac:dyDescent="0.2">
      <c r="A4009" s="6">
        <v>3718</v>
      </c>
      <c r="B4009" s="7">
        <v>26565</v>
      </c>
      <c r="C4009" s="8">
        <f>DATE(2012,12,31)-1167</f>
        <v>40107</v>
      </c>
      <c r="D4009" s="8" t="str">
        <f t="shared" si="75"/>
        <v>2009-10 (октябрь 2009)</v>
      </c>
      <c r="E4009" s="9" t="s">
        <v>63</v>
      </c>
      <c r="F4009" s="7">
        <v>49</v>
      </c>
      <c r="G4009" s="7">
        <v>21337.27</v>
      </c>
      <c r="H4009" s="7">
        <v>0.02</v>
      </c>
      <c r="I4009" s="9" t="s">
        <v>22</v>
      </c>
      <c r="J4009" s="10">
        <v>7606</v>
      </c>
      <c r="K4009" s="11">
        <v>419.19</v>
      </c>
      <c r="L4009" s="11">
        <v>19.989999999999998</v>
      </c>
      <c r="M4009" s="9" t="s">
        <v>1757</v>
      </c>
      <c r="N4009" s="6" t="s">
        <v>1123</v>
      </c>
      <c r="O4009" s="6" t="s">
        <v>1123</v>
      </c>
      <c r="P4009" s="9" t="s">
        <v>41</v>
      </c>
      <c r="Q4009" s="9" t="s">
        <v>26</v>
      </c>
      <c r="R4009" s="9" t="s">
        <v>27</v>
      </c>
      <c r="S4009" s="7" t="s">
        <v>1655</v>
      </c>
      <c r="T4009" s="9" t="s">
        <v>39</v>
      </c>
      <c r="U4009" s="7">
        <v>0.57999999999999996</v>
      </c>
      <c r="V4009" s="12">
        <f>C4009+1</f>
        <v>40108</v>
      </c>
      <c r="W4009">
        <f>IF(D4009=' Pivot Tables'!$A$4,1,0)</f>
        <v>0</v>
      </c>
      <c r="X4009">
        <f>IF(AND(LEFT(D4009,4)+1=LEFT(' Pivot Tables'!$A$4,4)+0,RIGHT(LEFT(D4009,7),2)=RIGHT(LEFT(' Pivot Tables'!$A$4,7),2)),1,0)</f>
        <v>0</v>
      </c>
      <c r="Y4009" s="6">
        <f>1/COUNTIF(Таблица1[Order ID],Таблица1[[#This Row],[Order ID]])</f>
        <v>1</v>
      </c>
      <c r="Z4009" s="9">
        <f>1/COUNTIFS(Таблица1[Customer Name],Таблица1[[#This Row],[Customer Name]],Таблица1[Order-Year-Month],Таблица1[[#This Row],[Order-Year-Month]])</f>
        <v>1</v>
      </c>
    </row>
    <row r="4010" spans="1:26" x14ac:dyDescent="0.2">
      <c r="A4010" s="6">
        <v>3758</v>
      </c>
      <c r="B4010" s="7">
        <v>26852</v>
      </c>
      <c r="C4010" s="8">
        <f>DATE(2012,12,31)-1031</f>
        <v>40243</v>
      </c>
      <c r="D4010" s="8" t="str">
        <f t="shared" si="75"/>
        <v>2010-03 (март 2010)</v>
      </c>
      <c r="E4010" s="9" t="s">
        <v>78</v>
      </c>
      <c r="F4010" s="7">
        <v>2</v>
      </c>
      <c r="G4010" s="7">
        <v>15.81</v>
      </c>
      <c r="H4010" s="7">
        <v>0.06</v>
      </c>
      <c r="I4010" s="9" t="s">
        <v>22</v>
      </c>
      <c r="J4010" s="10">
        <v>-9.8800000000000008</v>
      </c>
      <c r="K4010" s="11">
        <v>4.9800000000000004</v>
      </c>
      <c r="L4010" s="11">
        <v>6.07</v>
      </c>
      <c r="M4010" s="9" t="s">
        <v>1723</v>
      </c>
      <c r="N4010" s="6" t="s">
        <v>1123</v>
      </c>
      <c r="O4010" s="6" t="s">
        <v>1123</v>
      </c>
      <c r="P4010" s="9" t="s">
        <v>33</v>
      </c>
      <c r="Q4010" s="9" t="s">
        <v>26</v>
      </c>
      <c r="R4010" s="9" t="s">
        <v>61</v>
      </c>
      <c r="S4010" s="7" t="s">
        <v>352</v>
      </c>
      <c r="T4010" s="9" t="s">
        <v>39</v>
      </c>
      <c r="U4010" s="7">
        <v>0.36</v>
      </c>
      <c r="V4010" s="12">
        <f>C4010+2</f>
        <v>40245</v>
      </c>
      <c r="W4010">
        <f>IF(D4010=' Pivot Tables'!$A$4,1,0)</f>
        <v>0</v>
      </c>
      <c r="X4010">
        <f>IF(AND(LEFT(D4010,4)+1=LEFT(' Pivot Tables'!$A$4,4)+0,RIGHT(LEFT(D4010,7),2)=RIGHT(LEFT(' Pivot Tables'!$A$4,7),2)),1,0)</f>
        <v>0</v>
      </c>
      <c r="Y4010" s="6">
        <f>1/COUNTIF(Таблица1[Order ID],Таблица1[[#This Row],[Order ID]])</f>
        <v>1</v>
      </c>
      <c r="Z4010" s="9">
        <f>1/COUNTIFS(Таблица1[Customer Name],Таблица1[[#This Row],[Customer Name]],Таблица1[Order-Year-Month],Таблица1[[#This Row],[Order-Year-Month]])</f>
        <v>1</v>
      </c>
    </row>
    <row r="4011" spans="1:26" x14ac:dyDescent="0.2">
      <c r="A4011" s="6">
        <v>3829</v>
      </c>
      <c r="B4011" s="7">
        <v>27299</v>
      </c>
      <c r="C4011" s="8">
        <f>DATE(2012,12,31)-148</f>
        <v>41126</v>
      </c>
      <c r="D4011" s="8" t="str">
        <f t="shared" si="75"/>
        <v>2012-08 (август 2012)</v>
      </c>
      <c r="E4011" s="9" t="s">
        <v>78</v>
      </c>
      <c r="F4011" s="7">
        <v>41</v>
      </c>
      <c r="G4011" s="7">
        <v>802.16</v>
      </c>
      <c r="H4011" s="7">
        <v>0.1</v>
      </c>
      <c r="I4011" s="9" t="s">
        <v>22</v>
      </c>
      <c r="J4011" s="10">
        <v>-293.45</v>
      </c>
      <c r="K4011" s="11">
        <v>19.940000000000001</v>
      </c>
      <c r="L4011" s="11">
        <v>14.87</v>
      </c>
      <c r="M4011" s="9" t="s">
        <v>1568</v>
      </c>
      <c r="N4011" s="6" t="s">
        <v>1123</v>
      </c>
      <c r="O4011" s="6" t="s">
        <v>1123</v>
      </c>
      <c r="P4011" s="9" t="s">
        <v>41</v>
      </c>
      <c r="Q4011" s="9" t="s">
        <v>49</v>
      </c>
      <c r="R4011" s="9" t="s">
        <v>50</v>
      </c>
      <c r="S4011" s="7" t="s">
        <v>375</v>
      </c>
      <c r="T4011" s="9" t="s">
        <v>29</v>
      </c>
      <c r="U4011" s="7">
        <v>0.56999999999999995</v>
      </c>
      <c r="V4011" s="12">
        <f>C4011+2</f>
        <v>41128</v>
      </c>
      <c r="W4011">
        <f>IF(D4011=' Pivot Tables'!$A$4,1,0)</f>
        <v>0</v>
      </c>
      <c r="X4011">
        <f>IF(AND(LEFT(D4011,4)+1=LEFT(' Pivot Tables'!$A$4,4)+0,RIGHT(LEFT(D4011,7),2)=RIGHT(LEFT(' Pivot Tables'!$A$4,7),2)),1,0)</f>
        <v>0</v>
      </c>
      <c r="Y4011" s="6">
        <f>1/COUNTIF(Таблица1[Order ID],Таблица1[[#This Row],[Order ID]])</f>
        <v>1</v>
      </c>
      <c r="Z4011" s="9">
        <f>1/COUNTIFS(Таблица1[Customer Name],Таблица1[[#This Row],[Customer Name]],Таблица1[Order-Year-Month],Таблица1[[#This Row],[Order-Year-Month]])</f>
        <v>1</v>
      </c>
    </row>
    <row r="4012" spans="1:26" x14ac:dyDescent="0.2">
      <c r="A4012" s="6">
        <v>3830</v>
      </c>
      <c r="B4012" s="7">
        <v>27300</v>
      </c>
      <c r="C4012" s="8">
        <f>DATE(2012,12,31)-92</f>
        <v>41182</v>
      </c>
      <c r="D4012" s="8" t="str">
        <f t="shared" si="75"/>
        <v>2012-09 (сентябрь 2012)</v>
      </c>
      <c r="E4012" s="9" t="s">
        <v>45</v>
      </c>
      <c r="F4012" s="7">
        <v>50</v>
      </c>
      <c r="G4012" s="7">
        <v>3333.1</v>
      </c>
      <c r="H4012" s="7">
        <v>0.1</v>
      </c>
      <c r="I4012" s="9" t="s">
        <v>22</v>
      </c>
      <c r="J4012" s="10">
        <v>-85.03</v>
      </c>
      <c r="K4012" s="11">
        <v>73.98</v>
      </c>
      <c r="L4012" s="11">
        <v>4</v>
      </c>
      <c r="M4012" s="9" t="s">
        <v>1758</v>
      </c>
      <c r="N4012" s="6" t="s">
        <v>1123</v>
      </c>
      <c r="O4012" s="6" t="s">
        <v>1123</v>
      </c>
      <c r="P4012" s="9" t="s">
        <v>33</v>
      </c>
      <c r="Q4012" s="9" t="s">
        <v>42</v>
      </c>
      <c r="R4012" s="9" t="s">
        <v>70</v>
      </c>
      <c r="S4012" s="7" t="s">
        <v>822</v>
      </c>
      <c r="T4012" s="9" t="s">
        <v>39</v>
      </c>
      <c r="U4012" s="7">
        <v>0.79</v>
      </c>
      <c r="V4012" s="12">
        <f>C4012+1</f>
        <v>41183</v>
      </c>
      <c r="W4012">
        <f>IF(D4012=' Pivot Tables'!$A$4,1,0)</f>
        <v>0</v>
      </c>
      <c r="X4012">
        <f>IF(AND(LEFT(D4012,4)+1=LEFT(' Pivot Tables'!$A$4,4)+0,RIGHT(LEFT(D4012,7),2)=RIGHT(LEFT(' Pivot Tables'!$A$4,7),2)),1,0)</f>
        <v>0</v>
      </c>
      <c r="Y4012" s="6">
        <f>1/COUNTIF(Таблица1[Order ID],Таблица1[[#This Row],[Order ID]])</f>
        <v>0.5</v>
      </c>
      <c r="Z4012" s="9">
        <f>1/COUNTIFS(Таблица1[Customer Name],Таблица1[[#This Row],[Customer Name]],Таблица1[Order-Year-Month],Таблица1[[#This Row],[Order-Year-Month]])</f>
        <v>0.5</v>
      </c>
    </row>
    <row r="4013" spans="1:26" x14ac:dyDescent="0.2">
      <c r="A4013" s="6">
        <v>3831</v>
      </c>
      <c r="B4013" s="7">
        <v>27300</v>
      </c>
      <c r="C4013" s="8">
        <f>DATE(2012,12,31)-92</f>
        <v>41182</v>
      </c>
      <c r="D4013" s="8" t="str">
        <f t="shared" si="75"/>
        <v>2012-09 (сентябрь 2012)</v>
      </c>
      <c r="E4013" s="9" t="s">
        <v>45</v>
      </c>
      <c r="F4013" s="7">
        <v>27</v>
      </c>
      <c r="G4013" s="7">
        <v>55.68</v>
      </c>
      <c r="H4013" s="7">
        <v>0.04</v>
      </c>
      <c r="I4013" s="9" t="s">
        <v>22</v>
      </c>
      <c r="J4013" s="10">
        <v>0.26</v>
      </c>
      <c r="K4013" s="11">
        <v>2.1</v>
      </c>
      <c r="L4013" s="11">
        <v>0.7</v>
      </c>
      <c r="M4013" s="9" t="s">
        <v>1758</v>
      </c>
      <c r="N4013" s="6" t="s">
        <v>1123</v>
      </c>
      <c r="O4013" s="6" t="s">
        <v>1123</v>
      </c>
      <c r="P4013" s="9" t="s">
        <v>33</v>
      </c>
      <c r="Q4013" s="9" t="s">
        <v>26</v>
      </c>
      <c r="R4013" s="9" t="s">
        <v>95</v>
      </c>
      <c r="S4013" s="7" t="s">
        <v>1703</v>
      </c>
      <c r="T4013" s="9" t="s">
        <v>68</v>
      </c>
      <c r="U4013" s="7">
        <v>0.56999999999999995</v>
      </c>
      <c r="V4013" s="12">
        <f>C4013+0</f>
        <v>41182</v>
      </c>
      <c r="W4013">
        <f>IF(D4013=' Pivot Tables'!$A$4,1,0)</f>
        <v>0</v>
      </c>
      <c r="X4013">
        <f>IF(AND(LEFT(D4013,4)+1=LEFT(' Pivot Tables'!$A$4,4)+0,RIGHT(LEFT(D4013,7),2)=RIGHT(LEFT(' Pivot Tables'!$A$4,7),2)),1,0)</f>
        <v>0</v>
      </c>
      <c r="Y4013" s="6">
        <f>1/COUNTIF(Таблица1[Order ID],Таблица1[[#This Row],[Order ID]])</f>
        <v>0.5</v>
      </c>
      <c r="Z4013" s="9">
        <f>1/COUNTIFS(Таблица1[Customer Name],Таблица1[[#This Row],[Customer Name]],Таблица1[Order-Year-Month],Таблица1[[#This Row],[Order-Year-Month]])</f>
        <v>0.5</v>
      </c>
    </row>
    <row r="4014" spans="1:26" x14ac:dyDescent="0.2">
      <c r="A4014" s="6">
        <v>3864</v>
      </c>
      <c r="B4014" s="7">
        <v>27557</v>
      </c>
      <c r="C4014" s="8">
        <f>DATE(2012,12,31)-327</f>
        <v>40947</v>
      </c>
      <c r="D4014" s="8" t="str">
        <f t="shared" si="75"/>
        <v>2012-02 (февраль 2012)</v>
      </c>
      <c r="E4014" s="9" t="s">
        <v>21</v>
      </c>
      <c r="F4014" s="7">
        <v>18</v>
      </c>
      <c r="G4014" s="7">
        <v>56.13</v>
      </c>
      <c r="H4014" s="7">
        <v>0.02</v>
      </c>
      <c r="I4014" s="9" t="s">
        <v>22</v>
      </c>
      <c r="J4014" s="10">
        <v>-58.47</v>
      </c>
      <c r="K4014" s="11">
        <v>2.88</v>
      </c>
      <c r="L4014" s="11">
        <v>5.33</v>
      </c>
      <c r="M4014" s="9" t="s">
        <v>1738</v>
      </c>
      <c r="N4014" s="6" t="s">
        <v>1123</v>
      </c>
      <c r="O4014" s="6" t="s">
        <v>1123</v>
      </c>
      <c r="P4014" s="9" t="s">
        <v>41</v>
      </c>
      <c r="Q4014" s="9" t="s">
        <v>26</v>
      </c>
      <c r="R4014" s="9" t="s">
        <v>88</v>
      </c>
      <c r="S4014" s="7" t="s">
        <v>1589</v>
      </c>
      <c r="T4014" s="9" t="s">
        <v>39</v>
      </c>
      <c r="U4014" s="7">
        <v>0.36</v>
      </c>
      <c r="V4014" s="12">
        <f>C4014+5</f>
        <v>40952</v>
      </c>
      <c r="W4014">
        <f>IF(D4014=' Pivot Tables'!$A$4,1,0)</f>
        <v>0</v>
      </c>
      <c r="X4014">
        <f>IF(AND(LEFT(D4014,4)+1=LEFT(' Pivot Tables'!$A$4,4)+0,RIGHT(LEFT(D4014,7),2)=RIGHT(LEFT(' Pivot Tables'!$A$4,7),2)),1,0)</f>
        <v>0</v>
      </c>
      <c r="Y4014" s="6">
        <f>1/COUNTIF(Таблица1[Order ID],Таблица1[[#This Row],[Order ID]])</f>
        <v>1</v>
      </c>
      <c r="Z4014" s="9">
        <f>1/COUNTIFS(Таблица1[Customer Name],Таблица1[[#This Row],[Customer Name]],Таблица1[Order-Year-Month],Таблица1[[#This Row],[Order-Year-Month]])</f>
        <v>1</v>
      </c>
    </row>
    <row r="4015" spans="1:26" x14ac:dyDescent="0.2">
      <c r="A4015" s="6">
        <v>3872</v>
      </c>
      <c r="B4015" s="7">
        <v>27654</v>
      </c>
      <c r="C4015" s="8">
        <f>DATE(2012,12,31)-829</f>
        <v>40445</v>
      </c>
      <c r="D4015" s="8" t="str">
        <f t="shared" si="75"/>
        <v>2010-09 (сентябрь 2010)</v>
      </c>
      <c r="E4015" s="9" t="s">
        <v>30</v>
      </c>
      <c r="F4015" s="7">
        <v>12</v>
      </c>
      <c r="G4015" s="7">
        <v>94.83</v>
      </c>
      <c r="H4015" s="7">
        <v>0.02</v>
      </c>
      <c r="I4015" s="9" t="s">
        <v>22</v>
      </c>
      <c r="J4015" s="10">
        <v>29.87</v>
      </c>
      <c r="K4015" s="11">
        <v>7.64</v>
      </c>
      <c r="L4015" s="11">
        <v>1.39</v>
      </c>
      <c r="M4015" s="9" t="s">
        <v>1754</v>
      </c>
      <c r="N4015" s="6" t="s">
        <v>1123</v>
      </c>
      <c r="O4015" s="6" t="s">
        <v>1123</v>
      </c>
      <c r="P4015" s="9" t="s">
        <v>60</v>
      </c>
      <c r="Q4015" s="9" t="s">
        <v>26</v>
      </c>
      <c r="R4015" s="9" t="s">
        <v>76</v>
      </c>
      <c r="S4015" s="7" t="s">
        <v>1150</v>
      </c>
      <c r="T4015" s="9" t="s">
        <v>39</v>
      </c>
      <c r="U4015" s="7">
        <v>0.36</v>
      </c>
      <c r="V4015" s="12">
        <f>C4015+2</f>
        <v>40447</v>
      </c>
      <c r="W4015">
        <f>IF(D4015=' Pivot Tables'!$A$4,1,0)</f>
        <v>0</v>
      </c>
      <c r="X4015">
        <f>IF(AND(LEFT(D4015,4)+1=LEFT(' Pivot Tables'!$A$4,4)+0,RIGHT(LEFT(D4015,7),2)=RIGHT(LEFT(' Pivot Tables'!$A$4,7),2)),1,0)</f>
        <v>0</v>
      </c>
      <c r="Y4015" s="6">
        <f>1/COUNTIF(Таблица1[Order ID],Таблица1[[#This Row],[Order ID]])</f>
        <v>1</v>
      </c>
      <c r="Z4015" s="9">
        <f>1/COUNTIFS(Таблица1[Customer Name],Таблица1[[#This Row],[Customer Name]],Таблица1[Order-Year-Month],Таблица1[[#This Row],[Order-Year-Month]])</f>
        <v>1</v>
      </c>
    </row>
    <row r="4016" spans="1:26" x14ac:dyDescent="0.2">
      <c r="A4016" s="6">
        <v>3877</v>
      </c>
      <c r="B4016" s="7">
        <v>27684</v>
      </c>
      <c r="C4016" s="8">
        <f>DATE(2012,12,31)-483</f>
        <v>40791</v>
      </c>
      <c r="D4016" s="8" t="str">
        <f t="shared" si="75"/>
        <v>2011-09 (сентябрь 2011)</v>
      </c>
      <c r="E4016" s="9" t="s">
        <v>21</v>
      </c>
      <c r="F4016" s="7">
        <v>1</v>
      </c>
      <c r="G4016" s="7">
        <v>13.04</v>
      </c>
      <c r="H4016" s="7">
        <v>0.06</v>
      </c>
      <c r="I4016" s="9" t="s">
        <v>22</v>
      </c>
      <c r="J4016" s="10">
        <v>-6.62</v>
      </c>
      <c r="K4016" s="11">
        <v>10.48</v>
      </c>
      <c r="L4016" s="11">
        <v>2.89</v>
      </c>
      <c r="M4016" s="9" t="s">
        <v>1725</v>
      </c>
      <c r="N4016" s="6" t="s">
        <v>1123</v>
      </c>
      <c r="O4016" s="6" t="s">
        <v>1123</v>
      </c>
      <c r="P4016" s="9" t="s">
        <v>41</v>
      </c>
      <c r="Q4016" s="9" t="s">
        <v>26</v>
      </c>
      <c r="R4016" s="9" t="s">
        <v>95</v>
      </c>
      <c r="S4016" s="7" t="s">
        <v>499</v>
      </c>
      <c r="T4016" s="9" t="s">
        <v>52</v>
      </c>
      <c r="U4016" s="7">
        <v>0.6</v>
      </c>
      <c r="V4016" s="12">
        <f>C4016+2</f>
        <v>40793</v>
      </c>
      <c r="W4016">
        <f>IF(D4016=' Pivot Tables'!$A$4,1,0)</f>
        <v>0</v>
      </c>
      <c r="X4016">
        <f>IF(AND(LEFT(D4016,4)+1=LEFT(' Pivot Tables'!$A$4,4)+0,RIGHT(LEFT(D4016,7),2)=RIGHT(LEFT(' Pivot Tables'!$A$4,7),2)),1,0)</f>
        <v>0</v>
      </c>
      <c r="Y4016" s="6">
        <f>1/COUNTIF(Таблица1[Order ID],Таблица1[[#This Row],[Order ID]])</f>
        <v>1</v>
      </c>
      <c r="Z4016" s="9">
        <f>1/COUNTIFS(Таблица1[Customer Name],Таблица1[[#This Row],[Customer Name]],Таблица1[Order-Year-Month],Таблица1[[#This Row],[Order-Year-Month]])</f>
        <v>1</v>
      </c>
    </row>
    <row r="4017" spans="1:26" x14ac:dyDescent="0.2">
      <c r="A4017" s="6">
        <v>3899</v>
      </c>
      <c r="B4017" s="7">
        <v>27811</v>
      </c>
      <c r="C4017" s="8">
        <f>DATE(2012,12,31)-668</f>
        <v>40606</v>
      </c>
      <c r="D4017" s="8" t="str">
        <f t="shared" si="75"/>
        <v>2011-03 (март 2011)</v>
      </c>
      <c r="E4017" s="9" t="s">
        <v>45</v>
      </c>
      <c r="F4017" s="7">
        <v>31</v>
      </c>
      <c r="G4017" s="7">
        <v>197.59</v>
      </c>
      <c r="H4017" s="7">
        <v>0.09</v>
      </c>
      <c r="I4017" s="9" t="s">
        <v>22</v>
      </c>
      <c r="J4017" s="10">
        <v>-73.62299999999999</v>
      </c>
      <c r="K4017" s="11">
        <v>6.81</v>
      </c>
      <c r="L4017" s="11">
        <v>5.48</v>
      </c>
      <c r="M4017" s="9" t="s">
        <v>1759</v>
      </c>
      <c r="N4017" s="6" t="s">
        <v>1123</v>
      </c>
      <c r="O4017" s="6" t="s">
        <v>1123</v>
      </c>
      <c r="P4017" s="9" t="s">
        <v>25</v>
      </c>
      <c r="Q4017" s="9" t="s">
        <v>26</v>
      </c>
      <c r="R4017" s="9" t="s">
        <v>37</v>
      </c>
      <c r="S4017" s="7" t="s">
        <v>1319</v>
      </c>
      <c r="T4017" s="9" t="s">
        <v>39</v>
      </c>
      <c r="U4017" s="7">
        <v>0.37</v>
      </c>
      <c r="V4017" s="12">
        <f>C4017+2</f>
        <v>40608</v>
      </c>
      <c r="W4017">
        <f>IF(D4017=' Pivot Tables'!$A$4,1,0)</f>
        <v>0</v>
      </c>
      <c r="X4017">
        <f>IF(AND(LEFT(D4017,4)+1=LEFT(' Pivot Tables'!$A$4,4)+0,RIGHT(LEFT(D4017,7),2)=RIGHT(LEFT(' Pivot Tables'!$A$4,7),2)),1,0)</f>
        <v>0</v>
      </c>
      <c r="Y4017" s="6">
        <f>1/COUNTIF(Таблица1[Order ID],Таблица1[[#This Row],[Order ID]])</f>
        <v>0.5</v>
      </c>
      <c r="Z4017" s="9">
        <f>1/COUNTIFS(Таблица1[Customer Name],Таблица1[[#This Row],[Customer Name]],Таблица1[Order-Year-Month],Таблица1[[#This Row],[Order-Year-Month]])</f>
        <v>0.5</v>
      </c>
    </row>
    <row r="4018" spans="1:26" x14ac:dyDescent="0.2">
      <c r="A4018" s="6">
        <v>3938</v>
      </c>
      <c r="B4018" s="7">
        <v>28064</v>
      </c>
      <c r="C4018" s="8">
        <f>DATE(2012,12,31)-851</f>
        <v>40423</v>
      </c>
      <c r="D4018" s="8" t="str">
        <f t="shared" si="75"/>
        <v>2010-09 (сентябрь 2010)</v>
      </c>
      <c r="E4018" s="9" t="s">
        <v>63</v>
      </c>
      <c r="F4018" s="7">
        <v>43</v>
      </c>
      <c r="G4018" s="7">
        <v>856.45</v>
      </c>
      <c r="H4018" s="7">
        <v>0.03</v>
      </c>
      <c r="I4018" s="9" t="s">
        <v>22</v>
      </c>
      <c r="J4018" s="10">
        <v>265.10000000000002</v>
      </c>
      <c r="K4018" s="11">
        <v>19.84</v>
      </c>
      <c r="L4018" s="11">
        <v>4.0999999999999996</v>
      </c>
      <c r="M4018" s="9" t="s">
        <v>1721</v>
      </c>
      <c r="N4018" s="6" t="s">
        <v>1123</v>
      </c>
      <c r="O4018" s="6" t="s">
        <v>1123</v>
      </c>
      <c r="P4018" s="9" t="s">
        <v>60</v>
      </c>
      <c r="Q4018" s="9" t="s">
        <v>26</v>
      </c>
      <c r="R4018" s="9" t="s">
        <v>95</v>
      </c>
      <c r="S4018" s="7" t="s">
        <v>195</v>
      </c>
      <c r="T4018" s="9" t="s">
        <v>68</v>
      </c>
      <c r="U4018" s="7">
        <v>0.44</v>
      </c>
      <c r="V4018" s="12">
        <f>C4018+0</f>
        <v>40423</v>
      </c>
      <c r="W4018">
        <f>IF(D4018=' Pivot Tables'!$A$4,1,0)</f>
        <v>0</v>
      </c>
      <c r="X4018">
        <f>IF(AND(LEFT(D4018,4)+1=LEFT(' Pivot Tables'!$A$4,4)+0,RIGHT(LEFT(D4018,7),2)=RIGHT(LEFT(' Pivot Tables'!$A$4,7),2)),1,0)</f>
        <v>0</v>
      </c>
      <c r="Y4018" s="6">
        <f>1/COUNTIF(Таблица1[Order ID],Таблица1[[#This Row],[Order ID]])</f>
        <v>0.5</v>
      </c>
      <c r="Z4018" s="9">
        <f>1/COUNTIFS(Таблица1[Customer Name],Таблица1[[#This Row],[Customer Name]],Таблица1[Order-Year-Month],Таблица1[[#This Row],[Order-Year-Month]])</f>
        <v>0.5</v>
      </c>
    </row>
    <row r="4019" spans="1:26" x14ac:dyDescent="0.2">
      <c r="A4019" s="6">
        <v>3939</v>
      </c>
      <c r="B4019" s="7">
        <v>28064</v>
      </c>
      <c r="C4019" s="8">
        <f>DATE(2012,12,31)-851</f>
        <v>40423</v>
      </c>
      <c r="D4019" s="8" t="str">
        <f t="shared" si="75"/>
        <v>2010-09 (сентябрь 2010)</v>
      </c>
      <c r="E4019" s="9" t="s">
        <v>63</v>
      </c>
      <c r="F4019" s="7">
        <v>1</v>
      </c>
      <c r="G4019" s="7">
        <v>6.75</v>
      </c>
      <c r="H4019" s="7">
        <v>0.08</v>
      </c>
      <c r="I4019" s="9" t="s">
        <v>22</v>
      </c>
      <c r="J4019" s="10">
        <v>-2.31</v>
      </c>
      <c r="K4019" s="11">
        <v>5.84</v>
      </c>
      <c r="L4019" s="11">
        <v>1</v>
      </c>
      <c r="M4019" s="9" t="s">
        <v>1721</v>
      </c>
      <c r="N4019" s="6" t="s">
        <v>1123</v>
      </c>
      <c r="O4019" s="6" t="s">
        <v>1123</v>
      </c>
      <c r="P4019" s="9" t="s">
        <v>60</v>
      </c>
      <c r="Q4019" s="9" t="s">
        <v>26</v>
      </c>
      <c r="R4019" s="9" t="s">
        <v>95</v>
      </c>
      <c r="S4019" s="7" t="s">
        <v>1144</v>
      </c>
      <c r="T4019" s="9" t="s">
        <v>68</v>
      </c>
      <c r="U4019" s="7">
        <v>0.38</v>
      </c>
      <c r="V4019" s="12">
        <f>C4019+0</f>
        <v>40423</v>
      </c>
      <c r="W4019">
        <f>IF(D4019=' Pivot Tables'!$A$4,1,0)</f>
        <v>0</v>
      </c>
      <c r="X4019">
        <f>IF(AND(LEFT(D4019,4)+1=LEFT(' Pivot Tables'!$A$4,4)+0,RIGHT(LEFT(D4019,7),2)=RIGHT(LEFT(' Pivot Tables'!$A$4,7),2)),1,0)</f>
        <v>0</v>
      </c>
      <c r="Y4019" s="6">
        <f>1/COUNTIF(Таблица1[Order ID],Таблица1[[#This Row],[Order ID]])</f>
        <v>0.5</v>
      </c>
      <c r="Z4019" s="9">
        <f>1/COUNTIFS(Таблица1[Customer Name],Таблица1[[#This Row],[Customer Name]],Таблица1[Order-Year-Month],Таблица1[[#This Row],[Order-Year-Month]])</f>
        <v>0.5</v>
      </c>
    </row>
    <row r="4020" spans="1:26" x14ac:dyDescent="0.2">
      <c r="A4020" s="6">
        <v>3955</v>
      </c>
      <c r="B4020" s="7">
        <v>28225</v>
      </c>
      <c r="C4020" s="8">
        <f>DATE(2012,12,31)-1439</f>
        <v>39835</v>
      </c>
      <c r="D4020" s="8" t="str">
        <f t="shared" si="75"/>
        <v>2009-01 (январь 2009)</v>
      </c>
      <c r="E4020" s="9" t="s">
        <v>78</v>
      </c>
      <c r="F4020" s="7">
        <v>13</v>
      </c>
      <c r="G4020" s="7">
        <v>1160.5899999999999</v>
      </c>
      <c r="H4020" s="7">
        <v>0.01</v>
      </c>
      <c r="I4020" s="9" t="s">
        <v>22</v>
      </c>
      <c r="J4020" s="10">
        <v>-330.14</v>
      </c>
      <c r="K4020" s="11">
        <v>80.98</v>
      </c>
      <c r="L4020" s="11">
        <v>35</v>
      </c>
      <c r="M4020" s="9" t="s">
        <v>1740</v>
      </c>
      <c r="N4020" s="6" t="s">
        <v>1123</v>
      </c>
      <c r="O4020" s="6" t="s">
        <v>1123</v>
      </c>
      <c r="P4020" s="9" t="s">
        <v>41</v>
      </c>
      <c r="Q4020" s="9" t="s">
        <v>26</v>
      </c>
      <c r="R4020" s="9" t="s">
        <v>27</v>
      </c>
      <c r="S4020" s="7" t="s">
        <v>1045</v>
      </c>
      <c r="T4020" s="9" t="s">
        <v>29</v>
      </c>
      <c r="U4020" s="7">
        <v>0.83</v>
      </c>
      <c r="V4020" s="12">
        <f>C4020+2</f>
        <v>39837</v>
      </c>
      <c r="W4020">
        <f>IF(D4020=' Pivot Tables'!$A$4,1,0)</f>
        <v>0</v>
      </c>
      <c r="X4020">
        <f>IF(AND(LEFT(D4020,4)+1=LEFT(' Pivot Tables'!$A$4,4)+0,RIGHT(LEFT(D4020,7),2)=RIGHT(LEFT(' Pivot Tables'!$A$4,7),2)),1,0)</f>
        <v>1</v>
      </c>
      <c r="Y4020" s="6">
        <f>1/COUNTIF(Таблица1[Order ID],Таблица1[[#This Row],[Order ID]])</f>
        <v>0.5</v>
      </c>
      <c r="Z4020" s="9">
        <f>1/COUNTIFS(Таблица1[Customer Name],Таблица1[[#This Row],[Customer Name]],Таблица1[Order-Year-Month],Таблица1[[#This Row],[Order-Year-Month]])</f>
        <v>1</v>
      </c>
    </row>
    <row r="4021" spans="1:26" x14ac:dyDescent="0.2">
      <c r="A4021" s="6">
        <v>3959</v>
      </c>
      <c r="B4021" s="7">
        <v>28258</v>
      </c>
      <c r="C4021" s="8">
        <f>DATE(2012,12,31)-1389</f>
        <v>39885</v>
      </c>
      <c r="D4021" s="8" t="str">
        <f t="shared" si="75"/>
        <v>2009-03 (март 2009)</v>
      </c>
      <c r="E4021" s="9" t="s">
        <v>78</v>
      </c>
      <c r="F4021" s="7">
        <v>2</v>
      </c>
      <c r="G4021" s="7">
        <v>201.178</v>
      </c>
      <c r="H4021" s="7">
        <v>7.0000000000000007E-2</v>
      </c>
      <c r="I4021" s="9" t="s">
        <v>22</v>
      </c>
      <c r="J4021" s="10">
        <v>-604.40600000000006</v>
      </c>
      <c r="K4021" s="11">
        <v>125.99</v>
      </c>
      <c r="L4021" s="11">
        <v>2.5</v>
      </c>
      <c r="M4021" s="9" t="s">
        <v>1750</v>
      </c>
      <c r="N4021" s="6" t="s">
        <v>1123</v>
      </c>
      <c r="O4021" s="6" t="s">
        <v>1123</v>
      </c>
      <c r="P4021" s="9" t="s">
        <v>60</v>
      </c>
      <c r="Q4021" s="9" t="s">
        <v>42</v>
      </c>
      <c r="R4021" s="9" t="s">
        <v>43</v>
      </c>
      <c r="S4021" s="7" t="s">
        <v>954</v>
      </c>
      <c r="T4021" s="9" t="s">
        <v>39</v>
      </c>
      <c r="U4021" s="7">
        <v>0.6</v>
      </c>
      <c r="V4021" s="12">
        <f>C4021+0</f>
        <v>39885</v>
      </c>
      <c r="W4021">
        <f>IF(D4021=' Pivot Tables'!$A$4,1,0)</f>
        <v>0</v>
      </c>
      <c r="X4021">
        <f>IF(AND(LEFT(D4021,4)+1=LEFT(' Pivot Tables'!$A$4,4)+0,RIGHT(LEFT(D4021,7),2)=RIGHT(LEFT(' Pivot Tables'!$A$4,7),2)),1,0)</f>
        <v>0</v>
      </c>
      <c r="Y4021" s="6">
        <f>1/COUNTIF(Таблица1[Order ID],Таблица1[[#This Row],[Order ID]])</f>
        <v>0.5</v>
      </c>
      <c r="Z4021" s="9">
        <f>1/COUNTIFS(Таблица1[Customer Name],Таблица1[[#This Row],[Customer Name]],Таблица1[Order-Year-Month],Таблица1[[#This Row],[Order-Year-Month]])</f>
        <v>0.5</v>
      </c>
    </row>
    <row r="4022" spans="1:26" x14ac:dyDescent="0.2">
      <c r="A4022" s="6">
        <v>3960</v>
      </c>
      <c r="B4022" s="7">
        <v>28258</v>
      </c>
      <c r="C4022" s="8">
        <f>DATE(2012,12,31)-1389</f>
        <v>39885</v>
      </c>
      <c r="D4022" s="8" t="str">
        <f t="shared" si="75"/>
        <v>2009-03 (март 2009)</v>
      </c>
      <c r="E4022" s="9" t="s">
        <v>78</v>
      </c>
      <c r="F4022" s="7">
        <v>25</v>
      </c>
      <c r="G4022" s="7">
        <v>2493.2399999999998</v>
      </c>
      <c r="H4022" s="7">
        <v>0.03</v>
      </c>
      <c r="I4022" s="9" t="s">
        <v>22</v>
      </c>
      <c r="J4022" s="10">
        <v>293.66000000000003</v>
      </c>
      <c r="K4022" s="11">
        <v>99.99</v>
      </c>
      <c r="L4022" s="11">
        <v>19.989999999999998</v>
      </c>
      <c r="M4022" s="9" t="s">
        <v>1750</v>
      </c>
      <c r="N4022" s="6" t="s">
        <v>1123</v>
      </c>
      <c r="O4022" s="6" t="s">
        <v>1123</v>
      </c>
      <c r="P4022" s="9" t="s">
        <v>60</v>
      </c>
      <c r="Q4022" s="9" t="s">
        <v>42</v>
      </c>
      <c r="R4022" s="9" t="s">
        <v>70</v>
      </c>
      <c r="S4022" s="7" t="s">
        <v>337</v>
      </c>
      <c r="T4022" s="9" t="s">
        <v>39</v>
      </c>
      <c r="U4022" s="7">
        <v>0.52</v>
      </c>
      <c r="V4022" s="12">
        <f>C4022+1</f>
        <v>39886</v>
      </c>
      <c r="W4022">
        <f>IF(D4022=' Pivot Tables'!$A$4,1,0)</f>
        <v>0</v>
      </c>
      <c r="X4022">
        <f>IF(AND(LEFT(D4022,4)+1=LEFT(' Pivot Tables'!$A$4,4)+0,RIGHT(LEFT(D4022,7),2)=RIGHT(LEFT(' Pivot Tables'!$A$4,7),2)),1,0)</f>
        <v>0</v>
      </c>
      <c r="Y4022" s="6">
        <f>1/COUNTIF(Таблица1[Order ID],Таблица1[[#This Row],[Order ID]])</f>
        <v>0.5</v>
      </c>
      <c r="Z4022" s="9">
        <f>1/COUNTIFS(Таблица1[Customer Name],Таблица1[[#This Row],[Customer Name]],Таблица1[Order-Year-Month],Таблица1[[#This Row],[Order-Year-Month]])</f>
        <v>0.5</v>
      </c>
    </row>
    <row r="4023" spans="1:26" x14ac:dyDescent="0.2">
      <c r="A4023" s="6">
        <v>3968</v>
      </c>
      <c r="B4023" s="7">
        <v>28321</v>
      </c>
      <c r="C4023" s="8">
        <f>DATE(2012,12,31)-883</f>
        <v>40391</v>
      </c>
      <c r="D4023" s="8" t="str">
        <f t="shared" si="75"/>
        <v>2010-08 (август 2010)</v>
      </c>
      <c r="E4023" s="9" t="s">
        <v>63</v>
      </c>
      <c r="F4023" s="7">
        <v>28</v>
      </c>
      <c r="G4023" s="7">
        <v>90.5</v>
      </c>
      <c r="H4023" s="7">
        <v>0.03</v>
      </c>
      <c r="I4023" s="9" t="s">
        <v>22</v>
      </c>
      <c r="J4023" s="10">
        <v>24.71</v>
      </c>
      <c r="K4023" s="11">
        <v>3.08</v>
      </c>
      <c r="L4023" s="11">
        <v>0.99</v>
      </c>
      <c r="M4023" s="9" t="s">
        <v>1733</v>
      </c>
      <c r="N4023" s="6" t="s">
        <v>1123</v>
      </c>
      <c r="O4023" s="6" t="s">
        <v>1123</v>
      </c>
      <c r="P4023" s="9" t="s">
        <v>33</v>
      </c>
      <c r="Q4023" s="9" t="s">
        <v>26</v>
      </c>
      <c r="R4023" s="9" t="s">
        <v>88</v>
      </c>
      <c r="S4023" s="7" t="s">
        <v>1760</v>
      </c>
      <c r="T4023" s="9" t="s">
        <v>39</v>
      </c>
      <c r="U4023" s="7">
        <v>0.37</v>
      </c>
      <c r="V4023" s="12">
        <f>C4023+0</f>
        <v>40391</v>
      </c>
      <c r="W4023">
        <f>IF(D4023=' Pivot Tables'!$A$4,1,0)</f>
        <v>0</v>
      </c>
      <c r="X4023">
        <f>IF(AND(LEFT(D4023,4)+1=LEFT(' Pivot Tables'!$A$4,4)+0,RIGHT(LEFT(D4023,7),2)=RIGHT(LEFT(' Pivot Tables'!$A$4,7),2)),1,0)</f>
        <v>0</v>
      </c>
      <c r="Y4023" s="6">
        <f>1/COUNTIF(Таблица1[Order ID],Таблица1[[#This Row],[Order ID]])</f>
        <v>1</v>
      </c>
      <c r="Z4023" s="9">
        <f>1/COUNTIFS(Таблица1[Customer Name],Таблица1[[#This Row],[Customer Name]],Таблица1[Order-Year-Month],Таблица1[[#This Row],[Order-Year-Month]])</f>
        <v>1</v>
      </c>
    </row>
    <row r="4024" spans="1:26" x14ac:dyDescent="0.2">
      <c r="A4024" s="6">
        <v>3985</v>
      </c>
      <c r="B4024" s="7">
        <v>28454</v>
      </c>
      <c r="C4024" s="8">
        <f>DATE(2012,12,31)-147</f>
        <v>41127</v>
      </c>
      <c r="D4024" s="8" t="str">
        <f t="shared" si="75"/>
        <v>2012-08 (август 2012)</v>
      </c>
      <c r="E4024" s="9" t="s">
        <v>63</v>
      </c>
      <c r="F4024" s="7">
        <v>25</v>
      </c>
      <c r="G4024" s="7">
        <v>157.4</v>
      </c>
      <c r="H4024" s="7">
        <v>7.0000000000000007E-2</v>
      </c>
      <c r="I4024" s="9" t="s">
        <v>22</v>
      </c>
      <c r="J4024" s="10">
        <v>-84</v>
      </c>
      <c r="K4024" s="11">
        <v>6.48</v>
      </c>
      <c r="L4024" s="11">
        <v>6.74</v>
      </c>
      <c r="M4024" s="9" t="s">
        <v>1189</v>
      </c>
      <c r="N4024" s="6" t="s">
        <v>1123</v>
      </c>
      <c r="O4024" s="6" t="s">
        <v>1123</v>
      </c>
      <c r="P4024" s="9" t="s">
        <v>41</v>
      </c>
      <c r="Q4024" s="9" t="s">
        <v>26</v>
      </c>
      <c r="R4024" s="9" t="s">
        <v>61</v>
      </c>
      <c r="S4024" s="7" t="s">
        <v>1761</v>
      </c>
      <c r="T4024" s="9" t="s">
        <v>39</v>
      </c>
      <c r="U4024" s="7">
        <v>0.37</v>
      </c>
      <c r="V4024" s="12">
        <f>C4024+1</f>
        <v>41128</v>
      </c>
      <c r="W4024">
        <f>IF(D4024=' Pivot Tables'!$A$4,1,0)</f>
        <v>0</v>
      </c>
      <c r="X4024">
        <f>IF(AND(LEFT(D4024,4)+1=LEFT(' Pivot Tables'!$A$4,4)+0,RIGHT(LEFT(D4024,7),2)=RIGHT(LEFT(' Pivot Tables'!$A$4,7),2)),1,0)</f>
        <v>0</v>
      </c>
      <c r="Y4024" s="6">
        <f>1/COUNTIF(Таблица1[Order ID],Таблица1[[#This Row],[Order ID]])</f>
        <v>1</v>
      </c>
      <c r="Z4024" s="9">
        <f>1/COUNTIFS(Таблица1[Customer Name],Таблица1[[#This Row],[Customer Name]],Таблица1[Order-Year-Month],Таблица1[[#This Row],[Order-Year-Month]])</f>
        <v>1</v>
      </c>
    </row>
    <row r="4025" spans="1:26" x14ac:dyDescent="0.2">
      <c r="A4025" s="6">
        <v>4112</v>
      </c>
      <c r="B4025" s="7">
        <v>29255</v>
      </c>
      <c r="C4025" s="8">
        <f>DATE(2012,12,31)-394</f>
        <v>40880</v>
      </c>
      <c r="D4025" s="8" t="str">
        <f t="shared" si="75"/>
        <v>2011-12 (декабрь 2011)</v>
      </c>
      <c r="E4025" s="9" t="s">
        <v>21</v>
      </c>
      <c r="F4025" s="7">
        <v>11</v>
      </c>
      <c r="G4025" s="7">
        <v>617.21899999999994</v>
      </c>
      <c r="H4025" s="7">
        <v>0.03</v>
      </c>
      <c r="I4025" s="9" t="s">
        <v>56</v>
      </c>
      <c r="J4025" s="10">
        <v>-136.09199999999998</v>
      </c>
      <c r="K4025" s="11">
        <v>65.989999999999995</v>
      </c>
      <c r="L4025" s="11">
        <v>8.99</v>
      </c>
      <c r="M4025" s="9" t="s">
        <v>1728</v>
      </c>
      <c r="N4025" s="6" t="s">
        <v>1123</v>
      </c>
      <c r="O4025" s="6" t="s">
        <v>1123</v>
      </c>
      <c r="P4025" s="9" t="s">
        <v>33</v>
      </c>
      <c r="Q4025" s="9" t="s">
        <v>42</v>
      </c>
      <c r="R4025" s="9" t="s">
        <v>43</v>
      </c>
      <c r="S4025" s="7" t="s">
        <v>429</v>
      </c>
      <c r="T4025" s="9" t="s">
        <v>39</v>
      </c>
      <c r="U4025" s="7">
        <v>0.57999999999999996</v>
      </c>
      <c r="V4025" s="12">
        <f>C4025+4</f>
        <v>40884</v>
      </c>
      <c r="W4025">
        <f>IF(D4025=' Pivot Tables'!$A$4,1,0)</f>
        <v>0</v>
      </c>
      <c r="X4025">
        <f>IF(AND(LEFT(D4025,4)+1=LEFT(' Pivot Tables'!$A$4,4)+0,RIGHT(LEFT(D4025,7),2)=RIGHT(LEFT(' Pivot Tables'!$A$4,7),2)),1,0)</f>
        <v>0</v>
      </c>
      <c r="Y4025" s="6">
        <f>1/COUNTIF(Таблица1[Order ID],Таблица1[[#This Row],[Order ID]])</f>
        <v>1</v>
      </c>
      <c r="Z4025" s="9">
        <f>1/COUNTIFS(Таблица1[Customer Name],Таблица1[[#This Row],[Customer Name]],Таблица1[Order-Year-Month],Таблица1[[#This Row],[Order-Year-Month]])</f>
        <v>1</v>
      </c>
    </row>
    <row r="4026" spans="1:26" x14ac:dyDescent="0.2">
      <c r="A4026" s="6">
        <v>4139</v>
      </c>
      <c r="B4026" s="7">
        <v>29383</v>
      </c>
      <c r="C4026" s="8">
        <f>DATE(2012,12,31)-409</f>
        <v>40865</v>
      </c>
      <c r="D4026" s="8" t="str">
        <f t="shared" si="75"/>
        <v>2011-11 (ноябрь 2011)</v>
      </c>
      <c r="E4026" s="9" t="s">
        <v>63</v>
      </c>
      <c r="F4026" s="7">
        <v>20</v>
      </c>
      <c r="G4026" s="7">
        <v>157.13</v>
      </c>
      <c r="H4026" s="7">
        <v>7.0000000000000007E-2</v>
      </c>
      <c r="I4026" s="9" t="s">
        <v>22</v>
      </c>
      <c r="J4026" s="10">
        <v>-46.89</v>
      </c>
      <c r="K4026" s="11">
        <v>8.32</v>
      </c>
      <c r="L4026" s="11">
        <v>2.38</v>
      </c>
      <c r="M4026" s="9" t="s">
        <v>1229</v>
      </c>
      <c r="N4026" s="6" t="s">
        <v>1123</v>
      </c>
      <c r="O4026" s="6" t="s">
        <v>1123</v>
      </c>
      <c r="P4026" s="9" t="s">
        <v>41</v>
      </c>
      <c r="Q4026" s="9" t="s">
        <v>42</v>
      </c>
      <c r="R4026" s="9" t="s">
        <v>70</v>
      </c>
      <c r="S4026" s="7" t="s">
        <v>1584</v>
      </c>
      <c r="T4026" s="9" t="s">
        <v>52</v>
      </c>
      <c r="U4026" s="7">
        <v>0.74</v>
      </c>
      <c r="V4026" s="12">
        <f>C4026+2</f>
        <v>40867</v>
      </c>
      <c r="W4026">
        <f>IF(D4026=' Pivot Tables'!$A$4,1,0)</f>
        <v>0</v>
      </c>
      <c r="X4026">
        <f>IF(AND(LEFT(D4026,4)+1=LEFT(' Pivot Tables'!$A$4,4)+0,RIGHT(LEFT(D4026,7),2)=RIGHT(LEFT(' Pivot Tables'!$A$4,7),2)),1,0)</f>
        <v>0</v>
      </c>
      <c r="Y4026" s="6">
        <f>1/COUNTIF(Таблица1[Order ID],Таблица1[[#This Row],[Order ID]])</f>
        <v>0.25</v>
      </c>
      <c r="Z4026" s="9">
        <f>1/COUNTIFS(Таблица1[Customer Name],Таблица1[[#This Row],[Customer Name]],Таблица1[Order-Year-Month],Таблица1[[#This Row],[Order-Year-Month]])</f>
        <v>0.25</v>
      </c>
    </row>
    <row r="4027" spans="1:26" x14ac:dyDescent="0.2">
      <c r="A4027" s="6">
        <v>4140</v>
      </c>
      <c r="B4027" s="7">
        <v>29383</v>
      </c>
      <c r="C4027" s="8">
        <f>DATE(2012,12,31)-409</f>
        <v>40865</v>
      </c>
      <c r="D4027" s="8" t="str">
        <f t="shared" si="75"/>
        <v>2011-11 (ноябрь 2011)</v>
      </c>
      <c r="E4027" s="9" t="s">
        <v>63</v>
      </c>
      <c r="F4027" s="7">
        <v>28</v>
      </c>
      <c r="G4027" s="7">
        <v>195.11</v>
      </c>
      <c r="H4027" s="7">
        <v>0.04</v>
      </c>
      <c r="I4027" s="9" t="s">
        <v>22</v>
      </c>
      <c r="J4027" s="10">
        <v>-129.41999999999999</v>
      </c>
      <c r="K4027" s="11">
        <v>6.48</v>
      </c>
      <c r="L4027" s="11">
        <v>8.73</v>
      </c>
      <c r="M4027" s="9" t="s">
        <v>1229</v>
      </c>
      <c r="N4027" s="6" t="s">
        <v>1123</v>
      </c>
      <c r="O4027" s="6" t="s">
        <v>1123</v>
      </c>
      <c r="P4027" s="9" t="s">
        <v>41</v>
      </c>
      <c r="Q4027" s="9" t="s">
        <v>26</v>
      </c>
      <c r="R4027" s="9" t="s">
        <v>61</v>
      </c>
      <c r="S4027" s="7" t="s">
        <v>828</v>
      </c>
      <c r="T4027" s="9" t="s">
        <v>39</v>
      </c>
      <c r="U4027" s="7">
        <v>0.37</v>
      </c>
      <c r="V4027" s="12">
        <f>C4027+1</f>
        <v>40866</v>
      </c>
      <c r="W4027">
        <f>IF(D4027=' Pivot Tables'!$A$4,1,0)</f>
        <v>0</v>
      </c>
      <c r="X4027">
        <f>IF(AND(LEFT(D4027,4)+1=LEFT(' Pivot Tables'!$A$4,4)+0,RIGHT(LEFT(D4027,7),2)=RIGHT(LEFT(' Pivot Tables'!$A$4,7),2)),1,0)</f>
        <v>0</v>
      </c>
      <c r="Y4027" s="6">
        <f>1/COUNTIF(Таблица1[Order ID],Таблица1[[#This Row],[Order ID]])</f>
        <v>0.25</v>
      </c>
      <c r="Z4027" s="9">
        <f>1/COUNTIFS(Таблица1[Customer Name],Таблица1[[#This Row],[Customer Name]],Таблица1[Order-Year-Month],Таблица1[[#This Row],[Order-Year-Month]])</f>
        <v>0.25</v>
      </c>
    </row>
    <row r="4028" spans="1:26" x14ac:dyDescent="0.2">
      <c r="A4028" s="6">
        <v>4141</v>
      </c>
      <c r="B4028" s="7">
        <v>29383</v>
      </c>
      <c r="C4028" s="8">
        <f>DATE(2012,12,31)-409</f>
        <v>40865</v>
      </c>
      <c r="D4028" s="8" t="str">
        <f t="shared" si="75"/>
        <v>2011-11 (ноябрь 2011)</v>
      </c>
      <c r="E4028" s="9" t="s">
        <v>63</v>
      </c>
      <c r="F4028" s="7">
        <v>29</v>
      </c>
      <c r="G4028" s="7">
        <v>2738.7849999999999</v>
      </c>
      <c r="H4028" s="7">
        <v>7.0000000000000007E-2</v>
      </c>
      <c r="I4028" s="9" t="s">
        <v>22</v>
      </c>
      <c r="J4028" s="10">
        <v>556.83000000000004</v>
      </c>
      <c r="K4028" s="11">
        <v>115.99</v>
      </c>
      <c r="L4028" s="11">
        <v>2.5</v>
      </c>
      <c r="M4028" s="9" t="s">
        <v>1229</v>
      </c>
      <c r="N4028" s="6" t="s">
        <v>1123</v>
      </c>
      <c r="O4028" s="6" t="s">
        <v>1123</v>
      </c>
      <c r="P4028" s="9" t="s">
        <v>41</v>
      </c>
      <c r="Q4028" s="9" t="s">
        <v>42</v>
      </c>
      <c r="R4028" s="9" t="s">
        <v>43</v>
      </c>
      <c r="S4028" s="7" t="s">
        <v>1079</v>
      </c>
      <c r="T4028" s="9" t="s">
        <v>39</v>
      </c>
      <c r="U4028" s="7">
        <v>0.57999999999999996</v>
      </c>
      <c r="V4028" s="12">
        <f>C4028+2</f>
        <v>40867</v>
      </c>
      <c r="W4028">
        <f>IF(D4028=' Pivot Tables'!$A$4,1,0)</f>
        <v>0</v>
      </c>
      <c r="X4028">
        <f>IF(AND(LEFT(D4028,4)+1=LEFT(' Pivot Tables'!$A$4,4)+0,RIGHT(LEFT(D4028,7),2)=RIGHT(LEFT(' Pivot Tables'!$A$4,7),2)),1,0)</f>
        <v>0</v>
      </c>
      <c r="Y4028" s="6">
        <f>1/COUNTIF(Таблица1[Order ID],Таблица1[[#This Row],[Order ID]])</f>
        <v>0.25</v>
      </c>
      <c r="Z4028" s="9">
        <f>1/COUNTIFS(Таблица1[Customer Name],Таблица1[[#This Row],[Customer Name]],Таблица1[Order-Year-Month],Таблица1[[#This Row],[Order-Year-Month]])</f>
        <v>0.25</v>
      </c>
    </row>
    <row r="4029" spans="1:26" x14ac:dyDescent="0.2">
      <c r="A4029" s="6">
        <v>4142</v>
      </c>
      <c r="B4029" s="7">
        <v>29383</v>
      </c>
      <c r="C4029" s="8">
        <f>DATE(2012,12,31)-409</f>
        <v>40865</v>
      </c>
      <c r="D4029" s="8" t="str">
        <f t="shared" si="75"/>
        <v>2011-11 (ноябрь 2011)</v>
      </c>
      <c r="E4029" s="9" t="s">
        <v>63</v>
      </c>
      <c r="F4029" s="7">
        <v>30</v>
      </c>
      <c r="G4029" s="7">
        <v>217.42</v>
      </c>
      <c r="H4029" s="7">
        <v>0.09</v>
      </c>
      <c r="I4029" s="9" t="s">
        <v>22</v>
      </c>
      <c r="J4029" s="10">
        <v>16.97</v>
      </c>
      <c r="K4029" s="11">
        <v>7.59</v>
      </c>
      <c r="L4029" s="11">
        <v>4</v>
      </c>
      <c r="M4029" s="9" t="s">
        <v>1229</v>
      </c>
      <c r="N4029" s="6" t="s">
        <v>1123</v>
      </c>
      <c r="O4029" s="6" t="s">
        <v>1123</v>
      </c>
      <c r="P4029" s="9" t="s">
        <v>41</v>
      </c>
      <c r="Q4029" s="9" t="s">
        <v>49</v>
      </c>
      <c r="R4029" s="9" t="s">
        <v>50</v>
      </c>
      <c r="S4029" s="7" t="s">
        <v>504</v>
      </c>
      <c r="T4029" s="9" t="s">
        <v>68</v>
      </c>
      <c r="U4029" s="7">
        <v>0.42</v>
      </c>
      <c r="V4029" s="12">
        <f>C4029+1</f>
        <v>40866</v>
      </c>
      <c r="W4029">
        <f>IF(D4029=' Pivot Tables'!$A$4,1,0)</f>
        <v>0</v>
      </c>
      <c r="X4029">
        <f>IF(AND(LEFT(D4029,4)+1=LEFT(' Pivot Tables'!$A$4,4)+0,RIGHT(LEFT(D4029,7),2)=RIGHT(LEFT(' Pivot Tables'!$A$4,7),2)),1,0)</f>
        <v>0</v>
      </c>
      <c r="Y4029" s="6">
        <f>1/COUNTIF(Таблица1[Order ID],Таблица1[[#This Row],[Order ID]])</f>
        <v>0.25</v>
      </c>
      <c r="Z4029" s="9">
        <f>1/COUNTIFS(Таблица1[Customer Name],Таблица1[[#This Row],[Customer Name]],Таблица1[Order-Year-Month],Таблица1[[#This Row],[Order-Year-Month]])</f>
        <v>0.25</v>
      </c>
    </row>
    <row r="4030" spans="1:26" x14ac:dyDescent="0.2">
      <c r="A4030" s="6">
        <v>4162</v>
      </c>
      <c r="B4030" s="7">
        <v>29507</v>
      </c>
      <c r="C4030" s="8">
        <f>DATE(2012,12,31)-326</f>
        <v>40948</v>
      </c>
      <c r="D4030" s="8" t="str">
        <f t="shared" si="75"/>
        <v>2012-02 (февраль 2012)</v>
      </c>
      <c r="E4030" s="9" t="s">
        <v>21</v>
      </c>
      <c r="F4030" s="7">
        <v>14</v>
      </c>
      <c r="G4030" s="7">
        <v>3049.6320000000001</v>
      </c>
      <c r="H4030" s="7">
        <v>0.04</v>
      </c>
      <c r="I4030" s="9" t="s">
        <v>31</v>
      </c>
      <c r="J4030" s="10">
        <v>-679.0443660000002</v>
      </c>
      <c r="K4030" s="11">
        <v>280.98</v>
      </c>
      <c r="L4030" s="11">
        <v>35.67</v>
      </c>
      <c r="M4030" s="9" t="s">
        <v>1728</v>
      </c>
      <c r="N4030" s="6" t="s">
        <v>1123</v>
      </c>
      <c r="O4030" s="6" t="s">
        <v>1123</v>
      </c>
      <c r="P4030" s="9" t="s">
        <v>33</v>
      </c>
      <c r="Q4030" s="9" t="s">
        <v>49</v>
      </c>
      <c r="R4030" s="9" t="s">
        <v>83</v>
      </c>
      <c r="S4030" s="7" t="s">
        <v>526</v>
      </c>
      <c r="T4030" s="9" t="s">
        <v>82</v>
      </c>
      <c r="U4030" s="7">
        <v>0.66</v>
      </c>
      <c r="V4030" s="12">
        <f>C4030+2</f>
        <v>40950</v>
      </c>
      <c r="W4030">
        <f>IF(D4030=' Pivot Tables'!$A$4,1,0)</f>
        <v>0</v>
      </c>
      <c r="X4030">
        <f>IF(AND(LEFT(D4030,4)+1=LEFT(' Pivot Tables'!$A$4,4)+0,RIGHT(LEFT(D4030,7),2)=RIGHT(LEFT(' Pivot Tables'!$A$4,7),2)),1,0)</f>
        <v>0</v>
      </c>
      <c r="Y4030" s="6">
        <f>1/COUNTIF(Таблица1[Order ID],Таблица1[[#This Row],[Order ID]])</f>
        <v>0.5</v>
      </c>
      <c r="Z4030" s="9">
        <f>1/COUNTIFS(Таблица1[Customer Name],Таблица1[[#This Row],[Customer Name]],Таблица1[Order-Year-Month],Таблица1[[#This Row],[Order-Year-Month]])</f>
        <v>0.5</v>
      </c>
    </row>
    <row r="4031" spans="1:26" x14ac:dyDescent="0.2">
      <c r="A4031" s="6">
        <v>4163</v>
      </c>
      <c r="B4031" s="7">
        <v>29507</v>
      </c>
      <c r="C4031" s="8">
        <f>DATE(2012,12,31)-326</f>
        <v>40948</v>
      </c>
      <c r="D4031" s="8" t="str">
        <f t="shared" si="75"/>
        <v>2012-02 (февраль 2012)</v>
      </c>
      <c r="E4031" s="9" t="s">
        <v>21</v>
      </c>
      <c r="F4031" s="7">
        <v>41</v>
      </c>
      <c r="G4031" s="7">
        <v>1274.9490000000001</v>
      </c>
      <c r="H4031" s="7">
        <v>0.05</v>
      </c>
      <c r="I4031" s="9" t="s">
        <v>22</v>
      </c>
      <c r="J4031" s="10">
        <v>416.988</v>
      </c>
      <c r="K4031" s="11">
        <v>35.99</v>
      </c>
      <c r="L4031" s="11">
        <v>1.1000000000000001</v>
      </c>
      <c r="M4031" s="9" t="s">
        <v>1728</v>
      </c>
      <c r="N4031" s="6" t="s">
        <v>1123</v>
      </c>
      <c r="O4031" s="6" t="s">
        <v>1123</v>
      </c>
      <c r="P4031" s="9" t="s">
        <v>33</v>
      </c>
      <c r="Q4031" s="9" t="s">
        <v>42</v>
      </c>
      <c r="R4031" s="9" t="s">
        <v>43</v>
      </c>
      <c r="S4031" s="7" t="s">
        <v>1082</v>
      </c>
      <c r="T4031" s="9" t="s">
        <v>39</v>
      </c>
      <c r="U4031" s="7">
        <v>0.55000000000000004</v>
      </c>
      <c r="V4031" s="12">
        <f>C4031+5</f>
        <v>40953</v>
      </c>
      <c r="W4031">
        <f>IF(D4031=' Pivot Tables'!$A$4,1,0)</f>
        <v>0</v>
      </c>
      <c r="X4031">
        <f>IF(AND(LEFT(D4031,4)+1=LEFT(' Pivot Tables'!$A$4,4)+0,RIGHT(LEFT(D4031,7),2)=RIGHT(LEFT(' Pivot Tables'!$A$4,7),2)),1,0)</f>
        <v>0</v>
      </c>
      <c r="Y4031" s="6">
        <f>1/COUNTIF(Таблица1[Order ID],Таблица1[[#This Row],[Order ID]])</f>
        <v>0.5</v>
      </c>
      <c r="Z4031" s="9">
        <f>1/COUNTIFS(Таблица1[Customer Name],Таблица1[[#This Row],[Customer Name]],Таблица1[Order-Year-Month],Таблица1[[#This Row],[Order-Year-Month]])</f>
        <v>0.5</v>
      </c>
    </row>
    <row r="4032" spans="1:26" x14ac:dyDescent="0.2">
      <c r="A4032" s="6">
        <v>4172</v>
      </c>
      <c r="B4032" s="7">
        <v>29572</v>
      </c>
      <c r="C4032" s="8">
        <f>DATE(2012,12,31)-942</f>
        <v>40332</v>
      </c>
      <c r="D4032" s="8" t="str">
        <f t="shared" si="75"/>
        <v>2010-06 (июнь 2010)</v>
      </c>
      <c r="E4032" s="9" t="s">
        <v>45</v>
      </c>
      <c r="F4032" s="7">
        <v>18</v>
      </c>
      <c r="G4032" s="7">
        <v>2657.56</v>
      </c>
      <c r="H4032" s="7">
        <v>0.1</v>
      </c>
      <c r="I4032" s="9" t="s">
        <v>31</v>
      </c>
      <c r="J4032" s="10">
        <v>126.27855</v>
      </c>
      <c r="K4032" s="11">
        <v>150.97999999999999</v>
      </c>
      <c r="L4032" s="11">
        <v>16.010000000000002</v>
      </c>
      <c r="M4032" s="9" t="s">
        <v>1728</v>
      </c>
      <c r="N4032" s="6" t="s">
        <v>1123</v>
      </c>
      <c r="O4032" s="6" t="s">
        <v>1123</v>
      </c>
      <c r="P4032" s="9" t="s">
        <v>60</v>
      </c>
      <c r="Q4032" s="9" t="s">
        <v>49</v>
      </c>
      <c r="R4032" s="9" t="s">
        <v>83</v>
      </c>
      <c r="S4032" s="7" t="s">
        <v>1404</v>
      </c>
      <c r="T4032" s="9" t="s">
        <v>82</v>
      </c>
      <c r="U4032" s="7">
        <v>0.7</v>
      </c>
      <c r="V4032" s="12">
        <f>C4032+1</f>
        <v>40333</v>
      </c>
      <c r="W4032">
        <f>IF(D4032=' Pivot Tables'!$A$4,1,0)</f>
        <v>0</v>
      </c>
      <c r="X4032">
        <f>IF(AND(LEFT(D4032,4)+1=LEFT(' Pivot Tables'!$A$4,4)+0,RIGHT(LEFT(D4032,7),2)=RIGHT(LEFT(' Pivot Tables'!$A$4,7),2)),1,0)</f>
        <v>0</v>
      </c>
      <c r="Y4032" s="6">
        <f>1/COUNTIF(Таблица1[Order ID],Таблица1[[#This Row],[Order ID]])</f>
        <v>1</v>
      </c>
      <c r="Z4032" s="9">
        <f>1/COUNTIFS(Таблица1[Customer Name],Таблица1[[#This Row],[Customer Name]],Таблица1[Order-Year-Month],Таблица1[[#This Row],[Order-Year-Month]])</f>
        <v>0.5</v>
      </c>
    </row>
    <row r="4033" spans="1:26" x14ac:dyDescent="0.2">
      <c r="A4033" s="6">
        <v>4204</v>
      </c>
      <c r="B4033" s="7">
        <v>29889</v>
      </c>
      <c r="C4033" s="8">
        <f>DATE(2012,12,31)-1123</f>
        <v>40151</v>
      </c>
      <c r="D4033" s="8" t="str">
        <f t="shared" si="75"/>
        <v>2009-12 (декабрь 2009)</v>
      </c>
      <c r="E4033" s="9" t="s">
        <v>45</v>
      </c>
      <c r="F4033" s="7">
        <v>44</v>
      </c>
      <c r="G4033" s="7">
        <v>243.5</v>
      </c>
      <c r="H4033" s="7">
        <v>0.09</v>
      </c>
      <c r="I4033" s="9" t="s">
        <v>22</v>
      </c>
      <c r="J4033" s="10">
        <v>23.87</v>
      </c>
      <c r="K4033" s="11">
        <v>5.98</v>
      </c>
      <c r="L4033" s="11">
        <v>1.67</v>
      </c>
      <c r="M4033" s="9" t="s">
        <v>1759</v>
      </c>
      <c r="N4033" s="6" t="s">
        <v>1123</v>
      </c>
      <c r="O4033" s="6" t="s">
        <v>1123</v>
      </c>
      <c r="P4033" s="9" t="s">
        <v>25</v>
      </c>
      <c r="Q4033" s="9" t="s">
        <v>26</v>
      </c>
      <c r="R4033" s="9" t="s">
        <v>95</v>
      </c>
      <c r="S4033" s="7" t="s">
        <v>1762</v>
      </c>
      <c r="T4033" s="9" t="s">
        <v>68</v>
      </c>
      <c r="U4033" s="7">
        <v>0.51</v>
      </c>
      <c r="V4033" s="12">
        <f>C4033+3</f>
        <v>40154</v>
      </c>
      <c r="W4033">
        <f>IF(D4033=' Pivot Tables'!$A$4,1,0)</f>
        <v>0</v>
      </c>
      <c r="X4033">
        <f>IF(AND(LEFT(D4033,4)+1=LEFT(' Pivot Tables'!$A$4,4)+0,RIGHT(LEFT(D4033,7),2)=RIGHT(LEFT(' Pivot Tables'!$A$4,7),2)),1,0)</f>
        <v>0</v>
      </c>
      <c r="Y4033" s="6">
        <f>1/COUNTIF(Таблица1[Order ID],Таблица1[[#This Row],[Order ID]])</f>
        <v>1</v>
      </c>
      <c r="Z4033" s="9">
        <f>1/COUNTIFS(Таблица1[Customer Name],Таблица1[[#This Row],[Customer Name]],Таблица1[Order-Year-Month],Таблица1[[#This Row],[Order-Year-Month]])</f>
        <v>1</v>
      </c>
    </row>
    <row r="4034" spans="1:26" x14ac:dyDescent="0.2">
      <c r="A4034" s="6">
        <v>4206</v>
      </c>
      <c r="B4034" s="7">
        <v>29894</v>
      </c>
      <c r="C4034" s="8">
        <f>DATE(2012,12,31)-846</f>
        <v>40428</v>
      </c>
      <c r="D4034" s="8" t="str">
        <f t="shared" si="75"/>
        <v>2010-09 (сентябрь 2010)</v>
      </c>
      <c r="E4034" s="9" t="s">
        <v>21</v>
      </c>
      <c r="F4034" s="7">
        <v>43</v>
      </c>
      <c r="G4034" s="7">
        <v>606.98</v>
      </c>
      <c r="H4034" s="7">
        <v>0.05</v>
      </c>
      <c r="I4034" s="9" t="s">
        <v>22</v>
      </c>
      <c r="J4034" s="10">
        <v>21.08</v>
      </c>
      <c r="K4034" s="11">
        <v>13.73</v>
      </c>
      <c r="L4034" s="11">
        <v>6.85</v>
      </c>
      <c r="M4034" s="9" t="s">
        <v>1742</v>
      </c>
      <c r="N4034" s="6" t="s">
        <v>1123</v>
      </c>
      <c r="O4034" s="6" t="s">
        <v>1123</v>
      </c>
      <c r="P4034" s="9" t="s">
        <v>41</v>
      </c>
      <c r="Q4034" s="9" t="s">
        <v>49</v>
      </c>
      <c r="R4034" s="9" t="s">
        <v>50</v>
      </c>
      <c r="S4034" s="7" t="s">
        <v>1058</v>
      </c>
      <c r="T4034" s="9" t="s">
        <v>68</v>
      </c>
      <c r="U4034" s="7">
        <v>0.54</v>
      </c>
      <c r="V4034" s="12">
        <f>C4034+9</f>
        <v>40437</v>
      </c>
      <c r="W4034">
        <f>IF(D4034=' Pivot Tables'!$A$4,1,0)</f>
        <v>0</v>
      </c>
      <c r="X4034">
        <f>IF(AND(LEFT(D4034,4)+1=LEFT(' Pivot Tables'!$A$4,4)+0,RIGHT(LEFT(D4034,7),2)=RIGHT(LEFT(' Pivot Tables'!$A$4,7),2)),1,0)</f>
        <v>0</v>
      </c>
      <c r="Y4034" s="6">
        <f>1/COUNTIF(Таблица1[Order ID],Таблица1[[#This Row],[Order ID]])</f>
        <v>0.5</v>
      </c>
      <c r="Z4034" s="9">
        <f>1/COUNTIFS(Таблица1[Customer Name],Таблица1[[#This Row],[Customer Name]],Таблица1[Order-Year-Month],Таблица1[[#This Row],[Order-Year-Month]])</f>
        <v>0.33333333333333331</v>
      </c>
    </row>
    <row r="4035" spans="1:26" x14ac:dyDescent="0.2">
      <c r="A4035" s="6">
        <v>4207</v>
      </c>
      <c r="B4035" s="7">
        <v>29894</v>
      </c>
      <c r="C4035" s="8">
        <f>DATE(2012,12,31)-846</f>
        <v>40428</v>
      </c>
      <c r="D4035" s="8" t="str">
        <f t="shared" ref="D4035:D4098" si="76">TEXT(C4035,"гггг-ММ (ММММ гггг)")</f>
        <v>2010-09 (сентябрь 2010)</v>
      </c>
      <c r="E4035" s="9" t="s">
        <v>21</v>
      </c>
      <c r="F4035" s="7">
        <v>48</v>
      </c>
      <c r="G4035" s="7">
        <v>301.62</v>
      </c>
      <c r="H4035" s="7">
        <v>0.09</v>
      </c>
      <c r="I4035" s="9" t="s">
        <v>22</v>
      </c>
      <c r="J4035" s="10">
        <v>-162.54</v>
      </c>
      <c r="K4035" s="11">
        <v>6.68</v>
      </c>
      <c r="L4035" s="11">
        <v>6.92</v>
      </c>
      <c r="M4035" s="9" t="s">
        <v>1742</v>
      </c>
      <c r="N4035" s="6" t="s">
        <v>1123</v>
      </c>
      <c r="O4035" s="6" t="s">
        <v>1123</v>
      </c>
      <c r="P4035" s="9" t="s">
        <v>41</v>
      </c>
      <c r="Q4035" s="9" t="s">
        <v>26</v>
      </c>
      <c r="R4035" s="9" t="s">
        <v>61</v>
      </c>
      <c r="S4035" s="7" t="s">
        <v>678</v>
      </c>
      <c r="T4035" s="9" t="s">
        <v>39</v>
      </c>
      <c r="U4035" s="7">
        <v>0.37</v>
      </c>
      <c r="V4035" s="12">
        <f>C4035+9</f>
        <v>40437</v>
      </c>
      <c r="W4035">
        <f>IF(D4035=' Pivot Tables'!$A$4,1,0)</f>
        <v>0</v>
      </c>
      <c r="X4035">
        <f>IF(AND(LEFT(D4035,4)+1=LEFT(' Pivot Tables'!$A$4,4)+0,RIGHT(LEFT(D4035,7),2)=RIGHT(LEFT(' Pivot Tables'!$A$4,7),2)),1,0)</f>
        <v>0</v>
      </c>
      <c r="Y4035" s="6">
        <f>1/COUNTIF(Таблица1[Order ID],Таблица1[[#This Row],[Order ID]])</f>
        <v>0.5</v>
      </c>
      <c r="Z4035" s="9">
        <f>1/COUNTIFS(Таблица1[Customer Name],Таблица1[[#This Row],[Customer Name]],Таблица1[Order-Year-Month],Таблица1[[#This Row],[Order-Year-Month]])</f>
        <v>0.33333333333333331</v>
      </c>
    </row>
    <row r="4036" spans="1:26" x14ac:dyDescent="0.2">
      <c r="A4036" s="6">
        <v>4218</v>
      </c>
      <c r="B4036" s="7">
        <v>29985</v>
      </c>
      <c r="C4036" s="8">
        <f>DATE(2012,12,31)-173</f>
        <v>41101</v>
      </c>
      <c r="D4036" s="8" t="str">
        <f t="shared" si="76"/>
        <v>2012-07 (июль 2012)</v>
      </c>
      <c r="E4036" s="9" t="s">
        <v>78</v>
      </c>
      <c r="F4036" s="7">
        <v>2</v>
      </c>
      <c r="G4036" s="7">
        <v>24.51</v>
      </c>
      <c r="H4036" s="7">
        <v>0.06</v>
      </c>
      <c r="I4036" s="9" t="s">
        <v>22</v>
      </c>
      <c r="J4036" s="10">
        <v>-18.262</v>
      </c>
      <c r="K4036" s="11">
        <v>8.0399999999999991</v>
      </c>
      <c r="L4036" s="11">
        <v>8.94</v>
      </c>
      <c r="M4036" s="9" t="s">
        <v>1740</v>
      </c>
      <c r="N4036" s="6" t="s">
        <v>1123</v>
      </c>
      <c r="O4036" s="6" t="s">
        <v>1123</v>
      </c>
      <c r="P4036" s="9" t="s">
        <v>41</v>
      </c>
      <c r="Q4036" s="9" t="s">
        <v>26</v>
      </c>
      <c r="R4036" s="9" t="s">
        <v>37</v>
      </c>
      <c r="S4036" s="7" t="s">
        <v>529</v>
      </c>
      <c r="T4036" s="9" t="s">
        <v>39</v>
      </c>
      <c r="U4036" s="7">
        <v>0.4</v>
      </c>
      <c r="V4036" s="12">
        <f>C4036+2</f>
        <v>41103</v>
      </c>
      <c r="W4036">
        <f>IF(D4036=' Pivot Tables'!$A$4,1,0)</f>
        <v>0</v>
      </c>
      <c r="X4036">
        <f>IF(AND(LEFT(D4036,4)+1=LEFT(' Pivot Tables'!$A$4,4)+0,RIGHT(LEFT(D4036,7),2)=RIGHT(LEFT(' Pivot Tables'!$A$4,7),2)),1,0)</f>
        <v>0</v>
      </c>
      <c r="Y4036" s="6">
        <f>1/COUNTIF(Таблица1[Order ID],Таблица1[[#This Row],[Order ID]])</f>
        <v>0.5</v>
      </c>
      <c r="Z4036" s="9">
        <f>1/COUNTIFS(Таблица1[Customer Name],Таблица1[[#This Row],[Customer Name]],Таблица1[Order-Year-Month],Таблица1[[#This Row],[Order-Year-Month]])</f>
        <v>1</v>
      </c>
    </row>
    <row r="4037" spans="1:26" x14ac:dyDescent="0.2">
      <c r="A4037" s="6">
        <v>4232</v>
      </c>
      <c r="B4037" s="7">
        <v>30054</v>
      </c>
      <c r="C4037" s="8">
        <f>DATE(2012,12,31)-121</f>
        <v>41153</v>
      </c>
      <c r="D4037" s="8" t="str">
        <f t="shared" si="76"/>
        <v>2012-09 (сентябрь 2012)</v>
      </c>
      <c r="E4037" s="9" t="s">
        <v>45</v>
      </c>
      <c r="F4037" s="7">
        <v>33</v>
      </c>
      <c r="G4037" s="7">
        <v>311.19</v>
      </c>
      <c r="H4037" s="7">
        <v>0.03</v>
      </c>
      <c r="I4037" s="9" t="s">
        <v>22</v>
      </c>
      <c r="J4037" s="10">
        <v>-9.18</v>
      </c>
      <c r="K4037" s="11">
        <v>9.3800000000000008</v>
      </c>
      <c r="L4037" s="11">
        <v>4.93</v>
      </c>
      <c r="M4037" s="9" t="s">
        <v>1726</v>
      </c>
      <c r="N4037" s="6" t="s">
        <v>1123</v>
      </c>
      <c r="O4037" s="6" t="s">
        <v>1123</v>
      </c>
      <c r="P4037" s="9" t="s">
        <v>41</v>
      </c>
      <c r="Q4037" s="9" t="s">
        <v>49</v>
      </c>
      <c r="R4037" s="9" t="s">
        <v>50</v>
      </c>
      <c r="S4037" s="7" t="s">
        <v>1197</v>
      </c>
      <c r="T4037" s="9" t="s">
        <v>39</v>
      </c>
      <c r="U4037" s="7">
        <v>0.56999999999999995</v>
      </c>
      <c r="V4037" s="12">
        <f>C4037+2</f>
        <v>41155</v>
      </c>
      <c r="W4037">
        <f>IF(D4037=' Pivot Tables'!$A$4,1,0)</f>
        <v>0</v>
      </c>
      <c r="X4037">
        <f>IF(AND(LEFT(D4037,4)+1=LEFT(' Pivot Tables'!$A$4,4)+0,RIGHT(LEFT(D4037,7),2)=RIGHT(LEFT(' Pivot Tables'!$A$4,7),2)),1,0)</f>
        <v>0</v>
      </c>
      <c r="Y4037" s="6">
        <f>1/COUNTIF(Таблица1[Order ID],Таблица1[[#This Row],[Order ID]])</f>
        <v>1</v>
      </c>
      <c r="Z4037" s="9">
        <f>1/COUNTIFS(Таблица1[Customer Name],Таблица1[[#This Row],[Customer Name]],Таблица1[Order-Year-Month],Таблица1[[#This Row],[Order-Year-Month]])</f>
        <v>1</v>
      </c>
    </row>
    <row r="4038" spans="1:26" x14ac:dyDescent="0.2">
      <c r="A4038" s="6">
        <v>4244</v>
      </c>
      <c r="B4038" s="7">
        <v>30208</v>
      </c>
      <c r="C4038" s="8">
        <f>DATE(2012,12,31)-168</f>
        <v>41106</v>
      </c>
      <c r="D4038" s="8" t="str">
        <f t="shared" si="76"/>
        <v>2012-07 (июль 2012)</v>
      </c>
      <c r="E4038" s="9" t="s">
        <v>21</v>
      </c>
      <c r="F4038" s="7">
        <v>46</v>
      </c>
      <c r="G4038" s="7">
        <v>1752.0964999999999</v>
      </c>
      <c r="H4038" s="7">
        <v>0.1</v>
      </c>
      <c r="I4038" s="9" t="s">
        <v>22</v>
      </c>
      <c r="J4038" s="10">
        <v>356.346</v>
      </c>
      <c r="K4038" s="11">
        <v>45.99</v>
      </c>
      <c r="L4038" s="11">
        <v>4.99</v>
      </c>
      <c r="M4038" s="9" t="s">
        <v>1754</v>
      </c>
      <c r="N4038" s="6" t="s">
        <v>1123</v>
      </c>
      <c r="O4038" s="6" t="s">
        <v>1123</v>
      </c>
      <c r="P4038" s="9" t="s">
        <v>60</v>
      </c>
      <c r="Q4038" s="9" t="s">
        <v>42</v>
      </c>
      <c r="R4038" s="9" t="s">
        <v>43</v>
      </c>
      <c r="S4038" s="7" t="s">
        <v>1325</v>
      </c>
      <c r="T4038" s="9" t="s">
        <v>39</v>
      </c>
      <c r="U4038" s="7">
        <v>0.56999999999999995</v>
      </c>
      <c r="V4038" s="12">
        <f>C4038+0</f>
        <v>41106</v>
      </c>
      <c r="W4038">
        <f>IF(D4038=' Pivot Tables'!$A$4,1,0)</f>
        <v>0</v>
      </c>
      <c r="X4038">
        <f>IF(AND(LEFT(D4038,4)+1=LEFT(' Pivot Tables'!$A$4,4)+0,RIGHT(LEFT(D4038,7),2)=RIGHT(LEFT(' Pivot Tables'!$A$4,7),2)),1,0)</f>
        <v>0</v>
      </c>
      <c r="Y4038" s="6">
        <f>1/COUNTIF(Таблица1[Order ID],Таблица1[[#This Row],[Order ID]])</f>
        <v>1</v>
      </c>
      <c r="Z4038" s="9">
        <f>1/COUNTIFS(Таблица1[Customer Name],Таблица1[[#This Row],[Customer Name]],Таблица1[Order-Year-Month],Таблица1[[#This Row],[Order-Year-Month]])</f>
        <v>1</v>
      </c>
    </row>
    <row r="4039" spans="1:26" x14ac:dyDescent="0.2">
      <c r="A4039" s="6">
        <v>4265</v>
      </c>
      <c r="B4039" s="7">
        <v>30369</v>
      </c>
      <c r="C4039" s="8">
        <f>DATE(2012,12,31)-648</f>
        <v>40626</v>
      </c>
      <c r="D4039" s="8" t="str">
        <f t="shared" si="76"/>
        <v>2011-03 (март 2011)</v>
      </c>
      <c r="E4039" s="9" t="s">
        <v>78</v>
      </c>
      <c r="F4039" s="7">
        <v>13</v>
      </c>
      <c r="G4039" s="7">
        <v>76.81</v>
      </c>
      <c r="H4039" s="7">
        <v>0</v>
      </c>
      <c r="I4039" s="9" t="s">
        <v>22</v>
      </c>
      <c r="J4039" s="10">
        <v>-55.77</v>
      </c>
      <c r="K4039" s="11">
        <v>4.9800000000000004</v>
      </c>
      <c r="L4039" s="11">
        <v>7.54</v>
      </c>
      <c r="M4039" s="9" t="s">
        <v>1750</v>
      </c>
      <c r="N4039" s="6" t="s">
        <v>1123</v>
      </c>
      <c r="O4039" s="6" t="s">
        <v>1123</v>
      </c>
      <c r="P4039" s="9" t="s">
        <v>60</v>
      </c>
      <c r="Q4039" s="9" t="s">
        <v>26</v>
      </c>
      <c r="R4039" s="9" t="s">
        <v>61</v>
      </c>
      <c r="S4039" s="7" t="s">
        <v>1554</v>
      </c>
      <c r="T4039" s="9" t="s">
        <v>39</v>
      </c>
      <c r="U4039" s="7">
        <v>0.38</v>
      </c>
      <c r="V4039" s="12">
        <f>C4039+1</f>
        <v>40627</v>
      </c>
      <c r="W4039">
        <f>IF(D4039=' Pivot Tables'!$A$4,1,0)</f>
        <v>0</v>
      </c>
      <c r="X4039">
        <f>IF(AND(LEFT(D4039,4)+1=LEFT(' Pivot Tables'!$A$4,4)+0,RIGHT(LEFT(D4039,7),2)=RIGHT(LEFT(' Pivot Tables'!$A$4,7),2)),1,0)</f>
        <v>0</v>
      </c>
      <c r="Y4039" s="6">
        <f>1/COUNTIF(Таблица1[Order ID],Таблица1[[#This Row],[Order ID]])</f>
        <v>0.5</v>
      </c>
      <c r="Z4039" s="9">
        <f>1/COUNTIFS(Таблица1[Customer Name],Таблица1[[#This Row],[Customer Name]],Таблица1[Order-Year-Month],Таблица1[[#This Row],[Order-Year-Month]])</f>
        <v>0.5</v>
      </c>
    </row>
    <row r="4040" spans="1:26" x14ac:dyDescent="0.2">
      <c r="A4040" s="6">
        <v>4266</v>
      </c>
      <c r="B4040" s="7">
        <v>30369</v>
      </c>
      <c r="C4040" s="8">
        <f>DATE(2012,12,31)-648</f>
        <v>40626</v>
      </c>
      <c r="D4040" s="8" t="str">
        <f t="shared" si="76"/>
        <v>2011-03 (март 2011)</v>
      </c>
      <c r="E4040" s="9" t="s">
        <v>78</v>
      </c>
      <c r="F4040" s="7">
        <v>21</v>
      </c>
      <c r="G4040" s="7">
        <v>174.22</v>
      </c>
      <c r="H4040" s="7">
        <v>0.03</v>
      </c>
      <c r="I4040" s="9" t="s">
        <v>22</v>
      </c>
      <c r="J4040" s="10">
        <v>-1.23</v>
      </c>
      <c r="K4040" s="11">
        <v>8.34</v>
      </c>
      <c r="L4040" s="11">
        <v>2.64</v>
      </c>
      <c r="M4040" s="9" t="s">
        <v>1750</v>
      </c>
      <c r="N4040" s="6" t="s">
        <v>1123</v>
      </c>
      <c r="O4040" s="6" t="s">
        <v>1123</v>
      </c>
      <c r="P4040" s="9" t="s">
        <v>60</v>
      </c>
      <c r="Q4040" s="9" t="s">
        <v>26</v>
      </c>
      <c r="R4040" s="9" t="s">
        <v>150</v>
      </c>
      <c r="S4040" s="7" t="s">
        <v>1381</v>
      </c>
      <c r="T4040" s="9" t="s">
        <v>52</v>
      </c>
      <c r="U4040" s="7">
        <v>0.59</v>
      </c>
      <c r="V4040" s="12">
        <f>C4040+1</f>
        <v>40627</v>
      </c>
      <c r="W4040">
        <f>IF(D4040=' Pivot Tables'!$A$4,1,0)</f>
        <v>0</v>
      </c>
      <c r="X4040">
        <f>IF(AND(LEFT(D4040,4)+1=LEFT(' Pivot Tables'!$A$4,4)+0,RIGHT(LEFT(D4040,7),2)=RIGHT(LEFT(' Pivot Tables'!$A$4,7),2)),1,0)</f>
        <v>0</v>
      </c>
      <c r="Y4040" s="6">
        <f>1/COUNTIF(Таблица1[Order ID],Таблица1[[#This Row],[Order ID]])</f>
        <v>0.5</v>
      </c>
      <c r="Z4040" s="9">
        <f>1/COUNTIFS(Таблица1[Customer Name],Таблица1[[#This Row],[Customer Name]],Таблица1[Order-Year-Month],Таблица1[[#This Row],[Order-Year-Month]])</f>
        <v>0.5</v>
      </c>
    </row>
    <row r="4041" spans="1:26" x14ac:dyDescent="0.2">
      <c r="A4041" s="6">
        <v>4313</v>
      </c>
      <c r="B4041" s="7">
        <v>30726</v>
      </c>
      <c r="C4041" s="8">
        <f>DATE(2012,12,31)-1132</f>
        <v>40142</v>
      </c>
      <c r="D4041" s="8" t="str">
        <f t="shared" si="76"/>
        <v>2009-11 (ноябрь 2009)</v>
      </c>
      <c r="E4041" s="9" t="s">
        <v>63</v>
      </c>
      <c r="F4041" s="7">
        <v>35</v>
      </c>
      <c r="G4041" s="7">
        <v>725.15</v>
      </c>
      <c r="H4041" s="7">
        <v>0.05</v>
      </c>
      <c r="I4041" s="9" t="s">
        <v>22</v>
      </c>
      <c r="J4041" s="10">
        <v>140.57</v>
      </c>
      <c r="K4041" s="11">
        <v>20.27</v>
      </c>
      <c r="L4041" s="11">
        <v>3.99</v>
      </c>
      <c r="M4041" s="9" t="s">
        <v>1724</v>
      </c>
      <c r="N4041" s="6" t="s">
        <v>1123</v>
      </c>
      <c r="O4041" s="6" t="s">
        <v>1123</v>
      </c>
      <c r="P4041" s="9" t="s">
        <v>60</v>
      </c>
      <c r="Q4041" s="9" t="s">
        <v>26</v>
      </c>
      <c r="R4041" s="9" t="s">
        <v>34</v>
      </c>
      <c r="S4041" s="7" t="s">
        <v>1763</v>
      </c>
      <c r="T4041" s="9" t="s">
        <v>39</v>
      </c>
      <c r="U4041" s="7">
        <v>0.56999999999999995</v>
      </c>
      <c r="V4041" s="12">
        <f>C4041+1</f>
        <v>40143</v>
      </c>
      <c r="W4041">
        <f>IF(D4041=' Pivot Tables'!$A$4,1,0)</f>
        <v>0</v>
      </c>
      <c r="X4041">
        <f>IF(AND(LEFT(D4041,4)+1=LEFT(' Pivot Tables'!$A$4,4)+0,RIGHT(LEFT(D4041,7),2)=RIGHT(LEFT(' Pivot Tables'!$A$4,7),2)),1,0)</f>
        <v>0</v>
      </c>
      <c r="Y4041" s="6">
        <f>1/COUNTIF(Таблица1[Order ID],Таблица1[[#This Row],[Order ID]])</f>
        <v>1</v>
      </c>
      <c r="Z4041" s="9">
        <f>1/COUNTIFS(Таблица1[Customer Name],Таблица1[[#This Row],[Customer Name]],Таблица1[Order-Year-Month],Таблица1[[#This Row],[Order-Year-Month]])</f>
        <v>1</v>
      </c>
    </row>
    <row r="4042" spans="1:26" x14ac:dyDescent="0.2">
      <c r="A4042" s="6">
        <v>4314</v>
      </c>
      <c r="B4042" s="7">
        <v>30727</v>
      </c>
      <c r="C4042" s="8">
        <f>DATE(2012,12,31)-159</f>
        <v>41115</v>
      </c>
      <c r="D4042" s="8" t="str">
        <f t="shared" si="76"/>
        <v>2012-07 (июль 2012)</v>
      </c>
      <c r="E4042" s="9" t="s">
        <v>63</v>
      </c>
      <c r="F4042" s="7">
        <v>28</v>
      </c>
      <c r="G4042" s="7">
        <v>1166.29</v>
      </c>
      <c r="H4042" s="7">
        <v>7.0000000000000007E-2</v>
      </c>
      <c r="I4042" s="9" t="s">
        <v>56</v>
      </c>
      <c r="J4042" s="10">
        <v>302.86</v>
      </c>
      <c r="K4042" s="11">
        <v>41.71</v>
      </c>
      <c r="L4042" s="11">
        <v>4.5</v>
      </c>
      <c r="M4042" s="9" t="s">
        <v>1722</v>
      </c>
      <c r="N4042" s="6" t="s">
        <v>1123</v>
      </c>
      <c r="O4042" s="6" t="s">
        <v>1123</v>
      </c>
      <c r="P4042" s="9" t="s">
        <v>25</v>
      </c>
      <c r="Q4042" s="9" t="s">
        <v>26</v>
      </c>
      <c r="R4042" s="9" t="s">
        <v>34</v>
      </c>
      <c r="S4042" s="7" t="s">
        <v>768</v>
      </c>
      <c r="T4042" s="9" t="s">
        <v>39</v>
      </c>
      <c r="U4042" s="7">
        <v>0.56000000000000005</v>
      </c>
      <c r="V4042" s="12">
        <f>C4042+2</f>
        <v>41117</v>
      </c>
      <c r="W4042">
        <f>IF(D4042=' Pivot Tables'!$A$4,1,0)</f>
        <v>0</v>
      </c>
      <c r="X4042">
        <f>IF(AND(LEFT(D4042,4)+1=LEFT(' Pivot Tables'!$A$4,4)+0,RIGHT(LEFT(D4042,7),2)=RIGHT(LEFT(' Pivot Tables'!$A$4,7),2)),1,0)</f>
        <v>0</v>
      </c>
      <c r="Y4042" s="6">
        <f>1/COUNTIF(Таблица1[Order ID],Таблица1[[#This Row],[Order ID]])</f>
        <v>1</v>
      </c>
      <c r="Z4042" s="9">
        <f>1/COUNTIFS(Таблица1[Customer Name],Таблица1[[#This Row],[Customer Name]],Таблица1[Order-Year-Month],Таблица1[[#This Row],[Order-Year-Month]])</f>
        <v>0.5</v>
      </c>
    </row>
    <row r="4043" spans="1:26" x14ac:dyDescent="0.2">
      <c r="A4043" s="6">
        <v>4341</v>
      </c>
      <c r="B4043" s="7">
        <v>30915</v>
      </c>
      <c r="C4043" s="8">
        <f>DATE(2012,12,31)-1445</f>
        <v>39829</v>
      </c>
      <c r="D4043" s="8" t="str">
        <f t="shared" si="76"/>
        <v>2009-01 (январь 2009)</v>
      </c>
      <c r="E4043" s="9" t="s">
        <v>21</v>
      </c>
      <c r="F4043" s="7">
        <v>20</v>
      </c>
      <c r="G4043" s="7">
        <v>62.78</v>
      </c>
      <c r="H4043" s="7">
        <v>0.04</v>
      </c>
      <c r="I4043" s="9" t="s">
        <v>56</v>
      </c>
      <c r="J4043" s="10">
        <v>-17.75</v>
      </c>
      <c r="K4043" s="11">
        <v>2.98</v>
      </c>
      <c r="L4043" s="11">
        <v>2.0299999999999998</v>
      </c>
      <c r="M4043" s="9" t="s">
        <v>1735</v>
      </c>
      <c r="N4043" s="6" t="s">
        <v>1123</v>
      </c>
      <c r="O4043" s="6" t="s">
        <v>1123</v>
      </c>
      <c r="P4043" s="9" t="s">
        <v>41</v>
      </c>
      <c r="Q4043" s="9" t="s">
        <v>26</v>
      </c>
      <c r="R4043" s="9" t="s">
        <v>95</v>
      </c>
      <c r="S4043" s="7" t="s">
        <v>1764</v>
      </c>
      <c r="T4043" s="9" t="s">
        <v>68</v>
      </c>
      <c r="U4043" s="7">
        <v>0.56999999999999995</v>
      </c>
      <c r="V4043" s="12">
        <f>C4043+0</f>
        <v>39829</v>
      </c>
      <c r="W4043">
        <f>IF(D4043=' Pivot Tables'!$A$4,1,0)</f>
        <v>0</v>
      </c>
      <c r="X4043">
        <f>IF(AND(LEFT(D4043,4)+1=LEFT(' Pivot Tables'!$A$4,4)+0,RIGHT(LEFT(D4043,7),2)=RIGHT(LEFT(' Pivot Tables'!$A$4,7),2)),1,0)</f>
        <v>1</v>
      </c>
      <c r="Y4043" s="6">
        <f>1/COUNTIF(Таблица1[Order ID],Таблица1[[#This Row],[Order ID]])</f>
        <v>0.5</v>
      </c>
      <c r="Z4043" s="9">
        <f>1/COUNTIFS(Таблица1[Customer Name],Таблица1[[#This Row],[Customer Name]],Таблица1[Order-Year-Month],Таблица1[[#This Row],[Order-Year-Month]])</f>
        <v>0.5</v>
      </c>
    </row>
    <row r="4044" spans="1:26" x14ac:dyDescent="0.2">
      <c r="A4044" s="6">
        <v>4342</v>
      </c>
      <c r="B4044" s="7">
        <v>30915</v>
      </c>
      <c r="C4044" s="8">
        <f>DATE(2012,12,31)-1445</f>
        <v>39829</v>
      </c>
      <c r="D4044" s="8" t="str">
        <f t="shared" si="76"/>
        <v>2009-01 (январь 2009)</v>
      </c>
      <c r="E4044" s="9" t="s">
        <v>21</v>
      </c>
      <c r="F4044" s="7">
        <v>25</v>
      </c>
      <c r="G4044" s="7">
        <v>2836.0505000000003</v>
      </c>
      <c r="H4044" s="7">
        <v>0.01</v>
      </c>
      <c r="I4044" s="9" t="s">
        <v>22</v>
      </c>
      <c r="J4044" s="10">
        <v>561.13200000000006</v>
      </c>
      <c r="K4044" s="11">
        <v>125.99</v>
      </c>
      <c r="L4044" s="11">
        <v>8.99</v>
      </c>
      <c r="M4044" s="9" t="s">
        <v>1735</v>
      </c>
      <c r="N4044" s="6" t="s">
        <v>1123</v>
      </c>
      <c r="O4044" s="6" t="s">
        <v>1123</v>
      </c>
      <c r="P4044" s="9" t="s">
        <v>41</v>
      </c>
      <c r="Q4044" s="9" t="s">
        <v>42</v>
      </c>
      <c r="R4044" s="9" t="s">
        <v>43</v>
      </c>
      <c r="S4044" s="7" t="s">
        <v>924</v>
      </c>
      <c r="T4044" s="9" t="s">
        <v>39</v>
      </c>
      <c r="U4044" s="7">
        <v>0.59</v>
      </c>
      <c r="V4044" s="12">
        <f>C4044+5</f>
        <v>39834</v>
      </c>
      <c r="W4044">
        <f>IF(D4044=' Pivot Tables'!$A$4,1,0)</f>
        <v>0</v>
      </c>
      <c r="X4044">
        <f>IF(AND(LEFT(D4044,4)+1=LEFT(' Pivot Tables'!$A$4,4)+0,RIGHT(LEFT(D4044,7),2)=RIGHT(LEFT(' Pivot Tables'!$A$4,7),2)),1,0)</f>
        <v>1</v>
      </c>
      <c r="Y4044" s="6">
        <f>1/COUNTIF(Таблица1[Order ID],Таблица1[[#This Row],[Order ID]])</f>
        <v>0.5</v>
      </c>
      <c r="Z4044" s="9">
        <f>1/COUNTIFS(Таблица1[Customer Name],Таблица1[[#This Row],[Customer Name]],Таблица1[Order-Year-Month],Таблица1[[#This Row],[Order-Year-Month]])</f>
        <v>0.5</v>
      </c>
    </row>
    <row r="4045" spans="1:26" x14ac:dyDescent="0.2">
      <c r="A4045" s="6">
        <v>4359</v>
      </c>
      <c r="B4045" s="7">
        <v>31072</v>
      </c>
      <c r="C4045" s="8">
        <f>DATE(2012,12,31)-763</f>
        <v>40511</v>
      </c>
      <c r="D4045" s="8" t="str">
        <f t="shared" si="76"/>
        <v>2010-11 (ноябрь 2010)</v>
      </c>
      <c r="E4045" s="9" t="s">
        <v>21</v>
      </c>
      <c r="F4045" s="7">
        <v>4</v>
      </c>
      <c r="G4045" s="7">
        <v>701.16</v>
      </c>
      <c r="H4045" s="7">
        <v>0.08</v>
      </c>
      <c r="I4045" s="9" t="s">
        <v>22</v>
      </c>
      <c r="J4045" s="10">
        <v>4.5559999999999636</v>
      </c>
      <c r="K4045" s="11">
        <v>172.99</v>
      </c>
      <c r="L4045" s="11">
        <v>19.989999999999998</v>
      </c>
      <c r="M4045" s="9" t="s">
        <v>1189</v>
      </c>
      <c r="N4045" s="6" t="s">
        <v>1123</v>
      </c>
      <c r="O4045" s="6" t="s">
        <v>1123</v>
      </c>
      <c r="P4045" s="9" t="s">
        <v>41</v>
      </c>
      <c r="Q4045" s="9" t="s">
        <v>26</v>
      </c>
      <c r="R4045" s="9" t="s">
        <v>37</v>
      </c>
      <c r="S4045" s="7" t="s">
        <v>616</v>
      </c>
      <c r="T4045" s="9" t="s">
        <v>39</v>
      </c>
      <c r="U4045" s="7">
        <v>0.39</v>
      </c>
      <c r="V4045" s="12">
        <f>C4045+5</f>
        <v>40516</v>
      </c>
      <c r="W4045">
        <f>IF(D4045=' Pivot Tables'!$A$4,1,0)</f>
        <v>0</v>
      </c>
      <c r="X4045">
        <f>IF(AND(LEFT(D4045,4)+1=LEFT(' Pivot Tables'!$A$4,4)+0,RIGHT(LEFT(D4045,7),2)=RIGHT(LEFT(' Pivot Tables'!$A$4,7),2)),1,0)</f>
        <v>0</v>
      </c>
      <c r="Y4045" s="6">
        <f>1/COUNTIF(Таблица1[Order ID],Таблица1[[#This Row],[Order ID]])</f>
        <v>1</v>
      </c>
      <c r="Z4045" s="9">
        <f>1/COUNTIFS(Таблица1[Customer Name],Таблица1[[#This Row],[Customer Name]],Таблица1[Order-Year-Month],Таблица1[[#This Row],[Order-Year-Month]])</f>
        <v>1</v>
      </c>
    </row>
    <row r="4046" spans="1:26" x14ac:dyDescent="0.2">
      <c r="A4046" s="6">
        <v>4360</v>
      </c>
      <c r="B4046" s="7">
        <v>31073</v>
      </c>
      <c r="C4046" s="8">
        <f>DATE(2012,12,31)-890</f>
        <v>40384</v>
      </c>
      <c r="D4046" s="8" t="str">
        <f t="shared" si="76"/>
        <v>2010-07 (июль 2010)</v>
      </c>
      <c r="E4046" s="9" t="s">
        <v>63</v>
      </c>
      <c r="F4046" s="7">
        <v>39</v>
      </c>
      <c r="G4046" s="7">
        <v>1818.76</v>
      </c>
      <c r="H4046" s="7">
        <v>0.02</v>
      </c>
      <c r="I4046" s="9" t="s">
        <v>22</v>
      </c>
      <c r="J4046" s="10">
        <v>843.12</v>
      </c>
      <c r="K4046" s="11">
        <v>46.94</v>
      </c>
      <c r="L4046" s="11">
        <v>6.77</v>
      </c>
      <c r="M4046" s="9" t="s">
        <v>1721</v>
      </c>
      <c r="N4046" s="6" t="s">
        <v>1123</v>
      </c>
      <c r="O4046" s="6" t="s">
        <v>1123</v>
      </c>
      <c r="P4046" s="9" t="s">
        <v>60</v>
      </c>
      <c r="Q4046" s="9" t="s">
        <v>49</v>
      </c>
      <c r="R4046" s="9" t="s">
        <v>50</v>
      </c>
      <c r="S4046" s="7" t="s">
        <v>1124</v>
      </c>
      <c r="T4046" s="9" t="s">
        <v>39</v>
      </c>
      <c r="U4046" s="7">
        <v>0.44</v>
      </c>
      <c r="V4046" s="12">
        <f>C4046+3</f>
        <v>40387</v>
      </c>
      <c r="W4046">
        <f>IF(D4046=' Pivot Tables'!$A$4,1,0)</f>
        <v>0</v>
      </c>
      <c r="X4046">
        <f>IF(AND(LEFT(D4046,4)+1=LEFT(' Pivot Tables'!$A$4,4)+0,RIGHT(LEFT(D4046,7),2)=RIGHT(LEFT(' Pivot Tables'!$A$4,7),2)),1,0)</f>
        <v>0</v>
      </c>
      <c r="Y4046" s="6">
        <f>1/COUNTIF(Таблица1[Order ID],Таблица1[[#This Row],[Order ID]])</f>
        <v>0.5</v>
      </c>
      <c r="Z4046" s="9">
        <f>1/COUNTIFS(Таблица1[Customer Name],Таблица1[[#This Row],[Customer Name]],Таблица1[Order-Year-Month],Таблица1[[#This Row],[Order-Year-Month]])</f>
        <v>0.5</v>
      </c>
    </row>
    <row r="4047" spans="1:26" x14ac:dyDescent="0.2">
      <c r="A4047" s="6">
        <v>4361</v>
      </c>
      <c r="B4047" s="7">
        <v>31073</v>
      </c>
      <c r="C4047" s="8">
        <f>DATE(2012,12,31)-890</f>
        <v>40384</v>
      </c>
      <c r="D4047" s="8" t="str">
        <f t="shared" si="76"/>
        <v>2010-07 (июль 2010)</v>
      </c>
      <c r="E4047" s="9" t="s">
        <v>63</v>
      </c>
      <c r="F4047" s="7">
        <v>26</v>
      </c>
      <c r="G4047" s="7">
        <v>4322.26</v>
      </c>
      <c r="H4047" s="7">
        <v>7.0000000000000007E-2</v>
      </c>
      <c r="I4047" s="9" t="s">
        <v>22</v>
      </c>
      <c r="J4047" s="10">
        <v>-618.95000000000005</v>
      </c>
      <c r="K4047" s="11">
        <v>167.27</v>
      </c>
      <c r="L4047" s="11">
        <v>35</v>
      </c>
      <c r="M4047" s="9" t="s">
        <v>1721</v>
      </c>
      <c r="N4047" s="6" t="s">
        <v>1123</v>
      </c>
      <c r="O4047" s="6" t="s">
        <v>1123</v>
      </c>
      <c r="P4047" s="9" t="s">
        <v>60</v>
      </c>
      <c r="Q4047" s="9" t="s">
        <v>26</v>
      </c>
      <c r="R4047" s="9" t="s">
        <v>27</v>
      </c>
      <c r="S4047" s="7" t="s">
        <v>978</v>
      </c>
      <c r="T4047" s="9" t="s">
        <v>29</v>
      </c>
      <c r="U4047" s="7">
        <v>0.85</v>
      </c>
      <c r="V4047" s="12">
        <f>C4047+0</f>
        <v>40384</v>
      </c>
      <c r="W4047">
        <f>IF(D4047=' Pivot Tables'!$A$4,1,0)</f>
        <v>0</v>
      </c>
      <c r="X4047">
        <f>IF(AND(LEFT(D4047,4)+1=LEFT(' Pivot Tables'!$A$4,4)+0,RIGHT(LEFT(D4047,7),2)=RIGHT(LEFT(' Pivot Tables'!$A$4,7),2)),1,0)</f>
        <v>0</v>
      </c>
      <c r="Y4047" s="6">
        <f>1/COUNTIF(Таблица1[Order ID],Таблица1[[#This Row],[Order ID]])</f>
        <v>0.5</v>
      </c>
      <c r="Z4047" s="9">
        <f>1/COUNTIFS(Таблица1[Customer Name],Таблица1[[#This Row],[Customer Name]],Таблица1[Order-Year-Month],Таблица1[[#This Row],[Order-Year-Month]])</f>
        <v>0.5</v>
      </c>
    </row>
    <row r="4048" spans="1:26" x14ac:dyDescent="0.2">
      <c r="A4048" s="6">
        <v>4370</v>
      </c>
      <c r="B4048" s="7">
        <v>31138</v>
      </c>
      <c r="C4048" s="8">
        <f>DATE(2012,12,31)-1440</f>
        <v>39834</v>
      </c>
      <c r="D4048" s="8" t="str">
        <f t="shared" si="76"/>
        <v>2009-01 (январь 2009)</v>
      </c>
      <c r="E4048" s="9" t="s">
        <v>30</v>
      </c>
      <c r="F4048" s="7">
        <v>37</v>
      </c>
      <c r="G4048" s="7">
        <v>1251.18</v>
      </c>
      <c r="H4048" s="7">
        <v>0.05</v>
      </c>
      <c r="I4048" s="9" t="s">
        <v>31</v>
      </c>
      <c r="J4048" s="10">
        <v>-1756.4404000000002</v>
      </c>
      <c r="K4048" s="11">
        <v>31.76</v>
      </c>
      <c r="L4048" s="11">
        <v>45.51</v>
      </c>
      <c r="M4048" s="9" t="s">
        <v>1721</v>
      </c>
      <c r="N4048" s="6" t="s">
        <v>1123</v>
      </c>
      <c r="O4048" s="6" t="s">
        <v>1123</v>
      </c>
      <c r="P4048" s="9" t="s">
        <v>25</v>
      </c>
      <c r="Q4048" s="9" t="s">
        <v>49</v>
      </c>
      <c r="R4048" s="9" t="s">
        <v>83</v>
      </c>
      <c r="S4048" s="7" t="s">
        <v>611</v>
      </c>
      <c r="T4048" s="9" t="s">
        <v>82</v>
      </c>
      <c r="U4048" s="7">
        <v>0.65</v>
      </c>
      <c r="V4048" s="12">
        <f>C4048+2</f>
        <v>39836</v>
      </c>
      <c r="W4048">
        <f>IF(D4048=' Pivot Tables'!$A$4,1,0)</f>
        <v>0</v>
      </c>
      <c r="X4048">
        <f>IF(AND(LEFT(D4048,4)+1=LEFT(' Pivot Tables'!$A$4,4)+0,RIGHT(LEFT(D4048,7),2)=RIGHT(LEFT(' Pivot Tables'!$A$4,7),2)),1,0)</f>
        <v>1</v>
      </c>
      <c r="Y4048" s="6">
        <f>1/COUNTIF(Таблица1[Order ID],Таблица1[[#This Row],[Order ID]])</f>
        <v>1</v>
      </c>
      <c r="Z4048" s="9">
        <f>1/COUNTIFS(Таблица1[Customer Name],Таблица1[[#This Row],[Customer Name]],Таблица1[Order-Year-Month],Таблица1[[#This Row],[Order-Year-Month]])</f>
        <v>1</v>
      </c>
    </row>
    <row r="4049" spans="1:26" x14ac:dyDescent="0.2">
      <c r="A4049" s="6">
        <v>4375</v>
      </c>
      <c r="B4049" s="7">
        <v>31173</v>
      </c>
      <c r="C4049" s="8">
        <f>DATE(2012,12,31)-135</f>
        <v>41139</v>
      </c>
      <c r="D4049" s="8" t="str">
        <f t="shared" si="76"/>
        <v>2012-08 (август 2012)</v>
      </c>
      <c r="E4049" s="9" t="s">
        <v>21</v>
      </c>
      <c r="F4049" s="7">
        <v>24</v>
      </c>
      <c r="G4049" s="7">
        <v>169.35400000000001</v>
      </c>
      <c r="H4049" s="7">
        <v>0.09</v>
      </c>
      <c r="I4049" s="9" t="s">
        <v>56</v>
      </c>
      <c r="J4049" s="10">
        <v>-84.138999999999996</v>
      </c>
      <c r="K4049" s="11">
        <v>7.99</v>
      </c>
      <c r="L4049" s="11">
        <v>5.03</v>
      </c>
      <c r="M4049" s="9" t="s">
        <v>1728</v>
      </c>
      <c r="N4049" s="6" t="s">
        <v>1123</v>
      </c>
      <c r="O4049" s="6" t="s">
        <v>1123</v>
      </c>
      <c r="P4049" s="9" t="s">
        <v>33</v>
      </c>
      <c r="Q4049" s="9" t="s">
        <v>42</v>
      </c>
      <c r="R4049" s="9" t="s">
        <v>43</v>
      </c>
      <c r="S4049" s="7" t="s">
        <v>140</v>
      </c>
      <c r="T4049" s="9" t="s">
        <v>48</v>
      </c>
      <c r="U4049" s="7">
        <v>0.6</v>
      </c>
      <c r="V4049" s="12">
        <f>C4049+7</f>
        <v>41146</v>
      </c>
      <c r="W4049">
        <f>IF(D4049=' Pivot Tables'!$A$4,1,0)</f>
        <v>0</v>
      </c>
      <c r="X4049">
        <f>IF(AND(LEFT(D4049,4)+1=LEFT(' Pivot Tables'!$A$4,4)+0,RIGHT(LEFT(D4049,7),2)=RIGHT(LEFT(' Pivot Tables'!$A$4,7),2)),1,0)</f>
        <v>0</v>
      </c>
      <c r="Y4049" s="6">
        <f>1/COUNTIF(Таблица1[Order ID],Таблица1[[#This Row],[Order ID]])</f>
        <v>1</v>
      </c>
      <c r="Z4049" s="9">
        <f>1/COUNTIFS(Таблица1[Customer Name],Таблица1[[#This Row],[Customer Name]],Таблица1[Order-Year-Month],Таблица1[[#This Row],[Order-Year-Month]])</f>
        <v>1</v>
      </c>
    </row>
    <row r="4050" spans="1:26" x14ac:dyDescent="0.2">
      <c r="A4050" s="6">
        <v>4463</v>
      </c>
      <c r="B4050" s="7">
        <v>31812</v>
      </c>
      <c r="C4050" s="8">
        <f>DATE(2012,12,31)-519</f>
        <v>40755</v>
      </c>
      <c r="D4050" s="8" t="str">
        <f t="shared" si="76"/>
        <v>2011-07 (июль 2011)</v>
      </c>
      <c r="E4050" s="9" t="s">
        <v>30</v>
      </c>
      <c r="F4050" s="7">
        <v>14</v>
      </c>
      <c r="G4050" s="7">
        <v>593.62</v>
      </c>
      <c r="H4050" s="7">
        <v>0.02</v>
      </c>
      <c r="I4050" s="9" t="s">
        <v>22</v>
      </c>
      <c r="J4050" s="10">
        <v>25.19</v>
      </c>
      <c r="K4050" s="11">
        <v>40.99</v>
      </c>
      <c r="L4050" s="11">
        <v>19.989999999999998</v>
      </c>
      <c r="M4050" s="9" t="s">
        <v>1751</v>
      </c>
      <c r="N4050" s="6" t="s">
        <v>1123</v>
      </c>
      <c r="O4050" s="6" t="s">
        <v>1123</v>
      </c>
      <c r="P4050" s="9" t="s">
        <v>25</v>
      </c>
      <c r="Q4050" s="9" t="s">
        <v>26</v>
      </c>
      <c r="R4050" s="9" t="s">
        <v>61</v>
      </c>
      <c r="S4050" s="7" t="s">
        <v>105</v>
      </c>
      <c r="T4050" s="9" t="s">
        <v>39</v>
      </c>
      <c r="U4050" s="7">
        <v>0.36</v>
      </c>
      <c r="V4050" s="12">
        <f>C4050+2</f>
        <v>40757</v>
      </c>
      <c r="W4050">
        <f>IF(D4050=' Pivot Tables'!$A$4,1,0)</f>
        <v>0</v>
      </c>
      <c r="X4050">
        <f>IF(AND(LEFT(D4050,4)+1=LEFT(' Pivot Tables'!$A$4,4)+0,RIGHT(LEFT(D4050,7),2)=RIGHT(LEFT(' Pivot Tables'!$A$4,7),2)),1,0)</f>
        <v>0</v>
      </c>
      <c r="Y4050" s="6">
        <f>1/COUNTIF(Таблица1[Order ID],Таблица1[[#This Row],[Order ID]])</f>
        <v>0.5</v>
      </c>
      <c r="Z4050" s="9">
        <f>1/COUNTIFS(Таблица1[Customer Name],Таблица1[[#This Row],[Customer Name]],Таблица1[Order-Year-Month],Таблица1[[#This Row],[Order-Year-Month]])</f>
        <v>0.5</v>
      </c>
    </row>
    <row r="4051" spans="1:26" x14ac:dyDescent="0.2">
      <c r="A4051" s="6">
        <v>4464</v>
      </c>
      <c r="B4051" s="7">
        <v>31812</v>
      </c>
      <c r="C4051" s="8">
        <f>DATE(2012,12,31)-519</f>
        <v>40755</v>
      </c>
      <c r="D4051" s="8" t="str">
        <f t="shared" si="76"/>
        <v>2011-07 (июль 2011)</v>
      </c>
      <c r="E4051" s="9" t="s">
        <v>30</v>
      </c>
      <c r="F4051" s="7">
        <v>31</v>
      </c>
      <c r="G4051" s="7">
        <v>38.520000000000003</v>
      </c>
      <c r="H4051" s="7">
        <v>0.06</v>
      </c>
      <c r="I4051" s="9" t="s">
        <v>22</v>
      </c>
      <c r="J4051" s="10">
        <v>-17.34</v>
      </c>
      <c r="K4051" s="11">
        <v>1.26</v>
      </c>
      <c r="L4051" s="11">
        <v>0.7</v>
      </c>
      <c r="M4051" s="9" t="s">
        <v>1751</v>
      </c>
      <c r="N4051" s="6" t="s">
        <v>1123</v>
      </c>
      <c r="O4051" s="6" t="s">
        <v>1123</v>
      </c>
      <c r="P4051" s="9" t="s">
        <v>25</v>
      </c>
      <c r="Q4051" s="9" t="s">
        <v>26</v>
      </c>
      <c r="R4051" s="9" t="s">
        <v>66</v>
      </c>
      <c r="S4051" s="7" t="s">
        <v>351</v>
      </c>
      <c r="T4051" s="9" t="s">
        <v>68</v>
      </c>
      <c r="U4051" s="7">
        <v>0.81</v>
      </c>
      <c r="V4051" s="12">
        <f>C4051+2</f>
        <v>40757</v>
      </c>
      <c r="W4051">
        <f>IF(D4051=' Pivot Tables'!$A$4,1,0)</f>
        <v>0</v>
      </c>
      <c r="X4051">
        <f>IF(AND(LEFT(D4051,4)+1=LEFT(' Pivot Tables'!$A$4,4)+0,RIGHT(LEFT(D4051,7),2)=RIGHT(LEFT(' Pivot Tables'!$A$4,7),2)),1,0)</f>
        <v>0</v>
      </c>
      <c r="Y4051" s="6">
        <f>1/COUNTIF(Таблица1[Order ID],Таблица1[[#This Row],[Order ID]])</f>
        <v>0.5</v>
      </c>
      <c r="Z4051" s="9">
        <f>1/COUNTIFS(Таблица1[Customer Name],Таблица1[[#This Row],[Customer Name]],Таблица1[Order-Year-Month],Таблица1[[#This Row],[Order-Year-Month]])</f>
        <v>0.5</v>
      </c>
    </row>
    <row r="4052" spans="1:26" x14ac:dyDescent="0.2">
      <c r="A4052" s="6">
        <v>4496</v>
      </c>
      <c r="B4052" s="7">
        <v>32002</v>
      </c>
      <c r="C4052" s="8">
        <f>DATE(2012,12,31)-895</f>
        <v>40379</v>
      </c>
      <c r="D4052" s="8" t="str">
        <f t="shared" si="76"/>
        <v>2010-07 (июль 2010)</v>
      </c>
      <c r="E4052" s="9" t="s">
        <v>21</v>
      </c>
      <c r="F4052" s="7">
        <v>37</v>
      </c>
      <c r="G4052" s="7">
        <v>1196.2</v>
      </c>
      <c r="H4052" s="7">
        <v>0.03</v>
      </c>
      <c r="I4052" s="9" t="s">
        <v>22</v>
      </c>
      <c r="J4052" s="10">
        <v>-73.77</v>
      </c>
      <c r="K4052" s="11">
        <v>30.98</v>
      </c>
      <c r="L4052" s="11">
        <v>6.5</v>
      </c>
      <c r="M4052" s="9" t="s">
        <v>1723</v>
      </c>
      <c r="N4052" s="6" t="s">
        <v>1123</v>
      </c>
      <c r="O4052" s="6" t="s">
        <v>1123</v>
      </c>
      <c r="P4052" s="9" t="s">
        <v>33</v>
      </c>
      <c r="Q4052" s="9" t="s">
        <v>42</v>
      </c>
      <c r="R4052" s="9" t="s">
        <v>70</v>
      </c>
      <c r="S4052" s="7" t="s">
        <v>805</v>
      </c>
      <c r="T4052" s="9" t="s">
        <v>39</v>
      </c>
      <c r="U4052" s="7">
        <v>0.79</v>
      </c>
      <c r="V4052" s="12">
        <f>C4052+4</f>
        <v>40383</v>
      </c>
      <c r="W4052">
        <f>IF(D4052=' Pivot Tables'!$A$4,1,0)</f>
        <v>0</v>
      </c>
      <c r="X4052">
        <f>IF(AND(LEFT(D4052,4)+1=LEFT(' Pivot Tables'!$A$4,4)+0,RIGHT(LEFT(D4052,7),2)=RIGHT(LEFT(' Pivot Tables'!$A$4,7),2)),1,0)</f>
        <v>0</v>
      </c>
      <c r="Y4052" s="6">
        <f>1/COUNTIF(Таблица1[Order ID],Таблица1[[#This Row],[Order ID]])</f>
        <v>0.5</v>
      </c>
      <c r="Z4052" s="9">
        <f>1/COUNTIFS(Таблица1[Customer Name],Таблица1[[#This Row],[Customer Name]],Таблица1[Order-Year-Month],Таблица1[[#This Row],[Order-Year-Month]])</f>
        <v>0.5</v>
      </c>
    </row>
    <row r="4053" spans="1:26" x14ac:dyDescent="0.2">
      <c r="A4053" s="6">
        <v>4497</v>
      </c>
      <c r="B4053" s="7">
        <v>32002</v>
      </c>
      <c r="C4053" s="8">
        <f>DATE(2012,12,31)-895</f>
        <v>40379</v>
      </c>
      <c r="D4053" s="8" t="str">
        <f t="shared" si="76"/>
        <v>2010-07 (июль 2010)</v>
      </c>
      <c r="E4053" s="9" t="s">
        <v>21</v>
      </c>
      <c r="F4053" s="7">
        <v>7</v>
      </c>
      <c r="G4053" s="7">
        <v>98.55</v>
      </c>
      <c r="H4053" s="7">
        <v>7.0000000000000007E-2</v>
      </c>
      <c r="I4053" s="9" t="s">
        <v>22</v>
      </c>
      <c r="J4053" s="10">
        <v>23.16</v>
      </c>
      <c r="K4053" s="11">
        <v>13.79</v>
      </c>
      <c r="L4053" s="11">
        <v>8.7799999999999994</v>
      </c>
      <c r="M4053" s="9" t="s">
        <v>1723</v>
      </c>
      <c r="N4053" s="6" t="s">
        <v>1123</v>
      </c>
      <c r="O4053" s="6" t="s">
        <v>1123</v>
      </c>
      <c r="P4053" s="9" t="s">
        <v>33</v>
      </c>
      <c r="Q4053" s="9" t="s">
        <v>49</v>
      </c>
      <c r="R4053" s="9" t="s">
        <v>50</v>
      </c>
      <c r="S4053" s="7" t="s">
        <v>641</v>
      </c>
      <c r="T4053" s="9" t="s">
        <v>39</v>
      </c>
      <c r="U4053" s="7">
        <v>0.43</v>
      </c>
      <c r="V4053" s="12">
        <f>C4053+0</f>
        <v>40379</v>
      </c>
      <c r="W4053">
        <f>IF(D4053=' Pivot Tables'!$A$4,1,0)</f>
        <v>0</v>
      </c>
      <c r="X4053">
        <f>IF(AND(LEFT(D4053,4)+1=LEFT(' Pivot Tables'!$A$4,4)+0,RIGHT(LEFT(D4053,7),2)=RIGHT(LEFT(' Pivot Tables'!$A$4,7),2)),1,0)</f>
        <v>0</v>
      </c>
      <c r="Y4053" s="6">
        <f>1/COUNTIF(Таблица1[Order ID],Таблица1[[#This Row],[Order ID]])</f>
        <v>0.5</v>
      </c>
      <c r="Z4053" s="9">
        <f>1/COUNTIFS(Таблица1[Customer Name],Таблица1[[#This Row],[Customer Name]],Таблица1[Order-Year-Month],Таблица1[[#This Row],[Order-Year-Month]])</f>
        <v>0.5</v>
      </c>
    </row>
    <row r="4054" spans="1:26" x14ac:dyDescent="0.2">
      <c r="A4054" s="6">
        <v>4541</v>
      </c>
      <c r="B4054" s="7">
        <v>32323</v>
      </c>
      <c r="C4054" s="8">
        <f>DATE(2012,12,31)-892</f>
        <v>40382</v>
      </c>
      <c r="D4054" s="8" t="str">
        <f t="shared" si="76"/>
        <v>2010-07 (июль 2010)</v>
      </c>
      <c r="E4054" s="9" t="s">
        <v>30</v>
      </c>
      <c r="F4054" s="7">
        <v>3</v>
      </c>
      <c r="G4054" s="7">
        <v>28.75</v>
      </c>
      <c r="H4054" s="7">
        <v>0.01</v>
      </c>
      <c r="I4054" s="9" t="s">
        <v>22</v>
      </c>
      <c r="J4054" s="10">
        <v>-31.43</v>
      </c>
      <c r="K4054" s="11">
        <v>8.4600000000000009</v>
      </c>
      <c r="L4054" s="11">
        <v>3.62</v>
      </c>
      <c r="M4054" s="9" t="s">
        <v>1415</v>
      </c>
      <c r="N4054" s="6" t="s">
        <v>1123</v>
      </c>
      <c r="O4054" s="6" t="s">
        <v>1123</v>
      </c>
      <c r="P4054" s="9" t="s">
        <v>25</v>
      </c>
      <c r="Q4054" s="9" t="s">
        <v>42</v>
      </c>
      <c r="R4054" s="9" t="s">
        <v>70</v>
      </c>
      <c r="S4054" s="7" t="s">
        <v>1221</v>
      </c>
      <c r="T4054" s="9" t="s">
        <v>52</v>
      </c>
      <c r="U4054" s="7">
        <v>0.61</v>
      </c>
      <c r="V4054" s="12">
        <f>C4054+1</f>
        <v>40383</v>
      </c>
      <c r="W4054">
        <f>IF(D4054=' Pivot Tables'!$A$4,1,0)</f>
        <v>0</v>
      </c>
      <c r="X4054">
        <f>IF(AND(LEFT(D4054,4)+1=LEFT(' Pivot Tables'!$A$4,4)+0,RIGHT(LEFT(D4054,7),2)=RIGHT(LEFT(' Pivot Tables'!$A$4,7),2)),1,0)</f>
        <v>0</v>
      </c>
      <c r="Y4054" s="6">
        <f>1/COUNTIF(Таблица1[Order ID],Таблица1[[#This Row],[Order ID]])</f>
        <v>0.33333333333333331</v>
      </c>
      <c r="Z4054" s="9">
        <f>1/COUNTIFS(Таблица1[Customer Name],Таблица1[[#This Row],[Customer Name]],Таблица1[Order-Year-Month],Таблица1[[#This Row],[Order-Year-Month]])</f>
        <v>0.33333333333333331</v>
      </c>
    </row>
    <row r="4055" spans="1:26" x14ac:dyDescent="0.2">
      <c r="A4055" s="6">
        <v>4542</v>
      </c>
      <c r="B4055" s="7">
        <v>32323</v>
      </c>
      <c r="C4055" s="8">
        <f>DATE(2012,12,31)-892</f>
        <v>40382</v>
      </c>
      <c r="D4055" s="8" t="str">
        <f t="shared" si="76"/>
        <v>2010-07 (июль 2010)</v>
      </c>
      <c r="E4055" s="9" t="s">
        <v>30</v>
      </c>
      <c r="F4055" s="7">
        <v>3</v>
      </c>
      <c r="G4055" s="7">
        <v>75.81</v>
      </c>
      <c r="H4055" s="7">
        <v>0.06</v>
      </c>
      <c r="I4055" s="9" t="s">
        <v>22</v>
      </c>
      <c r="J4055" s="10">
        <v>-21.13</v>
      </c>
      <c r="K4055" s="11">
        <v>22.84</v>
      </c>
      <c r="L4055" s="11">
        <v>8.18</v>
      </c>
      <c r="M4055" s="9" t="s">
        <v>1415</v>
      </c>
      <c r="N4055" s="6" t="s">
        <v>1123</v>
      </c>
      <c r="O4055" s="6" t="s">
        <v>1123</v>
      </c>
      <c r="P4055" s="9" t="s">
        <v>25</v>
      </c>
      <c r="Q4055" s="9" t="s">
        <v>26</v>
      </c>
      <c r="R4055" s="9" t="s">
        <v>61</v>
      </c>
      <c r="S4055" s="7" t="s">
        <v>1539</v>
      </c>
      <c r="T4055" s="9" t="s">
        <v>39</v>
      </c>
      <c r="U4055" s="7">
        <v>0.39</v>
      </c>
      <c r="V4055" s="12">
        <f>C4055+0</f>
        <v>40382</v>
      </c>
      <c r="W4055">
        <f>IF(D4055=' Pivot Tables'!$A$4,1,0)</f>
        <v>0</v>
      </c>
      <c r="X4055">
        <f>IF(AND(LEFT(D4055,4)+1=LEFT(' Pivot Tables'!$A$4,4)+0,RIGHT(LEFT(D4055,7),2)=RIGHT(LEFT(' Pivot Tables'!$A$4,7),2)),1,0)</f>
        <v>0</v>
      </c>
      <c r="Y4055" s="6">
        <f>1/COUNTIF(Таблица1[Order ID],Таблица1[[#This Row],[Order ID]])</f>
        <v>0.33333333333333331</v>
      </c>
      <c r="Z4055" s="9">
        <f>1/COUNTIFS(Таблица1[Customer Name],Таблица1[[#This Row],[Customer Name]],Таблица1[Order-Year-Month],Таблица1[[#This Row],[Order-Year-Month]])</f>
        <v>0.33333333333333331</v>
      </c>
    </row>
    <row r="4056" spans="1:26" x14ac:dyDescent="0.2">
      <c r="A4056" s="6">
        <v>4543</v>
      </c>
      <c r="B4056" s="7">
        <v>32323</v>
      </c>
      <c r="C4056" s="8">
        <f>DATE(2012,12,31)-892</f>
        <v>40382</v>
      </c>
      <c r="D4056" s="8" t="str">
        <f t="shared" si="76"/>
        <v>2010-07 (июль 2010)</v>
      </c>
      <c r="E4056" s="9" t="s">
        <v>30</v>
      </c>
      <c r="F4056" s="7">
        <v>38</v>
      </c>
      <c r="G4056" s="7">
        <v>259.71749999999997</v>
      </c>
      <c r="H4056" s="7">
        <v>0.02</v>
      </c>
      <c r="I4056" s="9" t="s">
        <v>22</v>
      </c>
      <c r="J4056" s="10">
        <v>-118.48099999999999</v>
      </c>
      <c r="K4056" s="11">
        <v>7.99</v>
      </c>
      <c r="L4056" s="11">
        <v>5.03</v>
      </c>
      <c r="M4056" s="9" t="s">
        <v>1415</v>
      </c>
      <c r="N4056" s="6" t="s">
        <v>1123</v>
      </c>
      <c r="O4056" s="6" t="s">
        <v>1123</v>
      </c>
      <c r="P4056" s="9" t="s">
        <v>25</v>
      </c>
      <c r="Q4056" s="9" t="s">
        <v>42</v>
      </c>
      <c r="R4056" s="9" t="s">
        <v>43</v>
      </c>
      <c r="S4056" s="7" t="s">
        <v>140</v>
      </c>
      <c r="T4056" s="9" t="s">
        <v>48</v>
      </c>
      <c r="U4056" s="7">
        <v>0.6</v>
      </c>
      <c r="V4056" s="12">
        <f>C4056+2</f>
        <v>40384</v>
      </c>
      <c r="W4056">
        <f>IF(D4056=' Pivot Tables'!$A$4,1,0)</f>
        <v>0</v>
      </c>
      <c r="X4056">
        <f>IF(AND(LEFT(D4056,4)+1=LEFT(' Pivot Tables'!$A$4,4)+0,RIGHT(LEFT(D4056,7),2)=RIGHT(LEFT(' Pivot Tables'!$A$4,7),2)),1,0)</f>
        <v>0</v>
      </c>
      <c r="Y4056" s="6">
        <f>1/COUNTIF(Таблица1[Order ID],Таблица1[[#This Row],[Order ID]])</f>
        <v>0.33333333333333331</v>
      </c>
      <c r="Z4056" s="9">
        <f>1/COUNTIFS(Таблица1[Customer Name],Таблица1[[#This Row],[Customer Name]],Таблица1[Order-Year-Month],Таблица1[[#This Row],[Order-Year-Month]])</f>
        <v>0.33333333333333331</v>
      </c>
    </row>
    <row r="4057" spans="1:26" x14ac:dyDescent="0.2">
      <c r="A4057" s="6">
        <v>4564</v>
      </c>
      <c r="B4057" s="7">
        <v>32454</v>
      </c>
      <c r="C4057" s="8">
        <f>DATE(2012,12,31)-641</f>
        <v>40633</v>
      </c>
      <c r="D4057" s="8" t="str">
        <f t="shared" si="76"/>
        <v>2011-03 (март 2011)</v>
      </c>
      <c r="E4057" s="9" t="s">
        <v>78</v>
      </c>
      <c r="F4057" s="7">
        <v>12</v>
      </c>
      <c r="G4057" s="7">
        <v>83.89</v>
      </c>
      <c r="H4057" s="7">
        <v>0.05</v>
      </c>
      <c r="I4057" s="9" t="s">
        <v>22</v>
      </c>
      <c r="J4057" s="10">
        <v>-29.589500000000001</v>
      </c>
      <c r="K4057" s="11">
        <v>6.81</v>
      </c>
      <c r="L4057" s="11">
        <v>5.48</v>
      </c>
      <c r="M4057" s="9" t="s">
        <v>1765</v>
      </c>
      <c r="N4057" s="6" t="s">
        <v>1123</v>
      </c>
      <c r="O4057" s="6" t="s">
        <v>1123</v>
      </c>
      <c r="P4057" s="9" t="s">
        <v>33</v>
      </c>
      <c r="Q4057" s="9" t="s">
        <v>26</v>
      </c>
      <c r="R4057" s="9" t="s">
        <v>37</v>
      </c>
      <c r="S4057" s="7" t="s">
        <v>1319</v>
      </c>
      <c r="T4057" s="9" t="s">
        <v>39</v>
      </c>
      <c r="U4057" s="7">
        <v>0.37</v>
      </c>
      <c r="V4057" s="12">
        <f>C4057+1</f>
        <v>40634</v>
      </c>
      <c r="W4057">
        <f>IF(D4057=' Pivot Tables'!$A$4,1,0)</f>
        <v>0</v>
      </c>
      <c r="X4057">
        <f>IF(AND(LEFT(D4057,4)+1=LEFT(' Pivot Tables'!$A$4,4)+0,RIGHT(LEFT(D4057,7),2)=RIGHT(LEFT(' Pivot Tables'!$A$4,7),2)),1,0)</f>
        <v>0</v>
      </c>
      <c r="Y4057" s="6">
        <f>1/COUNTIF(Таблица1[Order ID],Таблица1[[#This Row],[Order ID]])</f>
        <v>1</v>
      </c>
      <c r="Z4057" s="9">
        <f>1/COUNTIFS(Таблица1[Customer Name],Таблица1[[#This Row],[Customer Name]],Таблица1[Order-Year-Month],Таблица1[[#This Row],[Order-Year-Month]])</f>
        <v>1</v>
      </c>
    </row>
    <row r="4058" spans="1:26" x14ac:dyDescent="0.2">
      <c r="A4058" s="6">
        <v>4569</v>
      </c>
      <c r="B4058" s="7">
        <v>32516</v>
      </c>
      <c r="C4058" s="8">
        <f>DATE(2012,12,31)-799</f>
        <v>40475</v>
      </c>
      <c r="D4058" s="8" t="str">
        <f t="shared" si="76"/>
        <v>2010-10 (октябрь 2010)</v>
      </c>
      <c r="E4058" s="9" t="s">
        <v>78</v>
      </c>
      <c r="F4058" s="7">
        <v>15</v>
      </c>
      <c r="G4058" s="7">
        <v>43.96</v>
      </c>
      <c r="H4058" s="7">
        <v>0.03</v>
      </c>
      <c r="I4058" s="9" t="s">
        <v>22</v>
      </c>
      <c r="J4058" s="10">
        <v>-0.24149999999999999</v>
      </c>
      <c r="K4058" s="11">
        <v>2.78</v>
      </c>
      <c r="L4058" s="11">
        <v>1.49</v>
      </c>
      <c r="M4058" s="9" t="s">
        <v>1738</v>
      </c>
      <c r="N4058" s="6" t="s">
        <v>1123</v>
      </c>
      <c r="O4058" s="6" t="s">
        <v>1123</v>
      </c>
      <c r="P4058" s="9" t="s">
        <v>41</v>
      </c>
      <c r="Q4058" s="9" t="s">
        <v>26</v>
      </c>
      <c r="R4058" s="9" t="s">
        <v>37</v>
      </c>
      <c r="S4058" s="7" t="s">
        <v>569</v>
      </c>
      <c r="T4058" s="9" t="s">
        <v>39</v>
      </c>
      <c r="U4058" s="7">
        <v>0.39</v>
      </c>
      <c r="V4058" s="12">
        <f>C4058+2</f>
        <v>40477</v>
      </c>
      <c r="W4058">
        <f>IF(D4058=' Pivot Tables'!$A$4,1,0)</f>
        <v>0</v>
      </c>
      <c r="X4058">
        <f>IF(AND(LEFT(D4058,4)+1=LEFT(' Pivot Tables'!$A$4,4)+0,RIGHT(LEFT(D4058,7),2)=RIGHT(LEFT(' Pivot Tables'!$A$4,7),2)),1,0)</f>
        <v>0</v>
      </c>
      <c r="Y4058" s="6">
        <f>1/COUNTIF(Таблица1[Order ID],Таблица1[[#This Row],[Order ID]])</f>
        <v>0.5</v>
      </c>
      <c r="Z4058" s="9">
        <f>1/COUNTIFS(Таблица1[Customer Name],Таблица1[[#This Row],[Customer Name]],Таблица1[Order-Year-Month],Таблица1[[#This Row],[Order-Year-Month]])</f>
        <v>0.5</v>
      </c>
    </row>
    <row r="4059" spans="1:26" x14ac:dyDescent="0.2">
      <c r="A4059" s="6">
        <v>4570</v>
      </c>
      <c r="B4059" s="7">
        <v>32516</v>
      </c>
      <c r="C4059" s="8">
        <f>DATE(2012,12,31)-799</f>
        <v>40475</v>
      </c>
      <c r="D4059" s="8" t="str">
        <f t="shared" si="76"/>
        <v>2010-10 (октябрь 2010)</v>
      </c>
      <c r="E4059" s="9" t="s">
        <v>78</v>
      </c>
      <c r="F4059" s="7">
        <v>7</v>
      </c>
      <c r="G4059" s="7">
        <v>60.19</v>
      </c>
      <c r="H4059" s="7">
        <v>0.01</v>
      </c>
      <c r="I4059" s="9" t="s">
        <v>22</v>
      </c>
      <c r="J4059" s="10">
        <v>6.44</v>
      </c>
      <c r="K4059" s="11">
        <v>7.78</v>
      </c>
      <c r="L4059" s="11">
        <v>2.5</v>
      </c>
      <c r="M4059" s="9" t="s">
        <v>1738</v>
      </c>
      <c r="N4059" s="6" t="s">
        <v>1123</v>
      </c>
      <c r="O4059" s="6" t="s">
        <v>1123</v>
      </c>
      <c r="P4059" s="9" t="s">
        <v>41</v>
      </c>
      <c r="Q4059" s="9" t="s">
        <v>26</v>
      </c>
      <c r="R4059" s="9" t="s">
        <v>76</v>
      </c>
      <c r="S4059" s="7" t="s">
        <v>1080</v>
      </c>
      <c r="T4059" s="9" t="s">
        <v>39</v>
      </c>
      <c r="U4059" s="7">
        <v>0.38</v>
      </c>
      <c r="V4059" s="12">
        <f>C4059+2</f>
        <v>40477</v>
      </c>
      <c r="W4059">
        <f>IF(D4059=' Pivot Tables'!$A$4,1,0)</f>
        <v>0</v>
      </c>
      <c r="X4059">
        <f>IF(AND(LEFT(D4059,4)+1=LEFT(' Pivot Tables'!$A$4,4)+0,RIGHT(LEFT(D4059,7),2)=RIGHT(LEFT(' Pivot Tables'!$A$4,7),2)),1,0)</f>
        <v>0</v>
      </c>
      <c r="Y4059" s="6">
        <f>1/COUNTIF(Таблица1[Order ID],Таблица1[[#This Row],[Order ID]])</f>
        <v>0.5</v>
      </c>
      <c r="Z4059" s="9">
        <f>1/COUNTIFS(Таблица1[Customer Name],Таблица1[[#This Row],[Customer Name]],Таблица1[Order-Year-Month],Таблица1[[#This Row],[Order-Year-Month]])</f>
        <v>0.5</v>
      </c>
    </row>
    <row r="4060" spans="1:26" x14ac:dyDescent="0.2">
      <c r="A4060" s="6">
        <v>4577</v>
      </c>
      <c r="B4060" s="7">
        <v>32608</v>
      </c>
      <c r="C4060" s="8">
        <f>DATE(2012,12,31)-223</f>
        <v>41051</v>
      </c>
      <c r="D4060" s="8" t="str">
        <f t="shared" si="76"/>
        <v>2012-05 (май 2012)</v>
      </c>
      <c r="E4060" s="9" t="s">
        <v>30</v>
      </c>
      <c r="F4060" s="7">
        <v>20</v>
      </c>
      <c r="G4060" s="7">
        <v>1361.91</v>
      </c>
      <c r="H4060" s="7">
        <v>0.05</v>
      </c>
      <c r="I4060" s="9" t="s">
        <v>22</v>
      </c>
      <c r="J4060" s="10">
        <v>312.52</v>
      </c>
      <c r="K4060" s="11">
        <v>70.97</v>
      </c>
      <c r="L4060" s="11">
        <v>3.5</v>
      </c>
      <c r="M4060" s="9" t="s">
        <v>1735</v>
      </c>
      <c r="N4060" s="6" t="s">
        <v>1123</v>
      </c>
      <c r="O4060" s="6" t="s">
        <v>1123</v>
      </c>
      <c r="P4060" s="9" t="s">
        <v>41</v>
      </c>
      <c r="Q4060" s="9" t="s">
        <v>26</v>
      </c>
      <c r="R4060" s="9" t="s">
        <v>34</v>
      </c>
      <c r="S4060" s="7" t="s">
        <v>1401</v>
      </c>
      <c r="T4060" s="9" t="s">
        <v>39</v>
      </c>
      <c r="U4060" s="7">
        <v>0.59</v>
      </c>
      <c r="V4060" s="12">
        <f>C4060+2</f>
        <v>41053</v>
      </c>
      <c r="W4060">
        <f>IF(D4060=' Pivot Tables'!$A$4,1,0)</f>
        <v>0</v>
      </c>
      <c r="X4060">
        <f>IF(AND(LEFT(D4060,4)+1=LEFT(' Pivot Tables'!$A$4,4)+0,RIGHT(LEFT(D4060,7),2)=RIGHT(LEFT(' Pivot Tables'!$A$4,7),2)),1,0)</f>
        <v>0</v>
      </c>
      <c r="Y4060" s="6">
        <f>1/COUNTIF(Таблица1[Order ID],Таблица1[[#This Row],[Order ID]])</f>
        <v>1</v>
      </c>
      <c r="Z4060" s="9">
        <f>1/COUNTIFS(Таблица1[Customer Name],Таблица1[[#This Row],[Customer Name]],Таблица1[Order-Year-Month],Таблица1[[#This Row],[Order-Year-Month]])</f>
        <v>1</v>
      </c>
    </row>
    <row r="4061" spans="1:26" x14ac:dyDescent="0.2">
      <c r="A4061" s="6">
        <v>4704</v>
      </c>
      <c r="B4061" s="7">
        <v>33510</v>
      </c>
      <c r="C4061" s="8">
        <f>DATE(2012,12,31)-395</f>
        <v>40879</v>
      </c>
      <c r="D4061" s="8" t="str">
        <f t="shared" si="76"/>
        <v>2011-12 (декабрь 2011)</v>
      </c>
      <c r="E4061" s="9" t="s">
        <v>30</v>
      </c>
      <c r="F4061" s="7">
        <v>42</v>
      </c>
      <c r="G4061" s="7">
        <v>267.06</v>
      </c>
      <c r="H4061" s="7">
        <v>0.03</v>
      </c>
      <c r="I4061" s="9" t="s">
        <v>22</v>
      </c>
      <c r="J4061" s="10">
        <v>-96.95</v>
      </c>
      <c r="K4061" s="11">
        <v>6.24</v>
      </c>
      <c r="L4061" s="11">
        <v>5.22</v>
      </c>
      <c r="M4061" s="9" t="s">
        <v>1744</v>
      </c>
      <c r="N4061" s="6" t="s">
        <v>1123</v>
      </c>
      <c r="O4061" s="6" t="s">
        <v>1123</v>
      </c>
      <c r="P4061" s="9" t="s">
        <v>41</v>
      </c>
      <c r="Q4061" s="9" t="s">
        <v>49</v>
      </c>
      <c r="R4061" s="9" t="s">
        <v>50</v>
      </c>
      <c r="S4061" s="7" t="s">
        <v>1140</v>
      </c>
      <c r="T4061" s="9" t="s">
        <v>39</v>
      </c>
      <c r="U4061" s="7">
        <v>0.6</v>
      </c>
      <c r="V4061" s="12">
        <f>C4061+1</f>
        <v>40880</v>
      </c>
      <c r="W4061">
        <f>IF(D4061=' Pivot Tables'!$A$4,1,0)</f>
        <v>0</v>
      </c>
      <c r="X4061">
        <f>IF(AND(LEFT(D4061,4)+1=LEFT(' Pivot Tables'!$A$4,4)+0,RIGHT(LEFT(D4061,7),2)=RIGHT(LEFT(' Pivot Tables'!$A$4,7),2)),1,0)</f>
        <v>0</v>
      </c>
      <c r="Y4061" s="6">
        <f>1/COUNTIF(Таблица1[Order ID],Таблица1[[#This Row],[Order ID]])</f>
        <v>0.5</v>
      </c>
      <c r="Z4061" s="9">
        <f>1/COUNTIFS(Таблица1[Customer Name],Таблица1[[#This Row],[Customer Name]],Таблица1[Order-Year-Month],Таблица1[[#This Row],[Order-Year-Month]])</f>
        <v>0.5</v>
      </c>
    </row>
    <row r="4062" spans="1:26" x14ac:dyDescent="0.2">
      <c r="A4062" s="6">
        <v>4705</v>
      </c>
      <c r="B4062" s="7">
        <v>33510</v>
      </c>
      <c r="C4062" s="8">
        <f>DATE(2012,12,31)-395</f>
        <v>40879</v>
      </c>
      <c r="D4062" s="8" t="str">
        <f t="shared" si="76"/>
        <v>2011-12 (декабрь 2011)</v>
      </c>
      <c r="E4062" s="9" t="s">
        <v>30</v>
      </c>
      <c r="F4062" s="7">
        <v>11</v>
      </c>
      <c r="G4062" s="7">
        <v>449.79</v>
      </c>
      <c r="H4062" s="7">
        <v>0.06</v>
      </c>
      <c r="I4062" s="9" t="s">
        <v>22</v>
      </c>
      <c r="J4062" s="10">
        <v>13.21</v>
      </c>
      <c r="K4062" s="11">
        <v>40.99</v>
      </c>
      <c r="L4062" s="11">
        <v>17.48</v>
      </c>
      <c r="M4062" s="9" t="s">
        <v>1744</v>
      </c>
      <c r="N4062" s="6" t="s">
        <v>1123</v>
      </c>
      <c r="O4062" s="6" t="s">
        <v>1123</v>
      </c>
      <c r="P4062" s="9" t="s">
        <v>41</v>
      </c>
      <c r="Q4062" s="9" t="s">
        <v>26</v>
      </c>
      <c r="R4062" s="9" t="s">
        <v>61</v>
      </c>
      <c r="S4062" s="7" t="s">
        <v>236</v>
      </c>
      <c r="T4062" s="9" t="s">
        <v>39</v>
      </c>
      <c r="U4062" s="7">
        <v>0.36</v>
      </c>
      <c r="V4062" s="12">
        <f>C4062+0</f>
        <v>40879</v>
      </c>
      <c r="W4062">
        <f>IF(D4062=' Pivot Tables'!$A$4,1,0)</f>
        <v>0</v>
      </c>
      <c r="X4062">
        <f>IF(AND(LEFT(D4062,4)+1=LEFT(' Pivot Tables'!$A$4,4)+0,RIGHT(LEFT(D4062,7),2)=RIGHT(LEFT(' Pivot Tables'!$A$4,7),2)),1,0)</f>
        <v>0</v>
      </c>
      <c r="Y4062" s="6">
        <f>1/COUNTIF(Таблица1[Order ID],Таблица1[[#This Row],[Order ID]])</f>
        <v>0.5</v>
      </c>
      <c r="Z4062" s="9">
        <f>1/COUNTIFS(Таблица1[Customer Name],Таблица1[[#This Row],[Customer Name]],Таблица1[Order-Year-Month],Таблица1[[#This Row],[Order-Year-Month]])</f>
        <v>0.5</v>
      </c>
    </row>
    <row r="4063" spans="1:26" x14ac:dyDescent="0.2">
      <c r="A4063" s="6">
        <v>4709</v>
      </c>
      <c r="B4063" s="7">
        <v>33541</v>
      </c>
      <c r="C4063" s="8">
        <f>DATE(2012,12,31)-195</f>
        <v>41079</v>
      </c>
      <c r="D4063" s="8" t="str">
        <f t="shared" si="76"/>
        <v>2012-06 (июнь 2012)</v>
      </c>
      <c r="E4063" s="9" t="s">
        <v>78</v>
      </c>
      <c r="F4063" s="7">
        <v>43</v>
      </c>
      <c r="G4063" s="7">
        <v>512.78</v>
      </c>
      <c r="H4063" s="7">
        <v>0.08</v>
      </c>
      <c r="I4063" s="9" t="s">
        <v>22</v>
      </c>
      <c r="J4063" s="10">
        <v>16.14</v>
      </c>
      <c r="K4063" s="11">
        <v>12.2</v>
      </c>
      <c r="L4063" s="11">
        <v>6.02</v>
      </c>
      <c r="M4063" s="9" t="s">
        <v>1725</v>
      </c>
      <c r="N4063" s="6" t="s">
        <v>1123</v>
      </c>
      <c r="O4063" s="6" t="s">
        <v>1123</v>
      </c>
      <c r="P4063" s="9" t="s">
        <v>25</v>
      </c>
      <c r="Q4063" s="9" t="s">
        <v>49</v>
      </c>
      <c r="R4063" s="9" t="s">
        <v>50</v>
      </c>
      <c r="S4063" s="7" t="s">
        <v>1283</v>
      </c>
      <c r="T4063" s="9" t="s">
        <v>52</v>
      </c>
      <c r="U4063" s="7">
        <v>0.43</v>
      </c>
      <c r="V4063" s="12">
        <f>C4063+0</f>
        <v>41079</v>
      </c>
      <c r="W4063">
        <f>IF(D4063=' Pivot Tables'!$A$4,1,0)</f>
        <v>0</v>
      </c>
      <c r="X4063">
        <f>IF(AND(LEFT(D4063,4)+1=LEFT(' Pivot Tables'!$A$4,4)+0,RIGHT(LEFT(D4063,7),2)=RIGHT(LEFT(' Pivot Tables'!$A$4,7),2)),1,0)</f>
        <v>0</v>
      </c>
      <c r="Y4063" s="6">
        <f>1/COUNTIF(Таблица1[Order ID],Таблица1[[#This Row],[Order ID]])</f>
        <v>1</v>
      </c>
      <c r="Z4063" s="9">
        <f>1/COUNTIFS(Таблица1[Customer Name],Таблица1[[#This Row],[Customer Name]],Таблица1[Order-Year-Month],Таблица1[[#This Row],[Order-Year-Month]])</f>
        <v>1</v>
      </c>
    </row>
    <row r="4064" spans="1:26" x14ac:dyDescent="0.2">
      <c r="A4064" s="6">
        <v>4717</v>
      </c>
      <c r="B4064" s="7">
        <v>33573</v>
      </c>
      <c r="C4064" s="8">
        <f>DATE(2012,12,31)-819</f>
        <v>40455</v>
      </c>
      <c r="D4064" s="8" t="str">
        <f t="shared" si="76"/>
        <v>2010-10 (октябрь 2010)</v>
      </c>
      <c r="E4064" s="9" t="s">
        <v>78</v>
      </c>
      <c r="F4064" s="7">
        <v>15</v>
      </c>
      <c r="G4064" s="7">
        <v>2272.56</v>
      </c>
      <c r="H4064" s="7">
        <v>0.06</v>
      </c>
      <c r="I4064" s="9" t="s">
        <v>31</v>
      </c>
      <c r="J4064" s="10">
        <v>111.0474</v>
      </c>
      <c r="K4064" s="11">
        <v>150.97999999999999</v>
      </c>
      <c r="L4064" s="11">
        <v>16.010000000000002</v>
      </c>
      <c r="M4064" s="9" t="s">
        <v>1744</v>
      </c>
      <c r="N4064" s="6" t="s">
        <v>1123</v>
      </c>
      <c r="O4064" s="6" t="s">
        <v>1123</v>
      </c>
      <c r="P4064" s="9" t="s">
        <v>41</v>
      </c>
      <c r="Q4064" s="9" t="s">
        <v>49</v>
      </c>
      <c r="R4064" s="9" t="s">
        <v>83</v>
      </c>
      <c r="S4064" s="7" t="s">
        <v>1404</v>
      </c>
      <c r="T4064" s="9" t="s">
        <v>82</v>
      </c>
      <c r="U4064" s="7">
        <v>0.7</v>
      </c>
      <c r="V4064" s="12">
        <f>C4064+0</f>
        <v>40455</v>
      </c>
      <c r="W4064">
        <f>IF(D4064=' Pivot Tables'!$A$4,1,0)</f>
        <v>0</v>
      </c>
      <c r="X4064">
        <f>IF(AND(LEFT(D4064,4)+1=LEFT(' Pivot Tables'!$A$4,4)+0,RIGHT(LEFT(D4064,7),2)=RIGHT(LEFT(' Pivot Tables'!$A$4,7),2)),1,0)</f>
        <v>0</v>
      </c>
      <c r="Y4064" s="6">
        <f>1/COUNTIF(Таблица1[Order ID],Таблица1[[#This Row],[Order ID]])</f>
        <v>1</v>
      </c>
      <c r="Z4064" s="9">
        <f>1/COUNTIFS(Таблица1[Customer Name],Таблица1[[#This Row],[Customer Name]],Таблица1[Order-Year-Month],Таблица1[[#This Row],[Order-Year-Month]])</f>
        <v>1</v>
      </c>
    </row>
    <row r="4065" spans="1:26" x14ac:dyDescent="0.2">
      <c r="A4065" s="6">
        <v>4831</v>
      </c>
      <c r="B4065" s="7">
        <v>34371</v>
      </c>
      <c r="C4065" s="8">
        <f>DATE(2012,12,31)-1005</f>
        <v>40269</v>
      </c>
      <c r="D4065" s="8" t="str">
        <f t="shared" si="76"/>
        <v>2010-04 (апрель 2010)</v>
      </c>
      <c r="E4065" s="9" t="s">
        <v>63</v>
      </c>
      <c r="F4065" s="7">
        <v>18</v>
      </c>
      <c r="G4065" s="7">
        <v>8334.0300000000007</v>
      </c>
      <c r="H4065" s="7">
        <v>0.05</v>
      </c>
      <c r="I4065" s="9" t="s">
        <v>31</v>
      </c>
      <c r="J4065" s="10">
        <v>1886.66</v>
      </c>
      <c r="K4065" s="11">
        <v>510.14</v>
      </c>
      <c r="L4065" s="11">
        <v>14.7</v>
      </c>
      <c r="M4065" s="9" t="s">
        <v>1622</v>
      </c>
      <c r="N4065" s="6" t="s">
        <v>1123</v>
      </c>
      <c r="O4065" s="6" t="s">
        <v>1123</v>
      </c>
      <c r="P4065" s="9" t="s">
        <v>33</v>
      </c>
      <c r="Q4065" s="9" t="s">
        <v>42</v>
      </c>
      <c r="R4065" s="9" t="s">
        <v>210</v>
      </c>
      <c r="S4065" s="7" t="s">
        <v>898</v>
      </c>
      <c r="T4065" s="9" t="s">
        <v>36</v>
      </c>
      <c r="U4065" s="7">
        <v>0.56000000000000005</v>
      </c>
      <c r="V4065" s="12">
        <f>C4065+2</f>
        <v>40271</v>
      </c>
      <c r="W4065">
        <f>IF(D4065=' Pivot Tables'!$A$4,1,0)</f>
        <v>0</v>
      </c>
      <c r="X4065">
        <f>IF(AND(LEFT(D4065,4)+1=LEFT(' Pivot Tables'!$A$4,4)+0,RIGHT(LEFT(D4065,7),2)=RIGHT(LEFT(' Pivot Tables'!$A$4,7),2)),1,0)</f>
        <v>0</v>
      </c>
      <c r="Y4065" s="6">
        <f>1/COUNTIF(Таблица1[Order ID],Таблица1[[#This Row],[Order ID]])</f>
        <v>1</v>
      </c>
      <c r="Z4065" s="9">
        <f>1/COUNTIFS(Таблица1[Customer Name],Таблица1[[#This Row],[Customer Name]],Таблица1[Order-Year-Month],Таблица1[[#This Row],[Order-Year-Month]])</f>
        <v>1</v>
      </c>
    </row>
    <row r="4066" spans="1:26" x14ac:dyDescent="0.2">
      <c r="A4066" s="6">
        <v>4851</v>
      </c>
      <c r="B4066" s="7">
        <v>34530</v>
      </c>
      <c r="C4066" s="8">
        <f>DATE(2012,12,31)-854</f>
        <v>40420</v>
      </c>
      <c r="D4066" s="8" t="str">
        <f t="shared" si="76"/>
        <v>2010-08 (август 2010)</v>
      </c>
      <c r="E4066" s="9" t="s">
        <v>21</v>
      </c>
      <c r="F4066" s="7">
        <v>22</v>
      </c>
      <c r="G4066" s="7">
        <v>1516.13</v>
      </c>
      <c r="H4066" s="7">
        <v>0.06</v>
      </c>
      <c r="I4066" s="9" t="s">
        <v>56</v>
      </c>
      <c r="J4066" s="10">
        <v>493.03</v>
      </c>
      <c r="K4066" s="11">
        <v>67.84</v>
      </c>
      <c r="L4066" s="11">
        <v>0.99</v>
      </c>
      <c r="M4066" s="9" t="s">
        <v>1747</v>
      </c>
      <c r="N4066" s="6" t="s">
        <v>1123</v>
      </c>
      <c r="O4066" s="6" t="s">
        <v>1123</v>
      </c>
      <c r="P4066" s="9" t="s">
        <v>33</v>
      </c>
      <c r="Q4066" s="9" t="s">
        <v>26</v>
      </c>
      <c r="R4066" s="9" t="s">
        <v>34</v>
      </c>
      <c r="S4066" s="7" t="s">
        <v>439</v>
      </c>
      <c r="T4066" s="9" t="s">
        <v>39</v>
      </c>
      <c r="U4066" s="7">
        <v>0.57999999999999996</v>
      </c>
      <c r="V4066" s="12">
        <f>C4066+2</f>
        <v>40422</v>
      </c>
      <c r="W4066">
        <f>IF(D4066=' Pivot Tables'!$A$4,1,0)</f>
        <v>0</v>
      </c>
      <c r="X4066">
        <f>IF(AND(LEFT(D4066,4)+1=LEFT(' Pivot Tables'!$A$4,4)+0,RIGHT(LEFT(D4066,7),2)=RIGHT(LEFT(' Pivot Tables'!$A$4,7),2)),1,0)</f>
        <v>0</v>
      </c>
      <c r="Y4066" s="6">
        <f>1/COUNTIF(Таблица1[Order ID],Таблица1[[#This Row],[Order ID]])</f>
        <v>0.33333333333333331</v>
      </c>
      <c r="Z4066" s="9">
        <f>1/COUNTIFS(Таблица1[Customer Name],Таблица1[[#This Row],[Customer Name]],Таблица1[Order-Year-Month],Таблица1[[#This Row],[Order-Year-Month]])</f>
        <v>0.33333333333333331</v>
      </c>
    </row>
    <row r="4067" spans="1:26" x14ac:dyDescent="0.2">
      <c r="A4067" s="6">
        <v>4852</v>
      </c>
      <c r="B4067" s="7">
        <v>34530</v>
      </c>
      <c r="C4067" s="8">
        <f>DATE(2012,12,31)-854</f>
        <v>40420</v>
      </c>
      <c r="D4067" s="8" t="str">
        <f t="shared" si="76"/>
        <v>2010-08 (август 2010)</v>
      </c>
      <c r="E4067" s="9" t="s">
        <v>21</v>
      </c>
      <c r="F4067" s="7">
        <v>38</v>
      </c>
      <c r="G4067" s="7">
        <v>612.49</v>
      </c>
      <c r="H4067" s="7">
        <v>0.09</v>
      </c>
      <c r="I4067" s="9" t="s">
        <v>22</v>
      </c>
      <c r="J4067" s="10">
        <v>168.04</v>
      </c>
      <c r="K4067" s="11">
        <v>17.48</v>
      </c>
      <c r="L4067" s="11">
        <v>1.99</v>
      </c>
      <c r="M4067" s="9" t="s">
        <v>1747</v>
      </c>
      <c r="N4067" s="6" t="s">
        <v>1123</v>
      </c>
      <c r="O4067" s="6" t="s">
        <v>1123</v>
      </c>
      <c r="P4067" s="9" t="s">
        <v>33</v>
      </c>
      <c r="Q4067" s="9" t="s">
        <v>42</v>
      </c>
      <c r="R4067" s="9" t="s">
        <v>70</v>
      </c>
      <c r="S4067" s="7" t="s">
        <v>1067</v>
      </c>
      <c r="T4067" s="9" t="s">
        <v>52</v>
      </c>
      <c r="U4067" s="7">
        <v>0.45</v>
      </c>
      <c r="V4067" s="12">
        <f>C4067+5</f>
        <v>40425</v>
      </c>
      <c r="W4067">
        <f>IF(D4067=' Pivot Tables'!$A$4,1,0)</f>
        <v>0</v>
      </c>
      <c r="X4067">
        <f>IF(AND(LEFT(D4067,4)+1=LEFT(' Pivot Tables'!$A$4,4)+0,RIGHT(LEFT(D4067,7),2)=RIGHT(LEFT(' Pivot Tables'!$A$4,7),2)),1,0)</f>
        <v>0</v>
      </c>
      <c r="Y4067" s="6">
        <f>1/COUNTIF(Таблица1[Order ID],Таблица1[[#This Row],[Order ID]])</f>
        <v>0.33333333333333331</v>
      </c>
      <c r="Z4067" s="9">
        <f>1/COUNTIFS(Таблица1[Customer Name],Таблица1[[#This Row],[Customer Name]],Таблица1[Order-Year-Month],Таблица1[[#This Row],[Order-Year-Month]])</f>
        <v>0.33333333333333331</v>
      </c>
    </row>
    <row r="4068" spans="1:26" x14ac:dyDescent="0.2">
      <c r="A4068" s="6">
        <v>4853</v>
      </c>
      <c r="B4068" s="7">
        <v>34530</v>
      </c>
      <c r="C4068" s="8">
        <f>DATE(2012,12,31)-854</f>
        <v>40420</v>
      </c>
      <c r="D4068" s="8" t="str">
        <f t="shared" si="76"/>
        <v>2010-08 (август 2010)</v>
      </c>
      <c r="E4068" s="9" t="s">
        <v>21</v>
      </c>
      <c r="F4068" s="7">
        <v>7</v>
      </c>
      <c r="G4068" s="7">
        <v>1092.42</v>
      </c>
      <c r="H4068" s="7">
        <v>0.03</v>
      </c>
      <c r="I4068" s="9" t="s">
        <v>31</v>
      </c>
      <c r="J4068" s="10">
        <v>-364.87336600000009</v>
      </c>
      <c r="K4068" s="11">
        <v>150.97999999999999</v>
      </c>
      <c r="L4068" s="11">
        <v>16.010000000000002</v>
      </c>
      <c r="M4068" s="9" t="s">
        <v>1747</v>
      </c>
      <c r="N4068" s="6" t="s">
        <v>1123</v>
      </c>
      <c r="O4068" s="6" t="s">
        <v>1123</v>
      </c>
      <c r="P4068" s="9" t="s">
        <v>33</v>
      </c>
      <c r="Q4068" s="9" t="s">
        <v>49</v>
      </c>
      <c r="R4068" s="9" t="s">
        <v>83</v>
      </c>
      <c r="S4068" s="7" t="s">
        <v>1404</v>
      </c>
      <c r="T4068" s="9" t="s">
        <v>82</v>
      </c>
      <c r="U4068" s="7">
        <v>0.7</v>
      </c>
      <c r="V4068" s="12">
        <f>C4068+5</f>
        <v>40425</v>
      </c>
      <c r="W4068">
        <f>IF(D4068=' Pivot Tables'!$A$4,1,0)</f>
        <v>0</v>
      </c>
      <c r="X4068">
        <f>IF(AND(LEFT(D4068,4)+1=LEFT(' Pivot Tables'!$A$4,4)+0,RIGHT(LEFT(D4068,7),2)=RIGHT(LEFT(' Pivot Tables'!$A$4,7),2)),1,0)</f>
        <v>0</v>
      </c>
      <c r="Y4068" s="6">
        <f>1/COUNTIF(Таблица1[Order ID],Таблица1[[#This Row],[Order ID]])</f>
        <v>0.33333333333333331</v>
      </c>
      <c r="Z4068" s="9">
        <f>1/COUNTIFS(Таблица1[Customer Name],Таблица1[[#This Row],[Customer Name]],Таблица1[Order-Year-Month],Таблица1[[#This Row],[Order-Year-Month]])</f>
        <v>0.33333333333333331</v>
      </c>
    </row>
    <row r="4069" spans="1:26" x14ac:dyDescent="0.2">
      <c r="A4069" s="6">
        <v>4855</v>
      </c>
      <c r="B4069" s="7">
        <v>34562</v>
      </c>
      <c r="C4069" s="8">
        <f>DATE(2012,12,31)-860</f>
        <v>40414</v>
      </c>
      <c r="D4069" s="8" t="str">
        <f t="shared" si="76"/>
        <v>2010-08 (август 2010)</v>
      </c>
      <c r="E4069" s="9" t="s">
        <v>21</v>
      </c>
      <c r="F4069" s="7">
        <v>22</v>
      </c>
      <c r="G4069" s="7">
        <v>561.91999999999996</v>
      </c>
      <c r="H4069" s="7">
        <v>0.1</v>
      </c>
      <c r="I4069" s="9" t="s">
        <v>22</v>
      </c>
      <c r="J4069" s="10">
        <v>57.82</v>
      </c>
      <c r="K4069" s="11">
        <v>28.38</v>
      </c>
      <c r="L4069" s="11">
        <v>1.99</v>
      </c>
      <c r="M4069" s="9" t="s">
        <v>1725</v>
      </c>
      <c r="N4069" s="6" t="s">
        <v>1123</v>
      </c>
      <c r="O4069" s="6" t="s">
        <v>1123</v>
      </c>
      <c r="P4069" s="9" t="s">
        <v>25</v>
      </c>
      <c r="Q4069" s="9" t="s">
        <v>42</v>
      </c>
      <c r="R4069" s="9" t="s">
        <v>70</v>
      </c>
      <c r="S4069" s="7" t="s">
        <v>1585</v>
      </c>
      <c r="T4069" s="9" t="s">
        <v>52</v>
      </c>
      <c r="U4069" s="7">
        <v>0.51</v>
      </c>
      <c r="V4069" s="12">
        <f>C4069+2</f>
        <v>40416</v>
      </c>
      <c r="W4069">
        <f>IF(D4069=' Pivot Tables'!$A$4,1,0)</f>
        <v>0</v>
      </c>
      <c r="X4069">
        <f>IF(AND(LEFT(D4069,4)+1=LEFT(' Pivot Tables'!$A$4,4)+0,RIGHT(LEFT(D4069,7),2)=RIGHT(LEFT(' Pivot Tables'!$A$4,7),2)),1,0)</f>
        <v>0</v>
      </c>
      <c r="Y4069" s="6">
        <f>1/COUNTIF(Таблица1[Order ID],Таблица1[[#This Row],[Order ID]])</f>
        <v>0.5</v>
      </c>
      <c r="Z4069" s="9">
        <f>1/COUNTIFS(Таблица1[Customer Name],Таблица1[[#This Row],[Customer Name]],Таблица1[Order-Year-Month],Таблица1[[#This Row],[Order-Year-Month]])</f>
        <v>0.5</v>
      </c>
    </row>
    <row r="4070" spans="1:26" x14ac:dyDescent="0.2">
      <c r="A4070" s="6">
        <v>4856</v>
      </c>
      <c r="B4070" s="7">
        <v>34562</v>
      </c>
      <c r="C4070" s="8">
        <f>DATE(2012,12,31)-860</f>
        <v>40414</v>
      </c>
      <c r="D4070" s="8" t="str">
        <f t="shared" si="76"/>
        <v>2010-08 (август 2010)</v>
      </c>
      <c r="E4070" s="9" t="s">
        <v>21</v>
      </c>
      <c r="F4070" s="7">
        <v>19</v>
      </c>
      <c r="G4070" s="7">
        <v>365.64</v>
      </c>
      <c r="H4070" s="7">
        <v>0.03</v>
      </c>
      <c r="I4070" s="9" t="s">
        <v>22</v>
      </c>
      <c r="J4070" s="10">
        <v>22.77</v>
      </c>
      <c r="K4070" s="11">
        <v>18.97</v>
      </c>
      <c r="L4070" s="11">
        <v>9.0299999999999994</v>
      </c>
      <c r="M4070" s="9" t="s">
        <v>1725</v>
      </c>
      <c r="N4070" s="6" t="s">
        <v>1123</v>
      </c>
      <c r="O4070" s="6" t="s">
        <v>1123</v>
      </c>
      <c r="P4070" s="9" t="s">
        <v>25</v>
      </c>
      <c r="Q4070" s="9" t="s">
        <v>26</v>
      </c>
      <c r="R4070" s="9" t="s">
        <v>61</v>
      </c>
      <c r="S4070" s="7" t="s">
        <v>123</v>
      </c>
      <c r="T4070" s="9" t="s">
        <v>39</v>
      </c>
      <c r="U4070" s="7">
        <v>0.37</v>
      </c>
      <c r="V4070" s="12">
        <f>C4070+4</f>
        <v>40418</v>
      </c>
      <c r="W4070">
        <f>IF(D4070=' Pivot Tables'!$A$4,1,0)</f>
        <v>0</v>
      </c>
      <c r="X4070">
        <f>IF(AND(LEFT(D4070,4)+1=LEFT(' Pivot Tables'!$A$4,4)+0,RIGHT(LEFT(D4070,7),2)=RIGHT(LEFT(' Pivot Tables'!$A$4,7),2)),1,0)</f>
        <v>0</v>
      </c>
      <c r="Y4070" s="6">
        <f>1/COUNTIF(Таблица1[Order ID],Таблица1[[#This Row],[Order ID]])</f>
        <v>0.5</v>
      </c>
      <c r="Z4070" s="9">
        <f>1/COUNTIFS(Таблица1[Customer Name],Таблица1[[#This Row],[Customer Name]],Таблица1[Order-Year-Month],Таблица1[[#This Row],[Order-Year-Month]])</f>
        <v>0.5</v>
      </c>
    </row>
    <row r="4071" spans="1:26" x14ac:dyDescent="0.2">
      <c r="A4071" s="6">
        <v>4980</v>
      </c>
      <c r="B4071" s="7">
        <v>35430</v>
      </c>
      <c r="C4071" s="8">
        <f>DATE(2012,12,31)-1012</f>
        <v>40262</v>
      </c>
      <c r="D4071" s="8" t="str">
        <f t="shared" si="76"/>
        <v>2010-03 (март 2010)</v>
      </c>
      <c r="E4071" s="9" t="s">
        <v>21</v>
      </c>
      <c r="F4071" s="7">
        <v>16</v>
      </c>
      <c r="G4071" s="7">
        <v>1835.84</v>
      </c>
      <c r="H4071" s="7">
        <v>0.05</v>
      </c>
      <c r="I4071" s="9" t="s">
        <v>22</v>
      </c>
      <c r="J4071" s="10">
        <v>608.74</v>
      </c>
      <c r="K4071" s="11">
        <v>110.98</v>
      </c>
      <c r="L4071" s="11">
        <v>13.99</v>
      </c>
      <c r="M4071" s="9" t="s">
        <v>1568</v>
      </c>
      <c r="N4071" s="6" t="s">
        <v>1123</v>
      </c>
      <c r="O4071" s="6" t="s">
        <v>1123</v>
      </c>
      <c r="P4071" s="9" t="s">
        <v>60</v>
      </c>
      <c r="Q4071" s="9" t="s">
        <v>49</v>
      </c>
      <c r="R4071" s="9" t="s">
        <v>50</v>
      </c>
      <c r="S4071" s="7" t="s">
        <v>563</v>
      </c>
      <c r="T4071" s="9" t="s">
        <v>48</v>
      </c>
      <c r="U4071" s="7">
        <v>0.69</v>
      </c>
      <c r="V4071" s="12">
        <f>C4071+7</f>
        <v>40269</v>
      </c>
      <c r="W4071">
        <f>IF(D4071=' Pivot Tables'!$A$4,1,0)</f>
        <v>0</v>
      </c>
      <c r="X4071">
        <f>IF(AND(LEFT(D4071,4)+1=LEFT(' Pivot Tables'!$A$4,4)+0,RIGHT(LEFT(D4071,7),2)=RIGHT(LEFT(' Pivot Tables'!$A$4,7),2)),1,0)</f>
        <v>0</v>
      </c>
      <c r="Y4071" s="6">
        <f>1/COUNTIF(Таблица1[Order ID],Таблица1[[#This Row],[Order ID]])</f>
        <v>0.33333333333333331</v>
      </c>
      <c r="Z4071" s="9">
        <f>1/COUNTIFS(Таблица1[Customer Name],Таблица1[[#This Row],[Customer Name]],Таблица1[Order-Year-Month],Таблица1[[#This Row],[Order-Year-Month]])</f>
        <v>0.33333333333333331</v>
      </c>
    </row>
    <row r="4072" spans="1:26" x14ac:dyDescent="0.2">
      <c r="A4072" s="6">
        <v>4981</v>
      </c>
      <c r="B4072" s="7">
        <v>35430</v>
      </c>
      <c r="C4072" s="8">
        <f>DATE(2012,12,31)-1012</f>
        <v>40262</v>
      </c>
      <c r="D4072" s="8" t="str">
        <f t="shared" si="76"/>
        <v>2010-03 (март 2010)</v>
      </c>
      <c r="E4072" s="9" t="s">
        <v>21</v>
      </c>
      <c r="F4072" s="7">
        <v>48</v>
      </c>
      <c r="G4072" s="7">
        <v>133.43</v>
      </c>
      <c r="H4072" s="7">
        <v>0.1</v>
      </c>
      <c r="I4072" s="9" t="s">
        <v>22</v>
      </c>
      <c r="J4072" s="10">
        <v>9.5</v>
      </c>
      <c r="K4072" s="11">
        <v>2.84</v>
      </c>
      <c r="L4072" s="11">
        <v>0.93</v>
      </c>
      <c r="M4072" s="9" t="s">
        <v>1568</v>
      </c>
      <c r="N4072" s="6" t="s">
        <v>1123</v>
      </c>
      <c r="O4072" s="6" t="s">
        <v>1123</v>
      </c>
      <c r="P4072" s="9" t="s">
        <v>60</v>
      </c>
      <c r="Q4072" s="9" t="s">
        <v>26</v>
      </c>
      <c r="R4072" s="9" t="s">
        <v>95</v>
      </c>
      <c r="S4072" s="7" t="s">
        <v>98</v>
      </c>
      <c r="T4072" s="9" t="s">
        <v>68</v>
      </c>
      <c r="U4072" s="7">
        <v>0.54</v>
      </c>
      <c r="V4072" s="12">
        <f>C4072+4</f>
        <v>40266</v>
      </c>
      <c r="W4072">
        <f>IF(D4072=' Pivot Tables'!$A$4,1,0)</f>
        <v>0</v>
      </c>
      <c r="X4072">
        <f>IF(AND(LEFT(D4072,4)+1=LEFT(' Pivot Tables'!$A$4,4)+0,RIGHT(LEFT(D4072,7),2)=RIGHT(LEFT(' Pivot Tables'!$A$4,7),2)),1,0)</f>
        <v>0</v>
      </c>
      <c r="Y4072" s="6">
        <f>1/COUNTIF(Таблица1[Order ID],Таблица1[[#This Row],[Order ID]])</f>
        <v>0.33333333333333331</v>
      </c>
      <c r="Z4072" s="9">
        <f>1/COUNTIFS(Таблица1[Customer Name],Таблица1[[#This Row],[Customer Name]],Таблица1[Order-Year-Month],Таблица1[[#This Row],[Order-Year-Month]])</f>
        <v>0.33333333333333331</v>
      </c>
    </row>
    <row r="4073" spans="1:26" x14ac:dyDescent="0.2">
      <c r="A4073" s="6">
        <v>4982</v>
      </c>
      <c r="B4073" s="7">
        <v>35430</v>
      </c>
      <c r="C4073" s="8">
        <f>DATE(2012,12,31)-1012</f>
        <v>40262</v>
      </c>
      <c r="D4073" s="8" t="str">
        <f t="shared" si="76"/>
        <v>2010-03 (март 2010)</v>
      </c>
      <c r="E4073" s="9" t="s">
        <v>21</v>
      </c>
      <c r="F4073" s="7">
        <v>31</v>
      </c>
      <c r="G4073" s="7">
        <v>1655.3664999999999</v>
      </c>
      <c r="H4073" s="7">
        <v>0.08</v>
      </c>
      <c r="I4073" s="9" t="s">
        <v>22</v>
      </c>
      <c r="J4073" s="10">
        <v>173.934</v>
      </c>
      <c r="K4073" s="11">
        <v>65.989999999999995</v>
      </c>
      <c r="L4073" s="11">
        <v>8.99</v>
      </c>
      <c r="M4073" s="9" t="s">
        <v>1568</v>
      </c>
      <c r="N4073" s="6" t="s">
        <v>1123</v>
      </c>
      <c r="O4073" s="6" t="s">
        <v>1123</v>
      </c>
      <c r="P4073" s="9" t="s">
        <v>60</v>
      </c>
      <c r="Q4073" s="9" t="s">
        <v>42</v>
      </c>
      <c r="R4073" s="9" t="s">
        <v>43</v>
      </c>
      <c r="S4073" s="7" t="s">
        <v>1181</v>
      </c>
      <c r="T4073" s="9" t="s">
        <v>39</v>
      </c>
      <c r="U4073" s="7">
        <v>0.56000000000000005</v>
      </c>
      <c r="V4073" s="12">
        <f>C4073+2</f>
        <v>40264</v>
      </c>
      <c r="W4073">
        <f>IF(D4073=' Pivot Tables'!$A$4,1,0)</f>
        <v>0</v>
      </c>
      <c r="X4073">
        <f>IF(AND(LEFT(D4073,4)+1=LEFT(' Pivot Tables'!$A$4,4)+0,RIGHT(LEFT(D4073,7),2)=RIGHT(LEFT(' Pivot Tables'!$A$4,7),2)),1,0)</f>
        <v>0</v>
      </c>
      <c r="Y4073" s="6">
        <f>1/COUNTIF(Таблица1[Order ID],Таблица1[[#This Row],[Order ID]])</f>
        <v>0.33333333333333331</v>
      </c>
      <c r="Z4073" s="9">
        <f>1/COUNTIFS(Таблица1[Customer Name],Таблица1[[#This Row],[Customer Name]],Таблица1[Order-Year-Month],Таблица1[[#This Row],[Order-Year-Month]])</f>
        <v>0.33333333333333331</v>
      </c>
    </row>
    <row r="4074" spans="1:26" x14ac:dyDescent="0.2">
      <c r="A4074" s="6">
        <v>4999</v>
      </c>
      <c r="B4074" s="7">
        <v>35588</v>
      </c>
      <c r="C4074" s="8">
        <f>DATE(2012,12,31)-932</f>
        <v>40342</v>
      </c>
      <c r="D4074" s="8" t="str">
        <f t="shared" si="76"/>
        <v>2010-06 (июнь 2010)</v>
      </c>
      <c r="E4074" s="9" t="s">
        <v>21</v>
      </c>
      <c r="F4074" s="7">
        <v>32</v>
      </c>
      <c r="G4074" s="7">
        <v>1727.79</v>
      </c>
      <c r="H4074" s="7">
        <v>0.1</v>
      </c>
      <c r="I4074" s="9" t="s">
        <v>31</v>
      </c>
      <c r="J4074" s="10">
        <v>-694.9</v>
      </c>
      <c r="K4074" s="11">
        <v>58.14</v>
      </c>
      <c r="L4074" s="11">
        <v>36.61</v>
      </c>
      <c r="M4074" s="9" t="s">
        <v>1757</v>
      </c>
      <c r="N4074" s="6" t="s">
        <v>1123</v>
      </c>
      <c r="O4074" s="6" t="s">
        <v>1123</v>
      </c>
      <c r="P4074" s="9" t="s">
        <v>41</v>
      </c>
      <c r="Q4074" s="9" t="s">
        <v>49</v>
      </c>
      <c r="R4074" s="9" t="s">
        <v>80</v>
      </c>
      <c r="S4074" s="7" t="s">
        <v>233</v>
      </c>
      <c r="T4074" s="9" t="s">
        <v>82</v>
      </c>
      <c r="U4074" s="7">
        <v>0.61</v>
      </c>
      <c r="V4074" s="12">
        <f>C4074+2</f>
        <v>40344</v>
      </c>
      <c r="W4074">
        <f>IF(D4074=' Pivot Tables'!$A$4,1,0)</f>
        <v>0</v>
      </c>
      <c r="X4074">
        <f>IF(AND(LEFT(D4074,4)+1=LEFT(' Pivot Tables'!$A$4,4)+0,RIGHT(LEFT(D4074,7),2)=RIGHT(LEFT(' Pivot Tables'!$A$4,7),2)),1,0)</f>
        <v>0</v>
      </c>
      <c r="Y4074" s="6">
        <f>1/COUNTIF(Таблица1[Order ID],Таблица1[[#This Row],[Order ID]])</f>
        <v>1</v>
      </c>
      <c r="Z4074" s="9">
        <f>1/COUNTIFS(Таблица1[Customer Name],Таблица1[[#This Row],[Customer Name]],Таблица1[Order-Year-Month],Таблица1[[#This Row],[Order-Year-Month]])</f>
        <v>1</v>
      </c>
    </row>
    <row r="4075" spans="1:26" x14ac:dyDescent="0.2">
      <c r="A4075" s="6">
        <v>5007</v>
      </c>
      <c r="B4075" s="7">
        <v>35712</v>
      </c>
      <c r="C4075" s="8">
        <f>DATE(2012,12,31)-69</f>
        <v>41205</v>
      </c>
      <c r="D4075" s="8" t="str">
        <f t="shared" si="76"/>
        <v>2012-10 (октябрь 2012)</v>
      </c>
      <c r="E4075" s="9" t="s">
        <v>30</v>
      </c>
      <c r="F4075" s="7">
        <v>42</v>
      </c>
      <c r="G4075" s="7">
        <v>3931.17</v>
      </c>
      <c r="H4075" s="7">
        <v>0.1</v>
      </c>
      <c r="I4075" s="9" t="s">
        <v>22</v>
      </c>
      <c r="J4075" s="10">
        <v>1174.02</v>
      </c>
      <c r="K4075" s="11">
        <v>100.97</v>
      </c>
      <c r="L4075" s="11">
        <v>7.18</v>
      </c>
      <c r="M4075" s="9" t="s">
        <v>1733</v>
      </c>
      <c r="N4075" s="6" t="s">
        <v>1123</v>
      </c>
      <c r="O4075" s="6" t="s">
        <v>1123</v>
      </c>
      <c r="P4075" s="9" t="s">
        <v>33</v>
      </c>
      <c r="Q4075" s="9" t="s">
        <v>42</v>
      </c>
      <c r="R4075" s="9" t="s">
        <v>70</v>
      </c>
      <c r="S4075" s="7" t="s">
        <v>1078</v>
      </c>
      <c r="T4075" s="9" t="s">
        <v>39</v>
      </c>
      <c r="U4075" s="7">
        <v>0.46</v>
      </c>
      <c r="V4075" s="12">
        <f>C4075+1</f>
        <v>41206</v>
      </c>
      <c r="W4075">
        <f>IF(D4075=' Pivot Tables'!$A$4,1,0)</f>
        <v>0</v>
      </c>
      <c r="X4075">
        <f>IF(AND(LEFT(D4075,4)+1=LEFT(' Pivot Tables'!$A$4,4)+0,RIGHT(LEFT(D4075,7),2)=RIGHT(LEFT(' Pivot Tables'!$A$4,7),2)),1,0)</f>
        <v>0</v>
      </c>
      <c r="Y4075" s="6">
        <f>1/COUNTIF(Таблица1[Order ID],Таблица1[[#This Row],[Order ID]])</f>
        <v>0.5</v>
      </c>
      <c r="Z4075" s="9">
        <f>1/COUNTIFS(Таблица1[Customer Name],Таблица1[[#This Row],[Customer Name]],Таблица1[Order-Year-Month],Таблица1[[#This Row],[Order-Year-Month]])</f>
        <v>0.5</v>
      </c>
    </row>
    <row r="4076" spans="1:26" x14ac:dyDescent="0.2">
      <c r="A4076" s="6">
        <v>5008</v>
      </c>
      <c r="B4076" s="7">
        <v>35712</v>
      </c>
      <c r="C4076" s="8">
        <f>DATE(2012,12,31)-69</f>
        <v>41205</v>
      </c>
      <c r="D4076" s="8" t="str">
        <f t="shared" si="76"/>
        <v>2012-10 (октябрь 2012)</v>
      </c>
      <c r="E4076" s="9" t="s">
        <v>30</v>
      </c>
      <c r="F4076" s="7">
        <v>24</v>
      </c>
      <c r="G4076" s="7">
        <v>134.88</v>
      </c>
      <c r="H4076" s="7">
        <v>0</v>
      </c>
      <c r="I4076" s="9" t="s">
        <v>22</v>
      </c>
      <c r="J4076" s="10">
        <v>-122.21</v>
      </c>
      <c r="K4076" s="11">
        <v>5.28</v>
      </c>
      <c r="L4076" s="11">
        <v>8.16</v>
      </c>
      <c r="M4076" s="9" t="s">
        <v>1733</v>
      </c>
      <c r="N4076" s="6" t="s">
        <v>1123</v>
      </c>
      <c r="O4076" s="6" t="s">
        <v>1123</v>
      </c>
      <c r="P4076" s="9" t="s">
        <v>33</v>
      </c>
      <c r="Q4076" s="9" t="s">
        <v>26</v>
      </c>
      <c r="R4076" s="9" t="s">
        <v>61</v>
      </c>
      <c r="S4076" s="7" t="s">
        <v>1640</v>
      </c>
      <c r="T4076" s="9" t="s">
        <v>39</v>
      </c>
      <c r="U4076" s="7">
        <v>0.4</v>
      </c>
      <c r="V4076" s="12">
        <f>C4076+0</f>
        <v>41205</v>
      </c>
      <c r="W4076">
        <f>IF(D4076=' Pivot Tables'!$A$4,1,0)</f>
        <v>0</v>
      </c>
      <c r="X4076">
        <f>IF(AND(LEFT(D4076,4)+1=LEFT(' Pivot Tables'!$A$4,4)+0,RIGHT(LEFT(D4076,7),2)=RIGHT(LEFT(' Pivot Tables'!$A$4,7),2)),1,0)</f>
        <v>0</v>
      </c>
      <c r="Y4076" s="6">
        <f>1/COUNTIF(Таблица1[Order ID],Таблица1[[#This Row],[Order ID]])</f>
        <v>0.5</v>
      </c>
      <c r="Z4076" s="9">
        <f>1/COUNTIFS(Таблица1[Customer Name],Таблица1[[#This Row],[Customer Name]],Таблица1[Order-Year-Month],Таблица1[[#This Row],[Order-Year-Month]])</f>
        <v>0.5</v>
      </c>
    </row>
    <row r="4077" spans="1:26" x14ac:dyDescent="0.2">
      <c r="A4077" s="6">
        <v>5068</v>
      </c>
      <c r="B4077" s="7">
        <v>36130</v>
      </c>
      <c r="C4077" s="8">
        <f>DATE(2012,12,31)-109</f>
        <v>41165</v>
      </c>
      <c r="D4077" s="8" t="str">
        <f t="shared" si="76"/>
        <v>2012-09 (сентябрь 2012)</v>
      </c>
      <c r="E4077" s="9" t="s">
        <v>78</v>
      </c>
      <c r="F4077" s="7">
        <v>23</v>
      </c>
      <c r="G4077" s="7">
        <v>394.8</v>
      </c>
      <c r="H4077" s="7">
        <v>0.1</v>
      </c>
      <c r="I4077" s="9" t="s">
        <v>22</v>
      </c>
      <c r="J4077" s="10">
        <v>-113.8</v>
      </c>
      <c r="K4077" s="11">
        <v>17.98</v>
      </c>
      <c r="L4077" s="11">
        <v>4</v>
      </c>
      <c r="M4077" s="9" t="s">
        <v>1754</v>
      </c>
      <c r="N4077" s="6" t="s">
        <v>1123</v>
      </c>
      <c r="O4077" s="6" t="s">
        <v>1123</v>
      </c>
      <c r="P4077" s="9" t="s">
        <v>60</v>
      </c>
      <c r="Q4077" s="9" t="s">
        <v>42</v>
      </c>
      <c r="R4077" s="9" t="s">
        <v>70</v>
      </c>
      <c r="S4077" s="7" t="s">
        <v>846</v>
      </c>
      <c r="T4077" s="9" t="s">
        <v>39</v>
      </c>
      <c r="U4077" s="7">
        <v>0.79</v>
      </c>
      <c r="V4077" s="12">
        <f>C4077+1</f>
        <v>41166</v>
      </c>
      <c r="W4077">
        <f>IF(D4077=' Pivot Tables'!$A$4,1,0)</f>
        <v>0</v>
      </c>
      <c r="X4077">
        <f>IF(AND(LEFT(D4077,4)+1=LEFT(' Pivot Tables'!$A$4,4)+0,RIGHT(LEFT(D4077,7),2)=RIGHT(LEFT(' Pivot Tables'!$A$4,7),2)),1,0)</f>
        <v>0</v>
      </c>
      <c r="Y4077" s="6">
        <f>1/COUNTIF(Таблица1[Order ID],Таблица1[[#This Row],[Order ID]])</f>
        <v>1</v>
      </c>
      <c r="Z4077" s="9">
        <f>1/COUNTIFS(Таблица1[Customer Name],Таблица1[[#This Row],[Customer Name]],Таблица1[Order-Year-Month],Таблица1[[#This Row],[Order-Year-Month]])</f>
        <v>1</v>
      </c>
    </row>
    <row r="4078" spans="1:26" x14ac:dyDescent="0.2">
      <c r="A4078" s="6">
        <v>5109</v>
      </c>
      <c r="B4078" s="7">
        <v>36416</v>
      </c>
      <c r="C4078" s="8">
        <f>DATE(2012,12,31)-1127</f>
        <v>40147</v>
      </c>
      <c r="D4078" s="8" t="str">
        <f t="shared" si="76"/>
        <v>2009-11 (ноябрь 2009)</v>
      </c>
      <c r="E4078" s="9" t="s">
        <v>21</v>
      </c>
      <c r="F4078" s="7">
        <v>44</v>
      </c>
      <c r="G4078" s="7">
        <v>276</v>
      </c>
      <c r="H4078" s="7">
        <v>0.08</v>
      </c>
      <c r="I4078" s="9" t="s">
        <v>22</v>
      </c>
      <c r="J4078" s="10">
        <v>-98.53</v>
      </c>
      <c r="K4078" s="11">
        <v>6.48</v>
      </c>
      <c r="L4078" s="11">
        <v>5.82</v>
      </c>
      <c r="M4078" s="9" t="s">
        <v>1189</v>
      </c>
      <c r="N4078" s="6" t="s">
        <v>1123</v>
      </c>
      <c r="O4078" s="6" t="s">
        <v>1123</v>
      </c>
      <c r="P4078" s="9" t="s">
        <v>41</v>
      </c>
      <c r="Q4078" s="9" t="s">
        <v>26</v>
      </c>
      <c r="R4078" s="9" t="s">
        <v>61</v>
      </c>
      <c r="S4078" s="7" t="s">
        <v>1766</v>
      </c>
      <c r="T4078" s="9" t="s">
        <v>39</v>
      </c>
      <c r="U4078" s="7">
        <v>0.37</v>
      </c>
      <c r="V4078" s="12">
        <f>C4078+4</f>
        <v>40151</v>
      </c>
      <c r="W4078">
        <f>IF(D4078=' Pivot Tables'!$A$4,1,0)</f>
        <v>0</v>
      </c>
      <c r="X4078">
        <f>IF(AND(LEFT(D4078,4)+1=LEFT(' Pivot Tables'!$A$4,4)+0,RIGHT(LEFT(D4078,7),2)=RIGHT(LEFT(' Pivot Tables'!$A$4,7),2)),1,0)</f>
        <v>0</v>
      </c>
      <c r="Y4078" s="6">
        <f>1/COUNTIF(Таблица1[Order ID],Таблица1[[#This Row],[Order ID]])</f>
        <v>0.5</v>
      </c>
      <c r="Z4078" s="9">
        <f>1/COUNTIFS(Таблица1[Customer Name],Таблица1[[#This Row],[Customer Name]],Таблица1[Order-Year-Month],Таблица1[[#This Row],[Order-Year-Month]])</f>
        <v>0.5</v>
      </c>
    </row>
    <row r="4079" spans="1:26" x14ac:dyDescent="0.2">
      <c r="A4079" s="6">
        <v>5110</v>
      </c>
      <c r="B4079" s="7">
        <v>36416</v>
      </c>
      <c r="C4079" s="8">
        <f>DATE(2012,12,31)-1127</f>
        <v>40147</v>
      </c>
      <c r="D4079" s="8" t="str">
        <f t="shared" si="76"/>
        <v>2009-11 (ноябрь 2009)</v>
      </c>
      <c r="E4079" s="9" t="s">
        <v>21</v>
      </c>
      <c r="F4079" s="7">
        <v>46</v>
      </c>
      <c r="G4079" s="7">
        <v>132.01</v>
      </c>
      <c r="H4079" s="7">
        <v>0.04</v>
      </c>
      <c r="I4079" s="9" t="s">
        <v>22</v>
      </c>
      <c r="J4079" s="10">
        <v>6.93</v>
      </c>
      <c r="K4079" s="11">
        <v>2.88</v>
      </c>
      <c r="L4079" s="11">
        <v>1.01</v>
      </c>
      <c r="M4079" s="9" t="s">
        <v>1189</v>
      </c>
      <c r="N4079" s="6" t="s">
        <v>1123</v>
      </c>
      <c r="O4079" s="6" t="s">
        <v>1123</v>
      </c>
      <c r="P4079" s="9" t="s">
        <v>41</v>
      </c>
      <c r="Q4079" s="9" t="s">
        <v>26</v>
      </c>
      <c r="R4079" s="9" t="s">
        <v>95</v>
      </c>
      <c r="S4079" s="7" t="s">
        <v>736</v>
      </c>
      <c r="T4079" s="9" t="s">
        <v>68</v>
      </c>
      <c r="U4079" s="7">
        <v>0.55000000000000004</v>
      </c>
      <c r="V4079" s="12">
        <f>C4079+4</f>
        <v>40151</v>
      </c>
      <c r="W4079">
        <f>IF(D4079=' Pivot Tables'!$A$4,1,0)</f>
        <v>0</v>
      </c>
      <c r="X4079">
        <f>IF(AND(LEFT(D4079,4)+1=LEFT(' Pivot Tables'!$A$4,4)+0,RIGHT(LEFT(D4079,7),2)=RIGHT(LEFT(' Pivot Tables'!$A$4,7),2)),1,0)</f>
        <v>0</v>
      </c>
      <c r="Y4079" s="6">
        <f>1/COUNTIF(Таблица1[Order ID],Таблица1[[#This Row],[Order ID]])</f>
        <v>0.5</v>
      </c>
      <c r="Z4079" s="9">
        <f>1/COUNTIFS(Таблица1[Customer Name],Таблица1[[#This Row],[Customer Name]],Таблица1[Order-Year-Month],Таблица1[[#This Row],[Order-Year-Month]])</f>
        <v>0.5</v>
      </c>
    </row>
    <row r="4080" spans="1:26" x14ac:dyDescent="0.2">
      <c r="A4080" s="6">
        <v>5111</v>
      </c>
      <c r="B4080" s="7">
        <v>36418</v>
      </c>
      <c r="C4080" s="8">
        <f>DATE(2012,12,31)-339</f>
        <v>40935</v>
      </c>
      <c r="D4080" s="8" t="str">
        <f t="shared" si="76"/>
        <v>2012-01 (январь 2012)</v>
      </c>
      <c r="E4080" s="9" t="s">
        <v>45</v>
      </c>
      <c r="F4080" s="7">
        <v>33</v>
      </c>
      <c r="G4080" s="7">
        <v>207.92</v>
      </c>
      <c r="H4080" s="7">
        <v>0.08</v>
      </c>
      <c r="I4080" s="9" t="s">
        <v>56</v>
      </c>
      <c r="J4080" s="10">
        <v>-124.84399999999999</v>
      </c>
      <c r="K4080" s="11">
        <v>6.23</v>
      </c>
      <c r="L4080" s="11">
        <v>6.97</v>
      </c>
      <c r="M4080" s="9" t="s">
        <v>1738</v>
      </c>
      <c r="N4080" s="6" t="s">
        <v>1123</v>
      </c>
      <c r="O4080" s="6" t="s">
        <v>1123</v>
      </c>
      <c r="P4080" s="9" t="s">
        <v>41</v>
      </c>
      <c r="Q4080" s="9" t="s">
        <v>26</v>
      </c>
      <c r="R4080" s="9" t="s">
        <v>37</v>
      </c>
      <c r="S4080" s="7" t="s">
        <v>985</v>
      </c>
      <c r="T4080" s="9" t="s">
        <v>39</v>
      </c>
      <c r="U4080" s="7">
        <v>0.36</v>
      </c>
      <c r="V4080" s="12">
        <f>C4080+1</f>
        <v>40936</v>
      </c>
      <c r="W4080">
        <f>IF(D4080=' Pivot Tables'!$A$4,1,0)</f>
        <v>0</v>
      </c>
      <c r="X4080">
        <f>IF(AND(LEFT(D4080,4)+1=LEFT(' Pivot Tables'!$A$4,4)+0,RIGHT(LEFT(D4080,7),2)=RIGHT(LEFT(' Pivot Tables'!$A$4,7),2)),1,0)</f>
        <v>0</v>
      </c>
      <c r="Y4080" s="6">
        <f>1/COUNTIF(Таблица1[Order ID],Таблица1[[#This Row],[Order ID]])</f>
        <v>1</v>
      </c>
      <c r="Z4080" s="9">
        <f>1/COUNTIFS(Таблица1[Customer Name],Таблица1[[#This Row],[Customer Name]],Таблица1[Order-Year-Month],Таблица1[[#This Row],[Order-Year-Month]])</f>
        <v>1</v>
      </c>
    </row>
    <row r="4081" spans="1:26" x14ac:dyDescent="0.2">
      <c r="A4081" s="6">
        <v>5129</v>
      </c>
      <c r="B4081" s="7">
        <v>36517</v>
      </c>
      <c r="C4081" s="8">
        <f>DATE(2012,12,31)-1036</f>
        <v>40238</v>
      </c>
      <c r="D4081" s="8" t="str">
        <f t="shared" si="76"/>
        <v>2010-03 (март 2010)</v>
      </c>
      <c r="E4081" s="9" t="s">
        <v>45</v>
      </c>
      <c r="F4081" s="7">
        <v>18</v>
      </c>
      <c r="G4081" s="7">
        <v>877.64</v>
      </c>
      <c r="H4081" s="7">
        <v>0.03</v>
      </c>
      <c r="I4081" s="9" t="s">
        <v>22</v>
      </c>
      <c r="J4081" s="10">
        <v>218.97</v>
      </c>
      <c r="K4081" s="11">
        <v>48.58</v>
      </c>
      <c r="L4081" s="11">
        <v>3.99</v>
      </c>
      <c r="M4081" s="9" t="s">
        <v>1688</v>
      </c>
      <c r="N4081" s="6" t="s">
        <v>1123</v>
      </c>
      <c r="O4081" s="6" t="s">
        <v>1123</v>
      </c>
      <c r="P4081" s="9" t="s">
        <v>41</v>
      </c>
      <c r="Q4081" s="9" t="s">
        <v>26</v>
      </c>
      <c r="R4081" s="9" t="s">
        <v>34</v>
      </c>
      <c r="S4081" s="7" t="s">
        <v>988</v>
      </c>
      <c r="T4081" s="9" t="s">
        <v>39</v>
      </c>
      <c r="U4081" s="7">
        <v>0.56000000000000005</v>
      </c>
      <c r="V4081" s="12">
        <f>C4081+1</f>
        <v>40239</v>
      </c>
      <c r="W4081">
        <f>IF(D4081=' Pivot Tables'!$A$4,1,0)</f>
        <v>0</v>
      </c>
      <c r="X4081">
        <f>IF(AND(LEFT(D4081,4)+1=LEFT(' Pivot Tables'!$A$4,4)+0,RIGHT(LEFT(D4081,7),2)=RIGHT(LEFT(' Pivot Tables'!$A$4,7),2)),1,0)</f>
        <v>0</v>
      </c>
      <c r="Y4081" s="6">
        <f>1/COUNTIF(Таблица1[Order ID],Таблица1[[#This Row],[Order ID]])</f>
        <v>0.5</v>
      </c>
      <c r="Z4081" s="9">
        <f>1/COUNTIFS(Таблица1[Customer Name],Таблица1[[#This Row],[Customer Name]],Таблица1[Order-Year-Month],Таблица1[[#This Row],[Order-Year-Month]])</f>
        <v>0.5</v>
      </c>
    </row>
    <row r="4082" spans="1:26" x14ac:dyDescent="0.2">
      <c r="A4082" s="6">
        <v>5130</v>
      </c>
      <c r="B4082" s="7">
        <v>36517</v>
      </c>
      <c r="C4082" s="8">
        <f>DATE(2012,12,31)-1036</f>
        <v>40238</v>
      </c>
      <c r="D4082" s="8" t="str">
        <f t="shared" si="76"/>
        <v>2010-03 (март 2010)</v>
      </c>
      <c r="E4082" s="9" t="s">
        <v>45</v>
      </c>
      <c r="F4082" s="7">
        <v>9</v>
      </c>
      <c r="G4082" s="7">
        <v>190.1</v>
      </c>
      <c r="H4082" s="7">
        <v>0.06</v>
      </c>
      <c r="I4082" s="9" t="s">
        <v>22</v>
      </c>
      <c r="J4082" s="10">
        <v>-63.78</v>
      </c>
      <c r="K4082" s="11">
        <v>20.95</v>
      </c>
      <c r="L4082" s="11">
        <v>4</v>
      </c>
      <c r="M4082" s="9" t="s">
        <v>1688</v>
      </c>
      <c r="N4082" s="6" t="s">
        <v>1123</v>
      </c>
      <c r="O4082" s="6" t="s">
        <v>1123</v>
      </c>
      <c r="P4082" s="9" t="s">
        <v>41</v>
      </c>
      <c r="Q4082" s="9" t="s">
        <v>42</v>
      </c>
      <c r="R4082" s="9" t="s">
        <v>70</v>
      </c>
      <c r="S4082" s="7" t="s">
        <v>231</v>
      </c>
      <c r="T4082" s="9" t="s">
        <v>39</v>
      </c>
      <c r="U4082" s="7">
        <v>0.6</v>
      </c>
      <c r="V4082" s="12">
        <f>C4082+2</f>
        <v>40240</v>
      </c>
      <c r="W4082">
        <f>IF(D4082=' Pivot Tables'!$A$4,1,0)</f>
        <v>0</v>
      </c>
      <c r="X4082">
        <f>IF(AND(LEFT(D4082,4)+1=LEFT(' Pivot Tables'!$A$4,4)+0,RIGHT(LEFT(D4082,7),2)=RIGHT(LEFT(' Pivot Tables'!$A$4,7),2)),1,0)</f>
        <v>0</v>
      </c>
      <c r="Y4082" s="6">
        <f>1/COUNTIF(Таблица1[Order ID],Таблица1[[#This Row],[Order ID]])</f>
        <v>0.5</v>
      </c>
      <c r="Z4082" s="9">
        <f>1/COUNTIFS(Таблица1[Customer Name],Таблица1[[#This Row],[Customer Name]],Таблица1[Order-Year-Month],Таблица1[[#This Row],[Order-Year-Month]])</f>
        <v>0.5</v>
      </c>
    </row>
    <row r="4083" spans="1:26" x14ac:dyDescent="0.2">
      <c r="A4083" s="6">
        <v>5151</v>
      </c>
      <c r="B4083" s="7">
        <v>36705</v>
      </c>
      <c r="C4083" s="8">
        <f>DATE(2012,12,31)-1285</f>
        <v>39989</v>
      </c>
      <c r="D4083" s="8" t="str">
        <f t="shared" si="76"/>
        <v>2009-06 (июнь 2009)</v>
      </c>
      <c r="E4083" s="9" t="s">
        <v>45</v>
      </c>
      <c r="F4083" s="7">
        <v>17</v>
      </c>
      <c r="G4083" s="7">
        <v>1032.0719999999999</v>
      </c>
      <c r="H4083" s="7">
        <v>0.06</v>
      </c>
      <c r="I4083" s="9" t="s">
        <v>31</v>
      </c>
      <c r="J4083" s="10">
        <v>54.230849999999997</v>
      </c>
      <c r="K4083" s="11">
        <v>70.89</v>
      </c>
      <c r="L4083" s="11">
        <v>89.3</v>
      </c>
      <c r="M4083" s="9" t="s">
        <v>1727</v>
      </c>
      <c r="N4083" s="6" t="s">
        <v>1123</v>
      </c>
      <c r="O4083" s="6" t="s">
        <v>1123</v>
      </c>
      <c r="P4083" s="9" t="s">
        <v>25</v>
      </c>
      <c r="Q4083" s="9" t="s">
        <v>49</v>
      </c>
      <c r="R4083" s="9" t="s">
        <v>83</v>
      </c>
      <c r="S4083" s="7" t="s">
        <v>1071</v>
      </c>
      <c r="T4083" s="9" t="s">
        <v>82</v>
      </c>
      <c r="U4083" s="7">
        <v>0.72</v>
      </c>
      <c r="V4083" s="12">
        <f>C4083+0</f>
        <v>39989</v>
      </c>
      <c r="W4083">
        <f>IF(D4083=' Pivot Tables'!$A$4,1,0)</f>
        <v>0</v>
      </c>
      <c r="X4083">
        <f>IF(AND(LEFT(D4083,4)+1=LEFT(' Pivot Tables'!$A$4,4)+0,RIGHT(LEFT(D4083,7),2)=RIGHT(LEFT(' Pivot Tables'!$A$4,7),2)),1,0)</f>
        <v>0</v>
      </c>
      <c r="Y4083" s="6">
        <f>1/COUNTIF(Таблица1[Order ID],Таблица1[[#This Row],[Order ID]])</f>
        <v>1</v>
      </c>
      <c r="Z4083" s="9">
        <f>1/COUNTIFS(Таблица1[Customer Name],Таблица1[[#This Row],[Customer Name]],Таблица1[Order-Year-Month],Таблица1[[#This Row],[Order-Year-Month]])</f>
        <v>0.5</v>
      </c>
    </row>
    <row r="4084" spans="1:26" x14ac:dyDescent="0.2">
      <c r="A4084" s="6">
        <v>5179</v>
      </c>
      <c r="B4084" s="7">
        <v>36833</v>
      </c>
      <c r="C4084" s="8">
        <f>DATE(2012,12,31)-173</f>
        <v>41101</v>
      </c>
      <c r="D4084" s="8" t="str">
        <f t="shared" si="76"/>
        <v>2012-07 (июль 2012)</v>
      </c>
      <c r="E4084" s="9" t="s">
        <v>21</v>
      </c>
      <c r="F4084" s="7">
        <v>25</v>
      </c>
      <c r="G4084" s="7">
        <v>184.32</v>
      </c>
      <c r="H4084" s="7">
        <v>0</v>
      </c>
      <c r="I4084" s="9" t="s">
        <v>22</v>
      </c>
      <c r="J4084" s="10">
        <v>-73.33</v>
      </c>
      <c r="K4084" s="11">
        <v>6.68</v>
      </c>
      <c r="L4084" s="11">
        <v>7.3</v>
      </c>
      <c r="M4084" s="9" t="s">
        <v>1724</v>
      </c>
      <c r="N4084" s="6" t="s">
        <v>1123</v>
      </c>
      <c r="O4084" s="6" t="s">
        <v>1123</v>
      </c>
      <c r="P4084" s="9" t="s">
        <v>60</v>
      </c>
      <c r="Q4084" s="9" t="s">
        <v>26</v>
      </c>
      <c r="R4084" s="9" t="s">
        <v>61</v>
      </c>
      <c r="S4084" s="7" t="s">
        <v>1317</v>
      </c>
      <c r="T4084" s="9" t="s">
        <v>39</v>
      </c>
      <c r="U4084" s="7">
        <v>0.37</v>
      </c>
      <c r="V4084" s="12">
        <f>C4084+7</f>
        <v>41108</v>
      </c>
      <c r="W4084">
        <f>IF(D4084=' Pivot Tables'!$A$4,1,0)</f>
        <v>0</v>
      </c>
      <c r="X4084">
        <f>IF(AND(LEFT(D4084,4)+1=LEFT(' Pivot Tables'!$A$4,4)+0,RIGHT(LEFT(D4084,7),2)=RIGHT(LEFT(' Pivot Tables'!$A$4,7),2)),1,0)</f>
        <v>0</v>
      </c>
      <c r="Y4084" s="6">
        <f>1/COUNTIF(Таблица1[Order ID],Таблица1[[#This Row],[Order ID]])</f>
        <v>1</v>
      </c>
      <c r="Z4084" s="9">
        <f>1/COUNTIFS(Таблица1[Customer Name],Таблица1[[#This Row],[Customer Name]],Таблица1[Order-Year-Month],Таблица1[[#This Row],[Order-Year-Month]])</f>
        <v>1</v>
      </c>
    </row>
    <row r="4085" spans="1:26" x14ac:dyDescent="0.2">
      <c r="A4085" s="6">
        <v>5190</v>
      </c>
      <c r="B4085" s="7">
        <v>36896</v>
      </c>
      <c r="C4085" s="8">
        <f>DATE(2012,12,31)-1154</f>
        <v>40120</v>
      </c>
      <c r="D4085" s="8" t="str">
        <f t="shared" si="76"/>
        <v>2009-11 (ноябрь 2009)</v>
      </c>
      <c r="E4085" s="9" t="s">
        <v>78</v>
      </c>
      <c r="F4085" s="7">
        <v>12</v>
      </c>
      <c r="G4085" s="7">
        <v>34.01</v>
      </c>
      <c r="H4085" s="7">
        <v>0</v>
      </c>
      <c r="I4085" s="9" t="s">
        <v>22</v>
      </c>
      <c r="J4085" s="10">
        <v>10.58</v>
      </c>
      <c r="K4085" s="11">
        <v>2.61</v>
      </c>
      <c r="L4085" s="11">
        <v>0.5</v>
      </c>
      <c r="M4085" s="9" t="s">
        <v>1735</v>
      </c>
      <c r="N4085" s="6" t="s">
        <v>1123</v>
      </c>
      <c r="O4085" s="6" t="s">
        <v>1123</v>
      </c>
      <c r="P4085" s="9" t="s">
        <v>41</v>
      </c>
      <c r="Q4085" s="9" t="s">
        <v>26</v>
      </c>
      <c r="R4085" s="9" t="s">
        <v>88</v>
      </c>
      <c r="S4085" s="7" t="s">
        <v>406</v>
      </c>
      <c r="T4085" s="9" t="s">
        <v>39</v>
      </c>
      <c r="U4085" s="7">
        <v>0.39</v>
      </c>
      <c r="V4085" s="12">
        <f>C4085+2</f>
        <v>40122</v>
      </c>
      <c r="W4085">
        <f>IF(D4085=' Pivot Tables'!$A$4,1,0)</f>
        <v>0</v>
      </c>
      <c r="X4085">
        <f>IF(AND(LEFT(D4085,4)+1=LEFT(' Pivot Tables'!$A$4,4)+0,RIGHT(LEFT(D4085,7),2)=RIGHT(LEFT(' Pivot Tables'!$A$4,7),2)),1,0)</f>
        <v>0</v>
      </c>
      <c r="Y4085" s="6">
        <f>1/COUNTIF(Таблица1[Order ID],Таблица1[[#This Row],[Order ID]])</f>
        <v>0.33333333333333331</v>
      </c>
      <c r="Z4085" s="9">
        <f>1/COUNTIFS(Таблица1[Customer Name],Таблица1[[#This Row],[Customer Name]],Таблица1[Order-Year-Month],Таблица1[[#This Row],[Order-Year-Month]])</f>
        <v>0.33333333333333331</v>
      </c>
    </row>
    <row r="4086" spans="1:26" x14ac:dyDescent="0.2">
      <c r="A4086" s="6">
        <v>5191</v>
      </c>
      <c r="B4086" s="7">
        <v>36896</v>
      </c>
      <c r="C4086" s="8">
        <f>DATE(2012,12,31)-1154</f>
        <v>40120</v>
      </c>
      <c r="D4086" s="8" t="str">
        <f t="shared" si="76"/>
        <v>2009-11 (ноябрь 2009)</v>
      </c>
      <c r="E4086" s="9" t="s">
        <v>78</v>
      </c>
      <c r="F4086" s="7">
        <v>41</v>
      </c>
      <c r="G4086" s="7">
        <v>1008.95</v>
      </c>
      <c r="H4086" s="7">
        <v>0.04</v>
      </c>
      <c r="I4086" s="9" t="s">
        <v>56</v>
      </c>
      <c r="J4086" s="10">
        <v>69.31</v>
      </c>
      <c r="K4086" s="11">
        <v>25.38</v>
      </c>
      <c r="L4086" s="11">
        <v>8.99</v>
      </c>
      <c r="M4086" s="9" t="s">
        <v>1735</v>
      </c>
      <c r="N4086" s="6" t="s">
        <v>1123</v>
      </c>
      <c r="O4086" s="6" t="s">
        <v>1123</v>
      </c>
      <c r="P4086" s="9" t="s">
        <v>41</v>
      </c>
      <c r="Q4086" s="9" t="s">
        <v>49</v>
      </c>
      <c r="R4086" s="9" t="s">
        <v>50</v>
      </c>
      <c r="S4086" s="7" t="s">
        <v>335</v>
      </c>
      <c r="T4086" s="9" t="s">
        <v>52</v>
      </c>
      <c r="U4086" s="7">
        <v>0.5</v>
      </c>
      <c r="V4086" s="12">
        <f>C4086+3</f>
        <v>40123</v>
      </c>
      <c r="W4086">
        <f>IF(D4086=' Pivot Tables'!$A$4,1,0)</f>
        <v>0</v>
      </c>
      <c r="X4086">
        <f>IF(AND(LEFT(D4086,4)+1=LEFT(' Pivot Tables'!$A$4,4)+0,RIGHT(LEFT(D4086,7),2)=RIGHT(LEFT(' Pivot Tables'!$A$4,7),2)),1,0)</f>
        <v>0</v>
      </c>
      <c r="Y4086" s="6">
        <f>1/COUNTIF(Таблица1[Order ID],Таблица1[[#This Row],[Order ID]])</f>
        <v>0.33333333333333331</v>
      </c>
      <c r="Z4086" s="9">
        <f>1/COUNTIFS(Таблица1[Customer Name],Таблица1[[#This Row],[Customer Name]],Таблица1[Order-Year-Month],Таблица1[[#This Row],[Order-Year-Month]])</f>
        <v>0.33333333333333331</v>
      </c>
    </row>
    <row r="4087" spans="1:26" x14ac:dyDescent="0.2">
      <c r="A4087" s="6">
        <v>5192</v>
      </c>
      <c r="B4087" s="7">
        <v>36896</v>
      </c>
      <c r="C4087" s="8">
        <f>DATE(2012,12,31)-1154</f>
        <v>40120</v>
      </c>
      <c r="D4087" s="8" t="str">
        <f t="shared" si="76"/>
        <v>2009-11 (ноябрь 2009)</v>
      </c>
      <c r="E4087" s="9" t="s">
        <v>78</v>
      </c>
      <c r="F4087" s="7">
        <v>21</v>
      </c>
      <c r="G4087" s="7">
        <v>3508.33</v>
      </c>
      <c r="H4087" s="7">
        <v>0.04</v>
      </c>
      <c r="I4087" s="9" t="s">
        <v>22</v>
      </c>
      <c r="J4087" s="10">
        <v>-546.98</v>
      </c>
      <c r="K4087" s="11">
        <v>167.27</v>
      </c>
      <c r="L4087" s="11">
        <v>35</v>
      </c>
      <c r="M4087" s="9" t="s">
        <v>1735</v>
      </c>
      <c r="N4087" s="6" t="s">
        <v>1123</v>
      </c>
      <c r="O4087" s="6" t="s">
        <v>1123</v>
      </c>
      <c r="P4087" s="9" t="s">
        <v>41</v>
      </c>
      <c r="Q4087" s="9" t="s">
        <v>26</v>
      </c>
      <c r="R4087" s="9" t="s">
        <v>27</v>
      </c>
      <c r="S4087" s="7" t="s">
        <v>978</v>
      </c>
      <c r="T4087" s="9" t="s">
        <v>29</v>
      </c>
      <c r="U4087" s="7">
        <v>0.85</v>
      </c>
      <c r="V4087" s="12">
        <f>C4087+0</f>
        <v>40120</v>
      </c>
      <c r="W4087">
        <f>IF(D4087=' Pivot Tables'!$A$4,1,0)</f>
        <v>0</v>
      </c>
      <c r="X4087">
        <f>IF(AND(LEFT(D4087,4)+1=LEFT(' Pivot Tables'!$A$4,4)+0,RIGHT(LEFT(D4087,7),2)=RIGHT(LEFT(' Pivot Tables'!$A$4,7),2)),1,0)</f>
        <v>0</v>
      </c>
      <c r="Y4087" s="6">
        <f>1/COUNTIF(Таблица1[Order ID],Таблица1[[#This Row],[Order ID]])</f>
        <v>0.33333333333333331</v>
      </c>
      <c r="Z4087" s="9">
        <f>1/COUNTIFS(Таблица1[Customer Name],Таблица1[[#This Row],[Customer Name]],Таблица1[Order-Year-Month],Таблица1[[#This Row],[Order-Year-Month]])</f>
        <v>0.33333333333333331</v>
      </c>
    </row>
    <row r="4088" spans="1:26" x14ac:dyDescent="0.2">
      <c r="A4088" s="6">
        <v>5215</v>
      </c>
      <c r="B4088" s="7">
        <v>37123</v>
      </c>
      <c r="C4088" s="8">
        <f>DATE(2012,12,31)-317</f>
        <v>40957</v>
      </c>
      <c r="D4088" s="8" t="str">
        <f t="shared" si="76"/>
        <v>2012-02 (февраль 2012)</v>
      </c>
      <c r="E4088" s="9" t="s">
        <v>30</v>
      </c>
      <c r="F4088" s="7">
        <v>50</v>
      </c>
      <c r="G4088" s="7">
        <v>794.58</v>
      </c>
      <c r="H4088" s="7">
        <v>0.05</v>
      </c>
      <c r="I4088" s="9" t="s">
        <v>31</v>
      </c>
      <c r="J4088" s="10">
        <v>11.650950000000002</v>
      </c>
      <c r="K4088" s="11">
        <v>15.23</v>
      </c>
      <c r="L4088" s="11">
        <v>27.75</v>
      </c>
      <c r="M4088" s="9" t="s">
        <v>1415</v>
      </c>
      <c r="N4088" s="6" t="s">
        <v>1123</v>
      </c>
      <c r="O4088" s="6" t="s">
        <v>1123</v>
      </c>
      <c r="P4088" s="9" t="s">
        <v>25</v>
      </c>
      <c r="Q4088" s="9" t="s">
        <v>49</v>
      </c>
      <c r="R4088" s="9" t="s">
        <v>83</v>
      </c>
      <c r="S4088" s="7" t="s">
        <v>1186</v>
      </c>
      <c r="T4088" s="9" t="s">
        <v>82</v>
      </c>
      <c r="U4088" s="7">
        <v>0.76</v>
      </c>
      <c r="V4088" s="12">
        <f>C4088+1</f>
        <v>40958</v>
      </c>
      <c r="W4088">
        <f>IF(D4088=' Pivot Tables'!$A$4,1,0)</f>
        <v>0</v>
      </c>
      <c r="X4088">
        <f>IF(AND(LEFT(D4088,4)+1=LEFT(' Pivot Tables'!$A$4,4)+0,RIGHT(LEFT(D4088,7),2)=RIGHT(LEFT(' Pivot Tables'!$A$4,7),2)),1,0)</f>
        <v>0</v>
      </c>
      <c r="Y4088" s="6">
        <f>1/COUNTIF(Таблица1[Order ID],Таблица1[[#This Row],[Order ID]])</f>
        <v>1</v>
      </c>
      <c r="Z4088" s="9">
        <f>1/COUNTIFS(Таблица1[Customer Name],Таблица1[[#This Row],[Customer Name]],Таблица1[Order-Year-Month],Таблица1[[#This Row],[Order-Year-Month]])</f>
        <v>1</v>
      </c>
    </row>
    <row r="4089" spans="1:26" x14ac:dyDescent="0.2">
      <c r="A4089" s="6">
        <v>5280</v>
      </c>
      <c r="B4089" s="7">
        <v>37572</v>
      </c>
      <c r="C4089" s="8">
        <f>DATE(2012,12,31)-881</f>
        <v>40393</v>
      </c>
      <c r="D4089" s="8" t="str">
        <f t="shared" si="76"/>
        <v>2010-08 (август 2010)</v>
      </c>
      <c r="E4089" s="9" t="s">
        <v>30</v>
      </c>
      <c r="F4089" s="7">
        <v>22</v>
      </c>
      <c r="G4089" s="7">
        <v>123.95</v>
      </c>
      <c r="H4089" s="7">
        <v>0.01</v>
      </c>
      <c r="I4089" s="9" t="s">
        <v>22</v>
      </c>
      <c r="J4089" s="10">
        <v>2.4224999999999999</v>
      </c>
      <c r="K4089" s="11">
        <v>5.34</v>
      </c>
      <c r="L4089" s="11">
        <v>2.99</v>
      </c>
      <c r="M4089" s="9" t="s">
        <v>1229</v>
      </c>
      <c r="N4089" s="6" t="s">
        <v>1123</v>
      </c>
      <c r="O4089" s="6" t="s">
        <v>1123</v>
      </c>
      <c r="P4089" s="9" t="s">
        <v>41</v>
      </c>
      <c r="Q4089" s="9" t="s">
        <v>26</v>
      </c>
      <c r="R4089" s="9" t="s">
        <v>37</v>
      </c>
      <c r="S4089" s="7" t="s">
        <v>407</v>
      </c>
      <c r="T4089" s="9" t="s">
        <v>39</v>
      </c>
      <c r="U4089" s="7">
        <v>0.38</v>
      </c>
      <c r="V4089" s="12">
        <f>C4089+2</f>
        <v>40395</v>
      </c>
      <c r="W4089">
        <f>IF(D4089=' Pivot Tables'!$A$4,1,0)</f>
        <v>0</v>
      </c>
      <c r="X4089">
        <f>IF(AND(LEFT(D4089,4)+1=LEFT(' Pivot Tables'!$A$4,4)+0,RIGHT(LEFT(D4089,7),2)=RIGHT(LEFT(' Pivot Tables'!$A$4,7),2)),1,0)</f>
        <v>0</v>
      </c>
      <c r="Y4089" s="6">
        <f>1/COUNTIF(Таблица1[Order ID],Таблица1[[#This Row],[Order ID]])</f>
        <v>1</v>
      </c>
      <c r="Z4089" s="9">
        <f>1/COUNTIFS(Таблица1[Customer Name],Таблица1[[#This Row],[Customer Name]],Таблица1[Order-Year-Month],Таблица1[[#This Row],[Order-Year-Month]])</f>
        <v>1</v>
      </c>
    </row>
    <row r="4090" spans="1:26" x14ac:dyDescent="0.2">
      <c r="A4090" s="6">
        <v>5290</v>
      </c>
      <c r="B4090" s="7">
        <v>37669</v>
      </c>
      <c r="C4090" s="8">
        <f>DATE(2012,12,31)-794</f>
        <v>40480</v>
      </c>
      <c r="D4090" s="8" t="str">
        <f t="shared" si="76"/>
        <v>2010-10 (октябрь 2010)</v>
      </c>
      <c r="E4090" s="9" t="s">
        <v>45</v>
      </c>
      <c r="F4090" s="7">
        <v>39</v>
      </c>
      <c r="G4090" s="7">
        <v>9081.98</v>
      </c>
      <c r="H4090" s="7">
        <v>0.02</v>
      </c>
      <c r="I4090" s="9" t="s">
        <v>56</v>
      </c>
      <c r="J4090" s="10">
        <v>2485.54</v>
      </c>
      <c r="K4090" s="11">
        <v>232.58</v>
      </c>
      <c r="L4090" s="11">
        <v>19.989999999999998</v>
      </c>
      <c r="M4090" s="9" t="s">
        <v>1726</v>
      </c>
      <c r="N4090" s="6" t="s">
        <v>1123</v>
      </c>
      <c r="O4090" s="6" t="s">
        <v>1123</v>
      </c>
      <c r="P4090" s="9" t="s">
        <v>41</v>
      </c>
      <c r="Q4090" s="9" t="s">
        <v>26</v>
      </c>
      <c r="R4090" s="9" t="s">
        <v>34</v>
      </c>
      <c r="S4090" s="7" t="s">
        <v>1373</v>
      </c>
      <c r="T4090" s="9" t="s">
        <v>39</v>
      </c>
      <c r="U4090" s="7">
        <v>0.59</v>
      </c>
      <c r="V4090" s="12">
        <f>C4090+2</f>
        <v>40482</v>
      </c>
      <c r="W4090">
        <f>IF(D4090=' Pivot Tables'!$A$4,1,0)</f>
        <v>0</v>
      </c>
      <c r="X4090">
        <f>IF(AND(LEFT(D4090,4)+1=LEFT(' Pivot Tables'!$A$4,4)+0,RIGHT(LEFT(D4090,7),2)=RIGHT(LEFT(' Pivot Tables'!$A$4,7),2)),1,0)</f>
        <v>0</v>
      </c>
      <c r="Y4090" s="6">
        <f>1/COUNTIF(Таблица1[Order ID],Таблица1[[#This Row],[Order ID]])</f>
        <v>0.33333333333333331</v>
      </c>
      <c r="Z4090" s="9">
        <f>1/COUNTIFS(Таблица1[Customer Name],Таблица1[[#This Row],[Customer Name]],Таблица1[Order-Year-Month],Таблица1[[#This Row],[Order-Year-Month]])</f>
        <v>0.33333333333333331</v>
      </c>
    </row>
    <row r="4091" spans="1:26" x14ac:dyDescent="0.2">
      <c r="A4091" s="6">
        <v>5291</v>
      </c>
      <c r="B4091" s="7">
        <v>37669</v>
      </c>
      <c r="C4091" s="8">
        <f>DATE(2012,12,31)-794</f>
        <v>40480</v>
      </c>
      <c r="D4091" s="8" t="str">
        <f t="shared" si="76"/>
        <v>2010-10 (октябрь 2010)</v>
      </c>
      <c r="E4091" s="9" t="s">
        <v>45</v>
      </c>
      <c r="F4091" s="7">
        <v>31</v>
      </c>
      <c r="G4091" s="7">
        <v>806.08</v>
      </c>
      <c r="H4091" s="7">
        <v>0.08</v>
      </c>
      <c r="I4091" s="9" t="s">
        <v>22</v>
      </c>
      <c r="J4091" s="10">
        <v>402.37</v>
      </c>
      <c r="K4091" s="11">
        <v>26.17</v>
      </c>
      <c r="L4091" s="11">
        <v>1.39</v>
      </c>
      <c r="M4091" s="9" t="s">
        <v>1726</v>
      </c>
      <c r="N4091" s="6" t="s">
        <v>1123</v>
      </c>
      <c r="O4091" s="6" t="s">
        <v>1123</v>
      </c>
      <c r="P4091" s="9" t="s">
        <v>41</v>
      </c>
      <c r="Q4091" s="9" t="s">
        <v>26</v>
      </c>
      <c r="R4091" s="9" t="s">
        <v>76</v>
      </c>
      <c r="S4091" s="7" t="s">
        <v>1448</v>
      </c>
      <c r="T4091" s="9" t="s">
        <v>39</v>
      </c>
      <c r="U4091" s="7">
        <v>0.38</v>
      </c>
      <c r="V4091" s="12">
        <f>C4091+2</f>
        <v>40482</v>
      </c>
      <c r="W4091">
        <f>IF(D4091=' Pivot Tables'!$A$4,1,0)</f>
        <v>0</v>
      </c>
      <c r="X4091">
        <f>IF(AND(LEFT(D4091,4)+1=LEFT(' Pivot Tables'!$A$4,4)+0,RIGHT(LEFT(D4091,7),2)=RIGHT(LEFT(' Pivot Tables'!$A$4,7),2)),1,0)</f>
        <v>0</v>
      </c>
      <c r="Y4091" s="6">
        <f>1/COUNTIF(Таблица1[Order ID],Таблица1[[#This Row],[Order ID]])</f>
        <v>0.33333333333333331</v>
      </c>
      <c r="Z4091" s="9">
        <f>1/COUNTIFS(Таблица1[Customer Name],Таблица1[[#This Row],[Customer Name]],Таблица1[Order-Year-Month],Таблица1[[#This Row],[Order-Year-Month]])</f>
        <v>0.33333333333333331</v>
      </c>
    </row>
    <row r="4092" spans="1:26" x14ac:dyDescent="0.2">
      <c r="A4092" s="6">
        <v>5292</v>
      </c>
      <c r="B4092" s="7">
        <v>37669</v>
      </c>
      <c r="C4092" s="8">
        <f>DATE(2012,12,31)-794</f>
        <v>40480</v>
      </c>
      <c r="D4092" s="8" t="str">
        <f t="shared" si="76"/>
        <v>2010-10 (октябрь 2010)</v>
      </c>
      <c r="E4092" s="9" t="s">
        <v>45</v>
      </c>
      <c r="F4092" s="7">
        <v>4</v>
      </c>
      <c r="G4092" s="7">
        <v>70.02</v>
      </c>
      <c r="H4092" s="7">
        <v>0</v>
      </c>
      <c r="I4092" s="9" t="s">
        <v>22</v>
      </c>
      <c r="J4092" s="10">
        <v>-30.63</v>
      </c>
      <c r="K4092" s="11">
        <v>15.31</v>
      </c>
      <c r="L4092" s="11">
        <v>8.7799999999999994</v>
      </c>
      <c r="M4092" s="9" t="s">
        <v>1726</v>
      </c>
      <c r="N4092" s="6" t="s">
        <v>1123</v>
      </c>
      <c r="O4092" s="6" t="s">
        <v>1123</v>
      </c>
      <c r="P4092" s="9" t="s">
        <v>41</v>
      </c>
      <c r="Q4092" s="9" t="s">
        <v>26</v>
      </c>
      <c r="R4092" s="9" t="s">
        <v>27</v>
      </c>
      <c r="S4092" s="7" t="s">
        <v>748</v>
      </c>
      <c r="T4092" s="9" t="s">
        <v>39</v>
      </c>
      <c r="U4092" s="7">
        <v>0.56999999999999995</v>
      </c>
      <c r="V4092" s="12">
        <f>C4092+3</f>
        <v>40483</v>
      </c>
      <c r="W4092">
        <f>IF(D4092=' Pivot Tables'!$A$4,1,0)</f>
        <v>0</v>
      </c>
      <c r="X4092">
        <f>IF(AND(LEFT(D4092,4)+1=LEFT(' Pivot Tables'!$A$4,4)+0,RIGHT(LEFT(D4092,7),2)=RIGHT(LEFT(' Pivot Tables'!$A$4,7),2)),1,0)</f>
        <v>0</v>
      </c>
      <c r="Y4092" s="6">
        <f>1/COUNTIF(Таблица1[Order ID],Таблица1[[#This Row],[Order ID]])</f>
        <v>0.33333333333333331</v>
      </c>
      <c r="Z4092" s="9">
        <f>1/COUNTIFS(Таблица1[Customer Name],Таблица1[[#This Row],[Customer Name]],Таблица1[Order-Year-Month],Таблица1[[#This Row],[Order-Year-Month]])</f>
        <v>0.33333333333333331</v>
      </c>
    </row>
    <row r="4093" spans="1:26" x14ac:dyDescent="0.2">
      <c r="A4093" s="6">
        <v>5362</v>
      </c>
      <c r="B4093" s="7">
        <v>38117</v>
      </c>
      <c r="C4093" s="8">
        <f>DATE(2012,12,31)-986</f>
        <v>40288</v>
      </c>
      <c r="D4093" s="8" t="str">
        <f t="shared" si="76"/>
        <v>2010-04 (апрель 2010)</v>
      </c>
      <c r="E4093" s="9" t="s">
        <v>21</v>
      </c>
      <c r="F4093" s="7">
        <v>28</v>
      </c>
      <c r="G4093" s="7">
        <v>481.27</v>
      </c>
      <c r="H4093" s="7">
        <v>0.01</v>
      </c>
      <c r="I4093" s="9" t="s">
        <v>22</v>
      </c>
      <c r="J4093" s="10">
        <v>-128.88999999999999</v>
      </c>
      <c r="K4093" s="11">
        <v>15.7</v>
      </c>
      <c r="L4093" s="11">
        <v>11.25</v>
      </c>
      <c r="M4093" s="9" t="s">
        <v>1739</v>
      </c>
      <c r="N4093" s="6" t="s">
        <v>1123</v>
      </c>
      <c r="O4093" s="6" t="s">
        <v>1123</v>
      </c>
      <c r="P4093" s="9" t="s">
        <v>60</v>
      </c>
      <c r="Q4093" s="9" t="s">
        <v>26</v>
      </c>
      <c r="R4093" s="9" t="s">
        <v>27</v>
      </c>
      <c r="S4093" s="7" t="s">
        <v>206</v>
      </c>
      <c r="T4093" s="9" t="s">
        <v>39</v>
      </c>
      <c r="U4093" s="7">
        <v>0.6</v>
      </c>
      <c r="V4093" s="12">
        <f>C4093+5</f>
        <v>40293</v>
      </c>
      <c r="W4093">
        <f>IF(D4093=' Pivot Tables'!$A$4,1,0)</f>
        <v>0</v>
      </c>
      <c r="X4093">
        <f>IF(AND(LEFT(D4093,4)+1=LEFT(' Pivot Tables'!$A$4,4)+0,RIGHT(LEFT(D4093,7),2)=RIGHT(LEFT(' Pivot Tables'!$A$4,7),2)),1,0)</f>
        <v>0</v>
      </c>
      <c r="Y4093" s="6">
        <f>1/COUNTIF(Таблица1[Order ID],Таблица1[[#This Row],[Order ID]])</f>
        <v>1</v>
      </c>
      <c r="Z4093" s="9">
        <f>1/COUNTIFS(Таблица1[Customer Name],Таблица1[[#This Row],[Customer Name]],Таблица1[Order-Year-Month],Таблица1[[#This Row],[Order-Year-Month]])</f>
        <v>1</v>
      </c>
    </row>
    <row r="4094" spans="1:26" x14ac:dyDescent="0.2">
      <c r="A4094" s="6">
        <v>5372</v>
      </c>
      <c r="B4094" s="7">
        <v>38210</v>
      </c>
      <c r="C4094" s="8">
        <f>DATE(2012,12,31)-750</f>
        <v>40524</v>
      </c>
      <c r="D4094" s="8" t="str">
        <f t="shared" si="76"/>
        <v>2010-12 (декабрь 2010)</v>
      </c>
      <c r="E4094" s="9" t="s">
        <v>21</v>
      </c>
      <c r="F4094" s="7">
        <v>10</v>
      </c>
      <c r="G4094" s="7">
        <v>52.76</v>
      </c>
      <c r="H4094" s="7">
        <v>0.09</v>
      </c>
      <c r="I4094" s="9" t="s">
        <v>22</v>
      </c>
      <c r="J4094" s="10">
        <v>-49.53</v>
      </c>
      <c r="K4094" s="11">
        <v>4.9800000000000004</v>
      </c>
      <c r="L4094" s="11">
        <v>7.44</v>
      </c>
      <c r="M4094" s="9" t="s">
        <v>1746</v>
      </c>
      <c r="N4094" s="6" t="s">
        <v>1123</v>
      </c>
      <c r="O4094" s="6" t="s">
        <v>1123</v>
      </c>
      <c r="P4094" s="9" t="s">
        <v>41</v>
      </c>
      <c r="Q4094" s="9" t="s">
        <v>26</v>
      </c>
      <c r="R4094" s="9" t="s">
        <v>61</v>
      </c>
      <c r="S4094" s="7" t="s">
        <v>1159</v>
      </c>
      <c r="T4094" s="9" t="s">
        <v>39</v>
      </c>
      <c r="U4094" s="7">
        <v>0.36</v>
      </c>
      <c r="V4094" s="12">
        <f>C4094+0</f>
        <v>40524</v>
      </c>
      <c r="W4094">
        <f>IF(D4094=' Pivot Tables'!$A$4,1,0)</f>
        <v>0</v>
      </c>
      <c r="X4094">
        <f>IF(AND(LEFT(D4094,4)+1=LEFT(' Pivot Tables'!$A$4,4)+0,RIGHT(LEFT(D4094,7),2)=RIGHT(LEFT(' Pivot Tables'!$A$4,7),2)),1,0)</f>
        <v>0</v>
      </c>
      <c r="Y4094" s="6">
        <f>1/COUNTIF(Таблица1[Order ID],Таблица1[[#This Row],[Order ID]])</f>
        <v>1</v>
      </c>
      <c r="Z4094" s="9">
        <f>1/COUNTIFS(Таблица1[Customer Name],Таблица1[[#This Row],[Customer Name]],Таблица1[Order-Year-Month],Таблица1[[#This Row],[Order-Year-Month]])</f>
        <v>1</v>
      </c>
    </row>
    <row r="4095" spans="1:26" x14ac:dyDescent="0.2">
      <c r="A4095" s="6">
        <v>5381</v>
      </c>
      <c r="B4095" s="7">
        <v>38274</v>
      </c>
      <c r="C4095" s="8">
        <f>DATE(2012,12,31)-570</f>
        <v>40704</v>
      </c>
      <c r="D4095" s="8" t="str">
        <f t="shared" si="76"/>
        <v>2011-06 (июнь 2011)</v>
      </c>
      <c r="E4095" s="9" t="s">
        <v>30</v>
      </c>
      <c r="F4095" s="7">
        <v>9</v>
      </c>
      <c r="G4095" s="7">
        <v>1225.3699999999999</v>
      </c>
      <c r="H4095" s="7">
        <v>0.08</v>
      </c>
      <c r="I4095" s="9" t="s">
        <v>22</v>
      </c>
      <c r="J4095" s="10">
        <v>0.98000000000001819</v>
      </c>
      <c r="K4095" s="11">
        <v>140.81</v>
      </c>
      <c r="L4095" s="11">
        <v>24.49</v>
      </c>
      <c r="M4095" s="9" t="s">
        <v>1767</v>
      </c>
      <c r="N4095" s="6" t="s">
        <v>1123</v>
      </c>
      <c r="O4095" s="6" t="s">
        <v>1123</v>
      </c>
      <c r="P4095" s="9" t="s">
        <v>33</v>
      </c>
      <c r="Q4095" s="9" t="s">
        <v>49</v>
      </c>
      <c r="R4095" s="9" t="s">
        <v>112</v>
      </c>
      <c r="S4095" s="7" t="s">
        <v>314</v>
      </c>
      <c r="T4095" s="9" t="s">
        <v>29</v>
      </c>
      <c r="U4095" s="7">
        <v>0.56999999999999995</v>
      </c>
      <c r="V4095" s="12">
        <f>C4095+2</f>
        <v>40706</v>
      </c>
      <c r="W4095">
        <f>IF(D4095=' Pivot Tables'!$A$4,1,0)</f>
        <v>0</v>
      </c>
      <c r="X4095">
        <f>IF(AND(LEFT(D4095,4)+1=LEFT(' Pivot Tables'!$A$4,4)+0,RIGHT(LEFT(D4095,7),2)=RIGHT(LEFT(' Pivot Tables'!$A$4,7),2)),1,0)</f>
        <v>0</v>
      </c>
      <c r="Y4095" s="6">
        <f>1/COUNTIF(Таблица1[Order ID],Таблица1[[#This Row],[Order ID]])</f>
        <v>0.33333333333333331</v>
      </c>
      <c r="Z4095" s="9">
        <f>1/COUNTIFS(Таблица1[Customer Name],Таблица1[[#This Row],[Customer Name]],Таблица1[Order-Year-Month],Таблица1[[#This Row],[Order-Year-Month]])</f>
        <v>0.33333333333333331</v>
      </c>
    </row>
    <row r="4096" spans="1:26" x14ac:dyDescent="0.2">
      <c r="A4096" s="6">
        <v>5382</v>
      </c>
      <c r="B4096" s="7">
        <v>38274</v>
      </c>
      <c r="C4096" s="8">
        <f>DATE(2012,12,31)-570</f>
        <v>40704</v>
      </c>
      <c r="D4096" s="8" t="str">
        <f t="shared" si="76"/>
        <v>2011-06 (июнь 2011)</v>
      </c>
      <c r="E4096" s="9" t="s">
        <v>30</v>
      </c>
      <c r="F4096" s="7">
        <v>27</v>
      </c>
      <c r="G4096" s="7">
        <v>1199.57</v>
      </c>
      <c r="H4096" s="7">
        <v>0.06</v>
      </c>
      <c r="I4096" s="9" t="s">
        <v>22</v>
      </c>
      <c r="J4096" s="10">
        <v>23.7</v>
      </c>
      <c r="K4096" s="11">
        <v>43.57</v>
      </c>
      <c r="L4096" s="11">
        <v>16.36</v>
      </c>
      <c r="M4096" s="9" t="s">
        <v>1767</v>
      </c>
      <c r="N4096" s="6" t="s">
        <v>1123</v>
      </c>
      <c r="O4096" s="6" t="s">
        <v>1123</v>
      </c>
      <c r="P4096" s="9" t="s">
        <v>33</v>
      </c>
      <c r="Q4096" s="9" t="s">
        <v>26</v>
      </c>
      <c r="R4096" s="9" t="s">
        <v>27</v>
      </c>
      <c r="S4096" s="7" t="s">
        <v>1338</v>
      </c>
      <c r="T4096" s="9" t="s">
        <v>39</v>
      </c>
      <c r="U4096" s="7">
        <v>0.55000000000000004</v>
      </c>
      <c r="V4096" s="12">
        <f>C4096+2</f>
        <v>40706</v>
      </c>
      <c r="W4096">
        <f>IF(D4096=' Pivot Tables'!$A$4,1,0)</f>
        <v>0</v>
      </c>
      <c r="X4096">
        <f>IF(AND(LEFT(D4096,4)+1=LEFT(' Pivot Tables'!$A$4,4)+0,RIGHT(LEFT(D4096,7),2)=RIGHT(LEFT(' Pivot Tables'!$A$4,7),2)),1,0)</f>
        <v>0</v>
      </c>
      <c r="Y4096" s="6">
        <f>1/COUNTIF(Таблица1[Order ID],Таблица1[[#This Row],[Order ID]])</f>
        <v>0.33333333333333331</v>
      </c>
      <c r="Z4096" s="9">
        <f>1/COUNTIFS(Таблица1[Customer Name],Таблица1[[#This Row],[Customer Name]],Таблица1[Order-Year-Month],Таблица1[[#This Row],[Order-Year-Month]])</f>
        <v>0.33333333333333331</v>
      </c>
    </row>
    <row r="4097" spans="1:26" x14ac:dyDescent="0.2">
      <c r="A4097" s="6">
        <v>5383</v>
      </c>
      <c r="B4097" s="7">
        <v>38274</v>
      </c>
      <c r="C4097" s="8">
        <f>DATE(2012,12,31)-570</f>
        <v>40704</v>
      </c>
      <c r="D4097" s="8" t="str">
        <f t="shared" si="76"/>
        <v>2011-06 (июнь 2011)</v>
      </c>
      <c r="E4097" s="9" t="s">
        <v>30</v>
      </c>
      <c r="F4097" s="7">
        <v>10</v>
      </c>
      <c r="G4097" s="7">
        <v>484.21949999999993</v>
      </c>
      <c r="H4097" s="7">
        <v>0.02</v>
      </c>
      <c r="I4097" s="9" t="s">
        <v>56</v>
      </c>
      <c r="J4097" s="10">
        <v>-33.792000000000002</v>
      </c>
      <c r="K4097" s="11">
        <v>55.99</v>
      </c>
      <c r="L4097" s="11">
        <v>1.25</v>
      </c>
      <c r="M4097" s="9" t="s">
        <v>1767</v>
      </c>
      <c r="N4097" s="6" t="s">
        <v>1123</v>
      </c>
      <c r="O4097" s="6" t="s">
        <v>1123</v>
      </c>
      <c r="P4097" s="9" t="s">
        <v>33</v>
      </c>
      <c r="Q4097" s="9" t="s">
        <v>42</v>
      </c>
      <c r="R4097" s="9" t="s">
        <v>43</v>
      </c>
      <c r="S4097" s="7" t="s">
        <v>661</v>
      </c>
      <c r="T4097" s="9" t="s">
        <v>52</v>
      </c>
      <c r="U4097" s="7">
        <v>0.55000000000000004</v>
      </c>
      <c r="V4097" s="12">
        <f>C4097+1</f>
        <v>40705</v>
      </c>
      <c r="W4097">
        <f>IF(D4097=' Pivot Tables'!$A$4,1,0)</f>
        <v>0</v>
      </c>
      <c r="X4097">
        <f>IF(AND(LEFT(D4097,4)+1=LEFT(' Pivot Tables'!$A$4,4)+0,RIGHT(LEFT(D4097,7),2)=RIGHT(LEFT(' Pivot Tables'!$A$4,7),2)),1,0)</f>
        <v>0</v>
      </c>
      <c r="Y4097" s="6">
        <f>1/COUNTIF(Таблица1[Order ID],Таблица1[[#This Row],[Order ID]])</f>
        <v>0.33333333333333331</v>
      </c>
      <c r="Z4097" s="9">
        <f>1/COUNTIFS(Таблица1[Customer Name],Таблица1[[#This Row],[Customer Name]],Таблица1[Order-Year-Month],Таблица1[[#This Row],[Order-Year-Month]])</f>
        <v>0.33333333333333331</v>
      </c>
    </row>
    <row r="4098" spans="1:26" x14ac:dyDescent="0.2">
      <c r="A4098" s="6">
        <v>5397</v>
      </c>
      <c r="B4098" s="7">
        <v>38370</v>
      </c>
      <c r="C4098" s="8">
        <f>DATE(2012,12,31)-638</f>
        <v>40636</v>
      </c>
      <c r="D4098" s="8" t="str">
        <f t="shared" si="76"/>
        <v>2011-04 (апрель 2011)</v>
      </c>
      <c r="E4098" s="9" t="s">
        <v>30</v>
      </c>
      <c r="F4098" s="7">
        <v>50</v>
      </c>
      <c r="G4098" s="7">
        <v>169.13</v>
      </c>
      <c r="H4098" s="7">
        <v>0</v>
      </c>
      <c r="I4098" s="9" t="s">
        <v>22</v>
      </c>
      <c r="J4098" s="10">
        <v>43.05</v>
      </c>
      <c r="K4098" s="11">
        <v>3.14</v>
      </c>
      <c r="L4098" s="11">
        <v>1.1399999999999999</v>
      </c>
      <c r="M4098" s="9" t="s">
        <v>1189</v>
      </c>
      <c r="N4098" s="6" t="s">
        <v>1123</v>
      </c>
      <c r="O4098" s="6" t="s">
        <v>1123</v>
      </c>
      <c r="P4098" s="9" t="s">
        <v>41</v>
      </c>
      <c r="Q4098" s="9" t="s">
        <v>26</v>
      </c>
      <c r="R4098" s="9" t="s">
        <v>61</v>
      </c>
      <c r="S4098" s="7" t="s">
        <v>1768</v>
      </c>
      <c r="T4098" s="9" t="s">
        <v>68</v>
      </c>
      <c r="U4098" s="7">
        <v>0.4</v>
      </c>
      <c r="V4098" s="12">
        <f>C4098+2</f>
        <v>40638</v>
      </c>
      <c r="W4098">
        <f>IF(D4098=' Pivot Tables'!$A$4,1,0)</f>
        <v>0</v>
      </c>
      <c r="X4098">
        <f>IF(AND(LEFT(D4098,4)+1=LEFT(' Pivot Tables'!$A$4,4)+0,RIGHT(LEFT(D4098,7),2)=RIGHT(LEFT(' Pivot Tables'!$A$4,7),2)),1,0)</f>
        <v>0</v>
      </c>
      <c r="Y4098" s="6">
        <f>1/COUNTIF(Таблица1[Order ID],Таблица1[[#This Row],[Order ID]])</f>
        <v>1</v>
      </c>
      <c r="Z4098" s="9">
        <f>1/COUNTIFS(Таблица1[Customer Name],Таблица1[[#This Row],[Customer Name]],Таблица1[Order-Year-Month],Таблица1[[#This Row],[Order-Year-Month]])</f>
        <v>1</v>
      </c>
    </row>
    <row r="4099" spans="1:26" x14ac:dyDescent="0.2">
      <c r="A4099" s="6">
        <v>5403</v>
      </c>
      <c r="B4099" s="7">
        <v>38405</v>
      </c>
      <c r="C4099" s="8">
        <f>DATE(2012,12,31)-900</f>
        <v>40374</v>
      </c>
      <c r="D4099" s="8" t="str">
        <f t="shared" ref="D4099:D4162" si="77">TEXT(C4099,"гггг-ММ (ММММ гггг)")</f>
        <v>2010-07 (июль 2010)</v>
      </c>
      <c r="E4099" s="9" t="s">
        <v>63</v>
      </c>
      <c r="F4099" s="7">
        <v>29</v>
      </c>
      <c r="G4099" s="7">
        <v>208.04</v>
      </c>
      <c r="H4099" s="7">
        <v>0.1</v>
      </c>
      <c r="I4099" s="9" t="s">
        <v>22</v>
      </c>
      <c r="J4099" s="10">
        <v>14.77</v>
      </c>
      <c r="K4099" s="11">
        <v>7.59</v>
      </c>
      <c r="L4099" s="11">
        <v>4</v>
      </c>
      <c r="M4099" s="9" t="s">
        <v>1751</v>
      </c>
      <c r="N4099" s="6" t="s">
        <v>1123</v>
      </c>
      <c r="O4099" s="6" t="s">
        <v>1123</v>
      </c>
      <c r="P4099" s="9" t="s">
        <v>25</v>
      </c>
      <c r="Q4099" s="9" t="s">
        <v>49</v>
      </c>
      <c r="R4099" s="9" t="s">
        <v>50</v>
      </c>
      <c r="S4099" s="7" t="s">
        <v>504</v>
      </c>
      <c r="T4099" s="9" t="s">
        <v>68</v>
      </c>
      <c r="U4099" s="7">
        <v>0.42</v>
      </c>
      <c r="V4099" s="12">
        <f>C4099+3</f>
        <v>40377</v>
      </c>
      <c r="W4099">
        <f>IF(D4099=' Pivot Tables'!$A$4,1,0)</f>
        <v>0</v>
      </c>
      <c r="X4099">
        <f>IF(AND(LEFT(D4099,4)+1=LEFT(' Pivot Tables'!$A$4,4)+0,RIGHT(LEFT(D4099,7),2)=RIGHT(LEFT(' Pivot Tables'!$A$4,7),2)),1,0)</f>
        <v>0</v>
      </c>
      <c r="Y4099" s="6">
        <f>1/COUNTIF(Таблица1[Order ID],Таблица1[[#This Row],[Order ID]])</f>
        <v>1</v>
      </c>
      <c r="Z4099" s="9">
        <f>1/COUNTIFS(Таблица1[Customer Name],Таблица1[[#This Row],[Customer Name]],Таблица1[Order-Year-Month],Таблица1[[#This Row],[Order-Year-Month]])</f>
        <v>1</v>
      </c>
    </row>
    <row r="4100" spans="1:26" x14ac:dyDescent="0.2">
      <c r="A4100" s="6">
        <v>5409</v>
      </c>
      <c r="B4100" s="7">
        <v>38466</v>
      </c>
      <c r="C4100" s="8">
        <f>DATE(2012,12,31)-502</f>
        <v>40772</v>
      </c>
      <c r="D4100" s="8" t="str">
        <f t="shared" si="77"/>
        <v>2011-08 (август 2011)</v>
      </c>
      <c r="E4100" s="9" t="s">
        <v>78</v>
      </c>
      <c r="F4100" s="7">
        <v>22</v>
      </c>
      <c r="G4100" s="7">
        <v>136.18</v>
      </c>
      <c r="H4100" s="7">
        <v>0.08</v>
      </c>
      <c r="I4100" s="9" t="s">
        <v>22</v>
      </c>
      <c r="J4100" s="10">
        <v>-43.26</v>
      </c>
      <c r="K4100" s="11">
        <v>5.98</v>
      </c>
      <c r="L4100" s="11">
        <v>5.46</v>
      </c>
      <c r="M4100" s="9" t="s">
        <v>1730</v>
      </c>
      <c r="N4100" s="6" t="s">
        <v>1123</v>
      </c>
      <c r="O4100" s="6" t="s">
        <v>1123</v>
      </c>
      <c r="P4100" s="9" t="s">
        <v>41</v>
      </c>
      <c r="Q4100" s="9" t="s">
        <v>26</v>
      </c>
      <c r="R4100" s="9" t="s">
        <v>61</v>
      </c>
      <c r="S4100" s="7" t="s">
        <v>751</v>
      </c>
      <c r="T4100" s="9" t="s">
        <v>39</v>
      </c>
      <c r="U4100" s="7">
        <v>0.36</v>
      </c>
      <c r="V4100" s="12">
        <f>C4100+1</f>
        <v>40773</v>
      </c>
      <c r="W4100">
        <f>IF(D4100=' Pivot Tables'!$A$4,1,0)</f>
        <v>0</v>
      </c>
      <c r="X4100">
        <f>IF(AND(LEFT(D4100,4)+1=LEFT(' Pivot Tables'!$A$4,4)+0,RIGHT(LEFT(D4100,7),2)=RIGHT(LEFT(' Pivot Tables'!$A$4,7),2)),1,0)</f>
        <v>0</v>
      </c>
      <c r="Y4100" s="6">
        <f>1/COUNTIF(Таблица1[Order ID],Таблица1[[#This Row],[Order ID]])</f>
        <v>0.33333333333333331</v>
      </c>
      <c r="Z4100" s="9">
        <f>1/COUNTIFS(Таблица1[Customer Name],Таблица1[[#This Row],[Customer Name]],Таблица1[Order-Year-Month],Таблица1[[#This Row],[Order-Year-Month]])</f>
        <v>0.33333333333333331</v>
      </c>
    </row>
    <row r="4101" spans="1:26" x14ac:dyDescent="0.2">
      <c r="A4101" s="6">
        <v>5410</v>
      </c>
      <c r="B4101" s="7">
        <v>38466</v>
      </c>
      <c r="C4101" s="8">
        <f>DATE(2012,12,31)-502</f>
        <v>40772</v>
      </c>
      <c r="D4101" s="8" t="str">
        <f t="shared" si="77"/>
        <v>2011-08 (август 2011)</v>
      </c>
      <c r="E4101" s="9" t="s">
        <v>78</v>
      </c>
      <c r="F4101" s="7">
        <v>37</v>
      </c>
      <c r="G4101" s="7">
        <v>111.37</v>
      </c>
      <c r="H4101" s="7">
        <v>0.04</v>
      </c>
      <c r="I4101" s="9" t="s">
        <v>22</v>
      </c>
      <c r="J4101" s="10">
        <v>46.46</v>
      </c>
      <c r="K4101" s="11">
        <v>2.89</v>
      </c>
      <c r="L4101" s="11">
        <v>0.5</v>
      </c>
      <c r="M4101" s="9" t="s">
        <v>1730</v>
      </c>
      <c r="N4101" s="6" t="s">
        <v>1123</v>
      </c>
      <c r="O4101" s="6" t="s">
        <v>1123</v>
      </c>
      <c r="P4101" s="9" t="s">
        <v>41</v>
      </c>
      <c r="Q4101" s="9" t="s">
        <v>26</v>
      </c>
      <c r="R4101" s="9" t="s">
        <v>88</v>
      </c>
      <c r="S4101" s="7" t="s">
        <v>474</v>
      </c>
      <c r="T4101" s="9" t="s">
        <v>39</v>
      </c>
      <c r="U4101" s="7">
        <v>0.38</v>
      </c>
      <c r="V4101" s="12">
        <f>C4101+2</f>
        <v>40774</v>
      </c>
      <c r="W4101">
        <f>IF(D4101=' Pivot Tables'!$A$4,1,0)</f>
        <v>0</v>
      </c>
      <c r="X4101">
        <f>IF(AND(LEFT(D4101,4)+1=LEFT(' Pivot Tables'!$A$4,4)+0,RIGHT(LEFT(D4101,7),2)=RIGHT(LEFT(' Pivot Tables'!$A$4,7),2)),1,0)</f>
        <v>0</v>
      </c>
      <c r="Y4101" s="6">
        <f>1/COUNTIF(Таблица1[Order ID],Таблица1[[#This Row],[Order ID]])</f>
        <v>0.33333333333333331</v>
      </c>
      <c r="Z4101" s="9">
        <f>1/COUNTIFS(Таблица1[Customer Name],Таблица1[[#This Row],[Customer Name]],Таблица1[Order-Year-Month],Таблица1[[#This Row],[Order-Year-Month]])</f>
        <v>0.33333333333333331</v>
      </c>
    </row>
    <row r="4102" spans="1:26" x14ac:dyDescent="0.2">
      <c r="A4102" s="6">
        <v>5411</v>
      </c>
      <c r="B4102" s="7">
        <v>38466</v>
      </c>
      <c r="C4102" s="8">
        <f>DATE(2012,12,31)-502</f>
        <v>40772</v>
      </c>
      <c r="D4102" s="8" t="str">
        <f t="shared" si="77"/>
        <v>2011-08 (август 2011)</v>
      </c>
      <c r="E4102" s="9" t="s">
        <v>78</v>
      </c>
      <c r="F4102" s="7">
        <v>15</v>
      </c>
      <c r="G4102" s="7">
        <v>105.48</v>
      </c>
      <c r="H4102" s="7">
        <v>0.02</v>
      </c>
      <c r="I4102" s="9" t="s">
        <v>22</v>
      </c>
      <c r="J4102" s="10">
        <v>-53.99</v>
      </c>
      <c r="K4102" s="11">
        <v>6.48</v>
      </c>
      <c r="L4102" s="11">
        <v>7.37</v>
      </c>
      <c r="M4102" s="9" t="s">
        <v>1730</v>
      </c>
      <c r="N4102" s="6" t="s">
        <v>1123</v>
      </c>
      <c r="O4102" s="6" t="s">
        <v>1123</v>
      </c>
      <c r="P4102" s="9" t="s">
        <v>41</v>
      </c>
      <c r="Q4102" s="9" t="s">
        <v>26</v>
      </c>
      <c r="R4102" s="9" t="s">
        <v>61</v>
      </c>
      <c r="S4102" s="7" t="s">
        <v>859</v>
      </c>
      <c r="T4102" s="9" t="s">
        <v>39</v>
      </c>
      <c r="U4102" s="7">
        <v>0.37</v>
      </c>
      <c r="V4102" s="12">
        <f>C4102+1</f>
        <v>40773</v>
      </c>
      <c r="W4102">
        <f>IF(D4102=' Pivot Tables'!$A$4,1,0)</f>
        <v>0</v>
      </c>
      <c r="X4102">
        <f>IF(AND(LEFT(D4102,4)+1=LEFT(' Pivot Tables'!$A$4,4)+0,RIGHT(LEFT(D4102,7),2)=RIGHT(LEFT(' Pivot Tables'!$A$4,7),2)),1,0)</f>
        <v>0</v>
      </c>
      <c r="Y4102" s="6">
        <f>1/COUNTIF(Таблица1[Order ID],Таблица1[[#This Row],[Order ID]])</f>
        <v>0.33333333333333331</v>
      </c>
      <c r="Z4102" s="9">
        <f>1/COUNTIFS(Таблица1[Customer Name],Таблица1[[#This Row],[Customer Name]],Таблица1[Order-Year-Month],Таблица1[[#This Row],[Order-Year-Month]])</f>
        <v>0.33333333333333331</v>
      </c>
    </row>
    <row r="4103" spans="1:26" x14ac:dyDescent="0.2">
      <c r="A4103" s="6">
        <v>5415</v>
      </c>
      <c r="B4103" s="7">
        <v>38501</v>
      </c>
      <c r="C4103" s="8">
        <f>DATE(2012,12,31)-1343</f>
        <v>39931</v>
      </c>
      <c r="D4103" s="8" t="str">
        <f t="shared" si="77"/>
        <v>2009-04 (апрель 2009)</v>
      </c>
      <c r="E4103" s="9" t="s">
        <v>78</v>
      </c>
      <c r="F4103" s="7">
        <v>11</v>
      </c>
      <c r="G4103" s="7">
        <v>78.680000000000007</v>
      </c>
      <c r="H4103" s="7">
        <v>0.05</v>
      </c>
      <c r="I4103" s="9" t="s">
        <v>22</v>
      </c>
      <c r="J4103" s="10">
        <v>-29.07</v>
      </c>
      <c r="K4103" s="11">
        <v>6.48</v>
      </c>
      <c r="L4103" s="11">
        <v>6.22</v>
      </c>
      <c r="M4103" s="9" t="s">
        <v>1740</v>
      </c>
      <c r="N4103" s="6" t="s">
        <v>1123</v>
      </c>
      <c r="O4103" s="6" t="s">
        <v>1123</v>
      </c>
      <c r="P4103" s="9" t="s">
        <v>41</v>
      </c>
      <c r="Q4103" s="9" t="s">
        <v>26</v>
      </c>
      <c r="R4103" s="9" t="s">
        <v>61</v>
      </c>
      <c r="S4103" s="7" t="s">
        <v>943</v>
      </c>
      <c r="T4103" s="9" t="s">
        <v>39</v>
      </c>
      <c r="U4103" s="7">
        <v>0.37</v>
      </c>
      <c r="V4103" s="12">
        <f>C4103+1</f>
        <v>39932</v>
      </c>
      <c r="W4103">
        <f>IF(D4103=' Pivot Tables'!$A$4,1,0)</f>
        <v>0</v>
      </c>
      <c r="X4103">
        <f>IF(AND(LEFT(D4103,4)+1=LEFT(' Pivot Tables'!$A$4,4)+0,RIGHT(LEFT(D4103,7),2)=RIGHT(LEFT(' Pivot Tables'!$A$4,7),2)),1,0)</f>
        <v>0</v>
      </c>
      <c r="Y4103" s="6">
        <f>1/COUNTIF(Таблица1[Order ID],Таблица1[[#This Row],[Order ID]])</f>
        <v>1</v>
      </c>
      <c r="Z4103" s="9">
        <f>1/COUNTIFS(Таблица1[Customer Name],Таблица1[[#This Row],[Customer Name]],Таблица1[Order-Year-Month],Таблица1[[#This Row],[Order-Year-Month]])</f>
        <v>1</v>
      </c>
    </row>
    <row r="4104" spans="1:26" x14ac:dyDescent="0.2">
      <c r="A4104" s="6">
        <v>5425</v>
      </c>
      <c r="B4104" s="7">
        <v>38532</v>
      </c>
      <c r="C4104" s="8">
        <f>DATE(2012,12,31)-167</f>
        <v>41107</v>
      </c>
      <c r="D4104" s="8" t="str">
        <f t="shared" si="77"/>
        <v>2012-07 (июль 2012)</v>
      </c>
      <c r="E4104" s="9" t="s">
        <v>30</v>
      </c>
      <c r="F4104" s="7">
        <v>44</v>
      </c>
      <c r="G4104" s="7">
        <v>128.22</v>
      </c>
      <c r="H4104" s="7">
        <v>7.0000000000000007E-2</v>
      </c>
      <c r="I4104" s="9" t="s">
        <v>22</v>
      </c>
      <c r="J4104" s="10">
        <v>16.510000000000002</v>
      </c>
      <c r="K4104" s="11">
        <v>2.94</v>
      </c>
      <c r="L4104" s="11">
        <v>0.7</v>
      </c>
      <c r="M4104" s="9" t="s">
        <v>1748</v>
      </c>
      <c r="N4104" s="6" t="s">
        <v>1123</v>
      </c>
      <c r="O4104" s="6" t="s">
        <v>1123</v>
      </c>
      <c r="P4104" s="9" t="s">
        <v>41</v>
      </c>
      <c r="Q4104" s="9" t="s">
        <v>26</v>
      </c>
      <c r="R4104" s="9" t="s">
        <v>95</v>
      </c>
      <c r="S4104" s="7" t="s">
        <v>1192</v>
      </c>
      <c r="T4104" s="9" t="s">
        <v>68</v>
      </c>
      <c r="U4104" s="7">
        <v>0.57999999999999996</v>
      </c>
      <c r="V4104" s="12">
        <f>C4104+2</f>
        <v>41109</v>
      </c>
      <c r="W4104">
        <f>IF(D4104=' Pivot Tables'!$A$4,1,0)</f>
        <v>0</v>
      </c>
      <c r="X4104">
        <f>IF(AND(LEFT(D4104,4)+1=LEFT(' Pivot Tables'!$A$4,4)+0,RIGHT(LEFT(D4104,7),2)=RIGHT(LEFT(' Pivot Tables'!$A$4,7),2)),1,0)</f>
        <v>0</v>
      </c>
      <c r="Y4104" s="6">
        <f>1/COUNTIF(Таблица1[Order ID],Таблица1[[#This Row],[Order ID]])</f>
        <v>1</v>
      </c>
      <c r="Z4104" s="9">
        <f>1/COUNTIFS(Таблица1[Customer Name],Таблица1[[#This Row],[Customer Name]],Таблица1[Order-Year-Month],Таблица1[[#This Row],[Order-Year-Month]])</f>
        <v>1</v>
      </c>
    </row>
    <row r="4105" spans="1:26" x14ac:dyDescent="0.2">
      <c r="A4105" s="6">
        <v>5428</v>
      </c>
      <c r="B4105" s="7">
        <v>38564</v>
      </c>
      <c r="C4105" s="8">
        <f>DATE(2012,12,31)-1155</f>
        <v>40119</v>
      </c>
      <c r="D4105" s="8" t="str">
        <f t="shared" si="77"/>
        <v>2009-11 (ноябрь 2009)</v>
      </c>
      <c r="E4105" s="9" t="s">
        <v>78</v>
      </c>
      <c r="F4105" s="7">
        <v>31</v>
      </c>
      <c r="G4105" s="7">
        <v>904.93</v>
      </c>
      <c r="H4105" s="7">
        <v>0.08</v>
      </c>
      <c r="I4105" s="9" t="s">
        <v>22</v>
      </c>
      <c r="J4105" s="10">
        <v>-53.4</v>
      </c>
      <c r="K4105" s="11">
        <v>30.97</v>
      </c>
      <c r="L4105" s="11">
        <v>4</v>
      </c>
      <c r="M4105" s="9" t="s">
        <v>1744</v>
      </c>
      <c r="N4105" s="6" t="s">
        <v>1123</v>
      </c>
      <c r="O4105" s="6" t="s">
        <v>1123</v>
      </c>
      <c r="P4105" s="9" t="s">
        <v>60</v>
      </c>
      <c r="Q4105" s="9" t="s">
        <v>42</v>
      </c>
      <c r="R4105" s="9" t="s">
        <v>70</v>
      </c>
      <c r="S4105" s="7" t="s">
        <v>942</v>
      </c>
      <c r="T4105" s="9" t="s">
        <v>39</v>
      </c>
      <c r="U4105" s="7">
        <v>0.74</v>
      </c>
      <c r="V4105" s="12">
        <f>C4105+1</f>
        <v>40120</v>
      </c>
      <c r="W4105">
        <f>IF(D4105=' Pivot Tables'!$A$4,1,0)</f>
        <v>0</v>
      </c>
      <c r="X4105">
        <f>IF(AND(LEFT(D4105,4)+1=LEFT(' Pivot Tables'!$A$4,4)+0,RIGHT(LEFT(D4105,7),2)=RIGHT(LEFT(' Pivot Tables'!$A$4,7),2)),1,0)</f>
        <v>0</v>
      </c>
      <c r="Y4105" s="6">
        <f>1/COUNTIF(Таблица1[Order ID],Таблица1[[#This Row],[Order ID]])</f>
        <v>0.33333333333333331</v>
      </c>
      <c r="Z4105" s="9">
        <f>1/COUNTIFS(Таблица1[Customer Name],Таблица1[[#This Row],[Customer Name]],Таблица1[Order-Year-Month],Таблица1[[#This Row],[Order-Year-Month]])</f>
        <v>0.5</v>
      </c>
    </row>
    <row r="4106" spans="1:26" x14ac:dyDescent="0.2">
      <c r="A4106" s="6">
        <v>5429</v>
      </c>
      <c r="B4106" s="7">
        <v>38564</v>
      </c>
      <c r="C4106" s="8">
        <f>DATE(2012,12,31)-1155</f>
        <v>40119</v>
      </c>
      <c r="D4106" s="8" t="str">
        <f t="shared" si="77"/>
        <v>2009-11 (ноябрь 2009)</v>
      </c>
      <c r="E4106" s="9" t="s">
        <v>78</v>
      </c>
      <c r="F4106" s="7">
        <v>21</v>
      </c>
      <c r="G4106" s="7">
        <v>98.51</v>
      </c>
      <c r="H4106" s="7">
        <v>0.1</v>
      </c>
      <c r="I4106" s="9" t="s">
        <v>56</v>
      </c>
      <c r="J4106" s="10">
        <v>45.93</v>
      </c>
      <c r="K4106" s="11">
        <v>4.13</v>
      </c>
      <c r="L4106" s="11">
        <v>0.5</v>
      </c>
      <c r="M4106" s="9" t="s">
        <v>1744</v>
      </c>
      <c r="N4106" s="6" t="s">
        <v>1123</v>
      </c>
      <c r="O4106" s="6" t="s">
        <v>1123</v>
      </c>
      <c r="P4106" s="9" t="s">
        <v>60</v>
      </c>
      <c r="Q4106" s="9" t="s">
        <v>26</v>
      </c>
      <c r="R4106" s="9" t="s">
        <v>88</v>
      </c>
      <c r="S4106" s="7" t="s">
        <v>184</v>
      </c>
      <c r="T4106" s="9" t="s">
        <v>39</v>
      </c>
      <c r="U4106" s="7">
        <v>0.39</v>
      </c>
      <c r="V4106" s="12">
        <f>C4106+2</f>
        <v>40121</v>
      </c>
      <c r="W4106">
        <f>IF(D4106=' Pivot Tables'!$A$4,1,0)</f>
        <v>0</v>
      </c>
      <c r="X4106">
        <f>IF(AND(LEFT(D4106,4)+1=LEFT(' Pivot Tables'!$A$4,4)+0,RIGHT(LEFT(D4106,7),2)=RIGHT(LEFT(' Pivot Tables'!$A$4,7),2)),1,0)</f>
        <v>0</v>
      </c>
      <c r="Y4106" s="6">
        <f>1/COUNTIF(Таблица1[Order ID],Таблица1[[#This Row],[Order ID]])</f>
        <v>0.33333333333333331</v>
      </c>
      <c r="Z4106" s="9">
        <f>1/COUNTIFS(Таблица1[Customer Name],Таблица1[[#This Row],[Customer Name]],Таблица1[Order-Year-Month],Таблица1[[#This Row],[Order-Year-Month]])</f>
        <v>0.5</v>
      </c>
    </row>
    <row r="4107" spans="1:26" x14ac:dyDescent="0.2">
      <c r="A4107" s="6">
        <v>5481</v>
      </c>
      <c r="B4107" s="7">
        <v>38915</v>
      </c>
      <c r="C4107" s="8">
        <f>DATE(2012,12,31)-1201</f>
        <v>40073</v>
      </c>
      <c r="D4107" s="8" t="str">
        <f t="shared" si="77"/>
        <v>2009-09 (сентябрь 2009)</v>
      </c>
      <c r="E4107" s="9" t="s">
        <v>63</v>
      </c>
      <c r="F4107" s="7">
        <v>12</v>
      </c>
      <c r="G4107" s="7">
        <v>96.73</v>
      </c>
      <c r="H4107" s="7">
        <v>0.08</v>
      </c>
      <c r="I4107" s="9" t="s">
        <v>22</v>
      </c>
      <c r="J4107" s="10">
        <v>-83.65</v>
      </c>
      <c r="K4107" s="11">
        <v>7.77</v>
      </c>
      <c r="L4107" s="11">
        <v>9.23</v>
      </c>
      <c r="M4107" s="9" t="s">
        <v>1746</v>
      </c>
      <c r="N4107" s="6" t="s">
        <v>1123</v>
      </c>
      <c r="O4107" s="6" t="s">
        <v>1123</v>
      </c>
      <c r="P4107" s="9" t="s">
        <v>41</v>
      </c>
      <c r="Q4107" s="9" t="s">
        <v>26</v>
      </c>
      <c r="R4107" s="9" t="s">
        <v>34</v>
      </c>
      <c r="S4107" s="7" t="s">
        <v>1386</v>
      </c>
      <c r="T4107" s="9" t="s">
        <v>39</v>
      </c>
      <c r="U4107" s="7">
        <v>0.57999999999999996</v>
      </c>
      <c r="V4107" s="12">
        <f>C4107+1</f>
        <v>40074</v>
      </c>
      <c r="W4107">
        <f>IF(D4107=' Pivot Tables'!$A$4,1,0)</f>
        <v>0</v>
      </c>
      <c r="X4107">
        <f>IF(AND(LEFT(D4107,4)+1=LEFT(' Pivot Tables'!$A$4,4)+0,RIGHT(LEFT(D4107,7),2)=RIGHT(LEFT(' Pivot Tables'!$A$4,7),2)),1,0)</f>
        <v>0</v>
      </c>
      <c r="Y4107" s="6">
        <f>1/COUNTIF(Таблица1[Order ID],Таблица1[[#This Row],[Order ID]])</f>
        <v>0.5</v>
      </c>
      <c r="Z4107" s="9">
        <f>1/COUNTIFS(Таблица1[Customer Name],Таблица1[[#This Row],[Customer Name]],Таблица1[Order-Year-Month],Таблица1[[#This Row],[Order-Year-Month]])</f>
        <v>0.5</v>
      </c>
    </row>
    <row r="4108" spans="1:26" x14ac:dyDescent="0.2">
      <c r="A4108" s="6">
        <v>5482</v>
      </c>
      <c r="B4108" s="7">
        <v>38915</v>
      </c>
      <c r="C4108" s="8">
        <f>DATE(2012,12,31)-1201</f>
        <v>40073</v>
      </c>
      <c r="D4108" s="8" t="str">
        <f t="shared" si="77"/>
        <v>2009-09 (сентябрь 2009)</v>
      </c>
      <c r="E4108" s="9" t="s">
        <v>63</v>
      </c>
      <c r="F4108" s="7">
        <v>34</v>
      </c>
      <c r="G4108" s="7">
        <v>253.6</v>
      </c>
      <c r="H4108" s="7">
        <v>7.0000000000000007E-2</v>
      </c>
      <c r="I4108" s="9" t="s">
        <v>22</v>
      </c>
      <c r="J4108" s="10">
        <v>24.39</v>
      </c>
      <c r="K4108" s="11">
        <v>7.59</v>
      </c>
      <c r="L4108" s="11">
        <v>4</v>
      </c>
      <c r="M4108" s="9" t="s">
        <v>1746</v>
      </c>
      <c r="N4108" s="6" t="s">
        <v>1123</v>
      </c>
      <c r="O4108" s="6" t="s">
        <v>1123</v>
      </c>
      <c r="P4108" s="9" t="s">
        <v>41</v>
      </c>
      <c r="Q4108" s="9" t="s">
        <v>49</v>
      </c>
      <c r="R4108" s="9" t="s">
        <v>50</v>
      </c>
      <c r="S4108" s="7" t="s">
        <v>504</v>
      </c>
      <c r="T4108" s="9" t="s">
        <v>68</v>
      </c>
      <c r="U4108" s="7">
        <v>0.42</v>
      </c>
      <c r="V4108" s="12">
        <f>C4108+2</f>
        <v>40075</v>
      </c>
      <c r="W4108">
        <f>IF(D4108=' Pivot Tables'!$A$4,1,0)</f>
        <v>0</v>
      </c>
      <c r="X4108">
        <f>IF(AND(LEFT(D4108,4)+1=LEFT(' Pivot Tables'!$A$4,4)+0,RIGHT(LEFT(D4108,7),2)=RIGHT(LEFT(' Pivot Tables'!$A$4,7),2)),1,0)</f>
        <v>0</v>
      </c>
      <c r="Y4108" s="6">
        <f>1/COUNTIF(Таблица1[Order ID],Таблица1[[#This Row],[Order ID]])</f>
        <v>0.5</v>
      </c>
      <c r="Z4108" s="9">
        <f>1/COUNTIFS(Таблица1[Customer Name],Таблица1[[#This Row],[Customer Name]],Таблица1[Order-Year-Month],Таблица1[[#This Row],[Order-Year-Month]])</f>
        <v>0.5</v>
      </c>
    </row>
    <row r="4109" spans="1:26" x14ac:dyDescent="0.2">
      <c r="A4109" s="6">
        <v>5487</v>
      </c>
      <c r="B4109" s="7">
        <v>38947</v>
      </c>
      <c r="C4109" s="8">
        <f>DATE(2012,12,31)-1128</f>
        <v>40146</v>
      </c>
      <c r="D4109" s="8" t="str">
        <f t="shared" si="77"/>
        <v>2009-11 (ноябрь 2009)</v>
      </c>
      <c r="E4109" s="9" t="s">
        <v>78</v>
      </c>
      <c r="F4109" s="7">
        <v>20</v>
      </c>
      <c r="G4109" s="7">
        <v>307.45999999999998</v>
      </c>
      <c r="H4109" s="7">
        <v>0.02</v>
      </c>
      <c r="I4109" s="9" t="s">
        <v>22</v>
      </c>
      <c r="J4109" s="10">
        <v>4.91</v>
      </c>
      <c r="K4109" s="11">
        <v>14.58</v>
      </c>
      <c r="L4109" s="11">
        <v>7.4</v>
      </c>
      <c r="M4109" s="9" t="s">
        <v>1382</v>
      </c>
      <c r="N4109" s="6" t="s">
        <v>1123</v>
      </c>
      <c r="O4109" s="6" t="s">
        <v>1123</v>
      </c>
      <c r="P4109" s="9" t="s">
        <v>60</v>
      </c>
      <c r="Q4109" s="9" t="s">
        <v>49</v>
      </c>
      <c r="R4109" s="9" t="s">
        <v>50</v>
      </c>
      <c r="S4109" s="7" t="s">
        <v>653</v>
      </c>
      <c r="T4109" s="9" t="s">
        <v>39</v>
      </c>
      <c r="U4109" s="7">
        <v>0.48</v>
      </c>
      <c r="V4109" s="12">
        <f>C4109+2</f>
        <v>40148</v>
      </c>
      <c r="W4109">
        <f>IF(D4109=' Pivot Tables'!$A$4,1,0)</f>
        <v>0</v>
      </c>
      <c r="X4109">
        <f>IF(AND(LEFT(D4109,4)+1=LEFT(' Pivot Tables'!$A$4,4)+0,RIGHT(LEFT(D4109,7),2)=RIGHT(LEFT(' Pivot Tables'!$A$4,7),2)),1,0)</f>
        <v>0</v>
      </c>
      <c r="Y4109" s="6">
        <f>1/COUNTIF(Таблица1[Order ID],Таблица1[[#This Row],[Order ID]])</f>
        <v>1</v>
      </c>
      <c r="Z4109" s="9">
        <f>1/COUNTIFS(Таблица1[Customer Name],Таблица1[[#This Row],[Customer Name]],Таблица1[Order-Year-Month],Таблица1[[#This Row],[Order-Year-Month]])</f>
        <v>1</v>
      </c>
    </row>
    <row r="4110" spans="1:26" x14ac:dyDescent="0.2">
      <c r="A4110" s="6">
        <v>5512</v>
      </c>
      <c r="B4110" s="7">
        <v>39078</v>
      </c>
      <c r="C4110" s="8">
        <f>DATE(2012,12,31)-1287</f>
        <v>39987</v>
      </c>
      <c r="D4110" s="8" t="str">
        <f t="shared" si="77"/>
        <v>2009-06 (июнь 2009)</v>
      </c>
      <c r="E4110" s="9" t="s">
        <v>21</v>
      </c>
      <c r="F4110" s="7">
        <v>10</v>
      </c>
      <c r="G4110" s="7">
        <v>36.909999999999997</v>
      </c>
      <c r="H4110" s="7">
        <v>7.0000000000000007E-2</v>
      </c>
      <c r="I4110" s="9" t="s">
        <v>22</v>
      </c>
      <c r="J4110" s="10">
        <v>-27.72</v>
      </c>
      <c r="K4110" s="11">
        <v>3.28</v>
      </c>
      <c r="L4110" s="11">
        <v>3.97</v>
      </c>
      <c r="M4110" s="9" t="s">
        <v>1742</v>
      </c>
      <c r="N4110" s="6" t="s">
        <v>1123</v>
      </c>
      <c r="O4110" s="6" t="s">
        <v>1123</v>
      </c>
      <c r="P4110" s="9" t="s">
        <v>41</v>
      </c>
      <c r="Q4110" s="9" t="s">
        <v>26</v>
      </c>
      <c r="R4110" s="9" t="s">
        <v>95</v>
      </c>
      <c r="S4110" s="7" t="s">
        <v>572</v>
      </c>
      <c r="T4110" s="9" t="s">
        <v>68</v>
      </c>
      <c r="U4110" s="7">
        <v>0.56000000000000005</v>
      </c>
      <c r="V4110" s="12">
        <f>C4110+0</f>
        <v>39987</v>
      </c>
      <c r="W4110">
        <f>IF(D4110=' Pivot Tables'!$A$4,1,0)</f>
        <v>0</v>
      </c>
      <c r="X4110">
        <f>IF(AND(LEFT(D4110,4)+1=LEFT(' Pivot Tables'!$A$4,4)+0,RIGHT(LEFT(D4110,7),2)=RIGHT(LEFT(' Pivot Tables'!$A$4,7),2)),1,0)</f>
        <v>0</v>
      </c>
      <c r="Y4110" s="6">
        <f>1/COUNTIF(Таблица1[Order ID],Таблица1[[#This Row],[Order ID]])</f>
        <v>0.33333333333333331</v>
      </c>
      <c r="Z4110" s="9">
        <f>1/COUNTIFS(Таблица1[Customer Name],Таблица1[[#This Row],[Customer Name]],Таблица1[Order-Year-Month],Таблица1[[#This Row],[Order-Year-Month]])</f>
        <v>0.33333333333333331</v>
      </c>
    </row>
    <row r="4111" spans="1:26" x14ac:dyDescent="0.2">
      <c r="A4111" s="6">
        <v>5513</v>
      </c>
      <c r="B4111" s="7">
        <v>39078</v>
      </c>
      <c r="C4111" s="8">
        <f>DATE(2012,12,31)-1287</f>
        <v>39987</v>
      </c>
      <c r="D4111" s="8" t="str">
        <f t="shared" si="77"/>
        <v>2009-06 (июнь 2009)</v>
      </c>
      <c r="E4111" s="9" t="s">
        <v>21</v>
      </c>
      <c r="F4111" s="7">
        <v>8</v>
      </c>
      <c r="G4111" s="7">
        <v>2155.84</v>
      </c>
      <c r="H4111" s="7">
        <v>0.02</v>
      </c>
      <c r="I4111" s="9" t="s">
        <v>22</v>
      </c>
      <c r="J4111" s="10">
        <v>-267.63</v>
      </c>
      <c r="K4111" s="11">
        <v>256.99</v>
      </c>
      <c r="L4111" s="11">
        <v>11.25</v>
      </c>
      <c r="M4111" s="9" t="s">
        <v>1742</v>
      </c>
      <c r="N4111" s="6" t="s">
        <v>1123</v>
      </c>
      <c r="O4111" s="6" t="s">
        <v>1123</v>
      </c>
      <c r="P4111" s="9" t="s">
        <v>41</v>
      </c>
      <c r="Q4111" s="9" t="s">
        <v>42</v>
      </c>
      <c r="R4111" s="9" t="s">
        <v>70</v>
      </c>
      <c r="S4111" s="7" t="s">
        <v>931</v>
      </c>
      <c r="T4111" s="9" t="s">
        <v>39</v>
      </c>
      <c r="U4111" s="7">
        <v>0.51</v>
      </c>
      <c r="V4111" s="12">
        <f>C4111+7</f>
        <v>39994</v>
      </c>
      <c r="W4111">
        <f>IF(D4111=' Pivot Tables'!$A$4,1,0)</f>
        <v>0</v>
      </c>
      <c r="X4111">
        <f>IF(AND(LEFT(D4111,4)+1=LEFT(' Pivot Tables'!$A$4,4)+0,RIGHT(LEFT(D4111,7),2)=RIGHT(LEFT(' Pivot Tables'!$A$4,7),2)),1,0)</f>
        <v>0</v>
      </c>
      <c r="Y4111" s="6">
        <f>1/COUNTIF(Таблица1[Order ID],Таблица1[[#This Row],[Order ID]])</f>
        <v>0.33333333333333331</v>
      </c>
      <c r="Z4111" s="9">
        <f>1/COUNTIFS(Таблица1[Customer Name],Таблица1[[#This Row],[Customer Name]],Таблица1[Order-Year-Month],Таблица1[[#This Row],[Order-Year-Month]])</f>
        <v>0.33333333333333331</v>
      </c>
    </row>
    <row r="4112" spans="1:26" x14ac:dyDescent="0.2">
      <c r="A4112" s="6">
        <v>5514</v>
      </c>
      <c r="B4112" s="7">
        <v>39078</v>
      </c>
      <c r="C4112" s="8">
        <f>DATE(2012,12,31)-1287</f>
        <v>39987</v>
      </c>
      <c r="D4112" s="8" t="str">
        <f t="shared" si="77"/>
        <v>2009-06 (июнь 2009)</v>
      </c>
      <c r="E4112" s="9" t="s">
        <v>21</v>
      </c>
      <c r="F4112" s="7">
        <v>26</v>
      </c>
      <c r="G4112" s="7">
        <v>175.27</v>
      </c>
      <c r="H4112" s="7">
        <v>0.01</v>
      </c>
      <c r="I4112" s="9" t="s">
        <v>22</v>
      </c>
      <c r="J4112" s="10">
        <v>-33.67</v>
      </c>
      <c r="K4112" s="11">
        <v>6.48</v>
      </c>
      <c r="L4112" s="11">
        <v>5.14</v>
      </c>
      <c r="M4112" s="9" t="s">
        <v>1742</v>
      </c>
      <c r="N4112" s="6" t="s">
        <v>1123</v>
      </c>
      <c r="O4112" s="6" t="s">
        <v>1123</v>
      </c>
      <c r="P4112" s="9" t="s">
        <v>41</v>
      </c>
      <c r="Q4112" s="9" t="s">
        <v>26</v>
      </c>
      <c r="R4112" s="9" t="s">
        <v>61</v>
      </c>
      <c r="S4112" s="7" t="s">
        <v>1184</v>
      </c>
      <c r="T4112" s="9" t="s">
        <v>39</v>
      </c>
      <c r="U4112" s="7">
        <v>0.37</v>
      </c>
      <c r="V4112" s="12">
        <f>C4112+2</f>
        <v>39989</v>
      </c>
      <c r="W4112">
        <f>IF(D4112=' Pivot Tables'!$A$4,1,0)</f>
        <v>0</v>
      </c>
      <c r="X4112">
        <f>IF(AND(LEFT(D4112,4)+1=LEFT(' Pivot Tables'!$A$4,4)+0,RIGHT(LEFT(D4112,7),2)=RIGHT(LEFT(' Pivot Tables'!$A$4,7),2)),1,0)</f>
        <v>0</v>
      </c>
      <c r="Y4112" s="6">
        <f>1/COUNTIF(Таблица1[Order ID],Таблица1[[#This Row],[Order ID]])</f>
        <v>0.33333333333333331</v>
      </c>
      <c r="Z4112" s="9">
        <f>1/COUNTIFS(Таблица1[Customer Name],Таблица1[[#This Row],[Customer Name]],Таблица1[Order-Year-Month],Таблица1[[#This Row],[Order-Year-Month]])</f>
        <v>0.33333333333333331</v>
      </c>
    </row>
    <row r="4113" spans="1:26" x14ac:dyDescent="0.2">
      <c r="A4113" s="6">
        <v>5524</v>
      </c>
      <c r="B4113" s="7">
        <v>39141</v>
      </c>
      <c r="C4113" s="8">
        <f>DATE(2012,12,31)-1338</f>
        <v>39936</v>
      </c>
      <c r="D4113" s="8" t="str">
        <f t="shared" si="77"/>
        <v>2009-05 (май 2009)</v>
      </c>
      <c r="E4113" s="9" t="s">
        <v>21</v>
      </c>
      <c r="F4113" s="7">
        <v>49</v>
      </c>
      <c r="G4113" s="7">
        <v>1400.91</v>
      </c>
      <c r="H4113" s="7">
        <v>0.09</v>
      </c>
      <c r="I4113" s="9" t="s">
        <v>22</v>
      </c>
      <c r="J4113" s="10">
        <v>-163.53</v>
      </c>
      <c r="K4113" s="11">
        <v>30.98</v>
      </c>
      <c r="L4113" s="11">
        <v>19.510000000000002</v>
      </c>
      <c r="M4113" s="9" t="s">
        <v>1723</v>
      </c>
      <c r="N4113" s="6" t="s">
        <v>1123</v>
      </c>
      <c r="O4113" s="6" t="s">
        <v>1123</v>
      </c>
      <c r="P4113" s="9" t="s">
        <v>33</v>
      </c>
      <c r="Q4113" s="9" t="s">
        <v>26</v>
      </c>
      <c r="R4113" s="9" t="s">
        <v>76</v>
      </c>
      <c r="S4113" s="7" t="s">
        <v>1504</v>
      </c>
      <c r="T4113" s="9" t="s">
        <v>39</v>
      </c>
      <c r="U4113" s="7">
        <v>0.36</v>
      </c>
      <c r="V4113" s="12">
        <f>C4113+2</f>
        <v>39938</v>
      </c>
      <c r="W4113">
        <f>IF(D4113=' Pivot Tables'!$A$4,1,0)</f>
        <v>0</v>
      </c>
      <c r="X4113">
        <f>IF(AND(LEFT(D4113,4)+1=LEFT(' Pivot Tables'!$A$4,4)+0,RIGHT(LEFT(D4113,7),2)=RIGHT(LEFT(' Pivot Tables'!$A$4,7),2)),1,0)</f>
        <v>0</v>
      </c>
      <c r="Y4113" s="6">
        <f>1/COUNTIF(Таблица1[Order ID],Таблица1[[#This Row],[Order ID]])</f>
        <v>0.5</v>
      </c>
      <c r="Z4113" s="9">
        <f>1/COUNTIFS(Таблица1[Customer Name],Таблица1[[#This Row],[Customer Name]],Таблица1[Order-Year-Month],Таблица1[[#This Row],[Order-Year-Month]])</f>
        <v>0.5</v>
      </c>
    </row>
    <row r="4114" spans="1:26" x14ac:dyDescent="0.2">
      <c r="A4114" s="6">
        <v>5525</v>
      </c>
      <c r="B4114" s="7">
        <v>39141</v>
      </c>
      <c r="C4114" s="8">
        <f>DATE(2012,12,31)-1338</f>
        <v>39936</v>
      </c>
      <c r="D4114" s="8" t="str">
        <f t="shared" si="77"/>
        <v>2009-05 (май 2009)</v>
      </c>
      <c r="E4114" s="9" t="s">
        <v>21</v>
      </c>
      <c r="F4114" s="7">
        <v>47</v>
      </c>
      <c r="G4114" s="7">
        <v>2259.66</v>
      </c>
      <c r="H4114" s="7">
        <v>0.03</v>
      </c>
      <c r="I4114" s="9" t="s">
        <v>22</v>
      </c>
      <c r="J4114" s="10">
        <v>554.77</v>
      </c>
      <c r="K4114" s="11">
        <v>49.34</v>
      </c>
      <c r="L4114" s="11">
        <v>10.25</v>
      </c>
      <c r="M4114" s="9" t="s">
        <v>1723</v>
      </c>
      <c r="N4114" s="6" t="s">
        <v>1123</v>
      </c>
      <c r="O4114" s="6" t="s">
        <v>1123</v>
      </c>
      <c r="P4114" s="9" t="s">
        <v>33</v>
      </c>
      <c r="Q4114" s="9" t="s">
        <v>49</v>
      </c>
      <c r="R4114" s="9" t="s">
        <v>50</v>
      </c>
      <c r="S4114" s="7" t="s">
        <v>1279</v>
      </c>
      <c r="T4114" s="9" t="s">
        <v>29</v>
      </c>
      <c r="U4114" s="7">
        <v>0.56999999999999995</v>
      </c>
      <c r="V4114" s="12">
        <f>C4114+2</f>
        <v>39938</v>
      </c>
      <c r="W4114">
        <f>IF(D4114=' Pivot Tables'!$A$4,1,0)</f>
        <v>0</v>
      </c>
      <c r="X4114">
        <f>IF(AND(LEFT(D4114,4)+1=LEFT(' Pivot Tables'!$A$4,4)+0,RIGHT(LEFT(D4114,7),2)=RIGHT(LEFT(' Pivot Tables'!$A$4,7),2)),1,0)</f>
        <v>0</v>
      </c>
      <c r="Y4114" s="6">
        <f>1/COUNTIF(Таблица1[Order ID],Таблица1[[#This Row],[Order ID]])</f>
        <v>0.5</v>
      </c>
      <c r="Z4114" s="9">
        <f>1/COUNTIFS(Таблица1[Customer Name],Таблица1[[#This Row],[Customer Name]],Таблица1[Order-Year-Month],Таблица1[[#This Row],[Order-Year-Month]])</f>
        <v>0.5</v>
      </c>
    </row>
    <row r="4115" spans="1:26" x14ac:dyDescent="0.2">
      <c r="A4115" s="6">
        <v>5570</v>
      </c>
      <c r="B4115" s="7">
        <v>39460</v>
      </c>
      <c r="C4115" s="8">
        <f>DATE(2012,12,31)-1339</f>
        <v>39935</v>
      </c>
      <c r="D4115" s="8" t="str">
        <f t="shared" si="77"/>
        <v>2009-05 (май 2009)</v>
      </c>
      <c r="E4115" s="9" t="s">
        <v>45</v>
      </c>
      <c r="F4115" s="7">
        <v>25</v>
      </c>
      <c r="G4115" s="7">
        <v>172.42</v>
      </c>
      <c r="H4115" s="7">
        <v>0.09</v>
      </c>
      <c r="I4115" s="9" t="s">
        <v>22</v>
      </c>
      <c r="J4115" s="10">
        <v>-71.59899999999999</v>
      </c>
      <c r="K4115" s="11">
        <v>7.1</v>
      </c>
      <c r="L4115" s="11">
        <v>6.05</v>
      </c>
      <c r="M4115" s="9" t="s">
        <v>1758</v>
      </c>
      <c r="N4115" s="6" t="s">
        <v>1123</v>
      </c>
      <c r="O4115" s="6" t="s">
        <v>1123</v>
      </c>
      <c r="P4115" s="9" t="s">
        <v>33</v>
      </c>
      <c r="Q4115" s="9" t="s">
        <v>26</v>
      </c>
      <c r="R4115" s="9" t="s">
        <v>37</v>
      </c>
      <c r="S4115" s="7" t="s">
        <v>435</v>
      </c>
      <c r="T4115" s="9" t="s">
        <v>39</v>
      </c>
      <c r="U4115" s="7">
        <v>0.39</v>
      </c>
      <c r="V4115" s="12">
        <f>C4115+2</f>
        <v>39937</v>
      </c>
      <c r="W4115">
        <f>IF(D4115=' Pivot Tables'!$A$4,1,0)</f>
        <v>0</v>
      </c>
      <c r="X4115">
        <f>IF(AND(LEFT(D4115,4)+1=LEFT(' Pivot Tables'!$A$4,4)+0,RIGHT(LEFT(D4115,7),2)=RIGHT(LEFT(' Pivot Tables'!$A$4,7),2)),1,0)</f>
        <v>0</v>
      </c>
      <c r="Y4115" s="6">
        <f>1/COUNTIF(Таблица1[Order ID],Таблица1[[#This Row],[Order ID]])</f>
        <v>0.5</v>
      </c>
      <c r="Z4115" s="9">
        <f>1/COUNTIFS(Таблица1[Customer Name],Таблица1[[#This Row],[Customer Name]],Таблица1[Order-Year-Month],Таблица1[[#This Row],[Order-Year-Month]])</f>
        <v>0.5</v>
      </c>
    </row>
    <row r="4116" spans="1:26" x14ac:dyDescent="0.2">
      <c r="A4116" s="6">
        <v>5571</v>
      </c>
      <c r="B4116" s="7">
        <v>39460</v>
      </c>
      <c r="C4116" s="8">
        <f>DATE(2012,12,31)-1339</f>
        <v>39935</v>
      </c>
      <c r="D4116" s="8" t="str">
        <f t="shared" si="77"/>
        <v>2009-05 (май 2009)</v>
      </c>
      <c r="E4116" s="9" t="s">
        <v>45</v>
      </c>
      <c r="F4116" s="7">
        <v>19</v>
      </c>
      <c r="G4116" s="7">
        <v>2033.9224999999999</v>
      </c>
      <c r="H4116" s="7">
        <v>0.02</v>
      </c>
      <c r="I4116" s="9" t="s">
        <v>22</v>
      </c>
      <c r="J4116" s="10">
        <v>251.19900000000001</v>
      </c>
      <c r="K4116" s="11">
        <v>125.99</v>
      </c>
      <c r="L4116" s="11">
        <v>2.5</v>
      </c>
      <c r="M4116" s="9" t="s">
        <v>1758</v>
      </c>
      <c r="N4116" s="6" t="s">
        <v>1123</v>
      </c>
      <c r="O4116" s="6" t="s">
        <v>1123</v>
      </c>
      <c r="P4116" s="9" t="s">
        <v>33</v>
      </c>
      <c r="Q4116" s="9" t="s">
        <v>42</v>
      </c>
      <c r="R4116" s="9" t="s">
        <v>43</v>
      </c>
      <c r="S4116" s="7" t="s">
        <v>954</v>
      </c>
      <c r="T4116" s="9" t="s">
        <v>39</v>
      </c>
      <c r="U4116" s="7">
        <v>0.6</v>
      </c>
      <c r="V4116" s="12">
        <f>C4116+1</f>
        <v>39936</v>
      </c>
      <c r="W4116">
        <f>IF(D4116=' Pivot Tables'!$A$4,1,0)</f>
        <v>0</v>
      </c>
      <c r="X4116">
        <f>IF(AND(LEFT(D4116,4)+1=LEFT(' Pivot Tables'!$A$4,4)+0,RIGHT(LEFT(D4116,7),2)=RIGHT(LEFT(' Pivot Tables'!$A$4,7),2)),1,0)</f>
        <v>0</v>
      </c>
      <c r="Y4116" s="6">
        <f>1/COUNTIF(Таблица1[Order ID],Таблица1[[#This Row],[Order ID]])</f>
        <v>0.5</v>
      </c>
      <c r="Z4116" s="9">
        <f>1/COUNTIFS(Таблица1[Customer Name],Таблица1[[#This Row],[Customer Name]],Таблица1[Order-Year-Month],Таблица1[[#This Row],[Order-Year-Month]])</f>
        <v>0.5</v>
      </c>
    </row>
    <row r="4117" spans="1:26" x14ac:dyDescent="0.2">
      <c r="A4117" s="6">
        <v>5639</v>
      </c>
      <c r="B4117" s="7">
        <v>39904</v>
      </c>
      <c r="C4117" s="8">
        <f>DATE(2012,12,31)-1428</f>
        <v>39846</v>
      </c>
      <c r="D4117" s="8" t="str">
        <f t="shared" si="77"/>
        <v>2009-02 (февраль 2009)</v>
      </c>
      <c r="E4117" s="9" t="s">
        <v>45</v>
      </c>
      <c r="F4117" s="7">
        <v>44</v>
      </c>
      <c r="G4117" s="7">
        <v>363.92</v>
      </c>
      <c r="H4117" s="7">
        <v>0</v>
      </c>
      <c r="I4117" s="9" t="s">
        <v>22</v>
      </c>
      <c r="J4117" s="10">
        <v>-144.56</v>
      </c>
      <c r="K4117" s="11">
        <v>8.09</v>
      </c>
      <c r="L4117" s="11">
        <v>7.96</v>
      </c>
      <c r="M4117" s="9" t="s">
        <v>1726</v>
      </c>
      <c r="N4117" s="6" t="s">
        <v>1123</v>
      </c>
      <c r="O4117" s="6" t="s">
        <v>1123</v>
      </c>
      <c r="P4117" s="9" t="s">
        <v>33</v>
      </c>
      <c r="Q4117" s="9" t="s">
        <v>49</v>
      </c>
      <c r="R4117" s="9" t="s">
        <v>50</v>
      </c>
      <c r="S4117" s="7" t="s">
        <v>1769</v>
      </c>
      <c r="T4117" s="9" t="s">
        <v>39</v>
      </c>
      <c r="U4117" s="7">
        <v>0.49</v>
      </c>
      <c r="V4117" s="12">
        <f>C4117+1</f>
        <v>39847</v>
      </c>
      <c r="W4117">
        <f>IF(D4117=' Pivot Tables'!$A$4,1,0)</f>
        <v>0</v>
      </c>
      <c r="X4117">
        <f>IF(AND(LEFT(D4117,4)+1=LEFT(' Pivot Tables'!$A$4,4)+0,RIGHT(LEFT(D4117,7),2)=RIGHT(LEFT(' Pivot Tables'!$A$4,7),2)),1,0)</f>
        <v>0</v>
      </c>
      <c r="Y4117" s="6">
        <f>1/COUNTIF(Таблица1[Order ID],Таблица1[[#This Row],[Order ID]])</f>
        <v>1</v>
      </c>
      <c r="Z4117" s="9">
        <f>1/COUNTIFS(Таблица1[Customer Name],Таблица1[[#This Row],[Customer Name]],Таблица1[Order-Year-Month],Таблица1[[#This Row],[Order-Year-Month]])</f>
        <v>1</v>
      </c>
    </row>
    <row r="4118" spans="1:26" x14ac:dyDescent="0.2">
      <c r="A4118" s="6">
        <v>5643</v>
      </c>
      <c r="B4118" s="7">
        <v>39909</v>
      </c>
      <c r="C4118" s="8">
        <f>DATE(2012,12,31)-676</f>
        <v>40598</v>
      </c>
      <c r="D4118" s="8" t="str">
        <f t="shared" si="77"/>
        <v>2011-02 (февраль 2011)</v>
      </c>
      <c r="E4118" s="9" t="s">
        <v>21</v>
      </c>
      <c r="F4118" s="7">
        <v>50</v>
      </c>
      <c r="G4118" s="7">
        <v>7778.7579999999998</v>
      </c>
      <c r="H4118" s="7">
        <v>0</v>
      </c>
      <c r="I4118" s="9" t="s">
        <v>22</v>
      </c>
      <c r="J4118" s="10">
        <v>2547.297</v>
      </c>
      <c r="K4118" s="11">
        <v>175.99</v>
      </c>
      <c r="L4118" s="11">
        <v>4.99</v>
      </c>
      <c r="M4118" s="9" t="s">
        <v>1382</v>
      </c>
      <c r="N4118" s="6" t="s">
        <v>1123</v>
      </c>
      <c r="O4118" s="6" t="s">
        <v>1123</v>
      </c>
      <c r="P4118" s="9" t="s">
        <v>60</v>
      </c>
      <c r="Q4118" s="9" t="s">
        <v>42</v>
      </c>
      <c r="R4118" s="9" t="s">
        <v>43</v>
      </c>
      <c r="S4118" s="7" t="s">
        <v>771</v>
      </c>
      <c r="T4118" s="9" t="s">
        <v>39</v>
      </c>
      <c r="U4118" s="7">
        <v>0.59</v>
      </c>
      <c r="V4118" s="12">
        <f>C4118+8</f>
        <v>40606</v>
      </c>
      <c r="W4118">
        <f>IF(D4118=' Pivot Tables'!$A$4,1,0)</f>
        <v>0</v>
      </c>
      <c r="X4118">
        <f>IF(AND(LEFT(D4118,4)+1=LEFT(' Pivot Tables'!$A$4,4)+0,RIGHT(LEFT(D4118,7),2)=RIGHT(LEFT(' Pivot Tables'!$A$4,7),2)),1,0)</f>
        <v>0</v>
      </c>
      <c r="Y4118" s="6">
        <f>1/COUNTIF(Таблица1[Order ID],Таблица1[[#This Row],[Order ID]])</f>
        <v>1</v>
      </c>
      <c r="Z4118" s="9">
        <f>1/COUNTIFS(Таблица1[Customer Name],Таблица1[[#This Row],[Customer Name]],Таблица1[Order-Year-Month],Таблица1[[#This Row],[Order-Year-Month]])</f>
        <v>0.5</v>
      </c>
    </row>
    <row r="4119" spans="1:26" x14ac:dyDescent="0.2">
      <c r="A4119" s="6">
        <v>5669</v>
      </c>
      <c r="B4119" s="7">
        <v>40100</v>
      </c>
      <c r="C4119" s="8">
        <f>DATE(2012,12,31)-331</f>
        <v>40943</v>
      </c>
      <c r="D4119" s="8" t="str">
        <f t="shared" si="77"/>
        <v>2012-02 (февраль 2012)</v>
      </c>
      <c r="E4119" s="9" t="s">
        <v>21</v>
      </c>
      <c r="F4119" s="7">
        <v>47</v>
      </c>
      <c r="G4119" s="7">
        <v>1001.17</v>
      </c>
      <c r="H4119" s="7">
        <v>0</v>
      </c>
      <c r="I4119" s="9" t="s">
        <v>22</v>
      </c>
      <c r="J4119" s="10">
        <v>333.18</v>
      </c>
      <c r="K4119" s="11">
        <v>19.98</v>
      </c>
      <c r="L4119" s="11">
        <v>5.77</v>
      </c>
      <c r="M4119" s="9" t="s">
        <v>1731</v>
      </c>
      <c r="N4119" s="6" t="s">
        <v>1123</v>
      </c>
      <c r="O4119" s="6" t="s">
        <v>1123</v>
      </c>
      <c r="P4119" s="9" t="s">
        <v>60</v>
      </c>
      <c r="Q4119" s="9" t="s">
        <v>26</v>
      </c>
      <c r="R4119" s="9" t="s">
        <v>61</v>
      </c>
      <c r="S4119" s="7" t="s">
        <v>197</v>
      </c>
      <c r="T4119" s="9" t="s">
        <v>39</v>
      </c>
      <c r="U4119" s="7">
        <v>0.38</v>
      </c>
      <c r="V4119" s="12">
        <f>C4119+4</f>
        <v>40947</v>
      </c>
      <c r="W4119">
        <f>IF(D4119=' Pivot Tables'!$A$4,1,0)</f>
        <v>0</v>
      </c>
      <c r="X4119">
        <f>IF(AND(LEFT(D4119,4)+1=LEFT(' Pivot Tables'!$A$4,4)+0,RIGHT(LEFT(D4119,7),2)=RIGHT(LEFT(' Pivot Tables'!$A$4,7),2)),1,0)</f>
        <v>0</v>
      </c>
      <c r="Y4119" s="6">
        <f>1/COUNTIF(Таблица1[Order ID],Таблица1[[#This Row],[Order ID]])</f>
        <v>1</v>
      </c>
      <c r="Z4119" s="9">
        <f>1/COUNTIFS(Таблица1[Customer Name],Таблица1[[#This Row],[Customer Name]],Таблица1[Order-Year-Month],Таблица1[[#This Row],[Order-Year-Month]])</f>
        <v>1</v>
      </c>
    </row>
    <row r="4120" spans="1:26" x14ac:dyDescent="0.2">
      <c r="A4120" s="6">
        <v>5689</v>
      </c>
      <c r="B4120" s="7">
        <v>40224</v>
      </c>
      <c r="C4120" s="8">
        <f>DATE(2012,12,31)-1280</f>
        <v>39994</v>
      </c>
      <c r="D4120" s="8" t="str">
        <f t="shared" si="77"/>
        <v>2009-06 (июнь 2009)</v>
      </c>
      <c r="E4120" s="9" t="s">
        <v>21</v>
      </c>
      <c r="F4120" s="7">
        <v>14</v>
      </c>
      <c r="G4120" s="7">
        <v>890.9</v>
      </c>
      <c r="H4120" s="7">
        <v>0.05</v>
      </c>
      <c r="I4120" s="9" t="s">
        <v>56</v>
      </c>
      <c r="J4120" s="10">
        <v>404.29</v>
      </c>
      <c r="K4120" s="11">
        <v>63.94</v>
      </c>
      <c r="L4120" s="11">
        <v>14.48</v>
      </c>
      <c r="M4120" s="9" t="s">
        <v>1728</v>
      </c>
      <c r="N4120" s="6" t="s">
        <v>1123</v>
      </c>
      <c r="O4120" s="6" t="s">
        <v>1123</v>
      </c>
      <c r="P4120" s="9" t="s">
        <v>33</v>
      </c>
      <c r="Q4120" s="9" t="s">
        <v>49</v>
      </c>
      <c r="R4120" s="9" t="s">
        <v>50</v>
      </c>
      <c r="S4120" s="7" t="s">
        <v>433</v>
      </c>
      <c r="T4120" s="9" t="s">
        <v>39</v>
      </c>
      <c r="U4120" s="7">
        <v>0.46</v>
      </c>
      <c r="V4120" s="12">
        <f>C4120+7</f>
        <v>40001</v>
      </c>
      <c r="W4120">
        <f>IF(D4120=' Pivot Tables'!$A$4,1,0)</f>
        <v>0</v>
      </c>
      <c r="X4120">
        <f>IF(AND(LEFT(D4120,4)+1=LEFT(' Pivot Tables'!$A$4,4)+0,RIGHT(LEFT(D4120,7),2)=RIGHT(LEFT(' Pivot Tables'!$A$4,7),2)),1,0)</f>
        <v>0</v>
      </c>
      <c r="Y4120" s="6">
        <f>1/COUNTIF(Таблица1[Order ID],Таблица1[[#This Row],[Order ID]])</f>
        <v>1</v>
      </c>
      <c r="Z4120" s="9">
        <f>1/COUNTIFS(Таблица1[Customer Name],Таблица1[[#This Row],[Customer Name]],Таблица1[Order-Year-Month],Таблица1[[#This Row],[Order-Year-Month]])</f>
        <v>0.5</v>
      </c>
    </row>
    <row r="4121" spans="1:26" x14ac:dyDescent="0.2">
      <c r="A4121" s="6">
        <v>5712</v>
      </c>
      <c r="B4121" s="7">
        <v>40422</v>
      </c>
      <c r="C4121" s="8">
        <f>DATE(2012,12,31)-532</f>
        <v>40742</v>
      </c>
      <c r="D4121" s="8" t="str">
        <f t="shared" si="77"/>
        <v>2011-07 (июль 2011)</v>
      </c>
      <c r="E4121" s="9" t="s">
        <v>78</v>
      </c>
      <c r="F4121" s="7">
        <v>39</v>
      </c>
      <c r="G4121" s="7">
        <v>2192.4389999999999</v>
      </c>
      <c r="H4121" s="7">
        <v>0.06</v>
      </c>
      <c r="I4121" s="9" t="s">
        <v>56</v>
      </c>
      <c r="J4121" s="10">
        <v>517.81500000000005</v>
      </c>
      <c r="K4121" s="11">
        <v>65.989999999999995</v>
      </c>
      <c r="L4121" s="11">
        <v>3.99</v>
      </c>
      <c r="M4121" s="9" t="s">
        <v>1723</v>
      </c>
      <c r="N4121" s="6" t="s">
        <v>1123</v>
      </c>
      <c r="O4121" s="6" t="s">
        <v>1123</v>
      </c>
      <c r="P4121" s="9" t="s">
        <v>33</v>
      </c>
      <c r="Q4121" s="9" t="s">
        <v>42</v>
      </c>
      <c r="R4121" s="9" t="s">
        <v>43</v>
      </c>
      <c r="S4121" s="7" t="s">
        <v>582</v>
      </c>
      <c r="T4121" s="9" t="s">
        <v>39</v>
      </c>
      <c r="U4121" s="7">
        <v>0.59</v>
      </c>
      <c r="V4121" s="12">
        <f>C4121+2</f>
        <v>40744</v>
      </c>
      <c r="W4121">
        <f>IF(D4121=' Pivot Tables'!$A$4,1,0)</f>
        <v>0</v>
      </c>
      <c r="X4121">
        <f>IF(AND(LEFT(D4121,4)+1=LEFT(' Pivot Tables'!$A$4,4)+0,RIGHT(LEFT(D4121,7),2)=RIGHT(LEFT(' Pivot Tables'!$A$4,7),2)),1,0)</f>
        <v>0</v>
      </c>
      <c r="Y4121" s="6">
        <f>1/COUNTIF(Таблица1[Order ID],Таблица1[[#This Row],[Order ID]])</f>
        <v>1</v>
      </c>
      <c r="Z4121" s="9">
        <f>1/COUNTIFS(Таблица1[Customer Name],Таблица1[[#This Row],[Customer Name]],Таблица1[Order-Year-Month],Таблица1[[#This Row],[Order-Year-Month]])</f>
        <v>0.33333333333333331</v>
      </c>
    </row>
    <row r="4122" spans="1:26" x14ac:dyDescent="0.2">
      <c r="A4122" s="6">
        <v>5743</v>
      </c>
      <c r="B4122" s="7">
        <v>40802</v>
      </c>
      <c r="C4122" s="8">
        <f>DATE(2012,12,31)-119</f>
        <v>41155</v>
      </c>
      <c r="D4122" s="8" t="str">
        <f t="shared" si="77"/>
        <v>2012-09 (сентябрь 2012)</v>
      </c>
      <c r="E4122" s="9" t="s">
        <v>30</v>
      </c>
      <c r="F4122" s="7">
        <v>28</v>
      </c>
      <c r="G4122" s="7">
        <v>3361.02</v>
      </c>
      <c r="H4122" s="7">
        <v>0.04</v>
      </c>
      <c r="I4122" s="9" t="s">
        <v>31</v>
      </c>
      <c r="J4122" s="10">
        <v>26.05</v>
      </c>
      <c r="K4122" s="11">
        <v>115.99</v>
      </c>
      <c r="L4122" s="11">
        <v>56.14</v>
      </c>
      <c r="M4122" s="9" t="s">
        <v>1622</v>
      </c>
      <c r="N4122" s="6" t="s">
        <v>1123</v>
      </c>
      <c r="O4122" s="6" t="s">
        <v>1123</v>
      </c>
      <c r="P4122" s="9" t="s">
        <v>33</v>
      </c>
      <c r="Q4122" s="9" t="s">
        <v>42</v>
      </c>
      <c r="R4122" s="9" t="s">
        <v>210</v>
      </c>
      <c r="S4122" s="7" t="s">
        <v>482</v>
      </c>
      <c r="T4122" s="9" t="s">
        <v>36</v>
      </c>
      <c r="U4122" s="7">
        <v>0.4</v>
      </c>
      <c r="V4122" s="12">
        <f>C4122+1</f>
        <v>41156</v>
      </c>
      <c r="W4122">
        <f>IF(D4122=' Pivot Tables'!$A$4,1,0)</f>
        <v>0</v>
      </c>
      <c r="X4122">
        <f>IF(AND(LEFT(D4122,4)+1=LEFT(' Pivot Tables'!$A$4,4)+0,RIGHT(LEFT(D4122,7),2)=RIGHT(LEFT(' Pivot Tables'!$A$4,7),2)),1,0)</f>
        <v>0</v>
      </c>
      <c r="Y4122" s="6">
        <f>1/COUNTIF(Таблица1[Order ID],Таблица1[[#This Row],[Order ID]])</f>
        <v>1</v>
      </c>
      <c r="Z4122" s="9">
        <f>1/COUNTIFS(Таблица1[Customer Name],Таблица1[[#This Row],[Customer Name]],Таблица1[Order-Year-Month],Таблица1[[#This Row],[Order-Year-Month]])</f>
        <v>1</v>
      </c>
    </row>
    <row r="4123" spans="1:26" x14ac:dyDescent="0.2">
      <c r="A4123" s="6">
        <v>5755</v>
      </c>
      <c r="B4123" s="7">
        <v>40839</v>
      </c>
      <c r="C4123" s="8">
        <f>DATE(2012,12,31)-275</f>
        <v>40999</v>
      </c>
      <c r="D4123" s="8" t="str">
        <f t="shared" si="77"/>
        <v>2012-03 (март 2012)</v>
      </c>
      <c r="E4123" s="9" t="s">
        <v>63</v>
      </c>
      <c r="F4123" s="7">
        <v>23</v>
      </c>
      <c r="G4123" s="7">
        <v>2732.01</v>
      </c>
      <c r="H4123" s="7">
        <v>0.04</v>
      </c>
      <c r="I4123" s="9" t="s">
        <v>31</v>
      </c>
      <c r="J4123" s="10">
        <v>-100.4676</v>
      </c>
      <c r="K4123" s="11">
        <v>119.99</v>
      </c>
      <c r="L4123" s="11">
        <v>56.14</v>
      </c>
      <c r="M4123" s="9" t="s">
        <v>1740</v>
      </c>
      <c r="N4123" s="6" t="s">
        <v>1123</v>
      </c>
      <c r="O4123" s="6" t="s">
        <v>1123</v>
      </c>
      <c r="P4123" s="9" t="s">
        <v>41</v>
      </c>
      <c r="Q4123" s="9" t="s">
        <v>42</v>
      </c>
      <c r="R4123" s="9" t="s">
        <v>210</v>
      </c>
      <c r="S4123" s="7" t="s">
        <v>950</v>
      </c>
      <c r="T4123" s="9" t="s">
        <v>82</v>
      </c>
      <c r="U4123" s="7">
        <v>0.39</v>
      </c>
      <c r="V4123" s="12">
        <f>C4123+1</f>
        <v>41000</v>
      </c>
      <c r="W4123">
        <f>IF(D4123=' Pivot Tables'!$A$4,1,0)</f>
        <v>0</v>
      </c>
      <c r="X4123">
        <f>IF(AND(LEFT(D4123,4)+1=LEFT(' Pivot Tables'!$A$4,4)+0,RIGHT(LEFT(D4123,7),2)=RIGHT(LEFT(' Pivot Tables'!$A$4,7),2)),1,0)</f>
        <v>0</v>
      </c>
      <c r="Y4123" s="6">
        <f>1/COUNTIF(Таблица1[Order ID],Таблица1[[#This Row],[Order ID]])</f>
        <v>1</v>
      </c>
      <c r="Z4123" s="9">
        <f>1/COUNTIFS(Таблица1[Customer Name],Таблица1[[#This Row],[Customer Name]],Таблица1[Order-Year-Month],Таблица1[[#This Row],[Order-Year-Month]])</f>
        <v>1</v>
      </c>
    </row>
    <row r="4124" spans="1:26" x14ac:dyDescent="0.2">
      <c r="A4124" s="6">
        <v>5777</v>
      </c>
      <c r="B4124" s="7">
        <v>40997</v>
      </c>
      <c r="C4124" s="8">
        <f>DATE(2012,12,31)-1350</f>
        <v>39924</v>
      </c>
      <c r="D4124" s="8" t="str">
        <f t="shared" si="77"/>
        <v>2009-04 (апрель 2009)</v>
      </c>
      <c r="E4124" s="9" t="s">
        <v>21</v>
      </c>
      <c r="F4124" s="7">
        <v>12</v>
      </c>
      <c r="G4124" s="7">
        <v>382.29</v>
      </c>
      <c r="H4124" s="7">
        <v>0.05</v>
      </c>
      <c r="I4124" s="9" t="s">
        <v>56</v>
      </c>
      <c r="J4124" s="10">
        <v>61.47</v>
      </c>
      <c r="K4124" s="11">
        <v>30.98</v>
      </c>
      <c r="L4124" s="11">
        <v>9.18</v>
      </c>
      <c r="M4124" s="9" t="s">
        <v>1759</v>
      </c>
      <c r="N4124" s="6" t="s">
        <v>1123</v>
      </c>
      <c r="O4124" s="6" t="s">
        <v>1123</v>
      </c>
      <c r="P4124" s="9" t="s">
        <v>25</v>
      </c>
      <c r="Q4124" s="9" t="s">
        <v>26</v>
      </c>
      <c r="R4124" s="9" t="s">
        <v>61</v>
      </c>
      <c r="S4124" s="7" t="s">
        <v>1583</v>
      </c>
      <c r="T4124" s="9" t="s">
        <v>39</v>
      </c>
      <c r="U4124" s="7">
        <v>0.4</v>
      </c>
      <c r="V4124" s="12">
        <f>C4124+0</f>
        <v>39924</v>
      </c>
      <c r="W4124">
        <f>IF(D4124=' Pivot Tables'!$A$4,1,0)</f>
        <v>0</v>
      </c>
      <c r="X4124">
        <f>IF(AND(LEFT(D4124,4)+1=LEFT(' Pivot Tables'!$A$4,4)+0,RIGHT(LEFT(D4124,7),2)=RIGHT(LEFT(' Pivot Tables'!$A$4,7),2)),1,0)</f>
        <v>0</v>
      </c>
      <c r="Y4124" s="6">
        <f>1/COUNTIF(Таблица1[Order ID],Таблица1[[#This Row],[Order ID]])</f>
        <v>0.25</v>
      </c>
      <c r="Z4124" s="9">
        <f>1/COUNTIFS(Таблица1[Customer Name],Таблица1[[#This Row],[Customer Name]],Таблица1[Order-Year-Month],Таблица1[[#This Row],[Order-Year-Month]])</f>
        <v>0.2</v>
      </c>
    </row>
    <row r="4125" spans="1:26" x14ac:dyDescent="0.2">
      <c r="A4125" s="6">
        <v>5778</v>
      </c>
      <c r="B4125" s="7">
        <v>40997</v>
      </c>
      <c r="C4125" s="8">
        <f>DATE(2012,12,31)-1350</f>
        <v>39924</v>
      </c>
      <c r="D4125" s="8" t="str">
        <f t="shared" si="77"/>
        <v>2009-04 (апрель 2009)</v>
      </c>
      <c r="E4125" s="9" t="s">
        <v>21</v>
      </c>
      <c r="F4125" s="7">
        <v>37</v>
      </c>
      <c r="G4125" s="7">
        <v>881.74</v>
      </c>
      <c r="H4125" s="7">
        <v>0.05</v>
      </c>
      <c r="I4125" s="9" t="s">
        <v>22</v>
      </c>
      <c r="J4125" s="10">
        <v>18.27</v>
      </c>
      <c r="K4125" s="11">
        <v>22.99</v>
      </c>
      <c r="L4125" s="11">
        <v>8.99</v>
      </c>
      <c r="M4125" s="9" t="s">
        <v>1759</v>
      </c>
      <c r="N4125" s="6" t="s">
        <v>1123</v>
      </c>
      <c r="O4125" s="6" t="s">
        <v>1123</v>
      </c>
      <c r="P4125" s="9" t="s">
        <v>25</v>
      </c>
      <c r="Q4125" s="9" t="s">
        <v>26</v>
      </c>
      <c r="R4125" s="9" t="s">
        <v>95</v>
      </c>
      <c r="S4125" s="7" t="s">
        <v>554</v>
      </c>
      <c r="T4125" s="9" t="s">
        <v>52</v>
      </c>
      <c r="U4125" s="7">
        <v>0.56999999999999995</v>
      </c>
      <c r="V4125" s="12">
        <f>C4125+7</f>
        <v>39931</v>
      </c>
      <c r="W4125">
        <f>IF(D4125=' Pivot Tables'!$A$4,1,0)</f>
        <v>0</v>
      </c>
      <c r="X4125">
        <f>IF(AND(LEFT(D4125,4)+1=LEFT(' Pivot Tables'!$A$4,4)+0,RIGHT(LEFT(D4125,7),2)=RIGHT(LEFT(' Pivot Tables'!$A$4,7),2)),1,0)</f>
        <v>0</v>
      </c>
      <c r="Y4125" s="6">
        <f>1/COUNTIF(Таблица1[Order ID],Таблица1[[#This Row],[Order ID]])</f>
        <v>0.25</v>
      </c>
      <c r="Z4125" s="9">
        <f>1/COUNTIFS(Таблица1[Customer Name],Таблица1[[#This Row],[Customer Name]],Таблица1[Order-Year-Month],Таблица1[[#This Row],[Order-Year-Month]])</f>
        <v>0.2</v>
      </c>
    </row>
    <row r="4126" spans="1:26" x14ac:dyDescent="0.2">
      <c r="A4126" s="6">
        <v>5779</v>
      </c>
      <c r="B4126" s="7">
        <v>40997</v>
      </c>
      <c r="C4126" s="8">
        <f>DATE(2012,12,31)-1350</f>
        <v>39924</v>
      </c>
      <c r="D4126" s="8" t="str">
        <f t="shared" si="77"/>
        <v>2009-04 (апрель 2009)</v>
      </c>
      <c r="E4126" s="9" t="s">
        <v>21</v>
      </c>
      <c r="F4126" s="7">
        <v>1</v>
      </c>
      <c r="G4126" s="7">
        <v>22.61</v>
      </c>
      <c r="H4126" s="7">
        <v>0.03</v>
      </c>
      <c r="I4126" s="9" t="s">
        <v>22</v>
      </c>
      <c r="J4126" s="10">
        <v>-8.4</v>
      </c>
      <c r="K4126" s="11">
        <v>14.97</v>
      </c>
      <c r="L4126" s="11">
        <v>7.51</v>
      </c>
      <c r="M4126" s="9" t="s">
        <v>1759</v>
      </c>
      <c r="N4126" s="6" t="s">
        <v>1123</v>
      </c>
      <c r="O4126" s="6" t="s">
        <v>1123</v>
      </c>
      <c r="P4126" s="9" t="s">
        <v>25</v>
      </c>
      <c r="Q4126" s="9" t="s">
        <v>26</v>
      </c>
      <c r="R4126" s="9" t="s">
        <v>27</v>
      </c>
      <c r="S4126" s="7" t="s">
        <v>394</v>
      </c>
      <c r="T4126" s="9" t="s">
        <v>39</v>
      </c>
      <c r="U4126" s="7">
        <v>0.56999999999999995</v>
      </c>
      <c r="V4126" s="12">
        <f>C4126+2</f>
        <v>39926</v>
      </c>
      <c r="W4126">
        <f>IF(D4126=' Pivot Tables'!$A$4,1,0)</f>
        <v>0</v>
      </c>
      <c r="X4126">
        <f>IF(AND(LEFT(D4126,4)+1=LEFT(' Pivot Tables'!$A$4,4)+0,RIGHT(LEFT(D4126,7),2)=RIGHT(LEFT(' Pivot Tables'!$A$4,7),2)),1,0)</f>
        <v>0</v>
      </c>
      <c r="Y4126" s="6">
        <f>1/COUNTIF(Таблица1[Order ID],Таблица1[[#This Row],[Order ID]])</f>
        <v>0.25</v>
      </c>
      <c r="Z4126" s="9">
        <f>1/COUNTIFS(Таблица1[Customer Name],Таблица1[[#This Row],[Customer Name]],Таблица1[Order-Year-Month],Таблица1[[#This Row],[Order-Year-Month]])</f>
        <v>0.2</v>
      </c>
    </row>
    <row r="4127" spans="1:26" x14ac:dyDescent="0.2">
      <c r="A4127" s="6">
        <v>5780</v>
      </c>
      <c r="B4127" s="7">
        <v>40997</v>
      </c>
      <c r="C4127" s="8">
        <f>DATE(2012,12,31)-1350</f>
        <v>39924</v>
      </c>
      <c r="D4127" s="8" t="str">
        <f t="shared" si="77"/>
        <v>2009-04 (апрель 2009)</v>
      </c>
      <c r="E4127" s="9" t="s">
        <v>21</v>
      </c>
      <c r="F4127" s="7">
        <v>33</v>
      </c>
      <c r="G4127" s="7">
        <v>7384.18</v>
      </c>
      <c r="H4127" s="7">
        <v>0.04</v>
      </c>
      <c r="I4127" s="9" t="s">
        <v>31</v>
      </c>
      <c r="J4127" s="10">
        <v>-513.79042000000004</v>
      </c>
      <c r="K4127" s="11">
        <v>212.6</v>
      </c>
      <c r="L4127" s="11">
        <v>110.2</v>
      </c>
      <c r="M4127" s="9" t="s">
        <v>1759</v>
      </c>
      <c r="N4127" s="6" t="s">
        <v>1123</v>
      </c>
      <c r="O4127" s="6" t="s">
        <v>1123</v>
      </c>
      <c r="P4127" s="9" t="s">
        <v>25</v>
      </c>
      <c r="Q4127" s="9" t="s">
        <v>49</v>
      </c>
      <c r="R4127" s="9" t="s">
        <v>83</v>
      </c>
      <c r="S4127" s="7" t="s">
        <v>984</v>
      </c>
      <c r="T4127" s="9" t="s">
        <v>82</v>
      </c>
      <c r="U4127" s="7">
        <v>0.73</v>
      </c>
      <c r="V4127" s="12">
        <f>C4127+4</f>
        <v>39928</v>
      </c>
      <c r="W4127">
        <f>IF(D4127=' Pivot Tables'!$A$4,1,0)</f>
        <v>0</v>
      </c>
      <c r="X4127">
        <f>IF(AND(LEFT(D4127,4)+1=LEFT(' Pivot Tables'!$A$4,4)+0,RIGHT(LEFT(D4127,7),2)=RIGHT(LEFT(' Pivot Tables'!$A$4,7),2)),1,0)</f>
        <v>0</v>
      </c>
      <c r="Y4127" s="6">
        <f>1/COUNTIF(Таблица1[Order ID],Таблица1[[#This Row],[Order ID]])</f>
        <v>0.25</v>
      </c>
      <c r="Z4127" s="9">
        <f>1/COUNTIFS(Таблица1[Customer Name],Таблица1[[#This Row],[Customer Name]],Таблица1[Order-Year-Month],Таблица1[[#This Row],[Order-Year-Month]])</f>
        <v>0.2</v>
      </c>
    </row>
    <row r="4128" spans="1:26" x14ac:dyDescent="0.2">
      <c r="A4128" s="6">
        <v>5806</v>
      </c>
      <c r="B4128" s="7">
        <v>41185</v>
      </c>
      <c r="C4128" s="8">
        <f>DATE(2012,12,31)-1121</f>
        <v>40153</v>
      </c>
      <c r="D4128" s="8" t="str">
        <f t="shared" si="77"/>
        <v>2009-12 (декабрь 2009)</v>
      </c>
      <c r="E4128" s="9" t="s">
        <v>78</v>
      </c>
      <c r="F4128" s="7">
        <v>2</v>
      </c>
      <c r="G4128" s="7">
        <v>18.809999999999999</v>
      </c>
      <c r="H4128" s="7">
        <v>0.08</v>
      </c>
      <c r="I4128" s="9" t="s">
        <v>22</v>
      </c>
      <c r="J4128" s="10">
        <v>-12.83</v>
      </c>
      <c r="K4128" s="11">
        <v>5.78</v>
      </c>
      <c r="L4128" s="11">
        <v>7.96</v>
      </c>
      <c r="M4128" s="9" t="s">
        <v>1746</v>
      </c>
      <c r="N4128" s="6" t="s">
        <v>1123</v>
      </c>
      <c r="O4128" s="6" t="s">
        <v>1123</v>
      </c>
      <c r="P4128" s="9" t="s">
        <v>41</v>
      </c>
      <c r="Q4128" s="9" t="s">
        <v>26</v>
      </c>
      <c r="R4128" s="9" t="s">
        <v>61</v>
      </c>
      <c r="S4128" s="7" t="s">
        <v>754</v>
      </c>
      <c r="T4128" s="9" t="s">
        <v>39</v>
      </c>
      <c r="U4128" s="7">
        <v>0.36</v>
      </c>
      <c r="V4128" s="12">
        <f>C4128+1</f>
        <v>40154</v>
      </c>
      <c r="W4128">
        <f>IF(D4128=' Pivot Tables'!$A$4,1,0)</f>
        <v>0</v>
      </c>
      <c r="X4128">
        <f>IF(AND(LEFT(D4128,4)+1=LEFT(' Pivot Tables'!$A$4,4)+0,RIGHT(LEFT(D4128,7),2)=RIGHT(LEFT(' Pivot Tables'!$A$4,7),2)),1,0)</f>
        <v>0</v>
      </c>
      <c r="Y4128" s="6">
        <f>1/COUNTIF(Таблица1[Order ID],Таблица1[[#This Row],[Order ID]])</f>
        <v>1</v>
      </c>
      <c r="Z4128" s="9">
        <f>1/COUNTIFS(Таблица1[Customer Name],Таблица1[[#This Row],[Customer Name]],Таблица1[Order-Year-Month],Таблица1[[#This Row],[Order-Year-Month]])</f>
        <v>1</v>
      </c>
    </row>
    <row r="4129" spans="1:26" x14ac:dyDescent="0.2">
      <c r="A4129" s="6">
        <v>5816</v>
      </c>
      <c r="B4129" s="7">
        <v>41253</v>
      </c>
      <c r="C4129" s="8">
        <f>DATE(2012,12,31)-1334</f>
        <v>39940</v>
      </c>
      <c r="D4129" s="8" t="str">
        <f t="shared" si="77"/>
        <v>2009-05 (май 2009)</v>
      </c>
      <c r="E4129" s="9" t="s">
        <v>63</v>
      </c>
      <c r="F4129" s="7">
        <v>5</v>
      </c>
      <c r="G4129" s="7">
        <v>1455.49</v>
      </c>
      <c r="H4129" s="7">
        <v>7.0000000000000007E-2</v>
      </c>
      <c r="I4129" s="9" t="s">
        <v>22</v>
      </c>
      <c r="J4129" s="10">
        <v>-807.59</v>
      </c>
      <c r="K4129" s="11">
        <v>300.97000000000003</v>
      </c>
      <c r="L4129" s="11">
        <v>7.18</v>
      </c>
      <c r="M4129" s="9" t="s">
        <v>1733</v>
      </c>
      <c r="N4129" s="6" t="s">
        <v>1123</v>
      </c>
      <c r="O4129" s="6" t="s">
        <v>1123</v>
      </c>
      <c r="P4129" s="9" t="s">
        <v>25</v>
      </c>
      <c r="Q4129" s="9" t="s">
        <v>42</v>
      </c>
      <c r="R4129" s="9" t="s">
        <v>70</v>
      </c>
      <c r="S4129" s="7" t="s">
        <v>1658</v>
      </c>
      <c r="T4129" s="9" t="s">
        <v>39</v>
      </c>
      <c r="U4129" s="7">
        <v>0.48</v>
      </c>
      <c r="V4129" s="12">
        <f>C4129+2</f>
        <v>39942</v>
      </c>
      <c r="W4129">
        <f>IF(D4129=' Pivot Tables'!$A$4,1,0)</f>
        <v>0</v>
      </c>
      <c r="X4129">
        <f>IF(AND(LEFT(D4129,4)+1=LEFT(' Pivot Tables'!$A$4,4)+0,RIGHT(LEFT(D4129,7),2)=RIGHT(LEFT(' Pivot Tables'!$A$4,7),2)),1,0)</f>
        <v>0</v>
      </c>
      <c r="Y4129" s="6">
        <f>1/COUNTIF(Таблица1[Order ID],Таблица1[[#This Row],[Order ID]])</f>
        <v>1</v>
      </c>
      <c r="Z4129" s="9">
        <f>1/COUNTIFS(Таблица1[Customer Name],Таблица1[[#This Row],[Customer Name]],Таблица1[Order-Year-Month],Таблица1[[#This Row],[Order-Year-Month]])</f>
        <v>1</v>
      </c>
    </row>
    <row r="4130" spans="1:26" x14ac:dyDescent="0.2">
      <c r="A4130" s="6">
        <v>5831</v>
      </c>
      <c r="B4130" s="7">
        <v>41378</v>
      </c>
      <c r="C4130" s="8">
        <f>DATE(2012,12,31)-63</f>
        <v>41211</v>
      </c>
      <c r="D4130" s="8" t="str">
        <f t="shared" si="77"/>
        <v>2012-10 (октябрь 2012)</v>
      </c>
      <c r="E4130" s="9" t="s">
        <v>45</v>
      </c>
      <c r="F4130" s="7">
        <v>30</v>
      </c>
      <c r="G4130" s="7">
        <v>5454.51</v>
      </c>
      <c r="H4130" s="7">
        <v>0.03</v>
      </c>
      <c r="I4130" s="9" t="s">
        <v>31</v>
      </c>
      <c r="J4130" s="10">
        <v>446.26</v>
      </c>
      <c r="K4130" s="11">
        <v>180.98</v>
      </c>
      <c r="L4130" s="11">
        <v>30</v>
      </c>
      <c r="M4130" s="9" t="s">
        <v>1724</v>
      </c>
      <c r="N4130" s="6" t="s">
        <v>1123</v>
      </c>
      <c r="O4130" s="6" t="s">
        <v>1123</v>
      </c>
      <c r="P4130" s="9" t="s">
        <v>60</v>
      </c>
      <c r="Q4130" s="9" t="s">
        <v>49</v>
      </c>
      <c r="R4130" s="9" t="s">
        <v>112</v>
      </c>
      <c r="S4130" s="7" t="s">
        <v>957</v>
      </c>
      <c r="T4130" s="9" t="s">
        <v>36</v>
      </c>
      <c r="U4130" s="7">
        <v>0.69</v>
      </c>
      <c r="V4130" s="12">
        <f>C4130+3</f>
        <v>41214</v>
      </c>
      <c r="W4130">
        <f>IF(D4130=' Pivot Tables'!$A$4,1,0)</f>
        <v>0</v>
      </c>
      <c r="X4130">
        <f>IF(AND(LEFT(D4130,4)+1=LEFT(' Pivot Tables'!$A$4,4)+0,RIGHT(LEFT(D4130,7),2)=RIGHT(LEFT(' Pivot Tables'!$A$4,7),2)),1,0)</f>
        <v>0</v>
      </c>
      <c r="Y4130" s="6">
        <f>1/COUNTIF(Таблица1[Order ID],Таблица1[[#This Row],[Order ID]])</f>
        <v>0.5</v>
      </c>
      <c r="Z4130" s="9">
        <f>1/COUNTIFS(Таблица1[Customer Name],Таблица1[[#This Row],[Customer Name]],Таблица1[Order-Year-Month],Таблица1[[#This Row],[Order-Year-Month]])</f>
        <v>0.5</v>
      </c>
    </row>
    <row r="4131" spans="1:26" x14ac:dyDescent="0.2">
      <c r="A4131" s="6">
        <v>5832</v>
      </c>
      <c r="B4131" s="7">
        <v>41378</v>
      </c>
      <c r="C4131" s="8">
        <f>DATE(2012,12,31)-63</f>
        <v>41211</v>
      </c>
      <c r="D4131" s="8" t="str">
        <f t="shared" si="77"/>
        <v>2012-10 (октябрь 2012)</v>
      </c>
      <c r="E4131" s="9" t="s">
        <v>45</v>
      </c>
      <c r="F4131" s="7">
        <v>42</v>
      </c>
      <c r="G4131" s="7">
        <v>1264.17</v>
      </c>
      <c r="H4131" s="7">
        <v>0.05</v>
      </c>
      <c r="I4131" s="9" t="s">
        <v>22</v>
      </c>
      <c r="J4131" s="10">
        <v>433.34</v>
      </c>
      <c r="K4131" s="11">
        <v>29.89</v>
      </c>
      <c r="L4131" s="11">
        <v>1.99</v>
      </c>
      <c r="M4131" s="9" t="s">
        <v>1724</v>
      </c>
      <c r="N4131" s="6" t="s">
        <v>1123</v>
      </c>
      <c r="O4131" s="6" t="s">
        <v>1123</v>
      </c>
      <c r="P4131" s="9" t="s">
        <v>60</v>
      </c>
      <c r="Q4131" s="9" t="s">
        <v>42</v>
      </c>
      <c r="R4131" s="9" t="s">
        <v>70</v>
      </c>
      <c r="S4131" s="7" t="s">
        <v>547</v>
      </c>
      <c r="T4131" s="9" t="s">
        <v>52</v>
      </c>
      <c r="U4131" s="7">
        <v>0.5</v>
      </c>
      <c r="V4131" s="12">
        <f>C4131+2</f>
        <v>41213</v>
      </c>
      <c r="W4131">
        <f>IF(D4131=' Pivot Tables'!$A$4,1,0)</f>
        <v>0</v>
      </c>
      <c r="X4131">
        <f>IF(AND(LEFT(D4131,4)+1=LEFT(' Pivot Tables'!$A$4,4)+0,RIGHT(LEFT(D4131,7),2)=RIGHT(LEFT(' Pivot Tables'!$A$4,7),2)),1,0)</f>
        <v>0</v>
      </c>
      <c r="Y4131" s="6">
        <f>1/COUNTIF(Таблица1[Order ID],Таблица1[[#This Row],[Order ID]])</f>
        <v>0.5</v>
      </c>
      <c r="Z4131" s="9">
        <f>1/COUNTIFS(Таблица1[Customer Name],Таблица1[[#This Row],[Customer Name]],Таблица1[Order-Year-Month],Таблица1[[#This Row],[Order-Year-Month]])</f>
        <v>0.5</v>
      </c>
    </row>
    <row r="4132" spans="1:26" x14ac:dyDescent="0.2">
      <c r="A4132" s="6">
        <v>5845</v>
      </c>
      <c r="B4132" s="7">
        <v>41474</v>
      </c>
      <c r="C4132" s="8">
        <f>DATE(2012,12,31)-1351</f>
        <v>39923</v>
      </c>
      <c r="D4132" s="8" t="str">
        <f t="shared" si="77"/>
        <v>2009-04 (апрель 2009)</v>
      </c>
      <c r="E4132" s="9" t="s">
        <v>45</v>
      </c>
      <c r="F4132" s="7">
        <v>35</v>
      </c>
      <c r="G4132" s="7">
        <v>3640.83</v>
      </c>
      <c r="H4132" s="7">
        <v>0</v>
      </c>
      <c r="I4132" s="9" t="s">
        <v>31</v>
      </c>
      <c r="J4132" s="10">
        <v>-6.8000000000000114</v>
      </c>
      <c r="K4132" s="11">
        <v>100.98</v>
      </c>
      <c r="L4132" s="11">
        <v>35.840000000000003</v>
      </c>
      <c r="M4132" s="9" t="s">
        <v>1742</v>
      </c>
      <c r="N4132" s="6" t="s">
        <v>1123</v>
      </c>
      <c r="O4132" s="6" t="s">
        <v>1123</v>
      </c>
      <c r="P4132" s="9" t="s">
        <v>41</v>
      </c>
      <c r="Q4132" s="9" t="s">
        <v>49</v>
      </c>
      <c r="R4132" s="9" t="s">
        <v>80</v>
      </c>
      <c r="S4132" s="7" t="s">
        <v>705</v>
      </c>
      <c r="T4132" s="9" t="s">
        <v>82</v>
      </c>
      <c r="U4132" s="7">
        <v>0.62</v>
      </c>
      <c r="V4132" s="12">
        <f>C4132+2</f>
        <v>39925</v>
      </c>
      <c r="W4132">
        <f>IF(D4132=' Pivot Tables'!$A$4,1,0)</f>
        <v>0</v>
      </c>
      <c r="X4132">
        <f>IF(AND(LEFT(D4132,4)+1=LEFT(' Pivot Tables'!$A$4,4)+0,RIGHT(LEFT(D4132,7),2)=RIGHT(LEFT(' Pivot Tables'!$A$4,7),2)),1,0)</f>
        <v>0</v>
      </c>
      <c r="Y4132" s="6">
        <f>1/COUNTIF(Таблица1[Order ID],Таблица1[[#This Row],[Order ID]])</f>
        <v>0.5</v>
      </c>
      <c r="Z4132" s="9">
        <f>1/COUNTIFS(Таблица1[Customer Name],Таблица1[[#This Row],[Customer Name]],Таблица1[Order-Year-Month],Таблица1[[#This Row],[Order-Year-Month]])</f>
        <v>0.5</v>
      </c>
    </row>
    <row r="4133" spans="1:26" x14ac:dyDescent="0.2">
      <c r="A4133" s="6">
        <v>5846</v>
      </c>
      <c r="B4133" s="7">
        <v>41474</v>
      </c>
      <c r="C4133" s="8">
        <f>DATE(2012,12,31)-1351</f>
        <v>39923</v>
      </c>
      <c r="D4133" s="8" t="str">
        <f t="shared" si="77"/>
        <v>2009-04 (апрель 2009)</v>
      </c>
      <c r="E4133" s="9" t="s">
        <v>45</v>
      </c>
      <c r="F4133" s="7">
        <v>50</v>
      </c>
      <c r="G4133" s="7">
        <v>225.94</v>
      </c>
      <c r="H4133" s="7">
        <v>0.09</v>
      </c>
      <c r="I4133" s="9" t="s">
        <v>22</v>
      </c>
      <c r="J4133" s="10">
        <v>-89.13</v>
      </c>
      <c r="K4133" s="11">
        <v>4.7699999999999996</v>
      </c>
      <c r="L4133" s="11">
        <v>2.39</v>
      </c>
      <c r="M4133" s="9" t="s">
        <v>1742</v>
      </c>
      <c r="N4133" s="6" t="s">
        <v>1123</v>
      </c>
      <c r="O4133" s="6" t="s">
        <v>1123</v>
      </c>
      <c r="P4133" s="9" t="s">
        <v>41</v>
      </c>
      <c r="Q4133" s="9" t="s">
        <v>42</v>
      </c>
      <c r="R4133" s="9" t="s">
        <v>70</v>
      </c>
      <c r="S4133" s="7" t="s">
        <v>732</v>
      </c>
      <c r="T4133" s="9" t="s">
        <v>52</v>
      </c>
      <c r="U4133" s="7">
        <v>0.72</v>
      </c>
      <c r="V4133" s="12">
        <f>C4133+2</f>
        <v>39925</v>
      </c>
      <c r="W4133">
        <f>IF(D4133=' Pivot Tables'!$A$4,1,0)</f>
        <v>0</v>
      </c>
      <c r="X4133">
        <f>IF(AND(LEFT(D4133,4)+1=LEFT(' Pivot Tables'!$A$4,4)+0,RIGHT(LEFT(D4133,7),2)=RIGHT(LEFT(' Pivot Tables'!$A$4,7),2)),1,0)</f>
        <v>0</v>
      </c>
      <c r="Y4133" s="6">
        <f>1/COUNTIF(Таблица1[Order ID],Таблица1[[#This Row],[Order ID]])</f>
        <v>0.5</v>
      </c>
      <c r="Z4133" s="9">
        <f>1/COUNTIFS(Таблица1[Customer Name],Таблица1[[#This Row],[Customer Name]],Таблица1[Order-Year-Month],Таблица1[[#This Row],[Order-Year-Month]])</f>
        <v>0.5</v>
      </c>
    </row>
    <row r="4134" spans="1:26" x14ac:dyDescent="0.2">
      <c r="A4134" s="6">
        <v>5849</v>
      </c>
      <c r="B4134" s="7">
        <v>41508</v>
      </c>
      <c r="C4134" s="8">
        <f>DATE(2012,12,31)-829</f>
        <v>40445</v>
      </c>
      <c r="D4134" s="8" t="str">
        <f t="shared" si="77"/>
        <v>2010-09 (сентябрь 2010)</v>
      </c>
      <c r="E4134" s="9" t="s">
        <v>30</v>
      </c>
      <c r="F4134" s="7">
        <v>39</v>
      </c>
      <c r="G4134" s="7">
        <v>18561.310000000001</v>
      </c>
      <c r="H4134" s="7">
        <v>0.05</v>
      </c>
      <c r="I4134" s="9" t="s">
        <v>31</v>
      </c>
      <c r="J4134" s="10">
        <v>4822.42</v>
      </c>
      <c r="K4134" s="11">
        <v>500.98</v>
      </c>
      <c r="L4134" s="11">
        <v>26</v>
      </c>
      <c r="M4134" s="9" t="s">
        <v>1568</v>
      </c>
      <c r="N4134" s="6" t="s">
        <v>1123</v>
      </c>
      <c r="O4134" s="6" t="s">
        <v>1123</v>
      </c>
      <c r="P4134" s="9" t="s">
        <v>60</v>
      </c>
      <c r="Q4134" s="9" t="s">
        <v>49</v>
      </c>
      <c r="R4134" s="9" t="s">
        <v>112</v>
      </c>
      <c r="S4134" s="7" t="s">
        <v>119</v>
      </c>
      <c r="T4134" s="9" t="s">
        <v>36</v>
      </c>
      <c r="U4134" s="7">
        <v>0.6</v>
      </c>
      <c r="V4134" s="12">
        <f>C4134+2</f>
        <v>40447</v>
      </c>
      <c r="W4134">
        <f>IF(D4134=' Pivot Tables'!$A$4,1,0)</f>
        <v>0</v>
      </c>
      <c r="X4134">
        <f>IF(AND(LEFT(D4134,4)+1=LEFT(' Pivot Tables'!$A$4,4)+0,RIGHT(LEFT(D4134,7),2)=RIGHT(LEFT(' Pivot Tables'!$A$4,7),2)),1,0)</f>
        <v>0</v>
      </c>
      <c r="Y4134" s="6">
        <f>1/COUNTIF(Таблица1[Order ID],Таблица1[[#This Row],[Order ID]])</f>
        <v>1</v>
      </c>
      <c r="Z4134" s="9">
        <f>1/COUNTIFS(Таблица1[Customer Name],Таблица1[[#This Row],[Customer Name]],Таблица1[Order-Year-Month],Таблица1[[#This Row],[Order-Year-Month]])</f>
        <v>1</v>
      </c>
    </row>
    <row r="4135" spans="1:26" x14ac:dyDescent="0.2">
      <c r="A4135" s="6">
        <v>5855</v>
      </c>
      <c r="B4135" s="7">
        <v>41569</v>
      </c>
      <c r="C4135" s="8">
        <f>DATE(2012,12,31)-894</f>
        <v>40380</v>
      </c>
      <c r="D4135" s="8" t="str">
        <f t="shared" si="77"/>
        <v>2010-07 (июль 2010)</v>
      </c>
      <c r="E4135" s="9" t="s">
        <v>78</v>
      </c>
      <c r="F4135" s="7">
        <v>49</v>
      </c>
      <c r="G4135" s="7">
        <v>617.34</v>
      </c>
      <c r="H4135" s="7">
        <v>0.06</v>
      </c>
      <c r="I4135" s="9" t="s">
        <v>22</v>
      </c>
      <c r="J4135" s="10">
        <v>47.1</v>
      </c>
      <c r="K4135" s="11">
        <v>12.28</v>
      </c>
      <c r="L4135" s="11">
        <v>6.47</v>
      </c>
      <c r="M4135" s="9" t="s">
        <v>1722</v>
      </c>
      <c r="N4135" s="6" t="s">
        <v>1123</v>
      </c>
      <c r="O4135" s="6" t="s">
        <v>1123</v>
      </c>
      <c r="P4135" s="9" t="s">
        <v>41</v>
      </c>
      <c r="Q4135" s="9" t="s">
        <v>26</v>
      </c>
      <c r="R4135" s="9" t="s">
        <v>61</v>
      </c>
      <c r="S4135" s="7" t="s">
        <v>131</v>
      </c>
      <c r="T4135" s="9" t="s">
        <v>39</v>
      </c>
      <c r="U4135" s="7">
        <v>0.38</v>
      </c>
      <c r="V4135" s="12">
        <f>C4135+1</f>
        <v>40381</v>
      </c>
      <c r="W4135">
        <f>IF(D4135=' Pivot Tables'!$A$4,1,0)</f>
        <v>0</v>
      </c>
      <c r="X4135">
        <f>IF(AND(LEFT(D4135,4)+1=LEFT(' Pivot Tables'!$A$4,4)+0,RIGHT(LEFT(D4135,7),2)=RIGHT(LEFT(' Pivot Tables'!$A$4,7),2)),1,0)</f>
        <v>0</v>
      </c>
      <c r="Y4135" s="6">
        <f>1/COUNTIF(Таблица1[Order ID],Таблица1[[#This Row],[Order ID]])</f>
        <v>0.5</v>
      </c>
      <c r="Z4135" s="9">
        <f>1/COUNTIFS(Таблица1[Customer Name],Таблица1[[#This Row],[Customer Name]],Таблица1[Order-Year-Month],Таблица1[[#This Row],[Order-Year-Month]])</f>
        <v>1</v>
      </c>
    </row>
    <row r="4136" spans="1:26" x14ac:dyDescent="0.2">
      <c r="A4136" s="6">
        <v>5858</v>
      </c>
      <c r="B4136" s="7">
        <v>41571</v>
      </c>
      <c r="C4136" s="8">
        <f>DATE(2012,12,31)-574</f>
        <v>40700</v>
      </c>
      <c r="D4136" s="8" t="str">
        <f t="shared" si="77"/>
        <v>2011-06 (июнь 2011)</v>
      </c>
      <c r="E4136" s="9" t="s">
        <v>21</v>
      </c>
      <c r="F4136" s="7">
        <v>42</v>
      </c>
      <c r="G4136" s="7">
        <v>906.07</v>
      </c>
      <c r="H4136" s="7">
        <v>0</v>
      </c>
      <c r="I4136" s="9" t="s">
        <v>22</v>
      </c>
      <c r="J4136" s="10">
        <v>-2.66</v>
      </c>
      <c r="K4136" s="11">
        <v>20.149999999999999</v>
      </c>
      <c r="L4136" s="11">
        <v>8.99</v>
      </c>
      <c r="M4136" s="9" t="s">
        <v>1688</v>
      </c>
      <c r="N4136" s="6" t="s">
        <v>1123</v>
      </c>
      <c r="O4136" s="6" t="s">
        <v>1123</v>
      </c>
      <c r="P4136" s="9" t="s">
        <v>41</v>
      </c>
      <c r="Q4136" s="9" t="s">
        <v>26</v>
      </c>
      <c r="R4136" s="9" t="s">
        <v>95</v>
      </c>
      <c r="S4136" s="7" t="s">
        <v>634</v>
      </c>
      <c r="T4136" s="9" t="s">
        <v>52</v>
      </c>
      <c r="U4136" s="7">
        <v>0.57999999999999996</v>
      </c>
      <c r="V4136" s="12">
        <f>C4136+9</f>
        <v>40709</v>
      </c>
      <c r="W4136">
        <f>IF(D4136=' Pivot Tables'!$A$4,1,0)</f>
        <v>0</v>
      </c>
      <c r="X4136">
        <f>IF(AND(LEFT(D4136,4)+1=LEFT(' Pivot Tables'!$A$4,4)+0,RIGHT(LEFT(D4136,7),2)=RIGHT(LEFT(' Pivot Tables'!$A$4,7),2)),1,0)</f>
        <v>0</v>
      </c>
      <c r="Y4136" s="6">
        <f>1/COUNTIF(Таблица1[Order ID],Таблица1[[#This Row],[Order ID]])</f>
        <v>1</v>
      </c>
      <c r="Z4136" s="9">
        <f>1/COUNTIFS(Таблица1[Customer Name],Таблица1[[#This Row],[Customer Name]],Таблица1[Order-Year-Month],Таблица1[[#This Row],[Order-Year-Month]])</f>
        <v>1</v>
      </c>
    </row>
    <row r="4137" spans="1:26" x14ac:dyDescent="0.2">
      <c r="A4137" s="6">
        <v>5880</v>
      </c>
      <c r="B4137" s="7">
        <v>41728</v>
      </c>
      <c r="C4137" s="8">
        <f>DATE(2012,12,31)-1188</f>
        <v>40086</v>
      </c>
      <c r="D4137" s="8" t="str">
        <f t="shared" si="77"/>
        <v>2009-09 (сентябрь 2009)</v>
      </c>
      <c r="E4137" s="9" t="s">
        <v>30</v>
      </c>
      <c r="F4137" s="7">
        <v>28</v>
      </c>
      <c r="G4137" s="7">
        <v>23106.46</v>
      </c>
      <c r="H4137" s="7">
        <v>0.08</v>
      </c>
      <c r="I4137" s="9" t="s">
        <v>22</v>
      </c>
      <c r="J4137" s="10">
        <v>9527.4715000000015</v>
      </c>
      <c r="K4137" s="11">
        <v>896.99</v>
      </c>
      <c r="L4137" s="11">
        <v>19.989999999999998</v>
      </c>
      <c r="M4137" s="9" t="s">
        <v>1726</v>
      </c>
      <c r="N4137" s="6" t="s">
        <v>1123</v>
      </c>
      <c r="O4137" s="6" t="s">
        <v>1123</v>
      </c>
      <c r="P4137" s="9" t="s">
        <v>41</v>
      </c>
      <c r="Q4137" s="9" t="s">
        <v>26</v>
      </c>
      <c r="R4137" s="9" t="s">
        <v>37</v>
      </c>
      <c r="S4137" s="7" t="s">
        <v>442</v>
      </c>
      <c r="T4137" s="9" t="s">
        <v>39</v>
      </c>
      <c r="U4137" s="7">
        <v>0.38</v>
      </c>
      <c r="V4137" s="12">
        <f>C4137+2</f>
        <v>40088</v>
      </c>
      <c r="W4137">
        <f>IF(D4137=' Pivot Tables'!$A$4,1,0)</f>
        <v>0</v>
      </c>
      <c r="X4137">
        <f>IF(AND(LEFT(D4137,4)+1=LEFT(' Pivot Tables'!$A$4,4)+0,RIGHT(LEFT(D4137,7),2)=RIGHT(LEFT(' Pivot Tables'!$A$4,7),2)),1,0)</f>
        <v>0</v>
      </c>
      <c r="Y4137" s="6">
        <f>1/COUNTIF(Таблица1[Order ID],Таблица1[[#This Row],[Order ID]])</f>
        <v>0.5</v>
      </c>
      <c r="Z4137" s="9">
        <f>1/COUNTIFS(Таблица1[Customer Name],Таблица1[[#This Row],[Customer Name]],Таблица1[Order-Year-Month],Таблица1[[#This Row],[Order-Year-Month]])</f>
        <v>0.5</v>
      </c>
    </row>
    <row r="4138" spans="1:26" x14ac:dyDescent="0.2">
      <c r="A4138" s="6">
        <v>5881</v>
      </c>
      <c r="B4138" s="7">
        <v>41728</v>
      </c>
      <c r="C4138" s="8">
        <f>DATE(2012,12,31)-1188</f>
        <v>40086</v>
      </c>
      <c r="D4138" s="8" t="str">
        <f t="shared" si="77"/>
        <v>2009-09 (сентябрь 2009)</v>
      </c>
      <c r="E4138" s="9" t="s">
        <v>30</v>
      </c>
      <c r="F4138" s="7">
        <v>10</v>
      </c>
      <c r="G4138" s="7">
        <v>2549.58</v>
      </c>
      <c r="H4138" s="7">
        <v>0.02</v>
      </c>
      <c r="I4138" s="9" t="s">
        <v>31</v>
      </c>
      <c r="J4138" s="10">
        <v>41.53</v>
      </c>
      <c r="K4138" s="11">
        <v>243.98</v>
      </c>
      <c r="L4138" s="11">
        <v>62.94</v>
      </c>
      <c r="M4138" s="9" t="s">
        <v>1726</v>
      </c>
      <c r="N4138" s="6" t="s">
        <v>1123</v>
      </c>
      <c r="O4138" s="6" t="s">
        <v>1123</v>
      </c>
      <c r="P4138" s="9" t="s">
        <v>41</v>
      </c>
      <c r="Q4138" s="9" t="s">
        <v>49</v>
      </c>
      <c r="R4138" s="9" t="s">
        <v>112</v>
      </c>
      <c r="S4138" s="7" t="s">
        <v>1715</v>
      </c>
      <c r="T4138" s="9" t="s">
        <v>36</v>
      </c>
      <c r="U4138" s="7">
        <v>0.56999999999999995</v>
      </c>
      <c r="V4138" s="12">
        <f>C4138+1</f>
        <v>40087</v>
      </c>
      <c r="W4138">
        <f>IF(D4138=' Pivot Tables'!$A$4,1,0)</f>
        <v>0</v>
      </c>
      <c r="X4138">
        <f>IF(AND(LEFT(D4138,4)+1=LEFT(' Pivot Tables'!$A$4,4)+0,RIGHT(LEFT(D4138,7),2)=RIGHT(LEFT(' Pivot Tables'!$A$4,7),2)),1,0)</f>
        <v>0</v>
      </c>
      <c r="Y4138" s="6">
        <f>1/COUNTIF(Таблица1[Order ID],Таблица1[[#This Row],[Order ID]])</f>
        <v>0.5</v>
      </c>
      <c r="Z4138" s="9">
        <f>1/COUNTIFS(Таблица1[Customer Name],Таблица1[[#This Row],[Customer Name]],Таблица1[Order-Year-Month],Таблица1[[#This Row],[Order-Year-Month]])</f>
        <v>0.5</v>
      </c>
    </row>
    <row r="4139" spans="1:26" x14ac:dyDescent="0.2">
      <c r="A4139" s="6">
        <v>5886</v>
      </c>
      <c r="B4139" s="7">
        <v>41764</v>
      </c>
      <c r="C4139" s="8">
        <f>DATE(2012,12,31)-1183</f>
        <v>40091</v>
      </c>
      <c r="D4139" s="8" t="str">
        <f t="shared" si="77"/>
        <v>2009-10 (октябрь 2009)</v>
      </c>
      <c r="E4139" s="9" t="s">
        <v>45</v>
      </c>
      <c r="F4139" s="7">
        <v>16</v>
      </c>
      <c r="G4139" s="7">
        <v>5105.0600000000004</v>
      </c>
      <c r="H4139" s="7">
        <v>0.03</v>
      </c>
      <c r="I4139" s="9" t="s">
        <v>31</v>
      </c>
      <c r="J4139" s="10">
        <v>467.12430000000006</v>
      </c>
      <c r="K4139" s="11">
        <v>320.64</v>
      </c>
      <c r="L4139" s="11">
        <v>29.2</v>
      </c>
      <c r="M4139" s="9" t="s">
        <v>1688</v>
      </c>
      <c r="N4139" s="6" t="s">
        <v>1123</v>
      </c>
      <c r="O4139" s="6" t="s">
        <v>1123</v>
      </c>
      <c r="P4139" s="9" t="s">
        <v>60</v>
      </c>
      <c r="Q4139" s="9" t="s">
        <v>49</v>
      </c>
      <c r="R4139" s="9" t="s">
        <v>83</v>
      </c>
      <c r="S4139" s="7" t="s">
        <v>1619</v>
      </c>
      <c r="T4139" s="9" t="s">
        <v>82</v>
      </c>
      <c r="U4139" s="7">
        <v>0.66</v>
      </c>
      <c r="V4139" s="12">
        <f>C4139+2</f>
        <v>40093</v>
      </c>
      <c r="W4139">
        <f>IF(D4139=' Pivot Tables'!$A$4,1,0)</f>
        <v>0</v>
      </c>
      <c r="X4139">
        <f>IF(AND(LEFT(D4139,4)+1=LEFT(' Pivot Tables'!$A$4,4)+0,RIGHT(LEFT(D4139,7),2)=RIGHT(LEFT(' Pivot Tables'!$A$4,7),2)),1,0)</f>
        <v>0</v>
      </c>
      <c r="Y4139" s="6">
        <f>1/COUNTIF(Таблица1[Order ID],Таблица1[[#This Row],[Order ID]])</f>
        <v>1</v>
      </c>
      <c r="Z4139" s="9">
        <f>1/COUNTIFS(Таблица1[Customer Name],Таблица1[[#This Row],[Customer Name]],Таблица1[Order-Year-Month],Таблица1[[#This Row],[Order-Year-Month]])</f>
        <v>0.5</v>
      </c>
    </row>
    <row r="4140" spans="1:26" x14ac:dyDescent="0.2">
      <c r="A4140" s="6">
        <v>5931</v>
      </c>
      <c r="B4140" s="7">
        <v>42082</v>
      </c>
      <c r="C4140" s="8">
        <f>DATE(2012,12,31)-379</f>
        <v>40895</v>
      </c>
      <c r="D4140" s="8" t="str">
        <f t="shared" si="77"/>
        <v>2011-12 (декабрь 2011)</v>
      </c>
      <c r="E4140" s="9" t="s">
        <v>78</v>
      </c>
      <c r="F4140" s="7">
        <v>15</v>
      </c>
      <c r="G4140" s="7">
        <v>76.42</v>
      </c>
      <c r="H4140" s="7">
        <v>0.03</v>
      </c>
      <c r="I4140" s="9" t="s">
        <v>22</v>
      </c>
      <c r="J4140" s="10">
        <v>-3.95</v>
      </c>
      <c r="K4140" s="11">
        <v>4.76</v>
      </c>
      <c r="L4140" s="11">
        <v>3.01</v>
      </c>
      <c r="M4140" s="9" t="s">
        <v>1722</v>
      </c>
      <c r="N4140" s="6" t="s">
        <v>1123</v>
      </c>
      <c r="O4140" s="6" t="s">
        <v>1123</v>
      </c>
      <c r="P4140" s="9" t="s">
        <v>25</v>
      </c>
      <c r="Q4140" s="9" t="s">
        <v>26</v>
      </c>
      <c r="R4140" s="9" t="s">
        <v>61</v>
      </c>
      <c r="S4140" s="7" t="s">
        <v>899</v>
      </c>
      <c r="T4140" s="9" t="s">
        <v>68</v>
      </c>
      <c r="U4140" s="7">
        <v>0.36</v>
      </c>
      <c r="V4140" s="12">
        <f>C4140+2</f>
        <v>40897</v>
      </c>
      <c r="W4140">
        <f>IF(D4140=' Pivot Tables'!$A$4,1,0)</f>
        <v>0</v>
      </c>
      <c r="X4140">
        <f>IF(AND(LEFT(D4140,4)+1=LEFT(' Pivot Tables'!$A$4,4)+0,RIGHT(LEFT(D4140,7),2)=RIGHT(LEFT(' Pivot Tables'!$A$4,7),2)),1,0)</f>
        <v>0</v>
      </c>
      <c r="Y4140" s="6">
        <f>1/COUNTIF(Таблица1[Order ID],Таблица1[[#This Row],[Order ID]])</f>
        <v>1</v>
      </c>
      <c r="Z4140" s="9">
        <f>1/COUNTIFS(Таблица1[Customer Name],Таблица1[[#This Row],[Customer Name]],Таблица1[Order-Year-Month],Таблица1[[#This Row],[Order-Year-Month]])</f>
        <v>1</v>
      </c>
    </row>
    <row r="4141" spans="1:26" x14ac:dyDescent="0.2">
      <c r="A4141" s="6">
        <v>5958</v>
      </c>
      <c r="B4141" s="7">
        <v>42279</v>
      </c>
      <c r="C4141" s="8">
        <f>DATE(2012,12,31)-1280</f>
        <v>39994</v>
      </c>
      <c r="D4141" s="8" t="str">
        <f t="shared" si="77"/>
        <v>2009-06 (июнь 2009)</v>
      </c>
      <c r="E4141" s="9" t="s">
        <v>45</v>
      </c>
      <c r="F4141" s="7">
        <v>44</v>
      </c>
      <c r="G4141" s="7">
        <v>1431</v>
      </c>
      <c r="H4141" s="7">
        <v>0.02</v>
      </c>
      <c r="I4141" s="9" t="s">
        <v>56</v>
      </c>
      <c r="J4141" s="10">
        <v>-55.78</v>
      </c>
      <c r="K4141" s="11">
        <v>30.98</v>
      </c>
      <c r="L4141" s="11">
        <v>6.5</v>
      </c>
      <c r="M4141" s="9" t="s">
        <v>1724</v>
      </c>
      <c r="N4141" s="6" t="s">
        <v>1123</v>
      </c>
      <c r="O4141" s="6" t="s">
        <v>1123</v>
      </c>
      <c r="P4141" s="9" t="s">
        <v>60</v>
      </c>
      <c r="Q4141" s="9" t="s">
        <v>42</v>
      </c>
      <c r="R4141" s="9" t="s">
        <v>70</v>
      </c>
      <c r="S4141" s="7" t="s">
        <v>805</v>
      </c>
      <c r="T4141" s="9" t="s">
        <v>39</v>
      </c>
      <c r="U4141" s="7">
        <v>0.79</v>
      </c>
      <c r="V4141" s="12">
        <f>C4141+1</f>
        <v>39995</v>
      </c>
      <c r="W4141">
        <f>IF(D4141=' Pivot Tables'!$A$4,1,0)</f>
        <v>0</v>
      </c>
      <c r="X4141">
        <f>IF(AND(LEFT(D4141,4)+1=LEFT(' Pivot Tables'!$A$4,4)+0,RIGHT(LEFT(D4141,7),2)=RIGHT(LEFT(' Pivot Tables'!$A$4,7),2)),1,0)</f>
        <v>0</v>
      </c>
      <c r="Y4141" s="6">
        <f>1/COUNTIF(Таблица1[Order ID],Таблица1[[#This Row],[Order ID]])</f>
        <v>1</v>
      </c>
      <c r="Z4141" s="9">
        <f>1/COUNTIFS(Таблица1[Customer Name],Таблица1[[#This Row],[Customer Name]],Таблица1[Order-Year-Month],Таблица1[[#This Row],[Order-Year-Month]])</f>
        <v>1</v>
      </c>
    </row>
    <row r="4142" spans="1:26" x14ac:dyDescent="0.2">
      <c r="A4142" s="6">
        <v>5962</v>
      </c>
      <c r="B4142" s="7">
        <v>42308</v>
      </c>
      <c r="C4142" s="8">
        <f>DATE(2012,12,31)-1298</f>
        <v>39976</v>
      </c>
      <c r="D4142" s="8" t="str">
        <f t="shared" si="77"/>
        <v>2009-06 (июнь 2009)</v>
      </c>
      <c r="E4142" s="9" t="s">
        <v>63</v>
      </c>
      <c r="F4142" s="7">
        <v>16</v>
      </c>
      <c r="G4142" s="7">
        <v>79.98</v>
      </c>
      <c r="H4142" s="7">
        <v>0.09</v>
      </c>
      <c r="I4142" s="9" t="s">
        <v>22</v>
      </c>
      <c r="J4142" s="10">
        <v>-56.56</v>
      </c>
      <c r="K4142" s="11">
        <v>4.8600000000000003</v>
      </c>
      <c r="L4142" s="11">
        <v>7.1</v>
      </c>
      <c r="M4142" s="9" t="s">
        <v>1727</v>
      </c>
      <c r="N4142" s="6" t="s">
        <v>1123</v>
      </c>
      <c r="O4142" s="6" t="s">
        <v>1123</v>
      </c>
      <c r="P4142" s="9" t="s">
        <v>25</v>
      </c>
      <c r="Q4142" s="9" t="s">
        <v>49</v>
      </c>
      <c r="R4142" s="9" t="s">
        <v>50</v>
      </c>
      <c r="S4142" s="7" t="s">
        <v>1770</v>
      </c>
      <c r="T4142" s="9" t="s">
        <v>39</v>
      </c>
      <c r="U4142" s="7">
        <v>0.42</v>
      </c>
      <c r="V4142" s="12">
        <f>C4142+3</f>
        <v>39979</v>
      </c>
      <c r="W4142">
        <f>IF(D4142=' Pivot Tables'!$A$4,1,0)</f>
        <v>0</v>
      </c>
      <c r="X4142">
        <f>IF(AND(LEFT(D4142,4)+1=LEFT(' Pivot Tables'!$A$4,4)+0,RIGHT(LEFT(D4142,7),2)=RIGHT(LEFT(' Pivot Tables'!$A$4,7),2)),1,0)</f>
        <v>0</v>
      </c>
      <c r="Y4142" s="6">
        <f>1/COUNTIF(Таблица1[Order ID],Таблица1[[#This Row],[Order ID]])</f>
        <v>1</v>
      </c>
      <c r="Z4142" s="9">
        <f>1/COUNTIFS(Таблица1[Customer Name],Таблица1[[#This Row],[Customer Name]],Таблица1[Order-Year-Month],Таблица1[[#This Row],[Order-Year-Month]])</f>
        <v>0.5</v>
      </c>
    </row>
    <row r="4143" spans="1:26" x14ac:dyDescent="0.2">
      <c r="A4143" s="6">
        <v>5980</v>
      </c>
      <c r="B4143" s="7">
        <v>42375</v>
      </c>
      <c r="C4143" s="8">
        <f>DATE(2012,12,31)-822</f>
        <v>40452</v>
      </c>
      <c r="D4143" s="8" t="str">
        <f t="shared" si="77"/>
        <v>2010-10 (октябрь 2010)</v>
      </c>
      <c r="E4143" s="9" t="s">
        <v>30</v>
      </c>
      <c r="F4143" s="7">
        <v>45</v>
      </c>
      <c r="G4143" s="7">
        <v>138.44999999999999</v>
      </c>
      <c r="H4143" s="7">
        <v>0.03</v>
      </c>
      <c r="I4143" s="9" t="s">
        <v>56</v>
      </c>
      <c r="J4143" s="10">
        <v>24.34</v>
      </c>
      <c r="K4143" s="11">
        <v>2.94</v>
      </c>
      <c r="L4143" s="11">
        <v>0.7</v>
      </c>
      <c r="M4143" s="9" t="s">
        <v>1229</v>
      </c>
      <c r="N4143" s="6" t="s">
        <v>1123</v>
      </c>
      <c r="O4143" s="6" t="s">
        <v>1123</v>
      </c>
      <c r="P4143" s="9" t="s">
        <v>60</v>
      </c>
      <c r="Q4143" s="9" t="s">
        <v>26</v>
      </c>
      <c r="R4143" s="9" t="s">
        <v>95</v>
      </c>
      <c r="S4143" s="7" t="s">
        <v>1192</v>
      </c>
      <c r="T4143" s="9" t="s">
        <v>68</v>
      </c>
      <c r="U4143" s="7">
        <v>0.57999999999999996</v>
      </c>
      <c r="V4143" s="12">
        <f>C4143+1</f>
        <v>40453</v>
      </c>
      <c r="W4143">
        <f>IF(D4143=' Pivot Tables'!$A$4,1,0)</f>
        <v>0</v>
      </c>
      <c r="X4143">
        <f>IF(AND(LEFT(D4143,4)+1=LEFT(' Pivot Tables'!$A$4,4)+0,RIGHT(LEFT(D4143,7),2)=RIGHT(LEFT(' Pivot Tables'!$A$4,7),2)),1,0)</f>
        <v>0</v>
      </c>
      <c r="Y4143" s="6">
        <f>1/COUNTIF(Таблица1[Order ID],Таблица1[[#This Row],[Order ID]])</f>
        <v>1</v>
      </c>
      <c r="Z4143" s="9">
        <f>1/COUNTIFS(Таблица1[Customer Name],Таблица1[[#This Row],[Customer Name]],Таблица1[Order-Year-Month],Таблица1[[#This Row],[Order-Year-Month]])</f>
        <v>1</v>
      </c>
    </row>
    <row r="4144" spans="1:26" x14ac:dyDescent="0.2">
      <c r="A4144" s="6">
        <v>6044</v>
      </c>
      <c r="B4144" s="7">
        <v>42851</v>
      </c>
      <c r="C4144" s="8">
        <f>DATE(2012,12,31)-1309</f>
        <v>39965</v>
      </c>
      <c r="D4144" s="8" t="str">
        <f t="shared" si="77"/>
        <v>2009-06 (июнь 2009)</v>
      </c>
      <c r="E4144" s="9" t="s">
        <v>30</v>
      </c>
      <c r="F4144" s="7">
        <v>4</v>
      </c>
      <c r="G4144" s="7">
        <v>24.32</v>
      </c>
      <c r="H4144" s="7">
        <v>0.05</v>
      </c>
      <c r="I4144" s="9" t="s">
        <v>56</v>
      </c>
      <c r="J4144" s="10">
        <v>-2.97</v>
      </c>
      <c r="K4144" s="11">
        <v>4.71</v>
      </c>
      <c r="L4144" s="11">
        <v>0.7</v>
      </c>
      <c r="M4144" s="9" t="s">
        <v>1738</v>
      </c>
      <c r="N4144" s="6" t="s">
        <v>1123</v>
      </c>
      <c r="O4144" s="6" t="s">
        <v>1123</v>
      </c>
      <c r="P4144" s="9" t="s">
        <v>41</v>
      </c>
      <c r="Q4144" s="9" t="s">
        <v>26</v>
      </c>
      <c r="R4144" s="9" t="s">
        <v>66</v>
      </c>
      <c r="S4144" s="7" t="s">
        <v>90</v>
      </c>
      <c r="T4144" s="9" t="s">
        <v>68</v>
      </c>
      <c r="U4144" s="7">
        <v>0.8</v>
      </c>
      <c r="V4144" s="12">
        <f>C4144+1</f>
        <v>39966</v>
      </c>
      <c r="W4144">
        <f>IF(D4144=' Pivot Tables'!$A$4,1,0)</f>
        <v>0</v>
      </c>
      <c r="X4144">
        <f>IF(AND(LEFT(D4144,4)+1=LEFT(' Pivot Tables'!$A$4,4)+0,RIGHT(LEFT(D4144,7),2)=RIGHT(LEFT(' Pivot Tables'!$A$4,7),2)),1,0)</f>
        <v>0</v>
      </c>
      <c r="Y4144" s="6">
        <f>1/COUNTIF(Таблица1[Order ID],Таблица1[[#This Row],[Order ID]])</f>
        <v>0.5</v>
      </c>
      <c r="Z4144" s="9">
        <f>1/COUNTIFS(Таблица1[Customer Name],Таблица1[[#This Row],[Customer Name]],Таблица1[Order-Year-Month],Таблица1[[#This Row],[Order-Year-Month]])</f>
        <v>0.5</v>
      </c>
    </row>
    <row r="4145" spans="1:26" x14ac:dyDescent="0.2">
      <c r="A4145" s="6">
        <v>6045</v>
      </c>
      <c r="B4145" s="7">
        <v>42851</v>
      </c>
      <c r="C4145" s="8">
        <f>DATE(2012,12,31)-1309</f>
        <v>39965</v>
      </c>
      <c r="D4145" s="8" t="str">
        <f t="shared" si="77"/>
        <v>2009-06 (июнь 2009)</v>
      </c>
      <c r="E4145" s="9" t="s">
        <v>30</v>
      </c>
      <c r="F4145" s="7">
        <v>7</v>
      </c>
      <c r="G4145" s="7">
        <v>344.30099999999999</v>
      </c>
      <c r="H4145" s="7">
        <v>0.04</v>
      </c>
      <c r="I4145" s="9" t="s">
        <v>56</v>
      </c>
      <c r="J4145" s="10">
        <v>-22.902000000000001</v>
      </c>
      <c r="K4145" s="11">
        <v>55.99</v>
      </c>
      <c r="L4145" s="11">
        <v>1.25</v>
      </c>
      <c r="M4145" s="9" t="s">
        <v>1738</v>
      </c>
      <c r="N4145" s="6" t="s">
        <v>1123</v>
      </c>
      <c r="O4145" s="6" t="s">
        <v>1123</v>
      </c>
      <c r="P4145" s="9" t="s">
        <v>41</v>
      </c>
      <c r="Q4145" s="9" t="s">
        <v>42</v>
      </c>
      <c r="R4145" s="9" t="s">
        <v>43</v>
      </c>
      <c r="S4145" s="7" t="s">
        <v>946</v>
      </c>
      <c r="T4145" s="9" t="s">
        <v>52</v>
      </c>
      <c r="U4145" s="7">
        <v>0.35</v>
      </c>
      <c r="V4145" s="12">
        <f>C4145+1</f>
        <v>39966</v>
      </c>
      <c r="W4145">
        <f>IF(D4145=' Pivot Tables'!$A$4,1,0)</f>
        <v>0</v>
      </c>
      <c r="X4145">
        <f>IF(AND(LEFT(D4145,4)+1=LEFT(' Pivot Tables'!$A$4,4)+0,RIGHT(LEFT(D4145,7),2)=RIGHT(LEFT(' Pivot Tables'!$A$4,7),2)),1,0)</f>
        <v>0</v>
      </c>
      <c r="Y4145" s="6">
        <f>1/COUNTIF(Таблица1[Order ID],Таблица1[[#This Row],[Order ID]])</f>
        <v>0.5</v>
      </c>
      <c r="Z4145" s="9">
        <f>1/COUNTIFS(Таблица1[Customer Name],Таблица1[[#This Row],[Customer Name]],Таблица1[Order-Year-Month],Таблица1[[#This Row],[Order-Year-Month]])</f>
        <v>0.5</v>
      </c>
    </row>
    <row r="4146" spans="1:26" x14ac:dyDescent="0.2">
      <c r="A4146" s="6">
        <v>6154</v>
      </c>
      <c r="B4146" s="7">
        <v>43585</v>
      </c>
      <c r="C4146" s="8">
        <f>DATE(2012,12,31)-782</f>
        <v>40492</v>
      </c>
      <c r="D4146" s="8" t="str">
        <f t="shared" si="77"/>
        <v>2010-11 (ноябрь 2010)</v>
      </c>
      <c r="E4146" s="9" t="s">
        <v>78</v>
      </c>
      <c r="F4146" s="7">
        <v>19</v>
      </c>
      <c r="G4146" s="7">
        <v>1004.18</v>
      </c>
      <c r="H4146" s="7">
        <v>0.08</v>
      </c>
      <c r="I4146" s="9" t="s">
        <v>56</v>
      </c>
      <c r="J4146" s="10">
        <v>374.19</v>
      </c>
      <c r="K4146" s="11">
        <v>55.48</v>
      </c>
      <c r="L4146" s="11">
        <v>6.79</v>
      </c>
      <c r="M4146" s="9" t="s">
        <v>1758</v>
      </c>
      <c r="N4146" s="6" t="s">
        <v>1123</v>
      </c>
      <c r="O4146" s="6" t="s">
        <v>1123</v>
      </c>
      <c r="P4146" s="9" t="s">
        <v>33</v>
      </c>
      <c r="Q4146" s="9" t="s">
        <v>26</v>
      </c>
      <c r="R4146" s="9" t="s">
        <v>61</v>
      </c>
      <c r="S4146" s="7" t="s">
        <v>1065</v>
      </c>
      <c r="T4146" s="9" t="s">
        <v>39</v>
      </c>
      <c r="U4146" s="7">
        <v>0.37</v>
      </c>
      <c r="V4146" s="12">
        <f>C4146+2</f>
        <v>40494</v>
      </c>
      <c r="W4146">
        <f>IF(D4146=' Pivot Tables'!$A$4,1,0)</f>
        <v>0</v>
      </c>
      <c r="X4146">
        <f>IF(AND(LEFT(D4146,4)+1=LEFT(' Pivot Tables'!$A$4,4)+0,RIGHT(LEFT(D4146,7),2)=RIGHT(LEFT(' Pivot Tables'!$A$4,7),2)),1,0)</f>
        <v>0</v>
      </c>
      <c r="Y4146" s="6">
        <f>1/COUNTIF(Таблица1[Order ID],Таблица1[[#This Row],[Order ID]])</f>
        <v>1</v>
      </c>
      <c r="Z4146" s="9">
        <f>1/COUNTIFS(Таблица1[Customer Name],Таблица1[[#This Row],[Customer Name]],Таблица1[Order-Year-Month],Таблица1[[#This Row],[Order-Year-Month]])</f>
        <v>1</v>
      </c>
    </row>
    <row r="4147" spans="1:26" x14ac:dyDescent="0.2">
      <c r="A4147" s="6">
        <v>6157</v>
      </c>
      <c r="B4147" s="7">
        <v>43590</v>
      </c>
      <c r="C4147" s="8">
        <f>DATE(2012,12,31)-1208</f>
        <v>40066</v>
      </c>
      <c r="D4147" s="8" t="str">
        <f t="shared" si="77"/>
        <v>2009-09 (сентябрь 2009)</v>
      </c>
      <c r="E4147" s="9" t="s">
        <v>78</v>
      </c>
      <c r="F4147" s="7">
        <v>24</v>
      </c>
      <c r="G4147" s="7">
        <v>3118.6</v>
      </c>
      <c r="H4147" s="7">
        <v>0.06</v>
      </c>
      <c r="I4147" s="9" t="s">
        <v>56</v>
      </c>
      <c r="J4147" s="10">
        <v>804.2</v>
      </c>
      <c r="K4147" s="11">
        <v>128.24</v>
      </c>
      <c r="L4147" s="11">
        <v>12.65</v>
      </c>
      <c r="M4147" s="9" t="s">
        <v>1724</v>
      </c>
      <c r="N4147" s="6" t="s">
        <v>1123</v>
      </c>
      <c r="O4147" s="6" t="s">
        <v>1123</v>
      </c>
      <c r="P4147" s="9" t="s">
        <v>60</v>
      </c>
      <c r="Q4147" s="9" t="s">
        <v>49</v>
      </c>
      <c r="R4147" s="9" t="s">
        <v>112</v>
      </c>
      <c r="S4147" s="7" t="s">
        <v>545</v>
      </c>
      <c r="T4147" s="9" t="s">
        <v>48</v>
      </c>
      <c r="U4147" s="7"/>
      <c r="V4147" s="12">
        <f>C4147+2</f>
        <v>40068</v>
      </c>
      <c r="W4147">
        <f>IF(D4147=' Pivot Tables'!$A$4,1,0)</f>
        <v>0</v>
      </c>
      <c r="X4147">
        <f>IF(AND(LEFT(D4147,4)+1=LEFT(' Pivot Tables'!$A$4,4)+0,RIGHT(LEFT(D4147,7),2)=RIGHT(LEFT(' Pivot Tables'!$A$4,7),2)),1,0)</f>
        <v>0</v>
      </c>
      <c r="Y4147" s="6">
        <f>1/COUNTIF(Таблица1[Order ID],Таблица1[[#This Row],[Order ID]])</f>
        <v>1</v>
      </c>
      <c r="Z4147" s="9">
        <f>1/COUNTIFS(Таблица1[Customer Name],Таблица1[[#This Row],[Customer Name]],Таблица1[Order-Year-Month],Таблица1[[#This Row],[Order-Year-Month]])</f>
        <v>1</v>
      </c>
    </row>
    <row r="4148" spans="1:26" x14ac:dyDescent="0.2">
      <c r="A4148" s="6">
        <v>6188</v>
      </c>
      <c r="B4148" s="7">
        <v>43874</v>
      </c>
      <c r="C4148" s="8">
        <f>DATE(2012,12,31)-204</f>
        <v>41070</v>
      </c>
      <c r="D4148" s="8" t="str">
        <f t="shared" si="77"/>
        <v>2012-06 (июнь 2012)</v>
      </c>
      <c r="E4148" s="9" t="s">
        <v>30</v>
      </c>
      <c r="F4148" s="7">
        <v>46</v>
      </c>
      <c r="G4148" s="7">
        <v>153.28</v>
      </c>
      <c r="H4148" s="7">
        <v>0.09</v>
      </c>
      <c r="I4148" s="9" t="s">
        <v>22</v>
      </c>
      <c r="J4148" s="10">
        <v>-161.21</v>
      </c>
      <c r="K4148" s="11">
        <v>3.28</v>
      </c>
      <c r="L4148" s="11">
        <v>5</v>
      </c>
      <c r="M4148" s="9" t="s">
        <v>1739</v>
      </c>
      <c r="N4148" s="6" t="s">
        <v>1123</v>
      </c>
      <c r="O4148" s="6" t="s">
        <v>1123</v>
      </c>
      <c r="P4148" s="9" t="s">
        <v>60</v>
      </c>
      <c r="Q4148" s="9" t="s">
        <v>26</v>
      </c>
      <c r="R4148" s="9" t="s">
        <v>95</v>
      </c>
      <c r="S4148" s="7" t="s">
        <v>878</v>
      </c>
      <c r="T4148" s="9" t="s">
        <v>68</v>
      </c>
      <c r="U4148" s="7">
        <v>0.56000000000000005</v>
      </c>
      <c r="V4148" s="12">
        <f>C4148+1</f>
        <v>41071</v>
      </c>
      <c r="W4148">
        <f>IF(D4148=' Pivot Tables'!$A$4,1,0)</f>
        <v>0</v>
      </c>
      <c r="X4148">
        <f>IF(AND(LEFT(D4148,4)+1=LEFT(' Pivot Tables'!$A$4,4)+0,RIGHT(LEFT(D4148,7),2)=RIGHT(LEFT(' Pivot Tables'!$A$4,7),2)),1,0)</f>
        <v>0</v>
      </c>
      <c r="Y4148" s="6">
        <f>1/COUNTIF(Таблица1[Order ID],Таблица1[[#This Row],[Order ID]])</f>
        <v>1</v>
      </c>
      <c r="Z4148" s="9">
        <f>1/COUNTIFS(Таблица1[Customer Name],Таблица1[[#This Row],[Customer Name]],Таблица1[Order-Year-Month],Таблица1[[#This Row],[Order-Year-Month]])</f>
        <v>1</v>
      </c>
    </row>
    <row r="4149" spans="1:26" x14ac:dyDescent="0.2">
      <c r="A4149" s="6">
        <v>6356</v>
      </c>
      <c r="B4149" s="7">
        <v>45059</v>
      </c>
      <c r="C4149" s="8">
        <f>DATE(2012,12,31)-697</f>
        <v>40577</v>
      </c>
      <c r="D4149" s="8" t="str">
        <f t="shared" si="77"/>
        <v>2011-02 (февраль 2011)</v>
      </c>
      <c r="E4149" s="9" t="s">
        <v>45</v>
      </c>
      <c r="F4149" s="7">
        <v>4</v>
      </c>
      <c r="G4149" s="7">
        <v>130.13999999999999</v>
      </c>
      <c r="H4149" s="7">
        <v>0.04</v>
      </c>
      <c r="I4149" s="9" t="s">
        <v>22</v>
      </c>
      <c r="J4149" s="10">
        <v>-116.18</v>
      </c>
      <c r="K4149" s="11">
        <v>30.42</v>
      </c>
      <c r="L4149" s="11">
        <v>8.65</v>
      </c>
      <c r="M4149" s="9" t="s">
        <v>905</v>
      </c>
      <c r="N4149" s="6" t="s">
        <v>1123</v>
      </c>
      <c r="O4149" s="6" t="s">
        <v>1123</v>
      </c>
      <c r="P4149" s="9" t="s">
        <v>33</v>
      </c>
      <c r="Q4149" s="9" t="s">
        <v>42</v>
      </c>
      <c r="R4149" s="9" t="s">
        <v>70</v>
      </c>
      <c r="S4149" s="7" t="s">
        <v>374</v>
      </c>
      <c r="T4149" s="9" t="s">
        <v>39</v>
      </c>
      <c r="U4149" s="7">
        <v>0.74</v>
      </c>
      <c r="V4149" s="12">
        <f>C4149+2</f>
        <v>40579</v>
      </c>
      <c r="W4149">
        <f>IF(D4149=' Pivot Tables'!$A$4,1,0)</f>
        <v>0</v>
      </c>
      <c r="X4149">
        <f>IF(AND(LEFT(D4149,4)+1=LEFT(' Pivot Tables'!$A$4,4)+0,RIGHT(LEFT(D4149,7),2)=RIGHT(LEFT(' Pivot Tables'!$A$4,7),2)),1,0)</f>
        <v>0</v>
      </c>
      <c r="Y4149" s="6">
        <f>1/COUNTIF(Таблица1[Order ID],Таблица1[[#This Row],[Order ID]])</f>
        <v>0.33333333333333331</v>
      </c>
      <c r="Z4149" s="9">
        <f>1/COUNTIFS(Таблица1[Customer Name],Таблица1[[#This Row],[Customer Name]],Таблица1[Order-Year-Month],Таблица1[[#This Row],[Order-Year-Month]])</f>
        <v>0.33333333333333331</v>
      </c>
    </row>
    <row r="4150" spans="1:26" x14ac:dyDescent="0.2">
      <c r="A4150" s="6">
        <v>6408</v>
      </c>
      <c r="B4150" s="7">
        <v>45542</v>
      </c>
      <c r="C4150" s="8">
        <f>DATE(2012,12,31)-1058</f>
        <v>40216</v>
      </c>
      <c r="D4150" s="8" t="str">
        <f t="shared" si="77"/>
        <v>2010-02 (февраль 2010)</v>
      </c>
      <c r="E4150" s="9" t="s">
        <v>30</v>
      </c>
      <c r="F4150" s="7">
        <v>37</v>
      </c>
      <c r="G4150" s="7">
        <v>281.79000000000002</v>
      </c>
      <c r="H4150" s="7">
        <v>0.04</v>
      </c>
      <c r="I4150" s="9" t="s">
        <v>56</v>
      </c>
      <c r="J4150" s="10">
        <v>-50.96</v>
      </c>
      <c r="K4150" s="11">
        <v>7.64</v>
      </c>
      <c r="L4150" s="11">
        <v>5.83</v>
      </c>
      <c r="M4150" s="9" t="s">
        <v>1738</v>
      </c>
      <c r="N4150" s="6" t="s">
        <v>1123</v>
      </c>
      <c r="O4150" s="6" t="s">
        <v>1123</v>
      </c>
      <c r="P4150" s="9" t="s">
        <v>41</v>
      </c>
      <c r="Q4150" s="9" t="s">
        <v>26</v>
      </c>
      <c r="R4150" s="9" t="s">
        <v>61</v>
      </c>
      <c r="S4150" s="7" t="s">
        <v>371</v>
      </c>
      <c r="T4150" s="9" t="s">
        <v>68</v>
      </c>
      <c r="U4150" s="7">
        <v>0.36</v>
      </c>
      <c r="V4150" s="12">
        <f>C4150+3</f>
        <v>40219</v>
      </c>
      <c r="W4150">
        <f>IF(D4150=' Pivot Tables'!$A$4,1,0)</f>
        <v>0</v>
      </c>
      <c r="X4150">
        <f>IF(AND(LEFT(D4150,4)+1=LEFT(' Pivot Tables'!$A$4,4)+0,RIGHT(LEFT(D4150,7),2)=RIGHT(LEFT(' Pivot Tables'!$A$4,7),2)),1,0)</f>
        <v>0</v>
      </c>
      <c r="Y4150" s="6">
        <f>1/COUNTIF(Таблица1[Order ID],Таблица1[[#This Row],[Order ID]])</f>
        <v>0.5</v>
      </c>
      <c r="Z4150" s="9">
        <f>1/COUNTIFS(Таблица1[Customer Name],Таблица1[[#This Row],[Customer Name]],Таблица1[Order-Year-Month],Таблица1[[#This Row],[Order-Year-Month]])</f>
        <v>0.5</v>
      </c>
    </row>
    <row r="4151" spans="1:26" x14ac:dyDescent="0.2">
      <c r="A4151" s="6">
        <v>6409</v>
      </c>
      <c r="B4151" s="7">
        <v>45542</v>
      </c>
      <c r="C4151" s="8">
        <f>DATE(2012,12,31)-1058</f>
        <v>40216</v>
      </c>
      <c r="D4151" s="8" t="str">
        <f t="shared" si="77"/>
        <v>2010-02 (февраль 2010)</v>
      </c>
      <c r="E4151" s="9" t="s">
        <v>30</v>
      </c>
      <c r="F4151" s="7">
        <v>40</v>
      </c>
      <c r="G4151" s="7">
        <v>4064.2720000000004</v>
      </c>
      <c r="H4151" s="7">
        <v>0.01</v>
      </c>
      <c r="I4151" s="9" t="s">
        <v>31</v>
      </c>
      <c r="J4151" s="10">
        <v>-300.854983</v>
      </c>
      <c r="K4151" s="11">
        <v>124.49</v>
      </c>
      <c r="L4151" s="11">
        <v>51.94</v>
      </c>
      <c r="M4151" s="9" t="s">
        <v>1738</v>
      </c>
      <c r="N4151" s="6" t="s">
        <v>1123</v>
      </c>
      <c r="O4151" s="6" t="s">
        <v>1123</v>
      </c>
      <c r="P4151" s="9" t="s">
        <v>41</v>
      </c>
      <c r="Q4151" s="9" t="s">
        <v>49</v>
      </c>
      <c r="R4151" s="9" t="s">
        <v>83</v>
      </c>
      <c r="S4151" s="7" t="s">
        <v>432</v>
      </c>
      <c r="T4151" s="9" t="s">
        <v>82</v>
      </c>
      <c r="U4151" s="7">
        <v>0.63</v>
      </c>
      <c r="V4151" s="12">
        <f>C4151+1</f>
        <v>40217</v>
      </c>
      <c r="W4151">
        <f>IF(D4151=' Pivot Tables'!$A$4,1,0)</f>
        <v>0</v>
      </c>
      <c r="X4151">
        <f>IF(AND(LEFT(D4151,4)+1=LEFT(' Pivot Tables'!$A$4,4)+0,RIGHT(LEFT(D4151,7),2)=RIGHT(LEFT(' Pivot Tables'!$A$4,7),2)),1,0)</f>
        <v>0</v>
      </c>
      <c r="Y4151" s="6">
        <f>1/COUNTIF(Таблица1[Order ID],Таблица1[[#This Row],[Order ID]])</f>
        <v>0.5</v>
      </c>
      <c r="Z4151" s="9">
        <f>1/COUNTIFS(Таблица1[Customer Name],Таблица1[[#This Row],[Customer Name]],Таблица1[Order-Year-Month],Таблица1[[#This Row],[Order-Year-Month]])</f>
        <v>0.5</v>
      </c>
    </row>
    <row r="4152" spans="1:26" x14ac:dyDescent="0.2">
      <c r="A4152" s="6">
        <v>6427</v>
      </c>
      <c r="B4152" s="7">
        <v>45698</v>
      </c>
      <c r="C4152" s="8">
        <f>DATE(2012,12,31)-252</f>
        <v>41022</v>
      </c>
      <c r="D4152" s="8" t="str">
        <f t="shared" si="77"/>
        <v>2012-04 (апрель 2012)</v>
      </c>
      <c r="E4152" s="9" t="s">
        <v>30</v>
      </c>
      <c r="F4152" s="7">
        <v>40</v>
      </c>
      <c r="G4152" s="7">
        <v>6559.01</v>
      </c>
      <c r="H4152" s="7">
        <v>0.1</v>
      </c>
      <c r="I4152" s="9" t="s">
        <v>22</v>
      </c>
      <c r="J4152" s="10">
        <v>2307.5715</v>
      </c>
      <c r="K4152" s="11">
        <v>172.99</v>
      </c>
      <c r="L4152" s="11">
        <v>19.989999999999998</v>
      </c>
      <c r="M4152" s="9" t="s">
        <v>1741</v>
      </c>
      <c r="N4152" s="6" t="s">
        <v>1123</v>
      </c>
      <c r="O4152" s="6" t="s">
        <v>1123</v>
      </c>
      <c r="P4152" s="9" t="s">
        <v>25</v>
      </c>
      <c r="Q4152" s="9" t="s">
        <v>26</v>
      </c>
      <c r="R4152" s="9" t="s">
        <v>37</v>
      </c>
      <c r="S4152" s="7" t="s">
        <v>616</v>
      </c>
      <c r="T4152" s="9" t="s">
        <v>39</v>
      </c>
      <c r="U4152" s="7">
        <v>0.39</v>
      </c>
      <c r="V4152" s="12">
        <f>C4152+2</f>
        <v>41024</v>
      </c>
      <c r="W4152">
        <f>IF(D4152=' Pivot Tables'!$A$4,1,0)</f>
        <v>0</v>
      </c>
      <c r="X4152">
        <f>IF(AND(LEFT(D4152,4)+1=LEFT(' Pivot Tables'!$A$4,4)+0,RIGHT(LEFT(D4152,7),2)=RIGHT(LEFT(' Pivot Tables'!$A$4,7),2)),1,0)</f>
        <v>0</v>
      </c>
      <c r="Y4152" s="6">
        <f>1/COUNTIF(Таблица1[Order ID],Таблица1[[#This Row],[Order ID]])</f>
        <v>0.5</v>
      </c>
      <c r="Z4152" s="9">
        <f>1/COUNTIFS(Таблица1[Customer Name],Таблица1[[#This Row],[Customer Name]],Таблица1[Order-Year-Month],Таблица1[[#This Row],[Order-Year-Month]])</f>
        <v>0.5</v>
      </c>
    </row>
    <row r="4153" spans="1:26" x14ac:dyDescent="0.2">
      <c r="A4153" s="6">
        <v>6428</v>
      </c>
      <c r="B4153" s="7">
        <v>45698</v>
      </c>
      <c r="C4153" s="8">
        <f>DATE(2012,12,31)-252</f>
        <v>41022</v>
      </c>
      <c r="D4153" s="8" t="str">
        <f t="shared" si="77"/>
        <v>2012-04 (апрель 2012)</v>
      </c>
      <c r="E4153" s="9" t="s">
        <v>30</v>
      </c>
      <c r="F4153" s="7">
        <v>36</v>
      </c>
      <c r="G4153" s="7">
        <v>263.37</v>
      </c>
      <c r="H4153" s="7">
        <v>0.04</v>
      </c>
      <c r="I4153" s="9" t="s">
        <v>22</v>
      </c>
      <c r="J4153" s="10">
        <v>-5.68</v>
      </c>
      <c r="K4153" s="11">
        <v>7.28</v>
      </c>
      <c r="L4153" s="11">
        <v>4.2300000000000004</v>
      </c>
      <c r="M4153" s="9" t="s">
        <v>1741</v>
      </c>
      <c r="N4153" s="6" t="s">
        <v>1123</v>
      </c>
      <c r="O4153" s="6" t="s">
        <v>1123</v>
      </c>
      <c r="P4153" s="9" t="s">
        <v>25</v>
      </c>
      <c r="Q4153" s="9" t="s">
        <v>26</v>
      </c>
      <c r="R4153" s="9" t="s">
        <v>61</v>
      </c>
      <c r="S4153" s="7" t="s">
        <v>1342</v>
      </c>
      <c r="T4153" s="9" t="s">
        <v>68</v>
      </c>
      <c r="U4153" s="7">
        <v>0.39</v>
      </c>
      <c r="V4153" s="12">
        <f>C4153+3</f>
        <v>41025</v>
      </c>
      <c r="W4153">
        <f>IF(D4153=' Pivot Tables'!$A$4,1,0)</f>
        <v>0</v>
      </c>
      <c r="X4153">
        <f>IF(AND(LEFT(D4153,4)+1=LEFT(' Pivot Tables'!$A$4,4)+0,RIGHT(LEFT(D4153,7),2)=RIGHT(LEFT(' Pivot Tables'!$A$4,7),2)),1,0)</f>
        <v>0</v>
      </c>
      <c r="Y4153" s="6">
        <f>1/COUNTIF(Таблица1[Order ID],Таблица1[[#This Row],[Order ID]])</f>
        <v>0.5</v>
      </c>
      <c r="Z4153" s="9">
        <f>1/COUNTIFS(Таблица1[Customer Name],Таблица1[[#This Row],[Customer Name]],Таблица1[Order-Year-Month],Таблица1[[#This Row],[Order-Year-Month]])</f>
        <v>0.5</v>
      </c>
    </row>
    <row r="4154" spans="1:26" x14ac:dyDescent="0.2">
      <c r="A4154" s="6">
        <v>6458</v>
      </c>
      <c r="B4154" s="7">
        <v>45987</v>
      </c>
      <c r="C4154" s="8">
        <f>DATE(2012,12,31)-1390</f>
        <v>39884</v>
      </c>
      <c r="D4154" s="8" t="str">
        <f t="shared" si="77"/>
        <v>2009-03 (март 2009)</v>
      </c>
      <c r="E4154" s="9" t="s">
        <v>45</v>
      </c>
      <c r="F4154" s="7">
        <v>31</v>
      </c>
      <c r="G4154" s="7">
        <v>131.43</v>
      </c>
      <c r="H4154" s="7">
        <v>0.01</v>
      </c>
      <c r="I4154" s="9" t="s">
        <v>22</v>
      </c>
      <c r="J4154" s="10">
        <v>37.25</v>
      </c>
      <c r="K4154" s="11">
        <v>4</v>
      </c>
      <c r="L4154" s="11">
        <v>1.3</v>
      </c>
      <c r="M4154" s="9" t="s">
        <v>1751</v>
      </c>
      <c r="N4154" s="6" t="s">
        <v>1123</v>
      </c>
      <c r="O4154" s="6" t="s">
        <v>1123</v>
      </c>
      <c r="P4154" s="9" t="s">
        <v>25</v>
      </c>
      <c r="Q4154" s="9" t="s">
        <v>26</v>
      </c>
      <c r="R4154" s="9" t="s">
        <v>61</v>
      </c>
      <c r="S4154" s="7" t="s">
        <v>1209</v>
      </c>
      <c r="T4154" s="9" t="s">
        <v>68</v>
      </c>
      <c r="U4154" s="7">
        <v>0.37</v>
      </c>
      <c r="V4154" s="12">
        <f>C4154+2</f>
        <v>39886</v>
      </c>
      <c r="W4154">
        <f>IF(D4154=' Pivot Tables'!$A$4,1,0)</f>
        <v>0</v>
      </c>
      <c r="X4154">
        <f>IF(AND(LEFT(D4154,4)+1=LEFT(' Pivot Tables'!$A$4,4)+0,RIGHT(LEFT(D4154,7),2)=RIGHT(LEFT(' Pivot Tables'!$A$4,7),2)),1,0)</f>
        <v>0</v>
      </c>
      <c r="Y4154" s="6">
        <f>1/COUNTIF(Таблица1[Order ID],Таблица1[[#This Row],[Order ID]])</f>
        <v>1</v>
      </c>
      <c r="Z4154" s="9">
        <f>1/COUNTIFS(Таблица1[Customer Name],Таблица1[[#This Row],[Customer Name]],Таблица1[Order-Year-Month],Таблица1[[#This Row],[Order-Year-Month]])</f>
        <v>1</v>
      </c>
    </row>
    <row r="4155" spans="1:26" x14ac:dyDescent="0.2">
      <c r="A4155" s="6">
        <v>6471</v>
      </c>
      <c r="B4155" s="7">
        <v>46052</v>
      </c>
      <c r="C4155" s="8">
        <f>DATE(2012,12,31)-1134</f>
        <v>40140</v>
      </c>
      <c r="D4155" s="8" t="str">
        <f t="shared" si="77"/>
        <v>2009-11 (ноябрь 2009)</v>
      </c>
      <c r="E4155" s="9" t="s">
        <v>63</v>
      </c>
      <c r="F4155" s="7">
        <v>37</v>
      </c>
      <c r="G4155" s="7">
        <v>2374.35</v>
      </c>
      <c r="H4155" s="7">
        <v>0.05</v>
      </c>
      <c r="I4155" s="9" t="s">
        <v>22</v>
      </c>
      <c r="J4155" s="10">
        <v>878.21</v>
      </c>
      <c r="K4155" s="11">
        <v>63.94</v>
      </c>
      <c r="L4155" s="11">
        <v>14.48</v>
      </c>
      <c r="M4155" s="9" t="s">
        <v>1736</v>
      </c>
      <c r="N4155" s="6" t="s">
        <v>1123</v>
      </c>
      <c r="O4155" s="6" t="s">
        <v>1123</v>
      </c>
      <c r="P4155" s="9" t="s">
        <v>41</v>
      </c>
      <c r="Q4155" s="9" t="s">
        <v>49</v>
      </c>
      <c r="R4155" s="9" t="s">
        <v>50</v>
      </c>
      <c r="S4155" s="7" t="s">
        <v>433</v>
      </c>
      <c r="T4155" s="9" t="s">
        <v>39</v>
      </c>
      <c r="U4155" s="7">
        <v>0.46</v>
      </c>
      <c r="V4155" s="12">
        <f>C4155+2</f>
        <v>40142</v>
      </c>
      <c r="W4155">
        <f>IF(D4155=' Pivot Tables'!$A$4,1,0)</f>
        <v>0</v>
      </c>
      <c r="X4155">
        <f>IF(AND(LEFT(D4155,4)+1=LEFT(' Pivot Tables'!$A$4,4)+0,RIGHT(LEFT(D4155,7),2)=RIGHT(LEFT(' Pivot Tables'!$A$4,7),2)),1,0)</f>
        <v>0</v>
      </c>
      <c r="Y4155" s="6">
        <f>1/COUNTIF(Таблица1[Order ID],Таблица1[[#This Row],[Order ID]])</f>
        <v>0.5</v>
      </c>
      <c r="Z4155" s="9">
        <f>1/COUNTIFS(Таблица1[Customer Name],Таблица1[[#This Row],[Customer Name]],Таблица1[Order-Year-Month],Таблица1[[#This Row],[Order-Year-Month]])</f>
        <v>0.5</v>
      </c>
    </row>
    <row r="4156" spans="1:26" x14ac:dyDescent="0.2">
      <c r="A4156" s="6">
        <v>6472</v>
      </c>
      <c r="B4156" s="7">
        <v>46052</v>
      </c>
      <c r="C4156" s="8">
        <f>DATE(2012,12,31)-1134</f>
        <v>40140</v>
      </c>
      <c r="D4156" s="8" t="str">
        <f t="shared" si="77"/>
        <v>2009-11 (ноябрь 2009)</v>
      </c>
      <c r="E4156" s="9" t="s">
        <v>63</v>
      </c>
      <c r="F4156" s="7">
        <v>39</v>
      </c>
      <c r="G4156" s="7">
        <v>729.21</v>
      </c>
      <c r="H4156" s="7">
        <v>0</v>
      </c>
      <c r="I4156" s="9" t="s">
        <v>56</v>
      </c>
      <c r="J4156" s="10">
        <v>194.15</v>
      </c>
      <c r="K4156" s="11">
        <v>17.78</v>
      </c>
      <c r="L4156" s="11">
        <v>5.03</v>
      </c>
      <c r="M4156" s="9" t="s">
        <v>1736</v>
      </c>
      <c r="N4156" s="6" t="s">
        <v>1123</v>
      </c>
      <c r="O4156" s="6" t="s">
        <v>1123</v>
      </c>
      <c r="P4156" s="9" t="s">
        <v>41</v>
      </c>
      <c r="Q4156" s="9" t="s">
        <v>49</v>
      </c>
      <c r="R4156" s="9" t="s">
        <v>50</v>
      </c>
      <c r="S4156" s="7" t="s">
        <v>723</v>
      </c>
      <c r="T4156" s="9" t="s">
        <v>39</v>
      </c>
      <c r="U4156" s="7">
        <v>0.54</v>
      </c>
      <c r="V4156" s="12">
        <f>C4156+2</f>
        <v>40142</v>
      </c>
      <c r="W4156">
        <f>IF(D4156=' Pivot Tables'!$A$4,1,0)</f>
        <v>0</v>
      </c>
      <c r="X4156">
        <f>IF(AND(LEFT(D4156,4)+1=LEFT(' Pivot Tables'!$A$4,4)+0,RIGHT(LEFT(D4156,7),2)=RIGHT(LEFT(' Pivot Tables'!$A$4,7),2)),1,0)</f>
        <v>0</v>
      </c>
      <c r="Y4156" s="6">
        <f>1/COUNTIF(Таблица1[Order ID],Таблица1[[#This Row],[Order ID]])</f>
        <v>0.5</v>
      </c>
      <c r="Z4156" s="9">
        <f>1/COUNTIFS(Таблица1[Customer Name],Таблица1[[#This Row],[Customer Name]],Таблица1[Order-Year-Month],Таблица1[[#This Row],[Order-Year-Month]])</f>
        <v>0.5</v>
      </c>
    </row>
    <row r="4157" spans="1:26" x14ac:dyDescent="0.2">
      <c r="A4157" s="6">
        <v>6516</v>
      </c>
      <c r="B4157" s="7">
        <v>46374</v>
      </c>
      <c r="C4157" s="8">
        <f>DATE(2012,12,31)-908</f>
        <v>40366</v>
      </c>
      <c r="D4157" s="8" t="str">
        <f t="shared" si="77"/>
        <v>2010-07 (июль 2010)</v>
      </c>
      <c r="E4157" s="9" t="s">
        <v>30</v>
      </c>
      <c r="F4157" s="7">
        <v>7</v>
      </c>
      <c r="G4157" s="7">
        <v>1822.83</v>
      </c>
      <c r="H4157" s="7">
        <v>0.08</v>
      </c>
      <c r="I4157" s="9" t="s">
        <v>31</v>
      </c>
      <c r="J4157" s="10">
        <v>-627.64115700000002</v>
      </c>
      <c r="K4157" s="11">
        <v>259.70999999999998</v>
      </c>
      <c r="L4157" s="11">
        <v>66.67</v>
      </c>
      <c r="M4157" s="9" t="s">
        <v>1734</v>
      </c>
      <c r="N4157" s="6" t="s">
        <v>1123</v>
      </c>
      <c r="O4157" s="6" t="s">
        <v>1123</v>
      </c>
      <c r="P4157" s="9" t="s">
        <v>25</v>
      </c>
      <c r="Q4157" s="9" t="s">
        <v>49</v>
      </c>
      <c r="R4157" s="9" t="s">
        <v>83</v>
      </c>
      <c r="S4157" s="7" t="s">
        <v>510</v>
      </c>
      <c r="T4157" s="9" t="s">
        <v>82</v>
      </c>
      <c r="U4157" s="7">
        <v>0.65</v>
      </c>
      <c r="V4157" s="12">
        <f>C4157+2</f>
        <v>40368</v>
      </c>
      <c r="W4157">
        <f>IF(D4157=' Pivot Tables'!$A$4,1,0)</f>
        <v>0</v>
      </c>
      <c r="X4157">
        <f>IF(AND(LEFT(D4157,4)+1=LEFT(' Pivot Tables'!$A$4,4)+0,RIGHT(LEFT(D4157,7),2)=RIGHT(LEFT(' Pivot Tables'!$A$4,7),2)),1,0)</f>
        <v>0</v>
      </c>
      <c r="Y4157" s="6">
        <f>1/COUNTIF(Таблица1[Order ID],Таблица1[[#This Row],[Order ID]])</f>
        <v>1</v>
      </c>
      <c r="Z4157" s="9">
        <f>1/COUNTIFS(Таблица1[Customer Name],Таблица1[[#This Row],[Customer Name]],Таблица1[Order-Year-Month],Таблица1[[#This Row],[Order-Year-Month]])</f>
        <v>1</v>
      </c>
    </row>
    <row r="4158" spans="1:26" x14ac:dyDescent="0.2">
      <c r="A4158" s="6">
        <v>6519</v>
      </c>
      <c r="B4158" s="7">
        <v>46402</v>
      </c>
      <c r="C4158" s="8">
        <f>DATE(2012,12,31)-723</f>
        <v>40551</v>
      </c>
      <c r="D4158" s="8" t="str">
        <f t="shared" si="77"/>
        <v>2011-01 (январь 2011)</v>
      </c>
      <c r="E4158" s="9" t="s">
        <v>63</v>
      </c>
      <c r="F4158" s="7">
        <v>27</v>
      </c>
      <c r="G4158" s="7">
        <v>826.27</v>
      </c>
      <c r="H4158" s="7">
        <v>0.03</v>
      </c>
      <c r="I4158" s="9" t="s">
        <v>22</v>
      </c>
      <c r="J4158" s="10">
        <v>322.88</v>
      </c>
      <c r="K4158" s="11">
        <v>29.18</v>
      </c>
      <c r="L4158" s="11">
        <v>8.5500000000000007</v>
      </c>
      <c r="M4158" s="9" t="s">
        <v>1765</v>
      </c>
      <c r="N4158" s="6" t="s">
        <v>1123</v>
      </c>
      <c r="O4158" s="6" t="s">
        <v>1123</v>
      </c>
      <c r="P4158" s="9" t="s">
        <v>33</v>
      </c>
      <c r="Q4158" s="9" t="s">
        <v>49</v>
      </c>
      <c r="R4158" s="9" t="s">
        <v>50</v>
      </c>
      <c r="S4158" s="7" t="s">
        <v>608</v>
      </c>
      <c r="T4158" s="9" t="s">
        <v>39</v>
      </c>
      <c r="U4158" s="7">
        <v>0.42</v>
      </c>
      <c r="V4158" s="12">
        <f>C4158+2</f>
        <v>40553</v>
      </c>
      <c r="W4158">
        <f>IF(D4158=' Pivot Tables'!$A$4,1,0)</f>
        <v>0</v>
      </c>
      <c r="X4158">
        <f>IF(AND(LEFT(D4158,4)+1=LEFT(' Pivot Tables'!$A$4,4)+0,RIGHT(LEFT(D4158,7),2)=RIGHT(LEFT(' Pivot Tables'!$A$4,7),2)),1,0)</f>
        <v>0</v>
      </c>
      <c r="Y4158" s="6">
        <f>1/COUNTIF(Таблица1[Order ID],Таблица1[[#This Row],[Order ID]])</f>
        <v>0.33333333333333331</v>
      </c>
      <c r="Z4158" s="9">
        <f>1/COUNTIFS(Таблица1[Customer Name],Таблица1[[#This Row],[Customer Name]],Таблица1[Order-Year-Month],Таблица1[[#This Row],[Order-Year-Month]])</f>
        <v>0.33333333333333331</v>
      </c>
    </row>
    <row r="4159" spans="1:26" x14ac:dyDescent="0.2">
      <c r="A4159" s="6">
        <v>6520</v>
      </c>
      <c r="B4159" s="7">
        <v>46402</v>
      </c>
      <c r="C4159" s="8">
        <f>DATE(2012,12,31)-723</f>
        <v>40551</v>
      </c>
      <c r="D4159" s="8" t="str">
        <f t="shared" si="77"/>
        <v>2011-01 (январь 2011)</v>
      </c>
      <c r="E4159" s="9" t="s">
        <v>63</v>
      </c>
      <c r="F4159" s="7">
        <v>29</v>
      </c>
      <c r="G4159" s="7">
        <v>1777.4689999999998</v>
      </c>
      <c r="H4159" s="7">
        <v>0.01</v>
      </c>
      <c r="I4159" s="9" t="s">
        <v>22</v>
      </c>
      <c r="J4159" s="10">
        <v>166.36500000000001</v>
      </c>
      <c r="K4159" s="11">
        <v>66.989999999999995</v>
      </c>
      <c r="L4159" s="11">
        <v>13.99</v>
      </c>
      <c r="M4159" s="9" t="s">
        <v>1765</v>
      </c>
      <c r="N4159" s="6" t="s">
        <v>1123</v>
      </c>
      <c r="O4159" s="6" t="s">
        <v>1123</v>
      </c>
      <c r="P4159" s="9" t="s">
        <v>33</v>
      </c>
      <c r="Q4159" s="9" t="s">
        <v>42</v>
      </c>
      <c r="R4159" s="9" t="s">
        <v>43</v>
      </c>
      <c r="S4159" s="7" t="s">
        <v>743</v>
      </c>
      <c r="T4159" s="9" t="s">
        <v>48</v>
      </c>
      <c r="U4159" s="7">
        <v>0.6</v>
      </c>
      <c r="V4159" s="12">
        <f>C4159+1</f>
        <v>40552</v>
      </c>
      <c r="W4159">
        <f>IF(D4159=' Pivot Tables'!$A$4,1,0)</f>
        <v>0</v>
      </c>
      <c r="X4159">
        <f>IF(AND(LEFT(D4159,4)+1=LEFT(' Pivot Tables'!$A$4,4)+0,RIGHT(LEFT(D4159,7),2)=RIGHT(LEFT(' Pivot Tables'!$A$4,7),2)),1,0)</f>
        <v>0</v>
      </c>
      <c r="Y4159" s="6">
        <f>1/COUNTIF(Таблица1[Order ID],Таблица1[[#This Row],[Order ID]])</f>
        <v>0.33333333333333331</v>
      </c>
      <c r="Z4159" s="9">
        <f>1/COUNTIFS(Таблица1[Customer Name],Таблица1[[#This Row],[Customer Name]],Таблица1[Order-Year-Month],Таблица1[[#This Row],[Order-Year-Month]])</f>
        <v>0.33333333333333331</v>
      </c>
    </row>
    <row r="4160" spans="1:26" x14ac:dyDescent="0.2">
      <c r="A4160" s="6">
        <v>6521</v>
      </c>
      <c r="B4160" s="7">
        <v>46402</v>
      </c>
      <c r="C4160" s="8">
        <f>DATE(2012,12,31)-723</f>
        <v>40551</v>
      </c>
      <c r="D4160" s="8" t="str">
        <f t="shared" si="77"/>
        <v>2011-01 (январь 2011)</v>
      </c>
      <c r="E4160" s="9" t="s">
        <v>63</v>
      </c>
      <c r="F4160" s="7">
        <v>12</v>
      </c>
      <c r="G4160" s="7">
        <v>1219.1464999999998</v>
      </c>
      <c r="H4160" s="7">
        <v>0.01</v>
      </c>
      <c r="I4160" s="9" t="s">
        <v>56</v>
      </c>
      <c r="J4160" s="10">
        <v>52.929000000000002</v>
      </c>
      <c r="K4160" s="11">
        <v>115.99</v>
      </c>
      <c r="L4160" s="11">
        <v>2.5</v>
      </c>
      <c r="M4160" s="9" t="s">
        <v>1765</v>
      </c>
      <c r="N4160" s="6" t="s">
        <v>1123</v>
      </c>
      <c r="O4160" s="6" t="s">
        <v>1123</v>
      </c>
      <c r="P4160" s="9" t="s">
        <v>33</v>
      </c>
      <c r="Q4160" s="9" t="s">
        <v>42</v>
      </c>
      <c r="R4160" s="9" t="s">
        <v>43</v>
      </c>
      <c r="S4160" s="7" t="s">
        <v>1719</v>
      </c>
      <c r="T4160" s="9" t="s">
        <v>39</v>
      </c>
      <c r="U4160" s="7">
        <v>0.55000000000000004</v>
      </c>
      <c r="V4160" s="12">
        <f>C4160+1</f>
        <v>40552</v>
      </c>
      <c r="W4160">
        <f>IF(D4160=' Pivot Tables'!$A$4,1,0)</f>
        <v>0</v>
      </c>
      <c r="X4160">
        <f>IF(AND(LEFT(D4160,4)+1=LEFT(' Pivot Tables'!$A$4,4)+0,RIGHT(LEFT(D4160,7),2)=RIGHT(LEFT(' Pivot Tables'!$A$4,7),2)),1,0)</f>
        <v>0</v>
      </c>
      <c r="Y4160" s="6">
        <f>1/COUNTIF(Таблица1[Order ID],Таблица1[[#This Row],[Order ID]])</f>
        <v>0.33333333333333331</v>
      </c>
      <c r="Z4160" s="9">
        <f>1/COUNTIFS(Таблица1[Customer Name],Таблица1[[#This Row],[Customer Name]],Таблица1[Order-Year-Month],Таблица1[[#This Row],[Order-Year-Month]])</f>
        <v>0.33333333333333331</v>
      </c>
    </row>
    <row r="4161" spans="1:26" x14ac:dyDescent="0.2">
      <c r="A4161" s="6">
        <v>6522</v>
      </c>
      <c r="B4161" s="7">
        <v>46404</v>
      </c>
      <c r="C4161" s="8">
        <f>DATE(2012,12,31)-302</f>
        <v>40972</v>
      </c>
      <c r="D4161" s="8" t="str">
        <f t="shared" si="77"/>
        <v>2012-03 (март 2012)</v>
      </c>
      <c r="E4161" s="9" t="s">
        <v>78</v>
      </c>
      <c r="F4161" s="7">
        <v>50</v>
      </c>
      <c r="G4161" s="7">
        <v>1875.4144999999999</v>
      </c>
      <c r="H4161" s="7">
        <v>0.05</v>
      </c>
      <c r="I4161" s="9" t="s">
        <v>22</v>
      </c>
      <c r="J4161" s="10">
        <v>507.33</v>
      </c>
      <c r="K4161" s="11">
        <v>45.99</v>
      </c>
      <c r="L4161" s="11">
        <v>2.5</v>
      </c>
      <c r="M4161" s="9" t="s">
        <v>1725</v>
      </c>
      <c r="N4161" s="6" t="s">
        <v>1123</v>
      </c>
      <c r="O4161" s="6" t="s">
        <v>1123</v>
      </c>
      <c r="P4161" s="9" t="s">
        <v>25</v>
      </c>
      <c r="Q4161" s="9" t="s">
        <v>42</v>
      </c>
      <c r="R4161" s="9" t="s">
        <v>43</v>
      </c>
      <c r="S4161" s="7" t="s">
        <v>752</v>
      </c>
      <c r="T4161" s="9" t="s">
        <v>39</v>
      </c>
      <c r="U4161" s="7">
        <v>0.56000000000000005</v>
      </c>
      <c r="V4161" s="12">
        <f>C4161+1</f>
        <v>40973</v>
      </c>
      <c r="W4161">
        <f>IF(D4161=' Pivot Tables'!$A$4,1,0)</f>
        <v>0</v>
      </c>
      <c r="X4161">
        <f>IF(AND(LEFT(D4161,4)+1=LEFT(' Pivot Tables'!$A$4,4)+0,RIGHT(LEFT(D4161,7),2)=RIGHT(LEFT(' Pivot Tables'!$A$4,7),2)),1,0)</f>
        <v>0</v>
      </c>
      <c r="Y4161" s="6">
        <f>1/COUNTIF(Таблица1[Order ID],Таблица1[[#This Row],[Order ID]])</f>
        <v>1</v>
      </c>
      <c r="Z4161" s="9">
        <f>1/COUNTIFS(Таблица1[Customer Name],Таблица1[[#This Row],[Customer Name]],Таблица1[Order-Year-Month],Таблица1[[#This Row],[Order-Year-Month]])</f>
        <v>0.5</v>
      </c>
    </row>
    <row r="4162" spans="1:26" x14ac:dyDescent="0.2">
      <c r="A4162" s="6">
        <v>6528</v>
      </c>
      <c r="B4162" s="7">
        <v>46468</v>
      </c>
      <c r="C4162" s="8">
        <f>DATE(2012,12,31)-720</f>
        <v>40554</v>
      </c>
      <c r="D4162" s="8" t="str">
        <f t="shared" si="77"/>
        <v>2011-01 (январь 2011)</v>
      </c>
      <c r="E4162" s="9" t="s">
        <v>78</v>
      </c>
      <c r="F4162" s="7">
        <v>46</v>
      </c>
      <c r="G4162" s="7">
        <v>7535.96</v>
      </c>
      <c r="H4162" s="7">
        <v>0.08</v>
      </c>
      <c r="I4162" s="9" t="s">
        <v>22</v>
      </c>
      <c r="J4162" s="10">
        <v>2745.8654999999999</v>
      </c>
      <c r="K4162" s="11">
        <v>165.98</v>
      </c>
      <c r="L4162" s="11">
        <v>19.989999999999998</v>
      </c>
      <c r="M4162" s="9" t="s">
        <v>1744</v>
      </c>
      <c r="N4162" s="6" t="s">
        <v>1123</v>
      </c>
      <c r="O4162" s="6" t="s">
        <v>1123</v>
      </c>
      <c r="P4162" s="9" t="s">
        <v>60</v>
      </c>
      <c r="Q4162" s="9" t="s">
        <v>26</v>
      </c>
      <c r="R4162" s="9" t="s">
        <v>37</v>
      </c>
      <c r="S4162" s="7" t="s">
        <v>543</v>
      </c>
      <c r="T4162" s="9" t="s">
        <v>39</v>
      </c>
      <c r="U4162" s="7">
        <v>0.4</v>
      </c>
      <c r="V4162" s="12">
        <f>C4162+1</f>
        <v>40555</v>
      </c>
      <c r="W4162">
        <f>IF(D4162=' Pivot Tables'!$A$4,1,0)</f>
        <v>0</v>
      </c>
      <c r="X4162">
        <f>IF(AND(LEFT(D4162,4)+1=LEFT(' Pivot Tables'!$A$4,4)+0,RIGHT(LEFT(D4162,7),2)=RIGHT(LEFT(' Pivot Tables'!$A$4,7),2)),1,0)</f>
        <v>0</v>
      </c>
      <c r="Y4162" s="6">
        <f>1/COUNTIF(Таблица1[Order ID],Таблица1[[#This Row],[Order ID]])</f>
        <v>0.33333333333333331</v>
      </c>
      <c r="Z4162" s="9">
        <f>1/COUNTIFS(Таблица1[Customer Name],Таблица1[[#This Row],[Customer Name]],Таблица1[Order-Year-Month],Таблица1[[#This Row],[Order-Year-Month]])</f>
        <v>0.33333333333333331</v>
      </c>
    </row>
    <row r="4163" spans="1:26" x14ac:dyDescent="0.2">
      <c r="A4163" s="6">
        <v>6529</v>
      </c>
      <c r="B4163" s="7">
        <v>46468</v>
      </c>
      <c r="C4163" s="8">
        <f>DATE(2012,12,31)-720</f>
        <v>40554</v>
      </c>
      <c r="D4163" s="8" t="str">
        <f t="shared" ref="D4163:D4226" si="78">TEXT(C4163,"гггг-ММ (ММММ гггг)")</f>
        <v>2011-01 (январь 2011)</v>
      </c>
      <c r="E4163" s="9" t="s">
        <v>78</v>
      </c>
      <c r="F4163" s="7">
        <v>41</v>
      </c>
      <c r="G4163" s="7">
        <v>1618.31</v>
      </c>
      <c r="H4163" s="7">
        <v>0.08</v>
      </c>
      <c r="I4163" s="9" t="s">
        <v>56</v>
      </c>
      <c r="J4163" s="10">
        <v>504.71</v>
      </c>
      <c r="K4163" s="11">
        <v>39.479999999999997</v>
      </c>
      <c r="L4163" s="11">
        <v>1.99</v>
      </c>
      <c r="M4163" s="9" t="s">
        <v>1744</v>
      </c>
      <c r="N4163" s="6" t="s">
        <v>1123</v>
      </c>
      <c r="O4163" s="6" t="s">
        <v>1123</v>
      </c>
      <c r="P4163" s="9" t="s">
        <v>60</v>
      </c>
      <c r="Q4163" s="9" t="s">
        <v>42</v>
      </c>
      <c r="R4163" s="9" t="s">
        <v>70</v>
      </c>
      <c r="S4163" s="7" t="s">
        <v>161</v>
      </c>
      <c r="T4163" s="9" t="s">
        <v>52</v>
      </c>
      <c r="U4163" s="7">
        <v>0.54</v>
      </c>
      <c r="V4163" s="12">
        <f>C4163+2</f>
        <v>40556</v>
      </c>
      <c r="W4163">
        <f>IF(D4163=' Pivot Tables'!$A$4,1,0)</f>
        <v>0</v>
      </c>
      <c r="X4163">
        <f>IF(AND(LEFT(D4163,4)+1=LEFT(' Pivot Tables'!$A$4,4)+0,RIGHT(LEFT(D4163,7),2)=RIGHT(LEFT(' Pivot Tables'!$A$4,7),2)),1,0)</f>
        <v>0</v>
      </c>
      <c r="Y4163" s="6">
        <f>1/COUNTIF(Таблица1[Order ID],Таблица1[[#This Row],[Order ID]])</f>
        <v>0.33333333333333331</v>
      </c>
      <c r="Z4163" s="9">
        <f>1/COUNTIFS(Таблица1[Customer Name],Таблица1[[#This Row],[Customer Name]],Таблица1[Order-Year-Month],Таблица1[[#This Row],[Order-Year-Month]])</f>
        <v>0.33333333333333331</v>
      </c>
    </row>
    <row r="4164" spans="1:26" x14ac:dyDescent="0.2">
      <c r="A4164" s="6">
        <v>6530</v>
      </c>
      <c r="B4164" s="7">
        <v>46468</v>
      </c>
      <c r="C4164" s="8">
        <f>DATE(2012,12,31)-720</f>
        <v>40554</v>
      </c>
      <c r="D4164" s="8" t="str">
        <f t="shared" si="78"/>
        <v>2011-01 (январь 2011)</v>
      </c>
      <c r="E4164" s="9" t="s">
        <v>78</v>
      </c>
      <c r="F4164" s="7">
        <v>1</v>
      </c>
      <c r="G4164" s="7">
        <v>11.87</v>
      </c>
      <c r="H4164" s="7">
        <v>0.04</v>
      </c>
      <c r="I4164" s="9" t="s">
        <v>22</v>
      </c>
      <c r="J4164" s="10">
        <v>-8.89</v>
      </c>
      <c r="K4164" s="11">
        <v>6.48</v>
      </c>
      <c r="L4164" s="11">
        <v>5.4</v>
      </c>
      <c r="M4164" s="9" t="s">
        <v>1744</v>
      </c>
      <c r="N4164" s="6" t="s">
        <v>1123</v>
      </c>
      <c r="O4164" s="6" t="s">
        <v>1123</v>
      </c>
      <c r="P4164" s="9" t="s">
        <v>60</v>
      </c>
      <c r="Q4164" s="9" t="s">
        <v>26</v>
      </c>
      <c r="R4164" s="9" t="s">
        <v>61</v>
      </c>
      <c r="S4164" s="7" t="s">
        <v>1732</v>
      </c>
      <c r="T4164" s="9" t="s">
        <v>39</v>
      </c>
      <c r="U4164" s="7">
        <v>0.37</v>
      </c>
      <c r="V4164" s="12">
        <f>C4164+2</f>
        <v>40556</v>
      </c>
      <c r="W4164">
        <f>IF(D4164=' Pivot Tables'!$A$4,1,0)</f>
        <v>0</v>
      </c>
      <c r="X4164">
        <f>IF(AND(LEFT(D4164,4)+1=LEFT(' Pivot Tables'!$A$4,4)+0,RIGHT(LEFT(D4164,7),2)=RIGHT(LEFT(' Pivot Tables'!$A$4,7),2)),1,0)</f>
        <v>0</v>
      </c>
      <c r="Y4164" s="6">
        <f>1/COUNTIF(Таблица1[Order ID],Таблица1[[#This Row],[Order ID]])</f>
        <v>0.33333333333333331</v>
      </c>
      <c r="Z4164" s="9">
        <f>1/COUNTIFS(Таблица1[Customer Name],Таблица1[[#This Row],[Customer Name]],Таблица1[Order-Year-Month],Таблица1[[#This Row],[Order-Year-Month]])</f>
        <v>0.33333333333333331</v>
      </c>
    </row>
    <row r="4165" spans="1:26" x14ac:dyDescent="0.2">
      <c r="A4165" s="6">
        <v>6533</v>
      </c>
      <c r="B4165" s="7">
        <v>46497</v>
      </c>
      <c r="C4165" s="8">
        <f>DATE(2012,12,31)-195</f>
        <v>41079</v>
      </c>
      <c r="D4165" s="8" t="str">
        <f t="shared" si="78"/>
        <v>2012-06 (июнь 2012)</v>
      </c>
      <c r="E4165" s="9" t="s">
        <v>30</v>
      </c>
      <c r="F4165" s="7">
        <v>30</v>
      </c>
      <c r="G4165" s="7">
        <v>630.54</v>
      </c>
      <c r="H4165" s="7">
        <v>0.03</v>
      </c>
      <c r="I4165" s="9" t="s">
        <v>22</v>
      </c>
      <c r="J4165" s="10">
        <v>-30.07</v>
      </c>
      <c r="K4165" s="11">
        <v>20.149999999999999</v>
      </c>
      <c r="L4165" s="11">
        <v>8.99</v>
      </c>
      <c r="M4165" s="9" t="s">
        <v>1730</v>
      </c>
      <c r="N4165" s="6" t="s">
        <v>1123</v>
      </c>
      <c r="O4165" s="6" t="s">
        <v>1123</v>
      </c>
      <c r="P4165" s="9" t="s">
        <v>41</v>
      </c>
      <c r="Q4165" s="9" t="s">
        <v>26</v>
      </c>
      <c r="R4165" s="9" t="s">
        <v>95</v>
      </c>
      <c r="S4165" s="7" t="s">
        <v>634</v>
      </c>
      <c r="T4165" s="9" t="s">
        <v>52</v>
      </c>
      <c r="U4165" s="7">
        <v>0.57999999999999996</v>
      </c>
      <c r="V4165" s="12">
        <f>C4165+1</f>
        <v>41080</v>
      </c>
      <c r="W4165">
        <f>IF(D4165=' Pivot Tables'!$A$4,1,0)</f>
        <v>0</v>
      </c>
      <c r="X4165">
        <f>IF(AND(LEFT(D4165,4)+1=LEFT(' Pivot Tables'!$A$4,4)+0,RIGHT(LEFT(D4165,7),2)=RIGHT(LEFT(' Pivot Tables'!$A$4,7),2)),1,0)</f>
        <v>0</v>
      </c>
      <c r="Y4165" s="6">
        <f>1/COUNTIF(Таблица1[Order ID],Таблица1[[#This Row],[Order ID]])</f>
        <v>1</v>
      </c>
      <c r="Z4165" s="9">
        <f>1/COUNTIFS(Таблица1[Customer Name],Таблица1[[#This Row],[Customer Name]],Таблица1[Order-Year-Month],Таблица1[[#This Row],[Order-Year-Month]])</f>
        <v>1</v>
      </c>
    </row>
    <row r="4166" spans="1:26" x14ac:dyDescent="0.2">
      <c r="A4166" s="6">
        <v>6651</v>
      </c>
      <c r="B4166" s="7">
        <v>47303</v>
      </c>
      <c r="C4166" s="8">
        <f>DATE(2012,12,31)-392</f>
        <v>40882</v>
      </c>
      <c r="D4166" s="8" t="str">
        <f t="shared" si="78"/>
        <v>2011-12 (декабрь 2011)</v>
      </c>
      <c r="E4166" s="9" t="s">
        <v>63</v>
      </c>
      <c r="F4166" s="7">
        <v>47</v>
      </c>
      <c r="G4166" s="7">
        <v>1413.82</v>
      </c>
      <c r="H4166" s="7">
        <v>0.1</v>
      </c>
      <c r="I4166" s="9" t="s">
        <v>22</v>
      </c>
      <c r="J4166" s="10">
        <v>226.5335</v>
      </c>
      <c r="K4166" s="11">
        <v>30.98</v>
      </c>
      <c r="L4166" s="11">
        <v>11.63</v>
      </c>
      <c r="M4166" s="9" t="s">
        <v>1735</v>
      </c>
      <c r="N4166" s="6" t="s">
        <v>1123</v>
      </c>
      <c r="O4166" s="6" t="s">
        <v>1123</v>
      </c>
      <c r="P4166" s="9" t="s">
        <v>41</v>
      </c>
      <c r="Q4166" s="9" t="s">
        <v>26</v>
      </c>
      <c r="R4166" s="9" t="s">
        <v>37</v>
      </c>
      <c r="S4166" s="7" t="s">
        <v>228</v>
      </c>
      <c r="T4166" s="9" t="s">
        <v>39</v>
      </c>
      <c r="U4166" s="7">
        <v>0.37</v>
      </c>
      <c r="V4166" s="12">
        <f>C4166+1</f>
        <v>40883</v>
      </c>
      <c r="W4166">
        <f>IF(D4166=' Pivot Tables'!$A$4,1,0)</f>
        <v>0</v>
      </c>
      <c r="X4166">
        <f>IF(AND(LEFT(D4166,4)+1=LEFT(' Pivot Tables'!$A$4,4)+0,RIGHT(LEFT(D4166,7),2)=RIGHT(LEFT(' Pivot Tables'!$A$4,7),2)),1,0)</f>
        <v>0</v>
      </c>
      <c r="Y4166" s="6">
        <f>1/COUNTIF(Таблица1[Order ID],Таблица1[[#This Row],[Order ID]])</f>
        <v>0.33333333333333331</v>
      </c>
      <c r="Z4166" s="9">
        <f>1/COUNTIFS(Таблица1[Customer Name],Таблица1[[#This Row],[Customer Name]],Таблица1[Order-Year-Month],Таблица1[[#This Row],[Order-Year-Month]])</f>
        <v>0.33333333333333331</v>
      </c>
    </row>
    <row r="4167" spans="1:26" x14ac:dyDescent="0.2">
      <c r="A4167" s="6">
        <v>6652</v>
      </c>
      <c r="B4167" s="7">
        <v>47303</v>
      </c>
      <c r="C4167" s="8">
        <f>DATE(2012,12,31)-392</f>
        <v>40882</v>
      </c>
      <c r="D4167" s="8" t="str">
        <f t="shared" si="78"/>
        <v>2011-12 (декабрь 2011)</v>
      </c>
      <c r="E4167" s="9" t="s">
        <v>63</v>
      </c>
      <c r="F4167" s="7">
        <v>7</v>
      </c>
      <c r="G4167" s="7">
        <v>56.9</v>
      </c>
      <c r="H4167" s="7">
        <v>0.03</v>
      </c>
      <c r="I4167" s="9" t="s">
        <v>22</v>
      </c>
      <c r="J4167" s="10">
        <v>12.64</v>
      </c>
      <c r="K4167" s="11">
        <v>7.64</v>
      </c>
      <c r="L4167" s="11">
        <v>1.39</v>
      </c>
      <c r="M4167" s="9" t="s">
        <v>1735</v>
      </c>
      <c r="N4167" s="6" t="s">
        <v>1123</v>
      </c>
      <c r="O4167" s="6" t="s">
        <v>1123</v>
      </c>
      <c r="P4167" s="9" t="s">
        <v>41</v>
      </c>
      <c r="Q4167" s="9" t="s">
        <v>26</v>
      </c>
      <c r="R4167" s="9" t="s">
        <v>76</v>
      </c>
      <c r="S4167" s="7" t="s">
        <v>297</v>
      </c>
      <c r="T4167" s="9" t="s">
        <v>39</v>
      </c>
      <c r="U4167" s="7">
        <v>0.36</v>
      </c>
      <c r="V4167" s="12">
        <f>C4167+1</f>
        <v>40883</v>
      </c>
      <c r="W4167">
        <f>IF(D4167=' Pivot Tables'!$A$4,1,0)</f>
        <v>0</v>
      </c>
      <c r="X4167">
        <f>IF(AND(LEFT(D4167,4)+1=LEFT(' Pivot Tables'!$A$4,4)+0,RIGHT(LEFT(D4167,7),2)=RIGHT(LEFT(' Pivot Tables'!$A$4,7),2)),1,0)</f>
        <v>0</v>
      </c>
      <c r="Y4167" s="6">
        <f>1/COUNTIF(Таблица1[Order ID],Таблица1[[#This Row],[Order ID]])</f>
        <v>0.33333333333333331</v>
      </c>
      <c r="Z4167" s="9">
        <f>1/COUNTIFS(Таблица1[Customer Name],Таблица1[[#This Row],[Customer Name]],Таблица1[Order-Year-Month],Таблица1[[#This Row],[Order-Year-Month]])</f>
        <v>0.33333333333333331</v>
      </c>
    </row>
    <row r="4168" spans="1:26" x14ac:dyDescent="0.2">
      <c r="A4168" s="6">
        <v>6653</v>
      </c>
      <c r="B4168" s="7">
        <v>47303</v>
      </c>
      <c r="C4168" s="8">
        <f>DATE(2012,12,31)-392</f>
        <v>40882</v>
      </c>
      <c r="D4168" s="8" t="str">
        <f t="shared" si="78"/>
        <v>2011-12 (декабрь 2011)</v>
      </c>
      <c r="E4168" s="9" t="s">
        <v>63</v>
      </c>
      <c r="F4168" s="7">
        <v>45</v>
      </c>
      <c r="G4168" s="7">
        <v>308.92</v>
      </c>
      <c r="H4168" s="7">
        <v>0.04</v>
      </c>
      <c r="I4168" s="9" t="s">
        <v>56</v>
      </c>
      <c r="J4168" s="10">
        <v>-143.58000000000001</v>
      </c>
      <c r="K4168" s="11">
        <v>6.48</v>
      </c>
      <c r="L4168" s="11">
        <v>7.37</v>
      </c>
      <c r="M4168" s="9" t="s">
        <v>1735</v>
      </c>
      <c r="N4168" s="6" t="s">
        <v>1123</v>
      </c>
      <c r="O4168" s="6" t="s">
        <v>1123</v>
      </c>
      <c r="P4168" s="9" t="s">
        <v>41</v>
      </c>
      <c r="Q4168" s="9" t="s">
        <v>26</v>
      </c>
      <c r="R4168" s="9" t="s">
        <v>61</v>
      </c>
      <c r="S4168" s="7" t="s">
        <v>859</v>
      </c>
      <c r="T4168" s="9" t="s">
        <v>39</v>
      </c>
      <c r="U4168" s="7">
        <v>0.37</v>
      </c>
      <c r="V4168" s="12">
        <f>C4168+2</f>
        <v>40884</v>
      </c>
      <c r="W4168">
        <f>IF(D4168=' Pivot Tables'!$A$4,1,0)</f>
        <v>0</v>
      </c>
      <c r="X4168">
        <f>IF(AND(LEFT(D4168,4)+1=LEFT(' Pivot Tables'!$A$4,4)+0,RIGHT(LEFT(D4168,7),2)=RIGHT(LEFT(' Pivot Tables'!$A$4,7),2)),1,0)</f>
        <v>0</v>
      </c>
      <c r="Y4168" s="6">
        <f>1/COUNTIF(Таблица1[Order ID],Таблица1[[#This Row],[Order ID]])</f>
        <v>0.33333333333333331</v>
      </c>
      <c r="Z4168" s="9">
        <f>1/COUNTIFS(Таблица1[Customer Name],Таблица1[[#This Row],[Customer Name]],Таблица1[Order-Year-Month],Таблица1[[#This Row],[Order-Year-Month]])</f>
        <v>0.33333333333333331</v>
      </c>
    </row>
    <row r="4169" spans="1:26" x14ac:dyDescent="0.2">
      <c r="A4169" s="6">
        <v>6672</v>
      </c>
      <c r="B4169" s="7">
        <v>47492</v>
      </c>
      <c r="C4169" s="8">
        <f>DATE(2012,12,31)-527</f>
        <v>40747</v>
      </c>
      <c r="D4169" s="8" t="str">
        <f t="shared" si="78"/>
        <v>2011-07 (июль 2011)</v>
      </c>
      <c r="E4169" s="9" t="s">
        <v>30</v>
      </c>
      <c r="F4169" s="7">
        <v>22</v>
      </c>
      <c r="G4169" s="7">
        <v>649.71</v>
      </c>
      <c r="H4169" s="7">
        <v>7.0000000000000007E-2</v>
      </c>
      <c r="I4169" s="9" t="s">
        <v>22</v>
      </c>
      <c r="J4169" s="10">
        <v>-157.51</v>
      </c>
      <c r="K4169" s="11">
        <v>30.42</v>
      </c>
      <c r="L4169" s="11">
        <v>8.65</v>
      </c>
      <c r="M4169" s="9" t="s">
        <v>1736</v>
      </c>
      <c r="N4169" s="6" t="s">
        <v>1123</v>
      </c>
      <c r="O4169" s="6" t="s">
        <v>1123</v>
      </c>
      <c r="P4169" s="9" t="s">
        <v>41</v>
      </c>
      <c r="Q4169" s="9" t="s">
        <v>42</v>
      </c>
      <c r="R4169" s="9" t="s">
        <v>70</v>
      </c>
      <c r="S4169" s="7" t="s">
        <v>374</v>
      </c>
      <c r="T4169" s="9" t="s">
        <v>39</v>
      </c>
      <c r="U4169" s="7">
        <v>0.74</v>
      </c>
      <c r="V4169" s="12">
        <f>C4169+2</f>
        <v>40749</v>
      </c>
      <c r="W4169">
        <f>IF(D4169=' Pivot Tables'!$A$4,1,0)</f>
        <v>0</v>
      </c>
      <c r="X4169">
        <f>IF(AND(LEFT(D4169,4)+1=LEFT(' Pivot Tables'!$A$4,4)+0,RIGHT(LEFT(D4169,7),2)=RIGHT(LEFT(' Pivot Tables'!$A$4,7),2)),1,0)</f>
        <v>0</v>
      </c>
      <c r="Y4169" s="6">
        <f>1/COUNTIF(Таблица1[Order ID],Таблица1[[#This Row],[Order ID]])</f>
        <v>1</v>
      </c>
      <c r="Z4169" s="9">
        <f>1/COUNTIFS(Таблица1[Customer Name],Таблица1[[#This Row],[Customer Name]],Таблица1[Order-Year-Month],Таблица1[[#This Row],[Order-Year-Month]])</f>
        <v>1</v>
      </c>
    </row>
    <row r="4170" spans="1:26" x14ac:dyDescent="0.2">
      <c r="A4170" s="6">
        <v>6695</v>
      </c>
      <c r="B4170" s="7">
        <v>47682</v>
      </c>
      <c r="C4170" s="8">
        <f>DATE(2012,12,31)-45</f>
        <v>41229</v>
      </c>
      <c r="D4170" s="8" t="str">
        <f t="shared" si="78"/>
        <v>2012-11 (ноябрь 2012)</v>
      </c>
      <c r="E4170" s="9" t="s">
        <v>45</v>
      </c>
      <c r="F4170" s="7">
        <v>38</v>
      </c>
      <c r="G4170" s="7">
        <v>3191.24</v>
      </c>
      <c r="H4170" s="7">
        <v>0</v>
      </c>
      <c r="I4170" s="9" t="s">
        <v>22</v>
      </c>
      <c r="J4170" s="10">
        <v>1620.23</v>
      </c>
      <c r="K4170" s="11">
        <v>83.98</v>
      </c>
      <c r="L4170" s="11">
        <v>5.01</v>
      </c>
      <c r="M4170" s="9" t="s">
        <v>1733</v>
      </c>
      <c r="N4170" s="6" t="s">
        <v>1123</v>
      </c>
      <c r="O4170" s="6" t="s">
        <v>1123</v>
      </c>
      <c r="P4170" s="9" t="s">
        <v>25</v>
      </c>
      <c r="Q4170" s="9" t="s">
        <v>26</v>
      </c>
      <c r="R4170" s="9" t="s">
        <v>76</v>
      </c>
      <c r="S4170" s="7" t="s">
        <v>955</v>
      </c>
      <c r="T4170" s="9" t="s">
        <v>39</v>
      </c>
      <c r="U4170" s="7">
        <v>0.38</v>
      </c>
      <c r="V4170" s="12">
        <f>C4170+1</f>
        <v>41230</v>
      </c>
      <c r="W4170">
        <f>IF(D4170=' Pivot Tables'!$A$4,1,0)</f>
        <v>0</v>
      </c>
      <c r="X4170">
        <f>IF(AND(LEFT(D4170,4)+1=LEFT(' Pivot Tables'!$A$4,4)+0,RIGHT(LEFT(D4170,7),2)=RIGHT(LEFT(' Pivot Tables'!$A$4,7),2)),1,0)</f>
        <v>0</v>
      </c>
      <c r="Y4170" s="6">
        <f>1/COUNTIF(Таблица1[Order ID],Таблица1[[#This Row],[Order ID]])</f>
        <v>1</v>
      </c>
      <c r="Z4170" s="9">
        <f>1/COUNTIFS(Таблица1[Customer Name],Таблица1[[#This Row],[Customer Name]],Таблица1[Order-Year-Month],Таблица1[[#This Row],[Order-Year-Month]])</f>
        <v>1</v>
      </c>
    </row>
    <row r="4171" spans="1:26" x14ac:dyDescent="0.2">
      <c r="A4171" s="6">
        <v>6807</v>
      </c>
      <c r="B4171" s="7">
        <v>48483</v>
      </c>
      <c r="C4171" s="8">
        <f>DATE(2012,12,31)-1117</f>
        <v>40157</v>
      </c>
      <c r="D4171" s="8" t="str">
        <f t="shared" si="78"/>
        <v>2009-12 (декабрь 2009)</v>
      </c>
      <c r="E4171" s="9" t="s">
        <v>78</v>
      </c>
      <c r="F4171" s="7">
        <v>18</v>
      </c>
      <c r="G4171" s="7">
        <v>47.55</v>
      </c>
      <c r="H4171" s="7">
        <v>0</v>
      </c>
      <c r="I4171" s="9" t="s">
        <v>56</v>
      </c>
      <c r="J4171" s="10">
        <v>10.01</v>
      </c>
      <c r="K4171" s="11">
        <v>2.21</v>
      </c>
      <c r="L4171" s="11">
        <v>1</v>
      </c>
      <c r="M4171" s="9" t="s">
        <v>1733</v>
      </c>
      <c r="N4171" s="6" t="s">
        <v>1123</v>
      </c>
      <c r="O4171" s="6" t="s">
        <v>1123</v>
      </c>
      <c r="P4171" s="9" t="s">
        <v>25</v>
      </c>
      <c r="Q4171" s="9" t="s">
        <v>26</v>
      </c>
      <c r="R4171" s="9" t="s">
        <v>95</v>
      </c>
      <c r="S4171" s="7" t="s">
        <v>1737</v>
      </c>
      <c r="T4171" s="9" t="s">
        <v>68</v>
      </c>
      <c r="U4171" s="7">
        <v>0.38</v>
      </c>
      <c r="V4171" s="12">
        <f>C4171+1</f>
        <v>40158</v>
      </c>
      <c r="W4171">
        <f>IF(D4171=' Pivot Tables'!$A$4,1,0)</f>
        <v>0</v>
      </c>
      <c r="X4171">
        <f>IF(AND(LEFT(D4171,4)+1=LEFT(' Pivot Tables'!$A$4,4)+0,RIGHT(LEFT(D4171,7),2)=RIGHT(LEFT(' Pivot Tables'!$A$4,7),2)),1,0)</f>
        <v>0</v>
      </c>
      <c r="Y4171" s="6">
        <f>1/COUNTIF(Таблица1[Order ID],Таблица1[[#This Row],[Order ID]])</f>
        <v>1</v>
      </c>
      <c r="Z4171" s="9">
        <f>1/COUNTIFS(Таблица1[Customer Name],Таблица1[[#This Row],[Customer Name]],Таблица1[Order-Year-Month],Таблица1[[#This Row],[Order-Year-Month]])</f>
        <v>1</v>
      </c>
    </row>
    <row r="4172" spans="1:26" x14ac:dyDescent="0.2">
      <c r="A4172" s="6">
        <v>6871</v>
      </c>
      <c r="B4172" s="7">
        <v>48961</v>
      </c>
      <c r="C4172" s="8">
        <f>DATE(2012,12,31)-1259</f>
        <v>40015</v>
      </c>
      <c r="D4172" s="8" t="str">
        <f t="shared" si="78"/>
        <v>2009-07 (июль 2009)</v>
      </c>
      <c r="E4172" s="9" t="s">
        <v>45</v>
      </c>
      <c r="F4172" s="7">
        <v>24</v>
      </c>
      <c r="G4172" s="7">
        <v>520.67999999999995</v>
      </c>
      <c r="H4172" s="7">
        <v>0.09</v>
      </c>
      <c r="I4172" s="9" t="s">
        <v>22</v>
      </c>
      <c r="J4172" s="10">
        <v>-143.66</v>
      </c>
      <c r="K4172" s="11">
        <v>22.84</v>
      </c>
      <c r="L4172" s="11">
        <v>16.87</v>
      </c>
      <c r="M4172" s="9" t="s">
        <v>1725</v>
      </c>
      <c r="N4172" s="6" t="s">
        <v>1123</v>
      </c>
      <c r="O4172" s="6" t="s">
        <v>1123</v>
      </c>
      <c r="P4172" s="9" t="s">
        <v>25</v>
      </c>
      <c r="Q4172" s="9" t="s">
        <v>26</v>
      </c>
      <c r="R4172" s="9" t="s">
        <v>61</v>
      </c>
      <c r="S4172" s="7" t="s">
        <v>258</v>
      </c>
      <c r="T4172" s="9" t="s">
        <v>39</v>
      </c>
      <c r="U4172" s="7">
        <v>0.39</v>
      </c>
      <c r="V4172" s="12">
        <f>C4172+2</f>
        <v>40017</v>
      </c>
      <c r="W4172">
        <f>IF(D4172=' Pivot Tables'!$A$4,1,0)</f>
        <v>0</v>
      </c>
      <c r="X4172">
        <f>IF(AND(LEFT(D4172,4)+1=LEFT(' Pivot Tables'!$A$4,4)+0,RIGHT(LEFT(D4172,7),2)=RIGHT(LEFT(' Pivot Tables'!$A$4,7),2)),1,0)</f>
        <v>0</v>
      </c>
      <c r="Y4172" s="6">
        <f>1/COUNTIF(Таблица1[Order ID],Таблица1[[#This Row],[Order ID]])</f>
        <v>0.5</v>
      </c>
      <c r="Z4172" s="9">
        <f>1/COUNTIFS(Таблица1[Customer Name],Таблица1[[#This Row],[Customer Name]],Таблица1[Order-Year-Month],Таблица1[[#This Row],[Order-Year-Month]])</f>
        <v>0.5</v>
      </c>
    </row>
    <row r="4173" spans="1:26" x14ac:dyDescent="0.2">
      <c r="A4173" s="6">
        <v>6872</v>
      </c>
      <c r="B4173" s="7">
        <v>48961</v>
      </c>
      <c r="C4173" s="8">
        <f>DATE(2012,12,31)-1259</f>
        <v>40015</v>
      </c>
      <c r="D4173" s="8" t="str">
        <f t="shared" si="78"/>
        <v>2009-07 (июль 2009)</v>
      </c>
      <c r="E4173" s="9" t="s">
        <v>45</v>
      </c>
      <c r="F4173" s="7">
        <v>25</v>
      </c>
      <c r="G4173" s="7">
        <v>358.78</v>
      </c>
      <c r="H4173" s="7">
        <v>0.1</v>
      </c>
      <c r="I4173" s="9" t="s">
        <v>56</v>
      </c>
      <c r="J4173" s="10">
        <v>-76.900000000000006</v>
      </c>
      <c r="K4173" s="11">
        <v>14.98</v>
      </c>
      <c r="L4173" s="11">
        <v>7.69</v>
      </c>
      <c r="M4173" s="9" t="s">
        <v>1725</v>
      </c>
      <c r="N4173" s="6" t="s">
        <v>1123</v>
      </c>
      <c r="O4173" s="6" t="s">
        <v>1123</v>
      </c>
      <c r="P4173" s="9" t="s">
        <v>25</v>
      </c>
      <c r="Q4173" s="9" t="s">
        <v>26</v>
      </c>
      <c r="R4173" s="9" t="s">
        <v>27</v>
      </c>
      <c r="S4173" s="7" t="s">
        <v>1240</v>
      </c>
      <c r="T4173" s="9" t="s">
        <v>39</v>
      </c>
      <c r="U4173" s="7">
        <v>0.56999999999999995</v>
      </c>
      <c r="V4173" s="12">
        <f>C4173+2</f>
        <v>40017</v>
      </c>
      <c r="W4173">
        <f>IF(D4173=' Pivot Tables'!$A$4,1,0)</f>
        <v>0</v>
      </c>
      <c r="X4173">
        <f>IF(AND(LEFT(D4173,4)+1=LEFT(' Pivot Tables'!$A$4,4)+0,RIGHT(LEFT(D4173,7),2)=RIGHT(LEFT(' Pivot Tables'!$A$4,7),2)),1,0)</f>
        <v>0</v>
      </c>
      <c r="Y4173" s="6">
        <f>1/COUNTIF(Таблица1[Order ID],Таблица1[[#This Row],[Order ID]])</f>
        <v>0.5</v>
      </c>
      <c r="Z4173" s="9">
        <f>1/COUNTIFS(Таблица1[Customer Name],Таблица1[[#This Row],[Customer Name]],Таблица1[Order-Year-Month],Таблица1[[#This Row],[Order-Year-Month]])</f>
        <v>0.5</v>
      </c>
    </row>
    <row r="4174" spans="1:26" x14ac:dyDescent="0.2">
      <c r="A4174" s="6">
        <v>6921</v>
      </c>
      <c r="B4174" s="7">
        <v>49350</v>
      </c>
      <c r="C4174" s="8">
        <f>DATE(2012,12,31)-131</f>
        <v>41143</v>
      </c>
      <c r="D4174" s="8" t="str">
        <f t="shared" si="78"/>
        <v>2012-08 (август 2012)</v>
      </c>
      <c r="E4174" s="9" t="s">
        <v>30</v>
      </c>
      <c r="F4174" s="7">
        <v>50</v>
      </c>
      <c r="G4174" s="7">
        <v>375.11</v>
      </c>
      <c r="H4174" s="7">
        <v>0.01</v>
      </c>
      <c r="I4174" s="9" t="s">
        <v>22</v>
      </c>
      <c r="J4174" s="10">
        <v>-331.63</v>
      </c>
      <c r="K4174" s="11">
        <v>7.28</v>
      </c>
      <c r="L4174" s="11">
        <v>11.15</v>
      </c>
      <c r="M4174" s="9" t="s">
        <v>1751</v>
      </c>
      <c r="N4174" s="6" t="s">
        <v>1123</v>
      </c>
      <c r="O4174" s="6" t="s">
        <v>1123</v>
      </c>
      <c r="P4174" s="9" t="s">
        <v>25</v>
      </c>
      <c r="Q4174" s="9" t="s">
        <v>26</v>
      </c>
      <c r="R4174" s="9" t="s">
        <v>61</v>
      </c>
      <c r="S4174" s="7" t="s">
        <v>666</v>
      </c>
      <c r="T4174" s="9" t="s">
        <v>39</v>
      </c>
      <c r="U4174" s="7">
        <v>0.37</v>
      </c>
      <c r="V4174" s="12">
        <f>C4174+2</f>
        <v>41145</v>
      </c>
      <c r="W4174">
        <f>IF(D4174=' Pivot Tables'!$A$4,1,0)</f>
        <v>0</v>
      </c>
      <c r="X4174">
        <f>IF(AND(LEFT(D4174,4)+1=LEFT(' Pivot Tables'!$A$4,4)+0,RIGHT(LEFT(D4174,7),2)=RIGHT(LEFT(' Pivot Tables'!$A$4,7),2)),1,0)</f>
        <v>0</v>
      </c>
      <c r="Y4174" s="6">
        <f>1/COUNTIF(Таблица1[Order ID],Таблица1[[#This Row],[Order ID]])</f>
        <v>1</v>
      </c>
      <c r="Z4174" s="9">
        <f>1/COUNTIFS(Таблица1[Customer Name],Таблица1[[#This Row],[Customer Name]],Таблица1[Order-Year-Month],Таблица1[[#This Row],[Order-Year-Month]])</f>
        <v>1</v>
      </c>
    </row>
    <row r="4175" spans="1:26" x14ac:dyDescent="0.2">
      <c r="A4175" s="6">
        <v>6936</v>
      </c>
      <c r="B4175" s="7">
        <v>49505</v>
      </c>
      <c r="C4175" s="8">
        <f>DATE(2012,12,31)-1440</f>
        <v>39834</v>
      </c>
      <c r="D4175" s="8" t="str">
        <f t="shared" si="78"/>
        <v>2009-01 (январь 2009)</v>
      </c>
      <c r="E4175" s="9" t="s">
        <v>78</v>
      </c>
      <c r="F4175" s="7">
        <v>12</v>
      </c>
      <c r="G4175" s="7">
        <v>97.74</v>
      </c>
      <c r="H4175" s="7">
        <v>0.04</v>
      </c>
      <c r="I4175" s="9" t="s">
        <v>22</v>
      </c>
      <c r="J4175" s="10">
        <v>-8.4984999999999999</v>
      </c>
      <c r="K4175" s="11">
        <v>7.84</v>
      </c>
      <c r="L4175" s="11">
        <v>4.71</v>
      </c>
      <c r="M4175" s="9" t="s">
        <v>1724</v>
      </c>
      <c r="N4175" s="6" t="s">
        <v>1123</v>
      </c>
      <c r="O4175" s="6" t="s">
        <v>1123</v>
      </c>
      <c r="P4175" s="9" t="s">
        <v>60</v>
      </c>
      <c r="Q4175" s="9" t="s">
        <v>26</v>
      </c>
      <c r="R4175" s="9" t="s">
        <v>37</v>
      </c>
      <c r="S4175" s="7" t="s">
        <v>121</v>
      </c>
      <c r="T4175" s="9" t="s">
        <v>39</v>
      </c>
      <c r="U4175" s="7">
        <v>0.35</v>
      </c>
      <c r="V4175" s="12">
        <f>C4175+2</f>
        <v>39836</v>
      </c>
      <c r="W4175">
        <f>IF(D4175=' Pivot Tables'!$A$4,1,0)</f>
        <v>0</v>
      </c>
      <c r="X4175">
        <f>IF(AND(LEFT(D4175,4)+1=LEFT(' Pivot Tables'!$A$4,4)+0,RIGHT(LEFT(D4175,7),2)=RIGHT(LEFT(' Pivot Tables'!$A$4,7),2)),1,0)</f>
        <v>1</v>
      </c>
      <c r="Y4175" s="6">
        <f>1/COUNTIF(Таблица1[Order ID],Таблица1[[#This Row],[Order ID]])</f>
        <v>0.5</v>
      </c>
      <c r="Z4175" s="9">
        <f>1/COUNTIFS(Таблица1[Customer Name],Таблица1[[#This Row],[Customer Name]],Таблица1[Order-Year-Month],Таблица1[[#This Row],[Order-Year-Month]])</f>
        <v>0.5</v>
      </c>
    </row>
    <row r="4176" spans="1:26" x14ac:dyDescent="0.2">
      <c r="A4176" s="6">
        <v>6937</v>
      </c>
      <c r="B4176" s="7">
        <v>49505</v>
      </c>
      <c r="C4176" s="8">
        <f>DATE(2012,12,31)-1440</f>
        <v>39834</v>
      </c>
      <c r="D4176" s="8" t="str">
        <f t="shared" si="78"/>
        <v>2009-01 (январь 2009)</v>
      </c>
      <c r="E4176" s="9" t="s">
        <v>78</v>
      </c>
      <c r="F4176" s="7">
        <v>34</v>
      </c>
      <c r="G4176" s="7">
        <v>335.59</v>
      </c>
      <c r="H4176" s="7">
        <v>0.04</v>
      </c>
      <c r="I4176" s="9" t="s">
        <v>56</v>
      </c>
      <c r="J4176" s="10">
        <v>85.83</v>
      </c>
      <c r="K4176" s="11">
        <v>9.7799999999999994</v>
      </c>
      <c r="L4176" s="11">
        <v>1.99</v>
      </c>
      <c r="M4176" s="9" t="s">
        <v>1724</v>
      </c>
      <c r="N4176" s="6" t="s">
        <v>1123</v>
      </c>
      <c r="O4176" s="6" t="s">
        <v>1123</v>
      </c>
      <c r="P4176" s="9" t="s">
        <v>60</v>
      </c>
      <c r="Q4176" s="9" t="s">
        <v>42</v>
      </c>
      <c r="R4176" s="9" t="s">
        <v>70</v>
      </c>
      <c r="S4176" s="7" t="s">
        <v>244</v>
      </c>
      <c r="T4176" s="9" t="s">
        <v>52</v>
      </c>
      <c r="U4176" s="7">
        <v>0.43</v>
      </c>
      <c r="V4176" s="12">
        <f>C4176+1</f>
        <v>39835</v>
      </c>
      <c r="W4176">
        <f>IF(D4176=' Pivot Tables'!$A$4,1,0)</f>
        <v>0</v>
      </c>
      <c r="X4176">
        <f>IF(AND(LEFT(D4176,4)+1=LEFT(' Pivot Tables'!$A$4,4)+0,RIGHT(LEFT(D4176,7),2)=RIGHT(LEFT(' Pivot Tables'!$A$4,7),2)),1,0)</f>
        <v>1</v>
      </c>
      <c r="Y4176" s="6">
        <f>1/COUNTIF(Таблица1[Order ID],Таблица1[[#This Row],[Order ID]])</f>
        <v>0.5</v>
      </c>
      <c r="Z4176" s="9">
        <f>1/COUNTIFS(Таблица1[Customer Name],Таблица1[[#This Row],[Customer Name]],Таблица1[Order-Year-Month],Таблица1[[#This Row],[Order-Year-Month]])</f>
        <v>0.5</v>
      </c>
    </row>
    <row r="4177" spans="1:26" x14ac:dyDescent="0.2">
      <c r="A4177" s="6">
        <v>6966</v>
      </c>
      <c r="B4177" s="7">
        <v>49797</v>
      </c>
      <c r="C4177" s="8">
        <f>DATE(2012,12,31)-664</f>
        <v>40610</v>
      </c>
      <c r="D4177" s="8" t="str">
        <f t="shared" si="78"/>
        <v>2011-03 (март 2011)</v>
      </c>
      <c r="E4177" s="9" t="s">
        <v>45</v>
      </c>
      <c r="F4177" s="7">
        <v>27</v>
      </c>
      <c r="G4177" s="7">
        <v>341.1</v>
      </c>
      <c r="H4177" s="7">
        <v>0</v>
      </c>
      <c r="I4177" s="9" t="s">
        <v>22</v>
      </c>
      <c r="J4177" s="10">
        <v>-4.75</v>
      </c>
      <c r="K4177" s="11">
        <v>11.97</v>
      </c>
      <c r="L4177" s="11">
        <v>4.9800000000000004</v>
      </c>
      <c r="M4177" s="9" t="s">
        <v>1415</v>
      </c>
      <c r="N4177" s="6" t="s">
        <v>1123</v>
      </c>
      <c r="O4177" s="6" t="s">
        <v>1123</v>
      </c>
      <c r="P4177" s="9" t="s">
        <v>25</v>
      </c>
      <c r="Q4177" s="9" t="s">
        <v>26</v>
      </c>
      <c r="R4177" s="9" t="s">
        <v>34</v>
      </c>
      <c r="S4177" s="7" t="s">
        <v>274</v>
      </c>
      <c r="T4177" s="9" t="s">
        <v>39</v>
      </c>
      <c r="U4177" s="7">
        <v>0.57999999999999996</v>
      </c>
      <c r="V4177" s="12">
        <f>C4177+1</f>
        <v>40611</v>
      </c>
      <c r="W4177">
        <f>IF(D4177=' Pivot Tables'!$A$4,1,0)</f>
        <v>0</v>
      </c>
      <c r="X4177">
        <f>IF(AND(LEFT(D4177,4)+1=LEFT(' Pivot Tables'!$A$4,4)+0,RIGHT(LEFT(D4177,7),2)=RIGHT(LEFT(' Pivot Tables'!$A$4,7),2)),1,0)</f>
        <v>0</v>
      </c>
      <c r="Y4177" s="6">
        <f>1/COUNTIF(Таблица1[Order ID],Таблица1[[#This Row],[Order ID]])</f>
        <v>0.5</v>
      </c>
      <c r="Z4177" s="9">
        <f>1/COUNTIFS(Таблица1[Customer Name],Таблица1[[#This Row],[Customer Name]],Таблица1[Order-Year-Month],Таблица1[[#This Row],[Order-Year-Month]])</f>
        <v>0.5</v>
      </c>
    </row>
    <row r="4178" spans="1:26" x14ac:dyDescent="0.2">
      <c r="A4178" s="6">
        <v>6967</v>
      </c>
      <c r="B4178" s="7">
        <v>49797</v>
      </c>
      <c r="C4178" s="8">
        <f>DATE(2012,12,31)-664</f>
        <v>40610</v>
      </c>
      <c r="D4178" s="8" t="str">
        <f t="shared" si="78"/>
        <v>2011-03 (март 2011)</v>
      </c>
      <c r="E4178" s="9" t="s">
        <v>45</v>
      </c>
      <c r="F4178" s="7">
        <v>26</v>
      </c>
      <c r="G4178" s="7">
        <v>171.68</v>
      </c>
      <c r="H4178" s="7">
        <v>7.0000000000000007E-2</v>
      </c>
      <c r="I4178" s="9" t="s">
        <v>56</v>
      </c>
      <c r="J4178" s="10">
        <v>-116.56</v>
      </c>
      <c r="K4178" s="11">
        <v>6.48</v>
      </c>
      <c r="L4178" s="11">
        <v>8.19</v>
      </c>
      <c r="M4178" s="9" t="s">
        <v>1415</v>
      </c>
      <c r="N4178" s="6" t="s">
        <v>1123</v>
      </c>
      <c r="O4178" s="6" t="s">
        <v>1123</v>
      </c>
      <c r="P4178" s="9" t="s">
        <v>25</v>
      </c>
      <c r="Q4178" s="9" t="s">
        <v>26</v>
      </c>
      <c r="R4178" s="9" t="s">
        <v>61</v>
      </c>
      <c r="S4178" s="7" t="s">
        <v>176</v>
      </c>
      <c r="T4178" s="9" t="s">
        <v>39</v>
      </c>
      <c r="U4178" s="7">
        <v>0.37</v>
      </c>
      <c r="V4178" s="12">
        <f>C4178+1</f>
        <v>40611</v>
      </c>
      <c r="W4178">
        <f>IF(D4178=' Pivot Tables'!$A$4,1,0)</f>
        <v>0</v>
      </c>
      <c r="X4178">
        <f>IF(AND(LEFT(D4178,4)+1=LEFT(' Pivot Tables'!$A$4,4)+0,RIGHT(LEFT(D4178,7),2)=RIGHT(LEFT(' Pivot Tables'!$A$4,7),2)),1,0)</f>
        <v>0</v>
      </c>
      <c r="Y4178" s="6">
        <f>1/COUNTIF(Таблица1[Order ID],Таблица1[[#This Row],[Order ID]])</f>
        <v>0.5</v>
      </c>
      <c r="Z4178" s="9">
        <f>1/COUNTIFS(Таблица1[Customer Name],Таблица1[[#This Row],[Customer Name]],Таблица1[Order-Year-Month],Таблица1[[#This Row],[Order-Year-Month]])</f>
        <v>0.5</v>
      </c>
    </row>
    <row r="4179" spans="1:26" x14ac:dyDescent="0.2">
      <c r="A4179" s="6">
        <v>7007</v>
      </c>
      <c r="B4179" s="7">
        <v>50017</v>
      </c>
      <c r="C4179" s="8">
        <f>DATE(2012,12,31)-41</f>
        <v>41233</v>
      </c>
      <c r="D4179" s="8" t="str">
        <f t="shared" si="78"/>
        <v>2012-11 (ноябрь 2012)</v>
      </c>
      <c r="E4179" s="9" t="s">
        <v>21</v>
      </c>
      <c r="F4179" s="7">
        <v>43</v>
      </c>
      <c r="G4179" s="7">
        <v>1502.47</v>
      </c>
      <c r="H4179" s="7">
        <v>7.0000000000000007E-2</v>
      </c>
      <c r="I4179" s="9" t="s">
        <v>22</v>
      </c>
      <c r="J4179" s="10">
        <v>214.05</v>
      </c>
      <c r="K4179" s="11">
        <v>34.58</v>
      </c>
      <c r="L4179" s="11">
        <v>8.99</v>
      </c>
      <c r="M4179" s="9" t="s">
        <v>1744</v>
      </c>
      <c r="N4179" s="6" t="s">
        <v>1123</v>
      </c>
      <c r="O4179" s="6" t="s">
        <v>1123</v>
      </c>
      <c r="P4179" s="9" t="s">
        <v>60</v>
      </c>
      <c r="Q4179" s="9" t="s">
        <v>26</v>
      </c>
      <c r="R4179" s="9" t="s">
        <v>95</v>
      </c>
      <c r="S4179" s="7" t="s">
        <v>713</v>
      </c>
      <c r="T4179" s="9" t="s">
        <v>52</v>
      </c>
      <c r="U4179" s="7">
        <v>0.56000000000000005</v>
      </c>
      <c r="V4179" s="12">
        <f>C4179+2</f>
        <v>41235</v>
      </c>
      <c r="W4179">
        <f>IF(D4179=' Pivot Tables'!$A$4,1,0)</f>
        <v>0</v>
      </c>
      <c r="X4179">
        <f>IF(AND(LEFT(D4179,4)+1=LEFT(' Pivot Tables'!$A$4,4)+0,RIGHT(LEFT(D4179,7),2)=RIGHT(LEFT(' Pivot Tables'!$A$4,7),2)),1,0)</f>
        <v>0</v>
      </c>
      <c r="Y4179" s="6">
        <f>1/COUNTIF(Таблица1[Order ID],Таблица1[[#This Row],[Order ID]])</f>
        <v>0.5</v>
      </c>
      <c r="Z4179" s="9">
        <f>1/COUNTIFS(Таблица1[Customer Name],Таблица1[[#This Row],[Customer Name]],Таблица1[Order-Year-Month],Таблица1[[#This Row],[Order-Year-Month]])</f>
        <v>0.5</v>
      </c>
    </row>
    <row r="4180" spans="1:26" x14ac:dyDescent="0.2">
      <c r="A4180" s="6">
        <v>7008</v>
      </c>
      <c r="B4180" s="7">
        <v>50017</v>
      </c>
      <c r="C4180" s="8">
        <f>DATE(2012,12,31)-41</f>
        <v>41233</v>
      </c>
      <c r="D4180" s="8" t="str">
        <f t="shared" si="78"/>
        <v>2012-11 (ноябрь 2012)</v>
      </c>
      <c r="E4180" s="9" t="s">
        <v>21</v>
      </c>
      <c r="F4180" s="7">
        <v>24</v>
      </c>
      <c r="G4180" s="7">
        <v>2014.13</v>
      </c>
      <c r="H4180" s="7">
        <v>0.1</v>
      </c>
      <c r="I4180" s="9" t="s">
        <v>22</v>
      </c>
      <c r="J4180" s="10">
        <v>-794.94</v>
      </c>
      <c r="K4180" s="11">
        <v>89.83</v>
      </c>
      <c r="L4180" s="11">
        <v>35</v>
      </c>
      <c r="M4180" s="9" t="s">
        <v>1744</v>
      </c>
      <c r="N4180" s="6" t="s">
        <v>1123</v>
      </c>
      <c r="O4180" s="6" t="s">
        <v>1123</v>
      </c>
      <c r="P4180" s="9" t="s">
        <v>60</v>
      </c>
      <c r="Q4180" s="9" t="s">
        <v>26</v>
      </c>
      <c r="R4180" s="9" t="s">
        <v>27</v>
      </c>
      <c r="S4180" s="7" t="s">
        <v>1771</v>
      </c>
      <c r="T4180" s="9" t="s">
        <v>29</v>
      </c>
      <c r="U4180" s="7">
        <v>0.83</v>
      </c>
      <c r="V4180" s="12">
        <f>C4180+0</f>
        <v>41233</v>
      </c>
      <c r="W4180">
        <f>IF(D4180=' Pivot Tables'!$A$4,1,0)</f>
        <v>0</v>
      </c>
      <c r="X4180">
        <f>IF(AND(LEFT(D4180,4)+1=LEFT(' Pivot Tables'!$A$4,4)+0,RIGHT(LEFT(D4180,7),2)=RIGHT(LEFT(' Pivot Tables'!$A$4,7),2)),1,0)</f>
        <v>0</v>
      </c>
      <c r="Y4180" s="6">
        <f>1/COUNTIF(Таблица1[Order ID],Таблица1[[#This Row],[Order ID]])</f>
        <v>0.5</v>
      </c>
      <c r="Z4180" s="9">
        <f>1/COUNTIFS(Таблица1[Customer Name],Таблица1[[#This Row],[Customer Name]],Таблица1[Order-Year-Month],Таблица1[[#This Row],[Order-Year-Month]])</f>
        <v>0.5</v>
      </c>
    </row>
    <row r="4181" spans="1:26" x14ac:dyDescent="0.2">
      <c r="A4181" s="6">
        <v>7013</v>
      </c>
      <c r="B4181" s="7">
        <v>50051</v>
      </c>
      <c r="C4181" s="8">
        <f>DATE(2012,12,31)-1184</f>
        <v>40090</v>
      </c>
      <c r="D4181" s="8" t="str">
        <f t="shared" si="78"/>
        <v>2009-10 (октябрь 2009)</v>
      </c>
      <c r="E4181" s="9" t="s">
        <v>63</v>
      </c>
      <c r="F4181" s="7">
        <v>15</v>
      </c>
      <c r="G4181" s="7">
        <v>308.64</v>
      </c>
      <c r="H4181" s="7">
        <v>0.03</v>
      </c>
      <c r="I4181" s="9" t="s">
        <v>56</v>
      </c>
      <c r="J4181" s="10">
        <v>91.08</v>
      </c>
      <c r="K4181" s="11">
        <v>19.04</v>
      </c>
      <c r="L4181" s="11">
        <v>6.38</v>
      </c>
      <c r="M4181" s="9" t="s">
        <v>1229</v>
      </c>
      <c r="N4181" s="6" t="s">
        <v>1123</v>
      </c>
      <c r="O4181" s="6" t="s">
        <v>1123</v>
      </c>
      <c r="P4181" s="9" t="s">
        <v>41</v>
      </c>
      <c r="Q4181" s="9" t="s">
        <v>49</v>
      </c>
      <c r="R4181" s="9" t="s">
        <v>50</v>
      </c>
      <c r="S4181" s="7" t="s">
        <v>1772</v>
      </c>
      <c r="T4181" s="9" t="s">
        <v>39</v>
      </c>
      <c r="U4181" s="7">
        <v>0.56000000000000005</v>
      </c>
      <c r="V4181" s="12">
        <f>C4181+0</f>
        <v>40090</v>
      </c>
      <c r="W4181">
        <f>IF(D4181=' Pivot Tables'!$A$4,1,0)</f>
        <v>0</v>
      </c>
      <c r="X4181">
        <f>IF(AND(LEFT(D4181,4)+1=LEFT(' Pivot Tables'!$A$4,4)+0,RIGHT(LEFT(D4181,7),2)=RIGHT(LEFT(' Pivot Tables'!$A$4,7),2)),1,0)</f>
        <v>0</v>
      </c>
      <c r="Y4181" s="6">
        <f>1/COUNTIF(Таблица1[Order ID],Таблица1[[#This Row],[Order ID]])</f>
        <v>0.33333333333333331</v>
      </c>
      <c r="Z4181" s="9">
        <f>1/COUNTIFS(Таблица1[Customer Name],Таблица1[[#This Row],[Customer Name]],Таблица1[Order-Year-Month],Таблица1[[#This Row],[Order-Year-Month]])</f>
        <v>0.33333333333333331</v>
      </c>
    </row>
    <row r="4182" spans="1:26" x14ac:dyDescent="0.2">
      <c r="A4182" s="6">
        <v>7019</v>
      </c>
      <c r="B4182" s="7">
        <v>50083</v>
      </c>
      <c r="C4182" s="8">
        <f>DATE(2012,12,31)-633</f>
        <v>40641</v>
      </c>
      <c r="D4182" s="8" t="str">
        <f t="shared" si="78"/>
        <v>2011-04 (апрель 2011)</v>
      </c>
      <c r="E4182" s="9" t="s">
        <v>45</v>
      </c>
      <c r="F4182" s="7">
        <v>33</v>
      </c>
      <c r="G4182" s="7">
        <v>13671.94</v>
      </c>
      <c r="H4182" s="7">
        <v>0.01</v>
      </c>
      <c r="I4182" s="9" t="s">
        <v>31</v>
      </c>
      <c r="J4182" s="10">
        <v>5711.96</v>
      </c>
      <c r="K4182" s="11">
        <v>400.97</v>
      </c>
      <c r="L4182" s="11">
        <v>48.26</v>
      </c>
      <c r="M4182" s="9" t="s">
        <v>1011</v>
      </c>
      <c r="N4182" s="6" t="s">
        <v>1123</v>
      </c>
      <c r="O4182" s="6" t="s">
        <v>1123</v>
      </c>
      <c r="P4182" s="9" t="s">
        <v>25</v>
      </c>
      <c r="Q4182" s="9" t="s">
        <v>42</v>
      </c>
      <c r="R4182" s="9" t="s">
        <v>210</v>
      </c>
      <c r="S4182" s="7" t="s">
        <v>966</v>
      </c>
      <c r="T4182" s="9" t="s">
        <v>82</v>
      </c>
      <c r="U4182" s="7">
        <v>0.36</v>
      </c>
      <c r="V4182" s="12">
        <f>C4182+2</f>
        <v>40643</v>
      </c>
      <c r="W4182">
        <f>IF(D4182=' Pivot Tables'!$A$4,1,0)</f>
        <v>0</v>
      </c>
      <c r="X4182">
        <f>IF(AND(LEFT(D4182,4)+1=LEFT(' Pivot Tables'!$A$4,4)+0,RIGHT(LEFT(D4182,7),2)=RIGHT(LEFT(' Pivot Tables'!$A$4,7),2)),1,0)</f>
        <v>0</v>
      </c>
      <c r="Y4182" s="6">
        <f>1/COUNTIF(Таблица1[Order ID],Таблица1[[#This Row],[Order ID]])</f>
        <v>1</v>
      </c>
      <c r="Z4182" s="9">
        <f>1/COUNTIFS(Таблица1[Customer Name],Таблица1[[#This Row],[Customer Name]],Таблица1[Order-Year-Month],Таблица1[[#This Row],[Order-Year-Month]])</f>
        <v>1</v>
      </c>
    </row>
    <row r="4183" spans="1:26" x14ac:dyDescent="0.2">
      <c r="A4183" s="6">
        <v>7047</v>
      </c>
      <c r="B4183" s="7">
        <v>50307</v>
      </c>
      <c r="C4183" s="8">
        <f>DATE(2012,12,31)-808</f>
        <v>40466</v>
      </c>
      <c r="D4183" s="8" t="str">
        <f t="shared" si="78"/>
        <v>2010-10 (октябрь 2010)</v>
      </c>
      <c r="E4183" s="9" t="s">
        <v>21</v>
      </c>
      <c r="F4183" s="7">
        <v>31</v>
      </c>
      <c r="G4183" s="7">
        <v>536.83000000000004</v>
      </c>
      <c r="H4183" s="7">
        <v>0.06</v>
      </c>
      <c r="I4183" s="9" t="s">
        <v>22</v>
      </c>
      <c r="J4183" s="10">
        <v>161.37</v>
      </c>
      <c r="K4183" s="11">
        <v>17.48</v>
      </c>
      <c r="L4183" s="11">
        <v>1.99</v>
      </c>
      <c r="M4183" s="9" t="s">
        <v>1736</v>
      </c>
      <c r="N4183" s="6" t="s">
        <v>1123</v>
      </c>
      <c r="O4183" s="6" t="s">
        <v>1123</v>
      </c>
      <c r="P4183" s="9" t="s">
        <v>41</v>
      </c>
      <c r="Q4183" s="9" t="s">
        <v>42</v>
      </c>
      <c r="R4183" s="9" t="s">
        <v>70</v>
      </c>
      <c r="S4183" s="7" t="s">
        <v>1067</v>
      </c>
      <c r="T4183" s="9" t="s">
        <v>52</v>
      </c>
      <c r="U4183" s="7">
        <v>0.45</v>
      </c>
      <c r="V4183" s="12">
        <f>C4183+0</f>
        <v>40466</v>
      </c>
      <c r="W4183">
        <f>IF(D4183=' Pivot Tables'!$A$4,1,0)</f>
        <v>0</v>
      </c>
      <c r="X4183">
        <f>IF(AND(LEFT(D4183,4)+1=LEFT(' Pivot Tables'!$A$4,4)+0,RIGHT(LEFT(D4183,7),2)=RIGHT(LEFT(' Pivot Tables'!$A$4,7),2)),1,0)</f>
        <v>0</v>
      </c>
      <c r="Y4183" s="6">
        <f>1/COUNTIF(Таблица1[Order ID],Таблица1[[#This Row],[Order ID]])</f>
        <v>0.5</v>
      </c>
      <c r="Z4183" s="9">
        <f>1/COUNTIFS(Таблица1[Customer Name],Таблица1[[#This Row],[Customer Name]],Таблица1[Order-Year-Month],Таблица1[[#This Row],[Order-Year-Month]])</f>
        <v>0.5</v>
      </c>
    </row>
    <row r="4184" spans="1:26" x14ac:dyDescent="0.2">
      <c r="A4184" s="6">
        <v>7048</v>
      </c>
      <c r="B4184" s="7">
        <v>50307</v>
      </c>
      <c r="C4184" s="8">
        <f>DATE(2012,12,31)-808</f>
        <v>40466</v>
      </c>
      <c r="D4184" s="8" t="str">
        <f t="shared" si="78"/>
        <v>2010-10 (октябрь 2010)</v>
      </c>
      <c r="E4184" s="9" t="s">
        <v>21</v>
      </c>
      <c r="F4184" s="7">
        <v>32</v>
      </c>
      <c r="G4184" s="7">
        <v>1734.31</v>
      </c>
      <c r="H4184" s="7">
        <v>0.06</v>
      </c>
      <c r="I4184" s="9" t="s">
        <v>56</v>
      </c>
      <c r="J4184" s="10">
        <v>647.25</v>
      </c>
      <c r="K4184" s="11">
        <v>54.96</v>
      </c>
      <c r="L4184" s="11">
        <v>10.75</v>
      </c>
      <c r="M4184" s="9" t="s">
        <v>1736</v>
      </c>
      <c r="N4184" s="6" t="s">
        <v>1123</v>
      </c>
      <c r="O4184" s="6" t="s">
        <v>1123</v>
      </c>
      <c r="P4184" s="9" t="s">
        <v>41</v>
      </c>
      <c r="Q4184" s="9" t="s">
        <v>26</v>
      </c>
      <c r="R4184" s="9" t="s">
        <v>61</v>
      </c>
      <c r="S4184" s="7" t="s">
        <v>350</v>
      </c>
      <c r="T4184" s="9" t="s">
        <v>39</v>
      </c>
      <c r="U4184" s="7">
        <v>0.36</v>
      </c>
      <c r="V4184" s="12">
        <f>C4184+2</f>
        <v>40468</v>
      </c>
      <c r="W4184">
        <f>IF(D4184=' Pivot Tables'!$A$4,1,0)</f>
        <v>0</v>
      </c>
      <c r="X4184">
        <f>IF(AND(LEFT(D4184,4)+1=LEFT(' Pivot Tables'!$A$4,4)+0,RIGHT(LEFT(D4184,7),2)=RIGHT(LEFT(' Pivot Tables'!$A$4,7),2)),1,0)</f>
        <v>0</v>
      </c>
      <c r="Y4184" s="6">
        <f>1/COUNTIF(Таблица1[Order ID],Таблица1[[#This Row],[Order ID]])</f>
        <v>0.5</v>
      </c>
      <c r="Z4184" s="9">
        <f>1/COUNTIFS(Таблица1[Customer Name],Таблица1[[#This Row],[Customer Name]],Таблица1[Order-Year-Month],Таблица1[[#This Row],[Order-Year-Month]])</f>
        <v>0.5</v>
      </c>
    </row>
    <row r="4185" spans="1:26" x14ac:dyDescent="0.2">
      <c r="A4185" s="6">
        <v>7102</v>
      </c>
      <c r="B4185" s="7">
        <v>50663</v>
      </c>
      <c r="C4185" s="8">
        <f>DATE(2012,12,31)-783</f>
        <v>40491</v>
      </c>
      <c r="D4185" s="8" t="str">
        <f t="shared" si="78"/>
        <v>2010-11 (ноябрь 2010)</v>
      </c>
      <c r="E4185" s="9" t="s">
        <v>78</v>
      </c>
      <c r="F4185" s="7">
        <v>26</v>
      </c>
      <c r="G4185" s="7">
        <v>1614.84</v>
      </c>
      <c r="H4185" s="7">
        <v>0.02</v>
      </c>
      <c r="I4185" s="9" t="s">
        <v>56</v>
      </c>
      <c r="J4185" s="10">
        <v>-716.55</v>
      </c>
      <c r="K4185" s="11">
        <v>60.98</v>
      </c>
      <c r="L4185" s="11">
        <v>49</v>
      </c>
      <c r="M4185" s="9" t="s">
        <v>1723</v>
      </c>
      <c r="N4185" s="6" t="s">
        <v>1123</v>
      </c>
      <c r="O4185" s="6" t="s">
        <v>1123</v>
      </c>
      <c r="P4185" s="9" t="s">
        <v>33</v>
      </c>
      <c r="Q4185" s="9" t="s">
        <v>26</v>
      </c>
      <c r="R4185" s="9" t="s">
        <v>34</v>
      </c>
      <c r="S4185" s="7" t="s">
        <v>472</v>
      </c>
      <c r="T4185" s="9" t="s">
        <v>29</v>
      </c>
      <c r="U4185" s="7">
        <v>0.59</v>
      </c>
      <c r="V4185" s="12">
        <f>C4185+1</f>
        <v>40492</v>
      </c>
      <c r="W4185">
        <f>IF(D4185=' Pivot Tables'!$A$4,1,0)</f>
        <v>0</v>
      </c>
      <c r="X4185">
        <f>IF(AND(LEFT(D4185,4)+1=LEFT(' Pivot Tables'!$A$4,4)+0,RIGHT(LEFT(D4185,7),2)=RIGHT(LEFT(' Pivot Tables'!$A$4,7),2)),1,0)</f>
        <v>0</v>
      </c>
      <c r="Y4185" s="6">
        <f>1/COUNTIF(Таблица1[Order ID],Таблица1[[#This Row],[Order ID]])</f>
        <v>1</v>
      </c>
      <c r="Z4185" s="9">
        <f>1/COUNTIFS(Таблица1[Customer Name],Таблица1[[#This Row],[Customer Name]],Таблица1[Order-Year-Month],Таблица1[[#This Row],[Order-Year-Month]])</f>
        <v>0.5</v>
      </c>
    </row>
    <row r="4186" spans="1:26" x14ac:dyDescent="0.2">
      <c r="A4186" s="6">
        <v>7137</v>
      </c>
      <c r="B4186" s="7">
        <v>50917</v>
      </c>
      <c r="C4186" s="8">
        <f>DATE(2012,12,31)-1259</f>
        <v>40015</v>
      </c>
      <c r="D4186" s="8" t="str">
        <f t="shared" si="78"/>
        <v>2009-07 (июль 2009)</v>
      </c>
      <c r="E4186" s="9" t="s">
        <v>21</v>
      </c>
      <c r="F4186" s="7">
        <v>33</v>
      </c>
      <c r="G4186" s="7">
        <v>1422.31</v>
      </c>
      <c r="H4186" s="7">
        <v>0.02</v>
      </c>
      <c r="I4186" s="9" t="s">
        <v>22</v>
      </c>
      <c r="J4186" s="10">
        <v>498.15</v>
      </c>
      <c r="K4186" s="11">
        <v>43.98</v>
      </c>
      <c r="L4186" s="11">
        <v>1.99</v>
      </c>
      <c r="M4186" s="9" t="s">
        <v>1728</v>
      </c>
      <c r="N4186" s="6" t="s">
        <v>1123</v>
      </c>
      <c r="O4186" s="6" t="s">
        <v>1123</v>
      </c>
      <c r="P4186" s="9" t="s">
        <v>33</v>
      </c>
      <c r="Q4186" s="9" t="s">
        <v>42</v>
      </c>
      <c r="R4186" s="9" t="s">
        <v>70</v>
      </c>
      <c r="S4186" s="7" t="s">
        <v>246</v>
      </c>
      <c r="T4186" s="9" t="s">
        <v>52</v>
      </c>
      <c r="U4186" s="7">
        <v>0.44</v>
      </c>
      <c r="V4186" s="12">
        <f>C4186+4</f>
        <v>40019</v>
      </c>
      <c r="W4186">
        <f>IF(D4186=' Pivot Tables'!$A$4,1,0)</f>
        <v>0</v>
      </c>
      <c r="X4186">
        <f>IF(AND(LEFT(D4186,4)+1=LEFT(' Pivot Tables'!$A$4,4)+0,RIGHT(LEFT(D4186,7),2)=RIGHT(LEFT(' Pivot Tables'!$A$4,7),2)),1,0)</f>
        <v>0</v>
      </c>
      <c r="Y4186" s="6">
        <f>1/COUNTIF(Таблица1[Order ID],Таблица1[[#This Row],[Order ID]])</f>
        <v>1</v>
      </c>
      <c r="Z4186" s="9">
        <f>1/COUNTIFS(Таблица1[Customer Name],Таблица1[[#This Row],[Customer Name]],Таблица1[Order-Year-Month],Таблица1[[#This Row],[Order-Year-Month]])</f>
        <v>1</v>
      </c>
    </row>
    <row r="4187" spans="1:26" x14ac:dyDescent="0.2">
      <c r="A4187" s="6">
        <v>7145</v>
      </c>
      <c r="B4187" s="7">
        <v>50981</v>
      </c>
      <c r="C4187" s="8">
        <f>DATE(2012,12,31)-1245</f>
        <v>40029</v>
      </c>
      <c r="D4187" s="8" t="str">
        <f t="shared" si="78"/>
        <v>2009-08 (август 2009)</v>
      </c>
      <c r="E4187" s="9" t="s">
        <v>78</v>
      </c>
      <c r="F4187" s="7">
        <v>42</v>
      </c>
      <c r="G4187" s="7">
        <v>5678.5524999999998</v>
      </c>
      <c r="H4187" s="7">
        <v>0.01</v>
      </c>
      <c r="I4187" s="9" t="s">
        <v>22</v>
      </c>
      <c r="J4187" s="10">
        <v>1550.88</v>
      </c>
      <c r="K4187" s="11">
        <v>155.99</v>
      </c>
      <c r="L4187" s="11">
        <v>8.99</v>
      </c>
      <c r="M4187" s="9" t="s">
        <v>1189</v>
      </c>
      <c r="N4187" s="6" t="s">
        <v>1123</v>
      </c>
      <c r="O4187" s="6" t="s">
        <v>1123</v>
      </c>
      <c r="P4187" s="9" t="s">
        <v>41</v>
      </c>
      <c r="Q4187" s="9" t="s">
        <v>42</v>
      </c>
      <c r="R4187" s="9" t="s">
        <v>43</v>
      </c>
      <c r="S4187" s="7" t="s">
        <v>710</v>
      </c>
      <c r="T4187" s="9" t="s">
        <v>39</v>
      </c>
      <c r="U4187" s="7">
        <v>0.57999999999999996</v>
      </c>
      <c r="V4187" s="12">
        <f>C4187+0</f>
        <v>40029</v>
      </c>
      <c r="W4187">
        <f>IF(D4187=' Pivot Tables'!$A$4,1,0)</f>
        <v>0</v>
      </c>
      <c r="X4187">
        <f>IF(AND(LEFT(D4187,4)+1=LEFT(' Pivot Tables'!$A$4,4)+0,RIGHT(LEFT(D4187,7),2)=RIGHT(LEFT(' Pivot Tables'!$A$4,7),2)),1,0)</f>
        <v>0</v>
      </c>
      <c r="Y4187" s="6">
        <f>1/COUNTIF(Таблица1[Order ID],Таблица1[[#This Row],[Order ID]])</f>
        <v>1</v>
      </c>
      <c r="Z4187" s="9">
        <f>1/COUNTIFS(Таблица1[Customer Name],Таблица1[[#This Row],[Customer Name]],Таблица1[Order-Year-Month],Таблица1[[#This Row],[Order-Year-Month]])</f>
        <v>0.5</v>
      </c>
    </row>
    <row r="4188" spans="1:26" x14ac:dyDescent="0.2">
      <c r="A4188" s="6">
        <v>7165</v>
      </c>
      <c r="B4188" s="7">
        <v>51140</v>
      </c>
      <c r="C4188" s="8">
        <f>DATE(2012,12,31)-108</f>
        <v>41166</v>
      </c>
      <c r="D4188" s="8" t="str">
        <f t="shared" si="78"/>
        <v>2012-09 (сентябрь 2012)</v>
      </c>
      <c r="E4188" s="9" t="s">
        <v>21</v>
      </c>
      <c r="F4188" s="7">
        <v>28</v>
      </c>
      <c r="G4188" s="7">
        <v>132.01</v>
      </c>
      <c r="H4188" s="7">
        <v>0.04</v>
      </c>
      <c r="I4188" s="9" t="s">
        <v>22</v>
      </c>
      <c r="J4188" s="10">
        <v>-93.12</v>
      </c>
      <c r="K4188" s="11">
        <v>4.37</v>
      </c>
      <c r="L4188" s="11">
        <v>5.15</v>
      </c>
      <c r="M4188" s="9" t="s">
        <v>1189</v>
      </c>
      <c r="N4188" s="6" t="s">
        <v>1123</v>
      </c>
      <c r="O4188" s="6" t="s">
        <v>1123</v>
      </c>
      <c r="P4188" s="9" t="s">
        <v>41</v>
      </c>
      <c r="Q4188" s="9" t="s">
        <v>26</v>
      </c>
      <c r="R4188" s="9" t="s">
        <v>34</v>
      </c>
      <c r="S4188" s="7" t="s">
        <v>690</v>
      </c>
      <c r="T4188" s="9" t="s">
        <v>39</v>
      </c>
      <c r="U4188" s="7">
        <v>0.59</v>
      </c>
      <c r="V4188" s="12">
        <f>C4188+0</f>
        <v>41166</v>
      </c>
      <c r="W4188">
        <f>IF(D4188=' Pivot Tables'!$A$4,1,0)</f>
        <v>0</v>
      </c>
      <c r="X4188">
        <f>IF(AND(LEFT(D4188,4)+1=LEFT(' Pivot Tables'!$A$4,4)+0,RIGHT(LEFT(D4188,7),2)=RIGHT(LEFT(' Pivot Tables'!$A$4,7),2)),1,0)</f>
        <v>0</v>
      </c>
      <c r="Y4188" s="6">
        <f>1/COUNTIF(Таблица1[Order ID],Таблица1[[#This Row],[Order ID]])</f>
        <v>0.33333333333333331</v>
      </c>
      <c r="Z4188" s="9">
        <f>1/COUNTIFS(Таблица1[Customer Name],Таблица1[[#This Row],[Customer Name]],Таблица1[Order-Year-Month],Таблица1[[#This Row],[Order-Year-Month]])</f>
        <v>0.33333333333333331</v>
      </c>
    </row>
    <row r="4189" spans="1:26" x14ac:dyDescent="0.2">
      <c r="A4189" s="6">
        <v>7166</v>
      </c>
      <c r="B4189" s="7">
        <v>51140</v>
      </c>
      <c r="C4189" s="8">
        <f>DATE(2012,12,31)-108</f>
        <v>41166</v>
      </c>
      <c r="D4189" s="8" t="str">
        <f t="shared" si="78"/>
        <v>2012-09 (сентябрь 2012)</v>
      </c>
      <c r="E4189" s="9" t="s">
        <v>21</v>
      </c>
      <c r="F4189" s="7">
        <v>14</v>
      </c>
      <c r="G4189" s="7">
        <v>626.33000000000004</v>
      </c>
      <c r="H4189" s="7">
        <v>0.01</v>
      </c>
      <c r="I4189" s="9" t="s">
        <v>22</v>
      </c>
      <c r="J4189" s="10">
        <v>24.56</v>
      </c>
      <c r="K4189" s="11">
        <v>45.19</v>
      </c>
      <c r="L4189" s="11">
        <v>1.99</v>
      </c>
      <c r="M4189" s="9" t="s">
        <v>1189</v>
      </c>
      <c r="N4189" s="6" t="s">
        <v>1123</v>
      </c>
      <c r="O4189" s="6" t="s">
        <v>1123</v>
      </c>
      <c r="P4189" s="9" t="s">
        <v>41</v>
      </c>
      <c r="Q4189" s="9" t="s">
        <v>42</v>
      </c>
      <c r="R4189" s="9" t="s">
        <v>70</v>
      </c>
      <c r="S4189" s="7" t="s">
        <v>379</v>
      </c>
      <c r="T4189" s="9" t="s">
        <v>52</v>
      </c>
      <c r="U4189" s="7">
        <v>0.55000000000000004</v>
      </c>
      <c r="V4189" s="12">
        <f>C4189+4</f>
        <v>41170</v>
      </c>
      <c r="W4189">
        <f>IF(D4189=' Pivot Tables'!$A$4,1,0)</f>
        <v>0</v>
      </c>
      <c r="X4189">
        <f>IF(AND(LEFT(D4189,4)+1=LEFT(' Pivot Tables'!$A$4,4)+0,RIGHT(LEFT(D4189,7),2)=RIGHT(LEFT(' Pivot Tables'!$A$4,7),2)),1,0)</f>
        <v>0</v>
      </c>
      <c r="Y4189" s="6">
        <f>1/COUNTIF(Таблица1[Order ID],Таблица1[[#This Row],[Order ID]])</f>
        <v>0.33333333333333331</v>
      </c>
      <c r="Z4189" s="9">
        <f>1/COUNTIFS(Таблица1[Customer Name],Таблица1[[#This Row],[Customer Name]],Таблица1[Order-Year-Month],Таблица1[[#This Row],[Order-Year-Month]])</f>
        <v>0.33333333333333331</v>
      </c>
    </row>
    <row r="4190" spans="1:26" x14ac:dyDescent="0.2">
      <c r="A4190" s="6">
        <v>7167</v>
      </c>
      <c r="B4190" s="7">
        <v>51140</v>
      </c>
      <c r="C4190" s="8">
        <f>DATE(2012,12,31)-108</f>
        <v>41166</v>
      </c>
      <c r="D4190" s="8" t="str">
        <f t="shared" si="78"/>
        <v>2012-09 (сентябрь 2012)</v>
      </c>
      <c r="E4190" s="9" t="s">
        <v>21</v>
      </c>
      <c r="F4190" s="7">
        <v>3</v>
      </c>
      <c r="G4190" s="7">
        <v>394.34</v>
      </c>
      <c r="H4190" s="7">
        <v>0.1</v>
      </c>
      <c r="I4190" s="9" t="s">
        <v>22</v>
      </c>
      <c r="J4190" s="10">
        <v>352.38</v>
      </c>
      <c r="K4190" s="11">
        <v>136.97999999999999</v>
      </c>
      <c r="L4190" s="11">
        <v>24.49</v>
      </c>
      <c r="M4190" s="9" t="s">
        <v>1189</v>
      </c>
      <c r="N4190" s="6" t="s">
        <v>1123</v>
      </c>
      <c r="O4190" s="6" t="s">
        <v>1123</v>
      </c>
      <c r="P4190" s="9" t="s">
        <v>41</v>
      </c>
      <c r="Q4190" s="9" t="s">
        <v>49</v>
      </c>
      <c r="R4190" s="9" t="s">
        <v>50</v>
      </c>
      <c r="S4190" s="7" t="s">
        <v>480</v>
      </c>
      <c r="T4190" s="9" t="s">
        <v>29</v>
      </c>
      <c r="U4190" s="7">
        <v>0.59</v>
      </c>
      <c r="V4190" s="12">
        <f>C4190+7</f>
        <v>41173</v>
      </c>
      <c r="W4190">
        <f>IF(D4190=' Pivot Tables'!$A$4,1,0)</f>
        <v>0</v>
      </c>
      <c r="X4190">
        <f>IF(AND(LEFT(D4190,4)+1=LEFT(' Pivot Tables'!$A$4,4)+0,RIGHT(LEFT(D4190,7),2)=RIGHT(LEFT(' Pivot Tables'!$A$4,7),2)),1,0)</f>
        <v>0</v>
      </c>
      <c r="Y4190" s="6">
        <f>1/COUNTIF(Таблица1[Order ID],Таблица1[[#This Row],[Order ID]])</f>
        <v>0.33333333333333331</v>
      </c>
      <c r="Z4190" s="9">
        <f>1/COUNTIFS(Таблица1[Customer Name],Таблица1[[#This Row],[Customer Name]],Таблица1[Order-Year-Month],Таблица1[[#This Row],[Order-Year-Month]])</f>
        <v>0.33333333333333331</v>
      </c>
    </row>
    <row r="4191" spans="1:26" x14ac:dyDescent="0.2">
      <c r="A4191" s="6">
        <v>7177</v>
      </c>
      <c r="B4191" s="7">
        <v>51205</v>
      </c>
      <c r="C4191" s="8">
        <f>DATE(2012,12,31)-21</f>
        <v>41253</v>
      </c>
      <c r="D4191" s="8" t="str">
        <f t="shared" si="78"/>
        <v>2012-12 (декабрь 2012)</v>
      </c>
      <c r="E4191" s="9" t="s">
        <v>30</v>
      </c>
      <c r="F4191" s="7">
        <v>17</v>
      </c>
      <c r="G4191" s="7">
        <v>233.01</v>
      </c>
      <c r="H4191" s="7">
        <v>0.04</v>
      </c>
      <c r="I4191" s="9" t="s">
        <v>56</v>
      </c>
      <c r="J4191" s="10">
        <v>88.884500000000003</v>
      </c>
      <c r="K4191" s="11">
        <v>12.97</v>
      </c>
      <c r="L4191" s="11">
        <v>1.49</v>
      </c>
      <c r="M4191" s="9" t="s">
        <v>1326</v>
      </c>
      <c r="N4191" s="6" t="s">
        <v>1123</v>
      </c>
      <c r="O4191" s="6" t="s">
        <v>1123</v>
      </c>
      <c r="P4191" s="9" t="s">
        <v>60</v>
      </c>
      <c r="Q4191" s="9" t="s">
        <v>26</v>
      </c>
      <c r="R4191" s="9" t="s">
        <v>37</v>
      </c>
      <c r="S4191" s="7" t="s">
        <v>1269</v>
      </c>
      <c r="T4191" s="9" t="s">
        <v>39</v>
      </c>
      <c r="U4191" s="7">
        <v>0.35</v>
      </c>
      <c r="V4191" s="12">
        <f>C4191+1</f>
        <v>41254</v>
      </c>
      <c r="W4191">
        <f>IF(D4191=' Pivot Tables'!$A$4,1,0)</f>
        <v>0</v>
      </c>
      <c r="X4191">
        <f>IF(AND(LEFT(D4191,4)+1=LEFT(' Pivot Tables'!$A$4,4)+0,RIGHT(LEFT(D4191,7),2)=RIGHT(LEFT(' Pivot Tables'!$A$4,7),2)),1,0)</f>
        <v>0</v>
      </c>
      <c r="Y4191" s="6">
        <f>1/COUNTIF(Таблица1[Order ID],Таблица1[[#This Row],[Order ID]])</f>
        <v>0.5</v>
      </c>
      <c r="Z4191" s="9">
        <f>1/COUNTIFS(Таблица1[Customer Name],Таблица1[[#This Row],[Customer Name]],Таблица1[Order-Year-Month],Таблица1[[#This Row],[Order-Year-Month]])</f>
        <v>0.5</v>
      </c>
    </row>
    <row r="4192" spans="1:26" x14ac:dyDescent="0.2">
      <c r="A4192" s="6">
        <v>7178</v>
      </c>
      <c r="B4192" s="7">
        <v>51205</v>
      </c>
      <c r="C4192" s="8">
        <f>DATE(2012,12,31)-21</f>
        <v>41253</v>
      </c>
      <c r="D4192" s="8" t="str">
        <f t="shared" si="78"/>
        <v>2012-12 (декабрь 2012)</v>
      </c>
      <c r="E4192" s="9" t="s">
        <v>30</v>
      </c>
      <c r="F4192" s="7">
        <v>5</v>
      </c>
      <c r="G4192" s="7">
        <v>225.72</v>
      </c>
      <c r="H4192" s="7">
        <v>0</v>
      </c>
      <c r="I4192" s="9" t="s">
        <v>22</v>
      </c>
      <c r="J4192" s="10">
        <v>16.649999999999999</v>
      </c>
      <c r="K4192" s="11">
        <v>39.979999999999997</v>
      </c>
      <c r="L4192" s="11">
        <v>9.83</v>
      </c>
      <c r="M4192" s="9" t="s">
        <v>1326</v>
      </c>
      <c r="N4192" s="6" t="s">
        <v>1123</v>
      </c>
      <c r="O4192" s="6" t="s">
        <v>1123</v>
      </c>
      <c r="P4192" s="9" t="s">
        <v>60</v>
      </c>
      <c r="Q4192" s="9" t="s">
        <v>26</v>
      </c>
      <c r="R4192" s="9" t="s">
        <v>76</v>
      </c>
      <c r="S4192" s="7" t="s">
        <v>1127</v>
      </c>
      <c r="T4192" s="9" t="s">
        <v>39</v>
      </c>
      <c r="U4192" s="7">
        <v>0.4</v>
      </c>
      <c r="V4192" s="12">
        <f>C4192+1</f>
        <v>41254</v>
      </c>
      <c r="W4192">
        <f>IF(D4192=' Pivot Tables'!$A$4,1,0)</f>
        <v>0</v>
      </c>
      <c r="X4192">
        <f>IF(AND(LEFT(D4192,4)+1=LEFT(' Pivot Tables'!$A$4,4)+0,RIGHT(LEFT(D4192,7),2)=RIGHT(LEFT(' Pivot Tables'!$A$4,7),2)),1,0)</f>
        <v>0</v>
      </c>
      <c r="Y4192" s="6">
        <f>1/COUNTIF(Таблица1[Order ID],Таблица1[[#This Row],[Order ID]])</f>
        <v>0.5</v>
      </c>
      <c r="Z4192" s="9">
        <f>1/COUNTIFS(Таблица1[Customer Name],Таблица1[[#This Row],[Customer Name]],Таблица1[Order-Year-Month],Таблица1[[#This Row],[Order-Year-Month]])</f>
        <v>0.5</v>
      </c>
    </row>
    <row r="4193" spans="1:26" x14ac:dyDescent="0.2">
      <c r="A4193" s="6">
        <v>7180</v>
      </c>
      <c r="B4193" s="7">
        <v>51237</v>
      </c>
      <c r="C4193" s="8">
        <f>DATE(2012,12,31)-296</f>
        <v>40978</v>
      </c>
      <c r="D4193" s="8" t="str">
        <f t="shared" si="78"/>
        <v>2012-03 (март 2012)</v>
      </c>
      <c r="E4193" s="9" t="s">
        <v>63</v>
      </c>
      <c r="F4193" s="7">
        <v>26</v>
      </c>
      <c r="G4193" s="7">
        <v>4769.0694999999996</v>
      </c>
      <c r="H4193" s="7">
        <v>0.03</v>
      </c>
      <c r="I4193" s="9" t="s">
        <v>22</v>
      </c>
      <c r="J4193" s="10">
        <v>1138.5809999999999</v>
      </c>
      <c r="K4193" s="11">
        <v>205.99</v>
      </c>
      <c r="L4193" s="11">
        <v>5.99</v>
      </c>
      <c r="M4193" s="9" t="s">
        <v>1725</v>
      </c>
      <c r="N4193" s="6" t="s">
        <v>1123</v>
      </c>
      <c r="O4193" s="6" t="s">
        <v>1123</v>
      </c>
      <c r="P4193" s="9" t="s">
        <v>25</v>
      </c>
      <c r="Q4193" s="9" t="s">
        <v>42</v>
      </c>
      <c r="R4193" s="9" t="s">
        <v>43</v>
      </c>
      <c r="S4193" s="7" t="s">
        <v>714</v>
      </c>
      <c r="T4193" s="9" t="s">
        <v>39</v>
      </c>
      <c r="U4193" s="7">
        <v>0.59</v>
      </c>
      <c r="V4193" s="12">
        <f>C4193+2</f>
        <v>40980</v>
      </c>
      <c r="W4193">
        <f>IF(D4193=' Pivot Tables'!$A$4,1,0)</f>
        <v>0</v>
      </c>
      <c r="X4193">
        <f>IF(AND(LEFT(D4193,4)+1=LEFT(' Pivot Tables'!$A$4,4)+0,RIGHT(LEFT(D4193,7),2)=RIGHT(LEFT(' Pivot Tables'!$A$4,7),2)),1,0)</f>
        <v>0</v>
      </c>
      <c r="Y4193" s="6">
        <f>1/COUNTIF(Таблица1[Order ID],Таблица1[[#This Row],[Order ID]])</f>
        <v>1</v>
      </c>
      <c r="Z4193" s="9">
        <f>1/COUNTIFS(Таблица1[Customer Name],Таблица1[[#This Row],[Customer Name]],Таблица1[Order-Year-Month],Таблица1[[#This Row],[Order-Year-Month]])</f>
        <v>0.5</v>
      </c>
    </row>
    <row r="4194" spans="1:26" x14ac:dyDescent="0.2">
      <c r="A4194" s="6">
        <v>7236</v>
      </c>
      <c r="B4194" s="7">
        <v>51619</v>
      </c>
      <c r="C4194" s="8">
        <f>DATE(2012,12,31)-1216</f>
        <v>40058</v>
      </c>
      <c r="D4194" s="8" t="str">
        <f t="shared" si="78"/>
        <v>2009-09 (сентябрь 2009)</v>
      </c>
      <c r="E4194" s="9" t="s">
        <v>45</v>
      </c>
      <c r="F4194" s="7">
        <v>46</v>
      </c>
      <c r="G4194" s="7">
        <v>100.6</v>
      </c>
      <c r="H4194" s="7">
        <v>0.03</v>
      </c>
      <c r="I4194" s="9" t="s">
        <v>22</v>
      </c>
      <c r="J4194" s="10">
        <v>11.55</v>
      </c>
      <c r="K4194" s="11">
        <v>2.21</v>
      </c>
      <c r="L4194" s="11">
        <v>1</v>
      </c>
      <c r="M4194" s="9" t="s">
        <v>1758</v>
      </c>
      <c r="N4194" s="6" t="s">
        <v>1123</v>
      </c>
      <c r="O4194" s="6" t="s">
        <v>1123</v>
      </c>
      <c r="P4194" s="9" t="s">
        <v>33</v>
      </c>
      <c r="Q4194" s="9" t="s">
        <v>26</v>
      </c>
      <c r="R4194" s="9" t="s">
        <v>95</v>
      </c>
      <c r="S4194" s="7" t="s">
        <v>1737</v>
      </c>
      <c r="T4194" s="9" t="s">
        <v>68</v>
      </c>
      <c r="U4194" s="7">
        <v>0.38</v>
      </c>
      <c r="V4194" s="12">
        <f>C4194+1</f>
        <v>40059</v>
      </c>
      <c r="W4194">
        <f>IF(D4194=' Pivot Tables'!$A$4,1,0)</f>
        <v>0</v>
      </c>
      <c r="X4194">
        <f>IF(AND(LEFT(D4194,4)+1=LEFT(' Pivot Tables'!$A$4,4)+0,RIGHT(LEFT(D4194,7),2)=RIGHT(LEFT(' Pivot Tables'!$A$4,7),2)),1,0)</f>
        <v>0</v>
      </c>
      <c r="Y4194" s="6">
        <f>1/COUNTIF(Таблица1[Order ID],Таблица1[[#This Row],[Order ID]])</f>
        <v>0.25</v>
      </c>
      <c r="Z4194" s="9">
        <f>1/COUNTIFS(Таблица1[Customer Name],Таблица1[[#This Row],[Customer Name]],Таблица1[Order-Year-Month],Таблица1[[#This Row],[Order-Year-Month]])</f>
        <v>0.25</v>
      </c>
    </row>
    <row r="4195" spans="1:26" x14ac:dyDescent="0.2">
      <c r="A4195" s="6">
        <v>7237</v>
      </c>
      <c r="B4195" s="7">
        <v>51619</v>
      </c>
      <c r="C4195" s="8">
        <f>DATE(2012,12,31)-1216</f>
        <v>40058</v>
      </c>
      <c r="D4195" s="8" t="str">
        <f t="shared" si="78"/>
        <v>2009-09 (сентябрь 2009)</v>
      </c>
      <c r="E4195" s="9" t="s">
        <v>45</v>
      </c>
      <c r="F4195" s="7">
        <v>6</v>
      </c>
      <c r="G4195" s="7">
        <v>958.06</v>
      </c>
      <c r="H4195" s="7">
        <v>0.09</v>
      </c>
      <c r="I4195" s="9" t="s">
        <v>22</v>
      </c>
      <c r="J4195" s="10">
        <v>-77.09</v>
      </c>
      <c r="K4195" s="11">
        <v>165.2</v>
      </c>
      <c r="L4195" s="11">
        <v>19.989999999999998</v>
      </c>
      <c r="M4195" s="9" t="s">
        <v>1758</v>
      </c>
      <c r="N4195" s="6" t="s">
        <v>1123</v>
      </c>
      <c r="O4195" s="6" t="s">
        <v>1123</v>
      </c>
      <c r="P4195" s="9" t="s">
        <v>33</v>
      </c>
      <c r="Q4195" s="9" t="s">
        <v>26</v>
      </c>
      <c r="R4195" s="9" t="s">
        <v>27</v>
      </c>
      <c r="S4195" s="7" t="s">
        <v>1773</v>
      </c>
      <c r="T4195" s="9" t="s">
        <v>39</v>
      </c>
      <c r="U4195" s="7">
        <v>0.59</v>
      </c>
      <c r="V4195" s="12">
        <f>C4195+1</f>
        <v>40059</v>
      </c>
      <c r="W4195">
        <f>IF(D4195=' Pivot Tables'!$A$4,1,0)</f>
        <v>0</v>
      </c>
      <c r="X4195">
        <f>IF(AND(LEFT(D4195,4)+1=LEFT(' Pivot Tables'!$A$4,4)+0,RIGHT(LEFT(D4195,7),2)=RIGHT(LEFT(' Pivot Tables'!$A$4,7),2)),1,0)</f>
        <v>0</v>
      </c>
      <c r="Y4195" s="6">
        <f>1/COUNTIF(Таблица1[Order ID],Таблица1[[#This Row],[Order ID]])</f>
        <v>0.25</v>
      </c>
      <c r="Z4195" s="9">
        <f>1/COUNTIFS(Таблица1[Customer Name],Таблица1[[#This Row],[Customer Name]],Таблица1[Order-Year-Month],Таблица1[[#This Row],[Order-Year-Month]])</f>
        <v>0.25</v>
      </c>
    </row>
    <row r="4196" spans="1:26" x14ac:dyDescent="0.2">
      <c r="A4196" s="6">
        <v>7238</v>
      </c>
      <c r="B4196" s="7">
        <v>51619</v>
      </c>
      <c r="C4196" s="8">
        <f>DATE(2012,12,31)-1216</f>
        <v>40058</v>
      </c>
      <c r="D4196" s="8" t="str">
        <f t="shared" si="78"/>
        <v>2009-09 (сентябрь 2009)</v>
      </c>
      <c r="E4196" s="9" t="s">
        <v>45</v>
      </c>
      <c r="F4196" s="7">
        <v>2</v>
      </c>
      <c r="G4196" s="7">
        <v>14.75</v>
      </c>
      <c r="H4196" s="7">
        <v>7.0000000000000007E-2</v>
      </c>
      <c r="I4196" s="9" t="s">
        <v>22</v>
      </c>
      <c r="J4196" s="10">
        <v>-11.419499999999999</v>
      </c>
      <c r="K4196" s="11">
        <v>3.89</v>
      </c>
      <c r="L4196" s="11">
        <v>7.01</v>
      </c>
      <c r="M4196" s="9" t="s">
        <v>1758</v>
      </c>
      <c r="N4196" s="6" t="s">
        <v>1123</v>
      </c>
      <c r="O4196" s="6" t="s">
        <v>1123</v>
      </c>
      <c r="P4196" s="9" t="s">
        <v>33</v>
      </c>
      <c r="Q4196" s="9" t="s">
        <v>26</v>
      </c>
      <c r="R4196" s="9" t="s">
        <v>37</v>
      </c>
      <c r="S4196" s="7" t="s">
        <v>115</v>
      </c>
      <c r="T4196" s="9" t="s">
        <v>39</v>
      </c>
      <c r="U4196" s="7">
        <v>0.37</v>
      </c>
      <c r="V4196" s="12">
        <f>C4196+2</f>
        <v>40060</v>
      </c>
      <c r="W4196">
        <f>IF(D4196=' Pivot Tables'!$A$4,1,0)</f>
        <v>0</v>
      </c>
      <c r="X4196">
        <f>IF(AND(LEFT(D4196,4)+1=LEFT(' Pivot Tables'!$A$4,4)+0,RIGHT(LEFT(D4196,7),2)=RIGHT(LEFT(' Pivot Tables'!$A$4,7),2)),1,0)</f>
        <v>0</v>
      </c>
      <c r="Y4196" s="6">
        <f>1/COUNTIF(Таблица1[Order ID],Таблица1[[#This Row],[Order ID]])</f>
        <v>0.25</v>
      </c>
      <c r="Z4196" s="9">
        <f>1/COUNTIFS(Таблица1[Customer Name],Таблица1[[#This Row],[Customer Name]],Таблица1[Order-Year-Month],Таблица1[[#This Row],[Order-Year-Month]])</f>
        <v>0.25</v>
      </c>
    </row>
    <row r="4197" spans="1:26" x14ac:dyDescent="0.2">
      <c r="A4197" s="6">
        <v>7239</v>
      </c>
      <c r="B4197" s="7">
        <v>51619</v>
      </c>
      <c r="C4197" s="8">
        <f>DATE(2012,12,31)-1216</f>
        <v>40058</v>
      </c>
      <c r="D4197" s="8" t="str">
        <f t="shared" si="78"/>
        <v>2009-09 (сентябрь 2009)</v>
      </c>
      <c r="E4197" s="9" t="s">
        <v>45</v>
      </c>
      <c r="F4197" s="7">
        <v>31</v>
      </c>
      <c r="G4197" s="7">
        <v>11262.04</v>
      </c>
      <c r="H4197" s="7">
        <v>0.06</v>
      </c>
      <c r="I4197" s="9" t="s">
        <v>31</v>
      </c>
      <c r="J4197" s="10">
        <v>1660.92</v>
      </c>
      <c r="K4197" s="11">
        <v>355.98</v>
      </c>
      <c r="L4197" s="11">
        <v>58.92</v>
      </c>
      <c r="M4197" s="9" t="s">
        <v>1758</v>
      </c>
      <c r="N4197" s="6" t="s">
        <v>1123</v>
      </c>
      <c r="O4197" s="6" t="s">
        <v>1123</v>
      </c>
      <c r="P4197" s="9" t="s">
        <v>33</v>
      </c>
      <c r="Q4197" s="9" t="s">
        <v>49</v>
      </c>
      <c r="R4197" s="9" t="s">
        <v>112</v>
      </c>
      <c r="S4197" s="7" t="s">
        <v>253</v>
      </c>
      <c r="T4197" s="9" t="s">
        <v>36</v>
      </c>
      <c r="U4197" s="7">
        <v>0.64</v>
      </c>
      <c r="V4197" s="12">
        <f>C4197+1</f>
        <v>40059</v>
      </c>
      <c r="W4197">
        <f>IF(D4197=' Pivot Tables'!$A$4,1,0)</f>
        <v>0</v>
      </c>
      <c r="X4197">
        <f>IF(AND(LEFT(D4197,4)+1=LEFT(' Pivot Tables'!$A$4,4)+0,RIGHT(LEFT(D4197,7),2)=RIGHT(LEFT(' Pivot Tables'!$A$4,7),2)),1,0)</f>
        <v>0</v>
      </c>
      <c r="Y4197" s="6">
        <f>1/COUNTIF(Таблица1[Order ID],Таблица1[[#This Row],[Order ID]])</f>
        <v>0.25</v>
      </c>
      <c r="Z4197" s="9">
        <f>1/COUNTIFS(Таблица1[Customer Name],Таблица1[[#This Row],[Customer Name]],Таблица1[Order-Year-Month],Таблица1[[#This Row],[Order-Year-Month]])</f>
        <v>0.25</v>
      </c>
    </row>
    <row r="4198" spans="1:26" x14ac:dyDescent="0.2">
      <c r="A4198" s="6">
        <v>7250</v>
      </c>
      <c r="B4198" s="7">
        <v>51713</v>
      </c>
      <c r="C4198" s="8">
        <f>DATE(2012,12,31)-653</f>
        <v>40621</v>
      </c>
      <c r="D4198" s="8" t="str">
        <f t="shared" si="78"/>
        <v>2011-03 (март 2011)</v>
      </c>
      <c r="E4198" s="9" t="s">
        <v>45</v>
      </c>
      <c r="F4198" s="7">
        <v>35</v>
      </c>
      <c r="G4198" s="7">
        <v>133.07</v>
      </c>
      <c r="H4198" s="7">
        <v>0.02</v>
      </c>
      <c r="I4198" s="9" t="s">
        <v>22</v>
      </c>
      <c r="J4198" s="10">
        <v>-15.96</v>
      </c>
      <c r="K4198" s="11">
        <v>3.74</v>
      </c>
      <c r="L4198" s="11">
        <v>0.94</v>
      </c>
      <c r="M4198" s="9" t="s">
        <v>1736</v>
      </c>
      <c r="N4198" s="6" t="s">
        <v>1123</v>
      </c>
      <c r="O4198" s="6" t="s">
        <v>1123</v>
      </c>
      <c r="P4198" s="9" t="s">
        <v>41</v>
      </c>
      <c r="Q4198" s="9" t="s">
        <v>26</v>
      </c>
      <c r="R4198" s="9" t="s">
        <v>66</v>
      </c>
      <c r="S4198" s="7" t="s">
        <v>1450</v>
      </c>
      <c r="T4198" s="9" t="s">
        <v>68</v>
      </c>
      <c r="U4198" s="7">
        <v>0.83</v>
      </c>
      <c r="V4198" s="12">
        <f>C4198+1</f>
        <v>40622</v>
      </c>
      <c r="W4198">
        <f>IF(D4198=' Pivot Tables'!$A$4,1,0)</f>
        <v>0</v>
      </c>
      <c r="X4198">
        <f>IF(AND(LEFT(D4198,4)+1=LEFT(' Pivot Tables'!$A$4,4)+0,RIGHT(LEFT(D4198,7),2)=RIGHT(LEFT(' Pivot Tables'!$A$4,7),2)),1,0)</f>
        <v>0</v>
      </c>
      <c r="Y4198" s="6">
        <f>1/COUNTIF(Таблица1[Order ID],Таблица1[[#This Row],[Order ID]])</f>
        <v>1</v>
      </c>
      <c r="Z4198" s="9">
        <f>1/COUNTIFS(Таблица1[Customer Name],Таблица1[[#This Row],[Customer Name]],Таблица1[Order-Year-Month],Таблица1[[#This Row],[Order-Year-Month]])</f>
        <v>1</v>
      </c>
    </row>
    <row r="4199" spans="1:26" x14ac:dyDescent="0.2">
      <c r="A4199" s="6">
        <v>7296</v>
      </c>
      <c r="B4199" s="7">
        <v>52007</v>
      </c>
      <c r="C4199" s="8">
        <f>DATE(2012,12,31)-261</f>
        <v>41013</v>
      </c>
      <c r="D4199" s="8" t="str">
        <f t="shared" si="78"/>
        <v>2012-04 (апрель 2012)</v>
      </c>
      <c r="E4199" s="9" t="s">
        <v>63</v>
      </c>
      <c r="F4199" s="7">
        <v>25</v>
      </c>
      <c r="G4199" s="7">
        <v>68.540000000000006</v>
      </c>
      <c r="H4199" s="7">
        <v>0.1</v>
      </c>
      <c r="I4199" s="9" t="s">
        <v>22</v>
      </c>
      <c r="J4199" s="10">
        <v>22.2</v>
      </c>
      <c r="K4199" s="11">
        <v>2.88</v>
      </c>
      <c r="L4199" s="11">
        <v>0.5</v>
      </c>
      <c r="M4199" s="9" t="s">
        <v>1726</v>
      </c>
      <c r="N4199" s="6" t="s">
        <v>1123</v>
      </c>
      <c r="O4199" s="6" t="s">
        <v>1123</v>
      </c>
      <c r="P4199" s="9" t="s">
        <v>33</v>
      </c>
      <c r="Q4199" s="9" t="s">
        <v>26</v>
      </c>
      <c r="R4199" s="9" t="s">
        <v>88</v>
      </c>
      <c r="S4199" s="7" t="s">
        <v>328</v>
      </c>
      <c r="T4199" s="9" t="s">
        <v>39</v>
      </c>
      <c r="U4199" s="7">
        <v>0.39</v>
      </c>
      <c r="V4199" s="12">
        <f>C4199+0</f>
        <v>41013</v>
      </c>
      <c r="W4199">
        <f>IF(D4199=' Pivot Tables'!$A$4,1,0)</f>
        <v>0</v>
      </c>
      <c r="X4199">
        <f>IF(AND(LEFT(D4199,4)+1=LEFT(' Pivot Tables'!$A$4,4)+0,RIGHT(LEFT(D4199,7),2)=RIGHT(LEFT(' Pivot Tables'!$A$4,7),2)),1,0)</f>
        <v>0</v>
      </c>
      <c r="Y4199" s="6">
        <f>1/COUNTIF(Таблица1[Order ID],Таблица1[[#This Row],[Order ID]])</f>
        <v>0.5</v>
      </c>
      <c r="Z4199" s="9">
        <f>1/COUNTIFS(Таблица1[Customer Name],Таблица1[[#This Row],[Customer Name]],Таблица1[Order-Year-Month],Таблица1[[#This Row],[Order-Year-Month]])</f>
        <v>0.5</v>
      </c>
    </row>
    <row r="4200" spans="1:26" x14ac:dyDescent="0.2">
      <c r="A4200" s="6">
        <v>7297</v>
      </c>
      <c r="B4200" s="7">
        <v>52007</v>
      </c>
      <c r="C4200" s="8">
        <f>DATE(2012,12,31)-261</f>
        <v>41013</v>
      </c>
      <c r="D4200" s="8" t="str">
        <f t="shared" si="78"/>
        <v>2012-04 (апрель 2012)</v>
      </c>
      <c r="E4200" s="9" t="s">
        <v>63</v>
      </c>
      <c r="F4200" s="7">
        <v>19</v>
      </c>
      <c r="G4200" s="7">
        <v>10351.01</v>
      </c>
      <c r="H4200" s="7">
        <v>0.08</v>
      </c>
      <c r="I4200" s="9" t="s">
        <v>31</v>
      </c>
      <c r="J4200" s="10">
        <v>-1331.5533660000001</v>
      </c>
      <c r="K4200" s="11">
        <v>550.98</v>
      </c>
      <c r="L4200" s="11">
        <v>45.7</v>
      </c>
      <c r="M4200" s="9" t="s">
        <v>1726</v>
      </c>
      <c r="N4200" s="6" t="s">
        <v>1123</v>
      </c>
      <c r="O4200" s="6" t="s">
        <v>1123</v>
      </c>
      <c r="P4200" s="9" t="s">
        <v>33</v>
      </c>
      <c r="Q4200" s="9" t="s">
        <v>49</v>
      </c>
      <c r="R4200" s="9" t="s">
        <v>83</v>
      </c>
      <c r="S4200" s="7" t="s">
        <v>1557</v>
      </c>
      <c r="T4200" s="9" t="s">
        <v>82</v>
      </c>
      <c r="U4200" s="7">
        <v>0.71</v>
      </c>
      <c r="V4200" s="12">
        <f>C4200+1</f>
        <v>41014</v>
      </c>
      <c r="W4200">
        <f>IF(D4200=' Pivot Tables'!$A$4,1,0)</f>
        <v>0</v>
      </c>
      <c r="X4200">
        <f>IF(AND(LEFT(D4200,4)+1=LEFT(' Pivot Tables'!$A$4,4)+0,RIGHT(LEFT(D4200,7),2)=RIGHT(LEFT(' Pivot Tables'!$A$4,7),2)),1,0)</f>
        <v>0</v>
      </c>
      <c r="Y4200" s="6">
        <f>1/COUNTIF(Таблица1[Order ID],Таблица1[[#This Row],[Order ID]])</f>
        <v>0.5</v>
      </c>
      <c r="Z4200" s="9">
        <f>1/COUNTIFS(Таблица1[Customer Name],Таблица1[[#This Row],[Customer Name]],Таблица1[Order-Year-Month],Таблица1[[#This Row],[Order-Year-Month]])</f>
        <v>0.5</v>
      </c>
    </row>
    <row r="4201" spans="1:26" x14ac:dyDescent="0.2">
      <c r="A4201" s="6">
        <v>7317</v>
      </c>
      <c r="B4201" s="7">
        <v>52164</v>
      </c>
      <c r="C4201" s="8">
        <f>DATE(2012,12,31)-262</f>
        <v>41012</v>
      </c>
      <c r="D4201" s="8" t="str">
        <f t="shared" si="78"/>
        <v>2012-04 (апрель 2012)</v>
      </c>
      <c r="E4201" s="9" t="s">
        <v>45</v>
      </c>
      <c r="F4201" s="7">
        <v>30</v>
      </c>
      <c r="G4201" s="7">
        <v>1824.848</v>
      </c>
      <c r="H4201" s="7">
        <v>0</v>
      </c>
      <c r="I4201" s="9" t="s">
        <v>22</v>
      </c>
      <c r="J4201" s="10">
        <v>364.23</v>
      </c>
      <c r="K4201" s="11">
        <v>65.989999999999995</v>
      </c>
      <c r="L4201" s="11">
        <v>8.8000000000000007</v>
      </c>
      <c r="M4201" s="9" t="s">
        <v>1725</v>
      </c>
      <c r="N4201" s="6" t="s">
        <v>1123</v>
      </c>
      <c r="O4201" s="6" t="s">
        <v>1123</v>
      </c>
      <c r="P4201" s="9" t="s">
        <v>25</v>
      </c>
      <c r="Q4201" s="9" t="s">
        <v>42</v>
      </c>
      <c r="R4201" s="9" t="s">
        <v>43</v>
      </c>
      <c r="S4201" s="7" t="s">
        <v>1132</v>
      </c>
      <c r="T4201" s="9" t="s">
        <v>39</v>
      </c>
      <c r="U4201" s="7">
        <v>0.57999999999999996</v>
      </c>
      <c r="V4201" s="12">
        <f>C4201+2</f>
        <v>41014</v>
      </c>
      <c r="W4201">
        <f>IF(D4201=' Pivot Tables'!$A$4,1,0)</f>
        <v>0</v>
      </c>
      <c r="X4201">
        <f>IF(AND(LEFT(D4201,4)+1=LEFT(' Pivot Tables'!$A$4,4)+0,RIGHT(LEFT(D4201,7),2)=RIGHT(LEFT(' Pivot Tables'!$A$4,7),2)),1,0)</f>
        <v>0</v>
      </c>
      <c r="Y4201" s="6">
        <f>1/COUNTIF(Таблица1[Order ID],Таблица1[[#This Row],[Order ID]])</f>
        <v>1</v>
      </c>
      <c r="Z4201" s="9">
        <f>1/COUNTIFS(Таблица1[Customer Name],Таблица1[[#This Row],[Customer Name]],Таблица1[Order-Year-Month],Таблица1[[#This Row],[Order-Year-Month]])</f>
        <v>0.5</v>
      </c>
    </row>
    <row r="4202" spans="1:26" x14ac:dyDescent="0.2">
      <c r="A4202" s="6">
        <v>7367</v>
      </c>
      <c r="B4202" s="7">
        <v>52512</v>
      </c>
      <c r="C4202" s="8">
        <f>DATE(2012,12,31)-543</f>
        <v>40731</v>
      </c>
      <c r="D4202" s="8" t="str">
        <f t="shared" si="78"/>
        <v>2011-07 (июль 2011)</v>
      </c>
      <c r="E4202" s="9" t="s">
        <v>30</v>
      </c>
      <c r="F4202" s="7">
        <v>4</v>
      </c>
      <c r="G4202" s="7">
        <v>49.86</v>
      </c>
      <c r="H4202" s="7">
        <v>0.09</v>
      </c>
      <c r="I4202" s="9" t="s">
        <v>22</v>
      </c>
      <c r="J4202" s="10">
        <v>-21.77</v>
      </c>
      <c r="K4202" s="11">
        <v>11.97</v>
      </c>
      <c r="L4202" s="11">
        <v>4.9800000000000004</v>
      </c>
      <c r="M4202" s="9" t="s">
        <v>1723</v>
      </c>
      <c r="N4202" s="6" t="s">
        <v>1123</v>
      </c>
      <c r="O4202" s="6" t="s">
        <v>1123</v>
      </c>
      <c r="P4202" s="9" t="s">
        <v>33</v>
      </c>
      <c r="Q4202" s="9" t="s">
        <v>26</v>
      </c>
      <c r="R4202" s="9" t="s">
        <v>34</v>
      </c>
      <c r="S4202" s="7" t="s">
        <v>274</v>
      </c>
      <c r="T4202" s="9" t="s">
        <v>39</v>
      </c>
      <c r="U4202" s="7">
        <v>0.57999999999999996</v>
      </c>
      <c r="V4202" s="12">
        <f>C4202+2</f>
        <v>40733</v>
      </c>
      <c r="W4202">
        <f>IF(D4202=' Pivot Tables'!$A$4,1,0)</f>
        <v>0</v>
      </c>
      <c r="X4202">
        <f>IF(AND(LEFT(D4202,4)+1=LEFT(' Pivot Tables'!$A$4,4)+0,RIGHT(LEFT(D4202,7),2)=RIGHT(LEFT(' Pivot Tables'!$A$4,7),2)),1,0)</f>
        <v>0</v>
      </c>
      <c r="Y4202" s="6">
        <f>1/COUNTIF(Таблица1[Order ID],Таблица1[[#This Row],[Order ID]])</f>
        <v>0.5</v>
      </c>
      <c r="Z4202" s="9">
        <f>1/COUNTIFS(Таблица1[Customer Name],Таблица1[[#This Row],[Customer Name]],Таблица1[Order-Year-Month],Таблица1[[#This Row],[Order-Year-Month]])</f>
        <v>0.33333333333333331</v>
      </c>
    </row>
    <row r="4203" spans="1:26" x14ac:dyDescent="0.2">
      <c r="A4203" s="6">
        <v>7368</v>
      </c>
      <c r="B4203" s="7">
        <v>52512</v>
      </c>
      <c r="C4203" s="8">
        <f>DATE(2012,12,31)-543</f>
        <v>40731</v>
      </c>
      <c r="D4203" s="8" t="str">
        <f t="shared" si="78"/>
        <v>2011-07 (июль 2011)</v>
      </c>
      <c r="E4203" s="9" t="s">
        <v>30</v>
      </c>
      <c r="F4203" s="7">
        <v>32</v>
      </c>
      <c r="G4203" s="7">
        <v>197.49</v>
      </c>
      <c r="H4203" s="7">
        <v>0.08</v>
      </c>
      <c r="I4203" s="9" t="s">
        <v>56</v>
      </c>
      <c r="J4203" s="10">
        <v>-52.842500000000001</v>
      </c>
      <c r="K4203" s="11">
        <v>5.74</v>
      </c>
      <c r="L4203" s="11">
        <v>5.01</v>
      </c>
      <c r="M4203" s="9" t="s">
        <v>1723</v>
      </c>
      <c r="N4203" s="6" t="s">
        <v>1123</v>
      </c>
      <c r="O4203" s="6" t="s">
        <v>1123</v>
      </c>
      <c r="P4203" s="9" t="s">
        <v>33</v>
      </c>
      <c r="Q4203" s="9" t="s">
        <v>26</v>
      </c>
      <c r="R4203" s="9" t="s">
        <v>37</v>
      </c>
      <c r="S4203" s="7" t="s">
        <v>363</v>
      </c>
      <c r="T4203" s="9" t="s">
        <v>39</v>
      </c>
      <c r="U4203" s="7">
        <v>0.39</v>
      </c>
      <c r="V4203" s="12">
        <f>C4203+2</f>
        <v>40733</v>
      </c>
      <c r="W4203">
        <f>IF(D4203=' Pivot Tables'!$A$4,1,0)</f>
        <v>0</v>
      </c>
      <c r="X4203">
        <f>IF(AND(LEFT(D4203,4)+1=LEFT(' Pivot Tables'!$A$4,4)+0,RIGHT(LEFT(D4203,7),2)=RIGHT(LEFT(' Pivot Tables'!$A$4,7),2)),1,0)</f>
        <v>0</v>
      </c>
      <c r="Y4203" s="6">
        <f>1/COUNTIF(Таблица1[Order ID],Таблица1[[#This Row],[Order ID]])</f>
        <v>0.5</v>
      </c>
      <c r="Z4203" s="9">
        <f>1/COUNTIFS(Таблица1[Customer Name],Таблица1[[#This Row],[Customer Name]],Таблица1[Order-Year-Month],Таблица1[[#This Row],[Order-Year-Month]])</f>
        <v>0.33333333333333331</v>
      </c>
    </row>
    <row r="4204" spans="1:26" x14ac:dyDescent="0.2">
      <c r="A4204" s="6">
        <v>7379</v>
      </c>
      <c r="B4204" s="7">
        <v>52611</v>
      </c>
      <c r="C4204" s="8">
        <f>DATE(2012,12,31)-616</f>
        <v>40658</v>
      </c>
      <c r="D4204" s="8" t="str">
        <f t="shared" si="78"/>
        <v>2011-04 (апрель 2011)</v>
      </c>
      <c r="E4204" s="9" t="s">
        <v>63</v>
      </c>
      <c r="F4204" s="7">
        <v>11</v>
      </c>
      <c r="G4204" s="7">
        <v>24.95</v>
      </c>
      <c r="H4204" s="7">
        <v>0.09</v>
      </c>
      <c r="I4204" s="9" t="s">
        <v>22</v>
      </c>
      <c r="J4204" s="10">
        <v>-5.14</v>
      </c>
      <c r="K4204" s="11">
        <v>2.1800000000000002</v>
      </c>
      <c r="L4204" s="11">
        <v>1.38</v>
      </c>
      <c r="M4204" s="9" t="s">
        <v>1757</v>
      </c>
      <c r="N4204" s="6" t="s">
        <v>1123</v>
      </c>
      <c r="O4204" s="6" t="s">
        <v>1123</v>
      </c>
      <c r="P4204" s="9" t="s">
        <v>41</v>
      </c>
      <c r="Q4204" s="9" t="s">
        <v>26</v>
      </c>
      <c r="R4204" s="9" t="s">
        <v>66</v>
      </c>
      <c r="S4204" s="7" t="s">
        <v>1577</v>
      </c>
      <c r="T4204" s="9" t="s">
        <v>68</v>
      </c>
      <c r="U4204" s="7">
        <v>0.44</v>
      </c>
      <c r="V4204" s="12">
        <f>C4204+0</f>
        <v>40658</v>
      </c>
      <c r="W4204">
        <f>IF(D4204=' Pivot Tables'!$A$4,1,0)</f>
        <v>0</v>
      </c>
      <c r="X4204">
        <f>IF(AND(LEFT(D4204,4)+1=LEFT(' Pivot Tables'!$A$4,4)+0,RIGHT(LEFT(D4204,7),2)=RIGHT(LEFT(' Pivot Tables'!$A$4,7),2)),1,0)</f>
        <v>0</v>
      </c>
      <c r="Y4204" s="6">
        <f>1/COUNTIF(Таблица1[Order ID],Таблица1[[#This Row],[Order ID]])</f>
        <v>1</v>
      </c>
      <c r="Z4204" s="9">
        <f>1/COUNTIFS(Таблица1[Customer Name],Таблица1[[#This Row],[Customer Name]],Таблица1[Order-Year-Month],Таблица1[[#This Row],[Order-Year-Month]])</f>
        <v>1</v>
      </c>
    </row>
    <row r="4205" spans="1:26" x14ac:dyDescent="0.2">
      <c r="A4205" s="6">
        <v>7403</v>
      </c>
      <c r="B4205" s="7">
        <v>52805</v>
      </c>
      <c r="C4205" s="8">
        <f>DATE(2012,12,31)-460</f>
        <v>40814</v>
      </c>
      <c r="D4205" s="8" t="str">
        <f t="shared" si="78"/>
        <v>2011-09 (сентябрь 2011)</v>
      </c>
      <c r="E4205" s="9" t="s">
        <v>30</v>
      </c>
      <c r="F4205" s="7">
        <v>20</v>
      </c>
      <c r="G4205" s="7">
        <v>596.55999999999995</v>
      </c>
      <c r="H4205" s="7">
        <v>0.04</v>
      </c>
      <c r="I4205" s="9" t="s">
        <v>56</v>
      </c>
      <c r="J4205" s="10">
        <v>60.7</v>
      </c>
      <c r="K4205" s="11">
        <v>29.99</v>
      </c>
      <c r="L4205" s="11">
        <v>5.5</v>
      </c>
      <c r="M4205" s="9" t="s">
        <v>1744</v>
      </c>
      <c r="N4205" s="6" t="s">
        <v>1123</v>
      </c>
      <c r="O4205" s="6" t="s">
        <v>1123</v>
      </c>
      <c r="P4205" s="9" t="s">
        <v>41</v>
      </c>
      <c r="Q4205" s="9" t="s">
        <v>42</v>
      </c>
      <c r="R4205" s="9" t="s">
        <v>70</v>
      </c>
      <c r="S4205" s="7" t="s">
        <v>1177</v>
      </c>
      <c r="T4205" s="9" t="s">
        <v>39</v>
      </c>
      <c r="U4205" s="7">
        <v>0.51</v>
      </c>
      <c r="V4205" s="12">
        <f>C4205+0</f>
        <v>40814</v>
      </c>
      <c r="W4205">
        <f>IF(D4205=' Pivot Tables'!$A$4,1,0)</f>
        <v>0</v>
      </c>
      <c r="X4205">
        <f>IF(AND(LEFT(D4205,4)+1=LEFT(' Pivot Tables'!$A$4,4)+0,RIGHT(LEFT(D4205,7),2)=RIGHT(LEFT(' Pivot Tables'!$A$4,7),2)),1,0)</f>
        <v>0</v>
      </c>
      <c r="Y4205" s="6">
        <f>1/COUNTIF(Таблица1[Order ID],Таблица1[[#This Row],[Order ID]])</f>
        <v>1</v>
      </c>
      <c r="Z4205" s="9">
        <f>1/COUNTIFS(Таблица1[Customer Name],Таблица1[[#This Row],[Customer Name]],Таблица1[Order-Year-Month],Таблица1[[#This Row],[Order-Year-Month]])</f>
        <v>1</v>
      </c>
    </row>
    <row r="4206" spans="1:26" x14ac:dyDescent="0.2">
      <c r="A4206" s="6">
        <v>7405</v>
      </c>
      <c r="B4206" s="7">
        <v>52833</v>
      </c>
      <c r="C4206" s="8">
        <f>DATE(2012,12,31)-373</f>
        <v>40901</v>
      </c>
      <c r="D4206" s="8" t="str">
        <f t="shared" si="78"/>
        <v>2011-12 (декабрь 2011)</v>
      </c>
      <c r="E4206" s="9" t="s">
        <v>63</v>
      </c>
      <c r="F4206" s="7">
        <v>8</v>
      </c>
      <c r="G4206" s="7">
        <v>317.82</v>
      </c>
      <c r="H4206" s="7">
        <v>0.02</v>
      </c>
      <c r="I4206" s="9" t="s">
        <v>22</v>
      </c>
      <c r="J4206" s="10">
        <v>-33.090000000000003</v>
      </c>
      <c r="K4206" s="11">
        <v>37.76</v>
      </c>
      <c r="L4206" s="11">
        <v>12.9</v>
      </c>
      <c r="M4206" s="9" t="s">
        <v>1767</v>
      </c>
      <c r="N4206" s="6" t="s">
        <v>1123</v>
      </c>
      <c r="O4206" s="6" t="s">
        <v>1123</v>
      </c>
      <c r="P4206" s="9" t="s">
        <v>33</v>
      </c>
      <c r="Q4206" s="9" t="s">
        <v>26</v>
      </c>
      <c r="R4206" s="9" t="s">
        <v>27</v>
      </c>
      <c r="S4206" s="7" t="s">
        <v>1087</v>
      </c>
      <c r="T4206" s="9" t="s">
        <v>39</v>
      </c>
      <c r="U4206" s="7">
        <v>0.56999999999999995</v>
      </c>
      <c r="V4206" s="12">
        <f>C4206+1</f>
        <v>40902</v>
      </c>
      <c r="W4206">
        <f>IF(D4206=' Pivot Tables'!$A$4,1,0)</f>
        <v>0</v>
      </c>
      <c r="X4206">
        <f>IF(AND(LEFT(D4206,4)+1=LEFT(' Pivot Tables'!$A$4,4)+0,RIGHT(LEFT(D4206,7),2)=RIGHT(LEFT(' Pivot Tables'!$A$4,7),2)),1,0)</f>
        <v>0</v>
      </c>
      <c r="Y4206" s="6">
        <f>1/COUNTIF(Таблица1[Order ID],Таблица1[[#This Row],[Order ID]])</f>
        <v>1</v>
      </c>
      <c r="Z4206" s="9">
        <f>1/COUNTIFS(Таблица1[Customer Name],Таблица1[[#This Row],[Customer Name]],Таблица1[Order-Year-Month],Таблица1[[#This Row],[Order-Year-Month]])</f>
        <v>1</v>
      </c>
    </row>
    <row r="4207" spans="1:26" x14ac:dyDescent="0.2">
      <c r="A4207" s="6">
        <v>7423</v>
      </c>
      <c r="B4207" s="7">
        <v>52930</v>
      </c>
      <c r="C4207" s="8">
        <f>DATE(2012,12,31)-419</f>
        <v>40855</v>
      </c>
      <c r="D4207" s="8" t="str">
        <f t="shared" si="78"/>
        <v>2011-11 (ноябрь 2011)</v>
      </c>
      <c r="E4207" s="9" t="s">
        <v>21</v>
      </c>
      <c r="F4207" s="7">
        <v>16</v>
      </c>
      <c r="G4207" s="7">
        <v>136.97999999999999</v>
      </c>
      <c r="H4207" s="7">
        <v>0.04</v>
      </c>
      <c r="I4207" s="9" t="s">
        <v>22</v>
      </c>
      <c r="J4207" s="10">
        <v>44.12</v>
      </c>
      <c r="K4207" s="11">
        <v>8.74</v>
      </c>
      <c r="L4207" s="11">
        <v>1.39</v>
      </c>
      <c r="M4207" s="9" t="s">
        <v>826</v>
      </c>
      <c r="N4207" s="6" t="s">
        <v>1123</v>
      </c>
      <c r="O4207" s="6" t="s">
        <v>1123</v>
      </c>
      <c r="P4207" s="9" t="s">
        <v>41</v>
      </c>
      <c r="Q4207" s="9" t="s">
        <v>26</v>
      </c>
      <c r="R4207" s="9" t="s">
        <v>76</v>
      </c>
      <c r="S4207" s="7" t="s">
        <v>567</v>
      </c>
      <c r="T4207" s="9" t="s">
        <v>39</v>
      </c>
      <c r="U4207" s="7">
        <v>0.38</v>
      </c>
      <c r="V4207" s="12">
        <f>C4207+4</f>
        <v>40859</v>
      </c>
      <c r="W4207">
        <f>IF(D4207=' Pivot Tables'!$A$4,1,0)</f>
        <v>0</v>
      </c>
      <c r="X4207">
        <f>IF(AND(LEFT(D4207,4)+1=LEFT(' Pivot Tables'!$A$4,4)+0,RIGHT(LEFT(D4207,7),2)=RIGHT(LEFT(' Pivot Tables'!$A$4,7),2)),1,0)</f>
        <v>0</v>
      </c>
      <c r="Y4207" s="6">
        <f>1/COUNTIF(Таблица1[Order ID],Таблица1[[#This Row],[Order ID]])</f>
        <v>0.25</v>
      </c>
      <c r="Z4207" s="9">
        <f>1/COUNTIFS(Таблица1[Customer Name],Таблица1[[#This Row],[Customer Name]],Таблица1[Order-Year-Month],Таблица1[[#This Row],[Order-Year-Month]])</f>
        <v>0.2</v>
      </c>
    </row>
    <row r="4208" spans="1:26" x14ac:dyDescent="0.2">
      <c r="A4208" s="6">
        <v>7424</v>
      </c>
      <c r="B4208" s="7">
        <v>52930</v>
      </c>
      <c r="C4208" s="8">
        <f>DATE(2012,12,31)-419</f>
        <v>40855</v>
      </c>
      <c r="D4208" s="8" t="str">
        <f t="shared" si="78"/>
        <v>2011-11 (ноябрь 2011)</v>
      </c>
      <c r="E4208" s="9" t="s">
        <v>21</v>
      </c>
      <c r="F4208" s="7">
        <v>39</v>
      </c>
      <c r="G4208" s="7">
        <v>225.17</v>
      </c>
      <c r="H4208" s="7">
        <v>0.1</v>
      </c>
      <c r="I4208" s="9" t="s">
        <v>22</v>
      </c>
      <c r="J4208" s="10">
        <v>-183.05</v>
      </c>
      <c r="K4208" s="11">
        <v>5.78</v>
      </c>
      <c r="L4208" s="11">
        <v>8.09</v>
      </c>
      <c r="M4208" s="9" t="s">
        <v>826</v>
      </c>
      <c r="N4208" s="6" t="s">
        <v>1123</v>
      </c>
      <c r="O4208" s="6" t="s">
        <v>1123</v>
      </c>
      <c r="P4208" s="9" t="s">
        <v>41</v>
      </c>
      <c r="Q4208" s="9" t="s">
        <v>26</v>
      </c>
      <c r="R4208" s="9" t="s">
        <v>61</v>
      </c>
      <c r="S4208" s="7" t="s">
        <v>259</v>
      </c>
      <c r="T4208" s="9" t="s">
        <v>39</v>
      </c>
      <c r="U4208" s="7">
        <v>0.36</v>
      </c>
      <c r="V4208" s="12">
        <f>C4208+5</f>
        <v>40860</v>
      </c>
      <c r="W4208">
        <f>IF(D4208=' Pivot Tables'!$A$4,1,0)</f>
        <v>0</v>
      </c>
      <c r="X4208">
        <f>IF(AND(LEFT(D4208,4)+1=LEFT(' Pivot Tables'!$A$4,4)+0,RIGHT(LEFT(D4208,7),2)=RIGHT(LEFT(' Pivot Tables'!$A$4,7),2)),1,0)</f>
        <v>0</v>
      </c>
      <c r="Y4208" s="6">
        <f>1/COUNTIF(Таблица1[Order ID],Таблица1[[#This Row],[Order ID]])</f>
        <v>0.25</v>
      </c>
      <c r="Z4208" s="9">
        <f>1/COUNTIFS(Таблица1[Customer Name],Таблица1[[#This Row],[Customer Name]],Таблица1[Order-Year-Month],Таблица1[[#This Row],[Order-Year-Month]])</f>
        <v>0.2</v>
      </c>
    </row>
    <row r="4209" spans="1:26" x14ac:dyDescent="0.2">
      <c r="A4209" s="6">
        <v>7425</v>
      </c>
      <c r="B4209" s="7">
        <v>52930</v>
      </c>
      <c r="C4209" s="8">
        <f>DATE(2012,12,31)-419</f>
        <v>40855</v>
      </c>
      <c r="D4209" s="8" t="str">
        <f t="shared" si="78"/>
        <v>2011-11 (ноябрь 2011)</v>
      </c>
      <c r="E4209" s="9" t="s">
        <v>21</v>
      </c>
      <c r="F4209" s="7">
        <v>24</v>
      </c>
      <c r="G4209" s="7">
        <v>1112.1569999999999</v>
      </c>
      <c r="H4209" s="7">
        <v>0.09</v>
      </c>
      <c r="I4209" s="9" t="s">
        <v>22</v>
      </c>
      <c r="J4209" s="10">
        <v>140.80500000000001</v>
      </c>
      <c r="K4209" s="11">
        <v>55.99</v>
      </c>
      <c r="L4209" s="11">
        <v>3.3</v>
      </c>
      <c r="M4209" s="9" t="s">
        <v>826</v>
      </c>
      <c r="N4209" s="6" t="s">
        <v>1123</v>
      </c>
      <c r="O4209" s="6" t="s">
        <v>1123</v>
      </c>
      <c r="P4209" s="9" t="s">
        <v>41</v>
      </c>
      <c r="Q4209" s="9" t="s">
        <v>42</v>
      </c>
      <c r="R4209" s="9" t="s">
        <v>43</v>
      </c>
      <c r="S4209" s="7" t="s">
        <v>292</v>
      </c>
      <c r="T4209" s="9" t="s">
        <v>52</v>
      </c>
      <c r="U4209" s="7">
        <v>0.59</v>
      </c>
      <c r="V4209" s="12">
        <f>C4209+0</f>
        <v>40855</v>
      </c>
      <c r="W4209">
        <f>IF(D4209=' Pivot Tables'!$A$4,1,0)</f>
        <v>0</v>
      </c>
      <c r="X4209">
        <f>IF(AND(LEFT(D4209,4)+1=LEFT(' Pivot Tables'!$A$4,4)+0,RIGHT(LEFT(D4209,7),2)=RIGHT(LEFT(' Pivot Tables'!$A$4,7),2)),1,0)</f>
        <v>0</v>
      </c>
      <c r="Y4209" s="6">
        <f>1/COUNTIF(Таблица1[Order ID],Таблица1[[#This Row],[Order ID]])</f>
        <v>0.25</v>
      </c>
      <c r="Z4209" s="9">
        <f>1/COUNTIFS(Таблица1[Customer Name],Таблица1[[#This Row],[Customer Name]],Таблица1[Order-Year-Month],Таблица1[[#This Row],[Order-Year-Month]])</f>
        <v>0.2</v>
      </c>
    </row>
    <row r="4210" spans="1:26" x14ac:dyDescent="0.2">
      <c r="A4210" s="6">
        <v>7426</v>
      </c>
      <c r="B4210" s="7">
        <v>52930</v>
      </c>
      <c r="C4210" s="8">
        <f>DATE(2012,12,31)-419</f>
        <v>40855</v>
      </c>
      <c r="D4210" s="8" t="str">
        <f t="shared" si="78"/>
        <v>2011-11 (ноябрь 2011)</v>
      </c>
      <c r="E4210" s="9" t="s">
        <v>21</v>
      </c>
      <c r="F4210" s="7">
        <v>40</v>
      </c>
      <c r="G4210" s="7">
        <v>1865.5884999999998</v>
      </c>
      <c r="H4210" s="7">
        <v>0.02</v>
      </c>
      <c r="I4210" s="9" t="s">
        <v>22</v>
      </c>
      <c r="J4210" s="10">
        <v>972.9</v>
      </c>
      <c r="K4210" s="11">
        <v>55.99</v>
      </c>
      <c r="L4210" s="11">
        <v>1.25</v>
      </c>
      <c r="M4210" s="9" t="s">
        <v>826</v>
      </c>
      <c r="N4210" s="6" t="s">
        <v>1123</v>
      </c>
      <c r="O4210" s="6" t="s">
        <v>1123</v>
      </c>
      <c r="P4210" s="9" t="s">
        <v>41</v>
      </c>
      <c r="Q4210" s="9" t="s">
        <v>42</v>
      </c>
      <c r="R4210" s="9" t="s">
        <v>43</v>
      </c>
      <c r="S4210" s="7" t="s">
        <v>946</v>
      </c>
      <c r="T4210" s="9" t="s">
        <v>52</v>
      </c>
      <c r="U4210" s="7">
        <v>0.35</v>
      </c>
      <c r="V4210" s="12">
        <f>C4210+0</f>
        <v>40855</v>
      </c>
      <c r="W4210">
        <f>IF(D4210=' Pivot Tables'!$A$4,1,0)</f>
        <v>0</v>
      </c>
      <c r="X4210">
        <f>IF(AND(LEFT(D4210,4)+1=LEFT(' Pivot Tables'!$A$4,4)+0,RIGHT(LEFT(D4210,7),2)=RIGHT(LEFT(' Pivot Tables'!$A$4,7),2)),1,0)</f>
        <v>0</v>
      </c>
      <c r="Y4210" s="6">
        <f>1/COUNTIF(Таблица1[Order ID],Таблица1[[#This Row],[Order ID]])</f>
        <v>0.25</v>
      </c>
      <c r="Z4210" s="9">
        <f>1/COUNTIFS(Таблица1[Customer Name],Таблица1[[#This Row],[Customer Name]],Таблица1[Order-Year-Month],Таблица1[[#This Row],[Order-Year-Month]])</f>
        <v>0.2</v>
      </c>
    </row>
    <row r="4211" spans="1:26" x14ac:dyDescent="0.2">
      <c r="A4211" s="6">
        <v>7446</v>
      </c>
      <c r="B4211" s="7">
        <v>53127</v>
      </c>
      <c r="C4211" s="8">
        <f>DATE(2012,12,31)-600</f>
        <v>40674</v>
      </c>
      <c r="D4211" s="8" t="str">
        <f t="shared" si="78"/>
        <v>2011-05 (май 2011)</v>
      </c>
      <c r="E4211" s="9" t="s">
        <v>30</v>
      </c>
      <c r="F4211" s="7">
        <v>50</v>
      </c>
      <c r="G4211" s="7">
        <v>1893.29</v>
      </c>
      <c r="H4211" s="7">
        <v>7.0000000000000007E-2</v>
      </c>
      <c r="I4211" s="9" t="s">
        <v>22</v>
      </c>
      <c r="J4211" s="10">
        <v>857.34400000000005</v>
      </c>
      <c r="K4211" s="11">
        <v>37.700000000000003</v>
      </c>
      <c r="L4211" s="11">
        <v>2.99</v>
      </c>
      <c r="M4211" s="9" t="s">
        <v>905</v>
      </c>
      <c r="N4211" s="6" t="s">
        <v>1123</v>
      </c>
      <c r="O4211" s="6" t="s">
        <v>1123</v>
      </c>
      <c r="P4211" s="9" t="s">
        <v>33</v>
      </c>
      <c r="Q4211" s="9" t="s">
        <v>26</v>
      </c>
      <c r="R4211" s="9" t="s">
        <v>37</v>
      </c>
      <c r="S4211" s="7" t="s">
        <v>952</v>
      </c>
      <c r="T4211" s="9" t="s">
        <v>39</v>
      </c>
      <c r="U4211" s="7">
        <v>0.35</v>
      </c>
      <c r="V4211" s="12">
        <f>C4211+1</f>
        <v>40675</v>
      </c>
      <c r="W4211">
        <f>IF(D4211=' Pivot Tables'!$A$4,1,0)</f>
        <v>0</v>
      </c>
      <c r="X4211">
        <f>IF(AND(LEFT(D4211,4)+1=LEFT(' Pivot Tables'!$A$4,4)+0,RIGHT(LEFT(D4211,7),2)=RIGHT(LEFT(' Pivot Tables'!$A$4,7),2)),1,0)</f>
        <v>0</v>
      </c>
      <c r="Y4211" s="6">
        <f>1/COUNTIF(Таблица1[Order ID],Таблица1[[#This Row],[Order ID]])</f>
        <v>0.5</v>
      </c>
      <c r="Z4211" s="9">
        <f>1/COUNTIFS(Таблица1[Customer Name],Таблица1[[#This Row],[Customer Name]],Таблица1[Order-Year-Month],Таблица1[[#This Row],[Order-Year-Month]])</f>
        <v>0.5</v>
      </c>
    </row>
    <row r="4212" spans="1:26" x14ac:dyDescent="0.2">
      <c r="A4212" s="6">
        <v>7447</v>
      </c>
      <c r="B4212" s="7">
        <v>53127</v>
      </c>
      <c r="C4212" s="8">
        <f>DATE(2012,12,31)-600</f>
        <v>40674</v>
      </c>
      <c r="D4212" s="8" t="str">
        <f t="shared" si="78"/>
        <v>2011-05 (май 2011)</v>
      </c>
      <c r="E4212" s="9" t="s">
        <v>30</v>
      </c>
      <c r="F4212" s="7">
        <v>49</v>
      </c>
      <c r="G4212" s="7">
        <v>2628.047</v>
      </c>
      <c r="H4212" s="7">
        <v>0.05</v>
      </c>
      <c r="I4212" s="9" t="s">
        <v>22</v>
      </c>
      <c r="J4212" s="10">
        <v>-137.95099999999999</v>
      </c>
      <c r="K4212" s="11">
        <v>65.989999999999995</v>
      </c>
      <c r="L4212" s="11">
        <v>19.989999999999998</v>
      </c>
      <c r="M4212" s="9" t="s">
        <v>905</v>
      </c>
      <c r="N4212" s="6" t="s">
        <v>1123</v>
      </c>
      <c r="O4212" s="6" t="s">
        <v>1123</v>
      </c>
      <c r="P4212" s="9" t="s">
        <v>33</v>
      </c>
      <c r="Q4212" s="9" t="s">
        <v>42</v>
      </c>
      <c r="R4212" s="9" t="s">
        <v>43</v>
      </c>
      <c r="S4212" s="7" t="s">
        <v>784</v>
      </c>
      <c r="T4212" s="9" t="s">
        <v>39</v>
      </c>
      <c r="U4212" s="7">
        <v>0.59</v>
      </c>
      <c r="V4212" s="12">
        <f>C4212+2</f>
        <v>40676</v>
      </c>
      <c r="W4212">
        <f>IF(D4212=' Pivot Tables'!$A$4,1,0)</f>
        <v>0</v>
      </c>
      <c r="X4212">
        <f>IF(AND(LEFT(D4212,4)+1=LEFT(' Pivot Tables'!$A$4,4)+0,RIGHT(LEFT(D4212,7),2)=RIGHT(LEFT(' Pivot Tables'!$A$4,7),2)),1,0)</f>
        <v>0</v>
      </c>
      <c r="Y4212" s="6">
        <f>1/COUNTIF(Таблица1[Order ID],Таблица1[[#This Row],[Order ID]])</f>
        <v>0.5</v>
      </c>
      <c r="Z4212" s="9">
        <f>1/COUNTIFS(Таблица1[Customer Name],Таблица1[[#This Row],[Customer Name]],Таблица1[Order-Year-Month],Таблица1[[#This Row],[Order-Year-Month]])</f>
        <v>0.5</v>
      </c>
    </row>
    <row r="4213" spans="1:26" x14ac:dyDescent="0.2">
      <c r="A4213" s="6">
        <v>7472</v>
      </c>
      <c r="B4213" s="7">
        <v>53349</v>
      </c>
      <c r="C4213" s="8">
        <f>DATE(2012,12,31)-996</f>
        <v>40278</v>
      </c>
      <c r="D4213" s="8" t="str">
        <f t="shared" si="78"/>
        <v>2010-04 (апрель 2010)</v>
      </c>
      <c r="E4213" s="9" t="s">
        <v>21</v>
      </c>
      <c r="F4213" s="7">
        <v>46</v>
      </c>
      <c r="G4213" s="7">
        <v>11002.66</v>
      </c>
      <c r="H4213" s="7">
        <v>7.0000000000000007E-2</v>
      </c>
      <c r="I4213" s="9" t="s">
        <v>31</v>
      </c>
      <c r="J4213" s="10">
        <v>2349.29</v>
      </c>
      <c r="K4213" s="11">
        <v>243.98</v>
      </c>
      <c r="L4213" s="11">
        <v>43.32</v>
      </c>
      <c r="M4213" s="9" t="s">
        <v>1726</v>
      </c>
      <c r="N4213" s="6" t="s">
        <v>1123</v>
      </c>
      <c r="O4213" s="6" t="s">
        <v>1123</v>
      </c>
      <c r="P4213" s="9" t="s">
        <v>41</v>
      </c>
      <c r="Q4213" s="9" t="s">
        <v>49</v>
      </c>
      <c r="R4213" s="9" t="s">
        <v>112</v>
      </c>
      <c r="S4213" s="7" t="s">
        <v>237</v>
      </c>
      <c r="T4213" s="9" t="s">
        <v>36</v>
      </c>
      <c r="U4213" s="7">
        <v>0.55000000000000004</v>
      </c>
      <c r="V4213" s="12">
        <f>C4213+9</f>
        <v>40287</v>
      </c>
      <c r="W4213">
        <f>IF(D4213=' Pivot Tables'!$A$4,1,0)</f>
        <v>0</v>
      </c>
      <c r="X4213">
        <f>IF(AND(LEFT(D4213,4)+1=LEFT(' Pivot Tables'!$A$4,4)+0,RIGHT(LEFT(D4213,7),2)=RIGHT(LEFT(' Pivot Tables'!$A$4,7),2)),1,0)</f>
        <v>0</v>
      </c>
      <c r="Y4213" s="6">
        <f>1/COUNTIF(Таблица1[Order ID],Таблица1[[#This Row],[Order ID]])</f>
        <v>1</v>
      </c>
      <c r="Z4213" s="9">
        <f>1/COUNTIFS(Таблица1[Customer Name],Таблица1[[#This Row],[Customer Name]],Таблица1[Order-Year-Month],Таблица1[[#This Row],[Order-Year-Month]])</f>
        <v>1</v>
      </c>
    </row>
    <row r="4214" spans="1:26" x14ac:dyDescent="0.2">
      <c r="A4214" s="6">
        <v>7489</v>
      </c>
      <c r="B4214" s="7">
        <v>53476</v>
      </c>
      <c r="C4214" s="8">
        <f>DATE(2012,12,31)-1299</f>
        <v>39975</v>
      </c>
      <c r="D4214" s="8" t="str">
        <f t="shared" si="78"/>
        <v>2009-06 (июнь 2009)</v>
      </c>
      <c r="E4214" s="9" t="s">
        <v>45</v>
      </c>
      <c r="F4214" s="7">
        <v>14</v>
      </c>
      <c r="G4214" s="7">
        <v>481.4</v>
      </c>
      <c r="H4214" s="7">
        <v>0.04</v>
      </c>
      <c r="I4214" s="9" t="s">
        <v>22</v>
      </c>
      <c r="J4214" s="10">
        <v>150.72</v>
      </c>
      <c r="K4214" s="11">
        <v>35.44</v>
      </c>
      <c r="L4214" s="11">
        <v>5.09</v>
      </c>
      <c r="M4214" s="9" t="s">
        <v>1733</v>
      </c>
      <c r="N4214" s="6" t="s">
        <v>1123</v>
      </c>
      <c r="O4214" s="6" t="s">
        <v>1123</v>
      </c>
      <c r="P4214" s="9" t="s">
        <v>25</v>
      </c>
      <c r="Q4214" s="9" t="s">
        <v>26</v>
      </c>
      <c r="R4214" s="9" t="s">
        <v>61</v>
      </c>
      <c r="S4214" s="7" t="s">
        <v>227</v>
      </c>
      <c r="T4214" s="9" t="s">
        <v>39</v>
      </c>
      <c r="U4214" s="7">
        <v>0.38</v>
      </c>
      <c r="V4214" s="12">
        <f>C4214+0</f>
        <v>39975</v>
      </c>
      <c r="W4214">
        <f>IF(D4214=' Pivot Tables'!$A$4,1,0)</f>
        <v>0</v>
      </c>
      <c r="X4214">
        <f>IF(AND(LEFT(D4214,4)+1=LEFT(' Pivot Tables'!$A$4,4)+0,RIGHT(LEFT(D4214,7),2)=RIGHT(LEFT(' Pivot Tables'!$A$4,7),2)),1,0)</f>
        <v>0</v>
      </c>
      <c r="Y4214" s="6">
        <f>1/COUNTIF(Таблица1[Order ID],Таблица1[[#This Row],[Order ID]])</f>
        <v>0.25</v>
      </c>
      <c r="Z4214" s="9">
        <f>1/COUNTIFS(Таблица1[Customer Name],Таблица1[[#This Row],[Customer Name]],Таблица1[Order-Year-Month],Таблица1[[#This Row],[Order-Year-Month]])</f>
        <v>0.25</v>
      </c>
    </row>
    <row r="4215" spans="1:26" x14ac:dyDescent="0.2">
      <c r="A4215" s="6">
        <v>7490</v>
      </c>
      <c r="B4215" s="7">
        <v>53476</v>
      </c>
      <c r="C4215" s="8">
        <f>DATE(2012,12,31)-1299</f>
        <v>39975</v>
      </c>
      <c r="D4215" s="8" t="str">
        <f t="shared" si="78"/>
        <v>2009-06 (июнь 2009)</v>
      </c>
      <c r="E4215" s="9" t="s">
        <v>45</v>
      </c>
      <c r="F4215" s="7">
        <v>24</v>
      </c>
      <c r="G4215" s="7">
        <v>93.85</v>
      </c>
      <c r="H4215" s="7">
        <v>0.08</v>
      </c>
      <c r="I4215" s="9" t="s">
        <v>22</v>
      </c>
      <c r="J4215" s="10">
        <v>19.420000000000002</v>
      </c>
      <c r="K4215" s="11">
        <v>3.98</v>
      </c>
      <c r="L4215" s="11">
        <v>0.7</v>
      </c>
      <c r="M4215" s="9" t="s">
        <v>1733</v>
      </c>
      <c r="N4215" s="6" t="s">
        <v>1123</v>
      </c>
      <c r="O4215" s="6" t="s">
        <v>1123</v>
      </c>
      <c r="P4215" s="9" t="s">
        <v>25</v>
      </c>
      <c r="Q4215" s="9" t="s">
        <v>26</v>
      </c>
      <c r="R4215" s="9" t="s">
        <v>95</v>
      </c>
      <c r="S4215" s="7" t="s">
        <v>1565</v>
      </c>
      <c r="T4215" s="9" t="s">
        <v>68</v>
      </c>
      <c r="U4215" s="7">
        <v>0.52</v>
      </c>
      <c r="V4215" s="12">
        <f>C4215+3</f>
        <v>39978</v>
      </c>
      <c r="W4215">
        <f>IF(D4215=' Pivot Tables'!$A$4,1,0)</f>
        <v>0</v>
      </c>
      <c r="X4215">
        <f>IF(AND(LEFT(D4215,4)+1=LEFT(' Pivot Tables'!$A$4,4)+0,RIGHT(LEFT(D4215,7),2)=RIGHT(LEFT(' Pivot Tables'!$A$4,7),2)),1,0)</f>
        <v>0</v>
      </c>
      <c r="Y4215" s="6">
        <f>1/COUNTIF(Таблица1[Order ID],Таблица1[[#This Row],[Order ID]])</f>
        <v>0.25</v>
      </c>
      <c r="Z4215" s="9">
        <f>1/COUNTIFS(Таблица1[Customer Name],Таблица1[[#This Row],[Customer Name]],Таблица1[Order-Year-Month],Таблица1[[#This Row],[Order-Year-Month]])</f>
        <v>0.25</v>
      </c>
    </row>
    <row r="4216" spans="1:26" x14ac:dyDescent="0.2">
      <c r="A4216" s="6">
        <v>7491</v>
      </c>
      <c r="B4216" s="7">
        <v>53476</v>
      </c>
      <c r="C4216" s="8">
        <f>DATE(2012,12,31)-1299</f>
        <v>39975</v>
      </c>
      <c r="D4216" s="8" t="str">
        <f t="shared" si="78"/>
        <v>2009-06 (июнь 2009)</v>
      </c>
      <c r="E4216" s="9" t="s">
        <v>45</v>
      </c>
      <c r="F4216" s="7">
        <v>47</v>
      </c>
      <c r="G4216" s="7">
        <v>85.87</v>
      </c>
      <c r="H4216" s="7">
        <v>0.01</v>
      </c>
      <c r="I4216" s="9" t="s">
        <v>22</v>
      </c>
      <c r="J4216" s="10">
        <v>3.13</v>
      </c>
      <c r="K4216" s="11">
        <v>1.76</v>
      </c>
      <c r="L4216" s="11">
        <v>0.7</v>
      </c>
      <c r="M4216" s="9" t="s">
        <v>1733</v>
      </c>
      <c r="N4216" s="6" t="s">
        <v>1123</v>
      </c>
      <c r="O4216" s="6" t="s">
        <v>1123</v>
      </c>
      <c r="P4216" s="9" t="s">
        <v>25</v>
      </c>
      <c r="Q4216" s="9" t="s">
        <v>26</v>
      </c>
      <c r="R4216" s="9" t="s">
        <v>95</v>
      </c>
      <c r="S4216" s="7" t="s">
        <v>387</v>
      </c>
      <c r="T4216" s="9" t="s">
        <v>68</v>
      </c>
      <c r="U4216" s="7">
        <v>0.56000000000000005</v>
      </c>
      <c r="V4216" s="12">
        <f>C4216+1</f>
        <v>39976</v>
      </c>
      <c r="W4216">
        <f>IF(D4216=' Pivot Tables'!$A$4,1,0)</f>
        <v>0</v>
      </c>
      <c r="X4216">
        <f>IF(AND(LEFT(D4216,4)+1=LEFT(' Pivot Tables'!$A$4,4)+0,RIGHT(LEFT(D4216,7),2)=RIGHT(LEFT(' Pivot Tables'!$A$4,7),2)),1,0)</f>
        <v>0</v>
      </c>
      <c r="Y4216" s="6">
        <f>1/COUNTIF(Таблица1[Order ID],Таблица1[[#This Row],[Order ID]])</f>
        <v>0.25</v>
      </c>
      <c r="Z4216" s="9">
        <f>1/COUNTIFS(Таблица1[Customer Name],Таблица1[[#This Row],[Customer Name]],Таблица1[Order-Year-Month],Таблица1[[#This Row],[Order-Year-Month]])</f>
        <v>0.25</v>
      </c>
    </row>
    <row r="4217" spans="1:26" x14ac:dyDescent="0.2">
      <c r="A4217" s="6">
        <v>7492</v>
      </c>
      <c r="B4217" s="7">
        <v>53476</v>
      </c>
      <c r="C4217" s="8">
        <f>DATE(2012,12,31)-1299</f>
        <v>39975</v>
      </c>
      <c r="D4217" s="8" t="str">
        <f t="shared" si="78"/>
        <v>2009-06 (июнь 2009)</v>
      </c>
      <c r="E4217" s="9" t="s">
        <v>45</v>
      </c>
      <c r="F4217" s="7">
        <v>42</v>
      </c>
      <c r="G4217" s="7">
        <v>8127.32</v>
      </c>
      <c r="H4217" s="7">
        <v>0.01</v>
      </c>
      <c r="I4217" s="9" t="s">
        <v>56</v>
      </c>
      <c r="J4217" s="10">
        <v>1141.07</v>
      </c>
      <c r="K4217" s="11">
        <v>193.17</v>
      </c>
      <c r="L4217" s="11">
        <v>19.989999999999998</v>
      </c>
      <c r="M4217" s="9" t="s">
        <v>1733</v>
      </c>
      <c r="N4217" s="6" t="s">
        <v>1123</v>
      </c>
      <c r="O4217" s="6" t="s">
        <v>1123</v>
      </c>
      <c r="P4217" s="9" t="s">
        <v>25</v>
      </c>
      <c r="Q4217" s="9" t="s">
        <v>26</v>
      </c>
      <c r="R4217" s="9" t="s">
        <v>27</v>
      </c>
      <c r="S4217" s="7" t="s">
        <v>338</v>
      </c>
      <c r="T4217" s="9" t="s">
        <v>39</v>
      </c>
      <c r="U4217" s="7">
        <v>0.71</v>
      </c>
      <c r="V4217" s="12">
        <f>C4217+0</f>
        <v>39975</v>
      </c>
      <c r="W4217">
        <f>IF(D4217=' Pivot Tables'!$A$4,1,0)</f>
        <v>0</v>
      </c>
      <c r="X4217">
        <f>IF(AND(LEFT(D4217,4)+1=LEFT(' Pivot Tables'!$A$4,4)+0,RIGHT(LEFT(D4217,7),2)=RIGHT(LEFT(' Pivot Tables'!$A$4,7),2)),1,0)</f>
        <v>0</v>
      </c>
      <c r="Y4217" s="6">
        <f>1/COUNTIF(Таблица1[Order ID],Таблица1[[#This Row],[Order ID]])</f>
        <v>0.25</v>
      </c>
      <c r="Z4217" s="9">
        <f>1/COUNTIFS(Таблица1[Customer Name],Таблица1[[#This Row],[Customer Name]],Таблица1[Order-Year-Month],Таблица1[[#This Row],[Order-Year-Month]])</f>
        <v>0.25</v>
      </c>
    </row>
    <row r="4218" spans="1:26" x14ac:dyDescent="0.2">
      <c r="A4218" s="6">
        <v>7518</v>
      </c>
      <c r="B4218" s="7">
        <v>53671</v>
      </c>
      <c r="C4218" s="8">
        <f>DATE(2012,12,31)-570</f>
        <v>40704</v>
      </c>
      <c r="D4218" s="8" t="str">
        <f t="shared" si="78"/>
        <v>2011-06 (июнь 2011)</v>
      </c>
      <c r="E4218" s="9" t="s">
        <v>63</v>
      </c>
      <c r="F4218" s="7">
        <v>41</v>
      </c>
      <c r="G4218" s="7">
        <v>236.68</v>
      </c>
      <c r="H4218" s="7">
        <v>0.08</v>
      </c>
      <c r="I4218" s="9" t="s">
        <v>22</v>
      </c>
      <c r="J4218" s="10">
        <v>-82.788499999999999</v>
      </c>
      <c r="K4218" s="11">
        <v>5.74</v>
      </c>
      <c r="L4218" s="11">
        <v>5.01</v>
      </c>
      <c r="M4218" s="9" t="s">
        <v>1751</v>
      </c>
      <c r="N4218" s="6" t="s">
        <v>1123</v>
      </c>
      <c r="O4218" s="6" t="s">
        <v>1123</v>
      </c>
      <c r="P4218" s="9" t="s">
        <v>25</v>
      </c>
      <c r="Q4218" s="9" t="s">
        <v>26</v>
      </c>
      <c r="R4218" s="9" t="s">
        <v>37</v>
      </c>
      <c r="S4218" s="7" t="s">
        <v>363</v>
      </c>
      <c r="T4218" s="9" t="s">
        <v>39</v>
      </c>
      <c r="U4218" s="7">
        <v>0.39</v>
      </c>
      <c r="V4218" s="12">
        <f>C4218+1</f>
        <v>40705</v>
      </c>
      <c r="W4218">
        <f>IF(D4218=' Pivot Tables'!$A$4,1,0)</f>
        <v>0</v>
      </c>
      <c r="X4218">
        <f>IF(AND(LEFT(D4218,4)+1=LEFT(' Pivot Tables'!$A$4,4)+0,RIGHT(LEFT(D4218,7),2)=RIGHT(LEFT(' Pivot Tables'!$A$4,7),2)),1,0)</f>
        <v>0</v>
      </c>
      <c r="Y4218" s="6">
        <f>1/COUNTIF(Таблица1[Order ID],Таблица1[[#This Row],[Order ID]])</f>
        <v>0.33333333333333331</v>
      </c>
      <c r="Z4218" s="9">
        <f>1/COUNTIFS(Таблица1[Customer Name],Таблица1[[#This Row],[Customer Name]],Таблица1[Order-Year-Month],Таблица1[[#This Row],[Order-Year-Month]])</f>
        <v>0.33333333333333331</v>
      </c>
    </row>
    <row r="4219" spans="1:26" x14ac:dyDescent="0.2">
      <c r="A4219" s="6">
        <v>7519</v>
      </c>
      <c r="B4219" s="7">
        <v>53671</v>
      </c>
      <c r="C4219" s="8">
        <f>DATE(2012,12,31)-570</f>
        <v>40704</v>
      </c>
      <c r="D4219" s="8" t="str">
        <f t="shared" si="78"/>
        <v>2011-06 (июнь 2011)</v>
      </c>
      <c r="E4219" s="9" t="s">
        <v>63</v>
      </c>
      <c r="F4219" s="7">
        <v>43</v>
      </c>
      <c r="G4219" s="7">
        <v>6255.81</v>
      </c>
      <c r="H4219" s="7">
        <v>0.01</v>
      </c>
      <c r="I4219" s="9" t="s">
        <v>22</v>
      </c>
      <c r="J4219" s="10">
        <v>693.26</v>
      </c>
      <c r="K4219" s="11">
        <v>140.85</v>
      </c>
      <c r="L4219" s="11">
        <v>19.989999999999998</v>
      </c>
      <c r="M4219" s="9" t="s">
        <v>1751</v>
      </c>
      <c r="N4219" s="6" t="s">
        <v>1123</v>
      </c>
      <c r="O4219" s="6" t="s">
        <v>1123</v>
      </c>
      <c r="P4219" s="9" t="s">
        <v>25</v>
      </c>
      <c r="Q4219" s="9" t="s">
        <v>26</v>
      </c>
      <c r="R4219" s="9" t="s">
        <v>27</v>
      </c>
      <c r="S4219" s="7" t="s">
        <v>538</v>
      </c>
      <c r="T4219" s="9" t="s">
        <v>39</v>
      </c>
      <c r="U4219" s="7">
        <v>0.73</v>
      </c>
      <c r="V4219" s="12">
        <f>C4219+1</f>
        <v>40705</v>
      </c>
      <c r="W4219">
        <f>IF(D4219=' Pivot Tables'!$A$4,1,0)</f>
        <v>0</v>
      </c>
      <c r="X4219">
        <f>IF(AND(LEFT(D4219,4)+1=LEFT(' Pivot Tables'!$A$4,4)+0,RIGHT(LEFT(D4219,7),2)=RIGHT(LEFT(' Pivot Tables'!$A$4,7),2)),1,0)</f>
        <v>0</v>
      </c>
      <c r="Y4219" s="6">
        <f>1/COUNTIF(Таблица1[Order ID],Таблица1[[#This Row],[Order ID]])</f>
        <v>0.33333333333333331</v>
      </c>
      <c r="Z4219" s="9">
        <f>1/COUNTIFS(Таблица1[Customer Name],Таблица1[[#This Row],[Customer Name]],Таблица1[Order-Year-Month],Таблица1[[#This Row],[Order-Year-Month]])</f>
        <v>0.33333333333333331</v>
      </c>
    </row>
    <row r="4220" spans="1:26" x14ac:dyDescent="0.2">
      <c r="A4220" s="6">
        <v>7520</v>
      </c>
      <c r="B4220" s="7">
        <v>53671</v>
      </c>
      <c r="C4220" s="8">
        <f>DATE(2012,12,31)-570</f>
        <v>40704</v>
      </c>
      <c r="D4220" s="8" t="str">
        <f t="shared" si="78"/>
        <v>2011-06 (июнь 2011)</v>
      </c>
      <c r="E4220" s="9" t="s">
        <v>63</v>
      </c>
      <c r="F4220" s="7">
        <v>39</v>
      </c>
      <c r="G4220" s="7">
        <v>616.5</v>
      </c>
      <c r="H4220" s="7">
        <v>0.02</v>
      </c>
      <c r="I4220" s="9" t="s">
        <v>22</v>
      </c>
      <c r="J4220" s="10">
        <v>25.992999999999999</v>
      </c>
      <c r="K4220" s="11">
        <v>15.01</v>
      </c>
      <c r="L4220" s="11">
        <v>8.4</v>
      </c>
      <c r="M4220" s="9" t="s">
        <v>1751</v>
      </c>
      <c r="N4220" s="6" t="s">
        <v>1123</v>
      </c>
      <c r="O4220" s="6" t="s">
        <v>1123</v>
      </c>
      <c r="P4220" s="9" t="s">
        <v>25</v>
      </c>
      <c r="Q4220" s="9" t="s">
        <v>26</v>
      </c>
      <c r="R4220" s="9" t="s">
        <v>37</v>
      </c>
      <c r="S4220" s="7" t="s">
        <v>443</v>
      </c>
      <c r="T4220" s="9" t="s">
        <v>39</v>
      </c>
      <c r="U4220" s="7">
        <v>0.39</v>
      </c>
      <c r="V4220" s="12">
        <f>C4220+1</f>
        <v>40705</v>
      </c>
      <c r="W4220">
        <f>IF(D4220=' Pivot Tables'!$A$4,1,0)</f>
        <v>0</v>
      </c>
      <c r="X4220">
        <f>IF(AND(LEFT(D4220,4)+1=LEFT(' Pivot Tables'!$A$4,4)+0,RIGHT(LEFT(D4220,7),2)=RIGHT(LEFT(' Pivot Tables'!$A$4,7),2)),1,0)</f>
        <v>0</v>
      </c>
      <c r="Y4220" s="6">
        <f>1/COUNTIF(Таблица1[Order ID],Таблица1[[#This Row],[Order ID]])</f>
        <v>0.33333333333333331</v>
      </c>
      <c r="Z4220" s="9">
        <f>1/COUNTIFS(Таблица1[Customer Name],Таблица1[[#This Row],[Customer Name]],Таблица1[Order-Year-Month],Таблица1[[#This Row],[Order-Year-Month]])</f>
        <v>0.33333333333333331</v>
      </c>
    </row>
    <row r="4221" spans="1:26" x14ac:dyDescent="0.2">
      <c r="A4221" s="6">
        <v>7526</v>
      </c>
      <c r="B4221" s="7">
        <v>53766</v>
      </c>
      <c r="C4221" s="8">
        <f>DATE(2012,12,31)-1175</f>
        <v>40099</v>
      </c>
      <c r="D4221" s="8" t="str">
        <f t="shared" si="78"/>
        <v>2009-10 (октябрь 2009)</v>
      </c>
      <c r="E4221" s="9" t="s">
        <v>45</v>
      </c>
      <c r="F4221" s="7">
        <v>22</v>
      </c>
      <c r="G4221" s="7">
        <v>3122.55</v>
      </c>
      <c r="H4221" s="7">
        <v>7.0000000000000007E-2</v>
      </c>
      <c r="I4221" s="9" t="s">
        <v>31</v>
      </c>
      <c r="J4221" s="10">
        <v>-574.55970000000002</v>
      </c>
      <c r="K4221" s="11">
        <v>145.97999999999999</v>
      </c>
      <c r="L4221" s="11">
        <v>46.2</v>
      </c>
      <c r="M4221" s="9" t="s">
        <v>1751</v>
      </c>
      <c r="N4221" s="6" t="s">
        <v>1123</v>
      </c>
      <c r="O4221" s="6" t="s">
        <v>1123</v>
      </c>
      <c r="P4221" s="9" t="s">
        <v>41</v>
      </c>
      <c r="Q4221" s="9" t="s">
        <v>49</v>
      </c>
      <c r="R4221" s="9" t="s">
        <v>83</v>
      </c>
      <c r="S4221" s="7" t="s">
        <v>938</v>
      </c>
      <c r="T4221" s="9" t="s">
        <v>82</v>
      </c>
      <c r="U4221" s="7">
        <v>0.69</v>
      </c>
      <c r="V4221" s="12">
        <f>C4221+1</f>
        <v>40100</v>
      </c>
      <c r="W4221">
        <f>IF(D4221=' Pivot Tables'!$A$4,1,0)</f>
        <v>0</v>
      </c>
      <c r="X4221">
        <f>IF(AND(LEFT(D4221,4)+1=LEFT(' Pivot Tables'!$A$4,4)+0,RIGHT(LEFT(D4221,7),2)=RIGHT(LEFT(' Pivot Tables'!$A$4,7),2)),1,0)</f>
        <v>0</v>
      </c>
      <c r="Y4221" s="6">
        <f>1/COUNTIF(Таблица1[Order ID],Таблица1[[#This Row],[Order ID]])</f>
        <v>1</v>
      </c>
      <c r="Z4221" s="9">
        <f>1/COUNTIFS(Таблица1[Customer Name],Таблица1[[#This Row],[Customer Name]],Таблица1[Order-Year-Month],Таблица1[[#This Row],[Order-Year-Month]])</f>
        <v>1</v>
      </c>
    </row>
    <row r="4222" spans="1:26" x14ac:dyDescent="0.2">
      <c r="A4222" s="6">
        <v>7528</v>
      </c>
      <c r="B4222" s="7">
        <v>53795</v>
      </c>
      <c r="C4222" s="8">
        <f>DATE(2012,12,31)-336</f>
        <v>40938</v>
      </c>
      <c r="D4222" s="8" t="str">
        <f t="shared" si="78"/>
        <v>2012-01 (январь 2012)</v>
      </c>
      <c r="E4222" s="9" t="s">
        <v>30</v>
      </c>
      <c r="F4222" s="7">
        <v>40</v>
      </c>
      <c r="G4222" s="7">
        <v>264.60000000000002</v>
      </c>
      <c r="H4222" s="7">
        <v>0.1</v>
      </c>
      <c r="I4222" s="9" t="s">
        <v>56</v>
      </c>
      <c r="J4222" s="10">
        <v>-93.06</v>
      </c>
      <c r="K4222" s="11">
        <v>6.48</v>
      </c>
      <c r="L4222" s="11">
        <v>6.22</v>
      </c>
      <c r="M4222" s="9" t="s">
        <v>1731</v>
      </c>
      <c r="N4222" s="6" t="s">
        <v>1123</v>
      </c>
      <c r="O4222" s="6" t="s">
        <v>1123</v>
      </c>
      <c r="P4222" s="9" t="s">
        <v>60</v>
      </c>
      <c r="Q4222" s="9" t="s">
        <v>26</v>
      </c>
      <c r="R4222" s="9" t="s">
        <v>61</v>
      </c>
      <c r="S4222" s="7" t="s">
        <v>943</v>
      </c>
      <c r="T4222" s="9" t="s">
        <v>39</v>
      </c>
      <c r="U4222" s="7">
        <v>0.37</v>
      </c>
      <c r="V4222" s="12">
        <f>C4222+1</f>
        <v>40939</v>
      </c>
      <c r="W4222">
        <f>IF(D4222=' Pivot Tables'!$A$4,1,0)</f>
        <v>0</v>
      </c>
      <c r="X4222">
        <f>IF(AND(LEFT(D4222,4)+1=LEFT(' Pivot Tables'!$A$4,4)+0,RIGHT(LEFT(D4222,7),2)=RIGHT(LEFT(' Pivot Tables'!$A$4,7),2)),1,0)</f>
        <v>0</v>
      </c>
      <c r="Y4222" s="6">
        <f>1/COUNTIF(Таблица1[Order ID],Таблица1[[#This Row],[Order ID]])</f>
        <v>0.5</v>
      </c>
      <c r="Z4222" s="9">
        <f>1/COUNTIFS(Таблица1[Customer Name],Таблица1[[#This Row],[Customer Name]],Таблица1[Order-Year-Month],Таблица1[[#This Row],[Order-Year-Month]])</f>
        <v>0.5</v>
      </c>
    </row>
    <row r="4223" spans="1:26" x14ac:dyDescent="0.2">
      <c r="A4223" s="6">
        <v>7529</v>
      </c>
      <c r="B4223" s="7">
        <v>53795</v>
      </c>
      <c r="C4223" s="8">
        <f>DATE(2012,12,31)-336</f>
        <v>40938</v>
      </c>
      <c r="D4223" s="8" t="str">
        <f t="shared" si="78"/>
        <v>2012-01 (январь 2012)</v>
      </c>
      <c r="E4223" s="9" t="s">
        <v>30</v>
      </c>
      <c r="F4223" s="7">
        <v>21</v>
      </c>
      <c r="G4223" s="7">
        <v>3356.7349999999997</v>
      </c>
      <c r="H4223" s="7">
        <v>0.05</v>
      </c>
      <c r="I4223" s="9" t="s">
        <v>22</v>
      </c>
      <c r="J4223" s="10">
        <v>370.33199999999999</v>
      </c>
      <c r="K4223" s="11">
        <v>195.99</v>
      </c>
      <c r="L4223" s="11">
        <v>4.2</v>
      </c>
      <c r="M4223" s="9" t="s">
        <v>1731</v>
      </c>
      <c r="N4223" s="6" t="s">
        <v>1123</v>
      </c>
      <c r="O4223" s="6" t="s">
        <v>1123</v>
      </c>
      <c r="P4223" s="9" t="s">
        <v>60</v>
      </c>
      <c r="Q4223" s="9" t="s">
        <v>42</v>
      </c>
      <c r="R4223" s="9" t="s">
        <v>43</v>
      </c>
      <c r="S4223" s="7" t="s">
        <v>615</v>
      </c>
      <c r="T4223" s="9" t="s">
        <v>39</v>
      </c>
      <c r="U4223" s="7">
        <v>0.6</v>
      </c>
      <c r="V4223" s="12">
        <f>C4223+2</f>
        <v>40940</v>
      </c>
      <c r="W4223">
        <f>IF(D4223=' Pivot Tables'!$A$4,1,0)</f>
        <v>0</v>
      </c>
      <c r="X4223">
        <f>IF(AND(LEFT(D4223,4)+1=LEFT(' Pivot Tables'!$A$4,4)+0,RIGHT(LEFT(D4223,7),2)=RIGHT(LEFT(' Pivot Tables'!$A$4,7),2)),1,0)</f>
        <v>0</v>
      </c>
      <c r="Y4223" s="6">
        <f>1/COUNTIF(Таблица1[Order ID],Таблица1[[#This Row],[Order ID]])</f>
        <v>0.5</v>
      </c>
      <c r="Z4223" s="9">
        <f>1/COUNTIFS(Таблица1[Customer Name],Таблица1[[#This Row],[Customer Name]],Таблица1[Order-Year-Month],Таблица1[[#This Row],[Order-Year-Month]])</f>
        <v>0.5</v>
      </c>
    </row>
    <row r="4224" spans="1:26" x14ac:dyDescent="0.2">
      <c r="A4224" s="6">
        <v>7579</v>
      </c>
      <c r="B4224" s="7">
        <v>54209</v>
      </c>
      <c r="C4224" s="8">
        <f>DATE(2012,12,31)-138</f>
        <v>41136</v>
      </c>
      <c r="D4224" s="8" t="str">
        <f t="shared" si="78"/>
        <v>2012-08 (август 2012)</v>
      </c>
      <c r="E4224" s="9" t="s">
        <v>63</v>
      </c>
      <c r="F4224" s="7">
        <v>21</v>
      </c>
      <c r="G4224" s="7">
        <v>664.98900000000003</v>
      </c>
      <c r="H4224" s="7">
        <v>0.04</v>
      </c>
      <c r="I4224" s="9" t="s">
        <v>22</v>
      </c>
      <c r="J4224" s="10">
        <v>170.46</v>
      </c>
      <c r="K4224" s="11">
        <v>35.99</v>
      </c>
      <c r="L4224" s="11">
        <v>5.99</v>
      </c>
      <c r="M4224" s="9" t="s">
        <v>1721</v>
      </c>
      <c r="N4224" s="6" t="s">
        <v>1123</v>
      </c>
      <c r="O4224" s="6" t="s">
        <v>1123</v>
      </c>
      <c r="P4224" s="9" t="s">
        <v>60</v>
      </c>
      <c r="Q4224" s="9" t="s">
        <v>42</v>
      </c>
      <c r="R4224" s="9" t="s">
        <v>43</v>
      </c>
      <c r="S4224" s="7" t="s">
        <v>907</v>
      </c>
      <c r="T4224" s="9" t="s">
        <v>68</v>
      </c>
      <c r="U4224" s="7">
        <v>0.38</v>
      </c>
      <c r="V4224" s="12">
        <f>C4224+2</f>
        <v>41138</v>
      </c>
      <c r="W4224">
        <f>IF(D4224=' Pivot Tables'!$A$4,1,0)</f>
        <v>0</v>
      </c>
      <c r="X4224">
        <f>IF(AND(LEFT(D4224,4)+1=LEFT(' Pivot Tables'!$A$4,4)+0,RIGHT(LEFT(D4224,7),2)=RIGHT(LEFT(' Pivot Tables'!$A$4,7),2)),1,0)</f>
        <v>0</v>
      </c>
      <c r="Y4224" s="6">
        <f>1/COUNTIF(Таблица1[Order ID],Таблица1[[#This Row],[Order ID]])</f>
        <v>1</v>
      </c>
      <c r="Z4224" s="9">
        <f>1/COUNTIFS(Таблица1[Customer Name],Таблица1[[#This Row],[Customer Name]],Таблица1[Order-Year-Month],Таблица1[[#This Row],[Order-Year-Month]])</f>
        <v>1</v>
      </c>
    </row>
    <row r="4225" spans="1:26" x14ac:dyDescent="0.2">
      <c r="A4225" s="6">
        <v>7599</v>
      </c>
      <c r="B4225" s="7">
        <v>54369</v>
      </c>
      <c r="C4225" s="8">
        <f>DATE(2012,12,31)-1400</f>
        <v>39874</v>
      </c>
      <c r="D4225" s="8" t="str">
        <f t="shared" si="78"/>
        <v>2009-03 (март 2009)</v>
      </c>
      <c r="E4225" s="9" t="s">
        <v>45</v>
      </c>
      <c r="F4225" s="7">
        <v>47</v>
      </c>
      <c r="G4225" s="7">
        <v>421.08</v>
      </c>
      <c r="H4225" s="7">
        <v>0</v>
      </c>
      <c r="I4225" s="9" t="s">
        <v>56</v>
      </c>
      <c r="J4225" s="10">
        <v>82.31</v>
      </c>
      <c r="K4225" s="11">
        <v>8.33</v>
      </c>
      <c r="L4225" s="11">
        <v>1.99</v>
      </c>
      <c r="M4225" s="9" t="s">
        <v>1765</v>
      </c>
      <c r="N4225" s="6" t="s">
        <v>1123</v>
      </c>
      <c r="O4225" s="6" t="s">
        <v>1123</v>
      </c>
      <c r="P4225" s="9" t="s">
        <v>33</v>
      </c>
      <c r="Q4225" s="9" t="s">
        <v>42</v>
      </c>
      <c r="R4225" s="9" t="s">
        <v>70</v>
      </c>
      <c r="S4225" s="7" t="s">
        <v>324</v>
      </c>
      <c r="T4225" s="9" t="s">
        <v>52</v>
      </c>
      <c r="U4225" s="7">
        <v>0.52</v>
      </c>
      <c r="V4225" s="12">
        <f>C4225+2</f>
        <v>39876</v>
      </c>
      <c r="W4225">
        <f>IF(D4225=' Pivot Tables'!$A$4,1,0)</f>
        <v>0</v>
      </c>
      <c r="X4225">
        <f>IF(AND(LEFT(D4225,4)+1=LEFT(' Pivot Tables'!$A$4,4)+0,RIGHT(LEFT(D4225,7),2)=RIGHT(LEFT(' Pivot Tables'!$A$4,7),2)),1,0)</f>
        <v>0</v>
      </c>
      <c r="Y4225" s="6">
        <f>1/COUNTIF(Таблица1[Order ID],Таблица1[[#This Row],[Order ID]])</f>
        <v>1</v>
      </c>
      <c r="Z4225" s="9">
        <f>1/COUNTIFS(Таблица1[Customer Name],Таблица1[[#This Row],[Customer Name]],Таблица1[Order-Year-Month],Таблица1[[#This Row],[Order-Year-Month]])</f>
        <v>1</v>
      </c>
    </row>
    <row r="4226" spans="1:26" x14ac:dyDescent="0.2">
      <c r="A4226" s="6">
        <v>7652</v>
      </c>
      <c r="B4226" s="7">
        <v>54850</v>
      </c>
      <c r="C4226" s="8">
        <f>DATE(2012,12,31)-738</f>
        <v>40536</v>
      </c>
      <c r="D4226" s="8" t="str">
        <f t="shared" si="78"/>
        <v>2010-12 (декабрь 2010)</v>
      </c>
      <c r="E4226" s="9" t="s">
        <v>45</v>
      </c>
      <c r="F4226" s="7">
        <v>16</v>
      </c>
      <c r="G4226" s="7">
        <v>2834.96</v>
      </c>
      <c r="H4226" s="7">
        <v>7.0000000000000007E-2</v>
      </c>
      <c r="I4226" s="9" t="s">
        <v>22</v>
      </c>
      <c r="J4226" s="10">
        <v>587.64</v>
      </c>
      <c r="K4226" s="11">
        <v>178.47</v>
      </c>
      <c r="L4226" s="11">
        <v>19.989999999999998</v>
      </c>
      <c r="M4226" s="9" t="s">
        <v>1326</v>
      </c>
      <c r="N4226" s="6" t="s">
        <v>1123</v>
      </c>
      <c r="O4226" s="6" t="s">
        <v>1123</v>
      </c>
      <c r="P4226" s="9" t="s">
        <v>60</v>
      </c>
      <c r="Q4226" s="9" t="s">
        <v>26</v>
      </c>
      <c r="R4226" s="9" t="s">
        <v>27</v>
      </c>
      <c r="S4226" s="7" t="s">
        <v>1195</v>
      </c>
      <c r="T4226" s="9" t="s">
        <v>39</v>
      </c>
      <c r="U4226" s="7">
        <v>0.55000000000000004</v>
      </c>
      <c r="V4226" s="12">
        <f>C4226+0</f>
        <v>40536</v>
      </c>
      <c r="W4226">
        <f>IF(D4226=' Pivot Tables'!$A$4,1,0)</f>
        <v>0</v>
      </c>
      <c r="X4226">
        <f>IF(AND(LEFT(D4226,4)+1=LEFT(' Pivot Tables'!$A$4,4)+0,RIGHT(LEFT(D4226,7),2)=RIGHT(LEFT(' Pivot Tables'!$A$4,7),2)),1,0)</f>
        <v>0</v>
      </c>
      <c r="Y4226" s="6">
        <f>1/COUNTIF(Таблица1[Order ID],Таблица1[[#This Row],[Order ID]])</f>
        <v>0.5</v>
      </c>
      <c r="Z4226" s="9">
        <f>1/COUNTIFS(Таблица1[Customer Name],Таблица1[[#This Row],[Customer Name]],Таблица1[Order-Year-Month],Таблица1[[#This Row],[Order-Year-Month]])</f>
        <v>0.5</v>
      </c>
    </row>
    <row r="4227" spans="1:26" x14ac:dyDescent="0.2">
      <c r="A4227" s="6">
        <v>7653</v>
      </c>
      <c r="B4227" s="7">
        <v>54850</v>
      </c>
      <c r="C4227" s="8">
        <f>DATE(2012,12,31)-738</f>
        <v>40536</v>
      </c>
      <c r="D4227" s="8" t="str">
        <f t="shared" ref="D4227:D4290" si="79">TEXT(C4227,"гггг-ММ (ММММ гггг)")</f>
        <v>2010-12 (декабрь 2010)</v>
      </c>
      <c r="E4227" s="9" t="s">
        <v>45</v>
      </c>
      <c r="F4227" s="7">
        <v>9</v>
      </c>
      <c r="G4227" s="7">
        <v>953.98899999999992</v>
      </c>
      <c r="H4227" s="7">
        <v>0.02</v>
      </c>
      <c r="I4227" s="9" t="s">
        <v>22</v>
      </c>
      <c r="J4227" s="10">
        <v>-249.32599999999999</v>
      </c>
      <c r="K4227" s="11">
        <v>125.99</v>
      </c>
      <c r="L4227" s="11">
        <v>8.08</v>
      </c>
      <c r="M4227" s="9" t="s">
        <v>1326</v>
      </c>
      <c r="N4227" s="6" t="s">
        <v>1123</v>
      </c>
      <c r="O4227" s="6" t="s">
        <v>1123</v>
      </c>
      <c r="P4227" s="9" t="s">
        <v>60</v>
      </c>
      <c r="Q4227" s="9" t="s">
        <v>42</v>
      </c>
      <c r="R4227" s="9" t="s">
        <v>43</v>
      </c>
      <c r="S4227" s="7" t="s">
        <v>271</v>
      </c>
      <c r="T4227" s="9" t="s">
        <v>39</v>
      </c>
      <c r="U4227" s="7">
        <v>0.56999999999999995</v>
      </c>
      <c r="V4227" s="12">
        <f>C4227+1</f>
        <v>40537</v>
      </c>
      <c r="W4227">
        <f>IF(D4227=' Pivot Tables'!$A$4,1,0)</f>
        <v>0</v>
      </c>
      <c r="X4227">
        <f>IF(AND(LEFT(D4227,4)+1=LEFT(' Pivot Tables'!$A$4,4)+0,RIGHT(LEFT(D4227,7),2)=RIGHT(LEFT(' Pivot Tables'!$A$4,7),2)),1,0)</f>
        <v>0</v>
      </c>
      <c r="Y4227" s="6">
        <f>1/COUNTIF(Таблица1[Order ID],Таблица1[[#This Row],[Order ID]])</f>
        <v>0.5</v>
      </c>
      <c r="Z4227" s="9">
        <f>1/COUNTIFS(Таблица1[Customer Name],Таблица1[[#This Row],[Customer Name]],Таблица1[Order-Year-Month],Таблица1[[#This Row],[Order-Year-Month]])</f>
        <v>0.5</v>
      </c>
    </row>
    <row r="4228" spans="1:26" x14ac:dyDescent="0.2">
      <c r="A4228" s="6">
        <v>7666</v>
      </c>
      <c r="B4228" s="7">
        <v>54950</v>
      </c>
      <c r="C4228" s="8">
        <f>DATE(2012,12,31)-757</f>
        <v>40517</v>
      </c>
      <c r="D4228" s="8" t="str">
        <f t="shared" si="79"/>
        <v>2010-12 (декабрь 2010)</v>
      </c>
      <c r="E4228" s="9" t="s">
        <v>30</v>
      </c>
      <c r="F4228" s="7">
        <v>26</v>
      </c>
      <c r="G4228" s="7">
        <v>174.58</v>
      </c>
      <c r="H4228" s="7">
        <v>0.08</v>
      </c>
      <c r="I4228" s="9" t="s">
        <v>22</v>
      </c>
      <c r="J4228" s="10">
        <v>-57.17</v>
      </c>
      <c r="K4228" s="11">
        <v>6.84</v>
      </c>
      <c r="L4228" s="11">
        <v>4.42</v>
      </c>
      <c r="M4228" s="9" t="s">
        <v>1758</v>
      </c>
      <c r="N4228" s="6" t="s">
        <v>1123</v>
      </c>
      <c r="O4228" s="6" t="s">
        <v>1123</v>
      </c>
      <c r="P4228" s="9" t="s">
        <v>33</v>
      </c>
      <c r="Q4228" s="9" t="s">
        <v>26</v>
      </c>
      <c r="R4228" s="9" t="s">
        <v>150</v>
      </c>
      <c r="S4228" s="7" t="s">
        <v>1356</v>
      </c>
      <c r="T4228" s="9" t="s">
        <v>52</v>
      </c>
      <c r="U4228" s="7">
        <v>0.57999999999999996</v>
      </c>
      <c r="V4228" s="12">
        <f>C4228+1</f>
        <v>40518</v>
      </c>
      <c r="W4228">
        <f>IF(D4228=' Pivot Tables'!$A$4,1,0)</f>
        <v>0</v>
      </c>
      <c r="X4228">
        <f>IF(AND(LEFT(D4228,4)+1=LEFT(' Pivot Tables'!$A$4,4)+0,RIGHT(LEFT(D4228,7),2)=RIGHT(LEFT(' Pivot Tables'!$A$4,7),2)),1,0)</f>
        <v>0</v>
      </c>
      <c r="Y4228" s="6">
        <f>1/COUNTIF(Таблица1[Order ID],Таблица1[[#This Row],[Order ID]])</f>
        <v>0.5</v>
      </c>
      <c r="Z4228" s="9">
        <f>1/COUNTIFS(Таблица1[Customer Name],Таблица1[[#This Row],[Customer Name]],Таблица1[Order-Year-Month],Таблица1[[#This Row],[Order-Year-Month]])</f>
        <v>0.5</v>
      </c>
    </row>
    <row r="4229" spans="1:26" x14ac:dyDescent="0.2">
      <c r="A4229" s="6">
        <v>7667</v>
      </c>
      <c r="B4229" s="7">
        <v>54950</v>
      </c>
      <c r="C4229" s="8">
        <f>DATE(2012,12,31)-757</f>
        <v>40517</v>
      </c>
      <c r="D4229" s="8" t="str">
        <f t="shared" si="79"/>
        <v>2010-12 (декабрь 2010)</v>
      </c>
      <c r="E4229" s="9" t="s">
        <v>30</v>
      </c>
      <c r="F4229" s="7">
        <v>22</v>
      </c>
      <c r="G4229" s="7">
        <v>8789.5400000000009</v>
      </c>
      <c r="H4229" s="7">
        <v>7.0000000000000007E-2</v>
      </c>
      <c r="I4229" s="9" t="s">
        <v>31</v>
      </c>
      <c r="J4229" s="10">
        <v>-1025.1883070000001</v>
      </c>
      <c r="K4229" s="11">
        <v>424.21</v>
      </c>
      <c r="L4229" s="11">
        <v>110.2</v>
      </c>
      <c r="M4229" s="9" t="s">
        <v>1758</v>
      </c>
      <c r="N4229" s="6" t="s">
        <v>1123</v>
      </c>
      <c r="O4229" s="6" t="s">
        <v>1123</v>
      </c>
      <c r="P4229" s="9" t="s">
        <v>33</v>
      </c>
      <c r="Q4229" s="9" t="s">
        <v>49</v>
      </c>
      <c r="R4229" s="9" t="s">
        <v>83</v>
      </c>
      <c r="S4229" s="7" t="s">
        <v>839</v>
      </c>
      <c r="T4229" s="9" t="s">
        <v>82</v>
      </c>
      <c r="U4229" s="7">
        <v>0.67</v>
      </c>
      <c r="V4229" s="12">
        <f>C4229+1</f>
        <v>40518</v>
      </c>
      <c r="W4229">
        <f>IF(D4229=' Pivot Tables'!$A$4,1,0)</f>
        <v>0</v>
      </c>
      <c r="X4229">
        <f>IF(AND(LEFT(D4229,4)+1=LEFT(' Pivot Tables'!$A$4,4)+0,RIGHT(LEFT(D4229,7),2)=RIGHT(LEFT(' Pivot Tables'!$A$4,7),2)),1,0)</f>
        <v>0</v>
      </c>
      <c r="Y4229" s="6">
        <f>1/COUNTIF(Таблица1[Order ID],Таблица1[[#This Row],[Order ID]])</f>
        <v>0.5</v>
      </c>
      <c r="Z4229" s="9">
        <f>1/COUNTIFS(Таблица1[Customer Name],Таблица1[[#This Row],[Customer Name]],Таблица1[Order-Year-Month],Таблица1[[#This Row],[Order-Year-Month]])</f>
        <v>0.5</v>
      </c>
    </row>
    <row r="4230" spans="1:26" x14ac:dyDescent="0.2">
      <c r="A4230" s="6">
        <v>7697</v>
      </c>
      <c r="B4230" s="7">
        <v>55172</v>
      </c>
      <c r="C4230" s="8">
        <f>DATE(2012,12,31)-759</f>
        <v>40515</v>
      </c>
      <c r="D4230" s="8" t="str">
        <f t="shared" si="79"/>
        <v>2010-12 (декабрь 2010)</v>
      </c>
      <c r="E4230" s="9" t="s">
        <v>45</v>
      </c>
      <c r="F4230" s="7">
        <v>1</v>
      </c>
      <c r="G4230" s="7">
        <v>37.89</v>
      </c>
      <c r="H4230" s="7">
        <v>0</v>
      </c>
      <c r="I4230" s="9" t="s">
        <v>22</v>
      </c>
      <c r="J4230" s="10">
        <v>-120.97</v>
      </c>
      <c r="K4230" s="11">
        <v>35.409999999999997</v>
      </c>
      <c r="L4230" s="11">
        <v>1.99</v>
      </c>
      <c r="M4230" s="9" t="s">
        <v>1688</v>
      </c>
      <c r="N4230" s="6" t="s">
        <v>1123</v>
      </c>
      <c r="O4230" s="6" t="s">
        <v>1123</v>
      </c>
      <c r="P4230" s="9" t="s">
        <v>41</v>
      </c>
      <c r="Q4230" s="9" t="s">
        <v>42</v>
      </c>
      <c r="R4230" s="9" t="s">
        <v>70</v>
      </c>
      <c r="S4230" s="7" t="s">
        <v>971</v>
      </c>
      <c r="T4230" s="9" t="s">
        <v>52</v>
      </c>
      <c r="U4230" s="7">
        <v>0.43</v>
      </c>
      <c r="V4230" s="12">
        <f>C4230+1</f>
        <v>40516</v>
      </c>
      <c r="W4230">
        <f>IF(D4230=' Pivot Tables'!$A$4,1,0)</f>
        <v>0</v>
      </c>
      <c r="X4230">
        <f>IF(AND(LEFT(D4230,4)+1=LEFT(' Pivot Tables'!$A$4,4)+0,RIGHT(LEFT(D4230,7),2)=RIGHT(LEFT(' Pivot Tables'!$A$4,7),2)),1,0)</f>
        <v>0</v>
      </c>
      <c r="Y4230" s="6">
        <f>1/COUNTIF(Таблица1[Order ID],Таблица1[[#This Row],[Order ID]])</f>
        <v>1</v>
      </c>
      <c r="Z4230" s="9">
        <f>1/COUNTIFS(Таблица1[Customer Name],Таблица1[[#This Row],[Customer Name]],Таблица1[Order-Year-Month],Таблица1[[#This Row],[Order-Year-Month]])</f>
        <v>1</v>
      </c>
    </row>
    <row r="4231" spans="1:26" x14ac:dyDescent="0.2">
      <c r="A4231" s="6">
        <v>7706</v>
      </c>
      <c r="B4231" s="7">
        <v>55235</v>
      </c>
      <c r="C4231" s="8">
        <f>DATE(2012,12,31)-817</f>
        <v>40457</v>
      </c>
      <c r="D4231" s="8" t="str">
        <f t="shared" si="79"/>
        <v>2010-10 (октябрь 2010)</v>
      </c>
      <c r="E4231" s="9" t="s">
        <v>21</v>
      </c>
      <c r="F4231" s="7">
        <v>33</v>
      </c>
      <c r="G4231" s="7">
        <v>2532.6175000000003</v>
      </c>
      <c r="H4231" s="7">
        <v>0</v>
      </c>
      <c r="I4231" s="9" t="s">
        <v>22</v>
      </c>
      <c r="J4231" s="10">
        <v>730.51199999999994</v>
      </c>
      <c r="K4231" s="11">
        <v>85.99</v>
      </c>
      <c r="L4231" s="11">
        <v>2.79</v>
      </c>
      <c r="M4231" s="9" t="s">
        <v>1730</v>
      </c>
      <c r="N4231" s="6" t="s">
        <v>1123</v>
      </c>
      <c r="O4231" s="6" t="s">
        <v>1123</v>
      </c>
      <c r="P4231" s="9" t="s">
        <v>41</v>
      </c>
      <c r="Q4231" s="9" t="s">
        <v>42</v>
      </c>
      <c r="R4231" s="9" t="s">
        <v>43</v>
      </c>
      <c r="S4231" s="7" t="s">
        <v>903</v>
      </c>
      <c r="T4231" s="9" t="s">
        <v>39</v>
      </c>
      <c r="U4231" s="7">
        <v>0.57999999999999996</v>
      </c>
      <c r="V4231" s="12">
        <f>C4231+2</f>
        <v>40459</v>
      </c>
      <c r="W4231">
        <f>IF(D4231=' Pivot Tables'!$A$4,1,0)</f>
        <v>0</v>
      </c>
      <c r="X4231">
        <f>IF(AND(LEFT(D4231,4)+1=LEFT(' Pivot Tables'!$A$4,4)+0,RIGHT(LEFT(D4231,7),2)=RIGHT(LEFT(' Pivot Tables'!$A$4,7),2)),1,0)</f>
        <v>0</v>
      </c>
      <c r="Y4231" s="6">
        <f>1/COUNTIF(Таблица1[Order ID],Таблица1[[#This Row],[Order ID]])</f>
        <v>1</v>
      </c>
      <c r="Z4231" s="9">
        <f>1/COUNTIFS(Таблица1[Customer Name],Таблица1[[#This Row],[Customer Name]],Таблица1[Order-Year-Month],Таблица1[[#This Row],[Order-Year-Month]])</f>
        <v>1</v>
      </c>
    </row>
    <row r="4232" spans="1:26" x14ac:dyDescent="0.2">
      <c r="A4232" s="6">
        <v>7718</v>
      </c>
      <c r="B4232" s="7">
        <v>55300</v>
      </c>
      <c r="C4232" s="8">
        <f>DATE(2012,12,31)-1410</f>
        <v>39864</v>
      </c>
      <c r="D4232" s="8" t="str">
        <f t="shared" si="79"/>
        <v>2009-02 (февраль 2009)</v>
      </c>
      <c r="E4232" s="9" t="s">
        <v>30</v>
      </c>
      <c r="F4232" s="7">
        <v>37</v>
      </c>
      <c r="G4232" s="7">
        <v>159.88999999999999</v>
      </c>
      <c r="H4232" s="7">
        <v>0.03</v>
      </c>
      <c r="I4232" s="9" t="s">
        <v>22</v>
      </c>
      <c r="J4232" s="10">
        <v>-185.17</v>
      </c>
      <c r="K4232" s="11">
        <v>4.0599999999999996</v>
      </c>
      <c r="L4232" s="11">
        <v>6.89</v>
      </c>
      <c r="M4232" s="9" t="s">
        <v>1728</v>
      </c>
      <c r="N4232" s="6" t="s">
        <v>1123</v>
      </c>
      <c r="O4232" s="6" t="s">
        <v>1123</v>
      </c>
      <c r="P4232" s="9" t="s">
        <v>33</v>
      </c>
      <c r="Q4232" s="9" t="s">
        <v>26</v>
      </c>
      <c r="R4232" s="9" t="s">
        <v>34</v>
      </c>
      <c r="S4232" s="7" t="s">
        <v>408</v>
      </c>
      <c r="T4232" s="9" t="s">
        <v>39</v>
      </c>
      <c r="U4232" s="7">
        <v>0.6</v>
      </c>
      <c r="V4232" s="12">
        <f>C4232+2</f>
        <v>39866</v>
      </c>
      <c r="W4232">
        <f>IF(D4232=' Pivot Tables'!$A$4,1,0)</f>
        <v>0</v>
      </c>
      <c r="X4232">
        <f>IF(AND(LEFT(D4232,4)+1=LEFT(' Pivot Tables'!$A$4,4)+0,RIGHT(LEFT(D4232,7),2)=RIGHT(LEFT(' Pivot Tables'!$A$4,7),2)),1,0)</f>
        <v>0</v>
      </c>
      <c r="Y4232" s="6">
        <f>1/COUNTIF(Таблица1[Order ID],Таблица1[[#This Row],[Order ID]])</f>
        <v>0.33333333333333331</v>
      </c>
      <c r="Z4232" s="9">
        <f>1/COUNTIFS(Таблица1[Customer Name],Таблица1[[#This Row],[Customer Name]],Таблица1[Order-Year-Month],Таблица1[[#This Row],[Order-Year-Month]])</f>
        <v>0.33333333333333331</v>
      </c>
    </row>
    <row r="4233" spans="1:26" x14ac:dyDescent="0.2">
      <c r="A4233" s="6">
        <v>7719</v>
      </c>
      <c r="B4233" s="7">
        <v>55300</v>
      </c>
      <c r="C4233" s="8">
        <f>DATE(2012,12,31)-1410</f>
        <v>39864</v>
      </c>
      <c r="D4233" s="8" t="str">
        <f t="shared" si="79"/>
        <v>2009-02 (февраль 2009)</v>
      </c>
      <c r="E4233" s="9" t="s">
        <v>30</v>
      </c>
      <c r="F4233" s="7">
        <v>48</v>
      </c>
      <c r="G4233" s="7">
        <v>180.48</v>
      </c>
      <c r="H4233" s="7">
        <v>0.01</v>
      </c>
      <c r="I4233" s="9" t="s">
        <v>22</v>
      </c>
      <c r="J4233" s="10">
        <v>82.38</v>
      </c>
      <c r="K4233" s="11">
        <v>3.75</v>
      </c>
      <c r="L4233" s="11">
        <v>0.5</v>
      </c>
      <c r="M4233" s="9" t="s">
        <v>1728</v>
      </c>
      <c r="N4233" s="6" t="s">
        <v>1123</v>
      </c>
      <c r="O4233" s="6" t="s">
        <v>1123</v>
      </c>
      <c r="P4233" s="9" t="s">
        <v>33</v>
      </c>
      <c r="Q4233" s="9" t="s">
        <v>26</v>
      </c>
      <c r="R4233" s="9" t="s">
        <v>88</v>
      </c>
      <c r="S4233" s="7" t="s">
        <v>130</v>
      </c>
      <c r="T4233" s="9" t="s">
        <v>39</v>
      </c>
      <c r="U4233" s="7">
        <v>0.37</v>
      </c>
      <c r="V4233" s="12">
        <f>C4233+1</f>
        <v>39865</v>
      </c>
      <c r="W4233">
        <f>IF(D4233=' Pivot Tables'!$A$4,1,0)</f>
        <v>0</v>
      </c>
      <c r="X4233">
        <f>IF(AND(LEFT(D4233,4)+1=LEFT(' Pivot Tables'!$A$4,4)+0,RIGHT(LEFT(D4233,7),2)=RIGHT(LEFT(' Pivot Tables'!$A$4,7),2)),1,0)</f>
        <v>0</v>
      </c>
      <c r="Y4233" s="6">
        <f>1/COUNTIF(Таблица1[Order ID],Таблица1[[#This Row],[Order ID]])</f>
        <v>0.33333333333333331</v>
      </c>
      <c r="Z4233" s="9">
        <f>1/COUNTIFS(Таблица1[Customer Name],Таблица1[[#This Row],[Customer Name]],Таблица1[Order-Year-Month],Таблица1[[#This Row],[Order-Year-Month]])</f>
        <v>0.33333333333333331</v>
      </c>
    </row>
    <row r="4234" spans="1:26" x14ac:dyDescent="0.2">
      <c r="A4234" s="6">
        <v>7720</v>
      </c>
      <c r="B4234" s="7">
        <v>55300</v>
      </c>
      <c r="C4234" s="8">
        <f>DATE(2012,12,31)-1410</f>
        <v>39864</v>
      </c>
      <c r="D4234" s="8" t="str">
        <f t="shared" si="79"/>
        <v>2009-02 (февраль 2009)</v>
      </c>
      <c r="E4234" s="9" t="s">
        <v>30</v>
      </c>
      <c r="F4234" s="7">
        <v>31</v>
      </c>
      <c r="G4234" s="7">
        <v>350.48</v>
      </c>
      <c r="H4234" s="7">
        <v>0.02</v>
      </c>
      <c r="I4234" s="9" t="s">
        <v>22</v>
      </c>
      <c r="J4234" s="10">
        <v>-231.05</v>
      </c>
      <c r="K4234" s="11">
        <v>10.68</v>
      </c>
      <c r="L4234" s="11">
        <v>13.04</v>
      </c>
      <c r="M4234" s="9" t="s">
        <v>1728</v>
      </c>
      <c r="N4234" s="6" t="s">
        <v>1123</v>
      </c>
      <c r="O4234" s="6" t="s">
        <v>1123</v>
      </c>
      <c r="P4234" s="9" t="s">
        <v>33</v>
      </c>
      <c r="Q4234" s="9" t="s">
        <v>49</v>
      </c>
      <c r="R4234" s="9" t="s">
        <v>50</v>
      </c>
      <c r="S4234" s="7" t="s">
        <v>668</v>
      </c>
      <c r="T4234" s="9" t="s">
        <v>29</v>
      </c>
      <c r="U4234" s="7">
        <v>0.6</v>
      </c>
      <c r="V4234" s="12">
        <f>C4234+2</f>
        <v>39866</v>
      </c>
      <c r="W4234">
        <f>IF(D4234=' Pivot Tables'!$A$4,1,0)</f>
        <v>0</v>
      </c>
      <c r="X4234">
        <f>IF(AND(LEFT(D4234,4)+1=LEFT(' Pivot Tables'!$A$4,4)+0,RIGHT(LEFT(D4234,7),2)=RIGHT(LEFT(' Pivot Tables'!$A$4,7),2)),1,0)</f>
        <v>0</v>
      </c>
      <c r="Y4234" s="6">
        <f>1/COUNTIF(Таблица1[Order ID],Таблица1[[#This Row],[Order ID]])</f>
        <v>0.33333333333333331</v>
      </c>
      <c r="Z4234" s="9">
        <f>1/COUNTIFS(Таблица1[Customer Name],Таблица1[[#This Row],[Customer Name]],Таблица1[Order-Year-Month],Таблица1[[#This Row],[Order-Year-Month]])</f>
        <v>0.33333333333333331</v>
      </c>
    </row>
    <row r="4235" spans="1:26" x14ac:dyDescent="0.2">
      <c r="A4235" s="6">
        <v>7736</v>
      </c>
      <c r="B4235" s="7">
        <v>55398</v>
      </c>
      <c r="C4235" s="8">
        <f>DATE(2012,12,31)-1076</f>
        <v>40198</v>
      </c>
      <c r="D4235" s="8" t="str">
        <f t="shared" si="79"/>
        <v>2010-01 (январь 2010)</v>
      </c>
      <c r="E4235" s="9" t="s">
        <v>63</v>
      </c>
      <c r="F4235" s="7">
        <v>21</v>
      </c>
      <c r="G4235" s="7">
        <v>46.42</v>
      </c>
      <c r="H4235" s="7">
        <v>0.04</v>
      </c>
      <c r="I4235" s="9" t="s">
        <v>22</v>
      </c>
      <c r="J4235" s="10">
        <v>2.38</v>
      </c>
      <c r="K4235" s="11">
        <v>2.1</v>
      </c>
      <c r="L4235" s="11">
        <v>0.7</v>
      </c>
      <c r="M4235" s="9" t="s">
        <v>1415</v>
      </c>
      <c r="N4235" s="6" t="s">
        <v>1123</v>
      </c>
      <c r="O4235" s="6" t="s">
        <v>1123</v>
      </c>
      <c r="P4235" s="9" t="s">
        <v>25</v>
      </c>
      <c r="Q4235" s="9" t="s">
        <v>26</v>
      </c>
      <c r="R4235" s="9" t="s">
        <v>95</v>
      </c>
      <c r="S4235" s="7" t="s">
        <v>1703</v>
      </c>
      <c r="T4235" s="9" t="s">
        <v>68</v>
      </c>
      <c r="U4235" s="7">
        <v>0.56999999999999995</v>
      </c>
      <c r="V4235" s="12">
        <f>C4235+1</f>
        <v>40199</v>
      </c>
      <c r="W4235">
        <f>IF(D4235=' Pivot Tables'!$A$4,1,0)</f>
        <v>1</v>
      </c>
      <c r="X4235">
        <f>IF(AND(LEFT(D4235,4)+1=LEFT(' Pivot Tables'!$A$4,4)+0,RIGHT(LEFT(D4235,7),2)=RIGHT(LEFT(' Pivot Tables'!$A$4,7),2)),1,0)</f>
        <v>0</v>
      </c>
      <c r="Y4235" s="6">
        <f>1/COUNTIF(Таблица1[Order ID],Таблица1[[#This Row],[Order ID]])</f>
        <v>0.5</v>
      </c>
      <c r="Z4235" s="9">
        <f>1/COUNTIFS(Таблица1[Customer Name],Таблица1[[#This Row],[Customer Name]],Таблица1[Order-Year-Month],Таблица1[[#This Row],[Order-Year-Month]])</f>
        <v>0.5</v>
      </c>
    </row>
    <row r="4236" spans="1:26" x14ac:dyDescent="0.2">
      <c r="A4236" s="6">
        <v>7761</v>
      </c>
      <c r="B4236" s="7">
        <v>55553</v>
      </c>
      <c r="C4236" s="8">
        <f>DATE(2012,12,31)-1263</f>
        <v>40011</v>
      </c>
      <c r="D4236" s="8" t="str">
        <f t="shared" si="79"/>
        <v>2009-07 (июль 2009)</v>
      </c>
      <c r="E4236" s="9" t="s">
        <v>63</v>
      </c>
      <c r="F4236" s="7">
        <v>32</v>
      </c>
      <c r="G4236" s="7">
        <v>177.52</v>
      </c>
      <c r="H4236" s="7">
        <v>0.05</v>
      </c>
      <c r="I4236" s="9" t="s">
        <v>22</v>
      </c>
      <c r="J4236" s="10">
        <v>52.61</v>
      </c>
      <c r="K4236" s="11">
        <v>5.68</v>
      </c>
      <c r="L4236" s="11">
        <v>1.39</v>
      </c>
      <c r="M4236" s="9" t="s">
        <v>1011</v>
      </c>
      <c r="N4236" s="6" t="s">
        <v>1123</v>
      </c>
      <c r="O4236" s="6" t="s">
        <v>1123</v>
      </c>
      <c r="P4236" s="9" t="s">
        <v>25</v>
      </c>
      <c r="Q4236" s="9" t="s">
        <v>26</v>
      </c>
      <c r="R4236" s="9" t="s">
        <v>76</v>
      </c>
      <c r="S4236" s="7" t="s">
        <v>620</v>
      </c>
      <c r="T4236" s="9" t="s">
        <v>39</v>
      </c>
      <c r="U4236" s="7">
        <v>0.38</v>
      </c>
      <c r="V4236" s="12">
        <f>C4236+1</f>
        <v>40012</v>
      </c>
      <c r="W4236">
        <f>IF(D4236=' Pivot Tables'!$A$4,1,0)</f>
        <v>0</v>
      </c>
      <c r="X4236">
        <f>IF(AND(LEFT(D4236,4)+1=LEFT(' Pivot Tables'!$A$4,4)+0,RIGHT(LEFT(D4236,7),2)=RIGHT(LEFT(' Pivot Tables'!$A$4,7),2)),1,0)</f>
        <v>0</v>
      </c>
      <c r="Y4236" s="6">
        <f>1/COUNTIF(Таблица1[Order ID],Таблица1[[#This Row],[Order ID]])</f>
        <v>1</v>
      </c>
      <c r="Z4236" s="9">
        <f>1/COUNTIFS(Таблица1[Customer Name],Таблица1[[#This Row],[Customer Name]],Таблица1[Order-Year-Month],Таблица1[[#This Row],[Order-Year-Month]])</f>
        <v>0.33333333333333331</v>
      </c>
    </row>
    <row r="4237" spans="1:26" x14ac:dyDescent="0.2">
      <c r="A4237" s="6">
        <v>7791</v>
      </c>
      <c r="B4237" s="7">
        <v>55747</v>
      </c>
      <c r="C4237" s="8">
        <f>DATE(2012,12,31)-29</f>
        <v>41245</v>
      </c>
      <c r="D4237" s="8" t="str">
        <f t="shared" si="79"/>
        <v>2012-12 (декабрь 2012)</v>
      </c>
      <c r="E4237" s="9" t="s">
        <v>30</v>
      </c>
      <c r="F4237" s="7">
        <v>36</v>
      </c>
      <c r="G4237" s="7">
        <v>17560.95</v>
      </c>
      <c r="H4237" s="7">
        <v>0.09</v>
      </c>
      <c r="I4237" s="9" t="s">
        <v>31</v>
      </c>
      <c r="J4237" s="10">
        <v>4801.82</v>
      </c>
      <c r="K4237" s="11">
        <v>500.98</v>
      </c>
      <c r="L4237" s="11">
        <v>26</v>
      </c>
      <c r="M4237" s="9" t="s">
        <v>1725</v>
      </c>
      <c r="N4237" s="6" t="s">
        <v>1123</v>
      </c>
      <c r="O4237" s="6" t="s">
        <v>1123</v>
      </c>
      <c r="P4237" s="9" t="s">
        <v>25</v>
      </c>
      <c r="Q4237" s="9" t="s">
        <v>49</v>
      </c>
      <c r="R4237" s="9" t="s">
        <v>112</v>
      </c>
      <c r="S4237" s="7" t="s">
        <v>119</v>
      </c>
      <c r="T4237" s="9" t="s">
        <v>36</v>
      </c>
      <c r="U4237" s="7">
        <v>0.6</v>
      </c>
      <c r="V4237" s="12">
        <f>C4237+1</f>
        <v>41246</v>
      </c>
      <c r="W4237">
        <f>IF(D4237=' Pivot Tables'!$A$4,1,0)</f>
        <v>0</v>
      </c>
      <c r="X4237">
        <f>IF(AND(LEFT(D4237,4)+1=LEFT(' Pivot Tables'!$A$4,4)+0,RIGHT(LEFT(D4237,7),2)=RIGHT(LEFT(' Pivot Tables'!$A$4,7),2)),1,0)</f>
        <v>0</v>
      </c>
      <c r="Y4237" s="6">
        <f>1/COUNTIF(Таблица1[Order ID],Таблица1[[#This Row],[Order ID]])</f>
        <v>0.5</v>
      </c>
      <c r="Z4237" s="9">
        <f>1/COUNTIFS(Таблица1[Customer Name],Таблица1[[#This Row],[Customer Name]],Таблица1[Order-Year-Month],Таблица1[[#This Row],[Order-Year-Month]])</f>
        <v>0.5</v>
      </c>
    </row>
    <row r="4238" spans="1:26" x14ac:dyDescent="0.2">
      <c r="A4238" s="6">
        <v>7792</v>
      </c>
      <c r="B4238" s="7">
        <v>55747</v>
      </c>
      <c r="C4238" s="8">
        <f>DATE(2012,12,31)-29</f>
        <v>41245</v>
      </c>
      <c r="D4238" s="8" t="str">
        <f t="shared" si="79"/>
        <v>2012-12 (декабрь 2012)</v>
      </c>
      <c r="E4238" s="9" t="s">
        <v>30</v>
      </c>
      <c r="F4238" s="7">
        <v>42</v>
      </c>
      <c r="G4238" s="7">
        <v>19845.696</v>
      </c>
      <c r="H4238" s="7">
        <v>0.01</v>
      </c>
      <c r="I4238" s="9" t="s">
        <v>31</v>
      </c>
      <c r="J4238" s="10">
        <v>-1331.5533660000001</v>
      </c>
      <c r="K4238" s="11">
        <v>550.98</v>
      </c>
      <c r="L4238" s="11">
        <v>64.59</v>
      </c>
      <c r="M4238" s="9" t="s">
        <v>1725</v>
      </c>
      <c r="N4238" s="6" t="s">
        <v>1123</v>
      </c>
      <c r="O4238" s="6" t="s">
        <v>1123</v>
      </c>
      <c r="P4238" s="9" t="s">
        <v>25</v>
      </c>
      <c r="Q4238" s="9" t="s">
        <v>49</v>
      </c>
      <c r="R4238" s="9" t="s">
        <v>83</v>
      </c>
      <c r="S4238" s="7" t="s">
        <v>628</v>
      </c>
      <c r="T4238" s="9" t="s">
        <v>82</v>
      </c>
      <c r="U4238" s="7">
        <v>0.66</v>
      </c>
      <c r="V4238" s="12">
        <f>C4238+2</f>
        <v>41247</v>
      </c>
      <c r="W4238">
        <f>IF(D4238=' Pivot Tables'!$A$4,1,0)</f>
        <v>0</v>
      </c>
      <c r="X4238">
        <f>IF(AND(LEFT(D4238,4)+1=LEFT(' Pivot Tables'!$A$4,4)+0,RIGHT(LEFT(D4238,7),2)=RIGHT(LEFT(' Pivot Tables'!$A$4,7),2)),1,0)</f>
        <v>0</v>
      </c>
      <c r="Y4238" s="6">
        <f>1/COUNTIF(Таблица1[Order ID],Таблица1[[#This Row],[Order ID]])</f>
        <v>0.5</v>
      </c>
      <c r="Z4238" s="9">
        <f>1/COUNTIFS(Таблица1[Customer Name],Таблица1[[#This Row],[Customer Name]],Таблица1[Order-Year-Month],Таблица1[[#This Row],[Order-Year-Month]])</f>
        <v>0.5</v>
      </c>
    </row>
    <row r="4239" spans="1:26" x14ac:dyDescent="0.2">
      <c r="A4239" s="6">
        <v>7798</v>
      </c>
      <c r="B4239" s="7">
        <v>55779</v>
      </c>
      <c r="C4239" s="8">
        <f>DATE(2012,12,31)-296</f>
        <v>40978</v>
      </c>
      <c r="D4239" s="8" t="str">
        <f t="shared" si="79"/>
        <v>2012-03 (март 2012)</v>
      </c>
      <c r="E4239" s="9" t="s">
        <v>78</v>
      </c>
      <c r="F4239" s="7">
        <v>26</v>
      </c>
      <c r="G4239" s="7">
        <v>4073.17</v>
      </c>
      <c r="H4239" s="7">
        <v>0.08</v>
      </c>
      <c r="I4239" s="9" t="s">
        <v>31</v>
      </c>
      <c r="J4239" s="10">
        <v>376.21</v>
      </c>
      <c r="K4239" s="11">
        <v>160.97999999999999</v>
      </c>
      <c r="L4239" s="11">
        <v>30</v>
      </c>
      <c r="M4239" s="9" t="s">
        <v>1688</v>
      </c>
      <c r="N4239" s="6" t="s">
        <v>1123</v>
      </c>
      <c r="O4239" s="6" t="s">
        <v>1123</v>
      </c>
      <c r="P4239" s="9" t="s">
        <v>60</v>
      </c>
      <c r="Q4239" s="9" t="s">
        <v>49</v>
      </c>
      <c r="R4239" s="9" t="s">
        <v>112</v>
      </c>
      <c r="S4239" s="7" t="s">
        <v>746</v>
      </c>
      <c r="T4239" s="9" t="s">
        <v>36</v>
      </c>
      <c r="U4239" s="7">
        <v>0.62</v>
      </c>
      <c r="V4239" s="12">
        <f>C4239+1</f>
        <v>40979</v>
      </c>
      <c r="W4239">
        <f>IF(D4239=' Pivot Tables'!$A$4,1,0)</f>
        <v>0</v>
      </c>
      <c r="X4239">
        <f>IF(AND(LEFT(D4239,4)+1=LEFT(' Pivot Tables'!$A$4,4)+0,RIGHT(LEFT(D4239,7),2)=RIGHT(LEFT(' Pivot Tables'!$A$4,7),2)),1,0)</f>
        <v>0</v>
      </c>
      <c r="Y4239" s="6">
        <f>1/COUNTIF(Таблица1[Order ID],Таблица1[[#This Row],[Order ID]])</f>
        <v>1</v>
      </c>
      <c r="Z4239" s="9">
        <f>1/COUNTIFS(Таблица1[Customer Name],Таблица1[[#This Row],[Customer Name]],Таблица1[Order-Year-Month],Таблица1[[#This Row],[Order-Year-Month]])</f>
        <v>1</v>
      </c>
    </row>
    <row r="4240" spans="1:26" x14ac:dyDescent="0.2">
      <c r="A4240" s="6">
        <v>7886</v>
      </c>
      <c r="B4240" s="7">
        <v>56418</v>
      </c>
      <c r="C4240" s="8">
        <f>DATE(2012,12,31)-263</f>
        <v>41011</v>
      </c>
      <c r="D4240" s="8" t="str">
        <f t="shared" si="79"/>
        <v>2012-04 (апрель 2012)</v>
      </c>
      <c r="E4240" s="9" t="s">
        <v>78</v>
      </c>
      <c r="F4240" s="7">
        <v>47</v>
      </c>
      <c r="G4240" s="7">
        <v>1613.84</v>
      </c>
      <c r="H4240" s="7">
        <v>0.09</v>
      </c>
      <c r="I4240" s="9" t="s">
        <v>22</v>
      </c>
      <c r="J4240" s="10">
        <v>226.76</v>
      </c>
      <c r="K4240" s="11">
        <v>34.76</v>
      </c>
      <c r="L4240" s="11">
        <v>8.2200000000000006</v>
      </c>
      <c r="M4240" s="9" t="s">
        <v>1725</v>
      </c>
      <c r="N4240" s="6" t="s">
        <v>1123</v>
      </c>
      <c r="O4240" s="6" t="s">
        <v>1123</v>
      </c>
      <c r="P4240" s="9" t="s">
        <v>41</v>
      </c>
      <c r="Q4240" s="9" t="s">
        <v>26</v>
      </c>
      <c r="R4240" s="9" t="s">
        <v>27</v>
      </c>
      <c r="S4240" s="7" t="s">
        <v>247</v>
      </c>
      <c r="T4240" s="9" t="s">
        <v>39</v>
      </c>
      <c r="U4240" s="7">
        <v>0.56999999999999995</v>
      </c>
      <c r="V4240" s="12">
        <f>C4240+1</f>
        <v>41012</v>
      </c>
      <c r="W4240">
        <f>IF(D4240=' Pivot Tables'!$A$4,1,0)</f>
        <v>0</v>
      </c>
      <c r="X4240">
        <f>IF(AND(LEFT(D4240,4)+1=LEFT(' Pivot Tables'!$A$4,4)+0,RIGHT(LEFT(D4240,7),2)=RIGHT(LEFT(' Pivot Tables'!$A$4,7),2)),1,0)</f>
        <v>0</v>
      </c>
      <c r="Y4240" s="6">
        <f>1/COUNTIF(Таблица1[Order ID],Таблица1[[#This Row],[Order ID]])</f>
        <v>1</v>
      </c>
      <c r="Z4240" s="9">
        <f>1/COUNTIFS(Таблица1[Customer Name],Таблица1[[#This Row],[Customer Name]],Таблица1[Order-Year-Month],Таблица1[[#This Row],[Order-Year-Month]])</f>
        <v>0.5</v>
      </c>
    </row>
    <row r="4241" spans="1:26" x14ac:dyDescent="0.2">
      <c r="A4241" s="6">
        <v>7911</v>
      </c>
      <c r="B4241" s="7">
        <v>56580</v>
      </c>
      <c r="C4241" s="8">
        <f>DATE(2012,12,31)-505</f>
        <v>40769</v>
      </c>
      <c r="D4241" s="8" t="str">
        <f t="shared" si="79"/>
        <v>2011-08 (август 2011)</v>
      </c>
      <c r="E4241" s="9" t="s">
        <v>45</v>
      </c>
      <c r="F4241" s="7">
        <v>9</v>
      </c>
      <c r="G4241" s="7">
        <v>73.05</v>
      </c>
      <c r="H4241" s="7">
        <v>0.1</v>
      </c>
      <c r="I4241" s="9" t="s">
        <v>22</v>
      </c>
      <c r="J4241" s="10">
        <v>-17.03</v>
      </c>
      <c r="K4241" s="11">
        <v>8.34</v>
      </c>
      <c r="L4241" s="11">
        <v>4.82</v>
      </c>
      <c r="M4241" s="9" t="s">
        <v>1747</v>
      </c>
      <c r="N4241" s="6" t="s">
        <v>1123</v>
      </c>
      <c r="O4241" s="6" t="s">
        <v>1123</v>
      </c>
      <c r="P4241" s="9" t="s">
        <v>33</v>
      </c>
      <c r="Q4241" s="9" t="s">
        <v>26</v>
      </c>
      <c r="R4241" s="9" t="s">
        <v>61</v>
      </c>
      <c r="S4241" s="7" t="s">
        <v>662</v>
      </c>
      <c r="T4241" s="9" t="s">
        <v>39</v>
      </c>
      <c r="U4241" s="7">
        <v>0.4</v>
      </c>
      <c r="V4241" s="12">
        <f>C4241+0</f>
        <v>40769</v>
      </c>
      <c r="W4241">
        <f>IF(D4241=' Pivot Tables'!$A$4,1,0)</f>
        <v>0</v>
      </c>
      <c r="X4241">
        <f>IF(AND(LEFT(D4241,4)+1=LEFT(' Pivot Tables'!$A$4,4)+0,RIGHT(LEFT(D4241,7),2)=RIGHT(LEFT(' Pivot Tables'!$A$4,7),2)),1,0)</f>
        <v>0</v>
      </c>
      <c r="Y4241" s="6">
        <f>1/COUNTIF(Таблица1[Order ID],Таблица1[[#This Row],[Order ID]])</f>
        <v>0.33333333333333331</v>
      </c>
      <c r="Z4241" s="9">
        <f>1/COUNTIFS(Таблица1[Customer Name],Таблица1[[#This Row],[Customer Name]],Таблица1[Order-Year-Month],Таблица1[[#This Row],[Order-Year-Month]])</f>
        <v>0.33333333333333331</v>
      </c>
    </row>
    <row r="4242" spans="1:26" x14ac:dyDescent="0.2">
      <c r="A4242" s="6">
        <v>7912</v>
      </c>
      <c r="B4242" s="7">
        <v>56580</v>
      </c>
      <c r="C4242" s="8">
        <f>DATE(2012,12,31)-505</f>
        <v>40769</v>
      </c>
      <c r="D4242" s="8" t="str">
        <f t="shared" si="79"/>
        <v>2011-08 (август 2011)</v>
      </c>
      <c r="E4242" s="9" t="s">
        <v>45</v>
      </c>
      <c r="F4242" s="7">
        <v>44</v>
      </c>
      <c r="G4242" s="7">
        <v>950.3</v>
      </c>
      <c r="H4242" s="7">
        <v>0.1</v>
      </c>
      <c r="I4242" s="9" t="s">
        <v>31</v>
      </c>
      <c r="J4242" s="10">
        <v>-2103.0500000000002</v>
      </c>
      <c r="K4242" s="11">
        <v>20.98</v>
      </c>
      <c r="L4242" s="11">
        <v>53.03</v>
      </c>
      <c r="M4242" s="9" t="s">
        <v>1747</v>
      </c>
      <c r="N4242" s="6" t="s">
        <v>1123</v>
      </c>
      <c r="O4242" s="6" t="s">
        <v>1123</v>
      </c>
      <c r="P4242" s="9" t="s">
        <v>33</v>
      </c>
      <c r="Q4242" s="9" t="s">
        <v>26</v>
      </c>
      <c r="R4242" s="9" t="s">
        <v>27</v>
      </c>
      <c r="S4242" s="7" t="s">
        <v>218</v>
      </c>
      <c r="T4242" s="9" t="s">
        <v>36</v>
      </c>
      <c r="U4242" s="7">
        <v>0.78</v>
      </c>
      <c r="V4242" s="12">
        <f>C4242+2</f>
        <v>40771</v>
      </c>
      <c r="W4242">
        <f>IF(D4242=' Pivot Tables'!$A$4,1,0)</f>
        <v>0</v>
      </c>
      <c r="X4242">
        <f>IF(AND(LEFT(D4242,4)+1=LEFT(' Pivot Tables'!$A$4,4)+0,RIGHT(LEFT(D4242,7),2)=RIGHT(LEFT(' Pivot Tables'!$A$4,7),2)),1,0)</f>
        <v>0</v>
      </c>
      <c r="Y4242" s="6">
        <f>1/COUNTIF(Таблица1[Order ID],Таблица1[[#This Row],[Order ID]])</f>
        <v>0.33333333333333331</v>
      </c>
      <c r="Z4242" s="9">
        <f>1/COUNTIFS(Таблица1[Customer Name],Таблица1[[#This Row],[Customer Name]],Таблица1[Order-Year-Month],Таблица1[[#This Row],[Order-Year-Month]])</f>
        <v>0.33333333333333331</v>
      </c>
    </row>
    <row r="4243" spans="1:26" x14ac:dyDescent="0.2">
      <c r="A4243" s="6">
        <v>7913</v>
      </c>
      <c r="B4243" s="7">
        <v>56580</v>
      </c>
      <c r="C4243" s="8">
        <f>DATE(2012,12,31)-505</f>
        <v>40769</v>
      </c>
      <c r="D4243" s="8" t="str">
        <f t="shared" si="79"/>
        <v>2011-08 (август 2011)</v>
      </c>
      <c r="E4243" s="9" t="s">
        <v>45</v>
      </c>
      <c r="F4243" s="7">
        <v>29</v>
      </c>
      <c r="G4243" s="7">
        <v>8122.53</v>
      </c>
      <c r="H4243" s="7">
        <v>0.05</v>
      </c>
      <c r="I4243" s="9" t="s">
        <v>31</v>
      </c>
      <c r="J4243" s="10">
        <v>-693.23039500000016</v>
      </c>
      <c r="K4243" s="11">
        <v>286.85000000000002</v>
      </c>
      <c r="L4243" s="11">
        <v>61.76</v>
      </c>
      <c r="M4243" s="9" t="s">
        <v>1747</v>
      </c>
      <c r="N4243" s="6" t="s">
        <v>1123</v>
      </c>
      <c r="O4243" s="6" t="s">
        <v>1123</v>
      </c>
      <c r="P4243" s="9" t="s">
        <v>33</v>
      </c>
      <c r="Q4243" s="9" t="s">
        <v>49</v>
      </c>
      <c r="R4243" s="9" t="s">
        <v>83</v>
      </c>
      <c r="S4243" s="7" t="s">
        <v>1086</v>
      </c>
      <c r="T4243" s="9" t="s">
        <v>82</v>
      </c>
      <c r="U4243" s="7">
        <v>0.78</v>
      </c>
      <c r="V4243" s="12">
        <f>C4243+2</f>
        <v>40771</v>
      </c>
      <c r="W4243">
        <f>IF(D4243=' Pivot Tables'!$A$4,1,0)</f>
        <v>0</v>
      </c>
      <c r="X4243">
        <f>IF(AND(LEFT(D4243,4)+1=LEFT(' Pivot Tables'!$A$4,4)+0,RIGHT(LEFT(D4243,7),2)=RIGHT(LEFT(' Pivot Tables'!$A$4,7),2)),1,0)</f>
        <v>0</v>
      </c>
      <c r="Y4243" s="6">
        <f>1/COUNTIF(Таблица1[Order ID],Таблица1[[#This Row],[Order ID]])</f>
        <v>0.33333333333333331</v>
      </c>
      <c r="Z4243" s="9">
        <f>1/COUNTIFS(Таблица1[Customer Name],Таблица1[[#This Row],[Customer Name]],Таблица1[Order-Year-Month],Таблица1[[#This Row],[Order-Year-Month]])</f>
        <v>0.33333333333333331</v>
      </c>
    </row>
    <row r="4244" spans="1:26" x14ac:dyDescent="0.2">
      <c r="A4244" s="6">
        <v>7953</v>
      </c>
      <c r="B4244" s="7">
        <v>56807</v>
      </c>
      <c r="C4244" s="8">
        <f>DATE(2012,12,31)-1350</f>
        <v>39924</v>
      </c>
      <c r="D4244" s="8" t="str">
        <f t="shared" si="79"/>
        <v>2009-04 (апрель 2009)</v>
      </c>
      <c r="E4244" s="9" t="s">
        <v>30</v>
      </c>
      <c r="F4244" s="7">
        <v>1</v>
      </c>
      <c r="G4244" s="7">
        <v>47.04</v>
      </c>
      <c r="H4244" s="7">
        <v>0.06</v>
      </c>
      <c r="I4244" s="9" t="s">
        <v>22</v>
      </c>
      <c r="J4244" s="10">
        <v>-24.63</v>
      </c>
      <c r="K4244" s="11">
        <v>42.98</v>
      </c>
      <c r="L4244" s="11">
        <v>4.62</v>
      </c>
      <c r="M4244" s="9" t="s">
        <v>1622</v>
      </c>
      <c r="N4244" s="6" t="s">
        <v>1123</v>
      </c>
      <c r="O4244" s="6" t="s">
        <v>1123</v>
      </c>
      <c r="P4244" s="9" t="s">
        <v>33</v>
      </c>
      <c r="Q4244" s="9" t="s">
        <v>26</v>
      </c>
      <c r="R4244" s="9" t="s">
        <v>34</v>
      </c>
      <c r="S4244" s="7" t="s">
        <v>852</v>
      </c>
      <c r="T4244" s="9" t="s">
        <v>39</v>
      </c>
      <c r="U4244" s="7">
        <v>0.56000000000000005</v>
      </c>
      <c r="V4244" s="12">
        <f>C4244+2</f>
        <v>39926</v>
      </c>
      <c r="W4244">
        <f>IF(D4244=' Pivot Tables'!$A$4,1,0)</f>
        <v>0</v>
      </c>
      <c r="X4244">
        <f>IF(AND(LEFT(D4244,4)+1=LEFT(' Pivot Tables'!$A$4,4)+0,RIGHT(LEFT(D4244,7),2)=RIGHT(LEFT(' Pivot Tables'!$A$4,7),2)),1,0)</f>
        <v>0</v>
      </c>
      <c r="Y4244" s="6">
        <f>1/COUNTIF(Таблица1[Order ID],Таблица1[[#This Row],[Order ID]])</f>
        <v>1</v>
      </c>
      <c r="Z4244" s="9">
        <f>1/COUNTIFS(Таблица1[Customer Name],Таблица1[[#This Row],[Customer Name]],Таблица1[Order-Year-Month],Таблица1[[#This Row],[Order-Year-Month]])</f>
        <v>1</v>
      </c>
    </row>
    <row r="4245" spans="1:26" x14ac:dyDescent="0.2">
      <c r="A4245" s="6">
        <v>7957</v>
      </c>
      <c r="B4245" s="7">
        <v>56837</v>
      </c>
      <c r="C4245" s="8">
        <f>DATE(2012,12,31)-748</f>
        <v>40526</v>
      </c>
      <c r="D4245" s="8" t="str">
        <f t="shared" si="79"/>
        <v>2010-12 (декабрь 2010)</v>
      </c>
      <c r="E4245" s="9" t="s">
        <v>21</v>
      </c>
      <c r="F4245" s="7">
        <v>10</v>
      </c>
      <c r="G4245" s="7">
        <v>965.46</v>
      </c>
      <c r="H4245" s="7">
        <v>0.03</v>
      </c>
      <c r="I4245" s="9" t="s">
        <v>31</v>
      </c>
      <c r="J4245" s="10">
        <v>-71.48</v>
      </c>
      <c r="K4245" s="11">
        <v>90.98</v>
      </c>
      <c r="L4245" s="11">
        <v>30</v>
      </c>
      <c r="M4245" s="9" t="s">
        <v>1733</v>
      </c>
      <c r="N4245" s="6" t="s">
        <v>1123</v>
      </c>
      <c r="O4245" s="6" t="s">
        <v>1123</v>
      </c>
      <c r="P4245" s="9" t="s">
        <v>33</v>
      </c>
      <c r="Q4245" s="9" t="s">
        <v>49</v>
      </c>
      <c r="R4245" s="9" t="s">
        <v>112</v>
      </c>
      <c r="S4245" s="7" t="s">
        <v>717</v>
      </c>
      <c r="T4245" s="9" t="s">
        <v>36</v>
      </c>
      <c r="U4245" s="7">
        <v>0.61</v>
      </c>
      <c r="V4245" s="12">
        <f>C4245+4</f>
        <v>40530</v>
      </c>
      <c r="W4245">
        <f>IF(D4245=' Pivot Tables'!$A$4,1,0)</f>
        <v>0</v>
      </c>
      <c r="X4245">
        <f>IF(AND(LEFT(D4245,4)+1=LEFT(' Pivot Tables'!$A$4,4)+0,RIGHT(LEFT(D4245,7),2)=RIGHT(LEFT(' Pivot Tables'!$A$4,7),2)),1,0)</f>
        <v>0</v>
      </c>
      <c r="Y4245" s="6">
        <f>1/COUNTIF(Таблица1[Order ID],Таблица1[[#This Row],[Order ID]])</f>
        <v>1</v>
      </c>
      <c r="Z4245" s="9">
        <f>1/COUNTIFS(Таблица1[Customer Name],Таблица1[[#This Row],[Customer Name]],Таблица1[Order-Year-Month],Таблица1[[#This Row],[Order-Year-Month]])</f>
        <v>1</v>
      </c>
    </row>
    <row r="4246" spans="1:26" x14ac:dyDescent="0.2">
      <c r="A4246" s="6">
        <v>7970</v>
      </c>
      <c r="B4246" s="7">
        <v>56995</v>
      </c>
      <c r="C4246" s="8">
        <f>DATE(2012,12,31)-1173</f>
        <v>40101</v>
      </c>
      <c r="D4246" s="8" t="str">
        <f t="shared" si="79"/>
        <v>2009-10 (октябрь 2009)</v>
      </c>
      <c r="E4246" s="9" t="s">
        <v>63</v>
      </c>
      <c r="F4246" s="7">
        <v>27</v>
      </c>
      <c r="G4246" s="7">
        <v>157.57</v>
      </c>
      <c r="H4246" s="7">
        <v>0.08</v>
      </c>
      <c r="I4246" s="9" t="s">
        <v>56</v>
      </c>
      <c r="J4246" s="10">
        <v>-57.062999999999995</v>
      </c>
      <c r="K4246" s="11">
        <v>5.74</v>
      </c>
      <c r="L4246" s="11">
        <v>5.01</v>
      </c>
      <c r="M4246" s="9" t="s">
        <v>826</v>
      </c>
      <c r="N4246" s="6" t="s">
        <v>1123</v>
      </c>
      <c r="O4246" s="6" t="s">
        <v>1123</v>
      </c>
      <c r="P4246" s="9" t="s">
        <v>41</v>
      </c>
      <c r="Q4246" s="9" t="s">
        <v>26</v>
      </c>
      <c r="R4246" s="9" t="s">
        <v>37</v>
      </c>
      <c r="S4246" s="7" t="s">
        <v>363</v>
      </c>
      <c r="T4246" s="9" t="s">
        <v>39</v>
      </c>
      <c r="U4246" s="7">
        <v>0.39</v>
      </c>
      <c r="V4246" s="12">
        <f>C4246+2</f>
        <v>40103</v>
      </c>
      <c r="W4246">
        <f>IF(D4246=' Pivot Tables'!$A$4,1,0)</f>
        <v>0</v>
      </c>
      <c r="X4246">
        <f>IF(AND(LEFT(D4246,4)+1=LEFT(' Pivot Tables'!$A$4,4)+0,RIGHT(LEFT(D4246,7),2)=RIGHT(LEFT(' Pivot Tables'!$A$4,7),2)),1,0)</f>
        <v>0</v>
      </c>
      <c r="Y4246" s="6">
        <f>1/COUNTIF(Таблица1[Order ID],Таблица1[[#This Row],[Order ID]])</f>
        <v>1</v>
      </c>
      <c r="Z4246" s="9">
        <f>1/COUNTIFS(Таблица1[Customer Name],Таблица1[[#This Row],[Customer Name]],Таблица1[Order-Year-Month],Таблица1[[#This Row],[Order-Year-Month]])</f>
        <v>1</v>
      </c>
    </row>
    <row r="4247" spans="1:26" x14ac:dyDescent="0.2">
      <c r="A4247" s="6">
        <v>7984</v>
      </c>
      <c r="B4247" s="7">
        <v>57091</v>
      </c>
      <c r="C4247" s="8">
        <f>DATE(2012,12,31)-427</f>
        <v>40847</v>
      </c>
      <c r="D4247" s="8" t="str">
        <f t="shared" si="79"/>
        <v>2011-10 (октябрь 2011)</v>
      </c>
      <c r="E4247" s="9" t="s">
        <v>63</v>
      </c>
      <c r="F4247" s="7">
        <v>6</v>
      </c>
      <c r="G4247" s="7">
        <v>14.85</v>
      </c>
      <c r="H4247" s="7">
        <v>0.05</v>
      </c>
      <c r="I4247" s="9" t="s">
        <v>56</v>
      </c>
      <c r="J4247" s="10">
        <v>-2.79</v>
      </c>
      <c r="K4247" s="11">
        <v>1.68</v>
      </c>
      <c r="L4247" s="11">
        <v>1.02</v>
      </c>
      <c r="M4247" s="9" t="s">
        <v>1744</v>
      </c>
      <c r="N4247" s="6" t="s">
        <v>1123</v>
      </c>
      <c r="O4247" s="6" t="s">
        <v>1123</v>
      </c>
      <c r="P4247" s="9" t="s">
        <v>60</v>
      </c>
      <c r="Q4247" s="9" t="s">
        <v>26</v>
      </c>
      <c r="R4247" s="9" t="s">
        <v>66</v>
      </c>
      <c r="S4247" s="7" t="s">
        <v>1774</v>
      </c>
      <c r="T4247" s="9" t="s">
        <v>68</v>
      </c>
      <c r="U4247" s="7">
        <v>0.81</v>
      </c>
      <c r="V4247" s="12">
        <f>C4247+1</f>
        <v>40848</v>
      </c>
      <c r="W4247">
        <f>IF(D4247=' Pivot Tables'!$A$4,1,0)</f>
        <v>0</v>
      </c>
      <c r="X4247">
        <f>IF(AND(LEFT(D4247,4)+1=LEFT(' Pivot Tables'!$A$4,4)+0,RIGHT(LEFT(D4247,7),2)=RIGHT(LEFT(' Pivot Tables'!$A$4,7),2)),1,0)</f>
        <v>0</v>
      </c>
      <c r="Y4247" s="6">
        <f>1/COUNTIF(Таблица1[Order ID],Таблица1[[#This Row],[Order ID]])</f>
        <v>1</v>
      </c>
      <c r="Z4247" s="9">
        <f>1/COUNTIFS(Таблица1[Customer Name],Таблица1[[#This Row],[Customer Name]],Таблица1[Order-Year-Month],Таблица1[[#This Row],[Order-Year-Month]])</f>
        <v>1</v>
      </c>
    </row>
    <row r="4248" spans="1:26" x14ac:dyDescent="0.2">
      <c r="A4248" s="6">
        <v>7998</v>
      </c>
      <c r="B4248" s="7">
        <v>57155</v>
      </c>
      <c r="C4248" s="8">
        <f>DATE(2012,12,31)-1293</f>
        <v>39981</v>
      </c>
      <c r="D4248" s="8" t="str">
        <f t="shared" si="79"/>
        <v>2009-06 (июнь 2009)</v>
      </c>
      <c r="E4248" s="9" t="s">
        <v>78</v>
      </c>
      <c r="F4248" s="7">
        <v>23</v>
      </c>
      <c r="G4248" s="7">
        <v>155.52000000000001</v>
      </c>
      <c r="H4248" s="7">
        <v>0.05</v>
      </c>
      <c r="I4248" s="9" t="s">
        <v>22</v>
      </c>
      <c r="J4248" s="10">
        <v>-133.72999999999999</v>
      </c>
      <c r="K4248" s="11">
        <v>6.48</v>
      </c>
      <c r="L4248" s="11">
        <v>9.68</v>
      </c>
      <c r="M4248" s="9" t="s">
        <v>1720</v>
      </c>
      <c r="N4248" s="6" t="s">
        <v>1123</v>
      </c>
      <c r="O4248" s="6" t="s">
        <v>1123</v>
      </c>
      <c r="P4248" s="9" t="s">
        <v>33</v>
      </c>
      <c r="Q4248" s="9" t="s">
        <v>26</v>
      </c>
      <c r="R4248" s="9" t="s">
        <v>61</v>
      </c>
      <c r="S4248" s="7" t="s">
        <v>766</v>
      </c>
      <c r="T4248" s="9" t="s">
        <v>39</v>
      </c>
      <c r="U4248" s="7">
        <v>0.36</v>
      </c>
      <c r="V4248" s="12">
        <f>C4248+1</f>
        <v>39982</v>
      </c>
      <c r="W4248">
        <f>IF(D4248=' Pivot Tables'!$A$4,1,0)</f>
        <v>0</v>
      </c>
      <c r="X4248">
        <f>IF(AND(LEFT(D4248,4)+1=LEFT(' Pivot Tables'!$A$4,4)+0,RIGHT(LEFT(D4248,7),2)=RIGHT(LEFT(' Pivot Tables'!$A$4,7),2)),1,0)</f>
        <v>0</v>
      </c>
      <c r="Y4248" s="6">
        <f>1/COUNTIF(Таблица1[Order ID],Таблица1[[#This Row],[Order ID]])</f>
        <v>0.5</v>
      </c>
      <c r="Z4248" s="9">
        <f>1/COUNTIFS(Таблица1[Customer Name],Таблица1[[#This Row],[Customer Name]],Таблица1[Order-Year-Month],Таблица1[[#This Row],[Order-Year-Month]])</f>
        <v>0.5</v>
      </c>
    </row>
    <row r="4249" spans="1:26" x14ac:dyDescent="0.2">
      <c r="A4249" s="6">
        <v>7999</v>
      </c>
      <c r="B4249" s="7">
        <v>57155</v>
      </c>
      <c r="C4249" s="8">
        <f>DATE(2012,12,31)-1293</f>
        <v>39981</v>
      </c>
      <c r="D4249" s="8" t="str">
        <f t="shared" si="79"/>
        <v>2009-06 (июнь 2009)</v>
      </c>
      <c r="E4249" s="9" t="s">
        <v>78</v>
      </c>
      <c r="F4249" s="7">
        <v>16</v>
      </c>
      <c r="G4249" s="7">
        <v>535.54</v>
      </c>
      <c r="H4249" s="7">
        <v>0.04</v>
      </c>
      <c r="I4249" s="9" t="s">
        <v>56</v>
      </c>
      <c r="J4249" s="10">
        <v>60.82</v>
      </c>
      <c r="K4249" s="11">
        <v>33.89</v>
      </c>
      <c r="L4249" s="11">
        <v>5.0999999999999996</v>
      </c>
      <c r="M4249" s="9" t="s">
        <v>1720</v>
      </c>
      <c r="N4249" s="6" t="s">
        <v>1123</v>
      </c>
      <c r="O4249" s="6" t="s">
        <v>1123</v>
      </c>
      <c r="P4249" s="9" t="s">
        <v>33</v>
      </c>
      <c r="Q4249" s="9" t="s">
        <v>26</v>
      </c>
      <c r="R4249" s="9" t="s">
        <v>27</v>
      </c>
      <c r="S4249" s="7" t="s">
        <v>1775</v>
      </c>
      <c r="T4249" s="9" t="s">
        <v>39</v>
      </c>
      <c r="U4249" s="7">
        <v>0.6</v>
      </c>
      <c r="V4249" s="12">
        <f>C4249+1</f>
        <v>39982</v>
      </c>
      <c r="W4249">
        <f>IF(D4249=' Pivot Tables'!$A$4,1,0)</f>
        <v>0</v>
      </c>
      <c r="X4249">
        <f>IF(AND(LEFT(D4249,4)+1=LEFT(' Pivot Tables'!$A$4,4)+0,RIGHT(LEFT(D4249,7),2)=RIGHT(LEFT(' Pivot Tables'!$A$4,7),2)),1,0)</f>
        <v>0</v>
      </c>
      <c r="Y4249" s="6">
        <f>1/COUNTIF(Таблица1[Order ID],Таблица1[[#This Row],[Order ID]])</f>
        <v>0.5</v>
      </c>
      <c r="Z4249" s="9">
        <f>1/COUNTIFS(Таблица1[Customer Name],Таблица1[[#This Row],[Customer Name]],Таблица1[Order-Year-Month],Таблица1[[#This Row],[Order-Year-Month]])</f>
        <v>0.5</v>
      </c>
    </row>
    <row r="4250" spans="1:26" x14ac:dyDescent="0.2">
      <c r="A4250" s="6">
        <v>8003</v>
      </c>
      <c r="B4250" s="7">
        <v>57185</v>
      </c>
      <c r="C4250" s="8">
        <f>DATE(2012,12,31)-588</f>
        <v>40686</v>
      </c>
      <c r="D4250" s="8" t="str">
        <f t="shared" si="79"/>
        <v>2011-05 (май 2011)</v>
      </c>
      <c r="E4250" s="9" t="s">
        <v>63</v>
      </c>
      <c r="F4250" s="7">
        <v>28</v>
      </c>
      <c r="G4250" s="7">
        <v>1360.82</v>
      </c>
      <c r="H4250" s="7">
        <v>0.06</v>
      </c>
      <c r="I4250" s="9" t="s">
        <v>22</v>
      </c>
      <c r="J4250" s="10">
        <v>385.03</v>
      </c>
      <c r="K4250" s="11">
        <v>49.34</v>
      </c>
      <c r="L4250" s="11">
        <v>10.25</v>
      </c>
      <c r="M4250" s="9" t="s">
        <v>1742</v>
      </c>
      <c r="N4250" s="6" t="s">
        <v>1123</v>
      </c>
      <c r="O4250" s="6" t="s">
        <v>1123</v>
      </c>
      <c r="P4250" s="9" t="s">
        <v>41</v>
      </c>
      <c r="Q4250" s="9" t="s">
        <v>49</v>
      </c>
      <c r="R4250" s="9" t="s">
        <v>50</v>
      </c>
      <c r="S4250" s="7" t="s">
        <v>1279</v>
      </c>
      <c r="T4250" s="9" t="s">
        <v>29</v>
      </c>
      <c r="U4250" s="7">
        <v>0.56999999999999995</v>
      </c>
      <c r="V4250" s="12">
        <f>C4250+2</f>
        <v>40688</v>
      </c>
      <c r="W4250">
        <f>IF(D4250=' Pivot Tables'!$A$4,1,0)</f>
        <v>0</v>
      </c>
      <c r="X4250">
        <f>IF(AND(LEFT(D4250,4)+1=LEFT(' Pivot Tables'!$A$4,4)+0,RIGHT(LEFT(D4250,7),2)=RIGHT(LEFT(' Pivot Tables'!$A$4,7),2)),1,0)</f>
        <v>0</v>
      </c>
      <c r="Y4250" s="6">
        <f>1/COUNTIF(Таблица1[Order ID],Таблица1[[#This Row],[Order ID]])</f>
        <v>1</v>
      </c>
      <c r="Z4250" s="9">
        <f>1/COUNTIFS(Таблица1[Customer Name],Таблица1[[#This Row],[Customer Name]],Таблица1[Order-Year-Month],Таблица1[[#This Row],[Order-Year-Month]])</f>
        <v>1</v>
      </c>
    </row>
    <row r="4251" spans="1:26" x14ac:dyDescent="0.2">
      <c r="A4251" s="6">
        <v>8036</v>
      </c>
      <c r="B4251" s="7">
        <v>57409</v>
      </c>
      <c r="C4251" s="8">
        <f>DATE(2012,12,31)-1137</f>
        <v>40137</v>
      </c>
      <c r="D4251" s="8" t="str">
        <f t="shared" si="79"/>
        <v>2009-11 (ноябрь 2009)</v>
      </c>
      <c r="E4251" s="9" t="s">
        <v>45</v>
      </c>
      <c r="F4251" s="7">
        <v>1</v>
      </c>
      <c r="G4251" s="7">
        <v>90.88</v>
      </c>
      <c r="H4251" s="7">
        <v>0.1</v>
      </c>
      <c r="I4251" s="9" t="s">
        <v>22</v>
      </c>
      <c r="J4251" s="10">
        <v>-259.63</v>
      </c>
      <c r="K4251" s="11">
        <v>100.98</v>
      </c>
      <c r="L4251" s="11">
        <v>7.18</v>
      </c>
      <c r="M4251" s="9" t="s">
        <v>1011</v>
      </c>
      <c r="N4251" s="6" t="s">
        <v>1123</v>
      </c>
      <c r="O4251" s="6" t="s">
        <v>1123</v>
      </c>
      <c r="P4251" s="9" t="s">
        <v>25</v>
      </c>
      <c r="Q4251" s="9" t="s">
        <v>42</v>
      </c>
      <c r="R4251" s="9" t="s">
        <v>70</v>
      </c>
      <c r="S4251" s="7" t="s">
        <v>642</v>
      </c>
      <c r="T4251" s="9" t="s">
        <v>39</v>
      </c>
      <c r="U4251" s="7">
        <v>0.4</v>
      </c>
      <c r="V4251" s="12">
        <f>C4251+1</f>
        <v>40138</v>
      </c>
      <c r="W4251">
        <f>IF(D4251=' Pivot Tables'!$A$4,1,0)</f>
        <v>0</v>
      </c>
      <c r="X4251">
        <f>IF(AND(LEFT(D4251,4)+1=LEFT(' Pivot Tables'!$A$4,4)+0,RIGHT(LEFT(D4251,7),2)=RIGHT(LEFT(' Pivot Tables'!$A$4,7),2)),1,0)</f>
        <v>0</v>
      </c>
      <c r="Y4251" s="6">
        <f>1/COUNTIF(Таблица1[Order ID],Таблица1[[#This Row],[Order ID]])</f>
        <v>0.5</v>
      </c>
      <c r="Z4251" s="9">
        <f>1/COUNTIFS(Таблица1[Customer Name],Таблица1[[#This Row],[Customer Name]],Таблица1[Order-Year-Month],Таблица1[[#This Row],[Order-Year-Month]])</f>
        <v>0.33333333333333331</v>
      </c>
    </row>
    <row r="4252" spans="1:26" x14ac:dyDescent="0.2">
      <c r="A4252" s="6">
        <v>8037</v>
      </c>
      <c r="B4252" s="7">
        <v>57409</v>
      </c>
      <c r="C4252" s="8">
        <f>DATE(2012,12,31)-1137</f>
        <v>40137</v>
      </c>
      <c r="D4252" s="8" t="str">
        <f t="shared" si="79"/>
        <v>2009-11 (ноябрь 2009)</v>
      </c>
      <c r="E4252" s="9" t="s">
        <v>45</v>
      </c>
      <c r="F4252" s="7">
        <v>34</v>
      </c>
      <c r="G4252" s="7">
        <v>6236.4754999999996</v>
      </c>
      <c r="H4252" s="7">
        <v>0.03</v>
      </c>
      <c r="I4252" s="9" t="s">
        <v>22</v>
      </c>
      <c r="J4252" s="10">
        <v>1928.664</v>
      </c>
      <c r="K4252" s="11">
        <v>205.99</v>
      </c>
      <c r="L4252" s="11">
        <v>3</v>
      </c>
      <c r="M4252" s="9" t="s">
        <v>1011</v>
      </c>
      <c r="N4252" s="6" t="s">
        <v>1123</v>
      </c>
      <c r="O4252" s="6" t="s">
        <v>1123</v>
      </c>
      <c r="P4252" s="9" t="s">
        <v>25</v>
      </c>
      <c r="Q4252" s="9" t="s">
        <v>42</v>
      </c>
      <c r="R4252" s="9" t="s">
        <v>43</v>
      </c>
      <c r="S4252" s="7" t="s">
        <v>764</v>
      </c>
      <c r="T4252" s="9" t="s">
        <v>39</v>
      </c>
      <c r="U4252" s="7">
        <v>0.57999999999999996</v>
      </c>
      <c r="V4252" s="12">
        <f>C4252+1</f>
        <v>40138</v>
      </c>
      <c r="W4252">
        <f>IF(D4252=' Pivot Tables'!$A$4,1,0)</f>
        <v>0</v>
      </c>
      <c r="X4252">
        <f>IF(AND(LEFT(D4252,4)+1=LEFT(' Pivot Tables'!$A$4,4)+0,RIGHT(LEFT(D4252,7),2)=RIGHT(LEFT(' Pivot Tables'!$A$4,7),2)),1,0)</f>
        <v>0</v>
      </c>
      <c r="Y4252" s="6">
        <f>1/COUNTIF(Таблица1[Order ID],Таблица1[[#This Row],[Order ID]])</f>
        <v>0.5</v>
      </c>
      <c r="Z4252" s="9">
        <f>1/COUNTIFS(Таблица1[Customer Name],Таблица1[[#This Row],[Customer Name]],Таблица1[Order-Year-Month],Таблица1[[#This Row],[Order-Year-Month]])</f>
        <v>0.33333333333333331</v>
      </c>
    </row>
    <row r="4253" spans="1:26" x14ac:dyDescent="0.2">
      <c r="A4253" s="6">
        <v>8066</v>
      </c>
      <c r="B4253" s="7">
        <v>57542</v>
      </c>
      <c r="C4253" s="8">
        <f>DATE(2012,12,31)-1227</f>
        <v>40047</v>
      </c>
      <c r="D4253" s="8" t="str">
        <f t="shared" si="79"/>
        <v>2009-08 (август 2009)</v>
      </c>
      <c r="E4253" s="9" t="s">
        <v>30</v>
      </c>
      <c r="F4253" s="7">
        <v>23</v>
      </c>
      <c r="G4253" s="7">
        <v>1256.29</v>
      </c>
      <c r="H4253" s="7">
        <v>0.04</v>
      </c>
      <c r="I4253" s="9" t="s">
        <v>22</v>
      </c>
      <c r="J4253" s="10">
        <v>517.03</v>
      </c>
      <c r="K4253" s="11">
        <v>55.48</v>
      </c>
      <c r="L4253" s="11">
        <v>6.79</v>
      </c>
      <c r="M4253" s="9" t="s">
        <v>1725</v>
      </c>
      <c r="N4253" s="6" t="s">
        <v>1123</v>
      </c>
      <c r="O4253" s="6" t="s">
        <v>1123</v>
      </c>
      <c r="P4253" s="9" t="s">
        <v>41</v>
      </c>
      <c r="Q4253" s="9" t="s">
        <v>26</v>
      </c>
      <c r="R4253" s="9" t="s">
        <v>61</v>
      </c>
      <c r="S4253" s="7" t="s">
        <v>1065</v>
      </c>
      <c r="T4253" s="9" t="s">
        <v>39</v>
      </c>
      <c r="U4253" s="7">
        <v>0.37</v>
      </c>
      <c r="V4253" s="12">
        <f>C4253+2</f>
        <v>40049</v>
      </c>
      <c r="W4253">
        <f>IF(D4253=' Pivot Tables'!$A$4,1,0)</f>
        <v>0</v>
      </c>
      <c r="X4253">
        <f>IF(AND(LEFT(D4253,4)+1=LEFT(' Pivot Tables'!$A$4,4)+0,RIGHT(LEFT(D4253,7),2)=RIGHT(LEFT(' Pivot Tables'!$A$4,7),2)),1,0)</f>
        <v>0</v>
      </c>
      <c r="Y4253" s="6">
        <f>1/COUNTIF(Таблица1[Order ID],Таблица1[[#This Row],[Order ID]])</f>
        <v>1</v>
      </c>
      <c r="Z4253" s="9">
        <f>1/COUNTIFS(Таблица1[Customer Name],Таблица1[[#This Row],[Customer Name]],Таблица1[Order-Year-Month],Таблица1[[#This Row],[Order-Year-Month]])</f>
        <v>1</v>
      </c>
    </row>
    <row r="4254" spans="1:26" x14ac:dyDescent="0.2">
      <c r="A4254" s="6">
        <v>8082</v>
      </c>
      <c r="B4254" s="7">
        <v>57639</v>
      </c>
      <c r="C4254" s="8">
        <f>DATE(2012,12,31)-894</f>
        <v>40380</v>
      </c>
      <c r="D4254" s="8" t="str">
        <f t="shared" si="79"/>
        <v>2010-07 (июль 2010)</v>
      </c>
      <c r="E4254" s="9" t="s">
        <v>78</v>
      </c>
      <c r="F4254" s="7">
        <v>24</v>
      </c>
      <c r="G4254" s="7">
        <v>2239.52</v>
      </c>
      <c r="H4254" s="7">
        <v>0.04</v>
      </c>
      <c r="I4254" s="9" t="s">
        <v>22</v>
      </c>
      <c r="J4254" s="10">
        <v>330.5</v>
      </c>
      <c r="K4254" s="11">
        <v>95.46</v>
      </c>
      <c r="L4254" s="11">
        <v>18.13</v>
      </c>
      <c r="M4254" s="9" t="s">
        <v>1011</v>
      </c>
      <c r="N4254" s="6" t="s">
        <v>1123</v>
      </c>
      <c r="O4254" s="6" t="s">
        <v>1123</v>
      </c>
      <c r="P4254" s="9" t="s">
        <v>33</v>
      </c>
      <c r="Q4254" s="9" t="s">
        <v>49</v>
      </c>
      <c r="R4254" s="9" t="s">
        <v>50</v>
      </c>
      <c r="S4254" s="7" t="s">
        <v>1586</v>
      </c>
      <c r="T4254" s="9" t="s">
        <v>29</v>
      </c>
      <c r="U4254" s="7">
        <v>0.56000000000000005</v>
      </c>
      <c r="V4254" s="12">
        <f>C4254+0</f>
        <v>40380</v>
      </c>
      <c r="W4254">
        <f>IF(D4254=' Pivot Tables'!$A$4,1,0)</f>
        <v>0</v>
      </c>
      <c r="X4254">
        <f>IF(AND(LEFT(D4254,4)+1=LEFT(' Pivot Tables'!$A$4,4)+0,RIGHT(LEFT(D4254,7),2)=RIGHT(LEFT(' Pivot Tables'!$A$4,7),2)),1,0)</f>
        <v>0</v>
      </c>
      <c r="Y4254" s="6">
        <f>1/COUNTIF(Таблица1[Order ID],Таблица1[[#This Row],[Order ID]])</f>
        <v>1</v>
      </c>
      <c r="Z4254" s="9">
        <f>1/COUNTIFS(Таблица1[Customer Name],Таблица1[[#This Row],[Customer Name]],Таблица1[Order-Year-Month],Таблица1[[#This Row],[Order-Year-Month]])</f>
        <v>1</v>
      </c>
    </row>
    <row r="4255" spans="1:26" x14ac:dyDescent="0.2">
      <c r="A4255" s="6">
        <v>8104</v>
      </c>
      <c r="B4255" s="7">
        <v>57856</v>
      </c>
      <c r="C4255" s="8">
        <f>DATE(2012,12,31)-1418</f>
        <v>39856</v>
      </c>
      <c r="D4255" s="8" t="str">
        <f t="shared" si="79"/>
        <v>2009-02 (февраль 2009)</v>
      </c>
      <c r="E4255" s="9" t="s">
        <v>63</v>
      </c>
      <c r="F4255" s="7">
        <v>17</v>
      </c>
      <c r="G4255" s="7">
        <v>127.45</v>
      </c>
      <c r="H4255" s="7">
        <v>0.06</v>
      </c>
      <c r="I4255" s="9" t="s">
        <v>22</v>
      </c>
      <c r="J4255" s="10">
        <v>-42.170500000000004</v>
      </c>
      <c r="K4255" s="11">
        <v>7.1</v>
      </c>
      <c r="L4255" s="11">
        <v>6.05</v>
      </c>
      <c r="M4255" s="9" t="s">
        <v>1744</v>
      </c>
      <c r="N4255" s="6" t="s">
        <v>1123</v>
      </c>
      <c r="O4255" s="6" t="s">
        <v>1123</v>
      </c>
      <c r="P4255" s="9" t="s">
        <v>60</v>
      </c>
      <c r="Q4255" s="9" t="s">
        <v>26</v>
      </c>
      <c r="R4255" s="9" t="s">
        <v>37</v>
      </c>
      <c r="S4255" s="7" t="s">
        <v>435</v>
      </c>
      <c r="T4255" s="9" t="s">
        <v>39</v>
      </c>
      <c r="U4255" s="7">
        <v>0.39</v>
      </c>
      <c r="V4255" s="12">
        <f>C4255+1</f>
        <v>39857</v>
      </c>
      <c r="W4255">
        <f>IF(D4255=' Pivot Tables'!$A$4,1,0)</f>
        <v>0</v>
      </c>
      <c r="X4255">
        <f>IF(AND(LEFT(D4255,4)+1=LEFT(' Pivot Tables'!$A$4,4)+0,RIGHT(LEFT(D4255,7),2)=RIGHT(LEFT(' Pivot Tables'!$A$4,7),2)),1,0)</f>
        <v>0</v>
      </c>
      <c r="Y4255" s="6">
        <f>1/COUNTIF(Таблица1[Order ID],Таблица1[[#This Row],[Order ID]])</f>
        <v>0.5</v>
      </c>
      <c r="Z4255" s="9">
        <f>1/COUNTIFS(Таблица1[Customer Name],Таблица1[[#This Row],[Customer Name]],Таблица1[Order-Year-Month],Таблица1[[#This Row],[Order-Year-Month]])</f>
        <v>0.5</v>
      </c>
    </row>
    <row r="4256" spans="1:26" x14ac:dyDescent="0.2">
      <c r="A4256" s="6">
        <v>8105</v>
      </c>
      <c r="B4256" s="7">
        <v>57856</v>
      </c>
      <c r="C4256" s="8">
        <f>DATE(2012,12,31)-1418</f>
        <v>39856</v>
      </c>
      <c r="D4256" s="8" t="str">
        <f t="shared" si="79"/>
        <v>2009-02 (февраль 2009)</v>
      </c>
      <c r="E4256" s="9" t="s">
        <v>63</v>
      </c>
      <c r="F4256" s="7">
        <v>31</v>
      </c>
      <c r="G4256" s="7">
        <v>92.18</v>
      </c>
      <c r="H4256" s="7">
        <v>0.02</v>
      </c>
      <c r="I4256" s="9" t="s">
        <v>22</v>
      </c>
      <c r="J4256" s="10">
        <v>5.7</v>
      </c>
      <c r="K4256" s="11">
        <v>2.78</v>
      </c>
      <c r="L4256" s="11">
        <v>0.97</v>
      </c>
      <c r="M4256" s="9" t="s">
        <v>1744</v>
      </c>
      <c r="N4256" s="6" t="s">
        <v>1123</v>
      </c>
      <c r="O4256" s="6" t="s">
        <v>1123</v>
      </c>
      <c r="P4256" s="9" t="s">
        <v>60</v>
      </c>
      <c r="Q4256" s="9" t="s">
        <v>26</v>
      </c>
      <c r="R4256" s="9" t="s">
        <v>95</v>
      </c>
      <c r="S4256" s="7" t="s">
        <v>1284</v>
      </c>
      <c r="T4256" s="9" t="s">
        <v>68</v>
      </c>
      <c r="U4256" s="7">
        <v>0.59</v>
      </c>
      <c r="V4256" s="12">
        <f>C4256+1</f>
        <v>39857</v>
      </c>
      <c r="W4256">
        <f>IF(D4256=' Pivot Tables'!$A$4,1,0)</f>
        <v>0</v>
      </c>
      <c r="X4256">
        <f>IF(AND(LEFT(D4256,4)+1=LEFT(' Pivot Tables'!$A$4,4)+0,RIGHT(LEFT(D4256,7),2)=RIGHT(LEFT(' Pivot Tables'!$A$4,7),2)),1,0)</f>
        <v>0</v>
      </c>
      <c r="Y4256" s="6">
        <f>1/COUNTIF(Таблица1[Order ID],Таблица1[[#This Row],[Order ID]])</f>
        <v>0.5</v>
      </c>
      <c r="Z4256" s="9">
        <f>1/COUNTIFS(Таблица1[Customer Name],Таблица1[[#This Row],[Customer Name]],Таблица1[Order-Year-Month],Таблица1[[#This Row],[Order-Year-Month]])</f>
        <v>0.5</v>
      </c>
    </row>
    <row r="4257" spans="1:26" x14ac:dyDescent="0.2">
      <c r="A4257" s="6">
        <v>8177</v>
      </c>
      <c r="B4257" s="7">
        <v>58435</v>
      </c>
      <c r="C4257" s="8">
        <f>DATE(2012,12,31)-238</f>
        <v>41036</v>
      </c>
      <c r="D4257" s="8" t="str">
        <f t="shared" si="79"/>
        <v>2012-05 (май 2012)</v>
      </c>
      <c r="E4257" s="9" t="s">
        <v>21</v>
      </c>
      <c r="F4257" s="7">
        <v>11</v>
      </c>
      <c r="G4257" s="7">
        <v>273.44</v>
      </c>
      <c r="H4257" s="7">
        <v>0.01</v>
      </c>
      <c r="I4257" s="9" t="s">
        <v>22</v>
      </c>
      <c r="J4257" s="10">
        <v>-35.615499999999997</v>
      </c>
      <c r="K4257" s="11">
        <v>22.38</v>
      </c>
      <c r="L4257" s="11">
        <v>15.1</v>
      </c>
      <c r="M4257" s="9" t="s">
        <v>1721</v>
      </c>
      <c r="N4257" s="6" t="s">
        <v>1123</v>
      </c>
      <c r="O4257" s="6" t="s">
        <v>1123</v>
      </c>
      <c r="P4257" s="9" t="s">
        <v>60</v>
      </c>
      <c r="Q4257" s="9" t="s">
        <v>26</v>
      </c>
      <c r="R4257" s="9" t="s">
        <v>37</v>
      </c>
      <c r="S4257" s="7" t="s">
        <v>415</v>
      </c>
      <c r="T4257" s="9" t="s">
        <v>39</v>
      </c>
      <c r="U4257" s="7">
        <v>0.38</v>
      </c>
      <c r="V4257" s="12">
        <f>C4257+2</f>
        <v>41038</v>
      </c>
      <c r="W4257">
        <f>IF(D4257=' Pivot Tables'!$A$4,1,0)</f>
        <v>0</v>
      </c>
      <c r="X4257">
        <f>IF(AND(LEFT(D4257,4)+1=LEFT(' Pivot Tables'!$A$4,4)+0,RIGHT(LEFT(D4257,7),2)=RIGHT(LEFT(' Pivot Tables'!$A$4,7),2)),1,0)</f>
        <v>0</v>
      </c>
      <c r="Y4257" s="6">
        <f>1/COUNTIF(Таблица1[Order ID],Таблица1[[#This Row],[Order ID]])</f>
        <v>1</v>
      </c>
      <c r="Z4257" s="9">
        <f>1/COUNTIFS(Таблица1[Customer Name],Таблица1[[#This Row],[Customer Name]],Таблица1[Order-Year-Month],Таблица1[[#This Row],[Order-Year-Month]])</f>
        <v>1</v>
      </c>
    </row>
    <row r="4258" spans="1:26" x14ac:dyDescent="0.2">
      <c r="A4258" s="6">
        <v>8251</v>
      </c>
      <c r="B4258" s="7">
        <v>59009</v>
      </c>
      <c r="C4258" s="8">
        <f>DATE(2012,12,31)-409</f>
        <v>40865</v>
      </c>
      <c r="D4258" s="8" t="str">
        <f t="shared" si="79"/>
        <v>2011-11 (ноябрь 2011)</v>
      </c>
      <c r="E4258" s="9" t="s">
        <v>78</v>
      </c>
      <c r="F4258" s="7">
        <v>19</v>
      </c>
      <c r="G4258" s="7">
        <v>614.91</v>
      </c>
      <c r="H4258" s="7">
        <v>0.02</v>
      </c>
      <c r="I4258" s="9" t="s">
        <v>56</v>
      </c>
      <c r="J4258" s="10">
        <v>-7.02</v>
      </c>
      <c r="K4258" s="11">
        <v>30.98</v>
      </c>
      <c r="L4258" s="11">
        <v>17.079999999999998</v>
      </c>
      <c r="M4258" s="9" t="s">
        <v>1728</v>
      </c>
      <c r="N4258" s="6" t="s">
        <v>1123</v>
      </c>
      <c r="O4258" s="6" t="s">
        <v>1123</v>
      </c>
      <c r="P4258" s="9" t="s">
        <v>33</v>
      </c>
      <c r="Q4258" s="9" t="s">
        <v>26</v>
      </c>
      <c r="R4258" s="9" t="s">
        <v>61</v>
      </c>
      <c r="S4258" s="7" t="s">
        <v>513</v>
      </c>
      <c r="T4258" s="9" t="s">
        <v>39</v>
      </c>
      <c r="U4258" s="7">
        <v>0.4</v>
      </c>
      <c r="V4258" s="12">
        <f>C4258+2</f>
        <v>40867</v>
      </c>
      <c r="W4258">
        <f>IF(D4258=' Pivot Tables'!$A$4,1,0)</f>
        <v>0</v>
      </c>
      <c r="X4258">
        <f>IF(AND(LEFT(D4258,4)+1=LEFT(' Pivot Tables'!$A$4,4)+0,RIGHT(LEFT(D4258,7),2)=RIGHT(LEFT(' Pivot Tables'!$A$4,7),2)),1,0)</f>
        <v>0</v>
      </c>
      <c r="Y4258" s="6">
        <f>1/COUNTIF(Таблица1[Order ID],Таблица1[[#This Row],[Order ID]])</f>
        <v>1</v>
      </c>
      <c r="Z4258" s="9">
        <f>1/COUNTIFS(Таблица1[Customer Name],Таблица1[[#This Row],[Customer Name]],Таблица1[Order-Year-Month],Таблица1[[#This Row],[Order-Year-Month]])</f>
        <v>1</v>
      </c>
    </row>
    <row r="4259" spans="1:26" x14ac:dyDescent="0.2">
      <c r="A4259" s="6">
        <v>8325</v>
      </c>
      <c r="B4259" s="7">
        <v>59491</v>
      </c>
      <c r="C4259" s="8">
        <f>DATE(2012,12,31)-282</f>
        <v>40992</v>
      </c>
      <c r="D4259" s="8" t="str">
        <f t="shared" si="79"/>
        <v>2012-03 (март 2012)</v>
      </c>
      <c r="E4259" s="9" t="s">
        <v>30</v>
      </c>
      <c r="F4259" s="7">
        <v>31</v>
      </c>
      <c r="G4259" s="7">
        <v>12470.31</v>
      </c>
      <c r="H4259" s="7">
        <v>0.04</v>
      </c>
      <c r="I4259" s="9" t="s">
        <v>22</v>
      </c>
      <c r="J4259" s="10">
        <v>5528.5020000000004</v>
      </c>
      <c r="K4259" s="11">
        <v>387.99</v>
      </c>
      <c r="L4259" s="11">
        <v>19.989999999999998</v>
      </c>
      <c r="M4259" s="9" t="s">
        <v>1776</v>
      </c>
      <c r="N4259" s="6" t="s">
        <v>1123</v>
      </c>
      <c r="O4259" s="6" t="s">
        <v>1123</v>
      </c>
      <c r="P4259" s="9" t="s">
        <v>60</v>
      </c>
      <c r="Q4259" s="9" t="s">
        <v>26</v>
      </c>
      <c r="R4259" s="9" t="s">
        <v>37</v>
      </c>
      <c r="S4259" s="7" t="s">
        <v>366</v>
      </c>
      <c r="T4259" s="9" t="s">
        <v>39</v>
      </c>
      <c r="U4259" s="7">
        <v>0.38</v>
      </c>
      <c r="V4259" s="12">
        <f>C4259+3</f>
        <v>40995</v>
      </c>
      <c r="W4259">
        <f>IF(D4259=' Pivot Tables'!$A$4,1,0)</f>
        <v>0</v>
      </c>
      <c r="X4259">
        <f>IF(AND(LEFT(D4259,4)+1=LEFT(' Pivot Tables'!$A$4,4)+0,RIGHT(LEFT(D4259,7),2)=RIGHT(LEFT(' Pivot Tables'!$A$4,7),2)),1,0)</f>
        <v>0</v>
      </c>
      <c r="Y4259" s="6">
        <f>1/COUNTIF(Таблица1[Order ID],Таблица1[[#This Row],[Order ID]])</f>
        <v>0.25</v>
      </c>
      <c r="Z4259" s="9">
        <f>1/COUNTIFS(Таблица1[Customer Name],Таблица1[[#This Row],[Customer Name]],Таблица1[Order-Year-Month],Таблица1[[#This Row],[Order-Year-Month]])</f>
        <v>0.25</v>
      </c>
    </row>
    <row r="4260" spans="1:26" x14ac:dyDescent="0.2">
      <c r="A4260" s="6">
        <v>8330</v>
      </c>
      <c r="B4260" s="7">
        <v>59554</v>
      </c>
      <c r="C4260" s="8">
        <f>DATE(2012,12,31)-412</f>
        <v>40862</v>
      </c>
      <c r="D4260" s="8" t="str">
        <f t="shared" si="79"/>
        <v>2011-11 (ноябрь 2011)</v>
      </c>
      <c r="E4260" s="9" t="s">
        <v>78</v>
      </c>
      <c r="F4260" s="7">
        <v>40</v>
      </c>
      <c r="G4260" s="7">
        <v>718.6</v>
      </c>
      <c r="H4260" s="7">
        <v>0.08</v>
      </c>
      <c r="I4260" s="9" t="s">
        <v>22</v>
      </c>
      <c r="J4260" s="10">
        <v>-81.489999999999995</v>
      </c>
      <c r="K4260" s="11">
        <v>17.98</v>
      </c>
      <c r="L4260" s="11">
        <v>4</v>
      </c>
      <c r="M4260" s="9" t="s">
        <v>1747</v>
      </c>
      <c r="N4260" s="6" t="s">
        <v>1123</v>
      </c>
      <c r="O4260" s="6" t="s">
        <v>1123</v>
      </c>
      <c r="P4260" s="9" t="s">
        <v>33</v>
      </c>
      <c r="Q4260" s="9" t="s">
        <v>42</v>
      </c>
      <c r="R4260" s="9" t="s">
        <v>70</v>
      </c>
      <c r="S4260" s="7" t="s">
        <v>846</v>
      </c>
      <c r="T4260" s="9" t="s">
        <v>39</v>
      </c>
      <c r="U4260" s="7">
        <v>0.79</v>
      </c>
      <c r="V4260" s="12">
        <f>C4260+1</f>
        <v>40863</v>
      </c>
      <c r="W4260">
        <f>IF(D4260=' Pivot Tables'!$A$4,1,0)</f>
        <v>0</v>
      </c>
      <c r="X4260">
        <f>IF(AND(LEFT(D4260,4)+1=LEFT(' Pivot Tables'!$A$4,4)+0,RIGHT(LEFT(D4260,7),2)=RIGHT(LEFT(' Pivot Tables'!$A$4,7),2)),1,0)</f>
        <v>0</v>
      </c>
      <c r="Y4260" s="6">
        <f>1/COUNTIF(Таблица1[Order ID],Таблица1[[#This Row],[Order ID]])</f>
        <v>1</v>
      </c>
      <c r="Z4260" s="9">
        <f>1/COUNTIFS(Таблица1[Customer Name],Таблица1[[#This Row],[Customer Name]],Таблица1[Order-Year-Month],Таблица1[[#This Row],[Order-Year-Month]])</f>
        <v>1</v>
      </c>
    </row>
    <row r="4261" spans="1:26" x14ac:dyDescent="0.2">
      <c r="A4261" s="6">
        <v>8334</v>
      </c>
      <c r="B4261" s="7">
        <v>59559</v>
      </c>
      <c r="C4261" s="8">
        <f>DATE(2012,12,31)-836</f>
        <v>40438</v>
      </c>
      <c r="D4261" s="8" t="str">
        <f t="shared" si="79"/>
        <v>2010-09 (сентябрь 2010)</v>
      </c>
      <c r="E4261" s="9" t="s">
        <v>78</v>
      </c>
      <c r="F4261" s="7">
        <v>30</v>
      </c>
      <c r="G4261" s="7">
        <v>397.17</v>
      </c>
      <c r="H4261" s="7">
        <v>0.1</v>
      </c>
      <c r="I4261" s="9" t="s">
        <v>56</v>
      </c>
      <c r="J4261" s="10">
        <v>7.69</v>
      </c>
      <c r="K4261" s="11">
        <v>14.34</v>
      </c>
      <c r="L4261" s="11">
        <v>5</v>
      </c>
      <c r="M4261" s="9" t="s">
        <v>1776</v>
      </c>
      <c r="N4261" s="6" t="s">
        <v>1123</v>
      </c>
      <c r="O4261" s="6" t="s">
        <v>1123</v>
      </c>
      <c r="P4261" s="9" t="s">
        <v>60</v>
      </c>
      <c r="Q4261" s="9" t="s">
        <v>49</v>
      </c>
      <c r="R4261" s="9" t="s">
        <v>50</v>
      </c>
      <c r="S4261" s="7" t="s">
        <v>706</v>
      </c>
      <c r="T4261" s="9" t="s">
        <v>52</v>
      </c>
      <c r="U4261" s="7">
        <v>0.49</v>
      </c>
      <c r="V4261" s="12">
        <f>C4261+0</f>
        <v>40438</v>
      </c>
      <c r="W4261">
        <f>IF(D4261=' Pivot Tables'!$A$4,1,0)</f>
        <v>0</v>
      </c>
      <c r="X4261">
        <f>IF(AND(LEFT(D4261,4)+1=LEFT(' Pivot Tables'!$A$4,4)+0,RIGHT(LEFT(D4261,7),2)=RIGHT(LEFT(' Pivot Tables'!$A$4,7),2)),1,0)</f>
        <v>0</v>
      </c>
      <c r="Y4261" s="6">
        <f>1/COUNTIF(Таблица1[Order ID],Таблица1[[#This Row],[Order ID]])</f>
        <v>1</v>
      </c>
      <c r="Z4261" s="9">
        <f>1/COUNTIFS(Таблица1[Customer Name],Таблица1[[#This Row],[Customer Name]],Таблица1[Order-Year-Month],Таблица1[[#This Row],[Order-Year-Month]])</f>
        <v>0.5</v>
      </c>
    </row>
    <row r="4262" spans="1:26" x14ac:dyDescent="0.2">
      <c r="A4262" s="6">
        <v>8359</v>
      </c>
      <c r="B4262" s="7">
        <v>59745</v>
      </c>
      <c r="C4262" s="8">
        <f>DATE(2012,12,31)-1352</f>
        <v>39922</v>
      </c>
      <c r="D4262" s="8" t="str">
        <f t="shared" si="79"/>
        <v>2009-04 (апрель 2009)</v>
      </c>
      <c r="E4262" s="9" t="s">
        <v>45</v>
      </c>
      <c r="F4262" s="7">
        <v>36</v>
      </c>
      <c r="G4262" s="7">
        <v>18092.66</v>
      </c>
      <c r="H4262" s="7">
        <v>0.09</v>
      </c>
      <c r="I4262" s="9" t="s">
        <v>22</v>
      </c>
      <c r="J4262" s="10">
        <v>7917.7584999999999</v>
      </c>
      <c r="K4262" s="11">
        <v>525.98</v>
      </c>
      <c r="L4262" s="11">
        <v>19.989999999999998</v>
      </c>
      <c r="M4262" s="9" t="s">
        <v>1726</v>
      </c>
      <c r="N4262" s="6" t="s">
        <v>1123</v>
      </c>
      <c r="O4262" s="6" t="s">
        <v>1123</v>
      </c>
      <c r="P4262" s="9" t="s">
        <v>33</v>
      </c>
      <c r="Q4262" s="9" t="s">
        <v>26</v>
      </c>
      <c r="R4262" s="9" t="s">
        <v>37</v>
      </c>
      <c r="S4262" s="7" t="s">
        <v>1704</v>
      </c>
      <c r="T4262" s="9" t="s">
        <v>39</v>
      </c>
      <c r="U4262" s="7">
        <v>0.37</v>
      </c>
      <c r="V4262" s="12">
        <f>C4262+2</f>
        <v>39924</v>
      </c>
      <c r="W4262">
        <f>IF(D4262=' Pivot Tables'!$A$4,1,0)</f>
        <v>0</v>
      </c>
      <c r="X4262">
        <f>IF(AND(LEFT(D4262,4)+1=LEFT(' Pivot Tables'!$A$4,4)+0,RIGHT(LEFT(D4262,7),2)=RIGHT(LEFT(' Pivot Tables'!$A$4,7),2)),1,0)</f>
        <v>0</v>
      </c>
      <c r="Y4262" s="6">
        <f>1/COUNTIF(Таблица1[Order ID],Таблица1[[#This Row],[Order ID]])</f>
        <v>1</v>
      </c>
      <c r="Z4262" s="9">
        <f>1/COUNTIFS(Таблица1[Customer Name],Таблица1[[#This Row],[Customer Name]],Таблица1[Order-Year-Month],Таблица1[[#This Row],[Order-Year-Month]])</f>
        <v>1</v>
      </c>
    </row>
    <row r="4263" spans="1:26" x14ac:dyDescent="0.2">
      <c r="A4263" s="6">
        <v>8385</v>
      </c>
      <c r="B4263" s="7">
        <v>59906</v>
      </c>
      <c r="C4263" s="8">
        <f>DATE(2012,12,31)-956</f>
        <v>40318</v>
      </c>
      <c r="D4263" s="8" t="str">
        <f t="shared" si="79"/>
        <v>2010-05 (май 2010)</v>
      </c>
      <c r="E4263" s="9" t="s">
        <v>30</v>
      </c>
      <c r="F4263" s="7">
        <v>32</v>
      </c>
      <c r="G4263" s="7">
        <v>284.92</v>
      </c>
      <c r="H4263" s="7">
        <v>0.03</v>
      </c>
      <c r="I4263" s="9" t="s">
        <v>22</v>
      </c>
      <c r="J4263" s="10">
        <v>81.290000000000006</v>
      </c>
      <c r="K4263" s="11">
        <v>9.11</v>
      </c>
      <c r="L4263" s="11">
        <v>2.15</v>
      </c>
      <c r="M4263" s="9" t="s">
        <v>1754</v>
      </c>
      <c r="N4263" s="6" t="s">
        <v>1123</v>
      </c>
      <c r="O4263" s="6" t="s">
        <v>1123</v>
      </c>
      <c r="P4263" s="9" t="s">
        <v>60</v>
      </c>
      <c r="Q4263" s="9" t="s">
        <v>26</v>
      </c>
      <c r="R4263" s="9" t="s">
        <v>61</v>
      </c>
      <c r="S4263" s="7" t="s">
        <v>1402</v>
      </c>
      <c r="T4263" s="9" t="s">
        <v>68</v>
      </c>
      <c r="U4263" s="7">
        <v>0.4</v>
      </c>
      <c r="V4263" s="12">
        <f>C4263+2</f>
        <v>40320</v>
      </c>
      <c r="W4263">
        <f>IF(D4263=' Pivot Tables'!$A$4,1,0)</f>
        <v>0</v>
      </c>
      <c r="X4263">
        <f>IF(AND(LEFT(D4263,4)+1=LEFT(' Pivot Tables'!$A$4,4)+0,RIGHT(LEFT(D4263,7),2)=RIGHT(LEFT(' Pivot Tables'!$A$4,7),2)),1,0)</f>
        <v>0</v>
      </c>
      <c r="Y4263" s="6">
        <f>1/COUNTIF(Таблица1[Order ID],Таблица1[[#This Row],[Order ID]])</f>
        <v>1</v>
      </c>
      <c r="Z4263" s="9">
        <f>1/COUNTIFS(Таблица1[Customer Name],Таблица1[[#This Row],[Customer Name]],Таблица1[Order-Year-Month],Таблица1[[#This Row],[Order-Year-Month]])</f>
        <v>1</v>
      </c>
    </row>
    <row r="4264" spans="1:26" x14ac:dyDescent="0.2">
      <c r="A4264" s="6">
        <v>78</v>
      </c>
      <c r="B4264" s="7">
        <v>454</v>
      </c>
      <c r="C4264" s="8">
        <f>DATE(2012,12,31)-371</f>
        <v>40903</v>
      </c>
      <c r="D4264" s="8" t="str">
        <f t="shared" si="79"/>
        <v>2011-12 (декабрь 2011)</v>
      </c>
      <c r="E4264" s="9" t="s">
        <v>21</v>
      </c>
      <c r="F4264" s="7">
        <v>42</v>
      </c>
      <c r="G4264" s="7">
        <v>234.2</v>
      </c>
      <c r="H4264" s="7">
        <v>0.09</v>
      </c>
      <c r="I4264" s="9" t="s">
        <v>22</v>
      </c>
      <c r="J4264" s="10">
        <v>56.22</v>
      </c>
      <c r="K4264" s="11">
        <v>6.08</v>
      </c>
      <c r="L4264" s="11">
        <v>1.82</v>
      </c>
      <c r="M4264" s="9" t="s">
        <v>1777</v>
      </c>
      <c r="N4264" s="6" t="s">
        <v>1123</v>
      </c>
      <c r="O4264" s="6" t="s">
        <v>1123</v>
      </c>
      <c r="P4264" s="9" t="s">
        <v>25</v>
      </c>
      <c r="Q4264" s="9" t="s">
        <v>26</v>
      </c>
      <c r="R4264" s="9" t="s">
        <v>66</v>
      </c>
      <c r="S4264" s="7" t="s">
        <v>1331</v>
      </c>
      <c r="T4264" s="9" t="s">
        <v>68</v>
      </c>
      <c r="U4264" s="7">
        <v>0.35</v>
      </c>
      <c r="V4264" s="12">
        <f>C4264+2</f>
        <v>40905</v>
      </c>
      <c r="W4264">
        <f>IF(D4264=' Pivot Tables'!$A$4,1,0)</f>
        <v>0</v>
      </c>
      <c r="X4264">
        <f>IF(AND(LEFT(D4264,4)+1=LEFT(' Pivot Tables'!$A$4,4)+0,RIGHT(LEFT(D4264,7),2)=RIGHT(LEFT(' Pivot Tables'!$A$4,7),2)),1,0)</f>
        <v>0</v>
      </c>
      <c r="Y4264" s="6">
        <f>1/COUNTIF(Таблица1[Order ID],Таблица1[[#This Row],[Order ID]])</f>
        <v>1</v>
      </c>
      <c r="Z4264" s="9">
        <f>1/COUNTIFS(Таблица1[Customer Name],Таблица1[[#This Row],[Customer Name]],Таблица1[Order-Year-Month],Таблица1[[#This Row],[Order-Year-Month]])</f>
        <v>1</v>
      </c>
    </row>
    <row r="4265" spans="1:26" x14ac:dyDescent="0.2">
      <c r="A4265" s="6">
        <v>90</v>
      </c>
      <c r="B4265" s="7">
        <v>549</v>
      </c>
      <c r="C4265" s="8">
        <f>DATE(2012,12,31)-172</f>
        <v>41102</v>
      </c>
      <c r="D4265" s="8" t="str">
        <f t="shared" si="79"/>
        <v>2012-07 (июль 2012)</v>
      </c>
      <c r="E4265" s="9" t="s">
        <v>78</v>
      </c>
      <c r="F4265" s="7">
        <v>13</v>
      </c>
      <c r="G4265" s="7">
        <v>70.239999999999995</v>
      </c>
      <c r="H4265" s="7">
        <v>0.03</v>
      </c>
      <c r="I4265" s="9" t="s">
        <v>22</v>
      </c>
      <c r="J4265" s="10">
        <v>-59.75</v>
      </c>
      <c r="K4265" s="11">
        <v>4.9800000000000004</v>
      </c>
      <c r="L4265" s="11">
        <v>7.44</v>
      </c>
      <c r="M4265" s="9" t="s">
        <v>1778</v>
      </c>
      <c r="N4265" s="6" t="s">
        <v>1123</v>
      </c>
      <c r="O4265" s="6" t="s">
        <v>1123</v>
      </c>
      <c r="P4265" s="9" t="s">
        <v>33</v>
      </c>
      <c r="Q4265" s="9" t="s">
        <v>26</v>
      </c>
      <c r="R4265" s="9" t="s">
        <v>61</v>
      </c>
      <c r="S4265" s="7" t="s">
        <v>1159</v>
      </c>
      <c r="T4265" s="9" t="s">
        <v>39</v>
      </c>
      <c r="U4265" s="7">
        <v>0.36</v>
      </c>
      <c r="V4265" s="12">
        <f>C4265+1</f>
        <v>41103</v>
      </c>
      <c r="W4265">
        <f>IF(D4265=' Pivot Tables'!$A$4,1,0)</f>
        <v>0</v>
      </c>
      <c r="X4265">
        <f>IF(AND(LEFT(D4265,4)+1=LEFT(' Pivot Tables'!$A$4,4)+0,RIGHT(LEFT(D4265,7),2)=RIGHT(LEFT(' Pivot Tables'!$A$4,7),2)),1,0)</f>
        <v>0</v>
      </c>
      <c r="Y4265" s="6">
        <f>1/COUNTIF(Таблица1[Order ID],Таблица1[[#This Row],[Order ID]])</f>
        <v>0.33333333333333331</v>
      </c>
      <c r="Z4265" s="9">
        <f>1/COUNTIFS(Таблица1[Customer Name],Таблица1[[#This Row],[Customer Name]],Таблица1[Order-Year-Month],Таблица1[[#This Row],[Order-Year-Month]])</f>
        <v>0.33333333333333331</v>
      </c>
    </row>
    <row r="4266" spans="1:26" x14ac:dyDescent="0.2">
      <c r="A4266" s="6">
        <v>91</v>
      </c>
      <c r="B4266" s="7">
        <v>549</v>
      </c>
      <c r="C4266" s="8">
        <f>DATE(2012,12,31)-172</f>
        <v>41102</v>
      </c>
      <c r="D4266" s="8" t="str">
        <f t="shared" si="79"/>
        <v>2012-07 (июль 2012)</v>
      </c>
      <c r="E4266" s="9" t="s">
        <v>78</v>
      </c>
      <c r="F4266" s="7">
        <v>5</v>
      </c>
      <c r="G4266" s="7">
        <v>40.75</v>
      </c>
      <c r="H4266" s="7">
        <v>0.05</v>
      </c>
      <c r="I4266" s="9" t="s">
        <v>22</v>
      </c>
      <c r="J4266" s="10">
        <v>-27.57</v>
      </c>
      <c r="K4266" s="11">
        <v>6.48</v>
      </c>
      <c r="L4266" s="11">
        <v>8.74</v>
      </c>
      <c r="M4266" s="9" t="s">
        <v>1778</v>
      </c>
      <c r="N4266" s="6" t="s">
        <v>1123</v>
      </c>
      <c r="O4266" s="6" t="s">
        <v>1123</v>
      </c>
      <c r="P4266" s="9" t="s">
        <v>33</v>
      </c>
      <c r="Q4266" s="9" t="s">
        <v>26</v>
      </c>
      <c r="R4266" s="9" t="s">
        <v>61</v>
      </c>
      <c r="S4266" s="7" t="s">
        <v>1210</v>
      </c>
      <c r="T4266" s="9" t="s">
        <v>39</v>
      </c>
      <c r="U4266" s="7">
        <v>0.36</v>
      </c>
      <c r="V4266" s="12">
        <f>C4266+1</f>
        <v>41103</v>
      </c>
      <c r="W4266">
        <f>IF(D4266=' Pivot Tables'!$A$4,1,0)</f>
        <v>0</v>
      </c>
      <c r="X4266">
        <f>IF(AND(LEFT(D4266,4)+1=LEFT(' Pivot Tables'!$A$4,4)+0,RIGHT(LEFT(D4266,7),2)=RIGHT(LEFT(' Pivot Tables'!$A$4,7),2)),1,0)</f>
        <v>0</v>
      </c>
      <c r="Y4266" s="6">
        <f>1/COUNTIF(Таблица1[Order ID],Таблица1[[#This Row],[Order ID]])</f>
        <v>0.33333333333333331</v>
      </c>
      <c r="Z4266" s="9">
        <f>1/COUNTIFS(Таблица1[Customer Name],Таблица1[[#This Row],[Customer Name]],Таблица1[Order-Year-Month],Таблица1[[#This Row],[Order-Year-Month]])</f>
        <v>0.33333333333333331</v>
      </c>
    </row>
    <row r="4267" spans="1:26" x14ac:dyDescent="0.2">
      <c r="A4267" s="6">
        <v>92</v>
      </c>
      <c r="B4267" s="7">
        <v>549</v>
      </c>
      <c r="C4267" s="8">
        <f>DATE(2012,12,31)-172</f>
        <v>41102</v>
      </c>
      <c r="D4267" s="8" t="str">
        <f t="shared" si="79"/>
        <v>2012-07 (июль 2012)</v>
      </c>
      <c r="E4267" s="9" t="s">
        <v>78</v>
      </c>
      <c r="F4267" s="7">
        <v>30</v>
      </c>
      <c r="G4267" s="7">
        <v>1150.8800000000001</v>
      </c>
      <c r="H4267" s="7">
        <v>0.05</v>
      </c>
      <c r="I4267" s="9" t="s">
        <v>56</v>
      </c>
      <c r="J4267" s="10">
        <v>-911.56</v>
      </c>
      <c r="K4267" s="11">
        <v>38.94</v>
      </c>
      <c r="L4267" s="11">
        <v>35</v>
      </c>
      <c r="M4267" s="9" t="s">
        <v>1778</v>
      </c>
      <c r="N4267" s="6" t="s">
        <v>1123</v>
      </c>
      <c r="O4267" s="6" t="s">
        <v>1123</v>
      </c>
      <c r="P4267" s="9" t="s">
        <v>33</v>
      </c>
      <c r="Q4267" s="9" t="s">
        <v>26</v>
      </c>
      <c r="R4267" s="9" t="s">
        <v>27</v>
      </c>
      <c r="S4267" s="7" t="s">
        <v>28</v>
      </c>
      <c r="T4267" s="9" t="s">
        <v>29</v>
      </c>
      <c r="U4267" s="7">
        <v>0.8</v>
      </c>
      <c r="V4267" s="12">
        <f>C4267+0</f>
        <v>41102</v>
      </c>
      <c r="W4267">
        <f>IF(D4267=' Pivot Tables'!$A$4,1,0)</f>
        <v>0</v>
      </c>
      <c r="X4267">
        <f>IF(AND(LEFT(D4267,4)+1=LEFT(' Pivot Tables'!$A$4,4)+0,RIGHT(LEFT(D4267,7),2)=RIGHT(LEFT(' Pivot Tables'!$A$4,7),2)),1,0)</f>
        <v>0</v>
      </c>
      <c r="Y4267" s="6">
        <f>1/COUNTIF(Таблица1[Order ID],Таблица1[[#This Row],[Order ID]])</f>
        <v>0.33333333333333331</v>
      </c>
      <c r="Z4267" s="9">
        <f>1/COUNTIFS(Таблица1[Customer Name],Таблица1[[#This Row],[Customer Name]],Таблица1[Order-Year-Month],Таблица1[[#This Row],[Order-Year-Month]])</f>
        <v>0.33333333333333331</v>
      </c>
    </row>
    <row r="4268" spans="1:26" x14ac:dyDescent="0.2">
      <c r="A4268" s="6">
        <v>162</v>
      </c>
      <c r="B4268" s="7">
        <v>999</v>
      </c>
      <c r="C4268" s="8">
        <f>DATE(2012,12,31)-849</f>
        <v>40425</v>
      </c>
      <c r="D4268" s="8" t="str">
        <f t="shared" si="79"/>
        <v>2010-09 (сентябрь 2010)</v>
      </c>
      <c r="E4268" s="9" t="s">
        <v>21</v>
      </c>
      <c r="F4268" s="7">
        <v>6</v>
      </c>
      <c r="G4268" s="7">
        <v>583.64</v>
      </c>
      <c r="H4268" s="7">
        <v>0.08</v>
      </c>
      <c r="I4268" s="9" t="s">
        <v>22</v>
      </c>
      <c r="J4268" s="10">
        <v>-179.5</v>
      </c>
      <c r="K4268" s="11">
        <v>95.43</v>
      </c>
      <c r="L4268" s="11">
        <v>19.989999999999998</v>
      </c>
      <c r="M4268" s="9" t="s">
        <v>1779</v>
      </c>
      <c r="N4268" s="6" t="s">
        <v>1123</v>
      </c>
      <c r="O4268" s="6" t="s">
        <v>1123</v>
      </c>
      <c r="P4268" s="9" t="s">
        <v>60</v>
      </c>
      <c r="Q4268" s="9" t="s">
        <v>26</v>
      </c>
      <c r="R4268" s="9" t="s">
        <v>27</v>
      </c>
      <c r="S4268" s="7" t="s">
        <v>377</v>
      </c>
      <c r="T4268" s="9" t="s">
        <v>39</v>
      </c>
      <c r="U4268" s="7">
        <v>0.79</v>
      </c>
      <c r="V4268" s="12">
        <f>C4268+7</f>
        <v>40432</v>
      </c>
      <c r="W4268">
        <f>IF(D4268=' Pivot Tables'!$A$4,1,0)</f>
        <v>0</v>
      </c>
      <c r="X4268">
        <f>IF(AND(LEFT(D4268,4)+1=LEFT(' Pivot Tables'!$A$4,4)+0,RIGHT(LEFT(D4268,7),2)=RIGHT(LEFT(' Pivot Tables'!$A$4,7),2)),1,0)</f>
        <v>0</v>
      </c>
      <c r="Y4268" s="6">
        <f>1/COUNTIF(Таблица1[Order ID],Таблица1[[#This Row],[Order ID]])</f>
        <v>1</v>
      </c>
      <c r="Z4268" s="9">
        <f>1/COUNTIFS(Таблица1[Customer Name],Таблица1[[#This Row],[Customer Name]],Таблица1[Order-Year-Month],Таблица1[[#This Row],[Order-Year-Month]])</f>
        <v>1</v>
      </c>
    </row>
    <row r="4269" spans="1:26" x14ac:dyDescent="0.2">
      <c r="A4269" s="6">
        <v>195</v>
      </c>
      <c r="B4269" s="7">
        <v>1286</v>
      </c>
      <c r="C4269" s="8">
        <f>DATE(2012,12,31)-963</f>
        <v>40311</v>
      </c>
      <c r="D4269" s="8" t="str">
        <f t="shared" si="79"/>
        <v>2010-05 (май 2010)</v>
      </c>
      <c r="E4269" s="9" t="s">
        <v>45</v>
      </c>
      <c r="F4269" s="7">
        <v>46</v>
      </c>
      <c r="G4269" s="7">
        <v>234.37</v>
      </c>
      <c r="H4269" s="7">
        <v>0.05</v>
      </c>
      <c r="I4269" s="9" t="s">
        <v>22</v>
      </c>
      <c r="J4269" s="10">
        <v>-144.6815</v>
      </c>
      <c r="K4269" s="11">
        <v>5.18</v>
      </c>
      <c r="L4269" s="11">
        <v>5.74</v>
      </c>
      <c r="M4269" s="9" t="s">
        <v>1385</v>
      </c>
      <c r="N4269" s="6" t="s">
        <v>1123</v>
      </c>
      <c r="O4269" s="6" t="s">
        <v>1123</v>
      </c>
      <c r="P4269" s="9" t="s">
        <v>60</v>
      </c>
      <c r="Q4269" s="9" t="s">
        <v>26</v>
      </c>
      <c r="R4269" s="9" t="s">
        <v>37</v>
      </c>
      <c r="S4269" s="7" t="s">
        <v>606</v>
      </c>
      <c r="T4269" s="9" t="s">
        <v>39</v>
      </c>
      <c r="U4269" s="7">
        <v>0.36</v>
      </c>
      <c r="V4269" s="12">
        <f>C4269+1</f>
        <v>40312</v>
      </c>
      <c r="W4269">
        <f>IF(D4269=' Pivot Tables'!$A$4,1,0)</f>
        <v>0</v>
      </c>
      <c r="X4269">
        <f>IF(AND(LEFT(D4269,4)+1=LEFT(' Pivot Tables'!$A$4,4)+0,RIGHT(LEFT(D4269,7),2)=RIGHT(LEFT(' Pivot Tables'!$A$4,7),2)),1,0)</f>
        <v>0</v>
      </c>
      <c r="Y4269" s="6">
        <f>1/COUNTIF(Таблица1[Order ID],Таблица1[[#This Row],[Order ID]])</f>
        <v>0.5</v>
      </c>
      <c r="Z4269" s="9">
        <f>1/COUNTIFS(Таблица1[Customer Name],Таблица1[[#This Row],[Customer Name]],Таблица1[Order-Year-Month],Таблица1[[#This Row],[Order-Year-Month]])</f>
        <v>0.33333333333333331</v>
      </c>
    </row>
    <row r="4270" spans="1:26" x14ac:dyDescent="0.2">
      <c r="A4270" s="6">
        <v>196</v>
      </c>
      <c r="B4270" s="7">
        <v>1286</v>
      </c>
      <c r="C4270" s="8">
        <f>DATE(2012,12,31)-963</f>
        <v>40311</v>
      </c>
      <c r="D4270" s="8" t="str">
        <f t="shared" si="79"/>
        <v>2010-05 (май 2010)</v>
      </c>
      <c r="E4270" s="9" t="s">
        <v>45</v>
      </c>
      <c r="F4270" s="7">
        <v>14</v>
      </c>
      <c r="G4270" s="7">
        <v>1000.3565000000001</v>
      </c>
      <c r="H4270" s="7">
        <v>0.06</v>
      </c>
      <c r="I4270" s="9" t="s">
        <v>22</v>
      </c>
      <c r="J4270" s="10">
        <v>229.779</v>
      </c>
      <c r="K4270" s="11">
        <v>85.99</v>
      </c>
      <c r="L4270" s="11">
        <v>3.3</v>
      </c>
      <c r="M4270" s="9" t="s">
        <v>1385</v>
      </c>
      <c r="N4270" s="6" t="s">
        <v>1123</v>
      </c>
      <c r="O4270" s="6" t="s">
        <v>1123</v>
      </c>
      <c r="P4270" s="9" t="s">
        <v>60</v>
      </c>
      <c r="Q4270" s="9" t="s">
        <v>42</v>
      </c>
      <c r="R4270" s="9" t="s">
        <v>43</v>
      </c>
      <c r="S4270" s="7" t="s">
        <v>770</v>
      </c>
      <c r="T4270" s="9" t="s">
        <v>52</v>
      </c>
      <c r="U4270" s="7">
        <v>0.37</v>
      </c>
      <c r="V4270" s="12">
        <f>C4270+2</f>
        <v>40313</v>
      </c>
      <c r="W4270">
        <f>IF(D4270=' Pivot Tables'!$A$4,1,0)</f>
        <v>0</v>
      </c>
      <c r="X4270">
        <f>IF(AND(LEFT(D4270,4)+1=LEFT(' Pivot Tables'!$A$4,4)+0,RIGHT(LEFT(D4270,7),2)=RIGHT(LEFT(' Pivot Tables'!$A$4,7),2)),1,0)</f>
        <v>0</v>
      </c>
      <c r="Y4270" s="6">
        <f>1/COUNTIF(Таблица1[Order ID],Таблица1[[#This Row],[Order ID]])</f>
        <v>0.5</v>
      </c>
      <c r="Z4270" s="9">
        <f>1/COUNTIFS(Таблица1[Customer Name],Таблица1[[#This Row],[Customer Name]],Таблица1[Order-Year-Month],Таблица1[[#This Row],[Order-Year-Month]])</f>
        <v>0.33333333333333331</v>
      </c>
    </row>
    <row r="4271" spans="1:26" x14ac:dyDescent="0.2">
      <c r="A4271" s="6">
        <v>266</v>
      </c>
      <c r="B4271" s="7">
        <v>1831</v>
      </c>
      <c r="C4271" s="8">
        <f>DATE(2012,12,31)-761</f>
        <v>40513</v>
      </c>
      <c r="D4271" s="8" t="str">
        <f t="shared" si="79"/>
        <v>2010-12 (декабрь 2010)</v>
      </c>
      <c r="E4271" s="9" t="s">
        <v>78</v>
      </c>
      <c r="F4271" s="7">
        <v>33</v>
      </c>
      <c r="G4271" s="7">
        <v>12586.19</v>
      </c>
      <c r="H4271" s="7">
        <v>0</v>
      </c>
      <c r="I4271" s="9" t="s">
        <v>31</v>
      </c>
      <c r="J4271" s="10">
        <v>619.71</v>
      </c>
      <c r="K4271" s="11">
        <v>370.98</v>
      </c>
      <c r="L4271" s="11">
        <v>99</v>
      </c>
      <c r="M4271" s="9" t="s">
        <v>1778</v>
      </c>
      <c r="N4271" s="6" t="s">
        <v>1123</v>
      </c>
      <c r="O4271" s="6" t="s">
        <v>1123</v>
      </c>
      <c r="P4271" s="9" t="s">
        <v>60</v>
      </c>
      <c r="Q4271" s="9" t="s">
        <v>26</v>
      </c>
      <c r="R4271" s="9" t="s">
        <v>27</v>
      </c>
      <c r="S4271" s="7" t="s">
        <v>342</v>
      </c>
      <c r="T4271" s="9" t="s">
        <v>36</v>
      </c>
      <c r="U4271" s="7">
        <v>0.65</v>
      </c>
      <c r="V4271" s="12">
        <f>C4271+1</f>
        <v>40514</v>
      </c>
      <c r="W4271">
        <f>IF(D4271=' Pivot Tables'!$A$4,1,0)</f>
        <v>0</v>
      </c>
      <c r="X4271">
        <f>IF(AND(LEFT(D4271,4)+1=LEFT(' Pivot Tables'!$A$4,4)+0,RIGHT(LEFT(D4271,7),2)=RIGHT(LEFT(' Pivot Tables'!$A$4,7),2)),1,0)</f>
        <v>0</v>
      </c>
      <c r="Y4271" s="6">
        <f>1/COUNTIF(Таблица1[Order ID],Таблица1[[#This Row],[Order ID]])</f>
        <v>1</v>
      </c>
      <c r="Z4271" s="9">
        <f>1/COUNTIFS(Таблица1[Customer Name],Таблица1[[#This Row],[Customer Name]],Таблица1[Order-Year-Month],Таблица1[[#This Row],[Order-Year-Month]])</f>
        <v>1</v>
      </c>
    </row>
    <row r="4272" spans="1:26" x14ac:dyDescent="0.2">
      <c r="A4272" s="6">
        <v>275</v>
      </c>
      <c r="B4272" s="7">
        <v>1892</v>
      </c>
      <c r="C4272" s="8">
        <f>DATE(2012,12,31)-1377</f>
        <v>39897</v>
      </c>
      <c r="D4272" s="8" t="str">
        <f t="shared" si="79"/>
        <v>2009-03 (март 2009)</v>
      </c>
      <c r="E4272" s="9" t="s">
        <v>21</v>
      </c>
      <c r="F4272" s="7">
        <v>47</v>
      </c>
      <c r="G4272" s="7">
        <v>193.63</v>
      </c>
      <c r="H4272" s="7">
        <v>0.05</v>
      </c>
      <c r="I4272" s="9" t="s">
        <v>22</v>
      </c>
      <c r="J4272" s="10">
        <v>-152.52449999999999</v>
      </c>
      <c r="K4272" s="11">
        <v>3.98</v>
      </c>
      <c r="L4272" s="11">
        <v>5.26</v>
      </c>
      <c r="M4272" s="9" t="s">
        <v>1780</v>
      </c>
      <c r="N4272" s="6" t="s">
        <v>1123</v>
      </c>
      <c r="O4272" s="6" t="s">
        <v>1123</v>
      </c>
      <c r="P4272" s="9" t="s">
        <v>25</v>
      </c>
      <c r="Q4272" s="9" t="s">
        <v>26</v>
      </c>
      <c r="R4272" s="9" t="s">
        <v>37</v>
      </c>
      <c r="S4272" s="7" t="s">
        <v>1348</v>
      </c>
      <c r="T4272" s="9" t="s">
        <v>39</v>
      </c>
      <c r="U4272" s="7">
        <v>0.38</v>
      </c>
      <c r="V4272" s="12">
        <f>C4272+4</f>
        <v>39901</v>
      </c>
      <c r="W4272">
        <f>IF(D4272=' Pivot Tables'!$A$4,1,0)</f>
        <v>0</v>
      </c>
      <c r="X4272">
        <f>IF(AND(LEFT(D4272,4)+1=LEFT(' Pivot Tables'!$A$4,4)+0,RIGHT(LEFT(D4272,7),2)=RIGHT(LEFT(' Pivot Tables'!$A$4,7),2)),1,0)</f>
        <v>0</v>
      </c>
      <c r="Y4272" s="6">
        <f>1/COUNTIF(Таблица1[Order ID],Таблица1[[#This Row],[Order ID]])</f>
        <v>0.5</v>
      </c>
      <c r="Z4272" s="9">
        <f>1/COUNTIFS(Таблица1[Customer Name],Таблица1[[#This Row],[Customer Name]],Таблица1[Order-Year-Month],Таблица1[[#This Row],[Order-Year-Month]])</f>
        <v>0.5</v>
      </c>
    </row>
    <row r="4273" spans="1:26" x14ac:dyDescent="0.2">
      <c r="A4273" s="6">
        <v>276</v>
      </c>
      <c r="B4273" s="7">
        <v>1892</v>
      </c>
      <c r="C4273" s="8">
        <f>DATE(2012,12,31)-1377</f>
        <v>39897</v>
      </c>
      <c r="D4273" s="8" t="str">
        <f t="shared" si="79"/>
        <v>2009-03 (март 2009)</v>
      </c>
      <c r="E4273" s="9" t="s">
        <v>21</v>
      </c>
      <c r="F4273" s="7">
        <v>9</v>
      </c>
      <c r="G4273" s="7">
        <v>64.290000000000006</v>
      </c>
      <c r="H4273" s="7">
        <v>0.01</v>
      </c>
      <c r="I4273" s="9" t="s">
        <v>22</v>
      </c>
      <c r="J4273" s="10">
        <v>-18.850000000000001</v>
      </c>
      <c r="K4273" s="11">
        <v>6.48</v>
      </c>
      <c r="L4273" s="11">
        <v>5.4</v>
      </c>
      <c r="M4273" s="9" t="s">
        <v>1780</v>
      </c>
      <c r="N4273" s="6" t="s">
        <v>1123</v>
      </c>
      <c r="O4273" s="6" t="s">
        <v>1123</v>
      </c>
      <c r="P4273" s="9" t="s">
        <v>25</v>
      </c>
      <c r="Q4273" s="9" t="s">
        <v>26</v>
      </c>
      <c r="R4273" s="9" t="s">
        <v>61</v>
      </c>
      <c r="S4273" s="7" t="s">
        <v>1732</v>
      </c>
      <c r="T4273" s="9" t="s">
        <v>39</v>
      </c>
      <c r="U4273" s="7">
        <v>0.37</v>
      </c>
      <c r="V4273" s="12">
        <f>C4273+0</f>
        <v>39897</v>
      </c>
      <c r="W4273">
        <f>IF(D4273=' Pivot Tables'!$A$4,1,0)</f>
        <v>0</v>
      </c>
      <c r="X4273">
        <f>IF(AND(LEFT(D4273,4)+1=LEFT(' Pivot Tables'!$A$4,4)+0,RIGHT(LEFT(D4273,7),2)=RIGHT(LEFT(' Pivot Tables'!$A$4,7),2)),1,0)</f>
        <v>0</v>
      </c>
      <c r="Y4273" s="6">
        <f>1/COUNTIF(Таблица1[Order ID],Таблица1[[#This Row],[Order ID]])</f>
        <v>0.5</v>
      </c>
      <c r="Z4273" s="9">
        <f>1/COUNTIFS(Таблица1[Customer Name],Таблица1[[#This Row],[Customer Name]],Таблица1[Order-Year-Month],Таблица1[[#This Row],[Order-Year-Month]])</f>
        <v>0.5</v>
      </c>
    </row>
    <row r="4274" spans="1:26" x14ac:dyDescent="0.2">
      <c r="A4274" s="6">
        <v>286</v>
      </c>
      <c r="B4274" s="7">
        <v>1991</v>
      </c>
      <c r="C4274" s="8">
        <f>DATE(2012,12,31)-116</f>
        <v>41158</v>
      </c>
      <c r="D4274" s="8" t="str">
        <f t="shared" si="79"/>
        <v>2012-09 (сентябрь 2012)</v>
      </c>
      <c r="E4274" s="9" t="s">
        <v>45</v>
      </c>
      <c r="F4274" s="7">
        <v>27</v>
      </c>
      <c r="G4274" s="7">
        <v>3491.06</v>
      </c>
      <c r="H4274" s="7">
        <v>0.09</v>
      </c>
      <c r="I4274" s="9" t="s">
        <v>22</v>
      </c>
      <c r="J4274" s="10">
        <v>921.7</v>
      </c>
      <c r="K4274" s="11">
        <v>136.97999999999999</v>
      </c>
      <c r="L4274" s="11">
        <v>24.49</v>
      </c>
      <c r="M4274" s="9" t="s">
        <v>1464</v>
      </c>
      <c r="N4274" s="6" t="s">
        <v>1123</v>
      </c>
      <c r="O4274" s="6" t="s">
        <v>1123</v>
      </c>
      <c r="P4274" s="9" t="s">
        <v>41</v>
      </c>
      <c r="Q4274" s="9" t="s">
        <v>49</v>
      </c>
      <c r="R4274" s="9" t="s">
        <v>50</v>
      </c>
      <c r="S4274" s="7" t="s">
        <v>480</v>
      </c>
      <c r="T4274" s="9" t="s">
        <v>29</v>
      </c>
      <c r="U4274" s="7">
        <v>0.59</v>
      </c>
      <c r="V4274" s="12">
        <f>C4274+0</f>
        <v>41158</v>
      </c>
      <c r="W4274">
        <f>IF(D4274=' Pivot Tables'!$A$4,1,0)</f>
        <v>0</v>
      </c>
      <c r="X4274">
        <f>IF(AND(LEFT(D4274,4)+1=LEFT(' Pivot Tables'!$A$4,4)+0,RIGHT(LEFT(D4274,7),2)=RIGHT(LEFT(' Pivot Tables'!$A$4,7),2)),1,0)</f>
        <v>0</v>
      </c>
      <c r="Y4274" s="6">
        <f>1/COUNTIF(Таблица1[Order ID],Таблица1[[#This Row],[Order ID]])</f>
        <v>0.5</v>
      </c>
      <c r="Z4274" s="9">
        <f>1/COUNTIFS(Таблица1[Customer Name],Таблица1[[#This Row],[Customer Name]],Таблица1[Order-Year-Month],Таблица1[[#This Row],[Order-Year-Month]])</f>
        <v>0.5</v>
      </c>
    </row>
    <row r="4275" spans="1:26" x14ac:dyDescent="0.2">
      <c r="A4275" s="6">
        <v>287</v>
      </c>
      <c r="B4275" s="7">
        <v>1991</v>
      </c>
      <c r="C4275" s="8">
        <f>DATE(2012,12,31)-116</f>
        <v>41158</v>
      </c>
      <c r="D4275" s="8" t="str">
        <f t="shared" si="79"/>
        <v>2012-09 (сентябрь 2012)</v>
      </c>
      <c r="E4275" s="9" t="s">
        <v>45</v>
      </c>
      <c r="F4275" s="7">
        <v>37</v>
      </c>
      <c r="G4275" s="7">
        <v>14383.83</v>
      </c>
      <c r="H4275" s="7">
        <v>0.01</v>
      </c>
      <c r="I4275" s="9" t="s">
        <v>31</v>
      </c>
      <c r="J4275" s="10">
        <v>5050.1000000000004</v>
      </c>
      <c r="K4275" s="11">
        <v>399.98</v>
      </c>
      <c r="L4275" s="11">
        <v>12.06</v>
      </c>
      <c r="M4275" s="9" t="s">
        <v>1464</v>
      </c>
      <c r="N4275" s="6" t="s">
        <v>1123</v>
      </c>
      <c r="O4275" s="6" t="s">
        <v>1123</v>
      </c>
      <c r="P4275" s="9" t="s">
        <v>41</v>
      </c>
      <c r="Q4275" s="9" t="s">
        <v>42</v>
      </c>
      <c r="R4275" s="9" t="s">
        <v>210</v>
      </c>
      <c r="S4275" s="7" t="s">
        <v>1051</v>
      </c>
      <c r="T4275" s="9" t="s">
        <v>82</v>
      </c>
      <c r="U4275" s="7">
        <v>0.56000000000000005</v>
      </c>
      <c r="V4275" s="12">
        <f>C4275+1</f>
        <v>41159</v>
      </c>
      <c r="W4275">
        <f>IF(D4275=' Pivot Tables'!$A$4,1,0)</f>
        <v>0</v>
      </c>
      <c r="X4275">
        <f>IF(AND(LEFT(D4275,4)+1=LEFT(' Pivot Tables'!$A$4,4)+0,RIGHT(LEFT(D4275,7),2)=RIGHT(LEFT(' Pivot Tables'!$A$4,7),2)),1,0)</f>
        <v>0</v>
      </c>
      <c r="Y4275" s="6">
        <f>1/COUNTIF(Таблица1[Order ID],Таблица1[[#This Row],[Order ID]])</f>
        <v>0.5</v>
      </c>
      <c r="Z4275" s="9">
        <f>1/COUNTIFS(Таблица1[Customer Name],Таблица1[[#This Row],[Customer Name]],Таблица1[Order-Year-Month],Таблица1[[#This Row],[Order-Year-Month]])</f>
        <v>0.5</v>
      </c>
    </row>
    <row r="4276" spans="1:26" x14ac:dyDescent="0.2">
      <c r="A4276" s="6">
        <v>653</v>
      </c>
      <c r="B4276" s="7">
        <v>4610</v>
      </c>
      <c r="C4276" s="8">
        <f>DATE(2012,12,31)-928</f>
        <v>40346</v>
      </c>
      <c r="D4276" s="8" t="str">
        <f t="shared" si="79"/>
        <v>2010-06 (июнь 2010)</v>
      </c>
      <c r="E4276" s="9" t="s">
        <v>21</v>
      </c>
      <c r="F4276" s="7">
        <v>8</v>
      </c>
      <c r="G4276" s="7">
        <v>66.88</v>
      </c>
      <c r="H4276" s="7">
        <v>0.09</v>
      </c>
      <c r="I4276" s="9" t="s">
        <v>22</v>
      </c>
      <c r="J4276" s="10">
        <v>-17.010000000000002</v>
      </c>
      <c r="K4276" s="11">
        <v>8.33</v>
      </c>
      <c r="L4276" s="11">
        <v>1.99</v>
      </c>
      <c r="M4276" s="9" t="s">
        <v>1759</v>
      </c>
      <c r="N4276" s="6" t="s">
        <v>1123</v>
      </c>
      <c r="O4276" s="6" t="s">
        <v>1123</v>
      </c>
      <c r="P4276" s="9" t="s">
        <v>25</v>
      </c>
      <c r="Q4276" s="9" t="s">
        <v>42</v>
      </c>
      <c r="R4276" s="9" t="s">
        <v>70</v>
      </c>
      <c r="S4276" s="7" t="s">
        <v>324</v>
      </c>
      <c r="T4276" s="9" t="s">
        <v>52</v>
      </c>
      <c r="U4276" s="7">
        <v>0.52</v>
      </c>
      <c r="V4276" s="12">
        <f>C4276+2</f>
        <v>40348</v>
      </c>
      <c r="W4276">
        <f>IF(D4276=' Pivot Tables'!$A$4,1,0)</f>
        <v>0</v>
      </c>
      <c r="X4276">
        <f>IF(AND(LEFT(D4276,4)+1=LEFT(' Pivot Tables'!$A$4,4)+0,RIGHT(LEFT(D4276,7),2)=RIGHT(LEFT(' Pivot Tables'!$A$4,7),2)),1,0)</f>
        <v>0</v>
      </c>
      <c r="Y4276" s="6">
        <f>1/COUNTIF(Таблица1[Order ID],Таблица1[[#This Row],[Order ID]])</f>
        <v>0.5</v>
      </c>
      <c r="Z4276" s="9">
        <f>1/COUNTIFS(Таблица1[Customer Name],Таблица1[[#This Row],[Customer Name]],Таблица1[Order-Year-Month],Таблица1[[#This Row],[Order-Year-Month]])</f>
        <v>0.5</v>
      </c>
    </row>
    <row r="4277" spans="1:26" x14ac:dyDescent="0.2">
      <c r="A4277" s="6">
        <v>654</v>
      </c>
      <c r="B4277" s="7">
        <v>4610</v>
      </c>
      <c r="C4277" s="8">
        <f>DATE(2012,12,31)-928</f>
        <v>40346</v>
      </c>
      <c r="D4277" s="8" t="str">
        <f t="shared" si="79"/>
        <v>2010-06 (июнь 2010)</v>
      </c>
      <c r="E4277" s="9" t="s">
        <v>21</v>
      </c>
      <c r="F4277" s="7">
        <v>29</v>
      </c>
      <c r="G4277" s="7">
        <v>447.34</v>
      </c>
      <c r="H4277" s="7">
        <v>0.08</v>
      </c>
      <c r="I4277" s="9" t="s">
        <v>22</v>
      </c>
      <c r="J4277" s="10">
        <v>203.01</v>
      </c>
      <c r="K4277" s="11">
        <v>15.67</v>
      </c>
      <c r="L4277" s="11">
        <v>1.39</v>
      </c>
      <c r="M4277" s="9" t="s">
        <v>1759</v>
      </c>
      <c r="N4277" s="6" t="s">
        <v>1123</v>
      </c>
      <c r="O4277" s="6" t="s">
        <v>1123</v>
      </c>
      <c r="P4277" s="9" t="s">
        <v>25</v>
      </c>
      <c r="Q4277" s="9" t="s">
        <v>26</v>
      </c>
      <c r="R4277" s="9" t="s">
        <v>76</v>
      </c>
      <c r="S4277" s="7" t="s">
        <v>165</v>
      </c>
      <c r="T4277" s="9" t="s">
        <v>39</v>
      </c>
      <c r="U4277" s="7">
        <v>0.38</v>
      </c>
      <c r="V4277" s="12">
        <f>C4277+4</f>
        <v>40350</v>
      </c>
      <c r="W4277">
        <f>IF(D4277=' Pivot Tables'!$A$4,1,0)</f>
        <v>0</v>
      </c>
      <c r="X4277">
        <f>IF(AND(LEFT(D4277,4)+1=LEFT(' Pivot Tables'!$A$4,4)+0,RIGHT(LEFT(D4277,7),2)=RIGHT(LEFT(' Pivot Tables'!$A$4,7),2)),1,0)</f>
        <v>0</v>
      </c>
      <c r="Y4277" s="6">
        <f>1/COUNTIF(Таблица1[Order ID],Таблица1[[#This Row],[Order ID]])</f>
        <v>0.5</v>
      </c>
      <c r="Z4277" s="9">
        <f>1/COUNTIFS(Таблица1[Customer Name],Таблица1[[#This Row],[Customer Name]],Таблица1[Order-Year-Month],Таблица1[[#This Row],[Order-Year-Month]])</f>
        <v>0.5</v>
      </c>
    </row>
    <row r="4278" spans="1:26" x14ac:dyDescent="0.2">
      <c r="A4278" s="6">
        <v>794</v>
      </c>
      <c r="B4278" s="7">
        <v>5697</v>
      </c>
      <c r="C4278" s="8">
        <f>DATE(2012,12,31)-88</f>
        <v>41186</v>
      </c>
      <c r="D4278" s="8" t="str">
        <f t="shared" si="79"/>
        <v>2012-10 (октябрь 2012)</v>
      </c>
      <c r="E4278" s="9" t="s">
        <v>78</v>
      </c>
      <c r="F4278" s="7">
        <v>31</v>
      </c>
      <c r="G4278" s="7">
        <v>371.68</v>
      </c>
      <c r="H4278" s="7">
        <v>0.03</v>
      </c>
      <c r="I4278" s="9" t="s">
        <v>22</v>
      </c>
      <c r="J4278" s="10">
        <v>-13.32</v>
      </c>
      <c r="K4278" s="11">
        <v>11.29</v>
      </c>
      <c r="L4278" s="11">
        <v>5.03</v>
      </c>
      <c r="M4278" s="9" t="s">
        <v>1779</v>
      </c>
      <c r="N4278" s="6" t="s">
        <v>1123</v>
      </c>
      <c r="O4278" s="6" t="s">
        <v>1123</v>
      </c>
      <c r="P4278" s="9" t="s">
        <v>60</v>
      </c>
      <c r="Q4278" s="9" t="s">
        <v>26</v>
      </c>
      <c r="R4278" s="9" t="s">
        <v>27</v>
      </c>
      <c r="S4278" s="7" t="s">
        <v>614</v>
      </c>
      <c r="T4278" s="9" t="s">
        <v>39</v>
      </c>
      <c r="U4278" s="7">
        <v>0.59</v>
      </c>
      <c r="V4278" s="12">
        <f>C4278+2</f>
        <v>41188</v>
      </c>
      <c r="W4278">
        <f>IF(D4278=' Pivot Tables'!$A$4,1,0)</f>
        <v>0</v>
      </c>
      <c r="X4278">
        <f>IF(AND(LEFT(D4278,4)+1=LEFT(' Pivot Tables'!$A$4,4)+0,RIGHT(LEFT(D4278,7),2)=RIGHT(LEFT(' Pivot Tables'!$A$4,7),2)),1,0)</f>
        <v>0</v>
      </c>
      <c r="Y4278" s="6">
        <f>1/COUNTIF(Таблица1[Order ID],Таблица1[[#This Row],[Order ID]])</f>
        <v>1</v>
      </c>
      <c r="Z4278" s="9">
        <f>1/COUNTIFS(Таблица1[Customer Name],Таблица1[[#This Row],[Customer Name]],Таблица1[Order-Year-Month],Таблица1[[#This Row],[Order-Year-Month]])</f>
        <v>1</v>
      </c>
    </row>
    <row r="4279" spans="1:26" x14ac:dyDescent="0.2">
      <c r="A4279" s="6">
        <v>832</v>
      </c>
      <c r="B4279" s="7">
        <v>5986</v>
      </c>
      <c r="C4279" s="8">
        <f>DATE(2012,12,31)-254</f>
        <v>41020</v>
      </c>
      <c r="D4279" s="8" t="str">
        <f t="shared" si="79"/>
        <v>2012-04 (апрель 2012)</v>
      </c>
      <c r="E4279" s="9" t="s">
        <v>30</v>
      </c>
      <c r="F4279" s="7">
        <v>48</v>
      </c>
      <c r="G4279" s="7">
        <v>5556.18</v>
      </c>
      <c r="H4279" s="7">
        <v>0.08</v>
      </c>
      <c r="I4279" s="9" t="s">
        <v>22</v>
      </c>
      <c r="J4279" s="10">
        <v>1638.48</v>
      </c>
      <c r="K4279" s="11">
        <v>120.98</v>
      </c>
      <c r="L4279" s="11">
        <v>3.99</v>
      </c>
      <c r="M4279" s="9" t="s">
        <v>585</v>
      </c>
      <c r="N4279" s="6" t="s">
        <v>1123</v>
      </c>
      <c r="O4279" s="6" t="s">
        <v>1123</v>
      </c>
      <c r="P4279" s="9" t="s">
        <v>25</v>
      </c>
      <c r="Q4279" s="9" t="s">
        <v>26</v>
      </c>
      <c r="R4279" s="9" t="s">
        <v>34</v>
      </c>
      <c r="S4279" s="7" t="s">
        <v>1371</v>
      </c>
      <c r="T4279" s="9" t="s">
        <v>39</v>
      </c>
      <c r="U4279" s="7">
        <v>0.6</v>
      </c>
      <c r="V4279" s="12">
        <f>C4279+0</f>
        <v>41020</v>
      </c>
      <c r="W4279">
        <f>IF(D4279=' Pivot Tables'!$A$4,1,0)</f>
        <v>0</v>
      </c>
      <c r="X4279">
        <f>IF(AND(LEFT(D4279,4)+1=LEFT(' Pivot Tables'!$A$4,4)+0,RIGHT(LEFT(D4279,7),2)=RIGHT(LEFT(' Pivot Tables'!$A$4,7),2)),1,0)</f>
        <v>0</v>
      </c>
      <c r="Y4279" s="6">
        <f>1/COUNTIF(Таблица1[Order ID],Таблица1[[#This Row],[Order ID]])</f>
        <v>0.33333333333333331</v>
      </c>
      <c r="Z4279" s="9">
        <f>1/COUNTIFS(Таблица1[Customer Name],Таблица1[[#This Row],[Customer Name]],Таблица1[Order-Year-Month],Таблица1[[#This Row],[Order-Year-Month]])</f>
        <v>0.33333333333333331</v>
      </c>
    </row>
    <row r="4280" spans="1:26" x14ac:dyDescent="0.2">
      <c r="A4280" s="6">
        <v>833</v>
      </c>
      <c r="B4280" s="7">
        <v>5986</v>
      </c>
      <c r="C4280" s="8">
        <f>DATE(2012,12,31)-254</f>
        <v>41020</v>
      </c>
      <c r="D4280" s="8" t="str">
        <f t="shared" si="79"/>
        <v>2012-04 (апрель 2012)</v>
      </c>
      <c r="E4280" s="9" t="s">
        <v>30</v>
      </c>
      <c r="F4280" s="7">
        <v>20</v>
      </c>
      <c r="G4280" s="7">
        <v>1021.55</v>
      </c>
      <c r="H4280" s="7">
        <v>0.05</v>
      </c>
      <c r="I4280" s="9" t="s">
        <v>31</v>
      </c>
      <c r="J4280" s="10">
        <v>64.81</v>
      </c>
      <c r="K4280" s="11">
        <v>50.98</v>
      </c>
      <c r="L4280" s="11">
        <v>14.19</v>
      </c>
      <c r="M4280" s="9" t="s">
        <v>585</v>
      </c>
      <c r="N4280" s="6" t="s">
        <v>1123</v>
      </c>
      <c r="O4280" s="6" t="s">
        <v>1123</v>
      </c>
      <c r="P4280" s="9" t="s">
        <v>25</v>
      </c>
      <c r="Q4280" s="9" t="s">
        <v>49</v>
      </c>
      <c r="R4280" s="9" t="s">
        <v>112</v>
      </c>
      <c r="S4280" s="7" t="s">
        <v>431</v>
      </c>
      <c r="T4280" s="9" t="s">
        <v>36</v>
      </c>
      <c r="U4280" s="7">
        <v>0.56000000000000005</v>
      </c>
      <c r="V4280" s="12">
        <f>C4280+1</f>
        <v>41021</v>
      </c>
      <c r="W4280">
        <f>IF(D4280=' Pivot Tables'!$A$4,1,0)</f>
        <v>0</v>
      </c>
      <c r="X4280">
        <f>IF(AND(LEFT(D4280,4)+1=LEFT(' Pivot Tables'!$A$4,4)+0,RIGHT(LEFT(D4280,7),2)=RIGHT(LEFT(' Pivot Tables'!$A$4,7),2)),1,0)</f>
        <v>0</v>
      </c>
      <c r="Y4280" s="6">
        <f>1/COUNTIF(Таблица1[Order ID],Таблица1[[#This Row],[Order ID]])</f>
        <v>0.33333333333333331</v>
      </c>
      <c r="Z4280" s="9">
        <f>1/COUNTIFS(Таблица1[Customer Name],Таблица1[[#This Row],[Customer Name]],Таблица1[Order-Year-Month],Таблица1[[#This Row],[Order-Year-Month]])</f>
        <v>0.33333333333333331</v>
      </c>
    </row>
    <row r="4281" spans="1:26" x14ac:dyDescent="0.2">
      <c r="A4281" s="6">
        <v>834</v>
      </c>
      <c r="B4281" s="7">
        <v>5986</v>
      </c>
      <c r="C4281" s="8">
        <f>DATE(2012,12,31)-254</f>
        <v>41020</v>
      </c>
      <c r="D4281" s="8" t="str">
        <f t="shared" si="79"/>
        <v>2012-04 (апрель 2012)</v>
      </c>
      <c r="E4281" s="9" t="s">
        <v>30</v>
      </c>
      <c r="F4281" s="7">
        <v>41</v>
      </c>
      <c r="G4281" s="7">
        <v>205.24</v>
      </c>
      <c r="H4281" s="7">
        <v>0.03</v>
      </c>
      <c r="I4281" s="9" t="s">
        <v>22</v>
      </c>
      <c r="J4281" s="10">
        <v>-148.77000000000001</v>
      </c>
      <c r="K4281" s="11">
        <v>4.8899999999999997</v>
      </c>
      <c r="L4281" s="11">
        <v>4.93</v>
      </c>
      <c r="M4281" s="9" t="s">
        <v>585</v>
      </c>
      <c r="N4281" s="6" t="s">
        <v>1123</v>
      </c>
      <c r="O4281" s="6" t="s">
        <v>1123</v>
      </c>
      <c r="P4281" s="9" t="s">
        <v>25</v>
      </c>
      <c r="Q4281" s="9" t="s">
        <v>42</v>
      </c>
      <c r="R4281" s="9" t="s">
        <v>70</v>
      </c>
      <c r="S4281" s="7" t="s">
        <v>93</v>
      </c>
      <c r="T4281" s="9" t="s">
        <v>52</v>
      </c>
      <c r="U4281" s="7">
        <v>0.66</v>
      </c>
      <c r="V4281" s="12">
        <f>C4281+1</f>
        <v>41021</v>
      </c>
      <c r="W4281">
        <f>IF(D4281=' Pivot Tables'!$A$4,1,0)</f>
        <v>0</v>
      </c>
      <c r="X4281">
        <f>IF(AND(LEFT(D4281,4)+1=LEFT(' Pivot Tables'!$A$4,4)+0,RIGHT(LEFT(D4281,7),2)=RIGHT(LEFT(' Pivot Tables'!$A$4,7),2)),1,0)</f>
        <v>0</v>
      </c>
      <c r="Y4281" s="6">
        <f>1/COUNTIF(Таблица1[Order ID],Таблица1[[#This Row],[Order ID]])</f>
        <v>0.33333333333333331</v>
      </c>
      <c r="Z4281" s="9">
        <f>1/COUNTIFS(Таблица1[Customer Name],Таблица1[[#This Row],[Customer Name]],Таблица1[Order-Year-Month],Таблица1[[#This Row],[Order-Year-Month]])</f>
        <v>0.33333333333333331</v>
      </c>
    </row>
    <row r="4282" spans="1:26" x14ac:dyDescent="0.2">
      <c r="A4282" s="6">
        <v>845</v>
      </c>
      <c r="B4282" s="7">
        <v>6053</v>
      </c>
      <c r="C4282" s="8">
        <f>DATE(2012,12,31)-751</f>
        <v>40523</v>
      </c>
      <c r="D4282" s="8" t="str">
        <f t="shared" si="79"/>
        <v>2010-12 (декабрь 2010)</v>
      </c>
      <c r="E4282" s="9" t="s">
        <v>63</v>
      </c>
      <c r="F4282" s="7">
        <v>4</v>
      </c>
      <c r="G4282" s="7">
        <v>16.079999999999998</v>
      </c>
      <c r="H4282" s="7">
        <v>0.04</v>
      </c>
      <c r="I4282" s="9" t="s">
        <v>22</v>
      </c>
      <c r="J4282" s="10">
        <v>-3.7489999999999997</v>
      </c>
      <c r="K4282" s="11">
        <v>3.8</v>
      </c>
      <c r="L4282" s="11">
        <v>1.49</v>
      </c>
      <c r="M4282" s="9" t="s">
        <v>1781</v>
      </c>
      <c r="N4282" s="6" t="s">
        <v>1123</v>
      </c>
      <c r="O4282" s="6" t="s">
        <v>1123</v>
      </c>
      <c r="P4282" s="9" t="s">
        <v>41</v>
      </c>
      <c r="Q4282" s="9" t="s">
        <v>26</v>
      </c>
      <c r="R4282" s="9" t="s">
        <v>37</v>
      </c>
      <c r="S4282" s="7" t="s">
        <v>269</v>
      </c>
      <c r="T4282" s="9" t="s">
        <v>39</v>
      </c>
      <c r="U4282" s="7">
        <v>0.38</v>
      </c>
      <c r="V4282" s="12">
        <f>C4282+2</f>
        <v>40525</v>
      </c>
      <c r="W4282">
        <f>IF(D4282=' Pivot Tables'!$A$4,1,0)</f>
        <v>0</v>
      </c>
      <c r="X4282">
        <f>IF(AND(LEFT(D4282,4)+1=LEFT(' Pivot Tables'!$A$4,4)+0,RIGHT(LEFT(D4282,7),2)=RIGHT(LEFT(' Pivot Tables'!$A$4,7),2)),1,0)</f>
        <v>0</v>
      </c>
      <c r="Y4282" s="6">
        <f>1/COUNTIF(Таблица1[Order ID],Таблица1[[#This Row],[Order ID]])</f>
        <v>1</v>
      </c>
      <c r="Z4282" s="9">
        <f>1/COUNTIFS(Таблица1[Customer Name],Таблица1[[#This Row],[Customer Name]],Таблица1[Order-Year-Month],Таблица1[[#This Row],[Order-Year-Month]])</f>
        <v>1</v>
      </c>
    </row>
    <row r="4283" spans="1:26" x14ac:dyDescent="0.2">
      <c r="A4283" s="6">
        <v>893</v>
      </c>
      <c r="B4283" s="7">
        <v>6432</v>
      </c>
      <c r="C4283" s="8">
        <f>DATE(2012,12,31)-417</f>
        <v>40857</v>
      </c>
      <c r="D4283" s="8" t="str">
        <f t="shared" si="79"/>
        <v>2011-11 (ноябрь 2011)</v>
      </c>
      <c r="E4283" s="9" t="s">
        <v>78</v>
      </c>
      <c r="F4283" s="7">
        <v>30</v>
      </c>
      <c r="G4283" s="7">
        <v>311.08</v>
      </c>
      <c r="H4283" s="7">
        <v>0.08</v>
      </c>
      <c r="I4283" s="9" t="s">
        <v>22</v>
      </c>
      <c r="J4283" s="10">
        <v>-38.450000000000003</v>
      </c>
      <c r="K4283" s="11">
        <v>10.89</v>
      </c>
      <c r="L4283" s="11">
        <v>4.5</v>
      </c>
      <c r="M4283" s="9" t="s">
        <v>1385</v>
      </c>
      <c r="N4283" s="6" t="s">
        <v>1123</v>
      </c>
      <c r="O4283" s="6" t="s">
        <v>1123</v>
      </c>
      <c r="P4283" s="9" t="s">
        <v>41</v>
      </c>
      <c r="Q4283" s="9" t="s">
        <v>26</v>
      </c>
      <c r="R4283" s="9" t="s">
        <v>34</v>
      </c>
      <c r="S4283" s="7" t="s">
        <v>345</v>
      </c>
      <c r="T4283" s="9" t="s">
        <v>39</v>
      </c>
      <c r="U4283" s="7">
        <v>0.59</v>
      </c>
      <c r="V4283" s="12">
        <f>C4283+2</f>
        <v>40859</v>
      </c>
      <c r="W4283">
        <f>IF(D4283=' Pivot Tables'!$A$4,1,0)</f>
        <v>0</v>
      </c>
      <c r="X4283">
        <f>IF(AND(LEFT(D4283,4)+1=LEFT(' Pivot Tables'!$A$4,4)+0,RIGHT(LEFT(D4283,7),2)=RIGHT(LEFT(' Pivot Tables'!$A$4,7),2)),1,0)</f>
        <v>0</v>
      </c>
      <c r="Y4283" s="6">
        <f>1/COUNTIF(Таблица1[Order ID],Таблица1[[#This Row],[Order ID]])</f>
        <v>1</v>
      </c>
      <c r="Z4283" s="9">
        <f>1/COUNTIFS(Таблица1[Customer Name],Таблица1[[#This Row],[Customer Name]],Таблица1[Order-Year-Month],Таблица1[[#This Row],[Order-Year-Month]])</f>
        <v>1</v>
      </c>
    </row>
    <row r="4284" spans="1:26" x14ac:dyDescent="0.2">
      <c r="A4284" s="6">
        <v>906</v>
      </c>
      <c r="B4284" s="7">
        <v>6502</v>
      </c>
      <c r="C4284" s="8">
        <f>DATE(2012,12,31)-499</f>
        <v>40775</v>
      </c>
      <c r="D4284" s="8" t="str">
        <f t="shared" si="79"/>
        <v>2011-08 (август 2011)</v>
      </c>
      <c r="E4284" s="9" t="s">
        <v>63</v>
      </c>
      <c r="F4284" s="7">
        <v>16</v>
      </c>
      <c r="G4284" s="7">
        <v>116.11</v>
      </c>
      <c r="H4284" s="7">
        <v>0.1</v>
      </c>
      <c r="I4284" s="9" t="s">
        <v>56</v>
      </c>
      <c r="J4284" s="10">
        <v>-36.46</v>
      </c>
      <c r="K4284" s="11">
        <v>7.64</v>
      </c>
      <c r="L4284" s="11">
        <v>5.83</v>
      </c>
      <c r="M4284" s="9" t="s">
        <v>1779</v>
      </c>
      <c r="N4284" s="6" t="s">
        <v>1123</v>
      </c>
      <c r="O4284" s="6" t="s">
        <v>1123</v>
      </c>
      <c r="P4284" s="9" t="s">
        <v>60</v>
      </c>
      <c r="Q4284" s="9" t="s">
        <v>26</v>
      </c>
      <c r="R4284" s="9" t="s">
        <v>61</v>
      </c>
      <c r="S4284" s="7" t="s">
        <v>371</v>
      </c>
      <c r="T4284" s="9" t="s">
        <v>68</v>
      </c>
      <c r="U4284" s="7">
        <v>0.36</v>
      </c>
      <c r="V4284" s="12">
        <f>C4284+0</f>
        <v>40775</v>
      </c>
      <c r="W4284">
        <f>IF(D4284=' Pivot Tables'!$A$4,1,0)</f>
        <v>0</v>
      </c>
      <c r="X4284">
        <f>IF(AND(LEFT(D4284,4)+1=LEFT(' Pivot Tables'!$A$4,4)+0,RIGHT(LEFT(D4284,7),2)=RIGHT(LEFT(' Pivot Tables'!$A$4,7),2)),1,0)</f>
        <v>0</v>
      </c>
      <c r="Y4284" s="6">
        <f>1/COUNTIF(Таблица1[Order ID],Таблица1[[#This Row],[Order ID]])</f>
        <v>0.5</v>
      </c>
      <c r="Z4284" s="9">
        <f>1/COUNTIFS(Таблица1[Customer Name],Таблица1[[#This Row],[Customer Name]],Таблица1[Order-Year-Month],Таблица1[[#This Row],[Order-Year-Month]])</f>
        <v>0.5</v>
      </c>
    </row>
    <row r="4285" spans="1:26" x14ac:dyDescent="0.2">
      <c r="A4285" s="6">
        <v>907</v>
      </c>
      <c r="B4285" s="7">
        <v>6502</v>
      </c>
      <c r="C4285" s="8">
        <f>DATE(2012,12,31)-499</f>
        <v>40775</v>
      </c>
      <c r="D4285" s="8" t="str">
        <f t="shared" si="79"/>
        <v>2011-08 (август 2011)</v>
      </c>
      <c r="E4285" s="9" t="s">
        <v>63</v>
      </c>
      <c r="F4285" s="7">
        <v>30</v>
      </c>
      <c r="G4285" s="7">
        <v>306.92</v>
      </c>
      <c r="H4285" s="7">
        <v>0.05</v>
      </c>
      <c r="I4285" s="9" t="s">
        <v>22</v>
      </c>
      <c r="J4285" s="10">
        <v>13.46</v>
      </c>
      <c r="K4285" s="11">
        <v>9.99</v>
      </c>
      <c r="L4285" s="11">
        <v>5.12</v>
      </c>
      <c r="M4285" s="9" t="s">
        <v>1779</v>
      </c>
      <c r="N4285" s="6" t="s">
        <v>1123</v>
      </c>
      <c r="O4285" s="6" t="s">
        <v>1123</v>
      </c>
      <c r="P4285" s="9" t="s">
        <v>60</v>
      </c>
      <c r="Q4285" s="9" t="s">
        <v>26</v>
      </c>
      <c r="R4285" s="9" t="s">
        <v>61</v>
      </c>
      <c r="S4285" s="7" t="s">
        <v>1267</v>
      </c>
      <c r="T4285" s="9" t="s">
        <v>39</v>
      </c>
      <c r="U4285" s="7">
        <v>0.4</v>
      </c>
      <c r="V4285" s="12">
        <f>C4285+3</f>
        <v>40778</v>
      </c>
      <c r="W4285">
        <f>IF(D4285=' Pivot Tables'!$A$4,1,0)</f>
        <v>0</v>
      </c>
      <c r="X4285">
        <f>IF(AND(LEFT(D4285,4)+1=LEFT(' Pivot Tables'!$A$4,4)+0,RIGHT(LEFT(D4285,7),2)=RIGHT(LEFT(' Pivot Tables'!$A$4,7),2)),1,0)</f>
        <v>0</v>
      </c>
      <c r="Y4285" s="6">
        <f>1/COUNTIF(Таблица1[Order ID],Таблица1[[#This Row],[Order ID]])</f>
        <v>0.5</v>
      </c>
      <c r="Z4285" s="9">
        <f>1/COUNTIFS(Таблица1[Customer Name],Таблица1[[#This Row],[Customer Name]],Таблица1[Order-Year-Month],Таблица1[[#This Row],[Order-Year-Month]])</f>
        <v>0.5</v>
      </c>
    </row>
    <row r="4286" spans="1:26" x14ac:dyDescent="0.2">
      <c r="A4286" s="6">
        <v>921</v>
      </c>
      <c r="B4286" s="7">
        <v>6656</v>
      </c>
      <c r="C4286" s="8">
        <f>DATE(2012,12,31)-1326</f>
        <v>39948</v>
      </c>
      <c r="D4286" s="8" t="str">
        <f t="shared" si="79"/>
        <v>2009-05 (май 2009)</v>
      </c>
      <c r="E4286" s="9" t="s">
        <v>78</v>
      </c>
      <c r="F4286" s="7">
        <v>45</v>
      </c>
      <c r="G4286" s="7">
        <v>1802</v>
      </c>
      <c r="H4286" s="7">
        <v>0.02</v>
      </c>
      <c r="I4286" s="9" t="s">
        <v>22</v>
      </c>
      <c r="J4286" s="10">
        <v>508.96299999999997</v>
      </c>
      <c r="K4286" s="11">
        <v>39.06</v>
      </c>
      <c r="L4286" s="11">
        <v>10.55</v>
      </c>
      <c r="M4286" s="9" t="s">
        <v>818</v>
      </c>
      <c r="N4286" s="6" t="s">
        <v>1123</v>
      </c>
      <c r="O4286" s="6" t="s">
        <v>1123</v>
      </c>
      <c r="P4286" s="9" t="s">
        <v>25</v>
      </c>
      <c r="Q4286" s="9" t="s">
        <v>26</v>
      </c>
      <c r="R4286" s="9" t="s">
        <v>37</v>
      </c>
      <c r="S4286" s="7" t="s">
        <v>759</v>
      </c>
      <c r="T4286" s="9" t="s">
        <v>39</v>
      </c>
      <c r="U4286" s="7">
        <v>0.37</v>
      </c>
      <c r="V4286" s="12">
        <f>C4286+0</f>
        <v>39948</v>
      </c>
      <c r="W4286">
        <f>IF(D4286=' Pivot Tables'!$A$4,1,0)</f>
        <v>0</v>
      </c>
      <c r="X4286">
        <f>IF(AND(LEFT(D4286,4)+1=LEFT(' Pivot Tables'!$A$4,4)+0,RIGHT(LEFT(D4286,7),2)=RIGHT(LEFT(' Pivot Tables'!$A$4,7),2)),1,0)</f>
        <v>0</v>
      </c>
      <c r="Y4286" s="6">
        <f>1/COUNTIF(Таблица1[Order ID],Таблица1[[#This Row],[Order ID]])</f>
        <v>0.5</v>
      </c>
      <c r="Z4286" s="9">
        <f>1/COUNTIFS(Таблица1[Customer Name],Таблица1[[#This Row],[Customer Name]],Таблица1[Order-Year-Month],Таблица1[[#This Row],[Order-Year-Month]])</f>
        <v>0.5</v>
      </c>
    </row>
    <row r="4287" spans="1:26" x14ac:dyDescent="0.2">
      <c r="A4287" s="6">
        <v>922</v>
      </c>
      <c r="B4287" s="7">
        <v>6656</v>
      </c>
      <c r="C4287" s="8">
        <f>DATE(2012,12,31)-1326</f>
        <v>39948</v>
      </c>
      <c r="D4287" s="8" t="str">
        <f t="shared" si="79"/>
        <v>2009-05 (май 2009)</v>
      </c>
      <c r="E4287" s="9" t="s">
        <v>78</v>
      </c>
      <c r="F4287" s="7">
        <v>50</v>
      </c>
      <c r="G4287" s="7">
        <v>1832.22</v>
      </c>
      <c r="H4287" s="7">
        <v>0.1</v>
      </c>
      <c r="I4287" s="9" t="s">
        <v>22</v>
      </c>
      <c r="J4287" s="10">
        <v>805.43450000000007</v>
      </c>
      <c r="K4287" s="11">
        <v>37.700000000000003</v>
      </c>
      <c r="L4287" s="11">
        <v>2.99</v>
      </c>
      <c r="M4287" s="9" t="s">
        <v>818</v>
      </c>
      <c r="N4287" s="6" t="s">
        <v>1123</v>
      </c>
      <c r="O4287" s="6" t="s">
        <v>1123</v>
      </c>
      <c r="P4287" s="9" t="s">
        <v>25</v>
      </c>
      <c r="Q4287" s="9" t="s">
        <v>26</v>
      </c>
      <c r="R4287" s="9" t="s">
        <v>37</v>
      </c>
      <c r="S4287" s="7" t="s">
        <v>952</v>
      </c>
      <c r="T4287" s="9" t="s">
        <v>39</v>
      </c>
      <c r="U4287" s="7">
        <v>0.35</v>
      </c>
      <c r="V4287" s="12">
        <f>C4287+1</f>
        <v>39949</v>
      </c>
      <c r="W4287">
        <f>IF(D4287=' Pivot Tables'!$A$4,1,0)</f>
        <v>0</v>
      </c>
      <c r="X4287">
        <f>IF(AND(LEFT(D4287,4)+1=LEFT(' Pivot Tables'!$A$4,4)+0,RIGHT(LEFT(D4287,7),2)=RIGHT(LEFT(' Pivot Tables'!$A$4,7),2)),1,0)</f>
        <v>0</v>
      </c>
      <c r="Y4287" s="6">
        <f>1/COUNTIF(Таблица1[Order ID],Таблица1[[#This Row],[Order ID]])</f>
        <v>0.5</v>
      </c>
      <c r="Z4287" s="9">
        <f>1/COUNTIFS(Таблица1[Customer Name],Таблица1[[#This Row],[Customer Name]],Таблица1[Order-Year-Month],Таблица1[[#This Row],[Order-Year-Month]])</f>
        <v>0.5</v>
      </c>
    </row>
    <row r="4288" spans="1:26" x14ac:dyDescent="0.2">
      <c r="A4288" s="6">
        <v>971</v>
      </c>
      <c r="B4288" s="7">
        <v>7072</v>
      </c>
      <c r="C4288" s="8">
        <f>DATE(2012,12,31)-331</f>
        <v>40943</v>
      </c>
      <c r="D4288" s="8" t="str">
        <f t="shared" si="79"/>
        <v>2012-02 (февраль 2012)</v>
      </c>
      <c r="E4288" s="9" t="s">
        <v>78</v>
      </c>
      <c r="F4288" s="7">
        <v>29</v>
      </c>
      <c r="G4288" s="7">
        <v>258.61</v>
      </c>
      <c r="H4288" s="7">
        <v>7.0000000000000007E-2</v>
      </c>
      <c r="I4288" s="9" t="s">
        <v>22</v>
      </c>
      <c r="J4288" s="10">
        <v>-15.962</v>
      </c>
      <c r="K4288" s="11">
        <v>8.85</v>
      </c>
      <c r="L4288" s="11">
        <v>5.6</v>
      </c>
      <c r="M4288" s="9" t="s">
        <v>1781</v>
      </c>
      <c r="N4288" s="6" t="s">
        <v>1123</v>
      </c>
      <c r="O4288" s="6" t="s">
        <v>1123</v>
      </c>
      <c r="P4288" s="9" t="s">
        <v>41</v>
      </c>
      <c r="Q4288" s="9" t="s">
        <v>26</v>
      </c>
      <c r="R4288" s="9" t="s">
        <v>37</v>
      </c>
      <c r="S4288" s="7" t="s">
        <v>298</v>
      </c>
      <c r="T4288" s="9" t="s">
        <v>39</v>
      </c>
      <c r="U4288" s="7">
        <v>0.36</v>
      </c>
      <c r="V4288" s="12">
        <f>C4288+0</f>
        <v>40943</v>
      </c>
      <c r="W4288">
        <f>IF(D4288=' Pivot Tables'!$A$4,1,0)</f>
        <v>0</v>
      </c>
      <c r="X4288">
        <f>IF(AND(LEFT(D4288,4)+1=LEFT(' Pivot Tables'!$A$4,4)+0,RIGHT(LEFT(D4288,7),2)=RIGHT(LEFT(' Pivot Tables'!$A$4,7),2)),1,0)</f>
        <v>0</v>
      </c>
      <c r="Y4288" s="6">
        <f>1/COUNTIF(Таблица1[Order ID],Таблица1[[#This Row],[Order ID]])</f>
        <v>1</v>
      </c>
      <c r="Z4288" s="9">
        <f>1/COUNTIFS(Таблица1[Customer Name],Таблица1[[#This Row],[Customer Name]],Таблица1[Order-Year-Month],Таблица1[[#This Row],[Order-Year-Month]])</f>
        <v>1</v>
      </c>
    </row>
    <row r="4289" spans="1:26" x14ac:dyDescent="0.2">
      <c r="A4289" s="6">
        <v>1015</v>
      </c>
      <c r="B4289" s="7">
        <v>7429</v>
      </c>
      <c r="C4289" s="8">
        <f>DATE(2012,12,31)-950</f>
        <v>40324</v>
      </c>
      <c r="D4289" s="8" t="str">
        <f t="shared" si="79"/>
        <v>2010-05 (май 2010)</v>
      </c>
      <c r="E4289" s="9" t="s">
        <v>45</v>
      </c>
      <c r="F4289" s="7">
        <v>33</v>
      </c>
      <c r="G4289" s="7">
        <v>1379.34</v>
      </c>
      <c r="H4289" s="7">
        <v>0.04</v>
      </c>
      <c r="I4289" s="9" t="s">
        <v>22</v>
      </c>
      <c r="J4289" s="10">
        <v>-470.85</v>
      </c>
      <c r="K4289" s="11">
        <v>40.479999999999997</v>
      </c>
      <c r="L4289" s="11">
        <v>19.989999999999998</v>
      </c>
      <c r="M4289" s="9" t="s">
        <v>1782</v>
      </c>
      <c r="N4289" s="6" t="s">
        <v>1123</v>
      </c>
      <c r="O4289" s="6" t="s">
        <v>1123</v>
      </c>
      <c r="P4289" s="9" t="s">
        <v>60</v>
      </c>
      <c r="Q4289" s="9" t="s">
        <v>42</v>
      </c>
      <c r="R4289" s="9" t="s">
        <v>70</v>
      </c>
      <c r="S4289" s="7" t="s">
        <v>549</v>
      </c>
      <c r="T4289" s="9" t="s">
        <v>39</v>
      </c>
      <c r="U4289" s="7">
        <v>0.77</v>
      </c>
      <c r="V4289" s="12">
        <f>C4289+1</f>
        <v>40325</v>
      </c>
      <c r="W4289">
        <f>IF(D4289=' Pivot Tables'!$A$4,1,0)</f>
        <v>0</v>
      </c>
      <c r="X4289">
        <f>IF(AND(LEFT(D4289,4)+1=LEFT(' Pivot Tables'!$A$4,4)+0,RIGHT(LEFT(D4289,7),2)=RIGHT(LEFT(' Pivot Tables'!$A$4,7),2)),1,0)</f>
        <v>0</v>
      </c>
      <c r="Y4289" s="6">
        <f>1/COUNTIF(Таблица1[Order ID],Таблица1[[#This Row],[Order ID]])</f>
        <v>0.5</v>
      </c>
      <c r="Z4289" s="9">
        <f>1/COUNTIFS(Таблица1[Customer Name],Таблица1[[#This Row],[Customer Name]],Таблица1[Order-Year-Month],Таблица1[[#This Row],[Order-Year-Month]])</f>
        <v>0.5</v>
      </c>
    </row>
    <row r="4290" spans="1:26" x14ac:dyDescent="0.2">
      <c r="A4290" s="6">
        <v>1016</v>
      </c>
      <c r="B4290" s="7">
        <v>7429</v>
      </c>
      <c r="C4290" s="8">
        <f>DATE(2012,12,31)-950</f>
        <v>40324</v>
      </c>
      <c r="D4290" s="8" t="str">
        <f t="shared" si="79"/>
        <v>2010-05 (май 2010)</v>
      </c>
      <c r="E4290" s="9" t="s">
        <v>45</v>
      </c>
      <c r="F4290" s="7">
        <v>6</v>
      </c>
      <c r="G4290" s="7">
        <v>168.25</v>
      </c>
      <c r="H4290" s="7">
        <v>0.09</v>
      </c>
      <c r="I4290" s="9" t="s">
        <v>56</v>
      </c>
      <c r="J4290" s="10">
        <v>101.78</v>
      </c>
      <c r="K4290" s="11">
        <v>26.48</v>
      </c>
      <c r="L4290" s="11">
        <v>6.93</v>
      </c>
      <c r="M4290" s="9" t="s">
        <v>1782</v>
      </c>
      <c r="N4290" s="6" t="s">
        <v>1123</v>
      </c>
      <c r="O4290" s="6" t="s">
        <v>1123</v>
      </c>
      <c r="P4290" s="9" t="s">
        <v>60</v>
      </c>
      <c r="Q4290" s="9" t="s">
        <v>49</v>
      </c>
      <c r="R4290" s="9" t="s">
        <v>50</v>
      </c>
      <c r="S4290" s="7" t="s">
        <v>649</v>
      </c>
      <c r="T4290" s="9" t="s">
        <v>39</v>
      </c>
      <c r="U4290" s="7">
        <v>0.49</v>
      </c>
      <c r="V4290" s="12">
        <f>C4290+1</f>
        <v>40325</v>
      </c>
      <c r="W4290">
        <f>IF(D4290=' Pivot Tables'!$A$4,1,0)</f>
        <v>0</v>
      </c>
      <c r="X4290">
        <f>IF(AND(LEFT(D4290,4)+1=LEFT(' Pivot Tables'!$A$4,4)+0,RIGHT(LEFT(D4290,7),2)=RIGHT(LEFT(' Pivot Tables'!$A$4,7),2)),1,0)</f>
        <v>0</v>
      </c>
      <c r="Y4290" s="6">
        <f>1/COUNTIF(Таблица1[Order ID],Таблица1[[#This Row],[Order ID]])</f>
        <v>0.5</v>
      </c>
      <c r="Z4290" s="9">
        <f>1/COUNTIFS(Таблица1[Customer Name],Таблица1[[#This Row],[Customer Name]],Таблица1[Order-Year-Month],Таблица1[[#This Row],[Order-Year-Month]])</f>
        <v>0.5</v>
      </c>
    </row>
    <row r="4291" spans="1:26" x14ac:dyDescent="0.2">
      <c r="A4291" s="6">
        <v>1075</v>
      </c>
      <c r="B4291" s="7">
        <v>7910</v>
      </c>
      <c r="C4291" s="8">
        <f>DATE(2012,12,31)-986</f>
        <v>40288</v>
      </c>
      <c r="D4291" s="8" t="str">
        <f t="shared" ref="D4291:D4354" si="80">TEXT(C4291,"гггг-ММ (ММММ гггг)")</f>
        <v>2010-04 (апрель 2010)</v>
      </c>
      <c r="E4291" s="9" t="s">
        <v>78</v>
      </c>
      <c r="F4291" s="7">
        <v>41</v>
      </c>
      <c r="G4291" s="7">
        <v>1871.13</v>
      </c>
      <c r="H4291" s="7">
        <v>0.01</v>
      </c>
      <c r="I4291" s="9" t="s">
        <v>22</v>
      </c>
      <c r="J4291" s="10">
        <v>346.43</v>
      </c>
      <c r="K4291" s="11">
        <v>45.98</v>
      </c>
      <c r="L4291" s="11">
        <v>4.8</v>
      </c>
      <c r="M4291" s="9" t="s">
        <v>1783</v>
      </c>
      <c r="N4291" s="6" t="s">
        <v>1123</v>
      </c>
      <c r="O4291" s="6" t="s">
        <v>1123</v>
      </c>
      <c r="P4291" s="9" t="s">
        <v>25</v>
      </c>
      <c r="Q4291" s="9" t="s">
        <v>49</v>
      </c>
      <c r="R4291" s="9" t="s">
        <v>50</v>
      </c>
      <c r="S4291" s="7" t="s">
        <v>654</v>
      </c>
      <c r="T4291" s="9" t="s">
        <v>68</v>
      </c>
      <c r="U4291" s="7">
        <v>0.68</v>
      </c>
      <c r="V4291" s="12">
        <f>C4291+3</f>
        <v>40291</v>
      </c>
      <c r="W4291">
        <f>IF(D4291=' Pivot Tables'!$A$4,1,0)</f>
        <v>0</v>
      </c>
      <c r="X4291">
        <f>IF(AND(LEFT(D4291,4)+1=LEFT(' Pivot Tables'!$A$4,4)+0,RIGHT(LEFT(D4291,7),2)=RIGHT(LEFT(' Pivot Tables'!$A$4,7),2)),1,0)</f>
        <v>0</v>
      </c>
      <c r="Y4291" s="6">
        <f>1/COUNTIF(Таблица1[Order ID],Таблица1[[#This Row],[Order ID]])</f>
        <v>0.5</v>
      </c>
      <c r="Z4291" s="9">
        <f>1/COUNTIFS(Таблица1[Customer Name],Таблица1[[#This Row],[Customer Name]],Таблица1[Order-Year-Month],Таблица1[[#This Row],[Order-Year-Month]])</f>
        <v>0.5</v>
      </c>
    </row>
    <row r="4292" spans="1:26" x14ac:dyDescent="0.2">
      <c r="A4292" s="6">
        <v>1076</v>
      </c>
      <c r="B4292" s="7">
        <v>7910</v>
      </c>
      <c r="C4292" s="8">
        <f>DATE(2012,12,31)-986</f>
        <v>40288</v>
      </c>
      <c r="D4292" s="8" t="str">
        <f t="shared" si="80"/>
        <v>2010-04 (апрель 2010)</v>
      </c>
      <c r="E4292" s="9" t="s">
        <v>78</v>
      </c>
      <c r="F4292" s="7">
        <v>22</v>
      </c>
      <c r="G4292" s="7">
        <v>729.57</v>
      </c>
      <c r="H4292" s="7">
        <v>0.08</v>
      </c>
      <c r="I4292" s="9" t="s">
        <v>22</v>
      </c>
      <c r="J4292" s="10">
        <v>250.43</v>
      </c>
      <c r="K4292" s="11">
        <v>35.44</v>
      </c>
      <c r="L4292" s="11">
        <v>5.09</v>
      </c>
      <c r="M4292" s="9" t="s">
        <v>1783</v>
      </c>
      <c r="N4292" s="6" t="s">
        <v>1123</v>
      </c>
      <c r="O4292" s="6" t="s">
        <v>1123</v>
      </c>
      <c r="P4292" s="9" t="s">
        <v>25</v>
      </c>
      <c r="Q4292" s="9" t="s">
        <v>26</v>
      </c>
      <c r="R4292" s="9" t="s">
        <v>61</v>
      </c>
      <c r="S4292" s="7" t="s">
        <v>227</v>
      </c>
      <c r="T4292" s="9" t="s">
        <v>39</v>
      </c>
      <c r="U4292" s="7">
        <v>0.38</v>
      </c>
      <c r="V4292" s="12">
        <f>C4292+0</f>
        <v>40288</v>
      </c>
      <c r="W4292">
        <f>IF(D4292=' Pivot Tables'!$A$4,1,0)</f>
        <v>0</v>
      </c>
      <c r="X4292">
        <f>IF(AND(LEFT(D4292,4)+1=LEFT(' Pivot Tables'!$A$4,4)+0,RIGHT(LEFT(D4292,7),2)=RIGHT(LEFT(' Pivot Tables'!$A$4,7),2)),1,0)</f>
        <v>0</v>
      </c>
      <c r="Y4292" s="6">
        <f>1/COUNTIF(Таблица1[Order ID],Таблица1[[#This Row],[Order ID]])</f>
        <v>0.5</v>
      </c>
      <c r="Z4292" s="9">
        <f>1/COUNTIFS(Таблица1[Customer Name],Таблица1[[#This Row],[Customer Name]],Таблица1[Order-Year-Month],Таблица1[[#This Row],[Order-Year-Month]])</f>
        <v>0.5</v>
      </c>
    </row>
    <row r="4293" spans="1:26" x14ac:dyDescent="0.2">
      <c r="A4293" s="6">
        <v>1096</v>
      </c>
      <c r="B4293" s="7">
        <v>8035</v>
      </c>
      <c r="C4293" s="8">
        <f>DATE(2012,12,31)-305</f>
        <v>40969</v>
      </c>
      <c r="D4293" s="8" t="str">
        <f t="shared" si="80"/>
        <v>2012-03 (март 2012)</v>
      </c>
      <c r="E4293" s="9" t="s">
        <v>63</v>
      </c>
      <c r="F4293" s="7">
        <v>7</v>
      </c>
      <c r="G4293" s="7">
        <v>104.38</v>
      </c>
      <c r="H4293" s="7">
        <v>7.0000000000000007E-2</v>
      </c>
      <c r="I4293" s="9" t="s">
        <v>22</v>
      </c>
      <c r="J4293" s="10">
        <v>-24.2</v>
      </c>
      <c r="K4293" s="11">
        <v>14.42</v>
      </c>
      <c r="L4293" s="11">
        <v>6.75</v>
      </c>
      <c r="M4293" s="9" t="s">
        <v>1784</v>
      </c>
      <c r="N4293" s="6" t="s">
        <v>1123</v>
      </c>
      <c r="O4293" s="6" t="s">
        <v>1123</v>
      </c>
      <c r="P4293" s="9" t="s">
        <v>41</v>
      </c>
      <c r="Q4293" s="9" t="s">
        <v>26</v>
      </c>
      <c r="R4293" s="9" t="s">
        <v>34</v>
      </c>
      <c r="S4293" s="7" t="s">
        <v>1036</v>
      </c>
      <c r="T4293" s="9" t="s">
        <v>48</v>
      </c>
      <c r="U4293" s="7">
        <v>0.52</v>
      </c>
      <c r="V4293" s="12">
        <f>C4293+2</f>
        <v>40971</v>
      </c>
      <c r="W4293">
        <f>IF(D4293=' Pivot Tables'!$A$4,1,0)</f>
        <v>0</v>
      </c>
      <c r="X4293">
        <f>IF(AND(LEFT(D4293,4)+1=LEFT(' Pivot Tables'!$A$4,4)+0,RIGHT(LEFT(D4293,7),2)=RIGHT(LEFT(' Pivot Tables'!$A$4,7),2)),1,0)</f>
        <v>0</v>
      </c>
      <c r="Y4293" s="6">
        <f>1/COUNTIF(Таблица1[Order ID],Таблица1[[#This Row],[Order ID]])</f>
        <v>1</v>
      </c>
      <c r="Z4293" s="9">
        <f>1/COUNTIFS(Таблица1[Customer Name],Таблица1[[#This Row],[Customer Name]],Таблица1[Order-Year-Month],Таблица1[[#This Row],[Order-Year-Month]])</f>
        <v>0.33333333333333331</v>
      </c>
    </row>
    <row r="4294" spans="1:26" x14ac:dyDescent="0.2">
      <c r="A4294" s="6">
        <v>1220</v>
      </c>
      <c r="B4294" s="7">
        <v>8961</v>
      </c>
      <c r="C4294" s="8">
        <f>DATE(2012,12,31)-552</f>
        <v>40722</v>
      </c>
      <c r="D4294" s="8" t="str">
        <f t="shared" si="80"/>
        <v>2011-06 (июнь 2011)</v>
      </c>
      <c r="E4294" s="9" t="s">
        <v>21</v>
      </c>
      <c r="F4294" s="7">
        <v>15</v>
      </c>
      <c r="G4294" s="7">
        <v>627.69000000000005</v>
      </c>
      <c r="H4294" s="7">
        <v>0</v>
      </c>
      <c r="I4294" s="9" t="s">
        <v>22</v>
      </c>
      <c r="J4294" s="10">
        <v>-12.02</v>
      </c>
      <c r="K4294" s="11">
        <v>39.979999999999997</v>
      </c>
      <c r="L4294" s="11">
        <v>4</v>
      </c>
      <c r="M4294" s="9" t="s">
        <v>1785</v>
      </c>
      <c r="N4294" s="6" t="s">
        <v>1123</v>
      </c>
      <c r="O4294" s="6" t="s">
        <v>1123</v>
      </c>
      <c r="P4294" s="9" t="s">
        <v>25</v>
      </c>
      <c r="Q4294" s="9" t="s">
        <v>42</v>
      </c>
      <c r="R4294" s="9" t="s">
        <v>70</v>
      </c>
      <c r="S4294" s="7" t="s">
        <v>906</v>
      </c>
      <c r="T4294" s="9" t="s">
        <v>39</v>
      </c>
      <c r="U4294" s="7">
        <v>0.7</v>
      </c>
      <c r="V4294" s="12">
        <f>C4294+5</f>
        <v>40727</v>
      </c>
      <c r="W4294">
        <f>IF(D4294=' Pivot Tables'!$A$4,1,0)</f>
        <v>0</v>
      </c>
      <c r="X4294">
        <f>IF(AND(LEFT(D4294,4)+1=LEFT(' Pivot Tables'!$A$4,4)+0,RIGHT(LEFT(D4294,7),2)=RIGHT(LEFT(' Pivot Tables'!$A$4,7),2)),1,0)</f>
        <v>0</v>
      </c>
      <c r="Y4294" s="6">
        <f>1/COUNTIF(Таблица1[Order ID],Таблица1[[#This Row],[Order ID]])</f>
        <v>0.5</v>
      </c>
      <c r="Z4294" s="9">
        <f>1/COUNTIFS(Таблица1[Customer Name],Таблица1[[#This Row],[Customer Name]],Таблица1[Order-Year-Month],Таблица1[[#This Row],[Order-Year-Month]])</f>
        <v>0.5</v>
      </c>
    </row>
    <row r="4295" spans="1:26" x14ac:dyDescent="0.2">
      <c r="A4295" s="6">
        <v>1311</v>
      </c>
      <c r="B4295" s="7">
        <v>9606</v>
      </c>
      <c r="C4295" s="8">
        <f>DATE(2012,12,31)-1253</f>
        <v>40021</v>
      </c>
      <c r="D4295" s="8" t="str">
        <f t="shared" si="80"/>
        <v>2009-07 (июль 2009)</v>
      </c>
      <c r="E4295" s="9" t="s">
        <v>45</v>
      </c>
      <c r="F4295" s="7">
        <v>39</v>
      </c>
      <c r="G4295" s="7">
        <v>493.26</v>
      </c>
      <c r="H4295" s="7">
        <v>0.02</v>
      </c>
      <c r="I4295" s="9" t="s">
        <v>22</v>
      </c>
      <c r="J4295" s="10">
        <v>263.39999999999998</v>
      </c>
      <c r="K4295" s="11">
        <v>12.53</v>
      </c>
      <c r="L4295" s="11">
        <v>0.49</v>
      </c>
      <c r="M4295" s="9" t="s">
        <v>1777</v>
      </c>
      <c r="N4295" s="6" t="s">
        <v>1123</v>
      </c>
      <c r="O4295" s="6" t="s">
        <v>1123</v>
      </c>
      <c r="P4295" s="9" t="s">
        <v>25</v>
      </c>
      <c r="Q4295" s="9" t="s">
        <v>26</v>
      </c>
      <c r="R4295" s="9" t="s">
        <v>88</v>
      </c>
      <c r="S4295" s="7" t="s">
        <v>1786</v>
      </c>
      <c r="T4295" s="9" t="s">
        <v>39</v>
      </c>
      <c r="U4295" s="7">
        <v>0.38</v>
      </c>
      <c r="V4295" s="12">
        <f>C4295+0</f>
        <v>40021</v>
      </c>
      <c r="W4295">
        <f>IF(D4295=' Pivot Tables'!$A$4,1,0)</f>
        <v>0</v>
      </c>
      <c r="X4295">
        <f>IF(AND(LEFT(D4295,4)+1=LEFT(' Pivot Tables'!$A$4,4)+0,RIGHT(LEFT(D4295,7),2)=RIGHT(LEFT(' Pivot Tables'!$A$4,7),2)),1,0)</f>
        <v>0</v>
      </c>
      <c r="Y4295" s="6">
        <f>1/COUNTIF(Таблица1[Order ID],Таблица1[[#This Row],[Order ID]])</f>
        <v>0.5</v>
      </c>
      <c r="Z4295" s="9">
        <f>1/COUNTIFS(Таблица1[Customer Name],Таблица1[[#This Row],[Customer Name]],Таблица1[Order-Year-Month],Таблица1[[#This Row],[Order-Year-Month]])</f>
        <v>0.25</v>
      </c>
    </row>
    <row r="4296" spans="1:26" x14ac:dyDescent="0.2">
      <c r="A4296" s="6">
        <v>1312</v>
      </c>
      <c r="B4296" s="7">
        <v>9606</v>
      </c>
      <c r="C4296" s="8">
        <f>DATE(2012,12,31)-1253</f>
        <v>40021</v>
      </c>
      <c r="D4296" s="8" t="str">
        <f t="shared" si="80"/>
        <v>2009-07 (июль 2009)</v>
      </c>
      <c r="E4296" s="9" t="s">
        <v>45</v>
      </c>
      <c r="F4296" s="7">
        <v>37</v>
      </c>
      <c r="G4296" s="7">
        <v>192.15</v>
      </c>
      <c r="H4296" s="7">
        <v>7.0000000000000007E-2</v>
      </c>
      <c r="I4296" s="9" t="s">
        <v>56</v>
      </c>
      <c r="J4296" s="10">
        <v>37.31</v>
      </c>
      <c r="K4296" s="11">
        <v>5.18</v>
      </c>
      <c r="L4296" s="11">
        <v>2.04</v>
      </c>
      <c r="M4296" s="9" t="s">
        <v>1777</v>
      </c>
      <c r="N4296" s="6" t="s">
        <v>1123</v>
      </c>
      <c r="O4296" s="6" t="s">
        <v>1123</v>
      </c>
      <c r="P4296" s="9" t="s">
        <v>25</v>
      </c>
      <c r="Q4296" s="9" t="s">
        <v>26</v>
      </c>
      <c r="R4296" s="9" t="s">
        <v>61</v>
      </c>
      <c r="S4296" s="7" t="s">
        <v>391</v>
      </c>
      <c r="T4296" s="9" t="s">
        <v>68</v>
      </c>
      <c r="U4296" s="7">
        <v>0.36</v>
      </c>
      <c r="V4296" s="12">
        <f>C4296+2</f>
        <v>40023</v>
      </c>
      <c r="W4296">
        <f>IF(D4296=' Pivot Tables'!$A$4,1,0)</f>
        <v>0</v>
      </c>
      <c r="X4296">
        <f>IF(AND(LEFT(D4296,4)+1=LEFT(' Pivot Tables'!$A$4,4)+0,RIGHT(LEFT(D4296,7),2)=RIGHT(LEFT(' Pivot Tables'!$A$4,7),2)),1,0)</f>
        <v>0</v>
      </c>
      <c r="Y4296" s="6">
        <f>1/COUNTIF(Таблица1[Order ID],Таблица1[[#This Row],[Order ID]])</f>
        <v>0.5</v>
      </c>
      <c r="Z4296" s="9">
        <f>1/COUNTIFS(Таблица1[Customer Name],Таблица1[[#This Row],[Customer Name]],Таблица1[Order-Year-Month],Таблица1[[#This Row],[Order-Year-Month]])</f>
        <v>0.25</v>
      </c>
    </row>
    <row r="4297" spans="1:26" x14ac:dyDescent="0.2">
      <c r="A4297" s="6">
        <v>1348</v>
      </c>
      <c r="B4297" s="7">
        <v>9857</v>
      </c>
      <c r="C4297" s="8">
        <f>DATE(2012,12,31)-965</f>
        <v>40309</v>
      </c>
      <c r="D4297" s="8" t="str">
        <f t="shared" si="80"/>
        <v>2010-05 (май 2010)</v>
      </c>
      <c r="E4297" s="9" t="s">
        <v>30</v>
      </c>
      <c r="F4297" s="7">
        <v>16</v>
      </c>
      <c r="G4297" s="7">
        <v>2366.1799999999998</v>
      </c>
      <c r="H4297" s="7">
        <v>0.1</v>
      </c>
      <c r="I4297" s="9" t="s">
        <v>22</v>
      </c>
      <c r="J4297" s="10">
        <v>703.8</v>
      </c>
      <c r="K4297" s="11">
        <v>162.93</v>
      </c>
      <c r="L4297" s="11">
        <v>19.989999999999998</v>
      </c>
      <c r="M4297" s="9" t="s">
        <v>1787</v>
      </c>
      <c r="N4297" s="6" t="s">
        <v>1123</v>
      </c>
      <c r="O4297" s="6" t="s">
        <v>1123</v>
      </c>
      <c r="P4297" s="9" t="s">
        <v>60</v>
      </c>
      <c r="Q4297" s="9" t="s">
        <v>26</v>
      </c>
      <c r="R4297" s="9" t="s">
        <v>76</v>
      </c>
      <c r="S4297" s="7" t="s">
        <v>449</v>
      </c>
      <c r="T4297" s="9" t="s">
        <v>39</v>
      </c>
      <c r="U4297" s="7">
        <v>0.39</v>
      </c>
      <c r="V4297" s="12">
        <f>C4297+2</f>
        <v>40311</v>
      </c>
      <c r="W4297">
        <f>IF(D4297=' Pivot Tables'!$A$4,1,0)</f>
        <v>0</v>
      </c>
      <c r="X4297">
        <f>IF(AND(LEFT(D4297,4)+1=LEFT(' Pivot Tables'!$A$4,4)+0,RIGHT(LEFT(D4297,7),2)=RIGHT(LEFT(' Pivot Tables'!$A$4,7),2)),1,0)</f>
        <v>0</v>
      </c>
      <c r="Y4297" s="6">
        <f>1/COUNTIF(Таблица1[Order ID],Таблица1[[#This Row],[Order ID]])</f>
        <v>0.25</v>
      </c>
      <c r="Z4297" s="9">
        <f>1/COUNTIFS(Таблица1[Customer Name],Таблица1[[#This Row],[Customer Name]],Таблица1[Order-Year-Month],Таблица1[[#This Row],[Order-Year-Month]])</f>
        <v>0.25</v>
      </c>
    </row>
    <row r="4298" spans="1:26" x14ac:dyDescent="0.2">
      <c r="A4298" s="6">
        <v>1349</v>
      </c>
      <c r="B4298" s="7">
        <v>9857</v>
      </c>
      <c r="C4298" s="8">
        <f>DATE(2012,12,31)-965</f>
        <v>40309</v>
      </c>
      <c r="D4298" s="8" t="str">
        <f t="shared" si="80"/>
        <v>2010-05 (май 2010)</v>
      </c>
      <c r="E4298" s="9" t="s">
        <v>30</v>
      </c>
      <c r="F4298" s="7">
        <v>49</v>
      </c>
      <c r="G4298" s="7">
        <v>675.71</v>
      </c>
      <c r="H4298" s="7">
        <v>0.06</v>
      </c>
      <c r="I4298" s="9" t="s">
        <v>22</v>
      </c>
      <c r="J4298" s="10">
        <v>-17.489999999999998</v>
      </c>
      <c r="K4298" s="11">
        <v>13.79</v>
      </c>
      <c r="L4298" s="11">
        <v>8.7799999999999994</v>
      </c>
      <c r="M4298" s="9" t="s">
        <v>1787</v>
      </c>
      <c r="N4298" s="6" t="s">
        <v>1123</v>
      </c>
      <c r="O4298" s="6" t="s">
        <v>1123</v>
      </c>
      <c r="P4298" s="9" t="s">
        <v>60</v>
      </c>
      <c r="Q4298" s="9" t="s">
        <v>49</v>
      </c>
      <c r="R4298" s="9" t="s">
        <v>50</v>
      </c>
      <c r="S4298" s="7" t="s">
        <v>641</v>
      </c>
      <c r="T4298" s="9" t="s">
        <v>39</v>
      </c>
      <c r="U4298" s="7">
        <v>0.43</v>
      </c>
      <c r="V4298" s="12">
        <f>C4298+0</f>
        <v>40309</v>
      </c>
      <c r="W4298">
        <f>IF(D4298=' Pivot Tables'!$A$4,1,0)</f>
        <v>0</v>
      </c>
      <c r="X4298">
        <f>IF(AND(LEFT(D4298,4)+1=LEFT(' Pivot Tables'!$A$4,4)+0,RIGHT(LEFT(D4298,7),2)=RIGHT(LEFT(' Pivot Tables'!$A$4,7),2)),1,0)</f>
        <v>0</v>
      </c>
      <c r="Y4298" s="6">
        <f>1/COUNTIF(Таблица1[Order ID],Таблица1[[#This Row],[Order ID]])</f>
        <v>0.25</v>
      </c>
      <c r="Z4298" s="9">
        <f>1/COUNTIFS(Таблица1[Customer Name],Таблица1[[#This Row],[Customer Name]],Таблица1[Order-Year-Month],Таблица1[[#This Row],[Order-Year-Month]])</f>
        <v>0.25</v>
      </c>
    </row>
    <row r="4299" spans="1:26" x14ac:dyDescent="0.2">
      <c r="A4299" s="6">
        <v>1350</v>
      </c>
      <c r="B4299" s="7">
        <v>9857</v>
      </c>
      <c r="C4299" s="8">
        <f>DATE(2012,12,31)-965</f>
        <v>40309</v>
      </c>
      <c r="D4299" s="8" t="str">
        <f t="shared" si="80"/>
        <v>2010-05 (май 2010)</v>
      </c>
      <c r="E4299" s="9" t="s">
        <v>30</v>
      </c>
      <c r="F4299" s="7">
        <v>16</v>
      </c>
      <c r="G4299" s="7">
        <v>292.97800000000001</v>
      </c>
      <c r="H4299" s="7">
        <v>0.05</v>
      </c>
      <c r="I4299" s="9" t="s">
        <v>22</v>
      </c>
      <c r="J4299" s="10">
        <v>-93.61</v>
      </c>
      <c r="K4299" s="11">
        <v>20.99</v>
      </c>
      <c r="L4299" s="11">
        <v>3.3</v>
      </c>
      <c r="M4299" s="9" t="s">
        <v>1787</v>
      </c>
      <c r="N4299" s="6" t="s">
        <v>1123</v>
      </c>
      <c r="O4299" s="6" t="s">
        <v>1123</v>
      </c>
      <c r="P4299" s="9" t="s">
        <v>60</v>
      </c>
      <c r="Q4299" s="9" t="s">
        <v>42</v>
      </c>
      <c r="R4299" s="9" t="s">
        <v>43</v>
      </c>
      <c r="S4299" s="7" t="s">
        <v>295</v>
      </c>
      <c r="T4299" s="9" t="s">
        <v>52</v>
      </c>
      <c r="U4299" s="7">
        <v>0.81</v>
      </c>
      <c r="V4299" s="12">
        <f>C4299+2</f>
        <v>40311</v>
      </c>
      <c r="W4299">
        <f>IF(D4299=' Pivot Tables'!$A$4,1,0)</f>
        <v>0</v>
      </c>
      <c r="X4299">
        <f>IF(AND(LEFT(D4299,4)+1=LEFT(' Pivot Tables'!$A$4,4)+0,RIGHT(LEFT(D4299,7),2)=RIGHT(LEFT(' Pivot Tables'!$A$4,7),2)),1,0)</f>
        <v>0</v>
      </c>
      <c r="Y4299" s="6">
        <f>1/COUNTIF(Таблица1[Order ID],Таблица1[[#This Row],[Order ID]])</f>
        <v>0.25</v>
      </c>
      <c r="Z4299" s="9">
        <f>1/COUNTIFS(Таблица1[Customer Name],Таблица1[[#This Row],[Customer Name]],Таблица1[Order-Year-Month],Таблица1[[#This Row],[Order-Year-Month]])</f>
        <v>0.25</v>
      </c>
    </row>
    <row r="4300" spans="1:26" x14ac:dyDescent="0.2">
      <c r="A4300" s="6">
        <v>1502</v>
      </c>
      <c r="B4300" s="7">
        <v>10851</v>
      </c>
      <c r="C4300" s="8">
        <f>DATE(2012,12,31)-1365</f>
        <v>39909</v>
      </c>
      <c r="D4300" s="8" t="str">
        <f t="shared" si="80"/>
        <v>2009-04 (апрель 2009)</v>
      </c>
      <c r="E4300" s="9" t="s">
        <v>30</v>
      </c>
      <c r="F4300" s="7">
        <v>14</v>
      </c>
      <c r="G4300" s="7">
        <v>570.52850000000001</v>
      </c>
      <c r="H4300" s="7">
        <v>0.02</v>
      </c>
      <c r="I4300" s="9" t="s">
        <v>56</v>
      </c>
      <c r="J4300" s="10">
        <v>3.96</v>
      </c>
      <c r="K4300" s="11">
        <v>45.99</v>
      </c>
      <c r="L4300" s="11">
        <v>4.99</v>
      </c>
      <c r="M4300" s="9" t="s">
        <v>556</v>
      </c>
      <c r="N4300" s="6" t="s">
        <v>1123</v>
      </c>
      <c r="O4300" s="6" t="s">
        <v>1123</v>
      </c>
      <c r="P4300" s="9" t="s">
        <v>33</v>
      </c>
      <c r="Q4300" s="9" t="s">
        <v>42</v>
      </c>
      <c r="R4300" s="9" t="s">
        <v>43</v>
      </c>
      <c r="S4300" s="7" t="s">
        <v>1325</v>
      </c>
      <c r="T4300" s="9" t="s">
        <v>39</v>
      </c>
      <c r="U4300" s="7">
        <v>0.56999999999999995</v>
      </c>
      <c r="V4300" s="12">
        <f>C4300+1</f>
        <v>39910</v>
      </c>
      <c r="W4300">
        <f>IF(D4300=' Pivot Tables'!$A$4,1,0)</f>
        <v>0</v>
      </c>
      <c r="X4300">
        <f>IF(AND(LEFT(D4300,4)+1=LEFT(' Pivot Tables'!$A$4,4)+0,RIGHT(LEFT(D4300,7),2)=RIGHT(LEFT(' Pivot Tables'!$A$4,7),2)),1,0)</f>
        <v>0</v>
      </c>
      <c r="Y4300" s="6">
        <f>1/COUNTIF(Таблица1[Order ID],Таблица1[[#This Row],[Order ID]])</f>
        <v>0.5</v>
      </c>
      <c r="Z4300" s="9">
        <f>1/COUNTIFS(Таблица1[Customer Name],Таблица1[[#This Row],[Customer Name]],Таблица1[Order-Year-Month],Таблица1[[#This Row],[Order-Year-Month]])</f>
        <v>0.5</v>
      </c>
    </row>
    <row r="4301" spans="1:26" x14ac:dyDescent="0.2">
      <c r="A4301" s="6">
        <v>1554</v>
      </c>
      <c r="B4301" s="7">
        <v>11233</v>
      </c>
      <c r="C4301" s="8">
        <f>DATE(2012,12,31)-489</f>
        <v>40785</v>
      </c>
      <c r="D4301" s="8" t="str">
        <f t="shared" si="80"/>
        <v>2011-08 (август 2011)</v>
      </c>
      <c r="E4301" s="9" t="s">
        <v>45</v>
      </c>
      <c r="F4301" s="7">
        <v>25</v>
      </c>
      <c r="G4301" s="7">
        <v>276.5</v>
      </c>
      <c r="H4301" s="7">
        <v>0.02</v>
      </c>
      <c r="I4301" s="9" t="s">
        <v>22</v>
      </c>
      <c r="J4301" s="10">
        <v>35.72</v>
      </c>
      <c r="K4301" s="11">
        <v>10.98</v>
      </c>
      <c r="L4301" s="11">
        <v>4.8</v>
      </c>
      <c r="M4301" s="9" t="s">
        <v>1788</v>
      </c>
      <c r="N4301" s="6" t="s">
        <v>1123</v>
      </c>
      <c r="O4301" s="6" t="s">
        <v>1123</v>
      </c>
      <c r="P4301" s="9" t="s">
        <v>41</v>
      </c>
      <c r="Q4301" s="9" t="s">
        <v>26</v>
      </c>
      <c r="R4301" s="9" t="s">
        <v>76</v>
      </c>
      <c r="S4301" s="7" t="s">
        <v>546</v>
      </c>
      <c r="T4301" s="9" t="s">
        <v>39</v>
      </c>
      <c r="U4301" s="7">
        <v>0.36</v>
      </c>
      <c r="V4301" s="12">
        <f>C4301+2</f>
        <v>40787</v>
      </c>
      <c r="W4301">
        <f>IF(D4301=' Pivot Tables'!$A$4,1,0)</f>
        <v>0</v>
      </c>
      <c r="X4301">
        <f>IF(AND(LEFT(D4301,4)+1=LEFT(' Pivot Tables'!$A$4,4)+0,RIGHT(LEFT(D4301,7),2)=RIGHT(LEFT(' Pivot Tables'!$A$4,7),2)),1,0)</f>
        <v>0</v>
      </c>
      <c r="Y4301" s="6">
        <f>1/COUNTIF(Таблица1[Order ID],Таблица1[[#This Row],[Order ID]])</f>
        <v>1</v>
      </c>
      <c r="Z4301" s="9">
        <f>1/COUNTIFS(Таблица1[Customer Name],Таблица1[[#This Row],[Customer Name]],Таблица1[Order-Year-Month],Таблица1[[#This Row],[Order-Year-Month]])</f>
        <v>1</v>
      </c>
    </row>
    <row r="4302" spans="1:26" x14ac:dyDescent="0.2">
      <c r="A4302" s="6">
        <v>1593</v>
      </c>
      <c r="B4302" s="7">
        <v>11493</v>
      </c>
      <c r="C4302" s="8">
        <f>DATE(2012,12,31)-438</f>
        <v>40836</v>
      </c>
      <c r="D4302" s="8" t="str">
        <f t="shared" si="80"/>
        <v>2011-10 (октябрь 2011)</v>
      </c>
      <c r="E4302" s="9" t="s">
        <v>78</v>
      </c>
      <c r="F4302" s="7">
        <v>16</v>
      </c>
      <c r="G4302" s="7">
        <v>111.9</v>
      </c>
      <c r="H4302" s="7">
        <v>0.01</v>
      </c>
      <c r="I4302" s="9" t="s">
        <v>22</v>
      </c>
      <c r="J4302" s="10">
        <v>38.03</v>
      </c>
      <c r="K4302" s="11">
        <v>6.47</v>
      </c>
      <c r="L4302" s="11">
        <v>1.22</v>
      </c>
      <c r="M4302" s="9" t="s">
        <v>818</v>
      </c>
      <c r="N4302" s="6" t="s">
        <v>1123</v>
      </c>
      <c r="O4302" s="6" t="s">
        <v>1123</v>
      </c>
      <c r="P4302" s="9" t="s">
        <v>25</v>
      </c>
      <c r="Q4302" s="9" t="s">
        <v>26</v>
      </c>
      <c r="R4302" s="9" t="s">
        <v>95</v>
      </c>
      <c r="S4302" s="7" t="s">
        <v>491</v>
      </c>
      <c r="T4302" s="9" t="s">
        <v>68</v>
      </c>
      <c r="U4302" s="7">
        <v>0.4</v>
      </c>
      <c r="V4302" s="12">
        <f>C4302+2</f>
        <v>40838</v>
      </c>
      <c r="W4302">
        <f>IF(D4302=' Pivot Tables'!$A$4,1,0)</f>
        <v>0</v>
      </c>
      <c r="X4302">
        <f>IF(AND(LEFT(D4302,4)+1=LEFT(' Pivot Tables'!$A$4,4)+0,RIGHT(LEFT(D4302,7),2)=RIGHT(LEFT(' Pivot Tables'!$A$4,7),2)),1,0)</f>
        <v>0</v>
      </c>
      <c r="Y4302" s="6">
        <f>1/COUNTIF(Таблица1[Order ID],Таблица1[[#This Row],[Order ID]])</f>
        <v>1</v>
      </c>
      <c r="Z4302" s="9">
        <f>1/COUNTIFS(Таблица1[Customer Name],Таблица1[[#This Row],[Customer Name]],Таблица1[Order-Year-Month],Таблица1[[#This Row],[Order-Year-Month]])</f>
        <v>1</v>
      </c>
    </row>
    <row r="4303" spans="1:26" x14ac:dyDescent="0.2">
      <c r="A4303" s="6">
        <v>1614</v>
      </c>
      <c r="B4303" s="7">
        <v>11684</v>
      </c>
      <c r="C4303" s="8">
        <f>DATE(2012,12,31)-157</f>
        <v>41117</v>
      </c>
      <c r="D4303" s="8" t="str">
        <f t="shared" si="80"/>
        <v>2012-07 (июль 2012)</v>
      </c>
      <c r="E4303" s="9" t="s">
        <v>30</v>
      </c>
      <c r="F4303" s="7">
        <v>8</v>
      </c>
      <c r="G4303" s="7">
        <v>1173.5</v>
      </c>
      <c r="H4303" s="7">
        <v>0</v>
      </c>
      <c r="I4303" s="9" t="s">
        <v>22</v>
      </c>
      <c r="J4303" s="10">
        <v>53.87</v>
      </c>
      <c r="K4303" s="11">
        <v>140.81</v>
      </c>
      <c r="L4303" s="11">
        <v>24.49</v>
      </c>
      <c r="M4303" s="9" t="s">
        <v>556</v>
      </c>
      <c r="N4303" s="6" t="s">
        <v>1123</v>
      </c>
      <c r="O4303" s="6" t="s">
        <v>1123</v>
      </c>
      <c r="P4303" s="9" t="s">
        <v>33</v>
      </c>
      <c r="Q4303" s="9" t="s">
        <v>49</v>
      </c>
      <c r="R4303" s="9" t="s">
        <v>112</v>
      </c>
      <c r="S4303" s="7" t="s">
        <v>314</v>
      </c>
      <c r="T4303" s="9" t="s">
        <v>29</v>
      </c>
      <c r="U4303" s="7">
        <v>0.56999999999999995</v>
      </c>
      <c r="V4303" s="12">
        <f>C4303+2</f>
        <v>41119</v>
      </c>
      <c r="W4303">
        <f>IF(D4303=' Pivot Tables'!$A$4,1,0)</f>
        <v>0</v>
      </c>
      <c r="X4303">
        <f>IF(AND(LEFT(D4303,4)+1=LEFT(' Pivot Tables'!$A$4,4)+0,RIGHT(LEFT(D4303,7),2)=RIGHT(LEFT(' Pivot Tables'!$A$4,7),2)),1,0)</f>
        <v>0</v>
      </c>
      <c r="Y4303" s="6">
        <f>1/COUNTIF(Таблица1[Order ID],Таблица1[[#This Row],[Order ID]])</f>
        <v>1</v>
      </c>
      <c r="Z4303" s="9">
        <f>1/COUNTIFS(Таблица1[Customer Name],Таблица1[[#This Row],[Customer Name]],Таблица1[Order-Year-Month],Таблица1[[#This Row],[Order-Year-Month]])</f>
        <v>1</v>
      </c>
    </row>
    <row r="4304" spans="1:26" x14ac:dyDescent="0.2">
      <c r="A4304" s="6">
        <v>1664</v>
      </c>
      <c r="B4304" s="7">
        <v>11975</v>
      </c>
      <c r="C4304" s="8">
        <f>DATE(2012,12,31)-628</f>
        <v>40646</v>
      </c>
      <c r="D4304" s="8" t="str">
        <f t="shared" si="80"/>
        <v>2011-04 (апрель 2011)</v>
      </c>
      <c r="E4304" s="9" t="s">
        <v>78</v>
      </c>
      <c r="F4304" s="7">
        <v>43</v>
      </c>
      <c r="G4304" s="7">
        <v>210.66</v>
      </c>
      <c r="H4304" s="7">
        <v>0.08</v>
      </c>
      <c r="I4304" s="9" t="s">
        <v>22</v>
      </c>
      <c r="J4304" s="10">
        <v>-145.7165</v>
      </c>
      <c r="K4304" s="11">
        <v>5.18</v>
      </c>
      <c r="L4304" s="11">
        <v>5.74</v>
      </c>
      <c r="M4304" s="9" t="s">
        <v>1779</v>
      </c>
      <c r="N4304" s="6" t="s">
        <v>1123</v>
      </c>
      <c r="O4304" s="6" t="s">
        <v>1123</v>
      </c>
      <c r="P4304" s="9" t="s">
        <v>60</v>
      </c>
      <c r="Q4304" s="9" t="s">
        <v>26</v>
      </c>
      <c r="R4304" s="9" t="s">
        <v>37</v>
      </c>
      <c r="S4304" s="7" t="s">
        <v>606</v>
      </c>
      <c r="T4304" s="9" t="s">
        <v>39</v>
      </c>
      <c r="U4304" s="7">
        <v>0.36</v>
      </c>
      <c r="V4304" s="12">
        <f>C4304+2</f>
        <v>40648</v>
      </c>
      <c r="W4304">
        <f>IF(D4304=' Pivot Tables'!$A$4,1,0)</f>
        <v>0</v>
      </c>
      <c r="X4304">
        <f>IF(AND(LEFT(D4304,4)+1=LEFT(' Pivot Tables'!$A$4,4)+0,RIGHT(LEFT(D4304,7),2)=RIGHT(LEFT(' Pivot Tables'!$A$4,7),2)),1,0)</f>
        <v>0</v>
      </c>
      <c r="Y4304" s="6">
        <f>1/COUNTIF(Таблица1[Order ID],Таблица1[[#This Row],[Order ID]])</f>
        <v>1</v>
      </c>
      <c r="Z4304" s="9">
        <f>1/COUNTIFS(Таблица1[Customer Name],Таблица1[[#This Row],[Customer Name]],Таблица1[Order-Year-Month],Таблица1[[#This Row],[Order-Year-Month]])</f>
        <v>1</v>
      </c>
    </row>
    <row r="4305" spans="1:26" x14ac:dyDescent="0.2">
      <c r="A4305" s="6">
        <v>1878</v>
      </c>
      <c r="B4305" s="7">
        <v>13537</v>
      </c>
      <c r="C4305" s="8">
        <f>DATE(2012,12,31)-946</f>
        <v>40328</v>
      </c>
      <c r="D4305" s="8" t="str">
        <f t="shared" si="80"/>
        <v>2010-05 (май 2010)</v>
      </c>
      <c r="E4305" s="9" t="s">
        <v>21</v>
      </c>
      <c r="F4305" s="7">
        <v>41</v>
      </c>
      <c r="G4305" s="7">
        <v>316.61</v>
      </c>
      <c r="H4305" s="7">
        <v>0.03</v>
      </c>
      <c r="I4305" s="9" t="s">
        <v>22</v>
      </c>
      <c r="J4305" s="10">
        <v>110.34</v>
      </c>
      <c r="K4305" s="11">
        <v>7.4</v>
      </c>
      <c r="L4305" s="11">
        <v>1.71</v>
      </c>
      <c r="M4305" s="9" t="s">
        <v>1385</v>
      </c>
      <c r="N4305" s="6" t="s">
        <v>1123</v>
      </c>
      <c r="O4305" s="6" t="s">
        <v>1123</v>
      </c>
      <c r="P4305" s="9" t="s">
        <v>60</v>
      </c>
      <c r="Q4305" s="9" t="s">
        <v>26</v>
      </c>
      <c r="R4305" s="9" t="s">
        <v>61</v>
      </c>
      <c r="S4305" s="7" t="s">
        <v>864</v>
      </c>
      <c r="T4305" s="9" t="s">
        <v>68</v>
      </c>
      <c r="U4305" s="7">
        <v>0.4</v>
      </c>
      <c r="V4305" s="12">
        <f>C4305+2</f>
        <v>40330</v>
      </c>
      <c r="W4305">
        <f>IF(D4305=' Pivot Tables'!$A$4,1,0)</f>
        <v>0</v>
      </c>
      <c r="X4305">
        <f>IF(AND(LEFT(D4305,4)+1=LEFT(' Pivot Tables'!$A$4,4)+0,RIGHT(LEFT(D4305,7),2)=RIGHT(LEFT(' Pivot Tables'!$A$4,7),2)),1,0)</f>
        <v>0</v>
      </c>
      <c r="Y4305" s="6">
        <f>1/COUNTIF(Таблица1[Order ID],Таблица1[[#This Row],[Order ID]])</f>
        <v>1</v>
      </c>
      <c r="Z4305" s="9">
        <f>1/COUNTIFS(Таблица1[Customer Name],Таблица1[[#This Row],[Customer Name]],Таблица1[Order-Year-Month],Таблица1[[#This Row],[Order-Year-Month]])</f>
        <v>0.33333333333333331</v>
      </c>
    </row>
    <row r="4306" spans="1:26" x14ac:dyDescent="0.2">
      <c r="A4306" s="6">
        <v>1912</v>
      </c>
      <c r="B4306" s="7">
        <v>13670</v>
      </c>
      <c r="C4306" s="8">
        <f>DATE(2012,12,31)-222</f>
        <v>41052</v>
      </c>
      <c r="D4306" s="8" t="str">
        <f t="shared" si="80"/>
        <v>2012-05 (май 2012)</v>
      </c>
      <c r="E4306" s="9" t="s">
        <v>78</v>
      </c>
      <c r="F4306" s="7">
        <v>27</v>
      </c>
      <c r="G4306" s="7">
        <v>116.37</v>
      </c>
      <c r="H4306" s="7">
        <v>0.04</v>
      </c>
      <c r="I4306" s="9" t="s">
        <v>56</v>
      </c>
      <c r="J4306" s="10">
        <v>57.63</v>
      </c>
      <c r="K4306" s="11">
        <v>3.69</v>
      </c>
      <c r="L4306" s="11">
        <v>0.5</v>
      </c>
      <c r="M4306" s="9" t="s">
        <v>1782</v>
      </c>
      <c r="N4306" s="6" t="s">
        <v>1123</v>
      </c>
      <c r="O4306" s="6" t="s">
        <v>1123</v>
      </c>
      <c r="P4306" s="9" t="s">
        <v>60</v>
      </c>
      <c r="Q4306" s="9" t="s">
        <v>26</v>
      </c>
      <c r="R4306" s="9" t="s">
        <v>88</v>
      </c>
      <c r="S4306" s="7" t="s">
        <v>1445</v>
      </c>
      <c r="T4306" s="9" t="s">
        <v>39</v>
      </c>
      <c r="U4306" s="7">
        <v>0.38</v>
      </c>
      <c r="V4306" s="12">
        <f>C4306+3</f>
        <v>41055</v>
      </c>
      <c r="W4306">
        <f>IF(D4306=' Pivot Tables'!$A$4,1,0)</f>
        <v>0</v>
      </c>
      <c r="X4306">
        <f>IF(AND(LEFT(D4306,4)+1=LEFT(' Pivot Tables'!$A$4,4)+0,RIGHT(LEFT(D4306,7),2)=RIGHT(LEFT(' Pivot Tables'!$A$4,7),2)),1,0)</f>
        <v>0</v>
      </c>
      <c r="Y4306" s="6">
        <f>1/COUNTIF(Таблица1[Order ID],Таблица1[[#This Row],[Order ID]])</f>
        <v>1</v>
      </c>
      <c r="Z4306" s="9">
        <f>1/COUNTIFS(Таблица1[Customer Name],Таблица1[[#This Row],[Customer Name]],Таблица1[Order-Year-Month],Таблица1[[#This Row],[Order-Year-Month]])</f>
        <v>1</v>
      </c>
    </row>
    <row r="4307" spans="1:26" x14ac:dyDescent="0.2">
      <c r="A4307" s="6">
        <v>1922</v>
      </c>
      <c r="B4307" s="7">
        <v>13764</v>
      </c>
      <c r="C4307" s="8">
        <f>DATE(2012,12,31)-537</f>
        <v>40737</v>
      </c>
      <c r="D4307" s="8" t="str">
        <f t="shared" si="80"/>
        <v>2011-07 (июль 2011)</v>
      </c>
      <c r="E4307" s="9" t="s">
        <v>63</v>
      </c>
      <c r="F4307" s="7">
        <v>31</v>
      </c>
      <c r="G4307" s="7">
        <v>123.93</v>
      </c>
      <c r="H4307" s="7">
        <v>0.1</v>
      </c>
      <c r="I4307" s="9" t="s">
        <v>22</v>
      </c>
      <c r="J4307" s="10">
        <v>11.93</v>
      </c>
      <c r="K4307" s="11">
        <v>4.28</v>
      </c>
      <c r="L4307" s="11">
        <v>0.94</v>
      </c>
      <c r="M4307" s="9" t="s">
        <v>1778</v>
      </c>
      <c r="N4307" s="6" t="s">
        <v>1123</v>
      </c>
      <c r="O4307" s="6" t="s">
        <v>1123</v>
      </c>
      <c r="P4307" s="9" t="s">
        <v>60</v>
      </c>
      <c r="Q4307" s="9" t="s">
        <v>26</v>
      </c>
      <c r="R4307" s="9" t="s">
        <v>95</v>
      </c>
      <c r="S4307" s="7" t="s">
        <v>540</v>
      </c>
      <c r="T4307" s="9" t="s">
        <v>68</v>
      </c>
      <c r="U4307" s="7">
        <v>0.56000000000000005</v>
      </c>
      <c r="V4307" s="12">
        <f>C4307+1</f>
        <v>40738</v>
      </c>
      <c r="W4307">
        <f>IF(D4307=' Pivot Tables'!$A$4,1,0)</f>
        <v>0</v>
      </c>
      <c r="X4307">
        <f>IF(AND(LEFT(D4307,4)+1=LEFT(' Pivot Tables'!$A$4,4)+0,RIGHT(LEFT(D4307,7),2)=RIGHT(LEFT(' Pivot Tables'!$A$4,7),2)),1,0)</f>
        <v>0</v>
      </c>
      <c r="Y4307" s="6">
        <f>1/COUNTIF(Таблица1[Order ID],Таблица1[[#This Row],[Order ID]])</f>
        <v>1</v>
      </c>
      <c r="Z4307" s="9">
        <f>1/COUNTIFS(Таблица1[Customer Name],Таблица1[[#This Row],[Customer Name]],Таблица1[Order-Year-Month],Таблица1[[#This Row],[Order-Year-Month]])</f>
        <v>1</v>
      </c>
    </row>
    <row r="4308" spans="1:26" x14ac:dyDescent="0.2">
      <c r="A4308" s="6">
        <v>1948</v>
      </c>
      <c r="B4308" s="7">
        <v>13953</v>
      </c>
      <c r="C4308" s="8">
        <f>DATE(2012,12,31)-580</f>
        <v>40694</v>
      </c>
      <c r="D4308" s="8" t="str">
        <f t="shared" si="80"/>
        <v>2011-05 (май 2011)</v>
      </c>
      <c r="E4308" s="9" t="s">
        <v>78</v>
      </c>
      <c r="F4308" s="7">
        <v>32</v>
      </c>
      <c r="G4308" s="7">
        <v>381.24</v>
      </c>
      <c r="H4308" s="7">
        <v>0.04</v>
      </c>
      <c r="I4308" s="9" t="s">
        <v>22</v>
      </c>
      <c r="J4308" s="10">
        <v>67.599999999999994</v>
      </c>
      <c r="K4308" s="11">
        <v>11.34</v>
      </c>
      <c r="L4308" s="11">
        <v>5.01</v>
      </c>
      <c r="M4308" s="9" t="s">
        <v>556</v>
      </c>
      <c r="N4308" s="6" t="s">
        <v>1123</v>
      </c>
      <c r="O4308" s="6" t="s">
        <v>1123</v>
      </c>
      <c r="P4308" s="9" t="s">
        <v>33</v>
      </c>
      <c r="Q4308" s="9" t="s">
        <v>26</v>
      </c>
      <c r="R4308" s="9" t="s">
        <v>61</v>
      </c>
      <c r="S4308" s="7" t="s">
        <v>226</v>
      </c>
      <c r="T4308" s="9" t="s">
        <v>39</v>
      </c>
      <c r="U4308" s="7">
        <v>0.36</v>
      </c>
      <c r="V4308" s="12">
        <f>C4308+2</f>
        <v>40696</v>
      </c>
      <c r="W4308">
        <f>IF(D4308=' Pivot Tables'!$A$4,1,0)</f>
        <v>0</v>
      </c>
      <c r="X4308">
        <f>IF(AND(LEFT(D4308,4)+1=LEFT(' Pivot Tables'!$A$4,4)+0,RIGHT(LEFT(D4308,7),2)=RIGHT(LEFT(' Pivot Tables'!$A$4,7),2)),1,0)</f>
        <v>0</v>
      </c>
      <c r="Y4308" s="6">
        <f>1/COUNTIF(Таблица1[Order ID],Таблица1[[#This Row],[Order ID]])</f>
        <v>1</v>
      </c>
      <c r="Z4308" s="9">
        <f>1/COUNTIFS(Таблица1[Customer Name],Таблица1[[#This Row],[Customer Name]],Таблица1[Order-Year-Month],Таблица1[[#This Row],[Order-Year-Month]])</f>
        <v>1</v>
      </c>
    </row>
    <row r="4309" spans="1:26" x14ac:dyDescent="0.2">
      <c r="A4309" s="6">
        <v>1981</v>
      </c>
      <c r="B4309" s="7">
        <v>14119</v>
      </c>
      <c r="C4309" s="8">
        <f>DATE(2012,12,31)-945</f>
        <v>40329</v>
      </c>
      <c r="D4309" s="8" t="str">
        <f t="shared" si="80"/>
        <v>2010-05 (май 2010)</v>
      </c>
      <c r="E4309" s="9" t="s">
        <v>21</v>
      </c>
      <c r="F4309" s="7">
        <v>24</v>
      </c>
      <c r="G4309" s="7">
        <v>103.11</v>
      </c>
      <c r="H4309" s="7">
        <v>0.06</v>
      </c>
      <c r="I4309" s="9" t="s">
        <v>22</v>
      </c>
      <c r="J4309" s="10">
        <v>-95.41</v>
      </c>
      <c r="K4309" s="11">
        <v>4.18</v>
      </c>
      <c r="L4309" s="11">
        <v>6.92</v>
      </c>
      <c r="M4309" s="9" t="s">
        <v>1789</v>
      </c>
      <c r="N4309" s="6" t="s">
        <v>1123</v>
      </c>
      <c r="O4309" s="6" t="s">
        <v>1123</v>
      </c>
      <c r="P4309" s="9" t="s">
        <v>60</v>
      </c>
      <c r="Q4309" s="9" t="s">
        <v>49</v>
      </c>
      <c r="R4309" s="9" t="s">
        <v>50</v>
      </c>
      <c r="S4309" s="7" t="s">
        <v>980</v>
      </c>
      <c r="T4309" s="9" t="s">
        <v>39</v>
      </c>
      <c r="U4309" s="7">
        <v>0.49</v>
      </c>
      <c r="V4309" s="12">
        <f>C4309+4</f>
        <v>40333</v>
      </c>
      <c r="W4309">
        <f>IF(D4309=' Pivot Tables'!$A$4,1,0)</f>
        <v>0</v>
      </c>
      <c r="X4309">
        <f>IF(AND(LEFT(D4309,4)+1=LEFT(' Pivot Tables'!$A$4,4)+0,RIGHT(LEFT(D4309,7),2)=RIGHT(LEFT(' Pivot Tables'!$A$4,7),2)),1,0)</f>
        <v>0</v>
      </c>
      <c r="Y4309" s="6">
        <f>1/COUNTIF(Таблица1[Order ID],Таблица1[[#This Row],[Order ID]])</f>
        <v>0.33333333333333331</v>
      </c>
      <c r="Z4309" s="9">
        <f>1/COUNTIFS(Таблица1[Customer Name],Таблица1[[#This Row],[Customer Name]],Таблица1[Order-Year-Month],Таблица1[[#This Row],[Order-Year-Month]])</f>
        <v>0.33333333333333331</v>
      </c>
    </row>
    <row r="4310" spans="1:26" x14ac:dyDescent="0.2">
      <c r="A4310" s="6">
        <v>1982</v>
      </c>
      <c r="B4310" s="7">
        <v>14119</v>
      </c>
      <c r="C4310" s="8">
        <f>DATE(2012,12,31)-945</f>
        <v>40329</v>
      </c>
      <c r="D4310" s="8" t="str">
        <f t="shared" si="80"/>
        <v>2010-05 (май 2010)</v>
      </c>
      <c r="E4310" s="9" t="s">
        <v>21</v>
      </c>
      <c r="F4310" s="7">
        <v>35</v>
      </c>
      <c r="G4310" s="7">
        <v>1599.0709999999999</v>
      </c>
      <c r="H4310" s="7">
        <v>0.04</v>
      </c>
      <c r="I4310" s="9" t="s">
        <v>22</v>
      </c>
      <c r="J4310" s="10">
        <v>296.65800000000002</v>
      </c>
      <c r="K4310" s="11">
        <v>55.99</v>
      </c>
      <c r="L4310" s="11">
        <v>3.3</v>
      </c>
      <c r="M4310" s="9" t="s">
        <v>1789</v>
      </c>
      <c r="N4310" s="6" t="s">
        <v>1123</v>
      </c>
      <c r="O4310" s="6" t="s">
        <v>1123</v>
      </c>
      <c r="P4310" s="9" t="s">
        <v>60</v>
      </c>
      <c r="Q4310" s="9" t="s">
        <v>42</v>
      </c>
      <c r="R4310" s="9" t="s">
        <v>43</v>
      </c>
      <c r="S4310" s="7" t="s">
        <v>292</v>
      </c>
      <c r="T4310" s="9" t="s">
        <v>52</v>
      </c>
      <c r="U4310" s="7">
        <v>0.59</v>
      </c>
      <c r="V4310" s="12">
        <f>C4310+5</f>
        <v>40334</v>
      </c>
      <c r="W4310">
        <f>IF(D4310=' Pivot Tables'!$A$4,1,0)</f>
        <v>0</v>
      </c>
      <c r="X4310">
        <f>IF(AND(LEFT(D4310,4)+1=LEFT(' Pivot Tables'!$A$4,4)+0,RIGHT(LEFT(D4310,7),2)=RIGHT(LEFT(' Pivot Tables'!$A$4,7),2)),1,0)</f>
        <v>0</v>
      </c>
      <c r="Y4310" s="6">
        <f>1/COUNTIF(Таблица1[Order ID],Таблица1[[#This Row],[Order ID]])</f>
        <v>0.33333333333333331</v>
      </c>
      <c r="Z4310" s="9">
        <f>1/COUNTIFS(Таблица1[Customer Name],Таблица1[[#This Row],[Customer Name]],Таблица1[Order-Year-Month],Таблица1[[#This Row],[Order-Year-Month]])</f>
        <v>0.33333333333333331</v>
      </c>
    </row>
    <row r="4311" spans="1:26" x14ac:dyDescent="0.2">
      <c r="A4311" s="6">
        <v>1983</v>
      </c>
      <c r="B4311" s="7">
        <v>14119</v>
      </c>
      <c r="C4311" s="8">
        <f>DATE(2012,12,31)-945</f>
        <v>40329</v>
      </c>
      <c r="D4311" s="8" t="str">
        <f t="shared" si="80"/>
        <v>2010-05 (май 2010)</v>
      </c>
      <c r="E4311" s="9" t="s">
        <v>21</v>
      </c>
      <c r="F4311" s="7">
        <v>31</v>
      </c>
      <c r="G4311" s="7">
        <v>968.23500000000001</v>
      </c>
      <c r="H4311" s="7">
        <v>0.05</v>
      </c>
      <c r="I4311" s="9" t="s">
        <v>22</v>
      </c>
      <c r="J4311" s="10">
        <v>-158.60900000000001</v>
      </c>
      <c r="K4311" s="11">
        <v>35.99</v>
      </c>
      <c r="L4311" s="11">
        <v>5</v>
      </c>
      <c r="M4311" s="9" t="s">
        <v>1789</v>
      </c>
      <c r="N4311" s="6" t="s">
        <v>1123</v>
      </c>
      <c r="O4311" s="6" t="s">
        <v>1123</v>
      </c>
      <c r="P4311" s="9" t="s">
        <v>60</v>
      </c>
      <c r="Q4311" s="9" t="s">
        <v>42</v>
      </c>
      <c r="R4311" s="9" t="s">
        <v>43</v>
      </c>
      <c r="S4311" s="7" t="s">
        <v>825</v>
      </c>
      <c r="T4311" s="9" t="s">
        <v>39</v>
      </c>
      <c r="U4311" s="7">
        <v>0.85</v>
      </c>
      <c r="V4311" s="12">
        <f>C4311+2</f>
        <v>40331</v>
      </c>
      <c r="W4311">
        <f>IF(D4311=' Pivot Tables'!$A$4,1,0)</f>
        <v>0</v>
      </c>
      <c r="X4311">
        <f>IF(AND(LEFT(D4311,4)+1=LEFT(' Pivot Tables'!$A$4,4)+0,RIGHT(LEFT(D4311,7),2)=RIGHT(LEFT(' Pivot Tables'!$A$4,7),2)),1,0)</f>
        <v>0</v>
      </c>
      <c r="Y4311" s="6">
        <f>1/COUNTIF(Таблица1[Order ID],Таблица1[[#This Row],[Order ID]])</f>
        <v>0.33333333333333331</v>
      </c>
      <c r="Z4311" s="9">
        <f>1/COUNTIFS(Таблица1[Customer Name],Таблица1[[#This Row],[Customer Name]],Таблица1[Order-Year-Month],Таблица1[[#This Row],[Order-Year-Month]])</f>
        <v>0.33333333333333331</v>
      </c>
    </row>
    <row r="4312" spans="1:26" x14ac:dyDescent="0.2">
      <c r="A4312" s="6">
        <v>2020</v>
      </c>
      <c r="B4312" s="7">
        <v>14402</v>
      </c>
      <c r="C4312" s="8">
        <f>DATE(2012,12,31)-809</f>
        <v>40465</v>
      </c>
      <c r="D4312" s="8" t="str">
        <f t="shared" si="80"/>
        <v>2010-10 (октябрь 2010)</v>
      </c>
      <c r="E4312" s="9" t="s">
        <v>63</v>
      </c>
      <c r="F4312" s="7">
        <v>1</v>
      </c>
      <c r="G4312" s="7">
        <v>184.46</v>
      </c>
      <c r="H4312" s="7">
        <v>0.05</v>
      </c>
      <c r="I4312" s="9" t="s">
        <v>31</v>
      </c>
      <c r="J4312" s="10">
        <v>-106.33</v>
      </c>
      <c r="K4312" s="11">
        <v>160.97999999999999</v>
      </c>
      <c r="L4312" s="11">
        <v>30</v>
      </c>
      <c r="M4312" s="9" t="s">
        <v>1785</v>
      </c>
      <c r="N4312" s="6" t="s">
        <v>1123</v>
      </c>
      <c r="O4312" s="6" t="s">
        <v>1123</v>
      </c>
      <c r="P4312" s="9" t="s">
        <v>25</v>
      </c>
      <c r="Q4312" s="9" t="s">
        <v>49</v>
      </c>
      <c r="R4312" s="9" t="s">
        <v>112</v>
      </c>
      <c r="S4312" s="7" t="s">
        <v>746</v>
      </c>
      <c r="T4312" s="9" t="s">
        <v>36</v>
      </c>
      <c r="U4312" s="7">
        <v>0.62</v>
      </c>
      <c r="V4312" s="12">
        <f>C4312+2</f>
        <v>40467</v>
      </c>
      <c r="W4312">
        <f>IF(D4312=' Pivot Tables'!$A$4,1,0)</f>
        <v>0</v>
      </c>
      <c r="X4312">
        <f>IF(AND(LEFT(D4312,4)+1=LEFT(' Pivot Tables'!$A$4,4)+0,RIGHT(LEFT(D4312,7),2)=RIGHT(LEFT(' Pivot Tables'!$A$4,7),2)),1,0)</f>
        <v>0</v>
      </c>
      <c r="Y4312" s="6">
        <f>1/COUNTIF(Таблица1[Order ID],Таблица1[[#This Row],[Order ID]])</f>
        <v>1</v>
      </c>
      <c r="Z4312" s="9">
        <f>1/COUNTIFS(Таблица1[Customer Name],Таблица1[[#This Row],[Customer Name]],Таблица1[Order-Year-Month],Таблица1[[#This Row],[Order-Year-Month]])</f>
        <v>1</v>
      </c>
    </row>
    <row r="4313" spans="1:26" x14ac:dyDescent="0.2">
      <c r="A4313" s="6">
        <v>2032</v>
      </c>
      <c r="B4313" s="7">
        <v>14499</v>
      </c>
      <c r="C4313" s="8">
        <f>DATE(2012,12,31)-778</f>
        <v>40496</v>
      </c>
      <c r="D4313" s="8" t="str">
        <f t="shared" si="80"/>
        <v>2010-11 (ноябрь 2010)</v>
      </c>
      <c r="E4313" s="9" t="s">
        <v>21</v>
      </c>
      <c r="F4313" s="7">
        <v>28</v>
      </c>
      <c r="G4313" s="7">
        <v>574.99</v>
      </c>
      <c r="H4313" s="7">
        <v>0.06</v>
      </c>
      <c r="I4313" s="9" t="s">
        <v>22</v>
      </c>
      <c r="J4313" s="10">
        <v>-148.87</v>
      </c>
      <c r="K4313" s="11">
        <v>20.97</v>
      </c>
      <c r="L4313" s="11">
        <v>6.5</v>
      </c>
      <c r="M4313" s="9" t="s">
        <v>1439</v>
      </c>
      <c r="N4313" s="6" t="s">
        <v>1123</v>
      </c>
      <c r="O4313" s="6" t="s">
        <v>1123</v>
      </c>
      <c r="P4313" s="9" t="s">
        <v>33</v>
      </c>
      <c r="Q4313" s="9" t="s">
        <v>42</v>
      </c>
      <c r="R4313" s="9" t="s">
        <v>70</v>
      </c>
      <c r="S4313" s="7" t="s">
        <v>262</v>
      </c>
      <c r="T4313" s="9" t="s">
        <v>39</v>
      </c>
      <c r="U4313" s="7">
        <v>0.78</v>
      </c>
      <c r="V4313" s="12">
        <f>C4313+5</f>
        <v>40501</v>
      </c>
      <c r="W4313">
        <f>IF(D4313=' Pivot Tables'!$A$4,1,0)</f>
        <v>0</v>
      </c>
      <c r="X4313">
        <f>IF(AND(LEFT(D4313,4)+1=LEFT(' Pivot Tables'!$A$4,4)+0,RIGHT(LEFT(D4313,7),2)=RIGHT(LEFT(' Pivot Tables'!$A$4,7),2)),1,0)</f>
        <v>0</v>
      </c>
      <c r="Y4313" s="6">
        <f>1/COUNTIF(Таблица1[Order ID],Таблица1[[#This Row],[Order ID]])</f>
        <v>1</v>
      </c>
      <c r="Z4313" s="9">
        <f>1/COUNTIFS(Таблица1[Customer Name],Таблица1[[#This Row],[Customer Name]],Таблица1[Order-Year-Month],Таблица1[[#This Row],[Order-Year-Month]])</f>
        <v>1</v>
      </c>
    </row>
    <row r="4314" spans="1:26" x14ac:dyDescent="0.2">
      <c r="A4314" s="6">
        <v>2110</v>
      </c>
      <c r="B4314" s="7">
        <v>15079</v>
      </c>
      <c r="C4314" s="8">
        <f>DATE(2012,12,31)-1081</f>
        <v>40193</v>
      </c>
      <c r="D4314" s="8" t="str">
        <f t="shared" si="80"/>
        <v>2010-01 (январь 2010)</v>
      </c>
      <c r="E4314" s="9" t="s">
        <v>63</v>
      </c>
      <c r="F4314" s="7">
        <v>45</v>
      </c>
      <c r="G4314" s="7">
        <v>3753.42</v>
      </c>
      <c r="H4314" s="7">
        <v>0</v>
      </c>
      <c r="I4314" s="9" t="s">
        <v>22</v>
      </c>
      <c r="J4314" s="10">
        <v>1276.25</v>
      </c>
      <c r="K4314" s="11">
        <v>80.98</v>
      </c>
      <c r="L4314" s="11">
        <v>7.18</v>
      </c>
      <c r="M4314" s="9" t="s">
        <v>1783</v>
      </c>
      <c r="N4314" s="6" t="s">
        <v>1123</v>
      </c>
      <c r="O4314" s="6" t="s">
        <v>1123</v>
      </c>
      <c r="P4314" s="9" t="s">
        <v>25</v>
      </c>
      <c r="Q4314" s="9" t="s">
        <v>42</v>
      </c>
      <c r="R4314" s="9" t="s">
        <v>70</v>
      </c>
      <c r="S4314" s="7" t="s">
        <v>686</v>
      </c>
      <c r="T4314" s="9" t="s">
        <v>39</v>
      </c>
      <c r="U4314" s="7">
        <v>0.48</v>
      </c>
      <c r="V4314" s="12">
        <f>C4314+3</f>
        <v>40196</v>
      </c>
      <c r="W4314">
        <f>IF(D4314=' Pivot Tables'!$A$4,1,0)</f>
        <v>1</v>
      </c>
      <c r="X4314">
        <f>IF(AND(LEFT(D4314,4)+1=LEFT(' Pivot Tables'!$A$4,4)+0,RIGHT(LEFT(D4314,7),2)=RIGHT(LEFT(' Pivot Tables'!$A$4,7),2)),1,0)</f>
        <v>0</v>
      </c>
      <c r="Y4314" s="6">
        <f>1/COUNTIF(Таблица1[Order ID],Таблица1[[#This Row],[Order ID]])</f>
        <v>0.5</v>
      </c>
      <c r="Z4314" s="9">
        <f>1/COUNTIFS(Таблица1[Customer Name],Таблица1[[#This Row],[Customer Name]],Таблица1[Order-Year-Month],Таблица1[[#This Row],[Order-Year-Month]])</f>
        <v>0.5</v>
      </c>
    </row>
    <row r="4315" spans="1:26" x14ac:dyDescent="0.2">
      <c r="A4315" s="6">
        <v>2111</v>
      </c>
      <c r="B4315" s="7">
        <v>15079</v>
      </c>
      <c r="C4315" s="8">
        <f>DATE(2012,12,31)-1081</f>
        <v>40193</v>
      </c>
      <c r="D4315" s="8" t="str">
        <f t="shared" si="80"/>
        <v>2010-01 (январь 2010)</v>
      </c>
      <c r="E4315" s="9" t="s">
        <v>63</v>
      </c>
      <c r="F4315" s="7">
        <v>23</v>
      </c>
      <c r="G4315" s="7">
        <v>1130.79</v>
      </c>
      <c r="H4315" s="7">
        <v>0.01</v>
      </c>
      <c r="I4315" s="9" t="s">
        <v>22</v>
      </c>
      <c r="J4315" s="10">
        <v>468.19</v>
      </c>
      <c r="K4315" s="11">
        <v>48.91</v>
      </c>
      <c r="L4315" s="11">
        <v>5.97</v>
      </c>
      <c r="M4315" s="9" t="s">
        <v>1783</v>
      </c>
      <c r="N4315" s="6" t="s">
        <v>1123</v>
      </c>
      <c r="O4315" s="6" t="s">
        <v>1123</v>
      </c>
      <c r="P4315" s="9" t="s">
        <v>25</v>
      </c>
      <c r="Q4315" s="9" t="s">
        <v>26</v>
      </c>
      <c r="R4315" s="9" t="s">
        <v>61</v>
      </c>
      <c r="S4315" s="7" t="s">
        <v>1316</v>
      </c>
      <c r="T4315" s="9" t="s">
        <v>39</v>
      </c>
      <c r="U4315" s="7">
        <v>0.38</v>
      </c>
      <c r="V4315" s="12">
        <f>C4315+1</f>
        <v>40194</v>
      </c>
      <c r="W4315">
        <f>IF(D4315=' Pivot Tables'!$A$4,1,0)</f>
        <v>1</v>
      </c>
      <c r="X4315">
        <f>IF(AND(LEFT(D4315,4)+1=LEFT(' Pivot Tables'!$A$4,4)+0,RIGHT(LEFT(D4315,7),2)=RIGHT(LEFT(' Pivot Tables'!$A$4,7),2)),1,0)</f>
        <v>0</v>
      </c>
      <c r="Y4315" s="6">
        <f>1/COUNTIF(Таблица1[Order ID],Таблица1[[#This Row],[Order ID]])</f>
        <v>0.5</v>
      </c>
      <c r="Z4315" s="9">
        <f>1/COUNTIFS(Таблица1[Customer Name],Таблица1[[#This Row],[Customer Name]],Таблица1[Order-Year-Month],Таблица1[[#This Row],[Order-Year-Month]])</f>
        <v>0.5</v>
      </c>
    </row>
    <row r="4316" spans="1:26" x14ac:dyDescent="0.2">
      <c r="A4316" s="6">
        <v>2134</v>
      </c>
      <c r="B4316" s="7">
        <v>15236</v>
      </c>
      <c r="C4316" s="8">
        <f>DATE(2012,12,31)-266</f>
        <v>41008</v>
      </c>
      <c r="D4316" s="8" t="str">
        <f t="shared" si="80"/>
        <v>2012-04 (апрель 2012)</v>
      </c>
      <c r="E4316" s="9" t="s">
        <v>45</v>
      </c>
      <c r="F4316" s="7">
        <v>33</v>
      </c>
      <c r="G4316" s="7">
        <v>341.42</v>
      </c>
      <c r="H4316" s="7">
        <v>0.06</v>
      </c>
      <c r="I4316" s="9" t="s">
        <v>22</v>
      </c>
      <c r="J4316" s="10">
        <v>71.50200000000001</v>
      </c>
      <c r="K4316" s="11">
        <v>10.91</v>
      </c>
      <c r="L4316" s="11">
        <v>2.99</v>
      </c>
      <c r="M4316" s="9" t="s">
        <v>1385</v>
      </c>
      <c r="N4316" s="6" t="s">
        <v>1123</v>
      </c>
      <c r="O4316" s="6" t="s">
        <v>1123</v>
      </c>
      <c r="P4316" s="9" t="s">
        <v>60</v>
      </c>
      <c r="Q4316" s="9" t="s">
        <v>26</v>
      </c>
      <c r="R4316" s="9" t="s">
        <v>37</v>
      </c>
      <c r="S4316" s="7" t="s">
        <v>357</v>
      </c>
      <c r="T4316" s="9" t="s">
        <v>39</v>
      </c>
      <c r="U4316" s="7">
        <v>0.38</v>
      </c>
      <c r="V4316" s="12">
        <f>C4316+1</f>
        <v>41009</v>
      </c>
      <c r="W4316">
        <f>IF(D4316=' Pivot Tables'!$A$4,1,0)</f>
        <v>0</v>
      </c>
      <c r="X4316">
        <f>IF(AND(LEFT(D4316,4)+1=LEFT(' Pivot Tables'!$A$4,4)+0,RIGHT(LEFT(D4316,7),2)=RIGHT(LEFT(' Pivot Tables'!$A$4,7),2)),1,0)</f>
        <v>0</v>
      </c>
      <c r="Y4316" s="6">
        <f>1/COUNTIF(Таблица1[Order ID],Таблица1[[#This Row],[Order ID]])</f>
        <v>0.5</v>
      </c>
      <c r="Z4316" s="9">
        <f>1/COUNTIFS(Таблица1[Customer Name],Таблица1[[#This Row],[Customer Name]],Таблица1[Order-Year-Month],Таблица1[[#This Row],[Order-Year-Month]])</f>
        <v>0.5</v>
      </c>
    </row>
    <row r="4317" spans="1:26" x14ac:dyDescent="0.2">
      <c r="A4317" s="6">
        <v>2135</v>
      </c>
      <c r="B4317" s="7">
        <v>15236</v>
      </c>
      <c r="C4317" s="8">
        <f>DATE(2012,12,31)-266</f>
        <v>41008</v>
      </c>
      <c r="D4317" s="8" t="str">
        <f t="shared" si="80"/>
        <v>2012-04 (апрель 2012)</v>
      </c>
      <c r="E4317" s="9" t="s">
        <v>45</v>
      </c>
      <c r="F4317" s="7">
        <v>30</v>
      </c>
      <c r="G4317" s="7">
        <v>381.39</v>
      </c>
      <c r="H4317" s="7">
        <v>0.01</v>
      </c>
      <c r="I4317" s="9" t="s">
        <v>56</v>
      </c>
      <c r="J4317" s="10">
        <v>31.24</v>
      </c>
      <c r="K4317" s="11">
        <v>12.07</v>
      </c>
      <c r="L4317" s="11">
        <v>6.2</v>
      </c>
      <c r="M4317" s="9" t="s">
        <v>1385</v>
      </c>
      <c r="N4317" s="6" t="s">
        <v>1123</v>
      </c>
      <c r="O4317" s="6" t="s">
        <v>1123</v>
      </c>
      <c r="P4317" s="9" t="s">
        <v>60</v>
      </c>
      <c r="Q4317" s="9" t="s">
        <v>49</v>
      </c>
      <c r="R4317" s="9" t="s">
        <v>50</v>
      </c>
      <c r="S4317" s="7" t="s">
        <v>1790</v>
      </c>
      <c r="T4317" s="9" t="s">
        <v>68</v>
      </c>
      <c r="U4317" s="7">
        <v>0.52</v>
      </c>
      <c r="V4317" s="12">
        <f>C4317+2</f>
        <v>41010</v>
      </c>
      <c r="W4317">
        <f>IF(D4317=' Pivot Tables'!$A$4,1,0)</f>
        <v>0</v>
      </c>
      <c r="X4317">
        <f>IF(AND(LEFT(D4317,4)+1=LEFT(' Pivot Tables'!$A$4,4)+0,RIGHT(LEFT(D4317,7),2)=RIGHT(LEFT(' Pivot Tables'!$A$4,7),2)),1,0)</f>
        <v>0</v>
      </c>
      <c r="Y4317" s="6">
        <f>1/COUNTIF(Таблица1[Order ID],Таблица1[[#This Row],[Order ID]])</f>
        <v>0.5</v>
      </c>
      <c r="Z4317" s="9">
        <f>1/COUNTIFS(Таблица1[Customer Name],Таблица1[[#This Row],[Customer Name]],Таблица1[Order-Year-Month],Таблица1[[#This Row],[Order-Year-Month]])</f>
        <v>0.5</v>
      </c>
    </row>
    <row r="4318" spans="1:26" x14ac:dyDescent="0.2">
      <c r="A4318" s="6">
        <v>2148</v>
      </c>
      <c r="B4318" s="7">
        <v>15397</v>
      </c>
      <c r="C4318" s="8">
        <f>DATE(2012,12,31)-1059</f>
        <v>40215</v>
      </c>
      <c r="D4318" s="8" t="str">
        <f t="shared" si="80"/>
        <v>2010-02 (февраль 2010)</v>
      </c>
      <c r="E4318" s="9" t="s">
        <v>78</v>
      </c>
      <c r="F4318" s="7">
        <v>42</v>
      </c>
      <c r="G4318" s="7">
        <v>223.33</v>
      </c>
      <c r="H4318" s="7">
        <v>0</v>
      </c>
      <c r="I4318" s="9" t="s">
        <v>56</v>
      </c>
      <c r="J4318" s="10">
        <v>-111.89</v>
      </c>
      <c r="K4318" s="11">
        <v>4.9800000000000004</v>
      </c>
      <c r="L4318" s="11">
        <v>4.32</v>
      </c>
      <c r="M4318" s="9" t="s">
        <v>1789</v>
      </c>
      <c r="N4318" s="6" t="s">
        <v>1123</v>
      </c>
      <c r="O4318" s="6" t="s">
        <v>1123</v>
      </c>
      <c r="P4318" s="9" t="s">
        <v>60</v>
      </c>
      <c r="Q4318" s="9" t="s">
        <v>42</v>
      </c>
      <c r="R4318" s="9" t="s">
        <v>70</v>
      </c>
      <c r="S4318" s="7" t="s">
        <v>1064</v>
      </c>
      <c r="T4318" s="9" t="s">
        <v>52</v>
      </c>
      <c r="U4318" s="7">
        <v>0.64</v>
      </c>
      <c r="V4318" s="12">
        <f>C4318+2</f>
        <v>40217</v>
      </c>
      <c r="W4318">
        <f>IF(D4318=' Pivot Tables'!$A$4,1,0)</f>
        <v>0</v>
      </c>
      <c r="X4318">
        <f>IF(AND(LEFT(D4318,4)+1=LEFT(' Pivot Tables'!$A$4,4)+0,RIGHT(LEFT(D4318,7),2)=RIGHT(LEFT(' Pivot Tables'!$A$4,7),2)),1,0)</f>
        <v>0</v>
      </c>
      <c r="Y4318" s="6">
        <f>1/COUNTIF(Таблица1[Order ID],Таблица1[[#This Row],[Order ID]])</f>
        <v>0.33333333333333331</v>
      </c>
      <c r="Z4318" s="9">
        <f>1/COUNTIFS(Таблица1[Customer Name],Таблица1[[#This Row],[Customer Name]],Таблица1[Order-Year-Month],Таблица1[[#This Row],[Order-Year-Month]])</f>
        <v>0.33333333333333331</v>
      </c>
    </row>
    <row r="4319" spans="1:26" x14ac:dyDescent="0.2">
      <c r="A4319" s="6">
        <v>2149</v>
      </c>
      <c r="B4319" s="7">
        <v>15397</v>
      </c>
      <c r="C4319" s="8">
        <f>DATE(2012,12,31)-1059</f>
        <v>40215</v>
      </c>
      <c r="D4319" s="8" t="str">
        <f t="shared" si="80"/>
        <v>2010-02 (февраль 2010)</v>
      </c>
      <c r="E4319" s="9" t="s">
        <v>78</v>
      </c>
      <c r="F4319" s="7">
        <v>29</v>
      </c>
      <c r="G4319" s="7">
        <v>1178.04</v>
      </c>
      <c r="H4319" s="7">
        <v>7.0000000000000007E-2</v>
      </c>
      <c r="I4319" s="9" t="s">
        <v>22</v>
      </c>
      <c r="J4319" s="10">
        <v>-53.81</v>
      </c>
      <c r="K4319" s="11">
        <v>40.98</v>
      </c>
      <c r="L4319" s="11">
        <v>6.5</v>
      </c>
      <c r="M4319" s="9" t="s">
        <v>1789</v>
      </c>
      <c r="N4319" s="6" t="s">
        <v>1123</v>
      </c>
      <c r="O4319" s="6" t="s">
        <v>1123</v>
      </c>
      <c r="P4319" s="9" t="s">
        <v>60</v>
      </c>
      <c r="Q4319" s="9" t="s">
        <v>42</v>
      </c>
      <c r="R4319" s="9" t="s">
        <v>70</v>
      </c>
      <c r="S4319" s="7" t="s">
        <v>1120</v>
      </c>
      <c r="T4319" s="9" t="s">
        <v>39</v>
      </c>
      <c r="U4319" s="7">
        <v>0.74</v>
      </c>
      <c r="V4319" s="12">
        <f>C4319+0</f>
        <v>40215</v>
      </c>
      <c r="W4319">
        <f>IF(D4319=' Pivot Tables'!$A$4,1,0)</f>
        <v>0</v>
      </c>
      <c r="X4319">
        <f>IF(AND(LEFT(D4319,4)+1=LEFT(' Pivot Tables'!$A$4,4)+0,RIGHT(LEFT(D4319,7),2)=RIGHT(LEFT(' Pivot Tables'!$A$4,7),2)),1,0)</f>
        <v>0</v>
      </c>
      <c r="Y4319" s="6">
        <f>1/COUNTIF(Таблица1[Order ID],Таблица1[[#This Row],[Order ID]])</f>
        <v>0.33333333333333331</v>
      </c>
      <c r="Z4319" s="9">
        <f>1/COUNTIFS(Таблица1[Customer Name],Таблица1[[#This Row],[Customer Name]],Таблица1[Order-Year-Month],Таблица1[[#This Row],[Order-Year-Month]])</f>
        <v>0.33333333333333331</v>
      </c>
    </row>
    <row r="4320" spans="1:26" x14ac:dyDescent="0.2">
      <c r="A4320" s="6">
        <v>2150</v>
      </c>
      <c r="B4320" s="7">
        <v>15397</v>
      </c>
      <c r="C4320" s="8">
        <f>DATE(2012,12,31)-1059</f>
        <v>40215</v>
      </c>
      <c r="D4320" s="8" t="str">
        <f t="shared" si="80"/>
        <v>2010-02 (февраль 2010)</v>
      </c>
      <c r="E4320" s="9" t="s">
        <v>78</v>
      </c>
      <c r="F4320" s="7">
        <v>43</v>
      </c>
      <c r="G4320" s="7">
        <v>121.94</v>
      </c>
      <c r="H4320" s="7">
        <v>0.01</v>
      </c>
      <c r="I4320" s="9" t="s">
        <v>22</v>
      </c>
      <c r="J4320" s="10">
        <v>-51.3</v>
      </c>
      <c r="K4320" s="11">
        <v>2.6</v>
      </c>
      <c r="L4320" s="11">
        <v>2.4</v>
      </c>
      <c r="M4320" s="9" t="s">
        <v>1789</v>
      </c>
      <c r="N4320" s="6" t="s">
        <v>1123</v>
      </c>
      <c r="O4320" s="6" t="s">
        <v>1123</v>
      </c>
      <c r="P4320" s="9" t="s">
        <v>60</v>
      </c>
      <c r="Q4320" s="9" t="s">
        <v>26</v>
      </c>
      <c r="R4320" s="9" t="s">
        <v>95</v>
      </c>
      <c r="S4320" s="7" t="s">
        <v>393</v>
      </c>
      <c r="T4320" s="9" t="s">
        <v>68</v>
      </c>
      <c r="U4320" s="7">
        <v>0.57999999999999996</v>
      </c>
      <c r="V4320" s="12">
        <f>C4320+1</f>
        <v>40216</v>
      </c>
      <c r="W4320">
        <f>IF(D4320=' Pivot Tables'!$A$4,1,0)</f>
        <v>0</v>
      </c>
      <c r="X4320">
        <f>IF(AND(LEFT(D4320,4)+1=LEFT(' Pivot Tables'!$A$4,4)+0,RIGHT(LEFT(D4320,7),2)=RIGHT(LEFT(' Pivot Tables'!$A$4,7),2)),1,0)</f>
        <v>0</v>
      </c>
      <c r="Y4320" s="6">
        <f>1/COUNTIF(Таблица1[Order ID],Таблица1[[#This Row],[Order ID]])</f>
        <v>0.33333333333333331</v>
      </c>
      <c r="Z4320" s="9">
        <f>1/COUNTIFS(Таблица1[Customer Name],Таблица1[[#This Row],[Customer Name]],Таблица1[Order-Year-Month],Таблица1[[#This Row],[Order-Year-Month]])</f>
        <v>0.33333333333333331</v>
      </c>
    </row>
    <row r="4321" spans="1:26" x14ac:dyDescent="0.2">
      <c r="A4321" s="6">
        <v>2185</v>
      </c>
      <c r="B4321" s="7">
        <v>15719</v>
      </c>
      <c r="C4321" s="8">
        <f>DATE(2012,12,31)-713</f>
        <v>40561</v>
      </c>
      <c r="D4321" s="8" t="str">
        <f t="shared" si="80"/>
        <v>2011-01 (январь 2011)</v>
      </c>
      <c r="E4321" s="9" t="s">
        <v>78</v>
      </c>
      <c r="F4321" s="7">
        <v>18</v>
      </c>
      <c r="G4321" s="7">
        <v>5405.44</v>
      </c>
      <c r="H4321" s="7">
        <v>7.0000000000000007E-2</v>
      </c>
      <c r="I4321" s="9" t="s">
        <v>31</v>
      </c>
      <c r="J4321" s="10">
        <v>604.46</v>
      </c>
      <c r="K4321" s="11">
        <v>300.98</v>
      </c>
      <c r="L4321" s="11">
        <v>64.73</v>
      </c>
      <c r="M4321" s="9" t="s">
        <v>1789</v>
      </c>
      <c r="N4321" s="6" t="s">
        <v>1123</v>
      </c>
      <c r="O4321" s="6" t="s">
        <v>1123</v>
      </c>
      <c r="P4321" s="9" t="s">
        <v>60</v>
      </c>
      <c r="Q4321" s="9" t="s">
        <v>49</v>
      </c>
      <c r="R4321" s="9" t="s">
        <v>112</v>
      </c>
      <c r="S4321" s="7" t="s">
        <v>168</v>
      </c>
      <c r="T4321" s="9" t="s">
        <v>36</v>
      </c>
      <c r="U4321" s="7">
        <v>0.56000000000000005</v>
      </c>
      <c r="V4321" s="12">
        <f>C4321+1</f>
        <v>40562</v>
      </c>
      <c r="W4321">
        <f>IF(D4321=' Pivot Tables'!$A$4,1,0)</f>
        <v>0</v>
      </c>
      <c r="X4321">
        <f>IF(AND(LEFT(D4321,4)+1=LEFT(' Pivot Tables'!$A$4,4)+0,RIGHT(LEFT(D4321,7),2)=RIGHT(LEFT(' Pivot Tables'!$A$4,7),2)),1,0)</f>
        <v>0</v>
      </c>
      <c r="Y4321" s="6">
        <f>1/COUNTIF(Таблица1[Order ID],Таблица1[[#This Row],[Order ID]])</f>
        <v>1</v>
      </c>
      <c r="Z4321" s="9">
        <f>1/COUNTIFS(Таблица1[Customer Name],Таблица1[[#This Row],[Customer Name]],Таблица1[Order-Year-Month],Таблица1[[#This Row],[Order-Year-Month]])</f>
        <v>1</v>
      </c>
    </row>
    <row r="4322" spans="1:26" x14ac:dyDescent="0.2">
      <c r="A4322" s="6">
        <v>2226</v>
      </c>
      <c r="B4322" s="7">
        <v>16098</v>
      </c>
      <c r="C4322" s="8">
        <f>DATE(2012,12,31)-163</f>
        <v>41111</v>
      </c>
      <c r="D4322" s="8" t="str">
        <f t="shared" si="80"/>
        <v>2012-07 (июль 2012)</v>
      </c>
      <c r="E4322" s="9" t="s">
        <v>21</v>
      </c>
      <c r="F4322" s="7">
        <v>44</v>
      </c>
      <c r="G4322" s="7">
        <v>1001.99</v>
      </c>
      <c r="H4322" s="7">
        <v>0.09</v>
      </c>
      <c r="I4322" s="9" t="s">
        <v>22</v>
      </c>
      <c r="J4322" s="10">
        <v>333.53149999999999</v>
      </c>
      <c r="K4322" s="11">
        <v>24.95</v>
      </c>
      <c r="L4322" s="11">
        <v>2.99</v>
      </c>
      <c r="M4322" s="9" t="s">
        <v>1432</v>
      </c>
      <c r="N4322" s="6" t="s">
        <v>1123</v>
      </c>
      <c r="O4322" s="6" t="s">
        <v>1123</v>
      </c>
      <c r="P4322" s="9" t="s">
        <v>60</v>
      </c>
      <c r="Q4322" s="9" t="s">
        <v>26</v>
      </c>
      <c r="R4322" s="9" t="s">
        <v>37</v>
      </c>
      <c r="S4322" s="7" t="s">
        <v>1390</v>
      </c>
      <c r="T4322" s="9" t="s">
        <v>39</v>
      </c>
      <c r="U4322" s="7">
        <v>0.39</v>
      </c>
      <c r="V4322" s="12">
        <f>C4322+2</f>
        <v>41113</v>
      </c>
      <c r="W4322">
        <f>IF(D4322=' Pivot Tables'!$A$4,1,0)</f>
        <v>0</v>
      </c>
      <c r="X4322">
        <f>IF(AND(LEFT(D4322,4)+1=LEFT(' Pivot Tables'!$A$4,4)+0,RIGHT(LEFT(D4322,7),2)=RIGHT(LEFT(' Pivot Tables'!$A$4,7),2)),1,0)</f>
        <v>0</v>
      </c>
      <c r="Y4322" s="6">
        <f>1/COUNTIF(Таблица1[Order ID],Таблица1[[#This Row],[Order ID]])</f>
        <v>0.5</v>
      </c>
      <c r="Z4322" s="9">
        <f>1/COUNTIFS(Таблица1[Customer Name],Таблица1[[#This Row],[Customer Name]],Таблица1[Order-Year-Month],Таблица1[[#This Row],[Order-Year-Month]])</f>
        <v>0.5</v>
      </c>
    </row>
    <row r="4323" spans="1:26" x14ac:dyDescent="0.2">
      <c r="A4323" s="6">
        <v>2282</v>
      </c>
      <c r="B4323" s="7">
        <v>16450</v>
      </c>
      <c r="C4323" s="8">
        <f>DATE(2012,12,31)-596</f>
        <v>40678</v>
      </c>
      <c r="D4323" s="8" t="str">
        <f t="shared" si="80"/>
        <v>2011-05 (май 2011)</v>
      </c>
      <c r="E4323" s="9" t="s">
        <v>63</v>
      </c>
      <c r="F4323" s="7">
        <v>12</v>
      </c>
      <c r="G4323" s="7">
        <v>73.5</v>
      </c>
      <c r="H4323" s="7">
        <v>0.03</v>
      </c>
      <c r="I4323" s="9" t="s">
        <v>22</v>
      </c>
      <c r="J4323" s="10">
        <v>5.71</v>
      </c>
      <c r="K4323" s="11">
        <v>5.98</v>
      </c>
      <c r="L4323" s="11">
        <v>2.5</v>
      </c>
      <c r="M4323" s="9" t="s">
        <v>818</v>
      </c>
      <c r="N4323" s="6" t="s">
        <v>1123</v>
      </c>
      <c r="O4323" s="6" t="s">
        <v>1123</v>
      </c>
      <c r="P4323" s="9" t="s">
        <v>25</v>
      </c>
      <c r="Q4323" s="9" t="s">
        <v>26</v>
      </c>
      <c r="R4323" s="9" t="s">
        <v>76</v>
      </c>
      <c r="S4323" s="7" t="s">
        <v>625</v>
      </c>
      <c r="T4323" s="9" t="s">
        <v>39</v>
      </c>
      <c r="U4323" s="7">
        <v>0.36</v>
      </c>
      <c r="V4323" s="12">
        <f>C4323+0</f>
        <v>40678</v>
      </c>
      <c r="W4323">
        <f>IF(D4323=' Pivot Tables'!$A$4,1,0)</f>
        <v>0</v>
      </c>
      <c r="X4323">
        <f>IF(AND(LEFT(D4323,4)+1=LEFT(' Pivot Tables'!$A$4,4)+0,RIGHT(LEFT(D4323,7),2)=RIGHT(LEFT(' Pivot Tables'!$A$4,7),2)),1,0)</f>
        <v>0</v>
      </c>
      <c r="Y4323" s="6">
        <f>1/COUNTIF(Таблица1[Order ID],Таблица1[[#This Row],[Order ID]])</f>
        <v>1</v>
      </c>
      <c r="Z4323" s="9">
        <f>1/COUNTIFS(Таблица1[Customer Name],Таблица1[[#This Row],[Customer Name]],Таблица1[Order-Year-Month],Таблица1[[#This Row],[Order-Year-Month]])</f>
        <v>1</v>
      </c>
    </row>
    <row r="4324" spans="1:26" x14ac:dyDescent="0.2">
      <c r="A4324" s="6">
        <v>2371</v>
      </c>
      <c r="B4324" s="7">
        <v>17186</v>
      </c>
      <c r="C4324" s="8">
        <f>DATE(2012,12,31)-1435</f>
        <v>39839</v>
      </c>
      <c r="D4324" s="8" t="str">
        <f t="shared" si="80"/>
        <v>2009-01 (январь 2009)</v>
      </c>
      <c r="E4324" s="9" t="s">
        <v>63</v>
      </c>
      <c r="F4324" s="7">
        <v>49</v>
      </c>
      <c r="G4324" s="7">
        <v>4321.63</v>
      </c>
      <c r="H4324" s="7">
        <v>0.08</v>
      </c>
      <c r="I4324" s="9" t="s">
        <v>22</v>
      </c>
      <c r="J4324" s="10">
        <v>-1549.14</v>
      </c>
      <c r="K4324" s="11">
        <v>90.98</v>
      </c>
      <c r="L4324" s="11">
        <v>56.2</v>
      </c>
      <c r="M4324" s="9" t="s">
        <v>1778</v>
      </c>
      <c r="N4324" s="6" t="s">
        <v>1123</v>
      </c>
      <c r="O4324" s="6" t="s">
        <v>1123</v>
      </c>
      <c r="P4324" s="9" t="s">
        <v>33</v>
      </c>
      <c r="Q4324" s="9" t="s">
        <v>49</v>
      </c>
      <c r="R4324" s="9" t="s">
        <v>50</v>
      </c>
      <c r="S4324" s="7" t="s">
        <v>574</v>
      </c>
      <c r="T4324" s="9" t="s">
        <v>48</v>
      </c>
      <c r="U4324" s="7">
        <v>0.74</v>
      </c>
      <c r="V4324" s="12">
        <f>C4324+2</f>
        <v>39841</v>
      </c>
      <c r="W4324">
        <f>IF(D4324=' Pivot Tables'!$A$4,1,0)</f>
        <v>0</v>
      </c>
      <c r="X4324">
        <f>IF(AND(LEFT(D4324,4)+1=LEFT(' Pivot Tables'!$A$4,4)+0,RIGHT(LEFT(D4324,7),2)=RIGHT(LEFT(' Pivot Tables'!$A$4,7),2)),1,0)</f>
        <v>1</v>
      </c>
      <c r="Y4324" s="6">
        <f>1/COUNTIF(Таблица1[Order ID],Таблица1[[#This Row],[Order ID]])</f>
        <v>0.5</v>
      </c>
      <c r="Z4324" s="9">
        <f>1/COUNTIFS(Таблица1[Customer Name],Таблица1[[#This Row],[Customer Name]],Таблица1[Order-Year-Month],Таблица1[[#This Row],[Order-Year-Month]])</f>
        <v>0.5</v>
      </c>
    </row>
    <row r="4325" spans="1:26" x14ac:dyDescent="0.2">
      <c r="A4325" s="6">
        <v>2372</v>
      </c>
      <c r="B4325" s="7">
        <v>17186</v>
      </c>
      <c r="C4325" s="8">
        <f>DATE(2012,12,31)-1435</f>
        <v>39839</v>
      </c>
      <c r="D4325" s="8" t="str">
        <f t="shared" si="80"/>
        <v>2009-01 (январь 2009)</v>
      </c>
      <c r="E4325" s="9" t="s">
        <v>63</v>
      </c>
      <c r="F4325" s="7">
        <v>11</v>
      </c>
      <c r="G4325" s="7">
        <v>67.14</v>
      </c>
      <c r="H4325" s="7">
        <v>7.0000000000000007E-2</v>
      </c>
      <c r="I4325" s="9" t="s">
        <v>22</v>
      </c>
      <c r="J4325" s="10">
        <v>-29.98</v>
      </c>
      <c r="K4325" s="11">
        <v>5.98</v>
      </c>
      <c r="L4325" s="11">
        <v>5.35</v>
      </c>
      <c r="M4325" s="9" t="s">
        <v>1778</v>
      </c>
      <c r="N4325" s="6" t="s">
        <v>1123</v>
      </c>
      <c r="O4325" s="6" t="s">
        <v>1123</v>
      </c>
      <c r="P4325" s="9" t="s">
        <v>33</v>
      </c>
      <c r="Q4325" s="9" t="s">
        <v>26</v>
      </c>
      <c r="R4325" s="9" t="s">
        <v>61</v>
      </c>
      <c r="S4325" s="7" t="s">
        <v>882</v>
      </c>
      <c r="T4325" s="9" t="s">
        <v>39</v>
      </c>
      <c r="U4325" s="7">
        <v>0.4</v>
      </c>
      <c r="V4325" s="12">
        <f>C4325+2</f>
        <v>39841</v>
      </c>
      <c r="W4325">
        <f>IF(D4325=' Pivot Tables'!$A$4,1,0)</f>
        <v>0</v>
      </c>
      <c r="X4325">
        <f>IF(AND(LEFT(D4325,4)+1=LEFT(' Pivot Tables'!$A$4,4)+0,RIGHT(LEFT(D4325,7),2)=RIGHT(LEFT(' Pivot Tables'!$A$4,7),2)),1,0)</f>
        <v>1</v>
      </c>
      <c r="Y4325" s="6">
        <f>1/COUNTIF(Таблица1[Order ID],Таблица1[[#This Row],[Order ID]])</f>
        <v>0.5</v>
      </c>
      <c r="Z4325" s="9">
        <f>1/COUNTIFS(Таблица1[Customer Name],Таблица1[[#This Row],[Customer Name]],Таблица1[Order-Year-Month],Таблица1[[#This Row],[Order-Year-Month]])</f>
        <v>0.5</v>
      </c>
    </row>
    <row r="4326" spans="1:26" x14ac:dyDescent="0.2">
      <c r="A4326" s="6">
        <v>2397</v>
      </c>
      <c r="B4326" s="7">
        <v>17379</v>
      </c>
      <c r="C4326" s="8">
        <f>DATE(2012,12,31)-505</f>
        <v>40769</v>
      </c>
      <c r="D4326" s="8" t="str">
        <f t="shared" si="80"/>
        <v>2011-08 (август 2011)</v>
      </c>
      <c r="E4326" s="9" t="s">
        <v>78</v>
      </c>
      <c r="F4326" s="7">
        <v>29</v>
      </c>
      <c r="G4326" s="7">
        <v>3218.42</v>
      </c>
      <c r="H4326" s="7">
        <v>0.08</v>
      </c>
      <c r="I4326" s="9" t="s">
        <v>31</v>
      </c>
      <c r="J4326" s="10">
        <v>-1248.58</v>
      </c>
      <c r="K4326" s="11">
        <v>114.98</v>
      </c>
      <c r="L4326" s="11">
        <v>58.72</v>
      </c>
      <c r="M4326" s="9" t="s">
        <v>1439</v>
      </c>
      <c r="N4326" s="6" t="s">
        <v>1123</v>
      </c>
      <c r="O4326" s="6" t="s">
        <v>1123</v>
      </c>
      <c r="P4326" s="9" t="s">
        <v>33</v>
      </c>
      <c r="Q4326" s="9" t="s">
        <v>49</v>
      </c>
      <c r="R4326" s="9" t="s">
        <v>80</v>
      </c>
      <c r="S4326" s="7" t="s">
        <v>983</v>
      </c>
      <c r="T4326" s="9" t="s">
        <v>82</v>
      </c>
      <c r="U4326" s="7">
        <v>0.76</v>
      </c>
      <c r="V4326" s="12">
        <f>C4326+2</f>
        <v>40771</v>
      </c>
      <c r="W4326">
        <f>IF(D4326=' Pivot Tables'!$A$4,1,0)</f>
        <v>0</v>
      </c>
      <c r="X4326">
        <f>IF(AND(LEFT(D4326,4)+1=LEFT(' Pivot Tables'!$A$4,4)+0,RIGHT(LEFT(D4326,7),2)=RIGHT(LEFT(' Pivot Tables'!$A$4,7),2)),1,0)</f>
        <v>0</v>
      </c>
      <c r="Y4326" s="6">
        <f>1/COUNTIF(Таблица1[Order ID],Таблица1[[#This Row],[Order ID]])</f>
        <v>1</v>
      </c>
      <c r="Z4326" s="9">
        <f>1/COUNTIFS(Таблица1[Customer Name],Таблица1[[#This Row],[Customer Name]],Таблица1[Order-Year-Month],Таблица1[[#This Row],[Order-Year-Month]])</f>
        <v>1</v>
      </c>
    </row>
    <row r="4327" spans="1:26" x14ac:dyDescent="0.2">
      <c r="A4327" s="6">
        <v>2424</v>
      </c>
      <c r="B4327" s="7">
        <v>17573</v>
      </c>
      <c r="C4327" s="8">
        <f>DATE(2012,12,31)-484</f>
        <v>40790</v>
      </c>
      <c r="D4327" s="8" t="str">
        <f t="shared" si="80"/>
        <v>2011-09 (сентябрь 2011)</v>
      </c>
      <c r="E4327" s="9" t="s">
        <v>21</v>
      </c>
      <c r="F4327" s="7">
        <v>23</v>
      </c>
      <c r="G4327" s="7">
        <v>220.97</v>
      </c>
      <c r="H4327" s="7">
        <v>0.02</v>
      </c>
      <c r="I4327" s="9" t="s">
        <v>22</v>
      </c>
      <c r="J4327" s="10">
        <v>-25.86</v>
      </c>
      <c r="K4327" s="11">
        <v>9.48</v>
      </c>
      <c r="L4327" s="11">
        <v>7.29</v>
      </c>
      <c r="M4327" s="9" t="s">
        <v>1791</v>
      </c>
      <c r="N4327" s="6" t="s">
        <v>1123</v>
      </c>
      <c r="O4327" s="6" t="s">
        <v>1123</v>
      </c>
      <c r="P4327" s="9" t="s">
        <v>25</v>
      </c>
      <c r="Q4327" s="9" t="s">
        <v>49</v>
      </c>
      <c r="R4327" s="9" t="s">
        <v>50</v>
      </c>
      <c r="S4327" s="7" t="s">
        <v>934</v>
      </c>
      <c r="T4327" s="9" t="s">
        <v>52</v>
      </c>
      <c r="U4327" s="7">
        <v>0.45</v>
      </c>
      <c r="V4327" s="12">
        <f>C4327+4</f>
        <v>40794</v>
      </c>
      <c r="W4327">
        <f>IF(D4327=' Pivot Tables'!$A$4,1,0)</f>
        <v>0</v>
      </c>
      <c r="X4327">
        <f>IF(AND(LEFT(D4327,4)+1=LEFT(' Pivot Tables'!$A$4,4)+0,RIGHT(LEFT(D4327,7),2)=RIGHT(LEFT(' Pivot Tables'!$A$4,7),2)),1,0)</f>
        <v>0</v>
      </c>
      <c r="Y4327" s="6">
        <f>1/COUNTIF(Таблица1[Order ID],Таблица1[[#This Row],[Order ID]])</f>
        <v>0.5</v>
      </c>
      <c r="Z4327" s="9">
        <f>1/COUNTIFS(Таблица1[Customer Name],Таблица1[[#This Row],[Customer Name]],Таблица1[Order-Year-Month],Таблица1[[#This Row],[Order-Year-Month]])</f>
        <v>0.5</v>
      </c>
    </row>
    <row r="4328" spans="1:26" x14ac:dyDescent="0.2">
      <c r="A4328" s="6">
        <v>2441</v>
      </c>
      <c r="B4328" s="7">
        <v>17702</v>
      </c>
      <c r="C4328" s="8">
        <f>DATE(2012,12,31)-262</f>
        <v>41012</v>
      </c>
      <c r="D4328" s="8" t="str">
        <f t="shared" si="80"/>
        <v>2012-04 (апрель 2012)</v>
      </c>
      <c r="E4328" s="9" t="s">
        <v>30</v>
      </c>
      <c r="F4328" s="7">
        <v>48</v>
      </c>
      <c r="G4328" s="7">
        <v>368.99</v>
      </c>
      <c r="H4328" s="7">
        <v>0.09</v>
      </c>
      <c r="I4328" s="9" t="s">
        <v>22</v>
      </c>
      <c r="J4328" s="10">
        <v>-305.91000000000003</v>
      </c>
      <c r="K4328" s="11">
        <v>7.77</v>
      </c>
      <c r="L4328" s="11">
        <v>9.23</v>
      </c>
      <c r="M4328" s="9" t="s">
        <v>910</v>
      </c>
      <c r="N4328" s="6" t="s">
        <v>1123</v>
      </c>
      <c r="O4328" s="6" t="s">
        <v>1123</v>
      </c>
      <c r="P4328" s="9" t="s">
        <v>60</v>
      </c>
      <c r="Q4328" s="9" t="s">
        <v>26</v>
      </c>
      <c r="R4328" s="9" t="s">
        <v>34</v>
      </c>
      <c r="S4328" s="7" t="s">
        <v>1386</v>
      </c>
      <c r="T4328" s="9" t="s">
        <v>39</v>
      </c>
      <c r="U4328" s="7">
        <v>0.57999999999999996</v>
      </c>
      <c r="V4328" s="12">
        <f>C4328+1</f>
        <v>41013</v>
      </c>
      <c r="W4328">
        <f>IF(D4328=' Pivot Tables'!$A$4,1,0)</f>
        <v>0</v>
      </c>
      <c r="X4328">
        <f>IF(AND(LEFT(D4328,4)+1=LEFT(' Pivot Tables'!$A$4,4)+0,RIGHT(LEFT(D4328,7),2)=RIGHT(LEFT(' Pivot Tables'!$A$4,7),2)),1,0)</f>
        <v>0</v>
      </c>
      <c r="Y4328" s="6">
        <f>1/COUNTIF(Таблица1[Order ID],Таблица1[[#This Row],[Order ID]])</f>
        <v>0.5</v>
      </c>
      <c r="Z4328" s="9">
        <f>1/COUNTIFS(Таблица1[Customer Name],Таблица1[[#This Row],[Customer Name]],Таблица1[Order-Year-Month],Таблица1[[#This Row],[Order-Year-Month]])</f>
        <v>0.5</v>
      </c>
    </row>
    <row r="4329" spans="1:26" x14ac:dyDescent="0.2">
      <c r="A4329" s="6">
        <v>2576</v>
      </c>
      <c r="B4329" s="7">
        <v>18595</v>
      </c>
      <c r="C4329" s="8">
        <f>DATE(2012,12,31)-1430</f>
        <v>39844</v>
      </c>
      <c r="D4329" s="8" t="str">
        <f t="shared" si="80"/>
        <v>2009-01 (январь 2009)</v>
      </c>
      <c r="E4329" s="9" t="s">
        <v>78</v>
      </c>
      <c r="F4329" s="7">
        <v>6</v>
      </c>
      <c r="G4329" s="7">
        <v>451.44</v>
      </c>
      <c r="H4329" s="7">
        <v>0.1</v>
      </c>
      <c r="I4329" s="9" t="s">
        <v>22</v>
      </c>
      <c r="J4329" s="10">
        <v>-35.19</v>
      </c>
      <c r="K4329" s="11">
        <v>78.650000000000006</v>
      </c>
      <c r="L4329" s="11">
        <v>13.99</v>
      </c>
      <c r="M4329" s="9" t="s">
        <v>1782</v>
      </c>
      <c r="N4329" s="6" t="s">
        <v>1123</v>
      </c>
      <c r="O4329" s="6" t="s">
        <v>1123</v>
      </c>
      <c r="P4329" s="9" t="s">
        <v>60</v>
      </c>
      <c r="Q4329" s="9" t="s">
        <v>26</v>
      </c>
      <c r="R4329" s="9" t="s">
        <v>34</v>
      </c>
      <c r="S4329" s="7" t="s">
        <v>495</v>
      </c>
      <c r="T4329" s="9" t="s">
        <v>48</v>
      </c>
      <c r="U4329" s="7">
        <v>0.52</v>
      </c>
      <c r="V4329" s="12">
        <f>C4329+2</f>
        <v>39846</v>
      </c>
      <c r="W4329">
        <f>IF(D4329=' Pivot Tables'!$A$4,1,0)</f>
        <v>0</v>
      </c>
      <c r="X4329">
        <f>IF(AND(LEFT(D4329,4)+1=LEFT(' Pivot Tables'!$A$4,4)+0,RIGHT(LEFT(D4329,7),2)=RIGHT(LEFT(' Pivot Tables'!$A$4,7),2)),1,0)</f>
        <v>1</v>
      </c>
      <c r="Y4329" s="6">
        <f>1/COUNTIF(Таблица1[Order ID],Таблица1[[#This Row],[Order ID]])</f>
        <v>0.5</v>
      </c>
      <c r="Z4329" s="9">
        <f>1/COUNTIFS(Таблица1[Customer Name],Таблица1[[#This Row],[Customer Name]],Таблица1[Order-Year-Month],Таблица1[[#This Row],[Order-Year-Month]])</f>
        <v>0.5</v>
      </c>
    </row>
    <row r="4330" spans="1:26" x14ac:dyDescent="0.2">
      <c r="A4330" s="6">
        <v>2577</v>
      </c>
      <c r="B4330" s="7">
        <v>18595</v>
      </c>
      <c r="C4330" s="8">
        <f>DATE(2012,12,31)-1430</f>
        <v>39844</v>
      </c>
      <c r="D4330" s="8" t="str">
        <f t="shared" si="80"/>
        <v>2009-01 (январь 2009)</v>
      </c>
      <c r="E4330" s="9" t="s">
        <v>78</v>
      </c>
      <c r="F4330" s="7">
        <v>16</v>
      </c>
      <c r="G4330" s="7">
        <v>138.55000000000001</v>
      </c>
      <c r="H4330" s="7">
        <v>0.03</v>
      </c>
      <c r="I4330" s="9" t="s">
        <v>22</v>
      </c>
      <c r="J4330" s="10">
        <v>0.89999999999999858</v>
      </c>
      <c r="K4330" s="11">
        <v>8.34</v>
      </c>
      <c r="L4330" s="11">
        <v>2.64</v>
      </c>
      <c r="M4330" s="9" t="s">
        <v>1782</v>
      </c>
      <c r="N4330" s="6" t="s">
        <v>1123</v>
      </c>
      <c r="O4330" s="6" t="s">
        <v>1123</v>
      </c>
      <c r="P4330" s="9" t="s">
        <v>60</v>
      </c>
      <c r="Q4330" s="9" t="s">
        <v>26</v>
      </c>
      <c r="R4330" s="9" t="s">
        <v>150</v>
      </c>
      <c r="S4330" s="7" t="s">
        <v>1381</v>
      </c>
      <c r="T4330" s="9" t="s">
        <v>52</v>
      </c>
      <c r="U4330" s="7">
        <v>0.59</v>
      </c>
      <c r="V4330" s="12">
        <f>C4330+2</f>
        <v>39846</v>
      </c>
      <c r="W4330">
        <f>IF(D4330=' Pivot Tables'!$A$4,1,0)</f>
        <v>0</v>
      </c>
      <c r="X4330">
        <f>IF(AND(LEFT(D4330,4)+1=LEFT(' Pivot Tables'!$A$4,4)+0,RIGHT(LEFT(D4330,7),2)=RIGHT(LEFT(' Pivot Tables'!$A$4,7),2)),1,0)</f>
        <v>1</v>
      </c>
      <c r="Y4330" s="6">
        <f>1/COUNTIF(Таблица1[Order ID],Таблица1[[#This Row],[Order ID]])</f>
        <v>0.5</v>
      </c>
      <c r="Z4330" s="9">
        <f>1/COUNTIFS(Таблица1[Customer Name],Таблица1[[#This Row],[Customer Name]],Таблица1[Order-Year-Month],Таблица1[[#This Row],[Order-Year-Month]])</f>
        <v>0.5</v>
      </c>
    </row>
    <row r="4331" spans="1:26" x14ac:dyDescent="0.2">
      <c r="A4331" s="6">
        <v>2655</v>
      </c>
      <c r="B4331" s="7">
        <v>19205</v>
      </c>
      <c r="C4331" s="8">
        <f>DATE(2012,12,31)-889</f>
        <v>40385</v>
      </c>
      <c r="D4331" s="8" t="str">
        <f t="shared" si="80"/>
        <v>2010-07 (июль 2010)</v>
      </c>
      <c r="E4331" s="9" t="s">
        <v>63</v>
      </c>
      <c r="F4331" s="7">
        <v>47</v>
      </c>
      <c r="G4331" s="7">
        <v>1291.3499999999999</v>
      </c>
      <c r="H4331" s="7">
        <v>0.04</v>
      </c>
      <c r="I4331" s="9" t="s">
        <v>22</v>
      </c>
      <c r="J4331" s="10">
        <v>479.62</v>
      </c>
      <c r="K4331" s="11">
        <v>26.38</v>
      </c>
      <c r="L4331" s="11">
        <v>5.86</v>
      </c>
      <c r="M4331" s="9" t="s">
        <v>1759</v>
      </c>
      <c r="N4331" s="6" t="s">
        <v>1123</v>
      </c>
      <c r="O4331" s="6" t="s">
        <v>1123</v>
      </c>
      <c r="P4331" s="9" t="s">
        <v>25</v>
      </c>
      <c r="Q4331" s="9" t="s">
        <v>26</v>
      </c>
      <c r="R4331" s="9" t="s">
        <v>61</v>
      </c>
      <c r="S4331" s="7" t="s">
        <v>515</v>
      </c>
      <c r="T4331" s="9" t="s">
        <v>39</v>
      </c>
      <c r="U4331" s="7">
        <v>0.39</v>
      </c>
      <c r="V4331" s="12">
        <f>C4331+1</f>
        <v>40386</v>
      </c>
      <c r="W4331">
        <f>IF(D4331=' Pivot Tables'!$A$4,1,0)</f>
        <v>0</v>
      </c>
      <c r="X4331">
        <f>IF(AND(LEFT(D4331,4)+1=LEFT(' Pivot Tables'!$A$4,4)+0,RIGHT(LEFT(D4331,7),2)=RIGHT(LEFT(' Pivot Tables'!$A$4,7),2)),1,0)</f>
        <v>0</v>
      </c>
      <c r="Y4331" s="6">
        <f>1/COUNTIF(Таблица1[Order ID],Таблица1[[#This Row],[Order ID]])</f>
        <v>0.5</v>
      </c>
      <c r="Z4331" s="9">
        <f>1/COUNTIFS(Таблица1[Customer Name],Таблица1[[#This Row],[Customer Name]],Таблица1[Order-Year-Month],Таблица1[[#This Row],[Order-Year-Month]])</f>
        <v>0.5</v>
      </c>
    </row>
    <row r="4332" spans="1:26" x14ac:dyDescent="0.2">
      <c r="A4332" s="6">
        <v>2656</v>
      </c>
      <c r="B4332" s="7">
        <v>19205</v>
      </c>
      <c r="C4332" s="8">
        <f>DATE(2012,12,31)-889</f>
        <v>40385</v>
      </c>
      <c r="D4332" s="8" t="str">
        <f t="shared" si="80"/>
        <v>2010-07 (июль 2010)</v>
      </c>
      <c r="E4332" s="9" t="s">
        <v>63</v>
      </c>
      <c r="F4332" s="7">
        <v>31</v>
      </c>
      <c r="G4332" s="7">
        <v>107.97</v>
      </c>
      <c r="H4332" s="7">
        <v>0</v>
      </c>
      <c r="I4332" s="9" t="s">
        <v>22</v>
      </c>
      <c r="J4332" s="10">
        <v>2.36</v>
      </c>
      <c r="K4332" s="11">
        <v>3.26</v>
      </c>
      <c r="L4332" s="11">
        <v>1.86</v>
      </c>
      <c r="M4332" s="9" t="s">
        <v>1759</v>
      </c>
      <c r="N4332" s="6" t="s">
        <v>1123</v>
      </c>
      <c r="O4332" s="6" t="s">
        <v>1123</v>
      </c>
      <c r="P4332" s="9" t="s">
        <v>25</v>
      </c>
      <c r="Q4332" s="9" t="s">
        <v>26</v>
      </c>
      <c r="R4332" s="9" t="s">
        <v>95</v>
      </c>
      <c r="S4332" s="7" t="s">
        <v>1535</v>
      </c>
      <c r="T4332" s="9" t="s">
        <v>68</v>
      </c>
      <c r="U4332" s="7">
        <v>0.41</v>
      </c>
      <c r="V4332" s="12">
        <f>C4332+2</f>
        <v>40387</v>
      </c>
      <c r="W4332">
        <f>IF(D4332=' Pivot Tables'!$A$4,1,0)</f>
        <v>0</v>
      </c>
      <c r="X4332">
        <f>IF(AND(LEFT(D4332,4)+1=LEFT(' Pivot Tables'!$A$4,4)+0,RIGHT(LEFT(D4332,7),2)=RIGHT(LEFT(' Pivot Tables'!$A$4,7),2)),1,0)</f>
        <v>0</v>
      </c>
      <c r="Y4332" s="6">
        <f>1/COUNTIF(Таблица1[Order ID],Таблица1[[#This Row],[Order ID]])</f>
        <v>0.5</v>
      </c>
      <c r="Z4332" s="9">
        <f>1/COUNTIFS(Таблица1[Customer Name],Таблица1[[#This Row],[Customer Name]],Таблица1[Order-Year-Month],Таблица1[[#This Row],[Order-Year-Month]])</f>
        <v>0.5</v>
      </c>
    </row>
    <row r="4333" spans="1:26" x14ac:dyDescent="0.2">
      <c r="A4333" s="6">
        <v>2694</v>
      </c>
      <c r="B4333" s="7">
        <v>19494</v>
      </c>
      <c r="C4333" s="8">
        <f>DATE(2012,12,31)-1084</f>
        <v>40190</v>
      </c>
      <c r="D4333" s="8" t="str">
        <f t="shared" si="80"/>
        <v>2010-01 (январь 2010)</v>
      </c>
      <c r="E4333" s="9" t="s">
        <v>30</v>
      </c>
      <c r="F4333" s="7">
        <v>39</v>
      </c>
      <c r="G4333" s="7">
        <v>857.32</v>
      </c>
      <c r="H4333" s="7">
        <v>0.05</v>
      </c>
      <c r="I4333" s="9" t="s">
        <v>22</v>
      </c>
      <c r="J4333" s="10">
        <v>195.71</v>
      </c>
      <c r="K4333" s="11">
        <v>22.23</v>
      </c>
      <c r="L4333" s="11">
        <v>8.99</v>
      </c>
      <c r="M4333" s="9" t="s">
        <v>1791</v>
      </c>
      <c r="N4333" s="6" t="s">
        <v>1123</v>
      </c>
      <c r="O4333" s="6" t="s">
        <v>1123</v>
      </c>
      <c r="P4333" s="9" t="s">
        <v>25</v>
      </c>
      <c r="Q4333" s="9" t="s">
        <v>49</v>
      </c>
      <c r="R4333" s="9" t="s">
        <v>50</v>
      </c>
      <c r="S4333" s="7" t="s">
        <v>960</v>
      </c>
      <c r="T4333" s="9" t="s">
        <v>52</v>
      </c>
      <c r="U4333" s="7">
        <v>0.41</v>
      </c>
      <c r="V4333" s="12">
        <f>C4333+2</f>
        <v>40192</v>
      </c>
      <c r="W4333">
        <f>IF(D4333=' Pivot Tables'!$A$4,1,0)</f>
        <v>1</v>
      </c>
      <c r="X4333">
        <f>IF(AND(LEFT(D4333,4)+1=LEFT(' Pivot Tables'!$A$4,4)+0,RIGHT(LEFT(D4333,7),2)=RIGHT(LEFT(' Pivot Tables'!$A$4,7),2)),1,0)</f>
        <v>0</v>
      </c>
      <c r="Y4333" s="6">
        <f>1/COUNTIF(Таблица1[Order ID],Таблица1[[#This Row],[Order ID]])</f>
        <v>0.5</v>
      </c>
      <c r="Z4333" s="9">
        <f>1/COUNTIFS(Таблица1[Customer Name],Таблица1[[#This Row],[Customer Name]],Таблица1[Order-Year-Month],Таблица1[[#This Row],[Order-Year-Month]])</f>
        <v>0.5</v>
      </c>
    </row>
    <row r="4334" spans="1:26" x14ac:dyDescent="0.2">
      <c r="A4334" s="6">
        <v>2695</v>
      </c>
      <c r="B4334" s="7">
        <v>19494</v>
      </c>
      <c r="C4334" s="8">
        <f>DATE(2012,12,31)-1084</f>
        <v>40190</v>
      </c>
      <c r="D4334" s="8" t="str">
        <f t="shared" si="80"/>
        <v>2010-01 (январь 2010)</v>
      </c>
      <c r="E4334" s="9" t="s">
        <v>30</v>
      </c>
      <c r="F4334" s="7">
        <v>2</v>
      </c>
      <c r="G4334" s="7">
        <v>8.8699999999999992</v>
      </c>
      <c r="H4334" s="7">
        <v>0.03</v>
      </c>
      <c r="I4334" s="9" t="s">
        <v>22</v>
      </c>
      <c r="J4334" s="10">
        <v>-6.79</v>
      </c>
      <c r="K4334" s="11">
        <v>2.74</v>
      </c>
      <c r="L4334" s="11">
        <v>3.5</v>
      </c>
      <c r="M4334" s="9" t="s">
        <v>1791</v>
      </c>
      <c r="N4334" s="6" t="s">
        <v>1123</v>
      </c>
      <c r="O4334" s="6" t="s">
        <v>1123</v>
      </c>
      <c r="P4334" s="9" t="s">
        <v>25</v>
      </c>
      <c r="Q4334" s="9" t="s">
        <v>26</v>
      </c>
      <c r="R4334" s="9" t="s">
        <v>95</v>
      </c>
      <c r="S4334" s="7" t="s">
        <v>1573</v>
      </c>
      <c r="T4334" s="9" t="s">
        <v>52</v>
      </c>
      <c r="U4334" s="7">
        <v>0.57999999999999996</v>
      </c>
      <c r="V4334" s="12">
        <f>C4334+3</f>
        <v>40193</v>
      </c>
      <c r="W4334">
        <f>IF(D4334=' Pivot Tables'!$A$4,1,0)</f>
        <v>1</v>
      </c>
      <c r="X4334">
        <f>IF(AND(LEFT(D4334,4)+1=LEFT(' Pivot Tables'!$A$4,4)+0,RIGHT(LEFT(D4334,7),2)=RIGHT(LEFT(' Pivot Tables'!$A$4,7),2)),1,0)</f>
        <v>0</v>
      </c>
      <c r="Y4334" s="6">
        <f>1/COUNTIF(Таблица1[Order ID],Таблица1[[#This Row],[Order ID]])</f>
        <v>0.5</v>
      </c>
      <c r="Z4334" s="9">
        <f>1/COUNTIFS(Таблица1[Customer Name],Таблица1[[#This Row],[Customer Name]],Таблица1[Order-Year-Month],Таблица1[[#This Row],[Order-Year-Month]])</f>
        <v>0.5</v>
      </c>
    </row>
    <row r="4335" spans="1:26" x14ac:dyDescent="0.2">
      <c r="A4335" s="6">
        <v>2699</v>
      </c>
      <c r="B4335" s="7">
        <v>19523</v>
      </c>
      <c r="C4335" s="8">
        <f>DATE(2012,12,31)-397</f>
        <v>40877</v>
      </c>
      <c r="D4335" s="8" t="str">
        <f t="shared" si="80"/>
        <v>2011-11 (ноябрь 2011)</v>
      </c>
      <c r="E4335" s="9" t="s">
        <v>30</v>
      </c>
      <c r="F4335" s="7">
        <v>44</v>
      </c>
      <c r="G4335" s="7">
        <v>155.78</v>
      </c>
      <c r="H4335" s="7">
        <v>0.04</v>
      </c>
      <c r="I4335" s="9" t="s">
        <v>22</v>
      </c>
      <c r="J4335" s="10">
        <v>-10</v>
      </c>
      <c r="K4335" s="11">
        <v>3.6</v>
      </c>
      <c r="L4335" s="11">
        <v>2.2000000000000002</v>
      </c>
      <c r="M4335" s="9" t="s">
        <v>650</v>
      </c>
      <c r="N4335" s="6" t="s">
        <v>1123</v>
      </c>
      <c r="O4335" s="6" t="s">
        <v>1123</v>
      </c>
      <c r="P4335" s="9" t="s">
        <v>41</v>
      </c>
      <c r="Q4335" s="9" t="s">
        <v>26</v>
      </c>
      <c r="R4335" s="9" t="s">
        <v>61</v>
      </c>
      <c r="S4335" s="7" t="s">
        <v>1365</v>
      </c>
      <c r="T4335" s="9" t="s">
        <v>68</v>
      </c>
      <c r="U4335" s="7">
        <v>0.39</v>
      </c>
      <c r="V4335" s="12">
        <f>C4335+1</f>
        <v>40878</v>
      </c>
      <c r="W4335">
        <f>IF(D4335=' Pivot Tables'!$A$4,1,0)</f>
        <v>0</v>
      </c>
      <c r="X4335">
        <f>IF(AND(LEFT(D4335,4)+1=LEFT(' Pivot Tables'!$A$4,4)+0,RIGHT(LEFT(D4335,7),2)=RIGHT(LEFT(' Pivot Tables'!$A$4,7),2)),1,0)</f>
        <v>0</v>
      </c>
      <c r="Y4335" s="6">
        <f>1/COUNTIF(Таблица1[Order ID],Таблица1[[#This Row],[Order ID]])</f>
        <v>1</v>
      </c>
      <c r="Z4335" s="9">
        <f>1/COUNTIFS(Таблица1[Customer Name],Таблица1[[#This Row],[Customer Name]],Таблица1[Order-Year-Month],Таблица1[[#This Row],[Order-Year-Month]])</f>
        <v>1</v>
      </c>
    </row>
    <row r="4336" spans="1:26" x14ac:dyDescent="0.2">
      <c r="A4336" s="6">
        <v>2842</v>
      </c>
      <c r="B4336" s="7">
        <v>20482</v>
      </c>
      <c r="C4336" s="8">
        <f>DATE(2012,12,31)-532</f>
        <v>40742</v>
      </c>
      <c r="D4336" s="8" t="str">
        <f t="shared" si="80"/>
        <v>2011-07 (июль 2011)</v>
      </c>
      <c r="E4336" s="9" t="s">
        <v>63</v>
      </c>
      <c r="F4336" s="7">
        <v>38</v>
      </c>
      <c r="G4336" s="7">
        <v>4650.07</v>
      </c>
      <c r="H4336" s="7">
        <v>0.04</v>
      </c>
      <c r="I4336" s="9" t="s">
        <v>31</v>
      </c>
      <c r="J4336" s="10">
        <v>-1143.1500000000001</v>
      </c>
      <c r="K4336" s="11">
        <v>120.98</v>
      </c>
      <c r="L4336" s="11">
        <v>60.19</v>
      </c>
      <c r="M4336" s="9" t="s">
        <v>1792</v>
      </c>
      <c r="N4336" s="6" t="s">
        <v>1123</v>
      </c>
      <c r="O4336" s="6" t="s">
        <v>1123</v>
      </c>
      <c r="P4336" s="9" t="s">
        <v>25</v>
      </c>
      <c r="Q4336" s="9" t="s">
        <v>49</v>
      </c>
      <c r="R4336" s="9" t="s">
        <v>80</v>
      </c>
      <c r="S4336" s="7" t="s">
        <v>1793</v>
      </c>
      <c r="T4336" s="9" t="s">
        <v>82</v>
      </c>
      <c r="U4336" s="7">
        <v>0.71</v>
      </c>
      <c r="V4336" s="12">
        <f>C4336+0</f>
        <v>40742</v>
      </c>
      <c r="W4336">
        <f>IF(D4336=' Pivot Tables'!$A$4,1,0)</f>
        <v>0</v>
      </c>
      <c r="X4336">
        <f>IF(AND(LEFT(D4336,4)+1=LEFT(' Pivot Tables'!$A$4,4)+0,RIGHT(LEFT(D4336,7),2)=RIGHT(LEFT(' Pivot Tables'!$A$4,7),2)),1,0)</f>
        <v>0</v>
      </c>
      <c r="Y4336" s="6">
        <f>1/COUNTIF(Таблица1[Order ID],Таблица1[[#This Row],[Order ID]])</f>
        <v>0.5</v>
      </c>
      <c r="Z4336" s="9">
        <f>1/COUNTIFS(Таблица1[Customer Name],Таблица1[[#This Row],[Customer Name]],Таблица1[Order-Year-Month],Таблица1[[#This Row],[Order-Year-Month]])</f>
        <v>0.5</v>
      </c>
    </row>
    <row r="4337" spans="1:26" x14ac:dyDescent="0.2">
      <c r="A4337" s="6">
        <v>2843</v>
      </c>
      <c r="B4337" s="7">
        <v>20482</v>
      </c>
      <c r="C4337" s="8">
        <f>DATE(2012,12,31)-532</f>
        <v>40742</v>
      </c>
      <c r="D4337" s="8" t="str">
        <f t="shared" si="80"/>
        <v>2011-07 (июль 2011)</v>
      </c>
      <c r="E4337" s="9" t="s">
        <v>63</v>
      </c>
      <c r="F4337" s="7">
        <v>39</v>
      </c>
      <c r="G4337" s="7">
        <v>497.52</v>
      </c>
      <c r="H4337" s="7">
        <v>0.03</v>
      </c>
      <c r="I4337" s="9" t="s">
        <v>22</v>
      </c>
      <c r="J4337" s="10">
        <v>92.46</v>
      </c>
      <c r="K4337" s="11">
        <v>12.28</v>
      </c>
      <c r="L4337" s="11">
        <v>5.09</v>
      </c>
      <c r="M4337" s="9" t="s">
        <v>1792</v>
      </c>
      <c r="N4337" s="6" t="s">
        <v>1123</v>
      </c>
      <c r="O4337" s="6" t="s">
        <v>1123</v>
      </c>
      <c r="P4337" s="9" t="s">
        <v>25</v>
      </c>
      <c r="Q4337" s="9" t="s">
        <v>26</v>
      </c>
      <c r="R4337" s="9" t="s">
        <v>61</v>
      </c>
      <c r="S4337" s="7" t="s">
        <v>970</v>
      </c>
      <c r="T4337" s="9" t="s">
        <v>39</v>
      </c>
      <c r="U4337" s="7">
        <v>0.38</v>
      </c>
      <c r="V4337" s="12">
        <f>C4337+2</f>
        <v>40744</v>
      </c>
      <c r="W4337">
        <f>IF(D4337=' Pivot Tables'!$A$4,1,0)</f>
        <v>0</v>
      </c>
      <c r="X4337">
        <f>IF(AND(LEFT(D4337,4)+1=LEFT(' Pivot Tables'!$A$4,4)+0,RIGHT(LEFT(D4337,7),2)=RIGHT(LEFT(' Pivot Tables'!$A$4,7),2)),1,0)</f>
        <v>0</v>
      </c>
      <c r="Y4337" s="6">
        <f>1/COUNTIF(Таблица1[Order ID],Таблица1[[#This Row],[Order ID]])</f>
        <v>0.5</v>
      </c>
      <c r="Z4337" s="9">
        <f>1/COUNTIFS(Таблица1[Customer Name],Таблица1[[#This Row],[Customer Name]],Таблица1[Order-Year-Month],Таблица1[[#This Row],[Order-Year-Month]])</f>
        <v>0.5</v>
      </c>
    </row>
    <row r="4338" spans="1:26" x14ac:dyDescent="0.2">
      <c r="A4338" s="6">
        <v>2963</v>
      </c>
      <c r="B4338" s="7">
        <v>21414</v>
      </c>
      <c r="C4338" s="8">
        <f>DATE(2012,12,31)-607</f>
        <v>40667</v>
      </c>
      <c r="D4338" s="8" t="str">
        <f t="shared" si="80"/>
        <v>2011-05 (май 2011)</v>
      </c>
      <c r="E4338" s="9" t="s">
        <v>78</v>
      </c>
      <c r="F4338" s="7">
        <v>43</v>
      </c>
      <c r="G4338" s="7">
        <v>103.6</v>
      </c>
      <c r="H4338" s="7">
        <v>0.09</v>
      </c>
      <c r="I4338" s="9" t="s">
        <v>56</v>
      </c>
      <c r="J4338" s="10">
        <v>-72.86</v>
      </c>
      <c r="K4338" s="11">
        <v>2.52</v>
      </c>
      <c r="L4338" s="11">
        <v>1.92</v>
      </c>
      <c r="M4338" s="9" t="s">
        <v>1439</v>
      </c>
      <c r="N4338" s="6" t="s">
        <v>1123</v>
      </c>
      <c r="O4338" s="6" t="s">
        <v>1123</v>
      </c>
      <c r="P4338" s="9" t="s">
        <v>33</v>
      </c>
      <c r="Q4338" s="9" t="s">
        <v>26</v>
      </c>
      <c r="R4338" s="9" t="s">
        <v>150</v>
      </c>
      <c r="S4338" s="7" t="s">
        <v>1336</v>
      </c>
      <c r="T4338" s="9" t="s">
        <v>68</v>
      </c>
      <c r="U4338" s="7">
        <v>0.82</v>
      </c>
      <c r="V4338" s="12">
        <f>C4338+0</f>
        <v>40667</v>
      </c>
      <c r="W4338">
        <f>IF(D4338=' Pivot Tables'!$A$4,1,0)</f>
        <v>0</v>
      </c>
      <c r="X4338">
        <f>IF(AND(LEFT(D4338,4)+1=LEFT(' Pivot Tables'!$A$4,4)+0,RIGHT(LEFT(D4338,7),2)=RIGHT(LEFT(' Pivot Tables'!$A$4,7),2)),1,0)</f>
        <v>0</v>
      </c>
      <c r="Y4338" s="6">
        <f>1/COUNTIF(Таблица1[Order ID],Таблица1[[#This Row],[Order ID]])</f>
        <v>0.25</v>
      </c>
      <c r="Z4338" s="9">
        <f>1/COUNTIFS(Таблица1[Customer Name],Таблица1[[#This Row],[Customer Name]],Таблица1[Order-Year-Month],Таблица1[[#This Row],[Order-Year-Month]])</f>
        <v>0.25</v>
      </c>
    </row>
    <row r="4339" spans="1:26" x14ac:dyDescent="0.2">
      <c r="A4339" s="6">
        <v>2967</v>
      </c>
      <c r="B4339" s="7">
        <v>21445</v>
      </c>
      <c r="C4339" s="8">
        <f>DATE(2012,12,31)-1140</f>
        <v>40134</v>
      </c>
      <c r="D4339" s="8" t="str">
        <f t="shared" si="80"/>
        <v>2009-11 (ноябрь 2009)</v>
      </c>
      <c r="E4339" s="9" t="s">
        <v>21</v>
      </c>
      <c r="F4339" s="7">
        <v>14</v>
      </c>
      <c r="G4339" s="7">
        <v>75.150000000000006</v>
      </c>
      <c r="H4339" s="7">
        <v>0.02</v>
      </c>
      <c r="I4339" s="9" t="s">
        <v>56</v>
      </c>
      <c r="J4339" s="10">
        <v>-63.53</v>
      </c>
      <c r="K4339" s="11">
        <v>4.0599999999999996</v>
      </c>
      <c r="L4339" s="11">
        <v>6.89</v>
      </c>
      <c r="M4339" s="9" t="s">
        <v>1791</v>
      </c>
      <c r="N4339" s="6" t="s">
        <v>1123</v>
      </c>
      <c r="O4339" s="6" t="s">
        <v>1123</v>
      </c>
      <c r="P4339" s="9" t="s">
        <v>25</v>
      </c>
      <c r="Q4339" s="9" t="s">
        <v>26</v>
      </c>
      <c r="R4339" s="9" t="s">
        <v>34</v>
      </c>
      <c r="S4339" s="7" t="s">
        <v>408</v>
      </c>
      <c r="T4339" s="9" t="s">
        <v>39</v>
      </c>
      <c r="U4339" s="7">
        <v>0.6</v>
      </c>
      <c r="V4339" s="12">
        <f>C4339+4</f>
        <v>40138</v>
      </c>
      <c r="W4339">
        <f>IF(D4339=' Pivot Tables'!$A$4,1,0)</f>
        <v>0</v>
      </c>
      <c r="X4339">
        <f>IF(AND(LEFT(D4339,4)+1=LEFT(' Pivot Tables'!$A$4,4)+0,RIGHT(LEFT(D4339,7),2)=RIGHT(LEFT(' Pivot Tables'!$A$4,7),2)),1,0)</f>
        <v>0</v>
      </c>
      <c r="Y4339" s="6">
        <f>1/COUNTIF(Таблица1[Order ID],Таблица1[[#This Row],[Order ID]])</f>
        <v>0.5</v>
      </c>
      <c r="Z4339" s="9">
        <f>1/COUNTIFS(Таблица1[Customer Name],Таблица1[[#This Row],[Customer Name]],Таблица1[Order-Year-Month],Таблица1[[#This Row],[Order-Year-Month]])</f>
        <v>0.5</v>
      </c>
    </row>
    <row r="4340" spans="1:26" x14ac:dyDescent="0.2">
      <c r="A4340" s="6">
        <v>2968</v>
      </c>
      <c r="B4340" s="7">
        <v>21445</v>
      </c>
      <c r="C4340" s="8">
        <f>DATE(2012,12,31)-1140</f>
        <v>40134</v>
      </c>
      <c r="D4340" s="8" t="str">
        <f t="shared" si="80"/>
        <v>2009-11 (ноябрь 2009)</v>
      </c>
      <c r="E4340" s="9" t="s">
        <v>21</v>
      </c>
      <c r="F4340" s="7">
        <v>43</v>
      </c>
      <c r="G4340" s="7">
        <v>400.45</v>
      </c>
      <c r="H4340" s="7">
        <v>7.0000000000000007E-2</v>
      </c>
      <c r="I4340" s="9" t="s">
        <v>22</v>
      </c>
      <c r="J4340" s="10">
        <v>-38.575800000000001</v>
      </c>
      <c r="K4340" s="11">
        <v>9.49</v>
      </c>
      <c r="L4340" s="11">
        <v>5.76</v>
      </c>
      <c r="M4340" s="9" t="s">
        <v>1791</v>
      </c>
      <c r="N4340" s="6" t="s">
        <v>1123</v>
      </c>
      <c r="O4340" s="6" t="s">
        <v>1123</v>
      </c>
      <c r="P4340" s="9" t="s">
        <v>25</v>
      </c>
      <c r="Q4340" s="9" t="s">
        <v>42</v>
      </c>
      <c r="R4340" s="9" t="s">
        <v>210</v>
      </c>
      <c r="S4340" s="7" t="s">
        <v>659</v>
      </c>
      <c r="T4340" s="9" t="s">
        <v>48</v>
      </c>
      <c r="U4340" s="7">
        <v>0.39</v>
      </c>
      <c r="V4340" s="12">
        <f>C4340+4</f>
        <v>40138</v>
      </c>
      <c r="W4340">
        <f>IF(D4340=' Pivot Tables'!$A$4,1,0)</f>
        <v>0</v>
      </c>
      <c r="X4340">
        <f>IF(AND(LEFT(D4340,4)+1=LEFT(' Pivot Tables'!$A$4,4)+0,RIGHT(LEFT(D4340,7),2)=RIGHT(LEFT(' Pivot Tables'!$A$4,7),2)),1,0)</f>
        <v>0</v>
      </c>
      <c r="Y4340" s="6">
        <f>1/COUNTIF(Таблица1[Order ID],Таблица1[[#This Row],[Order ID]])</f>
        <v>0.5</v>
      </c>
      <c r="Z4340" s="9">
        <f>1/COUNTIFS(Таблица1[Customer Name],Таблица1[[#This Row],[Customer Name]],Таблица1[Order-Year-Month],Таблица1[[#This Row],[Order-Year-Month]])</f>
        <v>0.5</v>
      </c>
    </row>
    <row r="4341" spans="1:26" x14ac:dyDescent="0.2">
      <c r="A4341" s="6">
        <v>2987</v>
      </c>
      <c r="B4341" s="7">
        <v>21573</v>
      </c>
      <c r="C4341" s="8">
        <f>DATE(2012,12,31)-250</f>
        <v>41024</v>
      </c>
      <c r="D4341" s="8" t="str">
        <f t="shared" si="80"/>
        <v>2012-04 (апрель 2012)</v>
      </c>
      <c r="E4341" s="9" t="s">
        <v>78</v>
      </c>
      <c r="F4341" s="7">
        <v>31</v>
      </c>
      <c r="G4341" s="7">
        <v>96.23</v>
      </c>
      <c r="H4341" s="7">
        <v>0.05</v>
      </c>
      <c r="I4341" s="9" t="s">
        <v>22</v>
      </c>
      <c r="J4341" s="10">
        <v>24.05</v>
      </c>
      <c r="K4341" s="11">
        <v>3.08</v>
      </c>
      <c r="L4341" s="11">
        <v>0.99</v>
      </c>
      <c r="M4341" s="9" t="s">
        <v>1784</v>
      </c>
      <c r="N4341" s="6" t="s">
        <v>1123</v>
      </c>
      <c r="O4341" s="6" t="s">
        <v>1123</v>
      </c>
      <c r="P4341" s="9" t="s">
        <v>41</v>
      </c>
      <c r="Q4341" s="9" t="s">
        <v>26</v>
      </c>
      <c r="R4341" s="9" t="s">
        <v>88</v>
      </c>
      <c r="S4341" s="7" t="s">
        <v>1760</v>
      </c>
      <c r="T4341" s="9" t="s">
        <v>39</v>
      </c>
      <c r="U4341" s="7">
        <v>0.37</v>
      </c>
      <c r="V4341" s="12">
        <f>C4341+2</f>
        <v>41026</v>
      </c>
      <c r="W4341">
        <f>IF(D4341=' Pivot Tables'!$A$4,1,0)</f>
        <v>0</v>
      </c>
      <c r="X4341">
        <f>IF(AND(LEFT(D4341,4)+1=LEFT(' Pivot Tables'!$A$4,4)+0,RIGHT(LEFT(D4341,7),2)=RIGHT(LEFT(' Pivot Tables'!$A$4,7),2)),1,0)</f>
        <v>0</v>
      </c>
      <c r="Y4341" s="6">
        <f>1/COUNTIF(Таблица1[Order ID],Таблица1[[#This Row],[Order ID]])</f>
        <v>0.33333333333333331</v>
      </c>
      <c r="Z4341" s="9">
        <f>1/COUNTIFS(Таблица1[Customer Name],Таблица1[[#This Row],[Customer Name]],Таблица1[Order-Year-Month],Таблица1[[#This Row],[Order-Year-Month]])</f>
        <v>0.33333333333333331</v>
      </c>
    </row>
    <row r="4342" spans="1:26" x14ac:dyDescent="0.2">
      <c r="A4342" s="6">
        <v>2988</v>
      </c>
      <c r="B4342" s="7">
        <v>21573</v>
      </c>
      <c r="C4342" s="8">
        <f>DATE(2012,12,31)-250</f>
        <v>41024</v>
      </c>
      <c r="D4342" s="8" t="str">
        <f t="shared" si="80"/>
        <v>2012-04 (апрель 2012)</v>
      </c>
      <c r="E4342" s="9" t="s">
        <v>78</v>
      </c>
      <c r="F4342" s="7">
        <v>7</v>
      </c>
      <c r="G4342" s="7">
        <v>70.08</v>
      </c>
      <c r="H4342" s="7">
        <v>0</v>
      </c>
      <c r="I4342" s="9" t="s">
        <v>22</v>
      </c>
      <c r="J4342" s="10">
        <v>8.02</v>
      </c>
      <c r="K4342" s="11">
        <v>9.48</v>
      </c>
      <c r="L4342" s="11">
        <v>3.72</v>
      </c>
      <c r="M4342" s="9" t="s">
        <v>1784</v>
      </c>
      <c r="N4342" s="6" t="s">
        <v>1123</v>
      </c>
      <c r="O4342" s="6" t="s">
        <v>1123</v>
      </c>
      <c r="P4342" s="9" t="s">
        <v>41</v>
      </c>
      <c r="Q4342" s="9" t="s">
        <v>49</v>
      </c>
      <c r="R4342" s="9" t="s">
        <v>50</v>
      </c>
      <c r="S4342" s="7" t="s">
        <v>1794</v>
      </c>
      <c r="T4342" s="9" t="s">
        <v>52</v>
      </c>
      <c r="U4342" s="7">
        <v>0.4</v>
      </c>
      <c r="V4342" s="12">
        <f>C4342+2</f>
        <v>41026</v>
      </c>
      <c r="W4342">
        <f>IF(D4342=' Pivot Tables'!$A$4,1,0)</f>
        <v>0</v>
      </c>
      <c r="X4342">
        <f>IF(AND(LEFT(D4342,4)+1=LEFT(' Pivot Tables'!$A$4,4)+0,RIGHT(LEFT(D4342,7),2)=RIGHT(LEFT(' Pivot Tables'!$A$4,7),2)),1,0)</f>
        <v>0</v>
      </c>
      <c r="Y4342" s="6">
        <f>1/COUNTIF(Таблица1[Order ID],Таблица1[[#This Row],[Order ID]])</f>
        <v>0.33333333333333331</v>
      </c>
      <c r="Z4342" s="9">
        <f>1/COUNTIFS(Таблица1[Customer Name],Таблица1[[#This Row],[Customer Name]],Таблица1[Order-Year-Month],Таблица1[[#This Row],[Order-Year-Month]])</f>
        <v>0.33333333333333331</v>
      </c>
    </row>
    <row r="4343" spans="1:26" x14ac:dyDescent="0.2">
      <c r="A4343" s="6">
        <v>2989</v>
      </c>
      <c r="B4343" s="7">
        <v>21573</v>
      </c>
      <c r="C4343" s="8">
        <f>DATE(2012,12,31)-250</f>
        <v>41024</v>
      </c>
      <c r="D4343" s="8" t="str">
        <f t="shared" si="80"/>
        <v>2012-04 (апрель 2012)</v>
      </c>
      <c r="E4343" s="9" t="s">
        <v>78</v>
      </c>
      <c r="F4343" s="7">
        <v>3</v>
      </c>
      <c r="G4343" s="7">
        <v>234.768</v>
      </c>
      <c r="H4343" s="7">
        <v>0.04</v>
      </c>
      <c r="I4343" s="9" t="s">
        <v>31</v>
      </c>
      <c r="J4343" s="10">
        <v>54.230849999999997</v>
      </c>
      <c r="K4343" s="11">
        <v>70.89</v>
      </c>
      <c r="L4343" s="11">
        <v>89.3</v>
      </c>
      <c r="M4343" s="9" t="s">
        <v>1784</v>
      </c>
      <c r="N4343" s="6" t="s">
        <v>1123</v>
      </c>
      <c r="O4343" s="6" t="s">
        <v>1123</v>
      </c>
      <c r="P4343" s="9" t="s">
        <v>41</v>
      </c>
      <c r="Q4343" s="9" t="s">
        <v>49</v>
      </c>
      <c r="R4343" s="9" t="s">
        <v>83</v>
      </c>
      <c r="S4343" s="7" t="s">
        <v>1071</v>
      </c>
      <c r="T4343" s="9" t="s">
        <v>82</v>
      </c>
      <c r="U4343" s="7">
        <v>0.69</v>
      </c>
      <c r="V4343" s="12">
        <f>C4343+2</f>
        <v>41026</v>
      </c>
      <c r="W4343">
        <f>IF(D4343=' Pivot Tables'!$A$4,1,0)</f>
        <v>0</v>
      </c>
      <c r="X4343">
        <f>IF(AND(LEFT(D4343,4)+1=LEFT(' Pivot Tables'!$A$4,4)+0,RIGHT(LEFT(D4343,7),2)=RIGHT(LEFT(' Pivot Tables'!$A$4,7),2)),1,0)</f>
        <v>0</v>
      </c>
      <c r="Y4343" s="6">
        <f>1/COUNTIF(Таблица1[Order ID],Таблица1[[#This Row],[Order ID]])</f>
        <v>0.33333333333333331</v>
      </c>
      <c r="Z4343" s="9">
        <f>1/COUNTIFS(Таблица1[Customer Name],Таблица1[[#This Row],[Customer Name]],Таблица1[Order-Year-Month],Таблица1[[#This Row],[Order-Year-Month]])</f>
        <v>0.33333333333333331</v>
      </c>
    </row>
    <row r="4344" spans="1:26" x14ac:dyDescent="0.2">
      <c r="A4344" s="6">
        <v>3004</v>
      </c>
      <c r="B4344" s="7">
        <v>21636</v>
      </c>
      <c r="C4344" s="8">
        <f>DATE(2012,12,31)-1239</f>
        <v>40035</v>
      </c>
      <c r="D4344" s="8" t="str">
        <f t="shared" si="80"/>
        <v>2009-08 (август 2009)</v>
      </c>
      <c r="E4344" s="9" t="s">
        <v>21</v>
      </c>
      <c r="F4344" s="7">
        <v>16</v>
      </c>
      <c r="G4344" s="7">
        <v>376.65</v>
      </c>
      <c r="H4344" s="7">
        <v>0</v>
      </c>
      <c r="I4344" s="9" t="s">
        <v>56</v>
      </c>
      <c r="J4344" s="10">
        <v>-52.646999999999998</v>
      </c>
      <c r="K4344" s="11">
        <v>22.38</v>
      </c>
      <c r="L4344" s="11">
        <v>15.1</v>
      </c>
      <c r="M4344" s="9" t="s">
        <v>291</v>
      </c>
      <c r="N4344" s="6" t="s">
        <v>1123</v>
      </c>
      <c r="O4344" s="6" t="s">
        <v>1123</v>
      </c>
      <c r="P4344" s="9" t="s">
        <v>60</v>
      </c>
      <c r="Q4344" s="9" t="s">
        <v>26</v>
      </c>
      <c r="R4344" s="9" t="s">
        <v>37</v>
      </c>
      <c r="S4344" s="7" t="s">
        <v>415</v>
      </c>
      <c r="T4344" s="9" t="s">
        <v>39</v>
      </c>
      <c r="U4344" s="7">
        <v>0.38</v>
      </c>
      <c r="V4344" s="12">
        <f>C4344+7</f>
        <v>40042</v>
      </c>
      <c r="W4344">
        <f>IF(D4344=' Pivot Tables'!$A$4,1,0)</f>
        <v>0</v>
      </c>
      <c r="X4344">
        <f>IF(AND(LEFT(D4344,4)+1=LEFT(' Pivot Tables'!$A$4,4)+0,RIGHT(LEFT(D4344,7),2)=RIGHT(LEFT(' Pivot Tables'!$A$4,7),2)),1,0)</f>
        <v>0</v>
      </c>
      <c r="Y4344" s="6">
        <f>1/COUNTIF(Таблица1[Order ID],Таблица1[[#This Row],[Order ID]])</f>
        <v>0.33333333333333331</v>
      </c>
      <c r="Z4344" s="9">
        <f>1/COUNTIFS(Таблица1[Customer Name],Таблица1[[#This Row],[Customer Name]],Таблица1[Order-Year-Month],Таблица1[[#This Row],[Order-Year-Month]])</f>
        <v>0.33333333333333331</v>
      </c>
    </row>
    <row r="4345" spans="1:26" x14ac:dyDescent="0.2">
      <c r="A4345" s="6">
        <v>3005</v>
      </c>
      <c r="B4345" s="7">
        <v>21636</v>
      </c>
      <c r="C4345" s="8">
        <f>DATE(2012,12,31)-1239</f>
        <v>40035</v>
      </c>
      <c r="D4345" s="8" t="str">
        <f t="shared" si="80"/>
        <v>2009-08 (август 2009)</v>
      </c>
      <c r="E4345" s="9" t="s">
        <v>21</v>
      </c>
      <c r="F4345" s="7">
        <v>6</v>
      </c>
      <c r="G4345" s="7">
        <v>40.06</v>
      </c>
      <c r="H4345" s="7">
        <v>7.0000000000000007E-2</v>
      </c>
      <c r="I4345" s="9" t="s">
        <v>22</v>
      </c>
      <c r="J4345" s="10">
        <v>-24.44</v>
      </c>
      <c r="K4345" s="11">
        <v>5.98</v>
      </c>
      <c r="L4345" s="11">
        <v>4.6900000000000004</v>
      </c>
      <c r="M4345" s="9" t="s">
        <v>291</v>
      </c>
      <c r="N4345" s="6" t="s">
        <v>1123</v>
      </c>
      <c r="O4345" s="6" t="s">
        <v>1123</v>
      </c>
      <c r="P4345" s="9" t="s">
        <v>60</v>
      </c>
      <c r="Q4345" s="9" t="s">
        <v>26</v>
      </c>
      <c r="R4345" s="9" t="s">
        <v>27</v>
      </c>
      <c r="S4345" s="7" t="s">
        <v>505</v>
      </c>
      <c r="T4345" s="9" t="s">
        <v>39</v>
      </c>
      <c r="U4345" s="7">
        <v>0.68</v>
      </c>
      <c r="V4345" s="12">
        <f>C4345+5</f>
        <v>40040</v>
      </c>
      <c r="W4345">
        <f>IF(D4345=' Pivot Tables'!$A$4,1,0)</f>
        <v>0</v>
      </c>
      <c r="X4345">
        <f>IF(AND(LEFT(D4345,4)+1=LEFT(' Pivot Tables'!$A$4,4)+0,RIGHT(LEFT(D4345,7),2)=RIGHT(LEFT(' Pivot Tables'!$A$4,7),2)),1,0)</f>
        <v>0</v>
      </c>
      <c r="Y4345" s="6">
        <f>1/COUNTIF(Таблица1[Order ID],Таблица1[[#This Row],[Order ID]])</f>
        <v>0.33333333333333331</v>
      </c>
      <c r="Z4345" s="9">
        <f>1/COUNTIFS(Таблица1[Customer Name],Таблица1[[#This Row],[Customer Name]],Таблица1[Order-Year-Month],Таблица1[[#This Row],[Order-Year-Month]])</f>
        <v>0.33333333333333331</v>
      </c>
    </row>
    <row r="4346" spans="1:26" x14ac:dyDescent="0.2">
      <c r="A4346" s="6">
        <v>3030</v>
      </c>
      <c r="B4346" s="7">
        <v>21795</v>
      </c>
      <c r="C4346" s="8">
        <f>DATE(2012,12,31)-932</f>
        <v>40342</v>
      </c>
      <c r="D4346" s="8" t="str">
        <f t="shared" si="80"/>
        <v>2010-06 (июнь 2010)</v>
      </c>
      <c r="E4346" s="9" t="s">
        <v>45</v>
      </c>
      <c r="F4346" s="7">
        <v>10</v>
      </c>
      <c r="G4346" s="7">
        <v>278.66000000000003</v>
      </c>
      <c r="H4346" s="7">
        <v>0.05</v>
      </c>
      <c r="I4346" s="9" t="s">
        <v>56</v>
      </c>
      <c r="J4346" s="10">
        <v>-77.36</v>
      </c>
      <c r="K4346" s="11">
        <v>27.48</v>
      </c>
      <c r="L4346" s="11">
        <v>4</v>
      </c>
      <c r="M4346" s="9" t="s">
        <v>1785</v>
      </c>
      <c r="N4346" s="6" t="s">
        <v>1123</v>
      </c>
      <c r="O4346" s="6" t="s">
        <v>1123</v>
      </c>
      <c r="P4346" s="9" t="s">
        <v>25</v>
      </c>
      <c r="Q4346" s="9" t="s">
        <v>42</v>
      </c>
      <c r="R4346" s="9" t="s">
        <v>70</v>
      </c>
      <c r="S4346" s="7" t="s">
        <v>762</v>
      </c>
      <c r="T4346" s="9" t="s">
        <v>39</v>
      </c>
      <c r="U4346" s="7">
        <v>0.75</v>
      </c>
      <c r="V4346" s="12">
        <f>C4346+1</f>
        <v>40343</v>
      </c>
      <c r="W4346">
        <f>IF(D4346=' Pivot Tables'!$A$4,1,0)</f>
        <v>0</v>
      </c>
      <c r="X4346">
        <f>IF(AND(LEFT(D4346,4)+1=LEFT(' Pivot Tables'!$A$4,4)+0,RIGHT(LEFT(D4346,7),2)=RIGHT(LEFT(' Pivot Tables'!$A$4,7),2)),1,0)</f>
        <v>0</v>
      </c>
      <c r="Y4346" s="6">
        <f>1/COUNTIF(Таблица1[Order ID],Таблица1[[#This Row],[Order ID]])</f>
        <v>0.5</v>
      </c>
      <c r="Z4346" s="9">
        <f>1/COUNTIFS(Таблица1[Customer Name],Таблица1[[#This Row],[Customer Name]],Таблица1[Order-Year-Month],Таблица1[[#This Row],[Order-Year-Month]])</f>
        <v>0.5</v>
      </c>
    </row>
    <row r="4347" spans="1:26" x14ac:dyDescent="0.2">
      <c r="A4347" s="6">
        <v>3031</v>
      </c>
      <c r="B4347" s="7">
        <v>21795</v>
      </c>
      <c r="C4347" s="8">
        <f>DATE(2012,12,31)-932</f>
        <v>40342</v>
      </c>
      <c r="D4347" s="8" t="str">
        <f t="shared" si="80"/>
        <v>2010-06 (июнь 2010)</v>
      </c>
      <c r="E4347" s="9" t="s">
        <v>45</v>
      </c>
      <c r="F4347" s="7">
        <v>28</v>
      </c>
      <c r="G4347" s="7">
        <v>491.85</v>
      </c>
      <c r="H4347" s="7">
        <v>0.1</v>
      </c>
      <c r="I4347" s="9" t="s">
        <v>22</v>
      </c>
      <c r="J4347" s="10">
        <v>4.54</v>
      </c>
      <c r="K4347" s="11">
        <v>18.97</v>
      </c>
      <c r="L4347" s="11">
        <v>9.0299999999999994</v>
      </c>
      <c r="M4347" s="9" t="s">
        <v>1785</v>
      </c>
      <c r="N4347" s="6" t="s">
        <v>1123</v>
      </c>
      <c r="O4347" s="6" t="s">
        <v>1123</v>
      </c>
      <c r="P4347" s="9" t="s">
        <v>25</v>
      </c>
      <c r="Q4347" s="9" t="s">
        <v>26</v>
      </c>
      <c r="R4347" s="9" t="s">
        <v>61</v>
      </c>
      <c r="S4347" s="7" t="s">
        <v>123</v>
      </c>
      <c r="T4347" s="9" t="s">
        <v>39</v>
      </c>
      <c r="U4347" s="7">
        <v>0.37</v>
      </c>
      <c r="V4347" s="12">
        <f>C4347+2</f>
        <v>40344</v>
      </c>
      <c r="W4347">
        <f>IF(D4347=' Pivot Tables'!$A$4,1,0)</f>
        <v>0</v>
      </c>
      <c r="X4347">
        <f>IF(AND(LEFT(D4347,4)+1=LEFT(' Pivot Tables'!$A$4,4)+0,RIGHT(LEFT(D4347,7),2)=RIGHT(LEFT(' Pivot Tables'!$A$4,7),2)),1,0)</f>
        <v>0</v>
      </c>
      <c r="Y4347" s="6">
        <f>1/COUNTIF(Таблица1[Order ID],Таблица1[[#This Row],[Order ID]])</f>
        <v>0.5</v>
      </c>
      <c r="Z4347" s="9">
        <f>1/COUNTIFS(Таблица1[Customer Name],Таблица1[[#This Row],[Customer Name]],Таблица1[Order-Year-Month],Таблица1[[#This Row],[Order-Year-Month]])</f>
        <v>0.5</v>
      </c>
    </row>
    <row r="4348" spans="1:26" x14ac:dyDescent="0.2">
      <c r="A4348" s="6">
        <v>3044</v>
      </c>
      <c r="B4348" s="7">
        <v>21859</v>
      </c>
      <c r="C4348" s="8">
        <f>DATE(2012,12,31)-409</f>
        <v>40865</v>
      </c>
      <c r="D4348" s="8" t="str">
        <f t="shared" si="80"/>
        <v>2011-11 (ноябрь 2011)</v>
      </c>
      <c r="E4348" s="9" t="s">
        <v>30</v>
      </c>
      <c r="F4348" s="7">
        <v>42</v>
      </c>
      <c r="G4348" s="7">
        <v>401.37</v>
      </c>
      <c r="H4348" s="7">
        <v>7.0000000000000007E-2</v>
      </c>
      <c r="I4348" s="9" t="s">
        <v>22</v>
      </c>
      <c r="J4348" s="10">
        <v>13.31</v>
      </c>
      <c r="K4348" s="11">
        <v>9.74</v>
      </c>
      <c r="L4348" s="11">
        <v>5.71</v>
      </c>
      <c r="M4348" s="9" t="s">
        <v>1788</v>
      </c>
      <c r="N4348" s="6" t="s">
        <v>1123</v>
      </c>
      <c r="O4348" s="6" t="s">
        <v>1123</v>
      </c>
      <c r="P4348" s="9" t="s">
        <v>41</v>
      </c>
      <c r="Q4348" s="9" t="s">
        <v>49</v>
      </c>
      <c r="R4348" s="9" t="s">
        <v>50</v>
      </c>
      <c r="S4348" s="7" t="s">
        <v>1795</v>
      </c>
      <c r="T4348" s="9" t="s">
        <v>39</v>
      </c>
      <c r="U4348" s="7">
        <v>0.41</v>
      </c>
      <c r="V4348" s="12">
        <f>C4348+1</f>
        <v>40866</v>
      </c>
      <c r="W4348">
        <f>IF(D4348=' Pivot Tables'!$A$4,1,0)</f>
        <v>0</v>
      </c>
      <c r="X4348">
        <f>IF(AND(LEFT(D4348,4)+1=LEFT(' Pivot Tables'!$A$4,4)+0,RIGHT(LEFT(D4348,7),2)=RIGHT(LEFT(' Pivot Tables'!$A$4,7),2)),1,0)</f>
        <v>0</v>
      </c>
      <c r="Y4348" s="6">
        <f>1/COUNTIF(Таблица1[Order ID],Таблица1[[#This Row],[Order ID]])</f>
        <v>1</v>
      </c>
      <c r="Z4348" s="9">
        <f>1/COUNTIFS(Таблица1[Customer Name],Таблица1[[#This Row],[Customer Name]],Таблица1[Order-Year-Month],Таблица1[[#This Row],[Order-Year-Month]])</f>
        <v>1</v>
      </c>
    </row>
    <row r="4349" spans="1:26" x14ac:dyDescent="0.2">
      <c r="A4349" s="6">
        <v>3069</v>
      </c>
      <c r="B4349" s="7">
        <v>21989</v>
      </c>
      <c r="C4349" s="8">
        <f>DATE(2012,12,31)-690</f>
        <v>40584</v>
      </c>
      <c r="D4349" s="8" t="str">
        <f t="shared" si="80"/>
        <v>2011-02 (февраль 2011)</v>
      </c>
      <c r="E4349" s="9" t="s">
        <v>21</v>
      </c>
      <c r="F4349" s="7">
        <v>9</v>
      </c>
      <c r="G4349" s="7">
        <v>118.95</v>
      </c>
      <c r="H4349" s="7">
        <v>0.03</v>
      </c>
      <c r="I4349" s="9" t="s">
        <v>22</v>
      </c>
      <c r="J4349" s="10">
        <v>30.8</v>
      </c>
      <c r="K4349" s="11">
        <v>12.07</v>
      </c>
      <c r="L4349" s="11">
        <v>6.2</v>
      </c>
      <c r="M4349" s="9" t="s">
        <v>1385</v>
      </c>
      <c r="N4349" s="6" t="s">
        <v>1123</v>
      </c>
      <c r="O4349" s="6" t="s">
        <v>1123</v>
      </c>
      <c r="P4349" s="9" t="s">
        <v>60</v>
      </c>
      <c r="Q4349" s="9" t="s">
        <v>49</v>
      </c>
      <c r="R4349" s="9" t="s">
        <v>50</v>
      </c>
      <c r="S4349" s="7" t="s">
        <v>1790</v>
      </c>
      <c r="T4349" s="9" t="s">
        <v>68</v>
      </c>
      <c r="U4349" s="7">
        <v>0.52</v>
      </c>
      <c r="V4349" s="12">
        <f>C4349+0</f>
        <v>40584</v>
      </c>
      <c r="W4349">
        <f>IF(D4349=' Pivot Tables'!$A$4,1,0)</f>
        <v>0</v>
      </c>
      <c r="X4349">
        <f>IF(AND(LEFT(D4349,4)+1=LEFT(' Pivot Tables'!$A$4,4)+0,RIGHT(LEFT(D4349,7),2)=RIGHT(LEFT(' Pivot Tables'!$A$4,7),2)),1,0)</f>
        <v>0</v>
      </c>
      <c r="Y4349" s="6">
        <f>1/COUNTIF(Таблица1[Order ID],Таблица1[[#This Row],[Order ID]])</f>
        <v>0.5</v>
      </c>
      <c r="Z4349" s="9">
        <f>1/COUNTIFS(Таблица1[Customer Name],Таблица1[[#This Row],[Customer Name]],Таблица1[Order-Year-Month],Таблица1[[#This Row],[Order-Year-Month]])</f>
        <v>0.5</v>
      </c>
    </row>
    <row r="4350" spans="1:26" x14ac:dyDescent="0.2">
      <c r="A4350" s="6">
        <v>3070</v>
      </c>
      <c r="B4350" s="7">
        <v>21989</v>
      </c>
      <c r="C4350" s="8">
        <f>DATE(2012,12,31)-690</f>
        <v>40584</v>
      </c>
      <c r="D4350" s="8" t="str">
        <f t="shared" si="80"/>
        <v>2011-02 (февраль 2011)</v>
      </c>
      <c r="E4350" s="9" t="s">
        <v>21</v>
      </c>
      <c r="F4350" s="7">
        <v>35</v>
      </c>
      <c r="G4350" s="7">
        <v>3814.1710000000003</v>
      </c>
      <c r="H4350" s="7">
        <v>0.04</v>
      </c>
      <c r="I4350" s="9" t="s">
        <v>22</v>
      </c>
      <c r="J4350" s="10">
        <v>1077.1289999999999</v>
      </c>
      <c r="K4350" s="11">
        <v>125.99</v>
      </c>
      <c r="L4350" s="11">
        <v>4.2</v>
      </c>
      <c r="M4350" s="9" t="s">
        <v>1385</v>
      </c>
      <c r="N4350" s="6" t="s">
        <v>1123</v>
      </c>
      <c r="O4350" s="6" t="s">
        <v>1123</v>
      </c>
      <c r="P4350" s="9" t="s">
        <v>60</v>
      </c>
      <c r="Q4350" s="9" t="s">
        <v>42</v>
      </c>
      <c r="R4350" s="9" t="s">
        <v>43</v>
      </c>
      <c r="S4350" s="7" t="s">
        <v>1461</v>
      </c>
      <c r="T4350" s="9" t="s">
        <v>39</v>
      </c>
      <c r="U4350" s="7">
        <v>0.56999999999999995</v>
      </c>
      <c r="V4350" s="12">
        <f>C4350+0</f>
        <v>40584</v>
      </c>
      <c r="W4350">
        <f>IF(D4350=' Pivot Tables'!$A$4,1,0)</f>
        <v>0</v>
      </c>
      <c r="X4350">
        <f>IF(AND(LEFT(D4350,4)+1=LEFT(' Pivot Tables'!$A$4,4)+0,RIGHT(LEFT(D4350,7),2)=RIGHT(LEFT(' Pivot Tables'!$A$4,7),2)),1,0)</f>
        <v>0</v>
      </c>
      <c r="Y4350" s="6">
        <f>1/COUNTIF(Таблица1[Order ID],Таблица1[[#This Row],[Order ID]])</f>
        <v>0.5</v>
      </c>
      <c r="Z4350" s="9">
        <f>1/COUNTIFS(Таблица1[Customer Name],Таблица1[[#This Row],[Customer Name]],Таблица1[Order-Year-Month],Таблица1[[#This Row],[Order-Year-Month]])</f>
        <v>0.5</v>
      </c>
    </row>
    <row r="4351" spans="1:26" x14ac:dyDescent="0.2">
      <c r="A4351" s="6">
        <v>3090</v>
      </c>
      <c r="B4351" s="7">
        <v>22151</v>
      </c>
      <c r="C4351" s="8">
        <f>DATE(2012,12,31)-884</f>
        <v>40390</v>
      </c>
      <c r="D4351" s="8" t="str">
        <f t="shared" si="80"/>
        <v>2010-07 (июль 2010)</v>
      </c>
      <c r="E4351" s="9" t="s">
        <v>30</v>
      </c>
      <c r="F4351" s="7">
        <v>20</v>
      </c>
      <c r="G4351" s="7">
        <v>515.37</v>
      </c>
      <c r="H4351" s="7">
        <v>0.04</v>
      </c>
      <c r="I4351" s="9" t="s">
        <v>22</v>
      </c>
      <c r="J4351" s="10">
        <v>9.8175000000000008</v>
      </c>
      <c r="K4351" s="11">
        <v>24.92</v>
      </c>
      <c r="L4351" s="11">
        <v>12.98</v>
      </c>
      <c r="M4351" s="9" t="s">
        <v>135</v>
      </c>
      <c r="N4351" s="6" t="s">
        <v>1123</v>
      </c>
      <c r="O4351" s="6" t="s">
        <v>1123</v>
      </c>
      <c r="P4351" s="9" t="s">
        <v>41</v>
      </c>
      <c r="Q4351" s="9" t="s">
        <v>26</v>
      </c>
      <c r="R4351" s="9" t="s">
        <v>37</v>
      </c>
      <c r="S4351" s="7" t="s">
        <v>319</v>
      </c>
      <c r="T4351" s="9" t="s">
        <v>39</v>
      </c>
      <c r="U4351" s="7">
        <v>0.39</v>
      </c>
      <c r="V4351" s="12">
        <f>C4351+1</f>
        <v>40391</v>
      </c>
      <c r="W4351">
        <f>IF(D4351=' Pivot Tables'!$A$4,1,0)</f>
        <v>0</v>
      </c>
      <c r="X4351">
        <f>IF(AND(LEFT(D4351,4)+1=LEFT(' Pivot Tables'!$A$4,4)+0,RIGHT(LEFT(D4351,7),2)=RIGHT(LEFT(' Pivot Tables'!$A$4,7),2)),1,0)</f>
        <v>0</v>
      </c>
      <c r="Y4351" s="6">
        <f>1/COUNTIF(Таблица1[Order ID],Таблица1[[#This Row],[Order ID]])</f>
        <v>0.5</v>
      </c>
      <c r="Z4351" s="9">
        <f>1/COUNTIFS(Таблица1[Customer Name],Таблица1[[#This Row],[Customer Name]],Таблица1[Order-Year-Month],Таблица1[[#This Row],[Order-Year-Month]])</f>
        <v>0.5</v>
      </c>
    </row>
    <row r="4352" spans="1:26" x14ac:dyDescent="0.2">
      <c r="A4352" s="6">
        <v>3161</v>
      </c>
      <c r="B4352" s="7">
        <v>22688</v>
      </c>
      <c r="C4352" s="8">
        <f>DATE(2012,12,31)-258</f>
        <v>41016</v>
      </c>
      <c r="D4352" s="8" t="str">
        <f t="shared" si="80"/>
        <v>2012-04 (апрель 2012)</v>
      </c>
      <c r="E4352" s="9" t="s">
        <v>63</v>
      </c>
      <c r="F4352" s="7">
        <v>40</v>
      </c>
      <c r="G4352" s="7">
        <v>2044.2755000000002</v>
      </c>
      <c r="H4352" s="7">
        <v>0.1</v>
      </c>
      <c r="I4352" s="9" t="s">
        <v>22</v>
      </c>
      <c r="J4352" s="10">
        <v>334.53</v>
      </c>
      <c r="K4352" s="11">
        <v>65.989999999999995</v>
      </c>
      <c r="L4352" s="11">
        <v>5.63</v>
      </c>
      <c r="M4352" s="9" t="s">
        <v>1781</v>
      </c>
      <c r="N4352" s="6" t="s">
        <v>1123</v>
      </c>
      <c r="O4352" s="6" t="s">
        <v>1123</v>
      </c>
      <c r="P4352" s="9" t="s">
        <v>41</v>
      </c>
      <c r="Q4352" s="9" t="s">
        <v>42</v>
      </c>
      <c r="R4352" s="9" t="s">
        <v>43</v>
      </c>
      <c r="S4352" s="7" t="s">
        <v>1419</v>
      </c>
      <c r="T4352" s="9" t="s">
        <v>39</v>
      </c>
      <c r="U4352" s="7">
        <v>0.56000000000000005</v>
      </c>
      <c r="V4352" s="12">
        <f>C4352+1</f>
        <v>41017</v>
      </c>
      <c r="W4352">
        <f>IF(D4352=' Pivot Tables'!$A$4,1,0)</f>
        <v>0</v>
      </c>
      <c r="X4352">
        <f>IF(AND(LEFT(D4352,4)+1=LEFT(' Pivot Tables'!$A$4,4)+0,RIGHT(LEFT(D4352,7),2)=RIGHT(LEFT(' Pivot Tables'!$A$4,7),2)),1,0)</f>
        <v>0</v>
      </c>
      <c r="Y4352" s="6">
        <f>1/COUNTIF(Таблица1[Order ID],Таблица1[[#This Row],[Order ID]])</f>
        <v>1</v>
      </c>
      <c r="Z4352" s="9">
        <f>1/COUNTIFS(Таблица1[Customer Name],Таблица1[[#This Row],[Customer Name]],Таблица1[Order-Year-Month],Таблица1[[#This Row],[Order-Year-Month]])</f>
        <v>1</v>
      </c>
    </row>
    <row r="4353" spans="1:26" x14ac:dyDescent="0.2">
      <c r="A4353" s="6">
        <v>3197</v>
      </c>
      <c r="B4353" s="7">
        <v>22916</v>
      </c>
      <c r="C4353" s="8">
        <f>DATE(2012,12,31)-333</f>
        <v>40941</v>
      </c>
      <c r="D4353" s="8" t="str">
        <f t="shared" si="80"/>
        <v>2012-02 (февраль 2012)</v>
      </c>
      <c r="E4353" s="9" t="s">
        <v>63</v>
      </c>
      <c r="F4353" s="7">
        <v>18</v>
      </c>
      <c r="G4353" s="7">
        <v>122.02</v>
      </c>
      <c r="H4353" s="7">
        <v>0.04</v>
      </c>
      <c r="I4353" s="9" t="s">
        <v>22</v>
      </c>
      <c r="J4353" s="10">
        <v>-115</v>
      </c>
      <c r="K4353" s="11">
        <v>6.48</v>
      </c>
      <c r="L4353" s="11">
        <v>10.050000000000001</v>
      </c>
      <c r="M4353" s="9" t="s">
        <v>1605</v>
      </c>
      <c r="N4353" s="6" t="s">
        <v>1123</v>
      </c>
      <c r="O4353" s="6" t="s">
        <v>1123</v>
      </c>
      <c r="P4353" s="9" t="s">
        <v>41</v>
      </c>
      <c r="Q4353" s="9" t="s">
        <v>26</v>
      </c>
      <c r="R4353" s="9" t="s">
        <v>61</v>
      </c>
      <c r="S4353" s="7" t="s">
        <v>868</v>
      </c>
      <c r="T4353" s="9" t="s">
        <v>39</v>
      </c>
      <c r="U4353" s="7">
        <v>0.37</v>
      </c>
      <c r="V4353" s="12">
        <f>C4353+1</f>
        <v>40942</v>
      </c>
      <c r="W4353">
        <f>IF(D4353=' Pivot Tables'!$A$4,1,0)</f>
        <v>0</v>
      </c>
      <c r="X4353">
        <f>IF(AND(LEFT(D4353,4)+1=LEFT(' Pivot Tables'!$A$4,4)+0,RIGHT(LEFT(D4353,7),2)=RIGHT(LEFT(' Pivot Tables'!$A$4,7),2)),1,0)</f>
        <v>0</v>
      </c>
      <c r="Y4353" s="6">
        <f>1/COUNTIF(Таблица1[Order ID],Таблица1[[#This Row],[Order ID]])</f>
        <v>1</v>
      </c>
      <c r="Z4353" s="9">
        <f>1/COUNTIFS(Таблица1[Customer Name],Таблица1[[#This Row],[Customer Name]],Таблица1[Order-Year-Month],Таблица1[[#This Row],[Order-Year-Month]])</f>
        <v>1</v>
      </c>
    </row>
    <row r="4354" spans="1:26" x14ac:dyDescent="0.2">
      <c r="A4354" s="6">
        <v>3202</v>
      </c>
      <c r="B4354" s="7">
        <v>22951</v>
      </c>
      <c r="C4354" s="8">
        <f>DATE(2012,12,31)-242</f>
        <v>41032</v>
      </c>
      <c r="D4354" s="8" t="str">
        <f t="shared" si="80"/>
        <v>2012-05 (май 2012)</v>
      </c>
      <c r="E4354" s="9" t="s">
        <v>63</v>
      </c>
      <c r="F4354" s="7">
        <v>24</v>
      </c>
      <c r="G4354" s="7">
        <v>1304.0274999999999</v>
      </c>
      <c r="H4354" s="7">
        <v>0.1</v>
      </c>
      <c r="I4354" s="9" t="s">
        <v>22</v>
      </c>
      <c r="J4354" s="10">
        <v>34.362000000000002</v>
      </c>
      <c r="K4354" s="11">
        <v>65.989999999999995</v>
      </c>
      <c r="L4354" s="11">
        <v>8.99</v>
      </c>
      <c r="M4354" s="9" t="s">
        <v>1385</v>
      </c>
      <c r="N4354" s="6" t="s">
        <v>1123</v>
      </c>
      <c r="O4354" s="6" t="s">
        <v>1123</v>
      </c>
      <c r="P4354" s="9" t="s">
        <v>41</v>
      </c>
      <c r="Q4354" s="9" t="s">
        <v>42</v>
      </c>
      <c r="R4354" s="9" t="s">
        <v>43</v>
      </c>
      <c r="S4354" s="7" t="s">
        <v>1068</v>
      </c>
      <c r="T4354" s="9" t="s">
        <v>39</v>
      </c>
      <c r="U4354" s="7">
        <v>0.6</v>
      </c>
      <c r="V4354" s="12">
        <f>C4354+0</f>
        <v>41032</v>
      </c>
      <c r="W4354">
        <f>IF(D4354=' Pivot Tables'!$A$4,1,0)</f>
        <v>0</v>
      </c>
      <c r="X4354">
        <f>IF(AND(LEFT(D4354,4)+1=LEFT(' Pivot Tables'!$A$4,4)+0,RIGHT(LEFT(D4354,7),2)=RIGHT(LEFT(' Pivot Tables'!$A$4,7),2)),1,0)</f>
        <v>0</v>
      </c>
      <c r="Y4354" s="6">
        <f>1/COUNTIF(Таблица1[Order ID],Таблица1[[#This Row],[Order ID]])</f>
        <v>1</v>
      </c>
      <c r="Z4354" s="9">
        <f>1/COUNTIFS(Таблица1[Customer Name],Таблица1[[#This Row],[Customer Name]],Таблица1[Order-Year-Month],Таблица1[[#This Row],[Order-Year-Month]])</f>
        <v>1</v>
      </c>
    </row>
    <row r="4355" spans="1:26" x14ac:dyDescent="0.2">
      <c r="A4355" s="6">
        <v>3205</v>
      </c>
      <c r="B4355" s="7">
        <v>22980</v>
      </c>
      <c r="C4355" s="8">
        <f>DATE(2012,12,31)-91</f>
        <v>41183</v>
      </c>
      <c r="D4355" s="8" t="str">
        <f t="shared" ref="D4355:D4418" si="81">TEXT(C4355,"гггг-ММ (ММММ гггг)")</f>
        <v>2012-10 (октябрь 2012)</v>
      </c>
      <c r="E4355" s="9" t="s">
        <v>45</v>
      </c>
      <c r="F4355" s="7">
        <v>10</v>
      </c>
      <c r="G4355" s="7">
        <v>56.05</v>
      </c>
      <c r="H4355" s="7">
        <v>0.06</v>
      </c>
      <c r="I4355" s="9" t="s">
        <v>22</v>
      </c>
      <c r="J4355" s="10">
        <v>-27.73</v>
      </c>
      <c r="K4355" s="11">
        <v>4.9800000000000004</v>
      </c>
      <c r="L4355" s="11">
        <v>5.49</v>
      </c>
      <c r="M4355" s="9" t="s">
        <v>716</v>
      </c>
      <c r="N4355" s="6" t="s">
        <v>1123</v>
      </c>
      <c r="O4355" s="6" t="s">
        <v>1123</v>
      </c>
      <c r="P4355" s="9" t="s">
        <v>33</v>
      </c>
      <c r="Q4355" s="9" t="s">
        <v>26</v>
      </c>
      <c r="R4355" s="9" t="s">
        <v>61</v>
      </c>
      <c r="S4355" s="7" t="s">
        <v>1224</v>
      </c>
      <c r="T4355" s="9" t="s">
        <v>39</v>
      </c>
      <c r="U4355" s="7">
        <v>0.38</v>
      </c>
      <c r="V4355" s="12">
        <f>C4355+1</f>
        <v>41184</v>
      </c>
      <c r="W4355">
        <f>IF(D4355=' Pivot Tables'!$A$4,1,0)</f>
        <v>0</v>
      </c>
      <c r="X4355">
        <f>IF(AND(LEFT(D4355,4)+1=LEFT(' Pivot Tables'!$A$4,4)+0,RIGHT(LEFT(D4355,7),2)=RIGHT(LEFT(' Pivot Tables'!$A$4,7),2)),1,0)</f>
        <v>0</v>
      </c>
      <c r="Y4355" s="6">
        <f>1/COUNTIF(Таблица1[Order ID],Таблица1[[#This Row],[Order ID]])</f>
        <v>0.5</v>
      </c>
      <c r="Z4355" s="9">
        <f>1/COUNTIFS(Таблица1[Customer Name],Таблица1[[#This Row],[Customer Name]],Таблица1[Order-Year-Month],Таблица1[[#This Row],[Order-Year-Month]])</f>
        <v>0.33333333333333331</v>
      </c>
    </row>
    <row r="4356" spans="1:26" x14ac:dyDescent="0.2">
      <c r="A4356" s="6">
        <v>3281</v>
      </c>
      <c r="B4356" s="7">
        <v>23429</v>
      </c>
      <c r="C4356" s="8">
        <f>DATE(2012,12,31)-1383</f>
        <v>39891</v>
      </c>
      <c r="D4356" s="8" t="str">
        <f t="shared" si="81"/>
        <v>2009-03 (март 2009)</v>
      </c>
      <c r="E4356" s="9" t="s">
        <v>78</v>
      </c>
      <c r="F4356" s="7">
        <v>28</v>
      </c>
      <c r="G4356" s="7">
        <v>154.61000000000001</v>
      </c>
      <c r="H4356" s="7">
        <v>0.06</v>
      </c>
      <c r="I4356" s="9" t="s">
        <v>22</v>
      </c>
      <c r="J4356" s="10">
        <v>-82.822999999999993</v>
      </c>
      <c r="K4356" s="11">
        <v>5.34</v>
      </c>
      <c r="L4356" s="11">
        <v>5.63</v>
      </c>
      <c r="M4356" s="9" t="s">
        <v>135</v>
      </c>
      <c r="N4356" s="6" t="s">
        <v>1123</v>
      </c>
      <c r="O4356" s="6" t="s">
        <v>1123</v>
      </c>
      <c r="P4356" s="9" t="s">
        <v>41</v>
      </c>
      <c r="Q4356" s="9" t="s">
        <v>26</v>
      </c>
      <c r="R4356" s="9" t="s">
        <v>37</v>
      </c>
      <c r="S4356" s="7" t="s">
        <v>1339</v>
      </c>
      <c r="T4356" s="9" t="s">
        <v>39</v>
      </c>
      <c r="U4356" s="7">
        <v>0.39</v>
      </c>
      <c r="V4356" s="12">
        <f>C4356+0</f>
        <v>39891</v>
      </c>
      <c r="W4356">
        <f>IF(D4356=' Pivot Tables'!$A$4,1,0)</f>
        <v>0</v>
      </c>
      <c r="X4356">
        <f>IF(AND(LEFT(D4356,4)+1=LEFT(' Pivot Tables'!$A$4,4)+0,RIGHT(LEFT(D4356,7),2)=RIGHT(LEFT(' Pivot Tables'!$A$4,7),2)),1,0)</f>
        <v>0</v>
      </c>
      <c r="Y4356" s="6">
        <f>1/COUNTIF(Таблица1[Order ID],Таблица1[[#This Row],[Order ID]])</f>
        <v>0.5</v>
      </c>
      <c r="Z4356" s="9">
        <f>1/COUNTIFS(Таблица1[Customer Name],Таблица1[[#This Row],[Customer Name]],Таблица1[Order-Year-Month],Таблица1[[#This Row],[Order-Year-Month]])</f>
        <v>0.5</v>
      </c>
    </row>
    <row r="4357" spans="1:26" x14ac:dyDescent="0.2">
      <c r="A4357" s="6">
        <v>3282</v>
      </c>
      <c r="B4357" s="7">
        <v>23429</v>
      </c>
      <c r="C4357" s="8">
        <f>DATE(2012,12,31)-1383</f>
        <v>39891</v>
      </c>
      <c r="D4357" s="8" t="str">
        <f t="shared" si="81"/>
        <v>2009-03 (март 2009)</v>
      </c>
      <c r="E4357" s="9" t="s">
        <v>78</v>
      </c>
      <c r="F4357" s="7">
        <v>19</v>
      </c>
      <c r="G4357" s="7">
        <v>1063.3499999999999</v>
      </c>
      <c r="H4357" s="7">
        <v>7.0000000000000007E-2</v>
      </c>
      <c r="I4357" s="9" t="s">
        <v>56</v>
      </c>
      <c r="J4357" s="10">
        <v>107.08200000000001</v>
      </c>
      <c r="K4357" s="11">
        <v>65.989999999999995</v>
      </c>
      <c r="L4357" s="11">
        <v>5.26</v>
      </c>
      <c r="M4357" s="9" t="s">
        <v>135</v>
      </c>
      <c r="N4357" s="6" t="s">
        <v>1123</v>
      </c>
      <c r="O4357" s="6" t="s">
        <v>1123</v>
      </c>
      <c r="P4357" s="9" t="s">
        <v>41</v>
      </c>
      <c r="Q4357" s="9" t="s">
        <v>42</v>
      </c>
      <c r="R4357" s="9" t="s">
        <v>43</v>
      </c>
      <c r="S4357" s="7" t="s">
        <v>390</v>
      </c>
      <c r="T4357" s="9" t="s">
        <v>39</v>
      </c>
      <c r="U4357" s="7">
        <v>0.56000000000000005</v>
      </c>
      <c r="V4357" s="12">
        <f>C4357+2</f>
        <v>39893</v>
      </c>
      <c r="W4357">
        <f>IF(D4357=' Pivot Tables'!$A$4,1,0)</f>
        <v>0</v>
      </c>
      <c r="X4357">
        <f>IF(AND(LEFT(D4357,4)+1=LEFT(' Pivot Tables'!$A$4,4)+0,RIGHT(LEFT(D4357,7),2)=RIGHT(LEFT(' Pivot Tables'!$A$4,7),2)),1,0)</f>
        <v>0</v>
      </c>
      <c r="Y4357" s="6">
        <f>1/COUNTIF(Таблица1[Order ID],Таблица1[[#This Row],[Order ID]])</f>
        <v>0.5</v>
      </c>
      <c r="Z4357" s="9">
        <f>1/COUNTIFS(Таблица1[Customer Name],Таблица1[[#This Row],[Customer Name]],Таблица1[Order-Year-Month],Таблица1[[#This Row],[Order-Year-Month]])</f>
        <v>0.5</v>
      </c>
    </row>
    <row r="4358" spans="1:26" x14ac:dyDescent="0.2">
      <c r="A4358" s="6">
        <v>3315</v>
      </c>
      <c r="B4358" s="7">
        <v>23681</v>
      </c>
      <c r="C4358" s="8">
        <f>DATE(2012,12,31)-226</f>
        <v>41048</v>
      </c>
      <c r="D4358" s="8" t="str">
        <f t="shared" si="81"/>
        <v>2012-05 (май 2012)</v>
      </c>
      <c r="E4358" s="9" t="s">
        <v>30</v>
      </c>
      <c r="F4358" s="7">
        <v>42</v>
      </c>
      <c r="G4358" s="7">
        <v>4182.5200000000004</v>
      </c>
      <c r="H4358" s="7">
        <v>0</v>
      </c>
      <c r="I4358" s="9" t="s">
        <v>56</v>
      </c>
      <c r="J4358" s="10">
        <v>-785.36</v>
      </c>
      <c r="K4358" s="11">
        <v>95.99</v>
      </c>
      <c r="L4358" s="11">
        <v>35</v>
      </c>
      <c r="M4358" s="9" t="s">
        <v>556</v>
      </c>
      <c r="N4358" s="6" t="s">
        <v>1123</v>
      </c>
      <c r="O4358" s="6" t="s">
        <v>1123</v>
      </c>
      <c r="P4358" s="9" t="s">
        <v>33</v>
      </c>
      <c r="Q4358" s="9" t="s">
        <v>26</v>
      </c>
      <c r="R4358" s="9" t="s">
        <v>27</v>
      </c>
      <c r="S4358" s="7" t="s">
        <v>1411</v>
      </c>
      <c r="T4358" s="9" t="s">
        <v>29</v>
      </c>
      <c r="U4358" s="7"/>
      <c r="V4358" s="12">
        <f>C4358+2</f>
        <v>41050</v>
      </c>
      <c r="W4358">
        <f>IF(D4358=' Pivot Tables'!$A$4,1,0)</f>
        <v>0</v>
      </c>
      <c r="X4358">
        <f>IF(AND(LEFT(D4358,4)+1=LEFT(' Pivot Tables'!$A$4,4)+0,RIGHT(LEFT(D4358,7),2)=RIGHT(LEFT(' Pivot Tables'!$A$4,7),2)),1,0)</f>
        <v>0</v>
      </c>
      <c r="Y4358" s="6">
        <f>1/COUNTIF(Таблица1[Order ID],Таблица1[[#This Row],[Order ID]])</f>
        <v>1</v>
      </c>
      <c r="Z4358" s="9">
        <f>1/COUNTIFS(Таблица1[Customer Name],Таблица1[[#This Row],[Customer Name]],Таблица1[Order-Year-Month],Таблица1[[#This Row],[Order-Year-Month]])</f>
        <v>0.5</v>
      </c>
    </row>
    <row r="4359" spans="1:26" x14ac:dyDescent="0.2">
      <c r="A4359" s="6">
        <v>3405</v>
      </c>
      <c r="B4359" s="7">
        <v>24263</v>
      </c>
      <c r="C4359" s="8">
        <f>DATE(2012,12,31)-107</f>
        <v>41167</v>
      </c>
      <c r="D4359" s="8" t="str">
        <f t="shared" si="81"/>
        <v>2012-09 (сентябрь 2012)</v>
      </c>
      <c r="E4359" s="9" t="s">
        <v>21</v>
      </c>
      <c r="F4359" s="7">
        <v>16</v>
      </c>
      <c r="G4359" s="7">
        <v>512.80999999999995</v>
      </c>
      <c r="H4359" s="7">
        <v>0.1</v>
      </c>
      <c r="I4359" s="9" t="s">
        <v>31</v>
      </c>
      <c r="J4359" s="10">
        <v>-177.07</v>
      </c>
      <c r="K4359" s="11">
        <v>33.94</v>
      </c>
      <c r="L4359" s="11">
        <v>19.190000000000001</v>
      </c>
      <c r="M4359" s="9" t="s">
        <v>716</v>
      </c>
      <c r="N4359" s="6" t="s">
        <v>1123</v>
      </c>
      <c r="O4359" s="6" t="s">
        <v>1123</v>
      </c>
      <c r="P4359" s="9" t="s">
        <v>33</v>
      </c>
      <c r="Q4359" s="9" t="s">
        <v>49</v>
      </c>
      <c r="R4359" s="9" t="s">
        <v>112</v>
      </c>
      <c r="S4359" s="7" t="s">
        <v>323</v>
      </c>
      <c r="T4359" s="9" t="s">
        <v>36</v>
      </c>
      <c r="U4359" s="7">
        <v>0.57999999999999996</v>
      </c>
      <c r="V4359" s="12">
        <f>C4359+7</f>
        <v>41174</v>
      </c>
      <c r="W4359">
        <f>IF(D4359=' Pivot Tables'!$A$4,1,0)</f>
        <v>0</v>
      </c>
      <c r="X4359">
        <f>IF(AND(LEFT(D4359,4)+1=LEFT(' Pivot Tables'!$A$4,4)+0,RIGHT(LEFT(D4359,7),2)=RIGHT(LEFT(' Pivot Tables'!$A$4,7),2)),1,0)</f>
        <v>0</v>
      </c>
      <c r="Y4359" s="6">
        <f>1/COUNTIF(Таблица1[Order ID],Таблица1[[#This Row],[Order ID]])</f>
        <v>1</v>
      </c>
      <c r="Z4359" s="9">
        <f>1/COUNTIFS(Таблица1[Customer Name],Таблица1[[#This Row],[Customer Name]],Таблица1[Order-Year-Month],Таблица1[[#This Row],[Order-Year-Month]])</f>
        <v>1</v>
      </c>
    </row>
    <row r="4360" spans="1:26" x14ac:dyDescent="0.2">
      <c r="A4360" s="6">
        <v>3430</v>
      </c>
      <c r="B4360" s="7">
        <v>24455</v>
      </c>
      <c r="C4360" s="8">
        <f>DATE(2012,12,31)-1121</f>
        <v>40153</v>
      </c>
      <c r="D4360" s="8" t="str">
        <f t="shared" si="81"/>
        <v>2009-12 (декабрь 2009)</v>
      </c>
      <c r="E4360" s="9" t="s">
        <v>45</v>
      </c>
      <c r="F4360" s="7">
        <v>8</v>
      </c>
      <c r="G4360" s="7">
        <v>169.11</v>
      </c>
      <c r="H4360" s="7">
        <v>0</v>
      </c>
      <c r="I4360" s="9" t="s">
        <v>22</v>
      </c>
      <c r="J4360" s="10">
        <v>-10.59</v>
      </c>
      <c r="K4360" s="11">
        <v>20.89</v>
      </c>
      <c r="L4360" s="11">
        <v>1.99</v>
      </c>
      <c r="M4360" s="9" t="s">
        <v>291</v>
      </c>
      <c r="N4360" s="6" t="s">
        <v>1123</v>
      </c>
      <c r="O4360" s="6" t="s">
        <v>1123</v>
      </c>
      <c r="P4360" s="9" t="s">
        <v>60</v>
      </c>
      <c r="Q4360" s="9" t="s">
        <v>42</v>
      </c>
      <c r="R4360" s="9" t="s">
        <v>70</v>
      </c>
      <c r="S4360" s="7" t="s">
        <v>303</v>
      </c>
      <c r="T4360" s="9" t="s">
        <v>52</v>
      </c>
      <c r="U4360" s="7">
        <v>0.48</v>
      </c>
      <c r="V4360" s="12">
        <f>C4360+2</f>
        <v>40155</v>
      </c>
      <c r="W4360">
        <f>IF(D4360=' Pivot Tables'!$A$4,1,0)</f>
        <v>0</v>
      </c>
      <c r="X4360">
        <f>IF(AND(LEFT(D4360,4)+1=LEFT(' Pivot Tables'!$A$4,4)+0,RIGHT(LEFT(D4360,7),2)=RIGHT(LEFT(' Pivot Tables'!$A$4,7),2)),1,0)</f>
        <v>0</v>
      </c>
      <c r="Y4360" s="6">
        <f>1/COUNTIF(Таблица1[Order ID],Таблица1[[#This Row],[Order ID]])</f>
        <v>0.5</v>
      </c>
      <c r="Z4360" s="9">
        <f>1/COUNTIFS(Таблица1[Customer Name],Таблица1[[#This Row],[Customer Name]],Таблица1[Order-Year-Month],Таблица1[[#This Row],[Order-Year-Month]])</f>
        <v>0.5</v>
      </c>
    </row>
    <row r="4361" spans="1:26" x14ac:dyDescent="0.2">
      <c r="A4361" s="6">
        <v>3431</v>
      </c>
      <c r="B4361" s="7">
        <v>24455</v>
      </c>
      <c r="C4361" s="8">
        <f>DATE(2012,12,31)-1121</f>
        <v>40153</v>
      </c>
      <c r="D4361" s="8" t="str">
        <f t="shared" si="81"/>
        <v>2009-12 (декабрь 2009)</v>
      </c>
      <c r="E4361" s="9" t="s">
        <v>45</v>
      </c>
      <c r="F4361" s="7">
        <v>41</v>
      </c>
      <c r="G4361" s="7">
        <v>152.59</v>
      </c>
      <c r="H4361" s="7">
        <v>7.0000000000000007E-2</v>
      </c>
      <c r="I4361" s="9" t="s">
        <v>22</v>
      </c>
      <c r="J4361" s="10">
        <v>27.38</v>
      </c>
      <c r="K4361" s="11">
        <v>3.98</v>
      </c>
      <c r="L4361" s="11">
        <v>0.83</v>
      </c>
      <c r="M4361" s="9" t="s">
        <v>291</v>
      </c>
      <c r="N4361" s="6" t="s">
        <v>1123</v>
      </c>
      <c r="O4361" s="6" t="s">
        <v>1123</v>
      </c>
      <c r="P4361" s="9" t="s">
        <v>60</v>
      </c>
      <c r="Q4361" s="9" t="s">
        <v>26</v>
      </c>
      <c r="R4361" s="9" t="s">
        <v>95</v>
      </c>
      <c r="S4361" s="7" t="s">
        <v>1216</v>
      </c>
      <c r="T4361" s="9" t="s">
        <v>68</v>
      </c>
      <c r="U4361" s="7">
        <v>0.51</v>
      </c>
      <c r="V4361" s="12">
        <f>C4361+3</f>
        <v>40156</v>
      </c>
      <c r="W4361">
        <f>IF(D4361=' Pivot Tables'!$A$4,1,0)</f>
        <v>0</v>
      </c>
      <c r="X4361">
        <f>IF(AND(LEFT(D4361,4)+1=LEFT(' Pivot Tables'!$A$4,4)+0,RIGHT(LEFT(D4361,7),2)=RIGHT(LEFT(' Pivot Tables'!$A$4,7),2)),1,0)</f>
        <v>0</v>
      </c>
      <c r="Y4361" s="6">
        <f>1/COUNTIF(Таблица1[Order ID],Таблица1[[#This Row],[Order ID]])</f>
        <v>0.5</v>
      </c>
      <c r="Z4361" s="9">
        <f>1/COUNTIFS(Таблица1[Customer Name],Таблица1[[#This Row],[Customer Name]],Таблица1[Order-Year-Month],Таблица1[[#This Row],[Order-Year-Month]])</f>
        <v>0.5</v>
      </c>
    </row>
    <row r="4362" spans="1:26" x14ac:dyDescent="0.2">
      <c r="A4362" s="6">
        <v>3471</v>
      </c>
      <c r="B4362" s="7">
        <v>24707</v>
      </c>
      <c r="C4362" s="8">
        <f>DATE(2012,12,31)-296</f>
        <v>40978</v>
      </c>
      <c r="D4362" s="8" t="str">
        <f t="shared" si="81"/>
        <v>2012-03 (март 2012)</v>
      </c>
      <c r="E4362" s="9" t="s">
        <v>63</v>
      </c>
      <c r="F4362" s="7">
        <v>14</v>
      </c>
      <c r="G4362" s="7">
        <v>1961.39</v>
      </c>
      <c r="H4362" s="7">
        <v>0</v>
      </c>
      <c r="I4362" s="9" t="s">
        <v>22</v>
      </c>
      <c r="J4362" s="10">
        <v>761.04</v>
      </c>
      <c r="K4362" s="11">
        <v>136.97999999999999</v>
      </c>
      <c r="L4362" s="11">
        <v>24.49</v>
      </c>
      <c r="M4362" s="9" t="s">
        <v>1784</v>
      </c>
      <c r="N4362" s="6" t="s">
        <v>1123</v>
      </c>
      <c r="O4362" s="6" t="s">
        <v>1123</v>
      </c>
      <c r="P4362" s="9" t="s">
        <v>41</v>
      </c>
      <c r="Q4362" s="9" t="s">
        <v>49</v>
      </c>
      <c r="R4362" s="9" t="s">
        <v>50</v>
      </c>
      <c r="S4362" s="7" t="s">
        <v>480</v>
      </c>
      <c r="T4362" s="9" t="s">
        <v>29</v>
      </c>
      <c r="U4362" s="7">
        <v>0.59</v>
      </c>
      <c r="V4362" s="12">
        <f>C4362+1</f>
        <v>40979</v>
      </c>
      <c r="W4362">
        <f>IF(D4362=' Pivot Tables'!$A$4,1,0)</f>
        <v>0</v>
      </c>
      <c r="X4362">
        <f>IF(AND(LEFT(D4362,4)+1=LEFT(' Pivot Tables'!$A$4,4)+0,RIGHT(LEFT(D4362,7),2)=RIGHT(LEFT(' Pivot Tables'!$A$4,7),2)),1,0)</f>
        <v>0</v>
      </c>
      <c r="Y4362" s="6">
        <f>1/COUNTIF(Таблица1[Order ID],Таблица1[[#This Row],[Order ID]])</f>
        <v>0.5</v>
      </c>
      <c r="Z4362" s="9">
        <f>1/COUNTIFS(Таблица1[Customer Name],Таблица1[[#This Row],[Customer Name]],Таблица1[Order-Year-Month],Таблица1[[#This Row],[Order-Year-Month]])</f>
        <v>0.33333333333333331</v>
      </c>
    </row>
    <row r="4363" spans="1:26" x14ac:dyDescent="0.2">
      <c r="A4363" s="6">
        <v>3472</v>
      </c>
      <c r="B4363" s="7">
        <v>24707</v>
      </c>
      <c r="C4363" s="8">
        <f>DATE(2012,12,31)-296</f>
        <v>40978</v>
      </c>
      <c r="D4363" s="8" t="str">
        <f t="shared" si="81"/>
        <v>2012-03 (март 2012)</v>
      </c>
      <c r="E4363" s="9" t="s">
        <v>63</v>
      </c>
      <c r="F4363" s="7">
        <v>3</v>
      </c>
      <c r="G4363" s="7">
        <v>4.9400000000000004</v>
      </c>
      <c r="H4363" s="7">
        <v>0.1</v>
      </c>
      <c r="I4363" s="9" t="s">
        <v>22</v>
      </c>
      <c r="J4363" s="10">
        <v>-1.76</v>
      </c>
      <c r="K4363" s="11">
        <v>1.48</v>
      </c>
      <c r="L4363" s="11">
        <v>0.7</v>
      </c>
      <c r="M4363" s="9" t="s">
        <v>1784</v>
      </c>
      <c r="N4363" s="6" t="s">
        <v>1123</v>
      </c>
      <c r="O4363" s="6" t="s">
        <v>1123</v>
      </c>
      <c r="P4363" s="9" t="s">
        <v>41</v>
      </c>
      <c r="Q4363" s="9" t="s">
        <v>26</v>
      </c>
      <c r="R4363" s="9" t="s">
        <v>66</v>
      </c>
      <c r="S4363" s="7" t="s">
        <v>623</v>
      </c>
      <c r="T4363" s="9" t="s">
        <v>68</v>
      </c>
      <c r="U4363" s="7">
        <v>0.37</v>
      </c>
      <c r="V4363" s="12">
        <f>C4363+2</f>
        <v>40980</v>
      </c>
      <c r="W4363">
        <f>IF(D4363=' Pivot Tables'!$A$4,1,0)</f>
        <v>0</v>
      </c>
      <c r="X4363">
        <f>IF(AND(LEFT(D4363,4)+1=LEFT(' Pivot Tables'!$A$4,4)+0,RIGHT(LEFT(D4363,7),2)=RIGHT(LEFT(' Pivot Tables'!$A$4,7),2)),1,0)</f>
        <v>0</v>
      </c>
      <c r="Y4363" s="6">
        <f>1/COUNTIF(Таблица1[Order ID],Таблица1[[#This Row],[Order ID]])</f>
        <v>0.5</v>
      </c>
      <c r="Z4363" s="9">
        <f>1/COUNTIFS(Таблица1[Customer Name],Таблица1[[#This Row],[Customer Name]],Таблица1[Order-Year-Month],Таблица1[[#This Row],[Order-Year-Month]])</f>
        <v>0.33333333333333331</v>
      </c>
    </row>
    <row r="4364" spans="1:26" x14ac:dyDescent="0.2">
      <c r="A4364" s="6">
        <v>3523</v>
      </c>
      <c r="B4364" s="7">
        <v>25091</v>
      </c>
      <c r="C4364" s="8">
        <f>DATE(2012,12,31)-1046</f>
        <v>40228</v>
      </c>
      <c r="D4364" s="8" t="str">
        <f t="shared" si="81"/>
        <v>2010-02 (февраль 2010)</v>
      </c>
      <c r="E4364" s="9" t="s">
        <v>63</v>
      </c>
      <c r="F4364" s="7">
        <v>4</v>
      </c>
      <c r="G4364" s="7">
        <v>156.97</v>
      </c>
      <c r="H4364" s="7">
        <v>0.01</v>
      </c>
      <c r="I4364" s="9" t="s">
        <v>22</v>
      </c>
      <c r="J4364" s="10">
        <v>-25.426500000000001</v>
      </c>
      <c r="K4364" s="11">
        <v>34.54</v>
      </c>
      <c r="L4364" s="11">
        <v>14.72</v>
      </c>
      <c r="M4364" s="9" t="s">
        <v>1385</v>
      </c>
      <c r="N4364" s="6" t="s">
        <v>1123</v>
      </c>
      <c r="O4364" s="6" t="s">
        <v>1123</v>
      </c>
      <c r="P4364" s="9" t="s">
        <v>41</v>
      </c>
      <c r="Q4364" s="9" t="s">
        <v>26</v>
      </c>
      <c r="R4364" s="9" t="s">
        <v>37</v>
      </c>
      <c r="S4364" s="7" t="s">
        <v>229</v>
      </c>
      <c r="T4364" s="9" t="s">
        <v>39</v>
      </c>
      <c r="U4364" s="7">
        <v>0.37</v>
      </c>
      <c r="V4364" s="12">
        <f>C4364+3</f>
        <v>40231</v>
      </c>
      <c r="W4364">
        <f>IF(D4364=' Pivot Tables'!$A$4,1,0)</f>
        <v>0</v>
      </c>
      <c r="X4364">
        <f>IF(AND(LEFT(D4364,4)+1=LEFT(' Pivot Tables'!$A$4,4)+0,RIGHT(LEFT(D4364,7),2)=RIGHT(LEFT(' Pivot Tables'!$A$4,7),2)),1,0)</f>
        <v>0</v>
      </c>
      <c r="Y4364" s="6">
        <f>1/COUNTIF(Таблица1[Order ID],Таблица1[[#This Row],[Order ID]])</f>
        <v>1</v>
      </c>
      <c r="Z4364" s="9">
        <f>1/COUNTIFS(Таблица1[Customer Name],Таблица1[[#This Row],[Customer Name]],Таблица1[Order-Year-Month],Таблица1[[#This Row],[Order-Year-Month]])</f>
        <v>1</v>
      </c>
    </row>
    <row r="4365" spans="1:26" x14ac:dyDescent="0.2">
      <c r="A4365" s="6">
        <v>3673</v>
      </c>
      <c r="B4365" s="7">
        <v>26305</v>
      </c>
      <c r="C4365" s="8">
        <f>DATE(2012,12,31)-760</f>
        <v>40514</v>
      </c>
      <c r="D4365" s="8" t="str">
        <f t="shared" si="81"/>
        <v>2010-12 (декабрь 2010)</v>
      </c>
      <c r="E4365" s="9" t="s">
        <v>63</v>
      </c>
      <c r="F4365" s="7">
        <v>50</v>
      </c>
      <c r="G4365" s="7">
        <v>1118.21</v>
      </c>
      <c r="H4365" s="7">
        <v>7.0000000000000007E-2</v>
      </c>
      <c r="I4365" s="9" t="s">
        <v>22</v>
      </c>
      <c r="J4365" s="10">
        <v>-122.7855</v>
      </c>
      <c r="K4365" s="11">
        <v>22.38</v>
      </c>
      <c r="L4365" s="11">
        <v>15.1</v>
      </c>
      <c r="M4365" s="9" t="s">
        <v>1779</v>
      </c>
      <c r="N4365" s="6" t="s">
        <v>1123</v>
      </c>
      <c r="O4365" s="6" t="s">
        <v>1123</v>
      </c>
      <c r="P4365" s="9" t="s">
        <v>60</v>
      </c>
      <c r="Q4365" s="9" t="s">
        <v>26</v>
      </c>
      <c r="R4365" s="9" t="s">
        <v>37</v>
      </c>
      <c r="S4365" s="7" t="s">
        <v>415</v>
      </c>
      <c r="T4365" s="9" t="s">
        <v>39</v>
      </c>
      <c r="U4365" s="7">
        <v>0.38</v>
      </c>
      <c r="V4365" s="12">
        <f>C4365+2</f>
        <v>40516</v>
      </c>
      <c r="W4365">
        <f>IF(D4365=' Pivot Tables'!$A$4,1,0)</f>
        <v>0</v>
      </c>
      <c r="X4365">
        <f>IF(AND(LEFT(D4365,4)+1=LEFT(' Pivot Tables'!$A$4,4)+0,RIGHT(LEFT(D4365,7),2)=RIGHT(LEFT(' Pivot Tables'!$A$4,7),2)),1,0)</f>
        <v>0</v>
      </c>
      <c r="Y4365" s="6">
        <f>1/COUNTIF(Таблица1[Order ID],Таблица1[[#This Row],[Order ID]])</f>
        <v>0.5</v>
      </c>
      <c r="Z4365" s="9">
        <f>1/COUNTIFS(Таблица1[Customer Name],Таблица1[[#This Row],[Customer Name]],Таблица1[Order-Year-Month],Таблица1[[#This Row],[Order-Year-Month]])</f>
        <v>0.33333333333333331</v>
      </c>
    </row>
    <row r="4366" spans="1:26" x14ac:dyDescent="0.2">
      <c r="A4366" s="6">
        <v>3674</v>
      </c>
      <c r="B4366" s="7">
        <v>26305</v>
      </c>
      <c r="C4366" s="8">
        <f>DATE(2012,12,31)-760</f>
        <v>40514</v>
      </c>
      <c r="D4366" s="8" t="str">
        <f t="shared" si="81"/>
        <v>2010-12 (декабрь 2010)</v>
      </c>
      <c r="E4366" s="9" t="s">
        <v>63</v>
      </c>
      <c r="F4366" s="7">
        <v>13</v>
      </c>
      <c r="G4366" s="7">
        <v>3503.56</v>
      </c>
      <c r="H4366" s="7">
        <v>0.01</v>
      </c>
      <c r="I4366" s="9" t="s">
        <v>31</v>
      </c>
      <c r="J4366" s="10">
        <v>-633.44123700000023</v>
      </c>
      <c r="K4366" s="11">
        <v>262.11</v>
      </c>
      <c r="L4366" s="11">
        <v>62.74</v>
      </c>
      <c r="M4366" s="9" t="s">
        <v>1779</v>
      </c>
      <c r="N4366" s="6" t="s">
        <v>1123</v>
      </c>
      <c r="O4366" s="6" t="s">
        <v>1123</v>
      </c>
      <c r="P4366" s="9" t="s">
        <v>60</v>
      </c>
      <c r="Q4366" s="9" t="s">
        <v>49</v>
      </c>
      <c r="R4366" s="9" t="s">
        <v>83</v>
      </c>
      <c r="S4366" s="7" t="s">
        <v>191</v>
      </c>
      <c r="T4366" s="9" t="s">
        <v>82</v>
      </c>
      <c r="U4366" s="7">
        <v>0.75</v>
      </c>
      <c r="V4366" s="12">
        <f>C4366+1</f>
        <v>40515</v>
      </c>
      <c r="W4366">
        <f>IF(D4366=' Pivot Tables'!$A$4,1,0)</f>
        <v>0</v>
      </c>
      <c r="X4366">
        <f>IF(AND(LEFT(D4366,4)+1=LEFT(' Pivot Tables'!$A$4,4)+0,RIGHT(LEFT(D4366,7),2)=RIGHT(LEFT(' Pivot Tables'!$A$4,7),2)),1,0)</f>
        <v>0</v>
      </c>
      <c r="Y4366" s="6">
        <f>1/COUNTIF(Таблица1[Order ID],Таблица1[[#This Row],[Order ID]])</f>
        <v>0.5</v>
      </c>
      <c r="Z4366" s="9">
        <f>1/COUNTIFS(Таблица1[Customer Name],Таблица1[[#This Row],[Customer Name]],Таблица1[Order-Year-Month],Таблица1[[#This Row],[Order-Year-Month]])</f>
        <v>0.33333333333333331</v>
      </c>
    </row>
    <row r="4367" spans="1:26" x14ac:dyDescent="0.2">
      <c r="A4367" s="6">
        <v>3789</v>
      </c>
      <c r="B4367" s="7">
        <v>26982</v>
      </c>
      <c r="C4367" s="8">
        <f>DATE(2012,12,31)-247</f>
        <v>41027</v>
      </c>
      <c r="D4367" s="8" t="str">
        <f t="shared" si="81"/>
        <v>2012-04 (апрель 2012)</v>
      </c>
      <c r="E4367" s="9" t="s">
        <v>45</v>
      </c>
      <c r="F4367" s="7">
        <v>37</v>
      </c>
      <c r="G4367" s="7">
        <v>1984.61</v>
      </c>
      <c r="H4367" s="7">
        <v>0.05</v>
      </c>
      <c r="I4367" s="9" t="s">
        <v>56</v>
      </c>
      <c r="J4367" s="10">
        <v>585.03</v>
      </c>
      <c r="K4367" s="11">
        <v>55.48</v>
      </c>
      <c r="L4367" s="11">
        <v>14.3</v>
      </c>
      <c r="M4367" s="9" t="s">
        <v>1791</v>
      </c>
      <c r="N4367" s="6" t="s">
        <v>1123</v>
      </c>
      <c r="O4367" s="6" t="s">
        <v>1123</v>
      </c>
      <c r="P4367" s="9" t="s">
        <v>25</v>
      </c>
      <c r="Q4367" s="9" t="s">
        <v>26</v>
      </c>
      <c r="R4367" s="9" t="s">
        <v>61</v>
      </c>
      <c r="S4367" s="7" t="s">
        <v>507</v>
      </c>
      <c r="T4367" s="9" t="s">
        <v>39</v>
      </c>
      <c r="U4367" s="7">
        <v>0.37</v>
      </c>
      <c r="V4367" s="12">
        <f>C4367+1</f>
        <v>41028</v>
      </c>
      <c r="W4367">
        <f>IF(D4367=' Pivot Tables'!$A$4,1,0)</f>
        <v>0</v>
      </c>
      <c r="X4367">
        <f>IF(AND(LEFT(D4367,4)+1=LEFT(' Pivot Tables'!$A$4,4)+0,RIGHT(LEFT(D4367,7),2)=RIGHT(LEFT(' Pivot Tables'!$A$4,7),2)),1,0)</f>
        <v>0</v>
      </c>
      <c r="Y4367" s="6">
        <f>1/COUNTIF(Таблица1[Order ID],Таблица1[[#This Row],[Order ID]])</f>
        <v>1</v>
      </c>
      <c r="Z4367" s="9">
        <f>1/COUNTIFS(Таблица1[Customer Name],Таблица1[[#This Row],[Customer Name]],Таблица1[Order-Year-Month],Таблица1[[#This Row],[Order-Year-Month]])</f>
        <v>1</v>
      </c>
    </row>
    <row r="4368" spans="1:26" x14ac:dyDescent="0.2">
      <c r="A4368" s="6">
        <v>3800</v>
      </c>
      <c r="B4368" s="7">
        <v>27106</v>
      </c>
      <c r="C4368" s="8">
        <f>DATE(2012,12,31)-396</f>
        <v>40878</v>
      </c>
      <c r="D4368" s="8" t="str">
        <f t="shared" si="81"/>
        <v>2011-12 (декабрь 2011)</v>
      </c>
      <c r="E4368" s="9" t="s">
        <v>30</v>
      </c>
      <c r="F4368" s="7">
        <v>1</v>
      </c>
      <c r="G4368" s="7">
        <v>13.96</v>
      </c>
      <c r="H4368" s="7">
        <v>0.06</v>
      </c>
      <c r="I4368" s="9" t="s">
        <v>22</v>
      </c>
      <c r="J4368" s="10">
        <v>-4.7035</v>
      </c>
      <c r="K4368" s="11">
        <v>10.91</v>
      </c>
      <c r="L4368" s="11">
        <v>2.99</v>
      </c>
      <c r="M4368" s="9" t="s">
        <v>1385</v>
      </c>
      <c r="N4368" s="6" t="s">
        <v>1123</v>
      </c>
      <c r="O4368" s="6" t="s">
        <v>1123</v>
      </c>
      <c r="P4368" s="9" t="s">
        <v>60</v>
      </c>
      <c r="Q4368" s="9" t="s">
        <v>26</v>
      </c>
      <c r="R4368" s="9" t="s">
        <v>37</v>
      </c>
      <c r="S4368" s="7" t="s">
        <v>357</v>
      </c>
      <c r="T4368" s="9" t="s">
        <v>39</v>
      </c>
      <c r="U4368" s="7">
        <v>0.38</v>
      </c>
      <c r="V4368" s="12">
        <f>C4368+2</f>
        <v>40880</v>
      </c>
      <c r="W4368">
        <f>IF(D4368=' Pivot Tables'!$A$4,1,0)</f>
        <v>0</v>
      </c>
      <c r="X4368">
        <f>IF(AND(LEFT(D4368,4)+1=LEFT(' Pivot Tables'!$A$4,4)+0,RIGHT(LEFT(D4368,7),2)=RIGHT(LEFT(' Pivot Tables'!$A$4,7),2)),1,0)</f>
        <v>0</v>
      </c>
      <c r="Y4368" s="6">
        <f>1/COUNTIF(Таблица1[Order ID],Таблица1[[#This Row],[Order ID]])</f>
        <v>0.2</v>
      </c>
      <c r="Z4368" s="9">
        <f>1/COUNTIFS(Таблица1[Customer Name],Таблица1[[#This Row],[Customer Name]],Таблица1[Order-Year-Month],Таблица1[[#This Row],[Order-Year-Month]])</f>
        <v>0.2</v>
      </c>
    </row>
    <row r="4369" spans="1:26" x14ac:dyDescent="0.2">
      <c r="A4369" s="6">
        <v>3801</v>
      </c>
      <c r="B4369" s="7">
        <v>27106</v>
      </c>
      <c r="C4369" s="8">
        <f>DATE(2012,12,31)-396</f>
        <v>40878</v>
      </c>
      <c r="D4369" s="8" t="str">
        <f t="shared" si="81"/>
        <v>2011-12 (декабрь 2011)</v>
      </c>
      <c r="E4369" s="9" t="s">
        <v>30</v>
      </c>
      <c r="F4369" s="7">
        <v>50</v>
      </c>
      <c r="G4369" s="7">
        <v>531.48</v>
      </c>
      <c r="H4369" s="7">
        <v>0.08</v>
      </c>
      <c r="I4369" s="9" t="s">
        <v>22</v>
      </c>
      <c r="J4369" s="10">
        <v>232.58</v>
      </c>
      <c r="K4369" s="11">
        <v>10.67</v>
      </c>
      <c r="L4369" s="11">
        <v>1.39</v>
      </c>
      <c r="M4369" s="9" t="s">
        <v>1385</v>
      </c>
      <c r="N4369" s="6" t="s">
        <v>1123</v>
      </c>
      <c r="O4369" s="6" t="s">
        <v>1123</v>
      </c>
      <c r="P4369" s="9" t="s">
        <v>60</v>
      </c>
      <c r="Q4369" s="9" t="s">
        <v>26</v>
      </c>
      <c r="R4369" s="9" t="s">
        <v>76</v>
      </c>
      <c r="S4369" s="7" t="s">
        <v>454</v>
      </c>
      <c r="T4369" s="9" t="s">
        <v>39</v>
      </c>
      <c r="U4369" s="7">
        <v>0.39</v>
      </c>
      <c r="V4369" s="12">
        <f>C4369+0</f>
        <v>40878</v>
      </c>
      <c r="W4369">
        <f>IF(D4369=' Pivot Tables'!$A$4,1,0)</f>
        <v>0</v>
      </c>
      <c r="X4369">
        <f>IF(AND(LEFT(D4369,4)+1=LEFT(' Pivot Tables'!$A$4,4)+0,RIGHT(LEFT(D4369,7),2)=RIGHT(LEFT(' Pivot Tables'!$A$4,7),2)),1,0)</f>
        <v>0</v>
      </c>
      <c r="Y4369" s="6">
        <f>1/COUNTIF(Таблица1[Order ID],Таблица1[[#This Row],[Order ID]])</f>
        <v>0.2</v>
      </c>
      <c r="Z4369" s="9">
        <f>1/COUNTIFS(Таблица1[Customer Name],Таблица1[[#This Row],[Customer Name]],Таблица1[Order-Year-Month],Таблица1[[#This Row],[Order-Year-Month]])</f>
        <v>0.2</v>
      </c>
    </row>
    <row r="4370" spans="1:26" x14ac:dyDescent="0.2">
      <c r="A4370" s="6">
        <v>3802</v>
      </c>
      <c r="B4370" s="7">
        <v>27106</v>
      </c>
      <c r="C4370" s="8">
        <f>DATE(2012,12,31)-396</f>
        <v>40878</v>
      </c>
      <c r="D4370" s="8" t="str">
        <f t="shared" si="81"/>
        <v>2011-12 (декабрь 2011)</v>
      </c>
      <c r="E4370" s="9" t="s">
        <v>30</v>
      </c>
      <c r="F4370" s="7">
        <v>29</v>
      </c>
      <c r="G4370" s="7">
        <v>3524.55</v>
      </c>
      <c r="H4370" s="7">
        <v>0.08</v>
      </c>
      <c r="I4370" s="9" t="s">
        <v>31</v>
      </c>
      <c r="J4370" s="10">
        <v>-570.17999999999995</v>
      </c>
      <c r="K4370" s="11">
        <v>130.97999999999999</v>
      </c>
      <c r="L4370" s="11">
        <v>30</v>
      </c>
      <c r="M4370" s="9" t="s">
        <v>1385</v>
      </c>
      <c r="N4370" s="6" t="s">
        <v>1123</v>
      </c>
      <c r="O4370" s="6" t="s">
        <v>1123</v>
      </c>
      <c r="P4370" s="9" t="s">
        <v>60</v>
      </c>
      <c r="Q4370" s="9" t="s">
        <v>49</v>
      </c>
      <c r="R4370" s="9" t="s">
        <v>112</v>
      </c>
      <c r="S4370" s="7" t="s">
        <v>265</v>
      </c>
      <c r="T4370" s="9" t="s">
        <v>36</v>
      </c>
      <c r="U4370" s="7">
        <v>0.78</v>
      </c>
      <c r="V4370" s="12">
        <f>C4370+2</f>
        <v>40880</v>
      </c>
      <c r="W4370">
        <f>IF(D4370=' Pivot Tables'!$A$4,1,0)</f>
        <v>0</v>
      </c>
      <c r="X4370">
        <f>IF(AND(LEFT(D4370,4)+1=LEFT(' Pivot Tables'!$A$4,4)+0,RIGHT(LEFT(D4370,7),2)=RIGHT(LEFT(' Pivot Tables'!$A$4,7),2)),1,0)</f>
        <v>0</v>
      </c>
      <c r="Y4370" s="6">
        <f>1/COUNTIF(Таблица1[Order ID],Таблица1[[#This Row],[Order ID]])</f>
        <v>0.2</v>
      </c>
      <c r="Z4370" s="9">
        <f>1/COUNTIFS(Таблица1[Customer Name],Таблица1[[#This Row],[Customer Name]],Таблица1[Order-Year-Month],Таблица1[[#This Row],[Order-Year-Month]])</f>
        <v>0.2</v>
      </c>
    </row>
    <row r="4371" spans="1:26" x14ac:dyDescent="0.2">
      <c r="A4371" s="6">
        <v>3803</v>
      </c>
      <c r="B4371" s="7">
        <v>27106</v>
      </c>
      <c r="C4371" s="8">
        <f>DATE(2012,12,31)-396</f>
        <v>40878</v>
      </c>
      <c r="D4371" s="8" t="str">
        <f t="shared" si="81"/>
        <v>2011-12 (декабрь 2011)</v>
      </c>
      <c r="E4371" s="9" t="s">
        <v>30</v>
      </c>
      <c r="F4371" s="7">
        <v>42</v>
      </c>
      <c r="G4371" s="7">
        <v>890.61</v>
      </c>
      <c r="H4371" s="7">
        <v>0.05</v>
      </c>
      <c r="I4371" s="9" t="s">
        <v>22</v>
      </c>
      <c r="J4371" s="10">
        <v>297.11</v>
      </c>
      <c r="K4371" s="11">
        <v>22.23</v>
      </c>
      <c r="L4371" s="11">
        <v>3.63</v>
      </c>
      <c r="M4371" s="9" t="s">
        <v>1385</v>
      </c>
      <c r="N4371" s="6" t="s">
        <v>1123</v>
      </c>
      <c r="O4371" s="6" t="s">
        <v>1123</v>
      </c>
      <c r="P4371" s="9" t="s">
        <v>60</v>
      </c>
      <c r="Q4371" s="9" t="s">
        <v>49</v>
      </c>
      <c r="R4371" s="9" t="s">
        <v>50</v>
      </c>
      <c r="S4371" s="7" t="s">
        <v>632</v>
      </c>
      <c r="T4371" s="9" t="s">
        <v>52</v>
      </c>
      <c r="U4371" s="7">
        <v>0.52</v>
      </c>
      <c r="V4371" s="12">
        <f>C4371+2</f>
        <v>40880</v>
      </c>
      <c r="W4371">
        <f>IF(D4371=' Pivot Tables'!$A$4,1,0)</f>
        <v>0</v>
      </c>
      <c r="X4371">
        <f>IF(AND(LEFT(D4371,4)+1=LEFT(' Pivot Tables'!$A$4,4)+0,RIGHT(LEFT(D4371,7),2)=RIGHT(LEFT(' Pivot Tables'!$A$4,7),2)),1,0)</f>
        <v>0</v>
      </c>
      <c r="Y4371" s="6">
        <f>1/COUNTIF(Таблица1[Order ID],Таблица1[[#This Row],[Order ID]])</f>
        <v>0.2</v>
      </c>
      <c r="Z4371" s="9">
        <f>1/COUNTIFS(Таблица1[Customer Name],Таблица1[[#This Row],[Customer Name]],Таблица1[Order-Year-Month],Таблица1[[#This Row],[Order-Year-Month]])</f>
        <v>0.2</v>
      </c>
    </row>
    <row r="4372" spans="1:26" x14ac:dyDescent="0.2">
      <c r="A4372" s="6">
        <v>3804</v>
      </c>
      <c r="B4372" s="7">
        <v>27106</v>
      </c>
      <c r="C4372" s="8">
        <f>DATE(2012,12,31)-396</f>
        <v>40878</v>
      </c>
      <c r="D4372" s="8" t="str">
        <f t="shared" si="81"/>
        <v>2011-12 (декабрь 2011)</v>
      </c>
      <c r="E4372" s="9" t="s">
        <v>30</v>
      </c>
      <c r="F4372" s="7">
        <v>10</v>
      </c>
      <c r="G4372" s="7">
        <v>64.19</v>
      </c>
      <c r="H4372" s="7">
        <v>0.08</v>
      </c>
      <c r="I4372" s="9" t="s">
        <v>22</v>
      </c>
      <c r="J4372" s="10">
        <v>3.77</v>
      </c>
      <c r="K4372" s="11">
        <v>6.68</v>
      </c>
      <c r="L4372" s="11">
        <v>1.5</v>
      </c>
      <c r="M4372" s="9" t="s">
        <v>1385</v>
      </c>
      <c r="N4372" s="6" t="s">
        <v>1123</v>
      </c>
      <c r="O4372" s="6" t="s">
        <v>1123</v>
      </c>
      <c r="P4372" s="9" t="s">
        <v>60</v>
      </c>
      <c r="Q4372" s="9" t="s">
        <v>26</v>
      </c>
      <c r="R4372" s="9" t="s">
        <v>95</v>
      </c>
      <c r="S4372" s="7" t="s">
        <v>609</v>
      </c>
      <c r="T4372" s="9" t="s">
        <v>68</v>
      </c>
      <c r="U4372" s="7">
        <v>0.48</v>
      </c>
      <c r="V4372" s="12">
        <f>C4372+2</f>
        <v>40880</v>
      </c>
      <c r="W4372">
        <f>IF(D4372=' Pivot Tables'!$A$4,1,0)</f>
        <v>0</v>
      </c>
      <c r="X4372">
        <f>IF(AND(LEFT(D4372,4)+1=LEFT(' Pivot Tables'!$A$4,4)+0,RIGHT(LEFT(D4372,7),2)=RIGHT(LEFT(' Pivot Tables'!$A$4,7),2)),1,0)</f>
        <v>0</v>
      </c>
      <c r="Y4372" s="6">
        <f>1/COUNTIF(Таблица1[Order ID],Таблица1[[#This Row],[Order ID]])</f>
        <v>0.2</v>
      </c>
      <c r="Z4372" s="9">
        <f>1/COUNTIFS(Таблица1[Customer Name],Таблица1[[#This Row],[Customer Name]],Таблица1[Order-Year-Month],Таблица1[[#This Row],[Order-Year-Month]])</f>
        <v>0.2</v>
      </c>
    </row>
    <row r="4373" spans="1:26" x14ac:dyDescent="0.2">
      <c r="A4373" s="6">
        <v>3859</v>
      </c>
      <c r="B4373" s="7">
        <v>27527</v>
      </c>
      <c r="C4373" s="8">
        <f>DATE(2012,12,31)-762</f>
        <v>40512</v>
      </c>
      <c r="D4373" s="8" t="str">
        <f t="shared" si="81"/>
        <v>2010-11 (ноябрь 2010)</v>
      </c>
      <c r="E4373" s="9" t="s">
        <v>63</v>
      </c>
      <c r="F4373" s="7">
        <v>37</v>
      </c>
      <c r="G4373" s="7">
        <v>376.58</v>
      </c>
      <c r="H4373" s="7">
        <v>0.09</v>
      </c>
      <c r="I4373" s="9" t="s">
        <v>22</v>
      </c>
      <c r="J4373" s="10">
        <v>1.33</v>
      </c>
      <c r="K4373" s="11">
        <v>10.4</v>
      </c>
      <c r="L4373" s="11">
        <v>5.4</v>
      </c>
      <c r="M4373" s="9" t="s">
        <v>716</v>
      </c>
      <c r="N4373" s="6" t="s">
        <v>1123</v>
      </c>
      <c r="O4373" s="6" t="s">
        <v>1123</v>
      </c>
      <c r="P4373" s="9" t="s">
        <v>33</v>
      </c>
      <c r="Q4373" s="9" t="s">
        <v>49</v>
      </c>
      <c r="R4373" s="9" t="s">
        <v>50</v>
      </c>
      <c r="S4373" s="7" t="s">
        <v>761</v>
      </c>
      <c r="T4373" s="9" t="s">
        <v>52</v>
      </c>
      <c r="U4373" s="7">
        <v>0.51</v>
      </c>
      <c r="V4373" s="12">
        <f>C4373+3</f>
        <v>40515</v>
      </c>
      <c r="W4373">
        <f>IF(D4373=' Pivot Tables'!$A$4,1,0)</f>
        <v>0</v>
      </c>
      <c r="X4373">
        <f>IF(AND(LEFT(D4373,4)+1=LEFT(' Pivot Tables'!$A$4,4)+0,RIGHT(LEFT(D4373,7),2)=RIGHT(LEFT(' Pivot Tables'!$A$4,7),2)),1,0)</f>
        <v>0</v>
      </c>
      <c r="Y4373" s="6">
        <f>1/COUNTIF(Таблица1[Order ID],Таблица1[[#This Row],[Order ID]])</f>
        <v>1</v>
      </c>
      <c r="Z4373" s="9">
        <f>1/COUNTIFS(Таблица1[Customer Name],Таблица1[[#This Row],[Customer Name]],Таблица1[Order-Year-Month],Таблица1[[#This Row],[Order-Year-Month]])</f>
        <v>1</v>
      </c>
    </row>
    <row r="4374" spans="1:26" x14ac:dyDescent="0.2">
      <c r="A4374" s="6">
        <v>3886</v>
      </c>
      <c r="B4374" s="7">
        <v>27746</v>
      </c>
      <c r="C4374" s="8">
        <f>DATE(2012,12,31)-758</f>
        <v>40516</v>
      </c>
      <c r="D4374" s="8" t="str">
        <f t="shared" si="81"/>
        <v>2010-12 (декабрь 2010)</v>
      </c>
      <c r="E4374" s="9" t="s">
        <v>78</v>
      </c>
      <c r="F4374" s="7">
        <v>3</v>
      </c>
      <c r="G4374" s="7">
        <v>1540.77</v>
      </c>
      <c r="H4374" s="7">
        <v>0.04</v>
      </c>
      <c r="I4374" s="9" t="s">
        <v>22</v>
      </c>
      <c r="J4374" s="10">
        <v>-1572.64</v>
      </c>
      <c r="K4374" s="11">
        <v>499.99</v>
      </c>
      <c r="L4374" s="11">
        <v>24.49</v>
      </c>
      <c r="M4374" s="9" t="s">
        <v>556</v>
      </c>
      <c r="N4374" s="6" t="s">
        <v>1123</v>
      </c>
      <c r="O4374" s="6" t="s">
        <v>1123</v>
      </c>
      <c r="P4374" s="9" t="s">
        <v>33</v>
      </c>
      <c r="Q4374" s="9" t="s">
        <v>42</v>
      </c>
      <c r="R4374" s="9" t="s">
        <v>99</v>
      </c>
      <c r="S4374" s="7" t="s">
        <v>217</v>
      </c>
      <c r="T4374" s="9" t="s">
        <v>29</v>
      </c>
      <c r="U4374" s="7">
        <v>0.36</v>
      </c>
      <c r="V4374" s="12">
        <f>C4374+0</f>
        <v>40516</v>
      </c>
      <c r="W4374">
        <f>IF(D4374=' Pivot Tables'!$A$4,1,0)</f>
        <v>0</v>
      </c>
      <c r="X4374">
        <f>IF(AND(LEFT(D4374,4)+1=LEFT(' Pivot Tables'!$A$4,4)+0,RIGHT(LEFT(D4374,7),2)=RIGHT(LEFT(' Pivot Tables'!$A$4,7),2)),1,0)</f>
        <v>0</v>
      </c>
      <c r="Y4374" s="6">
        <f>1/COUNTIF(Таблица1[Order ID],Таблица1[[#This Row],[Order ID]])</f>
        <v>0.33333333333333331</v>
      </c>
      <c r="Z4374" s="9">
        <f>1/COUNTIFS(Таблица1[Customer Name],Таблица1[[#This Row],[Customer Name]],Таблица1[Order-Year-Month],Таблица1[[#This Row],[Order-Year-Month]])</f>
        <v>0.33333333333333331</v>
      </c>
    </row>
    <row r="4375" spans="1:26" x14ac:dyDescent="0.2">
      <c r="A4375" s="6">
        <v>3900</v>
      </c>
      <c r="B4375" s="7">
        <v>27811</v>
      </c>
      <c r="C4375" s="8">
        <f>DATE(2012,12,31)-668</f>
        <v>40606</v>
      </c>
      <c r="D4375" s="8" t="str">
        <f t="shared" si="81"/>
        <v>2011-03 (март 2011)</v>
      </c>
      <c r="E4375" s="9" t="s">
        <v>45</v>
      </c>
      <c r="F4375" s="7">
        <v>4</v>
      </c>
      <c r="G4375" s="7">
        <v>73.900000000000006</v>
      </c>
      <c r="H4375" s="7">
        <v>0.06</v>
      </c>
      <c r="I4375" s="9" t="s">
        <v>22</v>
      </c>
      <c r="J4375" s="10">
        <v>-39.640499999999996</v>
      </c>
      <c r="K4375" s="11">
        <v>15.99</v>
      </c>
      <c r="L4375" s="11">
        <v>13.18</v>
      </c>
      <c r="M4375" s="9" t="s">
        <v>1759</v>
      </c>
      <c r="N4375" s="6" t="s">
        <v>1123</v>
      </c>
      <c r="O4375" s="6" t="s">
        <v>1123</v>
      </c>
      <c r="P4375" s="9" t="s">
        <v>25</v>
      </c>
      <c r="Q4375" s="9" t="s">
        <v>26</v>
      </c>
      <c r="R4375" s="9" t="s">
        <v>37</v>
      </c>
      <c r="S4375" s="7" t="s">
        <v>92</v>
      </c>
      <c r="T4375" s="9" t="s">
        <v>39</v>
      </c>
      <c r="U4375" s="7">
        <v>0.37</v>
      </c>
      <c r="V4375" s="12">
        <f>C4375+1</f>
        <v>40607</v>
      </c>
      <c r="W4375">
        <f>IF(D4375=' Pivot Tables'!$A$4,1,0)</f>
        <v>0</v>
      </c>
      <c r="X4375">
        <f>IF(AND(LEFT(D4375,4)+1=LEFT(' Pivot Tables'!$A$4,4)+0,RIGHT(LEFT(D4375,7),2)=RIGHT(LEFT(' Pivot Tables'!$A$4,7),2)),1,0)</f>
        <v>0</v>
      </c>
      <c r="Y4375" s="6">
        <f>1/COUNTIF(Таблица1[Order ID],Таблица1[[#This Row],[Order ID]])</f>
        <v>0.5</v>
      </c>
      <c r="Z4375" s="9">
        <f>1/COUNTIFS(Таблица1[Customer Name],Таблица1[[#This Row],[Customer Name]],Таблица1[Order-Year-Month],Таблица1[[#This Row],[Order-Year-Month]])</f>
        <v>0.5</v>
      </c>
    </row>
    <row r="4376" spans="1:26" x14ac:dyDescent="0.2">
      <c r="A4376" s="6">
        <v>3923</v>
      </c>
      <c r="B4376" s="7">
        <v>27974</v>
      </c>
      <c r="C4376" s="8">
        <f>DATE(2012,12,31)-816</f>
        <v>40458</v>
      </c>
      <c r="D4376" s="8" t="str">
        <f t="shared" si="81"/>
        <v>2010-10 (октябрь 2010)</v>
      </c>
      <c r="E4376" s="9" t="s">
        <v>30</v>
      </c>
      <c r="F4376" s="7">
        <v>35</v>
      </c>
      <c r="G4376" s="7">
        <v>897.42</v>
      </c>
      <c r="H4376" s="7">
        <v>0.08</v>
      </c>
      <c r="I4376" s="9" t="s">
        <v>22</v>
      </c>
      <c r="J4376" s="10">
        <v>127.17</v>
      </c>
      <c r="K4376" s="11">
        <v>26.64</v>
      </c>
      <c r="L4376" s="11">
        <v>5.3</v>
      </c>
      <c r="M4376" s="9" t="s">
        <v>1782</v>
      </c>
      <c r="N4376" s="6" t="s">
        <v>1123</v>
      </c>
      <c r="O4376" s="6" t="s">
        <v>1123</v>
      </c>
      <c r="P4376" s="9" t="s">
        <v>60</v>
      </c>
      <c r="Q4376" s="9" t="s">
        <v>49</v>
      </c>
      <c r="R4376" s="9" t="s">
        <v>112</v>
      </c>
      <c r="S4376" s="7" t="s">
        <v>1377</v>
      </c>
      <c r="T4376" s="9" t="s">
        <v>48</v>
      </c>
      <c r="U4376" s="7"/>
      <c r="V4376" s="12">
        <f>C4376+1</f>
        <v>40459</v>
      </c>
      <c r="W4376">
        <f>IF(D4376=' Pivot Tables'!$A$4,1,0)</f>
        <v>0</v>
      </c>
      <c r="X4376">
        <f>IF(AND(LEFT(D4376,4)+1=LEFT(' Pivot Tables'!$A$4,4)+0,RIGHT(LEFT(D4376,7),2)=RIGHT(LEFT(' Pivot Tables'!$A$4,7),2)),1,0)</f>
        <v>0</v>
      </c>
      <c r="Y4376" s="6">
        <f>1/COUNTIF(Таблица1[Order ID],Таблица1[[#This Row],[Order ID]])</f>
        <v>0.33333333333333331</v>
      </c>
      <c r="Z4376" s="9">
        <f>1/COUNTIFS(Таблица1[Customer Name],Таблица1[[#This Row],[Customer Name]],Таблица1[Order-Year-Month],Таблица1[[#This Row],[Order-Year-Month]])</f>
        <v>0.33333333333333331</v>
      </c>
    </row>
    <row r="4377" spans="1:26" x14ac:dyDescent="0.2">
      <c r="A4377" s="6">
        <v>3924</v>
      </c>
      <c r="B4377" s="7">
        <v>27974</v>
      </c>
      <c r="C4377" s="8">
        <f>DATE(2012,12,31)-816</f>
        <v>40458</v>
      </c>
      <c r="D4377" s="8" t="str">
        <f t="shared" si="81"/>
        <v>2010-10 (октябрь 2010)</v>
      </c>
      <c r="E4377" s="9" t="s">
        <v>30</v>
      </c>
      <c r="F4377" s="7">
        <v>27</v>
      </c>
      <c r="G4377" s="7">
        <v>306.02</v>
      </c>
      <c r="H4377" s="7">
        <v>0.08</v>
      </c>
      <c r="I4377" s="9" t="s">
        <v>22</v>
      </c>
      <c r="J4377" s="10">
        <v>-6.7</v>
      </c>
      <c r="K4377" s="11">
        <v>12.07</v>
      </c>
      <c r="L4377" s="11">
        <v>6.2</v>
      </c>
      <c r="M4377" s="9" t="s">
        <v>1782</v>
      </c>
      <c r="N4377" s="6" t="s">
        <v>1123</v>
      </c>
      <c r="O4377" s="6" t="s">
        <v>1123</v>
      </c>
      <c r="P4377" s="9" t="s">
        <v>60</v>
      </c>
      <c r="Q4377" s="9" t="s">
        <v>49</v>
      </c>
      <c r="R4377" s="9" t="s">
        <v>50</v>
      </c>
      <c r="S4377" s="7" t="s">
        <v>1790</v>
      </c>
      <c r="T4377" s="9" t="s">
        <v>68</v>
      </c>
      <c r="U4377" s="7">
        <v>0.52</v>
      </c>
      <c r="V4377" s="12">
        <f>C4377+1</f>
        <v>40459</v>
      </c>
      <c r="W4377">
        <f>IF(D4377=' Pivot Tables'!$A$4,1,0)</f>
        <v>0</v>
      </c>
      <c r="X4377">
        <f>IF(AND(LEFT(D4377,4)+1=LEFT(' Pivot Tables'!$A$4,4)+0,RIGHT(LEFT(D4377,7),2)=RIGHT(LEFT(' Pivot Tables'!$A$4,7),2)),1,0)</f>
        <v>0</v>
      </c>
      <c r="Y4377" s="6">
        <f>1/COUNTIF(Таблица1[Order ID],Таблица1[[#This Row],[Order ID]])</f>
        <v>0.33333333333333331</v>
      </c>
      <c r="Z4377" s="9">
        <f>1/COUNTIFS(Таблица1[Customer Name],Таблица1[[#This Row],[Customer Name]],Таблица1[Order-Year-Month],Таблица1[[#This Row],[Order-Year-Month]])</f>
        <v>0.33333333333333331</v>
      </c>
    </row>
    <row r="4378" spans="1:26" x14ac:dyDescent="0.2">
      <c r="A4378" s="6">
        <v>4031</v>
      </c>
      <c r="B4378" s="7">
        <v>28774</v>
      </c>
      <c r="C4378" s="8">
        <f>DATE(2012,12,31)-1460</f>
        <v>39814</v>
      </c>
      <c r="D4378" s="8" t="str">
        <f t="shared" si="81"/>
        <v>2009-01 (январь 2009)</v>
      </c>
      <c r="E4378" s="9" t="s">
        <v>30</v>
      </c>
      <c r="F4378" s="7">
        <v>32</v>
      </c>
      <c r="G4378" s="7">
        <v>180.36</v>
      </c>
      <c r="H4378" s="7">
        <v>0.1</v>
      </c>
      <c r="I4378" s="9" t="s">
        <v>22</v>
      </c>
      <c r="J4378" s="10">
        <v>-111.8</v>
      </c>
      <c r="K4378" s="11">
        <v>5.98</v>
      </c>
      <c r="L4378" s="11">
        <v>4.6900000000000004</v>
      </c>
      <c r="M4378" s="9" t="s">
        <v>1785</v>
      </c>
      <c r="N4378" s="6" t="s">
        <v>1123</v>
      </c>
      <c r="O4378" s="6" t="s">
        <v>1123</v>
      </c>
      <c r="P4378" s="9" t="s">
        <v>25</v>
      </c>
      <c r="Q4378" s="9" t="s">
        <v>26</v>
      </c>
      <c r="R4378" s="9" t="s">
        <v>27</v>
      </c>
      <c r="S4378" s="7" t="s">
        <v>505</v>
      </c>
      <c r="T4378" s="9" t="s">
        <v>39</v>
      </c>
      <c r="U4378" s="7">
        <v>0.68</v>
      </c>
      <c r="V4378" s="12">
        <f>C4378+1</f>
        <v>39815</v>
      </c>
      <c r="W4378">
        <f>IF(D4378=' Pivot Tables'!$A$4,1,0)</f>
        <v>0</v>
      </c>
      <c r="X4378">
        <f>IF(AND(LEFT(D4378,4)+1=LEFT(' Pivot Tables'!$A$4,4)+0,RIGHT(LEFT(D4378,7),2)=RIGHT(LEFT(' Pivot Tables'!$A$4,7),2)),1,0)</f>
        <v>1</v>
      </c>
      <c r="Y4378" s="6">
        <f>1/COUNTIF(Таблица1[Order ID],Таблица1[[#This Row],[Order ID]])</f>
        <v>1</v>
      </c>
      <c r="Z4378" s="9">
        <f>1/COUNTIFS(Таблица1[Customer Name],Таблица1[[#This Row],[Customer Name]],Таблица1[Order-Year-Month],Таблица1[[#This Row],[Order-Year-Month]])</f>
        <v>1</v>
      </c>
    </row>
    <row r="4379" spans="1:26" x14ac:dyDescent="0.2">
      <c r="A4379" s="6">
        <v>4174</v>
      </c>
      <c r="B4379" s="7">
        <v>29607</v>
      </c>
      <c r="C4379" s="8">
        <f>DATE(2012,12,31)-293</f>
        <v>40981</v>
      </c>
      <c r="D4379" s="8" t="str">
        <f t="shared" si="81"/>
        <v>2012-03 (март 2012)</v>
      </c>
      <c r="E4379" s="9" t="s">
        <v>63</v>
      </c>
      <c r="F4379" s="7">
        <v>20</v>
      </c>
      <c r="G4379" s="7">
        <v>240.74</v>
      </c>
      <c r="H4379" s="7">
        <v>0.05</v>
      </c>
      <c r="I4379" s="9" t="s">
        <v>22</v>
      </c>
      <c r="J4379" s="10">
        <v>21.05</v>
      </c>
      <c r="K4379" s="11">
        <v>12.28</v>
      </c>
      <c r="L4379" s="11">
        <v>5.09</v>
      </c>
      <c r="M4379" s="9" t="s">
        <v>1778</v>
      </c>
      <c r="N4379" s="6" t="s">
        <v>1123</v>
      </c>
      <c r="O4379" s="6" t="s">
        <v>1123</v>
      </c>
      <c r="P4379" s="9" t="s">
        <v>60</v>
      </c>
      <c r="Q4379" s="9" t="s">
        <v>26</v>
      </c>
      <c r="R4379" s="9" t="s">
        <v>61</v>
      </c>
      <c r="S4379" s="7" t="s">
        <v>970</v>
      </c>
      <c r="T4379" s="9" t="s">
        <v>39</v>
      </c>
      <c r="U4379" s="7">
        <v>0.38</v>
      </c>
      <c r="V4379" s="12">
        <f>C4379+2</f>
        <v>40983</v>
      </c>
      <c r="W4379">
        <f>IF(D4379=' Pivot Tables'!$A$4,1,0)</f>
        <v>0</v>
      </c>
      <c r="X4379">
        <f>IF(AND(LEFT(D4379,4)+1=LEFT(' Pivot Tables'!$A$4,4)+0,RIGHT(LEFT(D4379,7),2)=RIGHT(LEFT(' Pivot Tables'!$A$4,7),2)),1,0)</f>
        <v>0</v>
      </c>
      <c r="Y4379" s="6">
        <f>1/COUNTIF(Таблица1[Order ID],Таблица1[[#This Row],[Order ID]])</f>
        <v>1</v>
      </c>
      <c r="Z4379" s="9">
        <f>1/COUNTIFS(Таблица1[Customer Name],Таблица1[[#This Row],[Customer Name]],Таблица1[Order-Year-Month],Таблица1[[#This Row],[Order-Year-Month]])</f>
        <v>0.5</v>
      </c>
    </row>
    <row r="4380" spans="1:26" x14ac:dyDescent="0.2">
      <c r="A4380" s="6">
        <v>4183</v>
      </c>
      <c r="B4380" s="7">
        <v>29730</v>
      </c>
      <c r="C4380" s="8">
        <f>DATE(2012,12,31)-929</f>
        <v>40345</v>
      </c>
      <c r="D4380" s="8" t="str">
        <f t="shared" si="81"/>
        <v>2010-06 (июнь 2010)</v>
      </c>
      <c r="E4380" s="9" t="s">
        <v>78</v>
      </c>
      <c r="F4380" s="7">
        <v>21</v>
      </c>
      <c r="G4380" s="7">
        <v>3072.86</v>
      </c>
      <c r="H4380" s="7">
        <v>0.08</v>
      </c>
      <c r="I4380" s="9" t="s">
        <v>31</v>
      </c>
      <c r="J4380" s="10">
        <v>-364.87336600000009</v>
      </c>
      <c r="K4380" s="11">
        <v>150.97999999999999</v>
      </c>
      <c r="L4380" s="11">
        <v>39.25</v>
      </c>
      <c r="M4380" s="9" t="s">
        <v>1778</v>
      </c>
      <c r="N4380" s="6" t="s">
        <v>1123</v>
      </c>
      <c r="O4380" s="6" t="s">
        <v>1123</v>
      </c>
      <c r="P4380" s="9" t="s">
        <v>33</v>
      </c>
      <c r="Q4380" s="9" t="s">
        <v>49</v>
      </c>
      <c r="R4380" s="9" t="s">
        <v>83</v>
      </c>
      <c r="S4380" s="7" t="s">
        <v>1404</v>
      </c>
      <c r="T4380" s="9" t="s">
        <v>82</v>
      </c>
      <c r="U4380" s="7">
        <v>0.75</v>
      </c>
      <c r="V4380" s="12">
        <f>C4380+2</f>
        <v>40347</v>
      </c>
      <c r="W4380">
        <f>IF(D4380=' Pivot Tables'!$A$4,1,0)</f>
        <v>0</v>
      </c>
      <c r="X4380">
        <f>IF(AND(LEFT(D4380,4)+1=LEFT(' Pivot Tables'!$A$4,4)+0,RIGHT(LEFT(D4380,7),2)=RIGHT(LEFT(' Pivot Tables'!$A$4,7),2)),1,0)</f>
        <v>0</v>
      </c>
      <c r="Y4380" s="6">
        <f>1/COUNTIF(Таблица1[Order ID],Таблица1[[#This Row],[Order ID]])</f>
        <v>1</v>
      </c>
      <c r="Z4380" s="9">
        <f>1/COUNTIFS(Таблица1[Customer Name],Таблица1[[#This Row],[Customer Name]],Таблица1[Order-Year-Month],Таблица1[[#This Row],[Order-Year-Month]])</f>
        <v>1</v>
      </c>
    </row>
    <row r="4381" spans="1:26" x14ac:dyDescent="0.2">
      <c r="A4381" s="6">
        <v>4236</v>
      </c>
      <c r="B4381" s="7">
        <v>30144</v>
      </c>
      <c r="C4381" s="8">
        <f>DATE(2012,12,31)-513</f>
        <v>40761</v>
      </c>
      <c r="D4381" s="8" t="str">
        <f t="shared" si="81"/>
        <v>2011-08 (август 2011)</v>
      </c>
      <c r="E4381" s="9" t="s">
        <v>21</v>
      </c>
      <c r="F4381" s="7">
        <v>25</v>
      </c>
      <c r="G4381" s="7">
        <v>5503.39</v>
      </c>
      <c r="H4381" s="7">
        <v>0.08</v>
      </c>
      <c r="I4381" s="9" t="s">
        <v>31</v>
      </c>
      <c r="J4381" s="10">
        <v>-528.65312500000005</v>
      </c>
      <c r="K4381" s="11">
        <v>218.75</v>
      </c>
      <c r="L4381" s="11">
        <v>69.64</v>
      </c>
      <c r="M4381" s="9" t="s">
        <v>1780</v>
      </c>
      <c r="N4381" s="6" t="s">
        <v>1123</v>
      </c>
      <c r="O4381" s="6" t="s">
        <v>1123</v>
      </c>
      <c r="P4381" s="9" t="s">
        <v>25</v>
      </c>
      <c r="Q4381" s="9" t="s">
        <v>49</v>
      </c>
      <c r="R4381" s="9" t="s">
        <v>83</v>
      </c>
      <c r="S4381" s="7" t="s">
        <v>254</v>
      </c>
      <c r="T4381" s="9" t="s">
        <v>82</v>
      </c>
      <c r="U4381" s="7">
        <v>0.77</v>
      </c>
      <c r="V4381" s="12">
        <f>C4381+5</f>
        <v>40766</v>
      </c>
      <c r="W4381">
        <f>IF(D4381=' Pivot Tables'!$A$4,1,0)</f>
        <v>0</v>
      </c>
      <c r="X4381">
        <f>IF(AND(LEFT(D4381,4)+1=LEFT(' Pivot Tables'!$A$4,4)+0,RIGHT(LEFT(D4381,7),2)=RIGHT(LEFT(' Pivot Tables'!$A$4,7),2)),1,0)</f>
        <v>0</v>
      </c>
      <c r="Y4381" s="6">
        <f>1/COUNTIF(Таблица1[Order ID],Таблица1[[#This Row],[Order ID]])</f>
        <v>1</v>
      </c>
      <c r="Z4381" s="9">
        <f>1/COUNTIFS(Таблица1[Customer Name],Таблица1[[#This Row],[Customer Name]],Таблица1[Order-Year-Month],Таблица1[[#This Row],[Order-Year-Month]])</f>
        <v>1</v>
      </c>
    </row>
    <row r="4382" spans="1:26" x14ac:dyDescent="0.2">
      <c r="A4382" s="6">
        <v>4389</v>
      </c>
      <c r="B4382" s="7">
        <v>31266</v>
      </c>
      <c r="C4382" s="8">
        <f>DATE(2012,12,31)-89</f>
        <v>41185</v>
      </c>
      <c r="D4382" s="8" t="str">
        <f t="shared" si="81"/>
        <v>2012-10 (октябрь 2012)</v>
      </c>
      <c r="E4382" s="9" t="s">
        <v>30</v>
      </c>
      <c r="F4382" s="7">
        <v>16</v>
      </c>
      <c r="G4382" s="7">
        <v>6573.75</v>
      </c>
      <c r="H4382" s="7">
        <v>0.04</v>
      </c>
      <c r="I4382" s="9" t="s">
        <v>31</v>
      </c>
      <c r="J4382" s="10">
        <v>1197.05</v>
      </c>
      <c r="K4382" s="11">
        <v>399.98</v>
      </c>
      <c r="L4382" s="11">
        <v>12.06</v>
      </c>
      <c r="M4382" s="9" t="s">
        <v>716</v>
      </c>
      <c r="N4382" s="6" t="s">
        <v>1123</v>
      </c>
      <c r="O4382" s="6" t="s">
        <v>1123</v>
      </c>
      <c r="P4382" s="9" t="s">
        <v>41</v>
      </c>
      <c r="Q4382" s="9" t="s">
        <v>42</v>
      </c>
      <c r="R4382" s="9" t="s">
        <v>210</v>
      </c>
      <c r="S4382" s="7" t="s">
        <v>1051</v>
      </c>
      <c r="T4382" s="9" t="s">
        <v>82</v>
      </c>
      <c r="U4382" s="7">
        <v>0.56000000000000005</v>
      </c>
      <c r="V4382" s="12">
        <f>C4382+1</f>
        <v>41186</v>
      </c>
      <c r="W4382">
        <f>IF(D4382=' Pivot Tables'!$A$4,1,0)</f>
        <v>0</v>
      </c>
      <c r="X4382">
        <f>IF(AND(LEFT(D4382,4)+1=LEFT(' Pivot Tables'!$A$4,4)+0,RIGHT(LEFT(D4382,7),2)=RIGHT(LEFT(' Pivot Tables'!$A$4,7),2)),1,0)</f>
        <v>0</v>
      </c>
      <c r="Y4382" s="6">
        <f>1/COUNTIF(Таблица1[Order ID],Таблица1[[#This Row],[Order ID]])</f>
        <v>1</v>
      </c>
      <c r="Z4382" s="9">
        <f>1/COUNTIFS(Таблица1[Customer Name],Таблица1[[#This Row],[Customer Name]],Таблица1[Order-Year-Month],Таблица1[[#This Row],[Order-Year-Month]])</f>
        <v>0.33333333333333331</v>
      </c>
    </row>
    <row r="4383" spans="1:26" x14ac:dyDescent="0.2">
      <c r="A4383" s="6">
        <v>4408</v>
      </c>
      <c r="B4383" s="7">
        <v>31456</v>
      </c>
      <c r="C4383" s="8">
        <f>DATE(2012,12,31)-46</f>
        <v>41228</v>
      </c>
      <c r="D4383" s="8" t="str">
        <f t="shared" si="81"/>
        <v>2012-11 (ноябрь 2012)</v>
      </c>
      <c r="E4383" s="9" t="s">
        <v>30</v>
      </c>
      <c r="F4383" s="7">
        <v>10</v>
      </c>
      <c r="G4383" s="7">
        <v>225.09</v>
      </c>
      <c r="H4383" s="7">
        <v>0.02</v>
      </c>
      <c r="I4383" s="9" t="s">
        <v>22</v>
      </c>
      <c r="J4383" s="10">
        <v>64.140999999999991</v>
      </c>
      <c r="K4383" s="11">
        <v>21.38</v>
      </c>
      <c r="L4383" s="11">
        <v>2.99</v>
      </c>
      <c r="M4383" s="9" t="s">
        <v>1385</v>
      </c>
      <c r="N4383" s="6" t="s">
        <v>1123</v>
      </c>
      <c r="O4383" s="6" t="s">
        <v>1123</v>
      </c>
      <c r="P4383" s="9" t="s">
        <v>60</v>
      </c>
      <c r="Q4383" s="9" t="s">
        <v>26</v>
      </c>
      <c r="R4383" s="9" t="s">
        <v>37</v>
      </c>
      <c r="S4383" s="7" t="s">
        <v>1303</v>
      </c>
      <c r="T4383" s="9" t="s">
        <v>39</v>
      </c>
      <c r="U4383" s="7">
        <v>0.36</v>
      </c>
      <c r="V4383" s="12">
        <f>C4383+2</f>
        <v>41230</v>
      </c>
      <c r="W4383">
        <f>IF(D4383=' Pivot Tables'!$A$4,1,0)</f>
        <v>0</v>
      </c>
      <c r="X4383">
        <f>IF(AND(LEFT(D4383,4)+1=LEFT(' Pivot Tables'!$A$4,4)+0,RIGHT(LEFT(D4383,7),2)=RIGHT(LEFT(' Pivot Tables'!$A$4,7),2)),1,0)</f>
        <v>0</v>
      </c>
      <c r="Y4383" s="6">
        <f>1/COUNTIF(Таблица1[Order ID],Таблица1[[#This Row],[Order ID]])</f>
        <v>1</v>
      </c>
      <c r="Z4383" s="9">
        <f>1/COUNTIFS(Таблица1[Customer Name],Таблица1[[#This Row],[Customer Name]],Таблица1[Order-Year-Month],Таблица1[[#This Row],[Order-Year-Month]])</f>
        <v>1</v>
      </c>
    </row>
    <row r="4384" spans="1:26" x14ac:dyDescent="0.2">
      <c r="A4384" s="6">
        <v>4418</v>
      </c>
      <c r="B4384" s="7">
        <v>31522</v>
      </c>
      <c r="C4384" s="8">
        <f>DATE(2012,12,31)-951</f>
        <v>40323</v>
      </c>
      <c r="D4384" s="8" t="str">
        <f t="shared" si="81"/>
        <v>2010-05 (май 2010)</v>
      </c>
      <c r="E4384" s="9" t="s">
        <v>63</v>
      </c>
      <c r="F4384" s="7">
        <v>14</v>
      </c>
      <c r="G4384" s="7">
        <v>302.39999999999998</v>
      </c>
      <c r="H4384" s="7">
        <v>0.04</v>
      </c>
      <c r="I4384" s="9" t="s">
        <v>22</v>
      </c>
      <c r="J4384" s="10">
        <v>134.21</v>
      </c>
      <c r="K4384" s="11">
        <v>22.23</v>
      </c>
      <c r="L4384" s="11">
        <v>3.63</v>
      </c>
      <c r="M4384" s="9" t="s">
        <v>1779</v>
      </c>
      <c r="N4384" s="6" t="s">
        <v>1123</v>
      </c>
      <c r="O4384" s="6" t="s">
        <v>1123</v>
      </c>
      <c r="P4384" s="9" t="s">
        <v>60</v>
      </c>
      <c r="Q4384" s="9" t="s">
        <v>49</v>
      </c>
      <c r="R4384" s="9" t="s">
        <v>50</v>
      </c>
      <c r="S4384" s="7" t="s">
        <v>632</v>
      </c>
      <c r="T4384" s="9" t="s">
        <v>52</v>
      </c>
      <c r="U4384" s="7">
        <v>0.52</v>
      </c>
      <c r="V4384" s="12">
        <f>C4384+2</f>
        <v>40325</v>
      </c>
      <c r="W4384">
        <f>IF(D4384=' Pivot Tables'!$A$4,1,0)</f>
        <v>0</v>
      </c>
      <c r="X4384">
        <f>IF(AND(LEFT(D4384,4)+1=LEFT(' Pivot Tables'!$A$4,4)+0,RIGHT(LEFT(D4384,7),2)=RIGHT(LEFT(' Pivot Tables'!$A$4,7),2)),1,0)</f>
        <v>0</v>
      </c>
      <c r="Y4384" s="6">
        <f>1/COUNTIF(Таблица1[Order ID],Таблица1[[#This Row],[Order ID]])</f>
        <v>0.5</v>
      </c>
      <c r="Z4384" s="9">
        <f>1/COUNTIFS(Таблица1[Customer Name],Таблица1[[#This Row],[Customer Name]],Таблица1[Order-Year-Month],Таблица1[[#This Row],[Order-Year-Month]])</f>
        <v>0.5</v>
      </c>
    </row>
    <row r="4385" spans="1:26" x14ac:dyDescent="0.2">
      <c r="A4385" s="6">
        <v>4419</v>
      </c>
      <c r="B4385" s="7">
        <v>31522</v>
      </c>
      <c r="C4385" s="8">
        <f>DATE(2012,12,31)-951</f>
        <v>40323</v>
      </c>
      <c r="D4385" s="8" t="str">
        <f t="shared" si="81"/>
        <v>2010-05 (май 2010)</v>
      </c>
      <c r="E4385" s="9" t="s">
        <v>63</v>
      </c>
      <c r="F4385" s="7">
        <v>42</v>
      </c>
      <c r="G4385" s="7">
        <v>1083.3699999999999</v>
      </c>
      <c r="H4385" s="7">
        <v>0.03</v>
      </c>
      <c r="I4385" s="9" t="s">
        <v>31</v>
      </c>
      <c r="J4385" s="10">
        <v>-226.41</v>
      </c>
      <c r="K4385" s="11">
        <v>25.98</v>
      </c>
      <c r="L4385" s="11">
        <v>14.36</v>
      </c>
      <c r="M4385" s="9" t="s">
        <v>1779</v>
      </c>
      <c r="N4385" s="6" t="s">
        <v>1123</v>
      </c>
      <c r="O4385" s="6" t="s">
        <v>1123</v>
      </c>
      <c r="P4385" s="9" t="s">
        <v>60</v>
      </c>
      <c r="Q4385" s="9" t="s">
        <v>49</v>
      </c>
      <c r="R4385" s="9" t="s">
        <v>112</v>
      </c>
      <c r="S4385" s="7" t="s">
        <v>280</v>
      </c>
      <c r="T4385" s="9" t="s">
        <v>36</v>
      </c>
      <c r="U4385" s="7">
        <v>0.6</v>
      </c>
      <c r="V4385" s="12">
        <f>C4385+2</f>
        <v>40325</v>
      </c>
      <c r="W4385">
        <f>IF(D4385=' Pivot Tables'!$A$4,1,0)</f>
        <v>0</v>
      </c>
      <c r="X4385">
        <f>IF(AND(LEFT(D4385,4)+1=LEFT(' Pivot Tables'!$A$4,4)+0,RIGHT(LEFT(D4385,7),2)=RIGHT(LEFT(' Pivot Tables'!$A$4,7),2)),1,0)</f>
        <v>0</v>
      </c>
      <c r="Y4385" s="6">
        <f>1/COUNTIF(Таблица1[Order ID],Таблица1[[#This Row],[Order ID]])</f>
        <v>0.5</v>
      </c>
      <c r="Z4385" s="9">
        <f>1/COUNTIFS(Таблица1[Customer Name],Таблица1[[#This Row],[Customer Name]],Таблица1[Order-Year-Month],Таблица1[[#This Row],[Order-Year-Month]])</f>
        <v>0.5</v>
      </c>
    </row>
    <row r="4386" spans="1:26" x14ac:dyDescent="0.2">
      <c r="A4386" s="6">
        <v>4685</v>
      </c>
      <c r="B4386" s="7">
        <v>33319</v>
      </c>
      <c r="C4386" s="8">
        <f>DATE(2012,12,31)-1375</f>
        <v>39899</v>
      </c>
      <c r="D4386" s="8" t="str">
        <f t="shared" si="81"/>
        <v>2009-03 (март 2009)</v>
      </c>
      <c r="E4386" s="9" t="s">
        <v>45</v>
      </c>
      <c r="F4386" s="7">
        <v>11</v>
      </c>
      <c r="G4386" s="7">
        <v>1736.26</v>
      </c>
      <c r="H4386" s="7">
        <v>0.01</v>
      </c>
      <c r="I4386" s="9" t="s">
        <v>31</v>
      </c>
      <c r="J4386" s="10">
        <v>-505.76</v>
      </c>
      <c r="K4386" s="11">
        <v>150.88999999999999</v>
      </c>
      <c r="L4386" s="11">
        <v>60.2</v>
      </c>
      <c r="M4386" s="9" t="s">
        <v>1784</v>
      </c>
      <c r="N4386" s="6" t="s">
        <v>1123</v>
      </c>
      <c r="O4386" s="6" t="s">
        <v>1123</v>
      </c>
      <c r="P4386" s="9" t="s">
        <v>41</v>
      </c>
      <c r="Q4386" s="9" t="s">
        <v>49</v>
      </c>
      <c r="R4386" s="9" t="s">
        <v>112</v>
      </c>
      <c r="S4386" s="7" t="s">
        <v>933</v>
      </c>
      <c r="T4386" s="9" t="s">
        <v>36</v>
      </c>
      <c r="U4386" s="7">
        <v>0.77</v>
      </c>
      <c r="V4386" s="12">
        <f>C4386+3</f>
        <v>39902</v>
      </c>
      <c r="W4386">
        <f>IF(D4386=' Pivot Tables'!$A$4,1,0)</f>
        <v>0</v>
      </c>
      <c r="X4386">
        <f>IF(AND(LEFT(D4386,4)+1=LEFT(' Pivot Tables'!$A$4,4)+0,RIGHT(LEFT(D4386,7),2)=RIGHT(LEFT(' Pivot Tables'!$A$4,7),2)),1,0)</f>
        <v>0</v>
      </c>
      <c r="Y4386" s="6">
        <f>1/COUNTIF(Таблица1[Order ID],Таблица1[[#This Row],[Order ID]])</f>
        <v>1</v>
      </c>
      <c r="Z4386" s="9">
        <f>1/COUNTIFS(Таблица1[Customer Name],Таблица1[[#This Row],[Customer Name]],Таблица1[Order-Year-Month],Таблица1[[#This Row],[Order-Year-Month]])</f>
        <v>1</v>
      </c>
    </row>
    <row r="4387" spans="1:26" x14ac:dyDescent="0.2">
      <c r="A4387" s="6">
        <v>4724</v>
      </c>
      <c r="B4387" s="7">
        <v>33635</v>
      </c>
      <c r="C4387" s="8">
        <f>DATE(2012,12,31)-1268</f>
        <v>40006</v>
      </c>
      <c r="D4387" s="8" t="str">
        <f t="shared" si="81"/>
        <v>2009-07 (июль 2009)</v>
      </c>
      <c r="E4387" s="9" t="s">
        <v>30</v>
      </c>
      <c r="F4387" s="7">
        <v>5</v>
      </c>
      <c r="G4387" s="7">
        <v>477.76</v>
      </c>
      <c r="H4387" s="7">
        <v>0.04</v>
      </c>
      <c r="I4387" s="9" t="s">
        <v>31</v>
      </c>
      <c r="J4387" s="10">
        <v>-173.09520000000001</v>
      </c>
      <c r="K4387" s="11">
        <v>90.97</v>
      </c>
      <c r="L4387" s="11">
        <v>28</v>
      </c>
      <c r="M4387" s="9" t="s">
        <v>1777</v>
      </c>
      <c r="N4387" s="6" t="s">
        <v>1123</v>
      </c>
      <c r="O4387" s="6" t="s">
        <v>1123</v>
      </c>
      <c r="P4387" s="9" t="s">
        <v>25</v>
      </c>
      <c r="Q4387" s="9" t="s">
        <v>42</v>
      </c>
      <c r="R4387" s="9" t="s">
        <v>210</v>
      </c>
      <c r="S4387" s="7" t="s">
        <v>621</v>
      </c>
      <c r="T4387" s="9" t="s">
        <v>36</v>
      </c>
      <c r="U4387" s="7">
        <v>0.38</v>
      </c>
      <c r="V4387" s="12">
        <f>C4387+1</f>
        <v>40007</v>
      </c>
      <c r="W4387">
        <f>IF(D4387=' Pivot Tables'!$A$4,1,0)</f>
        <v>0</v>
      </c>
      <c r="X4387">
        <f>IF(AND(LEFT(D4387,4)+1=LEFT(' Pivot Tables'!$A$4,4)+0,RIGHT(LEFT(D4387,7),2)=RIGHT(LEFT(' Pivot Tables'!$A$4,7),2)),1,0)</f>
        <v>0</v>
      </c>
      <c r="Y4387" s="6">
        <f>1/COUNTIF(Таблица1[Order ID],Таблица1[[#This Row],[Order ID]])</f>
        <v>0.5</v>
      </c>
      <c r="Z4387" s="9">
        <f>1/COUNTIFS(Таблица1[Customer Name],Таблица1[[#This Row],[Customer Name]],Таблица1[Order-Year-Month],Таблица1[[#This Row],[Order-Year-Month]])</f>
        <v>0.25</v>
      </c>
    </row>
    <row r="4388" spans="1:26" x14ac:dyDescent="0.2">
      <c r="A4388" s="6">
        <v>4725</v>
      </c>
      <c r="B4388" s="7">
        <v>33635</v>
      </c>
      <c r="C4388" s="8">
        <f>DATE(2012,12,31)-1268</f>
        <v>40006</v>
      </c>
      <c r="D4388" s="8" t="str">
        <f t="shared" si="81"/>
        <v>2009-07 (июль 2009)</v>
      </c>
      <c r="E4388" s="9" t="s">
        <v>30</v>
      </c>
      <c r="F4388" s="7">
        <v>4</v>
      </c>
      <c r="G4388" s="7">
        <v>112.18</v>
      </c>
      <c r="H4388" s="7">
        <v>7.0000000000000007E-2</v>
      </c>
      <c r="I4388" s="9" t="s">
        <v>22</v>
      </c>
      <c r="J4388" s="10">
        <v>-96.16</v>
      </c>
      <c r="K4388" s="11">
        <v>20.34</v>
      </c>
      <c r="L4388" s="11">
        <v>35</v>
      </c>
      <c r="M4388" s="9" t="s">
        <v>1777</v>
      </c>
      <c r="N4388" s="6" t="s">
        <v>1123</v>
      </c>
      <c r="O4388" s="6" t="s">
        <v>1123</v>
      </c>
      <c r="P4388" s="9" t="s">
        <v>25</v>
      </c>
      <c r="Q4388" s="9" t="s">
        <v>26</v>
      </c>
      <c r="R4388" s="9" t="s">
        <v>27</v>
      </c>
      <c r="S4388" s="7" t="s">
        <v>693</v>
      </c>
      <c r="T4388" s="9" t="s">
        <v>29</v>
      </c>
      <c r="U4388" s="7">
        <v>0.84</v>
      </c>
      <c r="V4388" s="12">
        <f>C4388+1</f>
        <v>40007</v>
      </c>
      <c r="W4388">
        <f>IF(D4388=' Pivot Tables'!$A$4,1,0)</f>
        <v>0</v>
      </c>
      <c r="X4388">
        <f>IF(AND(LEFT(D4388,4)+1=LEFT(' Pivot Tables'!$A$4,4)+0,RIGHT(LEFT(D4388,7),2)=RIGHT(LEFT(' Pivot Tables'!$A$4,7),2)),1,0)</f>
        <v>0</v>
      </c>
      <c r="Y4388" s="6">
        <f>1/COUNTIF(Таблица1[Order ID],Таблица1[[#This Row],[Order ID]])</f>
        <v>0.5</v>
      </c>
      <c r="Z4388" s="9">
        <f>1/COUNTIFS(Таблица1[Customer Name],Таблица1[[#This Row],[Customer Name]],Таблица1[Order-Year-Month],Таблица1[[#This Row],[Order-Year-Month]])</f>
        <v>0.25</v>
      </c>
    </row>
    <row r="4389" spans="1:26" x14ac:dyDescent="0.2">
      <c r="A4389" s="6">
        <v>4787</v>
      </c>
      <c r="B4389" s="7">
        <v>33988</v>
      </c>
      <c r="C4389" s="8">
        <f>DATE(2012,12,31)-1451</f>
        <v>39823</v>
      </c>
      <c r="D4389" s="8" t="str">
        <f t="shared" si="81"/>
        <v>2009-01 (январь 2009)</v>
      </c>
      <c r="E4389" s="9" t="s">
        <v>63</v>
      </c>
      <c r="F4389" s="7">
        <v>30</v>
      </c>
      <c r="G4389" s="7">
        <v>164.78</v>
      </c>
      <c r="H4389" s="7">
        <v>0</v>
      </c>
      <c r="I4389" s="9" t="s">
        <v>22</v>
      </c>
      <c r="J4389" s="10">
        <v>-128.47</v>
      </c>
      <c r="K4389" s="11">
        <v>5.0199999999999996</v>
      </c>
      <c r="L4389" s="11">
        <v>5.14</v>
      </c>
      <c r="M4389" s="9" t="s">
        <v>716</v>
      </c>
      <c r="N4389" s="6" t="s">
        <v>1123</v>
      </c>
      <c r="O4389" s="6" t="s">
        <v>1123</v>
      </c>
      <c r="P4389" s="9" t="s">
        <v>33</v>
      </c>
      <c r="Q4389" s="9" t="s">
        <v>42</v>
      </c>
      <c r="R4389" s="9" t="s">
        <v>70</v>
      </c>
      <c r="S4389" s="7" t="s">
        <v>361</v>
      </c>
      <c r="T4389" s="9" t="s">
        <v>52</v>
      </c>
      <c r="U4389" s="7">
        <v>0.79</v>
      </c>
      <c r="V4389" s="12">
        <f>C4389+1</f>
        <v>39824</v>
      </c>
      <c r="W4389">
        <f>IF(D4389=' Pivot Tables'!$A$4,1,0)</f>
        <v>0</v>
      </c>
      <c r="X4389">
        <f>IF(AND(LEFT(D4389,4)+1=LEFT(' Pivot Tables'!$A$4,4)+0,RIGHT(LEFT(D4389,7),2)=RIGHT(LEFT(' Pivot Tables'!$A$4,7),2)),1,0)</f>
        <v>1</v>
      </c>
      <c r="Y4389" s="6">
        <f>1/COUNTIF(Таблица1[Order ID],Таблица1[[#This Row],[Order ID]])</f>
        <v>1</v>
      </c>
      <c r="Z4389" s="9">
        <f>1/COUNTIFS(Таблица1[Customer Name],Таблица1[[#This Row],[Customer Name]],Таблица1[Order-Year-Month],Таблица1[[#This Row],[Order-Year-Month]])</f>
        <v>0.25</v>
      </c>
    </row>
    <row r="4390" spans="1:26" x14ac:dyDescent="0.2">
      <c r="A4390" s="6">
        <v>4798</v>
      </c>
      <c r="B4390" s="7">
        <v>34087</v>
      </c>
      <c r="C4390" s="8">
        <f>DATE(2012,12,31)-1256</f>
        <v>40018</v>
      </c>
      <c r="D4390" s="8" t="str">
        <f t="shared" si="81"/>
        <v>2009-07 (июль 2009)</v>
      </c>
      <c r="E4390" s="9" t="s">
        <v>21</v>
      </c>
      <c r="F4390" s="7">
        <v>31</v>
      </c>
      <c r="G4390" s="7">
        <v>3077.7310000000002</v>
      </c>
      <c r="H4390" s="7">
        <v>0.05</v>
      </c>
      <c r="I4390" s="9" t="s">
        <v>22</v>
      </c>
      <c r="J4390" s="10">
        <v>745.47899999999993</v>
      </c>
      <c r="K4390" s="11">
        <v>115.99</v>
      </c>
      <c r="L4390" s="11">
        <v>5.26</v>
      </c>
      <c r="M4390" s="9" t="s">
        <v>650</v>
      </c>
      <c r="N4390" s="6" t="s">
        <v>1123</v>
      </c>
      <c r="O4390" s="6" t="s">
        <v>1123</v>
      </c>
      <c r="P4390" s="9" t="s">
        <v>41</v>
      </c>
      <c r="Q4390" s="9" t="s">
        <v>42</v>
      </c>
      <c r="R4390" s="9" t="s">
        <v>43</v>
      </c>
      <c r="S4390" s="7" t="s">
        <v>832</v>
      </c>
      <c r="T4390" s="9" t="s">
        <v>39</v>
      </c>
      <c r="U4390" s="7">
        <v>0.56999999999999995</v>
      </c>
      <c r="V4390" s="12">
        <f>C4390+4</f>
        <v>40022</v>
      </c>
      <c r="W4390">
        <f>IF(D4390=' Pivot Tables'!$A$4,1,0)</f>
        <v>0</v>
      </c>
      <c r="X4390">
        <f>IF(AND(LEFT(D4390,4)+1=LEFT(' Pivot Tables'!$A$4,4)+0,RIGHT(LEFT(D4390,7),2)=RIGHT(LEFT(' Pivot Tables'!$A$4,7),2)),1,0)</f>
        <v>0</v>
      </c>
      <c r="Y4390" s="6">
        <f>1/COUNTIF(Таблица1[Order ID],Таблица1[[#This Row],[Order ID]])</f>
        <v>1</v>
      </c>
      <c r="Z4390" s="9">
        <f>1/COUNTIFS(Таблица1[Customer Name],Таблица1[[#This Row],[Customer Name]],Таблица1[Order-Year-Month],Таблица1[[#This Row],[Order-Year-Month]])</f>
        <v>1</v>
      </c>
    </row>
    <row r="4391" spans="1:26" x14ac:dyDescent="0.2">
      <c r="A4391" s="6">
        <v>4875</v>
      </c>
      <c r="B4391" s="7">
        <v>34691</v>
      </c>
      <c r="C4391" s="8">
        <f>DATE(2012,12,31)-1447</f>
        <v>39827</v>
      </c>
      <c r="D4391" s="8" t="str">
        <f t="shared" si="81"/>
        <v>2009-01 (январь 2009)</v>
      </c>
      <c r="E4391" s="9" t="s">
        <v>78</v>
      </c>
      <c r="F4391" s="7">
        <v>27</v>
      </c>
      <c r="G4391" s="7">
        <v>217.68</v>
      </c>
      <c r="H4391" s="7">
        <v>0.08</v>
      </c>
      <c r="I4391" s="9" t="s">
        <v>22</v>
      </c>
      <c r="J4391" s="10">
        <v>-168.75</v>
      </c>
      <c r="K4391" s="11">
        <v>7.77</v>
      </c>
      <c r="L4391" s="11">
        <v>9.23</v>
      </c>
      <c r="M4391" s="9" t="s">
        <v>1791</v>
      </c>
      <c r="N4391" s="6" t="s">
        <v>1123</v>
      </c>
      <c r="O4391" s="6" t="s">
        <v>1123</v>
      </c>
      <c r="P4391" s="9" t="s">
        <v>25</v>
      </c>
      <c r="Q4391" s="9" t="s">
        <v>26</v>
      </c>
      <c r="R4391" s="9" t="s">
        <v>34</v>
      </c>
      <c r="S4391" s="7" t="s">
        <v>1386</v>
      </c>
      <c r="T4391" s="9" t="s">
        <v>39</v>
      </c>
      <c r="U4391" s="7">
        <v>0.57999999999999996</v>
      </c>
      <c r="V4391" s="12">
        <f>C4391+2</f>
        <v>39829</v>
      </c>
      <c r="W4391">
        <f>IF(D4391=' Pivot Tables'!$A$4,1,0)</f>
        <v>0</v>
      </c>
      <c r="X4391">
        <f>IF(AND(LEFT(D4391,4)+1=LEFT(' Pivot Tables'!$A$4,4)+0,RIGHT(LEFT(D4391,7),2)=RIGHT(LEFT(' Pivot Tables'!$A$4,7),2)),1,0)</f>
        <v>1</v>
      </c>
      <c r="Y4391" s="6">
        <f>1/COUNTIF(Таблица1[Order ID],Таблица1[[#This Row],[Order ID]])</f>
        <v>0.33333333333333331</v>
      </c>
      <c r="Z4391" s="9">
        <f>1/COUNTIFS(Таблица1[Customer Name],Таблица1[[#This Row],[Customer Name]],Таблица1[Order-Year-Month],Таблица1[[#This Row],[Order-Year-Month]])</f>
        <v>0.33333333333333331</v>
      </c>
    </row>
    <row r="4392" spans="1:26" x14ac:dyDescent="0.2">
      <c r="A4392" s="6">
        <v>4876</v>
      </c>
      <c r="B4392" s="7">
        <v>34691</v>
      </c>
      <c r="C4392" s="8">
        <f>DATE(2012,12,31)-1447</f>
        <v>39827</v>
      </c>
      <c r="D4392" s="8" t="str">
        <f t="shared" si="81"/>
        <v>2009-01 (январь 2009)</v>
      </c>
      <c r="E4392" s="9" t="s">
        <v>78</v>
      </c>
      <c r="F4392" s="7">
        <v>23</v>
      </c>
      <c r="G4392" s="7">
        <v>7202.94</v>
      </c>
      <c r="H4392" s="7">
        <v>0.02</v>
      </c>
      <c r="I4392" s="9" t="s">
        <v>31</v>
      </c>
      <c r="J4392" s="10">
        <v>1425.11</v>
      </c>
      <c r="K4392" s="11">
        <v>306.14</v>
      </c>
      <c r="L4392" s="11">
        <v>26.53</v>
      </c>
      <c r="M4392" s="9" t="s">
        <v>1791</v>
      </c>
      <c r="N4392" s="6" t="s">
        <v>1123</v>
      </c>
      <c r="O4392" s="6" t="s">
        <v>1123</v>
      </c>
      <c r="P4392" s="9" t="s">
        <v>25</v>
      </c>
      <c r="Q4392" s="9" t="s">
        <v>42</v>
      </c>
      <c r="R4392" s="9" t="s">
        <v>210</v>
      </c>
      <c r="S4392" s="7" t="s">
        <v>1085</v>
      </c>
      <c r="T4392" s="9" t="s">
        <v>36</v>
      </c>
      <c r="U4392" s="7">
        <v>0.56000000000000005</v>
      </c>
      <c r="V4392" s="12">
        <f>C4392+0</f>
        <v>39827</v>
      </c>
      <c r="W4392">
        <f>IF(D4392=' Pivot Tables'!$A$4,1,0)</f>
        <v>0</v>
      </c>
      <c r="X4392">
        <f>IF(AND(LEFT(D4392,4)+1=LEFT(' Pivot Tables'!$A$4,4)+0,RIGHT(LEFT(D4392,7),2)=RIGHT(LEFT(' Pivot Tables'!$A$4,7),2)),1,0)</f>
        <v>1</v>
      </c>
      <c r="Y4392" s="6">
        <f>1/COUNTIF(Таблица1[Order ID],Таблица1[[#This Row],[Order ID]])</f>
        <v>0.33333333333333331</v>
      </c>
      <c r="Z4392" s="9">
        <f>1/COUNTIFS(Таблица1[Customer Name],Таблица1[[#This Row],[Customer Name]],Таблица1[Order-Year-Month],Таблица1[[#This Row],[Order-Year-Month]])</f>
        <v>0.33333333333333331</v>
      </c>
    </row>
    <row r="4393" spans="1:26" x14ac:dyDescent="0.2">
      <c r="A4393" s="6">
        <v>4877</v>
      </c>
      <c r="B4393" s="7">
        <v>34691</v>
      </c>
      <c r="C4393" s="8">
        <f>DATE(2012,12,31)-1447</f>
        <v>39827</v>
      </c>
      <c r="D4393" s="8" t="str">
        <f t="shared" si="81"/>
        <v>2009-01 (январь 2009)</v>
      </c>
      <c r="E4393" s="9" t="s">
        <v>78</v>
      </c>
      <c r="F4393" s="7">
        <v>13</v>
      </c>
      <c r="G4393" s="7">
        <v>245.82</v>
      </c>
      <c r="H4393" s="7">
        <v>0.1</v>
      </c>
      <c r="I4393" s="9" t="s">
        <v>56</v>
      </c>
      <c r="J4393" s="10">
        <v>-7.39</v>
      </c>
      <c r="K4393" s="11">
        <v>18.97</v>
      </c>
      <c r="L4393" s="11">
        <v>9.5399999999999991</v>
      </c>
      <c r="M4393" s="9" t="s">
        <v>1791</v>
      </c>
      <c r="N4393" s="6" t="s">
        <v>1123</v>
      </c>
      <c r="O4393" s="6" t="s">
        <v>1123</v>
      </c>
      <c r="P4393" s="9" t="s">
        <v>25</v>
      </c>
      <c r="Q4393" s="9" t="s">
        <v>26</v>
      </c>
      <c r="R4393" s="9" t="s">
        <v>61</v>
      </c>
      <c r="S4393" s="7" t="s">
        <v>581</v>
      </c>
      <c r="T4393" s="9" t="s">
        <v>39</v>
      </c>
      <c r="U4393" s="7">
        <v>0.37</v>
      </c>
      <c r="V4393" s="12">
        <f>C4393+2</f>
        <v>39829</v>
      </c>
      <c r="W4393">
        <f>IF(D4393=' Pivot Tables'!$A$4,1,0)</f>
        <v>0</v>
      </c>
      <c r="X4393">
        <f>IF(AND(LEFT(D4393,4)+1=LEFT(' Pivot Tables'!$A$4,4)+0,RIGHT(LEFT(D4393,7),2)=RIGHT(LEFT(' Pivot Tables'!$A$4,7),2)),1,0)</f>
        <v>1</v>
      </c>
      <c r="Y4393" s="6">
        <f>1/COUNTIF(Таблица1[Order ID],Таблица1[[#This Row],[Order ID]])</f>
        <v>0.33333333333333331</v>
      </c>
      <c r="Z4393" s="9">
        <f>1/COUNTIFS(Таблица1[Customer Name],Таблица1[[#This Row],[Customer Name]],Таблица1[Order-Year-Month],Таблица1[[#This Row],[Order-Year-Month]])</f>
        <v>0.33333333333333331</v>
      </c>
    </row>
    <row r="4394" spans="1:26" x14ac:dyDescent="0.2">
      <c r="A4394" s="6">
        <v>4888</v>
      </c>
      <c r="B4394" s="7">
        <v>34785</v>
      </c>
      <c r="C4394" s="8">
        <f>DATE(2012,12,31)-1071</f>
        <v>40203</v>
      </c>
      <c r="D4394" s="8" t="str">
        <f t="shared" si="81"/>
        <v>2010-01 (январь 2010)</v>
      </c>
      <c r="E4394" s="9" t="s">
        <v>78</v>
      </c>
      <c r="F4394" s="7">
        <v>45</v>
      </c>
      <c r="G4394" s="7">
        <v>15468.216</v>
      </c>
      <c r="H4394" s="7">
        <v>0.01</v>
      </c>
      <c r="I4394" s="9" t="s">
        <v>31</v>
      </c>
      <c r="J4394" s="10">
        <v>-969.0483660000001</v>
      </c>
      <c r="K4394" s="11">
        <v>400.98</v>
      </c>
      <c r="L4394" s="11">
        <v>42.52</v>
      </c>
      <c r="M4394" s="9" t="s">
        <v>650</v>
      </c>
      <c r="N4394" s="6" t="s">
        <v>1123</v>
      </c>
      <c r="O4394" s="6" t="s">
        <v>1123</v>
      </c>
      <c r="P4394" s="9" t="s">
        <v>41</v>
      </c>
      <c r="Q4394" s="9" t="s">
        <v>49</v>
      </c>
      <c r="R4394" s="9" t="s">
        <v>83</v>
      </c>
      <c r="S4394" s="7" t="s">
        <v>1136</v>
      </c>
      <c r="T4394" s="9" t="s">
        <v>82</v>
      </c>
      <c r="U4394" s="7">
        <v>0.71</v>
      </c>
      <c r="V4394" s="12">
        <f>C4394+3</f>
        <v>40206</v>
      </c>
      <c r="W4394">
        <f>IF(D4394=' Pivot Tables'!$A$4,1,0)</f>
        <v>1</v>
      </c>
      <c r="X4394">
        <f>IF(AND(LEFT(D4394,4)+1=LEFT(' Pivot Tables'!$A$4,4)+0,RIGHT(LEFT(D4394,7),2)=RIGHT(LEFT(' Pivot Tables'!$A$4,7),2)),1,0)</f>
        <v>0</v>
      </c>
      <c r="Y4394" s="6">
        <f>1/COUNTIF(Таблица1[Order ID],Таблица1[[#This Row],[Order ID]])</f>
        <v>1</v>
      </c>
      <c r="Z4394" s="9">
        <f>1/COUNTIFS(Таблица1[Customer Name],Таблица1[[#This Row],[Customer Name]],Таблица1[Order-Year-Month],Таблица1[[#This Row],[Order-Year-Month]])</f>
        <v>1</v>
      </c>
    </row>
    <row r="4395" spans="1:26" x14ac:dyDescent="0.2">
      <c r="A4395" s="6">
        <v>4904</v>
      </c>
      <c r="B4395" s="7">
        <v>34883</v>
      </c>
      <c r="C4395" s="8">
        <f>DATE(2012,12,31)-1153</f>
        <v>40121</v>
      </c>
      <c r="D4395" s="8" t="str">
        <f t="shared" si="81"/>
        <v>2009-11 (ноябрь 2009)</v>
      </c>
      <c r="E4395" s="9" t="s">
        <v>78</v>
      </c>
      <c r="F4395" s="7">
        <v>31</v>
      </c>
      <c r="G4395" s="7">
        <v>906.01499999999999</v>
      </c>
      <c r="H4395" s="7">
        <v>0.05</v>
      </c>
      <c r="I4395" s="9" t="s">
        <v>22</v>
      </c>
      <c r="J4395" s="10">
        <v>248.67</v>
      </c>
      <c r="K4395" s="11">
        <v>35.99</v>
      </c>
      <c r="L4395" s="11">
        <v>5.99</v>
      </c>
      <c r="M4395" s="9" t="s">
        <v>1605</v>
      </c>
      <c r="N4395" s="6" t="s">
        <v>1123</v>
      </c>
      <c r="O4395" s="6" t="s">
        <v>1123</v>
      </c>
      <c r="P4395" s="9" t="s">
        <v>41</v>
      </c>
      <c r="Q4395" s="9" t="s">
        <v>42</v>
      </c>
      <c r="R4395" s="9" t="s">
        <v>43</v>
      </c>
      <c r="S4395" s="7" t="s">
        <v>907</v>
      </c>
      <c r="T4395" s="9" t="s">
        <v>68</v>
      </c>
      <c r="U4395" s="7">
        <v>0.38</v>
      </c>
      <c r="V4395" s="12">
        <f>C4395+1</f>
        <v>40122</v>
      </c>
      <c r="W4395">
        <f>IF(D4395=' Pivot Tables'!$A$4,1,0)</f>
        <v>0</v>
      </c>
      <c r="X4395">
        <f>IF(AND(LEFT(D4395,4)+1=LEFT(' Pivot Tables'!$A$4,4)+0,RIGHT(LEFT(D4395,7),2)=RIGHT(LEFT(' Pivot Tables'!$A$4,7),2)),1,0)</f>
        <v>0</v>
      </c>
      <c r="Y4395" s="6">
        <f>1/COUNTIF(Таблица1[Order ID],Таблица1[[#This Row],[Order ID]])</f>
        <v>1</v>
      </c>
      <c r="Z4395" s="9">
        <f>1/COUNTIFS(Таблица1[Customer Name],Таблица1[[#This Row],[Customer Name]],Таблица1[Order-Year-Month],Таблица1[[#This Row],[Order-Year-Month]])</f>
        <v>1</v>
      </c>
    </row>
    <row r="4396" spans="1:26" x14ac:dyDescent="0.2">
      <c r="A4396" s="6">
        <v>4930</v>
      </c>
      <c r="B4396" s="7">
        <v>35077</v>
      </c>
      <c r="C4396" s="8">
        <f>DATE(2012,12,31)-451</f>
        <v>40823</v>
      </c>
      <c r="D4396" s="8" t="str">
        <f t="shared" si="81"/>
        <v>2011-10 (октябрь 2011)</v>
      </c>
      <c r="E4396" s="9" t="s">
        <v>30</v>
      </c>
      <c r="F4396" s="7">
        <v>29</v>
      </c>
      <c r="G4396" s="7">
        <v>81.099999999999994</v>
      </c>
      <c r="H4396" s="7">
        <v>0.06</v>
      </c>
      <c r="I4396" s="9" t="s">
        <v>22</v>
      </c>
      <c r="J4396" s="10">
        <v>-2.0699999999999998</v>
      </c>
      <c r="K4396" s="11">
        <v>2.94</v>
      </c>
      <c r="L4396" s="11">
        <v>0.96</v>
      </c>
      <c r="M4396" s="9" t="s">
        <v>1410</v>
      </c>
      <c r="N4396" s="6" t="s">
        <v>1123</v>
      </c>
      <c r="O4396" s="6" t="s">
        <v>1123</v>
      </c>
      <c r="P4396" s="9" t="s">
        <v>60</v>
      </c>
      <c r="Q4396" s="9" t="s">
        <v>26</v>
      </c>
      <c r="R4396" s="9" t="s">
        <v>95</v>
      </c>
      <c r="S4396" s="7" t="s">
        <v>486</v>
      </c>
      <c r="T4396" s="9" t="s">
        <v>68</v>
      </c>
      <c r="U4396" s="7">
        <v>0.57999999999999996</v>
      </c>
      <c r="V4396" s="12">
        <f>C4396+1</f>
        <v>40824</v>
      </c>
      <c r="W4396">
        <f>IF(D4396=' Pivot Tables'!$A$4,1,0)</f>
        <v>0</v>
      </c>
      <c r="X4396">
        <f>IF(AND(LEFT(D4396,4)+1=LEFT(' Pivot Tables'!$A$4,4)+0,RIGHT(LEFT(D4396,7),2)=RIGHT(LEFT(' Pivot Tables'!$A$4,7),2)),1,0)</f>
        <v>0</v>
      </c>
      <c r="Y4396" s="6">
        <f>1/COUNTIF(Таблица1[Order ID],Таблица1[[#This Row],[Order ID]])</f>
        <v>1</v>
      </c>
      <c r="Z4396" s="9">
        <f>1/COUNTIFS(Таблица1[Customer Name],Таблица1[[#This Row],[Customer Name]],Таблица1[Order-Year-Month],Таблица1[[#This Row],[Order-Year-Month]])</f>
        <v>0.5</v>
      </c>
    </row>
    <row r="4397" spans="1:26" x14ac:dyDescent="0.2">
      <c r="A4397" s="6">
        <v>5072</v>
      </c>
      <c r="B4397" s="7">
        <v>36132</v>
      </c>
      <c r="C4397" s="8">
        <f>DATE(2012,12,31)-266</f>
        <v>41008</v>
      </c>
      <c r="D4397" s="8" t="str">
        <f t="shared" si="81"/>
        <v>2012-04 (апрель 2012)</v>
      </c>
      <c r="E4397" s="9" t="s">
        <v>21</v>
      </c>
      <c r="F4397" s="7">
        <v>3</v>
      </c>
      <c r="G4397" s="7">
        <v>604.57600000000002</v>
      </c>
      <c r="H4397" s="7">
        <v>0.03</v>
      </c>
      <c r="I4397" s="9" t="s">
        <v>31</v>
      </c>
      <c r="J4397" s="10">
        <v>-572.68539900000019</v>
      </c>
      <c r="K4397" s="11">
        <v>236.97</v>
      </c>
      <c r="L4397" s="11">
        <v>59.24</v>
      </c>
      <c r="M4397" s="9" t="s">
        <v>1090</v>
      </c>
      <c r="N4397" s="6" t="s">
        <v>1123</v>
      </c>
      <c r="O4397" s="6" t="s">
        <v>1123</v>
      </c>
      <c r="P4397" s="9" t="s">
        <v>60</v>
      </c>
      <c r="Q4397" s="9" t="s">
        <v>49</v>
      </c>
      <c r="R4397" s="9" t="s">
        <v>83</v>
      </c>
      <c r="S4397" s="7" t="s">
        <v>1149</v>
      </c>
      <c r="T4397" s="9" t="s">
        <v>82</v>
      </c>
      <c r="U4397" s="7">
        <v>0.61</v>
      </c>
      <c r="V4397" s="12">
        <f>C4397+5</f>
        <v>41013</v>
      </c>
      <c r="W4397">
        <f>IF(D4397=' Pivot Tables'!$A$4,1,0)</f>
        <v>0</v>
      </c>
      <c r="X4397">
        <f>IF(AND(LEFT(D4397,4)+1=LEFT(' Pivot Tables'!$A$4,4)+0,RIGHT(LEFT(D4397,7),2)=RIGHT(LEFT(' Pivot Tables'!$A$4,7),2)),1,0)</f>
        <v>0</v>
      </c>
      <c r="Y4397" s="6">
        <f>1/COUNTIF(Таблица1[Order ID],Таблица1[[#This Row],[Order ID]])</f>
        <v>1</v>
      </c>
      <c r="Z4397" s="9">
        <f>1/COUNTIFS(Таблица1[Customer Name],Таблица1[[#This Row],[Customer Name]],Таблица1[Order-Year-Month],Таблица1[[#This Row],[Order-Year-Month]])</f>
        <v>1</v>
      </c>
    </row>
    <row r="4398" spans="1:26" x14ac:dyDescent="0.2">
      <c r="A4398" s="6">
        <v>5073</v>
      </c>
      <c r="B4398" s="7">
        <v>36133</v>
      </c>
      <c r="C4398" s="8">
        <f>DATE(2012,12,31)-499</f>
        <v>40775</v>
      </c>
      <c r="D4398" s="8" t="str">
        <f t="shared" si="81"/>
        <v>2011-08 (август 2011)</v>
      </c>
      <c r="E4398" s="9" t="s">
        <v>63</v>
      </c>
      <c r="F4398" s="7">
        <v>6</v>
      </c>
      <c r="G4398" s="7">
        <v>128.56</v>
      </c>
      <c r="H4398" s="7">
        <v>0</v>
      </c>
      <c r="I4398" s="9" t="s">
        <v>22</v>
      </c>
      <c r="J4398" s="10">
        <v>-7.84</v>
      </c>
      <c r="K4398" s="11">
        <v>19.98</v>
      </c>
      <c r="L4398" s="11">
        <v>8.68</v>
      </c>
      <c r="M4398" s="9" t="s">
        <v>1540</v>
      </c>
      <c r="N4398" s="6" t="s">
        <v>1123</v>
      </c>
      <c r="O4398" s="6" t="s">
        <v>1123</v>
      </c>
      <c r="P4398" s="9" t="s">
        <v>33</v>
      </c>
      <c r="Q4398" s="9" t="s">
        <v>26</v>
      </c>
      <c r="R4398" s="9" t="s">
        <v>61</v>
      </c>
      <c r="S4398" s="7" t="s">
        <v>617</v>
      </c>
      <c r="T4398" s="9" t="s">
        <v>39</v>
      </c>
      <c r="U4398" s="7">
        <v>0.37</v>
      </c>
      <c r="V4398" s="12">
        <f>C4398+1</f>
        <v>40776</v>
      </c>
      <c r="W4398">
        <f>IF(D4398=' Pivot Tables'!$A$4,1,0)</f>
        <v>0</v>
      </c>
      <c r="X4398">
        <f>IF(AND(LEFT(D4398,4)+1=LEFT(' Pivot Tables'!$A$4,4)+0,RIGHT(LEFT(D4398,7),2)=RIGHT(LEFT(' Pivot Tables'!$A$4,7),2)),1,0)</f>
        <v>0</v>
      </c>
      <c r="Y4398" s="6">
        <f>1/COUNTIF(Таблица1[Order ID],Таблица1[[#This Row],[Order ID]])</f>
        <v>1</v>
      </c>
      <c r="Z4398" s="9">
        <f>1/COUNTIFS(Таблица1[Customer Name],Таблица1[[#This Row],[Customer Name]],Таблица1[Order-Year-Month],Таблица1[[#This Row],[Order-Year-Month]])</f>
        <v>1</v>
      </c>
    </row>
    <row r="4399" spans="1:26" x14ac:dyDescent="0.2">
      <c r="A4399" s="6">
        <v>5330</v>
      </c>
      <c r="B4399" s="7">
        <v>37891</v>
      </c>
      <c r="C4399" s="8">
        <f>DATE(2012,12,31)-438</f>
        <v>40836</v>
      </c>
      <c r="D4399" s="8" t="str">
        <f t="shared" si="81"/>
        <v>2011-10 (октябрь 2011)</v>
      </c>
      <c r="E4399" s="9" t="s">
        <v>30</v>
      </c>
      <c r="F4399" s="7">
        <v>24</v>
      </c>
      <c r="G4399" s="7">
        <v>163.36000000000001</v>
      </c>
      <c r="H4399" s="7">
        <v>0.04</v>
      </c>
      <c r="I4399" s="9" t="s">
        <v>22</v>
      </c>
      <c r="J4399" s="10">
        <v>-65.540000000000006</v>
      </c>
      <c r="K4399" s="11">
        <v>6.48</v>
      </c>
      <c r="L4399" s="11">
        <v>6.6</v>
      </c>
      <c r="M4399" s="9" t="s">
        <v>1792</v>
      </c>
      <c r="N4399" s="6" t="s">
        <v>1123</v>
      </c>
      <c r="O4399" s="6" t="s">
        <v>1123</v>
      </c>
      <c r="P4399" s="9" t="s">
        <v>25</v>
      </c>
      <c r="Q4399" s="9" t="s">
        <v>26</v>
      </c>
      <c r="R4399" s="9" t="s">
        <v>61</v>
      </c>
      <c r="S4399" s="7" t="s">
        <v>346</v>
      </c>
      <c r="T4399" s="9" t="s">
        <v>39</v>
      </c>
      <c r="U4399" s="7">
        <v>0.37</v>
      </c>
      <c r="V4399" s="12">
        <f>C4399+2</f>
        <v>40838</v>
      </c>
      <c r="W4399">
        <f>IF(D4399=' Pivot Tables'!$A$4,1,0)</f>
        <v>0</v>
      </c>
      <c r="X4399">
        <f>IF(AND(LEFT(D4399,4)+1=LEFT(' Pivot Tables'!$A$4,4)+0,RIGHT(LEFT(D4399,7),2)=RIGHT(LEFT(' Pivot Tables'!$A$4,7),2)),1,0)</f>
        <v>0</v>
      </c>
      <c r="Y4399" s="6">
        <f>1/COUNTIF(Таблица1[Order ID],Таблица1[[#This Row],[Order ID]])</f>
        <v>0.25</v>
      </c>
      <c r="Z4399" s="9">
        <f>1/COUNTIFS(Таблица1[Customer Name],Таблица1[[#This Row],[Customer Name]],Таблица1[Order-Year-Month],Таблица1[[#This Row],[Order-Year-Month]])</f>
        <v>0.25</v>
      </c>
    </row>
    <row r="4400" spans="1:26" x14ac:dyDescent="0.2">
      <c r="A4400" s="6">
        <v>5331</v>
      </c>
      <c r="B4400" s="7">
        <v>37891</v>
      </c>
      <c r="C4400" s="8">
        <f>DATE(2012,12,31)-438</f>
        <v>40836</v>
      </c>
      <c r="D4400" s="8" t="str">
        <f t="shared" si="81"/>
        <v>2011-10 (октябрь 2011)</v>
      </c>
      <c r="E4400" s="9" t="s">
        <v>30</v>
      </c>
      <c r="F4400" s="7">
        <v>21</v>
      </c>
      <c r="G4400" s="7">
        <v>44.08</v>
      </c>
      <c r="H4400" s="7">
        <v>0.06</v>
      </c>
      <c r="I4400" s="9" t="s">
        <v>56</v>
      </c>
      <c r="J4400" s="10">
        <v>-9.09</v>
      </c>
      <c r="K4400" s="11">
        <v>1.98</v>
      </c>
      <c r="L4400" s="11">
        <v>0.7</v>
      </c>
      <c r="M4400" s="9" t="s">
        <v>1792</v>
      </c>
      <c r="N4400" s="6" t="s">
        <v>1123</v>
      </c>
      <c r="O4400" s="6" t="s">
        <v>1123</v>
      </c>
      <c r="P4400" s="9" t="s">
        <v>25</v>
      </c>
      <c r="Q4400" s="9" t="s">
        <v>26</v>
      </c>
      <c r="R4400" s="9" t="s">
        <v>66</v>
      </c>
      <c r="S4400" s="7" t="s">
        <v>1114</v>
      </c>
      <c r="T4400" s="9" t="s">
        <v>68</v>
      </c>
      <c r="U4400" s="7">
        <v>0.83</v>
      </c>
      <c r="V4400" s="12">
        <f>C4400+2</f>
        <v>40838</v>
      </c>
      <c r="W4400">
        <f>IF(D4400=' Pivot Tables'!$A$4,1,0)</f>
        <v>0</v>
      </c>
      <c r="X4400">
        <f>IF(AND(LEFT(D4400,4)+1=LEFT(' Pivot Tables'!$A$4,4)+0,RIGHT(LEFT(D4400,7),2)=RIGHT(LEFT(' Pivot Tables'!$A$4,7),2)),1,0)</f>
        <v>0</v>
      </c>
      <c r="Y4400" s="6">
        <f>1/COUNTIF(Таблица1[Order ID],Таблица1[[#This Row],[Order ID]])</f>
        <v>0.25</v>
      </c>
      <c r="Z4400" s="9">
        <f>1/COUNTIFS(Таблица1[Customer Name],Таблица1[[#This Row],[Customer Name]],Таблица1[Order-Year-Month],Таблица1[[#This Row],[Order-Year-Month]])</f>
        <v>0.25</v>
      </c>
    </row>
    <row r="4401" spans="1:26" x14ac:dyDescent="0.2">
      <c r="A4401" s="6">
        <v>5332</v>
      </c>
      <c r="B4401" s="7">
        <v>37891</v>
      </c>
      <c r="C4401" s="8">
        <f>DATE(2012,12,31)-438</f>
        <v>40836</v>
      </c>
      <c r="D4401" s="8" t="str">
        <f t="shared" si="81"/>
        <v>2011-10 (октябрь 2011)</v>
      </c>
      <c r="E4401" s="9" t="s">
        <v>30</v>
      </c>
      <c r="F4401" s="7">
        <v>4</v>
      </c>
      <c r="G4401" s="7">
        <v>1135.6400000000001</v>
      </c>
      <c r="H4401" s="7">
        <v>0.02</v>
      </c>
      <c r="I4401" s="9" t="s">
        <v>31</v>
      </c>
      <c r="J4401" s="10">
        <v>-627.64115700000002</v>
      </c>
      <c r="K4401" s="11">
        <v>259.70999999999998</v>
      </c>
      <c r="L4401" s="11">
        <v>66.67</v>
      </c>
      <c r="M4401" s="9" t="s">
        <v>1792</v>
      </c>
      <c r="N4401" s="6" t="s">
        <v>1123</v>
      </c>
      <c r="O4401" s="6" t="s">
        <v>1123</v>
      </c>
      <c r="P4401" s="9" t="s">
        <v>25</v>
      </c>
      <c r="Q4401" s="9" t="s">
        <v>49</v>
      </c>
      <c r="R4401" s="9" t="s">
        <v>83</v>
      </c>
      <c r="S4401" s="7" t="s">
        <v>510</v>
      </c>
      <c r="T4401" s="9" t="s">
        <v>82</v>
      </c>
      <c r="U4401" s="7">
        <v>0.61</v>
      </c>
      <c r="V4401" s="12">
        <f>C4401+0</f>
        <v>40836</v>
      </c>
      <c r="W4401">
        <f>IF(D4401=' Pivot Tables'!$A$4,1,0)</f>
        <v>0</v>
      </c>
      <c r="X4401">
        <f>IF(AND(LEFT(D4401,4)+1=LEFT(' Pivot Tables'!$A$4,4)+0,RIGHT(LEFT(D4401,7),2)=RIGHT(LEFT(' Pivot Tables'!$A$4,7),2)),1,0)</f>
        <v>0</v>
      </c>
      <c r="Y4401" s="6">
        <f>1/COUNTIF(Таблица1[Order ID],Таблица1[[#This Row],[Order ID]])</f>
        <v>0.25</v>
      </c>
      <c r="Z4401" s="9">
        <f>1/COUNTIFS(Таблица1[Customer Name],Таблица1[[#This Row],[Customer Name]],Таблица1[Order-Year-Month],Таблица1[[#This Row],[Order-Year-Month]])</f>
        <v>0.25</v>
      </c>
    </row>
    <row r="4402" spans="1:26" x14ac:dyDescent="0.2">
      <c r="A4402" s="6">
        <v>5333</v>
      </c>
      <c r="B4402" s="7">
        <v>37891</v>
      </c>
      <c r="C4402" s="8">
        <f>DATE(2012,12,31)-438</f>
        <v>40836</v>
      </c>
      <c r="D4402" s="8" t="str">
        <f t="shared" si="81"/>
        <v>2011-10 (октябрь 2011)</v>
      </c>
      <c r="E4402" s="9" t="s">
        <v>30</v>
      </c>
      <c r="F4402" s="7">
        <v>33</v>
      </c>
      <c r="G4402" s="7">
        <v>5154.009</v>
      </c>
      <c r="H4402" s="7">
        <v>0.03</v>
      </c>
      <c r="I4402" s="9" t="s">
        <v>22</v>
      </c>
      <c r="J4402" s="10">
        <v>1184.6789999999999</v>
      </c>
      <c r="K4402" s="11">
        <v>179.99</v>
      </c>
      <c r="L4402" s="11">
        <v>13.99</v>
      </c>
      <c r="M4402" s="9" t="s">
        <v>1792</v>
      </c>
      <c r="N4402" s="6" t="s">
        <v>1123</v>
      </c>
      <c r="O4402" s="6" t="s">
        <v>1123</v>
      </c>
      <c r="P4402" s="9" t="s">
        <v>25</v>
      </c>
      <c r="Q4402" s="9" t="s">
        <v>42</v>
      </c>
      <c r="R4402" s="9" t="s">
        <v>43</v>
      </c>
      <c r="S4402" s="7" t="s">
        <v>343</v>
      </c>
      <c r="T4402" s="9" t="s">
        <v>48</v>
      </c>
      <c r="U4402" s="7">
        <v>0.56999999999999995</v>
      </c>
      <c r="V4402" s="12">
        <f>C4402+2</f>
        <v>40838</v>
      </c>
      <c r="W4402">
        <f>IF(D4402=' Pivot Tables'!$A$4,1,0)</f>
        <v>0</v>
      </c>
      <c r="X4402">
        <f>IF(AND(LEFT(D4402,4)+1=LEFT(' Pivot Tables'!$A$4,4)+0,RIGHT(LEFT(D4402,7),2)=RIGHT(LEFT(' Pivot Tables'!$A$4,7),2)),1,0)</f>
        <v>0</v>
      </c>
      <c r="Y4402" s="6">
        <f>1/COUNTIF(Таблица1[Order ID],Таблица1[[#This Row],[Order ID]])</f>
        <v>0.25</v>
      </c>
      <c r="Z4402" s="9">
        <f>1/COUNTIFS(Таблица1[Customer Name],Таблица1[[#This Row],[Customer Name]],Таблица1[Order-Year-Month],Таблица1[[#This Row],[Order-Year-Month]])</f>
        <v>0.25</v>
      </c>
    </row>
    <row r="4403" spans="1:26" x14ac:dyDescent="0.2">
      <c r="A4403" s="6">
        <v>5349</v>
      </c>
      <c r="B4403" s="7">
        <v>38021</v>
      </c>
      <c r="C4403" s="8">
        <f>DATE(2012,12,31)-1440</f>
        <v>39834</v>
      </c>
      <c r="D4403" s="8" t="str">
        <f t="shared" si="81"/>
        <v>2009-01 (январь 2009)</v>
      </c>
      <c r="E4403" s="9" t="s">
        <v>63</v>
      </c>
      <c r="F4403" s="7">
        <v>16</v>
      </c>
      <c r="G4403" s="7">
        <v>4407.03</v>
      </c>
      <c r="H4403" s="7">
        <v>0.04</v>
      </c>
      <c r="I4403" s="9" t="s">
        <v>31</v>
      </c>
      <c r="J4403" s="10">
        <v>834.96</v>
      </c>
      <c r="K4403" s="11">
        <v>279.81</v>
      </c>
      <c r="L4403" s="11">
        <v>23.19</v>
      </c>
      <c r="M4403" s="9" t="s">
        <v>716</v>
      </c>
      <c r="N4403" s="6" t="s">
        <v>1123</v>
      </c>
      <c r="O4403" s="6" t="s">
        <v>1123</v>
      </c>
      <c r="P4403" s="9" t="s">
        <v>41</v>
      </c>
      <c r="Q4403" s="9" t="s">
        <v>26</v>
      </c>
      <c r="R4403" s="9" t="s">
        <v>34</v>
      </c>
      <c r="S4403" s="7" t="s">
        <v>494</v>
      </c>
      <c r="T4403" s="9" t="s">
        <v>36</v>
      </c>
      <c r="U4403" s="7">
        <v>0.59</v>
      </c>
      <c r="V4403" s="12">
        <f>C4403+1</f>
        <v>39835</v>
      </c>
      <c r="W4403">
        <f>IF(D4403=' Pivot Tables'!$A$4,1,0)</f>
        <v>0</v>
      </c>
      <c r="X4403">
        <f>IF(AND(LEFT(D4403,4)+1=LEFT(' Pivot Tables'!$A$4,4)+0,RIGHT(LEFT(D4403,7),2)=RIGHT(LEFT(' Pivot Tables'!$A$4,7),2)),1,0)</f>
        <v>1</v>
      </c>
      <c r="Y4403" s="6">
        <f>1/COUNTIF(Таблица1[Order ID],Таблица1[[#This Row],[Order ID]])</f>
        <v>0.33333333333333331</v>
      </c>
      <c r="Z4403" s="9">
        <f>1/COUNTIFS(Таблица1[Customer Name],Таблица1[[#This Row],[Customer Name]],Таблица1[Order-Year-Month],Таблица1[[#This Row],[Order-Year-Month]])</f>
        <v>0.25</v>
      </c>
    </row>
    <row r="4404" spans="1:26" x14ac:dyDescent="0.2">
      <c r="A4404" s="6">
        <v>5350</v>
      </c>
      <c r="B4404" s="7">
        <v>38021</v>
      </c>
      <c r="C4404" s="8">
        <f>DATE(2012,12,31)-1440</f>
        <v>39834</v>
      </c>
      <c r="D4404" s="8" t="str">
        <f t="shared" si="81"/>
        <v>2009-01 (январь 2009)</v>
      </c>
      <c r="E4404" s="9" t="s">
        <v>63</v>
      </c>
      <c r="F4404" s="7">
        <v>36</v>
      </c>
      <c r="G4404" s="7">
        <v>173.22</v>
      </c>
      <c r="H4404" s="7">
        <v>0.02</v>
      </c>
      <c r="I4404" s="9" t="s">
        <v>22</v>
      </c>
      <c r="J4404" s="10">
        <v>81.77</v>
      </c>
      <c r="K4404" s="11">
        <v>4.91</v>
      </c>
      <c r="L4404" s="11">
        <v>0.5</v>
      </c>
      <c r="M4404" s="9" t="s">
        <v>716</v>
      </c>
      <c r="N4404" s="6" t="s">
        <v>1123</v>
      </c>
      <c r="O4404" s="6" t="s">
        <v>1123</v>
      </c>
      <c r="P4404" s="9" t="s">
        <v>41</v>
      </c>
      <c r="Q4404" s="9" t="s">
        <v>26</v>
      </c>
      <c r="R4404" s="9" t="s">
        <v>88</v>
      </c>
      <c r="S4404" s="7" t="s">
        <v>1370</v>
      </c>
      <c r="T4404" s="9" t="s">
        <v>39</v>
      </c>
      <c r="U4404" s="7">
        <v>0.36</v>
      </c>
      <c r="V4404" s="12">
        <f>C4404+1</f>
        <v>39835</v>
      </c>
      <c r="W4404">
        <f>IF(D4404=' Pivot Tables'!$A$4,1,0)</f>
        <v>0</v>
      </c>
      <c r="X4404">
        <f>IF(AND(LEFT(D4404,4)+1=LEFT(' Pivot Tables'!$A$4,4)+0,RIGHT(LEFT(D4404,7),2)=RIGHT(LEFT(' Pivot Tables'!$A$4,7),2)),1,0)</f>
        <v>1</v>
      </c>
      <c r="Y4404" s="6">
        <f>1/COUNTIF(Таблица1[Order ID],Таблица1[[#This Row],[Order ID]])</f>
        <v>0.33333333333333331</v>
      </c>
      <c r="Z4404" s="9">
        <f>1/COUNTIFS(Таблица1[Customer Name],Таблица1[[#This Row],[Customer Name]],Таблица1[Order-Year-Month],Таблица1[[#This Row],[Order-Year-Month]])</f>
        <v>0.25</v>
      </c>
    </row>
    <row r="4405" spans="1:26" x14ac:dyDescent="0.2">
      <c r="A4405" s="6">
        <v>5366</v>
      </c>
      <c r="B4405" s="7">
        <v>38146</v>
      </c>
      <c r="C4405" s="8">
        <f>DATE(2012,12,31)-390</f>
        <v>40884</v>
      </c>
      <c r="D4405" s="8" t="str">
        <f t="shared" si="81"/>
        <v>2011-12 (декабрь 2011)</v>
      </c>
      <c r="E4405" s="9" t="s">
        <v>21</v>
      </c>
      <c r="F4405" s="7">
        <v>41</v>
      </c>
      <c r="G4405" s="7">
        <v>782.05</v>
      </c>
      <c r="H4405" s="7">
        <v>0.08</v>
      </c>
      <c r="I4405" s="9" t="s">
        <v>22</v>
      </c>
      <c r="J4405" s="10">
        <v>-253.74</v>
      </c>
      <c r="K4405" s="11">
        <v>19.940000000000001</v>
      </c>
      <c r="L4405" s="11">
        <v>14.87</v>
      </c>
      <c r="M4405" s="9" t="s">
        <v>1783</v>
      </c>
      <c r="N4405" s="6" t="s">
        <v>1123</v>
      </c>
      <c r="O4405" s="6" t="s">
        <v>1123</v>
      </c>
      <c r="P4405" s="9" t="s">
        <v>25</v>
      </c>
      <c r="Q4405" s="9" t="s">
        <v>49</v>
      </c>
      <c r="R4405" s="9" t="s">
        <v>50</v>
      </c>
      <c r="S4405" s="7" t="s">
        <v>375</v>
      </c>
      <c r="T4405" s="9" t="s">
        <v>29</v>
      </c>
      <c r="U4405" s="7">
        <v>0.56999999999999995</v>
      </c>
      <c r="V4405" s="12">
        <f>C4405+0</f>
        <v>40884</v>
      </c>
      <c r="W4405">
        <f>IF(D4405=' Pivot Tables'!$A$4,1,0)</f>
        <v>0</v>
      </c>
      <c r="X4405">
        <f>IF(AND(LEFT(D4405,4)+1=LEFT(' Pivot Tables'!$A$4,4)+0,RIGHT(LEFT(D4405,7),2)=RIGHT(LEFT(' Pivot Tables'!$A$4,7),2)),1,0)</f>
        <v>0</v>
      </c>
      <c r="Y4405" s="6">
        <f>1/COUNTIF(Таблица1[Order ID],Таблица1[[#This Row],[Order ID]])</f>
        <v>0.5</v>
      </c>
      <c r="Z4405" s="9">
        <f>1/COUNTIFS(Таблица1[Customer Name],Таблица1[[#This Row],[Customer Name]],Таблица1[Order-Year-Month],Таблица1[[#This Row],[Order-Year-Month]])</f>
        <v>0.5</v>
      </c>
    </row>
    <row r="4406" spans="1:26" x14ac:dyDescent="0.2">
      <c r="A4406" s="6">
        <v>5441</v>
      </c>
      <c r="B4406" s="7">
        <v>38656</v>
      </c>
      <c r="C4406" s="8">
        <f>DATE(2012,12,31)-143</f>
        <v>41131</v>
      </c>
      <c r="D4406" s="8" t="str">
        <f t="shared" si="81"/>
        <v>2012-08 (август 2012)</v>
      </c>
      <c r="E4406" s="9" t="s">
        <v>21</v>
      </c>
      <c r="F4406" s="7">
        <v>41</v>
      </c>
      <c r="G4406" s="7">
        <v>162.51</v>
      </c>
      <c r="H4406" s="7">
        <v>0.09</v>
      </c>
      <c r="I4406" s="9" t="s">
        <v>22</v>
      </c>
      <c r="J4406" s="10">
        <v>-148.39599999999999</v>
      </c>
      <c r="K4406" s="11">
        <v>4.13</v>
      </c>
      <c r="L4406" s="11">
        <v>5.34</v>
      </c>
      <c r="M4406" s="9" t="s">
        <v>1011</v>
      </c>
      <c r="N4406" s="6" t="s">
        <v>1123</v>
      </c>
      <c r="O4406" s="6" t="s">
        <v>1123</v>
      </c>
      <c r="P4406" s="9" t="s">
        <v>33</v>
      </c>
      <c r="Q4406" s="9" t="s">
        <v>26</v>
      </c>
      <c r="R4406" s="9" t="s">
        <v>37</v>
      </c>
      <c r="S4406" s="7" t="s">
        <v>680</v>
      </c>
      <c r="T4406" s="9" t="s">
        <v>39</v>
      </c>
      <c r="U4406" s="7">
        <v>0.38</v>
      </c>
      <c r="V4406" s="12">
        <f>C4406+7</f>
        <v>41138</v>
      </c>
      <c r="W4406">
        <f>IF(D4406=' Pivot Tables'!$A$4,1,0)</f>
        <v>0</v>
      </c>
      <c r="X4406">
        <f>IF(AND(LEFT(D4406,4)+1=LEFT(' Pivot Tables'!$A$4,4)+0,RIGHT(LEFT(D4406,7),2)=RIGHT(LEFT(' Pivot Tables'!$A$4,7),2)),1,0)</f>
        <v>0</v>
      </c>
      <c r="Y4406" s="6">
        <f>1/COUNTIF(Таблица1[Order ID],Таблица1[[#This Row],[Order ID]])</f>
        <v>0.33333333333333331</v>
      </c>
      <c r="Z4406" s="9">
        <f>1/COUNTIFS(Таблица1[Customer Name],Таблица1[[#This Row],[Customer Name]],Таблица1[Order-Year-Month],Таблица1[[#This Row],[Order-Year-Month]])</f>
        <v>0.33333333333333331</v>
      </c>
    </row>
    <row r="4407" spans="1:26" x14ac:dyDescent="0.2">
      <c r="A4407" s="6">
        <v>5442</v>
      </c>
      <c r="B4407" s="7">
        <v>38656</v>
      </c>
      <c r="C4407" s="8">
        <f>DATE(2012,12,31)-143</f>
        <v>41131</v>
      </c>
      <c r="D4407" s="8" t="str">
        <f t="shared" si="81"/>
        <v>2012-08 (август 2012)</v>
      </c>
      <c r="E4407" s="9" t="s">
        <v>21</v>
      </c>
      <c r="F4407" s="7">
        <v>3</v>
      </c>
      <c r="G4407" s="7">
        <v>561.42999999999995</v>
      </c>
      <c r="H4407" s="7">
        <v>7.0000000000000007E-2</v>
      </c>
      <c r="I4407" s="9" t="s">
        <v>31</v>
      </c>
      <c r="J4407" s="10">
        <v>-199.46</v>
      </c>
      <c r="K4407" s="11">
        <v>180.98</v>
      </c>
      <c r="L4407" s="11">
        <v>26.2</v>
      </c>
      <c r="M4407" s="9" t="s">
        <v>1011</v>
      </c>
      <c r="N4407" s="6" t="s">
        <v>1123</v>
      </c>
      <c r="O4407" s="6" t="s">
        <v>1123</v>
      </c>
      <c r="P4407" s="9" t="s">
        <v>33</v>
      </c>
      <c r="Q4407" s="9" t="s">
        <v>49</v>
      </c>
      <c r="R4407" s="9" t="s">
        <v>112</v>
      </c>
      <c r="S4407" s="7" t="s">
        <v>263</v>
      </c>
      <c r="T4407" s="9" t="s">
        <v>36</v>
      </c>
      <c r="U4407" s="7">
        <v>0.59</v>
      </c>
      <c r="V4407" s="12">
        <f>C4407+5</f>
        <v>41136</v>
      </c>
      <c r="W4407">
        <f>IF(D4407=' Pivot Tables'!$A$4,1,0)</f>
        <v>0</v>
      </c>
      <c r="X4407">
        <f>IF(AND(LEFT(D4407,4)+1=LEFT(' Pivot Tables'!$A$4,4)+0,RIGHT(LEFT(D4407,7),2)=RIGHT(LEFT(' Pivot Tables'!$A$4,7),2)),1,0)</f>
        <v>0</v>
      </c>
      <c r="Y4407" s="6">
        <f>1/COUNTIF(Таблица1[Order ID],Таблица1[[#This Row],[Order ID]])</f>
        <v>0.33333333333333331</v>
      </c>
      <c r="Z4407" s="9">
        <f>1/COUNTIFS(Таблица1[Customer Name],Таблица1[[#This Row],[Customer Name]],Таблица1[Order-Year-Month],Таблица1[[#This Row],[Order-Year-Month]])</f>
        <v>0.33333333333333331</v>
      </c>
    </row>
    <row r="4408" spans="1:26" x14ac:dyDescent="0.2">
      <c r="A4408" s="6">
        <v>5456</v>
      </c>
      <c r="B4408" s="7">
        <v>38756</v>
      </c>
      <c r="C4408" s="8">
        <f>DATE(2012,12,31)-1334</f>
        <v>39940</v>
      </c>
      <c r="D4408" s="8" t="str">
        <f t="shared" si="81"/>
        <v>2009-05 (май 2009)</v>
      </c>
      <c r="E4408" s="9" t="s">
        <v>78</v>
      </c>
      <c r="F4408" s="7">
        <v>43</v>
      </c>
      <c r="G4408" s="7">
        <v>2251.4970000000003</v>
      </c>
      <c r="H4408" s="7">
        <v>0.09</v>
      </c>
      <c r="I4408" s="9" t="s">
        <v>56</v>
      </c>
      <c r="J4408" s="10">
        <v>308.93399999999997</v>
      </c>
      <c r="K4408" s="11">
        <v>65.989999999999995</v>
      </c>
      <c r="L4408" s="11">
        <v>8.99</v>
      </c>
      <c r="M4408" s="9" t="s">
        <v>1796</v>
      </c>
      <c r="N4408" s="6" t="s">
        <v>1123</v>
      </c>
      <c r="O4408" s="6" t="s">
        <v>1123</v>
      </c>
      <c r="P4408" s="9" t="s">
        <v>41</v>
      </c>
      <c r="Q4408" s="9" t="s">
        <v>42</v>
      </c>
      <c r="R4408" s="9" t="s">
        <v>43</v>
      </c>
      <c r="S4408" s="7" t="s">
        <v>534</v>
      </c>
      <c r="T4408" s="9" t="s">
        <v>39</v>
      </c>
      <c r="U4408" s="7">
        <v>0.56000000000000005</v>
      </c>
      <c r="V4408" s="12">
        <f>C4408+2</f>
        <v>39942</v>
      </c>
      <c r="W4408">
        <f>IF(D4408=' Pivot Tables'!$A$4,1,0)</f>
        <v>0</v>
      </c>
      <c r="X4408">
        <f>IF(AND(LEFT(D4408,4)+1=LEFT(' Pivot Tables'!$A$4,4)+0,RIGHT(LEFT(D4408,7),2)=RIGHT(LEFT(' Pivot Tables'!$A$4,7),2)),1,0)</f>
        <v>0</v>
      </c>
      <c r="Y4408" s="6">
        <f>1/COUNTIF(Таблица1[Order ID],Таблица1[[#This Row],[Order ID]])</f>
        <v>1</v>
      </c>
      <c r="Z4408" s="9">
        <f>1/COUNTIFS(Таблица1[Customer Name],Таблица1[[#This Row],[Customer Name]],Таблица1[Order-Year-Month],Таблица1[[#This Row],[Order-Year-Month]])</f>
        <v>1</v>
      </c>
    </row>
    <row r="4409" spans="1:26" x14ac:dyDescent="0.2">
      <c r="A4409" s="6">
        <v>5545</v>
      </c>
      <c r="B4409" s="7">
        <v>39268</v>
      </c>
      <c r="C4409" s="8">
        <f>DATE(2012,12,31)-619</f>
        <v>40655</v>
      </c>
      <c r="D4409" s="8" t="str">
        <f t="shared" si="81"/>
        <v>2011-04 (апрель 2011)</v>
      </c>
      <c r="E4409" s="9" t="s">
        <v>45</v>
      </c>
      <c r="F4409" s="7">
        <v>44</v>
      </c>
      <c r="G4409" s="7">
        <v>324.2</v>
      </c>
      <c r="H4409" s="7">
        <v>0.02</v>
      </c>
      <c r="I4409" s="9" t="s">
        <v>56</v>
      </c>
      <c r="J4409" s="10">
        <v>-89.746000000000009</v>
      </c>
      <c r="K4409" s="11">
        <v>7.1</v>
      </c>
      <c r="L4409" s="11">
        <v>6.05</v>
      </c>
      <c r="M4409" s="9" t="s">
        <v>1781</v>
      </c>
      <c r="N4409" s="6" t="s">
        <v>1123</v>
      </c>
      <c r="O4409" s="6" t="s">
        <v>1123</v>
      </c>
      <c r="P4409" s="9" t="s">
        <v>41</v>
      </c>
      <c r="Q4409" s="9" t="s">
        <v>26</v>
      </c>
      <c r="R4409" s="9" t="s">
        <v>37</v>
      </c>
      <c r="S4409" s="7" t="s">
        <v>435</v>
      </c>
      <c r="T4409" s="9" t="s">
        <v>39</v>
      </c>
      <c r="U4409" s="7">
        <v>0.39</v>
      </c>
      <c r="V4409" s="12">
        <f>C4409+2</f>
        <v>40657</v>
      </c>
      <c r="W4409">
        <f>IF(D4409=' Pivot Tables'!$A$4,1,0)</f>
        <v>0</v>
      </c>
      <c r="X4409">
        <f>IF(AND(LEFT(D4409,4)+1=LEFT(' Pivot Tables'!$A$4,4)+0,RIGHT(LEFT(D4409,7),2)=RIGHT(LEFT(' Pivot Tables'!$A$4,7),2)),1,0)</f>
        <v>0</v>
      </c>
      <c r="Y4409" s="6">
        <f>1/COUNTIF(Таблица1[Order ID],Таблица1[[#This Row],[Order ID]])</f>
        <v>0.5</v>
      </c>
      <c r="Z4409" s="9">
        <f>1/COUNTIFS(Таблица1[Customer Name],Таблица1[[#This Row],[Customer Name]],Таблица1[Order-Year-Month],Таблица1[[#This Row],[Order-Year-Month]])</f>
        <v>0.5</v>
      </c>
    </row>
    <row r="4410" spans="1:26" x14ac:dyDescent="0.2">
      <c r="A4410" s="6">
        <v>5546</v>
      </c>
      <c r="B4410" s="7">
        <v>39268</v>
      </c>
      <c r="C4410" s="8">
        <f>DATE(2012,12,31)-619</f>
        <v>40655</v>
      </c>
      <c r="D4410" s="8" t="str">
        <f t="shared" si="81"/>
        <v>2011-04 (апрель 2011)</v>
      </c>
      <c r="E4410" s="9" t="s">
        <v>45</v>
      </c>
      <c r="F4410" s="7">
        <v>45</v>
      </c>
      <c r="G4410" s="7">
        <v>156.94999999999999</v>
      </c>
      <c r="H4410" s="7">
        <v>0.1</v>
      </c>
      <c r="I4410" s="9" t="s">
        <v>22</v>
      </c>
      <c r="J4410" s="10">
        <v>-32.520000000000003</v>
      </c>
      <c r="K4410" s="11">
        <v>3.74</v>
      </c>
      <c r="L4410" s="11">
        <v>0.94</v>
      </c>
      <c r="M4410" s="9" t="s">
        <v>1781</v>
      </c>
      <c r="N4410" s="6" t="s">
        <v>1123</v>
      </c>
      <c r="O4410" s="6" t="s">
        <v>1123</v>
      </c>
      <c r="P4410" s="9" t="s">
        <v>41</v>
      </c>
      <c r="Q4410" s="9" t="s">
        <v>26</v>
      </c>
      <c r="R4410" s="9" t="s">
        <v>66</v>
      </c>
      <c r="S4410" s="7" t="s">
        <v>1450</v>
      </c>
      <c r="T4410" s="9" t="s">
        <v>68</v>
      </c>
      <c r="U4410" s="7">
        <v>0.83</v>
      </c>
      <c r="V4410" s="12">
        <f>C4410+3</f>
        <v>40658</v>
      </c>
      <c r="W4410">
        <f>IF(D4410=' Pivot Tables'!$A$4,1,0)</f>
        <v>0</v>
      </c>
      <c r="X4410">
        <f>IF(AND(LEFT(D4410,4)+1=LEFT(' Pivot Tables'!$A$4,4)+0,RIGHT(LEFT(D4410,7),2)=RIGHT(LEFT(' Pivot Tables'!$A$4,7),2)),1,0)</f>
        <v>0</v>
      </c>
      <c r="Y4410" s="6">
        <f>1/COUNTIF(Таблица1[Order ID],Таблица1[[#This Row],[Order ID]])</f>
        <v>0.5</v>
      </c>
      <c r="Z4410" s="9">
        <f>1/COUNTIFS(Таблица1[Customer Name],Таблица1[[#This Row],[Customer Name]],Таблица1[Order-Year-Month],Таблица1[[#This Row],[Order-Year-Month]])</f>
        <v>0.5</v>
      </c>
    </row>
    <row r="4411" spans="1:26" x14ac:dyDescent="0.2">
      <c r="A4411" s="6">
        <v>5572</v>
      </c>
      <c r="B4411" s="7">
        <v>39488</v>
      </c>
      <c r="C4411" s="8">
        <f>DATE(2012,12,31)-1288</f>
        <v>39986</v>
      </c>
      <c r="D4411" s="8" t="str">
        <f t="shared" si="81"/>
        <v>2009-06 (июнь 2009)</v>
      </c>
      <c r="E4411" s="9" t="s">
        <v>21</v>
      </c>
      <c r="F4411" s="7">
        <v>18</v>
      </c>
      <c r="G4411" s="7">
        <v>92.4</v>
      </c>
      <c r="H4411" s="7">
        <v>0.04</v>
      </c>
      <c r="I4411" s="9" t="s">
        <v>56</v>
      </c>
      <c r="J4411" s="10">
        <v>8.6</v>
      </c>
      <c r="K4411" s="11">
        <v>4.4800000000000004</v>
      </c>
      <c r="L4411" s="11">
        <v>2.5</v>
      </c>
      <c r="M4411" s="9" t="s">
        <v>1410</v>
      </c>
      <c r="N4411" s="6" t="s">
        <v>1123</v>
      </c>
      <c r="O4411" s="6" t="s">
        <v>1123</v>
      </c>
      <c r="P4411" s="9" t="s">
        <v>60</v>
      </c>
      <c r="Q4411" s="9" t="s">
        <v>26</v>
      </c>
      <c r="R4411" s="9" t="s">
        <v>76</v>
      </c>
      <c r="S4411" s="7" t="s">
        <v>845</v>
      </c>
      <c r="T4411" s="9" t="s">
        <v>39</v>
      </c>
      <c r="U4411" s="7">
        <v>0.37</v>
      </c>
      <c r="V4411" s="12">
        <f>C4411+4</f>
        <v>39990</v>
      </c>
      <c r="W4411">
        <f>IF(D4411=' Pivot Tables'!$A$4,1,0)</f>
        <v>0</v>
      </c>
      <c r="X4411">
        <f>IF(AND(LEFT(D4411,4)+1=LEFT(' Pivot Tables'!$A$4,4)+0,RIGHT(LEFT(D4411,7),2)=RIGHT(LEFT(' Pivot Tables'!$A$4,7),2)),1,0)</f>
        <v>0</v>
      </c>
      <c r="Y4411" s="6">
        <f>1/COUNTIF(Таблица1[Order ID],Таблица1[[#This Row],[Order ID]])</f>
        <v>1</v>
      </c>
      <c r="Z4411" s="9">
        <f>1/COUNTIFS(Таблица1[Customer Name],Таблица1[[#This Row],[Customer Name]],Таблица1[Order-Year-Month],Таблица1[[#This Row],[Order-Year-Month]])</f>
        <v>1</v>
      </c>
    </row>
    <row r="4412" spans="1:26" x14ac:dyDescent="0.2">
      <c r="A4412" s="6">
        <v>5591</v>
      </c>
      <c r="B4412" s="7">
        <v>39650</v>
      </c>
      <c r="C4412" s="8">
        <f>DATE(2012,12,31)-885</f>
        <v>40389</v>
      </c>
      <c r="D4412" s="8" t="str">
        <f t="shared" si="81"/>
        <v>2010-07 (июль 2010)</v>
      </c>
      <c r="E4412" s="9" t="s">
        <v>45</v>
      </c>
      <c r="F4412" s="7">
        <v>10</v>
      </c>
      <c r="G4412" s="7">
        <v>1004.89</v>
      </c>
      <c r="H4412" s="7">
        <v>0</v>
      </c>
      <c r="I4412" s="9" t="s">
        <v>31</v>
      </c>
      <c r="J4412" s="10">
        <v>-189.02</v>
      </c>
      <c r="K4412" s="11">
        <v>89.99</v>
      </c>
      <c r="L4412" s="11">
        <v>42</v>
      </c>
      <c r="M4412" s="9" t="s">
        <v>1785</v>
      </c>
      <c r="N4412" s="6" t="s">
        <v>1123</v>
      </c>
      <c r="O4412" s="6" t="s">
        <v>1123</v>
      </c>
      <c r="P4412" s="9" t="s">
        <v>25</v>
      </c>
      <c r="Q4412" s="9" t="s">
        <v>49</v>
      </c>
      <c r="R4412" s="9" t="s">
        <v>112</v>
      </c>
      <c r="S4412" s="7" t="s">
        <v>853</v>
      </c>
      <c r="T4412" s="9" t="s">
        <v>36</v>
      </c>
      <c r="U4412" s="7">
        <v>0.66</v>
      </c>
      <c r="V4412" s="12">
        <f>C4412+3</f>
        <v>40392</v>
      </c>
      <c r="W4412">
        <f>IF(D4412=' Pivot Tables'!$A$4,1,0)</f>
        <v>0</v>
      </c>
      <c r="X4412">
        <f>IF(AND(LEFT(D4412,4)+1=LEFT(' Pivot Tables'!$A$4,4)+0,RIGHT(LEFT(D4412,7),2)=RIGHT(LEFT(' Pivot Tables'!$A$4,7),2)),1,0)</f>
        <v>0</v>
      </c>
      <c r="Y4412" s="6">
        <f>1/COUNTIF(Таблица1[Order ID],Таблица1[[#This Row],[Order ID]])</f>
        <v>0.5</v>
      </c>
      <c r="Z4412" s="9">
        <f>1/COUNTIFS(Таблица1[Customer Name],Таблица1[[#This Row],[Customer Name]],Таблица1[Order-Year-Month],Таблица1[[#This Row],[Order-Year-Month]])</f>
        <v>0.5</v>
      </c>
    </row>
    <row r="4413" spans="1:26" x14ac:dyDescent="0.2">
      <c r="A4413" s="6">
        <v>5592</v>
      </c>
      <c r="B4413" s="7">
        <v>39650</v>
      </c>
      <c r="C4413" s="8">
        <f>DATE(2012,12,31)-885</f>
        <v>40389</v>
      </c>
      <c r="D4413" s="8" t="str">
        <f t="shared" si="81"/>
        <v>2010-07 (июль 2010)</v>
      </c>
      <c r="E4413" s="9" t="s">
        <v>45</v>
      </c>
      <c r="F4413" s="7">
        <v>47</v>
      </c>
      <c r="G4413" s="7">
        <v>329.06</v>
      </c>
      <c r="H4413" s="7">
        <v>0.08</v>
      </c>
      <c r="I4413" s="9" t="s">
        <v>22</v>
      </c>
      <c r="J4413" s="10">
        <v>-175.15</v>
      </c>
      <c r="K4413" s="11">
        <v>7.28</v>
      </c>
      <c r="L4413" s="11">
        <v>7.98</v>
      </c>
      <c r="M4413" s="9" t="s">
        <v>1785</v>
      </c>
      <c r="N4413" s="6" t="s">
        <v>1123</v>
      </c>
      <c r="O4413" s="6" t="s">
        <v>1123</v>
      </c>
      <c r="P4413" s="9" t="s">
        <v>25</v>
      </c>
      <c r="Q4413" s="9" t="s">
        <v>49</v>
      </c>
      <c r="R4413" s="9" t="s">
        <v>50</v>
      </c>
      <c r="S4413" s="7" t="s">
        <v>1362</v>
      </c>
      <c r="T4413" s="9" t="s">
        <v>68</v>
      </c>
      <c r="U4413" s="7">
        <v>0.42</v>
      </c>
      <c r="V4413" s="12">
        <f>C4413+1</f>
        <v>40390</v>
      </c>
      <c r="W4413">
        <f>IF(D4413=' Pivot Tables'!$A$4,1,0)</f>
        <v>0</v>
      </c>
      <c r="X4413">
        <f>IF(AND(LEFT(D4413,4)+1=LEFT(' Pivot Tables'!$A$4,4)+0,RIGHT(LEFT(D4413,7),2)=RIGHT(LEFT(' Pivot Tables'!$A$4,7),2)),1,0)</f>
        <v>0</v>
      </c>
      <c r="Y4413" s="6">
        <f>1/COUNTIF(Таблица1[Order ID],Таблица1[[#This Row],[Order ID]])</f>
        <v>0.5</v>
      </c>
      <c r="Z4413" s="9">
        <f>1/COUNTIFS(Таблица1[Customer Name],Таблица1[[#This Row],[Customer Name]],Таблица1[Order-Year-Month],Таблица1[[#This Row],[Order-Year-Month]])</f>
        <v>0.5</v>
      </c>
    </row>
    <row r="4414" spans="1:26" x14ac:dyDescent="0.2">
      <c r="A4414" s="6">
        <v>5626</v>
      </c>
      <c r="B4414" s="7">
        <v>39844</v>
      </c>
      <c r="C4414" s="8">
        <f>DATE(2012,12,31)-1126</f>
        <v>40148</v>
      </c>
      <c r="D4414" s="8" t="str">
        <f t="shared" si="81"/>
        <v>2009-12 (декабрь 2009)</v>
      </c>
      <c r="E4414" s="9" t="s">
        <v>45</v>
      </c>
      <c r="F4414" s="7">
        <v>47</v>
      </c>
      <c r="G4414" s="7">
        <v>4387.24</v>
      </c>
      <c r="H4414" s="7">
        <v>0.09</v>
      </c>
      <c r="I4414" s="9" t="s">
        <v>22</v>
      </c>
      <c r="J4414" s="10">
        <v>-286.47000000000003</v>
      </c>
      <c r="K4414" s="11">
        <v>95.43</v>
      </c>
      <c r="L4414" s="11">
        <v>19.989999999999998</v>
      </c>
      <c r="M4414" s="9" t="s">
        <v>650</v>
      </c>
      <c r="N4414" s="6" t="s">
        <v>1123</v>
      </c>
      <c r="O4414" s="6" t="s">
        <v>1123</v>
      </c>
      <c r="P4414" s="9" t="s">
        <v>41</v>
      </c>
      <c r="Q4414" s="9" t="s">
        <v>26</v>
      </c>
      <c r="R4414" s="9" t="s">
        <v>27</v>
      </c>
      <c r="S4414" s="7" t="s">
        <v>377</v>
      </c>
      <c r="T4414" s="9" t="s">
        <v>39</v>
      </c>
      <c r="U4414" s="7">
        <v>0.79</v>
      </c>
      <c r="V4414" s="12">
        <f>C4414+1</f>
        <v>40149</v>
      </c>
      <c r="W4414">
        <f>IF(D4414=' Pivot Tables'!$A$4,1,0)</f>
        <v>0</v>
      </c>
      <c r="X4414">
        <f>IF(AND(LEFT(D4414,4)+1=LEFT(' Pivot Tables'!$A$4,4)+0,RIGHT(LEFT(D4414,7),2)=RIGHT(LEFT(' Pivot Tables'!$A$4,7),2)),1,0)</f>
        <v>0</v>
      </c>
      <c r="Y4414" s="6">
        <f>1/COUNTIF(Таблица1[Order ID],Таблица1[[#This Row],[Order ID]])</f>
        <v>1</v>
      </c>
      <c r="Z4414" s="9">
        <f>1/COUNTIFS(Таблица1[Customer Name],Таблица1[[#This Row],[Customer Name]],Таблица1[Order-Year-Month],Таблица1[[#This Row],[Order-Year-Month]])</f>
        <v>1</v>
      </c>
    </row>
    <row r="4415" spans="1:26" x14ac:dyDescent="0.2">
      <c r="A4415" s="6">
        <v>5740</v>
      </c>
      <c r="B4415" s="7">
        <v>40800</v>
      </c>
      <c r="C4415" s="8">
        <f>DATE(2012,12,31)-758</f>
        <v>40516</v>
      </c>
      <c r="D4415" s="8" t="str">
        <f t="shared" si="81"/>
        <v>2010-12 (декабрь 2010)</v>
      </c>
      <c r="E4415" s="9" t="s">
        <v>45</v>
      </c>
      <c r="F4415" s="7">
        <v>41</v>
      </c>
      <c r="G4415" s="7">
        <v>260.31</v>
      </c>
      <c r="H4415" s="7">
        <v>0.05</v>
      </c>
      <c r="I4415" s="9" t="s">
        <v>22</v>
      </c>
      <c r="J4415" s="10">
        <v>-175.26</v>
      </c>
      <c r="K4415" s="11">
        <v>6.48</v>
      </c>
      <c r="L4415" s="11">
        <v>7.91</v>
      </c>
      <c r="M4415" s="9" t="s">
        <v>650</v>
      </c>
      <c r="N4415" s="6" t="s">
        <v>1123</v>
      </c>
      <c r="O4415" s="6" t="s">
        <v>1123</v>
      </c>
      <c r="P4415" s="9" t="s">
        <v>41</v>
      </c>
      <c r="Q4415" s="9" t="s">
        <v>26</v>
      </c>
      <c r="R4415" s="9" t="s">
        <v>61</v>
      </c>
      <c r="S4415" s="7" t="s">
        <v>1297</v>
      </c>
      <c r="T4415" s="9" t="s">
        <v>39</v>
      </c>
      <c r="U4415" s="7">
        <v>0.37</v>
      </c>
      <c r="V4415" s="12">
        <f>C4415+0</f>
        <v>40516</v>
      </c>
      <c r="W4415">
        <f>IF(D4415=' Pivot Tables'!$A$4,1,0)</f>
        <v>0</v>
      </c>
      <c r="X4415">
        <f>IF(AND(LEFT(D4415,4)+1=LEFT(' Pivot Tables'!$A$4,4)+0,RIGHT(LEFT(D4415,7),2)=RIGHT(LEFT(' Pivot Tables'!$A$4,7),2)),1,0)</f>
        <v>0</v>
      </c>
      <c r="Y4415" s="6">
        <f>1/COUNTIF(Таблица1[Order ID],Таблица1[[#This Row],[Order ID]])</f>
        <v>0.5</v>
      </c>
      <c r="Z4415" s="9">
        <f>1/COUNTIFS(Таблица1[Customer Name],Таблица1[[#This Row],[Customer Name]],Таблица1[Order-Year-Month],Таблица1[[#This Row],[Order-Year-Month]])</f>
        <v>0.5</v>
      </c>
    </row>
    <row r="4416" spans="1:26" x14ac:dyDescent="0.2">
      <c r="A4416" s="6">
        <v>5773</v>
      </c>
      <c r="B4416" s="7">
        <v>40965</v>
      </c>
      <c r="C4416" s="8">
        <f>DATE(2012,12,31)-1137</f>
        <v>40137</v>
      </c>
      <c r="D4416" s="8" t="str">
        <f t="shared" si="81"/>
        <v>2009-11 (ноябрь 2009)</v>
      </c>
      <c r="E4416" s="9" t="s">
        <v>63</v>
      </c>
      <c r="F4416" s="7">
        <v>48</v>
      </c>
      <c r="G4416" s="7">
        <v>7227.42</v>
      </c>
      <c r="H4416" s="7">
        <v>0.09</v>
      </c>
      <c r="I4416" s="9" t="s">
        <v>31</v>
      </c>
      <c r="J4416" s="10">
        <v>-385.00447700000007</v>
      </c>
      <c r="K4416" s="11">
        <v>159.31</v>
      </c>
      <c r="L4416" s="11">
        <v>60</v>
      </c>
      <c r="M4416" s="9" t="s">
        <v>910</v>
      </c>
      <c r="N4416" s="6" t="s">
        <v>1123</v>
      </c>
      <c r="O4416" s="6" t="s">
        <v>1123</v>
      </c>
      <c r="P4416" s="9" t="s">
        <v>41</v>
      </c>
      <c r="Q4416" s="9" t="s">
        <v>49</v>
      </c>
      <c r="R4416" s="9" t="s">
        <v>83</v>
      </c>
      <c r="S4416" s="7" t="s">
        <v>956</v>
      </c>
      <c r="T4416" s="9" t="s">
        <v>36</v>
      </c>
      <c r="U4416" s="7">
        <v>0.55000000000000004</v>
      </c>
      <c r="V4416" s="12">
        <f>C4416+2</f>
        <v>40139</v>
      </c>
      <c r="W4416">
        <f>IF(D4416=' Pivot Tables'!$A$4,1,0)</f>
        <v>0</v>
      </c>
      <c r="X4416">
        <f>IF(AND(LEFT(D4416,4)+1=LEFT(' Pivot Tables'!$A$4,4)+0,RIGHT(LEFT(D4416,7),2)=RIGHT(LEFT(' Pivot Tables'!$A$4,7),2)),1,0)</f>
        <v>0</v>
      </c>
      <c r="Y4416" s="6">
        <f>1/COUNTIF(Таблица1[Order ID],Таблица1[[#This Row],[Order ID]])</f>
        <v>0.33333333333333331</v>
      </c>
      <c r="Z4416" s="9">
        <f>1/COUNTIFS(Таблица1[Customer Name],Таблица1[[#This Row],[Customer Name]],Таблица1[Order-Year-Month],Таблица1[[#This Row],[Order-Year-Month]])</f>
        <v>0.16666666666666666</v>
      </c>
    </row>
    <row r="4417" spans="1:26" x14ac:dyDescent="0.2">
      <c r="A4417" s="6">
        <v>5774</v>
      </c>
      <c r="B4417" s="7">
        <v>40965</v>
      </c>
      <c r="C4417" s="8">
        <f>DATE(2012,12,31)-1137</f>
        <v>40137</v>
      </c>
      <c r="D4417" s="8" t="str">
        <f t="shared" si="81"/>
        <v>2009-11 (ноябрь 2009)</v>
      </c>
      <c r="E4417" s="9" t="s">
        <v>63</v>
      </c>
      <c r="F4417" s="7">
        <v>39</v>
      </c>
      <c r="G4417" s="7">
        <v>1836.1869999999997</v>
      </c>
      <c r="H4417" s="7">
        <v>0.06</v>
      </c>
      <c r="I4417" s="9" t="s">
        <v>22</v>
      </c>
      <c r="J4417" s="10">
        <v>-139.84299999999999</v>
      </c>
      <c r="K4417" s="11">
        <v>55.99</v>
      </c>
      <c r="L4417" s="11">
        <v>5</v>
      </c>
      <c r="M4417" s="9" t="s">
        <v>910</v>
      </c>
      <c r="N4417" s="6" t="s">
        <v>1123</v>
      </c>
      <c r="O4417" s="6" t="s">
        <v>1123</v>
      </c>
      <c r="P4417" s="9" t="s">
        <v>41</v>
      </c>
      <c r="Q4417" s="9" t="s">
        <v>42</v>
      </c>
      <c r="R4417" s="9" t="s">
        <v>43</v>
      </c>
      <c r="S4417" s="7" t="s">
        <v>248</v>
      </c>
      <c r="T4417" s="9" t="s">
        <v>52</v>
      </c>
      <c r="U4417" s="7">
        <v>0.83</v>
      </c>
      <c r="V4417" s="12">
        <f>C4417+2</f>
        <v>40139</v>
      </c>
      <c r="W4417">
        <f>IF(D4417=' Pivot Tables'!$A$4,1,0)</f>
        <v>0</v>
      </c>
      <c r="X4417">
        <f>IF(AND(LEFT(D4417,4)+1=LEFT(' Pivot Tables'!$A$4,4)+0,RIGHT(LEFT(D4417,7),2)=RIGHT(LEFT(' Pivot Tables'!$A$4,7),2)),1,0)</f>
        <v>0</v>
      </c>
      <c r="Y4417" s="6">
        <f>1/COUNTIF(Таблица1[Order ID],Таблица1[[#This Row],[Order ID]])</f>
        <v>0.33333333333333331</v>
      </c>
      <c r="Z4417" s="9">
        <f>1/COUNTIFS(Таблица1[Customer Name],Таблица1[[#This Row],[Customer Name]],Таблица1[Order-Year-Month],Таблица1[[#This Row],[Order-Year-Month]])</f>
        <v>0.16666666666666666</v>
      </c>
    </row>
    <row r="4418" spans="1:26" x14ac:dyDescent="0.2">
      <c r="A4418" s="6">
        <v>5822</v>
      </c>
      <c r="B4418" s="7">
        <v>41316</v>
      </c>
      <c r="C4418" s="8">
        <f>DATE(2012,12,31)-1259</f>
        <v>40015</v>
      </c>
      <c r="D4418" s="8" t="str">
        <f t="shared" si="81"/>
        <v>2009-07 (июль 2009)</v>
      </c>
      <c r="E4418" s="9" t="s">
        <v>45</v>
      </c>
      <c r="F4418" s="7">
        <v>8</v>
      </c>
      <c r="G4418" s="7">
        <v>121.74</v>
      </c>
      <c r="H4418" s="7">
        <v>0.01</v>
      </c>
      <c r="I4418" s="9" t="s">
        <v>22</v>
      </c>
      <c r="J4418" s="10">
        <v>21.003500000000003</v>
      </c>
      <c r="K4418" s="11">
        <v>14.28</v>
      </c>
      <c r="L4418" s="11">
        <v>2.99</v>
      </c>
      <c r="M4418" s="9" t="s">
        <v>1011</v>
      </c>
      <c r="N4418" s="6" t="s">
        <v>1123</v>
      </c>
      <c r="O4418" s="6" t="s">
        <v>1123</v>
      </c>
      <c r="P4418" s="9" t="s">
        <v>33</v>
      </c>
      <c r="Q4418" s="9" t="s">
        <v>26</v>
      </c>
      <c r="R4418" s="9" t="s">
        <v>37</v>
      </c>
      <c r="S4418" s="7" t="s">
        <v>1359</v>
      </c>
      <c r="T4418" s="9" t="s">
        <v>39</v>
      </c>
      <c r="U4418" s="7">
        <v>0.39</v>
      </c>
      <c r="V4418" s="12">
        <f>C4418+1</f>
        <v>40016</v>
      </c>
      <c r="W4418">
        <f>IF(D4418=' Pivot Tables'!$A$4,1,0)</f>
        <v>0</v>
      </c>
      <c r="X4418">
        <f>IF(AND(LEFT(D4418,4)+1=LEFT(' Pivot Tables'!$A$4,4)+0,RIGHT(LEFT(D4418,7),2)=RIGHT(LEFT(' Pivot Tables'!$A$4,7),2)),1,0)</f>
        <v>0</v>
      </c>
      <c r="Y4418" s="6">
        <f>1/COUNTIF(Таблица1[Order ID],Таблица1[[#This Row],[Order ID]])</f>
        <v>0.5</v>
      </c>
      <c r="Z4418" s="9">
        <f>1/COUNTIFS(Таблица1[Customer Name],Таблица1[[#This Row],[Customer Name]],Таблица1[Order-Year-Month],Таблица1[[#This Row],[Order-Year-Month]])</f>
        <v>0.33333333333333331</v>
      </c>
    </row>
    <row r="4419" spans="1:26" x14ac:dyDescent="0.2">
      <c r="A4419" s="6">
        <v>5823</v>
      </c>
      <c r="B4419" s="7">
        <v>41316</v>
      </c>
      <c r="C4419" s="8">
        <f>DATE(2012,12,31)-1259</f>
        <v>40015</v>
      </c>
      <c r="D4419" s="8" t="str">
        <f t="shared" ref="D4419:D4482" si="82">TEXT(C4419,"гггг-ММ (ММММ гггг)")</f>
        <v>2009-07 (июль 2009)</v>
      </c>
      <c r="E4419" s="9" t="s">
        <v>45</v>
      </c>
      <c r="F4419" s="7">
        <v>4</v>
      </c>
      <c r="G4419" s="7">
        <v>700.36599999999999</v>
      </c>
      <c r="H4419" s="7">
        <v>0</v>
      </c>
      <c r="I4419" s="9" t="s">
        <v>22</v>
      </c>
      <c r="J4419" s="10">
        <v>-787.69900000000007</v>
      </c>
      <c r="K4419" s="11">
        <v>205.99</v>
      </c>
      <c r="L4419" s="11">
        <v>5.99</v>
      </c>
      <c r="M4419" s="9" t="s">
        <v>1011</v>
      </c>
      <c r="N4419" s="6" t="s">
        <v>1123</v>
      </c>
      <c r="O4419" s="6" t="s">
        <v>1123</v>
      </c>
      <c r="P4419" s="9" t="s">
        <v>33</v>
      </c>
      <c r="Q4419" s="9" t="s">
        <v>42</v>
      </c>
      <c r="R4419" s="9" t="s">
        <v>43</v>
      </c>
      <c r="S4419" s="7" t="s">
        <v>714</v>
      </c>
      <c r="T4419" s="9" t="s">
        <v>39</v>
      </c>
      <c r="U4419" s="7">
        <v>0.59</v>
      </c>
      <c r="V4419" s="12">
        <f>C4419+3</f>
        <v>40018</v>
      </c>
      <c r="W4419">
        <f>IF(D4419=' Pivot Tables'!$A$4,1,0)</f>
        <v>0</v>
      </c>
      <c r="X4419">
        <f>IF(AND(LEFT(D4419,4)+1=LEFT(' Pivot Tables'!$A$4,4)+0,RIGHT(LEFT(D4419,7),2)=RIGHT(LEFT(' Pivot Tables'!$A$4,7),2)),1,0)</f>
        <v>0</v>
      </c>
      <c r="Y4419" s="6">
        <f>1/COUNTIF(Таблица1[Order ID],Таблица1[[#This Row],[Order ID]])</f>
        <v>0.5</v>
      </c>
      <c r="Z4419" s="9">
        <f>1/COUNTIFS(Таблица1[Customer Name],Таблица1[[#This Row],[Customer Name]],Таблица1[Order-Year-Month],Таблица1[[#This Row],[Order-Year-Month]])</f>
        <v>0.33333333333333331</v>
      </c>
    </row>
    <row r="4420" spans="1:26" x14ac:dyDescent="0.2">
      <c r="A4420" s="6">
        <v>5847</v>
      </c>
      <c r="B4420" s="7">
        <v>41476</v>
      </c>
      <c r="C4420" s="8">
        <f>DATE(2012,12,31)-945</f>
        <v>40329</v>
      </c>
      <c r="D4420" s="8" t="str">
        <f t="shared" si="82"/>
        <v>2010-05 (май 2010)</v>
      </c>
      <c r="E4420" s="9" t="s">
        <v>30</v>
      </c>
      <c r="F4420" s="7">
        <v>48</v>
      </c>
      <c r="G4420" s="7">
        <v>92.25</v>
      </c>
      <c r="H4420" s="7">
        <v>7.0000000000000007E-2</v>
      </c>
      <c r="I4420" s="9" t="s">
        <v>22</v>
      </c>
      <c r="J4420" s="10">
        <v>-104.8</v>
      </c>
      <c r="K4420" s="11">
        <v>1.86</v>
      </c>
      <c r="L4420" s="11">
        <v>2.58</v>
      </c>
      <c r="M4420" s="9" t="s">
        <v>910</v>
      </c>
      <c r="N4420" s="6" t="s">
        <v>1123</v>
      </c>
      <c r="O4420" s="6" t="s">
        <v>1123</v>
      </c>
      <c r="P4420" s="9" t="s">
        <v>41</v>
      </c>
      <c r="Q4420" s="9" t="s">
        <v>26</v>
      </c>
      <c r="R4420" s="9" t="s">
        <v>66</v>
      </c>
      <c r="S4420" s="7" t="s">
        <v>783</v>
      </c>
      <c r="T4420" s="9" t="s">
        <v>68</v>
      </c>
      <c r="U4420" s="7">
        <v>0.82</v>
      </c>
      <c r="V4420" s="12">
        <f>C4420+1</f>
        <v>40330</v>
      </c>
      <c r="W4420">
        <f>IF(D4420=' Pivot Tables'!$A$4,1,0)</f>
        <v>0</v>
      </c>
      <c r="X4420">
        <f>IF(AND(LEFT(D4420,4)+1=LEFT(' Pivot Tables'!$A$4,4)+0,RIGHT(LEFT(D4420,7),2)=RIGHT(LEFT(' Pivot Tables'!$A$4,7),2)),1,0)</f>
        <v>0</v>
      </c>
      <c r="Y4420" s="6">
        <f>1/COUNTIF(Таблица1[Order ID],Таблица1[[#This Row],[Order ID]])</f>
        <v>1</v>
      </c>
      <c r="Z4420" s="9">
        <f>1/COUNTIFS(Таблица1[Customer Name],Таблица1[[#This Row],[Customer Name]],Таблица1[Order-Year-Month],Таблица1[[#This Row],[Order-Year-Month]])</f>
        <v>1</v>
      </c>
    </row>
    <row r="4421" spans="1:26" x14ac:dyDescent="0.2">
      <c r="A4421" s="6">
        <v>5905</v>
      </c>
      <c r="B4421" s="7">
        <v>41861</v>
      </c>
      <c r="C4421" s="8">
        <f>DATE(2012,12,31)-766</f>
        <v>40508</v>
      </c>
      <c r="D4421" s="8" t="str">
        <f t="shared" si="82"/>
        <v>2010-11 (ноябрь 2010)</v>
      </c>
      <c r="E4421" s="9" t="s">
        <v>21</v>
      </c>
      <c r="F4421" s="7">
        <v>24</v>
      </c>
      <c r="G4421" s="7">
        <v>475.9</v>
      </c>
      <c r="H4421" s="7">
        <v>0.02</v>
      </c>
      <c r="I4421" s="9" t="s">
        <v>22</v>
      </c>
      <c r="J4421" s="10">
        <v>110.44</v>
      </c>
      <c r="K4421" s="11">
        <v>19.98</v>
      </c>
      <c r="L4421" s="11">
        <v>5.97</v>
      </c>
      <c r="M4421" s="9" t="s">
        <v>1788</v>
      </c>
      <c r="N4421" s="6" t="s">
        <v>1123</v>
      </c>
      <c r="O4421" s="6" t="s">
        <v>1123</v>
      </c>
      <c r="P4421" s="9" t="s">
        <v>41</v>
      </c>
      <c r="Q4421" s="9" t="s">
        <v>26</v>
      </c>
      <c r="R4421" s="9" t="s">
        <v>61</v>
      </c>
      <c r="S4421" s="7" t="s">
        <v>169</v>
      </c>
      <c r="T4421" s="9" t="s">
        <v>39</v>
      </c>
      <c r="U4421" s="7">
        <v>0.38</v>
      </c>
      <c r="V4421" s="12">
        <f>C4421+2</f>
        <v>40510</v>
      </c>
      <c r="W4421">
        <f>IF(D4421=' Pivot Tables'!$A$4,1,0)</f>
        <v>0</v>
      </c>
      <c r="X4421">
        <f>IF(AND(LEFT(D4421,4)+1=LEFT(' Pivot Tables'!$A$4,4)+0,RIGHT(LEFT(D4421,7),2)=RIGHT(LEFT(' Pivot Tables'!$A$4,7),2)),1,0)</f>
        <v>0</v>
      </c>
      <c r="Y4421" s="6">
        <f>1/COUNTIF(Таблица1[Order ID],Таблица1[[#This Row],[Order ID]])</f>
        <v>1</v>
      </c>
      <c r="Z4421" s="9">
        <f>1/COUNTIFS(Таблица1[Customer Name],Таблица1[[#This Row],[Customer Name]],Таблица1[Order-Year-Month],Таблица1[[#This Row],[Order-Year-Month]])</f>
        <v>1</v>
      </c>
    </row>
    <row r="4422" spans="1:26" x14ac:dyDescent="0.2">
      <c r="A4422" s="6">
        <v>5956</v>
      </c>
      <c r="B4422" s="7">
        <v>42274</v>
      </c>
      <c r="C4422" s="8">
        <f>DATE(2012,12,31)-485</f>
        <v>40789</v>
      </c>
      <c r="D4422" s="8" t="str">
        <f t="shared" si="82"/>
        <v>2011-09 (сентябрь 2011)</v>
      </c>
      <c r="E4422" s="9" t="s">
        <v>30</v>
      </c>
      <c r="F4422" s="7">
        <v>23</v>
      </c>
      <c r="G4422" s="7">
        <v>2296.7600000000002</v>
      </c>
      <c r="H4422" s="7">
        <v>0.01</v>
      </c>
      <c r="I4422" s="9" t="s">
        <v>22</v>
      </c>
      <c r="J4422" s="10">
        <v>241.15</v>
      </c>
      <c r="K4422" s="11">
        <v>99.99</v>
      </c>
      <c r="L4422" s="11">
        <v>19.989999999999998</v>
      </c>
      <c r="M4422" s="9" t="s">
        <v>1385</v>
      </c>
      <c r="N4422" s="6" t="s">
        <v>1123</v>
      </c>
      <c r="O4422" s="6" t="s">
        <v>1123</v>
      </c>
      <c r="P4422" s="9" t="s">
        <v>60</v>
      </c>
      <c r="Q4422" s="9" t="s">
        <v>42</v>
      </c>
      <c r="R4422" s="9" t="s">
        <v>70</v>
      </c>
      <c r="S4422" s="7" t="s">
        <v>337</v>
      </c>
      <c r="T4422" s="9" t="s">
        <v>39</v>
      </c>
      <c r="U4422" s="7">
        <v>0.52</v>
      </c>
      <c r="V4422" s="12">
        <f>C4422+2</f>
        <v>40791</v>
      </c>
      <c r="W4422">
        <f>IF(D4422=' Pivot Tables'!$A$4,1,0)</f>
        <v>0</v>
      </c>
      <c r="X4422">
        <f>IF(AND(LEFT(D4422,4)+1=LEFT(' Pivot Tables'!$A$4,4)+0,RIGHT(LEFT(D4422,7),2)=RIGHT(LEFT(' Pivot Tables'!$A$4,7),2)),1,0)</f>
        <v>0</v>
      </c>
      <c r="Y4422" s="6">
        <f>1/COUNTIF(Таблица1[Order ID],Таблица1[[#This Row],[Order ID]])</f>
        <v>0.5</v>
      </c>
      <c r="Z4422" s="9">
        <f>1/COUNTIFS(Таблица1[Customer Name],Таблица1[[#This Row],[Customer Name]],Таблица1[Order-Year-Month],Таблица1[[#This Row],[Order-Year-Month]])</f>
        <v>0.5</v>
      </c>
    </row>
    <row r="4423" spans="1:26" x14ac:dyDescent="0.2">
      <c r="A4423" s="6">
        <v>5957</v>
      </c>
      <c r="B4423" s="7">
        <v>42274</v>
      </c>
      <c r="C4423" s="8">
        <f>DATE(2012,12,31)-485</f>
        <v>40789</v>
      </c>
      <c r="D4423" s="8" t="str">
        <f t="shared" si="82"/>
        <v>2011-09 (сентябрь 2011)</v>
      </c>
      <c r="E4423" s="9" t="s">
        <v>30</v>
      </c>
      <c r="F4423" s="7">
        <v>45</v>
      </c>
      <c r="G4423" s="7">
        <v>508.49</v>
      </c>
      <c r="H4423" s="7">
        <v>0.1</v>
      </c>
      <c r="I4423" s="9" t="s">
        <v>56</v>
      </c>
      <c r="J4423" s="10">
        <v>-28.81</v>
      </c>
      <c r="K4423" s="11">
        <v>12.07</v>
      </c>
      <c r="L4423" s="11">
        <v>6.2</v>
      </c>
      <c r="M4423" s="9" t="s">
        <v>1385</v>
      </c>
      <c r="N4423" s="6" t="s">
        <v>1123</v>
      </c>
      <c r="O4423" s="6" t="s">
        <v>1123</v>
      </c>
      <c r="P4423" s="9" t="s">
        <v>60</v>
      </c>
      <c r="Q4423" s="9" t="s">
        <v>49</v>
      </c>
      <c r="R4423" s="9" t="s">
        <v>50</v>
      </c>
      <c r="S4423" s="7" t="s">
        <v>1790</v>
      </c>
      <c r="T4423" s="9" t="s">
        <v>68</v>
      </c>
      <c r="U4423" s="7">
        <v>0.52</v>
      </c>
      <c r="V4423" s="12">
        <f>C4423+2</f>
        <v>40791</v>
      </c>
      <c r="W4423">
        <f>IF(D4423=' Pivot Tables'!$A$4,1,0)</f>
        <v>0</v>
      </c>
      <c r="X4423">
        <f>IF(AND(LEFT(D4423,4)+1=LEFT(' Pivot Tables'!$A$4,4)+0,RIGHT(LEFT(D4423,7),2)=RIGHT(LEFT(' Pivot Tables'!$A$4,7),2)),1,0)</f>
        <v>0</v>
      </c>
      <c r="Y4423" s="6">
        <f>1/COUNTIF(Таблица1[Order ID],Таблица1[[#This Row],[Order ID]])</f>
        <v>0.5</v>
      </c>
      <c r="Z4423" s="9">
        <f>1/COUNTIFS(Таблица1[Customer Name],Таблица1[[#This Row],[Customer Name]],Таблица1[Order-Year-Month],Таблица1[[#This Row],[Order-Year-Month]])</f>
        <v>0.5</v>
      </c>
    </row>
    <row r="4424" spans="1:26" x14ac:dyDescent="0.2">
      <c r="A4424" s="6">
        <v>6048</v>
      </c>
      <c r="B4424" s="7">
        <v>42882</v>
      </c>
      <c r="C4424" s="8">
        <f>DATE(2012,12,31)-796</f>
        <v>40478</v>
      </c>
      <c r="D4424" s="8" t="str">
        <f t="shared" si="82"/>
        <v>2010-10 (октябрь 2010)</v>
      </c>
      <c r="E4424" s="9" t="s">
        <v>21</v>
      </c>
      <c r="F4424" s="7">
        <v>17</v>
      </c>
      <c r="G4424" s="7">
        <v>204.07</v>
      </c>
      <c r="H4424" s="7">
        <v>0.08</v>
      </c>
      <c r="I4424" s="9" t="s">
        <v>56</v>
      </c>
      <c r="J4424" s="10">
        <v>-22.55</v>
      </c>
      <c r="K4424" s="11">
        <v>11.97</v>
      </c>
      <c r="L4424" s="11">
        <v>4.9800000000000004</v>
      </c>
      <c r="M4424" s="9" t="s">
        <v>1410</v>
      </c>
      <c r="N4424" s="6" t="s">
        <v>1123</v>
      </c>
      <c r="O4424" s="6" t="s">
        <v>1123</v>
      </c>
      <c r="P4424" s="9" t="s">
        <v>60</v>
      </c>
      <c r="Q4424" s="9" t="s">
        <v>26</v>
      </c>
      <c r="R4424" s="9" t="s">
        <v>34</v>
      </c>
      <c r="S4424" s="7" t="s">
        <v>274</v>
      </c>
      <c r="T4424" s="9" t="s">
        <v>39</v>
      </c>
      <c r="U4424" s="7">
        <v>0.57999999999999996</v>
      </c>
      <c r="V4424" s="12">
        <f>C4424+2</f>
        <v>40480</v>
      </c>
      <c r="W4424">
        <f>IF(D4424=' Pivot Tables'!$A$4,1,0)</f>
        <v>0</v>
      </c>
      <c r="X4424">
        <f>IF(AND(LEFT(D4424,4)+1=LEFT(' Pivot Tables'!$A$4,4)+0,RIGHT(LEFT(D4424,7),2)=RIGHT(LEFT(' Pivot Tables'!$A$4,7),2)),1,0)</f>
        <v>0</v>
      </c>
      <c r="Y4424" s="6">
        <f>1/COUNTIF(Таблица1[Order ID],Таблица1[[#This Row],[Order ID]])</f>
        <v>1</v>
      </c>
      <c r="Z4424" s="9">
        <f>1/COUNTIFS(Таблица1[Customer Name],Таблица1[[#This Row],[Customer Name]],Таблица1[Order-Year-Month],Таблица1[[#This Row],[Order-Year-Month]])</f>
        <v>1</v>
      </c>
    </row>
    <row r="4425" spans="1:26" x14ac:dyDescent="0.2">
      <c r="A4425" s="6">
        <v>6121</v>
      </c>
      <c r="B4425" s="7">
        <v>43360</v>
      </c>
      <c r="C4425" s="8">
        <f>DATE(2012,12,31)-1175</f>
        <v>40099</v>
      </c>
      <c r="D4425" s="8" t="str">
        <f t="shared" si="82"/>
        <v>2009-10 (октябрь 2009)</v>
      </c>
      <c r="E4425" s="9" t="s">
        <v>21</v>
      </c>
      <c r="F4425" s="7">
        <v>48</v>
      </c>
      <c r="G4425" s="7">
        <v>112.16</v>
      </c>
      <c r="H4425" s="7">
        <v>0</v>
      </c>
      <c r="I4425" s="9" t="s">
        <v>22</v>
      </c>
      <c r="J4425" s="10">
        <v>-178.29</v>
      </c>
      <c r="K4425" s="11">
        <v>2.08</v>
      </c>
      <c r="L4425" s="11">
        <v>5.33</v>
      </c>
      <c r="M4425" s="9" t="s">
        <v>1779</v>
      </c>
      <c r="N4425" s="6" t="s">
        <v>1123</v>
      </c>
      <c r="O4425" s="6" t="s">
        <v>1123</v>
      </c>
      <c r="P4425" s="9" t="s">
        <v>60</v>
      </c>
      <c r="Q4425" s="9" t="s">
        <v>49</v>
      </c>
      <c r="R4425" s="9" t="s">
        <v>50</v>
      </c>
      <c r="S4425" s="7" t="s">
        <v>216</v>
      </c>
      <c r="T4425" s="9" t="s">
        <v>39</v>
      </c>
      <c r="U4425" s="7">
        <v>0.43</v>
      </c>
      <c r="V4425" s="12">
        <f>C4425+7</f>
        <v>40106</v>
      </c>
      <c r="W4425">
        <f>IF(D4425=' Pivot Tables'!$A$4,1,0)</f>
        <v>0</v>
      </c>
      <c r="X4425">
        <f>IF(AND(LEFT(D4425,4)+1=LEFT(' Pivot Tables'!$A$4,4)+0,RIGHT(LEFT(D4425,7),2)=RIGHT(LEFT(' Pivot Tables'!$A$4,7),2)),1,0)</f>
        <v>0</v>
      </c>
      <c r="Y4425" s="6">
        <f>1/COUNTIF(Таблица1[Order ID],Таблица1[[#This Row],[Order ID]])</f>
        <v>1</v>
      </c>
      <c r="Z4425" s="9">
        <f>1/COUNTIFS(Таблица1[Customer Name],Таблица1[[#This Row],[Customer Name]],Таблица1[Order-Year-Month],Таблица1[[#This Row],[Order-Year-Month]])</f>
        <v>1</v>
      </c>
    </row>
    <row r="4426" spans="1:26" x14ac:dyDescent="0.2">
      <c r="A4426" s="6">
        <v>6167</v>
      </c>
      <c r="B4426" s="7">
        <v>43713</v>
      </c>
      <c r="C4426" s="8">
        <f>DATE(2012,12,31)-115</f>
        <v>41159</v>
      </c>
      <c r="D4426" s="8" t="str">
        <f t="shared" si="82"/>
        <v>2012-09 (сентябрь 2012)</v>
      </c>
      <c r="E4426" s="9" t="s">
        <v>63</v>
      </c>
      <c r="F4426" s="7">
        <v>12</v>
      </c>
      <c r="G4426" s="7">
        <v>34.409999999999997</v>
      </c>
      <c r="H4426" s="7">
        <v>0.05</v>
      </c>
      <c r="I4426" s="9" t="s">
        <v>22</v>
      </c>
      <c r="J4426" s="10">
        <v>-17.690000000000001</v>
      </c>
      <c r="K4426" s="11">
        <v>2.6</v>
      </c>
      <c r="L4426" s="11">
        <v>2.4</v>
      </c>
      <c r="M4426" s="9" t="s">
        <v>1759</v>
      </c>
      <c r="N4426" s="6" t="s">
        <v>1123</v>
      </c>
      <c r="O4426" s="6" t="s">
        <v>1123</v>
      </c>
      <c r="P4426" s="9" t="s">
        <v>25</v>
      </c>
      <c r="Q4426" s="9" t="s">
        <v>26</v>
      </c>
      <c r="R4426" s="9" t="s">
        <v>95</v>
      </c>
      <c r="S4426" s="7" t="s">
        <v>393</v>
      </c>
      <c r="T4426" s="9" t="s">
        <v>68</v>
      </c>
      <c r="U4426" s="7">
        <v>0.57999999999999996</v>
      </c>
      <c r="V4426" s="12">
        <f>C4426+2</f>
        <v>41161</v>
      </c>
      <c r="W4426">
        <f>IF(D4426=' Pivot Tables'!$A$4,1,0)</f>
        <v>0</v>
      </c>
      <c r="X4426">
        <f>IF(AND(LEFT(D4426,4)+1=LEFT(' Pivot Tables'!$A$4,4)+0,RIGHT(LEFT(D4426,7),2)=RIGHT(LEFT(' Pivot Tables'!$A$4,7),2)),1,0)</f>
        <v>0</v>
      </c>
      <c r="Y4426" s="6">
        <f>1/COUNTIF(Таблица1[Order ID],Таблица1[[#This Row],[Order ID]])</f>
        <v>1</v>
      </c>
      <c r="Z4426" s="9">
        <f>1/COUNTIFS(Таблица1[Customer Name],Таблица1[[#This Row],[Customer Name]],Таблица1[Order-Year-Month],Таблица1[[#This Row],[Order-Year-Month]])</f>
        <v>1</v>
      </c>
    </row>
    <row r="4427" spans="1:26" x14ac:dyDescent="0.2">
      <c r="A4427" s="6">
        <v>6262</v>
      </c>
      <c r="B4427" s="7">
        <v>44322</v>
      </c>
      <c r="C4427" s="8">
        <f>DATE(2012,12,31)-446</f>
        <v>40828</v>
      </c>
      <c r="D4427" s="8" t="str">
        <f t="shared" si="82"/>
        <v>2011-10 (октябрь 2011)</v>
      </c>
      <c r="E4427" s="9" t="s">
        <v>45</v>
      </c>
      <c r="F4427" s="7">
        <v>15</v>
      </c>
      <c r="G4427" s="7">
        <v>600.79999999999995</v>
      </c>
      <c r="H4427" s="7">
        <v>0.1</v>
      </c>
      <c r="I4427" s="9" t="s">
        <v>22</v>
      </c>
      <c r="J4427" s="10">
        <v>43.55</v>
      </c>
      <c r="K4427" s="11">
        <v>42.76</v>
      </c>
      <c r="L4427" s="11">
        <v>6.22</v>
      </c>
      <c r="M4427" s="9" t="s">
        <v>1779</v>
      </c>
      <c r="N4427" s="6" t="s">
        <v>1123</v>
      </c>
      <c r="O4427" s="6" t="s">
        <v>1123</v>
      </c>
      <c r="P4427" s="9" t="s">
        <v>60</v>
      </c>
      <c r="Q4427" s="9" t="s">
        <v>26</v>
      </c>
      <c r="R4427" s="9" t="s">
        <v>27</v>
      </c>
      <c r="S4427" s="7" t="s">
        <v>55</v>
      </c>
      <c r="T4427" s="9" t="s">
        <v>39</v>
      </c>
      <c r="U4427" s="7"/>
      <c r="V4427" s="12">
        <f>C4427+2</f>
        <v>40830</v>
      </c>
      <c r="W4427">
        <f>IF(D4427=' Pivot Tables'!$A$4,1,0)</f>
        <v>0</v>
      </c>
      <c r="X4427">
        <f>IF(AND(LEFT(D4427,4)+1=LEFT(' Pivot Tables'!$A$4,4)+0,RIGHT(LEFT(D4427,7),2)=RIGHT(LEFT(' Pivot Tables'!$A$4,7),2)),1,0)</f>
        <v>0</v>
      </c>
      <c r="Y4427" s="6">
        <f>1/COUNTIF(Таблица1[Order ID],Таблица1[[#This Row],[Order ID]])</f>
        <v>1</v>
      </c>
      <c r="Z4427" s="9">
        <f>1/COUNTIFS(Таблица1[Customer Name],Таблица1[[#This Row],[Customer Name]],Таблица1[Order-Year-Month],Таблица1[[#This Row],[Order-Year-Month]])</f>
        <v>1</v>
      </c>
    </row>
    <row r="4428" spans="1:26" x14ac:dyDescent="0.2">
      <c r="A4428" s="6">
        <v>6297</v>
      </c>
      <c r="B4428" s="7">
        <v>44579</v>
      </c>
      <c r="C4428" s="8">
        <f>DATE(2012,12,31)-577</f>
        <v>40697</v>
      </c>
      <c r="D4428" s="8" t="str">
        <f t="shared" si="82"/>
        <v>2011-06 (июнь 2011)</v>
      </c>
      <c r="E4428" s="9" t="s">
        <v>45</v>
      </c>
      <c r="F4428" s="7">
        <v>19</v>
      </c>
      <c r="G4428" s="7">
        <v>3896.39</v>
      </c>
      <c r="H4428" s="7">
        <v>0.1</v>
      </c>
      <c r="I4428" s="9" t="s">
        <v>22</v>
      </c>
      <c r="J4428" s="10">
        <v>755.28</v>
      </c>
      <c r="K4428" s="11">
        <v>218.08</v>
      </c>
      <c r="L4428" s="11">
        <v>18.059999999999999</v>
      </c>
      <c r="M4428" s="9" t="s">
        <v>1791</v>
      </c>
      <c r="N4428" s="6" t="s">
        <v>1123</v>
      </c>
      <c r="O4428" s="6" t="s">
        <v>1123</v>
      </c>
      <c r="P4428" s="9" t="s">
        <v>25</v>
      </c>
      <c r="Q4428" s="9" t="s">
        <v>49</v>
      </c>
      <c r="R4428" s="9" t="s">
        <v>112</v>
      </c>
      <c r="S4428" s="7" t="s">
        <v>186</v>
      </c>
      <c r="T4428" s="9" t="s">
        <v>29</v>
      </c>
      <c r="U4428" s="7">
        <v>0.56999999999999995</v>
      </c>
      <c r="V4428" s="12">
        <f>C4428+1</f>
        <v>40698</v>
      </c>
      <c r="W4428">
        <f>IF(D4428=' Pivot Tables'!$A$4,1,0)</f>
        <v>0</v>
      </c>
      <c r="X4428">
        <f>IF(AND(LEFT(D4428,4)+1=LEFT(' Pivot Tables'!$A$4,4)+0,RIGHT(LEFT(D4428,7),2)=RIGHT(LEFT(' Pivot Tables'!$A$4,7),2)),1,0)</f>
        <v>0</v>
      </c>
      <c r="Y4428" s="6">
        <f>1/COUNTIF(Таблица1[Order ID],Таблица1[[#This Row],[Order ID]])</f>
        <v>1</v>
      </c>
      <c r="Z4428" s="9">
        <f>1/COUNTIFS(Таблица1[Customer Name],Таблица1[[#This Row],[Customer Name]],Таблица1[Order-Year-Month],Таблица1[[#This Row],[Order-Year-Month]])</f>
        <v>1</v>
      </c>
    </row>
    <row r="4429" spans="1:26" x14ac:dyDescent="0.2">
      <c r="A4429" s="6">
        <v>6320</v>
      </c>
      <c r="B4429" s="7">
        <v>44737</v>
      </c>
      <c r="C4429" s="8">
        <f>DATE(2012,12,31)-42</f>
        <v>41232</v>
      </c>
      <c r="D4429" s="8" t="str">
        <f t="shared" si="82"/>
        <v>2012-11 (ноябрь 2012)</v>
      </c>
      <c r="E4429" s="9" t="s">
        <v>63</v>
      </c>
      <c r="F4429" s="7">
        <v>11</v>
      </c>
      <c r="G4429" s="7">
        <v>773.74</v>
      </c>
      <c r="H4429" s="7">
        <v>0.02</v>
      </c>
      <c r="I4429" s="9" t="s">
        <v>22</v>
      </c>
      <c r="J4429" s="10">
        <v>-309.48</v>
      </c>
      <c r="K4429" s="11">
        <v>64.650000000000006</v>
      </c>
      <c r="L4429" s="11">
        <v>35</v>
      </c>
      <c r="M4429" s="9" t="s">
        <v>1171</v>
      </c>
      <c r="N4429" s="6" t="s">
        <v>1123</v>
      </c>
      <c r="O4429" s="6" t="s">
        <v>1123</v>
      </c>
      <c r="P4429" s="9" t="s">
        <v>60</v>
      </c>
      <c r="Q4429" s="9" t="s">
        <v>26</v>
      </c>
      <c r="R4429" s="9" t="s">
        <v>27</v>
      </c>
      <c r="S4429" s="7" t="s">
        <v>1060</v>
      </c>
      <c r="T4429" s="9" t="s">
        <v>29</v>
      </c>
      <c r="U4429" s="7">
        <v>0.8</v>
      </c>
      <c r="V4429" s="12">
        <f>C4429+1</f>
        <v>41233</v>
      </c>
      <c r="W4429">
        <f>IF(D4429=' Pivot Tables'!$A$4,1,0)</f>
        <v>0</v>
      </c>
      <c r="X4429">
        <f>IF(AND(LEFT(D4429,4)+1=LEFT(' Pivot Tables'!$A$4,4)+0,RIGHT(LEFT(D4429,7),2)=RIGHT(LEFT(' Pivot Tables'!$A$4,7),2)),1,0)</f>
        <v>0</v>
      </c>
      <c r="Y4429" s="6">
        <f>1/COUNTIF(Таблица1[Order ID],Таблица1[[#This Row],[Order ID]])</f>
        <v>0.5</v>
      </c>
      <c r="Z4429" s="9">
        <f>1/COUNTIFS(Таблица1[Customer Name],Таблица1[[#This Row],[Customer Name]],Таблица1[Order-Year-Month],Таблица1[[#This Row],[Order-Year-Month]])</f>
        <v>0.5</v>
      </c>
    </row>
    <row r="4430" spans="1:26" x14ac:dyDescent="0.2">
      <c r="A4430" s="6">
        <v>6321</v>
      </c>
      <c r="B4430" s="7">
        <v>44737</v>
      </c>
      <c r="C4430" s="8">
        <f>DATE(2012,12,31)-42</f>
        <v>41232</v>
      </c>
      <c r="D4430" s="8" t="str">
        <f t="shared" si="82"/>
        <v>2012-11 (ноябрь 2012)</v>
      </c>
      <c r="E4430" s="9" t="s">
        <v>63</v>
      </c>
      <c r="F4430" s="7">
        <v>16</v>
      </c>
      <c r="G4430" s="7">
        <v>302.13249999999999</v>
      </c>
      <c r="H4430" s="7">
        <v>0.02</v>
      </c>
      <c r="I4430" s="9" t="s">
        <v>22</v>
      </c>
      <c r="J4430" s="10">
        <v>38.906999999999996</v>
      </c>
      <c r="K4430" s="11">
        <v>20.99</v>
      </c>
      <c r="L4430" s="11">
        <v>0.99</v>
      </c>
      <c r="M4430" s="9" t="s">
        <v>1171</v>
      </c>
      <c r="N4430" s="6" t="s">
        <v>1123</v>
      </c>
      <c r="O4430" s="6" t="s">
        <v>1123</v>
      </c>
      <c r="P4430" s="9" t="s">
        <v>60</v>
      </c>
      <c r="Q4430" s="9" t="s">
        <v>42</v>
      </c>
      <c r="R4430" s="9" t="s">
        <v>43</v>
      </c>
      <c r="S4430" s="7" t="s">
        <v>837</v>
      </c>
      <c r="T4430" s="9" t="s">
        <v>68</v>
      </c>
      <c r="U4430" s="7">
        <v>0.56999999999999995</v>
      </c>
      <c r="V4430" s="12">
        <f>C4430+2</f>
        <v>41234</v>
      </c>
      <c r="W4430">
        <f>IF(D4430=' Pivot Tables'!$A$4,1,0)</f>
        <v>0</v>
      </c>
      <c r="X4430">
        <f>IF(AND(LEFT(D4430,4)+1=LEFT(' Pivot Tables'!$A$4,4)+0,RIGHT(LEFT(D4430,7),2)=RIGHT(LEFT(' Pivot Tables'!$A$4,7),2)),1,0)</f>
        <v>0</v>
      </c>
      <c r="Y4430" s="6">
        <f>1/COUNTIF(Таблица1[Order ID],Таблица1[[#This Row],[Order ID]])</f>
        <v>0.5</v>
      </c>
      <c r="Z4430" s="9">
        <f>1/COUNTIFS(Таблица1[Customer Name],Таблица1[[#This Row],[Customer Name]],Таблица1[Order-Year-Month],Таблица1[[#This Row],[Order-Year-Month]])</f>
        <v>0.5</v>
      </c>
    </row>
    <row r="4431" spans="1:26" x14ac:dyDescent="0.2">
      <c r="A4431" s="6">
        <v>6322</v>
      </c>
      <c r="B4431" s="7">
        <v>44738</v>
      </c>
      <c r="C4431" s="8">
        <f>DATE(2012,12,31)-757</f>
        <v>40517</v>
      </c>
      <c r="D4431" s="8" t="str">
        <f t="shared" si="82"/>
        <v>2010-12 (декабрь 2010)</v>
      </c>
      <c r="E4431" s="9" t="s">
        <v>45</v>
      </c>
      <c r="F4431" s="7">
        <v>34</v>
      </c>
      <c r="G4431" s="7">
        <v>75.569999999999993</v>
      </c>
      <c r="H4431" s="7">
        <v>0.02</v>
      </c>
      <c r="I4431" s="9" t="s">
        <v>22</v>
      </c>
      <c r="J4431" s="10">
        <v>6.87</v>
      </c>
      <c r="K4431" s="11">
        <v>2.1</v>
      </c>
      <c r="L4431" s="11">
        <v>0.7</v>
      </c>
      <c r="M4431" s="9" t="s">
        <v>1779</v>
      </c>
      <c r="N4431" s="6" t="s">
        <v>1123</v>
      </c>
      <c r="O4431" s="6" t="s">
        <v>1123</v>
      </c>
      <c r="P4431" s="9" t="s">
        <v>60</v>
      </c>
      <c r="Q4431" s="9" t="s">
        <v>26</v>
      </c>
      <c r="R4431" s="9" t="s">
        <v>95</v>
      </c>
      <c r="S4431" s="7" t="s">
        <v>1703</v>
      </c>
      <c r="T4431" s="9" t="s">
        <v>68</v>
      </c>
      <c r="U4431" s="7">
        <v>0.56999999999999995</v>
      </c>
      <c r="V4431" s="12">
        <f>C4431+2</f>
        <v>40519</v>
      </c>
      <c r="W4431">
        <f>IF(D4431=' Pivot Tables'!$A$4,1,0)</f>
        <v>0</v>
      </c>
      <c r="X4431">
        <f>IF(AND(LEFT(D4431,4)+1=LEFT(' Pivot Tables'!$A$4,4)+0,RIGHT(LEFT(D4431,7),2)=RIGHT(LEFT(' Pivot Tables'!$A$4,7),2)),1,0)</f>
        <v>0</v>
      </c>
      <c r="Y4431" s="6">
        <f>1/COUNTIF(Таблица1[Order ID],Таблица1[[#This Row],[Order ID]])</f>
        <v>1</v>
      </c>
      <c r="Z4431" s="9">
        <f>1/COUNTIFS(Таблица1[Customer Name],Таблица1[[#This Row],[Customer Name]],Таблица1[Order-Year-Month],Таблица1[[#This Row],[Order-Year-Month]])</f>
        <v>0.33333333333333331</v>
      </c>
    </row>
    <row r="4432" spans="1:26" x14ac:dyDescent="0.2">
      <c r="A4432" s="6">
        <v>6323</v>
      </c>
      <c r="B4432" s="7">
        <v>44768</v>
      </c>
      <c r="C4432" s="8">
        <f>DATE(2012,12,31)-219</f>
        <v>41055</v>
      </c>
      <c r="D4432" s="8" t="str">
        <f t="shared" si="82"/>
        <v>2012-05 (май 2012)</v>
      </c>
      <c r="E4432" s="9" t="s">
        <v>45</v>
      </c>
      <c r="F4432" s="7">
        <v>45</v>
      </c>
      <c r="G4432" s="7">
        <v>16699.560000000001</v>
      </c>
      <c r="H4432" s="7">
        <v>0.02</v>
      </c>
      <c r="I4432" s="9" t="s">
        <v>31</v>
      </c>
      <c r="J4432" s="10">
        <v>3083.98</v>
      </c>
      <c r="K4432" s="11">
        <v>355.98</v>
      </c>
      <c r="L4432" s="11">
        <v>58.92</v>
      </c>
      <c r="M4432" s="9" t="s">
        <v>910</v>
      </c>
      <c r="N4432" s="6" t="s">
        <v>1123</v>
      </c>
      <c r="O4432" s="6" t="s">
        <v>1123</v>
      </c>
      <c r="P4432" s="9" t="s">
        <v>41</v>
      </c>
      <c r="Q4432" s="9" t="s">
        <v>49</v>
      </c>
      <c r="R4432" s="9" t="s">
        <v>112</v>
      </c>
      <c r="S4432" s="7" t="s">
        <v>253</v>
      </c>
      <c r="T4432" s="9" t="s">
        <v>36</v>
      </c>
      <c r="U4432" s="7">
        <v>0.64</v>
      </c>
      <c r="V4432" s="12">
        <f>C4432+1</f>
        <v>41056</v>
      </c>
      <c r="W4432">
        <f>IF(D4432=' Pivot Tables'!$A$4,1,0)</f>
        <v>0</v>
      </c>
      <c r="X4432">
        <f>IF(AND(LEFT(D4432,4)+1=LEFT(' Pivot Tables'!$A$4,4)+0,RIGHT(LEFT(D4432,7),2)=RIGHT(LEFT(' Pivot Tables'!$A$4,7),2)),1,0)</f>
        <v>0</v>
      </c>
      <c r="Y4432" s="6">
        <f>1/COUNTIF(Таблица1[Order ID],Таблица1[[#This Row],[Order ID]])</f>
        <v>1</v>
      </c>
      <c r="Z4432" s="9">
        <f>1/COUNTIFS(Таблица1[Customer Name],Таблица1[[#This Row],[Customer Name]],Таблица1[Order-Year-Month],Таблица1[[#This Row],[Order-Year-Month]])</f>
        <v>1</v>
      </c>
    </row>
    <row r="4433" spans="1:26" x14ac:dyDescent="0.2">
      <c r="A4433" s="6">
        <v>6332</v>
      </c>
      <c r="B4433" s="7">
        <v>44867</v>
      </c>
      <c r="C4433" s="8">
        <f>DATE(2012,12,31)-1254</f>
        <v>40020</v>
      </c>
      <c r="D4433" s="8" t="str">
        <f t="shared" si="82"/>
        <v>2009-07 (июль 2009)</v>
      </c>
      <c r="E4433" s="9" t="s">
        <v>30</v>
      </c>
      <c r="F4433" s="7">
        <v>40</v>
      </c>
      <c r="G4433" s="7">
        <v>21425.91</v>
      </c>
      <c r="H4433" s="7">
        <v>0.01</v>
      </c>
      <c r="I4433" s="9" t="s">
        <v>31</v>
      </c>
      <c r="J4433" s="10">
        <v>7360.43</v>
      </c>
      <c r="K4433" s="11">
        <v>500.98</v>
      </c>
      <c r="L4433" s="11">
        <v>26</v>
      </c>
      <c r="M4433" s="9" t="s">
        <v>1779</v>
      </c>
      <c r="N4433" s="6" t="s">
        <v>1123</v>
      </c>
      <c r="O4433" s="6" t="s">
        <v>1123</v>
      </c>
      <c r="P4433" s="9" t="s">
        <v>60</v>
      </c>
      <c r="Q4433" s="9" t="s">
        <v>49</v>
      </c>
      <c r="R4433" s="9" t="s">
        <v>112</v>
      </c>
      <c r="S4433" s="7" t="s">
        <v>119</v>
      </c>
      <c r="T4433" s="9" t="s">
        <v>36</v>
      </c>
      <c r="U4433" s="7">
        <v>0.6</v>
      </c>
      <c r="V4433" s="12">
        <f>C4433+2</f>
        <v>40022</v>
      </c>
      <c r="W4433">
        <f>IF(D4433=' Pivot Tables'!$A$4,1,0)</f>
        <v>0</v>
      </c>
      <c r="X4433">
        <f>IF(AND(LEFT(D4433,4)+1=LEFT(' Pivot Tables'!$A$4,4)+0,RIGHT(LEFT(D4433,7),2)=RIGHT(LEFT(' Pivot Tables'!$A$4,7),2)),1,0)</f>
        <v>0</v>
      </c>
      <c r="Y4433" s="6">
        <f>1/COUNTIF(Таблица1[Order ID],Таблица1[[#This Row],[Order ID]])</f>
        <v>1</v>
      </c>
      <c r="Z4433" s="9">
        <f>1/COUNTIFS(Таблица1[Customer Name],Таблица1[[#This Row],[Customer Name]],Таблица1[Order-Year-Month],Таблица1[[#This Row],[Order-Year-Month]])</f>
        <v>1</v>
      </c>
    </row>
    <row r="4434" spans="1:26" x14ac:dyDescent="0.2">
      <c r="A4434" s="6">
        <v>6352</v>
      </c>
      <c r="B4434" s="7">
        <v>45029</v>
      </c>
      <c r="C4434" s="8">
        <f>DATE(2012,12,31)-912</f>
        <v>40362</v>
      </c>
      <c r="D4434" s="8" t="str">
        <f t="shared" si="82"/>
        <v>2010-07 (июль 2010)</v>
      </c>
      <c r="E4434" s="9" t="s">
        <v>30</v>
      </c>
      <c r="F4434" s="7">
        <v>20</v>
      </c>
      <c r="G4434" s="7">
        <v>5304.42</v>
      </c>
      <c r="H4434" s="7">
        <v>0.01</v>
      </c>
      <c r="I4434" s="9" t="s">
        <v>31</v>
      </c>
      <c r="J4434" s="10">
        <v>-633.44123700000023</v>
      </c>
      <c r="K4434" s="11">
        <v>262.11</v>
      </c>
      <c r="L4434" s="11">
        <v>62.74</v>
      </c>
      <c r="M4434" s="9" t="s">
        <v>1610</v>
      </c>
      <c r="N4434" s="6" t="s">
        <v>1123</v>
      </c>
      <c r="O4434" s="6" t="s">
        <v>1123</v>
      </c>
      <c r="P4434" s="9" t="s">
        <v>33</v>
      </c>
      <c r="Q4434" s="9" t="s">
        <v>49</v>
      </c>
      <c r="R4434" s="9" t="s">
        <v>83</v>
      </c>
      <c r="S4434" s="7" t="s">
        <v>191</v>
      </c>
      <c r="T4434" s="9" t="s">
        <v>82</v>
      </c>
      <c r="U4434" s="7">
        <v>0.75</v>
      </c>
      <c r="V4434" s="12">
        <f>C4434+0</f>
        <v>40362</v>
      </c>
      <c r="W4434">
        <f>IF(D4434=' Pivot Tables'!$A$4,1,0)</f>
        <v>0</v>
      </c>
      <c r="X4434">
        <f>IF(AND(LEFT(D4434,4)+1=LEFT(' Pivot Tables'!$A$4,4)+0,RIGHT(LEFT(D4434,7),2)=RIGHT(LEFT(' Pivot Tables'!$A$4,7),2)),1,0)</f>
        <v>0</v>
      </c>
      <c r="Y4434" s="6">
        <f>1/COUNTIF(Таблица1[Order ID],Таблица1[[#This Row],[Order ID]])</f>
        <v>1</v>
      </c>
      <c r="Z4434" s="9">
        <f>1/COUNTIFS(Таблица1[Customer Name],Таблица1[[#This Row],[Customer Name]],Таблица1[Order-Year-Month],Таблица1[[#This Row],[Order-Year-Month]])</f>
        <v>1</v>
      </c>
    </row>
    <row r="4435" spans="1:26" x14ac:dyDescent="0.2">
      <c r="A4435" s="6">
        <v>6410</v>
      </c>
      <c r="B4435" s="7">
        <v>45543</v>
      </c>
      <c r="C4435" s="8">
        <f>DATE(2012,12,31)-698</f>
        <v>40576</v>
      </c>
      <c r="D4435" s="8" t="str">
        <f t="shared" si="82"/>
        <v>2011-02 (февраль 2011)</v>
      </c>
      <c r="E4435" s="9" t="s">
        <v>21</v>
      </c>
      <c r="F4435" s="7">
        <v>16</v>
      </c>
      <c r="G4435" s="7">
        <v>1223.43</v>
      </c>
      <c r="H4435" s="7">
        <v>0.01</v>
      </c>
      <c r="I4435" s="9" t="s">
        <v>31</v>
      </c>
      <c r="J4435" s="10">
        <v>-1615.5854000000002</v>
      </c>
      <c r="K4435" s="11">
        <v>70.89</v>
      </c>
      <c r="L4435" s="11">
        <v>89.3</v>
      </c>
      <c r="M4435" s="9" t="s">
        <v>1797</v>
      </c>
      <c r="N4435" s="6" t="s">
        <v>1123</v>
      </c>
      <c r="O4435" s="6" t="s">
        <v>1123</v>
      </c>
      <c r="P4435" s="9" t="s">
        <v>41</v>
      </c>
      <c r="Q4435" s="9" t="s">
        <v>49</v>
      </c>
      <c r="R4435" s="9" t="s">
        <v>83</v>
      </c>
      <c r="S4435" s="7" t="s">
        <v>1071</v>
      </c>
      <c r="T4435" s="9" t="s">
        <v>82</v>
      </c>
      <c r="U4435" s="7">
        <v>0.69</v>
      </c>
      <c r="V4435" s="12">
        <f>C4435+4</f>
        <v>40580</v>
      </c>
      <c r="W4435">
        <f>IF(D4435=' Pivot Tables'!$A$4,1,0)</f>
        <v>0</v>
      </c>
      <c r="X4435">
        <f>IF(AND(LEFT(D4435,4)+1=LEFT(' Pivot Tables'!$A$4,4)+0,RIGHT(LEFT(D4435,7),2)=RIGHT(LEFT(' Pivot Tables'!$A$4,7),2)),1,0)</f>
        <v>0</v>
      </c>
      <c r="Y4435" s="6">
        <f>1/COUNTIF(Таблица1[Order ID],Таблица1[[#This Row],[Order ID]])</f>
        <v>1</v>
      </c>
      <c r="Z4435" s="9">
        <f>1/COUNTIFS(Таблица1[Customer Name],Таблица1[[#This Row],[Customer Name]],Таблица1[Order-Year-Month],Таблица1[[#This Row],[Order-Year-Month]])</f>
        <v>1</v>
      </c>
    </row>
    <row r="4436" spans="1:26" x14ac:dyDescent="0.2">
      <c r="A4436" s="6">
        <v>6422</v>
      </c>
      <c r="B4436" s="7">
        <v>45635</v>
      </c>
      <c r="C4436" s="8">
        <f>DATE(2012,12,31)-268</f>
        <v>41006</v>
      </c>
      <c r="D4436" s="8" t="str">
        <f t="shared" si="82"/>
        <v>2012-04 (апрель 2012)</v>
      </c>
      <c r="E4436" s="9" t="s">
        <v>21</v>
      </c>
      <c r="F4436" s="7">
        <v>50</v>
      </c>
      <c r="G4436" s="7">
        <v>2018.68</v>
      </c>
      <c r="H4436" s="7">
        <v>0.1</v>
      </c>
      <c r="I4436" s="9" t="s">
        <v>22</v>
      </c>
      <c r="J4436" s="10">
        <v>731.72</v>
      </c>
      <c r="K4436" s="11">
        <v>43.98</v>
      </c>
      <c r="L4436" s="11">
        <v>1.99</v>
      </c>
      <c r="M4436" s="9" t="s">
        <v>1797</v>
      </c>
      <c r="N4436" s="6" t="s">
        <v>1123</v>
      </c>
      <c r="O4436" s="6" t="s">
        <v>1123</v>
      </c>
      <c r="P4436" s="9" t="s">
        <v>41</v>
      </c>
      <c r="Q4436" s="9" t="s">
        <v>42</v>
      </c>
      <c r="R4436" s="9" t="s">
        <v>70</v>
      </c>
      <c r="S4436" s="7" t="s">
        <v>246</v>
      </c>
      <c r="T4436" s="9" t="s">
        <v>52</v>
      </c>
      <c r="U4436" s="7">
        <v>0.44</v>
      </c>
      <c r="V4436" s="12">
        <f>C4436+9</f>
        <v>41015</v>
      </c>
      <c r="W4436">
        <f>IF(D4436=' Pivot Tables'!$A$4,1,0)</f>
        <v>0</v>
      </c>
      <c r="X4436">
        <f>IF(AND(LEFT(D4436,4)+1=LEFT(' Pivot Tables'!$A$4,4)+0,RIGHT(LEFT(D4436,7),2)=RIGHT(LEFT(' Pivot Tables'!$A$4,7),2)),1,0)</f>
        <v>0</v>
      </c>
      <c r="Y4436" s="6">
        <f>1/COUNTIF(Таблица1[Order ID],Таблица1[[#This Row],[Order ID]])</f>
        <v>1</v>
      </c>
      <c r="Z4436" s="9">
        <f>1/COUNTIFS(Таблица1[Customer Name],Таблица1[[#This Row],[Customer Name]],Таблица1[Order-Year-Month],Таблица1[[#This Row],[Order-Year-Month]])</f>
        <v>1</v>
      </c>
    </row>
    <row r="4437" spans="1:26" x14ac:dyDescent="0.2">
      <c r="A4437" s="6">
        <v>6525</v>
      </c>
      <c r="B4437" s="7">
        <v>46436</v>
      </c>
      <c r="C4437" s="8">
        <f>DATE(2012,12,31)-1367</f>
        <v>39907</v>
      </c>
      <c r="D4437" s="8" t="str">
        <f t="shared" si="82"/>
        <v>2009-04 (апрель 2009)</v>
      </c>
      <c r="E4437" s="9" t="s">
        <v>21</v>
      </c>
      <c r="F4437" s="7">
        <v>46</v>
      </c>
      <c r="G4437" s="7">
        <v>1477.5719999999999</v>
      </c>
      <c r="H4437" s="7">
        <v>0</v>
      </c>
      <c r="I4437" s="9" t="s">
        <v>22</v>
      </c>
      <c r="J4437" s="10">
        <v>840.05099999999993</v>
      </c>
      <c r="K4437" s="11">
        <v>35.99</v>
      </c>
      <c r="L4437" s="11">
        <v>0.99</v>
      </c>
      <c r="M4437" s="9" t="s">
        <v>1759</v>
      </c>
      <c r="N4437" s="6" t="s">
        <v>1123</v>
      </c>
      <c r="O4437" s="6" t="s">
        <v>1123</v>
      </c>
      <c r="P4437" s="9" t="s">
        <v>25</v>
      </c>
      <c r="Q4437" s="9" t="s">
        <v>42</v>
      </c>
      <c r="R4437" s="9" t="s">
        <v>43</v>
      </c>
      <c r="S4437" s="7" t="s">
        <v>437</v>
      </c>
      <c r="T4437" s="9" t="s">
        <v>52</v>
      </c>
      <c r="U4437" s="7">
        <v>0.35</v>
      </c>
      <c r="V4437" s="12">
        <f>C4437+7</f>
        <v>39914</v>
      </c>
      <c r="W4437">
        <f>IF(D4437=' Pivot Tables'!$A$4,1,0)</f>
        <v>0</v>
      </c>
      <c r="X4437">
        <f>IF(AND(LEFT(D4437,4)+1=LEFT(' Pivot Tables'!$A$4,4)+0,RIGHT(LEFT(D4437,7),2)=RIGHT(LEFT(' Pivot Tables'!$A$4,7),2)),1,0)</f>
        <v>0</v>
      </c>
      <c r="Y4437" s="6">
        <f>1/COUNTIF(Таблица1[Order ID],Таблица1[[#This Row],[Order ID]])</f>
        <v>1</v>
      </c>
      <c r="Z4437" s="9">
        <f>1/COUNTIFS(Таблица1[Customer Name],Таблица1[[#This Row],[Customer Name]],Таблица1[Order-Year-Month],Таблица1[[#This Row],[Order-Year-Month]])</f>
        <v>0.2</v>
      </c>
    </row>
    <row r="4438" spans="1:26" x14ac:dyDescent="0.2">
      <c r="A4438" s="6">
        <v>6577</v>
      </c>
      <c r="B4438" s="7">
        <v>46848</v>
      </c>
      <c r="C4438" s="8">
        <f>DATE(2012,12,31)-1147</f>
        <v>40127</v>
      </c>
      <c r="D4438" s="8" t="str">
        <f t="shared" si="82"/>
        <v>2009-11 (ноябрь 2009)</v>
      </c>
      <c r="E4438" s="9" t="s">
        <v>63</v>
      </c>
      <c r="F4438" s="7">
        <v>39</v>
      </c>
      <c r="G4438" s="7">
        <v>3842.99</v>
      </c>
      <c r="H4438" s="7">
        <v>0.04</v>
      </c>
      <c r="I4438" s="9" t="s">
        <v>22</v>
      </c>
      <c r="J4438" s="10">
        <v>-67.680000000000007</v>
      </c>
      <c r="K4438" s="11">
        <v>95.43</v>
      </c>
      <c r="L4438" s="11">
        <v>19.989999999999998</v>
      </c>
      <c r="M4438" s="9" t="s">
        <v>1011</v>
      </c>
      <c r="N4438" s="6" t="s">
        <v>1123</v>
      </c>
      <c r="O4438" s="6" t="s">
        <v>1123</v>
      </c>
      <c r="P4438" s="9" t="s">
        <v>25</v>
      </c>
      <c r="Q4438" s="9" t="s">
        <v>26</v>
      </c>
      <c r="R4438" s="9" t="s">
        <v>27</v>
      </c>
      <c r="S4438" s="7" t="s">
        <v>377</v>
      </c>
      <c r="T4438" s="9" t="s">
        <v>39</v>
      </c>
      <c r="U4438" s="7">
        <v>0.79</v>
      </c>
      <c r="V4438" s="12">
        <f>C4438+2</f>
        <v>40129</v>
      </c>
      <c r="W4438">
        <f>IF(D4438=' Pivot Tables'!$A$4,1,0)</f>
        <v>0</v>
      </c>
      <c r="X4438">
        <f>IF(AND(LEFT(D4438,4)+1=LEFT(' Pivot Tables'!$A$4,4)+0,RIGHT(LEFT(D4438,7),2)=RIGHT(LEFT(' Pivot Tables'!$A$4,7),2)),1,0)</f>
        <v>0</v>
      </c>
      <c r="Y4438" s="6">
        <f>1/COUNTIF(Таблица1[Order ID],Таблица1[[#This Row],[Order ID]])</f>
        <v>1</v>
      </c>
      <c r="Z4438" s="9">
        <f>1/COUNTIFS(Таблица1[Customer Name],Таблица1[[#This Row],[Customer Name]],Таблица1[Order-Year-Month],Таблица1[[#This Row],[Order-Year-Month]])</f>
        <v>0.33333333333333331</v>
      </c>
    </row>
    <row r="4439" spans="1:26" x14ac:dyDescent="0.2">
      <c r="A4439" s="6">
        <v>6605</v>
      </c>
      <c r="B4439" s="7">
        <v>47009</v>
      </c>
      <c r="C4439" s="8">
        <f>DATE(2012,12,31)-1306</f>
        <v>39968</v>
      </c>
      <c r="D4439" s="8" t="str">
        <f t="shared" si="82"/>
        <v>2009-06 (июнь 2009)</v>
      </c>
      <c r="E4439" s="9" t="s">
        <v>78</v>
      </c>
      <c r="F4439" s="7">
        <v>32</v>
      </c>
      <c r="G4439" s="7">
        <v>1587.16</v>
      </c>
      <c r="H4439" s="7">
        <v>0.09</v>
      </c>
      <c r="I4439" s="9" t="s">
        <v>56</v>
      </c>
      <c r="J4439" s="10">
        <v>-22.33</v>
      </c>
      <c r="K4439" s="11">
        <v>49.99</v>
      </c>
      <c r="L4439" s="11">
        <v>19.989999999999998</v>
      </c>
      <c r="M4439" s="9" t="s">
        <v>1791</v>
      </c>
      <c r="N4439" s="6" t="s">
        <v>1123</v>
      </c>
      <c r="O4439" s="6" t="s">
        <v>1123</v>
      </c>
      <c r="P4439" s="9" t="s">
        <v>25</v>
      </c>
      <c r="Q4439" s="9" t="s">
        <v>42</v>
      </c>
      <c r="R4439" s="9" t="s">
        <v>70</v>
      </c>
      <c r="S4439" s="7" t="s">
        <v>1682</v>
      </c>
      <c r="T4439" s="9" t="s">
        <v>39</v>
      </c>
      <c r="U4439" s="7">
        <v>0.45</v>
      </c>
      <c r="V4439" s="12">
        <f>C4439+2</f>
        <v>39970</v>
      </c>
      <c r="W4439">
        <f>IF(D4439=' Pivot Tables'!$A$4,1,0)</f>
        <v>0</v>
      </c>
      <c r="X4439">
        <f>IF(AND(LEFT(D4439,4)+1=LEFT(' Pivot Tables'!$A$4,4)+0,RIGHT(LEFT(D4439,7),2)=RIGHT(LEFT(' Pivot Tables'!$A$4,7),2)),1,0)</f>
        <v>0</v>
      </c>
      <c r="Y4439" s="6">
        <f>1/COUNTIF(Таблица1[Order ID],Таблица1[[#This Row],[Order ID]])</f>
        <v>1</v>
      </c>
      <c r="Z4439" s="9">
        <f>1/COUNTIFS(Таблица1[Customer Name],Таблица1[[#This Row],[Customer Name]],Таблица1[Order-Year-Month],Таблица1[[#This Row],[Order-Year-Month]])</f>
        <v>1</v>
      </c>
    </row>
    <row r="4440" spans="1:26" x14ac:dyDescent="0.2">
      <c r="A4440" s="6">
        <v>6627</v>
      </c>
      <c r="B4440" s="7">
        <v>47138</v>
      </c>
      <c r="C4440" s="8">
        <f>DATE(2012,12,31)-1452</f>
        <v>39822</v>
      </c>
      <c r="D4440" s="8" t="str">
        <f t="shared" si="82"/>
        <v>2009-01 (январь 2009)</v>
      </c>
      <c r="E4440" s="9" t="s">
        <v>21</v>
      </c>
      <c r="F4440" s="7">
        <v>1</v>
      </c>
      <c r="G4440" s="7">
        <v>107.95</v>
      </c>
      <c r="H4440" s="7">
        <v>0.04</v>
      </c>
      <c r="I4440" s="9" t="s">
        <v>22</v>
      </c>
      <c r="J4440" s="10">
        <v>-506.30799999999999</v>
      </c>
      <c r="K4440" s="11">
        <v>125.99</v>
      </c>
      <c r="L4440" s="11">
        <v>8.99</v>
      </c>
      <c r="M4440" s="9" t="s">
        <v>1796</v>
      </c>
      <c r="N4440" s="6" t="s">
        <v>1123</v>
      </c>
      <c r="O4440" s="6" t="s">
        <v>1123</v>
      </c>
      <c r="P4440" s="9" t="s">
        <v>41</v>
      </c>
      <c r="Q4440" s="9" t="s">
        <v>42</v>
      </c>
      <c r="R4440" s="9" t="s">
        <v>43</v>
      </c>
      <c r="S4440" s="7" t="s">
        <v>924</v>
      </c>
      <c r="T4440" s="9" t="s">
        <v>39</v>
      </c>
      <c r="U4440" s="7">
        <v>0.59</v>
      </c>
      <c r="V4440" s="12">
        <f>C4440+7</f>
        <v>39829</v>
      </c>
      <c r="W4440">
        <f>IF(D4440=' Pivot Tables'!$A$4,1,0)</f>
        <v>0</v>
      </c>
      <c r="X4440">
        <f>IF(AND(LEFT(D4440,4)+1=LEFT(' Pivot Tables'!$A$4,4)+0,RIGHT(LEFT(D4440,7),2)=RIGHT(LEFT(' Pivot Tables'!$A$4,7),2)),1,0)</f>
        <v>1</v>
      </c>
      <c r="Y4440" s="6">
        <f>1/COUNTIF(Таблица1[Order ID],Таблица1[[#This Row],[Order ID]])</f>
        <v>1</v>
      </c>
      <c r="Z4440" s="9">
        <f>1/COUNTIFS(Таблица1[Customer Name],Таблица1[[#This Row],[Customer Name]],Таблица1[Order-Year-Month],Таблица1[[#This Row],[Order-Year-Month]])</f>
        <v>1</v>
      </c>
    </row>
    <row r="4441" spans="1:26" x14ac:dyDescent="0.2">
      <c r="A4441" s="6">
        <v>6642</v>
      </c>
      <c r="B4441" s="7">
        <v>47236</v>
      </c>
      <c r="C4441" s="8">
        <f>DATE(2012,12,31)-456</f>
        <v>40818</v>
      </c>
      <c r="D4441" s="8" t="str">
        <f t="shared" si="82"/>
        <v>2011-10 (октябрь 2011)</v>
      </c>
      <c r="E4441" s="9" t="s">
        <v>30</v>
      </c>
      <c r="F4441" s="7">
        <v>1</v>
      </c>
      <c r="G4441" s="7">
        <v>70.91</v>
      </c>
      <c r="H4441" s="7">
        <v>0.03</v>
      </c>
      <c r="I4441" s="9" t="s">
        <v>22</v>
      </c>
      <c r="J4441" s="10">
        <v>-45.43</v>
      </c>
      <c r="K4441" s="11">
        <v>70.97</v>
      </c>
      <c r="L4441" s="11">
        <v>3.5</v>
      </c>
      <c r="M4441" s="9" t="s">
        <v>1410</v>
      </c>
      <c r="N4441" s="6" t="s">
        <v>1123</v>
      </c>
      <c r="O4441" s="6" t="s">
        <v>1123</v>
      </c>
      <c r="P4441" s="9" t="s">
        <v>60</v>
      </c>
      <c r="Q4441" s="9" t="s">
        <v>26</v>
      </c>
      <c r="R4441" s="9" t="s">
        <v>34</v>
      </c>
      <c r="S4441" s="7" t="s">
        <v>1401</v>
      </c>
      <c r="T4441" s="9" t="s">
        <v>39</v>
      </c>
      <c r="U4441" s="7">
        <v>0.59</v>
      </c>
      <c r="V4441" s="12">
        <f>C4441+2</f>
        <v>40820</v>
      </c>
      <c r="W4441">
        <f>IF(D4441=' Pivot Tables'!$A$4,1,0)</f>
        <v>0</v>
      </c>
      <c r="X4441">
        <f>IF(AND(LEFT(D4441,4)+1=LEFT(' Pivot Tables'!$A$4,4)+0,RIGHT(LEFT(D4441,7),2)=RIGHT(LEFT(' Pivot Tables'!$A$4,7),2)),1,0)</f>
        <v>0</v>
      </c>
      <c r="Y4441" s="6">
        <f>1/COUNTIF(Таблица1[Order ID],Таблица1[[#This Row],[Order ID]])</f>
        <v>1</v>
      </c>
      <c r="Z4441" s="9">
        <f>1/COUNTIFS(Таблица1[Customer Name],Таблица1[[#This Row],[Customer Name]],Таблица1[Order-Year-Month],Таблица1[[#This Row],[Order-Year-Month]])</f>
        <v>0.5</v>
      </c>
    </row>
    <row r="4442" spans="1:26" x14ac:dyDescent="0.2">
      <c r="A4442" s="6">
        <v>6697</v>
      </c>
      <c r="B4442" s="7">
        <v>47686</v>
      </c>
      <c r="C4442" s="8">
        <f>DATE(2012,12,31)-81</f>
        <v>41193</v>
      </c>
      <c r="D4442" s="8" t="str">
        <f t="shared" si="82"/>
        <v>2012-10 (октябрь 2012)</v>
      </c>
      <c r="E4442" s="9" t="s">
        <v>45</v>
      </c>
      <c r="F4442" s="7">
        <v>48</v>
      </c>
      <c r="G4442" s="7">
        <v>179.65</v>
      </c>
      <c r="H4442" s="7">
        <v>0.1</v>
      </c>
      <c r="I4442" s="9" t="s">
        <v>22</v>
      </c>
      <c r="J4442" s="10">
        <v>3.32</v>
      </c>
      <c r="K4442" s="11">
        <v>4.13</v>
      </c>
      <c r="L4442" s="11">
        <v>1.23</v>
      </c>
      <c r="M4442" s="9" t="s">
        <v>1410</v>
      </c>
      <c r="N4442" s="6" t="s">
        <v>1123</v>
      </c>
      <c r="O4442" s="6" t="s">
        <v>1123</v>
      </c>
      <c r="P4442" s="9" t="s">
        <v>60</v>
      </c>
      <c r="Q4442" s="9" t="s">
        <v>26</v>
      </c>
      <c r="R4442" s="9" t="s">
        <v>95</v>
      </c>
      <c r="S4442" s="7" t="s">
        <v>1486</v>
      </c>
      <c r="T4442" s="9" t="s">
        <v>68</v>
      </c>
      <c r="U4442" s="7">
        <v>0.55000000000000004</v>
      </c>
      <c r="V4442" s="12">
        <f>C4442+2</f>
        <v>41195</v>
      </c>
      <c r="W4442">
        <f>IF(D4442=' Pivot Tables'!$A$4,1,0)</f>
        <v>0</v>
      </c>
      <c r="X4442">
        <f>IF(AND(LEFT(D4442,4)+1=LEFT(' Pivot Tables'!$A$4,4)+0,RIGHT(LEFT(D4442,7),2)=RIGHT(LEFT(' Pivot Tables'!$A$4,7),2)),1,0)</f>
        <v>0</v>
      </c>
      <c r="Y4442" s="6">
        <f>1/COUNTIF(Таблица1[Order ID],Таблица1[[#This Row],[Order ID]])</f>
        <v>1</v>
      </c>
      <c r="Z4442" s="9">
        <f>1/COUNTIFS(Таблица1[Customer Name],Таблица1[[#This Row],[Customer Name]],Таблица1[Order-Year-Month],Таблица1[[#This Row],[Order-Year-Month]])</f>
        <v>1</v>
      </c>
    </row>
    <row r="4443" spans="1:26" x14ac:dyDescent="0.2">
      <c r="A4443" s="6">
        <v>6738</v>
      </c>
      <c r="B4443" s="7">
        <v>47971</v>
      </c>
      <c r="C4443" s="8">
        <f>DATE(2012,12,31)-63</f>
        <v>41211</v>
      </c>
      <c r="D4443" s="8" t="str">
        <f t="shared" si="82"/>
        <v>2012-10 (октябрь 2012)</v>
      </c>
      <c r="E4443" s="9" t="s">
        <v>30</v>
      </c>
      <c r="F4443" s="7">
        <v>24</v>
      </c>
      <c r="G4443" s="7">
        <v>113.43</v>
      </c>
      <c r="H4443" s="7">
        <v>0.09</v>
      </c>
      <c r="I4443" s="9" t="s">
        <v>22</v>
      </c>
      <c r="J4443" s="10">
        <v>-53.06</v>
      </c>
      <c r="K4443" s="11">
        <v>4.95</v>
      </c>
      <c r="L4443" s="11">
        <v>5.32</v>
      </c>
      <c r="M4443" s="9" t="s">
        <v>1171</v>
      </c>
      <c r="N4443" s="6" t="s">
        <v>1123</v>
      </c>
      <c r="O4443" s="6" t="s">
        <v>1123</v>
      </c>
      <c r="P4443" s="9" t="s">
        <v>60</v>
      </c>
      <c r="Q4443" s="9" t="s">
        <v>49</v>
      </c>
      <c r="R4443" s="9" t="s">
        <v>50</v>
      </c>
      <c r="S4443" s="7" t="s">
        <v>1712</v>
      </c>
      <c r="T4443" s="9" t="s">
        <v>39</v>
      </c>
      <c r="U4443" s="7">
        <v>0.41</v>
      </c>
      <c r="V4443" s="12">
        <f>C4443+1</f>
        <v>41212</v>
      </c>
      <c r="W4443">
        <f>IF(D4443=' Pivot Tables'!$A$4,1,0)</f>
        <v>0</v>
      </c>
      <c r="X4443">
        <f>IF(AND(LEFT(D4443,4)+1=LEFT(' Pivot Tables'!$A$4,4)+0,RIGHT(LEFT(D4443,7),2)=RIGHT(LEFT(' Pivot Tables'!$A$4,7),2)),1,0)</f>
        <v>0</v>
      </c>
      <c r="Y4443" s="6">
        <f>1/COUNTIF(Таблица1[Order ID],Таблица1[[#This Row],[Order ID]])</f>
        <v>1</v>
      </c>
      <c r="Z4443" s="9">
        <f>1/COUNTIFS(Таблица1[Customer Name],Таблица1[[#This Row],[Customer Name]],Таблица1[Order-Year-Month],Таблица1[[#This Row],[Order-Year-Month]])</f>
        <v>1</v>
      </c>
    </row>
    <row r="4444" spans="1:26" x14ac:dyDescent="0.2">
      <c r="A4444" s="6">
        <v>6777</v>
      </c>
      <c r="B4444" s="7">
        <v>48261</v>
      </c>
      <c r="C4444" s="8">
        <f>DATE(2012,12,31)-654</f>
        <v>40620</v>
      </c>
      <c r="D4444" s="8" t="str">
        <f t="shared" si="82"/>
        <v>2011-03 (март 2011)</v>
      </c>
      <c r="E4444" s="9" t="s">
        <v>63</v>
      </c>
      <c r="F4444" s="7">
        <v>15</v>
      </c>
      <c r="G4444" s="7">
        <v>2130.66</v>
      </c>
      <c r="H4444" s="7">
        <v>0.01</v>
      </c>
      <c r="I4444" s="9" t="s">
        <v>31</v>
      </c>
      <c r="J4444" s="10">
        <v>-113.77</v>
      </c>
      <c r="K4444" s="11">
        <v>130.97999999999999</v>
      </c>
      <c r="L4444" s="11">
        <v>30</v>
      </c>
      <c r="M4444" s="9" t="s">
        <v>1410</v>
      </c>
      <c r="N4444" s="6" t="s">
        <v>1123</v>
      </c>
      <c r="O4444" s="6" t="s">
        <v>1123</v>
      </c>
      <c r="P4444" s="9" t="s">
        <v>60</v>
      </c>
      <c r="Q4444" s="9" t="s">
        <v>49</v>
      </c>
      <c r="R4444" s="9" t="s">
        <v>112</v>
      </c>
      <c r="S4444" s="7" t="s">
        <v>265</v>
      </c>
      <c r="T4444" s="9" t="s">
        <v>36</v>
      </c>
      <c r="U4444" s="7">
        <v>0.78</v>
      </c>
      <c r="V4444" s="12">
        <f>C4444+1</f>
        <v>40621</v>
      </c>
      <c r="W4444">
        <f>IF(D4444=' Pivot Tables'!$A$4,1,0)</f>
        <v>0</v>
      </c>
      <c r="X4444">
        <f>IF(AND(LEFT(D4444,4)+1=LEFT(' Pivot Tables'!$A$4,4)+0,RIGHT(LEFT(D4444,7),2)=RIGHT(LEFT(' Pivot Tables'!$A$4,7),2)),1,0)</f>
        <v>0</v>
      </c>
      <c r="Y4444" s="6">
        <f>1/COUNTIF(Таблица1[Order ID],Таблица1[[#This Row],[Order ID]])</f>
        <v>1</v>
      </c>
      <c r="Z4444" s="9">
        <f>1/COUNTIFS(Таблица1[Customer Name],Таблица1[[#This Row],[Customer Name]],Таблица1[Order-Year-Month],Таблица1[[#This Row],[Order-Year-Month]])</f>
        <v>1</v>
      </c>
    </row>
    <row r="4445" spans="1:26" x14ac:dyDescent="0.2">
      <c r="A4445" s="6">
        <v>6849</v>
      </c>
      <c r="B4445" s="7">
        <v>48773</v>
      </c>
      <c r="C4445" s="8">
        <f>DATE(2012,12,31)-1446</f>
        <v>39828</v>
      </c>
      <c r="D4445" s="8" t="str">
        <f t="shared" si="82"/>
        <v>2009-01 (январь 2009)</v>
      </c>
      <c r="E4445" s="9" t="s">
        <v>63</v>
      </c>
      <c r="F4445" s="7">
        <v>7</v>
      </c>
      <c r="G4445" s="7">
        <v>51.27</v>
      </c>
      <c r="H4445" s="7">
        <v>0.06</v>
      </c>
      <c r="I4445" s="9" t="s">
        <v>22</v>
      </c>
      <c r="J4445" s="10">
        <v>3.27</v>
      </c>
      <c r="K4445" s="11">
        <v>7.04</v>
      </c>
      <c r="L4445" s="11">
        <v>2.17</v>
      </c>
      <c r="M4445" s="9" t="s">
        <v>1361</v>
      </c>
      <c r="N4445" s="6" t="s">
        <v>1123</v>
      </c>
      <c r="O4445" s="6" t="s">
        <v>1123</v>
      </c>
      <c r="P4445" s="9" t="s">
        <v>25</v>
      </c>
      <c r="Q4445" s="9" t="s">
        <v>26</v>
      </c>
      <c r="R4445" s="9" t="s">
        <v>61</v>
      </c>
      <c r="S4445" s="7" t="s">
        <v>243</v>
      </c>
      <c r="T4445" s="9" t="s">
        <v>68</v>
      </c>
      <c r="U4445" s="7">
        <v>0.38</v>
      </c>
      <c r="V4445" s="12">
        <f>C4445+2</f>
        <v>39830</v>
      </c>
      <c r="W4445">
        <f>IF(D4445=' Pivot Tables'!$A$4,1,0)</f>
        <v>0</v>
      </c>
      <c r="X4445">
        <f>IF(AND(LEFT(D4445,4)+1=LEFT(' Pivot Tables'!$A$4,4)+0,RIGHT(LEFT(D4445,7),2)=RIGHT(LEFT(' Pivot Tables'!$A$4,7),2)),1,0)</f>
        <v>1</v>
      </c>
      <c r="Y4445" s="6">
        <f>1/COUNTIF(Таблица1[Order ID],Таблица1[[#This Row],[Order ID]])</f>
        <v>1</v>
      </c>
      <c r="Z4445" s="9">
        <f>1/COUNTIFS(Таблица1[Customer Name],Таблица1[[#This Row],[Customer Name]],Таблица1[Order-Year-Month],Таблица1[[#This Row],[Order-Year-Month]])</f>
        <v>1</v>
      </c>
    </row>
    <row r="4446" spans="1:26" x14ac:dyDescent="0.2">
      <c r="A4446" s="6">
        <v>6864</v>
      </c>
      <c r="B4446" s="7">
        <v>48902</v>
      </c>
      <c r="C4446" s="8">
        <f>DATE(2012,12,31)-69</f>
        <v>41205</v>
      </c>
      <c r="D4446" s="8" t="str">
        <f t="shared" si="82"/>
        <v>2012-10 (октябрь 2012)</v>
      </c>
      <c r="E4446" s="9" t="s">
        <v>63</v>
      </c>
      <c r="F4446" s="7">
        <v>7</v>
      </c>
      <c r="G4446" s="7">
        <v>53.29</v>
      </c>
      <c r="H4446" s="7">
        <v>0.01</v>
      </c>
      <c r="I4446" s="9" t="s">
        <v>22</v>
      </c>
      <c r="J4446" s="10">
        <v>-28.88</v>
      </c>
      <c r="K4446" s="11">
        <v>6.48</v>
      </c>
      <c r="L4446" s="11">
        <v>7.49</v>
      </c>
      <c r="M4446" s="9" t="s">
        <v>1796</v>
      </c>
      <c r="N4446" s="6" t="s">
        <v>1123</v>
      </c>
      <c r="O4446" s="6" t="s">
        <v>1123</v>
      </c>
      <c r="P4446" s="9" t="s">
        <v>41</v>
      </c>
      <c r="Q4446" s="9" t="s">
        <v>26</v>
      </c>
      <c r="R4446" s="9" t="s">
        <v>61</v>
      </c>
      <c r="S4446" s="7" t="s">
        <v>643</v>
      </c>
      <c r="T4446" s="9" t="s">
        <v>39</v>
      </c>
      <c r="U4446" s="7">
        <v>0.37</v>
      </c>
      <c r="V4446" s="12">
        <f>C4446+2</f>
        <v>41207</v>
      </c>
      <c r="W4446">
        <f>IF(D4446=' Pivot Tables'!$A$4,1,0)</f>
        <v>0</v>
      </c>
      <c r="X4446">
        <f>IF(AND(LEFT(D4446,4)+1=LEFT(' Pivot Tables'!$A$4,4)+0,RIGHT(LEFT(D4446,7),2)=RIGHT(LEFT(' Pivot Tables'!$A$4,7),2)),1,0)</f>
        <v>0</v>
      </c>
      <c r="Y4446" s="6">
        <f>1/COUNTIF(Таблица1[Order ID],Таблица1[[#This Row],[Order ID]])</f>
        <v>1</v>
      </c>
      <c r="Z4446" s="9">
        <f>1/COUNTIFS(Таблица1[Customer Name],Таблица1[[#This Row],[Customer Name]],Таблица1[Order-Year-Month],Таблица1[[#This Row],[Order-Year-Month]])</f>
        <v>1</v>
      </c>
    </row>
    <row r="4447" spans="1:26" x14ac:dyDescent="0.2">
      <c r="A4447" s="6">
        <v>6904</v>
      </c>
      <c r="B4447" s="7">
        <v>49221</v>
      </c>
      <c r="C4447" s="8">
        <f>DATE(2012,12,31)-912</f>
        <v>40362</v>
      </c>
      <c r="D4447" s="8" t="str">
        <f t="shared" si="82"/>
        <v>2010-07 (июль 2010)</v>
      </c>
      <c r="E4447" s="9" t="s">
        <v>45</v>
      </c>
      <c r="F4447" s="7">
        <v>22</v>
      </c>
      <c r="G4447" s="7">
        <v>399.64</v>
      </c>
      <c r="H4447" s="7">
        <v>0.04</v>
      </c>
      <c r="I4447" s="9" t="s">
        <v>22</v>
      </c>
      <c r="J4447" s="10">
        <v>-15.416399999999999</v>
      </c>
      <c r="K4447" s="11">
        <v>17.98</v>
      </c>
      <c r="L4447" s="11">
        <v>8.51</v>
      </c>
      <c r="M4447" s="9" t="s">
        <v>1781</v>
      </c>
      <c r="N4447" s="6" t="s">
        <v>1123</v>
      </c>
      <c r="O4447" s="6" t="s">
        <v>1123</v>
      </c>
      <c r="P4447" s="9" t="s">
        <v>41</v>
      </c>
      <c r="Q4447" s="9" t="s">
        <v>42</v>
      </c>
      <c r="R4447" s="9" t="s">
        <v>210</v>
      </c>
      <c r="S4447" s="7" t="s">
        <v>277</v>
      </c>
      <c r="T4447" s="9" t="s">
        <v>48</v>
      </c>
      <c r="U4447" s="7">
        <v>0.4</v>
      </c>
      <c r="V4447" s="12">
        <f>C4447+1</f>
        <v>40363</v>
      </c>
      <c r="W4447">
        <f>IF(D4447=' Pivot Tables'!$A$4,1,0)</f>
        <v>0</v>
      </c>
      <c r="X4447">
        <f>IF(AND(LEFT(D4447,4)+1=LEFT(' Pivot Tables'!$A$4,4)+0,RIGHT(LEFT(D4447,7),2)=RIGHT(LEFT(' Pivot Tables'!$A$4,7),2)),1,0)</f>
        <v>0</v>
      </c>
      <c r="Y4447" s="6">
        <f>1/COUNTIF(Таблица1[Order ID],Таблица1[[#This Row],[Order ID]])</f>
        <v>0.5</v>
      </c>
      <c r="Z4447" s="9">
        <f>1/COUNTIFS(Таблица1[Customer Name],Таблица1[[#This Row],[Customer Name]],Таблица1[Order-Year-Month],Таблица1[[#This Row],[Order-Year-Month]])</f>
        <v>0.5</v>
      </c>
    </row>
    <row r="4448" spans="1:26" x14ac:dyDescent="0.2">
      <c r="A4448" s="6">
        <v>6905</v>
      </c>
      <c r="B4448" s="7">
        <v>49221</v>
      </c>
      <c r="C4448" s="8">
        <f>DATE(2012,12,31)-912</f>
        <v>40362</v>
      </c>
      <c r="D4448" s="8" t="str">
        <f t="shared" si="82"/>
        <v>2010-07 (июль 2010)</v>
      </c>
      <c r="E4448" s="9" t="s">
        <v>45</v>
      </c>
      <c r="F4448" s="7">
        <v>41</v>
      </c>
      <c r="G4448" s="7">
        <v>277.35000000000002</v>
      </c>
      <c r="H4448" s="7">
        <v>0.02</v>
      </c>
      <c r="I4448" s="9" t="s">
        <v>22</v>
      </c>
      <c r="J4448" s="10">
        <v>-103.28</v>
      </c>
      <c r="K4448" s="11">
        <v>6.48</v>
      </c>
      <c r="L4448" s="11">
        <v>6.57</v>
      </c>
      <c r="M4448" s="9" t="s">
        <v>1781</v>
      </c>
      <c r="N4448" s="6" t="s">
        <v>1123</v>
      </c>
      <c r="O4448" s="6" t="s">
        <v>1123</v>
      </c>
      <c r="P4448" s="9" t="s">
        <v>41</v>
      </c>
      <c r="Q4448" s="9" t="s">
        <v>26</v>
      </c>
      <c r="R4448" s="9" t="s">
        <v>61</v>
      </c>
      <c r="S4448" s="7" t="s">
        <v>249</v>
      </c>
      <c r="T4448" s="9" t="s">
        <v>39</v>
      </c>
      <c r="U4448" s="7">
        <v>0.37</v>
      </c>
      <c r="V4448" s="12">
        <f>C4448+1</f>
        <v>40363</v>
      </c>
      <c r="W4448">
        <f>IF(D4448=' Pivot Tables'!$A$4,1,0)</f>
        <v>0</v>
      </c>
      <c r="X4448">
        <f>IF(AND(LEFT(D4448,4)+1=LEFT(' Pivot Tables'!$A$4,4)+0,RIGHT(LEFT(D4448,7),2)=RIGHT(LEFT(' Pivot Tables'!$A$4,7),2)),1,0)</f>
        <v>0</v>
      </c>
      <c r="Y4448" s="6">
        <f>1/COUNTIF(Таблица1[Order ID],Таблица1[[#This Row],[Order ID]])</f>
        <v>0.5</v>
      </c>
      <c r="Z4448" s="9">
        <f>1/COUNTIFS(Таблица1[Customer Name],Таблица1[[#This Row],[Customer Name]],Таблица1[Order-Year-Month],Таблица1[[#This Row],[Order-Year-Month]])</f>
        <v>0.5</v>
      </c>
    </row>
    <row r="4449" spans="1:26" x14ac:dyDescent="0.2">
      <c r="A4449" s="6">
        <v>6907</v>
      </c>
      <c r="B4449" s="7">
        <v>49255</v>
      </c>
      <c r="C4449" s="8">
        <f>DATE(2012,12,31)-192</f>
        <v>41082</v>
      </c>
      <c r="D4449" s="8" t="str">
        <f t="shared" si="82"/>
        <v>2012-06 (июнь 2012)</v>
      </c>
      <c r="E4449" s="9" t="s">
        <v>30</v>
      </c>
      <c r="F4449" s="7">
        <v>20</v>
      </c>
      <c r="G4449" s="7">
        <v>1357.44</v>
      </c>
      <c r="H4449" s="7">
        <v>0.09</v>
      </c>
      <c r="I4449" s="9" t="s">
        <v>31</v>
      </c>
      <c r="J4449" s="10">
        <v>-102.3</v>
      </c>
      <c r="K4449" s="11">
        <v>70.98</v>
      </c>
      <c r="L4449" s="11">
        <v>26.85</v>
      </c>
      <c r="M4449" s="9" t="s">
        <v>910</v>
      </c>
      <c r="N4449" s="6" t="s">
        <v>1123</v>
      </c>
      <c r="O4449" s="6" t="s">
        <v>1123</v>
      </c>
      <c r="P4449" s="9" t="s">
        <v>41</v>
      </c>
      <c r="Q4449" s="9" t="s">
        <v>49</v>
      </c>
      <c r="R4449" s="9" t="s">
        <v>80</v>
      </c>
      <c r="S4449" s="7" t="s">
        <v>1642</v>
      </c>
      <c r="T4449" s="9" t="s">
        <v>82</v>
      </c>
      <c r="U4449" s="7"/>
      <c r="V4449" s="12">
        <f>C4449+1</f>
        <v>41083</v>
      </c>
      <c r="W4449">
        <f>IF(D4449=' Pivot Tables'!$A$4,1,0)</f>
        <v>0</v>
      </c>
      <c r="X4449">
        <f>IF(AND(LEFT(D4449,4)+1=LEFT(' Pivot Tables'!$A$4,4)+0,RIGHT(LEFT(D4449,7),2)=RIGHT(LEFT(' Pivot Tables'!$A$4,7),2)),1,0)</f>
        <v>0</v>
      </c>
      <c r="Y4449" s="6">
        <f>1/COUNTIF(Таблица1[Order ID],Таблица1[[#This Row],[Order ID]])</f>
        <v>1</v>
      </c>
      <c r="Z4449" s="9">
        <f>1/COUNTIFS(Таблица1[Customer Name],Таблица1[[#This Row],[Customer Name]],Таблица1[Order-Year-Month],Таблица1[[#This Row],[Order-Year-Month]])</f>
        <v>0.33333333333333331</v>
      </c>
    </row>
    <row r="4450" spans="1:26" x14ac:dyDescent="0.2">
      <c r="A4450" s="6">
        <v>6942</v>
      </c>
      <c r="B4450" s="7">
        <v>49575</v>
      </c>
      <c r="C4450" s="8">
        <f>DATE(2012,12,31)-746</f>
        <v>40528</v>
      </c>
      <c r="D4450" s="8" t="str">
        <f t="shared" si="82"/>
        <v>2010-12 (декабрь 2010)</v>
      </c>
      <c r="E4450" s="9" t="s">
        <v>30</v>
      </c>
      <c r="F4450" s="7">
        <v>12</v>
      </c>
      <c r="G4450" s="7">
        <v>507.44</v>
      </c>
      <c r="H4450" s="7">
        <v>0.05</v>
      </c>
      <c r="I4450" s="9" t="s">
        <v>22</v>
      </c>
      <c r="J4450" s="10">
        <v>170.90100000000001</v>
      </c>
      <c r="K4450" s="11">
        <v>42.8</v>
      </c>
      <c r="L4450" s="11">
        <v>2.99</v>
      </c>
      <c r="M4450" s="9" t="s">
        <v>1788</v>
      </c>
      <c r="N4450" s="6" t="s">
        <v>1123</v>
      </c>
      <c r="O4450" s="6" t="s">
        <v>1123</v>
      </c>
      <c r="P4450" s="9" t="s">
        <v>41</v>
      </c>
      <c r="Q4450" s="9" t="s">
        <v>26</v>
      </c>
      <c r="R4450" s="9" t="s">
        <v>37</v>
      </c>
      <c r="S4450" s="7" t="s">
        <v>1154</v>
      </c>
      <c r="T4450" s="9" t="s">
        <v>39</v>
      </c>
      <c r="U4450" s="7">
        <v>0.36</v>
      </c>
      <c r="V4450" s="12">
        <f>C4450+1</f>
        <v>40529</v>
      </c>
      <c r="W4450">
        <f>IF(D4450=' Pivot Tables'!$A$4,1,0)</f>
        <v>0</v>
      </c>
      <c r="X4450">
        <f>IF(AND(LEFT(D4450,4)+1=LEFT(' Pivot Tables'!$A$4,4)+0,RIGHT(LEFT(D4450,7),2)=RIGHT(LEFT(' Pivot Tables'!$A$4,7),2)),1,0)</f>
        <v>0</v>
      </c>
      <c r="Y4450" s="6">
        <f>1/COUNTIF(Таблица1[Order ID],Таблица1[[#This Row],[Order ID]])</f>
        <v>1</v>
      </c>
      <c r="Z4450" s="9">
        <f>1/COUNTIFS(Таблица1[Customer Name],Таблица1[[#This Row],[Customer Name]],Таблица1[Order-Year-Month],Таблица1[[#This Row],[Order-Year-Month]])</f>
        <v>1</v>
      </c>
    </row>
    <row r="4451" spans="1:26" x14ac:dyDescent="0.2">
      <c r="A4451" s="6">
        <v>7023</v>
      </c>
      <c r="B4451" s="7">
        <v>50144</v>
      </c>
      <c r="C4451" s="8">
        <f>DATE(2012,12,31)-207</f>
        <v>41067</v>
      </c>
      <c r="D4451" s="8" t="str">
        <f t="shared" si="82"/>
        <v>2012-06 (июнь 2012)</v>
      </c>
      <c r="E4451" s="9" t="s">
        <v>78</v>
      </c>
      <c r="F4451" s="7">
        <v>36</v>
      </c>
      <c r="G4451" s="7">
        <v>4169.93</v>
      </c>
      <c r="H4451" s="7">
        <v>0.1</v>
      </c>
      <c r="I4451" s="9" t="s">
        <v>56</v>
      </c>
      <c r="J4451" s="10">
        <v>1765.5350000000001</v>
      </c>
      <c r="K4451" s="11">
        <v>120.98</v>
      </c>
      <c r="L4451" s="11">
        <v>9.07</v>
      </c>
      <c r="M4451" s="9" t="s">
        <v>1410</v>
      </c>
      <c r="N4451" s="6" t="s">
        <v>1123</v>
      </c>
      <c r="O4451" s="6" t="s">
        <v>1123</v>
      </c>
      <c r="P4451" s="9" t="s">
        <v>60</v>
      </c>
      <c r="Q4451" s="9" t="s">
        <v>26</v>
      </c>
      <c r="R4451" s="9" t="s">
        <v>37</v>
      </c>
      <c r="S4451" s="7" t="s">
        <v>477</v>
      </c>
      <c r="T4451" s="9" t="s">
        <v>39</v>
      </c>
      <c r="U4451" s="7">
        <v>0.35</v>
      </c>
      <c r="V4451" s="12">
        <f>C4451+0</f>
        <v>41067</v>
      </c>
      <c r="W4451">
        <f>IF(D4451=' Pivot Tables'!$A$4,1,0)</f>
        <v>0</v>
      </c>
      <c r="X4451">
        <f>IF(AND(LEFT(D4451,4)+1=LEFT(' Pivot Tables'!$A$4,4)+0,RIGHT(LEFT(D4451,7),2)=RIGHT(LEFT(' Pivot Tables'!$A$4,7),2)),1,0)</f>
        <v>0</v>
      </c>
      <c r="Y4451" s="6">
        <f>1/COUNTIF(Таблица1[Order ID],Таблица1[[#This Row],[Order ID]])</f>
        <v>1</v>
      </c>
      <c r="Z4451" s="9">
        <f>1/COUNTIFS(Таблица1[Customer Name],Таблица1[[#This Row],[Customer Name]],Таблица1[Order-Year-Month],Таблица1[[#This Row],[Order-Year-Month]])</f>
        <v>1</v>
      </c>
    </row>
    <row r="4452" spans="1:26" x14ac:dyDescent="0.2">
      <c r="A4452" s="6">
        <v>7030</v>
      </c>
      <c r="B4452" s="7">
        <v>50181</v>
      </c>
      <c r="C4452" s="8">
        <f>DATE(2012,12,31)-215</f>
        <v>41059</v>
      </c>
      <c r="D4452" s="8" t="str">
        <f t="shared" si="82"/>
        <v>2012-05 (май 2012)</v>
      </c>
      <c r="E4452" s="9" t="s">
        <v>30</v>
      </c>
      <c r="F4452" s="7">
        <v>2</v>
      </c>
      <c r="G4452" s="7">
        <v>289.73</v>
      </c>
      <c r="H4452" s="7">
        <v>0.04</v>
      </c>
      <c r="I4452" s="9" t="s">
        <v>31</v>
      </c>
      <c r="J4452" s="10">
        <v>-246.21</v>
      </c>
      <c r="K4452" s="11">
        <v>135.99</v>
      </c>
      <c r="L4452" s="11">
        <v>28.63</v>
      </c>
      <c r="M4452" s="9" t="s">
        <v>1759</v>
      </c>
      <c r="N4452" s="6" t="s">
        <v>1123</v>
      </c>
      <c r="O4452" s="6" t="s">
        <v>1123</v>
      </c>
      <c r="P4452" s="9" t="s">
        <v>25</v>
      </c>
      <c r="Q4452" s="9" t="s">
        <v>49</v>
      </c>
      <c r="R4452" s="9" t="s">
        <v>112</v>
      </c>
      <c r="S4452" s="7" t="s">
        <v>458</v>
      </c>
      <c r="T4452" s="9" t="s">
        <v>36</v>
      </c>
      <c r="U4452" s="7">
        <v>0.76</v>
      </c>
      <c r="V4452" s="12">
        <f>C4452+1</f>
        <v>41060</v>
      </c>
      <c r="W4452">
        <f>IF(D4452=' Pivot Tables'!$A$4,1,0)</f>
        <v>0</v>
      </c>
      <c r="X4452">
        <f>IF(AND(LEFT(D4452,4)+1=LEFT(' Pivot Tables'!$A$4,4)+0,RIGHT(LEFT(D4452,7),2)=RIGHT(LEFT(' Pivot Tables'!$A$4,7),2)),1,0)</f>
        <v>0</v>
      </c>
      <c r="Y4452" s="6">
        <f>1/COUNTIF(Таблица1[Order ID],Таблица1[[#This Row],[Order ID]])</f>
        <v>1</v>
      </c>
      <c r="Z4452" s="9">
        <f>1/COUNTIFS(Таблица1[Customer Name],Таблица1[[#This Row],[Customer Name]],Таблица1[Order-Year-Month],Таблица1[[#This Row],[Order-Year-Month]])</f>
        <v>1</v>
      </c>
    </row>
    <row r="4453" spans="1:26" x14ac:dyDescent="0.2">
      <c r="A4453" s="6">
        <v>7346</v>
      </c>
      <c r="B4453" s="7">
        <v>52324</v>
      </c>
      <c r="C4453" s="8">
        <f>DATE(2012,12,31)-185</f>
        <v>41089</v>
      </c>
      <c r="D4453" s="8" t="str">
        <f t="shared" si="82"/>
        <v>2012-06 (июнь 2012)</v>
      </c>
      <c r="E4453" s="9" t="s">
        <v>45</v>
      </c>
      <c r="F4453" s="7">
        <v>4</v>
      </c>
      <c r="G4453" s="7">
        <v>757.11</v>
      </c>
      <c r="H4453" s="7">
        <v>7.0000000000000007E-2</v>
      </c>
      <c r="I4453" s="9" t="s">
        <v>31</v>
      </c>
      <c r="J4453" s="10">
        <v>-224.35</v>
      </c>
      <c r="K4453" s="11">
        <v>180.98</v>
      </c>
      <c r="L4453" s="11">
        <v>30</v>
      </c>
      <c r="M4453" s="9" t="s">
        <v>1090</v>
      </c>
      <c r="N4453" s="6" t="s">
        <v>1123</v>
      </c>
      <c r="O4453" s="6" t="s">
        <v>1123</v>
      </c>
      <c r="P4453" s="9" t="s">
        <v>25</v>
      </c>
      <c r="Q4453" s="9" t="s">
        <v>49</v>
      </c>
      <c r="R4453" s="9" t="s">
        <v>112</v>
      </c>
      <c r="S4453" s="7" t="s">
        <v>957</v>
      </c>
      <c r="T4453" s="9" t="s">
        <v>36</v>
      </c>
      <c r="U4453" s="7">
        <v>0.69</v>
      </c>
      <c r="V4453" s="12">
        <f>C4453+1</f>
        <v>41090</v>
      </c>
      <c r="W4453">
        <f>IF(D4453=' Pivot Tables'!$A$4,1,0)</f>
        <v>0</v>
      </c>
      <c r="X4453">
        <f>IF(AND(LEFT(D4453,4)+1=LEFT(' Pivot Tables'!$A$4,4)+0,RIGHT(LEFT(D4453,7),2)=RIGHT(LEFT(' Pivot Tables'!$A$4,7),2)),1,0)</f>
        <v>0</v>
      </c>
      <c r="Y4453" s="6">
        <f>1/COUNTIF(Таблица1[Order ID],Таблица1[[#This Row],[Order ID]])</f>
        <v>1</v>
      </c>
      <c r="Z4453" s="9">
        <f>1/COUNTIFS(Таблица1[Customer Name],Таблица1[[#This Row],[Customer Name]],Таблица1[Order-Year-Month],Таблица1[[#This Row],[Order-Year-Month]])</f>
        <v>0.5</v>
      </c>
    </row>
    <row r="4454" spans="1:26" x14ac:dyDescent="0.2">
      <c r="A4454" s="6">
        <v>7414</v>
      </c>
      <c r="B4454" s="7">
        <v>52896</v>
      </c>
      <c r="C4454" s="8">
        <f>DATE(2012,12,31)-801</f>
        <v>40473</v>
      </c>
      <c r="D4454" s="8" t="str">
        <f t="shared" si="82"/>
        <v>2010-10 (октябрь 2010)</v>
      </c>
      <c r="E4454" s="9" t="s">
        <v>30</v>
      </c>
      <c r="F4454" s="7">
        <v>24</v>
      </c>
      <c r="G4454" s="7">
        <v>8920.08</v>
      </c>
      <c r="H4454" s="7">
        <v>0</v>
      </c>
      <c r="I4454" s="9" t="s">
        <v>22</v>
      </c>
      <c r="J4454" s="10">
        <v>3545.8940000000002</v>
      </c>
      <c r="K4454" s="11">
        <v>367.99</v>
      </c>
      <c r="L4454" s="11">
        <v>19.989999999999998</v>
      </c>
      <c r="M4454" s="9" t="s">
        <v>1385</v>
      </c>
      <c r="N4454" s="6" t="s">
        <v>1123</v>
      </c>
      <c r="O4454" s="6" t="s">
        <v>1123</v>
      </c>
      <c r="P4454" s="9" t="s">
        <v>60</v>
      </c>
      <c r="Q4454" s="9" t="s">
        <v>26</v>
      </c>
      <c r="R4454" s="9" t="s">
        <v>37</v>
      </c>
      <c r="S4454" s="7" t="s">
        <v>1706</v>
      </c>
      <c r="T4454" s="9" t="s">
        <v>39</v>
      </c>
      <c r="U4454" s="7">
        <v>0.4</v>
      </c>
      <c r="V4454" s="12">
        <f>C4454+3</f>
        <v>40476</v>
      </c>
      <c r="W4454">
        <f>IF(D4454=' Pivot Tables'!$A$4,1,0)</f>
        <v>0</v>
      </c>
      <c r="X4454">
        <f>IF(AND(LEFT(D4454,4)+1=LEFT(' Pivot Tables'!$A$4,4)+0,RIGHT(LEFT(D4454,7),2)=RIGHT(LEFT(' Pivot Tables'!$A$4,7),2)),1,0)</f>
        <v>0</v>
      </c>
      <c r="Y4454" s="6">
        <f>1/COUNTIF(Таблица1[Order ID],Таблица1[[#This Row],[Order ID]])</f>
        <v>0.2</v>
      </c>
      <c r="Z4454" s="9">
        <f>1/COUNTIFS(Таблица1[Customer Name],Таблица1[[#This Row],[Customer Name]],Таблица1[Order-Year-Month],Таблица1[[#This Row],[Order-Year-Month]])</f>
        <v>0.2</v>
      </c>
    </row>
    <row r="4455" spans="1:26" x14ac:dyDescent="0.2">
      <c r="A4455" s="6">
        <v>7415</v>
      </c>
      <c r="B4455" s="7">
        <v>52896</v>
      </c>
      <c r="C4455" s="8">
        <f>DATE(2012,12,31)-801</f>
        <v>40473</v>
      </c>
      <c r="D4455" s="8" t="str">
        <f t="shared" si="82"/>
        <v>2010-10 (октябрь 2010)</v>
      </c>
      <c r="E4455" s="9" t="s">
        <v>30</v>
      </c>
      <c r="F4455" s="7">
        <v>49</v>
      </c>
      <c r="G4455" s="7">
        <v>188.7</v>
      </c>
      <c r="H4455" s="7">
        <v>7.0000000000000007E-2</v>
      </c>
      <c r="I4455" s="9" t="s">
        <v>22</v>
      </c>
      <c r="J4455" s="10">
        <v>77.02</v>
      </c>
      <c r="K4455" s="11">
        <v>4.13</v>
      </c>
      <c r="L4455" s="11">
        <v>0.5</v>
      </c>
      <c r="M4455" s="9" t="s">
        <v>1385</v>
      </c>
      <c r="N4455" s="6" t="s">
        <v>1123</v>
      </c>
      <c r="O4455" s="6" t="s">
        <v>1123</v>
      </c>
      <c r="P4455" s="9" t="s">
        <v>60</v>
      </c>
      <c r="Q4455" s="9" t="s">
        <v>26</v>
      </c>
      <c r="R4455" s="9" t="s">
        <v>88</v>
      </c>
      <c r="S4455" s="7" t="s">
        <v>184</v>
      </c>
      <c r="T4455" s="9" t="s">
        <v>39</v>
      </c>
      <c r="U4455" s="7">
        <v>0.39</v>
      </c>
      <c r="V4455" s="12">
        <f>C4455+3</f>
        <v>40476</v>
      </c>
      <c r="W4455">
        <f>IF(D4455=' Pivot Tables'!$A$4,1,0)</f>
        <v>0</v>
      </c>
      <c r="X4455">
        <f>IF(AND(LEFT(D4455,4)+1=LEFT(' Pivot Tables'!$A$4,4)+0,RIGHT(LEFT(D4455,7),2)=RIGHT(LEFT(' Pivot Tables'!$A$4,7),2)),1,0)</f>
        <v>0</v>
      </c>
      <c r="Y4455" s="6">
        <f>1/COUNTIF(Таблица1[Order ID],Таблица1[[#This Row],[Order ID]])</f>
        <v>0.2</v>
      </c>
      <c r="Z4455" s="9">
        <f>1/COUNTIFS(Таблица1[Customer Name],Таблица1[[#This Row],[Customer Name]],Таблица1[Order-Year-Month],Таблица1[[#This Row],[Order-Year-Month]])</f>
        <v>0.2</v>
      </c>
    </row>
    <row r="4456" spans="1:26" x14ac:dyDescent="0.2">
      <c r="A4456" s="6">
        <v>7416</v>
      </c>
      <c r="B4456" s="7">
        <v>52896</v>
      </c>
      <c r="C4456" s="8">
        <f>DATE(2012,12,31)-801</f>
        <v>40473</v>
      </c>
      <c r="D4456" s="8" t="str">
        <f t="shared" si="82"/>
        <v>2010-10 (октябрь 2010)</v>
      </c>
      <c r="E4456" s="9" t="s">
        <v>30</v>
      </c>
      <c r="F4456" s="7">
        <v>36</v>
      </c>
      <c r="G4456" s="7">
        <v>14358.64</v>
      </c>
      <c r="H4456" s="7">
        <v>0.03</v>
      </c>
      <c r="I4456" s="9" t="s">
        <v>31</v>
      </c>
      <c r="J4456" s="10">
        <v>-969.0483660000001</v>
      </c>
      <c r="K4456" s="11">
        <v>400.98</v>
      </c>
      <c r="L4456" s="11">
        <v>76.37</v>
      </c>
      <c r="M4456" s="9" t="s">
        <v>1385</v>
      </c>
      <c r="N4456" s="6" t="s">
        <v>1123</v>
      </c>
      <c r="O4456" s="6" t="s">
        <v>1123</v>
      </c>
      <c r="P4456" s="9" t="s">
        <v>60</v>
      </c>
      <c r="Q4456" s="9" t="s">
        <v>49</v>
      </c>
      <c r="R4456" s="9" t="s">
        <v>83</v>
      </c>
      <c r="S4456" s="7" t="s">
        <v>1136</v>
      </c>
      <c r="T4456" s="9" t="s">
        <v>82</v>
      </c>
      <c r="U4456" s="7">
        <v>0.6</v>
      </c>
      <c r="V4456" s="12">
        <f>C4456+2</f>
        <v>40475</v>
      </c>
      <c r="W4456">
        <f>IF(D4456=' Pivot Tables'!$A$4,1,0)</f>
        <v>0</v>
      </c>
      <c r="X4456">
        <f>IF(AND(LEFT(D4456,4)+1=LEFT(' Pivot Tables'!$A$4,4)+0,RIGHT(LEFT(D4456,7),2)=RIGHT(LEFT(' Pivot Tables'!$A$4,7),2)),1,0)</f>
        <v>0</v>
      </c>
      <c r="Y4456" s="6">
        <f>1/COUNTIF(Таблица1[Order ID],Таблица1[[#This Row],[Order ID]])</f>
        <v>0.2</v>
      </c>
      <c r="Z4456" s="9">
        <f>1/COUNTIFS(Таблица1[Customer Name],Таблица1[[#This Row],[Customer Name]],Таблица1[Order-Year-Month],Таблица1[[#This Row],[Order-Year-Month]])</f>
        <v>0.2</v>
      </c>
    </row>
    <row r="4457" spans="1:26" x14ac:dyDescent="0.2">
      <c r="A4457" s="6">
        <v>7483</v>
      </c>
      <c r="B4457" s="7">
        <v>53441</v>
      </c>
      <c r="C4457" s="8">
        <f>DATE(2012,12,31)-1225</f>
        <v>40049</v>
      </c>
      <c r="D4457" s="8" t="str">
        <f t="shared" si="82"/>
        <v>2009-08 (август 2009)</v>
      </c>
      <c r="E4457" s="9" t="s">
        <v>63</v>
      </c>
      <c r="F4457" s="7">
        <v>7</v>
      </c>
      <c r="G4457" s="7">
        <v>345.37</v>
      </c>
      <c r="H4457" s="7">
        <v>0.01</v>
      </c>
      <c r="I4457" s="9" t="s">
        <v>22</v>
      </c>
      <c r="J4457" s="10">
        <v>84.34</v>
      </c>
      <c r="K4457" s="11">
        <v>48.04</v>
      </c>
      <c r="L4457" s="11">
        <v>5.79</v>
      </c>
      <c r="M4457" s="9" t="s">
        <v>1791</v>
      </c>
      <c r="N4457" s="6" t="s">
        <v>1123</v>
      </c>
      <c r="O4457" s="6" t="s">
        <v>1123</v>
      </c>
      <c r="P4457" s="9" t="s">
        <v>25</v>
      </c>
      <c r="Q4457" s="9" t="s">
        <v>26</v>
      </c>
      <c r="R4457" s="9" t="s">
        <v>61</v>
      </c>
      <c r="S4457" s="7" t="s">
        <v>940</v>
      </c>
      <c r="T4457" s="9" t="s">
        <v>39</v>
      </c>
      <c r="U4457" s="7">
        <v>0.37</v>
      </c>
      <c r="V4457" s="12">
        <f>C4457+1</f>
        <v>40050</v>
      </c>
      <c r="W4457">
        <f>IF(D4457=' Pivot Tables'!$A$4,1,0)</f>
        <v>0</v>
      </c>
      <c r="X4457">
        <f>IF(AND(LEFT(D4457,4)+1=LEFT(' Pivot Tables'!$A$4,4)+0,RIGHT(LEFT(D4457,7),2)=RIGHT(LEFT(' Pivot Tables'!$A$4,7),2)),1,0)</f>
        <v>0</v>
      </c>
      <c r="Y4457" s="6">
        <f>1/COUNTIF(Таблица1[Order ID],Таблица1[[#This Row],[Order ID]])</f>
        <v>1</v>
      </c>
      <c r="Z4457" s="9">
        <f>1/COUNTIFS(Таблица1[Customer Name],Таблица1[[#This Row],[Customer Name]],Таблица1[Order-Year-Month],Таблица1[[#This Row],[Order-Year-Month]])</f>
        <v>1</v>
      </c>
    </row>
    <row r="4458" spans="1:26" x14ac:dyDescent="0.2">
      <c r="A4458" s="6">
        <v>7487</v>
      </c>
      <c r="B4458" s="7">
        <v>53445</v>
      </c>
      <c r="C4458" s="8">
        <f>DATE(2012,12,31)-68</f>
        <v>41206</v>
      </c>
      <c r="D4458" s="8" t="str">
        <f t="shared" si="82"/>
        <v>2012-10 (октябрь 2012)</v>
      </c>
      <c r="E4458" s="9" t="s">
        <v>30</v>
      </c>
      <c r="F4458" s="7">
        <v>8</v>
      </c>
      <c r="G4458" s="7">
        <v>105.95</v>
      </c>
      <c r="H4458" s="7">
        <v>0.01</v>
      </c>
      <c r="I4458" s="9" t="s">
        <v>22</v>
      </c>
      <c r="J4458" s="10">
        <v>-44.33</v>
      </c>
      <c r="K4458" s="11">
        <v>11.66</v>
      </c>
      <c r="L4458" s="11">
        <v>8.99</v>
      </c>
      <c r="M4458" s="9" t="s">
        <v>1759</v>
      </c>
      <c r="N4458" s="6" t="s">
        <v>1123</v>
      </c>
      <c r="O4458" s="6" t="s">
        <v>1123</v>
      </c>
      <c r="P4458" s="9" t="s">
        <v>25</v>
      </c>
      <c r="Q4458" s="9" t="s">
        <v>26</v>
      </c>
      <c r="R4458" s="9" t="s">
        <v>95</v>
      </c>
      <c r="S4458" s="7" t="s">
        <v>498</v>
      </c>
      <c r="T4458" s="9" t="s">
        <v>52</v>
      </c>
      <c r="U4458" s="7">
        <v>0.59</v>
      </c>
      <c r="V4458" s="12">
        <f>C4458+2</f>
        <v>41208</v>
      </c>
      <c r="W4458">
        <f>IF(D4458=' Pivot Tables'!$A$4,1,0)</f>
        <v>0</v>
      </c>
      <c r="X4458">
        <f>IF(AND(LEFT(D4458,4)+1=LEFT(' Pivot Tables'!$A$4,4)+0,RIGHT(LEFT(D4458,7),2)=RIGHT(LEFT(' Pivot Tables'!$A$4,7),2)),1,0)</f>
        <v>0</v>
      </c>
      <c r="Y4458" s="6">
        <f>1/COUNTIF(Таблица1[Order ID],Таблица1[[#This Row],[Order ID]])</f>
        <v>0.5</v>
      </c>
      <c r="Z4458" s="9">
        <f>1/COUNTIFS(Таблица1[Customer Name],Таблица1[[#This Row],[Customer Name]],Таблица1[Order-Year-Month],Таблица1[[#This Row],[Order-Year-Month]])</f>
        <v>0.5</v>
      </c>
    </row>
    <row r="4459" spans="1:26" x14ac:dyDescent="0.2">
      <c r="A4459" s="6">
        <v>7488</v>
      </c>
      <c r="B4459" s="7">
        <v>53445</v>
      </c>
      <c r="C4459" s="8">
        <f>DATE(2012,12,31)-68</f>
        <v>41206</v>
      </c>
      <c r="D4459" s="8" t="str">
        <f t="shared" si="82"/>
        <v>2012-10 (октябрь 2012)</v>
      </c>
      <c r="E4459" s="9" t="s">
        <v>30</v>
      </c>
      <c r="F4459" s="7">
        <v>21</v>
      </c>
      <c r="G4459" s="7">
        <v>73.8</v>
      </c>
      <c r="H4459" s="7">
        <v>0.02</v>
      </c>
      <c r="I4459" s="9" t="s">
        <v>22</v>
      </c>
      <c r="J4459" s="10">
        <v>11.23</v>
      </c>
      <c r="K4459" s="11">
        <v>3.29</v>
      </c>
      <c r="L4459" s="11">
        <v>1.35</v>
      </c>
      <c r="M4459" s="9" t="s">
        <v>1759</v>
      </c>
      <c r="N4459" s="6" t="s">
        <v>1123</v>
      </c>
      <c r="O4459" s="6" t="s">
        <v>1123</v>
      </c>
      <c r="P4459" s="9" t="s">
        <v>25</v>
      </c>
      <c r="Q4459" s="9" t="s">
        <v>26</v>
      </c>
      <c r="R4459" s="9" t="s">
        <v>66</v>
      </c>
      <c r="S4459" s="7" t="s">
        <v>464</v>
      </c>
      <c r="T4459" s="9" t="s">
        <v>68</v>
      </c>
      <c r="U4459" s="7">
        <v>0.4</v>
      </c>
      <c r="V4459" s="12">
        <f>C4459+2</f>
        <v>41208</v>
      </c>
      <c r="W4459">
        <f>IF(D4459=' Pivot Tables'!$A$4,1,0)</f>
        <v>0</v>
      </c>
      <c r="X4459">
        <f>IF(AND(LEFT(D4459,4)+1=LEFT(' Pivot Tables'!$A$4,4)+0,RIGHT(LEFT(D4459,7),2)=RIGHT(LEFT(' Pivot Tables'!$A$4,7),2)),1,0)</f>
        <v>0</v>
      </c>
      <c r="Y4459" s="6">
        <f>1/COUNTIF(Таблица1[Order ID],Таблица1[[#This Row],[Order ID]])</f>
        <v>0.5</v>
      </c>
      <c r="Z4459" s="9">
        <f>1/COUNTIFS(Таблица1[Customer Name],Таблица1[[#This Row],[Customer Name]],Таблица1[Order-Year-Month],Таблица1[[#This Row],[Order-Year-Month]])</f>
        <v>0.5</v>
      </c>
    </row>
    <row r="4460" spans="1:26" x14ac:dyDescent="0.2">
      <c r="A4460" s="6">
        <v>7557</v>
      </c>
      <c r="B4460" s="7">
        <v>54055</v>
      </c>
      <c r="C4460" s="8">
        <f>DATE(2012,12,31)-1417</f>
        <v>39857</v>
      </c>
      <c r="D4460" s="8" t="str">
        <f t="shared" si="82"/>
        <v>2009-02 (февраль 2009)</v>
      </c>
      <c r="E4460" s="9" t="s">
        <v>78</v>
      </c>
      <c r="F4460" s="7">
        <v>44</v>
      </c>
      <c r="G4460" s="7">
        <v>5483.96</v>
      </c>
      <c r="H4460" s="7">
        <v>0.02</v>
      </c>
      <c r="I4460" s="9" t="s">
        <v>31</v>
      </c>
      <c r="J4460" s="10">
        <v>-1330.5</v>
      </c>
      <c r="K4460" s="11">
        <v>120.98</v>
      </c>
      <c r="L4460" s="11">
        <v>58.64</v>
      </c>
      <c r="M4460" s="9" t="s">
        <v>1385</v>
      </c>
      <c r="N4460" s="6" t="s">
        <v>1123</v>
      </c>
      <c r="O4460" s="6" t="s">
        <v>1123</v>
      </c>
      <c r="P4460" s="9" t="s">
        <v>60</v>
      </c>
      <c r="Q4460" s="9" t="s">
        <v>49</v>
      </c>
      <c r="R4460" s="9" t="s">
        <v>80</v>
      </c>
      <c r="S4460" s="7" t="s">
        <v>1247</v>
      </c>
      <c r="T4460" s="9" t="s">
        <v>82</v>
      </c>
      <c r="U4460" s="7">
        <v>0.75</v>
      </c>
      <c r="V4460" s="12">
        <f>C4460+2</f>
        <v>39859</v>
      </c>
      <c r="W4460">
        <f>IF(D4460=' Pivot Tables'!$A$4,1,0)</f>
        <v>0</v>
      </c>
      <c r="X4460">
        <f>IF(AND(LEFT(D4460,4)+1=LEFT(' Pivot Tables'!$A$4,4)+0,RIGHT(LEFT(D4460,7),2)=RIGHT(LEFT(' Pivot Tables'!$A$4,7),2)),1,0)</f>
        <v>0</v>
      </c>
      <c r="Y4460" s="6">
        <f>1/COUNTIF(Таблица1[Order ID],Таблица1[[#This Row],[Order ID]])</f>
        <v>1</v>
      </c>
      <c r="Z4460" s="9">
        <f>1/COUNTIFS(Таблица1[Customer Name],Таблица1[[#This Row],[Customer Name]],Таблица1[Order-Year-Month],Таблица1[[#This Row],[Order-Year-Month]])</f>
        <v>1</v>
      </c>
    </row>
    <row r="4461" spans="1:26" x14ac:dyDescent="0.2">
      <c r="A4461" s="6">
        <v>7570</v>
      </c>
      <c r="B4461" s="7">
        <v>54151</v>
      </c>
      <c r="C4461" s="8">
        <f>DATE(2012,12,31)-1216</f>
        <v>40058</v>
      </c>
      <c r="D4461" s="8" t="str">
        <f t="shared" si="82"/>
        <v>2009-09 (сентябрь 2009)</v>
      </c>
      <c r="E4461" s="9" t="s">
        <v>78</v>
      </c>
      <c r="F4461" s="7">
        <v>35</v>
      </c>
      <c r="G4461" s="7">
        <v>205.87</v>
      </c>
      <c r="H4461" s="7">
        <v>0.03</v>
      </c>
      <c r="I4461" s="9" t="s">
        <v>22</v>
      </c>
      <c r="J4461" s="10">
        <v>65.88</v>
      </c>
      <c r="K4461" s="11">
        <v>5.68</v>
      </c>
      <c r="L4461" s="11">
        <v>1.46</v>
      </c>
      <c r="M4461" s="9" t="s">
        <v>1361</v>
      </c>
      <c r="N4461" s="6" t="s">
        <v>1123</v>
      </c>
      <c r="O4461" s="6" t="s">
        <v>1123</v>
      </c>
      <c r="P4461" s="9" t="s">
        <v>25</v>
      </c>
      <c r="Q4461" s="9" t="s">
        <v>26</v>
      </c>
      <c r="R4461" s="9" t="s">
        <v>61</v>
      </c>
      <c r="S4461" s="7" t="s">
        <v>382</v>
      </c>
      <c r="T4461" s="9" t="s">
        <v>68</v>
      </c>
      <c r="U4461" s="7">
        <v>0.39</v>
      </c>
      <c r="V4461" s="12">
        <f>C4461+1</f>
        <v>40059</v>
      </c>
      <c r="W4461">
        <f>IF(D4461=' Pivot Tables'!$A$4,1,0)</f>
        <v>0</v>
      </c>
      <c r="X4461">
        <f>IF(AND(LEFT(D4461,4)+1=LEFT(' Pivot Tables'!$A$4,4)+0,RIGHT(LEFT(D4461,7),2)=RIGHT(LEFT(' Pivot Tables'!$A$4,7),2)),1,0)</f>
        <v>0</v>
      </c>
      <c r="Y4461" s="6">
        <f>1/COUNTIF(Таблица1[Order ID],Таблица1[[#This Row],[Order ID]])</f>
        <v>0.5</v>
      </c>
      <c r="Z4461" s="9">
        <f>1/COUNTIFS(Таблица1[Customer Name],Таблица1[[#This Row],[Customer Name]],Таблица1[Order-Year-Month],Таблица1[[#This Row],[Order-Year-Month]])</f>
        <v>0.2</v>
      </c>
    </row>
    <row r="4462" spans="1:26" x14ac:dyDescent="0.2">
      <c r="A4462" s="6">
        <v>7571</v>
      </c>
      <c r="B4462" s="7">
        <v>54151</v>
      </c>
      <c r="C4462" s="8">
        <f>DATE(2012,12,31)-1216</f>
        <v>40058</v>
      </c>
      <c r="D4462" s="8" t="str">
        <f t="shared" si="82"/>
        <v>2009-09 (сентябрь 2009)</v>
      </c>
      <c r="E4462" s="9" t="s">
        <v>78</v>
      </c>
      <c r="F4462" s="7">
        <v>38</v>
      </c>
      <c r="G4462" s="7">
        <v>65.12</v>
      </c>
      <c r="H4462" s="7">
        <v>7.0000000000000007E-2</v>
      </c>
      <c r="I4462" s="9" t="s">
        <v>22</v>
      </c>
      <c r="J4462" s="10">
        <v>1.42</v>
      </c>
      <c r="K4462" s="11">
        <v>1.68</v>
      </c>
      <c r="L4462" s="11">
        <v>1</v>
      </c>
      <c r="M4462" s="9" t="s">
        <v>1361</v>
      </c>
      <c r="N4462" s="6" t="s">
        <v>1123</v>
      </c>
      <c r="O4462" s="6" t="s">
        <v>1123</v>
      </c>
      <c r="P4462" s="9" t="s">
        <v>25</v>
      </c>
      <c r="Q4462" s="9" t="s">
        <v>26</v>
      </c>
      <c r="R4462" s="9" t="s">
        <v>95</v>
      </c>
      <c r="S4462" s="7" t="s">
        <v>1468</v>
      </c>
      <c r="T4462" s="9" t="s">
        <v>68</v>
      </c>
      <c r="U4462" s="7">
        <v>0.35</v>
      </c>
      <c r="V4462" s="12">
        <f>C4462+1</f>
        <v>40059</v>
      </c>
      <c r="W4462">
        <f>IF(D4462=' Pivot Tables'!$A$4,1,0)</f>
        <v>0</v>
      </c>
      <c r="X4462">
        <f>IF(AND(LEFT(D4462,4)+1=LEFT(' Pivot Tables'!$A$4,4)+0,RIGHT(LEFT(D4462,7),2)=RIGHT(LEFT(' Pivot Tables'!$A$4,7),2)),1,0)</f>
        <v>0</v>
      </c>
      <c r="Y4462" s="6">
        <f>1/COUNTIF(Таблица1[Order ID],Таблица1[[#This Row],[Order ID]])</f>
        <v>0.5</v>
      </c>
      <c r="Z4462" s="9">
        <f>1/COUNTIFS(Таблица1[Customer Name],Таблица1[[#This Row],[Customer Name]],Таблица1[Order-Year-Month],Таблица1[[#This Row],[Order-Year-Month]])</f>
        <v>0.2</v>
      </c>
    </row>
    <row r="4463" spans="1:26" x14ac:dyDescent="0.2">
      <c r="A4463" s="6">
        <v>7576</v>
      </c>
      <c r="B4463" s="7">
        <v>54181</v>
      </c>
      <c r="C4463" s="8">
        <f>DATE(2012,12,31)-227</f>
        <v>41047</v>
      </c>
      <c r="D4463" s="8" t="str">
        <f t="shared" si="82"/>
        <v>2012-05 (май 2012)</v>
      </c>
      <c r="E4463" s="9" t="s">
        <v>30</v>
      </c>
      <c r="F4463" s="7">
        <v>12</v>
      </c>
      <c r="G4463" s="7">
        <v>2608.79</v>
      </c>
      <c r="H4463" s="7">
        <v>0.03</v>
      </c>
      <c r="I4463" s="9" t="s">
        <v>31</v>
      </c>
      <c r="J4463" s="10">
        <v>67.36000000000007</v>
      </c>
      <c r="K4463" s="11">
        <v>213.45</v>
      </c>
      <c r="L4463" s="11">
        <v>14.7</v>
      </c>
      <c r="M4463" s="9" t="s">
        <v>1171</v>
      </c>
      <c r="N4463" s="6" t="s">
        <v>1123</v>
      </c>
      <c r="O4463" s="6" t="s">
        <v>1123</v>
      </c>
      <c r="P4463" s="9" t="s">
        <v>60</v>
      </c>
      <c r="Q4463" s="9" t="s">
        <v>42</v>
      </c>
      <c r="R4463" s="9" t="s">
        <v>210</v>
      </c>
      <c r="S4463" s="7" t="s">
        <v>1700</v>
      </c>
      <c r="T4463" s="9" t="s">
        <v>36</v>
      </c>
      <c r="U4463" s="7">
        <v>0.59</v>
      </c>
      <c r="V4463" s="12">
        <f>C4463+2</f>
        <v>41049</v>
      </c>
      <c r="W4463">
        <f>IF(D4463=' Pivot Tables'!$A$4,1,0)</f>
        <v>0</v>
      </c>
      <c r="X4463">
        <f>IF(AND(LEFT(D4463,4)+1=LEFT(' Pivot Tables'!$A$4,4)+0,RIGHT(LEFT(D4463,7),2)=RIGHT(LEFT(' Pivot Tables'!$A$4,7),2)),1,0)</f>
        <v>0</v>
      </c>
      <c r="Y4463" s="6">
        <f>1/COUNTIF(Таблица1[Order ID],Таблица1[[#This Row],[Order ID]])</f>
        <v>1</v>
      </c>
      <c r="Z4463" s="9">
        <f>1/COUNTIFS(Таблица1[Customer Name],Таблица1[[#This Row],[Customer Name]],Таблица1[Order-Year-Month],Таблица1[[#This Row],[Order-Year-Month]])</f>
        <v>1</v>
      </c>
    </row>
    <row r="4464" spans="1:26" x14ac:dyDescent="0.2">
      <c r="A4464" s="6">
        <v>7582</v>
      </c>
      <c r="B4464" s="7">
        <v>54243</v>
      </c>
      <c r="C4464" s="8">
        <f>DATE(2012,12,31)-1202</f>
        <v>40072</v>
      </c>
      <c r="D4464" s="8" t="str">
        <f t="shared" si="82"/>
        <v>2009-09 (сентябрь 2009)</v>
      </c>
      <c r="E4464" s="9" t="s">
        <v>21</v>
      </c>
      <c r="F4464" s="7">
        <v>6</v>
      </c>
      <c r="G4464" s="7">
        <v>907.24</v>
      </c>
      <c r="H4464" s="7">
        <v>7.0000000000000007E-2</v>
      </c>
      <c r="I4464" s="9" t="s">
        <v>56</v>
      </c>
      <c r="J4464" s="10">
        <v>-634.73410000000013</v>
      </c>
      <c r="K4464" s="11">
        <v>154.13</v>
      </c>
      <c r="L4464" s="11">
        <v>69</v>
      </c>
      <c r="M4464" s="9" t="s">
        <v>1361</v>
      </c>
      <c r="N4464" s="6" t="s">
        <v>1123</v>
      </c>
      <c r="O4464" s="6" t="s">
        <v>1123</v>
      </c>
      <c r="P4464" s="9" t="s">
        <v>60</v>
      </c>
      <c r="Q4464" s="9" t="s">
        <v>49</v>
      </c>
      <c r="R4464" s="9" t="s">
        <v>83</v>
      </c>
      <c r="S4464" s="7" t="s">
        <v>778</v>
      </c>
      <c r="T4464" s="9" t="s">
        <v>29</v>
      </c>
      <c r="U4464" s="7">
        <v>0.68</v>
      </c>
      <c r="V4464" s="12">
        <f>C4464+0</f>
        <v>40072</v>
      </c>
      <c r="W4464">
        <f>IF(D4464=' Pivot Tables'!$A$4,1,0)</f>
        <v>0</v>
      </c>
      <c r="X4464">
        <f>IF(AND(LEFT(D4464,4)+1=LEFT(' Pivot Tables'!$A$4,4)+0,RIGHT(LEFT(D4464,7),2)=RIGHT(LEFT(' Pivot Tables'!$A$4,7),2)),1,0)</f>
        <v>0</v>
      </c>
      <c r="Y4464" s="6">
        <f>1/COUNTIF(Таблица1[Order ID],Таблица1[[#This Row],[Order ID]])</f>
        <v>1</v>
      </c>
      <c r="Z4464" s="9">
        <f>1/COUNTIFS(Таблица1[Customer Name],Таблица1[[#This Row],[Customer Name]],Таблица1[Order-Year-Month],Таблица1[[#This Row],[Order-Year-Month]])</f>
        <v>0.2</v>
      </c>
    </row>
    <row r="4465" spans="1:26" x14ac:dyDescent="0.2">
      <c r="A4465" s="6">
        <v>7604</v>
      </c>
      <c r="B4465" s="7">
        <v>54407</v>
      </c>
      <c r="C4465" s="8">
        <f>DATE(2012,12,31)-929</f>
        <v>40345</v>
      </c>
      <c r="D4465" s="8" t="str">
        <f t="shared" si="82"/>
        <v>2010-06 (июнь 2010)</v>
      </c>
      <c r="E4465" s="9" t="s">
        <v>63</v>
      </c>
      <c r="F4465" s="7">
        <v>24</v>
      </c>
      <c r="G4465" s="7">
        <v>9396.27</v>
      </c>
      <c r="H4465" s="7">
        <v>7.0000000000000007E-2</v>
      </c>
      <c r="I4465" s="9" t="s">
        <v>22</v>
      </c>
      <c r="J4465" s="10">
        <v>3857.5719999999997</v>
      </c>
      <c r="K4465" s="11">
        <v>420.98</v>
      </c>
      <c r="L4465" s="11">
        <v>19.989999999999998</v>
      </c>
      <c r="M4465" s="9" t="s">
        <v>1781</v>
      </c>
      <c r="N4465" s="6" t="s">
        <v>1123</v>
      </c>
      <c r="O4465" s="6" t="s">
        <v>1123</v>
      </c>
      <c r="P4465" s="9" t="s">
        <v>41</v>
      </c>
      <c r="Q4465" s="9" t="s">
        <v>26</v>
      </c>
      <c r="R4465" s="9" t="s">
        <v>37</v>
      </c>
      <c r="S4465" s="7" t="s">
        <v>607</v>
      </c>
      <c r="T4465" s="9" t="s">
        <v>39</v>
      </c>
      <c r="U4465" s="7">
        <v>0.35</v>
      </c>
      <c r="V4465" s="12">
        <f>C4465+1</f>
        <v>40346</v>
      </c>
      <c r="W4465">
        <f>IF(D4465=' Pivot Tables'!$A$4,1,0)</f>
        <v>0</v>
      </c>
      <c r="X4465">
        <f>IF(AND(LEFT(D4465,4)+1=LEFT(' Pivot Tables'!$A$4,4)+0,RIGHT(LEFT(D4465,7),2)=RIGHT(LEFT(' Pivot Tables'!$A$4,7),2)),1,0)</f>
        <v>0</v>
      </c>
      <c r="Y4465" s="6">
        <f>1/COUNTIF(Таблица1[Order ID],Таблица1[[#This Row],[Order ID]])</f>
        <v>1</v>
      </c>
      <c r="Z4465" s="9">
        <f>1/COUNTIFS(Таблица1[Customer Name],Таблица1[[#This Row],[Customer Name]],Таблица1[Order-Year-Month],Таблица1[[#This Row],[Order-Year-Month]])</f>
        <v>1</v>
      </c>
    </row>
    <row r="4466" spans="1:26" x14ac:dyDescent="0.2">
      <c r="A4466" s="6">
        <v>7735</v>
      </c>
      <c r="B4466" s="7">
        <v>55394</v>
      </c>
      <c r="C4466" s="8">
        <f>DATE(2012,12,31)-1039</f>
        <v>40235</v>
      </c>
      <c r="D4466" s="8" t="str">
        <f t="shared" si="82"/>
        <v>2010-02 (февраль 2010)</v>
      </c>
      <c r="E4466" s="9" t="s">
        <v>78</v>
      </c>
      <c r="F4466" s="7">
        <v>21</v>
      </c>
      <c r="G4466" s="7">
        <v>340.7</v>
      </c>
      <c r="H4466" s="7">
        <v>0.05</v>
      </c>
      <c r="I4466" s="9" t="s">
        <v>31</v>
      </c>
      <c r="J4466" s="10">
        <v>11.650950000000002</v>
      </c>
      <c r="K4466" s="11">
        <v>15.23</v>
      </c>
      <c r="L4466" s="11">
        <v>27.75</v>
      </c>
      <c r="M4466" s="9" t="s">
        <v>1796</v>
      </c>
      <c r="N4466" s="6" t="s">
        <v>1123</v>
      </c>
      <c r="O4466" s="6" t="s">
        <v>1123</v>
      </c>
      <c r="P4466" s="9" t="s">
        <v>41</v>
      </c>
      <c r="Q4466" s="9" t="s">
        <v>49</v>
      </c>
      <c r="R4466" s="9" t="s">
        <v>83</v>
      </c>
      <c r="S4466" s="7" t="s">
        <v>1186</v>
      </c>
      <c r="T4466" s="9" t="s">
        <v>82</v>
      </c>
      <c r="U4466" s="7">
        <v>0.76</v>
      </c>
      <c r="V4466" s="12">
        <f>C4466+2</f>
        <v>40237</v>
      </c>
      <c r="W4466">
        <f>IF(D4466=' Pivot Tables'!$A$4,1,0)</f>
        <v>0</v>
      </c>
      <c r="X4466">
        <f>IF(AND(LEFT(D4466,4)+1=LEFT(' Pivot Tables'!$A$4,4)+0,RIGHT(LEFT(D4466,7),2)=RIGHT(LEFT(' Pivot Tables'!$A$4,7),2)),1,0)</f>
        <v>0</v>
      </c>
      <c r="Y4466" s="6">
        <f>1/COUNTIF(Таблица1[Order ID],Таблица1[[#This Row],[Order ID]])</f>
        <v>1</v>
      </c>
      <c r="Z4466" s="9">
        <f>1/COUNTIFS(Таблица1[Customer Name],Таблица1[[#This Row],[Customer Name]],Таблица1[Order-Year-Month],Таблица1[[#This Row],[Order-Year-Month]])</f>
        <v>1</v>
      </c>
    </row>
    <row r="4467" spans="1:26" x14ac:dyDescent="0.2">
      <c r="A4467" s="6">
        <v>7835</v>
      </c>
      <c r="B4467" s="7">
        <v>56003</v>
      </c>
      <c r="C4467" s="8">
        <f>DATE(2012,12,31)-1000</f>
        <v>40274</v>
      </c>
      <c r="D4467" s="8" t="str">
        <f t="shared" si="82"/>
        <v>2010-04 (апрель 2010)</v>
      </c>
      <c r="E4467" s="9" t="s">
        <v>78</v>
      </c>
      <c r="F4467" s="7">
        <v>13</v>
      </c>
      <c r="G4467" s="7">
        <v>1835.47</v>
      </c>
      <c r="H4467" s="7">
        <v>0.1</v>
      </c>
      <c r="I4467" s="9" t="s">
        <v>31</v>
      </c>
      <c r="J4467" s="10">
        <v>-364.87336600000009</v>
      </c>
      <c r="K4467" s="11">
        <v>150.97999999999999</v>
      </c>
      <c r="L4467" s="11">
        <v>16.010000000000002</v>
      </c>
      <c r="M4467" s="9" t="s">
        <v>1540</v>
      </c>
      <c r="N4467" s="6" t="s">
        <v>1123</v>
      </c>
      <c r="O4467" s="6" t="s">
        <v>1123</v>
      </c>
      <c r="P4467" s="9" t="s">
        <v>33</v>
      </c>
      <c r="Q4467" s="9" t="s">
        <v>49</v>
      </c>
      <c r="R4467" s="9" t="s">
        <v>83</v>
      </c>
      <c r="S4467" s="7" t="s">
        <v>1404</v>
      </c>
      <c r="T4467" s="9" t="s">
        <v>82</v>
      </c>
      <c r="U4467" s="7">
        <v>0.7</v>
      </c>
      <c r="V4467" s="12">
        <f>C4467+1</f>
        <v>40275</v>
      </c>
      <c r="W4467">
        <f>IF(D4467=' Pivot Tables'!$A$4,1,0)</f>
        <v>0</v>
      </c>
      <c r="X4467">
        <f>IF(AND(LEFT(D4467,4)+1=LEFT(' Pivot Tables'!$A$4,4)+0,RIGHT(LEFT(D4467,7),2)=RIGHT(LEFT(' Pivot Tables'!$A$4,7),2)),1,0)</f>
        <v>0</v>
      </c>
      <c r="Y4467" s="6">
        <f>1/COUNTIF(Таблица1[Order ID],Таблица1[[#This Row],[Order ID]])</f>
        <v>1</v>
      </c>
      <c r="Z4467" s="9">
        <f>1/COUNTIFS(Таблица1[Customer Name],Таблица1[[#This Row],[Customer Name]],Таблица1[Order-Year-Month],Таблица1[[#This Row],[Order-Year-Month]])</f>
        <v>1</v>
      </c>
    </row>
    <row r="4468" spans="1:26" x14ac:dyDescent="0.2">
      <c r="A4468" s="6">
        <v>7848</v>
      </c>
      <c r="B4468" s="7">
        <v>56128</v>
      </c>
      <c r="C4468" s="8">
        <f>DATE(2012,12,31)-885</f>
        <v>40389</v>
      </c>
      <c r="D4468" s="8" t="str">
        <f t="shared" si="82"/>
        <v>2010-07 (июль 2010)</v>
      </c>
      <c r="E4468" s="9" t="s">
        <v>63</v>
      </c>
      <c r="F4468" s="7">
        <v>41</v>
      </c>
      <c r="G4468" s="7">
        <v>902.19</v>
      </c>
      <c r="H4468" s="7">
        <v>0.08</v>
      </c>
      <c r="I4468" s="9" t="s">
        <v>22</v>
      </c>
      <c r="J4468" s="10">
        <v>-49.66</v>
      </c>
      <c r="K4468" s="11">
        <v>22.99</v>
      </c>
      <c r="L4468" s="11">
        <v>8.99</v>
      </c>
      <c r="M4468" s="9" t="s">
        <v>1090</v>
      </c>
      <c r="N4468" s="6" t="s">
        <v>1123</v>
      </c>
      <c r="O4468" s="6" t="s">
        <v>1123</v>
      </c>
      <c r="P4468" s="9" t="s">
        <v>25</v>
      </c>
      <c r="Q4468" s="9" t="s">
        <v>26</v>
      </c>
      <c r="R4468" s="9" t="s">
        <v>95</v>
      </c>
      <c r="S4468" s="7" t="s">
        <v>554</v>
      </c>
      <c r="T4468" s="9" t="s">
        <v>52</v>
      </c>
      <c r="U4468" s="7">
        <v>0.56999999999999995</v>
      </c>
      <c r="V4468" s="12">
        <f>C4468+0</f>
        <v>40389</v>
      </c>
      <c r="W4468">
        <f>IF(D4468=' Pivot Tables'!$A$4,1,0)</f>
        <v>0</v>
      </c>
      <c r="X4468">
        <f>IF(AND(LEFT(D4468,4)+1=LEFT(' Pivot Tables'!$A$4,4)+0,RIGHT(LEFT(D4468,7),2)=RIGHT(LEFT(' Pivot Tables'!$A$4,7),2)),1,0)</f>
        <v>0</v>
      </c>
      <c r="Y4468" s="6">
        <f>1/COUNTIF(Таблица1[Order ID],Таблица1[[#This Row],[Order ID]])</f>
        <v>0.5</v>
      </c>
      <c r="Z4468" s="9">
        <f>1/COUNTIFS(Таблица1[Customer Name],Таблица1[[#This Row],[Customer Name]],Таблица1[Order-Year-Month],Таблица1[[#This Row],[Order-Year-Month]])</f>
        <v>0.2</v>
      </c>
    </row>
    <row r="4469" spans="1:26" x14ac:dyDescent="0.2">
      <c r="A4469" s="6">
        <v>7849</v>
      </c>
      <c r="B4469" s="7">
        <v>56128</v>
      </c>
      <c r="C4469" s="8">
        <f>DATE(2012,12,31)-885</f>
        <v>40389</v>
      </c>
      <c r="D4469" s="8" t="str">
        <f t="shared" si="82"/>
        <v>2010-07 (июль 2010)</v>
      </c>
      <c r="E4469" s="9" t="s">
        <v>63</v>
      </c>
      <c r="F4469" s="7">
        <v>19</v>
      </c>
      <c r="G4469" s="7">
        <v>657.23199999999997</v>
      </c>
      <c r="H4469" s="7">
        <v>0.1</v>
      </c>
      <c r="I4469" s="9" t="s">
        <v>31</v>
      </c>
      <c r="J4469" s="10">
        <v>33.988949999999996</v>
      </c>
      <c r="K4469" s="11">
        <v>44.43</v>
      </c>
      <c r="L4469" s="11">
        <v>46.59</v>
      </c>
      <c r="M4469" s="9" t="s">
        <v>1090</v>
      </c>
      <c r="N4469" s="6" t="s">
        <v>1123</v>
      </c>
      <c r="O4469" s="6" t="s">
        <v>1123</v>
      </c>
      <c r="P4469" s="9" t="s">
        <v>25</v>
      </c>
      <c r="Q4469" s="9" t="s">
        <v>49</v>
      </c>
      <c r="R4469" s="9" t="s">
        <v>83</v>
      </c>
      <c r="S4469" s="7" t="s">
        <v>1528</v>
      </c>
      <c r="T4469" s="9" t="s">
        <v>82</v>
      </c>
      <c r="U4469" s="7">
        <v>0.67</v>
      </c>
      <c r="V4469" s="12">
        <f>C4469+1</f>
        <v>40390</v>
      </c>
      <c r="W4469">
        <f>IF(D4469=' Pivot Tables'!$A$4,1,0)</f>
        <v>0</v>
      </c>
      <c r="X4469">
        <f>IF(AND(LEFT(D4469,4)+1=LEFT(' Pivot Tables'!$A$4,4)+0,RIGHT(LEFT(D4469,7),2)=RIGHT(LEFT(' Pivot Tables'!$A$4,7),2)),1,0)</f>
        <v>0</v>
      </c>
      <c r="Y4469" s="6">
        <f>1/COUNTIF(Таблица1[Order ID],Таблица1[[#This Row],[Order ID]])</f>
        <v>0.5</v>
      </c>
      <c r="Z4469" s="9">
        <f>1/COUNTIFS(Таблица1[Customer Name],Таблица1[[#This Row],[Customer Name]],Таблица1[Order-Year-Month],Таблица1[[#This Row],[Order-Year-Month]])</f>
        <v>0.2</v>
      </c>
    </row>
    <row r="4470" spans="1:26" x14ac:dyDescent="0.2">
      <c r="A4470" s="6">
        <v>7882</v>
      </c>
      <c r="B4470" s="7">
        <v>56384</v>
      </c>
      <c r="C4470" s="8">
        <f>DATE(2012,12,31)-153</f>
        <v>41121</v>
      </c>
      <c r="D4470" s="8" t="str">
        <f t="shared" si="82"/>
        <v>2012-07 (июль 2012)</v>
      </c>
      <c r="E4470" s="9" t="s">
        <v>78</v>
      </c>
      <c r="F4470" s="7">
        <v>47</v>
      </c>
      <c r="G4470" s="7">
        <v>257.2</v>
      </c>
      <c r="H4470" s="7">
        <v>0.04</v>
      </c>
      <c r="I4470" s="9" t="s">
        <v>22</v>
      </c>
      <c r="J4470" s="10">
        <v>-2172.14</v>
      </c>
      <c r="K4470" s="11">
        <v>4.4800000000000004</v>
      </c>
      <c r="L4470" s="11">
        <v>49</v>
      </c>
      <c r="M4470" s="9" t="s">
        <v>1792</v>
      </c>
      <c r="N4470" s="6" t="s">
        <v>1123</v>
      </c>
      <c r="O4470" s="6" t="s">
        <v>1123</v>
      </c>
      <c r="P4470" s="9" t="s">
        <v>25</v>
      </c>
      <c r="Q4470" s="9" t="s">
        <v>26</v>
      </c>
      <c r="R4470" s="9" t="s">
        <v>34</v>
      </c>
      <c r="S4470" s="7" t="s">
        <v>128</v>
      </c>
      <c r="T4470" s="9" t="s">
        <v>29</v>
      </c>
      <c r="U4470" s="7">
        <v>0.6</v>
      </c>
      <c r="V4470" s="12">
        <f>C4470+1</f>
        <v>41122</v>
      </c>
      <c r="W4470">
        <f>IF(D4470=' Pivot Tables'!$A$4,1,0)</f>
        <v>0</v>
      </c>
      <c r="X4470">
        <f>IF(AND(LEFT(D4470,4)+1=LEFT(' Pivot Tables'!$A$4,4)+0,RIGHT(LEFT(D4470,7),2)=RIGHT(LEFT(' Pivot Tables'!$A$4,7),2)),1,0)</f>
        <v>0</v>
      </c>
      <c r="Y4470" s="6">
        <f>1/COUNTIF(Таблица1[Order ID],Таблица1[[#This Row],[Order ID]])</f>
        <v>0.5</v>
      </c>
      <c r="Z4470" s="9">
        <f>1/COUNTIFS(Таблица1[Customer Name],Таблица1[[#This Row],[Customer Name]],Таблица1[Order-Year-Month],Таблица1[[#This Row],[Order-Year-Month]])</f>
        <v>0.5</v>
      </c>
    </row>
    <row r="4471" spans="1:26" x14ac:dyDescent="0.2">
      <c r="A4471" s="6">
        <v>7883</v>
      </c>
      <c r="B4471" s="7">
        <v>56384</v>
      </c>
      <c r="C4471" s="8">
        <f>DATE(2012,12,31)-153</f>
        <v>41121</v>
      </c>
      <c r="D4471" s="8" t="str">
        <f t="shared" si="82"/>
        <v>2012-07 (июль 2012)</v>
      </c>
      <c r="E4471" s="9" t="s">
        <v>78</v>
      </c>
      <c r="F4471" s="7">
        <v>29</v>
      </c>
      <c r="G4471" s="7">
        <v>6139.34</v>
      </c>
      <c r="H4471" s="7">
        <v>0.08</v>
      </c>
      <c r="I4471" s="9" t="s">
        <v>31</v>
      </c>
      <c r="J4471" s="10">
        <v>-528.65312500000005</v>
      </c>
      <c r="K4471" s="11">
        <v>218.75</v>
      </c>
      <c r="L4471" s="11">
        <v>69.64</v>
      </c>
      <c r="M4471" s="9" t="s">
        <v>1792</v>
      </c>
      <c r="N4471" s="6" t="s">
        <v>1123</v>
      </c>
      <c r="O4471" s="6" t="s">
        <v>1123</v>
      </c>
      <c r="P4471" s="9" t="s">
        <v>25</v>
      </c>
      <c r="Q4471" s="9" t="s">
        <v>49</v>
      </c>
      <c r="R4471" s="9" t="s">
        <v>83</v>
      </c>
      <c r="S4471" s="7" t="s">
        <v>254</v>
      </c>
      <c r="T4471" s="9" t="s">
        <v>82</v>
      </c>
      <c r="U4471" s="7">
        <v>0.77</v>
      </c>
      <c r="V4471" s="12">
        <f>C4471+2</f>
        <v>41123</v>
      </c>
      <c r="W4471">
        <f>IF(D4471=' Pivot Tables'!$A$4,1,0)</f>
        <v>0</v>
      </c>
      <c r="X4471">
        <f>IF(AND(LEFT(D4471,4)+1=LEFT(' Pivot Tables'!$A$4,4)+0,RIGHT(LEFT(D4471,7),2)=RIGHT(LEFT(' Pivot Tables'!$A$4,7),2)),1,0)</f>
        <v>0</v>
      </c>
      <c r="Y4471" s="6">
        <f>1/COUNTIF(Таблица1[Order ID],Таблица1[[#This Row],[Order ID]])</f>
        <v>0.5</v>
      </c>
      <c r="Z4471" s="9">
        <f>1/COUNTIFS(Таблица1[Customer Name],Таблица1[[#This Row],[Customer Name]],Таблица1[Order-Year-Month],Таблица1[[#This Row],[Order-Year-Month]])</f>
        <v>0.5</v>
      </c>
    </row>
    <row r="4472" spans="1:26" x14ac:dyDescent="0.2">
      <c r="A4472" s="6">
        <v>7926</v>
      </c>
      <c r="B4472" s="7">
        <v>56646</v>
      </c>
      <c r="C4472" s="8">
        <f>DATE(2012,12,31)-957</f>
        <v>40317</v>
      </c>
      <c r="D4472" s="8" t="str">
        <f t="shared" si="82"/>
        <v>2010-05 (май 2010)</v>
      </c>
      <c r="E4472" s="9" t="s">
        <v>78</v>
      </c>
      <c r="F4472" s="7">
        <v>41</v>
      </c>
      <c r="G4472" s="7">
        <v>4257.2759999999998</v>
      </c>
      <c r="H4472" s="7">
        <v>0.04</v>
      </c>
      <c r="I4472" s="9" t="s">
        <v>22</v>
      </c>
      <c r="J4472" s="10">
        <v>1059.0840000000001</v>
      </c>
      <c r="K4472" s="11">
        <v>125.99</v>
      </c>
      <c r="L4472" s="11">
        <v>2.5</v>
      </c>
      <c r="M4472" s="9" t="s">
        <v>1171</v>
      </c>
      <c r="N4472" s="6" t="s">
        <v>1123</v>
      </c>
      <c r="O4472" s="6" t="s">
        <v>1123</v>
      </c>
      <c r="P4472" s="9" t="s">
        <v>60</v>
      </c>
      <c r="Q4472" s="9" t="s">
        <v>42</v>
      </c>
      <c r="R4472" s="9" t="s">
        <v>43</v>
      </c>
      <c r="S4472" s="7" t="s">
        <v>954</v>
      </c>
      <c r="T4472" s="9" t="s">
        <v>39</v>
      </c>
      <c r="U4472" s="7">
        <v>0.6</v>
      </c>
      <c r="V4472" s="12">
        <f>C4472+1</f>
        <v>40318</v>
      </c>
      <c r="W4472">
        <f>IF(D4472=' Pivot Tables'!$A$4,1,0)</f>
        <v>0</v>
      </c>
      <c r="X4472">
        <f>IF(AND(LEFT(D4472,4)+1=LEFT(' Pivot Tables'!$A$4,4)+0,RIGHT(LEFT(D4472,7),2)=RIGHT(LEFT(' Pivot Tables'!$A$4,7),2)),1,0)</f>
        <v>0</v>
      </c>
      <c r="Y4472" s="6">
        <f>1/COUNTIF(Таблица1[Order ID],Таблица1[[#This Row],[Order ID]])</f>
        <v>1</v>
      </c>
      <c r="Z4472" s="9">
        <f>1/COUNTIFS(Таблица1[Customer Name],Таблица1[[#This Row],[Customer Name]],Таблица1[Order-Year-Month],Таблица1[[#This Row],[Order-Year-Month]])</f>
        <v>1</v>
      </c>
    </row>
    <row r="4473" spans="1:26" x14ac:dyDescent="0.2">
      <c r="A4473" s="6">
        <v>7968</v>
      </c>
      <c r="B4473" s="7">
        <v>56967</v>
      </c>
      <c r="C4473" s="8">
        <f>DATE(2012,12,31)-304</f>
        <v>40970</v>
      </c>
      <c r="D4473" s="8" t="str">
        <f t="shared" si="82"/>
        <v>2012-03 (март 2012)</v>
      </c>
      <c r="E4473" s="9" t="s">
        <v>21</v>
      </c>
      <c r="F4473" s="7">
        <v>17</v>
      </c>
      <c r="G4473" s="7">
        <v>1383.9</v>
      </c>
      <c r="H4473" s="7">
        <v>0.05</v>
      </c>
      <c r="I4473" s="9" t="s">
        <v>56</v>
      </c>
      <c r="J4473" s="10">
        <v>311.58</v>
      </c>
      <c r="K4473" s="11">
        <v>83.1</v>
      </c>
      <c r="L4473" s="11">
        <v>6.13</v>
      </c>
      <c r="M4473" s="9" t="s">
        <v>1778</v>
      </c>
      <c r="N4473" s="6" t="s">
        <v>1123</v>
      </c>
      <c r="O4473" s="6" t="s">
        <v>1123</v>
      </c>
      <c r="P4473" s="9" t="s">
        <v>60</v>
      </c>
      <c r="Q4473" s="9" t="s">
        <v>42</v>
      </c>
      <c r="R4473" s="9" t="s">
        <v>70</v>
      </c>
      <c r="S4473" s="7" t="s">
        <v>573</v>
      </c>
      <c r="T4473" s="9" t="s">
        <v>39</v>
      </c>
      <c r="U4473" s="7">
        <v>0.45</v>
      </c>
      <c r="V4473" s="12">
        <f>C4473+7</f>
        <v>40977</v>
      </c>
      <c r="W4473">
        <f>IF(D4473=' Pivot Tables'!$A$4,1,0)</f>
        <v>0</v>
      </c>
      <c r="X4473">
        <f>IF(AND(LEFT(D4473,4)+1=LEFT(' Pivot Tables'!$A$4,4)+0,RIGHT(LEFT(D4473,7),2)=RIGHT(LEFT(' Pivot Tables'!$A$4,7),2)),1,0)</f>
        <v>0</v>
      </c>
      <c r="Y4473" s="6">
        <f>1/COUNTIF(Таблица1[Order ID],Таблица1[[#This Row],[Order ID]])</f>
        <v>1</v>
      </c>
      <c r="Z4473" s="9">
        <f>1/COUNTIFS(Таблица1[Customer Name],Таблица1[[#This Row],[Customer Name]],Таблица1[Order-Year-Month],Таблица1[[#This Row],[Order-Year-Month]])</f>
        <v>0.5</v>
      </c>
    </row>
    <row r="4474" spans="1:26" x14ac:dyDescent="0.2">
      <c r="A4474" s="6">
        <v>8053</v>
      </c>
      <c r="B4474" s="7">
        <v>57479</v>
      </c>
      <c r="C4474" s="8">
        <f>DATE(2012,12,31)-657</f>
        <v>40617</v>
      </c>
      <c r="D4474" s="8" t="str">
        <f t="shared" si="82"/>
        <v>2011-03 (март 2011)</v>
      </c>
      <c r="E4474" s="9" t="s">
        <v>30</v>
      </c>
      <c r="F4474" s="7">
        <v>37</v>
      </c>
      <c r="G4474" s="7">
        <v>132.12</v>
      </c>
      <c r="H4474" s="7">
        <v>7.0000000000000007E-2</v>
      </c>
      <c r="I4474" s="9" t="s">
        <v>22</v>
      </c>
      <c r="J4474" s="10">
        <v>54.78</v>
      </c>
      <c r="K4474" s="11">
        <v>3.75</v>
      </c>
      <c r="L4474" s="11">
        <v>0.5</v>
      </c>
      <c r="M4474" s="9" t="s">
        <v>1361</v>
      </c>
      <c r="N4474" s="6" t="s">
        <v>1123</v>
      </c>
      <c r="O4474" s="6" t="s">
        <v>1123</v>
      </c>
      <c r="P4474" s="9" t="s">
        <v>41</v>
      </c>
      <c r="Q4474" s="9" t="s">
        <v>26</v>
      </c>
      <c r="R4474" s="9" t="s">
        <v>88</v>
      </c>
      <c r="S4474" s="7" t="s">
        <v>959</v>
      </c>
      <c r="T4474" s="9" t="s">
        <v>39</v>
      </c>
      <c r="U4474" s="7">
        <v>0.37</v>
      </c>
      <c r="V4474" s="12">
        <f>C4474+1</f>
        <v>40618</v>
      </c>
      <c r="W4474">
        <f>IF(D4474=' Pivot Tables'!$A$4,1,0)</f>
        <v>0</v>
      </c>
      <c r="X4474">
        <f>IF(AND(LEFT(D4474,4)+1=LEFT(' Pivot Tables'!$A$4,4)+0,RIGHT(LEFT(D4474,7),2)=RIGHT(LEFT(' Pivot Tables'!$A$4,7),2)),1,0)</f>
        <v>0</v>
      </c>
      <c r="Y4474" s="6">
        <f>1/COUNTIF(Таблица1[Order ID],Таблица1[[#This Row],[Order ID]])</f>
        <v>1</v>
      </c>
      <c r="Z4474" s="9">
        <f>1/COUNTIFS(Таблица1[Customer Name],Таблица1[[#This Row],[Customer Name]],Таблица1[Order-Year-Month],Таблица1[[#This Row],[Order-Year-Month]])</f>
        <v>1</v>
      </c>
    </row>
    <row r="4475" spans="1:26" x14ac:dyDescent="0.2">
      <c r="A4475" s="6">
        <v>8089</v>
      </c>
      <c r="B4475" s="7">
        <v>57699</v>
      </c>
      <c r="C4475" s="8">
        <f>DATE(2012,12,31)-51</f>
        <v>41223</v>
      </c>
      <c r="D4475" s="8" t="str">
        <f t="shared" si="82"/>
        <v>2012-11 (ноябрь 2012)</v>
      </c>
      <c r="E4475" s="9" t="s">
        <v>21</v>
      </c>
      <c r="F4475" s="7">
        <v>47</v>
      </c>
      <c r="G4475" s="7">
        <v>1857.88</v>
      </c>
      <c r="H4475" s="7">
        <v>0.09</v>
      </c>
      <c r="I4475" s="9" t="s">
        <v>22</v>
      </c>
      <c r="J4475" s="10">
        <v>752.96</v>
      </c>
      <c r="K4475" s="11">
        <v>40.98</v>
      </c>
      <c r="L4475" s="11">
        <v>1.99</v>
      </c>
      <c r="M4475" s="9" t="s">
        <v>1605</v>
      </c>
      <c r="N4475" s="6" t="s">
        <v>1123</v>
      </c>
      <c r="O4475" s="6" t="s">
        <v>1123</v>
      </c>
      <c r="P4475" s="9" t="s">
        <v>41</v>
      </c>
      <c r="Q4475" s="9" t="s">
        <v>42</v>
      </c>
      <c r="R4475" s="9" t="s">
        <v>70</v>
      </c>
      <c r="S4475" s="7" t="s">
        <v>720</v>
      </c>
      <c r="T4475" s="9" t="s">
        <v>52</v>
      </c>
      <c r="U4475" s="7">
        <v>0.44</v>
      </c>
      <c r="V4475" s="12">
        <f>C4475+5</f>
        <v>41228</v>
      </c>
      <c r="W4475">
        <f>IF(D4475=' Pivot Tables'!$A$4,1,0)</f>
        <v>0</v>
      </c>
      <c r="X4475">
        <f>IF(AND(LEFT(D4475,4)+1=LEFT(' Pivot Tables'!$A$4,4)+0,RIGHT(LEFT(D4475,7),2)=RIGHT(LEFT(' Pivot Tables'!$A$4,7),2)),1,0)</f>
        <v>0</v>
      </c>
      <c r="Y4475" s="6">
        <f>1/COUNTIF(Таблица1[Order ID],Таблица1[[#This Row],[Order ID]])</f>
        <v>0.33333333333333331</v>
      </c>
      <c r="Z4475" s="9">
        <f>1/COUNTIFS(Таблица1[Customer Name],Таблица1[[#This Row],[Customer Name]],Таблица1[Order-Year-Month],Таблица1[[#This Row],[Order-Year-Month]])</f>
        <v>0.33333333333333331</v>
      </c>
    </row>
    <row r="4476" spans="1:26" x14ac:dyDescent="0.2">
      <c r="A4476" s="6">
        <v>8090</v>
      </c>
      <c r="B4476" s="7">
        <v>57699</v>
      </c>
      <c r="C4476" s="8">
        <f>DATE(2012,12,31)-51</f>
        <v>41223</v>
      </c>
      <c r="D4476" s="8" t="str">
        <f t="shared" si="82"/>
        <v>2012-11 (ноябрь 2012)</v>
      </c>
      <c r="E4476" s="9" t="s">
        <v>21</v>
      </c>
      <c r="F4476" s="7">
        <v>36</v>
      </c>
      <c r="G4476" s="7">
        <v>2160.83</v>
      </c>
      <c r="H4476" s="7">
        <v>0.08</v>
      </c>
      <c r="I4476" s="9" t="s">
        <v>22</v>
      </c>
      <c r="J4476" s="10">
        <v>485.02</v>
      </c>
      <c r="K4476" s="11">
        <v>60.98</v>
      </c>
      <c r="L4476" s="11">
        <v>19.989999999999998</v>
      </c>
      <c r="M4476" s="9" t="s">
        <v>1605</v>
      </c>
      <c r="N4476" s="6" t="s">
        <v>1123</v>
      </c>
      <c r="O4476" s="6" t="s">
        <v>1123</v>
      </c>
      <c r="P4476" s="9" t="s">
        <v>41</v>
      </c>
      <c r="Q4476" s="9" t="s">
        <v>26</v>
      </c>
      <c r="R4476" s="9" t="s">
        <v>76</v>
      </c>
      <c r="S4476" s="7" t="s">
        <v>769</v>
      </c>
      <c r="T4476" s="9" t="s">
        <v>39</v>
      </c>
      <c r="U4476" s="7">
        <v>0.38</v>
      </c>
      <c r="V4476" s="12">
        <f>C4476+4</f>
        <v>41227</v>
      </c>
      <c r="W4476">
        <f>IF(D4476=' Pivot Tables'!$A$4,1,0)</f>
        <v>0</v>
      </c>
      <c r="X4476">
        <f>IF(AND(LEFT(D4476,4)+1=LEFT(' Pivot Tables'!$A$4,4)+0,RIGHT(LEFT(D4476,7),2)=RIGHT(LEFT(' Pivot Tables'!$A$4,7),2)),1,0)</f>
        <v>0</v>
      </c>
      <c r="Y4476" s="6">
        <f>1/COUNTIF(Таблица1[Order ID],Таблица1[[#This Row],[Order ID]])</f>
        <v>0.33333333333333331</v>
      </c>
      <c r="Z4476" s="9">
        <f>1/COUNTIFS(Таблица1[Customer Name],Таблица1[[#This Row],[Customer Name]],Таблица1[Order-Year-Month],Таблица1[[#This Row],[Order-Year-Month]])</f>
        <v>0.33333333333333331</v>
      </c>
    </row>
    <row r="4477" spans="1:26" x14ac:dyDescent="0.2">
      <c r="A4477" s="6">
        <v>8091</v>
      </c>
      <c r="B4477" s="7">
        <v>57699</v>
      </c>
      <c r="C4477" s="8">
        <f>DATE(2012,12,31)-51</f>
        <v>41223</v>
      </c>
      <c r="D4477" s="8" t="str">
        <f t="shared" si="82"/>
        <v>2012-11 (ноябрь 2012)</v>
      </c>
      <c r="E4477" s="9" t="s">
        <v>21</v>
      </c>
      <c r="F4477" s="7">
        <v>20</v>
      </c>
      <c r="G4477" s="7">
        <v>43.94</v>
      </c>
      <c r="H4477" s="7">
        <v>0.09</v>
      </c>
      <c r="I4477" s="9" t="s">
        <v>22</v>
      </c>
      <c r="J4477" s="10">
        <v>-72.23</v>
      </c>
      <c r="K4477" s="11">
        <v>2.08</v>
      </c>
      <c r="L4477" s="11">
        <v>5.33</v>
      </c>
      <c r="M4477" s="9" t="s">
        <v>1605</v>
      </c>
      <c r="N4477" s="6" t="s">
        <v>1123</v>
      </c>
      <c r="O4477" s="6" t="s">
        <v>1123</v>
      </c>
      <c r="P4477" s="9" t="s">
        <v>41</v>
      </c>
      <c r="Q4477" s="9" t="s">
        <v>49</v>
      </c>
      <c r="R4477" s="9" t="s">
        <v>50</v>
      </c>
      <c r="S4477" s="7" t="s">
        <v>216</v>
      </c>
      <c r="T4477" s="9" t="s">
        <v>39</v>
      </c>
      <c r="U4477" s="7">
        <v>0.43</v>
      </c>
      <c r="V4477" s="12">
        <f>C4477+2</f>
        <v>41225</v>
      </c>
      <c r="W4477">
        <f>IF(D4477=' Pivot Tables'!$A$4,1,0)</f>
        <v>0</v>
      </c>
      <c r="X4477">
        <f>IF(AND(LEFT(D4477,4)+1=LEFT(' Pivot Tables'!$A$4,4)+0,RIGHT(LEFT(D4477,7),2)=RIGHT(LEFT(' Pivot Tables'!$A$4,7),2)),1,0)</f>
        <v>0</v>
      </c>
      <c r="Y4477" s="6">
        <f>1/COUNTIF(Таблица1[Order ID],Таблица1[[#This Row],[Order ID]])</f>
        <v>0.33333333333333331</v>
      </c>
      <c r="Z4477" s="9">
        <f>1/COUNTIFS(Таблица1[Customer Name],Таблица1[[#This Row],[Customer Name]],Таблица1[Order-Year-Month],Таблица1[[#This Row],[Order-Year-Month]])</f>
        <v>0.33333333333333331</v>
      </c>
    </row>
    <row r="4478" spans="1:26" x14ac:dyDescent="0.2">
      <c r="A4478" s="6">
        <v>8209</v>
      </c>
      <c r="B4478" s="7">
        <v>58690</v>
      </c>
      <c r="C4478" s="8">
        <f>DATE(2012,12,31)-422</f>
        <v>40852</v>
      </c>
      <c r="D4478" s="8" t="str">
        <f t="shared" si="82"/>
        <v>2011-11 (ноябрь 2011)</v>
      </c>
      <c r="E4478" s="9" t="s">
        <v>30</v>
      </c>
      <c r="F4478" s="7">
        <v>14</v>
      </c>
      <c r="G4478" s="7">
        <v>3023.73</v>
      </c>
      <c r="H4478" s="7">
        <v>0.09</v>
      </c>
      <c r="I4478" s="9" t="s">
        <v>31</v>
      </c>
      <c r="J4478" s="10">
        <v>-1068.0098</v>
      </c>
      <c r="K4478" s="11">
        <v>218.75</v>
      </c>
      <c r="L4478" s="11">
        <v>69.64</v>
      </c>
      <c r="M4478" s="9" t="s">
        <v>1798</v>
      </c>
      <c r="N4478" s="6" t="s">
        <v>1123</v>
      </c>
      <c r="O4478" s="6" t="s">
        <v>1123</v>
      </c>
      <c r="P4478" s="9" t="s">
        <v>25</v>
      </c>
      <c r="Q4478" s="9" t="s">
        <v>49</v>
      </c>
      <c r="R4478" s="9" t="s">
        <v>83</v>
      </c>
      <c r="S4478" s="7" t="s">
        <v>254</v>
      </c>
      <c r="T4478" s="9" t="s">
        <v>82</v>
      </c>
      <c r="U4478" s="7">
        <v>0.77</v>
      </c>
      <c r="V4478" s="12">
        <f>C4478+1</f>
        <v>40853</v>
      </c>
      <c r="W4478">
        <f>IF(D4478=' Pivot Tables'!$A$4,1,0)</f>
        <v>0</v>
      </c>
      <c r="X4478">
        <f>IF(AND(LEFT(D4478,4)+1=LEFT(' Pivot Tables'!$A$4,4)+0,RIGHT(LEFT(D4478,7),2)=RIGHT(LEFT(' Pivot Tables'!$A$4,7),2)),1,0)</f>
        <v>0</v>
      </c>
      <c r="Y4478" s="6">
        <f>1/COUNTIF(Таблица1[Order ID],Таблица1[[#This Row],[Order ID]])</f>
        <v>1</v>
      </c>
      <c r="Z4478" s="9">
        <f>1/COUNTIFS(Таблица1[Customer Name],Таблица1[[#This Row],[Customer Name]],Таблица1[Order-Year-Month],Таблица1[[#This Row],[Order-Year-Month]])</f>
        <v>1</v>
      </c>
    </row>
    <row r="4479" spans="1:26" x14ac:dyDescent="0.2">
      <c r="A4479" s="6">
        <v>8223</v>
      </c>
      <c r="B4479" s="7">
        <v>58784</v>
      </c>
      <c r="C4479" s="8">
        <f>DATE(2012,12,31)-1443</f>
        <v>39831</v>
      </c>
      <c r="D4479" s="8" t="str">
        <f t="shared" si="82"/>
        <v>2009-01 (январь 2009)</v>
      </c>
      <c r="E4479" s="9" t="s">
        <v>63</v>
      </c>
      <c r="F4479" s="7">
        <v>25</v>
      </c>
      <c r="G4479" s="7">
        <v>8875.17</v>
      </c>
      <c r="H4479" s="7">
        <v>0.05</v>
      </c>
      <c r="I4479" s="9" t="s">
        <v>31</v>
      </c>
      <c r="J4479" s="10">
        <v>2372.08</v>
      </c>
      <c r="K4479" s="11">
        <v>350.99</v>
      </c>
      <c r="L4479" s="11">
        <v>39</v>
      </c>
      <c r="M4479" s="9" t="s">
        <v>1798</v>
      </c>
      <c r="N4479" s="6" t="s">
        <v>1123</v>
      </c>
      <c r="O4479" s="6" t="s">
        <v>1123</v>
      </c>
      <c r="P4479" s="9" t="s">
        <v>41</v>
      </c>
      <c r="Q4479" s="9" t="s">
        <v>49</v>
      </c>
      <c r="R4479" s="9" t="s">
        <v>112</v>
      </c>
      <c r="S4479" s="7" t="s">
        <v>1618</v>
      </c>
      <c r="T4479" s="9" t="s">
        <v>36</v>
      </c>
      <c r="U4479" s="7">
        <v>0.55000000000000004</v>
      </c>
      <c r="V4479" s="12">
        <f>C4479+2</f>
        <v>39833</v>
      </c>
      <c r="W4479">
        <f>IF(D4479=' Pivot Tables'!$A$4,1,0)</f>
        <v>0</v>
      </c>
      <c r="X4479">
        <f>IF(AND(LEFT(D4479,4)+1=LEFT(' Pivot Tables'!$A$4,4)+0,RIGHT(LEFT(D4479,7),2)=RIGHT(LEFT(' Pivot Tables'!$A$4,7),2)),1,0)</f>
        <v>1</v>
      </c>
      <c r="Y4479" s="6">
        <f>1/COUNTIF(Таблица1[Order ID],Таблица1[[#This Row],[Order ID]])</f>
        <v>0.2</v>
      </c>
      <c r="Z4479" s="9">
        <f>1/COUNTIFS(Таблица1[Customer Name],Таблица1[[#This Row],[Customer Name]],Таблица1[Order-Year-Month],Таблица1[[#This Row],[Order-Year-Month]])</f>
        <v>0.2</v>
      </c>
    </row>
    <row r="4480" spans="1:26" x14ac:dyDescent="0.2">
      <c r="A4480" s="6">
        <v>8224</v>
      </c>
      <c r="B4480" s="7">
        <v>58784</v>
      </c>
      <c r="C4480" s="8">
        <f>DATE(2012,12,31)-1443</f>
        <v>39831</v>
      </c>
      <c r="D4480" s="8" t="str">
        <f t="shared" si="82"/>
        <v>2009-01 (январь 2009)</v>
      </c>
      <c r="E4480" s="9" t="s">
        <v>63</v>
      </c>
      <c r="F4480" s="7">
        <v>20</v>
      </c>
      <c r="G4480" s="7">
        <v>331.21</v>
      </c>
      <c r="H4480" s="7">
        <v>0.04</v>
      </c>
      <c r="I4480" s="9" t="s">
        <v>56</v>
      </c>
      <c r="J4480" s="10">
        <v>-67.381500000000003</v>
      </c>
      <c r="K4480" s="11">
        <v>15.99</v>
      </c>
      <c r="L4480" s="11">
        <v>9.4</v>
      </c>
      <c r="M4480" s="9" t="s">
        <v>1798</v>
      </c>
      <c r="N4480" s="6" t="s">
        <v>1123</v>
      </c>
      <c r="O4480" s="6" t="s">
        <v>1123</v>
      </c>
      <c r="P4480" s="9" t="s">
        <v>41</v>
      </c>
      <c r="Q4480" s="9" t="s">
        <v>42</v>
      </c>
      <c r="R4480" s="9" t="s">
        <v>210</v>
      </c>
      <c r="S4480" s="7" t="s">
        <v>489</v>
      </c>
      <c r="T4480" s="9" t="s">
        <v>39</v>
      </c>
      <c r="U4480" s="7">
        <v>0.49</v>
      </c>
      <c r="V4480" s="12">
        <f>C4480+2</f>
        <v>39833</v>
      </c>
      <c r="W4480">
        <f>IF(D4480=' Pivot Tables'!$A$4,1,0)</f>
        <v>0</v>
      </c>
      <c r="X4480">
        <f>IF(AND(LEFT(D4480,4)+1=LEFT(' Pivot Tables'!$A$4,4)+0,RIGHT(LEFT(D4480,7),2)=RIGHT(LEFT(' Pivot Tables'!$A$4,7),2)),1,0)</f>
        <v>1</v>
      </c>
      <c r="Y4480" s="6">
        <f>1/COUNTIF(Таблица1[Order ID],Таблица1[[#This Row],[Order ID]])</f>
        <v>0.2</v>
      </c>
      <c r="Z4480" s="9">
        <f>1/COUNTIFS(Таблица1[Customer Name],Таблица1[[#This Row],[Customer Name]],Таблица1[Order-Year-Month],Таблица1[[#This Row],[Order-Year-Month]])</f>
        <v>0.2</v>
      </c>
    </row>
    <row r="4481" spans="1:26" x14ac:dyDescent="0.2">
      <c r="A4481" s="6">
        <v>8318</v>
      </c>
      <c r="B4481" s="7">
        <v>59428</v>
      </c>
      <c r="C4481" s="8">
        <f>DATE(2012,12,31)-844</f>
        <v>40430</v>
      </c>
      <c r="D4481" s="8" t="str">
        <f t="shared" si="82"/>
        <v>2010-09 (сентябрь 2010)</v>
      </c>
      <c r="E4481" s="9" t="s">
        <v>30</v>
      </c>
      <c r="F4481" s="7">
        <v>36</v>
      </c>
      <c r="G4481" s="7">
        <v>3602.12</v>
      </c>
      <c r="H4481" s="7">
        <v>0.05</v>
      </c>
      <c r="I4481" s="9" t="s">
        <v>31</v>
      </c>
      <c r="J4481" s="10">
        <v>-728.18</v>
      </c>
      <c r="K4481" s="11">
        <v>100.98</v>
      </c>
      <c r="L4481" s="11">
        <v>45</v>
      </c>
      <c r="M4481" s="9" t="s">
        <v>1540</v>
      </c>
      <c r="N4481" s="6" t="s">
        <v>1123</v>
      </c>
      <c r="O4481" s="6" t="s">
        <v>1123</v>
      </c>
      <c r="P4481" s="9" t="s">
        <v>33</v>
      </c>
      <c r="Q4481" s="9" t="s">
        <v>49</v>
      </c>
      <c r="R4481" s="9" t="s">
        <v>112</v>
      </c>
      <c r="S4481" s="7" t="s">
        <v>1451</v>
      </c>
      <c r="T4481" s="9" t="s">
        <v>36</v>
      </c>
      <c r="U4481" s="7">
        <v>0.69</v>
      </c>
      <c r="V4481" s="12">
        <f>C4481+1</f>
        <v>40431</v>
      </c>
      <c r="W4481">
        <f>IF(D4481=' Pivot Tables'!$A$4,1,0)</f>
        <v>0</v>
      </c>
      <c r="X4481">
        <f>IF(AND(LEFT(D4481,4)+1=LEFT(' Pivot Tables'!$A$4,4)+0,RIGHT(LEFT(D4481,7),2)=RIGHT(LEFT(' Pivot Tables'!$A$4,7),2)),1,0)</f>
        <v>0</v>
      </c>
      <c r="Y4481" s="6">
        <f>1/COUNTIF(Таблица1[Order ID],Таблица1[[#This Row],[Order ID]])</f>
        <v>0.5</v>
      </c>
      <c r="Z4481" s="9">
        <f>1/COUNTIFS(Таблица1[Customer Name],Таблица1[[#This Row],[Customer Name]],Таблица1[Order-Year-Month],Таблица1[[#This Row],[Order-Year-Month]])</f>
        <v>0.5</v>
      </c>
    </row>
    <row r="4482" spans="1:26" x14ac:dyDescent="0.2">
      <c r="A4482" s="6">
        <v>8319</v>
      </c>
      <c r="B4482" s="7">
        <v>59428</v>
      </c>
      <c r="C4482" s="8">
        <f>DATE(2012,12,31)-844</f>
        <v>40430</v>
      </c>
      <c r="D4482" s="8" t="str">
        <f t="shared" si="82"/>
        <v>2010-09 (сентябрь 2010)</v>
      </c>
      <c r="E4482" s="9" t="s">
        <v>30</v>
      </c>
      <c r="F4482" s="7">
        <v>43</v>
      </c>
      <c r="G4482" s="7">
        <v>1174.94</v>
      </c>
      <c r="H4482" s="7">
        <v>0.02</v>
      </c>
      <c r="I4482" s="9" t="s">
        <v>22</v>
      </c>
      <c r="J4482" s="10">
        <v>-125.79</v>
      </c>
      <c r="K4482" s="11">
        <v>27.42</v>
      </c>
      <c r="L4482" s="11">
        <v>19.46</v>
      </c>
      <c r="M4482" s="9" t="s">
        <v>1540</v>
      </c>
      <c r="N4482" s="6" t="s">
        <v>1123</v>
      </c>
      <c r="O4482" s="6" t="s">
        <v>1123</v>
      </c>
      <c r="P4482" s="9" t="s">
        <v>33</v>
      </c>
      <c r="Q4482" s="9" t="s">
        <v>49</v>
      </c>
      <c r="R4482" s="9" t="s">
        <v>50</v>
      </c>
      <c r="S4482" s="7" t="s">
        <v>1024</v>
      </c>
      <c r="T4482" s="9" t="s">
        <v>39</v>
      </c>
      <c r="U4482" s="7">
        <v>0.44</v>
      </c>
      <c r="V4482" s="12">
        <f>C4482+0</f>
        <v>40430</v>
      </c>
      <c r="W4482">
        <f>IF(D4482=' Pivot Tables'!$A$4,1,0)</f>
        <v>0</v>
      </c>
      <c r="X4482">
        <f>IF(AND(LEFT(D4482,4)+1=LEFT(' Pivot Tables'!$A$4,4)+0,RIGHT(LEFT(D4482,7),2)=RIGHT(LEFT(' Pivot Tables'!$A$4,7),2)),1,0)</f>
        <v>0</v>
      </c>
      <c r="Y4482" s="6">
        <f>1/COUNTIF(Таблица1[Order ID],Таблица1[[#This Row],[Order ID]])</f>
        <v>0.5</v>
      </c>
      <c r="Z4482" s="9">
        <f>1/COUNTIFS(Таблица1[Customer Name],Таблица1[[#This Row],[Customer Name]],Таблица1[Order-Year-Month],Таблица1[[#This Row],[Order-Year-Month]])</f>
        <v>0.5</v>
      </c>
    </row>
    <row r="4483" spans="1:26" x14ac:dyDescent="0.2">
      <c r="A4483" s="6">
        <v>221</v>
      </c>
      <c r="B4483" s="7">
        <v>1444</v>
      </c>
      <c r="C4483" s="8">
        <f>DATE(2012,12,31)-1122</f>
        <v>40152</v>
      </c>
      <c r="D4483" s="8" t="str">
        <f t="shared" ref="D4483:D4546" si="83">TEXT(C4483,"гггг-ММ (ММММ гггг)")</f>
        <v>2009-12 (декабрь 2009)</v>
      </c>
      <c r="E4483" s="9" t="s">
        <v>63</v>
      </c>
      <c r="F4483" s="7">
        <v>25</v>
      </c>
      <c r="G4483" s="7">
        <v>772.24</v>
      </c>
      <c r="H4483" s="7">
        <v>7.0000000000000007E-2</v>
      </c>
      <c r="I4483" s="9" t="s">
        <v>22</v>
      </c>
      <c r="J4483" s="10">
        <v>181.98</v>
      </c>
      <c r="K4483" s="11">
        <v>30.98</v>
      </c>
      <c r="L4483" s="11">
        <v>8.74</v>
      </c>
      <c r="M4483" s="9" t="s">
        <v>1383</v>
      </c>
      <c r="N4483" s="6" t="s">
        <v>1123</v>
      </c>
      <c r="O4483" s="6" t="s">
        <v>1123</v>
      </c>
      <c r="P4483" s="9" t="s">
        <v>60</v>
      </c>
      <c r="Q4483" s="9" t="s">
        <v>26</v>
      </c>
      <c r="R4483" s="9" t="s">
        <v>61</v>
      </c>
      <c r="S4483" s="7" t="s">
        <v>932</v>
      </c>
      <c r="T4483" s="9" t="s">
        <v>39</v>
      </c>
      <c r="U4483" s="7">
        <v>0.4</v>
      </c>
      <c r="V4483" s="12">
        <f>C4483+1</f>
        <v>40153</v>
      </c>
      <c r="W4483">
        <f>IF(D4483=' Pivot Tables'!$A$4,1,0)</f>
        <v>0</v>
      </c>
      <c r="X4483">
        <f>IF(AND(LEFT(D4483,4)+1=LEFT(' Pivot Tables'!$A$4,4)+0,RIGHT(LEFT(D4483,7),2)=RIGHT(LEFT(' Pivot Tables'!$A$4,7),2)),1,0)</f>
        <v>0</v>
      </c>
      <c r="Y4483" s="6">
        <f>1/COUNTIF(Таблица1[Order ID],Таблица1[[#This Row],[Order ID]])</f>
        <v>0.2</v>
      </c>
      <c r="Z4483" s="9">
        <f>1/COUNTIFS(Таблица1[Customer Name],Таблица1[[#This Row],[Customer Name]],Таблица1[Order-Year-Month],Таблица1[[#This Row],[Order-Year-Month]])</f>
        <v>0.2</v>
      </c>
    </row>
    <row r="4484" spans="1:26" x14ac:dyDescent="0.2">
      <c r="A4484" s="6">
        <v>278</v>
      </c>
      <c r="B4484" s="7">
        <v>1921</v>
      </c>
      <c r="C4484" s="8">
        <f>DATE(2012,12,31)-1444</f>
        <v>39830</v>
      </c>
      <c r="D4484" s="8" t="str">
        <f t="shared" si="83"/>
        <v>2009-01 (январь 2009)</v>
      </c>
      <c r="E4484" s="9" t="s">
        <v>63</v>
      </c>
      <c r="F4484" s="7">
        <v>24</v>
      </c>
      <c r="G4484" s="7">
        <v>7871.91</v>
      </c>
      <c r="H4484" s="7">
        <v>0.05</v>
      </c>
      <c r="I4484" s="9" t="s">
        <v>31</v>
      </c>
      <c r="J4484" s="10">
        <v>541.47</v>
      </c>
      <c r="K4484" s="11">
        <v>328.14</v>
      </c>
      <c r="L4484" s="11">
        <v>91.05</v>
      </c>
      <c r="M4484" s="9" t="s">
        <v>1578</v>
      </c>
      <c r="N4484" s="6" t="s">
        <v>1123</v>
      </c>
      <c r="O4484" s="6" t="s">
        <v>1123</v>
      </c>
      <c r="P4484" s="9" t="s">
        <v>25</v>
      </c>
      <c r="Q4484" s="9" t="s">
        <v>26</v>
      </c>
      <c r="R4484" s="9" t="s">
        <v>34</v>
      </c>
      <c r="S4484" s="7" t="s">
        <v>1175</v>
      </c>
      <c r="T4484" s="9" t="s">
        <v>36</v>
      </c>
      <c r="U4484" s="7">
        <v>0.56999999999999995</v>
      </c>
      <c r="V4484" s="12">
        <f>C4484+2</f>
        <v>39832</v>
      </c>
      <c r="W4484">
        <f>IF(D4484=' Pivot Tables'!$A$4,1,0)</f>
        <v>0</v>
      </c>
      <c r="X4484">
        <f>IF(AND(LEFT(D4484,4)+1=LEFT(' Pivot Tables'!$A$4,4)+0,RIGHT(LEFT(D4484,7),2)=RIGHT(LEFT(' Pivot Tables'!$A$4,7),2)),1,0)</f>
        <v>1</v>
      </c>
      <c r="Y4484" s="6">
        <f>1/COUNTIF(Таблица1[Order ID],Таблица1[[#This Row],[Order ID]])</f>
        <v>1</v>
      </c>
      <c r="Z4484" s="9">
        <f>1/COUNTIFS(Таблица1[Customer Name],Таблица1[[#This Row],[Customer Name]],Таблица1[Order-Year-Month],Таблица1[[#This Row],[Order-Year-Month]])</f>
        <v>0.5</v>
      </c>
    </row>
    <row r="4485" spans="1:26" x14ac:dyDescent="0.2">
      <c r="A4485" s="6">
        <v>283</v>
      </c>
      <c r="B4485" s="7">
        <v>1985</v>
      </c>
      <c r="C4485" s="8">
        <f>DATE(2012,12,31)-1217</f>
        <v>40057</v>
      </c>
      <c r="D4485" s="8" t="str">
        <f t="shared" si="83"/>
        <v>2009-09 (сентябрь 2009)</v>
      </c>
      <c r="E4485" s="9" t="s">
        <v>45</v>
      </c>
      <c r="F4485" s="7">
        <v>33</v>
      </c>
      <c r="G4485" s="7">
        <v>15464.01</v>
      </c>
      <c r="H4485" s="7">
        <v>0.05</v>
      </c>
      <c r="I4485" s="9" t="s">
        <v>31</v>
      </c>
      <c r="J4485" s="10">
        <v>4407.4399999999996</v>
      </c>
      <c r="K4485" s="11">
        <v>535.64</v>
      </c>
      <c r="L4485" s="11">
        <v>14.7</v>
      </c>
      <c r="M4485" s="9" t="s">
        <v>1527</v>
      </c>
      <c r="N4485" s="6" t="s">
        <v>1123</v>
      </c>
      <c r="O4485" s="6" t="s">
        <v>1123</v>
      </c>
      <c r="P4485" s="9" t="s">
        <v>60</v>
      </c>
      <c r="Q4485" s="9" t="s">
        <v>42</v>
      </c>
      <c r="R4485" s="9" t="s">
        <v>210</v>
      </c>
      <c r="S4485" s="7" t="s">
        <v>1799</v>
      </c>
      <c r="T4485" s="9" t="s">
        <v>36</v>
      </c>
      <c r="U4485" s="7">
        <v>0.59</v>
      </c>
      <c r="V4485" s="12">
        <f>C4485+2</f>
        <v>40059</v>
      </c>
      <c r="W4485">
        <f>IF(D4485=' Pivot Tables'!$A$4,1,0)</f>
        <v>0</v>
      </c>
      <c r="X4485">
        <f>IF(AND(LEFT(D4485,4)+1=LEFT(' Pivot Tables'!$A$4,4)+0,RIGHT(LEFT(D4485,7),2)=RIGHT(LEFT(' Pivot Tables'!$A$4,7),2)),1,0)</f>
        <v>0</v>
      </c>
      <c r="Y4485" s="6">
        <f>1/COUNTIF(Таблица1[Order ID],Таблица1[[#This Row],[Order ID]])</f>
        <v>0.5</v>
      </c>
      <c r="Z4485" s="9">
        <f>1/COUNTIFS(Таблица1[Customer Name],Таблица1[[#This Row],[Customer Name]],Таблица1[Order-Year-Month],Таблица1[[#This Row],[Order-Year-Month]])</f>
        <v>0.5</v>
      </c>
    </row>
    <row r="4486" spans="1:26" x14ac:dyDescent="0.2">
      <c r="A4486" s="6">
        <v>443</v>
      </c>
      <c r="B4486" s="7">
        <v>2978</v>
      </c>
      <c r="C4486" s="8">
        <f>DATE(2012,12,31)-609</f>
        <v>40665</v>
      </c>
      <c r="D4486" s="8" t="str">
        <f t="shared" si="83"/>
        <v>2011-05 (май 2011)</v>
      </c>
      <c r="E4486" s="9" t="s">
        <v>78</v>
      </c>
      <c r="F4486" s="7">
        <v>28</v>
      </c>
      <c r="G4486" s="7">
        <v>4671.1495000000004</v>
      </c>
      <c r="H4486" s="7">
        <v>7.0000000000000007E-2</v>
      </c>
      <c r="I4486" s="9" t="s">
        <v>22</v>
      </c>
      <c r="J4486" s="10">
        <v>947.31299999999987</v>
      </c>
      <c r="K4486" s="11">
        <v>200.99</v>
      </c>
      <c r="L4486" s="11">
        <v>4.2</v>
      </c>
      <c r="M4486" s="9" t="s">
        <v>1800</v>
      </c>
      <c r="N4486" s="6" t="s">
        <v>1123</v>
      </c>
      <c r="O4486" s="6" t="s">
        <v>1123</v>
      </c>
      <c r="P4486" s="9" t="s">
        <v>41</v>
      </c>
      <c r="Q4486" s="9" t="s">
        <v>42</v>
      </c>
      <c r="R4486" s="9" t="s">
        <v>43</v>
      </c>
      <c r="S4486" s="7" t="s">
        <v>457</v>
      </c>
      <c r="T4486" s="9" t="s">
        <v>39</v>
      </c>
      <c r="U4486" s="7">
        <v>0.59</v>
      </c>
      <c r="V4486" s="12">
        <f>C4486+1</f>
        <v>40666</v>
      </c>
      <c r="W4486">
        <f>IF(D4486=' Pivot Tables'!$A$4,1,0)</f>
        <v>0</v>
      </c>
      <c r="X4486">
        <f>IF(AND(LEFT(D4486,4)+1=LEFT(' Pivot Tables'!$A$4,4)+0,RIGHT(LEFT(D4486,7),2)=RIGHT(LEFT(' Pivot Tables'!$A$4,7),2)),1,0)</f>
        <v>0</v>
      </c>
      <c r="Y4486" s="6">
        <f>1/COUNTIF(Таблица1[Order ID],Таблица1[[#This Row],[Order ID]])</f>
        <v>0.33333333333333331</v>
      </c>
      <c r="Z4486" s="9">
        <f>1/COUNTIFS(Таблица1[Customer Name],Таблица1[[#This Row],[Customer Name]],Таблица1[Order-Year-Month],Таблица1[[#This Row],[Order-Year-Month]])</f>
        <v>0.33333333333333331</v>
      </c>
    </row>
    <row r="4487" spans="1:26" x14ac:dyDescent="0.2">
      <c r="A4487" s="6">
        <v>1030</v>
      </c>
      <c r="B4487" s="7">
        <v>7521</v>
      </c>
      <c r="C4487" s="8">
        <f>DATE(2012,12,31)-673</f>
        <v>40601</v>
      </c>
      <c r="D4487" s="8" t="str">
        <f t="shared" si="83"/>
        <v>2011-02 (февраль 2011)</v>
      </c>
      <c r="E4487" s="9" t="s">
        <v>21</v>
      </c>
      <c r="F4487" s="7">
        <v>19</v>
      </c>
      <c r="G4487" s="7">
        <v>1942.1734999999999</v>
      </c>
      <c r="H4487" s="7">
        <v>0</v>
      </c>
      <c r="I4487" s="9" t="s">
        <v>56</v>
      </c>
      <c r="J4487" s="10">
        <v>400.82400000000001</v>
      </c>
      <c r="K4487" s="11">
        <v>115.99</v>
      </c>
      <c r="L4487" s="11">
        <v>2.5</v>
      </c>
      <c r="M4487" s="9" t="s">
        <v>1536</v>
      </c>
      <c r="N4487" s="6" t="s">
        <v>1123</v>
      </c>
      <c r="O4487" s="6" t="s">
        <v>1123</v>
      </c>
      <c r="P4487" s="9" t="s">
        <v>25</v>
      </c>
      <c r="Q4487" s="9" t="s">
        <v>42</v>
      </c>
      <c r="R4487" s="9" t="s">
        <v>43</v>
      </c>
      <c r="S4487" s="7" t="s">
        <v>1719</v>
      </c>
      <c r="T4487" s="9" t="s">
        <v>39</v>
      </c>
      <c r="U4487" s="7">
        <v>0.55000000000000004</v>
      </c>
      <c r="V4487" s="12">
        <f>C4487+6</f>
        <v>40607</v>
      </c>
      <c r="W4487">
        <f>IF(D4487=' Pivot Tables'!$A$4,1,0)</f>
        <v>0</v>
      </c>
      <c r="X4487">
        <f>IF(AND(LEFT(D4487,4)+1=LEFT(' Pivot Tables'!$A$4,4)+0,RIGHT(LEFT(D4487,7),2)=RIGHT(LEFT(' Pivot Tables'!$A$4,7),2)),1,0)</f>
        <v>0</v>
      </c>
      <c r="Y4487" s="6">
        <f>1/COUNTIF(Таблица1[Order ID],Таблица1[[#This Row],[Order ID]])</f>
        <v>1</v>
      </c>
      <c r="Z4487" s="9">
        <f>1/COUNTIFS(Таблица1[Customer Name],Таблица1[[#This Row],[Customer Name]],Таблица1[Order-Year-Month],Таблица1[[#This Row],[Order-Year-Month]])</f>
        <v>1</v>
      </c>
    </row>
    <row r="4488" spans="1:26" x14ac:dyDescent="0.2">
      <c r="A4488" s="6">
        <v>1552</v>
      </c>
      <c r="B4488" s="7">
        <v>11206</v>
      </c>
      <c r="C4488" s="8">
        <f>DATE(2012,12,31)-1099</f>
        <v>40175</v>
      </c>
      <c r="D4488" s="8" t="str">
        <f t="shared" si="83"/>
        <v>2009-12 (декабрь 2009)</v>
      </c>
      <c r="E4488" s="9" t="s">
        <v>21</v>
      </c>
      <c r="F4488" s="7">
        <v>26</v>
      </c>
      <c r="G4488" s="7">
        <v>1285.55</v>
      </c>
      <c r="H4488" s="7">
        <v>0.09</v>
      </c>
      <c r="I4488" s="9" t="s">
        <v>22</v>
      </c>
      <c r="J4488" s="10">
        <v>-17.03</v>
      </c>
      <c r="K4488" s="11">
        <v>49.99</v>
      </c>
      <c r="L4488" s="11">
        <v>19.989999999999998</v>
      </c>
      <c r="M4488" s="9" t="s">
        <v>1462</v>
      </c>
      <c r="N4488" s="6" t="s">
        <v>1123</v>
      </c>
      <c r="O4488" s="6" t="s">
        <v>1123</v>
      </c>
      <c r="P4488" s="9" t="s">
        <v>25</v>
      </c>
      <c r="Q4488" s="9" t="s">
        <v>42</v>
      </c>
      <c r="R4488" s="9" t="s">
        <v>70</v>
      </c>
      <c r="S4488" s="7" t="s">
        <v>590</v>
      </c>
      <c r="T4488" s="9" t="s">
        <v>39</v>
      </c>
      <c r="U4488" s="7">
        <v>0.41</v>
      </c>
      <c r="V4488" s="12">
        <f>C4488+2</f>
        <v>40177</v>
      </c>
      <c r="W4488">
        <f>IF(D4488=' Pivot Tables'!$A$4,1,0)</f>
        <v>0</v>
      </c>
      <c r="X4488">
        <f>IF(AND(LEFT(D4488,4)+1=LEFT(' Pivot Tables'!$A$4,4)+0,RIGHT(LEFT(D4488,7),2)=RIGHT(LEFT(' Pivot Tables'!$A$4,7),2)),1,0)</f>
        <v>0</v>
      </c>
      <c r="Y4488" s="6">
        <f>1/COUNTIF(Таблица1[Order ID],Таблица1[[#This Row],[Order ID]])</f>
        <v>0.5</v>
      </c>
      <c r="Z4488" s="9">
        <f>1/COUNTIFS(Таблица1[Customer Name],Таблица1[[#This Row],[Customer Name]],Таблица1[Order-Year-Month],Таблица1[[#This Row],[Order-Year-Month]])</f>
        <v>0.5</v>
      </c>
    </row>
    <row r="4489" spans="1:26" x14ac:dyDescent="0.2">
      <c r="A4489" s="6">
        <v>1858</v>
      </c>
      <c r="B4489" s="7">
        <v>13351</v>
      </c>
      <c r="C4489" s="8">
        <f>DATE(2012,12,31)-970</f>
        <v>40304</v>
      </c>
      <c r="D4489" s="8" t="str">
        <f t="shared" si="83"/>
        <v>2010-05 (май 2010)</v>
      </c>
      <c r="E4489" s="9" t="s">
        <v>63</v>
      </c>
      <c r="F4489" s="7">
        <v>20</v>
      </c>
      <c r="G4489" s="7">
        <v>3331.81</v>
      </c>
      <c r="H4489" s="7">
        <v>0.08</v>
      </c>
      <c r="I4489" s="9" t="s">
        <v>22</v>
      </c>
      <c r="J4489" s="10">
        <v>484.15</v>
      </c>
      <c r="K4489" s="11">
        <v>179.99</v>
      </c>
      <c r="L4489" s="11">
        <v>19.989999999999998</v>
      </c>
      <c r="M4489" s="9" t="s">
        <v>1459</v>
      </c>
      <c r="N4489" s="6" t="s">
        <v>1123</v>
      </c>
      <c r="O4489" s="6" t="s">
        <v>1123</v>
      </c>
      <c r="P4489" s="9" t="s">
        <v>41</v>
      </c>
      <c r="Q4489" s="9" t="s">
        <v>42</v>
      </c>
      <c r="R4489" s="9" t="s">
        <v>70</v>
      </c>
      <c r="S4489" s="7" t="s">
        <v>811</v>
      </c>
      <c r="T4489" s="9" t="s">
        <v>39</v>
      </c>
      <c r="U4489" s="7">
        <v>0.48</v>
      </c>
      <c r="V4489" s="12">
        <f>C4489+1</f>
        <v>40305</v>
      </c>
      <c r="W4489">
        <f>IF(D4489=' Pivot Tables'!$A$4,1,0)</f>
        <v>0</v>
      </c>
      <c r="X4489">
        <f>IF(AND(LEFT(D4489,4)+1=LEFT(' Pivot Tables'!$A$4,4)+0,RIGHT(LEFT(D4489,7),2)=RIGHT(LEFT(' Pivot Tables'!$A$4,7),2)),1,0)</f>
        <v>0</v>
      </c>
      <c r="Y4489" s="6">
        <f>1/COUNTIF(Таблица1[Order ID],Таблица1[[#This Row],[Order ID]])</f>
        <v>1</v>
      </c>
      <c r="Z4489" s="9">
        <f>1/COUNTIFS(Таблица1[Customer Name],Таблица1[[#This Row],[Customer Name]],Таблица1[Order-Year-Month],Таблица1[[#This Row],[Order-Year-Month]])</f>
        <v>1</v>
      </c>
    </row>
    <row r="4490" spans="1:26" x14ac:dyDescent="0.2">
      <c r="A4490" s="6">
        <v>1872</v>
      </c>
      <c r="B4490" s="7">
        <v>13476</v>
      </c>
      <c r="C4490" s="8">
        <f>DATE(2012,12,31)-807</f>
        <v>40467</v>
      </c>
      <c r="D4490" s="8" t="str">
        <f t="shared" si="83"/>
        <v>2010-10 (октябрь 2010)</v>
      </c>
      <c r="E4490" s="9" t="s">
        <v>45</v>
      </c>
      <c r="F4490" s="7">
        <v>31</v>
      </c>
      <c r="G4490" s="7">
        <v>972.35</v>
      </c>
      <c r="H4490" s="7">
        <v>0.05</v>
      </c>
      <c r="I4490" s="9" t="s">
        <v>22</v>
      </c>
      <c r="J4490" s="10">
        <v>10.96</v>
      </c>
      <c r="K4490" s="11">
        <v>30.73</v>
      </c>
      <c r="L4490" s="11">
        <v>4</v>
      </c>
      <c r="M4490" s="9" t="s">
        <v>1383</v>
      </c>
      <c r="N4490" s="6" t="s">
        <v>1123</v>
      </c>
      <c r="O4490" s="6" t="s">
        <v>1123</v>
      </c>
      <c r="P4490" s="9" t="s">
        <v>60</v>
      </c>
      <c r="Q4490" s="9" t="s">
        <v>42</v>
      </c>
      <c r="R4490" s="9" t="s">
        <v>70</v>
      </c>
      <c r="S4490" s="7" t="s">
        <v>270</v>
      </c>
      <c r="T4490" s="9" t="s">
        <v>39</v>
      </c>
      <c r="U4490" s="7">
        <v>0.75</v>
      </c>
      <c r="V4490" s="12">
        <f>C4490+0</f>
        <v>40467</v>
      </c>
      <c r="W4490">
        <f>IF(D4490=' Pivot Tables'!$A$4,1,0)</f>
        <v>0</v>
      </c>
      <c r="X4490">
        <f>IF(AND(LEFT(D4490,4)+1=LEFT(' Pivot Tables'!$A$4,4)+0,RIGHT(LEFT(D4490,7),2)=RIGHT(LEFT(' Pivot Tables'!$A$4,7),2)),1,0)</f>
        <v>0</v>
      </c>
      <c r="Y4490" s="6">
        <f>1/COUNTIF(Таблица1[Order ID],Таблица1[[#This Row],[Order ID]])</f>
        <v>0.33333333333333331</v>
      </c>
      <c r="Z4490" s="9">
        <f>1/COUNTIFS(Таблица1[Customer Name],Таблица1[[#This Row],[Customer Name]],Таблица1[Order-Year-Month],Таблица1[[#This Row],[Order-Year-Month]])</f>
        <v>0.33333333333333331</v>
      </c>
    </row>
    <row r="4491" spans="1:26" x14ac:dyDescent="0.2">
      <c r="A4491" s="6">
        <v>2151</v>
      </c>
      <c r="B4491" s="7">
        <v>15399</v>
      </c>
      <c r="C4491" s="8">
        <f>DATE(2012,12,31)-232</f>
        <v>41042</v>
      </c>
      <c r="D4491" s="8" t="str">
        <f t="shared" si="83"/>
        <v>2012-05 (май 2012)</v>
      </c>
      <c r="E4491" s="9" t="s">
        <v>78</v>
      </c>
      <c r="F4491" s="7">
        <v>38</v>
      </c>
      <c r="G4491" s="7">
        <v>3988.0894999999996</v>
      </c>
      <c r="H4491" s="7">
        <v>0.02</v>
      </c>
      <c r="I4491" s="9" t="s">
        <v>22</v>
      </c>
      <c r="J4491" s="10">
        <v>969.85799999999995</v>
      </c>
      <c r="K4491" s="11">
        <v>125.99</v>
      </c>
      <c r="L4491" s="11">
        <v>4.2</v>
      </c>
      <c r="M4491" s="9" t="s">
        <v>1578</v>
      </c>
      <c r="N4491" s="6" t="s">
        <v>1123</v>
      </c>
      <c r="O4491" s="6" t="s">
        <v>1123</v>
      </c>
      <c r="P4491" s="9" t="s">
        <v>25</v>
      </c>
      <c r="Q4491" s="9" t="s">
        <v>42</v>
      </c>
      <c r="R4491" s="9" t="s">
        <v>43</v>
      </c>
      <c r="S4491" s="7" t="s">
        <v>1579</v>
      </c>
      <c r="T4491" s="9" t="s">
        <v>39</v>
      </c>
      <c r="U4491" s="7">
        <v>0.59</v>
      </c>
      <c r="V4491" s="12">
        <f>C4491+2</f>
        <v>41044</v>
      </c>
      <c r="W4491">
        <f>IF(D4491=' Pivot Tables'!$A$4,1,0)</f>
        <v>0</v>
      </c>
      <c r="X4491">
        <f>IF(AND(LEFT(D4491,4)+1=LEFT(' Pivot Tables'!$A$4,4)+0,RIGHT(LEFT(D4491,7),2)=RIGHT(LEFT(' Pivot Tables'!$A$4,7),2)),1,0)</f>
        <v>0</v>
      </c>
      <c r="Y4491" s="6">
        <f>1/COUNTIF(Таблица1[Order ID],Таблица1[[#This Row],[Order ID]])</f>
        <v>0.33333333333333331</v>
      </c>
      <c r="Z4491" s="9">
        <f>1/COUNTIFS(Таблица1[Customer Name],Таблица1[[#This Row],[Customer Name]],Таблица1[Order-Year-Month],Таблица1[[#This Row],[Order-Year-Month]])</f>
        <v>0.33333333333333331</v>
      </c>
    </row>
    <row r="4492" spans="1:26" x14ac:dyDescent="0.2">
      <c r="A4492" s="6">
        <v>2178</v>
      </c>
      <c r="B4492" s="7">
        <v>15687</v>
      </c>
      <c r="C4492" s="8">
        <f>DATE(2012,12,31)-266</f>
        <v>41008</v>
      </c>
      <c r="D4492" s="8" t="str">
        <f t="shared" si="83"/>
        <v>2012-04 (апрель 2012)</v>
      </c>
      <c r="E4492" s="9" t="s">
        <v>78</v>
      </c>
      <c r="F4492" s="7">
        <v>48</v>
      </c>
      <c r="G4492" s="7">
        <v>3400.63</v>
      </c>
      <c r="H4492" s="7">
        <v>0.08</v>
      </c>
      <c r="I4492" s="9" t="s">
        <v>31</v>
      </c>
      <c r="J4492" s="10">
        <v>-892.79</v>
      </c>
      <c r="K4492" s="11">
        <v>70.98</v>
      </c>
      <c r="L4492" s="11">
        <v>46.74</v>
      </c>
      <c r="M4492" s="9" t="s">
        <v>1578</v>
      </c>
      <c r="N4492" s="6" t="s">
        <v>1123</v>
      </c>
      <c r="O4492" s="6" t="s">
        <v>1123</v>
      </c>
      <c r="P4492" s="9" t="s">
        <v>25</v>
      </c>
      <c r="Q4492" s="9" t="s">
        <v>49</v>
      </c>
      <c r="R4492" s="9" t="s">
        <v>80</v>
      </c>
      <c r="S4492" s="7" t="s">
        <v>989</v>
      </c>
      <c r="T4492" s="9" t="s">
        <v>82</v>
      </c>
      <c r="U4492" s="7">
        <v>0.56000000000000005</v>
      </c>
      <c r="V4492" s="12">
        <f>C4492+3</f>
        <v>41011</v>
      </c>
      <c r="W4492">
        <f>IF(D4492=' Pivot Tables'!$A$4,1,0)</f>
        <v>0</v>
      </c>
      <c r="X4492">
        <f>IF(AND(LEFT(D4492,4)+1=LEFT(' Pivot Tables'!$A$4,4)+0,RIGHT(LEFT(D4492,7),2)=RIGHT(LEFT(' Pivot Tables'!$A$4,7),2)),1,0)</f>
        <v>0</v>
      </c>
      <c r="Y4492" s="6">
        <f>1/COUNTIF(Таблица1[Order ID],Таблица1[[#This Row],[Order ID]])</f>
        <v>1</v>
      </c>
      <c r="Z4492" s="9">
        <f>1/COUNTIFS(Таблица1[Customer Name],Таблица1[[#This Row],[Customer Name]],Таблица1[Order-Year-Month],Таблица1[[#This Row],[Order-Year-Month]])</f>
        <v>1</v>
      </c>
    </row>
    <row r="4493" spans="1:26" x14ac:dyDescent="0.2">
      <c r="A4493" s="6">
        <v>3228</v>
      </c>
      <c r="B4493" s="7">
        <v>23169</v>
      </c>
      <c r="C4493" s="8">
        <f>DATE(2012,12,31)-557</f>
        <v>40717</v>
      </c>
      <c r="D4493" s="8" t="str">
        <f t="shared" si="83"/>
        <v>2011-06 (июнь 2011)</v>
      </c>
      <c r="E4493" s="9" t="s">
        <v>78</v>
      </c>
      <c r="F4493" s="7">
        <v>22</v>
      </c>
      <c r="G4493" s="7">
        <v>1683.57</v>
      </c>
      <c r="H4493" s="7">
        <v>0.1</v>
      </c>
      <c r="I4493" s="9" t="s">
        <v>22</v>
      </c>
      <c r="J4493" s="10">
        <v>346.54</v>
      </c>
      <c r="K4493" s="11">
        <v>80.98</v>
      </c>
      <c r="L4493" s="11">
        <v>7.18</v>
      </c>
      <c r="M4493" s="9" t="s">
        <v>1459</v>
      </c>
      <c r="N4493" s="6" t="s">
        <v>1123</v>
      </c>
      <c r="O4493" s="6" t="s">
        <v>1123</v>
      </c>
      <c r="P4493" s="9" t="s">
        <v>60</v>
      </c>
      <c r="Q4493" s="9" t="s">
        <v>42</v>
      </c>
      <c r="R4493" s="9" t="s">
        <v>70</v>
      </c>
      <c r="S4493" s="7" t="s">
        <v>686</v>
      </c>
      <c r="T4493" s="9" t="s">
        <v>39</v>
      </c>
      <c r="U4493" s="7">
        <v>0.48</v>
      </c>
      <c r="V4493" s="12">
        <f>C4493+2</f>
        <v>40719</v>
      </c>
      <c r="W4493">
        <f>IF(D4493=' Pivot Tables'!$A$4,1,0)</f>
        <v>0</v>
      </c>
      <c r="X4493">
        <f>IF(AND(LEFT(D4493,4)+1=LEFT(' Pivot Tables'!$A$4,4)+0,RIGHT(LEFT(D4493,7),2)=RIGHT(LEFT(' Pivot Tables'!$A$4,7),2)),1,0)</f>
        <v>0</v>
      </c>
      <c r="Y4493" s="6">
        <f>1/COUNTIF(Таблица1[Order ID],Таблица1[[#This Row],[Order ID]])</f>
        <v>0.5</v>
      </c>
      <c r="Z4493" s="9">
        <f>1/COUNTIFS(Таблица1[Customer Name],Таблица1[[#This Row],[Customer Name]],Таблица1[Order-Year-Month],Таблица1[[#This Row],[Order-Year-Month]])</f>
        <v>0.5</v>
      </c>
    </row>
    <row r="4494" spans="1:26" x14ac:dyDescent="0.2">
      <c r="A4494" s="6">
        <v>4539</v>
      </c>
      <c r="B4494" s="7">
        <v>32292</v>
      </c>
      <c r="C4494" s="8">
        <f>DATE(2012,12,31)-320</f>
        <v>40954</v>
      </c>
      <c r="D4494" s="8" t="str">
        <f t="shared" si="83"/>
        <v>2012-02 (февраль 2012)</v>
      </c>
      <c r="E4494" s="9" t="s">
        <v>21</v>
      </c>
      <c r="F4494" s="7">
        <v>1</v>
      </c>
      <c r="G4494" s="7">
        <v>13.53</v>
      </c>
      <c r="H4494" s="7">
        <v>7.0000000000000007E-2</v>
      </c>
      <c r="I4494" s="9" t="s">
        <v>22</v>
      </c>
      <c r="J4494" s="10">
        <v>-6.73</v>
      </c>
      <c r="K4494" s="11">
        <v>11.55</v>
      </c>
      <c r="L4494" s="11">
        <v>2.36</v>
      </c>
      <c r="M4494" s="9" t="s">
        <v>1494</v>
      </c>
      <c r="N4494" s="6" t="s">
        <v>1123</v>
      </c>
      <c r="O4494" s="6" t="s">
        <v>1123</v>
      </c>
      <c r="P4494" s="9" t="s">
        <v>41</v>
      </c>
      <c r="Q4494" s="9" t="s">
        <v>26</v>
      </c>
      <c r="R4494" s="9" t="s">
        <v>95</v>
      </c>
      <c r="S4494" s="7" t="s">
        <v>990</v>
      </c>
      <c r="T4494" s="9" t="s">
        <v>68</v>
      </c>
      <c r="U4494" s="7">
        <v>0.55000000000000004</v>
      </c>
      <c r="V4494" s="12">
        <f>C4494+2</f>
        <v>40956</v>
      </c>
      <c r="W4494">
        <f>IF(D4494=' Pivot Tables'!$A$4,1,0)</f>
        <v>0</v>
      </c>
      <c r="X4494">
        <f>IF(AND(LEFT(D4494,4)+1=LEFT(' Pivot Tables'!$A$4,4)+0,RIGHT(LEFT(D4494,7),2)=RIGHT(LEFT(' Pivot Tables'!$A$4,7),2)),1,0)</f>
        <v>0</v>
      </c>
      <c r="Y4494" s="6">
        <f>1/COUNTIF(Таблица1[Order ID],Таблица1[[#This Row],[Order ID]])</f>
        <v>0.5</v>
      </c>
      <c r="Z4494" s="9">
        <f>1/COUNTIFS(Таблица1[Customer Name],Таблица1[[#This Row],[Customer Name]],Таблица1[Order-Year-Month],Таблица1[[#This Row],[Order-Year-Month]])</f>
        <v>0.5</v>
      </c>
    </row>
    <row r="4495" spans="1:26" x14ac:dyDescent="0.2">
      <c r="A4495" s="6">
        <v>4554</v>
      </c>
      <c r="B4495" s="7">
        <v>32389</v>
      </c>
      <c r="C4495" s="8">
        <f>DATE(2012,12,31)-792</f>
        <v>40482</v>
      </c>
      <c r="D4495" s="8" t="str">
        <f t="shared" si="83"/>
        <v>2010-10 (октябрь 2010)</v>
      </c>
      <c r="E4495" s="9" t="s">
        <v>63</v>
      </c>
      <c r="F4495" s="7">
        <v>1</v>
      </c>
      <c r="G4495" s="7">
        <v>65.466999999999999</v>
      </c>
      <c r="H4495" s="7">
        <v>0.06</v>
      </c>
      <c r="I4495" s="9" t="s">
        <v>56</v>
      </c>
      <c r="J4495" s="10">
        <v>-257.411</v>
      </c>
      <c r="K4495" s="11">
        <v>65.989999999999995</v>
      </c>
      <c r="L4495" s="11">
        <v>8.8000000000000007</v>
      </c>
      <c r="M4495" s="9" t="s">
        <v>1545</v>
      </c>
      <c r="N4495" s="6" t="s">
        <v>1123</v>
      </c>
      <c r="O4495" s="6" t="s">
        <v>1123</v>
      </c>
      <c r="P4495" s="9" t="s">
        <v>25</v>
      </c>
      <c r="Q4495" s="9" t="s">
        <v>42</v>
      </c>
      <c r="R4495" s="9" t="s">
        <v>43</v>
      </c>
      <c r="S4495" s="7" t="s">
        <v>1132</v>
      </c>
      <c r="T4495" s="9" t="s">
        <v>39</v>
      </c>
      <c r="U4495" s="7">
        <v>0.57999999999999996</v>
      </c>
      <c r="V4495" s="12">
        <f>C4495+1</f>
        <v>40483</v>
      </c>
      <c r="W4495">
        <f>IF(D4495=' Pivot Tables'!$A$4,1,0)</f>
        <v>0</v>
      </c>
      <c r="X4495">
        <f>IF(AND(LEFT(D4495,4)+1=LEFT(' Pivot Tables'!$A$4,4)+0,RIGHT(LEFT(D4495,7),2)=RIGHT(LEFT(' Pivot Tables'!$A$4,7),2)),1,0)</f>
        <v>0</v>
      </c>
      <c r="Y4495" s="6">
        <f>1/COUNTIF(Таблица1[Order ID],Таблица1[[#This Row],[Order ID]])</f>
        <v>0.33333333333333331</v>
      </c>
      <c r="Z4495" s="9">
        <f>1/COUNTIFS(Таблица1[Customer Name],Таблица1[[#This Row],[Customer Name]],Таблица1[Order-Year-Month],Таблица1[[#This Row],[Order-Year-Month]])</f>
        <v>0.25</v>
      </c>
    </row>
    <row r="4496" spans="1:26" x14ac:dyDescent="0.2">
      <c r="A4496" s="6">
        <v>5328</v>
      </c>
      <c r="B4496" s="7">
        <v>37863</v>
      </c>
      <c r="C4496" s="8">
        <f>DATE(2012,12,31)-676</f>
        <v>40598</v>
      </c>
      <c r="D4496" s="8" t="str">
        <f t="shared" si="83"/>
        <v>2011-02 (февраль 2011)</v>
      </c>
      <c r="E4496" s="9" t="s">
        <v>30</v>
      </c>
      <c r="F4496" s="7">
        <v>27</v>
      </c>
      <c r="G4496" s="7">
        <v>305.05</v>
      </c>
      <c r="H4496" s="7">
        <v>0.04</v>
      </c>
      <c r="I4496" s="9" t="s">
        <v>22</v>
      </c>
      <c r="J4496" s="10">
        <v>23.12</v>
      </c>
      <c r="K4496" s="11">
        <v>10.98</v>
      </c>
      <c r="L4496" s="11">
        <v>3.37</v>
      </c>
      <c r="M4496" s="9" t="s">
        <v>1544</v>
      </c>
      <c r="N4496" s="6" t="s">
        <v>1123</v>
      </c>
      <c r="O4496" s="6" t="s">
        <v>1123</v>
      </c>
      <c r="P4496" s="9" t="s">
        <v>60</v>
      </c>
      <c r="Q4496" s="9" t="s">
        <v>26</v>
      </c>
      <c r="R4496" s="9" t="s">
        <v>150</v>
      </c>
      <c r="S4496" s="7" t="s">
        <v>465</v>
      </c>
      <c r="T4496" s="9" t="s">
        <v>52</v>
      </c>
      <c r="U4496" s="7">
        <v>0.56999999999999995</v>
      </c>
      <c r="V4496" s="12">
        <f>C4496+2</f>
        <v>40600</v>
      </c>
      <c r="W4496">
        <f>IF(D4496=' Pivot Tables'!$A$4,1,0)</f>
        <v>0</v>
      </c>
      <c r="X4496">
        <f>IF(AND(LEFT(D4496,4)+1=LEFT(' Pivot Tables'!$A$4,4)+0,RIGHT(LEFT(D4496,7),2)=RIGHT(LEFT(' Pivot Tables'!$A$4,7),2)),1,0)</f>
        <v>0</v>
      </c>
      <c r="Y4496" s="6">
        <f>1/COUNTIF(Таблица1[Order ID],Таблица1[[#This Row],[Order ID]])</f>
        <v>1</v>
      </c>
      <c r="Z4496" s="9">
        <f>1/COUNTIFS(Таблица1[Customer Name],Таблица1[[#This Row],[Customer Name]],Таблица1[Order-Year-Month],Таблица1[[#This Row],[Order-Year-Month]])</f>
        <v>1</v>
      </c>
    </row>
    <row r="4497" spans="1:26" x14ac:dyDescent="0.2">
      <c r="A4497" s="6">
        <v>5756</v>
      </c>
      <c r="B4497" s="7">
        <v>40866</v>
      </c>
      <c r="C4497" s="8">
        <f>DATE(2012,12,31)-953</f>
        <v>40321</v>
      </c>
      <c r="D4497" s="8" t="str">
        <f t="shared" si="83"/>
        <v>2010-05 (май 2010)</v>
      </c>
      <c r="E4497" s="9" t="s">
        <v>30</v>
      </c>
      <c r="F4497" s="7">
        <v>3</v>
      </c>
      <c r="G4497" s="7">
        <v>907.18</v>
      </c>
      <c r="H4497" s="7">
        <v>0.06</v>
      </c>
      <c r="I4497" s="9" t="s">
        <v>22</v>
      </c>
      <c r="J4497" s="10">
        <v>-236.6</v>
      </c>
      <c r="K4497" s="11">
        <v>300.64999999999998</v>
      </c>
      <c r="L4497" s="11">
        <v>24.49</v>
      </c>
      <c r="M4497" s="9" t="s">
        <v>815</v>
      </c>
      <c r="N4497" s="6" t="s">
        <v>1123</v>
      </c>
      <c r="O4497" s="6" t="s">
        <v>1123</v>
      </c>
      <c r="P4497" s="9" t="s">
        <v>41</v>
      </c>
      <c r="Q4497" s="9" t="s">
        <v>26</v>
      </c>
      <c r="R4497" s="9" t="s">
        <v>34</v>
      </c>
      <c r="S4497" s="7" t="s">
        <v>378</v>
      </c>
      <c r="T4497" s="9" t="s">
        <v>29</v>
      </c>
      <c r="U4497" s="7">
        <v>0.52</v>
      </c>
      <c r="V4497" s="12">
        <f>C4497+1</f>
        <v>40322</v>
      </c>
      <c r="W4497">
        <f>IF(D4497=' Pivot Tables'!$A$4,1,0)</f>
        <v>0</v>
      </c>
      <c r="X4497">
        <f>IF(AND(LEFT(D4497,4)+1=LEFT(' Pivot Tables'!$A$4,4)+0,RIGHT(LEFT(D4497,7),2)=RIGHT(LEFT(' Pivot Tables'!$A$4,7),2)),1,0)</f>
        <v>0</v>
      </c>
      <c r="Y4497" s="6">
        <f>1/COUNTIF(Таблица1[Order ID],Таблица1[[#This Row],[Order ID]])</f>
        <v>1</v>
      </c>
      <c r="Z4497" s="9">
        <f>1/COUNTIFS(Таблица1[Customer Name],Таблица1[[#This Row],[Customer Name]],Таблица1[Order-Year-Month],Таблица1[[#This Row],[Order-Year-Month]])</f>
        <v>1</v>
      </c>
    </row>
    <row r="4498" spans="1:26" x14ac:dyDescent="0.2">
      <c r="A4498" s="6">
        <v>6779</v>
      </c>
      <c r="B4498" s="7">
        <v>48263</v>
      </c>
      <c r="C4498" s="8">
        <f>DATE(2012,12,31)-1028</f>
        <v>40246</v>
      </c>
      <c r="D4498" s="8" t="str">
        <f t="shared" si="83"/>
        <v>2010-03 (март 2010)</v>
      </c>
      <c r="E4498" s="9" t="s">
        <v>63</v>
      </c>
      <c r="F4498" s="7">
        <v>25</v>
      </c>
      <c r="G4498" s="7">
        <v>135.91</v>
      </c>
      <c r="H4498" s="7">
        <v>7.0000000000000007E-2</v>
      </c>
      <c r="I4498" s="9" t="s">
        <v>22</v>
      </c>
      <c r="J4498" s="10">
        <v>37.5</v>
      </c>
      <c r="K4498" s="11">
        <v>5.68</v>
      </c>
      <c r="L4498" s="11">
        <v>1.21</v>
      </c>
      <c r="M4498" s="9" t="s">
        <v>1501</v>
      </c>
      <c r="N4498" s="6" t="s">
        <v>1123</v>
      </c>
      <c r="O4498" s="6" t="s">
        <v>1123</v>
      </c>
      <c r="P4498" s="9" t="s">
        <v>33</v>
      </c>
      <c r="Q4498" s="9" t="s">
        <v>26</v>
      </c>
      <c r="R4498" s="9" t="s">
        <v>61</v>
      </c>
      <c r="S4498" s="7" t="s">
        <v>1801</v>
      </c>
      <c r="T4498" s="9" t="s">
        <v>68</v>
      </c>
      <c r="U4498" s="7">
        <v>0.4</v>
      </c>
      <c r="V4498" s="12">
        <f>C4498+1</f>
        <v>40247</v>
      </c>
      <c r="W4498">
        <f>IF(D4498=' Pivot Tables'!$A$4,1,0)</f>
        <v>0</v>
      </c>
      <c r="X4498">
        <f>IF(AND(LEFT(D4498,4)+1=LEFT(' Pivot Tables'!$A$4,4)+0,RIGHT(LEFT(D4498,7),2)=RIGHT(LEFT(' Pivot Tables'!$A$4,7),2)),1,0)</f>
        <v>0</v>
      </c>
      <c r="Y4498" s="6">
        <f>1/COUNTIF(Таблица1[Order ID],Таблица1[[#This Row],[Order ID]])</f>
        <v>0.5</v>
      </c>
      <c r="Z4498" s="9">
        <f>1/COUNTIFS(Таблица1[Customer Name],Таблица1[[#This Row],[Customer Name]],Таблица1[Order-Year-Month],Таблица1[[#This Row],[Order-Year-Month]])</f>
        <v>0.5</v>
      </c>
    </row>
    <row r="4499" spans="1:26" x14ac:dyDescent="0.2">
      <c r="A4499" s="6">
        <v>7004</v>
      </c>
      <c r="B4499" s="7">
        <v>49989</v>
      </c>
      <c r="C4499" s="8">
        <f>DATE(2012,12,31)-980</f>
        <v>40294</v>
      </c>
      <c r="D4499" s="8" t="str">
        <f t="shared" si="83"/>
        <v>2010-04 (апрель 2010)</v>
      </c>
      <c r="E4499" s="9" t="s">
        <v>45</v>
      </c>
      <c r="F4499" s="7">
        <v>6</v>
      </c>
      <c r="G4499" s="7">
        <v>1854.94</v>
      </c>
      <c r="H4499" s="7">
        <v>0.04</v>
      </c>
      <c r="I4499" s="9" t="s">
        <v>22</v>
      </c>
      <c r="J4499" s="10">
        <v>-559.78</v>
      </c>
      <c r="K4499" s="11">
        <v>300.97000000000003</v>
      </c>
      <c r="L4499" s="11">
        <v>7.18</v>
      </c>
      <c r="M4499" s="9" t="s">
        <v>1593</v>
      </c>
      <c r="N4499" s="6" t="s">
        <v>1123</v>
      </c>
      <c r="O4499" s="6" t="s">
        <v>1123</v>
      </c>
      <c r="P4499" s="9" t="s">
        <v>25</v>
      </c>
      <c r="Q4499" s="9" t="s">
        <v>42</v>
      </c>
      <c r="R4499" s="9" t="s">
        <v>70</v>
      </c>
      <c r="S4499" s="7" t="s">
        <v>1658</v>
      </c>
      <c r="T4499" s="9" t="s">
        <v>39</v>
      </c>
      <c r="U4499" s="7">
        <v>0.48</v>
      </c>
      <c r="V4499" s="12">
        <f>C4499+1</f>
        <v>40295</v>
      </c>
      <c r="W4499">
        <f>IF(D4499=' Pivot Tables'!$A$4,1,0)</f>
        <v>0</v>
      </c>
      <c r="X4499">
        <f>IF(AND(LEFT(D4499,4)+1=LEFT(' Pivot Tables'!$A$4,4)+0,RIGHT(LEFT(D4499,7),2)=RIGHT(LEFT(' Pivot Tables'!$A$4,7),2)),1,0)</f>
        <v>0</v>
      </c>
      <c r="Y4499" s="6">
        <f>1/COUNTIF(Таблица1[Order ID],Таблица1[[#This Row],[Order ID]])</f>
        <v>1</v>
      </c>
      <c r="Z4499" s="9">
        <f>1/COUNTIFS(Таблица1[Customer Name],Таблица1[[#This Row],[Customer Name]],Таблица1[Order-Year-Month],Таблица1[[#This Row],[Order-Year-Month]])</f>
        <v>1</v>
      </c>
    </row>
    <row r="4500" spans="1:26" x14ac:dyDescent="0.2">
      <c r="A4500" s="6">
        <v>7631</v>
      </c>
      <c r="B4500" s="7">
        <v>54595</v>
      </c>
      <c r="C4500" s="8">
        <f>DATE(2012,12,31)-1343</f>
        <v>39931</v>
      </c>
      <c r="D4500" s="8" t="str">
        <f t="shared" si="83"/>
        <v>2009-04 (апрель 2009)</v>
      </c>
      <c r="E4500" s="9" t="s">
        <v>63</v>
      </c>
      <c r="F4500" s="7">
        <v>30</v>
      </c>
      <c r="G4500" s="7">
        <v>250.29</v>
      </c>
      <c r="H4500" s="7">
        <v>0.02</v>
      </c>
      <c r="I4500" s="9" t="s">
        <v>22</v>
      </c>
      <c r="J4500" s="10">
        <v>6.79</v>
      </c>
      <c r="K4500" s="11">
        <v>8.34</v>
      </c>
      <c r="L4500" s="11">
        <v>2.64</v>
      </c>
      <c r="M4500" s="9" t="s">
        <v>1530</v>
      </c>
      <c r="N4500" s="6" t="s">
        <v>1123</v>
      </c>
      <c r="O4500" s="6" t="s">
        <v>1123</v>
      </c>
      <c r="P4500" s="9" t="s">
        <v>25</v>
      </c>
      <c r="Q4500" s="9" t="s">
        <v>26</v>
      </c>
      <c r="R4500" s="9" t="s">
        <v>150</v>
      </c>
      <c r="S4500" s="7" t="s">
        <v>1381</v>
      </c>
      <c r="T4500" s="9" t="s">
        <v>52</v>
      </c>
      <c r="U4500" s="7">
        <v>0.59</v>
      </c>
      <c r="V4500" s="12">
        <f>C4500+2</f>
        <v>39933</v>
      </c>
      <c r="W4500">
        <f>IF(D4500=' Pivot Tables'!$A$4,1,0)</f>
        <v>0</v>
      </c>
      <c r="X4500">
        <f>IF(AND(LEFT(D4500,4)+1=LEFT(' Pivot Tables'!$A$4,4)+0,RIGHT(LEFT(D4500,7),2)=RIGHT(LEFT(' Pivot Tables'!$A$4,7),2)),1,0)</f>
        <v>0</v>
      </c>
      <c r="Y4500" s="6">
        <f>1/COUNTIF(Таблица1[Order ID],Таблица1[[#This Row],[Order ID]])</f>
        <v>0.5</v>
      </c>
      <c r="Z4500" s="9">
        <f>1/COUNTIFS(Таблица1[Customer Name],Таблица1[[#This Row],[Customer Name]],Таблица1[Order-Year-Month],Таблица1[[#This Row],[Order-Year-Month]])</f>
        <v>0.5</v>
      </c>
    </row>
    <row r="4501" spans="1:26" x14ac:dyDescent="0.2">
      <c r="A4501" s="6">
        <v>7733</v>
      </c>
      <c r="B4501" s="7">
        <v>55392</v>
      </c>
      <c r="C4501" s="8">
        <f>DATE(2012,12,31)-1304</f>
        <v>39970</v>
      </c>
      <c r="D4501" s="8" t="str">
        <f t="shared" si="83"/>
        <v>2009-06 (июнь 2009)</v>
      </c>
      <c r="E4501" s="9" t="s">
        <v>78</v>
      </c>
      <c r="F4501" s="7">
        <v>20</v>
      </c>
      <c r="G4501" s="7">
        <v>129.30000000000001</v>
      </c>
      <c r="H4501" s="7">
        <v>0.02</v>
      </c>
      <c r="I4501" s="9" t="s">
        <v>22</v>
      </c>
      <c r="J4501" s="10">
        <v>40.200000000000003</v>
      </c>
      <c r="K4501" s="11">
        <v>6.47</v>
      </c>
      <c r="L4501" s="11">
        <v>1.22</v>
      </c>
      <c r="M4501" s="9" t="s">
        <v>1488</v>
      </c>
      <c r="N4501" s="6" t="s">
        <v>1123</v>
      </c>
      <c r="O4501" s="6" t="s">
        <v>1123</v>
      </c>
      <c r="P4501" s="9" t="s">
        <v>33</v>
      </c>
      <c r="Q4501" s="9" t="s">
        <v>26</v>
      </c>
      <c r="R4501" s="9" t="s">
        <v>95</v>
      </c>
      <c r="S4501" s="7" t="s">
        <v>491</v>
      </c>
      <c r="T4501" s="9" t="s">
        <v>68</v>
      </c>
      <c r="U4501" s="7">
        <v>0.4</v>
      </c>
      <c r="V4501" s="12">
        <f>C4501+1</f>
        <v>39971</v>
      </c>
      <c r="W4501">
        <f>IF(D4501=' Pivot Tables'!$A$4,1,0)</f>
        <v>0</v>
      </c>
      <c r="X4501">
        <f>IF(AND(LEFT(D4501,4)+1=LEFT(' Pivot Tables'!$A$4,4)+0,RIGHT(LEFT(D4501,7),2)=RIGHT(LEFT(' Pivot Tables'!$A$4,7),2)),1,0)</f>
        <v>0</v>
      </c>
      <c r="Y4501" s="6">
        <f>1/COUNTIF(Таблица1[Order ID],Таблица1[[#This Row],[Order ID]])</f>
        <v>0.5</v>
      </c>
      <c r="Z4501" s="9">
        <f>1/COUNTIFS(Таблица1[Customer Name],Таблица1[[#This Row],[Customer Name]],Таблица1[Order-Year-Month],Таблица1[[#This Row],[Order-Year-Month]])</f>
        <v>0.2</v>
      </c>
    </row>
    <row r="4502" spans="1:26" x14ac:dyDescent="0.2">
      <c r="A4502" s="6">
        <v>8010</v>
      </c>
      <c r="B4502" s="7">
        <v>57249</v>
      </c>
      <c r="C4502" s="8">
        <f>DATE(2012,12,31)-895</f>
        <v>40379</v>
      </c>
      <c r="D4502" s="8" t="str">
        <f t="shared" si="83"/>
        <v>2010-07 (июль 2010)</v>
      </c>
      <c r="E4502" s="9" t="s">
        <v>30</v>
      </c>
      <c r="F4502" s="7">
        <v>30</v>
      </c>
      <c r="G4502" s="7">
        <v>1775.33</v>
      </c>
      <c r="H4502" s="7">
        <v>0.05</v>
      </c>
      <c r="I4502" s="9" t="s">
        <v>22</v>
      </c>
      <c r="J4502" s="10">
        <v>365.25</v>
      </c>
      <c r="K4502" s="11">
        <v>60.65</v>
      </c>
      <c r="L4502" s="11">
        <v>12.23</v>
      </c>
      <c r="M4502" s="9" t="s">
        <v>1590</v>
      </c>
      <c r="N4502" s="6" t="s">
        <v>1123</v>
      </c>
      <c r="O4502" s="6" t="s">
        <v>1123</v>
      </c>
      <c r="P4502" s="9" t="s">
        <v>60</v>
      </c>
      <c r="Q4502" s="9" t="s">
        <v>49</v>
      </c>
      <c r="R4502" s="9" t="s">
        <v>50</v>
      </c>
      <c r="S4502" s="7" t="s">
        <v>1217</v>
      </c>
      <c r="T4502" s="9" t="s">
        <v>48</v>
      </c>
      <c r="U4502" s="7">
        <v>0.64</v>
      </c>
      <c r="V4502" s="12">
        <f>C4502+1</f>
        <v>40380</v>
      </c>
      <c r="W4502">
        <f>IF(D4502=' Pivot Tables'!$A$4,1,0)</f>
        <v>0</v>
      </c>
      <c r="X4502">
        <f>IF(AND(LEFT(D4502,4)+1=LEFT(' Pivot Tables'!$A$4,4)+0,RIGHT(LEFT(D4502,7),2)=RIGHT(LEFT(' Pivot Tables'!$A$4,7),2)),1,0)</f>
        <v>0</v>
      </c>
      <c r="Y4502" s="6">
        <f>1/COUNTIF(Таблица1[Order ID],Таблица1[[#This Row],[Order ID]])</f>
        <v>1</v>
      </c>
      <c r="Z4502" s="9">
        <f>1/COUNTIFS(Таблица1[Customer Name],Таблица1[[#This Row],[Customer Name]],Таблица1[Order-Year-Month],Таблица1[[#This Row],[Order-Year-Month]])</f>
        <v>1</v>
      </c>
    </row>
    <row r="4503" spans="1:26" x14ac:dyDescent="0.2">
      <c r="A4503" s="6">
        <v>218</v>
      </c>
      <c r="B4503" s="7">
        <v>1444</v>
      </c>
      <c r="C4503" s="8">
        <f>DATE(2012,12,31)-1122</f>
        <v>40152</v>
      </c>
      <c r="D4503" s="8" t="str">
        <f t="shared" si="83"/>
        <v>2009-12 (декабрь 2009)</v>
      </c>
      <c r="E4503" s="9" t="s">
        <v>63</v>
      </c>
      <c r="F4503" s="7">
        <v>13</v>
      </c>
      <c r="G4503" s="7">
        <v>15823.27</v>
      </c>
      <c r="H4503" s="7">
        <v>0.04</v>
      </c>
      <c r="I4503" s="9" t="s">
        <v>31</v>
      </c>
      <c r="J4503" s="10">
        <v>1759.34</v>
      </c>
      <c r="K4503" s="11">
        <v>1360.14</v>
      </c>
      <c r="L4503" s="11">
        <v>14.7</v>
      </c>
      <c r="M4503" s="9" t="s">
        <v>1383</v>
      </c>
      <c r="N4503" s="6" t="s">
        <v>1123</v>
      </c>
      <c r="O4503" s="6" t="s">
        <v>1123</v>
      </c>
      <c r="P4503" s="9" t="s">
        <v>60</v>
      </c>
      <c r="Q4503" s="9" t="s">
        <v>42</v>
      </c>
      <c r="R4503" s="9" t="s">
        <v>210</v>
      </c>
      <c r="S4503" s="7" t="s">
        <v>261</v>
      </c>
      <c r="T4503" s="9" t="s">
        <v>36</v>
      </c>
      <c r="U4503" s="7">
        <v>0.59</v>
      </c>
      <c r="V4503" s="12">
        <f>C4503+3</f>
        <v>40155</v>
      </c>
      <c r="W4503">
        <f>IF(D4503=' Pivot Tables'!$A$4,1,0)</f>
        <v>0</v>
      </c>
      <c r="X4503">
        <f>IF(AND(LEFT(D4503,4)+1=LEFT(' Pivot Tables'!$A$4,4)+0,RIGHT(LEFT(D4503,7),2)=RIGHT(LEFT(' Pivot Tables'!$A$4,7),2)),1,0)</f>
        <v>0</v>
      </c>
      <c r="Y4503" s="6">
        <f>1/COUNTIF(Таблица1[Order ID],Таблица1[[#This Row],[Order ID]])</f>
        <v>0.2</v>
      </c>
      <c r="Z4503" s="9">
        <f>1/COUNTIFS(Таблица1[Customer Name],Таблица1[[#This Row],[Customer Name]],Таблица1[Order-Year-Month],Таблица1[[#This Row],[Order-Year-Month]])</f>
        <v>0.2</v>
      </c>
    </row>
    <row r="4504" spans="1:26" x14ac:dyDescent="0.2">
      <c r="A4504" s="6">
        <v>709</v>
      </c>
      <c r="B4504" s="7">
        <v>4965</v>
      </c>
      <c r="C4504" s="8">
        <f>DATE(2012,12,31)-803</f>
        <v>40471</v>
      </c>
      <c r="D4504" s="8" t="str">
        <f t="shared" si="83"/>
        <v>2010-10 (октябрь 2010)</v>
      </c>
      <c r="E4504" s="9" t="s">
        <v>21</v>
      </c>
      <c r="F4504" s="7">
        <v>46</v>
      </c>
      <c r="G4504" s="7">
        <v>287.13</v>
      </c>
      <c r="H4504" s="7">
        <v>0</v>
      </c>
      <c r="I4504" s="9" t="s">
        <v>22</v>
      </c>
      <c r="J4504" s="10">
        <v>-186.31</v>
      </c>
      <c r="K4504" s="11">
        <v>5.78</v>
      </c>
      <c r="L4504" s="11">
        <v>7.96</v>
      </c>
      <c r="M4504" s="9" t="s">
        <v>1520</v>
      </c>
      <c r="N4504" s="6" t="s">
        <v>1123</v>
      </c>
      <c r="O4504" s="6" t="s">
        <v>1123</v>
      </c>
      <c r="P4504" s="9" t="s">
        <v>41</v>
      </c>
      <c r="Q4504" s="9" t="s">
        <v>26</v>
      </c>
      <c r="R4504" s="9" t="s">
        <v>61</v>
      </c>
      <c r="S4504" s="7" t="s">
        <v>754</v>
      </c>
      <c r="T4504" s="9" t="s">
        <v>39</v>
      </c>
      <c r="U4504" s="7">
        <v>0.36</v>
      </c>
      <c r="V4504" s="12">
        <f>C4504+5</f>
        <v>40476</v>
      </c>
      <c r="W4504">
        <f>IF(D4504=' Pivot Tables'!$A$4,1,0)</f>
        <v>0</v>
      </c>
      <c r="X4504">
        <f>IF(AND(LEFT(D4504,4)+1=LEFT(' Pivot Tables'!$A$4,4)+0,RIGHT(LEFT(D4504,7),2)=RIGHT(LEFT(' Pivot Tables'!$A$4,7),2)),1,0)</f>
        <v>0</v>
      </c>
      <c r="Y4504" s="6">
        <f>1/COUNTIF(Таблица1[Order ID],Таблица1[[#This Row],[Order ID]])</f>
        <v>0.5</v>
      </c>
      <c r="Z4504" s="9">
        <f>1/COUNTIFS(Таблица1[Customer Name],Таблица1[[#This Row],[Customer Name]],Таблица1[Order-Year-Month],Таблица1[[#This Row],[Order-Year-Month]])</f>
        <v>0.5</v>
      </c>
    </row>
    <row r="4505" spans="1:26" x14ac:dyDescent="0.2">
      <c r="A4505" s="6">
        <v>790</v>
      </c>
      <c r="B4505" s="7">
        <v>5639</v>
      </c>
      <c r="C4505" s="8">
        <f>DATE(2012,12,31)-1309</f>
        <v>39965</v>
      </c>
      <c r="D4505" s="8" t="str">
        <f t="shared" si="83"/>
        <v>2009-06 (июнь 2009)</v>
      </c>
      <c r="E4505" s="9" t="s">
        <v>63</v>
      </c>
      <c r="F4505" s="7">
        <v>31</v>
      </c>
      <c r="G4505" s="7">
        <v>501.38</v>
      </c>
      <c r="H4505" s="7">
        <v>0.03</v>
      </c>
      <c r="I4505" s="9" t="s">
        <v>22</v>
      </c>
      <c r="J4505" s="10">
        <v>-71.95</v>
      </c>
      <c r="K4505" s="11">
        <v>15.31</v>
      </c>
      <c r="L4505" s="11">
        <v>8.7799999999999994</v>
      </c>
      <c r="M4505" s="9" t="s">
        <v>1458</v>
      </c>
      <c r="N4505" s="6" t="s">
        <v>1123</v>
      </c>
      <c r="O4505" s="6" t="s">
        <v>1123</v>
      </c>
      <c r="P4505" s="9" t="s">
        <v>25</v>
      </c>
      <c r="Q4505" s="9" t="s">
        <v>26</v>
      </c>
      <c r="R4505" s="9" t="s">
        <v>27</v>
      </c>
      <c r="S4505" s="7" t="s">
        <v>748</v>
      </c>
      <c r="T4505" s="9" t="s">
        <v>39</v>
      </c>
      <c r="U4505" s="7">
        <v>0.56999999999999995</v>
      </c>
      <c r="V4505" s="12">
        <f>C4505+1</f>
        <v>39966</v>
      </c>
      <c r="W4505">
        <f>IF(D4505=' Pivot Tables'!$A$4,1,0)</f>
        <v>0</v>
      </c>
      <c r="X4505">
        <f>IF(AND(LEFT(D4505,4)+1=LEFT(' Pivot Tables'!$A$4,4)+0,RIGHT(LEFT(D4505,7),2)=RIGHT(LEFT(' Pivot Tables'!$A$4,7),2)),1,0)</f>
        <v>0</v>
      </c>
      <c r="Y4505" s="6">
        <f>1/COUNTIF(Таблица1[Order ID],Таблица1[[#This Row],[Order ID]])</f>
        <v>1</v>
      </c>
      <c r="Z4505" s="9">
        <f>1/COUNTIFS(Таблица1[Customer Name],Таблица1[[#This Row],[Customer Name]],Таблица1[Order-Year-Month],Таблица1[[#This Row],[Order-Year-Month]])</f>
        <v>1</v>
      </c>
    </row>
    <row r="4506" spans="1:26" x14ac:dyDescent="0.2">
      <c r="A4506" s="6">
        <v>1002</v>
      </c>
      <c r="B4506" s="7">
        <v>7297</v>
      </c>
      <c r="C4506" s="8">
        <f>DATE(2012,12,31)-1204</f>
        <v>40070</v>
      </c>
      <c r="D4506" s="8" t="str">
        <f t="shared" si="83"/>
        <v>2009-09 (сентябрь 2009)</v>
      </c>
      <c r="E4506" s="9" t="s">
        <v>30</v>
      </c>
      <c r="F4506" s="7">
        <v>26</v>
      </c>
      <c r="G4506" s="7">
        <v>936.95</v>
      </c>
      <c r="H4506" s="7">
        <v>0.03</v>
      </c>
      <c r="I4506" s="9" t="s">
        <v>22</v>
      </c>
      <c r="J4506" s="10">
        <v>-0.74000000000000909</v>
      </c>
      <c r="K4506" s="11">
        <v>33.979999999999997</v>
      </c>
      <c r="L4506" s="11">
        <v>19.989999999999998</v>
      </c>
      <c r="M4506" s="9" t="s">
        <v>1575</v>
      </c>
      <c r="N4506" s="6" t="s">
        <v>1123</v>
      </c>
      <c r="O4506" s="6" t="s">
        <v>1123</v>
      </c>
      <c r="P4506" s="9" t="s">
        <v>25</v>
      </c>
      <c r="Q4506" s="9" t="s">
        <v>49</v>
      </c>
      <c r="R4506" s="9" t="s">
        <v>50</v>
      </c>
      <c r="S4506" s="7" t="s">
        <v>192</v>
      </c>
      <c r="T4506" s="9" t="s">
        <v>39</v>
      </c>
      <c r="U4506" s="7">
        <v>0.55000000000000004</v>
      </c>
      <c r="V4506" s="12">
        <f>C4506+1</f>
        <v>40071</v>
      </c>
      <c r="W4506">
        <f>IF(D4506=' Pivot Tables'!$A$4,1,0)</f>
        <v>0</v>
      </c>
      <c r="X4506">
        <f>IF(AND(LEFT(D4506,4)+1=LEFT(' Pivot Tables'!$A$4,4)+0,RIGHT(LEFT(D4506,7),2)=RIGHT(LEFT(' Pivot Tables'!$A$4,7),2)),1,0)</f>
        <v>0</v>
      </c>
      <c r="Y4506" s="6">
        <f>1/COUNTIF(Таблица1[Order ID],Таблица1[[#This Row],[Order ID]])</f>
        <v>0.33333333333333331</v>
      </c>
      <c r="Z4506" s="9">
        <f>1/COUNTIFS(Таблица1[Customer Name],Таблица1[[#This Row],[Customer Name]],Таблица1[Order-Year-Month],Таблица1[[#This Row],[Order-Year-Month]])</f>
        <v>0.33333333333333331</v>
      </c>
    </row>
    <row r="4507" spans="1:26" x14ac:dyDescent="0.2">
      <c r="A4507" s="6">
        <v>1165</v>
      </c>
      <c r="B4507" s="7">
        <v>8513</v>
      </c>
      <c r="C4507" s="8">
        <f>DATE(2012,12,31)-535</f>
        <v>40739</v>
      </c>
      <c r="D4507" s="8" t="str">
        <f t="shared" si="83"/>
        <v>2011-07 (июль 2011)</v>
      </c>
      <c r="E4507" s="9" t="s">
        <v>21</v>
      </c>
      <c r="F4507" s="7">
        <v>9</v>
      </c>
      <c r="G4507" s="7">
        <v>163.78</v>
      </c>
      <c r="H4507" s="7">
        <v>0.05</v>
      </c>
      <c r="I4507" s="9" t="s">
        <v>22</v>
      </c>
      <c r="J4507" s="10">
        <v>-43.030200000000001</v>
      </c>
      <c r="K4507" s="11">
        <v>17.98</v>
      </c>
      <c r="L4507" s="11">
        <v>8.51</v>
      </c>
      <c r="M4507" s="9" t="s">
        <v>1487</v>
      </c>
      <c r="N4507" s="6" t="s">
        <v>1123</v>
      </c>
      <c r="O4507" s="6" t="s">
        <v>1123</v>
      </c>
      <c r="P4507" s="9" t="s">
        <v>25</v>
      </c>
      <c r="Q4507" s="9" t="s">
        <v>42</v>
      </c>
      <c r="R4507" s="9" t="s">
        <v>210</v>
      </c>
      <c r="S4507" s="7" t="s">
        <v>277</v>
      </c>
      <c r="T4507" s="9" t="s">
        <v>48</v>
      </c>
      <c r="U4507" s="7">
        <v>0.4</v>
      </c>
      <c r="V4507" s="12">
        <f>C4507+2</f>
        <v>40741</v>
      </c>
      <c r="W4507">
        <f>IF(D4507=' Pivot Tables'!$A$4,1,0)</f>
        <v>0</v>
      </c>
      <c r="X4507">
        <f>IF(AND(LEFT(D4507,4)+1=LEFT(' Pivot Tables'!$A$4,4)+0,RIGHT(LEFT(D4507,7),2)=RIGHT(LEFT(' Pivot Tables'!$A$4,7),2)),1,0)</f>
        <v>0</v>
      </c>
      <c r="Y4507" s="6">
        <f>1/COUNTIF(Таблица1[Order ID],Таблица1[[#This Row],[Order ID]])</f>
        <v>0.5</v>
      </c>
      <c r="Z4507" s="9">
        <f>1/COUNTIFS(Таблица1[Customer Name],Таблица1[[#This Row],[Customer Name]],Таблица1[Order-Year-Month],Таблица1[[#This Row],[Order-Year-Month]])</f>
        <v>0.33333333333333331</v>
      </c>
    </row>
    <row r="4508" spans="1:26" x14ac:dyDescent="0.2">
      <c r="A4508" s="6">
        <v>1411</v>
      </c>
      <c r="B4508" s="7">
        <v>10245</v>
      </c>
      <c r="C4508" s="8">
        <f>DATE(2012,12,31)-687</f>
        <v>40587</v>
      </c>
      <c r="D4508" s="8" t="str">
        <f t="shared" si="83"/>
        <v>2011-02 (февраль 2011)</v>
      </c>
      <c r="E4508" s="9" t="s">
        <v>63</v>
      </c>
      <c r="F4508" s="7">
        <v>20</v>
      </c>
      <c r="G4508" s="7">
        <v>2573.29</v>
      </c>
      <c r="H4508" s="7">
        <v>0.04</v>
      </c>
      <c r="I4508" s="9" t="s">
        <v>31</v>
      </c>
      <c r="J4508" s="10">
        <v>-896.94</v>
      </c>
      <c r="K4508" s="11">
        <v>122.99</v>
      </c>
      <c r="L4508" s="11">
        <v>70.2</v>
      </c>
      <c r="M4508" s="9" t="s">
        <v>1481</v>
      </c>
      <c r="N4508" s="6" t="s">
        <v>1123</v>
      </c>
      <c r="O4508" s="6" t="s">
        <v>1123</v>
      </c>
      <c r="P4508" s="9" t="s">
        <v>41</v>
      </c>
      <c r="Q4508" s="9" t="s">
        <v>49</v>
      </c>
      <c r="R4508" s="9" t="s">
        <v>112</v>
      </c>
      <c r="S4508" s="7" t="s">
        <v>426</v>
      </c>
      <c r="T4508" s="9" t="s">
        <v>36</v>
      </c>
      <c r="U4508" s="7">
        <v>0.74</v>
      </c>
      <c r="V4508" s="12">
        <f>C4508+1</f>
        <v>40588</v>
      </c>
      <c r="W4508">
        <f>IF(D4508=' Pivot Tables'!$A$4,1,0)</f>
        <v>0</v>
      </c>
      <c r="X4508">
        <f>IF(AND(LEFT(D4508,4)+1=LEFT(' Pivot Tables'!$A$4,4)+0,RIGHT(LEFT(D4508,7),2)=RIGHT(LEFT(' Pivot Tables'!$A$4,7),2)),1,0)</f>
        <v>0</v>
      </c>
      <c r="Y4508" s="6">
        <f>1/COUNTIF(Таблица1[Order ID],Таблица1[[#This Row],[Order ID]])</f>
        <v>0.33333333333333331</v>
      </c>
      <c r="Z4508" s="9">
        <f>1/COUNTIFS(Таблица1[Customer Name],Таблица1[[#This Row],[Customer Name]],Таблица1[Order-Year-Month],Таблица1[[#This Row],[Order-Year-Month]])</f>
        <v>0.33333333333333331</v>
      </c>
    </row>
    <row r="4509" spans="1:26" x14ac:dyDescent="0.2">
      <c r="A4509" s="6">
        <v>1526</v>
      </c>
      <c r="B4509" s="7">
        <v>11011</v>
      </c>
      <c r="C4509" s="8">
        <f>DATE(2012,12,31)-232</f>
        <v>41042</v>
      </c>
      <c r="D4509" s="8" t="str">
        <f t="shared" si="83"/>
        <v>2012-05 (май 2012)</v>
      </c>
      <c r="E4509" s="9" t="s">
        <v>30</v>
      </c>
      <c r="F4509" s="7">
        <v>33</v>
      </c>
      <c r="G4509" s="7">
        <v>8305.19</v>
      </c>
      <c r="H4509" s="7">
        <v>0.04</v>
      </c>
      <c r="I4509" s="9" t="s">
        <v>31</v>
      </c>
      <c r="J4509" s="10">
        <v>1383.32</v>
      </c>
      <c r="K4509" s="11">
        <v>240.98</v>
      </c>
      <c r="L4509" s="11">
        <v>60.2</v>
      </c>
      <c r="M4509" s="9" t="s">
        <v>1487</v>
      </c>
      <c r="N4509" s="6" t="s">
        <v>1123</v>
      </c>
      <c r="O4509" s="6" t="s">
        <v>1123</v>
      </c>
      <c r="P4509" s="9" t="s">
        <v>25</v>
      </c>
      <c r="Q4509" s="9" t="s">
        <v>49</v>
      </c>
      <c r="R4509" s="9" t="s">
        <v>80</v>
      </c>
      <c r="S4509" s="7" t="s">
        <v>1172</v>
      </c>
      <c r="T4509" s="9" t="s">
        <v>82</v>
      </c>
      <c r="U4509" s="7">
        <v>0.56000000000000005</v>
      </c>
      <c r="V4509" s="12">
        <f>C4509+2</f>
        <v>41044</v>
      </c>
      <c r="W4509">
        <f>IF(D4509=' Pivot Tables'!$A$4,1,0)</f>
        <v>0</v>
      </c>
      <c r="X4509">
        <f>IF(AND(LEFT(D4509,4)+1=LEFT(' Pivot Tables'!$A$4,4)+0,RIGHT(LEFT(D4509,7),2)=RIGHT(LEFT(' Pivot Tables'!$A$4,7),2)),1,0)</f>
        <v>0</v>
      </c>
      <c r="Y4509" s="6">
        <f>1/COUNTIF(Таблица1[Order ID],Таблица1[[#This Row],[Order ID]])</f>
        <v>0.33333333333333331</v>
      </c>
      <c r="Z4509" s="9">
        <f>1/COUNTIFS(Таблица1[Customer Name],Таблица1[[#This Row],[Customer Name]],Таблица1[Order-Year-Month],Таблица1[[#This Row],[Order-Year-Month]])</f>
        <v>0.33333333333333331</v>
      </c>
    </row>
    <row r="4510" spans="1:26" x14ac:dyDescent="0.2">
      <c r="A4510" s="6">
        <v>1713</v>
      </c>
      <c r="B4510" s="7">
        <v>12320</v>
      </c>
      <c r="C4510" s="8">
        <f>DATE(2012,12,31)-377</f>
        <v>40897</v>
      </c>
      <c r="D4510" s="8" t="str">
        <f t="shared" si="83"/>
        <v>2011-12 (декабрь 2011)</v>
      </c>
      <c r="E4510" s="9" t="s">
        <v>78</v>
      </c>
      <c r="F4510" s="7">
        <v>35</v>
      </c>
      <c r="G4510" s="7">
        <v>539.21</v>
      </c>
      <c r="H4510" s="7">
        <v>0.05</v>
      </c>
      <c r="I4510" s="9" t="s">
        <v>31</v>
      </c>
      <c r="J4510" s="10">
        <v>11.650950000000002</v>
      </c>
      <c r="K4510" s="11">
        <v>15.23</v>
      </c>
      <c r="L4510" s="11">
        <v>27.75</v>
      </c>
      <c r="M4510" s="9" t="s">
        <v>1495</v>
      </c>
      <c r="N4510" s="6" t="s">
        <v>1123</v>
      </c>
      <c r="O4510" s="6" t="s">
        <v>1123</v>
      </c>
      <c r="P4510" s="9" t="s">
        <v>41</v>
      </c>
      <c r="Q4510" s="9" t="s">
        <v>49</v>
      </c>
      <c r="R4510" s="9" t="s">
        <v>83</v>
      </c>
      <c r="S4510" s="7" t="s">
        <v>1186</v>
      </c>
      <c r="T4510" s="9" t="s">
        <v>82</v>
      </c>
      <c r="U4510" s="7">
        <v>0.76</v>
      </c>
      <c r="V4510" s="12">
        <f>C4510+2</f>
        <v>40899</v>
      </c>
      <c r="W4510">
        <f>IF(D4510=' Pivot Tables'!$A$4,1,0)</f>
        <v>0</v>
      </c>
      <c r="X4510">
        <f>IF(AND(LEFT(D4510,4)+1=LEFT(' Pivot Tables'!$A$4,4)+0,RIGHT(LEFT(D4510,7),2)=RIGHT(LEFT(' Pivot Tables'!$A$4,7),2)),1,0)</f>
        <v>0</v>
      </c>
      <c r="Y4510" s="6">
        <f>1/COUNTIF(Таблица1[Order ID],Таблица1[[#This Row],[Order ID]])</f>
        <v>1</v>
      </c>
      <c r="Z4510" s="9">
        <f>1/COUNTIFS(Таблица1[Customer Name],Таблица1[[#This Row],[Customer Name]],Таблица1[Order-Year-Month],Таблица1[[#This Row],[Order-Year-Month]])</f>
        <v>0.5</v>
      </c>
    </row>
    <row r="4511" spans="1:26" x14ac:dyDescent="0.2">
      <c r="A4511" s="6">
        <v>1717</v>
      </c>
      <c r="B4511" s="7">
        <v>12326</v>
      </c>
      <c r="C4511" s="8">
        <f>DATE(2012,12,31)-698</f>
        <v>40576</v>
      </c>
      <c r="D4511" s="8" t="str">
        <f t="shared" si="83"/>
        <v>2011-02 (февраль 2011)</v>
      </c>
      <c r="E4511" s="9" t="s">
        <v>78</v>
      </c>
      <c r="F4511" s="7">
        <v>4</v>
      </c>
      <c r="G4511" s="7">
        <v>123.82</v>
      </c>
      <c r="H4511" s="7">
        <v>0.05</v>
      </c>
      <c r="I4511" s="9" t="s">
        <v>22</v>
      </c>
      <c r="J4511" s="10">
        <v>-0.37000000000000099</v>
      </c>
      <c r="K4511" s="11">
        <v>29.34</v>
      </c>
      <c r="L4511" s="11">
        <v>57.87</v>
      </c>
      <c r="M4511" s="9" t="s">
        <v>1471</v>
      </c>
      <c r="N4511" s="6" t="s">
        <v>1123</v>
      </c>
      <c r="O4511" s="6" t="s">
        <v>1123</v>
      </c>
      <c r="P4511" s="9" t="s">
        <v>25</v>
      </c>
      <c r="Q4511" s="9" t="s">
        <v>49</v>
      </c>
      <c r="R4511" s="9" t="s">
        <v>50</v>
      </c>
      <c r="S4511" s="7" t="s">
        <v>1347</v>
      </c>
      <c r="T4511" s="9" t="s">
        <v>39</v>
      </c>
      <c r="U4511" s="7">
        <v>0.54</v>
      </c>
      <c r="V4511" s="12">
        <f>C4511+2</f>
        <v>40578</v>
      </c>
      <c r="W4511">
        <f>IF(D4511=' Pivot Tables'!$A$4,1,0)</f>
        <v>0</v>
      </c>
      <c r="X4511">
        <f>IF(AND(LEFT(D4511,4)+1=LEFT(' Pivot Tables'!$A$4,4)+0,RIGHT(LEFT(D4511,7),2)=RIGHT(LEFT(' Pivot Tables'!$A$4,7),2)),1,0)</f>
        <v>0</v>
      </c>
      <c r="Y4511" s="6">
        <f>1/COUNTIF(Таблица1[Order ID],Таблица1[[#This Row],[Order ID]])</f>
        <v>1</v>
      </c>
      <c r="Z4511" s="9">
        <f>1/COUNTIFS(Таблица1[Customer Name],Таблица1[[#This Row],[Customer Name]],Таблица1[Order-Year-Month],Таблица1[[#This Row],[Order-Year-Month]])</f>
        <v>1</v>
      </c>
    </row>
    <row r="4512" spans="1:26" x14ac:dyDescent="0.2">
      <c r="A4512" s="6">
        <v>1819</v>
      </c>
      <c r="B4512" s="7">
        <v>13056</v>
      </c>
      <c r="C4512" s="8">
        <f>DATE(2012,12,31)-1349</f>
        <v>39925</v>
      </c>
      <c r="D4512" s="8" t="str">
        <f t="shared" si="83"/>
        <v>2009-04 (апрель 2009)</v>
      </c>
      <c r="E4512" s="9" t="s">
        <v>45</v>
      </c>
      <c r="F4512" s="7">
        <v>33</v>
      </c>
      <c r="G4512" s="7">
        <v>3387.32</v>
      </c>
      <c r="H4512" s="7">
        <v>0.05</v>
      </c>
      <c r="I4512" s="9" t="s">
        <v>22</v>
      </c>
      <c r="J4512" s="10">
        <v>1413.52</v>
      </c>
      <c r="K4512" s="11">
        <v>100.98</v>
      </c>
      <c r="L4512" s="11">
        <v>7.18</v>
      </c>
      <c r="M4512" s="9" t="s">
        <v>1458</v>
      </c>
      <c r="N4512" s="6" t="s">
        <v>1123</v>
      </c>
      <c r="O4512" s="6" t="s">
        <v>1123</v>
      </c>
      <c r="P4512" s="9" t="s">
        <v>25</v>
      </c>
      <c r="Q4512" s="9" t="s">
        <v>42</v>
      </c>
      <c r="R4512" s="9" t="s">
        <v>70</v>
      </c>
      <c r="S4512" s="7" t="s">
        <v>642</v>
      </c>
      <c r="T4512" s="9" t="s">
        <v>39</v>
      </c>
      <c r="U4512" s="7">
        <v>0.4</v>
      </c>
      <c r="V4512" s="12">
        <f>C4512+2</f>
        <v>39927</v>
      </c>
      <c r="W4512">
        <f>IF(D4512=' Pivot Tables'!$A$4,1,0)</f>
        <v>0</v>
      </c>
      <c r="X4512">
        <f>IF(AND(LEFT(D4512,4)+1=LEFT(' Pivot Tables'!$A$4,4)+0,RIGHT(LEFT(D4512,7),2)=RIGHT(LEFT(' Pivot Tables'!$A$4,7),2)),1,0)</f>
        <v>0</v>
      </c>
      <c r="Y4512" s="6">
        <f>1/COUNTIF(Таблица1[Order ID],Таблица1[[#This Row],[Order ID]])</f>
        <v>1</v>
      </c>
      <c r="Z4512" s="9">
        <f>1/COUNTIFS(Таблица1[Customer Name],Таблица1[[#This Row],[Customer Name]],Таблица1[Order-Year-Month],Таблица1[[#This Row],[Order-Year-Month]])</f>
        <v>0.5</v>
      </c>
    </row>
    <row r="4513" spans="1:26" x14ac:dyDescent="0.2">
      <c r="A4513" s="6">
        <v>1830</v>
      </c>
      <c r="B4513" s="7">
        <v>13125</v>
      </c>
      <c r="C4513" s="8">
        <f>DATE(2012,12,31)-749</f>
        <v>40525</v>
      </c>
      <c r="D4513" s="8" t="str">
        <f t="shared" si="83"/>
        <v>2010-12 (декабрь 2010)</v>
      </c>
      <c r="E4513" s="9" t="s">
        <v>45</v>
      </c>
      <c r="F4513" s="7">
        <v>30</v>
      </c>
      <c r="G4513" s="7">
        <v>990.73</v>
      </c>
      <c r="H4513" s="7">
        <v>0.02</v>
      </c>
      <c r="I4513" s="9" t="s">
        <v>56</v>
      </c>
      <c r="J4513" s="10">
        <v>56.39</v>
      </c>
      <c r="K4513" s="11">
        <v>30.73</v>
      </c>
      <c r="L4513" s="11">
        <v>4</v>
      </c>
      <c r="M4513" s="9" t="s">
        <v>1802</v>
      </c>
      <c r="N4513" s="6" t="s">
        <v>1123</v>
      </c>
      <c r="O4513" s="6" t="s">
        <v>1123</v>
      </c>
      <c r="P4513" s="9" t="s">
        <v>41</v>
      </c>
      <c r="Q4513" s="9" t="s">
        <v>42</v>
      </c>
      <c r="R4513" s="9" t="s">
        <v>70</v>
      </c>
      <c r="S4513" s="7" t="s">
        <v>270</v>
      </c>
      <c r="T4513" s="9" t="s">
        <v>39</v>
      </c>
      <c r="U4513" s="7">
        <v>0.75</v>
      </c>
      <c r="V4513" s="12">
        <f>C4513+2</f>
        <v>40527</v>
      </c>
      <c r="W4513">
        <f>IF(D4513=' Pivot Tables'!$A$4,1,0)</f>
        <v>0</v>
      </c>
      <c r="X4513">
        <f>IF(AND(LEFT(D4513,4)+1=LEFT(' Pivot Tables'!$A$4,4)+0,RIGHT(LEFT(D4513,7),2)=RIGHT(LEFT(' Pivot Tables'!$A$4,7),2)),1,0)</f>
        <v>0</v>
      </c>
      <c r="Y4513" s="6">
        <f>1/COUNTIF(Таблица1[Order ID],Таблица1[[#This Row],[Order ID]])</f>
        <v>1</v>
      </c>
      <c r="Z4513" s="9">
        <f>1/COUNTIFS(Таблица1[Customer Name],Таблица1[[#This Row],[Customer Name]],Таблица1[Order-Year-Month],Таблица1[[#This Row],[Order-Year-Month]])</f>
        <v>1</v>
      </c>
    </row>
    <row r="4514" spans="1:26" x14ac:dyDescent="0.2">
      <c r="A4514" s="6">
        <v>2404</v>
      </c>
      <c r="B4514" s="7">
        <v>17410</v>
      </c>
      <c r="C4514" s="8">
        <f>DATE(2012,12,31)-852</f>
        <v>40422</v>
      </c>
      <c r="D4514" s="8" t="str">
        <f t="shared" si="83"/>
        <v>2010-09 (сентябрь 2010)</v>
      </c>
      <c r="E4514" s="9" t="s">
        <v>21</v>
      </c>
      <c r="F4514" s="7">
        <v>45</v>
      </c>
      <c r="G4514" s="7">
        <v>372.01</v>
      </c>
      <c r="H4514" s="7">
        <v>7.0000000000000007E-2</v>
      </c>
      <c r="I4514" s="9" t="s">
        <v>22</v>
      </c>
      <c r="J4514" s="10">
        <v>-203.68</v>
      </c>
      <c r="K4514" s="11">
        <v>8.4499999999999993</v>
      </c>
      <c r="L4514" s="11">
        <v>7.77</v>
      </c>
      <c r="M4514" s="9" t="s">
        <v>1383</v>
      </c>
      <c r="N4514" s="6" t="s">
        <v>1123</v>
      </c>
      <c r="O4514" s="6" t="s">
        <v>1123</v>
      </c>
      <c r="P4514" s="9" t="s">
        <v>60</v>
      </c>
      <c r="Q4514" s="9" t="s">
        <v>26</v>
      </c>
      <c r="R4514" s="9" t="s">
        <v>150</v>
      </c>
      <c r="S4514" s="7" t="s">
        <v>466</v>
      </c>
      <c r="T4514" s="9" t="s">
        <v>52</v>
      </c>
      <c r="U4514" s="7">
        <v>0.55000000000000004</v>
      </c>
      <c r="V4514" s="12">
        <f>C4514+5</f>
        <v>40427</v>
      </c>
      <c r="W4514">
        <f>IF(D4514=' Pivot Tables'!$A$4,1,0)</f>
        <v>0</v>
      </c>
      <c r="X4514">
        <f>IF(AND(LEFT(D4514,4)+1=LEFT(' Pivot Tables'!$A$4,4)+0,RIGHT(LEFT(D4514,7),2)=RIGHT(LEFT(' Pivot Tables'!$A$4,7),2)),1,0)</f>
        <v>0</v>
      </c>
      <c r="Y4514" s="6">
        <f>1/COUNTIF(Таблица1[Order ID],Таблица1[[#This Row],[Order ID]])</f>
        <v>0.5</v>
      </c>
      <c r="Z4514" s="9">
        <f>1/COUNTIFS(Таблица1[Customer Name],Таблица1[[#This Row],[Customer Name]],Таблица1[Order-Year-Month],Таблица1[[#This Row],[Order-Year-Month]])</f>
        <v>0.5</v>
      </c>
    </row>
    <row r="4515" spans="1:26" x14ac:dyDescent="0.2">
      <c r="A4515" s="6">
        <v>2466</v>
      </c>
      <c r="B4515" s="7">
        <v>17953</v>
      </c>
      <c r="C4515" s="8">
        <f>DATE(2012,12,31)-133</f>
        <v>41141</v>
      </c>
      <c r="D4515" s="8" t="str">
        <f t="shared" si="83"/>
        <v>2012-08 (август 2012)</v>
      </c>
      <c r="E4515" s="9" t="s">
        <v>30</v>
      </c>
      <c r="F4515" s="7">
        <v>30</v>
      </c>
      <c r="G4515" s="7">
        <v>975.12</v>
      </c>
      <c r="H4515" s="7">
        <v>0.03</v>
      </c>
      <c r="I4515" s="9" t="s">
        <v>22</v>
      </c>
      <c r="J4515" s="10">
        <v>-6.72</v>
      </c>
      <c r="K4515" s="11">
        <v>30.98</v>
      </c>
      <c r="L4515" s="11">
        <v>19.510000000000002</v>
      </c>
      <c r="M4515" s="9" t="s">
        <v>1471</v>
      </c>
      <c r="N4515" s="6" t="s">
        <v>1123</v>
      </c>
      <c r="O4515" s="6" t="s">
        <v>1123</v>
      </c>
      <c r="P4515" s="9" t="s">
        <v>25</v>
      </c>
      <c r="Q4515" s="9" t="s">
        <v>26</v>
      </c>
      <c r="R4515" s="9" t="s">
        <v>76</v>
      </c>
      <c r="S4515" s="7" t="s">
        <v>1504</v>
      </c>
      <c r="T4515" s="9" t="s">
        <v>39</v>
      </c>
      <c r="U4515" s="7">
        <v>0.36</v>
      </c>
      <c r="V4515" s="12">
        <f>C4515+2</f>
        <v>41143</v>
      </c>
      <c r="W4515">
        <f>IF(D4515=' Pivot Tables'!$A$4,1,0)</f>
        <v>0</v>
      </c>
      <c r="X4515">
        <f>IF(AND(LEFT(D4515,4)+1=LEFT(' Pivot Tables'!$A$4,4)+0,RIGHT(LEFT(D4515,7),2)=RIGHT(LEFT(' Pivot Tables'!$A$4,7),2)),1,0)</f>
        <v>0</v>
      </c>
      <c r="Y4515" s="6">
        <f>1/COUNTIF(Таблица1[Order ID],Таблица1[[#This Row],[Order ID]])</f>
        <v>0.33333333333333331</v>
      </c>
      <c r="Z4515" s="9">
        <f>1/COUNTIFS(Таблица1[Customer Name],Таблица1[[#This Row],[Customer Name]],Таблица1[Order-Year-Month],Таблица1[[#This Row],[Order-Year-Month]])</f>
        <v>0.33333333333333331</v>
      </c>
    </row>
    <row r="4516" spans="1:26" x14ac:dyDescent="0.2">
      <c r="A4516" s="6">
        <v>2875</v>
      </c>
      <c r="B4516" s="7">
        <v>20711</v>
      </c>
      <c r="C4516" s="8">
        <f>DATE(2012,12,31)-1442</f>
        <v>39832</v>
      </c>
      <c r="D4516" s="8" t="str">
        <f t="shared" si="83"/>
        <v>2009-01 (январь 2009)</v>
      </c>
      <c r="E4516" s="9" t="s">
        <v>78</v>
      </c>
      <c r="F4516" s="7">
        <v>18</v>
      </c>
      <c r="G4516" s="7">
        <v>2215.96</v>
      </c>
      <c r="H4516" s="7">
        <v>0</v>
      </c>
      <c r="I4516" s="9" t="s">
        <v>31</v>
      </c>
      <c r="J4516" s="10">
        <v>-101.65949999999999</v>
      </c>
      <c r="K4516" s="11">
        <v>119.99</v>
      </c>
      <c r="L4516" s="11">
        <v>56.14</v>
      </c>
      <c r="M4516" s="9" t="s">
        <v>1503</v>
      </c>
      <c r="N4516" s="6" t="s">
        <v>1123</v>
      </c>
      <c r="O4516" s="6" t="s">
        <v>1123</v>
      </c>
      <c r="P4516" s="9" t="s">
        <v>33</v>
      </c>
      <c r="Q4516" s="9" t="s">
        <v>42</v>
      </c>
      <c r="R4516" s="9" t="s">
        <v>210</v>
      </c>
      <c r="S4516" s="7" t="s">
        <v>950</v>
      </c>
      <c r="T4516" s="9" t="s">
        <v>82</v>
      </c>
      <c r="U4516" s="7">
        <v>0.39</v>
      </c>
      <c r="V4516" s="12">
        <f>C4516+1</f>
        <v>39833</v>
      </c>
      <c r="W4516">
        <f>IF(D4516=' Pivot Tables'!$A$4,1,0)</f>
        <v>0</v>
      </c>
      <c r="X4516">
        <f>IF(AND(LEFT(D4516,4)+1=LEFT(' Pivot Tables'!$A$4,4)+0,RIGHT(LEFT(D4516,7),2)=RIGHT(LEFT(' Pivot Tables'!$A$4,7),2)),1,0)</f>
        <v>1</v>
      </c>
      <c r="Y4516" s="6">
        <f>1/COUNTIF(Таблица1[Order ID],Таблица1[[#This Row],[Order ID]])</f>
        <v>0.5</v>
      </c>
      <c r="Z4516" s="9">
        <f>1/COUNTIFS(Таблица1[Customer Name],Таблица1[[#This Row],[Customer Name]],Таблица1[Order-Year-Month],Таблица1[[#This Row],[Order-Year-Month]])</f>
        <v>0.5</v>
      </c>
    </row>
    <row r="4517" spans="1:26" x14ac:dyDescent="0.2">
      <c r="A4517" s="6">
        <v>2997</v>
      </c>
      <c r="B4517" s="7">
        <v>21606</v>
      </c>
      <c r="C4517" s="8">
        <f>DATE(2012,12,31)-709</f>
        <v>40565</v>
      </c>
      <c r="D4517" s="8" t="str">
        <f t="shared" si="83"/>
        <v>2011-01 (январь 2011)</v>
      </c>
      <c r="E4517" s="9" t="s">
        <v>45</v>
      </c>
      <c r="F4517" s="7">
        <v>43</v>
      </c>
      <c r="G4517" s="7">
        <v>1374.7</v>
      </c>
      <c r="H4517" s="7">
        <v>0.06</v>
      </c>
      <c r="I4517" s="9" t="s">
        <v>56</v>
      </c>
      <c r="J4517" s="10">
        <v>-90.3</v>
      </c>
      <c r="K4517" s="11">
        <v>32.979999999999997</v>
      </c>
      <c r="L4517" s="11">
        <v>5.5</v>
      </c>
      <c r="M4517" s="9" t="s">
        <v>1471</v>
      </c>
      <c r="N4517" s="6" t="s">
        <v>1123</v>
      </c>
      <c r="O4517" s="6" t="s">
        <v>1123</v>
      </c>
      <c r="P4517" s="9" t="s">
        <v>25</v>
      </c>
      <c r="Q4517" s="9" t="s">
        <v>42</v>
      </c>
      <c r="R4517" s="9" t="s">
        <v>70</v>
      </c>
      <c r="S4517" s="7" t="s">
        <v>403</v>
      </c>
      <c r="T4517" s="9" t="s">
        <v>39</v>
      </c>
      <c r="U4517" s="7">
        <v>0.75</v>
      </c>
      <c r="V4517" s="12">
        <f>C4517+1</f>
        <v>40566</v>
      </c>
      <c r="W4517">
        <f>IF(D4517=' Pivot Tables'!$A$4,1,0)</f>
        <v>0</v>
      </c>
      <c r="X4517">
        <f>IF(AND(LEFT(D4517,4)+1=LEFT(' Pivot Tables'!$A$4,4)+0,RIGHT(LEFT(D4517,7),2)=RIGHT(LEFT(' Pivot Tables'!$A$4,7),2)),1,0)</f>
        <v>0</v>
      </c>
      <c r="Y4517" s="6">
        <f>1/COUNTIF(Таблица1[Order ID],Таблица1[[#This Row],[Order ID]])</f>
        <v>0.5</v>
      </c>
      <c r="Z4517" s="9">
        <f>1/COUNTIFS(Таблица1[Customer Name],Таблица1[[#This Row],[Customer Name]],Таблица1[Order-Year-Month],Таблица1[[#This Row],[Order-Year-Month]])</f>
        <v>0.5</v>
      </c>
    </row>
    <row r="4518" spans="1:26" x14ac:dyDescent="0.2">
      <c r="A4518" s="6">
        <v>3174</v>
      </c>
      <c r="B4518" s="7">
        <v>22820</v>
      </c>
      <c r="C4518" s="8">
        <f>DATE(2012,12,31)-867</f>
        <v>40407</v>
      </c>
      <c r="D4518" s="8" t="str">
        <f t="shared" si="83"/>
        <v>2010-08 (август 2010)</v>
      </c>
      <c r="E4518" s="9" t="s">
        <v>30</v>
      </c>
      <c r="F4518" s="7">
        <v>34</v>
      </c>
      <c r="G4518" s="7">
        <v>209.12</v>
      </c>
      <c r="H4518" s="7">
        <v>0.05</v>
      </c>
      <c r="I4518" s="9" t="s">
        <v>22</v>
      </c>
      <c r="J4518" s="10">
        <v>-116.21</v>
      </c>
      <c r="K4518" s="11">
        <v>5.98</v>
      </c>
      <c r="L4518" s="11">
        <v>4.38</v>
      </c>
      <c r="M4518" s="9" t="s">
        <v>1465</v>
      </c>
      <c r="N4518" s="6" t="s">
        <v>1123</v>
      </c>
      <c r="O4518" s="6" t="s">
        <v>1123</v>
      </c>
      <c r="P4518" s="9" t="s">
        <v>33</v>
      </c>
      <c r="Q4518" s="9" t="s">
        <v>42</v>
      </c>
      <c r="R4518" s="9" t="s">
        <v>70</v>
      </c>
      <c r="S4518" s="7" t="s">
        <v>104</v>
      </c>
      <c r="T4518" s="9" t="s">
        <v>52</v>
      </c>
      <c r="U4518" s="7">
        <v>0.75</v>
      </c>
      <c r="V4518" s="12">
        <f>C4518+2</f>
        <v>40409</v>
      </c>
      <c r="W4518">
        <f>IF(D4518=' Pivot Tables'!$A$4,1,0)</f>
        <v>0</v>
      </c>
      <c r="X4518">
        <f>IF(AND(LEFT(D4518,4)+1=LEFT(' Pivot Tables'!$A$4,4)+0,RIGHT(LEFT(D4518,7),2)=RIGHT(LEFT(' Pivot Tables'!$A$4,7),2)),1,0)</f>
        <v>0</v>
      </c>
      <c r="Y4518" s="6">
        <f>1/COUNTIF(Таблица1[Order ID],Таблица1[[#This Row],[Order ID]])</f>
        <v>0.5</v>
      </c>
      <c r="Z4518" s="9">
        <f>1/COUNTIFS(Таблица1[Customer Name],Таблица1[[#This Row],[Customer Name]],Таблица1[Order-Year-Month],Таблица1[[#This Row],[Order-Year-Month]])</f>
        <v>0.5</v>
      </c>
    </row>
    <row r="4519" spans="1:26" x14ac:dyDescent="0.2">
      <c r="A4519" s="6">
        <v>3227</v>
      </c>
      <c r="B4519" s="7">
        <v>23169</v>
      </c>
      <c r="C4519" s="8">
        <f>DATE(2012,12,31)-557</f>
        <v>40717</v>
      </c>
      <c r="D4519" s="8" t="str">
        <f t="shared" si="83"/>
        <v>2011-06 (июнь 2011)</v>
      </c>
      <c r="E4519" s="9" t="s">
        <v>78</v>
      </c>
      <c r="F4519" s="7">
        <v>27</v>
      </c>
      <c r="G4519" s="7">
        <v>172.7</v>
      </c>
      <c r="H4519" s="7">
        <v>7.0000000000000007E-2</v>
      </c>
      <c r="I4519" s="9" t="s">
        <v>22</v>
      </c>
      <c r="J4519" s="10">
        <v>-42.97</v>
      </c>
      <c r="K4519" s="11">
        <v>6.48</v>
      </c>
      <c r="L4519" s="11">
        <v>5.1100000000000003</v>
      </c>
      <c r="M4519" s="9" t="s">
        <v>1459</v>
      </c>
      <c r="N4519" s="6" t="s">
        <v>1123</v>
      </c>
      <c r="O4519" s="6" t="s">
        <v>1123</v>
      </c>
      <c r="P4519" s="9" t="s">
        <v>60</v>
      </c>
      <c r="Q4519" s="9" t="s">
        <v>26</v>
      </c>
      <c r="R4519" s="9" t="s">
        <v>61</v>
      </c>
      <c r="S4519" s="7" t="s">
        <v>1745</v>
      </c>
      <c r="T4519" s="9" t="s">
        <v>39</v>
      </c>
      <c r="U4519" s="7">
        <v>0.37</v>
      </c>
      <c r="V4519" s="12">
        <f>C4519+2</f>
        <v>40719</v>
      </c>
      <c r="W4519">
        <f>IF(D4519=' Pivot Tables'!$A$4,1,0)</f>
        <v>0</v>
      </c>
      <c r="X4519">
        <f>IF(AND(LEFT(D4519,4)+1=LEFT(' Pivot Tables'!$A$4,4)+0,RIGHT(LEFT(D4519,7),2)=RIGHT(LEFT(' Pivot Tables'!$A$4,7),2)),1,0)</f>
        <v>0</v>
      </c>
      <c r="Y4519" s="6">
        <f>1/COUNTIF(Таблица1[Order ID],Таблица1[[#This Row],[Order ID]])</f>
        <v>0.5</v>
      </c>
      <c r="Z4519" s="9">
        <f>1/COUNTIFS(Таблица1[Customer Name],Таблица1[[#This Row],[Customer Name]],Таблица1[Order-Year-Month],Таблица1[[#This Row],[Order-Year-Month]])</f>
        <v>0.5</v>
      </c>
    </row>
    <row r="4520" spans="1:26" x14ac:dyDescent="0.2">
      <c r="A4520" s="6">
        <v>3286</v>
      </c>
      <c r="B4520" s="7">
        <v>23522</v>
      </c>
      <c r="C4520" s="8">
        <f>DATE(2012,12,31)-630</f>
        <v>40644</v>
      </c>
      <c r="D4520" s="8" t="str">
        <f t="shared" si="83"/>
        <v>2011-04 (апрель 2011)</v>
      </c>
      <c r="E4520" s="9" t="s">
        <v>78</v>
      </c>
      <c r="F4520" s="7">
        <v>8</v>
      </c>
      <c r="G4520" s="7">
        <v>180.43</v>
      </c>
      <c r="H4520" s="7">
        <v>0.02</v>
      </c>
      <c r="I4520" s="9" t="s">
        <v>22</v>
      </c>
      <c r="J4520" s="10">
        <v>-44.86</v>
      </c>
      <c r="K4520" s="11">
        <v>19.989999999999998</v>
      </c>
      <c r="L4520" s="11">
        <v>11.17</v>
      </c>
      <c r="M4520" s="9" t="s">
        <v>1538</v>
      </c>
      <c r="N4520" s="6" t="s">
        <v>1123</v>
      </c>
      <c r="O4520" s="6" t="s">
        <v>1123</v>
      </c>
      <c r="P4520" s="9" t="s">
        <v>25</v>
      </c>
      <c r="Q4520" s="9" t="s">
        <v>49</v>
      </c>
      <c r="R4520" s="9" t="s">
        <v>50</v>
      </c>
      <c r="S4520" s="7" t="s">
        <v>340</v>
      </c>
      <c r="T4520" s="9" t="s">
        <v>29</v>
      </c>
      <c r="U4520" s="7">
        <v>0.6</v>
      </c>
      <c r="V4520" s="12">
        <f>C4520+1</f>
        <v>40645</v>
      </c>
      <c r="W4520">
        <f>IF(D4520=' Pivot Tables'!$A$4,1,0)</f>
        <v>0</v>
      </c>
      <c r="X4520">
        <f>IF(AND(LEFT(D4520,4)+1=LEFT(' Pivot Tables'!$A$4,4)+0,RIGHT(LEFT(D4520,7),2)=RIGHT(LEFT(' Pivot Tables'!$A$4,7),2)),1,0)</f>
        <v>0</v>
      </c>
      <c r="Y4520" s="6">
        <f>1/COUNTIF(Таблица1[Order ID],Таблица1[[#This Row],[Order ID]])</f>
        <v>0.25</v>
      </c>
      <c r="Z4520" s="9">
        <f>1/COUNTIFS(Таблица1[Customer Name],Таблица1[[#This Row],[Customer Name]],Таблица1[Order-Year-Month],Таблица1[[#This Row],[Order-Year-Month]])</f>
        <v>0.25</v>
      </c>
    </row>
    <row r="4521" spans="1:26" x14ac:dyDescent="0.2">
      <c r="A4521" s="6">
        <v>3303</v>
      </c>
      <c r="B4521" s="7">
        <v>23616</v>
      </c>
      <c r="C4521" s="8">
        <f>DATE(2012,12,31)-125</f>
        <v>41149</v>
      </c>
      <c r="D4521" s="8" t="str">
        <f t="shared" si="83"/>
        <v>2012-08 (август 2012)</v>
      </c>
      <c r="E4521" s="9" t="s">
        <v>45</v>
      </c>
      <c r="F4521" s="7">
        <v>47</v>
      </c>
      <c r="G4521" s="7">
        <v>9262.35</v>
      </c>
      <c r="H4521" s="7">
        <v>0.09</v>
      </c>
      <c r="I4521" s="9" t="s">
        <v>22</v>
      </c>
      <c r="J4521" s="10">
        <v>2787.59</v>
      </c>
      <c r="K4521" s="11">
        <v>199.99</v>
      </c>
      <c r="L4521" s="11">
        <v>24.49</v>
      </c>
      <c r="M4521" s="9" t="s">
        <v>1576</v>
      </c>
      <c r="N4521" s="6" t="s">
        <v>1123</v>
      </c>
      <c r="O4521" s="6" t="s">
        <v>1123</v>
      </c>
      <c r="P4521" s="9" t="s">
        <v>60</v>
      </c>
      <c r="Q4521" s="9" t="s">
        <v>42</v>
      </c>
      <c r="R4521" s="9" t="s">
        <v>99</v>
      </c>
      <c r="S4521" s="7" t="s">
        <v>619</v>
      </c>
      <c r="T4521" s="9" t="s">
        <v>29</v>
      </c>
      <c r="U4521" s="7">
        <v>0.46</v>
      </c>
      <c r="V4521" s="12">
        <f>C4521+0</f>
        <v>41149</v>
      </c>
      <c r="W4521">
        <f>IF(D4521=' Pivot Tables'!$A$4,1,0)</f>
        <v>0</v>
      </c>
      <c r="X4521">
        <f>IF(AND(LEFT(D4521,4)+1=LEFT(' Pivot Tables'!$A$4,4)+0,RIGHT(LEFT(D4521,7),2)=RIGHT(LEFT(' Pivot Tables'!$A$4,7),2)),1,0)</f>
        <v>0</v>
      </c>
      <c r="Y4521" s="6">
        <f>1/COUNTIF(Таблица1[Order ID],Таблица1[[#This Row],[Order ID]])</f>
        <v>1</v>
      </c>
      <c r="Z4521" s="9">
        <f>1/COUNTIFS(Таблица1[Customer Name],Таблица1[[#This Row],[Customer Name]],Таблица1[Order-Year-Month],Таблица1[[#This Row],[Order-Year-Month]])</f>
        <v>1</v>
      </c>
    </row>
    <row r="4522" spans="1:26" x14ac:dyDescent="0.2">
      <c r="A4522" s="6">
        <v>3526</v>
      </c>
      <c r="B4522" s="7">
        <v>25092</v>
      </c>
      <c r="C4522" s="8">
        <f>DATE(2012,12,31)-761</f>
        <v>40513</v>
      </c>
      <c r="D4522" s="8" t="str">
        <f t="shared" si="83"/>
        <v>2010-12 (декабрь 2010)</v>
      </c>
      <c r="E4522" s="9" t="s">
        <v>30</v>
      </c>
      <c r="F4522" s="7">
        <v>42</v>
      </c>
      <c r="G4522" s="7">
        <v>242.8</v>
      </c>
      <c r="H4522" s="7">
        <v>7.0000000000000007E-2</v>
      </c>
      <c r="I4522" s="9" t="s">
        <v>22</v>
      </c>
      <c r="J4522" s="10">
        <v>95.91</v>
      </c>
      <c r="K4522" s="11">
        <v>5.84</v>
      </c>
      <c r="L4522" s="11">
        <v>1</v>
      </c>
      <c r="M4522" s="9" t="s">
        <v>1540</v>
      </c>
      <c r="N4522" s="6" t="s">
        <v>1123</v>
      </c>
      <c r="O4522" s="6" t="s">
        <v>1123</v>
      </c>
      <c r="P4522" s="9" t="s">
        <v>33</v>
      </c>
      <c r="Q4522" s="9" t="s">
        <v>26</v>
      </c>
      <c r="R4522" s="9" t="s">
        <v>95</v>
      </c>
      <c r="S4522" s="7" t="s">
        <v>1144</v>
      </c>
      <c r="T4522" s="9" t="s">
        <v>68</v>
      </c>
      <c r="U4522" s="7">
        <v>0.38</v>
      </c>
      <c r="V4522" s="12">
        <f>C4522+2</f>
        <v>40515</v>
      </c>
      <c r="W4522">
        <f>IF(D4522=' Pivot Tables'!$A$4,1,0)</f>
        <v>0</v>
      </c>
      <c r="X4522">
        <f>IF(AND(LEFT(D4522,4)+1=LEFT(' Pivot Tables'!$A$4,4)+0,RIGHT(LEFT(D4522,7),2)=RIGHT(LEFT(' Pivot Tables'!$A$4,7),2)),1,0)</f>
        <v>0</v>
      </c>
      <c r="Y4522" s="6">
        <f>1/COUNTIF(Таблица1[Order ID],Таблица1[[#This Row],[Order ID]])</f>
        <v>0.33333333333333331</v>
      </c>
      <c r="Z4522" s="9">
        <f>1/COUNTIFS(Таблица1[Customer Name],Таблица1[[#This Row],[Customer Name]],Таблица1[Order-Year-Month],Таблица1[[#This Row],[Order-Year-Month]])</f>
        <v>0.33333333333333331</v>
      </c>
    </row>
    <row r="4523" spans="1:26" x14ac:dyDescent="0.2">
      <c r="A4523" s="6">
        <v>3538</v>
      </c>
      <c r="B4523" s="7">
        <v>25157</v>
      </c>
      <c r="C4523" s="8">
        <f>DATE(2012,12,31)-951</f>
        <v>40323</v>
      </c>
      <c r="D4523" s="8" t="str">
        <f t="shared" si="83"/>
        <v>2010-05 (май 2010)</v>
      </c>
      <c r="E4523" s="9" t="s">
        <v>45</v>
      </c>
      <c r="F4523" s="7">
        <v>47</v>
      </c>
      <c r="G4523" s="7">
        <v>271.77999999999997</v>
      </c>
      <c r="H4523" s="7">
        <v>7.0000000000000007E-2</v>
      </c>
      <c r="I4523" s="9" t="s">
        <v>22</v>
      </c>
      <c r="J4523" s="10">
        <v>52.74</v>
      </c>
      <c r="K4523" s="11">
        <v>5.84</v>
      </c>
      <c r="L4523" s="11">
        <v>1.2</v>
      </c>
      <c r="M4523" s="9" t="s">
        <v>1531</v>
      </c>
      <c r="N4523" s="6" t="s">
        <v>1123</v>
      </c>
      <c r="O4523" s="6" t="s">
        <v>1123</v>
      </c>
      <c r="P4523" s="9" t="s">
        <v>41</v>
      </c>
      <c r="Q4523" s="9" t="s">
        <v>26</v>
      </c>
      <c r="R4523" s="9" t="s">
        <v>95</v>
      </c>
      <c r="S4523" s="7" t="s">
        <v>413</v>
      </c>
      <c r="T4523" s="9" t="s">
        <v>68</v>
      </c>
      <c r="U4523" s="7">
        <v>0.55000000000000004</v>
      </c>
      <c r="V4523" s="12">
        <f>C4523+1</f>
        <v>40324</v>
      </c>
      <c r="W4523">
        <f>IF(D4523=' Pivot Tables'!$A$4,1,0)</f>
        <v>0</v>
      </c>
      <c r="X4523">
        <f>IF(AND(LEFT(D4523,4)+1=LEFT(' Pivot Tables'!$A$4,4)+0,RIGHT(LEFT(D4523,7),2)=RIGHT(LEFT(' Pivot Tables'!$A$4,7),2)),1,0)</f>
        <v>0</v>
      </c>
      <c r="Y4523" s="6">
        <f>1/COUNTIF(Таблица1[Order ID],Таблица1[[#This Row],[Order ID]])</f>
        <v>0.5</v>
      </c>
      <c r="Z4523" s="9">
        <f>1/COUNTIFS(Таблица1[Customer Name],Таблица1[[#This Row],[Customer Name]],Таблица1[Order-Year-Month],Таблица1[[#This Row],[Order-Year-Month]])</f>
        <v>0.5</v>
      </c>
    </row>
    <row r="4524" spans="1:26" x14ac:dyDescent="0.2">
      <c r="A4524" s="6">
        <v>3545</v>
      </c>
      <c r="B4524" s="7">
        <v>25280</v>
      </c>
      <c r="C4524" s="8">
        <f>DATE(2012,12,31)-590</f>
        <v>40684</v>
      </c>
      <c r="D4524" s="8" t="str">
        <f t="shared" si="83"/>
        <v>2011-05 (май 2011)</v>
      </c>
      <c r="E4524" s="9" t="s">
        <v>45</v>
      </c>
      <c r="F4524" s="7">
        <v>16</v>
      </c>
      <c r="G4524" s="7">
        <v>179.26</v>
      </c>
      <c r="H4524" s="7">
        <v>0.01</v>
      </c>
      <c r="I4524" s="9" t="s">
        <v>22</v>
      </c>
      <c r="J4524" s="10">
        <v>36.779500000000006</v>
      </c>
      <c r="K4524" s="11">
        <v>10.91</v>
      </c>
      <c r="L4524" s="11">
        <v>2.99</v>
      </c>
      <c r="M4524" s="9" t="s">
        <v>1518</v>
      </c>
      <c r="N4524" s="6" t="s">
        <v>1123</v>
      </c>
      <c r="O4524" s="6" t="s">
        <v>1123</v>
      </c>
      <c r="P4524" s="9" t="s">
        <v>41</v>
      </c>
      <c r="Q4524" s="9" t="s">
        <v>26</v>
      </c>
      <c r="R4524" s="9" t="s">
        <v>37</v>
      </c>
      <c r="S4524" s="7" t="s">
        <v>357</v>
      </c>
      <c r="T4524" s="9" t="s">
        <v>39</v>
      </c>
      <c r="U4524" s="7">
        <v>0.38</v>
      </c>
      <c r="V4524" s="12">
        <f>C4524+2</f>
        <v>40686</v>
      </c>
      <c r="W4524">
        <f>IF(D4524=' Pivot Tables'!$A$4,1,0)</f>
        <v>0</v>
      </c>
      <c r="X4524">
        <f>IF(AND(LEFT(D4524,4)+1=LEFT(' Pivot Tables'!$A$4,4)+0,RIGHT(LEFT(D4524,7),2)=RIGHT(LEFT(' Pivot Tables'!$A$4,7),2)),1,0)</f>
        <v>0</v>
      </c>
      <c r="Y4524" s="6">
        <f>1/COUNTIF(Таблица1[Order ID],Таблица1[[#This Row],[Order ID]])</f>
        <v>0.5</v>
      </c>
      <c r="Z4524" s="9">
        <f>1/COUNTIFS(Таблица1[Customer Name],Таблица1[[#This Row],[Customer Name]],Таблица1[Order-Year-Month],Таблица1[[#This Row],[Order-Year-Month]])</f>
        <v>0.25</v>
      </c>
    </row>
    <row r="4525" spans="1:26" x14ac:dyDescent="0.2">
      <c r="A4525" s="6">
        <v>3547</v>
      </c>
      <c r="B4525" s="7">
        <v>25313</v>
      </c>
      <c r="C4525" s="8">
        <f>DATE(2012,12,31)-132</f>
        <v>41142</v>
      </c>
      <c r="D4525" s="8" t="str">
        <f t="shared" si="83"/>
        <v>2012-08 (август 2012)</v>
      </c>
      <c r="E4525" s="9" t="s">
        <v>78</v>
      </c>
      <c r="F4525" s="7">
        <v>19</v>
      </c>
      <c r="G4525" s="7">
        <v>418.7</v>
      </c>
      <c r="H4525" s="7">
        <v>0.05</v>
      </c>
      <c r="I4525" s="9" t="s">
        <v>22</v>
      </c>
      <c r="J4525" s="10">
        <v>22.88</v>
      </c>
      <c r="K4525" s="11">
        <v>22.01</v>
      </c>
      <c r="L4525" s="11">
        <v>5.53</v>
      </c>
      <c r="M4525" s="9" t="s">
        <v>1459</v>
      </c>
      <c r="N4525" s="6" t="s">
        <v>1123</v>
      </c>
      <c r="O4525" s="6" t="s">
        <v>1123</v>
      </c>
      <c r="P4525" s="9" t="s">
        <v>41</v>
      </c>
      <c r="Q4525" s="9" t="s">
        <v>26</v>
      </c>
      <c r="R4525" s="9" t="s">
        <v>95</v>
      </c>
      <c r="S4525" s="7" t="s">
        <v>1147</v>
      </c>
      <c r="T4525" s="9" t="s">
        <v>52</v>
      </c>
      <c r="U4525" s="7">
        <v>0.59</v>
      </c>
      <c r="V4525" s="12">
        <f>C4525+2</f>
        <v>41144</v>
      </c>
      <c r="W4525">
        <f>IF(D4525=' Pivot Tables'!$A$4,1,0)</f>
        <v>0</v>
      </c>
      <c r="X4525">
        <f>IF(AND(LEFT(D4525,4)+1=LEFT(' Pivot Tables'!$A$4,4)+0,RIGHT(LEFT(D4525,7),2)=RIGHT(LEFT(' Pivot Tables'!$A$4,7),2)),1,0)</f>
        <v>0</v>
      </c>
      <c r="Y4525" s="6">
        <f>1/COUNTIF(Таблица1[Order ID],Таблица1[[#This Row],[Order ID]])</f>
        <v>1</v>
      </c>
      <c r="Z4525" s="9">
        <f>1/COUNTIFS(Таблица1[Customer Name],Таблица1[[#This Row],[Customer Name]],Таблица1[Order-Year-Month],Таблица1[[#This Row],[Order-Year-Month]])</f>
        <v>1</v>
      </c>
    </row>
    <row r="4526" spans="1:26" x14ac:dyDescent="0.2">
      <c r="A4526" s="6">
        <v>3581</v>
      </c>
      <c r="B4526" s="7">
        <v>25536</v>
      </c>
      <c r="C4526" s="8">
        <f>DATE(2012,12,31)-528</f>
        <v>40746</v>
      </c>
      <c r="D4526" s="8" t="str">
        <f t="shared" si="83"/>
        <v>2011-07 (июль 2011)</v>
      </c>
      <c r="E4526" s="9" t="s">
        <v>21</v>
      </c>
      <c r="F4526" s="7">
        <v>19</v>
      </c>
      <c r="G4526" s="7">
        <v>193.25</v>
      </c>
      <c r="H4526" s="7">
        <v>0.03</v>
      </c>
      <c r="I4526" s="9" t="s">
        <v>22</v>
      </c>
      <c r="J4526" s="10">
        <v>71.55</v>
      </c>
      <c r="K4526" s="11">
        <v>9.93</v>
      </c>
      <c r="L4526" s="11">
        <v>1.0900000000000001</v>
      </c>
      <c r="M4526" s="9" t="s">
        <v>1361</v>
      </c>
      <c r="N4526" s="6" t="s">
        <v>1123</v>
      </c>
      <c r="O4526" s="6" t="s">
        <v>1123</v>
      </c>
      <c r="P4526" s="9" t="s">
        <v>25</v>
      </c>
      <c r="Q4526" s="9" t="s">
        <v>26</v>
      </c>
      <c r="R4526" s="9" t="s">
        <v>95</v>
      </c>
      <c r="S4526" s="7" t="s">
        <v>1048</v>
      </c>
      <c r="T4526" s="9" t="s">
        <v>68</v>
      </c>
      <c r="U4526" s="7">
        <v>0.43</v>
      </c>
      <c r="V4526" s="12">
        <f>C4526+0</f>
        <v>40746</v>
      </c>
      <c r="W4526">
        <f>IF(D4526=' Pivot Tables'!$A$4,1,0)</f>
        <v>0</v>
      </c>
      <c r="X4526">
        <f>IF(AND(LEFT(D4526,4)+1=LEFT(' Pivot Tables'!$A$4,4)+0,RIGHT(LEFT(D4526,7),2)=RIGHT(LEFT(' Pivot Tables'!$A$4,7),2)),1,0)</f>
        <v>0</v>
      </c>
      <c r="Y4526" s="6">
        <f>1/COUNTIF(Таблица1[Order ID],Таблица1[[#This Row],[Order ID]])</f>
        <v>1</v>
      </c>
      <c r="Z4526" s="9">
        <f>1/COUNTIFS(Таблица1[Customer Name],Таблица1[[#This Row],[Customer Name]],Таблица1[Order-Year-Month],Таблица1[[#This Row],[Order-Year-Month]])</f>
        <v>1</v>
      </c>
    </row>
    <row r="4527" spans="1:26" x14ac:dyDescent="0.2">
      <c r="A4527" s="6">
        <v>3598</v>
      </c>
      <c r="B4527" s="7">
        <v>25666</v>
      </c>
      <c r="C4527" s="8">
        <f>DATE(2012,12,31)-120</f>
        <v>41154</v>
      </c>
      <c r="D4527" s="8" t="str">
        <f t="shared" si="83"/>
        <v>2012-09 (сентябрь 2012)</v>
      </c>
      <c r="E4527" s="9" t="s">
        <v>78</v>
      </c>
      <c r="F4527" s="7">
        <v>23</v>
      </c>
      <c r="G4527" s="7">
        <v>260.08</v>
      </c>
      <c r="H4527" s="7">
        <v>0.1</v>
      </c>
      <c r="I4527" s="9" t="s">
        <v>22</v>
      </c>
      <c r="J4527" s="10">
        <v>-37.85</v>
      </c>
      <c r="K4527" s="11">
        <v>12.21</v>
      </c>
      <c r="L4527" s="11">
        <v>4.8099999999999996</v>
      </c>
      <c r="M4527" s="9" t="s">
        <v>1061</v>
      </c>
      <c r="N4527" s="6" t="s">
        <v>1123</v>
      </c>
      <c r="O4527" s="6" t="s">
        <v>1123</v>
      </c>
      <c r="P4527" s="9" t="s">
        <v>33</v>
      </c>
      <c r="Q4527" s="9" t="s">
        <v>26</v>
      </c>
      <c r="R4527" s="9" t="s">
        <v>27</v>
      </c>
      <c r="S4527" s="7" t="s">
        <v>396</v>
      </c>
      <c r="T4527" s="9" t="s">
        <v>39</v>
      </c>
      <c r="U4527" s="7">
        <v>0.57999999999999996</v>
      </c>
      <c r="V4527" s="12">
        <f>C4527+0</f>
        <v>41154</v>
      </c>
      <c r="W4527">
        <f>IF(D4527=' Pivot Tables'!$A$4,1,0)</f>
        <v>0</v>
      </c>
      <c r="X4527">
        <f>IF(AND(LEFT(D4527,4)+1=LEFT(' Pivot Tables'!$A$4,4)+0,RIGHT(LEFT(D4527,7),2)=RIGHT(LEFT(' Pivot Tables'!$A$4,7),2)),1,0)</f>
        <v>0</v>
      </c>
      <c r="Y4527" s="6">
        <f>1/COUNTIF(Таблица1[Order ID],Таблица1[[#This Row],[Order ID]])</f>
        <v>0.5</v>
      </c>
      <c r="Z4527" s="9">
        <f>1/COUNTIFS(Таблица1[Customer Name],Таблица1[[#This Row],[Customer Name]],Таблица1[Order-Year-Month],Таблица1[[#This Row],[Order-Year-Month]])</f>
        <v>0.5</v>
      </c>
    </row>
    <row r="4528" spans="1:26" x14ac:dyDescent="0.2">
      <c r="A4528" s="6">
        <v>3926</v>
      </c>
      <c r="B4528" s="7">
        <v>28001</v>
      </c>
      <c r="C4528" s="8">
        <f>DATE(2012,12,31)-1296</f>
        <v>39978</v>
      </c>
      <c r="D4528" s="8" t="str">
        <f t="shared" si="83"/>
        <v>2009-06 (июнь 2009)</v>
      </c>
      <c r="E4528" s="9" t="s">
        <v>78</v>
      </c>
      <c r="F4528" s="7">
        <v>41</v>
      </c>
      <c r="G4528" s="7">
        <v>8958.4599999999991</v>
      </c>
      <c r="H4528" s="7">
        <v>0.02</v>
      </c>
      <c r="I4528" s="9" t="s">
        <v>22</v>
      </c>
      <c r="J4528" s="10">
        <v>2593.14</v>
      </c>
      <c r="K4528" s="11">
        <v>209.84</v>
      </c>
      <c r="L4528" s="11">
        <v>21.21</v>
      </c>
      <c r="M4528" s="9" t="s">
        <v>1485</v>
      </c>
      <c r="N4528" s="6" t="s">
        <v>1123</v>
      </c>
      <c r="O4528" s="6" t="s">
        <v>1123</v>
      </c>
      <c r="P4528" s="9" t="s">
        <v>60</v>
      </c>
      <c r="Q4528" s="9" t="s">
        <v>49</v>
      </c>
      <c r="R4528" s="9" t="s">
        <v>50</v>
      </c>
      <c r="S4528" s="7" t="s">
        <v>1225</v>
      </c>
      <c r="T4528" s="9" t="s">
        <v>29</v>
      </c>
      <c r="U4528" s="7">
        <v>0.59</v>
      </c>
      <c r="V4528" s="12">
        <f>C4528+0</f>
        <v>39978</v>
      </c>
      <c r="W4528">
        <f>IF(D4528=' Pivot Tables'!$A$4,1,0)</f>
        <v>0</v>
      </c>
      <c r="X4528">
        <f>IF(AND(LEFT(D4528,4)+1=LEFT(' Pivot Tables'!$A$4,4)+0,RIGHT(LEFT(D4528,7),2)=RIGHT(LEFT(' Pivot Tables'!$A$4,7),2)),1,0)</f>
        <v>0</v>
      </c>
      <c r="Y4528" s="6">
        <f>1/COUNTIF(Таблица1[Order ID],Таблица1[[#This Row],[Order ID]])</f>
        <v>0.5</v>
      </c>
      <c r="Z4528" s="9">
        <f>1/COUNTIFS(Таблица1[Customer Name],Таблица1[[#This Row],[Customer Name]],Таблица1[Order-Year-Month],Таблица1[[#This Row],[Order-Year-Month]])</f>
        <v>0.5</v>
      </c>
    </row>
    <row r="4529" spans="1:26" x14ac:dyDescent="0.2">
      <c r="A4529" s="6">
        <v>4073</v>
      </c>
      <c r="B4529" s="7">
        <v>28999</v>
      </c>
      <c r="C4529" s="8">
        <f>DATE(2012,12,31)-1451</f>
        <v>39823</v>
      </c>
      <c r="D4529" s="8" t="str">
        <f t="shared" si="83"/>
        <v>2009-01 (январь 2009)</v>
      </c>
      <c r="E4529" s="9" t="s">
        <v>30</v>
      </c>
      <c r="F4529" s="7">
        <v>34</v>
      </c>
      <c r="G4529" s="7">
        <v>1177.5</v>
      </c>
      <c r="H4529" s="7">
        <v>0.02</v>
      </c>
      <c r="I4529" s="9" t="s">
        <v>22</v>
      </c>
      <c r="J4529" s="10">
        <v>420.05</v>
      </c>
      <c r="K4529" s="11">
        <v>33.979999999999997</v>
      </c>
      <c r="L4529" s="11">
        <v>1.99</v>
      </c>
      <c r="M4529" s="9" t="s">
        <v>1482</v>
      </c>
      <c r="N4529" s="6" t="s">
        <v>1123</v>
      </c>
      <c r="O4529" s="6" t="s">
        <v>1123</v>
      </c>
      <c r="P4529" s="9" t="s">
        <v>41</v>
      </c>
      <c r="Q4529" s="9" t="s">
        <v>42</v>
      </c>
      <c r="R4529" s="9" t="s">
        <v>70</v>
      </c>
      <c r="S4529" s="7" t="s">
        <v>1534</v>
      </c>
      <c r="T4529" s="9" t="s">
        <v>52</v>
      </c>
      <c r="U4529" s="7">
        <v>0.45</v>
      </c>
      <c r="V4529" s="12">
        <f>C4529+1</f>
        <v>39824</v>
      </c>
      <c r="W4529">
        <f>IF(D4529=' Pivot Tables'!$A$4,1,0)</f>
        <v>0</v>
      </c>
      <c r="X4529">
        <f>IF(AND(LEFT(D4529,4)+1=LEFT(' Pivot Tables'!$A$4,4)+0,RIGHT(LEFT(D4529,7),2)=RIGHT(LEFT(' Pivot Tables'!$A$4,7),2)),1,0)</f>
        <v>1</v>
      </c>
      <c r="Y4529" s="6">
        <f>1/COUNTIF(Таблица1[Order ID],Таблица1[[#This Row],[Order ID]])</f>
        <v>1</v>
      </c>
      <c r="Z4529" s="9">
        <f>1/COUNTIFS(Таблица1[Customer Name],Таблица1[[#This Row],[Customer Name]],Таблица1[Order-Year-Month],Таблица1[[#This Row],[Order-Year-Month]])</f>
        <v>0.5</v>
      </c>
    </row>
    <row r="4530" spans="1:26" x14ac:dyDescent="0.2">
      <c r="A4530" s="6">
        <v>4178</v>
      </c>
      <c r="B4530" s="7">
        <v>29666</v>
      </c>
      <c r="C4530" s="8">
        <f>DATE(2012,12,31)-367</f>
        <v>40907</v>
      </c>
      <c r="D4530" s="8" t="str">
        <f t="shared" si="83"/>
        <v>2011-12 (декабрь 2011)</v>
      </c>
      <c r="E4530" s="9" t="s">
        <v>45</v>
      </c>
      <c r="F4530" s="7">
        <v>44</v>
      </c>
      <c r="G4530" s="7">
        <v>362.75</v>
      </c>
      <c r="H4530" s="7">
        <v>0.08</v>
      </c>
      <c r="I4530" s="9" t="s">
        <v>22</v>
      </c>
      <c r="J4530" s="10">
        <v>-54.47</v>
      </c>
      <c r="K4530" s="11">
        <v>8.32</v>
      </c>
      <c r="L4530" s="11">
        <v>2.38</v>
      </c>
      <c r="M4530" s="9" t="s">
        <v>1545</v>
      </c>
      <c r="N4530" s="6" t="s">
        <v>1123</v>
      </c>
      <c r="O4530" s="6" t="s">
        <v>1123</v>
      </c>
      <c r="P4530" s="9" t="s">
        <v>25</v>
      </c>
      <c r="Q4530" s="9" t="s">
        <v>42</v>
      </c>
      <c r="R4530" s="9" t="s">
        <v>70</v>
      </c>
      <c r="S4530" s="7" t="s">
        <v>1584</v>
      </c>
      <c r="T4530" s="9" t="s">
        <v>52</v>
      </c>
      <c r="U4530" s="7">
        <v>0.74</v>
      </c>
      <c r="V4530" s="12">
        <f>C4530+2</f>
        <v>40909</v>
      </c>
      <c r="W4530">
        <f>IF(D4530=' Pivot Tables'!$A$4,1,0)</f>
        <v>0</v>
      </c>
      <c r="X4530">
        <f>IF(AND(LEFT(D4530,4)+1=LEFT(' Pivot Tables'!$A$4,4)+0,RIGHT(LEFT(D4530,7),2)=RIGHT(LEFT(' Pivot Tables'!$A$4,7),2)),1,0)</f>
        <v>0</v>
      </c>
      <c r="Y4530" s="6">
        <f>1/COUNTIF(Таблица1[Order ID],Таблица1[[#This Row],[Order ID]])</f>
        <v>0.5</v>
      </c>
      <c r="Z4530" s="9">
        <f>1/COUNTIFS(Таблица1[Customer Name],Таблица1[[#This Row],[Customer Name]],Таблица1[Order-Year-Month],Таблица1[[#This Row],[Order-Year-Month]])</f>
        <v>0.5</v>
      </c>
    </row>
    <row r="4531" spans="1:26" x14ac:dyDescent="0.2">
      <c r="A4531" s="6">
        <v>4299</v>
      </c>
      <c r="B4531" s="7">
        <v>30599</v>
      </c>
      <c r="C4531" s="8">
        <f>DATE(2012,12,31)-325</f>
        <v>40949</v>
      </c>
      <c r="D4531" s="8" t="str">
        <f t="shared" si="83"/>
        <v>2012-02 (февраль 2012)</v>
      </c>
      <c r="E4531" s="9" t="s">
        <v>45</v>
      </c>
      <c r="F4531" s="7">
        <v>23</v>
      </c>
      <c r="G4531" s="7">
        <v>105.93</v>
      </c>
      <c r="H4531" s="7">
        <v>0.05</v>
      </c>
      <c r="I4531" s="9" t="s">
        <v>22</v>
      </c>
      <c r="J4531" s="10">
        <v>33.47</v>
      </c>
      <c r="K4531" s="11">
        <v>4.76</v>
      </c>
      <c r="L4531" s="11">
        <v>0.88</v>
      </c>
      <c r="M4531" s="9" t="s">
        <v>1558</v>
      </c>
      <c r="N4531" s="6" t="s">
        <v>1123</v>
      </c>
      <c r="O4531" s="6" t="s">
        <v>1123</v>
      </c>
      <c r="P4531" s="9" t="s">
        <v>41</v>
      </c>
      <c r="Q4531" s="9" t="s">
        <v>26</v>
      </c>
      <c r="R4531" s="9" t="s">
        <v>61</v>
      </c>
      <c r="S4531" s="7" t="s">
        <v>726</v>
      </c>
      <c r="T4531" s="9" t="s">
        <v>68</v>
      </c>
      <c r="U4531" s="7">
        <v>0.39</v>
      </c>
      <c r="V4531" s="12">
        <f>C4531+2</f>
        <v>40951</v>
      </c>
      <c r="W4531">
        <f>IF(D4531=' Pivot Tables'!$A$4,1,0)</f>
        <v>0</v>
      </c>
      <c r="X4531">
        <f>IF(AND(LEFT(D4531,4)+1=LEFT(' Pivot Tables'!$A$4,4)+0,RIGHT(LEFT(D4531,7),2)=RIGHT(LEFT(' Pivot Tables'!$A$4,7),2)),1,0)</f>
        <v>0</v>
      </c>
      <c r="Y4531" s="6">
        <f>1/COUNTIF(Таблица1[Order ID],Таблица1[[#This Row],[Order ID]])</f>
        <v>1</v>
      </c>
      <c r="Z4531" s="9">
        <f>1/COUNTIFS(Таблица1[Customer Name],Таблица1[[#This Row],[Customer Name]],Таблица1[Order-Year-Month],Таблица1[[#This Row],[Order-Year-Month]])</f>
        <v>1</v>
      </c>
    </row>
    <row r="4532" spans="1:26" x14ac:dyDescent="0.2">
      <c r="A4532" s="6">
        <v>4381</v>
      </c>
      <c r="B4532" s="7">
        <v>31232</v>
      </c>
      <c r="C4532" s="8">
        <f>DATE(2012,12,31)-124</f>
        <v>41150</v>
      </c>
      <c r="D4532" s="8" t="str">
        <f t="shared" si="83"/>
        <v>2012-08 (август 2012)</v>
      </c>
      <c r="E4532" s="9" t="s">
        <v>30</v>
      </c>
      <c r="F4532" s="7">
        <v>9</v>
      </c>
      <c r="G4532" s="7">
        <v>2643.15</v>
      </c>
      <c r="H4532" s="7">
        <v>0.01</v>
      </c>
      <c r="I4532" s="9" t="s">
        <v>31</v>
      </c>
      <c r="J4532" s="10">
        <v>-715.11440000000016</v>
      </c>
      <c r="K4532" s="11">
        <v>286.85000000000002</v>
      </c>
      <c r="L4532" s="11">
        <v>61.76</v>
      </c>
      <c r="M4532" s="9" t="s">
        <v>1479</v>
      </c>
      <c r="N4532" s="6" t="s">
        <v>1123</v>
      </c>
      <c r="O4532" s="6" t="s">
        <v>1123</v>
      </c>
      <c r="P4532" s="9" t="s">
        <v>60</v>
      </c>
      <c r="Q4532" s="9" t="s">
        <v>49</v>
      </c>
      <c r="R4532" s="9" t="s">
        <v>83</v>
      </c>
      <c r="S4532" s="7" t="s">
        <v>1086</v>
      </c>
      <c r="T4532" s="9" t="s">
        <v>82</v>
      </c>
      <c r="U4532" s="7">
        <v>0.78</v>
      </c>
      <c r="V4532" s="12">
        <f>C4532+3</f>
        <v>41153</v>
      </c>
      <c r="W4532">
        <f>IF(D4532=' Pivot Tables'!$A$4,1,0)</f>
        <v>0</v>
      </c>
      <c r="X4532">
        <f>IF(AND(LEFT(D4532,4)+1=LEFT(' Pivot Tables'!$A$4,4)+0,RIGHT(LEFT(D4532,7),2)=RIGHT(LEFT(' Pivot Tables'!$A$4,7),2)),1,0)</f>
        <v>0</v>
      </c>
      <c r="Y4532" s="6">
        <f>1/COUNTIF(Таблица1[Order ID],Таблица1[[#This Row],[Order ID]])</f>
        <v>1</v>
      </c>
      <c r="Z4532" s="9">
        <f>1/COUNTIFS(Таблица1[Customer Name],Таблица1[[#This Row],[Customer Name]],Таблица1[Order-Year-Month],Таблица1[[#This Row],[Order-Year-Month]])</f>
        <v>1</v>
      </c>
    </row>
    <row r="4533" spans="1:26" x14ac:dyDescent="0.2">
      <c r="A4533" s="6">
        <v>4388</v>
      </c>
      <c r="B4533" s="7">
        <v>31239</v>
      </c>
      <c r="C4533" s="8">
        <f>DATE(2012,12,31)-856</f>
        <v>40418</v>
      </c>
      <c r="D4533" s="8" t="str">
        <f t="shared" si="83"/>
        <v>2010-08 (август 2010)</v>
      </c>
      <c r="E4533" s="9" t="s">
        <v>21</v>
      </c>
      <c r="F4533" s="7">
        <v>20</v>
      </c>
      <c r="G4533" s="7">
        <v>677.9</v>
      </c>
      <c r="H4533" s="7">
        <v>0.05</v>
      </c>
      <c r="I4533" s="9" t="s">
        <v>22</v>
      </c>
      <c r="J4533" s="10">
        <v>196.36</v>
      </c>
      <c r="K4533" s="11">
        <v>33.979999999999997</v>
      </c>
      <c r="L4533" s="11">
        <v>1.99</v>
      </c>
      <c r="M4533" s="9" t="s">
        <v>1479</v>
      </c>
      <c r="N4533" s="6" t="s">
        <v>1123</v>
      </c>
      <c r="O4533" s="6" t="s">
        <v>1123</v>
      </c>
      <c r="P4533" s="9" t="s">
        <v>41</v>
      </c>
      <c r="Q4533" s="9" t="s">
        <v>42</v>
      </c>
      <c r="R4533" s="9" t="s">
        <v>70</v>
      </c>
      <c r="S4533" s="7" t="s">
        <v>1534</v>
      </c>
      <c r="T4533" s="9" t="s">
        <v>52</v>
      </c>
      <c r="U4533" s="7">
        <v>0.45</v>
      </c>
      <c r="V4533" s="12">
        <f>C4533+5</f>
        <v>40423</v>
      </c>
      <c r="W4533">
        <f>IF(D4533=' Pivot Tables'!$A$4,1,0)</f>
        <v>0</v>
      </c>
      <c r="X4533">
        <f>IF(AND(LEFT(D4533,4)+1=LEFT(' Pivot Tables'!$A$4,4)+0,RIGHT(LEFT(D4533,7),2)=RIGHT(LEFT(' Pivot Tables'!$A$4,7),2)),1,0)</f>
        <v>0</v>
      </c>
      <c r="Y4533" s="6">
        <f>1/COUNTIF(Таблица1[Order ID],Таблица1[[#This Row],[Order ID]])</f>
        <v>1</v>
      </c>
      <c r="Z4533" s="9">
        <f>1/COUNTIFS(Таблица1[Customer Name],Таблица1[[#This Row],[Customer Name]],Таблица1[Order-Year-Month],Таблица1[[#This Row],[Order-Year-Month]])</f>
        <v>1</v>
      </c>
    </row>
    <row r="4534" spans="1:26" x14ac:dyDescent="0.2">
      <c r="A4534" s="6">
        <v>4403</v>
      </c>
      <c r="B4534" s="7">
        <v>31392</v>
      </c>
      <c r="C4534" s="8">
        <f>DATE(2012,12,31)-970</f>
        <v>40304</v>
      </c>
      <c r="D4534" s="8" t="str">
        <f t="shared" si="83"/>
        <v>2010-05 (май 2010)</v>
      </c>
      <c r="E4534" s="9" t="s">
        <v>21</v>
      </c>
      <c r="F4534" s="7">
        <v>44</v>
      </c>
      <c r="G4534" s="7">
        <v>3249.09</v>
      </c>
      <c r="H4534" s="7">
        <v>0.1</v>
      </c>
      <c r="I4534" s="9" t="s">
        <v>22</v>
      </c>
      <c r="J4534" s="10">
        <v>-1326.29</v>
      </c>
      <c r="K4534" s="11">
        <v>78.8</v>
      </c>
      <c r="L4534" s="11">
        <v>35</v>
      </c>
      <c r="M4534" s="9" t="s">
        <v>1477</v>
      </c>
      <c r="N4534" s="6" t="s">
        <v>1123</v>
      </c>
      <c r="O4534" s="6" t="s">
        <v>1123</v>
      </c>
      <c r="P4534" s="9" t="s">
        <v>60</v>
      </c>
      <c r="Q4534" s="9" t="s">
        <v>26</v>
      </c>
      <c r="R4534" s="9" t="s">
        <v>27</v>
      </c>
      <c r="S4534" s="7" t="s">
        <v>1749</v>
      </c>
      <c r="T4534" s="9" t="s">
        <v>29</v>
      </c>
      <c r="U4534" s="7">
        <v>0.83</v>
      </c>
      <c r="V4534" s="12">
        <f>C4534+4</f>
        <v>40308</v>
      </c>
      <c r="W4534">
        <f>IF(D4534=' Pivot Tables'!$A$4,1,0)</f>
        <v>0</v>
      </c>
      <c r="X4534">
        <f>IF(AND(LEFT(D4534,4)+1=LEFT(' Pivot Tables'!$A$4,4)+0,RIGHT(LEFT(D4534,7),2)=RIGHT(LEFT(' Pivot Tables'!$A$4,7),2)),1,0)</f>
        <v>0</v>
      </c>
      <c r="Y4534" s="6">
        <f>1/COUNTIF(Таблица1[Order ID],Таблица1[[#This Row],[Order ID]])</f>
        <v>0.5</v>
      </c>
      <c r="Z4534" s="9">
        <f>1/COUNTIFS(Таблица1[Customer Name],Таблица1[[#This Row],[Customer Name]],Таблица1[Order-Year-Month],Таблица1[[#This Row],[Order-Year-Month]])</f>
        <v>0.33333333333333331</v>
      </c>
    </row>
    <row r="4535" spans="1:26" x14ac:dyDescent="0.2">
      <c r="A4535" s="6">
        <v>4552</v>
      </c>
      <c r="B4535" s="7">
        <v>32389</v>
      </c>
      <c r="C4535" s="8">
        <f>DATE(2012,12,31)-792</f>
        <v>40482</v>
      </c>
      <c r="D4535" s="8" t="str">
        <f t="shared" si="83"/>
        <v>2010-10 (октябрь 2010)</v>
      </c>
      <c r="E4535" s="9" t="s">
        <v>63</v>
      </c>
      <c r="F4535" s="7">
        <v>8</v>
      </c>
      <c r="G4535" s="7">
        <v>121.62400000000001</v>
      </c>
      <c r="H4535" s="7">
        <v>0</v>
      </c>
      <c r="I4535" s="9" t="s">
        <v>31</v>
      </c>
      <c r="J4535" s="10">
        <v>11.650950000000002</v>
      </c>
      <c r="K4535" s="11">
        <v>15.23</v>
      </c>
      <c r="L4535" s="11">
        <v>27.75</v>
      </c>
      <c r="M4535" s="9" t="s">
        <v>1545</v>
      </c>
      <c r="N4535" s="6" t="s">
        <v>1123</v>
      </c>
      <c r="O4535" s="6" t="s">
        <v>1123</v>
      </c>
      <c r="P4535" s="9" t="s">
        <v>25</v>
      </c>
      <c r="Q4535" s="9" t="s">
        <v>49</v>
      </c>
      <c r="R4535" s="9" t="s">
        <v>83</v>
      </c>
      <c r="S4535" s="7" t="s">
        <v>1186</v>
      </c>
      <c r="T4535" s="9" t="s">
        <v>82</v>
      </c>
      <c r="U4535" s="7">
        <v>0.76</v>
      </c>
      <c r="V4535" s="12">
        <f>C4535+1</f>
        <v>40483</v>
      </c>
      <c r="W4535">
        <f>IF(D4535=' Pivot Tables'!$A$4,1,0)</f>
        <v>0</v>
      </c>
      <c r="X4535">
        <f>IF(AND(LEFT(D4535,4)+1=LEFT(' Pivot Tables'!$A$4,4)+0,RIGHT(LEFT(D4535,7),2)=RIGHT(LEFT(' Pivot Tables'!$A$4,7),2)),1,0)</f>
        <v>0</v>
      </c>
      <c r="Y4535" s="6">
        <f>1/COUNTIF(Таблица1[Order ID],Таблица1[[#This Row],[Order ID]])</f>
        <v>0.33333333333333331</v>
      </c>
      <c r="Z4535" s="9">
        <f>1/COUNTIFS(Таблица1[Customer Name],Таблица1[[#This Row],[Customer Name]],Таблица1[Order-Year-Month],Таблица1[[#This Row],[Order-Year-Month]])</f>
        <v>0.25</v>
      </c>
    </row>
    <row r="4536" spans="1:26" x14ac:dyDescent="0.2">
      <c r="A4536" s="6">
        <v>4646</v>
      </c>
      <c r="B4536" s="7">
        <v>33090</v>
      </c>
      <c r="C4536" s="8">
        <f>DATE(2012,12,31)-1244</f>
        <v>40030</v>
      </c>
      <c r="D4536" s="8" t="str">
        <f t="shared" si="83"/>
        <v>2009-08 (август 2009)</v>
      </c>
      <c r="E4536" s="9" t="s">
        <v>63</v>
      </c>
      <c r="F4536" s="7">
        <v>26</v>
      </c>
      <c r="G4536" s="7">
        <v>1033.93</v>
      </c>
      <c r="H4536" s="7">
        <v>0</v>
      </c>
      <c r="I4536" s="9" t="s">
        <v>22</v>
      </c>
      <c r="J4536" s="10">
        <v>63.41</v>
      </c>
      <c r="K4536" s="11">
        <v>37.76</v>
      </c>
      <c r="L4536" s="11">
        <v>12.9</v>
      </c>
      <c r="M4536" s="9" t="s">
        <v>1533</v>
      </c>
      <c r="N4536" s="6" t="s">
        <v>1123</v>
      </c>
      <c r="O4536" s="6" t="s">
        <v>1123</v>
      </c>
      <c r="P4536" s="9" t="s">
        <v>41</v>
      </c>
      <c r="Q4536" s="9" t="s">
        <v>26</v>
      </c>
      <c r="R4536" s="9" t="s">
        <v>27</v>
      </c>
      <c r="S4536" s="7" t="s">
        <v>1087</v>
      </c>
      <c r="T4536" s="9" t="s">
        <v>39</v>
      </c>
      <c r="U4536" s="7">
        <v>0.56999999999999995</v>
      </c>
      <c r="V4536" s="12">
        <f>C4536+1</f>
        <v>40031</v>
      </c>
      <c r="W4536">
        <f>IF(D4536=' Pivot Tables'!$A$4,1,0)</f>
        <v>0</v>
      </c>
      <c r="X4536">
        <f>IF(AND(LEFT(D4536,4)+1=LEFT(' Pivot Tables'!$A$4,4)+0,RIGHT(LEFT(D4536,7),2)=RIGHT(LEFT(' Pivot Tables'!$A$4,7),2)),1,0)</f>
        <v>0</v>
      </c>
      <c r="Y4536" s="6">
        <f>1/COUNTIF(Таблица1[Order ID],Таблица1[[#This Row],[Order ID]])</f>
        <v>1</v>
      </c>
      <c r="Z4536" s="9">
        <f>1/COUNTIFS(Таблица1[Customer Name],Таблица1[[#This Row],[Customer Name]],Таблица1[Order-Year-Month],Таблица1[[#This Row],[Order-Year-Month]])</f>
        <v>0.33333333333333331</v>
      </c>
    </row>
    <row r="4537" spans="1:26" x14ac:dyDescent="0.2">
      <c r="A4537" s="6">
        <v>4785</v>
      </c>
      <c r="B4537" s="7">
        <v>33987</v>
      </c>
      <c r="C4537" s="8">
        <f>DATE(2012,12,31)-433</f>
        <v>40841</v>
      </c>
      <c r="D4537" s="8" t="str">
        <f t="shared" si="83"/>
        <v>2011-10 (октябрь 2011)</v>
      </c>
      <c r="E4537" s="9" t="s">
        <v>30</v>
      </c>
      <c r="F4537" s="7">
        <v>19</v>
      </c>
      <c r="G4537" s="7">
        <v>1616.87</v>
      </c>
      <c r="H4537" s="7">
        <v>0.1</v>
      </c>
      <c r="I4537" s="9" t="s">
        <v>31</v>
      </c>
      <c r="J4537" s="10">
        <v>-189.55</v>
      </c>
      <c r="K4537" s="11">
        <v>90.98</v>
      </c>
      <c r="L4537" s="11">
        <v>30</v>
      </c>
      <c r="M4537" s="9" t="s">
        <v>1506</v>
      </c>
      <c r="N4537" s="6" t="s">
        <v>1123</v>
      </c>
      <c r="O4537" s="6" t="s">
        <v>1123</v>
      </c>
      <c r="P4537" s="9" t="s">
        <v>25</v>
      </c>
      <c r="Q4537" s="9" t="s">
        <v>49</v>
      </c>
      <c r="R4537" s="9" t="s">
        <v>112</v>
      </c>
      <c r="S4537" s="7" t="s">
        <v>717</v>
      </c>
      <c r="T4537" s="9" t="s">
        <v>36</v>
      </c>
      <c r="U4537" s="7">
        <v>0.61</v>
      </c>
      <c r="V4537" s="12">
        <f>C4537+1</f>
        <v>40842</v>
      </c>
      <c r="W4537">
        <f>IF(D4537=' Pivot Tables'!$A$4,1,0)</f>
        <v>0</v>
      </c>
      <c r="X4537">
        <f>IF(AND(LEFT(D4537,4)+1=LEFT(' Pivot Tables'!$A$4,4)+0,RIGHT(LEFT(D4537,7),2)=RIGHT(LEFT(' Pivot Tables'!$A$4,7),2)),1,0)</f>
        <v>0</v>
      </c>
      <c r="Y4537" s="6">
        <f>1/COUNTIF(Таблица1[Order ID],Таблица1[[#This Row],[Order ID]])</f>
        <v>0.5</v>
      </c>
      <c r="Z4537" s="9">
        <f>1/COUNTIFS(Таблица1[Customer Name],Таблица1[[#This Row],[Customer Name]],Таблица1[Order-Year-Month],Таблица1[[#This Row],[Order-Year-Month]])</f>
        <v>0.5</v>
      </c>
    </row>
    <row r="4538" spans="1:26" x14ac:dyDescent="0.2">
      <c r="A4538" s="6">
        <v>5298</v>
      </c>
      <c r="B4538" s="7">
        <v>37731</v>
      </c>
      <c r="C4538" s="8">
        <f>DATE(2012,12,31)-1153</f>
        <v>40121</v>
      </c>
      <c r="D4538" s="8" t="str">
        <f t="shared" si="83"/>
        <v>2009-11 (ноябрь 2009)</v>
      </c>
      <c r="E4538" s="9" t="s">
        <v>78</v>
      </c>
      <c r="F4538" s="7">
        <v>24</v>
      </c>
      <c r="G4538" s="7">
        <v>752.63</v>
      </c>
      <c r="H4538" s="7">
        <v>0.01</v>
      </c>
      <c r="I4538" s="9" t="s">
        <v>22</v>
      </c>
      <c r="J4538" s="10">
        <v>172.94</v>
      </c>
      <c r="K4538" s="11">
        <v>30.98</v>
      </c>
      <c r="L4538" s="11">
        <v>9.18</v>
      </c>
      <c r="M4538" s="9" t="s">
        <v>1582</v>
      </c>
      <c r="N4538" s="6" t="s">
        <v>1123</v>
      </c>
      <c r="O4538" s="6" t="s">
        <v>1123</v>
      </c>
      <c r="P4538" s="9" t="s">
        <v>60</v>
      </c>
      <c r="Q4538" s="9" t="s">
        <v>26</v>
      </c>
      <c r="R4538" s="9" t="s">
        <v>61</v>
      </c>
      <c r="S4538" s="7" t="s">
        <v>1583</v>
      </c>
      <c r="T4538" s="9" t="s">
        <v>39</v>
      </c>
      <c r="U4538" s="7">
        <v>0.4</v>
      </c>
      <c r="V4538" s="12">
        <f>C4538+0</f>
        <v>40121</v>
      </c>
      <c r="W4538">
        <f>IF(D4538=' Pivot Tables'!$A$4,1,0)</f>
        <v>0</v>
      </c>
      <c r="X4538">
        <f>IF(AND(LEFT(D4538,4)+1=LEFT(' Pivot Tables'!$A$4,4)+0,RIGHT(LEFT(D4538,7),2)=RIGHT(LEFT(' Pivot Tables'!$A$4,7),2)),1,0)</f>
        <v>0</v>
      </c>
      <c r="Y4538" s="6">
        <f>1/COUNTIF(Таблица1[Order ID],Таблица1[[#This Row],[Order ID]])</f>
        <v>0.5</v>
      </c>
      <c r="Z4538" s="9">
        <f>1/COUNTIFS(Таблица1[Customer Name],Таблица1[[#This Row],[Customer Name]],Таблица1[Order-Year-Month],Таблица1[[#This Row],[Order-Year-Month]])</f>
        <v>0.5</v>
      </c>
    </row>
    <row r="4539" spans="1:26" x14ac:dyDescent="0.2">
      <c r="A4539" s="6">
        <v>5391</v>
      </c>
      <c r="B4539" s="7">
        <v>38337</v>
      </c>
      <c r="C4539" s="8">
        <f>DATE(2012,12,31)-792</f>
        <v>40482</v>
      </c>
      <c r="D4539" s="8" t="str">
        <f t="shared" si="83"/>
        <v>2010-10 (октябрь 2010)</v>
      </c>
      <c r="E4539" s="9" t="s">
        <v>63</v>
      </c>
      <c r="F4539" s="7">
        <v>46</v>
      </c>
      <c r="G4539" s="7">
        <v>130.9</v>
      </c>
      <c r="H4539" s="7">
        <v>0.09</v>
      </c>
      <c r="I4539" s="9" t="s">
        <v>22</v>
      </c>
      <c r="J4539" s="10">
        <v>18.75</v>
      </c>
      <c r="K4539" s="11">
        <v>2.88</v>
      </c>
      <c r="L4539" s="11">
        <v>0.7</v>
      </c>
      <c r="M4539" s="9" t="s">
        <v>1495</v>
      </c>
      <c r="N4539" s="6" t="s">
        <v>1123</v>
      </c>
      <c r="O4539" s="6" t="s">
        <v>1123</v>
      </c>
      <c r="P4539" s="9" t="s">
        <v>41</v>
      </c>
      <c r="Q4539" s="9" t="s">
        <v>26</v>
      </c>
      <c r="R4539" s="9" t="s">
        <v>95</v>
      </c>
      <c r="S4539" s="7" t="s">
        <v>1059</v>
      </c>
      <c r="T4539" s="9" t="s">
        <v>68</v>
      </c>
      <c r="U4539" s="7">
        <v>0.56000000000000005</v>
      </c>
      <c r="V4539" s="12">
        <f>C4539+2</f>
        <v>40484</v>
      </c>
      <c r="W4539">
        <f>IF(D4539=' Pivot Tables'!$A$4,1,0)</f>
        <v>0</v>
      </c>
      <c r="X4539">
        <f>IF(AND(LEFT(D4539,4)+1=LEFT(' Pivot Tables'!$A$4,4)+0,RIGHT(LEFT(D4539,7),2)=RIGHT(LEFT(' Pivot Tables'!$A$4,7),2)),1,0)</f>
        <v>0</v>
      </c>
      <c r="Y4539" s="6">
        <f>1/COUNTIF(Таблица1[Order ID],Таблица1[[#This Row],[Order ID]])</f>
        <v>1</v>
      </c>
      <c r="Z4539" s="9">
        <f>1/COUNTIFS(Таблица1[Customer Name],Таблица1[[#This Row],[Customer Name]],Таблица1[Order-Year-Month],Таблица1[[#This Row],[Order-Year-Month]])</f>
        <v>1</v>
      </c>
    </row>
    <row r="4540" spans="1:26" x14ac:dyDescent="0.2">
      <c r="A4540" s="6">
        <v>5396</v>
      </c>
      <c r="B4540" s="7">
        <v>38369</v>
      </c>
      <c r="C4540" s="8">
        <f>DATE(2012,12,31)-1084</f>
        <v>40190</v>
      </c>
      <c r="D4540" s="8" t="str">
        <f t="shared" si="83"/>
        <v>2010-01 (январь 2010)</v>
      </c>
      <c r="E4540" s="9" t="s">
        <v>45</v>
      </c>
      <c r="F4540" s="7">
        <v>3</v>
      </c>
      <c r="G4540" s="7">
        <v>224.74400000000003</v>
      </c>
      <c r="H4540" s="7">
        <v>0.02</v>
      </c>
      <c r="I4540" s="9" t="s">
        <v>22</v>
      </c>
      <c r="J4540" s="10">
        <v>54.598050000000008</v>
      </c>
      <c r="K4540" s="11">
        <v>71.37</v>
      </c>
      <c r="L4540" s="11">
        <v>69</v>
      </c>
      <c r="M4540" s="9" t="s">
        <v>1462</v>
      </c>
      <c r="N4540" s="6" t="s">
        <v>1123</v>
      </c>
      <c r="O4540" s="6" t="s">
        <v>1123</v>
      </c>
      <c r="P4540" s="9" t="s">
        <v>33</v>
      </c>
      <c r="Q4540" s="9" t="s">
        <v>49</v>
      </c>
      <c r="R4540" s="9" t="s">
        <v>83</v>
      </c>
      <c r="S4540" s="7" t="s">
        <v>84</v>
      </c>
      <c r="T4540" s="9" t="s">
        <v>29</v>
      </c>
      <c r="U4540" s="7">
        <v>0.68</v>
      </c>
      <c r="V4540" s="12">
        <f>C4540+1</f>
        <v>40191</v>
      </c>
      <c r="W4540">
        <f>IF(D4540=' Pivot Tables'!$A$4,1,0)</f>
        <v>1</v>
      </c>
      <c r="X4540">
        <f>IF(AND(LEFT(D4540,4)+1=LEFT(' Pivot Tables'!$A$4,4)+0,RIGHT(LEFT(D4540,7),2)=RIGHT(LEFT(' Pivot Tables'!$A$4,7),2)),1,0)</f>
        <v>0</v>
      </c>
      <c r="Y4540" s="6">
        <f>1/COUNTIF(Таблица1[Order ID],Таблица1[[#This Row],[Order ID]])</f>
        <v>1</v>
      </c>
      <c r="Z4540" s="9">
        <f>1/COUNTIFS(Таблица1[Customer Name],Таблица1[[#This Row],[Customer Name]],Таблица1[Order-Year-Month],Таблица1[[#This Row],[Order-Year-Month]])</f>
        <v>0.25</v>
      </c>
    </row>
    <row r="4541" spans="1:26" x14ac:dyDescent="0.2">
      <c r="A4541" s="6">
        <v>5454</v>
      </c>
      <c r="B4541" s="7">
        <v>38723</v>
      </c>
      <c r="C4541" s="8">
        <f>DATE(2012,12,31)-102</f>
        <v>41172</v>
      </c>
      <c r="D4541" s="8" t="str">
        <f t="shared" si="83"/>
        <v>2012-09 (сентябрь 2012)</v>
      </c>
      <c r="E4541" s="9" t="s">
        <v>78</v>
      </c>
      <c r="F4541" s="7">
        <v>9</v>
      </c>
      <c r="G4541" s="7">
        <v>169.27</v>
      </c>
      <c r="H4541" s="7">
        <v>0.09</v>
      </c>
      <c r="I4541" s="9" t="s">
        <v>22</v>
      </c>
      <c r="J4541" s="10">
        <v>-68.930000000000007</v>
      </c>
      <c r="K4541" s="11">
        <v>19.98</v>
      </c>
      <c r="L4541" s="11">
        <v>4</v>
      </c>
      <c r="M4541" s="9" t="s">
        <v>1582</v>
      </c>
      <c r="N4541" s="6" t="s">
        <v>1123</v>
      </c>
      <c r="O4541" s="6" t="s">
        <v>1123</v>
      </c>
      <c r="P4541" s="9" t="s">
        <v>60</v>
      </c>
      <c r="Q4541" s="9" t="s">
        <v>42</v>
      </c>
      <c r="R4541" s="9" t="s">
        <v>70</v>
      </c>
      <c r="S4541" s="7" t="s">
        <v>655</v>
      </c>
      <c r="T4541" s="9" t="s">
        <v>39</v>
      </c>
      <c r="U4541" s="7">
        <v>0.68</v>
      </c>
      <c r="V4541" s="12">
        <f>C4541+1</f>
        <v>41173</v>
      </c>
      <c r="W4541">
        <f>IF(D4541=' Pivot Tables'!$A$4,1,0)</f>
        <v>0</v>
      </c>
      <c r="X4541">
        <f>IF(AND(LEFT(D4541,4)+1=LEFT(' Pivot Tables'!$A$4,4)+0,RIGHT(LEFT(D4541,7),2)=RIGHT(LEFT(' Pivot Tables'!$A$4,7),2)),1,0)</f>
        <v>0</v>
      </c>
      <c r="Y4541" s="6">
        <f>1/COUNTIF(Таблица1[Order ID],Таблица1[[#This Row],[Order ID]])</f>
        <v>0.5</v>
      </c>
      <c r="Z4541" s="9">
        <f>1/COUNTIFS(Таблица1[Customer Name],Таблица1[[#This Row],[Customer Name]],Таблица1[Order-Year-Month],Таблица1[[#This Row],[Order-Year-Month]])</f>
        <v>0.5</v>
      </c>
    </row>
    <row r="4542" spans="1:26" x14ac:dyDescent="0.2">
      <c r="A4542" s="6">
        <v>5542</v>
      </c>
      <c r="B4542" s="7">
        <v>39266</v>
      </c>
      <c r="C4542" s="8">
        <f>DATE(2012,12,31)-126</f>
        <v>41148</v>
      </c>
      <c r="D4542" s="8" t="str">
        <f t="shared" si="83"/>
        <v>2012-08 (август 2012)</v>
      </c>
      <c r="E4542" s="9" t="s">
        <v>30</v>
      </c>
      <c r="F4542" s="7">
        <v>16</v>
      </c>
      <c r="G4542" s="7">
        <v>981.26</v>
      </c>
      <c r="H4542" s="7">
        <v>0.09</v>
      </c>
      <c r="I4542" s="9" t="s">
        <v>22</v>
      </c>
      <c r="J4542" s="10">
        <v>-500.35</v>
      </c>
      <c r="K4542" s="11">
        <v>60.98</v>
      </c>
      <c r="L4542" s="11">
        <v>49</v>
      </c>
      <c r="M4542" s="9" t="s">
        <v>1475</v>
      </c>
      <c r="N4542" s="6" t="s">
        <v>1123</v>
      </c>
      <c r="O4542" s="6" t="s">
        <v>1123</v>
      </c>
      <c r="P4542" s="9" t="s">
        <v>25</v>
      </c>
      <c r="Q4542" s="9" t="s">
        <v>26</v>
      </c>
      <c r="R4542" s="9" t="s">
        <v>34</v>
      </c>
      <c r="S4542" s="7" t="s">
        <v>472</v>
      </c>
      <c r="T4542" s="9" t="s">
        <v>29</v>
      </c>
      <c r="U4542" s="7">
        <v>0.59</v>
      </c>
      <c r="V4542" s="12">
        <f>C4542+2</f>
        <v>41150</v>
      </c>
      <c r="W4542">
        <f>IF(D4542=' Pivot Tables'!$A$4,1,0)</f>
        <v>0</v>
      </c>
      <c r="X4542">
        <f>IF(AND(LEFT(D4542,4)+1=LEFT(' Pivot Tables'!$A$4,4)+0,RIGHT(LEFT(D4542,7),2)=RIGHT(LEFT(' Pivot Tables'!$A$4,7),2)),1,0)</f>
        <v>0</v>
      </c>
      <c r="Y4542" s="6">
        <f>1/COUNTIF(Таблица1[Order ID],Таблица1[[#This Row],[Order ID]])</f>
        <v>0.33333333333333331</v>
      </c>
      <c r="Z4542" s="9">
        <f>1/COUNTIFS(Таблица1[Customer Name],Таблица1[[#This Row],[Customer Name]],Таблица1[Order-Year-Month],Таблица1[[#This Row],[Order-Year-Month]])</f>
        <v>0.25</v>
      </c>
    </row>
    <row r="4543" spans="1:26" x14ac:dyDescent="0.2">
      <c r="A4543" s="6">
        <v>5672</v>
      </c>
      <c r="B4543" s="7">
        <v>40103</v>
      </c>
      <c r="C4543" s="8">
        <f>DATE(2012,12,31)-829</f>
        <v>40445</v>
      </c>
      <c r="D4543" s="8" t="str">
        <f t="shared" si="83"/>
        <v>2010-09 (сентябрь 2010)</v>
      </c>
      <c r="E4543" s="9" t="s">
        <v>45</v>
      </c>
      <c r="F4543" s="7">
        <v>7</v>
      </c>
      <c r="G4543" s="7">
        <v>353.02</v>
      </c>
      <c r="H4543" s="7">
        <v>0</v>
      </c>
      <c r="I4543" s="9" t="s">
        <v>22</v>
      </c>
      <c r="J4543" s="10">
        <v>72.55</v>
      </c>
      <c r="K4543" s="11">
        <v>46.89</v>
      </c>
      <c r="L4543" s="11">
        <v>5.0999999999999996</v>
      </c>
      <c r="M4543" s="9" t="s">
        <v>1361</v>
      </c>
      <c r="N4543" s="6" t="s">
        <v>1123</v>
      </c>
      <c r="O4543" s="6" t="s">
        <v>1123</v>
      </c>
      <c r="P4543" s="9" t="s">
        <v>25</v>
      </c>
      <c r="Q4543" s="9" t="s">
        <v>26</v>
      </c>
      <c r="R4543" s="9" t="s">
        <v>34</v>
      </c>
      <c r="S4543" s="7" t="s">
        <v>355</v>
      </c>
      <c r="T4543" s="9" t="s">
        <v>48</v>
      </c>
      <c r="U4543" s="7">
        <v>0.46</v>
      </c>
      <c r="V4543" s="12">
        <f>C4543+3</f>
        <v>40448</v>
      </c>
      <c r="W4543">
        <f>IF(D4543=' Pivot Tables'!$A$4,1,0)</f>
        <v>0</v>
      </c>
      <c r="X4543">
        <f>IF(AND(LEFT(D4543,4)+1=LEFT(' Pivot Tables'!$A$4,4)+0,RIGHT(LEFT(D4543,7),2)=RIGHT(LEFT(' Pivot Tables'!$A$4,7),2)),1,0)</f>
        <v>0</v>
      </c>
      <c r="Y4543" s="6">
        <f>1/COUNTIF(Таблица1[Order ID],Таблица1[[#This Row],[Order ID]])</f>
        <v>1</v>
      </c>
      <c r="Z4543" s="9">
        <f>1/COUNTIFS(Таблица1[Customer Name],Таблица1[[#This Row],[Customer Name]],Таблица1[Order-Year-Month],Таблица1[[#This Row],[Order-Year-Month]])</f>
        <v>1</v>
      </c>
    </row>
    <row r="4544" spans="1:26" x14ac:dyDescent="0.2">
      <c r="A4544" s="6">
        <v>5674</v>
      </c>
      <c r="B4544" s="7">
        <v>40131</v>
      </c>
      <c r="C4544" s="8">
        <f>DATE(2012,12,31)-243</f>
        <v>41031</v>
      </c>
      <c r="D4544" s="8" t="str">
        <f t="shared" si="83"/>
        <v>2012-05 (май 2012)</v>
      </c>
      <c r="E4544" s="9" t="s">
        <v>21</v>
      </c>
      <c r="F4544" s="7">
        <v>24</v>
      </c>
      <c r="G4544" s="7">
        <v>222.43</v>
      </c>
      <c r="H4544" s="7">
        <v>0.06</v>
      </c>
      <c r="I4544" s="9" t="s">
        <v>22</v>
      </c>
      <c r="J4544" s="10">
        <v>-119.31</v>
      </c>
      <c r="K4544" s="11">
        <v>9.06</v>
      </c>
      <c r="L4544" s="11">
        <v>9.86</v>
      </c>
      <c r="M4544" s="9" t="s">
        <v>1527</v>
      </c>
      <c r="N4544" s="6" t="s">
        <v>1123</v>
      </c>
      <c r="O4544" s="6" t="s">
        <v>1123</v>
      </c>
      <c r="P4544" s="9" t="s">
        <v>60</v>
      </c>
      <c r="Q4544" s="9" t="s">
        <v>26</v>
      </c>
      <c r="R4544" s="9" t="s">
        <v>61</v>
      </c>
      <c r="S4544" s="7" t="s">
        <v>930</v>
      </c>
      <c r="T4544" s="9" t="s">
        <v>39</v>
      </c>
      <c r="U4544" s="7">
        <v>0.4</v>
      </c>
      <c r="V4544" s="12">
        <f>C4544+0</f>
        <v>41031</v>
      </c>
      <c r="W4544">
        <f>IF(D4544=' Pivot Tables'!$A$4,1,0)</f>
        <v>0</v>
      </c>
      <c r="X4544">
        <f>IF(AND(LEFT(D4544,4)+1=LEFT(' Pivot Tables'!$A$4,4)+0,RIGHT(LEFT(D4544,7),2)=RIGHT(LEFT(' Pivot Tables'!$A$4,7),2)),1,0)</f>
        <v>0</v>
      </c>
      <c r="Y4544" s="6">
        <f>1/COUNTIF(Таблица1[Order ID],Таблица1[[#This Row],[Order ID]])</f>
        <v>1</v>
      </c>
      <c r="Z4544" s="9">
        <f>1/COUNTIFS(Таблица1[Customer Name],Таблица1[[#This Row],[Customer Name]],Таблица1[Order-Year-Month],Таблица1[[#This Row],[Order-Year-Month]])</f>
        <v>1</v>
      </c>
    </row>
    <row r="4545" spans="1:26" x14ac:dyDescent="0.2">
      <c r="A4545" s="6">
        <v>5848</v>
      </c>
      <c r="B4545" s="7">
        <v>41504</v>
      </c>
      <c r="C4545" s="8">
        <f>DATE(2012,12,31)-64</f>
        <v>41210</v>
      </c>
      <c r="D4545" s="8" t="str">
        <f t="shared" si="83"/>
        <v>2012-10 (октябрь 2012)</v>
      </c>
      <c r="E4545" s="9" t="s">
        <v>78</v>
      </c>
      <c r="F4545" s="7">
        <v>20</v>
      </c>
      <c r="G4545" s="7">
        <v>302.94</v>
      </c>
      <c r="H4545" s="7">
        <v>7.0000000000000007E-2</v>
      </c>
      <c r="I4545" s="9" t="s">
        <v>22</v>
      </c>
      <c r="J4545" s="10">
        <v>-30.2</v>
      </c>
      <c r="K4545" s="11">
        <v>15.51</v>
      </c>
      <c r="L4545" s="11">
        <v>5.8</v>
      </c>
      <c r="M4545" s="9" t="s">
        <v>1509</v>
      </c>
      <c r="N4545" s="6" t="s">
        <v>1123</v>
      </c>
      <c r="O4545" s="6" t="s">
        <v>1123</v>
      </c>
      <c r="P4545" s="9" t="s">
        <v>41</v>
      </c>
      <c r="Q4545" s="9" t="s">
        <v>26</v>
      </c>
      <c r="R4545" s="9" t="s">
        <v>27</v>
      </c>
      <c r="S4545" s="7" t="s">
        <v>1803</v>
      </c>
      <c r="T4545" s="9" t="s">
        <v>39</v>
      </c>
      <c r="U4545" s="7">
        <v>0.6</v>
      </c>
      <c r="V4545" s="12">
        <f>C4545+2</f>
        <v>41212</v>
      </c>
      <c r="W4545">
        <f>IF(D4545=' Pivot Tables'!$A$4,1,0)</f>
        <v>0</v>
      </c>
      <c r="X4545">
        <f>IF(AND(LEFT(D4545,4)+1=LEFT(' Pivot Tables'!$A$4,4)+0,RIGHT(LEFT(D4545,7),2)=RIGHT(LEFT(' Pivot Tables'!$A$4,7),2)),1,0)</f>
        <v>0</v>
      </c>
      <c r="Y4545" s="6">
        <f>1/COUNTIF(Таблица1[Order ID],Таблица1[[#This Row],[Order ID]])</f>
        <v>1</v>
      </c>
      <c r="Z4545" s="9">
        <f>1/COUNTIFS(Таблица1[Customer Name],Таблица1[[#This Row],[Customer Name]],Таблица1[Order-Year-Month],Таблица1[[#This Row],[Order-Year-Month]])</f>
        <v>1</v>
      </c>
    </row>
    <row r="4546" spans="1:26" x14ac:dyDescent="0.2">
      <c r="A4546" s="6">
        <v>6155</v>
      </c>
      <c r="B4546" s="7">
        <v>43588</v>
      </c>
      <c r="C4546" s="8">
        <f>DATE(2012,12,31)-121</f>
        <v>41153</v>
      </c>
      <c r="D4546" s="8" t="str">
        <f t="shared" si="83"/>
        <v>2012-09 (сентябрь 2012)</v>
      </c>
      <c r="E4546" s="9" t="s">
        <v>63</v>
      </c>
      <c r="F4546" s="7">
        <v>6</v>
      </c>
      <c r="G4546" s="7">
        <v>20.47</v>
      </c>
      <c r="H4546" s="7">
        <v>0.09</v>
      </c>
      <c r="I4546" s="9" t="s">
        <v>22</v>
      </c>
      <c r="J4546" s="10">
        <v>-0.74</v>
      </c>
      <c r="K4546" s="11">
        <v>3.38</v>
      </c>
      <c r="L4546" s="11">
        <v>1.0900000000000001</v>
      </c>
      <c r="M4546" s="9" t="s">
        <v>1512</v>
      </c>
      <c r="N4546" s="6" t="s">
        <v>1123</v>
      </c>
      <c r="O4546" s="6" t="s">
        <v>1123</v>
      </c>
      <c r="P4546" s="9" t="s">
        <v>60</v>
      </c>
      <c r="Q4546" s="9" t="s">
        <v>26</v>
      </c>
      <c r="R4546" s="9" t="s">
        <v>61</v>
      </c>
      <c r="S4546" s="7" t="s">
        <v>1440</v>
      </c>
      <c r="T4546" s="9" t="s">
        <v>68</v>
      </c>
      <c r="U4546" s="7">
        <v>0.39</v>
      </c>
      <c r="V4546" s="12">
        <f>C4546+1</f>
        <v>41154</v>
      </c>
      <c r="W4546">
        <f>IF(D4546=' Pivot Tables'!$A$4,1,0)</f>
        <v>0</v>
      </c>
      <c r="X4546">
        <f>IF(AND(LEFT(D4546,4)+1=LEFT(' Pivot Tables'!$A$4,4)+0,RIGHT(LEFT(D4546,7),2)=RIGHT(LEFT(' Pivot Tables'!$A$4,7),2)),1,0)</f>
        <v>0</v>
      </c>
      <c r="Y4546" s="6">
        <f>1/COUNTIF(Таблица1[Order ID],Таблица1[[#This Row],[Order ID]])</f>
        <v>0.5</v>
      </c>
      <c r="Z4546" s="9">
        <f>1/COUNTIFS(Таблица1[Customer Name],Таблица1[[#This Row],[Customer Name]],Таблица1[Order-Year-Month],Таблица1[[#This Row],[Order-Year-Month]])</f>
        <v>0.5</v>
      </c>
    </row>
    <row r="4547" spans="1:26" x14ac:dyDescent="0.2">
      <c r="A4547" s="6">
        <v>6174</v>
      </c>
      <c r="B4547" s="7">
        <v>43751</v>
      </c>
      <c r="C4547" s="8">
        <f>DATE(2012,12,31)-187</f>
        <v>41087</v>
      </c>
      <c r="D4547" s="8" t="str">
        <f t="shared" ref="D4547:D4610" si="84">TEXT(C4547,"гггг-ММ (ММММ гггг)")</f>
        <v>2012-06 (июнь 2012)</v>
      </c>
      <c r="E4547" s="9" t="s">
        <v>30</v>
      </c>
      <c r="F4547" s="7">
        <v>43</v>
      </c>
      <c r="G4547" s="7">
        <v>621.44000000000005</v>
      </c>
      <c r="H4547" s="7">
        <v>0.08</v>
      </c>
      <c r="I4547" s="9" t="s">
        <v>22</v>
      </c>
      <c r="J4547" s="10">
        <v>-130.96</v>
      </c>
      <c r="K4547" s="11">
        <v>15.14</v>
      </c>
      <c r="L4547" s="11">
        <v>4.53</v>
      </c>
      <c r="M4547" s="9" t="s">
        <v>1558</v>
      </c>
      <c r="N4547" s="6" t="s">
        <v>1123</v>
      </c>
      <c r="O4547" s="6" t="s">
        <v>1123</v>
      </c>
      <c r="P4547" s="9" t="s">
        <v>41</v>
      </c>
      <c r="Q4547" s="9" t="s">
        <v>26</v>
      </c>
      <c r="R4547" s="9" t="s">
        <v>27</v>
      </c>
      <c r="S4547" s="7" t="s">
        <v>721</v>
      </c>
      <c r="T4547" s="9" t="s">
        <v>39</v>
      </c>
      <c r="U4547" s="7">
        <v>0.81</v>
      </c>
      <c r="V4547" s="12">
        <f>C4547+2</f>
        <v>41089</v>
      </c>
      <c r="W4547">
        <f>IF(D4547=' Pivot Tables'!$A$4,1,0)</f>
        <v>0</v>
      </c>
      <c r="X4547">
        <f>IF(AND(LEFT(D4547,4)+1=LEFT(' Pivot Tables'!$A$4,4)+0,RIGHT(LEFT(D4547,7),2)=RIGHT(LEFT(' Pivot Tables'!$A$4,7),2)),1,0)</f>
        <v>0</v>
      </c>
      <c r="Y4547" s="6">
        <f>1/COUNTIF(Таблица1[Order ID],Таблица1[[#This Row],[Order ID]])</f>
        <v>1</v>
      </c>
      <c r="Z4547" s="9">
        <f>1/COUNTIFS(Таблица1[Customer Name],Таблица1[[#This Row],[Customer Name]],Таблица1[Order-Year-Month],Таблица1[[#This Row],[Order-Year-Month]])</f>
        <v>1</v>
      </c>
    </row>
    <row r="4548" spans="1:26" x14ac:dyDescent="0.2">
      <c r="A4548" s="6">
        <v>6278</v>
      </c>
      <c r="B4548" s="7">
        <v>44448</v>
      </c>
      <c r="C4548" s="8">
        <f>DATE(2012,12,31)-1358</f>
        <v>39916</v>
      </c>
      <c r="D4548" s="8" t="str">
        <f t="shared" si="84"/>
        <v>2009-04 (апрель 2009)</v>
      </c>
      <c r="E4548" s="9" t="s">
        <v>78</v>
      </c>
      <c r="F4548" s="7">
        <v>28</v>
      </c>
      <c r="G4548" s="7">
        <v>951.06</v>
      </c>
      <c r="H4548" s="7">
        <v>0.02</v>
      </c>
      <c r="I4548" s="9" t="s">
        <v>22</v>
      </c>
      <c r="J4548" s="10">
        <v>331.27</v>
      </c>
      <c r="K4548" s="11">
        <v>33.979999999999997</v>
      </c>
      <c r="L4548" s="11">
        <v>1.99</v>
      </c>
      <c r="M4548" s="9" t="s">
        <v>1458</v>
      </c>
      <c r="N4548" s="6" t="s">
        <v>1123</v>
      </c>
      <c r="O4548" s="6" t="s">
        <v>1123</v>
      </c>
      <c r="P4548" s="9" t="s">
        <v>25</v>
      </c>
      <c r="Q4548" s="9" t="s">
        <v>42</v>
      </c>
      <c r="R4548" s="9" t="s">
        <v>70</v>
      </c>
      <c r="S4548" s="7" t="s">
        <v>1534</v>
      </c>
      <c r="T4548" s="9" t="s">
        <v>52</v>
      </c>
      <c r="U4548" s="7">
        <v>0.45</v>
      </c>
      <c r="V4548" s="12">
        <f>C4548+2</f>
        <v>39918</v>
      </c>
      <c r="W4548">
        <f>IF(D4548=' Pivot Tables'!$A$4,1,0)</f>
        <v>0</v>
      </c>
      <c r="X4548">
        <f>IF(AND(LEFT(D4548,4)+1=LEFT(' Pivot Tables'!$A$4,4)+0,RIGHT(LEFT(D4548,7),2)=RIGHT(LEFT(' Pivot Tables'!$A$4,7),2)),1,0)</f>
        <v>0</v>
      </c>
      <c r="Y4548" s="6">
        <f>1/COUNTIF(Таблица1[Order ID],Таблица1[[#This Row],[Order ID]])</f>
        <v>1</v>
      </c>
      <c r="Z4548" s="9">
        <f>1/COUNTIFS(Таблица1[Customer Name],Таблица1[[#This Row],[Customer Name]],Таблица1[Order-Year-Month],Таблица1[[#This Row],[Order-Year-Month]])</f>
        <v>0.5</v>
      </c>
    </row>
    <row r="4549" spans="1:26" x14ac:dyDescent="0.2">
      <c r="A4549" s="6">
        <v>6540</v>
      </c>
      <c r="B4549" s="7">
        <v>46531</v>
      </c>
      <c r="C4549" s="8">
        <f>DATE(2012,12,31)-498</f>
        <v>40776</v>
      </c>
      <c r="D4549" s="8" t="str">
        <f t="shared" si="84"/>
        <v>2011-08 (август 2011)</v>
      </c>
      <c r="E4549" s="9" t="s">
        <v>21</v>
      </c>
      <c r="F4549" s="7">
        <v>2</v>
      </c>
      <c r="G4549" s="7">
        <v>19.34</v>
      </c>
      <c r="H4549" s="7">
        <v>0.1</v>
      </c>
      <c r="I4549" s="9" t="s">
        <v>22</v>
      </c>
      <c r="J4549" s="10">
        <v>-14.375</v>
      </c>
      <c r="K4549" s="11">
        <v>7.1</v>
      </c>
      <c r="L4549" s="11">
        <v>6.05</v>
      </c>
      <c r="M4549" s="9" t="s">
        <v>1466</v>
      </c>
      <c r="N4549" s="6" t="s">
        <v>1123</v>
      </c>
      <c r="O4549" s="6" t="s">
        <v>1123</v>
      </c>
      <c r="P4549" s="9" t="s">
        <v>33</v>
      </c>
      <c r="Q4549" s="9" t="s">
        <v>26</v>
      </c>
      <c r="R4549" s="9" t="s">
        <v>37</v>
      </c>
      <c r="S4549" s="7" t="s">
        <v>435</v>
      </c>
      <c r="T4549" s="9" t="s">
        <v>39</v>
      </c>
      <c r="U4549" s="7">
        <v>0.39</v>
      </c>
      <c r="V4549" s="12">
        <f>C4549+9</f>
        <v>40785</v>
      </c>
      <c r="W4549">
        <f>IF(D4549=' Pivot Tables'!$A$4,1,0)</f>
        <v>0</v>
      </c>
      <c r="X4549">
        <f>IF(AND(LEFT(D4549,4)+1=LEFT(' Pivot Tables'!$A$4,4)+0,RIGHT(LEFT(D4549,7),2)=RIGHT(LEFT(' Pivot Tables'!$A$4,7),2)),1,0)</f>
        <v>0</v>
      </c>
      <c r="Y4549" s="6">
        <f>1/COUNTIF(Таблица1[Order ID],Таблица1[[#This Row],[Order ID]])</f>
        <v>0.25</v>
      </c>
      <c r="Z4549" s="9">
        <f>1/COUNTIFS(Таблица1[Customer Name],Таблица1[[#This Row],[Customer Name]],Таблица1[Order-Year-Month],Таблица1[[#This Row],[Order-Year-Month]])</f>
        <v>0.25</v>
      </c>
    </row>
    <row r="4550" spans="1:26" x14ac:dyDescent="0.2">
      <c r="A4550" s="6">
        <v>6546</v>
      </c>
      <c r="B4550" s="7">
        <v>46534</v>
      </c>
      <c r="C4550" s="8">
        <f>DATE(2012,12,31)-89</f>
        <v>41185</v>
      </c>
      <c r="D4550" s="8" t="str">
        <f t="shared" si="84"/>
        <v>2012-10 (октябрь 2012)</v>
      </c>
      <c r="E4550" s="9" t="s">
        <v>30</v>
      </c>
      <c r="F4550" s="7">
        <v>13</v>
      </c>
      <c r="G4550" s="7">
        <v>1341.31</v>
      </c>
      <c r="H4550" s="7">
        <v>0.05</v>
      </c>
      <c r="I4550" s="9" t="s">
        <v>22</v>
      </c>
      <c r="J4550" s="10">
        <v>5.5499999999999829</v>
      </c>
      <c r="K4550" s="11">
        <v>99.99</v>
      </c>
      <c r="L4550" s="11">
        <v>19.989999999999998</v>
      </c>
      <c r="M4550" s="9" t="s">
        <v>1503</v>
      </c>
      <c r="N4550" s="6" t="s">
        <v>1123</v>
      </c>
      <c r="O4550" s="6" t="s">
        <v>1123</v>
      </c>
      <c r="P4550" s="9" t="s">
        <v>33</v>
      </c>
      <c r="Q4550" s="9" t="s">
        <v>42</v>
      </c>
      <c r="R4550" s="9" t="s">
        <v>210</v>
      </c>
      <c r="S4550" s="7" t="s">
        <v>409</v>
      </c>
      <c r="T4550" s="9" t="s">
        <v>39</v>
      </c>
      <c r="U4550" s="7">
        <v>0.52</v>
      </c>
      <c r="V4550" s="12">
        <f>C4550+2</f>
        <v>41187</v>
      </c>
      <c r="W4550">
        <f>IF(D4550=' Pivot Tables'!$A$4,1,0)</f>
        <v>0</v>
      </c>
      <c r="X4550">
        <f>IF(AND(LEFT(D4550,4)+1=LEFT(' Pivot Tables'!$A$4,4)+0,RIGHT(LEFT(D4550,7),2)=RIGHT(LEFT(' Pivot Tables'!$A$4,7),2)),1,0)</f>
        <v>0</v>
      </c>
      <c r="Y4550" s="6">
        <f>1/COUNTIF(Таблица1[Order ID],Таблица1[[#This Row],[Order ID]])</f>
        <v>1</v>
      </c>
      <c r="Z4550" s="9">
        <f>1/COUNTIFS(Таблица1[Customer Name],Таблица1[[#This Row],[Customer Name]],Таблица1[Order-Year-Month],Таблица1[[#This Row],[Order-Year-Month]])</f>
        <v>1</v>
      </c>
    </row>
    <row r="4551" spans="1:26" x14ac:dyDescent="0.2">
      <c r="A4551" s="6">
        <v>6664</v>
      </c>
      <c r="B4551" s="7">
        <v>47459</v>
      </c>
      <c r="C4551" s="8">
        <f>DATE(2012,12,31)-502</f>
        <v>40772</v>
      </c>
      <c r="D4551" s="8" t="str">
        <f t="shared" si="84"/>
        <v>2011-08 (август 2011)</v>
      </c>
      <c r="E4551" s="9" t="s">
        <v>45</v>
      </c>
      <c r="F4551" s="7">
        <v>10</v>
      </c>
      <c r="G4551" s="7">
        <v>197.21</v>
      </c>
      <c r="H4551" s="7">
        <v>0.06</v>
      </c>
      <c r="I4551" s="9" t="s">
        <v>22</v>
      </c>
      <c r="J4551" s="10">
        <v>56.882000000000005</v>
      </c>
      <c r="K4551" s="11">
        <v>20.98</v>
      </c>
      <c r="L4551" s="11">
        <v>1.49</v>
      </c>
      <c r="M4551" s="9" t="s">
        <v>1570</v>
      </c>
      <c r="N4551" s="6" t="s">
        <v>1123</v>
      </c>
      <c r="O4551" s="6" t="s">
        <v>1123</v>
      </c>
      <c r="P4551" s="9" t="s">
        <v>60</v>
      </c>
      <c r="Q4551" s="9" t="s">
        <v>26</v>
      </c>
      <c r="R4551" s="9" t="s">
        <v>37</v>
      </c>
      <c r="S4551" s="7" t="s">
        <v>645</v>
      </c>
      <c r="T4551" s="9" t="s">
        <v>39</v>
      </c>
      <c r="U4551" s="7">
        <v>0.35</v>
      </c>
      <c r="V4551" s="12">
        <f>C4551+1</f>
        <v>40773</v>
      </c>
      <c r="W4551">
        <f>IF(D4551=' Pivot Tables'!$A$4,1,0)</f>
        <v>0</v>
      </c>
      <c r="X4551">
        <f>IF(AND(LEFT(D4551,4)+1=LEFT(' Pivot Tables'!$A$4,4)+0,RIGHT(LEFT(D4551,7),2)=RIGHT(LEFT(' Pivot Tables'!$A$4,7),2)),1,0)</f>
        <v>0</v>
      </c>
      <c r="Y4551" s="6">
        <f>1/COUNTIF(Таблица1[Order ID],Таблица1[[#This Row],[Order ID]])</f>
        <v>1</v>
      </c>
      <c r="Z4551" s="9">
        <f>1/COUNTIFS(Таблица1[Customer Name],Таблица1[[#This Row],[Customer Name]],Таблица1[Order-Year-Month],Таблица1[[#This Row],[Order-Year-Month]])</f>
        <v>1</v>
      </c>
    </row>
    <row r="4552" spans="1:26" x14ac:dyDescent="0.2">
      <c r="A4552" s="6">
        <v>6804</v>
      </c>
      <c r="B4552" s="7">
        <v>48455</v>
      </c>
      <c r="C4552" s="8">
        <f>DATE(2012,12,31)-1308</f>
        <v>39966</v>
      </c>
      <c r="D4552" s="8" t="str">
        <f t="shared" si="84"/>
        <v>2009-06 (июнь 2009)</v>
      </c>
      <c r="E4552" s="9" t="s">
        <v>78</v>
      </c>
      <c r="F4552" s="7">
        <v>2</v>
      </c>
      <c r="G4552" s="7">
        <v>25.96</v>
      </c>
      <c r="H4552" s="7">
        <v>0.06</v>
      </c>
      <c r="I4552" s="9" t="s">
        <v>22</v>
      </c>
      <c r="J4552" s="10">
        <v>-29.292900000000003</v>
      </c>
      <c r="K4552" s="11">
        <v>9.99</v>
      </c>
      <c r="L4552" s="11">
        <v>6.24</v>
      </c>
      <c r="M4552" s="9" t="s">
        <v>1361</v>
      </c>
      <c r="N4552" s="6" t="s">
        <v>1123</v>
      </c>
      <c r="O4552" s="6" t="s">
        <v>1123</v>
      </c>
      <c r="P4552" s="9" t="s">
        <v>25</v>
      </c>
      <c r="Q4552" s="9" t="s">
        <v>42</v>
      </c>
      <c r="R4552" s="9" t="s">
        <v>210</v>
      </c>
      <c r="S4552" s="7" t="s">
        <v>1804</v>
      </c>
      <c r="T4552" s="9" t="s">
        <v>48</v>
      </c>
      <c r="U4552" s="7">
        <v>0.36</v>
      </c>
      <c r="V4552" s="12">
        <f>C4552+1</f>
        <v>39967</v>
      </c>
      <c r="W4552">
        <f>IF(D4552=' Pivot Tables'!$A$4,1,0)</f>
        <v>0</v>
      </c>
      <c r="X4552">
        <f>IF(AND(LEFT(D4552,4)+1=LEFT(' Pivot Tables'!$A$4,4)+0,RIGHT(LEFT(D4552,7),2)=RIGHT(LEFT(' Pivot Tables'!$A$4,7),2)),1,0)</f>
        <v>0</v>
      </c>
      <c r="Y4552" s="6">
        <f>1/COUNTIF(Таблица1[Order ID],Таблица1[[#This Row],[Order ID]])</f>
        <v>0.33333333333333331</v>
      </c>
      <c r="Z4552" s="9">
        <f>1/COUNTIFS(Таблица1[Customer Name],Таблица1[[#This Row],[Customer Name]],Таблица1[Order-Year-Month],Таблица1[[#This Row],[Order-Year-Month]])</f>
        <v>0.33333333333333331</v>
      </c>
    </row>
    <row r="4553" spans="1:26" x14ac:dyDescent="0.2">
      <c r="A4553" s="6">
        <v>6881</v>
      </c>
      <c r="B4553" s="7">
        <v>49056</v>
      </c>
      <c r="C4553" s="8">
        <f>DATE(2012,12,31)-1187</f>
        <v>40087</v>
      </c>
      <c r="D4553" s="8" t="str">
        <f t="shared" si="84"/>
        <v>2009-10 (октябрь 2009)</v>
      </c>
      <c r="E4553" s="9" t="s">
        <v>30</v>
      </c>
      <c r="F4553" s="7">
        <v>5</v>
      </c>
      <c r="G4553" s="7">
        <v>248.3955</v>
      </c>
      <c r="H4553" s="7">
        <v>0.05</v>
      </c>
      <c r="I4553" s="9" t="s">
        <v>22</v>
      </c>
      <c r="J4553" s="10">
        <v>-260.34800000000001</v>
      </c>
      <c r="K4553" s="11">
        <v>55.99</v>
      </c>
      <c r="L4553" s="11">
        <v>5</v>
      </c>
      <c r="M4553" s="9" t="s">
        <v>1483</v>
      </c>
      <c r="N4553" s="6" t="s">
        <v>1123</v>
      </c>
      <c r="O4553" s="6" t="s">
        <v>1123</v>
      </c>
      <c r="P4553" s="9" t="s">
        <v>60</v>
      </c>
      <c r="Q4553" s="9" t="s">
        <v>42</v>
      </c>
      <c r="R4553" s="9" t="s">
        <v>43</v>
      </c>
      <c r="S4553" s="7" t="s">
        <v>268</v>
      </c>
      <c r="T4553" s="9" t="s">
        <v>52</v>
      </c>
      <c r="U4553" s="7">
        <v>0.8</v>
      </c>
      <c r="V4553" s="12">
        <f>C4553+0</f>
        <v>40087</v>
      </c>
      <c r="W4553">
        <f>IF(D4553=' Pivot Tables'!$A$4,1,0)</f>
        <v>0</v>
      </c>
      <c r="X4553">
        <f>IF(AND(LEFT(D4553,4)+1=LEFT(' Pivot Tables'!$A$4,4)+0,RIGHT(LEFT(D4553,7),2)=RIGHT(LEFT(' Pivot Tables'!$A$4,7),2)),1,0)</f>
        <v>0</v>
      </c>
      <c r="Y4553" s="6">
        <f>1/COUNTIF(Таблица1[Order ID],Таблица1[[#This Row],[Order ID]])</f>
        <v>0.5</v>
      </c>
      <c r="Z4553" s="9">
        <f>1/COUNTIFS(Таблица1[Customer Name],Таблица1[[#This Row],[Customer Name]],Таблица1[Order-Year-Month],Таблица1[[#This Row],[Order-Year-Month]])</f>
        <v>0.5</v>
      </c>
    </row>
    <row r="4554" spans="1:26" x14ac:dyDescent="0.2">
      <c r="A4554" s="6">
        <v>6897</v>
      </c>
      <c r="B4554" s="7">
        <v>49190</v>
      </c>
      <c r="C4554" s="8">
        <f>DATE(2012,12,31)-20</f>
        <v>41254</v>
      </c>
      <c r="D4554" s="8" t="str">
        <f t="shared" si="84"/>
        <v>2012-12 (декабрь 2012)</v>
      </c>
      <c r="E4554" s="9" t="s">
        <v>30</v>
      </c>
      <c r="F4554" s="7">
        <v>4</v>
      </c>
      <c r="G4554" s="7">
        <v>28.04</v>
      </c>
      <c r="H4554" s="7">
        <v>0.09</v>
      </c>
      <c r="I4554" s="9" t="s">
        <v>22</v>
      </c>
      <c r="J4554" s="10">
        <v>-4.45</v>
      </c>
      <c r="K4554" s="11">
        <v>6.88</v>
      </c>
      <c r="L4554" s="11">
        <v>2</v>
      </c>
      <c r="M4554" s="9" t="s">
        <v>1521</v>
      </c>
      <c r="N4554" s="6" t="s">
        <v>1123</v>
      </c>
      <c r="O4554" s="6" t="s">
        <v>1123</v>
      </c>
      <c r="P4554" s="9" t="s">
        <v>41</v>
      </c>
      <c r="Q4554" s="9" t="s">
        <v>26</v>
      </c>
      <c r="R4554" s="9" t="s">
        <v>61</v>
      </c>
      <c r="S4554" s="7" t="s">
        <v>1063</v>
      </c>
      <c r="T4554" s="9" t="s">
        <v>68</v>
      </c>
      <c r="U4554" s="7">
        <v>0.39</v>
      </c>
      <c r="V4554" s="12">
        <f>C4554+1</f>
        <v>41255</v>
      </c>
      <c r="W4554">
        <f>IF(D4554=' Pivot Tables'!$A$4,1,0)</f>
        <v>0</v>
      </c>
      <c r="X4554">
        <f>IF(AND(LEFT(D4554,4)+1=LEFT(' Pivot Tables'!$A$4,4)+0,RIGHT(LEFT(D4554,7),2)=RIGHT(LEFT(' Pivot Tables'!$A$4,7),2)),1,0)</f>
        <v>0</v>
      </c>
      <c r="Y4554" s="6">
        <f>1/COUNTIF(Таблица1[Order ID],Таблица1[[#This Row],[Order ID]])</f>
        <v>1</v>
      </c>
      <c r="Z4554" s="9">
        <f>1/COUNTIFS(Таблица1[Customer Name],Таблица1[[#This Row],[Customer Name]],Таблица1[Order-Year-Month],Таблица1[[#This Row],[Order-Year-Month]])</f>
        <v>0.25</v>
      </c>
    </row>
    <row r="4555" spans="1:26" x14ac:dyDescent="0.2">
      <c r="A4555" s="6">
        <v>7259</v>
      </c>
      <c r="B4555" s="7">
        <v>51783</v>
      </c>
      <c r="C4555" s="8">
        <f>DATE(2012,12,31)-416</f>
        <v>40858</v>
      </c>
      <c r="D4555" s="8" t="str">
        <f t="shared" si="84"/>
        <v>2011-11 (ноябрь 2011)</v>
      </c>
      <c r="E4555" s="9" t="s">
        <v>63</v>
      </c>
      <c r="F4555" s="7">
        <v>13</v>
      </c>
      <c r="G4555" s="7">
        <v>646.54999999999995</v>
      </c>
      <c r="H4555" s="7">
        <v>0.05</v>
      </c>
      <c r="I4555" s="9" t="s">
        <v>22</v>
      </c>
      <c r="J4555" s="10">
        <v>244.13</v>
      </c>
      <c r="K4555" s="11">
        <v>48.04</v>
      </c>
      <c r="L4555" s="11">
        <v>5.79</v>
      </c>
      <c r="M4555" s="9" t="s">
        <v>1341</v>
      </c>
      <c r="N4555" s="6" t="s">
        <v>1123</v>
      </c>
      <c r="O4555" s="6" t="s">
        <v>1123</v>
      </c>
      <c r="P4555" s="9" t="s">
        <v>33</v>
      </c>
      <c r="Q4555" s="9" t="s">
        <v>26</v>
      </c>
      <c r="R4555" s="9" t="s">
        <v>61</v>
      </c>
      <c r="S4555" s="7" t="s">
        <v>940</v>
      </c>
      <c r="T4555" s="9" t="s">
        <v>39</v>
      </c>
      <c r="U4555" s="7">
        <v>0.37</v>
      </c>
      <c r="V4555" s="12">
        <f>C4555+2</f>
        <v>40860</v>
      </c>
      <c r="W4555">
        <f>IF(D4555=' Pivot Tables'!$A$4,1,0)</f>
        <v>0</v>
      </c>
      <c r="X4555">
        <f>IF(AND(LEFT(D4555,4)+1=LEFT(' Pivot Tables'!$A$4,4)+0,RIGHT(LEFT(D4555,7),2)=RIGHT(LEFT(' Pivot Tables'!$A$4,7),2)),1,0)</f>
        <v>0</v>
      </c>
      <c r="Y4555" s="6">
        <f>1/COUNTIF(Таблица1[Order ID],Таблица1[[#This Row],[Order ID]])</f>
        <v>0.33333333333333331</v>
      </c>
      <c r="Z4555" s="9">
        <f>1/COUNTIFS(Таблица1[Customer Name],Таблица1[[#This Row],[Customer Name]],Таблица1[Order-Year-Month],Таблица1[[#This Row],[Order-Year-Month]])</f>
        <v>0.33333333333333331</v>
      </c>
    </row>
    <row r="4556" spans="1:26" x14ac:dyDescent="0.2">
      <c r="A4556" s="6">
        <v>7294</v>
      </c>
      <c r="B4556" s="7">
        <v>52006</v>
      </c>
      <c r="C4556" s="8">
        <f>DATE(2012,12,31)-1286</f>
        <v>39988</v>
      </c>
      <c r="D4556" s="8" t="str">
        <f t="shared" si="84"/>
        <v>2009-06 (июнь 2009)</v>
      </c>
      <c r="E4556" s="9" t="s">
        <v>63</v>
      </c>
      <c r="F4556" s="7">
        <v>39</v>
      </c>
      <c r="G4556" s="7">
        <v>392.81</v>
      </c>
      <c r="H4556" s="7">
        <v>0.1</v>
      </c>
      <c r="I4556" s="9" t="s">
        <v>22</v>
      </c>
      <c r="J4556" s="10">
        <v>13.91</v>
      </c>
      <c r="K4556" s="11">
        <v>10.48</v>
      </c>
      <c r="L4556" s="11">
        <v>2.89</v>
      </c>
      <c r="M4556" s="9" t="s">
        <v>1457</v>
      </c>
      <c r="N4556" s="6" t="s">
        <v>1123</v>
      </c>
      <c r="O4556" s="6" t="s">
        <v>1123</v>
      </c>
      <c r="P4556" s="9" t="s">
        <v>41</v>
      </c>
      <c r="Q4556" s="9" t="s">
        <v>26</v>
      </c>
      <c r="R4556" s="9" t="s">
        <v>95</v>
      </c>
      <c r="S4556" s="7" t="s">
        <v>499</v>
      </c>
      <c r="T4556" s="9" t="s">
        <v>52</v>
      </c>
      <c r="U4556" s="7">
        <v>0.6</v>
      </c>
      <c r="V4556" s="12">
        <f>C4556+1</f>
        <v>39989</v>
      </c>
      <c r="W4556">
        <f>IF(D4556=' Pivot Tables'!$A$4,1,0)</f>
        <v>0</v>
      </c>
      <c r="X4556">
        <f>IF(AND(LEFT(D4556,4)+1=LEFT(' Pivot Tables'!$A$4,4)+0,RIGHT(LEFT(D4556,7),2)=RIGHT(LEFT(' Pivot Tables'!$A$4,7),2)),1,0)</f>
        <v>0</v>
      </c>
      <c r="Y4556" s="6">
        <f>1/COUNTIF(Таблица1[Order ID],Таблица1[[#This Row],[Order ID]])</f>
        <v>0.5</v>
      </c>
      <c r="Z4556" s="9">
        <f>1/COUNTIFS(Таблица1[Customer Name],Таблица1[[#This Row],[Customer Name]],Таблица1[Order-Year-Month],Таблица1[[#This Row],[Order-Year-Month]])</f>
        <v>0.5</v>
      </c>
    </row>
    <row r="4557" spans="1:26" x14ac:dyDescent="0.2">
      <c r="A4557" s="6">
        <v>7632</v>
      </c>
      <c r="B4557" s="7">
        <v>54595</v>
      </c>
      <c r="C4557" s="8">
        <f>DATE(2012,12,31)-1343</f>
        <v>39931</v>
      </c>
      <c r="D4557" s="8" t="str">
        <f t="shared" si="84"/>
        <v>2009-04 (апрель 2009)</v>
      </c>
      <c r="E4557" s="9" t="s">
        <v>63</v>
      </c>
      <c r="F4557" s="7">
        <v>41</v>
      </c>
      <c r="G4557" s="7">
        <v>5258.94</v>
      </c>
      <c r="H4557" s="7">
        <v>0.09</v>
      </c>
      <c r="I4557" s="9" t="s">
        <v>31</v>
      </c>
      <c r="J4557" s="10">
        <v>-421.76</v>
      </c>
      <c r="K4557" s="11">
        <v>130.97999999999999</v>
      </c>
      <c r="L4557" s="11">
        <v>30</v>
      </c>
      <c r="M4557" s="9" t="s">
        <v>1530</v>
      </c>
      <c r="N4557" s="6" t="s">
        <v>1123</v>
      </c>
      <c r="O4557" s="6" t="s">
        <v>1123</v>
      </c>
      <c r="P4557" s="9" t="s">
        <v>25</v>
      </c>
      <c r="Q4557" s="9" t="s">
        <v>49</v>
      </c>
      <c r="R4557" s="9" t="s">
        <v>112</v>
      </c>
      <c r="S4557" s="7" t="s">
        <v>265</v>
      </c>
      <c r="T4557" s="9" t="s">
        <v>36</v>
      </c>
      <c r="U4557" s="7">
        <v>0.78</v>
      </c>
      <c r="V4557" s="12">
        <f>C4557+3</f>
        <v>39934</v>
      </c>
      <c r="W4557">
        <f>IF(D4557=' Pivot Tables'!$A$4,1,0)</f>
        <v>0</v>
      </c>
      <c r="X4557">
        <f>IF(AND(LEFT(D4557,4)+1=LEFT(' Pivot Tables'!$A$4,4)+0,RIGHT(LEFT(D4557,7),2)=RIGHT(LEFT(' Pivot Tables'!$A$4,7),2)),1,0)</f>
        <v>0</v>
      </c>
      <c r="Y4557" s="6">
        <f>1/COUNTIF(Таблица1[Order ID],Таблица1[[#This Row],[Order ID]])</f>
        <v>0.5</v>
      </c>
      <c r="Z4557" s="9">
        <f>1/COUNTIFS(Таблица1[Customer Name],Таблица1[[#This Row],[Customer Name]],Таблица1[Order-Year-Month],Таблица1[[#This Row],[Order-Year-Month]])</f>
        <v>0.5</v>
      </c>
    </row>
    <row r="4558" spans="1:26" x14ac:dyDescent="0.2">
      <c r="A4558" s="6">
        <v>7701</v>
      </c>
      <c r="B4558" s="7">
        <v>55202</v>
      </c>
      <c r="C4558" s="8">
        <f>DATE(2012,12,31)-495</f>
        <v>40779</v>
      </c>
      <c r="D4558" s="8" t="str">
        <f t="shared" si="84"/>
        <v>2011-08 (август 2011)</v>
      </c>
      <c r="E4558" s="9" t="s">
        <v>21</v>
      </c>
      <c r="F4558" s="7">
        <v>49</v>
      </c>
      <c r="G4558" s="7">
        <v>6335.8575000000001</v>
      </c>
      <c r="H4558" s="7">
        <v>0.08</v>
      </c>
      <c r="I4558" s="9" t="s">
        <v>22</v>
      </c>
      <c r="J4558" s="10">
        <v>1620.2249999999999</v>
      </c>
      <c r="K4558" s="11">
        <v>155.99</v>
      </c>
      <c r="L4558" s="11">
        <v>8.99</v>
      </c>
      <c r="M4558" s="9" t="s">
        <v>1560</v>
      </c>
      <c r="N4558" s="6" t="s">
        <v>1123</v>
      </c>
      <c r="O4558" s="6" t="s">
        <v>1123</v>
      </c>
      <c r="P4558" s="9" t="s">
        <v>25</v>
      </c>
      <c r="Q4558" s="9" t="s">
        <v>42</v>
      </c>
      <c r="R4558" s="9" t="s">
        <v>43</v>
      </c>
      <c r="S4558" s="7" t="s">
        <v>87</v>
      </c>
      <c r="T4558" s="9" t="s">
        <v>39</v>
      </c>
      <c r="U4558" s="7">
        <v>0.57999999999999996</v>
      </c>
      <c r="V4558" s="12">
        <f>C4558+7</f>
        <v>40786</v>
      </c>
      <c r="W4558">
        <f>IF(D4558=' Pivot Tables'!$A$4,1,0)</f>
        <v>0</v>
      </c>
      <c r="X4558">
        <f>IF(AND(LEFT(D4558,4)+1=LEFT(' Pivot Tables'!$A$4,4)+0,RIGHT(LEFT(D4558,7),2)=RIGHT(LEFT(' Pivot Tables'!$A$4,7),2)),1,0)</f>
        <v>0</v>
      </c>
      <c r="Y4558" s="6">
        <f>1/COUNTIF(Таблица1[Order ID],Таблица1[[#This Row],[Order ID]])</f>
        <v>0.5</v>
      </c>
      <c r="Z4558" s="9">
        <f>1/COUNTIFS(Таблица1[Customer Name],Таблица1[[#This Row],[Customer Name]],Таблица1[Order-Year-Month],Таблица1[[#This Row],[Order-Year-Month]])</f>
        <v>0.25</v>
      </c>
    </row>
    <row r="4559" spans="1:26" x14ac:dyDescent="0.2">
      <c r="A4559" s="6">
        <v>7743</v>
      </c>
      <c r="B4559" s="7">
        <v>55431</v>
      </c>
      <c r="C4559" s="8">
        <f>DATE(2012,12,31)-206</f>
        <v>41068</v>
      </c>
      <c r="D4559" s="8" t="str">
        <f t="shared" si="84"/>
        <v>2012-06 (июнь 2012)</v>
      </c>
      <c r="E4559" s="9" t="s">
        <v>45</v>
      </c>
      <c r="F4559" s="7">
        <v>13</v>
      </c>
      <c r="G4559" s="7">
        <v>3723.99</v>
      </c>
      <c r="H4559" s="7">
        <v>0.03</v>
      </c>
      <c r="I4559" s="9" t="s">
        <v>22</v>
      </c>
      <c r="J4559" s="10">
        <v>777.28</v>
      </c>
      <c r="K4559" s="11">
        <v>289.52999999999997</v>
      </c>
      <c r="L4559" s="11">
        <v>19.989999999999998</v>
      </c>
      <c r="M4559" s="9" t="s">
        <v>1805</v>
      </c>
      <c r="N4559" s="6" t="s">
        <v>1123</v>
      </c>
      <c r="O4559" s="6" t="s">
        <v>1123</v>
      </c>
      <c r="P4559" s="9" t="s">
        <v>41</v>
      </c>
      <c r="Q4559" s="9" t="s">
        <v>26</v>
      </c>
      <c r="R4559" s="9" t="s">
        <v>34</v>
      </c>
      <c r="S4559" s="7" t="s">
        <v>1143</v>
      </c>
      <c r="T4559" s="9" t="s">
        <v>39</v>
      </c>
      <c r="U4559" s="7">
        <v>0.56000000000000005</v>
      </c>
      <c r="V4559" s="12">
        <f>C4559+1</f>
        <v>41069</v>
      </c>
      <c r="W4559">
        <f>IF(D4559=' Pivot Tables'!$A$4,1,0)</f>
        <v>0</v>
      </c>
      <c r="X4559">
        <f>IF(AND(LEFT(D4559,4)+1=LEFT(' Pivot Tables'!$A$4,4)+0,RIGHT(LEFT(D4559,7),2)=RIGHT(LEFT(' Pivot Tables'!$A$4,7),2)),1,0)</f>
        <v>0</v>
      </c>
      <c r="Y4559" s="6">
        <f>1/COUNTIF(Таблица1[Order ID],Таблица1[[#This Row],[Order ID]])</f>
        <v>0.5</v>
      </c>
      <c r="Z4559" s="9">
        <f>1/COUNTIFS(Таблица1[Customer Name],Таблица1[[#This Row],[Customer Name]],Таблица1[Order-Year-Month],Таблица1[[#This Row],[Order-Year-Month]])</f>
        <v>0.5</v>
      </c>
    </row>
    <row r="4560" spans="1:26" x14ac:dyDescent="0.2">
      <c r="A4560" s="6">
        <v>7786</v>
      </c>
      <c r="B4560" s="7">
        <v>55713</v>
      </c>
      <c r="C4560" s="8">
        <f>DATE(2012,12,31)-1428</f>
        <v>39846</v>
      </c>
      <c r="D4560" s="8" t="str">
        <f t="shared" si="84"/>
        <v>2009-02 (февраль 2009)</v>
      </c>
      <c r="E4560" s="9" t="s">
        <v>30</v>
      </c>
      <c r="F4560" s="7">
        <v>49</v>
      </c>
      <c r="G4560" s="7">
        <v>5718.85</v>
      </c>
      <c r="H4560" s="7">
        <v>0.09</v>
      </c>
      <c r="I4560" s="9" t="s">
        <v>31</v>
      </c>
      <c r="J4560" s="10">
        <v>-2426.5500000000002</v>
      </c>
      <c r="K4560" s="11">
        <v>122.99</v>
      </c>
      <c r="L4560" s="11">
        <v>70.2</v>
      </c>
      <c r="M4560" s="9" t="s">
        <v>1800</v>
      </c>
      <c r="N4560" s="6" t="s">
        <v>1123</v>
      </c>
      <c r="O4560" s="6" t="s">
        <v>1123</v>
      </c>
      <c r="P4560" s="9" t="s">
        <v>41</v>
      </c>
      <c r="Q4560" s="9" t="s">
        <v>49</v>
      </c>
      <c r="R4560" s="9" t="s">
        <v>112</v>
      </c>
      <c r="S4560" s="7" t="s">
        <v>426</v>
      </c>
      <c r="T4560" s="9" t="s">
        <v>36</v>
      </c>
      <c r="U4560" s="7">
        <v>0.74</v>
      </c>
      <c r="V4560" s="12">
        <f>C4560+2</f>
        <v>39848</v>
      </c>
      <c r="W4560">
        <f>IF(D4560=' Pivot Tables'!$A$4,1,0)</f>
        <v>0</v>
      </c>
      <c r="X4560">
        <f>IF(AND(LEFT(D4560,4)+1=LEFT(' Pivot Tables'!$A$4,4)+0,RIGHT(LEFT(D4560,7),2)=RIGHT(LEFT(' Pivot Tables'!$A$4,7),2)),1,0)</f>
        <v>0</v>
      </c>
      <c r="Y4560" s="6">
        <f>1/COUNTIF(Таблица1[Order ID],Таблица1[[#This Row],[Order ID]])</f>
        <v>1</v>
      </c>
      <c r="Z4560" s="9">
        <f>1/COUNTIFS(Таблица1[Customer Name],Таблица1[[#This Row],[Customer Name]],Таблица1[Order-Year-Month],Таблица1[[#This Row],[Order-Year-Month]])</f>
        <v>1</v>
      </c>
    </row>
    <row r="4561" spans="1:26" x14ac:dyDescent="0.2">
      <c r="A4561" s="6">
        <v>8069</v>
      </c>
      <c r="B4561" s="7">
        <v>57570</v>
      </c>
      <c r="C4561" s="8">
        <f>DATE(2012,12,31)-94</f>
        <v>41180</v>
      </c>
      <c r="D4561" s="8" t="str">
        <f t="shared" si="84"/>
        <v>2012-09 (сентябрь 2012)</v>
      </c>
      <c r="E4561" s="9" t="s">
        <v>30</v>
      </c>
      <c r="F4561" s="7">
        <v>15</v>
      </c>
      <c r="G4561" s="7">
        <v>675.23</v>
      </c>
      <c r="H4561" s="7">
        <v>0.1</v>
      </c>
      <c r="I4561" s="9" t="s">
        <v>22</v>
      </c>
      <c r="J4561" s="10">
        <v>204.08</v>
      </c>
      <c r="K4561" s="11">
        <v>48.04</v>
      </c>
      <c r="L4561" s="11">
        <v>7.23</v>
      </c>
      <c r="M4561" s="9" t="s">
        <v>1222</v>
      </c>
      <c r="N4561" s="6" t="s">
        <v>1123</v>
      </c>
      <c r="O4561" s="6" t="s">
        <v>1123</v>
      </c>
      <c r="P4561" s="9" t="s">
        <v>41</v>
      </c>
      <c r="Q4561" s="9" t="s">
        <v>26</v>
      </c>
      <c r="R4561" s="9" t="s">
        <v>61</v>
      </c>
      <c r="S4561" s="7" t="s">
        <v>527</v>
      </c>
      <c r="T4561" s="9" t="s">
        <v>39</v>
      </c>
      <c r="U4561" s="7">
        <v>0.37</v>
      </c>
      <c r="V4561" s="12">
        <f>C4561+2</f>
        <v>41182</v>
      </c>
      <c r="W4561">
        <f>IF(D4561=' Pivot Tables'!$A$4,1,0)</f>
        <v>0</v>
      </c>
      <c r="X4561">
        <f>IF(AND(LEFT(D4561,4)+1=LEFT(' Pivot Tables'!$A$4,4)+0,RIGHT(LEFT(D4561,7),2)=RIGHT(LEFT(' Pivot Tables'!$A$4,7),2)),1,0)</f>
        <v>0</v>
      </c>
      <c r="Y4561" s="6">
        <f>1/COUNTIF(Таблица1[Order ID],Таблица1[[#This Row],[Order ID]])</f>
        <v>0.5</v>
      </c>
      <c r="Z4561" s="9">
        <f>1/COUNTIFS(Таблица1[Customer Name],Таблица1[[#This Row],[Customer Name]],Таблица1[Order-Year-Month],Таблица1[[#This Row],[Order-Year-Month]])</f>
        <v>0.5</v>
      </c>
    </row>
    <row r="4562" spans="1:26" x14ac:dyDescent="0.2">
      <c r="A4562" s="6">
        <v>8171</v>
      </c>
      <c r="B4562" s="7">
        <v>58372</v>
      </c>
      <c r="C4562" s="8">
        <f>DATE(2012,12,31)-639</f>
        <v>40635</v>
      </c>
      <c r="D4562" s="8" t="str">
        <f t="shared" si="84"/>
        <v>2011-04 (апрель 2011)</v>
      </c>
      <c r="E4562" s="9" t="s">
        <v>21</v>
      </c>
      <c r="F4562" s="7">
        <v>16</v>
      </c>
      <c r="G4562" s="7">
        <v>38.200000000000003</v>
      </c>
      <c r="H4562" s="7">
        <v>7.0000000000000007E-2</v>
      </c>
      <c r="I4562" s="9" t="s">
        <v>56</v>
      </c>
      <c r="J4562" s="10">
        <v>4.34</v>
      </c>
      <c r="K4562" s="11">
        <v>2.21</v>
      </c>
      <c r="L4562" s="11">
        <v>1</v>
      </c>
      <c r="M4562" s="9" t="s">
        <v>1341</v>
      </c>
      <c r="N4562" s="6" t="s">
        <v>1123</v>
      </c>
      <c r="O4562" s="6" t="s">
        <v>1123</v>
      </c>
      <c r="P4562" s="9" t="s">
        <v>41</v>
      </c>
      <c r="Q4562" s="9" t="s">
        <v>26</v>
      </c>
      <c r="R4562" s="9" t="s">
        <v>95</v>
      </c>
      <c r="S4562" s="7" t="s">
        <v>1737</v>
      </c>
      <c r="T4562" s="9" t="s">
        <v>68</v>
      </c>
      <c r="U4562" s="7">
        <v>0.38</v>
      </c>
      <c r="V4562" s="12">
        <f>C4562+4</f>
        <v>40639</v>
      </c>
      <c r="W4562">
        <f>IF(D4562=' Pivot Tables'!$A$4,1,0)</f>
        <v>0</v>
      </c>
      <c r="X4562">
        <f>IF(AND(LEFT(D4562,4)+1=LEFT(' Pivot Tables'!$A$4,4)+0,RIGHT(LEFT(D4562,7),2)=RIGHT(LEFT(' Pivot Tables'!$A$4,7),2)),1,0)</f>
        <v>0</v>
      </c>
      <c r="Y4562" s="6">
        <f>1/COUNTIF(Таблица1[Order ID],Таблица1[[#This Row],[Order ID]])</f>
        <v>0.5</v>
      </c>
      <c r="Z4562" s="9">
        <f>1/COUNTIFS(Таблица1[Customer Name],Таблица1[[#This Row],[Customer Name]],Таблица1[Order-Year-Month],Таблица1[[#This Row],[Order-Year-Month]])</f>
        <v>0.5</v>
      </c>
    </row>
    <row r="4563" spans="1:26" x14ac:dyDescent="0.2">
      <c r="A4563" s="6">
        <v>8327</v>
      </c>
      <c r="B4563" s="7">
        <v>59552</v>
      </c>
      <c r="C4563" s="8">
        <f>DATE(2012,12,31)-1083</f>
        <v>40191</v>
      </c>
      <c r="D4563" s="8" t="str">
        <f t="shared" si="84"/>
        <v>2010-01 (январь 2010)</v>
      </c>
      <c r="E4563" s="9" t="s">
        <v>45</v>
      </c>
      <c r="F4563" s="7">
        <v>39</v>
      </c>
      <c r="G4563" s="7">
        <v>314.26</v>
      </c>
      <c r="H4563" s="7">
        <v>0</v>
      </c>
      <c r="I4563" s="9" t="s">
        <v>22</v>
      </c>
      <c r="J4563" s="10">
        <v>-71.046999999999997</v>
      </c>
      <c r="K4563" s="11">
        <v>7.45</v>
      </c>
      <c r="L4563" s="11">
        <v>6.28</v>
      </c>
      <c r="M4563" s="9" t="s">
        <v>1582</v>
      </c>
      <c r="N4563" s="6" t="s">
        <v>1123</v>
      </c>
      <c r="O4563" s="6" t="s">
        <v>1123</v>
      </c>
      <c r="P4563" s="9" t="s">
        <v>60</v>
      </c>
      <c r="Q4563" s="9" t="s">
        <v>26</v>
      </c>
      <c r="R4563" s="9" t="s">
        <v>37</v>
      </c>
      <c r="S4563" s="7" t="s">
        <v>1092</v>
      </c>
      <c r="T4563" s="9" t="s">
        <v>39</v>
      </c>
      <c r="U4563" s="7">
        <v>0.4</v>
      </c>
      <c r="V4563" s="12">
        <f>C4563+1</f>
        <v>40192</v>
      </c>
      <c r="W4563">
        <f>IF(D4563=' Pivot Tables'!$A$4,1,0)</f>
        <v>1</v>
      </c>
      <c r="X4563">
        <f>IF(AND(LEFT(D4563,4)+1=LEFT(' Pivot Tables'!$A$4,4)+0,RIGHT(LEFT(D4563,7),2)=RIGHT(LEFT(' Pivot Tables'!$A$4,7),2)),1,0)</f>
        <v>0</v>
      </c>
      <c r="Y4563" s="6">
        <f>1/COUNTIF(Таблица1[Order ID],Таблица1[[#This Row],[Order ID]])</f>
        <v>1</v>
      </c>
      <c r="Z4563" s="9">
        <f>1/COUNTIFS(Таблица1[Customer Name],Таблица1[[#This Row],[Customer Name]],Таблица1[Order-Year-Month],Таблица1[[#This Row],[Order-Year-Month]])</f>
        <v>1</v>
      </c>
    </row>
    <row r="4564" spans="1:26" x14ac:dyDescent="0.2">
      <c r="A4564" s="6">
        <v>329</v>
      </c>
      <c r="B4564" s="7">
        <v>2272</v>
      </c>
      <c r="C4564" s="8">
        <f>DATE(2012,12,31)-994</f>
        <v>40280</v>
      </c>
      <c r="D4564" s="8" t="str">
        <f t="shared" si="84"/>
        <v>2010-04 (апрель 2010)</v>
      </c>
      <c r="E4564" s="9" t="s">
        <v>30</v>
      </c>
      <c r="F4564" s="7">
        <v>39</v>
      </c>
      <c r="G4564" s="7">
        <v>7680.29</v>
      </c>
      <c r="H4564" s="7">
        <v>0.08</v>
      </c>
      <c r="I4564" s="9" t="s">
        <v>31</v>
      </c>
      <c r="J4564" s="10">
        <v>-513.79042000000004</v>
      </c>
      <c r="K4564" s="11">
        <v>212.6</v>
      </c>
      <c r="L4564" s="11">
        <v>52.2</v>
      </c>
      <c r="M4564" s="9" t="s">
        <v>1806</v>
      </c>
      <c r="N4564" s="6" t="s">
        <v>1123</v>
      </c>
      <c r="O4564" s="6" t="s">
        <v>1123</v>
      </c>
      <c r="P4564" s="9" t="s">
        <v>33</v>
      </c>
      <c r="Q4564" s="9" t="s">
        <v>49</v>
      </c>
      <c r="R4564" s="9" t="s">
        <v>83</v>
      </c>
      <c r="S4564" s="7" t="s">
        <v>984</v>
      </c>
      <c r="T4564" s="9" t="s">
        <v>82</v>
      </c>
      <c r="U4564" s="7">
        <v>0.64</v>
      </c>
      <c r="V4564" s="12">
        <f>C4564+0</f>
        <v>40280</v>
      </c>
      <c r="W4564">
        <f>IF(D4564=' Pivot Tables'!$A$4,1,0)</f>
        <v>0</v>
      </c>
      <c r="X4564">
        <f>IF(AND(LEFT(D4564,4)+1=LEFT(' Pivot Tables'!$A$4,4)+0,RIGHT(LEFT(D4564,7),2)=RIGHT(LEFT(' Pivot Tables'!$A$4,7),2)),1,0)</f>
        <v>0</v>
      </c>
      <c r="Y4564" s="6">
        <f>1/COUNTIF(Таблица1[Order ID],Таблица1[[#This Row],[Order ID]])</f>
        <v>1</v>
      </c>
      <c r="Z4564" s="9">
        <f>1/COUNTIFS(Таблица1[Customer Name],Таблица1[[#This Row],[Customer Name]],Таблица1[Order-Year-Month],Таблица1[[#This Row],[Order-Year-Month]])</f>
        <v>1</v>
      </c>
    </row>
    <row r="4565" spans="1:26" x14ac:dyDescent="0.2">
      <c r="A4565" s="6">
        <v>901</v>
      </c>
      <c r="B4565" s="7">
        <v>6498</v>
      </c>
      <c r="C4565" s="8">
        <f>DATE(2012,12,31)-1385</f>
        <v>39889</v>
      </c>
      <c r="D4565" s="8" t="str">
        <f t="shared" si="84"/>
        <v>2009-03 (март 2009)</v>
      </c>
      <c r="E4565" s="9" t="s">
        <v>63</v>
      </c>
      <c r="F4565" s="7">
        <v>38</v>
      </c>
      <c r="G4565" s="7">
        <v>336.85</v>
      </c>
      <c r="H4565" s="7">
        <v>0.01</v>
      </c>
      <c r="I4565" s="9" t="s">
        <v>56</v>
      </c>
      <c r="J4565" s="10">
        <v>-40.76</v>
      </c>
      <c r="K4565" s="11">
        <v>8.1199999999999992</v>
      </c>
      <c r="L4565" s="11">
        <v>2.83</v>
      </c>
      <c r="M4565" s="9" t="s">
        <v>1142</v>
      </c>
      <c r="N4565" s="6" t="s">
        <v>1123</v>
      </c>
      <c r="O4565" s="6" t="s">
        <v>1123</v>
      </c>
      <c r="P4565" s="9" t="s">
        <v>60</v>
      </c>
      <c r="Q4565" s="9" t="s">
        <v>42</v>
      </c>
      <c r="R4565" s="9" t="s">
        <v>70</v>
      </c>
      <c r="S4565" s="7" t="s">
        <v>630</v>
      </c>
      <c r="T4565" s="9" t="s">
        <v>52</v>
      </c>
      <c r="U4565" s="7">
        <v>0.77</v>
      </c>
      <c r="V4565" s="12">
        <f>C4565+1</f>
        <v>39890</v>
      </c>
      <c r="W4565">
        <f>IF(D4565=' Pivot Tables'!$A$4,1,0)</f>
        <v>0</v>
      </c>
      <c r="X4565">
        <f>IF(AND(LEFT(D4565,4)+1=LEFT(' Pivot Tables'!$A$4,4)+0,RIGHT(LEFT(D4565,7),2)=RIGHT(LEFT(' Pivot Tables'!$A$4,7),2)),1,0)</f>
        <v>0</v>
      </c>
      <c r="Y4565" s="6">
        <f>1/COUNTIF(Таблица1[Order ID],Таблица1[[#This Row],[Order ID]])</f>
        <v>1</v>
      </c>
      <c r="Z4565" s="9">
        <f>1/COUNTIFS(Таблица1[Customer Name],Таблица1[[#This Row],[Customer Name]],Таблица1[Order-Year-Month],Таблица1[[#This Row],[Order-Year-Month]])</f>
        <v>1</v>
      </c>
    </row>
    <row r="4566" spans="1:26" x14ac:dyDescent="0.2">
      <c r="A4566" s="6">
        <v>2264</v>
      </c>
      <c r="B4566" s="7">
        <v>16260</v>
      </c>
      <c r="C4566" s="8">
        <f>DATE(2012,12,31)-414</f>
        <v>40860</v>
      </c>
      <c r="D4566" s="8" t="str">
        <f t="shared" si="84"/>
        <v>2011-11 (ноябрь 2011)</v>
      </c>
      <c r="E4566" s="9" t="s">
        <v>30</v>
      </c>
      <c r="F4566" s="7">
        <v>47</v>
      </c>
      <c r="G4566" s="7">
        <v>14960.096</v>
      </c>
      <c r="H4566" s="7">
        <v>0.01</v>
      </c>
      <c r="I4566" s="9" t="s">
        <v>31</v>
      </c>
      <c r="J4566" s="10">
        <v>-969.0483660000001</v>
      </c>
      <c r="K4566" s="11">
        <v>400.98</v>
      </c>
      <c r="L4566" s="11">
        <v>42.52</v>
      </c>
      <c r="M4566" s="9" t="s">
        <v>1364</v>
      </c>
      <c r="N4566" s="6" t="s">
        <v>1123</v>
      </c>
      <c r="O4566" s="6" t="s">
        <v>1123</v>
      </c>
      <c r="P4566" s="9" t="s">
        <v>41</v>
      </c>
      <c r="Q4566" s="9" t="s">
        <v>49</v>
      </c>
      <c r="R4566" s="9" t="s">
        <v>83</v>
      </c>
      <c r="S4566" s="7" t="s">
        <v>1136</v>
      </c>
      <c r="T4566" s="9" t="s">
        <v>82</v>
      </c>
      <c r="U4566" s="7">
        <v>0.71</v>
      </c>
      <c r="V4566" s="12">
        <f>C4566+1</f>
        <v>40861</v>
      </c>
      <c r="W4566">
        <f>IF(D4566=' Pivot Tables'!$A$4,1,0)</f>
        <v>0</v>
      </c>
      <c r="X4566">
        <f>IF(AND(LEFT(D4566,4)+1=LEFT(' Pivot Tables'!$A$4,4)+0,RIGHT(LEFT(D4566,7),2)=RIGHT(LEFT(' Pivot Tables'!$A$4,7),2)),1,0)</f>
        <v>0</v>
      </c>
      <c r="Y4566" s="6">
        <f>1/COUNTIF(Таблица1[Order ID],Таблица1[[#This Row],[Order ID]])</f>
        <v>1</v>
      </c>
      <c r="Z4566" s="9">
        <f>1/COUNTIFS(Таблица1[Customer Name],Таблица1[[#This Row],[Customer Name]],Таблица1[Order-Year-Month],Таблица1[[#This Row],[Order-Year-Month]])</f>
        <v>1</v>
      </c>
    </row>
    <row r="4567" spans="1:26" x14ac:dyDescent="0.2">
      <c r="A4567" s="6">
        <v>2275</v>
      </c>
      <c r="B4567" s="7">
        <v>16359</v>
      </c>
      <c r="C4567" s="8">
        <f>DATE(2012,12,31)-231</f>
        <v>41043</v>
      </c>
      <c r="D4567" s="8" t="str">
        <f t="shared" si="84"/>
        <v>2012-05 (май 2012)</v>
      </c>
      <c r="E4567" s="9" t="s">
        <v>78</v>
      </c>
      <c r="F4567" s="7">
        <v>39</v>
      </c>
      <c r="G4567" s="7">
        <v>1343.6</v>
      </c>
      <c r="H4567" s="7">
        <v>0.06</v>
      </c>
      <c r="I4567" s="9" t="s">
        <v>22</v>
      </c>
      <c r="J4567" s="10">
        <v>137.86000000000001</v>
      </c>
      <c r="K4567" s="11">
        <v>35.89</v>
      </c>
      <c r="L4567" s="11">
        <v>14.72</v>
      </c>
      <c r="M4567" s="9" t="s">
        <v>1806</v>
      </c>
      <c r="N4567" s="6" t="s">
        <v>1123</v>
      </c>
      <c r="O4567" s="6" t="s">
        <v>1123</v>
      </c>
      <c r="P4567" s="9" t="s">
        <v>33</v>
      </c>
      <c r="Q4567" s="9" t="s">
        <v>26</v>
      </c>
      <c r="R4567" s="9" t="s">
        <v>76</v>
      </c>
      <c r="S4567" s="7" t="s">
        <v>813</v>
      </c>
      <c r="T4567" s="9" t="s">
        <v>39</v>
      </c>
      <c r="U4567" s="7">
        <v>0.4</v>
      </c>
      <c r="V4567" s="12">
        <f>C4567+1</f>
        <v>41044</v>
      </c>
      <c r="W4567">
        <f>IF(D4567=' Pivot Tables'!$A$4,1,0)</f>
        <v>0</v>
      </c>
      <c r="X4567">
        <f>IF(AND(LEFT(D4567,4)+1=LEFT(' Pivot Tables'!$A$4,4)+0,RIGHT(LEFT(D4567,7),2)=RIGHT(LEFT(' Pivot Tables'!$A$4,7),2)),1,0)</f>
        <v>0</v>
      </c>
      <c r="Y4567" s="6">
        <f>1/COUNTIF(Таблица1[Order ID],Таблица1[[#This Row],[Order ID]])</f>
        <v>0.5</v>
      </c>
      <c r="Z4567" s="9">
        <f>1/COUNTIFS(Таблица1[Customer Name],Таблица1[[#This Row],[Customer Name]],Таблица1[Order-Year-Month],Таблица1[[#This Row],[Order-Year-Month]])</f>
        <v>0.5</v>
      </c>
    </row>
    <row r="4568" spans="1:26" x14ac:dyDescent="0.2">
      <c r="A4568" s="6">
        <v>2276</v>
      </c>
      <c r="B4568" s="7">
        <v>16359</v>
      </c>
      <c r="C4568" s="8">
        <f>DATE(2012,12,31)-231</f>
        <v>41043</v>
      </c>
      <c r="D4568" s="8" t="str">
        <f t="shared" si="84"/>
        <v>2012-05 (май 2012)</v>
      </c>
      <c r="E4568" s="9" t="s">
        <v>78</v>
      </c>
      <c r="F4568" s="7">
        <v>8</v>
      </c>
      <c r="G4568" s="7">
        <v>35.28</v>
      </c>
      <c r="H4568" s="7">
        <v>0</v>
      </c>
      <c r="I4568" s="9" t="s">
        <v>22</v>
      </c>
      <c r="J4568" s="10">
        <v>-39.07</v>
      </c>
      <c r="K4568" s="11">
        <v>3.34</v>
      </c>
      <c r="L4568" s="11">
        <v>7.49</v>
      </c>
      <c r="M4568" s="9" t="s">
        <v>1806</v>
      </c>
      <c r="N4568" s="6" t="s">
        <v>1123</v>
      </c>
      <c r="O4568" s="6" t="s">
        <v>1123</v>
      </c>
      <c r="P4568" s="9" t="s">
        <v>33</v>
      </c>
      <c r="Q4568" s="9" t="s">
        <v>26</v>
      </c>
      <c r="R4568" s="9" t="s">
        <v>95</v>
      </c>
      <c r="S4568" s="7" t="s">
        <v>765</v>
      </c>
      <c r="T4568" s="9" t="s">
        <v>68</v>
      </c>
      <c r="U4568" s="7">
        <v>0.54</v>
      </c>
      <c r="V4568" s="12">
        <f>C4568+0</f>
        <v>41043</v>
      </c>
      <c r="W4568">
        <f>IF(D4568=' Pivot Tables'!$A$4,1,0)</f>
        <v>0</v>
      </c>
      <c r="X4568">
        <f>IF(AND(LEFT(D4568,4)+1=LEFT(' Pivot Tables'!$A$4,4)+0,RIGHT(LEFT(D4568,7),2)=RIGHT(LEFT(' Pivot Tables'!$A$4,7),2)),1,0)</f>
        <v>0</v>
      </c>
      <c r="Y4568" s="6">
        <f>1/COUNTIF(Таблица1[Order ID],Таблица1[[#This Row],[Order ID]])</f>
        <v>0.5</v>
      </c>
      <c r="Z4568" s="9">
        <f>1/COUNTIFS(Таблица1[Customer Name],Таблица1[[#This Row],[Customer Name]],Таблица1[Order-Year-Month],Таблица1[[#This Row],[Order-Year-Month]])</f>
        <v>0.5</v>
      </c>
    </row>
    <row r="4569" spans="1:26" x14ac:dyDescent="0.2">
      <c r="A4569" s="6">
        <v>3059</v>
      </c>
      <c r="B4569" s="7">
        <v>21922</v>
      </c>
      <c r="C4569" s="8">
        <f>DATE(2012,12,31)-1146</f>
        <v>40128</v>
      </c>
      <c r="D4569" s="8" t="str">
        <f t="shared" si="84"/>
        <v>2009-11 (ноябрь 2009)</v>
      </c>
      <c r="E4569" s="9" t="s">
        <v>30</v>
      </c>
      <c r="F4569" s="7">
        <v>17</v>
      </c>
      <c r="G4569" s="7">
        <v>8937.3799999999992</v>
      </c>
      <c r="H4569" s="7">
        <v>0.01</v>
      </c>
      <c r="I4569" s="9" t="s">
        <v>31</v>
      </c>
      <c r="J4569" s="10">
        <v>2383.42</v>
      </c>
      <c r="K4569" s="11">
        <v>500.98</v>
      </c>
      <c r="L4569" s="11">
        <v>26</v>
      </c>
      <c r="M4569" s="9" t="s">
        <v>1807</v>
      </c>
      <c r="N4569" s="6" t="s">
        <v>1123</v>
      </c>
      <c r="O4569" s="6" t="s">
        <v>1123</v>
      </c>
      <c r="P4569" s="9" t="s">
        <v>41</v>
      </c>
      <c r="Q4569" s="9" t="s">
        <v>49</v>
      </c>
      <c r="R4569" s="9" t="s">
        <v>112</v>
      </c>
      <c r="S4569" s="7" t="s">
        <v>119</v>
      </c>
      <c r="T4569" s="9" t="s">
        <v>36</v>
      </c>
      <c r="U4569" s="7">
        <v>0.6</v>
      </c>
      <c r="V4569" s="12">
        <f>C4569+1</f>
        <v>40129</v>
      </c>
      <c r="W4569">
        <f>IF(D4569=' Pivot Tables'!$A$4,1,0)</f>
        <v>0</v>
      </c>
      <c r="X4569">
        <f>IF(AND(LEFT(D4569,4)+1=LEFT(' Pivot Tables'!$A$4,4)+0,RIGHT(LEFT(D4569,7),2)=RIGHT(LEFT(' Pivot Tables'!$A$4,7),2)),1,0)</f>
        <v>0</v>
      </c>
      <c r="Y4569" s="6">
        <f>1/COUNTIF(Таблица1[Order ID],Таблица1[[#This Row],[Order ID]])</f>
        <v>0.33333333333333331</v>
      </c>
      <c r="Z4569" s="9">
        <f>1/COUNTIFS(Таблица1[Customer Name],Таблица1[[#This Row],[Customer Name]],Таблица1[Order-Year-Month],Таблица1[[#This Row],[Order-Year-Month]])</f>
        <v>0.33333333333333331</v>
      </c>
    </row>
    <row r="4570" spans="1:26" x14ac:dyDescent="0.2">
      <c r="A4570" s="6">
        <v>3060</v>
      </c>
      <c r="B4570" s="7">
        <v>21922</v>
      </c>
      <c r="C4570" s="8">
        <f>DATE(2012,12,31)-1146</f>
        <v>40128</v>
      </c>
      <c r="D4570" s="8" t="str">
        <f t="shared" si="84"/>
        <v>2009-11 (ноябрь 2009)</v>
      </c>
      <c r="E4570" s="9" t="s">
        <v>30</v>
      </c>
      <c r="F4570" s="7">
        <v>11</v>
      </c>
      <c r="G4570" s="7">
        <v>108.85</v>
      </c>
      <c r="H4570" s="7">
        <v>0.08</v>
      </c>
      <c r="I4570" s="9" t="s">
        <v>22</v>
      </c>
      <c r="J4570" s="10">
        <v>10.58</v>
      </c>
      <c r="K4570" s="11">
        <v>9.77</v>
      </c>
      <c r="L4570" s="11">
        <v>6.02</v>
      </c>
      <c r="M4570" s="9" t="s">
        <v>1807</v>
      </c>
      <c r="N4570" s="6" t="s">
        <v>1123</v>
      </c>
      <c r="O4570" s="6" t="s">
        <v>1123</v>
      </c>
      <c r="P4570" s="9" t="s">
        <v>41</v>
      </c>
      <c r="Q4570" s="9" t="s">
        <v>49</v>
      </c>
      <c r="R4570" s="9" t="s">
        <v>50</v>
      </c>
      <c r="S4570" s="7" t="s">
        <v>446</v>
      </c>
      <c r="T4570" s="9" t="s">
        <v>48</v>
      </c>
      <c r="U4570" s="7">
        <v>0.48</v>
      </c>
      <c r="V4570" s="12">
        <f>C4570+1</f>
        <v>40129</v>
      </c>
      <c r="W4570">
        <f>IF(D4570=' Pivot Tables'!$A$4,1,0)</f>
        <v>0</v>
      </c>
      <c r="X4570">
        <f>IF(AND(LEFT(D4570,4)+1=LEFT(' Pivot Tables'!$A$4,4)+0,RIGHT(LEFT(D4570,7),2)=RIGHT(LEFT(' Pivot Tables'!$A$4,7),2)),1,0)</f>
        <v>0</v>
      </c>
      <c r="Y4570" s="6">
        <f>1/COUNTIF(Таблица1[Order ID],Таблица1[[#This Row],[Order ID]])</f>
        <v>0.33333333333333331</v>
      </c>
      <c r="Z4570" s="9">
        <f>1/COUNTIFS(Таблица1[Customer Name],Таблица1[[#This Row],[Customer Name]],Таблица1[Order-Year-Month],Таблица1[[#This Row],[Order-Year-Month]])</f>
        <v>0.33333333333333331</v>
      </c>
    </row>
    <row r="4571" spans="1:26" x14ac:dyDescent="0.2">
      <c r="A4571" s="6">
        <v>3061</v>
      </c>
      <c r="B4571" s="7">
        <v>21922</v>
      </c>
      <c r="C4571" s="8">
        <f>DATE(2012,12,31)-1146</f>
        <v>40128</v>
      </c>
      <c r="D4571" s="8" t="str">
        <f t="shared" si="84"/>
        <v>2009-11 (ноябрь 2009)</v>
      </c>
      <c r="E4571" s="9" t="s">
        <v>30</v>
      </c>
      <c r="F4571" s="7">
        <v>49</v>
      </c>
      <c r="G4571" s="7">
        <v>157.47</v>
      </c>
      <c r="H4571" s="7">
        <v>0.09</v>
      </c>
      <c r="I4571" s="9" t="s">
        <v>22</v>
      </c>
      <c r="J4571" s="10">
        <v>8.07</v>
      </c>
      <c r="K4571" s="11">
        <v>3.28</v>
      </c>
      <c r="L4571" s="11">
        <v>0.98</v>
      </c>
      <c r="M4571" s="9" t="s">
        <v>1807</v>
      </c>
      <c r="N4571" s="6" t="s">
        <v>1123</v>
      </c>
      <c r="O4571" s="6" t="s">
        <v>1123</v>
      </c>
      <c r="P4571" s="9" t="s">
        <v>41</v>
      </c>
      <c r="Q4571" s="9" t="s">
        <v>26</v>
      </c>
      <c r="R4571" s="9" t="s">
        <v>95</v>
      </c>
      <c r="S4571" s="7" t="s">
        <v>1808</v>
      </c>
      <c r="T4571" s="9" t="s">
        <v>68</v>
      </c>
      <c r="U4571" s="7">
        <v>0.59</v>
      </c>
      <c r="V4571" s="12">
        <f>C4571+2</f>
        <v>40130</v>
      </c>
      <c r="W4571">
        <f>IF(D4571=' Pivot Tables'!$A$4,1,0)</f>
        <v>0</v>
      </c>
      <c r="X4571">
        <f>IF(AND(LEFT(D4571,4)+1=LEFT(' Pivot Tables'!$A$4,4)+0,RIGHT(LEFT(D4571,7),2)=RIGHT(LEFT(' Pivot Tables'!$A$4,7),2)),1,0)</f>
        <v>0</v>
      </c>
      <c r="Y4571" s="6">
        <f>1/COUNTIF(Таблица1[Order ID],Таблица1[[#This Row],[Order ID]])</f>
        <v>0.33333333333333331</v>
      </c>
      <c r="Z4571" s="9">
        <f>1/COUNTIFS(Таблица1[Customer Name],Таблица1[[#This Row],[Customer Name]],Таблица1[Order-Year-Month],Таблица1[[#This Row],[Order-Year-Month]])</f>
        <v>0.33333333333333331</v>
      </c>
    </row>
    <row r="4572" spans="1:26" x14ac:dyDescent="0.2">
      <c r="A4572" s="6">
        <v>3296</v>
      </c>
      <c r="B4572" s="7">
        <v>23558</v>
      </c>
      <c r="C4572" s="8">
        <f>DATE(2012,12,31)-510</f>
        <v>40764</v>
      </c>
      <c r="D4572" s="8" t="str">
        <f t="shared" si="84"/>
        <v>2011-08 (август 2011)</v>
      </c>
      <c r="E4572" s="9" t="s">
        <v>21</v>
      </c>
      <c r="F4572" s="7">
        <v>4</v>
      </c>
      <c r="G4572" s="7">
        <v>25.82</v>
      </c>
      <c r="H4572" s="7">
        <v>0.01</v>
      </c>
      <c r="I4572" s="9" t="s">
        <v>22</v>
      </c>
      <c r="J4572" s="10">
        <v>-10.19</v>
      </c>
      <c r="K4572" s="11">
        <v>4.9800000000000004</v>
      </c>
      <c r="L4572" s="11">
        <v>4.72</v>
      </c>
      <c r="M4572" s="9" t="s">
        <v>1142</v>
      </c>
      <c r="N4572" s="6" t="s">
        <v>1123</v>
      </c>
      <c r="O4572" s="6" t="s">
        <v>1123</v>
      </c>
      <c r="P4572" s="9" t="s">
        <v>60</v>
      </c>
      <c r="Q4572" s="9" t="s">
        <v>26</v>
      </c>
      <c r="R4572" s="9" t="s">
        <v>61</v>
      </c>
      <c r="S4572" s="7" t="s">
        <v>968</v>
      </c>
      <c r="T4572" s="9" t="s">
        <v>39</v>
      </c>
      <c r="U4572" s="7">
        <v>0.36</v>
      </c>
      <c r="V4572" s="12">
        <f>C4572+2</f>
        <v>40766</v>
      </c>
      <c r="W4572">
        <f>IF(D4572=' Pivot Tables'!$A$4,1,0)</f>
        <v>0</v>
      </c>
      <c r="X4572">
        <f>IF(AND(LEFT(D4572,4)+1=LEFT(' Pivot Tables'!$A$4,4)+0,RIGHT(LEFT(D4572,7),2)=RIGHT(LEFT(' Pivot Tables'!$A$4,7),2)),1,0)</f>
        <v>0</v>
      </c>
      <c r="Y4572" s="6">
        <f>1/COUNTIF(Таблица1[Order ID],Таблица1[[#This Row],[Order ID]])</f>
        <v>0.5</v>
      </c>
      <c r="Z4572" s="9">
        <f>1/COUNTIFS(Таблица1[Customer Name],Таблица1[[#This Row],[Customer Name]],Таблица1[Order-Year-Month],Таблица1[[#This Row],[Order-Year-Month]])</f>
        <v>0.5</v>
      </c>
    </row>
    <row r="4573" spans="1:26" x14ac:dyDescent="0.2">
      <c r="A4573" s="6">
        <v>3297</v>
      </c>
      <c r="B4573" s="7">
        <v>23558</v>
      </c>
      <c r="C4573" s="8">
        <f>DATE(2012,12,31)-510</f>
        <v>40764</v>
      </c>
      <c r="D4573" s="8" t="str">
        <f t="shared" si="84"/>
        <v>2011-08 (август 2011)</v>
      </c>
      <c r="E4573" s="9" t="s">
        <v>21</v>
      </c>
      <c r="F4573" s="7">
        <v>17</v>
      </c>
      <c r="G4573" s="7">
        <v>579.71</v>
      </c>
      <c r="H4573" s="7">
        <v>0.03</v>
      </c>
      <c r="I4573" s="9" t="s">
        <v>31</v>
      </c>
      <c r="J4573" s="10">
        <v>24.296400000000002</v>
      </c>
      <c r="K4573" s="11">
        <v>31.76</v>
      </c>
      <c r="L4573" s="11">
        <v>45.51</v>
      </c>
      <c r="M4573" s="9" t="s">
        <v>1142</v>
      </c>
      <c r="N4573" s="6" t="s">
        <v>1123</v>
      </c>
      <c r="O4573" s="6" t="s">
        <v>1123</v>
      </c>
      <c r="P4573" s="9" t="s">
        <v>60</v>
      </c>
      <c r="Q4573" s="9" t="s">
        <v>49</v>
      </c>
      <c r="R4573" s="9" t="s">
        <v>83</v>
      </c>
      <c r="S4573" s="7" t="s">
        <v>611</v>
      </c>
      <c r="T4573" s="9" t="s">
        <v>82</v>
      </c>
      <c r="U4573" s="7">
        <v>0.65</v>
      </c>
      <c r="V4573" s="12">
        <f>C4573+5</f>
        <v>40769</v>
      </c>
      <c r="W4573">
        <f>IF(D4573=' Pivot Tables'!$A$4,1,0)</f>
        <v>0</v>
      </c>
      <c r="X4573">
        <f>IF(AND(LEFT(D4573,4)+1=LEFT(' Pivot Tables'!$A$4,4)+0,RIGHT(LEFT(D4573,7),2)=RIGHT(LEFT(' Pivot Tables'!$A$4,7),2)),1,0)</f>
        <v>0</v>
      </c>
      <c r="Y4573" s="6">
        <f>1/COUNTIF(Таблица1[Order ID],Таблица1[[#This Row],[Order ID]])</f>
        <v>0.5</v>
      </c>
      <c r="Z4573" s="9">
        <f>1/COUNTIFS(Таблица1[Customer Name],Таблица1[[#This Row],[Customer Name]],Таблица1[Order-Year-Month],Таблица1[[#This Row],[Order-Year-Month]])</f>
        <v>0.5</v>
      </c>
    </row>
    <row r="4574" spans="1:26" x14ac:dyDescent="0.2">
      <c r="A4574" s="6">
        <v>3818</v>
      </c>
      <c r="B4574" s="7">
        <v>27205</v>
      </c>
      <c r="C4574" s="8">
        <f>DATE(2012,12,31)-955</f>
        <v>40319</v>
      </c>
      <c r="D4574" s="8" t="str">
        <f t="shared" si="84"/>
        <v>2010-05 (май 2010)</v>
      </c>
      <c r="E4574" s="9" t="s">
        <v>45</v>
      </c>
      <c r="F4574" s="7">
        <v>12</v>
      </c>
      <c r="G4574" s="7">
        <v>87.11</v>
      </c>
      <c r="H4574" s="7">
        <v>0.08</v>
      </c>
      <c r="I4574" s="9" t="s">
        <v>22</v>
      </c>
      <c r="J4574" s="10">
        <v>-43.65</v>
      </c>
      <c r="K4574" s="11">
        <v>7.28</v>
      </c>
      <c r="L4574" s="11">
        <v>3.52</v>
      </c>
      <c r="M4574" s="9" t="s">
        <v>1807</v>
      </c>
      <c r="N4574" s="6" t="s">
        <v>1123</v>
      </c>
      <c r="O4574" s="6" t="s">
        <v>1123</v>
      </c>
      <c r="P4574" s="9" t="s">
        <v>41</v>
      </c>
      <c r="Q4574" s="9" t="s">
        <v>42</v>
      </c>
      <c r="R4574" s="9" t="s">
        <v>70</v>
      </c>
      <c r="S4574" s="7" t="s">
        <v>735</v>
      </c>
      <c r="T4574" s="9" t="s">
        <v>52</v>
      </c>
      <c r="U4574" s="7">
        <v>0.68</v>
      </c>
      <c r="V4574" s="12">
        <f>C4574+2</f>
        <v>40321</v>
      </c>
      <c r="W4574">
        <f>IF(D4574=' Pivot Tables'!$A$4,1,0)</f>
        <v>0</v>
      </c>
      <c r="X4574">
        <f>IF(AND(LEFT(D4574,4)+1=LEFT(' Pivot Tables'!$A$4,4)+0,RIGHT(LEFT(D4574,7),2)=RIGHT(LEFT(' Pivot Tables'!$A$4,7),2)),1,0)</f>
        <v>0</v>
      </c>
      <c r="Y4574" s="6">
        <f>1/COUNTIF(Таблица1[Order ID],Таблица1[[#This Row],[Order ID]])</f>
        <v>1</v>
      </c>
      <c r="Z4574" s="9">
        <f>1/COUNTIFS(Таблица1[Customer Name],Таблица1[[#This Row],[Customer Name]],Таблица1[Order-Year-Month],Таблица1[[#This Row],[Order-Year-Month]])</f>
        <v>1</v>
      </c>
    </row>
    <row r="4575" spans="1:26" x14ac:dyDescent="0.2">
      <c r="A4575" s="6">
        <v>3850</v>
      </c>
      <c r="B4575" s="7">
        <v>27461</v>
      </c>
      <c r="C4575" s="8">
        <f>DATE(2012,12,31)-1039</f>
        <v>40235</v>
      </c>
      <c r="D4575" s="8" t="str">
        <f t="shared" si="84"/>
        <v>2010-02 (февраль 2010)</v>
      </c>
      <c r="E4575" s="9" t="s">
        <v>78</v>
      </c>
      <c r="F4575" s="7">
        <v>40</v>
      </c>
      <c r="G4575" s="7">
        <v>121.92</v>
      </c>
      <c r="H4575" s="7">
        <v>0.09</v>
      </c>
      <c r="I4575" s="9" t="s">
        <v>56</v>
      </c>
      <c r="J4575" s="10">
        <v>51.23</v>
      </c>
      <c r="K4575" s="11">
        <v>2.88</v>
      </c>
      <c r="L4575" s="11">
        <v>0.5</v>
      </c>
      <c r="M4575" s="9" t="s">
        <v>1245</v>
      </c>
      <c r="N4575" s="6" t="s">
        <v>1123</v>
      </c>
      <c r="O4575" s="6" t="s">
        <v>1123</v>
      </c>
      <c r="P4575" s="9" t="s">
        <v>41</v>
      </c>
      <c r="Q4575" s="9" t="s">
        <v>26</v>
      </c>
      <c r="R4575" s="9" t="s">
        <v>88</v>
      </c>
      <c r="S4575" s="7" t="s">
        <v>328</v>
      </c>
      <c r="T4575" s="9" t="s">
        <v>39</v>
      </c>
      <c r="U4575" s="7">
        <v>0.39</v>
      </c>
      <c r="V4575" s="12">
        <f>C4575+0</f>
        <v>40235</v>
      </c>
      <c r="W4575">
        <f>IF(D4575=' Pivot Tables'!$A$4,1,0)</f>
        <v>0</v>
      </c>
      <c r="X4575">
        <f>IF(AND(LEFT(D4575,4)+1=LEFT(' Pivot Tables'!$A$4,4)+0,RIGHT(LEFT(D4575,7),2)=RIGHT(LEFT(' Pivot Tables'!$A$4,7),2)),1,0)</f>
        <v>0</v>
      </c>
      <c r="Y4575" s="6">
        <f>1/COUNTIF(Таблица1[Order ID],Таблица1[[#This Row],[Order ID]])</f>
        <v>0.5</v>
      </c>
      <c r="Z4575" s="9">
        <f>1/COUNTIFS(Таблица1[Customer Name],Таблица1[[#This Row],[Customer Name]],Таблица1[Order-Year-Month],Таблица1[[#This Row],[Order-Year-Month]])</f>
        <v>0.5</v>
      </c>
    </row>
    <row r="4576" spans="1:26" x14ac:dyDescent="0.2">
      <c r="A4576" s="6">
        <v>3851</v>
      </c>
      <c r="B4576" s="7">
        <v>27461</v>
      </c>
      <c r="C4576" s="8">
        <f>DATE(2012,12,31)-1039</f>
        <v>40235</v>
      </c>
      <c r="D4576" s="8" t="str">
        <f t="shared" si="84"/>
        <v>2010-02 (февраль 2010)</v>
      </c>
      <c r="E4576" s="9" t="s">
        <v>78</v>
      </c>
      <c r="F4576" s="7">
        <v>26</v>
      </c>
      <c r="G4576" s="7">
        <v>1096.17</v>
      </c>
      <c r="H4576" s="7">
        <v>0.01</v>
      </c>
      <c r="I4576" s="9" t="s">
        <v>22</v>
      </c>
      <c r="J4576" s="10">
        <v>110.78</v>
      </c>
      <c r="K4576" s="11">
        <v>40.99</v>
      </c>
      <c r="L4576" s="11">
        <v>19.989999999999998</v>
      </c>
      <c r="M4576" s="9" t="s">
        <v>1245</v>
      </c>
      <c r="N4576" s="6" t="s">
        <v>1123</v>
      </c>
      <c r="O4576" s="6" t="s">
        <v>1123</v>
      </c>
      <c r="P4576" s="9" t="s">
        <v>41</v>
      </c>
      <c r="Q4576" s="9" t="s">
        <v>26</v>
      </c>
      <c r="R4576" s="9" t="s">
        <v>61</v>
      </c>
      <c r="S4576" s="7" t="s">
        <v>105</v>
      </c>
      <c r="T4576" s="9" t="s">
        <v>39</v>
      </c>
      <c r="U4576" s="7">
        <v>0.36</v>
      </c>
      <c r="V4576" s="12">
        <f>C4576+0</f>
        <v>40235</v>
      </c>
      <c r="W4576">
        <f>IF(D4576=' Pivot Tables'!$A$4,1,0)</f>
        <v>0</v>
      </c>
      <c r="X4576">
        <f>IF(AND(LEFT(D4576,4)+1=LEFT(' Pivot Tables'!$A$4,4)+0,RIGHT(LEFT(D4576,7),2)=RIGHT(LEFT(' Pivot Tables'!$A$4,7),2)),1,0)</f>
        <v>0</v>
      </c>
      <c r="Y4576" s="6">
        <f>1/COUNTIF(Таблица1[Order ID],Таблица1[[#This Row],[Order ID]])</f>
        <v>0.5</v>
      </c>
      <c r="Z4576" s="9">
        <f>1/COUNTIFS(Таблица1[Customer Name],Таблица1[[#This Row],[Customer Name]],Таблица1[Order-Year-Month],Таблица1[[#This Row],[Order-Year-Month]])</f>
        <v>0.5</v>
      </c>
    </row>
    <row r="4577" spans="1:26" x14ac:dyDescent="0.2">
      <c r="A4577" s="6">
        <v>4215</v>
      </c>
      <c r="B4577" s="7">
        <v>29957</v>
      </c>
      <c r="C4577" s="8">
        <f>DATE(2012,12,31)-1024</f>
        <v>40250</v>
      </c>
      <c r="D4577" s="8" t="str">
        <f t="shared" si="84"/>
        <v>2010-03 (март 2010)</v>
      </c>
      <c r="E4577" s="9" t="s">
        <v>78</v>
      </c>
      <c r="F4577" s="7">
        <v>31</v>
      </c>
      <c r="G4577" s="7">
        <v>1447.62</v>
      </c>
      <c r="H4577" s="7">
        <v>7.0000000000000007E-2</v>
      </c>
      <c r="I4577" s="9" t="s">
        <v>22</v>
      </c>
      <c r="J4577" s="10">
        <v>576.39</v>
      </c>
      <c r="K4577" s="11">
        <v>48.04</v>
      </c>
      <c r="L4577" s="11">
        <v>7.23</v>
      </c>
      <c r="M4577" s="9" t="s">
        <v>1809</v>
      </c>
      <c r="N4577" s="6" t="s">
        <v>1123</v>
      </c>
      <c r="O4577" s="6" t="s">
        <v>1123</v>
      </c>
      <c r="P4577" s="9" t="s">
        <v>41</v>
      </c>
      <c r="Q4577" s="9" t="s">
        <v>26</v>
      </c>
      <c r="R4577" s="9" t="s">
        <v>61</v>
      </c>
      <c r="S4577" s="7" t="s">
        <v>527</v>
      </c>
      <c r="T4577" s="9" t="s">
        <v>39</v>
      </c>
      <c r="U4577" s="7">
        <v>0.37</v>
      </c>
      <c r="V4577" s="12">
        <f>C4577+1</f>
        <v>40251</v>
      </c>
      <c r="W4577">
        <f>IF(D4577=' Pivot Tables'!$A$4,1,0)</f>
        <v>0</v>
      </c>
      <c r="X4577">
        <f>IF(AND(LEFT(D4577,4)+1=LEFT(' Pivot Tables'!$A$4,4)+0,RIGHT(LEFT(D4577,7),2)=RIGHT(LEFT(' Pivot Tables'!$A$4,7),2)),1,0)</f>
        <v>0</v>
      </c>
      <c r="Y4577" s="6">
        <f>1/COUNTIF(Таблица1[Order ID],Таблица1[[#This Row],[Order ID]])</f>
        <v>0.5</v>
      </c>
      <c r="Z4577" s="9">
        <f>1/COUNTIFS(Таблица1[Customer Name],Таблица1[[#This Row],[Customer Name]],Таблица1[Order-Year-Month],Таблица1[[#This Row],[Order-Year-Month]])</f>
        <v>0.5</v>
      </c>
    </row>
    <row r="4578" spans="1:26" x14ac:dyDescent="0.2">
      <c r="A4578" s="6">
        <v>4295</v>
      </c>
      <c r="B4578" s="7">
        <v>30593</v>
      </c>
      <c r="C4578" s="8">
        <f>DATE(2012,12,31)-525</f>
        <v>40749</v>
      </c>
      <c r="D4578" s="8" t="str">
        <f t="shared" si="84"/>
        <v>2011-07 (июль 2011)</v>
      </c>
      <c r="E4578" s="9" t="s">
        <v>78</v>
      </c>
      <c r="F4578" s="7">
        <v>20</v>
      </c>
      <c r="G4578" s="7">
        <v>97.65</v>
      </c>
      <c r="H4578" s="7">
        <v>0.04</v>
      </c>
      <c r="I4578" s="9" t="s">
        <v>56</v>
      </c>
      <c r="J4578" s="10">
        <v>-90.07</v>
      </c>
      <c r="K4578" s="11">
        <v>4.18</v>
      </c>
      <c r="L4578" s="11">
        <v>6.92</v>
      </c>
      <c r="M4578" s="9" t="s">
        <v>830</v>
      </c>
      <c r="N4578" s="6" t="s">
        <v>1123</v>
      </c>
      <c r="O4578" s="6" t="s">
        <v>1123</v>
      </c>
      <c r="P4578" s="9" t="s">
        <v>25</v>
      </c>
      <c r="Q4578" s="9" t="s">
        <v>49</v>
      </c>
      <c r="R4578" s="9" t="s">
        <v>50</v>
      </c>
      <c r="S4578" s="7" t="s">
        <v>980</v>
      </c>
      <c r="T4578" s="9" t="s">
        <v>39</v>
      </c>
      <c r="U4578" s="7">
        <v>0.49</v>
      </c>
      <c r="V4578" s="12">
        <f>C4578+2</f>
        <v>40751</v>
      </c>
      <c r="W4578">
        <f>IF(D4578=' Pivot Tables'!$A$4,1,0)</f>
        <v>0</v>
      </c>
      <c r="X4578">
        <f>IF(AND(LEFT(D4578,4)+1=LEFT(' Pivot Tables'!$A$4,4)+0,RIGHT(LEFT(D4578,7),2)=RIGHT(LEFT(' Pivot Tables'!$A$4,7),2)),1,0)</f>
        <v>0</v>
      </c>
      <c r="Y4578" s="6">
        <f>1/COUNTIF(Таблица1[Order ID],Таблица1[[#This Row],[Order ID]])</f>
        <v>0.5</v>
      </c>
      <c r="Z4578" s="9">
        <f>1/COUNTIFS(Таблица1[Customer Name],Таблица1[[#This Row],[Customer Name]],Таблица1[Order-Year-Month],Таблица1[[#This Row],[Order-Year-Month]])</f>
        <v>0.5</v>
      </c>
    </row>
    <row r="4579" spans="1:26" x14ac:dyDescent="0.2">
      <c r="A4579" s="6">
        <v>4296</v>
      </c>
      <c r="B4579" s="7">
        <v>30593</v>
      </c>
      <c r="C4579" s="8">
        <f>DATE(2012,12,31)-525</f>
        <v>40749</v>
      </c>
      <c r="D4579" s="8" t="str">
        <f t="shared" si="84"/>
        <v>2011-07 (июль 2011)</v>
      </c>
      <c r="E4579" s="9" t="s">
        <v>78</v>
      </c>
      <c r="F4579" s="7">
        <v>41</v>
      </c>
      <c r="G4579" s="7">
        <v>1408.34</v>
      </c>
      <c r="H4579" s="7">
        <v>0.06</v>
      </c>
      <c r="I4579" s="9" t="s">
        <v>22</v>
      </c>
      <c r="J4579" s="10">
        <v>176.63</v>
      </c>
      <c r="K4579" s="11">
        <v>34.58</v>
      </c>
      <c r="L4579" s="11">
        <v>8.99</v>
      </c>
      <c r="M4579" s="9" t="s">
        <v>830</v>
      </c>
      <c r="N4579" s="6" t="s">
        <v>1123</v>
      </c>
      <c r="O4579" s="6" t="s">
        <v>1123</v>
      </c>
      <c r="P4579" s="9" t="s">
        <v>25</v>
      </c>
      <c r="Q4579" s="9" t="s">
        <v>26</v>
      </c>
      <c r="R4579" s="9" t="s">
        <v>95</v>
      </c>
      <c r="S4579" s="7" t="s">
        <v>713</v>
      </c>
      <c r="T4579" s="9" t="s">
        <v>52</v>
      </c>
      <c r="U4579" s="7">
        <v>0.56000000000000005</v>
      </c>
      <c r="V4579" s="12">
        <f>C4579+3</f>
        <v>40752</v>
      </c>
      <c r="W4579">
        <f>IF(D4579=' Pivot Tables'!$A$4,1,0)</f>
        <v>0</v>
      </c>
      <c r="X4579">
        <f>IF(AND(LEFT(D4579,4)+1=LEFT(' Pivot Tables'!$A$4,4)+0,RIGHT(LEFT(D4579,7),2)=RIGHT(LEFT(' Pivot Tables'!$A$4,7),2)),1,0)</f>
        <v>0</v>
      </c>
      <c r="Y4579" s="6">
        <f>1/COUNTIF(Таблица1[Order ID],Таблица1[[#This Row],[Order ID]])</f>
        <v>0.5</v>
      </c>
      <c r="Z4579" s="9">
        <f>1/COUNTIFS(Таблица1[Customer Name],Таблица1[[#This Row],[Customer Name]],Таблица1[Order-Year-Month],Таблица1[[#This Row],[Order-Year-Month]])</f>
        <v>0.5</v>
      </c>
    </row>
    <row r="4580" spans="1:26" x14ac:dyDescent="0.2">
      <c r="A4580" s="6">
        <v>4617</v>
      </c>
      <c r="B4580" s="7">
        <v>32871</v>
      </c>
      <c r="C4580" s="8">
        <f>DATE(2012,12,31)-66</f>
        <v>41208</v>
      </c>
      <c r="D4580" s="8" t="str">
        <f t="shared" si="84"/>
        <v>2012-10 (октябрь 2012)</v>
      </c>
      <c r="E4580" s="9" t="s">
        <v>30</v>
      </c>
      <c r="F4580" s="7">
        <v>9</v>
      </c>
      <c r="G4580" s="7">
        <v>107.92</v>
      </c>
      <c r="H4580" s="7">
        <v>0.04</v>
      </c>
      <c r="I4580" s="9" t="s">
        <v>22</v>
      </c>
      <c r="J4580" s="10">
        <v>-57.65</v>
      </c>
      <c r="K4580" s="11">
        <v>10.97</v>
      </c>
      <c r="L4580" s="11">
        <v>6.5</v>
      </c>
      <c r="M4580" s="9" t="s">
        <v>830</v>
      </c>
      <c r="N4580" s="6" t="s">
        <v>1123</v>
      </c>
      <c r="O4580" s="6" t="s">
        <v>1123</v>
      </c>
      <c r="P4580" s="9" t="s">
        <v>25</v>
      </c>
      <c r="Q4580" s="9" t="s">
        <v>42</v>
      </c>
      <c r="R4580" s="9" t="s">
        <v>70</v>
      </c>
      <c r="S4580" s="7" t="s">
        <v>336</v>
      </c>
      <c r="T4580" s="9" t="s">
        <v>39</v>
      </c>
      <c r="U4580" s="7">
        <v>0.64</v>
      </c>
      <c r="V4580" s="12">
        <f>C4580+2</f>
        <v>41210</v>
      </c>
      <c r="W4580">
        <f>IF(D4580=' Pivot Tables'!$A$4,1,0)</f>
        <v>0</v>
      </c>
      <c r="X4580">
        <f>IF(AND(LEFT(D4580,4)+1=LEFT(' Pivot Tables'!$A$4,4)+0,RIGHT(LEFT(D4580,7),2)=RIGHT(LEFT(' Pivot Tables'!$A$4,7),2)),1,0)</f>
        <v>0</v>
      </c>
      <c r="Y4580" s="6">
        <f>1/COUNTIF(Таблица1[Order ID],Таблица1[[#This Row],[Order ID]])</f>
        <v>0.33333333333333331</v>
      </c>
      <c r="Z4580" s="9">
        <f>1/COUNTIFS(Таблица1[Customer Name],Таблица1[[#This Row],[Customer Name]],Таблица1[Order-Year-Month],Таблица1[[#This Row],[Order-Year-Month]])</f>
        <v>0.33333333333333331</v>
      </c>
    </row>
    <row r="4581" spans="1:26" x14ac:dyDescent="0.2">
      <c r="A4581" s="6">
        <v>4618</v>
      </c>
      <c r="B4581" s="7">
        <v>32871</v>
      </c>
      <c r="C4581" s="8">
        <f>DATE(2012,12,31)-66</f>
        <v>41208</v>
      </c>
      <c r="D4581" s="8" t="str">
        <f t="shared" si="84"/>
        <v>2012-10 (октябрь 2012)</v>
      </c>
      <c r="E4581" s="9" t="s">
        <v>30</v>
      </c>
      <c r="F4581" s="7">
        <v>14</v>
      </c>
      <c r="G4581" s="7">
        <v>2151.08</v>
      </c>
      <c r="H4581" s="7">
        <v>0.03</v>
      </c>
      <c r="I4581" s="9" t="s">
        <v>31</v>
      </c>
      <c r="J4581" s="10">
        <v>179.05</v>
      </c>
      <c r="K4581" s="11">
        <v>145.44999999999999</v>
      </c>
      <c r="L4581" s="11">
        <v>17.850000000000001</v>
      </c>
      <c r="M4581" s="9" t="s">
        <v>830</v>
      </c>
      <c r="N4581" s="6" t="s">
        <v>1123</v>
      </c>
      <c r="O4581" s="6" t="s">
        <v>1123</v>
      </c>
      <c r="P4581" s="9" t="s">
        <v>25</v>
      </c>
      <c r="Q4581" s="9" t="s">
        <v>42</v>
      </c>
      <c r="R4581" s="9" t="s">
        <v>210</v>
      </c>
      <c r="S4581" s="7" t="s">
        <v>234</v>
      </c>
      <c r="T4581" s="9" t="s">
        <v>36</v>
      </c>
      <c r="U4581" s="7">
        <v>0.56000000000000005</v>
      </c>
      <c r="V4581" s="12">
        <f>C4581+2</f>
        <v>41210</v>
      </c>
      <c r="W4581">
        <f>IF(D4581=' Pivot Tables'!$A$4,1,0)</f>
        <v>0</v>
      </c>
      <c r="X4581">
        <f>IF(AND(LEFT(D4581,4)+1=LEFT(' Pivot Tables'!$A$4,4)+0,RIGHT(LEFT(D4581,7),2)=RIGHT(LEFT(' Pivot Tables'!$A$4,7),2)),1,0)</f>
        <v>0</v>
      </c>
      <c r="Y4581" s="6">
        <f>1/COUNTIF(Таблица1[Order ID],Таблица1[[#This Row],[Order ID]])</f>
        <v>0.33333333333333331</v>
      </c>
      <c r="Z4581" s="9">
        <f>1/COUNTIFS(Таблица1[Customer Name],Таблица1[[#This Row],[Customer Name]],Таблица1[Order-Year-Month],Таблица1[[#This Row],[Order-Year-Month]])</f>
        <v>0.33333333333333331</v>
      </c>
    </row>
    <row r="4582" spans="1:26" x14ac:dyDescent="0.2">
      <c r="A4582" s="6">
        <v>5034</v>
      </c>
      <c r="B4582" s="7">
        <v>35878</v>
      </c>
      <c r="C4582" s="8">
        <f>DATE(2012,12,31)-871</f>
        <v>40403</v>
      </c>
      <c r="D4582" s="8" t="str">
        <f t="shared" si="84"/>
        <v>2010-08 (август 2010)</v>
      </c>
      <c r="E4582" s="9" t="s">
        <v>63</v>
      </c>
      <c r="F4582" s="7">
        <v>11</v>
      </c>
      <c r="G4582" s="7">
        <v>485.46</v>
      </c>
      <c r="H4582" s="7">
        <v>0.03</v>
      </c>
      <c r="I4582" s="9" t="s">
        <v>22</v>
      </c>
      <c r="J4582" s="10">
        <v>48.88</v>
      </c>
      <c r="K4582" s="11">
        <v>40.99</v>
      </c>
      <c r="L4582" s="11">
        <v>17.48</v>
      </c>
      <c r="M4582" s="9" t="s">
        <v>1364</v>
      </c>
      <c r="N4582" s="6" t="s">
        <v>1123</v>
      </c>
      <c r="O4582" s="6" t="s">
        <v>1123</v>
      </c>
      <c r="P4582" s="9" t="s">
        <v>41</v>
      </c>
      <c r="Q4582" s="9" t="s">
        <v>26</v>
      </c>
      <c r="R4582" s="9" t="s">
        <v>61</v>
      </c>
      <c r="S4582" s="7" t="s">
        <v>236</v>
      </c>
      <c r="T4582" s="9" t="s">
        <v>39</v>
      </c>
      <c r="U4582" s="7">
        <v>0.36</v>
      </c>
      <c r="V4582" s="12">
        <f>C4582+1</f>
        <v>40404</v>
      </c>
      <c r="W4582">
        <f>IF(D4582=' Pivot Tables'!$A$4,1,0)</f>
        <v>0</v>
      </c>
      <c r="X4582">
        <f>IF(AND(LEFT(D4582,4)+1=LEFT(' Pivot Tables'!$A$4,4)+0,RIGHT(LEFT(D4582,7),2)=RIGHT(LEFT(' Pivot Tables'!$A$4,7),2)),1,0)</f>
        <v>0</v>
      </c>
      <c r="Y4582" s="6">
        <f>1/COUNTIF(Таблица1[Order ID],Таблица1[[#This Row],[Order ID]])</f>
        <v>0.5</v>
      </c>
      <c r="Z4582" s="9">
        <f>1/COUNTIFS(Таблица1[Customer Name],Таблица1[[#This Row],[Customer Name]],Таблица1[Order-Year-Month],Таблица1[[#This Row],[Order-Year-Month]])</f>
        <v>0.5</v>
      </c>
    </row>
    <row r="4583" spans="1:26" x14ac:dyDescent="0.2">
      <c r="A4583" s="6">
        <v>5339</v>
      </c>
      <c r="B4583" s="7">
        <v>37924</v>
      </c>
      <c r="C4583" s="8">
        <f>DATE(2012,12,31)-1128</f>
        <v>40146</v>
      </c>
      <c r="D4583" s="8" t="str">
        <f t="shared" si="84"/>
        <v>2009-11 (ноябрь 2009)</v>
      </c>
      <c r="E4583" s="9" t="s">
        <v>30</v>
      </c>
      <c r="F4583" s="7">
        <v>21</v>
      </c>
      <c r="G4583" s="7">
        <v>352.44</v>
      </c>
      <c r="H4583" s="7">
        <v>0.09</v>
      </c>
      <c r="I4583" s="9" t="s">
        <v>22</v>
      </c>
      <c r="J4583" s="10">
        <v>-80.53</v>
      </c>
      <c r="K4583" s="11">
        <v>17.989999999999998</v>
      </c>
      <c r="L4583" s="11">
        <v>8.65</v>
      </c>
      <c r="M4583" s="9" t="s">
        <v>1810</v>
      </c>
      <c r="N4583" s="6" t="s">
        <v>1123</v>
      </c>
      <c r="O4583" s="6" t="s">
        <v>1123</v>
      </c>
      <c r="P4583" s="9" t="s">
        <v>60</v>
      </c>
      <c r="Q4583" s="9" t="s">
        <v>26</v>
      </c>
      <c r="R4583" s="9" t="s">
        <v>95</v>
      </c>
      <c r="S4583" s="7" t="s">
        <v>1050</v>
      </c>
      <c r="T4583" s="9" t="s">
        <v>39</v>
      </c>
      <c r="U4583" s="7">
        <v>0.56999999999999995</v>
      </c>
      <c r="V4583" s="12">
        <f>C4583+0</f>
        <v>40146</v>
      </c>
      <c r="W4583">
        <f>IF(D4583=' Pivot Tables'!$A$4,1,0)</f>
        <v>0</v>
      </c>
      <c r="X4583">
        <f>IF(AND(LEFT(D4583,4)+1=LEFT(' Pivot Tables'!$A$4,4)+0,RIGHT(LEFT(D4583,7),2)=RIGHT(LEFT(' Pivot Tables'!$A$4,7),2)),1,0)</f>
        <v>0</v>
      </c>
      <c r="Y4583" s="6">
        <f>1/COUNTIF(Таблица1[Order ID],Таблица1[[#This Row],[Order ID]])</f>
        <v>0.5</v>
      </c>
      <c r="Z4583" s="9">
        <f>1/COUNTIFS(Таблица1[Customer Name],Таблица1[[#This Row],[Customer Name]],Таблица1[Order-Year-Month],Таблица1[[#This Row],[Order-Year-Month]])</f>
        <v>0.5</v>
      </c>
    </row>
    <row r="4584" spans="1:26" x14ac:dyDescent="0.2">
      <c r="A4584" s="6">
        <v>5401</v>
      </c>
      <c r="B4584" s="7">
        <v>38400</v>
      </c>
      <c r="C4584" s="8">
        <f>DATE(2012,12,31)-1113</f>
        <v>40161</v>
      </c>
      <c r="D4584" s="8" t="str">
        <f t="shared" si="84"/>
        <v>2009-12 (декабрь 2009)</v>
      </c>
      <c r="E4584" s="9" t="s">
        <v>45</v>
      </c>
      <c r="F4584" s="7">
        <v>8</v>
      </c>
      <c r="G4584" s="7">
        <v>114.73</v>
      </c>
      <c r="H4584" s="7">
        <v>0.03</v>
      </c>
      <c r="I4584" s="9" t="s">
        <v>56</v>
      </c>
      <c r="J4584" s="10">
        <v>28.08</v>
      </c>
      <c r="K4584" s="11">
        <v>13.73</v>
      </c>
      <c r="L4584" s="11">
        <v>6.85</v>
      </c>
      <c r="M4584" s="9" t="s">
        <v>1245</v>
      </c>
      <c r="N4584" s="6" t="s">
        <v>1123</v>
      </c>
      <c r="O4584" s="6" t="s">
        <v>1123</v>
      </c>
      <c r="P4584" s="9" t="s">
        <v>41</v>
      </c>
      <c r="Q4584" s="9" t="s">
        <v>49</v>
      </c>
      <c r="R4584" s="9" t="s">
        <v>50</v>
      </c>
      <c r="S4584" s="7" t="s">
        <v>1058</v>
      </c>
      <c r="T4584" s="9" t="s">
        <v>68</v>
      </c>
      <c r="U4584" s="7">
        <v>0.54</v>
      </c>
      <c r="V4584" s="12">
        <f>C4584+1</f>
        <v>40162</v>
      </c>
      <c r="W4584">
        <f>IF(D4584=' Pivot Tables'!$A$4,1,0)</f>
        <v>0</v>
      </c>
      <c r="X4584">
        <f>IF(AND(LEFT(D4584,4)+1=LEFT(' Pivot Tables'!$A$4,4)+0,RIGHT(LEFT(D4584,7),2)=RIGHT(LEFT(' Pivot Tables'!$A$4,7),2)),1,0)</f>
        <v>0</v>
      </c>
      <c r="Y4584" s="6">
        <f>1/COUNTIF(Таблица1[Order ID],Таблица1[[#This Row],[Order ID]])</f>
        <v>1</v>
      </c>
      <c r="Z4584" s="9">
        <f>1/COUNTIFS(Таблица1[Customer Name],Таблица1[[#This Row],[Customer Name]],Таблица1[Order-Year-Month],Таблица1[[#This Row],[Order-Year-Month]])</f>
        <v>1</v>
      </c>
    </row>
    <row r="4585" spans="1:26" x14ac:dyDescent="0.2">
      <c r="A4585" s="6">
        <v>5413</v>
      </c>
      <c r="B4585" s="7">
        <v>38498</v>
      </c>
      <c r="C4585" s="8">
        <f>DATE(2012,12,31)-248</f>
        <v>41026</v>
      </c>
      <c r="D4585" s="8" t="str">
        <f t="shared" si="84"/>
        <v>2012-04 (апрель 2012)</v>
      </c>
      <c r="E4585" s="9" t="s">
        <v>78</v>
      </c>
      <c r="F4585" s="7">
        <v>30</v>
      </c>
      <c r="G4585" s="7">
        <v>3295.15</v>
      </c>
      <c r="H4585" s="7">
        <v>7.0000000000000007E-2</v>
      </c>
      <c r="I4585" s="9" t="s">
        <v>22</v>
      </c>
      <c r="J4585" s="10">
        <v>1070.18</v>
      </c>
      <c r="K4585" s="11">
        <v>115.79</v>
      </c>
      <c r="L4585" s="11">
        <v>1.99</v>
      </c>
      <c r="M4585" s="9" t="s">
        <v>102</v>
      </c>
      <c r="N4585" s="6" t="s">
        <v>1123</v>
      </c>
      <c r="O4585" s="6" t="s">
        <v>1123</v>
      </c>
      <c r="P4585" s="9" t="s">
        <v>41</v>
      </c>
      <c r="Q4585" s="9" t="s">
        <v>42</v>
      </c>
      <c r="R4585" s="9" t="s">
        <v>70</v>
      </c>
      <c r="S4585" s="7" t="s">
        <v>1047</v>
      </c>
      <c r="T4585" s="9" t="s">
        <v>52</v>
      </c>
      <c r="U4585" s="7">
        <v>0.49</v>
      </c>
      <c r="V4585" s="12">
        <f>C4585+2</f>
        <v>41028</v>
      </c>
      <c r="W4585">
        <f>IF(D4585=' Pivot Tables'!$A$4,1,0)</f>
        <v>0</v>
      </c>
      <c r="X4585">
        <f>IF(AND(LEFT(D4585,4)+1=LEFT(' Pivot Tables'!$A$4,4)+0,RIGHT(LEFT(D4585,7),2)=RIGHT(LEFT(' Pivot Tables'!$A$4,7),2)),1,0)</f>
        <v>0</v>
      </c>
      <c r="Y4585" s="6">
        <f>1/COUNTIF(Таблица1[Order ID],Таблица1[[#This Row],[Order ID]])</f>
        <v>0.5</v>
      </c>
      <c r="Z4585" s="9">
        <f>1/COUNTIFS(Таблица1[Customer Name],Таблица1[[#This Row],[Customer Name]],Таблица1[Order-Year-Month],Таблица1[[#This Row],[Order-Year-Month]])</f>
        <v>0.5</v>
      </c>
    </row>
    <row r="4586" spans="1:26" x14ac:dyDescent="0.2">
      <c r="A4586" s="6">
        <v>5414</v>
      </c>
      <c r="B4586" s="7">
        <v>38498</v>
      </c>
      <c r="C4586" s="8">
        <f>DATE(2012,12,31)-248</f>
        <v>41026</v>
      </c>
      <c r="D4586" s="8" t="str">
        <f t="shared" si="84"/>
        <v>2012-04 (апрель 2012)</v>
      </c>
      <c r="E4586" s="9" t="s">
        <v>78</v>
      </c>
      <c r="F4586" s="7">
        <v>1</v>
      </c>
      <c r="G4586" s="7">
        <v>43.9</v>
      </c>
      <c r="H4586" s="7">
        <v>0.02</v>
      </c>
      <c r="I4586" s="9" t="s">
        <v>22</v>
      </c>
      <c r="J4586" s="10">
        <v>-15.03</v>
      </c>
      <c r="K4586" s="11">
        <v>37.44</v>
      </c>
      <c r="L4586" s="11">
        <v>4.2699999999999996</v>
      </c>
      <c r="M4586" s="9" t="s">
        <v>102</v>
      </c>
      <c r="N4586" s="6" t="s">
        <v>1123</v>
      </c>
      <c r="O4586" s="6" t="s">
        <v>1123</v>
      </c>
      <c r="P4586" s="9" t="s">
        <v>41</v>
      </c>
      <c r="Q4586" s="9" t="s">
        <v>26</v>
      </c>
      <c r="R4586" s="9" t="s">
        <v>95</v>
      </c>
      <c r="S4586" s="7" t="s">
        <v>1811</v>
      </c>
      <c r="T4586" s="9" t="s">
        <v>68</v>
      </c>
      <c r="U4586" s="7">
        <v>0.46</v>
      </c>
      <c r="V4586" s="12">
        <f>C4586+3</f>
        <v>41029</v>
      </c>
      <c r="W4586">
        <f>IF(D4586=' Pivot Tables'!$A$4,1,0)</f>
        <v>0</v>
      </c>
      <c r="X4586">
        <f>IF(AND(LEFT(D4586,4)+1=LEFT(' Pivot Tables'!$A$4,4)+0,RIGHT(LEFT(D4586,7),2)=RIGHT(LEFT(' Pivot Tables'!$A$4,7),2)),1,0)</f>
        <v>0</v>
      </c>
      <c r="Y4586" s="6">
        <f>1/COUNTIF(Таблица1[Order ID],Таблица1[[#This Row],[Order ID]])</f>
        <v>0.5</v>
      </c>
      <c r="Z4586" s="9">
        <f>1/COUNTIFS(Таблица1[Customer Name],Таблица1[[#This Row],[Customer Name]],Таблица1[Order-Year-Month],Таблица1[[#This Row],[Order-Year-Month]])</f>
        <v>0.5</v>
      </c>
    </row>
    <row r="4587" spans="1:26" x14ac:dyDescent="0.2">
      <c r="A4587" s="6">
        <v>5575</v>
      </c>
      <c r="B4587" s="7">
        <v>39492</v>
      </c>
      <c r="C4587" s="8">
        <f>DATE(2012,12,31)-624</f>
        <v>40650</v>
      </c>
      <c r="D4587" s="8" t="str">
        <f t="shared" si="84"/>
        <v>2011-04 (апрель 2011)</v>
      </c>
      <c r="E4587" s="9" t="s">
        <v>45</v>
      </c>
      <c r="F4587" s="7">
        <v>38</v>
      </c>
      <c r="G4587" s="7">
        <v>1541.92</v>
      </c>
      <c r="H4587" s="7">
        <v>0.03</v>
      </c>
      <c r="I4587" s="9" t="s">
        <v>22</v>
      </c>
      <c r="J4587" s="10">
        <v>-564.05999999999995</v>
      </c>
      <c r="K4587" s="11">
        <v>40.479999999999997</v>
      </c>
      <c r="L4587" s="11">
        <v>19.989999999999998</v>
      </c>
      <c r="M4587" s="9" t="s">
        <v>1807</v>
      </c>
      <c r="N4587" s="6" t="s">
        <v>1123</v>
      </c>
      <c r="O4587" s="6" t="s">
        <v>1123</v>
      </c>
      <c r="P4587" s="9" t="s">
        <v>41</v>
      </c>
      <c r="Q4587" s="9" t="s">
        <v>42</v>
      </c>
      <c r="R4587" s="9" t="s">
        <v>70</v>
      </c>
      <c r="S4587" s="7" t="s">
        <v>549</v>
      </c>
      <c r="T4587" s="9" t="s">
        <v>39</v>
      </c>
      <c r="U4587" s="7">
        <v>0.77</v>
      </c>
      <c r="V4587" s="12">
        <f>C4587+2</f>
        <v>40652</v>
      </c>
      <c r="W4587">
        <f>IF(D4587=' Pivot Tables'!$A$4,1,0)</f>
        <v>0</v>
      </c>
      <c r="X4587">
        <f>IF(AND(LEFT(D4587,4)+1=LEFT(' Pivot Tables'!$A$4,4)+0,RIGHT(LEFT(D4587,7),2)=RIGHT(LEFT(' Pivot Tables'!$A$4,7),2)),1,0)</f>
        <v>0</v>
      </c>
      <c r="Y4587" s="6">
        <f>1/COUNTIF(Таблица1[Order ID],Таблица1[[#This Row],[Order ID]])</f>
        <v>0.33333333333333331</v>
      </c>
      <c r="Z4587" s="9">
        <f>1/COUNTIFS(Таблица1[Customer Name],Таблица1[[#This Row],[Customer Name]],Таблица1[Order-Year-Month],Таблица1[[#This Row],[Order-Year-Month]])</f>
        <v>0.33333333333333331</v>
      </c>
    </row>
    <row r="4588" spans="1:26" x14ac:dyDescent="0.2">
      <c r="A4588" s="6">
        <v>5576</v>
      </c>
      <c r="B4588" s="7">
        <v>39492</v>
      </c>
      <c r="C4588" s="8">
        <f>DATE(2012,12,31)-624</f>
        <v>40650</v>
      </c>
      <c r="D4588" s="8" t="str">
        <f t="shared" si="84"/>
        <v>2011-04 (апрель 2011)</v>
      </c>
      <c r="E4588" s="9" t="s">
        <v>45</v>
      </c>
      <c r="F4588" s="7">
        <v>40</v>
      </c>
      <c r="G4588" s="7">
        <v>169.48</v>
      </c>
      <c r="H4588" s="7">
        <v>0.08</v>
      </c>
      <c r="I4588" s="9" t="s">
        <v>22</v>
      </c>
      <c r="J4588" s="10">
        <v>-134.76</v>
      </c>
      <c r="K4588" s="11">
        <v>4.28</v>
      </c>
      <c r="L4588" s="11">
        <v>5.68</v>
      </c>
      <c r="M4588" s="9" t="s">
        <v>1807</v>
      </c>
      <c r="N4588" s="6" t="s">
        <v>1123</v>
      </c>
      <c r="O4588" s="6" t="s">
        <v>1123</v>
      </c>
      <c r="P4588" s="9" t="s">
        <v>41</v>
      </c>
      <c r="Q4588" s="9" t="s">
        <v>26</v>
      </c>
      <c r="R4588" s="9" t="s">
        <v>61</v>
      </c>
      <c r="S4588" s="7" t="s">
        <v>838</v>
      </c>
      <c r="T4588" s="9" t="s">
        <v>39</v>
      </c>
      <c r="U4588" s="7">
        <v>0.4</v>
      </c>
      <c r="V4588" s="12">
        <f>C4588+2</f>
        <v>40652</v>
      </c>
      <c r="W4588">
        <f>IF(D4588=' Pivot Tables'!$A$4,1,0)</f>
        <v>0</v>
      </c>
      <c r="X4588">
        <f>IF(AND(LEFT(D4588,4)+1=LEFT(' Pivot Tables'!$A$4,4)+0,RIGHT(LEFT(D4588,7),2)=RIGHT(LEFT(' Pivot Tables'!$A$4,7),2)),1,0)</f>
        <v>0</v>
      </c>
      <c r="Y4588" s="6">
        <f>1/COUNTIF(Таблица1[Order ID],Таблица1[[#This Row],[Order ID]])</f>
        <v>0.33333333333333331</v>
      </c>
      <c r="Z4588" s="9">
        <f>1/COUNTIFS(Таблица1[Customer Name],Таблица1[[#This Row],[Customer Name]],Таблица1[Order-Year-Month],Таблица1[[#This Row],[Order-Year-Month]])</f>
        <v>0.33333333333333331</v>
      </c>
    </row>
    <row r="4589" spans="1:26" x14ac:dyDescent="0.2">
      <c r="A4589" s="6">
        <v>5602</v>
      </c>
      <c r="B4589" s="7">
        <v>39686</v>
      </c>
      <c r="C4589" s="8">
        <f>DATE(2012,12,31)-206</f>
        <v>41068</v>
      </c>
      <c r="D4589" s="8" t="str">
        <f t="shared" si="84"/>
        <v>2012-06 (июнь 2012)</v>
      </c>
      <c r="E4589" s="9" t="s">
        <v>45</v>
      </c>
      <c r="F4589" s="7">
        <v>2</v>
      </c>
      <c r="G4589" s="7">
        <v>738.8</v>
      </c>
      <c r="H4589" s="7">
        <v>0.06</v>
      </c>
      <c r="I4589" s="9" t="s">
        <v>31</v>
      </c>
      <c r="J4589" s="10">
        <v>-473.66</v>
      </c>
      <c r="K4589" s="11">
        <v>328.14</v>
      </c>
      <c r="L4589" s="11">
        <v>91.05</v>
      </c>
      <c r="M4589" s="9" t="s">
        <v>1810</v>
      </c>
      <c r="N4589" s="6" t="s">
        <v>1123</v>
      </c>
      <c r="O4589" s="6" t="s">
        <v>1123</v>
      </c>
      <c r="P4589" s="9" t="s">
        <v>60</v>
      </c>
      <c r="Q4589" s="9" t="s">
        <v>26</v>
      </c>
      <c r="R4589" s="9" t="s">
        <v>34</v>
      </c>
      <c r="S4589" s="7" t="s">
        <v>1175</v>
      </c>
      <c r="T4589" s="9" t="s">
        <v>36</v>
      </c>
      <c r="U4589" s="7">
        <v>0.56999999999999995</v>
      </c>
      <c r="V4589" s="12">
        <f>C4589+1</f>
        <v>41069</v>
      </c>
      <c r="W4589">
        <f>IF(D4589=' Pivot Tables'!$A$4,1,0)</f>
        <v>0</v>
      </c>
      <c r="X4589">
        <f>IF(AND(LEFT(D4589,4)+1=LEFT(' Pivot Tables'!$A$4,4)+0,RIGHT(LEFT(D4589,7),2)=RIGHT(LEFT(' Pivot Tables'!$A$4,7),2)),1,0)</f>
        <v>0</v>
      </c>
      <c r="Y4589" s="6">
        <f>1/COUNTIF(Таблица1[Order ID],Таблица1[[#This Row],[Order ID]])</f>
        <v>0.5</v>
      </c>
      <c r="Z4589" s="9">
        <f>1/COUNTIFS(Таблица1[Customer Name],Таблица1[[#This Row],[Customer Name]],Таблица1[Order-Year-Month],Таблица1[[#This Row],[Order-Year-Month]])</f>
        <v>0.5</v>
      </c>
    </row>
    <row r="4590" spans="1:26" x14ac:dyDescent="0.2">
      <c r="A4590" s="6">
        <v>5603</v>
      </c>
      <c r="B4590" s="7">
        <v>39686</v>
      </c>
      <c r="C4590" s="8">
        <f>DATE(2012,12,31)-206</f>
        <v>41068</v>
      </c>
      <c r="D4590" s="8" t="str">
        <f t="shared" si="84"/>
        <v>2012-06 (июнь 2012)</v>
      </c>
      <c r="E4590" s="9" t="s">
        <v>45</v>
      </c>
      <c r="F4590" s="7">
        <v>48</v>
      </c>
      <c r="G4590" s="7">
        <v>2750.7105000000001</v>
      </c>
      <c r="H4590" s="7">
        <v>0</v>
      </c>
      <c r="I4590" s="9" t="s">
        <v>22</v>
      </c>
      <c r="J4590" s="10">
        <v>791.90099999999995</v>
      </c>
      <c r="K4590" s="11">
        <v>65.989999999999995</v>
      </c>
      <c r="L4590" s="11">
        <v>5.26</v>
      </c>
      <c r="M4590" s="9" t="s">
        <v>1810</v>
      </c>
      <c r="N4590" s="6" t="s">
        <v>1123</v>
      </c>
      <c r="O4590" s="6" t="s">
        <v>1123</v>
      </c>
      <c r="P4590" s="9" t="s">
        <v>60</v>
      </c>
      <c r="Q4590" s="9" t="s">
        <v>42</v>
      </c>
      <c r="R4590" s="9" t="s">
        <v>43</v>
      </c>
      <c r="S4590" s="7" t="s">
        <v>390</v>
      </c>
      <c r="T4590" s="9" t="s">
        <v>39</v>
      </c>
      <c r="U4590" s="7">
        <v>0.56000000000000005</v>
      </c>
      <c r="V4590" s="12">
        <f>C4590+1</f>
        <v>41069</v>
      </c>
      <c r="W4590">
        <f>IF(D4590=' Pivot Tables'!$A$4,1,0)</f>
        <v>0</v>
      </c>
      <c r="X4590">
        <f>IF(AND(LEFT(D4590,4)+1=LEFT(' Pivot Tables'!$A$4,4)+0,RIGHT(LEFT(D4590,7),2)=RIGHT(LEFT(' Pivot Tables'!$A$4,7),2)),1,0)</f>
        <v>0</v>
      </c>
      <c r="Y4590" s="6">
        <f>1/COUNTIF(Таблица1[Order ID],Таблица1[[#This Row],[Order ID]])</f>
        <v>0.5</v>
      </c>
      <c r="Z4590" s="9">
        <f>1/COUNTIFS(Таблица1[Customer Name],Таблица1[[#This Row],[Customer Name]],Таблица1[Order-Year-Month],Таблица1[[#This Row],[Order-Year-Month]])</f>
        <v>0.5</v>
      </c>
    </row>
    <row r="4591" spans="1:26" x14ac:dyDescent="0.2">
      <c r="A4591" s="6">
        <v>6028</v>
      </c>
      <c r="B4591" s="7">
        <v>42693</v>
      </c>
      <c r="C4591" s="8">
        <f>DATE(2012,12,31)-1367</f>
        <v>39907</v>
      </c>
      <c r="D4591" s="8" t="str">
        <f t="shared" si="84"/>
        <v>2009-04 (апрель 2009)</v>
      </c>
      <c r="E4591" s="9" t="s">
        <v>30</v>
      </c>
      <c r="F4591" s="7">
        <v>33</v>
      </c>
      <c r="G4591" s="7">
        <v>2118.2600000000002</v>
      </c>
      <c r="H4591" s="7">
        <v>0.01</v>
      </c>
      <c r="I4591" s="9" t="s">
        <v>22</v>
      </c>
      <c r="J4591" s="10">
        <v>554.22</v>
      </c>
      <c r="K4591" s="11">
        <v>59.76</v>
      </c>
      <c r="L4591" s="11">
        <v>9.7100000000000009</v>
      </c>
      <c r="M4591" s="9" t="s">
        <v>1809</v>
      </c>
      <c r="N4591" s="6" t="s">
        <v>1123</v>
      </c>
      <c r="O4591" s="6" t="s">
        <v>1123</v>
      </c>
      <c r="P4591" s="9" t="s">
        <v>41</v>
      </c>
      <c r="Q4591" s="9" t="s">
        <v>26</v>
      </c>
      <c r="R4591" s="9" t="s">
        <v>27</v>
      </c>
      <c r="S4591" s="7" t="s">
        <v>1617</v>
      </c>
      <c r="T4591" s="9" t="s">
        <v>39</v>
      </c>
      <c r="U4591" s="7">
        <v>0.56999999999999995</v>
      </c>
      <c r="V4591" s="12">
        <f>C4591+2</f>
        <v>39909</v>
      </c>
      <c r="W4591">
        <f>IF(D4591=' Pivot Tables'!$A$4,1,0)</f>
        <v>0</v>
      </c>
      <c r="X4591">
        <f>IF(AND(LEFT(D4591,4)+1=LEFT(' Pivot Tables'!$A$4,4)+0,RIGHT(LEFT(D4591,7),2)=RIGHT(LEFT(' Pivot Tables'!$A$4,7),2)),1,0)</f>
        <v>0</v>
      </c>
      <c r="Y4591" s="6">
        <f>1/COUNTIF(Таблица1[Order ID],Таблица1[[#This Row],[Order ID]])</f>
        <v>1</v>
      </c>
      <c r="Z4591" s="9">
        <f>1/COUNTIFS(Таблица1[Customer Name],Таблица1[[#This Row],[Customer Name]],Таблица1[Order-Year-Month],Таблица1[[#This Row],[Order-Year-Month]])</f>
        <v>1</v>
      </c>
    </row>
    <row r="4592" spans="1:26" x14ac:dyDescent="0.2">
      <c r="A4592" s="6">
        <v>6043</v>
      </c>
      <c r="B4592" s="7">
        <v>42850</v>
      </c>
      <c r="C4592" s="8">
        <f>DATE(2012,12,31)-559</f>
        <v>40715</v>
      </c>
      <c r="D4592" s="8" t="str">
        <f t="shared" si="84"/>
        <v>2011-06 (июнь 2011)</v>
      </c>
      <c r="E4592" s="9" t="s">
        <v>63</v>
      </c>
      <c r="F4592" s="7">
        <v>27</v>
      </c>
      <c r="G4592" s="7">
        <v>822.7</v>
      </c>
      <c r="H4592" s="7">
        <v>0.05</v>
      </c>
      <c r="I4592" s="9" t="s">
        <v>56</v>
      </c>
      <c r="J4592" s="10">
        <v>141.28</v>
      </c>
      <c r="K4592" s="11">
        <v>29.99</v>
      </c>
      <c r="L4592" s="11">
        <v>5.5</v>
      </c>
      <c r="M4592" s="9" t="s">
        <v>1142</v>
      </c>
      <c r="N4592" s="6" t="s">
        <v>1123</v>
      </c>
      <c r="O4592" s="6" t="s">
        <v>1123</v>
      </c>
      <c r="P4592" s="9" t="s">
        <v>60</v>
      </c>
      <c r="Q4592" s="9" t="s">
        <v>42</v>
      </c>
      <c r="R4592" s="9" t="s">
        <v>70</v>
      </c>
      <c r="S4592" s="7" t="s">
        <v>1177</v>
      </c>
      <c r="T4592" s="9" t="s">
        <v>39</v>
      </c>
      <c r="U4592" s="7">
        <v>0.51</v>
      </c>
      <c r="V4592" s="12">
        <f>C4592+1</f>
        <v>40716</v>
      </c>
      <c r="W4592">
        <f>IF(D4592=' Pivot Tables'!$A$4,1,0)</f>
        <v>0</v>
      </c>
      <c r="X4592">
        <f>IF(AND(LEFT(D4592,4)+1=LEFT(' Pivot Tables'!$A$4,4)+0,RIGHT(LEFT(D4592,7),2)=RIGHT(LEFT(' Pivot Tables'!$A$4,7),2)),1,0)</f>
        <v>0</v>
      </c>
      <c r="Y4592" s="6">
        <f>1/COUNTIF(Таблица1[Order ID],Таблица1[[#This Row],[Order ID]])</f>
        <v>1</v>
      </c>
      <c r="Z4592" s="9">
        <f>1/COUNTIFS(Таблица1[Customer Name],Таблица1[[#This Row],[Customer Name]],Таблица1[Order-Year-Month],Таблица1[[#This Row],[Order-Year-Month]])</f>
        <v>1</v>
      </c>
    </row>
    <row r="4593" spans="1:26" x14ac:dyDescent="0.2">
      <c r="A4593" s="6">
        <v>6468</v>
      </c>
      <c r="B4593" s="7">
        <v>46050</v>
      </c>
      <c r="C4593" s="8">
        <f>DATE(2012,12,31)-1092</f>
        <v>40182</v>
      </c>
      <c r="D4593" s="8" t="str">
        <f t="shared" si="84"/>
        <v>2010-01 (январь 2010)</v>
      </c>
      <c r="E4593" s="9" t="s">
        <v>30</v>
      </c>
      <c r="F4593" s="7">
        <v>5</v>
      </c>
      <c r="G4593" s="7">
        <v>2249.0500000000002</v>
      </c>
      <c r="H4593" s="7">
        <v>0.02</v>
      </c>
      <c r="I4593" s="9" t="s">
        <v>22</v>
      </c>
      <c r="J4593" s="10">
        <v>-571.24</v>
      </c>
      <c r="K4593" s="11">
        <v>449.99</v>
      </c>
      <c r="L4593" s="11">
        <v>24.49</v>
      </c>
      <c r="M4593" s="9" t="s">
        <v>1142</v>
      </c>
      <c r="N4593" s="6" t="s">
        <v>1123</v>
      </c>
      <c r="O4593" s="6" t="s">
        <v>1123</v>
      </c>
      <c r="P4593" s="9" t="s">
        <v>60</v>
      </c>
      <c r="Q4593" s="9" t="s">
        <v>42</v>
      </c>
      <c r="R4593" s="9" t="s">
        <v>99</v>
      </c>
      <c r="S4593" s="7" t="s">
        <v>100</v>
      </c>
      <c r="T4593" s="9" t="s">
        <v>29</v>
      </c>
      <c r="U4593" s="7">
        <v>0.52</v>
      </c>
      <c r="V4593" s="12">
        <f>C4593+1</f>
        <v>40183</v>
      </c>
      <c r="W4593">
        <f>IF(D4593=' Pivot Tables'!$A$4,1,0)</f>
        <v>1</v>
      </c>
      <c r="X4593">
        <f>IF(AND(LEFT(D4593,4)+1=LEFT(' Pivot Tables'!$A$4,4)+0,RIGHT(LEFT(D4593,7),2)=RIGHT(LEFT(' Pivot Tables'!$A$4,7),2)),1,0)</f>
        <v>0</v>
      </c>
      <c r="Y4593" s="6">
        <f>1/COUNTIF(Таблица1[Order ID],Таблица1[[#This Row],[Order ID]])</f>
        <v>0.33333333333333331</v>
      </c>
      <c r="Z4593" s="9">
        <f>1/COUNTIFS(Таблица1[Customer Name],Таблица1[[#This Row],[Customer Name]],Таблица1[Order-Year-Month],Таблица1[[#This Row],[Order-Year-Month]])</f>
        <v>0.33333333333333331</v>
      </c>
    </row>
    <row r="4594" spans="1:26" x14ac:dyDescent="0.2">
      <c r="A4594" s="6">
        <v>6469</v>
      </c>
      <c r="B4594" s="7">
        <v>46050</v>
      </c>
      <c r="C4594" s="8">
        <f>DATE(2012,12,31)-1092</f>
        <v>40182</v>
      </c>
      <c r="D4594" s="8" t="str">
        <f t="shared" si="84"/>
        <v>2010-01 (январь 2010)</v>
      </c>
      <c r="E4594" s="9" t="s">
        <v>30</v>
      </c>
      <c r="F4594" s="7">
        <v>48</v>
      </c>
      <c r="G4594" s="7">
        <v>4813.67</v>
      </c>
      <c r="H4594" s="7">
        <v>0.03</v>
      </c>
      <c r="I4594" s="9" t="s">
        <v>56</v>
      </c>
      <c r="J4594" s="10">
        <v>44.58</v>
      </c>
      <c r="K4594" s="11">
        <v>95.43</v>
      </c>
      <c r="L4594" s="11">
        <v>19.989999999999998</v>
      </c>
      <c r="M4594" s="9" t="s">
        <v>1142</v>
      </c>
      <c r="N4594" s="6" t="s">
        <v>1123</v>
      </c>
      <c r="O4594" s="6" t="s">
        <v>1123</v>
      </c>
      <c r="P4594" s="9" t="s">
        <v>60</v>
      </c>
      <c r="Q4594" s="9" t="s">
        <v>26</v>
      </c>
      <c r="R4594" s="9" t="s">
        <v>27</v>
      </c>
      <c r="S4594" s="7" t="s">
        <v>377</v>
      </c>
      <c r="T4594" s="9" t="s">
        <v>39</v>
      </c>
      <c r="U4594" s="7">
        <v>0.79</v>
      </c>
      <c r="V4594" s="12">
        <f>C4594+3</f>
        <v>40185</v>
      </c>
      <c r="W4594">
        <f>IF(D4594=' Pivot Tables'!$A$4,1,0)</f>
        <v>1</v>
      </c>
      <c r="X4594">
        <f>IF(AND(LEFT(D4594,4)+1=LEFT(' Pivot Tables'!$A$4,4)+0,RIGHT(LEFT(D4594,7),2)=RIGHT(LEFT(' Pivot Tables'!$A$4,7),2)),1,0)</f>
        <v>0</v>
      </c>
      <c r="Y4594" s="6">
        <f>1/COUNTIF(Таблица1[Order ID],Таблица1[[#This Row],[Order ID]])</f>
        <v>0.33333333333333331</v>
      </c>
      <c r="Z4594" s="9">
        <f>1/COUNTIFS(Таблица1[Customer Name],Таблица1[[#This Row],[Customer Name]],Таблица1[Order-Year-Month],Таблица1[[#This Row],[Order-Year-Month]])</f>
        <v>0.33333333333333331</v>
      </c>
    </row>
    <row r="4595" spans="1:26" x14ac:dyDescent="0.2">
      <c r="A4595" s="6">
        <v>6491</v>
      </c>
      <c r="B4595" s="7">
        <v>46212</v>
      </c>
      <c r="C4595" s="8">
        <f>DATE(2012,12,31)-110</f>
        <v>41164</v>
      </c>
      <c r="D4595" s="8" t="str">
        <f t="shared" si="84"/>
        <v>2012-09 (сентябрь 2012)</v>
      </c>
      <c r="E4595" s="9" t="s">
        <v>45</v>
      </c>
      <c r="F4595" s="7">
        <v>7</v>
      </c>
      <c r="G4595" s="7">
        <v>3877.88</v>
      </c>
      <c r="H4595" s="7">
        <v>0.08</v>
      </c>
      <c r="I4595" s="9" t="s">
        <v>31</v>
      </c>
      <c r="J4595" s="10">
        <v>-1331.5533660000001</v>
      </c>
      <c r="K4595" s="11">
        <v>550.98</v>
      </c>
      <c r="L4595" s="11">
        <v>45.7</v>
      </c>
      <c r="M4595" s="9" t="s">
        <v>1806</v>
      </c>
      <c r="N4595" s="6" t="s">
        <v>1123</v>
      </c>
      <c r="O4595" s="6" t="s">
        <v>1123</v>
      </c>
      <c r="P4595" s="9" t="s">
        <v>33</v>
      </c>
      <c r="Q4595" s="9" t="s">
        <v>49</v>
      </c>
      <c r="R4595" s="9" t="s">
        <v>83</v>
      </c>
      <c r="S4595" s="7" t="s">
        <v>1557</v>
      </c>
      <c r="T4595" s="9" t="s">
        <v>82</v>
      </c>
      <c r="U4595" s="7">
        <v>0.71</v>
      </c>
      <c r="V4595" s="12">
        <f>C4595+2</f>
        <v>41166</v>
      </c>
      <c r="W4595">
        <f>IF(D4595=' Pivot Tables'!$A$4,1,0)</f>
        <v>0</v>
      </c>
      <c r="X4595">
        <f>IF(AND(LEFT(D4595,4)+1=LEFT(' Pivot Tables'!$A$4,4)+0,RIGHT(LEFT(D4595,7),2)=RIGHT(LEFT(' Pivot Tables'!$A$4,7),2)),1,0)</f>
        <v>0</v>
      </c>
      <c r="Y4595" s="6">
        <f>1/COUNTIF(Таблица1[Order ID],Таблица1[[#This Row],[Order ID]])</f>
        <v>0.5</v>
      </c>
      <c r="Z4595" s="9">
        <f>1/COUNTIFS(Таблица1[Customer Name],Таблица1[[#This Row],[Customer Name]],Таблица1[Order-Year-Month],Таблица1[[#This Row],[Order-Year-Month]])</f>
        <v>0.5</v>
      </c>
    </row>
    <row r="4596" spans="1:26" x14ac:dyDescent="0.2">
      <c r="A4596" s="6">
        <v>6911</v>
      </c>
      <c r="B4596" s="7">
        <v>49313</v>
      </c>
      <c r="C4596" s="8">
        <f>DATE(2012,12,31)-1184</f>
        <v>40090</v>
      </c>
      <c r="D4596" s="8" t="str">
        <f t="shared" si="84"/>
        <v>2009-10 (октябрь 2009)</v>
      </c>
      <c r="E4596" s="9" t="s">
        <v>63</v>
      </c>
      <c r="F4596" s="7">
        <v>34</v>
      </c>
      <c r="G4596" s="7">
        <v>307.76</v>
      </c>
      <c r="H4596" s="7">
        <v>0.1</v>
      </c>
      <c r="I4596" s="9" t="s">
        <v>56</v>
      </c>
      <c r="J4596" s="10">
        <v>-22.88</v>
      </c>
      <c r="K4596" s="11">
        <v>9.3800000000000008</v>
      </c>
      <c r="L4596" s="11">
        <v>4.93</v>
      </c>
      <c r="M4596" s="9" t="s">
        <v>102</v>
      </c>
      <c r="N4596" s="6" t="s">
        <v>1123</v>
      </c>
      <c r="O4596" s="6" t="s">
        <v>1123</v>
      </c>
      <c r="P4596" s="9" t="s">
        <v>25</v>
      </c>
      <c r="Q4596" s="9" t="s">
        <v>49</v>
      </c>
      <c r="R4596" s="9" t="s">
        <v>50</v>
      </c>
      <c r="S4596" s="7" t="s">
        <v>1197</v>
      </c>
      <c r="T4596" s="9" t="s">
        <v>39</v>
      </c>
      <c r="U4596" s="7">
        <v>0.56999999999999995</v>
      </c>
      <c r="V4596" s="12">
        <f>C4596+0</f>
        <v>40090</v>
      </c>
      <c r="W4596">
        <f>IF(D4596=' Pivot Tables'!$A$4,1,0)</f>
        <v>0</v>
      </c>
      <c r="X4596">
        <f>IF(AND(LEFT(D4596,4)+1=LEFT(' Pivot Tables'!$A$4,4)+0,RIGHT(LEFT(D4596,7),2)=RIGHT(LEFT(' Pivot Tables'!$A$4,7),2)),1,0)</f>
        <v>0</v>
      </c>
      <c r="Y4596" s="6">
        <f>1/COUNTIF(Таблица1[Order ID],Таблица1[[#This Row],[Order ID]])</f>
        <v>0.5</v>
      </c>
      <c r="Z4596" s="9">
        <f>1/COUNTIFS(Таблица1[Customer Name],Таблица1[[#This Row],[Customer Name]],Таблица1[Order-Year-Month],Таблица1[[#This Row],[Order-Year-Month]])</f>
        <v>0.5</v>
      </c>
    </row>
    <row r="4597" spans="1:26" x14ac:dyDescent="0.2">
      <c r="A4597" s="6">
        <v>6912</v>
      </c>
      <c r="B4597" s="7">
        <v>49313</v>
      </c>
      <c r="C4597" s="8">
        <f>DATE(2012,12,31)-1184</f>
        <v>40090</v>
      </c>
      <c r="D4597" s="8" t="str">
        <f t="shared" si="84"/>
        <v>2009-10 (октябрь 2009)</v>
      </c>
      <c r="E4597" s="9" t="s">
        <v>63</v>
      </c>
      <c r="F4597" s="7">
        <v>36</v>
      </c>
      <c r="G4597" s="7">
        <v>1129.9304999999999</v>
      </c>
      <c r="H4597" s="7">
        <v>0.05</v>
      </c>
      <c r="I4597" s="9" t="s">
        <v>22</v>
      </c>
      <c r="J4597" s="10">
        <v>574.15499999999997</v>
      </c>
      <c r="K4597" s="11">
        <v>35.99</v>
      </c>
      <c r="L4597" s="11">
        <v>1.25</v>
      </c>
      <c r="M4597" s="9" t="s">
        <v>102</v>
      </c>
      <c r="N4597" s="6" t="s">
        <v>1123</v>
      </c>
      <c r="O4597" s="6" t="s">
        <v>1123</v>
      </c>
      <c r="P4597" s="9" t="s">
        <v>25</v>
      </c>
      <c r="Q4597" s="9" t="s">
        <v>42</v>
      </c>
      <c r="R4597" s="9" t="s">
        <v>43</v>
      </c>
      <c r="S4597" s="7" t="s">
        <v>1218</v>
      </c>
      <c r="T4597" s="9" t="s">
        <v>52</v>
      </c>
      <c r="U4597" s="7">
        <v>0.36</v>
      </c>
      <c r="V4597" s="12">
        <f>C4597+1</f>
        <v>40091</v>
      </c>
      <c r="W4597">
        <f>IF(D4597=' Pivot Tables'!$A$4,1,0)</f>
        <v>0</v>
      </c>
      <c r="X4597">
        <f>IF(AND(LEFT(D4597,4)+1=LEFT(' Pivot Tables'!$A$4,4)+0,RIGHT(LEFT(D4597,7),2)=RIGHT(LEFT(' Pivot Tables'!$A$4,7),2)),1,0)</f>
        <v>0</v>
      </c>
      <c r="Y4597" s="6">
        <f>1/COUNTIF(Таблица1[Order ID],Таблица1[[#This Row],[Order ID]])</f>
        <v>0.5</v>
      </c>
      <c r="Z4597" s="9">
        <f>1/COUNTIFS(Таблица1[Customer Name],Таблица1[[#This Row],[Customer Name]],Таблица1[Order-Year-Month],Таблица1[[#This Row],[Order-Year-Month]])</f>
        <v>0.5</v>
      </c>
    </row>
    <row r="4598" spans="1:26" x14ac:dyDescent="0.2">
      <c r="A4598" s="6">
        <v>6933</v>
      </c>
      <c r="B4598" s="7">
        <v>49477</v>
      </c>
      <c r="C4598" s="8">
        <f>DATE(2012,12,31)-398</f>
        <v>40876</v>
      </c>
      <c r="D4598" s="8" t="str">
        <f t="shared" si="84"/>
        <v>2011-11 (ноябрь 2011)</v>
      </c>
      <c r="E4598" s="9" t="s">
        <v>63</v>
      </c>
      <c r="F4598" s="7">
        <v>9</v>
      </c>
      <c r="G4598" s="7">
        <v>75.94</v>
      </c>
      <c r="H4598" s="7">
        <v>0.01</v>
      </c>
      <c r="I4598" s="9" t="s">
        <v>22</v>
      </c>
      <c r="J4598" s="10">
        <v>-16.559999999999999</v>
      </c>
      <c r="K4598" s="11">
        <v>7.64</v>
      </c>
      <c r="L4598" s="11">
        <v>5.83</v>
      </c>
      <c r="M4598" s="9" t="s">
        <v>102</v>
      </c>
      <c r="N4598" s="6" t="s">
        <v>1123</v>
      </c>
      <c r="O4598" s="6" t="s">
        <v>1123</v>
      </c>
      <c r="P4598" s="9" t="s">
        <v>41</v>
      </c>
      <c r="Q4598" s="9" t="s">
        <v>26</v>
      </c>
      <c r="R4598" s="9" t="s">
        <v>61</v>
      </c>
      <c r="S4598" s="7" t="s">
        <v>371</v>
      </c>
      <c r="T4598" s="9" t="s">
        <v>68</v>
      </c>
      <c r="U4598" s="7">
        <v>0.36</v>
      </c>
      <c r="V4598" s="12">
        <f>C4598+0</f>
        <v>40876</v>
      </c>
      <c r="W4598">
        <f>IF(D4598=' Pivot Tables'!$A$4,1,0)</f>
        <v>0</v>
      </c>
      <c r="X4598">
        <f>IF(AND(LEFT(D4598,4)+1=LEFT(' Pivot Tables'!$A$4,4)+0,RIGHT(LEFT(D4598,7),2)=RIGHT(LEFT(' Pivot Tables'!$A$4,7),2)),1,0)</f>
        <v>0</v>
      </c>
      <c r="Y4598" s="6">
        <f>1/COUNTIF(Таблица1[Order ID],Таблица1[[#This Row],[Order ID]])</f>
        <v>1</v>
      </c>
      <c r="Z4598" s="9">
        <f>1/COUNTIFS(Таблица1[Customer Name],Таблица1[[#This Row],[Customer Name]],Таблица1[Order-Year-Month],Таблица1[[#This Row],[Order-Year-Month]])</f>
        <v>0.33333333333333331</v>
      </c>
    </row>
    <row r="4599" spans="1:26" x14ac:dyDescent="0.2">
      <c r="A4599" s="6">
        <v>6978</v>
      </c>
      <c r="B4599" s="7">
        <v>49889</v>
      </c>
      <c r="C4599" s="8">
        <f>DATE(2012,12,31)-19</f>
        <v>41255</v>
      </c>
      <c r="D4599" s="8" t="str">
        <f t="shared" si="84"/>
        <v>2012-12 (декабрь 2012)</v>
      </c>
      <c r="E4599" s="9" t="s">
        <v>78</v>
      </c>
      <c r="F4599" s="7">
        <v>47</v>
      </c>
      <c r="G4599" s="7">
        <v>533.47</v>
      </c>
      <c r="H4599" s="7">
        <v>0.09</v>
      </c>
      <c r="I4599" s="9" t="s">
        <v>22</v>
      </c>
      <c r="J4599" s="10">
        <v>-50.208999999999996</v>
      </c>
      <c r="K4599" s="11">
        <v>11.5</v>
      </c>
      <c r="L4599" s="11">
        <v>7.19</v>
      </c>
      <c r="M4599" s="9" t="s">
        <v>1810</v>
      </c>
      <c r="N4599" s="6" t="s">
        <v>1123</v>
      </c>
      <c r="O4599" s="6" t="s">
        <v>1123</v>
      </c>
      <c r="P4599" s="9" t="s">
        <v>60</v>
      </c>
      <c r="Q4599" s="9" t="s">
        <v>26</v>
      </c>
      <c r="R4599" s="9" t="s">
        <v>37</v>
      </c>
      <c r="S4599" s="7" t="s">
        <v>398</v>
      </c>
      <c r="T4599" s="9" t="s">
        <v>39</v>
      </c>
      <c r="U4599" s="7">
        <v>0.4</v>
      </c>
      <c r="V4599" s="12">
        <f>C4599+2</f>
        <v>41257</v>
      </c>
      <c r="W4599">
        <f>IF(D4599=' Pivot Tables'!$A$4,1,0)</f>
        <v>0</v>
      </c>
      <c r="X4599">
        <f>IF(AND(LEFT(D4599,4)+1=LEFT(' Pivot Tables'!$A$4,4)+0,RIGHT(LEFT(D4599,7),2)=RIGHT(LEFT(' Pivot Tables'!$A$4,7),2)),1,0)</f>
        <v>0</v>
      </c>
      <c r="Y4599" s="6">
        <f>1/COUNTIF(Таблица1[Order ID],Таблица1[[#This Row],[Order ID]])</f>
        <v>0.5</v>
      </c>
      <c r="Z4599" s="9">
        <f>1/COUNTIFS(Таблица1[Customer Name],Таблица1[[#This Row],[Customer Name]],Таблица1[Order-Year-Month],Таблица1[[#This Row],[Order-Year-Month]])</f>
        <v>0.5</v>
      </c>
    </row>
    <row r="4600" spans="1:26" x14ac:dyDescent="0.2">
      <c r="A4600" s="6">
        <v>6979</v>
      </c>
      <c r="B4600" s="7">
        <v>49889</v>
      </c>
      <c r="C4600" s="8">
        <f>DATE(2012,12,31)-19</f>
        <v>41255</v>
      </c>
      <c r="D4600" s="8" t="str">
        <f t="shared" si="84"/>
        <v>2012-12 (декабрь 2012)</v>
      </c>
      <c r="E4600" s="9" t="s">
        <v>78</v>
      </c>
      <c r="F4600" s="7">
        <v>21</v>
      </c>
      <c r="G4600" s="7">
        <v>61.94</v>
      </c>
      <c r="H4600" s="7">
        <v>0.09</v>
      </c>
      <c r="I4600" s="9" t="s">
        <v>56</v>
      </c>
      <c r="J4600" s="10">
        <v>-22.32</v>
      </c>
      <c r="K4600" s="11">
        <v>2.98</v>
      </c>
      <c r="L4600" s="11">
        <v>2.0299999999999998</v>
      </c>
      <c r="M4600" s="9" t="s">
        <v>1810</v>
      </c>
      <c r="N4600" s="6" t="s">
        <v>1123</v>
      </c>
      <c r="O4600" s="6" t="s">
        <v>1123</v>
      </c>
      <c r="P4600" s="9" t="s">
        <v>60</v>
      </c>
      <c r="Q4600" s="9" t="s">
        <v>26</v>
      </c>
      <c r="R4600" s="9" t="s">
        <v>95</v>
      </c>
      <c r="S4600" s="7" t="s">
        <v>1764</v>
      </c>
      <c r="T4600" s="9" t="s">
        <v>68</v>
      </c>
      <c r="U4600" s="7">
        <v>0.56999999999999995</v>
      </c>
      <c r="V4600" s="12">
        <f>C4600+2</f>
        <v>41257</v>
      </c>
      <c r="W4600">
        <f>IF(D4600=' Pivot Tables'!$A$4,1,0)</f>
        <v>0</v>
      </c>
      <c r="X4600">
        <f>IF(AND(LEFT(D4600,4)+1=LEFT(' Pivot Tables'!$A$4,4)+0,RIGHT(LEFT(D4600,7),2)=RIGHT(LEFT(' Pivot Tables'!$A$4,7),2)),1,0)</f>
        <v>0</v>
      </c>
      <c r="Y4600" s="6">
        <f>1/COUNTIF(Таблица1[Order ID],Таблица1[[#This Row],[Order ID]])</f>
        <v>0.5</v>
      </c>
      <c r="Z4600" s="9">
        <f>1/COUNTIFS(Таблица1[Customer Name],Таблица1[[#This Row],[Customer Name]],Таблица1[Order-Year-Month],Таблица1[[#This Row],[Order-Year-Month]])</f>
        <v>0.5</v>
      </c>
    </row>
    <row r="4601" spans="1:26" x14ac:dyDescent="0.2">
      <c r="A4601" s="6">
        <v>7356</v>
      </c>
      <c r="B4601" s="7">
        <v>52416</v>
      </c>
      <c r="C4601" s="8">
        <f>DATE(2012,12,31)-1430</f>
        <v>39844</v>
      </c>
      <c r="D4601" s="8" t="str">
        <f t="shared" si="84"/>
        <v>2009-01 (январь 2009)</v>
      </c>
      <c r="E4601" s="9" t="s">
        <v>45</v>
      </c>
      <c r="F4601" s="7">
        <v>6</v>
      </c>
      <c r="G4601" s="7">
        <v>49.81</v>
      </c>
      <c r="H4601" s="7">
        <v>0.05</v>
      </c>
      <c r="I4601" s="9" t="s">
        <v>22</v>
      </c>
      <c r="J4601" s="10">
        <v>-16.95</v>
      </c>
      <c r="K4601" s="11">
        <v>7.64</v>
      </c>
      <c r="L4601" s="11">
        <v>5.83</v>
      </c>
      <c r="M4601" s="9" t="s">
        <v>1809</v>
      </c>
      <c r="N4601" s="6" t="s">
        <v>1123</v>
      </c>
      <c r="O4601" s="6" t="s">
        <v>1123</v>
      </c>
      <c r="P4601" s="9" t="s">
        <v>41</v>
      </c>
      <c r="Q4601" s="9" t="s">
        <v>26</v>
      </c>
      <c r="R4601" s="9" t="s">
        <v>61</v>
      </c>
      <c r="S4601" s="7" t="s">
        <v>371</v>
      </c>
      <c r="T4601" s="9" t="s">
        <v>68</v>
      </c>
      <c r="U4601" s="7">
        <v>0.36</v>
      </c>
      <c r="V4601" s="12">
        <f>C4601+2</f>
        <v>39846</v>
      </c>
      <c r="W4601">
        <f>IF(D4601=' Pivot Tables'!$A$4,1,0)</f>
        <v>0</v>
      </c>
      <c r="X4601">
        <f>IF(AND(LEFT(D4601,4)+1=LEFT(' Pivot Tables'!$A$4,4)+0,RIGHT(LEFT(D4601,7),2)=RIGHT(LEFT(' Pivot Tables'!$A$4,7),2)),1,0)</f>
        <v>1</v>
      </c>
      <c r="Y4601" s="6">
        <f>1/COUNTIF(Таблица1[Order ID],Таблица1[[#This Row],[Order ID]])</f>
        <v>0.5</v>
      </c>
      <c r="Z4601" s="9">
        <f>1/COUNTIFS(Таблица1[Customer Name],Таблица1[[#This Row],[Customer Name]],Таблица1[Order-Year-Month],Таблица1[[#This Row],[Order-Year-Month]])</f>
        <v>0.5</v>
      </c>
    </row>
    <row r="4602" spans="1:26" x14ac:dyDescent="0.2">
      <c r="A4602" s="6">
        <v>7357</v>
      </c>
      <c r="B4602" s="7">
        <v>52416</v>
      </c>
      <c r="C4602" s="8">
        <f>DATE(2012,12,31)-1430</f>
        <v>39844</v>
      </c>
      <c r="D4602" s="8" t="str">
        <f t="shared" si="84"/>
        <v>2009-01 (январь 2009)</v>
      </c>
      <c r="E4602" s="9" t="s">
        <v>45</v>
      </c>
      <c r="F4602" s="7">
        <v>40</v>
      </c>
      <c r="G4602" s="7">
        <v>9141.64</v>
      </c>
      <c r="H4602" s="7">
        <v>0.04</v>
      </c>
      <c r="I4602" s="9" t="s">
        <v>31</v>
      </c>
      <c r="J4602" s="10">
        <v>-528.65312500000005</v>
      </c>
      <c r="K4602" s="11">
        <v>218.75</v>
      </c>
      <c r="L4602" s="11">
        <v>69.64</v>
      </c>
      <c r="M4602" s="9" t="s">
        <v>1809</v>
      </c>
      <c r="N4602" s="6" t="s">
        <v>1123</v>
      </c>
      <c r="O4602" s="6" t="s">
        <v>1123</v>
      </c>
      <c r="P4602" s="9" t="s">
        <v>41</v>
      </c>
      <c r="Q4602" s="9" t="s">
        <v>49</v>
      </c>
      <c r="R4602" s="9" t="s">
        <v>83</v>
      </c>
      <c r="S4602" s="7" t="s">
        <v>254</v>
      </c>
      <c r="T4602" s="9" t="s">
        <v>82</v>
      </c>
      <c r="U4602" s="7">
        <v>0.72</v>
      </c>
      <c r="V4602" s="12">
        <f>C4602+1</f>
        <v>39845</v>
      </c>
      <c r="W4602">
        <f>IF(D4602=' Pivot Tables'!$A$4,1,0)</f>
        <v>0</v>
      </c>
      <c r="X4602">
        <f>IF(AND(LEFT(D4602,4)+1=LEFT(' Pivot Tables'!$A$4,4)+0,RIGHT(LEFT(D4602,7),2)=RIGHT(LEFT(' Pivot Tables'!$A$4,7),2)),1,0)</f>
        <v>1</v>
      </c>
      <c r="Y4602" s="6">
        <f>1/COUNTIF(Таблица1[Order ID],Таблица1[[#This Row],[Order ID]])</f>
        <v>0.5</v>
      </c>
      <c r="Z4602" s="9">
        <f>1/COUNTIFS(Таблица1[Customer Name],Таблица1[[#This Row],[Customer Name]],Таблица1[Order-Year-Month],Таблица1[[#This Row],[Order-Year-Month]])</f>
        <v>0.5</v>
      </c>
    </row>
    <row r="4603" spans="1:26" x14ac:dyDescent="0.2">
      <c r="A4603" s="6">
        <v>7693</v>
      </c>
      <c r="B4603" s="7">
        <v>55140</v>
      </c>
      <c r="C4603" s="8">
        <f>DATE(2012,12,31)-911</f>
        <v>40363</v>
      </c>
      <c r="D4603" s="8" t="str">
        <f t="shared" si="84"/>
        <v>2010-07 (июль 2010)</v>
      </c>
      <c r="E4603" s="9" t="s">
        <v>78</v>
      </c>
      <c r="F4603" s="7">
        <v>39</v>
      </c>
      <c r="G4603" s="7">
        <v>438.8</v>
      </c>
      <c r="H4603" s="7">
        <v>0.09</v>
      </c>
      <c r="I4603" s="9" t="s">
        <v>22</v>
      </c>
      <c r="J4603" s="10">
        <v>-84.19</v>
      </c>
      <c r="K4603" s="11">
        <v>11.7</v>
      </c>
      <c r="L4603" s="11">
        <v>6.96</v>
      </c>
      <c r="M4603" s="9" t="s">
        <v>1245</v>
      </c>
      <c r="N4603" s="6" t="s">
        <v>1123</v>
      </c>
      <c r="O4603" s="6" t="s">
        <v>1123</v>
      </c>
      <c r="P4603" s="9" t="s">
        <v>41</v>
      </c>
      <c r="Q4603" s="9" t="s">
        <v>26</v>
      </c>
      <c r="R4603" s="9" t="s">
        <v>34</v>
      </c>
      <c r="S4603" s="7" t="s">
        <v>1202</v>
      </c>
      <c r="T4603" s="9" t="s">
        <v>48</v>
      </c>
      <c r="U4603" s="7">
        <v>0.5</v>
      </c>
      <c r="V4603" s="12">
        <f>C4603+2</f>
        <v>40365</v>
      </c>
      <c r="W4603">
        <f>IF(D4603=' Pivot Tables'!$A$4,1,0)</f>
        <v>0</v>
      </c>
      <c r="X4603">
        <f>IF(AND(LEFT(D4603,4)+1=LEFT(' Pivot Tables'!$A$4,4)+0,RIGHT(LEFT(D4603,7),2)=RIGHT(LEFT(' Pivot Tables'!$A$4,7),2)),1,0)</f>
        <v>0</v>
      </c>
      <c r="Y4603" s="6">
        <f>1/COUNTIF(Таблица1[Order ID],Таблица1[[#This Row],[Order ID]])</f>
        <v>1</v>
      </c>
      <c r="Z4603" s="9">
        <f>1/COUNTIFS(Таблица1[Customer Name],Таблица1[[#This Row],[Customer Name]],Таблица1[Order-Year-Month],Таблица1[[#This Row],[Order-Year-Month]])</f>
        <v>0.5</v>
      </c>
    </row>
    <row r="4604" spans="1:26" x14ac:dyDescent="0.2">
      <c r="A4604" s="6">
        <v>7908</v>
      </c>
      <c r="B4604" s="7">
        <v>56550</v>
      </c>
      <c r="C4604" s="8">
        <f>DATE(2012,12,31)-633</f>
        <v>40641</v>
      </c>
      <c r="D4604" s="8" t="str">
        <f t="shared" si="84"/>
        <v>2011-04 (апрель 2011)</v>
      </c>
      <c r="E4604" s="9" t="s">
        <v>45</v>
      </c>
      <c r="F4604" s="7">
        <v>33</v>
      </c>
      <c r="G4604" s="7">
        <v>647.77</v>
      </c>
      <c r="H4604" s="7">
        <v>0.09</v>
      </c>
      <c r="I4604" s="9" t="s">
        <v>22</v>
      </c>
      <c r="J4604" s="10">
        <v>166.85</v>
      </c>
      <c r="K4604" s="11">
        <v>19.98</v>
      </c>
      <c r="L4604" s="11">
        <v>5.77</v>
      </c>
      <c r="M4604" s="9" t="s">
        <v>1302</v>
      </c>
      <c r="N4604" s="6" t="s">
        <v>1123</v>
      </c>
      <c r="O4604" s="6" t="s">
        <v>1123</v>
      </c>
      <c r="P4604" s="9" t="s">
        <v>60</v>
      </c>
      <c r="Q4604" s="9" t="s">
        <v>26</v>
      </c>
      <c r="R4604" s="9" t="s">
        <v>61</v>
      </c>
      <c r="S4604" s="7" t="s">
        <v>197</v>
      </c>
      <c r="T4604" s="9" t="s">
        <v>39</v>
      </c>
      <c r="U4604" s="7">
        <v>0.38</v>
      </c>
      <c r="V4604" s="12">
        <f>C4604+3</f>
        <v>40644</v>
      </c>
      <c r="W4604">
        <f>IF(D4604=' Pivot Tables'!$A$4,1,0)</f>
        <v>0</v>
      </c>
      <c r="X4604">
        <f>IF(AND(LEFT(D4604,4)+1=LEFT(' Pivot Tables'!$A$4,4)+0,RIGHT(LEFT(D4604,7),2)=RIGHT(LEFT(' Pivot Tables'!$A$4,7),2)),1,0)</f>
        <v>0</v>
      </c>
      <c r="Y4604" s="6">
        <f>1/COUNTIF(Таблица1[Order ID],Таблица1[[#This Row],[Order ID]])</f>
        <v>0.33333333333333331</v>
      </c>
      <c r="Z4604" s="9">
        <f>1/COUNTIFS(Таблица1[Customer Name],Таблица1[[#This Row],[Customer Name]],Таблица1[Order-Year-Month],Таблица1[[#This Row],[Order-Year-Month]])</f>
        <v>0.33333333333333331</v>
      </c>
    </row>
    <row r="4605" spans="1:26" x14ac:dyDescent="0.2">
      <c r="A4605" s="6">
        <v>8042</v>
      </c>
      <c r="B4605" s="7">
        <v>57447</v>
      </c>
      <c r="C4605" s="8">
        <f>DATE(2012,12,31)-546</f>
        <v>40728</v>
      </c>
      <c r="D4605" s="8" t="str">
        <f t="shared" si="84"/>
        <v>2011-07 (июль 2011)</v>
      </c>
      <c r="E4605" s="9" t="s">
        <v>45</v>
      </c>
      <c r="F4605" s="7">
        <v>39</v>
      </c>
      <c r="G4605" s="7">
        <v>315.88</v>
      </c>
      <c r="H4605" s="7">
        <v>0.09</v>
      </c>
      <c r="I4605" s="9" t="s">
        <v>22</v>
      </c>
      <c r="J4605" s="10">
        <v>-60.4</v>
      </c>
      <c r="K4605" s="11">
        <v>8.4600000000000009</v>
      </c>
      <c r="L4605" s="11">
        <v>3.62</v>
      </c>
      <c r="M4605" s="9" t="s">
        <v>102</v>
      </c>
      <c r="N4605" s="6" t="s">
        <v>1123</v>
      </c>
      <c r="O4605" s="6" t="s">
        <v>1123</v>
      </c>
      <c r="P4605" s="9" t="s">
        <v>41</v>
      </c>
      <c r="Q4605" s="9" t="s">
        <v>42</v>
      </c>
      <c r="R4605" s="9" t="s">
        <v>70</v>
      </c>
      <c r="S4605" s="7" t="s">
        <v>1221</v>
      </c>
      <c r="T4605" s="9" t="s">
        <v>52</v>
      </c>
      <c r="U4605" s="7">
        <v>0.61</v>
      </c>
      <c r="V4605" s="12">
        <f>C4605+0</f>
        <v>40728</v>
      </c>
      <c r="W4605">
        <f>IF(D4605=' Pivot Tables'!$A$4,1,0)</f>
        <v>0</v>
      </c>
      <c r="X4605">
        <f>IF(AND(LEFT(D4605,4)+1=LEFT(' Pivot Tables'!$A$4,4)+0,RIGHT(LEFT(D4605,7),2)=RIGHT(LEFT(' Pivot Tables'!$A$4,7),2)),1,0)</f>
        <v>0</v>
      </c>
      <c r="Y4605" s="6">
        <f>1/COUNTIF(Таблица1[Order ID],Таблица1[[#This Row],[Order ID]])</f>
        <v>0.5</v>
      </c>
      <c r="Z4605" s="9">
        <f>1/COUNTIFS(Таблица1[Customer Name],Таблица1[[#This Row],[Customer Name]],Таблица1[Order-Year-Month],Таблица1[[#This Row],[Order-Year-Month]])</f>
        <v>0.5</v>
      </c>
    </row>
    <row r="4606" spans="1:26" x14ac:dyDescent="0.2">
      <c r="A4606" s="6">
        <v>8043</v>
      </c>
      <c r="B4606" s="7">
        <v>57447</v>
      </c>
      <c r="C4606" s="8">
        <f>DATE(2012,12,31)-546</f>
        <v>40728</v>
      </c>
      <c r="D4606" s="8" t="str">
        <f t="shared" si="84"/>
        <v>2011-07 (июль 2011)</v>
      </c>
      <c r="E4606" s="9" t="s">
        <v>45</v>
      </c>
      <c r="F4606" s="7">
        <v>8</v>
      </c>
      <c r="G4606" s="7">
        <v>258.11</v>
      </c>
      <c r="H4606" s="7">
        <v>0.06</v>
      </c>
      <c r="I4606" s="9" t="s">
        <v>22</v>
      </c>
      <c r="J4606" s="10">
        <v>-113.6</v>
      </c>
      <c r="K4606" s="11">
        <v>30.98</v>
      </c>
      <c r="L4606" s="11">
        <v>6.5</v>
      </c>
      <c r="M4606" s="9" t="s">
        <v>102</v>
      </c>
      <c r="N4606" s="6" t="s">
        <v>1123</v>
      </c>
      <c r="O4606" s="6" t="s">
        <v>1123</v>
      </c>
      <c r="P4606" s="9" t="s">
        <v>41</v>
      </c>
      <c r="Q4606" s="9" t="s">
        <v>42</v>
      </c>
      <c r="R4606" s="9" t="s">
        <v>70</v>
      </c>
      <c r="S4606" s="7" t="s">
        <v>805</v>
      </c>
      <c r="T4606" s="9" t="s">
        <v>39</v>
      </c>
      <c r="U4606" s="7">
        <v>0.79</v>
      </c>
      <c r="V4606" s="12">
        <f>C4606+3</f>
        <v>40731</v>
      </c>
      <c r="W4606">
        <f>IF(D4606=' Pivot Tables'!$A$4,1,0)</f>
        <v>0</v>
      </c>
      <c r="X4606">
        <f>IF(AND(LEFT(D4606,4)+1=LEFT(' Pivot Tables'!$A$4,4)+0,RIGHT(LEFT(D4606,7),2)=RIGHT(LEFT(' Pivot Tables'!$A$4,7),2)),1,0)</f>
        <v>0</v>
      </c>
      <c r="Y4606" s="6">
        <f>1/COUNTIF(Таблица1[Order ID],Таблица1[[#This Row],[Order ID]])</f>
        <v>0.5</v>
      </c>
      <c r="Z4606" s="9">
        <f>1/COUNTIFS(Таблица1[Customer Name],Таблица1[[#This Row],[Customer Name]],Таблица1[Order-Year-Month],Таблица1[[#This Row],[Order-Year-Month]])</f>
        <v>0.5</v>
      </c>
    </row>
    <row r="4607" spans="1:26" x14ac:dyDescent="0.2">
      <c r="A4607" s="6">
        <v>179</v>
      </c>
      <c r="B4607" s="7">
        <v>1185</v>
      </c>
      <c r="C4607" s="8">
        <f>DATE(2012,12,31)-130</f>
        <v>41144</v>
      </c>
      <c r="D4607" s="8" t="str">
        <f t="shared" si="84"/>
        <v>2012-08 (август 2012)</v>
      </c>
      <c r="E4607" s="9" t="s">
        <v>21</v>
      </c>
      <c r="F4607" s="7">
        <v>7</v>
      </c>
      <c r="G4607" s="7">
        <v>374.78</v>
      </c>
      <c r="H4607" s="7">
        <v>0.09</v>
      </c>
      <c r="I4607" s="9" t="s">
        <v>22</v>
      </c>
      <c r="J4607" s="10">
        <v>20.03</v>
      </c>
      <c r="K4607" s="11">
        <v>55.48</v>
      </c>
      <c r="L4607" s="11">
        <v>14.3</v>
      </c>
      <c r="M4607" s="9" t="s">
        <v>1812</v>
      </c>
      <c r="N4607" s="6" t="s">
        <v>1813</v>
      </c>
      <c r="O4607" s="6" t="s">
        <v>512</v>
      </c>
      <c r="P4607" s="9" t="s">
        <v>60</v>
      </c>
      <c r="Q4607" s="9" t="s">
        <v>26</v>
      </c>
      <c r="R4607" s="9" t="s">
        <v>61</v>
      </c>
      <c r="S4607" s="7" t="s">
        <v>507</v>
      </c>
      <c r="T4607" s="9" t="s">
        <v>39</v>
      </c>
      <c r="U4607" s="7">
        <v>0.37</v>
      </c>
      <c r="V4607" s="12">
        <f>C4607+4</f>
        <v>41148</v>
      </c>
      <c r="W4607">
        <f>IF(D4607=' Pivot Tables'!$A$4,1,0)</f>
        <v>0</v>
      </c>
      <c r="X4607">
        <f>IF(AND(LEFT(D4607,4)+1=LEFT(' Pivot Tables'!$A$4,4)+0,RIGHT(LEFT(D4607,7),2)=RIGHT(LEFT(' Pivot Tables'!$A$4,7),2)),1,0)</f>
        <v>0</v>
      </c>
      <c r="Y4607" s="6">
        <f>1/COUNTIF(Таблица1[Order ID],Таблица1[[#This Row],[Order ID]])</f>
        <v>1</v>
      </c>
      <c r="Z4607" s="9">
        <f>1/COUNTIFS(Таблица1[Customer Name],Таблица1[[#This Row],[Customer Name]],Таблица1[Order-Year-Month],Таблица1[[#This Row],[Order-Year-Month]])</f>
        <v>1</v>
      </c>
    </row>
    <row r="4608" spans="1:26" x14ac:dyDescent="0.2">
      <c r="A4608" s="6">
        <v>310</v>
      </c>
      <c r="B4608" s="7">
        <v>2149</v>
      </c>
      <c r="C4608" s="8">
        <f>DATE(2012,12,31)-1025</f>
        <v>40249</v>
      </c>
      <c r="D4608" s="8" t="str">
        <f t="shared" si="84"/>
        <v>2010-03 (март 2010)</v>
      </c>
      <c r="E4608" s="9" t="s">
        <v>21</v>
      </c>
      <c r="F4608" s="7">
        <v>4</v>
      </c>
      <c r="G4608" s="7">
        <v>43.56</v>
      </c>
      <c r="H4608" s="7">
        <v>0.01</v>
      </c>
      <c r="I4608" s="9" t="s">
        <v>22</v>
      </c>
      <c r="J4608" s="10">
        <v>21.21</v>
      </c>
      <c r="K4608" s="11">
        <v>9.3800000000000008</v>
      </c>
      <c r="L4608" s="11">
        <v>4.93</v>
      </c>
      <c r="M4608" s="9" t="s">
        <v>1814</v>
      </c>
      <c r="N4608" s="6" t="s">
        <v>1813</v>
      </c>
      <c r="O4608" s="6" t="s">
        <v>512</v>
      </c>
      <c r="P4608" s="9" t="s">
        <v>33</v>
      </c>
      <c r="Q4608" s="9" t="s">
        <v>49</v>
      </c>
      <c r="R4608" s="9" t="s">
        <v>50</v>
      </c>
      <c r="S4608" s="7" t="s">
        <v>1197</v>
      </c>
      <c r="T4608" s="9" t="s">
        <v>39</v>
      </c>
      <c r="U4608" s="7">
        <v>0.56999999999999995</v>
      </c>
      <c r="V4608" s="12">
        <f>C4608+4</f>
        <v>40253</v>
      </c>
      <c r="W4608">
        <f>IF(D4608=' Pivot Tables'!$A$4,1,0)</f>
        <v>0</v>
      </c>
      <c r="X4608">
        <f>IF(AND(LEFT(D4608,4)+1=LEFT(' Pivot Tables'!$A$4,4)+0,RIGHT(LEFT(D4608,7),2)=RIGHT(LEFT(' Pivot Tables'!$A$4,7),2)),1,0)</f>
        <v>0</v>
      </c>
      <c r="Y4608" s="6">
        <f>1/COUNTIF(Таблица1[Order ID],Таблица1[[#This Row],[Order ID]])</f>
        <v>1</v>
      </c>
      <c r="Z4608" s="9">
        <f>1/COUNTIFS(Таблица1[Customer Name],Таблица1[[#This Row],[Customer Name]],Таблица1[Order-Year-Month],Таблица1[[#This Row],[Order-Year-Month]])</f>
        <v>1</v>
      </c>
    </row>
    <row r="4609" spans="1:26" x14ac:dyDescent="0.2">
      <c r="A4609" s="6">
        <v>354</v>
      </c>
      <c r="B4609" s="7">
        <v>2466</v>
      </c>
      <c r="C4609" s="8">
        <f>DATE(2012,12,31)-1397</f>
        <v>39877</v>
      </c>
      <c r="D4609" s="8" t="str">
        <f t="shared" si="84"/>
        <v>2009-03 (март 2009)</v>
      </c>
      <c r="E4609" s="9" t="s">
        <v>78</v>
      </c>
      <c r="F4609" s="7">
        <v>25</v>
      </c>
      <c r="G4609" s="7">
        <v>2553.84</v>
      </c>
      <c r="H4609" s="7">
        <v>0.05</v>
      </c>
      <c r="I4609" s="9" t="s">
        <v>22</v>
      </c>
      <c r="J4609" s="10">
        <v>553.70000000000005</v>
      </c>
      <c r="K4609" s="11">
        <v>107.53</v>
      </c>
      <c r="L4609" s="11">
        <v>5.81</v>
      </c>
      <c r="M4609" s="9" t="s">
        <v>1815</v>
      </c>
      <c r="N4609" s="6" t="s">
        <v>1813</v>
      </c>
      <c r="O4609" s="6" t="s">
        <v>512</v>
      </c>
      <c r="P4609" s="9" t="s">
        <v>60</v>
      </c>
      <c r="Q4609" s="9" t="s">
        <v>49</v>
      </c>
      <c r="R4609" s="9" t="s">
        <v>50</v>
      </c>
      <c r="S4609" s="7" t="s">
        <v>473</v>
      </c>
      <c r="T4609" s="9" t="s">
        <v>48</v>
      </c>
      <c r="U4609" s="7">
        <v>0.65</v>
      </c>
      <c r="V4609" s="12">
        <f>C4609+1</f>
        <v>39878</v>
      </c>
      <c r="W4609">
        <f>IF(D4609=' Pivot Tables'!$A$4,1,0)</f>
        <v>0</v>
      </c>
      <c r="X4609">
        <f>IF(AND(LEFT(D4609,4)+1=LEFT(' Pivot Tables'!$A$4,4)+0,RIGHT(LEFT(D4609,7),2)=RIGHT(LEFT(' Pivot Tables'!$A$4,7),2)),1,0)</f>
        <v>0</v>
      </c>
      <c r="Y4609" s="6">
        <f>1/COUNTIF(Таблица1[Order ID],Таблица1[[#This Row],[Order ID]])</f>
        <v>1</v>
      </c>
      <c r="Z4609" s="9">
        <f>1/COUNTIFS(Таблица1[Customer Name],Таблица1[[#This Row],[Customer Name]],Таблица1[Order-Year-Month],Таблица1[[#This Row],[Order-Year-Month]])</f>
        <v>1</v>
      </c>
    </row>
    <row r="4610" spans="1:26" x14ac:dyDescent="0.2">
      <c r="A4610" s="6">
        <v>509</v>
      </c>
      <c r="B4610" s="7">
        <v>3493</v>
      </c>
      <c r="C4610" s="8">
        <f>DATE(2012,12,31)-861</f>
        <v>40413</v>
      </c>
      <c r="D4610" s="8" t="str">
        <f t="shared" si="84"/>
        <v>2010-08 (август 2010)</v>
      </c>
      <c r="E4610" s="9" t="s">
        <v>30</v>
      </c>
      <c r="F4610" s="7">
        <v>48</v>
      </c>
      <c r="G4610" s="7">
        <v>7518.12</v>
      </c>
      <c r="H4610" s="7">
        <v>0.04</v>
      </c>
      <c r="I4610" s="9" t="s">
        <v>22</v>
      </c>
      <c r="J4610" s="10">
        <v>1027.6300000000001</v>
      </c>
      <c r="K4610" s="11">
        <v>152.47999999999999</v>
      </c>
      <c r="L4610" s="11">
        <v>6.5</v>
      </c>
      <c r="M4610" s="9" t="s">
        <v>1816</v>
      </c>
      <c r="N4610" s="6" t="s">
        <v>1813</v>
      </c>
      <c r="O4610" s="6" t="s">
        <v>512</v>
      </c>
      <c r="P4610" s="9" t="s">
        <v>60</v>
      </c>
      <c r="Q4610" s="9" t="s">
        <v>42</v>
      </c>
      <c r="R4610" s="9" t="s">
        <v>70</v>
      </c>
      <c r="S4610" s="7" t="s">
        <v>844</v>
      </c>
      <c r="T4610" s="9" t="s">
        <v>39</v>
      </c>
      <c r="U4610" s="7">
        <v>0.74</v>
      </c>
      <c r="V4610" s="12">
        <f>C4610+2</f>
        <v>40415</v>
      </c>
      <c r="W4610">
        <f>IF(D4610=' Pivot Tables'!$A$4,1,0)</f>
        <v>0</v>
      </c>
      <c r="X4610">
        <f>IF(AND(LEFT(D4610,4)+1=LEFT(' Pivot Tables'!$A$4,4)+0,RIGHT(LEFT(D4610,7),2)=RIGHT(LEFT(' Pivot Tables'!$A$4,7),2)),1,0)</f>
        <v>0</v>
      </c>
      <c r="Y4610" s="6">
        <f>1/COUNTIF(Таблица1[Order ID],Таблица1[[#This Row],[Order ID]])</f>
        <v>1</v>
      </c>
      <c r="Z4610" s="9">
        <f>1/COUNTIFS(Таблица1[Customer Name],Таблица1[[#This Row],[Customer Name]],Таблица1[Order-Year-Month],Таблица1[[#This Row],[Order-Year-Month]])</f>
        <v>1</v>
      </c>
    </row>
    <row r="4611" spans="1:26" x14ac:dyDescent="0.2">
      <c r="A4611" s="6">
        <v>525</v>
      </c>
      <c r="B4611" s="7">
        <v>3588</v>
      </c>
      <c r="C4611" s="8">
        <f>DATE(2012,12,31)-654</f>
        <v>40620</v>
      </c>
      <c r="D4611" s="8" t="str">
        <f t="shared" ref="D4611:D4674" si="85">TEXT(C4611,"гггг-ММ (ММММ гггг)")</f>
        <v>2011-03 (март 2011)</v>
      </c>
      <c r="E4611" s="9" t="s">
        <v>45</v>
      </c>
      <c r="F4611" s="7">
        <v>42</v>
      </c>
      <c r="G4611" s="7">
        <v>374.38</v>
      </c>
      <c r="H4611" s="7">
        <v>0.03</v>
      </c>
      <c r="I4611" s="9" t="s">
        <v>22</v>
      </c>
      <c r="J4611" s="10">
        <v>-1.1599999999999999</v>
      </c>
      <c r="K4611" s="11">
        <v>8.67</v>
      </c>
      <c r="L4611" s="11">
        <v>3.5</v>
      </c>
      <c r="M4611" s="9" t="s">
        <v>1816</v>
      </c>
      <c r="N4611" s="6" t="s">
        <v>1813</v>
      </c>
      <c r="O4611" s="6" t="s">
        <v>512</v>
      </c>
      <c r="P4611" s="9" t="s">
        <v>60</v>
      </c>
      <c r="Q4611" s="9" t="s">
        <v>26</v>
      </c>
      <c r="R4611" s="9" t="s">
        <v>34</v>
      </c>
      <c r="S4611" s="7" t="s">
        <v>1128</v>
      </c>
      <c r="T4611" s="9" t="s">
        <v>39</v>
      </c>
      <c r="U4611" s="7">
        <v>0.57999999999999996</v>
      </c>
      <c r="V4611" s="12">
        <f>C4611+1</f>
        <v>40621</v>
      </c>
      <c r="W4611">
        <f>IF(D4611=' Pivot Tables'!$A$4,1,0)</f>
        <v>0</v>
      </c>
      <c r="X4611">
        <f>IF(AND(LEFT(D4611,4)+1=LEFT(' Pivot Tables'!$A$4,4)+0,RIGHT(LEFT(D4611,7),2)=RIGHT(LEFT(' Pivot Tables'!$A$4,7),2)),1,0)</f>
        <v>0</v>
      </c>
      <c r="Y4611" s="6">
        <f>1/COUNTIF(Таблица1[Order ID],Таблица1[[#This Row],[Order ID]])</f>
        <v>0.25</v>
      </c>
      <c r="Z4611" s="9">
        <f>1/COUNTIFS(Таблица1[Customer Name],Таблица1[[#This Row],[Customer Name]],Таблица1[Order-Year-Month],Таблица1[[#This Row],[Order-Year-Month]])</f>
        <v>0.25</v>
      </c>
    </row>
    <row r="4612" spans="1:26" x14ac:dyDescent="0.2">
      <c r="A4612" s="6">
        <v>526</v>
      </c>
      <c r="B4612" s="7">
        <v>3588</v>
      </c>
      <c r="C4612" s="8">
        <f>DATE(2012,12,31)-654</f>
        <v>40620</v>
      </c>
      <c r="D4612" s="8" t="str">
        <f t="shared" si="85"/>
        <v>2011-03 (март 2011)</v>
      </c>
      <c r="E4612" s="9" t="s">
        <v>45</v>
      </c>
      <c r="F4612" s="7">
        <v>21</v>
      </c>
      <c r="G4612" s="7">
        <v>1557.42</v>
      </c>
      <c r="H4612" s="7">
        <v>0.01</v>
      </c>
      <c r="I4612" s="9" t="s">
        <v>22</v>
      </c>
      <c r="J4612" s="10">
        <v>-123.81</v>
      </c>
      <c r="K4612" s="11">
        <v>73.98</v>
      </c>
      <c r="L4612" s="11">
        <v>4</v>
      </c>
      <c r="M4612" s="9" t="s">
        <v>1816</v>
      </c>
      <c r="N4612" s="6" t="s">
        <v>1813</v>
      </c>
      <c r="O4612" s="6" t="s">
        <v>512</v>
      </c>
      <c r="P4612" s="9" t="s">
        <v>60</v>
      </c>
      <c r="Q4612" s="9" t="s">
        <v>42</v>
      </c>
      <c r="R4612" s="9" t="s">
        <v>70</v>
      </c>
      <c r="S4612" s="7" t="s">
        <v>822</v>
      </c>
      <c r="T4612" s="9" t="s">
        <v>39</v>
      </c>
      <c r="U4612" s="7">
        <v>0.79</v>
      </c>
      <c r="V4612" s="12">
        <f>C4612+2</f>
        <v>40622</v>
      </c>
      <c r="W4612">
        <f>IF(D4612=' Pivot Tables'!$A$4,1,0)</f>
        <v>0</v>
      </c>
      <c r="X4612">
        <f>IF(AND(LEFT(D4612,4)+1=LEFT(' Pivot Tables'!$A$4,4)+0,RIGHT(LEFT(D4612,7),2)=RIGHT(LEFT(' Pivot Tables'!$A$4,7),2)),1,0)</f>
        <v>0</v>
      </c>
      <c r="Y4612" s="6">
        <f>1/COUNTIF(Таблица1[Order ID],Таблица1[[#This Row],[Order ID]])</f>
        <v>0.25</v>
      </c>
      <c r="Z4612" s="9">
        <f>1/COUNTIFS(Таблица1[Customer Name],Таблица1[[#This Row],[Customer Name]],Таблица1[Order-Year-Month],Таблица1[[#This Row],[Order-Year-Month]])</f>
        <v>0.25</v>
      </c>
    </row>
    <row r="4613" spans="1:26" x14ac:dyDescent="0.2">
      <c r="A4613" s="6">
        <v>527</v>
      </c>
      <c r="B4613" s="7">
        <v>3588</v>
      </c>
      <c r="C4613" s="8">
        <f>DATE(2012,12,31)-654</f>
        <v>40620</v>
      </c>
      <c r="D4613" s="8" t="str">
        <f t="shared" si="85"/>
        <v>2011-03 (март 2011)</v>
      </c>
      <c r="E4613" s="9" t="s">
        <v>45</v>
      </c>
      <c r="F4613" s="7">
        <v>14</v>
      </c>
      <c r="G4613" s="7">
        <v>410.27</v>
      </c>
      <c r="H4613" s="7">
        <v>0.08</v>
      </c>
      <c r="I4613" s="9" t="s">
        <v>22</v>
      </c>
      <c r="J4613" s="10">
        <v>226.72</v>
      </c>
      <c r="K4613" s="11">
        <v>30.93</v>
      </c>
      <c r="L4613" s="11">
        <v>3.92</v>
      </c>
      <c r="M4613" s="9" t="s">
        <v>1816</v>
      </c>
      <c r="N4613" s="6" t="s">
        <v>1813</v>
      </c>
      <c r="O4613" s="6" t="s">
        <v>512</v>
      </c>
      <c r="P4613" s="9" t="s">
        <v>60</v>
      </c>
      <c r="Q4613" s="9" t="s">
        <v>49</v>
      </c>
      <c r="R4613" s="9" t="s">
        <v>50</v>
      </c>
      <c r="S4613" s="7" t="s">
        <v>786</v>
      </c>
      <c r="T4613" s="9" t="s">
        <v>52</v>
      </c>
      <c r="U4613" s="7">
        <v>0.44</v>
      </c>
      <c r="V4613" s="12">
        <f>C4613+2</f>
        <v>40622</v>
      </c>
      <c r="W4613">
        <f>IF(D4613=' Pivot Tables'!$A$4,1,0)</f>
        <v>0</v>
      </c>
      <c r="X4613">
        <f>IF(AND(LEFT(D4613,4)+1=LEFT(' Pivot Tables'!$A$4,4)+0,RIGHT(LEFT(D4613,7),2)=RIGHT(LEFT(' Pivot Tables'!$A$4,7),2)),1,0)</f>
        <v>0</v>
      </c>
      <c r="Y4613" s="6">
        <f>1/COUNTIF(Таблица1[Order ID],Таблица1[[#This Row],[Order ID]])</f>
        <v>0.25</v>
      </c>
      <c r="Z4613" s="9">
        <f>1/COUNTIFS(Таблица1[Customer Name],Таблица1[[#This Row],[Customer Name]],Таблица1[Order-Year-Month],Таблица1[[#This Row],[Order-Year-Month]])</f>
        <v>0.25</v>
      </c>
    </row>
    <row r="4614" spans="1:26" x14ac:dyDescent="0.2">
      <c r="A4614" s="6">
        <v>528</v>
      </c>
      <c r="B4614" s="7">
        <v>3588</v>
      </c>
      <c r="C4614" s="8">
        <f>DATE(2012,12,31)-654</f>
        <v>40620</v>
      </c>
      <c r="D4614" s="8" t="str">
        <f t="shared" si="85"/>
        <v>2011-03 (март 2011)</v>
      </c>
      <c r="E4614" s="9" t="s">
        <v>45</v>
      </c>
      <c r="F4614" s="7">
        <v>18</v>
      </c>
      <c r="G4614" s="7">
        <v>1531.93</v>
      </c>
      <c r="H4614" s="7">
        <v>0.1</v>
      </c>
      <c r="I4614" s="9" t="s">
        <v>31</v>
      </c>
      <c r="J4614" s="10">
        <v>326.56</v>
      </c>
      <c r="K4614" s="11">
        <v>90.97</v>
      </c>
      <c r="L4614" s="11">
        <v>14</v>
      </c>
      <c r="M4614" s="9" t="s">
        <v>1816</v>
      </c>
      <c r="N4614" s="6" t="s">
        <v>1813</v>
      </c>
      <c r="O4614" s="6" t="s">
        <v>512</v>
      </c>
      <c r="P4614" s="9" t="s">
        <v>60</v>
      </c>
      <c r="Q4614" s="9" t="s">
        <v>42</v>
      </c>
      <c r="R4614" s="9" t="s">
        <v>210</v>
      </c>
      <c r="S4614" s="7" t="s">
        <v>772</v>
      </c>
      <c r="T4614" s="9" t="s">
        <v>36</v>
      </c>
      <c r="U4614" s="7">
        <v>0.36</v>
      </c>
      <c r="V4614" s="12">
        <f>C4614+0</f>
        <v>40620</v>
      </c>
      <c r="W4614">
        <f>IF(D4614=' Pivot Tables'!$A$4,1,0)</f>
        <v>0</v>
      </c>
      <c r="X4614">
        <f>IF(AND(LEFT(D4614,4)+1=LEFT(' Pivot Tables'!$A$4,4)+0,RIGHT(LEFT(D4614,7),2)=RIGHT(LEFT(' Pivot Tables'!$A$4,7),2)),1,0)</f>
        <v>0</v>
      </c>
      <c r="Y4614" s="6">
        <f>1/COUNTIF(Таблица1[Order ID],Таблица1[[#This Row],[Order ID]])</f>
        <v>0.25</v>
      </c>
      <c r="Z4614" s="9">
        <f>1/COUNTIFS(Таблица1[Customer Name],Таблица1[[#This Row],[Customer Name]],Таблица1[Order-Year-Month],Таблица1[[#This Row],[Order-Year-Month]])</f>
        <v>0.25</v>
      </c>
    </row>
    <row r="4615" spans="1:26" x14ac:dyDescent="0.2">
      <c r="A4615" s="6">
        <v>824</v>
      </c>
      <c r="B4615" s="7">
        <v>5957</v>
      </c>
      <c r="C4615" s="8">
        <f>DATE(2012,12,31)-736</f>
        <v>40538</v>
      </c>
      <c r="D4615" s="8" t="str">
        <f t="shared" si="85"/>
        <v>2010-12 (декабрь 2010)</v>
      </c>
      <c r="E4615" s="9" t="s">
        <v>30</v>
      </c>
      <c r="F4615" s="7">
        <v>15</v>
      </c>
      <c r="G4615" s="7">
        <v>68.319999999999993</v>
      </c>
      <c r="H4615" s="7">
        <v>0.05</v>
      </c>
      <c r="I4615" s="9" t="s">
        <v>22</v>
      </c>
      <c r="J4615" s="10">
        <v>-66.72</v>
      </c>
      <c r="K4615" s="11">
        <v>4.28</v>
      </c>
      <c r="L4615" s="11">
        <v>6.72</v>
      </c>
      <c r="M4615" s="9" t="s">
        <v>1812</v>
      </c>
      <c r="N4615" s="6" t="s">
        <v>1813</v>
      </c>
      <c r="O4615" s="6" t="s">
        <v>512</v>
      </c>
      <c r="P4615" s="9" t="s">
        <v>25</v>
      </c>
      <c r="Q4615" s="9" t="s">
        <v>26</v>
      </c>
      <c r="R4615" s="9" t="s">
        <v>61</v>
      </c>
      <c r="S4615" s="7" t="s">
        <v>1007</v>
      </c>
      <c r="T4615" s="9" t="s">
        <v>39</v>
      </c>
      <c r="U4615" s="7">
        <v>0.4</v>
      </c>
      <c r="V4615" s="12">
        <f>C4615+1</f>
        <v>40539</v>
      </c>
      <c r="W4615">
        <f>IF(D4615=' Pivot Tables'!$A$4,1,0)</f>
        <v>0</v>
      </c>
      <c r="X4615">
        <f>IF(AND(LEFT(D4615,4)+1=LEFT(' Pivot Tables'!$A$4,4)+0,RIGHT(LEFT(D4615,7),2)=RIGHT(LEFT(' Pivot Tables'!$A$4,7),2)),1,0)</f>
        <v>0</v>
      </c>
      <c r="Y4615" s="6">
        <f>1/COUNTIF(Таблица1[Order ID],Таблица1[[#This Row],[Order ID]])</f>
        <v>0.33333333333333331</v>
      </c>
      <c r="Z4615" s="9">
        <f>1/COUNTIFS(Таблица1[Customer Name],Таблица1[[#This Row],[Customer Name]],Таблица1[Order-Year-Month],Таблица1[[#This Row],[Order-Year-Month]])</f>
        <v>0.2</v>
      </c>
    </row>
    <row r="4616" spans="1:26" x14ac:dyDescent="0.2">
      <c r="A4616" s="6">
        <v>825</v>
      </c>
      <c r="B4616" s="7">
        <v>5957</v>
      </c>
      <c r="C4616" s="8">
        <f>DATE(2012,12,31)-736</f>
        <v>40538</v>
      </c>
      <c r="D4616" s="8" t="str">
        <f t="shared" si="85"/>
        <v>2010-12 (декабрь 2010)</v>
      </c>
      <c r="E4616" s="9" t="s">
        <v>30</v>
      </c>
      <c r="F4616" s="7">
        <v>3</v>
      </c>
      <c r="G4616" s="7">
        <v>536.38</v>
      </c>
      <c r="H4616" s="7">
        <v>0.03</v>
      </c>
      <c r="I4616" s="9" t="s">
        <v>31</v>
      </c>
      <c r="J4616" s="10">
        <v>-258.8</v>
      </c>
      <c r="K4616" s="11">
        <v>150.97999999999999</v>
      </c>
      <c r="L4616" s="11">
        <v>66.27</v>
      </c>
      <c r="M4616" s="9" t="s">
        <v>1812</v>
      </c>
      <c r="N4616" s="6" t="s">
        <v>1813</v>
      </c>
      <c r="O4616" s="6" t="s">
        <v>512</v>
      </c>
      <c r="P4616" s="9" t="s">
        <v>25</v>
      </c>
      <c r="Q4616" s="9" t="s">
        <v>49</v>
      </c>
      <c r="R4616" s="9" t="s">
        <v>80</v>
      </c>
      <c r="S4616" s="7" t="s">
        <v>325</v>
      </c>
      <c r="T4616" s="9" t="s">
        <v>82</v>
      </c>
      <c r="U4616" s="7">
        <v>0.65</v>
      </c>
      <c r="V4616" s="12">
        <f>C4616+2</f>
        <v>40540</v>
      </c>
      <c r="W4616">
        <f>IF(D4616=' Pivot Tables'!$A$4,1,0)</f>
        <v>0</v>
      </c>
      <c r="X4616">
        <f>IF(AND(LEFT(D4616,4)+1=LEFT(' Pivot Tables'!$A$4,4)+0,RIGHT(LEFT(D4616,7),2)=RIGHT(LEFT(' Pivot Tables'!$A$4,7),2)),1,0)</f>
        <v>0</v>
      </c>
      <c r="Y4616" s="6">
        <f>1/COUNTIF(Таблица1[Order ID],Таблица1[[#This Row],[Order ID]])</f>
        <v>0.33333333333333331</v>
      </c>
      <c r="Z4616" s="9">
        <f>1/COUNTIFS(Таблица1[Customer Name],Таблица1[[#This Row],[Customer Name]],Таблица1[Order-Year-Month],Таблица1[[#This Row],[Order-Year-Month]])</f>
        <v>0.2</v>
      </c>
    </row>
    <row r="4617" spans="1:26" x14ac:dyDescent="0.2">
      <c r="A4617" s="6">
        <v>826</v>
      </c>
      <c r="B4617" s="7">
        <v>5957</v>
      </c>
      <c r="C4617" s="8">
        <f>DATE(2012,12,31)-736</f>
        <v>40538</v>
      </c>
      <c r="D4617" s="8" t="str">
        <f t="shared" si="85"/>
        <v>2010-12 (декабрь 2010)</v>
      </c>
      <c r="E4617" s="9" t="s">
        <v>30</v>
      </c>
      <c r="F4617" s="7">
        <v>23</v>
      </c>
      <c r="G4617" s="7">
        <v>391.87549999999999</v>
      </c>
      <c r="H4617" s="7">
        <v>0.1</v>
      </c>
      <c r="I4617" s="9" t="s">
        <v>22</v>
      </c>
      <c r="J4617" s="10">
        <v>-38.016000000000005</v>
      </c>
      <c r="K4617" s="11">
        <v>20.99</v>
      </c>
      <c r="L4617" s="11">
        <v>4.8099999999999996</v>
      </c>
      <c r="M4617" s="9" t="s">
        <v>1812</v>
      </c>
      <c r="N4617" s="6" t="s">
        <v>1813</v>
      </c>
      <c r="O4617" s="6" t="s">
        <v>512</v>
      </c>
      <c r="P4617" s="9" t="s">
        <v>25</v>
      </c>
      <c r="Q4617" s="9" t="s">
        <v>42</v>
      </c>
      <c r="R4617" s="9" t="s">
        <v>43</v>
      </c>
      <c r="S4617" s="7" t="s">
        <v>760</v>
      </c>
      <c r="T4617" s="9" t="s">
        <v>48</v>
      </c>
      <c r="U4617" s="7">
        <v>0.57999999999999996</v>
      </c>
      <c r="V4617" s="12">
        <f>C4617+3</f>
        <v>40541</v>
      </c>
      <c r="W4617">
        <f>IF(D4617=' Pivot Tables'!$A$4,1,0)</f>
        <v>0</v>
      </c>
      <c r="X4617">
        <f>IF(AND(LEFT(D4617,4)+1=LEFT(' Pivot Tables'!$A$4,4)+0,RIGHT(LEFT(D4617,7),2)=RIGHT(LEFT(' Pivot Tables'!$A$4,7),2)),1,0)</f>
        <v>0</v>
      </c>
      <c r="Y4617" s="6">
        <f>1/COUNTIF(Таблица1[Order ID],Таблица1[[#This Row],[Order ID]])</f>
        <v>0.33333333333333331</v>
      </c>
      <c r="Z4617" s="9">
        <f>1/COUNTIFS(Таблица1[Customer Name],Таблица1[[#This Row],[Customer Name]],Таблица1[Order-Year-Month],Таблица1[[#This Row],[Order-Year-Month]])</f>
        <v>0.2</v>
      </c>
    </row>
    <row r="4618" spans="1:26" x14ac:dyDescent="0.2">
      <c r="A4618" s="6">
        <v>865</v>
      </c>
      <c r="B4618" s="7">
        <v>6183</v>
      </c>
      <c r="C4618" s="8">
        <f>DATE(2012,12,31)-199</f>
        <v>41075</v>
      </c>
      <c r="D4618" s="8" t="str">
        <f t="shared" si="85"/>
        <v>2012-06 (июнь 2012)</v>
      </c>
      <c r="E4618" s="9" t="s">
        <v>63</v>
      </c>
      <c r="F4618" s="7">
        <v>41</v>
      </c>
      <c r="G4618" s="7">
        <v>1991.93</v>
      </c>
      <c r="H4618" s="7">
        <v>0.02</v>
      </c>
      <c r="I4618" s="9" t="s">
        <v>22</v>
      </c>
      <c r="J4618" s="10">
        <v>951.5</v>
      </c>
      <c r="K4618" s="11">
        <v>48.94</v>
      </c>
      <c r="L4618" s="11">
        <v>5.86</v>
      </c>
      <c r="M4618" s="9" t="s">
        <v>1812</v>
      </c>
      <c r="N4618" s="6" t="s">
        <v>1813</v>
      </c>
      <c r="O4618" s="6" t="s">
        <v>512</v>
      </c>
      <c r="P4618" s="9" t="s">
        <v>25</v>
      </c>
      <c r="Q4618" s="9" t="s">
        <v>26</v>
      </c>
      <c r="R4618" s="9" t="s">
        <v>61</v>
      </c>
      <c r="S4618" s="7" t="s">
        <v>1422</v>
      </c>
      <c r="T4618" s="9" t="s">
        <v>39</v>
      </c>
      <c r="U4618" s="7">
        <v>0.35</v>
      </c>
      <c r="V4618" s="12">
        <f>C4618+1</f>
        <v>41076</v>
      </c>
      <c r="W4618">
        <f>IF(D4618=' Pivot Tables'!$A$4,1,0)</f>
        <v>0</v>
      </c>
      <c r="X4618">
        <f>IF(AND(LEFT(D4618,4)+1=LEFT(' Pivot Tables'!$A$4,4)+0,RIGHT(LEFT(D4618,7),2)=RIGHT(LEFT(' Pivot Tables'!$A$4,7),2)),1,0)</f>
        <v>0</v>
      </c>
      <c r="Y4618" s="6">
        <f>1/COUNTIF(Таблица1[Order ID],Таблица1[[#This Row],[Order ID]])</f>
        <v>1</v>
      </c>
      <c r="Z4618" s="9">
        <f>1/COUNTIFS(Таблица1[Customer Name],Таблица1[[#This Row],[Customer Name]],Таблица1[Order-Year-Month],Таблица1[[#This Row],[Order-Year-Month]])</f>
        <v>1</v>
      </c>
    </row>
    <row r="4619" spans="1:26" x14ac:dyDescent="0.2">
      <c r="A4619" s="6">
        <v>890</v>
      </c>
      <c r="B4619" s="7">
        <v>6402</v>
      </c>
      <c r="C4619" s="8">
        <f>DATE(2012,12,31)-618</f>
        <v>40656</v>
      </c>
      <c r="D4619" s="8" t="str">
        <f t="shared" si="85"/>
        <v>2011-04 (апрель 2011)</v>
      </c>
      <c r="E4619" s="9" t="s">
        <v>21</v>
      </c>
      <c r="F4619" s="7">
        <v>35</v>
      </c>
      <c r="G4619" s="7">
        <v>373.33</v>
      </c>
      <c r="H4619" s="7">
        <v>0.01</v>
      </c>
      <c r="I4619" s="9" t="s">
        <v>22</v>
      </c>
      <c r="J4619" s="10">
        <v>-22.18</v>
      </c>
      <c r="K4619" s="11">
        <v>10.23</v>
      </c>
      <c r="L4619" s="11">
        <v>4.68</v>
      </c>
      <c r="M4619" s="9" t="s">
        <v>1062</v>
      </c>
      <c r="N4619" s="6" t="s">
        <v>1813</v>
      </c>
      <c r="O4619" s="6" t="s">
        <v>512</v>
      </c>
      <c r="P4619" s="9" t="s">
        <v>41</v>
      </c>
      <c r="Q4619" s="9" t="s">
        <v>26</v>
      </c>
      <c r="R4619" s="9" t="s">
        <v>150</v>
      </c>
      <c r="S4619" s="7" t="s">
        <v>1054</v>
      </c>
      <c r="T4619" s="9" t="s">
        <v>52</v>
      </c>
      <c r="U4619" s="7">
        <v>0.59</v>
      </c>
      <c r="V4619" s="12">
        <f>C4619+5</f>
        <v>40661</v>
      </c>
      <c r="W4619">
        <f>IF(D4619=' Pivot Tables'!$A$4,1,0)</f>
        <v>0</v>
      </c>
      <c r="X4619">
        <f>IF(AND(LEFT(D4619,4)+1=LEFT(' Pivot Tables'!$A$4,4)+0,RIGHT(LEFT(D4619,7),2)=RIGHT(LEFT(' Pivot Tables'!$A$4,7),2)),1,0)</f>
        <v>0</v>
      </c>
      <c r="Y4619" s="6">
        <f>1/COUNTIF(Таблица1[Order ID],Таблица1[[#This Row],[Order ID]])</f>
        <v>1</v>
      </c>
      <c r="Z4619" s="9">
        <f>1/COUNTIFS(Таблица1[Customer Name],Таблица1[[#This Row],[Customer Name]],Таблица1[Order-Year-Month],Таблица1[[#This Row],[Order-Year-Month]])</f>
        <v>0.33333333333333331</v>
      </c>
    </row>
    <row r="4620" spans="1:26" x14ac:dyDescent="0.2">
      <c r="A4620" s="6">
        <v>927</v>
      </c>
      <c r="B4620" s="7">
        <v>6720</v>
      </c>
      <c r="C4620" s="8">
        <f>DATE(2012,12,31)-844</f>
        <v>40430</v>
      </c>
      <c r="D4620" s="8" t="str">
        <f t="shared" si="85"/>
        <v>2010-09 (сентябрь 2010)</v>
      </c>
      <c r="E4620" s="9" t="s">
        <v>45</v>
      </c>
      <c r="F4620" s="7">
        <v>31</v>
      </c>
      <c r="G4620" s="7">
        <v>164.62</v>
      </c>
      <c r="H4620" s="7">
        <v>0.03</v>
      </c>
      <c r="I4620" s="9" t="s">
        <v>22</v>
      </c>
      <c r="J4620" s="10">
        <v>-93.713499999999996</v>
      </c>
      <c r="K4620" s="11">
        <v>5.18</v>
      </c>
      <c r="L4620" s="11">
        <v>5.74</v>
      </c>
      <c r="M4620" s="9" t="s">
        <v>1816</v>
      </c>
      <c r="N4620" s="6" t="s">
        <v>1813</v>
      </c>
      <c r="O4620" s="6" t="s">
        <v>512</v>
      </c>
      <c r="P4620" s="9" t="s">
        <v>60</v>
      </c>
      <c r="Q4620" s="9" t="s">
        <v>26</v>
      </c>
      <c r="R4620" s="9" t="s">
        <v>37</v>
      </c>
      <c r="S4620" s="7" t="s">
        <v>606</v>
      </c>
      <c r="T4620" s="9" t="s">
        <v>39</v>
      </c>
      <c r="U4620" s="7">
        <v>0.36</v>
      </c>
      <c r="V4620" s="12">
        <f>C4620+1</f>
        <v>40431</v>
      </c>
      <c r="W4620">
        <f>IF(D4620=' Pivot Tables'!$A$4,1,0)</f>
        <v>0</v>
      </c>
      <c r="X4620">
        <f>IF(AND(LEFT(D4620,4)+1=LEFT(' Pivot Tables'!$A$4,4)+0,RIGHT(LEFT(D4620,7),2)=RIGHT(LEFT(' Pivot Tables'!$A$4,7),2)),1,0)</f>
        <v>0</v>
      </c>
      <c r="Y4620" s="6">
        <f>1/COUNTIF(Таблица1[Order ID],Таблица1[[#This Row],[Order ID]])</f>
        <v>0.33333333333333331</v>
      </c>
      <c r="Z4620" s="9">
        <f>1/COUNTIFS(Таблица1[Customer Name],Таблица1[[#This Row],[Customer Name]],Таблица1[Order-Year-Month],Таблица1[[#This Row],[Order-Year-Month]])</f>
        <v>0.16666666666666666</v>
      </c>
    </row>
    <row r="4621" spans="1:26" x14ac:dyDescent="0.2">
      <c r="A4621" s="6">
        <v>928</v>
      </c>
      <c r="B4621" s="7">
        <v>6720</v>
      </c>
      <c r="C4621" s="8">
        <f>DATE(2012,12,31)-844</f>
        <v>40430</v>
      </c>
      <c r="D4621" s="8" t="str">
        <f t="shared" si="85"/>
        <v>2010-09 (сентябрь 2010)</v>
      </c>
      <c r="E4621" s="9" t="s">
        <v>45</v>
      </c>
      <c r="F4621" s="7">
        <v>36</v>
      </c>
      <c r="G4621" s="7">
        <v>4225.7700000000004</v>
      </c>
      <c r="H4621" s="7">
        <v>0.08</v>
      </c>
      <c r="I4621" s="9" t="s">
        <v>31</v>
      </c>
      <c r="J4621" s="10">
        <v>-1393.69</v>
      </c>
      <c r="K4621" s="11">
        <v>120.98</v>
      </c>
      <c r="L4621" s="11">
        <v>58.64</v>
      </c>
      <c r="M4621" s="9" t="s">
        <v>1816</v>
      </c>
      <c r="N4621" s="6" t="s">
        <v>1813</v>
      </c>
      <c r="O4621" s="6" t="s">
        <v>512</v>
      </c>
      <c r="P4621" s="9" t="s">
        <v>60</v>
      </c>
      <c r="Q4621" s="9" t="s">
        <v>49</v>
      </c>
      <c r="R4621" s="9" t="s">
        <v>80</v>
      </c>
      <c r="S4621" s="7" t="s">
        <v>1247</v>
      </c>
      <c r="T4621" s="9" t="s">
        <v>82</v>
      </c>
      <c r="U4621" s="7">
        <v>0.75</v>
      </c>
      <c r="V4621" s="12">
        <f>C4621+3</f>
        <v>40433</v>
      </c>
      <c r="W4621">
        <f>IF(D4621=' Pivot Tables'!$A$4,1,0)</f>
        <v>0</v>
      </c>
      <c r="X4621">
        <f>IF(AND(LEFT(D4621,4)+1=LEFT(' Pivot Tables'!$A$4,4)+0,RIGHT(LEFT(D4621,7),2)=RIGHT(LEFT(' Pivot Tables'!$A$4,7),2)),1,0)</f>
        <v>0</v>
      </c>
      <c r="Y4621" s="6">
        <f>1/COUNTIF(Таблица1[Order ID],Таблица1[[#This Row],[Order ID]])</f>
        <v>0.33333333333333331</v>
      </c>
      <c r="Z4621" s="9">
        <f>1/COUNTIFS(Таблица1[Customer Name],Таблица1[[#This Row],[Customer Name]],Таблица1[Order-Year-Month],Таблица1[[#This Row],[Order-Year-Month]])</f>
        <v>0.16666666666666666</v>
      </c>
    </row>
    <row r="4622" spans="1:26" x14ac:dyDescent="0.2">
      <c r="A4622" s="6">
        <v>929</v>
      </c>
      <c r="B4622" s="7">
        <v>6720</v>
      </c>
      <c r="C4622" s="8">
        <f>DATE(2012,12,31)-844</f>
        <v>40430</v>
      </c>
      <c r="D4622" s="8" t="str">
        <f t="shared" si="85"/>
        <v>2010-09 (сентябрь 2010)</v>
      </c>
      <c r="E4622" s="9" t="s">
        <v>45</v>
      </c>
      <c r="F4622" s="7">
        <v>8</v>
      </c>
      <c r="G4622" s="7">
        <v>53.89</v>
      </c>
      <c r="H4622" s="7">
        <v>0.01</v>
      </c>
      <c r="I4622" s="9" t="s">
        <v>22</v>
      </c>
      <c r="J4622" s="10">
        <v>17.63</v>
      </c>
      <c r="K4622" s="11">
        <v>6.3</v>
      </c>
      <c r="L4622" s="11">
        <v>0.5</v>
      </c>
      <c r="M4622" s="9" t="s">
        <v>1816</v>
      </c>
      <c r="N4622" s="6" t="s">
        <v>1813</v>
      </c>
      <c r="O4622" s="6" t="s">
        <v>512</v>
      </c>
      <c r="P4622" s="9" t="s">
        <v>60</v>
      </c>
      <c r="Q4622" s="9" t="s">
        <v>26</v>
      </c>
      <c r="R4622" s="9" t="s">
        <v>88</v>
      </c>
      <c r="S4622" s="7" t="s">
        <v>900</v>
      </c>
      <c r="T4622" s="9" t="s">
        <v>39</v>
      </c>
      <c r="U4622" s="7">
        <v>0.39</v>
      </c>
      <c r="V4622" s="12">
        <f>C4622+2</f>
        <v>40432</v>
      </c>
      <c r="W4622">
        <f>IF(D4622=' Pivot Tables'!$A$4,1,0)</f>
        <v>0</v>
      </c>
      <c r="X4622">
        <f>IF(AND(LEFT(D4622,4)+1=LEFT(' Pivot Tables'!$A$4,4)+0,RIGHT(LEFT(D4622,7),2)=RIGHT(LEFT(' Pivot Tables'!$A$4,7),2)),1,0)</f>
        <v>0</v>
      </c>
      <c r="Y4622" s="6">
        <f>1/COUNTIF(Таблица1[Order ID],Таблица1[[#This Row],[Order ID]])</f>
        <v>0.33333333333333331</v>
      </c>
      <c r="Z4622" s="9">
        <f>1/COUNTIFS(Таблица1[Customer Name],Таблица1[[#This Row],[Customer Name]],Таблица1[Order-Year-Month],Таблица1[[#This Row],[Order-Year-Month]])</f>
        <v>0.16666666666666666</v>
      </c>
    </row>
    <row r="4623" spans="1:26" x14ac:dyDescent="0.2">
      <c r="A4623" s="6">
        <v>936</v>
      </c>
      <c r="B4623" s="7">
        <v>6785</v>
      </c>
      <c r="C4623" s="8">
        <f>DATE(2012,12,31)-239</f>
        <v>41035</v>
      </c>
      <c r="D4623" s="8" t="str">
        <f t="shared" si="85"/>
        <v>2012-05 (май 2012)</v>
      </c>
      <c r="E4623" s="9" t="s">
        <v>63</v>
      </c>
      <c r="F4623" s="7">
        <v>7</v>
      </c>
      <c r="G4623" s="7">
        <v>181.32</v>
      </c>
      <c r="H4623" s="7">
        <v>0.03</v>
      </c>
      <c r="I4623" s="9" t="s">
        <v>22</v>
      </c>
      <c r="J4623" s="10">
        <v>80.319999999999993</v>
      </c>
      <c r="K4623" s="11">
        <v>25.38</v>
      </c>
      <c r="L4623" s="11">
        <v>8.99</v>
      </c>
      <c r="M4623" s="9" t="s">
        <v>1062</v>
      </c>
      <c r="N4623" s="6" t="s">
        <v>1813</v>
      </c>
      <c r="O4623" s="6" t="s">
        <v>512</v>
      </c>
      <c r="P4623" s="9" t="s">
        <v>60</v>
      </c>
      <c r="Q4623" s="9" t="s">
        <v>49</v>
      </c>
      <c r="R4623" s="9" t="s">
        <v>50</v>
      </c>
      <c r="S4623" s="7" t="s">
        <v>335</v>
      </c>
      <c r="T4623" s="9" t="s">
        <v>52</v>
      </c>
      <c r="U4623" s="7">
        <v>0.5</v>
      </c>
      <c r="V4623" s="12">
        <f>C4623+2</f>
        <v>41037</v>
      </c>
      <c r="W4623">
        <f>IF(D4623=' Pivot Tables'!$A$4,1,0)</f>
        <v>0</v>
      </c>
      <c r="X4623">
        <f>IF(AND(LEFT(D4623,4)+1=LEFT(' Pivot Tables'!$A$4,4)+0,RIGHT(LEFT(D4623,7),2)=RIGHT(LEFT(' Pivot Tables'!$A$4,7),2)),1,0)</f>
        <v>0</v>
      </c>
      <c r="Y4623" s="6">
        <f>1/COUNTIF(Таблица1[Order ID],Таблица1[[#This Row],[Order ID]])</f>
        <v>1</v>
      </c>
      <c r="Z4623" s="9">
        <f>1/COUNTIFS(Таблица1[Customer Name],Таблица1[[#This Row],[Customer Name]],Таблица1[Order-Year-Month],Таблица1[[#This Row],[Order-Year-Month]])</f>
        <v>0.5</v>
      </c>
    </row>
    <row r="4624" spans="1:26" x14ac:dyDescent="0.2">
      <c r="A4624" s="6">
        <v>1139</v>
      </c>
      <c r="B4624" s="7">
        <v>8295</v>
      </c>
      <c r="C4624" s="8">
        <f>DATE(2012,12,31)-1370</f>
        <v>39904</v>
      </c>
      <c r="D4624" s="8" t="str">
        <f t="shared" si="85"/>
        <v>2009-04 (апрель 2009)</v>
      </c>
      <c r="E4624" s="9" t="s">
        <v>30</v>
      </c>
      <c r="F4624" s="7">
        <v>30</v>
      </c>
      <c r="G4624" s="7">
        <v>835.15049999999997</v>
      </c>
      <c r="H4624" s="7">
        <v>0.09</v>
      </c>
      <c r="I4624" s="9" t="s">
        <v>22</v>
      </c>
      <c r="J4624" s="10">
        <v>158.17500000000001</v>
      </c>
      <c r="K4624" s="11">
        <v>35.99</v>
      </c>
      <c r="L4624" s="11">
        <v>1.1000000000000001</v>
      </c>
      <c r="M4624" s="9" t="s">
        <v>1817</v>
      </c>
      <c r="N4624" s="6" t="s">
        <v>1813</v>
      </c>
      <c r="O4624" s="6" t="s">
        <v>512</v>
      </c>
      <c r="P4624" s="9" t="s">
        <v>33</v>
      </c>
      <c r="Q4624" s="9" t="s">
        <v>42</v>
      </c>
      <c r="R4624" s="9" t="s">
        <v>43</v>
      </c>
      <c r="S4624" s="7" t="s">
        <v>1082</v>
      </c>
      <c r="T4624" s="9" t="s">
        <v>39</v>
      </c>
      <c r="U4624" s="7">
        <v>0.55000000000000004</v>
      </c>
      <c r="V4624" s="12">
        <f>C4624+2</f>
        <v>39906</v>
      </c>
      <c r="W4624">
        <f>IF(D4624=' Pivot Tables'!$A$4,1,0)</f>
        <v>0</v>
      </c>
      <c r="X4624">
        <f>IF(AND(LEFT(D4624,4)+1=LEFT(' Pivot Tables'!$A$4,4)+0,RIGHT(LEFT(D4624,7),2)=RIGHT(LEFT(' Pivot Tables'!$A$4,7),2)),1,0)</f>
        <v>0</v>
      </c>
      <c r="Y4624" s="6">
        <f>1/COUNTIF(Таблица1[Order ID],Таблица1[[#This Row],[Order ID]])</f>
        <v>0.5</v>
      </c>
      <c r="Z4624" s="9">
        <f>1/COUNTIFS(Таблица1[Customer Name],Таблица1[[#This Row],[Customer Name]],Таблица1[Order-Year-Month],Таблица1[[#This Row],[Order-Year-Month]])</f>
        <v>0.5</v>
      </c>
    </row>
    <row r="4625" spans="1:26" x14ac:dyDescent="0.2">
      <c r="A4625" s="6">
        <v>1140</v>
      </c>
      <c r="B4625" s="7">
        <v>8295</v>
      </c>
      <c r="C4625" s="8">
        <f>DATE(2012,12,31)-1370</f>
        <v>39904</v>
      </c>
      <c r="D4625" s="8" t="str">
        <f t="shared" si="85"/>
        <v>2009-04 (апрель 2009)</v>
      </c>
      <c r="E4625" s="9" t="s">
        <v>30</v>
      </c>
      <c r="F4625" s="7">
        <v>7</v>
      </c>
      <c r="G4625" s="7">
        <v>771.83399999999995</v>
      </c>
      <c r="H4625" s="7">
        <v>0.01</v>
      </c>
      <c r="I4625" s="9" t="s">
        <v>22</v>
      </c>
      <c r="J4625" s="10">
        <v>-295.42700000000002</v>
      </c>
      <c r="K4625" s="11">
        <v>125.99</v>
      </c>
      <c r="L4625" s="11">
        <v>2.5</v>
      </c>
      <c r="M4625" s="9" t="s">
        <v>1817</v>
      </c>
      <c r="N4625" s="6" t="s">
        <v>1813</v>
      </c>
      <c r="O4625" s="6" t="s">
        <v>512</v>
      </c>
      <c r="P4625" s="9" t="s">
        <v>33</v>
      </c>
      <c r="Q4625" s="9" t="s">
        <v>42</v>
      </c>
      <c r="R4625" s="9" t="s">
        <v>43</v>
      </c>
      <c r="S4625" s="7" t="s">
        <v>954</v>
      </c>
      <c r="T4625" s="9" t="s">
        <v>39</v>
      </c>
      <c r="U4625" s="7">
        <v>0.6</v>
      </c>
      <c r="V4625" s="12">
        <f>C4625+1</f>
        <v>39905</v>
      </c>
      <c r="W4625">
        <f>IF(D4625=' Pivot Tables'!$A$4,1,0)</f>
        <v>0</v>
      </c>
      <c r="X4625">
        <f>IF(AND(LEFT(D4625,4)+1=LEFT(' Pivot Tables'!$A$4,4)+0,RIGHT(LEFT(D4625,7),2)=RIGHT(LEFT(' Pivot Tables'!$A$4,7),2)),1,0)</f>
        <v>0</v>
      </c>
      <c r="Y4625" s="6">
        <f>1/COUNTIF(Таблица1[Order ID],Таблица1[[#This Row],[Order ID]])</f>
        <v>0.5</v>
      </c>
      <c r="Z4625" s="9">
        <f>1/COUNTIFS(Таблица1[Customer Name],Таблица1[[#This Row],[Customer Name]],Таблица1[Order-Year-Month],Таблица1[[#This Row],[Order-Year-Month]])</f>
        <v>0.5</v>
      </c>
    </row>
    <row r="4626" spans="1:26" x14ac:dyDescent="0.2">
      <c r="A4626" s="6">
        <v>1189</v>
      </c>
      <c r="B4626" s="7">
        <v>8704</v>
      </c>
      <c r="C4626" s="8">
        <f>DATE(2012,12,31)-550</f>
        <v>40724</v>
      </c>
      <c r="D4626" s="8" t="str">
        <f t="shared" si="85"/>
        <v>2011-06 (июнь 2011)</v>
      </c>
      <c r="E4626" s="9" t="s">
        <v>63</v>
      </c>
      <c r="F4626" s="7">
        <v>43</v>
      </c>
      <c r="G4626" s="7">
        <v>449.17</v>
      </c>
      <c r="H4626" s="7">
        <v>0.01</v>
      </c>
      <c r="I4626" s="9" t="s">
        <v>22</v>
      </c>
      <c r="J4626" s="10">
        <v>198.83</v>
      </c>
      <c r="K4626" s="11">
        <v>9.93</v>
      </c>
      <c r="L4626" s="11">
        <v>1.0900000000000001</v>
      </c>
      <c r="M4626" s="9" t="s">
        <v>1815</v>
      </c>
      <c r="N4626" s="6" t="s">
        <v>1813</v>
      </c>
      <c r="O4626" s="6" t="s">
        <v>512</v>
      </c>
      <c r="P4626" s="9" t="s">
        <v>60</v>
      </c>
      <c r="Q4626" s="9" t="s">
        <v>26</v>
      </c>
      <c r="R4626" s="9" t="s">
        <v>95</v>
      </c>
      <c r="S4626" s="7" t="s">
        <v>1048</v>
      </c>
      <c r="T4626" s="9" t="s">
        <v>68</v>
      </c>
      <c r="U4626" s="7">
        <v>0.43</v>
      </c>
      <c r="V4626" s="12">
        <f>C4626+1</f>
        <v>40725</v>
      </c>
      <c r="W4626">
        <f>IF(D4626=' Pivot Tables'!$A$4,1,0)</f>
        <v>0</v>
      </c>
      <c r="X4626">
        <f>IF(AND(LEFT(D4626,4)+1=LEFT(' Pivot Tables'!$A$4,4)+0,RIGHT(LEFT(D4626,7),2)=RIGHT(LEFT(' Pivot Tables'!$A$4,7),2)),1,0)</f>
        <v>0</v>
      </c>
      <c r="Y4626" s="6">
        <f>1/COUNTIF(Таблица1[Order ID],Таблица1[[#This Row],[Order ID]])</f>
        <v>0.5</v>
      </c>
      <c r="Z4626" s="9">
        <f>1/COUNTIFS(Таблица1[Customer Name],Таблица1[[#This Row],[Customer Name]],Таблица1[Order-Year-Month],Таблица1[[#This Row],[Order-Year-Month]])</f>
        <v>0.5</v>
      </c>
    </row>
    <row r="4627" spans="1:26" x14ac:dyDescent="0.2">
      <c r="A4627" s="6">
        <v>1190</v>
      </c>
      <c r="B4627" s="7">
        <v>8704</v>
      </c>
      <c r="C4627" s="8">
        <f>DATE(2012,12,31)-550</f>
        <v>40724</v>
      </c>
      <c r="D4627" s="8" t="str">
        <f t="shared" si="85"/>
        <v>2011-06 (июнь 2011)</v>
      </c>
      <c r="E4627" s="9" t="s">
        <v>63</v>
      </c>
      <c r="F4627" s="7">
        <v>38</v>
      </c>
      <c r="G4627" s="7">
        <v>79.81</v>
      </c>
      <c r="H4627" s="7">
        <v>0.08</v>
      </c>
      <c r="I4627" s="9" t="s">
        <v>22</v>
      </c>
      <c r="J4627" s="10">
        <v>5.48</v>
      </c>
      <c r="K4627" s="11">
        <v>2.21</v>
      </c>
      <c r="L4627" s="11">
        <v>1</v>
      </c>
      <c r="M4627" s="9" t="s">
        <v>1815</v>
      </c>
      <c r="N4627" s="6" t="s">
        <v>1813</v>
      </c>
      <c r="O4627" s="6" t="s">
        <v>512</v>
      </c>
      <c r="P4627" s="9" t="s">
        <v>60</v>
      </c>
      <c r="Q4627" s="9" t="s">
        <v>26</v>
      </c>
      <c r="R4627" s="9" t="s">
        <v>95</v>
      </c>
      <c r="S4627" s="7" t="s">
        <v>1737</v>
      </c>
      <c r="T4627" s="9" t="s">
        <v>68</v>
      </c>
      <c r="U4627" s="7">
        <v>0.38</v>
      </c>
      <c r="V4627" s="12">
        <f>C4627+1</f>
        <v>40725</v>
      </c>
      <c r="W4627">
        <f>IF(D4627=' Pivot Tables'!$A$4,1,0)</f>
        <v>0</v>
      </c>
      <c r="X4627">
        <f>IF(AND(LEFT(D4627,4)+1=LEFT(' Pivot Tables'!$A$4,4)+0,RIGHT(LEFT(D4627,7),2)=RIGHT(LEFT(' Pivot Tables'!$A$4,7),2)),1,0)</f>
        <v>0</v>
      </c>
      <c r="Y4627" s="6">
        <f>1/COUNTIF(Таблица1[Order ID],Таблица1[[#This Row],[Order ID]])</f>
        <v>0.5</v>
      </c>
      <c r="Z4627" s="9">
        <f>1/COUNTIFS(Таблица1[Customer Name],Таблица1[[#This Row],[Customer Name]],Таблица1[Order-Year-Month],Таблица1[[#This Row],[Order-Year-Month]])</f>
        <v>0.5</v>
      </c>
    </row>
    <row r="4628" spans="1:26" x14ac:dyDescent="0.2">
      <c r="A4628" s="6">
        <v>1206</v>
      </c>
      <c r="B4628" s="7">
        <v>8834</v>
      </c>
      <c r="C4628" s="8">
        <f>DATE(2012,12,31)-784</f>
        <v>40490</v>
      </c>
      <c r="D4628" s="8" t="str">
        <f t="shared" si="85"/>
        <v>2010-11 (ноябрь 2010)</v>
      </c>
      <c r="E4628" s="9" t="s">
        <v>30</v>
      </c>
      <c r="F4628" s="7">
        <v>45</v>
      </c>
      <c r="G4628" s="7">
        <v>6688.11</v>
      </c>
      <c r="H4628" s="7">
        <v>0.08</v>
      </c>
      <c r="I4628" s="9" t="s">
        <v>22</v>
      </c>
      <c r="J4628" s="10">
        <v>2872.88</v>
      </c>
      <c r="K4628" s="11">
        <v>150.97999999999999</v>
      </c>
      <c r="L4628" s="11">
        <v>13.99</v>
      </c>
      <c r="M4628" s="9" t="s">
        <v>1106</v>
      </c>
      <c r="N4628" s="6" t="s">
        <v>1813</v>
      </c>
      <c r="O4628" s="6" t="s">
        <v>512</v>
      </c>
      <c r="P4628" s="9" t="s">
        <v>33</v>
      </c>
      <c r="Q4628" s="9" t="s">
        <v>42</v>
      </c>
      <c r="R4628" s="9" t="s">
        <v>210</v>
      </c>
      <c r="S4628" s="7" t="s">
        <v>341</v>
      </c>
      <c r="T4628" s="9" t="s">
        <v>48</v>
      </c>
      <c r="U4628" s="7">
        <v>0.38</v>
      </c>
      <c r="V4628" s="12">
        <f>C4628+1</f>
        <v>40491</v>
      </c>
      <c r="W4628">
        <f>IF(D4628=' Pivot Tables'!$A$4,1,0)</f>
        <v>0</v>
      </c>
      <c r="X4628">
        <f>IF(AND(LEFT(D4628,4)+1=LEFT(' Pivot Tables'!$A$4,4)+0,RIGHT(LEFT(D4628,7),2)=RIGHT(LEFT(' Pivot Tables'!$A$4,7),2)),1,0)</f>
        <v>0</v>
      </c>
      <c r="Y4628" s="6">
        <f>1/COUNTIF(Таблица1[Order ID],Таблица1[[#This Row],[Order ID]])</f>
        <v>0.5</v>
      </c>
      <c r="Z4628" s="9">
        <f>1/COUNTIFS(Таблица1[Customer Name],Таблица1[[#This Row],[Customer Name]],Таблица1[Order-Year-Month],Таблица1[[#This Row],[Order-Year-Month]])</f>
        <v>0.5</v>
      </c>
    </row>
    <row r="4629" spans="1:26" x14ac:dyDescent="0.2">
      <c r="A4629" s="6">
        <v>1215</v>
      </c>
      <c r="B4629" s="7">
        <v>8933</v>
      </c>
      <c r="C4629" s="8">
        <f>DATE(2012,12,31)-816</f>
        <v>40458</v>
      </c>
      <c r="D4629" s="8" t="str">
        <f t="shared" si="85"/>
        <v>2010-10 (октябрь 2010)</v>
      </c>
      <c r="E4629" s="9" t="s">
        <v>30</v>
      </c>
      <c r="F4629" s="7">
        <v>37</v>
      </c>
      <c r="G4629" s="7">
        <v>1520.26</v>
      </c>
      <c r="H4629" s="7">
        <v>0.04</v>
      </c>
      <c r="I4629" s="9" t="s">
        <v>22</v>
      </c>
      <c r="J4629" s="10">
        <v>640.84050000000002</v>
      </c>
      <c r="K4629" s="11">
        <v>42.8</v>
      </c>
      <c r="L4629" s="11">
        <v>2.99</v>
      </c>
      <c r="M4629" s="9" t="s">
        <v>1814</v>
      </c>
      <c r="N4629" s="6" t="s">
        <v>1813</v>
      </c>
      <c r="O4629" s="6" t="s">
        <v>512</v>
      </c>
      <c r="P4629" s="9" t="s">
        <v>33</v>
      </c>
      <c r="Q4629" s="9" t="s">
        <v>26</v>
      </c>
      <c r="R4629" s="9" t="s">
        <v>37</v>
      </c>
      <c r="S4629" s="7" t="s">
        <v>1154</v>
      </c>
      <c r="T4629" s="9" t="s">
        <v>39</v>
      </c>
      <c r="U4629" s="7">
        <v>0.36</v>
      </c>
      <c r="V4629" s="12">
        <f>C4629+1</f>
        <v>40459</v>
      </c>
      <c r="W4629">
        <f>IF(D4629=' Pivot Tables'!$A$4,1,0)</f>
        <v>0</v>
      </c>
      <c r="X4629">
        <f>IF(AND(LEFT(D4629,4)+1=LEFT(' Pivot Tables'!$A$4,4)+0,RIGHT(LEFT(D4629,7),2)=RIGHT(LEFT(' Pivot Tables'!$A$4,7),2)),1,0)</f>
        <v>0</v>
      </c>
      <c r="Y4629" s="6">
        <f>1/COUNTIF(Таблица1[Order ID],Таблица1[[#This Row],[Order ID]])</f>
        <v>0.5</v>
      </c>
      <c r="Z4629" s="9">
        <f>1/COUNTIFS(Таблица1[Customer Name],Таблица1[[#This Row],[Customer Name]],Таблица1[Order-Year-Month],Таблица1[[#This Row],[Order-Year-Month]])</f>
        <v>0.5</v>
      </c>
    </row>
    <row r="4630" spans="1:26" x14ac:dyDescent="0.2">
      <c r="A4630" s="6">
        <v>1216</v>
      </c>
      <c r="B4630" s="7">
        <v>8933</v>
      </c>
      <c r="C4630" s="8">
        <f>DATE(2012,12,31)-816</f>
        <v>40458</v>
      </c>
      <c r="D4630" s="8" t="str">
        <f t="shared" si="85"/>
        <v>2010-10 (октябрь 2010)</v>
      </c>
      <c r="E4630" s="9" t="s">
        <v>30</v>
      </c>
      <c r="F4630" s="7">
        <v>30</v>
      </c>
      <c r="G4630" s="7">
        <v>688.02</v>
      </c>
      <c r="H4630" s="7">
        <v>0.06</v>
      </c>
      <c r="I4630" s="9" t="s">
        <v>22</v>
      </c>
      <c r="J4630" s="10">
        <v>154.99</v>
      </c>
      <c r="K4630" s="11">
        <v>22.98</v>
      </c>
      <c r="L4630" s="11">
        <v>7.58</v>
      </c>
      <c r="M4630" s="9" t="s">
        <v>1814</v>
      </c>
      <c r="N4630" s="6" t="s">
        <v>1813</v>
      </c>
      <c r="O4630" s="6" t="s">
        <v>512</v>
      </c>
      <c r="P4630" s="9" t="s">
        <v>33</v>
      </c>
      <c r="Q4630" s="9" t="s">
        <v>49</v>
      </c>
      <c r="R4630" s="9" t="s">
        <v>50</v>
      </c>
      <c r="S4630" s="7" t="s">
        <v>789</v>
      </c>
      <c r="T4630" s="9" t="s">
        <v>39</v>
      </c>
      <c r="U4630" s="7">
        <v>0.51</v>
      </c>
      <c r="V4630" s="12">
        <f>C4630+2</f>
        <v>40460</v>
      </c>
      <c r="W4630">
        <f>IF(D4630=' Pivot Tables'!$A$4,1,0)</f>
        <v>0</v>
      </c>
      <c r="X4630">
        <f>IF(AND(LEFT(D4630,4)+1=LEFT(' Pivot Tables'!$A$4,4)+0,RIGHT(LEFT(D4630,7),2)=RIGHT(LEFT(' Pivot Tables'!$A$4,7),2)),1,0)</f>
        <v>0</v>
      </c>
      <c r="Y4630" s="6">
        <f>1/COUNTIF(Таблица1[Order ID],Таблица1[[#This Row],[Order ID]])</f>
        <v>0.5</v>
      </c>
      <c r="Z4630" s="9">
        <f>1/COUNTIFS(Таблица1[Customer Name],Таблица1[[#This Row],[Customer Name]],Таблица1[Order-Year-Month],Таблица1[[#This Row],[Order-Year-Month]])</f>
        <v>0.5</v>
      </c>
    </row>
    <row r="4631" spans="1:26" x14ac:dyDescent="0.2">
      <c r="A4631" s="6">
        <v>1269</v>
      </c>
      <c r="B4631" s="7">
        <v>9222</v>
      </c>
      <c r="C4631" s="8">
        <f>DATE(2012,12,31)-1420</f>
        <v>39854</v>
      </c>
      <c r="D4631" s="8" t="str">
        <f t="shared" si="85"/>
        <v>2009-02 (февраль 2009)</v>
      </c>
      <c r="E4631" s="9" t="s">
        <v>30</v>
      </c>
      <c r="F4631" s="7">
        <v>41</v>
      </c>
      <c r="G4631" s="7">
        <v>473.67</v>
      </c>
      <c r="H4631" s="7">
        <v>0.04</v>
      </c>
      <c r="I4631" s="9" t="s">
        <v>22</v>
      </c>
      <c r="J4631" s="10">
        <v>78.2</v>
      </c>
      <c r="K4631" s="11">
        <v>11.34</v>
      </c>
      <c r="L4631" s="11">
        <v>5.01</v>
      </c>
      <c r="M4631" s="9" t="s">
        <v>1812</v>
      </c>
      <c r="N4631" s="6" t="s">
        <v>1813</v>
      </c>
      <c r="O4631" s="6" t="s">
        <v>512</v>
      </c>
      <c r="P4631" s="9" t="s">
        <v>60</v>
      </c>
      <c r="Q4631" s="9" t="s">
        <v>26</v>
      </c>
      <c r="R4631" s="9" t="s">
        <v>61</v>
      </c>
      <c r="S4631" s="7" t="s">
        <v>226</v>
      </c>
      <c r="T4631" s="9" t="s">
        <v>39</v>
      </c>
      <c r="U4631" s="7">
        <v>0.36</v>
      </c>
      <c r="V4631" s="12">
        <f>C4631+1</f>
        <v>39855</v>
      </c>
      <c r="W4631">
        <f>IF(D4631=' Pivot Tables'!$A$4,1,0)</f>
        <v>0</v>
      </c>
      <c r="X4631">
        <f>IF(AND(LEFT(D4631,4)+1=LEFT(' Pivot Tables'!$A$4,4)+0,RIGHT(LEFT(D4631,7),2)=RIGHT(LEFT(' Pivot Tables'!$A$4,7),2)),1,0)</f>
        <v>0</v>
      </c>
      <c r="Y4631" s="6">
        <f>1/COUNTIF(Таблица1[Order ID],Таблица1[[#This Row],[Order ID]])</f>
        <v>1</v>
      </c>
      <c r="Z4631" s="9">
        <f>1/COUNTIFS(Таблица1[Customer Name],Таблица1[[#This Row],[Customer Name]],Таблица1[Order-Year-Month],Таблица1[[#This Row],[Order-Year-Month]])</f>
        <v>1</v>
      </c>
    </row>
    <row r="4632" spans="1:26" x14ac:dyDescent="0.2">
      <c r="A4632" s="6">
        <v>1409</v>
      </c>
      <c r="B4632" s="7">
        <v>10243</v>
      </c>
      <c r="C4632" s="8">
        <f>DATE(2012,12,31)-373</f>
        <v>40901</v>
      </c>
      <c r="D4632" s="8" t="str">
        <f t="shared" si="85"/>
        <v>2011-12 (декабрь 2011)</v>
      </c>
      <c r="E4632" s="9" t="s">
        <v>30</v>
      </c>
      <c r="F4632" s="7">
        <v>12</v>
      </c>
      <c r="G4632" s="7">
        <v>28.41</v>
      </c>
      <c r="H4632" s="7">
        <v>7.0000000000000007E-2</v>
      </c>
      <c r="I4632" s="9" t="s">
        <v>22</v>
      </c>
      <c r="J4632" s="10">
        <v>-44.079499999999996</v>
      </c>
      <c r="K4632" s="11">
        <v>1.98</v>
      </c>
      <c r="L4632" s="11">
        <v>4.7699999999999996</v>
      </c>
      <c r="M4632" s="9" t="s">
        <v>1818</v>
      </c>
      <c r="N4632" s="6" t="s">
        <v>1813</v>
      </c>
      <c r="O4632" s="6" t="s">
        <v>512</v>
      </c>
      <c r="P4632" s="9" t="s">
        <v>33</v>
      </c>
      <c r="Q4632" s="9" t="s">
        <v>26</v>
      </c>
      <c r="R4632" s="9" t="s">
        <v>37</v>
      </c>
      <c r="S4632" s="7" t="s">
        <v>1667</v>
      </c>
      <c r="T4632" s="9" t="s">
        <v>39</v>
      </c>
      <c r="U4632" s="7">
        <v>0.4</v>
      </c>
      <c r="V4632" s="12">
        <f>C4632+1</f>
        <v>40902</v>
      </c>
      <c r="W4632">
        <f>IF(D4632=' Pivot Tables'!$A$4,1,0)</f>
        <v>0</v>
      </c>
      <c r="X4632">
        <f>IF(AND(LEFT(D4632,4)+1=LEFT(' Pivot Tables'!$A$4,4)+0,RIGHT(LEFT(D4632,7),2)=RIGHT(LEFT(' Pivot Tables'!$A$4,7),2)),1,0)</f>
        <v>0</v>
      </c>
      <c r="Y4632" s="6">
        <f>1/COUNTIF(Таблица1[Order ID],Таблица1[[#This Row],[Order ID]])</f>
        <v>1</v>
      </c>
      <c r="Z4632" s="9">
        <f>1/COUNTIFS(Таблица1[Customer Name],Таблица1[[#This Row],[Customer Name]],Таблица1[Order-Year-Month],Таблица1[[#This Row],[Order-Year-Month]])</f>
        <v>1</v>
      </c>
    </row>
    <row r="4633" spans="1:26" x14ac:dyDescent="0.2">
      <c r="A4633" s="6">
        <v>1458</v>
      </c>
      <c r="B4633" s="7">
        <v>10502</v>
      </c>
      <c r="C4633" s="8">
        <f>DATE(2012,12,31)-962</f>
        <v>40312</v>
      </c>
      <c r="D4633" s="8" t="str">
        <f t="shared" si="85"/>
        <v>2010-05 (май 2010)</v>
      </c>
      <c r="E4633" s="9" t="s">
        <v>45</v>
      </c>
      <c r="F4633" s="7">
        <v>33</v>
      </c>
      <c r="G4633" s="7">
        <v>7869.22</v>
      </c>
      <c r="H4633" s="7">
        <v>0.1</v>
      </c>
      <c r="I4633" s="9" t="s">
        <v>31</v>
      </c>
      <c r="J4633" s="10">
        <v>1523.46</v>
      </c>
      <c r="K4633" s="11">
        <v>243.98</v>
      </c>
      <c r="L4633" s="11">
        <v>43.32</v>
      </c>
      <c r="M4633" s="9" t="s">
        <v>1817</v>
      </c>
      <c r="N4633" s="6" t="s">
        <v>1813</v>
      </c>
      <c r="O4633" s="6" t="s">
        <v>512</v>
      </c>
      <c r="P4633" s="9" t="s">
        <v>33</v>
      </c>
      <c r="Q4633" s="9" t="s">
        <v>49</v>
      </c>
      <c r="R4633" s="9" t="s">
        <v>112</v>
      </c>
      <c r="S4633" s="7" t="s">
        <v>237</v>
      </c>
      <c r="T4633" s="9" t="s">
        <v>36</v>
      </c>
      <c r="U4633" s="7">
        <v>0.55000000000000004</v>
      </c>
      <c r="V4633" s="12">
        <f>C4633+1</f>
        <v>40313</v>
      </c>
      <c r="W4633">
        <f>IF(D4633=' Pivot Tables'!$A$4,1,0)</f>
        <v>0</v>
      </c>
      <c r="X4633">
        <f>IF(AND(LEFT(D4633,4)+1=LEFT(' Pivot Tables'!$A$4,4)+0,RIGHT(LEFT(D4633,7),2)=RIGHT(LEFT(' Pivot Tables'!$A$4,7),2)),1,0)</f>
        <v>0</v>
      </c>
      <c r="Y4633" s="6">
        <f>1/COUNTIF(Таблица1[Order ID],Таблица1[[#This Row],[Order ID]])</f>
        <v>0.5</v>
      </c>
      <c r="Z4633" s="9">
        <f>1/COUNTIFS(Таблица1[Customer Name],Таблица1[[#This Row],[Customer Name]],Таблица1[Order-Year-Month],Таблица1[[#This Row],[Order-Year-Month]])</f>
        <v>0.5</v>
      </c>
    </row>
    <row r="4634" spans="1:26" x14ac:dyDescent="0.2">
      <c r="A4634" s="6">
        <v>1459</v>
      </c>
      <c r="B4634" s="7">
        <v>10502</v>
      </c>
      <c r="C4634" s="8">
        <f>DATE(2012,12,31)-962</f>
        <v>40312</v>
      </c>
      <c r="D4634" s="8" t="str">
        <f t="shared" si="85"/>
        <v>2010-05 (май 2010)</v>
      </c>
      <c r="E4634" s="9" t="s">
        <v>45</v>
      </c>
      <c r="F4634" s="7">
        <v>36</v>
      </c>
      <c r="G4634" s="7">
        <v>912.44</v>
      </c>
      <c r="H4634" s="7">
        <v>0.04</v>
      </c>
      <c r="I4634" s="9" t="s">
        <v>22</v>
      </c>
      <c r="J4634" s="10">
        <v>182.72</v>
      </c>
      <c r="K4634" s="11">
        <v>25.38</v>
      </c>
      <c r="L4634" s="11">
        <v>8.99</v>
      </c>
      <c r="M4634" s="9" t="s">
        <v>1817</v>
      </c>
      <c r="N4634" s="6" t="s">
        <v>1813</v>
      </c>
      <c r="O4634" s="6" t="s">
        <v>512</v>
      </c>
      <c r="P4634" s="9" t="s">
        <v>33</v>
      </c>
      <c r="Q4634" s="9" t="s">
        <v>49</v>
      </c>
      <c r="R4634" s="9" t="s">
        <v>50</v>
      </c>
      <c r="S4634" s="7" t="s">
        <v>335</v>
      </c>
      <c r="T4634" s="9" t="s">
        <v>52</v>
      </c>
      <c r="U4634" s="7">
        <v>0.5</v>
      </c>
      <c r="V4634" s="12">
        <f>C4634+2</f>
        <v>40314</v>
      </c>
      <c r="W4634">
        <f>IF(D4634=' Pivot Tables'!$A$4,1,0)</f>
        <v>0</v>
      </c>
      <c r="X4634">
        <f>IF(AND(LEFT(D4634,4)+1=LEFT(' Pivot Tables'!$A$4,4)+0,RIGHT(LEFT(D4634,7),2)=RIGHT(LEFT(' Pivot Tables'!$A$4,7),2)),1,0)</f>
        <v>0</v>
      </c>
      <c r="Y4634" s="6">
        <f>1/COUNTIF(Таблица1[Order ID],Таблица1[[#This Row],[Order ID]])</f>
        <v>0.5</v>
      </c>
      <c r="Z4634" s="9">
        <f>1/COUNTIFS(Таблица1[Customer Name],Таблица1[[#This Row],[Customer Name]],Таблица1[Order-Year-Month],Таблица1[[#This Row],[Order-Year-Month]])</f>
        <v>0.5</v>
      </c>
    </row>
    <row r="4635" spans="1:26" x14ac:dyDescent="0.2">
      <c r="A4635" s="6">
        <v>1506</v>
      </c>
      <c r="B4635" s="7">
        <v>10886</v>
      </c>
      <c r="C4635" s="8">
        <f>DATE(2012,12,31)-1226</f>
        <v>40048</v>
      </c>
      <c r="D4635" s="8" t="str">
        <f t="shared" si="85"/>
        <v>2009-08 (август 2009)</v>
      </c>
      <c r="E4635" s="9" t="s">
        <v>78</v>
      </c>
      <c r="F4635" s="7">
        <v>36</v>
      </c>
      <c r="G4635" s="7">
        <v>65.42</v>
      </c>
      <c r="H4635" s="7">
        <v>0.04</v>
      </c>
      <c r="I4635" s="9" t="s">
        <v>22</v>
      </c>
      <c r="J4635" s="10">
        <v>-112.92</v>
      </c>
      <c r="K4635" s="11">
        <v>1.74</v>
      </c>
      <c r="L4635" s="11">
        <v>4.08</v>
      </c>
      <c r="M4635" s="9" t="s">
        <v>1815</v>
      </c>
      <c r="N4635" s="6" t="s">
        <v>1813</v>
      </c>
      <c r="O4635" s="6" t="s">
        <v>512</v>
      </c>
      <c r="P4635" s="9" t="s">
        <v>41</v>
      </c>
      <c r="Q4635" s="9" t="s">
        <v>49</v>
      </c>
      <c r="R4635" s="9" t="s">
        <v>50</v>
      </c>
      <c r="S4635" s="7" t="s">
        <v>456</v>
      </c>
      <c r="T4635" s="9" t="s">
        <v>52</v>
      </c>
      <c r="U4635" s="7">
        <v>0.53</v>
      </c>
      <c r="V4635" s="12">
        <f>C4635+2</f>
        <v>40050</v>
      </c>
      <c r="W4635">
        <f>IF(D4635=' Pivot Tables'!$A$4,1,0)</f>
        <v>0</v>
      </c>
      <c r="X4635">
        <f>IF(AND(LEFT(D4635,4)+1=LEFT(' Pivot Tables'!$A$4,4)+0,RIGHT(LEFT(D4635,7),2)=RIGHT(LEFT(' Pivot Tables'!$A$4,7),2)),1,0)</f>
        <v>0</v>
      </c>
      <c r="Y4635" s="6">
        <f>1/COUNTIF(Таблица1[Order ID],Таблица1[[#This Row],[Order ID]])</f>
        <v>0.5</v>
      </c>
      <c r="Z4635" s="9">
        <f>1/COUNTIFS(Таблица1[Customer Name],Таблица1[[#This Row],[Customer Name]],Таблица1[Order-Year-Month],Таблица1[[#This Row],[Order-Year-Month]])</f>
        <v>0.5</v>
      </c>
    </row>
    <row r="4636" spans="1:26" x14ac:dyDescent="0.2">
      <c r="A4636" s="6">
        <v>1507</v>
      </c>
      <c r="B4636" s="7">
        <v>10886</v>
      </c>
      <c r="C4636" s="8">
        <f>DATE(2012,12,31)-1226</f>
        <v>40048</v>
      </c>
      <c r="D4636" s="8" t="str">
        <f t="shared" si="85"/>
        <v>2009-08 (август 2009)</v>
      </c>
      <c r="E4636" s="9" t="s">
        <v>78</v>
      </c>
      <c r="F4636" s="7">
        <v>47</v>
      </c>
      <c r="G4636" s="7">
        <v>5750.94</v>
      </c>
      <c r="H4636" s="7">
        <v>0.01</v>
      </c>
      <c r="I4636" s="9" t="s">
        <v>31</v>
      </c>
      <c r="J4636" s="10">
        <v>432.98</v>
      </c>
      <c r="K4636" s="11">
        <v>119.99</v>
      </c>
      <c r="L4636" s="11">
        <v>56.14</v>
      </c>
      <c r="M4636" s="9" t="s">
        <v>1815</v>
      </c>
      <c r="N4636" s="6" t="s">
        <v>1813</v>
      </c>
      <c r="O4636" s="6" t="s">
        <v>512</v>
      </c>
      <c r="P4636" s="9" t="s">
        <v>41</v>
      </c>
      <c r="Q4636" s="9" t="s">
        <v>42</v>
      </c>
      <c r="R4636" s="9" t="s">
        <v>210</v>
      </c>
      <c r="S4636" s="7" t="s">
        <v>950</v>
      </c>
      <c r="T4636" s="9" t="s">
        <v>82</v>
      </c>
      <c r="U4636" s="7">
        <v>0.39</v>
      </c>
      <c r="V4636" s="12">
        <f>C4636+1</f>
        <v>40049</v>
      </c>
      <c r="W4636">
        <f>IF(D4636=' Pivot Tables'!$A$4,1,0)</f>
        <v>0</v>
      </c>
      <c r="X4636">
        <f>IF(AND(LEFT(D4636,4)+1=LEFT(' Pivot Tables'!$A$4,4)+0,RIGHT(LEFT(D4636,7),2)=RIGHT(LEFT(' Pivot Tables'!$A$4,7),2)),1,0)</f>
        <v>0</v>
      </c>
      <c r="Y4636" s="6">
        <f>1/COUNTIF(Таблица1[Order ID],Таблица1[[#This Row],[Order ID]])</f>
        <v>0.5</v>
      </c>
      <c r="Z4636" s="9">
        <f>1/COUNTIFS(Таблица1[Customer Name],Таблица1[[#This Row],[Customer Name]],Таблица1[Order-Year-Month],Таблица1[[#This Row],[Order-Year-Month]])</f>
        <v>0.5</v>
      </c>
    </row>
    <row r="4637" spans="1:26" x14ac:dyDescent="0.2">
      <c r="A4637" s="6">
        <v>1535</v>
      </c>
      <c r="B4637" s="7">
        <v>11047</v>
      </c>
      <c r="C4637" s="8">
        <f>DATE(2012,12,31)-752</f>
        <v>40522</v>
      </c>
      <c r="D4637" s="8" t="str">
        <f t="shared" si="85"/>
        <v>2010-12 (декабрь 2010)</v>
      </c>
      <c r="E4637" s="9" t="s">
        <v>21</v>
      </c>
      <c r="F4637" s="7">
        <v>27</v>
      </c>
      <c r="G4637" s="7">
        <v>1991.26</v>
      </c>
      <c r="H4637" s="7">
        <v>0.01</v>
      </c>
      <c r="I4637" s="9" t="s">
        <v>31</v>
      </c>
      <c r="J4637" s="10">
        <v>-528.09</v>
      </c>
      <c r="K4637" s="11">
        <v>68.81</v>
      </c>
      <c r="L4637" s="11">
        <v>60</v>
      </c>
      <c r="M4637" s="9" t="s">
        <v>1812</v>
      </c>
      <c r="N4637" s="6" t="s">
        <v>1813</v>
      </c>
      <c r="O4637" s="6" t="s">
        <v>512</v>
      </c>
      <c r="P4637" s="9" t="s">
        <v>60</v>
      </c>
      <c r="Q4637" s="9" t="s">
        <v>26</v>
      </c>
      <c r="R4637" s="9" t="s">
        <v>34</v>
      </c>
      <c r="S4637" s="7" t="s">
        <v>605</v>
      </c>
      <c r="T4637" s="9" t="s">
        <v>36</v>
      </c>
      <c r="U4637" s="7">
        <v>0.41</v>
      </c>
      <c r="V4637" s="12">
        <f>C4637+7</f>
        <v>40529</v>
      </c>
      <c r="W4637">
        <f>IF(D4637=' Pivot Tables'!$A$4,1,0)</f>
        <v>0</v>
      </c>
      <c r="X4637">
        <f>IF(AND(LEFT(D4637,4)+1=LEFT(' Pivot Tables'!$A$4,4)+0,RIGHT(LEFT(D4637,7),2)=RIGHT(LEFT(' Pivot Tables'!$A$4,7),2)),1,0)</f>
        <v>0</v>
      </c>
      <c r="Y4637" s="6">
        <f>1/COUNTIF(Таблица1[Order ID],Таблица1[[#This Row],[Order ID]])</f>
        <v>0.5</v>
      </c>
      <c r="Z4637" s="9">
        <f>1/COUNTIFS(Таблица1[Customer Name],Таблица1[[#This Row],[Customer Name]],Таблица1[Order-Year-Month],Таблица1[[#This Row],[Order-Year-Month]])</f>
        <v>0.2</v>
      </c>
    </row>
    <row r="4638" spans="1:26" x14ac:dyDescent="0.2">
      <c r="A4638" s="6">
        <v>1536</v>
      </c>
      <c r="B4638" s="7">
        <v>11047</v>
      </c>
      <c r="C4638" s="8">
        <f>DATE(2012,12,31)-752</f>
        <v>40522</v>
      </c>
      <c r="D4638" s="8" t="str">
        <f t="shared" si="85"/>
        <v>2010-12 (декабрь 2010)</v>
      </c>
      <c r="E4638" s="9" t="s">
        <v>21</v>
      </c>
      <c r="F4638" s="7">
        <v>24</v>
      </c>
      <c r="G4638" s="7">
        <v>10480.272000000001</v>
      </c>
      <c r="H4638" s="7">
        <v>7.0000000000000007E-2</v>
      </c>
      <c r="I4638" s="9" t="s">
        <v>31</v>
      </c>
      <c r="J4638" s="10">
        <v>2271.6799999999998</v>
      </c>
      <c r="K4638" s="11">
        <v>550.98</v>
      </c>
      <c r="L4638" s="11">
        <v>64.59</v>
      </c>
      <c r="M4638" s="9" t="s">
        <v>1812</v>
      </c>
      <c r="N4638" s="6" t="s">
        <v>1813</v>
      </c>
      <c r="O4638" s="6" t="s">
        <v>512</v>
      </c>
      <c r="P4638" s="9" t="s">
        <v>60</v>
      </c>
      <c r="Q4638" s="9" t="s">
        <v>49</v>
      </c>
      <c r="R4638" s="9" t="s">
        <v>83</v>
      </c>
      <c r="S4638" s="7" t="s">
        <v>628</v>
      </c>
      <c r="T4638" s="9" t="s">
        <v>82</v>
      </c>
      <c r="U4638" s="7">
        <v>0.66</v>
      </c>
      <c r="V4638" s="12">
        <f>C4638+2</f>
        <v>40524</v>
      </c>
      <c r="W4638">
        <f>IF(D4638=' Pivot Tables'!$A$4,1,0)</f>
        <v>0</v>
      </c>
      <c r="X4638">
        <f>IF(AND(LEFT(D4638,4)+1=LEFT(' Pivot Tables'!$A$4,4)+0,RIGHT(LEFT(D4638,7),2)=RIGHT(LEFT(' Pivot Tables'!$A$4,7),2)),1,0)</f>
        <v>0</v>
      </c>
      <c r="Y4638" s="6">
        <f>1/COUNTIF(Таблица1[Order ID],Таблица1[[#This Row],[Order ID]])</f>
        <v>0.5</v>
      </c>
      <c r="Z4638" s="9">
        <f>1/COUNTIFS(Таблица1[Customer Name],Таблица1[[#This Row],[Customer Name]],Таблица1[Order-Year-Month],Таблица1[[#This Row],[Order-Year-Month]])</f>
        <v>0.2</v>
      </c>
    </row>
    <row r="4639" spans="1:26" x14ac:dyDescent="0.2">
      <c r="A4639" s="6">
        <v>1787</v>
      </c>
      <c r="B4639" s="7">
        <v>12803</v>
      </c>
      <c r="C4639" s="8">
        <f>DATE(2012,12,31)-1040</f>
        <v>40234</v>
      </c>
      <c r="D4639" s="8" t="str">
        <f t="shared" si="85"/>
        <v>2010-02 (февраль 2010)</v>
      </c>
      <c r="E4639" s="9" t="s">
        <v>45</v>
      </c>
      <c r="F4639" s="7">
        <v>32</v>
      </c>
      <c r="G4639" s="7">
        <v>383.81</v>
      </c>
      <c r="H4639" s="7">
        <v>0.03</v>
      </c>
      <c r="I4639" s="9" t="s">
        <v>22</v>
      </c>
      <c r="J4639" s="10">
        <v>-21.15</v>
      </c>
      <c r="K4639" s="11">
        <v>12.21</v>
      </c>
      <c r="L4639" s="11">
        <v>4.8099999999999996</v>
      </c>
      <c r="M4639" s="9" t="s">
        <v>1816</v>
      </c>
      <c r="N4639" s="6" t="s">
        <v>1813</v>
      </c>
      <c r="O4639" s="6" t="s">
        <v>512</v>
      </c>
      <c r="P4639" s="9" t="s">
        <v>60</v>
      </c>
      <c r="Q4639" s="9" t="s">
        <v>26</v>
      </c>
      <c r="R4639" s="9" t="s">
        <v>27</v>
      </c>
      <c r="S4639" s="7" t="s">
        <v>396</v>
      </c>
      <c r="T4639" s="9" t="s">
        <v>39</v>
      </c>
      <c r="U4639" s="7">
        <v>0.57999999999999996</v>
      </c>
      <c r="V4639" s="12">
        <f>C4639+2</f>
        <v>40236</v>
      </c>
      <c r="W4639">
        <f>IF(D4639=' Pivot Tables'!$A$4,1,0)</f>
        <v>0</v>
      </c>
      <c r="X4639">
        <f>IF(AND(LEFT(D4639,4)+1=LEFT(' Pivot Tables'!$A$4,4)+0,RIGHT(LEFT(D4639,7),2)=RIGHT(LEFT(' Pivot Tables'!$A$4,7),2)),1,0)</f>
        <v>0</v>
      </c>
      <c r="Y4639" s="6">
        <f>1/COUNTIF(Таблица1[Order ID],Таблица1[[#This Row],[Order ID]])</f>
        <v>1</v>
      </c>
      <c r="Z4639" s="9">
        <f>1/COUNTIFS(Таблица1[Customer Name],Таблица1[[#This Row],[Customer Name]],Таблица1[Order-Year-Month],Таблица1[[#This Row],[Order-Year-Month]])</f>
        <v>1</v>
      </c>
    </row>
    <row r="4640" spans="1:26" x14ac:dyDescent="0.2">
      <c r="A4640" s="6">
        <v>1927</v>
      </c>
      <c r="B4640" s="7">
        <v>13767</v>
      </c>
      <c r="C4640" s="8">
        <f>DATE(2012,12,31)-858</f>
        <v>40416</v>
      </c>
      <c r="D4640" s="8" t="str">
        <f t="shared" si="85"/>
        <v>2010-08 (август 2010)</v>
      </c>
      <c r="E4640" s="9" t="s">
        <v>30</v>
      </c>
      <c r="F4640" s="7">
        <v>12</v>
      </c>
      <c r="G4640" s="7">
        <v>2050.712</v>
      </c>
      <c r="H4640" s="7">
        <v>0.05</v>
      </c>
      <c r="I4640" s="9" t="s">
        <v>31</v>
      </c>
      <c r="J4640" s="10">
        <v>-381.04</v>
      </c>
      <c r="K4640" s="11">
        <v>218.75</v>
      </c>
      <c r="L4640" s="11">
        <v>69.64</v>
      </c>
      <c r="M4640" s="9" t="s">
        <v>1819</v>
      </c>
      <c r="N4640" s="6" t="s">
        <v>1813</v>
      </c>
      <c r="O4640" s="6" t="s">
        <v>512</v>
      </c>
      <c r="P4640" s="9" t="s">
        <v>41</v>
      </c>
      <c r="Q4640" s="9" t="s">
        <v>49</v>
      </c>
      <c r="R4640" s="9" t="s">
        <v>83</v>
      </c>
      <c r="S4640" s="7" t="s">
        <v>254</v>
      </c>
      <c r="T4640" s="9" t="s">
        <v>82</v>
      </c>
      <c r="U4640" s="7">
        <v>0.72</v>
      </c>
      <c r="V4640" s="12">
        <f>C4640+2</f>
        <v>40418</v>
      </c>
      <c r="W4640">
        <f>IF(D4640=' Pivot Tables'!$A$4,1,0)</f>
        <v>0</v>
      </c>
      <c r="X4640">
        <f>IF(AND(LEFT(D4640,4)+1=LEFT(' Pivot Tables'!$A$4,4)+0,RIGHT(LEFT(D4640,7),2)=RIGHT(LEFT(' Pivot Tables'!$A$4,7),2)),1,0)</f>
        <v>0</v>
      </c>
      <c r="Y4640" s="6">
        <f>1/COUNTIF(Таблица1[Order ID],Таблица1[[#This Row],[Order ID]])</f>
        <v>0.25</v>
      </c>
      <c r="Z4640" s="9">
        <f>1/COUNTIFS(Таблица1[Customer Name],Таблица1[[#This Row],[Customer Name]],Таблица1[Order-Year-Month],Таблица1[[#This Row],[Order-Year-Month]])</f>
        <v>0.25</v>
      </c>
    </row>
    <row r="4641" spans="1:26" x14ac:dyDescent="0.2">
      <c r="A4641" s="6">
        <v>1980</v>
      </c>
      <c r="B4641" s="7">
        <v>14117</v>
      </c>
      <c r="C4641" s="8">
        <f>DATE(2012,12,31)-859</f>
        <v>40415</v>
      </c>
      <c r="D4641" s="8" t="str">
        <f t="shared" si="85"/>
        <v>2010-08 (август 2010)</v>
      </c>
      <c r="E4641" s="9" t="s">
        <v>45</v>
      </c>
      <c r="F4641" s="7">
        <v>4</v>
      </c>
      <c r="G4641" s="7">
        <v>5.31</v>
      </c>
      <c r="H4641" s="7">
        <v>0</v>
      </c>
      <c r="I4641" s="9" t="s">
        <v>22</v>
      </c>
      <c r="J4641" s="10">
        <v>-1.5</v>
      </c>
      <c r="K4641" s="11">
        <v>1.1399999999999999</v>
      </c>
      <c r="L4641" s="11">
        <v>0.7</v>
      </c>
      <c r="M4641" s="9" t="s">
        <v>1062</v>
      </c>
      <c r="N4641" s="6" t="s">
        <v>1813</v>
      </c>
      <c r="O4641" s="6" t="s">
        <v>512</v>
      </c>
      <c r="P4641" s="9" t="s">
        <v>41</v>
      </c>
      <c r="Q4641" s="9" t="s">
        <v>26</v>
      </c>
      <c r="R4641" s="9" t="s">
        <v>66</v>
      </c>
      <c r="S4641" s="7" t="s">
        <v>1657</v>
      </c>
      <c r="T4641" s="9" t="s">
        <v>68</v>
      </c>
      <c r="U4641" s="7">
        <v>0.38</v>
      </c>
      <c r="V4641" s="12">
        <f>C4641+2</f>
        <v>40417</v>
      </c>
      <c r="W4641">
        <f>IF(D4641=' Pivot Tables'!$A$4,1,0)</f>
        <v>0</v>
      </c>
      <c r="X4641">
        <f>IF(AND(LEFT(D4641,4)+1=LEFT(' Pivot Tables'!$A$4,4)+0,RIGHT(LEFT(D4641,7),2)=RIGHT(LEFT(' Pivot Tables'!$A$4,7),2)),1,0)</f>
        <v>0</v>
      </c>
      <c r="Y4641" s="6">
        <f>1/COUNTIF(Таблица1[Order ID],Таблица1[[#This Row],[Order ID]])</f>
        <v>1</v>
      </c>
      <c r="Z4641" s="9">
        <f>1/COUNTIFS(Таблица1[Customer Name],Таблица1[[#This Row],[Customer Name]],Таблица1[Order-Year-Month],Таблица1[[#This Row],[Order-Year-Month]])</f>
        <v>0.33333333333333331</v>
      </c>
    </row>
    <row r="4642" spans="1:26" x14ac:dyDescent="0.2">
      <c r="A4642" s="6">
        <v>2091</v>
      </c>
      <c r="B4642" s="7">
        <v>14976</v>
      </c>
      <c r="C4642" s="8">
        <f>DATE(2012,12,31)-528</f>
        <v>40746</v>
      </c>
      <c r="D4642" s="8" t="str">
        <f t="shared" si="85"/>
        <v>2011-07 (июль 2011)</v>
      </c>
      <c r="E4642" s="9" t="s">
        <v>30</v>
      </c>
      <c r="F4642" s="7">
        <v>46</v>
      </c>
      <c r="G4642" s="7">
        <v>231.35</v>
      </c>
      <c r="H4642" s="7">
        <v>0.03</v>
      </c>
      <c r="I4642" s="9" t="s">
        <v>22</v>
      </c>
      <c r="J4642" s="10">
        <v>-81.86</v>
      </c>
      <c r="K4642" s="11">
        <v>4.9800000000000004</v>
      </c>
      <c r="L4642" s="11">
        <v>4.7</v>
      </c>
      <c r="M4642" s="9" t="s">
        <v>1815</v>
      </c>
      <c r="N4642" s="6" t="s">
        <v>1813</v>
      </c>
      <c r="O4642" s="6" t="s">
        <v>512</v>
      </c>
      <c r="P4642" s="9" t="s">
        <v>41</v>
      </c>
      <c r="Q4642" s="9" t="s">
        <v>26</v>
      </c>
      <c r="R4642" s="9" t="s">
        <v>61</v>
      </c>
      <c r="S4642" s="7" t="s">
        <v>937</v>
      </c>
      <c r="T4642" s="9" t="s">
        <v>39</v>
      </c>
      <c r="U4642" s="7">
        <v>0.38</v>
      </c>
      <c r="V4642" s="12">
        <f>C4642+2</f>
        <v>40748</v>
      </c>
      <c r="W4642">
        <f>IF(D4642=' Pivot Tables'!$A$4,1,0)</f>
        <v>0</v>
      </c>
      <c r="X4642">
        <f>IF(AND(LEFT(D4642,4)+1=LEFT(' Pivot Tables'!$A$4,4)+0,RIGHT(LEFT(D4642,7),2)=RIGHT(LEFT(' Pivot Tables'!$A$4,7),2)),1,0)</f>
        <v>0</v>
      </c>
      <c r="Y4642" s="6">
        <f>1/COUNTIF(Таблица1[Order ID],Таблица1[[#This Row],[Order ID]])</f>
        <v>1</v>
      </c>
      <c r="Z4642" s="9">
        <f>1/COUNTIFS(Таблица1[Customer Name],Таблица1[[#This Row],[Customer Name]],Таблица1[Order-Year-Month],Таблица1[[#This Row],[Order-Year-Month]])</f>
        <v>1</v>
      </c>
    </row>
    <row r="4643" spans="1:26" x14ac:dyDescent="0.2">
      <c r="A4643" s="6">
        <v>2094</v>
      </c>
      <c r="B4643" s="7">
        <v>14980</v>
      </c>
      <c r="C4643" s="8">
        <f>DATE(2012,12,31)-170</f>
        <v>41104</v>
      </c>
      <c r="D4643" s="8" t="str">
        <f t="shared" si="85"/>
        <v>2012-07 (июль 2012)</v>
      </c>
      <c r="E4643" s="9" t="s">
        <v>78</v>
      </c>
      <c r="F4643" s="7">
        <v>27</v>
      </c>
      <c r="G4643" s="7">
        <v>898.9</v>
      </c>
      <c r="H4643" s="7">
        <v>0.03</v>
      </c>
      <c r="I4643" s="9" t="s">
        <v>22</v>
      </c>
      <c r="J4643" s="10">
        <v>325.88</v>
      </c>
      <c r="K4643" s="11">
        <v>31.78</v>
      </c>
      <c r="L4643" s="11">
        <v>1.99</v>
      </c>
      <c r="M4643" s="9" t="s">
        <v>1814</v>
      </c>
      <c r="N4643" s="6" t="s">
        <v>1813</v>
      </c>
      <c r="O4643" s="6" t="s">
        <v>512</v>
      </c>
      <c r="P4643" s="9" t="s">
        <v>33</v>
      </c>
      <c r="Q4643" s="9" t="s">
        <v>42</v>
      </c>
      <c r="R4643" s="9" t="s">
        <v>70</v>
      </c>
      <c r="S4643" s="7" t="s">
        <v>132</v>
      </c>
      <c r="T4643" s="9" t="s">
        <v>52</v>
      </c>
      <c r="U4643" s="7">
        <v>0.42</v>
      </c>
      <c r="V4643" s="12">
        <f>C4643+1</f>
        <v>41105</v>
      </c>
      <c r="W4643">
        <f>IF(D4643=' Pivot Tables'!$A$4,1,0)</f>
        <v>0</v>
      </c>
      <c r="X4643">
        <f>IF(AND(LEFT(D4643,4)+1=LEFT(' Pivot Tables'!$A$4,4)+0,RIGHT(LEFT(D4643,7),2)=RIGHT(LEFT(' Pivot Tables'!$A$4,7),2)),1,0)</f>
        <v>0</v>
      </c>
      <c r="Y4643" s="6">
        <f>1/COUNTIF(Таблица1[Order ID],Таблица1[[#This Row],[Order ID]])</f>
        <v>1</v>
      </c>
      <c r="Z4643" s="9">
        <f>1/COUNTIFS(Таблица1[Customer Name],Таблица1[[#This Row],[Customer Name]],Таблица1[Order-Year-Month],Таблица1[[#This Row],[Order-Year-Month]])</f>
        <v>1</v>
      </c>
    </row>
    <row r="4644" spans="1:26" x14ac:dyDescent="0.2">
      <c r="A4644" s="6">
        <v>2233</v>
      </c>
      <c r="B4644" s="7">
        <v>16133</v>
      </c>
      <c r="C4644" s="8">
        <f>DATE(2012,12,31)-1193</f>
        <v>40081</v>
      </c>
      <c r="D4644" s="8" t="str">
        <f t="shared" si="85"/>
        <v>2009-09 (сентябрь 2009)</v>
      </c>
      <c r="E4644" s="9" t="s">
        <v>78</v>
      </c>
      <c r="F4644" s="7">
        <v>16</v>
      </c>
      <c r="G4644" s="7">
        <v>3083.04</v>
      </c>
      <c r="H4644" s="7">
        <v>0.06</v>
      </c>
      <c r="I4644" s="9" t="s">
        <v>31</v>
      </c>
      <c r="J4644" s="10">
        <v>872.13</v>
      </c>
      <c r="K4644" s="11">
        <v>200.97</v>
      </c>
      <c r="L4644" s="11">
        <v>15.59</v>
      </c>
      <c r="M4644" s="9" t="s">
        <v>1820</v>
      </c>
      <c r="N4644" s="6" t="s">
        <v>1813</v>
      </c>
      <c r="O4644" s="6" t="s">
        <v>512</v>
      </c>
      <c r="P4644" s="9" t="s">
        <v>25</v>
      </c>
      <c r="Q4644" s="9" t="s">
        <v>42</v>
      </c>
      <c r="R4644" s="9" t="s">
        <v>210</v>
      </c>
      <c r="S4644" s="7" t="s">
        <v>302</v>
      </c>
      <c r="T4644" s="9" t="s">
        <v>36</v>
      </c>
      <c r="U4644" s="7">
        <v>0.36</v>
      </c>
      <c r="V4644" s="12">
        <f>C4644+0</f>
        <v>40081</v>
      </c>
      <c r="W4644">
        <f>IF(D4644=' Pivot Tables'!$A$4,1,0)</f>
        <v>0</v>
      </c>
      <c r="X4644">
        <f>IF(AND(LEFT(D4644,4)+1=LEFT(' Pivot Tables'!$A$4,4)+0,RIGHT(LEFT(D4644,7),2)=RIGHT(LEFT(' Pivot Tables'!$A$4,7),2)),1,0)</f>
        <v>0</v>
      </c>
      <c r="Y4644" s="6">
        <f>1/COUNTIF(Таблица1[Order ID],Таблица1[[#This Row],[Order ID]])</f>
        <v>0.5</v>
      </c>
      <c r="Z4644" s="9">
        <f>1/COUNTIFS(Таблица1[Customer Name],Таблица1[[#This Row],[Customer Name]],Таблица1[Order-Year-Month],Таблица1[[#This Row],[Order-Year-Month]])</f>
        <v>0.5</v>
      </c>
    </row>
    <row r="4645" spans="1:26" x14ac:dyDescent="0.2">
      <c r="A4645" s="6">
        <v>2235</v>
      </c>
      <c r="B4645" s="7">
        <v>16134</v>
      </c>
      <c r="C4645" s="8">
        <f>DATE(2012,12,31)-42</f>
        <v>41232</v>
      </c>
      <c r="D4645" s="8" t="str">
        <f t="shared" si="85"/>
        <v>2012-11 (ноябрь 2012)</v>
      </c>
      <c r="E4645" s="9" t="s">
        <v>30</v>
      </c>
      <c r="F4645" s="7">
        <v>43</v>
      </c>
      <c r="G4645" s="7">
        <v>21921.279999999999</v>
      </c>
      <c r="H4645" s="7">
        <v>0.04</v>
      </c>
      <c r="I4645" s="9" t="s">
        <v>31</v>
      </c>
      <c r="J4645" s="10">
        <v>10521.33</v>
      </c>
      <c r="K4645" s="11">
        <v>500.98</v>
      </c>
      <c r="L4645" s="11">
        <v>28.14</v>
      </c>
      <c r="M4645" s="9" t="s">
        <v>1062</v>
      </c>
      <c r="N4645" s="6" t="s">
        <v>1813</v>
      </c>
      <c r="O4645" s="6" t="s">
        <v>512</v>
      </c>
      <c r="P4645" s="9" t="s">
        <v>60</v>
      </c>
      <c r="Q4645" s="9" t="s">
        <v>42</v>
      </c>
      <c r="R4645" s="9" t="s">
        <v>210</v>
      </c>
      <c r="S4645" s="7" t="s">
        <v>1016</v>
      </c>
      <c r="T4645" s="9" t="s">
        <v>36</v>
      </c>
      <c r="U4645" s="7">
        <v>0.38</v>
      </c>
      <c r="V4645" s="12">
        <f>C4645+2</f>
        <v>41234</v>
      </c>
      <c r="W4645">
        <f>IF(D4645=' Pivot Tables'!$A$4,1,0)</f>
        <v>0</v>
      </c>
      <c r="X4645">
        <f>IF(AND(LEFT(D4645,4)+1=LEFT(' Pivot Tables'!$A$4,4)+0,RIGHT(LEFT(D4645,7),2)=RIGHT(LEFT(' Pivot Tables'!$A$4,7),2)),1,0)</f>
        <v>0</v>
      </c>
      <c r="Y4645" s="6">
        <f>1/COUNTIF(Таблица1[Order ID],Таблица1[[#This Row],[Order ID]])</f>
        <v>1</v>
      </c>
      <c r="Z4645" s="9">
        <f>1/COUNTIFS(Таблица1[Customer Name],Таблица1[[#This Row],[Customer Name]],Таблица1[Order-Year-Month],Таблица1[[#This Row],[Order-Year-Month]])</f>
        <v>1</v>
      </c>
    </row>
    <row r="4646" spans="1:26" x14ac:dyDescent="0.2">
      <c r="A4646" s="6">
        <v>2262</v>
      </c>
      <c r="B4646" s="7">
        <v>16258</v>
      </c>
      <c r="C4646" s="8">
        <f>DATE(2012,12,31)-544</f>
        <v>40730</v>
      </c>
      <c r="D4646" s="8" t="str">
        <f t="shared" si="85"/>
        <v>2011-07 (июль 2011)</v>
      </c>
      <c r="E4646" s="9" t="s">
        <v>63</v>
      </c>
      <c r="F4646" s="7">
        <v>1</v>
      </c>
      <c r="G4646" s="7">
        <v>9.69</v>
      </c>
      <c r="H4646" s="7">
        <v>0.05</v>
      </c>
      <c r="I4646" s="9" t="s">
        <v>22</v>
      </c>
      <c r="J4646" s="10">
        <v>-6.78</v>
      </c>
      <c r="K4646" s="11">
        <v>4.9800000000000004</v>
      </c>
      <c r="L4646" s="11">
        <v>4.72</v>
      </c>
      <c r="M4646" s="9" t="s">
        <v>1819</v>
      </c>
      <c r="N4646" s="6" t="s">
        <v>1813</v>
      </c>
      <c r="O4646" s="6" t="s">
        <v>512</v>
      </c>
      <c r="P4646" s="9" t="s">
        <v>41</v>
      </c>
      <c r="Q4646" s="9" t="s">
        <v>26</v>
      </c>
      <c r="R4646" s="9" t="s">
        <v>61</v>
      </c>
      <c r="S4646" s="7" t="s">
        <v>968</v>
      </c>
      <c r="T4646" s="9" t="s">
        <v>39</v>
      </c>
      <c r="U4646" s="7">
        <v>0.36</v>
      </c>
      <c r="V4646" s="12">
        <f>C4646+1</f>
        <v>40731</v>
      </c>
      <c r="W4646">
        <f>IF(D4646=' Pivot Tables'!$A$4,1,0)</f>
        <v>0</v>
      </c>
      <c r="X4646">
        <f>IF(AND(LEFT(D4646,4)+1=LEFT(' Pivot Tables'!$A$4,4)+0,RIGHT(LEFT(D4646,7),2)=RIGHT(LEFT(' Pivot Tables'!$A$4,7),2)),1,0)</f>
        <v>0</v>
      </c>
      <c r="Y4646" s="6">
        <f>1/COUNTIF(Таблица1[Order ID],Таблица1[[#This Row],[Order ID]])</f>
        <v>0.5</v>
      </c>
      <c r="Z4646" s="9">
        <f>1/COUNTIFS(Таблица1[Customer Name],Таблица1[[#This Row],[Customer Name]],Таблица1[Order-Year-Month],Таблица1[[#This Row],[Order-Year-Month]])</f>
        <v>0.5</v>
      </c>
    </row>
    <row r="4647" spans="1:26" x14ac:dyDescent="0.2">
      <c r="A4647" s="6">
        <v>2263</v>
      </c>
      <c r="B4647" s="7">
        <v>16258</v>
      </c>
      <c r="C4647" s="8">
        <f>DATE(2012,12,31)-544</f>
        <v>40730</v>
      </c>
      <c r="D4647" s="8" t="str">
        <f t="shared" si="85"/>
        <v>2011-07 (июль 2011)</v>
      </c>
      <c r="E4647" s="9" t="s">
        <v>63</v>
      </c>
      <c r="F4647" s="7">
        <v>48</v>
      </c>
      <c r="G4647" s="7">
        <v>331.99</v>
      </c>
      <c r="H4647" s="7">
        <v>0.03</v>
      </c>
      <c r="I4647" s="9" t="s">
        <v>22</v>
      </c>
      <c r="J4647" s="10">
        <v>45.31</v>
      </c>
      <c r="K4647" s="11">
        <v>7.08</v>
      </c>
      <c r="L4647" s="11">
        <v>2.35</v>
      </c>
      <c r="M4647" s="9" t="s">
        <v>1819</v>
      </c>
      <c r="N4647" s="6" t="s">
        <v>1813</v>
      </c>
      <c r="O4647" s="6" t="s">
        <v>512</v>
      </c>
      <c r="P4647" s="9" t="s">
        <v>41</v>
      </c>
      <c r="Q4647" s="9" t="s">
        <v>26</v>
      </c>
      <c r="R4647" s="9" t="s">
        <v>95</v>
      </c>
      <c r="S4647" s="7" t="s">
        <v>286</v>
      </c>
      <c r="T4647" s="9" t="s">
        <v>68</v>
      </c>
      <c r="U4647" s="7">
        <v>0.47</v>
      </c>
      <c r="V4647" s="12">
        <f>C4647+2</f>
        <v>40732</v>
      </c>
      <c r="W4647">
        <f>IF(D4647=' Pivot Tables'!$A$4,1,0)</f>
        <v>0</v>
      </c>
      <c r="X4647">
        <f>IF(AND(LEFT(D4647,4)+1=LEFT(' Pivot Tables'!$A$4,4)+0,RIGHT(LEFT(D4647,7),2)=RIGHT(LEFT(' Pivot Tables'!$A$4,7),2)),1,0)</f>
        <v>0</v>
      </c>
      <c r="Y4647" s="6">
        <f>1/COUNTIF(Таблица1[Order ID],Таблица1[[#This Row],[Order ID]])</f>
        <v>0.5</v>
      </c>
      <c r="Z4647" s="9">
        <f>1/COUNTIFS(Таблица1[Customer Name],Таблица1[[#This Row],[Customer Name]],Таблица1[Order-Year-Month],Таблица1[[#This Row],[Order-Year-Month]])</f>
        <v>0.5</v>
      </c>
    </row>
    <row r="4648" spans="1:26" x14ac:dyDescent="0.2">
      <c r="A4648" s="6">
        <v>2267</v>
      </c>
      <c r="B4648" s="7">
        <v>16289</v>
      </c>
      <c r="C4648" s="8">
        <f>DATE(2012,12,31)-898</f>
        <v>40376</v>
      </c>
      <c r="D4648" s="8" t="str">
        <f t="shared" si="85"/>
        <v>2010-07 (июль 2010)</v>
      </c>
      <c r="E4648" s="9" t="s">
        <v>30</v>
      </c>
      <c r="F4648" s="7">
        <v>37</v>
      </c>
      <c r="G4648" s="7">
        <v>426.64</v>
      </c>
      <c r="H4648" s="7">
        <v>0.09</v>
      </c>
      <c r="I4648" s="9" t="s">
        <v>22</v>
      </c>
      <c r="J4648" s="10">
        <v>96.95</v>
      </c>
      <c r="K4648" s="11">
        <v>12.22</v>
      </c>
      <c r="L4648" s="11">
        <v>2.85</v>
      </c>
      <c r="M4648" s="9" t="s">
        <v>1821</v>
      </c>
      <c r="N4648" s="6" t="s">
        <v>1813</v>
      </c>
      <c r="O4648" s="6" t="s">
        <v>512</v>
      </c>
      <c r="P4648" s="9" t="s">
        <v>41</v>
      </c>
      <c r="Q4648" s="9" t="s">
        <v>49</v>
      </c>
      <c r="R4648" s="9" t="s">
        <v>50</v>
      </c>
      <c r="S4648" s="7" t="s">
        <v>245</v>
      </c>
      <c r="T4648" s="9" t="s">
        <v>52</v>
      </c>
      <c r="U4648" s="7">
        <v>0.55000000000000004</v>
      </c>
      <c r="V4648" s="12">
        <f>C4648+2</f>
        <v>40378</v>
      </c>
      <c r="W4648">
        <f>IF(D4648=' Pivot Tables'!$A$4,1,0)</f>
        <v>0</v>
      </c>
      <c r="X4648">
        <f>IF(AND(LEFT(D4648,4)+1=LEFT(' Pivot Tables'!$A$4,4)+0,RIGHT(LEFT(D4648,7),2)=RIGHT(LEFT(' Pivot Tables'!$A$4,7),2)),1,0)</f>
        <v>0</v>
      </c>
      <c r="Y4648" s="6">
        <f>1/COUNTIF(Таблица1[Order ID],Таблица1[[#This Row],[Order ID]])</f>
        <v>0.5</v>
      </c>
      <c r="Z4648" s="9">
        <f>1/COUNTIFS(Таблица1[Customer Name],Таблица1[[#This Row],[Customer Name]],Таблица1[Order-Year-Month],Таблица1[[#This Row],[Order-Year-Month]])</f>
        <v>0.5</v>
      </c>
    </row>
    <row r="4649" spans="1:26" x14ac:dyDescent="0.2">
      <c r="A4649" s="6">
        <v>2355</v>
      </c>
      <c r="B4649" s="7">
        <v>16993</v>
      </c>
      <c r="C4649" s="8">
        <f>DATE(2012,12,31)-411</f>
        <v>40863</v>
      </c>
      <c r="D4649" s="8" t="str">
        <f t="shared" si="85"/>
        <v>2011-11 (ноябрь 2011)</v>
      </c>
      <c r="E4649" s="9" t="s">
        <v>63</v>
      </c>
      <c r="F4649" s="7">
        <v>8</v>
      </c>
      <c r="G4649" s="7">
        <v>1383.9190000000001</v>
      </c>
      <c r="H4649" s="7">
        <v>0.05</v>
      </c>
      <c r="I4649" s="9" t="s">
        <v>22</v>
      </c>
      <c r="J4649" s="10">
        <v>-433.488</v>
      </c>
      <c r="K4649" s="11">
        <v>205.99</v>
      </c>
      <c r="L4649" s="11">
        <v>2.5</v>
      </c>
      <c r="M4649" s="9" t="s">
        <v>1820</v>
      </c>
      <c r="N4649" s="6" t="s">
        <v>1813</v>
      </c>
      <c r="O4649" s="6" t="s">
        <v>512</v>
      </c>
      <c r="P4649" s="9" t="s">
        <v>25</v>
      </c>
      <c r="Q4649" s="9" t="s">
        <v>42</v>
      </c>
      <c r="R4649" s="9" t="s">
        <v>43</v>
      </c>
      <c r="S4649" s="7" t="s">
        <v>1431</v>
      </c>
      <c r="T4649" s="9" t="s">
        <v>39</v>
      </c>
      <c r="U4649" s="7">
        <v>0.59</v>
      </c>
      <c r="V4649" s="12">
        <f>C4649+0</f>
        <v>40863</v>
      </c>
      <c r="W4649">
        <f>IF(D4649=' Pivot Tables'!$A$4,1,0)</f>
        <v>0</v>
      </c>
      <c r="X4649">
        <f>IF(AND(LEFT(D4649,4)+1=LEFT(' Pivot Tables'!$A$4,4)+0,RIGHT(LEFT(D4649,7),2)=RIGHT(LEFT(' Pivot Tables'!$A$4,7),2)),1,0)</f>
        <v>0</v>
      </c>
      <c r="Y4649" s="6">
        <f>1/COUNTIF(Таблица1[Order ID],Таблица1[[#This Row],[Order ID]])</f>
        <v>1</v>
      </c>
      <c r="Z4649" s="9">
        <f>1/COUNTIFS(Таблица1[Customer Name],Таблица1[[#This Row],[Customer Name]],Таблица1[Order-Year-Month],Таблица1[[#This Row],[Order-Year-Month]])</f>
        <v>1</v>
      </c>
    </row>
    <row r="4650" spans="1:26" x14ac:dyDescent="0.2">
      <c r="A4650" s="6">
        <v>2619</v>
      </c>
      <c r="B4650" s="7">
        <v>18945</v>
      </c>
      <c r="C4650" s="8">
        <f>DATE(2012,12,31)-1444</f>
        <v>39830</v>
      </c>
      <c r="D4650" s="8" t="str">
        <f t="shared" si="85"/>
        <v>2009-01 (январь 2009)</v>
      </c>
      <c r="E4650" s="9" t="s">
        <v>63</v>
      </c>
      <c r="F4650" s="7">
        <v>33</v>
      </c>
      <c r="G4650" s="7">
        <v>528.54</v>
      </c>
      <c r="H4650" s="7">
        <v>0.06</v>
      </c>
      <c r="I4650" s="9" t="s">
        <v>22</v>
      </c>
      <c r="J4650" s="10">
        <v>168.54</v>
      </c>
      <c r="K4650" s="11">
        <v>16.48</v>
      </c>
      <c r="L4650" s="11">
        <v>1.99</v>
      </c>
      <c r="M4650" s="9" t="s">
        <v>1821</v>
      </c>
      <c r="N4650" s="6" t="s">
        <v>1813</v>
      </c>
      <c r="O4650" s="6" t="s">
        <v>512</v>
      </c>
      <c r="P4650" s="9" t="s">
        <v>41</v>
      </c>
      <c r="Q4650" s="9" t="s">
        <v>42</v>
      </c>
      <c r="R4650" s="9" t="s">
        <v>70</v>
      </c>
      <c r="S4650" s="7" t="s">
        <v>848</v>
      </c>
      <c r="T4650" s="9" t="s">
        <v>52</v>
      </c>
      <c r="U4650" s="7">
        <v>0.42</v>
      </c>
      <c r="V4650" s="12">
        <f>C4650+2</f>
        <v>39832</v>
      </c>
      <c r="W4650">
        <f>IF(D4650=' Pivot Tables'!$A$4,1,0)</f>
        <v>0</v>
      </c>
      <c r="X4650">
        <f>IF(AND(LEFT(D4650,4)+1=LEFT(' Pivot Tables'!$A$4,4)+0,RIGHT(LEFT(D4650,7),2)=RIGHT(LEFT(' Pivot Tables'!$A$4,7),2)),1,0)</f>
        <v>1</v>
      </c>
      <c r="Y4650" s="6">
        <f>1/COUNTIF(Таблица1[Order ID],Таблица1[[#This Row],[Order ID]])</f>
        <v>1</v>
      </c>
      <c r="Z4650" s="9">
        <f>1/COUNTIFS(Таблица1[Customer Name],Таблица1[[#This Row],[Customer Name]],Таблица1[Order-Year-Month],Таблица1[[#This Row],[Order-Year-Month]])</f>
        <v>0.5</v>
      </c>
    </row>
    <row r="4651" spans="1:26" x14ac:dyDescent="0.2">
      <c r="A4651" s="6">
        <v>2764</v>
      </c>
      <c r="B4651" s="7">
        <v>19975</v>
      </c>
      <c r="C4651" s="8">
        <f>DATE(2012,12,31)-1361</f>
        <v>39913</v>
      </c>
      <c r="D4651" s="8" t="str">
        <f t="shared" si="85"/>
        <v>2009-04 (апрель 2009)</v>
      </c>
      <c r="E4651" s="9" t="s">
        <v>45</v>
      </c>
      <c r="F4651" s="7">
        <v>33</v>
      </c>
      <c r="G4651" s="7">
        <v>362.17</v>
      </c>
      <c r="H4651" s="7">
        <v>0.08</v>
      </c>
      <c r="I4651" s="9" t="s">
        <v>22</v>
      </c>
      <c r="J4651" s="10">
        <v>-83.96</v>
      </c>
      <c r="K4651" s="11">
        <v>11.7</v>
      </c>
      <c r="L4651" s="11">
        <v>6.96</v>
      </c>
      <c r="M4651" s="9" t="s">
        <v>1567</v>
      </c>
      <c r="N4651" s="6" t="s">
        <v>1813</v>
      </c>
      <c r="O4651" s="6" t="s">
        <v>512</v>
      </c>
      <c r="P4651" s="9" t="s">
        <v>33</v>
      </c>
      <c r="Q4651" s="9" t="s">
        <v>26</v>
      </c>
      <c r="R4651" s="9" t="s">
        <v>34</v>
      </c>
      <c r="S4651" s="7" t="s">
        <v>1202</v>
      </c>
      <c r="T4651" s="9" t="s">
        <v>48</v>
      </c>
      <c r="U4651" s="7">
        <v>0.5</v>
      </c>
      <c r="V4651" s="12">
        <f>C4651+3</f>
        <v>39916</v>
      </c>
      <c r="W4651">
        <f>IF(D4651=' Pivot Tables'!$A$4,1,0)</f>
        <v>0</v>
      </c>
      <c r="X4651">
        <f>IF(AND(LEFT(D4651,4)+1=LEFT(' Pivot Tables'!$A$4,4)+0,RIGHT(LEFT(D4651,7),2)=RIGHT(LEFT(' Pivot Tables'!$A$4,7),2)),1,0)</f>
        <v>0</v>
      </c>
      <c r="Y4651" s="6">
        <f>1/COUNTIF(Таблица1[Order ID],Таблица1[[#This Row],[Order ID]])</f>
        <v>1</v>
      </c>
      <c r="Z4651" s="9">
        <f>1/COUNTIFS(Таблица1[Customer Name],Таблица1[[#This Row],[Customer Name]],Таблица1[Order-Year-Month],Таблица1[[#This Row],[Order-Year-Month]])</f>
        <v>0.33333333333333331</v>
      </c>
    </row>
    <row r="4652" spans="1:26" x14ac:dyDescent="0.2">
      <c r="A4652" s="6">
        <v>2773</v>
      </c>
      <c r="B4652" s="7">
        <v>20036</v>
      </c>
      <c r="C4652" s="8">
        <f>DATE(2012,12,31)-757</f>
        <v>40517</v>
      </c>
      <c r="D4652" s="8" t="str">
        <f t="shared" si="85"/>
        <v>2010-12 (декабрь 2010)</v>
      </c>
      <c r="E4652" s="9" t="s">
        <v>45</v>
      </c>
      <c r="F4652" s="7">
        <v>25</v>
      </c>
      <c r="G4652" s="7">
        <v>290.45999999999998</v>
      </c>
      <c r="H4652" s="7">
        <v>0.1</v>
      </c>
      <c r="I4652" s="9" t="s">
        <v>22</v>
      </c>
      <c r="J4652" s="10">
        <v>-31.55</v>
      </c>
      <c r="K4652" s="11">
        <v>11.97</v>
      </c>
      <c r="L4652" s="11">
        <v>4.9800000000000004</v>
      </c>
      <c r="M4652" s="9" t="s">
        <v>1821</v>
      </c>
      <c r="N4652" s="6" t="s">
        <v>1813</v>
      </c>
      <c r="O4652" s="6" t="s">
        <v>512</v>
      </c>
      <c r="P4652" s="9" t="s">
        <v>41</v>
      </c>
      <c r="Q4652" s="9" t="s">
        <v>26</v>
      </c>
      <c r="R4652" s="9" t="s">
        <v>34</v>
      </c>
      <c r="S4652" s="7" t="s">
        <v>274</v>
      </c>
      <c r="T4652" s="9" t="s">
        <v>39</v>
      </c>
      <c r="U4652" s="7">
        <v>0.57999999999999996</v>
      </c>
      <c r="V4652" s="12">
        <f>C4652+0</f>
        <v>40517</v>
      </c>
      <c r="W4652">
        <f>IF(D4652=' Pivot Tables'!$A$4,1,0)</f>
        <v>0</v>
      </c>
      <c r="X4652">
        <f>IF(AND(LEFT(D4652,4)+1=LEFT(' Pivot Tables'!$A$4,4)+0,RIGHT(LEFT(D4652,7),2)=RIGHT(LEFT(' Pivot Tables'!$A$4,7),2)),1,0)</f>
        <v>0</v>
      </c>
      <c r="Y4652" s="6">
        <f>1/COUNTIF(Таблица1[Order ID],Таблица1[[#This Row],[Order ID]])</f>
        <v>0.25</v>
      </c>
      <c r="Z4652" s="9">
        <f>1/COUNTIFS(Таблица1[Customer Name],Таблица1[[#This Row],[Customer Name]],Таблица1[Order-Year-Month],Таблица1[[#This Row],[Order-Year-Month]])</f>
        <v>0.25</v>
      </c>
    </row>
    <row r="4653" spans="1:26" x14ac:dyDescent="0.2">
      <c r="A4653" s="6">
        <v>2774</v>
      </c>
      <c r="B4653" s="7">
        <v>20036</v>
      </c>
      <c r="C4653" s="8">
        <f>DATE(2012,12,31)-757</f>
        <v>40517</v>
      </c>
      <c r="D4653" s="8" t="str">
        <f t="shared" si="85"/>
        <v>2010-12 (декабрь 2010)</v>
      </c>
      <c r="E4653" s="9" t="s">
        <v>45</v>
      </c>
      <c r="F4653" s="7">
        <v>44</v>
      </c>
      <c r="G4653" s="7">
        <v>1207.4000000000001</v>
      </c>
      <c r="H4653" s="7">
        <v>0.03</v>
      </c>
      <c r="I4653" s="9" t="s">
        <v>22</v>
      </c>
      <c r="J4653" s="10">
        <v>-25.23</v>
      </c>
      <c r="K4653" s="11">
        <v>26.31</v>
      </c>
      <c r="L4653" s="11">
        <v>5.89</v>
      </c>
      <c r="M4653" s="9" t="s">
        <v>1821</v>
      </c>
      <c r="N4653" s="6" t="s">
        <v>1813</v>
      </c>
      <c r="O4653" s="6" t="s">
        <v>512</v>
      </c>
      <c r="P4653" s="9" t="s">
        <v>41</v>
      </c>
      <c r="Q4653" s="9" t="s">
        <v>42</v>
      </c>
      <c r="R4653" s="9" t="s">
        <v>70</v>
      </c>
      <c r="S4653" s="7" t="s">
        <v>420</v>
      </c>
      <c r="T4653" s="9" t="s">
        <v>39</v>
      </c>
      <c r="U4653" s="7">
        <v>0.75</v>
      </c>
      <c r="V4653" s="12">
        <f>C4653+2</f>
        <v>40519</v>
      </c>
      <c r="W4653">
        <f>IF(D4653=' Pivot Tables'!$A$4,1,0)</f>
        <v>0</v>
      </c>
      <c r="X4653">
        <f>IF(AND(LEFT(D4653,4)+1=LEFT(' Pivot Tables'!$A$4,4)+0,RIGHT(LEFT(D4653,7),2)=RIGHT(LEFT(' Pivot Tables'!$A$4,7),2)),1,0)</f>
        <v>0</v>
      </c>
      <c r="Y4653" s="6">
        <f>1/COUNTIF(Таблица1[Order ID],Таблица1[[#This Row],[Order ID]])</f>
        <v>0.25</v>
      </c>
      <c r="Z4653" s="9">
        <f>1/COUNTIFS(Таблица1[Customer Name],Таблица1[[#This Row],[Customer Name]],Таблица1[Order-Year-Month],Таблица1[[#This Row],[Order-Year-Month]])</f>
        <v>0.25</v>
      </c>
    </row>
    <row r="4654" spans="1:26" x14ac:dyDescent="0.2">
      <c r="A4654" s="6">
        <v>2903</v>
      </c>
      <c r="B4654" s="7">
        <v>20964</v>
      </c>
      <c r="C4654" s="8">
        <f>DATE(2012,12,31)-276</f>
        <v>40998</v>
      </c>
      <c r="D4654" s="8" t="str">
        <f t="shared" si="85"/>
        <v>2012-03 (март 2012)</v>
      </c>
      <c r="E4654" s="9" t="s">
        <v>78</v>
      </c>
      <c r="F4654" s="7">
        <v>11</v>
      </c>
      <c r="G4654" s="7">
        <v>629.5865</v>
      </c>
      <c r="H4654" s="7">
        <v>0.04</v>
      </c>
      <c r="I4654" s="9" t="s">
        <v>22</v>
      </c>
      <c r="J4654" s="10">
        <v>-120.087</v>
      </c>
      <c r="K4654" s="11">
        <v>65.989999999999995</v>
      </c>
      <c r="L4654" s="11">
        <v>8.99</v>
      </c>
      <c r="M4654" s="9" t="s">
        <v>1818</v>
      </c>
      <c r="N4654" s="6" t="s">
        <v>1813</v>
      </c>
      <c r="O4654" s="6" t="s">
        <v>512</v>
      </c>
      <c r="P4654" s="9" t="s">
        <v>33</v>
      </c>
      <c r="Q4654" s="9" t="s">
        <v>42</v>
      </c>
      <c r="R4654" s="9" t="s">
        <v>43</v>
      </c>
      <c r="S4654" s="7" t="s">
        <v>596</v>
      </c>
      <c r="T4654" s="9" t="s">
        <v>39</v>
      </c>
      <c r="U4654" s="7">
        <v>0.57999999999999996</v>
      </c>
      <c r="V4654" s="12">
        <f>C4654+2</f>
        <v>41000</v>
      </c>
      <c r="W4654">
        <f>IF(D4654=' Pivot Tables'!$A$4,1,0)</f>
        <v>0</v>
      </c>
      <c r="X4654">
        <f>IF(AND(LEFT(D4654,4)+1=LEFT(' Pivot Tables'!$A$4,4)+0,RIGHT(LEFT(D4654,7),2)=RIGHT(LEFT(' Pivot Tables'!$A$4,7),2)),1,0)</f>
        <v>0</v>
      </c>
      <c r="Y4654" s="6">
        <f>1/COUNTIF(Таблица1[Order ID],Таблица1[[#This Row],[Order ID]])</f>
        <v>1</v>
      </c>
      <c r="Z4654" s="9">
        <f>1/COUNTIFS(Таблица1[Customer Name],Таблица1[[#This Row],[Customer Name]],Таблица1[Order-Year-Month],Таблица1[[#This Row],[Order-Year-Month]])</f>
        <v>1</v>
      </c>
    </row>
    <row r="4655" spans="1:26" x14ac:dyDescent="0.2">
      <c r="A4655" s="6">
        <v>2920</v>
      </c>
      <c r="B4655" s="7">
        <v>21121</v>
      </c>
      <c r="C4655" s="8">
        <f>DATE(2012,12,31)-1202</f>
        <v>40072</v>
      </c>
      <c r="D4655" s="8" t="str">
        <f t="shared" si="85"/>
        <v>2009-09 (сентябрь 2009)</v>
      </c>
      <c r="E4655" s="9" t="s">
        <v>45</v>
      </c>
      <c r="F4655" s="7">
        <v>50</v>
      </c>
      <c r="G4655" s="7">
        <v>20175.48</v>
      </c>
      <c r="H4655" s="7">
        <v>0</v>
      </c>
      <c r="I4655" s="9" t="s">
        <v>22</v>
      </c>
      <c r="J4655" s="10">
        <v>9373.9615000000013</v>
      </c>
      <c r="K4655" s="11">
        <v>387.99</v>
      </c>
      <c r="L4655" s="11">
        <v>19.989999999999998</v>
      </c>
      <c r="M4655" s="9" t="s">
        <v>1820</v>
      </c>
      <c r="N4655" s="6" t="s">
        <v>1813</v>
      </c>
      <c r="O4655" s="6" t="s">
        <v>512</v>
      </c>
      <c r="P4655" s="9" t="s">
        <v>41</v>
      </c>
      <c r="Q4655" s="9" t="s">
        <v>26</v>
      </c>
      <c r="R4655" s="9" t="s">
        <v>37</v>
      </c>
      <c r="S4655" s="7" t="s">
        <v>366</v>
      </c>
      <c r="T4655" s="9" t="s">
        <v>39</v>
      </c>
      <c r="U4655" s="7">
        <v>0.38</v>
      </c>
      <c r="V4655" s="12">
        <f>C4655+1</f>
        <v>40073</v>
      </c>
      <c r="W4655">
        <f>IF(D4655=' Pivot Tables'!$A$4,1,0)</f>
        <v>0</v>
      </c>
      <c r="X4655">
        <f>IF(AND(LEFT(D4655,4)+1=LEFT(' Pivot Tables'!$A$4,4)+0,RIGHT(LEFT(D4655,7),2)=RIGHT(LEFT(' Pivot Tables'!$A$4,7),2)),1,0)</f>
        <v>0</v>
      </c>
      <c r="Y4655" s="6">
        <f>1/COUNTIF(Таблица1[Order ID],Таблица1[[#This Row],[Order ID]])</f>
        <v>1</v>
      </c>
      <c r="Z4655" s="9">
        <f>1/COUNTIFS(Таблица1[Customer Name],Таблица1[[#This Row],[Customer Name]],Таблица1[Order-Year-Month],Таблица1[[#This Row],[Order-Year-Month]])</f>
        <v>0.5</v>
      </c>
    </row>
    <row r="4656" spans="1:26" x14ac:dyDescent="0.2">
      <c r="A4656" s="6">
        <v>2938</v>
      </c>
      <c r="B4656" s="7">
        <v>21314</v>
      </c>
      <c r="C4656" s="8">
        <f>DATE(2012,12,31)-1155</f>
        <v>40119</v>
      </c>
      <c r="D4656" s="8" t="str">
        <f t="shared" si="85"/>
        <v>2009-11 (ноябрь 2009)</v>
      </c>
      <c r="E4656" s="9" t="s">
        <v>21</v>
      </c>
      <c r="F4656" s="7">
        <v>6</v>
      </c>
      <c r="G4656" s="7">
        <v>56.22</v>
      </c>
      <c r="H4656" s="7">
        <v>0.04</v>
      </c>
      <c r="I4656" s="9" t="s">
        <v>22</v>
      </c>
      <c r="J4656" s="10">
        <v>-20.389500000000002</v>
      </c>
      <c r="K4656" s="11">
        <v>8.6</v>
      </c>
      <c r="L4656" s="11">
        <v>6.19</v>
      </c>
      <c r="M4656" s="9" t="s">
        <v>1816</v>
      </c>
      <c r="N4656" s="6" t="s">
        <v>1813</v>
      </c>
      <c r="O4656" s="6" t="s">
        <v>512</v>
      </c>
      <c r="P4656" s="9" t="s">
        <v>60</v>
      </c>
      <c r="Q4656" s="9" t="s">
        <v>26</v>
      </c>
      <c r="R4656" s="9" t="s">
        <v>37</v>
      </c>
      <c r="S4656" s="7" t="s">
        <v>872</v>
      </c>
      <c r="T4656" s="9" t="s">
        <v>39</v>
      </c>
      <c r="U4656" s="7">
        <v>0.38</v>
      </c>
      <c r="V4656" s="12">
        <f>C4656+2</f>
        <v>40121</v>
      </c>
      <c r="W4656">
        <f>IF(D4656=' Pivot Tables'!$A$4,1,0)</f>
        <v>0</v>
      </c>
      <c r="X4656">
        <f>IF(AND(LEFT(D4656,4)+1=LEFT(' Pivot Tables'!$A$4,4)+0,RIGHT(LEFT(D4656,7),2)=RIGHT(LEFT(' Pivot Tables'!$A$4,7),2)),1,0)</f>
        <v>0</v>
      </c>
      <c r="Y4656" s="6">
        <f>1/COUNTIF(Таблица1[Order ID],Таблица1[[#This Row],[Order ID]])</f>
        <v>0.33333333333333331</v>
      </c>
      <c r="Z4656" s="9">
        <f>1/COUNTIFS(Таблица1[Customer Name],Таблица1[[#This Row],[Customer Name]],Таблица1[Order-Year-Month],Таблица1[[#This Row],[Order-Year-Month]])</f>
        <v>0.33333333333333331</v>
      </c>
    </row>
    <row r="4657" spans="1:26" x14ac:dyDescent="0.2">
      <c r="A4657" s="6">
        <v>2939</v>
      </c>
      <c r="B4657" s="7">
        <v>21314</v>
      </c>
      <c r="C4657" s="8">
        <f>DATE(2012,12,31)-1155</f>
        <v>40119</v>
      </c>
      <c r="D4657" s="8" t="str">
        <f t="shared" si="85"/>
        <v>2009-11 (ноябрь 2009)</v>
      </c>
      <c r="E4657" s="9" t="s">
        <v>21</v>
      </c>
      <c r="F4657" s="7">
        <v>30</v>
      </c>
      <c r="G4657" s="7">
        <v>107.96</v>
      </c>
      <c r="H4657" s="7">
        <v>0.01</v>
      </c>
      <c r="I4657" s="9" t="s">
        <v>22</v>
      </c>
      <c r="J4657" s="10">
        <v>13.24</v>
      </c>
      <c r="K4657" s="11">
        <v>3.58</v>
      </c>
      <c r="L4657" s="11">
        <v>1.63</v>
      </c>
      <c r="M4657" s="9" t="s">
        <v>1816</v>
      </c>
      <c r="N4657" s="6" t="s">
        <v>1813</v>
      </c>
      <c r="O4657" s="6" t="s">
        <v>512</v>
      </c>
      <c r="P4657" s="9" t="s">
        <v>60</v>
      </c>
      <c r="Q4657" s="9" t="s">
        <v>26</v>
      </c>
      <c r="R4657" s="9" t="s">
        <v>66</v>
      </c>
      <c r="S4657" s="7" t="s">
        <v>1075</v>
      </c>
      <c r="T4657" s="9" t="s">
        <v>68</v>
      </c>
      <c r="U4657" s="7">
        <v>0.36</v>
      </c>
      <c r="V4657" s="12">
        <f>C4657+4</f>
        <v>40123</v>
      </c>
      <c r="W4657">
        <f>IF(D4657=' Pivot Tables'!$A$4,1,0)</f>
        <v>0</v>
      </c>
      <c r="X4657">
        <f>IF(AND(LEFT(D4657,4)+1=LEFT(' Pivot Tables'!$A$4,4)+0,RIGHT(LEFT(D4657,7),2)=RIGHT(LEFT(' Pivot Tables'!$A$4,7),2)),1,0)</f>
        <v>0</v>
      </c>
      <c r="Y4657" s="6">
        <f>1/COUNTIF(Таблица1[Order ID],Таблица1[[#This Row],[Order ID]])</f>
        <v>0.33333333333333331</v>
      </c>
      <c r="Z4657" s="9">
        <f>1/COUNTIFS(Таблица1[Customer Name],Таблица1[[#This Row],[Customer Name]],Таблица1[Order-Year-Month],Таблица1[[#This Row],[Order-Year-Month]])</f>
        <v>0.33333333333333331</v>
      </c>
    </row>
    <row r="4658" spans="1:26" x14ac:dyDescent="0.2">
      <c r="A4658" s="6">
        <v>2940</v>
      </c>
      <c r="B4658" s="7">
        <v>21314</v>
      </c>
      <c r="C4658" s="8">
        <f>DATE(2012,12,31)-1155</f>
        <v>40119</v>
      </c>
      <c r="D4658" s="8" t="str">
        <f t="shared" si="85"/>
        <v>2009-11 (ноябрь 2009)</v>
      </c>
      <c r="E4658" s="9" t="s">
        <v>21</v>
      </c>
      <c r="F4658" s="7">
        <v>40</v>
      </c>
      <c r="G4658" s="7">
        <v>3169.9920000000002</v>
      </c>
      <c r="H4658" s="7">
        <v>0.08</v>
      </c>
      <c r="I4658" s="9" t="s">
        <v>31</v>
      </c>
      <c r="J4658" s="10">
        <v>-973.3</v>
      </c>
      <c r="K4658" s="11">
        <v>105.49</v>
      </c>
      <c r="L4658" s="11">
        <v>41.64</v>
      </c>
      <c r="M4658" s="9" t="s">
        <v>1816</v>
      </c>
      <c r="N4658" s="6" t="s">
        <v>1813</v>
      </c>
      <c r="O4658" s="6" t="s">
        <v>512</v>
      </c>
      <c r="P4658" s="9" t="s">
        <v>60</v>
      </c>
      <c r="Q4658" s="9" t="s">
        <v>49</v>
      </c>
      <c r="R4658" s="9" t="s">
        <v>83</v>
      </c>
      <c r="S4658" s="7" t="s">
        <v>1394</v>
      </c>
      <c r="T4658" s="9" t="s">
        <v>82</v>
      </c>
      <c r="U4658" s="7">
        <v>0.75</v>
      </c>
      <c r="V4658" s="12">
        <f>C4658+7</f>
        <v>40126</v>
      </c>
      <c r="W4658">
        <f>IF(D4658=' Pivot Tables'!$A$4,1,0)</f>
        <v>0</v>
      </c>
      <c r="X4658">
        <f>IF(AND(LEFT(D4658,4)+1=LEFT(' Pivot Tables'!$A$4,4)+0,RIGHT(LEFT(D4658,7),2)=RIGHT(LEFT(' Pivot Tables'!$A$4,7),2)),1,0)</f>
        <v>0</v>
      </c>
      <c r="Y4658" s="6">
        <f>1/COUNTIF(Таблица1[Order ID],Таблица1[[#This Row],[Order ID]])</f>
        <v>0.33333333333333331</v>
      </c>
      <c r="Z4658" s="9">
        <f>1/COUNTIFS(Таблица1[Customer Name],Таблица1[[#This Row],[Customer Name]],Таблица1[Order-Year-Month],Таблица1[[#This Row],[Order-Year-Month]])</f>
        <v>0.33333333333333331</v>
      </c>
    </row>
    <row r="4659" spans="1:26" x14ac:dyDescent="0.2">
      <c r="A4659" s="6">
        <v>3016</v>
      </c>
      <c r="B4659" s="7">
        <v>21702</v>
      </c>
      <c r="C4659" s="8">
        <f>DATE(2012,12,31)-745</f>
        <v>40529</v>
      </c>
      <c r="D4659" s="8" t="str">
        <f t="shared" si="85"/>
        <v>2010-12 (декабрь 2010)</v>
      </c>
      <c r="E4659" s="9" t="s">
        <v>45</v>
      </c>
      <c r="F4659" s="7">
        <v>40</v>
      </c>
      <c r="G4659" s="7">
        <v>5232.83</v>
      </c>
      <c r="H4659" s="7">
        <v>0.01</v>
      </c>
      <c r="I4659" s="9" t="s">
        <v>31</v>
      </c>
      <c r="J4659" s="10">
        <v>-1461.65</v>
      </c>
      <c r="K4659" s="11">
        <v>122.99</v>
      </c>
      <c r="L4659" s="11">
        <v>70.2</v>
      </c>
      <c r="M4659" s="9" t="s">
        <v>1062</v>
      </c>
      <c r="N4659" s="6" t="s">
        <v>1813</v>
      </c>
      <c r="O4659" s="6" t="s">
        <v>512</v>
      </c>
      <c r="P4659" s="9" t="s">
        <v>60</v>
      </c>
      <c r="Q4659" s="9" t="s">
        <v>49</v>
      </c>
      <c r="R4659" s="9" t="s">
        <v>112</v>
      </c>
      <c r="S4659" s="7" t="s">
        <v>426</v>
      </c>
      <c r="T4659" s="9" t="s">
        <v>36</v>
      </c>
      <c r="U4659" s="7">
        <v>0.74</v>
      </c>
      <c r="V4659" s="12">
        <f>C4659+1</f>
        <v>40530</v>
      </c>
      <c r="W4659">
        <f>IF(D4659=' Pivot Tables'!$A$4,1,0)</f>
        <v>0</v>
      </c>
      <c r="X4659">
        <f>IF(AND(LEFT(D4659,4)+1=LEFT(' Pivot Tables'!$A$4,4)+0,RIGHT(LEFT(D4659,7),2)=RIGHT(LEFT(' Pivot Tables'!$A$4,7),2)),1,0)</f>
        <v>0</v>
      </c>
      <c r="Y4659" s="6">
        <f>1/COUNTIF(Таблица1[Order ID],Таблица1[[#This Row],[Order ID]])</f>
        <v>1</v>
      </c>
      <c r="Z4659" s="9">
        <f>1/COUNTIFS(Таблица1[Customer Name],Таблица1[[#This Row],[Customer Name]],Таблица1[Order-Year-Month],Таблица1[[#This Row],[Order-Year-Month]])</f>
        <v>1</v>
      </c>
    </row>
    <row r="4660" spans="1:26" x14ac:dyDescent="0.2">
      <c r="A4660" s="6">
        <v>3062</v>
      </c>
      <c r="B4660" s="7">
        <v>21925</v>
      </c>
      <c r="C4660" s="8">
        <f>DATE(2012,12,31)-172</f>
        <v>41102</v>
      </c>
      <c r="D4660" s="8" t="str">
        <f t="shared" si="85"/>
        <v>2012-07 (июль 2012)</v>
      </c>
      <c r="E4660" s="9" t="s">
        <v>45</v>
      </c>
      <c r="F4660" s="7">
        <v>3</v>
      </c>
      <c r="G4660" s="7">
        <v>236.32</v>
      </c>
      <c r="H4660" s="7">
        <v>0.03</v>
      </c>
      <c r="I4660" s="9" t="s">
        <v>22</v>
      </c>
      <c r="J4660" s="10">
        <v>-339.95</v>
      </c>
      <c r="K4660" s="11">
        <v>77.510000000000005</v>
      </c>
      <c r="L4660" s="11">
        <v>4</v>
      </c>
      <c r="M4660" s="9" t="s">
        <v>1816</v>
      </c>
      <c r="N4660" s="6" t="s">
        <v>1813</v>
      </c>
      <c r="O4660" s="6" t="s">
        <v>512</v>
      </c>
      <c r="P4660" s="9" t="s">
        <v>60</v>
      </c>
      <c r="Q4660" s="9" t="s">
        <v>42</v>
      </c>
      <c r="R4660" s="9" t="s">
        <v>70</v>
      </c>
      <c r="S4660" s="7" t="s">
        <v>1122</v>
      </c>
      <c r="T4660" s="9" t="s">
        <v>39</v>
      </c>
      <c r="U4660" s="7">
        <v>0.76</v>
      </c>
      <c r="V4660" s="12">
        <f>C4660+2</f>
        <v>41104</v>
      </c>
      <c r="W4660">
        <f>IF(D4660=' Pivot Tables'!$A$4,1,0)</f>
        <v>0</v>
      </c>
      <c r="X4660">
        <f>IF(AND(LEFT(D4660,4)+1=LEFT(' Pivot Tables'!$A$4,4)+0,RIGHT(LEFT(D4660,7),2)=RIGHT(LEFT(' Pivot Tables'!$A$4,7),2)),1,0)</f>
        <v>0</v>
      </c>
      <c r="Y4660" s="6">
        <f>1/COUNTIF(Таблица1[Order ID],Таблица1[[#This Row],[Order ID]])</f>
        <v>1</v>
      </c>
      <c r="Z4660" s="9">
        <f>1/COUNTIFS(Таблица1[Customer Name],Таблица1[[#This Row],[Customer Name]],Таблица1[Order-Year-Month],Таблица1[[#This Row],[Order-Year-Month]])</f>
        <v>1</v>
      </c>
    </row>
    <row r="4661" spans="1:26" x14ac:dyDescent="0.2">
      <c r="A4661" s="6">
        <v>3123</v>
      </c>
      <c r="B4661" s="7">
        <v>22432</v>
      </c>
      <c r="C4661" s="8">
        <f>DATE(2012,12,31)-33</f>
        <v>41241</v>
      </c>
      <c r="D4661" s="8" t="str">
        <f t="shared" si="85"/>
        <v>2012-11 (ноябрь 2012)</v>
      </c>
      <c r="E4661" s="9" t="s">
        <v>45</v>
      </c>
      <c r="F4661" s="7">
        <v>45</v>
      </c>
      <c r="G4661" s="7">
        <v>2728.42</v>
      </c>
      <c r="H4661" s="7">
        <v>0.06</v>
      </c>
      <c r="I4661" s="9" t="s">
        <v>22</v>
      </c>
      <c r="J4661" s="10">
        <v>664.15</v>
      </c>
      <c r="K4661" s="11">
        <v>60.98</v>
      </c>
      <c r="L4661" s="11">
        <v>19.989999999999998</v>
      </c>
      <c r="M4661" s="9" t="s">
        <v>1812</v>
      </c>
      <c r="N4661" s="6" t="s">
        <v>1813</v>
      </c>
      <c r="O4661" s="6" t="s">
        <v>512</v>
      </c>
      <c r="P4661" s="9" t="s">
        <v>25</v>
      </c>
      <c r="Q4661" s="9" t="s">
        <v>26</v>
      </c>
      <c r="R4661" s="9" t="s">
        <v>76</v>
      </c>
      <c r="S4661" s="7" t="s">
        <v>769</v>
      </c>
      <c r="T4661" s="9" t="s">
        <v>39</v>
      </c>
      <c r="U4661" s="7">
        <v>0.38</v>
      </c>
      <c r="V4661" s="12">
        <f>C4661+1</f>
        <v>41242</v>
      </c>
      <c r="W4661">
        <f>IF(D4661=' Pivot Tables'!$A$4,1,0)</f>
        <v>0</v>
      </c>
      <c r="X4661">
        <f>IF(AND(LEFT(D4661,4)+1=LEFT(' Pivot Tables'!$A$4,4)+0,RIGHT(LEFT(D4661,7),2)=RIGHT(LEFT(' Pivot Tables'!$A$4,7),2)),1,0)</f>
        <v>0</v>
      </c>
      <c r="Y4661" s="6">
        <f>1/COUNTIF(Таблица1[Order ID],Таблица1[[#This Row],[Order ID]])</f>
        <v>1</v>
      </c>
      <c r="Z4661" s="9">
        <f>1/COUNTIFS(Таблица1[Customer Name],Таблица1[[#This Row],[Customer Name]],Таблица1[Order-Year-Month],Таблица1[[#This Row],[Order-Year-Month]])</f>
        <v>1</v>
      </c>
    </row>
    <row r="4662" spans="1:26" x14ac:dyDescent="0.2">
      <c r="A4662" s="6">
        <v>3173</v>
      </c>
      <c r="B4662" s="7">
        <v>22819</v>
      </c>
      <c r="C4662" s="8">
        <f>DATE(2012,12,31)-51</f>
        <v>41223</v>
      </c>
      <c r="D4662" s="8" t="str">
        <f t="shared" si="85"/>
        <v>2012-11 (ноябрь 2012)</v>
      </c>
      <c r="E4662" s="9" t="s">
        <v>30</v>
      </c>
      <c r="F4662" s="7">
        <v>1</v>
      </c>
      <c r="G4662" s="7">
        <v>6.77</v>
      </c>
      <c r="H4662" s="7">
        <v>0.06</v>
      </c>
      <c r="I4662" s="9" t="s">
        <v>22</v>
      </c>
      <c r="J4662" s="10">
        <v>-3.66</v>
      </c>
      <c r="K4662" s="11">
        <v>2.52</v>
      </c>
      <c r="L4662" s="11">
        <v>4.28</v>
      </c>
      <c r="M4662" s="9" t="s">
        <v>1816</v>
      </c>
      <c r="N4662" s="6" t="s">
        <v>1813</v>
      </c>
      <c r="O4662" s="6" t="s">
        <v>512</v>
      </c>
      <c r="P4662" s="9" t="s">
        <v>60</v>
      </c>
      <c r="Q4662" s="9" t="s">
        <v>26</v>
      </c>
      <c r="R4662" s="9" t="s">
        <v>95</v>
      </c>
      <c r="S4662" s="7" t="s">
        <v>1109</v>
      </c>
      <c r="T4662" s="9" t="s">
        <v>68</v>
      </c>
      <c r="U4662" s="7">
        <v>0.44</v>
      </c>
      <c r="V4662" s="12">
        <f>C4662+2</f>
        <v>41225</v>
      </c>
      <c r="W4662">
        <f>IF(D4662=' Pivot Tables'!$A$4,1,0)</f>
        <v>0</v>
      </c>
      <c r="X4662">
        <f>IF(AND(LEFT(D4662,4)+1=LEFT(' Pivot Tables'!$A$4,4)+0,RIGHT(LEFT(D4662,7),2)=RIGHT(LEFT(' Pivot Tables'!$A$4,7),2)),1,0)</f>
        <v>0</v>
      </c>
      <c r="Y4662" s="6">
        <f>1/COUNTIF(Таблица1[Order ID],Таблица1[[#This Row],[Order ID]])</f>
        <v>1</v>
      </c>
      <c r="Z4662" s="9">
        <f>1/COUNTIFS(Таблица1[Customer Name],Таблица1[[#This Row],[Customer Name]],Таблица1[Order-Year-Month],Таблица1[[#This Row],[Order-Year-Month]])</f>
        <v>1</v>
      </c>
    </row>
    <row r="4663" spans="1:26" x14ac:dyDescent="0.2">
      <c r="A4663" s="6">
        <v>3198</v>
      </c>
      <c r="B4663" s="7">
        <v>22917</v>
      </c>
      <c r="C4663" s="8">
        <f>DATE(2012,12,31)-1401</f>
        <v>39873</v>
      </c>
      <c r="D4663" s="8" t="str">
        <f t="shared" si="85"/>
        <v>2009-03 (март 2009)</v>
      </c>
      <c r="E4663" s="9" t="s">
        <v>63</v>
      </c>
      <c r="F4663" s="7">
        <v>1</v>
      </c>
      <c r="G4663" s="7">
        <v>3550.28</v>
      </c>
      <c r="H4663" s="7">
        <v>0.06</v>
      </c>
      <c r="I4663" s="9" t="s">
        <v>56</v>
      </c>
      <c r="J4663" s="10">
        <v>-11769.17</v>
      </c>
      <c r="K4663" s="11">
        <v>3499.99</v>
      </c>
      <c r="L4663" s="11">
        <v>24.49</v>
      </c>
      <c r="M4663" s="9" t="s">
        <v>1062</v>
      </c>
      <c r="N4663" s="6" t="s">
        <v>1813</v>
      </c>
      <c r="O4663" s="6" t="s">
        <v>512</v>
      </c>
      <c r="P4663" s="9" t="s">
        <v>41</v>
      </c>
      <c r="Q4663" s="9" t="s">
        <v>42</v>
      </c>
      <c r="R4663" s="9" t="s">
        <v>99</v>
      </c>
      <c r="S4663" s="7" t="s">
        <v>627</v>
      </c>
      <c r="T4663" s="9" t="s">
        <v>29</v>
      </c>
      <c r="U4663" s="7">
        <v>0.37</v>
      </c>
      <c r="V4663" s="12">
        <f>C4663+3</f>
        <v>39876</v>
      </c>
      <c r="W4663">
        <f>IF(D4663=' Pivot Tables'!$A$4,1,0)</f>
        <v>0</v>
      </c>
      <c r="X4663">
        <f>IF(AND(LEFT(D4663,4)+1=LEFT(' Pivot Tables'!$A$4,4)+0,RIGHT(LEFT(D4663,7),2)=RIGHT(LEFT(' Pivot Tables'!$A$4,7),2)),1,0)</f>
        <v>0</v>
      </c>
      <c r="Y4663" s="6">
        <f>1/COUNTIF(Таблица1[Order ID],Таблица1[[#This Row],[Order ID]])</f>
        <v>1</v>
      </c>
      <c r="Z4663" s="9">
        <f>1/COUNTIFS(Таблица1[Customer Name],Таблица1[[#This Row],[Customer Name]],Таблица1[Order-Year-Month],Таблица1[[#This Row],[Order-Year-Month]])</f>
        <v>1</v>
      </c>
    </row>
    <row r="4664" spans="1:26" x14ac:dyDescent="0.2">
      <c r="A4664" s="6">
        <v>3221</v>
      </c>
      <c r="B4664" s="7">
        <v>23107</v>
      </c>
      <c r="C4664" s="8">
        <f>DATE(2012,12,31)-569</f>
        <v>40705</v>
      </c>
      <c r="D4664" s="8" t="str">
        <f t="shared" si="85"/>
        <v>2011-06 (июнь 2011)</v>
      </c>
      <c r="E4664" s="9" t="s">
        <v>63</v>
      </c>
      <c r="F4664" s="7">
        <v>7</v>
      </c>
      <c r="G4664" s="7">
        <v>43.29</v>
      </c>
      <c r="H4664" s="7">
        <v>7.0000000000000007E-2</v>
      </c>
      <c r="I4664" s="9" t="s">
        <v>22</v>
      </c>
      <c r="J4664" s="10">
        <v>-39.123000000000005</v>
      </c>
      <c r="K4664" s="11">
        <v>5.38</v>
      </c>
      <c r="L4664" s="11">
        <v>7.57</v>
      </c>
      <c r="M4664" s="9" t="s">
        <v>1814</v>
      </c>
      <c r="N4664" s="6" t="s">
        <v>1813</v>
      </c>
      <c r="O4664" s="6" t="s">
        <v>512</v>
      </c>
      <c r="P4664" s="9" t="s">
        <v>33</v>
      </c>
      <c r="Q4664" s="9" t="s">
        <v>26</v>
      </c>
      <c r="R4664" s="9" t="s">
        <v>37</v>
      </c>
      <c r="S4664" s="7" t="s">
        <v>1633</v>
      </c>
      <c r="T4664" s="9" t="s">
        <v>39</v>
      </c>
      <c r="U4664" s="7">
        <v>0.36</v>
      </c>
      <c r="V4664" s="12">
        <f>C4664+3</f>
        <v>40708</v>
      </c>
      <c r="W4664">
        <f>IF(D4664=' Pivot Tables'!$A$4,1,0)</f>
        <v>0</v>
      </c>
      <c r="X4664">
        <f>IF(AND(LEFT(D4664,4)+1=LEFT(' Pivot Tables'!$A$4,4)+0,RIGHT(LEFT(D4664,7),2)=RIGHT(LEFT(' Pivot Tables'!$A$4,7),2)),1,0)</f>
        <v>0</v>
      </c>
      <c r="Y4664" s="6">
        <f>1/COUNTIF(Таблица1[Order ID],Таблица1[[#This Row],[Order ID]])</f>
        <v>1</v>
      </c>
      <c r="Z4664" s="9">
        <f>1/COUNTIFS(Таблица1[Customer Name],Таблица1[[#This Row],[Customer Name]],Таблица1[Order-Year-Month],Таблица1[[#This Row],[Order-Year-Month]])</f>
        <v>1</v>
      </c>
    </row>
    <row r="4665" spans="1:26" x14ac:dyDescent="0.2">
      <c r="A4665" s="6">
        <v>3294</v>
      </c>
      <c r="B4665" s="7">
        <v>23556</v>
      </c>
      <c r="C4665" s="8">
        <f>DATE(2012,12,31)-722</f>
        <v>40552</v>
      </c>
      <c r="D4665" s="8" t="str">
        <f t="shared" si="85"/>
        <v>2011-01 (январь 2011)</v>
      </c>
      <c r="E4665" s="9" t="s">
        <v>63</v>
      </c>
      <c r="F4665" s="7">
        <v>34</v>
      </c>
      <c r="G4665" s="7">
        <v>11747.97</v>
      </c>
      <c r="H4665" s="7">
        <v>0.05</v>
      </c>
      <c r="I4665" s="9" t="s">
        <v>56</v>
      </c>
      <c r="J4665" s="10">
        <v>3302.03</v>
      </c>
      <c r="K4665" s="11">
        <v>363.25</v>
      </c>
      <c r="L4665" s="11">
        <v>19.989999999999998</v>
      </c>
      <c r="M4665" s="9" t="s">
        <v>1818</v>
      </c>
      <c r="N4665" s="6" t="s">
        <v>1813</v>
      </c>
      <c r="O4665" s="6" t="s">
        <v>512</v>
      </c>
      <c r="P4665" s="9" t="s">
        <v>33</v>
      </c>
      <c r="Q4665" s="9" t="s">
        <v>26</v>
      </c>
      <c r="R4665" s="9" t="s">
        <v>34</v>
      </c>
      <c r="S4665" s="7" t="s">
        <v>589</v>
      </c>
      <c r="T4665" s="9" t="s">
        <v>39</v>
      </c>
      <c r="U4665" s="7">
        <v>0.56999999999999995</v>
      </c>
      <c r="V4665" s="12">
        <f>C4665+1</f>
        <v>40553</v>
      </c>
      <c r="W4665">
        <f>IF(D4665=' Pivot Tables'!$A$4,1,0)</f>
        <v>0</v>
      </c>
      <c r="X4665">
        <f>IF(AND(LEFT(D4665,4)+1=LEFT(' Pivot Tables'!$A$4,4)+0,RIGHT(LEFT(D4665,7),2)=RIGHT(LEFT(' Pivot Tables'!$A$4,7),2)),1,0)</f>
        <v>0</v>
      </c>
      <c r="Y4665" s="6">
        <f>1/COUNTIF(Таблица1[Order ID],Таблица1[[#This Row],[Order ID]])</f>
        <v>1</v>
      </c>
      <c r="Z4665" s="9">
        <f>1/COUNTIFS(Таблица1[Customer Name],Таблица1[[#This Row],[Customer Name]],Таблица1[Order-Year-Month],Таблица1[[#This Row],[Order-Year-Month]])</f>
        <v>1</v>
      </c>
    </row>
    <row r="4666" spans="1:26" x14ac:dyDescent="0.2">
      <c r="A4666" s="6">
        <v>3324</v>
      </c>
      <c r="B4666" s="7">
        <v>23777</v>
      </c>
      <c r="C4666" s="8">
        <f>DATE(2012,12,31)-35</f>
        <v>41239</v>
      </c>
      <c r="D4666" s="8" t="str">
        <f t="shared" si="85"/>
        <v>2012-11 (ноябрь 2012)</v>
      </c>
      <c r="E4666" s="9" t="s">
        <v>45</v>
      </c>
      <c r="F4666" s="7">
        <v>16</v>
      </c>
      <c r="G4666" s="7">
        <v>487.7</v>
      </c>
      <c r="H4666" s="7">
        <v>0.06</v>
      </c>
      <c r="I4666" s="9" t="s">
        <v>22</v>
      </c>
      <c r="J4666" s="10">
        <v>-67.540000000000006</v>
      </c>
      <c r="K4666" s="11">
        <v>31.98</v>
      </c>
      <c r="L4666" s="11">
        <v>6.72</v>
      </c>
      <c r="M4666" s="9" t="s">
        <v>1567</v>
      </c>
      <c r="N4666" s="6" t="s">
        <v>1813</v>
      </c>
      <c r="O4666" s="6" t="s">
        <v>512</v>
      </c>
      <c r="P4666" s="9" t="s">
        <v>33</v>
      </c>
      <c r="Q4666" s="9" t="s">
        <v>26</v>
      </c>
      <c r="R4666" s="9" t="s">
        <v>27</v>
      </c>
      <c r="S4666" s="7" t="s">
        <v>1822</v>
      </c>
      <c r="T4666" s="9" t="s">
        <v>39</v>
      </c>
      <c r="U4666" s="7">
        <v>0.75</v>
      </c>
      <c r="V4666" s="12">
        <f>C4666+1</f>
        <v>41240</v>
      </c>
      <c r="W4666">
        <f>IF(D4666=' Pivot Tables'!$A$4,1,0)</f>
        <v>0</v>
      </c>
      <c r="X4666">
        <f>IF(AND(LEFT(D4666,4)+1=LEFT(' Pivot Tables'!$A$4,4)+0,RIGHT(LEFT(D4666,7),2)=RIGHT(LEFT(' Pivot Tables'!$A$4,7),2)),1,0)</f>
        <v>0</v>
      </c>
      <c r="Y4666" s="6">
        <f>1/COUNTIF(Таблица1[Order ID],Таблица1[[#This Row],[Order ID]])</f>
        <v>1</v>
      </c>
      <c r="Z4666" s="9">
        <f>1/COUNTIFS(Таблица1[Customer Name],Таблица1[[#This Row],[Customer Name]],Таблица1[Order-Year-Month],Таблица1[[#This Row],[Order-Year-Month]])</f>
        <v>1</v>
      </c>
    </row>
    <row r="4667" spans="1:26" x14ac:dyDescent="0.2">
      <c r="A4667" s="6">
        <v>3374</v>
      </c>
      <c r="B4667" s="7">
        <v>24098</v>
      </c>
      <c r="C4667" s="8">
        <f>DATE(2012,12,31)-258</f>
        <v>41016</v>
      </c>
      <c r="D4667" s="8" t="str">
        <f t="shared" si="85"/>
        <v>2012-04 (апрель 2012)</v>
      </c>
      <c r="E4667" s="9" t="s">
        <v>78</v>
      </c>
      <c r="F4667" s="7">
        <v>42</v>
      </c>
      <c r="G4667" s="7">
        <v>199.58</v>
      </c>
      <c r="H4667" s="7">
        <v>0.05</v>
      </c>
      <c r="I4667" s="9" t="s">
        <v>22</v>
      </c>
      <c r="J4667" s="10">
        <v>46.308</v>
      </c>
      <c r="K4667" s="11">
        <v>4.82</v>
      </c>
      <c r="L4667" s="11">
        <v>1.49</v>
      </c>
      <c r="M4667" s="9" t="s">
        <v>1820</v>
      </c>
      <c r="N4667" s="6" t="s">
        <v>1813</v>
      </c>
      <c r="O4667" s="6" t="s">
        <v>512</v>
      </c>
      <c r="P4667" s="9" t="s">
        <v>25</v>
      </c>
      <c r="Q4667" s="9" t="s">
        <v>26</v>
      </c>
      <c r="R4667" s="9" t="s">
        <v>37</v>
      </c>
      <c r="S4667" s="7" t="s">
        <v>961</v>
      </c>
      <c r="T4667" s="9" t="s">
        <v>39</v>
      </c>
      <c r="U4667" s="7">
        <v>0.36</v>
      </c>
      <c r="V4667" s="12">
        <f>C4667+1</f>
        <v>41017</v>
      </c>
      <c r="W4667">
        <f>IF(D4667=' Pivot Tables'!$A$4,1,0)</f>
        <v>0</v>
      </c>
      <c r="X4667">
        <f>IF(AND(LEFT(D4667,4)+1=LEFT(' Pivot Tables'!$A$4,4)+0,RIGHT(LEFT(D4667,7),2)=RIGHT(LEFT(' Pivot Tables'!$A$4,7),2)),1,0)</f>
        <v>0</v>
      </c>
      <c r="Y4667" s="6">
        <f>1/COUNTIF(Таблица1[Order ID],Таблица1[[#This Row],[Order ID]])</f>
        <v>0.33333333333333331</v>
      </c>
      <c r="Z4667" s="9">
        <f>1/COUNTIFS(Таблица1[Customer Name],Таблица1[[#This Row],[Customer Name]],Таблица1[Order-Year-Month],Таблица1[[#This Row],[Order-Year-Month]])</f>
        <v>0.33333333333333331</v>
      </c>
    </row>
    <row r="4668" spans="1:26" x14ac:dyDescent="0.2">
      <c r="A4668" s="6">
        <v>3375</v>
      </c>
      <c r="B4668" s="7">
        <v>24098</v>
      </c>
      <c r="C4668" s="8">
        <f>DATE(2012,12,31)-258</f>
        <v>41016</v>
      </c>
      <c r="D4668" s="8" t="str">
        <f t="shared" si="85"/>
        <v>2012-04 (апрель 2012)</v>
      </c>
      <c r="E4668" s="9" t="s">
        <v>78</v>
      </c>
      <c r="F4668" s="7">
        <v>10</v>
      </c>
      <c r="G4668" s="7">
        <v>80.59</v>
      </c>
      <c r="H4668" s="7">
        <v>0.05</v>
      </c>
      <c r="I4668" s="9" t="s">
        <v>22</v>
      </c>
      <c r="J4668" s="10">
        <v>-20.49</v>
      </c>
      <c r="K4668" s="11">
        <v>7.64</v>
      </c>
      <c r="L4668" s="11">
        <v>5.83</v>
      </c>
      <c r="M4668" s="9" t="s">
        <v>1820</v>
      </c>
      <c r="N4668" s="6" t="s">
        <v>1813</v>
      </c>
      <c r="O4668" s="6" t="s">
        <v>512</v>
      </c>
      <c r="P4668" s="9" t="s">
        <v>25</v>
      </c>
      <c r="Q4668" s="9" t="s">
        <v>26</v>
      </c>
      <c r="R4668" s="9" t="s">
        <v>61</v>
      </c>
      <c r="S4668" s="7" t="s">
        <v>371</v>
      </c>
      <c r="T4668" s="9" t="s">
        <v>68</v>
      </c>
      <c r="U4668" s="7">
        <v>0.36</v>
      </c>
      <c r="V4668" s="12">
        <f>C4668+2</f>
        <v>41018</v>
      </c>
      <c r="W4668">
        <f>IF(D4668=' Pivot Tables'!$A$4,1,0)</f>
        <v>0</v>
      </c>
      <c r="X4668">
        <f>IF(AND(LEFT(D4668,4)+1=LEFT(' Pivot Tables'!$A$4,4)+0,RIGHT(LEFT(D4668,7),2)=RIGHT(LEFT(' Pivot Tables'!$A$4,7),2)),1,0)</f>
        <v>0</v>
      </c>
      <c r="Y4668" s="6">
        <f>1/COUNTIF(Таблица1[Order ID],Таблица1[[#This Row],[Order ID]])</f>
        <v>0.33333333333333331</v>
      </c>
      <c r="Z4668" s="9">
        <f>1/COUNTIFS(Таблица1[Customer Name],Таблица1[[#This Row],[Customer Name]],Таблица1[Order-Year-Month],Таблица1[[#This Row],[Order-Year-Month]])</f>
        <v>0.33333333333333331</v>
      </c>
    </row>
    <row r="4669" spans="1:26" x14ac:dyDescent="0.2">
      <c r="A4669" s="6">
        <v>3376</v>
      </c>
      <c r="B4669" s="7">
        <v>24098</v>
      </c>
      <c r="C4669" s="8">
        <f>DATE(2012,12,31)-258</f>
        <v>41016</v>
      </c>
      <c r="D4669" s="8" t="str">
        <f t="shared" si="85"/>
        <v>2012-04 (апрель 2012)</v>
      </c>
      <c r="E4669" s="9" t="s">
        <v>78</v>
      </c>
      <c r="F4669" s="7">
        <v>32</v>
      </c>
      <c r="G4669" s="7">
        <v>4158.0725000000002</v>
      </c>
      <c r="H4669" s="7">
        <v>0.02</v>
      </c>
      <c r="I4669" s="9" t="s">
        <v>22</v>
      </c>
      <c r="J4669" s="10">
        <v>836.14499999999998</v>
      </c>
      <c r="K4669" s="11">
        <v>155.99</v>
      </c>
      <c r="L4669" s="11">
        <v>8.99</v>
      </c>
      <c r="M4669" s="9" t="s">
        <v>1820</v>
      </c>
      <c r="N4669" s="6" t="s">
        <v>1813</v>
      </c>
      <c r="O4669" s="6" t="s">
        <v>512</v>
      </c>
      <c r="P4669" s="9" t="s">
        <v>25</v>
      </c>
      <c r="Q4669" s="9" t="s">
        <v>42</v>
      </c>
      <c r="R4669" s="9" t="s">
        <v>43</v>
      </c>
      <c r="S4669" s="7" t="s">
        <v>87</v>
      </c>
      <c r="T4669" s="9" t="s">
        <v>39</v>
      </c>
      <c r="U4669" s="7">
        <v>0.57999999999999996</v>
      </c>
      <c r="V4669" s="12">
        <f>C4669+1</f>
        <v>41017</v>
      </c>
      <c r="W4669">
        <f>IF(D4669=' Pivot Tables'!$A$4,1,0)</f>
        <v>0</v>
      </c>
      <c r="X4669">
        <f>IF(AND(LEFT(D4669,4)+1=LEFT(' Pivot Tables'!$A$4,4)+0,RIGHT(LEFT(D4669,7),2)=RIGHT(LEFT(' Pivot Tables'!$A$4,7),2)),1,0)</f>
        <v>0</v>
      </c>
      <c r="Y4669" s="6">
        <f>1/COUNTIF(Таблица1[Order ID],Таблица1[[#This Row],[Order ID]])</f>
        <v>0.33333333333333331</v>
      </c>
      <c r="Z4669" s="9">
        <f>1/COUNTIFS(Таблица1[Customer Name],Таблица1[[#This Row],[Customer Name]],Таблица1[Order-Year-Month],Таблица1[[#This Row],[Order-Year-Month]])</f>
        <v>0.33333333333333331</v>
      </c>
    </row>
    <row r="4670" spans="1:26" x14ac:dyDescent="0.2">
      <c r="A4670" s="6">
        <v>3400</v>
      </c>
      <c r="B4670" s="7">
        <v>24227</v>
      </c>
      <c r="C4670" s="8">
        <f>DATE(2012,12,31)-868</f>
        <v>40406</v>
      </c>
      <c r="D4670" s="8" t="str">
        <f t="shared" si="85"/>
        <v>2010-08 (август 2010)</v>
      </c>
      <c r="E4670" s="9" t="s">
        <v>63</v>
      </c>
      <c r="F4670" s="7">
        <v>24</v>
      </c>
      <c r="G4670" s="7">
        <v>1840.8534999999999</v>
      </c>
      <c r="H4670" s="7">
        <v>0.01</v>
      </c>
      <c r="I4670" s="9" t="s">
        <v>22</v>
      </c>
      <c r="J4670" s="10">
        <v>424.63799999999998</v>
      </c>
      <c r="K4670" s="11">
        <v>85.99</v>
      </c>
      <c r="L4670" s="11">
        <v>2.79</v>
      </c>
      <c r="M4670" s="9" t="s">
        <v>1817</v>
      </c>
      <c r="N4670" s="6" t="s">
        <v>1813</v>
      </c>
      <c r="O4670" s="6" t="s">
        <v>512</v>
      </c>
      <c r="P4670" s="9" t="s">
        <v>33</v>
      </c>
      <c r="Q4670" s="9" t="s">
        <v>42</v>
      </c>
      <c r="R4670" s="9" t="s">
        <v>43</v>
      </c>
      <c r="S4670" s="7" t="s">
        <v>903</v>
      </c>
      <c r="T4670" s="9" t="s">
        <v>39</v>
      </c>
      <c r="U4670" s="7">
        <v>0.57999999999999996</v>
      </c>
      <c r="V4670" s="12">
        <f>C4670+2</f>
        <v>40408</v>
      </c>
      <c r="W4670">
        <f>IF(D4670=' Pivot Tables'!$A$4,1,0)</f>
        <v>0</v>
      </c>
      <c r="X4670">
        <f>IF(AND(LEFT(D4670,4)+1=LEFT(' Pivot Tables'!$A$4,4)+0,RIGHT(LEFT(D4670,7),2)=RIGHT(LEFT(' Pivot Tables'!$A$4,7),2)),1,0)</f>
        <v>0</v>
      </c>
      <c r="Y4670" s="6">
        <f>1/COUNTIF(Таблица1[Order ID],Таблица1[[#This Row],[Order ID]])</f>
        <v>1</v>
      </c>
      <c r="Z4670" s="9">
        <f>1/COUNTIFS(Таблица1[Customer Name],Таблица1[[#This Row],[Customer Name]],Таблица1[Order-Year-Month],Таблица1[[#This Row],[Order-Year-Month]])</f>
        <v>0.25</v>
      </c>
    </row>
    <row r="4671" spans="1:26" x14ac:dyDescent="0.2">
      <c r="A4671" s="6">
        <v>3455</v>
      </c>
      <c r="B4671" s="7">
        <v>24614</v>
      </c>
      <c r="C4671" s="8">
        <f>DATE(2012,12,31)-1136</f>
        <v>40138</v>
      </c>
      <c r="D4671" s="8" t="str">
        <f t="shared" si="85"/>
        <v>2009-11 (ноябрь 2009)</v>
      </c>
      <c r="E4671" s="9" t="s">
        <v>21</v>
      </c>
      <c r="F4671" s="7">
        <v>33</v>
      </c>
      <c r="G4671" s="7">
        <v>1644.59</v>
      </c>
      <c r="H4671" s="7">
        <v>0.09</v>
      </c>
      <c r="I4671" s="9" t="s">
        <v>22</v>
      </c>
      <c r="J4671" s="10">
        <v>-52.92</v>
      </c>
      <c r="K4671" s="11">
        <v>50.98</v>
      </c>
      <c r="L4671" s="11">
        <v>6.5</v>
      </c>
      <c r="M4671" s="9" t="s">
        <v>1812</v>
      </c>
      <c r="N4671" s="6" t="s">
        <v>1813</v>
      </c>
      <c r="O4671" s="6" t="s">
        <v>512</v>
      </c>
      <c r="P4671" s="9" t="s">
        <v>60</v>
      </c>
      <c r="Q4671" s="9" t="s">
        <v>42</v>
      </c>
      <c r="R4671" s="9" t="s">
        <v>70</v>
      </c>
      <c r="S4671" s="7" t="s">
        <v>187</v>
      </c>
      <c r="T4671" s="9" t="s">
        <v>39</v>
      </c>
      <c r="U4671" s="7">
        <v>0.73</v>
      </c>
      <c r="V4671" s="12">
        <f>C4671+7</f>
        <v>40145</v>
      </c>
      <c r="W4671">
        <f>IF(D4671=' Pivot Tables'!$A$4,1,0)</f>
        <v>0</v>
      </c>
      <c r="X4671">
        <f>IF(AND(LEFT(D4671,4)+1=LEFT(' Pivot Tables'!$A$4,4)+0,RIGHT(LEFT(D4671,7),2)=RIGHT(LEFT(' Pivot Tables'!$A$4,7),2)),1,0)</f>
        <v>0</v>
      </c>
      <c r="Y4671" s="6">
        <f>1/COUNTIF(Таблица1[Order ID],Таблица1[[#This Row],[Order ID]])</f>
        <v>1</v>
      </c>
      <c r="Z4671" s="9">
        <f>1/COUNTIFS(Таблица1[Customer Name],Таблица1[[#This Row],[Customer Name]],Таблица1[Order-Year-Month],Таблица1[[#This Row],[Order-Year-Month]])</f>
        <v>1</v>
      </c>
    </row>
    <row r="4672" spans="1:26" x14ac:dyDescent="0.2">
      <c r="A4672" s="6">
        <v>3595</v>
      </c>
      <c r="B4672" s="7">
        <v>25637</v>
      </c>
      <c r="C4672" s="8">
        <f>DATE(2012,12,31)-310</f>
        <v>40964</v>
      </c>
      <c r="D4672" s="8" t="str">
        <f t="shared" si="85"/>
        <v>2012-02 (февраль 2012)</v>
      </c>
      <c r="E4672" s="9" t="s">
        <v>45</v>
      </c>
      <c r="F4672" s="7">
        <v>12</v>
      </c>
      <c r="G4672" s="7">
        <v>2409.4240000000004</v>
      </c>
      <c r="H4672" s="7">
        <v>0.1</v>
      </c>
      <c r="I4672" s="9" t="s">
        <v>31</v>
      </c>
      <c r="J4672" s="10">
        <v>50.95</v>
      </c>
      <c r="K4672" s="11">
        <v>259.70999999999998</v>
      </c>
      <c r="L4672" s="11">
        <v>66.67</v>
      </c>
      <c r="M4672" s="9" t="s">
        <v>1820</v>
      </c>
      <c r="N4672" s="6" t="s">
        <v>1813</v>
      </c>
      <c r="O4672" s="6" t="s">
        <v>512</v>
      </c>
      <c r="P4672" s="9" t="s">
        <v>25</v>
      </c>
      <c r="Q4672" s="9" t="s">
        <v>49</v>
      </c>
      <c r="R4672" s="9" t="s">
        <v>83</v>
      </c>
      <c r="S4672" s="7" t="s">
        <v>510</v>
      </c>
      <c r="T4672" s="9" t="s">
        <v>82</v>
      </c>
      <c r="U4672" s="7">
        <v>0.61</v>
      </c>
      <c r="V4672" s="12">
        <f>C4672+2</f>
        <v>40966</v>
      </c>
      <c r="W4672">
        <f>IF(D4672=' Pivot Tables'!$A$4,1,0)</f>
        <v>0</v>
      </c>
      <c r="X4672">
        <f>IF(AND(LEFT(D4672,4)+1=LEFT(' Pivot Tables'!$A$4,4)+0,RIGHT(LEFT(D4672,7),2)=RIGHT(LEFT(' Pivot Tables'!$A$4,7),2)),1,0)</f>
        <v>0</v>
      </c>
      <c r="Y4672" s="6">
        <f>1/COUNTIF(Таблица1[Order ID],Таблица1[[#This Row],[Order ID]])</f>
        <v>1</v>
      </c>
      <c r="Z4672" s="9">
        <f>1/COUNTIFS(Таблица1[Customer Name],Таблица1[[#This Row],[Customer Name]],Таблица1[Order-Year-Month],Таблица1[[#This Row],[Order-Year-Month]])</f>
        <v>0.5</v>
      </c>
    </row>
    <row r="4673" spans="1:26" x14ac:dyDescent="0.2">
      <c r="A4673" s="6">
        <v>3737</v>
      </c>
      <c r="B4673" s="7">
        <v>26695</v>
      </c>
      <c r="C4673" s="8">
        <f>DATE(2012,12,31)-939</f>
        <v>40335</v>
      </c>
      <c r="D4673" s="8" t="str">
        <f t="shared" si="85"/>
        <v>2010-06 (июнь 2010)</v>
      </c>
      <c r="E4673" s="9" t="s">
        <v>45</v>
      </c>
      <c r="F4673" s="7">
        <v>43</v>
      </c>
      <c r="G4673" s="7">
        <v>367.11</v>
      </c>
      <c r="H4673" s="7">
        <v>0.01</v>
      </c>
      <c r="I4673" s="9" t="s">
        <v>22</v>
      </c>
      <c r="J4673" s="10">
        <v>163.41999999999999</v>
      </c>
      <c r="K4673" s="11">
        <v>8.34</v>
      </c>
      <c r="L4673" s="11">
        <v>1.43</v>
      </c>
      <c r="M4673" s="9" t="s">
        <v>1823</v>
      </c>
      <c r="N4673" s="6" t="s">
        <v>1813</v>
      </c>
      <c r="O4673" s="6" t="s">
        <v>512</v>
      </c>
      <c r="P4673" s="9" t="s">
        <v>41</v>
      </c>
      <c r="Q4673" s="9" t="s">
        <v>26</v>
      </c>
      <c r="R4673" s="9" t="s">
        <v>61</v>
      </c>
      <c r="S4673" s="7" t="s">
        <v>1208</v>
      </c>
      <c r="T4673" s="9" t="s">
        <v>68</v>
      </c>
      <c r="U4673" s="7">
        <v>0.35</v>
      </c>
      <c r="V4673" s="12">
        <f>C4673+2</f>
        <v>40337</v>
      </c>
      <c r="W4673">
        <f>IF(D4673=' Pivot Tables'!$A$4,1,0)</f>
        <v>0</v>
      </c>
      <c r="X4673">
        <f>IF(AND(LEFT(D4673,4)+1=LEFT(' Pivot Tables'!$A$4,4)+0,RIGHT(LEFT(D4673,7),2)=RIGHT(LEFT(' Pivot Tables'!$A$4,7),2)),1,0)</f>
        <v>0</v>
      </c>
      <c r="Y4673" s="6">
        <f>1/COUNTIF(Таблица1[Order ID],Таблица1[[#This Row],[Order ID]])</f>
        <v>1</v>
      </c>
      <c r="Z4673" s="9">
        <f>1/COUNTIFS(Таблица1[Customer Name],Таблица1[[#This Row],[Customer Name]],Таблица1[Order-Year-Month],Таблица1[[#This Row],[Order-Year-Month]])</f>
        <v>1</v>
      </c>
    </row>
    <row r="4674" spans="1:26" x14ac:dyDescent="0.2">
      <c r="A4674" s="6">
        <v>3797</v>
      </c>
      <c r="B4674" s="7">
        <v>27078</v>
      </c>
      <c r="C4674" s="8">
        <f>DATE(2012,12,31)-141</f>
        <v>41133</v>
      </c>
      <c r="D4674" s="8" t="str">
        <f t="shared" si="85"/>
        <v>2012-08 (август 2012)</v>
      </c>
      <c r="E4674" s="9" t="s">
        <v>45</v>
      </c>
      <c r="F4674" s="7">
        <v>22</v>
      </c>
      <c r="G4674" s="7">
        <v>152.44</v>
      </c>
      <c r="H4674" s="7">
        <v>0.03</v>
      </c>
      <c r="I4674" s="9" t="s">
        <v>22</v>
      </c>
      <c r="J4674" s="10">
        <v>-40.76</v>
      </c>
      <c r="K4674" s="11">
        <v>6.48</v>
      </c>
      <c r="L4674" s="11">
        <v>5.86</v>
      </c>
      <c r="M4674" s="9" t="s">
        <v>1062</v>
      </c>
      <c r="N4674" s="6" t="s">
        <v>1813</v>
      </c>
      <c r="O4674" s="6" t="s">
        <v>512</v>
      </c>
      <c r="P4674" s="9" t="s">
        <v>41</v>
      </c>
      <c r="Q4674" s="9" t="s">
        <v>26</v>
      </c>
      <c r="R4674" s="9" t="s">
        <v>61</v>
      </c>
      <c r="S4674" s="7" t="s">
        <v>174</v>
      </c>
      <c r="T4674" s="9" t="s">
        <v>39</v>
      </c>
      <c r="U4674" s="7">
        <v>0.36</v>
      </c>
      <c r="V4674" s="12">
        <f>C4674+1</f>
        <v>41134</v>
      </c>
      <c r="W4674">
        <f>IF(D4674=' Pivot Tables'!$A$4,1,0)</f>
        <v>0</v>
      </c>
      <c r="X4674">
        <f>IF(AND(LEFT(D4674,4)+1=LEFT(' Pivot Tables'!$A$4,4)+0,RIGHT(LEFT(D4674,7),2)=RIGHT(LEFT(' Pivot Tables'!$A$4,7),2)),1,0)</f>
        <v>0</v>
      </c>
      <c r="Y4674" s="6">
        <f>1/COUNTIF(Таблица1[Order ID],Таблица1[[#This Row],[Order ID]])</f>
        <v>1</v>
      </c>
      <c r="Z4674" s="9">
        <f>1/COUNTIFS(Таблица1[Customer Name],Таблица1[[#This Row],[Customer Name]],Таблица1[Order-Year-Month],Таблица1[[#This Row],[Order-Year-Month]])</f>
        <v>0.5</v>
      </c>
    </row>
    <row r="4675" spans="1:26" x14ac:dyDescent="0.2">
      <c r="A4675" s="6">
        <v>4135</v>
      </c>
      <c r="B4675" s="7">
        <v>29376</v>
      </c>
      <c r="C4675" s="8">
        <f>DATE(2012,12,31)-142</f>
        <v>41132</v>
      </c>
      <c r="D4675" s="8" t="str">
        <f t="shared" ref="D4675:D4738" si="86">TEXT(C4675,"гггг-ММ (ММММ гггг)")</f>
        <v>2012-08 (август 2012)</v>
      </c>
      <c r="E4675" s="9" t="s">
        <v>78</v>
      </c>
      <c r="F4675" s="7">
        <v>20</v>
      </c>
      <c r="G4675" s="7">
        <v>2850.31</v>
      </c>
      <c r="H4675" s="7">
        <v>0.09</v>
      </c>
      <c r="I4675" s="9" t="s">
        <v>22</v>
      </c>
      <c r="J4675" s="10">
        <v>569.08000000000004</v>
      </c>
      <c r="K4675" s="11">
        <v>155.06</v>
      </c>
      <c r="L4675" s="11">
        <v>7.07</v>
      </c>
      <c r="M4675" s="9" t="s">
        <v>1817</v>
      </c>
      <c r="N4675" s="6" t="s">
        <v>1813</v>
      </c>
      <c r="O4675" s="6" t="s">
        <v>512</v>
      </c>
      <c r="P4675" s="9" t="s">
        <v>33</v>
      </c>
      <c r="Q4675" s="9" t="s">
        <v>26</v>
      </c>
      <c r="R4675" s="9" t="s">
        <v>27</v>
      </c>
      <c r="S4675" s="7" t="s">
        <v>502</v>
      </c>
      <c r="T4675" s="9" t="s">
        <v>39</v>
      </c>
      <c r="U4675" s="7">
        <v>0.59</v>
      </c>
      <c r="V4675" s="12">
        <f>C4675+2</f>
        <v>41134</v>
      </c>
      <c r="W4675">
        <f>IF(D4675=' Pivot Tables'!$A$4,1,0)</f>
        <v>0</v>
      </c>
      <c r="X4675">
        <f>IF(AND(LEFT(D4675,4)+1=LEFT(' Pivot Tables'!$A$4,4)+0,RIGHT(LEFT(D4675,7),2)=RIGHT(LEFT(' Pivot Tables'!$A$4,7),2)),1,0)</f>
        <v>0</v>
      </c>
      <c r="Y4675" s="6">
        <f>1/COUNTIF(Таблица1[Order ID],Таблица1[[#This Row],[Order ID]])</f>
        <v>1</v>
      </c>
      <c r="Z4675" s="9">
        <f>1/COUNTIFS(Таблица1[Customer Name],Таблица1[[#This Row],[Customer Name]],Таблица1[Order-Year-Month],Таблица1[[#This Row],[Order-Year-Month]])</f>
        <v>1</v>
      </c>
    </row>
    <row r="4676" spans="1:26" x14ac:dyDescent="0.2">
      <c r="A4676" s="6">
        <v>4190</v>
      </c>
      <c r="B4676" s="7">
        <v>29766</v>
      </c>
      <c r="C4676" s="8">
        <f>DATE(2012,12,31)-1381</f>
        <v>39893</v>
      </c>
      <c r="D4676" s="8" t="str">
        <f t="shared" si="86"/>
        <v>2009-03 (март 2009)</v>
      </c>
      <c r="E4676" s="9" t="s">
        <v>63</v>
      </c>
      <c r="F4676" s="7">
        <v>13</v>
      </c>
      <c r="G4676" s="7">
        <v>89061.05</v>
      </c>
      <c r="H4676" s="7">
        <v>0</v>
      </c>
      <c r="I4676" s="9" t="s">
        <v>22</v>
      </c>
      <c r="J4676" s="10">
        <v>27220.69</v>
      </c>
      <c r="K4676" s="11">
        <v>6783.02</v>
      </c>
      <c r="L4676" s="11">
        <v>24.49</v>
      </c>
      <c r="M4676" s="9" t="s">
        <v>1567</v>
      </c>
      <c r="N4676" s="6" t="s">
        <v>1813</v>
      </c>
      <c r="O4676" s="6" t="s">
        <v>512</v>
      </c>
      <c r="P4676" s="9" t="s">
        <v>33</v>
      </c>
      <c r="Q4676" s="9" t="s">
        <v>42</v>
      </c>
      <c r="R4676" s="9" t="s">
        <v>210</v>
      </c>
      <c r="S4676" s="7" t="s">
        <v>1668</v>
      </c>
      <c r="T4676" s="9" t="s">
        <v>29</v>
      </c>
      <c r="U4676" s="7">
        <v>0.39</v>
      </c>
      <c r="V4676" s="12">
        <f>C4676+1</f>
        <v>39894</v>
      </c>
      <c r="W4676">
        <f>IF(D4676=' Pivot Tables'!$A$4,1,0)</f>
        <v>0</v>
      </c>
      <c r="X4676">
        <f>IF(AND(LEFT(D4676,4)+1=LEFT(' Pivot Tables'!$A$4,4)+0,RIGHT(LEFT(D4676,7),2)=RIGHT(LEFT(' Pivot Tables'!$A$4,7),2)),1,0)</f>
        <v>0</v>
      </c>
      <c r="Y4676" s="6">
        <f>1/COUNTIF(Таблица1[Order ID],Таблица1[[#This Row],[Order ID]])</f>
        <v>0.5</v>
      </c>
      <c r="Z4676" s="9">
        <f>1/COUNTIFS(Таблица1[Customer Name],Таблица1[[#This Row],[Customer Name]],Таблица1[Order-Year-Month],Таблица1[[#This Row],[Order-Year-Month]])</f>
        <v>0.5</v>
      </c>
    </row>
    <row r="4677" spans="1:26" x14ac:dyDescent="0.2">
      <c r="A4677" s="6">
        <v>4191</v>
      </c>
      <c r="B4677" s="7">
        <v>29766</v>
      </c>
      <c r="C4677" s="8">
        <f>DATE(2012,12,31)-1381</f>
        <v>39893</v>
      </c>
      <c r="D4677" s="8" t="str">
        <f t="shared" si="86"/>
        <v>2009-03 (март 2009)</v>
      </c>
      <c r="E4677" s="9" t="s">
        <v>63</v>
      </c>
      <c r="F4677" s="7">
        <v>40</v>
      </c>
      <c r="G4677" s="7">
        <v>6636.6639999999998</v>
      </c>
      <c r="H4677" s="7">
        <v>0.08</v>
      </c>
      <c r="I4677" s="9" t="s">
        <v>22</v>
      </c>
      <c r="J4677" s="10">
        <v>1623.6989999999998</v>
      </c>
      <c r="K4677" s="11">
        <v>205.99</v>
      </c>
      <c r="L4677" s="11">
        <v>8.99</v>
      </c>
      <c r="M4677" s="9" t="s">
        <v>1567</v>
      </c>
      <c r="N4677" s="6" t="s">
        <v>1813</v>
      </c>
      <c r="O4677" s="6" t="s">
        <v>512</v>
      </c>
      <c r="P4677" s="9" t="s">
        <v>33</v>
      </c>
      <c r="Q4677" s="9" t="s">
        <v>42</v>
      </c>
      <c r="R4677" s="9" t="s">
        <v>43</v>
      </c>
      <c r="S4677" s="7" t="s">
        <v>1444</v>
      </c>
      <c r="T4677" s="9" t="s">
        <v>39</v>
      </c>
      <c r="U4677" s="7">
        <v>0.56000000000000005</v>
      </c>
      <c r="V4677" s="12">
        <f>C4677+0</f>
        <v>39893</v>
      </c>
      <c r="W4677">
        <f>IF(D4677=' Pivot Tables'!$A$4,1,0)</f>
        <v>0</v>
      </c>
      <c r="X4677">
        <f>IF(AND(LEFT(D4677,4)+1=LEFT(' Pivot Tables'!$A$4,4)+0,RIGHT(LEFT(D4677,7),2)=RIGHT(LEFT(' Pivot Tables'!$A$4,7),2)),1,0)</f>
        <v>0</v>
      </c>
      <c r="Y4677" s="6">
        <f>1/COUNTIF(Таблица1[Order ID],Таблица1[[#This Row],[Order ID]])</f>
        <v>0.5</v>
      </c>
      <c r="Z4677" s="9">
        <f>1/COUNTIFS(Таблица1[Customer Name],Таблица1[[#This Row],[Customer Name]],Таблица1[Order-Year-Month],Таблица1[[#This Row],[Order-Year-Month]])</f>
        <v>0.5</v>
      </c>
    </row>
    <row r="4678" spans="1:26" x14ac:dyDescent="0.2">
      <c r="A4678" s="6">
        <v>4253</v>
      </c>
      <c r="B4678" s="7">
        <v>30278</v>
      </c>
      <c r="C4678" s="8">
        <f>DATE(2012,12,31)-1188</f>
        <v>40086</v>
      </c>
      <c r="D4678" s="8" t="str">
        <f t="shared" si="86"/>
        <v>2009-09 (сентябрь 2009)</v>
      </c>
      <c r="E4678" s="9" t="s">
        <v>21</v>
      </c>
      <c r="F4678" s="7">
        <v>50</v>
      </c>
      <c r="G4678" s="7">
        <v>2860.93</v>
      </c>
      <c r="H4678" s="7">
        <v>0.03</v>
      </c>
      <c r="I4678" s="9" t="s">
        <v>22</v>
      </c>
      <c r="J4678" s="10">
        <v>832.61699999999996</v>
      </c>
      <c r="K4678" s="11">
        <v>65.989999999999995</v>
      </c>
      <c r="L4678" s="11">
        <v>5.26</v>
      </c>
      <c r="M4678" s="9" t="s">
        <v>1812</v>
      </c>
      <c r="N4678" s="6" t="s">
        <v>1813</v>
      </c>
      <c r="O4678" s="6" t="s">
        <v>512</v>
      </c>
      <c r="P4678" s="9" t="s">
        <v>60</v>
      </c>
      <c r="Q4678" s="9" t="s">
        <v>42</v>
      </c>
      <c r="R4678" s="9" t="s">
        <v>43</v>
      </c>
      <c r="S4678" s="7" t="s">
        <v>390</v>
      </c>
      <c r="T4678" s="9" t="s">
        <v>39</v>
      </c>
      <c r="U4678" s="7">
        <v>0.56000000000000005</v>
      </c>
      <c r="V4678" s="12">
        <f>C4678+9</f>
        <v>40095</v>
      </c>
      <c r="W4678">
        <f>IF(D4678=' Pivot Tables'!$A$4,1,0)</f>
        <v>0</v>
      </c>
      <c r="X4678">
        <f>IF(AND(LEFT(D4678,4)+1=LEFT(' Pivot Tables'!$A$4,4)+0,RIGHT(LEFT(D4678,7),2)=RIGHT(LEFT(' Pivot Tables'!$A$4,7),2)),1,0)</f>
        <v>0</v>
      </c>
      <c r="Y4678" s="6">
        <f>1/COUNTIF(Таблица1[Order ID],Таблица1[[#This Row],[Order ID]])</f>
        <v>1</v>
      </c>
      <c r="Z4678" s="9">
        <f>1/COUNTIFS(Таблица1[Customer Name],Таблица1[[#This Row],[Customer Name]],Таблица1[Order-Year-Month],Таблица1[[#This Row],[Order-Year-Month]])</f>
        <v>1</v>
      </c>
    </row>
    <row r="4679" spans="1:26" x14ac:dyDescent="0.2">
      <c r="A4679" s="6">
        <v>4302</v>
      </c>
      <c r="B4679" s="7">
        <v>30626</v>
      </c>
      <c r="C4679" s="8">
        <f>DATE(2012,12,31)-616</f>
        <v>40658</v>
      </c>
      <c r="D4679" s="8" t="str">
        <f t="shared" si="86"/>
        <v>2011-04 (апрель 2011)</v>
      </c>
      <c r="E4679" s="9" t="s">
        <v>78</v>
      </c>
      <c r="F4679" s="7">
        <v>23</v>
      </c>
      <c r="G4679" s="7">
        <v>220.82</v>
      </c>
      <c r="H4679" s="7">
        <v>0.1</v>
      </c>
      <c r="I4679" s="9" t="s">
        <v>56</v>
      </c>
      <c r="J4679" s="10">
        <v>77.680000000000007</v>
      </c>
      <c r="K4679" s="11">
        <v>9.93</v>
      </c>
      <c r="L4679" s="11">
        <v>1.0900000000000001</v>
      </c>
      <c r="M4679" s="9" t="s">
        <v>1062</v>
      </c>
      <c r="N4679" s="6" t="s">
        <v>1813</v>
      </c>
      <c r="O4679" s="6" t="s">
        <v>512</v>
      </c>
      <c r="P4679" s="9" t="s">
        <v>41</v>
      </c>
      <c r="Q4679" s="9" t="s">
        <v>26</v>
      </c>
      <c r="R4679" s="9" t="s">
        <v>95</v>
      </c>
      <c r="S4679" s="7" t="s">
        <v>1048</v>
      </c>
      <c r="T4679" s="9" t="s">
        <v>68</v>
      </c>
      <c r="U4679" s="7">
        <v>0.43</v>
      </c>
      <c r="V4679" s="12">
        <f>C4679+1</f>
        <v>40659</v>
      </c>
      <c r="W4679">
        <f>IF(D4679=' Pivot Tables'!$A$4,1,0)</f>
        <v>0</v>
      </c>
      <c r="X4679">
        <f>IF(AND(LEFT(D4679,4)+1=LEFT(' Pivot Tables'!$A$4,4)+0,RIGHT(LEFT(D4679,7),2)=RIGHT(LEFT(' Pivot Tables'!$A$4,7),2)),1,0)</f>
        <v>0</v>
      </c>
      <c r="Y4679" s="6">
        <f>1/COUNTIF(Таблица1[Order ID],Таблица1[[#This Row],[Order ID]])</f>
        <v>1</v>
      </c>
      <c r="Z4679" s="9">
        <f>1/COUNTIFS(Таблица1[Customer Name],Таблица1[[#This Row],[Customer Name]],Таблица1[Order-Year-Month],Таблица1[[#This Row],[Order-Year-Month]])</f>
        <v>0.33333333333333331</v>
      </c>
    </row>
    <row r="4680" spans="1:26" x14ac:dyDescent="0.2">
      <c r="A4680" s="6">
        <v>4328</v>
      </c>
      <c r="B4680" s="7">
        <v>30851</v>
      </c>
      <c r="C4680" s="8">
        <f>DATE(2012,12,31)-832</f>
        <v>40442</v>
      </c>
      <c r="D4680" s="8" t="str">
        <f t="shared" si="86"/>
        <v>2010-09 (сентябрь 2010)</v>
      </c>
      <c r="E4680" s="9" t="s">
        <v>21</v>
      </c>
      <c r="F4680" s="7">
        <v>16</v>
      </c>
      <c r="G4680" s="7">
        <v>336.29</v>
      </c>
      <c r="H4680" s="7">
        <v>0.08</v>
      </c>
      <c r="I4680" s="9" t="s">
        <v>22</v>
      </c>
      <c r="J4680" s="10">
        <v>-52.14</v>
      </c>
      <c r="K4680" s="11">
        <v>21.38</v>
      </c>
      <c r="L4680" s="11">
        <v>8.99</v>
      </c>
      <c r="M4680" s="9" t="s">
        <v>1567</v>
      </c>
      <c r="N4680" s="6" t="s">
        <v>1813</v>
      </c>
      <c r="O4680" s="6" t="s">
        <v>512</v>
      </c>
      <c r="P4680" s="9" t="s">
        <v>33</v>
      </c>
      <c r="Q4680" s="9" t="s">
        <v>26</v>
      </c>
      <c r="R4680" s="9" t="s">
        <v>95</v>
      </c>
      <c r="S4680" s="7" t="s">
        <v>436</v>
      </c>
      <c r="T4680" s="9" t="s">
        <v>52</v>
      </c>
      <c r="U4680" s="7">
        <v>0.59</v>
      </c>
      <c r="V4680" s="12">
        <f>C4680+4</f>
        <v>40446</v>
      </c>
      <c r="W4680">
        <f>IF(D4680=' Pivot Tables'!$A$4,1,0)</f>
        <v>0</v>
      </c>
      <c r="X4680">
        <f>IF(AND(LEFT(D4680,4)+1=LEFT(' Pivot Tables'!$A$4,4)+0,RIGHT(LEFT(D4680,7),2)=RIGHT(LEFT(' Pivot Tables'!$A$4,7),2)),1,0)</f>
        <v>0</v>
      </c>
      <c r="Y4680" s="6">
        <f>1/COUNTIF(Таблица1[Order ID],Таблица1[[#This Row],[Order ID]])</f>
        <v>1</v>
      </c>
      <c r="Z4680" s="9">
        <f>1/COUNTIFS(Таблица1[Customer Name],Таблица1[[#This Row],[Customer Name]],Таблица1[Order-Year-Month],Таблица1[[#This Row],[Order-Year-Month]])</f>
        <v>1</v>
      </c>
    </row>
    <row r="4681" spans="1:26" x14ac:dyDescent="0.2">
      <c r="A4681" s="6">
        <v>4452</v>
      </c>
      <c r="B4681" s="7">
        <v>31718</v>
      </c>
      <c r="C4681" s="8">
        <f>DATE(2012,12,31)-765</f>
        <v>40509</v>
      </c>
      <c r="D4681" s="8" t="str">
        <f t="shared" si="86"/>
        <v>2010-11 (ноябрь 2010)</v>
      </c>
      <c r="E4681" s="9" t="s">
        <v>21</v>
      </c>
      <c r="F4681" s="7">
        <v>24</v>
      </c>
      <c r="G4681" s="7">
        <v>1390.6934999999999</v>
      </c>
      <c r="H4681" s="7">
        <v>0.03</v>
      </c>
      <c r="I4681" s="9" t="s">
        <v>22</v>
      </c>
      <c r="J4681" s="10">
        <v>168.46200000000002</v>
      </c>
      <c r="K4681" s="11">
        <v>65.989999999999995</v>
      </c>
      <c r="L4681" s="11">
        <v>7.69</v>
      </c>
      <c r="M4681" s="9" t="s">
        <v>1819</v>
      </c>
      <c r="N4681" s="6" t="s">
        <v>1813</v>
      </c>
      <c r="O4681" s="6" t="s">
        <v>512</v>
      </c>
      <c r="P4681" s="9" t="s">
        <v>41</v>
      </c>
      <c r="Q4681" s="9" t="s">
        <v>42</v>
      </c>
      <c r="R4681" s="9" t="s">
        <v>43</v>
      </c>
      <c r="S4681" s="7" t="s">
        <v>923</v>
      </c>
      <c r="T4681" s="9" t="s">
        <v>39</v>
      </c>
      <c r="U4681" s="7">
        <v>0.59</v>
      </c>
      <c r="V4681" s="12">
        <f>C4681+4</f>
        <v>40513</v>
      </c>
      <c r="W4681">
        <f>IF(D4681=' Pivot Tables'!$A$4,1,0)</f>
        <v>0</v>
      </c>
      <c r="X4681">
        <f>IF(AND(LEFT(D4681,4)+1=LEFT(' Pivot Tables'!$A$4,4)+0,RIGHT(LEFT(D4681,7),2)=RIGHT(LEFT(' Pivot Tables'!$A$4,7),2)),1,0)</f>
        <v>0</v>
      </c>
      <c r="Y4681" s="6">
        <f>1/COUNTIF(Таблица1[Order ID],Таблица1[[#This Row],[Order ID]])</f>
        <v>0.5</v>
      </c>
      <c r="Z4681" s="9">
        <f>1/COUNTIFS(Таблица1[Customer Name],Таблица1[[#This Row],[Customer Name]],Таблица1[Order-Year-Month],Таблица1[[#This Row],[Order-Year-Month]])</f>
        <v>0.5</v>
      </c>
    </row>
    <row r="4682" spans="1:26" x14ac:dyDescent="0.2">
      <c r="A4682" s="6">
        <v>4453</v>
      </c>
      <c r="B4682" s="7">
        <v>31718</v>
      </c>
      <c r="C4682" s="8">
        <f>DATE(2012,12,31)-765</f>
        <v>40509</v>
      </c>
      <c r="D4682" s="8" t="str">
        <f t="shared" si="86"/>
        <v>2010-11 (ноябрь 2010)</v>
      </c>
      <c r="E4682" s="9" t="s">
        <v>21</v>
      </c>
      <c r="F4682" s="7">
        <v>20</v>
      </c>
      <c r="G4682" s="7">
        <v>1017.2884999999999</v>
      </c>
      <c r="H4682" s="7">
        <v>0.1</v>
      </c>
      <c r="I4682" s="9" t="s">
        <v>22</v>
      </c>
      <c r="J4682" s="10">
        <v>-115.30199999999999</v>
      </c>
      <c r="K4682" s="11">
        <v>65.989999999999995</v>
      </c>
      <c r="L4682" s="11">
        <v>8.99</v>
      </c>
      <c r="M4682" s="9" t="s">
        <v>1819</v>
      </c>
      <c r="N4682" s="6" t="s">
        <v>1813</v>
      </c>
      <c r="O4682" s="6" t="s">
        <v>512</v>
      </c>
      <c r="P4682" s="9" t="s">
        <v>41</v>
      </c>
      <c r="Q4682" s="9" t="s">
        <v>42</v>
      </c>
      <c r="R4682" s="9" t="s">
        <v>43</v>
      </c>
      <c r="S4682" s="7" t="s">
        <v>1068</v>
      </c>
      <c r="T4682" s="9" t="s">
        <v>39</v>
      </c>
      <c r="U4682" s="7">
        <v>0.6</v>
      </c>
      <c r="V4682" s="12">
        <f>C4682+7</f>
        <v>40516</v>
      </c>
      <c r="W4682">
        <f>IF(D4682=' Pivot Tables'!$A$4,1,0)</f>
        <v>0</v>
      </c>
      <c r="X4682">
        <f>IF(AND(LEFT(D4682,4)+1=LEFT(' Pivot Tables'!$A$4,4)+0,RIGHT(LEFT(D4682,7),2)=RIGHT(LEFT(' Pivot Tables'!$A$4,7),2)),1,0)</f>
        <v>0</v>
      </c>
      <c r="Y4682" s="6">
        <f>1/COUNTIF(Таблица1[Order ID],Таблица1[[#This Row],[Order ID]])</f>
        <v>0.5</v>
      </c>
      <c r="Z4682" s="9">
        <f>1/COUNTIFS(Таблица1[Customer Name],Таблица1[[#This Row],[Customer Name]],Таблица1[Order-Year-Month],Таблица1[[#This Row],[Order-Year-Month]])</f>
        <v>0.5</v>
      </c>
    </row>
    <row r="4683" spans="1:26" x14ac:dyDescent="0.2">
      <c r="A4683" s="6">
        <v>4508</v>
      </c>
      <c r="B4683" s="7">
        <v>32070</v>
      </c>
      <c r="C4683" s="8">
        <f>DATE(2012,12,31)-1263</f>
        <v>40011</v>
      </c>
      <c r="D4683" s="8" t="str">
        <f t="shared" si="86"/>
        <v>2009-07 (июль 2009)</v>
      </c>
      <c r="E4683" s="9" t="s">
        <v>63</v>
      </c>
      <c r="F4683" s="7">
        <v>50</v>
      </c>
      <c r="G4683" s="7">
        <v>86.7</v>
      </c>
      <c r="H4683" s="7">
        <v>7.0000000000000007E-2</v>
      </c>
      <c r="I4683" s="9" t="s">
        <v>22</v>
      </c>
      <c r="J4683" s="10">
        <v>-185.34</v>
      </c>
      <c r="K4683" s="11">
        <v>1.76</v>
      </c>
      <c r="L4683" s="11">
        <v>4.8600000000000003</v>
      </c>
      <c r="M4683" s="9" t="s">
        <v>1816</v>
      </c>
      <c r="N4683" s="6" t="s">
        <v>1813</v>
      </c>
      <c r="O4683" s="6" t="s">
        <v>512</v>
      </c>
      <c r="P4683" s="9" t="s">
        <v>60</v>
      </c>
      <c r="Q4683" s="9" t="s">
        <v>49</v>
      </c>
      <c r="R4683" s="9" t="s">
        <v>50</v>
      </c>
      <c r="S4683" s="7" t="s">
        <v>1607</v>
      </c>
      <c r="T4683" s="9" t="s">
        <v>39</v>
      </c>
      <c r="U4683" s="7">
        <v>0.41</v>
      </c>
      <c r="V4683" s="12">
        <f>C4683+0</f>
        <v>40011</v>
      </c>
      <c r="W4683">
        <f>IF(D4683=' Pivot Tables'!$A$4,1,0)</f>
        <v>0</v>
      </c>
      <c r="X4683">
        <f>IF(AND(LEFT(D4683,4)+1=LEFT(' Pivot Tables'!$A$4,4)+0,RIGHT(LEFT(D4683,7),2)=RIGHT(LEFT(' Pivot Tables'!$A$4,7),2)),1,0)</f>
        <v>0</v>
      </c>
      <c r="Y4683" s="6">
        <f>1/COUNTIF(Таблица1[Order ID],Таблица1[[#This Row],[Order ID]])</f>
        <v>1</v>
      </c>
      <c r="Z4683" s="9">
        <f>1/COUNTIFS(Таблица1[Customer Name],Таблица1[[#This Row],[Customer Name]],Таблица1[Order-Year-Month],Таблица1[[#This Row],[Order-Year-Month]])</f>
        <v>1</v>
      </c>
    </row>
    <row r="4684" spans="1:26" x14ac:dyDescent="0.2">
      <c r="A4684" s="6">
        <v>4871</v>
      </c>
      <c r="B4684" s="7">
        <v>34661</v>
      </c>
      <c r="C4684" s="8">
        <f>DATE(2012,12,31)-1076</f>
        <v>40198</v>
      </c>
      <c r="D4684" s="8" t="str">
        <f t="shared" si="86"/>
        <v>2010-01 (январь 2010)</v>
      </c>
      <c r="E4684" s="9" t="s">
        <v>78</v>
      </c>
      <c r="F4684" s="7">
        <v>26</v>
      </c>
      <c r="G4684" s="7">
        <v>864.16</v>
      </c>
      <c r="H4684" s="7">
        <v>0.09</v>
      </c>
      <c r="I4684" s="9" t="s">
        <v>22</v>
      </c>
      <c r="J4684" s="10">
        <v>-175.47</v>
      </c>
      <c r="K4684" s="11">
        <v>33.979999999999997</v>
      </c>
      <c r="L4684" s="11">
        <v>19.989999999999998</v>
      </c>
      <c r="M4684" s="9" t="s">
        <v>1062</v>
      </c>
      <c r="N4684" s="6" t="s">
        <v>1813</v>
      </c>
      <c r="O4684" s="6" t="s">
        <v>512</v>
      </c>
      <c r="P4684" s="9" t="s">
        <v>41</v>
      </c>
      <c r="Q4684" s="9" t="s">
        <v>49</v>
      </c>
      <c r="R4684" s="9" t="s">
        <v>50</v>
      </c>
      <c r="S4684" s="7" t="s">
        <v>192</v>
      </c>
      <c r="T4684" s="9" t="s">
        <v>39</v>
      </c>
      <c r="U4684" s="7">
        <v>0.55000000000000004</v>
      </c>
      <c r="V4684" s="12">
        <f>C4684+2</f>
        <v>40200</v>
      </c>
      <c r="W4684">
        <f>IF(D4684=' Pivot Tables'!$A$4,1,0)</f>
        <v>1</v>
      </c>
      <c r="X4684">
        <f>IF(AND(LEFT(D4684,4)+1=LEFT(' Pivot Tables'!$A$4,4)+0,RIGHT(LEFT(D4684,7),2)=RIGHT(LEFT(' Pivot Tables'!$A$4,7),2)),1,0)</f>
        <v>0</v>
      </c>
      <c r="Y4684" s="6">
        <f>1/COUNTIF(Таблица1[Order ID],Таблица1[[#This Row],[Order ID]])</f>
        <v>1</v>
      </c>
      <c r="Z4684" s="9">
        <f>1/COUNTIFS(Таблица1[Customer Name],Таблица1[[#This Row],[Customer Name]],Таблица1[Order-Year-Month],Таблица1[[#This Row],[Order-Year-Month]])</f>
        <v>1</v>
      </c>
    </row>
    <row r="4685" spans="1:26" x14ac:dyDescent="0.2">
      <c r="A4685" s="6">
        <v>4886</v>
      </c>
      <c r="B4685" s="7">
        <v>34754</v>
      </c>
      <c r="C4685" s="8">
        <f>DATE(2012,12,31)-210</f>
        <v>41064</v>
      </c>
      <c r="D4685" s="8" t="str">
        <f t="shared" si="86"/>
        <v>2012-06 (июнь 2012)</v>
      </c>
      <c r="E4685" s="9" t="s">
        <v>78</v>
      </c>
      <c r="F4685" s="7">
        <v>16</v>
      </c>
      <c r="G4685" s="7">
        <v>623.35</v>
      </c>
      <c r="H4685" s="7">
        <v>0.03</v>
      </c>
      <c r="I4685" s="9" t="s">
        <v>22</v>
      </c>
      <c r="J4685" s="10">
        <v>235.51</v>
      </c>
      <c r="K4685" s="11">
        <v>37.94</v>
      </c>
      <c r="L4685" s="11">
        <v>5.08</v>
      </c>
      <c r="M4685" s="9" t="s">
        <v>1816</v>
      </c>
      <c r="N4685" s="6" t="s">
        <v>1813</v>
      </c>
      <c r="O4685" s="6" t="s">
        <v>512</v>
      </c>
      <c r="P4685" s="9" t="s">
        <v>60</v>
      </c>
      <c r="Q4685" s="9" t="s">
        <v>26</v>
      </c>
      <c r="R4685" s="9" t="s">
        <v>61</v>
      </c>
      <c r="S4685" s="7" t="s">
        <v>684</v>
      </c>
      <c r="T4685" s="9" t="s">
        <v>68</v>
      </c>
      <c r="U4685" s="7">
        <v>0.38</v>
      </c>
      <c r="V4685" s="12">
        <f>C4685+2</f>
        <v>41066</v>
      </c>
      <c r="W4685">
        <f>IF(D4685=' Pivot Tables'!$A$4,1,0)</f>
        <v>0</v>
      </c>
      <c r="X4685">
        <f>IF(AND(LEFT(D4685,4)+1=LEFT(' Pivot Tables'!$A$4,4)+0,RIGHT(LEFT(D4685,7),2)=RIGHT(LEFT(' Pivot Tables'!$A$4,7),2)),1,0)</f>
        <v>0</v>
      </c>
      <c r="Y4685" s="6">
        <f>1/COUNTIF(Таблица1[Order ID],Таблица1[[#This Row],[Order ID]])</f>
        <v>1</v>
      </c>
      <c r="Z4685" s="9">
        <f>1/COUNTIFS(Таблица1[Customer Name],Таблица1[[#This Row],[Customer Name]],Таблица1[Order-Year-Month],Таблица1[[#This Row],[Order-Year-Month]])</f>
        <v>1</v>
      </c>
    </row>
    <row r="4686" spans="1:26" x14ac:dyDescent="0.2">
      <c r="A4686" s="6">
        <v>4975</v>
      </c>
      <c r="B4686" s="7">
        <v>35392</v>
      </c>
      <c r="C4686" s="8">
        <f>DATE(2012,12,31)-312</f>
        <v>40962</v>
      </c>
      <c r="D4686" s="8" t="str">
        <f t="shared" si="86"/>
        <v>2012-02 (февраль 2012)</v>
      </c>
      <c r="E4686" s="9" t="s">
        <v>30</v>
      </c>
      <c r="F4686" s="7">
        <v>9</v>
      </c>
      <c r="G4686" s="7">
        <v>70.88</v>
      </c>
      <c r="H4686" s="7">
        <v>0.01</v>
      </c>
      <c r="I4686" s="9" t="s">
        <v>22</v>
      </c>
      <c r="J4686" s="10">
        <v>-50.2</v>
      </c>
      <c r="K4686" s="11">
        <v>6.48</v>
      </c>
      <c r="L4686" s="11">
        <v>9.68</v>
      </c>
      <c r="M4686" s="9" t="s">
        <v>1820</v>
      </c>
      <c r="N4686" s="6" t="s">
        <v>1813</v>
      </c>
      <c r="O4686" s="6" t="s">
        <v>512</v>
      </c>
      <c r="P4686" s="9" t="s">
        <v>25</v>
      </c>
      <c r="Q4686" s="9" t="s">
        <v>26</v>
      </c>
      <c r="R4686" s="9" t="s">
        <v>61</v>
      </c>
      <c r="S4686" s="7" t="s">
        <v>766</v>
      </c>
      <c r="T4686" s="9" t="s">
        <v>39</v>
      </c>
      <c r="U4686" s="7">
        <v>0.36</v>
      </c>
      <c r="V4686" s="12">
        <f>C4686+0</f>
        <v>40962</v>
      </c>
      <c r="W4686">
        <f>IF(D4686=' Pivot Tables'!$A$4,1,0)</f>
        <v>0</v>
      </c>
      <c r="X4686">
        <f>IF(AND(LEFT(D4686,4)+1=LEFT(' Pivot Tables'!$A$4,4)+0,RIGHT(LEFT(D4686,7),2)=RIGHT(LEFT(' Pivot Tables'!$A$4,7),2)),1,0)</f>
        <v>0</v>
      </c>
      <c r="Y4686" s="6">
        <f>1/COUNTIF(Таблица1[Order ID],Таблица1[[#This Row],[Order ID]])</f>
        <v>1</v>
      </c>
      <c r="Z4686" s="9">
        <f>1/COUNTIFS(Таблица1[Customer Name],Таблица1[[#This Row],[Customer Name]],Таблица1[Order-Year-Month],Таблица1[[#This Row],[Order-Year-Month]])</f>
        <v>0.5</v>
      </c>
    </row>
    <row r="4687" spans="1:26" x14ac:dyDescent="0.2">
      <c r="A4687" s="6">
        <v>5066</v>
      </c>
      <c r="B4687" s="7">
        <v>36103</v>
      </c>
      <c r="C4687" s="8">
        <f>DATE(2012,12,31)-246</f>
        <v>41028</v>
      </c>
      <c r="D4687" s="8" t="str">
        <f t="shared" si="86"/>
        <v>2012-04 (апрель 2012)</v>
      </c>
      <c r="E4687" s="9" t="s">
        <v>78</v>
      </c>
      <c r="F4687" s="7">
        <v>10</v>
      </c>
      <c r="G4687" s="7">
        <v>55.82</v>
      </c>
      <c r="H4687" s="7">
        <v>0.01</v>
      </c>
      <c r="I4687" s="9" t="s">
        <v>22</v>
      </c>
      <c r="J4687" s="10">
        <v>-28.85</v>
      </c>
      <c r="K4687" s="11">
        <v>4.82</v>
      </c>
      <c r="L4687" s="11">
        <v>5.72</v>
      </c>
      <c r="M4687" s="9" t="s">
        <v>1062</v>
      </c>
      <c r="N4687" s="6" t="s">
        <v>1813</v>
      </c>
      <c r="O4687" s="6" t="s">
        <v>512</v>
      </c>
      <c r="P4687" s="9" t="s">
        <v>60</v>
      </c>
      <c r="Q4687" s="9" t="s">
        <v>49</v>
      </c>
      <c r="R4687" s="9" t="s">
        <v>50</v>
      </c>
      <c r="S4687" s="7" t="s">
        <v>584</v>
      </c>
      <c r="T4687" s="9" t="s">
        <v>52</v>
      </c>
      <c r="U4687" s="7">
        <v>0.47</v>
      </c>
      <c r="V4687" s="12">
        <f>C4687+2</f>
        <v>41030</v>
      </c>
      <c r="W4687">
        <f>IF(D4687=' Pivot Tables'!$A$4,1,0)</f>
        <v>0</v>
      </c>
      <c r="X4687">
        <f>IF(AND(LEFT(D4687,4)+1=LEFT(' Pivot Tables'!$A$4,4)+0,RIGHT(LEFT(D4687,7),2)=RIGHT(LEFT(' Pivot Tables'!$A$4,7),2)),1,0)</f>
        <v>0</v>
      </c>
      <c r="Y4687" s="6">
        <f>1/COUNTIF(Таблица1[Order ID],Таблица1[[#This Row],[Order ID]])</f>
        <v>0.5</v>
      </c>
      <c r="Z4687" s="9">
        <f>1/COUNTIFS(Таблица1[Customer Name],Таблица1[[#This Row],[Customer Name]],Таблица1[Order-Year-Month],Таблица1[[#This Row],[Order-Year-Month]])</f>
        <v>0.5</v>
      </c>
    </row>
    <row r="4688" spans="1:26" x14ac:dyDescent="0.2">
      <c r="A4688" s="6">
        <v>5067</v>
      </c>
      <c r="B4688" s="7">
        <v>36103</v>
      </c>
      <c r="C4688" s="8">
        <f>DATE(2012,12,31)-246</f>
        <v>41028</v>
      </c>
      <c r="D4688" s="8" t="str">
        <f t="shared" si="86"/>
        <v>2012-04 (апрель 2012)</v>
      </c>
      <c r="E4688" s="9" t="s">
        <v>78</v>
      </c>
      <c r="F4688" s="7">
        <v>45</v>
      </c>
      <c r="G4688" s="7">
        <v>1335.316</v>
      </c>
      <c r="H4688" s="7">
        <v>0.03</v>
      </c>
      <c r="I4688" s="9" t="s">
        <v>22</v>
      </c>
      <c r="J4688" s="10">
        <v>701.65800000000002</v>
      </c>
      <c r="K4688" s="11">
        <v>35.99</v>
      </c>
      <c r="L4688" s="11">
        <v>0.99</v>
      </c>
      <c r="M4688" s="9" t="s">
        <v>1062</v>
      </c>
      <c r="N4688" s="6" t="s">
        <v>1813</v>
      </c>
      <c r="O4688" s="6" t="s">
        <v>512</v>
      </c>
      <c r="P4688" s="9" t="s">
        <v>60</v>
      </c>
      <c r="Q4688" s="9" t="s">
        <v>42</v>
      </c>
      <c r="R4688" s="9" t="s">
        <v>43</v>
      </c>
      <c r="S4688" s="7" t="s">
        <v>437</v>
      </c>
      <c r="T4688" s="9" t="s">
        <v>52</v>
      </c>
      <c r="U4688" s="7">
        <v>0.35</v>
      </c>
      <c r="V4688" s="12">
        <f>C4688+2</f>
        <v>41030</v>
      </c>
      <c r="W4688">
        <f>IF(D4688=' Pivot Tables'!$A$4,1,0)</f>
        <v>0</v>
      </c>
      <c r="X4688">
        <f>IF(AND(LEFT(D4688,4)+1=LEFT(' Pivot Tables'!$A$4,4)+0,RIGHT(LEFT(D4688,7),2)=RIGHT(LEFT(' Pivot Tables'!$A$4,7),2)),1,0)</f>
        <v>0</v>
      </c>
      <c r="Y4688" s="6">
        <f>1/COUNTIF(Таблица1[Order ID],Таблица1[[#This Row],[Order ID]])</f>
        <v>0.5</v>
      </c>
      <c r="Z4688" s="9">
        <f>1/COUNTIFS(Таблица1[Customer Name],Таблица1[[#This Row],[Customer Name]],Таблица1[Order-Year-Month],Таблица1[[#This Row],[Order-Year-Month]])</f>
        <v>0.5</v>
      </c>
    </row>
    <row r="4689" spans="1:26" x14ac:dyDescent="0.2">
      <c r="A4689" s="6">
        <v>5221</v>
      </c>
      <c r="B4689" s="7">
        <v>37157</v>
      </c>
      <c r="C4689" s="8">
        <f>DATE(2012,12,31)-1045</f>
        <v>40229</v>
      </c>
      <c r="D4689" s="8" t="str">
        <f t="shared" si="86"/>
        <v>2010-02 (февраль 2010)</v>
      </c>
      <c r="E4689" s="9" t="s">
        <v>30</v>
      </c>
      <c r="F4689" s="7">
        <v>39</v>
      </c>
      <c r="G4689" s="7">
        <v>213</v>
      </c>
      <c r="H4689" s="7">
        <v>0.01</v>
      </c>
      <c r="I4689" s="9" t="s">
        <v>22</v>
      </c>
      <c r="J4689" s="10">
        <v>-71.09</v>
      </c>
      <c r="K4689" s="11">
        <v>5.28</v>
      </c>
      <c r="L4689" s="11">
        <v>5.0599999999999996</v>
      </c>
      <c r="M4689" s="9" t="s">
        <v>1062</v>
      </c>
      <c r="N4689" s="6" t="s">
        <v>1813</v>
      </c>
      <c r="O4689" s="6" t="s">
        <v>512</v>
      </c>
      <c r="P4689" s="9" t="s">
        <v>60</v>
      </c>
      <c r="Q4689" s="9" t="s">
        <v>26</v>
      </c>
      <c r="R4689" s="9" t="s">
        <v>61</v>
      </c>
      <c r="S4689" s="7" t="s">
        <v>1580</v>
      </c>
      <c r="T4689" s="9" t="s">
        <v>39</v>
      </c>
      <c r="U4689" s="7">
        <v>0.37</v>
      </c>
      <c r="V4689" s="12">
        <f>C4689+2</f>
        <v>40231</v>
      </c>
      <c r="W4689">
        <f>IF(D4689=' Pivot Tables'!$A$4,1,0)</f>
        <v>0</v>
      </c>
      <c r="X4689">
        <f>IF(AND(LEFT(D4689,4)+1=LEFT(' Pivot Tables'!$A$4,4)+0,RIGHT(LEFT(D4689,7),2)=RIGHT(LEFT(' Pivot Tables'!$A$4,7),2)),1,0)</f>
        <v>0</v>
      </c>
      <c r="Y4689" s="6">
        <f>1/COUNTIF(Таблица1[Order ID],Таблица1[[#This Row],[Order ID]])</f>
        <v>1</v>
      </c>
      <c r="Z4689" s="9">
        <f>1/COUNTIFS(Таблица1[Customer Name],Таблица1[[#This Row],[Customer Name]],Таблица1[Order-Year-Month],Таблица1[[#This Row],[Order-Year-Month]])</f>
        <v>1</v>
      </c>
    </row>
    <row r="4690" spans="1:26" x14ac:dyDescent="0.2">
      <c r="A4690" s="6">
        <v>5368</v>
      </c>
      <c r="B4690" s="7">
        <v>38176</v>
      </c>
      <c r="C4690" s="8">
        <f>DATE(2012,12,31)-869</f>
        <v>40405</v>
      </c>
      <c r="D4690" s="8" t="str">
        <f t="shared" si="86"/>
        <v>2010-08 (август 2010)</v>
      </c>
      <c r="E4690" s="9" t="s">
        <v>30</v>
      </c>
      <c r="F4690" s="7">
        <v>39</v>
      </c>
      <c r="G4690" s="7">
        <v>231.08</v>
      </c>
      <c r="H4690" s="7">
        <v>0.01</v>
      </c>
      <c r="I4690" s="9" t="s">
        <v>56</v>
      </c>
      <c r="J4690" s="10">
        <v>-79.08</v>
      </c>
      <c r="K4690" s="11">
        <v>5.28</v>
      </c>
      <c r="L4690" s="11">
        <v>5.57</v>
      </c>
      <c r="M4690" s="9" t="s">
        <v>1062</v>
      </c>
      <c r="N4690" s="6" t="s">
        <v>1813</v>
      </c>
      <c r="O4690" s="6" t="s">
        <v>512</v>
      </c>
      <c r="P4690" s="9" t="s">
        <v>41</v>
      </c>
      <c r="Q4690" s="9" t="s">
        <v>26</v>
      </c>
      <c r="R4690" s="9" t="s">
        <v>61</v>
      </c>
      <c r="S4690" s="7" t="s">
        <v>1650</v>
      </c>
      <c r="T4690" s="9" t="s">
        <v>39</v>
      </c>
      <c r="U4690" s="7">
        <v>0.4</v>
      </c>
      <c r="V4690" s="12">
        <f>C4690+1</f>
        <v>40406</v>
      </c>
      <c r="W4690">
        <f>IF(D4690=' Pivot Tables'!$A$4,1,0)</f>
        <v>0</v>
      </c>
      <c r="X4690">
        <f>IF(AND(LEFT(D4690,4)+1=LEFT(' Pivot Tables'!$A$4,4)+0,RIGHT(LEFT(D4690,7),2)=RIGHT(LEFT(' Pivot Tables'!$A$4,7),2)),1,0)</f>
        <v>0</v>
      </c>
      <c r="Y4690" s="6">
        <f>1/COUNTIF(Таблица1[Order ID],Таблица1[[#This Row],[Order ID]])</f>
        <v>0.5</v>
      </c>
      <c r="Z4690" s="9">
        <f>1/COUNTIFS(Таблица1[Customer Name],Таблица1[[#This Row],[Customer Name]],Таблица1[Order-Year-Month],Таблица1[[#This Row],[Order-Year-Month]])</f>
        <v>0.33333333333333331</v>
      </c>
    </row>
    <row r="4691" spans="1:26" x14ac:dyDescent="0.2">
      <c r="A4691" s="6">
        <v>5369</v>
      </c>
      <c r="B4691" s="7">
        <v>38176</v>
      </c>
      <c r="C4691" s="8">
        <f>DATE(2012,12,31)-869</f>
        <v>40405</v>
      </c>
      <c r="D4691" s="8" t="str">
        <f t="shared" si="86"/>
        <v>2010-08 (август 2010)</v>
      </c>
      <c r="E4691" s="9" t="s">
        <v>30</v>
      </c>
      <c r="F4691" s="7">
        <v>48</v>
      </c>
      <c r="G4691" s="7">
        <v>428.36</v>
      </c>
      <c r="H4691" s="7">
        <v>0.06</v>
      </c>
      <c r="I4691" s="9" t="s">
        <v>56</v>
      </c>
      <c r="J4691" s="10">
        <v>74.75</v>
      </c>
      <c r="K4691" s="11">
        <v>9.11</v>
      </c>
      <c r="L4691" s="11">
        <v>2.25</v>
      </c>
      <c r="M4691" s="9" t="s">
        <v>1062</v>
      </c>
      <c r="N4691" s="6" t="s">
        <v>1813</v>
      </c>
      <c r="O4691" s="6" t="s">
        <v>512</v>
      </c>
      <c r="P4691" s="9" t="s">
        <v>41</v>
      </c>
      <c r="Q4691" s="9" t="s">
        <v>26</v>
      </c>
      <c r="R4691" s="9" t="s">
        <v>95</v>
      </c>
      <c r="S4691" s="7" t="s">
        <v>709</v>
      </c>
      <c r="T4691" s="9" t="s">
        <v>68</v>
      </c>
      <c r="U4691" s="7">
        <v>0.52</v>
      </c>
      <c r="V4691" s="12">
        <f>C4691+2</f>
        <v>40407</v>
      </c>
      <c r="W4691">
        <f>IF(D4691=' Pivot Tables'!$A$4,1,0)</f>
        <v>0</v>
      </c>
      <c r="X4691">
        <f>IF(AND(LEFT(D4691,4)+1=LEFT(' Pivot Tables'!$A$4,4)+0,RIGHT(LEFT(D4691,7),2)=RIGHT(LEFT(' Pivot Tables'!$A$4,7),2)),1,0)</f>
        <v>0</v>
      </c>
      <c r="Y4691" s="6">
        <f>1/COUNTIF(Таблица1[Order ID],Таблица1[[#This Row],[Order ID]])</f>
        <v>0.5</v>
      </c>
      <c r="Z4691" s="9">
        <f>1/COUNTIFS(Таблица1[Customer Name],Таблица1[[#This Row],[Customer Name]],Таблица1[Order-Year-Month],Таблица1[[#This Row],[Order-Year-Month]])</f>
        <v>0.33333333333333331</v>
      </c>
    </row>
    <row r="4692" spans="1:26" x14ac:dyDescent="0.2">
      <c r="A4692" s="6">
        <v>5424</v>
      </c>
      <c r="B4692" s="7">
        <v>38531</v>
      </c>
      <c r="C4692" s="8">
        <f>DATE(2012,12,31)-392</f>
        <v>40882</v>
      </c>
      <c r="D4692" s="8" t="str">
        <f t="shared" si="86"/>
        <v>2011-12 (декабрь 2011)</v>
      </c>
      <c r="E4692" s="9" t="s">
        <v>21</v>
      </c>
      <c r="F4692" s="7">
        <v>26</v>
      </c>
      <c r="G4692" s="7">
        <v>118.43</v>
      </c>
      <c r="H4692" s="7">
        <v>0.02</v>
      </c>
      <c r="I4692" s="9" t="s">
        <v>56</v>
      </c>
      <c r="J4692" s="10">
        <v>11.96</v>
      </c>
      <c r="K4692" s="11">
        <v>4.2</v>
      </c>
      <c r="L4692" s="11">
        <v>2.2599999999999998</v>
      </c>
      <c r="M4692" s="9" t="s">
        <v>1812</v>
      </c>
      <c r="N4692" s="6" t="s">
        <v>1813</v>
      </c>
      <c r="O4692" s="6" t="s">
        <v>512</v>
      </c>
      <c r="P4692" s="9" t="s">
        <v>60</v>
      </c>
      <c r="Q4692" s="9" t="s">
        <v>26</v>
      </c>
      <c r="R4692" s="9" t="s">
        <v>61</v>
      </c>
      <c r="S4692" s="7" t="s">
        <v>1409</v>
      </c>
      <c r="T4692" s="9" t="s">
        <v>68</v>
      </c>
      <c r="U4692" s="7">
        <v>0.36</v>
      </c>
      <c r="V4692" s="12">
        <f>C4692+7</f>
        <v>40889</v>
      </c>
      <c r="W4692">
        <f>IF(D4692=' Pivot Tables'!$A$4,1,0)</f>
        <v>0</v>
      </c>
      <c r="X4692">
        <f>IF(AND(LEFT(D4692,4)+1=LEFT(' Pivot Tables'!$A$4,4)+0,RIGHT(LEFT(D4692,7),2)=RIGHT(LEFT(' Pivot Tables'!$A$4,7),2)),1,0)</f>
        <v>0</v>
      </c>
      <c r="Y4692" s="6">
        <f>1/COUNTIF(Таблица1[Order ID],Таблица1[[#This Row],[Order ID]])</f>
        <v>1</v>
      </c>
      <c r="Z4692" s="9">
        <f>1/COUNTIFS(Таблица1[Customer Name],Таблица1[[#This Row],[Customer Name]],Таблица1[Order-Year-Month],Таблица1[[#This Row],[Order-Year-Month]])</f>
        <v>1</v>
      </c>
    </row>
    <row r="4693" spans="1:26" x14ac:dyDescent="0.2">
      <c r="A4693" s="6">
        <v>5704</v>
      </c>
      <c r="B4693" s="7">
        <v>40354</v>
      </c>
      <c r="C4693" s="8">
        <f>DATE(2012,12,31)-1458</f>
        <v>39816</v>
      </c>
      <c r="D4693" s="8" t="str">
        <f t="shared" si="86"/>
        <v>2009-01 (январь 2009)</v>
      </c>
      <c r="E4693" s="9" t="s">
        <v>30</v>
      </c>
      <c r="F4693" s="7">
        <v>29</v>
      </c>
      <c r="G4693" s="7">
        <v>172.51</v>
      </c>
      <c r="H4693" s="7">
        <v>0.03</v>
      </c>
      <c r="I4693" s="9" t="s">
        <v>22</v>
      </c>
      <c r="J4693" s="10">
        <v>12.554499999999999</v>
      </c>
      <c r="K4693" s="11">
        <v>5.58</v>
      </c>
      <c r="L4693" s="11">
        <v>2.99</v>
      </c>
      <c r="M4693" s="9" t="s">
        <v>1816</v>
      </c>
      <c r="N4693" s="6" t="s">
        <v>1813</v>
      </c>
      <c r="O4693" s="6" t="s">
        <v>512</v>
      </c>
      <c r="P4693" s="9" t="s">
        <v>60</v>
      </c>
      <c r="Q4693" s="9" t="s">
        <v>26</v>
      </c>
      <c r="R4693" s="9" t="s">
        <v>37</v>
      </c>
      <c r="S4693" s="7" t="s">
        <v>1083</v>
      </c>
      <c r="T4693" s="9" t="s">
        <v>39</v>
      </c>
      <c r="U4693" s="7">
        <v>0.37</v>
      </c>
      <c r="V4693" s="12">
        <f>C4693+1</f>
        <v>39817</v>
      </c>
      <c r="W4693">
        <f>IF(D4693=' Pivot Tables'!$A$4,1,0)</f>
        <v>0</v>
      </c>
      <c r="X4693">
        <f>IF(AND(LEFT(D4693,4)+1=LEFT(' Pivot Tables'!$A$4,4)+0,RIGHT(LEFT(D4693,7),2)=RIGHT(LEFT(' Pivot Tables'!$A$4,7),2)),1,0)</f>
        <v>1</v>
      </c>
      <c r="Y4693" s="6">
        <f>1/COUNTIF(Таблица1[Order ID],Таблица1[[#This Row],[Order ID]])</f>
        <v>0.5</v>
      </c>
      <c r="Z4693" s="9">
        <f>1/COUNTIFS(Таблица1[Customer Name],Таблица1[[#This Row],[Customer Name]],Таблица1[Order-Year-Month],Таблица1[[#This Row],[Order-Year-Month]])</f>
        <v>0.5</v>
      </c>
    </row>
    <row r="4694" spans="1:26" x14ac:dyDescent="0.2">
      <c r="A4694" s="6">
        <v>5705</v>
      </c>
      <c r="B4694" s="7">
        <v>40354</v>
      </c>
      <c r="C4694" s="8">
        <f>DATE(2012,12,31)-1458</f>
        <v>39816</v>
      </c>
      <c r="D4694" s="8" t="str">
        <f t="shared" si="86"/>
        <v>2009-01 (январь 2009)</v>
      </c>
      <c r="E4694" s="9" t="s">
        <v>30</v>
      </c>
      <c r="F4694" s="7">
        <v>4</v>
      </c>
      <c r="G4694" s="7">
        <v>698</v>
      </c>
      <c r="H4694" s="7">
        <v>0.09</v>
      </c>
      <c r="I4694" s="9" t="s">
        <v>31</v>
      </c>
      <c r="J4694" s="10">
        <v>-93.16</v>
      </c>
      <c r="K4694" s="11">
        <v>212.6</v>
      </c>
      <c r="L4694" s="11">
        <v>52.2</v>
      </c>
      <c r="M4694" s="9" t="s">
        <v>1816</v>
      </c>
      <c r="N4694" s="6" t="s">
        <v>1813</v>
      </c>
      <c r="O4694" s="6" t="s">
        <v>512</v>
      </c>
      <c r="P4694" s="9" t="s">
        <v>60</v>
      </c>
      <c r="Q4694" s="9" t="s">
        <v>49</v>
      </c>
      <c r="R4694" s="9" t="s">
        <v>83</v>
      </c>
      <c r="S4694" s="7" t="s">
        <v>984</v>
      </c>
      <c r="T4694" s="9" t="s">
        <v>82</v>
      </c>
      <c r="U4694" s="7">
        <v>0.64</v>
      </c>
      <c r="V4694" s="12">
        <f>C4694+1</f>
        <v>39817</v>
      </c>
      <c r="W4694">
        <f>IF(D4694=' Pivot Tables'!$A$4,1,0)</f>
        <v>0</v>
      </c>
      <c r="X4694">
        <f>IF(AND(LEFT(D4694,4)+1=LEFT(' Pivot Tables'!$A$4,4)+0,RIGHT(LEFT(D4694,7),2)=RIGHT(LEFT(' Pivot Tables'!$A$4,7),2)),1,0)</f>
        <v>1</v>
      </c>
      <c r="Y4694" s="6">
        <f>1/COUNTIF(Таблица1[Order ID],Таблица1[[#This Row],[Order ID]])</f>
        <v>0.5</v>
      </c>
      <c r="Z4694" s="9">
        <f>1/COUNTIFS(Таблица1[Customer Name],Таблица1[[#This Row],[Customer Name]],Таблица1[Order-Year-Month],Таблица1[[#This Row],[Order-Year-Month]])</f>
        <v>0.5</v>
      </c>
    </row>
    <row r="4695" spans="1:26" x14ac:dyDescent="0.2">
      <c r="A4695" s="6">
        <v>5748</v>
      </c>
      <c r="B4695" s="7">
        <v>40832</v>
      </c>
      <c r="C4695" s="8">
        <f>DATE(2012,12,31)-1008</f>
        <v>40266</v>
      </c>
      <c r="D4695" s="8" t="str">
        <f t="shared" si="86"/>
        <v>2010-03 (март 2010)</v>
      </c>
      <c r="E4695" s="9" t="s">
        <v>30</v>
      </c>
      <c r="F4695" s="7">
        <v>22</v>
      </c>
      <c r="G4695" s="7">
        <v>447.23</v>
      </c>
      <c r="H4695" s="7">
        <v>0.03</v>
      </c>
      <c r="I4695" s="9" t="s">
        <v>22</v>
      </c>
      <c r="J4695" s="10">
        <v>122.78</v>
      </c>
      <c r="K4695" s="11">
        <v>20.239999999999998</v>
      </c>
      <c r="L4695" s="11">
        <v>6.67</v>
      </c>
      <c r="M4695" s="9" t="s">
        <v>1820</v>
      </c>
      <c r="N4695" s="6" t="s">
        <v>1813</v>
      </c>
      <c r="O4695" s="6" t="s">
        <v>512</v>
      </c>
      <c r="P4695" s="9" t="s">
        <v>25</v>
      </c>
      <c r="Q4695" s="9" t="s">
        <v>49</v>
      </c>
      <c r="R4695" s="9" t="s">
        <v>50</v>
      </c>
      <c r="S4695" s="7" t="s">
        <v>427</v>
      </c>
      <c r="T4695" s="9" t="s">
        <v>52</v>
      </c>
      <c r="U4695" s="7">
        <v>0.49</v>
      </c>
      <c r="V4695" s="12">
        <f>C4695+1</f>
        <v>40267</v>
      </c>
      <c r="W4695">
        <f>IF(D4695=' Pivot Tables'!$A$4,1,0)</f>
        <v>0</v>
      </c>
      <c r="X4695">
        <f>IF(AND(LEFT(D4695,4)+1=LEFT(' Pivot Tables'!$A$4,4)+0,RIGHT(LEFT(D4695,7),2)=RIGHT(LEFT(' Pivot Tables'!$A$4,7),2)),1,0)</f>
        <v>0</v>
      </c>
      <c r="Y4695" s="6">
        <f>1/COUNTIF(Таблица1[Order ID],Таблица1[[#This Row],[Order ID]])</f>
        <v>1</v>
      </c>
      <c r="Z4695" s="9">
        <f>1/COUNTIFS(Таблица1[Customer Name],Таблица1[[#This Row],[Customer Name]],Таблица1[Order-Year-Month],Таблица1[[#This Row],[Order-Year-Month]])</f>
        <v>1</v>
      </c>
    </row>
    <row r="4696" spans="1:26" x14ac:dyDescent="0.2">
      <c r="A4696" s="6">
        <v>5865</v>
      </c>
      <c r="B4696" s="7">
        <v>41632</v>
      </c>
      <c r="C4696" s="8">
        <f>DATE(2012,12,31)-761</f>
        <v>40513</v>
      </c>
      <c r="D4696" s="8" t="str">
        <f t="shared" si="86"/>
        <v>2010-12 (декабрь 2010)</v>
      </c>
      <c r="E4696" s="9" t="s">
        <v>21</v>
      </c>
      <c r="F4696" s="7">
        <v>34</v>
      </c>
      <c r="G4696" s="7">
        <v>1541.4580000000001</v>
      </c>
      <c r="H4696" s="7">
        <v>0.05</v>
      </c>
      <c r="I4696" s="9" t="s">
        <v>22</v>
      </c>
      <c r="J4696" s="10">
        <v>-238.161</v>
      </c>
      <c r="K4696" s="11">
        <v>55.99</v>
      </c>
      <c r="L4696" s="11">
        <v>5</v>
      </c>
      <c r="M4696" s="9" t="s">
        <v>1816</v>
      </c>
      <c r="N4696" s="6" t="s">
        <v>1813</v>
      </c>
      <c r="O4696" s="6" t="s">
        <v>512</v>
      </c>
      <c r="P4696" s="9" t="s">
        <v>60</v>
      </c>
      <c r="Q4696" s="9" t="s">
        <v>42</v>
      </c>
      <c r="R4696" s="9" t="s">
        <v>43</v>
      </c>
      <c r="S4696" s="7" t="s">
        <v>248</v>
      </c>
      <c r="T4696" s="9" t="s">
        <v>52</v>
      </c>
      <c r="U4696" s="7">
        <v>0.83</v>
      </c>
      <c r="V4696" s="12">
        <f>C4696+7</f>
        <v>40520</v>
      </c>
      <c r="W4696">
        <f>IF(D4696=' Pivot Tables'!$A$4,1,0)</f>
        <v>0</v>
      </c>
      <c r="X4696">
        <f>IF(AND(LEFT(D4696,4)+1=LEFT(' Pivot Tables'!$A$4,4)+0,RIGHT(LEFT(D4696,7),2)=RIGHT(LEFT(' Pivot Tables'!$A$4,7),2)),1,0)</f>
        <v>0</v>
      </c>
      <c r="Y4696" s="6">
        <f>1/COUNTIF(Таблица1[Order ID],Таблица1[[#This Row],[Order ID]])</f>
        <v>1</v>
      </c>
      <c r="Z4696" s="9">
        <f>1/COUNTIFS(Таблица1[Customer Name],Таблица1[[#This Row],[Customer Name]],Таблица1[Order-Year-Month],Таблица1[[#This Row],[Order-Year-Month]])</f>
        <v>1</v>
      </c>
    </row>
    <row r="4697" spans="1:26" x14ac:dyDescent="0.2">
      <c r="A4697" s="6">
        <v>5897</v>
      </c>
      <c r="B4697" s="7">
        <v>41825</v>
      </c>
      <c r="C4697" s="8">
        <f>DATE(2012,12,31)-1227</f>
        <v>40047</v>
      </c>
      <c r="D4697" s="8" t="str">
        <f t="shared" si="86"/>
        <v>2009-08 (август 2009)</v>
      </c>
      <c r="E4697" s="9" t="s">
        <v>78</v>
      </c>
      <c r="F4697" s="7">
        <v>43</v>
      </c>
      <c r="G4697" s="7">
        <v>3277.39</v>
      </c>
      <c r="H4697" s="7">
        <v>0.02</v>
      </c>
      <c r="I4697" s="9" t="s">
        <v>22</v>
      </c>
      <c r="J4697" s="10">
        <v>286.01</v>
      </c>
      <c r="K4697" s="11">
        <v>73.98</v>
      </c>
      <c r="L4697" s="11">
        <v>4</v>
      </c>
      <c r="M4697" s="9" t="s">
        <v>1818</v>
      </c>
      <c r="N4697" s="6" t="s">
        <v>1813</v>
      </c>
      <c r="O4697" s="6" t="s">
        <v>512</v>
      </c>
      <c r="P4697" s="9" t="s">
        <v>33</v>
      </c>
      <c r="Q4697" s="9" t="s">
        <v>42</v>
      </c>
      <c r="R4697" s="9" t="s">
        <v>70</v>
      </c>
      <c r="S4697" s="7" t="s">
        <v>810</v>
      </c>
      <c r="T4697" s="9" t="s">
        <v>39</v>
      </c>
      <c r="U4697" s="7">
        <v>0.77</v>
      </c>
      <c r="V4697" s="12">
        <f>C4697+1</f>
        <v>40048</v>
      </c>
      <c r="W4697">
        <f>IF(D4697=' Pivot Tables'!$A$4,1,0)</f>
        <v>0</v>
      </c>
      <c r="X4697">
        <f>IF(AND(LEFT(D4697,4)+1=LEFT(' Pivot Tables'!$A$4,4)+0,RIGHT(LEFT(D4697,7),2)=RIGHT(LEFT(' Pivot Tables'!$A$4,7),2)),1,0)</f>
        <v>0</v>
      </c>
      <c r="Y4697" s="6">
        <f>1/COUNTIF(Таблица1[Order ID],Таблица1[[#This Row],[Order ID]])</f>
        <v>0.5</v>
      </c>
      <c r="Z4697" s="9">
        <f>1/COUNTIFS(Таблица1[Customer Name],Таблица1[[#This Row],[Customer Name]],Таблица1[Order-Year-Month],Таблица1[[#This Row],[Order-Year-Month]])</f>
        <v>1</v>
      </c>
    </row>
    <row r="4698" spans="1:26" x14ac:dyDescent="0.2">
      <c r="A4698" s="6">
        <v>5976</v>
      </c>
      <c r="B4698" s="7">
        <v>42373</v>
      </c>
      <c r="C4698" s="8">
        <f>DATE(2012,12,31)-502</f>
        <v>40772</v>
      </c>
      <c r="D4698" s="8" t="str">
        <f t="shared" si="86"/>
        <v>2011-08 (август 2011)</v>
      </c>
      <c r="E4698" s="9" t="s">
        <v>45</v>
      </c>
      <c r="F4698" s="7">
        <v>11</v>
      </c>
      <c r="G4698" s="7">
        <v>127.32</v>
      </c>
      <c r="H4698" s="7">
        <v>0.1</v>
      </c>
      <c r="I4698" s="9" t="s">
        <v>56</v>
      </c>
      <c r="J4698" s="10">
        <v>22.958500000000001</v>
      </c>
      <c r="K4698" s="11">
        <v>10.91</v>
      </c>
      <c r="L4698" s="11">
        <v>2.99</v>
      </c>
      <c r="M4698" s="9" t="s">
        <v>1567</v>
      </c>
      <c r="N4698" s="6" t="s">
        <v>1813</v>
      </c>
      <c r="O4698" s="6" t="s">
        <v>512</v>
      </c>
      <c r="P4698" s="9" t="s">
        <v>33</v>
      </c>
      <c r="Q4698" s="9" t="s">
        <v>26</v>
      </c>
      <c r="R4698" s="9" t="s">
        <v>37</v>
      </c>
      <c r="S4698" s="7" t="s">
        <v>357</v>
      </c>
      <c r="T4698" s="9" t="s">
        <v>39</v>
      </c>
      <c r="U4698" s="7">
        <v>0.38</v>
      </c>
      <c r="V4698" s="12">
        <f>C4698+1</f>
        <v>40773</v>
      </c>
      <c r="W4698">
        <f>IF(D4698=' Pivot Tables'!$A$4,1,0)</f>
        <v>0</v>
      </c>
      <c r="X4698">
        <f>IF(AND(LEFT(D4698,4)+1=LEFT(' Pivot Tables'!$A$4,4)+0,RIGHT(LEFT(D4698,7),2)=RIGHT(LEFT(' Pivot Tables'!$A$4,7),2)),1,0)</f>
        <v>0</v>
      </c>
      <c r="Y4698" s="6">
        <f>1/COUNTIF(Таблица1[Order ID],Таблица1[[#This Row],[Order ID]])</f>
        <v>1</v>
      </c>
      <c r="Z4698" s="9">
        <f>1/COUNTIFS(Таблица1[Customer Name],Таблица1[[#This Row],[Customer Name]],Таблица1[Order-Year-Month],Таблица1[[#This Row],[Order-Year-Month]])</f>
        <v>1</v>
      </c>
    </row>
    <row r="4699" spans="1:26" x14ac:dyDescent="0.2">
      <c r="A4699" s="6">
        <v>6277</v>
      </c>
      <c r="B4699" s="7">
        <v>44423</v>
      </c>
      <c r="C4699" s="8">
        <f>DATE(2012,12,31)-155</f>
        <v>41119</v>
      </c>
      <c r="D4699" s="8" t="str">
        <f t="shared" si="86"/>
        <v>2012-07 (июль 2012)</v>
      </c>
      <c r="E4699" s="9" t="s">
        <v>78</v>
      </c>
      <c r="F4699" s="7">
        <v>39</v>
      </c>
      <c r="G4699" s="7">
        <v>248.64</v>
      </c>
      <c r="H4699" s="7">
        <v>0.08</v>
      </c>
      <c r="I4699" s="9" t="s">
        <v>22</v>
      </c>
      <c r="J4699" s="10">
        <v>-69.27</v>
      </c>
      <c r="K4699" s="11">
        <v>6.28</v>
      </c>
      <c r="L4699" s="11">
        <v>5.29</v>
      </c>
      <c r="M4699" s="9" t="s">
        <v>1819</v>
      </c>
      <c r="N4699" s="6" t="s">
        <v>1813</v>
      </c>
      <c r="O4699" s="6" t="s">
        <v>512</v>
      </c>
      <c r="P4699" s="9" t="s">
        <v>41</v>
      </c>
      <c r="Q4699" s="9" t="s">
        <v>49</v>
      </c>
      <c r="R4699" s="9" t="s">
        <v>50</v>
      </c>
      <c r="S4699" s="7" t="s">
        <v>612</v>
      </c>
      <c r="T4699" s="9" t="s">
        <v>39</v>
      </c>
      <c r="U4699" s="7">
        <v>0.43</v>
      </c>
      <c r="V4699" s="12">
        <f>C4699+1</f>
        <v>41120</v>
      </c>
      <c r="W4699">
        <f>IF(D4699=' Pivot Tables'!$A$4,1,0)</f>
        <v>0</v>
      </c>
      <c r="X4699">
        <f>IF(AND(LEFT(D4699,4)+1=LEFT(' Pivot Tables'!$A$4,4)+0,RIGHT(LEFT(D4699,7),2)=RIGHT(LEFT(' Pivot Tables'!$A$4,7),2)),1,0)</f>
        <v>0</v>
      </c>
      <c r="Y4699" s="6">
        <f>1/COUNTIF(Таблица1[Order ID],Таблица1[[#This Row],[Order ID]])</f>
        <v>1</v>
      </c>
      <c r="Z4699" s="9">
        <f>1/COUNTIFS(Таблица1[Customer Name],Таблица1[[#This Row],[Customer Name]],Таблица1[Order-Year-Month],Таблица1[[#This Row],[Order-Year-Month]])</f>
        <v>1</v>
      </c>
    </row>
    <row r="4700" spans="1:26" x14ac:dyDescent="0.2">
      <c r="A4700" s="6">
        <v>6447</v>
      </c>
      <c r="B4700" s="7">
        <v>45863</v>
      </c>
      <c r="C4700" s="8">
        <f>DATE(2012,12,31)-834</f>
        <v>40440</v>
      </c>
      <c r="D4700" s="8" t="str">
        <f t="shared" si="86"/>
        <v>2010-09 (сентябрь 2010)</v>
      </c>
      <c r="E4700" s="9" t="s">
        <v>21</v>
      </c>
      <c r="F4700" s="7">
        <v>5</v>
      </c>
      <c r="G4700" s="7">
        <v>845.61400000000003</v>
      </c>
      <c r="H4700" s="7">
        <v>0.01</v>
      </c>
      <c r="I4700" s="9" t="s">
        <v>56</v>
      </c>
      <c r="J4700" s="10">
        <v>-653.48800000000006</v>
      </c>
      <c r="K4700" s="11">
        <v>195.99</v>
      </c>
      <c r="L4700" s="11">
        <v>4.2</v>
      </c>
      <c r="M4700" s="9" t="s">
        <v>1816</v>
      </c>
      <c r="N4700" s="6" t="s">
        <v>1813</v>
      </c>
      <c r="O4700" s="6" t="s">
        <v>512</v>
      </c>
      <c r="P4700" s="9" t="s">
        <v>60</v>
      </c>
      <c r="Q4700" s="9" t="s">
        <v>42</v>
      </c>
      <c r="R4700" s="9" t="s">
        <v>43</v>
      </c>
      <c r="S4700" s="7" t="s">
        <v>615</v>
      </c>
      <c r="T4700" s="9" t="s">
        <v>39</v>
      </c>
      <c r="U4700" s="7">
        <v>0.6</v>
      </c>
      <c r="V4700" s="12">
        <f>C4700+4</f>
        <v>40444</v>
      </c>
      <c r="W4700">
        <f>IF(D4700=' Pivot Tables'!$A$4,1,0)</f>
        <v>0</v>
      </c>
      <c r="X4700">
        <f>IF(AND(LEFT(D4700,4)+1=LEFT(' Pivot Tables'!$A$4,4)+0,RIGHT(LEFT(D4700,7),2)=RIGHT(LEFT(' Pivot Tables'!$A$4,7),2)),1,0)</f>
        <v>0</v>
      </c>
      <c r="Y4700" s="6">
        <f>1/COUNTIF(Таблица1[Order ID],Таблица1[[#This Row],[Order ID]])</f>
        <v>1</v>
      </c>
      <c r="Z4700" s="9">
        <f>1/COUNTIFS(Таблица1[Customer Name],Таблица1[[#This Row],[Customer Name]],Таблица1[Order-Year-Month],Таблица1[[#This Row],[Order-Year-Month]])</f>
        <v>0.16666666666666666</v>
      </c>
    </row>
    <row r="4701" spans="1:26" x14ac:dyDescent="0.2">
      <c r="A4701" s="6">
        <v>6615</v>
      </c>
      <c r="B4701" s="7">
        <v>47078</v>
      </c>
      <c r="C4701" s="8">
        <f>DATE(2012,12,31)-987</f>
        <v>40287</v>
      </c>
      <c r="D4701" s="8" t="str">
        <f t="shared" si="86"/>
        <v>2010-04 (апрель 2010)</v>
      </c>
      <c r="E4701" s="9" t="s">
        <v>63</v>
      </c>
      <c r="F4701" s="7">
        <v>18</v>
      </c>
      <c r="G4701" s="7">
        <v>84.74</v>
      </c>
      <c r="H4701" s="7">
        <v>0.06</v>
      </c>
      <c r="I4701" s="9" t="s">
        <v>22</v>
      </c>
      <c r="J4701" s="10">
        <v>34.1</v>
      </c>
      <c r="K4701" s="11">
        <v>4.91</v>
      </c>
      <c r="L4701" s="11">
        <v>0.5</v>
      </c>
      <c r="M4701" s="9" t="s">
        <v>1817</v>
      </c>
      <c r="N4701" s="6" t="s">
        <v>1813</v>
      </c>
      <c r="O4701" s="6" t="s">
        <v>512</v>
      </c>
      <c r="P4701" s="9" t="s">
        <v>33</v>
      </c>
      <c r="Q4701" s="9" t="s">
        <v>26</v>
      </c>
      <c r="R4701" s="9" t="s">
        <v>88</v>
      </c>
      <c r="S4701" s="7" t="s">
        <v>509</v>
      </c>
      <c r="T4701" s="9" t="s">
        <v>39</v>
      </c>
      <c r="U4701" s="7">
        <v>0.36</v>
      </c>
      <c r="V4701" s="12">
        <f>C4701+0</f>
        <v>40287</v>
      </c>
      <c r="W4701">
        <f>IF(D4701=' Pivot Tables'!$A$4,1,0)</f>
        <v>0</v>
      </c>
      <c r="X4701">
        <f>IF(AND(LEFT(D4701,4)+1=LEFT(' Pivot Tables'!$A$4,4)+0,RIGHT(LEFT(D4701,7),2)=RIGHT(LEFT(' Pivot Tables'!$A$4,7),2)),1,0)</f>
        <v>0</v>
      </c>
      <c r="Y4701" s="6">
        <f>1/COUNTIF(Таблица1[Order ID],Таблица1[[#This Row],[Order ID]])</f>
        <v>0.33333333333333331</v>
      </c>
      <c r="Z4701" s="9">
        <f>1/COUNTIFS(Таблица1[Customer Name],Таблица1[[#This Row],[Customer Name]],Таблица1[Order-Year-Month],Таблица1[[#This Row],[Order-Year-Month]])</f>
        <v>0.33333333333333331</v>
      </c>
    </row>
    <row r="4702" spans="1:26" x14ac:dyDescent="0.2">
      <c r="A4702" s="6">
        <v>6616</v>
      </c>
      <c r="B4702" s="7">
        <v>47078</v>
      </c>
      <c r="C4702" s="8">
        <f>DATE(2012,12,31)-987</f>
        <v>40287</v>
      </c>
      <c r="D4702" s="8" t="str">
        <f t="shared" si="86"/>
        <v>2010-04 (апрель 2010)</v>
      </c>
      <c r="E4702" s="9" t="s">
        <v>63</v>
      </c>
      <c r="F4702" s="7">
        <v>43</v>
      </c>
      <c r="G4702" s="7">
        <v>279.83</v>
      </c>
      <c r="H4702" s="7">
        <v>0.01</v>
      </c>
      <c r="I4702" s="9" t="s">
        <v>22</v>
      </c>
      <c r="J4702" s="10">
        <v>77.040000000000006</v>
      </c>
      <c r="K4702" s="11">
        <v>6.04</v>
      </c>
      <c r="L4702" s="11">
        <v>2.14</v>
      </c>
      <c r="M4702" s="9" t="s">
        <v>1817</v>
      </c>
      <c r="N4702" s="6" t="s">
        <v>1813</v>
      </c>
      <c r="O4702" s="6" t="s">
        <v>512</v>
      </c>
      <c r="P4702" s="9" t="s">
        <v>33</v>
      </c>
      <c r="Q4702" s="9" t="s">
        <v>26</v>
      </c>
      <c r="R4702" s="9" t="s">
        <v>61</v>
      </c>
      <c r="S4702" s="7" t="s">
        <v>1824</v>
      </c>
      <c r="T4702" s="9" t="s">
        <v>68</v>
      </c>
      <c r="U4702" s="7">
        <v>0.38</v>
      </c>
      <c r="V4702" s="12">
        <f>C4702+1</f>
        <v>40288</v>
      </c>
      <c r="W4702">
        <f>IF(D4702=' Pivot Tables'!$A$4,1,0)</f>
        <v>0</v>
      </c>
      <c r="X4702">
        <f>IF(AND(LEFT(D4702,4)+1=LEFT(' Pivot Tables'!$A$4,4)+0,RIGHT(LEFT(D4702,7),2)=RIGHT(LEFT(' Pivot Tables'!$A$4,7),2)),1,0)</f>
        <v>0</v>
      </c>
      <c r="Y4702" s="6">
        <f>1/COUNTIF(Таблица1[Order ID],Таблица1[[#This Row],[Order ID]])</f>
        <v>0.33333333333333331</v>
      </c>
      <c r="Z4702" s="9">
        <f>1/COUNTIFS(Таблица1[Customer Name],Таблица1[[#This Row],[Customer Name]],Таблица1[Order-Year-Month],Таблица1[[#This Row],[Order-Year-Month]])</f>
        <v>0.33333333333333331</v>
      </c>
    </row>
    <row r="4703" spans="1:26" x14ac:dyDescent="0.2">
      <c r="A4703" s="6">
        <v>6617</v>
      </c>
      <c r="B4703" s="7">
        <v>47078</v>
      </c>
      <c r="C4703" s="8">
        <f>DATE(2012,12,31)-987</f>
        <v>40287</v>
      </c>
      <c r="D4703" s="8" t="str">
        <f t="shared" si="86"/>
        <v>2010-04 (апрель 2010)</v>
      </c>
      <c r="E4703" s="9" t="s">
        <v>63</v>
      </c>
      <c r="F4703" s="7">
        <v>20</v>
      </c>
      <c r="G4703" s="7">
        <v>98.57</v>
      </c>
      <c r="H4703" s="7">
        <v>7.0000000000000007E-2</v>
      </c>
      <c r="I4703" s="9" t="s">
        <v>22</v>
      </c>
      <c r="J4703" s="10">
        <v>-49.64</v>
      </c>
      <c r="K4703" s="11">
        <v>4.9800000000000004</v>
      </c>
      <c r="L4703" s="11">
        <v>5.0199999999999996</v>
      </c>
      <c r="M4703" s="9" t="s">
        <v>1817</v>
      </c>
      <c r="N4703" s="6" t="s">
        <v>1813</v>
      </c>
      <c r="O4703" s="6" t="s">
        <v>512</v>
      </c>
      <c r="P4703" s="9" t="s">
        <v>33</v>
      </c>
      <c r="Q4703" s="9" t="s">
        <v>26</v>
      </c>
      <c r="R4703" s="9" t="s">
        <v>61</v>
      </c>
      <c r="S4703" s="7" t="s">
        <v>702</v>
      </c>
      <c r="T4703" s="9" t="s">
        <v>39</v>
      </c>
      <c r="U4703" s="7">
        <v>0.38</v>
      </c>
      <c r="V4703" s="12">
        <f>C4703+1</f>
        <v>40288</v>
      </c>
      <c r="W4703">
        <f>IF(D4703=' Pivot Tables'!$A$4,1,0)</f>
        <v>0</v>
      </c>
      <c r="X4703">
        <f>IF(AND(LEFT(D4703,4)+1=LEFT(' Pivot Tables'!$A$4,4)+0,RIGHT(LEFT(D4703,7),2)=RIGHT(LEFT(' Pivot Tables'!$A$4,7),2)),1,0)</f>
        <v>0</v>
      </c>
      <c r="Y4703" s="6">
        <f>1/COUNTIF(Таблица1[Order ID],Таблица1[[#This Row],[Order ID]])</f>
        <v>0.33333333333333331</v>
      </c>
      <c r="Z4703" s="9">
        <f>1/COUNTIFS(Таблица1[Customer Name],Таблица1[[#This Row],[Customer Name]],Таблица1[Order-Year-Month],Таблица1[[#This Row],[Order-Year-Month]])</f>
        <v>0.33333333333333331</v>
      </c>
    </row>
    <row r="4704" spans="1:26" x14ac:dyDescent="0.2">
      <c r="A4704" s="6">
        <v>6703</v>
      </c>
      <c r="B4704" s="7">
        <v>47747</v>
      </c>
      <c r="C4704" s="8">
        <f>DATE(2012,12,31)-406</f>
        <v>40868</v>
      </c>
      <c r="D4704" s="8" t="str">
        <f t="shared" si="86"/>
        <v>2011-11 (ноябрь 2011)</v>
      </c>
      <c r="E4704" s="9" t="s">
        <v>30</v>
      </c>
      <c r="F4704" s="7">
        <v>40</v>
      </c>
      <c r="G4704" s="7">
        <v>102.15</v>
      </c>
      <c r="H4704" s="7">
        <v>0.03</v>
      </c>
      <c r="I4704" s="9" t="s">
        <v>56</v>
      </c>
      <c r="J4704" s="10">
        <v>-138.51</v>
      </c>
      <c r="K4704" s="11">
        <v>2.08</v>
      </c>
      <c r="L4704" s="11">
        <v>5.33</v>
      </c>
      <c r="M4704" s="9" t="s">
        <v>1818</v>
      </c>
      <c r="N4704" s="6" t="s">
        <v>1813</v>
      </c>
      <c r="O4704" s="6" t="s">
        <v>512</v>
      </c>
      <c r="P4704" s="9" t="s">
        <v>33</v>
      </c>
      <c r="Q4704" s="9" t="s">
        <v>49</v>
      </c>
      <c r="R4704" s="9" t="s">
        <v>50</v>
      </c>
      <c r="S4704" s="7" t="s">
        <v>216</v>
      </c>
      <c r="T4704" s="9" t="s">
        <v>39</v>
      </c>
      <c r="U4704" s="7">
        <v>0.43</v>
      </c>
      <c r="V4704" s="12">
        <f>C4704+2</f>
        <v>40870</v>
      </c>
      <c r="W4704">
        <f>IF(D4704=' Pivot Tables'!$A$4,1,0)</f>
        <v>0</v>
      </c>
      <c r="X4704">
        <f>IF(AND(LEFT(D4704,4)+1=LEFT(' Pivot Tables'!$A$4,4)+0,RIGHT(LEFT(D4704,7),2)=RIGHT(LEFT(' Pivot Tables'!$A$4,7),2)),1,0)</f>
        <v>0</v>
      </c>
      <c r="Y4704" s="6">
        <f>1/COUNTIF(Таблица1[Order ID],Таблица1[[#This Row],[Order ID]])</f>
        <v>1</v>
      </c>
      <c r="Z4704" s="9">
        <f>1/COUNTIFS(Таблица1[Customer Name],Таблица1[[#This Row],[Customer Name]],Таблица1[Order-Year-Month],Таблица1[[#This Row],[Order-Year-Month]])</f>
        <v>1</v>
      </c>
    </row>
    <row r="4705" spans="1:26" x14ac:dyDescent="0.2">
      <c r="A4705" s="6">
        <v>6710</v>
      </c>
      <c r="B4705" s="7">
        <v>47810</v>
      </c>
      <c r="C4705" s="8">
        <f>DATE(2012,12,31)-505</f>
        <v>40769</v>
      </c>
      <c r="D4705" s="8" t="str">
        <f t="shared" si="86"/>
        <v>2011-08 (август 2011)</v>
      </c>
      <c r="E4705" s="9" t="s">
        <v>78</v>
      </c>
      <c r="F4705" s="7">
        <v>3</v>
      </c>
      <c r="G4705" s="7">
        <v>19.57</v>
      </c>
      <c r="H4705" s="7">
        <v>0.02</v>
      </c>
      <c r="I4705" s="9" t="s">
        <v>22</v>
      </c>
      <c r="J4705" s="10">
        <v>-5.35</v>
      </c>
      <c r="K4705" s="11">
        <v>5.84</v>
      </c>
      <c r="L4705" s="11">
        <v>1.2</v>
      </c>
      <c r="M4705" s="9" t="s">
        <v>1812</v>
      </c>
      <c r="N4705" s="6" t="s">
        <v>1813</v>
      </c>
      <c r="O4705" s="6" t="s">
        <v>512</v>
      </c>
      <c r="P4705" s="9" t="s">
        <v>60</v>
      </c>
      <c r="Q4705" s="9" t="s">
        <v>26</v>
      </c>
      <c r="R4705" s="9" t="s">
        <v>95</v>
      </c>
      <c r="S4705" s="7" t="s">
        <v>413</v>
      </c>
      <c r="T4705" s="9" t="s">
        <v>68</v>
      </c>
      <c r="U4705" s="7">
        <v>0.55000000000000004</v>
      </c>
      <c r="V4705" s="12">
        <f>C4705+1</f>
        <v>40770</v>
      </c>
      <c r="W4705">
        <f>IF(D4705=' Pivot Tables'!$A$4,1,0)</f>
        <v>0</v>
      </c>
      <c r="X4705">
        <f>IF(AND(LEFT(D4705,4)+1=LEFT(' Pivot Tables'!$A$4,4)+0,RIGHT(LEFT(D4705,7),2)=RIGHT(LEFT(' Pivot Tables'!$A$4,7),2)),1,0)</f>
        <v>0</v>
      </c>
      <c r="Y4705" s="6">
        <f>1/COUNTIF(Таблица1[Order ID],Таблица1[[#This Row],[Order ID]])</f>
        <v>1</v>
      </c>
      <c r="Z4705" s="9">
        <f>1/COUNTIFS(Таблица1[Customer Name],Таблица1[[#This Row],[Customer Name]],Таблица1[Order-Year-Month],Таблица1[[#This Row],[Order-Year-Month]])</f>
        <v>1</v>
      </c>
    </row>
    <row r="4706" spans="1:26" x14ac:dyDescent="0.2">
      <c r="A4706" s="6">
        <v>6861</v>
      </c>
      <c r="B4706" s="7">
        <v>48896</v>
      </c>
      <c r="C4706" s="8">
        <f>DATE(2012,12,31)-1160</f>
        <v>40114</v>
      </c>
      <c r="D4706" s="8" t="str">
        <f t="shared" si="86"/>
        <v>2009-10 (октябрь 2009)</v>
      </c>
      <c r="E4706" s="9" t="s">
        <v>78</v>
      </c>
      <c r="F4706" s="7">
        <v>43</v>
      </c>
      <c r="G4706" s="7">
        <v>856.9</v>
      </c>
      <c r="H4706" s="7">
        <v>0.02</v>
      </c>
      <c r="I4706" s="9" t="s">
        <v>22</v>
      </c>
      <c r="J4706" s="10">
        <v>106.93</v>
      </c>
      <c r="K4706" s="11">
        <v>18.97</v>
      </c>
      <c r="L4706" s="11">
        <v>9.5399999999999991</v>
      </c>
      <c r="M4706" s="9" t="s">
        <v>1816</v>
      </c>
      <c r="N4706" s="6" t="s">
        <v>1813</v>
      </c>
      <c r="O4706" s="6" t="s">
        <v>512</v>
      </c>
      <c r="P4706" s="9" t="s">
        <v>60</v>
      </c>
      <c r="Q4706" s="9" t="s">
        <v>26</v>
      </c>
      <c r="R4706" s="9" t="s">
        <v>61</v>
      </c>
      <c r="S4706" s="7" t="s">
        <v>581</v>
      </c>
      <c r="T4706" s="9" t="s">
        <v>39</v>
      </c>
      <c r="U4706" s="7">
        <v>0.37</v>
      </c>
      <c r="V4706" s="12">
        <f>C4706+2</f>
        <v>40116</v>
      </c>
      <c r="W4706">
        <f>IF(D4706=' Pivot Tables'!$A$4,1,0)</f>
        <v>0</v>
      </c>
      <c r="X4706">
        <f>IF(AND(LEFT(D4706,4)+1=LEFT(' Pivot Tables'!$A$4,4)+0,RIGHT(LEFT(D4706,7),2)=RIGHT(LEFT(' Pivot Tables'!$A$4,7),2)),1,0)</f>
        <v>0</v>
      </c>
      <c r="Y4706" s="6">
        <f>1/COUNTIF(Таблица1[Order ID],Таблица1[[#This Row],[Order ID]])</f>
        <v>1</v>
      </c>
      <c r="Z4706" s="9">
        <f>1/COUNTIFS(Таблица1[Customer Name],Таблица1[[#This Row],[Customer Name]],Таблица1[Order-Year-Month],Таблица1[[#This Row],[Order-Year-Month]])</f>
        <v>1</v>
      </c>
    </row>
    <row r="4707" spans="1:26" x14ac:dyDescent="0.2">
      <c r="A4707" s="6">
        <v>6974</v>
      </c>
      <c r="B4707" s="7">
        <v>49830</v>
      </c>
      <c r="C4707" s="8">
        <f>DATE(2012,12,31)-1271</f>
        <v>40003</v>
      </c>
      <c r="D4707" s="8" t="str">
        <f t="shared" si="86"/>
        <v>2009-07 (июль 2009)</v>
      </c>
      <c r="E4707" s="9" t="s">
        <v>78</v>
      </c>
      <c r="F4707" s="7">
        <v>16</v>
      </c>
      <c r="G4707" s="7">
        <v>519.65</v>
      </c>
      <c r="H4707" s="7">
        <v>0.03</v>
      </c>
      <c r="I4707" s="9" t="s">
        <v>56</v>
      </c>
      <c r="J4707" s="10">
        <v>26.36</v>
      </c>
      <c r="K4707" s="11">
        <v>30.98</v>
      </c>
      <c r="L4707" s="11">
        <v>8.99</v>
      </c>
      <c r="M4707" s="9" t="s">
        <v>1812</v>
      </c>
      <c r="N4707" s="6" t="s">
        <v>1813</v>
      </c>
      <c r="O4707" s="6" t="s">
        <v>512</v>
      </c>
      <c r="P4707" s="9" t="s">
        <v>25</v>
      </c>
      <c r="Q4707" s="9" t="s">
        <v>26</v>
      </c>
      <c r="R4707" s="9" t="s">
        <v>95</v>
      </c>
      <c r="S4707" s="7" t="s">
        <v>1055</v>
      </c>
      <c r="T4707" s="9" t="s">
        <v>52</v>
      </c>
      <c r="U4707" s="7">
        <v>0.57999999999999996</v>
      </c>
      <c r="V4707" s="12">
        <f>C4707+2</f>
        <v>40005</v>
      </c>
      <c r="W4707">
        <f>IF(D4707=' Pivot Tables'!$A$4,1,0)</f>
        <v>0</v>
      </c>
      <c r="X4707">
        <f>IF(AND(LEFT(D4707,4)+1=LEFT(' Pivot Tables'!$A$4,4)+0,RIGHT(LEFT(D4707,7),2)=RIGHT(LEFT(' Pivot Tables'!$A$4,7),2)),1,0)</f>
        <v>0</v>
      </c>
      <c r="Y4707" s="6">
        <f>1/COUNTIF(Таблица1[Order ID],Таблица1[[#This Row],[Order ID]])</f>
        <v>0.5</v>
      </c>
      <c r="Z4707" s="9">
        <f>1/COUNTIFS(Таблица1[Customer Name],Таблица1[[#This Row],[Customer Name]],Таблица1[Order-Year-Month],Таблица1[[#This Row],[Order-Year-Month]])</f>
        <v>0.5</v>
      </c>
    </row>
    <row r="4708" spans="1:26" x14ac:dyDescent="0.2">
      <c r="A4708" s="6">
        <v>7353</v>
      </c>
      <c r="B4708" s="7">
        <v>52389</v>
      </c>
      <c r="C4708" s="8">
        <f>DATE(2012,12,31)-437</f>
        <v>40837</v>
      </c>
      <c r="D4708" s="8" t="str">
        <f t="shared" si="86"/>
        <v>2011-10 (октябрь 2011)</v>
      </c>
      <c r="E4708" s="9" t="s">
        <v>78</v>
      </c>
      <c r="F4708" s="7">
        <v>31</v>
      </c>
      <c r="G4708" s="7">
        <v>655.33000000000004</v>
      </c>
      <c r="H4708" s="7">
        <v>0.08</v>
      </c>
      <c r="I4708" s="9" t="s">
        <v>22</v>
      </c>
      <c r="J4708" s="10">
        <v>-57.16</v>
      </c>
      <c r="K4708" s="11">
        <v>21.38</v>
      </c>
      <c r="L4708" s="11">
        <v>8.99</v>
      </c>
      <c r="M4708" s="9" t="s">
        <v>1823</v>
      </c>
      <c r="N4708" s="6" t="s">
        <v>1813</v>
      </c>
      <c r="O4708" s="6" t="s">
        <v>512</v>
      </c>
      <c r="P4708" s="9" t="s">
        <v>41</v>
      </c>
      <c r="Q4708" s="9" t="s">
        <v>26</v>
      </c>
      <c r="R4708" s="9" t="s">
        <v>95</v>
      </c>
      <c r="S4708" s="7" t="s">
        <v>436</v>
      </c>
      <c r="T4708" s="9" t="s">
        <v>52</v>
      </c>
      <c r="U4708" s="7">
        <v>0.59</v>
      </c>
      <c r="V4708" s="12">
        <f>C4708+0</f>
        <v>40837</v>
      </c>
      <c r="W4708">
        <f>IF(D4708=' Pivot Tables'!$A$4,1,0)</f>
        <v>0</v>
      </c>
      <c r="X4708">
        <f>IF(AND(LEFT(D4708,4)+1=LEFT(' Pivot Tables'!$A$4,4)+0,RIGHT(LEFT(D4708,7),2)=RIGHT(LEFT(' Pivot Tables'!$A$4,7),2)),1,0)</f>
        <v>0</v>
      </c>
      <c r="Y4708" s="6">
        <f>1/COUNTIF(Таблица1[Order ID],Таблица1[[#This Row],[Order ID]])</f>
        <v>1</v>
      </c>
      <c r="Z4708" s="9">
        <f>1/COUNTIFS(Таблица1[Customer Name],Таблица1[[#This Row],[Customer Name]],Таблица1[Order-Year-Month],Таблица1[[#This Row],[Order-Year-Month]])</f>
        <v>1</v>
      </c>
    </row>
    <row r="4709" spans="1:26" x14ac:dyDescent="0.2">
      <c r="A4709" s="6">
        <v>7373</v>
      </c>
      <c r="B4709" s="7">
        <v>52576</v>
      </c>
      <c r="C4709" s="8">
        <f>DATE(2012,12,31)-1374</f>
        <v>39900</v>
      </c>
      <c r="D4709" s="8" t="str">
        <f t="shared" si="86"/>
        <v>2009-03 (март 2009)</v>
      </c>
      <c r="E4709" s="9" t="s">
        <v>21</v>
      </c>
      <c r="F4709" s="7">
        <v>10</v>
      </c>
      <c r="G4709" s="7">
        <v>958.18</v>
      </c>
      <c r="H4709" s="7">
        <v>0.03</v>
      </c>
      <c r="I4709" s="9" t="s">
        <v>31</v>
      </c>
      <c r="J4709" s="10">
        <v>126.81</v>
      </c>
      <c r="K4709" s="11">
        <v>90.97</v>
      </c>
      <c r="L4709" s="11">
        <v>14</v>
      </c>
      <c r="M4709" s="9" t="s">
        <v>1701</v>
      </c>
      <c r="N4709" s="6" t="s">
        <v>1813</v>
      </c>
      <c r="O4709" s="6" t="s">
        <v>512</v>
      </c>
      <c r="P4709" s="9" t="s">
        <v>60</v>
      </c>
      <c r="Q4709" s="9" t="s">
        <v>42</v>
      </c>
      <c r="R4709" s="9" t="s">
        <v>210</v>
      </c>
      <c r="S4709" s="7" t="s">
        <v>772</v>
      </c>
      <c r="T4709" s="9" t="s">
        <v>36</v>
      </c>
      <c r="U4709" s="7">
        <v>0.36</v>
      </c>
      <c r="V4709" s="12">
        <f>C4709+0</f>
        <v>39900</v>
      </c>
      <c r="W4709">
        <f>IF(D4709=' Pivot Tables'!$A$4,1,0)</f>
        <v>0</v>
      </c>
      <c r="X4709">
        <f>IF(AND(LEFT(D4709,4)+1=LEFT(' Pivot Tables'!$A$4,4)+0,RIGHT(LEFT(D4709,7),2)=RIGHT(LEFT(' Pivot Tables'!$A$4,7),2)),1,0)</f>
        <v>0</v>
      </c>
      <c r="Y4709" s="6">
        <f>1/COUNTIF(Таблица1[Order ID],Таблица1[[#This Row],[Order ID]])</f>
        <v>1</v>
      </c>
      <c r="Z4709" s="9">
        <f>1/COUNTIFS(Таблица1[Customer Name],Таблица1[[#This Row],[Customer Name]],Таблица1[Order-Year-Month],Таблица1[[#This Row],[Order-Year-Month]])</f>
        <v>0.5</v>
      </c>
    </row>
    <row r="4710" spans="1:26" x14ac:dyDescent="0.2">
      <c r="A4710" s="6">
        <v>7510</v>
      </c>
      <c r="B4710" s="7">
        <v>53605</v>
      </c>
      <c r="C4710" s="8">
        <f>DATE(2012,12,31)-881</f>
        <v>40393</v>
      </c>
      <c r="D4710" s="8" t="str">
        <f t="shared" si="86"/>
        <v>2010-08 (август 2010)</v>
      </c>
      <c r="E4710" s="9" t="s">
        <v>63</v>
      </c>
      <c r="F4710" s="7">
        <v>19</v>
      </c>
      <c r="G4710" s="7">
        <v>506.49</v>
      </c>
      <c r="H4710" s="7">
        <v>0.06</v>
      </c>
      <c r="I4710" s="9" t="s">
        <v>22</v>
      </c>
      <c r="J4710" s="10">
        <v>105.69</v>
      </c>
      <c r="K4710" s="11">
        <v>25.98</v>
      </c>
      <c r="L4710" s="11">
        <v>5.37</v>
      </c>
      <c r="M4710" s="9" t="s">
        <v>1817</v>
      </c>
      <c r="N4710" s="6" t="s">
        <v>1813</v>
      </c>
      <c r="O4710" s="6" t="s">
        <v>512</v>
      </c>
      <c r="P4710" s="9" t="s">
        <v>33</v>
      </c>
      <c r="Q4710" s="9" t="s">
        <v>26</v>
      </c>
      <c r="R4710" s="9" t="s">
        <v>34</v>
      </c>
      <c r="S4710" s="7" t="s">
        <v>167</v>
      </c>
      <c r="T4710" s="9" t="s">
        <v>48</v>
      </c>
      <c r="U4710" s="7">
        <v>0.5</v>
      </c>
      <c r="V4710" s="12">
        <f>C4710+2</f>
        <v>40395</v>
      </c>
      <c r="W4710">
        <f>IF(D4710=' Pivot Tables'!$A$4,1,0)</f>
        <v>0</v>
      </c>
      <c r="X4710">
        <f>IF(AND(LEFT(D4710,4)+1=LEFT(' Pivot Tables'!$A$4,4)+0,RIGHT(LEFT(D4710,7),2)=RIGHT(LEFT(' Pivot Tables'!$A$4,7),2)),1,0)</f>
        <v>0</v>
      </c>
      <c r="Y4710" s="6">
        <f>1/COUNTIF(Таблица1[Order ID],Таблица1[[#This Row],[Order ID]])</f>
        <v>0.33333333333333331</v>
      </c>
      <c r="Z4710" s="9">
        <f>1/COUNTIFS(Таблица1[Customer Name],Таблица1[[#This Row],[Customer Name]],Таблица1[Order-Year-Month],Таблица1[[#This Row],[Order-Year-Month]])</f>
        <v>0.25</v>
      </c>
    </row>
    <row r="4711" spans="1:26" x14ac:dyDescent="0.2">
      <c r="A4711" s="6">
        <v>7511</v>
      </c>
      <c r="B4711" s="7">
        <v>53605</v>
      </c>
      <c r="C4711" s="8">
        <f>DATE(2012,12,31)-881</f>
        <v>40393</v>
      </c>
      <c r="D4711" s="8" t="str">
        <f t="shared" si="86"/>
        <v>2010-08 (август 2010)</v>
      </c>
      <c r="E4711" s="9" t="s">
        <v>63</v>
      </c>
      <c r="F4711" s="7">
        <v>48</v>
      </c>
      <c r="G4711" s="7">
        <v>8367.68</v>
      </c>
      <c r="H4711" s="7">
        <v>0.06</v>
      </c>
      <c r="I4711" s="9" t="s">
        <v>31</v>
      </c>
      <c r="J4711" s="10">
        <v>886.35</v>
      </c>
      <c r="K4711" s="11">
        <v>170.98</v>
      </c>
      <c r="L4711" s="11">
        <v>35.89</v>
      </c>
      <c r="M4711" s="9" t="s">
        <v>1817</v>
      </c>
      <c r="N4711" s="6" t="s">
        <v>1813</v>
      </c>
      <c r="O4711" s="6" t="s">
        <v>512</v>
      </c>
      <c r="P4711" s="9" t="s">
        <v>33</v>
      </c>
      <c r="Q4711" s="9" t="s">
        <v>49</v>
      </c>
      <c r="R4711" s="9" t="s">
        <v>80</v>
      </c>
      <c r="S4711" s="7" t="s">
        <v>964</v>
      </c>
      <c r="T4711" s="9" t="s">
        <v>82</v>
      </c>
      <c r="U4711" s="7">
        <v>0.66</v>
      </c>
      <c r="V4711" s="12">
        <f>C4711+2</f>
        <v>40395</v>
      </c>
      <c r="W4711">
        <f>IF(D4711=' Pivot Tables'!$A$4,1,0)</f>
        <v>0</v>
      </c>
      <c r="X4711">
        <f>IF(AND(LEFT(D4711,4)+1=LEFT(' Pivot Tables'!$A$4,4)+0,RIGHT(LEFT(D4711,7),2)=RIGHT(LEFT(' Pivot Tables'!$A$4,7),2)),1,0)</f>
        <v>0</v>
      </c>
      <c r="Y4711" s="6">
        <f>1/COUNTIF(Таблица1[Order ID],Таблица1[[#This Row],[Order ID]])</f>
        <v>0.33333333333333331</v>
      </c>
      <c r="Z4711" s="9">
        <f>1/COUNTIFS(Таблица1[Customer Name],Таблица1[[#This Row],[Customer Name]],Таблица1[Order-Year-Month],Таблица1[[#This Row],[Order-Year-Month]])</f>
        <v>0.25</v>
      </c>
    </row>
    <row r="4712" spans="1:26" x14ac:dyDescent="0.2">
      <c r="A4712" s="6">
        <v>7512</v>
      </c>
      <c r="B4712" s="7">
        <v>53605</v>
      </c>
      <c r="C4712" s="8">
        <f>DATE(2012,12,31)-881</f>
        <v>40393</v>
      </c>
      <c r="D4712" s="8" t="str">
        <f t="shared" si="86"/>
        <v>2010-08 (август 2010)</v>
      </c>
      <c r="E4712" s="9" t="s">
        <v>63</v>
      </c>
      <c r="F4712" s="7">
        <v>1</v>
      </c>
      <c r="G4712" s="7">
        <v>74.31</v>
      </c>
      <c r="H4712" s="7">
        <v>7.0000000000000007E-2</v>
      </c>
      <c r="I4712" s="9" t="s">
        <v>22</v>
      </c>
      <c r="J4712" s="10">
        <v>-73.099999999999994</v>
      </c>
      <c r="K4712" s="11">
        <v>41.47</v>
      </c>
      <c r="L4712" s="11">
        <v>34.200000000000003</v>
      </c>
      <c r="M4712" s="9" t="s">
        <v>1817</v>
      </c>
      <c r="N4712" s="6" t="s">
        <v>1813</v>
      </c>
      <c r="O4712" s="6" t="s">
        <v>512</v>
      </c>
      <c r="P4712" s="9" t="s">
        <v>33</v>
      </c>
      <c r="Q4712" s="9" t="s">
        <v>49</v>
      </c>
      <c r="R4712" s="9" t="s">
        <v>50</v>
      </c>
      <c r="S4712" s="7" t="s">
        <v>255</v>
      </c>
      <c r="T4712" s="9" t="s">
        <v>68</v>
      </c>
      <c r="U4712" s="7">
        <v>0.73</v>
      </c>
      <c r="V4712" s="12">
        <f>C4712+2</f>
        <v>40395</v>
      </c>
      <c r="W4712">
        <f>IF(D4712=' Pivot Tables'!$A$4,1,0)</f>
        <v>0</v>
      </c>
      <c r="X4712">
        <f>IF(AND(LEFT(D4712,4)+1=LEFT(' Pivot Tables'!$A$4,4)+0,RIGHT(LEFT(D4712,7),2)=RIGHT(LEFT(' Pivot Tables'!$A$4,7),2)),1,0)</f>
        <v>0</v>
      </c>
      <c r="Y4712" s="6">
        <f>1/COUNTIF(Таблица1[Order ID],Таблица1[[#This Row],[Order ID]])</f>
        <v>0.33333333333333331</v>
      </c>
      <c r="Z4712" s="9">
        <f>1/COUNTIFS(Таблица1[Customer Name],Таблица1[[#This Row],[Customer Name]],Таблица1[Order-Year-Month],Таблица1[[#This Row],[Order-Year-Month]])</f>
        <v>0.25</v>
      </c>
    </row>
    <row r="4713" spans="1:26" x14ac:dyDescent="0.2">
      <c r="A4713" s="6">
        <v>7536</v>
      </c>
      <c r="B4713" s="7">
        <v>53891</v>
      </c>
      <c r="C4713" s="8">
        <f>DATE(2012,12,31)-1439</f>
        <v>39835</v>
      </c>
      <c r="D4713" s="8" t="str">
        <f t="shared" si="86"/>
        <v>2009-01 (январь 2009)</v>
      </c>
      <c r="E4713" s="9" t="s">
        <v>30</v>
      </c>
      <c r="F4713" s="7">
        <v>27</v>
      </c>
      <c r="G4713" s="7">
        <v>4584.7299999999996</v>
      </c>
      <c r="H4713" s="7">
        <v>7.0000000000000007E-2</v>
      </c>
      <c r="I4713" s="9" t="s">
        <v>22</v>
      </c>
      <c r="J4713" s="10">
        <v>812.38</v>
      </c>
      <c r="K4713" s="11">
        <v>179.99</v>
      </c>
      <c r="L4713" s="11">
        <v>19.989999999999998</v>
      </c>
      <c r="M4713" s="9" t="s">
        <v>1062</v>
      </c>
      <c r="N4713" s="6" t="s">
        <v>1813</v>
      </c>
      <c r="O4713" s="6" t="s">
        <v>512</v>
      </c>
      <c r="P4713" s="9" t="s">
        <v>60</v>
      </c>
      <c r="Q4713" s="9" t="s">
        <v>42</v>
      </c>
      <c r="R4713" s="9" t="s">
        <v>70</v>
      </c>
      <c r="S4713" s="7" t="s">
        <v>811</v>
      </c>
      <c r="T4713" s="9" t="s">
        <v>39</v>
      </c>
      <c r="U4713" s="7">
        <v>0.48</v>
      </c>
      <c r="V4713" s="12">
        <f>C4713+1</f>
        <v>39836</v>
      </c>
      <c r="W4713">
        <f>IF(D4713=' Pivot Tables'!$A$4,1,0)</f>
        <v>0</v>
      </c>
      <c r="X4713">
        <f>IF(AND(LEFT(D4713,4)+1=LEFT(' Pivot Tables'!$A$4,4)+0,RIGHT(LEFT(D4713,7),2)=RIGHT(LEFT(' Pivot Tables'!$A$4,7),2)),1,0)</f>
        <v>1</v>
      </c>
      <c r="Y4713" s="6">
        <f>1/COUNTIF(Таблица1[Order ID],Таблица1[[#This Row],[Order ID]])</f>
        <v>0.25</v>
      </c>
      <c r="Z4713" s="9">
        <f>1/COUNTIFS(Таблица1[Customer Name],Таблица1[[#This Row],[Customer Name]],Таблица1[Order-Year-Month],Таблица1[[#This Row],[Order-Year-Month]])</f>
        <v>0.25</v>
      </c>
    </row>
    <row r="4714" spans="1:26" x14ac:dyDescent="0.2">
      <c r="A4714" s="6">
        <v>7537</v>
      </c>
      <c r="B4714" s="7">
        <v>53891</v>
      </c>
      <c r="C4714" s="8">
        <f>DATE(2012,12,31)-1439</f>
        <v>39835</v>
      </c>
      <c r="D4714" s="8" t="str">
        <f t="shared" si="86"/>
        <v>2009-01 (январь 2009)</v>
      </c>
      <c r="E4714" s="9" t="s">
        <v>30</v>
      </c>
      <c r="F4714" s="7">
        <v>44</v>
      </c>
      <c r="G4714" s="7">
        <v>4039.72</v>
      </c>
      <c r="H4714" s="7">
        <v>0.02</v>
      </c>
      <c r="I4714" s="9" t="s">
        <v>56</v>
      </c>
      <c r="J4714" s="10">
        <v>-237.6</v>
      </c>
      <c r="K4714" s="11">
        <v>92.23</v>
      </c>
      <c r="L4714" s="11">
        <v>39.61</v>
      </c>
      <c r="M4714" s="9" t="s">
        <v>1062</v>
      </c>
      <c r="N4714" s="6" t="s">
        <v>1813</v>
      </c>
      <c r="O4714" s="6" t="s">
        <v>512</v>
      </c>
      <c r="P4714" s="9" t="s">
        <v>60</v>
      </c>
      <c r="Q4714" s="9" t="s">
        <v>49</v>
      </c>
      <c r="R4714" s="9" t="s">
        <v>50</v>
      </c>
      <c r="S4714" s="7" t="s">
        <v>145</v>
      </c>
      <c r="T4714" s="9" t="s">
        <v>48</v>
      </c>
      <c r="U4714" s="7">
        <v>0.67</v>
      </c>
      <c r="V4714" s="12">
        <f>C4714+1</f>
        <v>39836</v>
      </c>
      <c r="W4714">
        <f>IF(D4714=' Pivot Tables'!$A$4,1,0)</f>
        <v>0</v>
      </c>
      <c r="X4714">
        <f>IF(AND(LEFT(D4714,4)+1=LEFT(' Pivot Tables'!$A$4,4)+0,RIGHT(LEFT(D4714,7),2)=RIGHT(LEFT(' Pivot Tables'!$A$4,7),2)),1,0)</f>
        <v>1</v>
      </c>
      <c r="Y4714" s="6">
        <f>1/COUNTIF(Таблица1[Order ID],Таблица1[[#This Row],[Order ID]])</f>
        <v>0.25</v>
      </c>
      <c r="Z4714" s="9">
        <f>1/COUNTIFS(Таблица1[Customer Name],Таблица1[[#This Row],[Customer Name]],Таблица1[Order-Year-Month],Таблица1[[#This Row],[Order-Year-Month]])</f>
        <v>0.25</v>
      </c>
    </row>
    <row r="4715" spans="1:26" x14ac:dyDescent="0.2">
      <c r="A4715" s="6">
        <v>7538</v>
      </c>
      <c r="B4715" s="7">
        <v>53891</v>
      </c>
      <c r="C4715" s="8">
        <f>DATE(2012,12,31)-1439</f>
        <v>39835</v>
      </c>
      <c r="D4715" s="8" t="str">
        <f t="shared" si="86"/>
        <v>2009-01 (январь 2009)</v>
      </c>
      <c r="E4715" s="9" t="s">
        <v>30</v>
      </c>
      <c r="F4715" s="7">
        <v>25</v>
      </c>
      <c r="G4715" s="7">
        <v>2570.944</v>
      </c>
      <c r="H4715" s="7">
        <v>0.03</v>
      </c>
      <c r="I4715" s="9" t="s">
        <v>56</v>
      </c>
      <c r="J4715" s="10">
        <v>553.35599999999999</v>
      </c>
      <c r="K4715" s="11">
        <v>115.99</v>
      </c>
      <c r="L4715" s="11">
        <v>5.92</v>
      </c>
      <c r="M4715" s="9" t="s">
        <v>1062</v>
      </c>
      <c r="N4715" s="6" t="s">
        <v>1813</v>
      </c>
      <c r="O4715" s="6" t="s">
        <v>512</v>
      </c>
      <c r="P4715" s="9" t="s">
        <v>60</v>
      </c>
      <c r="Q4715" s="9" t="s">
        <v>42</v>
      </c>
      <c r="R4715" s="9" t="s">
        <v>43</v>
      </c>
      <c r="S4715" s="7" t="s">
        <v>977</v>
      </c>
      <c r="T4715" s="9" t="s">
        <v>39</v>
      </c>
      <c r="U4715" s="7">
        <v>0.57999999999999996</v>
      </c>
      <c r="V4715" s="12">
        <f>C4715+1</f>
        <v>39836</v>
      </c>
      <c r="W4715">
        <f>IF(D4715=' Pivot Tables'!$A$4,1,0)</f>
        <v>0</v>
      </c>
      <c r="X4715">
        <f>IF(AND(LEFT(D4715,4)+1=LEFT(' Pivot Tables'!$A$4,4)+0,RIGHT(LEFT(D4715,7),2)=RIGHT(LEFT(' Pivot Tables'!$A$4,7),2)),1,0)</f>
        <v>1</v>
      </c>
      <c r="Y4715" s="6">
        <f>1/COUNTIF(Таблица1[Order ID],Таблица1[[#This Row],[Order ID]])</f>
        <v>0.25</v>
      </c>
      <c r="Z4715" s="9">
        <f>1/COUNTIFS(Таблица1[Customer Name],Таблица1[[#This Row],[Customer Name]],Таблица1[Order-Year-Month],Таблица1[[#This Row],[Order-Year-Month]])</f>
        <v>0.25</v>
      </c>
    </row>
    <row r="4716" spans="1:26" x14ac:dyDescent="0.2">
      <c r="A4716" s="6">
        <v>7748</v>
      </c>
      <c r="B4716" s="7">
        <v>55460</v>
      </c>
      <c r="C4716" s="8">
        <f>DATE(2012,12,31)-219</f>
        <v>41055</v>
      </c>
      <c r="D4716" s="8" t="str">
        <f t="shared" si="86"/>
        <v>2012-05 (май 2012)</v>
      </c>
      <c r="E4716" s="9" t="s">
        <v>30</v>
      </c>
      <c r="F4716" s="7">
        <v>49</v>
      </c>
      <c r="G4716" s="7">
        <v>1944.87</v>
      </c>
      <c r="H4716" s="7">
        <v>0.06</v>
      </c>
      <c r="I4716" s="9" t="s">
        <v>22</v>
      </c>
      <c r="J4716" s="10">
        <v>496.43</v>
      </c>
      <c r="K4716" s="11">
        <v>41.71</v>
      </c>
      <c r="L4716" s="11">
        <v>4.5</v>
      </c>
      <c r="M4716" s="9" t="s">
        <v>1816</v>
      </c>
      <c r="N4716" s="6" t="s">
        <v>1813</v>
      </c>
      <c r="O4716" s="6" t="s">
        <v>512</v>
      </c>
      <c r="P4716" s="9" t="s">
        <v>60</v>
      </c>
      <c r="Q4716" s="9" t="s">
        <v>26</v>
      </c>
      <c r="R4716" s="9" t="s">
        <v>34</v>
      </c>
      <c r="S4716" s="7" t="s">
        <v>768</v>
      </c>
      <c r="T4716" s="9" t="s">
        <v>39</v>
      </c>
      <c r="U4716" s="7">
        <v>0.56000000000000005</v>
      </c>
      <c r="V4716" s="12">
        <f>C4716+2</f>
        <v>41057</v>
      </c>
      <c r="W4716">
        <f>IF(D4716=' Pivot Tables'!$A$4,1,0)</f>
        <v>0</v>
      </c>
      <c r="X4716">
        <f>IF(AND(LEFT(D4716,4)+1=LEFT(' Pivot Tables'!$A$4,4)+0,RIGHT(LEFT(D4716,7),2)=RIGHT(LEFT(' Pivot Tables'!$A$4,7),2)),1,0)</f>
        <v>0</v>
      </c>
      <c r="Y4716" s="6">
        <f>1/COUNTIF(Таблица1[Order ID],Таблица1[[#This Row],[Order ID]])</f>
        <v>0.5</v>
      </c>
      <c r="Z4716" s="9">
        <f>1/COUNTIFS(Таблица1[Customer Name],Таблица1[[#This Row],[Customer Name]],Таблица1[Order-Year-Month],Таблица1[[#This Row],[Order-Year-Month]])</f>
        <v>0.5</v>
      </c>
    </row>
    <row r="4717" spans="1:26" x14ac:dyDescent="0.2">
      <c r="A4717" s="6">
        <v>7749</v>
      </c>
      <c r="B4717" s="7">
        <v>55460</v>
      </c>
      <c r="C4717" s="8">
        <f>DATE(2012,12,31)-219</f>
        <v>41055</v>
      </c>
      <c r="D4717" s="8" t="str">
        <f t="shared" si="86"/>
        <v>2012-05 (май 2012)</v>
      </c>
      <c r="E4717" s="9" t="s">
        <v>30</v>
      </c>
      <c r="F4717" s="7">
        <v>12</v>
      </c>
      <c r="G4717" s="7">
        <v>61.82</v>
      </c>
      <c r="H4717" s="7">
        <v>0.1</v>
      </c>
      <c r="I4717" s="9" t="s">
        <v>22</v>
      </c>
      <c r="J4717" s="10">
        <v>-10.4535</v>
      </c>
      <c r="K4717" s="11">
        <v>5.34</v>
      </c>
      <c r="L4717" s="11">
        <v>2.99</v>
      </c>
      <c r="M4717" s="9" t="s">
        <v>1816</v>
      </c>
      <c r="N4717" s="6" t="s">
        <v>1813</v>
      </c>
      <c r="O4717" s="6" t="s">
        <v>512</v>
      </c>
      <c r="P4717" s="9" t="s">
        <v>60</v>
      </c>
      <c r="Q4717" s="9" t="s">
        <v>26</v>
      </c>
      <c r="R4717" s="9" t="s">
        <v>37</v>
      </c>
      <c r="S4717" s="7" t="s">
        <v>407</v>
      </c>
      <c r="T4717" s="9" t="s">
        <v>39</v>
      </c>
      <c r="U4717" s="7">
        <v>0.38</v>
      </c>
      <c r="V4717" s="12">
        <f>C4717+1</f>
        <v>41056</v>
      </c>
      <c r="W4717">
        <f>IF(D4717=' Pivot Tables'!$A$4,1,0)</f>
        <v>0</v>
      </c>
      <c r="X4717">
        <f>IF(AND(LEFT(D4717,4)+1=LEFT(' Pivot Tables'!$A$4,4)+0,RIGHT(LEFT(D4717,7),2)=RIGHT(LEFT(' Pivot Tables'!$A$4,7),2)),1,0)</f>
        <v>0</v>
      </c>
      <c r="Y4717" s="6">
        <f>1/COUNTIF(Таблица1[Order ID],Таблица1[[#This Row],[Order ID]])</f>
        <v>0.5</v>
      </c>
      <c r="Z4717" s="9">
        <f>1/COUNTIFS(Таблица1[Customer Name],Таблица1[[#This Row],[Customer Name]],Таблица1[Order-Year-Month],Таблица1[[#This Row],[Order-Year-Month]])</f>
        <v>0.5</v>
      </c>
    </row>
    <row r="4718" spans="1:26" x14ac:dyDescent="0.2">
      <c r="A4718" s="6">
        <v>7815</v>
      </c>
      <c r="B4718" s="7">
        <v>55877</v>
      </c>
      <c r="C4718" s="8">
        <f>DATE(2012,12,31)-1063</f>
        <v>40211</v>
      </c>
      <c r="D4718" s="8" t="str">
        <f t="shared" si="86"/>
        <v>2010-02 (февраль 2010)</v>
      </c>
      <c r="E4718" s="9" t="s">
        <v>45</v>
      </c>
      <c r="F4718" s="7">
        <v>40</v>
      </c>
      <c r="G4718" s="7">
        <v>144.28</v>
      </c>
      <c r="H4718" s="7">
        <v>0.01</v>
      </c>
      <c r="I4718" s="9" t="s">
        <v>56</v>
      </c>
      <c r="J4718" s="10">
        <v>52.94</v>
      </c>
      <c r="K4718" s="11">
        <v>3.08</v>
      </c>
      <c r="L4718" s="11">
        <v>0.99</v>
      </c>
      <c r="M4718" s="9" t="s">
        <v>1820</v>
      </c>
      <c r="N4718" s="6" t="s">
        <v>1813</v>
      </c>
      <c r="O4718" s="6" t="s">
        <v>512</v>
      </c>
      <c r="P4718" s="9" t="s">
        <v>41</v>
      </c>
      <c r="Q4718" s="9" t="s">
        <v>26</v>
      </c>
      <c r="R4718" s="9" t="s">
        <v>88</v>
      </c>
      <c r="S4718" s="7" t="s">
        <v>1760</v>
      </c>
      <c r="T4718" s="9" t="s">
        <v>39</v>
      </c>
      <c r="U4718" s="7">
        <v>0.37</v>
      </c>
      <c r="V4718" s="12">
        <f>C4718+2</f>
        <v>40213</v>
      </c>
      <c r="W4718">
        <f>IF(D4718=' Pivot Tables'!$A$4,1,0)</f>
        <v>0</v>
      </c>
      <c r="X4718">
        <f>IF(AND(LEFT(D4718,4)+1=LEFT(' Pivot Tables'!$A$4,4)+0,RIGHT(LEFT(D4718,7),2)=RIGHT(LEFT(' Pivot Tables'!$A$4,7),2)),1,0)</f>
        <v>0</v>
      </c>
      <c r="Y4718" s="6">
        <f>1/COUNTIF(Таблица1[Order ID],Таблица1[[#This Row],[Order ID]])</f>
        <v>0.5</v>
      </c>
      <c r="Z4718" s="9">
        <f>1/COUNTIFS(Таблица1[Customer Name],Таблица1[[#This Row],[Customer Name]],Таблица1[Order-Year-Month],Таблица1[[#This Row],[Order-Year-Month]])</f>
        <v>0.5</v>
      </c>
    </row>
    <row r="4719" spans="1:26" x14ac:dyDescent="0.2">
      <c r="A4719" s="6">
        <v>7816</v>
      </c>
      <c r="B4719" s="7">
        <v>55877</v>
      </c>
      <c r="C4719" s="8">
        <f>DATE(2012,12,31)-1063</f>
        <v>40211</v>
      </c>
      <c r="D4719" s="8" t="str">
        <f t="shared" si="86"/>
        <v>2010-02 (февраль 2010)</v>
      </c>
      <c r="E4719" s="9" t="s">
        <v>45</v>
      </c>
      <c r="F4719" s="7">
        <v>19</v>
      </c>
      <c r="G4719" s="7">
        <v>126.53</v>
      </c>
      <c r="H4719" s="7">
        <v>0.03</v>
      </c>
      <c r="I4719" s="9" t="s">
        <v>22</v>
      </c>
      <c r="J4719" s="10">
        <v>-73.38</v>
      </c>
      <c r="K4719" s="11">
        <v>5.98</v>
      </c>
      <c r="L4719" s="11">
        <v>7.5</v>
      </c>
      <c r="M4719" s="9" t="s">
        <v>1820</v>
      </c>
      <c r="N4719" s="6" t="s">
        <v>1813</v>
      </c>
      <c r="O4719" s="6" t="s">
        <v>512</v>
      </c>
      <c r="P4719" s="9" t="s">
        <v>41</v>
      </c>
      <c r="Q4719" s="9" t="s">
        <v>26</v>
      </c>
      <c r="R4719" s="9" t="s">
        <v>61</v>
      </c>
      <c r="S4719" s="7" t="s">
        <v>579</v>
      </c>
      <c r="T4719" s="9" t="s">
        <v>39</v>
      </c>
      <c r="U4719" s="7">
        <v>0.4</v>
      </c>
      <c r="V4719" s="12">
        <f>C4719+1</f>
        <v>40212</v>
      </c>
      <c r="W4719">
        <f>IF(D4719=' Pivot Tables'!$A$4,1,0)</f>
        <v>0</v>
      </c>
      <c r="X4719">
        <f>IF(AND(LEFT(D4719,4)+1=LEFT(' Pivot Tables'!$A$4,4)+0,RIGHT(LEFT(D4719,7),2)=RIGHT(LEFT(' Pivot Tables'!$A$4,7),2)),1,0)</f>
        <v>0</v>
      </c>
      <c r="Y4719" s="6">
        <f>1/COUNTIF(Таблица1[Order ID],Таблица1[[#This Row],[Order ID]])</f>
        <v>0.5</v>
      </c>
      <c r="Z4719" s="9">
        <f>1/COUNTIFS(Таблица1[Customer Name],Таблица1[[#This Row],[Customer Name]],Таблица1[Order-Year-Month],Таблица1[[#This Row],[Order-Year-Month]])</f>
        <v>0.5</v>
      </c>
    </row>
    <row r="4720" spans="1:26" x14ac:dyDescent="0.2">
      <c r="A4720" s="6">
        <v>7927</v>
      </c>
      <c r="B4720" s="7">
        <v>56647</v>
      </c>
      <c r="C4720" s="8">
        <f>DATE(2012,12,31)-516</f>
        <v>40758</v>
      </c>
      <c r="D4720" s="8" t="str">
        <f t="shared" si="86"/>
        <v>2011-08 (август 2011)</v>
      </c>
      <c r="E4720" s="9" t="s">
        <v>63</v>
      </c>
      <c r="F4720" s="7">
        <v>41</v>
      </c>
      <c r="G4720" s="7">
        <v>417.53</v>
      </c>
      <c r="H4720" s="7">
        <v>0.02</v>
      </c>
      <c r="I4720" s="9" t="s">
        <v>22</v>
      </c>
      <c r="J4720" s="10">
        <v>-309.06</v>
      </c>
      <c r="K4720" s="11">
        <v>9.98</v>
      </c>
      <c r="L4720" s="11">
        <v>12.52</v>
      </c>
      <c r="M4720" s="9" t="s">
        <v>1701</v>
      </c>
      <c r="N4720" s="6" t="s">
        <v>1813</v>
      </c>
      <c r="O4720" s="6" t="s">
        <v>512</v>
      </c>
      <c r="P4720" s="9" t="s">
        <v>60</v>
      </c>
      <c r="Q4720" s="9" t="s">
        <v>49</v>
      </c>
      <c r="R4720" s="9" t="s">
        <v>50</v>
      </c>
      <c r="S4720" s="7" t="s">
        <v>1346</v>
      </c>
      <c r="T4720" s="9" t="s">
        <v>39</v>
      </c>
      <c r="U4720" s="7">
        <v>0.56999999999999995</v>
      </c>
      <c r="V4720" s="12">
        <f>C4720+1</f>
        <v>40759</v>
      </c>
      <c r="W4720">
        <f>IF(D4720=' Pivot Tables'!$A$4,1,0)</f>
        <v>0</v>
      </c>
      <c r="X4720">
        <f>IF(AND(LEFT(D4720,4)+1=LEFT(' Pivot Tables'!$A$4,4)+0,RIGHT(LEFT(D4720,7),2)=RIGHT(LEFT(' Pivot Tables'!$A$4,7),2)),1,0)</f>
        <v>0</v>
      </c>
      <c r="Y4720" s="6">
        <f>1/COUNTIF(Таблица1[Order ID],Таблица1[[#This Row],[Order ID]])</f>
        <v>1</v>
      </c>
      <c r="Z4720" s="9">
        <f>1/COUNTIFS(Таблица1[Customer Name],Таблица1[[#This Row],[Customer Name]],Таблица1[Order-Year-Month],Таблица1[[#This Row],[Order-Year-Month]])</f>
        <v>1</v>
      </c>
    </row>
    <row r="4721" spans="1:26" x14ac:dyDescent="0.2">
      <c r="A4721" s="6">
        <v>8044</v>
      </c>
      <c r="B4721" s="7">
        <v>57475</v>
      </c>
      <c r="C4721" s="8">
        <f>DATE(2012,12,31)-819</f>
        <v>40455</v>
      </c>
      <c r="D4721" s="8" t="str">
        <f t="shared" si="86"/>
        <v>2010-10 (октябрь 2010)</v>
      </c>
      <c r="E4721" s="9" t="s">
        <v>21</v>
      </c>
      <c r="F4721" s="7">
        <v>32</v>
      </c>
      <c r="G4721" s="7">
        <v>167.07</v>
      </c>
      <c r="H4721" s="7">
        <v>0.04</v>
      </c>
      <c r="I4721" s="9" t="s">
        <v>22</v>
      </c>
      <c r="J4721" s="10">
        <v>-93.230499999999992</v>
      </c>
      <c r="K4721" s="11">
        <v>4.91</v>
      </c>
      <c r="L4721" s="11">
        <v>5.68</v>
      </c>
      <c r="M4721" s="9" t="s">
        <v>1701</v>
      </c>
      <c r="N4721" s="6" t="s">
        <v>1813</v>
      </c>
      <c r="O4721" s="6" t="s">
        <v>512</v>
      </c>
      <c r="P4721" s="9" t="s">
        <v>60</v>
      </c>
      <c r="Q4721" s="9" t="s">
        <v>26</v>
      </c>
      <c r="R4721" s="9" t="s">
        <v>37</v>
      </c>
      <c r="S4721" s="7" t="s">
        <v>1345</v>
      </c>
      <c r="T4721" s="9" t="s">
        <v>39</v>
      </c>
      <c r="U4721" s="7">
        <v>0.36</v>
      </c>
      <c r="V4721" s="12">
        <f>C4721+7</f>
        <v>40462</v>
      </c>
      <c r="W4721">
        <f>IF(D4721=' Pivot Tables'!$A$4,1,0)</f>
        <v>0</v>
      </c>
      <c r="X4721">
        <f>IF(AND(LEFT(D4721,4)+1=LEFT(' Pivot Tables'!$A$4,4)+0,RIGHT(LEFT(D4721,7),2)=RIGHT(LEFT(' Pivot Tables'!$A$4,7),2)),1,0)</f>
        <v>0</v>
      </c>
      <c r="Y4721" s="6">
        <f>1/COUNTIF(Таблица1[Order ID],Таблица1[[#This Row],[Order ID]])</f>
        <v>0.25</v>
      </c>
      <c r="Z4721" s="9">
        <f>1/COUNTIFS(Таблица1[Customer Name],Таблица1[[#This Row],[Customer Name]],Таблица1[Order-Year-Month],Таблица1[[#This Row],[Order-Year-Month]])</f>
        <v>0.25</v>
      </c>
    </row>
    <row r="4722" spans="1:26" x14ac:dyDescent="0.2">
      <c r="A4722" s="6">
        <v>8045</v>
      </c>
      <c r="B4722" s="7">
        <v>57475</v>
      </c>
      <c r="C4722" s="8">
        <f>DATE(2012,12,31)-819</f>
        <v>40455</v>
      </c>
      <c r="D4722" s="8" t="str">
        <f t="shared" si="86"/>
        <v>2010-10 (октябрь 2010)</v>
      </c>
      <c r="E4722" s="9" t="s">
        <v>21</v>
      </c>
      <c r="F4722" s="7">
        <v>34</v>
      </c>
      <c r="G4722" s="7">
        <v>554.88</v>
      </c>
      <c r="H4722" s="7">
        <v>0.06</v>
      </c>
      <c r="I4722" s="9" t="s">
        <v>22</v>
      </c>
      <c r="J4722" s="10">
        <v>-145.32550000000001</v>
      </c>
      <c r="K4722" s="11">
        <v>15.99</v>
      </c>
      <c r="L4722" s="11">
        <v>13.18</v>
      </c>
      <c r="M4722" s="9" t="s">
        <v>1701</v>
      </c>
      <c r="N4722" s="6" t="s">
        <v>1813</v>
      </c>
      <c r="O4722" s="6" t="s">
        <v>512</v>
      </c>
      <c r="P4722" s="9" t="s">
        <v>60</v>
      </c>
      <c r="Q4722" s="9" t="s">
        <v>26</v>
      </c>
      <c r="R4722" s="9" t="s">
        <v>37</v>
      </c>
      <c r="S4722" s="7" t="s">
        <v>92</v>
      </c>
      <c r="T4722" s="9" t="s">
        <v>39</v>
      </c>
      <c r="U4722" s="7">
        <v>0.37</v>
      </c>
      <c r="V4722" s="12">
        <f>C4722+0</f>
        <v>40455</v>
      </c>
      <c r="W4722">
        <f>IF(D4722=' Pivot Tables'!$A$4,1,0)</f>
        <v>0</v>
      </c>
      <c r="X4722">
        <f>IF(AND(LEFT(D4722,4)+1=LEFT(' Pivot Tables'!$A$4,4)+0,RIGHT(LEFT(D4722,7),2)=RIGHT(LEFT(' Pivot Tables'!$A$4,7),2)),1,0)</f>
        <v>0</v>
      </c>
      <c r="Y4722" s="6">
        <f>1/COUNTIF(Таблица1[Order ID],Таблица1[[#This Row],[Order ID]])</f>
        <v>0.25</v>
      </c>
      <c r="Z4722" s="9">
        <f>1/COUNTIFS(Таблица1[Customer Name],Таблица1[[#This Row],[Customer Name]],Таблица1[Order-Year-Month],Таблица1[[#This Row],[Order-Year-Month]])</f>
        <v>0.25</v>
      </c>
    </row>
    <row r="4723" spans="1:26" x14ac:dyDescent="0.2">
      <c r="A4723" s="6">
        <v>8046</v>
      </c>
      <c r="B4723" s="7">
        <v>57475</v>
      </c>
      <c r="C4723" s="8">
        <f>DATE(2012,12,31)-819</f>
        <v>40455</v>
      </c>
      <c r="D4723" s="8" t="str">
        <f t="shared" si="86"/>
        <v>2010-10 (октябрь 2010)</v>
      </c>
      <c r="E4723" s="9" t="s">
        <v>21</v>
      </c>
      <c r="F4723" s="7">
        <v>48</v>
      </c>
      <c r="G4723" s="7">
        <v>309.64999999999998</v>
      </c>
      <c r="H4723" s="7">
        <v>0.04</v>
      </c>
      <c r="I4723" s="9" t="s">
        <v>22</v>
      </c>
      <c r="J4723" s="10">
        <v>-79.81</v>
      </c>
      <c r="K4723" s="11">
        <v>6.54</v>
      </c>
      <c r="L4723" s="11">
        <v>5.27</v>
      </c>
      <c r="M4723" s="9" t="s">
        <v>1701</v>
      </c>
      <c r="N4723" s="6" t="s">
        <v>1813</v>
      </c>
      <c r="O4723" s="6" t="s">
        <v>512</v>
      </c>
      <c r="P4723" s="9" t="s">
        <v>60</v>
      </c>
      <c r="Q4723" s="9" t="s">
        <v>26</v>
      </c>
      <c r="R4723" s="9" t="s">
        <v>37</v>
      </c>
      <c r="S4723" s="7" t="s">
        <v>744</v>
      </c>
      <c r="T4723" s="9" t="s">
        <v>39</v>
      </c>
      <c r="U4723" s="7">
        <v>0.36</v>
      </c>
      <c r="V4723" s="12">
        <f>C4723+0</f>
        <v>40455</v>
      </c>
      <c r="W4723">
        <f>IF(D4723=' Pivot Tables'!$A$4,1,0)</f>
        <v>0</v>
      </c>
      <c r="X4723">
        <f>IF(AND(LEFT(D4723,4)+1=LEFT(' Pivot Tables'!$A$4,4)+0,RIGHT(LEFT(D4723,7),2)=RIGHT(LEFT(' Pivot Tables'!$A$4,7),2)),1,0)</f>
        <v>0</v>
      </c>
      <c r="Y4723" s="6">
        <f>1/COUNTIF(Таблица1[Order ID],Таблица1[[#This Row],[Order ID]])</f>
        <v>0.25</v>
      </c>
      <c r="Z4723" s="9">
        <f>1/COUNTIFS(Таблица1[Customer Name],Таблица1[[#This Row],[Customer Name]],Таблица1[Order-Year-Month],Таблица1[[#This Row],[Order-Year-Month]])</f>
        <v>0.25</v>
      </c>
    </row>
    <row r="4724" spans="1:26" x14ac:dyDescent="0.2">
      <c r="A4724" s="6">
        <v>8047</v>
      </c>
      <c r="B4724" s="7">
        <v>57475</v>
      </c>
      <c r="C4724" s="8">
        <f>DATE(2012,12,31)-819</f>
        <v>40455</v>
      </c>
      <c r="D4724" s="8" t="str">
        <f t="shared" si="86"/>
        <v>2010-10 (октябрь 2010)</v>
      </c>
      <c r="E4724" s="9" t="s">
        <v>21</v>
      </c>
      <c r="F4724" s="7">
        <v>24</v>
      </c>
      <c r="G4724" s="7">
        <v>152.37</v>
      </c>
      <c r="H4724" s="7">
        <v>0.09</v>
      </c>
      <c r="I4724" s="9" t="s">
        <v>22</v>
      </c>
      <c r="J4724" s="10">
        <v>-76.53</v>
      </c>
      <c r="K4724" s="11">
        <v>6.48</v>
      </c>
      <c r="L4724" s="11">
        <v>6.6</v>
      </c>
      <c r="M4724" s="9" t="s">
        <v>1701</v>
      </c>
      <c r="N4724" s="6" t="s">
        <v>1813</v>
      </c>
      <c r="O4724" s="6" t="s">
        <v>512</v>
      </c>
      <c r="P4724" s="9" t="s">
        <v>60</v>
      </c>
      <c r="Q4724" s="9" t="s">
        <v>26</v>
      </c>
      <c r="R4724" s="9" t="s">
        <v>61</v>
      </c>
      <c r="S4724" s="7" t="s">
        <v>346</v>
      </c>
      <c r="T4724" s="9" t="s">
        <v>39</v>
      </c>
      <c r="U4724" s="7">
        <v>0.37</v>
      </c>
      <c r="V4724" s="12">
        <f>C4724+2</f>
        <v>40457</v>
      </c>
      <c r="W4724">
        <f>IF(D4724=' Pivot Tables'!$A$4,1,0)</f>
        <v>0</v>
      </c>
      <c r="X4724">
        <f>IF(AND(LEFT(D4724,4)+1=LEFT(' Pivot Tables'!$A$4,4)+0,RIGHT(LEFT(D4724,7),2)=RIGHT(LEFT(' Pivot Tables'!$A$4,7),2)),1,0)</f>
        <v>0</v>
      </c>
      <c r="Y4724" s="6">
        <f>1/COUNTIF(Таблица1[Order ID],Таблица1[[#This Row],[Order ID]])</f>
        <v>0.25</v>
      </c>
      <c r="Z4724" s="9">
        <f>1/COUNTIFS(Таблица1[Customer Name],Таблица1[[#This Row],[Customer Name]],Таблица1[Order-Year-Month],Таблица1[[#This Row],[Order-Year-Month]])</f>
        <v>0.25</v>
      </c>
    </row>
    <row r="4725" spans="1:26" x14ac:dyDescent="0.2">
      <c r="A4725" s="6">
        <v>8062</v>
      </c>
      <c r="B4725" s="7">
        <v>57537</v>
      </c>
      <c r="C4725" s="8">
        <f>DATE(2012,12,31)-104</f>
        <v>41170</v>
      </c>
      <c r="D4725" s="8" t="str">
        <f t="shared" si="86"/>
        <v>2012-09 (сентябрь 2012)</v>
      </c>
      <c r="E4725" s="9" t="s">
        <v>63</v>
      </c>
      <c r="F4725" s="7">
        <v>13</v>
      </c>
      <c r="G4725" s="7">
        <v>76.38</v>
      </c>
      <c r="H4725" s="7">
        <v>0.03</v>
      </c>
      <c r="I4725" s="9" t="s">
        <v>56</v>
      </c>
      <c r="J4725" s="10">
        <v>-29.693000000000001</v>
      </c>
      <c r="K4725" s="11">
        <v>4.82</v>
      </c>
      <c r="L4725" s="11">
        <v>5.24</v>
      </c>
      <c r="M4725" s="9" t="s">
        <v>1816</v>
      </c>
      <c r="N4725" s="6" t="s">
        <v>1813</v>
      </c>
      <c r="O4725" s="6" t="s">
        <v>512</v>
      </c>
      <c r="P4725" s="9" t="s">
        <v>60</v>
      </c>
      <c r="Q4725" s="9" t="s">
        <v>26</v>
      </c>
      <c r="R4725" s="9" t="s">
        <v>37</v>
      </c>
      <c r="S4725" s="7" t="s">
        <v>1683</v>
      </c>
      <c r="T4725" s="9" t="s">
        <v>39</v>
      </c>
      <c r="U4725" s="7">
        <v>0.39</v>
      </c>
      <c r="V4725" s="12">
        <f>C4725+1</f>
        <v>41171</v>
      </c>
      <c r="W4725">
        <f>IF(D4725=' Pivot Tables'!$A$4,1,0)</f>
        <v>0</v>
      </c>
      <c r="X4725">
        <f>IF(AND(LEFT(D4725,4)+1=LEFT(' Pivot Tables'!$A$4,4)+0,RIGHT(LEFT(D4725,7),2)=RIGHT(LEFT(' Pivot Tables'!$A$4,7),2)),1,0)</f>
        <v>0</v>
      </c>
      <c r="Y4725" s="6">
        <f>1/COUNTIF(Таблица1[Order ID],Таблица1[[#This Row],[Order ID]])</f>
        <v>0.33333333333333331</v>
      </c>
      <c r="Z4725" s="9">
        <f>1/COUNTIFS(Таблица1[Customer Name],Таблица1[[#This Row],[Customer Name]],Таблица1[Order-Year-Month],Таблица1[[#This Row],[Order-Year-Month]])</f>
        <v>0.33333333333333331</v>
      </c>
    </row>
    <row r="4726" spans="1:26" x14ac:dyDescent="0.2">
      <c r="A4726" s="6">
        <v>8063</v>
      </c>
      <c r="B4726" s="7">
        <v>57537</v>
      </c>
      <c r="C4726" s="8">
        <f>DATE(2012,12,31)-104</f>
        <v>41170</v>
      </c>
      <c r="D4726" s="8" t="str">
        <f t="shared" si="86"/>
        <v>2012-09 (сентябрь 2012)</v>
      </c>
      <c r="E4726" s="9" t="s">
        <v>63</v>
      </c>
      <c r="F4726" s="7">
        <v>29</v>
      </c>
      <c r="G4726" s="7">
        <v>2948.63</v>
      </c>
      <c r="H4726" s="7">
        <v>0.05</v>
      </c>
      <c r="I4726" s="9" t="s">
        <v>22</v>
      </c>
      <c r="J4726" s="10">
        <v>888.62</v>
      </c>
      <c r="K4726" s="11">
        <v>100.97</v>
      </c>
      <c r="L4726" s="11">
        <v>7.18</v>
      </c>
      <c r="M4726" s="9" t="s">
        <v>1816</v>
      </c>
      <c r="N4726" s="6" t="s">
        <v>1813</v>
      </c>
      <c r="O4726" s="6" t="s">
        <v>512</v>
      </c>
      <c r="P4726" s="9" t="s">
        <v>60</v>
      </c>
      <c r="Q4726" s="9" t="s">
        <v>42</v>
      </c>
      <c r="R4726" s="9" t="s">
        <v>70</v>
      </c>
      <c r="S4726" s="7" t="s">
        <v>1078</v>
      </c>
      <c r="T4726" s="9" t="s">
        <v>39</v>
      </c>
      <c r="U4726" s="7">
        <v>0.46</v>
      </c>
      <c r="V4726" s="12">
        <f>C4726+1</f>
        <v>41171</v>
      </c>
      <c r="W4726">
        <f>IF(D4726=' Pivot Tables'!$A$4,1,0)</f>
        <v>0</v>
      </c>
      <c r="X4726">
        <f>IF(AND(LEFT(D4726,4)+1=LEFT(' Pivot Tables'!$A$4,4)+0,RIGHT(LEFT(D4726,7),2)=RIGHT(LEFT(' Pivot Tables'!$A$4,7),2)),1,0)</f>
        <v>0</v>
      </c>
      <c r="Y4726" s="6">
        <f>1/COUNTIF(Таблица1[Order ID],Таблица1[[#This Row],[Order ID]])</f>
        <v>0.33333333333333331</v>
      </c>
      <c r="Z4726" s="9">
        <f>1/COUNTIFS(Таблица1[Customer Name],Таблица1[[#This Row],[Customer Name]],Таблица1[Order-Year-Month],Таблица1[[#This Row],[Order-Year-Month]])</f>
        <v>0.33333333333333331</v>
      </c>
    </row>
    <row r="4727" spans="1:26" x14ac:dyDescent="0.2">
      <c r="A4727" s="6">
        <v>8064</v>
      </c>
      <c r="B4727" s="7">
        <v>57537</v>
      </c>
      <c r="C4727" s="8">
        <f>DATE(2012,12,31)-104</f>
        <v>41170</v>
      </c>
      <c r="D4727" s="8" t="str">
        <f t="shared" si="86"/>
        <v>2012-09 (сентябрь 2012)</v>
      </c>
      <c r="E4727" s="9" t="s">
        <v>63</v>
      </c>
      <c r="F4727" s="7">
        <v>4</v>
      </c>
      <c r="G4727" s="7">
        <v>18.329999999999998</v>
      </c>
      <c r="H4727" s="7">
        <v>0.09</v>
      </c>
      <c r="I4727" s="9" t="s">
        <v>22</v>
      </c>
      <c r="J4727" s="10">
        <v>-7.08</v>
      </c>
      <c r="K4727" s="11">
        <v>3.98</v>
      </c>
      <c r="L4727" s="11">
        <v>2.97</v>
      </c>
      <c r="M4727" s="9" t="s">
        <v>1816</v>
      </c>
      <c r="N4727" s="6" t="s">
        <v>1813</v>
      </c>
      <c r="O4727" s="6" t="s">
        <v>512</v>
      </c>
      <c r="P4727" s="9" t="s">
        <v>60</v>
      </c>
      <c r="Q4727" s="9" t="s">
        <v>26</v>
      </c>
      <c r="R4727" s="9" t="s">
        <v>61</v>
      </c>
      <c r="S4727" s="7" t="s">
        <v>134</v>
      </c>
      <c r="T4727" s="9" t="s">
        <v>68</v>
      </c>
      <c r="U4727" s="7">
        <v>0.35</v>
      </c>
      <c r="V4727" s="12">
        <f>C4727+0</f>
        <v>41170</v>
      </c>
      <c r="W4727">
        <f>IF(D4727=' Pivot Tables'!$A$4,1,0)</f>
        <v>0</v>
      </c>
      <c r="X4727">
        <f>IF(AND(LEFT(D4727,4)+1=LEFT(' Pivot Tables'!$A$4,4)+0,RIGHT(LEFT(D4727,7),2)=RIGHT(LEFT(' Pivot Tables'!$A$4,7),2)),1,0)</f>
        <v>0</v>
      </c>
      <c r="Y4727" s="6">
        <f>1/COUNTIF(Таблица1[Order ID],Таблица1[[#This Row],[Order ID]])</f>
        <v>0.33333333333333331</v>
      </c>
      <c r="Z4727" s="9">
        <f>1/COUNTIFS(Таблица1[Customer Name],Таблица1[[#This Row],[Customer Name]],Таблица1[Order-Year-Month],Таблица1[[#This Row],[Order-Year-Month]])</f>
        <v>0.33333333333333331</v>
      </c>
    </row>
    <row r="4728" spans="1:26" x14ac:dyDescent="0.2">
      <c r="A4728" s="6">
        <v>8087</v>
      </c>
      <c r="B4728" s="7">
        <v>57698</v>
      </c>
      <c r="C4728" s="8">
        <f>DATE(2012,12,31)-360</f>
        <v>40914</v>
      </c>
      <c r="D4728" s="8" t="str">
        <f t="shared" si="86"/>
        <v>2012-01 (январь 2012)</v>
      </c>
      <c r="E4728" s="9" t="s">
        <v>78</v>
      </c>
      <c r="F4728" s="7">
        <v>10</v>
      </c>
      <c r="G4728" s="7">
        <v>86</v>
      </c>
      <c r="H4728" s="7">
        <v>0.05</v>
      </c>
      <c r="I4728" s="9" t="s">
        <v>22</v>
      </c>
      <c r="J4728" s="10">
        <v>-66.91</v>
      </c>
      <c r="K4728" s="11">
        <v>7.77</v>
      </c>
      <c r="L4728" s="11">
        <v>9.23</v>
      </c>
      <c r="M4728" s="9" t="s">
        <v>1816</v>
      </c>
      <c r="N4728" s="6" t="s">
        <v>1813</v>
      </c>
      <c r="O4728" s="6" t="s">
        <v>512</v>
      </c>
      <c r="P4728" s="9" t="s">
        <v>60</v>
      </c>
      <c r="Q4728" s="9" t="s">
        <v>26</v>
      </c>
      <c r="R4728" s="9" t="s">
        <v>34</v>
      </c>
      <c r="S4728" s="7" t="s">
        <v>1386</v>
      </c>
      <c r="T4728" s="9" t="s">
        <v>39</v>
      </c>
      <c r="U4728" s="7">
        <v>0.57999999999999996</v>
      </c>
      <c r="V4728" s="12">
        <f>C4728+1</f>
        <v>40915</v>
      </c>
      <c r="W4728">
        <f>IF(D4728=' Pivot Tables'!$A$4,1,0)</f>
        <v>0</v>
      </c>
      <c r="X4728">
        <f>IF(AND(LEFT(D4728,4)+1=LEFT(' Pivot Tables'!$A$4,4)+0,RIGHT(LEFT(D4728,7),2)=RIGHT(LEFT(' Pivot Tables'!$A$4,7),2)),1,0)</f>
        <v>0</v>
      </c>
      <c r="Y4728" s="6">
        <f>1/COUNTIF(Таблица1[Order ID],Таблица1[[#This Row],[Order ID]])</f>
        <v>0.5</v>
      </c>
      <c r="Z4728" s="9">
        <f>1/COUNTIFS(Таблица1[Customer Name],Таблица1[[#This Row],[Customer Name]],Таблица1[Order-Year-Month],Таблица1[[#This Row],[Order-Year-Month]])</f>
        <v>0.5</v>
      </c>
    </row>
    <row r="4729" spans="1:26" x14ac:dyDescent="0.2">
      <c r="A4729" s="6">
        <v>8088</v>
      </c>
      <c r="B4729" s="7">
        <v>57698</v>
      </c>
      <c r="C4729" s="8">
        <f>DATE(2012,12,31)-360</f>
        <v>40914</v>
      </c>
      <c r="D4729" s="8" t="str">
        <f t="shared" si="86"/>
        <v>2012-01 (январь 2012)</v>
      </c>
      <c r="E4729" s="9" t="s">
        <v>78</v>
      </c>
      <c r="F4729" s="7">
        <v>13</v>
      </c>
      <c r="G4729" s="7">
        <v>4805.3599999999997</v>
      </c>
      <c r="H4729" s="7">
        <v>0.04</v>
      </c>
      <c r="I4729" s="9" t="s">
        <v>22</v>
      </c>
      <c r="J4729" s="10">
        <v>1127.31</v>
      </c>
      <c r="K4729" s="11">
        <v>363.25</v>
      </c>
      <c r="L4729" s="11">
        <v>19.989999999999998</v>
      </c>
      <c r="M4729" s="9" t="s">
        <v>1816</v>
      </c>
      <c r="N4729" s="6" t="s">
        <v>1813</v>
      </c>
      <c r="O4729" s="6" t="s">
        <v>512</v>
      </c>
      <c r="P4729" s="9" t="s">
        <v>60</v>
      </c>
      <c r="Q4729" s="9" t="s">
        <v>26</v>
      </c>
      <c r="R4729" s="9" t="s">
        <v>34</v>
      </c>
      <c r="S4729" s="7" t="s">
        <v>589</v>
      </c>
      <c r="T4729" s="9" t="s">
        <v>39</v>
      </c>
      <c r="U4729" s="7">
        <v>0.56999999999999995</v>
      </c>
      <c r="V4729" s="12">
        <f>C4729+2</f>
        <v>40916</v>
      </c>
      <c r="W4729">
        <f>IF(D4729=' Pivot Tables'!$A$4,1,0)</f>
        <v>0</v>
      </c>
      <c r="X4729">
        <f>IF(AND(LEFT(D4729,4)+1=LEFT(' Pivot Tables'!$A$4,4)+0,RIGHT(LEFT(D4729,7),2)=RIGHT(LEFT(' Pivot Tables'!$A$4,7),2)),1,0)</f>
        <v>0</v>
      </c>
      <c r="Y4729" s="6">
        <f>1/COUNTIF(Таблица1[Order ID],Таблица1[[#This Row],[Order ID]])</f>
        <v>0.5</v>
      </c>
      <c r="Z4729" s="9">
        <f>1/COUNTIFS(Таблица1[Customer Name],Таблица1[[#This Row],[Customer Name]],Таблица1[Order-Year-Month],Таблица1[[#This Row],[Order-Year-Month]])</f>
        <v>0.5</v>
      </c>
    </row>
    <row r="4730" spans="1:26" x14ac:dyDescent="0.2">
      <c r="A4730" s="6">
        <v>8143</v>
      </c>
      <c r="B4730" s="7">
        <v>58241</v>
      </c>
      <c r="C4730" s="8">
        <f>DATE(2012,12,31)-846</f>
        <v>40428</v>
      </c>
      <c r="D4730" s="8" t="str">
        <f t="shared" si="86"/>
        <v>2010-09 (сентябрь 2010)</v>
      </c>
      <c r="E4730" s="9" t="s">
        <v>78</v>
      </c>
      <c r="F4730" s="7">
        <v>36</v>
      </c>
      <c r="G4730" s="7">
        <v>146.71</v>
      </c>
      <c r="H4730" s="7">
        <v>0.01</v>
      </c>
      <c r="I4730" s="9" t="s">
        <v>22</v>
      </c>
      <c r="J4730" s="10">
        <v>38.630000000000003</v>
      </c>
      <c r="K4730" s="11">
        <v>4</v>
      </c>
      <c r="L4730" s="11">
        <v>1.3</v>
      </c>
      <c r="M4730" s="9" t="s">
        <v>1816</v>
      </c>
      <c r="N4730" s="6" t="s">
        <v>1813</v>
      </c>
      <c r="O4730" s="6" t="s">
        <v>512</v>
      </c>
      <c r="P4730" s="9" t="s">
        <v>60</v>
      </c>
      <c r="Q4730" s="9" t="s">
        <v>26</v>
      </c>
      <c r="R4730" s="9" t="s">
        <v>61</v>
      </c>
      <c r="S4730" s="7" t="s">
        <v>1209</v>
      </c>
      <c r="T4730" s="9" t="s">
        <v>68</v>
      </c>
      <c r="U4730" s="7">
        <v>0.37</v>
      </c>
      <c r="V4730" s="12">
        <f>C4730+1</f>
        <v>40429</v>
      </c>
      <c r="W4730">
        <f>IF(D4730=' Pivot Tables'!$A$4,1,0)</f>
        <v>0</v>
      </c>
      <c r="X4730">
        <f>IF(AND(LEFT(D4730,4)+1=LEFT(' Pivot Tables'!$A$4,4)+0,RIGHT(LEFT(D4730,7),2)=RIGHT(LEFT(' Pivot Tables'!$A$4,7),2)),1,0)</f>
        <v>0</v>
      </c>
      <c r="Y4730" s="6">
        <f>1/COUNTIF(Таблица1[Order ID],Таблица1[[#This Row],[Order ID]])</f>
        <v>0.5</v>
      </c>
      <c r="Z4730" s="9">
        <f>1/COUNTIFS(Таблица1[Customer Name],Таблица1[[#This Row],[Customer Name]],Таблица1[Order-Year-Month],Таблица1[[#This Row],[Order-Year-Month]])</f>
        <v>0.16666666666666666</v>
      </c>
    </row>
    <row r="4731" spans="1:26" x14ac:dyDescent="0.2">
      <c r="A4731" s="6">
        <v>8144</v>
      </c>
      <c r="B4731" s="7">
        <v>58241</v>
      </c>
      <c r="C4731" s="8">
        <f>DATE(2012,12,31)-846</f>
        <v>40428</v>
      </c>
      <c r="D4731" s="8" t="str">
        <f t="shared" si="86"/>
        <v>2010-09 (сентябрь 2010)</v>
      </c>
      <c r="E4731" s="9" t="s">
        <v>78</v>
      </c>
      <c r="F4731" s="7">
        <v>36</v>
      </c>
      <c r="G4731" s="7">
        <v>475.92</v>
      </c>
      <c r="H4731" s="7">
        <v>0.05</v>
      </c>
      <c r="I4731" s="9" t="s">
        <v>22</v>
      </c>
      <c r="J4731" s="10">
        <v>-95.3</v>
      </c>
      <c r="K4731" s="11">
        <v>12.88</v>
      </c>
      <c r="L4731" s="11">
        <v>4.59</v>
      </c>
      <c r="M4731" s="9" t="s">
        <v>1816</v>
      </c>
      <c r="N4731" s="6" t="s">
        <v>1813</v>
      </c>
      <c r="O4731" s="6" t="s">
        <v>512</v>
      </c>
      <c r="P4731" s="9" t="s">
        <v>60</v>
      </c>
      <c r="Q4731" s="9" t="s">
        <v>26</v>
      </c>
      <c r="R4731" s="9" t="s">
        <v>150</v>
      </c>
      <c r="S4731" s="7" t="s">
        <v>557</v>
      </c>
      <c r="T4731" s="9" t="s">
        <v>68</v>
      </c>
      <c r="U4731" s="7">
        <v>0.82</v>
      </c>
      <c r="V4731" s="12">
        <f>C4731+1</f>
        <v>40429</v>
      </c>
      <c r="W4731">
        <f>IF(D4731=' Pivot Tables'!$A$4,1,0)</f>
        <v>0</v>
      </c>
      <c r="X4731">
        <f>IF(AND(LEFT(D4731,4)+1=LEFT(' Pivot Tables'!$A$4,4)+0,RIGHT(LEFT(D4731,7),2)=RIGHT(LEFT(' Pivot Tables'!$A$4,7),2)),1,0)</f>
        <v>0</v>
      </c>
      <c r="Y4731" s="6">
        <f>1/COUNTIF(Таблица1[Order ID],Таблица1[[#This Row],[Order ID]])</f>
        <v>0.5</v>
      </c>
      <c r="Z4731" s="9">
        <f>1/COUNTIFS(Таблица1[Customer Name],Таблица1[[#This Row],[Customer Name]],Таблица1[Order-Year-Month],Таблица1[[#This Row],[Order-Year-Month]])</f>
        <v>0.16666666666666666</v>
      </c>
    </row>
    <row r="4732" spans="1:26" x14ac:dyDescent="0.2">
      <c r="A4732" s="6">
        <v>16</v>
      </c>
      <c r="B4732" s="7">
        <v>96</v>
      </c>
      <c r="C4732" s="8">
        <f>DATE(2012,12,31)-1355</f>
        <v>39919</v>
      </c>
      <c r="D4732" s="8" t="str">
        <f t="shared" si="86"/>
        <v>2009-04 (апрель 2009)</v>
      </c>
      <c r="E4732" s="9" t="s">
        <v>30</v>
      </c>
      <c r="F4732" s="7">
        <v>37</v>
      </c>
      <c r="G4732" s="7">
        <v>4158.1234999999997</v>
      </c>
      <c r="H4732" s="7">
        <v>0.01</v>
      </c>
      <c r="I4732" s="9" t="s">
        <v>22</v>
      </c>
      <c r="J4732" s="10">
        <v>1228.8870000000002</v>
      </c>
      <c r="K4732" s="11">
        <v>125.99</v>
      </c>
      <c r="L4732" s="11">
        <v>8.99</v>
      </c>
      <c r="M4732" s="9" t="s">
        <v>1825</v>
      </c>
      <c r="N4732" s="6" t="s">
        <v>672</v>
      </c>
      <c r="O4732" s="6" t="s">
        <v>673</v>
      </c>
      <c r="P4732" s="9" t="s">
        <v>60</v>
      </c>
      <c r="Q4732" s="9" t="s">
        <v>42</v>
      </c>
      <c r="R4732" s="9" t="s">
        <v>43</v>
      </c>
      <c r="S4732" s="7" t="s">
        <v>802</v>
      </c>
      <c r="T4732" s="9" t="s">
        <v>39</v>
      </c>
      <c r="U4732" s="7">
        <v>0.55000000000000004</v>
      </c>
      <c r="V4732" s="12">
        <f t="shared" ref="V4732:V4737" si="87">C4732+2</f>
        <v>39921</v>
      </c>
      <c r="W4732">
        <f>IF(D4732=' Pivot Tables'!$A$4,1,0)</f>
        <v>0</v>
      </c>
      <c r="X4732">
        <f>IF(AND(LEFT(D4732,4)+1=LEFT(' Pivot Tables'!$A$4,4)+0,RIGHT(LEFT(D4732,7),2)=RIGHT(LEFT(' Pivot Tables'!$A$4,7),2)),1,0)</f>
        <v>0</v>
      </c>
      <c r="Y4732" s="6">
        <f>1/COUNTIF(Таблица1[Order ID],Таблица1[[#This Row],[Order ID]])</f>
        <v>1</v>
      </c>
      <c r="Z4732" s="9">
        <f>1/COUNTIFS(Таблица1[Customer Name],Таблица1[[#This Row],[Customer Name]],Таблица1[Order-Year-Month],Таблица1[[#This Row],[Order-Year-Month]])</f>
        <v>1</v>
      </c>
    </row>
    <row r="4733" spans="1:26" x14ac:dyDescent="0.2">
      <c r="A4733" s="6">
        <v>93</v>
      </c>
      <c r="B4733" s="7">
        <v>610</v>
      </c>
      <c r="C4733" s="8">
        <f>DATE(2012,12,31)-518</f>
        <v>40756</v>
      </c>
      <c r="D4733" s="8" t="str">
        <f t="shared" si="86"/>
        <v>2011-08 (август 2011)</v>
      </c>
      <c r="E4733" s="9" t="s">
        <v>78</v>
      </c>
      <c r="F4733" s="7">
        <v>38</v>
      </c>
      <c r="G4733" s="7">
        <v>283.64999999999998</v>
      </c>
      <c r="H4733" s="7">
        <v>0.02</v>
      </c>
      <c r="I4733" s="9" t="s">
        <v>56</v>
      </c>
      <c r="J4733" s="10">
        <v>-29.21</v>
      </c>
      <c r="K4733" s="11">
        <v>6.68</v>
      </c>
      <c r="L4733" s="11">
        <v>5.41</v>
      </c>
      <c r="M4733" s="9" t="s">
        <v>1826</v>
      </c>
      <c r="N4733" s="6" t="s">
        <v>672</v>
      </c>
      <c r="O4733" s="6" t="s">
        <v>673</v>
      </c>
      <c r="P4733" s="9" t="s">
        <v>60</v>
      </c>
      <c r="Q4733" s="9" t="s">
        <v>26</v>
      </c>
      <c r="R4733" s="9" t="s">
        <v>61</v>
      </c>
      <c r="S4733" s="7" t="s">
        <v>1827</v>
      </c>
      <c r="T4733" s="9" t="s">
        <v>39</v>
      </c>
      <c r="U4733" s="7">
        <v>0.37</v>
      </c>
      <c r="V4733" s="12">
        <f t="shared" si="87"/>
        <v>40758</v>
      </c>
      <c r="W4733">
        <f>IF(D4733=' Pivot Tables'!$A$4,1,0)</f>
        <v>0</v>
      </c>
      <c r="X4733">
        <f>IF(AND(LEFT(D4733,4)+1=LEFT(' Pivot Tables'!$A$4,4)+0,RIGHT(LEFT(D4733,7),2)=RIGHT(LEFT(' Pivot Tables'!$A$4,7),2)),1,0)</f>
        <v>0</v>
      </c>
      <c r="Y4733" s="6">
        <f>1/COUNTIF(Таблица1[Order ID],Таблица1[[#This Row],[Order ID]])</f>
        <v>1</v>
      </c>
      <c r="Z4733" s="9">
        <f>1/COUNTIFS(Таблица1[Customer Name],Таблица1[[#This Row],[Customer Name]],Таблица1[Order-Year-Month],Таблица1[[#This Row],[Order-Year-Month]])</f>
        <v>1</v>
      </c>
    </row>
    <row r="4734" spans="1:26" x14ac:dyDescent="0.2">
      <c r="A4734" s="6">
        <v>95</v>
      </c>
      <c r="B4734" s="7">
        <v>612</v>
      </c>
      <c r="C4734" s="8">
        <f>DATE(2012,12,31)-72</f>
        <v>41202</v>
      </c>
      <c r="D4734" s="8" t="str">
        <f t="shared" si="86"/>
        <v>2012-10 (октябрь 2012)</v>
      </c>
      <c r="E4734" s="9" t="s">
        <v>63</v>
      </c>
      <c r="F4734" s="7">
        <v>50</v>
      </c>
      <c r="G4734" s="7">
        <v>262.87</v>
      </c>
      <c r="H4734" s="7">
        <v>0.1</v>
      </c>
      <c r="I4734" s="9" t="s">
        <v>22</v>
      </c>
      <c r="J4734" s="10">
        <v>-166.29</v>
      </c>
      <c r="K4734" s="11">
        <v>5.28</v>
      </c>
      <c r="L4734" s="11">
        <v>6.26</v>
      </c>
      <c r="M4734" s="9" t="s">
        <v>1673</v>
      </c>
      <c r="N4734" s="6" t="s">
        <v>672</v>
      </c>
      <c r="O4734" s="6" t="s">
        <v>673</v>
      </c>
      <c r="P4734" s="9" t="s">
        <v>41</v>
      </c>
      <c r="Q4734" s="9" t="s">
        <v>26</v>
      </c>
      <c r="R4734" s="9" t="s">
        <v>61</v>
      </c>
      <c r="S4734" s="7" t="s">
        <v>580</v>
      </c>
      <c r="T4734" s="9" t="s">
        <v>39</v>
      </c>
      <c r="U4734" s="7">
        <v>0.4</v>
      </c>
      <c r="V4734" s="12">
        <f t="shared" si="87"/>
        <v>41204</v>
      </c>
      <c r="W4734">
        <f>IF(D4734=' Pivot Tables'!$A$4,1,0)</f>
        <v>0</v>
      </c>
      <c r="X4734">
        <f>IF(AND(LEFT(D4734,4)+1=LEFT(' Pivot Tables'!$A$4,4)+0,RIGHT(LEFT(D4734,7),2)=RIGHT(LEFT(' Pivot Tables'!$A$4,7),2)),1,0)</f>
        <v>0</v>
      </c>
      <c r="Y4734" s="6">
        <f>1/COUNTIF(Таблица1[Order ID],Таблица1[[#This Row],[Order ID]])</f>
        <v>0.5</v>
      </c>
      <c r="Z4734" s="9">
        <f>1/COUNTIFS(Таблица1[Customer Name],Таблица1[[#This Row],[Customer Name]],Таблица1[Order-Year-Month],Таблица1[[#This Row],[Order-Year-Month]])</f>
        <v>0.5</v>
      </c>
    </row>
    <row r="4735" spans="1:26" x14ac:dyDescent="0.2">
      <c r="A4735" s="6">
        <v>96</v>
      </c>
      <c r="B4735" s="7">
        <v>612</v>
      </c>
      <c r="C4735" s="8">
        <f>DATE(2012,12,31)-72</f>
        <v>41202</v>
      </c>
      <c r="D4735" s="8" t="str">
        <f t="shared" si="86"/>
        <v>2012-10 (октябрь 2012)</v>
      </c>
      <c r="E4735" s="9" t="s">
        <v>63</v>
      </c>
      <c r="F4735" s="7">
        <v>43</v>
      </c>
      <c r="G4735" s="7">
        <v>2531.0875000000001</v>
      </c>
      <c r="H4735" s="7">
        <v>0.01</v>
      </c>
      <c r="I4735" s="9" t="s">
        <v>22</v>
      </c>
      <c r="J4735" s="10">
        <v>881.67599999999993</v>
      </c>
      <c r="K4735" s="11">
        <v>65.989999999999995</v>
      </c>
      <c r="L4735" s="11">
        <v>2.5</v>
      </c>
      <c r="M4735" s="9" t="s">
        <v>1673</v>
      </c>
      <c r="N4735" s="6" t="s">
        <v>672</v>
      </c>
      <c r="O4735" s="6" t="s">
        <v>673</v>
      </c>
      <c r="P4735" s="9" t="s">
        <v>41</v>
      </c>
      <c r="Q4735" s="9" t="s">
        <v>42</v>
      </c>
      <c r="R4735" s="9" t="s">
        <v>43</v>
      </c>
      <c r="S4735" s="7" t="s">
        <v>757</v>
      </c>
      <c r="T4735" s="9" t="s">
        <v>39</v>
      </c>
      <c r="U4735" s="7">
        <v>0.55000000000000004</v>
      </c>
      <c r="V4735" s="12">
        <f t="shared" si="87"/>
        <v>41204</v>
      </c>
      <c r="W4735">
        <f>IF(D4735=' Pivot Tables'!$A$4,1,0)</f>
        <v>0</v>
      </c>
      <c r="X4735">
        <f>IF(AND(LEFT(D4735,4)+1=LEFT(' Pivot Tables'!$A$4,4)+0,RIGHT(LEFT(D4735,7),2)=RIGHT(LEFT(' Pivot Tables'!$A$4,7),2)),1,0)</f>
        <v>0</v>
      </c>
      <c r="Y4735" s="6">
        <f>1/COUNTIF(Таблица1[Order ID],Таблица1[[#This Row],[Order ID]])</f>
        <v>0.5</v>
      </c>
      <c r="Z4735" s="9">
        <f>1/COUNTIFS(Таблица1[Customer Name],Таблица1[[#This Row],[Customer Name]],Таблица1[Order-Year-Month],Таблица1[[#This Row],[Order-Year-Month]])</f>
        <v>0.5</v>
      </c>
    </row>
    <row r="4736" spans="1:26" x14ac:dyDescent="0.2">
      <c r="A4736" s="6">
        <v>216</v>
      </c>
      <c r="B4736" s="7">
        <v>1440</v>
      </c>
      <c r="C4736" s="8">
        <f>DATE(2012,12,31)-510</f>
        <v>40764</v>
      </c>
      <c r="D4736" s="8" t="str">
        <f t="shared" si="86"/>
        <v>2011-08 (август 2011)</v>
      </c>
      <c r="E4736" s="9" t="s">
        <v>21</v>
      </c>
      <c r="F4736" s="7">
        <v>41</v>
      </c>
      <c r="G4736" s="7">
        <v>726.22</v>
      </c>
      <c r="H4736" s="7">
        <v>0.01</v>
      </c>
      <c r="I4736" s="9" t="s">
        <v>22</v>
      </c>
      <c r="J4736" s="10">
        <v>52.47</v>
      </c>
      <c r="K4736" s="11">
        <v>17.670000000000002</v>
      </c>
      <c r="L4736" s="11">
        <v>8.99</v>
      </c>
      <c r="M4736" s="9" t="s">
        <v>1828</v>
      </c>
      <c r="N4736" s="6" t="s">
        <v>672</v>
      </c>
      <c r="O4736" s="6" t="s">
        <v>673</v>
      </c>
      <c r="P4736" s="9" t="s">
        <v>25</v>
      </c>
      <c r="Q4736" s="9" t="s">
        <v>49</v>
      </c>
      <c r="R4736" s="9" t="s">
        <v>50</v>
      </c>
      <c r="S4736" s="7" t="s">
        <v>763</v>
      </c>
      <c r="T4736" s="9" t="s">
        <v>52</v>
      </c>
      <c r="U4736" s="7">
        <v>0.47</v>
      </c>
      <c r="V4736" s="12">
        <f t="shared" si="87"/>
        <v>40766</v>
      </c>
      <c r="W4736">
        <f>IF(D4736=' Pivot Tables'!$A$4,1,0)</f>
        <v>0</v>
      </c>
      <c r="X4736">
        <f>IF(AND(LEFT(D4736,4)+1=LEFT(' Pivot Tables'!$A$4,4)+0,RIGHT(LEFT(D4736,7),2)=RIGHT(LEFT(' Pivot Tables'!$A$4,7),2)),1,0)</f>
        <v>0</v>
      </c>
      <c r="Y4736" s="6">
        <f>1/COUNTIF(Таблица1[Order ID],Таблица1[[#This Row],[Order ID]])</f>
        <v>1</v>
      </c>
      <c r="Z4736" s="9">
        <f>1/COUNTIFS(Таблица1[Customer Name],Таблица1[[#This Row],[Customer Name]],Таблица1[Order-Year-Month],Таблица1[[#This Row],[Order-Year-Month]])</f>
        <v>1</v>
      </c>
    </row>
    <row r="4737" spans="1:26" x14ac:dyDescent="0.2">
      <c r="A4737" s="6">
        <v>553</v>
      </c>
      <c r="B4737" s="7">
        <v>3749</v>
      </c>
      <c r="C4737" s="8">
        <f>DATE(2012,12,31)-677</f>
        <v>40597</v>
      </c>
      <c r="D4737" s="8" t="str">
        <f t="shared" si="86"/>
        <v>2011-02 (февраль 2011)</v>
      </c>
      <c r="E4737" s="9" t="s">
        <v>63</v>
      </c>
      <c r="F4737" s="7">
        <v>27</v>
      </c>
      <c r="G4737" s="7">
        <v>353.62</v>
      </c>
      <c r="H4737" s="7">
        <v>0.01</v>
      </c>
      <c r="I4737" s="9" t="s">
        <v>22</v>
      </c>
      <c r="J4737" s="10">
        <v>140.148</v>
      </c>
      <c r="K4737" s="11">
        <v>12.97</v>
      </c>
      <c r="L4737" s="11">
        <v>1.49</v>
      </c>
      <c r="M4737" s="9" t="s">
        <v>1829</v>
      </c>
      <c r="N4737" s="6" t="s">
        <v>672</v>
      </c>
      <c r="O4737" s="6" t="s">
        <v>673</v>
      </c>
      <c r="P4737" s="9" t="s">
        <v>33</v>
      </c>
      <c r="Q4737" s="9" t="s">
        <v>26</v>
      </c>
      <c r="R4737" s="9" t="s">
        <v>37</v>
      </c>
      <c r="S4737" s="7" t="s">
        <v>1269</v>
      </c>
      <c r="T4737" s="9" t="s">
        <v>39</v>
      </c>
      <c r="U4737" s="7">
        <v>0.35</v>
      </c>
      <c r="V4737" s="12">
        <f t="shared" si="87"/>
        <v>40599</v>
      </c>
      <c r="W4737">
        <f>IF(D4737=' Pivot Tables'!$A$4,1,0)</f>
        <v>0</v>
      </c>
      <c r="X4737">
        <f>IF(AND(LEFT(D4737,4)+1=LEFT(' Pivot Tables'!$A$4,4)+0,RIGHT(LEFT(D4737,7),2)=RIGHT(LEFT(' Pivot Tables'!$A$4,7),2)),1,0)</f>
        <v>0</v>
      </c>
      <c r="Y4737" s="6">
        <f>1/COUNTIF(Таблица1[Order ID],Таблица1[[#This Row],[Order ID]])</f>
        <v>1</v>
      </c>
      <c r="Z4737" s="9">
        <f>1/COUNTIFS(Таблица1[Customer Name],Таблица1[[#This Row],[Customer Name]],Таблица1[Order-Year-Month],Таблица1[[#This Row],[Order-Year-Month]])</f>
        <v>1</v>
      </c>
    </row>
    <row r="4738" spans="1:26" x14ac:dyDescent="0.2">
      <c r="A4738" s="6">
        <v>598</v>
      </c>
      <c r="B4738" s="7">
        <v>4070</v>
      </c>
      <c r="C4738" s="8">
        <f>DATE(2012,12,31)-569</f>
        <v>40705</v>
      </c>
      <c r="D4738" s="8" t="str">
        <f t="shared" si="86"/>
        <v>2011-06 (июнь 2011)</v>
      </c>
      <c r="E4738" s="9" t="s">
        <v>30</v>
      </c>
      <c r="F4738" s="7">
        <v>22</v>
      </c>
      <c r="G4738" s="7">
        <v>646.07000000000005</v>
      </c>
      <c r="H4738" s="7">
        <v>0.06</v>
      </c>
      <c r="I4738" s="9" t="s">
        <v>56</v>
      </c>
      <c r="J4738" s="10">
        <v>237.75</v>
      </c>
      <c r="K4738" s="11">
        <v>28.48</v>
      </c>
      <c r="L4738" s="11">
        <v>1.99</v>
      </c>
      <c r="M4738" s="9" t="s">
        <v>1826</v>
      </c>
      <c r="N4738" s="6" t="s">
        <v>672</v>
      </c>
      <c r="O4738" s="6" t="s">
        <v>673</v>
      </c>
      <c r="P4738" s="9" t="s">
        <v>60</v>
      </c>
      <c r="Q4738" s="9" t="s">
        <v>42</v>
      </c>
      <c r="R4738" s="9" t="s">
        <v>70</v>
      </c>
      <c r="S4738" s="7" t="s">
        <v>523</v>
      </c>
      <c r="T4738" s="9" t="s">
        <v>52</v>
      </c>
      <c r="U4738" s="7">
        <v>0.4</v>
      </c>
      <c r="V4738" s="12">
        <f>C4738+0</f>
        <v>40705</v>
      </c>
      <c r="W4738">
        <f>IF(D4738=' Pivot Tables'!$A$4,1,0)</f>
        <v>0</v>
      </c>
      <c r="X4738">
        <f>IF(AND(LEFT(D4738,4)+1=LEFT(' Pivot Tables'!$A$4,4)+0,RIGHT(LEFT(D4738,7),2)=RIGHT(LEFT(' Pivot Tables'!$A$4,7),2)),1,0)</f>
        <v>0</v>
      </c>
      <c r="Y4738" s="6">
        <f>1/COUNTIF(Таблица1[Order ID],Таблица1[[#This Row],[Order ID]])</f>
        <v>1</v>
      </c>
      <c r="Z4738" s="9">
        <f>1/COUNTIFS(Таблица1[Customer Name],Таблица1[[#This Row],[Customer Name]],Таблица1[Order-Year-Month],Таблица1[[#This Row],[Order-Year-Month]])</f>
        <v>1</v>
      </c>
    </row>
    <row r="4739" spans="1:26" x14ac:dyDescent="0.2">
      <c r="A4739" s="6">
        <v>687</v>
      </c>
      <c r="B4739" s="7">
        <v>4774</v>
      </c>
      <c r="C4739" s="8">
        <f>DATE(2012,12,31)-987</f>
        <v>40287</v>
      </c>
      <c r="D4739" s="8" t="str">
        <f t="shared" ref="D4739:D4802" si="88">TEXT(C4739,"гггг-ММ (ММММ гггг)")</f>
        <v>2010-04 (апрель 2010)</v>
      </c>
      <c r="E4739" s="9" t="s">
        <v>63</v>
      </c>
      <c r="F4739" s="7">
        <v>4</v>
      </c>
      <c r="G4739" s="7">
        <v>126.87</v>
      </c>
      <c r="H4739" s="7">
        <v>0.08</v>
      </c>
      <c r="I4739" s="9" t="s">
        <v>22</v>
      </c>
      <c r="J4739" s="10">
        <v>-125.99</v>
      </c>
      <c r="K4739" s="11">
        <v>32.979999999999997</v>
      </c>
      <c r="L4739" s="11">
        <v>5.5</v>
      </c>
      <c r="M4739" s="9" t="s">
        <v>1830</v>
      </c>
      <c r="N4739" s="6" t="s">
        <v>672</v>
      </c>
      <c r="O4739" s="6" t="s">
        <v>673</v>
      </c>
      <c r="P4739" s="9" t="s">
        <v>41</v>
      </c>
      <c r="Q4739" s="9" t="s">
        <v>42</v>
      </c>
      <c r="R4739" s="9" t="s">
        <v>70</v>
      </c>
      <c r="S4739" s="7" t="s">
        <v>403</v>
      </c>
      <c r="T4739" s="9" t="s">
        <v>39</v>
      </c>
      <c r="U4739" s="7">
        <v>0.75</v>
      </c>
      <c r="V4739" s="12">
        <f>C4739+1</f>
        <v>40288</v>
      </c>
      <c r="W4739">
        <f>IF(D4739=' Pivot Tables'!$A$4,1,0)</f>
        <v>0</v>
      </c>
      <c r="X4739">
        <f>IF(AND(LEFT(D4739,4)+1=LEFT(' Pivot Tables'!$A$4,4)+0,RIGHT(LEFT(D4739,7),2)=RIGHT(LEFT(' Pivot Tables'!$A$4,7),2)),1,0)</f>
        <v>0</v>
      </c>
      <c r="Y4739" s="6">
        <f>1/COUNTIF(Таблица1[Order ID],Таблица1[[#This Row],[Order ID]])</f>
        <v>1</v>
      </c>
      <c r="Z4739" s="9">
        <f>1/COUNTIFS(Таблица1[Customer Name],Таблица1[[#This Row],[Customer Name]],Таблица1[Order-Year-Month],Таблица1[[#This Row],[Order-Year-Month]])</f>
        <v>1</v>
      </c>
    </row>
    <row r="4740" spans="1:26" x14ac:dyDescent="0.2">
      <c r="A4740" s="6">
        <v>958</v>
      </c>
      <c r="B4740" s="7">
        <v>6947</v>
      </c>
      <c r="C4740" s="8">
        <f>DATE(2012,12,31)-531</f>
        <v>40743</v>
      </c>
      <c r="D4740" s="8" t="str">
        <f t="shared" si="88"/>
        <v>2011-07 (июль 2011)</v>
      </c>
      <c r="E4740" s="9" t="s">
        <v>78</v>
      </c>
      <c r="F4740" s="7">
        <v>9</v>
      </c>
      <c r="G4740" s="7">
        <v>520.49</v>
      </c>
      <c r="H4740" s="7">
        <v>0</v>
      </c>
      <c r="I4740" s="9" t="s">
        <v>22</v>
      </c>
      <c r="J4740" s="10">
        <v>-51.01</v>
      </c>
      <c r="K4740" s="11">
        <v>51.65</v>
      </c>
      <c r="L4740" s="11">
        <v>18.45</v>
      </c>
      <c r="M4740" s="9" t="s">
        <v>1831</v>
      </c>
      <c r="N4740" s="6" t="s">
        <v>672</v>
      </c>
      <c r="O4740" s="6" t="s">
        <v>673</v>
      </c>
      <c r="P4740" s="9" t="s">
        <v>25</v>
      </c>
      <c r="Q4740" s="9" t="s">
        <v>49</v>
      </c>
      <c r="R4740" s="9" t="s">
        <v>50</v>
      </c>
      <c r="S4740" s="7" t="s">
        <v>597</v>
      </c>
      <c r="T4740" s="9" t="s">
        <v>48</v>
      </c>
      <c r="U4740" s="7">
        <v>0.65</v>
      </c>
      <c r="V4740" s="12">
        <f>C4740+2</f>
        <v>40745</v>
      </c>
      <c r="W4740">
        <f>IF(D4740=' Pivot Tables'!$A$4,1,0)</f>
        <v>0</v>
      </c>
      <c r="X4740">
        <f>IF(AND(LEFT(D4740,4)+1=LEFT(' Pivot Tables'!$A$4,4)+0,RIGHT(LEFT(D4740,7),2)=RIGHT(LEFT(' Pivot Tables'!$A$4,7),2)),1,0)</f>
        <v>0</v>
      </c>
      <c r="Y4740" s="6">
        <f>1/COUNTIF(Таблица1[Order ID],Таблица1[[#This Row],[Order ID]])</f>
        <v>1</v>
      </c>
      <c r="Z4740" s="9">
        <f>1/COUNTIFS(Таблица1[Customer Name],Таблица1[[#This Row],[Customer Name]],Таблица1[Order-Year-Month],Таблица1[[#This Row],[Order-Year-Month]])</f>
        <v>1</v>
      </c>
    </row>
    <row r="4741" spans="1:26" x14ac:dyDescent="0.2">
      <c r="A4741" s="6">
        <v>962</v>
      </c>
      <c r="B4741" s="7">
        <v>6979</v>
      </c>
      <c r="C4741" s="8">
        <f>DATE(2012,12,31)-1403</f>
        <v>39871</v>
      </c>
      <c r="D4741" s="8" t="str">
        <f t="shared" si="88"/>
        <v>2009-02 (февраль 2009)</v>
      </c>
      <c r="E4741" s="9" t="s">
        <v>78</v>
      </c>
      <c r="F4741" s="7">
        <v>28</v>
      </c>
      <c r="G4741" s="7">
        <v>334.89</v>
      </c>
      <c r="H4741" s="7">
        <v>0.03</v>
      </c>
      <c r="I4741" s="9" t="s">
        <v>22</v>
      </c>
      <c r="J4741" s="10">
        <v>-1.4355</v>
      </c>
      <c r="K4741" s="11">
        <v>11.99</v>
      </c>
      <c r="L4741" s="11">
        <v>5.99</v>
      </c>
      <c r="M4741" s="9" t="s">
        <v>1825</v>
      </c>
      <c r="N4741" s="6" t="s">
        <v>672</v>
      </c>
      <c r="O4741" s="6" t="s">
        <v>673</v>
      </c>
      <c r="P4741" s="9" t="s">
        <v>60</v>
      </c>
      <c r="Q4741" s="9" t="s">
        <v>42</v>
      </c>
      <c r="R4741" s="9" t="s">
        <v>210</v>
      </c>
      <c r="S4741" s="7" t="s">
        <v>986</v>
      </c>
      <c r="T4741" s="9" t="s">
        <v>48</v>
      </c>
      <c r="U4741" s="7">
        <v>0.36</v>
      </c>
      <c r="V4741" s="12">
        <f>C4741+1</f>
        <v>39872</v>
      </c>
      <c r="W4741">
        <f>IF(D4741=' Pivot Tables'!$A$4,1,0)</f>
        <v>0</v>
      </c>
      <c r="X4741">
        <f>IF(AND(LEFT(D4741,4)+1=LEFT(' Pivot Tables'!$A$4,4)+0,RIGHT(LEFT(D4741,7),2)=RIGHT(LEFT(' Pivot Tables'!$A$4,7),2)),1,0)</f>
        <v>0</v>
      </c>
      <c r="Y4741" s="6">
        <f>1/COUNTIF(Таблица1[Order ID],Таблица1[[#This Row],[Order ID]])</f>
        <v>1</v>
      </c>
      <c r="Z4741" s="9">
        <f>1/COUNTIFS(Таблица1[Customer Name],Таблица1[[#This Row],[Customer Name]],Таблица1[Order-Year-Month],Таблица1[[#This Row],[Order-Year-Month]])</f>
        <v>1</v>
      </c>
    </row>
    <row r="4742" spans="1:26" x14ac:dyDescent="0.2">
      <c r="A4742" s="6">
        <v>985</v>
      </c>
      <c r="B4742" s="7">
        <v>7107</v>
      </c>
      <c r="C4742" s="8">
        <f>DATE(2012,12,31)-362</f>
        <v>40912</v>
      </c>
      <c r="D4742" s="8" t="str">
        <f t="shared" si="88"/>
        <v>2012-01 (январь 2012)</v>
      </c>
      <c r="E4742" s="9" t="s">
        <v>45</v>
      </c>
      <c r="F4742" s="7">
        <v>3</v>
      </c>
      <c r="G4742" s="7">
        <v>172.04</v>
      </c>
      <c r="H4742" s="7">
        <v>0.02</v>
      </c>
      <c r="I4742" s="9" t="s">
        <v>22</v>
      </c>
      <c r="J4742" s="10">
        <v>143.08000000000001</v>
      </c>
      <c r="K4742" s="11">
        <v>54.2</v>
      </c>
      <c r="L4742" s="11">
        <v>11.1</v>
      </c>
      <c r="M4742" s="9" t="s">
        <v>1832</v>
      </c>
      <c r="N4742" s="6" t="s">
        <v>672</v>
      </c>
      <c r="O4742" s="6" t="s">
        <v>673</v>
      </c>
      <c r="P4742" s="9" t="s">
        <v>41</v>
      </c>
      <c r="Q4742" s="9" t="s">
        <v>49</v>
      </c>
      <c r="R4742" s="9" t="s">
        <v>50</v>
      </c>
      <c r="S4742" s="7" t="s">
        <v>1833</v>
      </c>
      <c r="T4742" s="9" t="s">
        <v>48</v>
      </c>
      <c r="U4742" s="7">
        <v>0.64</v>
      </c>
      <c r="V4742" s="12">
        <f>C4742+0</f>
        <v>40912</v>
      </c>
      <c r="W4742">
        <f>IF(D4742=' Pivot Tables'!$A$4,1,0)</f>
        <v>0</v>
      </c>
      <c r="X4742">
        <f>IF(AND(LEFT(D4742,4)+1=LEFT(' Pivot Tables'!$A$4,4)+0,RIGHT(LEFT(D4742,7),2)=RIGHT(LEFT(' Pivot Tables'!$A$4,7),2)),1,0)</f>
        <v>0</v>
      </c>
      <c r="Y4742" s="6">
        <f>1/COUNTIF(Таблица1[Order ID],Таблица1[[#This Row],[Order ID]])</f>
        <v>0.33333333333333331</v>
      </c>
      <c r="Z4742" s="9">
        <f>1/COUNTIFS(Таблица1[Customer Name],Таблица1[[#This Row],[Customer Name]],Таблица1[Order-Year-Month],Таблица1[[#This Row],[Order-Year-Month]])</f>
        <v>0.33333333333333331</v>
      </c>
    </row>
    <row r="4743" spans="1:26" x14ac:dyDescent="0.2">
      <c r="A4743" s="6">
        <v>986</v>
      </c>
      <c r="B4743" s="7">
        <v>7107</v>
      </c>
      <c r="C4743" s="8">
        <f>DATE(2012,12,31)-362</f>
        <v>40912</v>
      </c>
      <c r="D4743" s="8" t="str">
        <f t="shared" si="88"/>
        <v>2012-01 (январь 2012)</v>
      </c>
      <c r="E4743" s="9" t="s">
        <v>45</v>
      </c>
      <c r="F4743" s="7">
        <v>3</v>
      </c>
      <c r="G4743" s="7">
        <v>113.14</v>
      </c>
      <c r="H4743" s="7">
        <v>0.06</v>
      </c>
      <c r="I4743" s="9" t="s">
        <v>22</v>
      </c>
      <c r="J4743" s="10">
        <v>-21.23</v>
      </c>
      <c r="K4743" s="11">
        <v>37.94</v>
      </c>
      <c r="L4743" s="11">
        <v>5.08</v>
      </c>
      <c r="M4743" s="9" t="s">
        <v>1832</v>
      </c>
      <c r="N4743" s="6" t="s">
        <v>672</v>
      </c>
      <c r="O4743" s="6" t="s">
        <v>673</v>
      </c>
      <c r="P4743" s="9" t="s">
        <v>41</v>
      </c>
      <c r="Q4743" s="9" t="s">
        <v>26</v>
      </c>
      <c r="R4743" s="9" t="s">
        <v>61</v>
      </c>
      <c r="S4743" s="7" t="s">
        <v>684</v>
      </c>
      <c r="T4743" s="9" t="s">
        <v>68</v>
      </c>
      <c r="U4743" s="7">
        <v>0.38</v>
      </c>
      <c r="V4743" s="12">
        <f>C4743+2</f>
        <v>40914</v>
      </c>
      <c r="W4743">
        <f>IF(D4743=' Pivot Tables'!$A$4,1,0)</f>
        <v>0</v>
      </c>
      <c r="X4743">
        <f>IF(AND(LEFT(D4743,4)+1=LEFT(' Pivot Tables'!$A$4,4)+0,RIGHT(LEFT(D4743,7),2)=RIGHT(LEFT(' Pivot Tables'!$A$4,7),2)),1,0)</f>
        <v>0</v>
      </c>
      <c r="Y4743" s="6">
        <f>1/COUNTIF(Таблица1[Order ID],Таблица1[[#This Row],[Order ID]])</f>
        <v>0.33333333333333331</v>
      </c>
      <c r="Z4743" s="9">
        <f>1/COUNTIFS(Таблица1[Customer Name],Таблица1[[#This Row],[Customer Name]],Таблица1[Order-Year-Month],Таблица1[[#This Row],[Order-Year-Month]])</f>
        <v>0.33333333333333331</v>
      </c>
    </row>
    <row r="4744" spans="1:26" x14ac:dyDescent="0.2">
      <c r="A4744" s="6">
        <v>987</v>
      </c>
      <c r="B4744" s="7">
        <v>7107</v>
      </c>
      <c r="C4744" s="8">
        <f>DATE(2012,12,31)-362</f>
        <v>40912</v>
      </c>
      <c r="D4744" s="8" t="str">
        <f t="shared" si="88"/>
        <v>2012-01 (январь 2012)</v>
      </c>
      <c r="E4744" s="9" t="s">
        <v>45</v>
      </c>
      <c r="F4744" s="7">
        <v>32</v>
      </c>
      <c r="G4744" s="7">
        <v>1724.82</v>
      </c>
      <c r="H4744" s="7">
        <v>0.1</v>
      </c>
      <c r="I4744" s="9" t="s">
        <v>22</v>
      </c>
      <c r="J4744" s="10">
        <v>407.8</v>
      </c>
      <c r="K4744" s="11">
        <v>55.29</v>
      </c>
      <c r="L4744" s="11">
        <v>5.08</v>
      </c>
      <c r="M4744" s="9" t="s">
        <v>1832</v>
      </c>
      <c r="N4744" s="6" t="s">
        <v>672</v>
      </c>
      <c r="O4744" s="6" t="s">
        <v>673</v>
      </c>
      <c r="P4744" s="9" t="s">
        <v>41</v>
      </c>
      <c r="Q4744" s="9" t="s">
        <v>26</v>
      </c>
      <c r="R4744" s="9" t="s">
        <v>27</v>
      </c>
      <c r="S4744" s="7" t="s">
        <v>294</v>
      </c>
      <c r="T4744" s="9" t="s">
        <v>39</v>
      </c>
      <c r="U4744" s="7">
        <v>0.59</v>
      </c>
      <c r="V4744" s="12">
        <f>C4744+1</f>
        <v>40913</v>
      </c>
      <c r="W4744">
        <f>IF(D4744=' Pivot Tables'!$A$4,1,0)</f>
        <v>0</v>
      </c>
      <c r="X4744">
        <f>IF(AND(LEFT(D4744,4)+1=LEFT(' Pivot Tables'!$A$4,4)+0,RIGHT(LEFT(D4744,7),2)=RIGHT(LEFT(' Pivot Tables'!$A$4,7),2)),1,0)</f>
        <v>0</v>
      </c>
      <c r="Y4744" s="6">
        <f>1/COUNTIF(Таблица1[Order ID],Таблица1[[#This Row],[Order ID]])</f>
        <v>0.33333333333333331</v>
      </c>
      <c r="Z4744" s="9">
        <f>1/COUNTIFS(Таблица1[Customer Name],Таблица1[[#This Row],[Customer Name]],Таблица1[Order-Year-Month],Таблица1[[#This Row],[Order-Year-Month]])</f>
        <v>0.33333333333333331</v>
      </c>
    </row>
    <row r="4745" spans="1:26" x14ac:dyDescent="0.2">
      <c r="A4745" s="6">
        <v>1132</v>
      </c>
      <c r="B4745" s="7">
        <v>8288</v>
      </c>
      <c r="C4745" s="8">
        <f>DATE(2012,12,31)-602</f>
        <v>40672</v>
      </c>
      <c r="D4745" s="8" t="str">
        <f t="shared" si="88"/>
        <v>2011-05 (май 2011)</v>
      </c>
      <c r="E4745" s="9" t="s">
        <v>78</v>
      </c>
      <c r="F4745" s="7">
        <v>22</v>
      </c>
      <c r="G4745" s="7">
        <v>1337.81</v>
      </c>
      <c r="H4745" s="7">
        <v>0.02</v>
      </c>
      <c r="I4745" s="9" t="s">
        <v>22</v>
      </c>
      <c r="J4745" s="10">
        <v>407.11599999999999</v>
      </c>
      <c r="K4745" s="11">
        <v>59.78</v>
      </c>
      <c r="L4745" s="11">
        <v>10.29</v>
      </c>
      <c r="M4745" s="9" t="s">
        <v>1559</v>
      </c>
      <c r="N4745" s="6" t="s">
        <v>672</v>
      </c>
      <c r="O4745" s="6" t="s">
        <v>673</v>
      </c>
      <c r="P4745" s="9" t="s">
        <v>41</v>
      </c>
      <c r="Q4745" s="9" t="s">
        <v>26</v>
      </c>
      <c r="R4745" s="9" t="s">
        <v>37</v>
      </c>
      <c r="S4745" s="7" t="s">
        <v>284</v>
      </c>
      <c r="T4745" s="9" t="s">
        <v>39</v>
      </c>
      <c r="U4745" s="7">
        <v>0.39</v>
      </c>
      <c r="V4745" s="12">
        <f>C4745+1</f>
        <v>40673</v>
      </c>
      <c r="W4745">
        <f>IF(D4745=' Pivot Tables'!$A$4,1,0)</f>
        <v>0</v>
      </c>
      <c r="X4745">
        <f>IF(AND(LEFT(D4745,4)+1=LEFT(' Pivot Tables'!$A$4,4)+0,RIGHT(LEFT(D4745,7),2)=RIGHT(LEFT(' Pivot Tables'!$A$4,7),2)),1,0)</f>
        <v>0</v>
      </c>
      <c r="Y4745" s="6">
        <f>1/COUNTIF(Таблица1[Order ID],Таблица1[[#This Row],[Order ID]])</f>
        <v>1</v>
      </c>
      <c r="Z4745" s="9">
        <f>1/COUNTIFS(Таблица1[Customer Name],Таблица1[[#This Row],[Customer Name]],Таблица1[Order-Year-Month],Таблица1[[#This Row],[Order-Year-Month]])</f>
        <v>1</v>
      </c>
    </row>
    <row r="4746" spans="1:26" x14ac:dyDescent="0.2">
      <c r="A4746" s="6">
        <v>1187</v>
      </c>
      <c r="B4746" s="7">
        <v>8678</v>
      </c>
      <c r="C4746" s="8">
        <f>DATE(2012,12,31)-92</f>
        <v>41182</v>
      </c>
      <c r="D4746" s="8" t="str">
        <f t="shared" si="88"/>
        <v>2012-09 (сентябрь 2012)</v>
      </c>
      <c r="E4746" s="9" t="s">
        <v>21</v>
      </c>
      <c r="F4746" s="7">
        <v>31</v>
      </c>
      <c r="G4746" s="7">
        <v>937.8</v>
      </c>
      <c r="H4746" s="7">
        <v>0</v>
      </c>
      <c r="I4746" s="9" t="s">
        <v>22</v>
      </c>
      <c r="J4746" s="10">
        <v>27.12</v>
      </c>
      <c r="K4746" s="11">
        <v>29.74</v>
      </c>
      <c r="L4746" s="11">
        <v>6.64</v>
      </c>
      <c r="M4746" s="9" t="s">
        <v>1829</v>
      </c>
      <c r="N4746" s="6" t="s">
        <v>672</v>
      </c>
      <c r="O4746" s="6" t="s">
        <v>673</v>
      </c>
      <c r="P4746" s="9" t="s">
        <v>33</v>
      </c>
      <c r="Q4746" s="9" t="s">
        <v>26</v>
      </c>
      <c r="R4746" s="9" t="s">
        <v>27</v>
      </c>
      <c r="S4746" s="7" t="s">
        <v>376</v>
      </c>
      <c r="T4746" s="9" t="s">
        <v>39</v>
      </c>
      <c r="U4746" s="7">
        <v>0.7</v>
      </c>
      <c r="V4746" s="12">
        <f>C4746+5</f>
        <v>41187</v>
      </c>
      <c r="W4746">
        <f>IF(D4746=' Pivot Tables'!$A$4,1,0)</f>
        <v>0</v>
      </c>
      <c r="X4746">
        <f>IF(AND(LEFT(D4746,4)+1=LEFT(' Pivot Tables'!$A$4,4)+0,RIGHT(LEFT(D4746,7),2)=RIGHT(LEFT(' Pivot Tables'!$A$4,7),2)),1,0)</f>
        <v>0</v>
      </c>
      <c r="Y4746" s="6">
        <f>1/COUNTIF(Таблица1[Order ID],Таблица1[[#This Row],[Order ID]])</f>
        <v>1</v>
      </c>
      <c r="Z4746" s="9">
        <f>1/COUNTIFS(Таблица1[Customer Name],Таблица1[[#This Row],[Customer Name]],Таблица1[Order-Year-Month],Таблица1[[#This Row],[Order-Year-Month]])</f>
        <v>1</v>
      </c>
    </row>
    <row r="4747" spans="1:26" x14ac:dyDescent="0.2">
      <c r="A4747" s="6">
        <v>1480</v>
      </c>
      <c r="B4747" s="7">
        <v>10659</v>
      </c>
      <c r="C4747" s="8">
        <f>DATE(2012,12,31)-1327</f>
        <v>39947</v>
      </c>
      <c r="D4747" s="8" t="str">
        <f t="shared" si="88"/>
        <v>2009-05 (май 2009)</v>
      </c>
      <c r="E4747" s="9" t="s">
        <v>78</v>
      </c>
      <c r="F4747" s="7">
        <v>40</v>
      </c>
      <c r="G4747" s="7">
        <v>227.37</v>
      </c>
      <c r="H4747" s="7">
        <v>0</v>
      </c>
      <c r="I4747" s="9" t="s">
        <v>22</v>
      </c>
      <c r="J4747" s="10">
        <v>-92.07</v>
      </c>
      <c r="K4747" s="11">
        <v>5.28</v>
      </c>
      <c r="L4747" s="11">
        <v>5.61</v>
      </c>
      <c r="M4747" s="9" t="s">
        <v>1809</v>
      </c>
      <c r="N4747" s="6" t="s">
        <v>672</v>
      </c>
      <c r="O4747" s="6" t="s">
        <v>673</v>
      </c>
      <c r="P4747" s="9" t="s">
        <v>41</v>
      </c>
      <c r="Q4747" s="9" t="s">
        <v>26</v>
      </c>
      <c r="R4747" s="9" t="s">
        <v>61</v>
      </c>
      <c r="S4747" s="7" t="s">
        <v>1834</v>
      </c>
      <c r="T4747" s="9" t="s">
        <v>39</v>
      </c>
      <c r="U4747" s="7">
        <v>0.4</v>
      </c>
      <c r="V4747" s="12">
        <f>C4747+0</f>
        <v>39947</v>
      </c>
      <c r="W4747">
        <f>IF(D4747=' Pivot Tables'!$A$4,1,0)</f>
        <v>0</v>
      </c>
      <c r="X4747">
        <f>IF(AND(LEFT(D4747,4)+1=LEFT(' Pivot Tables'!$A$4,4)+0,RIGHT(LEFT(D4747,7),2)=RIGHT(LEFT(' Pivot Tables'!$A$4,7),2)),1,0)</f>
        <v>0</v>
      </c>
      <c r="Y4747" s="6">
        <f>1/COUNTIF(Таблица1[Order ID],Таблица1[[#This Row],[Order ID]])</f>
        <v>1</v>
      </c>
      <c r="Z4747" s="9">
        <f>1/COUNTIFS(Таблица1[Customer Name],Таблица1[[#This Row],[Customer Name]],Таблица1[Order-Year-Month],Таблица1[[#This Row],[Order-Year-Month]])</f>
        <v>1</v>
      </c>
    </row>
    <row r="4748" spans="1:26" x14ac:dyDescent="0.2">
      <c r="A4748" s="6">
        <v>1489</v>
      </c>
      <c r="B4748" s="7">
        <v>10695</v>
      </c>
      <c r="C4748" s="8">
        <f>DATE(2012,12,31)-609</f>
        <v>40665</v>
      </c>
      <c r="D4748" s="8" t="str">
        <f t="shared" si="88"/>
        <v>2011-05 (май 2011)</v>
      </c>
      <c r="E4748" s="9" t="s">
        <v>30</v>
      </c>
      <c r="F4748" s="7">
        <v>39</v>
      </c>
      <c r="G4748" s="7">
        <v>6330.0859999999993</v>
      </c>
      <c r="H4748" s="7">
        <v>0.1</v>
      </c>
      <c r="I4748" s="9" t="s">
        <v>22</v>
      </c>
      <c r="J4748" s="10">
        <v>1421.8920000000001</v>
      </c>
      <c r="K4748" s="11">
        <v>205.99</v>
      </c>
      <c r="L4748" s="11">
        <v>2.5</v>
      </c>
      <c r="M4748" s="9" t="s">
        <v>1553</v>
      </c>
      <c r="N4748" s="6" t="s">
        <v>672</v>
      </c>
      <c r="O4748" s="6" t="s">
        <v>673</v>
      </c>
      <c r="P4748" s="9" t="s">
        <v>41</v>
      </c>
      <c r="Q4748" s="9" t="s">
        <v>42</v>
      </c>
      <c r="R4748" s="9" t="s">
        <v>43</v>
      </c>
      <c r="S4748" s="7" t="s">
        <v>1431</v>
      </c>
      <c r="T4748" s="9" t="s">
        <v>39</v>
      </c>
      <c r="U4748" s="7">
        <v>0.59</v>
      </c>
      <c r="V4748" s="12">
        <f>C4748+1</f>
        <v>40666</v>
      </c>
      <c r="W4748">
        <f>IF(D4748=' Pivot Tables'!$A$4,1,0)</f>
        <v>0</v>
      </c>
      <c r="X4748">
        <f>IF(AND(LEFT(D4748,4)+1=LEFT(' Pivot Tables'!$A$4,4)+0,RIGHT(LEFT(D4748,7),2)=RIGHT(LEFT(' Pivot Tables'!$A$4,7),2)),1,0)</f>
        <v>0</v>
      </c>
      <c r="Y4748" s="6">
        <f>1/COUNTIF(Таблица1[Order ID],Таблица1[[#This Row],[Order ID]])</f>
        <v>1</v>
      </c>
      <c r="Z4748" s="9">
        <f>1/COUNTIFS(Таблица1[Customer Name],Таблица1[[#This Row],[Customer Name]],Таблица1[Order-Year-Month],Таблица1[[#This Row],[Order-Year-Month]])</f>
        <v>1</v>
      </c>
    </row>
    <row r="4749" spans="1:26" x14ac:dyDescent="0.2">
      <c r="A4749" s="6">
        <v>1620</v>
      </c>
      <c r="B4749" s="7">
        <v>11719</v>
      </c>
      <c r="C4749" s="8">
        <f>DATE(2012,12,31)-695</f>
        <v>40579</v>
      </c>
      <c r="D4749" s="8" t="str">
        <f t="shared" si="88"/>
        <v>2011-02 (февраль 2011)</v>
      </c>
      <c r="E4749" s="9" t="s">
        <v>45</v>
      </c>
      <c r="F4749" s="7">
        <v>3</v>
      </c>
      <c r="G4749" s="7">
        <v>1566.8</v>
      </c>
      <c r="H4749" s="7">
        <v>0.06</v>
      </c>
      <c r="I4749" s="9" t="s">
        <v>31</v>
      </c>
      <c r="J4749" s="10">
        <v>-1044.9222</v>
      </c>
      <c r="K4749" s="11">
        <v>500.97</v>
      </c>
      <c r="L4749" s="11">
        <v>69.3</v>
      </c>
      <c r="M4749" s="9" t="s">
        <v>1825</v>
      </c>
      <c r="N4749" s="6" t="s">
        <v>672</v>
      </c>
      <c r="O4749" s="6" t="s">
        <v>673</v>
      </c>
      <c r="P4749" s="9" t="s">
        <v>60</v>
      </c>
      <c r="Q4749" s="9" t="s">
        <v>42</v>
      </c>
      <c r="R4749" s="9" t="s">
        <v>210</v>
      </c>
      <c r="S4749" s="7" t="s">
        <v>404</v>
      </c>
      <c r="T4749" s="9" t="s">
        <v>36</v>
      </c>
      <c r="U4749" s="7">
        <v>0.37</v>
      </c>
      <c r="V4749" s="12">
        <f>C4749+1</f>
        <v>40580</v>
      </c>
      <c r="W4749">
        <f>IF(D4749=' Pivot Tables'!$A$4,1,0)</f>
        <v>0</v>
      </c>
      <c r="X4749">
        <f>IF(AND(LEFT(D4749,4)+1=LEFT(' Pivot Tables'!$A$4,4)+0,RIGHT(LEFT(D4749,7),2)=RIGHT(LEFT(' Pivot Tables'!$A$4,7),2)),1,0)</f>
        <v>0</v>
      </c>
      <c r="Y4749" s="6">
        <f>1/COUNTIF(Таблица1[Order ID],Таблица1[[#This Row],[Order ID]])</f>
        <v>0.33333333333333331</v>
      </c>
      <c r="Z4749" s="9">
        <f>1/COUNTIFS(Таблица1[Customer Name],Таблица1[[#This Row],[Customer Name]],Таблица1[Order-Year-Month],Таблица1[[#This Row],[Order-Year-Month]])</f>
        <v>0.33333333333333331</v>
      </c>
    </row>
    <row r="4750" spans="1:26" x14ac:dyDescent="0.2">
      <c r="A4750" s="6">
        <v>1621</v>
      </c>
      <c r="B4750" s="7">
        <v>11719</v>
      </c>
      <c r="C4750" s="8">
        <f>DATE(2012,12,31)-695</f>
        <v>40579</v>
      </c>
      <c r="D4750" s="8" t="str">
        <f t="shared" si="88"/>
        <v>2011-02 (февраль 2011)</v>
      </c>
      <c r="E4750" s="9" t="s">
        <v>45</v>
      </c>
      <c r="F4750" s="7">
        <v>30</v>
      </c>
      <c r="G4750" s="7">
        <v>616.01</v>
      </c>
      <c r="H4750" s="7">
        <v>0.09</v>
      </c>
      <c r="I4750" s="9" t="s">
        <v>22</v>
      </c>
      <c r="J4750" s="10">
        <v>-74.88</v>
      </c>
      <c r="K4750" s="11">
        <v>21.38</v>
      </c>
      <c r="L4750" s="11">
        <v>8.99</v>
      </c>
      <c r="M4750" s="9" t="s">
        <v>1825</v>
      </c>
      <c r="N4750" s="6" t="s">
        <v>672</v>
      </c>
      <c r="O4750" s="6" t="s">
        <v>673</v>
      </c>
      <c r="P4750" s="9" t="s">
        <v>60</v>
      </c>
      <c r="Q4750" s="9" t="s">
        <v>26</v>
      </c>
      <c r="R4750" s="9" t="s">
        <v>95</v>
      </c>
      <c r="S4750" s="7" t="s">
        <v>436</v>
      </c>
      <c r="T4750" s="9" t="s">
        <v>52</v>
      </c>
      <c r="U4750" s="7">
        <v>0.59</v>
      </c>
      <c r="V4750" s="12">
        <f>C4750+0</f>
        <v>40579</v>
      </c>
      <c r="W4750">
        <f>IF(D4750=' Pivot Tables'!$A$4,1,0)</f>
        <v>0</v>
      </c>
      <c r="X4750">
        <f>IF(AND(LEFT(D4750,4)+1=LEFT(' Pivot Tables'!$A$4,4)+0,RIGHT(LEFT(D4750,7),2)=RIGHT(LEFT(' Pivot Tables'!$A$4,7),2)),1,0)</f>
        <v>0</v>
      </c>
      <c r="Y4750" s="6">
        <f>1/COUNTIF(Таблица1[Order ID],Таблица1[[#This Row],[Order ID]])</f>
        <v>0.33333333333333331</v>
      </c>
      <c r="Z4750" s="9">
        <f>1/COUNTIFS(Таблица1[Customer Name],Таблица1[[#This Row],[Customer Name]],Таблица1[Order-Year-Month],Таблица1[[#This Row],[Order-Year-Month]])</f>
        <v>0.33333333333333331</v>
      </c>
    </row>
    <row r="4751" spans="1:26" x14ac:dyDescent="0.2">
      <c r="A4751" s="6">
        <v>1622</v>
      </c>
      <c r="B4751" s="7">
        <v>11719</v>
      </c>
      <c r="C4751" s="8">
        <f>DATE(2012,12,31)-695</f>
        <v>40579</v>
      </c>
      <c r="D4751" s="8" t="str">
        <f t="shared" si="88"/>
        <v>2011-02 (февраль 2011)</v>
      </c>
      <c r="E4751" s="9" t="s">
        <v>45</v>
      </c>
      <c r="F4751" s="7">
        <v>17</v>
      </c>
      <c r="G4751" s="7">
        <v>438.60849999999999</v>
      </c>
      <c r="H4751" s="7">
        <v>0.01</v>
      </c>
      <c r="I4751" s="9" t="s">
        <v>22</v>
      </c>
      <c r="J4751" s="10">
        <v>-56.045000000000002</v>
      </c>
      <c r="K4751" s="11">
        <v>28.99</v>
      </c>
      <c r="L4751" s="11">
        <v>8.59</v>
      </c>
      <c r="M4751" s="9" t="s">
        <v>1825</v>
      </c>
      <c r="N4751" s="6" t="s">
        <v>672</v>
      </c>
      <c r="O4751" s="6" t="s">
        <v>673</v>
      </c>
      <c r="P4751" s="9" t="s">
        <v>60</v>
      </c>
      <c r="Q4751" s="9" t="s">
        <v>42</v>
      </c>
      <c r="R4751" s="9" t="s">
        <v>43</v>
      </c>
      <c r="S4751" s="7" t="s">
        <v>508</v>
      </c>
      <c r="T4751" s="9" t="s">
        <v>48</v>
      </c>
      <c r="U4751" s="7">
        <v>0.56000000000000005</v>
      </c>
      <c r="V4751" s="12">
        <f>C4751+0</f>
        <v>40579</v>
      </c>
      <c r="W4751">
        <f>IF(D4751=' Pivot Tables'!$A$4,1,0)</f>
        <v>0</v>
      </c>
      <c r="X4751">
        <f>IF(AND(LEFT(D4751,4)+1=LEFT(' Pivot Tables'!$A$4,4)+0,RIGHT(LEFT(D4751,7),2)=RIGHT(LEFT(' Pivot Tables'!$A$4,7),2)),1,0)</f>
        <v>0</v>
      </c>
      <c r="Y4751" s="6">
        <f>1/COUNTIF(Таблица1[Order ID],Таблица1[[#This Row],[Order ID]])</f>
        <v>0.33333333333333331</v>
      </c>
      <c r="Z4751" s="9">
        <f>1/COUNTIFS(Таблица1[Customer Name],Таблица1[[#This Row],[Customer Name]],Таблица1[Order-Year-Month],Таблица1[[#This Row],[Order-Year-Month]])</f>
        <v>0.33333333333333331</v>
      </c>
    </row>
    <row r="4752" spans="1:26" x14ac:dyDescent="0.2">
      <c r="A4752" s="6">
        <v>1651</v>
      </c>
      <c r="B4752" s="7">
        <v>11908</v>
      </c>
      <c r="C4752" s="8">
        <f>DATE(2012,12,31)-951</f>
        <v>40323</v>
      </c>
      <c r="D4752" s="8" t="str">
        <f t="shared" si="88"/>
        <v>2010-05 (май 2010)</v>
      </c>
      <c r="E4752" s="9" t="s">
        <v>45</v>
      </c>
      <c r="F4752" s="7">
        <v>5</v>
      </c>
      <c r="G4752" s="7">
        <v>1386.6</v>
      </c>
      <c r="H4752" s="7">
        <v>0.09</v>
      </c>
      <c r="I4752" s="9" t="s">
        <v>31</v>
      </c>
      <c r="J4752" s="10">
        <v>-556.17999999999995</v>
      </c>
      <c r="K4752" s="11">
        <v>280.98</v>
      </c>
      <c r="L4752" s="11">
        <v>57</v>
      </c>
      <c r="M4752" s="9" t="s">
        <v>1559</v>
      </c>
      <c r="N4752" s="6" t="s">
        <v>672</v>
      </c>
      <c r="O4752" s="6" t="s">
        <v>673</v>
      </c>
      <c r="P4752" s="9" t="s">
        <v>41</v>
      </c>
      <c r="Q4752" s="9" t="s">
        <v>49</v>
      </c>
      <c r="R4752" s="9" t="s">
        <v>112</v>
      </c>
      <c r="S4752" s="7" t="s">
        <v>697</v>
      </c>
      <c r="T4752" s="9" t="s">
        <v>36</v>
      </c>
      <c r="U4752" s="7">
        <v>0.78</v>
      </c>
      <c r="V4752" s="12">
        <f>C4752+2</f>
        <v>40325</v>
      </c>
      <c r="W4752">
        <f>IF(D4752=' Pivot Tables'!$A$4,1,0)</f>
        <v>0</v>
      </c>
      <c r="X4752">
        <f>IF(AND(LEFT(D4752,4)+1=LEFT(' Pivot Tables'!$A$4,4)+0,RIGHT(LEFT(D4752,7),2)=RIGHT(LEFT(' Pivot Tables'!$A$4,7),2)),1,0)</f>
        <v>0</v>
      </c>
      <c r="Y4752" s="6">
        <f>1/COUNTIF(Таблица1[Order ID],Таблица1[[#This Row],[Order ID]])</f>
        <v>1</v>
      </c>
      <c r="Z4752" s="9">
        <f>1/COUNTIFS(Таблица1[Customer Name],Таблица1[[#This Row],[Customer Name]],Таблица1[Order-Year-Month],Таблица1[[#This Row],[Order-Year-Month]])</f>
        <v>1</v>
      </c>
    </row>
    <row r="4753" spans="1:26" x14ac:dyDescent="0.2">
      <c r="A4753" s="6">
        <v>1923</v>
      </c>
      <c r="B4753" s="7">
        <v>13765</v>
      </c>
      <c r="C4753" s="8">
        <f>DATE(2012,12,31)-1366</f>
        <v>39908</v>
      </c>
      <c r="D4753" s="8" t="str">
        <f t="shared" si="88"/>
        <v>2009-04 (апрель 2009)</v>
      </c>
      <c r="E4753" s="9" t="s">
        <v>45</v>
      </c>
      <c r="F4753" s="7">
        <v>45</v>
      </c>
      <c r="G4753" s="7">
        <v>1553.38</v>
      </c>
      <c r="H4753" s="7">
        <v>0.1</v>
      </c>
      <c r="I4753" s="9" t="s">
        <v>22</v>
      </c>
      <c r="J4753" s="10">
        <v>180.88</v>
      </c>
      <c r="K4753" s="11">
        <v>36.549999999999997</v>
      </c>
      <c r="L4753" s="11">
        <v>13.89</v>
      </c>
      <c r="M4753" s="9" t="s">
        <v>1835</v>
      </c>
      <c r="N4753" s="6" t="s">
        <v>672</v>
      </c>
      <c r="O4753" s="6" t="s">
        <v>673</v>
      </c>
      <c r="P4753" s="9" t="s">
        <v>41</v>
      </c>
      <c r="Q4753" s="9" t="s">
        <v>26</v>
      </c>
      <c r="R4753" s="9" t="s">
        <v>95</v>
      </c>
      <c r="S4753" s="7" t="s">
        <v>290</v>
      </c>
      <c r="T4753" s="9" t="s">
        <v>68</v>
      </c>
      <c r="U4753" s="7">
        <v>0.41</v>
      </c>
      <c r="V4753" s="12">
        <f>C4753+2</f>
        <v>39910</v>
      </c>
      <c r="W4753">
        <f>IF(D4753=' Pivot Tables'!$A$4,1,0)</f>
        <v>0</v>
      </c>
      <c r="X4753">
        <f>IF(AND(LEFT(D4753,4)+1=LEFT(' Pivot Tables'!$A$4,4)+0,RIGHT(LEFT(D4753,7),2)=RIGHT(LEFT(' Pivot Tables'!$A$4,7),2)),1,0)</f>
        <v>0</v>
      </c>
      <c r="Y4753" s="6">
        <f>1/COUNTIF(Таблица1[Order ID],Таблица1[[#This Row],[Order ID]])</f>
        <v>1</v>
      </c>
      <c r="Z4753" s="9">
        <f>1/COUNTIFS(Таблица1[Customer Name],Таблица1[[#This Row],[Customer Name]],Таблица1[Order-Year-Month],Таблица1[[#This Row],[Order-Year-Month]])</f>
        <v>1</v>
      </c>
    </row>
    <row r="4754" spans="1:26" x14ac:dyDescent="0.2">
      <c r="A4754" s="6">
        <v>1967</v>
      </c>
      <c r="B4754" s="7">
        <v>14055</v>
      </c>
      <c r="C4754" s="8">
        <f>DATE(2012,12,31)-1217</f>
        <v>40057</v>
      </c>
      <c r="D4754" s="8" t="str">
        <f t="shared" si="88"/>
        <v>2009-09 (сентябрь 2009)</v>
      </c>
      <c r="E4754" s="9" t="s">
        <v>30</v>
      </c>
      <c r="F4754" s="7">
        <v>21</v>
      </c>
      <c r="G4754" s="7">
        <v>441.7</v>
      </c>
      <c r="H4754" s="7">
        <v>0.08</v>
      </c>
      <c r="I4754" s="9" t="s">
        <v>22</v>
      </c>
      <c r="J4754" s="10">
        <v>167.18</v>
      </c>
      <c r="K4754" s="11">
        <v>22.23</v>
      </c>
      <c r="L4754" s="11">
        <v>3.63</v>
      </c>
      <c r="M4754" s="9" t="s">
        <v>1825</v>
      </c>
      <c r="N4754" s="6" t="s">
        <v>672</v>
      </c>
      <c r="O4754" s="6" t="s">
        <v>673</v>
      </c>
      <c r="P4754" s="9" t="s">
        <v>60</v>
      </c>
      <c r="Q4754" s="9" t="s">
        <v>49</v>
      </c>
      <c r="R4754" s="9" t="s">
        <v>50</v>
      </c>
      <c r="S4754" s="7" t="s">
        <v>632</v>
      </c>
      <c r="T4754" s="9" t="s">
        <v>52</v>
      </c>
      <c r="U4754" s="7">
        <v>0.52</v>
      </c>
      <c r="V4754" s="12">
        <f>C4754+2</f>
        <v>40059</v>
      </c>
      <c r="W4754">
        <f>IF(D4754=' Pivot Tables'!$A$4,1,0)</f>
        <v>0</v>
      </c>
      <c r="X4754">
        <f>IF(AND(LEFT(D4754,4)+1=LEFT(' Pivot Tables'!$A$4,4)+0,RIGHT(LEFT(D4754,7),2)=RIGHT(LEFT(' Pivot Tables'!$A$4,7),2)),1,0)</f>
        <v>0</v>
      </c>
      <c r="Y4754" s="6">
        <f>1/COUNTIF(Таблица1[Order ID],Таблица1[[#This Row],[Order ID]])</f>
        <v>1</v>
      </c>
      <c r="Z4754" s="9">
        <f>1/COUNTIFS(Таблица1[Customer Name],Таблица1[[#This Row],[Customer Name]],Таблица1[Order-Year-Month],Таблица1[[#This Row],[Order-Year-Month]])</f>
        <v>1</v>
      </c>
    </row>
    <row r="4755" spans="1:26" x14ac:dyDescent="0.2">
      <c r="A4755" s="6">
        <v>2010</v>
      </c>
      <c r="B4755" s="7">
        <v>14342</v>
      </c>
      <c r="C4755" s="8">
        <f>DATE(2012,12,31)-1344</f>
        <v>39930</v>
      </c>
      <c r="D4755" s="8" t="str">
        <f t="shared" si="88"/>
        <v>2009-04 (апрель 2009)</v>
      </c>
      <c r="E4755" s="9" t="s">
        <v>21</v>
      </c>
      <c r="F4755" s="7">
        <v>38</v>
      </c>
      <c r="G4755" s="7">
        <v>10823.84</v>
      </c>
      <c r="H4755" s="7">
        <v>0.09</v>
      </c>
      <c r="I4755" s="9" t="s">
        <v>22</v>
      </c>
      <c r="J4755" s="10">
        <v>3857.43</v>
      </c>
      <c r="K4755" s="11">
        <v>300.97000000000003</v>
      </c>
      <c r="L4755" s="11">
        <v>7.18</v>
      </c>
      <c r="M4755" s="9" t="s">
        <v>1553</v>
      </c>
      <c r="N4755" s="6" t="s">
        <v>672</v>
      </c>
      <c r="O4755" s="6" t="s">
        <v>673</v>
      </c>
      <c r="P4755" s="9" t="s">
        <v>41</v>
      </c>
      <c r="Q4755" s="9" t="s">
        <v>42</v>
      </c>
      <c r="R4755" s="9" t="s">
        <v>70</v>
      </c>
      <c r="S4755" s="7" t="s">
        <v>1658</v>
      </c>
      <c r="T4755" s="9" t="s">
        <v>39</v>
      </c>
      <c r="U4755" s="7">
        <v>0.48</v>
      </c>
      <c r="V4755" s="12">
        <f>C4755+0</f>
        <v>39930</v>
      </c>
      <c r="W4755">
        <f>IF(D4755=' Pivot Tables'!$A$4,1,0)</f>
        <v>0</v>
      </c>
      <c r="X4755">
        <f>IF(AND(LEFT(D4755,4)+1=LEFT(' Pivot Tables'!$A$4,4)+0,RIGHT(LEFT(D4755,7),2)=RIGHT(LEFT(' Pivot Tables'!$A$4,7),2)),1,0)</f>
        <v>0</v>
      </c>
      <c r="Y4755" s="6">
        <f>1/COUNTIF(Таблица1[Order ID],Таблица1[[#This Row],[Order ID]])</f>
        <v>1</v>
      </c>
      <c r="Z4755" s="9">
        <f>1/COUNTIFS(Таблица1[Customer Name],Таблица1[[#This Row],[Customer Name]],Таблица1[Order-Year-Month],Таблица1[[#This Row],[Order-Year-Month]])</f>
        <v>1</v>
      </c>
    </row>
    <row r="4756" spans="1:26" x14ac:dyDescent="0.2">
      <c r="A4756" s="6">
        <v>2063</v>
      </c>
      <c r="B4756" s="7">
        <v>14756</v>
      </c>
      <c r="C4756" s="8">
        <f>DATE(2012,12,31)-1218</f>
        <v>40056</v>
      </c>
      <c r="D4756" s="8" t="str">
        <f t="shared" si="88"/>
        <v>2009-08 (август 2009)</v>
      </c>
      <c r="E4756" s="9" t="s">
        <v>21</v>
      </c>
      <c r="F4756" s="7">
        <v>2</v>
      </c>
      <c r="G4756" s="7">
        <v>42.3</v>
      </c>
      <c r="H4756" s="7">
        <v>0.06</v>
      </c>
      <c r="I4756" s="9" t="s">
        <v>22</v>
      </c>
      <c r="J4756" s="10">
        <v>-25.38</v>
      </c>
      <c r="K4756" s="11">
        <v>19.23</v>
      </c>
      <c r="L4756" s="11">
        <v>6.15</v>
      </c>
      <c r="M4756" s="9" t="s">
        <v>1832</v>
      </c>
      <c r="N4756" s="6" t="s">
        <v>672</v>
      </c>
      <c r="O4756" s="6" t="s">
        <v>673</v>
      </c>
      <c r="P4756" s="9" t="s">
        <v>41</v>
      </c>
      <c r="Q4756" s="9" t="s">
        <v>49</v>
      </c>
      <c r="R4756" s="9" t="s">
        <v>50</v>
      </c>
      <c r="S4756" s="7" t="s">
        <v>520</v>
      </c>
      <c r="T4756" s="9" t="s">
        <v>52</v>
      </c>
      <c r="U4756" s="7">
        <v>0.44</v>
      </c>
      <c r="V4756" s="12">
        <f>C4756+0</f>
        <v>40056</v>
      </c>
      <c r="W4756">
        <f>IF(D4756=' Pivot Tables'!$A$4,1,0)</f>
        <v>0</v>
      </c>
      <c r="X4756">
        <f>IF(AND(LEFT(D4756,4)+1=LEFT(' Pivot Tables'!$A$4,4)+0,RIGHT(LEFT(D4756,7),2)=RIGHT(LEFT(' Pivot Tables'!$A$4,7),2)),1,0)</f>
        <v>0</v>
      </c>
      <c r="Y4756" s="6">
        <f>1/COUNTIF(Таблица1[Order ID],Таблица1[[#This Row],[Order ID]])</f>
        <v>1</v>
      </c>
      <c r="Z4756" s="9">
        <f>1/COUNTIFS(Таблица1[Customer Name],Таблица1[[#This Row],[Customer Name]],Таблица1[Order-Year-Month],Таблица1[[#This Row],[Order-Year-Month]])</f>
        <v>1</v>
      </c>
    </row>
    <row r="4757" spans="1:26" x14ac:dyDescent="0.2">
      <c r="A4757" s="6">
        <v>2065</v>
      </c>
      <c r="B4757" s="7">
        <v>14785</v>
      </c>
      <c r="C4757" s="8">
        <f>DATE(2012,12,31)-1179</f>
        <v>40095</v>
      </c>
      <c r="D4757" s="8" t="str">
        <f t="shared" si="88"/>
        <v>2009-10 (октябрь 2009)</v>
      </c>
      <c r="E4757" s="9" t="s">
        <v>30</v>
      </c>
      <c r="F4757" s="7">
        <v>20</v>
      </c>
      <c r="G4757" s="7">
        <v>94.86</v>
      </c>
      <c r="H4757" s="7">
        <v>0.08</v>
      </c>
      <c r="I4757" s="9" t="s">
        <v>22</v>
      </c>
      <c r="J4757" s="10">
        <v>39.69</v>
      </c>
      <c r="K4757" s="11">
        <v>4.91</v>
      </c>
      <c r="L4757" s="11">
        <v>0.5</v>
      </c>
      <c r="M4757" s="9" t="s">
        <v>1511</v>
      </c>
      <c r="N4757" s="6" t="s">
        <v>672</v>
      </c>
      <c r="O4757" s="6" t="s">
        <v>673</v>
      </c>
      <c r="P4757" s="9" t="s">
        <v>33</v>
      </c>
      <c r="Q4757" s="9" t="s">
        <v>26</v>
      </c>
      <c r="R4757" s="9" t="s">
        <v>88</v>
      </c>
      <c r="S4757" s="7" t="s">
        <v>509</v>
      </c>
      <c r="T4757" s="9" t="s">
        <v>39</v>
      </c>
      <c r="U4757" s="7">
        <v>0.36</v>
      </c>
      <c r="V4757" s="12">
        <f>C4757+0</f>
        <v>40095</v>
      </c>
      <c r="W4757">
        <f>IF(D4757=' Pivot Tables'!$A$4,1,0)</f>
        <v>0</v>
      </c>
      <c r="X4757">
        <f>IF(AND(LEFT(D4757,4)+1=LEFT(' Pivot Tables'!$A$4,4)+0,RIGHT(LEFT(D4757,7),2)=RIGHT(LEFT(' Pivot Tables'!$A$4,7),2)),1,0)</f>
        <v>0</v>
      </c>
      <c r="Y4757" s="6">
        <f>1/COUNTIF(Таблица1[Order ID],Таблица1[[#This Row],[Order ID]])</f>
        <v>0.5</v>
      </c>
      <c r="Z4757" s="9">
        <f>1/COUNTIFS(Таблица1[Customer Name],Таблица1[[#This Row],[Customer Name]],Таблица1[Order-Year-Month],Таблица1[[#This Row],[Order-Year-Month]])</f>
        <v>0.5</v>
      </c>
    </row>
    <row r="4758" spans="1:26" x14ac:dyDescent="0.2">
      <c r="A4758" s="6">
        <v>2066</v>
      </c>
      <c r="B4758" s="7">
        <v>14785</v>
      </c>
      <c r="C4758" s="8">
        <f>DATE(2012,12,31)-1179</f>
        <v>40095</v>
      </c>
      <c r="D4758" s="8" t="str">
        <f t="shared" si="88"/>
        <v>2009-10 (октябрь 2009)</v>
      </c>
      <c r="E4758" s="9" t="s">
        <v>30</v>
      </c>
      <c r="F4758" s="7">
        <v>25</v>
      </c>
      <c r="G4758" s="7">
        <v>744.12</v>
      </c>
      <c r="H4758" s="7">
        <v>0.02</v>
      </c>
      <c r="I4758" s="9" t="s">
        <v>22</v>
      </c>
      <c r="J4758" s="10">
        <v>146.51</v>
      </c>
      <c r="K4758" s="11">
        <v>28.15</v>
      </c>
      <c r="L4758" s="11">
        <v>6.17</v>
      </c>
      <c r="M4758" s="9" t="s">
        <v>1511</v>
      </c>
      <c r="N4758" s="6" t="s">
        <v>672</v>
      </c>
      <c r="O4758" s="6" t="s">
        <v>673</v>
      </c>
      <c r="P4758" s="9" t="s">
        <v>33</v>
      </c>
      <c r="Q4758" s="9" t="s">
        <v>26</v>
      </c>
      <c r="R4758" s="9" t="s">
        <v>95</v>
      </c>
      <c r="S4758" s="7" t="s">
        <v>1753</v>
      </c>
      <c r="T4758" s="9" t="s">
        <v>52</v>
      </c>
      <c r="U4758" s="7">
        <v>0.55000000000000004</v>
      </c>
      <c r="V4758" s="12">
        <f>C4758+1</f>
        <v>40096</v>
      </c>
      <c r="W4758">
        <f>IF(D4758=' Pivot Tables'!$A$4,1,0)</f>
        <v>0</v>
      </c>
      <c r="X4758">
        <f>IF(AND(LEFT(D4758,4)+1=LEFT(' Pivot Tables'!$A$4,4)+0,RIGHT(LEFT(D4758,7),2)=RIGHT(LEFT(' Pivot Tables'!$A$4,7),2)),1,0)</f>
        <v>0</v>
      </c>
      <c r="Y4758" s="6">
        <f>1/COUNTIF(Таблица1[Order ID],Таблица1[[#This Row],[Order ID]])</f>
        <v>0.5</v>
      </c>
      <c r="Z4758" s="9">
        <f>1/COUNTIFS(Таблица1[Customer Name],Таблица1[[#This Row],[Customer Name]],Таблица1[Order-Year-Month],Таблица1[[#This Row],[Order-Year-Month]])</f>
        <v>0.5</v>
      </c>
    </row>
    <row r="4759" spans="1:26" x14ac:dyDescent="0.2">
      <c r="A4759" s="6">
        <v>2079</v>
      </c>
      <c r="B4759" s="7">
        <v>14855</v>
      </c>
      <c r="C4759" s="8">
        <f>DATE(2012,12,31)-976</f>
        <v>40298</v>
      </c>
      <c r="D4759" s="8" t="str">
        <f t="shared" si="88"/>
        <v>2010-04 (апрель 2010)</v>
      </c>
      <c r="E4759" s="9" t="s">
        <v>45</v>
      </c>
      <c r="F4759" s="7">
        <v>44</v>
      </c>
      <c r="G4759" s="7">
        <v>174.9</v>
      </c>
      <c r="H4759" s="7">
        <v>0.06</v>
      </c>
      <c r="I4759" s="9" t="s">
        <v>56</v>
      </c>
      <c r="J4759" s="10">
        <v>-150.90299999999999</v>
      </c>
      <c r="K4759" s="11">
        <v>3.58</v>
      </c>
      <c r="L4759" s="11">
        <v>5.47</v>
      </c>
      <c r="M4759" s="9" t="s">
        <v>1821</v>
      </c>
      <c r="N4759" s="6" t="s">
        <v>672</v>
      </c>
      <c r="O4759" s="6" t="s">
        <v>673</v>
      </c>
      <c r="P4759" s="9" t="s">
        <v>41</v>
      </c>
      <c r="Q4759" s="9" t="s">
        <v>26</v>
      </c>
      <c r="R4759" s="9" t="s">
        <v>37</v>
      </c>
      <c r="S4759" s="7" t="s">
        <v>462</v>
      </c>
      <c r="T4759" s="9" t="s">
        <v>39</v>
      </c>
      <c r="U4759" s="7">
        <v>0.37</v>
      </c>
      <c r="V4759" s="12">
        <f>C4759+2</f>
        <v>40300</v>
      </c>
      <c r="W4759">
        <f>IF(D4759=' Pivot Tables'!$A$4,1,0)</f>
        <v>0</v>
      </c>
      <c r="X4759">
        <f>IF(AND(LEFT(D4759,4)+1=LEFT(' Pivot Tables'!$A$4,4)+0,RIGHT(LEFT(D4759,7),2)=RIGHT(LEFT(' Pivot Tables'!$A$4,7),2)),1,0)</f>
        <v>0</v>
      </c>
      <c r="Y4759" s="6">
        <f>1/COUNTIF(Таблица1[Order ID],Таблица1[[#This Row],[Order ID]])</f>
        <v>0.33333333333333331</v>
      </c>
      <c r="Z4759" s="9">
        <f>1/COUNTIFS(Таблица1[Customer Name],Таблица1[[#This Row],[Customer Name]],Таблица1[Order-Year-Month],Таблица1[[#This Row],[Order-Year-Month]])</f>
        <v>0.33333333333333331</v>
      </c>
    </row>
    <row r="4760" spans="1:26" x14ac:dyDescent="0.2">
      <c r="A4760" s="6">
        <v>2080</v>
      </c>
      <c r="B4760" s="7">
        <v>14855</v>
      </c>
      <c r="C4760" s="8">
        <f>DATE(2012,12,31)-976</f>
        <v>40298</v>
      </c>
      <c r="D4760" s="8" t="str">
        <f t="shared" si="88"/>
        <v>2010-04 (апрель 2010)</v>
      </c>
      <c r="E4760" s="9" t="s">
        <v>45</v>
      </c>
      <c r="F4760" s="7">
        <v>48</v>
      </c>
      <c r="G4760" s="7">
        <v>103.8</v>
      </c>
      <c r="H4760" s="7">
        <v>0.1</v>
      </c>
      <c r="I4760" s="9" t="s">
        <v>22</v>
      </c>
      <c r="J4760" s="10">
        <v>-150.53</v>
      </c>
      <c r="K4760" s="11">
        <v>2.23</v>
      </c>
      <c r="L4760" s="11">
        <v>4.57</v>
      </c>
      <c r="M4760" s="9" t="s">
        <v>1821</v>
      </c>
      <c r="N4760" s="6" t="s">
        <v>672</v>
      </c>
      <c r="O4760" s="6" t="s">
        <v>673</v>
      </c>
      <c r="P4760" s="9" t="s">
        <v>41</v>
      </c>
      <c r="Q4760" s="9" t="s">
        <v>49</v>
      </c>
      <c r="R4760" s="9" t="s">
        <v>50</v>
      </c>
      <c r="S4760" s="7" t="s">
        <v>530</v>
      </c>
      <c r="T4760" s="9" t="s">
        <v>52</v>
      </c>
      <c r="U4760" s="7">
        <v>0.41</v>
      </c>
      <c r="V4760" s="12">
        <f>C4760+2</f>
        <v>40300</v>
      </c>
      <c r="W4760">
        <f>IF(D4760=' Pivot Tables'!$A$4,1,0)</f>
        <v>0</v>
      </c>
      <c r="X4760">
        <f>IF(AND(LEFT(D4760,4)+1=LEFT(' Pivot Tables'!$A$4,4)+0,RIGHT(LEFT(D4760,7),2)=RIGHT(LEFT(' Pivot Tables'!$A$4,7),2)),1,0)</f>
        <v>0</v>
      </c>
      <c r="Y4760" s="6">
        <f>1/COUNTIF(Таблица1[Order ID],Таблица1[[#This Row],[Order ID]])</f>
        <v>0.33333333333333331</v>
      </c>
      <c r="Z4760" s="9">
        <f>1/COUNTIFS(Таблица1[Customer Name],Таблица1[[#This Row],[Customer Name]],Таблица1[Order-Year-Month],Таблица1[[#This Row],[Order-Year-Month]])</f>
        <v>0.33333333333333331</v>
      </c>
    </row>
    <row r="4761" spans="1:26" x14ac:dyDescent="0.2">
      <c r="A4761" s="6">
        <v>2081</v>
      </c>
      <c r="B4761" s="7">
        <v>14855</v>
      </c>
      <c r="C4761" s="8">
        <f>DATE(2012,12,31)-976</f>
        <v>40298</v>
      </c>
      <c r="D4761" s="8" t="str">
        <f t="shared" si="88"/>
        <v>2010-04 (апрель 2010)</v>
      </c>
      <c r="E4761" s="9" t="s">
        <v>45</v>
      </c>
      <c r="F4761" s="7">
        <v>19</v>
      </c>
      <c r="G4761" s="7">
        <v>2557.5100000000002</v>
      </c>
      <c r="H4761" s="7">
        <v>0.01</v>
      </c>
      <c r="I4761" s="9" t="s">
        <v>31</v>
      </c>
      <c r="J4761" s="10">
        <v>-168.48</v>
      </c>
      <c r="K4761" s="11">
        <v>124.49</v>
      </c>
      <c r="L4761" s="11">
        <v>51.94</v>
      </c>
      <c r="M4761" s="9" t="s">
        <v>1821</v>
      </c>
      <c r="N4761" s="6" t="s">
        <v>672</v>
      </c>
      <c r="O4761" s="6" t="s">
        <v>673</v>
      </c>
      <c r="P4761" s="9" t="s">
        <v>41</v>
      </c>
      <c r="Q4761" s="9" t="s">
        <v>49</v>
      </c>
      <c r="R4761" s="9" t="s">
        <v>83</v>
      </c>
      <c r="S4761" s="7" t="s">
        <v>432</v>
      </c>
      <c r="T4761" s="9" t="s">
        <v>82</v>
      </c>
      <c r="U4761" s="7">
        <v>0.63</v>
      </c>
      <c r="V4761" s="12">
        <f>C4761+2</f>
        <v>40300</v>
      </c>
      <c r="W4761">
        <f>IF(D4761=' Pivot Tables'!$A$4,1,0)</f>
        <v>0</v>
      </c>
      <c r="X4761">
        <f>IF(AND(LEFT(D4761,4)+1=LEFT(' Pivot Tables'!$A$4,4)+0,RIGHT(LEFT(D4761,7),2)=RIGHT(LEFT(' Pivot Tables'!$A$4,7),2)),1,0)</f>
        <v>0</v>
      </c>
      <c r="Y4761" s="6">
        <f>1/COUNTIF(Таблица1[Order ID],Таблица1[[#This Row],[Order ID]])</f>
        <v>0.33333333333333331</v>
      </c>
      <c r="Z4761" s="9">
        <f>1/COUNTIFS(Таблица1[Customer Name],Таблица1[[#This Row],[Customer Name]],Таблица1[Order-Year-Month],Таблица1[[#This Row],[Order-Year-Month]])</f>
        <v>0.33333333333333331</v>
      </c>
    </row>
    <row r="4762" spans="1:26" x14ac:dyDescent="0.2">
      <c r="A4762" s="6">
        <v>2105</v>
      </c>
      <c r="B4762" s="7">
        <v>15045</v>
      </c>
      <c r="C4762" s="8">
        <f>DATE(2012,12,31)-864</f>
        <v>40410</v>
      </c>
      <c r="D4762" s="8" t="str">
        <f t="shared" si="88"/>
        <v>2010-08 (август 2010)</v>
      </c>
      <c r="E4762" s="9" t="s">
        <v>45</v>
      </c>
      <c r="F4762" s="7">
        <v>11</v>
      </c>
      <c r="G4762" s="7">
        <v>1378.72</v>
      </c>
      <c r="H4762" s="7">
        <v>7.0000000000000007E-2</v>
      </c>
      <c r="I4762" s="9" t="s">
        <v>31</v>
      </c>
      <c r="J4762" s="10">
        <v>-640.6</v>
      </c>
      <c r="K4762" s="11">
        <v>122.99</v>
      </c>
      <c r="L4762" s="11">
        <v>70.2</v>
      </c>
      <c r="M4762" s="9" t="s">
        <v>1831</v>
      </c>
      <c r="N4762" s="6" t="s">
        <v>672</v>
      </c>
      <c r="O4762" s="6" t="s">
        <v>673</v>
      </c>
      <c r="P4762" s="9" t="s">
        <v>25</v>
      </c>
      <c r="Q4762" s="9" t="s">
        <v>49</v>
      </c>
      <c r="R4762" s="9" t="s">
        <v>112</v>
      </c>
      <c r="S4762" s="7" t="s">
        <v>426</v>
      </c>
      <c r="T4762" s="9" t="s">
        <v>36</v>
      </c>
      <c r="U4762" s="7">
        <v>0.74</v>
      </c>
      <c r="V4762" s="12">
        <f>C4762+2</f>
        <v>40412</v>
      </c>
      <c r="W4762">
        <f>IF(D4762=' Pivot Tables'!$A$4,1,0)</f>
        <v>0</v>
      </c>
      <c r="X4762">
        <f>IF(AND(LEFT(D4762,4)+1=LEFT(' Pivot Tables'!$A$4,4)+0,RIGHT(LEFT(D4762,7),2)=RIGHT(LEFT(' Pivot Tables'!$A$4,7),2)),1,0)</f>
        <v>0</v>
      </c>
      <c r="Y4762" s="6">
        <f>1/COUNTIF(Таблица1[Order ID],Таблица1[[#This Row],[Order ID]])</f>
        <v>1</v>
      </c>
      <c r="Z4762" s="9">
        <f>1/COUNTIFS(Таблица1[Customer Name],Таблица1[[#This Row],[Customer Name]],Таблица1[Order-Year-Month],Таблица1[[#This Row],[Order-Year-Month]])</f>
        <v>1</v>
      </c>
    </row>
    <row r="4763" spans="1:26" x14ac:dyDescent="0.2">
      <c r="A4763" s="6">
        <v>2266</v>
      </c>
      <c r="B4763" s="7">
        <v>16289</v>
      </c>
      <c r="C4763" s="8">
        <f>DATE(2012,12,31)-898</f>
        <v>40376</v>
      </c>
      <c r="D4763" s="8" t="str">
        <f t="shared" si="88"/>
        <v>2010-07 (июль 2010)</v>
      </c>
      <c r="E4763" s="9" t="s">
        <v>30</v>
      </c>
      <c r="F4763" s="7">
        <v>49</v>
      </c>
      <c r="G4763" s="7">
        <v>5610.6120000000001</v>
      </c>
      <c r="H4763" s="7">
        <v>0.01</v>
      </c>
      <c r="I4763" s="9" t="s">
        <v>22</v>
      </c>
      <c r="J4763" s="10">
        <v>2040.8670000000002</v>
      </c>
      <c r="K4763" s="11">
        <v>125.99</v>
      </c>
      <c r="L4763" s="11">
        <v>2.5</v>
      </c>
      <c r="M4763" s="9" t="s">
        <v>1821</v>
      </c>
      <c r="N4763" s="6" t="s">
        <v>672</v>
      </c>
      <c r="O4763" s="6" t="s">
        <v>673</v>
      </c>
      <c r="P4763" s="9" t="s">
        <v>41</v>
      </c>
      <c r="Q4763" s="9" t="s">
        <v>42</v>
      </c>
      <c r="R4763" s="9" t="s">
        <v>43</v>
      </c>
      <c r="S4763" s="7" t="s">
        <v>1836</v>
      </c>
      <c r="T4763" s="9" t="s">
        <v>39</v>
      </c>
      <c r="U4763" s="7">
        <v>0.57999999999999996</v>
      </c>
      <c r="V4763" s="12">
        <f>C4763+2</f>
        <v>40378</v>
      </c>
      <c r="W4763">
        <f>IF(D4763=' Pivot Tables'!$A$4,1,0)</f>
        <v>0</v>
      </c>
      <c r="X4763">
        <f>IF(AND(LEFT(D4763,4)+1=LEFT(' Pivot Tables'!$A$4,4)+0,RIGHT(LEFT(D4763,7),2)=RIGHT(LEFT(' Pivot Tables'!$A$4,7),2)),1,0)</f>
        <v>0</v>
      </c>
      <c r="Y4763" s="6">
        <f>1/COUNTIF(Таблица1[Order ID],Таблица1[[#This Row],[Order ID]])</f>
        <v>0.5</v>
      </c>
      <c r="Z4763" s="9">
        <f>1/COUNTIFS(Таблица1[Customer Name],Таблица1[[#This Row],[Customer Name]],Таблица1[Order-Year-Month],Таблица1[[#This Row],[Order-Year-Month]])</f>
        <v>0.5</v>
      </c>
    </row>
    <row r="4764" spans="1:26" x14ac:dyDescent="0.2">
      <c r="A4764" s="6">
        <v>2718</v>
      </c>
      <c r="B4764" s="7">
        <v>19621</v>
      </c>
      <c r="C4764" s="8">
        <f>DATE(2012,12,31)-481</f>
        <v>40793</v>
      </c>
      <c r="D4764" s="8" t="str">
        <f t="shared" si="88"/>
        <v>2011-09 (сентябрь 2011)</v>
      </c>
      <c r="E4764" s="9" t="s">
        <v>78</v>
      </c>
      <c r="F4764" s="7">
        <v>20</v>
      </c>
      <c r="G4764" s="7">
        <v>67.03</v>
      </c>
      <c r="H4764" s="7">
        <v>0.04</v>
      </c>
      <c r="I4764" s="9" t="s">
        <v>22</v>
      </c>
      <c r="J4764" s="10">
        <v>-30.4</v>
      </c>
      <c r="K4764" s="11">
        <v>3.14</v>
      </c>
      <c r="L4764" s="11">
        <v>1.92</v>
      </c>
      <c r="M4764" s="9" t="s">
        <v>1559</v>
      </c>
      <c r="N4764" s="6" t="s">
        <v>672</v>
      </c>
      <c r="O4764" s="6" t="s">
        <v>673</v>
      </c>
      <c r="P4764" s="9" t="s">
        <v>41</v>
      </c>
      <c r="Q4764" s="9" t="s">
        <v>26</v>
      </c>
      <c r="R4764" s="9" t="s">
        <v>150</v>
      </c>
      <c r="S4764" s="7" t="s">
        <v>699</v>
      </c>
      <c r="T4764" s="9" t="s">
        <v>68</v>
      </c>
      <c r="U4764" s="7">
        <v>0.84</v>
      </c>
      <c r="V4764" s="12">
        <f>C4764+1</f>
        <v>40794</v>
      </c>
      <c r="W4764">
        <f>IF(D4764=' Pivot Tables'!$A$4,1,0)</f>
        <v>0</v>
      </c>
      <c r="X4764">
        <f>IF(AND(LEFT(D4764,4)+1=LEFT(' Pivot Tables'!$A$4,4)+0,RIGHT(LEFT(D4764,7),2)=RIGHT(LEFT(' Pivot Tables'!$A$4,7),2)),1,0)</f>
        <v>0</v>
      </c>
      <c r="Y4764" s="6">
        <f>1/COUNTIF(Таблица1[Order ID],Таблица1[[#This Row],[Order ID]])</f>
        <v>0.5</v>
      </c>
      <c r="Z4764" s="9">
        <f>1/COUNTIFS(Таблица1[Customer Name],Таблица1[[#This Row],[Customer Name]],Таблица1[Order-Year-Month],Таблица1[[#This Row],[Order-Year-Month]])</f>
        <v>0.33333333333333331</v>
      </c>
    </row>
    <row r="4765" spans="1:26" x14ac:dyDescent="0.2">
      <c r="A4765" s="6">
        <v>2719</v>
      </c>
      <c r="B4765" s="7">
        <v>19621</v>
      </c>
      <c r="C4765" s="8">
        <f>DATE(2012,12,31)-481</f>
        <v>40793</v>
      </c>
      <c r="D4765" s="8" t="str">
        <f t="shared" si="88"/>
        <v>2011-09 (сентябрь 2011)</v>
      </c>
      <c r="E4765" s="9" t="s">
        <v>78</v>
      </c>
      <c r="F4765" s="7">
        <v>15</v>
      </c>
      <c r="G4765" s="7">
        <v>140.82</v>
      </c>
      <c r="H4765" s="7">
        <v>0.08</v>
      </c>
      <c r="I4765" s="9" t="s">
        <v>56</v>
      </c>
      <c r="J4765" s="10">
        <v>-43.26</v>
      </c>
      <c r="K4765" s="11">
        <v>7.98</v>
      </c>
      <c r="L4765" s="11">
        <v>6.5</v>
      </c>
      <c r="M4765" s="9" t="s">
        <v>1559</v>
      </c>
      <c r="N4765" s="6" t="s">
        <v>672</v>
      </c>
      <c r="O4765" s="6" t="s">
        <v>673</v>
      </c>
      <c r="P4765" s="9" t="s">
        <v>41</v>
      </c>
      <c r="Q4765" s="9" t="s">
        <v>26</v>
      </c>
      <c r="R4765" s="9" t="s">
        <v>27</v>
      </c>
      <c r="S4765" s="7" t="s">
        <v>1549</v>
      </c>
      <c r="T4765" s="9" t="s">
        <v>48</v>
      </c>
      <c r="U4765" s="7">
        <v>0.59</v>
      </c>
      <c r="V4765" s="12">
        <f>C4765+1</f>
        <v>40794</v>
      </c>
      <c r="W4765">
        <f>IF(D4765=' Pivot Tables'!$A$4,1,0)</f>
        <v>0</v>
      </c>
      <c r="X4765">
        <f>IF(AND(LEFT(D4765,4)+1=LEFT(' Pivot Tables'!$A$4,4)+0,RIGHT(LEFT(D4765,7),2)=RIGHT(LEFT(' Pivot Tables'!$A$4,7),2)),1,0)</f>
        <v>0</v>
      </c>
      <c r="Y4765" s="6">
        <f>1/COUNTIF(Таблица1[Order ID],Таблица1[[#This Row],[Order ID]])</f>
        <v>0.5</v>
      </c>
      <c r="Z4765" s="9">
        <f>1/COUNTIFS(Таблица1[Customer Name],Таблица1[[#This Row],[Customer Name]],Таблица1[Order-Year-Month],Таблица1[[#This Row],[Order-Year-Month]])</f>
        <v>0.33333333333333331</v>
      </c>
    </row>
    <row r="4766" spans="1:26" x14ac:dyDescent="0.2">
      <c r="A4766" s="6">
        <v>2771</v>
      </c>
      <c r="B4766" s="7">
        <v>20036</v>
      </c>
      <c r="C4766" s="8">
        <f>DATE(2012,12,31)-757</f>
        <v>40517</v>
      </c>
      <c r="D4766" s="8" t="str">
        <f t="shared" si="88"/>
        <v>2010-12 (декабрь 2010)</v>
      </c>
      <c r="E4766" s="9" t="s">
        <v>45</v>
      </c>
      <c r="F4766" s="7">
        <v>28</v>
      </c>
      <c r="G4766" s="7">
        <v>4371.92</v>
      </c>
      <c r="H4766" s="7">
        <v>0.03</v>
      </c>
      <c r="I4766" s="9" t="s">
        <v>31</v>
      </c>
      <c r="J4766" s="10">
        <v>-533.44000000000005</v>
      </c>
      <c r="K4766" s="11">
        <v>150.97999999999999</v>
      </c>
      <c r="L4766" s="11">
        <v>66.27</v>
      </c>
      <c r="M4766" s="9" t="s">
        <v>1821</v>
      </c>
      <c r="N4766" s="6" t="s">
        <v>672</v>
      </c>
      <c r="O4766" s="6" t="s">
        <v>673</v>
      </c>
      <c r="P4766" s="9" t="s">
        <v>41</v>
      </c>
      <c r="Q4766" s="9" t="s">
        <v>49</v>
      </c>
      <c r="R4766" s="9" t="s">
        <v>80</v>
      </c>
      <c r="S4766" s="7" t="s">
        <v>325</v>
      </c>
      <c r="T4766" s="9" t="s">
        <v>82</v>
      </c>
      <c r="U4766" s="7">
        <v>0.65</v>
      </c>
      <c r="V4766" s="12">
        <f>C4766+3</f>
        <v>40520</v>
      </c>
      <c r="W4766">
        <f>IF(D4766=' Pivot Tables'!$A$4,1,0)</f>
        <v>0</v>
      </c>
      <c r="X4766">
        <f>IF(AND(LEFT(D4766,4)+1=LEFT(' Pivot Tables'!$A$4,4)+0,RIGHT(LEFT(D4766,7),2)=RIGHT(LEFT(' Pivot Tables'!$A$4,7),2)),1,0)</f>
        <v>0</v>
      </c>
      <c r="Y4766" s="6">
        <f>1/COUNTIF(Таблица1[Order ID],Таблица1[[#This Row],[Order ID]])</f>
        <v>0.25</v>
      </c>
      <c r="Z4766" s="9">
        <f>1/COUNTIFS(Таблица1[Customer Name],Таблица1[[#This Row],[Customer Name]],Таблица1[Order-Year-Month],Таблица1[[#This Row],[Order-Year-Month]])</f>
        <v>0.25</v>
      </c>
    </row>
    <row r="4767" spans="1:26" x14ac:dyDescent="0.2">
      <c r="A4767" s="6">
        <v>2772</v>
      </c>
      <c r="B4767" s="7">
        <v>20036</v>
      </c>
      <c r="C4767" s="8">
        <f>DATE(2012,12,31)-757</f>
        <v>40517</v>
      </c>
      <c r="D4767" s="8" t="str">
        <f t="shared" si="88"/>
        <v>2010-12 (декабрь 2010)</v>
      </c>
      <c r="E4767" s="9" t="s">
        <v>45</v>
      </c>
      <c r="F4767" s="7">
        <v>21</v>
      </c>
      <c r="G4767" s="7">
        <v>1745.1179999999999</v>
      </c>
      <c r="H4767" s="7">
        <v>0.03</v>
      </c>
      <c r="I4767" s="9" t="s">
        <v>22</v>
      </c>
      <c r="J4767" s="10">
        <v>307.25099999999998</v>
      </c>
      <c r="K4767" s="11">
        <v>95.99</v>
      </c>
      <c r="L4767" s="11">
        <v>4.9000000000000004</v>
      </c>
      <c r="M4767" s="9" t="s">
        <v>1821</v>
      </c>
      <c r="N4767" s="6" t="s">
        <v>672</v>
      </c>
      <c r="O4767" s="6" t="s">
        <v>673</v>
      </c>
      <c r="P4767" s="9" t="s">
        <v>41</v>
      </c>
      <c r="Q4767" s="9" t="s">
        <v>42</v>
      </c>
      <c r="R4767" s="9" t="s">
        <v>43</v>
      </c>
      <c r="S4767" s="7" t="s">
        <v>1254</v>
      </c>
      <c r="T4767" s="9" t="s">
        <v>39</v>
      </c>
      <c r="U4767" s="7">
        <v>0.56000000000000005</v>
      </c>
      <c r="V4767" s="12">
        <f>C4767+2</f>
        <v>40519</v>
      </c>
      <c r="W4767">
        <f>IF(D4767=' Pivot Tables'!$A$4,1,0)</f>
        <v>0</v>
      </c>
      <c r="X4767">
        <f>IF(AND(LEFT(D4767,4)+1=LEFT(' Pivot Tables'!$A$4,4)+0,RIGHT(LEFT(D4767,7),2)=RIGHT(LEFT(' Pivot Tables'!$A$4,7),2)),1,0)</f>
        <v>0</v>
      </c>
      <c r="Y4767" s="6">
        <f>1/COUNTIF(Таблица1[Order ID],Таблица1[[#This Row],[Order ID]])</f>
        <v>0.25</v>
      </c>
      <c r="Z4767" s="9">
        <f>1/COUNTIFS(Таблица1[Customer Name],Таблица1[[#This Row],[Customer Name]],Таблица1[Order-Year-Month],Таблица1[[#This Row],[Order-Year-Month]])</f>
        <v>0.25</v>
      </c>
    </row>
    <row r="4768" spans="1:26" x14ac:dyDescent="0.2">
      <c r="A4768" s="6">
        <v>2880</v>
      </c>
      <c r="B4768" s="7">
        <v>20773</v>
      </c>
      <c r="C4768" s="8">
        <f>DATE(2012,12,31)-1397</f>
        <v>39877</v>
      </c>
      <c r="D4768" s="8" t="str">
        <f t="shared" si="88"/>
        <v>2009-03 (март 2009)</v>
      </c>
      <c r="E4768" s="9" t="s">
        <v>45</v>
      </c>
      <c r="F4768" s="7">
        <v>44</v>
      </c>
      <c r="G4768" s="7">
        <v>479.96</v>
      </c>
      <c r="H4768" s="7">
        <v>0.08</v>
      </c>
      <c r="I4768" s="9" t="s">
        <v>22</v>
      </c>
      <c r="J4768" s="10">
        <v>122.536</v>
      </c>
      <c r="K4768" s="11">
        <v>10.91</v>
      </c>
      <c r="L4768" s="11">
        <v>2.99</v>
      </c>
      <c r="M4768" s="9" t="s">
        <v>1837</v>
      </c>
      <c r="N4768" s="6" t="s">
        <v>672</v>
      </c>
      <c r="O4768" s="6" t="s">
        <v>673</v>
      </c>
      <c r="P4768" s="9" t="s">
        <v>60</v>
      </c>
      <c r="Q4768" s="9" t="s">
        <v>26</v>
      </c>
      <c r="R4768" s="9" t="s">
        <v>37</v>
      </c>
      <c r="S4768" s="7" t="s">
        <v>357</v>
      </c>
      <c r="T4768" s="9" t="s">
        <v>39</v>
      </c>
      <c r="U4768" s="7">
        <v>0.38</v>
      </c>
      <c r="V4768" s="12">
        <f>C4768+1</f>
        <v>39878</v>
      </c>
      <c r="W4768">
        <f>IF(D4768=' Pivot Tables'!$A$4,1,0)</f>
        <v>0</v>
      </c>
      <c r="X4768">
        <f>IF(AND(LEFT(D4768,4)+1=LEFT(' Pivot Tables'!$A$4,4)+0,RIGHT(LEFT(D4768,7),2)=RIGHT(LEFT(' Pivot Tables'!$A$4,7),2)),1,0)</f>
        <v>0</v>
      </c>
      <c r="Y4768" s="6">
        <f>1/COUNTIF(Таблица1[Order ID],Таблица1[[#This Row],[Order ID]])</f>
        <v>1</v>
      </c>
      <c r="Z4768" s="9">
        <f>1/COUNTIFS(Таблица1[Customer Name],Таблица1[[#This Row],[Customer Name]],Таблица1[Order-Year-Month],Таблица1[[#This Row],[Order-Year-Month]])</f>
        <v>0.25</v>
      </c>
    </row>
    <row r="4769" spans="1:26" x14ac:dyDescent="0.2">
      <c r="A4769" s="6">
        <v>2909</v>
      </c>
      <c r="B4769" s="7">
        <v>20967</v>
      </c>
      <c r="C4769" s="8">
        <f>DATE(2012,12,31)-657</f>
        <v>40617</v>
      </c>
      <c r="D4769" s="8" t="str">
        <f t="shared" si="88"/>
        <v>2011-03 (март 2011)</v>
      </c>
      <c r="E4769" s="9" t="s">
        <v>30</v>
      </c>
      <c r="F4769" s="7">
        <v>50</v>
      </c>
      <c r="G4769" s="7">
        <v>28664.52</v>
      </c>
      <c r="H4769" s="7">
        <v>0.09</v>
      </c>
      <c r="I4769" s="9" t="s">
        <v>22</v>
      </c>
      <c r="J4769" s="10">
        <v>13340.26</v>
      </c>
      <c r="K4769" s="11">
        <v>599.99</v>
      </c>
      <c r="L4769" s="11">
        <v>24.49</v>
      </c>
      <c r="M4769" s="9" t="s">
        <v>1553</v>
      </c>
      <c r="N4769" s="6" t="s">
        <v>672</v>
      </c>
      <c r="O4769" s="6" t="s">
        <v>673</v>
      </c>
      <c r="P4769" s="9" t="s">
        <v>25</v>
      </c>
      <c r="Q4769" s="9" t="s">
        <v>42</v>
      </c>
      <c r="R4769" s="9" t="s">
        <v>99</v>
      </c>
      <c r="S4769" s="7" t="s">
        <v>1004</v>
      </c>
      <c r="T4769" s="9" t="s">
        <v>29</v>
      </c>
      <c r="U4769" s="7">
        <v>0.37</v>
      </c>
      <c r="V4769" s="12">
        <f>C4769+0</f>
        <v>40617</v>
      </c>
      <c r="W4769">
        <f>IF(D4769=' Pivot Tables'!$A$4,1,0)</f>
        <v>0</v>
      </c>
      <c r="X4769">
        <f>IF(AND(LEFT(D4769,4)+1=LEFT(' Pivot Tables'!$A$4,4)+0,RIGHT(LEFT(D4769,7),2)=RIGHT(LEFT(' Pivot Tables'!$A$4,7),2)),1,0)</f>
        <v>0</v>
      </c>
      <c r="Y4769" s="6">
        <f>1/COUNTIF(Таблица1[Order ID],Таблица1[[#This Row],[Order ID]])</f>
        <v>0.5</v>
      </c>
      <c r="Z4769" s="9">
        <f>1/COUNTIFS(Таблица1[Customer Name],Таблица1[[#This Row],[Customer Name]],Таблица1[Order-Year-Month],Таблица1[[#This Row],[Order-Year-Month]])</f>
        <v>0.5</v>
      </c>
    </row>
    <row r="4770" spans="1:26" x14ac:dyDescent="0.2">
      <c r="A4770" s="6">
        <v>2910</v>
      </c>
      <c r="B4770" s="7">
        <v>20967</v>
      </c>
      <c r="C4770" s="8">
        <f>DATE(2012,12,31)-657</f>
        <v>40617</v>
      </c>
      <c r="D4770" s="8" t="str">
        <f t="shared" si="88"/>
        <v>2011-03 (март 2011)</v>
      </c>
      <c r="E4770" s="9" t="s">
        <v>30</v>
      </c>
      <c r="F4770" s="7">
        <v>6</v>
      </c>
      <c r="G4770" s="7">
        <v>635.7405</v>
      </c>
      <c r="H4770" s="7">
        <v>0.03</v>
      </c>
      <c r="I4770" s="9" t="s">
        <v>22</v>
      </c>
      <c r="J4770" s="10">
        <v>-397.529</v>
      </c>
      <c r="K4770" s="11">
        <v>125.99</v>
      </c>
      <c r="L4770" s="11">
        <v>8.08</v>
      </c>
      <c r="M4770" s="9" t="s">
        <v>1553</v>
      </c>
      <c r="N4770" s="6" t="s">
        <v>672</v>
      </c>
      <c r="O4770" s="6" t="s">
        <v>673</v>
      </c>
      <c r="P4770" s="9" t="s">
        <v>25</v>
      </c>
      <c r="Q4770" s="9" t="s">
        <v>42</v>
      </c>
      <c r="R4770" s="9" t="s">
        <v>43</v>
      </c>
      <c r="S4770" s="7" t="s">
        <v>586</v>
      </c>
      <c r="T4770" s="9" t="s">
        <v>39</v>
      </c>
      <c r="U4770" s="7">
        <v>0.56999999999999995</v>
      </c>
      <c r="V4770" s="12">
        <f>C4770+1</f>
        <v>40618</v>
      </c>
      <c r="W4770">
        <f>IF(D4770=' Pivot Tables'!$A$4,1,0)</f>
        <v>0</v>
      </c>
      <c r="X4770">
        <f>IF(AND(LEFT(D4770,4)+1=LEFT(' Pivot Tables'!$A$4,4)+0,RIGHT(LEFT(D4770,7),2)=RIGHT(LEFT(' Pivot Tables'!$A$4,7),2)),1,0)</f>
        <v>0</v>
      </c>
      <c r="Y4770" s="6">
        <f>1/COUNTIF(Таблица1[Order ID],Таблица1[[#This Row],[Order ID]])</f>
        <v>0.5</v>
      </c>
      <c r="Z4770" s="9">
        <f>1/COUNTIFS(Таблица1[Customer Name],Таблица1[[#This Row],[Customer Name]],Таблица1[Order-Year-Month],Таблица1[[#This Row],[Order-Year-Month]])</f>
        <v>0.5</v>
      </c>
    </row>
    <row r="4771" spans="1:26" x14ac:dyDescent="0.2">
      <c r="A4771" s="6">
        <v>2974</v>
      </c>
      <c r="B4771" s="7">
        <v>21478</v>
      </c>
      <c r="C4771" s="8">
        <f>DATE(2012,12,31)-304</f>
        <v>40970</v>
      </c>
      <c r="D4771" s="8" t="str">
        <f t="shared" si="88"/>
        <v>2012-03 (март 2012)</v>
      </c>
      <c r="E4771" s="9" t="s">
        <v>21</v>
      </c>
      <c r="F4771" s="7">
        <v>16</v>
      </c>
      <c r="G4771" s="7">
        <v>423.07</v>
      </c>
      <c r="H4771" s="7">
        <v>0.01</v>
      </c>
      <c r="I4771" s="9" t="s">
        <v>22</v>
      </c>
      <c r="J4771" s="10">
        <v>126.95</v>
      </c>
      <c r="K4771" s="11">
        <v>25.38</v>
      </c>
      <c r="L4771" s="11">
        <v>8.99</v>
      </c>
      <c r="M4771" s="9" t="s">
        <v>1825</v>
      </c>
      <c r="N4771" s="6" t="s">
        <v>672</v>
      </c>
      <c r="O4771" s="6" t="s">
        <v>673</v>
      </c>
      <c r="P4771" s="9" t="s">
        <v>60</v>
      </c>
      <c r="Q4771" s="9" t="s">
        <v>49</v>
      </c>
      <c r="R4771" s="9" t="s">
        <v>50</v>
      </c>
      <c r="S4771" s="7" t="s">
        <v>335</v>
      </c>
      <c r="T4771" s="9" t="s">
        <v>52</v>
      </c>
      <c r="U4771" s="7">
        <v>0.5</v>
      </c>
      <c r="V4771" s="12">
        <f>C4771+2</f>
        <v>40972</v>
      </c>
      <c r="W4771">
        <f>IF(D4771=' Pivot Tables'!$A$4,1,0)</f>
        <v>0</v>
      </c>
      <c r="X4771">
        <f>IF(AND(LEFT(D4771,4)+1=LEFT(' Pivot Tables'!$A$4,4)+0,RIGHT(LEFT(D4771,7),2)=RIGHT(LEFT(' Pivot Tables'!$A$4,7),2)),1,0)</f>
        <v>0</v>
      </c>
      <c r="Y4771" s="6">
        <f>1/COUNTIF(Таблица1[Order ID],Таблица1[[#This Row],[Order ID]])</f>
        <v>0.5</v>
      </c>
      <c r="Z4771" s="9">
        <f>1/COUNTIFS(Таблица1[Customer Name],Таблица1[[#This Row],[Customer Name]],Таблица1[Order-Year-Month],Таблица1[[#This Row],[Order-Year-Month]])</f>
        <v>0.5</v>
      </c>
    </row>
    <row r="4772" spans="1:26" x14ac:dyDescent="0.2">
      <c r="A4772" s="6">
        <v>2975</v>
      </c>
      <c r="B4772" s="7">
        <v>21478</v>
      </c>
      <c r="C4772" s="8">
        <f>DATE(2012,12,31)-304</f>
        <v>40970</v>
      </c>
      <c r="D4772" s="8" t="str">
        <f t="shared" si="88"/>
        <v>2012-03 (март 2012)</v>
      </c>
      <c r="E4772" s="9" t="s">
        <v>21</v>
      </c>
      <c r="F4772" s="7">
        <v>33</v>
      </c>
      <c r="G4772" s="7">
        <v>1602.21</v>
      </c>
      <c r="H4772" s="7">
        <v>0.05</v>
      </c>
      <c r="I4772" s="9" t="s">
        <v>22</v>
      </c>
      <c r="J4772" s="10">
        <v>728.49</v>
      </c>
      <c r="K4772" s="11">
        <v>48.04</v>
      </c>
      <c r="L4772" s="11">
        <v>5.79</v>
      </c>
      <c r="M4772" s="9" t="s">
        <v>1825</v>
      </c>
      <c r="N4772" s="6" t="s">
        <v>672</v>
      </c>
      <c r="O4772" s="6" t="s">
        <v>673</v>
      </c>
      <c r="P4772" s="9" t="s">
        <v>60</v>
      </c>
      <c r="Q4772" s="9" t="s">
        <v>26</v>
      </c>
      <c r="R4772" s="9" t="s">
        <v>61</v>
      </c>
      <c r="S4772" s="7" t="s">
        <v>940</v>
      </c>
      <c r="T4772" s="9" t="s">
        <v>39</v>
      </c>
      <c r="U4772" s="7">
        <v>0.37</v>
      </c>
      <c r="V4772" s="12">
        <f>C4772+4</f>
        <v>40974</v>
      </c>
      <c r="W4772">
        <f>IF(D4772=' Pivot Tables'!$A$4,1,0)</f>
        <v>0</v>
      </c>
      <c r="X4772">
        <f>IF(AND(LEFT(D4772,4)+1=LEFT(' Pivot Tables'!$A$4,4)+0,RIGHT(LEFT(D4772,7),2)=RIGHT(LEFT(' Pivot Tables'!$A$4,7),2)),1,0)</f>
        <v>0</v>
      </c>
      <c r="Y4772" s="6">
        <f>1/COUNTIF(Таблица1[Order ID],Таблица1[[#This Row],[Order ID]])</f>
        <v>0.5</v>
      </c>
      <c r="Z4772" s="9">
        <f>1/COUNTIFS(Таблица1[Customer Name],Таблица1[[#This Row],[Customer Name]],Таблица1[Order-Year-Month],Таблица1[[#This Row],[Order-Year-Month]])</f>
        <v>0.5</v>
      </c>
    </row>
    <row r="4773" spans="1:26" x14ac:dyDescent="0.2">
      <c r="A4773" s="6">
        <v>3000</v>
      </c>
      <c r="B4773" s="7">
        <v>21633</v>
      </c>
      <c r="C4773" s="8">
        <f>DATE(2012,12,31)-1375</f>
        <v>39899</v>
      </c>
      <c r="D4773" s="8" t="str">
        <f t="shared" si="88"/>
        <v>2009-03 (март 2009)</v>
      </c>
      <c r="E4773" s="9" t="s">
        <v>63</v>
      </c>
      <c r="F4773" s="7">
        <v>29</v>
      </c>
      <c r="G4773" s="7">
        <v>547.82000000000005</v>
      </c>
      <c r="H4773" s="7">
        <v>0.08</v>
      </c>
      <c r="I4773" s="9" t="s">
        <v>22</v>
      </c>
      <c r="J4773" s="10">
        <v>69.63</v>
      </c>
      <c r="K4773" s="11">
        <v>18.7</v>
      </c>
      <c r="L4773" s="11">
        <v>8.99</v>
      </c>
      <c r="M4773" s="9" t="s">
        <v>1825</v>
      </c>
      <c r="N4773" s="6" t="s">
        <v>672</v>
      </c>
      <c r="O4773" s="6" t="s">
        <v>673</v>
      </c>
      <c r="P4773" s="9" t="s">
        <v>60</v>
      </c>
      <c r="Q4773" s="9" t="s">
        <v>49</v>
      </c>
      <c r="R4773" s="9" t="s">
        <v>50</v>
      </c>
      <c r="S4773" s="7" t="s">
        <v>1077</v>
      </c>
      <c r="T4773" s="9" t="s">
        <v>52</v>
      </c>
      <c r="U4773" s="7">
        <v>0.47</v>
      </c>
      <c r="V4773" s="12">
        <f>C4773+1</f>
        <v>39900</v>
      </c>
      <c r="W4773">
        <f>IF(D4773=' Pivot Tables'!$A$4,1,0)</f>
        <v>0</v>
      </c>
      <c r="X4773">
        <f>IF(AND(LEFT(D4773,4)+1=LEFT(' Pivot Tables'!$A$4,4)+0,RIGHT(LEFT(D4773,7),2)=RIGHT(LEFT(' Pivot Tables'!$A$4,7),2)),1,0)</f>
        <v>0</v>
      </c>
      <c r="Y4773" s="6">
        <f>1/COUNTIF(Таблица1[Order ID],Таблица1[[#This Row],[Order ID]])</f>
        <v>1</v>
      </c>
      <c r="Z4773" s="9">
        <f>1/COUNTIFS(Таблица1[Customer Name],Таблица1[[#This Row],[Customer Name]],Таблица1[Order-Year-Month],Таблица1[[#This Row],[Order-Year-Month]])</f>
        <v>1</v>
      </c>
    </row>
    <row r="4774" spans="1:26" x14ac:dyDescent="0.2">
      <c r="A4774" s="6">
        <v>3015</v>
      </c>
      <c r="B4774" s="7">
        <v>21696</v>
      </c>
      <c r="C4774" s="8">
        <f>DATE(2012,12,31)-802</f>
        <v>40472</v>
      </c>
      <c r="D4774" s="8" t="str">
        <f t="shared" si="88"/>
        <v>2010-10 (октябрь 2010)</v>
      </c>
      <c r="E4774" s="9" t="s">
        <v>63</v>
      </c>
      <c r="F4774" s="7">
        <v>14</v>
      </c>
      <c r="G4774" s="7">
        <v>278.27</v>
      </c>
      <c r="H4774" s="7">
        <v>0.02</v>
      </c>
      <c r="I4774" s="9" t="s">
        <v>22</v>
      </c>
      <c r="J4774" s="10">
        <v>-51.911000000000001</v>
      </c>
      <c r="K4774" s="11">
        <v>19.350000000000001</v>
      </c>
      <c r="L4774" s="11">
        <v>12.79</v>
      </c>
      <c r="M4774" s="9" t="s">
        <v>1559</v>
      </c>
      <c r="N4774" s="6" t="s">
        <v>672</v>
      </c>
      <c r="O4774" s="6" t="s">
        <v>673</v>
      </c>
      <c r="P4774" s="9" t="s">
        <v>33</v>
      </c>
      <c r="Q4774" s="9" t="s">
        <v>26</v>
      </c>
      <c r="R4774" s="9" t="s">
        <v>37</v>
      </c>
      <c r="S4774" s="7" t="s">
        <v>1344</v>
      </c>
      <c r="T4774" s="9" t="s">
        <v>39</v>
      </c>
      <c r="U4774" s="7">
        <v>0.39</v>
      </c>
      <c r="V4774" s="12">
        <f>C4774+1</f>
        <v>40473</v>
      </c>
      <c r="W4774">
        <f>IF(D4774=' Pivot Tables'!$A$4,1,0)</f>
        <v>0</v>
      </c>
      <c r="X4774">
        <f>IF(AND(LEFT(D4774,4)+1=LEFT(' Pivot Tables'!$A$4,4)+0,RIGHT(LEFT(D4774,7),2)=RIGHT(LEFT(' Pivot Tables'!$A$4,7),2)),1,0)</f>
        <v>0</v>
      </c>
      <c r="Y4774" s="6">
        <f>1/COUNTIF(Таблица1[Order ID],Таблица1[[#This Row],[Order ID]])</f>
        <v>1</v>
      </c>
      <c r="Z4774" s="9">
        <f>1/COUNTIFS(Таблица1[Customer Name],Таблица1[[#This Row],[Customer Name]],Таблица1[Order-Year-Month],Таблица1[[#This Row],[Order-Year-Month]])</f>
        <v>1</v>
      </c>
    </row>
    <row r="4775" spans="1:26" x14ac:dyDescent="0.2">
      <c r="A4775" s="6">
        <v>3184</v>
      </c>
      <c r="B4775" s="7">
        <v>22851</v>
      </c>
      <c r="C4775" s="8">
        <f>DATE(2012,12,31)-1401</f>
        <v>39873</v>
      </c>
      <c r="D4775" s="8" t="str">
        <f t="shared" si="88"/>
        <v>2009-03 (март 2009)</v>
      </c>
      <c r="E4775" s="9" t="s">
        <v>78</v>
      </c>
      <c r="F4775" s="7">
        <v>25</v>
      </c>
      <c r="G4775" s="7">
        <v>667.36</v>
      </c>
      <c r="H4775" s="7">
        <v>0.09</v>
      </c>
      <c r="I4775" s="9" t="s">
        <v>22</v>
      </c>
      <c r="J4775" s="10">
        <v>218.89</v>
      </c>
      <c r="K4775" s="11">
        <v>28.48</v>
      </c>
      <c r="L4775" s="11">
        <v>1.99</v>
      </c>
      <c r="M4775" s="9" t="s">
        <v>1837</v>
      </c>
      <c r="N4775" s="6" t="s">
        <v>672</v>
      </c>
      <c r="O4775" s="6" t="s">
        <v>673</v>
      </c>
      <c r="P4775" s="9" t="s">
        <v>60</v>
      </c>
      <c r="Q4775" s="9" t="s">
        <v>42</v>
      </c>
      <c r="R4775" s="9" t="s">
        <v>70</v>
      </c>
      <c r="S4775" s="7" t="s">
        <v>523</v>
      </c>
      <c r="T4775" s="9" t="s">
        <v>52</v>
      </c>
      <c r="U4775" s="7">
        <v>0.4</v>
      </c>
      <c r="V4775" s="12">
        <f>C4775+1</f>
        <v>39874</v>
      </c>
      <c r="W4775">
        <f>IF(D4775=' Pivot Tables'!$A$4,1,0)</f>
        <v>0</v>
      </c>
      <c r="X4775">
        <f>IF(AND(LEFT(D4775,4)+1=LEFT(' Pivot Tables'!$A$4,4)+0,RIGHT(LEFT(D4775,7),2)=RIGHT(LEFT(' Pivot Tables'!$A$4,7),2)),1,0)</f>
        <v>0</v>
      </c>
      <c r="Y4775" s="6">
        <f>1/COUNTIF(Таблица1[Order ID],Таблица1[[#This Row],[Order ID]])</f>
        <v>0.33333333333333331</v>
      </c>
      <c r="Z4775" s="9">
        <f>1/COUNTIFS(Таблица1[Customer Name],Таблица1[[#This Row],[Customer Name]],Таблица1[Order-Year-Month],Таблица1[[#This Row],[Order-Year-Month]])</f>
        <v>0.25</v>
      </c>
    </row>
    <row r="4776" spans="1:26" x14ac:dyDescent="0.2">
      <c r="A4776" s="6">
        <v>3185</v>
      </c>
      <c r="B4776" s="7">
        <v>22851</v>
      </c>
      <c r="C4776" s="8">
        <f>DATE(2012,12,31)-1401</f>
        <v>39873</v>
      </c>
      <c r="D4776" s="8" t="str">
        <f t="shared" si="88"/>
        <v>2009-03 (март 2009)</v>
      </c>
      <c r="E4776" s="9" t="s">
        <v>78</v>
      </c>
      <c r="F4776" s="7">
        <v>13</v>
      </c>
      <c r="G4776" s="7">
        <v>32.369999999999997</v>
      </c>
      <c r="H4776" s="7">
        <v>0</v>
      </c>
      <c r="I4776" s="9" t="s">
        <v>22</v>
      </c>
      <c r="J4776" s="10">
        <v>-48.55</v>
      </c>
      <c r="K4776" s="11">
        <v>2.08</v>
      </c>
      <c r="L4776" s="11">
        <v>5.33</v>
      </c>
      <c r="M4776" s="9" t="s">
        <v>1837</v>
      </c>
      <c r="N4776" s="6" t="s">
        <v>672</v>
      </c>
      <c r="O4776" s="6" t="s">
        <v>673</v>
      </c>
      <c r="P4776" s="9" t="s">
        <v>60</v>
      </c>
      <c r="Q4776" s="9" t="s">
        <v>49</v>
      </c>
      <c r="R4776" s="9" t="s">
        <v>50</v>
      </c>
      <c r="S4776" s="7" t="s">
        <v>216</v>
      </c>
      <c r="T4776" s="9" t="s">
        <v>39</v>
      </c>
      <c r="U4776" s="7">
        <v>0.43</v>
      </c>
      <c r="V4776" s="12">
        <f>C4776+2</f>
        <v>39875</v>
      </c>
      <c r="W4776">
        <f>IF(D4776=' Pivot Tables'!$A$4,1,0)</f>
        <v>0</v>
      </c>
      <c r="X4776">
        <f>IF(AND(LEFT(D4776,4)+1=LEFT(' Pivot Tables'!$A$4,4)+0,RIGHT(LEFT(D4776,7),2)=RIGHT(LEFT(' Pivot Tables'!$A$4,7),2)),1,0)</f>
        <v>0</v>
      </c>
      <c r="Y4776" s="6">
        <f>1/COUNTIF(Таблица1[Order ID],Таблица1[[#This Row],[Order ID]])</f>
        <v>0.33333333333333331</v>
      </c>
      <c r="Z4776" s="9">
        <f>1/COUNTIFS(Таблица1[Customer Name],Таблица1[[#This Row],[Customer Name]],Таблица1[Order-Year-Month],Таблица1[[#This Row],[Order-Year-Month]])</f>
        <v>0.25</v>
      </c>
    </row>
    <row r="4777" spans="1:26" x14ac:dyDescent="0.2">
      <c r="A4777" s="6">
        <v>3186</v>
      </c>
      <c r="B4777" s="7">
        <v>22851</v>
      </c>
      <c r="C4777" s="8">
        <f>DATE(2012,12,31)-1401</f>
        <v>39873</v>
      </c>
      <c r="D4777" s="8" t="str">
        <f t="shared" si="88"/>
        <v>2009-03 (март 2009)</v>
      </c>
      <c r="E4777" s="9" t="s">
        <v>78</v>
      </c>
      <c r="F4777" s="7">
        <v>38</v>
      </c>
      <c r="G4777" s="7">
        <v>1409.0874999999999</v>
      </c>
      <c r="H4777" s="7">
        <v>0.06</v>
      </c>
      <c r="I4777" s="9" t="s">
        <v>56</v>
      </c>
      <c r="J4777" s="10">
        <v>233.559</v>
      </c>
      <c r="K4777" s="11">
        <v>45.99</v>
      </c>
      <c r="L4777" s="11">
        <v>4.99</v>
      </c>
      <c r="M4777" s="9" t="s">
        <v>1837</v>
      </c>
      <c r="N4777" s="6" t="s">
        <v>672</v>
      </c>
      <c r="O4777" s="6" t="s">
        <v>673</v>
      </c>
      <c r="P4777" s="9" t="s">
        <v>60</v>
      </c>
      <c r="Q4777" s="9" t="s">
        <v>42</v>
      </c>
      <c r="R4777" s="9" t="s">
        <v>43</v>
      </c>
      <c r="S4777" s="7" t="s">
        <v>629</v>
      </c>
      <c r="T4777" s="9" t="s">
        <v>39</v>
      </c>
      <c r="U4777" s="7">
        <v>0.56000000000000005</v>
      </c>
      <c r="V4777" s="12">
        <f>C4777+1</f>
        <v>39874</v>
      </c>
      <c r="W4777">
        <f>IF(D4777=' Pivot Tables'!$A$4,1,0)</f>
        <v>0</v>
      </c>
      <c r="X4777">
        <f>IF(AND(LEFT(D4777,4)+1=LEFT(' Pivot Tables'!$A$4,4)+0,RIGHT(LEFT(D4777,7),2)=RIGHT(LEFT(' Pivot Tables'!$A$4,7),2)),1,0)</f>
        <v>0</v>
      </c>
      <c r="Y4777" s="6">
        <f>1/COUNTIF(Таблица1[Order ID],Таблица1[[#This Row],[Order ID]])</f>
        <v>0.33333333333333331</v>
      </c>
      <c r="Z4777" s="9">
        <f>1/COUNTIFS(Таблица1[Customer Name],Таблица1[[#This Row],[Customer Name]],Таблица1[Order-Year-Month],Таблица1[[#This Row],[Order-Year-Month]])</f>
        <v>0.25</v>
      </c>
    </row>
    <row r="4778" spans="1:26" x14ac:dyDescent="0.2">
      <c r="A4778" s="6">
        <v>3295</v>
      </c>
      <c r="B4778" s="7">
        <v>23557</v>
      </c>
      <c r="C4778" s="8">
        <f>DATE(2012,12,31)-580</f>
        <v>40694</v>
      </c>
      <c r="D4778" s="8" t="str">
        <f t="shared" si="88"/>
        <v>2011-05 (май 2011)</v>
      </c>
      <c r="E4778" s="9" t="s">
        <v>45</v>
      </c>
      <c r="F4778" s="7">
        <v>7</v>
      </c>
      <c r="G4778" s="7">
        <v>1011.16</v>
      </c>
      <c r="H4778" s="7">
        <v>0.02</v>
      </c>
      <c r="I4778" s="9" t="s">
        <v>22</v>
      </c>
      <c r="J4778" s="10">
        <v>547.96</v>
      </c>
      <c r="K4778" s="11">
        <v>136.97999999999999</v>
      </c>
      <c r="L4778" s="11">
        <v>24.49</v>
      </c>
      <c r="M4778" s="9" t="s">
        <v>1825</v>
      </c>
      <c r="N4778" s="6" t="s">
        <v>672</v>
      </c>
      <c r="O4778" s="6" t="s">
        <v>673</v>
      </c>
      <c r="P4778" s="9" t="s">
        <v>60</v>
      </c>
      <c r="Q4778" s="9" t="s">
        <v>49</v>
      </c>
      <c r="R4778" s="9" t="s">
        <v>50</v>
      </c>
      <c r="S4778" s="7" t="s">
        <v>480</v>
      </c>
      <c r="T4778" s="9" t="s">
        <v>29</v>
      </c>
      <c r="U4778" s="7">
        <v>0.59</v>
      </c>
      <c r="V4778" s="12">
        <f>C4778+1</f>
        <v>40695</v>
      </c>
      <c r="W4778">
        <f>IF(D4778=' Pivot Tables'!$A$4,1,0)</f>
        <v>0</v>
      </c>
      <c r="X4778">
        <f>IF(AND(LEFT(D4778,4)+1=LEFT(' Pivot Tables'!$A$4,4)+0,RIGHT(LEFT(D4778,7),2)=RIGHT(LEFT(' Pivot Tables'!$A$4,7),2)),1,0)</f>
        <v>0</v>
      </c>
      <c r="Y4778" s="6">
        <f>1/COUNTIF(Таблица1[Order ID],Таблица1[[#This Row],[Order ID]])</f>
        <v>1</v>
      </c>
      <c r="Z4778" s="9">
        <f>1/COUNTIFS(Таблица1[Customer Name],Таблица1[[#This Row],[Customer Name]],Таблица1[Order-Year-Month],Таблица1[[#This Row],[Order-Year-Month]])</f>
        <v>1</v>
      </c>
    </row>
    <row r="4779" spans="1:26" x14ac:dyDescent="0.2">
      <c r="A4779" s="6">
        <v>3443</v>
      </c>
      <c r="B4779" s="7">
        <v>24577</v>
      </c>
      <c r="C4779" s="8">
        <f>DATE(2012,12,31)-1036</f>
        <v>40238</v>
      </c>
      <c r="D4779" s="8" t="str">
        <f t="shared" si="88"/>
        <v>2010-03 (март 2010)</v>
      </c>
      <c r="E4779" s="9" t="s">
        <v>63</v>
      </c>
      <c r="F4779" s="7">
        <v>8</v>
      </c>
      <c r="G4779" s="7">
        <v>180.79</v>
      </c>
      <c r="H4779" s="7">
        <v>0.05</v>
      </c>
      <c r="I4779" s="9" t="s">
        <v>22</v>
      </c>
      <c r="J4779" s="10">
        <v>20.09</v>
      </c>
      <c r="K4779" s="11">
        <v>22.84</v>
      </c>
      <c r="L4779" s="11">
        <v>5.47</v>
      </c>
      <c r="M4779" s="9" t="s">
        <v>1832</v>
      </c>
      <c r="N4779" s="6" t="s">
        <v>672</v>
      </c>
      <c r="O4779" s="6" t="s">
        <v>673</v>
      </c>
      <c r="P4779" s="9" t="s">
        <v>41</v>
      </c>
      <c r="Q4779" s="9" t="s">
        <v>26</v>
      </c>
      <c r="R4779" s="9" t="s">
        <v>61</v>
      </c>
      <c r="S4779" s="7" t="s">
        <v>326</v>
      </c>
      <c r="T4779" s="9" t="s">
        <v>39</v>
      </c>
      <c r="U4779" s="7">
        <v>0.39</v>
      </c>
      <c r="V4779" s="12">
        <f>C4779+1</f>
        <v>40239</v>
      </c>
      <c r="W4779">
        <f>IF(D4779=' Pivot Tables'!$A$4,1,0)</f>
        <v>0</v>
      </c>
      <c r="X4779">
        <f>IF(AND(LEFT(D4779,4)+1=LEFT(' Pivot Tables'!$A$4,4)+0,RIGHT(LEFT(D4779,7),2)=RIGHT(LEFT(' Pivot Tables'!$A$4,7),2)),1,0)</f>
        <v>0</v>
      </c>
      <c r="Y4779" s="6">
        <f>1/COUNTIF(Таблица1[Order ID],Таблица1[[#This Row],[Order ID]])</f>
        <v>1</v>
      </c>
      <c r="Z4779" s="9">
        <f>1/COUNTIFS(Таблица1[Customer Name],Таблица1[[#This Row],[Customer Name]],Таблица1[Order-Year-Month],Таблица1[[#This Row],[Order-Year-Month]])</f>
        <v>1</v>
      </c>
    </row>
    <row r="4780" spans="1:26" x14ac:dyDescent="0.2">
      <c r="A4780" s="6">
        <v>3504</v>
      </c>
      <c r="B4780" s="7">
        <v>24961</v>
      </c>
      <c r="C4780" s="8">
        <f>DATE(2012,12,31)-1070</f>
        <v>40204</v>
      </c>
      <c r="D4780" s="8" t="str">
        <f t="shared" si="88"/>
        <v>2010-01 (январь 2010)</v>
      </c>
      <c r="E4780" s="9" t="s">
        <v>21</v>
      </c>
      <c r="F4780" s="7">
        <v>8</v>
      </c>
      <c r="G4780" s="7">
        <v>487.59</v>
      </c>
      <c r="H4780" s="7">
        <v>0.04</v>
      </c>
      <c r="I4780" s="9" t="s">
        <v>31</v>
      </c>
      <c r="J4780" s="10">
        <v>-205.29</v>
      </c>
      <c r="K4780" s="11">
        <v>58.14</v>
      </c>
      <c r="L4780" s="11">
        <v>36.61</v>
      </c>
      <c r="M4780" s="9" t="s">
        <v>1829</v>
      </c>
      <c r="N4780" s="6" t="s">
        <v>672</v>
      </c>
      <c r="O4780" s="6" t="s">
        <v>673</v>
      </c>
      <c r="P4780" s="9" t="s">
        <v>33</v>
      </c>
      <c r="Q4780" s="9" t="s">
        <v>49</v>
      </c>
      <c r="R4780" s="9" t="s">
        <v>80</v>
      </c>
      <c r="S4780" s="7" t="s">
        <v>233</v>
      </c>
      <c r="T4780" s="9" t="s">
        <v>82</v>
      </c>
      <c r="U4780" s="7">
        <v>0.61</v>
      </c>
      <c r="V4780" s="12">
        <f>C4780+7</f>
        <v>40211</v>
      </c>
      <c r="W4780">
        <f>IF(D4780=' Pivot Tables'!$A$4,1,0)</f>
        <v>1</v>
      </c>
      <c r="X4780">
        <f>IF(AND(LEFT(D4780,4)+1=LEFT(' Pivot Tables'!$A$4,4)+0,RIGHT(LEFT(D4780,7),2)=RIGHT(LEFT(' Pivot Tables'!$A$4,7),2)),1,0)</f>
        <v>0</v>
      </c>
      <c r="Y4780" s="6">
        <f>1/COUNTIF(Таблица1[Order ID],Таблица1[[#This Row],[Order ID]])</f>
        <v>1</v>
      </c>
      <c r="Z4780" s="9">
        <f>1/COUNTIFS(Таблица1[Customer Name],Таблица1[[#This Row],[Customer Name]],Таблица1[Order-Year-Month],Таблица1[[#This Row],[Order-Year-Month]])</f>
        <v>1</v>
      </c>
    </row>
    <row r="4781" spans="1:26" x14ac:dyDescent="0.2">
      <c r="A4781" s="6">
        <v>3507</v>
      </c>
      <c r="B4781" s="7">
        <v>24966</v>
      </c>
      <c r="C4781" s="8">
        <f>DATE(2012,12,31)-380</f>
        <v>40894</v>
      </c>
      <c r="D4781" s="8" t="str">
        <f t="shared" si="88"/>
        <v>2011-12 (декабрь 2011)</v>
      </c>
      <c r="E4781" s="9" t="s">
        <v>63</v>
      </c>
      <c r="F4781" s="7">
        <v>34</v>
      </c>
      <c r="G4781" s="7">
        <v>4152.12</v>
      </c>
      <c r="H4781" s="7">
        <v>0</v>
      </c>
      <c r="I4781" s="9" t="s">
        <v>22</v>
      </c>
      <c r="J4781" s="10">
        <v>817.98</v>
      </c>
      <c r="K4781" s="11">
        <v>120.33</v>
      </c>
      <c r="L4781" s="11">
        <v>19.989999999999998</v>
      </c>
      <c r="M4781" s="9" t="s">
        <v>1553</v>
      </c>
      <c r="N4781" s="6" t="s">
        <v>672</v>
      </c>
      <c r="O4781" s="6" t="s">
        <v>673</v>
      </c>
      <c r="P4781" s="9" t="s">
        <v>41</v>
      </c>
      <c r="Q4781" s="9" t="s">
        <v>26</v>
      </c>
      <c r="R4781" s="9" t="s">
        <v>27</v>
      </c>
      <c r="S4781" s="7" t="s">
        <v>1148</v>
      </c>
      <c r="T4781" s="9" t="s">
        <v>39</v>
      </c>
      <c r="U4781" s="7">
        <v>0.59</v>
      </c>
      <c r="V4781" s="12">
        <f>C4781+1</f>
        <v>40895</v>
      </c>
      <c r="W4781">
        <f>IF(D4781=' Pivot Tables'!$A$4,1,0)</f>
        <v>0</v>
      </c>
      <c r="X4781">
        <f>IF(AND(LEFT(D4781,4)+1=LEFT(' Pivot Tables'!$A$4,4)+0,RIGHT(LEFT(D4781,7),2)=RIGHT(LEFT(' Pivot Tables'!$A$4,7),2)),1,0)</f>
        <v>0</v>
      </c>
      <c r="Y4781" s="6">
        <f>1/COUNTIF(Таблица1[Order ID],Таблица1[[#This Row],[Order ID]])</f>
        <v>1</v>
      </c>
      <c r="Z4781" s="9">
        <f>1/COUNTIFS(Таблица1[Customer Name],Таблица1[[#This Row],[Customer Name]],Таблица1[Order-Year-Month],Таблица1[[#This Row],[Order-Year-Month]])</f>
        <v>1</v>
      </c>
    </row>
    <row r="4782" spans="1:26" x14ac:dyDescent="0.2">
      <c r="A4782" s="6">
        <v>3838</v>
      </c>
      <c r="B4782" s="7">
        <v>27363</v>
      </c>
      <c r="C4782" s="8">
        <f>DATE(2012,12,31)-440</f>
        <v>40834</v>
      </c>
      <c r="D4782" s="8" t="str">
        <f t="shared" si="88"/>
        <v>2011-10 (октябрь 2011)</v>
      </c>
      <c r="E4782" s="9" t="s">
        <v>63</v>
      </c>
      <c r="F4782" s="7">
        <v>16</v>
      </c>
      <c r="G4782" s="7">
        <v>323.26</v>
      </c>
      <c r="H4782" s="7">
        <v>0.06</v>
      </c>
      <c r="I4782" s="9" t="s">
        <v>22</v>
      </c>
      <c r="J4782" s="10">
        <v>98.34</v>
      </c>
      <c r="K4782" s="11">
        <v>20.239999999999998</v>
      </c>
      <c r="L4782" s="11">
        <v>6.67</v>
      </c>
      <c r="M4782" s="9" t="s">
        <v>1553</v>
      </c>
      <c r="N4782" s="6" t="s">
        <v>672</v>
      </c>
      <c r="O4782" s="6" t="s">
        <v>673</v>
      </c>
      <c r="P4782" s="9" t="s">
        <v>25</v>
      </c>
      <c r="Q4782" s="9" t="s">
        <v>49</v>
      </c>
      <c r="R4782" s="9" t="s">
        <v>50</v>
      </c>
      <c r="S4782" s="7" t="s">
        <v>427</v>
      </c>
      <c r="T4782" s="9" t="s">
        <v>52</v>
      </c>
      <c r="U4782" s="7">
        <v>0.49</v>
      </c>
      <c r="V4782" s="12">
        <f>C4782+1</f>
        <v>40835</v>
      </c>
      <c r="W4782">
        <f>IF(D4782=' Pivot Tables'!$A$4,1,0)</f>
        <v>0</v>
      </c>
      <c r="X4782">
        <f>IF(AND(LEFT(D4782,4)+1=LEFT(' Pivot Tables'!$A$4,4)+0,RIGHT(LEFT(D4782,7),2)=RIGHT(LEFT(' Pivot Tables'!$A$4,7),2)),1,0)</f>
        <v>0</v>
      </c>
      <c r="Y4782" s="6">
        <f>1/COUNTIF(Таблица1[Order ID],Таблица1[[#This Row],[Order ID]])</f>
        <v>0.5</v>
      </c>
      <c r="Z4782" s="9">
        <f>1/COUNTIFS(Таблица1[Customer Name],Таблица1[[#This Row],[Customer Name]],Таблица1[Order-Year-Month],Таблица1[[#This Row],[Order-Year-Month]])</f>
        <v>0.5</v>
      </c>
    </row>
    <row r="4783" spans="1:26" x14ac:dyDescent="0.2">
      <c r="A4783" s="6">
        <v>4074</v>
      </c>
      <c r="B4783" s="7">
        <v>29028</v>
      </c>
      <c r="C4783" s="8">
        <f>DATE(2012,12,31)-695</f>
        <v>40579</v>
      </c>
      <c r="D4783" s="8" t="str">
        <f t="shared" si="88"/>
        <v>2011-02 (февраль 2011)</v>
      </c>
      <c r="E4783" s="9" t="s">
        <v>78</v>
      </c>
      <c r="F4783" s="7">
        <v>43</v>
      </c>
      <c r="G4783" s="7">
        <v>17131.36</v>
      </c>
      <c r="H4783" s="7">
        <v>0.08</v>
      </c>
      <c r="I4783" s="9" t="s">
        <v>31</v>
      </c>
      <c r="J4783" s="10">
        <v>4722.7700000000004</v>
      </c>
      <c r="K4783" s="11">
        <v>400.97</v>
      </c>
      <c r="L4783" s="11">
        <v>14.7</v>
      </c>
      <c r="M4783" s="9" t="s">
        <v>1559</v>
      </c>
      <c r="N4783" s="6" t="s">
        <v>672</v>
      </c>
      <c r="O4783" s="6" t="s">
        <v>673</v>
      </c>
      <c r="P4783" s="9" t="s">
        <v>41</v>
      </c>
      <c r="Q4783" s="9" t="s">
        <v>42</v>
      </c>
      <c r="R4783" s="9" t="s">
        <v>210</v>
      </c>
      <c r="S4783" s="7" t="s">
        <v>1838</v>
      </c>
      <c r="T4783" s="9" t="s">
        <v>36</v>
      </c>
      <c r="U4783" s="7">
        <v>0.59</v>
      </c>
      <c r="V4783" s="12">
        <f>C4783+2</f>
        <v>40581</v>
      </c>
      <c r="W4783">
        <f>IF(D4783=' Pivot Tables'!$A$4,1,0)</f>
        <v>0</v>
      </c>
      <c r="X4783">
        <f>IF(AND(LEFT(D4783,4)+1=LEFT(' Pivot Tables'!$A$4,4)+0,RIGHT(LEFT(D4783,7),2)=RIGHT(LEFT(' Pivot Tables'!$A$4,7),2)),1,0)</f>
        <v>0</v>
      </c>
      <c r="Y4783" s="6">
        <f>1/COUNTIF(Таблица1[Order ID],Таблица1[[#This Row],[Order ID]])</f>
        <v>1</v>
      </c>
      <c r="Z4783" s="9">
        <f>1/COUNTIFS(Таблица1[Customer Name],Таблица1[[#This Row],[Customer Name]],Таблица1[Order-Year-Month],Таблица1[[#This Row],[Order-Year-Month]])</f>
        <v>1</v>
      </c>
    </row>
    <row r="4784" spans="1:26" x14ac:dyDescent="0.2">
      <c r="A4784" s="6">
        <v>4089</v>
      </c>
      <c r="B4784" s="7">
        <v>29156</v>
      </c>
      <c r="C4784" s="8">
        <f>DATE(2012,12,31)-1041</f>
        <v>40233</v>
      </c>
      <c r="D4784" s="8" t="str">
        <f t="shared" si="88"/>
        <v>2010-02 (февраль 2010)</v>
      </c>
      <c r="E4784" s="9" t="s">
        <v>21</v>
      </c>
      <c r="F4784" s="7">
        <v>10</v>
      </c>
      <c r="G4784" s="7">
        <v>208.77</v>
      </c>
      <c r="H4784" s="7">
        <v>7.0000000000000007E-2</v>
      </c>
      <c r="I4784" s="9" t="s">
        <v>22</v>
      </c>
      <c r="J4784" s="10">
        <v>-76.58</v>
      </c>
      <c r="K4784" s="11">
        <v>20.97</v>
      </c>
      <c r="L4784" s="11">
        <v>4</v>
      </c>
      <c r="M4784" s="9" t="s">
        <v>1837</v>
      </c>
      <c r="N4784" s="6" t="s">
        <v>672</v>
      </c>
      <c r="O4784" s="6" t="s">
        <v>673</v>
      </c>
      <c r="P4784" s="9" t="s">
        <v>60</v>
      </c>
      <c r="Q4784" s="9" t="s">
        <v>42</v>
      </c>
      <c r="R4784" s="9" t="s">
        <v>70</v>
      </c>
      <c r="S4784" s="7" t="s">
        <v>262</v>
      </c>
      <c r="T4784" s="9" t="s">
        <v>39</v>
      </c>
      <c r="U4784" s="7">
        <v>0.77</v>
      </c>
      <c r="V4784" s="12">
        <f>C4784+5</f>
        <v>40238</v>
      </c>
      <c r="W4784">
        <f>IF(D4784=' Pivot Tables'!$A$4,1,0)</f>
        <v>0</v>
      </c>
      <c r="X4784">
        <f>IF(AND(LEFT(D4784,4)+1=LEFT(' Pivot Tables'!$A$4,4)+0,RIGHT(LEFT(D4784,7),2)=RIGHT(LEFT(' Pivot Tables'!$A$4,7),2)),1,0)</f>
        <v>0</v>
      </c>
      <c r="Y4784" s="6">
        <f>1/COUNTIF(Таблица1[Order ID],Таблица1[[#This Row],[Order ID]])</f>
        <v>1</v>
      </c>
      <c r="Z4784" s="9">
        <f>1/COUNTIFS(Таблица1[Customer Name],Таблица1[[#This Row],[Customer Name]],Таблица1[Order-Year-Month],Таблица1[[#This Row],[Order-Year-Month]])</f>
        <v>1</v>
      </c>
    </row>
    <row r="4785" spans="1:26" x14ac:dyDescent="0.2">
      <c r="A4785" s="6">
        <v>4115</v>
      </c>
      <c r="B4785" s="7">
        <v>29282</v>
      </c>
      <c r="C4785" s="8">
        <f>DATE(2012,12,31)-33</f>
        <v>41241</v>
      </c>
      <c r="D4785" s="8" t="str">
        <f t="shared" si="88"/>
        <v>2012-11 (ноябрь 2012)</v>
      </c>
      <c r="E4785" s="9" t="s">
        <v>63</v>
      </c>
      <c r="F4785" s="7">
        <v>4</v>
      </c>
      <c r="G4785" s="7">
        <v>34.270000000000003</v>
      </c>
      <c r="H4785" s="7">
        <v>0.1</v>
      </c>
      <c r="I4785" s="9" t="s">
        <v>22</v>
      </c>
      <c r="J4785" s="10">
        <v>-26.44</v>
      </c>
      <c r="K4785" s="11">
        <v>6.48</v>
      </c>
      <c r="L4785" s="11">
        <v>9.5399999999999991</v>
      </c>
      <c r="M4785" s="9" t="s">
        <v>1835</v>
      </c>
      <c r="N4785" s="6" t="s">
        <v>672</v>
      </c>
      <c r="O4785" s="6" t="s">
        <v>673</v>
      </c>
      <c r="P4785" s="9" t="s">
        <v>41</v>
      </c>
      <c r="Q4785" s="9" t="s">
        <v>26</v>
      </c>
      <c r="R4785" s="9" t="s">
        <v>61</v>
      </c>
      <c r="S4785" s="7" t="s">
        <v>518</v>
      </c>
      <c r="T4785" s="9" t="s">
        <v>39</v>
      </c>
      <c r="U4785" s="7">
        <v>0.37</v>
      </c>
      <c r="V4785" s="12">
        <f>C4785+2</f>
        <v>41243</v>
      </c>
      <c r="W4785">
        <f>IF(D4785=' Pivot Tables'!$A$4,1,0)</f>
        <v>0</v>
      </c>
      <c r="X4785">
        <f>IF(AND(LEFT(D4785,4)+1=LEFT(' Pivot Tables'!$A$4,4)+0,RIGHT(LEFT(D4785,7),2)=RIGHT(LEFT(' Pivot Tables'!$A$4,7),2)),1,0)</f>
        <v>0</v>
      </c>
      <c r="Y4785" s="6">
        <f>1/COUNTIF(Таблица1[Order ID],Таблица1[[#This Row],[Order ID]])</f>
        <v>1</v>
      </c>
      <c r="Z4785" s="9">
        <f>1/COUNTIFS(Таблица1[Customer Name],Таблица1[[#This Row],[Customer Name]],Таблица1[Order-Year-Month],Таблица1[[#This Row],[Order-Year-Month]])</f>
        <v>1</v>
      </c>
    </row>
    <row r="4786" spans="1:26" x14ac:dyDescent="0.2">
      <c r="A4786" s="6">
        <v>4214</v>
      </c>
      <c r="B4786" s="7">
        <v>29957</v>
      </c>
      <c r="C4786" s="8">
        <f>DATE(2012,12,31)-1024</f>
        <v>40250</v>
      </c>
      <c r="D4786" s="8" t="str">
        <f t="shared" si="88"/>
        <v>2010-03 (март 2010)</v>
      </c>
      <c r="E4786" s="9" t="s">
        <v>78</v>
      </c>
      <c r="F4786" s="7">
        <v>28</v>
      </c>
      <c r="G4786" s="7">
        <v>2555.37</v>
      </c>
      <c r="H4786" s="7">
        <v>0.08</v>
      </c>
      <c r="I4786" s="9" t="s">
        <v>31</v>
      </c>
      <c r="J4786" s="10">
        <v>-824.91</v>
      </c>
      <c r="K4786" s="11">
        <v>95.98</v>
      </c>
      <c r="L4786" s="11">
        <v>58.2</v>
      </c>
      <c r="M4786" s="9" t="s">
        <v>1809</v>
      </c>
      <c r="N4786" s="6" t="s">
        <v>672</v>
      </c>
      <c r="O4786" s="6" t="s">
        <v>673</v>
      </c>
      <c r="P4786" s="9" t="s">
        <v>41</v>
      </c>
      <c r="Q4786" s="9" t="s">
        <v>49</v>
      </c>
      <c r="R4786" s="9" t="s">
        <v>112</v>
      </c>
      <c r="S4786" s="7" t="s">
        <v>1321</v>
      </c>
      <c r="T4786" s="9" t="s">
        <v>36</v>
      </c>
      <c r="U4786" s="7">
        <v>0.57999999999999996</v>
      </c>
      <c r="V4786" s="12">
        <f>C4786+1</f>
        <v>40251</v>
      </c>
      <c r="W4786">
        <f>IF(D4786=' Pivot Tables'!$A$4,1,0)</f>
        <v>0</v>
      </c>
      <c r="X4786">
        <f>IF(AND(LEFT(D4786,4)+1=LEFT(' Pivot Tables'!$A$4,4)+0,RIGHT(LEFT(D4786,7),2)=RIGHT(LEFT(' Pivot Tables'!$A$4,7),2)),1,0)</f>
        <v>0</v>
      </c>
      <c r="Y4786" s="6">
        <f>1/COUNTIF(Таблица1[Order ID],Таблица1[[#This Row],[Order ID]])</f>
        <v>0.5</v>
      </c>
      <c r="Z4786" s="9">
        <f>1/COUNTIFS(Таблица1[Customer Name],Таблица1[[#This Row],[Customer Name]],Таблица1[Order-Year-Month],Таблица1[[#This Row],[Order-Year-Month]])</f>
        <v>0.5</v>
      </c>
    </row>
    <row r="4787" spans="1:26" x14ac:dyDescent="0.2">
      <c r="A4787" s="6">
        <v>4231</v>
      </c>
      <c r="B4787" s="7">
        <v>30053</v>
      </c>
      <c r="C4787" s="8">
        <f>DATE(2012,12,31)-1429</f>
        <v>39845</v>
      </c>
      <c r="D4787" s="8" t="str">
        <f t="shared" si="88"/>
        <v>2009-02 (февраль 2009)</v>
      </c>
      <c r="E4787" s="9" t="s">
        <v>78</v>
      </c>
      <c r="F4787" s="7">
        <v>41</v>
      </c>
      <c r="G4787" s="7">
        <v>3279.01</v>
      </c>
      <c r="H4787" s="7">
        <v>0.06</v>
      </c>
      <c r="I4787" s="9" t="s">
        <v>31</v>
      </c>
      <c r="J4787" s="10">
        <v>349.22</v>
      </c>
      <c r="K4787" s="11">
        <v>80.97</v>
      </c>
      <c r="L4787" s="11">
        <v>33.6</v>
      </c>
      <c r="M4787" s="9" t="s">
        <v>1559</v>
      </c>
      <c r="N4787" s="6" t="s">
        <v>672</v>
      </c>
      <c r="O4787" s="6" t="s">
        <v>673</v>
      </c>
      <c r="P4787" s="9" t="s">
        <v>33</v>
      </c>
      <c r="Q4787" s="9" t="s">
        <v>42</v>
      </c>
      <c r="R4787" s="9" t="s">
        <v>210</v>
      </c>
      <c r="S4787" s="7" t="s">
        <v>312</v>
      </c>
      <c r="T4787" s="9" t="s">
        <v>36</v>
      </c>
      <c r="U4787" s="7">
        <v>0.37</v>
      </c>
      <c r="V4787" s="12">
        <f>C4787+2</f>
        <v>39847</v>
      </c>
      <c r="W4787">
        <f>IF(D4787=' Pivot Tables'!$A$4,1,0)</f>
        <v>0</v>
      </c>
      <c r="X4787">
        <f>IF(AND(LEFT(D4787,4)+1=LEFT(' Pivot Tables'!$A$4,4)+0,RIGHT(LEFT(D4787,7),2)=RIGHT(LEFT(' Pivot Tables'!$A$4,7),2)),1,0)</f>
        <v>0</v>
      </c>
      <c r="Y4787" s="6">
        <f>1/COUNTIF(Таблица1[Order ID],Таблица1[[#This Row],[Order ID]])</f>
        <v>1</v>
      </c>
      <c r="Z4787" s="9">
        <f>1/COUNTIFS(Таблица1[Customer Name],Таблица1[[#This Row],[Customer Name]],Таблица1[Order-Year-Month],Таблица1[[#This Row],[Order-Year-Month]])</f>
        <v>1</v>
      </c>
    </row>
    <row r="4788" spans="1:26" x14ac:dyDescent="0.2">
      <c r="A4788" s="6">
        <v>4233</v>
      </c>
      <c r="B4788" s="7">
        <v>30081</v>
      </c>
      <c r="C4788" s="8">
        <f>DATE(2012,12,31)-380</f>
        <v>40894</v>
      </c>
      <c r="D4788" s="8" t="str">
        <f t="shared" si="88"/>
        <v>2011-12 (декабрь 2011)</v>
      </c>
      <c r="E4788" s="9" t="s">
        <v>30</v>
      </c>
      <c r="F4788" s="7">
        <v>26</v>
      </c>
      <c r="G4788" s="7">
        <v>213.49</v>
      </c>
      <c r="H4788" s="7">
        <v>0.05</v>
      </c>
      <c r="I4788" s="9" t="s">
        <v>22</v>
      </c>
      <c r="J4788" s="10">
        <v>-136.44749999999999</v>
      </c>
      <c r="K4788" s="11">
        <v>8.0399999999999991</v>
      </c>
      <c r="L4788" s="11">
        <v>8.94</v>
      </c>
      <c r="M4788" s="9" t="s">
        <v>1837</v>
      </c>
      <c r="N4788" s="6" t="s">
        <v>672</v>
      </c>
      <c r="O4788" s="6" t="s">
        <v>673</v>
      </c>
      <c r="P4788" s="9" t="s">
        <v>60</v>
      </c>
      <c r="Q4788" s="9" t="s">
        <v>26</v>
      </c>
      <c r="R4788" s="9" t="s">
        <v>37</v>
      </c>
      <c r="S4788" s="7" t="s">
        <v>529</v>
      </c>
      <c r="T4788" s="9" t="s">
        <v>39</v>
      </c>
      <c r="U4788" s="7">
        <v>0.4</v>
      </c>
      <c r="V4788" s="12">
        <f>C4788+2</f>
        <v>40896</v>
      </c>
      <c r="W4788">
        <f>IF(D4788=' Pivot Tables'!$A$4,1,0)</f>
        <v>0</v>
      </c>
      <c r="X4788">
        <f>IF(AND(LEFT(D4788,4)+1=LEFT(' Pivot Tables'!$A$4,4)+0,RIGHT(LEFT(D4788,7),2)=RIGHT(LEFT(' Pivot Tables'!$A$4,7),2)),1,0)</f>
        <v>0</v>
      </c>
      <c r="Y4788" s="6">
        <f>1/COUNTIF(Таблица1[Order ID],Таблица1[[#This Row],[Order ID]])</f>
        <v>1</v>
      </c>
      <c r="Z4788" s="9">
        <f>1/COUNTIFS(Таблица1[Customer Name],Таблица1[[#This Row],[Customer Name]],Таблица1[Order-Year-Month],Таблица1[[#This Row],[Order-Year-Month]])</f>
        <v>0.33333333333333331</v>
      </c>
    </row>
    <row r="4789" spans="1:26" x14ac:dyDescent="0.2">
      <c r="A4789" s="6">
        <v>4246</v>
      </c>
      <c r="B4789" s="7">
        <v>30214</v>
      </c>
      <c r="C4789" s="8">
        <f>DATE(2012,12,31)-1184</f>
        <v>40090</v>
      </c>
      <c r="D4789" s="8" t="str">
        <f t="shared" si="88"/>
        <v>2009-10 (октябрь 2009)</v>
      </c>
      <c r="E4789" s="9" t="s">
        <v>21</v>
      </c>
      <c r="F4789" s="7">
        <v>38</v>
      </c>
      <c r="G4789" s="7">
        <v>375.61</v>
      </c>
      <c r="H4789" s="7">
        <v>0.1</v>
      </c>
      <c r="I4789" s="9" t="s">
        <v>56</v>
      </c>
      <c r="J4789" s="10">
        <v>-21.263499999999997</v>
      </c>
      <c r="K4789" s="11">
        <v>10.44</v>
      </c>
      <c r="L4789" s="11">
        <v>5.75</v>
      </c>
      <c r="M4789" s="9" t="s">
        <v>1825</v>
      </c>
      <c r="N4789" s="6" t="s">
        <v>672</v>
      </c>
      <c r="O4789" s="6" t="s">
        <v>673</v>
      </c>
      <c r="P4789" s="9" t="s">
        <v>60</v>
      </c>
      <c r="Q4789" s="9" t="s">
        <v>26</v>
      </c>
      <c r="R4789" s="9" t="s">
        <v>37</v>
      </c>
      <c r="S4789" s="7" t="s">
        <v>1839</v>
      </c>
      <c r="T4789" s="9" t="s">
        <v>39</v>
      </c>
      <c r="U4789" s="7">
        <v>0.39</v>
      </c>
      <c r="V4789" s="12">
        <f>C4789+7</f>
        <v>40097</v>
      </c>
      <c r="W4789">
        <f>IF(D4789=' Pivot Tables'!$A$4,1,0)</f>
        <v>0</v>
      </c>
      <c r="X4789">
        <f>IF(AND(LEFT(D4789,4)+1=LEFT(' Pivot Tables'!$A$4,4)+0,RIGHT(LEFT(D4789,7),2)=RIGHT(LEFT(' Pivot Tables'!$A$4,7),2)),1,0)</f>
        <v>0</v>
      </c>
      <c r="Y4789" s="6">
        <f>1/COUNTIF(Таблица1[Order ID],Таблица1[[#This Row],[Order ID]])</f>
        <v>1</v>
      </c>
      <c r="Z4789" s="9">
        <f>1/COUNTIFS(Таблица1[Customer Name],Таблица1[[#This Row],[Customer Name]],Таблица1[Order-Year-Month],Таблица1[[#This Row],[Order-Year-Month]])</f>
        <v>1</v>
      </c>
    </row>
    <row r="4790" spans="1:26" x14ac:dyDescent="0.2">
      <c r="A4790" s="6">
        <v>4280</v>
      </c>
      <c r="B4790" s="7">
        <v>30497</v>
      </c>
      <c r="C4790" s="8">
        <f>DATE(2012,12,31)-694</f>
        <v>40580</v>
      </c>
      <c r="D4790" s="8" t="str">
        <f t="shared" si="88"/>
        <v>2011-02 (февраль 2011)</v>
      </c>
      <c r="E4790" s="9" t="s">
        <v>78</v>
      </c>
      <c r="F4790" s="7">
        <v>34</v>
      </c>
      <c r="G4790" s="7">
        <v>706.91</v>
      </c>
      <c r="H4790" s="7">
        <v>0.03</v>
      </c>
      <c r="I4790" s="9" t="s">
        <v>56</v>
      </c>
      <c r="J4790" s="10">
        <v>85.68</v>
      </c>
      <c r="K4790" s="11">
        <v>20.98</v>
      </c>
      <c r="L4790" s="11">
        <v>8.83</v>
      </c>
      <c r="M4790" s="9" t="s">
        <v>1832</v>
      </c>
      <c r="N4790" s="6" t="s">
        <v>672</v>
      </c>
      <c r="O4790" s="6" t="s">
        <v>673</v>
      </c>
      <c r="P4790" s="9" t="s">
        <v>41</v>
      </c>
      <c r="Q4790" s="9" t="s">
        <v>26</v>
      </c>
      <c r="R4790" s="9" t="s">
        <v>37</v>
      </c>
      <c r="S4790" s="7" t="s">
        <v>475</v>
      </c>
      <c r="T4790" s="9" t="s">
        <v>39</v>
      </c>
      <c r="U4790" s="7">
        <v>0.37</v>
      </c>
      <c r="V4790" s="12">
        <f>C4790+2</f>
        <v>40582</v>
      </c>
      <c r="W4790">
        <f>IF(D4790=' Pivot Tables'!$A$4,1,0)</f>
        <v>0</v>
      </c>
      <c r="X4790">
        <f>IF(AND(LEFT(D4790,4)+1=LEFT(' Pivot Tables'!$A$4,4)+0,RIGHT(LEFT(D4790,7),2)=RIGHT(LEFT(' Pivot Tables'!$A$4,7),2)),1,0)</f>
        <v>0</v>
      </c>
      <c r="Y4790" s="6">
        <f>1/COUNTIF(Таблица1[Order ID],Таблица1[[#This Row],[Order ID]])</f>
        <v>0.5</v>
      </c>
      <c r="Z4790" s="9">
        <f>1/COUNTIFS(Таблица1[Customer Name],Таблица1[[#This Row],[Customer Name]],Таблица1[Order-Year-Month],Таблица1[[#This Row],[Order-Year-Month]])</f>
        <v>0.5</v>
      </c>
    </row>
    <row r="4791" spans="1:26" x14ac:dyDescent="0.2">
      <c r="A4791" s="6">
        <v>4281</v>
      </c>
      <c r="B4791" s="7">
        <v>30497</v>
      </c>
      <c r="C4791" s="8">
        <f>DATE(2012,12,31)-694</f>
        <v>40580</v>
      </c>
      <c r="D4791" s="8" t="str">
        <f t="shared" si="88"/>
        <v>2011-02 (февраль 2011)</v>
      </c>
      <c r="E4791" s="9" t="s">
        <v>78</v>
      </c>
      <c r="F4791" s="7">
        <v>31</v>
      </c>
      <c r="G4791" s="7">
        <v>190.06</v>
      </c>
      <c r="H4791" s="7">
        <v>0.06</v>
      </c>
      <c r="I4791" s="9" t="s">
        <v>22</v>
      </c>
      <c r="J4791" s="10">
        <v>-61.9</v>
      </c>
      <c r="K4791" s="11">
        <v>5.98</v>
      </c>
      <c r="L4791" s="11">
        <v>5.35</v>
      </c>
      <c r="M4791" s="9" t="s">
        <v>1832</v>
      </c>
      <c r="N4791" s="6" t="s">
        <v>672</v>
      </c>
      <c r="O4791" s="6" t="s">
        <v>673</v>
      </c>
      <c r="P4791" s="9" t="s">
        <v>41</v>
      </c>
      <c r="Q4791" s="9" t="s">
        <v>26</v>
      </c>
      <c r="R4791" s="9" t="s">
        <v>61</v>
      </c>
      <c r="S4791" s="7" t="s">
        <v>882</v>
      </c>
      <c r="T4791" s="9" t="s">
        <v>39</v>
      </c>
      <c r="U4791" s="7">
        <v>0.4</v>
      </c>
      <c r="V4791" s="12">
        <f>C4791+2</f>
        <v>40582</v>
      </c>
      <c r="W4791">
        <f>IF(D4791=' Pivot Tables'!$A$4,1,0)</f>
        <v>0</v>
      </c>
      <c r="X4791">
        <f>IF(AND(LEFT(D4791,4)+1=LEFT(' Pivot Tables'!$A$4,4)+0,RIGHT(LEFT(D4791,7),2)=RIGHT(LEFT(' Pivot Tables'!$A$4,7),2)),1,0)</f>
        <v>0</v>
      </c>
      <c r="Y4791" s="6">
        <f>1/COUNTIF(Таблица1[Order ID],Таблица1[[#This Row],[Order ID]])</f>
        <v>0.5</v>
      </c>
      <c r="Z4791" s="9">
        <f>1/COUNTIFS(Таблица1[Customer Name],Таблица1[[#This Row],[Customer Name]],Таблица1[Order-Year-Month],Таблица1[[#This Row],[Order-Year-Month]])</f>
        <v>0.5</v>
      </c>
    </row>
    <row r="4792" spans="1:26" x14ac:dyDescent="0.2">
      <c r="A4792" s="6">
        <v>4343</v>
      </c>
      <c r="B4792" s="7">
        <v>30917</v>
      </c>
      <c r="C4792" s="8">
        <f>DATE(2012,12,31)-791</f>
        <v>40483</v>
      </c>
      <c r="D4792" s="8" t="str">
        <f t="shared" si="88"/>
        <v>2010-11 (ноябрь 2010)</v>
      </c>
      <c r="E4792" s="9" t="s">
        <v>21</v>
      </c>
      <c r="F4792" s="7">
        <v>11</v>
      </c>
      <c r="G4792" s="7">
        <v>86.79</v>
      </c>
      <c r="H4792" s="7">
        <v>0.06</v>
      </c>
      <c r="I4792" s="9" t="s">
        <v>22</v>
      </c>
      <c r="J4792" s="10">
        <v>-45.6</v>
      </c>
      <c r="K4792" s="11">
        <v>8.1199999999999992</v>
      </c>
      <c r="L4792" s="11">
        <v>2.83</v>
      </c>
      <c r="M4792" s="9" t="s">
        <v>1559</v>
      </c>
      <c r="N4792" s="6" t="s">
        <v>672</v>
      </c>
      <c r="O4792" s="6" t="s">
        <v>673</v>
      </c>
      <c r="P4792" s="9" t="s">
        <v>41</v>
      </c>
      <c r="Q4792" s="9" t="s">
        <v>42</v>
      </c>
      <c r="R4792" s="9" t="s">
        <v>70</v>
      </c>
      <c r="S4792" s="7" t="s">
        <v>630</v>
      </c>
      <c r="T4792" s="9" t="s">
        <v>52</v>
      </c>
      <c r="U4792" s="7">
        <v>0.77</v>
      </c>
      <c r="V4792" s="12">
        <f>C4792+2</f>
        <v>40485</v>
      </c>
      <c r="W4792">
        <f>IF(D4792=' Pivot Tables'!$A$4,1,0)</f>
        <v>0</v>
      </c>
      <c r="X4792">
        <f>IF(AND(LEFT(D4792,4)+1=LEFT(' Pivot Tables'!$A$4,4)+0,RIGHT(LEFT(D4792,7),2)=RIGHT(LEFT(' Pivot Tables'!$A$4,7),2)),1,0)</f>
        <v>0</v>
      </c>
      <c r="Y4792" s="6">
        <f>1/COUNTIF(Таблица1[Order ID],Таблица1[[#This Row],[Order ID]])</f>
        <v>0.5</v>
      </c>
      <c r="Z4792" s="9">
        <f>1/COUNTIFS(Таблица1[Customer Name],Таблица1[[#This Row],[Customer Name]],Таблица1[Order-Year-Month],Таблица1[[#This Row],[Order-Year-Month]])</f>
        <v>0.5</v>
      </c>
    </row>
    <row r="4793" spans="1:26" x14ac:dyDescent="0.2">
      <c r="A4793" s="6">
        <v>4344</v>
      </c>
      <c r="B4793" s="7">
        <v>30917</v>
      </c>
      <c r="C4793" s="8">
        <f>DATE(2012,12,31)-791</f>
        <v>40483</v>
      </c>
      <c r="D4793" s="8" t="str">
        <f t="shared" si="88"/>
        <v>2010-11 (ноябрь 2010)</v>
      </c>
      <c r="E4793" s="9" t="s">
        <v>21</v>
      </c>
      <c r="F4793" s="7">
        <v>8</v>
      </c>
      <c r="G4793" s="7">
        <v>753.8</v>
      </c>
      <c r="H4793" s="7">
        <v>0.06</v>
      </c>
      <c r="I4793" s="9" t="s">
        <v>22</v>
      </c>
      <c r="J4793" s="10">
        <v>-32.303100000000001</v>
      </c>
      <c r="K4793" s="11">
        <v>96.45</v>
      </c>
      <c r="L4793" s="11">
        <v>13.99</v>
      </c>
      <c r="M4793" s="9" t="s">
        <v>1559</v>
      </c>
      <c r="N4793" s="6" t="s">
        <v>672</v>
      </c>
      <c r="O4793" s="6" t="s">
        <v>673</v>
      </c>
      <c r="P4793" s="9" t="s">
        <v>41</v>
      </c>
      <c r="Q4793" s="9" t="s">
        <v>42</v>
      </c>
      <c r="R4793" s="9" t="s">
        <v>210</v>
      </c>
      <c r="S4793" s="7" t="s">
        <v>1840</v>
      </c>
      <c r="T4793" s="9" t="s">
        <v>48</v>
      </c>
      <c r="U4793" s="7">
        <v>0.38</v>
      </c>
      <c r="V4793" s="12">
        <f>C4793+4</f>
        <v>40487</v>
      </c>
      <c r="W4793">
        <f>IF(D4793=' Pivot Tables'!$A$4,1,0)</f>
        <v>0</v>
      </c>
      <c r="X4793">
        <f>IF(AND(LEFT(D4793,4)+1=LEFT(' Pivot Tables'!$A$4,4)+0,RIGHT(LEFT(D4793,7),2)=RIGHT(LEFT(' Pivot Tables'!$A$4,7),2)),1,0)</f>
        <v>0</v>
      </c>
      <c r="Y4793" s="6">
        <f>1/COUNTIF(Таблица1[Order ID],Таблица1[[#This Row],[Order ID]])</f>
        <v>0.5</v>
      </c>
      <c r="Z4793" s="9">
        <f>1/COUNTIFS(Таблица1[Customer Name],Таблица1[[#This Row],[Customer Name]],Таблица1[Order-Year-Month],Таблица1[[#This Row],[Order-Year-Month]])</f>
        <v>0.5</v>
      </c>
    </row>
    <row r="4794" spans="1:26" x14ac:dyDescent="0.2">
      <c r="A4794" s="6">
        <v>4444</v>
      </c>
      <c r="B4794" s="7">
        <v>31681</v>
      </c>
      <c r="C4794" s="8">
        <f>DATE(2012,12,31)-54</f>
        <v>41220</v>
      </c>
      <c r="D4794" s="8" t="str">
        <f t="shared" si="88"/>
        <v>2012-11 (ноябрь 2012)</v>
      </c>
      <c r="E4794" s="9" t="s">
        <v>45</v>
      </c>
      <c r="F4794" s="7">
        <v>38</v>
      </c>
      <c r="G4794" s="7">
        <v>212.12</v>
      </c>
      <c r="H4794" s="7">
        <v>0.02</v>
      </c>
      <c r="I4794" s="9" t="s">
        <v>22</v>
      </c>
      <c r="J4794" s="10">
        <v>-93.78</v>
      </c>
      <c r="K4794" s="11">
        <v>5.28</v>
      </c>
      <c r="L4794" s="11">
        <v>5.66</v>
      </c>
      <c r="M4794" s="9" t="s">
        <v>1832</v>
      </c>
      <c r="N4794" s="6" t="s">
        <v>672</v>
      </c>
      <c r="O4794" s="6" t="s">
        <v>673</v>
      </c>
      <c r="P4794" s="9" t="s">
        <v>41</v>
      </c>
      <c r="Q4794" s="9" t="s">
        <v>26</v>
      </c>
      <c r="R4794" s="9" t="s">
        <v>61</v>
      </c>
      <c r="S4794" s="7" t="s">
        <v>424</v>
      </c>
      <c r="T4794" s="9" t="s">
        <v>39</v>
      </c>
      <c r="U4794" s="7">
        <v>0.4</v>
      </c>
      <c r="V4794" s="12">
        <f>C4794+1</f>
        <v>41221</v>
      </c>
      <c r="W4794">
        <f>IF(D4794=' Pivot Tables'!$A$4,1,0)</f>
        <v>0</v>
      </c>
      <c r="X4794">
        <f>IF(AND(LEFT(D4794,4)+1=LEFT(' Pivot Tables'!$A$4,4)+0,RIGHT(LEFT(D4794,7),2)=RIGHT(LEFT(' Pivot Tables'!$A$4,7),2)),1,0)</f>
        <v>0</v>
      </c>
      <c r="Y4794" s="6">
        <f>1/COUNTIF(Таблица1[Order ID],Таблица1[[#This Row],[Order ID]])</f>
        <v>1</v>
      </c>
      <c r="Z4794" s="9">
        <f>1/COUNTIFS(Таблица1[Customer Name],Таблица1[[#This Row],[Customer Name]],Таблица1[Order-Year-Month],Таблица1[[#This Row],[Order-Year-Month]])</f>
        <v>1</v>
      </c>
    </row>
    <row r="4795" spans="1:26" x14ac:dyDescent="0.2">
      <c r="A4795" s="6">
        <v>4456</v>
      </c>
      <c r="B4795" s="7">
        <v>31777</v>
      </c>
      <c r="C4795" s="8">
        <f>DATE(2012,12,31)-439</f>
        <v>40835</v>
      </c>
      <c r="D4795" s="8" t="str">
        <f t="shared" si="88"/>
        <v>2011-10 (октябрь 2011)</v>
      </c>
      <c r="E4795" s="9" t="s">
        <v>45</v>
      </c>
      <c r="F4795" s="7">
        <v>32</v>
      </c>
      <c r="G4795" s="7">
        <v>6483.42</v>
      </c>
      <c r="H4795" s="7">
        <v>7.0000000000000007E-2</v>
      </c>
      <c r="I4795" s="9" t="s">
        <v>31</v>
      </c>
      <c r="J4795" s="10">
        <v>1590.95</v>
      </c>
      <c r="K4795" s="11">
        <v>200.98</v>
      </c>
      <c r="L4795" s="11">
        <v>23.76</v>
      </c>
      <c r="M4795" s="9" t="s">
        <v>1831</v>
      </c>
      <c r="N4795" s="6" t="s">
        <v>672</v>
      </c>
      <c r="O4795" s="6" t="s">
        <v>673</v>
      </c>
      <c r="P4795" s="9" t="s">
        <v>25</v>
      </c>
      <c r="Q4795" s="9" t="s">
        <v>49</v>
      </c>
      <c r="R4795" s="9" t="s">
        <v>112</v>
      </c>
      <c r="S4795" s="7" t="s">
        <v>441</v>
      </c>
      <c r="T4795" s="9" t="s">
        <v>36</v>
      </c>
      <c r="U4795" s="7">
        <v>0.57999999999999996</v>
      </c>
      <c r="V4795" s="12">
        <f>C4795+2</f>
        <v>40837</v>
      </c>
      <c r="W4795">
        <f>IF(D4795=' Pivot Tables'!$A$4,1,0)</f>
        <v>0</v>
      </c>
      <c r="X4795">
        <f>IF(AND(LEFT(D4795,4)+1=LEFT(' Pivot Tables'!$A$4,4)+0,RIGHT(LEFT(D4795,7),2)=RIGHT(LEFT(' Pivot Tables'!$A$4,7),2)),1,0)</f>
        <v>0</v>
      </c>
      <c r="Y4795" s="6">
        <f>1/COUNTIF(Таблица1[Order ID],Таблица1[[#This Row],[Order ID]])</f>
        <v>0.5</v>
      </c>
      <c r="Z4795" s="9">
        <f>1/COUNTIFS(Таблица1[Customer Name],Таблица1[[#This Row],[Customer Name]],Таблица1[Order-Year-Month],Таблица1[[#This Row],[Order-Year-Month]])</f>
        <v>0.5</v>
      </c>
    </row>
    <row r="4796" spans="1:26" x14ac:dyDescent="0.2">
      <c r="A4796" s="6">
        <v>4457</v>
      </c>
      <c r="B4796" s="7">
        <v>31777</v>
      </c>
      <c r="C4796" s="8">
        <f>DATE(2012,12,31)-439</f>
        <v>40835</v>
      </c>
      <c r="D4796" s="8" t="str">
        <f t="shared" si="88"/>
        <v>2011-10 (октябрь 2011)</v>
      </c>
      <c r="E4796" s="9" t="s">
        <v>45</v>
      </c>
      <c r="F4796" s="7">
        <v>10</v>
      </c>
      <c r="G4796" s="7">
        <v>137.77000000000001</v>
      </c>
      <c r="H4796" s="7">
        <v>0.01</v>
      </c>
      <c r="I4796" s="9" t="s">
        <v>22</v>
      </c>
      <c r="J4796" s="10">
        <v>1.85</v>
      </c>
      <c r="K4796" s="11">
        <v>12.28</v>
      </c>
      <c r="L4796" s="11">
        <v>6.47</v>
      </c>
      <c r="M4796" s="9" t="s">
        <v>1831</v>
      </c>
      <c r="N4796" s="6" t="s">
        <v>672</v>
      </c>
      <c r="O4796" s="6" t="s">
        <v>673</v>
      </c>
      <c r="P4796" s="9" t="s">
        <v>25</v>
      </c>
      <c r="Q4796" s="9" t="s">
        <v>26</v>
      </c>
      <c r="R4796" s="9" t="s">
        <v>61</v>
      </c>
      <c r="S4796" s="7" t="s">
        <v>131</v>
      </c>
      <c r="T4796" s="9" t="s">
        <v>39</v>
      </c>
      <c r="U4796" s="7">
        <v>0.38</v>
      </c>
      <c r="V4796" s="12">
        <f>C4796+0</f>
        <v>40835</v>
      </c>
      <c r="W4796">
        <f>IF(D4796=' Pivot Tables'!$A$4,1,0)</f>
        <v>0</v>
      </c>
      <c r="X4796">
        <f>IF(AND(LEFT(D4796,4)+1=LEFT(' Pivot Tables'!$A$4,4)+0,RIGHT(LEFT(D4796,7),2)=RIGHT(LEFT(' Pivot Tables'!$A$4,7),2)),1,0)</f>
        <v>0</v>
      </c>
      <c r="Y4796" s="6">
        <f>1/COUNTIF(Таблица1[Order ID],Таблица1[[#This Row],[Order ID]])</f>
        <v>0.5</v>
      </c>
      <c r="Z4796" s="9">
        <f>1/COUNTIFS(Таблица1[Customer Name],Таблица1[[#This Row],[Customer Name]],Таблица1[Order-Year-Month],Таблица1[[#This Row],[Order-Year-Month]])</f>
        <v>0.5</v>
      </c>
    </row>
    <row r="4797" spans="1:26" x14ac:dyDescent="0.2">
      <c r="A4797" s="6">
        <v>4596</v>
      </c>
      <c r="B4797" s="7">
        <v>32710</v>
      </c>
      <c r="C4797" s="8">
        <f>DATE(2012,12,31)-1141</f>
        <v>40133</v>
      </c>
      <c r="D4797" s="8" t="str">
        <f t="shared" si="88"/>
        <v>2009-11 (ноябрь 2009)</v>
      </c>
      <c r="E4797" s="9" t="s">
        <v>30</v>
      </c>
      <c r="F4797" s="7">
        <v>43</v>
      </c>
      <c r="G4797" s="7">
        <v>540.33000000000004</v>
      </c>
      <c r="H4797" s="7">
        <v>0.04</v>
      </c>
      <c r="I4797" s="9" t="s">
        <v>22</v>
      </c>
      <c r="J4797" s="10">
        <v>-59.06</v>
      </c>
      <c r="K4797" s="11">
        <v>12.44</v>
      </c>
      <c r="L4797" s="11">
        <v>6.27</v>
      </c>
      <c r="M4797" s="9" t="s">
        <v>1821</v>
      </c>
      <c r="N4797" s="6" t="s">
        <v>672</v>
      </c>
      <c r="O4797" s="6" t="s">
        <v>673</v>
      </c>
      <c r="P4797" s="9" t="s">
        <v>41</v>
      </c>
      <c r="Q4797" s="9" t="s">
        <v>26</v>
      </c>
      <c r="R4797" s="9" t="s">
        <v>27</v>
      </c>
      <c r="S4797" s="7" t="s">
        <v>756</v>
      </c>
      <c r="T4797" s="9" t="s">
        <v>48</v>
      </c>
      <c r="U4797" s="7">
        <v>0.56999999999999995</v>
      </c>
      <c r="V4797" s="12">
        <f>C4797+1</f>
        <v>40134</v>
      </c>
      <c r="W4797">
        <f>IF(D4797=' Pivot Tables'!$A$4,1,0)</f>
        <v>0</v>
      </c>
      <c r="X4797">
        <f>IF(AND(LEFT(D4797,4)+1=LEFT(' Pivot Tables'!$A$4,4)+0,RIGHT(LEFT(D4797,7),2)=RIGHT(LEFT(' Pivot Tables'!$A$4,7),2)),1,0)</f>
        <v>0</v>
      </c>
      <c r="Y4797" s="6">
        <f>1/COUNTIF(Таблица1[Order ID],Таблица1[[#This Row],[Order ID]])</f>
        <v>1</v>
      </c>
      <c r="Z4797" s="9">
        <f>1/COUNTIFS(Таблица1[Customer Name],Таблица1[[#This Row],[Customer Name]],Таблица1[Order-Year-Month],Таблица1[[#This Row],[Order-Year-Month]])</f>
        <v>1</v>
      </c>
    </row>
    <row r="4798" spans="1:26" x14ac:dyDescent="0.2">
      <c r="A4798" s="6">
        <v>4644</v>
      </c>
      <c r="B4798" s="7">
        <v>33060</v>
      </c>
      <c r="C4798" s="8">
        <f>DATE(2012,12,31)-1046</f>
        <v>40228</v>
      </c>
      <c r="D4798" s="8" t="str">
        <f t="shared" si="88"/>
        <v>2010-02 (февраль 2010)</v>
      </c>
      <c r="E4798" s="9" t="s">
        <v>30</v>
      </c>
      <c r="F4798" s="7">
        <v>3</v>
      </c>
      <c r="G4798" s="7">
        <v>15.88</v>
      </c>
      <c r="H4798" s="7">
        <v>0.05</v>
      </c>
      <c r="I4798" s="9" t="s">
        <v>22</v>
      </c>
      <c r="J4798" s="10">
        <v>-11.04</v>
      </c>
      <c r="K4798" s="11">
        <v>3.74</v>
      </c>
      <c r="L4798" s="11">
        <v>4.6900000000000004</v>
      </c>
      <c r="M4798" s="9" t="s">
        <v>1825</v>
      </c>
      <c r="N4798" s="6" t="s">
        <v>672</v>
      </c>
      <c r="O4798" s="6" t="s">
        <v>673</v>
      </c>
      <c r="P4798" s="9" t="s">
        <v>60</v>
      </c>
      <c r="Q4798" s="9" t="s">
        <v>26</v>
      </c>
      <c r="R4798" s="9" t="s">
        <v>37</v>
      </c>
      <c r="S4798" s="7" t="s">
        <v>1587</v>
      </c>
      <c r="T4798" s="9" t="s">
        <v>39</v>
      </c>
      <c r="U4798" s="7">
        <v>0.35</v>
      </c>
      <c r="V4798" s="12">
        <f>C4798+1</f>
        <v>40229</v>
      </c>
      <c r="W4798">
        <f>IF(D4798=' Pivot Tables'!$A$4,1,0)</f>
        <v>0</v>
      </c>
      <c r="X4798">
        <f>IF(AND(LEFT(D4798,4)+1=LEFT(' Pivot Tables'!$A$4,4)+0,RIGHT(LEFT(D4798,7),2)=RIGHT(LEFT(' Pivot Tables'!$A$4,7),2)),1,0)</f>
        <v>0</v>
      </c>
      <c r="Y4798" s="6">
        <f>1/COUNTIF(Таблица1[Order ID],Таблица1[[#This Row],[Order ID]])</f>
        <v>1</v>
      </c>
      <c r="Z4798" s="9">
        <f>1/COUNTIFS(Таблица1[Customer Name],Таблица1[[#This Row],[Customer Name]],Таблица1[Order-Year-Month],Таблица1[[#This Row],[Order-Year-Month]])</f>
        <v>1</v>
      </c>
    </row>
    <row r="4799" spans="1:26" x14ac:dyDescent="0.2">
      <c r="A4799" s="6">
        <v>4675</v>
      </c>
      <c r="B4799" s="7">
        <v>33254</v>
      </c>
      <c r="C4799" s="8">
        <f>DATE(2012,12,31)-424</f>
        <v>40850</v>
      </c>
      <c r="D4799" s="8" t="str">
        <f t="shared" si="88"/>
        <v>2011-11 (ноябрь 2011)</v>
      </c>
      <c r="E4799" s="9" t="s">
        <v>45</v>
      </c>
      <c r="F4799" s="7">
        <v>11</v>
      </c>
      <c r="G4799" s="7">
        <v>466.35</v>
      </c>
      <c r="H4799" s="7">
        <v>0.01</v>
      </c>
      <c r="I4799" s="9" t="s">
        <v>22</v>
      </c>
      <c r="J4799" s="10">
        <v>159.25</v>
      </c>
      <c r="K4799" s="11">
        <v>39.979999999999997</v>
      </c>
      <c r="L4799" s="11">
        <v>9.1999999999999993</v>
      </c>
      <c r="M4799" s="9" t="s">
        <v>1825</v>
      </c>
      <c r="N4799" s="6" t="s">
        <v>672</v>
      </c>
      <c r="O4799" s="6" t="s">
        <v>673</v>
      </c>
      <c r="P4799" s="9" t="s">
        <v>60</v>
      </c>
      <c r="Q4799" s="9" t="s">
        <v>49</v>
      </c>
      <c r="R4799" s="9" t="s">
        <v>50</v>
      </c>
      <c r="S4799" s="7" t="s">
        <v>238</v>
      </c>
      <c r="T4799" s="9" t="s">
        <v>68</v>
      </c>
      <c r="U4799" s="7">
        <v>0.65</v>
      </c>
      <c r="V4799" s="12">
        <f>C4799+2</f>
        <v>40852</v>
      </c>
      <c r="W4799">
        <f>IF(D4799=' Pivot Tables'!$A$4,1,0)</f>
        <v>0</v>
      </c>
      <c r="X4799">
        <f>IF(AND(LEFT(D4799,4)+1=LEFT(' Pivot Tables'!$A$4,4)+0,RIGHT(LEFT(D4799,7),2)=RIGHT(LEFT(' Pivot Tables'!$A$4,7),2)),1,0)</f>
        <v>0</v>
      </c>
      <c r="Y4799" s="6">
        <f>1/COUNTIF(Таблица1[Order ID],Таблица1[[#This Row],[Order ID]])</f>
        <v>1</v>
      </c>
      <c r="Z4799" s="9">
        <f>1/COUNTIFS(Таблица1[Customer Name],Таблица1[[#This Row],[Customer Name]],Таблица1[Order-Year-Month],Таблица1[[#This Row],[Order-Year-Month]])</f>
        <v>1</v>
      </c>
    </row>
    <row r="4800" spans="1:26" x14ac:dyDescent="0.2">
      <c r="A4800" s="6">
        <v>4720</v>
      </c>
      <c r="B4800" s="7">
        <v>33605</v>
      </c>
      <c r="C4800" s="8">
        <f>DATE(2012,12,31)-272</f>
        <v>41002</v>
      </c>
      <c r="D4800" s="8" t="str">
        <f t="shared" si="88"/>
        <v>2012-04 (апрель 2012)</v>
      </c>
      <c r="E4800" s="9" t="s">
        <v>78</v>
      </c>
      <c r="F4800" s="7">
        <v>42</v>
      </c>
      <c r="G4800" s="7">
        <v>153.01</v>
      </c>
      <c r="H4800" s="7">
        <v>0.04</v>
      </c>
      <c r="I4800" s="9" t="s">
        <v>22</v>
      </c>
      <c r="J4800" s="10">
        <v>-218.53450000000001</v>
      </c>
      <c r="K4800" s="11">
        <v>3.52</v>
      </c>
      <c r="L4800" s="11">
        <v>6.83</v>
      </c>
      <c r="M4800" s="9" t="s">
        <v>1821</v>
      </c>
      <c r="N4800" s="6" t="s">
        <v>672</v>
      </c>
      <c r="O4800" s="6" t="s">
        <v>673</v>
      </c>
      <c r="P4800" s="9" t="s">
        <v>41</v>
      </c>
      <c r="Q4800" s="9" t="s">
        <v>26</v>
      </c>
      <c r="R4800" s="9" t="s">
        <v>37</v>
      </c>
      <c r="S4800" s="7" t="s">
        <v>636</v>
      </c>
      <c r="T4800" s="9" t="s">
        <v>39</v>
      </c>
      <c r="U4800" s="7">
        <v>0.38</v>
      </c>
      <c r="V4800" s="12">
        <f>C4800+2</f>
        <v>41004</v>
      </c>
      <c r="W4800">
        <f>IF(D4800=' Pivot Tables'!$A$4,1,0)</f>
        <v>0</v>
      </c>
      <c r="X4800">
        <f>IF(AND(LEFT(D4800,4)+1=LEFT(' Pivot Tables'!$A$4,4)+0,RIGHT(LEFT(D4800,7),2)=RIGHT(LEFT(' Pivot Tables'!$A$4,7),2)),1,0)</f>
        <v>0</v>
      </c>
      <c r="Y4800" s="6">
        <f>1/COUNTIF(Таблица1[Order ID],Таблица1[[#This Row],[Order ID]])</f>
        <v>1</v>
      </c>
      <c r="Z4800" s="9">
        <f>1/COUNTIFS(Таблица1[Customer Name],Таблица1[[#This Row],[Customer Name]],Таблица1[Order-Year-Month],Таблица1[[#This Row],[Order-Year-Month]])</f>
        <v>1</v>
      </c>
    </row>
    <row r="4801" spans="1:26" x14ac:dyDescent="0.2">
      <c r="A4801" s="6">
        <v>4807</v>
      </c>
      <c r="B4801" s="7">
        <v>34180</v>
      </c>
      <c r="C4801" s="8">
        <f>DATE(2012,12,31)-485</f>
        <v>40789</v>
      </c>
      <c r="D4801" s="8" t="str">
        <f t="shared" si="88"/>
        <v>2011-09 (сентябрь 2011)</v>
      </c>
      <c r="E4801" s="9" t="s">
        <v>30</v>
      </c>
      <c r="F4801" s="7">
        <v>2</v>
      </c>
      <c r="G4801" s="7">
        <v>27</v>
      </c>
      <c r="H4801" s="7">
        <v>0.02</v>
      </c>
      <c r="I4801" s="9" t="s">
        <v>56</v>
      </c>
      <c r="J4801" s="10">
        <v>-4.9000000000000004</v>
      </c>
      <c r="K4801" s="11">
        <v>5.78</v>
      </c>
      <c r="L4801" s="11">
        <v>8.09</v>
      </c>
      <c r="M4801" s="9" t="s">
        <v>1559</v>
      </c>
      <c r="N4801" s="6" t="s">
        <v>672</v>
      </c>
      <c r="O4801" s="6" t="s">
        <v>673</v>
      </c>
      <c r="P4801" s="9" t="s">
        <v>41</v>
      </c>
      <c r="Q4801" s="9" t="s">
        <v>26</v>
      </c>
      <c r="R4801" s="9" t="s">
        <v>61</v>
      </c>
      <c r="S4801" s="7" t="s">
        <v>259</v>
      </c>
      <c r="T4801" s="9" t="s">
        <v>39</v>
      </c>
      <c r="U4801" s="7">
        <v>0.36</v>
      </c>
      <c r="V4801" s="12">
        <f>C4801+0</f>
        <v>40789</v>
      </c>
      <c r="W4801">
        <f>IF(D4801=' Pivot Tables'!$A$4,1,0)</f>
        <v>0</v>
      </c>
      <c r="X4801">
        <f>IF(AND(LEFT(D4801,4)+1=LEFT(' Pivot Tables'!$A$4,4)+0,RIGHT(LEFT(D4801,7),2)=RIGHT(LEFT(' Pivot Tables'!$A$4,7),2)),1,0)</f>
        <v>0</v>
      </c>
      <c r="Y4801" s="6">
        <f>1/COUNTIF(Таблица1[Order ID],Таблица1[[#This Row],[Order ID]])</f>
        <v>1</v>
      </c>
      <c r="Z4801" s="9">
        <f>1/COUNTIFS(Таблица1[Customer Name],Таблица1[[#This Row],[Customer Name]],Таблица1[Order-Year-Month],Таблица1[[#This Row],[Order-Year-Month]])</f>
        <v>0.33333333333333331</v>
      </c>
    </row>
    <row r="4802" spans="1:26" x14ac:dyDescent="0.2">
      <c r="A4802" s="6">
        <v>4939</v>
      </c>
      <c r="B4802" s="7">
        <v>35137</v>
      </c>
      <c r="C4802" s="8">
        <f>DATE(2012,12,31)-898</f>
        <v>40376</v>
      </c>
      <c r="D4802" s="8" t="str">
        <f t="shared" si="88"/>
        <v>2010-07 (июль 2010)</v>
      </c>
      <c r="E4802" s="9" t="s">
        <v>30</v>
      </c>
      <c r="F4802" s="7">
        <v>41</v>
      </c>
      <c r="G4802" s="7">
        <v>225.06</v>
      </c>
      <c r="H4802" s="7">
        <v>0.05</v>
      </c>
      <c r="I4802" s="9" t="s">
        <v>56</v>
      </c>
      <c r="J4802" s="10">
        <v>7.3014999999999999</v>
      </c>
      <c r="K4802" s="11">
        <v>5.34</v>
      </c>
      <c r="L4802" s="11">
        <v>2.99</v>
      </c>
      <c r="M4802" s="9" t="s">
        <v>1826</v>
      </c>
      <c r="N4802" s="6" t="s">
        <v>672</v>
      </c>
      <c r="O4802" s="6" t="s">
        <v>673</v>
      </c>
      <c r="P4802" s="9" t="s">
        <v>60</v>
      </c>
      <c r="Q4802" s="9" t="s">
        <v>26</v>
      </c>
      <c r="R4802" s="9" t="s">
        <v>37</v>
      </c>
      <c r="S4802" s="7" t="s">
        <v>407</v>
      </c>
      <c r="T4802" s="9" t="s">
        <v>39</v>
      </c>
      <c r="U4802" s="7">
        <v>0.38</v>
      </c>
      <c r="V4802" s="12">
        <f>C4802+2</f>
        <v>40378</v>
      </c>
      <c r="W4802">
        <f>IF(D4802=' Pivot Tables'!$A$4,1,0)</f>
        <v>0</v>
      </c>
      <c r="X4802">
        <f>IF(AND(LEFT(D4802,4)+1=LEFT(' Pivot Tables'!$A$4,4)+0,RIGHT(LEFT(D4802,7),2)=RIGHT(LEFT(' Pivot Tables'!$A$4,7),2)),1,0)</f>
        <v>0</v>
      </c>
      <c r="Y4802" s="6">
        <f>1/COUNTIF(Таблица1[Order ID],Таблица1[[#This Row],[Order ID]])</f>
        <v>0.5</v>
      </c>
      <c r="Z4802" s="9">
        <f>1/COUNTIFS(Таблица1[Customer Name],Таблица1[[#This Row],[Customer Name]],Таблица1[Order-Year-Month],Таблица1[[#This Row],[Order-Year-Month]])</f>
        <v>0.5</v>
      </c>
    </row>
    <row r="4803" spans="1:26" x14ac:dyDescent="0.2">
      <c r="A4803" s="6">
        <v>4940</v>
      </c>
      <c r="B4803" s="7">
        <v>35137</v>
      </c>
      <c r="C4803" s="8">
        <f>DATE(2012,12,31)-898</f>
        <v>40376</v>
      </c>
      <c r="D4803" s="8" t="str">
        <f t="shared" ref="D4803:D4866" si="89">TEXT(C4803,"гггг-ММ (ММММ гггг)")</f>
        <v>2010-07 (июль 2010)</v>
      </c>
      <c r="E4803" s="9" t="s">
        <v>30</v>
      </c>
      <c r="F4803" s="7">
        <v>47</v>
      </c>
      <c r="G4803" s="7">
        <v>1041.78</v>
      </c>
      <c r="H4803" s="7">
        <v>0.1</v>
      </c>
      <c r="I4803" s="9" t="s">
        <v>22</v>
      </c>
      <c r="J4803" s="10">
        <v>283.79000000000002</v>
      </c>
      <c r="K4803" s="11">
        <v>23.99</v>
      </c>
      <c r="L4803" s="11">
        <v>6.71</v>
      </c>
      <c r="M4803" s="9" t="s">
        <v>1826</v>
      </c>
      <c r="N4803" s="6" t="s">
        <v>672</v>
      </c>
      <c r="O4803" s="6" t="s">
        <v>673</v>
      </c>
      <c r="P4803" s="9" t="s">
        <v>60</v>
      </c>
      <c r="Q4803" s="9" t="s">
        <v>26</v>
      </c>
      <c r="R4803" s="9" t="s">
        <v>76</v>
      </c>
      <c r="S4803" s="7" t="s">
        <v>318</v>
      </c>
      <c r="T4803" s="9" t="s">
        <v>39</v>
      </c>
      <c r="U4803" s="7">
        <v>0.35</v>
      </c>
      <c r="V4803" s="12">
        <f>C4803+3</f>
        <v>40379</v>
      </c>
      <c r="W4803">
        <f>IF(D4803=' Pivot Tables'!$A$4,1,0)</f>
        <v>0</v>
      </c>
      <c r="X4803">
        <f>IF(AND(LEFT(D4803,4)+1=LEFT(' Pivot Tables'!$A$4,4)+0,RIGHT(LEFT(D4803,7),2)=RIGHT(LEFT(' Pivot Tables'!$A$4,7),2)),1,0)</f>
        <v>0</v>
      </c>
      <c r="Y4803" s="6">
        <f>1/COUNTIF(Таблица1[Order ID],Таблица1[[#This Row],[Order ID]])</f>
        <v>0.5</v>
      </c>
      <c r="Z4803" s="9">
        <f>1/COUNTIFS(Таблица1[Customer Name],Таблица1[[#This Row],[Customer Name]],Таблица1[Order-Year-Month],Таблица1[[#This Row],[Order-Year-Month]])</f>
        <v>0.5</v>
      </c>
    </row>
    <row r="4804" spans="1:26" x14ac:dyDescent="0.2">
      <c r="A4804" s="6">
        <v>5185</v>
      </c>
      <c r="B4804" s="7">
        <v>36838</v>
      </c>
      <c r="C4804" s="8">
        <f>DATE(2012,12,31)-1363</f>
        <v>39911</v>
      </c>
      <c r="D4804" s="8" t="str">
        <f t="shared" si="89"/>
        <v>2009-04 (апрель 2009)</v>
      </c>
      <c r="E4804" s="9" t="s">
        <v>21</v>
      </c>
      <c r="F4804" s="7">
        <v>3</v>
      </c>
      <c r="G4804" s="7">
        <v>32.76</v>
      </c>
      <c r="H4804" s="7">
        <v>0.06</v>
      </c>
      <c r="I4804" s="9" t="s">
        <v>56</v>
      </c>
      <c r="J4804" s="10">
        <v>11.29</v>
      </c>
      <c r="K4804" s="11">
        <v>6.3</v>
      </c>
      <c r="L4804" s="11">
        <v>0.5</v>
      </c>
      <c r="M4804" s="9" t="s">
        <v>1559</v>
      </c>
      <c r="N4804" s="6" t="s">
        <v>672</v>
      </c>
      <c r="O4804" s="6" t="s">
        <v>673</v>
      </c>
      <c r="P4804" s="9" t="s">
        <v>41</v>
      </c>
      <c r="Q4804" s="9" t="s">
        <v>26</v>
      </c>
      <c r="R4804" s="9" t="s">
        <v>88</v>
      </c>
      <c r="S4804" s="7" t="s">
        <v>461</v>
      </c>
      <c r="T4804" s="9" t="s">
        <v>39</v>
      </c>
      <c r="U4804" s="7">
        <v>0.39</v>
      </c>
      <c r="V4804" s="12">
        <f>C4804+9</f>
        <v>39920</v>
      </c>
      <c r="W4804">
        <f>IF(D4804=' Pivot Tables'!$A$4,1,0)</f>
        <v>0</v>
      </c>
      <c r="X4804">
        <f>IF(AND(LEFT(D4804,4)+1=LEFT(' Pivot Tables'!$A$4,4)+0,RIGHT(LEFT(D4804,7),2)=RIGHT(LEFT(' Pivot Tables'!$A$4,7),2)),1,0)</f>
        <v>0</v>
      </c>
      <c r="Y4804" s="6">
        <f>1/COUNTIF(Таблица1[Order ID],Таблица1[[#This Row],[Order ID]])</f>
        <v>1</v>
      </c>
      <c r="Z4804" s="9">
        <f>1/COUNTIFS(Таблица1[Customer Name],Таблица1[[#This Row],[Customer Name]],Таблица1[Order-Year-Month],Таблица1[[#This Row],[Order-Year-Month]])</f>
        <v>1</v>
      </c>
    </row>
    <row r="4805" spans="1:26" x14ac:dyDescent="0.2">
      <c r="A4805" s="6">
        <v>5232</v>
      </c>
      <c r="B4805" s="7">
        <v>37252</v>
      </c>
      <c r="C4805" s="8">
        <f>DATE(2012,12,31)-408</f>
        <v>40866</v>
      </c>
      <c r="D4805" s="8" t="str">
        <f t="shared" si="89"/>
        <v>2011-11 (ноябрь 2011)</v>
      </c>
      <c r="E4805" s="9" t="s">
        <v>21</v>
      </c>
      <c r="F4805" s="7">
        <v>21</v>
      </c>
      <c r="G4805" s="7">
        <v>1503.49</v>
      </c>
      <c r="H4805" s="7">
        <v>0.03</v>
      </c>
      <c r="I4805" s="9" t="s">
        <v>22</v>
      </c>
      <c r="J4805" s="10">
        <v>408.73</v>
      </c>
      <c r="K4805" s="11">
        <v>70.97</v>
      </c>
      <c r="L4805" s="11">
        <v>3.5</v>
      </c>
      <c r="M4805" s="9" t="s">
        <v>1832</v>
      </c>
      <c r="N4805" s="6" t="s">
        <v>672</v>
      </c>
      <c r="O4805" s="6" t="s">
        <v>673</v>
      </c>
      <c r="P4805" s="9" t="s">
        <v>41</v>
      </c>
      <c r="Q4805" s="9" t="s">
        <v>26</v>
      </c>
      <c r="R4805" s="9" t="s">
        <v>34</v>
      </c>
      <c r="S4805" s="7" t="s">
        <v>1401</v>
      </c>
      <c r="T4805" s="9" t="s">
        <v>39</v>
      </c>
      <c r="U4805" s="7">
        <v>0.59</v>
      </c>
      <c r="V4805" s="12">
        <f>C4805+2</f>
        <v>40868</v>
      </c>
      <c r="W4805">
        <f>IF(D4805=' Pivot Tables'!$A$4,1,0)</f>
        <v>0</v>
      </c>
      <c r="X4805">
        <f>IF(AND(LEFT(D4805,4)+1=LEFT(' Pivot Tables'!$A$4,4)+0,RIGHT(LEFT(D4805,7),2)=RIGHT(LEFT(' Pivot Tables'!$A$4,7),2)),1,0)</f>
        <v>0</v>
      </c>
      <c r="Y4805" s="6">
        <f>1/COUNTIF(Таблица1[Order ID],Таблица1[[#This Row],[Order ID]])</f>
        <v>0.25</v>
      </c>
      <c r="Z4805" s="9">
        <f>1/COUNTIFS(Таблица1[Customer Name],Таблица1[[#This Row],[Customer Name]],Таблица1[Order-Year-Month],Таблица1[[#This Row],[Order-Year-Month]])</f>
        <v>0.25</v>
      </c>
    </row>
    <row r="4806" spans="1:26" x14ac:dyDescent="0.2">
      <c r="A4806" s="6">
        <v>5233</v>
      </c>
      <c r="B4806" s="7">
        <v>37252</v>
      </c>
      <c r="C4806" s="8">
        <f>DATE(2012,12,31)-408</f>
        <v>40866</v>
      </c>
      <c r="D4806" s="8" t="str">
        <f t="shared" si="89"/>
        <v>2011-11 (ноябрь 2011)</v>
      </c>
      <c r="E4806" s="9" t="s">
        <v>21</v>
      </c>
      <c r="F4806" s="7">
        <v>1</v>
      </c>
      <c r="G4806" s="7">
        <v>10.62</v>
      </c>
      <c r="H4806" s="7">
        <v>0.02</v>
      </c>
      <c r="I4806" s="9" t="s">
        <v>22</v>
      </c>
      <c r="J4806" s="10">
        <v>-31.2</v>
      </c>
      <c r="K4806" s="11">
        <v>8.32</v>
      </c>
      <c r="L4806" s="11">
        <v>2.38</v>
      </c>
      <c r="M4806" s="9" t="s">
        <v>1832</v>
      </c>
      <c r="N4806" s="6" t="s">
        <v>672</v>
      </c>
      <c r="O4806" s="6" t="s">
        <v>673</v>
      </c>
      <c r="P4806" s="9" t="s">
        <v>41</v>
      </c>
      <c r="Q4806" s="9" t="s">
        <v>42</v>
      </c>
      <c r="R4806" s="9" t="s">
        <v>70</v>
      </c>
      <c r="S4806" s="7" t="s">
        <v>1584</v>
      </c>
      <c r="T4806" s="9" t="s">
        <v>52</v>
      </c>
      <c r="U4806" s="7">
        <v>0.74</v>
      </c>
      <c r="V4806" s="12">
        <f>C4806+4</f>
        <v>40870</v>
      </c>
      <c r="W4806">
        <f>IF(D4806=' Pivot Tables'!$A$4,1,0)</f>
        <v>0</v>
      </c>
      <c r="X4806">
        <f>IF(AND(LEFT(D4806,4)+1=LEFT(' Pivot Tables'!$A$4,4)+0,RIGHT(LEFT(D4806,7),2)=RIGHT(LEFT(' Pivot Tables'!$A$4,7),2)),1,0)</f>
        <v>0</v>
      </c>
      <c r="Y4806" s="6">
        <f>1/COUNTIF(Таблица1[Order ID],Таблица1[[#This Row],[Order ID]])</f>
        <v>0.25</v>
      </c>
      <c r="Z4806" s="9">
        <f>1/COUNTIFS(Таблица1[Customer Name],Таблица1[[#This Row],[Customer Name]],Таблица1[Order-Year-Month],Таблица1[[#This Row],[Order-Year-Month]])</f>
        <v>0.25</v>
      </c>
    </row>
    <row r="4807" spans="1:26" x14ac:dyDescent="0.2">
      <c r="A4807" s="6">
        <v>5234</v>
      </c>
      <c r="B4807" s="7">
        <v>37252</v>
      </c>
      <c r="C4807" s="8">
        <f>DATE(2012,12,31)-408</f>
        <v>40866</v>
      </c>
      <c r="D4807" s="8" t="str">
        <f t="shared" si="89"/>
        <v>2011-11 (ноябрь 2011)</v>
      </c>
      <c r="E4807" s="9" t="s">
        <v>21</v>
      </c>
      <c r="F4807" s="7">
        <v>50</v>
      </c>
      <c r="G4807" s="7">
        <v>2337.0300000000002</v>
      </c>
      <c r="H4807" s="7">
        <v>0.1</v>
      </c>
      <c r="I4807" s="9" t="s">
        <v>22</v>
      </c>
      <c r="J4807" s="10">
        <v>-37.19</v>
      </c>
      <c r="K4807" s="11">
        <v>49.99</v>
      </c>
      <c r="L4807" s="11">
        <v>19.989999999999998</v>
      </c>
      <c r="M4807" s="9" t="s">
        <v>1832</v>
      </c>
      <c r="N4807" s="6" t="s">
        <v>672</v>
      </c>
      <c r="O4807" s="6" t="s">
        <v>673</v>
      </c>
      <c r="P4807" s="9" t="s">
        <v>41</v>
      </c>
      <c r="Q4807" s="9" t="s">
        <v>42</v>
      </c>
      <c r="R4807" s="9" t="s">
        <v>70</v>
      </c>
      <c r="S4807" s="7" t="s">
        <v>1682</v>
      </c>
      <c r="T4807" s="9" t="s">
        <v>39</v>
      </c>
      <c r="U4807" s="7">
        <v>0.45</v>
      </c>
      <c r="V4807" s="12">
        <f>C4807+2</f>
        <v>40868</v>
      </c>
      <c r="W4807">
        <f>IF(D4807=' Pivot Tables'!$A$4,1,0)</f>
        <v>0</v>
      </c>
      <c r="X4807">
        <f>IF(AND(LEFT(D4807,4)+1=LEFT(' Pivot Tables'!$A$4,4)+0,RIGHT(LEFT(D4807,7),2)=RIGHT(LEFT(' Pivot Tables'!$A$4,7),2)),1,0)</f>
        <v>0</v>
      </c>
      <c r="Y4807" s="6">
        <f>1/COUNTIF(Таблица1[Order ID],Таблица1[[#This Row],[Order ID]])</f>
        <v>0.25</v>
      </c>
      <c r="Z4807" s="9">
        <f>1/COUNTIFS(Таблица1[Customer Name],Таблица1[[#This Row],[Customer Name]],Таблица1[Order-Year-Month],Таблица1[[#This Row],[Order-Year-Month]])</f>
        <v>0.25</v>
      </c>
    </row>
    <row r="4808" spans="1:26" x14ac:dyDescent="0.2">
      <c r="A4808" s="6">
        <v>5235</v>
      </c>
      <c r="B4808" s="7">
        <v>37252</v>
      </c>
      <c r="C4808" s="8">
        <f>DATE(2012,12,31)-408</f>
        <v>40866</v>
      </c>
      <c r="D4808" s="8" t="str">
        <f t="shared" si="89"/>
        <v>2011-11 (ноябрь 2011)</v>
      </c>
      <c r="E4808" s="9" t="s">
        <v>21</v>
      </c>
      <c r="F4808" s="7">
        <v>34</v>
      </c>
      <c r="G4808" s="7">
        <v>29345.27</v>
      </c>
      <c r="H4808" s="7">
        <v>0.03</v>
      </c>
      <c r="I4808" s="9" t="s">
        <v>31</v>
      </c>
      <c r="J4808" s="10">
        <v>7497.55</v>
      </c>
      <c r="K4808" s="11">
        <v>880.98</v>
      </c>
      <c r="L4808" s="11">
        <v>44.55</v>
      </c>
      <c r="M4808" s="9" t="s">
        <v>1832</v>
      </c>
      <c r="N4808" s="6" t="s">
        <v>672</v>
      </c>
      <c r="O4808" s="6" t="s">
        <v>673</v>
      </c>
      <c r="P4808" s="9" t="s">
        <v>41</v>
      </c>
      <c r="Q4808" s="9" t="s">
        <v>49</v>
      </c>
      <c r="R4808" s="9" t="s">
        <v>80</v>
      </c>
      <c r="S4808" s="7" t="s">
        <v>301</v>
      </c>
      <c r="T4808" s="9" t="s">
        <v>82</v>
      </c>
      <c r="U4808" s="7">
        <v>0.62</v>
      </c>
      <c r="V4808" s="12">
        <f>C4808+5</f>
        <v>40871</v>
      </c>
      <c r="W4808">
        <f>IF(D4808=' Pivot Tables'!$A$4,1,0)</f>
        <v>0</v>
      </c>
      <c r="X4808">
        <f>IF(AND(LEFT(D4808,4)+1=LEFT(' Pivot Tables'!$A$4,4)+0,RIGHT(LEFT(D4808,7),2)=RIGHT(LEFT(' Pivot Tables'!$A$4,7),2)),1,0)</f>
        <v>0</v>
      </c>
      <c r="Y4808" s="6">
        <f>1/COUNTIF(Таблица1[Order ID],Таблица1[[#This Row],[Order ID]])</f>
        <v>0.25</v>
      </c>
      <c r="Z4808" s="9">
        <f>1/COUNTIFS(Таблица1[Customer Name],Таблица1[[#This Row],[Customer Name]],Таблица1[Order-Year-Month],Таблица1[[#This Row],[Order-Year-Month]])</f>
        <v>0.25</v>
      </c>
    </row>
    <row r="4809" spans="1:26" x14ac:dyDescent="0.2">
      <c r="A4809" s="6">
        <v>5496</v>
      </c>
      <c r="B4809" s="7">
        <v>38979</v>
      </c>
      <c r="C4809" s="8">
        <f>DATE(2012,12,31)-1039</f>
        <v>40235</v>
      </c>
      <c r="D4809" s="8" t="str">
        <f t="shared" si="89"/>
        <v>2010-02 (февраль 2010)</v>
      </c>
      <c r="E4809" s="9" t="s">
        <v>21</v>
      </c>
      <c r="F4809" s="7">
        <v>48</v>
      </c>
      <c r="G4809" s="7">
        <v>3355.1</v>
      </c>
      <c r="H4809" s="7">
        <v>7.0000000000000007E-2</v>
      </c>
      <c r="I4809" s="9" t="s">
        <v>31</v>
      </c>
      <c r="J4809" s="10">
        <v>-1701.96</v>
      </c>
      <c r="K4809" s="11">
        <v>70.98</v>
      </c>
      <c r="L4809" s="11">
        <v>59.81</v>
      </c>
      <c r="M4809" s="9" t="s">
        <v>1832</v>
      </c>
      <c r="N4809" s="6" t="s">
        <v>672</v>
      </c>
      <c r="O4809" s="6" t="s">
        <v>673</v>
      </c>
      <c r="P4809" s="9" t="s">
        <v>41</v>
      </c>
      <c r="Q4809" s="9" t="s">
        <v>49</v>
      </c>
      <c r="R4809" s="9" t="s">
        <v>112</v>
      </c>
      <c r="S4809" s="7" t="s">
        <v>1400</v>
      </c>
      <c r="T4809" s="9" t="s">
        <v>36</v>
      </c>
      <c r="U4809" s="7">
        <v>0.6</v>
      </c>
      <c r="V4809" s="12">
        <f>C4809+0</f>
        <v>40235</v>
      </c>
      <c r="W4809">
        <f>IF(D4809=' Pivot Tables'!$A$4,1,0)</f>
        <v>0</v>
      </c>
      <c r="X4809">
        <f>IF(AND(LEFT(D4809,4)+1=LEFT(' Pivot Tables'!$A$4,4)+0,RIGHT(LEFT(D4809,7),2)=RIGHT(LEFT(' Pivot Tables'!$A$4,7),2)),1,0)</f>
        <v>0</v>
      </c>
      <c r="Y4809" s="6">
        <f>1/COUNTIF(Таблица1[Order ID],Таблица1[[#This Row],[Order ID]])</f>
        <v>0.33333333333333331</v>
      </c>
      <c r="Z4809" s="9">
        <f>1/COUNTIFS(Таблица1[Customer Name],Таблица1[[#This Row],[Customer Name]],Таблица1[Order-Year-Month],Таблица1[[#This Row],[Order-Year-Month]])</f>
        <v>0.33333333333333331</v>
      </c>
    </row>
    <row r="4810" spans="1:26" x14ac:dyDescent="0.2">
      <c r="A4810" s="6">
        <v>5497</v>
      </c>
      <c r="B4810" s="7">
        <v>38979</v>
      </c>
      <c r="C4810" s="8">
        <f>DATE(2012,12,31)-1039</f>
        <v>40235</v>
      </c>
      <c r="D4810" s="8" t="str">
        <f t="shared" si="89"/>
        <v>2010-02 (февраль 2010)</v>
      </c>
      <c r="E4810" s="9" t="s">
        <v>21</v>
      </c>
      <c r="F4810" s="7">
        <v>34</v>
      </c>
      <c r="G4810" s="7">
        <v>2864.55</v>
      </c>
      <c r="H4810" s="7">
        <v>0.06</v>
      </c>
      <c r="I4810" s="9" t="s">
        <v>22</v>
      </c>
      <c r="J4810" s="10">
        <v>1021.07</v>
      </c>
      <c r="K4810" s="11">
        <v>82.99</v>
      </c>
      <c r="L4810" s="11">
        <v>5.5</v>
      </c>
      <c r="M4810" s="9" t="s">
        <v>1832</v>
      </c>
      <c r="N4810" s="6" t="s">
        <v>672</v>
      </c>
      <c r="O4810" s="6" t="s">
        <v>673</v>
      </c>
      <c r="P4810" s="9" t="s">
        <v>41</v>
      </c>
      <c r="Q4810" s="9" t="s">
        <v>42</v>
      </c>
      <c r="R4810" s="9" t="s">
        <v>70</v>
      </c>
      <c r="S4810" s="7" t="s">
        <v>573</v>
      </c>
      <c r="T4810" s="9" t="s">
        <v>39</v>
      </c>
      <c r="U4810" s="7">
        <v>0.44</v>
      </c>
      <c r="V4810" s="12">
        <f>C4810+5</f>
        <v>40240</v>
      </c>
      <c r="W4810">
        <f>IF(D4810=' Pivot Tables'!$A$4,1,0)</f>
        <v>0</v>
      </c>
      <c r="X4810">
        <f>IF(AND(LEFT(D4810,4)+1=LEFT(' Pivot Tables'!$A$4,4)+0,RIGHT(LEFT(D4810,7),2)=RIGHT(LEFT(' Pivot Tables'!$A$4,7),2)),1,0)</f>
        <v>0</v>
      </c>
      <c r="Y4810" s="6">
        <f>1/COUNTIF(Таблица1[Order ID],Таблица1[[#This Row],[Order ID]])</f>
        <v>0.33333333333333331</v>
      </c>
      <c r="Z4810" s="9">
        <f>1/COUNTIFS(Таблица1[Customer Name],Таблица1[[#This Row],[Customer Name]],Таблица1[Order-Year-Month],Таблица1[[#This Row],[Order-Year-Month]])</f>
        <v>0.33333333333333331</v>
      </c>
    </row>
    <row r="4811" spans="1:26" x14ac:dyDescent="0.2">
      <c r="A4811" s="6">
        <v>5498</v>
      </c>
      <c r="B4811" s="7">
        <v>38979</v>
      </c>
      <c r="C4811" s="8">
        <f>DATE(2012,12,31)-1039</f>
        <v>40235</v>
      </c>
      <c r="D4811" s="8" t="str">
        <f t="shared" si="89"/>
        <v>2010-02 (февраль 2010)</v>
      </c>
      <c r="E4811" s="9" t="s">
        <v>21</v>
      </c>
      <c r="F4811" s="7">
        <v>31</v>
      </c>
      <c r="G4811" s="7">
        <v>65.61</v>
      </c>
      <c r="H4811" s="7">
        <v>0.02</v>
      </c>
      <c r="I4811" s="9" t="s">
        <v>22</v>
      </c>
      <c r="J4811" s="10">
        <v>-16.63</v>
      </c>
      <c r="K4811" s="11">
        <v>1.95</v>
      </c>
      <c r="L4811" s="11">
        <v>1.63</v>
      </c>
      <c r="M4811" s="9" t="s">
        <v>1832</v>
      </c>
      <c r="N4811" s="6" t="s">
        <v>672</v>
      </c>
      <c r="O4811" s="6" t="s">
        <v>673</v>
      </c>
      <c r="P4811" s="9" t="s">
        <v>41</v>
      </c>
      <c r="Q4811" s="9" t="s">
        <v>26</v>
      </c>
      <c r="R4811" s="9" t="s">
        <v>95</v>
      </c>
      <c r="S4811" s="7" t="s">
        <v>1502</v>
      </c>
      <c r="T4811" s="9" t="s">
        <v>68</v>
      </c>
      <c r="U4811" s="7">
        <v>0.46</v>
      </c>
      <c r="V4811" s="12">
        <f>C4811+5</f>
        <v>40240</v>
      </c>
      <c r="W4811">
        <f>IF(D4811=' Pivot Tables'!$A$4,1,0)</f>
        <v>0</v>
      </c>
      <c r="X4811">
        <f>IF(AND(LEFT(D4811,4)+1=LEFT(' Pivot Tables'!$A$4,4)+0,RIGHT(LEFT(D4811,7),2)=RIGHT(LEFT(' Pivot Tables'!$A$4,7),2)),1,0)</f>
        <v>0</v>
      </c>
      <c r="Y4811" s="6">
        <f>1/COUNTIF(Таблица1[Order ID],Таблица1[[#This Row],[Order ID]])</f>
        <v>0.33333333333333331</v>
      </c>
      <c r="Z4811" s="9">
        <f>1/COUNTIFS(Таблица1[Customer Name],Таблица1[[#This Row],[Customer Name]],Таблица1[Order-Year-Month],Таблица1[[#This Row],[Order-Year-Month]])</f>
        <v>0.33333333333333331</v>
      </c>
    </row>
    <row r="4812" spans="1:26" x14ac:dyDescent="0.2">
      <c r="A4812" s="6">
        <v>5588</v>
      </c>
      <c r="B4812" s="7">
        <v>39619</v>
      </c>
      <c r="C4812" s="8">
        <f>DATE(2012,12,31)-362</f>
        <v>40912</v>
      </c>
      <c r="D4812" s="8" t="str">
        <f t="shared" si="89"/>
        <v>2012-01 (январь 2012)</v>
      </c>
      <c r="E4812" s="9" t="s">
        <v>21</v>
      </c>
      <c r="F4812" s="7">
        <v>15</v>
      </c>
      <c r="G4812" s="7">
        <v>742.8</v>
      </c>
      <c r="H4812" s="7">
        <v>0.02</v>
      </c>
      <c r="I4812" s="9" t="s">
        <v>22</v>
      </c>
      <c r="J4812" s="10">
        <v>265.87</v>
      </c>
      <c r="K4812" s="11">
        <v>49.34</v>
      </c>
      <c r="L4812" s="11">
        <v>10.25</v>
      </c>
      <c r="M4812" s="9" t="s">
        <v>1829</v>
      </c>
      <c r="N4812" s="6" t="s">
        <v>672</v>
      </c>
      <c r="O4812" s="6" t="s">
        <v>673</v>
      </c>
      <c r="P4812" s="9" t="s">
        <v>33</v>
      </c>
      <c r="Q4812" s="9" t="s">
        <v>49</v>
      </c>
      <c r="R4812" s="9" t="s">
        <v>50</v>
      </c>
      <c r="S4812" s="7" t="s">
        <v>1279</v>
      </c>
      <c r="T4812" s="9" t="s">
        <v>29</v>
      </c>
      <c r="U4812" s="7">
        <v>0.56999999999999995</v>
      </c>
      <c r="V4812" s="12">
        <f>C4812+4</f>
        <v>40916</v>
      </c>
      <c r="W4812">
        <f>IF(D4812=' Pivot Tables'!$A$4,1,0)</f>
        <v>0</v>
      </c>
      <c r="X4812">
        <f>IF(AND(LEFT(D4812,4)+1=LEFT(' Pivot Tables'!$A$4,4)+0,RIGHT(LEFT(D4812,7),2)=RIGHT(LEFT(' Pivot Tables'!$A$4,7),2)),1,0)</f>
        <v>0</v>
      </c>
      <c r="Y4812" s="6">
        <f>1/COUNTIF(Таблица1[Order ID],Таблица1[[#This Row],[Order ID]])</f>
        <v>1</v>
      </c>
      <c r="Z4812" s="9">
        <f>1/COUNTIFS(Таблица1[Customer Name],Таблица1[[#This Row],[Customer Name]],Таблица1[Order-Year-Month],Таблица1[[#This Row],[Order-Year-Month]])</f>
        <v>1</v>
      </c>
    </row>
    <row r="4813" spans="1:26" x14ac:dyDescent="0.2">
      <c r="A4813" s="6">
        <v>5670</v>
      </c>
      <c r="B4813" s="7">
        <v>40101</v>
      </c>
      <c r="C4813" s="8">
        <f>DATE(2012,12,31)-1430</f>
        <v>39844</v>
      </c>
      <c r="D4813" s="8" t="str">
        <f t="shared" si="89"/>
        <v>2009-01 (январь 2009)</v>
      </c>
      <c r="E4813" s="9" t="s">
        <v>21</v>
      </c>
      <c r="F4813" s="7">
        <v>46</v>
      </c>
      <c r="G4813" s="7">
        <v>2188.06</v>
      </c>
      <c r="H4813" s="7">
        <v>0.1</v>
      </c>
      <c r="I4813" s="9" t="s">
        <v>56</v>
      </c>
      <c r="J4813" s="10">
        <v>33.770000000000003</v>
      </c>
      <c r="K4813" s="11">
        <v>49.99</v>
      </c>
      <c r="L4813" s="11">
        <v>19.989999999999998</v>
      </c>
      <c r="M4813" s="9" t="s">
        <v>1821</v>
      </c>
      <c r="N4813" s="6" t="s">
        <v>672</v>
      </c>
      <c r="O4813" s="6" t="s">
        <v>673</v>
      </c>
      <c r="P4813" s="9" t="s">
        <v>41</v>
      </c>
      <c r="Q4813" s="9" t="s">
        <v>42</v>
      </c>
      <c r="R4813" s="9" t="s">
        <v>70</v>
      </c>
      <c r="S4813" s="7" t="s">
        <v>1682</v>
      </c>
      <c r="T4813" s="9" t="s">
        <v>39</v>
      </c>
      <c r="U4813" s="7">
        <v>0.45</v>
      </c>
      <c r="V4813" s="12">
        <f>C4813+5</f>
        <v>39849</v>
      </c>
      <c r="W4813">
        <f>IF(D4813=' Pivot Tables'!$A$4,1,0)</f>
        <v>0</v>
      </c>
      <c r="X4813">
        <f>IF(AND(LEFT(D4813,4)+1=LEFT(' Pivot Tables'!$A$4,4)+0,RIGHT(LEFT(D4813,7),2)=RIGHT(LEFT(' Pivot Tables'!$A$4,7),2)),1,0)</f>
        <v>1</v>
      </c>
      <c r="Y4813" s="6">
        <f>1/COUNTIF(Таблица1[Order ID],Таблица1[[#This Row],[Order ID]])</f>
        <v>1</v>
      </c>
      <c r="Z4813" s="9">
        <f>1/COUNTIFS(Таблица1[Customer Name],Таблица1[[#This Row],[Customer Name]],Таблица1[Order-Year-Month],Таблица1[[#This Row],[Order-Year-Month]])</f>
        <v>0.5</v>
      </c>
    </row>
    <row r="4814" spans="1:26" x14ac:dyDescent="0.2">
      <c r="A4814" s="6">
        <v>5852</v>
      </c>
      <c r="B4814" s="7">
        <v>41542</v>
      </c>
      <c r="C4814" s="8">
        <f>DATE(2012,12,31)-1192</f>
        <v>40082</v>
      </c>
      <c r="D4814" s="8" t="str">
        <f t="shared" si="89"/>
        <v>2009-09 (сентябрь 2009)</v>
      </c>
      <c r="E4814" s="9" t="s">
        <v>30</v>
      </c>
      <c r="F4814" s="7">
        <v>47</v>
      </c>
      <c r="G4814" s="7">
        <v>6181.48</v>
      </c>
      <c r="H4814" s="7">
        <v>0.03</v>
      </c>
      <c r="I4814" s="9" t="s">
        <v>31</v>
      </c>
      <c r="J4814" s="10">
        <v>-194.83</v>
      </c>
      <c r="K4814" s="11">
        <v>124.49</v>
      </c>
      <c r="L4814" s="11">
        <v>51.94</v>
      </c>
      <c r="M4814" s="9" t="s">
        <v>1559</v>
      </c>
      <c r="N4814" s="6" t="s">
        <v>672</v>
      </c>
      <c r="O4814" s="6" t="s">
        <v>673</v>
      </c>
      <c r="P4814" s="9" t="s">
        <v>41</v>
      </c>
      <c r="Q4814" s="9" t="s">
        <v>49</v>
      </c>
      <c r="R4814" s="9" t="s">
        <v>83</v>
      </c>
      <c r="S4814" s="7" t="s">
        <v>432</v>
      </c>
      <c r="T4814" s="9" t="s">
        <v>82</v>
      </c>
      <c r="U4814" s="7">
        <v>0.63</v>
      </c>
      <c r="V4814" s="12">
        <f>C4814+1</f>
        <v>40083</v>
      </c>
      <c r="W4814">
        <f>IF(D4814=' Pivot Tables'!$A$4,1,0)</f>
        <v>0</v>
      </c>
      <c r="X4814">
        <f>IF(AND(LEFT(D4814,4)+1=LEFT(' Pivot Tables'!$A$4,4)+0,RIGHT(LEFT(D4814,7),2)=RIGHT(LEFT(' Pivot Tables'!$A$4,7),2)),1,0)</f>
        <v>0</v>
      </c>
      <c r="Y4814" s="6">
        <f>1/COUNTIF(Таблица1[Order ID],Таблица1[[#This Row],[Order ID]])</f>
        <v>1</v>
      </c>
      <c r="Z4814" s="9">
        <f>1/COUNTIFS(Таблица1[Customer Name],Таблица1[[#This Row],[Customer Name]],Таблица1[Order-Year-Month],Таблица1[[#This Row],[Order-Year-Month]])</f>
        <v>1</v>
      </c>
    </row>
    <row r="4815" spans="1:26" x14ac:dyDescent="0.2">
      <c r="A4815" s="6">
        <v>6010</v>
      </c>
      <c r="B4815" s="7">
        <v>42565</v>
      </c>
      <c r="C4815" s="8">
        <f>DATE(2012,12,31)-831</f>
        <v>40443</v>
      </c>
      <c r="D4815" s="8" t="str">
        <f t="shared" si="89"/>
        <v>2010-09 (сентябрь 2010)</v>
      </c>
      <c r="E4815" s="9" t="s">
        <v>21</v>
      </c>
      <c r="F4815" s="7">
        <v>33</v>
      </c>
      <c r="G4815" s="7">
        <v>283.8</v>
      </c>
      <c r="H4815" s="7">
        <v>0.04</v>
      </c>
      <c r="I4815" s="9" t="s">
        <v>22</v>
      </c>
      <c r="J4815" s="10">
        <v>47.523499999999999</v>
      </c>
      <c r="K4815" s="11">
        <v>8.69</v>
      </c>
      <c r="L4815" s="11">
        <v>2.99</v>
      </c>
      <c r="M4815" s="9" t="s">
        <v>1826</v>
      </c>
      <c r="N4815" s="6" t="s">
        <v>672</v>
      </c>
      <c r="O4815" s="6" t="s">
        <v>673</v>
      </c>
      <c r="P4815" s="9" t="s">
        <v>60</v>
      </c>
      <c r="Q4815" s="9" t="s">
        <v>26</v>
      </c>
      <c r="R4815" s="9" t="s">
        <v>37</v>
      </c>
      <c r="S4815" s="7" t="s">
        <v>38</v>
      </c>
      <c r="T4815" s="9" t="s">
        <v>39</v>
      </c>
      <c r="U4815" s="7">
        <v>0.39</v>
      </c>
      <c r="V4815" s="12">
        <f>C4815+7</f>
        <v>40450</v>
      </c>
      <c r="W4815">
        <f>IF(D4815=' Pivot Tables'!$A$4,1,0)</f>
        <v>0</v>
      </c>
      <c r="X4815">
        <f>IF(AND(LEFT(D4815,4)+1=LEFT(' Pivot Tables'!$A$4,4)+0,RIGHT(LEFT(D4815,7),2)=RIGHT(LEFT(' Pivot Tables'!$A$4,7),2)),1,0)</f>
        <v>0</v>
      </c>
      <c r="Y4815" s="6">
        <f>1/COUNTIF(Таблица1[Order ID],Таблица1[[#This Row],[Order ID]])</f>
        <v>1</v>
      </c>
      <c r="Z4815" s="9">
        <f>1/COUNTIFS(Таблица1[Customer Name],Таблица1[[#This Row],[Customer Name]],Таблица1[Order-Year-Month],Таблица1[[#This Row],[Order-Year-Month]])</f>
        <v>1</v>
      </c>
    </row>
    <row r="4816" spans="1:26" x14ac:dyDescent="0.2">
      <c r="A4816" s="6">
        <v>6041</v>
      </c>
      <c r="B4816" s="7">
        <v>42823</v>
      </c>
      <c r="C4816" s="8">
        <f>DATE(2012,12,31)-920</f>
        <v>40354</v>
      </c>
      <c r="D4816" s="8" t="str">
        <f t="shared" si="89"/>
        <v>2010-06 (июнь 2010)</v>
      </c>
      <c r="E4816" s="9" t="s">
        <v>63</v>
      </c>
      <c r="F4816" s="7">
        <v>8</v>
      </c>
      <c r="G4816" s="7">
        <v>49.14</v>
      </c>
      <c r="H4816" s="7">
        <v>0.05</v>
      </c>
      <c r="I4816" s="9" t="s">
        <v>56</v>
      </c>
      <c r="J4816" s="10">
        <v>-22.56</v>
      </c>
      <c r="K4816" s="11">
        <v>4.28</v>
      </c>
      <c r="L4816" s="11">
        <v>6.18</v>
      </c>
      <c r="M4816" s="9" t="s">
        <v>1832</v>
      </c>
      <c r="N4816" s="6" t="s">
        <v>672</v>
      </c>
      <c r="O4816" s="6" t="s">
        <v>673</v>
      </c>
      <c r="P4816" s="9" t="s">
        <v>41</v>
      </c>
      <c r="Q4816" s="9" t="s">
        <v>26</v>
      </c>
      <c r="R4816" s="9" t="s">
        <v>61</v>
      </c>
      <c r="S4816" s="7" t="s">
        <v>65</v>
      </c>
      <c r="T4816" s="9" t="s">
        <v>39</v>
      </c>
      <c r="U4816" s="7">
        <v>0.4</v>
      </c>
      <c r="V4816" s="12">
        <f>C4816+2</f>
        <v>40356</v>
      </c>
      <c r="W4816">
        <f>IF(D4816=' Pivot Tables'!$A$4,1,0)</f>
        <v>0</v>
      </c>
      <c r="X4816">
        <f>IF(AND(LEFT(D4816,4)+1=LEFT(' Pivot Tables'!$A$4,4)+0,RIGHT(LEFT(D4816,7),2)=RIGHT(LEFT(' Pivot Tables'!$A$4,7),2)),1,0)</f>
        <v>0</v>
      </c>
      <c r="Y4816" s="6">
        <f>1/COUNTIF(Таблица1[Order ID],Таблица1[[#This Row],[Order ID]])</f>
        <v>1</v>
      </c>
      <c r="Z4816" s="9">
        <f>1/COUNTIFS(Таблица1[Customer Name],Таблица1[[#This Row],[Customer Name]],Таблица1[Order-Year-Month],Таблица1[[#This Row],[Order-Year-Month]])</f>
        <v>1</v>
      </c>
    </row>
    <row r="4817" spans="1:26" x14ac:dyDescent="0.2">
      <c r="A4817" s="6">
        <v>6131</v>
      </c>
      <c r="B4817" s="7">
        <v>43398</v>
      </c>
      <c r="C4817" s="8">
        <f>DATE(2012,12,31)-617</f>
        <v>40657</v>
      </c>
      <c r="D4817" s="8" t="str">
        <f t="shared" si="89"/>
        <v>2011-04 (апрель 2011)</v>
      </c>
      <c r="E4817" s="9" t="s">
        <v>45</v>
      </c>
      <c r="F4817" s="7">
        <v>10</v>
      </c>
      <c r="G4817" s="7">
        <v>1600.85</v>
      </c>
      <c r="H4817" s="7">
        <v>7.0000000000000007E-2</v>
      </c>
      <c r="I4817" s="9" t="s">
        <v>31</v>
      </c>
      <c r="J4817" s="10">
        <v>-193.97</v>
      </c>
      <c r="K4817" s="11">
        <v>159.31</v>
      </c>
      <c r="L4817" s="11">
        <v>60</v>
      </c>
      <c r="M4817" s="9" t="s">
        <v>1821</v>
      </c>
      <c r="N4817" s="6" t="s">
        <v>672</v>
      </c>
      <c r="O4817" s="6" t="s">
        <v>673</v>
      </c>
      <c r="P4817" s="9" t="s">
        <v>41</v>
      </c>
      <c r="Q4817" s="9" t="s">
        <v>49</v>
      </c>
      <c r="R4817" s="9" t="s">
        <v>83</v>
      </c>
      <c r="S4817" s="7" t="s">
        <v>956</v>
      </c>
      <c r="T4817" s="9" t="s">
        <v>36</v>
      </c>
      <c r="U4817" s="7">
        <v>0.55000000000000004</v>
      </c>
      <c r="V4817" s="12">
        <f>C4817+1</f>
        <v>40658</v>
      </c>
      <c r="W4817">
        <f>IF(D4817=' Pivot Tables'!$A$4,1,0)</f>
        <v>0</v>
      </c>
      <c r="X4817">
        <f>IF(AND(LEFT(D4817,4)+1=LEFT(' Pivot Tables'!$A$4,4)+0,RIGHT(LEFT(D4817,7),2)=RIGHT(LEFT(' Pivot Tables'!$A$4,7),2)),1,0)</f>
        <v>0</v>
      </c>
      <c r="Y4817" s="6">
        <f>1/COUNTIF(Таблица1[Order ID],Таблица1[[#This Row],[Order ID]])</f>
        <v>1</v>
      </c>
      <c r="Z4817" s="9">
        <f>1/COUNTIFS(Таблица1[Customer Name],Таблица1[[#This Row],[Customer Name]],Таблица1[Order-Year-Month],Таблица1[[#This Row],[Order-Year-Month]])</f>
        <v>1</v>
      </c>
    </row>
    <row r="4818" spans="1:26" x14ac:dyDescent="0.2">
      <c r="A4818" s="6">
        <v>6212</v>
      </c>
      <c r="B4818" s="7">
        <v>44002</v>
      </c>
      <c r="C4818" s="8">
        <f>DATE(2012,12,31)-1423</f>
        <v>39851</v>
      </c>
      <c r="D4818" s="8" t="str">
        <f t="shared" si="89"/>
        <v>2009-02 (февраль 2009)</v>
      </c>
      <c r="E4818" s="9" t="s">
        <v>63</v>
      </c>
      <c r="F4818" s="7">
        <v>46</v>
      </c>
      <c r="G4818" s="7">
        <v>320.93</v>
      </c>
      <c r="H4818" s="7">
        <v>0.05</v>
      </c>
      <c r="I4818" s="9" t="s">
        <v>22</v>
      </c>
      <c r="J4818" s="10">
        <v>-66.48</v>
      </c>
      <c r="K4818" s="11">
        <v>6.68</v>
      </c>
      <c r="L4818" s="11">
        <v>5.66</v>
      </c>
      <c r="M4818" s="9" t="s">
        <v>1821</v>
      </c>
      <c r="N4818" s="6" t="s">
        <v>672</v>
      </c>
      <c r="O4818" s="6" t="s">
        <v>673</v>
      </c>
      <c r="P4818" s="9" t="s">
        <v>41</v>
      </c>
      <c r="Q4818" s="9" t="s">
        <v>26</v>
      </c>
      <c r="R4818" s="9" t="s">
        <v>61</v>
      </c>
      <c r="S4818" s="7" t="s">
        <v>860</v>
      </c>
      <c r="T4818" s="9" t="s">
        <v>39</v>
      </c>
      <c r="U4818" s="7">
        <v>0.37</v>
      </c>
      <c r="V4818" s="12">
        <f>C4818+2</f>
        <v>39853</v>
      </c>
      <c r="W4818">
        <f>IF(D4818=' Pivot Tables'!$A$4,1,0)</f>
        <v>0</v>
      </c>
      <c r="X4818">
        <f>IF(AND(LEFT(D4818,4)+1=LEFT(' Pivot Tables'!$A$4,4)+0,RIGHT(LEFT(D4818,7),2)=RIGHT(LEFT(' Pivot Tables'!$A$4,7),2)),1,0)</f>
        <v>0</v>
      </c>
      <c r="Y4818" s="6">
        <f>1/COUNTIF(Таблица1[Order ID],Таблица1[[#This Row],[Order ID]])</f>
        <v>0.5</v>
      </c>
      <c r="Z4818" s="9">
        <f>1/COUNTIFS(Таблица1[Customer Name],Таблица1[[#This Row],[Customer Name]],Таблица1[Order-Year-Month],Таблица1[[#This Row],[Order-Year-Month]])</f>
        <v>0.5</v>
      </c>
    </row>
    <row r="4819" spans="1:26" x14ac:dyDescent="0.2">
      <c r="A4819" s="6">
        <v>6213</v>
      </c>
      <c r="B4819" s="7">
        <v>44002</v>
      </c>
      <c r="C4819" s="8">
        <f>DATE(2012,12,31)-1423</f>
        <v>39851</v>
      </c>
      <c r="D4819" s="8" t="str">
        <f t="shared" si="89"/>
        <v>2009-02 (февраль 2009)</v>
      </c>
      <c r="E4819" s="9" t="s">
        <v>63</v>
      </c>
      <c r="F4819" s="7">
        <v>14</v>
      </c>
      <c r="G4819" s="7">
        <v>261.85000000000002</v>
      </c>
      <c r="H4819" s="7">
        <v>0.03</v>
      </c>
      <c r="I4819" s="9" t="s">
        <v>22</v>
      </c>
      <c r="J4819" s="10">
        <v>-52.33</v>
      </c>
      <c r="K4819" s="11">
        <v>17.7</v>
      </c>
      <c r="L4819" s="11">
        <v>9.4700000000000006</v>
      </c>
      <c r="M4819" s="9" t="s">
        <v>1821</v>
      </c>
      <c r="N4819" s="6" t="s">
        <v>672</v>
      </c>
      <c r="O4819" s="6" t="s">
        <v>673</v>
      </c>
      <c r="P4819" s="9" t="s">
        <v>41</v>
      </c>
      <c r="Q4819" s="9" t="s">
        <v>26</v>
      </c>
      <c r="R4819" s="9" t="s">
        <v>27</v>
      </c>
      <c r="S4819" s="7" t="s">
        <v>1446</v>
      </c>
      <c r="T4819" s="9" t="s">
        <v>39</v>
      </c>
      <c r="U4819" s="7">
        <v>0.59</v>
      </c>
      <c r="V4819" s="12">
        <f>C4819+0</f>
        <v>39851</v>
      </c>
      <c r="W4819">
        <f>IF(D4819=' Pivot Tables'!$A$4,1,0)</f>
        <v>0</v>
      </c>
      <c r="X4819">
        <f>IF(AND(LEFT(D4819,4)+1=LEFT(' Pivot Tables'!$A$4,4)+0,RIGHT(LEFT(D4819,7),2)=RIGHT(LEFT(' Pivot Tables'!$A$4,7),2)),1,0)</f>
        <v>0</v>
      </c>
      <c r="Y4819" s="6">
        <f>1/COUNTIF(Таблица1[Order ID],Таблица1[[#This Row],[Order ID]])</f>
        <v>0.5</v>
      </c>
      <c r="Z4819" s="9">
        <f>1/COUNTIFS(Таблица1[Customer Name],Таблица1[[#This Row],[Customer Name]],Таблица1[Order-Year-Month],Таблица1[[#This Row],[Order-Year-Month]])</f>
        <v>0.5</v>
      </c>
    </row>
    <row r="4820" spans="1:26" x14ac:dyDescent="0.2">
      <c r="A4820" s="6">
        <v>6236</v>
      </c>
      <c r="B4820" s="7">
        <v>44196</v>
      </c>
      <c r="C4820" s="8">
        <f>DATE(2012,12,31)-1227</f>
        <v>40047</v>
      </c>
      <c r="D4820" s="8" t="str">
        <f t="shared" si="89"/>
        <v>2009-08 (август 2009)</v>
      </c>
      <c r="E4820" s="9" t="s">
        <v>45</v>
      </c>
      <c r="F4820" s="7">
        <v>10</v>
      </c>
      <c r="G4820" s="7">
        <v>56.91</v>
      </c>
      <c r="H4820" s="7">
        <v>0.01</v>
      </c>
      <c r="I4820" s="9" t="s">
        <v>22</v>
      </c>
      <c r="J4820" s="10">
        <v>7.5</v>
      </c>
      <c r="K4820" s="11">
        <v>5.18</v>
      </c>
      <c r="L4820" s="11">
        <v>2.04</v>
      </c>
      <c r="M4820" s="9" t="s">
        <v>1627</v>
      </c>
      <c r="N4820" s="6" t="s">
        <v>672</v>
      </c>
      <c r="O4820" s="6" t="s">
        <v>673</v>
      </c>
      <c r="P4820" s="9" t="s">
        <v>41</v>
      </c>
      <c r="Q4820" s="9" t="s">
        <v>26</v>
      </c>
      <c r="R4820" s="9" t="s">
        <v>61</v>
      </c>
      <c r="S4820" s="7" t="s">
        <v>391</v>
      </c>
      <c r="T4820" s="9" t="s">
        <v>68</v>
      </c>
      <c r="U4820" s="7">
        <v>0.36</v>
      </c>
      <c r="V4820" s="12">
        <f>C4820+2</f>
        <v>40049</v>
      </c>
      <c r="W4820">
        <f>IF(D4820=' Pivot Tables'!$A$4,1,0)</f>
        <v>0</v>
      </c>
      <c r="X4820">
        <f>IF(AND(LEFT(D4820,4)+1=LEFT(' Pivot Tables'!$A$4,4)+0,RIGHT(LEFT(D4820,7),2)=RIGHT(LEFT(' Pivot Tables'!$A$4,7),2)),1,0)</f>
        <v>0</v>
      </c>
      <c r="Y4820" s="6">
        <f>1/COUNTIF(Таблица1[Order ID],Таблица1[[#This Row],[Order ID]])</f>
        <v>0.5</v>
      </c>
      <c r="Z4820" s="9">
        <f>1/COUNTIFS(Таблица1[Customer Name],Таблица1[[#This Row],[Customer Name]],Таблица1[Order-Year-Month],Таблица1[[#This Row],[Order-Year-Month]])</f>
        <v>0.5</v>
      </c>
    </row>
    <row r="4821" spans="1:26" x14ac:dyDescent="0.2">
      <c r="A4821" s="6">
        <v>6267</v>
      </c>
      <c r="B4821" s="7">
        <v>44359</v>
      </c>
      <c r="C4821" s="8">
        <f>DATE(2012,12,31)-763</f>
        <v>40511</v>
      </c>
      <c r="D4821" s="8" t="str">
        <f t="shared" si="89"/>
        <v>2010-11 (ноябрь 2010)</v>
      </c>
      <c r="E4821" s="9" t="s">
        <v>30</v>
      </c>
      <c r="F4821" s="7">
        <v>19</v>
      </c>
      <c r="G4821" s="7">
        <v>113.2</v>
      </c>
      <c r="H4821" s="7">
        <v>0.1</v>
      </c>
      <c r="I4821" s="9" t="s">
        <v>22</v>
      </c>
      <c r="J4821" s="10">
        <v>24.83</v>
      </c>
      <c r="K4821" s="11">
        <v>6.08</v>
      </c>
      <c r="L4821" s="11">
        <v>0.91</v>
      </c>
      <c r="M4821" s="9" t="s">
        <v>1825</v>
      </c>
      <c r="N4821" s="6" t="s">
        <v>672</v>
      </c>
      <c r="O4821" s="6" t="s">
        <v>673</v>
      </c>
      <c r="P4821" s="9" t="s">
        <v>60</v>
      </c>
      <c r="Q4821" s="9" t="s">
        <v>26</v>
      </c>
      <c r="R4821" s="9" t="s">
        <v>95</v>
      </c>
      <c r="S4821" s="7" t="s">
        <v>1366</v>
      </c>
      <c r="T4821" s="9" t="s">
        <v>68</v>
      </c>
      <c r="U4821" s="7">
        <v>0.51</v>
      </c>
      <c r="V4821" s="12">
        <f>C4821+2</f>
        <v>40513</v>
      </c>
      <c r="W4821">
        <f>IF(D4821=' Pivot Tables'!$A$4,1,0)</f>
        <v>0</v>
      </c>
      <c r="X4821">
        <f>IF(AND(LEFT(D4821,4)+1=LEFT(' Pivot Tables'!$A$4,4)+0,RIGHT(LEFT(D4821,7),2)=RIGHT(LEFT(' Pivot Tables'!$A$4,7),2)),1,0)</f>
        <v>0</v>
      </c>
      <c r="Y4821" s="6">
        <f>1/COUNTIF(Таблица1[Order ID],Таблица1[[#This Row],[Order ID]])</f>
        <v>1</v>
      </c>
      <c r="Z4821" s="9">
        <f>1/COUNTIFS(Таблица1[Customer Name],Таблица1[[#This Row],[Customer Name]],Таблица1[Order-Year-Month],Таблица1[[#This Row],[Order-Year-Month]])</f>
        <v>1</v>
      </c>
    </row>
    <row r="4822" spans="1:26" x14ac:dyDescent="0.2">
      <c r="A4822" s="6">
        <v>6334</v>
      </c>
      <c r="B4822" s="7">
        <v>44871</v>
      </c>
      <c r="C4822" s="8">
        <f>DATE(2012,12,31)-608</f>
        <v>40666</v>
      </c>
      <c r="D4822" s="8" t="str">
        <f t="shared" si="89"/>
        <v>2011-05 (май 2011)</v>
      </c>
      <c r="E4822" s="9" t="s">
        <v>78</v>
      </c>
      <c r="F4822" s="7">
        <v>27</v>
      </c>
      <c r="G4822" s="7">
        <v>94.46</v>
      </c>
      <c r="H4822" s="7">
        <v>0.02</v>
      </c>
      <c r="I4822" s="9" t="s">
        <v>22</v>
      </c>
      <c r="J4822" s="10">
        <v>-75.09</v>
      </c>
      <c r="K4822" s="11">
        <v>3.28</v>
      </c>
      <c r="L4822" s="11">
        <v>4.2</v>
      </c>
      <c r="M4822" s="9" t="s">
        <v>1837</v>
      </c>
      <c r="N4822" s="6" t="s">
        <v>672</v>
      </c>
      <c r="O4822" s="6" t="s">
        <v>673</v>
      </c>
      <c r="P4822" s="9" t="s">
        <v>60</v>
      </c>
      <c r="Q4822" s="9" t="s">
        <v>26</v>
      </c>
      <c r="R4822" s="9" t="s">
        <v>95</v>
      </c>
      <c r="S4822" s="7" t="s">
        <v>1074</v>
      </c>
      <c r="T4822" s="9" t="s">
        <v>68</v>
      </c>
      <c r="U4822" s="7">
        <v>0.56000000000000005</v>
      </c>
      <c r="V4822" s="12">
        <f>C4822+2</f>
        <v>40668</v>
      </c>
      <c r="W4822">
        <f>IF(D4822=' Pivot Tables'!$A$4,1,0)</f>
        <v>0</v>
      </c>
      <c r="X4822">
        <f>IF(AND(LEFT(D4822,4)+1=LEFT(' Pivot Tables'!$A$4,4)+0,RIGHT(LEFT(D4822,7),2)=RIGHT(LEFT(' Pivot Tables'!$A$4,7),2)),1,0)</f>
        <v>0</v>
      </c>
      <c r="Y4822" s="6">
        <f>1/COUNTIF(Таблица1[Order ID],Таблица1[[#This Row],[Order ID]])</f>
        <v>1</v>
      </c>
      <c r="Z4822" s="9">
        <f>1/COUNTIFS(Таблица1[Customer Name],Таблица1[[#This Row],[Customer Name]],Таблица1[Order-Year-Month],Таблица1[[#This Row],[Order-Year-Month]])</f>
        <v>0.33333333333333331</v>
      </c>
    </row>
    <row r="4823" spans="1:26" x14ac:dyDescent="0.2">
      <c r="A4823" s="6">
        <v>6475</v>
      </c>
      <c r="B4823" s="7">
        <v>46055</v>
      </c>
      <c r="C4823" s="8">
        <f>DATE(2012,12,31)-212</f>
        <v>41062</v>
      </c>
      <c r="D4823" s="8" t="str">
        <f t="shared" si="89"/>
        <v>2012-06 (июнь 2012)</v>
      </c>
      <c r="E4823" s="9" t="s">
        <v>63</v>
      </c>
      <c r="F4823" s="7">
        <v>25</v>
      </c>
      <c r="G4823" s="7">
        <v>1291.2</v>
      </c>
      <c r="H4823" s="7">
        <v>0.04</v>
      </c>
      <c r="I4823" s="9" t="s">
        <v>22</v>
      </c>
      <c r="J4823" s="10">
        <v>-5.5999999999999801</v>
      </c>
      <c r="K4823" s="11">
        <v>50.98</v>
      </c>
      <c r="L4823" s="11">
        <v>6.5</v>
      </c>
      <c r="M4823" s="9" t="s">
        <v>1559</v>
      </c>
      <c r="N4823" s="6" t="s">
        <v>672</v>
      </c>
      <c r="O4823" s="6" t="s">
        <v>673</v>
      </c>
      <c r="P4823" s="9" t="s">
        <v>33</v>
      </c>
      <c r="Q4823" s="9" t="s">
        <v>42</v>
      </c>
      <c r="R4823" s="9" t="s">
        <v>70</v>
      </c>
      <c r="S4823" s="7" t="s">
        <v>187</v>
      </c>
      <c r="T4823" s="9" t="s">
        <v>39</v>
      </c>
      <c r="U4823" s="7">
        <v>0.73</v>
      </c>
      <c r="V4823" s="12">
        <f>C4823+2</f>
        <v>41064</v>
      </c>
      <c r="W4823">
        <f>IF(D4823=' Pivot Tables'!$A$4,1,0)</f>
        <v>0</v>
      </c>
      <c r="X4823">
        <f>IF(AND(LEFT(D4823,4)+1=LEFT(' Pivot Tables'!$A$4,4)+0,RIGHT(LEFT(D4823,7),2)=RIGHT(LEFT(' Pivot Tables'!$A$4,7),2)),1,0)</f>
        <v>0</v>
      </c>
      <c r="Y4823" s="6">
        <f>1/COUNTIF(Таблица1[Order ID],Таблица1[[#This Row],[Order ID]])</f>
        <v>1</v>
      </c>
      <c r="Z4823" s="9">
        <f>1/COUNTIFS(Таблица1[Customer Name],Таблица1[[#This Row],[Customer Name]],Таблица1[Order-Year-Month],Таблица1[[#This Row],[Order-Year-Month]])</f>
        <v>1</v>
      </c>
    </row>
    <row r="4824" spans="1:26" x14ac:dyDescent="0.2">
      <c r="A4824" s="6">
        <v>6556</v>
      </c>
      <c r="B4824" s="7">
        <v>46624</v>
      </c>
      <c r="C4824" s="8">
        <f>DATE(2012,12,31)-980</f>
        <v>40294</v>
      </c>
      <c r="D4824" s="8" t="str">
        <f t="shared" si="89"/>
        <v>2010-04 (апрель 2010)</v>
      </c>
      <c r="E4824" s="9" t="s">
        <v>45</v>
      </c>
      <c r="F4824" s="7">
        <v>28</v>
      </c>
      <c r="G4824" s="7">
        <v>110.2</v>
      </c>
      <c r="H4824" s="7">
        <v>7.0000000000000007E-2</v>
      </c>
      <c r="I4824" s="9" t="s">
        <v>22</v>
      </c>
      <c r="J4824" s="10">
        <v>42.84</v>
      </c>
      <c r="K4824" s="11">
        <v>4.13</v>
      </c>
      <c r="L4824" s="11">
        <v>0.5</v>
      </c>
      <c r="M4824" s="9" t="s">
        <v>1825</v>
      </c>
      <c r="N4824" s="6" t="s">
        <v>672</v>
      </c>
      <c r="O4824" s="6" t="s">
        <v>673</v>
      </c>
      <c r="P4824" s="9" t="s">
        <v>60</v>
      </c>
      <c r="Q4824" s="9" t="s">
        <v>26</v>
      </c>
      <c r="R4824" s="9" t="s">
        <v>88</v>
      </c>
      <c r="S4824" s="7" t="s">
        <v>184</v>
      </c>
      <c r="T4824" s="9" t="s">
        <v>39</v>
      </c>
      <c r="U4824" s="7">
        <v>0.39</v>
      </c>
      <c r="V4824" s="12">
        <f>C4824+1</f>
        <v>40295</v>
      </c>
      <c r="W4824">
        <f>IF(D4824=' Pivot Tables'!$A$4,1,0)</f>
        <v>0</v>
      </c>
      <c r="X4824">
        <f>IF(AND(LEFT(D4824,4)+1=LEFT(' Pivot Tables'!$A$4,4)+0,RIGHT(LEFT(D4824,7),2)=RIGHT(LEFT(' Pivot Tables'!$A$4,7),2)),1,0)</f>
        <v>0</v>
      </c>
      <c r="Y4824" s="6">
        <f>1/COUNTIF(Таблица1[Order ID],Таблица1[[#This Row],[Order ID]])</f>
        <v>0.5</v>
      </c>
      <c r="Z4824" s="9">
        <f>1/COUNTIFS(Таблица1[Customer Name],Таблица1[[#This Row],[Customer Name]],Таблица1[Order-Year-Month],Таблица1[[#This Row],[Order-Year-Month]])</f>
        <v>0.5</v>
      </c>
    </row>
    <row r="4825" spans="1:26" x14ac:dyDescent="0.2">
      <c r="A4825" s="6">
        <v>6557</v>
      </c>
      <c r="B4825" s="7">
        <v>46624</v>
      </c>
      <c r="C4825" s="8">
        <f>DATE(2012,12,31)-980</f>
        <v>40294</v>
      </c>
      <c r="D4825" s="8" t="str">
        <f t="shared" si="89"/>
        <v>2010-04 (апрель 2010)</v>
      </c>
      <c r="E4825" s="9" t="s">
        <v>45</v>
      </c>
      <c r="F4825" s="7">
        <v>12</v>
      </c>
      <c r="G4825" s="7">
        <v>54.86</v>
      </c>
      <c r="H4825" s="7">
        <v>0.09</v>
      </c>
      <c r="I4825" s="9" t="s">
        <v>22</v>
      </c>
      <c r="J4825" s="10">
        <v>-50.6</v>
      </c>
      <c r="K4825" s="11">
        <v>4.28</v>
      </c>
      <c r="L4825" s="11">
        <v>6.72</v>
      </c>
      <c r="M4825" s="9" t="s">
        <v>1825</v>
      </c>
      <c r="N4825" s="6" t="s">
        <v>672</v>
      </c>
      <c r="O4825" s="6" t="s">
        <v>673</v>
      </c>
      <c r="P4825" s="9" t="s">
        <v>60</v>
      </c>
      <c r="Q4825" s="9" t="s">
        <v>26</v>
      </c>
      <c r="R4825" s="9" t="s">
        <v>61</v>
      </c>
      <c r="S4825" s="7" t="s">
        <v>1007</v>
      </c>
      <c r="T4825" s="9" t="s">
        <v>39</v>
      </c>
      <c r="U4825" s="7">
        <v>0.4</v>
      </c>
      <c r="V4825" s="12">
        <f>C4825+2</f>
        <v>40296</v>
      </c>
      <c r="W4825">
        <f>IF(D4825=' Pivot Tables'!$A$4,1,0)</f>
        <v>0</v>
      </c>
      <c r="X4825">
        <f>IF(AND(LEFT(D4825,4)+1=LEFT(' Pivot Tables'!$A$4,4)+0,RIGHT(LEFT(D4825,7),2)=RIGHT(LEFT(' Pivot Tables'!$A$4,7),2)),1,0)</f>
        <v>0</v>
      </c>
      <c r="Y4825" s="6">
        <f>1/COUNTIF(Таблица1[Order ID],Таблица1[[#This Row],[Order ID]])</f>
        <v>0.5</v>
      </c>
      <c r="Z4825" s="9">
        <f>1/COUNTIFS(Таблица1[Customer Name],Таблица1[[#This Row],[Customer Name]],Таблица1[Order-Year-Month],Таблица1[[#This Row],[Order-Year-Month]])</f>
        <v>0.5</v>
      </c>
    </row>
    <row r="4826" spans="1:26" x14ac:dyDescent="0.2">
      <c r="A4826" s="6">
        <v>6618</v>
      </c>
      <c r="B4826" s="7">
        <v>47079</v>
      </c>
      <c r="C4826" s="8">
        <f>DATE(2012,12,31)-381</f>
        <v>40893</v>
      </c>
      <c r="D4826" s="8" t="str">
        <f t="shared" si="89"/>
        <v>2011-12 (декабрь 2011)</v>
      </c>
      <c r="E4826" s="9" t="s">
        <v>78</v>
      </c>
      <c r="F4826" s="7">
        <v>34</v>
      </c>
      <c r="G4826" s="7">
        <v>1069.8499999999999</v>
      </c>
      <c r="H4826" s="7">
        <v>7.0000000000000007E-2</v>
      </c>
      <c r="I4826" s="9" t="s">
        <v>31</v>
      </c>
      <c r="J4826" s="10">
        <v>-1179.3900000000001</v>
      </c>
      <c r="K4826" s="11">
        <v>31.76</v>
      </c>
      <c r="L4826" s="11">
        <v>45.51</v>
      </c>
      <c r="M4826" s="9" t="s">
        <v>1841</v>
      </c>
      <c r="N4826" s="6" t="s">
        <v>672</v>
      </c>
      <c r="O4826" s="6" t="s">
        <v>673</v>
      </c>
      <c r="P4826" s="9" t="s">
        <v>60</v>
      </c>
      <c r="Q4826" s="9" t="s">
        <v>49</v>
      </c>
      <c r="R4826" s="9" t="s">
        <v>83</v>
      </c>
      <c r="S4826" s="7" t="s">
        <v>611</v>
      </c>
      <c r="T4826" s="9" t="s">
        <v>82</v>
      </c>
      <c r="U4826" s="7">
        <v>0.65</v>
      </c>
      <c r="V4826" s="12">
        <f>C4826+2</f>
        <v>40895</v>
      </c>
      <c r="W4826">
        <f>IF(D4826=' Pivot Tables'!$A$4,1,0)</f>
        <v>0</v>
      </c>
      <c r="X4826">
        <f>IF(AND(LEFT(D4826,4)+1=LEFT(' Pivot Tables'!$A$4,4)+0,RIGHT(LEFT(D4826,7),2)=RIGHT(LEFT(' Pivot Tables'!$A$4,7),2)),1,0)</f>
        <v>0</v>
      </c>
      <c r="Y4826" s="6">
        <f>1/COUNTIF(Таблица1[Order ID],Таблица1[[#This Row],[Order ID]])</f>
        <v>1</v>
      </c>
      <c r="Z4826" s="9">
        <f>1/COUNTIFS(Таблица1[Customer Name],Таблица1[[#This Row],[Customer Name]],Таблица1[Order-Year-Month],Таблица1[[#This Row],[Order-Year-Month]])</f>
        <v>0.5</v>
      </c>
    </row>
    <row r="4827" spans="1:26" x14ac:dyDescent="0.2">
      <c r="A4827" s="6">
        <v>6674</v>
      </c>
      <c r="B4827" s="7">
        <v>47494</v>
      </c>
      <c r="C4827" s="8">
        <f>DATE(2012,12,31)-1279</f>
        <v>39995</v>
      </c>
      <c r="D4827" s="8" t="str">
        <f t="shared" si="89"/>
        <v>2009-07 (июль 2009)</v>
      </c>
      <c r="E4827" s="9" t="s">
        <v>30</v>
      </c>
      <c r="F4827" s="7">
        <v>42</v>
      </c>
      <c r="G4827" s="7">
        <v>1967.83</v>
      </c>
      <c r="H4827" s="7">
        <v>0.04</v>
      </c>
      <c r="I4827" s="9" t="s">
        <v>22</v>
      </c>
      <c r="J4827" s="10">
        <v>659.6</v>
      </c>
      <c r="K4827" s="11">
        <v>45.19</v>
      </c>
      <c r="L4827" s="11">
        <v>1.99</v>
      </c>
      <c r="M4827" s="9" t="s">
        <v>1559</v>
      </c>
      <c r="N4827" s="6" t="s">
        <v>672</v>
      </c>
      <c r="O4827" s="6" t="s">
        <v>673</v>
      </c>
      <c r="P4827" s="9" t="s">
        <v>33</v>
      </c>
      <c r="Q4827" s="9" t="s">
        <v>42</v>
      </c>
      <c r="R4827" s="9" t="s">
        <v>70</v>
      </c>
      <c r="S4827" s="7" t="s">
        <v>379</v>
      </c>
      <c r="T4827" s="9" t="s">
        <v>52</v>
      </c>
      <c r="U4827" s="7">
        <v>0.55000000000000004</v>
      </c>
      <c r="V4827" s="12">
        <f>C4827+1</f>
        <v>39996</v>
      </c>
      <c r="W4827">
        <f>IF(D4827=' Pivot Tables'!$A$4,1,0)</f>
        <v>0</v>
      </c>
      <c r="X4827">
        <f>IF(AND(LEFT(D4827,4)+1=LEFT(' Pivot Tables'!$A$4,4)+0,RIGHT(LEFT(D4827,7),2)=RIGHT(LEFT(' Pivot Tables'!$A$4,7),2)),1,0)</f>
        <v>0</v>
      </c>
      <c r="Y4827" s="6">
        <f>1/COUNTIF(Таблица1[Order ID],Таблица1[[#This Row],[Order ID]])</f>
        <v>0.5</v>
      </c>
      <c r="Z4827" s="9">
        <f>1/COUNTIFS(Таблица1[Customer Name],Таблица1[[#This Row],[Customer Name]],Таблица1[Order-Year-Month],Таблица1[[#This Row],[Order-Year-Month]])</f>
        <v>0.5</v>
      </c>
    </row>
    <row r="4828" spans="1:26" x14ac:dyDescent="0.2">
      <c r="A4828" s="6">
        <v>6675</v>
      </c>
      <c r="B4828" s="7">
        <v>47494</v>
      </c>
      <c r="C4828" s="8">
        <f>DATE(2012,12,31)-1279</f>
        <v>39995</v>
      </c>
      <c r="D4828" s="8" t="str">
        <f t="shared" si="89"/>
        <v>2009-07 (июль 2009)</v>
      </c>
      <c r="E4828" s="9" t="s">
        <v>30</v>
      </c>
      <c r="F4828" s="7">
        <v>9</v>
      </c>
      <c r="G4828" s="7">
        <v>52.59</v>
      </c>
      <c r="H4828" s="7">
        <v>0.03</v>
      </c>
      <c r="I4828" s="9" t="s">
        <v>22</v>
      </c>
      <c r="J4828" s="10">
        <v>-28.14</v>
      </c>
      <c r="K4828" s="11">
        <v>4.9800000000000004</v>
      </c>
      <c r="L4828" s="11">
        <v>6.07</v>
      </c>
      <c r="M4828" s="9" t="s">
        <v>1559</v>
      </c>
      <c r="N4828" s="6" t="s">
        <v>672</v>
      </c>
      <c r="O4828" s="6" t="s">
        <v>673</v>
      </c>
      <c r="P4828" s="9" t="s">
        <v>33</v>
      </c>
      <c r="Q4828" s="9" t="s">
        <v>26</v>
      </c>
      <c r="R4828" s="9" t="s">
        <v>61</v>
      </c>
      <c r="S4828" s="7" t="s">
        <v>352</v>
      </c>
      <c r="T4828" s="9" t="s">
        <v>39</v>
      </c>
      <c r="U4828" s="7">
        <v>0.36</v>
      </c>
      <c r="V4828" s="12">
        <f>C4828+0</f>
        <v>39995</v>
      </c>
      <c r="W4828">
        <f>IF(D4828=' Pivot Tables'!$A$4,1,0)</f>
        <v>0</v>
      </c>
      <c r="X4828">
        <f>IF(AND(LEFT(D4828,4)+1=LEFT(' Pivot Tables'!$A$4,4)+0,RIGHT(LEFT(D4828,7),2)=RIGHT(LEFT(' Pivot Tables'!$A$4,7),2)),1,0)</f>
        <v>0</v>
      </c>
      <c r="Y4828" s="6">
        <f>1/COUNTIF(Таблица1[Order ID],Таблица1[[#This Row],[Order ID]])</f>
        <v>0.5</v>
      </c>
      <c r="Z4828" s="9">
        <f>1/COUNTIFS(Таблица1[Customer Name],Таблица1[[#This Row],[Customer Name]],Таблица1[Order-Year-Month],Таблица1[[#This Row],[Order-Year-Month]])</f>
        <v>0.5</v>
      </c>
    </row>
    <row r="4829" spans="1:26" x14ac:dyDescent="0.2">
      <c r="A4829" s="6">
        <v>6694</v>
      </c>
      <c r="B4829" s="7">
        <v>47622</v>
      </c>
      <c r="C4829" s="8">
        <f>DATE(2012,12,31)-110</f>
        <v>41164</v>
      </c>
      <c r="D4829" s="8" t="str">
        <f t="shared" si="89"/>
        <v>2012-09 (сентябрь 2012)</v>
      </c>
      <c r="E4829" s="9" t="s">
        <v>45</v>
      </c>
      <c r="F4829" s="7">
        <v>41</v>
      </c>
      <c r="G4829" s="7">
        <v>8188.19</v>
      </c>
      <c r="H4829" s="7">
        <v>0.05</v>
      </c>
      <c r="I4829" s="9" t="s">
        <v>22</v>
      </c>
      <c r="J4829" s="10">
        <v>3702</v>
      </c>
      <c r="K4829" s="11">
        <v>204.1</v>
      </c>
      <c r="L4829" s="11">
        <v>13.99</v>
      </c>
      <c r="M4829" s="9" t="s">
        <v>1830</v>
      </c>
      <c r="N4829" s="6" t="s">
        <v>672</v>
      </c>
      <c r="O4829" s="6" t="s">
        <v>673</v>
      </c>
      <c r="P4829" s="9" t="s">
        <v>41</v>
      </c>
      <c r="Q4829" s="9" t="s">
        <v>42</v>
      </c>
      <c r="R4829" s="9" t="s">
        <v>210</v>
      </c>
      <c r="S4829" s="7" t="s">
        <v>470</v>
      </c>
      <c r="T4829" s="9" t="s">
        <v>48</v>
      </c>
      <c r="U4829" s="7">
        <v>0.37</v>
      </c>
      <c r="V4829" s="12">
        <f>C4829+1</f>
        <v>41165</v>
      </c>
      <c r="W4829">
        <f>IF(D4829=' Pivot Tables'!$A$4,1,0)</f>
        <v>0</v>
      </c>
      <c r="X4829">
        <f>IF(AND(LEFT(D4829,4)+1=LEFT(' Pivot Tables'!$A$4,4)+0,RIGHT(LEFT(D4829,7),2)=RIGHT(LEFT(' Pivot Tables'!$A$4,7),2)),1,0)</f>
        <v>0</v>
      </c>
      <c r="Y4829" s="6">
        <f>1/COUNTIF(Таблица1[Order ID],Таблица1[[#This Row],[Order ID]])</f>
        <v>1</v>
      </c>
      <c r="Z4829" s="9">
        <f>1/COUNTIFS(Таблица1[Customer Name],Таблица1[[#This Row],[Customer Name]],Таблица1[Order-Year-Month],Таблица1[[#This Row],[Order-Year-Month]])</f>
        <v>1</v>
      </c>
    </row>
    <row r="4830" spans="1:26" x14ac:dyDescent="0.2">
      <c r="A4830" s="6">
        <v>6731</v>
      </c>
      <c r="B4830" s="7">
        <v>47938</v>
      </c>
      <c r="C4830" s="8">
        <f>DATE(2012,12,31)-1286</f>
        <v>39988</v>
      </c>
      <c r="D4830" s="8" t="str">
        <f t="shared" si="89"/>
        <v>2009-06 (июнь 2009)</v>
      </c>
      <c r="E4830" s="9" t="s">
        <v>21</v>
      </c>
      <c r="F4830" s="7">
        <v>17</v>
      </c>
      <c r="G4830" s="7">
        <v>283.65349999999995</v>
      </c>
      <c r="H4830" s="7">
        <v>0.09</v>
      </c>
      <c r="I4830" s="9" t="s">
        <v>22</v>
      </c>
      <c r="J4830" s="10">
        <v>-113.047</v>
      </c>
      <c r="K4830" s="11">
        <v>20.99</v>
      </c>
      <c r="L4830" s="11">
        <v>2.5</v>
      </c>
      <c r="M4830" s="9" t="s">
        <v>1830</v>
      </c>
      <c r="N4830" s="6" t="s">
        <v>672</v>
      </c>
      <c r="O4830" s="6" t="s">
        <v>673</v>
      </c>
      <c r="P4830" s="9" t="s">
        <v>41</v>
      </c>
      <c r="Q4830" s="9" t="s">
        <v>42</v>
      </c>
      <c r="R4830" s="9" t="s">
        <v>43</v>
      </c>
      <c r="S4830" s="7" t="s">
        <v>108</v>
      </c>
      <c r="T4830" s="9" t="s">
        <v>68</v>
      </c>
      <c r="U4830" s="7">
        <v>0.81</v>
      </c>
      <c r="V4830" s="12">
        <f>C4830+7</f>
        <v>39995</v>
      </c>
      <c r="W4830">
        <f>IF(D4830=' Pivot Tables'!$A$4,1,0)</f>
        <v>0</v>
      </c>
      <c r="X4830">
        <f>IF(AND(LEFT(D4830,4)+1=LEFT(' Pivot Tables'!$A$4,4)+0,RIGHT(LEFT(D4830,7),2)=RIGHT(LEFT(' Pivot Tables'!$A$4,7),2)),1,0)</f>
        <v>0</v>
      </c>
      <c r="Y4830" s="6">
        <f>1/COUNTIF(Таблица1[Order ID],Таблица1[[#This Row],[Order ID]])</f>
        <v>1</v>
      </c>
      <c r="Z4830" s="9">
        <f>1/COUNTIFS(Таблица1[Customer Name],Таблица1[[#This Row],[Customer Name]],Таблица1[Order-Year-Month],Таблица1[[#This Row],[Order-Year-Month]])</f>
        <v>1</v>
      </c>
    </row>
    <row r="4831" spans="1:26" x14ac:dyDescent="0.2">
      <c r="A4831" s="6">
        <v>6744</v>
      </c>
      <c r="B4831" s="7">
        <v>48032</v>
      </c>
      <c r="C4831" s="8">
        <f>DATE(2012,12,31)-858</f>
        <v>40416</v>
      </c>
      <c r="D4831" s="8" t="str">
        <f t="shared" si="89"/>
        <v>2010-08 (август 2010)</v>
      </c>
      <c r="E4831" s="9" t="s">
        <v>30</v>
      </c>
      <c r="F4831" s="7">
        <v>42</v>
      </c>
      <c r="G4831" s="7">
        <v>309.17</v>
      </c>
      <c r="H4831" s="7">
        <v>0.09</v>
      </c>
      <c r="I4831" s="9" t="s">
        <v>22</v>
      </c>
      <c r="J4831" s="10">
        <v>-283.31</v>
      </c>
      <c r="K4831" s="11">
        <v>7.77</v>
      </c>
      <c r="L4831" s="11">
        <v>9.23</v>
      </c>
      <c r="M4831" s="9" t="s">
        <v>1821</v>
      </c>
      <c r="N4831" s="6" t="s">
        <v>672</v>
      </c>
      <c r="O4831" s="6" t="s">
        <v>673</v>
      </c>
      <c r="P4831" s="9" t="s">
        <v>41</v>
      </c>
      <c r="Q4831" s="9" t="s">
        <v>26</v>
      </c>
      <c r="R4831" s="9" t="s">
        <v>34</v>
      </c>
      <c r="S4831" s="7" t="s">
        <v>1386</v>
      </c>
      <c r="T4831" s="9" t="s">
        <v>39</v>
      </c>
      <c r="U4831" s="7">
        <v>0.57999999999999996</v>
      </c>
      <c r="V4831" s="12">
        <f>C4831+1</f>
        <v>40417</v>
      </c>
      <c r="W4831">
        <f>IF(D4831=' Pivot Tables'!$A$4,1,0)</f>
        <v>0</v>
      </c>
      <c r="X4831">
        <f>IF(AND(LEFT(D4831,4)+1=LEFT(' Pivot Tables'!$A$4,4)+0,RIGHT(LEFT(D4831,7),2)=RIGHT(LEFT(' Pivot Tables'!$A$4,7),2)),1,0)</f>
        <v>0</v>
      </c>
      <c r="Y4831" s="6">
        <f>1/COUNTIF(Таблица1[Order ID],Таблица1[[#This Row],[Order ID]])</f>
        <v>0.5</v>
      </c>
      <c r="Z4831" s="9">
        <f>1/COUNTIFS(Таблица1[Customer Name],Таблица1[[#This Row],[Customer Name]],Таблица1[Order-Year-Month],Таблица1[[#This Row],[Order-Year-Month]])</f>
        <v>0.5</v>
      </c>
    </row>
    <row r="4832" spans="1:26" x14ac:dyDescent="0.2">
      <c r="A4832" s="6">
        <v>6745</v>
      </c>
      <c r="B4832" s="7">
        <v>48032</v>
      </c>
      <c r="C4832" s="8">
        <f>DATE(2012,12,31)-858</f>
        <v>40416</v>
      </c>
      <c r="D4832" s="8" t="str">
        <f t="shared" si="89"/>
        <v>2010-08 (август 2010)</v>
      </c>
      <c r="E4832" s="9" t="s">
        <v>30</v>
      </c>
      <c r="F4832" s="7">
        <v>29</v>
      </c>
      <c r="G4832" s="7">
        <v>412.86</v>
      </c>
      <c r="H4832" s="7">
        <v>7.0000000000000007E-2</v>
      </c>
      <c r="I4832" s="9" t="s">
        <v>22</v>
      </c>
      <c r="J4832" s="10">
        <v>-104.43</v>
      </c>
      <c r="K4832" s="11">
        <v>15.14</v>
      </c>
      <c r="L4832" s="11">
        <v>4.53</v>
      </c>
      <c r="M4832" s="9" t="s">
        <v>1821</v>
      </c>
      <c r="N4832" s="6" t="s">
        <v>672</v>
      </c>
      <c r="O4832" s="6" t="s">
        <v>673</v>
      </c>
      <c r="P4832" s="9" t="s">
        <v>41</v>
      </c>
      <c r="Q4832" s="9" t="s">
        <v>26</v>
      </c>
      <c r="R4832" s="9" t="s">
        <v>27</v>
      </c>
      <c r="S4832" s="7" t="s">
        <v>721</v>
      </c>
      <c r="T4832" s="9" t="s">
        <v>39</v>
      </c>
      <c r="U4832" s="7">
        <v>0.81</v>
      </c>
      <c r="V4832" s="12">
        <f>C4832+1</f>
        <v>40417</v>
      </c>
      <c r="W4832">
        <f>IF(D4832=' Pivot Tables'!$A$4,1,0)</f>
        <v>0</v>
      </c>
      <c r="X4832">
        <f>IF(AND(LEFT(D4832,4)+1=LEFT(' Pivot Tables'!$A$4,4)+0,RIGHT(LEFT(D4832,7),2)=RIGHT(LEFT(' Pivot Tables'!$A$4,7),2)),1,0)</f>
        <v>0</v>
      </c>
      <c r="Y4832" s="6">
        <f>1/COUNTIF(Таблица1[Order ID],Таблица1[[#This Row],[Order ID]])</f>
        <v>0.5</v>
      </c>
      <c r="Z4832" s="9">
        <f>1/COUNTIFS(Таблица1[Customer Name],Таблица1[[#This Row],[Customer Name]],Таблица1[Order-Year-Month],Таблица1[[#This Row],[Order-Year-Month]])</f>
        <v>0.5</v>
      </c>
    </row>
    <row r="4833" spans="1:26" x14ac:dyDescent="0.2">
      <c r="A4833" s="6">
        <v>6884</v>
      </c>
      <c r="B4833" s="7">
        <v>49062</v>
      </c>
      <c r="C4833" s="8">
        <f>DATE(2012,12,31)-264</f>
        <v>41010</v>
      </c>
      <c r="D4833" s="8" t="str">
        <f t="shared" si="89"/>
        <v>2012-04 (апрель 2012)</v>
      </c>
      <c r="E4833" s="9" t="s">
        <v>21</v>
      </c>
      <c r="F4833" s="7">
        <v>33</v>
      </c>
      <c r="G4833" s="7">
        <v>103.32</v>
      </c>
      <c r="H4833" s="7">
        <v>0</v>
      </c>
      <c r="I4833" s="9" t="s">
        <v>22</v>
      </c>
      <c r="J4833" s="10">
        <v>-25.68</v>
      </c>
      <c r="K4833" s="11">
        <v>2.98</v>
      </c>
      <c r="L4833" s="11">
        <v>2.0299999999999998</v>
      </c>
      <c r="M4833" s="9" t="s">
        <v>1841</v>
      </c>
      <c r="N4833" s="6" t="s">
        <v>672</v>
      </c>
      <c r="O4833" s="6" t="s">
        <v>673</v>
      </c>
      <c r="P4833" s="9" t="s">
        <v>60</v>
      </c>
      <c r="Q4833" s="9" t="s">
        <v>26</v>
      </c>
      <c r="R4833" s="9" t="s">
        <v>95</v>
      </c>
      <c r="S4833" s="7" t="s">
        <v>1764</v>
      </c>
      <c r="T4833" s="9" t="s">
        <v>68</v>
      </c>
      <c r="U4833" s="7">
        <v>0.56999999999999995</v>
      </c>
      <c r="V4833" s="12">
        <f>C4833+7</f>
        <v>41017</v>
      </c>
      <c r="W4833">
        <f>IF(D4833=' Pivot Tables'!$A$4,1,0)</f>
        <v>0</v>
      </c>
      <c r="X4833">
        <f>IF(AND(LEFT(D4833,4)+1=LEFT(' Pivot Tables'!$A$4,4)+0,RIGHT(LEFT(D4833,7),2)=RIGHT(LEFT(' Pivot Tables'!$A$4,7),2)),1,0)</f>
        <v>0</v>
      </c>
      <c r="Y4833" s="6">
        <f>1/COUNTIF(Таблица1[Order ID],Таблица1[[#This Row],[Order ID]])</f>
        <v>1</v>
      </c>
      <c r="Z4833" s="9">
        <f>1/COUNTIFS(Таблица1[Customer Name],Таблица1[[#This Row],[Customer Name]],Таблица1[Order-Year-Month],Таблица1[[#This Row],[Order-Year-Month]])</f>
        <v>0.5</v>
      </c>
    </row>
    <row r="4834" spans="1:26" x14ac:dyDescent="0.2">
      <c r="A4834" s="6">
        <v>6941</v>
      </c>
      <c r="B4834" s="7">
        <v>49541</v>
      </c>
      <c r="C4834" s="8">
        <f>DATE(2012,12,31)-1445</f>
        <v>39829</v>
      </c>
      <c r="D4834" s="8" t="str">
        <f t="shared" si="89"/>
        <v>2009-01 (январь 2009)</v>
      </c>
      <c r="E4834" s="9" t="s">
        <v>63</v>
      </c>
      <c r="F4834" s="7">
        <v>35</v>
      </c>
      <c r="G4834" s="7">
        <v>503.75</v>
      </c>
      <c r="H4834" s="7">
        <v>0</v>
      </c>
      <c r="I4834" s="9" t="s">
        <v>22</v>
      </c>
      <c r="J4834" s="10">
        <v>16.46</v>
      </c>
      <c r="K4834" s="11">
        <v>13.43</v>
      </c>
      <c r="L4834" s="11">
        <v>5.5</v>
      </c>
      <c r="M4834" s="9" t="s">
        <v>1826</v>
      </c>
      <c r="N4834" s="6" t="s">
        <v>672</v>
      </c>
      <c r="O4834" s="6" t="s">
        <v>673</v>
      </c>
      <c r="P4834" s="9" t="s">
        <v>60</v>
      </c>
      <c r="Q4834" s="9" t="s">
        <v>26</v>
      </c>
      <c r="R4834" s="9" t="s">
        <v>27</v>
      </c>
      <c r="S4834" s="7" t="s">
        <v>1066</v>
      </c>
      <c r="T4834" s="9" t="s">
        <v>39</v>
      </c>
      <c r="U4834" s="7">
        <v>0.56999999999999995</v>
      </c>
      <c r="V4834" s="12">
        <f>C4834+1</f>
        <v>39830</v>
      </c>
      <c r="W4834">
        <f>IF(D4834=' Pivot Tables'!$A$4,1,0)</f>
        <v>0</v>
      </c>
      <c r="X4834">
        <f>IF(AND(LEFT(D4834,4)+1=LEFT(' Pivot Tables'!$A$4,4)+0,RIGHT(LEFT(D4834,7),2)=RIGHT(LEFT(' Pivot Tables'!$A$4,7),2)),1,0)</f>
        <v>1</v>
      </c>
      <c r="Y4834" s="6">
        <f>1/COUNTIF(Таблица1[Order ID],Таблица1[[#This Row],[Order ID]])</f>
        <v>1</v>
      </c>
      <c r="Z4834" s="9">
        <f>1/COUNTIFS(Таблица1[Customer Name],Таблица1[[#This Row],[Customer Name]],Таблица1[Order-Year-Month],Таблица1[[#This Row],[Order-Year-Month]])</f>
        <v>1</v>
      </c>
    </row>
    <row r="4835" spans="1:26" x14ac:dyDescent="0.2">
      <c r="A4835" s="6">
        <v>6970</v>
      </c>
      <c r="B4835" s="7">
        <v>49799</v>
      </c>
      <c r="C4835" s="8">
        <f>DATE(2012,12,31)-1225</f>
        <v>40049</v>
      </c>
      <c r="D4835" s="8" t="str">
        <f t="shared" si="89"/>
        <v>2009-08 (август 2009)</v>
      </c>
      <c r="E4835" s="9" t="s">
        <v>30</v>
      </c>
      <c r="F4835" s="7">
        <v>4</v>
      </c>
      <c r="G4835" s="7">
        <v>1614.97</v>
      </c>
      <c r="H4835" s="7">
        <v>0.05</v>
      </c>
      <c r="I4835" s="9" t="s">
        <v>31</v>
      </c>
      <c r="J4835" s="10">
        <v>-593.15</v>
      </c>
      <c r="K4835" s="11">
        <v>376.13</v>
      </c>
      <c r="L4835" s="11">
        <v>85.63</v>
      </c>
      <c r="M4835" s="9" t="s">
        <v>1825</v>
      </c>
      <c r="N4835" s="6" t="s">
        <v>672</v>
      </c>
      <c r="O4835" s="6" t="s">
        <v>673</v>
      </c>
      <c r="P4835" s="9" t="s">
        <v>60</v>
      </c>
      <c r="Q4835" s="9" t="s">
        <v>49</v>
      </c>
      <c r="R4835" s="9" t="s">
        <v>83</v>
      </c>
      <c r="S4835" s="7" t="s">
        <v>725</v>
      </c>
      <c r="T4835" s="9" t="s">
        <v>82</v>
      </c>
      <c r="U4835" s="7">
        <v>0.74</v>
      </c>
      <c r="V4835" s="12">
        <f>C4835+2</f>
        <v>40051</v>
      </c>
      <c r="W4835">
        <f>IF(D4835=' Pivot Tables'!$A$4,1,0)</f>
        <v>0</v>
      </c>
      <c r="X4835">
        <f>IF(AND(LEFT(D4835,4)+1=LEFT(' Pivot Tables'!$A$4,4)+0,RIGHT(LEFT(D4835,7),2)=RIGHT(LEFT(' Pivot Tables'!$A$4,7),2)),1,0)</f>
        <v>0</v>
      </c>
      <c r="Y4835" s="6">
        <f>1/COUNTIF(Таблица1[Order ID],Таблица1[[#This Row],[Order ID]])</f>
        <v>0.5</v>
      </c>
      <c r="Z4835" s="9">
        <f>1/COUNTIFS(Таблица1[Customer Name],Таблица1[[#This Row],[Customer Name]],Таблица1[Order-Year-Month],Таблица1[[#This Row],[Order-Year-Month]])</f>
        <v>0.5</v>
      </c>
    </row>
    <row r="4836" spans="1:26" x14ac:dyDescent="0.2">
      <c r="A4836" s="6">
        <v>6971</v>
      </c>
      <c r="B4836" s="7">
        <v>49799</v>
      </c>
      <c r="C4836" s="8">
        <f>DATE(2012,12,31)-1225</f>
        <v>40049</v>
      </c>
      <c r="D4836" s="8" t="str">
        <f t="shared" si="89"/>
        <v>2009-08 (август 2009)</v>
      </c>
      <c r="E4836" s="9" t="s">
        <v>30</v>
      </c>
      <c r="F4836" s="7">
        <v>12</v>
      </c>
      <c r="G4836" s="7">
        <v>2119.0414999999998</v>
      </c>
      <c r="H4836" s="7">
        <v>0</v>
      </c>
      <c r="I4836" s="9" t="s">
        <v>22</v>
      </c>
      <c r="J4836" s="10">
        <v>-6.5670000000000002</v>
      </c>
      <c r="K4836" s="11">
        <v>195.99</v>
      </c>
      <c r="L4836" s="11">
        <v>8.99</v>
      </c>
      <c r="M4836" s="9" t="s">
        <v>1825</v>
      </c>
      <c r="N4836" s="6" t="s">
        <v>672</v>
      </c>
      <c r="O4836" s="6" t="s">
        <v>673</v>
      </c>
      <c r="P4836" s="9" t="s">
        <v>60</v>
      </c>
      <c r="Q4836" s="9" t="s">
        <v>42</v>
      </c>
      <c r="R4836" s="9" t="s">
        <v>43</v>
      </c>
      <c r="S4836" s="7" t="s">
        <v>670</v>
      </c>
      <c r="T4836" s="9" t="s">
        <v>39</v>
      </c>
      <c r="U4836" s="7">
        <v>0.6</v>
      </c>
      <c r="V4836" s="12">
        <f>C4836+1</f>
        <v>40050</v>
      </c>
      <c r="W4836">
        <f>IF(D4836=' Pivot Tables'!$A$4,1,0)</f>
        <v>0</v>
      </c>
      <c r="X4836">
        <f>IF(AND(LEFT(D4836,4)+1=LEFT(' Pivot Tables'!$A$4,4)+0,RIGHT(LEFT(D4836,7),2)=RIGHT(LEFT(' Pivot Tables'!$A$4,7),2)),1,0)</f>
        <v>0</v>
      </c>
      <c r="Y4836" s="6">
        <f>1/COUNTIF(Таблица1[Order ID],Таблица1[[#This Row],[Order ID]])</f>
        <v>0.5</v>
      </c>
      <c r="Z4836" s="9">
        <f>1/COUNTIFS(Таблица1[Customer Name],Таблица1[[#This Row],[Customer Name]],Таблица1[Order-Year-Month],Таблица1[[#This Row],[Order-Year-Month]])</f>
        <v>0.5</v>
      </c>
    </row>
    <row r="4837" spans="1:26" x14ac:dyDescent="0.2">
      <c r="A4837" s="6">
        <v>6973</v>
      </c>
      <c r="B4837" s="7">
        <v>49828</v>
      </c>
      <c r="C4837" s="8">
        <f>DATE(2012,12,31)-489</f>
        <v>40785</v>
      </c>
      <c r="D4837" s="8" t="str">
        <f t="shared" si="89"/>
        <v>2011-08 (август 2011)</v>
      </c>
      <c r="E4837" s="9" t="s">
        <v>63</v>
      </c>
      <c r="F4837" s="7">
        <v>39</v>
      </c>
      <c r="G4837" s="7">
        <v>272.39</v>
      </c>
      <c r="H4837" s="7">
        <v>0.03</v>
      </c>
      <c r="I4837" s="9" t="s">
        <v>56</v>
      </c>
      <c r="J4837" s="10">
        <v>-91.48</v>
      </c>
      <c r="K4837" s="11">
        <v>6.48</v>
      </c>
      <c r="L4837" s="11">
        <v>6.6</v>
      </c>
      <c r="M4837" s="9" t="s">
        <v>1841</v>
      </c>
      <c r="N4837" s="6" t="s">
        <v>672</v>
      </c>
      <c r="O4837" s="6" t="s">
        <v>673</v>
      </c>
      <c r="P4837" s="9" t="s">
        <v>33</v>
      </c>
      <c r="Q4837" s="9" t="s">
        <v>26</v>
      </c>
      <c r="R4837" s="9" t="s">
        <v>61</v>
      </c>
      <c r="S4837" s="7" t="s">
        <v>346</v>
      </c>
      <c r="T4837" s="9" t="s">
        <v>39</v>
      </c>
      <c r="U4837" s="7">
        <v>0.37</v>
      </c>
      <c r="V4837" s="12">
        <f>C4837+1</f>
        <v>40786</v>
      </c>
      <c r="W4837">
        <f>IF(D4837=' Pivot Tables'!$A$4,1,0)</f>
        <v>0</v>
      </c>
      <c r="X4837">
        <f>IF(AND(LEFT(D4837,4)+1=LEFT(' Pivot Tables'!$A$4,4)+0,RIGHT(LEFT(D4837,7),2)=RIGHT(LEFT(' Pivot Tables'!$A$4,7),2)),1,0)</f>
        <v>0</v>
      </c>
      <c r="Y4837" s="6">
        <f>1/COUNTIF(Таблица1[Order ID],Таблица1[[#This Row],[Order ID]])</f>
        <v>1</v>
      </c>
      <c r="Z4837" s="9">
        <f>1/COUNTIFS(Таблица1[Customer Name],Таблица1[[#This Row],[Customer Name]],Таблица1[Order-Year-Month],Таблица1[[#This Row],[Order-Year-Month]])</f>
        <v>0.5</v>
      </c>
    </row>
    <row r="4838" spans="1:26" x14ac:dyDescent="0.2">
      <c r="A4838" s="6">
        <v>7014</v>
      </c>
      <c r="B4838" s="7">
        <v>50054</v>
      </c>
      <c r="C4838" s="8">
        <f>DATE(2012,12,31)-847</f>
        <v>40427</v>
      </c>
      <c r="D4838" s="8" t="str">
        <f t="shared" si="89"/>
        <v>2010-09 (сентябрь 2010)</v>
      </c>
      <c r="E4838" s="9" t="s">
        <v>45</v>
      </c>
      <c r="F4838" s="7">
        <v>50</v>
      </c>
      <c r="G4838" s="7">
        <v>5369.46</v>
      </c>
      <c r="H4838" s="7">
        <v>0</v>
      </c>
      <c r="I4838" s="9" t="s">
        <v>22</v>
      </c>
      <c r="J4838" s="10">
        <v>1370.26</v>
      </c>
      <c r="K4838" s="11">
        <v>99.99</v>
      </c>
      <c r="L4838" s="11">
        <v>19.989999999999998</v>
      </c>
      <c r="M4838" s="9" t="s">
        <v>1627</v>
      </c>
      <c r="N4838" s="6" t="s">
        <v>672</v>
      </c>
      <c r="O4838" s="6" t="s">
        <v>673</v>
      </c>
      <c r="P4838" s="9" t="s">
        <v>41</v>
      </c>
      <c r="Q4838" s="9" t="s">
        <v>42</v>
      </c>
      <c r="R4838" s="9" t="s">
        <v>210</v>
      </c>
      <c r="S4838" s="7" t="s">
        <v>409</v>
      </c>
      <c r="T4838" s="9" t="s">
        <v>39</v>
      </c>
      <c r="U4838" s="7">
        <v>0.52</v>
      </c>
      <c r="V4838" s="12">
        <f>C4838+2</f>
        <v>40429</v>
      </c>
      <c r="W4838">
        <f>IF(D4838=' Pivot Tables'!$A$4,1,0)</f>
        <v>0</v>
      </c>
      <c r="X4838">
        <f>IF(AND(LEFT(D4838,4)+1=LEFT(' Pivot Tables'!$A$4,4)+0,RIGHT(LEFT(D4838,7),2)=RIGHT(LEFT(' Pivot Tables'!$A$4,7),2)),1,0)</f>
        <v>0</v>
      </c>
      <c r="Y4838" s="6">
        <f>1/COUNTIF(Таблица1[Order ID],Таблица1[[#This Row],[Order ID]])</f>
        <v>0.5</v>
      </c>
      <c r="Z4838" s="9">
        <f>1/COUNTIFS(Таблица1[Customer Name],Таблица1[[#This Row],[Customer Name]],Таблица1[Order-Year-Month],Таблица1[[#This Row],[Order-Year-Month]])</f>
        <v>0.5</v>
      </c>
    </row>
    <row r="4839" spans="1:26" x14ac:dyDescent="0.2">
      <c r="A4839" s="6">
        <v>7015</v>
      </c>
      <c r="B4839" s="7">
        <v>50054</v>
      </c>
      <c r="C4839" s="8">
        <f>DATE(2012,12,31)-847</f>
        <v>40427</v>
      </c>
      <c r="D4839" s="8" t="str">
        <f t="shared" si="89"/>
        <v>2010-09 (сентябрь 2010)</v>
      </c>
      <c r="E4839" s="9" t="s">
        <v>45</v>
      </c>
      <c r="F4839" s="7">
        <v>41</v>
      </c>
      <c r="G4839" s="7">
        <v>1439.96</v>
      </c>
      <c r="H4839" s="7">
        <v>0.02</v>
      </c>
      <c r="I4839" s="9" t="s">
        <v>22</v>
      </c>
      <c r="J4839" s="10">
        <v>182.46</v>
      </c>
      <c r="K4839" s="11">
        <v>33.29</v>
      </c>
      <c r="L4839" s="11">
        <v>8.74</v>
      </c>
      <c r="M4839" s="9" t="s">
        <v>1627</v>
      </c>
      <c r="N4839" s="6" t="s">
        <v>672</v>
      </c>
      <c r="O4839" s="6" t="s">
        <v>673</v>
      </c>
      <c r="P4839" s="9" t="s">
        <v>41</v>
      </c>
      <c r="Q4839" s="9" t="s">
        <v>26</v>
      </c>
      <c r="R4839" s="9" t="s">
        <v>27</v>
      </c>
      <c r="S4839" s="7" t="s">
        <v>1320</v>
      </c>
      <c r="T4839" s="9" t="s">
        <v>39</v>
      </c>
      <c r="U4839" s="7">
        <v>0.61</v>
      </c>
      <c r="V4839" s="12">
        <f>C4839+2</f>
        <v>40429</v>
      </c>
      <c r="W4839">
        <f>IF(D4839=' Pivot Tables'!$A$4,1,0)</f>
        <v>0</v>
      </c>
      <c r="X4839">
        <f>IF(AND(LEFT(D4839,4)+1=LEFT(' Pivot Tables'!$A$4,4)+0,RIGHT(LEFT(D4839,7),2)=RIGHT(LEFT(' Pivot Tables'!$A$4,7),2)),1,0)</f>
        <v>0</v>
      </c>
      <c r="Y4839" s="6">
        <f>1/COUNTIF(Таблица1[Order ID],Таблица1[[#This Row],[Order ID]])</f>
        <v>0.5</v>
      </c>
      <c r="Z4839" s="9">
        <f>1/COUNTIFS(Таблица1[Customer Name],Таблица1[[#This Row],[Customer Name]],Таблица1[Order-Year-Month],Таблица1[[#This Row],[Order-Year-Month]])</f>
        <v>0.5</v>
      </c>
    </row>
    <row r="4840" spans="1:26" x14ac:dyDescent="0.2">
      <c r="A4840" s="6">
        <v>7058</v>
      </c>
      <c r="B4840" s="7">
        <v>50370</v>
      </c>
      <c r="C4840" s="8">
        <f>DATE(2012,12,31)-55</f>
        <v>41219</v>
      </c>
      <c r="D4840" s="8" t="str">
        <f t="shared" si="89"/>
        <v>2012-11 (ноябрь 2012)</v>
      </c>
      <c r="E4840" s="9" t="s">
        <v>78</v>
      </c>
      <c r="F4840" s="7">
        <v>25</v>
      </c>
      <c r="G4840" s="7">
        <v>122.05</v>
      </c>
      <c r="H4840" s="7">
        <v>0</v>
      </c>
      <c r="I4840" s="9" t="s">
        <v>56</v>
      </c>
      <c r="J4840" s="10">
        <v>-67.597000000000008</v>
      </c>
      <c r="K4840" s="11">
        <v>4.24</v>
      </c>
      <c r="L4840" s="11">
        <v>5.41</v>
      </c>
      <c r="M4840" s="9" t="s">
        <v>1559</v>
      </c>
      <c r="N4840" s="6" t="s">
        <v>672</v>
      </c>
      <c r="O4840" s="6" t="s">
        <v>673</v>
      </c>
      <c r="P4840" s="9" t="s">
        <v>41</v>
      </c>
      <c r="Q4840" s="9" t="s">
        <v>26</v>
      </c>
      <c r="R4840" s="9" t="s">
        <v>37</v>
      </c>
      <c r="S4840" s="7" t="s">
        <v>873</v>
      </c>
      <c r="T4840" s="9" t="s">
        <v>39</v>
      </c>
      <c r="U4840" s="7">
        <v>0.35</v>
      </c>
      <c r="V4840" s="12">
        <f>C4840+1</f>
        <v>41220</v>
      </c>
      <c r="W4840">
        <f>IF(D4840=' Pivot Tables'!$A$4,1,0)</f>
        <v>0</v>
      </c>
      <c r="X4840">
        <f>IF(AND(LEFT(D4840,4)+1=LEFT(' Pivot Tables'!$A$4,4)+0,RIGHT(LEFT(D4840,7),2)=RIGHT(LEFT(' Pivot Tables'!$A$4,7),2)),1,0)</f>
        <v>0</v>
      </c>
      <c r="Y4840" s="6">
        <f>1/COUNTIF(Таблица1[Order ID],Таблица1[[#This Row],[Order ID]])</f>
        <v>1</v>
      </c>
      <c r="Z4840" s="9">
        <f>1/COUNTIFS(Таблица1[Customer Name],Таблица1[[#This Row],[Customer Name]],Таблица1[Order-Year-Month],Таблица1[[#This Row],[Order-Year-Month]])</f>
        <v>1</v>
      </c>
    </row>
    <row r="4841" spans="1:26" x14ac:dyDescent="0.2">
      <c r="A4841" s="6">
        <v>7150</v>
      </c>
      <c r="B4841" s="7">
        <v>51009</v>
      </c>
      <c r="C4841" s="8">
        <f>DATE(2012,12,31)-422</f>
        <v>40852</v>
      </c>
      <c r="D4841" s="8" t="str">
        <f t="shared" si="89"/>
        <v>2011-11 (ноябрь 2011)</v>
      </c>
      <c r="E4841" s="9" t="s">
        <v>45</v>
      </c>
      <c r="F4841" s="7">
        <v>10</v>
      </c>
      <c r="G4841" s="7">
        <v>48</v>
      </c>
      <c r="H4841" s="7">
        <v>0.09</v>
      </c>
      <c r="I4841" s="9" t="s">
        <v>22</v>
      </c>
      <c r="J4841" s="10">
        <v>-29.14</v>
      </c>
      <c r="K4841" s="11">
        <v>4.18</v>
      </c>
      <c r="L4841" s="11">
        <v>6.92</v>
      </c>
      <c r="M4841" s="9" t="s">
        <v>1835</v>
      </c>
      <c r="N4841" s="6" t="s">
        <v>672</v>
      </c>
      <c r="O4841" s="6" t="s">
        <v>673</v>
      </c>
      <c r="P4841" s="9" t="s">
        <v>41</v>
      </c>
      <c r="Q4841" s="9" t="s">
        <v>49</v>
      </c>
      <c r="R4841" s="9" t="s">
        <v>50</v>
      </c>
      <c r="S4841" s="7" t="s">
        <v>980</v>
      </c>
      <c r="T4841" s="9" t="s">
        <v>39</v>
      </c>
      <c r="U4841" s="7">
        <v>0.49</v>
      </c>
      <c r="V4841" s="12">
        <f t="shared" ref="V4841:V4849" si="90">C4841+2</f>
        <v>40854</v>
      </c>
      <c r="W4841">
        <f>IF(D4841=' Pivot Tables'!$A$4,1,0)</f>
        <v>0</v>
      </c>
      <c r="X4841">
        <f>IF(AND(LEFT(D4841,4)+1=LEFT(' Pivot Tables'!$A$4,4)+0,RIGHT(LEFT(D4841,7),2)=RIGHT(LEFT(' Pivot Tables'!$A$4,7),2)),1,0)</f>
        <v>0</v>
      </c>
      <c r="Y4841" s="6">
        <f>1/COUNTIF(Таблица1[Order ID],Таблица1[[#This Row],[Order ID]])</f>
        <v>1</v>
      </c>
      <c r="Z4841" s="9">
        <f>1/COUNTIFS(Таблица1[Customer Name],Таблица1[[#This Row],[Customer Name]],Таблица1[Order-Year-Month],Таблица1[[#This Row],[Order-Year-Month]])</f>
        <v>1</v>
      </c>
    </row>
    <row r="4842" spans="1:26" x14ac:dyDescent="0.2">
      <c r="A4842" s="6">
        <v>7698</v>
      </c>
      <c r="B4842" s="7">
        <v>55200</v>
      </c>
      <c r="C4842" s="8">
        <f>DATE(2012,12,31)-856</f>
        <v>40418</v>
      </c>
      <c r="D4842" s="8" t="str">
        <f t="shared" si="89"/>
        <v>2010-08 (август 2010)</v>
      </c>
      <c r="E4842" s="9" t="s">
        <v>63</v>
      </c>
      <c r="F4842" s="7">
        <v>33</v>
      </c>
      <c r="G4842" s="7">
        <v>505.08</v>
      </c>
      <c r="H4842" s="7">
        <v>0.01</v>
      </c>
      <c r="I4842" s="9" t="s">
        <v>22</v>
      </c>
      <c r="J4842" s="10">
        <v>-56.913499999999999</v>
      </c>
      <c r="K4842" s="11">
        <v>15.15</v>
      </c>
      <c r="L4842" s="11">
        <v>10.130000000000001</v>
      </c>
      <c r="M4842" s="9" t="s">
        <v>1826</v>
      </c>
      <c r="N4842" s="6" t="s">
        <v>672</v>
      </c>
      <c r="O4842" s="6" t="s">
        <v>673</v>
      </c>
      <c r="P4842" s="9" t="s">
        <v>60</v>
      </c>
      <c r="Q4842" s="9" t="s">
        <v>26</v>
      </c>
      <c r="R4842" s="9" t="s">
        <v>37</v>
      </c>
      <c r="S4842" s="7" t="s">
        <v>1237</v>
      </c>
      <c r="T4842" s="9" t="s">
        <v>39</v>
      </c>
      <c r="U4842" s="7">
        <v>0.38</v>
      </c>
      <c r="V4842" s="12">
        <f t="shared" si="90"/>
        <v>40420</v>
      </c>
      <c r="W4842">
        <f>IF(D4842=' Pivot Tables'!$A$4,1,0)</f>
        <v>0</v>
      </c>
      <c r="X4842">
        <f>IF(AND(LEFT(D4842,4)+1=LEFT(' Pivot Tables'!$A$4,4)+0,RIGHT(LEFT(D4842,7),2)=RIGHT(LEFT(' Pivot Tables'!$A$4,7),2)),1,0)</f>
        <v>0</v>
      </c>
      <c r="Y4842" s="6">
        <f>1/COUNTIF(Таблица1[Order ID],Таблица1[[#This Row],[Order ID]])</f>
        <v>0.5</v>
      </c>
      <c r="Z4842" s="9">
        <f>1/COUNTIFS(Таблица1[Customer Name],Таблица1[[#This Row],[Customer Name]],Таблица1[Order-Year-Month],Таблица1[[#This Row],[Order-Year-Month]])</f>
        <v>0.5</v>
      </c>
    </row>
    <row r="4843" spans="1:26" x14ac:dyDescent="0.2">
      <c r="A4843" s="6">
        <v>7699</v>
      </c>
      <c r="B4843" s="7">
        <v>55200</v>
      </c>
      <c r="C4843" s="8">
        <f>DATE(2012,12,31)-856</f>
        <v>40418</v>
      </c>
      <c r="D4843" s="8" t="str">
        <f t="shared" si="89"/>
        <v>2010-08 (август 2010)</v>
      </c>
      <c r="E4843" s="9" t="s">
        <v>63</v>
      </c>
      <c r="F4843" s="7">
        <v>4</v>
      </c>
      <c r="G4843" s="7">
        <v>649.23849999999993</v>
      </c>
      <c r="H4843" s="7">
        <v>0.1</v>
      </c>
      <c r="I4843" s="9" t="s">
        <v>22</v>
      </c>
      <c r="J4843" s="10">
        <v>-830.72</v>
      </c>
      <c r="K4843" s="11">
        <v>205.99</v>
      </c>
      <c r="L4843" s="11">
        <v>2.79</v>
      </c>
      <c r="M4843" s="9" t="s">
        <v>1826</v>
      </c>
      <c r="N4843" s="6" t="s">
        <v>672</v>
      </c>
      <c r="O4843" s="6" t="s">
        <v>673</v>
      </c>
      <c r="P4843" s="9" t="s">
        <v>60</v>
      </c>
      <c r="Q4843" s="9" t="s">
        <v>42</v>
      </c>
      <c r="R4843" s="9" t="s">
        <v>43</v>
      </c>
      <c r="S4843" s="7" t="s">
        <v>1656</v>
      </c>
      <c r="T4843" s="9" t="s">
        <v>39</v>
      </c>
      <c r="U4843" s="7">
        <v>0.57999999999999996</v>
      </c>
      <c r="V4843" s="12">
        <f t="shared" si="90"/>
        <v>40420</v>
      </c>
      <c r="W4843">
        <f>IF(D4843=' Pivot Tables'!$A$4,1,0)</f>
        <v>0</v>
      </c>
      <c r="X4843">
        <f>IF(AND(LEFT(D4843,4)+1=LEFT(' Pivot Tables'!$A$4,4)+0,RIGHT(LEFT(D4843,7),2)=RIGHT(LEFT(' Pivot Tables'!$A$4,7),2)),1,0)</f>
        <v>0</v>
      </c>
      <c r="Y4843" s="6">
        <f>1/COUNTIF(Таблица1[Order ID],Таблица1[[#This Row],[Order ID]])</f>
        <v>0.5</v>
      </c>
      <c r="Z4843" s="9">
        <f>1/COUNTIFS(Таблица1[Customer Name],Таблица1[[#This Row],[Customer Name]],Таблица1[Order-Year-Month],Таблица1[[#This Row],[Order-Year-Month]])</f>
        <v>0.5</v>
      </c>
    </row>
    <row r="4844" spans="1:26" x14ac:dyDescent="0.2">
      <c r="A4844" s="6">
        <v>7799</v>
      </c>
      <c r="B4844" s="7">
        <v>55808</v>
      </c>
      <c r="C4844" s="8">
        <f>DATE(2012,12,31)-686</f>
        <v>40588</v>
      </c>
      <c r="D4844" s="8" t="str">
        <f t="shared" si="89"/>
        <v>2011-02 (февраль 2011)</v>
      </c>
      <c r="E4844" s="9" t="s">
        <v>45</v>
      </c>
      <c r="F4844" s="7">
        <v>6</v>
      </c>
      <c r="G4844" s="7">
        <v>830.28</v>
      </c>
      <c r="H4844" s="7">
        <v>0</v>
      </c>
      <c r="I4844" s="9" t="s">
        <v>31</v>
      </c>
      <c r="J4844" s="10">
        <v>-382.98</v>
      </c>
      <c r="K4844" s="11">
        <v>122.99</v>
      </c>
      <c r="L4844" s="11">
        <v>70.2</v>
      </c>
      <c r="M4844" s="9" t="s">
        <v>1841</v>
      </c>
      <c r="N4844" s="6" t="s">
        <v>672</v>
      </c>
      <c r="O4844" s="6" t="s">
        <v>673</v>
      </c>
      <c r="P4844" s="9" t="s">
        <v>60</v>
      </c>
      <c r="Q4844" s="9" t="s">
        <v>49</v>
      </c>
      <c r="R4844" s="9" t="s">
        <v>112</v>
      </c>
      <c r="S4844" s="7" t="s">
        <v>426</v>
      </c>
      <c r="T4844" s="9" t="s">
        <v>36</v>
      </c>
      <c r="U4844" s="7">
        <v>0.74</v>
      </c>
      <c r="V4844" s="12">
        <f t="shared" si="90"/>
        <v>40590</v>
      </c>
      <c r="W4844">
        <f>IF(D4844=' Pivot Tables'!$A$4,1,0)</f>
        <v>0</v>
      </c>
      <c r="X4844">
        <f>IF(AND(LEFT(D4844,4)+1=LEFT(' Pivot Tables'!$A$4,4)+0,RIGHT(LEFT(D4844,7),2)=RIGHT(LEFT(' Pivot Tables'!$A$4,7),2)),1,0)</f>
        <v>0</v>
      </c>
      <c r="Y4844" s="6">
        <f>1/COUNTIF(Таблица1[Order ID],Таблица1[[#This Row],[Order ID]])</f>
        <v>0.5</v>
      </c>
      <c r="Z4844" s="9">
        <f>1/COUNTIFS(Таблица1[Customer Name],Таблица1[[#This Row],[Customer Name]],Таблица1[Order-Year-Month],Таблица1[[#This Row],[Order-Year-Month]])</f>
        <v>0.5</v>
      </c>
    </row>
    <row r="4845" spans="1:26" x14ac:dyDescent="0.2">
      <c r="A4845" s="6">
        <v>7800</v>
      </c>
      <c r="B4845" s="7">
        <v>55808</v>
      </c>
      <c r="C4845" s="8">
        <f>DATE(2012,12,31)-686</f>
        <v>40588</v>
      </c>
      <c r="D4845" s="8" t="str">
        <f t="shared" si="89"/>
        <v>2011-02 (февраль 2011)</v>
      </c>
      <c r="E4845" s="9" t="s">
        <v>45</v>
      </c>
      <c r="F4845" s="7">
        <v>45</v>
      </c>
      <c r="G4845" s="7">
        <v>837.38599999999997</v>
      </c>
      <c r="H4845" s="7">
        <v>0.03</v>
      </c>
      <c r="I4845" s="9" t="s">
        <v>22</v>
      </c>
      <c r="J4845" s="10">
        <v>104.328</v>
      </c>
      <c r="K4845" s="11">
        <v>20.99</v>
      </c>
      <c r="L4845" s="11">
        <v>4.8099999999999996</v>
      </c>
      <c r="M4845" s="9" t="s">
        <v>1841</v>
      </c>
      <c r="N4845" s="6" t="s">
        <v>672</v>
      </c>
      <c r="O4845" s="6" t="s">
        <v>673</v>
      </c>
      <c r="P4845" s="9" t="s">
        <v>60</v>
      </c>
      <c r="Q4845" s="9" t="s">
        <v>42</v>
      </c>
      <c r="R4845" s="9" t="s">
        <v>43</v>
      </c>
      <c r="S4845" s="7" t="s">
        <v>760</v>
      </c>
      <c r="T4845" s="9" t="s">
        <v>48</v>
      </c>
      <c r="U4845" s="7">
        <v>0.57999999999999996</v>
      </c>
      <c r="V4845" s="12">
        <f t="shared" si="90"/>
        <v>40590</v>
      </c>
      <c r="W4845">
        <f>IF(D4845=' Pivot Tables'!$A$4,1,0)</f>
        <v>0</v>
      </c>
      <c r="X4845">
        <f>IF(AND(LEFT(D4845,4)+1=LEFT(' Pivot Tables'!$A$4,4)+0,RIGHT(LEFT(D4845,7),2)=RIGHT(LEFT(' Pivot Tables'!$A$4,7),2)),1,0)</f>
        <v>0</v>
      </c>
      <c r="Y4845" s="6">
        <f>1/COUNTIF(Таблица1[Order ID],Таблица1[[#This Row],[Order ID]])</f>
        <v>0.5</v>
      </c>
      <c r="Z4845" s="9">
        <f>1/COUNTIFS(Таблица1[Customer Name],Таблица1[[#This Row],[Customer Name]],Таблица1[Order-Year-Month],Таблица1[[#This Row],[Order-Year-Month]])</f>
        <v>0.5</v>
      </c>
    </row>
    <row r="4846" spans="1:26" x14ac:dyDescent="0.2">
      <c r="A4846" s="6">
        <v>7823</v>
      </c>
      <c r="B4846" s="7">
        <v>55937</v>
      </c>
      <c r="C4846" s="8">
        <f>DATE(2012,12,31)-1435</f>
        <v>39839</v>
      </c>
      <c r="D4846" s="8" t="str">
        <f t="shared" si="89"/>
        <v>2009-01 (январь 2009)</v>
      </c>
      <c r="E4846" s="9" t="s">
        <v>63</v>
      </c>
      <c r="F4846" s="7">
        <v>10</v>
      </c>
      <c r="G4846" s="7">
        <v>392.77</v>
      </c>
      <c r="H4846" s="7">
        <v>0.09</v>
      </c>
      <c r="I4846" s="9" t="s">
        <v>22</v>
      </c>
      <c r="J4846" s="10">
        <v>-146.19999999999999</v>
      </c>
      <c r="K4846" s="11">
        <v>39.979999999999997</v>
      </c>
      <c r="L4846" s="11">
        <v>7.12</v>
      </c>
      <c r="M4846" s="9" t="s">
        <v>1828</v>
      </c>
      <c r="N4846" s="6" t="s">
        <v>672</v>
      </c>
      <c r="O4846" s="6" t="s">
        <v>673</v>
      </c>
      <c r="P4846" s="9" t="s">
        <v>25</v>
      </c>
      <c r="Q4846" s="9" t="s">
        <v>42</v>
      </c>
      <c r="R4846" s="9" t="s">
        <v>70</v>
      </c>
      <c r="S4846" s="7" t="s">
        <v>1084</v>
      </c>
      <c r="T4846" s="9" t="s">
        <v>39</v>
      </c>
      <c r="U4846" s="7">
        <v>0.67</v>
      </c>
      <c r="V4846" s="12">
        <f t="shared" si="90"/>
        <v>39841</v>
      </c>
      <c r="W4846">
        <f>IF(D4846=' Pivot Tables'!$A$4,1,0)</f>
        <v>0</v>
      </c>
      <c r="X4846">
        <f>IF(AND(LEFT(D4846,4)+1=LEFT(' Pivot Tables'!$A$4,4)+0,RIGHT(LEFT(D4846,7),2)=RIGHT(LEFT(' Pivot Tables'!$A$4,7),2)),1,0)</f>
        <v>1</v>
      </c>
      <c r="Y4846" s="6">
        <f>1/COUNTIF(Таблица1[Order ID],Таблица1[[#This Row],[Order ID]])</f>
        <v>0.5</v>
      </c>
      <c r="Z4846" s="9">
        <f>1/COUNTIFS(Таблица1[Customer Name],Таблица1[[#This Row],[Customer Name]],Таблица1[Order-Year-Month],Таблица1[[#This Row],[Order-Year-Month]])</f>
        <v>0.5</v>
      </c>
    </row>
    <row r="4847" spans="1:26" x14ac:dyDescent="0.2">
      <c r="A4847" s="6">
        <v>7824</v>
      </c>
      <c r="B4847" s="7">
        <v>55937</v>
      </c>
      <c r="C4847" s="8">
        <f>DATE(2012,12,31)-1435</f>
        <v>39839</v>
      </c>
      <c r="D4847" s="8" t="str">
        <f t="shared" si="89"/>
        <v>2009-01 (январь 2009)</v>
      </c>
      <c r="E4847" s="9" t="s">
        <v>63</v>
      </c>
      <c r="F4847" s="7">
        <v>24</v>
      </c>
      <c r="G4847" s="7">
        <v>7332.0880000000006</v>
      </c>
      <c r="H4847" s="7">
        <v>0.06</v>
      </c>
      <c r="I4847" s="9" t="s">
        <v>31</v>
      </c>
      <c r="J4847" s="10">
        <v>53.79</v>
      </c>
      <c r="K4847" s="11">
        <v>376.13</v>
      </c>
      <c r="L4847" s="11">
        <v>85.63</v>
      </c>
      <c r="M4847" s="9" t="s">
        <v>1828</v>
      </c>
      <c r="N4847" s="6" t="s">
        <v>672</v>
      </c>
      <c r="O4847" s="6" t="s">
        <v>673</v>
      </c>
      <c r="P4847" s="9" t="s">
        <v>25</v>
      </c>
      <c r="Q4847" s="9" t="s">
        <v>49</v>
      </c>
      <c r="R4847" s="9" t="s">
        <v>83</v>
      </c>
      <c r="S4847" s="7" t="s">
        <v>725</v>
      </c>
      <c r="T4847" s="9" t="s">
        <v>82</v>
      </c>
      <c r="U4847" s="7">
        <v>0.74</v>
      </c>
      <c r="V4847" s="12">
        <f t="shared" si="90"/>
        <v>39841</v>
      </c>
      <c r="W4847">
        <f>IF(D4847=' Pivot Tables'!$A$4,1,0)</f>
        <v>0</v>
      </c>
      <c r="X4847">
        <f>IF(AND(LEFT(D4847,4)+1=LEFT(' Pivot Tables'!$A$4,4)+0,RIGHT(LEFT(D4847,7),2)=RIGHT(LEFT(' Pivot Tables'!$A$4,7),2)),1,0)</f>
        <v>1</v>
      </c>
      <c r="Y4847" s="6">
        <f>1/COUNTIF(Таблица1[Order ID],Таблица1[[#This Row],[Order ID]])</f>
        <v>0.5</v>
      </c>
      <c r="Z4847" s="9">
        <f>1/COUNTIFS(Таблица1[Customer Name],Таблица1[[#This Row],[Customer Name]],Таблица1[Order-Year-Month],Таблица1[[#This Row],[Order-Year-Month]])</f>
        <v>0.5</v>
      </c>
    </row>
    <row r="4848" spans="1:26" x14ac:dyDescent="0.2">
      <c r="A4848" s="6">
        <v>7854</v>
      </c>
      <c r="B4848" s="7">
        <v>56161</v>
      </c>
      <c r="C4848" s="8">
        <f>DATE(2012,12,31)-261</f>
        <v>41013</v>
      </c>
      <c r="D4848" s="8" t="str">
        <f t="shared" si="89"/>
        <v>2012-04 (апрель 2012)</v>
      </c>
      <c r="E4848" s="9" t="s">
        <v>30</v>
      </c>
      <c r="F4848" s="7">
        <v>38</v>
      </c>
      <c r="G4848" s="7">
        <v>1504.22</v>
      </c>
      <c r="H4848" s="7">
        <v>0.02</v>
      </c>
      <c r="I4848" s="9" t="s">
        <v>56</v>
      </c>
      <c r="J4848" s="10">
        <v>118.97</v>
      </c>
      <c r="K4848" s="11">
        <v>39.99</v>
      </c>
      <c r="L4848" s="11">
        <v>10.25</v>
      </c>
      <c r="M4848" s="9" t="s">
        <v>1841</v>
      </c>
      <c r="N4848" s="6" t="s">
        <v>672</v>
      </c>
      <c r="O4848" s="6" t="s">
        <v>673</v>
      </c>
      <c r="P4848" s="9" t="s">
        <v>60</v>
      </c>
      <c r="Q4848" s="9" t="s">
        <v>42</v>
      </c>
      <c r="R4848" s="9" t="s">
        <v>70</v>
      </c>
      <c r="S4848" s="7" t="s">
        <v>577</v>
      </c>
      <c r="T4848" s="9" t="s">
        <v>39</v>
      </c>
      <c r="U4848" s="7">
        <v>0.55000000000000004</v>
      </c>
      <c r="V4848" s="12">
        <f t="shared" si="90"/>
        <v>41015</v>
      </c>
      <c r="W4848">
        <f>IF(D4848=' Pivot Tables'!$A$4,1,0)</f>
        <v>0</v>
      </c>
      <c r="X4848">
        <f>IF(AND(LEFT(D4848,4)+1=LEFT(' Pivot Tables'!$A$4,4)+0,RIGHT(LEFT(D4848,7),2)=RIGHT(LEFT(' Pivot Tables'!$A$4,7),2)),1,0)</f>
        <v>0</v>
      </c>
      <c r="Y4848" s="6">
        <f>1/COUNTIF(Таблица1[Order ID],Таблица1[[#This Row],[Order ID]])</f>
        <v>1</v>
      </c>
      <c r="Z4848" s="9">
        <f>1/COUNTIFS(Таблица1[Customer Name],Таблица1[[#This Row],[Customer Name]],Таблица1[Order-Year-Month],Таблица1[[#This Row],[Order-Year-Month]])</f>
        <v>0.5</v>
      </c>
    </row>
    <row r="4849" spans="1:26" x14ac:dyDescent="0.2">
      <c r="A4849" s="6">
        <v>8050</v>
      </c>
      <c r="B4849" s="7">
        <v>57477</v>
      </c>
      <c r="C4849" s="8">
        <f>DATE(2012,12,31)-827</f>
        <v>40447</v>
      </c>
      <c r="D4849" s="8" t="str">
        <f t="shared" si="89"/>
        <v>2010-09 (сентябрь 2010)</v>
      </c>
      <c r="E4849" s="9" t="s">
        <v>30</v>
      </c>
      <c r="F4849" s="7">
        <v>50</v>
      </c>
      <c r="G4849" s="7">
        <v>745.48</v>
      </c>
      <c r="H4849" s="7">
        <v>0.02</v>
      </c>
      <c r="I4849" s="9" t="s">
        <v>22</v>
      </c>
      <c r="J4849" s="10">
        <v>119.12</v>
      </c>
      <c r="K4849" s="11">
        <v>14.56</v>
      </c>
      <c r="L4849" s="11">
        <v>3.5</v>
      </c>
      <c r="M4849" s="9" t="s">
        <v>1841</v>
      </c>
      <c r="N4849" s="6" t="s">
        <v>672</v>
      </c>
      <c r="O4849" s="6" t="s">
        <v>673</v>
      </c>
      <c r="P4849" s="9" t="s">
        <v>60</v>
      </c>
      <c r="Q4849" s="9" t="s">
        <v>26</v>
      </c>
      <c r="R4849" s="9" t="s">
        <v>34</v>
      </c>
      <c r="S4849" s="7" t="s">
        <v>925</v>
      </c>
      <c r="T4849" s="9" t="s">
        <v>39</v>
      </c>
      <c r="U4849" s="7">
        <v>0.57999999999999996</v>
      </c>
      <c r="V4849" s="12">
        <f t="shared" si="90"/>
        <v>40449</v>
      </c>
      <c r="W4849">
        <f>IF(D4849=' Pivot Tables'!$A$4,1,0)</f>
        <v>0</v>
      </c>
      <c r="X4849">
        <f>IF(AND(LEFT(D4849,4)+1=LEFT(' Pivot Tables'!$A$4,4)+0,RIGHT(LEFT(D4849,7),2)=RIGHT(LEFT(' Pivot Tables'!$A$4,7),2)),1,0)</f>
        <v>0</v>
      </c>
      <c r="Y4849" s="6">
        <f>1/COUNTIF(Таблица1[Order ID],Таблица1[[#This Row],[Order ID]])</f>
        <v>0.5</v>
      </c>
      <c r="Z4849" s="9">
        <f>1/COUNTIFS(Таблица1[Customer Name],Таблица1[[#This Row],[Customer Name]],Таблица1[Order-Year-Month],Таблица1[[#This Row],[Order-Year-Month]])</f>
        <v>0.33333333333333331</v>
      </c>
    </row>
    <row r="4850" spans="1:26" x14ac:dyDescent="0.2">
      <c r="A4850" s="6">
        <v>8051</v>
      </c>
      <c r="B4850" s="7">
        <v>57477</v>
      </c>
      <c r="C4850" s="8">
        <f>DATE(2012,12,31)-827</f>
        <v>40447</v>
      </c>
      <c r="D4850" s="8" t="str">
        <f t="shared" si="89"/>
        <v>2010-09 (сентябрь 2010)</v>
      </c>
      <c r="E4850" s="9" t="s">
        <v>30</v>
      </c>
      <c r="F4850" s="7">
        <v>45</v>
      </c>
      <c r="G4850" s="7">
        <v>3086.5115000000001</v>
      </c>
      <c r="H4850" s="7">
        <v>0.08</v>
      </c>
      <c r="I4850" s="9" t="s">
        <v>22</v>
      </c>
      <c r="J4850" s="10">
        <v>1560.96</v>
      </c>
      <c r="K4850" s="11">
        <v>85.99</v>
      </c>
      <c r="L4850" s="11">
        <v>2.5</v>
      </c>
      <c r="M4850" s="9" t="s">
        <v>1841</v>
      </c>
      <c r="N4850" s="6" t="s">
        <v>672</v>
      </c>
      <c r="O4850" s="6" t="s">
        <v>673</v>
      </c>
      <c r="P4850" s="9" t="s">
        <v>60</v>
      </c>
      <c r="Q4850" s="9" t="s">
        <v>42</v>
      </c>
      <c r="R4850" s="9" t="s">
        <v>43</v>
      </c>
      <c r="S4850" s="7" t="s">
        <v>440</v>
      </c>
      <c r="T4850" s="9" t="s">
        <v>39</v>
      </c>
      <c r="U4850" s="7">
        <v>0.35</v>
      </c>
      <c r="V4850" s="12">
        <f>C4850+1</f>
        <v>40448</v>
      </c>
      <c r="W4850">
        <f>IF(D4850=' Pivot Tables'!$A$4,1,0)</f>
        <v>0</v>
      </c>
      <c r="X4850">
        <f>IF(AND(LEFT(D4850,4)+1=LEFT(' Pivot Tables'!$A$4,4)+0,RIGHT(LEFT(D4850,7),2)=RIGHT(LEFT(' Pivot Tables'!$A$4,7),2)),1,0)</f>
        <v>0</v>
      </c>
      <c r="Y4850" s="6">
        <f>1/COUNTIF(Таблица1[Order ID],Таблица1[[#This Row],[Order ID]])</f>
        <v>0.5</v>
      </c>
      <c r="Z4850" s="9">
        <f>1/COUNTIFS(Таблица1[Customer Name],Таблица1[[#This Row],[Customer Name]],Таблица1[Order-Year-Month],Таблица1[[#This Row],[Order-Year-Month]])</f>
        <v>0.33333333333333331</v>
      </c>
    </row>
    <row r="4851" spans="1:26" x14ac:dyDescent="0.2">
      <c r="A4851" s="6">
        <v>8255</v>
      </c>
      <c r="B4851" s="7">
        <v>59044</v>
      </c>
      <c r="C4851" s="8">
        <f>DATE(2012,12,31)-530</f>
        <v>40744</v>
      </c>
      <c r="D4851" s="8" t="str">
        <f t="shared" si="89"/>
        <v>2011-07 (июль 2011)</v>
      </c>
      <c r="E4851" s="9" t="s">
        <v>78</v>
      </c>
      <c r="F4851" s="7">
        <v>6</v>
      </c>
      <c r="G4851" s="7">
        <v>20.190000000000001</v>
      </c>
      <c r="H4851" s="7">
        <v>0.02</v>
      </c>
      <c r="I4851" s="9" t="s">
        <v>22</v>
      </c>
      <c r="J4851" s="10">
        <v>1.25</v>
      </c>
      <c r="K4851" s="11">
        <v>3.08</v>
      </c>
      <c r="L4851" s="11">
        <v>0.99</v>
      </c>
      <c r="M4851" s="9" t="s">
        <v>1678</v>
      </c>
      <c r="N4851" s="6" t="s">
        <v>672</v>
      </c>
      <c r="O4851" s="6" t="s">
        <v>673</v>
      </c>
      <c r="P4851" s="9" t="s">
        <v>25</v>
      </c>
      <c r="Q4851" s="9" t="s">
        <v>26</v>
      </c>
      <c r="R4851" s="9" t="s">
        <v>88</v>
      </c>
      <c r="S4851" s="7" t="s">
        <v>368</v>
      </c>
      <c r="T4851" s="9" t="s">
        <v>39</v>
      </c>
      <c r="U4851" s="7">
        <v>0.37</v>
      </c>
      <c r="V4851" s="12">
        <f>C4851+2</f>
        <v>40746</v>
      </c>
      <c r="W4851">
        <f>IF(D4851=' Pivot Tables'!$A$4,1,0)</f>
        <v>0</v>
      </c>
      <c r="X4851">
        <f>IF(AND(LEFT(D4851,4)+1=LEFT(' Pivot Tables'!$A$4,4)+0,RIGHT(LEFT(D4851,7),2)=RIGHT(LEFT(' Pivot Tables'!$A$4,7),2)),1,0)</f>
        <v>0</v>
      </c>
      <c r="Y4851" s="6">
        <f>1/COUNTIF(Таблица1[Order ID],Таблица1[[#This Row],[Order ID]])</f>
        <v>1</v>
      </c>
      <c r="Z4851" s="9">
        <f>1/COUNTIFS(Таблица1[Customer Name],Таблица1[[#This Row],[Customer Name]],Таблица1[Order-Year-Month],Таблица1[[#This Row],[Order-Year-Month]])</f>
        <v>1</v>
      </c>
    </row>
    <row r="4852" spans="1:26" x14ac:dyDescent="0.2">
      <c r="A4852" s="6">
        <v>8286</v>
      </c>
      <c r="B4852" s="7">
        <v>59204</v>
      </c>
      <c r="C4852" s="8">
        <f>DATE(2012,12,31)-306</f>
        <v>40968</v>
      </c>
      <c r="D4852" s="8" t="str">
        <f t="shared" si="89"/>
        <v>2012-02 (февраль 2012)</v>
      </c>
      <c r="E4852" s="9" t="s">
        <v>63</v>
      </c>
      <c r="F4852" s="7">
        <v>25</v>
      </c>
      <c r="G4852" s="7">
        <v>151.75</v>
      </c>
      <c r="H4852" s="7">
        <v>0.04</v>
      </c>
      <c r="I4852" s="9" t="s">
        <v>22</v>
      </c>
      <c r="J4852" s="10">
        <v>-66.239999999999995</v>
      </c>
      <c r="K4852" s="11">
        <v>5.8</v>
      </c>
      <c r="L4852" s="11">
        <v>5.59</v>
      </c>
      <c r="M4852" s="9" t="s">
        <v>1454</v>
      </c>
      <c r="N4852" s="6" t="s">
        <v>672</v>
      </c>
      <c r="O4852" s="6" t="s">
        <v>673</v>
      </c>
      <c r="P4852" s="9" t="s">
        <v>60</v>
      </c>
      <c r="Q4852" s="9" t="s">
        <v>26</v>
      </c>
      <c r="R4852" s="9" t="s">
        <v>37</v>
      </c>
      <c r="S4852" s="7" t="s">
        <v>991</v>
      </c>
      <c r="T4852" s="9" t="s">
        <v>39</v>
      </c>
      <c r="U4852" s="7">
        <v>0.4</v>
      </c>
      <c r="V4852" s="12">
        <f>C4852+1</f>
        <v>40969</v>
      </c>
      <c r="W4852">
        <f>IF(D4852=' Pivot Tables'!$A$4,1,0)</f>
        <v>0</v>
      </c>
      <c r="X4852">
        <f>IF(AND(LEFT(D4852,4)+1=LEFT(' Pivot Tables'!$A$4,4)+0,RIGHT(LEFT(D4852,7),2)=RIGHT(LEFT(' Pivot Tables'!$A$4,7),2)),1,0)</f>
        <v>0</v>
      </c>
      <c r="Y4852" s="6">
        <f>1/COUNTIF(Таблица1[Order ID],Таблица1[[#This Row],[Order ID]])</f>
        <v>0.33333333333333331</v>
      </c>
      <c r="Z4852" s="9">
        <f>1/COUNTIFS(Таблица1[Customer Name],Таблица1[[#This Row],[Customer Name]],Таблица1[Order-Year-Month],Таблица1[[#This Row],[Order-Year-Month]])</f>
        <v>0.33333333333333331</v>
      </c>
    </row>
    <row r="4853" spans="1:26" x14ac:dyDescent="0.2">
      <c r="A4853" s="6">
        <v>8393</v>
      </c>
      <c r="B4853" s="7">
        <v>59969</v>
      </c>
      <c r="C4853" s="8">
        <f>DATE(2012,12,31)-355</f>
        <v>40919</v>
      </c>
      <c r="D4853" s="8" t="str">
        <f t="shared" si="89"/>
        <v>2012-01 (январь 2012)</v>
      </c>
      <c r="E4853" s="9" t="s">
        <v>30</v>
      </c>
      <c r="F4853" s="7">
        <v>42</v>
      </c>
      <c r="G4853" s="7">
        <v>437.73</v>
      </c>
      <c r="H4853" s="7">
        <v>0.01</v>
      </c>
      <c r="I4853" s="9" t="s">
        <v>22</v>
      </c>
      <c r="J4853" s="10">
        <v>205.7</v>
      </c>
      <c r="K4853" s="11">
        <v>9.9</v>
      </c>
      <c r="L4853" s="11">
        <v>1.39</v>
      </c>
      <c r="M4853" s="9" t="s">
        <v>1841</v>
      </c>
      <c r="N4853" s="6" t="s">
        <v>672</v>
      </c>
      <c r="O4853" s="6" t="s">
        <v>673</v>
      </c>
      <c r="P4853" s="9" t="s">
        <v>60</v>
      </c>
      <c r="Q4853" s="9" t="s">
        <v>26</v>
      </c>
      <c r="R4853" s="9" t="s">
        <v>76</v>
      </c>
      <c r="S4853" s="7" t="s">
        <v>1664</v>
      </c>
      <c r="T4853" s="9" t="s">
        <v>39</v>
      </c>
      <c r="U4853" s="7">
        <v>0.37</v>
      </c>
      <c r="V4853" s="12">
        <f>C4853+2</f>
        <v>40921</v>
      </c>
      <c r="W4853">
        <f>IF(D4853=' Pivot Tables'!$A$4,1,0)</f>
        <v>0</v>
      </c>
      <c r="X4853">
        <f>IF(AND(LEFT(D4853,4)+1=LEFT(' Pivot Tables'!$A$4,4)+0,RIGHT(LEFT(D4853,7),2)=RIGHT(LEFT(' Pivot Tables'!$A$4,7),2)),1,0)</f>
        <v>0</v>
      </c>
      <c r="Y4853" s="6">
        <f>1/COUNTIF(Таблица1[Order ID],Таблица1[[#This Row],[Order ID]])</f>
        <v>0.5</v>
      </c>
      <c r="Z4853" s="9">
        <f>1/COUNTIFS(Таблица1[Customer Name],Таблица1[[#This Row],[Customer Name]],Таблица1[Order-Year-Month],Таблица1[[#This Row],[Order-Year-Month]])</f>
        <v>0.5</v>
      </c>
    </row>
    <row r="4854" spans="1:26" x14ac:dyDescent="0.2">
      <c r="A4854" s="6">
        <v>8394</v>
      </c>
      <c r="B4854" s="7">
        <v>59969</v>
      </c>
      <c r="C4854" s="8">
        <f>DATE(2012,12,31)-355</f>
        <v>40919</v>
      </c>
      <c r="D4854" s="8" t="str">
        <f t="shared" si="89"/>
        <v>2012-01 (январь 2012)</v>
      </c>
      <c r="E4854" s="9" t="s">
        <v>30</v>
      </c>
      <c r="F4854" s="7">
        <v>16</v>
      </c>
      <c r="G4854" s="7">
        <v>275.01</v>
      </c>
      <c r="H4854" s="7">
        <v>0</v>
      </c>
      <c r="I4854" s="9" t="s">
        <v>22</v>
      </c>
      <c r="J4854" s="10">
        <v>-87.11</v>
      </c>
      <c r="K4854" s="11">
        <v>15.7</v>
      </c>
      <c r="L4854" s="11">
        <v>11.25</v>
      </c>
      <c r="M4854" s="9" t="s">
        <v>1841</v>
      </c>
      <c r="N4854" s="6" t="s">
        <v>672</v>
      </c>
      <c r="O4854" s="6" t="s">
        <v>673</v>
      </c>
      <c r="P4854" s="9" t="s">
        <v>60</v>
      </c>
      <c r="Q4854" s="9" t="s">
        <v>26</v>
      </c>
      <c r="R4854" s="9" t="s">
        <v>27</v>
      </c>
      <c r="S4854" s="7" t="s">
        <v>206</v>
      </c>
      <c r="T4854" s="9" t="s">
        <v>39</v>
      </c>
      <c r="U4854" s="7">
        <v>0.6</v>
      </c>
      <c r="V4854" s="12">
        <f>C4854+1</f>
        <v>40920</v>
      </c>
      <c r="W4854">
        <f>IF(D4854=' Pivot Tables'!$A$4,1,0)</f>
        <v>0</v>
      </c>
      <c r="X4854">
        <f>IF(AND(LEFT(D4854,4)+1=LEFT(' Pivot Tables'!$A$4,4)+0,RIGHT(LEFT(D4854,7),2)=RIGHT(LEFT(' Pivot Tables'!$A$4,7),2)),1,0)</f>
        <v>0</v>
      </c>
      <c r="Y4854" s="6">
        <f>1/COUNTIF(Таблица1[Order ID],Таблица1[[#This Row],[Order ID]])</f>
        <v>0.5</v>
      </c>
      <c r="Z4854" s="9">
        <f>1/COUNTIFS(Таблица1[Customer Name],Таблица1[[#This Row],[Customer Name]],Таблица1[Order-Year-Month],Таблица1[[#This Row],[Order-Year-Month]])</f>
        <v>0.5</v>
      </c>
    </row>
    <row r="4855" spans="1:26" x14ac:dyDescent="0.2">
      <c r="A4855" s="6">
        <v>26</v>
      </c>
      <c r="B4855" s="7">
        <v>166</v>
      </c>
      <c r="C4855" s="8">
        <f>DATE(2012,12,31)-477</f>
        <v>40797</v>
      </c>
      <c r="D4855" s="8" t="str">
        <f t="shared" si="89"/>
        <v>2011-09 (сентябрь 2011)</v>
      </c>
      <c r="E4855" s="9" t="s">
        <v>30</v>
      </c>
      <c r="F4855" s="7">
        <v>10</v>
      </c>
      <c r="G4855" s="7">
        <v>567.93599999999992</v>
      </c>
      <c r="H4855" s="7">
        <v>0.02</v>
      </c>
      <c r="I4855" s="9" t="s">
        <v>56</v>
      </c>
      <c r="J4855" s="10">
        <v>-126.09299999999999</v>
      </c>
      <c r="K4855" s="11">
        <v>65.989999999999995</v>
      </c>
      <c r="L4855" s="11">
        <v>8.99</v>
      </c>
      <c r="M4855" s="9" t="s">
        <v>1842</v>
      </c>
      <c r="N4855" s="6" t="s">
        <v>672</v>
      </c>
      <c r="O4855" s="6" t="s">
        <v>673</v>
      </c>
      <c r="P4855" s="9" t="s">
        <v>33</v>
      </c>
      <c r="Q4855" s="9" t="s">
        <v>42</v>
      </c>
      <c r="R4855" s="9" t="s">
        <v>43</v>
      </c>
      <c r="S4855" s="7" t="s">
        <v>1843</v>
      </c>
      <c r="T4855" s="9" t="s">
        <v>39</v>
      </c>
      <c r="U4855" s="7">
        <v>0.55000000000000004</v>
      </c>
      <c r="V4855" s="12">
        <f>C4855+2</f>
        <v>40799</v>
      </c>
      <c r="W4855">
        <f>IF(D4855=' Pivot Tables'!$A$4,1,0)</f>
        <v>0</v>
      </c>
      <c r="X4855">
        <f>IF(AND(LEFT(D4855,4)+1=LEFT(' Pivot Tables'!$A$4,4)+0,RIGHT(LEFT(D4855,7),2)=RIGHT(LEFT(' Pivot Tables'!$A$4,7),2)),1,0)</f>
        <v>0</v>
      </c>
      <c r="Y4855" s="6">
        <f>1/COUNTIF(Таблица1[Order ID],Таблица1[[#This Row],[Order ID]])</f>
        <v>1</v>
      </c>
      <c r="Z4855" s="9">
        <f>1/COUNTIFS(Таблица1[Customer Name],Таблица1[[#This Row],[Customer Name]],Таблица1[Order-Year-Month],Таблица1[[#This Row],[Order-Year-Month]])</f>
        <v>1</v>
      </c>
    </row>
    <row r="4856" spans="1:26" x14ac:dyDescent="0.2">
      <c r="A4856" s="6">
        <v>31</v>
      </c>
      <c r="B4856" s="7">
        <v>197</v>
      </c>
      <c r="C4856" s="8">
        <f>DATE(2012,12,31)-635</f>
        <v>40639</v>
      </c>
      <c r="D4856" s="8" t="str">
        <f t="shared" si="89"/>
        <v>2011-04 (апрель 2011)</v>
      </c>
      <c r="E4856" s="9" t="s">
        <v>30</v>
      </c>
      <c r="F4856" s="7">
        <v>23</v>
      </c>
      <c r="G4856" s="7">
        <v>310.52</v>
      </c>
      <c r="H4856" s="7">
        <v>0.01</v>
      </c>
      <c r="I4856" s="9" t="s">
        <v>22</v>
      </c>
      <c r="J4856" s="10">
        <v>33.22</v>
      </c>
      <c r="K4856" s="11">
        <v>12.98</v>
      </c>
      <c r="L4856" s="11">
        <v>3.14</v>
      </c>
      <c r="M4856" s="9" t="s">
        <v>1844</v>
      </c>
      <c r="N4856" s="6" t="s">
        <v>672</v>
      </c>
      <c r="O4856" s="6" t="s">
        <v>673</v>
      </c>
      <c r="P4856" s="9" t="s">
        <v>60</v>
      </c>
      <c r="Q4856" s="9" t="s">
        <v>26</v>
      </c>
      <c r="R4856" s="9" t="s">
        <v>150</v>
      </c>
      <c r="S4856" s="7" t="s">
        <v>356</v>
      </c>
      <c r="T4856" s="9" t="s">
        <v>52</v>
      </c>
      <c r="U4856" s="7">
        <v>0.6</v>
      </c>
      <c r="V4856" s="12">
        <f>C4856+2</f>
        <v>40641</v>
      </c>
      <c r="W4856">
        <f>IF(D4856=' Pivot Tables'!$A$4,1,0)</f>
        <v>0</v>
      </c>
      <c r="X4856">
        <f>IF(AND(LEFT(D4856,4)+1=LEFT(' Pivot Tables'!$A$4,4)+0,RIGHT(LEFT(D4856,7),2)=RIGHT(LEFT(' Pivot Tables'!$A$4,7),2)),1,0)</f>
        <v>0</v>
      </c>
      <c r="Y4856" s="6">
        <f>1/COUNTIF(Таблица1[Order ID],Таблица1[[#This Row],[Order ID]])</f>
        <v>1</v>
      </c>
      <c r="Z4856" s="9">
        <f>1/COUNTIFS(Таблица1[Customer Name],Таблица1[[#This Row],[Customer Name]],Таблица1[Order-Year-Month],Таблица1[[#This Row],[Order-Year-Month]])</f>
        <v>1</v>
      </c>
    </row>
    <row r="4857" spans="1:26" x14ac:dyDescent="0.2">
      <c r="A4857" s="6">
        <v>41</v>
      </c>
      <c r="B4857" s="7">
        <v>231</v>
      </c>
      <c r="C4857" s="8">
        <f>DATE(2012,12,31)-1190</f>
        <v>40084</v>
      </c>
      <c r="D4857" s="8" t="str">
        <f t="shared" si="89"/>
        <v>2009-09 (сентябрь 2009)</v>
      </c>
      <c r="E4857" s="9" t="s">
        <v>30</v>
      </c>
      <c r="F4857" s="7">
        <v>2</v>
      </c>
      <c r="G4857" s="7">
        <v>689.74</v>
      </c>
      <c r="H4857" s="7">
        <v>0.06</v>
      </c>
      <c r="I4857" s="9" t="s">
        <v>22</v>
      </c>
      <c r="J4857" s="10">
        <v>-490.84</v>
      </c>
      <c r="K4857" s="11">
        <v>363.25</v>
      </c>
      <c r="L4857" s="11">
        <v>19.989999999999998</v>
      </c>
      <c r="M4857" s="9" t="s">
        <v>1845</v>
      </c>
      <c r="N4857" s="6" t="s">
        <v>672</v>
      </c>
      <c r="O4857" s="6" t="s">
        <v>673</v>
      </c>
      <c r="P4857" s="9" t="s">
        <v>25</v>
      </c>
      <c r="Q4857" s="9" t="s">
        <v>26</v>
      </c>
      <c r="R4857" s="9" t="s">
        <v>34</v>
      </c>
      <c r="S4857" s="7" t="s">
        <v>589</v>
      </c>
      <c r="T4857" s="9" t="s">
        <v>39</v>
      </c>
      <c r="U4857" s="7">
        <v>0.56999999999999995</v>
      </c>
      <c r="V4857" s="12">
        <f>C4857+2</f>
        <v>40086</v>
      </c>
      <c r="W4857">
        <f>IF(D4857=' Pivot Tables'!$A$4,1,0)</f>
        <v>0</v>
      </c>
      <c r="X4857">
        <f>IF(AND(LEFT(D4857,4)+1=LEFT(' Pivot Tables'!$A$4,4)+0,RIGHT(LEFT(D4857,7),2)=RIGHT(LEFT(' Pivot Tables'!$A$4,7),2)),1,0)</f>
        <v>0</v>
      </c>
      <c r="Y4857" s="6">
        <f>1/COUNTIF(Таблица1[Order ID],Таблица1[[#This Row],[Order ID]])</f>
        <v>1</v>
      </c>
      <c r="Z4857" s="9">
        <f>1/COUNTIFS(Таблица1[Customer Name],Таблица1[[#This Row],[Customer Name]],Таблица1[Order-Year-Month],Таблица1[[#This Row],[Order-Year-Month]])</f>
        <v>1</v>
      </c>
    </row>
    <row r="4858" spans="1:26" x14ac:dyDescent="0.2">
      <c r="A4858" s="6">
        <v>81</v>
      </c>
      <c r="B4858" s="7">
        <v>487</v>
      </c>
      <c r="C4858" s="8">
        <f>DATE(2012,12,31)-136</f>
        <v>41138</v>
      </c>
      <c r="D4858" s="8" t="str">
        <f t="shared" si="89"/>
        <v>2012-08 (август 2012)</v>
      </c>
      <c r="E4858" s="9" t="s">
        <v>78</v>
      </c>
      <c r="F4858" s="7">
        <v>19</v>
      </c>
      <c r="G4858" s="7">
        <v>210.4</v>
      </c>
      <c r="H4858" s="7">
        <v>7.0000000000000007E-2</v>
      </c>
      <c r="I4858" s="9" t="s">
        <v>22</v>
      </c>
      <c r="J4858" s="10">
        <v>-18.96</v>
      </c>
      <c r="K4858" s="11">
        <v>10.89</v>
      </c>
      <c r="L4858" s="11">
        <v>4.5</v>
      </c>
      <c r="M4858" s="9" t="s">
        <v>1846</v>
      </c>
      <c r="N4858" s="6" t="s">
        <v>672</v>
      </c>
      <c r="O4858" s="6" t="s">
        <v>673</v>
      </c>
      <c r="P4858" s="9" t="s">
        <v>41</v>
      </c>
      <c r="Q4858" s="9" t="s">
        <v>26</v>
      </c>
      <c r="R4858" s="9" t="s">
        <v>34</v>
      </c>
      <c r="S4858" s="7" t="s">
        <v>345</v>
      </c>
      <c r="T4858" s="9" t="s">
        <v>39</v>
      </c>
      <c r="U4858" s="7">
        <v>0.59</v>
      </c>
      <c r="V4858" s="12">
        <f>C4858+1</f>
        <v>41139</v>
      </c>
      <c r="W4858">
        <f>IF(D4858=' Pivot Tables'!$A$4,1,0)</f>
        <v>0</v>
      </c>
      <c r="X4858">
        <f>IF(AND(LEFT(D4858,4)+1=LEFT(' Pivot Tables'!$A$4,4)+0,RIGHT(LEFT(D4858,7),2)=RIGHT(LEFT(' Pivot Tables'!$A$4,7),2)),1,0)</f>
        <v>0</v>
      </c>
      <c r="Y4858" s="6">
        <f>1/COUNTIF(Таблица1[Order ID],Таблица1[[#This Row],[Order ID]])</f>
        <v>1</v>
      </c>
      <c r="Z4858" s="9">
        <f>1/COUNTIFS(Таблица1[Customer Name],Таблица1[[#This Row],[Customer Name]],Таблица1[Order-Year-Month],Таблица1[[#This Row],[Order-Year-Month]])</f>
        <v>1</v>
      </c>
    </row>
    <row r="4859" spans="1:26" x14ac:dyDescent="0.2">
      <c r="A4859" s="6">
        <v>109</v>
      </c>
      <c r="B4859" s="7">
        <v>710</v>
      </c>
      <c r="C4859" s="8">
        <f>DATE(2012,12,31)-1095</f>
        <v>40179</v>
      </c>
      <c r="D4859" s="8" t="str">
        <f t="shared" si="89"/>
        <v>2010-01 (январь 2010)</v>
      </c>
      <c r="E4859" s="9" t="s">
        <v>21</v>
      </c>
      <c r="F4859" s="7">
        <v>42</v>
      </c>
      <c r="G4859" s="7">
        <v>161.77000000000001</v>
      </c>
      <c r="H4859" s="7">
        <v>0.01</v>
      </c>
      <c r="I4859" s="9" t="s">
        <v>22</v>
      </c>
      <c r="J4859" s="10">
        <v>-150.374</v>
      </c>
      <c r="K4859" s="11">
        <v>3.58</v>
      </c>
      <c r="L4859" s="11">
        <v>5.47</v>
      </c>
      <c r="M4859" s="9" t="s">
        <v>1847</v>
      </c>
      <c r="N4859" s="6" t="s">
        <v>672</v>
      </c>
      <c r="O4859" s="6" t="s">
        <v>673</v>
      </c>
      <c r="P4859" s="9" t="s">
        <v>41</v>
      </c>
      <c r="Q4859" s="9" t="s">
        <v>26</v>
      </c>
      <c r="R4859" s="9" t="s">
        <v>37</v>
      </c>
      <c r="S4859" s="7" t="s">
        <v>462</v>
      </c>
      <c r="T4859" s="9" t="s">
        <v>39</v>
      </c>
      <c r="U4859" s="7">
        <v>0.37</v>
      </c>
      <c r="V4859" s="12">
        <f>C4859+4</f>
        <v>40183</v>
      </c>
      <c r="W4859">
        <f>IF(D4859=' Pivot Tables'!$A$4,1,0)</f>
        <v>1</v>
      </c>
      <c r="X4859">
        <f>IF(AND(LEFT(D4859,4)+1=LEFT(' Pivot Tables'!$A$4,4)+0,RIGHT(LEFT(D4859,7),2)=RIGHT(LEFT(' Pivot Tables'!$A$4,7),2)),1,0)</f>
        <v>0</v>
      </c>
      <c r="Y4859" s="6">
        <f>1/COUNTIF(Таблица1[Order ID],Таблица1[[#This Row],[Order ID]])</f>
        <v>0.33333333333333331</v>
      </c>
      <c r="Z4859" s="9">
        <f>1/COUNTIFS(Таблица1[Customer Name],Таблица1[[#This Row],[Customer Name]],Таблица1[Order-Year-Month],Таблица1[[#This Row],[Order-Year-Month]])</f>
        <v>0.33333333333333331</v>
      </c>
    </row>
    <row r="4860" spans="1:26" x14ac:dyDescent="0.2">
      <c r="A4860" s="6">
        <v>110</v>
      </c>
      <c r="B4860" s="7">
        <v>710</v>
      </c>
      <c r="C4860" s="8">
        <f>DATE(2012,12,31)-1095</f>
        <v>40179</v>
      </c>
      <c r="D4860" s="8" t="str">
        <f t="shared" si="89"/>
        <v>2010-01 (январь 2010)</v>
      </c>
      <c r="E4860" s="9" t="s">
        <v>21</v>
      </c>
      <c r="F4860" s="7">
        <v>11</v>
      </c>
      <c r="G4860" s="7">
        <v>447.09</v>
      </c>
      <c r="H4860" s="7">
        <v>0.09</v>
      </c>
      <c r="I4860" s="9" t="s">
        <v>22</v>
      </c>
      <c r="J4860" s="10">
        <v>89.03</v>
      </c>
      <c r="K4860" s="11">
        <v>41.32</v>
      </c>
      <c r="L4860" s="11">
        <v>8.66</v>
      </c>
      <c r="M4860" s="9" t="s">
        <v>1847</v>
      </c>
      <c r="N4860" s="6" t="s">
        <v>672</v>
      </c>
      <c r="O4860" s="6" t="s">
        <v>673</v>
      </c>
      <c r="P4860" s="9" t="s">
        <v>41</v>
      </c>
      <c r="Q4860" s="9" t="s">
        <v>49</v>
      </c>
      <c r="R4860" s="9" t="s">
        <v>50</v>
      </c>
      <c r="S4860" s="7" t="s">
        <v>639</v>
      </c>
      <c r="T4860" s="9" t="s">
        <v>48</v>
      </c>
      <c r="U4860" s="7">
        <v>0.76</v>
      </c>
      <c r="V4860" s="12">
        <f>C4860+2</f>
        <v>40181</v>
      </c>
      <c r="W4860">
        <f>IF(D4860=' Pivot Tables'!$A$4,1,0)</f>
        <v>1</v>
      </c>
      <c r="X4860">
        <f>IF(AND(LEFT(D4860,4)+1=LEFT(' Pivot Tables'!$A$4,4)+0,RIGHT(LEFT(D4860,7),2)=RIGHT(LEFT(' Pivot Tables'!$A$4,7),2)),1,0)</f>
        <v>0</v>
      </c>
      <c r="Y4860" s="6">
        <f>1/COUNTIF(Таблица1[Order ID],Таблица1[[#This Row],[Order ID]])</f>
        <v>0.33333333333333331</v>
      </c>
      <c r="Z4860" s="9">
        <f>1/COUNTIFS(Таблица1[Customer Name],Таблица1[[#This Row],[Customer Name]],Таблица1[Order-Year-Month],Таблица1[[#This Row],[Order-Year-Month]])</f>
        <v>0.33333333333333331</v>
      </c>
    </row>
    <row r="4861" spans="1:26" x14ac:dyDescent="0.2">
      <c r="A4861" s="6">
        <v>111</v>
      </c>
      <c r="B4861" s="7">
        <v>710</v>
      </c>
      <c r="C4861" s="8">
        <f>DATE(2012,12,31)-1095</f>
        <v>40179</v>
      </c>
      <c r="D4861" s="8" t="str">
        <f t="shared" si="89"/>
        <v>2010-01 (январь 2010)</v>
      </c>
      <c r="E4861" s="9" t="s">
        <v>21</v>
      </c>
      <c r="F4861" s="7">
        <v>29</v>
      </c>
      <c r="G4861" s="7">
        <v>4192.88</v>
      </c>
      <c r="H4861" s="7">
        <v>0.02</v>
      </c>
      <c r="I4861" s="9" t="s">
        <v>31</v>
      </c>
      <c r="J4861" s="10">
        <v>731.32</v>
      </c>
      <c r="K4861" s="11">
        <v>145.44999999999999</v>
      </c>
      <c r="L4861" s="11">
        <v>17.850000000000001</v>
      </c>
      <c r="M4861" s="9" t="s">
        <v>1847</v>
      </c>
      <c r="N4861" s="6" t="s">
        <v>672</v>
      </c>
      <c r="O4861" s="6" t="s">
        <v>673</v>
      </c>
      <c r="P4861" s="9" t="s">
        <v>41</v>
      </c>
      <c r="Q4861" s="9" t="s">
        <v>42</v>
      </c>
      <c r="R4861" s="9" t="s">
        <v>210</v>
      </c>
      <c r="S4861" s="7" t="s">
        <v>234</v>
      </c>
      <c r="T4861" s="9" t="s">
        <v>36</v>
      </c>
      <c r="U4861" s="7">
        <v>0.56000000000000005</v>
      </c>
      <c r="V4861" s="12">
        <f>C4861+4</f>
        <v>40183</v>
      </c>
      <c r="W4861">
        <f>IF(D4861=' Pivot Tables'!$A$4,1,0)</f>
        <v>1</v>
      </c>
      <c r="X4861">
        <f>IF(AND(LEFT(D4861,4)+1=LEFT(' Pivot Tables'!$A$4,4)+0,RIGHT(LEFT(D4861,7),2)=RIGHT(LEFT(' Pivot Tables'!$A$4,7),2)),1,0)</f>
        <v>0</v>
      </c>
      <c r="Y4861" s="6">
        <f>1/COUNTIF(Таблица1[Order ID],Таблица1[[#This Row],[Order ID]])</f>
        <v>0.33333333333333331</v>
      </c>
      <c r="Z4861" s="9">
        <f>1/COUNTIFS(Таблица1[Customer Name],Таблица1[[#This Row],[Customer Name]],Таблица1[Order-Year-Month],Таблица1[[#This Row],[Order-Year-Month]])</f>
        <v>0.33333333333333331</v>
      </c>
    </row>
    <row r="4862" spans="1:26" x14ac:dyDescent="0.2">
      <c r="A4862" s="6">
        <v>123</v>
      </c>
      <c r="B4862" s="7">
        <v>801</v>
      </c>
      <c r="C4862" s="8">
        <f>DATE(2012,12,31)-318</f>
        <v>40956</v>
      </c>
      <c r="D4862" s="8" t="str">
        <f t="shared" si="89"/>
        <v>2012-02 (февраль 2012)</v>
      </c>
      <c r="E4862" s="9" t="s">
        <v>78</v>
      </c>
      <c r="F4862" s="7">
        <v>20</v>
      </c>
      <c r="G4862" s="7">
        <v>59.85</v>
      </c>
      <c r="H4862" s="7">
        <v>0.03</v>
      </c>
      <c r="I4862" s="9" t="s">
        <v>22</v>
      </c>
      <c r="J4862" s="10">
        <v>-47.41</v>
      </c>
      <c r="K4862" s="11">
        <v>2.74</v>
      </c>
      <c r="L4862" s="11">
        <v>3.5</v>
      </c>
      <c r="M4862" s="9" t="s">
        <v>1848</v>
      </c>
      <c r="N4862" s="6" t="s">
        <v>672</v>
      </c>
      <c r="O4862" s="6" t="s">
        <v>673</v>
      </c>
      <c r="P4862" s="9" t="s">
        <v>41</v>
      </c>
      <c r="Q4862" s="9" t="s">
        <v>26</v>
      </c>
      <c r="R4862" s="9" t="s">
        <v>95</v>
      </c>
      <c r="S4862" s="7" t="s">
        <v>1573</v>
      </c>
      <c r="T4862" s="9" t="s">
        <v>52</v>
      </c>
      <c r="U4862" s="7">
        <v>0.57999999999999996</v>
      </c>
      <c r="V4862" s="12">
        <f>C4862+3</f>
        <v>40959</v>
      </c>
      <c r="W4862">
        <f>IF(D4862=' Pivot Tables'!$A$4,1,0)</f>
        <v>0</v>
      </c>
      <c r="X4862">
        <f>IF(AND(LEFT(D4862,4)+1=LEFT(' Pivot Tables'!$A$4,4)+0,RIGHT(LEFT(D4862,7),2)=RIGHT(LEFT(' Pivot Tables'!$A$4,7),2)),1,0)</f>
        <v>0</v>
      </c>
      <c r="Y4862" s="6">
        <f>1/COUNTIF(Таблица1[Order ID],Таблица1[[#This Row],[Order ID]])</f>
        <v>1</v>
      </c>
      <c r="Z4862" s="9">
        <f>1/COUNTIFS(Таблица1[Customer Name],Таблица1[[#This Row],[Customer Name]],Таблица1[Order-Year-Month],Таблица1[[#This Row],[Order-Year-Month]])</f>
        <v>1</v>
      </c>
    </row>
    <row r="4863" spans="1:26" x14ac:dyDescent="0.2">
      <c r="A4863" s="6">
        <v>136</v>
      </c>
      <c r="B4863" s="7">
        <v>870</v>
      </c>
      <c r="C4863" s="8">
        <f>DATE(2012,12,31)-926</f>
        <v>40348</v>
      </c>
      <c r="D4863" s="8" t="str">
        <f t="shared" si="89"/>
        <v>2010-06 (июнь 2010)</v>
      </c>
      <c r="E4863" s="9" t="s">
        <v>45</v>
      </c>
      <c r="F4863" s="7">
        <v>23</v>
      </c>
      <c r="G4863" s="7">
        <v>1661.04</v>
      </c>
      <c r="H4863" s="7">
        <v>0.04</v>
      </c>
      <c r="I4863" s="9" t="s">
        <v>22</v>
      </c>
      <c r="J4863" s="10">
        <v>475.54</v>
      </c>
      <c r="K4863" s="11">
        <v>70.97</v>
      </c>
      <c r="L4863" s="11">
        <v>3.5</v>
      </c>
      <c r="M4863" s="9" t="s">
        <v>1846</v>
      </c>
      <c r="N4863" s="6" t="s">
        <v>672</v>
      </c>
      <c r="O4863" s="6" t="s">
        <v>673</v>
      </c>
      <c r="P4863" s="9" t="s">
        <v>41</v>
      </c>
      <c r="Q4863" s="9" t="s">
        <v>26</v>
      </c>
      <c r="R4863" s="9" t="s">
        <v>34</v>
      </c>
      <c r="S4863" s="7" t="s">
        <v>1401</v>
      </c>
      <c r="T4863" s="9" t="s">
        <v>39</v>
      </c>
      <c r="U4863" s="7">
        <v>0.59</v>
      </c>
      <c r="V4863" s="12">
        <f>C4863+0</f>
        <v>40348</v>
      </c>
      <c r="W4863">
        <f>IF(D4863=' Pivot Tables'!$A$4,1,0)</f>
        <v>0</v>
      </c>
      <c r="X4863">
        <f>IF(AND(LEFT(D4863,4)+1=LEFT(' Pivot Tables'!$A$4,4)+0,RIGHT(LEFT(D4863,7),2)=RIGHT(LEFT(' Pivot Tables'!$A$4,7),2)),1,0)</f>
        <v>0</v>
      </c>
      <c r="Y4863" s="6">
        <f>1/COUNTIF(Таблица1[Order ID],Таблица1[[#This Row],[Order ID]])</f>
        <v>1</v>
      </c>
      <c r="Z4863" s="9">
        <f>1/COUNTIFS(Таблица1[Customer Name],Таблица1[[#This Row],[Customer Name]],Таблица1[Order-Year-Month],Таблица1[[#This Row],[Order-Year-Month]])</f>
        <v>1</v>
      </c>
    </row>
    <row r="4864" spans="1:26" x14ac:dyDescent="0.2">
      <c r="A4864" s="6">
        <v>189</v>
      </c>
      <c r="B4864" s="7">
        <v>1253</v>
      </c>
      <c r="C4864" s="8">
        <f>DATE(2012,12,31)-1071</f>
        <v>40203</v>
      </c>
      <c r="D4864" s="8" t="str">
        <f t="shared" si="89"/>
        <v>2010-01 (январь 2010)</v>
      </c>
      <c r="E4864" s="9" t="s">
        <v>78</v>
      </c>
      <c r="F4864" s="7">
        <v>15</v>
      </c>
      <c r="G4864" s="7">
        <v>494.34</v>
      </c>
      <c r="H4864" s="7">
        <v>0.05</v>
      </c>
      <c r="I4864" s="9" t="s">
        <v>22</v>
      </c>
      <c r="J4864" s="10">
        <v>-30.19</v>
      </c>
      <c r="K4864" s="11">
        <v>31.98</v>
      </c>
      <c r="L4864" s="11">
        <v>6.72</v>
      </c>
      <c r="M4864" s="9" t="s">
        <v>982</v>
      </c>
      <c r="N4864" s="6" t="s">
        <v>672</v>
      </c>
      <c r="O4864" s="6" t="s">
        <v>673</v>
      </c>
      <c r="P4864" s="9" t="s">
        <v>33</v>
      </c>
      <c r="Q4864" s="9" t="s">
        <v>26</v>
      </c>
      <c r="R4864" s="9" t="s">
        <v>27</v>
      </c>
      <c r="S4864" s="7" t="s">
        <v>1822</v>
      </c>
      <c r="T4864" s="9" t="s">
        <v>39</v>
      </c>
      <c r="U4864" s="7">
        <v>0.75</v>
      </c>
      <c r="V4864" s="12">
        <f>C4864+0</f>
        <v>40203</v>
      </c>
      <c r="W4864">
        <f>IF(D4864=' Pivot Tables'!$A$4,1,0)</f>
        <v>1</v>
      </c>
      <c r="X4864">
        <f>IF(AND(LEFT(D4864,4)+1=LEFT(' Pivot Tables'!$A$4,4)+0,RIGHT(LEFT(D4864,7),2)=RIGHT(LEFT(' Pivot Tables'!$A$4,7),2)),1,0)</f>
        <v>0</v>
      </c>
      <c r="Y4864" s="6">
        <f>1/COUNTIF(Таблица1[Order ID],Таблица1[[#This Row],[Order ID]])</f>
        <v>1</v>
      </c>
      <c r="Z4864" s="9">
        <f>1/COUNTIFS(Таблица1[Customer Name],Таблица1[[#This Row],[Customer Name]],Таблица1[Order-Year-Month],Таблица1[[#This Row],[Order-Year-Month]])</f>
        <v>1</v>
      </c>
    </row>
    <row r="4865" spans="1:26" x14ac:dyDescent="0.2">
      <c r="A4865" s="6">
        <v>232</v>
      </c>
      <c r="B4865" s="7">
        <v>1542</v>
      </c>
      <c r="C4865" s="8">
        <f>DATE(2012,12,31)-839</f>
        <v>40435</v>
      </c>
      <c r="D4865" s="8" t="str">
        <f t="shared" si="89"/>
        <v>2010-09 (сентябрь 2010)</v>
      </c>
      <c r="E4865" s="9" t="s">
        <v>63</v>
      </c>
      <c r="F4865" s="7">
        <v>47</v>
      </c>
      <c r="G4865" s="7">
        <v>2150.25</v>
      </c>
      <c r="H4865" s="7">
        <v>0.06</v>
      </c>
      <c r="I4865" s="9" t="s">
        <v>22</v>
      </c>
      <c r="J4865" s="10">
        <v>586.92999999999995</v>
      </c>
      <c r="K4865" s="11">
        <v>48.58</v>
      </c>
      <c r="L4865" s="11">
        <v>3.99</v>
      </c>
      <c r="M4865" s="9" t="s">
        <v>1849</v>
      </c>
      <c r="N4865" s="6" t="s">
        <v>672</v>
      </c>
      <c r="O4865" s="6" t="s">
        <v>673</v>
      </c>
      <c r="P4865" s="9" t="s">
        <v>33</v>
      </c>
      <c r="Q4865" s="9" t="s">
        <v>26</v>
      </c>
      <c r="R4865" s="9" t="s">
        <v>34</v>
      </c>
      <c r="S4865" s="7" t="s">
        <v>988</v>
      </c>
      <c r="T4865" s="9" t="s">
        <v>39</v>
      </c>
      <c r="U4865" s="7">
        <v>0.56000000000000005</v>
      </c>
      <c r="V4865" s="12">
        <f>C4865+2</f>
        <v>40437</v>
      </c>
      <c r="W4865">
        <f>IF(D4865=' Pivot Tables'!$A$4,1,0)</f>
        <v>0</v>
      </c>
      <c r="X4865">
        <f>IF(AND(LEFT(D4865,4)+1=LEFT(' Pivot Tables'!$A$4,4)+0,RIGHT(LEFT(D4865,7),2)=RIGHT(LEFT(' Pivot Tables'!$A$4,7),2)),1,0)</f>
        <v>0</v>
      </c>
      <c r="Y4865" s="6">
        <f>1/COUNTIF(Таблица1[Order ID],Таблица1[[#This Row],[Order ID]])</f>
        <v>0.5</v>
      </c>
      <c r="Z4865" s="9">
        <f>1/COUNTIFS(Таблица1[Customer Name],Таблица1[[#This Row],[Customer Name]],Таблица1[Order-Year-Month],Таблица1[[#This Row],[Order-Year-Month]])</f>
        <v>0.5</v>
      </c>
    </row>
    <row r="4866" spans="1:26" x14ac:dyDescent="0.2">
      <c r="A4866" s="6">
        <v>233</v>
      </c>
      <c r="B4866" s="7">
        <v>1542</v>
      </c>
      <c r="C4866" s="8">
        <f>DATE(2012,12,31)-839</f>
        <v>40435</v>
      </c>
      <c r="D4866" s="8" t="str">
        <f t="shared" si="89"/>
        <v>2010-09 (сентябрь 2010)</v>
      </c>
      <c r="E4866" s="9" t="s">
        <v>63</v>
      </c>
      <c r="F4866" s="7">
        <v>13</v>
      </c>
      <c r="G4866" s="7">
        <v>448</v>
      </c>
      <c r="H4866" s="7">
        <v>0.08</v>
      </c>
      <c r="I4866" s="9" t="s">
        <v>22</v>
      </c>
      <c r="J4866" s="10">
        <v>27.2</v>
      </c>
      <c r="K4866" s="11">
        <v>35.51</v>
      </c>
      <c r="L4866" s="11">
        <v>6.31</v>
      </c>
      <c r="M4866" s="9" t="s">
        <v>1849</v>
      </c>
      <c r="N4866" s="6" t="s">
        <v>672</v>
      </c>
      <c r="O4866" s="6" t="s">
        <v>673</v>
      </c>
      <c r="P4866" s="9" t="s">
        <v>33</v>
      </c>
      <c r="Q4866" s="9" t="s">
        <v>26</v>
      </c>
      <c r="R4866" s="9" t="s">
        <v>27</v>
      </c>
      <c r="S4866" s="7" t="s">
        <v>1850</v>
      </c>
      <c r="T4866" s="9" t="s">
        <v>39</v>
      </c>
      <c r="U4866" s="7">
        <v>0.57999999999999996</v>
      </c>
      <c r="V4866" s="12">
        <f>C4866+2</f>
        <v>40437</v>
      </c>
      <c r="W4866">
        <f>IF(D4866=' Pivot Tables'!$A$4,1,0)</f>
        <v>0</v>
      </c>
      <c r="X4866">
        <f>IF(AND(LEFT(D4866,4)+1=LEFT(' Pivot Tables'!$A$4,4)+0,RIGHT(LEFT(D4866,7),2)=RIGHT(LEFT(' Pivot Tables'!$A$4,7),2)),1,0)</f>
        <v>0</v>
      </c>
      <c r="Y4866" s="6">
        <f>1/COUNTIF(Таблица1[Order ID],Таблица1[[#This Row],[Order ID]])</f>
        <v>0.5</v>
      </c>
      <c r="Z4866" s="9">
        <f>1/COUNTIFS(Таблица1[Customer Name],Таблица1[[#This Row],[Customer Name]],Таблица1[Order-Year-Month],Таблица1[[#This Row],[Order-Year-Month]])</f>
        <v>0.5</v>
      </c>
    </row>
    <row r="4867" spans="1:26" x14ac:dyDescent="0.2">
      <c r="A4867" s="6">
        <v>356</v>
      </c>
      <c r="B4867" s="7">
        <v>2497</v>
      </c>
      <c r="C4867" s="8">
        <f>DATE(2012,12,31)-127</f>
        <v>41147</v>
      </c>
      <c r="D4867" s="8" t="str">
        <f t="shared" ref="D4867:D4930" si="91">TEXT(C4867,"гггг-ММ (ММММ гггг)")</f>
        <v>2012-08 (август 2012)</v>
      </c>
      <c r="E4867" s="9" t="s">
        <v>78</v>
      </c>
      <c r="F4867" s="7">
        <v>21</v>
      </c>
      <c r="G4867" s="7">
        <v>3629.1174999999998</v>
      </c>
      <c r="H4867" s="7">
        <v>0.06</v>
      </c>
      <c r="I4867" s="9" t="s">
        <v>22</v>
      </c>
      <c r="J4867" s="10">
        <v>636.03</v>
      </c>
      <c r="K4867" s="11">
        <v>205.99</v>
      </c>
      <c r="L4867" s="11">
        <v>5.26</v>
      </c>
      <c r="M4867" s="9" t="s">
        <v>1851</v>
      </c>
      <c r="N4867" s="6" t="s">
        <v>672</v>
      </c>
      <c r="O4867" s="6" t="s">
        <v>673</v>
      </c>
      <c r="P4867" s="9" t="s">
        <v>41</v>
      </c>
      <c r="Q4867" s="9" t="s">
        <v>42</v>
      </c>
      <c r="R4867" s="9" t="s">
        <v>43</v>
      </c>
      <c r="S4867" s="7" t="s">
        <v>329</v>
      </c>
      <c r="T4867" s="9" t="s">
        <v>39</v>
      </c>
      <c r="U4867" s="7">
        <v>0.56000000000000005</v>
      </c>
      <c r="V4867" s="12">
        <f>C4867+2</f>
        <v>41149</v>
      </c>
      <c r="W4867">
        <f>IF(D4867=' Pivot Tables'!$A$4,1,0)</f>
        <v>0</v>
      </c>
      <c r="X4867">
        <f>IF(AND(LEFT(D4867,4)+1=LEFT(' Pivot Tables'!$A$4,4)+0,RIGHT(LEFT(D4867,7),2)=RIGHT(LEFT(' Pivot Tables'!$A$4,7),2)),1,0)</f>
        <v>0</v>
      </c>
      <c r="Y4867" s="6">
        <f>1/COUNTIF(Таблица1[Order ID],Таблица1[[#This Row],[Order ID]])</f>
        <v>1</v>
      </c>
      <c r="Z4867" s="9">
        <f>1/COUNTIFS(Таблица1[Customer Name],Таблица1[[#This Row],[Customer Name]],Таблица1[Order-Year-Month],Таблица1[[#This Row],[Order-Year-Month]])</f>
        <v>1</v>
      </c>
    </row>
    <row r="4868" spans="1:26" x14ac:dyDescent="0.2">
      <c r="A4868" s="6">
        <v>380</v>
      </c>
      <c r="B4868" s="7">
        <v>2630</v>
      </c>
      <c r="C4868" s="8">
        <f>DATE(2012,12,31)-69</f>
        <v>41205</v>
      </c>
      <c r="D4868" s="8" t="str">
        <f t="shared" si="91"/>
        <v>2012-10 (октябрь 2012)</v>
      </c>
      <c r="E4868" s="9" t="s">
        <v>21</v>
      </c>
      <c r="F4868" s="7">
        <v>31</v>
      </c>
      <c r="G4868" s="7">
        <v>146.51</v>
      </c>
      <c r="H4868" s="7">
        <v>0.04</v>
      </c>
      <c r="I4868" s="9" t="s">
        <v>22</v>
      </c>
      <c r="J4868" s="10">
        <v>37.14</v>
      </c>
      <c r="K4868" s="11">
        <v>4.7300000000000004</v>
      </c>
      <c r="L4868" s="11">
        <v>1.52</v>
      </c>
      <c r="M4868" s="9" t="s">
        <v>1852</v>
      </c>
      <c r="N4868" s="6" t="s">
        <v>672</v>
      </c>
      <c r="O4868" s="6" t="s">
        <v>673</v>
      </c>
      <c r="P4868" s="9" t="s">
        <v>41</v>
      </c>
      <c r="Q4868" s="9" t="s">
        <v>26</v>
      </c>
      <c r="R4868" s="9" t="s">
        <v>61</v>
      </c>
      <c r="S4868" s="7" t="s">
        <v>1515</v>
      </c>
      <c r="T4868" s="9" t="s">
        <v>68</v>
      </c>
      <c r="U4868" s="7">
        <v>0.36</v>
      </c>
      <c r="V4868" s="12">
        <f>C4868+0</f>
        <v>41205</v>
      </c>
      <c r="W4868">
        <f>IF(D4868=' Pivot Tables'!$A$4,1,0)</f>
        <v>0</v>
      </c>
      <c r="X4868">
        <f>IF(AND(LEFT(D4868,4)+1=LEFT(' Pivot Tables'!$A$4,4)+0,RIGHT(LEFT(D4868,7),2)=RIGHT(LEFT(' Pivot Tables'!$A$4,7),2)),1,0)</f>
        <v>0</v>
      </c>
      <c r="Y4868" s="6">
        <f>1/COUNTIF(Таблица1[Order ID],Таблица1[[#This Row],[Order ID]])</f>
        <v>1</v>
      </c>
      <c r="Z4868" s="9">
        <f>1/COUNTIFS(Таблица1[Customer Name],Таблица1[[#This Row],[Customer Name]],Таблица1[Order-Year-Month],Таблица1[[#This Row],[Order-Year-Month]])</f>
        <v>0.5</v>
      </c>
    </row>
    <row r="4869" spans="1:26" x14ac:dyDescent="0.2">
      <c r="A4869" s="6">
        <v>384</v>
      </c>
      <c r="B4869" s="7">
        <v>2657</v>
      </c>
      <c r="C4869" s="8">
        <f>DATE(2012,12,31)-442</f>
        <v>40832</v>
      </c>
      <c r="D4869" s="8" t="str">
        <f t="shared" si="91"/>
        <v>2011-10 (октябрь 2011)</v>
      </c>
      <c r="E4869" s="9" t="s">
        <v>30</v>
      </c>
      <c r="F4869" s="7">
        <v>30</v>
      </c>
      <c r="G4869" s="7">
        <v>8316.76</v>
      </c>
      <c r="H4869" s="7">
        <v>0.05</v>
      </c>
      <c r="I4869" s="9" t="s">
        <v>31</v>
      </c>
      <c r="J4869" s="10">
        <v>2108.8000000000002</v>
      </c>
      <c r="K4869" s="11">
        <v>279.81</v>
      </c>
      <c r="L4869" s="11">
        <v>23.19</v>
      </c>
      <c r="M4869" s="9" t="s">
        <v>1789</v>
      </c>
      <c r="N4869" s="6" t="s">
        <v>672</v>
      </c>
      <c r="O4869" s="6" t="s">
        <v>673</v>
      </c>
      <c r="P4869" s="9" t="s">
        <v>60</v>
      </c>
      <c r="Q4869" s="9" t="s">
        <v>26</v>
      </c>
      <c r="R4869" s="9" t="s">
        <v>34</v>
      </c>
      <c r="S4869" s="7" t="s">
        <v>494</v>
      </c>
      <c r="T4869" s="9" t="s">
        <v>36</v>
      </c>
      <c r="U4869" s="7">
        <v>0.59</v>
      </c>
      <c r="V4869" s="12">
        <f>C4869+2</f>
        <v>40834</v>
      </c>
      <c r="W4869">
        <f>IF(D4869=' Pivot Tables'!$A$4,1,0)</f>
        <v>0</v>
      </c>
      <c r="X4869">
        <f>IF(AND(LEFT(D4869,4)+1=LEFT(' Pivot Tables'!$A$4,4)+0,RIGHT(LEFT(D4869,7),2)=RIGHT(LEFT(' Pivot Tables'!$A$4,7),2)),1,0)</f>
        <v>0</v>
      </c>
      <c r="Y4869" s="6">
        <f>1/COUNTIF(Таблица1[Order ID],Таблица1[[#This Row],[Order ID]])</f>
        <v>0.5</v>
      </c>
      <c r="Z4869" s="9">
        <f>1/COUNTIFS(Таблица1[Customer Name],Таблица1[[#This Row],[Customer Name]],Таблица1[Order-Year-Month],Таблица1[[#This Row],[Order-Year-Month]])</f>
        <v>0.5</v>
      </c>
    </row>
    <row r="4870" spans="1:26" x14ac:dyDescent="0.2">
      <c r="A4870" s="6">
        <v>385</v>
      </c>
      <c r="B4870" s="7">
        <v>2657</v>
      </c>
      <c r="C4870" s="8">
        <f>DATE(2012,12,31)-442</f>
        <v>40832</v>
      </c>
      <c r="D4870" s="8" t="str">
        <f t="shared" si="91"/>
        <v>2011-10 (октябрь 2011)</v>
      </c>
      <c r="E4870" s="9" t="s">
        <v>30</v>
      </c>
      <c r="F4870" s="7">
        <v>37</v>
      </c>
      <c r="G4870" s="7">
        <v>2143.2154999999998</v>
      </c>
      <c r="H4870" s="7">
        <v>0.02</v>
      </c>
      <c r="I4870" s="9" t="s">
        <v>22</v>
      </c>
      <c r="J4870" s="10">
        <v>464.35500000000002</v>
      </c>
      <c r="K4870" s="11">
        <v>65.989999999999995</v>
      </c>
      <c r="L4870" s="11">
        <v>8.99</v>
      </c>
      <c r="M4870" s="9" t="s">
        <v>1789</v>
      </c>
      <c r="N4870" s="6" t="s">
        <v>672</v>
      </c>
      <c r="O4870" s="6" t="s">
        <v>673</v>
      </c>
      <c r="P4870" s="9" t="s">
        <v>60</v>
      </c>
      <c r="Q4870" s="9" t="s">
        <v>42</v>
      </c>
      <c r="R4870" s="9" t="s">
        <v>43</v>
      </c>
      <c r="S4870" s="7" t="s">
        <v>1843</v>
      </c>
      <c r="T4870" s="9" t="s">
        <v>39</v>
      </c>
      <c r="U4870" s="7">
        <v>0.55000000000000004</v>
      </c>
      <c r="V4870" s="12">
        <f>C4870+1</f>
        <v>40833</v>
      </c>
      <c r="W4870">
        <f>IF(D4870=' Pivot Tables'!$A$4,1,0)</f>
        <v>0</v>
      </c>
      <c r="X4870">
        <f>IF(AND(LEFT(D4870,4)+1=LEFT(' Pivot Tables'!$A$4,4)+0,RIGHT(LEFT(D4870,7),2)=RIGHT(LEFT(' Pivot Tables'!$A$4,7),2)),1,0)</f>
        <v>0</v>
      </c>
      <c r="Y4870" s="6">
        <f>1/COUNTIF(Таблица1[Order ID],Таблица1[[#This Row],[Order ID]])</f>
        <v>0.5</v>
      </c>
      <c r="Z4870" s="9">
        <f>1/COUNTIFS(Таблица1[Customer Name],Таблица1[[#This Row],[Customer Name]],Таблица1[Order-Year-Month],Таблица1[[#This Row],[Order-Year-Month]])</f>
        <v>0.5</v>
      </c>
    </row>
    <row r="4871" spans="1:26" x14ac:dyDescent="0.2">
      <c r="A4871" s="6">
        <v>389</v>
      </c>
      <c r="B4871" s="7">
        <v>2688</v>
      </c>
      <c r="C4871" s="8">
        <f>DATE(2012,12,31)-343</f>
        <v>40931</v>
      </c>
      <c r="D4871" s="8" t="str">
        <f t="shared" si="91"/>
        <v>2012-01 (январь 2012)</v>
      </c>
      <c r="E4871" s="9" t="s">
        <v>30</v>
      </c>
      <c r="F4871" s="7">
        <v>31</v>
      </c>
      <c r="G4871" s="7">
        <v>2080.0349999999999</v>
      </c>
      <c r="H4871" s="7">
        <v>0.1</v>
      </c>
      <c r="I4871" s="9" t="s">
        <v>22</v>
      </c>
      <c r="J4871" s="10">
        <v>844.90199999999993</v>
      </c>
      <c r="K4871" s="11">
        <v>85.99</v>
      </c>
      <c r="L4871" s="11">
        <v>1.25</v>
      </c>
      <c r="M4871" s="9" t="s">
        <v>1848</v>
      </c>
      <c r="N4871" s="6" t="s">
        <v>672</v>
      </c>
      <c r="O4871" s="6" t="s">
        <v>673</v>
      </c>
      <c r="P4871" s="9" t="s">
        <v>25</v>
      </c>
      <c r="Q4871" s="9" t="s">
        <v>42</v>
      </c>
      <c r="R4871" s="9" t="s">
        <v>43</v>
      </c>
      <c r="S4871" s="7" t="s">
        <v>438</v>
      </c>
      <c r="T4871" s="9" t="s">
        <v>52</v>
      </c>
      <c r="U4871" s="7">
        <v>0.39</v>
      </c>
      <c r="V4871" s="12">
        <f>C4871+1</f>
        <v>40932</v>
      </c>
      <c r="W4871">
        <f>IF(D4871=' Pivot Tables'!$A$4,1,0)</f>
        <v>0</v>
      </c>
      <c r="X4871">
        <f>IF(AND(LEFT(D4871,4)+1=LEFT(' Pivot Tables'!$A$4,4)+0,RIGHT(LEFT(D4871,7),2)=RIGHT(LEFT(' Pivot Tables'!$A$4,7),2)),1,0)</f>
        <v>0</v>
      </c>
      <c r="Y4871" s="6">
        <f>1/COUNTIF(Таблица1[Order ID],Таблица1[[#This Row],[Order ID]])</f>
        <v>0.33333333333333331</v>
      </c>
      <c r="Z4871" s="9">
        <f>1/COUNTIFS(Таблица1[Customer Name],Таблица1[[#This Row],[Customer Name]],Таблица1[Order-Year-Month],Таблица1[[#This Row],[Order-Year-Month]])</f>
        <v>0.33333333333333331</v>
      </c>
    </row>
    <row r="4872" spans="1:26" x14ac:dyDescent="0.2">
      <c r="A4872" s="6">
        <v>390</v>
      </c>
      <c r="B4872" s="7">
        <v>2688</v>
      </c>
      <c r="C4872" s="8">
        <f>DATE(2012,12,31)-343</f>
        <v>40931</v>
      </c>
      <c r="D4872" s="8" t="str">
        <f t="shared" si="91"/>
        <v>2012-01 (январь 2012)</v>
      </c>
      <c r="E4872" s="9" t="s">
        <v>30</v>
      </c>
      <c r="F4872" s="7">
        <v>7</v>
      </c>
      <c r="G4872" s="7">
        <v>145.41999999999999</v>
      </c>
      <c r="H4872" s="7">
        <v>0.09</v>
      </c>
      <c r="I4872" s="9" t="s">
        <v>22</v>
      </c>
      <c r="J4872" s="10">
        <v>-98.46</v>
      </c>
      <c r="K4872" s="11">
        <v>20.97</v>
      </c>
      <c r="L4872" s="11">
        <v>6.5</v>
      </c>
      <c r="M4872" s="9" t="s">
        <v>1848</v>
      </c>
      <c r="N4872" s="6" t="s">
        <v>672</v>
      </c>
      <c r="O4872" s="6" t="s">
        <v>673</v>
      </c>
      <c r="P4872" s="9" t="s">
        <v>25</v>
      </c>
      <c r="Q4872" s="9" t="s">
        <v>42</v>
      </c>
      <c r="R4872" s="9" t="s">
        <v>70</v>
      </c>
      <c r="S4872" s="7" t="s">
        <v>262</v>
      </c>
      <c r="T4872" s="9" t="s">
        <v>39</v>
      </c>
      <c r="U4872" s="7">
        <v>0.78</v>
      </c>
      <c r="V4872" s="12">
        <f>C4872+1</f>
        <v>40932</v>
      </c>
      <c r="W4872">
        <f>IF(D4872=' Pivot Tables'!$A$4,1,0)</f>
        <v>0</v>
      </c>
      <c r="X4872">
        <f>IF(AND(LEFT(D4872,4)+1=LEFT(' Pivot Tables'!$A$4,4)+0,RIGHT(LEFT(D4872,7),2)=RIGHT(LEFT(' Pivot Tables'!$A$4,7),2)),1,0)</f>
        <v>0</v>
      </c>
      <c r="Y4872" s="6">
        <f>1/COUNTIF(Таблица1[Order ID],Таблица1[[#This Row],[Order ID]])</f>
        <v>0.33333333333333331</v>
      </c>
      <c r="Z4872" s="9">
        <f>1/COUNTIFS(Таблица1[Customer Name],Таблица1[[#This Row],[Customer Name]],Таблица1[Order-Year-Month],Таблица1[[#This Row],[Order-Year-Month]])</f>
        <v>0.33333333333333331</v>
      </c>
    </row>
    <row r="4873" spans="1:26" x14ac:dyDescent="0.2">
      <c r="A4873" s="6">
        <v>391</v>
      </c>
      <c r="B4873" s="7">
        <v>2688</v>
      </c>
      <c r="C4873" s="8">
        <f>DATE(2012,12,31)-343</f>
        <v>40931</v>
      </c>
      <c r="D4873" s="8" t="str">
        <f t="shared" si="91"/>
        <v>2012-01 (январь 2012)</v>
      </c>
      <c r="E4873" s="9" t="s">
        <v>30</v>
      </c>
      <c r="F4873" s="7">
        <v>11</v>
      </c>
      <c r="G4873" s="7">
        <v>1559.4355</v>
      </c>
      <c r="H4873" s="7">
        <v>0.01</v>
      </c>
      <c r="I4873" s="9" t="s">
        <v>22</v>
      </c>
      <c r="J4873" s="10">
        <v>61.236000000000004</v>
      </c>
      <c r="K4873" s="11">
        <v>155.99</v>
      </c>
      <c r="L4873" s="11">
        <v>3.9</v>
      </c>
      <c r="M4873" s="9" t="s">
        <v>1848</v>
      </c>
      <c r="N4873" s="6" t="s">
        <v>672</v>
      </c>
      <c r="O4873" s="6" t="s">
        <v>673</v>
      </c>
      <c r="P4873" s="9" t="s">
        <v>25</v>
      </c>
      <c r="Q4873" s="9" t="s">
        <v>42</v>
      </c>
      <c r="R4873" s="9" t="s">
        <v>43</v>
      </c>
      <c r="S4873" s="7" t="s">
        <v>257</v>
      </c>
      <c r="T4873" s="9" t="s">
        <v>39</v>
      </c>
      <c r="U4873" s="7">
        <v>0.55000000000000004</v>
      </c>
      <c r="V4873" s="12">
        <f>C4873+2</f>
        <v>40933</v>
      </c>
      <c r="W4873">
        <f>IF(D4873=' Pivot Tables'!$A$4,1,0)</f>
        <v>0</v>
      </c>
      <c r="X4873">
        <f>IF(AND(LEFT(D4873,4)+1=LEFT(' Pivot Tables'!$A$4,4)+0,RIGHT(LEFT(D4873,7),2)=RIGHT(LEFT(' Pivot Tables'!$A$4,7),2)),1,0)</f>
        <v>0</v>
      </c>
      <c r="Y4873" s="6">
        <f>1/COUNTIF(Таблица1[Order ID],Таблица1[[#This Row],[Order ID]])</f>
        <v>0.33333333333333331</v>
      </c>
      <c r="Z4873" s="9">
        <f>1/COUNTIFS(Таблица1[Customer Name],Таблица1[[#This Row],[Customer Name]],Таблица1[Order-Year-Month],Таблица1[[#This Row],[Order-Year-Month]])</f>
        <v>0.33333333333333331</v>
      </c>
    </row>
    <row r="4874" spans="1:26" x14ac:dyDescent="0.2">
      <c r="A4874" s="6">
        <v>416</v>
      </c>
      <c r="B4874" s="7">
        <v>2816</v>
      </c>
      <c r="C4874" s="8">
        <f>DATE(2012,12,31)-1199</f>
        <v>40075</v>
      </c>
      <c r="D4874" s="8" t="str">
        <f t="shared" si="91"/>
        <v>2009-09 (сентябрь 2009)</v>
      </c>
      <c r="E4874" s="9" t="s">
        <v>30</v>
      </c>
      <c r="F4874" s="7">
        <v>35</v>
      </c>
      <c r="G4874" s="7">
        <v>787.56</v>
      </c>
      <c r="H4874" s="7">
        <v>0</v>
      </c>
      <c r="I4874" s="9" t="s">
        <v>22</v>
      </c>
      <c r="J4874" s="10">
        <v>220.04</v>
      </c>
      <c r="K4874" s="11">
        <v>21.98</v>
      </c>
      <c r="L4874" s="11">
        <v>2.87</v>
      </c>
      <c r="M4874" s="9" t="s">
        <v>1853</v>
      </c>
      <c r="N4874" s="6" t="s">
        <v>672</v>
      </c>
      <c r="O4874" s="6" t="s">
        <v>673</v>
      </c>
      <c r="P4874" s="9" t="s">
        <v>41</v>
      </c>
      <c r="Q4874" s="9" t="s">
        <v>26</v>
      </c>
      <c r="R4874" s="9" t="s">
        <v>95</v>
      </c>
      <c r="S4874" s="7" t="s">
        <v>488</v>
      </c>
      <c r="T4874" s="9" t="s">
        <v>52</v>
      </c>
      <c r="U4874" s="7">
        <v>0.55000000000000004</v>
      </c>
      <c r="V4874" s="12">
        <f>C4874+1</f>
        <v>40076</v>
      </c>
      <c r="W4874">
        <f>IF(D4874=' Pivot Tables'!$A$4,1,0)</f>
        <v>0</v>
      </c>
      <c r="X4874">
        <f>IF(AND(LEFT(D4874,4)+1=LEFT(' Pivot Tables'!$A$4,4)+0,RIGHT(LEFT(D4874,7),2)=RIGHT(LEFT(' Pivot Tables'!$A$4,7),2)),1,0)</f>
        <v>0</v>
      </c>
      <c r="Y4874" s="6">
        <f>1/COUNTIF(Таблица1[Order ID],Таблица1[[#This Row],[Order ID]])</f>
        <v>1</v>
      </c>
      <c r="Z4874" s="9">
        <f>1/COUNTIFS(Таблица1[Customer Name],Таблица1[[#This Row],[Customer Name]],Таблица1[Order-Year-Month],Таблица1[[#This Row],[Order-Year-Month]])</f>
        <v>1</v>
      </c>
    </row>
    <row r="4875" spans="1:26" x14ac:dyDescent="0.2">
      <c r="A4875" s="6">
        <v>419</v>
      </c>
      <c r="B4875" s="7">
        <v>2818</v>
      </c>
      <c r="C4875" s="8">
        <f>DATE(2012,12,31)-1116</f>
        <v>40158</v>
      </c>
      <c r="D4875" s="8" t="str">
        <f t="shared" si="91"/>
        <v>2009-12 (декабрь 2009)</v>
      </c>
      <c r="E4875" s="9" t="s">
        <v>63</v>
      </c>
      <c r="F4875" s="7">
        <v>37</v>
      </c>
      <c r="G4875" s="7">
        <v>565.91</v>
      </c>
      <c r="H4875" s="7">
        <v>0.05</v>
      </c>
      <c r="I4875" s="9" t="s">
        <v>22</v>
      </c>
      <c r="J4875" s="10">
        <v>192.39</v>
      </c>
      <c r="K4875" s="11">
        <v>15.68</v>
      </c>
      <c r="L4875" s="11">
        <v>3.73</v>
      </c>
      <c r="M4875" s="9" t="s">
        <v>1853</v>
      </c>
      <c r="N4875" s="6" t="s">
        <v>672</v>
      </c>
      <c r="O4875" s="6" t="s">
        <v>673</v>
      </c>
      <c r="P4875" s="9" t="s">
        <v>41</v>
      </c>
      <c r="Q4875" s="9" t="s">
        <v>49</v>
      </c>
      <c r="R4875" s="9" t="s">
        <v>50</v>
      </c>
      <c r="S4875" s="7" t="s">
        <v>1044</v>
      </c>
      <c r="T4875" s="9" t="s">
        <v>52</v>
      </c>
      <c r="U4875" s="7">
        <v>0.46</v>
      </c>
      <c r="V4875" s="12">
        <f>C4875+2</f>
        <v>40160</v>
      </c>
      <c r="W4875">
        <f>IF(D4875=' Pivot Tables'!$A$4,1,0)</f>
        <v>0</v>
      </c>
      <c r="X4875">
        <f>IF(AND(LEFT(D4875,4)+1=LEFT(' Pivot Tables'!$A$4,4)+0,RIGHT(LEFT(D4875,7),2)=RIGHT(LEFT(' Pivot Tables'!$A$4,7),2)),1,0)</f>
        <v>0</v>
      </c>
      <c r="Y4875" s="6">
        <f>1/COUNTIF(Таблица1[Order ID],Таблица1[[#This Row],[Order ID]])</f>
        <v>0.33333333333333331</v>
      </c>
      <c r="Z4875" s="9">
        <f>1/COUNTIFS(Таблица1[Customer Name],Таблица1[[#This Row],[Customer Name]],Таблица1[Order-Year-Month],Таблица1[[#This Row],[Order-Year-Month]])</f>
        <v>0.33333333333333331</v>
      </c>
    </row>
    <row r="4876" spans="1:26" x14ac:dyDescent="0.2">
      <c r="A4876" s="6">
        <v>420</v>
      </c>
      <c r="B4876" s="7">
        <v>2818</v>
      </c>
      <c r="C4876" s="8">
        <f>DATE(2012,12,31)-1116</f>
        <v>40158</v>
      </c>
      <c r="D4876" s="8" t="str">
        <f t="shared" si="91"/>
        <v>2009-12 (декабрь 2009)</v>
      </c>
      <c r="E4876" s="9" t="s">
        <v>63</v>
      </c>
      <c r="F4876" s="7">
        <v>39</v>
      </c>
      <c r="G4876" s="7">
        <v>593.21</v>
      </c>
      <c r="H4876" s="7">
        <v>0</v>
      </c>
      <c r="I4876" s="9" t="s">
        <v>22</v>
      </c>
      <c r="J4876" s="10">
        <v>44.71</v>
      </c>
      <c r="K4876" s="11">
        <v>14.98</v>
      </c>
      <c r="L4876" s="11">
        <v>8.99</v>
      </c>
      <c r="M4876" s="9" t="s">
        <v>1853</v>
      </c>
      <c r="N4876" s="6" t="s">
        <v>672</v>
      </c>
      <c r="O4876" s="6" t="s">
        <v>673</v>
      </c>
      <c r="P4876" s="9" t="s">
        <v>41</v>
      </c>
      <c r="Q4876" s="9" t="s">
        <v>49</v>
      </c>
      <c r="R4876" s="9" t="s">
        <v>50</v>
      </c>
      <c r="S4876" s="7" t="s">
        <v>332</v>
      </c>
      <c r="T4876" s="9" t="s">
        <v>52</v>
      </c>
      <c r="U4876" s="7">
        <v>0.39</v>
      </c>
      <c r="V4876" s="12">
        <f>C4876+1</f>
        <v>40159</v>
      </c>
      <c r="W4876">
        <f>IF(D4876=' Pivot Tables'!$A$4,1,0)</f>
        <v>0</v>
      </c>
      <c r="X4876">
        <f>IF(AND(LEFT(D4876,4)+1=LEFT(' Pivot Tables'!$A$4,4)+0,RIGHT(LEFT(D4876,7),2)=RIGHT(LEFT(' Pivot Tables'!$A$4,7),2)),1,0)</f>
        <v>0</v>
      </c>
      <c r="Y4876" s="6">
        <f>1/COUNTIF(Таблица1[Order ID],Таблица1[[#This Row],[Order ID]])</f>
        <v>0.33333333333333331</v>
      </c>
      <c r="Z4876" s="9">
        <f>1/COUNTIFS(Таблица1[Customer Name],Таблица1[[#This Row],[Customer Name]],Таблица1[Order-Year-Month],Таблица1[[#This Row],[Order-Year-Month]])</f>
        <v>0.33333333333333331</v>
      </c>
    </row>
    <row r="4877" spans="1:26" x14ac:dyDescent="0.2">
      <c r="A4877" s="6">
        <v>421</v>
      </c>
      <c r="B4877" s="7">
        <v>2818</v>
      </c>
      <c r="C4877" s="8">
        <f>DATE(2012,12,31)-1116</f>
        <v>40158</v>
      </c>
      <c r="D4877" s="8" t="str">
        <f t="shared" si="91"/>
        <v>2009-12 (декабрь 2009)</v>
      </c>
      <c r="E4877" s="9" t="s">
        <v>63</v>
      </c>
      <c r="F4877" s="7">
        <v>2</v>
      </c>
      <c r="G4877" s="7">
        <v>89.23</v>
      </c>
      <c r="H4877" s="7">
        <v>0.02</v>
      </c>
      <c r="I4877" s="9" t="s">
        <v>22</v>
      </c>
      <c r="J4877" s="10">
        <v>-42.72</v>
      </c>
      <c r="K4877" s="11">
        <v>38.76</v>
      </c>
      <c r="L4877" s="11">
        <v>13.26</v>
      </c>
      <c r="M4877" s="9" t="s">
        <v>1853</v>
      </c>
      <c r="N4877" s="6" t="s">
        <v>672</v>
      </c>
      <c r="O4877" s="6" t="s">
        <v>673</v>
      </c>
      <c r="P4877" s="9" t="s">
        <v>41</v>
      </c>
      <c r="Q4877" s="9" t="s">
        <v>26</v>
      </c>
      <c r="R4877" s="9" t="s">
        <v>61</v>
      </c>
      <c r="S4877" s="7" t="s">
        <v>320</v>
      </c>
      <c r="T4877" s="9" t="s">
        <v>39</v>
      </c>
      <c r="U4877" s="7">
        <v>0.36</v>
      </c>
      <c r="V4877" s="12">
        <f>C4877+1</f>
        <v>40159</v>
      </c>
      <c r="W4877">
        <f>IF(D4877=' Pivot Tables'!$A$4,1,0)</f>
        <v>0</v>
      </c>
      <c r="X4877">
        <f>IF(AND(LEFT(D4877,4)+1=LEFT(' Pivot Tables'!$A$4,4)+0,RIGHT(LEFT(D4877,7),2)=RIGHT(LEFT(' Pivot Tables'!$A$4,7),2)),1,0)</f>
        <v>0</v>
      </c>
      <c r="Y4877" s="6">
        <f>1/COUNTIF(Таблица1[Order ID],Таблица1[[#This Row],[Order ID]])</f>
        <v>0.33333333333333331</v>
      </c>
      <c r="Z4877" s="9">
        <f>1/COUNTIFS(Таблица1[Customer Name],Таблица1[[#This Row],[Customer Name]],Таблица1[Order-Year-Month],Таблица1[[#This Row],[Order-Year-Month]])</f>
        <v>0.33333333333333331</v>
      </c>
    </row>
    <row r="4878" spans="1:26" x14ac:dyDescent="0.2">
      <c r="A4878" s="6">
        <v>447</v>
      </c>
      <c r="B4878" s="7">
        <v>3040</v>
      </c>
      <c r="C4878" s="8">
        <f>DATE(2012,12,31)-995</f>
        <v>40279</v>
      </c>
      <c r="D4878" s="8" t="str">
        <f t="shared" si="91"/>
        <v>2010-04 (апрель 2010)</v>
      </c>
      <c r="E4878" s="9" t="s">
        <v>63</v>
      </c>
      <c r="F4878" s="7">
        <v>13</v>
      </c>
      <c r="G4878" s="7">
        <v>98.39</v>
      </c>
      <c r="H4878" s="7">
        <v>0.01</v>
      </c>
      <c r="I4878" s="9" t="s">
        <v>56</v>
      </c>
      <c r="J4878" s="10">
        <v>-31.54</v>
      </c>
      <c r="K4878" s="11">
        <v>6.48</v>
      </c>
      <c r="L4878" s="11">
        <v>6.6</v>
      </c>
      <c r="M4878" s="9" t="s">
        <v>1854</v>
      </c>
      <c r="N4878" s="6" t="s">
        <v>672</v>
      </c>
      <c r="O4878" s="6" t="s">
        <v>673</v>
      </c>
      <c r="P4878" s="9" t="s">
        <v>33</v>
      </c>
      <c r="Q4878" s="9" t="s">
        <v>26</v>
      </c>
      <c r="R4878" s="9" t="s">
        <v>61</v>
      </c>
      <c r="S4878" s="7" t="s">
        <v>346</v>
      </c>
      <c r="T4878" s="9" t="s">
        <v>39</v>
      </c>
      <c r="U4878" s="7">
        <v>0.37</v>
      </c>
      <c r="V4878" s="12">
        <f>C4878+1</f>
        <v>40280</v>
      </c>
      <c r="W4878">
        <f>IF(D4878=' Pivot Tables'!$A$4,1,0)</f>
        <v>0</v>
      </c>
      <c r="X4878">
        <f>IF(AND(LEFT(D4878,4)+1=LEFT(' Pivot Tables'!$A$4,4)+0,RIGHT(LEFT(D4878,7),2)=RIGHT(LEFT(' Pivot Tables'!$A$4,7),2)),1,0)</f>
        <v>0</v>
      </c>
      <c r="Y4878" s="6">
        <f>1/COUNTIF(Таблица1[Order ID],Таблица1[[#This Row],[Order ID]])</f>
        <v>1</v>
      </c>
      <c r="Z4878" s="9">
        <f>1/COUNTIFS(Таблица1[Customer Name],Таблица1[[#This Row],[Customer Name]],Таблица1[Order-Year-Month],Таблица1[[#This Row],[Order-Year-Month]])</f>
        <v>1</v>
      </c>
    </row>
    <row r="4879" spans="1:26" x14ac:dyDescent="0.2">
      <c r="A4879" s="6">
        <v>457</v>
      </c>
      <c r="B4879" s="7">
        <v>3108</v>
      </c>
      <c r="C4879" s="8">
        <f>DATE(2012,12,31)-880</f>
        <v>40394</v>
      </c>
      <c r="D4879" s="8" t="str">
        <f t="shared" si="91"/>
        <v>2010-08 (август 2010)</v>
      </c>
      <c r="E4879" s="9" t="s">
        <v>78</v>
      </c>
      <c r="F4879" s="7">
        <v>36</v>
      </c>
      <c r="G4879" s="7">
        <v>65.39</v>
      </c>
      <c r="H4879" s="7">
        <v>0.09</v>
      </c>
      <c r="I4879" s="9" t="s">
        <v>22</v>
      </c>
      <c r="J4879" s="10">
        <v>-0.46</v>
      </c>
      <c r="K4879" s="11">
        <v>1.82</v>
      </c>
      <c r="L4879" s="11">
        <v>1</v>
      </c>
      <c r="M4879" s="9" t="s">
        <v>109</v>
      </c>
      <c r="N4879" s="6" t="s">
        <v>672</v>
      </c>
      <c r="O4879" s="6" t="s">
        <v>673</v>
      </c>
      <c r="P4879" s="9" t="s">
        <v>41</v>
      </c>
      <c r="Q4879" s="9" t="s">
        <v>26</v>
      </c>
      <c r="R4879" s="9" t="s">
        <v>95</v>
      </c>
      <c r="S4879" s="7" t="s">
        <v>1480</v>
      </c>
      <c r="T4879" s="9" t="s">
        <v>68</v>
      </c>
      <c r="U4879" s="7">
        <v>0.4</v>
      </c>
      <c r="V4879" s="12">
        <f>C4879+1</f>
        <v>40395</v>
      </c>
      <c r="W4879">
        <f>IF(D4879=' Pivot Tables'!$A$4,1,0)</f>
        <v>0</v>
      </c>
      <c r="X4879">
        <f>IF(AND(LEFT(D4879,4)+1=LEFT(' Pivot Tables'!$A$4,4)+0,RIGHT(LEFT(D4879,7),2)=RIGHT(LEFT(' Pivot Tables'!$A$4,7),2)),1,0)</f>
        <v>0</v>
      </c>
      <c r="Y4879" s="6">
        <f>1/COUNTIF(Таблица1[Order ID],Таблица1[[#This Row],[Order ID]])</f>
        <v>1</v>
      </c>
      <c r="Z4879" s="9">
        <f>1/COUNTIFS(Таблица1[Customer Name],Таблица1[[#This Row],[Customer Name]],Таблица1[Order-Year-Month],Таблица1[[#This Row],[Order-Year-Month]])</f>
        <v>1</v>
      </c>
    </row>
    <row r="4880" spans="1:26" x14ac:dyDescent="0.2">
      <c r="A4880" s="6">
        <v>499</v>
      </c>
      <c r="B4880" s="7">
        <v>3459</v>
      </c>
      <c r="C4880" s="8">
        <f>DATE(2012,12,31)-1253</f>
        <v>40021</v>
      </c>
      <c r="D4880" s="8" t="str">
        <f t="shared" si="91"/>
        <v>2009-07 (июль 2009)</v>
      </c>
      <c r="E4880" s="9" t="s">
        <v>45</v>
      </c>
      <c r="F4880" s="7">
        <v>24</v>
      </c>
      <c r="G4880" s="7">
        <v>2152.4039999999995</v>
      </c>
      <c r="H4880" s="7">
        <v>0.1</v>
      </c>
      <c r="I4880" s="9" t="s">
        <v>56</v>
      </c>
      <c r="J4880" s="10">
        <v>218.87099999999998</v>
      </c>
      <c r="K4880" s="11">
        <v>110.99</v>
      </c>
      <c r="L4880" s="11">
        <v>8.99</v>
      </c>
      <c r="M4880" s="9" t="s">
        <v>1631</v>
      </c>
      <c r="N4880" s="6" t="s">
        <v>672</v>
      </c>
      <c r="O4880" s="6" t="s">
        <v>673</v>
      </c>
      <c r="P4880" s="9" t="s">
        <v>60</v>
      </c>
      <c r="Q4880" s="9" t="s">
        <v>42</v>
      </c>
      <c r="R4880" s="9" t="s">
        <v>43</v>
      </c>
      <c r="S4880" s="7" t="s">
        <v>565</v>
      </c>
      <c r="T4880" s="9" t="s">
        <v>39</v>
      </c>
      <c r="U4880" s="7">
        <v>0.56999999999999995</v>
      </c>
      <c r="V4880" s="12">
        <f>C4880+2</f>
        <v>40023</v>
      </c>
      <c r="W4880">
        <f>IF(D4880=' Pivot Tables'!$A$4,1,0)</f>
        <v>0</v>
      </c>
      <c r="X4880">
        <f>IF(AND(LEFT(D4880,4)+1=LEFT(' Pivot Tables'!$A$4,4)+0,RIGHT(LEFT(D4880,7),2)=RIGHT(LEFT(' Pivot Tables'!$A$4,7),2)),1,0)</f>
        <v>0</v>
      </c>
      <c r="Y4880" s="6">
        <f>1/COUNTIF(Таблица1[Order ID],Таблица1[[#This Row],[Order ID]])</f>
        <v>1</v>
      </c>
      <c r="Z4880" s="9">
        <f>1/COUNTIFS(Таблица1[Customer Name],Таблица1[[#This Row],[Customer Name]],Таблица1[Order-Year-Month],Таблица1[[#This Row],[Order-Year-Month]])</f>
        <v>1</v>
      </c>
    </row>
    <row r="4881" spans="1:26" x14ac:dyDescent="0.2">
      <c r="A4881" s="6">
        <v>504</v>
      </c>
      <c r="B4881" s="7">
        <v>3488</v>
      </c>
      <c r="C4881" s="8">
        <f>DATE(2012,12,31)-724</f>
        <v>40550</v>
      </c>
      <c r="D4881" s="8" t="str">
        <f t="shared" si="91"/>
        <v>2011-01 (январь 2011)</v>
      </c>
      <c r="E4881" s="9" t="s">
        <v>63</v>
      </c>
      <c r="F4881" s="7">
        <v>39</v>
      </c>
      <c r="G4881" s="7">
        <v>4669.1899999999996</v>
      </c>
      <c r="H4881" s="7">
        <v>0.06</v>
      </c>
      <c r="I4881" s="9" t="s">
        <v>31</v>
      </c>
      <c r="J4881" s="10">
        <v>-1864.08</v>
      </c>
      <c r="K4881" s="11">
        <v>122.99</v>
      </c>
      <c r="L4881" s="11">
        <v>70.2</v>
      </c>
      <c r="M4881" s="9" t="s">
        <v>1855</v>
      </c>
      <c r="N4881" s="6" t="s">
        <v>672</v>
      </c>
      <c r="O4881" s="6" t="s">
        <v>673</v>
      </c>
      <c r="P4881" s="9" t="s">
        <v>60</v>
      </c>
      <c r="Q4881" s="9" t="s">
        <v>49</v>
      </c>
      <c r="R4881" s="9" t="s">
        <v>112</v>
      </c>
      <c r="S4881" s="7" t="s">
        <v>426</v>
      </c>
      <c r="T4881" s="9" t="s">
        <v>36</v>
      </c>
      <c r="U4881" s="7">
        <v>0.74</v>
      </c>
      <c r="V4881" s="12">
        <f>C4881+3</f>
        <v>40553</v>
      </c>
      <c r="W4881">
        <f>IF(D4881=' Pivot Tables'!$A$4,1,0)</f>
        <v>0</v>
      </c>
      <c r="X4881">
        <f>IF(AND(LEFT(D4881,4)+1=LEFT(' Pivot Tables'!$A$4,4)+0,RIGHT(LEFT(D4881,7),2)=RIGHT(LEFT(' Pivot Tables'!$A$4,7),2)),1,0)</f>
        <v>0</v>
      </c>
      <c r="Y4881" s="6">
        <f>1/COUNTIF(Таблица1[Order ID],Таблица1[[#This Row],[Order ID]])</f>
        <v>0.5</v>
      </c>
      <c r="Z4881" s="9">
        <f>1/COUNTIFS(Таблица1[Customer Name],Таблица1[[#This Row],[Customer Name]],Таблица1[Order-Year-Month],Таблица1[[#This Row],[Order-Year-Month]])</f>
        <v>0.2</v>
      </c>
    </row>
    <row r="4882" spans="1:26" x14ac:dyDescent="0.2">
      <c r="A4882" s="6">
        <v>505</v>
      </c>
      <c r="B4882" s="7">
        <v>3488</v>
      </c>
      <c r="C4882" s="8">
        <f>DATE(2012,12,31)-724</f>
        <v>40550</v>
      </c>
      <c r="D4882" s="8" t="str">
        <f t="shared" si="91"/>
        <v>2011-01 (январь 2011)</v>
      </c>
      <c r="E4882" s="9" t="s">
        <v>63</v>
      </c>
      <c r="F4882" s="7">
        <v>6</v>
      </c>
      <c r="G4882" s="7">
        <v>133.4</v>
      </c>
      <c r="H4882" s="7">
        <v>0.02</v>
      </c>
      <c r="I4882" s="9" t="s">
        <v>22</v>
      </c>
      <c r="J4882" s="10">
        <v>-0.31000000000000227</v>
      </c>
      <c r="K4882" s="11">
        <v>21.98</v>
      </c>
      <c r="L4882" s="11">
        <v>2.87</v>
      </c>
      <c r="M4882" s="9" t="s">
        <v>1855</v>
      </c>
      <c r="N4882" s="6" t="s">
        <v>672</v>
      </c>
      <c r="O4882" s="6" t="s">
        <v>673</v>
      </c>
      <c r="P4882" s="9" t="s">
        <v>60</v>
      </c>
      <c r="Q4882" s="9" t="s">
        <v>26</v>
      </c>
      <c r="R4882" s="9" t="s">
        <v>95</v>
      </c>
      <c r="S4882" s="7" t="s">
        <v>488</v>
      </c>
      <c r="T4882" s="9" t="s">
        <v>52</v>
      </c>
      <c r="U4882" s="7">
        <v>0.55000000000000004</v>
      </c>
      <c r="V4882" s="12">
        <f>C4882+1</f>
        <v>40551</v>
      </c>
      <c r="W4882">
        <f>IF(D4882=' Pivot Tables'!$A$4,1,0)</f>
        <v>0</v>
      </c>
      <c r="X4882">
        <f>IF(AND(LEFT(D4882,4)+1=LEFT(' Pivot Tables'!$A$4,4)+0,RIGHT(LEFT(D4882,7),2)=RIGHT(LEFT(' Pivot Tables'!$A$4,7),2)),1,0)</f>
        <v>0</v>
      </c>
      <c r="Y4882" s="6">
        <f>1/COUNTIF(Таблица1[Order ID],Таблица1[[#This Row],[Order ID]])</f>
        <v>0.5</v>
      </c>
      <c r="Z4882" s="9">
        <f>1/COUNTIFS(Таблица1[Customer Name],Таблица1[[#This Row],[Customer Name]],Таблица1[Order-Year-Month],Таблица1[[#This Row],[Order-Year-Month]])</f>
        <v>0.2</v>
      </c>
    </row>
    <row r="4883" spans="1:26" x14ac:dyDescent="0.2">
      <c r="A4883" s="6">
        <v>506</v>
      </c>
      <c r="B4883" s="7">
        <v>3492</v>
      </c>
      <c r="C4883" s="8">
        <f>DATE(2012,12,31)-1134</f>
        <v>40140</v>
      </c>
      <c r="D4883" s="8" t="str">
        <f t="shared" si="91"/>
        <v>2009-11 (ноябрь 2009)</v>
      </c>
      <c r="E4883" s="9" t="s">
        <v>21</v>
      </c>
      <c r="F4883" s="7">
        <v>35</v>
      </c>
      <c r="G4883" s="7">
        <v>2393.63</v>
      </c>
      <c r="H4883" s="7">
        <v>0.04</v>
      </c>
      <c r="I4883" s="9" t="s">
        <v>22</v>
      </c>
      <c r="J4883" s="10">
        <v>524.875</v>
      </c>
      <c r="K4883" s="11">
        <v>67.28</v>
      </c>
      <c r="L4883" s="11">
        <v>19.989999999999998</v>
      </c>
      <c r="M4883" s="9" t="s">
        <v>347</v>
      </c>
      <c r="N4883" s="6" t="s">
        <v>672</v>
      </c>
      <c r="O4883" s="6" t="s">
        <v>673</v>
      </c>
      <c r="P4883" s="9" t="s">
        <v>41</v>
      </c>
      <c r="Q4883" s="9" t="s">
        <v>26</v>
      </c>
      <c r="R4883" s="9" t="s">
        <v>37</v>
      </c>
      <c r="S4883" s="7" t="s">
        <v>637</v>
      </c>
      <c r="T4883" s="9" t="s">
        <v>39</v>
      </c>
      <c r="U4883" s="7">
        <v>0.4</v>
      </c>
      <c r="V4883" s="12">
        <f>C4883+5</f>
        <v>40145</v>
      </c>
      <c r="W4883">
        <f>IF(D4883=' Pivot Tables'!$A$4,1,0)</f>
        <v>0</v>
      </c>
      <c r="X4883">
        <f>IF(AND(LEFT(D4883,4)+1=LEFT(' Pivot Tables'!$A$4,4)+0,RIGHT(LEFT(D4883,7),2)=RIGHT(LEFT(' Pivot Tables'!$A$4,7),2)),1,0)</f>
        <v>0</v>
      </c>
      <c r="Y4883" s="6">
        <f>1/COUNTIF(Таблица1[Order ID],Таблица1[[#This Row],[Order ID]])</f>
        <v>0.33333333333333331</v>
      </c>
      <c r="Z4883" s="9">
        <f>1/COUNTIFS(Таблица1[Customer Name],Таблица1[[#This Row],[Customer Name]],Таблица1[Order-Year-Month],Таблица1[[#This Row],[Order-Year-Month]])</f>
        <v>0.25</v>
      </c>
    </row>
    <row r="4884" spans="1:26" x14ac:dyDescent="0.2">
      <c r="A4884" s="6">
        <v>507</v>
      </c>
      <c r="B4884" s="7">
        <v>3492</v>
      </c>
      <c r="C4884" s="8">
        <f>DATE(2012,12,31)-1134</f>
        <v>40140</v>
      </c>
      <c r="D4884" s="8" t="str">
        <f t="shared" si="91"/>
        <v>2009-11 (ноябрь 2009)</v>
      </c>
      <c r="E4884" s="9" t="s">
        <v>21</v>
      </c>
      <c r="F4884" s="7">
        <v>49</v>
      </c>
      <c r="G4884" s="7">
        <v>6177.53</v>
      </c>
      <c r="H4884" s="7">
        <v>0.1</v>
      </c>
      <c r="I4884" s="9" t="s">
        <v>31</v>
      </c>
      <c r="J4884" s="10">
        <v>-1195.1199999999999</v>
      </c>
      <c r="K4884" s="11">
        <v>130.97999999999999</v>
      </c>
      <c r="L4884" s="11">
        <v>54.74</v>
      </c>
      <c r="M4884" s="9" t="s">
        <v>347</v>
      </c>
      <c r="N4884" s="6" t="s">
        <v>672</v>
      </c>
      <c r="O4884" s="6" t="s">
        <v>673</v>
      </c>
      <c r="P4884" s="9" t="s">
        <v>41</v>
      </c>
      <c r="Q4884" s="9" t="s">
        <v>49</v>
      </c>
      <c r="R4884" s="9" t="s">
        <v>80</v>
      </c>
      <c r="S4884" s="7" t="s">
        <v>807</v>
      </c>
      <c r="T4884" s="9" t="s">
        <v>82</v>
      </c>
      <c r="U4884" s="7">
        <v>0.69</v>
      </c>
      <c r="V4884" s="12">
        <f>C4884+0</f>
        <v>40140</v>
      </c>
      <c r="W4884">
        <f>IF(D4884=' Pivot Tables'!$A$4,1,0)</f>
        <v>0</v>
      </c>
      <c r="X4884">
        <f>IF(AND(LEFT(D4884,4)+1=LEFT(' Pivot Tables'!$A$4,4)+0,RIGHT(LEFT(D4884,7),2)=RIGHT(LEFT(' Pivot Tables'!$A$4,7),2)),1,0)</f>
        <v>0</v>
      </c>
      <c r="Y4884" s="6">
        <f>1/COUNTIF(Таблица1[Order ID],Таблица1[[#This Row],[Order ID]])</f>
        <v>0.33333333333333331</v>
      </c>
      <c r="Z4884" s="9">
        <f>1/COUNTIFS(Таблица1[Customer Name],Таблица1[[#This Row],[Customer Name]],Таблица1[Order-Year-Month],Таблица1[[#This Row],[Order-Year-Month]])</f>
        <v>0.25</v>
      </c>
    </row>
    <row r="4885" spans="1:26" x14ac:dyDescent="0.2">
      <c r="A4885" s="6">
        <v>508</v>
      </c>
      <c r="B4885" s="7">
        <v>3492</v>
      </c>
      <c r="C4885" s="8">
        <f>DATE(2012,12,31)-1134</f>
        <v>40140</v>
      </c>
      <c r="D4885" s="8" t="str">
        <f t="shared" si="91"/>
        <v>2009-11 (ноябрь 2009)</v>
      </c>
      <c r="E4885" s="9" t="s">
        <v>21</v>
      </c>
      <c r="F4885" s="7">
        <v>33</v>
      </c>
      <c r="G4885" s="7">
        <v>94.6</v>
      </c>
      <c r="H4885" s="7">
        <v>0.04</v>
      </c>
      <c r="I4885" s="9" t="s">
        <v>22</v>
      </c>
      <c r="J4885" s="10">
        <v>-6.34</v>
      </c>
      <c r="K4885" s="11">
        <v>2.78</v>
      </c>
      <c r="L4885" s="11">
        <v>1.25</v>
      </c>
      <c r="M4885" s="9" t="s">
        <v>347</v>
      </c>
      <c r="N4885" s="6" t="s">
        <v>672</v>
      </c>
      <c r="O4885" s="6" t="s">
        <v>673</v>
      </c>
      <c r="P4885" s="9" t="s">
        <v>41</v>
      </c>
      <c r="Q4885" s="9" t="s">
        <v>26</v>
      </c>
      <c r="R4885" s="9" t="s">
        <v>95</v>
      </c>
      <c r="S4885" s="7" t="s">
        <v>490</v>
      </c>
      <c r="T4885" s="9" t="s">
        <v>68</v>
      </c>
      <c r="U4885" s="7">
        <v>0.59</v>
      </c>
      <c r="V4885" s="12">
        <f>C4885+0</f>
        <v>40140</v>
      </c>
      <c r="W4885">
        <f>IF(D4885=' Pivot Tables'!$A$4,1,0)</f>
        <v>0</v>
      </c>
      <c r="X4885">
        <f>IF(AND(LEFT(D4885,4)+1=LEFT(' Pivot Tables'!$A$4,4)+0,RIGHT(LEFT(D4885,7),2)=RIGHT(LEFT(' Pivot Tables'!$A$4,7),2)),1,0)</f>
        <v>0</v>
      </c>
      <c r="Y4885" s="6">
        <f>1/COUNTIF(Таблица1[Order ID],Таблица1[[#This Row],[Order ID]])</f>
        <v>0.33333333333333331</v>
      </c>
      <c r="Z4885" s="9">
        <f>1/COUNTIFS(Таблица1[Customer Name],Таблица1[[#This Row],[Customer Name]],Таблица1[Order-Year-Month],Таблица1[[#This Row],[Order-Year-Month]])</f>
        <v>0.25</v>
      </c>
    </row>
    <row r="4886" spans="1:26" x14ac:dyDescent="0.2">
      <c r="A4886" s="6">
        <v>516</v>
      </c>
      <c r="B4886" s="7">
        <v>3553</v>
      </c>
      <c r="C4886" s="8">
        <f>DATE(2012,12,31)-1324</f>
        <v>39950</v>
      </c>
      <c r="D4886" s="8" t="str">
        <f t="shared" si="91"/>
        <v>2009-05 (май 2009)</v>
      </c>
      <c r="E4886" s="9" t="s">
        <v>63</v>
      </c>
      <c r="F4886" s="7">
        <v>7</v>
      </c>
      <c r="G4886" s="7">
        <v>20.5</v>
      </c>
      <c r="H4886" s="7">
        <v>0.06</v>
      </c>
      <c r="I4886" s="9" t="s">
        <v>22</v>
      </c>
      <c r="J4886" s="10">
        <v>-4.04</v>
      </c>
      <c r="K4886" s="11">
        <v>2.94</v>
      </c>
      <c r="L4886" s="11">
        <v>0.96</v>
      </c>
      <c r="M4886" s="9" t="s">
        <v>347</v>
      </c>
      <c r="N4886" s="6" t="s">
        <v>672</v>
      </c>
      <c r="O4886" s="6" t="s">
        <v>673</v>
      </c>
      <c r="P4886" s="9" t="s">
        <v>41</v>
      </c>
      <c r="Q4886" s="9" t="s">
        <v>26</v>
      </c>
      <c r="R4886" s="9" t="s">
        <v>95</v>
      </c>
      <c r="S4886" s="7" t="s">
        <v>486</v>
      </c>
      <c r="T4886" s="9" t="s">
        <v>68</v>
      </c>
      <c r="U4886" s="7">
        <v>0.57999999999999996</v>
      </c>
      <c r="V4886" s="12">
        <f>C4886+1</f>
        <v>39951</v>
      </c>
      <c r="W4886">
        <f>IF(D4886=' Pivot Tables'!$A$4,1,0)</f>
        <v>0</v>
      </c>
      <c r="X4886">
        <f>IF(AND(LEFT(D4886,4)+1=LEFT(' Pivot Tables'!$A$4,4)+0,RIGHT(LEFT(D4886,7),2)=RIGHT(LEFT(' Pivot Tables'!$A$4,7),2)),1,0)</f>
        <v>0</v>
      </c>
      <c r="Y4886" s="6">
        <f>1/COUNTIF(Таблица1[Order ID],Таблица1[[#This Row],[Order ID]])</f>
        <v>1</v>
      </c>
      <c r="Z4886" s="9">
        <f>1/COUNTIFS(Таблица1[Customer Name],Таблица1[[#This Row],[Customer Name]],Таблица1[Order-Year-Month],Таблица1[[#This Row],[Order-Year-Month]])</f>
        <v>1</v>
      </c>
    </row>
    <row r="4887" spans="1:26" x14ac:dyDescent="0.2">
      <c r="A4887" s="6">
        <v>533</v>
      </c>
      <c r="B4887" s="7">
        <v>3622</v>
      </c>
      <c r="C4887" s="8">
        <f>DATE(2012,12,31)-401</f>
        <v>40873</v>
      </c>
      <c r="D4887" s="8" t="str">
        <f t="shared" si="91"/>
        <v>2011-11 (ноябрь 2011)</v>
      </c>
      <c r="E4887" s="9" t="s">
        <v>21</v>
      </c>
      <c r="F4887" s="7">
        <v>16</v>
      </c>
      <c r="G4887" s="7">
        <v>76.599999999999994</v>
      </c>
      <c r="H4887" s="7">
        <v>0.01</v>
      </c>
      <c r="I4887" s="9" t="s">
        <v>22</v>
      </c>
      <c r="J4887" s="10">
        <v>-48.506999999999998</v>
      </c>
      <c r="K4887" s="11">
        <v>4.24</v>
      </c>
      <c r="L4887" s="11">
        <v>5.41</v>
      </c>
      <c r="M4887" s="9" t="s">
        <v>1856</v>
      </c>
      <c r="N4887" s="6" t="s">
        <v>672</v>
      </c>
      <c r="O4887" s="6" t="s">
        <v>673</v>
      </c>
      <c r="P4887" s="9" t="s">
        <v>33</v>
      </c>
      <c r="Q4887" s="9" t="s">
        <v>26</v>
      </c>
      <c r="R4887" s="9" t="s">
        <v>37</v>
      </c>
      <c r="S4887" s="7" t="s">
        <v>873</v>
      </c>
      <c r="T4887" s="9" t="s">
        <v>39</v>
      </c>
      <c r="U4887" s="7">
        <v>0.35</v>
      </c>
      <c r="V4887" s="12">
        <f>C4887+5</f>
        <v>40878</v>
      </c>
      <c r="W4887">
        <f>IF(D4887=' Pivot Tables'!$A$4,1,0)</f>
        <v>0</v>
      </c>
      <c r="X4887">
        <f>IF(AND(LEFT(D4887,4)+1=LEFT(' Pivot Tables'!$A$4,4)+0,RIGHT(LEFT(D4887,7),2)=RIGHT(LEFT(' Pivot Tables'!$A$4,7),2)),1,0)</f>
        <v>0</v>
      </c>
      <c r="Y4887" s="6">
        <f>1/COUNTIF(Таблица1[Order ID],Таблица1[[#This Row],[Order ID]])</f>
        <v>1</v>
      </c>
      <c r="Z4887" s="9">
        <f>1/COUNTIFS(Таблица1[Customer Name],Таблица1[[#This Row],[Customer Name]],Таблица1[Order-Year-Month],Таблица1[[#This Row],[Order-Year-Month]])</f>
        <v>1</v>
      </c>
    </row>
    <row r="4888" spans="1:26" x14ac:dyDescent="0.2">
      <c r="A4888" s="6">
        <v>563</v>
      </c>
      <c r="B4888" s="7">
        <v>3810</v>
      </c>
      <c r="C4888" s="8">
        <f>DATE(2012,12,31)-106</f>
        <v>41168</v>
      </c>
      <c r="D4888" s="8" t="str">
        <f t="shared" si="91"/>
        <v>2012-09 (сентябрь 2012)</v>
      </c>
      <c r="E4888" s="9" t="s">
        <v>78</v>
      </c>
      <c r="F4888" s="7">
        <v>40</v>
      </c>
      <c r="G4888" s="7">
        <v>221.86</v>
      </c>
      <c r="H4888" s="7">
        <v>0.09</v>
      </c>
      <c r="I4888" s="9" t="s">
        <v>22</v>
      </c>
      <c r="J4888" s="10">
        <v>-1845.66</v>
      </c>
      <c r="K4888" s="11">
        <v>4.4800000000000004</v>
      </c>
      <c r="L4888" s="11">
        <v>49</v>
      </c>
      <c r="M4888" s="9" t="s">
        <v>982</v>
      </c>
      <c r="N4888" s="6" t="s">
        <v>672</v>
      </c>
      <c r="O4888" s="6" t="s">
        <v>673</v>
      </c>
      <c r="P4888" s="9" t="s">
        <v>41</v>
      </c>
      <c r="Q4888" s="9" t="s">
        <v>26</v>
      </c>
      <c r="R4888" s="9" t="s">
        <v>34</v>
      </c>
      <c r="S4888" s="7" t="s">
        <v>128</v>
      </c>
      <c r="T4888" s="9" t="s">
        <v>29</v>
      </c>
      <c r="U4888" s="7">
        <v>0.6</v>
      </c>
      <c r="V4888" s="12">
        <f>C4888+2</f>
        <v>41170</v>
      </c>
      <c r="W4888">
        <f>IF(D4888=' Pivot Tables'!$A$4,1,0)</f>
        <v>0</v>
      </c>
      <c r="X4888">
        <f>IF(AND(LEFT(D4888,4)+1=LEFT(' Pivot Tables'!$A$4,4)+0,RIGHT(LEFT(D4888,7),2)=RIGHT(LEFT(' Pivot Tables'!$A$4,7),2)),1,0)</f>
        <v>0</v>
      </c>
      <c r="Y4888" s="6">
        <f>1/COUNTIF(Таблица1[Order ID],Таблица1[[#This Row],[Order ID]])</f>
        <v>0.5</v>
      </c>
      <c r="Z4888" s="9">
        <f>1/COUNTIFS(Таблица1[Customer Name],Таблица1[[#This Row],[Customer Name]],Таблица1[Order-Year-Month],Таблица1[[#This Row],[Order-Year-Month]])</f>
        <v>0.5</v>
      </c>
    </row>
    <row r="4889" spans="1:26" x14ac:dyDescent="0.2">
      <c r="A4889" s="6">
        <v>564</v>
      </c>
      <c r="B4889" s="7">
        <v>3810</v>
      </c>
      <c r="C4889" s="8">
        <f>DATE(2012,12,31)-106</f>
        <v>41168</v>
      </c>
      <c r="D4889" s="8" t="str">
        <f t="shared" si="91"/>
        <v>2012-09 (сентябрь 2012)</v>
      </c>
      <c r="E4889" s="9" t="s">
        <v>78</v>
      </c>
      <c r="F4889" s="7">
        <v>25</v>
      </c>
      <c r="G4889" s="7">
        <v>78.260000000000005</v>
      </c>
      <c r="H4889" s="7">
        <v>0.04</v>
      </c>
      <c r="I4889" s="9" t="s">
        <v>56</v>
      </c>
      <c r="J4889" s="10">
        <v>35.090000000000003</v>
      </c>
      <c r="K4889" s="11">
        <v>2.61</v>
      </c>
      <c r="L4889" s="11">
        <v>0.5</v>
      </c>
      <c r="M4889" s="9" t="s">
        <v>982</v>
      </c>
      <c r="N4889" s="6" t="s">
        <v>672</v>
      </c>
      <c r="O4889" s="6" t="s">
        <v>673</v>
      </c>
      <c r="P4889" s="9" t="s">
        <v>41</v>
      </c>
      <c r="Q4889" s="9" t="s">
        <v>26</v>
      </c>
      <c r="R4889" s="9" t="s">
        <v>88</v>
      </c>
      <c r="S4889" s="7" t="s">
        <v>528</v>
      </c>
      <c r="T4889" s="9" t="s">
        <v>39</v>
      </c>
      <c r="U4889" s="7">
        <v>0.39</v>
      </c>
      <c r="V4889" s="12">
        <f>C4889+2</f>
        <v>41170</v>
      </c>
      <c r="W4889">
        <f>IF(D4889=' Pivot Tables'!$A$4,1,0)</f>
        <v>0</v>
      </c>
      <c r="X4889">
        <f>IF(AND(LEFT(D4889,4)+1=LEFT(' Pivot Tables'!$A$4,4)+0,RIGHT(LEFT(D4889,7),2)=RIGHT(LEFT(' Pivot Tables'!$A$4,7),2)),1,0)</f>
        <v>0</v>
      </c>
      <c r="Y4889" s="6">
        <f>1/COUNTIF(Таблица1[Order ID],Таблица1[[#This Row],[Order ID]])</f>
        <v>0.5</v>
      </c>
      <c r="Z4889" s="9">
        <f>1/COUNTIFS(Таблица1[Customer Name],Таблица1[[#This Row],[Customer Name]],Таблица1[Order-Year-Month],Таблица1[[#This Row],[Order-Year-Month]])</f>
        <v>0.5</v>
      </c>
    </row>
    <row r="4890" spans="1:26" x14ac:dyDescent="0.2">
      <c r="A4890" s="6">
        <v>635</v>
      </c>
      <c r="B4890" s="7">
        <v>4451</v>
      </c>
      <c r="C4890" s="8">
        <f>DATE(2012,12,31)-1188</f>
        <v>40086</v>
      </c>
      <c r="D4890" s="8" t="str">
        <f t="shared" si="91"/>
        <v>2009-09 (сентябрь 2009)</v>
      </c>
      <c r="E4890" s="9" t="s">
        <v>78</v>
      </c>
      <c r="F4890" s="7">
        <v>47</v>
      </c>
      <c r="G4890" s="7">
        <v>992.95</v>
      </c>
      <c r="H4890" s="7">
        <v>0.04</v>
      </c>
      <c r="I4890" s="9" t="s">
        <v>22</v>
      </c>
      <c r="J4890" s="10">
        <v>-65.209999999999994</v>
      </c>
      <c r="K4890" s="11">
        <v>21.38</v>
      </c>
      <c r="L4890" s="11">
        <v>8.99</v>
      </c>
      <c r="M4890" s="9" t="s">
        <v>982</v>
      </c>
      <c r="N4890" s="6" t="s">
        <v>672</v>
      </c>
      <c r="O4890" s="6" t="s">
        <v>673</v>
      </c>
      <c r="P4890" s="9" t="s">
        <v>41</v>
      </c>
      <c r="Q4890" s="9" t="s">
        <v>26</v>
      </c>
      <c r="R4890" s="9" t="s">
        <v>95</v>
      </c>
      <c r="S4890" s="7" t="s">
        <v>436</v>
      </c>
      <c r="T4890" s="9" t="s">
        <v>52</v>
      </c>
      <c r="U4890" s="7">
        <v>0.59</v>
      </c>
      <c r="V4890" s="12">
        <f>C4890+0</f>
        <v>40086</v>
      </c>
      <c r="W4890">
        <f>IF(D4890=' Pivot Tables'!$A$4,1,0)</f>
        <v>0</v>
      </c>
      <c r="X4890">
        <f>IF(AND(LEFT(D4890,4)+1=LEFT(' Pivot Tables'!$A$4,4)+0,RIGHT(LEFT(D4890,7),2)=RIGHT(LEFT(' Pivot Tables'!$A$4,7),2)),1,0)</f>
        <v>0</v>
      </c>
      <c r="Y4890" s="6">
        <f>1/COUNTIF(Таблица1[Order ID],Таблица1[[#This Row],[Order ID]])</f>
        <v>1</v>
      </c>
      <c r="Z4890" s="9">
        <f>1/COUNTIFS(Таблица1[Customer Name],Таблица1[[#This Row],[Customer Name]],Таблица1[Order-Year-Month],Таблица1[[#This Row],[Order-Year-Month]])</f>
        <v>1</v>
      </c>
    </row>
    <row r="4891" spans="1:26" x14ac:dyDescent="0.2">
      <c r="A4891" s="6">
        <v>642</v>
      </c>
      <c r="B4891" s="7">
        <v>4516</v>
      </c>
      <c r="C4891" s="8">
        <f>DATE(2012,12,31)-1374</f>
        <v>39900</v>
      </c>
      <c r="D4891" s="8" t="str">
        <f t="shared" si="91"/>
        <v>2009-03 (март 2009)</v>
      </c>
      <c r="E4891" s="9" t="s">
        <v>63</v>
      </c>
      <c r="F4891" s="7">
        <v>42</v>
      </c>
      <c r="G4891" s="7">
        <v>294.77999999999997</v>
      </c>
      <c r="H4891" s="7">
        <v>0.05</v>
      </c>
      <c r="I4891" s="9" t="s">
        <v>22</v>
      </c>
      <c r="J4891" s="10">
        <v>-113.45</v>
      </c>
      <c r="K4891" s="11">
        <v>6.68</v>
      </c>
      <c r="L4891" s="11">
        <v>6.93</v>
      </c>
      <c r="M4891" s="9" t="s">
        <v>1857</v>
      </c>
      <c r="N4891" s="6" t="s">
        <v>672</v>
      </c>
      <c r="O4891" s="6" t="s">
        <v>673</v>
      </c>
      <c r="P4891" s="9" t="s">
        <v>25</v>
      </c>
      <c r="Q4891" s="9" t="s">
        <v>26</v>
      </c>
      <c r="R4891" s="9" t="s">
        <v>61</v>
      </c>
      <c r="S4891" s="7" t="s">
        <v>385</v>
      </c>
      <c r="T4891" s="9" t="s">
        <v>39</v>
      </c>
      <c r="U4891" s="7">
        <v>0.37</v>
      </c>
      <c r="V4891" s="12">
        <f>C4891+1</f>
        <v>39901</v>
      </c>
      <c r="W4891">
        <f>IF(D4891=' Pivot Tables'!$A$4,1,0)</f>
        <v>0</v>
      </c>
      <c r="X4891">
        <f>IF(AND(LEFT(D4891,4)+1=LEFT(' Pivot Tables'!$A$4,4)+0,RIGHT(LEFT(D4891,7),2)=RIGHT(LEFT(' Pivot Tables'!$A$4,7),2)),1,0)</f>
        <v>0</v>
      </c>
      <c r="Y4891" s="6">
        <f>1/COUNTIF(Таблица1[Order ID],Таблица1[[#This Row],[Order ID]])</f>
        <v>1</v>
      </c>
      <c r="Z4891" s="9">
        <f>1/COUNTIFS(Таблица1[Customer Name],Таблица1[[#This Row],[Customer Name]],Таблица1[Order-Year-Month],Таблица1[[#This Row],[Order-Year-Month]])</f>
        <v>1</v>
      </c>
    </row>
    <row r="4892" spans="1:26" x14ac:dyDescent="0.2">
      <c r="A4892" s="6">
        <v>646</v>
      </c>
      <c r="B4892" s="7">
        <v>4578</v>
      </c>
      <c r="C4892" s="8">
        <f>DATE(2012,12,31)-110</f>
        <v>41164</v>
      </c>
      <c r="D4892" s="8" t="str">
        <f t="shared" si="91"/>
        <v>2012-09 (сентябрь 2012)</v>
      </c>
      <c r="E4892" s="9" t="s">
        <v>21</v>
      </c>
      <c r="F4892" s="7">
        <v>45</v>
      </c>
      <c r="G4892" s="7">
        <v>282.70999999999998</v>
      </c>
      <c r="H4892" s="7">
        <v>0.09</v>
      </c>
      <c r="I4892" s="9" t="s">
        <v>22</v>
      </c>
      <c r="J4892" s="10">
        <v>-141.44</v>
      </c>
      <c r="K4892" s="11">
        <v>6.48</v>
      </c>
      <c r="L4892" s="11">
        <v>6.74</v>
      </c>
      <c r="M4892" s="9" t="s">
        <v>347</v>
      </c>
      <c r="N4892" s="6" t="s">
        <v>672</v>
      </c>
      <c r="O4892" s="6" t="s">
        <v>673</v>
      </c>
      <c r="P4892" s="9" t="s">
        <v>41</v>
      </c>
      <c r="Q4892" s="9" t="s">
        <v>26</v>
      </c>
      <c r="R4892" s="9" t="s">
        <v>61</v>
      </c>
      <c r="S4892" s="7" t="s">
        <v>1761</v>
      </c>
      <c r="T4892" s="9" t="s">
        <v>39</v>
      </c>
      <c r="U4892" s="7">
        <v>0.37</v>
      </c>
      <c r="V4892" s="12">
        <f>C4892+5</f>
        <v>41169</v>
      </c>
      <c r="W4892">
        <f>IF(D4892=' Pivot Tables'!$A$4,1,0)</f>
        <v>0</v>
      </c>
      <c r="X4892">
        <f>IF(AND(LEFT(D4892,4)+1=LEFT(' Pivot Tables'!$A$4,4)+0,RIGHT(LEFT(D4892,7),2)=RIGHT(LEFT(' Pivot Tables'!$A$4,7),2)),1,0)</f>
        <v>0</v>
      </c>
      <c r="Y4892" s="6">
        <f>1/COUNTIF(Таблица1[Order ID],Таблица1[[#This Row],[Order ID]])</f>
        <v>0.33333333333333331</v>
      </c>
      <c r="Z4892" s="9">
        <f>1/COUNTIFS(Таблица1[Customer Name],Таблица1[[#This Row],[Customer Name]],Таблица1[Order-Year-Month],Таблица1[[#This Row],[Order-Year-Month]])</f>
        <v>0.33333333333333331</v>
      </c>
    </row>
    <row r="4893" spans="1:26" x14ac:dyDescent="0.2">
      <c r="A4893" s="6">
        <v>647</v>
      </c>
      <c r="B4893" s="7">
        <v>4578</v>
      </c>
      <c r="C4893" s="8">
        <f>DATE(2012,12,31)-110</f>
        <v>41164</v>
      </c>
      <c r="D4893" s="8" t="str">
        <f t="shared" si="91"/>
        <v>2012-09 (сентябрь 2012)</v>
      </c>
      <c r="E4893" s="9" t="s">
        <v>21</v>
      </c>
      <c r="F4893" s="7">
        <v>48</v>
      </c>
      <c r="G4893" s="7">
        <v>724.13</v>
      </c>
      <c r="H4893" s="7">
        <v>0.01</v>
      </c>
      <c r="I4893" s="9" t="s">
        <v>22</v>
      </c>
      <c r="J4893" s="10">
        <v>-250.53</v>
      </c>
      <c r="K4893" s="11">
        <v>14.81</v>
      </c>
      <c r="L4893" s="11">
        <v>13.32</v>
      </c>
      <c r="M4893" s="9" t="s">
        <v>347</v>
      </c>
      <c r="N4893" s="6" t="s">
        <v>672</v>
      </c>
      <c r="O4893" s="6" t="s">
        <v>673</v>
      </c>
      <c r="P4893" s="9" t="s">
        <v>41</v>
      </c>
      <c r="Q4893" s="9" t="s">
        <v>26</v>
      </c>
      <c r="R4893" s="9" t="s">
        <v>34</v>
      </c>
      <c r="S4893" s="7" t="s">
        <v>683</v>
      </c>
      <c r="T4893" s="9" t="s">
        <v>39</v>
      </c>
      <c r="U4893" s="7">
        <v>0.43</v>
      </c>
      <c r="V4893" s="12">
        <f>C4893+7</f>
        <v>41171</v>
      </c>
      <c r="W4893">
        <f>IF(D4893=' Pivot Tables'!$A$4,1,0)</f>
        <v>0</v>
      </c>
      <c r="X4893">
        <f>IF(AND(LEFT(D4893,4)+1=LEFT(' Pivot Tables'!$A$4,4)+0,RIGHT(LEFT(D4893,7),2)=RIGHT(LEFT(' Pivot Tables'!$A$4,7),2)),1,0)</f>
        <v>0</v>
      </c>
      <c r="Y4893" s="6">
        <f>1/COUNTIF(Таблица1[Order ID],Таблица1[[#This Row],[Order ID]])</f>
        <v>0.33333333333333331</v>
      </c>
      <c r="Z4893" s="9">
        <f>1/COUNTIFS(Таблица1[Customer Name],Таблица1[[#This Row],[Customer Name]],Таблица1[Order-Year-Month],Таблица1[[#This Row],[Order-Year-Month]])</f>
        <v>0.33333333333333331</v>
      </c>
    </row>
    <row r="4894" spans="1:26" x14ac:dyDescent="0.2">
      <c r="A4894" s="6">
        <v>648</v>
      </c>
      <c r="B4894" s="7">
        <v>4578</v>
      </c>
      <c r="C4894" s="8">
        <f>DATE(2012,12,31)-110</f>
        <v>41164</v>
      </c>
      <c r="D4894" s="8" t="str">
        <f t="shared" si="91"/>
        <v>2012-09 (сентябрь 2012)</v>
      </c>
      <c r="E4894" s="9" t="s">
        <v>21</v>
      </c>
      <c r="F4894" s="7">
        <v>15</v>
      </c>
      <c r="G4894" s="7">
        <v>294.66000000000003</v>
      </c>
      <c r="H4894" s="7">
        <v>7.0000000000000007E-2</v>
      </c>
      <c r="I4894" s="9" t="s">
        <v>22</v>
      </c>
      <c r="J4894" s="10">
        <v>86.33</v>
      </c>
      <c r="K4894" s="11">
        <v>20.239999999999998</v>
      </c>
      <c r="L4894" s="11">
        <v>6.67</v>
      </c>
      <c r="M4894" s="9" t="s">
        <v>347</v>
      </c>
      <c r="N4894" s="6" t="s">
        <v>672</v>
      </c>
      <c r="O4894" s="6" t="s">
        <v>673</v>
      </c>
      <c r="P4894" s="9" t="s">
        <v>41</v>
      </c>
      <c r="Q4894" s="9" t="s">
        <v>49</v>
      </c>
      <c r="R4894" s="9" t="s">
        <v>50</v>
      </c>
      <c r="S4894" s="7" t="s">
        <v>427</v>
      </c>
      <c r="T4894" s="9" t="s">
        <v>52</v>
      </c>
      <c r="U4894" s="7">
        <v>0.49</v>
      </c>
      <c r="V4894" s="12">
        <f>C4894+7</f>
        <v>41171</v>
      </c>
      <c r="W4894">
        <f>IF(D4894=' Pivot Tables'!$A$4,1,0)</f>
        <v>0</v>
      </c>
      <c r="X4894">
        <f>IF(AND(LEFT(D4894,4)+1=LEFT(' Pivot Tables'!$A$4,4)+0,RIGHT(LEFT(D4894,7),2)=RIGHT(LEFT(' Pivot Tables'!$A$4,7),2)),1,0)</f>
        <v>0</v>
      </c>
      <c r="Y4894" s="6">
        <f>1/COUNTIF(Таблица1[Order ID],Таблица1[[#This Row],[Order ID]])</f>
        <v>0.33333333333333331</v>
      </c>
      <c r="Z4894" s="9">
        <f>1/COUNTIFS(Таблица1[Customer Name],Таблица1[[#This Row],[Customer Name]],Таблица1[Order-Year-Month],Таблица1[[#This Row],[Order-Year-Month]])</f>
        <v>0.33333333333333331</v>
      </c>
    </row>
    <row r="4895" spans="1:26" x14ac:dyDescent="0.2">
      <c r="A4895" s="6">
        <v>655</v>
      </c>
      <c r="B4895" s="7">
        <v>4611</v>
      </c>
      <c r="C4895" s="8">
        <f>DATE(2012,12,31)-1087</f>
        <v>40187</v>
      </c>
      <c r="D4895" s="8" t="str">
        <f t="shared" si="91"/>
        <v>2010-01 (январь 2010)</v>
      </c>
      <c r="E4895" s="9" t="s">
        <v>30</v>
      </c>
      <c r="F4895" s="7">
        <v>32</v>
      </c>
      <c r="G4895" s="7">
        <v>16172.44</v>
      </c>
      <c r="H4895" s="7">
        <v>0.03</v>
      </c>
      <c r="I4895" s="9" t="s">
        <v>31</v>
      </c>
      <c r="J4895" s="10">
        <v>7176.12</v>
      </c>
      <c r="K4895" s="11">
        <v>500.98</v>
      </c>
      <c r="L4895" s="11">
        <v>28.14</v>
      </c>
      <c r="M4895" s="9" t="s">
        <v>1856</v>
      </c>
      <c r="N4895" s="6" t="s">
        <v>672</v>
      </c>
      <c r="O4895" s="6" t="s">
        <v>673</v>
      </c>
      <c r="P4895" s="9" t="s">
        <v>33</v>
      </c>
      <c r="Q4895" s="9" t="s">
        <v>42</v>
      </c>
      <c r="R4895" s="9" t="s">
        <v>210</v>
      </c>
      <c r="S4895" s="7" t="s">
        <v>1016</v>
      </c>
      <c r="T4895" s="9" t="s">
        <v>36</v>
      </c>
      <c r="U4895" s="7">
        <v>0.38</v>
      </c>
      <c r="V4895" s="12">
        <f>C4895+0</f>
        <v>40187</v>
      </c>
      <c r="W4895">
        <f>IF(D4895=' Pivot Tables'!$A$4,1,0)</f>
        <v>1</v>
      </c>
      <c r="X4895">
        <f>IF(AND(LEFT(D4895,4)+1=LEFT(' Pivot Tables'!$A$4,4)+0,RIGHT(LEFT(D4895,7),2)=RIGHT(LEFT(' Pivot Tables'!$A$4,7),2)),1,0)</f>
        <v>0</v>
      </c>
      <c r="Y4895" s="6">
        <f>1/COUNTIF(Таблица1[Order ID],Таблица1[[#This Row],[Order ID]])</f>
        <v>1</v>
      </c>
      <c r="Z4895" s="9">
        <f>1/COUNTIFS(Таблица1[Customer Name],Таблица1[[#This Row],[Customer Name]],Таблица1[Order-Year-Month],Таблица1[[#This Row],[Order-Year-Month]])</f>
        <v>1</v>
      </c>
    </row>
    <row r="4896" spans="1:26" x14ac:dyDescent="0.2">
      <c r="A4896" s="6">
        <v>731</v>
      </c>
      <c r="B4896" s="7">
        <v>5281</v>
      </c>
      <c r="C4896" s="8">
        <f>DATE(2012,12,31)-426</f>
        <v>40848</v>
      </c>
      <c r="D4896" s="8" t="str">
        <f t="shared" si="91"/>
        <v>2011-11 (ноябрь 2011)</v>
      </c>
      <c r="E4896" s="9" t="s">
        <v>30</v>
      </c>
      <c r="F4896" s="7">
        <v>36</v>
      </c>
      <c r="G4896" s="7">
        <v>4733.7</v>
      </c>
      <c r="H4896" s="7">
        <v>0</v>
      </c>
      <c r="I4896" s="9" t="s">
        <v>31</v>
      </c>
      <c r="J4896" s="10">
        <v>624.36</v>
      </c>
      <c r="K4896" s="11">
        <v>120.98</v>
      </c>
      <c r="L4896" s="11">
        <v>30</v>
      </c>
      <c r="M4896" s="9" t="s">
        <v>1858</v>
      </c>
      <c r="N4896" s="6" t="s">
        <v>672</v>
      </c>
      <c r="O4896" s="6" t="s">
        <v>673</v>
      </c>
      <c r="P4896" s="9" t="s">
        <v>33</v>
      </c>
      <c r="Q4896" s="9" t="s">
        <v>49</v>
      </c>
      <c r="R4896" s="9" t="s">
        <v>112</v>
      </c>
      <c r="S4896" s="7" t="s">
        <v>116</v>
      </c>
      <c r="T4896" s="9" t="s">
        <v>36</v>
      </c>
      <c r="U4896" s="7">
        <v>0.64</v>
      </c>
      <c r="V4896" s="12">
        <f>C4896+1</f>
        <v>40849</v>
      </c>
      <c r="W4896">
        <f>IF(D4896=' Pivot Tables'!$A$4,1,0)</f>
        <v>0</v>
      </c>
      <c r="X4896">
        <f>IF(AND(LEFT(D4896,4)+1=LEFT(' Pivot Tables'!$A$4,4)+0,RIGHT(LEFT(D4896,7),2)=RIGHT(LEFT(' Pivot Tables'!$A$4,7),2)),1,0)</f>
        <v>0</v>
      </c>
      <c r="Y4896" s="6">
        <f>1/COUNTIF(Таблица1[Order ID],Таблица1[[#This Row],[Order ID]])</f>
        <v>0.5</v>
      </c>
      <c r="Z4896" s="9">
        <f>1/COUNTIFS(Таблица1[Customer Name],Таблица1[[#This Row],[Customer Name]],Таблица1[Order-Year-Month],Таблица1[[#This Row],[Order-Year-Month]])</f>
        <v>0.5</v>
      </c>
    </row>
    <row r="4897" spans="1:26" x14ac:dyDescent="0.2">
      <c r="A4897" s="6">
        <v>732</v>
      </c>
      <c r="B4897" s="7">
        <v>5281</v>
      </c>
      <c r="C4897" s="8">
        <f>DATE(2012,12,31)-426</f>
        <v>40848</v>
      </c>
      <c r="D4897" s="8" t="str">
        <f t="shared" si="91"/>
        <v>2011-11 (ноябрь 2011)</v>
      </c>
      <c r="E4897" s="9" t="s">
        <v>30</v>
      </c>
      <c r="F4897" s="7">
        <v>14</v>
      </c>
      <c r="G4897" s="7">
        <v>2718.07</v>
      </c>
      <c r="H4897" s="7">
        <v>0.1</v>
      </c>
      <c r="I4897" s="9" t="s">
        <v>22</v>
      </c>
      <c r="J4897" s="10">
        <v>1107.53</v>
      </c>
      <c r="K4897" s="11">
        <v>209.84</v>
      </c>
      <c r="L4897" s="11">
        <v>21.21</v>
      </c>
      <c r="M4897" s="9" t="s">
        <v>1858</v>
      </c>
      <c r="N4897" s="6" t="s">
        <v>672</v>
      </c>
      <c r="O4897" s="6" t="s">
        <v>673</v>
      </c>
      <c r="P4897" s="9" t="s">
        <v>33</v>
      </c>
      <c r="Q4897" s="9" t="s">
        <v>49</v>
      </c>
      <c r="R4897" s="9" t="s">
        <v>50</v>
      </c>
      <c r="S4897" s="7" t="s">
        <v>1225</v>
      </c>
      <c r="T4897" s="9" t="s">
        <v>29</v>
      </c>
      <c r="U4897" s="7">
        <v>0.59</v>
      </c>
      <c r="V4897" s="12">
        <f>C4897+1</f>
        <v>40849</v>
      </c>
      <c r="W4897">
        <f>IF(D4897=' Pivot Tables'!$A$4,1,0)</f>
        <v>0</v>
      </c>
      <c r="X4897">
        <f>IF(AND(LEFT(D4897,4)+1=LEFT(' Pivot Tables'!$A$4,4)+0,RIGHT(LEFT(D4897,7),2)=RIGHT(LEFT(' Pivot Tables'!$A$4,7),2)),1,0)</f>
        <v>0</v>
      </c>
      <c r="Y4897" s="6">
        <f>1/COUNTIF(Таблица1[Order ID],Таблица1[[#This Row],[Order ID]])</f>
        <v>0.5</v>
      </c>
      <c r="Z4897" s="9">
        <f>1/COUNTIFS(Таблица1[Customer Name],Таблица1[[#This Row],[Customer Name]],Таблица1[Order-Year-Month],Таблица1[[#This Row],[Order-Year-Month]])</f>
        <v>0.5</v>
      </c>
    </row>
    <row r="4898" spans="1:26" x14ac:dyDescent="0.2">
      <c r="A4898" s="6">
        <v>787</v>
      </c>
      <c r="B4898" s="7">
        <v>5635</v>
      </c>
      <c r="C4898" s="8">
        <f>DATE(2012,12,31)-138</f>
        <v>41136</v>
      </c>
      <c r="D4898" s="8" t="str">
        <f t="shared" si="91"/>
        <v>2012-08 (август 2012)</v>
      </c>
      <c r="E4898" s="9" t="s">
        <v>63</v>
      </c>
      <c r="F4898" s="7">
        <v>17</v>
      </c>
      <c r="G4898" s="7">
        <v>198.78</v>
      </c>
      <c r="H4898" s="7">
        <v>0.02</v>
      </c>
      <c r="I4898" s="9" t="s">
        <v>22</v>
      </c>
      <c r="J4898" s="10">
        <v>-28.3475</v>
      </c>
      <c r="K4898" s="11">
        <v>11.5</v>
      </c>
      <c r="L4898" s="11">
        <v>7.19</v>
      </c>
      <c r="M4898" s="9" t="s">
        <v>1859</v>
      </c>
      <c r="N4898" s="6" t="s">
        <v>672</v>
      </c>
      <c r="O4898" s="6" t="s">
        <v>673</v>
      </c>
      <c r="P4898" s="9" t="s">
        <v>41</v>
      </c>
      <c r="Q4898" s="9" t="s">
        <v>26</v>
      </c>
      <c r="R4898" s="9" t="s">
        <v>37</v>
      </c>
      <c r="S4898" s="7" t="s">
        <v>398</v>
      </c>
      <c r="T4898" s="9" t="s">
        <v>39</v>
      </c>
      <c r="U4898" s="7">
        <v>0.4</v>
      </c>
      <c r="V4898" s="12">
        <f>C4898+2</f>
        <v>41138</v>
      </c>
      <c r="W4898">
        <f>IF(D4898=' Pivot Tables'!$A$4,1,0)</f>
        <v>0</v>
      </c>
      <c r="X4898">
        <f>IF(AND(LEFT(D4898,4)+1=LEFT(' Pivot Tables'!$A$4,4)+0,RIGHT(LEFT(D4898,7),2)=RIGHT(LEFT(' Pivot Tables'!$A$4,7),2)),1,0)</f>
        <v>0</v>
      </c>
      <c r="Y4898" s="6">
        <f>1/COUNTIF(Таблица1[Order ID],Таблица1[[#This Row],[Order ID]])</f>
        <v>0.5</v>
      </c>
      <c r="Z4898" s="9">
        <f>1/COUNTIFS(Таблица1[Customer Name],Таблица1[[#This Row],[Customer Name]],Таблица1[Order-Year-Month],Таблица1[[#This Row],[Order-Year-Month]])</f>
        <v>0.33333333333333331</v>
      </c>
    </row>
    <row r="4899" spans="1:26" x14ac:dyDescent="0.2">
      <c r="A4899" s="6">
        <v>788</v>
      </c>
      <c r="B4899" s="7">
        <v>5635</v>
      </c>
      <c r="C4899" s="8">
        <f>DATE(2012,12,31)-138</f>
        <v>41136</v>
      </c>
      <c r="D4899" s="8" t="str">
        <f t="shared" si="91"/>
        <v>2012-08 (август 2012)</v>
      </c>
      <c r="E4899" s="9" t="s">
        <v>63</v>
      </c>
      <c r="F4899" s="7">
        <v>50</v>
      </c>
      <c r="G4899" s="7">
        <v>281.58</v>
      </c>
      <c r="H4899" s="7">
        <v>0.09</v>
      </c>
      <c r="I4899" s="9" t="s">
        <v>22</v>
      </c>
      <c r="J4899" s="10">
        <v>-161.56</v>
      </c>
      <c r="K4899" s="11">
        <v>5.77</v>
      </c>
      <c r="L4899" s="11">
        <v>5.92</v>
      </c>
      <c r="M4899" s="9" t="s">
        <v>1859</v>
      </c>
      <c r="N4899" s="6" t="s">
        <v>672</v>
      </c>
      <c r="O4899" s="6" t="s">
        <v>673</v>
      </c>
      <c r="P4899" s="9" t="s">
        <v>41</v>
      </c>
      <c r="Q4899" s="9" t="s">
        <v>49</v>
      </c>
      <c r="R4899" s="9" t="s">
        <v>50</v>
      </c>
      <c r="S4899" s="7" t="s">
        <v>1647</v>
      </c>
      <c r="T4899" s="9" t="s">
        <v>48</v>
      </c>
      <c r="U4899" s="7">
        <v>0.55000000000000004</v>
      </c>
      <c r="V4899" s="12">
        <f>C4899+2</f>
        <v>41138</v>
      </c>
      <c r="W4899">
        <f>IF(D4899=' Pivot Tables'!$A$4,1,0)</f>
        <v>0</v>
      </c>
      <c r="X4899">
        <f>IF(AND(LEFT(D4899,4)+1=LEFT(' Pivot Tables'!$A$4,4)+0,RIGHT(LEFT(D4899,7),2)=RIGHT(LEFT(' Pivot Tables'!$A$4,7),2)),1,0)</f>
        <v>0</v>
      </c>
      <c r="Y4899" s="6">
        <f>1/COUNTIF(Таблица1[Order ID],Таблица1[[#This Row],[Order ID]])</f>
        <v>0.5</v>
      </c>
      <c r="Z4899" s="9">
        <f>1/COUNTIFS(Таблица1[Customer Name],Таблица1[[#This Row],[Customer Name]],Таблица1[Order-Year-Month],Таблица1[[#This Row],[Order-Year-Month]])</f>
        <v>0.33333333333333331</v>
      </c>
    </row>
    <row r="4900" spans="1:26" x14ac:dyDescent="0.2">
      <c r="A4900" s="6">
        <v>791</v>
      </c>
      <c r="B4900" s="7">
        <v>5696</v>
      </c>
      <c r="C4900" s="8">
        <f>DATE(2012,12,31)-608</f>
        <v>40666</v>
      </c>
      <c r="D4900" s="8" t="str">
        <f t="shared" si="91"/>
        <v>2011-05 (май 2011)</v>
      </c>
      <c r="E4900" s="9" t="s">
        <v>78</v>
      </c>
      <c r="F4900" s="7">
        <v>4</v>
      </c>
      <c r="G4900" s="7">
        <v>2206.17</v>
      </c>
      <c r="H4900" s="7">
        <v>0.02</v>
      </c>
      <c r="I4900" s="9" t="s">
        <v>22</v>
      </c>
      <c r="J4900" s="10">
        <v>251.43</v>
      </c>
      <c r="K4900" s="11">
        <v>525.98</v>
      </c>
      <c r="L4900" s="11">
        <v>19.989999999999998</v>
      </c>
      <c r="M4900" s="9" t="s">
        <v>1687</v>
      </c>
      <c r="N4900" s="6" t="s">
        <v>672</v>
      </c>
      <c r="O4900" s="6" t="s">
        <v>673</v>
      </c>
      <c r="P4900" s="9" t="s">
        <v>33</v>
      </c>
      <c r="Q4900" s="9" t="s">
        <v>26</v>
      </c>
      <c r="R4900" s="9" t="s">
        <v>37</v>
      </c>
      <c r="S4900" s="7" t="s">
        <v>1704</v>
      </c>
      <c r="T4900" s="9" t="s">
        <v>39</v>
      </c>
      <c r="U4900" s="7">
        <v>0.37</v>
      </c>
      <c r="V4900" s="12">
        <f>C4900+2</f>
        <v>40668</v>
      </c>
      <c r="W4900">
        <f>IF(D4900=' Pivot Tables'!$A$4,1,0)</f>
        <v>0</v>
      </c>
      <c r="X4900">
        <f>IF(AND(LEFT(D4900,4)+1=LEFT(' Pivot Tables'!$A$4,4)+0,RIGHT(LEFT(D4900,7),2)=RIGHT(LEFT(' Pivot Tables'!$A$4,7),2)),1,0)</f>
        <v>0</v>
      </c>
      <c r="Y4900" s="6">
        <f>1/COUNTIF(Таблица1[Order ID],Таблица1[[#This Row],[Order ID]])</f>
        <v>0.33333333333333331</v>
      </c>
      <c r="Z4900" s="9">
        <f>1/COUNTIFS(Таблица1[Customer Name],Таблица1[[#This Row],[Customer Name]],Таблица1[Order-Year-Month],Таблица1[[#This Row],[Order-Year-Month]])</f>
        <v>0.33333333333333331</v>
      </c>
    </row>
    <row r="4901" spans="1:26" x14ac:dyDescent="0.2">
      <c r="A4901" s="6">
        <v>792</v>
      </c>
      <c r="B4901" s="7">
        <v>5696</v>
      </c>
      <c r="C4901" s="8">
        <f>DATE(2012,12,31)-608</f>
        <v>40666</v>
      </c>
      <c r="D4901" s="8" t="str">
        <f t="shared" si="91"/>
        <v>2011-05 (май 2011)</v>
      </c>
      <c r="E4901" s="9" t="s">
        <v>78</v>
      </c>
      <c r="F4901" s="7">
        <v>40</v>
      </c>
      <c r="G4901" s="7">
        <v>621.12</v>
      </c>
      <c r="H4901" s="7">
        <v>0.1</v>
      </c>
      <c r="I4901" s="9" t="s">
        <v>22</v>
      </c>
      <c r="J4901" s="10">
        <v>190.5275</v>
      </c>
      <c r="K4901" s="11">
        <v>16.510000000000002</v>
      </c>
      <c r="L4901" s="11">
        <v>2.99</v>
      </c>
      <c r="M4901" s="9" t="s">
        <v>1687</v>
      </c>
      <c r="N4901" s="6" t="s">
        <v>672</v>
      </c>
      <c r="O4901" s="6" t="s">
        <v>673</v>
      </c>
      <c r="P4901" s="9" t="s">
        <v>33</v>
      </c>
      <c r="Q4901" s="9" t="s">
        <v>26</v>
      </c>
      <c r="R4901" s="9" t="s">
        <v>37</v>
      </c>
      <c r="S4901" s="7" t="s">
        <v>1860</v>
      </c>
      <c r="T4901" s="9" t="s">
        <v>39</v>
      </c>
      <c r="U4901" s="7">
        <v>0.37</v>
      </c>
      <c r="V4901" s="12">
        <f>C4901+2</f>
        <v>40668</v>
      </c>
      <c r="W4901">
        <f>IF(D4901=' Pivot Tables'!$A$4,1,0)</f>
        <v>0</v>
      </c>
      <c r="X4901">
        <f>IF(AND(LEFT(D4901,4)+1=LEFT(' Pivot Tables'!$A$4,4)+0,RIGHT(LEFT(D4901,7),2)=RIGHT(LEFT(' Pivot Tables'!$A$4,7),2)),1,0)</f>
        <v>0</v>
      </c>
      <c r="Y4901" s="6">
        <f>1/COUNTIF(Таблица1[Order ID],Таблица1[[#This Row],[Order ID]])</f>
        <v>0.33333333333333331</v>
      </c>
      <c r="Z4901" s="9">
        <f>1/COUNTIFS(Таблица1[Customer Name],Таблица1[[#This Row],[Customer Name]],Таблица1[Order-Year-Month],Таблица1[[#This Row],[Order-Year-Month]])</f>
        <v>0.33333333333333331</v>
      </c>
    </row>
    <row r="4902" spans="1:26" x14ac:dyDescent="0.2">
      <c r="A4902" s="6">
        <v>793</v>
      </c>
      <c r="B4902" s="7">
        <v>5696</v>
      </c>
      <c r="C4902" s="8">
        <f>DATE(2012,12,31)-608</f>
        <v>40666</v>
      </c>
      <c r="D4902" s="8" t="str">
        <f t="shared" si="91"/>
        <v>2011-05 (май 2011)</v>
      </c>
      <c r="E4902" s="9" t="s">
        <v>78</v>
      </c>
      <c r="F4902" s="7">
        <v>31</v>
      </c>
      <c r="G4902" s="7">
        <v>175.92</v>
      </c>
      <c r="H4902" s="7">
        <v>0.09</v>
      </c>
      <c r="I4902" s="9" t="s">
        <v>22</v>
      </c>
      <c r="J4902" s="10">
        <v>-93.41</v>
      </c>
      <c r="K4902" s="11">
        <v>5.98</v>
      </c>
      <c r="L4902" s="11">
        <v>3.85</v>
      </c>
      <c r="M4902" s="9" t="s">
        <v>1687</v>
      </c>
      <c r="N4902" s="6" t="s">
        <v>672</v>
      </c>
      <c r="O4902" s="6" t="s">
        <v>673</v>
      </c>
      <c r="P4902" s="9" t="s">
        <v>33</v>
      </c>
      <c r="Q4902" s="9" t="s">
        <v>42</v>
      </c>
      <c r="R4902" s="9" t="s">
        <v>70</v>
      </c>
      <c r="S4902" s="7" t="s">
        <v>1697</v>
      </c>
      <c r="T4902" s="9" t="s">
        <v>52</v>
      </c>
      <c r="U4902" s="7">
        <v>0.68</v>
      </c>
      <c r="V4902" s="12">
        <f>C4902+2</f>
        <v>40668</v>
      </c>
      <c r="W4902">
        <f>IF(D4902=' Pivot Tables'!$A$4,1,0)</f>
        <v>0</v>
      </c>
      <c r="X4902">
        <f>IF(AND(LEFT(D4902,4)+1=LEFT(' Pivot Tables'!$A$4,4)+0,RIGHT(LEFT(D4902,7),2)=RIGHT(LEFT(' Pivot Tables'!$A$4,7),2)),1,0)</f>
        <v>0</v>
      </c>
      <c r="Y4902" s="6">
        <f>1/COUNTIF(Таблица1[Order ID],Таблица1[[#This Row],[Order ID]])</f>
        <v>0.33333333333333331</v>
      </c>
      <c r="Z4902" s="9">
        <f>1/COUNTIFS(Таблица1[Customer Name],Таблица1[[#This Row],[Customer Name]],Таблица1[Order-Year-Month],Таблица1[[#This Row],[Order-Year-Month]])</f>
        <v>0.33333333333333331</v>
      </c>
    </row>
    <row r="4903" spans="1:26" x14ac:dyDescent="0.2">
      <c r="A4903" s="6">
        <v>820</v>
      </c>
      <c r="B4903" s="7">
        <v>5921</v>
      </c>
      <c r="C4903" s="8">
        <f>DATE(2012,12,31)-1365</f>
        <v>39909</v>
      </c>
      <c r="D4903" s="8" t="str">
        <f t="shared" si="91"/>
        <v>2009-04 (апрель 2009)</v>
      </c>
      <c r="E4903" s="9" t="s">
        <v>21</v>
      </c>
      <c r="F4903" s="7">
        <v>27</v>
      </c>
      <c r="G4903" s="7">
        <v>384.74</v>
      </c>
      <c r="H4903" s="7">
        <v>0.01</v>
      </c>
      <c r="I4903" s="9" t="s">
        <v>56</v>
      </c>
      <c r="J4903" s="10">
        <v>2.69</v>
      </c>
      <c r="K4903" s="11">
        <v>13.43</v>
      </c>
      <c r="L4903" s="11">
        <v>5.5</v>
      </c>
      <c r="M4903" s="9" t="s">
        <v>1861</v>
      </c>
      <c r="N4903" s="6" t="s">
        <v>672</v>
      </c>
      <c r="O4903" s="6" t="s">
        <v>673</v>
      </c>
      <c r="P4903" s="9" t="s">
        <v>41</v>
      </c>
      <c r="Q4903" s="9" t="s">
        <v>26</v>
      </c>
      <c r="R4903" s="9" t="s">
        <v>27</v>
      </c>
      <c r="S4903" s="7" t="s">
        <v>1066</v>
      </c>
      <c r="T4903" s="9" t="s">
        <v>39</v>
      </c>
      <c r="U4903" s="7">
        <v>0.56999999999999995</v>
      </c>
      <c r="V4903" s="12">
        <f>C4903+7</f>
        <v>39916</v>
      </c>
      <c r="W4903">
        <f>IF(D4903=' Pivot Tables'!$A$4,1,0)</f>
        <v>0</v>
      </c>
      <c r="X4903">
        <f>IF(AND(LEFT(D4903,4)+1=LEFT(' Pivot Tables'!$A$4,4)+0,RIGHT(LEFT(D4903,7),2)=RIGHT(LEFT(' Pivot Tables'!$A$4,7),2)),1,0)</f>
        <v>0</v>
      </c>
      <c r="Y4903" s="6">
        <f>1/COUNTIF(Таблица1[Order ID],Таблица1[[#This Row],[Order ID]])</f>
        <v>1</v>
      </c>
      <c r="Z4903" s="9">
        <f>1/COUNTIFS(Таблица1[Customer Name],Таблица1[[#This Row],[Customer Name]],Таблица1[Order-Year-Month],Таблица1[[#This Row],[Order-Year-Month]])</f>
        <v>1</v>
      </c>
    </row>
    <row r="4904" spans="1:26" x14ac:dyDescent="0.2">
      <c r="A4904" s="6">
        <v>868</v>
      </c>
      <c r="B4904" s="7">
        <v>6241</v>
      </c>
      <c r="C4904" s="8">
        <f>DATE(2012,12,31)-1098</f>
        <v>40176</v>
      </c>
      <c r="D4904" s="8" t="str">
        <f t="shared" si="91"/>
        <v>2009-12 (декабрь 2009)</v>
      </c>
      <c r="E4904" s="9" t="s">
        <v>21</v>
      </c>
      <c r="F4904" s="7">
        <v>24</v>
      </c>
      <c r="G4904" s="7">
        <v>133.94</v>
      </c>
      <c r="H4904" s="7">
        <v>0.08</v>
      </c>
      <c r="I4904" s="9" t="s">
        <v>56</v>
      </c>
      <c r="J4904" s="10">
        <v>45</v>
      </c>
      <c r="K4904" s="11">
        <v>5.84</v>
      </c>
      <c r="L4904" s="11">
        <v>1</v>
      </c>
      <c r="M4904" s="9" t="s">
        <v>339</v>
      </c>
      <c r="N4904" s="6" t="s">
        <v>672</v>
      </c>
      <c r="O4904" s="6" t="s">
        <v>673</v>
      </c>
      <c r="P4904" s="9" t="s">
        <v>25</v>
      </c>
      <c r="Q4904" s="9" t="s">
        <v>26</v>
      </c>
      <c r="R4904" s="9" t="s">
        <v>95</v>
      </c>
      <c r="S4904" s="7" t="s">
        <v>1144</v>
      </c>
      <c r="T4904" s="9" t="s">
        <v>68</v>
      </c>
      <c r="U4904" s="7">
        <v>0.38</v>
      </c>
      <c r="V4904" s="12">
        <f>C4904+5</f>
        <v>40181</v>
      </c>
      <c r="W4904">
        <f>IF(D4904=' Pivot Tables'!$A$4,1,0)</f>
        <v>0</v>
      </c>
      <c r="X4904">
        <f>IF(AND(LEFT(D4904,4)+1=LEFT(' Pivot Tables'!$A$4,4)+0,RIGHT(LEFT(D4904,7),2)=RIGHT(LEFT(' Pivot Tables'!$A$4,7),2)),1,0)</f>
        <v>0</v>
      </c>
      <c r="Y4904" s="6">
        <f>1/COUNTIF(Таблица1[Order ID],Таблица1[[#This Row],[Order ID]])</f>
        <v>0.5</v>
      </c>
      <c r="Z4904" s="9">
        <f>1/COUNTIFS(Таблица1[Customer Name],Таблица1[[#This Row],[Customer Name]],Таблица1[Order-Year-Month],Таблица1[[#This Row],[Order-Year-Month]])</f>
        <v>0.5</v>
      </c>
    </row>
    <row r="4905" spans="1:26" x14ac:dyDescent="0.2">
      <c r="A4905" s="6">
        <v>869</v>
      </c>
      <c r="B4905" s="7">
        <v>6241</v>
      </c>
      <c r="C4905" s="8">
        <f>DATE(2012,12,31)-1098</f>
        <v>40176</v>
      </c>
      <c r="D4905" s="8" t="str">
        <f t="shared" si="91"/>
        <v>2009-12 (декабрь 2009)</v>
      </c>
      <c r="E4905" s="9" t="s">
        <v>21</v>
      </c>
      <c r="F4905" s="7">
        <v>29</v>
      </c>
      <c r="G4905" s="7">
        <v>5433.0895</v>
      </c>
      <c r="H4905" s="7">
        <v>0</v>
      </c>
      <c r="I4905" s="9" t="s">
        <v>22</v>
      </c>
      <c r="J4905" s="10">
        <v>1365.2819999999999</v>
      </c>
      <c r="K4905" s="11">
        <v>205.99</v>
      </c>
      <c r="L4905" s="11">
        <v>8.99</v>
      </c>
      <c r="M4905" s="9" t="s">
        <v>339</v>
      </c>
      <c r="N4905" s="6" t="s">
        <v>672</v>
      </c>
      <c r="O4905" s="6" t="s">
        <v>673</v>
      </c>
      <c r="P4905" s="9" t="s">
        <v>25</v>
      </c>
      <c r="Q4905" s="9" t="s">
        <v>42</v>
      </c>
      <c r="R4905" s="9" t="s">
        <v>43</v>
      </c>
      <c r="S4905" s="7" t="s">
        <v>1021</v>
      </c>
      <c r="T4905" s="9" t="s">
        <v>39</v>
      </c>
      <c r="U4905" s="7">
        <v>0.6</v>
      </c>
      <c r="V4905" s="12">
        <f>C4905+4</f>
        <v>40180</v>
      </c>
      <c r="W4905">
        <f>IF(D4905=' Pivot Tables'!$A$4,1,0)</f>
        <v>0</v>
      </c>
      <c r="X4905">
        <f>IF(AND(LEFT(D4905,4)+1=LEFT(' Pivot Tables'!$A$4,4)+0,RIGHT(LEFT(D4905,7),2)=RIGHT(LEFT(' Pivot Tables'!$A$4,7),2)),1,0)</f>
        <v>0</v>
      </c>
      <c r="Y4905" s="6">
        <f>1/COUNTIF(Таблица1[Order ID],Таблица1[[#This Row],[Order ID]])</f>
        <v>0.5</v>
      </c>
      <c r="Z4905" s="9">
        <f>1/COUNTIFS(Таблица1[Customer Name],Таблица1[[#This Row],[Customer Name]],Таблица1[Order-Year-Month],Таблица1[[#This Row],[Order-Year-Month]])</f>
        <v>0.5</v>
      </c>
    </row>
    <row r="4906" spans="1:26" x14ac:dyDescent="0.2">
      <c r="A4906" s="6">
        <v>892</v>
      </c>
      <c r="B4906" s="7">
        <v>6406</v>
      </c>
      <c r="C4906" s="8">
        <f>DATE(2012,12,31)-1235</f>
        <v>40039</v>
      </c>
      <c r="D4906" s="8" t="str">
        <f t="shared" si="91"/>
        <v>2009-08 (август 2009)</v>
      </c>
      <c r="E4906" s="9" t="s">
        <v>78</v>
      </c>
      <c r="F4906" s="7">
        <v>43</v>
      </c>
      <c r="G4906" s="7">
        <v>92.63</v>
      </c>
      <c r="H4906" s="7">
        <v>0.05</v>
      </c>
      <c r="I4906" s="9" t="s">
        <v>22</v>
      </c>
      <c r="J4906" s="10">
        <v>-70.8</v>
      </c>
      <c r="K4906" s="11">
        <v>2.08</v>
      </c>
      <c r="L4906" s="11">
        <v>2.56</v>
      </c>
      <c r="M4906" s="9" t="s">
        <v>1855</v>
      </c>
      <c r="N4906" s="6" t="s">
        <v>672</v>
      </c>
      <c r="O4906" s="6" t="s">
        <v>673</v>
      </c>
      <c r="P4906" s="9" t="s">
        <v>60</v>
      </c>
      <c r="Q4906" s="9" t="s">
        <v>26</v>
      </c>
      <c r="R4906" s="9" t="s">
        <v>150</v>
      </c>
      <c r="S4906" s="7" t="s">
        <v>750</v>
      </c>
      <c r="T4906" s="9" t="s">
        <v>52</v>
      </c>
      <c r="U4906" s="7">
        <v>0.55000000000000004</v>
      </c>
      <c r="V4906" s="12">
        <f>C4906+2</f>
        <v>40041</v>
      </c>
      <c r="W4906">
        <f>IF(D4906=' Pivot Tables'!$A$4,1,0)</f>
        <v>0</v>
      </c>
      <c r="X4906">
        <f>IF(AND(LEFT(D4906,4)+1=LEFT(' Pivot Tables'!$A$4,4)+0,RIGHT(LEFT(D4906,7),2)=RIGHT(LEFT(' Pivot Tables'!$A$4,7),2)),1,0)</f>
        <v>0</v>
      </c>
      <c r="Y4906" s="6">
        <f>1/COUNTIF(Таблица1[Order ID],Таблица1[[#This Row],[Order ID]])</f>
        <v>1</v>
      </c>
      <c r="Z4906" s="9">
        <f>1/COUNTIFS(Таблица1[Customer Name],Таблица1[[#This Row],[Customer Name]],Таблица1[Order-Year-Month],Таблица1[[#This Row],[Order-Year-Month]])</f>
        <v>1</v>
      </c>
    </row>
    <row r="4907" spans="1:26" x14ac:dyDescent="0.2">
      <c r="A4907" s="6">
        <v>920</v>
      </c>
      <c r="B4907" s="7">
        <v>6625</v>
      </c>
      <c r="C4907" s="8">
        <f>DATE(2012,12,31)-869</f>
        <v>40405</v>
      </c>
      <c r="D4907" s="8" t="str">
        <f t="shared" si="91"/>
        <v>2010-08 (август 2010)</v>
      </c>
      <c r="E4907" s="9" t="s">
        <v>30</v>
      </c>
      <c r="F4907" s="7">
        <v>23</v>
      </c>
      <c r="G4907" s="7">
        <v>21062.91</v>
      </c>
      <c r="H4907" s="7">
        <v>0.01</v>
      </c>
      <c r="I4907" s="9" t="s">
        <v>31</v>
      </c>
      <c r="J4907" s="10">
        <v>5713.53</v>
      </c>
      <c r="K4907" s="11">
        <v>880.98</v>
      </c>
      <c r="L4907" s="11">
        <v>44.55</v>
      </c>
      <c r="M4907" s="9" t="s">
        <v>347</v>
      </c>
      <c r="N4907" s="6" t="s">
        <v>672</v>
      </c>
      <c r="O4907" s="6" t="s">
        <v>673</v>
      </c>
      <c r="P4907" s="9" t="s">
        <v>41</v>
      </c>
      <c r="Q4907" s="9" t="s">
        <v>49</v>
      </c>
      <c r="R4907" s="9" t="s">
        <v>80</v>
      </c>
      <c r="S4907" s="7" t="s">
        <v>301</v>
      </c>
      <c r="T4907" s="9" t="s">
        <v>82</v>
      </c>
      <c r="U4907" s="7">
        <v>0.62</v>
      </c>
      <c r="V4907" s="12">
        <f>C4907+2</f>
        <v>40407</v>
      </c>
      <c r="W4907">
        <f>IF(D4907=' Pivot Tables'!$A$4,1,0)</f>
        <v>0</v>
      </c>
      <c r="X4907">
        <f>IF(AND(LEFT(D4907,4)+1=LEFT(' Pivot Tables'!$A$4,4)+0,RIGHT(LEFT(D4907,7),2)=RIGHT(LEFT(' Pivot Tables'!$A$4,7),2)),1,0)</f>
        <v>0</v>
      </c>
      <c r="Y4907" s="6">
        <f>1/COUNTIF(Таблица1[Order ID],Таблица1[[#This Row],[Order ID]])</f>
        <v>1</v>
      </c>
      <c r="Z4907" s="9">
        <f>1/COUNTIFS(Таблица1[Customer Name],Таблица1[[#This Row],[Customer Name]],Таблица1[Order-Year-Month],Таблица1[[#This Row],[Order-Year-Month]])</f>
        <v>1</v>
      </c>
    </row>
    <row r="4908" spans="1:26" x14ac:dyDescent="0.2">
      <c r="A4908" s="6">
        <v>947</v>
      </c>
      <c r="B4908" s="7">
        <v>6854</v>
      </c>
      <c r="C4908" s="8">
        <f>DATE(2012,12,31)-1455</f>
        <v>39819</v>
      </c>
      <c r="D4908" s="8" t="str">
        <f t="shared" si="91"/>
        <v>2009-01 (январь 2009)</v>
      </c>
      <c r="E4908" s="9" t="s">
        <v>63</v>
      </c>
      <c r="F4908" s="7">
        <v>1</v>
      </c>
      <c r="G4908" s="7">
        <v>22.13</v>
      </c>
      <c r="H4908" s="7">
        <v>7.0000000000000007E-2</v>
      </c>
      <c r="I4908" s="9" t="s">
        <v>56</v>
      </c>
      <c r="J4908" s="10">
        <v>-2.3919999999999999</v>
      </c>
      <c r="K4908" s="11">
        <v>7.68</v>
      </c>
      <c r="L4908" s="11">
        <v>6.16</v>
      </c>
      <c r="M4908" s="9" t="s">
        <v>1862</v>
      </c>
      <c r="N4908" s="6" t="s">
        <v>672</v>
      </c>
      <c r="O4908" s="6" t="s">
        <v>673</v>
      </c>
      <c r="P4908" s="9" t="s">
        <v>33</v>
      </c>
      <c r="Q4908" s="9" t="s">
        <v>26</v>
      </c>
      <c r="R4908" s="9" t="s">
        <v>37</v>
      </c>
      <c r="S4908" s="7" t="s">
        <v>854</v>
      </c>
      <c r="T4908" s="9" t="s">
        <v>39</v>
      </c>
      <c r="U4908" s="7">
        <v>0.35</v>
      </c>
      <c r="V4908" s="12">
        <f>C4908+2</f>
        <v>39821</v>
      </c>
      <c r="W4908">
        <f>IF(D4908=' Pivot Tables'!$A$4,1,0)</f>
        <v>0</v>
      </c>
      <c r="X4908">
        <f>IF(AND(LEFT(D4908,4)+1=LEFT(' Pivot Tables'!$A$4,4)+0,RIGHT(LEFT(D4908,7),2)=RIGHT(LEFT(' Pivot Tables'!$A$4,7),2)),1,0)</f>
        <v>1</v>
      </c>
      <c r="Y4908" s="6">
        <f>1/COUNTIF(Таблица1[Order ID],Таблица1[[#This Row],[Order ID]])</f>
        <v>0.5</v>
      </c>
      <c r="Z4908" s="9">
        <f>1/COUNTIFS(Таблица1[Customer Name],Таблица1[[#This Row],[Customer Name]],Таблица1[Order-Year-Month],Таблица1[[#This Row],[Order-Year-Month]])</f>
        <v>0.33333333333333331</v>
      </c>
    </row>
    <row r="4909" spans="1:26" x14ac:dyDescent="0.2">
      <c r="A4909" s="6">
        <v>948</v>
      </c>
      <c r="B4909" s="7">
        <v>6854</v>
      </c>
      <c r="C4909" s="8">
        <f>DATE(2012,12,31)-1455</f>
        <v>39819</v>
      </c>
      <c r="D4909" s="8" t="str">
        <f t="shared" si="91"/>
        <v>2009-01 (январь 2009)</v>
      </c>
      <c r="E4909" s="9" t="s">
        <v>63</v>
      </c>
      <c r="F4909" s="7">
        <v>19</v>
      </c>
      <c r="G4909" s="7">
        <v>129.84</v>
      </c>
      <c r="H4909" s="7">
        <v>0.05</v>
      </c>
      <c r="I4909" s="9" t="s">
        <v>56</v>
      </c>
      <c r="J4909" s="10">
        <v>2.39</v>
      </c>
      <c r="K4909" s="11">
        <v>6.64</v>
      </c>
      <c r="L4909" s="11">
        <v>4.95</v>
      </c>
      <c r="M4909" s="9" t="s">
        <v>1862</v>
      </c>
      <c r="N4909" s="6" t="s">
        <v>672</v>
      </c>
      <c r="O4909" s="6" t="s">
        <v>673</v>
      </c>
      <c r="P4909" s="9" t="s">
        <v>33</v>
      </c>
      <c r="Q4909" s="9" t="s">
        <v>49</v>
      </c>
      <c r="R4909" s="9" t="s">
        <v>50</v>
      </c>
      <c r="S4909" s="7" t="s">
        <v>51</v>
      </c>
      <c r="T4909" s="9" t="s">
        <v>52</v>
      </c>
      <c r="U4909" s="7">
        <v>0.37</v>
      </c>
      <c r="V4909" s="12">
        <f>C4909+2</f>
        <v>39821</v>
      </c>
      <c r="W4909">
        <f>IF(D4909=' Pivot Tables'!$A$4,1,0)</f>
        <v>0</v>
      </c>
      <c r="X4909">
        <f>IF(AND(LEFT(D4909,4)+1=LEFT(' Pivot Tables'!$A$4,4)+0,RIGHT(LEFT(D4909,7),2)=RIGHT(LEFT(' Pivot Tables'!$A$4,7),2)),1,0)</f>
        <v>1</v>
      </c>
      <c r="Y4909" s="6">
        <f>1/COUNTIF(Таблица1[Order ID],Таблица1[[#This Row],[Order ID]])</f>
        <v>0.5</v>
      </c>
      <c r="Z4909" s="9">
        <f>1/COUNTIFS(Таблица1[Customer Name],Таблица1[[#This Row],[Customer Name]],Таблица1[Order-Year-Month],Таблица1[[#This Row],[Order-Year-Month]])</f>
        <v>0.33333333333333331</v>
      </c>
    </row>
    <row r="4910" spans="1:26" x14ac:dyDescent="0.2">
      <c r="A4910" s="6">
        <v>1006</v>
      </c>
      <c r="B4910" s="7">
        <v>7335</v>
      </c>
      <c r="C4910" s="8">
        <f>DATE(2012,12,31)-947</f>
        <v>40327</v>
      </c>
      <c r="D4910" s="8" t="str">
        <f t="shared" si="91"/>
        <v>2010-05 (май 2010)</v>
      </c>
      <c r="E4910" s="9" t="s">
        <v>21</v>
      </c>
      <c r="F4910" s="7">
        <v>43</v>
      </c>
      <c r="G4910" s="7">
        <v>3681.7494999999999</v>
      </c>
      <c r="H4910" s="7">
        <v>0.01</v>
      </c>
      <c r="I4910" s="9" t="s">
        <v>22</v>
      </c>
      <c r="J4910" s="10">
        <v>1196.442</v>
      </c>
      <c r="K4910" s="11">
        <v>95.99</v>
      </c>
      <c r="L4910" s="11">
        <v>4.9000000000000004</v>
      </c>
      <c r="M4910" s="9" t="s">
        <v>1863</v>
      </c>
      <c r="N4910" s="6" t="s">
        <v>672</v>
      </c>
      <c r="O4910" s="6" t="s">
        <v>673</v>
      </c>
      <c r="P4910" s="9" t="s">
        <v>41</v>
      </c>
      <c r="Q4910" s="9" t="s">
        <v>42</v>
      </c>
      <c r="R4910" s="9" t="s">
        <v>43</v>
      </c>
      <c r="S4910" s="7" t="s">
        <v>1254</v>
      </c>
      <c r="T4910" s="9" t="s">
        <v>39</v>
      </c>
      <c r="U4910" s="7">
        <v>0.56000000000000005</v>
      </c>
      <c r="V4910" s="12">
        <f>C4910+5</f>
        <v>40332</v>
      </c>
      <c r="W4910">
        <f>IF(D4910=' Pivot Tables'!$A$4,1,0)</f>
        <v>0</v>
      </c>
      <c r="X4910">
        <f>IF(AND(LEFT(D4910,4)+1=LEFT(' Pivot Tables'!$A$4,4)+0,RIGHT(LEFT(D4910,7),2)=RIGHT(LEFT(' Pivot Tables'!$A$4,7),2)),1,0)</f>
        <v>0</v>
      </c>
      <c r="Y4910" s="6">
        <f>1/COUNTIF(Таблица1[Order ID],Таблица1[[#This Row],[Order ID]])</f>
        <v>1</v>
      </c>
      <c r="Z4910" s="9">
        <f>1/COUNTIFS(Таблица1[Customer Name],Таблица1[[#This Row],[Customer Name]],Таблица1[Order-Year-Month],Таблица1[[#This Row],[Order-Year-Month]])</f>
        <v>1</v>
      </c>
    </row>
    <row r="4911" spans="1:26" x14ac:dyDescent="0.2">
      <c r="A4911" s="6">
        <v>1019</v>
      </c>
      <c r="B4911" s="7">
        <v>7457</v>
      </c>
      <c r="C4911" s="8">
        <f>DATE(2012,12,31)-823</f>
        <v>40451</v>
      </c>
      <c r="D4911" s="8" t="str">
        <f t="shared" si="91"/>
        <v>2010-09 (сентябрь 2010)</v>
      </c>
      <c r="E4911" s="9" t="s">
        <v>45</v>
      </c>
      <c r="F4911" s="7">
        <v>36</v>
      </c>
      <c r="G4911" s="7">
        <v>2300.4499999999998</v>
      </c>
      <c r="H4911" s="7">
        <v>0.02</v>
      </c>
      <c r="I4911" s="9" t="s">
        <v>22</v>
      </c>
      <c r="J4911" s="10">
        <v>624.64</v>
      </c>
      <c r="K4911" s="11">
        <v>60.98</v>
      </c>
      <c r="L4911" s="11">
        <v>19.989999999999998</v>
      </c>
      <c r="M4911" s="9" t="s">
        <v>1864</v>
      </c>
      <c r="N4911" s="6" t="s">
        <v>672</v>
      </c>
      <c r="O4911" s="6" t="s">
        <v>673</v>
      </c>
      <c r="P4911" s="9" t="s">
        <v>25</v>
      </c>
      <c r="Q4911" s="9" t="s">
        <v>26</v>
      </c>
      <c r="R4911" s="9" t="s">
        <v>76</v>
      </c>
      <c r="S4911" s="7" t="s">
        <v>769</v>
      </c>
      <c r="T4911" s="9" t="s">
        <v>39</v>
      </c>
      <c r="U4911" s="7">
        <v>0.38</v>
      </c>
      <c r="V4911" s="12">
        <f>C4911+3</f>
        <v>40454</v>
      </c>
      <c r="W4911">
        <f>IF(D4911=' Pivot Tables'!$A$4,1,0)</f>
        <v>0</v>
      </c>
      <c r="X4911">
        <f>IF(AND(LEFT(D4911,4)+1=LEFT(' Pivot Tables'!$A$4,4)+0,RIGHT(LEFT(D4911,7),2)=RIGHT(LEFT(' Pivot Tables'!$A$4,7),2)),1,0)</f>
        <v>0</v>
      </c>
      <c r="Y4911" s="6">
        <f>1/COUNTIF(Таблица1[Order ID],Таблица1[[#This Row],[Order ID]])</f>
        <v>0.5</v>
      </c>
      <c r="Z4911" s="9">
        <f>1/COUNTIFS(Таблица1[Customer Name],Таблица1[[#This Row],[Customer Name]],Таблица1[Order-Year-Month],Таблица1[[#This Row],[Order-Year-Month]])</f>
        <v>0.5</v>
      </c>
    </row>
    <row r="4912" spans="1:26" x14ac:dyDescent="0.2">
      <c r="A4912" s="6">
        <v>1020</v>
      </c>
      <c r="B4912" s="7">
        <v>7457</v>
      </c>
      <c r="C4912" s="8">
        <f>DATE(2012,12,31)-823</f>
        <v>40451</v>
      </c>
      <c r="D4912" s="8" t="str">
        <f t="shared" si="91"/>
        <v>2010-09 (сентябрь 2010)</v>
      </c>
      <c r="E4912" s="9" t="s">
        <v>45</v>
      </c>
      <c r="F4912" s="7">
        <v>46</v>
      </c>
      <c r="G4912" s="7">
        <v>548.11</v>
      </c>
      <c r="H4912" s="7">
        <v>0.04</v>
      </c>
      <c r="I4912" s="9" t="s">
        <v>22</v>
      </c>
      <c r="J4912" s="10">
        <v>124.24</v>
      </c>
      <c r="K4912" s="11">
        <v>11.55</v>
      </c>
      <c r="L4912" s="11">
        <v>2.36</v>
      </c>
      <c r="M4912" s="9" t="s">
        <v>1864</v>
      </c>
      <c r="N4912" s="6" t="s">
        <v>672</v>
      </c>
      <c r="O4912" s="6" t="s">
        <v>673</v>
      </c>
      <c r="P4912" s="9" t="s">
        <v>25</v>
      </c>
      <c r="Q4912" s="9" t="s">
        <v>26</v>
      </c>
      <c r="R4912" s="9" t="s">
        <v>95</v>
      </c>
      <c r="S4912" s="7" t="s">
        <v>990</v>
      </c>
      <c r="T4912" s="9" t="s">
        <v>68</v>
      </c>
      <c r="U4912" s="7">
        <v>0.55000000000000004</v>
      </c>
      <c r="V4912" s="12">
        <f>C4912+2</f>
        <v>40453</v>
      </c>
      <c r="W4912">
        <f>IF(D4912=' Pivot Tables'!$A$4,1,0)</f>
        <v>0</v>
      </c>
      <c r="X4912">
        <f>IF(AND(LEFT(D4912,4)+1=LEFT(' Pivot Tables'!$A$4,4)+0,RIGHT(LEFT(D4912,7),2)=RIGHT(LEFT(' Pivot Tables'!$A$4,7),2)),1,0)</f>
        <v>0</v>
      </c>
      <c r="Y4912" s="6">
        <f>1/COUNTIF(Таблица1[Order ID],Таблица1[[#This Row],[Order ID]])</f>
        <v>0.5</v>
      </c>
      <c r="Z4912" s="9">
        <f>1/COUNTIFS(Таблица1[Customer Name],Таблица1[[#This Row],[Customer Name]],Таблица1[Order-Year-Month],Таблица1[[#This Row],[Order-Year-Month]])</f>
        <v>0.5</v>
      </c>
    </row>
    <row r="4913" spans="1:26" x14ac:dyDescent="0.2">
      <c r="A4913" s="6">
        <v>1044</v>
      </c>
      <c r="B4913" s="7">
        <v>7653</v>
      </c>
      <c r="C4913" s="8">
        <f>DATE(2012,12,31)-308</f>
        <v>40966</v>
      </c>
      <c r="D4913" s="8" t="str">
        <f t="shared" si="91"/>
        <v>2012-02 (февраль 2012)</v>
      </c>
      <c r="E4913" s="9" t="s">
        <v>63</v>
      </c>
      <c r="F4913" s="7">
        <v>32</v>
      </c>
      <c r="G4913" s="7">
        <v>1425.06</v>
      </c>
      <c r="H4913" s="7">
        <v>0.1</v>
      </c>
      <c r="I4913" s="9" t="s">
        <v>22</v>
      </c>
      <c r="J4913" s="10">
        <v>597.30999999999995</v>
      </c>
      <c r="K4913" s="11">
        <v>48.04</v>
      </c>
      <c r="L4913" s="11">
        <v>5.09</v>
      </c>
      <c r="M4913" s="9" t="s">
        <v>1865</v>
      </c>
      <c r="N4913" s="6" t="s">
        <v>672</v>
      </c>
      <c r="O4913" s="6" t="s">
        <v>673</v>
      </c>
      <c r="P4913" s="9" t="s">
        <v>33</v>
      </c>
      <c r="Q4913" s="9" t="s">
        <v>26</v>
      </c>
      <c r="R4913" s="9" t="s">
        <v>61</v>
      </c>
      <c r="S4913" s="7" t="s">
        <v>1022</v>
      </c>
      <c r="T4913" s="9" t="s">
        <v>39</v>
      </c>
      <c r="U4913" s="7">
        <v>0.37</v>
      </c>
      <c r="V4913" s="12">
        <f>C4913+3</f>
        <v>40969</v>
      </c>
      <c r="W4913">
        <f>IF(D4913=' Pivot Tables'!$A$4,1,0)</f>
        <v>0</v>
      </c>
      <c r="X4913">
        <f>IF(AND(LEFT(D4913,4)+1=LEFT(' Pivot Tables'!$A$4,4)+0,RIGHT(LEFT(D4913,7),2)=RIGHT(LEFT(' Pivot Tables'!$A$4,7),2)),1,0)</f>
        <v>0</v>
      </c>
      <c r="Y4913" s="6">
        <f>1/COUNTIF(Таблица1[Order ID],Таблица1[[#This Row],[Order ID]])</f>
        <v>1</v>
      </c>
      <c r="Z4913" s="9">
        <f>1/COUNTIFS(Таблица1[Customer Name],Таблица1[[#This Row],[Customer Name]],Таблица1[Order-Year-Month],Таблица1[[#This Row],[Order-Year-Month]])</f>
        <v>1</v>
      </c>
    </row>
    <row r="4914" spans="1:26" x14ac:dyDescent="0.2">
      <c r="A4914" s="6">
        <v>1055</v>
      </c>
      <c r="B4914" s="7">
        <v>7783</v>
      </c>
      <c r="C4914" s="8">
        <f>DATE(2012,12,31)-354</f>
        <v>40920</v>
      </c>
      <c r="D4914" s="8" t="str">
        <f t="shared" si="91"/>
        <v>2012-01 (январь 2012)</v>
      </c>
      <c r="E4914" s="9" t="s">
        <v>63</v>
      </c>
      <c r="F4914" s="7">
        <v>3</v>
      </c>
      <c r="G4914" s="7">
        <v>31.35</v>
      </c>
      <c r="H4914" s="7">
        <v>0.03</v>
      </c>
      <c r="I4914" s="9" t="s">
        <v>22</v>
      </c>
      <c r="J4914" s="10">
        <v>-14.6165</v>
      </c>
      <c r="K4914" s="11">
        <v>8.85</v>
      </c>
      <c r="L4914" s="11">
        <v>5.6</v>
      </c>
      <c r="M4914" s="9" t="s">
        <v>1866</v>
      </c>
      <c r="N4914" s="6" t="s">
        <v>672</v>
      </c>
      <c r="O4914" s="6" t="s">
        <v>673</v>
      </c>
      <c r="P4914" s="9" t="s">
        <v>41</v>
      </c>
      <c r="Q4914" s="9" t="s">
        <v>26</v>
      </c>
      <c r="R4914" s="9" t="s">
        <v>37</v>
      </c>
      <c r="S4914" s="7" t="s">
        <v>298</v>
      </c>
      <c r="T4914" s="9" t="s">
        <v>39</v>
      </c>
      <c r="U4914" s="7">
        <v>0.36</v>
      </c>
      <c r="V4914" s="12">
        <f>C4914+1</f>
        <v>40921</v>
      </c>
      <c r="W4914">
        <f>IF(D4914=' Pivot Tables'!$A$4,1,0)</f>
        <v>0</v>
      </c>
      <c r="X4914">
        <f>IF(AND(LEFT(D4914,4)+1=LEFT(' Pivot Tables'!$A$4,4)+0,RIGHT(LEFT(D4914,7),2)=RIGHT(LEFT(' Pivot Tables'!$A$4,7),2)),1,0)</f>
        <v>0</v>
      </c>
      <c r="Y4914" s="6">
        <f>1/COUNTIF(Таблица1[Order ID],Таблица1[[#This Row],[Order ID]])</f>
        <v>1</v>
      </c>
      <c r="Z4914" s="9">
        <f>1/COUNTIFS(Таблица1[Customer Name],Таблица1[[#This Row],[Customer Name]],Таблица1[Order-Year-Month],Таблица1[[#This Row],[Order-Year-Month]])</f>
        <v>1</v>
      </c>
    </row>
    <row r="4915" spans="1:26" x14ac:dyDescent="0.2">
      <c r="A4915" s="6">
        <v>1072</v>
      </c>
      <c r="B4915" s="7">
        <v>7905</v>
      </c>
      <c r="C4915" s="8">
        <f>DATE(2012,12,31)-1307</f>
        <v>39967</v>
      </c>
      <c r="D4915" s="8" t="str">
        <f t="shared" si="91"/>
        <v>2009-06 (июнь 2009)</v>
      </c>
      <c r="E4915" s="9" t="s">
        <v>21</v>
      </c>
      <c r="F4915" s="7">
        <v>46</v>
      </c>
      <c r="G4915" s="7">
        <v>11057.6</v>
      </c>
      <c r="H4915" s="7">
        <v>0.08</v>
      </c>
      <c r="I4915" s="9" t="s">
        <v>31</v>
      </c>
      <c r="J4915" s="10">
        <v>183.9</v>
      </c>
      <c r="K4915" s="11">
        <v>259.70999999999998</v>
      </c>
      <c r="L4915" s="11">
        <v>66.67</v>
      </c>
      <c r="M4915" s="9" t="s">
        <v>1867</v>
      </c>
      <c r="N4915" s="6" t="s">
        <v>672</v>
      </c>
      <c r="O4915" s="6" t="s">
        <v>673</v>
      </c>
      <c r="P4915" s="9" t="s">
        <v>25</v>
      </c>
      <c r="Q4915" s="9" t="s">
        <v>49</v>
      </c>
      <c r="R4915" s="9" t="s">
        <v>83</v>
      </c>
      <c r="S4915" s="7" t="s">
        <v>510</v>
      </c>
      <c r="T4915" s="9" t="s">
        <v>82</v>
      </c>
      <c r="U4915" s="7">
        <v>0.61</v>
      </c>
      <c r="V4915" s="12">
        <f>C4915+4</f>
        <v>39971</v>
      </c>
      <c r="W4915">
        <f>IF(D4915=' Pivot Tables'!$A$4,1,0)</f>
        <v>0</v>
      </c>
      <c r="X4915">
        <f>IF(AND(LEFT(D4915,4)+1=LEFT(' Pivot Tables'!$A$4,4)+0,RIGHT(LEFT(D4915,7),2)=RIGHT(LEFT(' Pivot Tables'!$A$4,7),2)),1,0)</f>
        <v>0</v>
      </c>
      <c r="Y4915" s="6">
        <f>1/COUNTIF(Таблица1[Order ID],Таблица1[[#This Row],[Order ID]])</f>
        <v>1</v>
      </c>
      <c r="Z4915" s="9">
        <f>1/COUNTIFS(Таблица1[Customer Name],Таблица1[[#This Row],[Customer Name]],Таблица1[Order-Year-Month],Таблица1[[#This Row],[Order-Year-Month]])</f>
        <v>1</v>
      </c>
    </row>
    <row r="4916" spans="1:26" x14ac:dyDescent="0.2">
      <c r="A4916" s="6">
        <v>1098</v>
      </c>
      <c r="B4916" s="7">
        <v>8064</v>
      </c>
      <c r="C4916" s="8">
        <f>DATE(2012,12,31)-599</f>
        <v>40675</v>
      </c>
      <c r="D4916" s="8" t="str">
        <f t="shared" si="91"/>
        <v>2011-05 (май 2011)</v>
      </c>
      <c r="E4916" s="9" t="s">
        <v>30</v>
      </c>
      <c r="F4916" s="7">
        <v>44</v>
      </c>
      <c r="G4916" s="7">
        <v>10445.950000000001</v>
      </c>
      <c r="H4916" s="7">
        <v>7.0000000000000007E-2</v>
      </c>
      <c r="I4916" s="9" t="s">
        <v>31</v>
      </c>
      <c r="J4916" s="10">
        <v>1069.6099999999999</v>
      </c>
      <c r="K4916" s="11">
        <v>243.98</v>
      </c>
      <c r="L4916" s="11">
        <v>62.94</v>
      </c>
      <c r="M4916" s="9" t="s">
        <v>1631</v>
      </c>
      <c r="N4916" s="6" t="s">
        <v>672</v>
      </c>
      <c r="O4916" s="6" t="s">
        <v>673</v>
      </c>
      <c r="P4916" s="9" t="s">
        <v>60</v>
      </c>
      <c r="Q4916" s="9" t="s">
        <v>49</v>
      </c>
      <c r="R4916" s="9" t="s">
        <v>112</v>
      </c>
      <c r="S4916" s="7" t="s">
        <v>1715</v>
      </c>
      <c r="T4916" s="9" t="s">
        <v>36</v>
      </c>
      <c r="U4916" s="7">
        <v>0.56999999999999995</v>
      </c>
      <c r="V4916" s="12">
        <f>C4916+1</f>
        <v>40676</v>
      </c>
      <c r="W4916">
        <f>IF(D4916=' Pivot Tables'!$A$4,1,0)</f>
        <v>0</v>
      </c>
      <c r="X4916">
        <f>IF(AND(LEFT(D4916,4)+1=LEFT(' Pivot Tables'!$A$4,4)+0,RIGHT(LEFT(D4916,7),2)=RIGHT(LEFT(' Pivot Tables'!$A$4,7),2)),1,0)</f>
        <v>0</v>
      </c>
      <c r="Y4916" s="6">
        <f>1/COUNTIF(Таблица1[Order ID],Таблица1[[#This Row],[Order ID]])</f>
        <v>1</v>
      </c>
      <c r="Z4916" s="9">
        <f>1/COUNTIFS(Таблица1[Customer Name],Таблица1[[#This Row],[Customer Name]],Таблица1[Order-Year-Month],Таблица1[[#This Row],[Order-Year-Month]])</f>
        <v>1</v>
      </c>
    </row>
    <row r="4917" spans="1:26" x14ac:dyDescent="0.2">
      <c r="A4917" s="6">
        <v>1105</v>
      </c>
      <c r="B4917" s="7">
        <v>8130</v>
      </c>
      <c r="C4917" s="8">
        <f>DATE(2012,12,31)-232</f>
        <v>41042</v>
      </c>
      <c r="D4917" s="8" t="str">
        <f t="shared" si="91"/>
        <v>2012-05 (май 2012)</v>
      </c>
      <c r="E4917" s="9" t="s">
        <v>78</v>
      </c>
      <c r="F4917" s="7">
        <v>15</v>
      </c>
      <c r="G4917" s="7">
        <v>66.33</v>
      </c>
      <c r="H4917" s="7">
        <v>0.03</v>
      </c>
      <c r="I4917" s="9" t="s">
        <v>22</v>
      </c>
      <c r="J4917" s="10">
        <v>-47.230499999999999</v>
      </c>
      <c r="K4917" s="11">
        <v>4.13</v>
      </c>
      <c r="L4917" s="11">
        <v>5.04</v>
      </c>
      <c r="M4917" s="9" t="s">
        <v>1868</v>
      </c>
      <c r="N4917" s="6" t="s">
        <v>672</v>
      </c>
      <c r="O4917" s="6" t="s">
        <v>673</v>
      </c>
      <c r="P4917" s="9" t="s">
        <v>33</v>
      </c>
      <c r="Q4917" s="9" t="s">
        <v>26</v>
      </c>
      <c r="R4917" s="9" t="s">
        <v>37</v>
      </c>
      <c r="S4917" s="7" t="s">
        <v>434</v>
      </c>
      <c r="T4917" s="9" t="s">
        <v>39</v>
      </c>
      <c r="U4917" s="7">
        <v>0.38</v>
      </c>
      <c r="V4917" s="12">
        <f>C4917+2</f>
        <v>41044</v>
      </c>
      <c r="W4917">
        <f>IF(D4917=' Pivot Tables'!$A$4,1,0)</f>
        <v>0</v>
      </c>
      <c r="X4917">
        <f>IF(AND(LEFT(D4917,4)+1=LEFT(' Pivot Tables'!$A$4,4)+0,RIGHT(LEFT(D4917,7),2)=RIGHT(LEFT(' Pivot Tables'!$A$4,7),2)),1,0)</f>
        <v>0</v>
      </c>
      <c r="Y4917" s="6">
        <f>1/COUNTIF(Таблица1[Order ID],Таблица1[[#This Row],[Order ID]])</f>
        <v>1</v>
      </c>
      <c r="Z4917" s="9">
        <f>1/COUNTIFS(Таблица1[Customer Name],Таблица1[[#This Row],[Customer Name]],Таблица1[Order-Year-Month],Таблица1[[#This Row],[Order-Year-Month]])</f>
        <v>0.5</v>
      </c>
    </row>
    <row r="4918" spans="1:26" x14ac:dyDescent="0.2">
      <c r="A4918" s="6">
        <v>1138</v>
      </c>
      <c r="B4918" s="7">
        <v>8294</v>
      </c>
      <c r="C4918" s="8">
        <f>DATE(2012,12,31)-194</f>
        <v>41080</v>
      </c>
      <c r="D4918" s="8" t="str">
        <f t="shared" si="91"/>
        <v>2012-06 (июнь 2012)</v>
      </c>
      <c r="E4918" s="9" t="s">
        <v>63</v>
      </c>
      <c r="F4918" s="7">
        <v>28</v>
      </c>
      <c r="G4918" s="7">
        <v>197.57399999999998</v>
      </c>
      <c r="H4918" s="7">
        <v>0.05</v>
      </c>
      <c r="I4918" s="9" t="s">
        <v>22</v>
      </c>
      <c r="J4918" s="10">
        <v>-90.837999999999994</v>
      </c>
      <c r="K4918" s="11">
        <v>7.99</v>
      </c>
      <c r="L4918" s="11">
        <v>5.03</v>
      </c>
      <c r="M4918" s="9" t="s">
        <v>1869</v>
      </c>
      <c r="N4918" s="6" t="s">
        <v>672</v>
      </c>
      <c r="O4918" s="6" t="s">
        <v>673</v>
      </c>
      <c r="P4918" s="9" t="s">
        <v>60</v>
      </c>
      <c r="Q4918" s="9" t="s">
        <v>42</v>
      </c>
      <c r="R4918" s="9" t="s">
        <v>43</v>
      </c>
      <c r="S4918" s="7" t="s">
        <v>140</v>
      </c>
      <c r="T4918" s="9" t="s">
        <v>48</v>
      </c>
      <c r="U4918" s="7">
        <v>0.6</v>
      </c>
      <c r="V4918" s="12">
        <f>C4918+1</f>
        <v>41081</v>
      </c>
      <c r="W4918">
        <f>IF(D4918=' Pivot Tables'!$A$4,1,0)</f>
        <v>0</v>
      </c>
      <c r="X4918">
        <f>IF(AND(LEFT(D4918,4)+1=LEFT(' Pivot Tables'!$A$4,4)+0,RIGHT(LEFT(D4918,7),2)=RIGHT(LEFT(' Pivot Tables'!$A$4,7),2)),1,0)</f>
        <v>0</v>
      </c>
      <c r="Y4918" s="6">
        <f>1/COUNTIF(Таблица1[Order ID],Таблица1[[#This Row],[Order ID]])</f>
        <v>1</v>
      </c>
      <c r="Z4918" s="9">
        <f>1/COUNTIFS(Таблица1[Customer Name],Таблица1[[#This Row],[Customer Name]],Таблица1[Order-Year-Month],Таблица1[[#This Row],[Order-Year-Month]])</f>
        <v>1</v>
      </c>
    </row>
    <row r="4919" spans="1:26" x14ac:dyDescent="0.2">
      <c r="A4919" s="6">
        <v>1148</v>
      </c>
      <c r="B4919" s="7">
        <v>8384</v>
      </c>
      <c r="C4919" s="8">
        <f>DATE(2012,12,31)-971</f>
        <v>40303</v>
      </c>
      <c r="D4919" s="8" t="str">
        <f t="shared" si="91"/>
        <v>2010-05 (май 2010)</v>
      </c>
      <c r="E4919" s="9" t="s">
        <v>30</v>
      </c>
      <c r="F4919" s="7">
        <v>37</v>
      </c>
      <c r="G4919" s="7">
        <v>4935.72</v>
      </c>
      <c r="H4919" s="7">
        <v>7.0000000000000007E-2</v>
      </c>
      <c r="I4919" s="9" t="s">
        <v>31</v>
      </c>
      <c r="J4919" s="10">
        <v>-698.09</v>
      </c>
      <c r="K4919" s="11">
        <v>140.97999999999999</v>
      </c>
      <c r="L4919" s="11">
        <v>36.090000000000003</v>
      </c>
      <c r="M4919" s="9" t="s">
        <v>1867</v>
      </c>
      <c r="N4919" s="6" t="s">
        <v>672</v>
      </c>
      <c r="O4919" s="6" t="s">
        <v>673</v>
      </c>
      <c r="P4919" s="9" t="s">
        <v>25</v>
      </c>
      <c r="Q4919" s="9" t="s">
        <v>49</v>
      </c>
      <c r="R4919" s="9" t="s">
        <v>80</v>
      </c>
      <c r="S4919" s="7" t="s">
        <v>349</v>
      </c>
      <c r="T4919" s="9" t="s">
        <v>82</v>
      </c>
      <c r="U4919" s="7">
        <v>0.77</v>
      </c>
      <c r="V4919" s="12">
        <f>C4919+1</f>
        <v>40304</v>
      </c>
      <c r="W4919">
        <f>IF(D4919=' Pivot Tables'!$A$4,1,0)</f>
        <v>0</v>
      </c>
      <c r="X4919">
        <f>IF(AND(LEFT(D4919,4)+1=LEFT(' Pivot Tables'!$A$4,4)+0,RIGHT(LEFT(D4919,7),2)=RIGHT(LEFT(' Pivot Tables'!$A$4,7),2)),1,0)</f>
        <v>0</v>
      </c>
      <c r="Y4919" s="6">
        <f>1/COUNTIF(Таблица1[Order ID],Таблица1[[#This Row],[Order ID]])</f>
        <v>1</v>
      </c>
      <c r="Z4919" s="9">
        <f>1/COUNTIFS(Таблица1[Customer Name],Таблица1[[#This Row],[Customer Name]],Таблица1[Order-Year-Month],Таблица1[[#This Row],[Order-Year-Month]])</f>
        <v>1</v>
      </c>
    </row>
    <row r="4920" spans="1:26" x14ac:dyDescent="0.2">
      <c r="A4920" s="6">
        <v>1175</v>
      </c>
      <c r="B4920" s="7">
        <v>8580</v>
      </c>
      <c r="C4920" s="8">
        <f>DATE(2012,12,31)-650</f>
        <v>40624</v>
      </c>
      <c r="D4920" s="8" t="str">
        <f t="shared" si="91"/>
        <v>2011-03 (март 2011)</v>
      </c>
      <c r="E4920" s="9" t="s">
        <v>30</v>
      </c>
      <c r="F4920" s="7">
        <v>12</v>
      </c>
      <c r="G4920" s="7">
        <v>151.49</v>
      </c>
      <c r="H4920" s="7">
        <v>0</v>
      </c>
      <c r="I4920" s="9" t="s">
        <v>22</v>
      </c>
      <c r="J4920" s="10">
        <v>-3.95</v>
      </c>
      <c r="K4920" s="11">
        <v>11.58</v>
      </c>
      <c r="L4920" s="11">
        <v>6.97</v>
      </c>
      <c r="M4920" s="9" t="s">
        <v>1126</v>
      </c>
      <c r="N4920" s="6" t="s">
        <v>672</v>
      </c>
      <c r="O4920" s="6" t="s">
        <v>673</v>
      </c>
      <c r="P4920" s="9" t="s">
        <v>33</v>
      </c>
      <c r="Q4920" s="9" t="s">
        <v>26</v>
      </c>
      <c r="R4920" s="9" t="s">
        <v>76</v>
      </c>
      <c r="S4920" s="7" t="s">
        <v>304</v>
      </c>
      <c r="T4920" s="9" t="s">
        <v>39</v>
      </c>
      <c r="U4920" s="7">
        <v>0.35</v>
      </c>
      <c r="V4920" s="12">
        <f>C4920+0</f>
        <v>40624</v>
      </c>
      <c r="W4920">
        <f>IF(D4920=' Pivot Tables'!$A$4,1,0)</f>
        <v>0</v>
      </c>
      <c r="X4920">
        <f>IF(AND(LEFT(D4920,4)+1=LEFT(' Pivot Tables'!$A$4,4)+0,RIGHT(LEFT(D4920,7),2)=RIGHT(LEFT(' Pivot Tables'!$A$4,7),2)),1,0)</f>
        <v>0</v>
      </c>
      <c r="Y4920" s="6">
        <f>1/COUNTIF(Таблица1[Order ID],Таблица1[[#This Row],[Order ID]])</f>
        <v>0.5</v>
      </c>
      <c r="Z4920" s="9">
        <f>1/COUNTIFS(Таблица1[Customer Name],Таблица1[[#This Row],[Customer Name]],Таблица1[Order-Year-Month],Таблица1[[#This Row],[Order-Year-Month]])</f>
        <v>0.5</v>
      </c>
    </row>
    <row r="4921" spans="1:26" x14ac:dyDescent="0.2">
      <c r="A4921" s="6">
        <v>1176</v>
      </c>
      <c r="B4921" s="7">
        <v>8580</v>
      </c>
      <c r="C4921" s="8">
        <f>DATE(2012,12,31)-650</f>
        <v>40624</v>
      </c>
      <c r="D4921" s="8" t="str">
        <f t="shared" si="91"/>
        <v>2011-03 (март 2011)</v>
      </c>
      <c r="E4921" s="9" t="s">
        <v>30</v>
      </c>
      <c r="F4921" s="7">
        <v>37</v>
      </c>
      <c r="G4921" s="7">
        <v>308.22000000000003</v>
      </c>
      <c r="H4921" s="7">
        <v>0</v>
      </c>
      <c r="I4921" s="9" t="s">
        <v>22</v>
      </c>
      <c r="J4921" s="10">
        <v>-215.57</v>
      </c>
      <c r="K4921" s="11">
        <v>7.77</v>
      </c>
      <c r="L4921" s="11">
        <v>9.23</v>
      </c>
      <c r="M4921" s="9" t="s">
        <v>1126</v>
      </c>
      <c r="N4921" s="6" t="s">
        <v>672</v>
      </c>
      <c r="O4921" s="6" t="s">
        <v>673</v>
      </c>
      <c r="P4921" s="9" t="s">
        <v>33</v>
      </c>
      <c r="Q4921" s="9" t="s">
        <v>26</v>
      </c>
      <c r="R4921" s="9" t="s">
        <v>34</v>
      </c>
      <c r="S4921" s="7" t="s">
        <v>1386</v>
      </c>
      <c r="T4921" s="9" t="s">
        <v>39</v>
      </c>
      <c r="U4921" s="7">
        <v>0.57999999999999996</v>
      </c>
      <c r="V4921" s="12">
        <f>C4921+1</f>
        <v>40625</v>
      </c>
      <c r="W4921">
        <f>IF(D4921=' Pivot Tables'!$A$4,1,0)</f>
        <v>0</v>
      </c>
      <c r="X4921">
        <f>IF(AND(LEFT(D4921,4)+1=LEFT(' Pivot Tables'!$A$4,4)+0,RIGHT(LEFT(D4921,7),2)=RIGHT(LEFT(' Pivot Tables'!$A$4,7),2)),1,0)</f>
        <v>0</v>
      </c>
      <c r="Y4921" s="6">
        <f>1/COUNTIF(Таблица1[Order ID],Таблица1[[#This Row],[Order ID]])</f>
        <v>0.5</v>
      </c>
      <c r="Z4921" s="9">
        <f>1/COUNTIFS(Таблица1[Customer Name],Таблица1[[#This Row],[Customer Name]],Таблица1[Order-Year-Month],Таблица1[[#This Row],[Order-Year-Month]])</f>
        <v>0.5</v>
      </c>
    </row>
    <row r="4922" spans="1:26" x14ac:dyDescent="0.2">
      <c r="A4922" s="6">
        <v>1182</v>
      </c>
      <c r="B4922" s="7">
        <v>8646</v>
      </c>
      <c r="C4922" s="8">
        <f>DATE(2012,12,31)-1362</f>
        <v>39912</v>
      </c>
      <c r="D4922" s="8" t="str">
        <f t="shared" si="91"/>
        <v>2009-04 (апрель 2009)</v>
      </c>
      <c r="E4922" s="9" t="s">
        <v>30</v>
      </c>
      <c r="F4922" s="7">
        <v>8</v>
      </c>
      <c r="G4922" s="7">
        <v>85.85</v>
      </c>
      <c r="H4922" s="7">
        <v>0.03</v>
      </c>
      <c r="I4922" s="9" t="s">
        <v>22</v>
      </c>
      <c r="J4922" s="10">
        <v>-327.64999999999998</v>
      </c>
      <c r="K4922" s="11">
        <v>4.4800000000000004</v>
      </c>
      <c r="L4922" s="11">
        <v>49</v>
      </c>
      <c r="M4922" s="9" t="s">
        <v>1870</v>
      </c>
      <c r="N4922" s="6" t="s">
        <v>672</v>
      </c>
      <c r="O4922" s="6" t="s">
        <v>673</v>
      </c>
      <c r="P4922" s="9" t="s">
        <v>33</v>
      </c>
      <c r="Q4922" s="9" t="s">
        <v>26</v>
      </c>
      <c r="R4922" s="9" t="s">
        <v>34</v>
      </c>
      <c r="S4922" s="7" t="s">
        <v>128</v>
      </c>
      <c r="T4922" s="9" t="s">
        <v>29</v>
      </c>
      <c r="U4922" s="7">
        <v>0.6</v>
      </c>
      <c r="V4922" s="12">
        <f>C4922+2</f>
        <v>39914</v>
      </c>
      <c r="W4922">
        <f>IF(D4922=' Pivot Tables'!$A$4,1,0)</f>
        <v>0</v>
      </c>
      <c r="X4922">
        <f>IF(AND(LEFT(D4922,4)+1=LEFT(' Pivot Tables'!$A$4,4)+0,RIGHT(LEFT(D4922,7),2)=RIGHT(LEFT(' Pivot Tables'!$A$4,7),2)),1,0)</f>
        <v>0</v>
      </c>
      <c r="Y4922" s="6">
        <f>1/COUNTIF(Таблица1[Order ID],Таблица1[[#This Row],[Order ID]])</f>
        <v>0.25</v>
      </c>
      <c r="Z4922" s="9">
        <f>1/COUNTIFS(Таблица1[Customer Name],Таблица1[[#This Row],[Customer Name]],Таблица1[Order-Year-Month],Таблица1[[#This Row],[Order-Year-Month]])</f>
        <v>0.25</v>
      </c>
    </row>
    <row r="4923" spans="1:26" x14ac:dyDescent="0.2">
      <c r="A4923" s="6">
        <v>1183</v>
      </c>
      <c r="B4923" s="7">
        <v>8646</v>
      </c>
      <c r="C4923" s="8">
        <f>DATE(2012,12,31)-1362</f>
        <v>39912</v>
      </c>
      <c r="D4923" s="8" t="str">
        <f t="shared" si="91"/>
        <v>2009-04 (апрель 2009)</v>
      </c>
      <c r="E4923" s="9" t="s">
        <v>30</v>
      </c>
      <c r="F4923" s="7">
        <v>41</v>
      </c>
      <c r="G4923" s="7">
        <v>14377.78</v>
      </c>
      <c r="H4923" s="7">
        <v>0.06</v>
      </c>
      <c r="I4923" s="9" t="s">
        <v>31</v>
      </c>
      <c r="J4923" s="10">
        <v>4161.9799999999996</v>
      </c>
      <c r="K4923" s="11">
        <v>350.99</v>
      </c>
      <c r="L4923" s="11">
        <v>39</v>
      </c>
      <c r="M4923" s="9" t="s">
        <v>1870</v>
      </c>
      <c r="N4923" s="6" t="s">
        <v>672</v>
      </c>
      <c r="O4923" s="6" t="s">
        <v>673</v>
      </c>
      <c r="P4923" s="9" t="s">
        <v>33</v>
      </c>
      <c r="Q4923" s="9" t="s">
        <v>49</v>
      </c>
      <c r="R4923" s="9" t="s">
        <v>112</v>
      </c>
      <c r="S4923" s="7" t="s">
        <v>1618</v>
      </c>
      <c r="T4923" s="9" t="s">
        <v>36</v>
      </c>
      <c r="U4923" s="7">
        <v>0.55000000000000004</v>
      </c>
      <c r="V4923" s="12">
        <f>C4923+2</f>
        <v>39914</v>
      </c>
      <c r="W4923">
        <f>IF(D4923=' Pivot Tables'!$A$4,1,0)</f>
        <v>0</v>
      </c>
      <c r="X4923">
        <f>IF(AND(LEFT(D4923,4)+1=LEFT(' Pivot Tables'!$A$4,4)+0,RIGHT(LEFT(D4923,7),2)=RIGHT(LEFT(' Pivot Tables'!$A$4,7),2)),1,0)</f>
        <v>0</v>
      </c>
      <c r="Y4923" s="6">
        <f>1/COUNTIF(Таблица1[Order ID],Таблица1[[#This Row],[Order ID]])</f>
        <v>0.25</v>
      </c>
      <c r="Z4923" s="9">
        <f>1/COUNTIFS(Таблица1[Customer Name],Таблица1[[#This Row],[Customer Name]],Таблица1[Order-Year-Month],Таблица1[[#This Row],[Order-Year-Month]])</f>
        <v>0.25</v>
      </c>
    </row>
    <row r="4924" spans="1:26" x14ac:dyDescent="0.2">
      <c r="A4924" s="6">
        <v>1184</v>
      </c>
      <c r="B4924" s="7">
        <v>8646</v>
      </c>
      <c r="C4924" s="8">
        <f>DATE(2012,12,31)-1362</f>
        <v>39912</v>
      </c>
      <c r="D4924" s="8" t="str">
        <f t="shared" si="91"/>
        <v>2009-04 (апрель 2009)</v>
      </c>
      <c r="E4924" s="9" t="s">
        <v>30</v>
      </c>
      <c r="F4924" s="7">
        <v>26</v>
      </c>
      <c r="G4924" s="7">
        <v>994.27</v>
      </c>
      <c r="H4924" s="7">
        <v>0.09</v>
      </c>
      <c r="I4924" s="9" t="s">
        <v>56</v>
      </c>
      <c r="J4924" s="10">
        <v>-127.11</v>
      </c>
      <c r="K4924" s="11">
        <v>40.98</v>
      </c>
      <c r="L4924" s="11">
        <v>6.5</v>
      </c>
      <c r="M4924" s="9" t="s">
        <v>1870</v>
      </c>
      <c r="N4924" s="6" t="s">
        <v>672</v>
      </c>
      <c r="O4924" s="6" t="s">
        <v>673</v>
      </c>
      <c r="P4924" s="9" t="s">
        <v>33</v>
      </c>
      <c r="Q4924" s="9" t="s">
        <v>42</v>
      </c>
      <c r="R4924" s="9" t="s">
        <v>70</v>
      </c>
      <c r="S4924" s="7" t="s">
        <v>1120</v>
      </c>
      <c r="T4924" s="9" t="s">
        <v>39</v>
      </c>
      <c r="U4924" s="7">
        <v>0.74</v>
      </c>
      <c r="V4924" s="12">
        <f>C4924+2</f>
        <v>39914</v>
      </c>
      <c r="W4924">
        <f>IF(D4924=' Pivot Tables'!$A$4,1,0)</f>
        <v>0</v>
      </c>
      <c r="X4924">
        <f>IF(AND(LEFT(D4924,4)+1=LEFT(' Pivot Tables'!$A$4,4)+0,RIGHT(LEFT(D4924,7),2)=RIGHT(LEFT(' Pivot Tables'!$A$4,7),2)),1,0)</f>
        <v>0</v>
      </c>
      <c r="Y4924" s="6">
        <f>1/COUNTIF(Таблица1[Order ID],Таблица1[[#This Row],[Order ID]])</f>
        <v>0.25</v>
      </c>
      <c r="Z4924" s="9">
        <f>1/COUNTIFS(Таблица1[Customer Name],Таблица1[[#This Row],[Customer Name]],Таблица1[Order-Year-Month],Таблица1[[#This Row],[Order-Year-Month]])</f>
        <v>0.25</v>
      </c>
    </row>
    <row r="4925" spans="1:26" x14ac:dyDescent="0.2">
      <c r="A4925" s="6">
        <v>1185</v>
      </c>
      <c r="B4925" s="7">
        <v>8646</v>
      </c>
      <c r="C4925" s="8">
        <f>DATE(2012,12,31)-1362</f>
        <v>39912</v>
      </c>
      <c r="D4925" s="8" t="str">
        <f t="shared" si="91"/>
        <v>2009-04 (апрель 2009)</v>
      </c>
      <c r="E4925" s="9" t="s">
        <v>30</v>
      </c>
      <c r="F4925" s="7">
        <v>29</v>
      </c>
      <c r="G4925" s="7">
        <v>9558.65</v>
      </c>
      <c r="H4925" s="7">
        <v>0.09</v>
      </c>
      <c r="I4925" s="9" t="s">
        <v>31</v>
      </c>
      <c r="J4925" s="10">
        <v>2154.0700000000002</v>
      </c>
      <c r="K4925" s="11">
        <v>349.45</v>
      </c>
      <c r="L4925" s="11">
        <v>60</v>
      </c>
      <c r="M4925" s="9" t="s">
        <v>1870</v>
      </c>
      <c r="N4925" s="6" t="s">
        <v>672</v>
      </c>
      <c r="O4925" s="6" t="s">
        <v>673</v>
      </c>
      <c r="P4925" s="9" t="s">
        <v>33</v>
      </c>
      <c r="Q4925" s="9" t="s">
        <v>49</v>
      </c>
      <c r="R4925" s="9" t="s">
        <v>83</v>
      </c>
      <c r="S4925" s="7" t="s">
        <v>311</v>
      </c>
      <c r="T4925" s="9" t="s">
        <v>36</v>
      </c>
      <c r="U4925" s="7"/>
      <c r="V4925" s="12">
        <f>C4925+1</f>
        <v>39913</v>
      </c>
      <c r="W4925">
        <f>IF(D4925=' Pivot Tables'!$A$4,1,0)</f>
        <v>0</v>
      </c>
      <c r="X4925">
        <f>IF(AND(LEFT(D4925,4)+1=LEFT(' Pivot Tables'!$A$4,4)+0,RIGHT(LEFT(D4925,7),2)=RIGHT(LEFT(' Pivot Tables'!$A$4,7),2)),1,0)</f>
        <v>0</v>
      </c>
      <c r="Y4925" s="6">
        <f>1/COUNTIF(Таблица1[Order ID],Таблица1[[#This Row],[Order ID]])</f>
        <v>0.25</v>
      </c>
      <c r="Z4925" s="9">
        <f>1/COUNTIFS(Таблица1[Customer Name],Таблица1[[#This Row],[Customer Name]],Таблица1[Order-Year-Month],Таблица1[[#This Row],[Order-Year-Month]])</f>
        <v>0.25</v>
      </c>
    </row>
    <row r="4926" spans="1:26" x14ac:dyDescent="0.2">
      <c r="A4926" s="6">
        <v>1224</v>
      </c>
      <c r="B4926" s="7">
        <v>8993</v>
      </c>
      <c r="C4926" s="8">
        <f>DATE(2012,12,31)-583</f>
        <v>40691</v>
      </c>
      <c r="D4926" s="8" t="str">
        <f t="shared" si="91"/>
        <v>2011-05 (май 2011)</v>
      </c>
      <c r="E4926" s="9" t="s">
        <v>63</v>
      </c>
      <c r="F4926" s="7">
        <v>41</v>
      </c>
      <c r="G4926" s="7">
        <v>172.15</v>
      </c>
      <c r="H4926" s="7">
        <v>0.02</v>
      </c>
      <c r="I4926" s="9" t="s">
        <v>56</v>
      </c>
      <c r="J4926" s="10">
        <v>86.78</v>
      </c>
      <c r="K4926" s="11">
        <v>3.69</v>
      </c>
      <c r="L4926" s="11">
        <v>0.5</v>
      </c>
      <c r="M4926" s="9" t="s">
        <v>1689</v>
      </c>
      <c r="N4926" s="6" t="s">
        <v>672</v>
      </c>
      <c r="O4926" s="6" t="s">
        <v>673</v>
      </c>
      <c r="P4926" s="9" t="s">
        <v>41</v>
      </c>
      <c r="Q4926" s="9" t="s">
        <v>26</v>
      </c>
      <c r="R4926" s="9" t="s">
        <v>88</v>
      </c>
      <c r="S4926" s="7" t="s">
        <v>89</v>
      </c>
      <c r="T4926" s="9" t="s">
        <v>39</v>
      </c>
      <c r="U4926" s="7">
        <v>0.38</v>
      </c>
      <c r="V4926" s="12">
        <f>C4926+2</f>
        <v>40693</v>
      </c>
      <c r="W4926">
        <f>IF(D4926=' Pivot Tables'!$A$4,1,0)</f>
        <v>0</v>
      </c>
      <c r="X4926">
        <f>IF(AND(LEFT(D4926,4)+1=LEFT(' Pivot Tables'!$A$4,4)+0,RIGHT(LEFT(D4926,7),2)=RIGHT(LEFT(' Pivot Tables'!$A$4,7),2)),1,0)</f>
        <v>0</v>
      </c>
      <c r="Y4926" s="6">
        <f>1/COUNTIF(Таблица1[Order ID],Таблица1[[#This Row],[Order ID]])</f>
        <v>1</v>
      </c>
      <c r="Z4926" s="9">
        <f>1/COUNTIFS(Таблица1[Customer Name],Таблица1[[#This Row],[Customer Name]],Таблица1[Order-Year-Month],Таблица1[[#This Row],[Order-Year-Month]])</f>
        <v>1</v>
      </c>
    </row>
    <row r="4927" spans="1:26" x14ac:dyDescent="0.2">
      <c r="A4927" s="6">
        <v>1231</v>
      </c>
      <c r="B4927" s="7">
        <v>8996</v>
      </c>
      <c r="C4927" s="8">
        <f>DATE(2012,12,31)-578</f>
        <v>40696</v>
      </c>
      <c r="D4927" s="8" t="str">
        <f t="shared" si="91"/>
        <v>2011-06 (июнь 2011)</v>
      </c>
      <c r="E4927" s="9" t="s">
        <v>21</v>
      </c>
      <c r="F4927" s="7">
        <v>13</v>
      </c>
      <c r="G4927" s="7">
        <v>772.26750000000004</v>
      </c>
      <c r="H4927" s="7">
        <v>0.02</v>
      </c>
      <c r="I4927" s="9" t="s">
        <v>22</v>
      </c>
      <c r="J4927" s="10">
        <v>-48.850999999999999</v>
      </c>
      <c r="K4927" s="11">
        <v>65.989999999999995</v>
      </c>
      <c r="L4927" s="11">
        <v>8.99</v>
      </c>
      <c r="M4927" s="9" t="s">
        <v>982</v>
      </c>
      <c r="N4927" s="6" t="s">
        <v>672</v>
      </c>
      <c r="O4927" s="6" t="s">
        <v>673</v>
      </c>
      <c r="P4927" s="9" t="s">
        <v>41</v>
      </c>
      <c r="Q4927" s="9" t="s">
        <v>42</v>
      </c>
      <c r="R4927" s="9" t="s">
        <v>43</v>
      </c>
      <c r="S4927" s="7" t="s">
        <v>1599</v>
      </c>
      <c r="T4927" s="9" t="s">
        <v>39</v>
      </c>
      <c r="U4927" s="7">
        <v>0.59</v>
      </c>
      <c r="V4927" s="12">
        <f>C4927+4</f>
        <v>40700</v>
      </c>
      <c r="W4927">
        <f>IF(D4927=' Pivot Tables'!$A$4,1,0)</f>
        <v>0</v>
      </c>
      <c r="X4927">
        <f>IF(AND(LEFT(D4927,4)+1=LEFT(' Pivot Tables'!$A$4,4)+0,RIGHT(LEFT(D4927,7),2)=RIGHT(LEFT(' Pivot Tables'!$A$4,7),2)),1,0)</f>
        <v>0</v>
      </c>
      <c r="Y4927" s="6">
        <f>1/COUNTIF(Таблица1[Order ID],Таблица1[[#This Row],[Order ID]])</f>
        <v>1</v>
      </c>
      <c r="Z4927" s="9">
        <f>1/COUNTIFS(Таблица1[Customer Name],Таблица1[[#This Row],[Customer Name]],Таблица1[Order-Year-Month],Таблица1[[#This Row],[Order-Year-Month]])</f>
        <v>0.5</v>
      </c>
    </row>
    <row r="4928" spans="1:26" x14ac:dyDescent="0.2">
      <c r="A4928" s="6">
        <v>1234</v>
      </c>
      <c r="B4928" s="7">
        <v>8998</v>
      </c>
      <c r="C4928" s="8">
        <f>DATE(2012,12,31)-1093</f>
        <v>40181</v>
      </c>
      <c r="D4928" s="8" t="str">
        <f t="shared" si="91"/>
        <v>2010-01 (январь 2010)</v>
      </c>
      <c r="E4928" s="9" t="s">
        <v>21</v>
      </c>
      <c r="F4928" s="7">
        <v>37</v>
      </c>
      <c r="G4928" s="7">
        <v>1767.88</v>
      </c>
      <c r="H4928" s="7">
        <v>7.0000000000000007E-2</v>
      </c>
      <c r="I4928" s="9" t="s">
        <v>22</v>
      </c>
      <c r="J4928" s="10">
        <v>66.47</v>
      </c>
      <c r="K4928" s="11">
        <v>50.98</v>
      </c>
      <c r="L4928" s="11">
        <v>13.66</v>
      </c>
      <c r="M4928" s="9" t="s">
        <v>1849</v>
      </c>
      <c r="N4928" s="6" t="s">
        <v>672</v>
      </c>
      <c r="O4928" s="6" t="s">
        <v>673</v>
      </c>
      <c r="P4928" s="9" t="s">
        <v>33</v>
      </c>
      <c r="Q4928" s="9" t="s">
        <v>26</v>
      </c>
      <c r="R4928" s="9" t="s">
        <v>34</v>
      </c>
      <c r="S4928" s="7" t="s">
        <v>517</v>
      </c>
      <c r="T4928" s="9" t="s">
        <v>39</v>
      </c>
      <c r="U4928" s="7">
        <v>0.57999999999999996</v>
      </c>
      <c r="V4928" s="12">
        <f>C4928+4</f>
        <v>40185</v>
      </c>
      <c r="W4928">
        <f>IF(D4928=' Pivot Tables'!$A$4,1,0)</f>
        <v>1</v>
      </c>
      <c r="X4928">
        <f>IF(AND(LEFT(D4928,4)+1=LEFT(' Pivot Tables'!$A$4,4)+0,RIGHT(LEFT(D4928,7),2)=RIGHT(LEFT(' Pivot Tables'!$A$4,7),2)),1,0)</f>
        <v>0</v>
      </c>
      <c r="Y4928" s="6">
        <f>1/COUNTIF(Таблица1[Order ID],Таблица1[[#This Row],[Order ID]])</f>
        <v>0.33333333333333331</v>
      </c>
      <c r="Z4928" s="9">
        <f>1/COUNTIFS(Таблица1[Customer Name],Таблица1[[#This Row],[Customer Name]],Таблица1[Order-Year-Month],Таблица1[[#This Row],[Order-Year-Month]])</f>
        <v>0.33333333333333331</v>
      </c>
    </row>
    <row r="4929" spans="1:26" x14ac:dyDescent="0.2">
      <c r="A4929" s="6">
        <v>1235</v>
      </c>
      <c r="B4929" s="7">
        <v>8998</v>
      </c>
      <c r="C4929" s="8">
        <f>DATE(2012,12,31)-1093</f>
        <v>40181</v>
      </c>
      <c r="D4929" s="8" t="str">
        <f t="shared" si="91"/>
        <v>2010-01 (январь 2010)</v>
      </c>
      <c r="E4929" s="9" t="s">
        <v>21</v>
      </c>
      <c r="F4929" s="7">
        <v>12</v>
      </c>
      <c r="G4929" s="7">
        <v>277.42</v>
      </c>
      <c r="H4929" s="7">
        <v>0.01</v>
      </c>
      <c r="I4929" s="9" t="s">
        <v>22</v>
      </c>
      <c r="J4929" s="10">
        <v>49.82</v>
      </c>
      <c r="K4929" s="11">
        <v>22.24</v>
      </c>
      <c r="L4929" s="11">
        <v>1.99</v>
      </c>
      <c r="M4929" s="9" t="s">
        <v>1849</v>
      </c>
      <c r="N4929" s="6" t="s">
        <v>672</v>
      </c>
      <c r="O4929" s="6" t="s">
        <v>673</v>
      </c>
      <c r="P4929" s="9" t="s">
        <v>33</v>
      </c>
      <c r="Q4929" s="9" t="s">
        <v>42</v>
      </c>
      <c r="R4929" s="9" t="s">
        <v>70</v>
      </c>
      <c r="S4929" s="7" t="s">
        <v>1116</v>
      </c>
      <c r="T4929" s="9" t="s">
        <v>52</v>
      </c>
      <c r="U4929" s="7">
        <v>0.43</v>
      </c>
      <c r="V4929" s="12">
        <f>C4929+2</f>
        <v>40183</v>
      </c>
      <c r="W4929">
        <f>IF(D4929=' Pivot Tables'!$A$4,1,0)</f>
        <v>1</v>
      </c>
      <c r="X4929">
        <f>IF(AND(LEFT(D4929,4)+1=LEFT(' Pivot Tables'!$A$4,4)+0,RIGHT(LEFT(D4929,7),2)=RIGHT(LEFT(' Pivot Tables'!$A$4,7),2)),1,0)</f>
        <v>0</v>
      </c>
      <c r="Y4929" s="6">
        <f>1/COUNTIF(Таблица1[Order ID],Таблица1[[#This Row],[Order ID]])</f>
        <v>0.33333333333333331</v>
      </c>
      <c r="Z4929" s="9">
        <f>1/COUNTIFS(Таблица1[Customer Name],Таблица1[[#This Row],[Customer Name]],Таблица1[Order-Year-Month],Таблица1[[#This Row],[Order-Year-Month]])</f>
        <v>0.33333333333333331</v>
      </c>
    </row>
    <row r="4930" spans="1:26" x14ac:dyDescent="0.2">
      <c r="A4930" s="6">
        <v>1236</v>
      </c>
      <c r="B4930" s="7">
        <v>8998</v>
      </c>
      <c r="C4930" s="8">
        <f>DATE(2012,12,31)-1093</f>
        <v>40181</v>
      </c>
      <c r="D4930" s="8" t="str">
        <f t="shared" si="91"/>
        <v>2010-01 (январь 2010)</v>
      </c>
      <c r="E4930" s="9" t="s">
        <v>21</v>
      </c>
      <c r="F4930" s="7">
        <v>13</v>
      </c>
      <c r="G4930" s="7">
        <v>178.13</v>
      </c>
      <c r="H4930" s="7">
        <v>0.04</v>
      </c>
      <c r="I4930" s="9" t="s">
        <v>22</v>
      </c>
      <c r="J4930" s="10">
        <v>-19.75</v>
      </c>
      <c r="K4930" s="11">
        <v>13.43</v>
      </c>
      <c r="L4930" s="11">
        <v>5.5</v>
      </c>
      <c r="M4930" s="9" t="s">
        <v>1849</v>
      </c>
      <c r="N4930" s="6" t="s">
        <v>672</v>
      </c>
      <c r="O4930" s="6" t="s">
        <v>673</v>
      </c>
      <c r="P4930" s="9" t="s">
        <v>33</v>
      </c>
      <c r="Q4930" s="9" t="s">
        <v>26</v>
      </c>
      <c r="R4930" s="9" t="s">
        <v>27</v>
      </c>
      <c r="S4930" s="7" t="s">
        <v>1066</v>
      </c>
      <c r="T4930" s="9" t="s">
        <v>39</v>
      </c>
      <c r="U4930" s="7">
        <v>0.56999999999999995</v>
      </c>
      <c r="V4930" s="12">
        <f>C4930+5</f>
        <v>40186</v>
      </c>
      <c r="W4930">
        <f>IF(D4930=' Pivot Tables'!$A$4,1,0)</f>
        <v>1</v>
      </c>
      <c r="X4930">
        <f>IF(AND(LEFT(D4930,4)+1=LEFT(' Pivot Tables'!$A$4,4)+0,RIGHT(LEFT(D4930,7),2)=RIGHT(LEFT(' Pivot Tables'!$A$4,7),2)),1,0)</f>
        <v>0</v>
      </c>
      <c r="Y4930" s="6">
        <f>1/COUNTIF(Таблица1[Order ID],Таблица1[[#This Row],[Order ID]])</f>
        <v>0.33333333333333331</v>
      </c>
      <c r="Z4930" s="9">
        <f>1/COUNTIFS(Таблица1[Customer Name],Таблица1[[#This Row],[Customer Name]],Таблица1[Order-Year-Month],Таблица1[[#This Row],[Order-Year-Month]])</f>
        <v>0.33333333333333331</v>
      </c>
    </row>
    <row r="4931" spans="1:26" x14ac:dyDescent="0.2">
      <c r="A4931" s="6">
        <v>1256</v>
      </c>
      <c r="B4931" s="7">
        <v>9124</v>
      </c>
      <c r="C4931" s="8">
        <f>DATE(2012,12,31)-442</f>
        <v>40832</v>
      </c>
      <c r="D4931" s="8" t="str">
        <f t="shared" ref="D4931:D4994" si="92">TEXT(C4931,"гггг-ММ (ММММ гггг)")</f>
        <v>2011-10 (октябрь 2011)</v>
      </c>
      <c r="E4931" s="9" t="s">
        <v>21</v>
      </c>
      <c r="F4931" s="7">
        <v>17</v>
      </c>
      <c r="G4931" s="7">
        <v>2637.78</v>
      </c>
      <c r="H4931" s="7">
        <v>0.04</v>
      </c>
      <c r="I4931" s="9" t="s">
        <v>22</v>
      </c>
      <c r="J4931" s="10">
        <v>-0.83999999999997499</v>
      </c>
      <c r="K4931" s="11">
        <v>152.47999999999999</v>
      </c>
      <c r="L4931" s="11">
        <v>6.5</v>
      </c>
      <c r="M4931" s="9" t="s">
        <v>339</v>
      </c>
      <c r="N4931" s="6" t="s">
        <v>672</v>
      </c>
      <c r="O4931" s="6" t="s">
        <v>673</v>
      </c>
      <c r="P4931" s="9" t="s">
        <v>25</v>
      </c>
      <c r="Q4931" s="9" t="s">
        <v>42</v>
      </c>
      <c r="R4931" s="9" t="s">
        <v>70</v>
      </c>
      <c r="S4931" s="7" t="s">
        <v>844</v>
      </c>
      <c r="T4931" s="9" t="s">
        <v>39</v>
      </c>
      <c r="U4931" s="7">
        <v>0.74</v>
      </c>
      <c r="V4931" s="12">
        <f>C4931+0</f>
        <v>40832</v>
      </c>
      <c r="W4931">
        <f>IF(D4931=' Pivot Tables'!$A$4,1,0)</f>
        <v>0</v>
      </c>
      <c r="X4931">
        <f>IF(AND(LEFT(D4931,4)+1=LEFT(' Pivot Tables'!$A$4,4)+0,RIGHT(LEFT(D4931,7),2)=RIGHT(LEFT(' Pivot Tables'!$A$4,7),2)),1,0)</f>
        <v>0</v>
      </c>
      <c r="Y4931" s="6">
        <f>1/COUNTIF(Таблица1[Order ID],Таблица1[[#This Row],[Order ID]])</f>
        <v>0.5</v>
      </c>
      <c r="Z4931" s="9">
        <f>1/COUNTIFS(Таблица1[Customer Name],Таблица1[[#This Row],[Customer Name]],Таблица1[Order-Year-Month],Таблица1[[#This Row],[Order-Year-Month]])</f>
        <v>0.5</v>
      </c>
    </row>
    <row r="4932" spans="1:26" x14ac:dyDescent="0.2">
      <c r="A4932" s="6">
        <v>1257</v>
      </c>
      <c r="B4932" s="7">
        <v>9124</v>
      </c>
      <c r="C4932" s="8">
        <f>DATE(2012,12,31)-442</f>
        <v>40832</v>
      </c>
      <c r="D4932" s="8" t="str">
        <f t="shared" si="92"/>
        <v>2011-10 (октябрь 2011)</v>
      </c>
      <c r="E4932" s="9" t="s">
        <v>21</v>
      </c>
      <c r="F4932" s="7">
        <v>29</v>
      </c>
      <c r="G4932" s="7">
        <v>157.4</v>
      </c>
      <c r="H4932" s="7">
        <v>0.01</v>
      </c>
      <c r="I4932" s="9" t="s">
        <v>22</v>
      </c>
      <c r="J4932" s="10">
        <v>-118.56</v>
      </c>
      <c r="K4932" s="11">
        <v>4.9800000000000004</v>
      </c>
      <c r="L4932" s="11">
        <v>7.28</v>
      </c>
      <c r="M4932" s="9" t="s">
        <v>339</v>
      </c>
      <c r="N4932" s="6" t="s">
        <v>672</v>
      </c>
      <c r="O4932" s="6" t="s">
        <v>673</v>
      </c>
      <c r="P4932" s="9" t="s">
        <v>25</v>
      </c>
      <c r="Q4932" s="9" t="s">
        <v>26</v>
      </c>
      <c r="R4932" s="9" t="s">
        <v>61</v>
      </c>
      <c r="S4932" s="7" t="s">
        <v>1871</v>
      </c>
      <c r="T4932" s="9" t="s">
        <v>39</v>
      </c>
      <c r="U4932" s="7">
        <v>0.38</v>
      </c>
      <c r="V4932" s="12">
        <f>C4932+5</f>
        <v>40837</v>
      </c>
      <c r="W4932">
        <f>IF(D4932=' Pivot Tables'!$A$4,1,0)</f>
        <v>0</v>
      </c>
      <c r="X4932">
        <f>IF(AND(LEFT(D4932,4)+1=LEFT(' Pivot Tables'!$A$4,4)+0,RIGHT(LEFT(D4932,7),2)=RIGHT(LEFT(' Pivot Tables'!$A$4,7),2)),1,0)</f>
        <v>0</v>
      </c>
      <c r="Y4932" s="6">
        <f>1/COUNTIF(Таблица1[Order ID],Таблица1[[#This Row],[Order ID]])</f>
        <v>0.5</v>
      </c>
      <c r="Z4932" s="9">
        <f>1/COUNTIFS(Таблица1[Customer Name],Таблица1[[#This Row],[Customer Name]],Таблица1[Order-Year-Month],Таблица1[[#This Row],[Order-Year-Month]])</f>
        <v>0.5</v>
      </c>
    </row>
    <row r="4933" spans="1:26" x14ac:dyDescent="0.2">
      <c r="A4933" s="6">
        <v>1260</v>
      </c>
      <c r="B4933" s="7">
        <v>9152</v>
      </c>
      <c r="C4933" s="8">
        <f>DATE(2012,12,31)-864</f>
        <v>40410</v>
      </c>
      <c r="D4933" s="8" t="str">
        <f t="shared" si="92"/>
        <v>2010-08 (август 2010)</v>
      </c>
      <c r="E4933" s="9" t="s">
        <v>45</v>
      </c>
      <c r="F4933" s="7">
        <v>43</v>
      </c>
      <c r="G4933" s="7">
        <v>292.80799999999999</v>
      </c>
      <c r="H4933" s="7">
        <v>0.05</v>
      </c>
      <c r="I4933" s="9" t="s">
        <v>22</v>
      </c>
      <c r="J4933" s="10">
        <v>-129.69</v>
      </c>
      <c r="K4933" s="11">
        <v>7.99</v>
      </c>
      <c r="L4933" s="11">
        <v>5.03</v>
      </c>
      <c r="M4933" s="9" t="s">
        <v>1872</v>
      </c>
      <c r="N4933" s="6" t="s">
        <v>672</v>
      </c>
      <c r="O4933" s="6" t="s">
        <v>673</v>
      </c>
      <c r="P4933" s="9" t="s">
        <v>60</v>
      </c>
      <c r="Q4933" s="9" t="s">
        <v>42</v>
      </c>
      <c r="R4933" s="9" t="s">
        <v>43</v>
      </c>
      <c r="S4933" s="7" t="s">
        <v>140</v>
      </c>
      <c r="T4933" s="9" t="s">
        <v>48</v>
      </c>
      <c r="U4933" s="7">
        <v>0.6</v>
      </c>
      <c r="V4933" s="12">
        <f>C4933+0</f>
        <v>40410</v>
      </c>
      <c r="W4933">
        <f>IF(D4933=' Pivot Tables'!$A$4,1,0)</f>
        <v>0</v>
      </c>
      <c r="X4933">
        <f>IF(AND(LEFT(D4933,4)+1=LEFT(' Pivot Tables'!$A$4,4)+0,RIGHT(LEFT(D4933,7),2)=RIGHT(LEFT(' Pivot Tables'!$A$4,7),2)),1,0)</f>
        <v>0</v>
      </c>
      <c r="Y4933" s="6">
        <f>1/COUNTIF(Таблица1[Order ID],Таблица1[[#This Row],[Order ID]])</f>
        <v>1</v>
      </c>
      <c r="Z4933" s="9">
        <f>1/COUNTIFS(Таблица1[Customer Name],Таблица1[[#This Row],[Customer Name]],Таблица1[Order-Year-Month],Таблица1[[#This Row],[Order-Year-Month]])</f>
        <v>1</v>
      </c>
    </row>
    <row r="4934" spans="1:26" x14ac:dyDescent="0.2">
      <c r="A4934" s="6">
        <v>1281</v>
      </c>
      <c r="B4934" s="7">
        <v>9312</v>
      </c>
      <c r="C4934" s="8">
        <f>DATE(2012,12,31)-227</f>
        <v>41047</v>
      </c>
      <c r="D4934" s="8" t="str">
        <f t="shared" si="92"/>
        <v>2012-05 (май 2012)</v>
      </c>
      <c r="E4934" s="9" t="s">
        <v>45</v>
      </c>
      <c r="F4934" s="7">
        <v>43</v>
      </c>
      <c r="G4934" s="7">
        <v>1160.55</v>
      </c>
      <c r="H4934" s="7">
        <v>0.05</v>
      </c>
      <c r="I4934" s="9" t="s">
        <v>31</v>
      </c>
      <c r="J4934" s="10">
        <v>-179.17</v>
      </c>
      <c r="K4934" s="11">
        <v>25.98</v>
      </c>
      <c r="L4934" s="11">
        <v>14.36</v>
      </c>
      <c r="M4934" s="9" t="s">
        <v>1872</v>
      </c>
      <c r="N4934" s="6" t="s">
        <v>672</v>
      </c>
      <c r="O4934" s="6" t="s">
        <v>673</v>
      </c>
      <c r="P4934" s="9" t="s">
        <v>60</v>
      </c>
      <c r="Q4934" s="9" t="s">
        <v>49</v>
      </c>
      <c r="R4934" s="9" t="s">
        <v>112</v>
      </c>
      <c r="S4934" s="7" t="s">
        <v>280</v>
      </c>
      <c r="T4934" s="9" t="s">
        <v>36</v>
      </c>
      <c r="U4934" s="7">
        <v>0.6</v>
      </c>
      <c r="V4934" s="12">
        <f>C4934+1</f>
        <v>41048</v>
      </c>
      <c r="W4934">
        <f>IF(D4934=' Pivot Tables'!$A$4,1,0)</f>
        <v>0</v>
      </c>
      <c r="X4934">
        <f>IF(AND(LEFT(D4934,4)+1=LEFT(' Pivot Tables'!$A$4,4)+0,RIGHT(LEFT(D4934,7),2)=RIGHT(LEFT(' Pivot Tables'!$A$4,7),2)),1,0)</f>
        <v>0</v>
      </c>
      <c r="Y4934" s="6">
        <f>1/COUNTIF(Таблица1[Order ID],Таблица1[[#This Row],[Order ID]])</f>
        <v>1</v>
      </c>
      <c r="Z4934" s="9">
        <f>1/COUNTIFS(Таблица1[Customer Name],Таблица1[[#This Row],[Customer Name]],Таблица1[Order-Year-Month],Таблица1[[#This Row],[Order-Year-Month]])</f>
        <v>1</v>
      </c>
    </row>
    <row r="4935" spans="1:26" x14ac:dyDescent="0.2">
      <c r="A4935" s="6">
        <v>1330</v>
      </c>
      <c r="B4935" s="7">
        <v>9700</v>
      </c>
      <c r="C4935" s="8">
        <f>DATE(2012,12,31)-511</f>
        <v>40763</v>
      </c>
      <c r="D4935" s="8" t="str">
        <f t="shared" si="92"/>
        <v>2011-08 (август 2011)</v>
      </c>
      <c r="E4935" s="9" t="s">
        <v>78</v>
      </c>
      <c r="F4935" s="7">
        <v>35</v>
      </c>
      <c r="G4935" s="7">
        <v>106.06</v>
      </c>
      <c r="H4935" s="7">
        <v>0.08</v>
      </c>
      <c r="I4935" s="9" t="s">
        <v>22</v>
      </c>
      <c r="J4935" s="10">
        <v>-59.74</v>
      </c>
      <c r="K4935" s="11">
        <v>3.14</v>
      </c>
      <c r="L4935" s="11">
        <v>1.92</v>
      </c>
      <c r="M4935" s="9" t="s">
        <v>1873</v>
      </c>
      <c r="N4935" s="6" t="s">
        <v>672</v>
      </c>
      <c r="O4935" s="6" t="s">
        <v>673</v>
      </c>
      <c r="P4935" s="9" t="s">
        <v>33</v>
      </c>
      <c r="Q4935" s="9" t="s">
        <v>26</v>
      </c>
      <c r="R4935" s="9" t="s">
        <v>150</v>
      </c>
      <c r="S4935" s="7" t="s">
        <v>699</v>
      </c>
      <c r="T4935" s="9" t="s">
        <v>68</v>
      </c>
      <c r="U4935" s="7">
        <v>0.84</v>
      </c>
      <c r="V4935" s="12">
        <f>C4935+1</f>
        <v>40764</v>
      </c>
      <c r="W4935">
        <f>IF(D4935=' Pivot Tables'!$A$4,1,0)</f>
        <v>0</v>
      </c>
      <c r="X4935">
        <f>IF(AND(LEFT(D4935,4)+1=LEFT(' Pivot Tables'!$A$4,4)+0,RIGHT(LEFT(D4935,7),2)=RIGHT(LEFT(' Pivot Tables'!$A$4,7),2)),1,0)</f>
        <v>0</v>
      </c>
      <c r="Y4935" s="6">
        <f>1/COUNTIF(Таблица1[Order ID],Таблица1[[#This Row],[Order ID]])</f>
        <v>1</v>
      </c>
      <c r="Z4935" s="9">
        <f>1/COUNTIFS(Таблица1[Customer Name],Таблица1[[#This Row],[Customer Name]],Таблица1[Order-Year-Month],Таблица1[[#This Row],[Order-Year-Month]])</f>
        <v>1</v>
      </c>
    </row>
    <row r="4936" spans="1:26" x14ac:dyDescent="0.2">
      <c r="A4936" s="6">
        <v>1345</v>
      </c>
      <c r="B4936" s="7">
        <v>9826</v>
      </c>
      <c r="C4936" s="8">
        <f>DATE(2012,12,31)-284</f>
        <v>40990</v>
      </c>
      <c r="D4936" s="8" t="str">
        <f t="shared" si="92"/>
        <v>2012-03 (март 2012)</v>
      </c>
      <c r="E4936" s="9" t="s">
        <v>63</v>
      </c>
      <c r="F4936" s="7">
        <v>7</v>
      </c>
      <c r="G4936" s="7">
        <v>131.61000000000001</v>
      </c>
      <c r="H4936" s="7">
        <v>0.01</v>
      </c>
      <c r="I4936" s="9" t="s">
        <v>22</v>
      </c>
      <c r="J4936" s="10">
        <v>-7.3</v>
      </c>
      <c r="K4936" s="11">
        <v>17.48</v>
      </c>
      <c r="L4936" s="11">
        <v>1.99</v>
      </c>
      <c r="M4936" s="9" t="s">
        <v>1858</v>
      </c>
      <c r="N4936" s="6" t="s">
        <v>672</v>
      </c>
      <c r="O4936" s="6" t="s">
        <v>673</v>
      </c>
      <c r="P4936" s="9" t="s">
        <v>33</v>
      </c>
      <c r="Q4936" s="9" t="s">
        <v>42</v>
      </c>
      <c r="R4936" s="9" t="s">
        <v>70</v>
      </c>
      <c r="S4936" s="7" t="s">
        <v>1067</v>
      </c>
      <c r="T4936" s="9" t="s">
        <v>52</v>
      </c>
      <c r="U4936" s="7">
        <v>0.45</v>
      </c>
      <c r="V4936" s="12">
        <f>C4936+2</f>
        <v>40992</v>
      </c>
      <c r="W4936">
        <f>IF(D4936=' Pivot Tables'!$A$4,1,0)</f>
        <v>0</v>
      </c>
      <c r="X4936">
        <f>IF(AND(LEFT(D4936,4)+1=LEFT(' Pivot Tables'!$A$4,4)+0,RIGHT(LEFT(D4936,7),2)=RIGHT(LEFT(' Pivot Tables'!$A$4,7),2)),1,0)</f>
        <v>0</v>
      </c>
      <c r="Y4936" s="6">
        <f>1/COUNTIF(Таблица1[Order ID],Таблица1[[#This Row],[Order ID]])</f>
        <v>1</v>
      </c>
      <c r="Z4936" s="9">
        <f>1/COUNTIFS(Таблица1[Customer Name],Таблица1[[#This Row],[Customer Name]],Таблица1[Order-Year-Month],Таблица1[[#This Row],[Order-Year-Month]])</f>
        <v>1</v>
      </c>
    </row>
    <row r="4937" spans="1:26" x14ac:dyDescent="0.2">
      <c r="A4937" s="6">
        <v>1374</v>
      </c>
      <c r="B4937" s="7">
        <v>9954</v>
      </c>
      <c r="C4937" s="8">
        <f>DATE(2012,12,31)-1291</f>
        <v>39983</v>
      </c>
      <c r="D4937" s="8" t="str">
        <f t="shared" si="92"/>
        <v>2009-06 (июнь 2009)</v>
      </c>
      <c r="E4937" s="9" t="s">
        <v>45</v>
      </c>
      <c r="F4937" s="7">
        <v>36</v>
      </c>
      <c r="G4937" s="7">
        <v>10122.719999999999</v>
      </c>
      <c r="H4937" s="7">
        <v>7.0000000000000007E-2</v>
      </c>
      <c r="I4937" s="9" t="s">
        <v>31</v>
      </c>
      <c r="J4937" s="10">
        <v>-381.16</v>
      </c>
      <c r="K4937" s="11">
        <v>280.98</v>
      </c>
      <c r="L4937" s="11">
        <v>57</v>
      </c>
      <c r="M4937" s="9" t="s">
        <v>1848</v>
      </c>
      <c r="N4937" s="6" t="s">
        <v>672</v>
      </c>
      <c r="O4937" s="6" t="s">
        <v>673</v>
      </c>
      <c r="P4937" s="9" t="s">
        <v>41</v>
      </c>
      <c r="Q4937" s="9" t="s">
        <v>49</v>
      </c>
      <c r="R4937" s="9" t="s">
        <v>112</v>
      </c>
      <c r="S4937" s="7" t="s">
        <v>697</v>
      </c>
      <c r="T4937" s="9" t="s">
        <v>36</v>
      </c>
      <c r="U4937" s="7">
        <v>0.78</v>
      </c>
      <c r="V4937" s="12">
        <f>C4937+1</f>
        <v>39984</v>
      </c>
      <c r="W4937">
        <f>IF(D4937=' Pivot Tables'!$A$4,1,0)</f>
        <v>0</v>
      </c>
      <c r="X4937">
        <f>IF(AND(LEFT(D4937,4)+1=LEFT(' Pivot Tables'!$A$4,4)+0,RIGHT(LEFT(D4937,7),2)=RIGHT(LEFT(' Pivot Tables'!$A$4,7),2)),1,0)</f>
        <v>0</v>
      </c>
      <c r="Y4937" s="6">
        <f>1/COUNTIF(Таблица1[Order ID],Таблица1[[#This Row],[Order ID]])</f>
        <v>0.33333333333333331</v>
      </c>
      <c r="Z4937" s="9">
        <f>1/COUNTIFS(Таблица1[Customer Name],Таблица1[[#This Row],[Customer Name]],Таблица1[Order-Year-Month],Таблица1[[#This Row],[Order-Year-Month]])</f>
        <v>0.33333333333333331</v>
      </c>
    </row>
    <row r="4938" spans="1:26" x14ac:dyDescent="0.2">
      <c r="A4938" s="6">
        <v>1375</v>
      </c>
      <c r="B4938" s="7">
        <v>9954</v>
      </c>
      <c r="C4938" s="8">
        <f>DATE(2012,12,31)-1291</f>
        <v>39983</v>
      </c>
      <c r="D4938" s="8" t="str">
        <f t="shared" si="92"/>
        <v>2009-06 (июнь 2009)</v>
      </c>
      <c r="E4938" s="9" t="s">
        <v>45</v>
      </c>
      <c r="F4938" s="7">
        <v>39</v>
      </c>
      <c r="G4938" s="7">
        <v>203.6</v>
      </c>
      <c r="H4938" s="7">
        <v>0</v>
      </c>
      <c r="I4938" s="9" t="s">
        <v>22</v>
      </c>
      <c r="J4938" s="10">
        <v>-166.44</v>
      </c>
      <c r="K4938" s="11">
        <v>4.9800000000000004</v>
      </c>
      <c r="L4938" s="11">
        <v>7.44</v>
      </c>
      <c r="M4938" s="9" t="s">
        <v>1848</v>
      </c>
      <c r="N4938" s="6" t="s">
        <v>672</v>
      </c>
      <c r="O4938" s="6" t="s">
        <v>673</v>
      </c>
      <c r="P4938" s="9" t="s">
        <v>41</v>
      </c>
      <c r="Q4938" s="9" t="s">
        <v>26</v>
      </c>
      <c r="R4938" s="9" t="s">
        <v>61</v>
      </c>
      <c r="S4938" s="7" t="s">
        <v>1159</v>
      </c>
      <c r="T4938" s="9" t="s">
        <v>39</v>
      </c>
      <c r="U4938" s="7">
        <v>0.36</v>
      </c>
      <c r="V4938" s="12">
        <f>C4938+2</f>
        <v>39985</v>
      </c>
      <c r="W4938">
        <f>IF(D4938=' Pivot Tables'!$A$4,1,0)</f>
        <v>0</v>
      </c>
      <c r="X4938">
        <f>IF(AND(LEFT(D4938,4)+1=LEFT(' Pivot Tables'!$A$4,4)+0,RIGHT(LEFT(D4938,7),2)=RIGHT(LEFT(' Pivot Tables'!$A$4,7),2)),1,0)</f>
        <v>0</v>
      </c>
      <c r="Y4938" s="6">
        <f>1/COUNTIF(Таблица1[Order ID],Таблица1[[#This Row],[Order ID]])</f>
        <v>0.33333333333333331</v>
      </c>
      <c r="Z4938" s="9">
        <f>1/COUNTIFS(Таблица1[Customer Name],Таблица1[[#This Row],[Customer Name]],Таблица1[Order-Year-Month],Таблица1[[#This Row],[Order-Year-Month]])</f>
        <v>0.33333333333333331</v>
      </c>
    </row>
    <row r="4939" spans="1:26" x14ac:dyDescent="0.2">
      <c r="A4939" s="6">
        <v>1376</v>
      </c>
      <c r="B4939" s="7">
        <v>9954</v>
      </c>
      <c r="C4939" s="8">
        <f>DATE(2012,12,31)-1291</f>
        <v>39983</v>
      </c>
      <c r="D4939" s="8" t="str">
        <f t="shared" si="92"/>
        <v>2009-06 (июнь 2009)</v>
      </c>
      <c r="E4939" s="9" t="s">
        <v>45</v>
      </c>
      <c r="F4939" s="7">
        <v>30</v>
      </c>
      <c r="G4939" s="7">
        <v>115.81</v>
      </c>
      <c r="H4939" s="7">
        <v>0.1</v>
      </c>
      <c r="I4939" s="9" t="s">
        <v>22</v>
      </c>
      <c r="J4939" s="10">
        <v>22.06</v>
      </c>
      <c r="K4939" s="11">
        <v>3.98</v>
      </c>
      <c r="L4939" s="11">
        <v>0.83</v>
      </c>
      <c r="M4939" s="9" t="s">
        <v>1848</v>
      </c>
      <c r="N4939" s="6" t="s">
        <v>672</v>
      </c>
      <c r="O4939" s="6" t="s">
        <v>673</v>
      </c>
      <c r="P4939" s="9" t="s">
        <v>41</v>
      </c>
      <c r="Q4939" s="9" t="s">
        <v>26</v>
      </c>
      <c r="R4939" s="9" t="s">
        <v>95</v>
      </c>
      <c r="S4939" s="7" t="s">
        <v>1216</v>
      </c>
      <c r="T4939" s="9" t="s">
        <v>68</v>
      </c>
      <c r="U4939" s="7">
        <v>0.51</v>
      </c>
      <c r="V4939" s="12">
        <f>C4939+2</f>
        <v>39985</v>
      </c>
      <c r="W4939">
        <f>IF(D4939=' Pivot Tables'!$A$4,1,0)</f>
        <v>0</v>
      </c>
      <c r="X4939">
        <f>IF(AND(LEFT(D4939,4)+1=LEFT(' Pivot Tables'!$A$4,4)+0,RIGHT(LEFT(D4939,7),2)=RIGHT(LEFT(' Pivot Tables'!$A$4,7),2)),1,0)</f>
        <v>0</v>
      </c>
      <c r="Y4939" s="6">
        <f>1/COUNTIF(Таблица1[Order ID],Таблица1[[#This Row],[Order ID]])</f>
        <v>0.33333333333333331</v>
      </c>
      <c r="Z4939" s="9">
        <f>1/COUNTIFS(Таблица1[Customer Name],Таблица1[[#This Row],[Customer Name]],Таблица1[Order-Year-Month],Таблица1[[#This Row],[Order-Year-Month]])</f>
        <v>0.33333333333333331</v>
      </c>
    </row>
    <row r="4940" spans="1:26" x14ac:dyDescent="0.2">
      <c r="A4940" s="6">
        <v>1391</v>
      </c>
      <c r="B4940" s="7">
        <v>10081</v>
      </c>
      <c r="C4940" s="8">
        <f>DATE(2012,12,31)-877</f>
        <v>40397</v>
      </c>
      <c r="D4940" s="8" t="str">
        <f t="shared" si="92"/>
        <v>2010-08 (август 2010)</v>
      </c>
      <c r="E4940" s="9" t="s">
        <v>45</v>
      </c>
      <c r="F4940" s="7">
        <v>49</v>
      </c>
      <c r="G4940" s="7">
        <v>1058.43</v>
      </c>
      <c r="H4940" s="7">
        <v>0.02</v>
      </c>
      <c r="I4940" s="9" t="s">
        <v>22</v>
      </c>
      <c r="J4940" s="10">
        <v>245</v>
      </c>
      <c r="K4940" s="11">
        <v>20.28</v>
      </c>
      <c r="L4940" s="11">
        <v>6.68</v>
      </c>
      <c r="M4940" s="9" t="s">
        <v>1874</v>
      </c>
      <c r="N4940" s="6" t="s">
        <v>672</v>
      </c>
      <c r="O4940" s="6" t="s">
        <v>673</v>
      </c>
      <c r="P4940" s="9" t="s">
        <v>60</v>
      </c>
      <c r="Q4940" s="9" t="s">
        <v>49</v>
      </c>
      <c r="R4940" s="9" t="s">
        <v>50</v>
      </c>
      <c r="S4940" s="7" t="s">
        <v>1621</v>
      </c>
      <c r="T4940" s="9" t="s">
        <v>39</v>
      </c>
      <c r="U4940" s="7">
        <v>0.53</v>
      </c>
      <c r="V4940" s="12">
        <f>C4940+1</f>
        <v>40398</v>
      </c>
      <c r="W4940">
        <f>IF(D4940=' Pivot Tables'!$A$4,1,0)</f>
        <v>0</v>
      </c>
      <c r="X4940">
        <f>IF(AND(LEFT(D4940,4)+1=LEFT(' Pivot Tables'!$A$4,4)+0,RIGHT(LEFT(D4940,7),2)=RIGHT(LEFT(' Pivot Tables'!$A$4,7),2)),1,0)</f>
        <v>0</v>
      </c>
      <c r="Y4940" s="6">
        <f>1/COUNTIF(Таблица1[Order ID],Таблица1[[#This Row],[Order ID]])</f>
        <v>1</v>
      </c>
      <c r="Z4940" s="9">
        <f>1/COUNTIFS(Таблица1[Customer Name],Таблица1[[#This Row],[Customer Name]],Таблица1[Order-Year-Month],Таблица1[[#This Row],[Order-Year-Month]])</f>
        <v>1</v>
      </c>
    </row>
    <row r="4941" spans="1:26" x14ac:dyDescent="0.2">
      <c r="A4941" s="6">
        <v>1415</v>
      </c>
      <c r="B4941" s="7">
        <v>10272</v>
      </c>
      <c r="C4941" s="8">
        <f>DATE(2012,12,31)-1444</f>
        <v>39830</v>
      </c>
      <c r="D4941" s="8" t="str">
        <f t="shared" si="92"/>
        <v>2009-01 (январь 2009)</v>
      </c>
      <c r="E4941" s="9" t="s">
        <v>63</v>
      </c>
      <c r="F4941" s="7">
        <v>3</v>
      </c>
      <c r="G4941" s="7">
        <v>299.08</v>
      </c>
      <c r="H4941" s="7">
        <v>0.03</v>
      </c>
      <c r="I4941" s="9" t="s">
        <v>22</v>
      </c>
      <c r="J4941" s="10">
        <v>-50.43</v>
      </c>
      <c r="K4941" s="11">
        <v>90.48</v>
      </c>
      <c r="L4941" s="11">
        <v>19.989999999999998</v>
      </c>
      <c r="M4941" s="9" t="s">
        <v>1875</v>
      </c>
      <c r="N4941" s="6" t="s">
        <v>672</v>
      </c>
      <c r="O4941" s="6" t="s">
        <v>673</v>
      </c>
      <c r="P4941" s="9" t="s">
        <v>41</v>
      </c>
      <c r="Q4941" s="9" t="s">
        <v>26</v>
      </c>
      <c r="R4941" s="9" t="s">
        <v>76</v>
      </c>
      <c r="S4941" s="7" t="s">
        <v>1167</v>
      </c>
      <c r="T4941" s="9" t="s">
        <v>39</v>
      </c>
      <c r="U4941" s="7">
        <v>0.4</v>
      </c>
      <c r="V4941" s="12">
        <f>C4941+2</f>
        <v>39832</v>
      </c>
      <c r="W4941">
        <f>IF(D4941=' Pivot Tables'!$A$4,1,0)</f>
        <v>0</v>
      </c>
      <c r="X4941">
        <f>IF(AND(LEFT(D4941,4)+1=LEFT(' Pivot Tables'!$A$4,4)+0,RIGHT(LEFT(D4941,7),2)=RIGHT(LEFT(' Pivot Tables'!$A$4,7),2)),1,0)</f>
        <v>1</v>
      </c>
      <c r="Y4941" s="6">
        <f>1/COUNTIF(Таблица1[Order ID],Таблица1[[#This Row],[Order ID]])</f>
        <v>0.5</v>
      </c>
      <c r="Z4941" s="9">
        <f>1/COUNTIFS(Таблица1[Customer Name],Таблица1[[#This Row],[Customer Name]],Таблица1[Order-Year-Month],Таблица1[[#This Row],[Order-Year-Month]])</f>
        <v>0.5</v>
      </c>
    </row>
    <row r="4942" spans="1:26" x14ac:dyDescent="0.2">
      <c r="A4942" s="6">
        <v>1416</v>
      </c>
      <c r="B4942" s="7">
        <v>10272</v>
      </c>
      <c r="C4942" s="8">
        <f>DATE(2012,12,31)-1444</f>
        <v>39830</v>
      </c>
      <c r="D4942" s="8" t="str">
        <f t="shared" si="92"/>
        <v>2009-01 (январь 2009)</v>
      </c>
      <c r="E4942" s="9" t="s">
        <v>63</v>
      </c>
      <c r="F4942" s="7">
        <v>26</v>
      </c>
      <c r="G4942" s="7">
        <v>566.39</v>
      </c>
      <c r="H4942" s="7">
        <v>0.06</v>
      </c>
      <c r="I4942" s="9" t="s">
        <v>22</v>
      </c>
      <c r="J4942" s="10">
        <v>76.430000000000007</v>
      </c>
      <c r="K4942" s="11">
        <v>22.84</v>
      </c>
      <c r="L4942" s="11">
        <v>8.18</v>
      </c>
      <c r="M4942" s="9" t="s">
        <v>1875</v>
      </c>
      <c r="N4942" s="6" t="s">
        <v>672</v>
      </c>
      <c r="O4942" s="6" t="s">
        <v>673</v>
      </c>
      <c r="P4942" s="9" t="s">
        <v>41</v>
      </c>
      <c r="Q4942" s="9" t="s">
        <v>26</v>
      </c>
      <c r="R4942" s="9" t="s">
        <v>61</v>
      </c>
      <c r="S4942" s="7" t="s">
        <v>1539</v>
      </c>
      <c r="T4942" s="9" t="s">
        <v>39</v>
      </c>
      <c r="U4942" s="7">
        <v>0.39</v>
      </c>
      <c r="V4942" s="12">
        <f>C4942+0</f>
        <v>39830</v>
      </c>
      <c r="W4942">
        <f>IF(D4942=' Pivot Tables'!$A$4,1,0)</f>
        <v>0</v>
      </c>
      <c r="X4942">
        <f>IF(AND(LEFT(D4942,4)+1=LEFT(' Pivot Tables'!$A$4,4)+0,RIGHT(LEFT(D4942,7),2)=RIGHT(LEFT(' Pivot Tables'!$A$4,7),2)),1,0)</f>
        <v>1</v>
      </c>
      <c r="Y4942" s="6">
        <f>1/COUNTIF(Таблица1[Order ID],Таблица1[[#This Row],[Order ID]])</f>
        <v>0.5</v>
      </c>
      <c r="Z4942" s="9">
        <f>1/COUNTIFS(Таблица1[Customer Name],Таблица1[[#This Row],[Customer Name]],Таблица1[Order-Year-Month],Таблица1[[#This Row],[Order-Year-Month]])</f>
        <v>0.5</v>
      </c>
    </row>
    <row r="4943" spans="1:26" x14ac:dyDescent="0.2">
      <c r="A4943" s="6">
        <v>1461</v>
      </c>
      <c r="B4943" s="7">
        <v>10530</v>
      </c>
      <c r="C4943" s="8">
        <f>DATE(2012,12,31)-1434</f>
        <v>39840</v>
      </c>
      <c r="D4943" s="8" t="str">
        <f t="shared" si="92"/>
        <v>2009-01 (январь 2009)</v>
      </c>
      <c r="E4943" s="9" t="s">
        <v>63</v>
      </c>
      <c r="F4943" s="7">
        <v>4</v>
      </c>
      <c r="G4943" s="7">
        <v>377.21299999999997</v>
      </c>
      <c r="H4943" s="7">
        <v>0.02</v>
      </c>
      <c r="I4943" s="9" t="s">
        <v>22</v>
      </c>
      <c r="J4943" s="10">
        <v>-411.65300000000002</v>
      </c>
      <c r="K4943" s="11">
        <v>110.99</v>
      </c>
      <c r="L4943" s="11">
        <v>2.5</v>
      </c>
      <c r="M4943" s="9" t="s">
        <v>1862</v>
      </c>
      <c r="N4943" s="6" t="s">
        <v>672</v>
      </c>
      <c r="O4943" s="6" t="s">
        <v>673</v>
      </c>
      <c r="P4943" s="9" t="s">
        <v>33</v>
      </c>
      <c r="Q4943" s="9" t="s">
        <v>42</v>
      </c>
      <c r="R4943" s="9" t="s">
        <v>43</v>
      </c>
      <c r="S4943" s="7" t="s">
        <v>493</v>
      </c>
      <c r="T4943" s="9" t="s">
        <v>39</v>
      </c>
      <c r="U4943" s="7">
        <v>0.56999999999999995</v>
      </c>
      <c r="V4943" s="12">
        <f>C4943+2</f>
        <v>39842</v>
      </c>
      <c r="W4943">
        <f>IF(D4943=' Pivot Tables'!$A$4,1,0)</f>
        <v>0</v>
      </c>
      <c r="X4943">
        <f>IF(AND(LEFT(D4943,4)+1=LEFT(' Pivot Tables'!$A$4,4)+0,RIGHT(LEFT(D4943,7),2)=RIGHT(LEFT(' Pivot Tables'!$A$4,7),2)),1,0)</f>
        <v>1</v>
      </c>
      <c r="Y4943" s="6">
        <f>1/COUNTIF(Таблица1[Order ID],Таблица1[[#This Row],[Order ID]])</f>
        <v>1</v>
      </c>
      <c r="Z4943" s="9">
        <f>1/COUNTIFS(Таблица1[Customer Name],Таблица1[[#This Row],[Customer Name]],Таблица1[Order-Year-Month],Таблица1[[#This Row],[Order-Year-Month]])</f>
        <v>0.33333333333333331</v>
      </c>
    </row>
    <row r="4944" spans="1:26" x14ac:dyDescent="0.2">
      <c r="A4944" s="6">
        <v>1563</v>
      </c>
      <c r="B4944" s="7">
        <v>11270</v>
      </c>
      <c r="C4944" s="8">
        <f>DATE(2012,12,31)-550</f>
        <v>40724</v>
      </c>
      <c r="D4944" s="8" t="str">
        <f t="shared" si="92"/>
        <v>2011-06 (июнь 2011)</v>
      </c>
      <c r="E4944" s="9" t="s">
        <v>30</v>
      </c>
      <c r="F4944" s="7">
        <v>15</v>
      </c>
      <c r="G4944" s="7">
        <v>140.07</v>
      </c>
      <c r="H4944" s="7">
        <v>0.04</v>
      </c>
      <c r="I4944" s="9" t="s">
        <v>56</v>
      </c>
      <c r="J4944" s="10">
        <v>-21.85</v>
      </c>
      <c r="K4944" s="11">
        <v>8.6</v>
      </c>
      <c r="L4944" s="11">
        <v>6.19</v>
      </c>
      <c r="M4944" s="9" t="s">
        <v>982</v>
      </c>
      <c r="N4944" s="6" t="s">
        <v>672</v>
      </c>
      <c r="O4944" s="6" t="s">
        <v>673</v>
      </c>
      <c r="P4944" s="9" t="s">
        <v>41</v>
      </c>
      <c r="Q4944" s="9" t="s">
        <v>26</v>
      </c>
      <c r="R4944" s="9" t="s">
        <v>37</v>
      </c>
      <c r="S4944" s="7" t="s">
        <v>872</v>
      </c>
      <c r="T4944" s="9" t="s">
        <v>39</v>
      </c>
      <c r="U4944" s="7">
        <v>0.38</v>
      </c>
      <c r="V4944" s="12">
        <f>C4944+1</f>
        <v>40725</v>
      </c>
      <c r="W4944">
        <f>IF(D4944=' Pivot Tables'!$A$4,1,0)</f>
        <v>0</v>
      </c>
      <c r="X4944">
        <f>IF(AND(LEFT(D4944,4)+1=LEFT(' Pivot Tables'!$A$4,4)+0,RIGHT(LEFT(D4944,7),2)=RIGHT(LEFT(' Pivot Tables'!$A$4,7),2)),1,0)</f>
        <v>0</v>
      </c>
      <c r="Y4944" s="6">
        <f>1/COUNTIF(Таблица1[Order ID],Таблица1[[#This Row],[Order ID]])</f>
        <v>1</v>
      </c>
      <c r="Z4944" s="9">
        <f>1/COUNTIFS(Таблица1[Customer Name],Таблица1[[#This Row],[Customer Name]],Таблица1[Order-Year-Month],Таблица1[[#This Row],[Order-Year-Month]])</f>
        <v>0.5</v>
      </c>
    </row>
    <row r="4945" spans="1:26" x14ac:dyDescent="0.2">
      <c r="A4945" s="6">
        <v>1587</v>
      </c>
      <c r="B4945" s="7">
        <v>11431</v>
      </c>
      <c r="C4945" s="8">
        <f>DATE(2012,12,31)-152</f>
        <v>41122</v>
      </c>
      <c r="D4945" s="8" t="str">
        <f t="shared" si="92"/>
        <v>2012-08 (август 2012)</v>
      </c>
      <c r="E4945" s="9" t="s">
        <v>30</v>
      </c>
      <c r="F4945" s="7">
        <v>5</v>
      </c>
      <c r="G4945" s="7">
        <v>39.68</v>
      </c>
      <c r="H4945" s="7">
        <v>0.09</v>
      </c>
      <c r="I4945" s="9" t="s">
        <v>22</v>
      </c>
      <c r="J4945" s="10">
        <v>-6.71</v>
      </c>
      <c r="K4945" s="11">
        <v>8.01</v>
      </c>
      <c r="L4945" s="11">
        <v>2.87</v>
      </c>
      <c r="M4945" s="9" t="s">
        <v>1864</v>
      </c>
      <c r="N4945" s="6" t="s">
        <v>672</v>
      </c>
      <c r="O4945" s="6" t="s">
        <v>673</v>
      </c>
      <c r="P4945" s="9" t="s">
        <v>25</v>
      </c>
      <c r="Q4945" s="9" t="s">
        <v>26</v>
      </c>
      <c r="R4945" s="9" t="s">
        <v>61</v>
      </c>
      <c r="S4945" s="7" t="s">
        <v>701</v>
      </c>
      <c r="T4945" s="9" t="s">
        <v>68</v>
      </c>
      <c r="U4945" s="7">
        <v>0.4</v>
      </c>
      <c r="V4945" s="12">
        <f>C4945+2</f>
        <v>41124</v>
      </c>
      <c r="W4945">
        <f>IF(D4945=' Pivot Tables'!$A$4,1,0)</f>
        <v>0</v>
      </c>
      <c r="X4945">
        <f>IF(AND(LEFT(D4945,4)+1=LEFT(' Pivot Tables'!$A$4,4)+0,RIGHT(LEFT(D4945,7),2)=RIGHT(LEFT(' Pivot Tables'!$A$4,7),2)),1,0)</f>
        <v>0</v>
      </c>
      <c r="Y4945" s="6">
        <f>1/COUNTIF(Таблица1[Order ID],Таблица1[[#This Row],[Order ID]])</f>
        <v>0.5</v>
      </c>
      <c r="Z4945" s="9">
        <f>1/COUNTIFS(Таблица1[Customer Name],Таблица1[[#This Row],[Customer Name]],Таблица1[Order-Year-Month],Таблица1[[#This Row],[Order-Year-Month]])</f>
        <v>0.5</v>
      </c>
    </row>
    <row r="4946" spans="1:26" x14ac:dyDescent="0.2">
      <c r="A4946" s="6">
        <v>1588</v>
      </c>
      <c r="B4946" s="7">
        <v>11431</v>
      </c>
      <c r="C4946" s="8">
        <f>DATE(2012,12,31)-152</f>
        <v>41122</v>
      </c>
      <c r="D4946" s="8" t="str">
        <f t="shared" si="92"/>
        <v>2012-08 (август 2012)</v>
      </c>
      <c r="E4946" s="9" t="s">
        <v>30</v>
      </c>
      <c r="F4946" s="7">
        <v>8</v>
      </c>
      <c r="G4946" s="7">
        <v>1273.2660000000001</v>
      </c>
      <c r="H4946" s="7">
        <v>0.1</v>
      </c>
      <c r="I4946" s="9" t="s">
        <v>22</v>
      </c>
      <c r="J4946" s="10">
        <v>-615.66999999999996</v>
      </c>
      <c r="K4946" s="11">
        <v>205.99</v>
      </c>
      <c r="L4946" s="11">
        <v>8.99</v>
      </c>
      <c r="M4946" s="9" t="s">
        <v>1864</v>
      </c>
      <c r="N4946" s="6" t="s">
        <v>672</v>
      </c>
      <c r="O4946" s="6" t="s">
        <v>673</v>
      </c>
      <c r="P4946" s="9" t="s">
        <v>25</v>
      </c>
      <c r="Q4946" s="9" t="s">
        <v>42</v>
      </c>
      <c r="R4946" s="9" t="s">
        <v>43</v>
      </c>
      <c r="S4946" s="7" t="s">
        <v>1162</v>
      </c>
      <c r="T4946" s="9" t="s">
        <v>39</v>
      </c>
      <c r="U4946" s="7">
        <v>0.57999999999999996</v>
      </c>
      <c r="V4946" s="12">
        <f>C4946+1</f>
        <v>41123</v>
      </c>
      <c r="W4946">
        <f>IF(D4946=' Pivot Tables'!$A$4,1,0)</f>
        <v>0</v>
      </c>
      <c r="X4946">
        <f>IF(AND(LEFT(D4946,4)+1=LEFT(' Pivot Tables'!$A$4,4)+0,RIGHT(LEFT(D4946,7),2)=RIGHT(LEFT(' Pivot Tables'!$A$4,7),2)),1,0)</f>
        <v>0</v>
      </c>
      <c r="Y4946" s="6">
        <f>1/COUNTIF(Таблица1[Order ID],Таблица1[[#This Row],[Order ID]])</f>
        <v>0.5</v>
      </c>
      <c r="Z4946" s="9">
        <f>1/COUNTIFS(Таблица1[Customer Name],Таблица1[[#This Row],[Customer Name]],Таблица1[Order-Year-Month],Таблица1[[#This Row],[Order-Year-Month]])</f>
        <v>0.5</v>
      </c>
    </row>
    <row r="4947" spans="1:26" x14ac:dyDescent="0.2">
      <c r="A4947" s="6">
        <v>1634</v>
      </c>
      <c r="B4947" s="7">
        <v>11815</v>
      </c>
      <c r="C4947" s="8">
        <f>DATE(2012,12,31)-476</f>
        <v>40798</v>
      </c>
      <c r="D4947" s="8" t="str">
        <f t="shared" si="92"/>
        <v>2011-09 (сентябрь 2011)</v>
      </c>
      <c r="E4947" s="9" t="s">
        <v>21</v>
      </c>
      <c r="F4947" s="7">
        <v>22</v>
      </c>
      <c r="G4947" s="7">
        <v>351.27</v>
      </c>
      <c r="H4947" s="7">
        <v>0.08</v>
      </c>
      <c r="I4947" s="9" t="s">
        <v>22</v>
      </c>
      <c r="J4947" s="10">
        <v>-37.22</v>
      </c>
      <c r="K4947" s="11">
        <v>15.73</v>
      </c>
      <c r="L4947" s="11">
        <v>7.42</v>
      </c>
      <c r="M4947" s="9" t="s">
        <v>1876</v>
      </c>
      <c r="N4947" s="6" t="s">
        <v>672</v>
      </c>
      <c r="O4947" s="6" t="s">
        <v>673</v>
      </c>
      <c r="P4947" s="9" t="s">
        <v>33</v>
      </c>
      <c r="Q4947" s="9" t="s">
        <v>26</v>
      </c>
      <c r="R4947" s="9" t="s">
        <v>150</v>
      </c>
      <c r="S4947" s="7" t="s">
        <v>1287</v>
      </c>
      <c r="T4947" s="9" t="s">
        <v>52</v>
      </c>
      <c r="U4947" s="7">
        <v>0.56000000000000005</v>
      </c>
      <c r="V4947" s="12">
        <f>C4947+2</f>
        <v>40800</v>
      </c>
      <c r="W4947">
        <f>IF(D4947=' Pivot Tables'!$A$4,1,0)</f>
        <v>0</v>
      </c>
      <c r="X4947">
        <f>IF(AND(LEFT(D4947,4)+1=LEFT(' Pivot Tables'!$A$4,4)+0,RIGHT(LEFT(D4947,7),2)=RIGHT(LEFT(' Pivot Tables'!$A$4,7),2)),1,0)</f>
        <v>0</v>
      </c>
      <c r="Y4947" s="6">
        <f>1/COUNTIF(Таблица1[Order ID],Таблица1[[#This Row],[Order ID]])</f>
        <v>1</v>
      </c>
      <c r="Z4947" s="9">
        <f>1/COUNTIFS(Таблица1[Customer Name],Таблица1[[#This Row],[Customer Name]],Таблица1[Order-Year-Month],Таблица1[[#This Row],[Order-Year-Month]])</f>
        <v>1</v>
      </c>
    </row>
    <row r="4948" spans="1:26" x14ac:dyDescent="0.2">
      <c r="A4948" s="6">
        <v>1677</v>
      </c>
      <c r="B4948" s="7">
        <v>12097</v>
      </c>
      <c r="C4948" s="8">
        <f>DATE(2012,12,31)-783</f>
        <v>40491</v>
      </c>
      <c r="D4948" s="8" t="str">
        <f t="shared" si="92"/>
        <v>2010-11 (ноябрь 2010)</v>
      </c>
      <c r="E4948" s="9" t="s">
        <v>78</v>
      </c>
      <c r="F4948" s="7">
        <v>9</v>
      </c>
      <c r="G4948" s="7">
        <v>49.89</v>
      </c>
      <c r="H4948" s="7">
        <v>0.06</v>
      </c>
      <c r="I4948" s="9" t="s">
        <v>22</v>
      </c>
      <c r="J4948" s="10">
        <v>-30.84</v>
      </c>
      <c r="K4948" s="11">
        <v>4.9800000000000004</v>
      </c>
      <c r="L4948" s="11">
        <v>6.07</v>
      </c>
      <c r="M4948" s="9" t="s">
        <v>982</v>
      </c>
      <c r="N4948" s="6" t="s">
        <v>672</v>
      </c>
      <c r="O4948" s="6" t="s">
        <v>673</v>
      </c>
      <c r="P4948" s="9" t="s">
        <v>33</v>
      </c>
      <c r="Q4948" s="9" t="s">
        <v>26</v>
      </c>
      <c r="R4948" s="9" t="s">
        <v>61</v>
      </c>
      <c r="S4948" s="7" t="s">
        <v>352</v>
      </c>
      <c r="T4948" s="9" t="s">
        <v>39</v>
      </c>
      <c r="U4948" s="7">
        <v>0.36</v>
      </c>
      <c r="V4948" s="12">
        <f>C4948+2</f>
        <v>40493</v>
      </c>
      <c r="W4948">
        <f>IF(D4948=' Pivot Tables'!$A$4,1,0)</f>
        <v>0</v>
      </c>
      <c r="X4948">
        <f>IF(AND(LEFT(D4948,4)+1=LEFT(' Pivot Tables'!$A$4,4)+0,RIGHT(LEFT(D4948,7),2)=RIGHT(LEFT(' Pivot Tables'!$A$4,7),2)),1,0)</f>
        <v>0</v>
      </c>
      <c r="Y4948" s="6">
        <f>1/COUNTIF(Таблица1[Order ID],Таблица1[[#This Row],[Order ID]])</f>
        <v>0.5</v>
      </c>
      <c r="Z4948" s="9">
        <f>1/COUNTIFS(Таблица1[Customer Name],Таблица1[[#This Row],[Customer Name]],Таблица1[Order-Year-Month],Таблица1[[#This Row],[Order-Year-Month]])</f>
        <v>0.5</v>
      </c>
    </row>
    <row r="4949" spans="1:26" x14ac:dyDescent="0.2">
      <c r="A4949" s="6">
        <v>1678</v>
      </c>
      <c r="B4949" s="7">
        <v>12097</v>
      </c>
      <c r="C4949" s="8">
        <f>DATE(2012,12,31)-783</f>
        <v>40491</v>
      </c>
      <c r="D4949" s="8" t="str">
        <f t="shared" si="92"/>
        <v>2010-11 (ноябрь 2010)</v>
      </c>
      <c r="E4949" s="9" t="s">
        <v>78</v>
      </c>
      <c r="F4949" s="7">
        <v>25</v>
      </c>
      <c r="G4949" s="7">
        <v>1831.5289999999998</v>
      </c>
      <c r="H4949" s="7">
        <v>0</v>
      </c>
      <c r="I4949" s="9" t="s">
        <v>56</v>
      </c>
      <c r="J4949" s="10">
        <v>-139.97499999999999</v>
      </c>
      <c r="K4949" s="11">
        <v>85.99</v>
      </c>
      <c r="L4949" s="11">
        <v>0.99</v>
      </c>
      <c r="M4949" s="9" t="s">
        <v>982</v>
      </c>
      <c r="N4949" s="6" t="s">
        <v>672</v>
      </c>
      <c r="O4949" s="6" t="s">
        <v>673</v>
      </c>
      <c r="P4949" s="9" t="s">
        <v>33</v>
      </c>
      <c r="Q4949" s="9" t="s">
        <v>42</v>
      </c>
      <c r="R4949" s="9" t="s">
        <v>43</v>
      </c>
      <c r="S4949" s="7" t="s">
        <v>146</v>
      </c>
      <c r="T4949" s="9" t="s">
        <v>68</v>
      </c>
      <c r="U4949" s="7">
        <v>0.85</v>
      </c>
      <c r="V4949" s="12">
        <f>C4949+0</f>
        <v>40491</v>
      </c>
      <c r="W4949">
        <f>IF(D4949=' Pivot Tables'!$A$4,1,0)</f>
        <v>0</v>
      </c>
      <c r="X4949">
        <f>IF(AND(LEFT(D4949,4)+1=LEFT(' Pivot Tables'!$A$4,4)+0,RIGHT(LEFT(D4949,7),2)=RIGHT(LEFT(' Pivot Tables'!$A$4,7),2)),1,0)</f>
        <v>0</v>
      </c>
      <c r="Y4949" s="6">
        <f>1/COUNTIF(Таблица1[Order ID],Таблица1[[#This Row],[Order ID]])</f>
        <v>0.5</v>
      </c>
      <c r="Z4949" s="9">
        <f>1/COUNTIFS(Таблица1[Customer Name],Таблица1[[#This Row],[Customer Name]],Таблица1[Order-Year-Month],Таблица1[[#This Row],[Order-Year-Month]])</f>
        <v>0.5</v>
      </c>
    </row>
    <row r="4950" spans="1:26" x14ac:dyDescent="0.2">
      <c r="A4950" s="6">
        <v>1688</v>
      </c>
      <c r="B4950" s="7">
        <v>12196</v>
      </c>
      <c r="C4950" s="8">
        <f>DATE(2012,12,31)-943</f>
        <v>40331</v>
      </c>
      <c r="D4950" s="8" t="str">
        <f t="shared" si="92"/>
        <v>2010-06 (июнь 2010)</v>
      </c>
      <c r="E4950" s="9" t="s">
        <v>45</v>
      </c>
      <c r="F4950" s="7">
        <v>32</v>
      </c>
      <c r="G4950" s="7">
        <v>599.52</v>
      </c>
      <c r="H4950" s="7">
        <v>0.04</v>
      </c>
      <c r="I4950" s="9" t="s">
        <v>22</v>
      </c>
      <c r="J4950" s="10">
        <v>25.14</v>
      </c>
      <c r="K4950" s="11">
        <v>17.98</v>
      </c>
      <c r="L4950" s="11">
        <v>8.51</v>
      </c>
      <c r="M4950" s="9" t="s">
        <v>1854</v>
      </c>
      <c r="N4950" s="6" t="s">
        <v>672</v>
      </c>
      <c r="O4950" s="6" t="s">
        <v>673</v>
      </c>
      <c r="P4950" s="9" t="s">
        <v>33</v>
      </c>
      <c r="Q4950" s="9" t="s">
        <v>42</v>
      </c>
      <c r="R4950" s="9" t="s">
        <v>210</v>
      </c>
      <c r="S4950" s="7" t="s">
        <v>277</v>
      </c>
      <c r="T4950" s="9" t="s">
        <v>48</v>
      </c>
      <c r="U4950" s="7">
        <v>0.4</v>
      </c>
      <c r="V4950" s="12">
        <f>C4950+1</f>
        <v>40332</v>
      </c>
      <c r="W4950">
        <f>IF(D4950=' Pivot Tables'!$A$4,1,0)</f>
        <v>0</v>
      </c>
      <c r="X4950">
        <f>IF(AND(LEFT(D4950,4)+1=LEFT(' Pivot Tables'!$A$4,4)+0,RIGHT(LEFT(D4950,7),2)=RIGHT(LEFT(' Pivot Tables'!$A$4,7),2)),1,0)</f>
        <v>0</v>
      </c>
      <c r="Y4950" s="6">
        <f>1/COUNTIF(Таблица1[Order ID],Таблица1[[#This Row],[Order ID]])</f>
        <v>0.5</v>
      </c>
      <c r="Z4950" s="9">
        <f>1/COUNTIFS(Таблица1[Customer Name],Таблица1[[#This Row],[Customer Name]],Таблица1[Order-Year-Month],Таблица1[[#This Row],[Order-Year-Month]])</f>
        <v>0.5</v>
      </c>
    </row>
    <row r="4951" spans="1:26" x14ac:dyDescent="0.2">
      <c r="A4951" s="6">
        <v>1689</v>
      </c>
      <c r="B4951" s="7">
        <v>12196</v>
      </c>
      <c r="C4951" s="8">
        <f>DATE(2012,12,31)-943</f>
        <v>40331</v>
      </c>
      <c r="D4951" s="8" t="str">
        <f t="shared" si="92"/>
        <v>2010-06 (июнь 2010)</v>
      </c>
      <c r="E4951" s="9" t="s">
        <v>45</v>
      </c>
      <c r="F4951" s="7">
        <v>25</v>
      </c>
      <c r="G4951" s="7">
        <v>10330.94</v>
      </c>
      <c r="H4951" s="7">
        <v>7.0000000000000007E-2</v>
      </c>
      <c r="I4951" s="9" t="s">
        <v>22</v>
      </c>
      <c r="J4951" s="10">
        <v>2914.56</v>
      </c>
      <c r="K4951" s="11">
        <v>419.19</v>
      </c>
      <c r="L4951" s="11">
        <v>19.989999999999998</v>
      </c>
      <c r="M4951" s="9" t="s">
        <v>1854</v>
      </c>
      <c r="N4951" s="6" t="s">
        <v>672</v>
      </c>
      <c r="O4951" s="6" t="s">
        <v>673</v>
      </c>
      <c r="P4951" s="9" t="s">
        <v>33</v>
      </c>
      <c r="Q4951" s="9" t="s">
        <v>26</v>
      </c>
      <c r="R4951" s="9" t="s">
        <v>27</v>
      </c>
      <c r="S4951" s="7" t="s">
        <v>1655</v>
      </c>
      <c r="T4951" s="9" t="s">
        <v>39</v>
      </c>
      <c r="U4951" s="7">
        <v>0.57999999999999996</v>
      </c>
      <c r="V4951" s="12">
        <f>C4951+0</f>
        <v>40331</v>
      </c>
      <c r="W4951">
        <f>IF(D4951=' Pivot Tables'!$A$4,1,0)</f>
        <v>0</v>
      </c>
      <c r="X4951">
        <f>IF(AND(LEFT(D4951,4)+1=LEFT(' Pivot Tables'!$A$4,4)+0,RIGHT(LEFT(D4951,7),2)=RIGHT(LEFT(' Pivot Tables'!$A$4,7),2)),1,0)</f>
        <v>0</v>
      </c>
      <c r="Y4951" s="6">
        <f>1/COUNTIF(Таблица1[Order ID],Таблица1[[#This Row],[Order ID]])</f>
        <v>0.5</v>
      </c>
      <c r="Z4951" s="9">
        <f>1/COUNTIFS(Таблица1[Customer Name],Таблица1[[#This Row],[Customer Name]],Таблица1[Order-Year-Month],Таблица1[[#This Row],[Order-Year-Month]])</f>
        <v>0.5</v>
      </c>
    </row>
    <row r="4952" spans="1:26" x14ac:dyDescent="0.2">
      <c r="A4952" s="6">
        <v>1734</v>
      </c>
      <c r="B4952" s="7">
        <v>12451</v>
      </c>
      <c r="C4952" s="8">
        <f>DATE(2012,12,31)-987</f>
        <v>40287</v>
      </c>
      <c r="D4952" s="8" t="str">
        <f t="shared" si="92"/>
        <v>2010-04 (апрель 2010)</v>
      </c>
      <c r="E4952" s="9" t="s">
        <v>21</v>
      </c>
      <c r="F4952" s="7">
        <v>26</v>
      </c>
      <c r="G4952" s="7">
        <v>3662.16</v>
      </c>
      <c r="H4952" s="7">
        <v>0.01</v>
      </c>
      <c r="I4952" s="9" t="s">
        <v>31</v>
      </c>
      <c r="J4952" s="10">
        <v>-372.82</v>
      </c>
      <c r="K4952" s="11">
        <v>130.97999999999999</v>
      </c>
      <c r="L4952" s="11">
        <v>54.74</v>
      </c>
      <c r="M4952" s="9" t="s">
        <v>1848</v>
      </c>
      <c r="N4952" s="6" t="s">
        <v>672</v>
      </c>
      <c r="O4952" s="6" t="s">
        <v>673</v>
      </c>
      <c r="P4952" s="9" t="s">
        <v>25</v>
      </c>
      <c r="Q4952" s="9" t="s">
        <v>49</v>
      </c>
      <c r="R4952" s="9" t="s">
        <v>80</v>
      </c>
      <c r="S4952" s="7" t="s">
        <v>807</v>
      </c>
      <c r="T4952" s="9" t="s">
        <v>82</v>
      </c>
      <c r="U4952" s="7">
        <v>0.69</v>
      </c>
      <c r="V4952" s="12">
        <f>C4952+2</f>
        <v>40289</v>
      </c>
      <c r="W4952">
        <f>IF(D4952=' Pivot Tables'!$A$4,1,0)</f>
        <v>0</v>
      </c>
      <c r="X4952">
        <f>IF(AND(LEFT(D4952,4)+1=LEFT(' Pivot Tables'!$A$4,4)+0,RIGHT(LEFT(D4952,7),2)=RIGHT(LEFT(' Pivot Tables'!$A$4,7),2)),1,0)</f>
        <v>0</v>
      </c>
      <c r="Y4952" s="6">
        <f>1/COUNTIF(Таблица1[Order ID],Таблица1[[#This Row],[Order ID]])</f>
        <v>0.5</v>
      </c>
      <c r="Z4952" s="9">
        <f>1/COUNTIFS(Таблица1[Customer Name],Таблица1[[#This Row],[Customer Name]],Таблица1[Order-Year-Month],Таблица1[[#This Row],[Order-Year-Month]])</f>
        <v>0.5</v>
      </c>
    </row>
    <row r="4953" spans="1:26" x14ac:dyDescent="0.2">
      <c r="A4953" s="6">
        <v>1735</v>
      </c>
      <c r="B4953" s="7">
        <v>12451</v>
      </c>
      <c r="C4953" s="8">
        <f>DATE(2012,12,31)-987</f>
        <v>40287</v>
      </c>
      <c r="D4953" s="8" t="str">
        <f t="shared" si="92"/>
        <v>2010-04 (апрель 2010)</v>
      </c>
      <c r="E4953" s="9" t="s">
        <v>21</v>
      </c>
      <c r="F4953" s="7">
        <v>21</v>
      </c>
      <c r="G4953" s="7">
        <v>329.37</v>
      </c>
      <c r="H4953" s="7">
        <v>0.04</v>
      </c>
      <c r="I4953" s="9" t="s">
        <v>56</v>
      </c>
      <c r="J4953" s="10">
        <v>-53.57</v>
      </c>
      <c r="K4953" s="11">
        <v>15.14</v>
      </c>
      <c r="L4953" s="11">
        <v>4.53</v>
      </c>
      <c r="M4953" s="9" t="s">
        <v>1848</v>
      </c>
      <c r="N4953" s="6" t="s">
        <v>672</v>
      </c>
      <c r="O4953" s="6" t="s">
        <v>673</v>
      </c>
      <c r="P4953" s="9" t="s">
        <v>25</v>
      </c>
      <c r="Q4953" s="9" t="s">
        <v>26</v>
      </c>
      <c r="R4953" s="9" t="s">
        <v>27</v>
      </c>
      <c r="S4953" s="7" t="s">
        <v>721</v>
      </c>
      <c r="T4953" s="9" t="s">
        <v>39</v>
      </c>
      <c r="U4953" s="7">
        <v>0.81</v>
      </c>
      <c r="V4953" s="12">
        <f>C4953+2</f>
        <v>40289</v>
      </c>
      <c r="W4953">
        <f>IF(D4953=' Pivot Tables'!$A$4,1,0)</f>
        <v>0</v>
      </c>
      <c r="X4953">
        <f>IF(AND(LEFT(D4953,4)+1=LEFT(' Pivot Tables'!$A$4,4)+0,RIGHT(LEFT(D4953,7),2)=RIGHT(LEFT(' Pivot Tables'!$A$4,7),2)),1,0)</f>
        <v>0</v>
      </c>
      <c r="Y4953" s="6">
        <f>1/COUNTIF(Таблица1[Order ID],Таблица1[[#This Row],[Order ID]])</f>
        <v>0.5</v>
      </c>
      <c r="Z4953" s="9">
        <f>1/COUNTIFS(Таблица1[Customer Name],Таблица1[[#This Row],[Customer Name]],Таблица1[Order-Year-Month],Таблица1[[#This Row],[Order-Year-Month]])</f>
        <v>0.5</v>
      </c>
    </row>
    <row r="4954" spans="1:26" x14ac:dyDescent="0.2">
      <c r="A4954" s="6">
        <v>1742</v>
      </c>
      <c r="B4954" s="7">
        <v>12483</v>
      </c>
      <c r="C4954" s="8">
        <f>DATE(2012,12,31)-880</f>
        <v>40394</v>
      </c>
      <c r="D4954" s="8" t="str">
        <f t="shared" si="92"/>
        <v>2010-08 (август 2010)</v>
      </c>
      <c r="E4954" s="9" t="s">
        <v>78</v>
      </c>
      <c r="F4954" s="7">
        <v>14</v>
      </c>
      <c r="G4954" s="7">
        <v>1676.44</v>
      </c>
      <c r="H4954" s="7">
        <v>0.02</v>
      </c>
      <c r="I4954" s="9" t="s">
        <v>22</v>
      </c>
      <c r="J4954" s="10">
        <v>607.495</v>
      </c>
      <c r="K4954" s="11">
        <v>120.98</v>
      </c>
      <c r="L4954" s="11">
        <v>9.07</v>
      </c>
      <c r="M4954" s="9" t="s">
        <v>1877</v>
      </c>
      <c r="N4954" s="6" t="s">
        <v>672</v>
      </c>
      <c r="O4954" s="6" t="s">
        <v>673</v>
      </c>
      <c r="P4954" s="9" t="s">
        <v>60</v>
      </c>
      <c r="Q4954" s="9" t="s">
        <v>26</v>
      </c>
      <c r="R4954" s="9" t="s">
        <v>37</v>
      </c>
      <c r="S4954" s="7" t="s">
        <v>477</v>
      </c>
      <c r="T4954" s="9" t="s">
        <v>39</v>
      </c>
      <c r="U4954" s="7">
        <v>0.35</v>
      </c>
      <c r="V4954" s="12">
        <f>C4954+0</f>
        <v>40394</v>
      </c>
      <c r="W4954">
        <f>IF(D4954=' Pivot Tables'!$A$4,1,0)</f>
        <v>0</v>
      </c>
      <c r="X4954">
        <f>IF(AND(LEFT(D4954,4)+1=LEFT(' Pivot Tables'!$A$4,4)+0,RIGHT(LEFT(D4954,7),2)=RIGHT(LEFT(' Pivot Tables'!$A$4,7),2)),1,0)</f>
        <v>0</v>
      </c>
      <c r="Y4954" s="6">
        <f>1/COUNTIF(Таблица1[Order ID],Таблица1[[#This Row],[Order ID]])</f>
        <v>0.33333333333333331</v>
      </c>
      <c r="Z4954" s="9">
        <f>1/COUNTIFS(Таблица1[Customer Name],Таблица1[[#This Row],[Customer Name]],Таблица1[Order-Year-Month],Таблица1[[#This Row],[Order-Year-Month]])</f>
        <v>0.33333333333333331</v>
      </c>
    </row>
    <row r="4955" spans="1:26" x14ac:dyDescent="0.2">
      <c r="A4955" s="6">
        <v>1743</v>
      </c>
      <c r="B4955" s="7">
        <v>12483</v>
      </c>
      <c r="C4955" s="8">
        <f>DATE(2012,12,31)-880</f>
        <v>40394</v>
      </c>
      <c r="D4955" s="8" t="str">
        <f t="shared" si="92"/>
        <v>2010-08 (август 2010)</v>
      </c>
      <c r="E4955" s="9" t="s">
        <v>78</v>
      </c>
      <c r="F4955" s="7">
        <v>14</v>
      </c>
      <c r="G4955" s="7">
        <v>1406.07</v>
      </c>
      <c r="H4955" s="7">
        <v>0.1</v>
      </c>
      <c r="I4955" s="9" t="s">
        <v>31</v>
      </c>
      <c r="J4955" s="10">
        <v>-701.91</v>
      </c>
      <c r="K4955" s="11">
        <v>100.98</v>
      </c>
      <c r="L4955" s="11">
        <v>57.38</v>
      </c>
      <c r="M4955" s="9" t="s">
        <v>1877</v>
      </c>
      <c r="N4955" s="6" t="s">
        <v>672</v>
      </c>
      <c r="O4955" s="6" t="s">
        <v>673</v>
      </c>
      <c r="P4955" s="9" t="s">
        <v>60</v>
      </c>
      <c r="Q4955" s="9" t="s">
        <v>49</v>
      </c>
      <c r="R4955" s="9" t="s">
        <v>80</v>
      </c>
      <c r="S4955" s="7" t="s">
        <v>162</v>
      </c>
      <c r="T4955" s="9" t="s">
        <v>82</v>
      </c>
      <c r="U4955" s="7">
        <v>0.78</v>
      </c>
      <c r="V4955" s="12">
        <f>C4955+2</f>
        <v>40396</v>
      </c>
      <c r="W4955">
        <f>IF(D4955=' Pivot Tables'!$A$4,1,0)</f>
        <v>0</v>
      </c>
      <c r="X4955">
        <f>IF(AND(LEFT(D4955,4)+1=LEFT(' Pivot Tables'!$A$4,4)+0,RIGHT(LEFT(D4955,7),2)=RIGHT(LEFT(' Pivot Tables'!$A$4,7),2)),1,0)</f>
        <v>0</v>
      </c>
      <c r="Y4955" s="6">
        <f>1/COUNTIF(Таблица1[Order ID],Таблица1[[#This Row],[Order ID]])</f>
        <v>0.33333333333333331</v>
      </c>
      <c r="Z4955" s="9">
        <f>1/COUNTIFS(Таблица1[Customer Name],Таблица1[[#This Row],[Customer Name]],Таблица1[Order-Year-Month],Таблица1[[#This Row],[Order-Year-Month]])</f>
        <v>0.33333333333333331</v>
      </c>
    </row>
    <row r="4956" spans="1:26" x14ac:dyDescent="0.2">
      <c r="A4956" s="6">
        <v>1744</v>
      </c>
      <c r="B4956" s="7">
        <v>12483</v>
      </c>
      <c r="C4956" s="8">
        <f>DATE(2012,12,31)-880</f>
        <v>40394</v>
      </c>
      <c r="D4956" s="8" t="str">
        <f t="shared" si="92"/>
        <v>2010-08 (август 2010)</v>
      </c>
      <c r="E4956" s="9" t="s">
        <v>78</v>
      </c>
      <c r="F4956" s="7">
        <v>30</v>
      </c>
      <c r="G4956" s="7">
        <v>1771.67</v>
      </c>
      <c r="H4956" s="7">
        <v>0.09</v>
      </c>
      <c r="I4956" s="9" t="s">
        <v>22</v>
      </c>
      <c r="J4956" s="10">
        <v>338.95</v>
      </c>
      <c r="K4956" s="11">
        <v>59.76</v>
      </c>
      <c r="L4956" s="11">
        <v>9.7100000000000009</v>
      </c>
      <c r="M4956" s="9" t="s">
        <v>1877</v>
      </c>
      <c r="N4956" s="6" t="s">
        <v>672</v>
      </c>
      <c r="O4956" s="6" t="s">
        <v>673</v>
      </c>
      <c r="P4956" s="9" t="s">
        <v>60</v>
      </c>
      <c r="Q4956" s="9" t="s">
        <v>26</v>
      </c>
      <c r="R4956" s="9" t="s">
        <v>27</v>
      </c>
      <c r="S4956" s="7" t="s">
        <v>1617</v>
      </c>
      <c r="T4956" s="9" t="s">
        <v>39</v>
      </c>
      <c r="U4956" s="7">
        <v>0.56999999999999995</v>
      </c>
      <c r="V4956" s="12">
        <f>C4956+1</f>
        <v>40395</v>
      </c>
      <c r="W4956">
        <f>IF(D4956=' Pivot Tables'!$A$4,1,0)</f>
        <v>0</v>
      </c>
      <c r="X4956">
        <f>IF(AND(LEFT(D4956,4)+1=LEFT(' Pivot Tables'!$A$4,4)+0,RIGHT(LEFT(D4956,7),2)=RIGHT(LEFT(' Pivot Tables'!$A$4,7),2)),1,0)</f>
        <v>0</v>
      </c>
      <c r="Y4956" s="6">
        <f>1/COUNTIF(Таблица1[Order ID],Таблица1[[#This Row],[Order ID]])</f>
        <v>0.33333333333333331</v>
      </c>
      <c r="Z4956" s="9">
        <f>1/COUNTIFS(Таблица1[Customer Name],Таблица1[[#This Row],[Customer Name]],Таблица1[Order-Year-Month],Таблица1[[#This Row],[Order-Year-Month]])</f>
        <v>0.33333333333333331</v>
      </c>
    </row>
    <row r="4957" spans="1:26" x14ac:dyDescent="0.2">
      <c r="A4957" s="6">
        <v>1794</v>
      </c>
      <c r="B4957" s="7">
        <v>12867</v>
      </c>
      <c r="C4957" s="8">
        <f>DATE(2012,12,31)-661</f>
        <v>40613</v>
      </c>
      <c r="D4957" s="8" t="str">
        <f t="shared" si="92"/>
        <v>2011-03 (март 2011)</v>
      </c>
      <c r="E4957" s="9" t="s">
        <v>45</v>
      </c>
      <c r="F4957" s="7">
        <v>6</v>
      </c>
      <c r="G4957" s="7">
        <v>127.49</v>
      </c>
      <c r="H4957" s="7">
        <v>0.08</v>
      </c>
      <c r="I4957" s="9" t="s">
        <v>56</v>
      </c>
      <c r="J4957" s="10">
        <v>-57.95</v>
      </c>
      <c r="K4957" s="11">
        <v>19.98</v>
      </c>
      <c r="L4957" s="11">
        <v>4</v>
      </c>
      <c r="M4957" s="9" t="s">
        <v>1848</v>
      </c>
      <c r="N4957" s="6" t="s">
        <v>672</v>
      </c>
      <c r="O4957" s="6" t="s">
        <v>673</v>
      </c>
      <c r="P4957" s="9" t="s">
        <v>41</v>
      </c>
      <c r="Q4957" s="9" t="s">
        <v>42</v>
      </c>
      <c r="R4957" s="9" t="s">
        <v>70</v>
      </c>
      <c r="S4957" s="7" t="s">
        <v>655</v>
      </c>
      <c r="T4957" s="9" t="s">
        <v>39</v>
      </c>
      <c r="U4957" s="7">
        <v>0.68</v>
      </c>
      <c r="V4957" s="12">
        <f>C4957+0</f>
        <v>40613</v>
      </c>
      <c r="W4957">
        <f>IF(D4957=' Pivot Tables'!$A$4,1,0)</f>
        <v>0</v>
      </c>
      <c r="X4957">
        <f>IF(AND(LEFT(D4957,4)+1=LEFT(' Pivot Tables'!$A$4,4)+0,RIGHT(LEFT(D4957,7),2)=RIGHT(LEFT(' Pivot Tables'!$A$4,7),2)),1,0)</f>
        <v>0</v>
      </c>
      <c r="Y4957" s="6">
        <f>1/COUNTIF(Таблица1[Order ID],Таблица1[[#This Row],[Order ID]])</f>
        <v>1</v>
      </c>
      <c r="Z4957" s="9">
        <f>1/COUNTIFS(Таблица1[Customer Name],Таблица1[[#This Row],[Customer Name]],Таблица1[Order-Year-Month],Таблица1[[#This Row],[Order-Year-Month]])</f>
        <v>0.5</v>
      </c>
    </row>
    <row r="4958" spans="1:26" x14ac:dyDescent="0.2">
      <c r="A4958" s="6">
        <v>1805</v>
      </c>
      <c r="B4958" s="7">
        <v>12903</v>
      </c>
      <c r="C4958" s="8">
        <f>DATE(2012,12,31)-1193</f>
        <v>40081</v>
      </c>
      <c r="D4958" s="8" t="str">
        <f t="shared" si="92"/>
        <v>2009-09 (сентябрь 2009)</v>
      </c>
      <c r="E4958" s="9" t="s">
        <v>78</v>
      </c>
      <c r="F4958" s="7">
        <v>2</v>
      </c>
      <c r="G4958" s="7">
        <v>63.427</v>
      </c>
      <c r="H4958" s="7">
        <v>7.0000000000000007E-2</v>
      </c>
      <c r="I4958" s="9" t="s">
        <v>22</v>
      </c>
      <c r="J4958" s="10">
        <v>-191.785</v>
      </c>
      <c r="K4958" s="11">
        <v>35.99</v>
      </c>
      <c r="L4958" s="11">
        <v>5</v>
      </c>
      <c r="M4958" s="9" t="s">
        <v>1873</v>
      </c>
      <c r="N4958" s="6" t="s">
        <v>672</v>
      </c>
      <c r="O4958" s="6" t="s">
        <v>673</v>
      </c>
      <c r="P4958" s="9" t="s">
        <v>33</v>
      </c>
      <c r="Q4958" s="9" t="s">
        <v>42</v>
      </c>
      <c r="R4958" s="9" t="s">
        <v>43</v>
      </c>
      <c r="S4958" s="7" t="s">
        <v>677</v>
      </c>
      <c r="T4958" s="9" t="s">
        <v>68</v>
      </c>
      <c r="U4958" s="7">
        <v>0.82</v>
      </c>
      <c r="V4958" s="12">
        <f>C4958+2</f>
        <v>40083</v>
      </c>
      <c r="W4958">
        <f>IF(D4958=' Pivot Tables'!$A$4,1,0)</f>
        <v>0</v>
      </c>
      <c r="X4958">
        <f>IF(AND(LEFT(D4958,4)+1=LEFT(' Pivot Tables'!$A$4,4)+0,RIGHT(LEFT(D4958,7),2)=RIGHT(LEFT(' Pivot Tables'!$A$4,7),2)),1,0)</f>
        <v>0</v>
      </c>
      <c r="Y4958" s="6">
        <f>1/COUNTIF(Таблица1[Order ID],Таблица1[[#This Row],[Order ID]])</f>
        <v>1</v>
      </c>
      <c r="Z4958" s="9">
        <f>1/COUNTIFS(Таблица1[Customer Name],Таблица1[[#This Row],[Customer Name]],Таблица1[Order-Year-Month],Таблица1[[#This Row],[Order-Year-Month]])</f>
        <v>1</v>
      </c>
    </row>
    <row r="4959" spans="1:26" x14ac:dyDescent="0.2">
      <c r="A4959" s="6">
        <v>1881</v>
      </c>
      <c r="B4959" s="7">
        <v>13540</v>
      </c>
      <c r="C4959" s="8">
        <f>DATE(2012,12,31)-953</f>
        <v>40321</v>
      </c>
      <c r="D4959" s="8" t="str">
        <f t="shared" si="92"/>
        <v>2010-05 (май 2010)</v>
      </c>
      <c r="E4959" s="9" t="s">
        <v>30</v>
      </c>
      <c r="F4959" s="7">
        <v>31</v>
      </c>
      <c r="G4959" s="7">
        <v>259.58999999999997</v>
      </c>
      <c r="H4959" s="7">
        <v>0.06</v>
      </c>
      <c r="I4959" s="9" t="s">
        <v>22</v>
      </c>
      <c r="J4959" s="10">
        <v>34.79</v>
      </c>
      <c r="K4959" s="11">
        <v>8.5</v>
      </c>
      <c r="L4959" s="11">
        <v>1.99</v>
      </c>
      <c r="M4959" s="9" t="s">
        <v>1687</v>
      </c>
      <c r="N4959" s="6" t="s">
        <v>672</v>
      </c>
      <c r="O4959" s="6" t="s">
        <v>673</v>
      </c>
      <c r="P4959" s="9" t="s">
        <v>33</v>
      </c>
      <c r="Q4959" s="9" t="s">
        <v>42</v>
      </c>
      <c r="R4959" s="9" t="s">
        <v>70</v>
      </c>
      <c r="S4959" s="7" t="s">
        <v>863</v>
      </c>
      <c r="T4959" s="9" t="s">
        <v>52</v>
      </c>
      <c r="U4959" s="7">
        <v>0.49</v>
      </c>
      <c r="V4959" s="12">
        <f>C4959+0</f>
        <v>40321</v>
      </c>
      <c r="W4959">
        <f>IF(D4959=' Pivot Tables'!$A$4,1,0)</f>
        <v>0</v>
      </c>
      <c r="X4959">
        <f>IF(AND(LEFT(D4959,4)+1=LEFT(' Pivot Tables'!$A$4,4)+0,RIGHT(LEFT(D4959,7),2)=RIGHT(LEFT(' Pivot Tables'!$A$4,7),2)),1,0)</f>
        <v>0</v>
      </c>
      <c r="Y4959" s="6">
        <f>1/COUNTIF(Таблица1[Order ID],Таблица1[[#This Row],[Order ID]])</f>
        <v>0.2</v>
      </c>
      <c r="Z4959" s="9">
        <f>1/COUNTIFS(Таблица1[Customer Name],Таблица1[[#This Row],[Customer Name]],Таблица1[Order-Year-Month],Таблица1[[#This Row],[Order-Year-Month]])</f>
        <v>0.2</v>
      </c>
    </row>
    <row r="4960" spans="1:26" x14ac:dyDescent="0.2">
      <c r="A4960" s="6">
        <v>1882</v>
      </c>
      <c r="B4960" s="7">
        <v>13540</v>
      </c>
      <c r="C4960" s="8">
        <f>DATE(2012,12,31)-953</f>
        <v>40321</v>
      </c>
      <c r="D4960" s="8" t="str">
        <f t="shared" si="92"/>
        <v>2010-05 (май 2010)</v>
      </c>
      <c r="E4960" s="9" t="s">
        <v>30</v>
      </c>
      <c r="F4960" s="7">
        <v>16</v>
      </c>
      <c r="G4960" s="7">
        <v>34.93</v>
      </c>
      <c r="H4960" s="7">
        <v>0.04</v>
      </c>
      <c r="I4960" s="9" t="s">
        <v>22</v>
      </c>
      <c r="J4960" s="10">
        <v>-5.0000000000000711E-2</v>
      </c>
      <c r="K4960" s="11">
        <v>2.1800000000000002</v>
      </c>
      <c r="L4960" s="11">
        <v>0.78</v>
      </c>
      <c r="M4960" s="9" t="s">
        <v>1687</v>
      </c>
      <c r="N4960" s="6" t="s">
        <v>672</v>
      </c>
      <c r="O4960" s="6" t="s">
        <v>673</v>
      </c>
      <c r="P4960" s="9" t="s">
        <v>33</v>
      </c>
      <c r="Q4960" s="9" t="s">
        <v>26</v>
      </c>
      <c r="R4960" s="9" t="s">
        <v>66</v>
      </c>
      <c r="S4960" s="7" t="s">
        <v>428</v>
      </c>
      <c r="T4960" s="9" t="s">
        <v>68</v>
      </c>
      <c r="U4960" s="7">
        <v>0.52</v>
      </c>
      <c r="V4960" s="12">
        <f>C4960+0</f>
        <v>40321</v>
      </c>
      <c r="W4960">
        <f>IF(D4960=' Pivot Tables'!$A$4,1,0)</f>
        <v>0</v>
      </c>
      <c r="X4960">
        <f>IF(AND(LEFT(D4960,4)+1=LEFT(' Pivot Tables'!$A$4,4)+0,RIGHT(LEFT(D4960,7),2)=RIGHT(LEFT(' Pivot Tables'!$A$4,7),2)),1,0)</f>
        <v>0</v>
      </c>
      <c r="Y4960" s="6">
        <f>1/COUNTIF(Таблица1[Order ID],Таблица1[[#This Row],[Order ID]])</f>
        <v>0.2</v>
      </c>
      <c r="Z4960" s="9">
        <f>1/COUNTIFS(Таблица1[Customer Name],Таблица1[[#This Row],[Customer Name]],Таблица1[Order-Year-Month],Таблица1[[#This Row],[Order-Year-Month]])</f>
        <v>0.2</v>
      </c>
    </row>
    <row r="4961" spans="1:26" x14ac:dyDescent="0.2">
      <c r="A4961" s="6">
        <v>1883</v>
      </c>
      <c r="B4961" s="7">
        <v>13540</v>
      </c>
      <c r="C4961" s="8">
        <f>DATE(2012,12,31)-953</f>
        <v>40321</v>
      </c>
      <c r="D4961" s="8" t="str">
        <f t="shared" si="92"/>
        <v>2010-05 (май 2010)</v>
      </c>
      <c r="E4961" s="9" t="s">
        <v>30</v>
      </c>
      <c r="F4961" s="7">
        <v>33</v>
      </c>
      <c r="G4961" s="7">
        <v>431.06</v>
      </c>
      <c r="H4961" s="7">
        <v>0.02</v>
      </c>
      <c r="I4961" s="9" t="s">
        <v>22</v>
      </c>
      <c r="J4961" s="10">
        <v>-26.78</v>
      </c>
      <c r="K4961" s="11">
        <v>12.28</v>
      </c>
      <c r="L4961" s="11">
        <v>6.13</v>
      </c>
      <c r="M4961" s="9" t="s">
        <v>1687</v>
      </c>
      <c r="N4961" s="6" t="s">
        <v>672</v>
      </c>
      <c r="O4961" s="6" t="s">
        <v>673</v>
      </c>
      <c r="P4961" s="9" t="s">
        <v>33</v>
      </c>
      <c r="Q4961" s="9" t="s">
        <v>26</v>
      </c>
      <c r="R4961" s="9" t="s">
        <v>27</v>
      </c>
      <c r="S4961" s="7" t="s">
        <v>275</v>
      </c>
      <c r="T4961" s="9" t="s">
        <v>39</v>
      </c>
      <c r="U4961" s="7">
        <v>0.56999999999999995</v>
      </c>
      <c r="V4961" s="12">
        <f>C4961+0</f>
        <v>40321</v>
      </c>
      <c r="W4961">
        <f>IF(D4961=' Pivot Tables'!$A$4,1,0)</f>
        <v>0</v>
      </c>
      <c r="X4961">
        <f>IF(AND(LEFT(D4961,4)+1=LEFT(' Pivot Tables'!$A$4,4)+0,RIGHT(LEFT(D4961,7),2)=RIGHT(LEFT(' Pivot Tables'!$A$4,7),2)),1,0)</f>
        <v>0</v>
      </c>
      <c r="Y4961" s="6">
        <f>1/COUNTIF(Таблица1[Order ID],Таблица1[[#This Row],[Order ID]])</f>
        <v>0.2</v>
      </c>
      <c r="Z4961" s="9">
        <f>1/COUNTIFS(Таблица1[Customer Name],Таблица1[[#This Row],[Customer Name]],Таблица1[Order-Year-Month],Таблица1[[#This Row],[Order-Year-Month]])</f>
        <v>0.2</v>
      </c>
    </row>
    <row r="4962" spans="1:26" x14ac:dyDescent="0.2">
      <c r="A4962" s="6">
        <v>1919</v>
      </c>
      <c r="B4962" s="7">
        <v>13762</v>
      </c>
      <c r="C4962" s="8">
        <f>DATE(2012,12,31)-924</f>
        <v>40350</v>
      </c>
      <c r="D4962" s="8" t="str">
        <f t="shared" si="92"/>
        <v>2010-06 (июнь 2010)</v>
      </c>
      <c r="E4962" s="9" t="s">
        <v>63</v>
      </c>
      <c r="F4962" s="7">
        <v>8</v>
      </c>
      <c r="G4962" s="7">
        <v>55</v>
      </c>
      <c r="H4962" s="7">
        <v>0.05</v>
      </c>
      <c r="I4962" s="9" t="s">
        <v>22</v>
      </c>
      <c r="J4962" s="10">
        <v>-23.620999999999999</v>
      </c>
      <c r="K4962" s="11">
        <v>6.28</v>
      </c>
      <c r="L4962" s="11">
        <v>5.36</v>
      </c>
      <c r="M4962" s="9" t="s">
        <v>1797</v>
      </c>
      <c r="N4962" s="6" t="s">
        <v>672</v>
      </c>
      <c r="O4962" s="6" t="s">
        <v>673</v>
      </c>
      <c r="P4962" s="9" t="s">
        <v>41</v>
      </c>
      <c r="Q4962" s="9" t="s">
        <v>26</v>
      </c>
      <c r="R4962" s="9" t="s">
        <v>37</v>
      </c>
      <c r="S4962" s="7" t="s">
        <v>1205</v>
      </c>
      <c r="T4962" s="9" t="s">
        <v>39</v>
      </c>
      <c r="U4962" s="7">
        <v>0.4</v>
      </c>
      <c r="V4962" s="12">
        <f>C4962+3</f>
        <v>40353</v>
      </c>
      <c r="W4962">
        <f>IF(D4962=' Pivot Tables'!$A$4,1,0)</f>
        <v>0</v>
      </c>
      <c r="X4962">
        <f>IF(AND(LEFT(D4962,4)+1=LEFT(' Pivot Tables'!$A$4,4)+0,RIGHT(LEFT(D4962,7),2)=RIGHT(LEFT(' Pivot Tables'!$A$4,7),2)),1,0)</f>
        <v>0</v>
      </c>
      <c r="Y4962" s="6">
        <f>1/COUNTIF(Таблица1[Order ID],Таблица1[[#This Row],[Order ID]])</f>
        <v>0.33333333333333331</v>
      </c>
      <c r="Z4962" s="9">
        <f>1/COUNTIFS(Таблица1[Customer Name],Таблица1[[#This Row],[Customer Name]],Таблица1[Order-Year-Month],Таблица1[[#This Row],[Order-Year-Month]])</f>
        <v>0.33333333333333331</v>
      </c>
    </row>
    <row r="4963" spans="1:26" x14ac:dyDescent="0.2">
      <c r="A4963" s="6">
        <v>1920</v>
      </c>
      <c r="B4963" s="7">
        <v>13762</v>
      </c>
      <c r="C4963" s="8">
        <f>DATE(2012,12,31)-924</f>
        <v>40350</v>
      </c>
      <c r="D4963" s="8" t="str">
        <f t="shared" si="92"/>
        <v>2010-06 (июнь 2010)</v>
      </c>
      <c r="E4963" s="9" t="s">
        <v>63</v>
      </c>
      <c r="F4963" s="7">
        <v>7</v>
      </c>
      <c r="G4963" s="7">
        <v>51.66</v>
      </c>
      <c r="H4963" s="7">
        <v>0.06</v>
      </c>
      <c r="I4963" s="9" t="s">
        <v>22</v>
      </c>
      <c r="J4963" s="10">
        <v>7.4</v>
      </c>
      <c r="K4963" s="11">
        <v>7.64</v>
      </c>
      <c r="L4963" s="11">
        <v>1.39</v>
      </c>
      <c r="M4963" s="9" t="s">
        <v>1797</v>
      </c>
      <c r="N4963" s="6" t="s">
        <v>672</v>
      </c>
      <c r="O4963" s="6" t="s">
        <v>673</v>
      </c>
      <c r="P4963" s="9" t="s">
        <v>41</v>
      </c>
      <c r="Q4963" s="9" t="s">
        <v>26</v>
      </c>
      <c r="R4963" s="9" t="s">
        <v>76</v>
      </c>
      <c r="S4963" s="7" t="s">
        <v>1150</v>
      </c>
      <c r="T4963" s="9" t="s">
        <v>39</v>
      </c>
      <c r="U4963" s="7">
        <v>0.36</v>
      </c>
      <c r="V4963" s="12">
        <f>C4963+2</f>
        <v>40352</v>
      </c>
      <c r="W4963">
        <f>IF(D4963=' Pivot Tables'!$A$4,1,0)</f>
        <v>0</v>
      </c>
      <c r="X4963">
        <f>IF(AND(LEFT(D4963,4)+1=LEFT(' Pivot Tables'!$A$4,4)+0,RIGHT(LEFT(D4963,7),2)=RIGHT(LEFT(' Pivot Tables'!$A$4,7),2)),1,0)</f>
        <v>0</v>
      </c>
      <c r="Y4963" s="6">
        <f>1/COUNTIF(Таблица1[Order ID],Таблица1[[#This Row],[Order ID]])</f>
        <v>0.33333333333333331</v>
      </c>
      <c r="Z4963" s="9">
        <f>1/COUNTIFS(Таблица1[Customer Name],Таблица1[[#This Row],[Customer Name]],Таблица1[Order-Year-Month],Таблица1[[#This Row],[Order-Year-Month]])</f>
        <v>0.33333333333333331</v>
      </c>
    </row>
    <row r="4964" spans="1:26" x14ac:dyDescent="0.2">
      <c r="A4964" s="6">
        <v>1921</v>
      </c>
      <c r="B4964" s="7">
        <v>13762</v>
      </c>
      <c r="C4964" s="8">
        <f>DATE(2012,12,31)-924</f>
        <v>40350</v>
      </c>
      <c r="D4964" s="8" t="str">
        <f t="shared" si="92"/>
        <v>2010-06 (июнь 2010)</v>
      </c>
      <c r="E4964" s="9" t="s">
        <v>63</v>
      </c>
      <c r="F4964" s="7">
        <v>37</v>
      </c>
      <c r="G4964" s="7">
        <v>107.73</v>
      </c>
      <c r="H4964" s="7">
        <v>0.08</v>
      </c>
      <c r="I4964" s="9" t="s">
        <v>22</v>
      </c>
      <c r="J4964" s="10">
        <v>39.81</v>
      </c>
      <c r="K4964" s="11">
        <v>3.15</v>
      </c>
      <c r="L4964" s="11">
        <v>0.5</v>
      </c>
      <c r="M4964" s="9" t="s">
        <v>1797</v>
      </c>
      <c r="N4964" s="6" t="s">
        <v>672</v>
      </c>
      <c r="O4964" s="6" t="s">
        <v>673</v>
      </c>
      <c r="P4964" s="9" t="s">
        <v>41</v>
      </c>
      <c r="Q4964" s="9" t="s">
        <v>26</v>
      </c>
      <c r="R4964" s="9" t="s">
        <v>88</v>
      </c>
      <c r="S4964" s="7" t="s">
        <v>774</v>
      </c>
      <c r="T4964" s="9" t="s">
        <v>39</v>
      </c>
      <c r="U4964" s="7">
        <v>0.37</v>
      </c>
      <c r="V4964" s="12">
        <f>C4964+2</f>
        <v>40352</v>
      </c>
      <c r="W4964">
        <f>IF(D4964=' Pivot Tables'!$A$4,1,0)</f>
        <v>0</v>
      </c>
      <c r="X4964">
        <f>IF(AND(LEFT(D4964,4)+1=LEFT(' Pivot Tables'!$A$4,4)+0,RIGHT(LEFT(D4964,7),2)=RIGHT(LEFT(' Pivot Tables'!$A$4,7),2)),1,0)</f>
        <v>0</v>
      </c>
      <c r="Y4964" s="6">
        <f>1/COUNTIF(Таблица1[Order ID],Таблица1[[#This Row],[Order ID]])</f>
        <v>0.33333333333333331</v>
      </c>
      <c r="Z4964" s="9">
        <f>1/COUNTIFS(Таблица1[Customer Name],Таблица1[[#This Row],[Customer Name]],Таблица1[Order-Year-Month],Таблица1[[#This Row],[Order-Year-Month]])</f>
        <v>0.33333333333333331</v>
      </c>
    </row>
    <row r="4965" spans="1:26" x14ac:dyDescent="0.2">
      <c r="A4965" s="6">
        <v>2008</v>
      </c>
      <c r="B4965" s="7">
        <v>14336</v>
      </c>
      <c r="C4965" s="8">
        <f>DATE(2012,12,31)-1139</f>
        <v>40135</v>
      </c>
      <c r="D4965" s="8" t="str">
        <f t="shared" si="92"/>
        <v>2009-11 (ноябрь 2009)</v>
      </c>
      <c r="E4965" s="9" t="s">
        <v>30</v>
      </c>
      <c r="F4965" s="7">
        <v>4</v>
      </c>
      <c r="G4965" s="7">
        <v>174.55</v>
      </c>
      <c r="H4965" s="7">
        <v>0.05</v>
      </c>
      <c r="I4965" s="9" t="s">
        <v>56</v>
      </c>
      <c r="J4965" s="10">
        <v>-114.39</v>
      </c>
      <c r="K4965" s="11">
        <v>39.99</v>
      </c>
      <c r="L4965" s="11">
        <v>10.25</v>
      </c>
      <c r="M4965" s="9" t="s">
        <v>1856</v>
      </c>
      <c r="N4965" s="6" t="s">
        <v>672</v>
      </c>
      <c r="O4965" s="6" t="s">
        <v>673</v>
      </c>
      <c r="P4965" s="9" t="s">
        <v>33</v>
      </c>
      <c r="Q4965" s="9" t="s">
        <v>42</v>
      </c>
      <c r="R4965" s="9" t="s">
        <v>70</v>
      </c>
      <c r="S4965" s="7" t="s">
        <v>577</v>
      </c>
      <c r="T4965" s="9" t="s">
        <v>39</v>
      </c>
      <c r="U4965" s="7">
        <v>0.55000000000000004</v>
      </c>
      <c r="V4965" s="12">
        <f>C4965+1</f>
        <v>40136</v>
      </c>
      <c r="W4965">
        <f>IF(D4965=' Pivot Tables'!$A$4,1,0)</f>
        <v>0</v>
      </c>
      <c r="X4965">
        <f>IF(AND(LEFT(D4965,4)+1=LEFT(' Pivot Tables'!$A$4,4)+0,RIGHT(LEFT(D4965,7),2)=RIGHT(LEFT(' Pivot Tables'!$A$4,7),2)),1,0)</f>
        <v>0</v>
      </c>
      <c r="Y4965" s="6">
        <f>1/COUNTIF(Таблица1[Order ID],Таблица1[[#This Row],[Order ID]])</f>
        <v>1</v>
      </c>
      <c r="Z4965" s="9">
        <f>1/COUNTIFS(Таблица1[Customer Name],Таблица1[[#This Row],[Customer Name]],Таблица1[Order-Year-Month],Таблица1[[#This Row],[Order-Year-Month]])</f>
        <v>1</v>
      </c>
    </row>
    <row r="4966" spans="1:26" x14ac:dyDescent="0.2">
      <c r="A4966" s="6">
        <v>2016</v>
      </c>
      <c r="B4966" s="7">
        <v>14400</v>
      </c>
      <c r="C4966" s="8">
        <f>DATE(2012,12,31)-1426</f>
        <v>39848</v>
      </c>
      <c r="D4966" s="8" t="str">
        <f t="shared" si="92"/>
        <v>2009-02 (февраль 2009)</v>
      </c>
      <c r="E4966" s="9" t="s">
        <v>63</v>
      </c>
      <c r="F4966" s="7">
        <v>32</v>
      </c>
      <c r="G4966" s="7">
        <v>74.34</v>
      </c>
      <c r="H4966" s="7">
        <v>0.05</v>
      </c>
      <c r="I4966" s="9" t="s">
        <v>22</v>
      </c>
      <c r="J4966" s="10">
        <v>-166.55450000000002</v>
      </c>
      <c r="K4966" s="11">
        <v>2.16</v>
      </c>
      <c r="L4966" s="11">
        <v>6.05</v>
      </c>
      <c r="M4966" s="9" t="s">
        <v>1878</v>
      </c>
      <c r="N4966" s="6" t="s">
        <v>672</v>
      </c>
      <c r="O4966" s="6" t="s">
        <v>673</v>
      </c>
      <c r="P4966" s="9" t="s">
        <v>60</v>
      </c>
      <c r="Q4966" s="9" t="s">
        <v>26</v>
      </c>
      <c r="R4966" s="9" t="s">
        <v>37</v>
      </c>
      <c r="S4966" s="7" t="s">
        <v>516</v>
      </c>
      <c r="T4966" s="9" t="s">
        <v>39</v>
      </c>
      <c r="U4966" s="7">
        <v>0.37</v>
      </c>
      <c r="V4966" s="12">
        <f>C4966+1</f>
        <v>39849</v>
      </c>
      <c r="W4966">
        <f>IF(D4966=' Pivot Tables'!$A$4,1,0)</f>
        <v>0</v>
      </c>
      <c r="X4966">
        <f>IF(AND(LEFT(D4966,4)+1=LEFT(' Pivot Tables'!$A$4,4)+0,RIGHT(LEFT(D4966,7),2)=RIGHT(LEFT(' Pivot Tables'!$A$4,7),2)),1,0)</f>
        <v>0</v>
      </c>
      <c r="Y4966" s="6">
        <f>1/COUNTIF(Таблица1[Order ID],Таблица1[[#This Row],[Order ID]])</f>
        <v>0.33333333333333331</v>
      </c>
      <c r="Z4966" s="9">
        <f>1/COUNTIFS(Таблица1[Customer Name],Таблица1[[#This Row],[Customer Name]],Таблица1[Order-Year-Month],Таблица1[[#This Row],[Order-Year-Month]])</f>
        <v>0.33333333333333331</v>
      </c>
    </row>
    <row r="4967" spans="1:26" x14ac:dyDescent="0.2">
      <c r="A4967" s="6">
        <v>2017</v>
      </c>
      <c r="B4967" s="7">
        <v>14400</v>
      </c>
      <c r="C4967" s="8">
        <f>DATE(2012,12,31)-1426</f>
        <v>39848</v>
      </c>
      <c r="D4967" s="8" t="str">
        <f t="shared" si="92"/>
        <v>2009-02 (февраль 2009)</v>
      </c>
      <c r="E4967" s="9" t="s">
        <v>63</v>
      </c>
      <c r="F4967" s="7">
        <v>35</v>
      </c>
      <c r="G4967" s="7">
        <v>228.8</v>
      </c>
      <c r="H4967" s="7">
        <v>0.03</v>
      </c>
      <c r="I4967" s="9" t="s">
        <v>22</v>
      </c>
      <c r="J4967" s="10">
        <v>-99.08</v>
      </c>
      <c r="K4967" s="11">
        <v>6.48</v>
      </c>
      <c r="L4967" s="11">
        <v>6.6</v>
      </c>
      <c r="M4967" s="9" t="s">
        <v>1878</v>
      </c>
      <c r="N4967" s="6" t="s">
        <v>672</v>
      </c>
      <c r="O4967" s="6" t="s">
        <v>673</v>
      </c>
      <c r="P4967" s="9" t="s">
        <v>60</v>
      </c>
      <c r="Q4967" s="9" t="s">
        <v>26</v>
      </c>
      <c r="R4967" s="9" t="s">
        <v>61</v>
      </c>
      <c r="S4967" s="7" t="s">
        <v>346</v>
      </c>
      <c r="T4967" s="9" t="s">
        <v>39</v>
      </c>
      <c r="U4967" s="7">
        <v>0.37</v>
      </c>
      <c r="V4967" s="12">
        <f>C4967+1</f>
        <v>39849</v>
      </c>
      <c r="W4967">
        <f>IF(D4967=' Pivot Tables'!$A$4,1,0)</f>
        <v>0</v>
      </c>
      <c r="X4967">
        <f>IF(AND(LEFT(D4967,4)+1=LEFT(' Pivot Tables'!$A$4,4)+0,RIGHT(LEFT(D4967,7),2)=RIGHT(LEFT(' Pivot Tables'!$A$4,7),2)),1,0)</f>
        <v>0</v>
      </c>
      <c r="Y4967" s="6">
        <f>1/COUNTIF(Таблица1[Order ID],Таблица1[[#This Row],[Order ID]])</f>
        <v>0.33333333333333331</v>
      </c>
      <c r="Z4967" s="9">
        <f>1/COUNTIFS(Таблица1[Customer Name],Таблица1[[#This Row],[Customer Name]],Таблица1[Order-Year-Month],Таблица1[[#This Row],[Order-Year-Month]])</f>
        <v>0.33333333333333331</v>
      </c>
    </row>
    <row r="4968" spans="1:26" x14ac:dyDescent="0.2">
      <c r="A4968" s="6">
        <v>2018</v>
      </c>
      <c r="B4968" s="7">
        <v>14400</v>
      </c>
      <c r="C4968" s="8">
        <f>DATE(2012,12,31)-1426</f>
        <v>39848</v>
      </c>
      <c r="D4968" s="8" t="str">
        <f t="shared" si="92"/>
        <v>2009-02 (февраль 2009)</v>
      </c>
      <c r="E4968" s="9" t="s">
        <v>63</v>
      </c>
      <c r="F4968" s="7">
        <v>43</v>
      </c>
      <c r="G4968" s="7">
        <v>6089.05</v>
      </c>
      <c r="H4968" s="7">
        <v>0.08</v>
      </c>
      <c r="I4968" s="9" t="s">
        <v>31</v>
      </c>
      <c r="J4968" s="10">
        <v>-2110.56</v>
      </c>
      <c r="K4968" s="11">
        <v>146.05000000000001</v>
      </c>
      <c r="L4968" s="11">
        <v>80.2</v>
      </c>
      <c r="M4968" s="9" t="s">
        <v>1878</v>
      </c>
      <c r="N4968" s="6" t="s">
        <v>672</v>
      </c>
      <c r="O4968" s="6" t="s">
        <v>673</v>
      </c>
      <c r="P4968" s="9" t="s">
        <v>60</v>
      </c>
      <c r="Q4968" s="9" t="s">
        <v>49</v>
      </c>
      <c r="R4968" s="9" t="s">
        <v>83</v>
      </c>
      <c r="S4968" s="7" t="s">
        <v>1101</v>
      </c>
      <c r="T4968" s="9" t="s">
        <v>82</v>
      </c>
      <c r="U4968" s="7">
        <v>0.71</v>
      </c>
      <c r="V4968" s="12">
        <f>C4968+1</f>
        <v>39849</v>
      </c>
      <c r="W4968">
        <f>IF(D4968=' Pivot Tables'!$A$4,1,0)</f>
        <v>0</v>
      </c>
      <c r="X4968">
        <f>IF(AND(LEFT(D4968,4)+1=LEFT(' Pivot Tables'!$A$4,4)+0,RIGHT(LEFT(D4968,7),2)=RIGHT(LEFT(' Pivot Tables'!$A$4,7),2)),1,0)</f>
        <v>0</v>
      </c>
      <c r="Y4968" s="6">
        <f>1/COUNTIF(Таблица1[Order ID],Таблица1[[#This Row],[Order ID]])</f>
        <v>0.33333333333333331</v>
      </c>
      <c r="Z4968" s="9">
        <f>1/COUNTIFS(Таблица1[Customer Name],Таблица1[[#This Row],[Customer Name]],Таблица1[Order-Year-Month],Таблица1[[#This Row],[Order-Year-Month]])</f>
        <v>0.33333333333333331</v>
      </c>
    </row>
    <row r="4969" spans="1:26" x14ac:dyDescent="0.2">
      <c r="A4969" s="6">
        <v>2033</v>
      </c>
      <c r="B4969" s="7">
        <v>14500</v>
      </c>
      <c r="C4969" s="8">
        <f>DATE(2012,12,31)-556</f>
        <v>40718</v>
      </c>
      <c r="D4969" s="8" t="str">
        <f t="shared" si="92"/>
        <v>2011-06 (июнь 2011)</v>
      </c>
      <c r="E4969" s="9" t="s">
        <v>45</v>
      </c>
      <c r="F4969" s="7">
        <v>44</v>
      </c>
      <c r="G4969" s="7">
        <v>839.7</v>
      </c>
      <c r="H4969" s="7">
        <v>7.0000000000000007E-2</v>
      </c>
      <c r="I4969" s="9" t="s">
        <v>22</v>
      </c>
      <c r="J4969" s="10">
        <v>211.79</v>
      </c>
      <c r="K4969" s="11">
        <v>19.98</v>
      </c>
      <c r="L4969" s="11">
        <v>5.77</v>
      </c>
      <c r="M4969" s="9" t="s">
        <v>1879</v>
      </c>
      <c r="N4969" s="6" t="s">
        <v>672</v>
      </c>
      <c r="O4969" s="6" t="s">
        <v>673</v>
      </c>
      <c r="P4969" s="9" t="s">
        <v>33</v>
      </c>
      <c r="Q4969" s="9" t="s">
        <v>26</v>
      </c>
      <c r="R4969" s="9" t="s">
        <v>61</v>
      </c>
      <c r="S4969" s="7" t="s">
        <v>197</v>
      </c>
      <c r="T4969" s="9" t="s">
        <v>39</v>
      </c>
      <c r="U4969" s="7">
        <v>0.38</v>
      </c>
      <c r="V4969" s="12">
        <f>C4969+2</f>
        <v>40720</v>
      </c>
      <c r="W4969">
        <f>IF(D4969=' Pivot Tables'!$A$4,1,0)</f>
        <v>0</v>
      </c>
      <c r="X4969">
        <f>IF(AND(LEFT(D4969,4)+1=LEFT(' Pivot Tables'!$A$4,4)+0,RIGHT(LEFT(D4969,7),2)=RIGHT(LEFT(' Pivot Tables'!$A$4,7),2)),1,0)</f>
        <v>0</v>
      </c>
      <c r="Y4969" s="6">
        <f>1/COUNTIF(Таблица1[Order ID],Таблица1[[#This Row],[Order ID]])</f>
        <v>0.5</v>
      </c>
      <c r="Z4969" s="9">
        <f>1/COUNTIFS(Таблица1[Customer Name],Таблица1[[#This Row],[Customer Name]],Таблица1[Order-Year-Month],Таблица1[[#This Row],[Order-Year-Month]])</f>
        <v>0.5</v>
      </c>
    </row>
    <row r="4970" spans="1:26" x14ac:dyDescent="0.2">
      <c r="A4970" s="6">
        <v>2034</v>
      </c>
      <c r="B4970" s="7">
        <v>14500</v>
      </c>
      <c r="C4970" s="8">
        <f>DATE(2012,12,31)-556</f>
        <v>40718</v>
      </c>
      <c r="D4970" s="8" t="str">
        <f t="shared" si="92"/>
        <v>2011-06 (июнь 2011)</v>
      </c>
      <c r="E4970" s="9" t="s">
        <v>45</v>
      </c>
      <c r="F4970" s="7">
        <v>46</v>
      </c>
      <c r="G4970" s="7">
        <v>1662.5</v>
      </c>
      <c r="H4970" s="7">
        <v>0.01</v>
      </c>
      <c r="I4970" s="9" t="s">
        <v>22</v>
      </c>
      <c r="J4970" s="10">
        <v>289.02</v>
      </c>
      <c r="K4970" s="11">
        <v>34.58</v>
      </c>
      <c r="L4970" s="11">
        <v>8.99</v>
      </c>
      <c r="M4970" s="9" t="s">
        <v>1879</v>
      </c>
      <c r="N4970" s="6" t="s">
        <v>672</v>
      </c>
      <c r="O4970" s="6" t="s">
        <v>673</v>
      </c>
      <c r="P4970" s="9" t="s">
        <v>33</v>
      </c>
      <c r="Q4970" s="9" t="s">
        <v>26</v>
      </c>
      <c r="R4970" s="9" t="s">
        <v>95</v>
      </c>
      <c r="S4970" s="7" t="s">
        <v>713</v>
      </c>
      <c r="T4970" s="9" t="s">
        <v>52</v>
      </c>
      <c r="U4970" s="7">
        <v>0.56000000000000005</v>
      </c>
      <c r="V4970" s="12">
        <f>C4970+1</f>
        <v>40719</v>
      </c>
      <c r="W4970">
        <f>IF(D4970=' Pivot Tables'!$A$4,1,0)</f>
        <v>0</v>
      </c>
      <c r="X4970">
        <f>IF(AND(LEFT(D4970,4)+1=LEFT(' Pivot Tables'!$A$4,4)+0,RIGHT(LEFT(D4970,7),2)=RIGHT(LEFT(' Pivot Tables'!$A$4,7),2)),1,0)</f>
        <v>0</v>
      </c>
      <c r="Y4970" s="6">
        <f>1/COUNTIF(Таблица1[Order ID],Таблица1[[#This Row],[Order ID]])</f>
        <v>0.5</v>
      </c>
      <c r="Z4970" s="9">
        <f>1/COUNTIFS(Таблица1[Customer Name],Таблица1[[#This Row],[Customer Name]],Таблица1[Order-Year-Month],Таблица1[[#This Row],[Order-Year-Month]])</f>
        <v>0.5</v>
      </c>
    </row>
    <row r="4971" spans="1:26" x14ac:dyDescent="0.2">
      <c r="A4971" s="6">
        <v>2042</v>
      </c>
      <c r="B4971" s="7">
        <v>14534</v>
      </c>
      <c r="C4971" s="8">
        <f>DATE(2012,12,31)-897</f>
        <v>40377</v>
      </c>
      <c r="D4971" s="8" t="str">
        <f t="shared" si="92"/>
        <v>2010-07 (июль 2010)</v>
      </c>
      <c r="E4971" s="9" t="s">
        <v>63</v>
      </c>
      <c r="F4971" s="7">
        <v>46</v>
      </c>
      <c r="G4971" s="7">
        <v>745.99</v>
      </c>
      <c r="H4971" s="7">
        <v>0.02</v>
      </c>
      <c r="I4971" s="9" t="s">
        <v>22</v>
      </c>
      <c r="J4971" s="10">
        <v>226.09</v>
      </c>
      <c r="K4971" s="11">
        <v>15.98</v>
      </c>
      <c r="L4971" s="11">
        <v>4</v>
      </c>
      <c r="M4971" s="9" t="s">
        <v>1846</v>
      </c>
      <c r="N4971" s="6" t="s">
        <v>672</v>
      </c>
      <c r="O4971" s="6" t="s">
        <v>673</v>
      </c>
      <c r="P4971" s="9" t="s">
        <v>41</v>
      </c>
      <c r="Q4971" s="9" t="s">
        <v>42</v>
      </c>
      <c r="R4971" s="9" t="s">
        <v>70</v>
      </c>
      <c r="S4971" s="7" t="s">
        <v>536</v>
      </c>
      <c r="T4971" s="9" t="s">
        <v>39</v>
      </c>
      <c r="U4971" s="7">
        <v>0.37</v>
      </c>
      <c r="V4971" s="12">
        <f>C4971+0</f>
        <v>40377</v>
      </c>
      <c r="W4971">
        <f>IF(D4971=' Pivot Tables'!$A$4,1,0)</f>
        <v>0</v>
      </c>
      <c r="X4971">
        <f>IF(AND(LEFT(D4971,4)+1=LEFT(' Pivot Tables'!$A$4,4)+0,RIGHT(LEFT(D4971,7),2)=RIGHT(LEFT(' Pivot Tables'!$A$4,7),2)),1,0)</f>
        <v>0</v>
      </c>
      <c r="Y4971" s="6">
        <f>1/COUNTIF(Таблица1[Order ID],Таблица1[[#This Row],[Order ID]])</f>
        <v>1</v>
      </c>
      <c r="Z4971" s="9">
        <f>1/COUNTIFS(Таблица1[Customer Name],Таблица1[[#This Row],[Customer Name]],Таблица1[Order-Year-Month],Таблица1[[#This Row],[Order-Year-Month]])</f>
        <v>1</v>
      </c>
    </row>
    <row r="4972" spans="1:26" x14ac:dyDescent="0.2">
      <c r="A4972" s="6">
        <v>2084</v>
      </c>
      <c r="B4972" s="7">
        <v>14884</v>
      </c>
      <c r="C4972" s="8">
        <f>DATE(2012,12,31)-461</f>
        <v>40813</v>
      </c>
      <c r="D4972" s="8" t="str">
        <f t="shared" si="92"/>
        <v>2011-09 (сентябрь 2011)</v>
      </c>
      <c r="E4972" s="9" t="s">
        <v>30</v>
      </c>
      <c r="F4972" s="7">
        <v>6</v>
      </c>
      <c r="G4972" s="7">
        <v>473.9855</v>
      </c>
      <c r="H4972" s="7">
        <v>0.06</v>
      </c>
      <c r="I4972" s="9" t="s">
        <v>22</v>
      </c>
      <c r="J4972" s="10">
        <v>-301.67500000000001</v>
      </c>
      <c r="K4972" s="11">
        <v>95.99</v>
      </c>
      <c r="L4972" s="11">
        <v>4.9000000000000004</v>
      </c>
      <c r="M4972" s="9" t="s">
        <v>1851</v>
      </c>
      <c r="N4972" s="6" t="s">
        <v>672</v>
      </c>
      <c r="O4972" s="6" t="s">
        <v>673</v>
      </c>
      <c r="P4972" s="9" t="s">
        <v>41</v>
      </c>
      <c r="Q4972" s="9" t="s">
        <v>42</v>
      </c>
      <c r="R4972" s="9" t="s">
        <v>43</v>
      </c>
      <c r="S4972" s="7" t="s">
        <v>1254</v>
      </c>
      <c r="T4972" s="9" t="s">
        <v>39</v>
      </c>
      <c r="U4972" s="7">
        <v>0.56000000000000005</v>
      </c>
      <c r="V4972" s="12">
        <f>C4972+2</f>
        <v>40815</v>
      </c>
      <c r="W4972">
        <f>IF(D4972=' Pivot Tables'!$A$4,1,0)</f>
        <v>0</v>
      </c>
      <c r="X4972">
        <f>IF(AND(LEFT(D4972,4)+1=LEFT(' Pivot Tables'!$A$4,4)+0,RIGHT(LEFT(D4972,7),2)=RIGHT(LEFT(' Pivot Tables'!$A$4,7),2)),1,0)</f>
        <v>0</v>
      </c>
      <c r="Y4972" s="6">
        <f>1/COUNTIF(Таблица1[Order ID],Таблица1[[#This Row],[Order ID]])</f>
        <v>1</v>
      </c>
      <c r="Z4972" s="9">
        <f>1/COUNTIFS(Таблица1[Customer Name],Таблица1[[#This Row],[Customer Name]],Таблица1[Order-Year-Month],Таблица1[[#This Row],[Order-Year-Month]])</f>
        <v>1</v>
      </c>
    </row>
    <row r="4973" spans="1:26" x14ac:dyDescent="0.2">
      <c r="A4973" s="6">
        <v>2107</v>
      </c>
      <c r="B4973" s="7">
        <v>15075</v>
      </c>
      <c r="C4973" s="8">
        <f>DATE(2012,12,31)-1184</f>
        <v>40090</v>
      </c>
      <c r="D4973" s="8" t="str">
        <f t="shared" si="92"/>
        <v>2009-10 (октябрь 2009)</v>
      </c>
      <c r="E4973" s="9" t="s">
        <v>63</v>
      </c>
      <c r="F4973" s="7">
        <v>24</v>
      </c>
      <c r="G4973" s="7">
        <v>1548.43</v>
      </c>
      <c r="H4973" s="7">
        <v>0.02</v>
      </c>
      <c r="I4973" s="9" t="s">
        <v>22</v>
      </c>
      <c r="J4973" s="10">
        <v>622.89</v>
      </c>
      <c r="K4973" s="11">
        <v>63.94</v>
      </c>
      <c r="L4973" s="11">
        <v>14.48</v>
      </c>
      <c r="M4973" s="9" t="s">
        <v>1460</v>
      </c>
      <c r="N4973" s="6" t="s">
        <v>672</v>
      </c>
      <c r="O4973" s="6" t="s">
        <v>673</v>
      </c>
      <c r="P4973" s="9" t="s">
        <v>33</v>
      </c>
      <c r="Q4973" s="9" t="s">
        <v>49</v>
      </c>
      <c r="R4973" s="9" t="s">
        <v>50</v>
      </c>
      <c r="S4973" s="7" t="s">
        <v>433</v>
      </c>
      <c r="T4973" s="9" t="s">
        <v>39</v>
      </c>
      <c r="U4973" s="7">
        <v>0.46</v>
      </c>
      <c r="V4973" s="12">
        <f>C4973+0</f>
        <v>40090</v>
      </c>
      <c r="W4973">
        <f>IF(D4973=' Pivot Tables'!$A$4,1,0)</f>
        <v>0</v>
      </c>
      <c r="X4973">
        <f>IF(AND(LEFT(D4973,4)+1=LEFT(' Pivot Tables'!$A$4,4)+0,RIGHT(LEFT(D4973,7),2)=RIGHT(LEFT(' Pivot Tables'!$A$4,7),2)),1,0)</f>
        <v>0</v>
      </c>
      <c r="Y4973" s="6">
        <f>1/COUNTIF(Таблица1[Order ID],Таблица1[[#This Row],[Order ID]])</f>
        <v>0.5</v>
      </c>
      <c r="Z4973" s="9">
        <f>1/COUNTIFS(Таблица1[Customer Name],Таблица1[[#This Row],[Customer Name]],Таблица1[Order-Year-Month],Таблица1[[#This Row],[Order-Year-Month]])</f>
        <v>0.5</v>
      </c>
    </row>
    <row r="4974" spans="1:26" x14ac:dyDescent="0.2">
      <c r="A4974" s="6">
        <v>2108</v>
      </c>
      <c r="B4974" s="7">
        <v>15075</v>
      </c>
      <c r="C4974" s="8">
        <f>DATE(2012,12,31)-1184</f>
        <v>40090</v>
      </c>
      <c r="D4974" s="8" t="str">
        <f t="shared" si="92"/>
        <v>2009-10 (октябрь 2009)</v>
      </c>
      <c r="E4974" s="9" t="s">
        <v>63</v>
      </c>
      <c r="F4974" s="7">
        <v>10</v>
      </c>
      <c r="G4974" s="7">
        <v>54.84</v>
      </c>
      <c r="H4974" s="7">
        <v>0.01</v>
      </c>
      <c r="I4974" s="9" t="s">
        <v>22</v>
      </c>
      <c r="J4974" s="10">
        <v>-56.3</v>
      </c>
      <c r="K4974" s="11">
        <v>5.0199999999999996</v>
      </c>
      <c r="L4974" s="11">
        <v>5.14</v>
      </c>
      <c r="M4974" s="9" t="s">
        <v>1460</v>
      </c>
      <c r="N4974" s="6" t="s">
        <v>672</v>
      </c>
      <c r="O4974" s="6" t="s">
        <v>673</v>
      </c>
      <c r="P4974" s="9" t="s">
        <v>33</v>
      </c>
      <c r="Q4974" s="9" t="s">
        <v>42</v>
      </c>
      <c r="R4974" s="9" t="s">
        <v>70</v>
      </c>
      <c r="S4974" s="7" t="s">
        <v>361</v>
      </c>
      <c r="T4974" s="9" t="s">
        <v>52</v>
      </c>
      <c r="U4974" s="7">
        <v>0.79</v>
      </c>
      <c r="V4974" s="12">
        <f>C4974+2</f>
        <v>40092</v>
      </c>
      <c r="W4974">
        <f>IF(D4974=' Pivot Tables'!$A$4,1,0)</f>
        <v>0</v>
      </c>
      <c r="X4974">
        <f>IF(AND(LEFT(D4974,4)+1=LEFT(' Pivot Tables'!$A$4,4)+0,RIGHT(LEFT(D4974,7),2)=RIGHT(LEFT(' Pivot Tables'!$A$4,7),2)),1,0)</f>
        <v>0</v>
      </c>
      <c r="Y4974" s="6">
        <f>1/COUNTIF(Таблица1[Order ID],Таблица1[[#This Row],[Order ID]])</f>
        <v>0.5</v>
      </c>
      <c r="Z4974" s="9">
        <f>1/COUNTIFS(Таблица1[Customer Name],Таблица1[[#This Row],[Customer Name]],Таблица1[Order-Year-Month],Таблица1[[#This Row],[Order-Year-Month]])</f>
        <v>0.5</v>
      </c>
    </row>
    <row r="4975" spans="1:26" x14ac:dyDescent="0.2">
      <c r="A4975" s="6">
        <v>2132</v>
      </c>
      <c r="B4975" s="7">
        <v>15234</v>
      </c>
      <c r="C4975" s="8">
        <f>DATE(2012,12,31)-1025</f>
        <v>40249</v>
      </c>
      <c r="D4975" s="8" t="str">
        <f t="shared" si="92"/>
        <v>2010-03 (март 2010)</v>
      </c>
      <c r="E4975" s="9" t="s">
        <v>45</v>
      </c>
      <c r="F4975" s="7">
        <v>21</v>
      </c>
      <c r="G4975" s="7">
        <v>2185.9535000000001</v>
      </c>
      <c r="H4975" s="7">
        <v>0.1</v>
      </c>
      <c r="I4975" s="9" t="s">
        <v>22</v>
      </c>
      <c r="J4975" s="10">
        <v>268.01100000000002</v>
      </c>
      <c r="K4975" s="11">
        <v>125.99</v>
      </c>
      <c r="L4975" s="11">
        <v>8.99</v>
      </c>
      <c r="M4975" s="9" t="s">
        <v>1880</v>
      </c>
      <c r="N4975" s="6" t="s">
        <v>672</v>
      </c>
      <c r="O4975" s="6" t="s">
        <v>673</v>
      </c>
      <c r="P4975" s="9" t="s">
        <v>33</v>
      </c>
      <c r="Q4975" s="9" t="s">
        <v>42</v>
      </c>
      <c r="R4975" s="9" t="s">
        <v>43</v>
      </c>
      <c r="S4975" s="7" t="s">
        <v>849</v>
      </c>
      <c r="T4975" s="9" t="s">
        <v>39</v>
      </c>
      <c r="U4975" s="7">
        <v>0.55000000000000004</v>
      </c>
      <c r="V4975" s="12">
        <f>C4975+1</f>
        <v>40250</v>
      </c>
      <c r="W4975">
        <f>IF(D4975=' Pivot Tables'!$A$4,1,0)</f>
        <v>0</v>
      </c>
      <c r="X4975">
        <f>IF(AND(LEFT(D4975,4)+1=LEFT(' Pivot Tables'!$A$4,4)+0,RIGHT(LEFT(D4975,7),2)=RIGHT(LEFT(' Pivot Tables'!$A$4,7),2)),1,0)</f>
        <v>0</v>
      </c>
      <c r="Y4975" s="6">
        <f>1/COUNTIF(Таблица1[Order ID],Таблица1[[#This Row],[Order ID]])</f>
        <v>0.5</v>
      </c>
      <c r="Z4975" s="9">
        <f>1/COUNTIFS(Таблица1[Customer Name],Таблица1[[#This Row],[Customer Name]],Таблица1[Order-Year-Month],Таблица1[[#This Row],[Order-Year-Month]])</f>
        <v>0.5</v>
      </c>
    </row>
    <row r="4976" spans="1:26" x14ac:dyDescent="0.2">
      <c r="A4976" s="6">
        <v>2133</v>
      </c>
      <c r="B4976" s="7">
        <v>15234</v>
      </c>
      <c r="C4976" s="8">
        <f>DATE(2012,12,31)-1025</f>
        <v>40249</v>
      </c>
      <c r="D4976" s="8" t="str">
        <f t="shared" si="92"/>
        <v>2010-03 (март 2010)</v>
      </c>
      <c r="E4976" s="9" t="s">
        <v>45</v>
      </c>
      <c r="F4976" s="7">
        <v>12</v>
      </c>
      <c r="G4976" s="7">
        <v>1323.5434999999998</v>
      </c>
      <c r="H4976" s="7">
        <v>0</v>
      </c>
      <c r="I4976" s="9" t="s">
        <v>56</v>
      </c>
      <c r="J4976" s="10">
        <v>-34.727000000000004</v>
      </c>
      <c r="K4976" s="11">
        <v>125.99</v>
      </c>
      <c r="L4976" s="11">
        <v>8.08</v>
      </c>
      <c r="M4976" s="9" t="s">
        <v>1880</v>
      </c>
      <c r="N4976" s="6" t="s">
        <v>672</v>
      </c>
      <c r="O4976" s="6" t="s">
        <v>673</v>
      </c>
      <c r="P4976" s="9" t="s">
        <v>33</v>
      </c>
      <c r="Q4976" s="9" t="s">
        <v>42</v>
      </c>
      <c r="R4976" s="9" t="s">
        <v>43</v>
      </c>
      <c r="S4976" s="7" t="s">
        <v>586</v>
      </c>
      <c r="T4976" s="9" t="s">
        <v>39</v>
      </c>
      <c r="U4976" s="7">
        <v>0.56999999999999995</v>
      </c>
      <c r="V4976" s="12">
        <f>C4976+1</f>
        <v>40250</v>
      </c>
      <c r="W4976">
        <f>IF(D4976=' Pivot Tables'!$A$4,1,0)</f>
        <v>0</v>
      </c>
      <c r="X4976">
        <f>IF(AND(LEFT(D4976,4)+1=LEFT(' Pivot Tables'!$A$4,4)+0,RIGHT(LEFT(D4976,7),2)=RIGHT(LEFT(' Pivot Tables'!$A$4,7),2)),1,0)</f>
        <v>0</v>
      </c>
      <c r="Y4976" s="6">
        <f>1/COUNTIF(Таблица1[Order ID],Таблица1[[#This Row],[Order ID]])</f>
        <v>0.5</v>
      </c>
      <c r="Z4976" s="9">
        <f>1/COUNTIFS(Таблица1[Customer Name],Таблица1[[#This Row],[Customer Name]],Таблица1[Order-Year-Month],Таблица1[[#This Row],[Order-Year-Month]])</f>
        <v>0.5</v>
      </c>
    </row>
    <row r="4977" spans="1:26" x14ac:dyDescent="0.2">
      <c r="A4977" s="6">
        <v>2138</v>
      </c>
      <c r="B4977" s="7">
        <v>15270</v>
      </c>
      <c r="C4977" s="8">
        <f>DATE(2012,12,31)-1430</f>
        <v>39844</v>
      </c>
      <c r="D4977" s="8" t="str">
        <f t="shared" si="92"/>
        <v>2009-01 (январь 2009)</v>
      </c>
      <c r="E4977" s="9" t="s">
        <v>45</v>
      </c>
      <c r="F4977" s="7">
        <v>36</v>
      </c>
      <c r="G4977" s="7">
        <v>257.91000000000003</v>
      </c>
      <c r="H4977" s="7">
        <v>0</v>
      </c>
      <c r="I4977" s="9" t="s">
        <v>22</v>
      </c>
      <c r="J4977" s="10">
        <v>90.86</v>
      </c>
      <c r="K4977" s="11">
        <v>6.98</v>
      </c>
      <c r="L4977" s="11">
        <v>1.6</v>
      </c>
      <c r="M4977" s="9" t="s">
        <v>1433</v>
      </c>
      <c r="N4977" s="6" t="s">
        <v>672</v>
      </c>
      <c r="O4977" s="6" t="s">
        <v>673</v>
      </c>
      <c r="P4977" s="9" t="s">
        <v>41</v>
      </c>
      <c r="Q4977" s="9" t="s">
        <v>26</v>
      </c>
      <c r="R4977" s="9" t="s">
        <v>61</v>
      </c>
      <c r="S4977" s="7" t="s">
        <v>829</v>
      </c>
      <c r="T4977" s="9" t="s">
        <v>68</v>
      </c>
      <c r="U4977" s="7">
        <v>0.38</v>
      </c>
      <c r="V4977" s="12">
        <f t="shared" ref="V4977:V4984" si="93">C4977+2</f>
        <v>39846</v>
      </c>
      <c r="W4977">
        <f>IF(D4977=' Pivot Tables'!$A$4,1,0)</f>
        <v>0</v>
      </c>
      <c r="X4977">
        <f>IF(AND(LEFT(D4977,4)+1=LEFT(' Pivot Tables'!$A$4,4)+0,RIGHT(LEFT(D4977,7),2)=RIGHT(LEFT(' Pivot Tables'!$A$4,7),2)),1,0)</f>
        <v>1</v>
      </c>
      <c r="Y4977" s="6">
        <f>1/COUNTIF(Таблица1[Order ID],Таблица1[[#This Row],[Order ID]])</f>
        <v>1</v>
      </c>
      <c r="Z4977" s="9">
        <f>1/COUNTIFS(Таблица1[Customer Name],Таблица1[[#This Row],[Customer Name]],Таблица1[Order-Year-Month],Таблица1[[#This Row],[Order-Year-Month]])</f>
        <v>1</v>
      </c>
    </row>
    <row r="4978" spans="1:26" x14ac:dyDescent="0.2">
      <c r="A4978" s="6">
        <v>2141</v>
      </c>
      <c r="B4978" s="7">
        <v>15296</v>
      </c>
      <c r="C4978" s="8">
        <f>DATE(2012,12,31)-146</f>
        <v>41128</v>
      </c>
      <c r="D4978" s="8" t="str">
        <f t="shared" si="92"/>
        <v>2012-08 (август 2012)</v>
      </c>
      <c r="E4978" s="9" t="s">
        <v>45</v>
      </c>
      <c r="F4978" s="7">
        <v>38</v>
      </c>
      <c r="G4978" s="7">
        <v>6216.6</v>
      </c>
      <c r="H4978" s="7">
        <v>0.02</v>
      </c>
      <c r="I4978" s="9" t="s">
        <v>22</v>
      </c>
      <c r="J4978" s="10">
        <v>1082.21</v>
      </c>
      <c r="K4978" s="11">
        <v>161.55000000000001</v>
      </c>
      <c r="L4978" s="11">
        <v>19.989999999999998</v>
      </c>
      <c r="M4978" s="9" t="s">
        <v>1859</v>
      </c>
      <c r="N4978" s="6" t="s">
        <v>672</v>
      </c>
      <c r="O4978" s="6" t="s">
        <v>673</v>
      </c>
      <c r="P4978" s="9" t="s">
        <v>41</v>
      </c>
      <c r="Q4978" s="9" t="s">
        <v>26</v>
      </c>
      <c r="R4978" s="9" t="s">
        <v>27</v>
      </c>
      <c r="S4978" s="7" t="s">
        <v>685</v>
      </c>
      <c r="T4978" s="9" t="s">
        <v>39</v>
      </c>
      <c r="U4978" s="7">
        <v>0.66</v>
      </c>
      <c r="V4978" s="12">
        <f t="shared" si="93"/>
        <v>41130</v>
      </c>
      <c r="W4978">
        <f>IF(D4978=' Pivot Tables'!$A$4,1,0)</f>
        <v>0</v>
      </c>
      <c r="X4978">
        <f>IF(AND(LEFT(D4978,4)+1=LEFT(' Pivot Tables'!$A$4,4)+0,RIGHT(LEFT(D4978,7),2)=RIGHT(LEFT(' Pivot Tables'!$A$4,7),2)),1,0)</f>
        <v>0</v>
      </c>
      <c r="Y4978" s="6">
        <f>1/COUNTIF(Таблица1[Order ID],Таблица1[[#This Row],[Order ID]])</f>
        <v>1</v>
      </c>
      <c r="Z4978" s="9">
        <f>1/COUNTIFS(Таблица1[Customer Name],Таблица1[[#This Row],[Customer Name]],Таблица1[Order-Year-Month],Таблица1[[#This Row],[Order-Year-Month]])</f>
        <v>0.33333333333333331</v>
      </c>
    </row>
    <row r="4979" spans="1:26" x14ac:dyDescent="0.2">
      <c r="A4979" s="6">
        <v>2147</v>
      </c>
      <c r="B4979" s="7">
        <v>15335</v>
      </c>
      <c r="C4979" s="8">
        <f>DATE(2012,12,31)-836</f>
        <v>40438</v>
      </c>
      <c r="D4979" s="8" t="str">
        <f t="shared" si="92"/>
        <v>2010-09 (сентябрь 2010)</v>
      </c>
      <c r="E4979" s="9" t="s">
        <v>63</v>
      </c>
      <c r="F4979" s="7">
        <v>26</v>
      </c>
      <c r="G4979" s="7">
        <v>765.96</v>
      </c>
      <c r="H4979" s="7">
        <v>0.1</v>
      </c>
      <c r="I4979" s="9" t="s">
        <v>22</v>
      </c>
      <c r="J4979" s="10">
        <v>240.06</v>
      </c>
      <c r="K4979" s="11">
        <v>31.78</v>
      </c>
      <c r="L4979" s="11">
        <v>1.99</v>
      </c>
      <c r="M4979" s="9" t="s">
        <v>1881</v>
      </c>
      <c r="N4979" s="6" t="s">
        <v>672</v>
      </c>
      <c r="O4979" s="6" t="s">
        <v>673</v>
      </c>
      <c r="P4979" s="9" t="s">
        <v>33</v>
      </c>
      <c r="Q4979" s="9" t="s">
        <v>42</v>
      </c>
      <c r="R4979" s="9" t="s">
        <v>70</v>
      </c>
      <c r="S4979" s="7" t="s">
        <v>132</v>
      </c>
      <c r="T4979" s="9" t="s">
        <v>52</v>
      </c>
      <c r="U4979" s="7">
        <v>0.42</v>
      </c>
      <c r="V4979" s="12">
        <f t="shared" si="93"/>
        <v>40440</v>
      </c>
      <c r="W4979">
        <f>IF(D4979=' Pivot Tables'!$A$4,1,0)</f>
        <v>0</v>
      </c>
      <c r="X4979">
        <f>IF(AND(LEFT(D4979,4)+1=LEFT(' Pivot Tables'!$A$4,4)+0,RIGHT(LEFT(D4979,7),2)=RIGHT(LEFT(' Pivot Tables'!$A$4,7),2)),1,0)</f>
        <v>0</v>
      </c>
      <c r="Y4979" s="6">
        <f>1/COUNTIF(Таблица1[Order ID],Таблица1[[#This Row],[Order ID]])</f>
        <v>1</v>
      </c>
      <c r="Z4979" s="9">
        <f>1/COUNTIFS(Таблица1[Customer Name],Таблица1[[#This Row],[Customer Name]],Таблица1[Order-Year-Month],Таблица1[[#This Row],[Order-Year-Month]])</f>
        <v>1</v>
      </c>
    </row>
    <row r="4980" spans="1:26" x14ac:dyDescent="0.2">
      <c r="A4980" s="6">
        <v>2179</v>
      </c>
      <c r="B4980" s="7">
        <v>15712</v>
      </c>
      <c r="C4980" s="8">
        <f>DATE(2012,12,31)-27</f>
        <v>41247</v>
      </c>
      <c r="D4980" s="8" t="str">
        <f t="shared" si="92"/>
        <v>2012-12 (декабрь 2012)</v>
      </c>
      <c r="E4980" s="9" t="s">
        <v>30</v>
      </c>
      <c r="F4980" s="7">
        <v>1</v>
      </c>
      <c r="G4980" s="7">
        <v>102.9</v>
      </c>
      <c r="H4980" s="7">
        <v>7.0000000000000007E-2</v>
      </c>
      <c r="I4980" s="9" t="s">
        <v>31</v>
      </c>
      <c r="J4980" s="10">
        <v>-81.89</v>
      </c>
      <c r="K4980" s="11">
        <v>48.58</v>
      </c>
      <c r="L4980" s="11">
        <v>54.11</v>
      </c>
      <c r="M4980" s="9" t="s">
        <v>1460</v>
      </c>
      <c r="N4980" s="6" t="s">
        <v>672</v>
      </c>
      <c r="O4980" s="6" t="s">
        <v>673</v>
      </c>
      <c r="P4980" s="9" t="s">
        <v>41</v>
      </c>
      <c r="Q4980" s="9" t="s">
        <v>49</v>
      </c>
      <c r="R4980" s="9" t="s">
        <v>80</v>
      </c>
      <c r="S4980" s="7" t="s">
        <v>241</v>
      </c>
      <c r="T4980" s="9" t="s">
        <v>82</v>
      </c>
      <c r="U4980" s="7">
        <v>0.69</v>
      </c>
      <c r="V4980" s="12">
        <f t="shared" si="93"/>
        <v>41249</v>
      </c>
      <c r="W4980">
        <f>IF(D4980=' Pivot Tables'!$A$4,1,0)</f>
        <v>0</v>
      </c>
      <c r="X4980">
        <f>IF(AND(LEFT(D4980,4)+1=LEFT(' Pivot Tables'!$A$4,4)+0,RIGHT(LEFT(D4980,7),2)=RIGHT(LEFT(' Pivot Tables'!$A$4,7),2)),1,0)</f>
        <v>0</v>
      </c>
      <c r="Y4980" s="6">
        <f>1/COUNTIF(Таблица1[Order ID],Таблица1[[#This Row],[Order ID]])</f>
        <v>1</v>
      </c>
      <c r="Z4980" s="9">
        <f>1/COUNTIFS(Таблица1[Customer Name],Таблица1[[#This Row],[Customer Name]],Таблица1[Order-Year-Month],Таблица1[[#This Row],[Order-Year-Month]])</f>
        <v>1</v>
      </c>
    </row>
    <row r="4981" spans="1:26" x14ac:dyDescent="0.2">
      <c r="A4981" s="6">
        <v>2205</v>
      </c>
      <c r="B4981" s="7">
        <v>15906</v>
      </c>
      <c r="C4981" s="8">
        <f>DATE(2012,12,31)-826</f>
        <v>40448</v>
      </c>
      <c r="D4981" s="8" t="str">
        <f t="shared" si="92"/>
        <v>2010-09 (сентябрь 2010)</v>
      </c>
      <c r="E4981" s="9" t="s">
        <v>21</v>
      </c>
      <c r="F4981" s="7">
        <v>8</v>
      </c>
      <c r="G4981" s="7">
        <v>2174.96</v>
      </c>
      <c r="H4981" s="7">
        <v>0.05</v>
      </c>
      <c r="I4981" s="9" t="s">
        <v>31</v>
      </c>
      <c r="J4981" s="10">
        <v>-223.89450000000002</v>
      </c>
      <c r="K4981" s="11">
        <v>264.98</v>
      </c>
      <c r="L4981" s="11">
        <v>17.86</v>
      </c>
      <c r="M4981" s="9" t="s">
        <v>1853</v>
      </c>
      <c r="N4981" s="6" t="s">
        <v>672</v>
      </c>
      <c r="O4981" s="6" t="s">
        <v>673</v>
      </c>
      <c r="P4981" s="9" t="s">
        <v>41</v>
      </c>
      <c r="Q4981" s="9" t="s">
        <v>42</v>
      </c>
      <c r="R4981" s="9" t="s">
        <v>210</v>
      </c>
      <c r="S4981" s="7" t="s">
        <v>1207</v>
      </c>
      <c r="T4981" s="9" t="s">
        <v>36</v>
      </c>
      <c r="U4981" s="7">
        <v>0.57999999999999996</v>
      </c>
      <c r="V4981" s="12">
        <f t="shared" si="93"/>
        <v>40450</v>
      </c>
      <c r="W4981">
        <f>IF(D4981=' Pivot Tables'!$A$4,1,0)</f>
        <v>0</v>
      </c>
      <c r="X4981">
        <f>IF(AND(LEFT(D4981,4)+1=LEFT(' Pivot Tables'!$A$4,4)+0,RIGHT(LEFT(D4981,7),2)=RIGHT(LEFT(' Pivot Tables'!$A$4,7),2)),1,0)</f>
        <v>0</v>
      </c>
      <c r="Y4981" s="6">
        <f>1/COUNTIF(Таблица1[Order ID],Таблица1[[#This Row],[Order ID]])</f>
        <v>1</v>
      </c>
      <c r="Z4981" s="9">
        <f>1/COUNTIFS(Таблица1[Customer Name],Таблица1[[#This Row],[Customer Name]],Таблица1[Order-Year-Month],Таблица1[[#This Row],[Order-Year-Month]])</f>
        <v>1</v>
      </c>
    </row>
    <row r="4982" spans="1:26" x14ac:dyDescent="0.2">
      <c r="A4982" s="6">
        <v>2215</v>
      </c>
      <c r="B4982" s="7">
        <v>16005</v>
      </c>
      <c r="C4982" s="8">
        <f>DATE(2012,12,31)-7</f>
        <v>41267</v>
      </c>
      <c r="D4982" s="8" t="str">
        <f t="shared" si="92"/>
        <v>2012-12 (декабрь 2012)</v>
      </c>
      <c r="E4982" s="9" t="s">
        <v>45</v>
      </c>
      <c r="F4982" s="7">
        <v>7</v>
      </c>
      <c r="G4982" s="7">
        <v>51.03</v>
      </c>
      <c r="H4982" s="7">
        <v>0.09</v>
      </c>
      <c r="I4982" s="9" t="s">
        <v>22</v>
      </c>
      <c r="J4982" s="10">
        <v>-21.378499999999999</v>
      </c>
      <c r="K4982" s="11">
        <v>6.81</v>
      </c>
      <c r="L4982" s="11">
        <v>5.48</v>
      </c>
      <c r="M4982" s="9" t="s">
        <v>1861</v>
      </c>
      <c r="N4982" s="6" t="s">
        <v>672</v>
      </c>
      <c r="O4982" s="6" t="s">
        <v>673</v>
      </c>
      <c r="P4982" s="9" t="s">
        <v>41</v>
      </c>
      <c r="Q4982" s="9" t="s">
        <v>26</v>
      </c>
      <c r="R4982" s="9" t="s">
        <v>37</v>
      </c>
      <c r="S4982" s="7" t="s">
        <v>1319</v>
      </c>
      <c r="T4982" s="9" t="s">
        <v>39</v>
      </c>
      <c r="U4982" s="7">
        <v>0.37</v>
      </c>
      <c r="V4982" s="12">
        <f t="shared" si="93"/>
        <v>41269</v>
      </c>
      <c r="W4982">
        <f>IF(D4982=' Pivot Tables'!$A$4,1,0)</f>
        <v>0</v>
      </c>
      <c r="X4982">
        <f>IF(AND(LEFT(D4982,4)+1=LEFT(' Pivot Tables'!$A$4,4)+0,RIGHT(LEFT(D4982,7),2)=RIGHT(LEFT(' Pivot Tables'!$A$4,7),2)),1,0)</f>
        <v>0</v>
      </c>
      <c r="Y4982" s="6">
        <f>1/COUNTIF(Таблица1[Order ID],Таблица1[[#This Row],[Order ID]])</f>
        <v>1</v>
      </c>
      <c r="Z4982" s="9">
        <f>1/COUNTIFS(Таблица1[Customer Name],Таблица1[[#This Row],[Customer Name]],Таблица1[Order-Year-Month],Таблица1[[#This Row],[Order-Year-Month]])</f>
        <v>1</v>
      </c>
    </row>
    <row r="4983" spans="1:26" x14ac:dyDescent="0.2">
      <c r="A4983" s="6">
        <v>2230</v>
      </c>
      <c r="B4983" s="7">
        <v>16103</v>
      </c>
      <c r="C4983" s="8">
        <f>DATE(2012,12,31)-169</f>
        <v>41105</v>
      </c>
      <c r="D4983" s="8" t="str">
        <f t="shared" si="92"/>
        <v>2012-07 (июль 2012)</v>
      </c>
      <c r="E4983" s="9" t="s">
        <v>45</v>
      </c>
      <c r="F4983" s="7">
        <v>22</v>
      </c>
      <c r="G4983" s="7">
        <v>426.7</v>
      </c>
      <c r="H4983" s="7">
        <v>0.06</v>
      </c>
      <c r="I4983" s="9" t="s">
        <v>22</v>
      </c>
      <c r="J4983" s="10">
        <v>104.77</v>
      </c>
      <c r="K4983" s="11">
        <v>19.84</v>
      </c>
      <c r="L4983" s="11">
        <v>4.0999999999999996</v>
      </c>
      <c r="M4983" s="9" t="s">
        <v>1433</v>
      </c>
      <c r="N4983" s="6" t="s">
        <v>672</v>
      </c>
      <c r="O4983" s="6" t="s">
        <v>673</v>
      </c>
      <c r="P4983" s="9" t="s">
        <v>41</v>
      </c>
      <c r="Q4983" s="9" t="s">
        <v>26</v>
      </c>
      <c r="R4983" s="9" t="s">
        <v>95</v>
      </c>
      <c r="S4983" s="7" t="s">
        <v>195</v>
      </c>
      <c r="T4983" s="9" t="s">
        <v>68</v>
      </c>
      <c r="U4983" s="7">
        <v>0.44</v>
      </c>
      <c r="V4983" s="12">
        <f t="shared" si="93"/>
        <v>41107</v>
      </c>
      <c r="W4983">
        <f>IF(D4983=' Pivot Tables'!$A$4,1,0)</f>
        <v>0</v>
      </c>
      <c r="X4983">
        <f>IF(AND(LEFT(D4983,4)+1=LEFT(' Pivot Tables'!$A$4,4)+0,RIGHT(LEFT(D4983,7),2)=RIGHT(LEFT(' Pivot Tables'!$A$4,7),2)),1,0)</f>
        <v>0</v>
      </c>
      <c r="Y4983" s="6">
        <f>1/COUNTIF(Таблица1[Order ID],Таблица1[[#This Row],[Order ID]])</f>
        <v>0.5</v>
      </c>
      <c r="Z4983" s="9">
        <f>1/COUNTIFS(Таблица1[Customer Name],Таблица1[[#This Row],[Customer Name]],Таблица1[Order-Year-Month],Таблица1[[#This Row],[Order-Year-Month]])</f>
        <v>0.5</v>
      </c>
    </row>
    <row r="4984" spans="1:26" x14ac:dyDescent="0.2">
      <c r="A4984" s="6">
        <v>2253</v>
      </c>
      <c r="B4984" s="7">
        <v>16225</v>
      </c>
      <c r="C4984" s="8">
        <f>DATE(2012,12,31)-1313</f>
        <v>39961</v>
      </c>
      <c r="D4984" s="8" t="str">
        <f t="shared" si="92"/>
        <v>2009-05 (май 2009)</v>
      </c>
      <c r="E4984" s="9" t="s">
        <v>78</v>
      </c>
      <c r="F4984" s="7">
        <v>30</v>
      </c>
      <c r="G4984" s="7">
        <v>550.29</v>
      </c>
      <c r="H4984" s="7">
        <v>0.03</v>
      </c>
      <c r="I4984" s="9" t="s">
        <v>22</v>
      </c>
      <c r="J4984" s="10">
        <v>-82.5</v>
      </c>
      <c r="K4984" s="11">
        <v>17.7</v>
      </c>
      <c r="L4984" s="11">
        <v>9.4700000000000006</v>
      </c>
      <c r="M4984" s="9" t="s">
        <v>982</v>
      </c>
      <c r="N4984" s="6" t="s">
        <v>672</v>
      </c>
      <c r="O4984" s="6" t="s">
        <v>673</v>
      </c>
      <c r="P4984" s="9" t="s">
        <v>33</v>
      </c>
      <c r="Q4984" s="9" t="s">
        <v>26</v>
      </c>
      <c r="R4984" s="9" t="s">
        <v>27</v>
      </c>
      <c r="S4984" s="7" t="s">
        <v>1446</v>
      </c>
      <c r="T4984" s="9" t="s">
        <v>39</v>
      </c>
      <c r="U4984" s="7">
        <v>0.59</v>
      </c>
      <c r="V4984" s="12">
        <f t="shared" si="93"/>
        <v>39963</v>
      </c>
      <c r="W4984">
        <f>IF(D4984=' Pivot Tables'!$A$4,1,0)</f>
        <v>0</v>
      </c>
      <c r="X4984">
        <f>IF(AND(LEFT(D4984,4)+1=LEFT(' Pivot Tables'!$A$4,4)+0,RIGHT(LEFT(D4984,7),2)=RIGHT(LEFT(' Pivot Tables'!$A$4,7),2)),1,0)</f>
        <v>0</v>
      </c>
      <c r="Y4984" s="6">
        <f>1/COUNTIF(Таблица1[Order ID],Таблица1[[#This Row],[Order ID]])</f>
        <v>1</v>
      </c>
      <c r="Z4984" s="9">
        <f>1/COUNTIFS(Таблица1[Customer Name],Таблица1[[#This Row],[Customer Name]],Таблица1[Order-Year-Month],Таблица1[[#This Row],[Order-Year-Month]])</f>
        <v>1</v>
      </c>
    </row>
    <row r="4985" spans="1:26" x14ac:dyDescent="0.2">
      <c r="A4985" s="6">
        <v>2265</v>
      </c>
      <c r="B4985" s="7">
        <v>16262</v>
      </c>
      <c r="C4985" s="8">
        <f>DATE(2012,12,31)-730</f>
        <v>40544</v>
      </c>
      <c r="D4985" s="8" t="str">
        <f t="shared" si="92"/>
        <v>2011-01 (январь 2011)</v>
      </c>
      <c r="E4985" s="9" t="s">
        <v>21</v>
      </c>
      <c r="F4985" s="7">
        <v>11</v>
      </c>
      <c r="G4985" s="7">
        <v>62.84</v>
      </c>
      <c r="H4985" s="7">
        <v>0.06</v>
      </c>
      <c r="I4985" s="9" t="s">
        <v>56</v>
      </c>
      <c r="J4985" s="10">
        <v>9.5299999999999994</v>
      </c>
      <c r="K4985" s="11">
        <v>5.18</v>
      </c>
      <c r="L4985" s="11">
        <v>2.04</v>
      </c>
      <c r="M4985" s="9" t="s">
        <v>1849</v>
      </c>
      <c r="N4985" s="6" t="s">
        <v>672</v>
      </c>
      <c r="O4985" s="6" t="s">
        <v>673</v>
      </c>
      <c r="P4985" s="9" t="s">
        <v>33</v>
      </c>
      <c r="Q4985" s="9" t="s">
        <v>26</v>
      </c>
      <c r="R4985" s="9" t="s">
        <v>61</v>
      </c>
      <c r="S4985" s="7" t="s">
        <v>391</v>
      </c>
      <c r="T4985" s="9" t="s">
        <v>68</v>
      </c>
      <c r="U4985" s="7">
        <v>0.36</v>
      </c>
      <c r="V4985" s="12">
        <f>C4985+7</f>
        <v>40551</v>
      </c>
      <c r="W4985">
        <f>IF(D4985=' Pivot Tables'!$A$4,1,0)</f>
        <v>0</v>
      </c>
      <c r="X4985">
        <f>IF(AND(LEFT(D4985,4)+1=LEFT(' Pivot Tables'!$A$4,4)+0,RIGHT(LEFT(D4985,7),2)=RIGHT(LEFT(' Pivot Tables'!$A$4,7),2)),1,0)</f>
        <v>0</v>
      </c>
      <c r="Y4985" s="6">
        <f>1/COUNTIF(Таблица1[Order ID],Таблица1[[#This Row],[Order ID]])</f>
        <v>1</v>
      </c>
      <c r="Z4985" s="9">
        <f>1/COUNTIFS(Таблица1[Customer Name],Таблица1[[#This Row],[Customer Name]],Таблица1[Order-Year-Month],Таблица1[[#This Row],[Order-Year-Month]])</f>
        <v>1</v>
      </c>
    </row>
    <row r="4986" spans="1:26" x14ac:dyDescent="0.2">
      <c r="A4986" s="6">
        <v>2270</v>
      </c>
      <c r="B4986" s="7">
        <v>16321</v>
      </c>
      <c r="C4986" s="8">
        <f>DATE(2012,12,31)-1187</f>
        <v>40087</v>
      </c>
      <c r="D4986" s="8" t="str">
        <f t="shared" si="92"/>
        <v>2009-10 (октябрь 2009)</v>
      </c>
      <c r="E4986" s="9" t="s">
        <v>45</v>
      </c>
      <c r="F4986" s="7">
        <v>50</v>
      </c>
      <c r="G4986" s="7">
        <v>7156.56</v>
      </c>
      <c r="H4986" s="7">
        <v>0.03</v>
      </c>
      <c r="I4986" s="9" t="s">
        <v>22</v>
      </c>
      <c r="J4986" s="10">
        <v>1871.26</v>
      </c>
      <c r="K4986" s="11">
        <v>142.86000000000001</v>
      </c>
      <c r="L4986" s="11">
        <v>19.989999999999998</v>
      </c>
      <c r="M4986" s="9" t="s">
        <v>347</v>
      </c>
      <c r="N4986" s="6" t="s">
        <v>672</v>
      </c>
      <c r="O4986" s="6" t="s">
        <v>673</v>
      </c>
      <c r="P4986" s="9" t="s">
        <v>41</v>
      </c>
      <c r="Q4986" s="9" t="s">
        <v>26</v>
      </c>
      <c r="R4986" s="9" t="s">
        <v>27</v>
      </c>
      <c r="S4986" s="7" t="s">
        <v>887</v>
      </c>
      <c r="T4986" s="9" t="s">
        <v>39</v>
      </c>
      <c r="U4986" s="7">
        <v>0.56000000000000005</v>
      </c>
      <c r="V4986" s="12">
        <f>C4986+2</f>
        <v>40089</v>
      </c>
      <c r="W4986">
        <f>IF(D4986=' Pivot Tables'!$A$4,1,0)</f>
        <v>0</v>
      </c>
      <c r="X4986">
        <f>IF(AND(LEFT(D4986,4)+1=LEFT(' Pivot Tables'!$A$4,4)+0,RIGHT(LEFT(D4986,7),2)=RIGHT(LEFT(' Pivot Tables'!$A$4,7),2)),1,0)</f>
        <v>0</v>
      </c>
      <c r="Y4986" s="6">
        <f>1/COUNTIF(Таблица1[Order ID],Таблица1[[#This Row],[Order ID]])</f>
        <v>1</v>
      </c>
      <c r="Z4986" s="9">
        <f>1/COUNTIFS(Таблица1[Customer Name],Таблица1[[#This Row],[Customer Name]],Таблица1[Order-Year-Month],Таблица1[[#This Row],[Order-Year-Month]])</f>
        <v>1</v>
      </c>
    </row>
    <row r="4987" spans="1:26" x14ac:dyDescent="0.2">
      <c r="A4987" s="6">
        <v>2315</v>
      </c>
      <c r="B4987" s="7">
        <v>16679</v>
      </c>
      <c r="C4987" s="8">
        <f>DATE(2012,12,31)-1149</f>
        <v>40125</v>
      </c>
      <c r="D4987" s="8" t="str">
        <f t="shared" si="92"/>
        <v>2009-11 (ноябрь 2009)</v>
      </c>
      <c r="E4987" s="9" t="s">
        <v>21</v>
      </c>
      <c r="F4987" s="7">
        <v>29</v>
      </c>
      <c r="G4987" s="7">
        <v>6481.95</v>
      </c>
      <c r="H4987" s="7">
        <v>0.09</v>
      </c>
      <c r="I4987" s="9" t="s">
        <v>31</v>
      </c>
      <c r="J4987" s="10">
        <v>846.23</v>
      </c>
      <c r="K4987" s="11">
        <v>243.98</v>
      </c>
      <c r="L4987" s="11">
        <v>43.32</v>
      </c>
      <c r="M4987" s="9" t="s">
        <v>1857</v>
      </c>
      <c r="N4987" s="6" t="s">
        <v>672</v>
      </c>
      <c r="O4987" s="6" t="s">
        <v>673</v>
      </c>
      <c r="P4987" s="9" t="s">
        <v>25</v>
      </c>
      <c r="Q4987" s="9" t="s">
        <v>49</v>
      </c>
      <c r="R4987" s="9" t="s">
        <v>112</v>
      </c>
      <c r="S4987" s="7" t="s">
        <v>237</v>
      </c>
      <c r="T4987" s="9" t="s">
        <v>36</v>
      </c>
      <c r="U4987" s="7">
        <v>0.55000000000000004</v>
      </c>
      <c r="V4987" s="12">
        <f>C4987+5</f>
        <v>40130</v>
      </c>
      <c r="W4987">
        <f>IF(D4987=' Pivot Tables'!$A$4,1,0)</f>
        <v>0</v>
      </c>
      <c r="X4987">
        <f>IF(AND(LEFT(D4987,4)+1=LEFT(' Pivot Tables'!$A$4,4)+0,RIGHT(LEFT(D4987,7),2)=RIGHT(LEFT(' Pivot Tables'!$A$4,7),2)),1,0)</f>
        <v>0</v>
      </c>
      <c r="Y4987" s="6">
        <f>1/COUNTIF(Таблица1[Order ID],Таблица1[[#This Row],[Order ID]])</f>
        <v>1</v>
      </c>
      <c r="Z4987" s="9">
        <f>1/COUNTIFS(Таблица1[Customer Name],Таблица1[[#This Row],[Customer Name]],Таблица1[Order-Year-Month],Таблица1[[#This Row],[Order-Year-Month]])</f>
        <v>1</v>
      </c>
    </row>
    <row r="4988" spans="1:26" x14ac:dyDescent="0.2">
      <c r="A4988" s="6">
        <v>2328</v>
      </c>
      <c r="B4988" s="7">
        <v>16775</v>
      </c>
      <c r="C4988" s="8">
        <f>DATE(2012,12,31)-39</f>
        <v>41235</v>
      </c>
      <c r="D4988" s="8" t="str">
        <f t="shared" si="92"/>
        <v>2012-11 (ноябрь 2012)</v>
      </c>
      <c r="E4988" s="9" t="s">
        <v>21</v>
      </c>
      <c r="F4988" s="7">
        <v>49</v>
      </c>
      <c r="G4988" s="7">
        <v>2469.15</v>
      </c>
      <c r="H4988" s="7">
        <v>0.04</v>
      </c>
      <c r="I4988" s="9" t="s">
        <v>22</v>
      </c>
      <c r="J4988" s="10">
        <v>1244.81</v>
      </c>
      <c r="K4988" s="11">
        <v>48.94</v>
      </c>
      <c r="L4988" s="11">
        <v>5.86</v>
      </c>
      <c r="M4988" s="9" t="s">
        <v>1460</v>
      </c>
      <c r="N4988" s="6" t="s">
        <v>672</v>
      </c>
      <c r="O4988" s="6" t="s">
        <v>673</v>
      </c>
      <c r="P4988" s="9" t="s">
        <v>41</v>
      </c>
      <c r="Q4988" s="9" t="s">
        <v>26</v>
      </c>
      <c r="R4988" s="9" t="s">
        <v>61</v>
      </c>
      <c r="S4988" s="7" t="s">
        <v>1422</v>
      </c>
      <c r="T4988" s="9" t="s">
        <v>39</v>
      </c>
      <c r="U4988" s="7">
        <v>0.35</v>
      </c>
      <c r="V4988" s="12">
        <f>C4988+4</f>
        <v>41239</v>
      </c>
      <c r="W4988">
        <f>IF(D4988=' Pivot Tables'!$A$4,1,0)</f>
        <v>0</v>
      </c>
      <c r="X4988">
        <f>IF(AND(LEFT(D4988,4)+1=LEFT(' Pivot Tables'!$A$4,4)+0,RIGHT(LEFT(D4988,7),2)=RIGHT(LEFT(' Pivot Tables'!$A$4,7),2)),1,0)</f>
        <v>0</v>
      </c>
      <c r="Y4988" s="6">
        <f>1/COUNTIF(Таблица1[Order ID],Таблица1[[#This Row],[Order ID]])</f>
        <v>1</v>
      </c>
      <c r="Z4988" s="9">
        <f>1/COUNTIFS(Таблица1[Customer Name],Таблица1[[#This Row],[Customer Name]],Таблица1[Order-Year-Month],Таблица1[[#This Row],[Order-Year-Month]])</f>
        <v>1</v>
      </c>
    </row>
    <row r="4989" spans="1:26" x14ac:dyDescent="0.2">
      <c r="A4989" s="6">
        <v>2340</v>
      </c>
      <c r="B4989" s="7">
        <v>16834</v>
      </c>
      <c r="C4989" s="8">
        <f>DATE(2012,12,31)-800</f>
        <v>40474</v>
      </c>
      <c r="D4989" s="8" t="str">
        <f t="shared" si="92"/>
        <v>2010-10 (октябрь 2010)</v>
      </c>
      <c r="E4989" s="9" t="s">
        <v>21</v>
      </c>
      <c r="F4989" s="7">
        <v>33</v>
      </c>
      <c r="G4989" s="7">
        <v>463.42</v>
      </c>
      <c r="H4989" s="7">
        <v>0.08</v>
      </c>
      <c r="I4989" s="9" t="s">
        <v>22</v>
      </c>
      <c r="J4989" s="10">
        <v>14.203500000000002</v>
      </c>
      <c r="K4989" s="11">
        <v>14.45</v>
      </c>
      <c r="L4989" s="11">
        <v>7.17</v>
      </c>
      <c r="M4989" s="9" t="s">
        <v>1873</v>
      </c>
      <c r="N4989" s="6" t="s">
        <v>672</v>
      </c>
      <c r="O4989" s="6" t="s">
        <v>673</v>
      </c>
      <c r="P4989" s="9" t="s">
        <v>33</v>
      </c>
      <c r="Q4989" s="9" t="s">
        <v>26</v>
      </c>
      <c r="R4989" s="9" t="s">
        <v>37</v>
      </c>
      <c r="S4989" s="7" t="s">
        <v>1125</v>
      </c>
      <c r="T4989" s="9" t="s">
        <v>39</v>
      </c>
      <c r="U4989" s="7">
        <v>0.38</v>
      </c>
      <c r="V4989" s="12">
        <f>C4989+2</f>
        <v>40476</v>
      </c>
      <c r="W4989">
        <f>IF(D4989=' Pivot Tables'!$A$4,1,0)</f>
        <v>0</v>
      </c>
      <c r="X4989">
        <f>IF(AND(LEFT(D4989,4)+1=LEFT(' Pivot Tables'!$A$4,4)+0,RIGHT(LEFT(D4989,7),2)=RIGHT(LEFT(' Pivot Tables'!$A$4,7),2)),1,0)</f>
        <v>0</v>
      </c>
      <c r="Y4989" s="6">
        <f>1/COUNTIF(Таблица1[Order ID],Таблица1[[#This Row],[Order ID]])</f>
        <v>0.5</v>
      </c>
      <c r="Z4989" s="9">
        <f>1/COUNTIFS(Таблица1[Customer Name],Таблица1[[#This Row],[Customer Name]],Таблица1[Order-Year-Month],Таблица1[[#This Row],[Order-Year-Month]])</f>
        <v>0.5</v>
      </c>
    </row>
    <row r="4990" spans="1:26" x14ac:dyDescent="0.2">
      <c r="A4990" s="6">
        <v>2341</v>
      </c>
      <c r="B4990" s="7">
        <v>16837</v>
      </c>
      <c r="C4990" s="8">
        <f>DATE(2012,12,31)-710</f>
        <v>40564</v>
      </c>
      <c r="D4990" s="8" t="str">
        <f t="shared" si="92"/>
        <v>2011-01 (январь 2011)</v>
      </c>
      <c r="E4990" s="9" t="s">
        <v>45</v>
      </c>
      <c r="F4990" s="7">
        <v>4</v>
      </c>
      <c r="G4990" s="7">
        <v>997</v>
      </c>
      <c r="H4990" s="7">
        <v>0.09</v>
      </c>
      <c r="I4990" s="9" t="s">
        <v>31</v>
      </c>
      <c r="J4990" s="10">
        <v>-307.95999999999998</v>
      </c>
      <c r="K4990" s="11">
        <v>258.98</v>
      </c>
      <c r="L4990" s="11">
        <v>54.31</v>
      </c>
      <c r="M4990" s="9" t="s">
        <v>1865</v>
      </c>
      <c r="N4990" s="6" t="s">
        <v>672</v>
      </c>
      <c r="O4990" s="6" t="s">
        <v>673</v>
      </c>
      <c r="P4990" s="9" t="s">
        <v>33</v>
      </c>
      <c r="Q4990" s="9" t="s">
        <v>49</v>
      </c>
      <c r="R4990" s="9" t="s">
        <v>112</v>
      </c>
      <c r="S4990" s="7" t="s">
        <v>915</v>
      </c>
      <c r="T4990" s="9" t="s">
        <v>36</v>
      </c>
      <c r="U4990" s="7">
        <v>0.55000000000000004</v>
      </c>
      <c r="V4990" s="12">
        <f>C4990+1</f>
        <v>40565</v>
      </c>
      <c r="W4990">
        <f>IF(D4990=' Pivot Tables'!$A$4,1,0)</f>
        <v>0</v>
      </c>
      <c r="X4990">
        <f>IF(AND(LEFT(D4990,4)+1=LEFT(' Pivot Tables'!$A$4,4)+0,RIGHT(LEFT(D4990,7),2)=RIGHT(LEFT(' Pivot Tables'!$A$4,7),2)),1,0)</f>
        <v>0</v>
      </c>
      <c r="Y4990" s="6">
        <f>1/COUNTIF(Таблица1[Order ID],Таблица1[[#This Row],[Order ID]])</f>
        <v>1</v>
      </c>
      <c r="Z4990" s="9">
        <f>1/COUNTIFS(Таблица1[Customer Name],Таблица1[[#This Row],[Customer Name]],Таблица1[Order-Year-Month],Таблица1[[#This Row],[Order-Year-Month]])</f>
        <v>1</v>
      </c>
    </row>
    <row r="4991" spans="1:26" x14ac:dyDescent="0.2">
      <c r="A4991" s="6">
        <v>2343</v>
      </c>
      <c r="B4991" s="7">
        <v>16866</v>
      </c>
      <c r="C4991" s="8">
        <f>DATE(2012,12,31)-329</f>
        <v>40945</v>
      </c>
      <c r="D4991" s="8" t="str">
        <f t="shared" si="92"/>
        <v>2012-02 (февраль 2012)</v>
      </c>
      <c r="E4991" s="9" t="s">
        <v>45</v>
      </c>
      <c r="F4991" s="7">
        <v>43</v>
      </c>
      <c r="G4991" s="7">
        <v>2357.9085</v>
      </c>
      <c r="H4991" s="7">
        <v>0.06</v>
      </c>
      <c r="I4991" s="9" t="s">
        <v>22</v>
      </c>
      <c r="J4991" s="10">
        <v>538.48800000000006</v>
      </c>
      <c r="K4991" s="11">
        <v>65.989999999999995</v>
      </c>
      <c r="L4991" s="11">
        <v>3.99</v>
      </c>
      <c r="M4991" s="9" t="s">
        <v>1844</v>
      </c>
      <c r="N4991" s="6" t="s">
        <v>672</v>
      </c>
      <c r="O4991" s="6" t="s">
        <v>673</v>
      </c>
      <c r="P4991" s="9" t="s">
        <v>60</v>
      </c>
      <c r="Q4991" s="9" t="s">
        <v>42</v>
      </c>
      <c r="R4991" s="9" t="s">
        <v>43</v>
      </c>
      <c r="S4991" s="7" t="s">
        <v>582</v>
      </c>
      <c r="T4991" s="9" t="s">
        <v>39</v>
      </c>
      <c r="U4991" s="7">
        <v>0.59</v>
      </c>
      <c r="V4991" s="12">
        <f>C4991+1</f>
        <v>40946</v>
      </c>
      <c r="W4991">
        <f>IF(D4991=' Pivot Tables'!$A$4,1,0)</f>
        <v>0</v>
      </c>
      <c r="X4991">
        <f>IF(AND(LEFT(D4991,4)+1=LEFT(' Pivot Tables'!$A$4,4)+0,RIGHT(LEFT(D4991,7),2)=RIGHT(LEFT(' Pivot Tables'!$A$4,7),2)),1,0)</f>
        <v>0</v>
      </c>
      <c r="Y4991" s="6">
        <f>1/COUNTIF(Таблица1[Order ID],Таблица1[[#This Row],[Order ID]])</f>
        <v>1</v>
      </c>
      <c r="Z4991" s="9">
        <f>1/COUNTIFS(Таблица1[Customer Name],Таблица1[[#This Row],[Customer Name]],Таблица1[Order-Year-Month],Таблица1[[#This Row],[Order-Year-Month]])</f>
        <v>1</v>
      </c>
    </row>
    <row r="4992" spans="1:26" x14ac:dyDescent="0.2">
      <c r="A4992" s="6">
        <v>2360</v>
      </c>
      <c r="B4992" s="7">
        <v>17058</v>
      </c>
      <c r="C4992" s="8">
        <f>DATE(2012,12,31)-730</f>
        <v>40544</v>
      </c>
      <c r="D4992" s="8" t="str">
        <f t="shared" si="92"/>
        <v>2011-01 (январь 2011)</v>
      </c>
      <c r="E4992" s="9" t="s">
        <v>30</v>
      </c>
      <c r="F4992" s="7">
        <v>15</v>
      </c>
      <c r="G4992" s="7">
        <v>72.67</v>
      </c>
      <c r="H4992" s="7">
        <v>0.04</v>
      </c>
      <c r="I4992" s="9" t="s">
        <v>22</v>
      </c>
      <c r="J4992" s="10">
        <v>-62.37</v>
      </c>
      <c r="K4992" s="11">
        <v>4.28</v>
      </c>
      <c r="L4992" s="11">
        <v>6.72</v>
      </c>
      <c r="M4992" s="9" t="s">
        <v>1869</v>
      </c>
      <c r="N4992" s="6" t="s">
        <v>672</v>
      </c>
      <c r="O4992" s="6" t="s">
        <v>673</v>
      </c>
      <c r="P4992" s="9" t="s">
        <v>60</v>
      </c>
      <c r="Q4992" s="9" t="s">
        <v>26</v>
      </c>
      <c r="R4992" s="9" t="s">
        <v>61</v>
      </c>
      <c r="S4992" s="7" t="s">
        <v>1007</v>
      </c>
      <c r="T4992" s="9" t="s">
        <v>39</v>
      </c>
      <c r="U4992" s="7">
        <v>0.4</v>
      </c>
      <c r="V4992" s="12">
        <f>C4992+1</f>
        <v>40545</v>
      </c>
      <c r="W4992">
        <f>IF(D4992=' Pivot Tables'!$A$4,1,0)</f>
        <v>0</v>
      </c>
      <c r="X4992">
        <f>IF(AND(LEFT(D4992,4)+1=LEFT(' Pivot Tables'!$A$4,4)+0,RIGHT(LEFT(D4992,7),2)=RIGHT(LEFT(' Pivot Tables'!$A$4,7),2)),1,0)</f>
        <v>0</v>
      </c>
      <c r="Y4992" s="6">
        <f>1/COUNTIF(Таблица1[Order ID],Таблица1[[#This Row],[Order ID]])</f>
        <v>1</v>
      </c>
      <c r="Z4992" s="9">
        <f>1/COUNTIFS(Таблица1[Customer Name],Таблица1[[#This Row],[Customer Name]],Таблица1[Order-Year-Month],Таблица1[[#This Row],[Order-Year-Month]])</f>
        <v>1</v>
      </c>
    </row>
    <row r="4993" spans="1:26" x14ac:dyDescent="0.2">
      <c r="A4993" s="6">
        <v>2413</v>
      </c>
      <c r="B4993" s="7">
        <v>17508</v>
      </c>
      <c r="C4993" s="8">
        <f>DATE(2012,12,31)-187</f>
        <v>41087</v>
      </c>
      <c r="D4993" s="8" t="str">
        <f t="shared" si="92"/>
        <v>2012-06 (июнь 2012)</v>
      </c>
      <c r="E4993" s="9" t="s">
        <v>21</v>
      </c>
      <c r="F4993" s="7">
        <v>50</v>
      </c>
      <c r="G4993" s="7">
        <v>99.08</v>
      </c>
      <c r="H4993" s="7">
        <v>0.01</v>
      </c>
      <c r="I4993" s="9" t="s">
        <v>56</v>
      </c>
      <c r="J4993" s="10">
        <v>11.28</v>
      </c>
      <c r="K4993" s="11">
        <v>1.76</v>
      </c>
      <c r="L4993" s="11">
        <v>0.7</v>
      </c>
      <c r="M4993" s="9" t="s">
        <v>347</v>
      </c>
      <c r="N4993" s="6" t="s">
        <v>672</v>
      </c>
      <c r="O4993" s="6" t="s">
        <v>673</v>
      </c>
      <c r="P4993" s="9" t="s">
        <v>41</v>
      </c>
      <c r="Q4993" s="9" t="s">
        <v>26</v>
      </c>
      <c r="R4993" s="9" t="s">
        <v>95</v>
      </c>
      <c r="S4993" s="7" t="s">
        <v>387</v>
      </c>
      <c r="T4993" s="9" t="s">
        <v>68</v>
      </c>
      <c r="U4993" s="7">
        <v>0.56000000000000005</v>
      </c>
      <c r="V4993" s="12">
        <f>C4993+2</f>
        <v>41089</v>
      </c>
      <c r="W4993">
        <f>IF(D4993=' Pivot Tables'!$A$4,1,0)</f>
        <v>0</v>
      </c>
      <c r="X4993">
        <f>IF(AND(LEFT(D4993,4)+1=LEFT(' Pivot Tables'!$A$4,4)+0,RIGHT(LEFT(D4993,7),2)=RIGHT(LEFT(' Pivot Tables'!$A$4,7),2)),1,0)</f>
        <v>0</v>
      </c>
      <c r="Y4993" s="6">
        <f>1/COUNTIF(Таблица1[Order ID],Таблица1[[#This Row],[Order ID]])</f>
        <v>1</v>
      </c>
      <c r="Z4993" s="9">
        <f>1/COUNTIFS(Таблица1[Customer Name],Таблица1[[#This Row],[Customer Name]],Таблица1[Order-Year-Month],Таблица1[[#This Row],[Order-Year-Month]])</f>
        <v>1</v>
      </c>
    </row>
    <row r="4994" spans="1:26" x14ac:dyDescent="0.2">
      <c r="A4994" s="6">
        <v>2573</v>
      </c>
      <c r="B4994" s="7">
        <v>18592</v>
      </c>
      <c r="C4994" s="8">
        <f>DATE(2012,12,31)-92</f>
        <v>41182</v>
      </c>
      <c r="D4994" s="8" t="str">
        <f t="shared" si="92"/>
        <v>2012-09 (сентябрь 2012)</v>
      </c>
      <c r="E4994" s="9" t="s">
        <v>78</v>
      </c>
      <c r="F4994" s="7">
        <v>2</v>
      </c>
      <c r="G4994" s="7">
        <v>25.72</v>
      </c>
      <c r="H4994" s="7">
        <v>0.04</v>
      </c>
      <c r="I4994" s="9" t="s">
        <v>22</v>
      </c>
      <c r="J4994" s="10">
        <v>-15.5</v>
      </c>
      <c r="K4994" s="11">
        <v>10.98</v>
      </c>
      <c r="L4994" s="11">
        <v>3.37</v>
      </c>
      <c r="M4994" s="9" t="s">
        <v>1882</v>
      </c>
      <c r="N4994" s="6" t="s">
        <v>672</v>
      </c>
      <c r="O4994" s="6" t="s">
        <v>673</v>
      </c>
      <c r="P4994" s="9" t="s">
        <v>41</v>
      </c>
      <c r="Q4994" s="9" t="s">
        <v>26</v>
      </c>
      <c r="R4994" s="9" t="s">
        <v>150</v>
      </c>
      <c r="S4994" s="7" t="s">
        <v>465</v>
      </c>
      <c r="T4994" s="9" t="s">
        <v>52</v>
      </c>
      <c r="U4994" s="7">
        <v>0.56999999999999995</v>
      </c>
      <c r="V4994" s="12">
        <f>C4994+1</f>
        <v>41183</v>
      </c>
      <c r="W4994">
        <f>IF(D4994=' Pivot Tables'!$A$4,1,0)</f>
        <v>0</v>
      </c>
      <c r="X4994">
        <f>IF(AND(LEFT(D4994,4)+1=LEFT(' Pivot Tables'!$A$4,4)+0,RIGHT(LEFT(D4994,7),2)=RIGHT(LEFT(' Pivot Tables'!$A$4,7),2)),1,0)</f>
        <v>0</v>
      </c>
      <c r="Y4994" s="6">
        <f>1/COUNTIF(Таблица1[Order ID],Таблица1[[#This Row],[Order ID]])</f>
        <v>1</v>
      </c>
      <c r="Z4994" s="9">
        <f>1/COUNTIFS(Таблица1[Customer Name],Таблица1[[#This Row],[Customer Name]],Таблица1[Order-Year-Month],Таблица1[[#This Row],[Order-Year-Month]])</f>
        <v>1</v>
      </c>
    </row>
    <row r="4995" spans="1:26" x14ac:dyDescent="0.2">
      <c r="A4995" s="6">
        <v>2598</v>
      </c>
      <c r="B4995" s="7">
        <v>18757</v>
      </c>
      <c r="C4995" s="8">
        <f>DATE(2012,12,31)-223</f>
        <v>41051</v>
      </c>
      <c r="D4995" s="8" t="str">
        <f t="shared" ref="D4995:D5058" si="94">TEXT(C4995,"гггг-ММ (ММММ гггг)")</f>
        <v>2012-05 (май 2012)</v>
      </c>
      <c r="E4995" s="9" t="s">
        <v>21</v>
      </c>
      <c r="F4995" s="7">
        <v>43</v>
      </c>
      <c r="G4995" s="7">
        <v>319.95999999999998</v>
      </c>
      <c r="H4995" s="7">
        <v>0.01</v>
      </c>
      <c r="I4995" s="9" t="s">
        <v>56</v>
      </c>
      <c r="J4995" s="10">
        <v>123.15</v>
      </c>
      <c r="K4995" s="11">
        <v>6.98</v>
      </c>
      <c r="L4995" s="11">
        <v>1.6</v>
      </c>
      <c r="M4995" s="9" t="s">
        <v>1435</v>
      </c>
      <c r="N4995" s="6" t="s">
        <v>672</v>
      </c>
      <c r="O4995" s="6" t="s">
        <v>673</v>
      </c>
      <c r="P4995" s="9" t="s">
        <v>33</v>
      </c>
      <c r="Q4995" s="9" t="s">
        <v>26</v>
      </c>
      <c r="R4995" s="9" t="s">
        <v>61</v>
      </c>
      <c r="S4995" s="7" t="s">
        <v>829</v>
      </c>
      <c r="T4995" s="9" t="s">
        <v>68</v>
      </c>
      <c r="U4995" s="7">
        <v>0.38</v>
      </c>
      <c r="V4995" s="12">
        <f>C4995+7</f>
        <v>41058</v>
      </c>
      <c r="W4995">
        <f>IF(D4995=' Pivot Tables'!$A$4,1,0)</f>
        <v>0</v>
      </c>
      <c r="X4995">
        <f>IF(AND(LEFT(D4995,4)+1=LEFT(' Pivot Tables'!$A$4,4)+0,RIGHT(LEFT(D4995,7),2)=RIGHT(LEFT(' Pivot Tables'!$A$4,7),2)),1,0)</f>
        <v>0</v>
      </c>
      <c r="Y4995" s="6">
        <f>1/COUNTIF(Таблица1[Order ID],Таблица1[[#This Row],[Order ID]])</f>
        <v>0.33333333333333331</v>
      </c>
      <c r="Z4995" s="9">
        <f>1/COUNTIFS(Таблица1[Customer Name],Таблица1[[#This Row],[Customer Name]],Таблица1[Order-Year-Month],Таблица1[[#This Row],[Order-Year-Month]])</f>
        <v>0.33333333333333331</v>
      </c>
    </row>
    <row r="4996" spans="1:26" x14ac:dyDescent="0.2">
      <c r="A4996" s="6">
        <v>2609</v>
      </c>
      <c r="B4996" s="7">
        <v>18851</v>
      </c>
      <c r="C4996" s="8">
        <f>DATE(2012,12,31)-15</f>
        <v>41259</v>
      </c>
      <c r="D4996" s="8" t="str">
        <f t="shared" si="94"/>
        <v>2012-12 (декабрь 2012)</v>
      </c>
      <c r="E4996" s="9" t="s">
        <v>78</v>
      </c>
      <c r="F4996" s="7">
        <v>32</v>
      </c>
      <c r="G4996" s="7">
        <v>204.21</v>
      </c>
      <c r="H4996" s="7">
        <v>0.04</v>
      </c>
      <c r="I4996" s="9" t="s">
        <v>56</v>
      </c>
      <c r="J4996" s="10">
        <v>-204.81</v>
      </c>
      <c r="K4996" s="11">
        <v>5.98</v>
      </c>
      <c r="L4996" s="11">
        <v>10.39</v>
      </c>
      <c r="M4996" s="9" t="s">
        <v>1881</v>
      </c>
      <c r="N4996" s="6" t="s">
        <v>672</v>
      </c>
      <c r="O4996" s="6" t="s">
        <v>673</v>
      </c>
      <c r="P4996" s="9" t="s">
        <v>33</v>
      </c>
      <c r="Q4996" s="9" t="s">
        <v>26</v>
      </c>
      <c r="R4996" s="9" t="s">
        <v>61</v>
      </c>
      <c r="S4996" s="7" t="s">
        <v>1430</v>
      </c>
      <c r="T4996" s="9" t="s">
        <v>39</v>
      </c>
      <c r="U4996" s="7">
        <v>0.4</v>
      </c>
      <c r="V4996" s="12">
        <f>C4996+1</f>
        <v>41260</v>
      </c>
      <c r="W4996">
        <f>IF(D4996=' Pivot Tables'!$A$4,1,0)</f>
        <v>0</v>
      </c>
      <c r="X4996">
        <f>IF(AND(LEFT(D4996,4)+1=LEFT(' Pivot Tables'!$A$4,4)+0,RIGHT(LEFT(D4996,7),2)=RIGHT(LEFT(' Pivot Tables'!$A$4,7),2)),1,0)</f>
        <v>0</v>
      </c>
      <c r="Y4996" s="6">
        <f>1/COUNTIF(Таблица1[Order ID],Таблица1[[#This Row],[Order ID]])</f>
        <v>1</v>
      </c>
      <c r="Z4996" s="9">
        <f>1/COUNTIFS(Таблица1[Customer Name],Таблица1[[#This Row],[Customer Name]],Таблица1[Order-Year-Month],Таблица1[[#This Row],[Order-Year-Month]])</f>
        <v>1</v>
      </c>
    </row>
    <row r="4997" spans="1:26" x14ac:dyDescent="0.2">
      <c r="A4997" s="6">
        <v>2611</v>
      </c>
      <c r="B4997" s="7">
        <v>18853</v>
      </c>
      <c r="C4997" s="8">
        <f>DATE(2012,12,31)-1079</f>
        <v>40195</v>
      </c>
      <c r="D4997" s="8" t="str">
        <f t="shared" si="94"/>
        <v>2010-01 (январь 2010)</v>
      </c>
      <c r="E4997" s="9" t="s">
        <v>78</v>
      </c>
      <c r="F4997" s="7">
        <v>33</v>
      </c>
      <c r="G4997" s="7">
        <v>223.88</v>
      </c>
      <c r="H4997" s="7">
        <v>0.03</v>
      </c>
      <c r="I4997" s="9" t="s">
        <v>22</v>
      </c>
      <c r="J4997" s="10">
        <v>55.21</v>
      </c>
      <c r="K4997" s="11">
        <v>6.68</v>
      </c>
      <c r="L4997" s="11">
        <v>1.5</v>
      </c>
      <c r="M4997" s="9" t="s">
        <v>1869</v>
      </c>
      <c r="N4997" s="6" t="s">
        <v>672</v>
      </c>
      <c r="O4997" s="6" t="s">
        <v>673</v>
      </c>
      <c r="P4997" s="9" t="s">
        <v>60</v>
      </c>
      <c r="Q4997" s="9" t="s">
        <v>26</v>
      </c>
      <c r="R4997" s="9" t="s">
        <v>95</v>
      </c>
      <c r="S4997" s="7" t="s">
        <v>609</v>
      </c>
      <c r="T4997" s="9" t="s">
        <v>68</v>
      </c>
      <c r="U4997" s="7">
        <v>0.48</v>
      </c>
      <c r="V4997" s="12">
        <f>C4997+2</f>
        <v>40197</v>
      </c>
      <c r="W4997">
        <f>IF(D4997=' Pivot Tables'!$A$4,1,0)</f>
        <v>1</v>
      </c>
      <c r="X4997">
        <f>IF(AND(LEFT(D4997,4)+1=LEFT(' Pivot Tables'!$A$4,4)+0,RIGHT(LEFT(D4997,7),2)=RIGHT(LEFT(' Pivot Tables'!$A$4,7),2)),1,0)</f>
        <v>0</v>
      </c>
      <c r="Y4997" s="6">
        <f>1/COUNTIF(Таблица1[Order ID],Таблица1[[#This Row],[Order ID]])</f>
        <v>1</v>
      </c>
      <c r="Z4997" s="9">
        <f>1/COUNTIFS(Таблица1[Customer Name],Таблица1[[#This Row],[Customer Name]],Таблица1[Order-Year-Month],Таблица1[[#This Row],[Order-Year-Month]])</f>
        <v>1</v>
      </c>
    </row>
    <row r="4998" spans="1:26" x14ac:dyDescent="0.2">
      <c r="A4998" s="6">
        <v>2613</v>
      </c>
      <c r="B4998" s="7">
        <v>18884</v>
      </c>
      <c r="C4998" s="8">
        <f>DATE(2012,12,31)-556</f>
        <v>40718</v>
      </c>
      <c r="D4998" s="8" t="str">
        <f t="shared" si="94"/>
        <v>2011-06 (июнь 2011)</v>
      </c>
      <c r="E4998" s="9" t="s">
        <v>45</v>
      </c>
      <c r="F4998" s="7">
        <v>5</v>
      </c>
      <c r="G4998" s="7">
        <v>131.27000000000001</v>
      </c>
      <c r="H4998" s="7">
        <v>0.1</v>
      </c>
      <c r="I4998" s="9" t="s">
        <v>31</v>
      </c>
      <c r="J4998" s="10">
        <v>-70.430000000000007</v>
      </c>
      <c r="K4998" s="11">
        <v>25.98</v>
      </c>
      <c r="L4998" s="11">
        <v>14.36</v>
      </c>
      <c r="M4998" s="9" t="s">
        <v>1882</v>
      </c>
      <c r="N4998" s="6" t="s">
        <v>672</v>
      </c>
      <c r="O4998" s="6" t="s">
        <v>673</v>
      </c>
      <c r="P4998" s="9" t="s">
        <v>60</v>
      </c>
      <c r="Q4998" s="9" t="s">
        <v>49</v>
      </c>
      <c r="R4998" s="9" t="s">
        <v>112</v>
      </c>
      <c r="S4998" s="7" t="s">
        <v>280</v>
      </c>
      <c r="T4998" s="9" t="s">
        <v>36</v>
      </c>
      <c r="U4998" s="7">
        <v>0.6</v>
      </c>
      <c r="V4998" s="12">
        <f>C4998+1</f>
        <v>40719</v>
      </c>
      <c r="W4998">
        <f>IF(D4998=' Pivot Tables'!$A$4,1,0)</f>
        <v>0</v>
      </c>
      <c r="X4998">
        <f>IF(AND(LEFT(D4998,4)+1=LEFT(' Pivot Tables'!$A$4,4)+0,RIGHT(LEFT(D4998,7),2)=RIGHT(LEFT(' Pivot Tables'!$A$4,7),2)),1,0)</f>
        <v>0</v>
      </c>
      <c r="Y4998" s="6">
        <f>1/COUNTIF(Таблица1[Order ID],Таблица1[[#This Row],[Order ID]])</f>
        <v>0.5</v>
      </c>
      <c r="Z4998" s="9">
        <f>1/COUNTIFS(Таблица1[Customer Name],Таблица1[[#This Row],[Customer Name]],Таблица1[Order-Year-Month],Таблица1[[#This Row],[Order-Year-Month]])</f>
        <v>0.5</v>
      </c>
    </row>
    <row r="4999" spans="1:26" x14ac:dyDescent="0.2">
      <c r="A4999" s="6">
        <v>2614</v>
      </c>
      <c r="B4999" s="7">
        <v>18884</v>
      </c>
      <c r="C4999" s="8">
        <f>DATE(2012,12,31)-556</f>
        <v>40718</v>
      </c>
      <c r="D4999" s="8" t="str">
        <f t="shared" si="94"/>
        <v>2011-06 (июнь 2011)</v>
      </c>
      <c r="E4999" s="9" t="s">
        <v>45</v>
      </c>
      <c r="F4999" s="7">
        <v>29</v>
      </c>
      <c r="G4999" s="7">
        <v>13571.7</v>
      </c>
      <c r="H4999" s="7">
        <v>0</v>
      </c>
      <c r="I4999" s="9" t="s">
        <v>22</v>
      </c>
      <c r="J4999" s="10">
        <v>3825.69</v>
      </c>
      <c r="K4999" s="11">
        <v>449.99</v>
      </c>
      <c r="L4999" s="11">
        <v>24.49</v>
      </c>
      <c r="M4999" s="9" t="s">
        <v>1882</v>
      </c>
      <c r="N4999" s="6" t="s">
        <v>672</v>
      </c>
      <c r="O4999" s="6" t="s">
        <v>673</v>
      </c>
      <c r="P4999" s="9" t="s">
        <v>60</v>
      </c>
      <c r="Q4999" s="9" t="s">
        <v>42</v>
      </c>
      <c r="R4999" s="9" t="s">
        <v>99</v>
      </c>
      <c r="S4999" s="7" t="s">
        <v>100</v>
      </c>
      <c r="T4999" s="9" t="s">
        <v>29</v>
      </c>
      <c r="U4999" s="7">
        <v>0.52</v>
      </c>
      <c r="V4999" s="12">
        <f>C4999+2</f>
        <v>40720</v>
      </c>
      <c r="W4999">
        <f>IF(D4999=' Pivot Tables'!$A$4,1,0)</f>
        <v>0</v>
      </c>
      <c r="X4999">
        <f>IF(AND(LEFT(D4999,4)+1=LEFT(' Pivot Tables'!$A$4,4)+0,RIGHT(LEFT(D4999,7),2)=RIGHT(LEFT(' Pivot Tables'!$A$4,7),2)),1,0)</f>
        <v>0</v>
      </c>
      <c r="Y4999" s="6">
        <f>1/COUNTIF(Таблица1[Order ID],Таблица1[[#This Row],[Order ID]])</f>
        <v>0.5</v>
      </c>
      <c r="Z4999" s="9">
        <f>1/COUNTIFS(Таблица1[Customer Name],Таблица1[[#This Row],[Customer Name]],Таблица1[Order-Year-Month],Таблица1[[#This Row],[Order-Year-Month]])</f>
        <v>0.5</v>
      </c>
    </row>
    <row r="5000" spans="1:26" x14ac:dyDescent="0.2">
      <c r="A5000" s="6">
        <v>2669</v>
      </c>
      <c r="B5000" s="7">
        <v>19300</v>
      </c>
      <c r="C5000" s="8">
        <f>DATE(2012,12,31)-1111</f>
        <v>40163</v>
      </c>
      <c r="D5000" s="8" t="str">
        <f t="shared" si="94"/>
        <v>2009-12 (декабрь 2009)</v>
      </c>
      <c r="E5000" s="9" t="s">
        <v>78</v>
      </c>
      <c r="F5000" s="7">
        <v>10</v>
      </c>
      <c r="G5000" s="7">
        <v>78.72</v>
      </c>
      <c r="H5000" s="7">
        <v>0.1</v>
      </c>
      <c r="I5000" s="9" t="s">
        <v>22</v>
      </c>
      <c r="J5000" s="10">
        <v>-22.36</v>
      </c>
      <c r="K5000" s="11">
        <v>7.64</v>
      </c>
      <c r="L5000" s="11">
        <v>5.83</v>
      </c>
      <c r="M5000" s="9" t="s">
        <v>1797</v>
      </c>
      <c r="N5000" s="6" t="s">
        <v>672</v>
      </c>
      <c r="O5000" s="6" t="s">
        <v>673</v>
      </c>
      <c r="P5000" s="9" t="s">
        <v>41</v>
      </c>
      <c r="Q5000" s="9" t="s">
        <v>26</v>
      </c>
      <c r="R5000" s="9" t="s">
        <v>61</v>
      </c>
      <c r="S5000" s="7" t="s">
        <v>371</v>
      </c>
      <c r="T5000" s="9" t="s">
        <v>68</v>
      </c>
      <c r="U5000" s="7">
        <v>0.36</v>
      </c>
      <c r="V5000" s="12">
        <f>C5000+1</f>
        <v>40164</v>
      </c>
      <c r="W5000">
        <f>IF(D5000=' Pivot Tables'!$A$4,1,0)</f>
        <v>0</v>
      </c>
      <c r="X5000">
        <f>IF(AND(LEFT(D5000,4)+1=LEFT(' Pivot Tables'!$A$4,4)+0,RIGHT(LEFT(D5000,7),2)=RIGHT(LEFT(' Pivot Tables'!$A$4,7),2)),1,0)</f>
        <v>0</v>
      </c>
      <c r="Y5000" s="6">
        <f>1/COUNTIF(Таблица1[Order ID],Таблица1[[#This Row],[Order ID]])</f>
        <v>1</v>
      </c>
      <c r="Z5000" s="9">
        <f>1/COUNTIFS(Таблица1[Customer Name],Таблица1[[#This Row],[Customer Name]],Таблица1[Order-Year-Month],Таблица1[[#This Row],[Order-Year-Month]])</f>
        <v>1</v>
      </c>
    </row>
    <row r="5001" spans="1:26" x14ac:dyDescent="0.2">
      <c r="A5001" s="6">
        <v>2673</v>
      </c>
      <c r="B5001" s="7">
        <v>19361</v>
      </c>
      <c r="C5001" s="8">
        <f>DATE(2012,12,31)-99</f>
        <v>41175</v>
      </c>
      <c r="D5001" s="8" t="str">
        <f t="shared" si="94"/>
        <v>2012-09 (сентябрь 2012)</v>
      </c>
      <c r="E5001" s="9" t="s">
        <v>21</v>
      </c>
      <c r="F5001" s="7">
        <v>21</v>
      </c>
      <c r="G5001" s="7">
        <v>788.85</v>
      </c>
      <c r="H5001" s="7">
        <v>0.06</v>
      </c>
      <c r="I5001" s="9" t="s">
        <v>22</v>
      </c>
      <c r="J5001" s="10">
        <v>317.53449999999998</v>
      </c>
      <c r="K5001" s="11">
        <v>37.700000000000003</v>
      </c>
      <c r="L5001" s="11">
        <v>2.99</v>
      </c>
      <c r="M5001" s="9" t="s">
        <v>1842</v>
      </c>
      <c r="N5001" s="6" t="s">
        <v>672</v>
      </c>
      <c r="O5001" s="6" t="s">
        <v>673</v>
      </c>
      <c r="P5001" s="9" t="s">
        <v>33</v>
      </c>
      <c r="Q5001" s="9" t="s">
        <v>26</v>
      </c>
      <c r="R5001" s="9" t="s">
        <v>37</v>
      </c>
      <c r="S5001" s="7" t="s">
        <v>952</v>
      </c>
      <c r="T5001" s="9" t="s">
        <v>39</v>
      </c>
      <c r="U5001" s="7">
        <v>0.35</v>
      </c>
      <c r="V5001" s="12">
        <f>C5001+9</f>
        <v>41184</v>
      </c>
      <c r="W5001">
        <f>IF(D5001=' Pivot Tables'!$A$4,1,0)</f>
        <v>0</v>
      </c>
      <c r="X5001">
        <f>IF(AND(LEFT(D5001,4)+1=LEFT(' Pivot Tables'!$A$4,4)+0,RIGHT(LEFT(D5001,7),2)=RIGHT(LEFT(' Pivot Tables'!$A$4,7),2)),1,0)</f>
        <v>0</v>
      </c>
      <c r="Y5001" s="6">
        <f>1/COUNTIF(Таблица1[Order ID],Таблица1[[#This Row],[Order ID]])</f>
        <v>0.33333333333333331</v>
      </c>
      <c r="Z5001" s="9">
        <f>1/COUNTIFS(Таблица1[Customer Name],Таблица1[[#This Row],[Customer Name]],Таблица1[Order-Year-Month],Таблица1[[#This Row],[Order-Year-Month]])</f>
        <v>0.33333333333333331</v>
      </c>
    </row>
    <row r="5002" spans="1:26" x14ac:dyDescent="0.2">
      <c r="A5002" s="6">
        <v>2674</v>
      </c>
      <c r="B5002" s="7">
        <v>19361</v>
      </c>
      <c r="C5002" s="8">
        <f>DATE(2012,12,31)-99</f>
        <v>41175</v>
      </c>
      <c r="D5002" s="8" t="str">
        <f t="shared" si="94"/>
        <v>2012-09 (сентябрь 2012)</v>
      </c>
      <c r="E5002" s="9" t="s">
        <v>21</v>
      </c>
      <c r="F5002" s="7">
        <v>43</v>
      </c>
      <c r="G5002" s="7">
        <v>364.59</v>
      </c>
      <c r="H5002" s="7">
        <v>7.0000000000000007E-2</v>
      </c>
      <c r="I5002" s="9" t="s">
        <v>22</v>
      </c>
      <c r="J5002" s="10">
        <v>-14.28</v>
      </c>
      <c r="K5002" s="11">
        <v>8.56</v>
      </c>
      <c r="L5002" s="11">
        <v>5.16</v>
      </c>
      <c r="M5002" s="9" t="s">
        <v>1842</v>
      </c>
      <c r="N5002" s="6" t="s">
        <v>672</v>
      </c>
      <c r="O5002" s="6" t="s">
        <v>673</v>
      </c>
      <c r="P5002" s="9" t="s">
        <v>33</v>
      </c>
      <c r="Q5002" s="9" t="s">
        <v>26</v>
      </c>
      <c r="R5002" s="9" t="s">
        <v>61</v>
      </c>
      <c r="S5002" s="7" t="s">
        <v>1883</v>
      </c>
      <c r="T5002" s="9" t="s">
        <v>68</v>
      </c>
      <c r="U5002" s="7">
        <v>0.38</v>
      </c>
      <c r="V5002" s="12">
        <f>C5002+7</f>
        <v>41182</v>
      </c>
      <c r="W5002">
        <f>IF(D5002=' Pivot Tables'!$A$4,1,0)</f>
        <v>0</v>
      </c>
      <c r="X5002">
        <f>IF(AND(LEFT(D5002,4)+1=LEFT(' Pivot Tables'!$A$4,4)+0,RIGHT(LEFT(D5002,7),2)=RIGHT(LEFT(' Pivot Tables'!$A$4,7),2)),1,0)</f>
        <v>0</v>
      </c>
      <c r="Y5002" s="6">
        <f>1/COUNTIF(Таблица1[Order ID],Таблица1[[#This Row],[Order ID]])</f>
        <v>0.33333333333333331</v>
      </c>
      <c r="Z5002" s="9">
        <f>1/COUNTIFS(Таблица1[Customer Name],Таблица1[[#This Row],[Customer Name]],Таблица1[Order-Year-Month],Таблица1[[#This Row],[Order-Year-Month]])</f>
        <v>0.33333333333333331</v>
      </c>
    </row>
    <row r="5003" spans="1:26" x14ac:dyDescent="0.2">
      <c r="A5003" s="6">
        <v>2706</v>
      </c>
      <c r="B5003" s="7">
        <v>19557</v>
      </c>
      <c r="C5003" s="8">
        <f>DATE(2012,12,31)-428</f>
        <v>40846</v>
      </c>
      <c r="D5003" s="8" t="str">
        <f t="shared" si="94"/>
        <v>2011-10 (октябрь 2011)</v>
      </c>
      <c r="E5003" s="9" t="s">
        <v>21</v>
      </c>
      <c r="F5003" s="7">
        <v>26</v>
      </c>
      <c r="G5003" s="7">
        <v>66.599999999999994</v>
      </c>
      <c r="H5003" s="7">
        <v>0.08</v>
      </c>
      <c r="I5003" s="9" t="s">
        <v>22</v>
      </c>
      <c r="J5003" s="10">
        <v>13.99</v>
      </c>
      <c r="K5003" s="11">
        <v>2.62</v>
      </c>
      <c r="L5003" s="11">
        <v>0.8</v>
      </c>
      <c r="M5003" s="9" t="s">
        <v>1846</v>
      </c>
      <c r="N5003" s="6" t="s">
        <v>672</v>
      </c>
      <c r="O5003" s="6" t="s">
        <v>673</v>
      </c>
      <c r="P5003" s="9" t="s">
        <v>41</v>
      </c>
      <c r="Q5003" s="9" t="s">
        <v>26</v>
      </c>
      <c r="R5003" s="9" t="s">
        <v>66</v>
      </c>
      <c r="S5003" s="7" t="s">
        <v>861</v>
      </c>
      <c r="T5003" s="9" t="s">
        <v>68</v>
      </c>
      <c r="U5003" s="7">
        <v>0.39</v>
      </c>
      <c r="V5003" s="12">
        <f>C5003+4</f>
        <v>40850</v>
      </c>
      <c r="W5003">
        <f>IF(D5003=' Pivot Tables'!$A$4,1,0)</f>
        <v>0</v>
      </c>
      <c r="X5003">
        <f>IF(AND(LEFT(D5003,4)+1=LEFT(' Pivot Tables'!$A$4,4)+0,RIGHT(LEFT(D5003,7),2)=RIGHT(LEFT(' Pivot Tables'!$A$4,7),2)),1,0)</f>
        <v>0</v>
      </c>
      <c r="Y5003" s="6">
        <f>1/COUNTIF(Таблица1[Order ID],Таблица1[[#This Row],[Order ID]])</f>
        <v>0.5</v>
      </c>
      <c r="Z5003" s="9">
        <f>1/COUNTIFS(Таблица1[Customer Name],Таблица1[[#This Row],[Customer Name]],Таблица1[Order-Year-Month],Таблица1[[#This Row],[Order-Year-Month]])</f>
        <v>0.5</v>
      </c>
    </row>
    <row r="5004" spans="1:26" x14ac:dyDescent="0.2">
      <c r="A5004" s="6">
        <v>2707</v>
      </c>
      <c r="B5004" s="7">
        <v>19557</v>
      </c>
      <c r="C5004" s="8">
        <f>DATE(2012,12,31)-428</f>
        <v>40846</v>
      </c>
      <c r="D5004" s="8" t="str">
        <f t="shared" si="94"/>
        <v>2011-10 (октябрь 2011)</v>
      </c>
      <c r="E5004" s="9" t="s">
        <v>21</v>
      </c>
      <c r="F5004" s="7">
        <v>9</v>
      </c>
      <c r="G5004" s="7">
        <v>312.25</v>
      </c>
      <c r="H5004" s="7">
        <v>0.05</v>
      </c>
      <c r="I5004" s="9" t="s">
        <v>22</v>
      </c>
      <c r="J5004" s="10">
        <v>15.56</v>
      </c>
      <c r="K5004" s="11">
        <v>33.89</v>
      </c>
      <c r="L5004" s="11">
        <v>5.0999999999999996</v>
      </c>
      <c r="M5004" s="9" t="s">
        <v>1846</v>
      </c>
      <c r="N5004" s="6" t="s">
        <v>672</v>
      </c>
      <c r="O5004" s="6" t="s">
        <v>673</v>
      </c>
      <c r="P5004" s="9" t="s">
        <v>41</v>
      </c>
      <c r="Q5004" s="9" t="s">
        <v>26</v>
      </c>
      <c r="R5004" s="9" t="s">
        <v>27</v>
      </c>
      <c r="S5004" s="7" t="s">
        <v>1775</v>
      </c>
      <c r="T5004" s="9" t="s">
        <v>39</v>
      </c>
      <c r="U5004" s="7">
        <v>0.6</v>
      </c>
      <c r="V5004" s="12">
        <f>C5004+0</f>
        <v>40846</v>
      </c>
      <c r="W5004">
        <f>IF(D5004=' Pivot Tables'!$A$4,1,0)</f>
        <v>0</v>
      </c>
      <c r="X5004">
        <f>IF(AND(LEFT(D5004,4)+1=LEFT(' Pivot Tables'!$A$4,4)+0,RIGHT(LEFT(D5004,7),2)=RIGHT(LEFT(' Pivot Tables'!$A$4,7),2)),1,0)</f>
        <v>0</v>
      </c>
      <c r="Y5004" s="6">
        <f>1/COUNTIF(Таблица1[Order ID],Таблица1[[#This Row],[Order ID]])</f>
        <v>0.5</v>
      </c>
      <c r="Z5004" s="9">
        <f>1/COUNTIFS(Таблица1[Customer Name],Таблица1[[#This Row],[Customer Name]],Таблица1[Order-Year-Month],Таблица1[[#This Row],[Order-Year-Month]])</f>
        <v>0.5</v>
      </c>
    </row>
    <row r="5005" spans="1:26" x14ac:dyDescent="0.2">
      <c r="A5005" s="6">
        <v>2713</v>
      </c>
      <c r="B5005" s="7">
        <v>19586</v>
      </c>
      <c r="C5005" s="8">
        <f>DATE(2012,12,31)-60</f>
        <v>41214</v>
      </c>
      <c r="D5005" s="8" t="str">
        <f t="shared" si="94"/>
        <v>2012-11 (ноябрь 2012)</v>
      </c>
      <c r="E5005" s="9" t="s">
        <v>45</v>
      </c>
      <c r="F5005" s="7">
        <v>36</v>
      </c>
      <c r="G5005" s="7">
        <v>70.63</v>
      </c>
      <c r="H5005" s="7">
        <v>0.1</v>
      </c>
      <c r="I5005" s="9" t="s">
        <v>22</v>
      </c>
      <c r="J5005" s="10">
        <v>-66.87</v>
      </c>
      <c r="K5005" s="11">
        <v>2.08</v>
      </c>
      <c r="L5005" s="11">
        <v>2.56</v>
      </c>
      <c r="M5005" s="9" t="s">
        <v>1869</v>
      </c>
      <c r="N5005" s="6" t="s">
        <v>672</v>
      </c>
      <c r="O5005" s="6" t="s">
        <v>673</v>
      </c>
      <c r="P5005" s="9" t="s">
        <v>60</v>
      </c>
      <c r="Q5005" s="9" t="s">
        <v>26</v>
      </c>
      <c r="R5005" s="9" t="s">
        <v>150</v>
      </c>
      <c r="S5005" s="7" t="s">
        <v>750</v>
      </c>
      <c r="T5005" s="9" t="s">
        <v>52</v>
      </c>
      <c r="U5005" s="7">
        <v>0.55000000000000004</v>
      </c>
      <c r="V5005" s="12">
        <f>C5005+2</f>
        <v>41216</v>
      </c>
      <c r="W5005">
        <f>IF(D5005=' Pivot Tables'!$A$4,1,0)</f>
        <v>0</v>
      </c>
      <c r="X5005">
        <f>IF(AND(LEFT(D5005,4)+1=LEFT(' Pivot Tables'!$A$4,4)+0,RIGHT(LEFT(D5005,7),2)=RIGHT(LEFT(' Pivot Tables'!$A$4,7),2)),1,0)</f>
        <v>0</v>
      </c>
      <c r="Y5005" s="6">
        <f>1/COUNTIF(Таблица1[Order ID],Таблица1[[#This Row],[Order ID]])</f>
        <v>1</v>
      </c>
      <c r="Z5005" s="9">
        <f>1/COUNTIFS(Таблица1[Customer Name],Таблица1[[#This Row],[Customer Name]],Таблица1[Order-Year-Month],Таблица1[[#This Row],[Order-Year-Month]])</f>
        <v>1</v>
      </c>
    </row>
    <row r="5006" spans="1:26" x14ac:dyDescent="0.2">
      <c r="A5006" s="6">
        <v>2732</v>
      </c>
      <c r="B5006" s="7">
        <v>19718</v>
      </c>
      <c r="C5006" s="8">
        <f>DATE(2012,12,31)-190</f>
        <v>41084</v>
      </c>
      <c r="D5006" s="8" t="str">
        <f t="shared" si="94"/>
        <v>2012-06 (июнь 2012)</v>
      </c>
      <c r="E5006" s="9" t="s">
        <v>21</v>
      </c>
      <c r="F5006" s="7">
        <v>6</v>
      </c>
      <c r="G5006" s="7">
        <v>89.75</v>
      </c>
      <c r="H5006" s="7">
        <v>0.03</v>
      </c>
      <c r="I5006" s="9" t="s">
        <v>22</v>
      </c>
      <c r="J5006" s="10">
        <v>-38.288699999999999</v>
      </c>
      <c r="K5006" s="11">
        <v>13.99</v>
      </c>
      <c r="L5006" s="11">
        <v>7.51</v>
      </c>
      <c r="M5006" s="9" t="s">
        <v>1862</v>
      </c>
      <c r="N5006" s="6" t="s">
        <v>672</v>
      </c>
      <c r="O5006" s="6" t="s">
        <v>673</v>
      </c>
      <c r="P5006" s="9" t="s">
        <v>33</v>
      </c>
      <c r="Q5006" s="9" t="s">
        <v>42</v>
      </c>
      <c r="R5006" s="9" t="s">
        <v>210</v>
      </c>
      <c r="S5006" s="7" t="s">
        <v>687</v>
      </c>
      <c r="T5006" s="9" t="s">
        <v>48</v>
      </c>
      <c r="U5006" s="7">
        <v>0.39</v>
      </c>
      <c r="V5006" s="12">
        <f>C5006+5</f>
        <v>41089</v>
      </c>
      <c r="W5006">
        <f>IF(D5006=' Pivot Tables'!$A$4,1,0)</f>
        <v>0</v>
      </c>
      <c r="X5006">
        <f>IF(AND(LEFT(D5006,4)+1=LEFT(' Pivot Tables'!$A$4,4)+0,RIGHT(LEFT(D5006,7),2)=RIGHT(LEFT(' Pivot Tables'!$A$4,7),2)),1,0)</f>
        <v>0</v>
      </c>
      <c r="Y5006" s="6">
        <f>1/COUNTIF(Таблица1[Order ID],Таблица1[[#This Row],[Order ID]])</f>
        <v>1</v>
      </c>
      <c r="Z5006" s="9">
        <f>1/COUNTIFS(Таблица1[Customer Name],Таблица1[[#This Row],[Customer Name]],Таблица1[Order-Year-Month],Таблица1[[#This Row],[Order-Year-Month]])</f>
        <v>1</v>
      </c>
    </row>
    <row r="5007" spans="1:26" x14ac:dyDescent="0.2">
      <c r="A5007" s="6">
        <v>2733</v>
      </c>
      <c r="B5007" s="7">
        <v>19744</v>
      </c>
      <c r="C5007" s="8">
        <f>DATE(2012,12,31)-1023</f>
        <v>40251</v>
      </c>
      <c r="D5007" s="8" t="str">
        <f t="shared" si="94"/>
        <v>2010-03 (март 2010)</v>
      </c>
      <c r="E5007" s="9" t="s">
        <v>63</v>
      </c>
      <c r="F5007" s="7">
        <v>41</v>
      </c>
      <c r="G5007" s="7">
        <v>478.38</v>
      </c>
      <c r="H5007" s="7">
        <v>0.09</v>
      </c>
      <c r="I5007" s="9" t="s">
        <v>22</v>
      </c>
      <c r="J5007" s="10">
        <v>-34.39</v>
      </c>
      <c r="K5007" s="11">
        <v>11.97</v>
      </c>
      <c r="L5007" s="11">
        <v>4.9800000000000004</v>
      </c>
      <c r="M5007" s="9" t="s">
        <v>1460</v>
      </c>
      <c r="N5007" s="6" t="s">
        <v>672</v>
      </c>
      <c r="O5007" s="6" t="s">
        <v>673</v>
      </c>
      <c r="P5007" s="9" t="s">
        <v>33</v>
      </c>
      <c r="Q5007" s="9" t="s">
        <v>26</v>
      </c>
      <c r="R5007" s="9" t="s">
        <v>34</v>
      </c>
      <c r="S5007" s="7" t="s">
        <v>274</v>
      </c>
      <c r="T5007" s="9" t="s">
        <v>39</v>
      </c>
      <c r="U5007" s="7">
        <v>0.57999999999999996</v>
      </c>
      <c r="V5007" s="12">
        <f>C5007+2</f>
        <v>40253</v>
      </c>
      <c r="W5007">
        <f>IF(D5007=' Pivot Tables'!$A$4,1,0)</f>
        <v>0</v>
      </c>
      <c r="X5007">
        <f>IF(AND(LEFT(D5007,4)+1=LEFT(' Pivot Tables'!$A$4,4)+0,RIGHT(LEFT(D5007,7),2)=RIGHT(LEFT(' Pivot Tables'!$A$4,7),2)),1,0)</f>
        <v>0</v>
      </c>
      <c r="Y5007" s="6">
        <f>1/COUNTIF(Таблица1[Order ID],Таблица1[[#This Row],[Order ID]])</f>
        <v>1</v>
      </c>
      <c r="Z5007" s="9">
        <f>1/COUNTIFS(Таблица1[Customer Name],Таблица1[[#This Row],[Customer Name]],Таблица1[Order-Year-Month],Таблица1[[#This Row],[Order-Year-Month]])</f>
        <v>1</v>
      </c>
    </row>
    <row r="5008" spans="1:26" x14ac:dyDescent="0.2">
      <c r="A5008" s="6">
        <v>2781</v>
      </c>
      <c r="B5008" s="7">
        <v>20069</v>
      </c>
      <c r="C5008" s="8">
        <f>DATE(2012,12,31)-1192</f>
        <v>40082</v>
      </c>
      <c r="D5008" s="8" t="str">
        <f t="shared" si="94"/>
        <v>2009-09 (сентябрь 2009)</v>
      </c>
      <c r="E5008" s="9" t="s">
        <v>78</v>
      </c>
      <c r="F5008" s="7">
        <v>6</v>
      </c>
      <c r="G5008" s="7">
        <v>247.15</v>
      </c>
      <c r="H5008" s="7">
        <v>7.0000000000000007E-2</v>
      </c>
      <c r="I5008" s="9" t="s">
        <v>22</v>
      </c>
      <c r="J5008" s="10">
        <v>-88.35</v>
      </c>
      <c r="K5008" s="11">
        <v>40.89</v>
      </c>
      <c r="L5008" s="11">
        <v>18.98</v>
      </c>
      <c r="M5008" s="9" t="s">
        <v>109</v>
      </c>
      <c r="N5008" s="6" t="s">
        <v>672</v>
      </c>
      <c r="O5008" s="6" t="s">
        <v>673</v>
      </c>
      <c r="P5008" s="9" t="s">
        <v>41</v>
      </c>
      <c r="Q5008" s="9" t="s">
        <v>49</v>
      </c>
      <c r="R5008" s="9" t="s">
        <v>50</v>
      </c>
      <c r="S5008" s="7" t="s">
        <v>681</v>
      </c>
      <c r="T5008" s="9" t="s">
        <v>39</v>
      </c>
      <c r="U5008" s="7">
        <v>0.56999999999999995</v>
      </c>
      <c r="V5008" s="12">
        <f>C5008+2</f>
        <v>40084</v>
      </c>
      <c r="W5008">
        <f>IF(D5008=' Pivot Tables'!$A$4,1,0)</f>
        <v>0</v>
      </c>
      <c r="X5008">
        <f>IF(AND(LEFT(D5008,4)+1=LEFT(' Pivot Tables'!$A$4,4)+0,RIGHT(LEFT(D5008,7),2)=RIGHT(LEFT(' Pivot Tables'!$A$4,7),2)),1,0)</f>
        <v>0</v>
      </c>
      <c r="Y5008" s="6">
        <f>1/COUNTIF(Таблица1[Order ID],Таблица1[[#This Row],[Order ID]])</f>
        <v>1</v>
      </c>
      <c r="Z5008" s="9">
        <f>1/COUNTIFS(Таблица1[Customer Name],Таблица1[[#This Row],[Customer Name]],Таблица1[Order-Year-Month],Таблица1[[#This Row],[Order-Year-Month]])</f>
        <v>1</v>
      </c>
    </row>
    <row r="5009" spans="1:26" x14ac:dyDescent="0.2">
      <c r="A5009" s="6">
        <v>2787</v>
      </c>
      <c r="B5009" s="7">
        <v>20103</v>
      </c>
      <c r="C5009" s="8">
        <f>DATE(2012,12,31)-1054</f>
        <v>40220</v>
      </c>
      <c r="D5009" s="8" t="str">
        <f t="shared" si="94"/>
        <v>2010-02 (февраль 2010)</v>
      </c>
      <c r="E5009" s="9" t="s">
        <v>63</v>
      </c>
      <c r="F5009" s="7">
        <v>30</v>
      </c>
      <c r="G5009" s="7">
        <v>314.93</v>
      </c>
      <c r="H5009" s="7">
        <v>0</v>
      </c>
      <c r="I5009" s="9" t="s">
        <v>22</v>
      </c>
      <c r="J5009" s="10">
        <v>-17.5044</v>
      </c>
      <c r="K5009" s="11">
        <v>9.99</v>
      </c>
      <c r="L5009" s="11">
        <v>6.24</v>
      </c>
      <c r="M5009" s="9" t="s">
        <v>1848</v>
      </c>
      <c r="N5009" s="6" t="s">
        <v>672</v>
      </c>
      <c r="O5009" s="6" t="s">
        <v>673</v>
      </c>
      <c r="P5009" s="9" t="s">
        <v>25</v>
      </c>
      <c r="Q5009" s="9" t="s">
        <v>42</v>
      </c>
      <c r="R5009" s="9" t="s">
        <v>210</v>
      </c>
      <c r="S5009" s="7" t="s">
        <v>1804</v>
      </c>
      <c r="T5009" s="9" t="s">
        <v>48</v>
      </c>
      <c r="U5009" s="7">
        <v>0.36</v>
      </c>
      <c r="V5009" s="12">
        <f>C5009+1</f>
        <v>40221</v>
      </c>
      <c r="W5009">
        <f>IF(D5009=' Pivot Tables'!$A$4,1,0)</f>
        <v>0</v>
      </c>
      <c r="X5009">
        <f>IF(AND(LEFT(D5009,4)+1=LEFT(' Pivot Tables'!$A$4,4)+0,RIGHT(LEFT(D5009,7),2)=RIGHT(LEFT(' Pivot Tables'!$A$4,7),2)),1,0)</f>
        <v>0</v>
      </c>
      <c r="Y5009" s="6">
        <f>1/COUNTIF(Таблица1[Order ID],Таблица1[[#This Row],[Order ID]])</f>
        <v>0.5</v>
      </c>
      <c r="Z5009" s="9">
        <f>1/COUNTIFS(Таблица1[Customer Name],Таблица1[[#This Row],[Customer Name]],Таблица1[Order-Year-Month],Таблица1[[#This Row],[Order-Year-Month]])</f>
        <v>0.5</v>
      </c>
    </row>
    <row r="5010" spans="1:26" x14ac:dyDescent="0.2">
      <c r="A5010" s="6">
        <v>2788</v>
      </c>
      <c r="B5010" s="7">
        <v>20103</v>
      </c>
      <c r="C5010" s="8">
        <f>DATE(2012,12,31)-1054</f>
        <v>40220</v>
      </c>
      <c r="D5010" s="8" t="str">
        <f t="shared" si="94"/>
        <v>2010-02 (февраль 2010)</v>
      </c>
      <c r="E5010" s="9" t="s">
        <v>63</v>
      </c>
      <c r="F5010" s="7">
        <v>25</v>
      </c>
      <c r="G5010" s="7">
        <v>726.82</v>
      </c>
      <c r="H5010" s="7">
        <v>0.1</v>
      </c>
      <c r="I5010" s="9" t="s">
        <v>56</v>
      </c>
      <c r="J5010" s="10">
        <v>-173.88</v>
      </c>
      <c r="K5010" s="11">
        <v>30.42</v>
      </c>
      <c r="L5010" s="11">
        <v>8.65</v>
      </c>
      <c r="M5010" s="9" t="s">
        <v>1848</v>
      </c>
      <c r="N5010" s="6" t="s">
        <v>672</v>
      </c>
      <c r="O5010" s="6" t="s">
        <v>673</v>
      </c>
      <c r="P5010" s="9" t="s">
        <v>25</v>
      </c>
      <c r="Q5010" s="9" t="s">
        <v>42</v>
      </c>
      <c r="R5010" s="9" t="s">
        <v>70</v>
      </c>
      <c r="S5010" s="7" t="s">
        <v>374</v>
      </c>
      <c r="T5010" s="9" t="s">
        <v>39</v>
      </c>
      <c r="U5010" s="7">
        <v>0.74</v>
      </c>
      <c r="V5010" s="12">
        <f>C5010+2</f>
        <v>40222</v>
      </c>
      <c r="W5010">
        <f>IF(D5010=' Pivot Tables'!$A$4,1,0)</f>
        <v>0</v>
      </c>
      <c r="X5010">
        <f>IF(AND(LEFT(D5010,4)+1=LEFT(' Pivot Tables'!$A$4,4)+0,RIGHT(LEFT(D5010,7),2)=RIGHT(LEFT(' Pivot Tables'!$A$4,7),2)),1,0)</f>
        <v>0</v>
      </c>
      <c r="Y5010" s="6">
        <f>1/COUNTIF(Таблица1[Order ID],Таблица1[[#This Row],[Order ID]])</f>
        <v>0.5</v>
      </c>
      <c r="Z5010" s="9">
        <f>1/COUNTIFS(Таблица1[Customer Name],Таблица1[[#This Row],[Customer Name]],Таблица1[Order-Year-Month],Таблица1[[#This Row],[Order-Year-Month]])</f>
        <v>0.5</v>
      </c>
    </row>
    <row r="5011" spans="1:26" x14ac:dyDescent="0.2">
      <c r="A5011" s="6">
        <v>2794</v>
      </c>
      <c r="B5011" s="7">
        <v>20135</v>
      </c>
      <c r="C5011" s="8">
        <f>DATE(2012,12,31)-1280</f>
        <v>39994</v>
      </c>
      <c r="D5011" s="8" t="str">
        <f t="shared" si="94"/>
        <v>2009-06 (июнь 2009)</v>
      </c>
      <c r="E5011" s="9" t="s">
        <v>78</v>
      </c>
      <c r="F5011" s="7">
        <v>44</v>
      </c>
      <c r="G5011" s="7">
        <v>115.24</v>
      </c>
      <c r="H5011" s="7">
        <v>0.03</v>
      </c>
      <c r="I5011" s="9" t="s">
        <v>22</v>
      </c>
      <c r="J5011" s="10">
        <v>43.23</v>
      </c>
      <c r="K5011" s="11">
        <v>2.61</v>
      </c>
      <c r="L5011" s="11">
        <v>0.5</v>
      </c>
      <c r="M5011" s="9" t="s">
        <v>1847</v>
      </c>
      <c r="N5011" s="6" t="s">
        <v>672</v>
      </c>
      <c r="O5011" s="6" t="s">
        <v>673</v>
      </c>
      <c r="P5011" s="9" t="s">
        <v>41</v>
      </c>
      <c r="Q5011" s="9" t="s">
        <v>26</v>
      </c>
      <c r="R5011" s="9" t="s">
        <v>88</v>
      </c>
      <c r="S5011" s="7" t="s">
        <v>406</v>
      </c>
      <c r="T5011" s="9" t="s">
        <v>39</v>
      </c>
      <c r="U5011" s="7">
        <v>0.39</v>
      </c>
      <c r="V5011" s="12">
        <f>C5011+0</f>
        <v>39994</v>
      </c>
      <c r="W5011">
        <f>IF(D5011=' Pivot Tables'!$A$4,1,0)</f>
        <v>0</v>
      </c>
      <c r="X5011">
        <f>IF(AND(LEFT(D5011,4)+1=LEFT(' Pivot Tables'!$A$4,4)+0,RIGHT(LEFT(D5011,7),2)=RIGHT(LEFT(' Pivot Tables'!$A$4,7),2)),1,0)</f>
        <v>0</v>
      </c>
      <c r="Y5011" s="6">
        <f>1/COUNTIF(Таблица1[Order ID],Таблица1[[#This Row],[Order ID]])</f>
        <v>0.5</v>
      </c>
      <c r="Z5011" s="9">
        <f>1/COUNTIFS(Таблица1[Customer Name],Таблица1[[#This Row],[Customer Name]],Таблица1[Order-Year-Month],Таблица1[[#This Row],[Order-Year-Month]])</f>
        <v>0.5</v>
      </c>
    </row>
    <row r="5012" spans="1:26" x14ac:dyDescent="0.2">
      <c r="A5012" s="6">
        <v>2795</v>
      </c>
      <c r="B5012" s="7">
        <v>20135</v>
      </c>
      <c r="C5012" s="8">
        <f>DATE(2012,12,31)-1280</f>
        <v>39994</v>
      </c>
      <c r="D5012" s="8" t="str">
        <f t="shared" si="94"/>
        <v>2009-06 (июнь 2009)</v>
      </c>
      <c r="E5012" s="9" t="s">
        <v>78</v>
      </c>
      <c r="F5012" s="7">
        <v>28</v>
      </c>
      <c r="G5012" s="7">
        <v>9601.94</v>
      </c>
      <c r="H5012" s="7">
        <v>0.08</v>
      </c>
      <c r="I5012" s="9" t="s">
        <v>31</v>
      </c>
      <c r="J5012" s="10">
        <v>2428.59</v>
      </c>
      <c r="K5012" s="11">
        <v>349.45</v>
      </c>
      <c r="L5012" s="11">
        <v>60</v>
      </c>
      <c r="M5012" s="9" t="s">
        <v>1847</v>
      </c>
      <c r="N5012" s="6" t="s">
        <v>672</v>
      </c>
      <c r="O5012" s="6" t="s">
        <v>673</v>
      </c>
      <c r="P5012" s="9" t="s">
        <v>41</v>
      </c>
      <c r="Q5012" s="9" t="s">
        <v>49</v>
      </c>
      <c r="R5012" s="9" t="s">
        <v>83</v>
      </c>
      <c r="S5012" s="7" t="s">
        <v>311</v>
      </c>
      <c r="T5012" s="9" t="s">
        <v>36</v>
      </c>
      <c r="U5012" s="7"/>
      <c r="V5012" s="12">
        <f>C5012+2</f>
        <v>39996</v>
      </c>
      <c r="W5012">
        <f>IF(D5012=' Pivot Tables'!$A$4,1,0)</f>
        <v>0</v>
      </c>
      <c r="X5012">
        <f>IF(AND(LEFT(D5012,4)+1=LEFT(' Pivot Tables'!$A$4,4)+0,RIGHT(LEFT(D5012,7),2)=RIGHT(LEFT(' Pivot Tables'!$A$4,7),2)),1,0)</f>
        <v>0</v>
      </c>
      <c r="Y5012" s="6">
        <f>1/COUNTIF(Таблица1[Order ID],Таблица1[[#This Row],[Order ID]])</f>
        <v>0.5</v>
      </c>
      <c r="Z5012" s="9">
        <f>1/COUNTIFS(Таблица1[Customer Name],Таблица1[[#This Row],[Customer Name]],Таблица1[Order-Year-Month],Таблица1[[#This Row],[Order-Year-Month]])</f>
        <v>0.5</v>
      </c>
    </row>
    <row r="5013" spans="1:26" x14ac:dyDescent="0.2">
      <c r="A5013" s="6">
        <v>2798</v>
      </c>
      <c r="B5013" s="7">
        <v>20166</v>
      </c>
      <c r="C5013" s="8">
        <f>DATE(2012,12,31)-1398</f>
        <v>39876</v>
      </c>
      <c r="D5013" s="8" t="str">
        <f t="shared" si="94"/>
        <v>2009-03 (март 2009)</v>
      </c>
      <c r="E5013" s="9" t="s">
        <v>21</v>
      </c>
      <c r="F5013" s="7">
        <v>6</v>
      </c>
      <c r="G5013" s="7">
        <v>973.86199999999997</v>
      </c>
      <c r="H5013" s="7">
        <v>0.1</v>
      </c>
      <c r="I5013" s="9" t="s">
        <v>22</v>
      </c>
      <c r="J5013" s="10">
        <v>-693.33</v>
      </c>
      <c r="K5013" s="11">
        <v>205.99</v>
      </c>
      <c r="L5013" s="11">
        <v>8.99</v>
      </c>
      <c r="M5013" s="9" t="s">
        <v>1855</v>
      </c>
      <c r="N5013" s="6" t="s">
        <v>672</v>
      </c>
      <c r="O5013" s="6" t="s">
        <v>673</v>
      </c>
      <c r="P5013" s="9" t="s">
        <v>41</v>
      </c>
      <c r="Q5013" s="9" t="s">
        <v>42</v>
      </c>
      <c r="R5013" s="9" t="s">
        <v>43</v>
      </c>
      <c r="S5013" s="7" t="s">
        <v>1444</v>
      </c>
      <c r="T5013" s="9" t="s">
        <v>39</v>
      </c>
      <c r="U5013" s="7">
        <v>0.56000000000000005</v>
      </c>
      <c r="V5013" s="12">
        <f>C5013+4</f>
        <v>39880</v>
      </c>
      <c r="W5013">
        <f>IF(D5013=' Pivot Tables'!$A$4,1,0)</f>
        <v>0</v>
      </c>
      <c r="X5013">
        <f>IF(AND(LEFT(D5013,4)+1=LEFT(' Pivot Tables'!$A$4,4)+0,RIGHT(LEFT(D5013,7),2)=RIGHT(LEFT(' Pivot Tables'!$A$4,7),2)),1,0)</f>
        <v>0</v>
      </c>
      <c r="Y5013" s="6">
        <f>1/COUNTIF(Таблица1[Order ID],Таблица1[[#This Row],[Order ID]])</f>
        <v>1</v>
      </c>
      <c r="Z5013" s="9">
        <f>1/COUNTIFS(Таблица1[Customer Name],Таблица1[[#This Row],[Customer Name]],Таблица1[Order-Year-Month],Таблица1[[#This Row],[Order-Year-Month]])</f>
        <v>1</v>
      </c>
    </row>
    <row r="5014" spans="1:26" x14ac:dyDescent="0.2">
      <c r="A5014" s="6">
        <v>2799</v>
      </c>
      <c r="B5014" s="7">
        <v>20192</v>
      </c>
      <c r="C5014" s="8">
        <f>DATE(2012,12,31)-817</f>
        <v>40457</v>
      </c>
      <c r="D5014" s="8" t="str">
        <f t="shared" si="94"/>
        <v>2010-10 (октябрь 2010)</v>
      </c>
      <c r="E5014" s="9" t="s">
        <v>21</v>
      </c>
      <c r="F5014" s="7">
        <v>35</v>
      </c>
      <c r="G5014" s="7">
        <v>1624.67</v>
      </c>
      <c r="H5014" s="7">
        <v>0.04</v>
      </c>
      <c r="I5014" s="9" t="s">
        <v>22</v>
      </c>
      <c r="J5014" s="10">
        <v>504.35</v>
      </c>
      <c r="K5014" s="11">
        <v>45.19</v>
      </c>
      <c r="L5014" s="11">
        <v>1.99</v>
      </c>
      <c r="M5014" s="9" t="s">
        <v>1878</v>
      </c>
      <c r="N5014" s="6" t="s">
        <v>672</v>
      </c>
      <c r="O5014" s="6" t="s">
        <v>673</v>
      </c>
      <c r="P5014" s="9" t="s">
        <v>60</v>
      </c>
      <c r="Q5014" s="9" t="s">
        <v>42</v>
      </c>
      <c r="R5014" s="9" t="s">
        <v>70</v>
      </c>
      <c r="S5014" s="7" t="s">
        <v>379</v>
      </c>
      <c r="T5014" s="9" t="s">
        <v>52</v>
      </c>
      <c r="U5014" s="7">
        <v>0.55000000000000004</v>
      </c>
      <c r="V5014" s="12">
        <f>C5014+7</f>
        <v>40464</v>
      </c>
      <c r="W5014">
        <f>IF(D5014=' Pivot Tables'!$A$4,1,0)</f>
        <v>0</v>
      </c>
      <c r="X5014">
        <f>IF(AND(LEFT(D5014,4)+1=LEFT(' Pivot Tables'!$A$4,4)+0,RIGHT(LEFT(D5014,7),2)=RIGHT(LEFT(' Pivot Tables'!$A$4,7),2)),1,0)</f>
        <v>0</v>
      </c>
      <c r="Y5014" s="6">
        <f>1/COUNTIF(Таблица1[Order ID],Таблица1[[#This Row],[Order ID]])</f>
        <v>1</v>
      </c>
      <c r="Z5014" s="9">
        <f>1/COUNTIFS(Таблица1[Customer Name],Таблица1[[#This Row],[Customer Name]],Таблица1[Order-Year-Month],Таблица1[[#This Row],[Order-Year-Month]])</f>
        <v>1</v>
      </c>
    </row>
    <row r="5015" spans="1:26" x14ac:dyDescent="0.2">
      <c r="A5015" s="6">
        <v>2804</v>
      </c>
      <c r="B5015" s="7">
        <v>20229</v>
      </c>
      <c r="C5015" s="8">
        <f>DATE(2012,12,31)-1158</f>
        <v>40116</v>
      </c>
      <c r="D5015" s="8" t="str">
        <f t="shared" si="94"/>
        <v>2009-10 (октябрь 2009)</v>
      </c>
      <c r="E5015" s="9" t="s">
        <v>21</v>
      </c>
      <c r="F5015" s="7">
        <v>47</v>
      </c>
      <c r="G5015" s="7">
        <v>116.06</v>
      </c>
      <c r="H5015" s="7">
        <v>0.1</v>
      </c>
      <c r="I5015" s="9" t="s">
        <v>22</v>
      </c>
      <c r="J5015" s="10">
        <v>25.2</v>
      </c>
      <c r="K5015" s="11">
        <v>2.62</v>
      </c>
      <c r="L5015" s="11">
        <v>0.8</v>
      </c>
      <c r="M5015" s="9" t="s">
        <v>1869</v>
      </c>
      <c r="N5015" s="6" t="s">
        <v>672</v>
      </c>
      <c r="O5015" s="6" t="s">
        <v>673</v>
      </c>
      <c r="P5015" s="9" t="s">
        <v>60</v>
      </c>
      <c r="Q5015" s="9" t="s">
        <v>26</v>
      </c>
      <c r="R5015" s="9" t="s">
        <v>66</v>
      </c>
      <c r="S5015" s="7" t="s">
        <v>861</v>
      </c>
      <c r="T5015" s="9" t="s">
        <v>68</v>
      </c>
      <c r="U5015" s="7">
        <v>0.39</v>
      </c>
      <c r="V5015" s="12">
        <f>C5015+7</f>
        <v>40123</v>
      </c>
      <c r="W5015">
        <f>IF(D5015=' Pivot Tables'!$A$4,1,0)</f>
        <v>0</v>
      </c>
      <c r="X5015">
        <f>IF(AND(LEFT(D5015,4)+1=LEFT(' Pivot Tables'!$A$4,4)+0,RIGHT(LEFT(D5015,7),2)=RIGHT(LEFT(' Pivot Tables'!$A$4,7),2)),1,0)</f>
        <v>0</v>
      </c>
      <c r="Y5015" s="6">
        <f>1/COUNTIF(Таблица1[Order ID],Таблица1[[#This Row],[Order ID]])</f>
        <v>1</v>
      </c>
      <c r="Z5015" s="9">
        <f>1/COUNTIFS(Таблица1[Customer Name],Таблица1[[#This Row],[Customer Name]],Таблица1[Order-Year-Month],Таблица1[[#This Row],[Order-Year-Month]])</f>
        <v>1</v>
      </c>
    </row>
    <row r="5016" spans="1:26" x14ac:dyDescent="0.2">
      <c r="A5016" s="6">
        <v>2906</v>
      </c>
      <c r="B5016" s="7">
        <v>20966</v>
      </c>
      <c r="C5016" s="8">
        <f>DATE(2012,12,31)-835</f>
        <v>40439</v>
      </c>
      <c r="D5016" s="8" t="str">
        <f t="shared" si="94"/>
        <v>2010-09 (сентябрь 2010)</v>
      </c>
      <c r="E5016" s="9" t="s">
        <v>21</v>
      </c>
      <c r="F5016" s="7">
        <v>10</v>
      </c>
      <c r="G5016" s="7">
        <v>39.42</v>
      </c>
      <c r="H5016" s="7">
        <v>0.06</v>
      </c>
      <c r="I5016" s="9" t="s">
        <v>22</v>
      </c>
      <c r="J5016" s="10">
        <v>7.78</v>
      </c>
      <c r="K5016" s="11">
        <v>3.85</v>
      </c>
      <c r="L5016" s="11">
        <v>0.7</v>
      </c>
      <c r="M5016" s="9" t="s">
        <v>1876</v>
      </c>
      <c r="N5016" s="6" t="s">
        <v>672</v>
      </c>
      <c r="O5016" s="6" t="s">
        <v>673</v>
      </c>
      <c r="P5016" s="9" t="s">
        <v>33</v>
      </c>
      <c r="Q5016" s="9" t="s">
        <v>26</v>
      </c>
      <c r="R5016" s="9" t="s">
        <v>95</v>
      </c>
      <c r="S5016" s="7" t="s">
        <v>1194</v>
      </c>
      <c r="T5016" s="9" t="s">
        <v>68</v>
      </c>
      <c r="U5016" s="7">
        <v>0.44</v>
      </c>
      <c r="V5016" s="12">
        <f>C5016+4</f>
        <v>40443</v>
      </c>
      <c r="W5016">
        <f>IF(D5016=' Pivot Tables'!$A$4,1,0)</f>
        <v>0</v>
      </c>
      <c r="X5016">
        <f>IF(AND(LEFT(D5016,4)+1=LEFT(' Pivot Tables'!$A$4,4)+0,RIGHT(LEFT(D5016,7),2)=RIGHT(LEFT(' Pivot Tables'!$A$4,7),2)),1,0)</f>
        <v>0</v>
      </c>
      <c r="Y5016" s="6">
        <f>1/COUNTIF(Таблица1[Order ID],Таблица1[[#This Row],[Order ID]])</f>
        <v>0.33333333333333331</v>
      </c>
      <c r="Z5016" s="9">
        <f>1/COUNTIFS(Таблица1[Customer Name],Таблица1[[#This Row],[Customer Name]],Таблица1[Order-Year-Month],Таблица1[[#This Row],[Order-Year-Month]])</f>
        <v>0.33333333333333331</v>
      </c>
    </row>
    <row r="5017" spans="1:26" x14ac:dyDescent="0.2">
      <c r="A5017" s="6">
        <v>2907</v>
      </c>
      <c r="B5017" s="7">
        <v>20966</v>
      </c>
      <c r="C5017" s="8">
        <f>DATE(2012,12,31)-835</f>
        <v>40439</v>
      </c>
      <c r="D5017" s="8" t="str">
        <f t="shared" si="94"/>
        <v>2010-09 (сентябрь 2010)</v>
      </c>
      <c r="E5017" s="9" t="s">
        <v>21</v>
      </c>
      <c r="F5017" s="7">
        <v>35</v>
      </c>
      <c r="G5017" s="7">
        <v>801.44</v>
      </c>
      <c r="H5017" s="7">
        <v>0.01</v>
      </c>
      <c r="I5017" s="9" t="s">
        <v>22</v>
      </c>
      <c r="J5017" s="10">
        <v>308.12</v>
      </c>
      <c r="K5017" s="11">
        <v>22.24</v>
      </c>
      <c r="L5017" s="11">
        <v>1.99</v>
      </c>
      <c r="M5017" s="9" t="s">
        <v>1876</v>
      </c>
      <c r="N5017" s="6" t="s">
        <v>672</v>
      </c>
      <c r="O5017" s="6" t="s">
        <v>673</v>
      </c>
      <c r="P5017" s="9" t="s">
        <v>33</v>
      </c>
      <c r="Q5017" s="9" t="s">
        <v>42</v>
      </c>
      <c r="R5017" s="9" t="s">
        <v>70</v>
      </c>
      <c r="S5017" s="7" t="s">
        <v>1116</v>
      </c>
      <c r="T5017" s="9" t="s">
        <v>52</v>
      </c>
      <c r="U5017" s="7">
        <v>0.43</v>
      </c>
      <c r="V5017" s="12">
        <f>C5017+4</f>
        <v>40443</v>
      </c>
      <c r="W5017">
        <f>IF(D5017=' Pivot Tables'!$A$4,1,0)</f>
        <v>0</v>
      </c>
      <c r="X5017">
        <f>IF(AND(LEFT(D5017,4)+1=LEFT(' Pivot Tables'!$A$4,4)+0,RIGHT(LEFT(D5017,7),2)=RIGHT(LEFT(' Pivot Tables'!$A$4,7),2)),1,0)</f>
        <v>0</v>
      </c>
      <c r="Y5017" s="6">
        <f>1/COUNTIF(Таблица1[Order ID],Таблица1[[#This Row],[Order ID]])</f>
        <v>0.33333333333333331</v>
      </c>
      <c r="Z5017" s="9">
        <f>1/COUNTIFS(Таблица1[Customer Name],Таблица1[[#This Row],[Customer Name]],Таблица1[Order-Year-Month],Таблица1[[#This Row],[Order-Year-Month]])</f>
        <v>0.33333333333333331</v>
      </c>
    </row>
    <row r="5018" spans="1:26" x14ac:dyDescent="0.2">
      <c r="A5018" s="6">
        <v>2908</v>
      </c>
      <c r="B5018" s="7">
        <v>20966</v>
      </c>
      <c r="C5018" s="8">
        <f>DATE(2012,12,31)-835</f>
        <v>40439</v>
      </c>
      <c r="D5018" s="8" t="str">
        <f t="shared" si="94"/>
        <v>2010-09 (сентябрь 2010)</v>
      </c>
      <c r="E5018" s="9" t="s">
        <v>21</v>
      </c>
      <c r="F5018" s="7">
        <v>22</v>
      </c>
      <c r="G5018" s="7">
        <v>1194.06</v>
      </c>
      <c r="H5018" s="7">
        <v>0.04</v>
      </c>
      <c r="I5018" s="9" t="s">
        <v>22</v>
      </c>
      <c r="J5018" s="10">
        <v>326.97000000000003</v>
      </c>
      <c r="K5018" s="11">
        <v>54.74</v>
      </c>
      <c r="L5018" s="11">
        <v>14.83</v>
      </c>
      <c r="M5018" s="9" t="s">
        <v>1876</v>
      </c>
      <c r="N5018" s="6" t="s">
        <v>672</v>
      </c>
      <c r="O5018" s="6" t="s">
        <v>673</v>
      </c>
      <c r="P5018" s="9" t="s">
        <v>33</v>
      </c>
      <c r="Q5018" s="9" t="s">
        <v>49</v>
      </c>
      <c r="R5018" s="9" t="s">
        <v>50</v>
      </c>
      <c r="S5018" s="7" t="s">
        <v>460</v>
      </c>
      <c r="T5018" s="9" t="s">
        <v>39</v>
      </c>
      <c r="U5018" s="7">
        <v>0.54</v>
      </c>
      <c r="V5018" s="12">
        <f>C5018+7</f>
        <v>40446</v>
      </c>
      <c r="W5018">
        <f>IF(D5018=' Pivot Tables'!$A$4,1,0)</f>
        <v>0</v>
      </c>
      <c r="X5018">
        <f>IF(AND(LEFT(D5018,4)+1=LEFT(' Pivot Tables'!$A$4,4)+0,RIGHT(LEFT(D5018,7),2)=RIGHT(LEFT(' Pivot Tables'!$A$4,7),2)),1,0)</f>
        <v>0</v>
      </c>
      <c r="Y5018" s="6">
        <f>1/COUNTIF(Таблица1[Order ID],Таблица1[[#This Row],[Order ID]])</f>
        <v>0.33333333333333331</v>
      </c>
      <c r="Z5018" s="9">
        <f>1/COUNTIFS(Таблица1[Customer Name],Таблица1[[#This Row],[Customer Name]],Таблица1[Order-Year-Month],Таблица1[[#This Row],[Order-Year-Month]])</f>
        <v>0.33333333333333331</v>
      </c>
    </row>
    <row r="5019" spans="1:26" x14ac:dyDescent="0.2">
      <c r="A5019" s="6">
        <v>2916</v>
      </c>
      <c r="B5019" s="7">
        <v>21063</v>
      </c>
      <c r="C5019" s="8">
        <f>DATE(2012,12,31)-626</f>
        <v>40648</v>
      </c>
      <c r="D5019" s="8" t="str">
        <f t="shared" si="94"/>
        <v>2011-04 (апрель 2011)</v>
      </c>
      <c r="E5019" s="9" t="s">
        <v>21</v>
      </c>
      <c r="F5019" s="7">
        <v>49</v>
      </c>
      <c r="G5019" s="7">
        <v>377.02</v>
      </c>
      <c r="H5019" s="7">
        <v>0</v>
      </c>
      <c r="I5019" s="9" t="s">
        <v>22</v>
      </c>
      <c r="J5019" s="10">
        <v>84.66</v>
      </c>
      <c r="K5019" s="11">
        <v>7.08</v>
      </c>
      <c r="L5019" s="11">
        <v>2.35</v>
      </c>
      <c r="M5019" s="9" t="s">
        <v>1876</v>
      </c>
      <c r="N5019" s="6" t="s">
        <v>672</v>
      </c>
      <c r="O5019" s="6" t="s">
        <v>673</v>
      </c>
      <c r="P5019" s="9" t="s">
        <v>33</v>
      </c>
      <c r="Q5019" s="9" t="s">
        <v>26</v>
      </c>
      <c r="R5019" s="9" t="s">
        <v>95</v>
      </c>
      <c r="S5019" s="7" t="s">
        <v>286</v>
      </c>
      <c r="T5019" s="9" t="s">
        <v>68</v>
      </c>
      <c r="U5019" s="7">
        <v>0.47</v>
      </c>
      <c r="V5019" s="12">
        <f>C5019+4</f>
        <v>40652</v>
      </c>
      <c r="W5019">
        <f>IF(D5019=' Pivot Tables'!$A$4,1,0)</f>
        <v>0</v>
      </c>
      <c r="X5019">
        <f>IF(AND(LEFT(D5019,4)+1=LEFT(' Pivot Tables'!$A$4,4)+0,RIGHT(LEFT(D5019,7),2)=RIGHT(LEFT(' Pivot Tables'!$A$4,7),2)),1,0)</f>
        <v>0</v>
      </c>
      <c r="Y5019" s="6">
        <f>1/COUNTIF(Таблица1[Order ID],Таблица1[[#This Row],[Order ID]])</f>
        <v>0.5</v>
      </c>
      <c r="Z5019" s="9">
        <f>1/COUNTIFS(Таблица1[Customer Name],Таблица1[[#This Row],[Customer Name]],Таблица1[Order-Year-Month],Таблица1[[#This Row],[Order-Year-Month]])</f>
        <v>0.5</v>
      </c>
    </row>
    <row r="5020" spans="1:26" x14ac:dyDescent="0.2">
      <c r="A5020" s="6">
        <v>2917</v>
      </c>
      <c r="B5020" s="7">
        <v>21063</v>
      </c>
      <c r="C5020" s="8">
        <f>DATE(2012,12,31)-626</f>
        <v>40648</v>
      </c>
      <c r="D5020" s="8" t="str">
        <f t="shared" si="94"/>
        <v>2011-04 (апрель 2011)</v>
      </c>
      <c r="E5020" s="9" t="s">
        <v>21</v>
      </c>
      <c r="F5020" s="7">
        <v>48</v>
      </c>
      <c r="G5020" s="7">
        <v>7339.24</v>
      </c>
      <c r="H5020" s="7">
        <v>0</v>
      </c>
      <c r="I5020" s="9" t="s">
        <v>31</v>
      </c>
      <c r="J5020" s="10">
        <v>-279.74</v>
      </c>
      <c r="K5020" s="11">
        <v>145.97999999999999</v>
      </c>
      <c r="L5020" s="11">
        <v>51.92</v>
      </c>
      <c r="M5020" s="9" t="s">
        <v>1876</v>
      </c>
      <c r="N5020" s="6" t="s">
        <v>672</v>
      </c>
      <c r="O5020" s="6" t="s">
        <v>673</v>
      </c>
      <c r="P5020" s="9" t="s">
        <v>33</v>
      </c>
      <c r="Q5020" s="9" t="s">
        <v>49</v>
      </c>
      <c r="R5020" s="9" t="s">
        <v>83</v>
      </c>
      <c r="S5020" s="7" t="s">
        <v>938</v>
      </c>
      <c r="T5020" s="9" t="s">
        <v>82</v>
      </c>
      <c r="U5020" s="7">
        <v>0.69</v>
      </c>
      <c r="V5020" s="12">
        <f>C5020+0</f>
        <v>40648</v>
      </c>
      <c r="W5020">
        <f>IF(D5020=' Pivot Tables'!$A$4,1,0)</f>
        <v>0</v>
      </c>
      <c r="X5020">
        <f>IF(AND(LEFT(D5020,4)+1=LEFT(' Pivot Tables'!$A$4,4)+0,RIGHT(LEFT(D5020,7),2)=RIGHT(LEFT(' Pivot Tables'!$A$4,7),2)),1,0)</f>
        <v>0</v>
      </c>
      <c r="Y5020" s="6">
        <f>1/COUNTIF(Таблица1[Order ID],Таблица1[[#This Row],[Order ID]])</f>
        <v>0.5</v>
      </c>
      <c r="Z5020" s="9">
        <f>1/COUNTIFS(Таблица1[Customer Name],Таблица1[[#This Row],[Customer Name]],Таблица1[Order-Year-Month],Таблица1[[#This Row],[Order-Year-Month]])</f>
        <v>0.5</v>
      </c>
    </row>
    <row r="5021" spans="1:26" x14ac:dyDescent="0.2">
      <c r="A5021" s="6">
        <v>2958</v>
      </c>
      <c r="B5021" s="7">
        <v>21412</v>
      </c>
      <c r="C5021" s="8">
        <f>DATE(2012,12,31)-537</f>
        <v>40737</v>
      </c>
      <c r="D5021" s="8" t="str">
        <f t="shared" si="94"/>
        <v>2011-07 (июль 2011)</v>
      </c>
      <c r="E5021" s="9" t="s">
        <v>45</v>
      </c>
      <c r="F5021" s="7">
        <v>38</v>
      </c>
      <c r="G5021" s="7">
        <v>137.07</v>
      </c>
      <c r="H5021" s="7">
        <v>0.09</v>
      </c>
      <c r="I5021" s="9" t="s">
        <v>22</v>
      </c>
      <c r="J5021" s="10">
        <v>-199.29499999999999</v>
      </c>
      <c r="K5021" s="11">
        <v>3.52</v>
      </c>
      <c r="L5021" s="11">
        <v>6.83</v>
      </c>
      <c r="M5021" s="9" t="s">
        <v>1882</v>
      </c>
      <c r="N5021" s="6" t="s">
        <v>672</v>
      </c>
      <c r="O5021" s="6" t="s">
        <v>673</v>
      </c>
      <c r="P5021" s="9" t="s">
        <v>60</v>
      </c>
      <c r="Q5021" s="9" t="s">
        <v>26</v>
      </c>
      <c r="R5021" s="9" t="s">
        <v>37</v>
      </c>
      <c r="S5021" s="7" t="s">
        <v>636</v>
      </c>
      <c r="T5021" s="9" t="s">
        <v>39</v>
      </c>
      <c r="U5021" s="7">
        <v>0.38</v>
      </c>
      <c r="V5021" s="12">
        <f>C5021+2</f>
        <v>40739</v>
      </c>
      <c r="W5021">
        <f>IF(D5021=' Pivot Tables'!$A$4,1,0)</f>
        <v>0</v>
      </c>
      <c r="X5021">
        <f>IF(AND(LEFT(D5021,4)+1=LEFT(' Pivot Tables'!$A$4,4)+0,RIGHT(LEFT(D5021,7),2)=RIGHT(LEFT(' Pivot Tables'!$A$4,7),2)),1,0)</f>
        <v>0</v>
      </c>
      <c r="Y5021" s="6">
        <f>1/COUNTIF(Таблица1[Order ID],Таблица1[[#This Row],[Order ID]])</f>
        <v>0.5</v>
      </c>
      <c r="Z5021" s="9">
        <f>1/COUNTIFS(Таблица1[Customer Name],Таблица1[[#This Row],[Customer Name]],Таблица1[Order-Year-Month],Таблица1[[#This Row],[Order-Year-Month]])</f>
        <v>0.5</v>
      </c>
    </row>
    <row r="5022" spans="1:26" x14ac:dyDescent="0.2">
      <c r="A5022" s="6">
        <v>2959</v>
      </c>
      <c r="B5022" s="7">
        <v>21412</v>
      </c>
      <c r="C5022" s="8">
        <f>DATE(2012,12,31)-537</f>
        <v>40737</v>
      </c>
      <c r="D5022" s="8" t="str">
        <f t="shared" si="94"/>
        <v>2011-07 (июль 2011)</v>
      </c>
      <c r="E5022" s="9" t="s">
        <v>45</v>
      </c>
      <c r="F5022" s="7">
        <v>28</v>
      </c>
      <c r="G5022" s="7">
        <v>203.99</v>
      </c>
      <c r="H5022" s="7">
        <v>0.02</v>
      </c>
      <c r="I5022" s="9" t="s">
        <v>22</v>
      </c>
      <c r="J5022" s="10">
        <v>-8.51</v>
      </c>
      <c r="K5022" s="11">
        <v>7.28</v>
      </c>
      <c r="L5022" s="11">
        <v>4.2300000000000004</v>
      </c>
      <c r="M5022" s="9" t="s">
        <v>1882</v>
      </c>
      <c r="N5022" s="6" t="s">
        <v>672</v>
      </c>
      <c r="O5022" s="6" t="s">
        <v>673</v>
      </c>
      <c r="P5022" s="9" t="s">
        <v>60</v>
      </c>
      <c r="Q5022" s="9" t="s">
        <v>26</v>
      </c>
      <c r="R5022" s="9" t="s">
        <v>61</v>
      </c>
      <c r="S5022" s="7" t="s">
        <v>1342</v>
      </c>
      <c r="T5022" s="9" t="s">
        <v>68</v>
      </c>
      <c r="U5022" s="7">
        <v>0.39</v>
      </c>
      <c r="V5022" s="12">
        <f>C5022+1</f>
        <v>40738</v>
      </c>
      <c r="W5022">
        <f>IF(D5022=' Pivot Tables'!$A$4,1,0)</f>
        <v>0</v>
      </c>
      <c r="X5022">
        <f>IF(AND(LEFT(D5022,4)+1=LEFT(' Pivot Tables'!$A$4,4)+0,RIGHT(LEFT(D5022,7),2)=RIGHT(LEFT(' Pivot Tables'!$A$4,7),2)),1,0)</f>
        <v>0</v>
      </c>
      <c r="Y5022" s="6">
        <f>1/COUNTIF(Таблица1[Order ID],Таблица1[[#This Row],[Order ID]])</f>
        <v>0.5</v>
      </c>
      <c r="Z5022" s="9">
        <f>1/COUNTIFS(Таблица1[Customer Name],Таблица1[[#This Row],[Customer Name]],Таблица1[Order-Year-Month],Таблица1[[#This Row],[Order-Year-Month]])</f>
        <v>0.5</v>
      </c>
    </row>
    <row r="5023" spans="1:26" x14ac:dyDescent="0.2">
      <c r="A5023" s="6">
        <v>2964</v>
      </c>
      <c r="B5023" s="7">
        <v>21442</v>
      </c>
      <c r="C5023" s="8">
        <f>DATE(2012,12,31)-1102</f>
        <v>40172</v>
      </c>
      <c r="D5023" s="8" t="str">
        <f t="shared" si="94"/>
        <v>2009-12 (декабрь 2009)</v>
      </c>
      <c r="E5023" s="9" t="s">
        <v>21</v>
      </c>
      <c r="F5023" s="7">
        <v>48</v>
      </c>
      <c r="G5023" s="7">
        <v>2962.96</v>
      </c>
      <c r="H5023" s="7">
        <v>0.02</v>
      </c>
      <c r="I5023" s="9" t="s">
        <v>31</v>
      </c>
      <c r="J5023" s="10">
        <v>-612.94000000000005</v>
      </c>
      <c r="K5023" s="11">
        <v>58.14</v>
      </c>
      <c r="L5023" s="11">
        <v>36.61</v>
      </c>
      <c r="M5023" s="9" t="s">
        <v>1881</v>
      </c>
      <c r="N5023" s="6" t="s">
        <v>672</v>
      </c>
      <c r="O5023" s="6" t="s">
        <v>673</v>
      </c>
      <c r="P5023" s="9" t="s">
        <v>33</v>
      </c>
      <c r="Q5023" s="9" t="s">
        <v>49</v>
      </c>
      <c r="R5023" s="9" t="s">
        <v>80</v>
      </c>
      <c r="S5023" s="7" t="s">
        <v>233</v>
      </c>
      <c r="T5023" s="9" t="s">
        <v>82</v>
      </c>
      <c r="U5023" s="7">
        <v>0.61</v>
      </c>
      <c r="V5023" s="12">
        <f>C5023+7</f>
        <v>40179</v>
      </c>
      <c r="W5023">
        <f>IF(D5023=' Pivot Tables'!$A$4,1,0)</f>
        <v>0</v>
      </c>
      <c r="X5023">
        <f>IF(AND(LEFT(D5023,4)+1=LEFT(' Pivot Tables'!$A$4,4)+0,RIGHT(LEFT(D5023,7),2)=RIGHT(LEFT(' Pivot Tables'!$A$4,7),2)),1,0)</f>
        <v>0</v>
      </c>
      <c r="Y5023" s="6">
        <f>1/COUNTIF(Таблица1[Order ID],Таблица1[[#This Row],[Order ID]])</f>
        <v>0.5</v>
      </c>
      <c r="Z5023" s="9">
        <f>1/COUNTIFS(Таблица1[Customer Name],Таблица1[[#This Row],[Customer Name]],Таблица1[Order-Year-Month],Таблица1[[#This Row],[Order-Year-Month]])</f>
        <v>0.5</v>
      </c>
    </row>
    <row r="5024" spans="1:26" x14ac:dyDescent="0.2">
      <c r="A5024" s="6">
        <v>2965</v>
      </c>
      <c r="B5024" s="7">
        <v>21442</v>
      </c>
      <c r="C5024" s="8">
        <f>DATE(2012,12,31)-1102</f>
        <v>40172</v>
      </c>
      <c r="D5024" s="8" t="str">
        <f t="shared" si="94"/>
        <v>2009-12 (декабрь 2009)</v>
      </c>
      <c r="E5024" s="9" t="s">
        <v>21</v>
      </c>
      <c r="F5024" s="7">
        <v>48</v>
      </c>
      <c r="G5024" s="7">
        <v>782.93</v>
      </c>
      <c r="H5024" s="7">
        <v>0.03</v>
      </c>
      <c r="I5024" s="9" t="s">
        <v>22</v>
      </c>
      <c r="J5024" s="10">
        <v>401.07</v>
      </c>
      <c r="K5024" s="11">
        <v>15.57</v>
      </c>
      <c r="L5024" s="11">
        <v>1.39</v>
      </c>
      <c r="M5024" s="9" t="s">
        <v>1881</v>
      </c>
      <c r="N5024" s="6" t="s">
        <v>672</v>
      </c>
      <c r="O5024" s="6" t="s">
        <v>673</v>
      </c>
      <c r="P5024" s="9" t="s">
        <v>33</v>
      </c>
      <c r="Q5024" s="9" t="s">
        <v>26</v>
      </c>
      <c r="R5024" s="9" t="s">
        <v>76</v>
      </c>
      <c r="S5024" s="7" t="s">
        <v>1176</v>
      </c>
      <c r="T5024" s="9" t="s">
        <v>39</v>
      </c>
      <c r="U5024" s="7">
        <v>0.38</v>
      </c>
      <c r="V5024" s="12">
        <f>C5024+7</f>
        <v>40179</v>
      </c>
      <c r="W5024">
        <f>IF(D5024=' Pivot Tables'!$A$4,1,0)</f>
        <v>0</v>
      </c>
      <c r="X5024">
        <f>IF(AND(LEFT(D5024,4)+1=LEFT(' Pivot Tables'!$A$4,4)+0,RIGHT(LEFT(D5024,7),2)=RIGHT(LEFT(' Pivot Tables'!$A$4,7),2)),1,0)</f>
        <v>0</v>
      </c>
      <c r="Y5024" s="6">
        <f>1/COUNTIF(Таблица1[Order ID],Таблица1[[#This Row],[Order ID]])</f>
        <v>0.5</v>
      </c>
      <c r="Z5024" s="9">
        <f>1/COUNTIFS(Таблица1[Customer Name],Таблица1[[#This Row],[Customer Name]],Таблица1[Order-Year-Month],Таблица1[[#This Row],[Order-Year-Month]])</f>
        <v>0.5</v>
      </c>
    </row>
    <row r="5025" spans="1:26" x14ac:dyDescent="0.2">
      <c r="A5025" s="6">
        <v>2966</v>
      </c>
      <c r="B5025" s="7">
        <v>21444</v>
      </c>
      <c r="C5025" s="8">
        <f>DATE(2012,12,31)-626</f>
        <v>40648</v>
      </c>
      <c r="D5025" s="8" t="str">
        <f t="shared" si="94"/>
        <v>2011-04 (апрель 2011)</v>
      </c>
      <c r="E5025" s="9" t="s">
        <v>63</v>
      </c>
      <c r="F5025" s="7">
        <v>17</v>
      </c>
      <c r="G5025" s="7">
        <v>34.159999999999997</v>
      </c>
      <c r="H5025" s="7">
        <v>0.09</v>
      </c>
      <c r="I5025" s="9" t="s">
        <v>22</v>
      </c>
      <c r="J5025" s="10">
        <v>-2.29</v>
      </c>
      <c r="K5025" s="11">
        <v>2.1</v>
      </c>
      <c r="L5025" s="11">
        <v>0.7</v>
      </c>
      <c r="M5025" s="9" t="s">
        <v>1861</v>
      </c>
      <c r="N5025" s="6" t="s">
        <v>672</v>
      </c>
      <c r="O5025" s="6" t="s">
        <v>673</v>
      </c>
      <c r="P5025" s="9" t="s">
        <v>41</v>
      </c>
      <c r="Q5025" s="9" t="s">
        <v>26</v>
      </c>
      <c r="R5025" s="9" t="s">
        <v>95</v>
      </c>
      <c r="S5025" s="7" t="s">
        <v>1703</v>
      </c>
      <c r="T5025" s="9" t="s">
        <v>68</v>
      </c>
      <c r="U5025" s="7">
        <v>0.56999999999999995</v>
      </c>
      <c r="V5025" s="12">
        <f>C5025+1</f>
        <v>40649</v>
      </c>
      <c r="W5025">
        <f>IF(D5025=' Pivot Tables'!$A$4,1,0)</f>
        <v>0</v>
      </c>
      <c r="X5025">
        <f>IF(AND(LEFT(D5025,4)+1=LEFT(' Pivot Tables'!$A$4,4)+0,RIGHT(LEFT(D5025,7),2)=RIGHT(LEFT(' Pivot Tables'!$A$4,7),2)),1,0)</f>
        <v>0</v>
      </c>
      <c r="Y5025" s="6">
        <f>1/COUNTIF(Таблица1[Order ID],Таблица1[[#This Row],[Order ID]])</f>
        <v>1</v>
      </c>
      <c r="Z5025" s="9">
        <f>1/COUNTIFS(Таблица1[Customer Name],Таблица1[[#This Row],[Customer Name]],Таблица1[Order-Year-Month],Таблица1[[#This Row],[Order-Year-Month]])</f>
        <v>1</v>
      </c>
    </row>
    <row r="5026" spans="1:26" x14ac:dyDescent="0.2">
      <c r="A5026" s="6">
        <v>3046</v>
      </c>
      <c r="B5026" s="7">
        <v>21861</v>
      </c>
      <c r="C5026" s="8">
        <f>DATE(2012,12,31)-1231</f>
        <v>40043</v>
      </c>
      <c r="D5026" s="8" t="str">
        <f t="shared" si="94"/>
        <v>2009-08 (август 2009)</v>
      </c>
      <c r="E5026" s="9" t="s">
        <v>78</v>
      </c>
      <c r="F5026" s="7">
        <v>5</v>
      </c>
      <c r="G5026" s="7">
        <v>244.9</v>
      </c>
      <c r="H5026" s="7">
        <v>0.06</v>
      </c>
      <c r="I5026" s="9" t="s">
        <v>22</v>
      </c>
      <c r="J5026" s="10">
        <v>-135.4</v>
      </c>
      <c r="K5026" s="11">
        <v>47.98</v>
      </c>
      <c r="L5026" s="11">
        <v>3.61</v>
      </c>
      <c r="M5026" s="9" t="s">
        <v>1877</v>
      </c>
      <c r="N5026" s="6" t="s">
        <v>672</v>
      </c>
      <c r="O5026" s="6" t="s">
        <v>673</v>
      </c>
      <c r="P5026" s="9" t="s">
        <v>60</v>
      </c>
      <c r="Q5026" s="9" t="s">
        <v>42</v>
      </c>
      <c r="R5026" s="9" t="s">
        <v>70</v>
      </c>
      <c r="S5026" s="7" t="s">
        <v>71</v>
      </c>
      <c r="T5026" s="9" t="s">
        <v>52</v>
      </c>
      <c r="U5026" s="7">
        <v>0.71</v>
      </c>
      <c r="V5026" s="12">
        <f>C5026+2</f>
        <v>40045</v>
      </c>
      <c r="W5026">
        <f>IF(D5026=' Pivot Tables'!$A$4,1,0)</f>
        <v>0</v>
      </c>
      <c r="X5026">
        <f>IF(AND(LEFT(D5026,4)+1=LEFT(' Pivot Tables'!$A$4,4)+0,RIGHT(LEFT(D5026,7),2)=RIGHT(LEFT(' Pivot Tables'!$A$4,7),2)),1,0)</f>
        <v>0</v>
      </c>
      <c r="Y5026" s="6">
        <f>1/COUNTIF(Таблица1[Order ID],Таблица1[[#This Row],[Order ID]])</f>
        <v>1</v>
      </c>
      <c r="Z5026" s="9">
        <f>1/COUNTIFS(Таблица1[Customer Name],Таблица1[[#This Row],[Customer Name]],Таблица1[Order-Year-Month],Таблица1[[#This Row],[Order-Year-Month]])</f>
        <v>1</v>
      </c>
    </row>
    <row r="5027" spans="1:26" x14ac:dyDescent="0.2">
      <c r="A5027" s="6">
        <v>3064</v>
      </c>
      <c r="B5027" s="7">
        <v>21956</v>
      </c>
      <c r="C5027" s="8">
        <f>DATE(2012,12,31)-699</f>
        <v>40575</v>
      </c>
      <c r="D5027" s="8" t="str">
        <f t="shared" si="94"/>
        <v>2011-02 (февраль 2011)</v>
      </c>
      <c r="E5027" s="9" t="s">
        <v>30</v>
      </c>
      <c r="F5027" s="7">
        <v>2</v>
      </c>
      <c r="G5027" s="7">
        <v>125.273</v>
      </c>
      <c r="H5027" s="7">
        <v>0.02</v>
      </c>
      <c r="I5027" s="9" t="s">
        <v>22</v>
      </c>
      <c r="J5027" s="10">
        <v>-301.90599999999995</v>
      </c>
      <c r="K5027" s="11">
        <v>65.989999999999995</v>
      </c>
      <c r="L5027" s="11">
        <v>8.99</v>
      </c>
      <c r="M5027" s="9" t="s">
        <v>1460</v>
      </c>
      <c r="N5027" s="6" t="s">
        <v>672</v>
      </c>
      <c r="O5027" s="6" t="s">
        <v>673</v>
      </c>
      <c r="P5027" s="9" t="s">
        <v>33</v>
      </c>
      <c r="Q5027" s="9" t="s">
        <v>42</v>
      </c>
      <c r="R5027" s="9" t="s">
        <v>43</v>
      </c>
      <c r="S5027" s="7" t="s">
        <v>1181</v>
      </c>
      <c r="T5027" s="9" t="s">
        <v>39</v>
      </c>
      <c r="U5027" s="7">
        <v>0.56000000000000005</v>
      </c>
      <c r="V5027" s="12">
        <f>C5027+2</f>
        <v>40577</v>
      </c>
      <c r="W5027">
        <f>IF(D5027=' Pivot Tables'!$A$4,1,0)</f>
        <v>0</v>
      </c>
      <c r="X5027">
        <f>IF(AND(LEFT(D5027,4)+1=LEFT(' Pivot Tables'!$A$4,4)+0,RIGHT(LEFT(D5027,7),2)=RIGHT(LEFT(' Pivot Tables'!$A$4,7),2)),1,0)</f>
        <v>0</v>
      </c>
      <c r="Y5027" s="6">
        <f>1/COUNTIF(Таблица1[Order ID],Таблица1[[#This Row],[Order ID]])</f>
        <v>1</v>
      </c>
      <c r="Z5027" s="9">
        <f>1/COUNTIFS(Таблица1[Customer Name],Таблица1[[#This Row],[Customer Name]],Таблица1[Order-Year-Month],Таблица1[[#This Row],[Order-Year-Month]])</f>
        <v>0.33333333333333331</v>
      </c>
    </row>
    <row r="5028" spans="1:26" x14ac:dyDescent="0.2">
      <c r="A5028" s="6">
        <v>3073</v>
      </c>
      <c r="B5028" s="7">
        <v>22051</v>
      </c>
      <c r="C5028" s="8">
        <f>DATE(2012,12,31)-367</f>
        <v>40907</v>
      </c>
      <c r="D5028" s="8" t="str">
        <f t="shared" si="94"/>
        <v>2011-12 (декабрь 2011)</v>
      </c>
      <c r="E5028" s="9" t="s">
        <v>45</v>
      </c>
      <c r="F5028" s="7">
        <v>39</v>
      </c>
      <c r="G5028" s="7">
        <v>209.33</v>
      </c>
      <c r="H5028" s="7">
        <v>0.01</v>
      </c>
      <c r="I5028" s="9" t="s">
        <v>22</v>
      </c>
      <c r="J5028" s="10">
        <v>-160.71</v>
      </c>
      <c r="K5028" s="11">
        <v>4.9800000000000004</v>
      </c>
      <c r="L5028" s="11">
        <v>7.44</v>
      </c>
      <c r="M5028" s="9" t="s">
        <v>1851</v>
      </c>
      <c r="N5028" s="6" t="s">
        <v>672</v>
      </c>
      <c r="O5028" s="6" t="s">
        <v>673</v>
      </c>
      <c r="P5028" s="9" t="s">
        <v>41</v>
      </c>
      <c r="Q5028" s="9" t="s">
        <v>26</v>
      </c>
      <c r="R5028" s="9" t="s">
        <v>61</v>
      </c>
      <c r="S5028" s="7" t="s">
        <v>1159</v>
      </c>
      <c r="T5028" s="9" t="s">
        <v>39</v>
      </c>
      <c r="U5028" s="7">
        <v>0.36</v>
      </c>
      <c r="V5028" s="12">
        <f>C5028+2</f>
        <v>40909</v>
      </c>
      <c r="W5028">
        <f>IF(D5028=' Pivot Tables'!$A$4,1,0)</f>
        <v>0</v>
      </c>
      <c r="X5028">
        <f>IF(AND(LEFT(D5028,4)+1=LEFT(' Pivot Tables'!$A$4,4)+0,RIGHT(LEFT(D5028,7),2)=RIGHT(LEFT(' Pivot Tables'!$A$4,7),2)),1,0)</f>
        <v>0</v>
      </c>
      <c r="Y5028" s="6">
        <f>1/COUNTIF(Таблица1[Order ID],Таблица1[[#This Row],[Order ID]])</f>
        <v>1</v>
      </c>
      <c r="Z5028" s="9">
        <f>1/COUNTIFS(Таблица1[Customer Name],Таблица1[[#This Row],[Customer Name]],Таблица1[Order-Year-Month],Таблица1[[#This Row],[Order-Year-Month]])</f>
        <v>1</v>
      </c>
    </row>
    <row r="5029" spans="1:26" x14ac:dyDescent="0.2">
      <c r="A5029" s="6">
        <v>3078</v>
      </c>
      <c r="B5029" s="7">
        <v>22085</v>
      </c>
      <c r="C5029" s="8">
        <f>DATE(2012,12,31)-297</f>
        <v>40977</v>
      </c>
      <c r="D5029" s="8" t="str">
        <f t="shared" si="94"/>
        <v>2012-03 (март 2012)</v>
      </c>
      <c r="E5029" s="9" t="s">
        <v>21</v>
      </c>
      <c r="F5029" s="7">
        <v>41</v>
      </c>
      <c r="G5029" s="7">
        <v>265.61</v>
      </c>
      <c r="H5029" s="7">
        <v>0.1</v>
      </c>
      <c r="I5029" s="9" t="s">
        <v>22</v>
      </c>
      <c r="J5029" s="10">
        <v>-147.82</v>
      </c>
      <c r="K5029" s="11">
        <v>6.48</v>
      </c>
      <c r="L5029" s="11">
        <v>7.37</v>
      </c>
      <c r="M5029" s="9" t="s">
        <v>1869</v>
      </c>
      <c r="N5029" s="6" t="s">
        <v>672</v>
      </c>
      <c r="O5029" s="6" t="s">
        <v>673</v>
      </c>
      <c r="P5029" s="9" t="s">
        <v>60</v>
      </c>
      <c r="Q5029" s="9" t="s">
        <v>26</v>
      </c>
      <c r="R5029" s="9" t="s">
        <v>61</v>
      </c>
      <c r="S5029" s="7" t="s">
        <v>859</v>
      </c>
      <c r="T5029" s="9" t="s">
        <v>39</v>
      </c>
      <c r="U5029" s="7">
        <v>0.37</v>
      </c>
      <c r="V5029" s="12">
        <f>C5029+2</f>
        <v>40979</v>
      </c>
      <c r="W5029">
        <f>IF(D5029=' Pivot Tables'!$A$4,1,0)</f>
        <v>0</v>
      </c>
      <c r="X5029">
        <f>IF(AND(LEFT(D5029,4)+1=LEFT(' Pivot Tables'!$A$4,4)+0,RIGHT(LEFT(D5029,7),2)=RIGHT(LEFT(' Pivot Tables'!$A$4,7),2)),1,0)</f>
        <v>0</v>
      </c>
      <c r="Y5029" s="6">
        <f>1/COUNTIF(Таблица1[Order ID],Таблица1[[#This Row],[Order ID]])</f>
        <v>0.5</v>
      </c>
      <c r="Z5029" s="9">
        <f>1/COUNTIFS(Таблица1[Customer Name],Таблица1[[#This Row],[Customer Name]],Таблица1[Order-Year-Month],Таблица1[[#This Row],[Order-Year-Month]])</f>
        <v>0.5</v>
      </c>
    </row>
    <row r="5030" spans="1:26" x14ac:dyDescent="0.2">
      <c r="A5030" s="6">
        <v>3079</v>
      </c>
      <c r="B5030" s="7">
        <v>22085</v>
      </c>
      <c r="C5030" s="8">
        <f>DATE(2012,12,31)-297</f>
        <v>40977</v>
      </c>
      <c r="D5030" s="8" t="str">
        <f t="shared" si="94"/>
        <v>2012-03 (март 2012)</v>
      </c>
      <c r="E5030" s="9" t="s">
        <v>21</v>
      </c>
      <c r="F5030" s="7">
        <v>27</v>
      </c>
      <c r="G5030" s="7">
        <v>485.03</v>
      </c>
      <c r="H5030" s="7">
        <v>7.0000000000000007E-2</v>
      </c>
      <c r="I5030" s="9" t="s">
        <v>22</v>
      </c>
      <c r="J5030" s="10">
        <v>-88.02</v>
      </c>
      <c r="K5030" s="11">
        <v>17.7</v>
      </c>
      <c r="L5030" s="11">
        <v>9.4700000000000006</v>
      </c>
      <c r="M5030" s="9" t="s">
        <v>1869</v>
      </c>
      <c r="N5030" s="6" t="s">
        <v>672</v>
      </c>
      <c r="O5030" s="6" t="s">
        <v>673</v>
      </c>
      <c r="P5030" s="9" t="s">
        <v>60</v>
      </c>
      <c r="Q5030" s="9" t="s">
        <v>26</v>
      </c>
      <c r="R5030" s="9" t="s">
        <v>27</v>
      </c>
      <c r="S5030" s="7" t="s">
        <v>1446</v>
      </c>
      <c r="T5030" s="9" t="s">
        <v>39</v>
      </c>
      <c r="U5030" s="7">
        <v>0.59</v>
      </c>
      <c r="V5030" s="12">
        <f>C5030+0</f>
        <v>40977</v>
      </c>
      <c r="W5030">
        <f>IF(D5030=' Pivot Tables'!$A$4,1,0)</f>
        <v>0</v>
      </c>
      <c r="X5030">
        <f>IF(AND(LEFT(D5030,4)+1=LEFT(' Pivot Tables'!$A$4,4)+0,RIGHT(LEFT(D5030,7),2)=RIGHT(LEFT(' Pivot Tables'!$A$4,7),2)),1,0)</f>
        <v>0</v>
      </c>
      <c r="Y5030" s="6">
        <f>1/COUNTIF(Таблица1[Order ID],Таблица1[[#This Row],[Order ID]])</f>
        <v>0.5</v>
      </c>
      <c r="Z5030" s="9">
        <f>1/COUNTIFS(Таблица1[Customer Name],Таблица1[[#This Row],[Customer Name]],Таблица1[Order-Year-Month],Таблица1[[#This Row],[Order-Year-Month]])</f>
        <v>0.5</v>
      </c>
    </row>
    <row r="5031" spans="1:26" x14ac:dyDescent="0.2">
      <c r="A5031" s="6">
        <v>3080</v>
      </c>
      <c r="B5031" s="7">
        <v>22086</v>
      </c>
      <c r="C5031" s="8">
        <f>DATE(2012,12,31)-382</f>
        <v>40892</v>
      </c>
      <c r="D5031" s="8" t="str">
        <f t="shared" si="94"/>
        <v>2011-12 (декабрь 2011)</v>
      </c>
      <c r="E5031" s="9" t="s">
        <v>63</v>
      </c>
      <c r="F5031" s="7">
        <v>21</v>
      </c>
      <c r="G5031" s="7">
        <v>2039.33</v>
      </c>
      <c r="H5031" s="7">
        <v>0.08</v>
      </c>
      <c r="I5031" s="9" t="s">
        <v>31</v>
      </c>
      <c r="J5031" s="10">
        <v>-862.44</v>
      </c>
      <c r="K5031" s="11">
        <v>95.95</v>
      </c>
      <c r="L5031" s="11">
        <v>74.349999999999994</v>
      </c>
      <c r="M5031" s="9" t="s">
        <v>1884</v>
      </c>
      <c r="N5031" s="6" t="s">
        <v>672</v>
      </c>
      <c r="O5031" s="6" t="s">
        <v>673</v>
      </c>
      <c r="P5031" s="9" t="s">
        <v>25</v>
      </c>
      <c r="Q5031" s="9" t="s">
        <v>49</v>
      </c>
      <c r="R5031" s="9" t="s">
        <v>112</v>
      </c>
      <c r="S5031" s="7" t="s">
        <v>113</v>
      </c>
      <c r="T5031" s="9" t="s">
        <v>36</v>
      </c>
      <c r="U5031" s="7">
        <v>0.56999999999999995</v>
      </c>
      <c r="V5031" s="12">
        <f>C5031+1</f>
        <v>40893</v>
      </c>
      <c r="W5031">
        <f>IF(D5031=' Pivot Tables'!$A$4,1,0)</f>
        <v>0</v>
      </c>
      <c r="X5031">
        <f>IF(AND(LEFT(D5031,4)+1=LEFT(' Pivot Tables'!$A$4,4)+0,RIGHT(LEFT(D5031,7),2)=RIGHT(LEFT(' Pivot Tables'!$A$4,7),2)),1,0)</f>
        <v>0</v>
      </c>
      <c r="Y5031" s="6">
        <f>1/COUNTIF(Таблица1[Order ID],Таблица1[[#This Row],[Order ID]])</f>
        <v>1</v>
      </c>
      <c r="Z5031" s="9">
        <f>1/COUNTIFS(Таблица1[Customer Name],Таблица1[[#This Row],[Customer Name]],Таблица1[Order-Year-Month],Таблица1[[#This Row],[Order-Year-Month]])</f>
        <v>1</v>
      </c>
    </row>
    <row r="5032" spans="1:26" x14ac:dyDescent="0.2">
      <c r="A5032" s="6">
        <v>3084</v>
      </c>
      <c r="B5032" s="7">
        <v>22118</v>
      </c>
      <c r="C5032" s="8">
        <f>DATE(2012,12,31)-1443</f>
        <v>39831</v>
      </c>
      <c r="D5032" s="8" t="str">
        <f t="shared" si="94"/>
        <v>2009-01 (январь 2009)</v>
      </c>
      <c r="E5032" s="9" t="s">
        <v>30</v>
      </c>
      <c r="F5032" s="7">
        <v>50</v>
      </c>
      <c r="G5032" s="7">
        <v>2842.54</v>
      </c>
      <c r="H5032" s="7">
        <v>0.05</v>
      </c>
      <c r="I5032" s="9" t="s">
        <v>22</v>
      </c>
      <c r="J5032" s="10">
        <v>1315.749</v>
      </c>
      <c r="K5032" s="11">
        <v>58.1</v>
      </c>
      <c r="L5032" s="11">
        <v>1.49</v>
      </c>
      <c r="M5032" s="9" t="s">
        <v>1460</v>
      </c>
      <c r="N5032" s="6" t="s">
        <v>672</v>
      </c>
      <c r="O5032" s="6" t="s">
        <v>673</v>
      </c>
      <c r="P5032" s="9" t="s">
        <v>41</v>
      </c>
      <c r="Q5032" s="9" t="s">
        <v>26</v>
      </c>
      <c r="R5032" s="9" t="s">
        <v>37</v>
      </c>
      <c r="S5032" s="7" t="s">
        <v>142</v>
      </c>
      <c r="T5032" s="9" t="s">
        <v>39</v>
      </c>
      <c r="U5032" s="7">
        <v>0.38</v>
      </c>
      <c r="V5032" s="12">
        <f>C5032+0</f>
        <v>39831</v>
      </c>
      <c r="W5032">
        <f>IF(D5032=' Pivot Tables'!$A$4,1,0)</f>
        <v>0</v>
      </c>
      <c r="X5032">
        <f>IF(AND(LEFT(D5032,4)+1=LEFT(' Pivot Tables'!$A$4,4)+0,RIGHT(LEFT(D5032,7),2)=RIGHT(LEFT(' Pivot Tables'!$A$4,7),2)),1,0)</f>
        <v>1</v>
      </c>
      <c r="Y5032" s="6">
        <f>1/COUNTIF(Таблица1[Order ID],Таблица1[[#This Row],[Order ID]])</f>
        <v>1</v>
      </c>
      <c r="Z5032" s="9">
        <f>1/COUNTIFS(Таблица1[Customer Name],Таблица1[[#This Row],[Customer Name]],Таблица1[Order-Year-Month],Таблица1[[#This Row],[Order-Year-Month]])</f>
        <v>1</v>
      </c>
    </row>
    <row r="5033" spans="1:26" x14ac:dyDescent="0.2">
      <c r="A5033" s="6">
        <v>3107</v>
      </c>
      <c r="B5033" s="7">
        <v>22304</v>
      </c>
      <c r="C5033" s="8">
        <f>DATE(2012,12,31)-402</f>
        <v>40872</v>
      </c>
      <c r="D5033" s="8" t="str">
        <f t="shared" si="94"/>
        <v>2011-11 (ноябрь 2011)</v>
      </c>
      <c r="E5033" s="9" t="s">
        <v>21</v>
      </c>
      <c r="F5033" s="7">
        <v>24</v>
      </c>
      <c r="G5033" s="7">
        <v>40.24</v>
      </c>
      <c r="H5033" s="7">
        <v>0.1</v>
      </c>
      <c r="I5033" s="9" t="s">
        <v>22</v>
      </c>
      <c r="J5033" s="10">
        <v>-3.73</v>
      </c>
      <c r="K5033" s="11">
        <v>1.76</v>
      </c>
      <c r="L5033" s="11">
        <v>0.7</v>
      </c>
      <c r="M5033" s="9" t="s">
        <v>1126</v>
      </c>
      <c r="N5033" s="6" t="s">
        <v>672</v>
      </c>
      <c r="O5033" s="6" t="s">
        <v>673</v>
      </c>
      <c r="P5033" s="9" t="s">
        <v>33</v>
      </c>
      <c r="Q5033" s="9" t="s">
        <v>26</v>
      </c>
      <c r="R5033" s="9" t="s">
        <v>95</v>
      </c>
      <c r="S5033" s="7" t="s">
        <v>387</v>
      </c>
      <c r="T5033" s="9" t="s">
        <v>68</v>
      </c>
      <c r="U5033" s="7">
        <v>0.56000000000000005</v>
      </c>
      <c r="V5033" s="12">
        <f>C5033+4</f>
        <v>40876</v>
      </c>
      <c r="W5033">
        <f>IF(D5033=' Pivot Tables'!$A$4,1,0)</f>
        <v>0</v>
      </c>
      <c r="X5033">
        <f>IF(AND(LEFT(D5033,4)+1=LEFT(' Pivot Tables'!$A$4,4)+0,RIGHT(LEFT(D5033,7),2)=RIGHT(LEFT(' Pivot Tables'!$A$4,7),2)),1,0)</f>
        <v>0</v>
      </c>
      <c r="Y5033" s="6">
        <f>1/COUNTIF(Таблица1[Order ID],Таблица1[[#This Row],[Order ID]])</f>
        <v>1</v>
      </c>
      <c r="Z5033" s="9">
        <f>1/COUNTIFS(Таблица1[Customer Name],Таблица1[[#This Row],[Customer Name]],Таблица1[Order-Year-Month],Таблица1[[#This Row],[Order-Year-Month]])</f>
        <v>0.5</v>
      </c>
    </row>
    <row r="5034" spans="1:26" x14ac:dyDescent="0.2">
      <c r="A5034" s="6">
        <v>3199</v>
      </c>
      <c r="B5034" s="7">
        <v>22919</v>
      </c>
      <c r="C5034" s="8">
        <f>DATE(2012,12,31)-1263</f>
        <v>40011</v>
      </c>
      <c r="D5034" s="8" t="str">
        <f t="shared" si="94"/>
        <v>2009-07 (июль 2009)</v>
      </c>
      <c r="E5034" s="9" t="s">
        <v>78</v>
      </c>
      <c r="F5034" s="7">
        <v>21</v>
      </c>
      <c r="G5034" s="7">
        <v>98.77</v>
      </c>
      <c r="H5034" s="7">
        <v>7.0000000000000007E-2</v>
      </c>
      <c r="I5034" s="9" t="s">
        <v>22</v>
      </c>
      <c r="J5034" s="10">
        <v>41.33</v>
      </c>
      <c r="K5034" s="11">
        <v>4.91</v>
      </c>
      <c r="L5034" s="11">
        <v>0.5</v>
      </c>
      <c r="M5034" s="9" t="s">
        <v>1858</v>
      </c>
      <c r="N5034" s="6" t="s">
        <v>672</v>
      </c>
      <c r="O5034" s="6" t="s">
        <v>673</v>
      </c>
      <c r="P5034" s="9" t="s">
        <v>33</v>
      </c>
      <c r="Q5034" s="9" t="s">
        <v>26</v>
      </c>
      <c r="R5034" s="9" t="s">
        <v>88</v>
      </c>
      <c r="S5034" s="7" t="s">
        <v>1370</v>
      </c>
      <c r="T5034" s="9" t="s">
        <v>39</v>
      </c>
      <c r="U5034" s="7">
        <v>0.36</v>
      </c>
      <c r="V5034" s="12">
        <f>C5034+1</f>
        <v>40012</v>
      </c>
      <c r="W5034">
        <f>IF(D5034=' Pivot Tables'!$A$4,1,0)</f>
        <v>0</v>
      </c>
      <c r="X5034">
        <f>IF(AND(LEFT(D5034,4)+1=LEFT(' Pivot Tables'!$A$4,4)+0,RIGHT(LEFT(D5034,7),2)=RIGHT(LEFT(' Pivot Tables'!$A$4,7),2)),1,0)</f>
        <v>0</v>
      </c>
      <c r="Y5034" s="6">
        <f>1/COUNTIF(Таблица1[Order ID],Таблица1[[#This Row],[Order ID]])</f>
        <v>1</v>
      </c>
      <c r="Z5034" s="9">
        <f>1/COUNTIFS(Таблица1[Customer Name],Таблица1[[#This Row],[Customer Name]],Таблица1[Order-Year-Month],Таблица1[[#This Row],[Order-Year-Month]])</f>
        <v>1</v>
      </c>
    </row>
    <row r="5035" spans="1:26" x14ac:dyDescent="0.2">
      <c r="A5035" s="6">
        <v>3209</v>
      </c>
      <c r="B5035" s="7">
        <v>23041</v>
      </c>
      <c r="C5035" s="8">
        <f>DATE(2012,12,31)-895</f>
        <v>40379</v>
      </c>
      <c r="D5035" s="8" t="str">
        <f t="shared" si="94"/>
        <v>2010-07 (июль 2010)</v>
      </c>
      <c r="E5035" s="9" t="s">
        <v>21</v>
      </c>
      <c r="F5035" s="7">
        <v>21</v>
      </c>
      <c r="G5035" s="7">
        <v>173.7</v>
      </c>
      <c r="H5035" s="7">
        <v>0.02</v>
      </c>
      <c r="I5035" s="9" t="s">
        <v>22</v>
      </c>
      <c r="J5035" s="10">
        <v>-31.590499999999999</v>
      </c>
      <c r="K5035" s="11">
        <v>7.68</v>
      </c>
      <c r="L5035" s="11">
        <v>6.16</v>
      </c>
      <c r="M5035" s="9" t="s">
        <v>1854</v>
      </c>
      <c r="N5035" s="6" t="s">
        <v>672</v>
      </c>
      <c r="O5035" s="6" t="s">
        <v>673</v>
      </c>
      <c r="P5035" s="9" t="s">
        <v>33</v>
      </c>
      <c r="Q5035" s="9" t="s">
        <v>26</v>
      </c>
      <c r="R5035" s="9" t="s">
        <v>37</v>
      </c>
      <c r="S5035" s="7" t="s">
        <v>854</v>
      </c>
      <c r="T5035" s="9" t="s">
        <v>39</v>
      </c>
      <c r="U5035" s="7">
        <v>0.35</v>
      </c>
      <c r="V5035" s="12">
        <f>C5035+7</f>
        <v>40386</v>
      </c>
      <c r="W5035">
        <f>IF(D5035=' Pivot Tables'!$A$4,1,0)</f>
        <v>0</v>
      </c>
      <c r="X5035">
        <f>IF(AND(LEFT(D5035,4)+1=LEFT(' Pivot Tables'!$A$4,4)+0,RIGHT(LEFT(D5035,7),2)=RIGHT(LEFT(' Pivot Tables'!$A$4,7),2)),1,0)</f>
        <v>0</v>
      </c>
      <c r="Y5035" s="6">
        <f>1/COUNTIF(Таблица1[Order ID],Таблица1[[#This Row],[Order ID]])</f>
        <v>0.33333333333333331</v>
      </c>
      <c r="Z5035" s="9">
        <f>1/COUNTIFS(Таблица1[Customer Name],Таблица1[[#This Row],[Customer Name]],Таблица1[Order-Year-Month],Таблица1[[#This Row],[Order-Year-Month]])</f>
        <v>0.33333333333333331</v>
      </c>
    </row>
    <row r="5036" spans="1:26" x14ac:dyDescent="0.2">
      <c r="A5036" s="6">
        <v>3210</v>
      </c>
      <c r="B5036" s="7">
        <v>23041</v>
      </c>
      <c r="C5036" s="8">
        <f>DATE(2012,12,31)-895</f>
        <v>40379</v>
      </c>
      <c r="D5036" s="8" t="str">
        <f t="shared" si="94"/>
        <v>2010-07 (июль 2010)</v>
      </c>
      <c r="E5036" s="9" t="s">
        <v>21</v>
      </c>
      <c r="F5036" s="7">
        <v>5</v>
      </c>
      <c r="G5036" s="7">
        <v>1811.25</v>
      </c>
      <c r="H5036" s="7">
        <v>0.08</v>
      </c>
      <c r="I5036" s="9" t="s">
        <v>22</v>
      </c>
      <c r="J5036" s="10">
        <v>203.43900000000002</v>
      </c>
      <c r="K5036" s="11">
        <v>367.99</v>
      </c>
      <c r="L5036" s="11">
        <v>19.989999999999998</v>
      </c>
      <c r="M5036" s="9" t="s">
        <v>1854</v>
      </c>
      <c r="N5036" s="6" t="s">
        <v>672</v>
      </c>
      <c r="O5036" s="6" t="s">
        <v>673</v>
      </c>
      <c r="P5036" s="9" t="s">
        <v>33</v>
      </c>
      <c r="Q5036" s="9" t="s">
        <v>26</v>
      </c>
      <c r="R5036" s="9" t="s">
        <v>37</v>
      </c>
      <c r="S5036" s="7" t="s">
        <v>1706</v>
      </c>
      <c r="T5036" s="9" t="s">
        <v>39</v>
      </c>
      <c r="U5036" s="7">
        <v>0.4</v>
      </c>
      <c r="V5036" s="12">
        <f>C5036+2</f>
        <v>40381</v>
      </c>
      <c r="W5036">
        <f>IF(D5036=' Pivot Tables'!$A$4,1,0)</f>
        <v>0</v>
      </c>
      <c r="X5036">
        <f>IF(AND(LEFT(D5036,4)+1=LEFT(' Pivot Tables'!$A$4,4)+0,RIGHT(LEFT(D5036,7),2)=RIGHT(LEFT(' Pivot Tables'!$A$4,7),2)),1,0)</f>
        <v>0</v>
      </c>
      <c r="Y5036" s="6">
        <f>1/COUNTIF(Таблица1[Order ID],Таблица1[[#This Row],[Order ID]])</f>
        <v>0.33333333333333331</v>
      </c>
      <c r="Z5036" s="9">
        <f>1/COUNTIFS(Таблица1[Customer Name],Таблица1[[#This Row],[Customer Name]],Таблица1[Order-Year-Month],Таблица1[[#This Row],[Order-Year-Month]])</f>
        <v>0.33333333333333331</v>
      </c>
    </row>
    <row r="5037" spans="1:26" x14ac:dyDescent="0.2">
      <c r="A5037" s="6">
        <v>3211</v>
      </c>
      <c r="B5037" s="7">
        <v>23041</v>
      </c>
      <c r="C5037" s="8">
        <f>DATE(2012,12,31)-895</f>
        <v>40379</v>
      </c>
      <c r="D5037" s="8" t="str">
        <f t="shared" si="94"/>
        <v>2010-07 (июль 2010)</v>
      </c>
      <c r="E5037" s="9" t="s">
        <v>21</v>
      </c>
      <c r="F5037" s="7">
        <v>10</v>
      </c>
      <c r="G5037" s="7">
        <v>2642.95</v>
      </c>
      <c r="H5037" s="7">
        <v>0.08</v>
      </c>
      <c r="I5037" s="9" t="s">
        <v>31</v>
      </c>
      <c r="J5037" s="10">
        <v>-474.49</v>
      </c>
      <c r="K5037" s="11">
        <v>262.11</v>
      </c>
      <c r="L5037" s="11">
        <v>62.74</v>
      </c>
      <c r="M5037" s="9" t="s">
        <v>1854</v>
      </c>
      <c r="N5037" s="6" t="s">
        <v>672</v>
      </c>
      <c r="O5037" s="6" t="s">
        <v>673</v>
      </c>
      <c r="P5037" s="9" t="s">
        <v>33</v>
      </c>
      <c r="Q5037" s="9" t="s">
        <v>49</v>
      </c>
      <c r="R5037" s="9" t="s">
        <v>83</v>
      </c>
      <c r="S5037" s="7" t="s">
        <v>191</v>
      </c>
      <c r="T5037" s="9" t="s">
        <v>82</v>
      </c>
      <c r="U5037" s="7">
        <v>0.75</v>
      </c>
      <c r="V5037" s="12">
        <f>C5037+7</f>
        <v>40386</v>
      </c>
      <c r="W5037">
        <f>IF(D5037=' Pivot Tables'!$A$4,1,0)</f>
        <v>0</v>
      </c>
      <c r="X5037">
        <f>IF(AND(LEFT(D5037,4)+1=LEFT(' Pivot Tables'!$A$4,4)+0,RIGHT(LEFT(D5037,7),2)=RIGHT(LEFT(' Pivot Tables'!$A$4,7),2)),1,0)</f>
        <v>0</v>
      </c>
      <c r="Y5037" s="6">
        <f>1/COUNTIF(Таблица1[Order ID],Таблица1[[#This Row],[Order ID]])</f>
        <v>0.33333333333333331</v>
      </c>
      <c r="Z5037" s="9">
        <f>1/COUNTIFS(Таблица1[Customer Name],Таблица1[[#This Row],[Customer Name]],Таблица1[Order-Year-Month],Таблица1[[#This Row],[Order-Year-Month]])</f>
        <v>0.33333333333333331</v>
      </c>
    </row>
    <row r="5038" spans="1:26" x14ac:dyDescent="0.2">
      <c r="A5038" s="6">
        <v>3239</v>
      </c>
      <c r="B5038" s="7">
        <v>23232</v>
      </c>
      <c r="C5038" s="8">
        <f>DATE(2012,12,31)-990</f>
        <v>40284</v>
      </c>
      <c r="D5038" s="8" t="str">
        <f t="shared" si="94"/>
        <v>2010-04 (апрель 2010)</v>
      </c>
      <c r="E5038" s="9" t="s">
        <v>30</v>
      </c>
      <c r="F5038" s="7">
        <v>15</v>
      </c>
      <c r="G5038" s="7">
        <v>614.15</v>
      </c>
      <c r="H5038" s="7">
        <v>0.03</v>
      </c>
      <c r="I5038" s="9" t="s">
        <v>56</v>
      </c>
      <c r="J5038" s="10">
        <v>-54.37</v>
      </c>
      <c r="K5038" s="11">
        <v>39.979999999999997</v>
      </c>
      <c r="L5038" s="11">
        <v>7.12</v>
      </c>
      <c r="M5038" s="9" t="s">
        <v>1844</v>
      </c>
      <c r="N5038" s="6" t="s">
        <v>672</v>
      </c>
      <c r="O5038" s="6" t="s">
        <v>673</v>
      </c>
      <c r="P5038" s="9" t="s">
        <v>60</v>
      </c>
      <c r="Q5038" s="9" t="s">
        <v>42</v>
      </c>
      <c r="R5038" s="9" t="s">
        <v>70</v>
      </c>
      <c r="S5038" s="7" t="s">
        <v>1084</v>
      </c>
      <c r="T5038" s="9" t="s">
        <v>39</v>
      </c>
      <c r="U5038" s="7">
        <v>0.67</v>
      </c>
      <c r="V5038" s="12">
        <f>C5038+1</f>
        <v>40285</v>
      </c>
      <c r="W5038">
        <f>IF(D5038=' Pivot Tables'!$A$4,1,0)</f>
        <v>0</v>
      </c>
      <c r="X5038">
        <f>IF(AND(LEFT(D5038,4)+1=LEFT(' Pivot Tables'!$A$4,4)+0,RIGHT(LEFT(D5038,7),2)=RIGHT(LEFT(' Pivot Tables'!$A$4,7),2)),1,0)</f>
        <v>0</v>
      </c>
      <c r="Y5038" s="6">
        <f>1/COUNTIF(Таблица1[Order ID],Таблица1[[#This Row],[Order ID]])</f>
        <v>0.33333333333333331</v>
      </c>
      <c r="Z5038" s="9">
        <f>1/COUNTIFS(Таблица1[Customer Name],Таблица1[[#This Row],[Customer Name]],Таблица1[Order-Year-Month],Таблица1[[#This Row],[Order-Year-Month]])</f>
        <v>0.33333333333333331</v>
      </c>
    </row>
    <row r="5039" spans="1:26" x14ac:dyDescent="0.2">
      <c r="A5039" s="6">
        <v>3240</v>
      </c>
      <c r="B5039" s="7">
        <v>23232</v>
      </c>
      <c r="C5039" s="8">
        <f>DATE(2012,12,31)-990</f>
        <v>40284</v>
      </c>
      <c r="D5039" s="8" t="str">
        <f t="shared" si="94"/>
        <v>2010-04 (апрель 2010)</v>
      </c>
      <c r="E5039" s="9" t="s">
        <v>30</v>
      </c>
      <c r="F5039" s="7">
        <v>31</v>
      </c>
      <c r="G5039" s="7">
        <v>154.24</v>
      </c>
      <c r="H5039" s="7">
        <v>0.03</v>
      </c>
      <c r="I5039" s="9" t="s">
        <v>22</v>
      </c>
      <c r="J5039" s="10">
        <v>68.88</v>
      </c>
      <c r="K5039" s="11">
        <v>4.9800000000000004</v>
      </c>
      <c r="L5039" s="11">
        <v>0.49</v>
      </c>
      <c r="M5039" s="9" t="s">
        <v>1844</v>
      </c>
      <c r="N5039" s="6" t="s">
        <v>672</v>
      </c>
      <c r="O5039" s="6" t="s">
        <v>673</v>
      </c>
      <c r="P5039" s="9" t="s">
        <v>60</v>
      </c>
      <c r="Q5039" s="9" t="s">
        <v>26</v>
      </c>
      <c r="R5039" s="9" t="s">
        <v>88</v>
      </c>
      <c r="S5039" s="7" t="s">
        <v>836</v>
      </c>
      <c r="T5039" s="9" t="s">
        <v>39</v>
      </c>
      <c r="U5039" s="7">
        <v>0.39</v>
      </c>
      <c r="V5039" s="12">
        <f>C5039+1</f>
        <v>40285</v>
      </c>
      <c r="W5039">
        <f>IF(D5039=' Pivot Tables'!$A$4,1,0)</f>
        <v>0</v>
      </c>
      <c r="X5039">
        <f>IF(AND(LEFT(D5039,4)+1=LEFT(' Pivot Tables'!$A$4,4)+0,RIGHT(LEFT(D5039,7),2)=RIGHT(LEFT(' Pivot Tables'!$A$4,7),2)),1,0)</f>
        <v>0</v>
      </c>
      <c r="Y5039" s="6">
        <f>1/COUNTIF(Таблица1[Order ID],Таблица1[[#This Row],[Order ID]])</f>
        <v>0.33333333333333331</v>
      </c>
      <c r="Z5039" s="9">
        <f>1/COUNTIFS(Таблица1[Customer Name],Таблица1[[#This Row],[Customer Name]],Таблица1[Order-Year-Month],Таблица1[[#This Row],[Order-Year-Month]])</f>
        <v>0.33333333333333331</v>
      </c>
    </row>
    <row r="5040" spans="1:26" x14ac:dyDescent="0.2">
      <c r="A5040" s="6">
        <v>3241</v>
      </c>
      <c r="B5040" s="7">
        <v>23232</v>
      </c>
      <c r="C5040" s="8">
        <f>DATE(2012,12,31)-990</f>
        <v>40284</v>
      </c>
      <c r="D5040" s="8" t="str">
        <f t="shared" si="94"/>
        <v>2010-04 (апрель 2010)</v>
      </c>
      <c r="E5040" s="9" t="s">
        <v>30</v>
      </c>
      <c r="F5040" s="7">
        <v>20</v>
      </c>
      <c r="G5040" s="7">
        <v>140.31</v>
      </c>
      <c r="H5040" s="7">
        <v>0.06</v>
      </c>
      <c r="I5040" s="9" t="s">
        <v>22</v>
      </c>
      <c r="J5040" s="10">
        <v>-94.11</v>
      </c>
      <c r="K5040" s="11">
        <v>6.48</v>
      </c>
      <c r="L5040" s="11">
        <v>8.74</v>
      </c>
      <c r="M5040" s="9" t="s">
        <v>1844</v>
      </c>
      <c r="N5040" s="6" t="s">
        <v>672</v>
      </c>
      <c r="O5040" s="6" t="s">
        <v>673</v>
      </c>
      <c r="P5040" s="9" t="s">
        <v>60</v>
      </c>
      <c r="Q5040" s="9" t="s">
        <v>26</v>
      </c>
      <c r="R5040" s="9" t="s">
        <v>61</v>
      </c>
      <c r="S5040" s="7" t="s">
        <v>1210</v>
      </c>
      <c r="T5040" s="9" t="s">
        <v>39</v>
      </c>
      <c r="U5040" s="7">
        <v>0.36</v>
      </c>
      <c r="V5040" s="12">
        <f>C5040+0</f>
        <v>40284</v>
      </c>
      <c r="W5040">
        <f>IF(D5040=' Pivot Tables'!$A$4,1,0)</f>
        <v>0</v>
      </c>
      <c r="X5040">
        <f>IF(AND(LEFT(D5040,4)+1=LEFT(' Pivot Tables'!$A$4,4)+0,RIGHT(LEFT(D5040,7),2)=RIGHT(LEFT(' Pivot Tables'!$A$4,7),2)),1,0)</f>
        <v>0</v>
      </c>
      <c r="Y5040" s="6">
        <f>1/COUNTIF(Таблица1[Order ID],Таблица1[[#This Row],[Order ID]])</f>
        <v>0.33333333333333331</v>
      </c>
      <c r="Z5040" s="9">
        <f>1/COUNTIFS(Таблица1[Customer Name],Таблица1[[#This Row],[Customer Name]],Таблица1[Order-Year-Month],Таблица1[[#This Row],[Order-Year-Month]])</f>
        <v>0.33333333333333331</v>
      </c>
    </row>
    <row r="5041" spans="1:26" x14ac:dyDescent="0.2">
      <c r="A5041" s="6">
        <v>3248</v>
      </c>
      <c r="B5041" s="7">
        <v>23270</v>
      </c>
      <c r="C5041" s="8">
        <f>DATE(2012,12,31)-659</f>
        <v>40615</v>
      </c>
      <c r="D5041" s="8" t="str">
        <f t="shared" si="94"/>
        <v>2011-03 (март 2011)</v>
      </c>
      <c r="E5041" s="9" t="s">
        <v>21</v>
      </c>
      <c r="F5041" s="7">
        <v>20</v>
      </c>
      <c r="G5041" s="7">
        <v>1460.42</v>
      </c>
      <c r="H5041" s="7">
        <v>0.04</v>
      </c>
      <c r="I5041" s="9" t="s">
        <v>31</v>
      </c>
      <c r="J5041" s="10">
        <v>-441.44</v>
      </c>
      <c r="K5041" s="11">
        <v>68.81</v>
      </c>
      <c r="L5041" s="11">
        <v>60</v>
      </c>
      <c r="M5041" s="9" t="s">
        <v>1855</v>
      </c>
      <c r="N5041" s="6" t="s">
        <v>672</v>
      </c>
      <c r="O5041" s="6" t="s">
        <v>673</v>
      </c>
      <c r="P5041" s="9" t="s">
        <v>60</v>
      </c>
      <c r="Q5041" s="9" t="s">
        <v>26</v>
      </c>
      <c r="R5041" s="9" t="s">
        <v>34</v>
      </c>
      <c r="S5041" s="7" t="s">
        <v>605</v>
      </c>
      <c r="T5041" s="9" t="s">
        <v>36</v>
      </c>
      <c r="U5041" s="7">
        <v>0.41</v>
      </c>
      <c r="V5041" s="12">
        <f>C5041+4</f>
        <v>40619</v>
      </c>
      <c r="W5041">
        <f>IF(D5041=' Pivot Tables'!$A$4,1,0)</f>
        <v>0</v>
      </c>
      <c r="X5041">
        <f>IF(AND(LEFT(D5041,4)+1=LEFT(' Pivot Tables'!$A$4,4)+0,RIGHT(LEFT(D5041,7),2)=RIGHT(LEFT(' Pivot Tables'!$A$4,7),2)),1,0)</f>
        <v>0</v>
      </c>
      <c r="Y5041" s="6">
        <f>1/COUNTIF(Таблица1[Order ID],Таблица1[[#This Row],[Order ID]])</f>
        <v>0.5</v>
      </c>
      <c r="Z5041" s="9">
        <f>1/COUNTIFS(Таблица1[Customer Name],Таблица1[[#This Row],[Customer Name]],Таблица1[Order-Year-Month],Таблица1[[#This Row],[Order-Year-Month]])</f>
        <v>0.5</v>
      </c>
    </row>
    <row r="5042" spans="1:26" x14ac:dyDescent="0.2">
      <c r="A5042" s="6">
        <v>3249</v>
      </c>
      <c r="B5042" s="7">
        <v>23270</v>
      </c>
      <c r="C5042" s="8">
        <f>DATE(2012,12,31)-659</f>
        <v>40615</v>
      </c>
      <c r="D5042" s="8" t="str">
        <f t="shared" si="94"/>
        <v>2011-03 (март 2011)</v>
      </c>
      <c r="E5042" s="9" t="s">
        <v>21</v>
      </c>
      <c r="F5042" s="7">
        <v>42</v>
      </c>
      <c r="G5042" s="7">
        <v>6659.7415000000001</v>
      </c>
      <c r="H5042" s="7">
        <v>0.05</v>
      </c>
      <c r="I5042" s="9" t="s">
        <v>56</v>
      </c>
      <c r="J5042" s="10">
        <v>1647.7469999999998</v>
      </c>
      <c r="K5042" s="11">
        <v>195.99</v>
      </c>
      <c r="L5042" s="11">
        <v>3.99</v>
      </c>
      <c r="M5042" s="9" t="s">
        <v>1855</v>
      </c>
      <c r="N5042" s="6" t="s">
        <v>672</v>
      </c>
      <c r="O5042" s="6" t="s">
        <v>673</v>
      </c>
      <c r="P5042" s="9" t="s">
        <v>60</v>
      </c>
      <c r="Q5042" s="9" t="s">
        <v>42</v>
      </c>
      <c r="R5042" s="9" t="s">
        <v>43</v>
      </c>
      <c r="S5042" s="7" t="s">
        <v>309</v>
      </c>
      <c r="T5042" s="9" t="s">
        <v>39</v>
      </c>
      <c r="U5042" s="7">
        <v>0.59</v>
      </c>
      <c r="V5042" s="12">
        <f>C5042+5</f>
        <v>40620</v>
      </c>
      <c r="W5042">
        <f>IF(D5042=' Pivot Tables'!$A$4,1,0)</f>
        <v>0</v>
      </c>
      <c r="X5042">
        <f>IF(AND(LEFT(D5042,4)+1=LEFT(' Pivot Tables'!$A$4,4)+0,RIGHT(LEFT(D5042,7),2)=RIGHT(LEFT(' Pivot Tables'!$A$4,7),2)),1,0)</f>
        <v>0</v>
      </c>
      <c r="Y5042" s="6">
        <f>1/COUNTIF(Таблица1[Order ID],Таблица1[[#This Row],[Order ID]])</f>
        <v>0.5</v>
      </c>
      <c r="Z5042" s="9">
        <f>1/COUNTIFS(Таблица1[Customer Name],Таблица1[[#This Row],[Customer Name]],Таблица1[Order-Year-Month],Таблица1[[#This Row],[Order-Year-Month]])</f>
        <v>0.5</v>
      </c>
    </row>
    <row r="5043" spans="1:26" x14ac:dyDescent="0.2">
      <c r="A5043" s="6">
        <v>3305</v>
      </c>
      <c r="B5043" s="7">
        <v>23618</v>
      </c>
      <c r="C5043" s="8">
        <f>DATE(2012,12,31)-34</f>
        <v>41240</v>
      </c>
      <c r="D5043" s="8" t="str">
        <f t="shared" si="94"/>
        <v>2012-11 (ноябрь 2012)</v>
      </c>
      <c r="E5043" s="9" t="s">
        <v>63</v>
      </c>
      <c r="F5043" s="7">
        <v>45</v>
      </c>
      <c r="G5043" s="7">
        <v>2601.7904999999996</v>
      </c>
      <c r="H5043" s="7">
        <v>0.02</v>
      </c>
      <c r="I5043" s="9" t="s">
        <v>22</v>
      </c>
      <c r="J5043" s="10">
        <v>748.197</v>
      </c>
      <c r="K5043" s="11">
        <v>65.989999999999995</v>
      </c>
      <c r="L5043" s="11">
        <v>5.26</v>
      </c>
      <c r="M5043" s="9" t="s">
        <v>1865</v>
      </c>
      <c r="N5043" s="6" t="s">
        <v>672</v>
      </c>
      <c r="O5043" s="6" t="s">
        <v>673</v>
      </c>
      <c r="P5043" s="9" t="s">
        <v>33</v>
      </c>
      <c r="Q5043" s="9" t="s">
        <v>42</v>
      </c>
      <c r="R5043" s="9" t="s">
        <v>43</v>
      </c>
      <c r="S5043" s="7" t="s">
        <v>390</v>
      </c>
      <c r="T5043" s="9" t="s">
        <v>39</v>
      </c>
      <c r="U5043" s="7">
        <v>0.56000000000000005</v>
      </c>
      <c r="V5043" s="12">
        <f>C5043+2</f>
        <v>41242</v>
      </c>
      <c r="W5043">
        <f>IF(D5043=' Pivot Tables'!$A$4,1,0)</f>
        <v>0</v>
      </c>
      <c r="X5043">
        <f>IF(AND(LEFT(D5043,4)+1=LEFT(' Pivot Tables'!$A$4,4)+0,RIGHT(LEFT(D5043,7),2)=RIGHT(LEFT(' Pivot Tables'!$A$4,7),2)),1,0)</f>
        <v>0</v>
      </c>
      <c r="Y5043" s="6">
        <f>1/COUNTIF(Таблица1[Order ID],Таблица1[[#This Row],[Order ID]])</f>
        <v>1</v>
      </c>
      <c r="Z5043" s="9">
        <f>1/COUNTIFS(Таблица1[Customer Name],Таблица1[[#This Row],[Customer Name]],Таблица1[Order-Year-Month],Таблица1[[#This Row],[Order-Year-Month]])</f>
        <v>1</v>
      </c>
    </row>
    <row r="5044" spans="1:26" x14ac:dyDescent="0.2">
      <c r="A5044" s="6">
        <v>3358</v>
      </c>
      <c r="B5044" s="7">
        <v>24033</v>
      </c>
      <c r="C5044" s="8">
        <f>DATE(2012,12,31)-729</f>
        <v>40545</v>
      </c>
      <c r="D5044" s="8" t="str">
        <f t="shared" si="94"/>
        <v>2011-01 (январь 2011)</v>
      </c>
      <c r="E5044" s="9" t="s">
        <v>30</v>
      </c>
      <c r="F5044" s="7">
        <v>50</v>
      </c>
      <c r="G5044" s="7">
        <v>1227.18</v>
      </c>
      <c r="H5044" s="7">
        <v>0</v>
      </c>
      <c r="I5044" s="9" t="s">
        <v>31</v>
      </c>
      <c r="J5044" s="10">
        <v>-252.53</v>
      </c>
      <c r="K5044" s="11">
        <v>23.99</v>
      </c>
      <c r="L5044" s="11">
        <v>15.68</v>
      </c>
      <c r="M5044" s="9" t="s">
        <v>1856</v>
      </c>
      <c r="N5044" s="6" t="s">
        <v>672</v>
      </c>
      <c r="O5044" s="6" t="s">
        <v>673</v>
      </c>
      <c r="P5044" s="9" t="s">
        <v>33</v>
      </c>
      <c r="Q5044" s="9" t="s">
        <v>49</v>
      </c>
      <c r="R5044" s="9" t="s">
        <v>50</v>
      </c>
      <c r="S5044" s="7" t="s">
        <v>1372</v>
      </c>
      <c r="T5044" s="9" t="s">
        <v>36</v>
      </c>
      <c r="U5044" s="7">
        <v>0.62</v>
      </c>
      <c r="V5044" s="12">
        <f>C5044+2</f>
        <v>40547</v>
      </c>
      <c r="W5044">
        <f>IF(D5044=' Pivot Tables'!$A$4,1,0)</f>
        <v>0</v>
      </c>
      <c r="X5044">
        <f>IF(AND(LEFT(D5044,4)+1=LEFT(' Pivot Tables'!$A$4,4)+0,RIGHT(LEFT(D5044,7),2)=RIGHT(LEFT(' Pivot Tables'!$A$4,7),2)),1,0)</f>
        <v>0</v>
      </c>
      <c r="Y5044" s="6">
        <f>1/COUNTIF(Таблица1[Order ID],Таблица1[[#This Row],[Order ID]])</f>
        <v>1</v>
      </c>
      <c r="Z5044" s="9">
        <f>1/COUNTIFS(Таблица1[Customer Name],Таблица1[[#This Row],[Customer Name]],Таблица1[Order-Year-Month],Таблица1[[#This Row],[Order-Year-Month]])</f>
        <v>0.5</v>
      </c>
    </row>
    <row r="5045" spans="1:26" x14ac:dyDescent="0.2">
      <c r="A5045" s="6">
        <v>3363</v>
      </c>
      <c r="B5045" s="7">
        <v>24066</v>
      </c>
      <c r="C5045" s="8">
        <f>DATE(2012,12,31)-262</f>
        <v>41012</v>
      </c>
      <c r="D5045" s="8" t="str">
        <f t="shared" si="94"/>
        <v>2012-04 (апрель 2012)</v>
      </c>
      <c r="E5045" s="9" t="s">
        <v>30</v>
      </c>
      <c r="F5045" s="7">
        <v>30</v>
      </c>
      <c r="G5045" s="7">
        <v>4278.6099999999997</v>
      </c>
      <c r="H5045" s="7">
        <v>7.0000000000000007E-2</v>
      </c>
      <c r="I5045" s="9" t="s">
        <v>31</v>
      </c>
      <c r="J5045" s="10">
        <v>-955.56</v>
      </c>
      <c r="K5045" s="11">
        <v>150.97999999999999</v>
      </c>
      <c r="L5045" s="11">
        <v>66.27</v>
      </c>
      <c r="M5045" s="9" t="s">
        <v>1869</v>
      </c>
      <c r="N5045" s="6" t="s">
        <v>672</v>
      </c>
      <c r="O5045" s="6" t="s">
        <v>673</v>
      </c>
      <c r="P5045" s="9" t="s">
        <v>60</v>
      </c>
      <c r="Q5045" s="9" t="s">
        <v>49</v>
      </c>
      <c r="R5045" s="9" t="s">
        <v>80</v>
      </c>
      <c r="S5045" s="7" t="s">
        <v>325</v>
      </c>
      <c r="T5045" s="9" t="s">
        <v>82</v>
      </c>
      <c r="U5045" s="7">
        <v>0.65</v>
      </c>
      <c r="V5045" s="12">
        <f>C5045+2</f>
        <v>41014</v>
      </c>
      <c r="W5045">
        <f>IF(D5045=' Pivot Tables'!$A$4,1,0)</f>
        <v>0</v>
      </c>
      <c r="X5045">
        <f>IF(AND(LEFT(D5045,4)+1=LEFT(' Pivot Tables'!$A$4,4)+0,RIGHT(LEFT(D5045,7),2)=RIGHT(LEFT(' Pivot Tables'!$A$4,7),2)),1,0)</f>
        <v>0</v>
      </c>
      <c r="Y5045" s="6">
        <f>1/COUNTIF(Таблица1[Order ID],Таблица1[[#This Row],[Order ID]])</f>
        <v>1</v>
      </c>
      <c r="Z5045" s="9">
        <f>1/COUNTIFS(Таблица1[Customer Name],Таблица1[[#This Row],[Customer Name]],Таблица1[Order-Year-Month],Таблица1[[#This Row],[Order-Year-Month]])</f>
        <v>1</v>
      </c>
    </row>
    <row r="5046" spans="1:26" x14ac:dyDescent="0.2">
      <c r="A5046" s="6">
        <v>3390</v>
      </c>
      <c r="B5046" s="7">
        <v>24162</v>
      </c>
      <c r="C5046" s="8">
        <f>DATE(2012,12,31)-1227</f>
        <v>40047</v>
      </c>
      <c r="D5046" s="8" t="str">
        <f t="shared" si="94"/>
        <v>2009-08 (август 2009)</v>
      </c>
      <c r="E5046" s="9" t="s">
        <v>45</v>
      </c>
      <c r="F5046" s="7">
        <v>1</v>
      </c>
      <c r="G5046" s="7">
        <v>10.94</v>
      </c>
      <c r="H5046" s="7">
        <v>0.08</v>
      </c>
      <c r="I5046" s="9" t="s">
        <v>22</v>
      </c>
      <c r="J5046" s="10">
        <v>-4.3499999999999996</v>
      </c>
      <c r="K5046" s="11">
        <v>9.68</v>
      </c>
      <c r="L5046" s="11">
        <v>2.0299999999999998</v>
      </c>
      <c r="M5046" s="9" t="s">
        <v>1845</v>
      </c>
      <c r="N5046" s="6" t="s">
        <v>672</v>
      </c>
      <c r="O5046" s="6" t="s">
        <v>673</v>
      </c>
      <c r="P5046" s="9" t="s">
        <v>25</v>
      </c>
      <c r="Q5046" s="9" t="s">
        <v>26</v>
      </c>
      <c r="R5046" s="9" t="s">
        <v>61</v>
      </c>
      <c r="S5046" s="7" t="s">
        <v>1119</v>
      </c>
      <c r="T5046" s="9" t="s">
        <v>68</v>
      </c>
      <c r="U5046" s="7">
        <v>0.37</v>
      </c>
      <c r="V5046" s="12">
        <f>C5046+2</f>
        <v>40049</v>
      </c>
      <c r="W5046">
        <f>IF(D5046=' Pivot Tables'!$A$4,1,0)</f>
        <v>0</v>
      </c>
      <c r="X5046">
        <f>IF(AND(LEFT(D5046,4)+1=LEFT(' Pivot Tables'!$A$4,4)+0,RIGHT(LEFT(D5046,7),2)=RIGHT(LEFT(' Pivot Tables'!$A$4,7),2)),1,0)</f>
        <v>0</v>
      </c>
      <c r="Y5046" s="6">
        <f>1/COUNTIF(Таблица1[Order ID],Таблица1[[#This Row],[Order ID]])</f>
        <v>0.5</v>
      </c>
      <c r="Z5046" s="9">
        <f>1/COUNTIFS(Таблица1[Customer Name],Таблица1[[#This Row],[Customer Name]],Таблица1[Order-Year-Month],Таблица1[[#This Row],[Order-Year-Month]])</f>
        <v>0.5</v>
      </c>
    </row>
    <row r="5047" spans="1:26" x14ac:dyDescent="0.2">
      <c r="A5047" s="6">
        <v>3391</v>
      </c>
      <c r="B5047" s="7">
        <v>24162</v>
      </c>
      <c r="C5047" s="8">
        <f>DATE(2012,12,31)-1227</f>
        <v>40047</v>
      </c>
      <c r="D5047" s="8" t="str">
        <f t="shared" si="94"/>
        <v>2009-08 (август 2009)</v>
      </c>
      <c r="E5047" s="9" t="s">
        <v>45</v>
      </c>
      <c r="F5047" s="7">
        <v>12</v>
      </c>
      <c r="G5047" s="7">
        <v>1755.3</v>
      </c>
      <c r="H5047" s="7">
        <v>0.04</v>
      </c>
      <c r="I5047" s="9" t="s">
        <v>31</v>
      </c>
      <c r="J5047" s="10">
        <v>-7.0099999999999909</v>
      </c>
      <c r="K5047" s="11">
        <v>150.97999999999999</v>
      </c>
      <c r="L5047" s="11">
        <v>16.010000000000002</v>
      </c>
      <c r="M5047" s="9" t="s">
        <v>1845</v>
      </c>
      <c r="N5047" s="6" t="s">
        <v>672</v>
      </c>
      <c r="O5047" s="6" t="s">
        <v>673</v>
      </c>
      <c r="P5047" s="9" t="s">
        <v>25</v>
      </c>
      <c r="Q5047" s="9" t="s">
        <v>49</v>
      </c>
      <c r="R5047" s="9" t="s">
        <v>83</v>
      </c>
      <c r="S5047" s="7" t="s">
        <v>1404</v>
      </c>
      <c r="T5047" s="9" t="s">
        <v>82</v>
      </c>
      <c r="U5047" s="7">
        <v>0.7</v>
      </c>
      <c r="V5047" s="12">
        <f>C5047+1</f>
        <v>40048</v>
      </c>
      <c r="W5047">
        <f>IF(D5047=' Pivot Tables'!$A$4,1,0)</f>
        <v>0</v>
      </c>
      <c r="X5047">
        <f>IF(AND(LEFT(D5047,4)+1=LEFT(' Pivot Tables'!$A$4,4)+0,RIGHT(LEFT(D5047,7),2)=RIGHT(LEFT(' Pivot Tables'!$A$4,7),2)),1,0)</f>
        <v>0</v>
      </c>
      <c r="Y5047" s="6">
        <f>1/COUNTIF(Таблица1[Order ID],Таблица1[[#This Row],[Order ID]])</f>
        <v>0.5</v>
      </c>
      <c r="Z5047" s="9">
        <f>1/COUNTIFS(Таблица1[Customer Name],Таблица1[[#This Row],[Customer Name]],Таблица1[Order-Year-Month],Таблица1[[#This Row],[Order-Year-Month]])</f>
        <v>0.5</v>
      </c>
    </row>
    <row r="5048" spans="1:26" x14ac:dyDescent="0.2">
      <c r="A5048" s="6">
        <v>3412</v>
      </c>
      <c r="B5048" s="7">
        <v>24384</v>
      </c>
      <c r="C5048" s="8">
        <f>DATE(2012,12,31)-646</f>
        <v>40628</v>
      </c>
      <c r="D5048" s="8" t="str">
        <f t="shared" si="94"/>
        <v>2011-03 (март 2011)</v>
      </c>
      <c r="E5048" s="9" t="s">
        <v>63</v>
      </c>
      <c r="F5048" s="7">
        <v>44</v>
      </c>
      <c r="G5048" s="7">
        <v>205.11</v>
      </c>
      <c r="H5048" s="7">
        <v>0.06</v>
      </c>
      <c r="I5048" s="9" t="s">
        <v>22</v>
      </c>
      <c r="J5048" s="10">
        <v>95.52</v>
      </c>
      <c r="K5048" s="11">
        <v>4.91</v>
      </c>
      <c r="L5048" s="11">
        <v>0.5</v>
      </c>
      <c r="M5048" s="9" t="s">
        <v>1849</v>
      </c>
      <c r="N5048" s="6" t="s">
        <v>672</v>
      </c>
      <c r="O5048" s="6" t="s">
        <v>673</v>
      </c>
      <c r="P5048" s="9" t="s">
        <v>33</v>
      </c>
      <c r="Q5048" s="9" t="s">
        <v>26</v>
      </c>
      <c r="R5048" s="9" t="s">
        <v>88</v>
      </c>
      <c r="S5048" s="7" t="s">
        <v>1370</v>
      </c>
      <c r="T5048" s="9" t="s">
        <v>39</v>
      </c>
      <c r="U5048" s="7">
        <v>0.36</v>
      </c>
      <c r="V5048" s="12">
        <f>C5048+2</f>
        <v>40630</v>
      </c>
      <c r="W5048">
        <f>IF(D5048=' Pivot Tables'!$A$4,1,0)</f>
        <v>0</v>
      </c>
      <c r="X5048">
        <f>IF(AND(LEFT(D5048,4)+1=LEFT(' Pivot Tables'!$A$4,4)+0,RIGHT(LEFT(D5048,7),2)=RIGHT(LEFT(' Pivot Tables'!$A$4,7),2)),1,0)</f>
        <v>0</v>
      </c>
      <c r="Y5048" s="6">
        <f>1/COUNTIF(Таблица1[Order ID],Таблица1[[#This Row],[Order ID]])</f>
        <v>0.33333333333333331</v>
      </c>
      <c r="Z5048" s="9">
        <f>1/COUNTIFS(Таблица1[Customer Name],Таблица1[[#This Row],[Customer Name]],Таблица1[Order-Year-Month],Таблица1[[#This Row],[Order-Year-Month]])</f>
        <v>0.33333333333333331</v>
      </c>
    </row>
    <row r="5049" spans="1:26" x14ac:dyDescent="0.2">
      <c r="A5049" s="6">
        <v>3413</v>
      </c>
      <c r="B5049" s="7">
        <v>24384</v>
      </c>
      <c r="C5049" s="8">
        <f>DATE(2012,12,31)-646</f>
        <v>40628</v>
      </c>
      <c r="D5049" s="8" t="str">
        <f t="shared" si="94"/>
        <v>2011-03 (март 2011)</v>
      </c>
      <c r="E5049" s="9" t="s">
        <v>63</v>
      </c>
      <c r="F5049" s="7">
        <v>21</v>
      </c>
      <c r="G5049" s="7">
        <v>3981.23</v>
      </c>
      <c r="H5049" s="7">
        <v>7.0000000000000007E-2</v>
      </c>
      <c r="I5049" s="9" t="s">
        <v>22</v>
      </c>
      <c r="J5049" s="10">
        <v>294.94</v>
      </c>
      <c r="K5049" s="11">
        <v>193.17</v>
      </c>
      <c r="L5049" s="11">
        <v>19.989999999999998</v>
      </c>
      <c r="M5049" s="9" t="s">
        <v>1849</v>
      </c>
      <c r="N5049" s="6" t="s">
        <v>672</v>
      </c>
      <c r="O5049" s="6" t="s">
        <v>673</v>
      </c>
      <c r="P5049" s="9" t="s">
        <v>33</v>
      </c>
      <c r="Q5049" s="9" t="s">
        <v>26</v>
      </c>
      <c r="R5049" s="9" t="s">
        <v>27</v>
      </c>
      <c r="S5049" s="7" t="s">
        <v>338</v>
      </c>
      <c r="T5049" s="9" t="s">
        <v>39</v>
      </c>
      <c r="U5049" s="7">
        <v>0.71</v>
      </c>
      <c r="V5049" s="12">
        <f>C5049+2</f>
        <v>40630</v>
      </c>
      <c r="W5049">
        <f>IF(D5049=' Pivot Tables'!$A$4,1,0)</f>
        <v>0</v>
      </c>
      <c r="X5049">
        <f>IF(AND(LEFT(D5049,4)+1=LEFT(' Pivot Tables'!$A$4,4)+0,RIGHT(LEFT(D5049,7),2)=RIGHT(LEFT(' Pivot Tables'!$A$4,7),2)),1,0)</f>
        <v>0</v>
      </c>
      <c r="Y5049" s="6">
        <f>1/COUNTIF(Таблица1[Order ID],Таблица1[[#This Row],[Order ID]])</f>
        <v>0.33333333333333331</v>
      </c>
      <c r="Z5049" s="9">
        <f>1/COUNTIFS(Таблица1[Customer Name],Таблица1[[#This Row],[Customer Name]],Таблица1[Order-Year-Month],Таблица1[[#This Row],[Order-Year-Month]])</f>
        <v>0.33333333333333331</v>
      </c>
    </row>
    <row r="5050" spans="1:26" x14ac:dyDescent="0.2">
      <c r="A5050" s="6">
        <v>3414</v>
      </c>
      <c r="B5050" s="7">
        <v>24384</v>
      </c>
      <c r="C5050" s="8">
        <f>DATE(2012,12,31)-646</f>
        <v>40628</v>
      </c>
      <c r="D5050" s="8" t="str">
        <f t="shared" si="94"/>
        <v>2011-03 (март 2011)</v>
      </c>
      <c r="E5050" s="9" t="s">
        <v>63</v>
      </c>
      <c r="F5050" s="7">
        <v>20</v>
      </c>
      <c r="G5050" s="7">
        <v>2458.2425000000003</v>
      </c>
      <c r="H5050" s="7">
        <v>0.1</v>
      </c>
      <c r="I5050" s="9" t="s">
        <v>22</v>
      </c>
      <c r="J5050" s="10">
        <v>110.538</v>
      </c>
      <c r="K5050" s="11">
        <v>155.99</v>
      </c>
      <c r="L5050" s="11">
        <v>8.99</v>
      </c>
      <c r="M5050" s="9" t="s">
        <v>1849</v>
      </c>
      <c r="N5050" s="6" t="s">
        <v>672</v>
      </c>
      <c r="O5050" s="6" t="s">
        <v>673</v>
      </c>
      <c r="P5050" s="9" t="s">
        <v>33</v>
      </c>
      <c r="Q5050" s="9" t="s">
        <v>42</v>
      </c>
      <c r="R5050" s="9" t="s">
        <v>43</v>
      </c>
      <c r="S5050" s="7" t="s">
        <v>710</v>
      </c>
      <c r="T5050" s="9" t="s">
        <v>39</v>
      </c>
      <c r="U5050" s="7">
        <v>0.57999999999999996</v>
      </c>
      <c r="V5050" s="12">
        <f>C5050+2</f>
        <v>40630</v>
      </c>
      <c r="W5050">
        <f>IF(D5050=' Pivot Tables'!$A$4,1,0)</f>
        <v>0</v>
      </c>
      <c r="X5050">
        <f>IF(AND(LEFT(D5050,4)+1=LEFT(' Pivot Tables'!$A$4,4)+0,RIGHT(LEFT(D5050,7),2)=RIGHT(LEFT(' Pivot Tables'!$A$4,7),2)),1,0)</f>
        <v>0</v>
      </c>
      <c r="Y5050" s="6">
        <f>1/COUNTIF(Таблица1[Order ID],Таблица1[[#This Row],[Order ID]])</f>
        <v>0.33333333333333331</v>
      </c>
      <c r="Z5050" s="9">
        <f>1/COUNTIFS(Таблица1[Customer Name],Таблица1[[#This Row],[Customer Name]],Таблица1[Order-Year-Month],Таблица1[[#This Row],[Order-Year-Month]])</f>
        <v>0.33333333333333331</v>
      </c>
    </row>
    <row r="5051" spans="1:26" x14ac:dyDescent="0.2">
      <c r="A5051" s="6">
        <v>3424</v>
      </c>
      <c r="B5051" s="7">
        <v>24448</v>
      </c>
      <c r="C5051" s="8">
        <f>DATE(2012,12,31)-329</f>
        <v>40945</v>
      </c>
      <c r="D5051" s="8" t="str">
        <f t="shared" si="94"/>
        <v>2012-02 (февраль 2012)</v>
      </c>
      <c r="E5051" s="9" t="s">
        <v>30</v>
      </c>
      <c r="F5051" s="7">
        <v>46</v>
      </c>
      <c r="G5051" s="7">
        <v>11036.16</v>
      </c>
      <c r="H5051" s="7">
        <v>0.05</v>
      </c>
      <c r="I5051" s="9" t="s">
        <v>31</v>
      </c>
      <c r="J5051" s="10">
        <v>1187.8</v>
      </c>
      <c r="K5051" s="11">
        <v>236.97</v>
      </c>
      <c r="L5051" s="11">
        <v>59.24</v>
      </c>
      <c r="M5051" s="9" t="s">
        <v>347</v>
      </c>
      <c r="N5051" s="6" t="s">
        <v>672</v>
      </c>
      <c r="O5051" s="6" t="s">
        <v>673</v>
      </c>
      <c r="P5051" s="9" t="s">
        <v>41</v>
      </c>
      <c r="Q5051" s="9" t="s">
        <v>49</v>
      </c>
      <c r="R5051" s="9" t="s">
        <v>83</v>
      </c>
      <c r="S5051" s="7" t="s">
        <v>1149</v>
      </c>
      <c r="T5051" s="9" t="s">
        <v>82</v>
      </c>
      <c r="U5051" s="7">
        <v>0.61</v>
      </c>
      <c r="V5051" s="12">
        <f>C5051+2</f>
        <v>40947</v>
      </c>
      <c r="W5051">
        <f>IF(D5051=' Pivot Tables'!$A$4,1,0)</f>
        <v>0</v>
      </c>
      <c r="X5051">
        <f>IF(AND(LEFT(D5051,4)+1=LEFT(' Pivot Tables'!$A$4,4)+0,RIGHT(LEFT(D5051,7),2)=RIGHT(LEFT(' Pivot Tables'!$A$4,7),2)),1,0)</f>
        <v>0</v>
      </c>
      <c r="Y5051" s="6">
        <f>1/COUNTIF(Таблица1[Order ID],Таблица1[[#This Row],[Order ID]])</f>
        <v>1</v>
      </c>
      <c r="Z5051" s="9">
        <f>1/COUNTIFS(Таблица1[Customer Name],Таблица1[[#This Row],[Customer Name]],Таблица1[Order-Year-Month],Таблица1[[#This Row],[Order-Year-Month]])</f>
        <v>1</v>
      </c>
    </row>
    <row r="5052" spans="1:26" x14ac:dyDescent="0.2">
      <c r="A5052" s="6">
        <v>3429</v>
      </c>
      <c r="B5052" s="7">
        <v>24452</v>
      </c>
      <c r="C5052" s="8">
        <f>DATE(2012,12,31)-1334</f>
        <v>39940</v>
      </c>
      <c r="D5052" s="8" t="str">
        <f t="shared" si="94"/>
        <v>2009-05 (май 2009)</v>
      </c>
      <c r="E5052" s="9" t="s">
        <v>30</v>
      </c>
      <c r="F5052" s="7">
        <v>18</v>
      </c>
      <c r="G5052" s="7">
        <v>115.71</v>
      </c>
      <c r="H5052" s="7">
        <v>0.08</v>
      </c>
      <c r="I5052" s="9" t="s">
        <v>22</v>
      </c>
      <c r="J5052" s="10">
        <v>-91.61</v>
      </c>
      <c r="K5052" s="11">
        <v>6.48</v>
      </c>
      <c r="L5052" s="11">
        <v>8.4</v>
      </c>
      <c r="M5052" s="9" t="s">
        <v>1842</v>
      </c>
      <c r="N5052" s="6" t="s">
        <v>672</v>
      </c>
      <c r="O5052" s="6" t="s">
        <v>673</v>
      </c>
      <c r="P5052" s="9" t="s">
        <v>33</v>
      </c>
      <c r="Q5052" s="9" t="s">
        <v>26</v>
      </c>
      <c r="R5052" s="9" t="s">
        <v>61</v>
      </c>
      <c r="S5052" s="7" t="s">
        <v>1097</v>
      </c>
      <c r="T5052" s="9" t="s">
        <v>39</v>
      </c>
      <c r="U5052" s="7">
        <v>0.37</v>
      </c>
      <c r="V5052" s="12">
        <f>C5052+0</f>
        <v>39940</v>
      </c>
      <c r="W5052">
        <f>IF(D5052=' Pivot Tables'!$A$4,1,0)</f>
        <v>0</v>
      </c>
      <c r="X5052">
        <f>IF(AND(LEFT(D5052,4)+1=LEFT(' Pivot Tables'!$A$4,4)+0,RIGHT(LEFT(D5052,7),2)=RIGHT(LEFT(' Pivot Tables'!$A$4,7),2)),1,0)</f>
        <v>0</v>
      </c>
      <c r="Y5052" s="6">
        <f>1/COUNTIF(Таблица1[Order ID],Таблица1[[#This Row],[Order ID]])</f>
        <v>1</v>
      </c>
      <c r="Z5052" s="9">
        <f>1/COUNTIFS(Таблица1[Customer Name],Таблица1[[#This Row],[Customer Name]],Таблица1[Order-Year-Month],Таблица1[[#This Row],[Order-Year-Month]])</f>
        <v>1</v>
      </c>
    </row>
    <row r="5053" spans="1:26" x14ac:dyDescent="0.2">
      <c r="A5053" s="6">
        <v>3436</v>
      </c>
      <c r="B5053" s="7">
        <v>24544</v>
      </c>
      <c r="C5053" s="8">
        <f>DATE(2012,12,31)-1435</f>
        <v>39839</v>
      </c>
      <c r="D5053" s="8" t="str">
        <f t="shared" si="94"/>
        <v>2009-01 (январь 2009)</v>
      </c>
      <c r="E5053" s="9" t="s">
        <v>30</v>
      </c>
      <c r="F5053" s="7">
        <v>31</v>
      </c>
      <c r="G5053" s="7">
        <v>4587.3</v>
      </c>
      <c r="H5053" s="7">
        <v>0.08</v>
      </c>
      <c r="I5053" s="9" t="s">
        <v>56</v>
      </c>
      <c r="J5053" s="10">
        <v>1771.15</v>
      </c>
      <c r="K5053" s="11">
        <v>150.97999999999999</v>
      </c>
      <c r="L5053" s="11">
        <v>13.99</v>
      </c>
      <c r="M5053" s="9" t="s">
        <v>982</v>
      </c>
      <c r="N5053" s="6" t="s">
        <v>672</v>
      </c>
      <c r="O5053" s="6" t="s">
        <v>673</v>
      </c>
      <c r="P5053" s="9" t="s">
        <v>41</v>
      </c>
      <c r="Q5053" s="9" t="s">
        <v>42</v>
      </c>
      <c r="R5053" s="9" t="s">
        <v>210</v>
      </c>
      <c r="S5053" s="7" t="s">
        <v>341</v>
      </c>
      <c r="T5053" s="9" t="s">
        <v>48</v>
      </c>
      <c r="U5053" s="7">
        <v>0.38</v>
      </c>
      <c r="V5053" s="12">
        <f>C5053+1</f>
        <v>39840</v>
      </c>
      <c r="W5053">
        <f>IF(D5053=' Pivot Tables'!$A$4,1,0)</f>
        <v>0</v>
      </c>
      <c r="X5053">
        <f>IF(AND(LEFT(D5053,4)+1=LEFT(' Pivot Tables'!$A$4,4)+0,RIGHT(LEFT(D5053,7),2)=RIGHT(LEFT(' Pivot Tables'!$A$4,7),2)),1,0)</f>
        <v>1</v>
      </c>
      <c r="Y5053" s="6">
        <f>1/COUNTIF(Таблица1[Order ID],Таблица1[[#This Row],[Order ID]])</f>
        <v>0.33333333333333331</v>
      </c>
      <c r="Z5053" s="9">
        <f>1/COUNTIFS(Таблица1[Customer Name],Таблица1[[#This Row],[Customer Name]],Таблица1[Order-Year-Month],Таблица1[[#This Row],[Order-Year-Month]])</f>
        <v>0.25</v>
      </c>
    </row>
    <row r="5054" spans="1:26" x14ac:dyDescent="0.2">
      <c r="A5054" s="6">
        <v>3437</v>
      </c>
      <c r="B5054" s="7">
        <v>24544</v>
      </c>
      <c r="C5054" s="8">
        <f>DATE(2012,12,31)-1435</f>
        <v>39839</v>
      </c>
      <c r="D5054" s="8" t="str">
        <f t="shared" si="94"/>
        <v>2009-01 (январь 2009)</v>
      </c>
      <c r="E5054" s="9" t="s">
        <v>30</v>
      </c>
      <c r="F5054" s="7">
        <v>15</v>
      </c>
      <c r="G5054" s="7">
        <v>403.71</v>
      </c>
      <c r="H5054" s="7">
        <v>0.03</v>
      </c>
      <c r="I5054" s="9" t="s">
        <v>31</v>
      </c>
      <c r="J5054" s="10">
        <v>-97.47</v>
      </c>
      <c r="K5054" s="11">
        <v>25.98</v>
      </c>
      <c r="L5054" s="11">
        <v>14.36</v>
      </c>
      <c r="M5054" s="9" t="s">
        <v>982</v>
      </c>
      <c r="N5054" s="6" t="s">
        <v>672</v>
      </c>
      <c r="O5054" s="6" t="s">
        <v>673</v>
      </c>
      <c r="P5054" s="9" t="s">
        <v>41</v>
      </c>
      <c r="Q5054" s="9" t="s">
        <v>49</v>
      </c>
      <c r="R5054" s="9" t="s">
        <v>112</v>
      </c>
      <c r="S5054" s="7" t="s">
        <v>280</v>
      </c>
      <c r="T5054" s="9" t="s">
        <v>36</v>
      </c>
      <c r="U5054" s="7">
        <v>0.6</v>
      </c>
      <c r="V5054" s="12">
        <f>C5054+1</f>
        <v>39840</v>
      </c>
      <c r="W5054">
        <f>IF(D5054=' Pivot Tables'!$A$4,1,0)</f>
        <v>0</v>
      </c>
      <c r="X5054">
        <f>IF(AND(LEFT(D5054,4)+1=LEFT(' Pivot Tables'!$A$4,4)+0,RIGHT(LEFT(D5054,7),2)=RIGHT(LEFT(' Pivot Tables'!$A$4,7),2)),1,0)</f>
        <v>1</v>
      </c>
      <c r="Y5054" s="6">
        <f>1/COUNTIF(Таблица1[Order ID],Таблица1[[#This Row],[Order ID]])</f>
        <v>0.33333333333333331</v>
      </c>
      <c r="Z5054" s="9">
        <f>1/COUNTIFS(Таблица1[Customer Name],Таблица1[[#This Row],[Customer Name]],Таблица1[Order-Year-Month],Таблица1[[#This Row],[Order-Year-Month]])</f>
        <v>0.25</v>
      </c>
    </row>
    <row r="5055" spans="1:26" x14ac:dyDescent="0.2">
      <c r="A5055" s="6">
        <v>3438</v>
      </c>
      <c r="B5055" s="7">
        <v>24544</v>
      </c>
      <c r="C5055" s="8">
        <f>DATE(2012,12,31)-1435</f>
        <v>39839</v>
      </c>
      <c r="D5055" s="8" t="str">
        <f t="shared" si="94"/>
        <v>2009-01 (январь 2009)</v>
      </c>
      <c r="E5055" s="9" t="s">
        <v>30</v>
      </c>
      <c r="F5055" s="7">
        <v>39</v>
      </c>
      <c r="G5055" s="7">
        <v>1243.45</v>
      </c>
      <c r="H5055" s="7">
        <v>0.1</v>
      </c>
      <c r="I5055" s="9" t="s">
        <v>22</v>
      </c>
      <c r="J5055" s="10">
        <v>-1212.55</v>
      </c>
      <c r="K5055" s="11">
        <v>32.479999999999997</v>
      </c>
      <c r="L5055" s="11">
        <v>35</v>
      </c>
      <c r="M5055" s="9" t="s">
        <v>982</v>
      </c>
      <c r="N5055" s="6" t="s">
        <v>672</v>
      </c>
      <c r="O5055" s="6" t="s">
        <v>673</v>
      </c>
      <c r="P5055" s="9" t="s">
        <v>41</v>
      </c>
      <c r="Q5055" s="9" t="s">
        <v>26</v>
      </c>
      <c r="R5055" s="9" t="s">
        <v>27</v>
      </c>
      <c r="S5055" s="7" t="s">
        <v>483</v>
      </c>
      <c r="T5055" s="9" t="s">
        <v>29</v>
      </c>
      <c r="U5055" s="7">
        <v>0.81</v>
      </c>
      <c r="V5055" s="12">
        <f>C5055+1</f>
        <v>39840</v>
      </c>
      <c r="W5055">
        <f>IF(D5055=' Pivot Tables'!$A$4,1,0)</f>
        <v>0</v>
      </c>
      <c r="X5055">
        <f>IF(AND(LEFT(D5055,4)+1=LEFT(' Pivot Tables'!$A$4,4)+0,RIGHT(LEFT(D5055,7),2)=RIGHT(LEFT(' Pivot Tables'!$A$4,7),2)),1,0)</f>
        <v>1</v>
      </c>
      <c r="Y5055" s="6">
        <f>1/COUNTIF(Таблица1[Order ID],Таблица1[[#This Row],[Order ID]])</f>
        <v>0.33333333333333331</v>
      </c>
      <c r="Z5055" s="9">
        <f>1/COUNTIFS(Таблица1[Customer Name],Таблица1[[#This Row],[Customer Name]],Таблица1[Order-Year-Month],Таблица1[[#This Row],[Order-Year-Month]])</f>
        <v>0.25</v>
      </c>
    </row>
    <row r="5056" spans="1:26" x14ac:dyDescent="0.2">
      <c r="A5056" s="6">
        <v>3489</v>
      </c>
      <c r="B5056" s="7">
        <v>24865</v>
      </c>
      <c r="C5056" s="8">
        <f>DATE(2012,12,31)-287</f>
        <v>40987</v>
      </c>
      <c r="D5056" s="8" t="str">
        <f t="shared" si="94"/>
        <v>2012-03 (март 2012)</v>
      </c>
      <c r="E5056" s="9" t="s">
        <v>30</v>
      </c>
      <c r="F5056" s="7">
        <v>46</v>
      </c>
      <c r="G5056" s="7">
        <v>175.23</v>
      </c>
      <c r="H5056" s="7">
        <v>0.04</v>
      </c>
      <c r="I5056" s="9" t="s">
        <v>22</v>
      </c>
      <c r="J5056" s="10">
        <v>-13.35</v>
      </c>
      <c r="K5056" s="11">
        <v>3.69</v>
      </c>
      <c r="L5056" s="11">
        <v>2.5</v>
      </c>
      <c r="M5056" s="9" t="s">
        <v>1842</v>
      </c>
      <c r="N5056" s="6" t="s">
        <v>672</v>
      </c>
      <c r="O5056" s="6" t="s">
        <v>673</v>
      </c>
      <c r="P5056" s="9" t="s">
        <v>33</v>
      </c>
      <c r="Q5056" s="9" t="s">
        <v>26</v>
      </c>
      <c r="R5056" s="9" t="s">
        <v>76</v>
      </c>
      <c r="S5056" s="7" t="s">
        <v>647</v>
      </c>
      <c r="T5056" s="9" t="s">
        <v>39</v>
      </c>
      <c r="U5056" s="7">
        <v>0.39</v>
      </c>
      <c r="V5056" s="12">
        <f>C5056+1</f>
        <v>40988</v>
      </c>
      <c r="W5056">
        <f>IF(D5056=' Pivot Tables'!$A$4,1,0)</f>
        <v>0</v>
      </c>
      <c r="X5056">
        <f>IF(AND(LEFT(D5056,4)+1=LEFT(' Pivot Tables'!$A$4,4)+0,RIGHT(LEFT(D5056,7),2)=RIGHT(LEFT(' Pivot Tables'!$A$4,7),2)),1,0)</f>
        <v>0</v>
      </c>
      <c r="Y5056" s="6">
        <f>1/COUNTIF(Таблица1[Order ID],Таблица1[[#This Row],[Order ID]])</f>
        <v>1</v>
      </c>
      <c r="Z5056" s="9">
        <f>1/COUNTIFS(Таблица1[Customer Name],Таблица1[[#This Row],[Customer Name]],Таблица1[Order-Year-Month],Таблица1[[#This Row],[Order-Year-Month]])</f>
        <v>1</v>
      </c>
    </row>
    <row r="5057" spans="1:26" x14ac:dyDescent="0.2">
      <c r="A5057" s="6">
        <v>3495</v>
      </c>
      <c r="B5057" s="7">
        <v>24902</v>
      </c>
      <c r="C5057" s="8">
        <f>DATE(2012,12,31)-950</f>
        <v>40324</v>
      </c>
      <c r="D5057" s="8" t="str">
        <f t="shared" si="94"/>
        <v>2010-05 (май 2010)</v>
      </c>
      <c r="E5057" s="9" t="s">
        <v>30</v>
      </c>
      <c r="F5057" s="7">
        <v>43</v>
      </c>
      <c r="G5057" s="7">
        <v>224.58</v>
      </c>
      <c r="H5057" s="7">
        <v>0.03</v>
      </c>
      <c r="I5057" s="9" t="s">
        <v>22</v>
      </c>
      <c r="J5057" s="10">
        <v>46.31</v>
      </c>
      <c r="K5057" s="11">
        <v>5.18</v>
      </c>
      <c r="L5057" s="11">
        <v>2.04</v>
      </c>
      <c r="M5057" s="9" t="s">
        <v>1876</v>
      </c>
      <c r="N5057" s="6" t="s">
        <v>672</v>
      </c>
      <c r="O5057" s="6" t="s">
        <v>673</v>
      </c>
      <c r="P5057" s="9" t="s">
        <v>33</v>
      </c>
      <c r="Q5057" s="9" t="s">
        <v>26</v>
      </c>
      <c r="R5057" s="9" t="s">
        <v>61</v>
      </c>
      <c r="S5057" s="7" t="s">
        <v>391</v>
      </c>
      <c r="T5057" s="9" t="s">
        <v>68</v>
      </c>
      <c r="U5057" s="7">
        <v>0.36</v>
      </c>
      <c r="V5057" s="12">
        <f t="shared" ref="V5057:V5062" si="95">C5057+2</f>
        <v>40326</v>
      </c>
      <c r="W5057">
        <f>IF(D5057=' Pivot Tables'!$A$4,1,0)</f>
        <v>0</v>
      </c>
      <c r="X5057">
        <f>IF(AND(LEFT(D5057,4)+1=LEFT(' Pivot Tables'!$A$4,4)+0,RIGHT(LEFT(D5057,7),2)=RIGHT(LEFT(' Pivot Tables'!$A$4,7),2)),1,0)</f>
        <v>0</v>
      </c>
      <c r="Y5057" s="6">
        <f>1/COUNTIF(Таблица1[Order ID],Таблица1[[#This Row],[Order ID]])</f>
        <v>1</v>
      </c>
      <c r="Z5057" s="9">
        <f>1/COUNTIFS(Таблица1[Customer Name],Таблица1[[#This Row],[Customer Name]],Таблица1[Order-Year-Month],Таблица1[[#This Row],[Order-Year-Month]])</f>
        <v>1</v>
      </c>
    </row>
    <row r="5058" spans="1:26" x14ac:dyDescent="0.2">
      <c r="A5058" s="6">
        <v>3555</v>
      </c>
      <c r="B5058" s="7">
        <v>25348</v>
      </c>
      <c r="C5058" s="8">
        <f>DATE(2012,12,31)-236</f>
        <v>41038</v>
      </c>
      <c r="D5058" s="8" t="str">
        <f t="shared" si="94"/>
        <v>2012-05 (май 2012)</v>
      </c>
      <c r="E5058" s="9" t="s">
        <v>78</v>
      </c>
      <c r="F5058" s="7">
        <v>6</v>
      </c>
      <c r="G5058" s="7">
        <v>343.36</v>
      </c>
      <c r="H5058" s="7">
        <v>0.08</v>
      </c>
      <c r="I5058" s="9" t="s">
        <v>22</v>
      </c>
      <c r="J5058" s="10">
        <v>-41.27</v>
      </c>
      <c r="K5058" s="11">
        <v>56.96</v>
      </c>
      <c r="L5058" s="11">
        <v>13.22</v>
      </c>
      <c r="M5058" s="9" t="s">
        <v>1857</v>
      </c>
      <c r="N5058" s="6" t="s">
        <v>672</v>
      </c>
      <c r="O5058" s="6" t="s">
        <v>673</v>
      </c>
      <c r="P5058" s="9" t="s">
        <v>25</v>
      </c>
      <c r="Q5058" s="9" t="s">
        <v>26</v>
      </c>
      <c r="R5058" s="9" t="s">
        <v>34</v>
      </c>
      <c r="S5058" s="7" t="s">
        <v>541</v>
      </c>
      <c r="T5058" s="9" t="s">
        <v>39</v>
      </c>
      <c r="U5058" s="7">
        <v>0.56000000000000005</v>
      </c>
      <c r="V5058" s="12">
        <f t="shared" si="95"/>
        <v>41040</v>
      </c>
      <c r="W5058">
        <f>IF(D5058=' Pivot Tables'!$A$4,1,0)</f>
        <v>0</v>
      </c>
      <c r="X5058">
        <f>IF(AND(LEFT(D5058,4)+1=LEFT(' Pivot Tables'!$A$4,4)+0,RIGHT(LEFT(D5058,7),2)=RIGHT(LEFT(' Pivot Tables'!$A$4,7),2)),1,0)</f>
        <v>0</v>
      </c>
      <c r="Y5058" s="6">
        <f>1/COUNTIF(Таблица1[Order ID],Таблица1[[#This Row],[Order ID]])</f>
        <v>0.5</v>
      </c>
      <c r="Z5058" s="9">
        <f>1/COUNTIFS(Таблица1[Customer Name],Таблица1[[#This Row],[Customer Name]],Таблица1[Order-Year-Month],Таблица1[[#This Row],[Order-Year-Month]])</f>
        <v>0.5</v>
      </c>
    </row>
    <row r="5059" spans="1:26" x14ac:dyDescent="0.2">
      <c r="A5059" s="6">
        <v>3556</v>
      </c>
      <c r="B5059" s="7">
        <v>25348</v>
      </c>
      <c r="C5059" s="8">
        <f>DATE(2012,12,31)-236</f>
        <v>41038</v>
      </c>
      <c r="D5059" s="8" t="str">
        <f t="shared" ref="D5059:D5122" si="96">TEXT(C5059,"гггг-ММ (ММММ гггг)")</f>
        <v>2012-05 (май 2012)</v>
      </c>
      <c r="E5059" s="9" t="s">
        <v>78</v>
      </c>
      <c r="F5059" s="7">
        <v>7</v>
      </c>
      <c r="G5059" s="7">
        <v>309.22149999999999</v>
      </c>
      <c r="H5059" s="7">
        <v>0.09</v>
      </c>
      <c r="I5059" s="9" t="s">
        <v>22</v>
      </c>
      <c r="J5059" s="10">
        <v>-68.299000000000007</v>
      </c>
      <c r="K5059" s="11">
        <v>55.99</v>
      </c>
      <c r="L5059" s="11">
        <v>1.25</v>
      </c>
      <c r="M5059" s="9" t="s">
        <v>1857</v>
      </c>
      <c r="N5059" s="6" t="s">
        <v>672</v>
      </c>
      <c r="O5059" s="6" t="s">
        <v>673</v>
      </c>
      <c r="P5059" s="9" t="s">
        <v>25</v>
      </c>
      <c r="Q5059" s="9" t="s">
        <v>42</v>
      </c>
      <c r="R5059" s="9" t="s">
        <v>43</v>
      </c>
      <c r="S5059" s="7" t="s">
        <v>946</v>
      </c>
      <c r="T5059" s="9" t="s">
        <v>52</v>
      </c>
      <c r="U5059" s="7">
        <v>0.35</v>
      </c>
      <c r="V5059" s="12">
        <f t="shared" si="95"/>
        <v>41040</v>
      </c>
      <c r="W5059">
        <f>IF(D5059=' Pivot Tables'!$A$4,1,0)</f>
        <v>0</v>
      </c>
      <c r="X5059">
        <f>IF(AND(LEFT(D5059,4)+1=LEFT(' Pivot Tables'!$A$4,4)+0,RIGHT(LEFT(D5059,7),2)=RIGHT(LEFT(' Pivot Tables'!$A$4,7),2)),1,0)</f>
        <v>0</v>
      </c>
      <c r="Y5059" s="6">
        <f>1/COUNTIF(Таблица1[Order ID],Таблица1[[#This Row],[Order ID]])</f>
        <v>0.5</v>
      </c>
      <c r="Z5059" s="9">
        <f>1/COUNTIFS(Таблица1[Customer Name],Таблица1[[#This Row],[Customer Name]],Таблица1[Order-Year-Month],Таблица1[[#This Row],[Order-Year-Month]])</f>
        <v>0.5</v>
      </c>
    </row>
    <row r="5060" spans="1:26" x14ac:dyDescent="0.2">
      <c r="A5060" s="6">
        <v>3557</v>
      </c>
      <c r="B5060" s="7">
        <v>25350</v>
      </c>
      <c r="C5060" s="8">
        <f>DATE(2012,12,31)-759</f>
        <v>40515</v>
      </c>
      <c r="D5060" s="8" t="str">
        <f t="shared" si="96"/>
        <v>2010-12 (декабрь 2010)</v>
      </c>
      <c r="E5060" s="9" t="s">
        <v>45</v>
      </c>
      <c r="F5060" s="7">
        <v>30</v>
      </c>
      <c r="G5060" s="7">
        <v>2477.9899999999998</v>
      </c>
      <c r="H5060" s="7">
        <v>0</v>
      </c>
      <c r="I5060" s="9" t="s">
        <v>22</v>
      </c>
      <c r="J5060" s="10">
        <v>747.68</v>
      </c>
      <c r="K5060" s="11">
        <v>80.98</v>
      </c>
      <c r="L5060" s="11">
        <v>4.5</v>
      </c>
      <c r="M5060" s="9" t="s">
        <v>1789</v>
      </c>
      <c r="N5060" s="6" t="s">
        <v>672</v>
      </c>
      <c r="O5060" s="6" t="s">
        <v>673</v>
      </c>
      <c r="P5060" s="9" t="s">
        <v>60</v>
      </c>
      <c r="Q5060" s="9" t="s">
        <v>26</v>
      </c>
      <c r="R5060" s="9" t="s">
        <v>34</v>
      </c>
      <c r="S5060" s="7" t="s">
        <v>1369</v>
      </c>
      <c r="T5060" s="9" t="s">
        <v>39</v>
      </c>
      <c r="U5060" s="7">
        <v>0.59</v>
      </c>
      <c r="V5060" s="12">
        <f t="shared" si="95"/>
        <v>40517</v>
      </c>
      <c r="W5060">
        <f>IF(D5060=' Pivot Tables'!$A$4,1,0)</f>
        <v>0</v>
      </c>
      <c r="X5060">
        <f>IF(AND(LEFT(D5060,4)+1=LEFT(' Pivot Tables'!$A$4,4)+0,RIGHT(LEFT(D5060,7),2)=RIGHT(LEFT(' Pivot Tables'!$A$4,7),2)),1,0)</f>
        <v>0</v>
      </c>
      <c r="Y5060" s="6">
        <f>1/COUNTIF(Таблица1[Order ID],Таблица1[[#This Row],[Order ID]])</f>
        <v>0.5</v>
      </c>
      <c r="Z5060" s="9">
        <f>1/COUNTIFS(Таблица1[Customer Name],Таблица1[[#This Row],[Customer Name]],Таблица1[Order-Year-Month],Таблица1[[#This Row],[Order-Year-Month]])</f>
        <v>0.5</v>
      </c>
    </row>
    <row r="5061" spans="1:26" x14ac:dyDescent="0.2">
      <c r="A5061" s="6">
        <v>3558</v>
      </c>
      <c r="B5061" s="7">
        <v>25350</v>
      </c>
      <c r="C5061" s="8">
        <f>DATE(2012,12,31)-759</f>
        <v>40515</v>
      </c>
      <c r="D5061" s="8" t="str">
        <f t="shared" si="96"/>
        <v>2010-12 (декабрь 2010)</v>
      </c>
      <c r="E5061" s="9" t="s">
        <v>45</v>
      </c>
      <c r="F5061" s="7">
        <v>23</v>
      </c>
      <c r="G5061" s="7">
        <v>48.83</v>
      </c>
      <c r="H5061" s="7">
        <v>0.06</v>
      </c>
      <c r="I5061" s="9" t="s">
        <v>22</v>
      </c>
      <c r="J5061" s="10">
        <v>1</v>
      </c>
      <c r="K5061" s="11">
        <v>2.1</v>
      </c>
      <c r="L5061" s="11">
        <v>0.7</v>
      </c>
      <c r="M5061" s="9" t="s">
        <v>1789</v>
      </c>
      <c r="N5061" s="6" t="s">
        <v>672</v>
      </c>
      <c r="O5061" s="6" t="s">
        <v>673</v>
      </c>
      <c r="P5061" s="9" t="s">
        <v>60</v>
      </c>
      <c r="Q5061" s="9" t="s">
        <v>26</v>
      </c>
      <c r="R5061" s="9" t="s">
        <v>95</v>
      </c>
      <c r="S5061" s="7" t="s">
        <v>1703</v>
      </c>
      <c r="T5061" s="9" t="s">
        <v>68</v>
      </c>
      <c r="U5061" s="7">
        <v>0.56999999999999995</v>
      </c>
      <c r="V5061" s="12">
        <f t="shared" si="95"/>
        <v>40517</v>
      </c>
      <c r="W5061">
        <f>IF(D5061=' Pivot Tables'!$A$4,1,0)</f>
        <v>0</v>
      </c>
      <c r="X5061">
        <f>IF(AND(LEFT(D5061,4)+1=LEFT(' Pivot Tables'!$A$4,4)+0,RIGHT(LEFT(D5061,7),2)=RIGHT(LEFT(' Pivot Tables'!$A$4,7),2)),1,0)</f>
        <v>0</v>
      </c>
      <c r="Y5061" s="6">
        <f>1/COUNTIF(Таблица1[Order ID],Таблица1[[#This Row],[Order ID]])</f>
        <v>0.5</v>
      </c>
      <c r="Z5061" s="9">
        <f>1/COUNTIFS(Таблица1[Customer Name],Таблица1[[#This Row],[Customer Name]],Таблица1[Order-Year-Month],Таблица1[[#This Row],[Order-Year-Month]])</f>
        <v>0.5</v>
      </c>
    </row>
    <row r="5062" spans="1:26" x14ac:dyDescent="0.2">
      <c r="A5062" s="6">
        <v>3582</v>
      </c>
      <c r="B5062" s="7">
        <v>25541</v>
      </c>
      <c r="C5062" s="8">
        <f>DATE(2012,12,31)-1448</f>
        <v>39826</v>
      </c>
      <c r="D5062" s="8" t="str">
        <f t="shared" si="96"/>
        <v>2009-01 (январь 2009)</v>
      </c>
      <c r="E5062" s="9" t="s">
        <v>21</v>
      </c>
      <c r="F5062" s="7">
        <v>50</v>
      </c>
      <c r="G5062" s="7">
        <v>297.76</v>
      </c>
      <c r="H5062" s="7">
        <v>7.0000000000000007E-2</v>
      </c>
      <c r="I5062" s="9" t="s">
        <v>22</v>
      </c>
      <c r="J5062" s="10">
        <v>-111.34</v>
      </c>
      <c r="K5062" s="11">
        <v>5.98</v>
      </c>
      <c r="L5062" s="11">
        <v>5.79</v>
      </c>
      <c r="M5062" s="9" t="s">
        <v>1876</v>
      </c>
      <c r="N5062" s="6" t="s">
        <v>672</v>
      </c>
      <c r="O5062" s="6" t="s">
        <v>673</v>
      </c>
      <c r="P5062" s="9" t="s">
        <v>33</v>
      </c>
      <c r="Q5062" s="9" t="s">
        <v>26</v>
      </c>
      <c r="R5062" s="9" t="s">
        <v>61</v>
      </c>
      <c r="S5062" s="7" t="s">
        <v>935</v>
      </c>
      <c r="T5062" s="9" t="s">
        <v>39</v>
      </c>
      <c r="U5062" s="7">
        <v>0.36</v>
      </c>
      <c r="V5062" s="12">
        <f t="shared" si="95"/>
        <v>39828</v>
      </c>
      <c r="W5062">
        <f>IF(D5062=' Pivot Tables'!$A$4,1,0)</f>
        <v>0</v>
      </c>
      <c r="X5062">
        <f>IF(AND(LEFT(D5062,4)+1=LEFT(' Pivot Tables'!$A$4,4)+0,RIGHT(LEFT(D5062,7),2)=RIGHT(LEFT(' Pivot Tables'!$A$4,7),2)),1,0)</f>
        <v>1</v>
      </c>
      <c r="Y5062" s="6">
        <f>1/COUNTIF(Таблица1[Order ID],Таблица1[[#This Row],[Order ID]])</f>
        <v>1</v>
      </c>
      <c r="Z5062" s="9">
        <f>1/COUNTIFS(Таблица1[Customer Name],Таблица1[[#This Row],[Customer Name]],Таблица1[Order-Year-Month],Таблица1[[#This Row],[Order-Year-Month]])</f>
        <v>1</v>
      </c>
    </row>
    <row r="5063" spans="1:26" x14ac:dyDescent="0.2">
      <c r="A5063" s="6">
        <v>3588</v>
      </c>
      <c r="B5063" s="7">
        <v>25601</v>
      </c>
      <c r="C5063" s="8">
        <f>DATE(2012,12,31)-1456</f>
        <v>39818</v>
      </c>
      <c r="D5063" s="8" t="str">
        <f t="shared" si="96"/>
        <v>2009-01 (январь 2009)</v>
      </c>
      <c r="E5063" s="9" t="s">
        <v>63</v>
      </c>
      <c r="F5063" s="7">
        <v>43</v>
      </c>
      <c r="G5063" s="7">
        <v>257.41000000000003</v>
      </c>
      <c r="H5063" s="7">
        <v>0.09</v>
      </c>
      <c r="I5063" s="9" t="s">
        <v>22</v>
      </c>
      <c r="J5063" s="10">
        <v>-131.08000000000001</v>
      </c>
      <c r="K5063" s="11">
        <v>5.98</v>
      </c>
      <c r="L5063" s="11">
        <v>4.6900000000000004</v>
      </c>
      <c r="M5063" s="9" t="s">
        <v>1846</v>
      </c>
      <c r="N5063" s="6" t="s">
        <v>672</v>
      </c>
      <c r="O5063" s="6" t="s">
        <v>673</v>
      </c>
      <c r="P5063" s="9" t="s">
        <v>41</v>
      </c>
      <c r="Q5063" s="9" t="s">
        <v>26</v>
      </c>
      <c r="R5063" s="9" t="s">
        <v>27</v>
      </c>
      <c r="S5063" s="7" t="s">
        <v>505</v>
      </c>
      <c r="T5063" s="9" t="s">
        <v>39</v>
      </c>
      <c r="U5063" s="7">
        <v>0.68</v>
      </c>
      <c r="V5063" s="12">
        <f>C5063+1</f>
        <v>39819</v>
      </c>
      <c r="W5063">
        <f>IF(D5063=' Pivot Tables'!$A$4,1,0)</f>
        <v>0</v>
      </c>
      <c r="X5063">
        <f>IF(AND(LEFT(D5063,4)+1=LEFT(' Pivot Tables'!$A$4,4)+0,RIGHT(LEFT(D5063,7),2)=RIGHT(LEFT(' Pivot Tables'!$A$4,7),2)),1,0)</f>
        <v>1</v>
      </c>
      <c r="Y5063" s="6">
        <f>1/COUNTIF(Таблица1[Order ID],Таблица1[[#This Row],[Order ID]])</f>
        <v>1</v>
      </c>
      <c r="Z5063" s="9">
        <f>1/COUNTIFS(Таблица1[Customer Name],Таблица1[[#This Row],[Customer Name]],Таблица1[Order-Year-Month],Таблица1[[#This Row],[Order-Year-Month]])</f>
        <v>1</v>
      </c>
    </row>
    <row r="5064" spans="1:26" x14ac:dyDescent="0.2">
      <c r="A5064" s="6">
        <v>3615</v>
      </c>
      <c r="B5064" s="7">
        <v>25828</v>
      </c>
      <c r="C5064" s="8">
        <f>DATE(2012,12,31)-769</f>
        <v>40505</v>
      </c>
      <c r="D5064" s="8" t="str">
        <f t="shared" si="96"/>
        <v>2010-11 (ноябрь 2010)</v>
      </c>
      <c r="E5064" s="9" t="s">
        <v>45</v>
      </c>
      <c r="F5064" s="7">
        <v>35</v>
      </c>
      <c r="G5064" s="7">
        <v>241.43</v>
      </c>
      <c r="H5064" s="7">
        <v>0.01</v>
      </c>
      <c r="I5064" s="9" t="s">
        <v>22</v>
      </c>
      <c r="J5064" s="10">
        <v>-65.8</v>
      </c>
      <c r="K5064" s="11">
        <v>6.84</v>
      </c>
      <c r="L5064" s="11">
        <v>4.42</v>
      </c>
      <c r="M5064" s="9" t="s">
        <v>1552</v>
      </c>
      <c r="N5064" s="6" t="s">
        <v>672</v>
      </c>
      <c r="O5064" s="6" t="s">
        <v>673</v>
      </c>
      <c r="P5064" s="9" t="s">
        <v>25</v>
      </c>
      <c r="Q5064" s="9" t="s">
        <v>26</v>
      </c>
      <c r="R5064" s="9" t="s">
        <v>150</v>
      </c>
      <c r="S5064" s="7" t="s">
        <v>1356</v>
      </c>
      <c r="T5064" s="9" t="s">
        <v>52</v>
      </c>
      <c r="U5064" s="7">
        <v>0.57999999999999996</v>
      </c>
      <c r="V5064" s="12">
        <f>C5064+2</f>
        <v>40507</v>
      </c>
      <c r="W5064">
        <f>IF(D5064=' Pivot Tables'!$A$4,1,0)</f>
        <v>0</v>
      </c>
      <c r="X5064">
        <f>IF(AND(LEFT(D5064,4)+1=LEFT(' Pivot Tables'!$A$4,4)+0,RIGHT(LEFT(D5064,7),2)=RIGHT(LEFT(' Pivot Tables'!$A$4,7),2)),1,0)</f>
        <v>0</v>
      </c>
      <c r="Y5064" s="6">
        <f>1/COUNTIF(Таблица1[Order ID],Таблица1[[#This Row],[Order ID]])</f>
        <v>0.33333333333333331</v>
      </c>
      <c r="Z5064" s="9">
        <f>1/COUNTIFS(Таблица1[Customer Name],Таблица1[[#This Row],[Customer Name]],Таблица1[Order-Year-Month],Таблица1[[#This Row],[Order-Year-Month]])</f>
        <v>0.33333333333333331</v>
      </c>
    </row>
    <row r="5065" spans="1:26" x14ac:dyDescent="0.2">
      <c r="A5065" s="6">
        <v>3656</v>
      </c>
      <c r="B5065" s="7">
        <v>26176</v>
      </c>
      <c r="C5065" s="8">
        <f>DATE(2012,12,31)-408</f>
        <v>40866</v>
      </c>
      <c r="D5065" s="8" t="str">
        <f t="shared" si="96"/>
        <v>2011-11 (ноябрь 2011)</v>
      </c>
      <c r="E5065" s="9" t="s">
        <v>30</v>
      </c>
      <c r="F5065" s="7">
        <v>14</v>
      </c>
      <c r="G5065" s="7">
        <v>94.32</v>
      </c>
      <c r="H5065" s="7">
        <v>0.06</v>
      </c>
      <c r="I5065" s="9" t="s">
        <v>22</v>
      </c>
      <c r="J5065" s="10">
        <v>-66.87</v>
      </c>
      <c r="K5065" s="11">
        <v>6.48</v>
      </c>
      <c r="L5065" s="11">
        <v>8.19</v>
      </c>
      <c r="M5065" s="9" t="s">
        <v>1631</v>
      </c>
      <c r="N5065" s="6" t="s">
        <v>672</v>
      </c>
      <c r="O5065" s="6" t="s">
        <v>673</v>
      </c>
      <c r="P5065" s="9" t="s">
        <v>60</v>
      </c>
      <c r="Q5065" s="9" t="s">
        <v>26</v>
      </c>
      <c r="R5065" s="9" t="s">
        <v>61</v>
      </c>
      <c r="S5065" s="7" t="s">
        <v>176</v>
      </c>
      <c r="T5065" s="9" t="s">
        <v>39</v>
      </c>
      <c r="U5065" s="7">
        <v>0.37</v>
      </c>
      <c r="V5065" s="12">
        <f>C5065+2</f>
        <v>40868</v>
      </c>
      <c r="W5065">
        <f>IF(D5065=' Pivot Tables'!$A$4,1,0)</f>
        <v>0</v>
      </c>
      <c r="X5065">
        <f>IF(AND(LEFT(D5065,4)+1=LEFT(' Pivot Tables'!$A$4,4)+0,RIGHT(LEFT(D5065,7),2)=RIGHT(LEFT(' Pivot Tables'!$A$4,7),2)),1,0)</f>
        <v>0</v>
      </c>
      <c r="Y5065" s="6">
        <f>1/COUNTIF(Таблица1[Order ID],Таблица1[[#This Row],[Order ID]])</f>
        <v>0.5</v>
      </c>
      <c r="Z5065" s="9">
        <f>1/COUNTIFS(Таблица1[Customer Name],Таблица1[[#This Row],[Customer Name]],Таблица1[Order-Year-Month],Таблица1[[#This Row],[Order-Year-Month]])</f>
        <v>0.5</v>
      </c>
    </row>
    <row r="5066" spans="1:26" x14ac:dyDescent="0.2">
      <c r="A5066" s="6">
        <v>3657</v>
      </c>
      <c r="B5066" s="7">
        <v>26176</v>
      </c>
      <c r="C5066" s="8">
        <f>DATE(2012,12,31)-408</f>
        <v>40866</v>
      </c>
      <c r="D5066" s="8" t="str">
        <f t="shared" si="96"/>
        <v>2011-11 (ноябрь 2011)</v>
      </c>
      <c r="E5066" s="9" t="s">
        <v>30</v>
      </c>
      <c r="F5066" s="7">
        <v>30</v>
      </c>
      <c r="G5066" s="7">
        <v>554.42949999999996</v>
      </c>
      <c r="H5066" s="7">
        <v>0.03</v>
      </c>
      <c r="I5066" s="9" t="s">
        <v>22</v>
      </c>
      <c r="J5066" s="10">
        <v>34.010999999999996</v>
      </c>
      <c r="K5066" s="11">
        <v>20.99</v>
      </c>
      <c r="L5066" s="11">
        <v>4.8099999999999996</v>
      </c>
      <c r="M5066" s="9" t="s">
        <v>1631</v>
      </c>
      <c r="N5066" s="6" t="s">
        <v>672</v>
      </c>
      <c r="O5066" s="6" t="s">
        <v>673</v>
      </c>
      <c r="P5066" s="9" t="s">
        <v>60</v>
      </c>
      <c r="Q5066" s="9" t="s">
        <v>42</v>
      </c>
      <c r="R5066" s="9" t="s">
        <v>43</v>
      </c>
      <c r="S5066" s="7" t="s">
        <v>760</v>
      </c>
      <c r="T5066" s="9" t="s">
        <v>48</v>
      </c>
      <c r="U5066" s="7">
        <v>0.57999999999999996</v>
      </c>
      <c r="V5066" s="12">
        <f>C5066+1</f>
        <v>40867</v>
      </c>
      <c r="W5066">
        <f>IF(D5066=' Pivot Tables'!$A$4,1,0)</f>
        <v>0</v>
      </c>
      <c r="X5066">
        <f>IF(AND(LEFT(D5066,4)+1=LEFT(' Pivot Tables'!$A$4,4)+0,RIGHT(LEFT(D5066,7),2)=RIGHT(LEFT(' Pivot Tables'!$A$4,7),2)),1,0)</f>
        <v>0</v>
      </c>
      <c r="Y5066" s="6">
        <f>1/COUNTIF(Таблица1[Order ID],Таблица1[[#This Row],[Order ID]])</f>
        <v>0.5</v>
      </c>
      <c r="Z5066" s="9">
        <f>1/COUNTIFS(Таблица1[Customer Name],Таблица1[[#This Row],[Customer Name]],Таблица1[Order-Year-Month],Таблица1[[#This Row],[Order-Year-Month]])</f>
        <v>0.5</v>
      </c>
    </row>
    <row r="5067" spans="1:26" x14ac:dyDescent="0.2">
      <c r="A5067" s="6">
        <v>3682</v>
      </c>
      <c r="B5067" s="7">
        <v>26337</v>
      </c>
      <c r="C5067" s="8">
        <f>DATE(2012,12,31)-1150</f>
        <v>40124</v>
      </c>
      <c r="D5067" s="8" t="str">
        <f t="shared" si="96"/>
        <v>2009-11 (ноябрь 2009)</v>
      </c>
      <c r="E5067" s="9" t="s">
        <v>78</v>
      </c>
      <c r="F5067" s="7">
        <v>45</v>
      </c>
      <c r="G5067" s="7">
        <v>153.27000000000001</v>
      </c>
      <c r="H5067" s="7">
        <v>0.08</v>
      </c>
      <c r="I5067" s="9" t="s">
        <v>22</v>
      </c>
      <c r="J5067" s="10">
        <v>60.29</v>
      </c>
      <c r="K5067" s="11">
        <v>3.69</v>
      </c>
      <c r="L5067" s="11">
        <v>0.5</v>
      </c>
      <c r="M5067" s="9" t="s">
        <v>339</v>
      </c>
      <c r="N5067" s="6" t="s">
        <v>672</v>
      </c>
      <c r="O5067" s="6" t="s">
        <v>673</v>
      </c>
      <c r="P5067" s="9" t="s">
        <v>25</v>
      </c>
      <c r="Q5067" s="9" t="s">
        <v>26</v>
      </c>
      <c r="R5067" s="9" t="s">
        <v>88</v>
      </c>
      <c r="S5067" s="7" t="s">
        <v>202</v>
      </c>
      <c r="T5067" s="9" t="s">
        <v>39</v>
      </c>
      <c r="U5067" s="7">
        <v>0.38</v>
      </c>
      <c r="V5067" s="12">
        <f>C5067+3</f>
        <v>40127</v>
      </c>
      <c r="W5067">
        <f>IF(D5067=' Pivot Tables'!$A$4,1,0)</f>
        <v>0</v>
      </c>
      <c r="X5067">
        <f>IF(AND(LEFT(D5067,4)+1=LEFT(' Pivot Tables'!$A$4,4)+0,RIGHT(LEFT(D5067,7),2)=RIGHT(LEFT(' Pivot Tables'!$A$4,7),2)),1,0)</f>
        <v>0</v>
      </c>
      <c r="Y5067" s="6">
        <f>1/COUNTIF(Таблица1[Order ID],Таблица1[[#This Row],[Order ID]])</f>
        <v>1</v>
      </c>
      <c r="Z5067" s="9">
        <f>1/COUNTIFS(Таблица1[Customer Name],Таблица1[[#This Row],[Customer Name]],Таблица1[Order-Year-Month],Таблица1[[#This Row],[Order-Year-Month]])</f>
        <v>1</v>
      </c>
    </row>
    <row r="5068" spans="1:26" x14ac:dyDescent="0.2">
      <c r="A5068" s="6">
        <v>3712</v>
      </c>
      <c r="B5068" s="7">
        <v>26503</v>
      </c>
      <c r="C5068" s="8">
        <f>DATE(2012,12,31)-620</f>
        <v>40654</v>
      </c>
      <c r="D5068" s="8" t="str">
        <f t="shared" si="96"/>
        <v>2011-04 (апрель 2011)</v>
      </c>
      <c r="E5068" s="9" t="s">
        <v>63</v>
      </c>
      <c r="F5068" s="7">
        <v>47</v>
      </c>
      <c r="G5068" s="7">
        <v>671.78</v>
      </c>
      <c r="H5068" s="7">
        <v>0.1</v>
      </c>
      <c r="I5068" s="9" t="s">
        <v>22</v>
      </c>
      <c r="J5068" s="10">
        <v>297.23</v>
      </c>
      <c r="K5068" s="11">
        <v>15.57</v>
      </c>
      <c r="L5068" s="11">
        <v>1.39</v>
      </c>
      <c r="M5068" s="9" t="s">
        <v>1848</v>
      </c>
      <c r="N5068" s="6" t="s">
        <v>672</v>
      </c>
      <c r="O5068" s="6" t="s">
        <v>673</v>
      </c>
      <c r="P5068" s="9" t="s">
        <v>25</v>
      </c>
      <c r="Q5068" s="9" t="s">
        <v>26</v>
      </c>
      <c r="R5068" s="9" t="s">
        <v>76</v>
      </c>
      <c r="S5068" s="7" t="s">
        <v>1176</v>
      </c>
      <c r="T5068" s="9" t="s">
        <v>39</v>
      </c>
      <c r="U5068" s="7">
        <v>0.38</v>
      </c>
      <c r="V5068" s="12">
        <f>C5068+2</f>
        <v>40656</v>
      </c>
      <c r="W5068">
        <f>IF(D5068=' Pivot Tables'!$A$4,1,0)</f>
        <v>0</v>
      </c>
      <c r="X5068">
        <f>IF(AND(LEFT(D5068,4)+1=LEFT(' Pivot Tables'!$A$4,4)+0,RIGHT(LEFT(D5068,7),2)=RIGHT(LEFT(' Pivot Tables'!$A$4,7),2)),1,0)</f>
        <v>0</v>
      </c>
      <c r="Y5068" s="6">
        <f>1/COUNTIF(Таблица1[Order ID],Таблица1[[#This Row],[Order ID]])</f>
        <v>0.5</v>
      </c>
      <c r="Z5068" s="9">
        <f>1/COUNTIFS(Таблица1[Customer Name],Таблица1[[#This Row],[Customer Name]],Таблица1[Order-Year-Month],Таблица1[[#This Row],[Order-Year-Month]])</f>
        <v>0.5</v>
      </c>
    </row>
    <row r="5069" spans="1:26" x14ac:dyDescent="0.2">
      <c r="A5069" s="6">
        <v>3713</v>
      </c>
      <c r="B5069" s="7">
        <v>26503</v>
      </c>
      <c r="C5069" s="8">
        <f>DATE(2012,12,31)-620</f>
        <v>40654</v>
      </c>
      <c r="D5069" s="8" t="str">
        <f t="shared" si="96"/>
        <v>2011-04 (апрель 2011)</v>
      </c>
      <c r="E5069" s="9" t="s">
        <v>63</v>
      </c>
      <c r="F5069" s="7">
        <v>12</v>
      </c>
      <c r="G5069" s="7">
        <v>262.08999999999997</v>
      </c>
      <c r="H5069" s="7">
        <v>0.01</v>
      </c>
      <c r="I5069" s="9" t="s">
        <v>22</v>
      </c>
      <c r="J5069" s="10">
        <v>58.69</v>
      </c>
      <c r="K5069" s="11">
        <v>19.98</v>
      </c>
      <c r="L5069" s="11">
        <v>10.49</v>
      </c>
      <c r="M5069" s="9" t="s">
        <v>1848</v>
      </c>
      <c r="N5069" s="6" t="s">
        <v>672</v>
      </c>
      <c r="O5069" s="6" t="s">
        <v>673</v>
      </c>
      <c r="P5069" s="9" t="s">
        <v>25</v>
      </c>
      <c r="Q5069" s="9" t="s">
        <v>49</v>
      </c>
      <c r="R5069" s="9" t="s">
        <v>50</v>
      </c>
      <c r="S5069" s="7" t="s">
        <v>163</v>
      </c>
      <c r="T5069" s="9" t="s">
        <v>39</v>
      </c>
      <c r="U5069" s="7">
        <v>0.49</v>
      </c>
      <c r="V5069" s="12">
        <f>C5069+1</f>
        <v>40655</v>
      </c>
      <c r="W5069">
        <f>IF(D5069=' Pivot Tables'!$A$4,1,0)</f>
        <v>0</v>
      </c>
      <c r="X5069">
        <f>IF(AND(LEFT(D5069,4)+1=LEFT(' Pivot Tables'!$A$4,4)+0,RIGHT(LEFT(D5069,7),2)=RIGHT(LEFT(' Pivot Tables'!$A$4,7),2)),1,0)</f>
        <v>0</v>
      </c>
      <c r="Y5069" s="6">
        <f>1/COUNTIF(Таблица1[Order ID],Таблица1[[#This Row],[Order ID]])</f>
        <v>0.5</v>
      </c>
      <c r="Z5069" s="9">
        <f>1/COUNTIFS(Таблица1[Customer Name],Таблица1[[#This Row],[Customer Name]],Таблица1[Order-Year-Month],Таблица1[[#This Row],[Order-Year-Month]])</f>
        <v>0.5</v>
      </c>
    </row>
    <row r="5070" spans="1:26" x14ac:dyDescent="0.2">
      <c r="A5070" s="6">
        <v>3728</v>
      </c>
      <c r="B5070" s="7">
        <v>26657</v>
      </c>
      <c r="C5070" s="8">
        <f>DATE(2012,12,31)-93</f>
        <v>41181</v>
      </c>
      <c r="D5070" s="8" t="str">
        <f t="shared" si="96"/>
        <v>2012-09 (сентябрь 2012)</v>
      </c>
      <c r="E5070" s="9" t="s">
        <v>63</v>
      </c>
      <c r="F5070" s="7">
        <v>28</v>
      </c>
      <c r="G5070" s="7">
        <v>1107.6400000000001</v>
      </c>
      <c r="H5070" s="7">
        <v>0.06</v>
      </c>
      <c r="I5070" s="9" t="s">
        <v>22</v>
      </c>
      <c r="J5070" s="10">
        <v>333.17450000000002</v>
      </c>
      <c r="K5070" s="11">
        <v>40.98</v>
      </c>
      <c r="L5070" s="11">
        <v>7.47</v>
      </c>
      <c r="M5070" s="9" t="s">
        <v>1789</v>
      </c>
      <c r="N5070" s="6" t="s">
        <v>672</v>
      </c>
      <c r="O5070" s="6" t="s">
        <v>673</v>
      </c>
      <c r="P5070" s="9" t="s">
        <v>60</v>
      </c>
      <c r="Q5070" s="9" t="s">
        <v>26</v>
      </c>
      <c r="R5070" s="9" t="s">
        <v>37</v>
      </c>
      <c r="S5070" s="7" t="s">
        <v>591</v>
      </c>
      <c r="T5070" s="9" t="s">
        <v>39</v>
      </c>
      <c r="U5070" s="7">
        <v>0.37</v>
      </c>
      <c r="V5070" s="12">
        <f>C5070+2</f>
        <v>41183</v>
      </c>
      <c r="W5070">
        <f>IF(D5070=' Pivot Tables'!$A$4,1,0)</f>
        <v>0</v>
      </c>
      <c r="X5070">
        <f>IF(AND(LEFT(D5070,4)+1=LEFT(' Pivot Tables'!$A$4,4)+0,RIGHT(LEFT(D5070,7),2)=RIGHT(LEFT(' Pivot Tables'!$A$4,7),2)),1,0)</f>
        <v>0</v>
      </c>
      <c r="Y5070" s="6">
        <f>1/COUNTIF(Таблица1[Order ID],Таблица1[[#This Row],[Order ID]])</f>
        <v>1</v>
      </c>
      <c r="Z5070" s="9">
        <f>1/COUNTIFS(Таблица1[Customer Name],Таблица1[[#This Row],[Customer Name]],Таблица1[Order-Year-Month],Таблица1[[#This Row],[Order-Year-Month]])</f>
        <v>1</v>
      </c>
    </row>
    <row r="5071" spans="1:26" x14ac:dyDescent="0.2">
      <c r="A5071" s="6">
        <v>3752</v>
      </c>
      <c r="B5071" s="7">
        <v>26787</v>
      </c>
      <c r="C5071" s="8">
        <f>DATE(2012,12,31)-469</f>
        <v>40805</v>
      </c>
      <c r="D5071" s="8" t="str">
        <f t="shared" si="96"/>
        <v>2011-09 (сентябрь 2011)</v>
      </c>
      <c r="E5071" s="9" t="s">
        <v>30</v>
      </c>
      <c r="F5071" s="7">
        <v>25</v>
      </c>
      <c r="G5071" s="7">
        <v>1119.9100000000001</v>
      </c>
      <c r="H5071" s="7">
        <v>0.08</v>
      </c>
      <c r="I5071" s="9" t="s">
        <v>56</v>
      </c>
      <c r="J5071" s="10">
        <v>434.71</v>
      </c>
      <c r="K5071" s="11">
        <v>48.04</v>
      </c>
      <c r="L5071" s="11">
        <v>5.79</v>
      </c>
      <c r="M5071" s="9" t="s">
        <v>1884</v>
      </c>
      <c r="N5071" s="6" t="s">
        <v>672</v>
      </c>
      <c r="O5071" s="6" t="s">
        <v>673</v>
      </c>
      <c r="P5071" s="9" t="s">
        <v>25</v>
      </c>
      <c r="Q5071" s="9" t="s">
        <v>26</v>
      </c>
      <c r="R5071" s="9" t="s">
        <v>61</v>
      </c>
      <c r="S5071" s="7" t="s">
        <v>940</v>
      </c>
      <c r="T5071" s="9" t="s">
        <v>39</v>
      </c>
      <c r="U5071" s="7">
        <v>0.37</v>
      </c>
      <c r="V5071" s="12">
        <f>C5071+2</f>
        <v>40807</v>
      </c>
      <c r="W5071">
        <f>IF(D5071=' Pivot Tables'!$A$4,1,0)</f>
        <v>0</v>
      </c>
      <c r="X5071">
        <f>IF(AND(LEFT(D5071,4)+1=LEFT(' Pivot Tables'!$A$4,4)+0,RIGHT(LEFT(D5071,7),2)=RIGHT(LEFT(' Pivot Tables'!$A$4,7),2)),1,0)</f>
        <v>0</v>
      </c>
      <c r="Y5071" s="6">
        <f>1/COUNTIF(Таблица1[Order ID],Таблица1[[#This Row],[Order ID]])</f>
        <v>1</v>
      </c>
      <c r="Z5071" s="9">
        <f>1/COUNTIFS(Таблица1[Customer Name],Таблица1[[#This Row],[Customer Name]],Таблица1[Order-Year-Month],Таблица1[[#This Row],[Order-Year-Month]])</f>
        <v>1</v>
      </c>
    </row>
    <row r="5072" spans="1:26" x14ac:dyDescent="0.2">
      <c r="A5072" s="6">
        <v>3769</v>
      </c>
      <c r="B5072" s="7">
        <v>26919</v>
      </c>
      <c r="C5072" s="8">
        <f>DATE(2012,12,31)-21</f>
        <v>41253</v>
      </c>
      <c r="D5072" s="8" t="str">
        <f t="shared" si="96"/>
        <v>2012-12 (декабрь 2012)</v>
      </c>
      <c r="E5072" s="9" t="s">
        <v>21</v>
      </c>
      <c r="F5072" s="7">
        <v>12</v>
      </c>
      <c r="G5072" s="7">
        <v>3534.56</v>
      </c>
      <c r="H5072" s="7">
        <v>0.03</v>
      </c>
      <c r="I5072" s="9" t="s">
        <v>22</v>
      </c>
      <c r="J5072" s="10">
        <v>763.32</v>
      </c>
      <c r="K5072" s="11">
        <v>300.64999999999998</v>
      </c>
      <c r="L5072" s="11">
        <v>24.49</v>
      </c>
      <c r="M5072" s="9" t="s">
        <v>1855</v>
      </c>
      <c r="N5072" s="6" t="s">
        <v>672</v>
      </c>
      <c r="O5072" s="6" t="s">
        <v>673</v>
      </c>
      <c r="P5072" s="9" t="s">
        <v>60</v>
      </c>
      <c r="Q5072" s="9" t="s">
        <v>26</v>
      </c>
      <c r="R5072" s="9" t="s">
        <v>34</v>
      </c>
      <c r="S5072" s="7" t="s">
        <v>378</v>
      </c>
      <c r="T5072" s="9" t="s">
        <v>29</v>
      </c>
      <c r="U5072" s="7">
        <v>0.52</v>
      </c>
      <c r="V5072" s="12">
        <f>C5072+2</f>
        <v>41255</v>
      </c>
      <c r="W5072">
        <f>IF(D5072=' Pivot Tables'!$A$4,1,0)</f>
        <v>0</v>
      </c>
      <c r="X5072">
        <f>IF(AND(LEFT(D5072,4)+1=LEFT(' Pivot Tables'!$A$4,4)+0,RIGHT(LEFT(D5072,7),2)=RIGHT(LEFT(' Pivot Tables'!$A$4,7),2)),1,0)</f>
        <v>0</v>
      </c>
      <c r="Y5072" s="6">
        <f>1/COUNTIF(Таблица1[Order ID],Таблица1[[#This Row],[Order ID]])</f>
        <v>0.5</v>
      </c>
      <c r="Z5072" s="9">
        <f>1/COUNTIFS(Таблица1[Customer Name],Таблица1[[#This Row],[Customer Name]],Таблица1[Order-Year-Month],Таблица1[[#This Row],[Order-Year-Month]])</f>
        <v>0.5</v>
      </c>
    </row>
    <row r="5073" spans="1:26" x14ac:dyDescent="0.2">
      <c r="A5073" s="6">
        <v>3770</v>
      </c>
      <c r="B5073" s="7">
        <v>26919</v>
      </c>
      <c r="C5073" s="8">
        <f>DATE(2012,12,31)-21</f>
        <v>41253</v>
      </c>
      <c r="D5073" s="8" t="str">
        <f t="shared" si="96"/>
        <v>2012-12 (декабрь 2012)</v>
      </c>
      <c r="E5073" s="9" t="s">
        <v>21</v>
      </c>
      <c r="F5073" s="7">
        <v>32</v>
      </c>
      <c r="G5073" s="7">
        <v>155.27000000000001</v>
      </c>
      <c r="H5073" s="7">
        <v>0.1</v>
      </c>
      <c r="I5073" s="9" t="s">
        <v>22</v>
      </c>
      <c r="J5073" s="10">
        <v>-151.55000000000001</v>
      </c>
      <c r="K5073" s="11">
        <v>4.9800000000000004</v>
      </c>
      <c r="L5073" s="11">
        <v>7.54</v>
      </c>
      <c r="M5073" s="9" t="s">
        <v>1855</v>
      </c>
      <c r="N5073" s="6" t="s">
        <v>672</v>
      </c>
      <c r="O5073" s="6" t="s">
        <v>673</v>
      </c>
      <c r="P5073" s="9" t="s">
        <v>60</v>
      </c>
      <c r="Q5073" s="9" t="s">
        <v>26</v>
      </c>
      <c r="R5073" s="9" t="s">
        <v>61</v>
      </c>
      <c r="S5073" s="7" t="s">
        <v>1554</v>
      </c>
      <c r="T5073" s="9" t="s">
        <v>39</v>
      </c>
      <c r="U5073" s="7">
        <v>0.38</v>
      </c>
      <c r="V5073" s="12">
        <f>C5073+2</f>
        <v>41255</v>
      </c>
      <c r="W5073">
        <f>IF(D5073=' Pivot Tables'!$A$4,1,0)</f>
        <v>0</v>
      </c>
      <c r="X5073">
        <f>IF(AND(LEFT(D5073,4)+1=LEFT(' Pivot Tables'!$A$4,4)+0,RIGHT(LEFT(D5073,7),2)=RIGHT(LEFT(' Pivot Tables'!$A$4,7),2)),1,0)</f>
        <v>0</v>
      </c>
      <c r="Y5073" s="6">
        <f>1/COUNTIF(Таблица1[Order ID],Таблица1[[#This Row],[Order ID]])</f>
        <v>0.5</v>
      </c>
      <c r="Z5073" s="9">
        <f>1/COUNTIFS(Таблица1[Customer Name],Таблица1[[#This Row],[Customer Name]],Таблица1[Order-Year-Month],Таблица1[[#This Row],[Order-Year-Month]])</f>
        <v>0.5</v>
      </c>
    </row>
    <row r="5074" spans="1:26" x14ac:dyDescent="0.2">
      <c r="A5074" s="6">
        <v>3772</v>
      </c>
      <c r="B5074" s="7">
        <v>26945</v>
      </c>
      <c r="C5074" s="8">
        <f>DATE(2012,12,31)-1425</f>
        <v>39849</v>
      </c>
      <c r="D5074" s="8" t="str">
        <f t="shared" si="96"/>
        <v>2009-02 (февраль 2009)</v>
      </c>
      <c r="E5074" s="9" t="s">
        <v>78</v>
      </c>
      <c r="F5074" s="7">
        <v>29</v>
      </c>
      <c r="G5074" s="7">
        <v>221.33</v>
      </c>
      <c r="H5074" s="7">
        <v>0</v>
      </c>
      <c r="I5074" s="9" t="s">
        <v>22</v>
      </c>
      <c r="J5074" s="10">
        <v>77.33</v>
      </c>
      <c r="K5074" s="11">
        <v>7.28</v>
      </c>
      <c r="L5074" s="11">
        <v>1.77</v>
      </c>
      <c r="M5074" s="9" t="s">
        <v>1855</v>
      </c>
      <c r="N5074" s="6" t="s">
        <v>672</v>
      </c>
      <c r="O5074" s="6" t="s">
        <v>673</v>
      </c>
      <c r="P5074" s="9" t="s">
        <v>60</v>
      </c>
      <c r="Q5074" s="9" t="s">
        <v>26</v>
      </c>
      <c r="R5074" s="9" t="s">
        <v>61</v>
      </c>
      <c r="S5074" s="7" t="s">
        <v>1638</v>
      </c>
      <c r="T5074" s="9" t="s">
        <v>68</v>
      </c>
      <c r="U5074" s="7">
        <v>0.37</v>
      </c>
      <c r="V5074" s="12">
        <f>C5074+0</f>
        <v>39849</v>
      </c>
      <c r="W5074">
        <f>IF(D5074=' Pivot Tables'!$A$4,1,0)</f>
        <v>0</v>
      </c>
      <c r="X5074">
        <f>IF(AND(LEFT(D5074,4)+1=LEFT(' Pivot Tables'!$A$4,4)+0,RIGHT(LEFT(D5074,7),2)=RIGHT(LEFT(' Pivot Tables'!$A$4,7),2)),1,0)</f>
        <v>0</v>
      </c>
      <c r="Y5074" s="6">
        <f>1/COUNTIF(Таблица1[Order ID],Таблица1[[#This Row],[Order ID]])</f>
        <v>1</v>
      </c>
      <c r="Z5074" s="9">
        <f>1/COUNTIFS(Таблица1[Customer Name],Таблица1[[#This Row],[Customer Name]],Таблица1[Order-Year-Month],Таблица1[[#This Row],[Order-Year-Month]])</f>
        <v>0.33333333333333331</v>
      </c>
    </row>
    <row r="5075" spans="1:26" x14ac:dyDescent="0.2">
      <c r="A5075" s="6">
        <v>3839</v>
      </c>
      <c r="B5075" s="7">
        <v>27364</v>
      </c>
      <c r="C5075" s="8">
        <f>DATE(2012,12,31)-591</f>
        <v>40683</v>
      </c>
      <c r="D5075" s="8" t="str">
        <f t="shared" si="96"/>
        <v>2011-05 (май 2011)</v>
      </c>
      <c r="E5075" s="9" t="s">
        <v>63</v>
      </c>
      <c r="F5075" s="7">
        <v>25</v>
      </c>
      <c r="G5075" s="7">
        <v>74.069999999999993</v>
      </c>
      <c r="H5075" s="7">
        <v>0.04</v>
      </c>
      <c r="I5075" s="9" t="s">
        <v>22</v>
      </c>
      <c r="J5075" s="10">
        <v>4.3689999999999998</v>
      </c>
      <c r="K5075" s="11">
        <v>2.88</v>
      </c>
      <c r="L5075" s="11">
        <v>1.49</v>
      </c>
      <c r="M5075" s="9" t="s">
        <v>1126</v>
      </c>
      <c r="N5075" s="6" t="s">
        <v>672</v>
      </c>
      <c r="O5075" s="6" t="s">
        <v>673</v>
      </c>
      <c r="P5075" s="9" t="s">
        <v>41</v>
      </c>
      <c r="Q5075" s="9" t="s">
        <v>26</v>
      </c>
      <c r="R5075" s="9" t="s">
        <v>37</v>
      </c>
      <c r="S5075" s="7" t="s">
        <v>782</v>
      </c>
      <c r="T5075" s="9" t="s">
        <v>39</v>
      </c>
      <c r="U5075" s="7">
        <v>0.36</v>
      </c>
      <c r="V5075" s="12">
        <f>C5075+2</f>
        <v>40685</v>
      </c>
      <c r="W5075">
        <f>IF(D5075=' Pivot Tables'!$A$4,1,0)</f>
        <v>0</v>
      </c>
      <c r="X5075">
        <f>IF(AND(LEFT(D5075,4)+1=LEFT(' Pivot Tables'!$A$4,4)+0,RIGHT(LEFT(D5075,7),2)=RIGHT(LEFT(' Pivot Tables'!$A$4,7),2)),1,0)</f>
        <v>0</v>
      </c>
      <c r="Y5075" s="6">
        <f>1/COUNTIF(Таблица1[Order ID],Таблица1[[#This Row],[Order ID]])</f>
        <v>0.5</v>
      </c>
      <c r="Z5075" s="9">
        <f>1/COUNTIFS(Таблица1[Customer Name],Таблица1[[#This Row],[Customer Name]],Таблица1[Order-Year-Month],Таблица1[[#This Row],[Order-Year-Month]])</f>
        <v>0.5</v>
      </c>
    </row>
    <row r="5076" spans="1:26" x14ac:dyDescent="0.2">
      <c r="A5076" s="6">
        <v>3840</v>
      </c>
      <c r="B5076" s="7">
        <v>27364</v>
      </c>
      <c r="C5076" s="8">
        <f>DATE(2012,12,31)-591</f>
        <v>40683</v>
      </c>
      <c r="D5076" s="8" t="str">
        <f t="shared" si="96"/>
        <v>2011-05 (май 2011)</v>
      </c>
      <c r="E5076" s="9" t="s">
        <v>63</v>
      </c>
      <c r="F5076" s="7">
        <v>29</v>
      </c>
      <c r="G5076" s="7">
        <v>1529.0565000000001</v>
      </c>
      <c r="H5076" s="7">
        <v>0.06</v>
      </c>
      <c r="I5076" s="9" t="s">
        <v>22</v>
      </c>
      <c r="J5076" s="10">
        <v>201.726</v>
      </c>
      <c r="K5076" s="11">
        <v>65.989999999999995</v>
      </c>
      <c r="L5076" s="11">
        <v>3.99</v>
      </c>
      <c r="M5076" s="9" t="s">
        <v>1126</v>
      </c>
      <c r="N5076" s="6" t="s">
        <v>672</v>
      </c>
      <c r="O5076" s="6" t="s">
        <v>673</v>
      </c>
      <c r="P5076" s="9" t="s">
        <v>41</v>
      </c>
      <c r="Q5076" s="9" t="s">
        <v>42</v>
      </c>
      <c r="R5076" s="9" t="s">
        <v>43</v>
      </c>
      <c r="S5076" s="7" t="s">
        <v>582</v>
      </c>
      <c r="T5076" s="9" t="s">
        <v>39</v>
      </c>
      <c r="U5076" s="7">
        <v>0.59</v>
      </c>
      <c r="V5076" s="12">
        <f>C5076+2</f>
        <v>40685</v>
      </c>
      <c r="W5076">
        <f>IF(D5076=' Pivot Tables'!$A$4,1,0)</f>
        <v>0</v>
      </c>
      <c r="X5076">
        <f>IF(AND(LEFT(D5076,4)+1=LEFT(' Pivot Tables'!$A$4,4)+0,RIGHT(LEFT(D5076,7),2)=RIGHT(LEFT(' Pivot Tables'!$A$4,7),2)),1,0)</f>
        <v>0</v>
      </c>
      <c r="Y5076" s="6">
        <f>1/COUNTIF(Таблица1[Order ID],Таблица1[[#This Row],[Order ID]])</f>
        <v>0.5</v>
      </c>
      <c r="Z5076" s="9">
        <f>1/COUNTIFS(Таблица1[Customer Name],Таблица1[[#This Row],[Customer Name]],Таблица1[Order-Year-Month],Таблица1[[#This Row],[Order-Year-Month]])</f>
        <v>0.5</v>
      </c>
    </row>
    <row r="5077" spans="1:26" x14ac:dyDescent="0.2">
      <c r="A5077" s="6">
        <v>3848</v>
      </c>
      <c r="B5077" s="7">
        <v>27460</v>
      </c>
      <c r="C5077" s="8">
        <f>DATE(2012,12,31)-1329</f>
        <v>39945</v>
      </c>
      <c r="D5077" s="8" t="str">
        <f t="shared" si="96"/>
        <v>2009-05 (май 2009)</v>
      </c>
      <c r="E5077" s="9" t="s">
        <v>45</v>
      </c>
      <c r="F5077" s="7">
        <v>7</v>
      </c>
      <c r="G5077" s="7">
        <v>855.03</v>
      </c>
      <c r="H5077" s="7">
        <v>0.08</v>
      </c>
      <c r="I5077" s="9" t="s">
        <v>22</v>
      </c>
      <c r="J5077" s="10">
        <v>-1.6800000000000068</v>
      </c>
      <c r="K5077" s="11">
        <v>128.24</v>
      </c>
      <c r="L5077" s="11">
        <v>12.65</v>
      </c>
      <c r="M5077" s="9" t="s">
        <v>1866</v>
      </c>
      <c r="N5077" s="6" t="s">
        <v>672</v>
      </c>
      <c r="O5077" s="6" t="s">
        <v>673</v>
      </c>
      <c r="P5077" s="9" t="s">
        <v>41</v>
      </c>
      <c r="Q5077" s="9" t="s">
        <v>49</v>
      </c>
      <c r="R5077" s="9" t="s">
        <v>112</v>
      </c>
      <c r="S5077" s="7" t="s">
        <v>545</v>
      </c>
      <c r="T5077" s="9" t="s">
        <v>48</v>
      </c>
      <c r="U5077" s="7"/>
      <c r="V5077" s="12">
        <f>C5077+1</f>
        <v>39946</v>
      </c>
      <c r="W5077">
        <f>IF(D5077=' Pivot Tables'!$A$4,1,0)</f>
        <v>0</v>
      </c>
      <c r="X5077">
        <f>IF(AND(LEFT(D5077,4)+1=LEFT(' Pivot Tables'!$A$4,4)+0,RIGHT(LEFT(D5077,7),2)=RIGHT(LEFT(' Pivot Tables'!$A$4,7),2)),1,0)</f>
        <v>0</v>
      </c>
      <c r="Y5077" s="6">
        <f>1/COUNTIF(Таблица1[Order ID],Таблица1[[#This Row],[Order ID]])</f>
        <v>0.5</v>
      </c>
      <c r="Z5077" s="9">
        <f>1/COUNTIFS(Таблица1[Customer Name],Таблица1[[#This Row],[Customer Name]],Таблица1[Order-Year-Month],Таблица1[[#This Row],[Order-Year-Month]])</f>
        <v>0.5</v>
      </c>
    </row>
    <row r="5078" spans="1:26" x14ac:dyDescent="0.2">
      <c r="A5078" s="6">
        <v>3849</v>
      </c>
      <c r="B5078" s="7">
        <v>27460</v>
      </c>
      <c r="C5078" s="8">
        <f>DATE(2012,12,31)-1329</f>
        <v>39945</v>
      </c>
      <c r="D5078" s="8" t="str">
        <f t="shared" si="96"/>
        <v>2009-05 (май 2009)</v>
      </c>
      <c r="E5078" s="9" t="s">
        <v>45</v>
      </c>
      <c r="F5078" s="7">
        <v>31</v>
      </c>
      <c r="G5078" s="7">
        <v>196.58</v>
      </c>
      <c r="H5078" s="7">
        <v>0.04</v>
      </c>
      <c r="I5078" s="9" t="s">
        <v>22</v>
      </c>
      <c r="J5078" s="10">
        <v>-102.16</v>
      </c>
      <c r="K5078" s="11">
        <v>5.98</v>
      </c>
      <c r="L5078" s="11">
        <v>4.38</v>
      </c>
      <c r="M5078" s="9" t="s">
        <v>1866</v>
      </c>
      <c r="N5078" s="6" t="s">
        <v>672</v>
      </c>
      <c r="O5078" s="6" t="s">
        <v>673</v>
      </c>
      <c r="P5078" s="9" t="s">
        <v>41</v>
      </c>
      <c r="Q5078" s="9" t="s">
        <v>42</v>
      </c>
      <c r="R5078" s="9" t="s">
        <v>70</v>
      </c>
      <c r="S5078" s="7" t="s">
        <v>104</v>
      </c>
      <c r="T5078" s="9" t="s">
        <v>52</v>
      </c>
      <c r="U5078" s="7">
        <v>0.75</v>
      </c>
      <c r="V5078" s="12">
        <f>C5078+2</f>
        <v>39947</v>
      </c>
      <c r="W5078">
        <f>IF(D5078=' Pivot Tables'!$A$4,1,0)</f>
        <v>0</v>
      </c>
      <c r="X5078">
        <f>IF(AND(LEFT(D5078,4)+1=LEFT(' Pivot Tables'!$A$4,4)+0,RIGHT(LEFT(D5078,7),2)=RIGHT(LEFT(' Pivot Tables'!$A$4,7),2)),1,0)</f>
        <v>0</v>
      </c>
      <c r="Y5078" s="6">
        <f>1/COUNTIF(Таблица1[Order ID],Таблица1[[#This Row],[Order ID]])</f>
        <v>0.5</v>
      </c>
      <c r="Z5078" s="9">
        <f>1/COUNTIFS(Таблица1[Customer Name],Таблица1[[#This Row],[Customer Name]],Таблица1[Order-Year-Month],Таблица1[[#This Row],[Order-Year-Month]])</f>
        <v>0.5</v>
      </c>
    </row>
    <row r="5079" spans="1:26" x14ac:dyDescent="0.2">
      <c r="A5079" s="6">
        <v>3881</v>
      </c>
      <c r="B5079" s="7">
        <v>27717</v>
      </c>
      <c r="C5079" s="8">
        <f>DATE(2012,12,31)-432</f>
        <v>40842</v>
      </c>
      <c r="D5079" s="8" t="str">
        <f t="shared" si="96"/>
        <v>2011-10 (октябрь 2011)</v>
      </c>
      <c r="E5079" s="9" t="s">
        <v>78</v>
      </c>
      <c r="F5079" s="7">
        <v>19</v>
      </c>
      <c r="G5079" s="7">
        <v>75.19</v>
      </c>
      <c r="H5079" s="7">
        <v>0.05</v>
      </c>
      <c r="I5079" s="9" t="s">
        <v>22</v>
      </c>
      <c r="J5079" s="10">
        <v>-93.67</v>
      </c>
      <c r="K5079" s="11">
        <v>3.75</v>
      </c>
      <c r="L5079" s="11">
        <v>7.5</v>
      </c>
      <c r="M5079" s="9" t="s">
        <v>1879</v>
      </c>
      <c r="N5079" s="6" t="s">
        <v>672</v>
      </c>
      <c r="O5079" s="6" t="s">
        <v>673</v>
      </c>
      <c r="P5079" s="9" t="s">
        <v>41</v>
      </c>
      <c r="Q5079" s="9" t="s">
        <v>26</v>
      </c>
      <c r="R5079" s="9" t="s">
        <v>88</v>
      </c>
      <c r="S5079" s="7" t="s">
        <v>1885</v>
      </c>
      <c r="T5079" s="9" t="s">
        <v>39</v>
      </c>
      <c r="U5079" s="7">
        <v>0.37</v>
      </c>
      <c r="V5079" s="12">
        <f>C5079+3</f>
        <v>40845</v>
      </c>
      <c r="W5079">
        <f>IF(D5079=' Pivot Tables'!$A$4,1,0)</f>
        <v>0</v>
      </c>
      <c r="X5079">
        <f>IF(AND(LEFT(D5079,4)+1=LEFT(' Pivot Tables'!$A$4,4)+0,RIGHT(LEFT(D5079,7),2)=RIGHT(LEFT(' Pivot Tables'!$A$4,7),2)),1,0)</f>
        <v>0</v>
      </c>
      <c r="Y5079" s="6">
        <f>1/COUNTIF(Таблица1[Order ID],Таблица1[[#This Row],[Order ID]])</f>
        <v>1</v>
      </c>
      <c r="Z5079" s="9">
        <f>1/COUNTIFS(Таблица1[Customer Name],Таблица1[[#This Row],[Customer Name]],Таблица1[Order-Year-Month],Таблица1[[#This Row],[Order-Year-Month]])</f>
        <v>1</v>
      </c>
    </row>
    <row r="5080" spans="1:26" x14ac:dyDescent="0.2">
      <c r="A5080" s="6">
        <v>3890</v>
      </c>
      <c r="B5080" s="7">
        <v>27778</v>
      </c>
      <c r="C5080" s="8">
        <f>DATE(2012,12,31)-486</f>
        <v>40788</v>
      </c>
      <c r="D5080" s="8" t="str">
        <f t="shared" si="96"/>
        <v>2011-09 (сентябрь 2011)</v>
      </c>
      <c r="E5080" s="9" t="s">
        <v>78</v>
      </c>
      <c r="F5080" s="7">
        <v>10</v>
      </c>
      <c r="G5080" s="7">
        <v>6350.29</v>
      </c>
      <c r="H5080" s="7">
        <v>0.02</v>
      </c>
      <c r="I5080" s="9" t="s">
        <v>22</v>
      </c>
      <c r="J5080" s="10">
        <v>-735.97</v>
      </c>
      <c r="K5080" s="11">
        <v>599.99</v>
      </c>
      <c r="L5080" s="11">
        <v>24.49</v>
      </c>
      <c r="M5080" s="9" t="s">
        <v>347</v>
      </c>
      <c r="N5080" s="6" t="s">
        <v>672</v>
      </c>
      <c r="O5080" s="6" t="s">
        <v>673</v>
      </c>
      <c r="P5080" s="9" t="s">
        <v>41</v>
      </c>
      <c r="Q5080" s="9" t="s">
        <v>42</v>
      </c>
      <c r="R5080" s="9" t="s">
        <v>99</v>
      </c>
      <c r="S5080" s="7" t="s">
        <v>1349</v>
      </c>
      <c r="T5080" s="9" t="s">
        <v>29</v>
      </c>
      <c r="U5080" s="7">
        <v>0.5</v>
      </c>
      <c r="V5080" s="12">
        <f>C5080+2</f>
        <v>40790</v>
      </c>
      <c r="W5080">
        <f>IF(D5080=' Pivot Tables'!$A$4,1,0)</f>
        <v>0</v>
      </c>
      <c r="X5080">
        <f>IF(AND(LEFT(D5080,4)+1=LEFT(' Pivot Tables'!$A$4,4)+0,RIGHT(LEFT(D5080,7),2)=RIGHT(LEFT(' Pivot Tables'!$A$4,7),2)),1,0)</f>
        <v>0</v>
      </c>
      <c r="Y5080" s="6">
        <f>1/COUNTIF(Таблица1[Order ID],Таблица1[[#This Row],[Order ID]])</f>
        <v>0.33333333333333331</v>
      </c>
      <c r="Z5080" s="9">
        <f>1/COUNTIFS(Таблица1[Customer Name],Таблица1[[#This Row],[Customer Name]],Таблица1[Order-Year-Month],Таблица1[[#This Row],[Order-Year-Month]])</f>
        <v>0.33333333333333331</v>
      </c>
    </row>
    <row r="5081" spans="1:26" x14ac:dyDescent="0.2">
      <c r="A5081" s="6">
        <v>3916</v>
      </c>
      <c r="B5081" s="7">
        <v>27936</v>
      </c>
      <c r="C5081" s="8">
        <f>DATE(2012,12,31)-543</f>
        <v>40731</v>
      </c>
      <c r="D5081" s="8" t="str">
        <f t="shared" si="96"/>
        <v>2011-07 (июль 2011)</v>
      </c>
      <c r="E5081" s="9" t="s">
        <v>30</v>
      </c>
      <c r="F5081" s="7">
        <v>23</v>
      </c>
      <c r="G5081" s="7">
        <v>1028.1600000000001</v>
      </c>
      <c r="H5081" s="7">
        <v>7.0000000000000007E-2</v>
      </c>
      <c r="I5081" s="9" t="s">
        <v>22</v>
      </c>
      <c r="J5081" s="10">
        <v>405.16200000000003</v>
      </c>
      <c r="K5081" s="11">
        <v>55.99</v>
      </c>
      <c r="L5081" s="11">
        <v>1.25</v>
      </c>
      <c r="M5081" s="9" t="s">
        <v>1858</v>
      </c>
      <c r="N5081" s="6" t="s">
        <v>672</v>
      </c>
      <c r="O5081" s="6" t="s">
        <v>673</v>
      </c>
      <c r="P5081" s="9" t="s">
        <v>33</v>
      </c>
      <c r="Q5081" s="9" t="s">
        <v>42</v>
      </c>
      <c r="R5081" s="9" t="s">
        <v>43</v>
      </c>
      <c r="S5081" s="7" t="s">
        <v>946</v>
      </c>
      <c r="T5081" s="9" t="s">
        <v>52</v>
      </c>
      <c r="U5081" s="7">
        <v>0.35</v>
      </c>
      <c r="V5081" s="12">
        <f>C5081+2</f>
        <v>40733</v>
      </c>
      <c r="W5081">
        <f>IF(D5081=' Pivot Tables'!$A$4,1,0)</f>
        <v>0</v>
      </c>
      <c r="X5081">
        <f>IF(AND(LEFT(D5081,4)+1=LEFT(' Pivot Tables'!$A$4,4)+0,RIGHT(LEFT(D5081,7),2)=RIGHT(LEFT(' Pivot Tables'!$A$4,7),2)),1,0)</f>
        <v>0</v>
      </c>
      <c r="Y5081" s="6">
        <f>1/COUNTIF(Таблица1[Order ID],Таблица1[[#This Row],[Order ID]])</f>
        <v>0.5</v>
      </c>
      <c r="Z5081" s="9">
        <f>1/COUNTIFS(Таблица1[Customer Name],Таблица1[[#This Row],[Customer Name]],Таблица1[Order-Year-Month],Таблица1[[#This Row],[Order-Year-Month]])</f>
        <v>0.5</v>
      </c>
    </row>
    <row r="5082" spans="1:26" x14ac:dyDescent="0.2">
      <c r="A5082" s="6">
        <v>3957</v>
      </c>
      <c r="B5082" s="7">
        <v>28228</v>
      </c>
      <c r="C5082" s="8">
        <f>DATE(2012,12,31)-173</f>
        <v>41101</v>
      </c>
      <c r="D5082" s="8" t="str">
        <f t="shared" si="96"/>
        <v>2012-07 (июль 2012)</v>
      </c>
      <c r="E5082" s="9" t="s">
        <v>45</v>
      </c>
      <c r="F5082" s="7">
        <v>5</v>
      </c>
      <c r="G5082" s="7">
        <v>346.23</v>
      </c>
      <c r="H5082" s="7">
        <v>0</v>
      </c>
      <c r="I5082" s="9" t="s">
        <v>22</v>
      </c>
      <c r="J5082" s="10">
        <v>8.4600000000000009</v>
      </c>
      <c r="K5082" s="11">
        <v>60.98</v>
      </c>
      <c r="L5082" s="11">
        <v>19.989999999999998</v>
      </c>
      <c r="M5082" s="9" t="s">
        <v>1867</v>
      </c>
      <c r="N5082" s="6" t="s">
        <v>672</v>
      </c>
      <c r="O5082" s="6" t="s">
        <v>673</v>
      </c>
      <c r="P5082" s="9" t="s">
        <v>25</v>
      </c>
      <c r="Q5082" s="9" t="s">
        <v>26</v>
      </c>
      <c r="R5082" s="9" t="s">
        <v>76</v>
      </c>
      <c r="S5082" s="7" t="s">
        <v>769</v>
      </c>
      <c r="T5082" s="9" t="s">
        <v>39</v>
      </c>
      <c r="U5082" s="7">
        <v>0.38</v>
      </c>
      <c r="V5082" s="12">
        <f>C5082+1</f>
        <v>41102</v>
      </c>
      <c r="W5082">
        <f>IF(D5082=' Pivot Tables'!$A$4,1,0)</f>
        <v>0</v>
      </c>
      <c r="X5082">
        <f>IF(AND(LEFT(D5082,4)+1=LEFT(' Pivot Tables'!$A$4,4)+0,RIGHT(LEFT(D5082,7),2)=RIGHT(LEFT(' Pivot Tables'!$A$4,7),2)),1,0)</f>
        <v>0</v>
      </c>
      <c r="Y5082" s="6">
        <f>1/COUNTIF(Таблица1[Order ID],Таблица1[[#This Row],[Order ID]])</f>
        <v>1</v>
      </c>
      <c r="Z5082" s="9">
        <f>1/COUNTIFS(Таблица1[Customer Name],Таблица1[[#This Row],[Customer Name]],Таблица1[Order-Year-Month],Таблица1[[#This Row],[Order-Year-Month]])</f>
        <v>0.33333333333333331</v>
      </c>
    </row>
    <row r="5083" spans="1:26" x14ac:dyDescent="0.2">
      <c r="A5083" s="6">
        <v>3961</v>
      </c>
      <c r="B5083" s="7">
        <v>28259</v>
      </c>
      <c r="C5083" s="8">
        <f>DATE(2012,12,31)-1153</f>
        <v>40121</v>
      </c>
      <c r="D5083" s="8" t="str">
        <f t="shared" si="96"/>
        <v>2009-11 (ноябрь 2009)</v>
      </c>
      <c r="E5083" s="9" t="s">
        <v>30</v>
      </c>
      <c r="F5083" s="7">
        <v>22</v>
      </c>
      <c r="G5083" s="7">
        <v>249.24</v>
      </c>
      <c r="H5083" s="7">
        <v>0.06</v>
      </c>
      <c r="I5083" s="9" t="s">
        <v>22</v>
      </c>
      <c r="J5083" s="10">
        <v>-92.1</v>
      </c>
      <c r="K5083" s="11">
        <v>10.97</v>
      </c>
      <c r="L5083" s="11">
        <v>6.5</v>
      </c>
      <c r="M5083" s="9" t="s">
        <v>1881</v>
      </c>
      <c r="N5083" s="6" t="s">
        <v>672</v>
      </c>
      <c r="O5083" s="6" t="s">
        <v>673</v>
      </c>
      <c r="P5083" s="9" t="s">
        <v>33</v>
      </c>
      <c r="Q5083" s="9" t="s">
        <v>42</v>
      </c>
      <c r="R5083" s="9" t="s">
        <v>70</v>
      </c>
      <c r="S5083" s="7" t="s">
        <v>336</v>
      </c>
      <c r="T5083" s="9" t="s">
        <v>39</v>
      </c>
      <c r="U5083" s="7">
        <v>0.64</v>
      </c>
      <c r="V5083" s="12">
        <f>C5083+2</f>
        <v>40123</v>
      </c>
      <c r="W5083">
        <f>IF(D5083=' Pivot Tables'!$A$4,1,0)</f>
        <v>0</v>
      </c>
      <c r="X5083">
        <f>IF(AND(LEFT(D5083,4)+1=LEFT(' Pivot Tables'!$A$4,4)+0,RIGHT(LEFT(D5083,7),2)=RIGHT(LEFT(' Pivot Tables'!$A$4,7),2)),1,0)</f>
        <v>0</v>
      </c>
      <c r="Y5083" s="6">
        <f>1/COUNTIF(Таблица1[Order ID],Таблица1[[#This Row],[Order ID]])</f>
        <v>1</v>
      </c>
      <c r="Z5083" s="9">
        <f>1/COUNTIFS(Таблица1[Customer Name],Таблица1[[#This Row],[Customer Name]],Таблица1[Order-Year-Month],Таблица1[[#This Row],[Order-Year-Month]])</f>
        <v>1</v>
      </c>
    </row>
    <row r="5084" spans="1:26" x14ac:dyDescent="0.2">
      <c r="A5084" s="6">
        <v>3979</v>
      </c>
      <c r="B5084" s="7">
        <v>28419</v>
      </c>
      <c r="C5084" s="8">
        <f>DATE(2012,12,31)-1157</f>
        <v>40117</v>
      </c>
      <c r="D5084" s="8" t="str">
        <f t="shared" si="96"/>
        <v>2009-10 (октябрь 2009)</v>
      </c>
      <c r="E5084" s="9" t="s">
        <v>21</v>
      </c>
      <c r="F5084" s="7">
        <v>9</v>
      </c>
      <c r="G5084" s="7">
        <v>133.85</v>
      </c>
      <c r="H5084" s="7">
        <v>0.03</v>
      </c>
      <c r="I5084" s="9" t="s">
        <v>56</v>
      </c>
      <c r="J5084" s="10">
        <v>-5.28</v>
      </c>
      <c r="K5084" s="11">
        <v>13.48</v>
      </c>
      <c r="L5084" s="11">
        <v>4.51</v>
      </c>
      <c r="M5084" s="9" t="s">
        <v>1886</v>
      </c>
      <c r="N5084" s="6" t="s">
        <v>672</v>
      </c>
      <c r="O5084" s="6" t="s">
        <v>673</v>
      </c>
      <c r="P5084" s="9" t="s">
        <v>33</v>
      </c>
      <c r="Q5084" s="9" t="s">
        <v>26</v>
      </c>
      <c r="R5084" s="9" t="s">
        <v>27</v>
      </c>
      <c r="S5084" s="7" t="s">
        <v>101</v>
      </c>
      <c r="T5084" s="9" t="s">
        <v>39</v>
      </c>
      <c r="U5084" s="7">
        <v>0.59</v>
      </c>
      <c r="V5084" s="12">
        <f>C5084+4</f>
        <v>40121</v>
      </c>
      <c r="W5084">
        <f>IF(D5084=' Pivot Tables'!$A$4,1,0)</f>
        <v>0</v>
      </c>
      <c r="X5084">
        <f>IF(AND(LEFT(D5084,4)+1=LEFT(' Pivot Tables'!$A$4,4)+0,RIGHT(LEFT(D5084,7),2)=RIGHT(LEFT(' Pivot Tables'!$A$4,7),2)),1,0)</f>
        <v>0</v>
      </c>
      <c r="Y5084" s="6">
        <f>1/COUNTIF(Таблица1[Order ID],Таблица1[[#This Row],[Order ID]])</f>
        <v>1</v>
      </c>
      <c r="Z5084" s="9">
        <f>1/COUNTIFS(Таблица1[Customer Name],Таблица1[[#This Row],[Customer Name]],Таблица1[Order-Year-Month],Таблица1[[#This Row],[Order-Year-Month]])</f>
        <v>0.5</v>
      </c>
    </row>
    <row r="5085" spans="1:26" x14ac:dyDescent="0.2">
      <c r="A5085" s="6">
        <v>4010</v>
      </c>
      <c r="B5085" s="7">
        <v>28614</v>
      </c>
      <c r="C5085" s="8">
        <f>DATE(2012,12,31)-1169</f>
        <v>40105</v>
      </c>
      <c r="D5085" s="8" t="str">
        <f t="shared" si="96"/>
        <v>2009-10 (октябрь 2009)</v>
      </c>
      <c r="E5085" s="9" t="s">
        <v>78</v>
      </c>
      <c r="F5085" s="7">
        <v>50</v>
      </c>
      <c r="G5085" s="7">
        <v>7827.51</v>
      </c>
      <c r="H5085" s="7">
        <v>0.05</v>
      </c>
      <c r="I5085" s="9" t="s">
        <v>22</v>
      </c>
      <c r="J5085" s="10">
        <v>2992.8</v>
      </c>
      <c r="K5085" s="11">
        <v>159.99</v>
      </c>
      <c r="L5085" s="11">
        <v>5.5</v>
      </c>
      <c r="M5085" s="9" t="s">
        <v>982</v>
      </c>
      <c r="N5085" s="6" t="s">
        <v>672</v>
      </c>
      <c r="O5085" s="6" t="s">
        <v>673</v>
      </c>
      <c r="P5085" s="9" t="s">
        <v>33</v>
      </c>
      <c r="Q5085" s="9" t="s">
        <v>42</v>
      </c>
      <c r="R5085" s="9" t="s">
        <v>70</v>
      </c>
      <c r="S5085" s="7" t="s">
        <v>1019</v>
      </c>
      <c r="T5085" s="9" t="s">
        <v>39</v>
      </c>
      <c r="U5085" s="7">
        <v>0.49</v>
      </c>
      <c r="V5085" s="12">
        <f>C5085+2</f>
        <v>40107</v>
      </c>
      <c r="W5085">
        <f>IF(D5085=' Pivot Tables'!$A$4,1,0)</f>
        <v>0</v>
      </c>
      <c r="X5085">
        <f>IF(AND(LEFT(D5085,4)+1=LEFT(' Pivot Tables'!$A$4,4)+0,RIGHT(LEFT(D5085,7),2)=RIGHT(LEFT(' Pivot Tables'!$A$4,7),2)),1,0)</f>
        <v>0</v>
      </c>
      <c r="Y5085" s="6">
        <f>1/COUNTIF(Таблица1[Order ID],Таблица1[[#This Row],[Order ID]])</f>
        <v>1</v>
      </c>
      <c r="Z5085" s="9">
        <f>1/COUNTIFS(Таблица1[Customer Name],Таблица1[[#This Row],[Customer Name]],Таблица1[Order-Year-Month],Таблица1[[#This Row],[Order-Year-Month]])</f>
        <v>1</v>
      </c>
    </row>
    <row r="5086" spans="1:26" x14ac:dyDescent="0.2">
      <c r="A5086" s="6">
        <v>4023</v>
      </c>
      <c r="B5086" s="7">
        <v>28741</v>
      </c>
      <c r="C5086" s="8">
        <f>DATE(2012,12,31)-672</f>
        <v>40602</v>
      </c>
      <c r="D5086" s="8" t="str">
        <f t="shared" si="96"/>
        <v>2011-02 (февраль 2011)</v>
      </c>
      <c r="E5086" s="9" t="s">
        <v>45</v>
      </c>
      <c r="F5086" s="7">
        <v>13</v>
      </c>
      <c r="G5086" s="7">
        <v>70.13</v>
      </c>
      <c r="H5086" s="7">
        <v>0.02</v>
      </c>
      <c r="I5086" s="9" t="s">
        <v>22</v>
      </c>
      <c r="J5086" s="10">
        <v>21.51</v>
      </c>
      <c r="K5086" s="11">
        <v>5.43</v>
      </c>
      <c r="L5086" s="11">
        <v>0.95</v>
      </c>
      <c r="M5086" s="9" t="s">
        <v>1887</v>
      </c>
      <c r="N5086" s="6" t="s">
        <v>672</v>
      </c>
      <c r="O5086" s="6" t="s">
        <v>673</v>
      </c>
      <c r="P5086" s="9" t="s">
        <v>25</v>
      </c>
      <c r="Q5086" s="9" t="s">
        <v>26</v>
      </c>
      <c r="R5086" s="9" t="s">
        <v>61</v>
      </c>
      <c r="S5086" s="7" t="s">
        <v>588</v>
      </c>
      <c r="T5086" s="9" t="s">
        <v>68</v>
      </c>
      <c r="U5086" s="7">
        <v>0.36</v>
      </c>
      <c r="V5086" s="12">
        <f>C5086+1</f>
        <v>40603</v>
      </c>
      <c r="W5086">
        <f>IF(D5086=' Pivot Tables'!$A$4,1,0)</f>
        <v>0</v>
      </c>
      <c r="X5086">
        <f>IF(AND(LEFT(D5086,4)+1=LEFT(' Pivot Tables'!$A$4,4)+0,RIGHT(LEFT(D5086,7),2)=RIGHT(LEFT(' Pivot Tables'!$A$4,7),2)),1,0)</f>
        <v>0</v>
      </c>
      <c r="Y5086" s="6">
        <f>1/COUNTIF(Таблица1[Order ID],Таблица1[[#This Row],[Order ID]])</f>
        <v>0.5</v>
      </c>
      <c r="Z5086" s="9">
        <f>1/COUNTIFS(Таблица1[Customer Name],Таблица1[[#This Row],[Customer Name]],Таблица1[Order-Year-Month],Таблица1[[#This Row],[Order-Year-Month]])</f>
        <v>0.5</v>
      </c>
    </row>
    <row r="5087" spans="1:26" x14ac:dyDescent="0.2">
      <c r="A5087" s="6">
        <v>4024</v>
      </c>
      <c r="B5087" s="7">
        <v>28741</v>
      </c>
      <c r="C5087" s="8">
        <f>DATE(2012,12,31)-672</f>
        <v>40602</v>
      </c>
      <c r="D5087" s="8" t="str">
        <f t="shared" si="96"/>
        <v>2011-02 (февраль 2011)</v>
      </c>
      <c r="E5087" s="9" t="s">
        <v>45</v>
      </c>
      <c r="F5087" s="7">
        <v>5</v>
      </c>
      <c r="G5087" s="7">
        <v>59.76</v>
      </c>
      <c r="H5087" s="7">
        <v>0.04</v>
      </c>
      <c r="I5087" s="9" t="s">
        <v>22</v>
      </c>
      <c r="J5087" s="10">
        <v>-10.34</v>
      </c>
      <c r="K5087" s="11">
        <v>10.98</v>
      </c>
      <c r="L5087" s="11">
        <v>3.37</v>
      </c>
      <c r="M5087" s="9" t="s">
        <v>1887</v>
      </c>
      <c r="N5087" s="6" t="s">
        <v>672</v>
      </c>
      <c r="O5087" s="6" t="s">
        <v>673</v>
      </c>
      <c r="P5087" s="9" t="s">
        <v>25</v>
      </c>
      <c r="Q5087" s="9" t="s">
        <v>26</v>
      </c>
      <c r="R5087" s="9" t="s">
        <v>150</v>
      </c>
      <c r="S5087" s="7" t="s">
        <v>465</v>
      </c>
      <c r="T5087" s="9" t="s">
        <v>52</v>
      </c>
      <c r="U5087" s="7">
        <v>0.56999999999999995</v>
      </c>
      <c r="V5087" s="12">
        <f>C5087+1</f>
        <v>40603</v>
      </c>
      <c r="W5087">
        <f>IF(D5087=' Pivot Tables'!$A$4,1,0)</f>
        <v>0</v>
      </c>
      <c r="X5087">
        <f>IF(AND(LEFT(D5087,4)+1=LEFT(' Pivot Tables'!$A$4,4)+0,RIGHT(LEFT(D5087,7),2)=RIGHT(LEFT(' Pivot Tables'!$A$4,7),2)),1,0)</f>
        <v>0</v>
      </c>
      <c r="Y5087" s="6">
        <f>1/COUNTIF(Таблица1[Order ID],Таблица1[[#This Row],[Order ID]])</f>
        <v>0.5</v>
      </c>
      <c r="Z5087" s="9">
        <f>1/COUNTIFS(Таблица1[Customer Name],Таблица1[[#This Row],[Customer Name]],Таблица1[Order-Year-Month],Таблица1[[#This Row],[Order-Year-Month]])</f>
        <v>0.5</v>
      </c>
    </row>
    <row r="5088" spans="1:26" x14ac:dyDescent="0.2">
      <c r="A5088" s="6">
        <v>4027</v>
      </c>
      <c r="B5088" s="7">
        <v>28769</v>
      </c>
      <c r="C5088" s="8">
        <f>DATE(2012,12,31)-856</f>
        <v>40418</v>
      </c>
      <c r="D5088" s="8" t="str">
        <f t="shared" si="96"/>
        <v>2010-08 (август 2010)</v>
      </c>
      <c r="E5088" s="9" t="s">
        <v>21</v>
      </c>
      <c r="F5088" s="7">
        <v>6</v>
      </c>
      <c r="G5088" s="7">
        <v>195.75</v>
      </c>
      <c r="H5088" s="7">
        <v>0.02</v>
      </c>
      <c r="I5088" s="9" t="s">
        <v>22</v>
      </c>
      <c r="J5088" s="10">
        <v>-31.24</v>
      </c>
      <c r="K5088" s="11">
        <v>33.29</v>
      </c>
      <c r="L5088" s="11">
        <v>1.99</v>
      </c>
      <c r="M5088" s="9" t="s">
        <v>1876</v>
      </c>
      <c r="N5088" s="6" t="s">
        <v>672</v>
      </c>
      <c r="O5088" s="6" t="s">
        <v>673</v>
      </c>
      <c r="P5088" s="9" t="s">
        <v>33</v>
      </c>
      <c r="Q5088" s="9" t="s">
        <v>42</v>
      </c>
      <c r="R5088" s="9" t="s">
        <v>70</v>
      </c>
      <c r="S5088" s="7" t="s">
        <v>1615</v>
      </c>
      <c r="T5088" s="9" t="s">
        <v>52</v>
      </c>
      <c r="U5088" s="7">
        <v>0.41</v>
      </c>
      <c r="V5088" s="12">
        <f>C5088+0</f>
        <v>40418</v>
      </c>
      <c r="W5088">
        <f>IF(D5088=' Pivot Tables'!$A$4,1,0)</f>
        <v>0</v>
      </c>
      <c r="X5088">
        <f>IF(AND(LEFT(D5088,4)+1=LEFT(' Pivot Tables'!$A$4,4)+0,RIGHT(LEFT(D5088,7),2)=RIGHT(LEFT(' Pivot Tables'!$A$4,7),2)),1,0)</f>
        <v>0</v>
      </c>
      <c r="Y5088" s="6">
        <f>1/COUNTIF(Таблица1[Order ID],Таблица1[[#This Row],[Order ID]])</f>
        <v>1</v>
      </c>
      <c r="Z5088" s="9">
        <f>1/COUNTIFS(Таблица1[Customer Name],Таблица1[[#This Row],[Customer Name]],Таблица1[Order-Year-Month],Таблица1[[#This Row],[Order-Year-Month]])</f>
        <v>1</v>
      </c>
    </row>
    <row r="5089" spans="1:26" x14ac:dyDescent="0.2">
      <c r="A5089" s="6">
        <v>4057</v>
      </c>
      <c r="B5089" s="7">
        <v>28928</v>
      </c>
      <c r="C5089" s="8">
        <f>DATE(2012,12,31)-976</f>
        <v>40298</v>
      </c>
      <c r="D5089" s="8" t="str">
        <f t="shared" si="96"/>
        <v>2010-04 (апрель 2010)</v>
      </c>
      <c r="E5089" s="9" t="s">
        <v>21</v>
      </c>
      <c r="F5089" s="7">
        <v>3</v>
      </c>
      <c r="G5089" s="7">
        <v>185.16</v>
      </c>
      <c r="H5089" s="7">
        <v>0.02</v>
      </c>
      <c r="I5089" s="9" t="s">
        <v>22</v>
      </c>
      <c r="J5089" s="10">
        <v>-49.34</v>
      </c>
      <c r="K5089" s="11">
        <v>59.98</v>
      </c>
      <c r="L5089" s="11">
        <v>3.99</v>
      </c>
      <c r="M5089" s="9" t="s">
        <v>1882</v>
      </c>
      <c r="N5089" s="6" t="s">
        <v>672</v>
      </c>
      <c r="O5089" s="6" t="s">
        <v>673</v>
      </c>
      <c r="P5089" s="9" t="s">
        <v>41</v>
      </c>
      <c r="Q5089" s="9" t="s">
        <v>26</v>
      </c>
      <c r="R5089" s="9" t="s">
        <v>34</v>
      </c>
      <c r="S5089" s="7" t="s">
        <v>448</v>
      </c>
      <c r="T5089" s="9" t="s">
        <v>39</v>
      </c>
      <c r="U5089" s="7">
        <v>0.56999999999999995</v>
      </c>
      <c r="V5089" s="12">
        <f>C5089+2</f>
        <v>40300</v>
      </c>
      <c r="W5089">
        <f>IF(D5089=' Pivot Tables'!$A$4,1,0)</f>
        <v>0</v>
      </c>
      <c r="X5089">
        <f>IF(AND(LEFT(D5089,4)+1=LEFT(' Pivot Tables'!$A$4,4)+0,RIGHT(LEFT(D5089,7),2)=RIGHT(LEFT(' Pivot Tables'!$A$4,7),2)),1,0)</f>
        <v>0</v>
      </c>
      <c r="Y5089" s="6">
        <f>1/COUNTIF(Таблица1[Order ID],Таблица1[[#This Row],[Order ID]])</f>
        <v>0.33333333333333331</v>
      </c>
      <c r="Z5089" s="9">
        <f>1/COUNTIFS(Таблица1[Customer Name],Таблица1[[#This Row],[Customer Name]],Таблица1[Order-Year-Month],Таблица1[[#This Row],[Order-Year-Month]])</f>
        <v>0.33333333333333331</v>
      </c>
    </row>
    <row r="5090" spans="1:26" x14ac:dyDescent="0.2">
      <c r="A5090" s="6">
        <v>4058</v>
      </c>
      <c r="B5090" s="7">
        <v>28928</v>
      </c>
      <c r="C5090" s="8">
        <f>DATE(2012,12,31)-976</f>
        <v>40298</v>
      </c>
      <c r="D5090" s="8" t="str">
        <f t="shared" si="96"/>
        <v>2010-04 (апрель 2010)</v>
      </c>
      <c r="E5090" s="9" t="s">
        <v>21</v>
      </c>
      <c r="F5090" s="7">
        <v>22</v>
      </c>
      <c r="G5090" s="7">
        <v>5144.9399999999996</v>
      </c>
      <c r="H5090" s="7">
        <v>0.09</v>
      </c>
      <c r="I5090" s="9" t="s">
        <v>22</v>
      </c>
      <c r="J5090" s="10">
        <v>729.06</v>
      </c>
      <c r="K5090" s="11">
        <v>256.99</v>
      </c>
      <c r="L5090" s="11">
        <v>11.25</v>
      </c>
      <c r="M5090" s="9" t="s">
        <v>1882</v>
      </c>
      <c r="N5090" s="6" t="s">
        <v>672</v>
      </c>
      <c r="O5090" s="6" t="s">
        <v>673</v>
      </c>
      <c r="P5090" s="9" t="s">
        <v>41</v>
      </c>
      <c r="Q5090" s="9" t="s">
        <v>42</v>
      </c>
      <c r="R5090" s="9" t="s">
        <v>70</v>
      </c>
      <c r="S5090" s="7" t="s">
        <v>931</v>
      </c>
      <c r="T5090" s="9" t="s">
        <v>39</v>
      </c>
      <c r="U5090" s="7">
        <v>0.51</v>
      </c>
      <c r="V5090" s="12">
        <f>C5090+0</f>
        <v>40298</v>
      </c>
      <c r="W5090">
        <f>IF(D5090=' Pivot Tables'!$A$4,1,0)</f>
        <v>0</v>
      </c>
      <c r="X5090">
        <f>IF(AND(LEFT(D5090,4)+1=LEFT(' Pivot Tables'!$A$4,4)+0,RIGHT(LEFT(D5090,7),2)=RIGHT(LEFT(' Pivot Tables'!$A$4,7),2)),1,0)</f>
        <v>0</v>
      </c>
      <c r="Y5090" s="6">
        <f>1/COUNTIF(Таблица1[Order ID],Таблица1[[#This Row],[Order ID]])</f>
        <v>0.33333333333333331</v>
      </c>
      <c r="Z5090" s="9">
        <f>1/COUNTIFS(Таблица1[Customer Name],Таблица1[[#This Row],[Customer Name]],Таблица1[Order-Year-Month],Таблица1[[#This Row],[Order-Year-Month]])</f>
        <v>0.33333333333333331</v>
      </c>
    </row>
    <row r="5091" spans="1:26" x14ac:dyDescent="0.2">
      <c r="A5091" s="6">
        <v>4059</v>
      </c>
      <c r="B5091" s="7">
        <v>28928</v>
      </c>
      <c r="C5091" s="8">
        <f>DATE(2012,12,31)-976</f>
        <v>40298</v>
      </c>
      <c r="D5091" s="8" t="str">
        <f t="shared" si="96"/>
        <v>2010-04 (апрель 2010)</v>
      </c>
      <c r="E5091" s="9" t="s">
        <v>21</v>
      </c>
      <c r="F5091" s="7">
        <v>46</v>
      </c>
      <c r="G5091" s="7">
        <v>1397.383</v>
      </c>
      <c r="H5091" s="7">
        <v>0.01</v>
      </c>
      <c r="I5091" s="9" t="s">
        <v>22</v>
      </c>
      <c r="J5091" s="10">
        <v>-135.86100000000002</v>
      </c>
      <c r="K5091" s="11">
        <v>35.99</v>
      </c>
      <c r="L5091" s="11">
        <v>5</v>
      </c>
      <c r="M5091" s="9" t="s">
        <v>1882</v>
      </c>
      <c r="N5091" s="6" t="s">
        <v>672</v>
      </c>
      <c r="O5091" s="6" t="s">
        <v>673</v>
      </c>
      <c r="P5091" s="9" t="s">
        <v>41</v>
      </c>
      <c r="Q5091" s="9" t="s">
        <v>42</v>
      </c>
      <c r="R5091" s="9" t="s">
        <v>43</v>
      </c>
      <c r="S5091" s="7" t="s">
        <v>677</v>
      </c>
      <c r="T5091" s="9" t="s">
        <v>68</v>
      </c>
      <c r="U5091" s="7">
        <v>0.82</v>
      </c>
      <c r="V5091" s="12">
        <f>C5091+2</f>
        <v>40300</v>
      </c>
      <c r="W5091">
        <f>IF(D5091=' Pivot Tables'!$A$4,1,0)</f>
        <v>0</v>
      </c>
      <c r="X5091">
        <f>IF(AND(LEFT(D5091,4)+1=LEFT(' Pivot Tables'!$A$4,4)+0,RIGHT(LEFT(D5091,7),2)=RIGHT(LEFT(' Pivot Tables'!$A$4,7),2)),1,0)</f>
        <v>0</v>
      </c>
      <c r="Y5091" s="6">
        <f>1/COUNTIF(Таблица1[Order ID],Таблица1[[#This Row],[Order ID]])</f>
        <v>0.33333333333333331</v>
      </c>
      <c r="Z5091" s="9">
        <f>1/COUNTIFS(Таблица1[Customer Name],Таблица1[[#This Row],[Customer Name]],Таблица1[Order-Year-Month],Таблица1[[#This Row],[Order-Year-Month]])</f>
        <v>0.33333333333333331</v>
      </c>
    </row>
    <row r="5092" spans="1:26" x14ac:dyDescent="0.2">
      <c r="A5092" s="6">
        <v>4076</v>
      </c>
      <c r="B5092" s="7">
        <v>29058</v>
      </c>
      <c r="C5092" s="8">
        <f>DATE(2012,12,31)-1093</f>
        <v>40181</v>
      </c>
      <c r="D5092" s="8" t="str">
        <f t="shared" si="96"/>
        <v>2010-01 (январь 2010)</v>
      </c>
      <c r="E5092" s="9" t="s">
        <v>30</v>
      </c>
      <c r="F5092" s="7">
        <v>43</v>
      </c>
      <c r="G5092" s="7">
        <v>287.61</v>
      </c>
      <c r="H5092" s="7">
        <v>0.02</v>
      </c>
      <c r="I5092" s="9" t="s">
        <v>22</v>
      </c>
      <c r="J5092" s="10">
        <v>-101.5</v>
      </c>
      <c r="K5092" s="11">
        <v>6.48</v>
      </c>
      <c r="L5092" s="11">
        <v>6.35</v>
      </c>
      <c r="M5092" s="9" t="s">
        <v>1842</v>
      </c>
      <c r="N5092" s="6" t="s">
        <v>672</v>
      </c>
      <c r="O5092" s="6" t="s">
        <v>673</v>
      </c>
      <c r="P5092" s="9" t="s">
        <v>33</v>
      </c>
      <c r="Q5092" s="9" t="s">
        <v>26</v>
      </c>
      <c r="R5092" s="9" t="s">
        <v>61</v>
      </c>
      <c r="S5092" s="7" t="s">
        <v>1629</v>
      </c>
      <c r="T5092" s="9" t="s">
        <v>39</v>
      </c>
      <c r="U5092" s="7">
        <v>0.37</v>
      </c>
      <c r="V5092" s="12">
        <f>C5092+2</f>
        <v>40183</v>
      </c>
      <c r="W5092">
        <f>IF(D5092=' Pivot Tables'!$A$4,1,0)</f>
        <v>1</v>
      </c>
      <c r="X5092">
        <f>IF(AND(LEFT(D5092,4)+1=LEFT(' Pivot Tables'!$A$4,4)+0,RIGHT(LEFT(D5092,7),2)=RIGHT(LEFT(' Pivot Tables'!$A$4,7),2)),1,0)</f>
        <v>0</v>
      </c>
      <c r="Y5092" s="6">
        <f>1/COUNTIF(Таблица1[Order ID],Таблица1[[#This Row],[Order ID]])</f>
        <v>0.25</v>
      </c>
      <c r="Z5092" s="9">
        <f>1/COUNTIFS(Таблица1[Customer Name],Таблица1[[#This Row],[Customer Name]],Таблица1[Order-Year-Month],Таблица1[[#This Row],[Order-Year-Month]])</f>
        <v>0.25</v>
      </c>
    </row>
    <row r="5093" spans="1:26" x14ac:dyDescent="0.2">
      <c r="A5093" s="6">
        <v>4077</v>
      </c>
      <c r="B5093" s="7">
        <v>29058</v>
      </c>
      <c r="C5093" s="8">
        <f>DATE(2012,12,31)-1093</f>
        <v>40181</v>
      </c>
      <c r="D5093" s="8" t="str">
        <f t="shared" si="96"/>
        <v>2010-01 (январь 2010)</v>
      </c>
      <c r="E5093" s="9" t="s">
        <v>30</v>
      </c>
      <c r="F5093" s="7">
        <v>23</v>
      </c>
      <c r="G5093" s="7">
        <v>128.52000000000001</v>
      </c>
      <c r="H5093" s="7">
        <v>0.06</v>
      </c>
      <c r="I5093" s="9" t="s">
        <v>22</v>
      </c>
      <c r="J5093" s="10">
        <v>42.8</v>
      </c>
      <c r="K5093" s="11">
        <v>5.84</v>
      </c>
      <c r="L5093" s="11">
        <v>1</v>
      </c>
      <c r="M5093" s="9" t="s">
        <v>1842</v>
      </c>
      <c r="N5093" s="6" t="s">
        <v>672</v>
      </c>
      <c r="O5093" s="6" t="s">
        <v>673</v>
      </c>
      <c r="P5093" s="9" t="s">
        <v>33</v>
      </c>
      <c r="Q5093" s="9" t="s">
        <v>26</v>
      </c>
      <c r="R5093" s="9" t="s">
        <v>95</v>
      </c>
      <c r="S5093" s="7" t="s">
        <v>1144</v>
      </c>
      <c r="T5093" s="9" t="s">
        <v>68</v>
      </c>
      <c r="U5093" s="7">
        <v>0.38</v>
      </c>
      <c r="V5093" s="12">
        <f>C5093+1</f>
        <v>40182</v>
      </c>
      <c r="W5093">
        <f>IF(D5093=' Pivot Tables'!$A$4,1,0)</f>
        <v>1</v>
      </c>
      <c r="X5093">
        <f>IF(AND(LEFT(D5093,4)+1=LEFT(' Pivot Tables'!$A$4,4)+0,RIGHT(LEFT(D5093,7),2)=RIGHT(LEFT(' Pivot Tables'!$A$4,7),2)),1,0)</f>
        <v>0</v>
      </c>
      <c r="Y5093" s="6">
        <f>1/COUNTIF(Таблица1[Order ID],Таблица1[[#This Row],[Order ID]])</f>
        <v>0.25</v>
      </c>
      <c r="Z5093" s="9">
        <f>1/COUNTIFS(Таблица1[Customer Name],Таблица1[[#This Row],[Customer Name]],Таблица1[Order-Year-Month],Таблица1[[#This Row],[Order-Year-Month]])</f>
        <v>0.25</v>
      </c>
    </row>
    <row r="5094" spans="1:26" x14ac:dyDescent="0.2">
      <c r="A5094" s="6">
        <v>4078</v>
      </c>
      <c r="B5094" s="7">
        <v>29058</v>
      </c>
      <c r="C5094" s="8">
        <f>DATE(2012,12,31)-1093</f>
        <v>40181</v>
      </c>
      <c r="D5094" s="8" t="str">
        <f t="shared" si="96"/>
        <v>2010-01 (январь 2010)</v>
      </c>
      <c r="E5094" s="9" t="s">
        <v>30</v>
      </c>
      <c r="F5094" s="7">
        <v>41</v>
      </c>
      <c r="G5094" s="7">
        <v>1011.67</v>
      </c>
      <c r="H5094" s="7">
        <v>0.04</v>
      </c>
      <c r="I5094" s="9" t="s">
        <v>22</v>
      </c>
      <c r="J5094" s="10">
        <v>-74.64</v>
      </c>
      <c r="K5094" s="11">
        <v>24.98</v>
      </c>
      <c r="L5094" s="11">
        <v>8.7899999999999991</v>
      </c>
      <c r="M5094" s="9" t="s">
        <v>1842</v>
      </c>
      <c r="N5094" s="6" t="s">
        <v>672</v>
      </c>
      <c r="O5094" s="6" t="s">
        <v>673</v>
      </c>
      <c r="P5094" s="9" t="s">
        <v>33</v>
      </c>
      <c r="Q5094" s="9" t="s">
        <v>26</v>
      </c>
      <c r="R5094" s="9" t="s">
        <v>27</v>
      </c>
      <c r="S5094" s="7" t="s">
        <v>1476</v>
      </c>
      <c r="T5094" s="9" t="s">
        <v>39</v>
      </c>
      <c r="U5094" s="7">
        <v>0.66</v>
      </c>
      <c r="V5094" s="12">
        <f>C5094+0</f>
        <v>40181</v>
      </c>
      <c r="W5094">
        <f>IF(D5094=' Pivot Tables'!$A$4,1,0)</f>
        <v>1</v>
      </c>
      <c r="X5094">
        <f>IF(AND(LEFT(D5094,4)+1=LEFT(' Pivot Tables'!$A$4,4)+0,RIGHT(LEFT(D5094,7),2)=RIGHT(LEFT(' Pivot Tables'!$A$4,7),2)),1,0)</f>
        <v>0</v>
      </c>
      <c r="Y5094" s="6">
        <f>1/COUNTIF(Таблица1[Order ID],Таблица1[[#This Row],[Order ID]])</f>
        <v>0.25</v>
      </c>
      <c r="Z5094" s="9">
        <f>1/COUNTIFS(Таблица1[Customer Name],Таблица1[[#This Row],[Customer Name]],Таблица1[Order-Year-Month],Таблица1[[#This Row],[Order-Year-Month]])</f>
        <v>0.25</v>
      </c>
    </row>
    <row r="5095" spans="1:26" x14ac:dyDescent="0.2">
      <c r="A5095" s="6">
        <v>4086</v>
      </c>
      <c r="B5095" s="7">
        <v>29127</v>
      </c>
      <c r="C5095" s="8">
        <f>DATE(2012,12,31)-1371</f>
        <v>39903</v>
      </c>
      <c r="D5095" s="8" t="str">
        <f t="shared" si="96"/>
        <v>2009-03 (март 2009)</v>
      </c>
      <c r="E5095" s="9" t="s">
        <v>78</v>
      </c>
      <c r="F5095" s="7">
        <v>18</v>
      </c>
      <c r="G5095" s="7">
        <v>31.13</v>
      </c>
      <c r="H5095" s="7">
        <v>0.06</v>
      </c>
      <c r="I5095" s="9" t="s">
        <v>22</v>
      </c>
      <c r="J5095" s="10">
        <v>-0.81</v>
      </c>
      <c r="K5095" s="11">
        <v>1.68</v>
      </c>
      <c r="L5095" s="11">
        <v>1</v>
      </c>
      <c r="M5095" s="9" t="s">
        <v>1881</v>
      </c>
      <c r="N5095" s="6" t="s">
        <v>672</v>
      </c>
      <c r="O5095" s="6" t="s">
        <v>673</v>
      </c>
      <c r="P5095" s="9" t="s">
        <v>33</v>
      </c>
      <c r="Q5095" s="9" t="s">
        <v>26</v>
      </c>
      <c r="R5095" s="9" t="s">
        <v>95</v>
      </c>
      <c r="S5095" s="7" t="s">
        <v>1468</v>
      </c>
      <c r="T5095" s="9" t="s">
        <v>68</v>
      </c>
      <c r="U5095" s="7">
        <v>0.35</v>
      </c>
      <c r="V5095" s="12">
        <f>C5095+2</f>
        <v>39905</v>
      </c>
      <c r="W5095">
        <f>IF(D5095=' Pivot Tables'!$A$4,1,0)</f>
        <v>0</v>
      </c>
      <c r="X5095">
        <f>IF(AND(LEFT(D5095,4)+1=LEFT(' Pivot Tables'!$A$4,4)+0,RIGHT(LEFT(D5095,7),2)=RIGHT(LEFT(' Pivot Tables'!$A$4,7),2)),1,0)</f>
        <v>0</v>
      </c>
      <c r="Y5095" s="6">
        <f>1/COUNTIF(Таблица1[Order ID],Таблица1[[#This Row],[Order ID]])</f>
        <v>1</v>
      </c>
      <c r="Z5095" s="9">
        <f>1/COUNTIFS(Таблица1[Customer Name],Таблица1[[#This Row],[Customer Name]],Таблица1[Order-Year-Month],Таблица1[[#This Row],[Order-Year-Month]])</f>
        <v>0.5</v>
      </c>
    </row>
    <row r="5096" spans="1:26" x14ac:dyDescent="0.2">
      <c r="A5096" s="6">
        <v>4099</v>
      </c>
      <c r="B5096" s="7">
        <v>29191</v>
      </c>
      <c r="C5096" s="8">
        <f>DATE(2012,12,31)-186</f>
        <v>41088</v>
      </c>
      <c r="D5096" s="8" t="str">
        <f t="shared" si="96"/>
        <v>2012-06 (июнь 2012)</v>
      </c>
      <c r="E5096" s="9" t="s">
        <v>63</v>
      </c>
      <c r="F5096" s="7">
        <v>26</v>
      </c>
      <c r="G5096" s="7">
        <v>7201.89</v>
      </c>
      <c r="H5096" s="7">
        <v>0.09</v>
      </c>
      <c r="I5096" s="9" t="s">
        <v>31</v>
      </c>
      <c r="J5096" s="10">
        <v>-650.11</v>
      </c>
      <c r="K5096" s="11">
        <v>296.18</v>
      </c>
      <c r="L5096" s="11">
        <v>54.12</v>
      </c>
      <c r="M5096" s="9" t="s">
        <v>1844</v>
      </c>
      <c r="N5096" s="6" t="s">
        <v>672</v>
      </c>
      <c r="O5096" s="6" t="s">
        <v>673</v>
      </c>
      <c r="P5096" s="9" t="s">
        <v>60</v>
      </c>
      <c r="Q5096" s="9" t="s">
        <v>49</v>
      </c>
      <c r="R5096" s="9" t="s">
        <v>83</v>
      </c>
      <c r="S5096" s="7" t="s">
        <v>425</v>
      </c>
      <c r="T5096" s="9" t="s">
        <v>82</v>
      </c>
      <c r="U5096" s="7">
        <v>0.76</v>
      </c>
      <c r="V5096" s="12">
        <f>C5096+1</f>
        <v>41089</v>
      </c>
      <c r="W5096">
        <f>IF(D5096=' Pivot Tables'!$A$4,1,0)</f>
        <v>0</v>
      </c>
      <c r="X5096">
        <f>IF(AND(LEFT(D5096,4)+1=LEFT(' Pivot Tables'!$A$4,4)+0,RIGHT(LEFT(D5096,7),2)=RIGHT(LEFT(' Pivot Tables'!$A$4,7),2)),1,0)</f>
        <v>0</v>
      </c>
      <c r="Y5096" s="6">
        <f>1/COUNTIF(Таблица1[Order ID],Таблица1[[#This Row],[Order ID]])</f>
        <v>1</v>
      </c>
      <c r="Z5096" s="9">
        <f>1/COUNTIFS(Таблица1[Customer Name],Таблица1[[#This Row],[Customer Name]],Таблица1[Order-Year-Month],Таблица1[[#This Row],[Order-Year-Month]])</f>
        <v>1</v>
      </c>
    </row>
    <row r="5097" spans="1:26" x14ac:dyDescent="0.2">
      <c r="A5097" s="6">
        <v>4109</v>
      </c>
      <c r="B5097" s="7">
        <v>29249</v>
      </c>
      <c r="C5097" s="8">
        <f>DATE(2012,12,31)-567</f>
        <v>40707</v>
      </c>
      <c r="D5097" s="8" t="str">
        <f t="shared" si="96"/>
        <v>2011-06 (июнь 2011)</v>
      </c>
      <c r="E5097" s="9" t="s">
        <v>21</v>
      </c>
      <c r="F5097" s="7">
        <v>12</v>
      </c>
      <c r="G5097" s="7">
        <v>3156.6</v>
      </c>
      <c r="H5097" s="7">
        <v>0.1</v>
      </c>
      <c r="I5097" s="9" t="s">
        <v>22</v>
      </c>
      <c r="J5097" s="10">
        <v>454.26</v>
      </c>
      <c r="K5097" s="11">
        <v>276.2</v>
      </c>
      <c r="L5097" s="11">
        <v>24.49</v>
      </c>
      <c r="M5097" s="9" t="s">
        <v>1888</v>
      </c>
      <c r="N5097" s="6" t="s">
        <v>672</v>
      </c>
      <c r="O5097" s="6" t="s">
        <v>673</v>
      </c>
      <c r="P5097" s="9" t="s">
        <v>41</v>
      </c>
      <c r="Q5097" s="9" t="s">
        <v>49</v>
      </c>
      <c r="R5097" s="9" t="s">
        <v>112</v>
      </c>
      <c r="S5097" s="7" t="s">
        <v>164</v>
      </c>
      <c r="T5097" s="9" t="s">
        <v>29</v>
      </c>
      <c r="U5097" s="7"/>
      <c r="V5097" s="12">
        <f>C5097+4</f>
        <v>40711</v>
      </c>
      <c r="W5097">
        <f>IF(D5097=' Pivot Tables'!$A$4,1,0)</f>
        <v>0</v>
      </c>
      <c r="X5097">
        <f>IF(AND(LEFT(D5097,4)+1=LEFT(' Pivot Tables'!$A$4,4)+0,RIGHT(LEFT(D5097,7),2)=RIGHT(LEFT(' Pivot Tables'!$A$4,7),2)),1,0)</f>
        <v>0</v>
      </c>
      <c r="Y5097" s="6">
        <f>1/COUNTIF(Таблица1[Order ID],Таблица1[[#This Row],[Order ID]])</f>
        <v>0.5</v>
      </c>
      <c r="Z5097" s="9">
        <f>1/COUNTIFS(Таблица1[Customer Name],Таблица1[[#This Row],[Customer Name]],Таблица1[Order-Year-Month],Таблица1[[#This Row],[Order-Year-Month]])</f>
        <v>0.5</v>
      </c>
    </row>
    <row r="5098" spans="1:26" x14ac:dyDescent="0.2">
      <c r="A5098" s="6">
        <v>4110</v>
      </c>
      <c r="B5098" s="7">
        <v>29249</v>
      </c>
      <c r="C5098" s="8">
        <f>DATE(2012,12,31)-567</f>
        <v>40707</v>
      </c>
      <c r="D5098" s="8" t="str">
        <f t="shared" si="96"/>
        <v>2011-06 (июнь 2011)</v>
      </c>
      <c r="E5098" s="9" t="s">
        <v>21</v>
      </c>
      <c r="F5098" s="7">
        <v>47</v>
      </c>
      <c r="G5098" s="7">
        <v>302.69</v>
      </c>
      <c r="H5098" s="7">
        <v>0.05</v>
      </c>
      <c r="I5098" s="9" t="s">
        <v>56</v>
      </c>
      <c r="J5098" s="10">
        <v>125.65</v>
      </c>
      <c r="K5098" s="11">
        <v>6.35</v>
      </c>
      <c r="L5098" s="11">
        <v>1.02</v>
      </c>
      <c r="M5098" s="9" t="s">
        <v>1888</v>
      </c>
      <c r="N5098" s="6" t="s">
        <v>672</v>
      </c>
      <c r="O5098" s="6" t="s">
        <v>673</v>
      </c>
      <c r="P5098" s="9" t="s">
        <v>41</v>
      </c>
      <c r="Q5098" s="9" t="s">
        <v>26</v>
      </c>
      <c r="R5098" s="9" t="s">
        <v>61</v>
      </c>
      <c r="S5098" s="7" t="s">
        <v>157</v>
      </c>
      <c r="T5098" s="9" t="s">
        <v>68</v>
      </c>
      <c r="U5098" s="7">
        <v>0.39</v>
      </c>
      <c r="V5098" s="12">
        <f>C5098+5</f>
        <v>40712</v>
      </c>
      <c r="W5098">
        <f>IF(D5098=' Pivot Tables'!$A$4,1,0)</f>
        <v>0</v>
      </c>
      <c r="X5098">
        <f>IF(AND(LEFT(D5098,4)+1=LEFT(' Pivot Tables'!$A$4,4)+0,RIGHT(LEFT(D5098,7),2)=RIGHT(LEFT(' Pivot Tables'!$A$4,7),2)),1,0)</f>
        <v>0</v>
      </c>
      <c r="Y5098" s="6">
        <f>1/COUNTIF(Таблица1[Order ID],Таблица1[[#This Row],[Order ID]])</f>
        <v>0.5</v>
      </c>
      <c r="Z5098" s="9">
        <f>1/COUNTIFS(Таблица1[Customer Name],Таблица1[[#This Row],[Customer Name]],Таблица1[Order-Year-Month],Таблица1[[#This Row],[Order-Year-Month]])</f>
        <v>0.5</v>
      </c>
    </row>
    <row r="5099" spans="1:26" x14ac:dyDescent="0.2">
      <c r="A5099" s="6">
        <v>4128</v>
      </c>
      <c r="B5099" s="7">
        <v>29347</v>
      </c>
      <c r="C5099" s="8">
        <f>DATE(2012,12,31)-141</f>
        <v>41133</v>
      </c>
      <c r="D5099" s="8" t="str">
        <f t="shared" si="96"/>
        <v>2012-08 (август 2012)</v>
      </c>
      <c r="E5099" s="9" t="s">
        <v>63</v>
      </c>
      <c r="F5099" s="7">
        <v>50</v>
      </c>
      <c r="G5099" s="7">
        <v>2040.39</v>
      </c>
      <c r="H5099" s="7">
        <v>7.0000000000000007E-2</v>
      </c>
      <c r="I5099" s="9" t="s">
        <v>22</v>
      </c>
      <c r="J5099" s="10">
        <v>221.09</v>
      </c>
      <c r="K5099" s="11">
        <v>40.99</v>
      </c>
      <c r="L5099" s="11">
        <v>19.989999999999998</v>
      </c>
      <c r="M5099" s="9" t="s">
        <v>982</v>
      </c>
      <c r="N5099" s="6" t="s">
        <v>672</v>
      </c>
      <c r="O5099" s="6" t="s">
        <v>673</v>
      </c>
      <c r="P5099" s="9" t="s">
        <v>41</v>
      </c>
      <c r="Q5099" s="9" t="s">
        <v>26</v>
      </c>
      <c r="R5099" s="9" t="s">
        <v>61</v>
      </c>
      <c r="S5099" s="7" t="s">
        <v>105</v>
      </c>
      <c r="T5099" s="9" t="s">
        <v>39</v>
      </c>
      <c r="U5099" s="7">
        <v>0.36</v>
      </c>
      <c r="V5099" s="12">
        <f>C5099+2</f>
        <v>41135</v>
      </c>
      <c r="W5099">
        <f>IF(D5099=' Pivot Tables'!$A$4,1,0)</f>
        <v>0</v>
      </c>
      <c r="X5099">
        <f>IF(AND(LEFT(D5099,4)+1=LEFT(' Pivot Tables'!$A$4,4)+0,RIGHT(LEFT(D5099,7),2)=RIGHT(LEFT(' Pivot Tables'!$A$4,7),2)),1,0)</f>
        <v>0</v>
      </c>
      <c r="Y5099" s="6">
        <f>1/COUNTIF(Таблица1[Order ID],Таблица1[[#This Row],[Order ID]])</f>
        <v>1</v>
      </c>
      <c r="Z5099" s="9">
        <f>1/COUNTIFS(Таблица1[Customer Name],Таблица1[[#This Row],[Customer Name]],Таблица1[Order-Year-Month],Таблица1[[#This Row],[Order-Year-Month]])</f>
        <v>1</v>
      </c>
    </row>
    <row r="5100" spans="1:26" x14ac:dyDescent="0.2">
      <c r="A5100" s="6">
        <v>4156</v>
      </c>
      <c r="B5100" s="7">
        <v>29478</v>
      </c>
      <c r="C5100" s="8">
        <f>DATE(2012,12,31)-997</f>
        <v>40277</v>
      </c>
      <c r="D5100" s="8" t="str">
        <f t="shared" si="96"/>
        <v>2010-04 (апрель 2010)</v>
      </c>
      <c r="E5100" s="9" t="s">
        <v>30</v>
      </c>
      <c r="F5100" s="7">
        <v>15</v>
      </c>
      <c r="G5100" s="7">
        <v>272.89249999999998</v>
      </c>
      <c r="H5100" s="7">
        <v>0.01</v>
      </c>
      <c r="I5100" s="9" t="s">
        <v>22</v>
      </c>
      <c r="J5100" s="10">
        <v>19.611000000000001</v>
      </c>
      <c r="K5100" s="11">
        <v>20.99</v>
      </c>
      <c r="L5100" s="11">
        <v>0.99</v>
      </c>
      <c r="M5100" s="9" t="s">
        <v>1868</v>
      </c>
      <c r="N5100" s="6" t="s">
        <v>672</v>
      </c>
      <c r="O5100" s="6" t="s">
        <v>673</v>
      </c>
      <c r="P5100" s="9" t="s">
        <v>33</v>
      </c>
      <c r="Q5100" s="9" t="s">
        <v>42</v>
      </c>
      <c r="R5100" s="9" t="s">
        <v>43</v>
      </c>
      <c r="S5100" s="7" t="s">
        <v>837</v>
      </c>
      <c r="T5100" s="9" t="s">
        <v>68</v>
      </c>
      <c r="U5100" s="7">
        <v>0.56999999999999995</v>
      </c>
      <c r="V5100" s="12">
        <f>C5100+3</f>
        <v>40280</v>
      </c>
      <c r="W5100">
        <f>IF(D5100=' Pivot Tables'!$A$4,1,0)</f>
        <v>0</v>
      </c>
      <c r="X5100">
        <f>IF(AND(LEFT(D5100,4)+1=LEFT(' Pivot Tables'!$A$4,4)+0,RIGHT(LEFT(D5100,7),2)=RIGHT(LEFT(' Pivot Tables'!$A$4,7),2)),1,0)</f>
        <v>0</v>
      </c>
      <c r="Y5100" s="6">
        <f>1/COUNTIF(Таблица1[Order ID],Таблица1[[#This Row],[Order ID]])</f>
        <v>1</v>
      </c>
      <c r="Z5100" s="9">
        <f>1/COUNTIFS(Таблица1[Customer Name],Таблица1[[#This Row],[Customer Name]],Таблица1[Order-Year-Month],Таблица1[[#This Row],[Order-Year-Month]])</f>
        <v>1</v>
      </c>
    </row>
    <row r="5101" spans="1:26" x14ac:dyDescent="0.2">
      <c r="A5101" s="6">
        <v>4222</v>
      </c>
      <c r="B5101" s="7">
        <v>29991</v>
      </c>
      <c r="C5101" s="8">
        <f>DATE(2012,12,31)-87</f>
        <v>41187</v>
      </c>
      <c r="D5101" s="8" t="str">
        <f t="shared" si="96"/>
        <v>2012-10 (октябрь 2012)</v>
      </c>
      <c r="E5101" s="9" t="s">
        <v>21</v>
      </c>
      <c r="F5101" s="7">
        <v>41</v>
      </c>
      <c r="G5101" s="7">
        <v>123.11</v>
      </c>
      <c r="H5101" s="7">
        <v>0.06</v>
      </c>
      <c r="I5101" s="9" t="s">
        <v>22</v>
      </c>
      <c r="J5101" s="10">
        <v>48.93</v>
      </c>
      <c r="K5101" s="11">
        <v>3.15</v>
      </c>
      <c r="L5101" s="11">
        <v>0.49</v>
      </c>
      <c r="M5101" s="9" t="s">
        <v>1857</v>
      </c>
      <c r="N5101" s="6" t="s">
        <v>672</v>
      </c>
      <c r="O5101" s="6" t="s">
        <v>673</v>
      </c>
      <c r="P5101" s="9" t="s">
        <v>25</v>
      </c>
      <c r="Q5101" s="9" t="s">
        <v>26</v>
      </c>
      <c r="R5101" s="9" t="s">
        <v>88</v>
      </c>
      <c r="S5101" s="7" t="s">
        <v>1234</v>
      </c>
      <c r="T5101" s="9" t="s">
        <v>39</v>
      </c>
      <c r="U5101" s="7">
        <v>0.37</v>
      </c>
      <c r="V5101" s="12">
        <f>C5101+2</f>
        <v>41189</v>
      </c>
      <c r="W5101">
        <f>IF(D5101=' Pivot Tables'!$A$4,1,0)</f>
        <v>0</v>
      </c>
      <c r="X5101">
        <f>IF(AND(LEFT(D5101,4)+1=LEFT(' Pivot Tables'!$A$4,4)+0,RIGHT(LEFT(D5101,7),2)=RIGHT(LEFT(' Pivot Tables'!$A$4,7),2)),1,0)</f>
        <v>0</v>
      </c>
      <c r="Y5101" s="6">
        <f>1/COUNTIF(Таблица1[Order ID],Таблица1[[#This Row],[Order ID]])</f>
        <v>1</v>
      </c>
      <c r="Z5101" s="9">
        <f>1/COUNTIFS(Таблица1[Customer Name],Таблица1[[#This Row],[Customer Name]],Таблица1[Order-Year-Month],Таблица1[[#This Row],[Order-Year-Month]])</f>
        <v>1</v>
      </c>
    </row>
    <row r="5102" spans="1:26" x14ac:dyDescent="0.2">
      <c r="A5102" s="6">
        <v>4330</v>
      </c>
      <c r="B5102" s="7">
        <v>30853</v>
      </c>
      <c r="C5102" s="8">
        <f>DATE(2012,12,31)-523</f>
        <v>40751</v>
      </c>
      <c r="D5102" s="8" t="str">
        <f t="shared" si="96"/>
        <v>2011-07 (июль 2011)</v>
      </c>
      <c r="E5102" s="9" t="s">
        <v>63</v>
      </c>
      <c r="F5102" s="7">
        <v>16</v>
      </c>
      <c r="G5102" s="7">
        <v>41.52</v>
      </c>
      <c r="H5102" s="7">
        <v>0.06</v>
      </c>
      <c r="I5102" s="9" t="s">
        <v>22</v>
      </c>
      <c r="J5102" s="10">
        <v>-85.17</v>
      </c>
      <c r="K5102" s="11">
        <v>2.1800000000000002</v>
      </c>
      <c r="L5102" s="11">
        <v>7.09</v>
      </c>
      <c r="M5102" s="9" t="s">
        <v>1867</v>
      </c>
      <c r="N5102" s="6" t="s">
        <v>672</v>
      </c>
      <c r="O5102" s="6" t="s">
        <v>673</v>
      </c>
      <c r="P5102" s="9" t="s">
        <v>25</v>
      </c>
      <c r="Q5102" s="9" t="s">
        <v>26</v>
      </c>
      <c r="R5102" s="9" t="s">
        <v>61</v>
      </c>
      <c r="S5102" s="7" t="s">
        <v>1271</v>
      </c>
      <c r="T5102" s="9" t="s">
        <v>68</v>
      </c>
      <c r="U5102" s="7">
        <v>0.38</v>
      </c>
      <c r="V5102" s="12">
        <f>C5102+3</f>
        <v>40754</v>
      </c>
      <c r="W5102">
        <f>IF(D5102=' Pivot Tables'!$A$4,1,0)</f>
        <v>0</v>
      </c>
      <c r="X5102">
        <f>IF(AND(LEFT(D5102,4)+1=LEFT(' Pivot Tables'!$A$4,4)+0,RIGHT(LEFT(D5102,7),2)=RIGHT(LEFT(' Pivot Tables'!$A$4,7),2)),1,0)</f>
        <v>0</v>
      </c>
      <c r="Y5102" s="6">
        <f>1/COUNTIF(Таблица1[Order ID],Таблица1[[#This Row],[Order ID]])</f>
        <v>0.5</v>
      </c>
      <c r="Z5102" s="9">
        <f>1/COUNTIFS(Таблица1[Customer Name],Таблица1[[#This Row],[Customer Name]],Таблица1[Order-Year-Month],Таблица1[[#This Row],[Order-Year-Month]])</f>
        <v>0.5</v>
      </c>
    </row>
    <row r="5103" spans="1:26" x14ac:dyDescent="0.2">
      <c r="A5103" s="6">
        <v>4335</v>
      </c>
      <c r="B5103" s="7">
        <v>30886</v>
      </c>
      <c r="C5103" s="8">
        <f>DATE(2012,12,31)-233</f>
        <v>41041</v>
      </c>
      <c r="D5103" s="8" t="str">
        <f t="shared" si="96"/>
        <v>2012-05 (май 2012)</v>
      </c>
      <c r="E5103" s="9" t="s">
        <v>21</v>
      </c>
      <c r="F5103" s="7">
        <v>28</v>
      </c>
      <c r="G5103" s="7">
        <v>5320.57</v>
      </c>
      <c r="H5103" s="7">
        <v>0.02</v>
      </c>
      <c r="I5103" s="9" t="s">
        <v>22</v>
      </c>
      <c r="J5103" s="10">
        <v>534.29</v>
      </c>
      <c r="K5103" s="11">
        <v>193.17</v>
      </c>
      <c r="L5103" s="11">
        <v>19.989999999999998</v>
      </c>
      <c r="M5103" s="9" t="s">
        <v>1849</v>
      </c>
      <c r="N5103" s="6" t="s">
        <v>672</v>
      </c>
      <c r="O5103" s="6" t="s">
        <v>673</v>
      </c>
      <c r="P5103" s="9" t="s">
        <v>33</v>
      </c>
      <c r="Q5103" s="9" t="s">
        <v>26</v>
      </c>
      <c r="R5103" s="9" t="s">
        <v>27</v>
      </c>
      <c r="S5103" s="7" t="s">
        <v>338</v>
      </c>
      <c r="T5103" s="9" t="s">
        <v>39</v>
      </c>
      <c r="U5103" s="7">
        <v>0.71</v>
      </c>
      <c r="V5103" s="12">
        <f>C5103+5</f>
        <v>41046</v>
      </c>
      <c r="W5103">
        <f>IF(D5103=' Pivot Tables'!$A$4,1,0)</f>
        <v>0</v>
      </c>
      <c r="X5103">
        <f>IF(AND(LEFT(D5103,4)+1=LEFT(' Pivot Tables'!$A$4,4)+0,RIGHT(LEFT(D5103,7),2)=RIGHT(LEFT(' Pivot Tables'!$A$4,7),2)),1,0)</f>
        <v>0</v>
      </c>
      <c r="Y5103" s="6">
        <f>1/COUNTIF(Таблица1[Order ID],Таблица1[[#This Row],[Order ID]])</f>
        <v>1</v>
      </c>
      <c r="Z5103" s="9">
        <f>1/COUNTIFS(Таблица1[Customer Name],Таблица1[[#This Row],[Customer Name]],Таблица1[Order-Year-Month],Таблица1[[#This Row],[Order-Year-Month]])</f>
        <v>1</v>
      </c>
    </row>
    <row r="5104" spans="1:26" x14ac:dyDescent="0.2">
      <c r="A5104" s="6">
        <v>4353</v>
      </c>
      <c r="B5104" s="7">
        <v>31042</v>
      </c>
      <c r="C5104" s="8">
        <f>DATE(2012,12,31)-42</f>
        <v>41232</v>
      </c>
      <c r="D5104" s="8" t="str">
        <f t="shared" si="96"/>
        <v>2012-11 (ноябрь 2012)</v>
      </c>
      <c r="E5104" s="9" t="s">
        <v>63</v>
      </c>
      <c r="F5104" s="7">
        <v>26</v>
      </c>
      <c r="G5104" s="7">
        <v>3227.38</v>
      </c>
      <c r="H5104" s="7">
        <v>0.05</v>
      </c>
      <c r="I5104" s="9" t="s">
        <v>31</v>
      </c>
      <c r="J5104" s="10">
        <v>192.31</v>
      </c>
      <c r="K5104" s="11">
        <v>120.98</v>
      </c>
      <c r="L5104" s="11">
        <v>30</v>
      </c>
      <c r="M5104" s="9" t="s">
        <v>1854</v>
      </c>
      <c r="N5104" s="6" t="s">
        <v>672</v>
      </c>
      <c r="O5104" s="6" t="s">
        <v>673</v>
      </c>
      <c r="P5104" s="9" t="s">
        <v>33</v>
      </c>
      <c r="Q5104" s="9" t="s">
        <v>49</v>
      </c>
      <c r="R5104" s="9" t="s">
        <v>112</v>
      </c>
      <c r="S5104" s="7" t="s">
        <v>116</v>
      </c>
      <c r="T5104" s="9" t="s">
        <v>36</v>
      </c>
      <c r="U5104" s="7">
        <v>0.64</v>
      </c>
      <c r="V5104" s="12">
        <f>C5104+1</f>
        <v>41233</v>
      </c>
      <c r="W5104">
        <f>IF(D5104=' Pivot Tables'!$A$4,1,0)</f>
        <v>0</v>
      </c>
      <c r="X5104">
        <f>IF(AND(LEFT(D5104,4)+1=LEFT(' Pivot Tables'!$A$4,4)+0,RIGHT(LEFT(D5104,7),2)=RIGHT(LEFT(' Pivot Tables'!$A$4,7),2)),1,0)</f>
        <v>0</v>
      </c>
      <c r="Y5104" s="6">
        <f>1/COUNTIF(Таблица1[Order ID],Таблица1[[#This Row],[Order ID]])</f>
        <v>0.5</v>
      </c>
      <c r="Z5104" s="9">
        <f>1/COUNTIFS(Таблица1[Customer Name],Таблица1[[#This Row],[Customer Name]],Таблица1[Order-Year-Month],Таблица1[[#This Row],[Order-Year-Month]])</f>
        <v>0.5</v>
      </c>
    </row>
    <row r="5105" spans="1:26" x14ac:dyDescent="0.2">
      <c r="A5105" s="6">
        <v>4354</v>
      </c>
      <c r="B5105" s="7">
        <v>31042</v>
      </c>
      <c r="C5105" s="8">
        <f>DATE(2012,12,31)-42</f>
        <v>41232</v>
      </c>
      <c r="D5105" s="8" t="str">
        <f t="shared" si="96"/>
        <v>2012-11 (ноябрь 2012)</v>
      </c>
      <c r="E5105" s="9" t="s">
        <v>63</v>
      </c>
      <c r="F5105" s="7">
        <v>48</v>
      </c>
      <c r="G5105" s="7">
        <v>134.52000000000001</v>
      </c>
      <c r="H5105" s="7">
        <v>0.03</v>
      </c>
      <c r="I5105" s="9" t="s">
        <v>22</v>
      </c>
      <c r="J5105" s="10">
        <v>-6.04</v>
      </c>
      <c r="K5105" s="11">
        <v>2.78</v>
      </c>
      <c r="L5105" s="11">
        <v>1.2</v>
      </c>
      <c r="M5105" s="9" t="s">
        <v>1854</v>
      </c>
      <c r="N5105" s="6" t="s">
        <v>672</v>
      </c>
      <c r="O5105" s="6" t="s">
        <v>673</v>
      </c>
      <c r="P5105" s="9" t="s">
        <v>33</v>
      </c>
      <c r="Q5105" s="9" t="s">
        <v>26</v>
      </c>
      <c r="R5105" s="9" t="s">
        <v>95</v>
      </c>
      <c r="S5105" s="7" t="s">
        <v>256</v>
      </c>
      <c r="T5105" s="9" t="s">
        <v>68</v>
      </c>
      <c r="U5105" s="7">
        <v>0.57999999999999996</v>
      </c>
      <c r="V5105" s="12">
        <f>C5105+1</f>
        <v>41233</v>
      </c>
      <c r="W5105">
        <f>IF(D5105=' Pivot Tables'!$A$4,1,0)</f>
        <v>0</v>
      </c>
      <c r="X5105">
        <f>IF(AND(LEFT(D5105,4)+1=LEFT(' Pivot Tables'!$A$4,4)+0,RIGHT(LEFT(D5105,7),2)=RIGHT(LEFT(' Pivot Tables'!$A$4,7),2)),1,0)</f>
        <v>0</v>
      </c>
      <c r="Y5105" s="6">
        <f>1/COUNTIF(Таблица1[Order ID],Таблица1[[#This Row],[Order ID]])</f>
        <v>0.5</v>
      </c>
      <c r="Z5105" s="9">
        <f>1/COUNTIFS(Таблица1[Customer Name],Таблица1[[#This Row],[Customer Name]],Таблица1[Order-Year-Month],Таблица1[[#This Row],[Order-Year-Month]])</f>
        <v>0.5</v>
      </c>
    </row>
    <row r="5106" spans="1:26" x14ac:dyDescent="0.2">
      <c r="A5106" s="6">
        <v>4363</v>
      </c>
      <c r="B5106" s="7">
        <v>31078</v>
      </c>
      <c r="C5106" s="8">
        <f>DATE(2012,12,31)-1420</f>
        <v>39854</v>
      </c>
      <c r="D5106" s="8" t="str">
        <f t="shared" si="96"/>
        <v>2009-02 (февраль 2009)</v>
      </c>
      <c r="E5106" s="9" t="s">
        <v>78</v>
      </c>
      <c r="F5106" s="7">
        <v>7</v>
      </c>
      <c r="G5106" s="7">
        <v>104.46</v>
      </c>
      <c r="H5106" s="7">
        <v>0.01</v>
      </c>
      <c r="I5106" s="9" t="s">
        <v>22</v>
      </c>
      <c r="J5106" s="10">
        <v>-36.766199999999998</v>
      </c>
      <c r="K5106" s="11">
        <v>13.99</v>
      </c>
      <c r="L5106" s="11">
        <v>7.51</v>
      </c>
      <c r="M5106" s="9" t="s">
        <v>1866</v>
      </c>
      <c r="N5106" s="6" t="s">
        <v>672</v>
      </c>
      <c r="O5106" s="6" t="s">
        <v>673</v>
      </c>
      <c r="P5106" s="9" t="s">
        <v>41</v>
      </c>
      <c r="Q5106" s="9" t="s">
        <v>42</v>
      </c>
      <c r="R5106" s="9" t="s">
        <v>210</v>
      </c>
      <c r="S5106" s="7" t="s">
        <v>687</v>
      </c>
      <c r="T5106" s="9" t="s">
        <v>48</v>
      </c>
      <c r="U5106" s="7">
        <v>0.39</v>
      </c>
      <c r="V5106" s="12">
        <f>C5106+1</f>
        <v>39855</v>
      </c>
      <c r="W5106">
        <f>IF(D5106=' Pivot Tables'!$A$4,1,0)</f>
        <v>0</v>
      </c>
      <c r="X5106">
        <f>IF(AND(LEFT(D5106,4)+1=LEFT(' Pivot Tables'!$A$4,4)+0,RIGHT(LEFT(D5106,7),2)=RIGHT(LEFT(' Pivot Tables'!$A$4,7),2)),1,0)</f>
        <v>0</v>
      </c>
      <c r="Y5106" s="6">
        <f>1/COUNTIF(Таблица1[Order ID],Таблица1[[#This Row],[Order ID]])</f>
        <v>1</v>
      </c>
      <c r="Z5106" s="9">
        <f>1/COUNTIFS(Таблица1[Customer Name],Таблица1[[#This Row],[Customer Name]],Таблица1[Order-Year-Month],Таблица1[[#This Row],[Order-Year-Month]])</f>
        <v>1</v>
      </c>
    </row>
    <row r="5107" spans="1:26" x14ac:dyDescent="0.2">
      <c r="A5107" s="6">
        <v>4414</v>
      </c>
      <c r="B5107" s="7">
        <v>31493</v>
      </c>
      <c r="C5107" s="8">
        <f>DATE(2012,12,31)-1171</f>
        <v>40103</v>
      </c>
      <c r="D5107" s="8" t="str">
        <f t="shared" si="96"/>
        <v>2009-10 (октябрь 2009)</v>
      </c>
      <c r="E5107" s="9" t="s">
        <v>30</v>
      </c>
      <c r="F5107" s="7">
        <v>8</v>
      </c>
      <c r="G5107" s="7">
        <v>112.47</v>
      </c>
      <c r="H5107" s="7">
        <v>0</v>
      </c>
      <c r="I5107" s="9" t="s">
        <v>56</v>
      </c>
      <c r="J5107" s="10">
        <v>46.74</v>
      </c>
      <c r="K5107" s="11">
        <v>12.2</v>
      </c>
      <c r="L5107" s="11">
        <v>6.02</v>
      </c>
      <c r="M5107" s="9" t="s">
        <v>1631</v>
      </c>
      <c r="N5107" s="6" t="s">
        <v>672</v>
      </c>
      <c r="O5107" s="6" t="s">
        <v>673</v>
      </c>
      <c r="P5107" s="9" t="s">
        <v>60</v>
      </c>
      <c r="Q5107" s="9" t="s">
        <v>49</v>
      </c>
      <c r="R5107" s="9" t="s">
        <v>50</v>
      </c>
      <c r="S5107" s="7" t="s">
        <v>1283</v>
      </c>
      <c r="T5107" s="9" t="s">
        <v>52</v>
      </c>
      <c r="U5107" s="7">
        <v>0.43</v>
      </c>
      <c r="V5107" s="12">
        <f>C5107+1</f>
        <v>40104</v>
      </c>
      <c r="W5107">
        <f>IF(D5107=' Pivot Tables'!$A$4,1,0)</f>
        <v>0</v>
      </c>
      <c r="X5107">
        <f>IF(AND(LEFT(D5107,4)+1=LEFT(' Pivot Tables'!$A$4,4)+0,RIGHT(LEFT(D5107,7),2)=RIGHT(LEFT(' Pivot Tables'!$A$4,7),2)),1,0)</f>
        <v>0</v>
      </c>
      <c r="Y5107" s="6">
        <f>1/COUNTIF(Таблица1[Order ID],Таблица1[[#This Row],[Order ID]])</f>
        <v>1</v>
      </c>
      <c r="Z5107" s="9">
        <f>1/COUNTIFS(Таблица1[Customer Name],Таблица1[[#This Row],[Customer Name]],Таблица1[Order-Year-Month],Таблица1[[#This Row],[Order-Year-Month]])</f>
        <v>0.5</v>
      </c>
    </row>
    <row r="5108" spans="1:26" x14ac:dyDescent="0.2">
      <c r="A5108" s="6">
        <v>4426</v>
      </c>
      <c r="B5108" s="7">
        <v>31555</v>
      </c>
      <c r="C5108" s="8">
        <f>DATE(2012,12,31)-362</f>
        <v>40912</v>
      </c>
      <c r="D5108" s="8" t="str">
        <f t="shared" si="96"/>
        <v>2012-01 (январь 2012)</v>
      </c>
      <c r="E5108" s="9" t="s">
        <v>78</v>
      </c>
      <c r="F5108" s="7">
        <v>38</v>
      </c>
      <c r="G5108" s="7">
        <v>3531.75</v>
      </c>
      <c r="H5108" s="7">
        <v>0</v>
      </c>
      <c r="I5108" s="9" t="s">
        <v>22</v>
      </c>
      <c r="J5108" s="10">
        <v>572.26</v>
      </c>
      <c r="K5108" s="11">
        <v>88.84</v>
      </c>
      <c r="L5108" s="11">
        <v>20.79</v>
      </c>
      <c r="M5108" s="9" t="s">
        <v>1889</v>
      </c>
      <c r="N5108" s="6" t="s">
        <v>672</v>
      </c>
      <c r="O5108" s="6" t="s">
        <v>673</v>
      </c>
      <c r="P5108" s="9" t="s">
        <v>60</v>
      </c>
      <c r="Q5108" s="9" t="s">
        <v>49</v>
      </c>
      <c r="R5108" s="9" t="s">
        <v>50</v>
      </c>
      <c r="S5108" s="7" t="s">
        <v>1890</v>
      </c>
      <c r="T5108" s="9" t="s">
        <v>29</v>
      </c>
      <c r="U5108" s="7">
        <v>0.59</v>
      </c>
      <c r="V5108" s="12">
        <f>C5108+0</f>
        <v>40912</v>
      </c>
      <c r="W5108">
        <f>IF(D5108=' Pivot Tables'!$A$4,1,0)</f>
        <v>0</v>
      </c>
      <c r="X5108">
        <f>IF(AND(LEFT(D5108,4)+1=LEFT(' Pivot Tables'!$A$4,4)+0,RIGHT(LEFT(D5108,7),2)=RIGHT(LEFT(' Pivot Tables'!$A$4,7),2)),1,0)</f>
        <v>0</v>
      </c>
      <c r="Y5108" s="6">
        <f>1/COUNTIF(Таблица1[Order ID],Таблица1[[#This Row],[Order ID]])</f>
        <v>0.5</v>
      </c>
      <c r="Z5108" s="9">
        <f>1/COUNTIFS(Таблица1[Customer Name],Таблица1[[#This Row],[Customer Name]],Таблица1[Order-Year-Month],Таблица1[[#This Row],[Order-Year-Month]])</f>
        <v>0.5</v>
      </c>
    </row>
    <row r="5109" spans="1:26" x14ac:dyDescent="0.2">
      <c r="A5109" s="6">
        <v>4427</v>
      </c>
      <c r="B5109" s="7">
        <v>31555</v>
      </c>
      <c r="C5109" s="8">
        <f>DATE(2012,12,31)-362</f>
        <v>40912</v>
      </c>
      <c r="D5109" s="8" t="str">
        <f t="shared" si="96"/>
        <v>2012-01 (январь 2012)</v>
      </c>
      <c r="E5109" s="9" t="s">
        <v>78</v>
      </c>
      <c r="F5109" s="7">
        <v>5</v>
      </c>
      <c r="G5109" s="7">
        <v>500.5</v>
      </c>
      <c r="H5109" s="7">
        <v>0.02</v>
      </c>
      <c r="I5109" s="9" t="s">
        <v>31</v>
      </c>
      <c r="J5109" s="10">
        <v>-153.31139999999999</v>
      </c>
      <c r="K5109" s="11">
        <v>90.97</v>
      </c>
      <c r="L5109" s="11">
        <v>28</v>
      </c>
      <c r="M5109" s="9" t="s">
        <v>1889</v>
      </c>
      <c r="N5109" s="6" t="s">
        <v>672</v>
      </c>
      <c r="O5109" s="6" t="s">
        <v>673</v>
      </c>
      <c r="P5109" s="9" t="s">
        <v>60</v>
      </c>
      <c r="Q5109" s="9" t="s">
        <v>42</v>
      </c>
      <c r="R5109" s="9" t="s">
        <v>210</v>
      </c>
      <c r="S5109" s="7" t="s">
        <v>621</v>
      </c>
      <c r="T5109" s="9" t="s">
        <v>36</v>
      </c>
      <c r="U5109" s="7">
        <v>0.38</v>
      </c>
      <c r="V5109" s="12">
        <f>C5109+3</f>
        <v>40915</v>
      </c>
      <c r="W5109">
        <f>IF(D5109=' Pivot Tables'!$A$4,1,0)</f>
        <v>0</v>
      </c>
      <c r="X5109">
        <f>IF(AND(LEFT(D5109,4)+1=LEFT(' Pivot Tables'!$A$4,4)+0,RIGHT(LEFT(D5109,7),2)=RIGHT(LEFT(' Pivot Tables'!$A$4,7),2)),1,0)</f>
        <v>0</v>
      </c>
      <c r="Y5109" s="6">
        <f>1/COUNTIF(Таблица1[Order ID],Таблица1[[#This Row],[Order ID]])</f>
        <v>0.5</v>
      </c>
      <c r="Z5109" s="9">
        <f>1/COUNTIFS(Таблица1[Customer Name],Таблица1[[#This Row],[Customer Name]],Таблица1[Order-Year-Month],Таблица1[[#This Row],[Order-Year-Month]])</f>
        <v>0.5</v>
      </c>
    </row>
    <row r="5110" spans="1:26" x14ac:dyDescent="0.2">
      <c r="A5110" s="6">
        <v>4454</v>
      </c>
      <c r="B5110" s="7">
        <v>31744</v>
      </c>
      <c r="C5110" s="8">
        <f>DATE(2012,12,31)-113</f>
        <v>41161</v>
      </c>
      <c r="D5110" s="8" t="str">
        <f t="shared" si="96"/>
        <v>2012-09 (сентябрь 2012)</v>
      </c>
      <c r="E5110" s="9" t="s">
        <v>63</v>
      </c>
      <c r="F5110" s="7">
        <v>12</v>
      </c>
      <c r="G5110" s="7">
        <v>86.69</v>
      </c>
      <c r="H5110" s="7">
        <v>0</v>
      </c>
      <c r="I5110" s="9" t="s">
        <v>22</v>
      </c>
      <c r="J5110" s="10">
        <v>-43.48</v>
      </c>
      <c r="K5110" s="11">
        <v>6.48</v>
      </c>
      <c r="L5110" s="11">
        <v>7.37</v>
      </c>
      <c r="M5110" s="9" t="s">
        <v>1886</v>
      </c>
      <c r="N5110" s="6" t="s">
        <v>672</v>
      </c>
      <c r="O5110" s="6" t="s">
        <v>673</v>
      </c>
      <c r="P5110" s="9" t="s">
        <v>33</v>
      </c>
      <c r="Q5110" s="9" t="s">
        <v>26</v>
      </c>
      <c r="R5110" s="9" t="s">
        <v>61</v>
      </c>
      <c r="S5110" s="7" t="s">
        <v>859</v>
      </c>
      <c r="T5110" s="9" t="s">
        <v>39</v>
      </c>
      <c r="U5110" s="7">
        <v>0.37</v>
      </c>
      <c r="V5110" s="12">
        <f>C5110+1</f>
        <v>41162</v>
      </c>
      <c r="W5110">
        <f>IF(D5110=' Pivot Tables'!$A$4,1,0)</f>
        <v>0</v>
      </c>
      <c r="X5110">
        <f>IF(AND(LEFT(D5110,4)+1=LEFT(' Pivot Tables'!$A$4,4)+0,RIGHT(LEFT(D5110,7),2)=RIGHT(LEFT(' Pivot Tables'!$A$4,7),2)),1,0)</f>
        <v>0</v>
      </c>
      <c r="Y5110" s="6">
        <f>1/COUNTIF(Таблица1[Order ID],Таблица1[[#This Row],[Order ID]])</f>
        <v>1</v>
      </c>
      <c r="Z5110" s="9">
        <f>1/COUNTIFS(Таблица1[Customer Name],Таблица1[[#This Row],[Customer Name]],Таблица1[Order-Year-Month],Таблица1[[#This Row],[Order-Year-Month]])</f>
        <v>1</v>
      </c>
    </row>
    <row r="5111" spans="1:26" x14ac:dyDescent="0.2">
      <c r="A5111" s="6">
        <v>4465</v>
      </c>
      <c r="B5111" s="7">
        <v>31842</v>
      </c>
      <c r="C5111" s="8">
        <f>DATE(2012,12,31)-899</f>
        <v>40375</v>
      </c>
      <c r="D5111" s="8" t="str">
        <f t="shared" si="96"/>
        <v>2010-07 (июль 2010)</v>
      </c>
      <c r="E5111" s="9" t="s">
        <v>63</v>
      </c>
      <c r="F5111" s="7">
        <v>9</v>
      </c>
      <c r="G5111" s="7">
        <v>157.26</v>
      </c>
      <c r="H5111" s="7">
        <v>0.06</v>
      </c>
      <c r="I5111" s="9" t="s">
        <v>22</v>
      </c>
      <c r="J5111" s="10">
        <v>-18.84</v>
      </c>
      <c r="K5111" s="11">
        <v>17.48</v>
      </c>
      <c r="L5111" s="11">
        <v>1.99</v>
      </c>
      <c r="M5111" s="9" t="s">
        <v>1888</v>
      </c>
      <c r="N5111" s="6" t="s">
        <v>672</v>
      </c>
      <c r="O5111" s="6" t="s">
        <v>673</v>
      </c>
      <c r="P5111" s="9" t="s">
        <v>41</v>
      </c>
      <c r="Q5111" s="9" t="s">
        <v>42</v>
      </c>
      <c r="R5111" s="9" t="s">
        <v>70</v>
      </c>
      <c r="S5111" s="7" t="s">
        <v>1067</v>
      </c>
      <c r="T5111" s="9" t="s">
        <v>52</v>
      </c>
      <c r="U5111" s="7">
        <v>0.45</v>
      </c>
      <c r="V5111" s="12">
        <f>C5111+1</f>
        <v>40376</v>
      </c>
      <c r="W5111">
        <f>IF(D5111=' Pivot Tables'!$A$4,1,0)</f>
        <v>0</v>
      </c>
      <c r="X5111">
        <f>IF(AND(LEFT(D5111,4)+1=LEFT(' Pivot Tables'!$A$4,4)+0,RIGHT(LEFT(D5111,7),2)=RIGHT(LEFT(' Pivot Tables'!$A$4,7),2)),1,0)</f>
        <v>0</v>
      </c>
      <c r="Y5111" s="6">
        <f>1/COUNTIF(Таблица1[Order ID],Таблица1[[#This Row],[Order ID]])</f>
        <v>1</v>
      </c>
      <c r="Z5111" s="9">
        <f>1/COUNTIFS(Таблица1[Customer Name],Таблица1[[#This Row],[Customer Name]],Таблица1[Order-Year-Month],Таблица1[[#This Row],[Order-Year-Month]])</f>
        <v>1</v>
      </c>
    </row>
    <row r="5112" spans="1:26" x14ac:dyDescent="0.2">
      <c r="A5112" s="6">
        <v>4484</v>
      </c>
      <c r="B5112" s="7">
        <v>31910</v>
      </c>
      <c r="C5112" s="8">
        <f>DATE(2012,12,31)-1159</f>
        <v>40115</v>
      </c>
      <c r="D5112" s="8" t="str">
        <f t="shared" si="96"/>
        <v>2009-10 (октябрь 2009)</v>
      </c>
      <c r="E5112" s="9" t="s">
        <v>63</v>
      </c>
      <c r="F5112" s="7">
        <v>6</v>
      </c>
      <c r="G5112" s="7">
        <v>187.63749999999999</v>
      </c>
      <c r="H5112" s="7">
        <v>0.03</v>
      </c>
      <c r="I5112" s="9" t="s">
        <v>22</v>
      </c>
      <c r="J5112" s="10">
        <v>-190.02500000000001</v>
      </c>
      <c r="K5112" s="11">
        <v>35.99</v>
      </c>
      <c r="L5112" s="11">
        <v>5</v>
      </c>
      <c r="M5112" s="9" t="s">
        <v>1887</v>
      </c>
      <c r="N5112" s="6" t="s">
        <v>672</v>
      </c>
      <c r="O5112" s="6" t="s">
        <v>673</v>
      </c>
      <c r="P5112" s="9" t="s">
        <v>25</v>
      </c>
      <c r="Q5112" s="9" t="s">
        <v>42</v>
      </c>
      <c r="R5112" s="9" t="s">
        <v>43</v>
      </c>
      <c r="S5112" s="7" t="s">
        <v>825</v>
      </c>
      <c r="T5112" s="9" t="s">
        <v>39</v>
      </c>
      <c r="U5112" s="7">
        <v>0.85</v>
      </c>
      <c r="V5112" s="12">
        <f>C5112+1</f>
        <v>40116</v>
      </c>
      <c r="W5112">
        <f>IF(D5112=' Pivot Tables'!$A$4,1,0)</f>
        <v>0</v>
      </c>
      <c r="X5112">
        <f>IF(AND(LEFT(D5112,4)+1=LEFT(' Pivot Tables'!$A$4,4)+0,RIGHT(LEFT(D5112,7),2)=RIGHT(LEFT(' Pivot Tables'!$A$4,7),2)),1,0)</f>
        <v>0</v>
      </c>
      <c r="Y5112" s="6">
        <f>1/COUNTIF(Таблица1[Order ID],Таблица1[[#This Row],[Order ID]])</f>
        <v>1</v>
      </c>
      <c r="Z5112" s="9">
        <f>1/COUNTIFS(Таблица1[Customer Name],Таблица1[[#This Row],[Customer Name]],Таблица1[Order-Year-Month],Таблица1[[#This Row],[Order-Year-Month]])</f>
        <v>1</v>
      </c>
    </row>
    <row r="5113" spans="1:26" x14ac:dyDescent="0.2">
      <c r="A5113" s="6">
        <v>4507</v>
      </c>
      <c r="B5113" s="7">
        <v>32069</v>
      </c>
      <c r="C5113" s="8">
        <f>DATE(2012,12,31)-408</f>
        <v>40866</v>
      </c>
      <c r="D5113" s="8" t="str">
        <f t="shared" si="96"/>
        <v>2011-11 (ноябрь 2011)</v>
      </c>
      <c r="E5113" s="9" t="s">
        <v>45</v>
      </c>
      <c r="F5113" s="7">
        <v>17</v>
      </c>
      <c r="G5113" s="7">
        <v>114.94</v>
      </c>
      <c r="H5113" s="7">
        <v>0.09</v>
      </c>
      <c r="I5113" s="9" t="s">
        <v>22</v>
      </c>
      <c r="J5113" s="10">
        <v>-102.24</v>
      </c>
      <c r="K5113" s="11">
        <v>6.48</v>
      </c>
      <c r="L5113" s="11">
        <v>9.68</v>
      </c>
      <c r="M5113" s="9" t="s">
        <v>1610</v>
      </c>
      <c r="N5113" s="6" t="s">
        <v>672</v>
      </c>
      <c r="O5113" s="6" t="s">
        <v>673</v>
      </c>
      <c r="P5113" s="9" t="s">
        <v>33</v>
      </c>
      <c r="Q5113" s="9" t="s">
        <v>26</v>
      </c>
      <c r="R5113" s="9" t="s">
        <v>61</v>
      </c>
      <c r="S5113" s="7" t="s">
        <v>766</v>
      </c>
      <c r="T5113" s="9" t="s">
        <v>39</v>
      </c>
      <c r="U5113" s="7">
        <v>0.36</v>
      </c>
      <c r="V5113" s="12">
        <f>C5113+2</f>
        <v>40868</v>
      </c>
      <c r="W5113">
        <f>IF(D5113=' Pivot Tables'!$A$4,1,0)</f>
        <v>0</v>
      </c>
      <c r="X5113">
        <f>IF(AND(LEFT(D5113,4)+1=LEFT(' Pivot Tables'!$A$4,4)+0,RIGHT(LEFT(D5113,7),2)=RIGHT(LEFT(' Pivot Tables'!$A$4,7),2)),1,0)</f>
        <v>0</v>
      </c>
      <c r="Y5113" s="6">
        <f>1/COUNTIF(Таблица1[Order ID],Таблица1[[#This Row],[Order ID]])</f>
        <v>0.5</v>
      </c>
      <c r="Z5113" s="9">
        <f>1/COUNTIFS(Таблица1[Customer Name],Таблица1[[#This Row],[Customer Name]],Таблица1[Order-Year-Month],Таблица1[[#This Row],[Order-Year-Month]])</f>
        <v>0.5</v>
      </c>
    </row>
    <row r="5114" spans="1:26" x14ac:dyDescent="0.2">
      <c r="A5114" s="6">
        <v>4571</v>
      </c>
      <c r="B5114" s="7">
        <v>32519</v>
      </c>
      <c r="C5114" s="8">
        <f>DATE(2012,12,31)-815</f>
        <v>40459</v>
      </c>
      <c r="D5114" s="8" t="str">
        <f t="shared" si="96"/>
        <v>2010-10 (октябрь 2010)</v>
      </c>
      <c r="E5114" s="9" t="s">
        <v>21</v>
      </c>
      <c r="F5114" s="7">
        <v>8</v>
      </c>
      <c r="G5114" s="7">
        <v>85.36</v>
      </c>
      <c r="H5114" s="7">
        <v>0.09</v>
      </c>
      <c r="I5114" s="9" t="s">
        <v>22</v>
      </c>
      <c r="J5114" s="10">
        <v>-23.82</v>
      </c>
      <c r="K5114" s="11">
        <v>10.89</v>
      </c>
      <c r="L5114" s="11">
        <v>4.5</v>
      </c>
      <c r="M5114" s="9" t="s">
        <v>1865</v>
      </c>
      <c r="N5114" s="6" t="s">
        <v>672</v>
      </c>
      <c r="O5114" s="6" t="s">
        <v>673</v>
      </c>
      <c r="P5114" s="9" t="s">
        <v>33</v>
      </c>
      <c r="Q5114" s="9" t="s">
        <v>26</v>
      </c>
      <c r="R5114" s="9" t="s">
        <v>34</v>
      </c>
      <c r="S5114" s="7" t="s">
        <v>345</v>
      </c>
      <c r="T5114" s="9" t="s">
        <v>39</v>
      </c>
      <c r="U5114" s="7">
        <v>0.59</v>
      </c>
      <c r="V5114" s="12">
        <f>C5114+5</f>
        <v>40464</v>
      </c>
      <c r="W5114">
        <f>IF(D5114=' Pivot Tables'!$A$4,1,0)</f>
        <v>0</v>
      </c>
      <c r="X5114">
        <f>IF(AND(LEFT(D5114,4)+1=LEFT(' Pivot Tables'!$A$4,4)+0,RIGHT(LEFT(D5114,7),2)=RIGHT(LEFT(' Pivot Tables'!$A$4,7),2)),1,0)</f>
        <v>0</v>
      </c>
      <c r="Y5114" s="6">
        <f>1/COUNTIF(Таблица1[Order ID],Таблица1[[#This Row],[Order ID]])</f>
        <v>1</v>
      </c>
      <c r="Z5114" s="9">
        <f>1/COUNTIFS(Таблица1[Customer Name],Таблица1[[#This Row],[Customer Name]],Таблица1[Order-Year-Month],Таблица1[[#This Row],[Order-Year-Month]])</f>
        <v>1</v>
      </c>
    </row>
    <row r="5115" spans="1:26" x14ac:dyDescent="0.2">
      <c r="A5115" s="6">
        <v>4591</v>
      </c>
      <c r="B5115" s="7">
        <v>32647</v>
      </c>
      <c r="C5115" s="8">
        <f>DATE(2012,12,31)-409</f>
        <v>40865</v>
      </c>
      <c r="D5115" s="8" t="str">
        <f t="shared" si="96"/>
        <v>2011-11 (ноябрь 2011)</v>
      </c>
      <c r="E5115" s="9" t="s">
        <v>30</v>
      </c>
      <c r="F5115" s="7">
        <v>32</v>
      </c>
      <c r="G5115" s="7">
        <v>671.75</v>
      </c>
      <c r="H5115" s="7">
        <v>7.0000000000000007E-2</v>
      </c>
      <c r="I5115" s="9" t="s">
        <v>22</v>
      </c>
      <c r="J5115" s="10">
        <v>-56.83</v>
      </c>
      <c r="K5115" s="11">
        <v>20.97</v>
      </c>
      <c r="L5115" s="11">
        <v>4</v>
      </c>
      <c r="M5115" s="9" t="s">
        <v>1891</v>
      </c>
      <c r="N5115" s="6" t="s">
        <v>672</v>
      </c>
      <c r="O5115" s="6" t="s">
        <v>673</v>
      </c>
      <c r="P5115" s="9" t="s">
        <v>33</v>
      </c>
      <c r="Q5115" s="9" t="s">
        <v>42</v>
      </c>
      <c r="R5115" s="9" t="s">
        <v>70</v>
      </c>
      <c r="S5115" s="7" t="s">
        <v>262</v>
      </c>
      <c r="T5115" s="9" t="s">
        <v>39</v>
      </c>
      <c r="U5115" s="7">
        <v>0.77</v>
      </c>
      <c r="V5115" s="12">
        <f>C5115+2</f>
        <v>40867</v>
      </c>
      <c r="W5115">
        <f>IF(D5115=' Pivot Tables'!$A$4,1,0)</f>
        <v>0</v>
      </c>
      <c r="X5115">
        <f>IF(AND(LEFT(D5115,4)+1=LEFT(' Pivot Tables'!$A$4,4)+0,RIGHT(LEFT(D5115,7),2)=RIGHT(LEFT(' Pivot Tables'!$A$4,7),2)),1,0)</f>
        <v>0</v>
      </c>
      <c r="Y5115" s="6">
        <f>1/COUNTIF(Таблица1[Order ID],Таблица1[[#This Row],[Order ID]])</f>
        <v>0.5</v>
      </c>
      <c r="Z5115" s="9">
        <f>1/COUNTIFS(Таблица1[Customer Name],Таблица1[[#This Row],[Customer Name]],Таблица1[Order-Year-Month],Таблица1[[#This Row],[Order-Year-Month]])</f>
        <v>0.5</v>
      </c>
    </row>
    <row r="5116" spans="1:26" x14ac:dyDescent="0.2">
      <c r="A5116" s="6">
        <v>4592</v>
      </c>
      <c r="B5116" s="7">
        <v>32647</v>
      </c>
      <c r="C5116" s="8">
        <f>DATE(2012,12,31)-409</f>
        <v>40865</v>
      </c>
      <c r="D5116" s="8" t="str">
        <f t="shared" si="96"/>
        <v>2011-11 (ноябрь 2011)</v>
      </c>
      <c r="E5116" s="9" t="s">
        <v>30</v>
      </c>
      <c r="F5116" s="7">
        <v>27</v>
      </c>
      <c r="G5116" s="7">
        <v>9541.0400000000009</v>
      </c>
      <c r="H5116" s="7">
        <v>0.06</v>
      </c>
      <c r="I5116" s="9" t="s">
        <v>31</v>
      </c>
      <c r="J5116" s="10">
        <v>348.84</v>
      </c>
      <c r="K5116" s="11">
        <v>348.21</v>
      </c>
      <c r="L5116" s="11">
        <v>84.84</v>
      </c>
      <c r="M5116" s="9" t="s">
        <v>1891</v>
      </c>
      <c r="N5116" s="6" t="s">
        <v>672</v>
      </c>
      <c r="O5116" s="6" t="s">
        <v>673</v>
      </c>
      <c r="P5116" s="9" t="s">
        <v>33</v>
      </c>
      <c r="Q5116" s="9" t="s">
        <v>49</v>
      </c>
      <c r="R5116" s="9" t="s">
        <v>83</v>
      </c>
      <c r="S5116" s="7" t="s">
        <v>599</v>
      </c>
      <c r="T5116" s="9" t="s">
        <v>82</v>
      </c>
      <c r="U5116" s="7">
        <v>0.66</v>
      </c>
      <c r="V5116" s="12">
        <f>C5116+2</f>
        <v>40867</v>
      </c>
      <c r="W5116">
        <f>IF(D5116=' Pivot Tables'!$A$4,1,0)</f>
        <v>0</v>
      </c>
      <c r="X5116">
        <f>IF(AND(LEFT(D5116,4)+1=LEFT(' Pivot Tables'!$A$4,4)+0,RIGHT(LEFT(D5116,7),2)=RIGHT(LEFT(' Pivot Tables'!$A$4,7),2)),1,0)</f>
        <v>0</v>
      </c>
      <c r="Y5116" s="6">
        <f>1/COUNTIF(Таблица1[Order ID],Таблица1[[#This Row],[Order ID]])</f>
        <v>0.5</v>
      </c>
      <c r="Z5116" s="9">
        <f>1/COUNTIFS(Таблица1[Customer Name],Таблица1[[#This Row],[Customer Name]],Таблица1[Order-Year-Month],Таблица1[[#This Row],[Order-Year-Month]])</f>
        <v>0.5</v>
      </c>
    </row>
    <row r="5117" spans="1:26" x14ac:dyDescent="0.2">
      <c r="A5117" s="6">
        <v>4632</v>
      </c>
      <c r="B5117" s="7">
        <v>32966</v>
      </c>
      <c r="C5117" s="8">
        <f>DATE(2012,12,31)-340</f>
        <v>40934</v>
      </c>
      <c r="D5117" s="8" t="str">
        <f t="shared" si="96"/>
        <v>2012-01 (январь 2012)</v>
      </c>
      <c r="E5117" s="9" t="s">
        <v>21</v>
      </c>
      <c r="F5117" s="7">
        <v>4</v>
      </c>
      <c r="G5117" s="7">
        <v>1035.2</v>
      </c>
      <c r="H5117" s="7">
        <v>0.08</v>
      </c>
      <c r="I5117" s="9" t="s">
        <v>31</v>
      </c>
      <c r="J5117" s="10">
        <v>-668.0643</v>
      </c>
      <c r="K5117" s="11">
        <v>270.97000000000003</v>
      </c>
      <c r="L5117" s="11">
        <v>28.06</v>
      </c>
      <c r="M5117" s="9" t="s">
        <v>1872</v>
      </c>
      <c r="N5117" s="6" t="s">
        <v>672</v>
      </c>
      <c r="O5117" s="6" t="s">
        <v>673</v>
      </c>
      <c r="P5117" s="9" t="s">
        <v>60</v>
      </c>
      <c r="Q5117" s="9" t="s">
        <v>42</v>
      </c>
      <c r="R5117" s="9" t="s">
        <v>210</v>
      </c>
      <c r="S5117" s="7" t="s">
        <v>364</v>
      </c>
      <c r="T5117" s="9" t="s">
        <v>36</v>
      </c>
      <c r="U5117" s="7">
        <v>0.56000000000000005</v>
      </c>
      <c r="V5117" s="12">
        <f>C5117+7</f>
        <v>40941</v>
      </c>
      <c r="W5117">
        <f>IF(D5117=' Pivot Tables'!$A$4,1,0)</f>
        <v>0</v>
      </c>
      <c r="X5117">
        <f>IF(AND(LEFT(D5117,4)+1=LEFT(' Pivot Tables'!$A$4,4)+0,RIGHT(LEFT(D5117,7),2)=RIGHT(LEFT(' Pivot Tables'!$A$4,7),2)),1,0)</f>
        <v>0</v>
      </c>
      <c r="Y5117" s="6">
        <f>1/COUNTIF(Таблица1[Order ID],Таблица1[[#This Row],[Order ID]])</f>
        <v>0.5</v>
      </c>
      <c r="Z5117" s="9">
        <f>1/COUNTIFS(Таблица1[Customer Name],Таблица1[[#This Row],[Customer Name]],Таблица1[Order-Year-Month],Таблица1[[#This Row],[Order-Year-Month]])</f>
        <v>0.5</v>
      </c>
    </row>
    <row r="5118" spans="1:26" x14ac:dyDescent="0.2">
      <c r="A5118" s="6">
        <v>4633</v>
      </c>
      <c r="B5118" s="7">
        <v>32966</v>
      </c>
      <c r="C5118" s="8">
        <f>DATE(2012,12,31)-340</f>
        <v>40934</v>
      </c>
      <c r="D5118" s="8" t="str">
        <f t="shared" si="96"/>
        <v>2012-01 (январь 2012)</v>
      </c>
      <c r="E5118" s="9" t="s">
        <v>21</v>
      </c>
      <c r="F5118" s="7">
        <v>43</v>
      </c>
      <c r="G5118" s="7">
        <v>74.17</v>
      </c>
      <c r="H5118" s="7">
        <v>0.01</v>
      </c>
      <c r="I5118" s="9" t="s">
        <v>22</v>
      </c>
      <c r="J5118" s="10">
        <v>-13.4</v>
      </c>
      <c r="K5118" s="11">
        <v>1.6</v>
      </c>
      <c r="L5118" s="11">
        <v>1.29</v>
      </c>
      <c r="M5118" s="9" t="s">
        <v>1872</v>
      </c>
      <c r="N5118" s="6" t="s">
        <v>672</v>
      </c>
      <c r="O5118" s="6" t="s">
        <v>673</v>
      </c>
      <c r="P5118" s="9" t="s">
        <v>60</v>
      </c>
      <c r="Q5118" s="9" t="s">
        <v>26</v>
      </c>
      <c r="R5118" s="9" t="s">
        <v>95</v>
      </c>
      <c r="S5118" s="7" t="s">
        <v>1892</v>
      </c>
      <c r="T5118" s="9" t="s">
        <v>68</v>
      </c>
      <c r="U5118" s="7">
        <v>0.42</v>
      </c>
      <c r="V5118" s="12">
        <f>C5118+4</f>
        <v>40938</v>
      </c>
      <c r="W5118">
        <f>IF(D5118=' Pivot Tables'!$A$4,1,0)</f>
        <v>0</v>
      </c>
      <c r="X5118">
        <f>IF(AND(LEFT(D5118,4)+1=LEFT(' Pivot Tables'!$A$4,4)+0,RIGHT(LEFT(D5118,7),2)=RIGHT(LEFT(' Pivot Tables'!$A$4,7),2)),1,0)</f>
        <v>0</v>
      </c>
      <c r="Y5118" s="6">
        <f>1/COUNTIF(Таблица1[Order ID],Таблица1[[#This Row],[Order ID]])</f>
        <v>0.5</v>
      </c>
      <c r="Z5118" s="9">
        <f>1/COUNTIFS(Таблица1[Customer Name],Таблица1[[#This Row],[Customer Name]],Таблица1[Order-Year-Month],Таблица1[[#This Row],[Order-Year-Month]])</f>
        <v>0.5</v>
      </c>
    </row>
    <row r="5119" spans="1:26" x14ac:dyDescent="0.2">
      <c r="A5119" s="6">
        <v>4664</v>
      </c>
      <c r="B5119" s="7">
        <v>33218</v>
      </c>
      <c r="C5119" s="8">
        <f>DATE(2012,12,31)-1090</f>
        <v>40184</v>
      </c>
      <c r="D5119" s="8" t="str">
        <f t="shared" si="96"/>
        <v>2010-01 (январь 2010)</v>
      </c>
      <c r="E5119" s="9" t="s">
        <v>45</v>
      </c>
      <c r="F5119" s="7">
        <v>25</v>
      </c>
      <c r="G5119" s="7">
        <v>113.8</v>
      </c>
      <c r="H5119" s="7">
        <v>7.0000000000000007E-2</v>
      </c>
      <c r="I5119" s="9" t="s">
        <v>22</v>
      </c>
      <c r="J5119" s="10">
        <v>-84.076499999999996</v>
      </c>
      <c r="K5119" s="11">
        <v>4.57</v>
      </c>
      <c r="L5119" s="11">
        <v>5.42</v>
      </c>
      <c r="M5119" s="9" t="s">
        <v>1864</v>
      </c>
      <c r="N5119" s="6" t="s">
        <v>672</v>
      </c>
      <c r="O5119" s="6" t="s">
        <v>673</v>
      </c>
      <c r="P5119" s="9" t="s">
        <v>25</v>
      </c>
      <c r="Q5119" s="9" t="s">
        <v>26</v>
      </c>
      <c r="R5119" s="9" t="s">
        <v>37</v>
      </c>
      <c r="S5119" s="7" t="s">
        <v>453</v>
      </c>
      <c r="T5119" s="9" t="s">
        <v>39</v>
      </c>
      <c r="U5119" s="7">
        <v>0.37</v>
      </c>
      <c r="V5119" s="12">
        <f>C5119+2</f>
        <v>40186</v>
      </c>
      <c r="W5119">
        <f>IF(D5119=' Pivot Tables'!$A$4,1,0)</f>
        <v>1</v>
      </c>
      <c r="X5119">
        <f>IF(AND(LEFT(D5119,4)+1=LEFT(' Pivot Tables'!$A$4,4)+0,RIGHT(LEFT(D5119,7),2)=RIGHT(LEFT(' Pivot Tables'!$A$4,7),2)),1,0)</f>
        <v>0</v>
      </c>
      <c r="Y5119" s="6">
        <f>1/COUNTIF(Таблица1[Order ID],Таблица1[[#This Row],[Order ID]])</f>
        <v>0.5</v>
      </c>
      <c r="Z5119" s="9">
        <f>1/COUNTIFS(Таблица1[Customer Name],Таблица1[[#This Row],[Customer Name]],Таблица1[Order-Year-Month],Таблица1[[#This Row],[Order-Year-Month]])</f>
        <v>0.5</v>
      </c>
    </row>
    <row r="5120" spans="1:26" x14ac:dyDescent="0.2">
      <c r="A5120" s="6">
        <v>4665</v>
      </c>
      <c r="B5120" s="7">
        <v>33218</v>
      </c>
      <c r="C5120" s="8">
        <f>DATE(2012,12,31)-1090</f>
        <v>40184</v>
      </c>
      <c r="D5120" s="8" t="str">
        <f t="shared" si="96"/>
        <v>2010-01 (январь 2010)</v>
      </c>
      <c r="E5120" s="9" t="s">
        <v>45</v>
      </c>
      <c r="F5120" s="7">
        <v>29</v>
      </c>
      <c r="G5120" s="7">
        <v>480.13</v>
      </c>
      <c r="H5120" s="7">
        <v>0.04</v>
      </c>
      <c r="I5120" s="9" t="s">
        <v>22</v>
      </c>
      <c r="J5120" s="10">
        <v>53.67</v>
      </c>
      <c r="K5120" s="11">
        <v>16.16</v>
      </c>
      <c r="L5120" s="11">
        <v>7.74</v>
      </c>
      <c r="M5120" s="9" t="s">
        <v>1864</v>
      </c>
      <c r="N5120" s="6" t="s">
        <v>672</v>
      </c>
      <c r="O5120" s="6" t="s">
        <v>673</v>
      </c>
      <c r="P5120" s="9" t="s">
        <v>25</v>
      </c>
      <c r="Q5120" s="9" t="s">
        <v>49</v>
      </c>
      <c r="R5120" s="9" t="s">
        <v>50</v>
      </c>
      <c r="S5120" s="7" t="s">
        <v>1893</v>
      </c>
      <c r="T5120" s="9" t="s">
        <v>39</v>
      </c>
      <c r="U5120" s="7">
        <v>0.5</v>
      </c>
      <c r="V5120" s="12">
        <f>C5120+1</f>
        <v>40185</v>
      </c>
      <c r="W5120">
        <f>IF(D5120=' Pivot Tables'!$A$4,1,0)</f>
        <v>1</v>
      </c>
      <c r="X5120">
        <f>IF(AND(LEFT(D5120,4)+1=LEFT(' Pivot Tables'!$A$4,4)+0,RIGHT(LEFT(D5120,7),2)=RIGHT(LEFT(' Pivot Tables'!$A$4,7),2)),1,0)</f>
        <v>0</v>
      </c>
      <c r="Y5120" s="6">
        <f>1/COUNTIF(Таблица1[Order ID],Таблица1[[#This Row],[Order ID]])</f>
        <v>0.5</v>
      </c>
      <c r="Z5120" s="9">
        <f>1/COUNTIFS(Таблица1[Customer Name],Таблица1[[#This Row],[Customer Name]],Таблица1[Order-Year-Month],Таблица1[[#This Row],[Order-Year-Month]])</f>
        <v>0.5</v>
      </c>
    </row>
    <row r="5121" spans="1:26" x14ac:dyDescent="0.2">
      <c r="A5121" s="6">
        <v>4679</v>
      </c>
      <c r="B5121" s="7">
        <v>33285</v>
      </c>
      <c r="C5121" s="8">
        <f>DATE(2012,12,31)-347</f>
        <v>40927</v>
      </c>
      <c r="D5121" s="8" t="str">
        <f t="shared" si="96"/>
        <v>2012-01 (январь 2012)</v>
      </c>
      <c r="E5121" s="9" t="s">
        <v>30</v>
      </c>
      <c r="F5121" s="7">
        <v>5</v>
      </c>
      <c r="G5121" s="7">
        <v>66.92</v>
      </c>
      <c r="H5121" s="7">
        <v>0.01</v>
      </c>
      <c r="I5121" s="9" t="s">
        <v>22</v>
      </c>
      <c r="J5121" s="10">
        <v>-23.29</v>
      </c>
      <c r="K5121" s="11">
        <v>12.28</v>
      </c>
      <c r="L5121" s="11">
        <v>6.13</v>
      </c>
      <c r="M5121" s="9" t="s">
        <v>1552</v>
      </c>
      <c r="N5121" s="6" t="s">
        <v>672</v>
      </c>
      <c r="O5121" s="6" t="s">
        <v>673</v>
      </c>
      <c r="P5121" s="9" t="s">
        <v>25</v>
      </c>
      <c r="Q5121" s="9" t="s">
        <v>26</v>
      </c>
      <c r="R5121" s="9" t="s">
        <v>27</v>
      </c>
      <c r="S5121" s="7" t="s">
        <v>275</v>
      </c>
      <c r="T5121" s="9" t="s">
        <v>39</v>
      </c>
      <c r="U5121" s="7">
        <v>0.56999999999999995</v>
      </c>
      <c r="V5121" s="12">
        <f>C5121+1</f>
        <v>40928</v>
      </c>
      <c r="W5121">
        <f>IF(D5121=' Pivot Tables'!$A$4,1,0)</f>
        <v>0</v>
      </c>
      <c r="X5121">
        <f>IF(AND(LEFT(D5121,4)+1=LEFT(' Pivot Tables'!$A$4,4)+0,RIGHT(LEFT(D5121,7),2)=RIGHT(LEFT(' Pivot Tables'!$A$4,7),2)),1,0)</f>
        <v>0</v>
      </c>
      <c r="Y5121" s="6">
        <f>1/COUNTIF(Таблица1[Order ID],Таблица1[[#This Row],[Order ID]])</f>
        <v>1</v>
      </c>
      <c r="Z5121" s="9">
        <f>1/COUNTIFS(Таблица1[Customer Name],Таблица1[[#This Row],[Customer Name]],Таблица1[Order-Year-Month],Таблица1[[#This Row],[Order-Year-Month]])</f>
        <v>0.5</v>
      </c>
    </row>
    <row r="5122" spans="1:26" x14ac:dyDescent="0.2">
      <c r="A5122" s="6">
        <v>4701</v>
      </c>
      <c r="B5122" s="7">
        <v>33479</v>
      </c>
      <c r="C5122" s="8">
        <f>DATE(2012,12,31)-104</f>
        <v>41170</v>
      </c>
      <c r="D5122" s="8" t="str">
        <f t="shared" si="96"/>
        <v>2012-09 (сентябрь 2012)</v>
      </c>
      <c r="E5122" s="9" t="s">
        <v>78</v>
      </c>
      <c r="F5122" s="7">
        <v>24</v>
      </c>
      <c r="G5122" s="7">
        <v>161.87</v>
      </c>
      <c r="H5122" s="7">
        <v>0.04</v>
      </c>
      <c r="I5122" s="9" t="s">
        <v>22</v>
      </c>
      <c r="J5122" s="10">
        <v>-31.27</v>
      </c>
      <c r="K5122" s="11">
        <v>6.48</v>
      </c>
      <c r="L5122" s="11">
        <v>5.1100000000000003</v>
      </c>
      <c r="M5122" s="9" t="s">
        <v>1844</v>
      </c>
      <c r="N5122" s="6" t="s">
        <v>672</v>
      </c>
      <c r="O5122" s="6" t="s">
        <v>673</v>
      </c>
      <c r="P5122" s="9" t="s">
        <v>60</v>
      </c>
      <c r="Q5122" s="9" t="s">
        <v>26</v>
      </c>
      <c r="R5122" s="9" t="s">
        <v>61</v>
      </c>
      <c r="S5122" s="7" t="s">
        <v>1745</v>
      </c>
      <c r="T5122" s="9" t="s">
        <v>39</v>
      </c>
      <c r="U5122" s="7">
        <v>0.37</v>
      </c>
      <c r="V5122" s="12">
        <f>C5122+2</f>
        <v>41172</v>
      </c>
      <c r="W5122">
        <f>IF(D5122=' Pivot Tables'!$A$4,1,0)</f>
        <v>0</v>
      </c>
      <c r="X5122">
        <f>IF(AND(LEFT(D5122,4)+1=LEFT(' Pivot Tables'!$A$4,4)+0,RIGHT(LEFT(D5122,7),2)=RIGHT(LEFT(' Pivot Tables'!$A$4,7),2)),1,0)</f>
        <v>0</v>
      </c>
      <c r="Y5122" s="6">
        <f>1/COUNTIF(Таблица1[Order ID],Таблица1[[#This Row],[Order ID]])</f>
        <v>0.33333333333333331</v>
      </c>
      <c r="Z5122" s="9">
        <f>1/COUNTIFS(Таблица1[Customer Name],Таблица1[[#This Row],[Customer Name]],Таблица1[Order-Year-Month],Таблица1[[#This Row],[Order-Year-Month]])</f>
        <v>0.33333333333333331</v>
      </c>
    </row>
    <row r="5123" spans="1:26" x14ac:dyDescent="0.2">
      <c r="A5123" s="6">
        <v>4706</v>
      </c>
      <c r="B5123" s="7">
        <v>33537</v>
      </c>
      <c r="C5123" s="8">
        <f>DATE(2012,12,31)-871</f>
        <v>40403</v>
      </c>
      <c r="D5123" s="8" t="str">
        <f t="shared" ref="D5123:D5186" si="97">TEXT(C5123,"гггг-ММ (ММММ гггг)")</f>
        <v>2010-08 (август 2010)</v>
      </c>
      <c r="E5123" s="9" t="s">
        <v>63</v>
      </c>
      <c r="F5123" s="7">
        <v>26</v>
      </c>
      <c r="G5123" s="7">
        <v>45.38</v>
      </c>
      <c r="H5123" s="7">
        <v>7.0000000000000007E-2</v>
      </c>
      <c r="I5123" s="9" t="s">
        <v>22</v>
      </c>
      <c r="J5123" s="10">
        <v>-1.97</v>
      </c>
      <c r="K5123" s="11">
        <v>1.76</v>
      </c>
      <c r="L5123" s="11">
        <v>0.7</v>
      </c>
      <c r="M5123" s="9" t="s">
        <v>1855</v>
      </c>
      <c r="N5123" s="6" t="s">
        <v>672</v>
      </c>
      <c r="O5123" s="6" t="s">
        <v>673</v>
      </c>
      <c r="P5123" s="9" t="s">
        <v>41</v>
      </c>
      <c r="Q5123" s="9" t="s">
        <v>26</v>
      </c>
      <c r="R5123" s="9" t="s">
        <v>95</v>
      </c>
      <c r="S5123" s="7" t="s">
        <v>387</v>
      </c>
      <c r="T5123" s="9" t="s">
        <v>68</v>
      </c>
      <c r="U5123" s="7">
        <v>0.56000000000000005</v>
      </c>
      <c r="V5123" s="12">
        <f>C5123+2</f>
        <v>40405</v>
      </c>
      <c r="W5123">
        <f>IF(D5123=' Pivot Tables'!$A$4,1,0)</f>
        <v>0</v>
      </c>
      <c r="X5123">
        <f>IF(AND(LEFT(D5123,4)+1=LEFT(' Pivot Tables'!$A$4,4)+0,RIGHT(LEFT(D5123,7),2)=RIGHT(LEFT(' Pivot Tables'!$A$4,7),2)),1,0)</f>
        <v>0</v>
      </c>
      <c r="Y5123" s="6">
        <f>1/COUNTIF(Таблица1[Order ID],Таблица1[[#This Row],[Order ID]])</f>
        <v>0.5</v>
      </c>
      <c r="Z5123" s="9">
        <f>1/COUNTIFS(Таблица1[Customer Name],Таблица1[[#This Row],[Customer Name]],Таблица1[Order-Year-Month],Таблица1[[#This Row],[Order-Year-Month]])</f>
        <v>0.5</v>
      </c>
    </row>
    <row r="5124" spans="1:26" x14ac:dyDescent="0.2">
      <c r="A5124" s="6">
        <v>4707</v>
      </c>
      <c r="B5124" s="7">
        <v>33537</v>
      </c>
      <c r="C5124" s="8">
        <f>DATE(2012,12,31)-871</f>
        <v>40403</v>
      </c>
      <c r="D5124" s="8" t="str">
        <f t="shared" si="97"/>
        <v>2010-08 (август 2010)</v>
      </c>
      <c r="E5124" s="9" t="s">
        <v>63</v>
      </c>
      <c r="F5124" s="7">
        <v>9</v>
      </c>
      <c r="G5124" s="7">
        <v>163.31049999999999</v>
      </c>
      <c r="H5124" s="7">
        <v>0.02</v>
      </c>
      <c r="I5124" s="9" t="s">
        <v>22</v>
      </c>
      <c r="J5124" s="10">
        <v>-105.09400000000001</v>
      </c>
      <c r="K5124" s="11">
        <v>20.99</v>
      </c>
      <c r="L5124" s="11">
        <v>3.3</v>
      </c>
      <c r="M5124" s="9" t="s">
        <v>1855</v>
      </c>
      <c r="N5124" s="6" t="s">
        <v>672</v>
      </c>
      <c r="O5124" s="6" t="s">
        <v>673</v>
      </c>
      <c r="P5124" s="9" t="s">
        <v>41</v>
      </c>
      <c r="Q5124" s="9" t="s">
        <v>42</v>
      </c>
      <c r="R5124" s="9" t="s">
        <v>43</v>
      </c>
      <c r="S5124" s="7" t="s">
        <v>295</v>
      </c>
      <c r="T5124" s="9" t="s">
        <v>52</v>
      </c>
      <c r="U5124" s="7">
        <v>0.81</v>
      </c>
      <c r="V5124" s="12">
        <f>C5124+1</f>
        <v>40404</v>
      </c>
      <c r="W5124">
        <f>IF(D5124=' Pivot Tables'!$A$4,1,0)</f>
        <v>0</v>
      </c>
      <c r="X5124">
        <f>IF(AND(LEFT(D5124,4)+1=LEFT(' Pivot Tables'!$A$4,4)+0,RIGHT(LEFT(D5124,7),2)=RIGHT(LEFT(' Pivot Tables'!$A$4,7),2)),1,0)</f>
        <v>0</v>
      </c>
      <c r="Y5124" s="6">
        <f>1/COUNTIF(Таблица1[Order ID],Таблица1[[#This Row],[Order ID]])</f>
        <v>0.5</v>
      </c>
      <c r="Z5124" s="9">
        <f>1/COUNTIFS(Таблица1[Customer Name],Таблица1[[#This Row],[Customer Name]],Таблица1[Order-Year-Month],Таблица1[[#This Row],[Order-Year-Month]])</f>
        <v>0.5</v>
      </c>
    </row>
    <row r="5125" spans="1:26" x14ac:dyDescent="0.2">
      <c r="A5125" s="6">
        <v>4712</v>
      </c>
      <c r="B5125" s="7">
        <v>33569</v>
      </c>
      <c r="C5125" s="8">
        <f>DATE(2012,12,31)-1221</f>
        <v>40053</v>
      </c>
      <c r="D5125" s="8" t="str">
        <f t="shared" si="97"/>
        <v>2009-08 (август 2009)</v>
      </c>
      <c r="E5125" s="9" t="s">
        <v>21</v>
      </c>
      <c r="F5125" s="7">
        <v>9</v>
      </c>
      <c r="G5125" s="7">
        <v>123.92</v>
      </c>
      <c r="H5125" s="7">
        <v>0.09</v>
      </c>
      <c r="I5125" s="9" t="s">
        <v>22</v>
      </c>
      <c r="J5125" s="10">
        <v>45.83</v>
      </c>
      <c r="K5125" s="11">
        <v>14.2</v>
      </c>
      <c r="L5125" s="11">
        <v>5.3</v>
      </c>
      <c r="M5125" s="9" t="s">
        <v>1435</v>
      </c>
      <c r="N5125" s="6" t="s">
        <v>672</v>
      </c>
      <c r="O5125" s="6" t="s">
        <v>673</v>
      </c>
      <c r="P5125" s="9" t="s">
        <v>33</v>
      </c>
      <c r="Q5125" s="9" t="s">
        <v>49</v>
      </c>
      <c r="R5125" s="9" t="s">
        <v>50</v>
      </c>
      <c r="S5125" s="7" t="s">
        <v>603</v>
      </c>
      <c r="T5125" s="9" t="s">
        <v>68</v>
      </c>
      <c r="U5125" s="7">
        <v>0.46</v>
      </c>
      <c r="V5125" s="12">
        <f>C5125+4</f>
        <v>40057</v>
      </c>
      <c r="W5125">
        <f>IF(D5125=' Pivot Tables'!$A$4,1,0)</f>
        <v>0</v>
      </c>
      <c r="X5125">
        <f>IF(AND(LEFT(D5125,4)+1=LEFT(' Pivot Tables'!$A$4,4)+0,RIGHT(LEFT(D5125,7),2)=RIGHT(LEFT(' Pivot Tables'!$A$4,7),2)),1,0)</f>
        <v>0</v>
      </c>
      <c r="Y5125" s="6">
        <f>1/COUNTIF(Таблица1[Order ID],Таблица1[[#This Row],[Order ID]])</f>
        <v>1</v>
      </c>
      <c r="Z5125" s="9">
        <f>1/COUNTIFS(Таблица1[Customer Name],Таблица1[[#This Row],[Customer Name]],Таблица1[Order-Year-Month],Таблица1[[#This Row],[Order-Year-Month]])</f>
        <v>1</v>
      </c>
    </row>
    <row r="5126" spans="1:26" x14ac:dyDescent="0.2">
      <c r="A5126" s="6">
        <v>4716</v>
      </c>
      <c r="B5126" s="7">
        <v>33571</v>
      </c>
      <c r="C5126" s="8">
        <f>DATE(2012,12,31)-447</f>
        <v>40827</v>
      </c>
      <c r="D5126" s="8" t="str">
        <f t="shared" si="97"/>
        <v>2011-10 (октябрь 2011)</v>
      </c>
      <c r="E5126" s="9" t="s">
        <v>63</v>
      </c>
      <c r="F5126" s="7">
        <v>1</v>
      </c>
      <c r="G5126" s="7">
        <v>7.15</v>
      </c>
      <c r="H5126" s="7">
        <v>0.03</v>
      </c>
      <c r="I5126" s="9" t="s">
        <v>22</v>
      </c>
      <c r="J5126" s="10">
        <v>-2.5499999999999998</v>
      </c>
      <c r="K5126" s="11">
        <v>5.08</v>
      </c>
      <c r="L5126" s="11">
        <v>2.0299999999999998</v>
      </c>
      <c r="M5126" s="9" t="s">
        <v>1856</v>
      </c>
      <c r="N5126" s="6" t="s">
        <v>672</v>
      </c>
      <c r="O5126" s="6" t="s">
        <v>673</v>
      </c>
      <c r="P5126" s="9" t="s">
        <v>33</v>
      </c>
      <c r="Q5126" s="9" t="s">
        <v>49</v>
      </c>
      <c r="R5126" s="9" t="s">
        <v>50</v>
      </c>
      <c r="S5126" s="7" t="s">
        <v>918</v>
      </c>
      <c r="T5126" s="9" t="s">
        <v>68</v>
      </c>
      <c r="U5126" s="7">
        <v>0.51</v>
      </c>
      <c r="V5126" s="12">
        <f>C5126+3</f>
        <v>40830</v>
      </c>
      <c r="W5126">
        <f>IF(D5126=' Pivot Tables'!$A$4,1,0)</f>
        <v>0</v>
      </c>
      <c r="X5126">
        <f>IF(AND(LEFT(D5126,4)+1=LEFT(' Pivot Tables'!$A$4,4)+0,RIGHT(LEFT(D5126,7),2)=RIGHT(LEFT(' Pivot Tables'!$A$4,7),2)),1,0)</f>
        <v>0</v>
      </c>
      <c r="Y5126" s="6">
        <f>1/COUNTIF(Таблица1[Order ID],Таблица1[[#This Row],[Order ID]])</f>
        <v>1</v>
      </c>
      <c r="Z5126" s="9">
        <f>1/COUNTIFS(Таблица1[Customer Name],Таблица1[[#This Row],[Customer Name]],Таблица1[Order-Year-Month],Таблица1[[#This Row],[Order-Year-Month]])</f>
        <v>1</v>
      </c>
    </row>
    <row r="5127" spans="1:26" x14ac:dyDescent="0.2">
      <c r="A5127" s="6">
        <v>4726</v>
      </c>
      <c r="B5127" s="7">
        <v>33637</v>
      </c>
      <c r="C5127" s="8">
        <f>DATE(2012,12,31)-37</f>
        <v>41237</v>
      </c>
      <c r="D5127" s="8" t="str">
        <f t="shared" si="97"/>
        <v>2012-11 (ноябрь 2012)</v>
      </c>
      <c r="E5127" s="9" t="s">
        <v>21</v>
      </c>
      <c r="F5127" s="7">
        <v>35</v>
      </c>
      <c r="G5127" s="7">
        <v>192.21</v>
      </c>
      <c r="H5127" s="7">
        <v>7.0000000000000007E-2</v>
      </c>
      <c r="I5127" s="9" t="s">
        <v>22</v>
      </c>
      <c r="J5127" s="10">
        <v>-61.36</v>
      </c>
      <c r="K5127" s="11">
        <v>5.47</v>
      </c>
      <c r="L5127" s="11">
        <v>5.26</v>
      </c>
      <c r="M5127" s="9" t="s">
        <v>1552</v>
      </c>
      <c r="N5127" s="6" t="s">
        <v>672</v>
      </c>
      <c r="O5127" s="6" t="s">
        <v>673</v>
      </c>
      <c r="P5127" s="9" t="s">
        <v>25</v>
      </c>
      <c r="Q5127" s="9" t="s">
        <v>49</v>
      </c>
      <c r="R5127" s="9" t="s">
        <v>50</v>
      </c>
      <c r="S5127" s="7" t="s">
        <v>1894</v>
      </c>
      <c r="T5127" s="9" t="s">
        <v>52</v>
      </c>
      <c r="U5127" s="7">
        <v>0.42</v>
      </c>
      <c r="V5127" s="12">
        <f>C5127+2</f>
        <v>41239</v>
      </c>
      <c r="W5127">
        <f>IF(D5127=' Pivot Tables'!$A$4,1,0)</f>
        <v>0</v>
      </c>
      <c r="X5127">
        <f>IF(AND(LEFT(D5127,4)+1=LEFT(' Pivot Tables'!$A$4,4)+0,RIGHT(LEFT(D5127,7),2)=RIGHT(LEFT(' Pivot Tables'!$A$4,7),2)),1,0)</f>
        <v>0</v>
      </c>
      <c r="Y5127" s="6">
        <f>1/COUNTIF(Таблица1[Order ID],Таблица1[[#This Row],[Order ID]])</f>
        <v>1</v>
      </c>
      <c r="Z5127" s="9">
        <f>1/COUNTIFS(Таблица1[Customer Name],Таблица1[[#This Row],[Customer Name]],Таблица1[Order-Year-Month],Таблица1[[#This Row],[Order-Year-Month]])</f>
        <v>0.5</v>
      </c>
    </row>
    <row r="5128" spans="1:26" x14ac:dyDescent="0.2">
      <c r="A5128" s="6">
        <v>4729</v>
      </c>
      <c r="B5128" s="7">
        <v>33670</v>
      </c>
      <c r="C5128" s="8">
        <f>DATE(2012,12,31)-248</f>
        <v>41026</v>
      </c>
      <c r="D5128" s="8" t="str">
        <f t="shared" si="97"/>
        <v>2012-04 (апрель 2012)</v>
      </c>
      <c r="E5128" s="9" t="s">
        <v>30</v>
      </c>
      <c r="F5128" s="7">
        <v>50</v>
      </c>
      <c r="G5128" s="7">
        <v>207.54</v>
      </c>
      <c r="H5128" s="7">
        <v>0.03</v>
      </c>
      <c r="I5128" s="9" t="s">
        <v>22</v>
      </c>
      <c r="J5128" s="10">
        <v>24.21</v>
      </c>
      <c r="K5128" s="11">
        <v>4.13</v>
      </c>
      <c r="L5128" s="11">
        <v>1.23</v>
      </c>
      <c r="M5128" s="9" t="s">
        <v>1855</v>
      </c>
      <c r="N5128" s="6" t="s">
        <v>672</v>
      </c>
      <c r="O5128" s="6" t="s">
        <v>673</v>
      </c>
      <c r="P5128" s="9" t="s">
        <v>60</v>
      </c>
      <c r="Q5128" s="9" t="s">
        <v>26</v>
      </c>
      <c r="R5128" s="9" t="s">
        <v>95</v>
      </c>
      <c r="S5128" s="7" t="s">
        <v>1486</v>
      </c>
      <c r="T5128" s="9" t="s">
        <v>68</v>
      </c>
      <c r="U5128" s="7">
        <v>0.55000000000000004</v>
      </c>
      <c r="V5128" s="12">
        <f>C5128+2</f>
        <v>41028</v>
      </c>
      <c r="W5128">
        <f>IF(D5128=' Pivot Tables'!$A$4,1,0)</f>
        <v>0</v>
      </c>
      <c r="X5128">
        <f>IF(AND(LEFT(D5128,4)+1=LEFT(' Pivot Tables'!$A$4,4)+0,RIGHT(LEFT(D5128,7),2)=RIGHT(LEFT(' Pivot Tables'!$A$4,7),2)),1,0)</f>
        <v>0</v>
      </c>
      <c r="Y5128" s="6">
        <f>1/COUNTIF(Таблица1[Order ID],Таблица1[[#This Row],[Order ID]])</f>
        <v>0.5</v>
      </c>
      <c r="Z5128" s="9">
        <f>1/COUNTIFS(Таблица1[Customer Name],Таблица1[[#This Row],[Customer Name]],Таблица1[Order-Year-Month],Таблица1[[#This Row],[Order-Year-Month]])</f>
        <v>0.5</v>
      </c>
    </row>
    <row r="5129" spans="1:26" x14ac:dyDescent="0.2">
      <c r="A5129" s="6">
        <v>4730</v>
      </c>
      <c r="B5129" s="7">
        <v>33670</v>
      </c>
      <c r="C5129" s="8">
        <f>DATE(2012,12,31)-248</f>
        <v>41026</v>
      </c>
      <c r="D5129" s="8" t="str">
        <f t="shared" si="97"/>
        <v>2012-04 (апрель 2012)</v>
      </c>
      <c r="E5129" s="9" t="s">
        <v>30</v>
      </c>
      <c r="F5129" s="7">
        <v>4</v>
      </c>
      <c r="G5129" s="7">
        <v>17.329999999999998</v>
      </c>
      <c r="H5129" s="7">
        <v>0.06</v>
      </c>
      <c r="I5129" s="9" t="s">
        <v>22</v>
      </c>
      <c r="J5129" s="10">
        <v>-16.579999999999998</v>
      </c>
      <c r="K5129" s="11">
        <v>3.28</v>
      </c>
      <c r="L5129" s="11">
        <v>5</v>
      </c>
      <c r="M5129" s="9" t="s">
        <v>1855</v>
      </c>
      <c r="N5129" s="6" t="s">
        <v>672</v>
      </c>
      <c r="O5129" s="6" t="s">
        <v>673</v>
      </c>
      <c r="P5129" s="9" t="s">
        <v>60</v>
      </c>
      <c r="Q5129" s="9" t="s">
        <v>26</v>
      </c>
      <c r="R5129" s="9" t="s">
        <v>95</v>
      </c>
      <c r="S5129" s="7" t="s">
        <v>878</v>
      </c>
      <c r="T5129" s="9" t="s">
        <v>68</v>
      </c>
      <c r="U5129" s="7">
        <v>0.56000000000000005</v>
      </c>
      <c r="V5129" s="12">
        <f>C5129+1</f>
        <v>41027</v>
      </c>
      <c r="W5129">
        <f>IF(D5129=' Pivot Tables'!$A$4,1,0)</f>
        <v>0</v>
      </c>
      <c r="X5129">
        <f>IF(AND(LEFT(D5129,4)+1=LEFT(' Pivot Tables'!$A$4,4)+0,RIGHT(LEFT(D5129,7),2)=RIGHT(LEFT(' Pivot Tables'!$A$4,7),2)),1,0)</f>
        <v>0</v>
      </c>
      <c r="Y5129" s="6">
        <f>1/COUNTIF(Таблица1[Order ID],Таблица1[[#This Row],[Order ID]])</f>
        <v>0.5</v>
      </c>
      <c r="Z5129" s="9">
        <f>1/COUNTIFS(Таблица1[Customer Name],Таблица1[[#This Row],[Customer Name]],Таблица1[Order-Year-Month],Таблица1[[#This Row],[Order-Year-Month]])</f>
        <v>0.5</v>
      </c>
    </row>
    <row r="5130" spans="1:26" x14ac:dyDescent="0.2">
      <c r="A5130" s="6">
        <v>4753</v>
      </c>
      <c r="B5130" s="7">
        <v>33794</v>
      </c>
      <c r="C5130" s="8">
        <f>DATE(2012,12,31)-678</f>
        <v>40596</v>
      </c>
      <c r="D5130" s="8" t="str">
        <f t="shared" si="97"/>
        <v>2011-02 (февраль 2011)</v>
      </c>
      <c r="E5130" s="9" t="s">
        <v>78</v>
      </c>
      <c r="F5130" s="7">
        <v>18</v>
      </c>
      <c r="G5130" s="7">
        <v>92.77</v>
      </c>
      <c r="H5130" s="7">
        <v>0.06</v>
      </c>
      <c r="I5130" s="9" t="s">
        <v>22</v>
      </c>
      <c r="J5130" s="10">
        <v>-17.91</v>
      </c>
      <c r="K5130" s="11">
        <v>4.91</v>
      </c>
      <c r="L5130" s="11">
        <v>3.05</v>
      </c>
      <c r="M5130" s="9" t="s">
        <v>1857</v>
      </c>
      <c r="N5130" s="6" t="s">
        <v>672</v>
      </c>
      <c r="O5130" s="6" t="s">
        <v>673</v>
      </c>
      <c r="P5130" s="9" t="s">
        <v>25</v>
      </c>
      <c r="Q5130" s="9" t="s">
        <v>49</v>
      </c>
      <c r="R5130" s="9" t="s">
        <v>50</v>
      </c>
      <c r="S5130" s="7" t="s">
        <v>1353</v>
      </c>
      <c r="T5130" s="9" t="s">
        <v>52</v>
      </c>
      <c r="U5130" s="7">
        <v>0.52</v>
      </c>
      <c r="V5130" s="12">
        <f>C5130+2</f>
        <v>40598</v>
      </c>
      <c r="W5130">
        <f>IF(D5130=' Pivot Tables'!$A$4,1,0)</f>
        <v>0</v>
      </c>
      <c r="X5130">
        <f>IF(AND(LEFT(D5130,4)+1=LEFT(' Pivot Tables'!$A$4,4)+0,RIGHT(LEFT(D5130,7),2)=RIGHT(LEFT(' Pivot Tables'!$A$4,7),2)),1,0)</f>
        <v>0</v>
      </c>
      <c r="Y5130" s="6">
        <f>1/COUNTIF(Таблица1[Order ID],Таблица1[[#This Row],[Order ID]])</f>
        <v>1</v>
      </c>
      <c r="Z5130" s="9">
        <f>1/COUNTIFS(Таблица1[Customer Name],Таблица1[[#This Row],[Customer Name]],Таблица1[Order-Year-Month],Таблица1[[#This Row],[Order-Year-Month]])</f>
        <v>1</v>
      </c>
    </row>
    <row r="5131" spans="1:26" x14ac:dyDescent="0.2">
      <c r="A5131" s="6">
        <v>4761</v>
      </c>
      <c r="B5131" s="7">
        <v>33857</v>
      </c>
      <c r="C5131" s="8">
        <f>DATE(2012,12,31)-977</f>
        <v>40297</v>
      </c>
      <c r="D5131" s="8" t="str">
        <f t="shared" si="97"/>
        <v>2010-04 (апрель 2010)</v>
      </c>
      <c r="E5131" s="9" t="s">
        <v>78</v>
      </c>
      <c r="F5131" s="7">
        <v>18</v>
      </c>
      <c r="G5131" s="7">
        <v>130.16</v>
      </c>
      <c r="H5131" s="7">
        <v>0</v>
      </c>
      <c r="I5131" s="9" t="s">
        <v>22</v>
      </c>
      <c r="J5131" s="10">
        <v>28.87</v>
      </c>
      <c r="K5131" s="11">
        <v>7.04</v>
      </c>
      <c r="L5131" s="11">
        <v>2.17</v>
      </c>
      <c r="M5131" s="9" t="s">
        <v>1789</v>
      </c>
      <c r="N5131" s="6" t="s">
        <v>672</v>
      </c>
      <c r="O5131" s="6" t="s">
        <v>673</v>
      </c>
      <c r="P5131" s="9" t="s">
        <v>60</v>
      </c>
      <c r="Q5131" s="9" t="s">
        <v>26</v>
      </c>
      <c r="R5131" s="9" t="s">
        <v>61</v>
      </c>
      <c r="S5131" s="7" t="s">
        <v>243</v>
      </c>
      <c r="T5131" s="9" t="s">
        <v>68</v>
      </c>
      <c r="U5131" s="7">
        <v>0.38</v>
      </c>
      <c r="V5131" s="12">
        <f>C5131+1</f>
        <v>40298</v>
      </c>
      <c r="W5131">
        <f>IF(D5131=' Pivot Tables'!$A$4,1,0)</f>
        <v>0</v>
      </c>
      <c r="X5131">
        <f>IF(AND(LEFT(D5131,4)+1=LEFT(' Pivot Tables'!$A$4,4)+0,RIGHT(LEFT(D5131,7),2)=RIGHT(LEFT(' Pivot Tables'!$A$4,7),2)),1,0)</f>
        <v>0</v>
      </c>
      <c r="Y5131" s="6">
        <f>1/COUNTIF(Таблица1[Order ID],Таблица1[[#This Row],[Order ID]])</f>
        <v>1</v>
      </c>
      <c r="Z5131" s="9">
        <f>1/COUNTIFS(Таблица1[Customer Name],Таблица1[[#This Row],[Customer Name]],Таблица1[Order-Year-Month],Таблица1[[#This Row],[Order-Year-Month]])</f>
        <v>1</v>
      </c>
    </row>
    <row r="5132" spans="1:26" x14ac:dyDescent="0.2">
      <c r="A5132" s="6">
        <v>4833</v>
      </c>
      <c r="B5132" s="7">
        <v>34400</v>
      </c>
      <c r="C5132" s="8">
        <f>DATE(2012,12,31)-7</f>
        <v>41267</v>
      </c>
      <c r="D5132" s="8" t="str">
        <f t="shared" si="97"/>
        <v>2012-12 (декабрь 2012)</v>
      </c>
      <c r="E5132" s="9" t="s">
        <v>21</v>
      </c>
      <c r="F5132" s="7">
        <v>25</v>
      </c>
      <c r="G5132" s="7">
        <v>92.53</v>
      </c>
      <c r="H5132" s="7">
        <v>0.01</v>
      </c>
      <c r="I5132" s="9" t="s">
        <v>22</v>
      </c>
      <c r="J5132" s="10">
        <v>-71.52</v>
      </c>
      <c r="K5132" s="11">
        <v>3.57</v>
      </c>
      <c r="L5132" s="11">
        <v>4.17</v>
      </c>
      <c r="M5132" s="9" t="s">
        <v>1888</v>
      </c>
      <c r="N5132" s="6" t="s">
        <v>672</v>
      </c>
      <c r="O5132" s="6" t="s">
        <v>673</v>
      </c>
      <c r="P5132" s="9" t="s">
        <v>41</v>
      </c>
      <c r="Q5132" s="9" t="s">
        <v>26</v>
      </c>
      <c r="R5132" s="9" t="s">
        <v>95</v>
      </c>
      <c r="S5132" s="7" t="s">
        <v>739</v>
      </c>
      <c r="T5132" s="9" t="s">
        <v>52</v>
      </c>
      <c r="U5132" s="7">
        <v>0.59</v>
      </c>
      <c r="V5132" s="12">
        <f>C5132+4</f>
        <v>41271</v>
      </c>
      <c r="W5132">
        <f>IF(D5132=' Pivot Tables'!$A$4,1,0)</f>
        <v>0</v>
      </c>
      <c r="X5132">
        <f>IF(AND(LEFT(D5132,4)+1=LEFT(' Pivot Tables'!$A$4,4)+0,RIGHT(LEFT(D5132,7),2)=RIGHT(LEFT(' Pivot Tables'!$A$4,7),2)),1,0)</f>
        <v>0</v>
      </c>
      <c r="Y5132" s="6">
        <f>1/COUNTIF(Таблица1[Order ID],Таблица1[[#This Row],[Order ID]])</f>
        <v>0.5</v>
      </c>
      <c r="Z5132" s="9">
        <f>1/COUNTIFS(Таблица1[Customer Name],Таблица1[[#This Row],[Customer Name]],Таблица1[Order-Year-Month],Таблица1[[#This Row],[Order-Year-Month]])</f>
        <v>0.5</v>
      </c>
    </row>
    <row r="5133" spans="1:26" x14ac:dyDescent="0.2">
      <c r="A5133" s="6">
        <v>4834</v>
      </c>
      <c r="B5133" s="7">
        <v>34400</v>
      </c>
      <c r="C5133" s="8">
        <f>DATE(2012,12,31)-7</f>
        <v>41267</v>
      </c>
      <c r="D5133" s="8" t="str">
        <f t="shared" si="97"/>
        <v>2012-12 (декабрь 2012)</v>
      </c>
      <c r="E5133" s="9" t="s">
        <v>21</v>
      </c>
      <c r="F5133" s="7">
        <v>17</v>
      </c>
      <c r="G5133" s="7">
        <v>988.6434999999999</v>
      </c>
      <c r="H5133" s="7">
        <v>0.04</v>
      </c>
      <c r="I5133" s="9" t="s">
        <v>22</v>
      </c>
      <c r="J5133" s="10">
        <v>89.891999999999996</v>
      </c>
      <c r="K5133" s="11">
        <v>65.989999999999995</v>
      </c>
      <c r="L5133" s="11">
        <v>4.2</v>
      </c>
      <c r="M5133" s="9" t="s">
        <v>1888</v>
      </c>
      <c r="N5133" s="6" t="s">
        <v>672</v>
      </c>
      <c r="O5133" s="6" t="s">
        <v>673</v>
      </c>
      <c r="P5133" s="9" t="s">
        <v>41</v>
      </c>
      <c r="Q5133" s="9" t="s">
        <v>42</v>
      </c>
      <c r="R5133" s="9" t="s">
        <v>43</v>
      </c>
      <c r="S5133" s="7" t="s">
        <v>1399</v>
      </c>
      <c r="T5133" s="9" t="s">
        <v>39</v>
      </c>
      <c r="U5133" s="7">
        <v>0.59</v>
      </c>
      <c r="V5133" s="12">
        <f>C5133+5</f>
        <v>41272</v>
      </c>
      <c r="W5133">
        <f>IF(D5133=' Pivot Tables'!$A$4,1,0)</f>
        <v>0</v>
      </c>
      <c r="X5133">
        <f>IF(AND(LEFT(D5133,4)+1=LEFT(' Pivot Tables'!$A$4,4)+0,RIGHT(LEFT(D5133,7),2)=RIGHT(LEFT(' Pivot Tables'!$A$4,7),2)),1,0)</f>
        <v>0</v>
      </c>
      <c r="Y5133" s="6">
        <f>1/COUNTIF(Таблица1[Order ID],Таблица1[[#This Row],[Order ID]])</f>
        <v>0.5</v>
      </c>
      <c r="Z5133" s="9">
        <f>1/COUNTIFS(Таблица1[Customer Name],Таблица1[[#This Row],[Customer Name]],Таблица1[Order-Year-Month],Таблица1[[#This Row],[Order-Year-Month]])</f>
        <v>0.5</v>
      </c>
    </row>
    <row r="5134" spans="1:26" x14ac:dyDescent="0.2">
      <c r="A5134" s="6">
        <v>4838</v>
      </c>
      <c r="B5134" s="7">
        <v>34407</v>
      </c>
      <c r="C5134" s="8">
        <f>DATE(2012,12,31)-884</f>
        <v>40390</v>
      </c>
      <c r="D5134" s="8" t="str">
        <f t="shared" si="97"/>
        <v>2010-07 (июль 2010)</v>
      </c>
      <c r="E5134" s="9" t="s">
        <v>21</v>
      </c>
      <c r="F5134" s="7">
        <v>41</v>
      </c>
      <c r="G5134" s="7">
        <v>1484.89</v>
      </c>
      <c r="H5134" s="7">
        <v>0.03</v>
      </c>
      <c r="I5134" s="9" t="s">
        <v>22</v>
      </c>
      <c r="J5134" s="10">
        <v>220.99</v>
      </c>
      <c r="K5134" s="11">
        <v>35.89</v>
      </c>
      <c r="L5134" s="11">
        <v>14.72</v>
      </c>
      <c r="M5134" s="9" t="s">
        <v>1886</v>
      </c>
      <c r="N5134" s="6" t="s">
        <v>672</v>
      </c>
      <c r="O5134" s="6" t="s">
        <v>673</v>
      </c>
      <c r="P5134" s="9" t="s">
        <v>33</v>
      </c>
      <c r="Q5134" s="9" t="s">
        <v>26</v>
      </c>
      <c r="R5134" s="9" t="s">
        <v>76</v>
      </c>
      <c r="S5134" s="7" t="s">
        <v>813</v>
      </c>
      <c r="T5134" s="9" t="s">
        <v>39</v>
      </c>
      <c r="U5134" s="7">
        <v>0.4</v>
      </c>
      <c r="V5134" s="12">
        <f>C5134+0</f>
        <v>40390</v>
      </c>
      <c r="W5134">
        <f>IF(D5134=' Pivot Tables'!$A$4,1,0)</f>
        <v>0</v>
      </c>
      <c r="X5134">
        <f>IF(AND(LEFT(D5134,4)+1=LEFT(' Pivot Tables'!$A$4,4)+0,RIGHT(LEFT(D5134,7),2)=RIGHT(LEFT(' Pivot Tables'!$A$4,7),2)),1,0)</f>
        <v>0</v>
      </c>
      <c r="Y5134" s="6">
        <f>1/COUNTIF(Таблица1[Order ID],Таблица1[[#This Row],[Order ID]])</f>
        <v>1</v>
      </c>
      <c r="Z5134" s="9">
        <f>1/COUNTIFS(Таблица1[Customer Name],Таблица1[[#This Row],[Customer Name]],Таблица1[Order-Year-Month],Таблица1[[#This Row],[Order-Year-Month]])</f>
        <v>1</v>
      </c>
    </row>
    <row r="5135" spans="1:26" x14ac:dyDescent="0.2">
      <c r="A5135" s="6">
        <v>4839</v>
      </c>
      <c r="B5135" s="7">
        <v>34432</v>
      </c>
      <c r="C5135" s="8">
        <f>DATE(2012,12,31)-1364</f>
        <v>39910</v>
      </c>
      <c r="D5135" s="8" t="str">
        <f t="shared" si="97"/>
        <v>2009-04 (апрель 2009)</v>
      </c>
      <c r="E5135" s="9" t="s">
        <v>45</v>
      </c>
      <c r="F5135" s="7">
        <v>20</v>
      </c>
      <c r="G5135" s="7">
        <v>244.39</v>
      </c>
      <c r="H5135" s="7">
        <v>0.08</v>
      </c>
      <c r="I5135" s="9" t="s">
        <v>22</v>
      </c>
      <c r="J5135" s="10">
        <v>114.1</v>
      </c>
      <c r="K5135" s="11">
        <v>12.53</v>
      </c>
      <c r="L5135" s="11">
        <v>0.5</v>
      </c>
      <c r="M5135" s="9" t="s">
        <v>1882</v>
      </c>
      <c r="N5135" s="6" t="s">
        <v>672</v>
      </c>
      <c r="O5135" s="6" t="s">
        <v>673</v>
      </c>
      <c r="P5135" s="9" t="s">
        <v>60</v>
      </c>
      <c r="Q5135" s="9" t="s">
        <v>26</v>
      </c>
      <c r="R5135" s="9" t="s">
        <v>88</v>
      </c>
      <c r="S5135" s="7" t="s">
        <v>525</v>
      </c>
      <c r="T5135" s="9" t="s">
        <v>39</v>
      </c>
      <c r="U5135" s="7">
        <v>0.38</v>
      </c>
      <c r="V5135" s="12">
        <f>C5135+1</f>
        <v>39911</v>
      </c>
      <c r="W5135">
        <f>IF(D5135=' Pivot Tables'!$A$4,1,0)</f>
        <v>0</v>
      </c>
      <c r="X5135">
        <f>IF(AND(LEFT(D5135,4)+1=LEFT(' Pivot Tables'!$A$4,4)+0,RIGHT(LEFT(D5135,7),2)=RIGHT(LEFT(' Pivot Tables'!$A$4,7),2)),1,0)</f>
        <v>0</v>
      </c>
      <c r="Y5135" s="6">
        <f>1/COUNTIF(Таблица1[Order ID],Таблица1[[#This Row],[Order ID]])</f>
        <v>0.5</v>
      </c>
      <c r="Z5135" s="9">
        <f>1/COUNTIFS(Таблица1[Customer Name],Таблица1[[#This Row],[Customer Name]],Таблица1[Order-Year-Month],Таблица1[[#This Row],[Order-Year-Month]])</f>
        <v>0.5</v>
      </c>
    </row>
    <row r="5136" spans="1:26" x14ac:dyDescent="0.2">
      <c r="A5136" s="6">
        <v>4840</v>
      </c>
      <c r="B5136" s="7">
        <v>34432</v>
      </c>
      <c r="C5136" s="8">
        <f>DATE(2012,12,31)-1364</f>
        <v>39910</v>
      </c>
      <c r="D5136" s="8" t="str">
        <f t="shared" si="97"/>
        <v>2009-04 (апрель 2009)</v>
      </c>
      <c r="E5136" s="9" t="s">
        <v>45</v>
      </c>
      <c r="F5136" s="7">
        <v>3</v>
      </c>
      <c r="G5136" s="7">
        <v>581.41999999999996</v>
      </c>
      <c r="H5136" s="7">
        <v>0.02</v>
      </c>
      <c r="I5136" s="9" t="s">
        <v>22</v>
      </c>
      <c r="J5136" s="10">
        <v>-129.97</v>
      </c>
      <c r="K5136" s="11">
        <v>178.47</v>
      </c>
      <c r="L5136" s="11">
        <v>19.989999999999998</v>
      </c>
      <c r="M5136" s="9" t="s">
        <v>1882</v>
      </c>
      <c r="N5136" s="6" t="s">
        <v>672</v>
      </c>
      <c r="O5136" s="6" t="s">
        <v>673</v>
      </c>
      <c r="P5136" s="9" t="s">
        <v>60</v>
      </c>
      <c r="Q5136" s="9" t="s">
        <v>26</v>
      </c>
      <c r="R5136" s="9" t="s">
        <v>27</v>
      </c>
      <c r="S5136" s="7" t="s">
        <v>1195</v>
      </c>
      <c r="T5136" s="9" t="s">
        <v>39</v>
      </c>
      <c r="U5136" s="7">
        <v>0.55000000000000004</v>
      </c>
      <c r="V5136" s="12">
        <f>C5136+1</f>
        <v>39911</v>
      </c>
      <c r="W5136">
        <f>IF(D5136=' Pivot Tables'!$A$4,1,0)</f>
        <v>0</v>
      </c>
      <c r="X5136">
        <f>IF(AND(LEFT(D5136,4)+1=LEFT(' Pivot Tables'!$A$4,4)+0,RIGHT(LEFT(D5136,7),2)=RIGHT(LEFT(' Pivot Tables'!$A$4,7),2)),1,0)</f>
        <v>0</v>
      </c>
      <c r="Y5136" s="6">
        <f>1/COUNTIF(Таблица1[Order ID],Таблица1[[#This Row],[Order ID]])</f>
        <v>0.5</v>
      </c>
      <c r="Z5136" s="9">
        <f>1/COUNTIFS(Таблица1[Customer Name],Таблица1[[#This Row],[Customer Name]],Таблица1[Order-Year-Month],Таблица1[[#This Row],[Order-Year-Month]])</f>
        <v>0.5</v>
      </c>
    </row>
    <row r="5137" spans="1:26" x14ac:dyDescent="0.2">
      <c r="A5137" s="6">
        <v>4846</v>
      </c>
      <c r="B5137" s="7">
        <v>34497</v>
      </c>
      <c r="C5137" s="8">
        <f>DATE(2012,12,31)-1392</f>
        <v>39882</v>
      </c>
      <c r="D5137" s="8" t="str">
        <f t="shared" si="97"/>
        <v>2009-03 (март 2009)</v>
      </c>
      <c r="E5137" s="9" t="s">
        <v>63</v>
      </c>
      <c r="F5137" s="7">
        <v>36</v>
      </c>
      <c r="G5137" s="7">
        <v>175.35</v>
      </c>
      <c r="H5137" s="7">
        <v>0.1</v>
      </c>
      <c r="I5137" s="9" t="s">
        <v>22</v>
      </c>
      <c r="J5137" s="10">
        <v>-174.18</v>
      </c>
      <c r="K5137" s="11">
        <v>4.9800000000000004</v>
      </c>
      <c r="L5137" s="11">
        <v>7.54</v>
      </c>
      <c r="M5137" s="9" t="s">
        <v>901</v>
      </c>
      <c r="N5137" s="6" t="s">
        <v>672</v>
      </c>
      <c r="O5137" s="6" t="s">
        <v>673</v>
      </c>
      <c r="P5137" s="9" t="s">
        <v>33</v>
      </c>
      <c r="Q5137" s="9" t="s">
        <v>26</v>
      </c>
      <c r="R5137" s="9" t="s">
        <v>61</v>
      </c>
      <c r="S5137" s="7" t="s">
        <v>1554</v>
      </c>
      <c r="T5137" s="9" t="s">
        <v>39</v>
      </c>
      <c r="U5137" s="7">
        <v>0.38</v>
      </c>
      <c r="V5137" s="12">
        <f>C5137+1</f>
        <v>39883</v>
      </c>
      <c r="W5137">
        <f>IF(D5137=' Pivot Tables'!$A$4,1,0)</f>
        <v>0</v>
      </c>
      <c r="X5137">
        <f>IF(AND(LEFT(D5137,4)+1=LEFT(' Pivot Tables'!$A$4,4)+0,RIGHT(LEFT(D5137,7),2)=RIGHT(LEFT(' Pivot Tables'!$A$4,7),2)),1,0)</f>
        <v>0</v>
      </c>
      <c r="Y5137" s="6">
        <f>1/COUNTIF(Таблица1[Order ID],Таблица1[[#This Row],[Order ID]])</f>
        <v>0.5</v>
      </c>
      <c r="Z5137" s="9">
        <f>1/COUNTIFS(Таблица1[Customer Name],Таблица1[[#This Row],[Customer Name]],Таблица1[Order-Year-Month],Таблица1[[#This Row],[Order-Year-Month]])</f>
        <v>0.5</v>
      </c>
    </row>
    <row r="5138" spans="1:26" x14ac:dyDescent="0.2">
      <c r="A5138" s="6">
        <v>4847</v>
      </c>
      <c r="B5138" s="7">
        <v>34497</v>
      </c>
      <c r="C5138" s="8">
        <f>DATE(2012,12,31)-1392</f>
        <v>39882</v>
      </c>
      <c r="D5138" s="8" t="str">
        <f t="shared" si="97"/>
        <v>2009-03 (март 2009)</v>
      </c>
      <c r="E5138" s="9" t="s">
        <v>63</v>
      </c>
      <c r="F5138" s="7">
        <v>25</v>
      </c>
      <c r="G5138" s="7">
        <v>590.6</v>
      </c>
      <c r="H5138" s="7">
        <v>0</v>
      </c>
      <c r="I5138" s="9" t="s">
        <v>22</v>
      </c>
      <c r="J5138" s="10">
        <v>117.73</v>
      </c>
      <c r="K5138" s="11">
        <v>22.84</v>
      </c>
      <c r="L5138" s="11">
        <v>8.18</v>
      </c>
      <c r="M5138" s="9" t="s">
        <v>901</v>
      </c>
      <c r="N5138" s="6" t="s">
        <v>672</v>
      </c>
      <c r="O5138" s="6" t="s">
        <v>673</v>
      </c>
      <c r="P5138" s="9" t="s">
        <v>33</v>
      </c>
      <c r="Q5138" s="9" t="s">
        <v>26</v>
      </c>
      <c r="R5138" s="9" t="s">
        <v>61</v>
      </c>
      <c r="S5138" s="7" t="s">
        <v>1539</v>
      </c>
      <c r="T5138" s="9" t="s">
        <v>39</v>
      </c>
      <c r="U5138" s="7">
        <v>0.39</v>
      </c>
      <c r="V5138" s="12">
        <f>C5138+2</f>
        <v>39884</v>
      </c>
      <c r="W5138">
        <f>IF(D5138=' Pivot Tables'!$A$4,1,0)</f>
        <v>0</v>
      </c>
      <c r="X5138">
        <f>IF(AND(LEFT(D5138,4)+1=LEFT(' Pivot Tables'!$A$4,4)+0,RIGHT(LEFT(D5138,7),2)=RIGHT(LEFT(' Pivot Tables'!$A$4,7),2)),1,0)</f>
        <v>0</v>
      </c>
      <c r="Y5138" s="6">
        <f>1/COUNTIF(Таблица1[Order ID],Таблица1[[#This Row],[Order ID]])</f>
        <v>0.5</v>
      </c>
      <c r="Z5138" s="9">
        <f>1/COUNTIFS(Таблица1[Customer Name],Таблица1[[#This Row],[Customer Name]],Таблица1[Order-Year-Month],Таблица1[[#This Row],[Order-Year-Month]])</f>
        <v>0.5</v>
      </c>
    </row>
    <row r="5139" spans="1:26" x14ac:dyDescent="0.2">
      <c r="A5139" s="6">
        <v>4848</v>
      </c>
      <c r="B5139" s="7">
        <v>34498</v>
      </c>
      <c r="C5139" s="8">
        <f>DATE(2012,12,31)-1415</f>
        <v>39859</v>
      </c>
      <c r="D5139" s="8" t="str">
        <f t="shared" si="97"/>
        <v>2009-02 (февраль 2009)</v>
      </c>
      <c r="E5139" s="9" t="s">
        <v>21</v>
      </c>
      <c r="F5139" s="7">
        <v>4</v>
      </c>
      <c r="G5139" s="7">
        <v>47.12</v>
      </c>
      <c r="H5139" s="7">
        <v>0.09</v>
      </c>
      <c r="I5139" s="9" t="s">
        <v>56</v>
      </c>
      <c r="J5139" s="10">
        <v>10.8</v>
      </c>
      <c r="K5139" s="11">
        <v>8.74</v>
      </c>
      <c r="L5139" s="11">
        <v>1.39</v>
      </c>
      <c r="M5139" s="9" t="s">
        <v>1678</v>
      </c>
      <c r="N5139" s="6" t="s">
        <v>672</v>
      </c>
      <c r="O5139" s="6" t="s">
        <v>673</v>
      </c>
      <c r="P5139" s="9" t="s">
        <v>25</v>
      </c>
      <c r="Q5139" s="9" t="s">
        <v>26</v>
      </c>
      <c r="R5139" s="9" t="s">
        <v>76</v>
      </c>
      <c r="S5139" s="7" t="s">
        <v>567</v>
      </c>
      <c r="T5139" s="9" t="s">
        <v>39</v>
      </c>
      <c r="U5139" s="7">
        <v>0.38</v>
      </c>
      <c r="V5139" s="12">
        <f>C5139+5</f>
        <v>39864</v>
      </c>
      <c r="W5139">
        <f>IF(D5139=' Pivot Tables'!$A$4,1,0)</f>
        <v>0</v>
      </c>
      <c r="X5139">
        <f>IF(AND(LEFT(D5139,4)+1=LEFT(' Pivot Tables'!$A$4,4)+0,RIGHT(LEFT(D5139,7),2)=RIGHT(LEFT(' Pivot Tables'!$A$4,7),2)),1,0)</f>
        <v>0</v>
      </c>
      <c r="Y5139" s="6">
        <f>1/COUNTIF(Таблица1[Order ID],Таблица1[[#This Row],[Order ID]])</f>
        <v>0.5</v>
      </c>
      <c r="Z5139" s="9">
        <f>1/COUNTIFS(Таблица1[Customer Name],Таблица1[[#This Row],[Customer Name]],Таблица1[Order-Year-Month],Таблица1[[#This Row],[Order-Year-Month]])</f>
        <v>0.5</v>
      </c>
    </row>
    <row r="5140" spans="1:26" x14ac:dyDescent="0.2">
      <c r="A5140" s="6">
        <v>4849</v>
      </c>
      <c r="B5140" s="7">
        <v>34498</v>
      </c>
      <c r="C5140" s="8">
        <f>DATE(2012,12,31)-1415</f>
        <v>39859</v>
      </c>
      <c r="D5140" s="8" t="str">
        <f t="shared" si="97"/>
        <v>2009-02 (февраль 2009)</v>
      </c>
      <c r="E5140" s="9" t="s">
        <v>21</v>
      </c>
      <c r="F5140" s="7">
        <v>3</v>
      </c>
      <c r="G5140" s="7">
        <v>62.89</v>
      </c>
      <c r="H5140" s="7">
        <v>0.09</v>
      </c>
      <c r="I5140" s="9" t="s">
        <v>22</v>
      </c>
      <c r="J5140" s="10">
        <v>-23.2</v>
      </c>
      <c r="K5140" s="11">
        <v>18.97</v>
      </c>
      <c r="L5140" s="11">
        <v>9.0299999999999994</v>
      </c>
      <c r="M5140" s="9" t="s">
        <v>1678</v>
      </c>
      <c r="N5140" s="6" t="s">
        <v>672</v>
      </c>
      <c r="O5140" s="6" t="s">
        <v>673</v>
      </c>
      <c r="P5140" s="9" t="s">
        <v>25</v>
      </c>
      <c r="Q5140" s="9" t="s">
        <v>26</v>
      </c>
      <c r="R5140" s="9" t="s">
        <v>61</v>
      </c>
      <c r="S5140" s="7" t="s">
        <v>123</v>
      </c>
      <c r="T5140" s="9" t="s">
        <v>39</v>
      </c>
      <c r="U5140" s="7">
        <v>0.37</v>
      </c>
      <c r="V5140" s="12">
        <f>C5140+5</f>
        <v>39864</v>
      </c>
      <c r="W5140">
        <f>IF(D5140=' Pivot Tables'!$A$4,1,0)</f>
        <v>0</v>
      </c>
      <c r="X5140">
        <f>IF(AND(LEFT(D5140,4)+1=LEFT(' Pivot Tables'!$A$4,4)+0,RIGHT(LEFT(D5140,7),2)=RIGHT(LEFT(' Pivot Tables'!$A$4,7),2)),1,0)</f>
        <v>0</v>
      </c>
      <c r="Y5140" s="6">
        <f>1/COUNTIF(Таблица1[Order ID],Таблица1[[#This Row],[Order ID]])</f>
        <v>0.5</v>
      </c>
      <c r="Z5140" s="9">
        <f>1/COUNTIFS(Таблица1[Customer Name],Таблица1[[#This Row],[Customer Name]],Таблица1[Order-Year-Month],Таблица1[[#This Row],[Order-Year-Month]])</f>
        <v>0.5</v>
      </c>
    </row>
    <row r="5141" spans="1:26" x14ac:dyDescent="0.2">
      <c r="A5141" s="6">
        <v>4925</v>
      </c>
      <c r="B5141" s="7">
        <v>35045</v>
      </c>
      <c r="C5141" s="8">
        <f>DATE(2012,12,31)-273</f>
        <v>41001</v>
      </c>
      <c r="D5141" s="8" t="str">
        <f t="shared" si="97"/>
        <v>2012-04 (апрель 2012)</v>
      </c>
      <c r="E5141" s="9" t="s">
        <v>63</v>
      </c>
      <c r="F5141" s="7">
        <v>44</v>
      </c>
      <c r="G5141" s="7">
        <v>565.01</v>
      </c>
      <c r="H5141" s="7">
        <v>0.1</v>
      </c>
      <c r="I5141" s="9" t="s">
        <v>22</v>
      </c>
      <c r="J5141" s="10">
        <v>-10.33</v>
      </c>
      <c r="K5141" s="11">
        <v>13.48</v>
      </c>
      <c r="L5141" s="11">
        <v>4.51</v>
      </c>
      <c r="M5141" s="9" t="s">
        <v>1777</v>
      </c>
      <c r="N5141" s="6" t="s">
        <v>672</v>
      </c>
      <c r="O5141" s="6" t="s">
        <v>673</v>
      </c>
      <c r="P5141" s="9" t="s">
        <v>25</v>
      </c>
      <c r="Q5141" s="9" t="s">
        <v>26</v>
      </c>
      <c r="R5141" s="9" t="s">
        <v>27</v>
      </c>
      <c r="S5141" s="7" t="s">
        <v>101</v>
      </c>
      <c r="T5141" s="9" t="s">
        <v>39</v>
      </c>
      <c r="U5141" s="7">
        <v>0.59</v>
      </c>
      <c r="V5141" s="12">
        <f>C5141+2</f>
        <v>41003</v>
      </c>
      <c r="W5141">
        <f>IF(D5141=' Pivot Tables'!$A$4,1,0)</f>
        <v>0</v>
      </c>
      <c r="X5141">
        <f>IF(AND(LEFT(D5141,4)+1=LEFT(' Pivot Tables'!$A$4,4)+0,RIGHT(LEFT(D5141,7),2)=RIGHT(LEFT(' Pivot Tables'!$A$4,7),2)),1,0)</f>
        <v>0</v>
      </c>
      <c r="Y5141" s="6">
        <f>1/COUNTIF(Таблица1[Order ID],Таблица1[[#This Row],[Order ID]])</f>
        <v>1</v>
      </c>
      <c r="Z5141" s="9">
        <f>1/COUNTIFS(Таблица1[Customer Name],Таблица1[[#This Row],[Customer Name]],Таблица1[Order-Year-Month],Таблица1[[#This Row],[Order-Year-Month]])</f>
        <v>1</v>
      </c>
    </row>
    <row r="5142" spans="1:26" x14ac:dyDescent="0.2">
      <c r="A5142" s="6">
        <v>4954</v>
      </c>
      <c r="B5142" s="7">
        <v>35265</v>
      </c>
      <c r="C5142" s="8">
        <f>DATE(2012,12,31)-763</f>
        <v>40511</v>
      </c>
      <c r="D5142" s="8" t="str">
        <f t="shared" si="97"/>
        <v>2010-11 (ноябрь 2010)</v>
      </c>
      <c r="E5142" s="9" t="s">
        <v>45</v>
      </c>
      <c r="F5142" s="7">
        <v>4</v>
      </c>
      <c r="G5142" s="7">
        <v>125.78</v>
      </c>
      <c r="H5142" s="7">
        <v>0.02</v>
      </c>
      <c r="I5142" s="9" t="s">
        <v>22</v>
      </c>
      <c r="J5142" s="10">
        <v>8.4320000000000039</v>
      </c>
      <c r="K5142" s="11">
        <v>30.56</v>
      </c>
      <c r="L5142" s="11">
        <v>2.99</v>
      </c>
      <c r="M5142" s="9" t="s">
        <v>1845</v>
      </c>
      <c r="N5142" s="6" t="s">
        <v>672</v>
      </c>
      <c r="O5142" s="6" t="s">
        <v>673</v>
      </c>
      <c r="P5142" s="9" t="s">
        <v>25</v>
      </c>
      <c r="Q5142" s="9" t="s">
        <v>26</v>
      </c>
      <c r="R5142" s="9" t="s">
        <v>37</v>
      </c>
      <c r="S5142" s="7" t="s">
        <v>250</v>
      </c>
      <c r="T5142" s="9" t="s">
        <v>39</v>
      </c>
      <c r="U5142" s="7">
        <v>0.35</v>
      </c>
      <c r="V5142" s="12">
        <f>C5142+1</f>
        <v>40512</v>
      </c>
      <c r="W5142">
        <f>IF(D5142=' Pivot Tables'!$A$4,1,0)</f>
        <v>0</v>
      </c>
      <c r="X5142">
        <f>IF(AND(LEFT(D5142,4)+1=LEFT(' Pivot Tables'!$A$4,4)+0,RIGHT(LEFT(D5142,7),2)=RIGHT(LEFT(' Pivot Tables'!$A$4,7),2)),1,0)</f>
        <v>0</v>
      </c>
      <c r="Y5142" s="6">
        <f>1/COUNTIF(Таблица1[Order ID],Таблица1[[#This Row],[Order ID]])</f>
        <v>0.33333333333333331</v>
      </c>
      <c r="Z5142" s="9">
        <f>1/COUNTIFS(Таблица1[Customer Name],Таблица1[[#This Row],[Customer Name]],Таблица1[Order-Year-Month],Таблица1[[#This Row],[Order-Year-Month]])</f>
        <v>0.33333333333333331</v>
      </c>
    </row>
    <row r="5143" spans="1:26" x14ac:dyDescent="0.2">
      <c r="A5143" s="6">
        <v>4955</v>
      </c>
      <c r="B5143" s="7">
        <v>35265</v>
      </c>
      <c r="C5143" s="8">
        <f>DATE(2012,12,31)-763</f>
        <v>40511</v>
      </c>
      <c r="D5143" s="8" t="str">
        <f t="shared" si="97"/>
        <v>2010-11 (ноябрь 2010)</v>
      </c>
      <c r="E5143" s="9" t="s">
        <v>45</v>
      </c>
      <c r="F5143" s="7">
        <v>16</v>
      </c>
      <c r="G5143" s="7">
        <v>577</v>
      </c>
      <c r="H5143" s="7">
        <v>0.04</v>
      </c>
      <c r="I5143" s="9" t="s">
        <v>31</v>
      </c>
      <c r="J5143" s="10">
        <v>-112.88</v>
      </c>
      <c r="K5143" s="11">
        <v>33.94</v>
      </c>
      <c r="L5143" s="11">
        <v>19.190000000000001</v>
      </c>
      <c r="M5143" s="9" t="s">
        <v>1845</v>
      </c>
      <c r="N5143" s="6" t="s">
        <v>672</v>
      </c>
      <c r="O5143" s="6" t="s">
        <v>673</v>
      </c>
      <c r="P5143" s="9" t="s">
        <v>25</v>
      </c>
      <c r="Q5143" s="9" t="s">
        <v>49</v>
      </c>
      <c r="R5143" s="9" t="s">
        <v>112</v>
      </c>
      <c r="S5143" s="7" t="s">
        <v>323</v>
      </c>
      <c r="T5143" s="9" t="s">
        <v>36</v>
      </c>
      <c r="U5143" s="7">
        <v>0.57999999999999996</v>
      </c>
      <c r="V5143" s="12">
        <f>C5143+1</f>
        <v>40512</v>
      </c>
      <c r="W5143">
        <f>IF(D5143=' Pivot Tables'!$A$4,1,0)</f>
        <v>0</v>
      </c>
      <c r="X5143">
        <f>IF(AND(LEFT(D5143,4)+1=LEFT(' Pivot Tables'!$A$4,4)+0,RIGHT(LEFT(D5143,7),2)=RIGHT(LEFT(' Pivot Tables'!$A$4,7),2)),1,0)</f>
        <v>0</v>
      </c>
      <c r="Y5143" s="6">
        <f>1/COUNTIF(Таблица1[Order ID],Таблица1[[#This Row],[Order ID]])</f>
        <v>0.33333333333333331</v>
      </c>
      <c r="Z5143" s="9">
        <f>1/COUNTIFS(Таблица1[Customer Name],Таблица1[[#This Row],[Customer Name]],Таблица1[Order-Year-Month],Таблица1[[#This Row],[Order-Year-Month]])</f>
        <v>0.33333333333333331</v>
      </c>
    </row>
    <row r="5144" spans="1:26" x14ac:dyDescent="0.2">
      <c r="A5144" s="6">
        <v>4956</v>
      </c>
      <c r="B5144" s="7">
        <v>35265</v>
      </c>
      <c r="C5144" s="8">
        <f>DATE(2012,12,31)-763</f>
        <v>40511</v>
      </c>
      <c r="D5144" s="8" t="str">
        <f t="shared" si="97"/>
        <v>2010-11 (ноябрь 2010)</v>
      </c>
      <c r="E5144" s="9" t="s">
        <v>45</v>
      </c>
      <c r="F5144" s="7">
        <v>2</v>
      </c>
      <c r="G5144" s="7">
        <v>24.53</v>
      </c>
      <c r="H5144" s="7">
        <v>0.04</v>
      </c>
      <c r="I5144" s="9" t="s">
        <v>22</v>
      </c>
      <c r="J5144" s="10">
        <v>-28.144500000000001</v>
      </c>
      <c r="K5144" s="11">
        <v>9.49</v>
      </c>
      <c r="L5144" s="11">
        <v>5.76</v>
      </c>
      <c r="M5144" s="9" t="s">
        <v>1845</v>
      </c>
      <c r="N5144" s="6" t="s">
        <v>672</v>
      </c>
      <c r="O5144" s="6" t="s">
        <v>673</v>
      </c>
      <c r="P5144" s="9" t="s">
        <v>25</v>
      </c>
      <c r="Q5144" s="9" t="s">
        <v>42</v>
      </c>
      <c r="R5144" s="9" t="s">
        <v>210</v>
      </c>
      <c r="S5144" s="7" t="s">
        <v>659</v>
      </c>
      <c r="T5144" s="9" t="s">
        <v>48</v>
      </c>
      <c r="U5144" s="7">
        <v>0.39</v>
      </c>
      <c r="V5144" s="12">
        <f>C5144+2</f>
        <v>40513</v>
      </c>
      <c r="W5144">
        <f>IF(D5144=' Pivot Tables'!$A$4,1,0)</f>
        <v>0</v>
      </c>
      <c r="X5144">
        <f>IF(AND(LEFT(D5144,4)+1=LEFT(' Pivot Tables'!$A$4,4)+0,RIGHT(LEFT(D5144,7),2)=RIGHT(LEFT(' Pivot Tables'!$A$4,7),2)),1,0)</f>
        <v>0</v>
      </c>
      <c r="Y5144" s="6">
        <f>1/COUNTIF(Таблица1[Order ID],Таблица1[[#This Row],[Order ID]])</f>
        <v>0.33333333333333331</v>
      </c>
      <c r="Z5144" s="9">
        <f>1/COUNTIFS(Таблица1[Customer Name],Таблица1[[#This Row],[Customer Name]],Таблица1[Order-Year-Month],Таблица1[[#This Row],[Order-Year-Month]])</f>
        <v>0.33333333333333331</v>
      </c>
    </row>
    <row r="5145" spans="1:26" x14ac:dyDescent="0.2">
      <c r="A5145" s="6">
        <v>4985</v>
      </c>
      <c r="B5145" s="7">
        <v>35461</v>
      </c>
      <c r="C5145" s="8">
        <f>DATE(2012,12,31)-1309</f>
        <v>39965</v>
      </c>
      <c r="D5145" s="8" t="str">
        <f t="shared" si="97"/>
        <v>2009-06 (июнь 2009)</v>
      </c>
      <c r="E5145" s="9" t="s">
        <v>78</v>
      </c>
      <c r="F5145" s="7">
        <v>11</v>
      </c>
      <c r="G5145" s="7">
        <v>48.75</v>
      </c>
      <c r="H5145" s="7">
        <v>0.08</v>
      </c>
      <c r="I5145" s="9" t="s">
        <v>22</v>
      </c>
      <c r="J5145" s="10">
        <v>3.5020000000000002</v>
      </c>
      <c r="K5145" s="11">
        <v>4.49</v>
      </c>
      <c r="L5145" s="11">
        <v>1.49</v>
      </c>
      <c r="M5145" s="9" t="s">
        <v>1588</v>
      </c>
      <c r="N5145" s="6" t="s">
        <v>672</v>
      </c>
      <c r="O5145" s="6" t="s">
        <v>673</v>
      </c>
      <c r="P5145" s="9" t="s">
        <v>41</v>
      </c>
      <c r="Q5145" s="9" t="s">
        <v>26</v>
      </c>
      <c r="R5145" s="9" t="s">
        <v>37</v>
      </c>
      <c r="S5145" s="7" t="s">
        <v>987</v>
      </c>
      <c r="T5145" s="9" t="s">
        <v>39</v>
      </c>
      <c r="U5145" s="7">
        <v>0.39</v>
      </c>
      <c r="V5145" s="12">
        <f>C5145+0</f>
        <v>39965</v>
      </c>
      <c r="W5145">
        <f>IF(D5145=' Pivot Tables'!$A$4,1,0)</f>
        <v>0</v>
      </c>
      <c r="X5145">
        <f>IF(AND(LEFT(D5145,4)+1=LEFT(' Pivot Tables'!$A$4,4)+0,RIGHT(LEFT(D5145,7),2)=RIGHT(LEFT(' Pivot Tables'!$A$4,7),2)),1,0)</f>
        <v>0</v>
      </c>
      <c r="Y5145" s="6">
        <f>1/COUNTIF(Таблица1[Order ID],Таблица1[[#This Row],[Order ID]])</f>
        <v>0.5</v>
      </c>
      <c r="Z5145" s="9">
        <f>1/COUNTIFS(Таблица1[Customer Name],Таблица1[[#This Row],[Customer Name]],Таблица1[Order-Year-Month],Таблица1[[#This Row],[Order-Year-Month]])</f>
        <v>0.5</v>
      </c>
    </row>
    <row r="5146" spans="1:26" x14ac:dyDescent="0.2">
      <c r="A5146" s="6">
        <v>4986</v>
      </c>
      <c r="B5146" s="7">
        <v>35461</v>
      </c>
      <c r="C5146" s="8">
        <f>DATE(2012,12,31)-1309</f>
        <v>39965</v>
      </c>
      <c r="D5146" s="8" t="str">
        <f t="shared" si="97"/>
        <v>2009-06 (июнь 2009)</v>
      </c>
      <c r="E5146" s="9" t="s">
        <v>78</v>
      </c>
      <c r="F5146" s="7">
        <v>30</v>
      </c>
      <c r="G5146" s="7">
        <v>112.6</v>
      </c>
      <c r="H5146" s="7">
        <v>0.04</v>
      </c>
      <c r="I5146" s="9" t="s">
        <v>22</v>
      </c>
      <c r="J5146" s="10">
        <v>-25.99</v>
      </c>
      <c r="K5146" s="11">
        <v>3.68</v>
      </c>
      <c r="L5146" s="11">
        <v>1.32</v>
      </c>
      <c r="M5146" s="9" t="s">
        <v>1588</v>
      </c>
      <c r="N5146" s="6" t="s">
        <v>672</v>
      </c>
      <c r="O5146" s="6" t="s">
        <v>673</v>
      </c>
      <c r="P5146" s="9" t="s">
        <v>41</v>
      </c>
      <c r="Q5146" s="9" t="s">
        <v>26</v>
      </c>
      <c r="R5146" s="9" t="s">
        <v>150</v>
      </c>
      <c r="S5146" s="7" t="s">
        <v>252</v>
      </c>
      <c r="T5146" s="9" t="s">
        <v>68</v>
      </c>
      <c r="U5146" s="7">
        <v>0.83</v>
      </c>
      <c r="V5146" s="12">
        <f>C5146+1</f>
        <v>39966</v>
      </c>
      <c r="W5146">
        <f>IF(D5146=' Pivot Tables'!$A$4,1,0)</f>
        <v>0</v>
      </c>
      <c r="X5146">
        <f>IF(AND(LEFT(D5146,4)+1=LEFT(' Pivot Tables'!$A$4,4)+0,RIGHT(LEFT(D5146,7),2)=RIGHT(LEFT(' Pivot Tables'!$A$4,7),2)),1,0)</f>
        <v>0</v>
      </c>
      <c r="Y5146" s="6">
        <f>1/COUNTIF(Таблица1[Order ID],Таблица1[[#This Row],[Order ID]])</f>
        <v>0.5</v>
      </c>
      <c r="Z5146" s="9">
        <f>1/COUNTIFS(Таблица1[Customer Name],Таблица1[[#This Row],[Customer Name]],Таблица1[Order-Year-Month],Таблица1[[#This Row],[Order-Year-Month]])</f>
        <v>0.5</v>
      </c>
    </row>
    <row r="5147" spans="1:26" x14ac:dyDescent="0.2">
      <c r="A5147" s="6">
        <v>5000</v>
      </c>
      <c r="B5147" s="7">
        <v>35590</v>
      </c>
      <c r="C5147" s="8">
        <f>DATE(2012,12,31)-29</f>
        <v>41245</v>
      </c>
      <c r="D5147" s="8" t="str">
        <f t="shared" si="97"/>
        <v>2012-12 (декабрь 2012)</v>
      </c>
      <c r="E5147" s="9" t="s">
        <v>78</v>
      </c>
      <c r="F5147" s="7">
        <v>4</v>
      </c>
      <c r="G5147" s="7">
        <v>423.95</v>
      </c>
      <c r="H5147" s="7">
        <v>0</v>
      </c>
      <c r="I5147" s="9" t="s">
        <v>22</v>
      </c>
      <c r="J5147" s="10">
        <v>-263.95</v>
      </c>
      <c r="K5147" s="11">
        <v>99.99</v>
      </c>
      <c r="L5147" s="11">
        <v>19.989999999999998</v>
      </c>
      <c r="M5147" s="9" t="s">
        <v>1857</v>
      </c>
      <c r="N5147" s="6" t="s">
        <v>672</v>
      </c>
      <c r="O5147" s="6" t="s">
        <v>673</v>
      </c>
      <c r="P5147" s="9" t="s">
        <v>25</v>
      </c>
      <c r="Q5147" s="9" t="s">
        <v>42</v>
      </c>
      <c r="R5147" s="9" t="s">
        <v>70</v>
      </c>
      <c r="S5147" s="7" t="s">
        <v>337</v>
      </c>
      <c r="T5147" s="9" t="s">
        <v>39</v>
      </c>
      <c r="U5147" s="7">
        <v>0.52</v>
      </c>
      <c r="V5147" s="12">
        <f>C5147+1</f>
        <v>41246</v>
      </c>
      <c r="W5147">
        <f>IF(D5147=' Pivot Tables'!$A$4,1,0)</f>
        <v>0</v>
      </c>
      <c r="X5147">
        <f>IF(AND(LEFT(D5147,4)+1=LEFT(' Pivot Tables'!$A$4,4)+0,RIGHT(LEFT(D5147,7),2)=RIGHT(LEFT(' Pivot Tables'!$A$4,7),2)),1,0)</f>
        <v>0</v>
      </c>
      <c r="Y5147" s="6">
        <f>1/COUNTIF(Таблица1[Order ID],Таблица1[[#This Row],[Order ID]])</f>
        <v>1</v>
      </c>
      <c r="Z5147" s="9">
        <f>1/COUNTIFS(Таблица1[Customer Name],Таблица1[[#This Row],[Customer Name]],Таблица1[Order-Year-Month],Таблица1[[#This Row],[Order-Year-Month]])</f>
        <v>1</v>
      </c>
    </row>
    <row r="5148" spans="1:26" x14ac:dyDescent="0.2">
      <c r="A5148" s="6">
        <v>5006</v>
      </c>
      <c r="B5148" s="7">
        <v>35687</v>
      </c>
      <c r="C5148" s="8">
        <f>DATE(2012,12,31)-409</f>
        <v>40865</v>
      </c>
      <c r="D5148" s="8" t="str">
        <f t="shared" si="97"/>
        <v>2011-11 (ноябрь 2011)</v>
      </c>
      <c r="E5148" s="9" t="s">
        <v>45</v>
      </c>
      <c r="F5148" s="7">
        <v>48</v>
      </c>
      <c r="G5148" s="7">
        <v>620.23</v>
      </c>
      <c r="H5148" s="7">
        <v>0.06</v>
      </c>
      <c r="I5148" s="9" t="s">
        <v>56</v>
      </c>
      <c r="J5148" s="10">
        <v>115.24</v>
      </c>
      <c r="K5148" s="11">
        <v>12.64</v>
      </c>
      <c r="L5148" s="11">
        <v>4.9800000000000004</v>
      </c>
      <c r="M5148" s="9" t="s">
        <v>1869</v>
      </c>
      <c r="N5148" s="6" t="s">
        <v>672</v>
      </c>
      <c r="O5148" s="6" t="s">
        <v>673</v>
      </c>
      <c r="P5148" s="9" t="s">
        <v>60</v>
      </c>
      <c r="Q5148" s="9" t="s">
        <v>49</v>
      </c>
      <c r="R5148" s="9" t="s">
        <v>50</v>
      </c>
      <c r="S5148" s="7" t="s">
        <v>997</v>
      </c>
      <c r="T5148" s="9" t="s">
        <v>52</v>
      </c>
      <c r="U5148" s="7">
        <v>0.48</v>
      </c>
      <c r="V5148" s="12">
        <f>C5148+1</f>
        <v>40866</v>
      </c>
      <c r="W5148">
        <f>IF(D5148=' Pivot Tables'!$A$4,1,0)</f>
        <v>0</v>
      </c>
      <c r="X5148">
        <f>IF(AND(LEFT(D5148,4)+1=LEFT(' Pivot Tables'!$A$4,4)+0,RIGHT(LEFT(D5148,7),2)=RIGHT(LEFT(' Pivot Tables'!$A$4,7),2)),1,0)</f>
        <v>0</v>
      </c>
      <c r="Y5148" s="6">
        <f>1/COUNTIF(Таблица1[Order ID],Таблица1[[#This Row],[Order ID]])</f>
        <v>1</v>
      </c>
      <c r="Z5148" s="9">
        <f>1/COUNTIFS(Таблица1[Customer Name],Таблица1[[#This Row],[Customer Name]],Таблица1[Order-Year-Month],Таблица1[[#This Row],[Order-Year-Month]])</f>
        <v>1</v>
      </c>
    </row>
    <row r="5149" spans="1:26" x14ac:dyDescent="0.2">
      <c r="A5149" s="6">
        <v>5011</v>
      </c>
      <c r="B5149" s="7">
        <v>35776</v>
      </c>
      <c r="C5149" s="8">
        <f>DATE(2012,12,31)-1426</f>
        <v>39848</v>
      </c>
      <c r="D5149" s="8" t="str">
        <f t="shared" si="97"/>
        <v>2009-02 (февраль 2009)</v>
      </c>
      <c r="E5149" s="9" t="s">
        <v>63</v>
      </c>
      <c r="F5149" s="7">
        <v>9</v>
      </c>
      <c r="G5149" s="7">
        <v>118.66</v>
      </c>
      <c r="H5149" s="7">
        <v>0.05</v>
      </c>
      <c r="I5149" s="9" t="s">
        <v>22</v>
      </c>
      <c r="J5149" s="10">
        <v>32.682499999999997</v>
      </c>
      <c r="K5149" s="11">
        <v>12.97</v>
      </c>
      <c r="L5149" s="11">
        <v>1.49</v>
      </c>
      <c r="M5149" s="9" t="s">
        <v>1610</v>
      </c>
      <c r="N5149" s="6" t="s">
        <v>672</v>
      </c>
      <c r="O5149" s="6" t="s">
        <v>673</v>
      </c>
      <c r="P5149" s="9" t="s">
        <v>33</v>
      </c>
      <c r="Q5149" s="9" t="s">
        <v>26</v>
      </c>
      <c r="R5149" s="9" t="s">
        <v>37</v>
      </c>
      <c r="S5149" s="7" t="s">
        <v>1269</v>
      </c>
      <c r="T5149" s="9" t="s">
        <v>39</v>
      </c>
      <c r="U5149" s="7">
        <v>0.35</v>
      </c>
      <c r="V5149" s="12">
        <f>C5149+2</f>
        <v>39850</v>
      </c>
      <c r="W5149">
        <f>IF(D5149=' Pivot Tables'!$A$4,1,0)</f>
        <v>0</v>
      </c>
      <c r="X5149">
        <f>IF(AND(LEFT(D5149,4)+1=LEFT(' Pivot Tables'!$A$4,4)+0,RIGHT(LEFT(D5149,7),2)=RIGHT(LEFT(' Pivot Tables'!$A$4,7),2)),1,0)</f>
        <v>0</v>
      </c>
      <c r="Y5149" s="6">
        <f>1/COUNTIF(Таблица1[Order ID],Таблица1[[#This Row],[Order ID]])</f>
        <v>0.5</v>
      </c>
      <c r="Z5149" s="9">
        <f>1/COUNTIFS(Таблица1[Customer Name],Таблица1[[#This Row],[Customer Name]],Таблица1[Order-Year-Month],Таблица1[[#This Row],[Order-Year-Month]])</f>
        <v>0.5</v>
      </c>
    </row>
    <row r="5150" spans="1:26" x14ac:dyDescent="0.2">
      <c r="A5150" s="6">
        <v>5012</v>
      </c>
      <c r="B5150" s="7">
        <v>35776</v>
      </c>
      <c r="C5150" s="8">
        <f>DATE(2012,12,31)-1426</f>
        <v>39848</v>
      </c>
      <c r="D5150" s="8" t="str">
        <f t="shared" si="97"/>
        <v>2009-02 (февраль 2009)</v>
      </c>
      <c r="E5150" s="9" t="s">
        <v>63</v>
      </c>
      <c r="F5150" s="7">
        <v>36</v>
      </c>
      <c r="G5150" s="7">
        <v>213.74</v>
      </c>
      <c r="H5150" s="7">
        <v>0.06</v>
      </c>
      <c r="I5150" s="9" t="s">
        <v>22</v>
      </c>
      <c r="J5150" s="10">
        <v>-32.15</v>
      </c>
      <c r="K5150" s="11">
        <v>5.81</v>
      </c>
      <c r="L5150" s="11">
        <v>3.37</v>
      </c>
      <c r="M5150" s="9" t="s">
        <v>1610</v>
      </c>
      <c r="N5150" s="6" t="s">
        <v>672</v>
      </c>
      <c r="O5150" s="6" t="s">
        <v>673</v>
      </c>
      <c r="P5150" s="9" t="s">
        <v>33</v>
      </c>
      <c r="Q5150" s="9" t="s">
        <v>26</v>
      </c>
      <c r="R5150" s="9" t="s">
        <v>66</v>
      </c>
      <c r="S5150" s="7" t="s">
        <v>792</v>
      </c>
      <c r="T5150" s="9" t="s">
        <v>68</v>
      </c>
      <c r="U5150" s="7">
        <v>0.54</v>
      </c>
      <c r="V5150" s="12">
        <f>C5150+2</f>
        <v>39850</v>
      </c>
      <c r="W5150">
        <f>IF(D5150=' Pivot Tables'!$A$4,1,0)</f>
        <v>0</v>
      </c>
      <c r="X5150">
        <f>IF(AND(LEFT(D5150,4)+1=LEFT(' Pivot Tables'!$A$4,4)+0,RIGHT(LEFT(D5150,7),2)=RIGHT(LEFT(' Pivot Tables'!$A$4,7),2)),1,0)</f>
        <v>0</v>
      </c>
      <c r="Y5150" s="6">
        <f>1/COUNTIF(Таблица1[Order ID],Таблица1[[#This Row],[Order ID]])</f>
        <v>0.5</v>
      </c>
      <c r="Z5150" s="9">
        <f>1/COUNTIFS(Таблица1[Customer Name],Таблица1[[#This Row],[Customer Name]],Таблица1[Order-Year-Month],Таблица1[[#This Row],[Order-Year-Month]])</f>
        <v>0.5</v>
      </c>
    </row>
    <row r="5151" spans="1:26" x14ac:dyDescent="0.2">
      <c r="A5151" s="6">
        <v>5015</v>
      </c>
      <c r="B5151" s="7">
        <v>35782</v>
      </c>
      <c r="C5151" s="8">
        <f>DATE(2012,12,31)-514</f>
        <v>40760</v>
      </c>
      <c r="D5151" s="8" t="str">
        <f t="shared" si="97"/>
        <v>2011-08 (август 2011)</v>
      </c>
      <c r="E5151" s="9" t="s">
        <v>21</v>
      </c>
      <c r="F5151" s="7">
        <v>42</v>
      </c>
      <c r="G5151" s="7">
        <v>6427.18</v>
      </c>
      <c r="H5151" s="7">
        <v>0.09</v>
      </c>
      <c r="I5151" s="9" t="s">
        <v>22</v>
      </c>
      <c r="J5151" s="10">
        <v>2097.1030000000001</v>
      </c>
      <c r="K5151" s="11">
        <v>165.98</v>
      </c>
      <c r="L5151" s="11">
        <v>19.989999999999998</v>
      </c>
      <c r="M5151" s="9" t="s">
        <v>1588</v>
      </c>
      <c r="N5151" s="6" t="s">
        <v>672</v>
      </c>
      <c r="O5151" s="6" t="s">
        <v>673</v>
      </c>
      <c r="P5151" s="9" t="s">
        <v>41</v>
      </c>
      <c r="Q5151" s="9" t="s">
        <v>26</v>
      </c>
      <c r="R5151" s="9" t="s">
        <v>37</v>
      </c>
      <c r="S5151" s="7" t="s">
        <v>543</v>
      </c>
      <c r="T5151" s="9" t="s">
        <v>39</v>
      </c>
      <c r="U5151" s="7">
        <v>0.4</v>
      </c>
      <c r="V5151" s="12">
        <f>C5151+7</f>
        <v>40767</v>
      </c>
      <c r="W5151">
        <f>IF(D5151=' Pivot Tables'!$A$4,1,0)</f>
        <v>0</v>
      </c>
      <c r="X5151">
        <f>IF(AND(LEFT(D5151,4)+1=LEFT(' Pivot Tables'!$A$4,4)+0,RIGHT(LEFT(D5151,7),2)=RIGHT(LEFT(' Pivot Tables'!$A$4,7),2)),1,0)</f>
        <v>0</v>
      </c>
      <c r="Y5151" s="6">
        <f>1/COUNTIF(Таблица1[Order ID],Таблица1[[#This Row],[Order ID]])</f>
        <v>0.5</v>
      </c>
      <c r="Z5151" s="9">
        <f>1/COUNTIFS(Таблица1[Customer Name],Таблица1[[#This Row],[Customer Name]],Таблица1[Order-Year-Month],Таблица1[[#This Row],[Order-Year-Month]])</f>
        <v>0.5</v>
      </c>
    </row>
    <row r="5152" spans="1:26" x14ac:dyDescent="0.2">
      <c r="A5152" s="6">
        <v>5016</v>
      </c>
      <c r="B5152" s="7">
        <v>35782</v>
      </c>
      <c r="C5152" s="8">
        <f>DATE(2012,12,31)-514</f>
        <v>40760</v>
      </c>
      <c r="D5152" s="8" t="str">
        <f t="shared" si="97"/>
        <v>2011-08 (август 2011)</v>
      </c>
      <c r="E5152" s="9" t="s">
        <v>21</v>
      </c>
      <c r="F5152" s="7">
        <v>13</v>
      </c>
      <c r="G5152" s="7">
        <v>1330.73</v>
      </c>
      <c r="H5152" s="7">
        <v>0.06</v>
      </c>
      <c r="I5152" s="9" t="s">
        <v>31</v>
      </c>
      <c r="J5152" s="10">
        <v>-450.1</v>
      </c>
      <c r="K5152" s="11">
        <v>105.49</v>
      </c>
      <c r="L5152" s="11">
        <v>41.64</v>
      </c>
      <c r="M5152" s="9" t="s">
        <v>1588</v>
      </c>
      <c r="N5152" s="6" t="s">
        <v>672</v>
      </c>
      <c r="O5152" s="6" t="s">
        <v>673</v>
      </c>
      <c r="P5152" s="9" t="s">
        <v>41</v>
      </c>
      <c r="Q5152" s="9" t="s">
        <v>49</v>
      </c>
      <c r="R5152" s="9" t="s">
        <v>83</v>
      </c>
      <c r="S5152" s="7" t="s">
        <v>1394</v>
      </c>
      <c r="T5152" s="9" t="s">
        <v>82</v>
      </c>
      <c r="U5152" s="7">
        <v>0.75</v>
      </c>
      <c r="V5152" s="12">
        <f>C5152+5</f>
        <v>40765</v>
      </c>
      <c r="W5152">
        <f>IF(D5152=' Pivot Tables'!$A$4,1,0)</f>
        <v>0</v>
      </c>
      <c r="X5152">
        <f>IF(AND(LEFT(D5152,4)+1=LEFT(' Pivot Tables'!$A$4,4)+0,RIGHT(LEFT(D5152,7),2)=RIGHT(LEFT(' Pivot Tables'!$A$4,7),2)),1,0)</f>
        <v>0</v>
      </c>
      <c r="Y5152" s="6">
        <f>1/COUNTIF(Таблица1[Order ID],Таблица1[[#This Row],[Order ID]])</f>
        <v>0.5</v>
      </c>
      <c r="Z5152" s="9">
        <f>1/COUNTIFS(Таблица1[Customer Name],Таблица1[[#This Row],[Customer Name]],Таблица1[Order-Year-Month],Таблица1[[#This Row],[Order-Year-Month]])</f>
        <v>0.5</v>
      </c>
    </row>
    <row r="5153" spans="1:26" x14ac:dyDescent="0.2">
      <c r="A5153" s="6">
        <v>5022</v>
      </c>
      <c r="B5153" s="7">
        <v>35813</v>
      </c>
      <c r="C5153" s="8">
        <f>DATE(2012,12,31)-1350</f>
        <v>39924</v>
      </c>
      <c r="D5153" s="8" t="str">
        <f t="shared" si="97"/>
        <v>2009-04 (апрель 2009)</v>
      </c>
      <c r="E5153" s="9" t="s">
        <v>78</v>
      </c>
      <c r="F5153" s="7">
        <v>21</v>
      </c>
      <c r="G5153" s="7">
        <v>7841.57</v>
      </c>
      <c r="H5153" s="7">
        <v>0.05</v>
      </c>
      <c r="I5153" s="9" t="s">
        <v>56</v>
      </c>
      <c r="J5153" s="10">
        <v>2347.1799999999998</v>
      </c>
      <c r="K5153" s="11">
        <v>363.25</v>
      </c>
      <c r="L5153" s="11">
        <v>19.989999999999998</v>
      </c>
      <c r="M5153" s="9" t="s">
        <v>1879</v>
      </c>
      <c r="N5153" s="6" t="s">
        <v>672</v>
      </c>
      <c r="O5153" s="6" t="s">
        <v>673</v>
      </c>
      <c r="P5153" s="9" t="s">
        <v>41</v>
      </c>
      <c r="Q5153" s="9" t="s">
        <v>26</v>
      </c>
      <c r="R5153" s="9" t="s">
        <v>34</v>
      </c>
      <c r="S5153" s="7" t="s">
        <v>589</v>
      </c>
      <c r="T5153" s="9" t="s">
        <v>39</v>
      </c>
      <c r="U5153" s="7">
        <v>0.56999999999999995</v>
      </c>
      <c r="V5153" s="12">
        <f>C5153+0</f>
        <v>39924</v>
      </c>
      <c r="W5153">
        <f>IF(D5153=' Pivot Tables'!$A$4,1,0)</f>
        <v>0</v>
      </c>
      <c r="X5153">
        <f>IF(AND(LEFT(D5153,4)+1=LEFT(' Pivot Tables'!$A$4,4)+0,RIGHT(LEFT(D5153,7),2)=RIGHT(LEFT(' Pivot Tables'!$A$4,7),2)),1,0)</f>
        <v>0</v>
      </c>
      <c r="Y5153" s="6">
        <f>1/COUNTIF(Таблица1[Order ID],Таблица1[[#This Row],[Order ID]])</f>
        <v>0.5</v>
      </c>
      <c r="Z5153" s="9">
        <f>1/COUNTIFS(Таблица1[Customer Name],Таблица1[[#This Row],[Customer Name]],Таблица1[Order-Year-Month],Таблица1[[#This Row],[Order-Year-Month]])</f>
        <v>0.5</v>
      </c>
    </row>
    <row r="5154" spans="1:26" x14ac:dyDescent="0.2">
      <c r="A5154" s="6">
        <v>5023</v>
      </c>
      <c r="B5154" s="7">
        <v>35813</v>
      </c>
      <c r="C5154" s="8">
        <f>DATE(2012,12,31)-1350</f>
        <v>39924</v>
      </c>
      <c r="D5154" s="8" t="str">
        <f t="shared" si="97"/>
        <v>2009-04 (апрель 2009)</v>
      </c>
      <c r="E5154" s="9" t="s">
        <v>78</v>
      </c>
      <c r="F5154" s="7">
        <v>21</v>
      </c>
      <c r="G5154" s="7">
        <v>156.31</v>
      </c>
      <c r="H5154" s="7">
        <v>0.06</v>
      </c>
      <c r="I5154" s="9" t="s">
        <v>56</v>
      </c>
      <c r="J5154" s="10">
        <v>-9.81</v>
      </c>
      <c r="K5154" s="11">
        <v>7.59</v>
      </c>
      <c r="L5154" s="11">
        <v>4</v>
      </c>
      <c r="M5154" s="9" t="s">
        <v>1879</v>
      </c>
      <c r="N5154" s="6" t="s">
        <v>672</v>
      </c>
      <c r="O5154" s="6" t="s">
        <v>673</v>
      </c>
      <c r="P5154" s="9" t="s">
        <v>41</v>
      </c>
      <c r="Q5154" s="9" t="s">
        <v>49</v>
      </c>
      <c r="R5154" s="9" t="s">
        <v>50</v>
      </c>
      <c r="S5154" s="7" t="s">
        <v>504</v>
      </c>
      <c r="T5154" s="9" t="s">
        <v>68</v>
      </c>
      <c r="U5154" s="7">
        <v>0.42</v>
      </c>
      <c r="V5154" s="12">
        <f>C5154+0</f>
        <v>39924</v>
      </c>
      <c r="W5154">
        <f>IF(D5154=' Pivot Tables'!$A$4,1,0)</f>
        <v>0</v>
      </c>
      <c r="X5154">
        <f>IF(AND(LEFT(D5154,4)+1=LEFT(' Pivot Tables'!$A$4,4)+0,RIGHT(LEFT(D5154,7),2)=RIGHT(LEFT(' Pivot Tables'!$A$4,7),2)),1,0)</f>
        <v>0</v>
      </c>
      <c r="Y5154" s="6">
        <f>1/COUNTIF(Таблица1[Order ID],Таблица1[[#This Row],[Order ID]])</f>
        <v>0.5</v>
      </c>
      <c r="Z5154" s="9">
        <f>1/COUNTIFS(Таблица1[Customer Name],Таблица1[[#This Row],[Customer Name]],Таблица1[Order-Year-Month],Таблица1[[#This Row],[Order-Year-Month]])</f>
        <v>0.5</v>
      </c>
    </row>
    <row r="5155" spans="1:26" x14ac:dyDescent="0.2">
      <c r="A5155" s="6">
        <v>5050</v>
      </c>
      <c r="B5155" s="7">
        <v>36003</v>
      </c>
      <c r="C5155" s="8">
        <f>DATE(2012,12,31)-792</f>
        <v>40482</v>
      </c>
      <c r="D5155" s="8" t="str">
        <f t="shared" si="97"/>
        <v>2010-10 (октябрь 2010)</v>
      </c>
      <c r="E5155" s="9" t="s">
        <v>63</v>
      </c>
      <c r="F5155" s="7">
        <v>40</v>
      </c>
      <c r="G5155" s="7">
        <v>207.42</v>
      </c>
      <c r="H5155" s="7">
        <v>0.04</v>
      </c>
      <c r="I5155" s="9" t="s">
        <v>22</v>
      </c>
      <c r="J5155" s="10">
        <v>-115.345</v>
      </c>
      <c r="K5155" s="11">
        <v>4.91</v>
      </c>
      <c r="L5155" s="11">
        <v>5.68</v>
      </c>
      <c r="M5155" s="9" t="s">
        <v>1849</v>
      </c>
      <c r="N5155" s="6" t="s">
        <v>672</v>
      </c>
      <c r="O5155" s="6" t="s">
        <v>673</v>
      </c>
      <c r="P5155" s="9" t="s">
        <v>33</v>
      </c>
      <c r="Q5155" s="9" t="s">
        <v>26</v>
      </c>
      <c r="R5155" s="9" t="s">
        <v>37</v>
      </c>
      <c r="S5155" s="7" t="s">
        <v>1345</v>
      </c>
      <c r="T5155" s="9" t="s">
        <v>39</v>
      </c>
      <c r="U5155" s="7">
        <v>0.36</v>
      </c>
      <c r="V5155" s="12">
        <f>C5155+2</f>
        <v>40484</v>
      </c>
      <c r="W5155">
        <f>IF(D5155=' Pivot Tables'!$A$4,1,0)</f>
        <v>0</v>
      </c>
      <c r="X5155">
        <f>IF(AND(LEFT(D5155,4)+1=LEFT(' Pivot Tables'!$A$4,4)+0,RIGHT(LEFT(D5155,7),2)=RIGHT(LEFT(' Pivot Tables'!$A$4,7),2)),1,0)</f>
        <v>0</v>
      </c>
      <c r="Y5155" s="6">
        <f>1/COUNTIF(Таблица1[Order ID],Таблица1[[#This Row],[Order ID]])</f>
        <v>0.5</v>
      </c>
      <c r="Z5155" s="9">
        <f>1/COUNTIFS(Таблица1[Customer Name],Таблица1[[#This Row],[Customer Name]],Таблица1[Order-Year-Month],Таблица1[[#This Row],[Order-Year-Month]])</f>
        <v>0.5</v>
      </c>
    </row>
    <row r="5156" spans="1:26" x14ac:dyDescent="0.2">
      <c r="A5156" s="6">
        <v>5051</v>
      </c>
      <c r="B5156" s="7">
        <v>36003</v>
      </c>
      <c r="C5156" s="8">
        <f>DATE(2012,12,31)-792</f>
        <v>40482</v>
      </c>
      <c r="D5156" s="8" t="str">
        <f t="shared" si="97"/>
        <v>2010-10 (октябрь 2010)</v>
      </c>
      <c r="E5156" s="9" t="s">
        <v>63</v>
      </c>
      <c r="F5156" s="7">
        <v>48</v>
      </c>
      <c r="G5156" s="7">
        <v>1031.18</v>
      </c>
      <c r="H5156" s="7">
        <v>0.01</v>
      </c>
      <c r="I5156" s="9" t="s">
        <v>22</v>
      </c>
      <c r="J5156" s="10">
        <v>349.82</v>
      </c>
      <c r="K5156" s="11">
        <v>19.98</v>
      </c>
      <c r="L5156" s="11">
        <v>5.77</v>
      </c>
      <c r="M5156" s="9" t="s">
        <v>1849</v>
      </c>
      <c r="N5156" s="6" t="s">
        <v>672</v>
      </c>
      <c r="O5156" s="6" t="s">
        <v>673</v>
      </c>
      <c r="P5156" s="9" t="s">
        <v>33</v>
      </c>
      <c r="Q5156" s="9" t="s">
        <v>26</v>
      </c>
      <c r="R5156" s="9" t="s">
        <v>61</v>
      </c>
      <c r="S5156" s="7" t="s">
        <v>197</v>
      </c>
      <c r="T5156" s="9" t="s">
        <v>39</v>
      </c>
      <c r="U5156" s="7">
        <v>0.38</v>
      </c>
      <c r="V5156" s="12">
        <f>C5156+2</f>
        <v>40484</v>
      </c>
      <c r="W5156">
        <f>IF(D5156=' Pivot Tables'!$A$4,1,0)</f>
        <v>0</v>
      </c>
      <c r="X5156">
        <f>IF(AND(LEFT(D5156,4)+1=LEFT(' Pivot Tables'!$A$4,4)+0,RIGHT(LEFT(D5156,7),2)=RIGHT(LEFT(' Pivot Tables'!$A$4,7),2)),1,0)</f>
        <v>0</v>
      </c>
      <c r="Y5156" s="6">
        <f>1/COUNTIF(Таблица1[Order ID],Таблица1[[#This Row],[Order ID]])</f>
        <v>0.5</v>
      </c>
      <c r="Z5156" s="9">
        <f>1/COUNTIFS(Таблица1[Customer Name],Таблица1[[#This Row],[Customer Name]],Таблица1[Order-Year-Month],Таблица1[[#This Row],[Order-Year-Month]])</f>
        <v>0.5</v>
      </c>
    </row>
    <row r="5157" spans="1:26" x14ac:dyDescent="0.2">
      <c r="A5157" s="6">
        <v>5065</v>
      </c>
      <c r="B5157" s="7">
        <v>36102</v>
      </c>
      <c r="C5157" s="8">
        <f>DATE(2012,12,31)-956</f>
        <v>40318</v>
      </c>
      <c r="D5157" s="8" t="str">
        <f t="shared" si="97"/>
        <v>2010-05 (май 2010)</v>
      </c>
      <c r="E5157" s="9" t="s">
        <v>45</v>
      </c>
      <c r="F5157" s="7">
        <v>36</v>
      </c>
      <c r="G5157" s="7">
        <v>461.4</v>
      </c>
      <c r="H5157" s="7">
        <v>0.03</v>
      </c>
      <c r="I5157" s="9" t="s">
        <v>22</v>
      </c>
      <c r="J5157" s="10">
        <v>36.39</v>
      </c>
      <c r="K5157" s="11">
        <v>12.07</v>
      </c>
      <c r="L5157" s="11">
        <v>6.2</v>
      </c>
      <c r="M5157" s="9" t="s">
        <v>1610</v>
      </c>
      <c r="N5157" s="6" t="s">
        <v>672</v>
      </c>
      <c r="O5157" s="6" t="s">
        <v>673</v>
      </c>
      <c r="P5157" s="9" t="s">
        <v>33</v>
      </c>
      <c r="Q5157" s="9" t="s">
        <v>49</v>
      </c>
      <c r="R5157" s="9" t="s">
        <v>50</v>
      </c>
      <c r="S5157" s="7" t="s">
        <v>1790</v>
      </c>
      <c r="T5157" s="9" t="s">
        <v>68</v>
      </c>
      <c r="U5157" s="7">
        <v>0.52</v>
      </c>
      <c r="V5157" s="12">
        <f>C5157+1</f>
        <v>40319</v>
      </c>
      <c r="W5157">
        <f>IF(D5157=' Pivot Tables'!$A$4,1,0)</f>
        <v>0</v>
      </c>
      <c r="X5157">
        <f>IF(AND(LEFT(D5157,4)+1=LEFT(' Pivot Tables'!$A$4,4)+0,RIGHT(LEFT(D5157,7),2)=RIGHT(LEFT(' Pivot Tables'!$A$4,7),2)),1,0)</f>
        <v>0</v>
      </c>
      <c r="Y5157" s="6">
        <f>1/COUNTIF(Таблица1[Order ID],Таблица1[[#This Row],[Order ID]])</f>
        <v>1</v>
      </c>
      <c r="Z5157" s="9">
        <f>1/COUNTIFS(Таблица1[Customer Name],Таблица1[[#This Row],[Customer Name]],Таблица1[Order-Year-Month],Таблица1[[#This Row],[Order-Year-Month]])</f>
        <v>1</v>
      </c>
    </row>
    <row r="5158" spans="1:26" x14ac:dyDescent="0.2">
      <c r="A5158" s="6">
        <v>5094</v>
      </c>
      <c r="B5158" s="7">
        <v>36295</v>
      </c>
      <c r="C5158" s="8">
        <f>DATE(2012,12,31)-849</f>
        <v>40425</v>
      </c>
      <c r="D5158" s="8" t="str">
        <f t="shared" si="97"/>
        <v>2010-09 (сентябрь 2010)</v>
      </c>
      <c r="E5158" s="9" t="s">
        <v>63</v>
      </c>
      <c r="F5158" s="7">
        <v>10</v>
      </c>
      <c r="G5158" s="7">
        <v>278.10000000000002</v>
      </c>
      <c r="H5158" s="7">
        <v>0.09</v>
      </c>
      <c r="I5158" s="9" t="s">
        <v>22</v>
      </c>
      <c r="J5158" s="10">
        <v>68.102000000000004</v>
      </c>
      <c r="K5158" s="11">
        <v>30.56</v>
      </c>
      <c r="L5158" s="11">
        <v>2.99</v>
      </c>
      <c r="M5158" s="9" t="s">
        <v>1882</v>
      </c>
      <c r="N5158" s="6" t="s">
        <v>672</v>
      </c>
      <c r="O5158" s="6" t="s">
        <v>673</v>
      </c>
      <c r="P5158" s="9" t="s">
        <v>41</v>
      </c>
      <c r="Q5158" s="9" t="s">
        <v>26</v>
      </c>
      <c r="R5158" s="9" t="s">
        <v>37</v>
      </c>
      <c r="S5158" s="7" t="s">
        <v>250</v>
      </c>
      <c r="T5158" s="9" t="s">
        <v>39</v>
      </c>
      <c r="U5158" s="7">
        <v>0.35</v>
      </c>
      <c r="V5158" s="12">
        <f>C5158+2</f>
        <v>40427</v>
      </c>
      <c r="W5158">
        <f>IF(D5158=' Pivot Tables'!$A$4,1,0)</f>
        <v>0</v>
      </c>
      <c r="X5158">
        <f>IF(AND(LEFT(D5158,4)+1=LEFT(' Pivot Tables'!$A$4,4)+0,RIGHT(LEFT(D5158,7),2)=RIGHT(LEFT(' Pivot Tables'!$A$4,7),2)),1,0)</f>
        <v>0</v>
      </c>
      <c r="Y5158" s="6">
        <f>1/COUNTIF(Таблица1[Order ID],Таблица1[[#This Row],[Order ID]])</f>
        <v>1</v>
      </c>
      <c r="Z5158" s="9">
        <f>1/COUNTIFS(Таблица1[Customer Name],Таблица1[[#This Row],[Customer Name]],Таблица1[Order-Year-Month],Таблица1[[#This Row],[Order-Year-Month]])</f>
        <v>1</v>
      </c>
    </row>
    <row r="5159" spans="1:26" x14ac:dyDescent="0.2">
      <c r="A5159" s="6">
        <v>5095</v>
      </c>
      <c r="B5159" s="7">
        <v>36323</v>
      </c>
      <c r="C5159" s="8">
        <f>DATE(2012,12,31)-805</f>
        <v>40469</v>
      </c>
      <c r="D5159" s="8" t="str">
        <f t="shared" si="97"/>
        <v>2010-10 (октябрь 2010)</v>
      </c>
      <c r="E5159" s="9" t="s">
        <v>30</v>
      </c>
      <c r="F5159" s="7">
        <v>5</v>
      </c>
      <c r="G5159" s="7">
        <v>85.89</v>
      </c>
      <c r="H5159" s="7">
        <v>0.08</v>
      </c>
      <c r="I5159" s="9" t="s">
        <v>22</v>
      </c>
      <c r="J5159" s="10">
        <v>-48.88</v>
      </c>
      <c r="K5159" s="11">
        <v>15.98</v>
      </c>
      <c r="L5159" s="11">
        <v>6.5</v>
      </c>
      <c r="M5159" s="9" t="s">
        <v>1861</v>
      </c>
      <c r="N5159" s="6" t="s">
        <v>672</v>
      </c>
      <c r="O5159" s="6" t="s">
        <v>673</v>
      </c>
      <c r="P5159" s="9" t="s">
        <v>41</v>
      </c>
      <c r="Q5159" s="9" t="s">
        <v>42</v>
      </c>
      <c r="R5159" s="9" t="s">
        <v>70</v>
      </c>
      <c r="S5159" s="7" t="s">
        <v>536</v>
      </c>
      <c r="T5159" s="9" t="s">
        <v>39</v>
      </c>
      <c r="U5159" s="7">
        <v>0.48</v>
      </c>
      <c r="V5159" s="12">
        <f>C5159+2</f>
        <v>40471</v>
      </c>
      <c r="W5159">
        <f>IF(D5159=' Pivot Tables'!$A$4,1,0)</f>
        <v>0</v>
      </c>
      <c r="X5159">
        <f>IF(AND(LEFT(D5159,4)+1=LEFT(' Pivot Tables'!$A$4,4)+0,RIGHT(LEFT(D5159,7),2)=RIGHT(LEFT(' Pivot Tables'!$A$4,7),2)),1,0)</f>
        <v>0</v>
      </c>
      <c r="Y5159" s="6">
        <f>1/COUNTIF(Таблица1[Order ID],Таблица1[[#This Row],[Order ID]])</f>
        <v>1</v>
      </c>
      <c r="Z5159" s="9">
        <f>1/COUNTIFS(Таблица1[Customer Name],Таблица1[[#This Row],[Customer Name]],Таблица1[Order-Year-Month],Таблица1[[#This Row],[Order-Year-Month]])</f>
        <v>1</v>
      </c>
    </row>
    <row r="5160" spans="1:26" x14ac:dyDescent="0.2">
      <c r="A5160" s="6">
        <v>5096</v>
      </c>
      <c r="B5160" s="7">
        <v>36354</v>
      </c>
      <c r="C5160" s="8">
        <f>DATE(2012,12,31)-209</f>
        <v>41065</v>
      </c>
      <c r="D5160" s="8" t="str">
        <f t="shared" si="97"/>
        <v>2012-06 (июнь 2012)</v>
      </c>
      <c r="E5160" s="9" t="s">
        <v>63</v>
      </c>
      <c r="F5160" s="7">
        <v>13</v>
      </c>
      <c r="G5160" s="7">
        <v>4567.3599999999997</v>
      </c>
      <c r="H5160" s="7">
        <v>7.0000000000000007E-2</v>
      </c>
      <c r="I5160" s="9" t="s">
        <v>22</v>
      </c>
      <c r="J5160" s="10">
        <v>889.31</v>
      </c>
      <c r="K5160" s="11">
        <v>363.25</v>
      </c>
      <c r="L5160" s="11">
        <v>19.989999999999998</v>
      </c>
      <c r="M5160" s="9" t="s">
        <v>1878</v>
      </c>
      <c r="N5160" s="6" t="s">
        <v>672</v>
      </c>
      <c r="O5160" s="6" t="s">
        <v>673</v>
      </c>
      <c r="P5160" s="9" t="s">
        <v>60</v>
      </c>
      <c r="Q5160" s="9" t="s">
        <v>26</v>
      </c>
      <c r="R5160" s="9" t="s">
        <v>34</v>
      </c>
      <c r="S5160" s="7" t="s">
        <v>589</v>
      </c>
      <c r="T5160" s="9" t="s">
        <v>39</v>
      </c>
      <c r="U5160" s="7">
        <v>0.56999999999999995</v>
      </c>
      <c r="V5160" s="12">
        <f>C5160+2</f>
        <v>41067</v>
      </c>
      <c r="W5160">
        <f>IF(D5160=' Pivot Tables'!$A$4,1,0)</f>
        <v>0</v>
      </c>
      <c r="X5160">
        <f>IF(AND(LEFT(D5160,4)+1=LEFT(' Pivot Tables'!$A$4,4)+0,RIGHT(LEFT(D5160,7),2)=RIGHT(LEFT(' Pivot Tables'!$A$4,7),2)),1,0)</f>
        <v>0</v>
      </c>
      <c r="Y5160" s="6">
        <f>1/COUNTIF(Таблица1[Order ID],Таблица1[[#This Row],[Order ID]])</f>
        <v>1</v>
      </c>
      <c r="Z5160" s="9">
        <f>1/COUNTIFS(Таблица1[Customer Name],Таблица1[[#This Row],[Customer Name]],Таблица1[Order-Year-Month],Таблица1[[#This Row],[Order-Year-Month]])</f>
        <v>1</v>
      </c>
    </row>
    <row r="5161" spans="1:26" x14ac:dyDescent="0.2">
      <c r="A5161" s="6">
        <v>5126</v>
      </c>
      <c r="B5161" s="7">
        <v>36512</v>
      </c>
      <c r="C5161" s="8">
        <f>DATE(2012,12,31)-278</f>
        <v>40996</v>
      </c>
      <c r="D5161" s="8" t="str">
        <f t="shared" si="97"/>
        <v>2012-03 (март 2012)</v>
      </c>
      <c r="E5161" s="9" t="s">
        <v>45</v>
      </c>
      <c r="F5161" s="7">
        <v>30</v>
      </c>
      <c r="G5161" s="7">
        <v>10413.67</v>
      </c>
      <c r="H5161" s="7">
        <v>0.04</v>
      </c>
      <c r="I5161" s="9" t="s">
        <v>31</v>
      </c>
      <c r="J5161" s="10">
        <v>1099.29</v>
      </c>
      <c r="K5161" s="11">
        <v>355.98</v>
      </c>
      <c r="L5161" s="11">
        <v>58.92</v>
      </c>
      <c r="M5161" s="9" t="s">
        <v>1845</v>
      </c>
      <c r="N5161" s="6" t="s">
        <v>672</v>
      </c>
      <c r="O5161" s="6" t="s">
        <v>673</v>
      </c>
      <c r="P5161" s="9" t="s">
        <v>25</v>
      </c>
      <c r="Q5161" s="9" t="s">
        <v>49</v>
      </c>
      <c r="R5161" s="9" t="s">
        <v>112</v>
      </c>
      <c r="S5161" s="7" t="s">
        <v>253</v>
      </c>
      <c r="T5161" s="9" t="s">
        <v>36</v>
      </c>
      <c r="U5161" s="7">
        <v>0.64</v>
      </c>
      <c r="V5161" s="12">
        <f>C5161+1</f>
        <v>40997</v>
      </c>
      <c r="W5161">
        <f>IF(D5161=' Pivot Tables'!$A$4,1,0)</f>
        <v>0</v>
      </c>
      <c r="X5161">
        <f>IF(AND(LEFT(D5161,4)+1=LEFT(' Pivot Tables'!$A$4,4)+0,RIGHT(LEFT(D5161,7),2)=RIGHT(LEFT(' Pivot Tables'!$A$4,7),2)),1,0)</f>
        <v>0</v>
      </c>
      <c r="Y5161" s="6">
        <f>1/COUNTIF(Таблица1[Order ID],Таблица1[[#This Row],[Order ID]])</f>
        <v>0.5</v>
      </c>
      <c r="Z5161" s="9">
        <f>1/COUNTIFS(Таблица1[Customer Name],Таблица1[[#This Row],[Customer Name]],Таблица1[Order-Year-Month],Таблица1[[#This Row],[Order-Year-Month]])</f>
        <v>0.5</v>
      </c>
    </row>
    <row r="5162" spans="1:26" x14ac:dyDescent="0.2">
      <c r="A5162" s="6">
        <v>5127</v>
      </c>
      <c r="B5162" s="7">
        <v>36512</v>
      </c>
      <c r="C5162" s="8">
        <f>DATE(2012,12,31)-278</f>
        <v>40996</v>
      </c>
      <c r="D5162" s="8" t="str">
        <f t="shared" si="97"/>
        <v>2012-03 (март 2012)</v>
      </c>
      <c r="E5162" s="9" t="s">
        <v>45</v>
      </c>
      <c r="F5162" s="7">
        <v>3</v>
      </c>
      <c r="G5162" s="7">
        <v>71.489999999999995</v>
      </c>
      <c r="H5162" s="7">
        <v>0.06</v>
      </c>
      <c r="I5162" s="9" t="s">
        <v>22</v>
      </c>
      <c r="J5162" s="10">
        <v>41.98</v>
      </c>
      <c r="K5162" s="11">
        <v>19.989999999999998</v>
      </c>
      <c r="L5162" s="11">
        <v>11.17</v>
      </c>
      <c r="M5162" s="9" t="s">
        <v>1845</v>
      </c>
      <c r="N5162" s="6" t="s">
        <v>672</v>
      </c>
      <c r="O5162" s="6" t="s">
        <v>673</v>
      </c>
      <c r="P5162" s="9" t="s">
        <v>25</v>
      </c>
      <c r="Q5162" s="9" t="s">
        <v>49</v>
      </c>
      <c r="R5162" s="9" t="s">
        <v>50</v>
      </c>
      <c r="S5162" s="7" t="s">
        <v>340</v>
      </c>
      <c r="T5162" s="9" t="s">
        <v>29</v>
      </c>
      <c r="U5162" s="7">
        <v>0.6</v>
      </c>
      <c r="V5162" s="12">
        <f>C5162+3</f>
        <v>40999</v>
      </c>
      <c r="W5162">
        <f>IF(D5162=' Pivot Tables'!$A$4,1,0)</f>
        <v>0</v>
      </c>
      <c r="X5162">
        <f>IF(AND(LEFT(D5162,4)+1=LEFT(' Pivot Tables'!$A$4,4)+0,RIGHT(LEFT(D5162,7),2)=RIGHT(LEFT(' Pivot Tables'!$A$4,7),2)),1,0)</f>
        <v>0</v>
      </c>
      <c r="Y5162" s="6">
        <f>1/COUNTIF(Таблица1[Order ID],Таблица1[[#This Row],[Order ID]])</f>
        <v>0.5</v>
      </c>
      <c r="Z5162" s="9">
        <f>1/COUNTIFS(Таблица1[Customer Name],Таблица1[[#This Row],[Customer Name]],Таблица1[Order-Year-Month],Таблица1[[#This Row],[Order-Year-Month]])</f>
        <v>0.5</v>
      </c>
    </row>
    <row r="5163" spans="1:26" x14ac:dyDescent="0.2">
      <c r="A5163" s="6">
        <v>5198</v>
      </c>
      <c r="B5163" s="7">
        <v>36932</v>
      </c>
      <c r="C5163" s="8">
        <f>DATE(2012,12,31)-1273</f>
        <v>40001</v>
      </c>
      <c r="D5163" s="8" t="str">
        <f t="shared" si="97"/>
        <v>2009-07 (июль 2009)</v>
      </c>
      <c r="E5163" s="9" t="s">
        <v>21</v>
      </c>
      <c r="F5163" s="7">
        <v>20</v>
      </c>
      <c r="G5163" s="7">
        <v>668.8</v>
      </c>
      <c r="H5163" s="7">
        <v>0.04</v>
      </c>
      <c r="I5163" s="9" t="s">
        <v>22</v>
      </c>
      <c r="J5163" s="10">
        <v>92.34</v>
      </c>
      <c r="K5163" s="11">
        <v>33.89</v>
      </c>
      <c r="L5163" s="11">
        <v>5.0999999999999996</v>
      </c>
      <c r="M5163" s="9" t="s">
        <v>1789</v>
      </c>
      <c r="N5163" s="6" t="s">
        <v>672</v>
      </c>
      <c r="O5163" s="6" t="s">
        <v>673</v>
      </c>
      <c r="P5163" s="9" t="s">
        <v>60</v>
      </c>
      <c r="Q5163" s="9" t="s">
        <v>26</v>
      </c>
      <c r="R5163" s="9" t="s">
        <v>27</v>
      </c>
      <c r="S5163" s="7" t="s">
        <v>1775</v>
      </c>
      <c r="T5163" s="9" t="s">
        <v>39</v>
      </c>
      <c r="U5163" s="7">
        <v>0.6</v>
      </c>
      <c r="V5163" s="12">
        <f>C5163+5</f>
        <v>40006</v>
      </c>
      <c r="W5163">
        <f>IF(D5163=' Pivot Tables'!$A$4,1,0)</f>
        <v>0</v>
      </c>
      <c r="X5163">
        <f>IF(AND(LEFT(D5163,4)+1=LEFT(' Pivot Tables'!$A$4,4)+0,RIGHT(LEFT(D5163,7),2)=RIGHT(LEFT(' Pivot Tables'!$A$4,7),2)),1,0)</f>
        <v>0</v>
      </c>
      <c r="Y5163" s="6">
        <f>1/COUNTIF(Таблица1[Order ID],Таблица1[[#This Row],[Order ID]])</f>
        <v>1</v>
      </c>
      <c r="Z5163" s="9">
        <f>1/COUNTIFS(Таблица1[Customer Name],Таблица1[[#This Row],[Customer Name]],Таблица1[Order-Year-Month],Таблица1[[#This Row],[Order-Year-Month]])</f>
        <v>1</v>
      </c>
    </row>
    <row r="5164" spans="1:26" x14ac:dyDescent="0.2">
      <c r="A5164" s="6">
        <v>5211</v>
      </c>
      <c r="B5164" s="7">
        <v>37025</v>
      </c>
      <c r="C5164" s="8">
        <f>DATE(2012,12,31)-1147</f>
        <v>40127</v>
      </c>
      <c r="D5164" s="8" t="str">
        <f t="shared" si="97"/>
        <v>2009-11 (ноябрь 2009)</v>
      </c>
      <c r="E5164" s="9" t="s">
        <v>30</v>
      </c>
      <c r="F5164" s="7">
        <v>37</v>
      </c>
      <c r="G5164" s="7">
        <v>641.89</v>
      </c>
      <c r="H5164" s="7">
        <v>0.03</v>
      </c>
      <c r="I5164" s="9" t="s">
        <v>22</v>
      </c>
      <c r="J5164" s="10">
        <v>207.3</v>
      </c>
      <c r="K5164" s="11">
        <v>17.48</v>
      </c>
      <c r="L5164" s="11">
        <v>1.99</v>
      </c>
      <c r="M5164" s="9" t="s">
        <v>1879</v>
      </c>
      <c r="N5164" s="6" t="s">
        <v>672</v>
      </c>
      <c r="O5164" s="6" t="s">
        <v>673</v>
      </c>
      <c r="P5164" s="9" t="s">
        <v>41</v>
      </c>
      <c r="Q5164" s="9" t="s">
        <v>42</v>
      </c>
      <c r="R5164" s="9" t="s">
        <v>70</v>
      </c>
      <c r="S5164" s="7" t="s">
        <v>1067</v>
      </c>
      <c r="T5164" s="9" t="s">
        <v>52</v>
      </c>
      <c r="U5164" s="7">
        <v>0.45</v>
      </c>
      <c r="V5164" s="12">
        <f>C5164+1</f>
        <v>40128</v>
      </c>
      <c r="W5164">
        <f>IF(D5164=' Pivot Tables'!$A$4,1,0)</f>
        <v>0</v>
      </c>
      <c r="X5164">
        <f>IF(AND(LEFT(D5164,4)+1=LEFT(' Pivot Tables'!$A$4,4)+0,RIGHT(LEFT(D5164,7),2)=RIGHT(LEFT(' Pivot Tables'!$A$4,7),2)),1,0)</f>
        <v>0</v>
      </c>
      <c r="Y5164" s="6">
        <f>1/COUNTIF(Таблица1[Order ID],Таблица1[[#This Row],[Order ID]])</f>
        <v>1</v>
      </c>
      <c r="Z5164" s="9">
        <f>1/COUNTIFS(Таблица1[Customer Name],Таблица1[[#This Row],[Customer Name]],Таблица1[Order-Year-Month],Таблица1[[#This Row],[Order-Year-Month]])</f>
        <v>1</v>
      </c>
    </row>
    <row r="5165" spans="1:26" x14ac:dyDescent="0.2">
      <c r="A5165" s="6">
        <v>5216</v>
      </c>
      <c r="B5165" s="7">
        <v>37124</v>
      </c>
      <c r="C5165" s="8">
        <f>DATE(2012,12,31)-276</f>
        <v>40998</v>
      </c>
      <c r="D5165" s="8" t="str">
        <f t="shared" si="97"/>
        <v>2012-03 (март 2012)</v>
      </c>
      <c r="E5165" s="9" t="s">
        <v>21</v>
      </c>
      <c r="F5165" s="7">
        <v>33</v>
      </c>
      <c r="G5165" s="7">
        <v>21205.5</v>
      </c>
      <c r="H5165" s="7">
        <v>0.1</v>
      </c>
      <c r="I5165" s="9" t="s">
        <v>22</v>
      </c>
      <c r="J5165" s="10">
        <v>241.3</v>
      </c>
      <c r="K5165" s="11">
        <v>699.99</v>
      </c>
      <c r="L5165" s="11">
        <v>24.49</v>
      </c>
      <c r="M5165" s="9" t="s">
        <v>1588</v>
      </c>
      <c r="N5165" s="6" t="s">
        <v>672</v>
      </c>
      <c r="O5165" s="6" t="s">
        <v>673</v>
      </c>
      <c r="P5165" s="9" t="s">
        <v>41</v>
      </c>
      <c r="Q5165" s="9" t="s">
        <v>42</v>
      </c>
      <c r="R5165" s="9" t="s">
        <v>99</v>
      </c>
      <c r="S5165" s="7" t="s">
        <v>411</v>
      </c>
      <c r="T5165" s="9" t="s">
        <v>29</v>
      </c>
      <c r="U5165" s="7">
        <v>0.41</v>
      </c>
      <c r="V5165" s="12">
        <f>C5165+2</f>
        <v>41000</v>
      </c>
      <c r="W5165">
        <f>IF(D5165=' Pivot Tables'!$A$4,1,0)</f>
        <v>0</v>
      </c>
      <c r="X5165">
        <f>IF(AND(LEFT(D5165,4)+1=LEFT(' Pivot Tables'!$A$4,4)+0,RIGHT(LEFT(D5165,7),2)=RIGHT(LEFT(' Pivot Tables'!$A$4,7),2)),1,0)</f>
        <v>0</v>
      </c>
      <c r="Y5165" s="6">
        <f>1/COUNTIF(Таблица1[Order ID],Таблица1[[#This Row],[Order ID]])</f>
        <v>1</v>
      </c>
      <c r="Z5165" s="9">
        <f>1/COUNTIFS(Таблица1[Customer Name],Таблица1[[#This Row],[Customer Name]],Таблица1[Order-Year-Month],Таблица1[[#This Row],[Order-Year-Month]])</f>
        <v>1</v>
      </c>
    </row>
    <row r="5166" spans="1:26" x14ac:dyDescent="0.2">
      <c r="A5166" s="6">
        <v>5293</v>
      </c>
      <c r="B5166" s="7">
        <v>37696</v>
      </c>
      <c r="C5166" s="8">
        <f>DATE(2012,12,31)-1271</f>
        <v>40003</v>
      </c>
      <c r="D5166" s="8" t="str">
        <f t="shared" si="97"/>
        <v>2009-07 (июль 2009)</v>
      </c>
      <c r="E5166" s="9" t="s">
        <v>45</v>
      </c>
      <c r="F5166" s="7">
        <v>5</v>
      </c>
      <c r="G5166" s="7">
        <v>24.09</v>
      </c>
      <c r="H5166" s="7">
        <v>0.04</v>
      </c>
      <c r="I5166" s="9" t="s">
        <v>22</v>
      </c>
      <c r="J5166" s="10">
        <v>-20.2285</v>
      </c>
      <c r="K5166" s="11">
        <v>3.81</v>
      </c>
      <c r="L5166" s="11">
        <v>5.44</v>
      </c>
      <c r="M5166" s="9" t="s">
        <v>1846</v>
      </c>
      <c r="N5166" s="6" t="s">
        <v>672</v>
      </c>
      <c r="O5166" s="6" t="s">
        <v>673</v>
      </c>
      <c r="P5166" s="9" t="s">
        <v>41</v>
      </c>
      <c r="Q5166" s="9" t="s">
        <v>26</v>
      </c>
      <c r="R5166" s="9" t="s">
        <v>37</v>
      </c>
      <c r="S5166" s="7" t="s">
        <v>551</v>
      </c>
      <c r="T5166" s="9" t="s">
        <v>39</v>
      </c>
      <c r="U5166" s="7">
        <v>0.36</v>
      </c>
      <c r="V5166" s="12">
        <f>C5166+2</f>
        <v>40005</v>
      </c>
      <c r="W5166">
        <f>IF(D5166=' Pivot Tables'!$A$4,1,0)</f>
        <v>0</v>
      </c>
      <c r="X5166">
        <f>IF(AND(LEFT(D5166,4)+1=LEFT(' Pivot Tables'!$A$4,4)+0,RIGHT(LEFT(D5166,7),2)=RIGHT(LEFT(' Pivot Tables'!$A$4,7),2)),1,0)</f>
        <v>0</v>
      </c>
      <c r="Y5166" s="6">
        <f>1/COUNTIF(Таблица1[Order ID],Таблица1[[#This Row],[Order ID]])</f>
        <v>0.5</v>
      </c>
      <c r="Z5166" s="9">
        <f>1/COUNTIFS(Таблица1[Customer Name],Таблица1[[#This Row],[Customer Name]],Таблица1[Order-Year-Month],Таблица1[[#This Row],[Order-Year-Month]])</f>
        <v>0.5</v>
      </c>
    </row>
    <row r="5167" spans="1:26" x14ac:dyDescent="0.2">
      <c r="A5167" s="6">
        <v>5294</v>
      </c>
      <c r="B5167" s="7">
        <v>37696</v>
      </c>
      <c r="C5167" s="8">
        <f>DATE(2012,12,31)-1271</f>
        <v>40003</v>
      </c>
      <c r="D5167" s="8" t="str">
        <f t="shared" si="97"/>
        <v>2009-07 (июль 2009)</v>
      </c>
      <c r="E5167" s="9" t="s">
        <v>45</v>
      </c>
      <c r="F5167" s="7">
        <v>41</v>
      </c>
      <c r="G5167" s="7">
        <v>173.27</v>
      </c>
      <c r="H5167" s="7">
        <v>0.02</v>
      </c>
      <c r="I5167" s="9" t="s">
        <v>22</v>
      </c>
      <c r="J5167" s="10">
        <v>51.29</v>
      </c>
      <c r="K5167" s="11">
        <v>4</v>
      </c>
      <c r="L5167" s="11">
        <v>1.3</v>
      </c>
      <c r="M5167" s="9" t="s">
        <v>1846</v>
      </c>
      <c r="N5167" s="6" t="s">
        <v>672</v>
      </c>
      <c r="O5167" s="6" t="s">
        <v>673</v>
      </c>
      <c r="P5167" s="9" t="s">
        <v>41</v>
      </c>
      <c r="Q5167" s="9" t="s">
        <v>26</v>
      </c>
      <c r="R5167" s="9" t="s">
        <v>61</v>
      </c>
      <c r="S5167" s="7" t="s">
        <v>1209</v>
      </c>
      <c r="T5167" s="9" t="s">
        <v>68</v>
      </c>
      <c r="U5167" s="7">
        <v>0.37</v>
      </c>
      <c r="V5167" s="12">
        <f>C5167+0</f>
        <v>40003</v>
      </c>
      <c r="W5167">
        <f>IF(D5167=' Pivot Tables'!$A$4,1,0)</f>
        <v>0</v>
      </c>
      <c r="X5167">
        <f>IF(AND(LEFT(D5167,4)+1=LEFT(' Pivot Tables'!$A$4,4)+0,RIGHT(LEFT(D5167,7),2)=RIGHT(LEFT(' Pivot Tables'!$A$4,7),2)),1,0)</f>
        <v>0</v>
      </c>
      <c r="Y5167" s="6">
        <f>1/COUNTIF(Таблица1[Order ID],Таблица1[[#This Row],[Order ID]])</f>
        <v>0.5</v>
      </c>
      <c r="Z5167" s="9">
        <f>1/COUNTIFS(Таблица1[Customer Name],Таблица1[[#This Row],[Customer Name]],Таблица1[Order-Year-Month],Таблица1[[#This Row],[Order-Year-Month]])</f>
        <v>0.5</v>
      </c>
    </row>
    <row r="5168" spans="1:26" x14ac:dyDescent="0.2">
      <c r="A5168" s="6">
        <v>5296</v>
      </c>
      <c r="B5168" s="7">
        <v>37702</v>
      </c>
      <c r="C5168" s="8">
        <f>DATE(2012,12,31)-570</f>
        <v>40704</v>
      </c>
      <c r="D5168" s="8" t="str">
        <f t="shared" si="97"/>
        <v>2011-06 (июнь 2011)</v>
      </c>
      <c r="E5168" s="9" t="s">
        <v>45</v>
      </c>
      <c r="F5168" s="7">
        <v>44</v>
      </c>
      <c r="G5168" s="7">
        <v>601.78</v>
      </c>
      <c r="H5168" s="7">
        <v>0.05</v>
      </c>
      <c r="I5168" s="9" t="s">
        <v>22</v>
      </c>
      <c r="J5168" s="10">
        <v>26.44</v>
      </c>
      <c r="K5168" s="11">
        <v>13.48</v>
      </c>
      <c r="L5168" s="11">
        <v>4.51</v>
      </c>
      <c r="M5168" s="9" t="s">
        <v>1849</v>
      </c>
      <c r="N5168" s="6" t="s">
        <v>672</v>
      </c>
      <c r="O5168" s="6" t="s">
        <v>673</v>
      </c>
      <c r="P5168" s="9" t="s">
        <v>33</v>
      </c>
      <c r="Q5168" s="9" t="s">
        <v>26</v>
      </c>
      <c r="R5168" s="9" t="s">
        <v>27</v>
      </c>
      <c r="S5168" s="7" t="s">
        <v>101</v>
      </c>
      <c r="T5168" s="9" t="s">
        <v>39</v>
      </c>
      <c r="U5168" s="7">
        <v>0.59</v>
      </c>
      <c r="V5168" s="12">
        <f>C5168+2</f>
        <v>40706</v>
      </c>
      <c r="W5168">
        <f>IF(D5168=' Pivot Tables'!$A$4,1,0)</f>
        <v>0</v>
      </c>
      <c r="X5168">
        <f>IF(AND(LEFT(D5168,4)+1=LEFT(' Pivot Tables'!$A$4,4)+0,RIGHT(LEFT(D5168,7),2)=RIGHT(LEFT(' Pivot Tables'!$A$4,7),2)),1,0)</f>
        <v>0</v>
      </c>
      <c r="Y5168" s="6">
        <f>1/COUNTIF(Таблица1[Order ID],Таблица1[[#This Row],[Order ID]])</f>
        <v>1</v>
      </c>
      <c r="Z5168" s="9">
        <f>1/COUNTIFS(Таблица1[Customer Name],Таблица1[[#This Row],[Customer Name]],Таблица1[Order-Year-Month],Таблица1[[#This Row],[Order-Year-Month]])</f>
        <v>1</v>
      </c>
    </row>
    <row r="5169" spans="1:26" x14ac:dyDescent="0.2">
      <c r="A5169" s="6">
        <v>5313</v>
      </c>
      <c r="B5169" s="7">
        <v>37794</v>
      </c>
      <c r="C5169" s="8">
        <f>DATE(2012,12,31)-1378</f>
        <v>39896</v>
      </c>
      <c r="D5169" s="8" t="str">
        <f t="shared" si="97"/>
        <v>2009-03 (март 2009)</v>
      </c>
      <c r="E5169" s="9" t="s">
        <v>21</v>
      </c>
      <c r="F5169" s="7">
        <v>6</v>
      </c>
      <c r="G5169" s="7">
        <v>60.67</v>
      </c>
      <c r="H5169" s="7">
        <v>0.08</v>
      </c>
      <c r="I5169" s="9" t="s">
        <v>22</v>
      </c>
      <c r="J5169" s="10">
        <v>10.29</v>
      </c>
      <c r="K5169" s="11">
        <v>9.48</v>
      </c>
      <c r="L5169" s="11">
        <v>7.29</v>
      </c>
      <c r="M5169" s="9" t="s">
        <v>1552</v>
      </c>
      <c r="N5169" s="6" t="s">
        <v>672</v>
      </c>
      <c r="O5169" s="6" t="s">
        <v>673</v>
      </c>
      <c r="P5169" s="9" t="s">
        <v>25</v>
      </c>
      <c r="Q5169" s="9" t="s">
        <v>49</v>
      </c>
      <c r="R5169" s="9" t="s">
        <v>50</v>
      </c>
      <c r="S5169" s="7" t="s">
        <v>934</v>
      </c>
      <c r="T5169" s="9" t="s">
        <v>52</v>
      </c>
      <c r="U5169" s="7">
        <v>0.45</v>
      </c>
      <c r="V5169" s="12">
        <f>C5169+2</f>
        <v>39898</v>
      </c>
      <c r="W5169">
        <f>IF(D5169=' Pivot Tables'!$A$4,1,0)</f>
        <v>0</v>
      </c>
      <c r="X5169">
        <f>IF(AND(LEFT(D5169,4)+1=LEFT(' Pivot Tables'!$A$4,4)+0,RIGHT(LEFT(D5169,7),2)=RIGHT(LEFT(' Pivot Tables'!$A$4,7),2)),1,0)</f>
        <v>0</v>
      </c>
      <c r="Y5169" s="6">
        <f>1/COUNTIF(Таблица1[Order ID],Таблица1[[#This Row],[Order ID]])</f>
        <v>0.5</v>
      </c>
      <c r="Z5169" s="9">
        <f>1/COUNTIFS(Таблица1[Customer Name],Таблица1[[#This Row],[Customer Name]],Таблица1[Order-Year-Month],Таблица1[[#This Row],[Order-Year-Month]])</f>
        <v>0.5</v>
      </c>
    </row>
    <row r="5170" spans="1:26" x14ac:dyDescent="0.2">
      <c r="A5170" s="6">
        <v>5314</v>
      </c>
      <c r="B5170" s="7">
        <v>37794</v>
      </c>
      <c r="C5170" s="8">
        <f>DATE(2012,12,31)-1378</f>
        <v>39896</v>
      </c>
      <c r="D5170" s="8" t="str">
        <f t="shared" si="97"/>
        <v>2009-03 (март 2009)</v>
      </c>
      <c r="E5170" s="9" t="s">
        <v>21</v>
      </c>
      <c r="F5170" s="7">
        <v>32</v>
      </c>
      <c r="G5170" s="7">
        <v>6195.87</v>
      </c>
      <c r="H5170" s="7">
        <v>0.03</v>
      </c>
      <c r="I5170" s="9" t="s">
        <v>22</v>
      </c>
      <c r="J5170" s="10">
        <v>781.03</v>
      </c>
      <c r="K5170" s="11">
        <v>193.17</v>
      </c>
      <c r="L5170" s="11">
        <v>19.989999999999998</v>
      </c>
      <c r="M5170" s="9" t="s">
        <v>1552</v>
      </c>
      <c r="N5170" s="6" t="s">
        <v>672</v>
      </c>
      <c r="O5170" s="6" t="s">
        <v>673</v>
      </c>
      <c r="P5170" s="9" t="s">
        <v>25</v>
      </c>
      <c r="Q5170" s="9" t="s">
        <v>26</v>
      </c>
      <c r="R5170" s="9" t="s">
        <v>27</v>
      </c>
      <c r="S5170" s="7" t="s">
        <v>338</v>
      </c>
      <c r="T5170" s="9" t="s">
        <v>39</v>
      </c>
      <c r="U5170" s="7">
        <v>0.71</v>
      </c>
      <c r="V5170" s="12">
        <f>C5170+4</f>
        <v>39900</v>
      </c>
      <c r="W5170">
        <f>IF(D5170=' Pivot Tables'!$A$4,1,0)</f>
        <v>0</v>
      </c>
      <c r="X5170">
        <f>IF(AND(LEFT(D5170,4)+1=LEFT(' Pivot Tables'!$A$4,4)+0,RIGHT(LEFT(D5170,7),2)=RIGHT(LEFT(' Pivot Tables'!$A$4,7),2)),1,0)</f>
        <v>0</v>
      </c>
      <c r="Y5170" s="6">
        <f>1/COUNTIF(Таблица1[Order ID],Таблица1[[#This Row],[Order ID]])</f>
        <v>0.5</v>
      </c>
      <c r="Z5170" s="9">
        <f>1/COUNTIFS(Таблица1[Customer Name],Таблица1[[#This Row],[Customer Name]],Таблица1[Order-Year-Month],Таблица1[[#This Row],[Order-Year-Month]])</f>
        <v>0.5</v>
      </c>
    </row>
    <row r="5171" spans="1:26" x14ac:dyDescent="0.2">
      <c r="A5171" s="6">
        <v>5344</v>
      </c>
      <c r="B5171" s="7">
        <v>37987</v>
      </c>
      <c r="C5171" s="8">
        <f>DATE(2012,12,31)-1277</f>
        <v>39997</v>
      </c>
      <c r="D5171" s="8" t="str">
        <f t="shared" si="97"/>
        <v>2009-07 (июль 2009)</v>
      </c>
      <c r="E5171" s="9" t="s">
        <v>30</v>
      </c>
      <c r="F5171" s="7">
        <v>26</v>
      </c>
      <c r="G5171" s="7">
        <v>299.07</v>
      </c>
      <c r="H5171" s="7">
        <v>0.1</v>
      </c>
      <c r="I5171" s="9" t="s">
        <v>22</v>
      </c>
      <c r="J5171" s="10">
        <v>137.47</v>
      </c>
      <c r="K5171" s="11">
        <v>12.53</v>
      </c>
      <c r="L5171" s="11">
        <v>0.49</v>
      </c>
      <c r="M5171" s="9" t="s">
        <v>1851</v>
      </c>
      <c r="N5171" s="6" t="s">
        <v>672</v>
      </c>
      <c r="O5171" s="6" t="s">
        <v>673</v>
      </c>
      <c r="P5171" s="9" t="s">
        <v>41</v>
      </c>
      <c r="Q5171" s="9" t="s">
        <v>26</v>
      </c>
      <c r="R5171" s="9" t="s">
        <v>88</v>
      </c>
      <c r="S5171" s="7" t="s">
        <v>1786</v>
      </c>
      <c r="T5171" s="9" t="s">
        <v>39</v>
      </c>
      <c r="U5171" s="7">
        <v>0.38</v>
      </c>
      <c r="V5171" s="12">
        <f>C5171+1</f>
        <v>39998</v>
      </c>
      <c r="W5171">
        <f>IF(D5171=' Pivot Tables'!$A$4,1,0)</f>
        <v>0</v>
      </c>
      <c r="X5171">
        <f>IF(AND(LEFT(D5171,4)+1=LEFT(' Pivot Tables'!$A$4,4)+0,RIGHT(LEFT(D5171,7),2)=RIGHT(LEFT(' Pivot Tables'!$A$4,7),2)),1,0)</f>
        <v>0</v>
      </c>
      <c r="Y5171" s="6">
        <f>1/COUNTIF(Таблица1[Order ID],Таблица1[[#This Row],[Order ID]])</f>
        <v>0.5</v>
      </c>
      <c r="Z5171" s="9">
        <f>1/COUNTIFS(Таблица1[Customer Name],Таблица1[[#This Row],[Customer Name]],Таблица1[Order-Year-Month],Таблица1[[#This Row],[Order-Year-Month]])</f>
        <v>0.5</v>
      </c>
    </row>
    <row r="5172" spans="1:26" x14ac:dyDescent="0.2">
      <c r="A5172" s="6">
        <v>5345</v>
      </c>
      <c r="B5172" s="7">
        <v>37987</v>
      </c>
      <c r="C5172" s="8">
        <f>DATE(2012,12,31)-1277</f>
        <v>39997</v>
      </c>
      <c r="D5172" s="8" t="str">
        <f t="shared" si="97"/>
        <v>2009-07 (июль 2009)</v>
      </c>
      <c r="E5172" s="9" t="s">
        <v>30</v>
      </c>
      <c r="F5172" s="7">
        <v>5</v>
      </c>
      <c r="G5172" s="7">
        <v>708.87</v>
      </c>
      <c r="H5172" s="7">
        <v>0.1</v>
      </c>
      <c r="I5172" s="9" t="s">
        <v>31</v>
      </c>
      <c r="J5172" s="10">
        <v>-270.85000000000002</v>
      </c>
      <c r="K5172" s="11">
        <v>146.34</v>
      </c>
      <c r="L5172" s="11">
        <v>43.75</v>
      </c>
      <c r="M5172" s="9" t="s">
        <v>1851</v>
      </c>
      <c r="N5172" s="6" t="s">
        <v>672</v>
      </c>
      <c r="O5172" s="6" t="s">
        <v>673</v>
      </c>
      <c r="P5172" s="9" t="s">
        <v>41</v>
      </c>
      <c r="Q5172" s="9" t="s">
        <v>49</v>
      </c>
      <c r="R5172" s="9" t="s">
        <v>83</v>
      </c>
      <c r="S5172" s="7" t="s">
        <v>204</v>
      </c>
      <c r="T5172" s="9" t="s">
        <v>82</v>
      </c>
      <c r="U5172" s="7">
        <v>0.64</v>
      </c>
      <c r="V5172" s="12">
        <f>C5172+1</f>
        <v>39998</v>
      </c>
      <c r="W5172">
        <f>IF(D5172=' Pivot Tables'!$A$4,1,0)</f>
        <v>0</v>
      </c>
      <c r="X5172">
        <f>IF(AND(LEFT(D5172,4)+1=LEFT(' Pivot Tables'!$A$4,4)+0,RIGHT(LEFT(D5172,7),2)=RIGHT(LEFT(' Pivot Tables'!$A$4,7),2)),1,0)</f>
        <v>0</v>
      </c>
      <c r="Y5172" s="6">
        <f>1/COUNTIF(Таблица1[Order ID],Таблица1[[#This Row],[Order ID]])</f>
        <v>0.5</v>
      </c>
      <c r="Z5172" s="9">
        <f>1/COUNTIFS(Таблица1[Customer Name],Таблица1[[#This Row],[Customer Name]],Таблица1[Order-Year-Month],Таблица1[[#This Row],[Order-Year-Month]])</f>
        <v>0.5</v>
      </c>
    </row>
    <row r="5173" spans="1:26" x14ac:dyDescent="0.2">
      <c r="A5173" s="6">
        <v>5392</v>
      </c>
      <c r="B5173" s="7">
        <v>38340</v>
      </c>
      <c r="C5173" s="8">
        <f>DATE(2012,12,31)-1441</f>
        <v>39833</v>
      </c>
      <c r="D5173" s="8" t="str">
        <f t="shared" si="97"/>
        <v>2009-01 (январь 2009)</v>
      </c>
      <c r="E5173" s="9" t="s">
        <v>78</v>
      </c>
      <c r="F5173" s="7">
        <v>36</v>
      </c>
      <c r="G5173" s="7">
        <v>2167.0500000000002</v>
      </c>
      <c r="H5173" s="7">
        <v>0.02</v>
      </c>
      <c r="I5173" s="9" t="s">
        <v>22</v>
      </c>
      <c r="J5173" s="10">
        <v>684.9</v>
      </c>
      <c r="K5173" s="11">
        <v>60.22</v>
      </c>
      <c r="L5173" s="11">
        <v>3.5</v>
      </c>
      <c r="M5173" s="9" t="s">
        <v>982</v>
      </c>
      <c r="N5173" s="6" t="s">
        <v>672</v>
      </c>
      <c r="O5173" s="6" t="s">
        <v>673</v>
      </c>
      <c r="P5173" s="9" t="s">
        <v>41</v>
      </c>
      <c r="Q5173" s="9" t="s">
        <v>26</v>
      </c>
      <c r="R5173" s="9" t="s">
        <v>34</v>
      </c>
      <c r="S5173" s="7" t="s">
        <v>624</v>
      </c>
      <c r="T5173" s="9" t="s">
        <v>39</v>
      </c>
      <c r="U5173" s="7">
        <v>0.56999999999999995</v>
      </c>
      <c r="V5173" s="12">
        <f>C5173+1</f>
        <v>39834</v>
      </c>
      <c r="W5173">
        <f>IF(D5173=' Pivot Tables'!$A$4,1,0)</f>
        <v>0</v>
      </c>
      <c r="X5173">
        <f>IF(AND(LEFT(D5173,4)+1=LEFT(' Pivot Tables'!$A$4,4)+0,RIGHT(LEFT(D5173,7),2)=RIGHT(LEFT(' Pivot Tables'!$A$4,7),2)),1,0)</f>
        <v>1</v>
      </c>
      <c r="Y5173" s="6">
        <f>1/COUNTIF(Таблица1[Order ID],Таблица1[[#This Row],[Order ID]])</f>
        <v>1</v>
      </c>
      <c r="Z5173" s="9">
        <f>1/COUNTIFS(Таблица1[Customer Name],Таблица1[[#This Row],[Customer Name]],Таблица1[Order-Year-Month],Таблица1[[#This Row],[Order-Year-Month]])</f>
        <v>0.25</v>
      </c>
    </row>
    <row r="5174" spans="1:26" x14ac:dyDescent="0.2">
      <c r="A5174" s="6">
        <v>5419</v>
      </c>
      <c r="B5174" s="7">
        <v>38528</v>
      </c>
      <c r="C5174" s="8">
        <f>DATE(2012,12,31)-377</f>
        <v>40897</v>
      </c>
      <c r="D5174" s="8" t="str">
        <f t="shared" si="97"/>
        <v>2011-12 (декабрь 2011)</v>
      </c>
      <c r="E5174" s="9" t="s">
        <v>78</v>
      </c>
      <c r="F5174" s="7">
        <v>10</v>
      </c>
      <c r="G5174" s="7">
        <v>70.02</v>
      </c>
      <c r="H5174" s="7">
        <v>7.0000000000000007E-2</v>
      </c>
      <c r="I5174" s="9" t="s">
        <v>22</v>
      </c>
      <c r="J5174" s="10">
        <v>22.62</v>
      </c>
      <c r="K5174" s="11">
        <v>7.31</v>
      </c>
      <c r="L5174" s="11">
        <v>0.5</v>
      </c>
      <c r="M5174" s="9" t="s">
        <v>1164</v>
      </c>
      <c r="N5174" s="6" t="s">
        <v>672</v>
      </c>
      <c r="O5174" s="6" t="s">
        <v>673</v>
      </c>
      <c r="P5174" s="9" t="s">
        <v>25</v>
      </c>
      <c r="Q5174" s="9" t="s">
        <v>26</v>
      </c>
      <c r="R5174" s="9" t="s">
        <v>88</v>
      </c>
      <c r="S5174" s="7" t="s">
        <v>1895</v>
      </c>
      <c r="T5174" s="9" t="s">
        <v>39</v>
      </c>
      <c r="U5174" s="7">
        <v>0.38</v>
      </c>
      <c r="V5174" s="12">
        <f>C5174+2</f>
        <v>40899</v>
      </c>
      <c r="W5174">
        <f>IF(D5174=' Pivot Tables'!$A$4,1,0)</f>
        <v>0</v>
      </c>
      <c r="X5174">
        <f>IF(AND(LEFT(D5174,4)+1=LEFT(' Pivot Tables'!$A$4,4)+0,RIGHT(LEFT(D5174,7),2)=RIGHT(LEFT(' Pivot Tables'!$A$4,7),2)),1,0)</f>
        <v>0</v>
      </c>
      <c r="Y5174" s="6">
        <f>1/COUNTIF(Таблица1[Order ID],Таблица1[[#This Row],[Order ID]])</f>
        <v>0.5</v>
      </c>
      <c r="Z5174" s="9">
        <f>1/COUNTIFS(Таблица1[Customer Name],Таблица1[[#This Row],[Customer Name]],Таблица1[Order-Year-Month],Таблица1[[#This Row],[Order-Year-Month]])</f>
        <v>0.25</v>
      </c>
    </row>
    <row r="5175" spans="1:26" x14ac:dyDescent="0.2">
      <c r="A5175" s="6">
        <v>5459</v>
      </c>
      <c r="B5175" s="7">
        <v>38786</v>
      </c>
      <c r="C5175" s="8">
        <f>DATE(2012,12,31)-562</f>
        <v>40712</v>
      </c>
      <c r="D5175" s="8" t="str">
        <f t="shared" si="97"/>
        <v>2011-06 (июнь 2011)</v>
      </c>
      <c r="E5175" s="9" t="s">
        <v>63</v>
      </c>
      <c r="F5175" s="7">
        <v>10</v>
      </c>
      <c r="G5175" s="7">
        <v>236.17</v>
      </c>
      <c r="H5175" s="7">
        <v>0.09</v>
      </c>
      <c r="I5175" s="9" t="s">
        <v>31</v>
      </c>
      <c r="J5175" s="10">
        <v>-21.39</v>
      </c>
      <c r="K5175" s="11">
        <v>23.99</v>
      </c>
      <c r="L5175" s="11">
        <v>15.68</v>
      </c>
      <c r="M5175" s="9" t="s">
        <v>901</v>
      </c>
      <c r="N5175" s="6" t="s">
        <v>672</v>
      </c>
      <c r="O5175" s="6" t="s">
        <v>673</v>
      </c>
      <c r="P5175" s="9" t="s">
        <v>33</v>
      </c>
      <c r="Q5175" s="9" t="s">
        <v>49</v>
      </c>
      <c r="R5175" s="9" t="s">
        <v>50</v>
      </c>
      <c r="S5175" s="7" t="s">
        <v>1372</v>
      </c>
      <c r="T5175" s="9" t="s">
        <v>36</v>
      </c>
      <c r="U5175" s="7">
        <v>0.62</v>
      </c>
      <c r="V5175" s="12">
        <f>C5175+2</f>
        <v>40714</v>
      </c>
      <c r="W5175">
        <f>IF(D5175=' Pivot Tables'!$A$4,1,0)</f>
        <v>0</v>
      </c>
      <c r="X5175">
        <f>IF(AND(LEFT(D5175,4)+1=LEFT(' Pivot Tables'!$A$4,4)+0,RIGHT(LEFT(D5175,7),2)=RIGHT(LEFT(' Pivot Tables'!$A$4,7),2)),1,0)</f>
        <v>0</v>
      </c>
      <c r="Y5175" s="6">
        <f>1/COUNTIF(Таблица1[Order ID],Таблица1[[#This Row],[Order ID]])</f>
        <v>1</v>
      </c>
      <c r="Z5175" s="9">
        <f>1/COUNTIFS(Таблица1[Customer Name],Таблица1[[#This Row],[Customer Name]],Таблица1[Order-Year-Month],Таблица1[[#This Row],[Order-Year-Month]])</f>
        <v>1</v>
      </c>
    </row>
    <row r="5176" spans="1:26" x14ac:dyDescent="0.2">
      <c r="A5176" s="6">
        <v>5468</v>
      </c>
      <c r="B5176" s="7">
        <v>38852</v>
      </c>
      <c r="C5176" s="8">
        <f>DATE(2012,12,31)-1156</f>
        <v>40118</v>
      </c>
      <c r="D5176" s="8" t="str">
        <f t="shared" si="97"/>
        <v>2009-11 (ноябрь 2009)</v>
      </c>
      <c r="E5176" s="9" t="s">
        <v>45</v>
      </c>
      <c r="F5176" s="7">
        <v>25</v>
      </c>
      <c r="G5176" s="7">
        <v>152.31</v>
      </c>
      <c r="H5176" s="7">
        <v>0.03</v>
      </c>
      <c r="I5176" s="9" t="s">
        <v>22</v>
      </c>
      <c r="J5176" s="10">
        <v>38.08</v>
      </c>
      <c r="K5176" s="11">
        <v>5.98</v>
      </c>
      <c r="L5176" s="11">
        <v>1.49</v>
      </c>
      <c r="M5176" s="9" t="s">
        <v>1462</v>
      </c>
      <c r="N5176" s="6" t="s">
        <v>672</v>
      </c>
      <c r="O5176" s="6" t="s">
        <v>673</v>
      </c>
      <c r="P5176" s="9" t="s">
        <v>25</v>
      </c>
      <c r="Q5176" s="9" t="s">
        <v>26</v>
      </c>
      <c r="R5176" s="9" t="s">
        <v>37</v>
      </c>
      <c r="S5176" s="7" t="s">
        <v>1351</v>
      </c>
      <c r="T5176" s="9" t="s">
        <v>39</v>
      </c>
      <c r="U5176" s="7">
        <v>0.39</v>
      </c>
      <c r="V5176" s="12">
        <f>C5176+2</f>
        <v>40120</v>
      </c>
      <c r="W5176">
        <f>IF(D5176=' Pivot Tables'!$A$4,1,0)</f>
        <v>0</v>
      </c>
      <c r="X5176">
        <f>IF(AND(LEFT(D5176,4)+1=LEFT(' Pivot Tables'!$A$4,4)+0,RIGHT(LEFT(D5176,7),2)=RIGHT(LEFT(' Pivot Tables'!$A$4,7),2)),1,0)</f>
        <v>0</v>
      </c>
      <c r="Y5176" s="6">
        <f>1/COUNTIF(Таблица1[Order ID],Таблица1[[#This Row],[Order ID]])</f>
        <v>1</v>
      </c>
      <c r="Z5176" s="9">
        <f>1/COUNTIFS(Таблица1[Customer Name],Таблица1[[#This Row],[Customer Name]],Таблица1[Order-Year-Month],Таблица1[[#This Row],[Order-Year-Month]])</f>
        <v>1</v>
      </c>
    </row>
    <row r="5177" spans="1:26" x14ac:dyDescent="0.2">
      <c r="A5177" s="6">
        <v>5500</v>
      </c>
      <c r="B5177" s="7">
        <v>39008</v>
      </c>
      <c r="C5177" s="8">
        <f>DATE(2012,12,31)-613</f>
        <v>40661</v>
      </c>
      <c r="D5177" s="8" t="str">
        <f t="shared" si="97"/>
        <v>2011-04 (апрель 2011)</v>
      </c>
      <c r="E5177" s="9" t="s">
        <v>45</v>
      </c>
      <c r="F5177" s="7">
        <v>28</v>
      </c>
      <c r="G5177" s="7">
        <v>3582.79</v>
      </c>
      <c r="H5177" s="7">
        <v>0</v>
      </c>
      <c r="I5177" s="9" t="s">
        <v>31</v>
      </c>
      <c r="J5177" s="10">
        <v>-1177.1400000000001</v>
      </c>
      <c r="K5177" s="11">
        <v>122.99</v>
      </c>
      <c r="L5177" s="11">
        <v>70.2</v>
      </c>
      <c r="M5177" s="9" t="s">
        <v>1859</v>
      </c>
      <c r="N5177" s="6" t="s">
        <v>672</v>
      </c>
      <c r="O5177" s="6" t="s">
        <v>673</v>
      </c>
      <c r="P5177" s="9" t="s">
        <v>41</v>
      </c>
      <c r="Q5177" s="9" t="s">
        <v>49</v>
      </c>
      <c r="R5177" s="9" t="s">
        <v>112</v>
      </c>
      <c r="S5177" s="7" t="s">
        <v>426</v>
      </c>
      <c r="T5177" s="9" t="s">
        <v>36</v>
      </c>
      <c r="U5177" s="7">
        <v>0.74</v>
      </c>
      <c r="V5177" s="12">
        <f>C5177+2</f>
        <v>40663</v>
      </c>
      <c r="W5177">
        <f>IF(D5177=' Pivot Tables'!$A$4,1,0)</f>
        <v>0</v>
      </c>
      <c r="X5177">
        <f>IF(AND(LEFT(D5177,4)+1=LEFT(' Pivot Tables'!$A$4,4)+0,RIGHT(LEFT(D5177,7),2)=RIGHT(LEFT(' Pivot Tables'!$A$4,7),2)),1,0)</f>
        <v>0</v>
      </c>
      <c r="Y5177" s="6">
        <f>1/COUNTIF(Таблица1[Order ID],Таблица1[[#This Row],[Order ID]])</f>
        <v>1</v>
      </c>
      <c r="Z5177" s="9">
        <f>1/COUNTIFS(Таблица1[Customer Name],Таблица1[[#This Row],[Customer Name]],Таблица1[Order-Year-Month],Таблица1[[#This Row],[Order-Year-Month]])</f>
        <v>1</v>
      </c>
    </row>
    <row r="5178" spans="1:26" x14ac:dyDescent="0.2">
      <c r="A5178" s="6">
        <v>5553</v>
      </c>
      <c r="B5178" s="7">
        <v>39331</v>
      </c>
      <c r="C5178" s="8">
        <f>DATE(2012,12,31)-475</f>
        <v>40799</v>
      </c>
      <c r="D5178" s="8" t="str">
        <f t="shared" si="97"/>
        <v>2011-09 (сентябрь 2011)</v>
      </c>
      <c r="E5178" s="9" t="s">
        <v>30</v>
      </c>
      <c r="F5178" s="7">
        <v>23</v>
      </c>
      <c r="G5178" s="7">
        <v>149.4</v>
      </c>
      <c r="H5178" s="7">
        <v>0.06</v>
      </c>
      <c r="I5178" s="9" t="s">
        <v>56</v>
      </c>
      <c r="J5178" s="10">
        <v>-126.0515</v>
      </c>
      <c r="K5178" s="11">
        <v>5.81</v>
      </c>
      <c r="L5178" s="11">
        <v>8.49</v>
      </c>
      <c r="M5178" s="9" t="s">
        <v>1610</v>
      </c>
      <c r="N5178" s="6" t="s">
        <v>672</v>
      </c>
      <c r="O5178" s="6" t="s">
        <v>673</v>
      </c>
      <c r="P5178" s="9" t="s">
        <v>60</v>
      </c>
      <c r="Q5178" s="9" t="s">
        <v>26</v>
      </c>
      <c r="R5178" s="9" t="s">
        <v>37</v>
      </c>
      <c r="S5178" s="7" t="s">
        <v>213</v>
      </c>
      <c r="T5178" s="9" t="s">
        <v>39</v>
      </c>
      <c r="U5178" s="7">
        <v>0.39</v>
      </c>
      <c r="V5178" s="12">
        <f>C5178+1</f>
        <v>40800</v>
      </c>
      <c r="W5178">
        <f>IF(D5178=' Pivot Tables'!$A$4,1,0)</f>
        <v>0</v>
      </c>
      <c r="X5178">
        <f>IF(AND(LEFT(D5178,4)+1=LEFT(' Pivot Tables'!$A$4,4)+0,RIGHT(LEFT(D5178,7),2)=RIGHT(LEFT(' Pivot Tables'!$A$4,7),2)),1,0)</f>
        <v>0</v>
      </c>
      <c r="Y5178" s="6">
        <f>1/COUNTIF(Таблица1[Order ID],Таблица1[[#This Row],[Order ID]])</f>
        <v>1</v>
      </c>
      <c r="Z5178" s="9">
        <f>1/COUNTIFS(Таблица1[Customer Name],Таблица1[[#This Row],[Customer Name]],Таблица1[Order-Year-Month],Таблица1[[#This Row],[Order-Year-Month]])</f>
        <v>1</v>
      </c>
    </row>
    <row r="5179" spans="1:26" x14ac:dyDescent="0.2">
      <c r="A5179" s="6">
        <v>5565</v>
      </c>
      <c r="B5179" s="7">
        <v>39399</v>
      </c>
      <c r="C5179" s="8">
        <f>DATE(2012,12,31)-14</f>
        <v>41260</v>
      </c>
      <c r="D5179" s="8" t="str">
        <f t="shared" si="97"/>
        <v>2012-12 (декабрь 2012)</v>
      </c>
      <c r="E5179" s="9" t="s">
        <v>63</v>
      </c>
      <c r="F5179" s="7">
        <v>28</v>
      </c>
      <c r="G5179" s="7">
        <v>303.97000000000003</v>
      </c>
      <c r="H5179" s="7">
        <v>0.1</v>
      </c>
      <c r="I5179" s="9" t="s">
        <v>22</v>
      </c>
      <c r="J5179" s="10">
        <v>23.298500000000001</v>
      </c>
      <c r="K5179" s="11">
        <v>10.98</v>
      </c>
      <c r="L5179" s="11">
        <v>5.14</v>
      </c>
      <c r="M5179" s="9" t="s">
        <v>1874</v>
      </c>
      <c r="N5179" s="6" t="s">
        <v>672</v>
      </c>
      <c r="O5179" s="6" t="s">
        <v>673</v>
      </c>
      <c r="P5179" s="9" t="s">
        <v>60</v>
      </c>
      <c r="Q5179" s="9" t="s">
        <v>26</v>
      </c>
      <c r="R5179" s="9" t="s">
        <v>37</v>
      </c>
      <c r="S5179" s="7" t="s">
        <v>656</v>
      </c>
      <c r="T5179" s="9" t="s">
        <v>39</v>
      </c>
      <c r="U5179" s="7">
        <v>0.36</v>
      </c>
      <c r="V5179" s="12">
        <f>C5179+2</f>
        <v>41262</v>
      </c>
      <c r="W5179">
        <f>IF(D5179=' Pivot Tables'!$A$4,1,0)</f>
        <v>0</v>
      </c>
      <c r="X5179">
        <f>IF(AND(LEFT(D5179,4)+1=LEFT(' Pivot Tables'!$A$4,4)+0,RIGHT(LEFT(D5179,7),2)=RIGHT(LEFT(' Pivot Tables'!$A$4,7),2)),1,0)</f>
        <v>0</v>
      </c>
      <c r="Y5179" s="6">
        <f>1/COUNTIF(Таблица1[Order ID],Таблица1[[#This Row],[Order ID]])</f>
        <v>1</v>
      </c>
      <c r="Z5179" s="9">
        <f>1/COUNTIFS(Таблица1[Customer Name],Таблица1[[#This Row],[Customer Name]],Таблица1[Order-Year-Month],Таблица1[[#This Row],[Order-Year-Month]])</f>
        <v>1</v>
      </c>
    </row>
    <row r="5180" spans="1:26" x14ac:dyDescent="0.2">
      <c r="A5180" s="6">
        <v>5634</v>
      </c>
      <c r="B5180" s="7">
        <v>39876</v>
      </c>
      <c r="C5180" s="8">
        <f>DATE(2012,12,31)-262</f>
        <v>41012</v>
      </c>
      <c r="D5180" s="8" t="str">
        <f t="shared" si="97"/>
        <v>2012-04 (апрель 2012)</v>
      </c>
      <c r="E5180" s="9" t="s">
        <v>30</v>
      </c>
      <c r="F5180" s="7">
        <v>43</v>
      </c>
      <c r="G5180" s="7">
        <v>16269.82</v>
      </c>
      <c r="H5180" s="7">
        <v>0.08</v>
      </c>
      <c r="I5180" s="9" t="s">
        <v>22</v>
      </c>
      <c r="J5180" s="10">
        <v>7050.3335000000006</v>
      </c>
      <c r="K5180" s="11">
        <v>387.99</v>
      </c>
      <c r="L5180" s="11">
        <v>19.989999999999998</v>
      </c>
      <c r="M5180" s="9" t="s">
        <v>1865</v>
      </c>
      <c r="N5180" s="6" t="s">
        <v>672</v>
      </c>
      <c r="O5180" s="6" t="s">
        <v>673</v>
      </c>
      <c r="P5180" s="9" t="s">
        <v>33</v>
      </c>
      <c r="Q5180" s="9" t="s">
        <v>26</v>
      </c>
      <c r="R5180" s="9" t="s">
        <v>37</v>
      </c>
      <c r="S5180" s="7" t="s">
        <v>366</v>
      </c>
      <c r="T5180" s="9" t="s">
        <v>39</v>
      </c>
      <c r="U5180" s="7">
        <v>0.38</v>
      </c>
      <c r="V5180" s="12">
        <f>C5180+2</f>
        <v>41014</v>
      </c>
      <c r="W5180">
        <f>IF(D5180=' Pivot Tables'!$A$4,1,0)</f>
        <v>0</v>
      </c>
      <c r="X5180">
        <f>IF(AND(LEFT(D5180,4)+1=LEFT(' Pivot Tables'!$A$4,4)+0,RIGHT(LEFT(D5180,7),2)=RIGHT(LEFT(' Pivot Tables'!$A$4,7),2)),1,0)</f>
        <v>0</v>
      </c>
      <c r="Y5180" s="6">
        <f>1/COUNTIF(Таблица1[Order ID],Таблица1[[#This Row],[Order ID]])</f>
        <v>0.33333333333333331</v>
      </c>
      <c r="Z5180" s="9">
        <f>1/COUNTIFS(Таблица1[Customer Name],Таблица1[[#This Row],[Customer Name]],Таблица1[Order-Year-Month],Таблица1[[#This Row],[Order-Year-Month]])</f>
        <v>0.33333333333333331</v>
      </c>
    </row>
    <row r="5181" spans="1:26" x14ac:dyDescent="0.2">
      <c r="A5181" s="6">
        <v>5635</v>
      </c>
      <c r="B5181" s="7">
        <v>39876</v>
      </c>
      <c r="C5181" s="8">
        <f>DATE(2012,12,31)-262</f>
        <v>41012</v>
      </c>
      <c r="D5181" s="8" t="str">
        <f t="shared" si="97"/>
        <v>2012-04 (апрель 2012)</v>
      </c>
      <c r="E5181" s="9" t="s">
        <v>30</v>
      </c>
      <c r="F5181" s="7">
        <v>46</v>
      </c>
      <c r="G5181" s="7">
        <v>876.59</v>
      </c>
      <c r="H5181" s="7">
        <v>0.05</v>
      </c>
      <c r="I5181" s="9" t="s">
        <v>22</v>
      </c>
      <c r="J5181" s="10">
        <v>233.59699999999998</v>
      </c>
      <c r="K5181" s="11">
        <v>18.989999999999998</v>
      </c>
      <c r="L5181" s="11">
        <v>5.23</v>
      </c>
      <c r="M5181" s="9" t="s">
        <v>1865</v>
      </c>
      <c r="N5181" s="6" t="s">
        <v>672</v>
      </c>
      <c r="O5181" s="6" t="s">
        <v>673</v>
      </c>
      <c r="P5181" s="9" t="s">
        <v>33</v>
      </c>
      <c r="Q5181" s="9" t="s">
        <v>26</v>
      </c>
      <c r="R5181" s="9" t="s">
        <v>37</v>
      </c>
      <c r="S5181" s="7" t="s">
        <v>353</v>
      </c>
      <c r="T5181" s="9" t="s">
        <v>39</v>
      </c>
      <c r="U5181" s="7">
        <v>0.37</v>
      </c>
      <c r="V5181" s="12">
        <f>C5181+2</f>
        <v>41014</v>
      </c>
      <c r="W5181">
        <f>IF(D5181=' Pivot Tables'!$A$4,1,0)</f>
        <v>0</v>
      </c>
      <c r="X5181">
        <f>IF(AND(LEFT(D5181,4)+1=LEFT(' Pivot Tables'!$A$4,4)+0,RIGHT(LEFT(D5181,7),2)=RIGHT(LEFT(' Pivot Tables'!$A$4,7),2)),1,0)</f>
        <v>0</v>
      </c>
      <c r="Y5181" s="6">
        <f>1/COUNTIF(Таблица1[Order ID],Таблица1[[#This Row],[Order ID]])</f>
        <v>0.33333333333333331</v>
      </c>
      <c r="Z5181" s="9">
        <f>1/COUNTIFS(Таблица1[Customer Name],Таблица1[[#This Row],[Customer Name]],Таблица1[Order-Year-Month],Таблица1[[#This Row],[Order-Year-Month]])</f>
        <v>0.33333333333333331</v>
      </c>
    </row>
    <row r="5182" spans="1:26" x14ac:dyDescent="0.2">
      <c r="A5182" s="6">
        <v>5636</v>
      </c>
      <c r="B5182" s="7">
        <v>39876</v>
      </c>
      <c r="C5182" s="8">
        <f>DATE(2012,12,31)-262</f>
        <v>41012</v>
      </c>
      <c r="D5182" s="8" t="str">
        <f t="shared" si="97"/>
        <v>2012-04 (апрель 2012)</v>
      </c>
      <c r="E5182" s="9" t="s">
        <v>30</v>
      </c>
      <c r="F5182" s="7">
        <v>41</v>
      </c>
      <c r="G5182" s="7">
        <v>5000.87</v>
      </c>
      <c r="H5182" s="7">
        <v>0.04</v>
      </c>
      <c r="I5182" s="9" t="s">
        <v>31</v>
      </c>
      <c r="J5182" s="10">
        <v>-593.23</v>
      </c>
      <c r="K5182" s="11">
        <v>124.49</v>
      </c>
      <c r="L5182" s="11">
        <v>51.94</v>
      </c>
      <c r="M5182" s="9" t="s">
        <v>1865</v>
      </c>
      <c r="N5182" s="6" t="s">
        <v>672</v>
      </c>
      <c r="O5182" s="6" t="s">
        <v>673</v>
      </c>
      <c r="P5182" s="9" t="s">
        <v>33</v>
      </c>
      <c r="Q5182" s="9" t="s">
        <v>49</v>
      </c>
      <c r="R5182" s="9" t="s">
        <v>83</v>
      </c>
      <c r="S5182" s="7" t="s">
        <v>432</v>
      </c>
      <c r="T5182" s="9" t="s">
        <v>82</v>
      </c>
      <c r="U5182" s="7">
        <v>0.63</v>
      </c>
      <c r="V5182" s="12">
        <f>C5182+2</f>
        <v>41014</v>
      </c>
      <c r="W5182">
        <f>IF(D5182=' Pivot Tables'!$A$4,1,0)</f>
        <v>0</v>
      </c>
      <c r="X5182">
        <f>IF(AND(LEFT(D5182,4)+1=LEFT(' Pivot Tables'!$A$4,4)+0,RIGHT(LEFT(D5182,7),2)=RIGHT(LEFT(' Pivot Tables'!$A$4,7),2)),1,0)</f>
        <v>0</v>
      </c>
      <c r="Y5182" s="6">
        <f>1/COUNTIF(Таблица1[Order ID],Таблица1[[#This Row],[Order ID]])</f>
        <v>0.33333333333333331</v>
      </c>
      <c r="Z5182" s="9">
        <f>1/COUNTIFS(Таблица1[Customer Name],Таблица1[[#This Row],[Customer Name]],Таблица1[Order-Year-Month],Таблица1[[#This Row],[Order-Year-Month]])</f>
        <v>0.33333333333333331</v>
      </c>
    </row>
    <row r="5183" spans="1:26" x14ac:dyDescent="0.2">
      <c r="A5183" s="6">
        <v>5657</v>
      </c>
      <c r="B5183" s="7">
        <v>40032</v>
      </c>
      <c r="C5183" s="8">
        <f>DATE(2012,12,31)-31</f>
        <v>41243</v>
      </c>
      <c r="D5183" s="8" t="str">
        <f t="shared" si="97"/>
        <v>2012-11 (ноябрь 2012)</v>
      </c>
      <c r="E5183" s="9" t="s">
        <v>21</v>
      </c>
      <c r="F5183" s="7">
        <v>9</v>
      </c>
      <c r="G5183" s="7">
        <v>23300.12</v>
      </c>
      <c r="H5183" s="7">
        <v>0.06</v>
      </c>
      <c r="I5183" s="9" t="s">
        <v>31</v>
      </c>
      <c r="J5183" s="10">
        <v>-217.46519999999845</v>
      </c>
      <c r="K5183" s="11">
        <v>2550.14</v>
      </c>
      <c r="L5183" s="11">
        <v>29.7</v>
      </c>
      <c r="M5183" s="9" t="s">
        <v>1552</v>
      </c>
      <c r="N5183" s="6" t="s">
        <v>672</v>
      </c>
      <c r="O5183" s="6" t="s">
        <v>673</v>
      </c>
      <c r="P5183" s="9" t="s">
        <v>25</v>
      </c>
      <c r="Q5183" s="9" t="s">
        <v>42</v>
      </c>
      <c r="R5183" s="9" t="s">
        <v>210</v>
      </c>
      <c r="S5183" s="7" t="s">
        <v>506</v>
      </c>
      <c r="T5183" s="9" t="s">
        <v>36</v>
      </c>
      <c r="U5183" s="7">
        <v>0.56999999999999995</v>
      </c>
      <c r="V5183" s="12">
        <f>C5183+7</f>
        <v>41250</v>
      </c>
      <c r="W5183">
        <f>IF(D5183=' Pivot Tables'!$A$4,1,0)</f>
        <v>0</v>
      </c>
      <c r="X5183">
        <f>IF(AND(LEFT(D5183,4)+1=LEFT(' Pivot Tables'!$A$4,4)+0,RIGHT(LEFT(D5183,7),2)=RIGHT(LEFT(' Pivot Tables'!$A$4,7),2)),1,0)</f>
        <v>0</v>
      </c>
      <c r="Y5183" s="6">
        <f>1/COUNTIF(Таблица1[Order ID],Таблица1[[#This Row],[Order ID]])</f>
        <v>1</v>
      </c>
      <c r="Z5183" s="9">
        <f>1/COUNTIFS(Таблица1[Customer Name],Таблица1[[#This Row],[Customer Name]],Таблица1[Order-Year-Month],Таблица1[[#This Row],[Order-Year-Month]])</f>
        <v>0.5</v>
      </c>
    </row>
    <row r="5184" spans="1:26" x14ac:dyDescent="0.2">
      <c r="A5184" s="6">
        <v>5696</v>
      </c>
      <c r="B5184" s="7">
        <v>40261</v>
      </c>
      <c r="C5184" s="8">
        <f>DATE(2012,12,31)-1153</f>
        <v>40121</v>
      </c>
      <c r="D5184" s="8" t="str">
        <f t="shared" si="97"/>
        <v>2009-11 (ноябрь 2009)</v>
      </c>
      <c r="E5184" s="9" t="s">
        <v>78</v>
      </c>
      <c r="F5184" s="7">
        <v>36</v>
      </c>
      <c r="G5184" s="7">
        <v>331.37</v>
      </c>
      <c r="H5184" s="7">
        <v>0.03</v>
      </c>
      <c r="I5184" s="9" t="s">
        <v>56</v>
      </c>
      <c r="J5184" s="10">
        <v>-172.17</v>
      </c>
      <c r="K5184" s="11">
        <v>9.06</v>
      </c>
      <c r="L5184" s="11">
        <v>9.86</v>
      </c>
      <c r="M5184" s="9" t="s">
        <v>1866</v>
      </c>
      <c r="N5184" s="6" t="s">
        <v>672</v>
      </c>
      <c r="O5184" s="6" t="s">
        <v>673</v>
      </c>
      <c r="P5184" s="9" t="s">
        <v>41</v>
      </c>
      <c r="Q5184" s="9" t="s">
        <v>26</v>
      </c>
      <c r="R5184" s="9" t="s">
        <v>61</v>
      </c>
      <c r="S5184" s="7" t="s">
        <v>930</v>
      </c>
      <c r="T5184" s="9" t="s">
        <v>39</v>
      </c>
      <c r="U5184" s="7">
        <v>0.4</v>
      </c>
      <c r="V5184" s="12">
        <f>C5184+2</f>
        <v>40123</v>
      </c>
      <c r="W5184">
        <f>IF(D5184=' Pivot Tables'!$A$4,1,0)</f>
        <v>0</v>
      </c>
      <c r="X5184">
        <f>IF(AND(LEFT(D5184,4)+1=LEFT(' Pivot Tables'!$A$4,4)+0,RIGHT(LEFT(D5184,7),2)=RIGHT(LEFT(' Pivot Tables'!$A$4,7),2)),1,0)</f>
        <v>0</v>
      </c>
      <c r="Y5184" s="6">
        <f>1/COUNTIF(Таблица1[Order ID],Таблица1[[#This Row],[Order ID]])</f>
        <v>0.5</v>
      </c>
      <c r="Z5184" s="9">
        <f>1/COUNTIFS(Таблица1[Customer Name],Таблица1[[#This Row],[Customer Name]],Таблица1[Order-Year-Month],Таблица1[[#This Row],[Order-Year-Month]])</f>
        <v>0.5</v>
      </c>
    </row>
    <row r="5185" spans="1:26" x14ac:dyDescent="0.2">
      <c r="A5185" s="6">
        <v>5697</v>
      </c>
      <c r="B5185" s="7">
        <v>40261</v>
      </c>
      <c r="C5185" s="8">
        <f>DATE(2012,12,31)-1153</f>
        <v>40121</v>
      </c>
      <c r="D5185" s="8" t="str">
        <f t="shared" si="97"/>
        <v>2009-11 (ноябрь 2009)</v>
      </c>
      <c r="E5185" s="9" t="s">
        <v>78</v>
      </c>
      <c r="F5185" s="7">
        <v>26</v>
      </c>
      <c r="G5185" s="7">
        <v>78.03</v>
      </c>
      <c r="H5185" s="7">
        <v>0.05</v>
      </c>
      <c r="I5185" s="9" t="s">
        <v>22</v>
      </c>
      <c r="J5185" s="10">
        <v>0.51</v>
      </c>
      <c r="K5185" s="11">
        <v>2.94</v>
      </c>
      <c r="L5185" s="11">
        <v>1.05</v>
      </c>
      <c r="M5185" s="9" t="s">
        <v>1866</v>
      </c>
      <c r="N5185" s="6" t="s">
        <v>672</v>
      </c>
      <c r="O5185" s="6" t="s">
        <v>673</v>
      </c>
      <c r="P5185" s="9" t="s">
        <v>41</v>
      </c>
      <c r="Q5185" s="9" t="s">
        <v>26</v>
      </c>
      <c r="R5185" s="9" t="s">
        <v>95</v>
      </c>
      <c r="S5185" s="7" t="s">
        <v>1896</v>
      </c>
      <c r="T5185" s="9" t="s">
        <v>68</v>
      </c>
      <c r="U5185" s="7">
        <v>0.57999999999999996</v>
      </c>
      <c r="V5185" s="12">
        <f>C5185+2</f>
        <v>40123</v>
      </c>
      <c r="W5185">
        <f>IF(D5185=' Pivot Tables'!$A$4,1,0)</f>
        <v>0</v>
      </c>
      <c r="X5185">
        <f>IF(AND(LEFT(D5185,4)+1=LEFT(' Pivot Tables'!$A$4,4)+0,RIGHT(LEFT(D5185,7),2)=RIGHT(LEFT(' Pivot Tables'!$A$4,7),2)),1,0)</f>
        <v>0</v>
      </c>
      <c r="Y5185" s="6">
        <f>1/COUNTIF(Таблица1[Order ID],Таблица1[[#This Row],[Order ID]])</f>
        <v>0.5</v>
      </c>
      <c r="Z5185" s="9">
        <f>1/COUNTIFS(Таблица1[Customer Name],Таблица1[[#This Row],[Customer Name]],Таблица1[Order-Year-Month],Таблица1[[#This Row],[Order-Year-Month]])</f>
        <v>0.5</v>
      </c>
    </row>
    <row r="5186" spans="1:26" x14ac:dyDescent="0.2">
      <c r="A5186" s="6">
        <v>5734</v>
      </c>
      <c r="B5186" s="7">
        <v>40706</v>
      </c>
      <c r="C5186" s="8">
        <f>DATE(2012,12,31)-345</f>
        <v>40929</v>
      </c>
      <c r="D5186" s="8" t="str">
        <f t="shared" si="97"/>
        <v>2012-01 (январь 2012)</v>
      </c>
      <c r="E5186" s="9" t="s">
        <v>63</v>
      </c>
      <c r="F5186" s="7">
        <v>40</v>
      </c>
      <c r="G5186" s="7">
        <v>111.04</v>
      </c>
      <c r="H5186" s="7">
        <v>0.08</v>
      </c>
      <c r="I5186" s="9" t="s">
        <v>56</v>
      </c>
      <c r="J5186" s="10">
        <v>45.1</v>
      </c>
      <c r="K5186" s="11">
        <v>2.61</v>
      </c>
      <c r="L5186" s="11">
        <v>0.5</v>
      </c>
      <c r="M5186" s="9" t="s">
        <v>1882</v>
      </c>
      <c r="N5186" s="6" t="s">
        <v>672</v>
      </c>
      <c r="O5186" s="6" t="s">
        <v>673</v>
      </c>
      <c r="P5186" s="9" t="s">
        <v>60</v>
      </c>
      <c r="Q5186" s="9" t="s">
        <v>26</v>
      </c>
      <c r="R5186" s="9" t="s">
        <v>88</v>
      </c>
      <c r="S5186" s="7" t="s">
        <v>406</v>
      </c>
      <c r="T5186" s="9" t="s">
        <v>39</v>
      </c>
      <c r="U5186" s="7">
        <v>0.39</v>
      </c>
      <c r="V5186" s="12">
        <f>C5186+1</f>
        <v>40930</v>
      </c>
      <c r="W5186">
        <f>IF(D5186=' Pivot Tables'!$A$4,1,0)</f>
        <v>0</v>
      </c>
      <c r="X5186">
        <f>IF(AND(LEFT(D5186,4)+1=LEFT(' Pivot Tables'!$A$4,4)+0,RIGHT(LEFT(D5186,7),2)=RIGHT(LEFT(' Pivot Tables'!$A$4,7),2)),1,0)</f>
        <v>0</v>
      </c>
      <c r="Y5186" s="6">
        <f>1/COUNTIF(Таблица1[Order ID],Таблица1[[#This Row],[Order ID]])</f>
        <v>1</v>
      </c>
      <c r="Z5186" s="9">
        <f>1/COUNTIFS(Таблица1[Customer Name],Таблица1[[#This Row],[Customer Name]],Таблица1[Order-Year-Month],Таблица1[[#This Row],[Order-Year-Month]])</f>
        <v>1</v>
      </c>
    </row>
    <row r="5187" spans="1:26" x14ac:dyDescent="0.2">
      <c r="A5187" s="6">
        <v>5736</v>
      </c>
      <c r="B5187" s="7">
        <v>40708</v>
      </c>
      <c r="C5187" s="8">
        <f>DATE(2012,12,31)-1176</f>
        <v>40098</v>
      </c>
      <c r="D5187" s="8" t="str">
        <f t="shared" ref="D5187:D5250" si="98">TEXT(C5187,"гггг-ММ (ММММ гггг)")</f>
        <v>2009-10 (октябрь 2009)</v>
      </c>
      <c r="E5187" s="9" t="s">
        <v>45</v>
      </c>
      <c r="F5187" s="7">
        <v>15</v>
      </c>
      <c r="G5187" s="7">
        <v>103.55</v>
      </c>
      <c r="H5187" s="7">
        <v>0.03</v>
      </c>
      <c r="I5187" s="9" t="s">
        <v>22</v>
      </c>
      <c r="J5187" s="10">
        <v>19.59</v>
      </c>
      <c r="K5187" s="11">
        <v>6.68</v>
      </c>
      <c r="L5187" s="11">
        <v>1.5</v>
      </c>
      <c r="M5187" s="9" t="s">
        <v>1880</v>
      </c>
      <c r="N5187" s="6" t="s">
        <v>672</v>
      </c>
      <c r="O5187" s="6" t="s">
        <v>673</v>
      </c>
      <c r="P5187" s="9" t="s">
        <v>41</v>
      </c>
      <c r="Q5187" s="9" t="s">
        <v>26</v>
      </c>
      <c r="R5187" s="9" t="s">
        <v>95</v>
      </c>
      <c r="S5187" s="7" t="s">
        <v>609</v>
      </c>
      <c r="T5187" s="9" t="s">
        <v>68</v>
      </c>
      <c r="U5187" s="7">
        <v>0.48</v>
      </c>
      <c r="V5187" s="12">
        <f>C5187+1</f>
        <v>40099</v>
      </c>
      <c r="W5187">
        <f>IF(D5187=' Pivot Tables'!$A$4,1,0)</f>
        <v>0</v>
      </c>
      <c r="X5187">
        <f>IF(AND(LEFT(D5187,4)+1=LEFT(' Pivot Tables'!$A$4,4)+0,RIGHT(LEFT(D5187,7),2)=RIGHT(LEFT(' Pivot Tables'!$A$4,7),2)),1,0)</f>
        <v>0</v>
      </c>
      <c r="Y5187" s="6">
        <f>1/COUNTIF(Таблица1[Order ID],Таблица1[[#This Row],[Order ID]])</f>
        <v>1</v>
      </c>
      <c r="Z5187" s="9">
        <f>1/COUNTIFS(Таблица1[Customer Name],Таблица1[[#This Row],[Customer Name]],Таблица1[Order-Year-Month],Таблица1[[#This Row],[Order-Year-Month]])</f>
        <v>1</v>
      </c>
    </row>
    <row r="5188" spans="1:26" x14ac:dyDescent="0.2">
      <c r="A5188" s="6">
        <v>5772</v>
      </c>
      <c r="B5188" s="7">
        <v>40964</v>
      </c>
      <c r="C5188" s="8">
        <f>DATE(2012,12,31)-588</f>
        <v>40686</v>
      </c>
      <c r="D5188" s="8" t="str">
        <f t="shared" si="98"/>
        <v>2011-05 (май 2011)</v>
      </c>
      <c r="E5188" s="9" t="s">
        <v>78</v>
      </c>
      <c r="F5188" s="7">
        <v>40</v>
      </c>
      <c r="G5188" s="7">
        <v>301.12</v>
      </c>
      <c r="H5188" s="7">
        <v>0</v>
      </c>
      <c r="I5188" s="9" t="s">
        <v>22</v>
      </c>
      <c r="J5188" s="10">
        <v>-206.05</v>
      </c>
      <c r="K5188" s="11">
        <v>6.84</v>
      </c>
      <c r="L5188" s="11">
        <v>8.3699999999999992</v>
      </c>
      <c r="M5188" s="9" t="s">
        <v>1859</v>
      </c>
      <c r="N5188" s="6" t="s">
        <v>672</v>
      </c>
      <c r="O5188" s="6" t="s">
        <v>673</v>
      </c>
      <c r="P5188" s="9" t="s">
        <v>41</v>
      </c>
      <c r="Q5188" s="9" t="s">
        <v>26</v>
      </c>
      <c r="R5188" s="9" t="s">
        <v>150</v>
      </c>
      <c r="S5188" s="7" t="s">
        <v>401</v>
      </c>
      <c r="T5188" s="9" t="s">
        <v>52</v>
      </c>
      <c r="U5188" s="7">
        <v>0.57999999999999996</v>
      </c>
      <c r="V5188" s="12">
        <f>C5188+3</f>
        <v>40689</v>
      </c>
      <c r="W5188">
        <f>IF(D5188=' Pivot Tables'!$A$4,1,0)</f>
        <v>0</v>
      </c>
      <c r="X5188">
        <f>IF(AND(LEFT(D5188,4)+1=LEFT(' Pivot Tables'!$A$4,4)+0,RIGHT(LEFT(D5188,7),2)=RIGHT(LEFT(' Pivot Tables'!$A$4,7),2)),1,0)</f>
        <v>0</v>
      </c>
      <c r="Y5188" s="6">
        <f>1/COUNTIF(Таблица1[Order ID],Таблица1[[#This Row],[Order ID]])</f>
        <v>1</v>
      </c>
      <c r="Z5188" s="9">
        <f>1/COUNTIFS(Таблица1[Customer Name],Таблица1[[#This Row],[Customer Name]],Таблица1[Order-Year-Month],Таблица1[[#This Row],[Order-Year-Month]])</f>
        <v>1</v>
      </c>
    </row>
    <row r="5189" spans="1:26" x14ac:dyDescent="0.2">
      <c r="A5189" s="6">
        <v>5952</v>
      </c>
      <c r="B5189" s="7">
        <v>42243</v>
      </c>
      <c r="C5189" s="8">
        <f>DATE(2012,12,31)-295</f>
        <v>40979</v>
      </c>
      <c r="D5189" s="8" t="str">
        <f t="shared" si="98"/>
        <v>2012-03 (март 2012)</v>
      </c>
      <c r="E5189" s="9" t="s">
        <v>63</v>
      </c>
      <c r="F5189" s="7">
        <v>42</v>
      </c>
      <c r="G5189" s="7">
        <v>1876.09</v>
      </c>
      <c r="H5189" s="7">
        <v>0.02</v>
      </c>
      <c r="I5189" s="9" t="s">
        <v>22</v>
      </c>
      <c r="J5189" s="10">
        <v>809.7355</v>
      </c>
      <c r="K5189" s="11">
        <v>43.41</v>
      </c>
      <c r="L5189" s="11">
        <v>2.99</v>
      </c>
      <c r="M5189" s="9" t="s">
        <v>1678</v>
      </c>
      <c r="N5189" s="6" t="s">
        <v>672</v>
      </c>
      <c r="O5189" s="6" t="s">
        <v>673</v>
      </c>
      <c r="P5189" s="9" t="s">
        <v>25</v>
      </c>
      <c r="Q5189" s="9" t="s">
        <v>26</v>
      </c>
      <c r="R5189" s="9" t="s">
        <v>37</v>
      </c>
      <c r="S5189" s="7" t="s">
        <v>200</v>
      </c>
      <c r="T5189" s="9" t="s">
        <v>39</v>
      </c>
      <c r="U5189" s="7">
        <v>0.39</v>
      </c>
      <c r="V5189" s="12">
        <f>C5189+2</f>
        <v>40981</v>
      </c>
      <c r="W5189">
        <f>IF(D5189=' Pivot Tables'!$A$4,1,0)</f>
        <v>0</v>
      </c>
      <c r="X5189">
        <f>IF(AND(LEFT(D5189,4)+1=LEFT(' Pivot Tables'!$A$4,4)+0,RIGHT(LEFT(D5189,7),2)=RIGHT(LEFT(' Pivot Tables'!$A$4,7),2)),1,0)</f>
        <v>0</v>
      </c>
      <c r="Y5189" s="6">
        <f>1/COUNTIF(Таблица1[Order ID],Таблица1[[#This Row],[Order ID]])</f>
        <v>0.5</v>
      </c>
      <c r="Z5189" s="9">
        <f>1/COUNTIFS(Таблица1[Customer Name],Таблица1[[#This Row],[Customer Name]],Таблица1[Order-Year-Month],Таблица1[[#This Row],[Order-Year-Month]])</f>
        <v>0.33333333333333331</v>
      </c>
    </row>
    <row r="5190" spans="1:26" x14ac:dyDescent="0.2">
      <c r="A5190" s="6">
        <v>5953</v>
      </c>
      <c r="B5190" s="7">
        <v>42243</v>
      </c>
      <c r="C5190" s="8">
        <f>DATE(2012,12,31)-295</f>
        <v>40979</v>
      </c>
      <c r="D5190" s="8" t="str">
        <f t="shared" si="98"/>
        <v>2012-03 (март 2012)</v>
      </c>
      <c r="E5190" s="9" t="s">
        <v>63</v>
      </c>
      <c r="F5190" s="7">
        <v>19</v>
      </c>
      <c r="G5190" s="7">
        <v>145.26</v>
      </c>
      <c r="H5190" s="7">
        <v>0.05</v>
      </c>
      <c r="I5190" s="9" t="s">
        <v>22</v>
      </c>
      <c r="J5190" s="10">
        <v>-35.75</v>
      </c>
      <c r="K5190" s="11">
        <v>7.35</v>
      </c>
      <c r="L5190" s="11">
        <v>5.96</v>
      </c>
      <c r="M5190" s="9" t="s">
        <v>1678</v>
      </c>
      <c r="N5190" s="6" t="s">
        <v>672</v>
      </c>
      <c r="O5190" s="6" t="s">
        <v>673</v>
      </c>
      <c r="P5190" s="9" t="s">
        <v>25</v>
      </c>
      <c r="Q5190" s="9" t="s">
        <v>26</v>
      </c>
      <c r="R5190" s="9" t="s">
        <v>61</v>
      </c>
      <c r="S5190" s="7" t="s">
        <v>1111</v>
      </c>
      <c r="T5190" s="9" t="s">
        <v>39</v>
      </c>
      <c r="U5190" s="7">
        <v>0.38</v>
      </c>
      <c r="V5190" s="12">
        <f>C5190+2</f>
        <v>40981</v>
      </c>
      <c r="W5190">
        <f>IF(D5190=' Pivot Tables'!$A$4,1,0)</f>
        <v>0</v>
      </c>
      <c r="X5190">
        <f>IF(AND(LEFT(D5190,4)+1=LEFT(' Pivot Tables'!$A$4,4)+0,RIGHT(LEFT(D5190,7),2)=RIGHT(LEFT(' Pivot Tables'!$A$4,7),2)),1,0)</f>
        <v>0</v>
      </c>
      <c r="Y5190" s="6">
        <f>1/COUNTIF(Таблица1[Order ID],Таблица1[[#This Row],[Order ID]])</f>
        <v>0.5</v>
      </c>
      <c r="Z5190" s="9">
        <f>1/COUNTIFS(Таблица1[Customer Name],Таблица1[[#This Row],[Customer Name]],Таблица1[Order-Year-Month],Таблица1[[#This Row],[Order-Year-Month]])</f>
        <v>0.33333333333333331</v>
      </c>
    </row>
    <row r="5191" spans="1:26" x14ac:dyDescent="0.2">
      <c r="A5191" s="6">
        <v>5987</v>
      </c>
      <c r="B5191" s="7">
        <v>42437</v>
      </c>
      <c r="C5191" s="8">
        <f>DATE(2012,12,31)-301</f>
        <v>40973</v>
      </c>
      <c r="D5191" s="8" t="str">
        <f t="shared" si="98"/>
        <v>2012-03 (март 2012)</v>
      </c>
      <c r="E5191" s="9" t="s">
        <v>78</v>
      </c>
      <c r="F5191" s="7">
        <v>43</v>
      </c>
      <c r="G5191" s="7">
        <v>19461.8</v>
      </c>
      <c r="H5191" s="7">
        <v>0.06</v>
      </c>
      <c r="I5191" s="9" t="s">
        <v>31</v>
      </c>
      <c r="J5191" s="10">
        <v>7752.01</v>
      </c>
      <c r="K5191" s="11">
        <v>449.99</v>
      </c>
      <c r="L5191" s="11">
        <v>49</v>
      </c>
      <c r="M5191" s="9" t="s">
        <v>1797</v>
      </c>
      <c r="N5191" s="6" t="s">
        <v>672</v>
      </c>
      <c r="O5191" s="6" t="s">
        <v>673</v>
      </c>
      <c r="P5191" s="9" t="s">
        <v>41</v>
      </c>
      <c r="Q5191" s="9" t="s">
        <v>42</v>
      </c>
      <c r="R5191" s="9" t="s">
        <v>99</v>
      </c>
      <c r="S5191" s="7" t="s">
        <v>100</v>
      </c>
      <c r="T5191" s="9" t="s">
        <v>36</v>
      </c>
      <c r="U5191" s="7">
        <v>0.38</v>
      </c>
      <c r="V5191" s="12">
        <f>C5191+2</f>
        <v>40975</v>
      </c>
      <c r="W5191">
        <f>IF(D5191=' Pivot Tables'!$A$4,1,0)</f>
        <v>0</v>
      </c>
      <c r="X5191">
        <f>IF(AND(LEFT(D5191,4)+1=LEFT(' Pivot Tables'!$A$4,4)+0,RIGHT(LEFT(D5191,7),2)=RIGHT(LEFT(' Pivot Tables'!$A$4,7),2)),1,0)</f>
        <v>0</v>
      </c>
      <c r="Y5191" s="6">
        <f>1/COUNTIF(Таблица1[Order ID],Таблица1[[#This Row],[Order ID]])</f>
        <v>0.5</v>
      </c>
      <c r="Z5191" s="9">
        <f>1/COUNTIFS(Таблица1[Customer Name],Таблица1[[#This Row],[Customer Name]],Таблица1[Order-Year-Month],Таблица1[[#This Row],[Order-Year-Month]])</f>
        <v>0.5</v>
      </c>
    </row>
    <row r="5192" spans="1:26" x14ac:dyDescent="0.2">
      <c r="A5192" s="6">
        <v>5988</v>
      </c>
      <c r="B5192" s="7">
        <v>42437</v>
      </c>
      <c r="C5192" s="8">
        <f>DATE(2012,12,31)-301</f>
        <v>40973</v>
      </c>
      <c r="D5192" s="8" t="str">
        <f t="shared" si="98"/>
        <v>2012-03 (март 2012)</v>
      </c>
      <c r="E5192" s="9" t="s">
        <v>78</v>
      </c>
      <c r="F5192" s="7">
        <v>14</v>
      </c>
      <c r="G5192" s="7">
        <v>313.85000000000002</v>
      </c>
      <c r="H5192" s="7">
        <v>0.03</v>
      </c>
      <c r="I5192" s="9" t="s">
        <v>22</v>
      </c>
      <c r="J5192" s="10">
        <v>-31.37</v>
      </c>
      <c r="K5192" s="11">
        <v>21.38</v>
      </c>
      <c r="L5192" s="11">
        <v>8.99</v>
      </c>
      <c r="M5192" s="9" t="s">
        <v>1797</v>
      </c>
      <c r="N5192" s="6" t="s">
        <v>672</v>
      </c>
      <c r="O5192" s="6" t="s">
        <v>673</v>
      </c>
      <c r="P5192" s="9" t="s">
        <v>41</v>
      </c>
      <c r="Q5192" s="9" t="s">
        <v>26</v>
      </c>
      <c r="R5192" s="9" t="s">
        <v>95</v>
      </c>
      <c r="S5192" s="7" t="s">
        <v>436</v>
      </c>
      <c r="T5192" s="9" t="s">
        <v>52</v>
      </c>
      <c r="U5192" s="7">
        <v>0.59</v>
      </c>
      <c r="V5192" s="12">
        <f>C5192+1</f>
        <v>40974</v>
      </c>
      <c r="W5192">
        <f>IF(D5192=' Pivot Tables'!$A$4,1,0)</f>
        <v>0</v>
      </c>
      <c r="X5192">
        <f>IF(AND(LEFT(D5192,4)+1=LEFT(' Pivot Tables'!$A$4,4)+0,RIGHT(LEFT(D5192,7),2)=RIGHT(LEFT(' Pivot Tables'!$A$4,7),2)),1,0)</f>
        <v>0</v>
      </c>
      <c r="Y5192" s="6">
        <f>1/COUNTIF(Таблица1[Order ID],Таблица1[[#This Row],[Order ID]])</f>
        <v>0.5</v>
      </c>
      <c r="Z5192" s="9">
        <f>1/COUNTIFS(Таблица1[Customer Name],Таблица1[[#This Row],[Customer Name]],Таблица1[Order-Year-Month],Таблица1[[#This Row],[Order-Year-Month]])</f>
        <v>0.5</v>
      </c>
    </row>
    <row r="5193" spans="1:26" x14ac:dyDescent="0.2">
      <c r="A5193" s="6">
        <v>6051</v>
      </c>
      <c r="B5193" s="7">
        <v>42887</v>
      </c>
      <c r="C5193" s="8">
        <f>DATE(2012,12,31)-204</f>
        <v>41070</v>
      </c>
      <c r="D5193" s="8" t="str">
        <f t="shared" si="98"/>
        <v>2012-06 (июнь 2012)</v>
      </c>
      <c r="E5193" s="9" t="s">
        <v>63</v>
      </c>
      <c r="F5193" s="7">
        <v>3</v>
      </c>
      <c r="G5193" s="7">
        <v>35.68</v>
      </c>
      <c r="H5193" s="7">
        <v>0.01</v>
      </c>
      <c r="I5193" s="9" t="s">
        <v>22</v>
      </c>
      <c r="J5193" s="10">
        <v>-11.43</v>
      </c>
      <c r="K5193" s="11">
        <v>9.7799999999999994</v>
      </c>
      <c r="L5193" s="11">
        <v>5.76</v>
      </c>
      <c r="M5193" s="9" t="s">
        <v>1879</v>
      </c>
      <c r="N5193" s="6" t="s">
        <v>672</v>
      </c>
      <c r="O5193" s="6" t="s">
        <v>673</v>
      </c>
      <c r="P5193" s="9" t="s">
        <v>33</v>
      </c>
      <c r="Q5193" s="9" t="s">
        <v>26</v>
      </c>
      <c r="R5193" s="9" t="s">
        <v>76</v>
      </c>
      <c r="S5193" s="7" t="s">
        <v>571</v>
      </c>
      <c r="T5193" s="9" t="s">
        <v>39</v>
      </c>
      <c r="U5193" s="7">
        <v>0.35</v>
      </c>
      <c r="V5193" s="12">
        <f>C5193+1</f>
        <v>41071</v>
      </c>
      <c r="W5193">
        <f>IF(D5193=' Pivot Tables'!$A$4,1,0)</f>
        <v>0</v>
      </c>
      <c r="X5193">
        <f>IF(AND(LEFT(D5193,4)+1=LEFT(' Pivot Tables'!$A$4,4)+0,RIGHT(LEFT(D5193,7),2)=RIGHT(LEFT(' Pivot Tables'!$A$4,7),2)),1,0)</f>
        <v>0</v>
      </c>
      <c r="Y5193" s="6">
        <f>1/COUNTIF(Таблица1[Order ID],Таблица1[[#This Row],[Order ID]])</f>
        <v>0.33333333333333331</v>
      </c>
      <c r="Z5193" s="9">
        <f>1/COUNTIFS(Таблица1[Customer Name],Таблица1[[#This Row],[Customer Name]],Таблица1[Order-Year-Month],Таблица1[[#This Row],[Order-Year-Month]])</f>
        <v>0.33333333333333331</v>
      </c>
    </row>
    <row r="5194" spans="1:26" x14ac:dyDescent="0.2">
      <c r="A5194" s="6">
        <v>6052</v>
      </c>
      <c r="B5194" s="7">
        <v>42887</v>
      </c>
      <c r="C5194" s="8">
        <f>DATE(2012,12,31)-204</f>
        <v>41070</v>
      </c>
      <c r="D5194" s="8" t="str">
        <f t="shared" si="98"/>
        <v>2012-06 (июнь 2012)</v>
      </c>
      <c r="E5194" s="9" t="s">
        <v>63</v>
      </c>
      <c r="F5194" s="7">
        <v>11</v>
      </c>
      <c r="G5194" s="7">
        <v>234.76</v>
      </c>
      <c r="H5194" s="7">
        <v>0.04</v>
      </c>
      <c r="I5194" s="9" t="s">
        <v>22</v>
      </c>
      <c r="J5194" s="10">
        <v>-45.65</v>
      </c>
      <c r="K5194" s="11">
        <v>21.38</v>
      </c>
      <c r="L5194" s="11">
        <v>8.99</v>
      </c>
      <c r="M5194" s="9" t="s">
        <v>1879</v>
      </c>
      <c r="N5194" s="6" t="s">
        <v>672</v>
      </c>
      <c r="O5194" s="6" t="s">
        <v>673</v>
      </c>
      <c r="P5194" s="9" t="s">
        <v>33</v>
      </c>
      <c r="Q5194" s="9" t="s">
        <v>26</v>
      </c>
      <c r="R5194" s="9" t="s">
        <v>95</v>
      </c>
      <c r="S5194" s="7" t="s">
        <v>436</v>
      </c>
      <c r="T5194" s="9" t="s">
        <v>52</v>
      </c>
      <c r="U5194" s="7">
        <v>0.59</v>
      </c>
      <c r="V5194" s="12">
        <f>C5194+2</f>
        <v>41072</v>
      </c>
      <c r="W5194">
        <f>IF(D5194=' Pivot Tables'!$A$4,1,0)</f>
        <v>0</v>
      </c>
      <c r="X5194">
        <f>IF(AND(LEFT(D5194,4)+1=LEFT(' Pivot Tables'!$A$4,4)+0,RIGHT(LEFT(D5194,7),2)=RIGHT(LEFT(' Pivot Tables'!$A$4,7),2)),1,0)</f>
        <v>0</v>
      </c>
      <c r="Y5194" s="6">
        <f>1/COUNTIF(Таблица1[Order ID],Таблица1[[#This Row],[Order ID]])</f>
        <v>0.33333333333333331</v>
      </c>
      <c r="Z5194" s="9">
        <f>1/COUNTIFS(Таблица1[Customer Name],Таблица1[[#This Row],[Customer Name]],Таблица1[Order-Year-Month],Таблица1[[#This Row],[Order-Year-Month]])</f>
        <v>0.33333333333333331</v>
      </c>
    </row>
    <row r="5195" spans="1:26" x14ac:dyDescent="0.2">
      <c r="A5195" s="6">
        <v>6053</v>
      </c>
      <c r="B5195" s="7">
        <v>42887</v>
      </c>
      <c r="C5195" s="8">
        <f>DATE(2012,12,31)-204</f>
        <v>41070</v>
      </c>
      <c r="D5195" s="8" t="str">
        <f t="shared" si="98"/>
        <v>2012-06 (июнь 2012)</v>
      </c>
      <c r="E5195" s="9" t="s">
        <v>63</v>
      </c>
      <c r="F5195" s="7">
        <v>3</v>
      </c>
      <c r="G5195" s="7">
        <v>498.49</v>
      </c>
      <c r="H5195" s="7">
        <v>0.01</v>
      </c>
      <c r="I5195" s="9" t="s">
        <v>31</v>
      </c>
      <c r="J5195" s="10">
        <v>-251.41</v>
      </c>
      <c r="K5195" s="11">
        <v>145.97999999999999</v>
      </c>
      <c r="L5195" s="11">
        <v>51.92</v>
      </c>
      <c r="M5195" s="9" t="s">
        <v>1879</v>
      </c>
      <c r="N5195" s="6" t="s">
        <v>672</v>
      </c>
      <c r="O5195" s="6" t="s">
        <v>673</v>
      </c>
      <c r="P5195" s="9" t="s">
        <v>33</v>
      </c>
      <c r="Q5195" s="9" t="s">
        <v>49</v>
      </c>
      <c r="R5195" s="9" t="s">
        <v>83</v>
      </c>
      <c r="S5195" s="7" t="s">
        <v>938</v>
      </c>
      <c r="T5195" s="9" t="s">
        <v>82</v>
      </c>
      <c r="U5195" s="7">
        <v>0.69</v>
      </c>
      <c r="V5195" s="12">
        <f>C5195+2</f>
        <v>41072</v>
      </c>
      <c r="W5195">
        <f>IF(D5195=' Pivot Tables'!$A$4,1,0)</f>
        <v>0</v>
      </c>
      <c r="X5195">
        <f>IF(AND(LEFT(D5195,4)+1=LEFT(' Pivot Tables'!$A$4,4)+0,RIGHT(LEFT(D5195,7),2)=RIGHT(LEFT(' Pivot Tables'!$A$4,7),2)),1,0)</f>
        <v>0</v>
      </c>
      <c r="Y5195" s="6">
        <f>1/COUNTIF(Таблица1[Order ID],Таблица1[[#This Row],[Order ID]])</f>
        <v>0.33333333333333331</v>
      </c>
      <c r="Z5195" s="9">
        <f>1/COUNTIFS(Таблица1[Customer Name],Таблица1[[#This Row],[Customer Name]],Таблица1[Order-Year-Month],Таблица1[[#This Row],[Order-Year-Month]])</f>
        <v>0.33333333333333331</v>
      </c>
    </row>
    <row r="5196" spans="1:26" x14ac:dyDescent="0.2">
      <c r="A5196" s="6">
        <v>6088</v>
      </c>
      <c r="B5196" s="7">
        <v>43137</v>
      </c>
      <c r="C5196" s="8">
        <f>DATE(2012,12,31)-674</f>
        <v>40600</v>
      </c>
      <c r="D5196" s="8" t="str">
        <f t="shared" si="98"/>
        <v>2011-02 (февраль 2011)</v>
      </c>
      <c r="E5196" s="9" t="s">
        <v>30</v>
      </c>
      <c r="F5196" s="7">
        <v>40</v>
      </c>
      <c r="G5196" s="7">
        <v>6069.05</v>
      </c>
      <c r="H5196" s="7">
        <v>0.05</v>
      </c>
      <c r="I5196" s="9" t="s">
        <v>22</v>
      </c>
      <c r="J5196" s="10">
        <v>1816.71</v>
      </c>
      <c r="K5196" s="11">
        <v>155.06</v>
      </c>
      <c r="L5196" s="11">
        <v>7.07</v>
      </c>
      <c r="M5196" s="9" t="s">
        <v>1849</v>
      </c>
      <c r="N5196" s="6" t="s">
        <v>672</v>
      </c>
      <c r="O5196" s="6" t="s">
        <v>673</v>
      </c>
      <c r="P5196" s="9" t="s">
        <v>33</v>
      </c>
      <c r="Q5196" s="9" t="s">
        <v>26</v>
      </c>
      <c r="R5196" s="9" t="s">
        <v>27</v>
      </c>
      <c r="S5196" s="7" t="s">
        <v>502</v>
      </c>
      <c r="T5196" s="9" t="s">
        <v>39</v>
      </c>
      <c r="U5196" s="7">
        <v>0.59</v>
      </c>
      <c r="V5196" s="12">
        <f>C5196+1</f>
        <v>40601</v>
      </c>
      <c r="W5196">
        <f>IF(D5196=' Pivot Tables'!$A$4,1,0)</f>
        <v>0</v>
      </c>
      <c r="X5196">
        <f>IF(AND(LEFT(D5196,4)+1=LEFT(' Pivot Tables'!$A$4,4)+0,RIGHT(LEFT(D5196,7),2)=RIGHT(LEFT(' Pivot Tables'!$A$4,7),2)),1,0)</f>
        <v>0</v>
      </c>
      <c r="Y5196" s="6">
        <f>1/COUNTIF(Таблица1[Order ID],Таблица1[[#This Row],[Order ID]])</f>
        <v>1</v>
      </c>
      <c r="Z5196" s="9">
        <f>1/COUNTIFS(Таблица1[Customer Name],Таблица1[[#This Row],[Customer Name]],Таблица1[Order-Year-Month],Таблица1[[#This Row],[Order-Year-Month]])</f>
        <v>1</v>
      </c>
    </row>
    <row r="5197" spans="1:26" x14ac:dyDescent="0.2">
      <c r="A5197" s="6">
        <v>6151</v>
      </c>
      <c r="B5197" s="7">
        <v>43554</v>
      </c>
      <c r="C5197" s="8">
        <f>DATE(2012,12,31)-1158</f>
        <v>40116</v>
      </c>
      <c r="D5197" s="8" t="str">
        <f t="shared" si="98"/>
        <v>2009-10 (октябрь 2009)</v>
      </c>
      <c r="E5197" s="9" t="s">
        <v>78</v>
      </c>
      <c r="F5197" s="7">
        <v>9</v>
      </c>
      <c r="G5197" s="7">
        <v>34.18</v>
      </c>
      <c r="H5197" s="7">
        <v>0.06</v>
      </c>
      <c r="I5197" s="9" t="s">
        <v>22</v>
      </c>
      <c r="J5197" s="10">
        <v>-5.46</v>
      </c>
      <c r="K5197" s="11">
        <v>3.6</v>
      </c>
      <c r="L5197" s="11">
        <v>2.2000000000000002</v>
      </c>
      <c r="M5197" s="9" t="s">
        <v>1886</v>
      </c>
      <c r="N5197" s="6" t="s">
        <v>672</v>
      </c>
      <c r="O5197" s="6" t="s">
        <v>673</v>
      </c>
      <c r="P5197" s="9" t="s">
        <v>33</v>
      </c>
      <c r="Q5197" s="9" t="s">
        <v>26</v>
      </c>
      <c r="R5197" s="9" t="s">
        <v>61</v>
      </c>
      <c r="S5197" s="7" t="s">
        <v>1365</v>
      </c>
      <c r="T5197" s="9" t="s">
        <v>68</v>
      </c>
      <c r="U5197" s="7">
        <v>0.39</v>
      </c>
      <c r="V5197" s="12">
        <f>C5197+3</f>
        <v>40119</v>
      </c>
      <c r="W5197">
        <f>IF(D5197=' Pivot Tables'!$A$4,1,0)</f>
        <v>0</v>
      </c>
      <c r="X5197">
        <f>IF(AND(LEFT(D5197,4)+1=LEFT(' Pivot Tables'!$A$4,4)+0,RIGHT(LEFT(D5197,7),2)=RIGHT(LEFT(' Pivot Tables'!$A$4,7),2)),1,0)</f>
        <v>0</v>
      </c>
      <c r="Y5197" s="6">
        <f>1/COUNTIF(Таблица1[Order ID],Таблица1[[#This Row],[Order ID]])</f>
        <v>1</v>
      </c>
      <c r="Z5197" s="9">
        <f>1/COUNTIFS(Таблица1[Customer Name],Таблица1[[#This Row],[Customer Name]],Таблица1[Order-Year-Month],Таблица1[[#This Row],[Order-Year-Month]])</f>
        <v>0.5</v>
      </c>
    </row>
    <row r="5198" spans="1:26" x14ac:dyDescent="0.2">
      <c r="A5198" s="6">
        <v>6178</v>
      </c>
      <c r="B5198" s="7">
        <v>43782</v>
      </c>
      <c r="C5198" s="8">
        <f>DATE(2012,12,31)-779</f>
        <v>40495</v>
      </c>
      <c r="D5198" s="8" t="str">
        <f t="shared" si="98"/>
        <v>2010-11 (ноябрь 2010)</v>
      </c>
      <c r="E5198" s="9" t="s">
        <v>63</v>
      </c>
      <c r="F5198" s="7">
        <v>27</v>
      </c>
      <c r="G5198" s="7">
        <v>194.35</v>
      </c>
      <c r="H5198" s="7">
        <v>0</v>
      </c>
      <c r="I5198" s="9" t="s">
        <v>22</v>
      </c>
      <c r="J5198" s="10">
        <v>30.880499999999998</v>
      </c>
      <c r="K5198" s="11">
        <v>6.75</v>
      </c>
      <c r="L5198" s="11">
        <v>2.99</v>
      </c>
      <c r="M5198" s="9" t="s">
        <v>1891</v>
      </c>
      <c r="N5198" s="6" t="s">
        <v>672</v>
      </c>
      <c r="O5198" s="6" t="s">
        <v>673</v>
      </c>
      <c r="P5198" s="9" t="s">
        <v>33</v>
      </c>
      <c r="Q5198" s="9" t="s">
        <v>26</v>
      </c>
      <c r="R5198" s="9" t="s">
        <v>37</v>
      </c>
      <c r="S5198" s="7" t="s">
        <v>362</v>
      </c>
      <c r="T5198" s="9" t="s">
        <v>39</v>
      </c>
      <c r="U5198" s="7">
        <v>0.35</v>
      </c>
      <c r="V5198" s="12">
        <f>C5198+2</f>
        <v>40497</v>
      </c>
      <c r="W5198">
        <f>IF(D5198=' Pivot Tables'!$A$4,1,0)</f>
        <v>0</v>
      </c>
      <c r="X5198">
        <f>IF(AND(LEFT(D5198,4)+1=LEFT(' Pivot Tables'!$A$4,4)+0,RIGHT(LEFT(D5198,7),2)=RIGHT(LEFT(' Pivot Tables'!$A$4,7),2)),1,0)</f>
        <v>0</v>
      </c>
      <c r="Y5198" s="6">
        <f>1/COUNTIF(Таблица1[Order ID],Таблица1[[#This Row],[Order ID]])</f>
        <v>1</v>
      </c>
      <c r="Z5198" s="9">
        <f>1/COUNTIFS(Таблица1[Customer Name],Таблица1[[#This Row],[Customer Name]],Таблица1[Order-Year-Month],Таблица1[[#This Row],[Order-Year-Month]])</f>
        <v>1</v>
      </c>
    </row>
    <row r="5199" spans="1:26" x14ac:dyDescent="0.2">
      <c r="A5199" s="6">
        <v>6195</v>
      </c>
      <c r="B5199" s="7">
        <v>43904</v>
      </c>
      <c r="C5199" s="8">
        <f>DATE(2012,12,31)-975</f>
        <v>40299</v>
      </c>
      <c r="D5199" s="8" t="str">
        <f t="shared" si="98"/>
        <v>2010-05 (май 2010)</v>
      </c>
      <c r="E5199" s="9" t="s">
        <v>45</v>
      </c>
      <c r="F5199" s="7">
        <v>43</v>
      </c>
      <c r="G5199" s="7">
        <v>413.83</v>
      </c>
      <c r="H5199" s="7">
        <v>0.08</v>
      </c>
      <c r="I5199" s="9" t="s">
        <v>22</v>
      </c>
      <c r="J5199" s="10">
        <v>111.74</v>
      </c>
      <c r="K5199" s="11">
        <v>10.01</v>
      </c>
      <c r="L5199" s="11">
        <v>1.99</v>
      </c>
      <c r="M5199" s="9" t="s">
        <v>1552</v>
      </c>
      <c r="N5199" s="6" t="s">
        <v>672</v>
      </c>
      <c r="O5199" s="6" t="s">
        <v>673</v>
      </c>
      <c r="P5199" s="9" t="s">
        <v>25</v>
      </c>
      <c r="Q5199" s="9" t="s">
        <v>42</v>
      </c>
      <c r="R5199" s="9" t="s">
        <v>70</v>
      </c>
      <c r="S5199" s="7" t="s">
        <v>444</v>
      </c>
      <c r="T5199" s="9" t="s">
        <v>52</v>
      </c>
      <c r="U5199" s="7">
        <v>0.41</v>
      </c>
      <c r="V5199" s="12">
        <f>C5199+2</f>
        <v>40301</v>
      </c>
      <c r="W5199">
        <f>IF(D5199=' Pivot Tables'!$A$4,1,0)</f>
        <v>0</v>
      </c>
      <c r="X5199">
        <f>IF(AND(LEFT(D5199,4)+1=LEFT(' Pivot Tables'!$A$4,4)+0,RIGHT(LEFT(D5199,7),2)=RIGHT(LEFT(' Pivot Tables'!$A$4,7),2)),1,0)</f>
        <v>0</v>
      </c>
      <c r="Y5199" s="6">
        <f>1/COUNTIF(Таблица1[Order ID],Таблица1[[#This Row],[Order ID]])</f>
        <v>0.5</v>
      </c>
      <c r="Z5199" s="9">
        <f>1/COUNTIFS(Таблица1[Customer Name],Таблица1[[#This Row],[Customer Name]],Таблица1[Order-Year-Month],Таблица1[[#This Row],[Order-Year-Month]])</f>
        <v>0.33333333333333331</v>
      </c>
    </row>
    <row r="5200" spans="1:26" x14ac:dyDescent="0.2">
      <c r="A5200" s="6">
        <v>6196</v>
      </c>
      <c r="B5200" s="7">
        <v>43904</v>
      </c>
      <c r="C5200" s="8">
        <f>DATE(2012,12,31)-975</f>
        <v>40299</v>
      </c>
      <c r="D5200" s="8" t="str">
        <f t="shared" si="98"/>
        <v>2010-05 (май 2010)</v>
      </c>
      <c r="E5200" s="9" t="s">
        <v>45</v>
      </c>
      <c r="F5200" s="7">
        <v>30</v>
      </c>
      <c r="G5200" s="7">
        <v>3339.65</v>
      </c>
      <c r="H5200" s="7">
        <v>0.01</v>
      </c>
      <c r="I5200" s="9" t="s">
        <v>22</v>
      </c>
      <c r="J5200" s="10">
        <v>788.50800000000004</v>
      </c>
      <c r="K5200" s="11">
        <v>125.99</v>
      </c>
      <c r="L5200" s="11">
        <v>7.69</v>
      </c>
      <c r="M5200" s="9" t="s">
        <v>1552</v>
      </c>
      <c r="N5200" s="6" t="s">
        <v>672</v>
      </c>
      <c r="O5200" s="6" t="s">
        <v>673</v>
      </c>
      <c r="P5200" s="9" t="s">
        <v>25</v>
      </c>
      <c r="Q5200" s="9" t="s">
        <v>42</v>
      </c>
      <c r="R5200" s="9" t="s">
        <v>43</v>
      </c>
      <c r="S5200" s="7" t="s">
        <v>129</v>
      </c>
      <c r="T5200" s="9" t="s">
        <v>39</v>
      </c>
      <c r="U5200" s="7">
        <v>0.57999999999999996</v>
      </c>
      <c r="V5200" s="12">
        <f>C5200+1</f>
        <v>40300</v>
      </c>
      <c r="W5200">
        <f>IF(D5200=' Pivot Tables'!$A$4,1,0)</f>
        <v>0</v>
      </c>
      <c r="X5200">
        <f>IF(AND(LEFT(D5200,4)+1=LEFT(' Pivot Tables'!$A$4,4)+0,RIGHT(LEFT(D5200,7),2)=RIGHT(LEFT(' Pivot Tables'!$A$4,7),2)),1,0)</f>
        <v>0</v>
      </c>
      <c r="Y5200" s="6">
        <f>1/COUNTIF(Таблица1[Order ID],Таблица1[[#This Row],[Order ID]])</f>
        <v>0.5</v>
      </c>
      <c r="Z5200" s="9">
        <f>1/COUNTIFS(Таблица1[Customer Name],Таблица1[[#This Row],[Customer Name]],Таблица1[Order-Year-Month],Таблица1[[#This Row],[Order-Year-Month]])</f>
        <v>0.33333333333333331</v>
      </c>
    </row>
    <row r="5201" spans="1:26" x14ac:dyDescent="0.2">
      <c r="A5201" s="6">
        <v>6197</v>
      </c>
      <c r="B5201" s="7">
        <v>43906</v>
      </c>
      <c r="C5201" s="8">
        <f>DATE(2012,12,31)-327</f>
        <v>40947</v>
      </c>
      <c r="D5201" s="8" t="str">
        <f t="shared" si="98"/>
        <v>2012-02 (февраль 2012)</v>
      </c>
      <c r="E5201" s="9" t="s">
        <v>30</v>
      </c>
      <c r="F5201" s="7">
        <v>50</v>
      </c>
      <c r="G5201" s="7">
        <v>3601.07</v>
      </c>
      <c r="H5201" s="7">
        <v>0.04</v>
      </c>
      <c r="I5201" s="9" t="s">
        <v>22</v>
      </c>
      <c r="J5201" s="10">
        <v>174.8</v>
      </c>
      <c r="K5201" s="11">
        <v>73.98</v>
      </c>
      <c r="L5201" s="11">
        <v>14.52</v>
      </c>
      <c r="M5201" s="9" t="s">
        <v>1846</v>
      </c>
      <c r="N5201" s="6" t="s">
        <v>672</v>
      </c>
      <c r="O5201" s="6" t="s">
        <v>673</v>
      </c>
      <c r="P5201" s="9" t="s">
        <v>41</v>
      </c>
      <c r="Q5201" s="9" t="s">
        <v>42</v>
      </c>
      <c r="R5201" s="9" t="s">
        <v>70</v>
      </c>
      <c r="S5201" s="7" t="s">
        <v>822</v>
      </c>
      <c r="T5201" s="9" t="s">
        <v>39</v>
      </c>
      <c r="U5201" s="7">
        <v>0.65</v>
      </c>
      <c r="V5201" s="12">
        <f>C5201+1</f>
        <v>40948</v>
      </c>
      <c r="W5201">
        <f>IF(D5201=' Pivot Tables'!$A$4,1,0)</f>
        <v>0</v>
      </c>
      <c r="X5201">
        <f>IF(AND(LEFT(D5201,4)+1=LEFT(' Pivot Tables'!$A$4,4)+0,RIGHT(LEFT(D5201,7),2)=RIGHT(LEFT(' Pivot Tables'!$A$4,7),2)),1,0)</f>
        <v>0</v>
      </c>
      <c r="Y5201" s="6">
        <f>1/COUNTIF(Таблица1[Order ID],Таблица1[[#This Row],[Order ID]])</f>
        <v>1</v>
      </c>
      <c r="Z5201" s="9">
        <f>1/COUNTIFS(Таблица1[Customer Name],Таблица1[[#This Row],[Customer Name]],Таблица1[Order-Year-Month],Таблица1[[#This Row],[Order-Year-Month]])</f>
        <v>1</v>
      </c>
    </row>
    <row r="5202" spans="1:26" x14ac:dyDescent="0.2">
      <c r="A5202" s="6">
        <v>6221</v>
      </c>
      <c r="B5202" s="7">
        <v>44064</v>
      </c>
      <c r="C5202" s="8">
        <f>DATE(2012,12,31)-1034</f>
        <v>40240</v>
      </c>
      <c r="D5202" s="8" t="str">
        <f t="shared" si="98"/>
        <v>2010-03 (март 2010)</v>
      </c>
      <c r="E5202" s="9" t="s">
        <v>63</v>
      </c>
      <c r="F5202" s="7">
        <v>43</v>
      </c>
      <c r="G5202" s="7">
        <v>468.48</v>
      </c>
      <c r="H5202" s="7">
        <v>7.0000000000000007E-2</v>
      </c>
      <c r="I5202" s="9" t="s">
        <v>56</v>
      </c>
      <c r="J5202" s="10">
        <v>-213.49</v>
      </c>
      <c r="K5202" s="11">
        <v>11.34</v>
      </c>
      <c r="L5202" s="11">
        <v>11.25</v>
      </c>
      <c r="M5202" s="9" t="s">
        <v>1687</v>
      </c>
      <c r="N5202" s="6" t="s">
        <v>672</v>
      </c>
      <c r="O5202" s="6" t="s">
        <v>673</v>
      </c>
      <c r="P5202" s="9" t="s">
        <v>33</v>
      </c>
      <c r="Q5202" s="9" t="s">
        <v>26</v>
      </c>
      <c r="R5202" s="9" t="s">
        <v>61</v>
      </c>
      <c r="S5202" s="7" t="s">
        <v>1281</v>
      </c>
      <c r="T5202" s="9" t="s">
        <v>39</v>
      </c>
      <c r="U5202" s="7">
        <v>0.36</v>
      </c>
      <c r="V5202" s="12">
        <f>C5202+2</f>
        <v>40242</v>
      </c>
      <c r="W5202">
        <f>IF(D5202=' Pivot Tables'!$A$4,1,0)</f>
        <v>0</v>
      </c>
      <c r="X5202">
        <f>IF(AND(LEFT(D5202,4)+1=LEFT(' Pivot Tables'!$A$4,4)+0,RIGHT(LEFT(D5202,7),2)=RIGHT(LEFT(' Pivot Tables'!$A$4,7),2)),1,0)</f>
        <v>0</v>
      </c>
      <c r="Y5202" s="6">
        <f>1/COUNTIF(Таблица1[Order ID],Таблица1[[#This Row],[Order ID]])</f>
        <v>0.5</v>
      </c>
      <c r="Z5202" s="9">
        <f>1/COUNTIFS(Таблица1[Customer Name],Таблица1[[#This Row],[Customer Name]],Таблица1[Order-Year-Month],Таблица1[[#This Row],[Order-Year-Month]])</f>
        <v>0.5</v>
      </c>
    </row>
    <row r="5203" spans="1:26" x14ac:dyDescent="0.2">
      <c r="A5203" s="6">
        <v>6222</v>
      </c>
      <c r="B5203" s="7">
        <v>44064</v>
      </c>
      <c r="C5203" s="8">
        <f>DATE(2012,12,31)-1034</f>
        <v>40240</v>
      </c>
      <c r="D5203" s="8" t="str">
        <f t="shared" si="98"/>
        <v>2010-03 (март 2010)</v>
      </c>
      <c r="E5203" s="9" t="s">
        <v>63</v>
      </c>
      <c r="F5203" s="7">
        <v>23</v>
      </c>
      <c r="G5203" s="7">
        <v>284.14</v>
      </c>
      <c r="H5203" s="7">
        <v>0.05</v>
      </c>
      <c r="I5203" s="9" t="s">
        <v>22</v>
      </c>
      <c r="J5203" s="10">
        <v>-104.18</v>
      </c>
      <c r="K5203" s="11">
        <v>11.66</v>
      </c>
      <c r="L5203" s="11">
        <v>8.99</v>
      </c>
      <c r="M5203" s="9" t="s">
        <v>1687</v>
      </c>
      <c r="N5203" s="6" t="s">
        <v>672</v>
      </c>
      <c r="O5203" s="6" t="s">
        <v>673</v>
      </c>
      <c r="P5203" s="9" t="s">
        <v>33</v>
      </c>
      <c r="Q5203" s="9" t="s">
        <v>26</v>
      </c>
      <c r="R5203" s="9" t="s">
        <v>95</v>
      </c>
      <c r="S5203" s="7" t="s">
        <v>498</v>
      </c>
      <c r="T5203" s="9" t="s">
        <v>52</v>
      </c>
      <c r="U5203" s="7">
        <v>0.59</v>
      </c>
      <c r="V5203" s="12">
        <f>C5203+3</f>
        <v>40243</v>
      </c>
      <c r="W5203">
        <f>IF(D5203=' Pivot Tables'!$A$4,1,0)</f>
        <v>0</v>
      </c>
      <c r="X5203">
        <f>IF(AND(LEFT(D5203,4)+1=LEFT(' Pivot Tables'!$A$4,4)+0,RIGHT(LEFT(D5203,7),2)=RIGHT(LEFT(' Pivot Tables'!$A$4,7),2)),1,0)</f>
        <v>0</v>
      </c>
      <c r="Y5203" s="6">
        <f>1/COUNTIF(Таблица1[Order ID],Таблица1[[#This Row],[Order ID]])</f>
        <v>0.5</v>
      </c>
      <c r="Z5203" s="9">
        <f>1/COUNTIFS(Таблица1[Customer Name],Таблица1[[#This Row],[Customer Name]],Таблица1[Order-Year-Month],Таблица1[[#This Row],[Order-Year-Month]])</f>
        <v>0.5</v>
      </c>
    </row>
    <row r="5204" spans="1:26" x14ac:dyDescent="0.2">
      <c r="A5204" s="6">
        <v>6240</v>
      </c>
      <c r="B5204" s="7">
        <v>44224</v>
      </c>
      <c r="C5204" s="8">
        <f>DATE(2012,12,31)-875</f>
        <v>40399</v>
      </c>
      <c r="D5204" s="8" t="str">
        <f t="shared" si="98"/>
        <v>2010-08 (август 2010)</v>
      </c>
      <c r="E5204" s="9" t="s">
        <v>30</v>
      </c>
      <c r="F5204" s="7">
        <v>32</v>
      </c>
      <c r="G5204" s="7">
        <v>198.7</v>
      </c>
      <c r="H5204" s="7">
        <v>0.1</v>
      </c>
      <c r="I5204" s="9" t="s">
        <v>22</v>
      </c>
      <c r="J5204" s="10">
        <v>-62.13</v>
      </c>
      <c r="K5204" s="11">
        <v>6.48</v>
      </c>
      <c r="L5204" s="11">
        <v>2.74</v>
      </c>
      <c r="M5204" s="9" t="s">
        <v>1460</v>
      </c>
      <c r="N5204" s="6" t="s">
        <v>672</v>
      </c>
      <c r="O5204" s="6" t="s">
        <v>673</v>
      </c>
      <c r="P5204" s="9" t="s">
        <v>41</v>
      </c>
      <c r="Q5204" s="9" t="s">
        <v>42</v>
      </c>
      <c r="R5204" s="9" t="s">
        <v>70</v>
      </c>
      <c r="S5204" s="7" t="s">
        <v>1141</v>
      </c>
      <c r="T5204" s="9" t="s">
        <v>52</v>
      </c>
      <c r="U5204" s="7">
        <v>0.71</v>
      </c>
      <c r="V5204" s="12">
        <f>C5204+1</f>
        <v>40400</v>
      </c>
      <c r="W5204">
        <f>IF(D5204=' Pivot Tables'!$A$4,1,0)</f>
        <v>0</v>
      </c>
      <c r="X5204">
        <f>IF(AND(LEFT(D5204,4)+1=LEFT(' Pivot Tables'!$A$4,4)+0,RIGHT(LEFT(D5204,7),2)=RIGHT(LEFT(' Pivot Tables'!$A$4,7),2)),1,0)</f>
        <v>0</v>
      </c>
      <c r="Y5204" s="6">
        <f>1/COUNTIF(Таблица1[Order ID],Таблица1[[#This Row],[Order ID]])</f>
        <v>1</v>
      </c>
      <c r="Z5204" s="9">
        <f>1/COUNTIFS(Таблица1[Customer Name],Таблица1[[#This Row],[Customer Name]],Таблица1[Order-Year-Month],Таблица1[[#This Row],[Order-Year-Month]])</f>
        <v>1</v>
      </c>
    </row>
    <row r="5205" spans="1:26" x14ac:dyDescent="0.2">
      <c r="A5205" s="6">
        <v>6264</v>
      </c>
      <c r="B5205" s="7">
        <v>44325</v>
      </c>
      <c r="C5205" s="8">
        <f>DATE(2012,12,31)-1420</f>
        <v>39854</v>
      </c>
      <c r="D5205" s="8" t="str">
        <f t="shared" si="98"/>
        <v>2009-02 (февраль 2009)</v>
      </c>
      <c r="E5205" s="9" t="s">
        <v>63</v>
      </c>
      <c r="F5205" s="7">
        <v>44</v>
      </c>
      <c r="G5205" s="7">
        <v>951.33</v>
      </c>
      <c r="H5205" s="7">
        <v>0</v>
      </c>
      <c r="I5205" s="9" t="s">
        <v>22</v>
      </c>
      <c r="J5205" s="10">
        <v>-60.66</v>
      </c>
      <c r="K5205" s="11">
        <v>20.28</v>
      </c>
      <c r="L5205" s="11">
        <v>14.39</v>
      </c>
      <c r="M5205" s="9" t="s">
        <v>1897</v>
      </c>
      <c r="N5205" s="6" t="s">
        <v>672</v>
      </c>
      <c r="O5205" s="6" t="s">
        <v>673</v>
      </c>
      <c r="P5205" s="9" t="s">
        <v>41</v>
      </c>
      <c r="Q5205" s="9" t="s">
        <v>49</v>
      </c>
      <c r="R5205" s="9" t="s">
        <v>50</v>
      </c>
      <c r="S5205" s="7" t="s">
        <v>894</v>
      </c>
      <c r="T5205" s="9" t="s">
        <v>39</v>
      </c>
      <c r="U5205" s="7">
        <v>0.47</v>
      </c>
      <c r="V5205" s="12">
        <f>C5205+2</f>
        <v>39856</v>
      </c>
      <c r="W5205">
        <f>IF(D5205=' Pivot Tables'!$A$4,1,0)</f>
        <v>0</v>
      </c>
      <c r="X5205">
        <f>IF(AND(LEFT(D5205,4)+1=LEFT(' Pivot Tables'!$A$4,4)+0,RIGHT(LEFT(D5205,7),2)=RIGHT(LEFT(' Pivot Tables'!$A$4,7),2)),1,0)</f>
        <v>0</v>
      </c>
      <c r="Y5205" s="6">
        <f>1/COUNTIF(Таблица1[Order ID],Таблица1[[#This Row],[Order ID]])</f>
        <v>1</v>
      </c>
      <c r="Z5205" s="9">
        <f>1/COUNTIFS(Таблица1[Customer Name],Таблица1[[#This Row],[Customer Name]],Таблица1[Order-Year-Month],Таблица1[[#This Row],[Order-Year-Month]])</f>
        <v>1</v>
      </c>
    </row>
    <row r="5206" spans="1:26" x14ac:dyDescent="0.2">
      <c r="A5206" s="6">
        <v>6274</v>
      </c>
      <c r="B5206" s="7">
        <v>44422</v>
      </c>
      <c r="C5206" s="8">
        <f>DATE(2012,12,31)-262</f>
        <v>41012</v>
      </c>
      <c r="D5206" s="8" t="str">
        <f t="shared" si="98"/>
        <v>2012-04 (апрель 2012)</v>
      </c>
      <c r="E5206" s="9" t="s">
        <v>63</v>
      </c>
      <c r="F5206" s="7">
        <v>1</v>
      </c>
      <c r="G5206" s="7">
        <v>15.72</v>
      </c>
      <c r="H5206" s="7">
        <v>0</v>
      </c>
      <c r="I5206" s="9" t="s">
        <v>22</v>
      </c>
      <c r="J5206" s="10">
        <v>-6.1</v>
      </c>
      <c r="K5206" s="11">
        <v>10.89</v>
      </c>
      <c r="L5206" s="11">
        <v>4.5</v>
      </c>
      <c r="M5206" s="9" t="s">
        <v>1848</v>
      </c>
      <c r="N5206" s="6" t="s">
        <v>672</v>
      </c>
      <c r="O5206" s="6" t="s">
        <v>673</v>
      </c>
      <c r="P5206" s="9" t="s">
        <v>41</v>
      </c>
      <c r="Q5206" s="9" t="s">
        <v>26</v>
      </c>
      <c r="R5206" s="9" t="s">
        <v>34</v>
      </c>
      <c r="S5206" s="7" t="s">
        <v>345</v>
      </c>
      <c r="T5206" s="9" t="s">
        <v>39</v>
      </c>
      <c r="U5206" s="7">
        <v>0.59</v>
      </c>
      <c r="V5206" s="12">
        <f>C5206+2</f>
        <v>41014</v>
      </c>
      <c r="W5206">
        <f>IF(D5206=' Pivot Tables'!$A$4,1,0)</f>
        <v>0</v>
      </c>
      <c r="X5206">
        <f>IF(AND(LEFT(D5206,4)+1=LEFT(' Pivot Tables'!$A$4,4)+0,RIGHT(LEFT(D5206,7),2)=RIGHT(LEFT(' Pivot Tables'!$A$4,7),2)),1,0)</f>
        <v>0</v>
      </c>
      <c r="Y5206" s="6">
        <f>1/COUNTIF(Таблица1[Order ID],Таблица1[[#This Row],[Order ID]])</f>
        <v>0.33333333333333331</v>
      </c>
      <c r="Z5206" s="9">
        <f>1/COUNTIFS(Таблица1[Customer Name],Таблица1[[#This Row],[Customer Name]],Таблица1[Order-Year-Month],Таблица1[[#This Row],[Order-Year-Month]])</f>
        <v>0.33333333333333331</v>
      </c>
    </row>
    <row r="5207" spans="1:26" x14ac:dyDescent="0.2">
      <c r="A5207" s="6">
        <v>6275</v>
      </c>
      <c r="B5207" s="7">
        <v>44422</v>
      </c>
      <c r="C5207" s="8">
        <f>DATE(2012,12,31)-262</f>
        <v>41012</v>
      </c>
      <c r="D5207" s="8" t="str">
        <f t="shared" si="98"/>
        <v>2012-04 (апрель 2012)</v>
      </c>
      <c r="E5207" s="9" t="s">
        <v>63</v>
      </c>
      <c r="F5207" s="7">
        <v>36</v>
      </c>
      <c r="G5207" s="7">
        <v>313.83</v>
      </c>
      <c r="H5207" s="7">
        <v>0.08</v>
      </c>
      <c r="I5207" s="9" t="s">
        <v>22</v>
      </c>
      <c r="J5207" s="10">
        <v>56.78</v>
      </c>
      <c r="K5207" s="11">
        <v>8.69</v>
      </c>
      <c r="L5207" s="11">
        <v>2.99</v>
      </c>
      <c r="M5207" s="9" t="s">
        <v>1848</v>
      </c>
      <c r="N5207" s="6" t="s">
        <v>672</v>
      </c>
      <c r="O5207" s="6" t="s">
        <v>673</v>
      </c>
      <c r="P5207" s="9" t="s">
        <v>41</v>
      </c>
      <c r="Q5207" s="9" t="s">
        <v>26</v>
      </c>
      <c r="R5207" s="9" t="s">
        <v>37</v>
      </c>
      <c r="S5207" s="7" t="s">
        <v>38</v>
      </c>
      <c r="T5207" s="9" t="s">
        <v>39</v>
      </c>
      <c r="U5207" s="7">
        <v>0.39</v>
      </c>
      <c r="V5207" s="12">
        <f>C5207+2</f>
        <v>41014</v>
      </c>
      <c r="W5207">
        <f>IF(D5207=' Pivot Tables'!$A$4,1,0)</f>
        <v>0</v>
      </c>
      <c r="X5207">
        <f>IF(AND(LEFT(D5207,4)+1=LEFT(' Pivot Tables'!$A$4,4)+0,RIGHT(LEFT(D5207,7),2)=RIGHT(LEFT(' Pivot Tables'!$A$4,7),2)),1,0)</f>
        <v>0</v>
      </c>
      <c r="Y5207" s="6">
        <f>1/COUNTIF(Таблица1[Order ID],Таблица1[[#This Row],[Order ID]])</f>
        <v>0.33333333333333331</v>
      </c>
      <c r="Z5207" s="9">
        <f>1/COUNTIFS(Таблица1[Customer Name],Таблица1[[#This Row],[Customer Name]],Таблица1[Order-Year-Month],Таблица1[[#This Row],[Order-Year-Month]])</f>
        <v>0.33333333333333331</v>
      </c>
    </row>
    <row r="5208" spans="1:26" x14ac:dyDescent="0.2">
      <c r="A5208" s="6">
        <v>6276</v>
      </c>
      <c r="B5208" s="7">
        <v>44422</v>
      </c>
      <c r="C5208" s="8">
        <f>DATE(2012,12,31)-262</f>
        <v>41012</v>
      </c>
      <c r="D5208" s="8" t="str">
        <f t="shared" si="98"/>
        <v>2012-04 (апрель 2012)</v>
      </c>
      <c r="E5208" s="9" t="s">
        <v>63</v>
      </c>
      <c r="F5208" s="7">
        <v>11</v>
      </c>
      <c r="G5208" s="7">
        <v>201.59449999999998</v>
      </c>
      <c r="H5208" s="7">
        <v>0.04</v>
      </c>
      <c r="I5208" s="9" t="s">
        <v>22</v>
      </c>
      <c r="J5208" s="10">
        <v>32.31</v>
      </c>
      <c r="K5208" s="11">
        <v>20.99</v>
      </c>
      <c r="L5208" s="11">
        <v>0.99</v>
      </c>
      <c r="M5208" s="9" t="s">
        <v>1848</v>
      </c>
      <c r="N5208" s="6" t="s">
        <v>672</v>
      </c>
      <c r="O5208" s="6" t="s">
        <v>673</v>
      </c>
      <c r="P5208" s="9" t="s">
        <v>41</v>
      </c>
      <c r="Q5208" s="9" t="s">
        <v>42</v>
      </c>
      <c r="R5208" s="9" t="s">
        <v>43</v>
      </c>
      <c r="S5208" s="7" t="s">
        <v>272</v>
      </c>
      <c r="T5208" s="9" t="s">
        <v>68</v>
      </c>
      <c r="U5208" s="7">
        <v>0.37</v>
      </c>
      <c r="V5208" s="12">
        <f>C5208+2</f>
        <v>41014</v>
      </c>
      <c r="W5208">
        <f>IF(D5208=' Pivot Tables'!$A$4,1,0)</f>
        <v>0</v>
      </c>
      <c r="X5208">
        <f>IF(AND(LEFT(D5208,4)+1=LEFT(' Pivot Tables'!$A$4,4)+0,RIGHT(LEFT(D5208,7),2)=RIGHT(LEFT(' Pivot Tables'!$A$4,7),2)),1,0)</f>
        <v>0</v>
      </c>
      <c r="Y5208" s="6">
        <f>1/COUNTIF(Таблица1[Order ID],Таблица1[[#This Row],[Order ID]])</f>
        <v>0.33333333333333331</v>
      </c>
      <c r="Z5208" s="9">
        <f>1/COUNTIFS(Таблица1[Customer Name],Таблица1[[#This Row],[Customer Name]],Таблица1[Order-Year-Month],Таблица1[[#This Row],[Order-Year-Month]])</f>
        <v>0.33333333333333331</v>
      </c>
    </row>
    <row r="5209" spans="1:26" x14ac:dyDescent="0.2">
      <c r="A5209" s="6">
        <v>6300</v>
      </c>
      <c r="B5209" s="7">
        <v>44609</v>
      </c>
      <c r="C5209" s="8">
        <f>DATE(2012,12,31)-562</f>
        <v>40712</v>
      </c>
      <c r="D5209" s="8" t="str">
        <f t="shared" si="98"/>
        <v>2011-06 (июнь 2011)</v>
      </c>
      <c r="E5209" s="9" t="s">
        <v>21</v>
      </c>
      <c r="F5209" s="7">
        <v>28</v>
      </c>
      <c r="G5209" s="7">
        <v>525.4</v>
      </c>
      <c r="H5209" s="7">
        <v>0.08</v>
      </c>
      <c r="I5209" s="9" t="s">
        <v>22</v>
      </c>
      <c r="J5209" s="10">
        <v>126.49</v>
      </c>
      <c r="K5209" s="11">
        <v>19.84</v>
      </c>
      <c r="L5209" s="11">
        <v>4.0999999999999996</v>
      </c>
      <c r="M5209" s="9" t="s">
        <v>1552</v>
      </c>
      <c r="N5209" s="6" t="s">
        <v>672</v>
      </c>
      <c r="O5209" s="6" t="s">
        <v>673</v>
      </c>
      <c r="P5209" s="9" t="s">
        <v>25</v>
      </c>
      <c r="Q5209" s="9" t="s">
        <v>26</v>
      </c>
      <c r="R5209" s="9" t="s">
        <v>95</v>
      </c>
      <c r="S5209" s="7" t="s">
        <v>195</v>
      </c>
      <c r="T5209" s="9" t="s">
        <v>68</v>
      </c>
      <c r="U5209" s="7">
        <v>0.44</v>
      </c>
      <c r="V5209" s="12">
        <f>C5209+5</f>
        <v>40717</v>
      </c>
      <c r="W5209">
        <f>IF(D5209=' Pivot Tables'!$A$4,1,0)</f>
        <v>0</v>
      </c>
      <c r="X5209">
        <f>IF(AND(LEFT(D5209,4)+1=LEFT(' Pivot Tables'!$A$4,4)+0,RIGHT(LEFT(D5209,7),2)=RIGHT(LEFT(' Pivot Tables'!$A$4,7),2)),1,0)</f>
        <v>0</v>
      </c>
      <c r="Y5209" s="6">
        <f>1/COUNTIF(Таблица1[Order ID],Таблица1[[#This Row],[Order ID]])</f>
        <v>0.5</v>
      </c>
      <c r="Z5209" s="9">
        <f>1/COUNTIFS(Таблица1[Customer Name],Таблица1[[#This Row],[Customer Name]],Таблица1[Order-Year-Month],Таблица1[[#This Row],[Order-Year-Month]])</f>
        <v>0.5</v>
      </c>
    </row>
    <row r="5210" spans="1:26" x14ac:dyDescent="0.2">
      <c r="A5210" s="6">
        <v>6301</v>
      </c>
      <c r="B5210" s="7">
        <v>44609</v>
      </c>
      <c r="C5210" s="8">
        <f>DATE(2012,12,31)-562</f>
        <v>40712</v>
      </c>
      <c r="D5210" s="8" t="str">
        <f t="shared" si="98"/>
        <v>2011-06 (июнь 2011)</v>
      </c>
      <c r="E5210" s="9" t="s">
        <v>21</v>
      </c>
      <c r="F5210" s="7">
        <v>37</v>
      </c>
      <c r="G5210" s="7">
        <v>61.77</v>
      </c>
      <c r="H5210" s="7">
        <v>0.04</v>
      </c>
      <c r="I5210" s="9" t="s">
        <v>56</v>
      </c>
      <c r="J5210" s="10">
        <v>12.65</v>
      </c>
      <c r="K5210" s="11">
        <v>1.48</v>
      </c>
      <c r="L5210" s="11">
        <v>0.7</v>
      </c>
      <c r="M5210" s="9" t="s">
        <v>1552</v>
      </c>
      <c r="N5210" s="6" t="s">
        <v>672</v>
      </c>
      <c r="O5210" s="6" t="s">
        <v>673</v>
      </c>
      <c r="P5210" s="9" t="s">
        <v>25</v>
      </c>
      <c r="Q5210" s="9" t="s">
        <v>26</v>
      </c>
      <c r="R5210" s="9" t="s">
        <v>66</v>
      </c>
      <c r="S5210" s="7" t="s">
        <v>623</v>
      </c>
      <c r="T5210" s="9" t="s">
        <v>68</v>
      </c>
      <c r="U5210" s="7">
        <v>0.37</v>
      </c>
      <c r="V5210" s="12">
        <f>C5210+4</f>
        <v>40716</v>
      </c>
      <c r="W5210">
        <f>IF(D5210=' Pivot Tables'!$A$4,1,0)</f>
        <v>0</v>
      </c>
      <c r="X5210">
        <f>IF(AND(LEFT(D5210,4)+1=LEFT(' Pivot Tables'!$A$4,4)+0,RIGHT(LEFT(D5210,7),2)=RIGHT(LEFT(' Pivot Tables'!$A$4,7),2)),1,0)</f>
        <v>0</v>
      </c>
      <c r="Y5210" s="6">
        <f>1/COUNTIF(Таблица1[Order ID],Таблица1[[#This Row],[Order ID]])</f>
        <v>0.5</v>
      </c>
      <c r="Z5210" s="9">
        <f>1/COUNTIFS(Таблица1[Customer Name],Таблица1[[#This Row],[Customer Name]],Таблица1[Order-Year-Month],Таблица1[[#This Row],[Order-Year-Month]])</f>
        <v>0.5</v>
      </c>
    </row>
    <row r="5211" spans="1:26" x14ac:dyDescent="0.2">
      <c r="A5211" s="6">
        <v>6339</v>
      </c>
      <c r="B5211" s="7">
        <v>44935</v>
      </c>
      <c r="C5211" s="8">
        <f>DATE(2012,12,31)-775</f>
        <v>40499</v>
      </c>
      <c r="D5211" s="8" t="str">
        <f t="shared" si="98"/>
        <v>2010-11 (ноябрь 2010)</v>
      </c>
      <c r="E5211" s="9" t="s">
        <v>30</v>
      </c>
      <c r="F5211" s="7">
        <v>37</v>
      </c>
      <c r="G5211" s="7">
        <v>99.65</v>
      </c>
      <c r="H5211" s="7">
        <v>0.01</v>
      </c>
      <c r="I5211" s="9" t="s">
        <v>22</v>
      </c>
      <c r="J5211" s="10">
        <v>27</v>
      </c>
      <c r="K5211" s="11">
        <v>2.62</v>
      </c>
      <c r="L5211" s="11">
        <v>0.8</v>
      </c>
      <c r="M5211" s="9" t="s">
        <v>1718</v>
      </c>
      <c r="N5211" s="6" t="s">
        <v>672</v>
      </c>
      <c r="O5211" s="6" t="s">
        <v>673</v>
      </c>
      <c r="P5211" s="9" t="s">
        <v>33</v>
      </c>
      <c r="Q5211" s="9" t="s">
        <v>26</v>
      </c>
      <c r="R5211" s="9" t="s">
        <v>66</v>
      </c>
      <c r="S5211" s="7" t="s">
        <v>861</v>
      </c>
      <c r="T5211" s="9" t="s">
        <v>68</v>
      </c>
      <c r="U5211" s="7">
        <v>0.39</v>
      </c>
      <c r="V5211" s="12">
        <f>C5211+3</f>
        <v>40502</v>
      </c>
      <c r="W5211">
        <f>IF(D5211=' Pivot Tables'!$A$4,1,0)</f>
        <v>0</v>
      </c>
      <c r="X5211">
        <f>IF(AND(LEFT(D5211,4)+1=LEFT(' Pivot Tables'!$A$4,4)+0,RIGHT(LEFT(D5211,7),2)=RIGHT(LEFT(' Pivot Tables'!$A$4,7),2)),1,0)</f>
        <v>0</v>
      </c>
      <c r="Y5211" s="6">
        <f>1/COUNTIF(Таблица1[Order ID],Таблица1[[#This Row],[Order ID]])</f>
        <v>0.33333333333333331</v>
      </c>
      <c r="Z5211" s="9">
        <f>1/COUNTIFS(Таблица1[Customer Name],Таблица1[[#This Row],[Customer Name]],Таблица1[Order-Year-Month],Таблица1[[#This Row],[Order-Year-Month]])</f>
        <v>0.33333333333333331</v>
      </c>
    </row>
    <row r="5212" spans="1:26" x14ac:dyDescent="0.2">
      <c r="A5212" s="6">
        <v>6361</v>
      </c>
      <c r="B5212" s="7">
        <v>45127</v>
      </c>
      <c r="C5212" s="8">
        <f>DATE(2012,12,31)-1</f>
        <v>41273</v>
      </c>
      <c r="D5212" s="8" t="str">
        <f t="shared" si="98"/>
        <v>2012-12 (декабрь 2012)</v>
      </c>
      <c r="E5212" s="9" t="s">
        <v>63</v>
      </c>
      <c r="F5212" s="7">
        <v>10</v>
      </c>
      <c r="G5212" s="7">
        <v>14.15</v>
      </c>
      <c r="H5212" s="7">
        <v>0.1</v>
      </c>
      <c r="I5212" s="9" t="s">
        <v>22</v>
      </c>
      <c r="J5212" s="10">
        <v>-1.29</v>
      </c>
      <c r="K5212" s="11">
        <v>1.48</v>
      </c>
      <c r="L5212" s="11">
        <v>0.7</v>
      </c>
      <c r="M5212" s="9" t="s">
        <v>1687</v>
      </c>
      <c r="N5212" s="6" t="s">
        <v>672</v>
      </c>
      <c r="O5212" s="6" t="s">
        <v>673</v>
      </c>
      <c r="P5212" s="9" t="s">
        <v>33</v>
      </c>
      <c r="Q5212" s="9" t="s">
        <v>26</v>
      </c>
      <c r="R5212" s="9" t="s">
        <v>66</v>
      </c>
      <c r="S5212" s="7" t="s">
        <v>623</v>
      </c>
      <c r="T5212" s="9" t="s">
        <v>68</v>
      </c>
      <c r="U5212" s="7">
        <v>0.37</v>
      </c>
      <c r="V5212" s="12">
        <f>C5212+0</f>
        <v>41273</v>
      </c>
      <c r="W5212">
        <f>IF(D5212=' Pivot Tables'!$A$4,1,0)</f>
        <v>0</v>
      </c>
      <c r="X5212">
        <f>IF(AND(LEFT(D5212,4)+1=LEFT(' Pivot Tables'!$A$4,4)+0,RIGHT(LEFT(D5212,7),2)=RIGHT(LEFT(' Pivot Tables'!$A$4,7),2)),1,0)</f>
        <v>0</v>
      </c>
      <c r="Y5212" s="6">
        <f>1/COUNTIF(Таблица1[Order ID],Таблица1[[#This Row],[Order ID]])</f>
        <v>1</v>
      </c>
      <c r="Z5212" s="9">
        <f>1/COUNTIFS(Таблица1[Customer Name],Таблица1[[#This Row],[Customer Name]],Таблица1[Order-Year-Month],Таблица1[[#This Row],[Order-Year-Month]])</f>
        <v>1</v>
      </c>
    </row>
    <row r="5213" spans="1:26" x14ac:dyDescent="0.2">
      <c r="A5213" s="6">
        <v>6398</v>
      </c>
      <c r="B5213" s="7">
        <v>45413</v>
      </c>
      <c r="C5213" s="8">
        <f>DATE(2012,12,31)-937</f>
        <v>40337</v>
      </c>
      <c r="D5213" s="8" t="str">
        <f t="shared" si="98"/>
        <v>2010-06 (июнь 2010)</v>
      </c>
      <c r="E5213" s="9" t="s">
        <v>30</v>
      </c>
      <c r="F5213" s="7">
        <v>18</v>
      </c>
      <c r="G5213" s="7">
        <v>85.74</v>
      </c>
      <c r="H5213" s="7">
        <v>0.03</v>
      </c>
      <c r="I5213" s="9" t="s">
        <v>22</v>
      </c>
      <c r="J5213" s="10">
        <v>-73.5655</v>
      </c>
      <c r="K5213" s="11">
        <v>4.38</v>
      </c>
      <c r="L5213" s="11">
        <v>6.21</v>
      </c>
      <c r="M5213" s="9" t="s">
        <v>1462</v>
      </c>
      <c r="N5213" s="6" t="s">
        <v>672</v>
      </c>
      <c r="O5213" s="6" t="s">
        <v>673</v>
      </c>
      <c r="P5213" s="9" t="s">
        <v>25</v>
      </c>
      <c r="Q5213" s="9" t="s">
        <v>26</v>
      </c>
      <c r="R5213" s="9" t="s">
        <v>37</v>
      </c>
      <c r="S5213" s="7" t="s">
        <v>1898</v>
      </c>
      <c r="T5213" s="9" t="s">
        <v>39</v>
      </c>
      <c r="U5213" s="7">
        <v>0.37</v>
      </c>
      <c r="V5213" s="12">
        <f>C5213+1</f>
        <v>40338</v>
      </c>
      <c r="W5213">
        <f>IF(D5213=' Pivot Tables'!$A$4,1,0)</f>
        <v>0</v>
      </c>
      <c r="X5213">
        <f>IF(AND(LEFT(D5213,4)+1=LEFT(' Pivot Tables'!$A$4,4)+0,RIGHT(LEFT(D5213,7),2)=RIGHT(LEFT(' Pivot Tables'!$A$4,7),2)),1,0)</f>
        <v>0</v>
      </c>
      <c r="Y5213" s="6">
        <f>1/COUNTIF(Таблица1[Order ID],Таблица1[[#This Row],[Order ID]])</f>
        <v>0.33333333333333331</v>
      </c>
      <c r="Z5213" s="9">
        <f>1/COUNTIFS(Таблица1[Customer Name],Таблица1[[#This Row],[Customer Name]],Таблица1[Order-Year-Month],Таблица1[[#This Row],[Order-Year-Month]])</f>
        <v>0.25</v>
      </c>
    </row>
    <row r="5214" spans="1:26" x14ac:dyDescent="0.2">
      <c r="A5214" s="6">
        <v>6399</v>
      </c>
      <c r="B5214" s="7">
        <v>45413</v>
      </c>
      <c r="C5214" s="8">
        <f>DATE(2012,12,31)-937</f>
        <v>40337</v>
      </c>
      <c r="D5214" s="8" t="str">
        <f t="shared" si="98"/>
        <v>2010-06 (июнь 2010)</v>
      </c>
      <c r="E5214" s="9" t="s">
        <v>30</v>
      </c>
      <c r="F5214" s="7">
        <v>17</v>
      </c>
      <c r="G5214" s="7">
        <v>2031.98</v>
      </c>
      <c r="H5214" s="7">
        <v>0.05</v>
      </c>
      <c r="I5214" s="9" t="s">
        <v>22</v>
      </c>
      <c r="J5214" s="10">
        <v>778.6</v>
      </c>
      <c r="K5214" s="11">
        <v>120.98</v>
      </c>
      <c r="L5214" s="11">
        <v>9.07</v>
      </c>
      <c r="M5214" s="9" t="s">
        <v>1462</v>
      </c>
      <c r="N5214" s="6" t="s">
        <v>672</v>
      </c>
      <c r="O5214" s="6" t="s">
        <v>673</v>
      </c>
      <c r="P5214" s="9" t="s">
        <v>25</v>
      </c>
      <c r="Q5214" s="9" t="s">
        <v>26</v>
      </c>
      <c r="R5214" s="9" t="s">
        <v>37</v>
      </c>
      <c r="S5214" s="7" t="s">
        <v>477</v>
      </c>
      <c r="T5214" s="9" t="s">
        <v>39</v>
      </c>
      <c r="U5214" s="7">
        <v>0.35</v>
      </c>
      <c r="V5214" s="12">
        <f>C5214+1</f>
        <v>40338</v>
      </c>
      <c r="W5214">
        <f>IF(D5214=' Pivot Tables'!$A$4,1,0)</f>
        <v>0</v>
      </c>
      <c r="X5214">
        <f>IF(AND(LEFT(D5214,4)+1=LEFT(' Pivot Tables'!$A$4,4)+0,RIGHT(LEFT(D5214,7),2)=RIGHT(LEFT(' Pivot Tables'!$A$4,7),2)),1,0)</f>
        <v>0</v>
      </c>
      <c r="Y5214" s="6">
        <f>1/COUNTIF(Таблица1[Order ID],Таблица1[[#This Row],[Order ID]])</f>
        <v>0.33333333333333331</v>
      </c>
      <c r="Z5214" s="9">
        <f>1/COUNTIFS(Таблица1[Customer Name],Таблица1[[#This Row],[Customer Name]],Таблица1[Order-Year-Month],Таблица1[[#This Row],[Order-Year-Month]])</f>
        <v>0.25</v>
      </c>
    </row>
    <row r="5215" spans="1:26" x14ac:dyDescent="0.2">
      <c r="A5215" s="6">
        <v>6400</v>
      </c>
      <c r="B5215" s="7">
        <v>45413</v>
      </c>
      <c r="C5215" s="8">
        <f>DATE(2012,12,31)-937</f>
        <v>40337</v>
      </c>
      <c r="D5215" s="8" t="str">
        <f t="shared" si="98"/>
        <v>2010-06 (июнь 2010)</v>
      </c>
      <c r="E5215" s="9" t="s">
        <v>30</v>
      </c>
      <c r="F5215" s="7">
        <v>24</v>
      </c>
      <c r="G5215" s="7">
        <v>131.94</v>
      </c>
      <c r="H5215" s="7">
        <v>0.04</v>
      </c>
      <c r="I5215" s="9" t="s">
        <v>22</v>
      </c>
      <c r="J5215" s="10">
        <v>2.3205</v>
      </c>
      <c r="K5215" s="11">
        <v>5.28</v>
      </c>
      <c r="L5215" s="11">
        <v>2.99</v>
      </c>
      <c r="M5215" s="9" t="s">
        <v>1462</v>
      </c>
      <c r="N5215" s="6" t="s">
        <v>672</v>
      </c>
      <c r="O5215" s="6" t="s">
        <v>673</v>
      </c>
      <c r="P5215" s="9" t="s">
        <v>25</v>
      </c>
      <c r="Q5215" s="9" t="s">
        <v>26</v>
      </c>
      <c r="R5215" s="9" t="s">
        <v>37</v>
      </c>
      <c r="S5215" s="7" t="s">
        <v>73</v>
      </c>
      <c r="T5215" s="9" t="s">
        <v>39</v>
      </c>
      <c r="U5215" s="7">
        <v>0.37</v>
      </c>
      <c r="V5215" s="12">
        <f>C5215+0</f>
        <v>40337</v>
      </c>
      <c r="W5215">
        <f>IF(D5215=' Pivot Tables'!$A$4,1,0)</f>
        <v>0</v>
      </c>
      <c r="X5215">
        <f>IF(AND(LEFT(D5215,4)+1=LEFT(' Pivot Tables'!$A$4,4)+0,RIGHT(LEFT(D5215,7),2)=RIGHT(LEFT(' Pivot Tables'!$A$4,7),2)),1,0)</f>
        <v>0</v>
      </c>
      <c r="Y5215" s="6">
        <f>1/COUNTIF(Таблица1[Order ID],Таблица1[[#This Row],[Order ID]])</f>
        <v>0.33333333333333331</v>
      </c>
      <c r="Z5215" s="9">
        <f>1/COUNTIFS(Таблица1[Customer Name],Таблица1[[#This Row],[Customer Name]],Таблица1[Order-Year-Month],Таблица1[[#This Row],[Order-Year-Month]])</f>
        <v>0.25</v>
      </c>
    </row>
    <row r="5216" spans="1:26" x14ac:dyDescent="0.2">
      <c r="A5216" s="6">
        <v>6412</v>
      </c>
      <c r="B5216" s="7">
        <v>45571</v>
      </c>
      <c r="C5216" s="8">
        <f>DATE(2012,12,31)-99</f>
        <v>41175</v>
      </c>
      <c r="D5216" s="8" t="str">
        <f t="shared" si="98"/>
        <v>2012-09 (сентябрь 2012)</v>
      </c>
      <c r="E5216" s="9" t="s">
        <v>63</v>
      </c>
      <c r="F5216" s="7">
        <v>43</v>
      </c>
      <c r="G5216" s="7">
        <v>528.53</v>
      </c>
      <c r="H5216" s="7">
        <v>0.05</v>
      </c>
      <c r="I5216" s="9" t="s">
        <v>22</v>
      </c>
      <c r="J5216" s="10">
        <v>-7.24</v>
      </c>
      <c r="K5216" s="11">
        <v>12.21</v>
      </c>
      <c r="L5216" s="11">
        <v>4.8099999999999996</v>
      </c>
      <c r="M5216" s="9" t="s">
        <v>1891</v>
      </c>
      <c r="N5216" s="6" t="s">
        <v>672</v>
      </c>
      <c r="O5216" s="6" t="s">
        <v>673</v>
      </c>
      <c r="P5216" s="9" t="s">
        <v>33</v>
      </c>
      <c r="Q5216" s="9" t="s">
        <v>26</v>
      </c>
      <c r="R5216" s="9" t="s">
        <v>27</v>
      </c>
      <c r="S5216" s="7" t="s">
        <v>396</v>
      </c>
      <c r="T5216" s="9" t="s">
        <v>39</v>
      </c>
      <c r="U5216" s="7">
        <v>0.57999999999999996</v>
      </c>
      <c r="V5216" s="12">
        <f>C5216+1</f>
        <v>41176</v>
      </c>
      <c r="W5216">
        <f>IF(D5216=' Pivot Tables'!$A$4,1,0)</f>
        <v>0</v>
      </c>
      <c r="X5216">
        <f>IF(AND(LEFT(D5216,4)+1=LEFT(' Pivot Tables'!$A$4,4)+0,RIGHT(LEFT(D5216,7),2)=RIGHT(LEFT(' Pivot Tables'!$A$4,7),2)),1,0)</f>
        <v>0</v>
      </c>
      <c r="Y5216" s="6">
        <f>1/COUNTIF(Таблица1[Order ID],Таблица1[[#This Row],[Order ID]])</f>
        <v>0.33333333333333331</v>
      </c>
      <c r="Z5216" s="9">
        <f>1/COUNTIFS(Таблица1[Customer Name],Таблица1[[#This Row],[Customer Name]],Таблица1[Order-Year-Month],Таблица1[[#This Row],[Order-Year-Month]])</f>
        <v>0.33333333333333331</v>
      </c>
    </row>
    <row r="5217" spans="1:26" x14ac:dyDescent="0.2">
      <c r="A5217" s="6">
        <v>6413</v>
      </c>
      <c r="B5217" s="7">
        <v>45571</v>
      </c>
      <c r="C5217" s="8">
        <f>DATE(2012,12,31)-99</f>
        <v>41175</v>
      </c>
      <c r="D5217" s="8" t="str">
        <f t="shared" si="98"/>
        <v>2012-09 (сентябрь 2012)</v>
      </c>
      <c r="E5217" s="9" t="s">
        <v>63</v>
      </c>
      <c r="F5217" s="7">
        <v>47</v>
      </c>
      <c r="G5217" s="7">
        <v>5975.0495000000001</v>
      </c>
      <c r="H5217" s="7">
        <v>0.06</v>
      </c>
      <c r="I5217" s="9" t="s">
        <v>22</v>
      </c>
      <c r="J5217" s="10">
        <v>1417.23</v>
      </c>
      <c r="K5217" s="11">
        <v>155.99</v>
      </c>
      <c r="L5217" s="11">
        <v>8.99</v>
      </c>
      <c r="M5217" s="9" t="s">
        <v>1891</v>
      </c>
      <c r="N5217" s="6" t="s">
        <v>672</v>
      </c>
      <c r="O5217" s="6" t="s">
        <v>673</v>
      </c>
      <c r="P5217" s="9" t="s">
        <v>33</v>
      </c>
      <c r="Q5217" s="9" t="s">
        <v>42</v>
      </c>
      <c r="R5217" s="9" t="s">
        <v>43</v>
      </c>
      <c r="S5217" s="7" t="s">
        <v>87</v>
      </c>
      <c r="T5217" s="9" t="s">
        <v>39</v>
      </c>
      <c r="U5217" s="7">
        <v>0.57999999999999996</v>
      </c>
      <c r="V5217" s="12">
        <f>C5217+2</f>
        <v>41177</v>
      </c>
      <c r="W5217">
        <f>IF(D5217=' Pivot Tables'!$A$4,1,0)</f>
        <v>0</v>
      </c>
      <c r="X5217">
        <f>IF(AND(LEFT(D5217,4)+1=LEFT(' Pivot Tables'!$A$4,4)+0,RIGHT(LEFT(D5217,7),2)=RIGHT(LEFT(' Pivot Tables'!$A$4,7),2)),1,0)</f>
        <v>0</v>
      </c>
      <c r="Y5217" s="6">
        <f>1/COUNTIF(Таблица1[Order ID],Таблица1[[#This Row],[Order ID]])</f>
        <v>0.33333333333333331</v>
      </c>
      <c r="Z5217" s="9">
        <f>1/COUNTIFS(Таблица1[Customer Name],Таблица1[[#This Row],[Customer Name]],Таблица1[Order-Year-Month],Таблица1[[#This Row],[Order-Year-Month]])</f>
        <v>0.33333333333333331</v>
      </c>
    </row>
    <row r="5218" spans="1:26" x14ac:dyDescent="0.2">
      <c r="A5218" s="6">
        <v>6414</v>
      </c>
      <c r="B5218" s="7">
        <v>45571</v>
      </c>
      <c r="C5218" s="8">
        <f>DATE(2012,12,31)-99</f>
        <v>41175</v>
      </c>
      <c r="D5218" s="8" t="str">
        <f t="shared" si="98"/>
        <v>2012-09 (сентябрь 2012)</v>
      </c>
      <c r="E5218" s="9" t="s">
        <v>63</v>
      </c>
      <c r="F5218" s="7">
        <v>44</v>
      </c>
      <c r="G5218" s="7">
        <v>720.52</v>
      </c>
      <c r="H5218" s="7">
        <v>0.1</v>
      </c>
      <c r="I5218" s="9" t="s">
        <v>22</v>
      </c>
      <c r="J5218" s="10">
        <v>-36.792299999999997</v>
      </c>
      <c r="K5218" s="11">
        <v>17.98</v>
      </c>
      <c r="L5218" s="11">
        <v>8.51</v>
      </c>
      <c r="M5218" s="9" t="s">
        <v>1891</v>
      </c>
      <c r="N5218" s="6" t="s">
        <v>672</v>
      </c>
      <c r="O5218" s="6" t="s">
        <v>673</v>
      </c>
      <c r="P5218" s="9" t="s">
        <v>33</v>
      </c>
      <c r="Q5218" s="9" t="s">
        <v>42</v>
      </c>
      <c r="R5218" s="9" t="s">
        <v>210</v>
      </c>
      <c r="S5218" s="7" t="s">
        <v>277</v>
      </c>
      <c r="T5218" s="9" t="s">
        <v>48</v>
      </c>
      <c r="U5218" s="7">
        <v>0.4</v>
      </c>
      <c r="V5218" s="12">
        <f>C5218+2</f>
        <v>41177</v>
      </c>
      <c r="W5218">
        <f>IF(D5218=' Pivot Tables'!$A$4,1,0)</f>
        <v>0</v>
      </c>
      <c r="X5218">
        <f>IF(AND(LEFT(D5218,4)+1=LEFT(' Pivot Tables'!$A$4,4)+0,RIGHT(LEFT(D5218,7),2)=RIGHT(LEFT(' Pivot Tables'!$A$4,7),2)),1,0)</f>
        <v>0</v>
      </c>
      <c r="Y5218" s="6">
        <f>1/COUNTIF(Таблица1[Order ID],Таблица1[[#This Row],[Order ID]])</f>
        <v>0.33333333333333331</v>
      </c>
      <c r="Z5218" s="9">
        <f>1/COUNTIFS(Таблица1[Customer Name],Таблица1[[#This Row],[Customer Name]],Таблица1[Order-Year-Month],Таблица1[[#This Row],[Order-Year-Month]])</f>
        <v>0.33333333333333331</v>
      </c>
    </row>
    <row r="5219" spans="1:26" x14ac:dyDescent="0.2">
      <c r="A5219" s="6">
        <v>6416</v>
      </c>
      <c r="B5219" s="7">
        <v>45575</v>
      </c>
      <c r="C5219" s="8">
        <f>DATE(2012,12,31)-263</f>
        <v>41011</v>
      </c>
      <c r="D5219" s="8" t="str">
        <f t="shared" si="98"/>
        <v>2012-04 (апрель 2012)</v>
      </c>
      <c r="E5219" s="9" t="s">
        <v>78</v>
      </c>
      <c r="F5219" s="7">
        <v>46</v>
      </c>
      <c r="G5219" s="7">
        <v>3849.17</v>
      </c>
      <c r="H5219" s="7">
        <v>0.06</v>
      </c>
      <c r="I5219" s="9" t="s">
        <v>22</v>
      </c>
      <c r="J5219" s="10">
        <v>1982.78</v>
      </c>
      <c r="K5219" s="11">
        <v>83.98</v>
      </c>
      <c r="L5219" s="11">
        <v>5.01</v>
      </c>
      <c r="M5219" s="9" t="s">
        <v>1462</v>
      </c>
      <c r="N5219" s="6" t="s">
        <v>672</v>
      </c>
      <c r="O5219" s="6" t="s">
        <v>673</v>
      </c>
      <c r="P5219" s="9" t="s">
        <v>25</v>
      </c>
      <c r="Q5219" s="9" t="s">
        <v>26</v>
      </c>
      <c r="R5219" s="9" t="s">
        <v>76</v>
      </c>
      <c r="S5219" s="7" t="s">
        <v>955</v>
      </c>
      <c r="T5219" s="9" t="s">
        <v>39</v>
      </c>
      <c r="U5219" s="7">
        <v>0.38</v>
      </c>
      <c r="V5219" s="12">
        <f>C5219+0</f>
        <v>41011</v>
      </c>
      <c r="W5219">
        <f>IF(D5219=' Pivot Tables'!$A$4,1,0)</f>
        <v>0</v>
      </c>
      <c r="X5219">
        <f>IF(AND(LEFT(D5219,4)+1=LEFT(' Pivot Tables'!$A$4,4)+0,RIGHT(LEFT(D5219,7),2)=RIGHT(LEFT(' Pivot Tables'!$A$4,7),2)),1,0)</f>
        <v>0</v>
      </c>
      <c r="Y5219" s="6">
        <f>1/COUNTIF(Таблица1[Order ID],Таблица1[[#This Row],[Order ID]])</f>
        <v>1</v>
      </c>
      <c r="Z5219" s="9">
        <f>1/COUNTIFS(Таблица1[Customer Name],Таблица1[[#This Row],[Customer Name]],Таблица1[Order-Year-Month],Таблица1[[#This Row],[Order-Year-Month]])</f>
        <v>1</v>
      </c>
    </row>
    <row r="5220" spans="1:26" x14ac:dyDescent="0.2">
      <c r="A5220" s="6">
        <v>6442</v>
      </c>
      <c r="B5220" s="7">
        <v>45794</v>
      </c>
      <c r="C5220" s="8">
        <f>DATE(2012,12,31)-464</f>
        <v>40810</v>
      </c>
      <c r="D5220" s="8" t="str">
        <f t="shared" si="98"/>
        <v>2011-09 (сентябрь 2011)</v>
      </c>
      <c r="E5220" s="9" t="s">
        <v>78</v>
      </c>
      <c r="F5220" s="7">
        <v>28</v>
      </c>
      <c r="G5220" s="7">
        <v>1208.3499999999999</v>
      </c>
      <c r="H5220" s="7">
        <v>0</v>
      </c>
      <c r="I5220" s="9" t="s">
        <v>22</v>
      </c>
      <c r="J5220" s="10">
        <v>145.54</v>
      </c>
      <c r="K5220" s="11">
        <v>39.99</v>
      </c>
      <c r="L5220" s="11">
        <v>10.25</v>
      </c>
      <c r="M5220" s="9" t="s">
        <v>1891</v>
      </c>
      <c r="N5220" s="6" t="s">
        <v>672</v>
      </c>
      <c r="O5220" s="6" t="s">
        <v>673</v>
      </c>
      <c r="P5220" s="9" t="s">
        <v>33</v>
      </c>
      <c r="Q5220" s="9" t="s">
        <v>42</v>
      </c>
      <c r="R5220" s="9" t="s">
        <v>70</v>
      </c>
      <c r="S5220" s="7" t="s">
        <v>577</v>
      </c>
      <c r="T5220" s="9" t="s">
        <v>39</v>
      </c>
      <c r="U5220" s="7">
        <v>0.55000000000000004</v>
      </c>
      <c r="V5220" s="12">
        <f>C5220+2</f>
        <v>40812</v>
      </c>
      <c r="W5220">
        <f>IF(D5220=' Pivot Tables'!$A$4,1,0)</f>
        <v>0</v>
      </c>
      <c r="X5220">
        <f>IF(AND(LEFT(D5220,4)+1=LEFT(' Pivot Tables'!$A$4,4)+0,RIGHT(LEFT(D5220,7),2)=RIGHT(LEFT(' Pivot Tables'!$A$4,7),2)),1,0)</f>
        <v>0</v>
      </c>
      <c r="Y5220" s="6">
        <f>1/COUNTIF(Таблица1[Order ID],Таблица1[[#This Row],[Order ID]])</f>
        <v>1</v>
      </c>
      <c r="Z5220" s="9">
        <f>1/COUNTIFS(Таблица1[Customer Name],Таблица1[[#This Row],[Customer Name]],Таблица1[Order-Year-Month],Таблица1[[#This Row],[Order-Year-Month]])</f>
        <v>1</v>
      </c>
    </row>
    <row r="5221" spans="1:26" x14ac:dyDescent="0.2">
      <c r="A5221" s="6">
        <v>6445</v>
      </c>
      <c r="B5221" s="7">
        <v>45860</v>
      </c>
      <c r="C5221" s="8">
        <f>DATE(2012,12,31)-141</f>
        <v>41133</v>
      </c>
      <c r="D5221" s="8" t="str">
        <f t="shared" si="98"/>
        <v>2012-08 (август 2012)</v>
      </c>
      <c r="E5221" s="9" t="s">
        <v>21</v>
      </c>
      <c r="F5221" s="7">
        <v>12</v>
      </c>
      <c r="G5221" s="7">
        <v>69.97</v>
      </c>
      <c r="H5221" s="7">
        <v>0.01</v>
      </c>
      <c r="I5221" s="9" t="s">
        <v>22</v>
      </c>
      <c r="J5221" s="10">
        <v>24.25</v>
      </c>
      <c r="K5221" s="11">
        <v>5.43</v>
      </c>
      <c r="L5221" s="11">
        <v>0.95</v>
      </c>
      <c r="M5221" s="9" t="s">
        <v>1435</v>
      </c>
      <c r="N5221" s="6" t="s">
        <v>672</v>
      </c>
      <c r="O5221" s="6" t="s">
        <v>673</v>
      </c>
      <c r="P5221" s="9" t="s">
        <v>33</v>
      </c>
      <c r="Q5221" s="9" t="s">
        <v>26</v>
      </c>
      <c r="R5221" s="9" t="s">
        <v>61</v>
      </c>
      <c r="S5221" s="7" t="s">
        <v>588</v>
      </c>
      <c r="T5221" s="9" t="s">
        <v>68</v>
      </c>
      <c r="U5221" s="7">
        <v>0.36</v>
      </c>
      <c r="V5221" s="12">
        <f>C5221+0</f>
        <v>41133</v>
      </c>
      <c r="W5221">
        <f>IF(D5221=' Pivot Tables'!$A$4,1,0)</f>
        <v>0</v>
      </c>
      <c r="X5221">
        <f>IF(AND(LEFT(D5221,4)+1=LEFT(' Pivot Tables'!$A$4,4)+0,RIGHT(LEFT(D5221,7),2)=RIGHT(LEFT(' Pivot Tables'!$A$4,7),2)),1,0)</f>
        <v>0</v>
      </c>
      <c r="Y5221" s="6">
        <f>1/COUNTIF(Таблица1[Order ID],Таблица1[[#This Row],[Order ID]])</f>
        <v>1</v>
      </c>
      <c r="Z5221" s="9">
        <f>1/COUNTIFS(Таблица1[Customer Name],Таблица1[[#This Row],[Customer Name]],Таблица1[Order-Year-Month],Таблица1[[#This Row],[Order-Year-Month]])</f>
        <v>1</v>
      </c>
    </row>
    <row r="5222" spans="1:26" x14ac:dyDescent="0.2">
      <c r="A5222" s="6">
        <v>6464</v>
      </c>
      <c r="B5222" s="7">
        <v>46021</v>
      </c>
      <c r="C5222" s="8">
        <f>DATE(2012,12,31)-1400</f>
        <v>39874</v>
      </c>
      <c r="D5222" s="8" t="str">
        <f t="shared" si="98"/>
        <v>2009-03 (март 2009)</v>
      </c>
      <c r="E5222" s="9" t="s">
        <v>30</v>
      </c>
      <c r="F5222" s="7">
        <v>1</v>
      </c>
      <c r="G5222" s="7">
        <v>199.48</v>
      </c>
      <c r="H5222" s="7">
        <v>0.08</v>
      </c>
      <c r="I5222" s="9" t="s">
        <v>31</v>
      </c>
      <c r="J5222" s="10">
        <v>-120.24</v>
      </c>
      <c r="K5222" s="11">
        <v>170.98</v>
      </c>
      <c r="L5222" s="11">
        <v>35.89</v>
      </c>
      <c r="M5222" s="9" t="s">
        <v>1687</v>
      </c>
      <c r="N5222" s="6" t="s">
        <v>672</v>
      </c>
      <c r="O5222" s="6" t="s">
        <v>673</v>
      </c>
      <c r="P5222" s="9" t="s">
        <v>25</v>
      </c>
      <c r="Q5222" s="9" t="s">
        <v>49</v>
      </c>
      <c r="R5222" s="9" t="s">
        <v>80</v>
      </c>
      <c r="S5222" s="7" t="s">
        <v>964</v>
      </c>
      <c r="T5222" s="9" t="s">
        <v>82</v>
      </c>
      <c r="U5222" s="7">
        <v>0.66</v>
      </c>
      <c r="V5222" s="12">
        <f>C5222+2</f>
        <v>39876</v>
      </c>
      <c r="W5222">
        <f>IF(D5222=' Pivot Tables'!$A$4,1,0)</f>
        <v>0</v>
      </c>
      <c r="X5222">
        <f>IF(AND(LEFT(D5222,4)+1=LEFT(' Pivot Tables'!$A$4,4)+0,RIGHT(LEFT(D5222,7),2)=RIGHT(LEFT(' Pivot Tables'!$A$4,7),2)),1,0)</f>
        <v>0</v>
      </c>
      <c r="Y5222" s="6">
        <f>1/COUNTIF(Таблица1[Order ID],Таблица1[[#This Row],[Order ID]])</f>
        <v>1</v>
      </c>
      <c r="Z5222" s="9">
        <f>1/COUNTIFS(Таблица1[Customer Name],Таблица1[[#This Row],[Customer Name]],Таблица1[Order-Year-Month],Таблица1[[#This Row],[Order-Year-Month]])</f>
        <v>1</v>
      </c>
    </row>
    <row r="5223" spans="1:26" x14ac:dyDescent="0.2">
      <c r="A5223" s="6">
        <v>6483</v>
      </c>
      <c r="B5223" s="7">
        <v>46147</v>
      </c>
      <c r="C5223" s="8">
        <f>DATE(2012,12,31)-716</f>
        <v>40558</v>
      </c>
      <c r="D5223" s="8" t="str">
        <f t="shared" si="98"/>
        <v>2011-01 (январь 2011)</v>
      </c>
      <c r="E5223" s="9" t="s">
        <v>78</v>
      </c>
      <c r="F5223" s="7">
        <v>37</v>
      </c>
      <c r="G5223" s="7">
        <v>925.8</v>
      </c>
      <c r="H5223" s="7">
        <v>0.01</v>
      </c>
      <c r="I5223" s="9" t="s">
        <v>22</v>
      </c>
      <c r="J5223" s="10">
        <v>30.684999999999999</v>
      </c>
      <c r="K5223" s="11">
        <v>24.92</v>
      </c>
      <c r="L5223" s="11">
        <v>12.98</v>
      </c>
      <c r="M5223" s="9" t="s">
        <v>1855</v>
      </c>
      <c r="N5223" s="6" t="s">
        <v>672</v>
      </c>
      <c r="O5223" s="6" t="s">
        <v>673</v>
      </c>
      <c r="P5223" s="9" t="s">
        <v>41</v>
      </c>
      <c r="Q5223" s="9" t="s">
        <v>26</v>
      </c>
      <c r="R5223" s="9" t="s">
        <v>37</v>
      </c>
      <c r="S5223" s="7" t="s">
        <v>319</v>
      </c>
      <c r="T5223" s="9" t="s">
        <v>39</v>
      </c>
      <c r="U5223" s="7">
        <v>0.39</v>
      </c>
      <c r="V5223" s="12">
        <f>C5223+2</f>
        <v>40560</v>
      </c>
      <c r="W5223">
        <f>IF(D5223=' Pivot Tables'!$A$4,1,0)</f>
        <v>0</v>
      </c>
      <c r="X5223">
        <f>IF(AND(LEFT(D5223,4)+1=LEFT(' Pivot Tables'!$A$4,4)+0,RIGHT(LEFT(D5223,7),2)=RIGHT(LEFT(' Pivot Tables'!$A$4,7),2)),1,0)</f>
        <v>0</v>
      </c>
      <c r="Y5223" s="6">
        <f>1/COUNTIF(Таблица1[Order ID],Таблица1[[#This Row],[Order ID]])</f>
        <v>0.33333333333333331</v>
      </c>
      <c r="Z5223" s="9">
        <f>1/COUNTIFS(Таблица1[Customer Name],Таблица1[[#This Row],[Customer Name]],Таблица1[Order-Year-Month],Таблица1[[#This Row],[Order-Year-Month]])</f>
        <v>0.2</v>
      </c>
    </row>
    <row r="5224" spans="1:26" x14ac:dyDescent="0.2">
      <c r="A5224" s="6">
        <v>6484</v>
      </c>
      <c r="B5224" s="7">
        <v>46147</v>
      </c>
      <c r="C5224" s="8">
        <f>DATE(2012,12,31)-716</f>
        <v>40558</v>
      </c>
      <c r="D5224" s="8" t="str">
        <f t="shared" si="98"/>
        <v>2011-01 (январь 2011)</v>
      </c>
      <c r="E5224" s="9" t="s">
        <v>78</v>
      </c>
      <c r="F5224" s="7">
        <v>39</v>
      </c>
      <c r="G5224" s="7">
        <v>282.48</v>
      </c>
      <c r="H5224" s="7">
        <v>0.08</v>
      </c>
      <c r="I5224" s="9" t="s">
        <v>56</v>
      </c>
      <c r="J5224" s="10">
        <v>-87.009</v>
      </c>
      <c r="K5224" s="11">
        <v>7.1</v>
      </c>
      <c r="L5224" s="11">
        <v>6.05</v>
      </c>
      <c r="M5224" s="9" t="s">
        <v>1855</v>
      </c>
      <c r="N5224" s="6" t="s">
        <v>672</v>
      </c>
      <c r="O5224" s="6" t="s">
        <v>673</v>
      </c>
      <c r="P5224" s="9" t="s">
        <v>41</v>
      </c>
      <c r="Q5224" s="9" t="s">
        <v>26</v>
      </c>
      <c r="R5224" s="9" t="s">
        <v>37</v>
      </c>
      <c r="S5224" s="7" t="s">
        <v>435</v>
      </c>
      <c r="T5224" s="9" t="s">
        <v>39</v>
      </c>
      <c r="U5224" s="7">
        <v>0.39</v>
      </c>
      <c r="V5224" s="12">
        <f>C5224+2</f>
        <v>40560</v>
      </c>
      <c r="W5224">
        <f>IF(D5224=' Pivot Tables'!$A$4,1,0)</f>
        <v>0</v>
      </c>
      <c r="X5224">
        <f>IF(AND(LEFT(D5224,4)+1=LEFT(' Pivot Tables'!$A$4,4)+0,RIGHT(LEFT(D5224,7),2)=RIGHT(LEFT(' Pivot Tables'!$A$4,7),2)),1,0)</f>
        <v>0</v>
      </c>
      <c r="Y5224" s="6">
        <f>1/COUNTIF(Таблица1[Order ID],Таблица1[[#This Row],[Order ID]])</f>
        <v>0.33333333333333331</v>
      </c>
      <c r="Z5224" s="9">
        <f>1/COUNTIFS(Таблица1[Customer Name],Таблица1[[#This Row],[Customer Name]],Таблица1[Order-Year-Month],Таблица1[[#This Row],[Order-Year-Month]])</f>
        <v>0.2</v>
      </c>
    </row>
    <row r="5225" spans="1:26" x14ac:dyDescent="0.2">
      <c r="A5225" s="6">
        <v>6485</v>
      </c>
      <c r="B5225" s="7">
        <v>46147</v>
      </c>
      <c r="C5225" s="8">
        <f>DATE(2012,12,31)-716</f>
        <v>40558</v>
      </c>
      <c r="D5225" s="8" t="str">
        <f t="shared" si="98"/>
        <v>2011-01 (январь 2011)</v>
      </c>
      <c r="E5225" s="9" t="s">
        <v>78</v>
      </c>
      <c r="F5225" s="7">
        <v>12</v>
      </c>
      <c r="G5225" s="7">
        <v>6502.46</v>
      </c>
      <c r="H5225" s="7">
        <v>0.09</v>
      </c>
      <c r="I5225" s="9" t="s">
        <v>31</v>
      </c>
      <c r="J5225" s="10">
        <v>261.66000000000003</v>
      </c>
      <c r="K5225" s="11">
        <v>550.98</v>
      </c>
      <c r="L5225" s="11">
        <v>64.59</v>
      </c>
      <c r="M5225" s="9" t="s">
        <v>1855</v>
      </c>
      <c r="N5225" s="6" t="s">
        <v>672</v>
      </c>
      <c r="O5225" s="6" t="s">
        <v>673</v>
      </c>
      <c r="P5225" s="9" t="s">
        <v>41</v>
      </c>
      <c r="Q5225" s="9" t="s">
        <v>49</v>
      </c>
      <c r="R5225" s="9" t="s">
        <v>83</v>
      </c>
      <c r="S5225" s="7" t="s">
        <v>628</v>
      </c>
      <c r="T5225" s="9" t="s">
        <v>82</v>
      </c>
      <c r="U5225" s="7">
        <v>0.66</v>
      </c>
      <c r="V5225" s="12">
        <f>C5225+2</f>
        <v>40560</v>
      </c>
      <c r="W5225">
        <f>IF(D5225=' Pivot Tables'!$A$4,1,0)</f>
        <v>0</v>
      </c>
      <c r="X5225">
        <f>IF(AND(LEFT(D5225,4)+1=LEFT(' Pivot Tables'!$A$4,4)+0,RIGHT(LEFT(D5225,7),2)=RIGHT(LEFT(' Pivot Tables'!$A$4,7),2)),1,0)</f>
        <v>0</v>
      </c>
      <c r="Y5225" s="6">
        <f>1/COUNTIF(Таблица1[Order ID],Таблица1[[#This Row],[Order ID]])</f>
        <v>0.33333333333333331</v>
      </c>
      <c r="Z5225" s="9">
        <f>1/COUNTIFS(Таблица1[Customer Name],Таблица1[[#This Row],[Customer Name]],Таблица1[Order-Year-Month],Таблица1[[#This Row],[Order-Year-Month]])</f>
        <v>0.2</v>
      </c>
    </row>
    <row r="5226" spans="1:26" x14ac:dyDescent="0.2">
      <c r="A5226" s="6">
        <v>6490</v>
      </c>
      <c r="B5226" s="7">
        <v>46211</v>
      </c>
      <c r="C5226" s="8">
        <f>DATE(2012,12,31)-934</f>
        <v>40340</v>
      </c>
      <c r="D5226" s="8" t="str">
        <f t="shared" si="98"/>
        <v>2010-06 (июнь 2010)</v>
      </c>
      <c r="E5226" s="9" t="s">
        <v>21</v>
      </c>
      <c r="F5226" s="7">
        <v>47</v>
      </c>
      <c r="G5226" s="7">
        <v>1243.52</v>
      </c>
      <c r="H5226" s="7">
        <v>0.08</v>
      </c>
      <c r="I5226" s="9" t="s">
        <v>22</v>
      </c>
      <c r="J5226" s="10">
        <v>360.94</v>
      </c>
      <c r="K5226" s="11">
        <v>26.48</v>
      </c>
      <c r="L5226" s="11">
        <v>6.93</v>
      </c>
      <c r="M5226" s="9" t="s">
        <v>1869</v>
      </c>
      <c r="N5226" s="6" t="s">
        <v>672</v>
      </c>
      <c r="O5226" s="6" t="s">
        <v>673</v>
      </c>
      <c r="P5226" s="9" t="s">
        <v>60</v>
      </c>
      <c r="Q5226" s="9" t="s">
        <v>49</v>
      </c>
      <c r="R5226" s="9" t="s">
        <v>50</v>
      </c>
      <c r="S5226" s="7" t="s">
        <v>649</v>
      </c>
      <c r="T5226" s="9" t="s">
        <v>39</v>
      </c>
      <c r="U5226" s="7">
        <v>0.49</v>
      </c>
      <c r="V5226" s="12">
        <f>C5226+7</f>
        <v>40347</v>
      </c>
      <c r="W5226">
        <f>IF(D5226=' Pivot Tables'!$A$4,1,0)</f>
        <v>0</v>
      </c>
      <c r="X5226">
        <f>IF(AND(LEFT(D5226,4)+1=LEFT(' Pivot Tables'!$A$4,4)+0,RIGHT(LEFT(D5226,7),2)=RIGHT(LEFT(' Pivot Tables'!$A$4,7),2)),1,0)</f>
        <v>0</v>
      </c>
      <c r="Y5226" s="6">
        <f>1/COUNTIF(Таблица1[Order ID],Таблица1[[#This Row],[Order ID]])</f>
        <v>1</v>
      </c>
      <c r="Z5226" s="9">
        <f>1/COUNTIFS(Таблица1[Customer Name],Таблица1[[#This Row],[Customer Name]],Таблица1[Order-Year-Month],Таблица1[[#This Row],[Order-Year-Month]])</f>
        <v>0.5</v>
      </c>
    </row>
    <row r="5227" spans="1:26" x14ac:dyDescent="0.2">
      <c r="A5227" s="6">
        <v>6493</v>
      </c>
      <c r="B5227" s="7">
        <v>46241</v>
      </c>
      <c r="C5227" s="8">
        <f>DATE(2012,12,31)-1388</f>
        <v>39886</v>
      </c>
      <c r="D5227" s="8" t="str">
        <f t="shared" si="98"/>
        <v>2009-03 (март 2009)</v>
      </c>
      <c r="E5227" s="9" t="s">
        <v>45</v>
      </c>
      <c r="F5227" s="7">
        <v>34</v>
      </c>
      <c r="G5227" s="7">
        <v>1932.58</v>
      </c>
      <c r="H5227" s="7">
        <v>0.1</v>
      </c>
      <c r="I5227" s="9" t="s">
        <v>22</v>
      </c>
      <c r="J5227" s="10">
        <v>356.48</v>
      </c>
      <c r="K5227" s="11">
        <v>62.18</v>
      </c>
      <c r="L5227" s="11">
        <v>10.84</v>
      </c>
      <c r="M5227" s="9" t="s">
        <v>1881</v>
      </c>
      <c r="N5227" s="6" t="s">
        <v>672</v>
      </c>
      <c r="O5227" s="6" t="s">
        <v>673</v>
      </c>
      <c r="P5227" s="9" t="s">
        <v>33</v>
      </c>
      <c r="Q5227" s="9" t="s">
        <v>49</v>
      </c>
      <c r="R5227" s="9" t="s">
        <v>50</v>
      </c>
      <c r="S5227" s="7" t="s">
        <v>1113</v>
      </c>
      <c r="T5227" s="9" t="s">
        <v>48</v>
      </c>
      <c r="U5227" s="7">
        <v>0.63</v>
      </c>
      <c r="V5227" s="12">
        <f>C5227+2</f>
        <v>39888</v>
      </c>
      <c r="W5227">
        <f>IF(D5227=' Pivot Tables'!$A$4,1,0)</f>
        <v>0</v>
      </c>
      <c r="X5227">
        <f>IF(AND(LEFT(D5227,4)+1=LEFT(' Pivot Tables'!$A$4,4)+0,RIGHT(LEFT(D5227,7),2)=RIGHT(LEFT(' Pivot Tables'!$A$4,7),2)),1,0)</f>
        <v>0</v>
      </c>
      <c r="Y5227" s="6">
        <f>1/COUNTIF(Таблица1[Order ID],Таблица1[[#This Row],[Order ID]])</f>
        <v>1</v>
      </c>
      <c r="Z5227" s="9">
        <f>1/COUNTIFS(Таблица1[Customer Name],Таблица1[[#This Row],[Customer Name]],Таблица1[Order-Year-Month],Таблица1[[#This Row],[Order-Year-Month]])</f>
        <v>0.5</v>
      </c>
    </row>
    <row r="5228" spans="1:26" x14ac:dyDescent="0.2">
      <c r="A5228" s="6">
        <v>6497</v>
      </c>
      <c r="B5228" s="7">
        <v>46244</v>
      </c>
      <c r="C5228" s="8">
        <f>DATE(2012,12,31)-1278</f>
        <v>39996</v>
      </c>
      <c r="D5228" s="8" t="str">
        <f t="shared" si="98"/>
        <v>2009-07 (июль 2009)</v>
      </c>
      <c r="E5228" s="9" t="s">
        <v>63</v>
      </c>
      <c r="F5228" s="7">
        <v>10</v>
      </c>
      <c r="G5228" s="7">
        <v>601.57000000000005</v>
      </c>
      <c r="H5228" s="7">
        <v>0.09</v>
      </c>
      <c r="I5228" s="9" t="s">
        <v>31</v>
      </c>
      <c r="J5228" s="10">
        <v>-247.25</v>
      </c>
      <c r="K5228" s="11">
        <v>60.98</v>
      </c>
      <c r="L5228" s="11">
        <v>30</v>
      </c>
      <c r="M5228" s="9" t="s">
        <v>1718</v>
      </c>
      <c r="N5228" s="6" t="s">
        <v>672</v>
      </c>
      <c r="O5228" s="6" t="s">
        <v>673</v>
      </c>
      <c r="P5228" s="9" t="s">
        <v>33</v>
      </c>
      <c r="Q5228" s="9" t="s">
        <v>49</v>
      </c>
      <c r="R5228" s="9" t="s">
        <v>112</v>
      </c>
      <c r="S5228" s="7" t="s">
        <v>979</v>
      </c>
      <c r="T5228" s="9" t="s">
        <v>36</v>
      </c>
      <c r="U5228" s="7">
        <v>0.7</v>
      </c>
      <c r="V5228" s="12">
        <f>C5228+1</f>
        <v>39997</v>
      </c>
      <c r="W5228">
        <f>IF(D5228=' Pivot Tables'!$A$4,1,0)</f>
        <v>0</v>
      </c>
      <c r="X5228">
        <f>IF(AND(LEFT(D5228,4)+1=LEFT(' Pivot Tables'!$A$4,4)+0,RIGHT(LEFT(D5228,7),2)=RIGHT(LEFT(' Pivot Tables'!$A$4,7),2)),1,0)</f>
        <v>0</v>
      </c>
      <c r="Y5228" s="6">
        <f>1/COUNTIF(Таблица1[Order ID],Таблица1[[#This Row],[Order ID]])</f>
        <v>0.5</v>
      </c>
      <c r="Z5228" s="9">
        <f>1/COUNTIFS(Таблица1[Customer Name],Таблица1[[#This Row],[Customer Name]],Таблица1[Order-Year-Month],Таблица1[[#This Row],[Order-Year-Month]])</f>
        <v>0.5</v>
      </c>
    </row>
    <row r="5229" spans="1:26" x14ac:dyDescent="0.2">
      <c r="A5229" s="6">
        <v>6498</v>
      </c>
      <c r="B5229" s="7">
        <v>46244</v>
      </c>
      <c r="C5229" s="8">
        <f>DATE(2012,12,31)-1278</f>
        <v>39996</v>
      </c>
      <c r="D5229" s="8" t="str">
        <f t="shared" si="98"/>
        <v>2009-07 (июль 2009)</v>
      </c>
      <c r="E5229" s="9" t="s">
        <v>63</v>
      </c>
      <c r="F5229" s="7">
        <v>9</v>
      </c>
      <c r="G5229" s="7">
        <v>157.41999999999999</v>
      </c>
      <c r="H5229" s="7">
        <v>0.05</v>
      </c>
      <c r="I5229" s="9" t="s">
        <v>22</v>
      </c>
      <c r="J5229" s="10">
        <v>-18.68</v>
      </c>
      <c r="K5229" s="11">
        <v>17.48</v>
      </c>
      <c r="L5229" s="11">
        <v>1.99</v>
      </c>
      <c r="M5229" s="9" t="s">
        <v>1718</v>
      </c>
      <c r="N5229" s="6" t="s">
        <v>672</v>
      </c>
      <c r="O5229" s="6" t="s">
        <v>673</v>
      </c>
      <c r="P5229" s="9" t="s">
        <v>33</v>
      </c>
      <c r="Q5229" s="9" t="s">
        <v>42</v>
      </c>
      <c r="R5229" s="9" t="s">
        <v>70</v>
      </c>
      <c r="S5229" s="7" t="s">
        <v>1067</v>
      </c>
      <c r="T5229" s="9" t="s">
        <v>52</v>
      </c>
      <c r="U5229" s="7">
        <v>0.45</v>
      </c>
      <c r="V5229" s="12">
        <f>C5229+2</f>
        <v>39998</v>
      </c>
      <c r="W5229">
        <f>IF(D5229=' Pivot Tables'!$A$4,1,0)</f>
        <v>0</v>
      </c>
      <c r="X5229">
        <f>IF(AND(LEFT(D5229,4)+1=LEFT(' Pivot Tables'!$A$4,4)+0,RIGHT(LEFT(D5229,7),2)=RIGHT(LEFT(' Pivot Tables'!$A$4,7),2)),1,0)</f>
        <v>0</v>
      </c>
      <c r="Y5229" s="6">
        <f>1/COUNTIF(Таблица1[Order ID],Таблица1[[#This Row],[Order ID]])</f>
        <v>0.5</v>
      </c>
      <c r="Z5229" s="9">
        <f>1/COUNTIFS(Таблица1[Customer Name],Таблица1[[#This Row],[Customer Name]],Таблица1[Order-Year-Month],Таблица1[[#This Row],[Order-Year-Month]])</f>
        <v>0.5</v>
      </c>
    </row>
    <row r="5230" spans="1:26" x14ac:dyDescent="0.2">
      <c r="A5230" s="6">
        <v>6501</v>
      </c>
      <c r="B5230" s="7">
        <v>46305</v>
      </c>
      <c r="C5230" s="8">
        <f>DATE(2012,12,31)-520</f>
        <v>40754</v>
      </c>
      <c r="D5230" s="8" t="str">
        <f t="shared" si="98"/>
        <v>2011-07 (июль 2011)</v>
      </c>
      <c r="E5230" s="9" t="s">
        <v>21</v>
      </c>
      <c r="F5230" s="7">
        <v>30</v>
      </c>
      <c r="G5230" s="7">
        <v>299.66000000000003</v>
      </c>
      <c r="H5230" s="7">
        <v>0.08</v>
      </c>
      <c r="I5230" s="9" t="s">
        <v>22</v>
      </c>
      <c r="J5230" s="10">
        <v>-18.250499999999999</v>
      </c>
      <c r="K5230" s="11">
        <v>10.44</v>
      </c>
      <c r="L5230" s="11">
        <v>5.75</v>
      </c>
      <c r="M5230" s="9" t="s">
        <v>1873</v>
      </c>
      <c r="N5230" s="6" t="s">
        <v>672</v>
      </c>
      <c r="O5230" s="6" t="s">
        <v>673</v>
      </c>
      <c r="P5230" s="9" t="s">
        <v>33</v>
      </c>
      <c r="Q5230" s="9" t="s">
        <v>26</v>
      </c>
      <c r="R5230" s="9" t="s">
        <v>37</v>
      </c>
      <c r="S5230" s="7" t="s">
        <v>1839</v>
      </c>
      <c r="T5230" s="9" t="s">
        <v>39</v>
      </c>
      <c r="U5230" s="7">
        <v>0.39</v>
      </c>
      <c r="V5230" s="12">
        <f>C5230+4</f>
        <v>40758</v>
      </c>
      <c r="W5230">
        <f>IF(D5230=' Pivot Tables'!$A$4,1,0)</f>
        <v>0</v>
      </c>
      <c r="X5230">
        <f>IF(AND(LEFT(D5230,4)+1=LEFT(' Pivot Tables'!$A$4,4)+0,RIGHT(LEFT(D5230,7),2)=RIGHT(LEFT(' Pivot Tables'!$A$4,7),2)),1,0)</f>
        <v>0</v>
      </c>
      <c r="Y5230" s="6">
        <f>1/COUNTIF(Таблица1[Order ID],Таблица1[[#This Row],[Order ID]])</f>
        <v>1</v>
      </c>
      <c r="Z5230" s="9">
        <f>1/COUNTIFS(Таблица1[Customer Name],Таблица1[[#This Row],[Customer Name]],Таблица1[Order-Year-Month],Таблица1[[#This Row],[Order-Year-Month]])</f>
        <v>1</v>
      </c>
    </row>
    <row r="5231" spans="1:26" x14ac:dyDescent="0.2">
      <c r="A5231" s="6">
        <v>6514</v>
      </c>
      <c r="B5231" s="7">
        <v>46372</v>
      </c>
      <c r="C5231" s="8">
        <f>DATE(2012,12,31)-674</f>
        <v>40600</v>
      </c>
      <c r="D5231" s="8" t="str">
        <f t="shared" si="98"/>
        <v>2011-02 (февраль 2011)</v>
      </c>
      <c r="E5231" s="9" t="s">
        <v>30</v>
      </c>
      <c r="F5231" s="7">
        <v>7</v>
      </c>
      <c r="G5231" s="7">
        <v>375.57</v>
      </c>
      <c r="H5231" s="7">
        <v>0.02</v>
      </c>
      <c r="I5231" s="9" t="s">
        <v>22</v>
      </c>
      <c r="J5231" s="10">
        <v>12.7075</v>
      </c>
      <c r="K5231" s="11">
        <v>52.4</v>
      </c>
      <c r="L5231" s="11">
        <v>16.11</v>
      </c>
      <c r="M5231" s="9" t="s">
        <v>982</v>
      </c>
      <c r="N5231" s="6" t="s">
        <v>672</v>
      </c>
      <c r="O5231" s="6" t="s">
        <v>673</v>
      </c>
      <c r="P5231" s="9" t="s">
        <v>33</v>
      </c>
      <c r="Q5231" s="9" t="s">
        <v>26</v>
      </c>
      <c r="R5231" s="9" t="s">
        <v>37</v>
      </c>
      <c r="S5231" s="7" t="s">
        <v>1110</v>
      </c>
      <c r="T5231" s="9" t="s">
        <v>39</v>
      </c>
      <c r="U5231" s="7">
        <v>0.39</v>
      </c>
      <c r="V5231" s="12">
        <f>C5231+0</f>
        <v>40600</v>
      </c>
      <c r="W5231">
        <f>IF(D5231=' Pivot Tables'!$A$4,1,0)</f>
        <v>0</v>
      </c>
      <c r="X5231">
        <f>IF(AND(LEFT(D5231,4)+1=LEFT(' Pivot Tables'!$A$4,4)+0,RIGHT(LEFT(D5231,7),2)=RIGHT(LEFT(' Pivot Tables'!$A$4,7),2)),1,0)</f>
        <v>0</v>
      </c>
      <c r="Y5231" s="6">
        <f>1/COUNTIF(Таблица1[Order ID],Таблица1[[#This Row],[Order ID]])</f>
        <v>0.5</v>
      </c>
      <c r="Z5231" s="9">
        <f>1/COUNTIFS(Таблица1[Customer Name],Таблица1[[#This Row],[Customer Name]],Таблица1[Order-Year-Month],Таблица1[[#This Row],[Order-Year-Month]])</f>
        <v>0.5</v>
      </c>
    </row>
    <row r="5232" spans="1:26" x14ac:dyDescent="0.2">
      <c r="A5232" s="6">
        <v>6515</v>
      </c>
      <c r="B5232" s="7">
        <v>46372</v>
      </c>
      <c r="C5232" s="8">
        <f>DATE(2012,12,31)-674</f>
        <v>40600</v>
      </c>
      <c r="D5232" s="8" t="str">
        <f t="shared" si="98"/>
        <v>2011-02 (февраль 2011)</v>
      </c>
      <c r="E5232" s="9" t="s">
        <v>30</v>
      </c>
      <c r="F5232" s="7">
        <v>15</v>
      </c>
      <c r="G5232" s="7">
        <v>81.97</v>
      </c>
      <c r="H5232" s="7">
        <v>7.0000000000000007E-2</v>
      </c>
      <c r="I5232" s="9" t="s">
        <v>22</v>
      </c>
      <c r="J5232" s="10">
        <v>-81.33</v>
      </c>
      <c r="K5232" s="11">
        <v>4.9800000000000004</v>
      </c>
      <c r="L5232" s="11">
        <v>8.33</v>
      </c>
      <c r="M5232" s="9" t="s">
        <v>982</v>
      </c>
      <c r="N5232" s="6" t="s">
        <v>672</v>
      </c>
      <c r="O5232" s="6" t="s">
        <v>673</v>
      </c>
      <c r="P5232" s="9" t="s">
        <v>33</v>
      </c>
      <c r="Q5232" s="9" t="s">
        <v>26</v>
      </c>
      <c r="R5232" s="9" t="s">
        <v>61</v>
      </c>
      <c r="S5232" s="7" t="s">
        <v>62</v>
      </c>
      <c r="T5232" s="9" t="s">
        <v>39</v>
      </c>
      <c r="U5232" s="7">
        <v>0.38</v>
      </c>
      <c r="V5232" s="12">
        <f>C5232+1</f>
        <v>40601</v>
      </c>
      <c r="W5232">
        <f>IF(D5232=' Pivot Tables'!$A$4,1,0)</f>
        <v>0</v>
      </c>
      <c r="X5232">
        <f>IF(AND(LEFT(D5232,4)+1=LEFT(' Pivot Tables'!$A$4,4)+0,RIGHT(LEFT(D5232,7),2)=RIGHT(LEFT(' Pivot Tables'!$A$4,7),2)),1,0)</f>
        <v>0</v>
      </c>
      <c r="Y5232" s="6">
        <f>1/COUNTIF(Таблица1[Order ID],Таблица1[[#This Row],[Order ID]])</f>
        <v>0.5</v>
      </c>
      <c r="Z5232" s="9">
        <f>1/COUNTIFS(Таблица1[Customer Name],Таблица1[[#This Row],[Customer Name]],Таблица1[Order-Year-Month],Таблица1[[#This Row],[Order-Year-Month]])</f>
        <v>0.5</v>
      </c>
    </row>
    <row r="5233" spans="1:26" x14ac:dyDescent="0.2">
      <c r="A5233" s="6">
        <v>6562</v>
      </c>
      <c r="B5233" s="7">
        <v>46656</v>
      </c>
      <c r="C5233" s="8">
        <f>DATE(2012,12,31)-1264</f>
        <v>40010</v>
      </c>
      <c r="D5233" s="8" t="str">
        <f t="shared" si="98"/>
        <v>2009-07 (июль 2009)</v>
      </c>
      <c r="E5233" s="9" t="s">
        <v>30</v>
      </c>
      <c r="F5233" s="7">
        <v>27</v>
      </c>
      <c r="G5233" s="7">
        <v>636.70000000000005</v>
      </c>
      <c r="H5233" s="7">
        <v>0.1</v>
      </c>
      <c r="I5233" s="9" t="s">
        <v>22</v>
      </c>
      <c r="J5233" s="10">
        <v>-29.9115</v>
      </c>
      <c r="K5233" s="11">
        <v>24.92</v>
      </c>
      <c r="L5233" s="11">
        <v>12.98</v>
      </c>
      <c r="M5233" s="9" t="s">
        <v>1882</v>
      </c>
      <c r="N5233" s="6" t="s">
        <v>672</v>
      </c>
      <c r="O5233" s="6" t="s">
        <v>673</v>
      </c>
      <c r="P5233" s="9" t="s">
        <v>41</v>
      </c>
      <c r="Q5233" s="9" t="s">
        <v>26</v>
      </c>
      <c r="R5233" s="9" t="s">
        <v>37</v>
      </c>
      <c r="S5233" s="7" t="s">
        <v>319</v>
      </c>
      <c r="T5233" s="9" t="s">
        <v>39</v>
      </c>
      <c r="U5233" s="7">
        <v>0.39</v>
      </c>
      <c r="V5233" s="12">
        <f>C5233+1</f>
        <v>40011</v>
      </c>
      <c r="W5233">
        <f>IF(D5233=' Pivot Tables'!$A$4,1,0)</f>
        <v>0</v>
      </c>
      <c r="X5233">
        <f>IF(AND(LEFT(D5233,4)+1=LEFT(' Pivot Tables'!$A$4,4)+0,RIGHT(LEFT(D5233,7),2)=RIGHT(LEFT(' Pivot Tables'!$A$4,7),2)),1,0)</f>
        <v>0</v>
      </c>
      <c r="Y5233" s="6">
        <f>1/COUNTIF(Таблица1[Order ID],Таблица1[[#This Row],[Order ID]])</f>
        <v>1</v>
      </c>
      <c r="Z5233" s="9">
        <f>1/COUNTIFS(Таблица1[Customer Name],Таблица1[[#This Row],[Customer Name]],Таблица1[Order-Year-Month],Таблица1[[#This Row],[Order-Year-Month]])</f>
        <v>1</v>
      </c>
    </row>
    <row r="5234" spans="1:26" x14ac:dyDescent="0.2">
      <c r="A5234" s="6">
        <v>6567</v>
      </c>
      <c r="B5234" s="7">
        <v>46721</v>
      </c>
      <c r="C5234" s="8">
        <f>DATE(2012,12,31)-1205</f>
        <v>40069</v>
      </c>
      <c r="D5234" s="8" t="str">
        <f t="shared" si="98"/>
        <v>2009-09 (сентябрь 2009)</v>
      </c>
      <c r="E5234" s="9" t="s">
        <v>63</v>
      </c>
      <c r="F5234" s="7">
        <v>17</v>
      </c>
      <c r="G5234" s="7">
        <v>142.94</v>
      </c>
      <c r="H5234" s="7">
        <v>0.03</v>
      </c>
      <c r="I5234" s="9" t="s">
        <v>22</v>
      </c>
      <c r="J5234" s="10">
        <v>-129.559</v>
      </c>
      <c r="K5234" s="11">
        <v>7.38</v>
      </c>
      <c r="L5234" s="11">
        <v>11.51</v>
      </c>
      <c r="M5234" s="9" t="s">
        <v>1859</v>
      </c>
      <c r="N5234" s="6" t="s">
        <v>672</v>
      </c>
      <c r="O5234" s="6" t="s">
        <v>673</v>
      </c>
      <c r="P5234" s="9" t="s">
        <v>41</v>
      </c>
      <c r="Q5234" s="9" t="s">
        <v>26</v>
      </c>
      <c r="R5234" s="9" t="s">
        <v>37</v>
      </c>
      <c r="S5234" s="7" t="s">
        <v>1685</v>
      </c>
      <c r="T5234" s="9" t="s">
        <v>39</v>
      </c>
      <c r="U5234" s="7">
        <v>0.36</v>
      </c>
      <c r="V5234" s="12">
        <f>C5234+1</f>
        <v>40070</v>
      </c>
      <c r="W5234">
        <f>IF(D5234=' Pivot Tables'!$A$4,1,0)</f>
        <v>0</v>
      </c>
      <c r="X5234">
        <f>IF(AND(LEFT(D5234,4)+1=LEFT(' Pivot Tables'!$A$4,4)+0,RIGHT(LEFT(D5234,7),2)=RIGHT(LEFT(' Pivot Tables'!$A$4,7),2)),1,0)</f>
        <v>0</v>
      </c>
      <c r="Y5234" s="6">
        <f>1/COUNTIF(Таблица1[Order ID],Таблица1[[#This Row],[Order ID]])</f>
        <v>0.33333333333333331</v>
      </c>
      <c r="Z5234" s="9">
        <f>1/COUNTIFS(Таблица1[Customer Name],Таблица1[[#This Row],[Customer Name]],Таблица1[Order-Year-Month],Таблица1[[#This Row],[Order-Year-Month]])</f>
        <v>0.33333333333333331</v>
      </c>
    </row>
    <row r="5235" spans="1:26" x14ac:dyDescent="0.2">
      <c r="A5235" s="6">
        <v>6568</v>
      </c>
      <c r="B5235" s="7">
        <v>46721</v>
      </c>
      <c r="C5235" s="8">
        <f>DATE(2012,12,31)-1205</f>
        <v>40069</v>
      </c>
      <c r="D5235" s="8" t="str">
        <f t="shared" si="98"/>
        <v>2009-09 (сентябрь 2009)</v>
      </c>
      <c r="E5235" s="9" t="s">
        <v>63</v>
      </c>
      <c r="F5235" s="7">
        <v>35</v>
      </c>
      <c r="G5235" s="7">
        <v>240.61</v>
      </c>
      <c r="H5235" s="7">
        <v>0.05</v>
      </c>
      <c r="I5235" s="9" t="s">
        <v>22</v>
      </c>
      <c r="J5235" s="10">
        <v>-133.12</v>
      </c>
      <c r="K5235" s="11">
        <v>6.48</v>
      </c>
      <c r="L5235" s="11">
        <v>7.91</v>
      </c>
      <c r="M5235" s="9" t="s">
        <v>1859</v>
      </c>
      <c r="N5235" s="6" t="s">
        <v>672</v>
      </c>
      <c r="O5235" s="6" t="s">
        <v>673</v>
      </c>
      <c r="P5235" s="9" t="s">
        <v>41</v>
      </c>
      <c r="Q5235" s="9" t="s">
        <v>26</v>
      </c>
      <c r="R5235" s="9" t="s">
        <v>61</v>
      </c>
      <c r="S5235" s="7" t="s">
        <v>1297</v>
      </c>
      <c r="T5235" s="9" t="s">
        <v>39</v>
      </c>
      <c r="U5235" s="7">
        <v>0.37</v>
      </c>
      <c r="V5235" s="12">
        <f>C5235+1</f>
        <v>40070</v>
      </c>
      <c r="W5235">
        <f>IF(D5235=' Pivot Tables'!$A$4,1,0)</f>
        <v>0</v>
      </c>
      <c r="X5235">
        <f>IF(AND(LEFT(D5235,4)+1=LEFT(' Pivot Tables'!$A$4,4)+0,RIGHT(LEFT(D5235,7),2)=RIGHT(LEFT(' Pivot Tables'!$A$4,7),2)),1,0)</f>
        <v>0</v>
      </c>
      <c r="Y5235" s="6">
        <f>1/COUNTIF(Таблица1[Order ID],Таблица1[[#This Row],[Order ID]])</f>
        <v>0.33333333333333331</v>
      </c>
      <c r="Z5235" s="9">
        <f>1/COUNTIFS(Таблица1[Customer Name],Таблица1[[#This Row],[Customer Name]],Таблица1[Order-Year-Month],Таблица1[[#This Row],[Order-Year-Month]])</f>
        <v>0.33333333333333331</v>
      </c>
    </row>
    <row r="5236" spans="1:26" x14ac:dyDescent="0.2">
      <c r="A5236" s="6">
        <v>6569</v>
      </c>
      <c r="B5236" s="7">
        <v>46721</v>
      </c>
      <c r="C5236" s="8">
        <f>DATE(2012,12,31)-1205</f>
        <v>40069</v>
      </c>
      <c r="D5236" s="8" t="str">
        <f t="shared" si="98"/>
        <v>2009-09 (сентябрь 2009)</v>
      </c>
      <c r="E5236" s="9" t="s">
        <v>63</v>
      </c>
      <c r="F5236" s="7">
        <v>17</v>
      </c>
      <c r="G5236" s="7">
        <v>1912.76</v>
      </c>
      <c r="H5236" s="7">
        <v>0.03</v>
      </c>
      <c r="I5236" s="9" t="s">
        <v>22</v>
      </c>
      <c r="J5236" s="10">
        <v>71.56</v>
      </c>
      <c r="K5236" s="11">
        <v>111.03</v>
      </c>
      <c r="L5236" s="11">
        <v>8.64</v>
      </c>
      <c r="M5236" s="9" t="s">
        <v>1859</v>
      </c>
      <c r="N5236" s="6" t="s">
        <v>672</v>
      </c>
      <c r="O5236" s="6" t="s">
        <v>673</v>
      </c>
      <c r="P5236" s="9" t="s">
        <v>41</v>
      </c>
      <c r="Q5236" s="9" t="s">
        <v>26</v>
      </c>
      <c r="R5236" s="9" t="s">
        <v>27</v>
      </c>
      <c r="S5236" s="7" t="s">
        <v>199</v>
      </c>
      <c r="T5236" s="9" t="s">
        <v>39</v>
      </c>
      <c r="U5236" s="7">
        <v>0.78</v>
      </c>
      <c r="V5236" s="12">
        <f>C5236+1</f>
        <v>40070</v>
      </c>
      <c r="W5236">
        <f>IF(D5236=' Pivot Tables'!$A$4,1,0)</f>
        <v>0</v>
      </c>
      <c r="X5236">
        <f>IF(AND(LEFT(D5236,4)+1=LEFT(' Pivot Tables'!$A$4,4)+0,RIGHT(LEFT(D5236,7),2)=RIGHT(LEFT(' Pivot Tables'!$A$4,7),2)),1,0)</f>
        <v>0</v>
      </c>
      <c r="Y5236" s="6">
        <f>1/COUNTIF(Таблица1[Order ID],Таблица1[[#This Row],[Order ID]])</f>
        <v>0.33333333333333331</v>
      </c>
      <c r="Z5236" s="9">
        <f>1/COUNTIFS(Таблица1[Customer Name],Таблица1[[#This Row],[Customer Name]],Таблица1[Order-Year-Month],Таблица1[[#This Row],[Order-Year-Month]])</f>
        <v>0.33333333333333331</v>
      </c>
    </row>
    <row r="5237" spans="1:26" x14ac:dyDescent="0.2">
      <c r="A5237" s="6">
        <v>6579</v>
      </c>
      <c r="B5237" s="7">
        <v>46852</v>
      </c>
      <c r="C5237" s="8">
        <f>DATE(2012,12,31)-338</f>
        <v>40936</v>
      </c>
      <c r="D5237" s="8" t="str">
        <f t="shared" si="98"/>
        <v>2012-01 (январь 2012)</v>
      </c>
      <c r="E5237" s="9" t="s">
        <v>45</v>
      </c>
      <c r="F5237" s="7">
        <v>46</v>
      </c>
      <c r="G5237" s="7">
        <v>1591.89</v>
      </c>
      <c r="H5237" s="7">
        <v>0.02</v>
      </c>
      <c r="I5237" s="9" t="s">
        <v>56</v>
      </c>
      <c r="J5237" s="10">
        <v>-117.31</v>
      </c>
      <c r="K5237" s="11">
        <v>34.979999999999997</v>
      </c>
      <c r="L5237" s="11">
        <v>7.53</v>
      </c>
      <c r="M5237" s="9" t="s">
        <v>1845</v>
      </c>
      <c r="N5237" s="6" t="s">
        <v>672</v>
      </c>
      <c r="O5237" s="6" t="s">
        <v>673</v>
      </c>
      <c r="P5237" s="9" t="s">
        <v>25</v>
      </c>
      <c r="Q5237" s="9" t="s">
        <v>42</v>
      </c>
      <c r="R5237" s="9" t="s">
        <v>70</v>
      </c>
      <c r="S5237" s="7" t="s">
        <v>1153</v>
      </c>
      <c r="T5237" s="9" t="s">
        <v>39</v>
      </c>
      <c r="U5237" s="7">
        <v>0.76</v>
      </c>
      <c r="V5237" s="12">
        <f>C5237+2</f>
        <v>40938</v>
      </c>
      <c r="W5237">
        <f>IF(D5237=' Pivot Tables'!$A$4,1,0)</f>
        <v>0</v>
      </c>
      <c r="X5237">
        <f>IF(AND(LEFT(D5237,4)+1=LEFT(' Pivot Tables'!$A$4,4)+0,RIGHT(LEFT(D5237,7),2)=RIGHT(LEFT(' Pivot Tables'!$A$4,7),2)),1,0)</f>
        <v>0</v>
      </c>
      <c r="Y5237" s="6">
        <f>1/COUNTIF(Таблица1[Order ID],Таблица1[[#This Row],[Order ID]])</f>
        <v>0.5</v>
      </c>
      <c r="Z5237" s="9">
        <f>1/COUNTIFS(Таблица1[Customer Name],Таблица1[[#This Row],[Customer Name]],Таблица1[Order-Year-Month],Таблица1[[#This Row],[Order-Year-Month]])</f>
        <v>0.5</v>
      </c>
    </row>
    <row r="5238" spans="1:26" x14ac:dyDescent="0.2">
      <c r="A5238" s="6">
        <v>6580</v>
      </c>
      <c r="B5238" s="7">
        <v>46852</v>
      </c>
      <c r="C5238" s="8">
        <f>DATE(2012,12,31)-338</f>
        <v>40936</v>
      </c>
      <c r="D5238" s="8" t="str">
        <f t="shared" si="98"/>
        <v>2012-01 (январь 2012)</v>
      </c>
      <c r="E5238" s="9" t="s">
        <v>45</v>
      </c>
      <c r="F5238" s="7">
        <v>44</v>
      </c>
      <c r="G5238" s="7">
        <v>220.07</v>
      </c>
      <c r="H5238" s="7">
        <v>0.01</v>
      </c>
      <c r="I5238" s="9" t="s">
        <v>22</v>
      </c>
      <c r="J5238" s="10">
        <v>-158.41999999999999</v>
      </c>
      <c r="K5238" s="11">
        <v>4.8899999999999997</v>
      </c>
      <c r="L5238" s="11">
        <v>4.93</v>
      </c>
      <c r="M5238" s="9" t="s">
        <v>1845</v>
      </c>
      <c r="N5238" s="6" t="s">
        <v>672</v>
      </c>
      <c r="O5238" s="6" t="s">
        <v>673</v>
      </c>
      <c r="P5238" s="9" t="s">
        <v>25</v>
      </c>
      <c r="Q5238" s="9" t="s">
        <v>42</v>
      </c>
      <c r="R5238" s="9" t="s">
        <v>70</v>
      </c>
      <c r="S5238" s="7" t="s">
        <v>93</v>
      </c>
      <c r="T5238" s="9" t="s">
        <v>52</v>
      </c>
      <c r="U5238" s="7">
        <v>0.66</v>
      </c>
      <c r="V5238" s="12">
        <f>C5238+1</f>
        <v>40937</v>
      </c>
      <c r="W5238">
        <f>IF(D5238=' Pivot Tables'!$A$4,1,0)</f>
        <v>0</v>
      </c>
      <c r="X5238">
        <f>IF(AND(LEFT(D5238,4)+1=LEFT(' Pivot Tables'!$A$4,4)+0,RIGHT(LEFT(D5238,7),2)=RIGHT(LEFT(' Pivot Tables'!$A$4,7),2)),1,0)</f>
        <v>0</v>
      </c>
      <c r="Y5238" s="6">
        <f>1/COUNTIF(Таблица1[Order ID],Таблица1[[#This Row],[Order ID]])</f>
        <v>0.5</v>
      </c>
      <c r="Z5238" s="9">
        <f>1/COUNTIFS(Таблица1[Customer Name],Таблица1[[#This Row],[Customer Name]],Таблица1[Order-Year-Month],Таблица1[[#This Row],[Order-Year-Month]])</f>
        <v>0.5</v>
      </c>
    </row>
    <row r="5239" spans="1:26" x14ac:dyDescent="0.2">
      <c r="A5239" s="6">
        <v>6597</v>
      </c>
      <c r="B5239" s="7">
        <v>46949</v>
      </c>
      <c r="C5239" s="8">
        <f>DATE(2012,12,31)-1030</f>
        <v>40244</v>
      </c>
      <c r="D5239" s="8" t="str">
        <f t="shared" si="98"/>
        <v>2010-03 (март 2010)</v>
      </c>
      <c r="E5239" s="9" t="s">
        <v>30</v>
      </c>
      <c r="F5239" s="7">
        <v>37</v>
      </c>
      <c r="G5239" s="7">
        <v>319.39</v>
      </c>
      <c r="H5239" s="7">
        <v>0.03</v>
      </c>
      <c r="I5239" s="9" t="s">
        <v>22</v>
      </c>
      <c r="J5239" s="10">
        <v>-39.33</v>
      </c>
      <c r="K5239" s="11">
        <v>8.4600000000000009</v>
      </c>
      <c r="L5239" s="11">
        <v>3.62</v>
      </c>
      <c r="M5239" s="9" t="s">
        <v>1855</v>
      </c>
      <c r="N5239" s="6" t="s">
        <v>672</v>
      </c>
      <c r="O5239" s="6" t="s">
        <v>673</v>
      </c>
      <c r="P5239" s="9" t="s">
        <v>60</v>
      </c>
      <c r="Q5239" s="9" t="s">
        <v>42</v>
      </c>
      <c r="R5239" s="9" t="s">
        <v>70</v>
      </c>
      <c r="S5239" s="7" t="s">
        <v>1221</v>
      </c>
      <c r="T5239" s="9" t="s">
        <v>52</v>
      </c>
      <c r="U5239" s="7">
        <v>0.61</v>
      </c>
      <c r="V5239" s="12">
        <f>C5239+1</f>
        <v>40245</v>
      </c>
      <c r="W5239">
        <f>IF(D5239=' Pivot Tables'!$A$4,1,0)</f>
        <v>0</v>
      </c>
      <c r="X5239">
        <f>IF(AND(LEFT(D5239,4)+1=LEFT(' Pivot Tables'!$A$4,4)+0,RIGHT(LEFT(D5239,7),2)=RIGHT(LEFT(' Pivot Tables'!$A$4,7),2)),1,0)</f>
        <v>0</v>
      </c>
      <c r="Y5239" s="6">
        <f>1/COUNTIF(Таблица1[Order ID],Таблица1[[#This Row],[Order ID]])</f>
        <v>1</v>
      </c>
      <c r="Z5239" s="9">
        <f>1/COUNTIFS(Таблица1[Customer Name],Таблица1[[#This Row],[Customer Name]],Таблица1[Order-Year-Month],Таблица1[[#This Row],[Order-Year-Month]])</f>
        <v>1</v>
      </c>
    </row>
    <row r="5240" spans="1:26" x14ac:dyDescent="0.2">
      <c r="A5240" s="6">
        <v>6598</v>
      </c>
      <c r="B5240" s="7">
        <v>46951</v>
      </c>
      <c r="C5240" s="8">
        <f>DATE(2012,12,31)-410</f>
        <v>40864</v>
      </c>
      <c r="D5240" s="8" t="str">
        <f t="shared" si="98"/>
        <v>2011-11 (ноябрь 2011)</v>
      </c>
      <c r="E5240" s="9" t="s">
        <v>78</v>
      </c>
      <c r="F5240" s="7">
        <v>26</v>
      </c>
      <c r="G5240" s="7">
        <v>2379.3285000000001</v>
      </c>
      <c r="H5240" s="7">
        <v>0.09</v>
      </c>
      <c r="I5240" s="9" t="s">
        <v>22</v>
      </c>
      <c r="J5240" s="10">
        <v>284.589</v>
      </c>
      <c r="K5240" s="11">
        <v>115.99</v>
      </c>
      <c r="L5240" s="11">
        <v>5.92</v>
      </c>
      <c r="M5240" s="9" t="s">
        <v>1875</v>
      </c>
      <c r="N5240" s="6" t="s">
        <v>672</v>
      </c>
      <c r="O5240" s="6" t="s">
        <v>673</v>
      </c>
      <c r="P5240" s="9" t="s">
        <v>41</v>
      </c>
      <c r="Q5240" s="9" t="s">
        <v>42</v>
      </c>
      <c r="R5240" s="9" t="s">
        <v>43</v>
      </c>
      <c r="S5240" s="7" t="s">
        <v>977</v>
      </c>
      <c r="T5240" s="9" t="s">
        <v>39</v>
      </c>
      <c r="U5240" s="7">
        <v>0.57999999999999996</v>
      </c>
      <c r="V5240" s="12">
        <f>C5240+1</f>
        <v>40865</v>
      </c>
      <c r="W5240">
        <f>IF(D5240=' Pivot Tables'!$A$4,1,0)</f>
        <v>0</v>
      </c>
      <c r="X5240">
        <f>IF(AND(LEFT(D5240,4)+1=LEFT(' Pivot Tables'!$A$4,4)+0,RIGHT(LEFT(D5240,7),2)=RIGHT(LEFT(' Pivot Tables'!$A$4,7),2)),1,0)</f>
        <v>0</v>
      </c>
      <c r="Y5240" s="6">
        <f>1/COUNTIF(Таблица1[Order ID],Таблица1[[#This Row],[Order ID]])</f>
        <v>1</v>
      </c>
      <c r="Z5240" s="9">
        <f>1/COUNTIFS(Таблица1[Customer Name],Таблица1[[#This Row],[Customer Name]],Таблица1[Order-Year-Month],Таблица1[[#This Row],[Order-Year-Month]])</f>
        <v>1</v>
      </c>
    </row>
    <row r="5241" spans="1:26" x14ac:dyDescent="0.2">
      <c r="A5241" s="6">
        <v>6614</v>
      </c>
      <c r="B5241" s="7">
        <v>47075</v>
      </c>
      <c r="C5241" s="8">
        <f>DATE(2012,12,31)-441</f>
        <v>40833</v>
      </c>
      <c r="D5241" s="8" t="str">
        <f t="shared" si="98"/>
        <v>2011-10 (октябрь 2011)</v>
      </c>
      <c r="E5241" s="9" t="s">
        <v>63</v>
      </c>
      <c r="F5241" s="7">
        <v>42</v>
      </c>
      <c r="G5241" s="7">
        <v>4346.9799999999996</v>
      </c>
      <c r="H5241" s="7">
        <v>0.05</v>
      </c>
      <c r="I5241" s="9" t="s">
        <v>31</v>
      </c>
      <c r="J5241" s="10">
        <v>10.220000000000001</v>
      </c>
      <c r="K5241" s="11">
        <v>100.98</v>
      </c>
      <c r="L5241" s="11">
        <v>35.840000000000003</v>
      </c>
      <c r="M5241" s="9" t="s">
        <v>1855</v>
      </c>
      <c r="N5241" s="6" t="s">
        <v>672</v>
      </c>
      <c r="O5241" s="6" t="s">
        <v>673</v>
      </c>
      <c r="P5241" s="9" t="s">
        <v>60</v>
      </c>
      <c r="Q5241" s="9" t="s">
        <v>49</v>
      </c>
      <c r="R5241" s="9" t="s">
        <v>80</v>
      </c>
      <c r="S5241" s="7" t="s">
        <v>705</v>
      </c>
      <c r="T5241" s="9" t="s">
        <v>82</v>
      </c>
      <c r="U5241" s="7">
        <v>0.62</v>
      </c>
      <c r="V5241" s="12">
        <f>C5241+2</f>
        <v>40835</v>
      </c>
      <c r="W5241">
        <f>IF(D5241=' Pivot Tables'!$A$4,1,0)</f>
        <v>0</v>
      </c>
      <c r="X5241">
        <f>IF(AND(LEFT(D5241,4)+1=LEFT(' Pivot Tables'!$A$4,4)+0,RIGHT(LEFT(D5241,7),2)=RIGHT(LEFT(' Pivot Tables'!$A$4,7),2)),1,0)</f>
        <v>0</v>
      </c>
      <c r="Y5241" s="6">
        <f>1/COUNTIF(Таблица1[Order ID],Таблица1[[#This Row],[Order ID]])</f>
        <v>1</v>
      </c>
      <c r="Z5241" s="9">
        <f>1/COUNTIFS(Таблица1[Customer Name],Таблица1[[#This Row],[Customer Name]],Таблица1[Order-Year-Month],Таблица1[[#This Row],[Order-Year-Month]])</f>
        <v>1</v>
      </c>
    </row>
    <row r="5242" spans="1:26" x14ac:dyDescent="0.2">
      <c r="A5242" s="6">
        <v>6661</v>
      </c>
      <c r="B5242" s="7">
        <v>47399</v>
      </c>
      <c r="C5242" s="8">
        <f>DATE(2012,12,31)-152</f>
        <v>41122</v>
      </c>
      <c r="D5242" s="8" t="str">
        <f t="shared" si="98"/>
        <v>2012-08 (август 2012)</v>
      </c>
      <c r="E5242" s="9" t="s">
        <v>21</v>
      </c>
      <c r="F5242" s="7">
        <v>26</v>
      </c>
      <c r="G5242" s="7">
        <v>145.76</v>
      </c>
      <c r="H5242" s="7">
        <v>0</v>
      </c>
      <c r="I5242" s="9" t="s">
        <v>22</v>
      </c>
      <c r="J5242" s="10">
        <v>5.6695000000000002</v>
      </c>
      <c r="K5242" s="11">
        <v>5.28</v>
      </c>
      <c r="L5242" s="11">
        <v>2.99</v>
      </c>
      <c r="M5242" s="9" t="s">
        <v>1891</v>
      </c>
      <c r="N5242" s="6" t="s">
        <v>672</v>
      </c>
      <c r="O5242" s="6" t="s">
        <v>673</v>
      </c>
      <c r="P5242" s="9" t="s">
        <v>33</v>
      </c>
      <c r="Q5242" s="9" t="s">
        <v>26</v>
      </c>
      <c r="R5242" s="9" t="s">
        <v>37</v>
      </c>
      <c r="S5242" s="7" t="s">
        <v>73</v>
      </c>
      <c r="T5242" s="9" t="s">
        <v>39</v>
      </c>
      <c r="U5242" s="7">
        <v>0.37</v>
      </c>
      <c r="V5242" s="12">
        <f>C5242+0</f>
        <v>41122</v>
      </c>
      <c r="W5242">
        <f>IF(D5242=' Pivot Tables'!$A$4,1,0)</f>
        <v>0</v>
      </c>
      <c r="X5242">
        <f>IF(AND(LEFT(D5242,4)+1=LEFT(' Pivot Tables'!$A$4,4)+0,RIGHT(LEFT(D5242,7),2)=RIGHT(LEFT(' Pivot Tables'!$A$4,7),2)),1,0)</f>
        <v>0</v>
      </c>
      <c r="Y5242" s="6">
        <f>1/COUNTIF(Таблица1[Order ID],Таблица1[[#This Row],[Order ID]])</f>
        <v>1</v>
      </c>
      <c r="Z5242" s="9">
        <f>1/COUNTIFS(Таблица1[Customer Name],Таблица1[[#This Row],[Customer Name]],Таблица1[Order-Year-Month],Таблица1[[#This Row],[Order-Year-Month]])</f>
        <v>1</v>
      </c>
    </row>
    <row r="5243" spans="1:26" x14ac:dyDescent="0.2">
      <c r="A5243" s="6">
        <v>6673</v>
      </c>
      <c r="B5243" s="7">
        <v>47493</v>
      </c>
      <c r="C5243" s="8">
        <f>DATE(2012,12,31)-1419</f>
        <v>39855</v>
      </c>
      <c r="D5243" s="8" t="str">
        <f t="shared" si="98"/>
        <v>2009-02 (февраль 2009)</v>
      </c>
      <c r="E5243" s="9" t="s">
        <v>78</v>
      </c>
      <c r="F5243" s="7">
        <v>36</v>
      </c>
      <c r="G5243" s="7">
        <v>9757.48</v>
      </c>
      <c r="H5243" s="7">
        <v>7.0000000000000007E-2</v>
      </c>
      <c r="I5243" s="9" t="s">
        <v>31</v>
      </c>
      <c r="J5243" s="10">
        <v>-96.05</v>
      </c>
      <c r="K5243" s="11">
        <v>270.98</v>
      </c>
      <c r="L5243" s="11">
        <v>50</v>
      </c>
      <c r="M5243" s="9" t="s">
        <v>1851</v>
      </c>
      <c r="N5243" s="6" t="s">
        <v>672</v>
      </c>
      <c r="O5243" s="6" t="s">
        <v>673</v>
      </c>
      <c r="P5243" s="9" t="s">
        <v>41</v>
      </c>
      <c r="Q5243" s="9" t="s">
        <v>49</v>
      </c>
      <c r="R5243" s="9" t="s">
        <v>112</v>
      </c>
      <c r="S5243" s="7" t="s">
        <v>221</v>
      </c>
      <c r="T5243" s="9" t="s">
        <v>36</v>
      </c>
      <c r="U5243" s="7">
        <v>0.77</v>
      </c>
      <c r="V5243" s="12">
        <f>C5243+2</f>
        <v>39857</v>
      </c>
      <c r="W5243">
        <f>IF(D5243=' Pivot Tables'!$A$4,1,0)</f>
        <v>0</v>
      </c>
      <c r="X5243">
        <f>IF(AND(LEFT(D5243,4)+1=LEFT(' Pivot Tables'!$A$4,4)+0,RIGHT(LEFT(D5243,7),2)=RIGHT(LEFT(' Pivot Tables'!$A$4,7),2)),1,0)</f>
        <v>0</v>
      </c>
      <c r="Y5243" s="6">
        <f>1/COUNTIF(Таблица1[Order ID],Таблица1[[#This Row],[Order ID]])</f>
        <v>1</v>
      </c>
      <c r="Z5243" s="9">
        <f>1/COUNTIFS(Таблица1[Customer Name],Таблица1[[#This Row],[Customer Name]],Таблица1[Order-Year-Month],Таблица1[[#This Row],[Order-Year-Month]])</f>
        <v>1</v>
      </c>
    </row>
    <row r="5244" spans="1:26" x14ac:dyDescent="0.2">
      <c r="A5244" s="6">
        <v>6708</v>
      </c>
      <c r="B5244" s="7">
        <v>47777</v>
      </c>
      <c r="C5244" s="8">
        <f>DATE(2012,12,31)-36</f>
        <v>41238</v>
      </c>
      <c r="D5244" s="8" t="str">
        <f t="shared" si="98"/>
        <v>2012-11 (ноябрь 2012)</v>
      </c>
      <c r="E5244" s="9" t="s">
        <v>21</v>
      </c>
      <c r="F5244" s="7">
        <v>13</v>
      </c>
      <c r="G5244" s="7">
        <v>87.91</v>
      </c>
      <c r="H5244" s="7">
        <v>0.05</v>
      </c>
      <c r="I5244" s="9" t="s">
        <v>22</v>
      </c>
      <c r="J5244" s="10">
        <v>-27.91</v>
      </c>
      <c r="K5244" s="11">
        <v>6.68</v>
      </c>
      <c r="L5244" s="11">
        <v>5.41</v>
      </c>
      <c r="M5244" s="9" t="s">
        <v>1877</v>
      </c>
      <c r="N5244" s="6" t="s">
        <v>672</v>
      </c>
      <c r="O5244" s="6" t="s">
        <v>673</v>
      </c>
      <c r="P5244" s="9" t="s">
        <v>60</v>
      </c>
      <c r="Q5244" s="9" t="s">
        <v>26</v>
      </c>
      <c r="R5244" s="9" t="s">
        <v>61</v>
      </c>
      <c r="S5244" s="7" t="s">
        <v>1827</v>
      </c>
      <c r="T5244" s="9" t="s">
        <v>39</v>
      </c>
      <c r="U5244" s="7">
        <v>0.37</v>
      </c>
      <c r="V5244" s="12">
        <f>C5244+2</f>
        <v>41240</v>
      </c>
      <c r="W5244">
        <f>IF(D5244=' Pivot Tables'!$A$4,1,0)</f>
        <v>0</v>
      </c>
      <c r="X5244">
        <f>IF(AND(LEFT(D5244,4)+1=LEFT(' Pivot Tables'!$A$4,4)+0,RIGHT(LEFT(D5244,7),2)=RIGHT(LEFT(' Pivot Tables'!$A$4,7),2)),1,0)</f>
        <v>0</v>
      </c>
      <c r="Y5244" s="6">
        <f>1/COUNTIF(Таблица1[Order ID],Таблица1[[#This Row],[Order ID]])</f>
        <v>1</v>
      </c>
      <c r="Z5244" s="9">
        <f>1/COUNTIFS(Таблица1[Customer Name],Таблица1[[#This Row],[Customer Name]],Таблица1[Order-Year-Month],Таблица1[[#This Row],[Order-Year-Month]])</f>
        <v>1</v>
      </c>
    </row>
    <row r="5245" spans="1:26" x14ac:dyDescent="0.2">
      <c r="A5245" s="6">
        <v>6714</v>
      </c>
      <c r="B5245" s="7">
        <v>47844</v>
      </c>
      <c r="C5245" s="8">
        <f>DATE(2012,12,31)-750</f>
        <v>40524</v>
      </c>
      <c r="D5245" s="8" t="str">
        <f t="shared" si="98"/>
        <v>2010-12 (декабрь 2010)</v>
      </c>
      <c r="E5245" s="9" t="s">
        <v>78</v>
      </c>
      <c r="F5245" s="7">
        <v>41</v>
      </c>
      <c r="G5245" s="7">
        <v>5824.01</v>
      </c>
      <c r="H5245" s="7">
        <v>0.1</v>
      </c>
      <c r="I5245" s="9" t="s">
        <v>31</v>
      </c>
      <c r="J5245" s="10">
        <v>-288.68</v>
      </c>
      <c r="K5245" s="11">
        <v>150.97999999999999</v>
      </c>
      <c r="L5245" s="11">
        <v>30</v>
      </c>
      <c r="M5245" s="9" t="s">
        <v>982</v>
      </c>
      <c r="N5245" s="6" t="s">
        <v>672</v>
      </c>
      <c r="O5245" s="6" t="s">
        <v>673</v>
      </c>
      <c r="P5245" s="9" t="s">
        <v>33</v>
      </c>
      <c r="Q5245" s="9" t="s">
        <v>49</v>
      </c>
      <c r="R5245" s="9" t="s">
        <v>112</v>
      </c>
      <c r="S5245" s="7" t="s">
        <v>731</v>
      </c>
      <c r="T5245" s="9" t="s">
        <v>36</v>
      </c>
      <c r="U5245" s="7">
        <v>0.74</v>
      </c>
      <c r="V5245" s="12">
        <f>C5245+2</f>
        <v>40526</v>
      </c>
      <c r="W5245">
        <f>IF(D5245=' Pivot Tables'!$A$4,1,0)</f>
        <v>0</v>
      </c>
      <c r="X5245">
        <f>IF(AND(LEFT(D5245,4)+1=LEFT(' Pivot Tables'!$A$4,4)+0,RIGHT(LEFT(D5245,7),2)=RIGHT(LEFT(' Pivot Tables'!$A$4,7),2)),1,0)</f>
        <v>0</v>
      </c>
      <c r="Y5245" s="6">
        <f>1/COUNTIF(Таблица1[Order ID],Таблица1[[#This Row],[Order ID]])</f>
        <v>1</v>
      </c>
      <c r="Z5245" s="9">
        <f>1/COUNTIFS(Таблица1[Customer Name],Таблица1[[#This Row],[Customer Name]],Таблица1[Order-Year-Month],Таблица1[[#This Row],[Order-Year-Month]])</f>
        <v>1</v>
      </c>
    </row>
    <row r="5246" spans="1:26" x14ac:dyDescent="0.2">
      <c r="A5246" s="6">
        <v>6732</v>
      </c>
      <c r="B5246" s="7">
        <v>47941</v>
      </c>
      <c r="C5246" s="8">
        <f>DATE(2012,12,31)-1241</f>
        <v>40033</v>
      </c>
      <c r="D5246" s="8" t="str">
        <f t="shared" si="98"/>
        <v>2009-08 (август 2009)</v>
      </c>
      <c r="E5246" s="9" t="s">
        <v>30</v>
      </c>
      <c r="F5246" s="7">
        <v>15</v>
      </c>
      <c r="G5246" s="7">
        <v>1187.1524999999999</v>
      </c>
      <c r="H5246" s="7">
        <v>0.03</v>
      </c>
      <c r="I5246" s="9" t="s">
        <v>22</v>
      </c>
      <c r="J5246" s="10">
        <v>33.192</v>
      </c>
      <c r="K5246" s="11">
        <v>95.99</v>
      </c>
      <c r="L5246" s="11">
        <v>4.9000000000000004</v>
      </c>
      <c r="M5246" s="9" t="s">
        <v>1866</v>
      </c>
      <c r="N5246" s="6" t="s">
        <v>672</v>
      </c>
      <c r="O5246" s="6" t="s">
        <v>673</v>
      </c>
      <c r="P5246" s="9" t="s">
        <v>41</v>
      </c>
      <c r="Q5246" s="9" t="s">
        <v>42</v>
      </c>
      <c r="R5246" s="9" t="s">
        <v>43</v>
      </c>
      <c r="S5246" s="7" t="s">
        <v>1254</v>
      </c>
      <c r="T5246" s="9" t="s">
        <v>39</v>
      </c>
      <c r="U5246" s="7">
        <v>0.56000000000000005</v>
      </c>
      <c r="V5246" s="12">
        <f>C5246+0</f>
        <v>40033</v>
      </c>
      <c r="W5246">
        <f>IF(D5246=' Pivot Tables'!$A$4,1,0)</f>
        <v>0</v>
      </c>
      <c r="X5246">
        <f>IF(AND(LEFT(D5246,4)+1=LEFT(' Pivot Tables'!$A$4,4)+0,RIGHT(LEFT(D5246,7),2)=RIGHT(LEFT(' Pivot Tables'!$A$4,7),2)),1,0)</f>
        <v>0</v>
      </c>
      <c r="Y5246" s="6">
        <f>1/COUNTIF(Таблица1[Order ID],Таблица1[[#This Row],[Order ID]])</f>
        <v>1</v>
      </c>
      <c r="Z5246" s="9">
        <f>1/COUNTIFS(Таблица1[Customer Name],Таблица1[[#This Row],[Customer Name]],Таблица1[Order-Year-Month],Таблица1[[#This Row],[Order-Year-Month]])</f>
        <v>1</v>
      </c>
    </row>
    <row r="5247" spans="1:26" x14ac:dyDescent="0.2">
      <c r="A5247" s="6">
        <v>6795</v>
      </c>
      <c r="B5247" s="7">
        <v>48423</v>
      </c>
      <c r="C5247" s="8">
        <f>DATE(2012,12,31)-61</f>
        <v>41213</v>
      </c>
      <c r="D5247" s="8" t="str">
        <f t="shared" si="98"/>
        <v>2012-10 (октябрь 2012)</v>
      </c>
      <c r="E5247" s="9" t="s">
        <v>30</v>
      </c>
      <c r="F5247" s="7">
        <v>49</v>
      </c>
      <c r="G5247" s="7">
        <v>414.11</v>
      </c>
      <c r="H5247" s="7">
        <v>0.08</v>
      </c>
      <c r="I5247" s="9" t="s">
        <v>22</v>
      </c>
      <c r="J5247" s="10">
        <v>-172.32</v>
      </c>
      <c r="K5247" s="11">
        <v>8.74</v>
      </c>
      <c r="L5247" s="11">
        <v>8.2899999999999991</v>
      </c>
      <c r="M5247" s="9" t="s">
        <v>1878</v>
      </c>
      <c r="N5247" s="6" t="s">
        <v>672</v>
      </c>
      <c r="O5247" s="6" t="s">
        <v>673</v>
      </c>
      <c r="P5247" s="9" t="s">
        <v>60</v>
      </c>
      <c r="Q5247" s="9" t="s">
        <v>26</v>
      </c>
      <c r="R5247" s="9" t="s">
        <v>76</v>
      </c>
      <c r="S5247" s="7" t="s">
        <v>567</v>
      </c>
      <c r="T5247" s="9" t="s">
        <v>39</v>
      </c>
      <c r="U5247" s="7">
        <v>0.38</v>
      </c>
      <c r="V5247" s="12">
        <f>C5247+0</f>
        <v>41213</v>
      </c>
      <c r="W5247">
        <f>IF(D5247=' Pivot Tables'!$A$4,1,0)</f>
        <v>0</v>
      </c>
      <c r="X5247">
        <f>IF(AND(LEFT(D5247,4)+1=LEFT(' Pivot Tables'!$A$4,4)+0,RIGHT(LEFT(D5247,7),2)=RIGHT(LEFT(' Pivot Tables'!$A$4,7),2)),1,0)</f>
        <v>0</v>
      </c>
      <c r="Y5247" s="6">
        <f>1/COUNTIF(Таблица1[Order ID],Таблица1[[#This Row],[Order ID]])</f>
        <v>1</v>
      </c>
      <c r="Z5247" s="9">
        <f>1/COUNTIFS(Таблица1[Customer Name],Таблица1[[#This Row],[Customer Name]],Таблица1[Order-Year-Month],Таблица1[[#This Row],[Order-Year-Month]])</f>
        <v>1</v>
      </c>
    </row>
    <row r="5248" spans="1:26" x14ac:dyDescent="0.2">
      <c r="A5248" s="6">
        <v>6857</v>
      </c>
      <c r="B5248" s="7">
        <v>48837</v>
      </c>
      <c r="C5248" s="8">
        <f>DATE(2012,12,31)-532</f>
        <v>40742</v>
      </c>
      <c r="D5248" s="8" t="str">
        <f t="shared" si="98"/>
        <v>2011-07 (июль 2011)</v>
      </c>
      <c r="E5248" s="9" t="s">
        <v>45</v>
      </c>
      <c r="F5248" s="7">
        <v>39</v>
      </c>
      <c r="G5248" s="7">
        <v>4799.7885000000006</v>
      </c>
      <c r="H5248" s="7">
        <v>0.09</v>
      </c>
      <c r="I5248" s="9" t="s">
        <v>22</v>
      </c>
      <c r="J5248" s="10">
        <v>1231.893</v>
      </c>
      <c r="K5248" s="11">
        <v>155.99</v>
      </c>
      <c r="L5248" s="11">
        <v>3.9</v>
      </c>
      <c r="M5248" s="9" t="s">
        <v>982</v>
      </c>
      <c r="N5248" s="6" t="s">
        <v>672</v>
      </c>
      <c r="O5248" s="6" t="s">
        <v>673</v>
      </c>
      <c r="P5248" s="9" t="s">
        <v>41</v>
      </c>
      <c r="Q5248" s="9" t="s">
        <v>42</v>
      </c>
      <c r="R5248" s="9" t="s">
        <v>43</v>
      </c>
      <c r="S5248" s="7" t="s">
        <v>257</v>
      </c>
      <c r="T5248" s="9" t="s">
        <v>39</v>
      </c>
      <c r="U5248" s="7">
        <v>0.55000000000000004</v>
      </c>
      <c r="V5248" s="12">
        <f>C5248+2</f>
        <v>40744</v>
      </c>
      <c r="W5248">
        <f>IF(D5248=' Pivot Tables'!$A$4,1,0)</f>
        <v>0</v>
      </c>
      <c r="X5248">
        <f>IF(AND(LEFT(D5248,4)+1=LEFT(' Pivot Tables'!$A$4,4)+0,RIGHT(LEFT(D5248,7),2)=RIGHT(LEFT(' Pivot Tables'!$A$4,7),2)),1,0)</f>
        <v>0</v>
      </c>
      <c r="Y5248" s="6">
        <f>1/COUNTIF(Таблица1[Order ID],Таблица1[[#This Row],[Order ID]])</f>
        <v>1</v>
      </c>
      <c r="Z5248" s="9">
        <f>1/COUNTIFS(Таблица1[Customer Name],Таблица1[[#This Row],[Customer Name]],Таблица1[Order-Year-Month],Таблица1[[#This Row],[Order-Year-Month]])</f>
        <v>1</v>
      </c>
    </row>
    <row r="5249" spans="1:26" x14ac:dyDescent="0.2">
      <c r="A5249" s="6">
        <v>6874</v>
      </c>
      <c r="B5249" s="7">
        <v>48993</v>
      </c>
      <c r="C5249" s="8">
        <f>DATE(2012,12,31)-214</f>
        <v>41060</v>
      </c>
      <c r="D5249" s="8" t="str">
        <f t="shared" si="98"/>
        <v>2012-05 (май 2012)</v>
      </c>
      <c r="E5249" s="9" t="s">
        <v>21</v>
      </c>
      <c r="F5249" s="7">
        <v>17</v>
      </c>
      <c r="G5249" s="7">
        <v>122.42</v>
      </c>
      <c r="H5249" s="7">
        <v>0.08</v>
      </c>
      <c r="I5249" s="9" t="s">
        <v>56</v>
      </c>
      <c r="J5249" s="10">
        <v>-37.04</v>
      </c>
      <c r="K5249" s="11">
        <v>6.48</v>
      </c>
      <c r="L5249" s="11">
        <v>6.22</v>
      </c>
      <c r="M5249" s="9" t="s">
        <v>1868</v>
      </c>
      <c r="N5249" s="6" t="s">
        <v>672</v>
      </c>
      <c r="O5249" s="6" t="s">
        <v>673</v>
      </c>
      <c r="P5249" s="9" t="s">
        <v>33</v>
      </c>
      <c r="Q5249" s="9" t="s">
        <v>26</v>
      </c>
      <c r="R5249" s="9" t="s">
        <v>61</v>
      </c>
      <c r="S5249" s="7" t="s">
        <v>943</v>
      </c>
      <c r="T5249" s="9" t="s">
        <v>39</v>
      </c>
      <c r="U5249" s="7">
        <v>0.37</v>
      </c>
      <c r="V5249" s="12">
        <f>C5249+0</f>
        <v>41060</v>
      </c>
      <c r="W5249">
        <f>IF(D5249=' Pivot Tables'!$A$4,1,0)</f>
        <v>0</v>
      </c>
      <c r="X5249">
        <f>IF(AND(LEFT(D5249,4)+1=LEFT(' Pivot Tables'!$A$4,4)+0,RIGHT(LEFT(D5249,7),2)=RIGHT(LEFT(' Pivot Tables'!$A$4,7),2)),1,0)</f>
        <v>0</v>
      </c>
      <c r="Y5249" s="6">
        <f>1/COUNTIF(Таблица1[Order ID],Таблица1[[#This Row],[Order ID]])</f>
        <v>1</v>
      </c>
      <c r="Z5249" s="9">
        <f>1/COUNTIFS(Таблица1[Customer Name],Таблица1[[#This Row],[Customer Name]],Таблица1[Order-Year-Month],Таблица1[[#This Row],[Order-Year-Month]])</f>
        <v>0.5</v>
      </c>
    </row>
    <row r="5250" spans="1:26" x14ac:dyDescent="0.2">
      <c r="A5250" s="6">
        <v>6889</v>
      </c>
      <c r="B5250" s="7">
        <v>49123</v>
      </c>
      <c r="C5250" s="8">
        <f>DATE(2012,12,31)-1405</f>
        <v>39869</v>
      </c>
      <c r="D5250" s="8" t="str">
        <f t="shared" si="98"/>
        <v>2009-02 (февраль 2009)</v>
      </c>
      <c r="E5250" s="9" t="s">
        <v>30</v>
      </c>
      <c r="F5250" s="7">
        <v>31</v>
      </c>
      <c r="G5250" s="7">
        <v>305.76</v>
      </c>
      <c r="H5250" s="7">
        <v>0.1</v>
      </c>
      <c r="I5250" s="9" t="s">
        <v>22</v>
      </c>
      <c r="J5250" s="10">
        <v>-22.528500000000001</v>
      </c>
      <c r="K5250" s="11">
        <v>10.44</v>
      </c>
      <c r="L5250" s="11">
        <v>5.75</v>
      </c>
      <c r="M5250" s="9" t="s">
        <v>1855</v>
      </c>
      <c r="N5250" s="6" t="s">
        <v>672</v>
      </c>
      <c r="O5250" s="6" t="s">
        <v>673</v>
      </c>
      <c r="P5250" s="9" t="s">
        <v>41</v>
      </c>
      <c r="Q5250" s="9" t="s">
        <v>26</v>
      </c>
      <c r="R5250" s="9" t="s">
        <v>37</v>
      </c>
      <c r="S5250" s="7" t="s">
        <v>1839</v>
      </c>
      <c r="T5250" s="9" t="s">
        <v>39</v>
      </c>
      <c r="U5250" s="7">
        <v>0.39</v>
      </c>
      <c r="V5250" s="12">
        <f>C5250+1</f>
        <v>39870</v>
      </c>
      <c r="W5250">
        <f>IF(D5250=' Pivot Tables'!$A$4,1,0)</f>
        <v>0</v>
      </c>
      <c r="X5250">
        <f>IF(AND(LEFT(D5250,4)+1=LEFT(' Pivot Tables'!$A$4,4)+0,RIGHT(LEFT(D5250,7),2)=RIGHT(LEFT(' Pivot Tables'!$A$4,7),2)),1,0)</f>
        <v>0</v>
      </c>
      <c r="Y5250" s="6">
        <f>1/COUNTIF(Таблица1[Order ID],Таблица1[[#This Row],[Order ID]])</f>
        <v>0.5</v>
      </c>
      <c r="Z5250" s="9">
        <f>1/COUNTIFS(Таблица1[Customer Name],Таблица1[[#This Row],[Customer Name]],Таблица1[Order-Year-Month],Таблица1[[#This Row],[Order-Year-Month]])</f>
        <v>0.33333333333333331</v>
      </c>
    </row>
    <row r="5251" spans="1:26" x14ac:dyDescent="0.2">
      <c r="A5251" s="6">
        <v>6890</v>
      </c>
      <c r="B5251" s="7">
        <v>49123</v>
      </c>
      <c r="C5251" s="8">
        <f>DATE(2012,12,31)-1405</f>
        <v>39869</v>
      </c>
      <c r="D5251" s="8" t="str">
        <f t="shared" ref="D5251:D5314" si="99">TEXT(C5251,"гггг-ММ (ММММ гггг)")</f>
        <v>2009-02 (февраль 2009)</v>
      </c>
      <c r="E5251" s="9" t="s">
        <v>30</v>
      </c>
      <c r="F5251" s="7">
        <v>3</v>
      </c>
      <c r="G5251" s="7">
        <v>25.48</v>
      </c>
      <c r="H5251" s="7">
        <v>0.06</v>
      </c>
      <c r="I5251" s="9" t="s">
        <v>22</v>
      </c>
      <c r="J5251" s="10">
        <v>-26.8</v>
      </c>
      <c r="K5251" s="11">
        <v>8.33</v>
      </c>
      <c r="L5251" s="11">
        <v>1.99</v>
      </c>
      <c r="M5251" s="9" t="s">
        <v>1855</v>
      </c>
      <c r="N5251" s="6" t="s">
        <v>672</v>
      </c>
      <c r="O5251" s="6" t="s">
        <v>673</v>
      </c>
      <c r="P5251" s="9" t="s">
        <v>41</v>
      </c>
      <c r="Q5251" s="9" t="s">
        <v>42</v>
      </c>
      <c r="R5251" s="9" t="s">
        <v>70</v>
      </c>
      <c r="S5251" s="7" t="s">
        <v>324</v>
      </c>
      <c r="T5251" s="9" t="s">
        <v>52</v>
      </c>
      <c r="U5251" s="7">
        <v>0.52</v>
      </c>
      <c r="V5251" s="12">
        <f>C5251+1</f>
        <v>39870</v>
      </c>
      <c r="W5251">
        <f>IF(D5251=' Pivot Tables'!$A$4,1,0)</f>
        <v>0</v>
      </c>
      <c r="X5251">
        <f>IF(AND(LEFT(D5251,4)+1=LEFT(' Pivot Tables'!$A$4,4)+0,RIGHT(LEFT(D5251,7),2)=RIGHT(LEFT(' Pivot Tables'!$A$4,7),2)),1,0)</f>
        <v>0</v>
      </c>
      <c r="Y5251" s="6">
        <f>1/COUNTIF(Таблица1[Order ID],Таблица1[[#This Row],[Order ID]])</f>
        <v>0.5</v>
      </c>
      <c r="Z5251" s="9">
        <f>1/COUNTIFS(Таблица1[Customer Name],Таблица1[[#This Row],[Customer Name]],Таблица1[Order-Year-Month],Таблица1[[#This Row],[Order-Year-Month]])</f>
        <v>0.33333333333333331</v>
      </c>
    </row>
    <row r="5252" spans="1:26" x14ac:dyDescent="0.2">
      <c r="A5252" s="6">
        <v>6903</v>
      </c>
      <c r="B5252" s="7">
        <v>49220</v>
      </c>
      <c r="C5252" s="8">
        <f>DATE(2012,12,31)-506</f>
        <v>40768</v>
      </c>
      <c r="D5252" s="8" t="str">
        <f t="shared" si="99"/>
        <v>2011-08 (август 2011)</v>
      </c>
      <c r="E5252" s="9" t="s">
        <v>78</v>
      </c>
      <c r="F5252" s="7">
        <v>13</v>
      </c>
      <c r="G5252" s="7">
        <v>409.97</v>
      </c>
      <c r="H5252" s="7">
        <v>7.0000000000000007E-2</v>
      </c>
      <c r="I5252" s="9" t="s">
        <v>22</v>
      </c>
      <c r="J5252" s="10">
        <v>39.36</v>
      </c>
      <c r="K5252" s="11">
        <v>33.619999999999997</v>
      </c>
      <c r="L5252" s="11">
        <v>3.5</v>
      </c>
      <c r="M5252" s="9" t="s">
        <v>1866</v>
      </c>
      <c r="N5252" s="6" t="s">
        <v>672</v>
      </c>
      <c r="O5252" s="6" t="s">
        <v>673</v>
      </c>
      <c r="P5252" s="9" t="s">
        <v>41</v>
      </c>
      <c r="Q5252" s="9" t="s">
        <v>26</v>
      </c>
      <c r="R5252" s="9" t="s">
        <v>34</v>
      </c>
      <c r="S5252" s="7" t="s">
        <v>1899</v>
      </c>
      <c r="T5252" s="9" t="s">
        <v>39</v>
      </c>
      <c r="U5252" s="7">
        <v>0.59</v>
      </c>
      <c r="V5252" s="12">
        <f>C5252+1</f>
        <v>40769</v>
      </c>
      <c r="W5252">
        <f>IF(D5252=' Pivot Tables'!$A$4,1,0)</f>
        <v>0</v>
      </c>
      <c r="X5252">
        <f>IF(AND(LEFT(D5252,4)+1=LEFT(' Pivot Tables'!$A$4,4)+0,RIGHT(LEFT(D5252,7),2)=RIGHT(LEFT(' Pivot Tables'!$A$4,7),2)),1,0)</f>
        <v>0</v>
      </c>
      <c r="Y5252" s="6">
        <f>1/COUNTIF(Таблица1[Order ID],Таблица1[[#This Row],[Order ID]])</f>
        <v>1</v>
      </c>
      <c r="Z5252" s="9">
        <f>1/COUNTIFS(Таблица1[Customer Name],Таблица1[[#This Row],[Customer Name]],Таблица1[Order-Year-Month],Таблица1[[#This Row],[Order-Year-Month]])</f>
        <v>1</v>
      </c>
    </row>
    <row r="5253" spans="1:26" x14ac:dyDescent="0.2">
      <c r="A5253" s="6">
        <v>6925</v>
      </c>
      <c r="B5253" s="7">
        <v>49409</v>
      </c>
      <c r="C5253" s="8">
        <f>DATE(2012,12,31)-503</f>
        <v>40771</v>
      </c>
      <c r="D5253" s="8" t="str">
        <f t="shared" si="99"/>
        <v>2011-08 (август 2011)</v>
      </c>
      <c r="E5253" s="9" t="s">
        <v>30</v>
      </c>
      <c r="F5253" s="7">
        <v>28</v>
      </c>
      <c r="G5253" s="7">
        <v>1457.78</v>
      </c>
      <c r="H5253" s="7">
        <v>0.04</v>
      </c>
      <c r="I5253" s="9" t="s">
        <v>22</v>
      </c>
      <c r="J5253" s="10">
        <v>68.23</v>
      </c>
      <c r="K5253" s="11">
        <v>49.99</v>
      </c>
      <c r="L5253" s="11">
        <v>19.989999999999998</v>
      </c>
      <c r="M5253" s="9" t="s">
        <v>1460</v>
      </c>
      <c r="N5253" s="6" t="s">
        <v>672</v>
      </c>
      <c r="O5253" s="6" t="s">
        <v>673</v>
      </c>
      <c r="P5253" s="9" t="s">
        <v>33</v>
      </c>
      <c r="Q5253" s="9" t="s">
        <v>42</v>
      </c>
      <c r="R5253" s="9" t="s">
        <v>70</v>
      </c>
      <c r="S5253" s="7" t="s">
        <v>1682</v>
      </c>
      <c r="T5253" s="9" t="s">
        <v>39</v>
      </c>
      <c r="U5253" s="7">
        <v>0.45</v>
      </c>
      <c r="V5253" s="12">
        <f>C5253+1</f>
        <v>40772</v>
      </c>
      <c r="W5253">
        <f>IF(D5253=' Pivot Tables'!$A$4,1,0)</f>
        <v>0</v>
      </c>
      <c r="X5253">
        <f>IF(AND(LEFT(D5253,4)+1=LEFT(' Pivot Tables'!$A$4,4)+0,RIGHT(LEFT(D5253,7),2)=RIGHT(LEFT(' Pivot Tables'!$A$4,7),2)),1,0)</f>
        <v>0</v>
      </c>
      <c r="Y5253" s="6">
        <f>1/COUNTIF(Таблица1[Order ID],Таблица1[[#This Row],[Order ID]])</f>
        <v>1</v>
      </c>
      <c r="Z5253" s="9">
        <f>1/COUNTIFS(Таблица1[Customer Name],Таблица1[[#This Row],[Customer Name]],Таблица1[Order-Year-Month],Таблица1[[#This Row],[Order-Year-Month]])</f>
        <v>1</v>
      </c>
    </row>
    <row r="5254" spans="1:26" x14ac:dyDescent="0.2">
      <c r="A5254" s="6">
        <v>6934</v>
      </c>
      <c r="B5254" s="7">
        <v>49479</v>
      </c>
      <c r="C5254" s="8">
        <f>DATE(2012,12,31)-523</f>
        <v>40751</v>
      </c>
      <c r="D5254" s="8" t="str">
        <f t="shared" si="99"/>
        <v>2011-07 (июль 2011)</v>
      </c>
      <c r="E5254" s="9" t="s">
        <v>63</v>
      </c>
      <c r="F5254" s="7">
        <v>46</v>
      </c>
      <c r="G5254" s="7">
        <v>5615.4</v>
      </c>
      <c r="H5254" s="7">
        <v>7.0000000000000007E-2</v>
      </c>
      <c r="I5254" s="9" t="s">
        <v>31</v>
      </c>
      <c r="J5254" s="10">
        <v>1807.16</v>
      </c>
      <c r="K5254" s="11">
        <v>120.97</v>
      </c>
      <c r="L5254" s="11">
        <v>26.3</v>
      </c>
      <c r="M5254" s="9" t="s">
        <v>1862</v>
      </c>
      <c r="N5254" s="6" t="s">
        <v>672</v>
      </c>
      <c r="O5254" s="6" t="s">
        <v>673</v>
      </c>
      <c r="P5254" s="9" t="s">
        <v>33</v>
      </c>
      <c r="Q5254" s="9" t="s">
        <v>42</v>
      </c>
      <c r="R5254" s="9" t="s">
        <v>210</v>
      </c>
      <c r="S5254" s="7" t="s">
        <v>487</v>
      </c>
      <c r="T5254" s="9" t="s">
        <v>36</v>
      </c>
      <c r="U5254" s="7">
        <v>0.38</v>
      </c>
      <c r="V5254" s="12">
        <f>C5254+2</f>
        <v>40753</v>
      </c>
      <c r="W5254">
        <f>IF(D5254=' Pivot Tables'!$A$4,1,0)</f>
        <v>0</v>
      </c>
      <c r="X5254">
        <f>IF(AND(LEFT(D5254,4)+1=LEFT(' Pivot Tables'!$A$4,4)+0,RIGHT(LEFT(D5254,7),2)=RIGHT(LEFT(' Pivot Tables'!$A$4,7),2)),1,0)</f>
        <v>0</v>
      </c>
      <c r="Y5254" s="6">
        <f>1/COUNTIF(Таблица1[Order ID],Таблица1[[#This Row],[Order ID]])</f>
        <v>1</v>
      </c>
      <c r="Z5254" s="9">
        <f>1/COUNTIFS(Таблица1[Customer Name],Таблица1[[#This Row],[Customer Name]],Таблица1[Order-Year-Month],Таблица1[[#This Row],[Order-Year-Month]])</f>
        <v>1</v>
      </c>
    </row>
    <row r="5255" spans="1:26" x14ac:dyDescent="0.2">
      <c r="A5255" s="6">
        <v>6943</v>
      </c>
      <c r="B5255" s="7">
        <v>49600</v>
      </c>
      <c r="C5255" s="8">
        <f>DATE(2012,12,31)-665</f>
        <v>40609</v>
      </c>
      <c r="D5255" s="8" t="str">
        <f t="shared" si="99"/>
        <v>2011-03 (март 2011)</v>
      </c>
      <c r="E5255" s="9" t="s">
        <v>21</v>
      </c>
      <c r="F5255" s="7">
        <v>33</v>
      </c>
      <c r="G5255" s="7">
        <v>1692.03</v>
      </c>
      <c r="H5255" s="7">
        <v>0.1</v>
      </c>
      <c r="I5255" s="9" t="s">
        <v>22</v>
      </c>
      <c r="J5255" s="10">
        <v>574.44000000000005</v>
      </c>
      <c r="K5255" s="11">
        <v>54.96</v>
      </c>
      <c r="L5255" s="11">
        <v>10.75</v>
      </c>
      <c r="M5255" s="9" t="s">
        <v>1789</v>
      </c>
      <c r="N5255" s="6" t="s">
        <v>672</v>
      </c>
      <c r="O5255" s="6" t="s">
        <v>673</v>
      </c>
      <c r="P5255" s="9" t="s">
        <v>60</v>
      </c>
      <c r="Q5255" s="9" t="s">
        <v>26</v>
      </c>
      <c r="R5255" s="9" t="s">
        <v>61</v>
      </c>
      <c r="S5255" s="7" t="s">
        <v>350</v>
      </c>
      <c r="T5255" s="9" t="s">
        <v>39</v>
      </c>
      <c r="U5255" s="7">
        <v>0.36</v>
      </c>
      <c r="V5255" s="12">
        <f>C5255+5</f>
        <v>40614</v>
      </c>
      <c r="W5255">
        <f>IF(D5255=' Pivot Tables'!$A$4,1,0)</f>
        <v>0</v>
      </c>
      <c r="X5255">
        <f>IF(AND(LEFT(D5255,4)+1=LEFT(' Pivot Tables'!$A$4,4)+0,RIGHT(LEFT(D5255,7),2)=RIGHT(LEFT(' Pivot Tables'!$A$4,7),2)),1,0)</f>
        <v>0</v>
      </c>
      <c r="Y5255" s="6">
        <f>1/COUNTIF(Таблица1[Order ID],Таблица1[[#This Row],[Order ID]])</f>
        <v>1</v>
      </c>
      <c r="Z5255" s="9">
        <f>1/COUNTIFS(Таблица1[Customer Name],Таблица1[[#This Row],[Customer Name]],Таблица1[Order-Year-Month],Таблица1[[#This Row],[Order-Year-Month]])</f>
        <v>1</v>
      </c>
    </row>
    <row r="5256" spans="1:26" x14ac:dyDescent="0.2">
      <c r="A5256" s="6">
        <v>6998</v>
      </c>
      <c r="B5256" s="7">
        <v>49987</v>
      </c>
      <c r="C5256" s="8">
        <f>DATE(2012,12,31)-712</f>
        <v>40562</v>
      </c>
      <c r="D5256" s="8" t="str">
        <f t="shared" si="99"/>
        <v>2011-01 (январь 2011)</v>
      </c>
      <c r="E5256" s="9" t="s">
        <v>30</v>
      </c>
      <c r="F5256" s="7">
        <v>14</v>
      </c>
      <c r="G5256" s="7">
        <v>242.28400000000002</v>
      </c>
      <c r="H5256" s="7">
        <v>0.03</v>
      </c>
      <c r="I5256" s="9" t="s">
        <v>22</v>
      </c>
      <c r="J5256" s="10">
        <v>51.75</v>
      </c>
      <c r="K5256" s="11">
        <v>20.99</v>
      </c>
      <c r="L5256" s="11">
        <v>0.99</v>
      </c>
      <c r="M5256" s="9" t="s">
        <v>982</v>
      </c>
      <c r="N5256" s="6" t="s">
        <v>672</v>
      </c>
      <c r="O5256" s="6" t="s">
        <v>673</v>
      </c>
      <c r="P5256" s="9" t="s">
        <v>33</v>
      </c>
      <c r="Q5256" s="9" t="s">
        <v>42</v>
      </c>
      <c r="R5256" s="9" t="s">
        <v>43</v>
      </c>
      <c r="S5256" s="7" t="s">
        <v>272</v>
      </c>
      <c r="T5256" s="9" t="s">
        <v>68</v>
      </c>
      <c r="U5256" s="7">
        <v>0.37</v>
      </c>
      <c r="V5256" s="12">
        <f>C5256+2</f>
        <v>40564</v>
      </c>
      <c r="W5256">
        <f>IF(D5256=' Pivot Tables'!$A$4,1,0)</f>
        <v>0</v>
      </c>
      <c r="X5256">
        <f>IF(AND(LEFT(D5256,4)+1=LEFT(' Pivot Tables'!$A$4,4)+0,RIGHT(LEFT(D5256,7),2)=RIGHT(LEFT(' Pivot Tables'!$A$4,7),2)),1,0)</f>
        <v>0</v>
      </c>
      <c r="Y5256" s="6">
        <f>1/COUNTIF(Таблица1[Order ID],Таблица1[[#This Row],[Order ID]])</f>
        <v>0.33333333333333331</v>
      </c>
      <c r="Z5256" s="9">
        <f>1/COUNTIFS(Таблица1[Customer Name],Таблица1[[#This Row],[Customer Name]],Таблица1[Order-Year-Month],Таблица1[[#This Row],[Order-Year-Month]])</f>
        <v>0.33333333333333331</v>
      </c>
    </row>
    <row r="5257" spans="1:26" x14ac:dyDescent="0.2">
      <c r="A5257" s="6">
        <v>7037</v>
      </c>
      <c r="B5257" s="7">
        <v>50242</v>
      </c>
      <c r="C5257" s="8">
        <f>DATE(2012,12,31)-896</f>
        <v>40378</v>
      </c>
      <c r="D5257" s="8" t="str">
        <f t="shared" si="99"/>
        <v>2010-07 (июль 2010)</v>
      </c>
      <c r="E5257" s="9" t="s">
        <v>45</v>
      </c>
      <c r="F5257" s="7">
        <v>8</v>
      </c>
      <c r="G5257" s="7">
        <v>1391.7644999999998</v>
      </c>
      <c r="H5257" s="7">
        <v>0.08</v>
      </c>
      <c r="I5257" s="9" t="s">
        <v>22</v>
      </c>
      <c r="J5257" s="10">
        <v>-426.07399999999996</v>
      </c>
      <c r="K5257" s="11">
        <v>205.99</v>
      </c>
      <c r="L5257" s="11">
        <v>8.99</v>
      </c>
      <c r="M5257" s="9" t="s">
        <v>1853</v>
      </c>
      <c r="N5257" s="6" t="s">
        <v>672</v>
      </c>
      <c r="O5257" s="6" t="s">
        <v>673</v>
      </c>
      <c r="P5257" s="9" t="s">
        <v>41</v>
      </c>
      <c r="Q5257" s="9" t="s">
        <v>42</v>
      </c>
      <c r="R5257" s="9" t="s">
        <v>43</v>
      </c>
      <c r="S5257" s="7" t="s">
        <v>1444</v>
      </c>
      <c r="T5257" s="9" t="s">
        <v>39</v>
      </c>
      <c r="U5257" s="7">
        <v>0.56000000000000005</v>
      </c>
      <c r="V5257" s="12">
        <f>C5257+2</f>
        <v>40380</v>
      </c>
      <c r="W5257">
        <f>IF(D5257=' Pivot Tables'!$A$4,1,0)</f>
        <v>0</v>
      </c>
      <c r="X5257">
        <f>IF(AND(LEFT(D5257,4)+1=LEFT(' Pivot Tables'!$A$4,4)+0,RIGHT(LEFT(D5257,7),2)=RIGHT(LEFT(' Pivot Tables'!$A$4,7),2)),1,0)</f>
        <v>0</v>
      </c>
      <c r="Y5257" s="6">
        <f>1/COUNTIF(Таблица1[Order ID],Таблица1[[#This Row],[Order ID]])</f>
        <v>1</v>
      </c>
      <c r="Z5257" s="9">
        <f>1/COUNTIFS(Таблица1[Customer Name],Таблица1[[#This Row],[Customer Name]],Таблица1[Order-Year-Month],Таблица1[[#This Row],[Order-Year-Month]])</f>
        <v>1</v>
      </c>
    </row>
    <row r="5258" spans="1:26" x14ac:dyDescent="0.2">
      <c r="A5258" s="6">
        <v>7039</v>
      </c>
      <c r="B5258" s="7">
        <v>50275</v>
      </c>
      <c r="C5258" s="8">
        <f>DATE(2012,12,31)-1122</f>
        <v>40152</v>
      </c>
      <c r="D5258" s="8" t="str">
        <f t="shared" si="99"/>
        <v>2009-12 (декабрь 2009)</v>
      </c>
      <c r="E5258" s="9" t="s">
        <v>63</v>
      </c>
      <c r="F5258" s="7">
        <v>5</v>
      </c>
      <c r="G5258" s="7">
        <v>9704.3700000000008</v>
      </c>
      <c r="H5258" s="7">
        <v>0.03</v>
      </c>
      <c r="I5258" s="9" t="s">
        <v>56</v>
      </c>
      <c r="J5258" s="10">
        <v>-1565.913</v>
      </c>
      <c r="K5258" s="11">
        <v>1938.02</v>
      </c>
      <c r="L5258" s="11">
        <v>13.99</v>
      </c>
      <c r="M5258" s="9" t="s">
        <v>1869</v>
      </c>
      <c r="N5258" s="6" t="s">
        <v>672</v>
      </c>
      <c r="O5258" s="6" t="s">
        <v>673</v>
      </c>
      <c r="P5258" s="9" t="s">
        <v>60</v>
      </c>
      <c r="Q5258" s="9" t="s">
        <v>42</v>
      </c>
      <c r="R5258" s="9" t="s">
        <v>210</v>
      </c>
      <c r="S5258" s="7" t="s">
        <v>214</v>
      </c>
      <c r="T5258" s="9" t="s">
        <v>48</v>
      </c>
      <c r="U5258" s="7">
        <v>0.38</v>
      </c>
      <c r="V5258" s="12">
        <f>C5258+1</f>
        <v>40153</v>
      </c>
      <c r="W5258">
        <f>IF(D5258=' Pivot Tables'!$A$4,1,0)</f>
        <v>0</v>
      </c>
      <c r="X5258">
        <f>IF(AND(LEFT(D5258,4)+1=LEFT(' Pivot Tables'!$A$4,4)+0,RIGHT(LEFT(D5258,7),2)=RIGHT(LEFT(' Pivot Tables'!$A$4,7),2)),1,0)</f>
        <v>0</v>
      </c>
      <c r="Y5258" s="6">
        <f>1/COUNTIF(Таблица1[Order ID],Таблица1[[#This Row],[Order ID]])</f>
        <v>0.5</v>
      </c>
      <c r="Z5258" s="9">
        <f>1/COUNTIFS(Таблица1[Customer Name],Таблица1[[#This Row],[Customer Name]],Таблица1[Order-Year-Month],Таблица1[[#This Row],[Order-Year-Month]])</f>
        <v>0.5</v>
      </c>
    </row>
    <row r="5259" spans="1:26" x14ac:dyDescent="0.2">
      <c r="A5259" s="6">
        <v>7040</v>
      </c>
      <c r="B5259" s="7">
        <v>50275</v>
      </c>
      <c r="C5259" s="8">
        <f>DATE(2012,12,31)-1122</f>
        <v>40152</v>
      </c>
      <c r="D5259" s="8" t="str">
        <f t="shared" si="99"/>
        <v>2009-12 (декабрь 2009)</v>
      </c>
      <c r="E5259" s="9" t="s">
        <v>63</v>
      </c>
      <c r="F5259" s="7">
        <v>31</v>
      </c>
      <c r="G5259" s="7">
        <v>211.94</v>
      </c>
      <c r="H5259" s="7">
        <v>0.05</v>
      </c>
      <c r="I5259" s="9" t="s">
        <v>22</v>
      </c>
      <c r="J5259" s="10">
        <v>-56.39</v>
      </c>
      <c r="K5259" s="11">
        <v>6.48</v>
      </c>
      <c r="L5259" s="11">
        <v>5.84</v>
      </c>
      <c r="M5259" s="9" t="s">
        <v>1869</v>
      </c>
      <c r="N5259" s="6" t="s">
        <v>672</v>
      </c>
      <c r="O5259" s="6" t="s">
        <v>673</v>
      </c>
      <c r="P5259" s="9" t="s">
        <v>60</v>
      </c>
      <c r="Q5259" s="9" t="s">
        <v>26</v>
      </c>
      <c r="R5259" s="9" t="s">
        <v>61</v>
      </c>
      <c r="S5259" s="7" t="s">
        <v>776</v>
      </c>
      <c r="T5259" s="9" t="s">
        <v>39</v>
      </c>
      <c r="U5259" s="7">
        <v>0.37</v>
      </c>
      <c r="V5259" s="12">
        <f>C5259+1</f>
        <v>40153</v>
      </c>
      <c r="W5259">
        <f>IF(D5259=' Pivot Tables'!$A$4,1,0)</f>
        <v>0</v>
      </c>
      <c r="X5259">
        <f>IF(AND(LEFT(D5259,4)+1=LEFT(' Pivot Tables'!$A$4,4)+0,RIGHT(LEFT(D5259,7),2)=RIGHT(LEFT(' Pivot Tables'!$A$4,7),2)),1,0)</f>
        <v>0</v>
      </c>
      <c r="Y5259" s="6">
        <f>1/COUNTIF(Таблица1[Order ID],Таблица1[[#This Row],[Order ID]])</f>
        <v>0.5</v>
      </c>
      <c r="Z5259" s="9">
        <f>1/COUNTIFS(Таблица1[Customer Name],Таблица1[[#This Row],[Customer Name]],Таблица1[Order-Year-Month],Таблица1[[#This Row],[Order-Year-Month]])</f>
        <v>0.5</v>
      </c>
    </row>
    <row r="5260" spans="1:26" x14ac:dyDescent="0.2">
      <c r="A5260" s="6">
        <v>7061</v>
      </c>
      <c r="B5260" s="7">
        <v>50403</v>
      </c>
      <c r="C5260" s="8">
        <f>DATE(2012,12,31)-233</f>
        <v>41041</v>
      </c>
      <c r="D5260" s="8" t="str">
        <f t="shared" si="99"/>
        <v>2012-05 (май 2012)</v>
      </c>
      <c r="E5260" s="9" t="s">
        <v>45</v>
      </c>
      <c r="F5260" s="7">
        <v>22</v>
      </c>
      <c r="G5260" s="7">
        <v>142.88</v>
      </c>
      <c r="H5260" s="7">
        <v>0.08</v>
      </c>
      <c r="I5260" s="9" t="s">
        <v>22</v>
      </c>
      <c r="J5260" s="10">
        <v>35.369999999999997</v>
      </c>
      <c r="K5260" s="11">
        <v>6.98</v>
      </c>
      <c r="L5260" s="11">
        <v>1.6</v>
      </c>
      <c r="M5260" s="9" t="s">
        <v>1875</v>
      </c>
      <c r="N5260" s="6" t="s">
        <v>672</v>
      </c>
      <c r="O5260" s="6" t="s">
        <v>673</v>
      </c>
      <c r="P5260" s="9" t="s">
        <v>41</v>
      </c>
      <c r="Q5260" s="9" t="s">
        <v>26</v>
      </c>
      <c r="R5260" s="9" t="s">
        <v>61</v>
      </c>
      <c r="S5260" s="7" t="s">
        <v>829</v>
      </c>
      <c r="T5260" s="9" t="s">
        <v>68</v>
      </c>
      <c r="U5260" s="7">
        <v>0.38</v>
      </c>
      <c r="V5260" s="12">
        <f>C5260+1</f>
        <v>41042</v>
      </c>
      <c r="W5260">
        <f>IF(D5260=' Pivot Tables'!$A$4,1,0)</f>
        <v>0</v>
      </c>
      <c r="X5260">
        <f>IF(AND(LEFT(D5260,4)+1=LEFT(' Pivot Tables'!$A$4,4)+0,RIGHT(LEFT(D5260,7),2)=RIGHT(LEFT(' Pivot Tables'!$A$4,7),2)),1,0)</f>
        <v>0</v>
      </c>
      <c r="Y5260" s="6">
        <f>1/COUNTIF(Таблица1[Order ID],Таблица1[[#This Row],[Order ID]])</f>
        <v>0.5</v>
      </c>
      <c r="Z5260" s="9">
        <f>1/COUNTIFS(Таблица1[Customer Name],Таблица1[[#This Row],[Customer Name]],Таблица1[Order-Year-Month],Таблица1[[#This Row],[Order-Year-Month]])</f>
        <v>0.5</v>
      </c>
    </row>
    <row r="5261" spans="1:26" x14ac:dyDescent="0.2">
      <c r="A5261" s="6">
        <v>7065</v>
      </c>
      <c r="B5261" s="7">
        <v>50405</v>
      </c>
      <c r="C5261" s="8">
        <f>DATE(2012,12,31)-548</f>
        <v>40726</v>
      </c>
      <c r="D5261" s="8" t="str">
        <f t="shared" si="99"/>
        <v>2011-07 (июль 2011)</v>
      </c>
      <c r="E5261" s="9" t="s">
        <v>63</v>
      </c>
      <c r="F5261" s="7">
        <v>8</v>
      </c>
      <c r="G5261" s="7">
        <v>876.01</v>
      </c>
      <c r="H5261" s="7">
        <v>7.0000000000000007E-2</v>
      </c>
      <c r="I5261" s="9" t="s">
        <v>22</v>
      </c>
      <c r="J5261" s="10">
        <v>-108</v>
      </c>
      <c r="K5261" s="11">
        <v>111.03</v>
      </c>
      <c r="L5261" s="11">
        <v>8.64</v>
      </c>
      <c r="M5261" s="9" t="s">
        <v>1687</v>
      </c>
      <c r="N5261" s="6" t="s">
        <v>672</v>
      </c>
      <c r="O5261" s="6" t="s">
        <v>673</v>
      </c>
      <c r="P5261" s="9" t="s">
        <v>25</v>
      </c>
      <c r="Q5261" s="9" t="s">
        <v>26</v>
      </c>
      <c r="R5261" s="9" t="s">
        <v>27</v>
      </c>
      <c r="S5261" s="7" t="s">
        <v>199</v>
      </c>
      <c r="T5261" s="9" t="s">
        <v>39</v>
      </c>
      <c r="U5261" s="7">
        <v>0.78</v>
      </c>
      <c r="V5261" s="12">
        <f>C5261+0</f>
        <v>40726</v>
      </c>
      <c r="W5261">
        <f>IF(D5261=' Pivot Tables'!$A$4,1,0)</f>
        <v>0</v>
      </c>
      <c r="X5261">
        <f>IF(AND(LEFT(D5261,4)+1=LEFT(' Pivot Tables'!$A$4,4)+0,RIGHT(LEFT(D5261,7),2)=RIGHT(LEFT(' Pivot Tables'!$A$4,7),2)),1,0)</f>
        <v>0</v>
      </c>
      <c r="Y5261" s="6">
        <f>1/COUNTIF(Таблица1[Order ID],Таблица1[[#This Row],[Order ID]])</f>
        <v>1</v>
      </c>
      <c r="Z5261" s="9">
        <f>1/COUNTIFS(Таблица1[Customer Name],Таблица1[[#This Row],[Customer Name]],Таблица1[Order-Year-Month],Таблица1[[#This Row],[Order-Year-Month]])</f>
        <v>1</v>
      </c>
    </row>
    <row r="5262" spans="1:26" x14ac:dyDescent="0.2">
      <c r="A5262" s="6">
        <v>7069</v>
      </c>
      <c r="B5262" s="7">
        <v>50464</v>
      </c>
      <c r="C5262" s="8">
        <f>DATE(2012,12,31)-461</f>
        <v>40813</v>
      </c>
      <c r="D5262" s="8" t="str">
        <f t="shared" si="99"/>
        <v>2011-09 (сентябрь 2011)</v>
      </c>
      <c r="E5262" s="9" t="s">
        <v>78</v>
      </c>
      <c r="F5262" s="7">
        <v>7</v>
      </c>
      <c r="G5262" s="7">
        <v>105.94</v>
      </c>
      <c r="H5262" s="7">
        <v>7.0000000000000007E-2</v>
      </c>
      <c r="I5262" s="9" t="s">
        <v>22</v>
      </c>
      <c r="J5262" s="10">
        <v>-13.3285</v>
      </c>
      <c r="K5262" s="11">
        <v>14.45</v>
      </c>
      <c r="L5262" s="11">
        <v>7.17</v>
      </c>
      <c r="M5262" s="9" t="s">
        <v>1460</v>
      </c>
      <c r="N5262" s="6" t="s">
        <v>672</v>
      </c>
      <c r="O5262" s="6" t="s">
        <v>673</v>
      </c>
      <c r="P5262" s="9" t="s">
        <v>41</v>
      </c>
      <c r="Q5262" s="9" t="s">
        <v>26</v>
      </c>
      <c r="R5262" s="9" t="s">
        <v>37</v>
      </c>
      <c r="S5262" s="7" t="s">
        <v>1125</v>
      </c>
      <c r="T5262" s="9" t="s">
        <v>39</v>
      </c>
      <c r="U5262" s="7">
        <v>0.38</v>
      </c>
      <c r="V5262" s="12">
        <f>C5262+3</f>
        <v>40816</v>
      </c>
      <c r="W5262">
        <f>IF(D5262=' Pivot Tables'!$A$4,1,0)</f>
        <v>0</v>
      </c>
      <c r="X5262">
        <f>IF(AND(LEFT(D5262,4)+1=LEFT(' Pivot Tables'!$A$4,4)+0,RIGHT(LEFT(D5262,7),2)=RIGHT(LEFT(' Pivot Tables'!$A$4,7),2)),1,0)</f>
        <v>0</v>
      </c>
      <c r="Y5262" s="6">
        <f>1/COUNTIF(Таблица1[Order ID],Таблица1[[#This Row],[Order ID]])</f>
        <v>1</v>
      </c>
      <c r="Z5262" s="9">
        <f>1/COUNTIFS(Таблица1[Customer Name],Таблица1[[#This Row],[Customer Name]],Таблица1[Order-Year-Month],Таблица1[[#This Row],[Order-Year-Month]])</f>
        <v>1</v>
      </c>
    </row>
    <row r="5263" spans="1:26" x14ac:dyDescent="0.2">
      <c r="A5263" s="6">
        <v>7070</v>
      </c>
      <c r="B5263" s="7">
        <v>50465</v>
      </c>
      <c r="C5263" s="8">
        <f>DATE(2012,12,31)-661</f>
        <v>40613</v>
      </c>
      <c r="D5263" s="8" t="str">
        <f t="shared" si="99"/>
        <v>2011-03 (март 2011)</v>
      </c>
      <c r="E5263" s="9" t="s">
        <v>63</v>
      </c>
      <c r="F5263" s="7">
        <v>29</v>
      </c>
      <c r="G5263" s="7">
        <v>1337.08</v>
      </c>
      <c r="H5263" s="7">
        <v>0.1</v>
      </c>
      <c r="I5263" s="9" t="s">
        <v>22</v>
      </c>
      <c r="J5263" s="10">
        <v>-953</v>
      </c>
      <c r="K5263" s="11">
        <v>48.91</v>
      </c>
      <c r="L5263" s="11">
        <v>35</v>
      </c>
      <c r="M5263" s="9" t="s">
        <v>1848</v>
      </c>
      <c r="N5263" s="6" t="s">
        <v>672</v>
      </c>
      <c r="O5263" s="6" t="s">
        <v>673</v>
      </c>
      <c r="P5263" s="9" t="s">
        <v>25</v>
      </c>
      <c r="Q5263" s="9" t="s">
        <v>26</v>
      </c>
      <c r="R5263" s="9" t="s">
        <v>27</v>
      </c>
      <c r="S5263" s="7" t="s">
        <v>418</v>
      </c>
      <c r="T5263" s="9" t="s">
        <v>29</v>
      </c>
      <c r="U5263" s="7">
        <v>0.83</v>
      </c>
      <c r="V5263" s="12">
        <f>C5263+2</f>
        <v>40615</v>
      </c>
      <c r="W5263">
        <f>IF(D5263=' Pivot Tables'!$A$4,1,0)</f>
        <v>0</v>
      </c>
      <c r="X5263">
        <f>IF(AND(LEFT(D5263,4)+1=LEFT(' Pivot Tables'!$A$4,4)+0,RIGHT(LEFT(D5263,7),2)=RIGHT(LEFT(' Pivot Tables'!$A$4,7),2)),1,0)</f>
        <v>0</v>
      </c>
      <c r="Y5263" s="6">
        <f>1/COUNTIF(Таблица1[Order ID],Таблица1[[#This Row],[Order ID]])</f>
        <v>1</v>
      </c>
      <c r="Z5263" s="9">
        <f>1/COUNTIFS(Таблица1[Customer Name],Таблица1[[#This Row],[Customer Name]],Таблица1[Order-Year-Month],Таблица1[[#This Row],[Order-Year-Month]])</f>
        <v>0.5</v>
      </c>
    </row>
    <row r="5264" spans="1:26" x14ac:dyDescent="0.2">
      <c r="A5264" s="6">
        <v>7072</v>
      </c>
      <c r="B5264" s="7">
        <v>50469</v>
      </c>
      <c r="C5264" s="8">
        <f>DATE(2012,12,31)-926</f>
        <v>40348</v>
      </c>
      <c r="D5264" s="8" t="str">
        <f t="shared" si="99"/>
        <v>2010-06 (июнь 2010)</v>
      </c>
      <c r="E5264" s="9" t="s">
        <v>45</v>
      </c>
      <c r="F5264" s="7">
        <v>44</v>
      </c>
      <c r="G5264" s="7">
        <v>839.19</v>
      </c>
      <c r="H5264" s="7">
        <v>0</v>
      </c>
      <c r="I5264" s="9" t="s">
        <v>22</v>
      </c>
      <c r="J5264" s="10">
        <v>76.38</v>
      </c>
      <c r="K5264" s="11">
        <v>17.98</v>
      </c>
      <c r="L5264" s="11">
        <v>8.51</v>
      </c>
      <c r="M5264" s="9" t="s">
        <v>1439</v>
      </c>
      <c r="N5264" s="6" t="s">
        <v>672</v>
      </c>
      <c r="O5264" s="6" t="s">
        <v>673</v>
      </c>
      <c r="P5264" s="9" t="s">
        <v>33</v>
      </c>
      <c r="Q5264" s="9" t="s">
        <v>42</v>
      </c>
      <c r="R5264" s="9" t="s">
        <v>210</v>
      </c>
      <c r="S5264" s="7" t="s">
        <v>277</v>
      </c>
      <c r="T5264" s="9" t="s">
        <v>48</v>
      </c>
      <c r="U5264" s="7">
        <v>0.4</v>
      </c>
      <c r="V5264" s="12">
        <f>C5264+1</f>
        <v>40349</v>
      </c>
      <c r="W5264">
        <f>IF(D5264=' Pivot Tables'!$A$4,1,0)</f>
        <v>0</v>
      </c>
      <c r="X5264">
        <f>IF(AND(LEFT(D5264,4)+1=LEFT(' Pivot Tables'!$A$4,4)+0,RIGHT(LEFT(D5264,7),2)=RIGHT(LEFT(' Pivot Tables'!$A$4,7),2)),1,0)</f>
        <v>0</v>
      </c>
      <c r="Y5264" s="6">
        <f>1/COUNTIF(Таблица1[Order ID],Таблица1[[#This Row],[Order ID]])</f>
        <v>1</v>
      </c>
      <c r="Z5264" s="9">
        <f>1/COUNTIFS(Таблица1[Customer Name],Таблица1[[#This Row],[Customer Name]],Таблица1[Order-Year-Month],Таблица1[[#This Row],[Order-Year-Month]])</f>
        <v>1</v>
      </c>
    </row>
    <row r="5265" spans="1:26" x14ac:dyDescent="0.2">
      <c r="A5265" s="6">
        <v>7118</v>
      </c>
      <c r="B5265" s="7">
        <v>50789</v>
      </c>
      <c r="C5265" s="8">
        <f>DATE(2012,12,31)-660</f>
        <v>40614</v>
      </c>
      <c r="D5265" s="8" t="str">
        <f t="shared" si="99"/>
        <v>2011-03 (март 2011)</v>
      </c>
      <c r="E5265" s="9" t="s">
        <v>45</v>
      </c>
      <c r="F5265" s="7">
        <v>23</v>
      </c>
      <c r="G5265" s="7">
        <v>8673.9</v>
      </c>
      <c r="H5265" s="7">
        <v>0.1</v>
      </c>
      <c r="I5265" s="9" t="s">
        <v>22</v>
      </c>
      <c r="J5265" s="10">
        <v>3440.0519999999997</v>
      </c>
      <c r="K5265" s="11">
        <v>387.99</v>
      </c>
      <c r="L5265" s="11">
        <v>19.989999999999998</v>
      </c>
      <c r="M5265" s="9" t="s">
        <v>1879</v>
      </c>
      <c r="N5265" s="6" t="s">
        <v>672</v>
      </c>
      <c r="O5265" s="6" t="s">
        <v>673</v>
      </c>
      <c r="P5265" s="9" t="s">
        <v>33</v>
      </c>
      <c r="Q5265" s="9" t="s">
        <v>26</v>
      </c>
      <c r="R5265" s="9" t="s">
        <v>37</v>
      </c>
      <c r="S5265" s="7" t="s">
        <v>366</v>
      </c>
      <c r="T5265" s="9" t="s">
        <v>39</v>
      </c>
      <c r="U5265" s="7">
        <v>0.38</v>
      </c>
      <c r="V5265" s="12">
        <f>C5265+2</f>
        <v>40616</v>
      </c>
      <c r="W5265">
        <f>IF(D5265=' Pivot Tables'!$A$4,1,0)</f>
        <v>0</v>
      </c>
      <c r="X5265">
        <f>IF(AND(LEFT(D5265,4)+1=LEFT(' Pivot Tables'!$A$4,4)+0,RIGHT(LEFT(D5265,7),2)=RIGHT(LEFT(' Pivot Tables'!$A$4,7),2)),1,0)</f>
        <v>0</v>
      </c>
      <c r="Y5265" s="6">
        <f>1/COUNTIF(Таблица1[Order ID],Таблица1[[#This Row],[Order ID]])</f>
        <v>1</v>
      </c>
      <c r="Z5265" s="9">
        <f>1/COUNTIFS(Таблица1[Customer Name],Таблица1[[#This Row],[Customer Name]],Таблица1[Order-Year-Month],Таблица1[[#This Row],[Order-Year-Month]])</f>
        <v>1</v>
      </c>
    </row>
    <row r="5266" spans="1:26" x14ac:dyDescent="0.2">
      <c r="A5266" s="6">
        <v>7153</v>
      </c>
      <c r="B5266" s="7">
        <v>51044</v>
      </c>
      <c r="C5266" s="8">
        <f>DATE(2012,12,31)-348</f>
        <v>40926</v>
      </c>
      <c r="D5266" s="8" t="str">
        <f t="shared" si="99"/>
        <v>2012-01 (январь 2012)</v>
      </c>
      <c r="E5266" s="9" t="s">
        <v>21</v>
      </c>
      <c r="F5266" s="7">
        <v>17</v>
      </c>
      <c r="G5266" s="7">
        <v>155.88999999999999</v>
      </c>
      <c r="H5266" s="7">
        <v>0.1</v>
      </c>
      <c r="I5266" s="9" t="s">
        <v>22</v>
      </c>
      <c r="J5266" s="10">
        <v>50.19</v>
      </c>
      <c r="K5266" s="11">
        <v>9.9</v>
      </c>
      <c r="L5266" s="11">
        <v>1.39</v>
      </c>
      <c r="M5266" s="9" t="s">
        <v>1849</v>
      </c>
      <c r="N5266" s="6" t="s">
        <v>672</v>
      </c>
      <c r="O5266" s="6" t="s">
        <v>673</v>
      </c>
      <c r="P5266" s="9" t="s">
        <v>33</v>
      </c>
      <c r="Q5266" s="9" t="s">
        <v>26</v>
      </c>
      <c r="R5266" s="9" t="s">
        <v>76</v>
      </c>
      <c r="S5266" s="7" t="s">
        <v>1664</v>
      </c>
      <c r="T5266" s="9" t="s">
        <v>39</v>
      </c>
      <c r="U5266" s="7">
        <v>0.37</v>
      </c>
      <c r="V5266" s="12">
        <f>C5266+0</f>
        <v>40926</v>
      </c>
      <c r="W5266">
        <f>IF(D5266=' Pivot Tables'!$A$4,1,0)</f>
        <v>0</v>
      </c>
      <c r="X5266">
        <f>IF(AND(LEFT(D5266,4)+1=LEFT(' Pivot Tables'!$A$4,4)+0,RIGHT(LEFT(D5266,7),2)=RIGHT(LEFT(' Pivot Tables'!$A$4,7),2)),1,0)</f>
        <v>0</v>
      </c>
      <c r="Y5266" s="6">
        <f>1/COUNTIF(Таблица1[Order ID],Таблица1[[#This Row],[Order ID]])</f>
        <v>0.33333333333333331</v>
      </c>
      <c r="Z5266" s="9">
        <f>1/COUNTIFS(Таблица1[Customer Name],Таблица1[[#This Row],[Customer Name]],Таблица1[Order-Year-Month],Таблица1[[#This Row],[Order-Year-Month]])</f>
        <v>0.33333333333333331</v>
      </c>
    </row>
    <row r="5267" spans="1:26" x14ac:dyDescent="0.2">
      <c r="A5267" s="6">
        <v>7154</v>
      </c>
      <c r="B5267" s="7">
        <v>51044</v>
      </c>
      <c r="C5267" s="8">
        <f>DATE(2012,12,31)-348</f>
        <v>40926</v>
      </c>
      <c r="D5267" s="8" t="str">
        <f t="shared" si="99"/>
        <v>2012-01 (январь 2012)</v>
      </c>
      <c r="E5267" s="9" t="s">
        <v>21</v>
      </c>
      <c r="F5267" s="7">
        <v>26</v>
      </c>
      <c r="G5267" s="7">
        <v>1333.18</v>
      </c>
      <c r="H5267" s="7">
        <v>7.0000000000000007E-2</v>
      </c>
      <c r="I5267" s="9" t="s">
        <v>31</v>
      </c>
      <c r="J5267" s="10">
        <v>120.01</v>
      </c>
      <c r="K5267" s="11">
        <v>50.98</v>
      </c>
      <c r="L5267" s="11">
        <v>14.19</v>
      </c>
      <c r="M5267" s="9" t="s">
        <v>1849</v>
      </c>
      <c r="N5267" s="6" t="s">
        <v>672</v>
      </c>
      <c r="O5267" s="6" t="s">
        <v>673</v>
      </c>
      <c r="P5267" s="9" t="s">
        <v>33</v>
      </c>
      <c r="Q5267" s="9" t="s">
        <v>49</v>
      </c>
      <c r="R5267" s="9" t="s">
        <v>112</v>
      </c>
      <c r="S5267" s="7" t="s">
        <v>431</v>
      </c>
      <c r="T5267" s="9" t="s">
        <v>36</v>
      </c>
      <c r="U5267" s="7">
        <v>0.56000000000000005</v>
      </c>
      <c r="V5267" s="12">
        <f>C5267+4</f>
        <v>40930</v>
      </c>
      <c r="W5267">
        <f>IF(D5267=' Pivot Tables'!$A$4,1,0)</f>
        <v>0</v>
      </c>
      <c r="X5267">
        <f>IF(AND(LEFT(D5267,4)+1=LEFT(' Pivot Tables'!$A$4,4)+0,RIGHT(LEFT(D5267,7),2)=RIGHT(LEFT(' Pivot Tables'!$A$4,7),2)),1,0)</f>
        <v>0</v>
      </c>
      <c r="Y5267" s="6">
        <f>1/COUNTIF(Таблица1[Order ID],Таблица1[[#This Row],[Order ID]])</f>
        <v>0.33333333333333331</v>
      </c>
      <c r="Z5267" s="9">
        <f>1/COUNTIFS(Таблица1[Customer Name],Таблица1[[#This Row],[Customer Name]],Таблица1[Order-Year-Month],Таблица1[[#This Row],[Order-Year-Month]])</f>
        <v>0.33333333333333331</v>
      </c>
    </row>
    <row r="5268" spans="1:26" x14ac:dyDescent="0.2">
      <c r="A5268" s="6">
        <v>7155</v>
      </c>
      <c r="B5268" s="7">
        <v>51044</v>
      </c>
      <c r="C5268" s="8">
        <f>DATE(2012,12,31)-348</f>
        <v>40926</v>
      </c>
      <c r="D5268" s="8" t="str">
        <f t="shared" si="99"/>
        <v>2012-01 (январь 2012)</v>
      </c>
      <c r="E5268" s="9" t="s">
        <v>21</v>
      </c>
      <c r="F5268" s="7">
        <v>19</v>
      </c>
      <c r="G5268" s="7">
        <v>117.27</v>
      </c>
      <c r="H5268" s="7">
        <v>0.01</v>
      </c>
      <c r="I5268" s="9" t="s">
        <v>22</v>
      </c>
      <c r="J5268" s="10">
        <v>35.450000000000003</v>
      </c>
      <c r="K5268" s="11">
        <v>5.84</v>
      </c>
      <c r="L5268" s="11">
        <v>0.83</v>
      </c>
      <c r="M5268" s="9" t="s">
        <v>1849</v>
      </c>
      <c r="N5268" s="6" t="s">
        <v>672</v>
      </c>
      <c r="O5268" s="6" t="s">
        <v>673</v>
      </c>
      <c r="P5268" s="9" t="s">
        <v>33</v>
      </c>
      <c r="Q5268" s="9" t="s">
        <v>26</v>
      </c>
      <c r="R5268" s="9" t="s">
        <v>95</v>
      </c>
      <c r="S5268" s="7" t="s">
        <v>1037</v>
      </c>
      <c r="T5268" s="9" t="s">
        <v>68</v>
      </c>
      <c r="U5268" s="7">
        <v>0.49</v>
      </c>
      <c r="V5268" s="12">
        <f>C5268+7</f>
        <v>40933</v>
      </c>
      <c r="W5268">
        <f>IF(D5268=' Pivot Tables'!$A$4,1,0)</f>
        <v>0</v>
      </c>
      <c r="X5268">
        <f>IF(AND(LEFT(D5268,4)+1=LEFT(' Pivot Tables'!$A$4,4)+0,RIGHT(LEFT(D5268,7),2)=RIGHT(LEFT(' Pivot Tables'!$A$4,7),2)),1,0)</f>
        <v>0</v>
      </c>
      <c r="Y5268" s="6">
        <f>1/COUNTIF(Таблица1[Order ID],Таблица1[[#This Row],[Order ID]])</f>
        <v>0.33333333333333331</v>
      </c>
      <c r="Z5268" s="9">
        <f>1/COUNTIFS(Таблица1[Customer Name],Таблица1[[#This Row],[Customer Name]],Таблица1[Order-Year-Month],Таблица1[[#This Row],[Order-Year-Month]])</f>
        <v>0.33333333333333331</v>
      </c>
    </row>
    <row r="5269" spans="1:26" x14ac:dyDescent="0.2">
      <c r="A5269" s="6">
        <v>7193</v>
      </c>
      <c r="B5269" s="7">
        <v>51302</v>
      </c>
      <c r="C5269" s="8">
        <f>DATE(2012,12,31)-495</f>
        <v>40779</v>
      </c>
      <c r="D5269" s="8" t="str">
        <f t="shared" si="99"/>
        <v>2011-08 (август 2011)</v>
      </c>
      <c r="E5269" s="9" t="s">
        <v>45</v>
      </c>
      <c r="F5269" s="7">
        <v>44</v>
      </c>
      <c r="G5269" s="7">
        <v>167.55</v>
      </c>
      <c r="H5269" s="7">
        <v>0.03</v>
      </c>
      <c r="I5269" s="9" t="s">
        <v>22</v>
      </c>
      <c r="J5269" s="10">
        <v>-223.5</v>
      </c>
      <c r="K5269" s="11">
        <v>3.75</v>
      </c>
      <c r="L5269" s="11">
        <v>7.5</v>
      </c>
      <c r="M5269" s="9" t="s">
        <v>1879</v>
      </c>
      <c r="N5269" s="6" t="s">
        <v>672</v>
      </c>
      <c r="O5269" s="6" t="s">
        <v>673</v>
      </c>
      <c r="P5269" s="9" t="s">
        <v>33</v>
      </c>
      <c r="Q5269" s="9" t="s">
        <v>26</v>
      </c>
      <c r="R5269" s="9" t="s">
        <v>88</v>
      </c>
      <c r="S5269" s="7" t="s">
        <v>1885</v>
      </c>
      <c r="T5269" s="9" t="s">
        <v>39</v>
      </c>
      <c r="U5269" s="7">
        <v>0.37</v>
      </c>
      <c r="V5269" s="12">
        <f>C5269+2</f>
        <v>40781</v>
      </c>
      <c r="W5269">
        <f>IF(D5269=' Pivot Tables'!$A$4,1,0)</f>
        <v>0</v>
      </c>
      <c r="X5269">
        <f>IF(AND(LEFT(D5269,4)+1=LEFT(' Pivot Tables'!$A$4,4)+0,RIGHT(LEFT(D5269,7),2)=RIGHT(LEFT(' Pivot Tables'!$A$4,7),2)),1,0)</f>
        <v>0</v>
      </c>
      <c r="Y5269" s="6">
        <f>1/COUNTIF(Таблица1[Order ID],Таблица1[[#This Row],[Order ID]])</f>
        <v>1</v>
      </c>
      <c r="Z5269" s="9">
        <f>1/COUNTIFS(Таблица1[Customer Name],Таблица1[[#This Row],[Customer Name]],Таблица1[Order-Year-Month],Таблица1[[#This Row],[Order-Year-Month]])</f>
        <v>1</v>
      </c>
    </row>
    <row r="5270" spans="1:26" x14ac:dyDescent="0.2">
      <c r="A5270" s="6">
        <v>7203</v>
      </c>
      <c r="B5270" s="7">
        <v>51392</v>
      </c>
      <c r="C5270" s="8">
        <f>DATE(2012,12,31)-1145</f>
        <v>40129</v>
      </c>
      <c r="D5270" s="8" t="str">
        <f t="shared" si="99"/>
        <v>2009-11 (ноябрь 2009)</v>
      </c>
      <c r="E5270" s="9" t="s">
        <v>63</v>
      </c>
      <c r="F5270" s="7">
        <v>10</v>
      </c>
      <c r="G5270" s="7">
        <v>254.89</v>
      </c>
      <c r="H5270" s="7">
        <v>0.09</v>
      </c>
      <c r="I5270" s="9" t="s">
        <v>22</v>
      </c>
      <c r="J5270" s="10">
        <v>-106.58</v>
      </c>
      <c r="K5270" s="11">
        <v>26.31</v>
      </c>
      <c r="L5270" s="11">
        <v>5.89</v>
      </c>
      <c r="M5270" s="9" t="s">
        <v>1884</v>
      </c>
      <c r="N5270" s="6" t="s">
        <v>672</v>
      </c>
      <c r="O5270" s="6" t="s">
        <v>673</v>
      </c>
      <c r="P5270" s="9" t="s">
        <v>25</v>
      </c>
      <c r="Q5270" s="9" t="s">
        <v>42</v>
      </c>
      <c r="R5270" s="9" t="s">
        <v>70</v>
      </c>
      <c r="S5270" s="7" t="s">
        <v>420</v>
      </c>
      <c r="T5270" s="9" t="s">
        <v>39</v>
      </c>
      <c r="U5270" s="7">
        <v>0.75</v>
      </c>
      <c r="V5270" s="12">
        <f>C5270+1</f>
        <v>40130</v>
      </c>
      <c r="W5270">
        <f>IF(D5270=' Pivot Tables'!$A$4,1,0)</f>
        <v>0</v>
      </c>
      <c r="X5270">
        <f>IF(AND(LEFT(D5270,4)+1=LEFT(' Pivot Tables'!$A$4,4)+0,RIGHT(LEFT(D5270,7),2)=RIGHT(LEFT(' Pivot Tables'!$A$4,7),2)),1,0)</f>
        <v>0</v>
      </c>
      <c r="Y5270" s="6">
        <f>1/COUNTIF(Таблица1[Order ID],Таблица1[[#This Row],[Order ID]])</f>
        <v>1</v>
      </c>
      <c r="Z5270" s="9">
        <f>1/COUNTIFS(Таблица1[Customer Name],Таблица1[[#This Row],[Customer Name]],Таблица1[Order-Year-Month],Таблица1[[#This Row],[Order-Year-Month]])</f>
        <v>1</v>
      </c>
    </row>
    <row r="5271" spans="1:26" x14ac:dyDescent="0.2">
      <c r="A5271" s="6">
        <v>7244</v>
      </c>
      <c r="B5271" s="7">
        <v>51650</v>
      </c>
      <c r="C5271" s="8">
        <f>DATE(2012,12,31)-579</f>
        <v>40695</v>
      </c>
      <c r="D5271" s="8" t="str">
        <f t="shared" si="99"/>
        <v>2011-06 (июнь 2011)</v>
      </c>
      <c r="E5271" s="9" t="s">
        <v>30</v>
      </c>
      <c r="F5271" s="7">
        <v>25</v>
      </c>
      <c r="G5271" s="7">
        <v>470.11</v>
      </c>
      <c r="H5271" s="7">
        <v>0.08</v>
      </c>
      <c r="I5271" s="9" t="s">
        <v>22</v>
      </c>
      <c r="J5271" s="10">
        <v>91.09</v>
      </c>
      <c r="K5271" s="11">
        <v>19.98</v>
      </c>
      <c r="L5271" s="11">
        <v>5.97</v>
      </c>
      <c r="M5271" s="9" t="s">
        <v>1886</v>
      </c>
      <c r="N5271" s="6" t="s">
        <v>672</v>
      </c>
      <c r="O5271" s="6" t="s">
        <v>673</v>
      </c>
      <c r="P5271" s="9" t="s">
        <v>33</v>
      </c>
      <c r="Q5271" s="9" t="s">
        <v>26</v>
      </c>
      <c r="R5271" s="9" t="s">
        <v>61</v>
      </c>
      <c r="S5271" s="7" t="s">
        <v>169</v>
      </c>
      <c r="T5271" s="9" t="s">
        <v>39</v>
      </c>
      <c r="U5271" s="7">
        <v>0.38</v>
      </c>
      <c r="V5271" s="12">
        <f>C5271+2</f>
        <v>40697</v>
      </c>
      <c r="W5271">
        <f>IF(D5271=' Pivot Tables'!$A$4,1,0)</f>
        <v>0</v>
      </c>
      <c r="X5271">
        <f>IF(AND(LEFT(D5271,4)+1=LEFT(' Pivot Tables'!$A$4,4)+0,RIGHT(LEFT(D5271,7),2)=RIGHT(LEFT(' Pivot Tables'!$A$4,7),2)),1,0)</f>
        <v>0</v>
      </c>
      <c r="Y5271" s="6">
        <f>1/COUNTIF(Таблица1[Order ID],Таблица1[[#This Row],[Order ID]])</f>
        <v>0.33333333333333331</v>
      </c>
      <c r="Z5271" s="9">
        <f>1/COUNTIFS(Таблица1[Customer Name],Таблица1[[#This Row],[Customer Name]],Таблица1[Order-Year-Month],Таблица1[[#This Row],[Order-Year-Month]])</f>
        <v>0.33333333333333331</v>
      </c>
    </row>
    <row r="5272" spans="1:26" x14ac:dyDescent="0.2">
      <c r="A5272" s="6">
        <v>7245</v>
      </c>
      <c r="B5272" s="7">
        <v>51650</v>
      </c>
      <c r="C5272" s="8">
        <f>DATE(2012,12,31)-579</f>
        <v>40695</v>
      </c>
      <c r="D5272" s="8" t="str">
        <f t="shared" si="99"/>
        <v>2011-06 (июнь 2011)</v>
      </c>
      <c r="E5272" s="9" t="s">
        <v>30</v>
      </c>
      <c r="F5272" s="7">
        <v>43</v>
      </c>
      <c r="G5272" s="7">
        <v>10854.83</v>
      </c>
      <c r="H5272" s="7">
        <v>0.08</v>
      </c>
      <c r="I5272" s="9" t="s">
        <v>31</v>
      </c>
      <c r="J5272" s="10">
        <v>2039.41</v>
      </c>
      <c r="K5272" s="11">
        <v>270.97000000000003</v>
      </c>
      <c r="L5272" s="11">
        <v>28.06</v>
      </c>
      <c r="M5272" s="9" t="s">
        <v>1886</v>
      </c>
      <c r="N5272" s="6" t="s">
        <v>672</v>
      </c>
      <c r="O5272" s="6" t="s">
        <v>673</v>
      </c>
      <c r="P5272" s="9" t="s">
        <v>33</v>
      </c>
      <c r="Q5272" s="9" t="s">
        <v>42</v>
      </c>
      <c r="R5272" s="9" t="s">
        <v>210</v>
      </c>
      <c r="S5272" s="7" t="s">
        <v>364</v>
      </c>
      <c r="T5272" s="9" t="s">
        <v>36</v>
      </c>
      <c r="U5272" s="7">
        <v>0.56000000000000005</v>
      </c>
      <c r="V5272" s="12">
        <f>C5272+2</f>
        <v>40697</v>
      </c>
      <c r="W5272">
        <f>IF(D5272=' Pivot Tables'!$A$4,1,0)</f>
        <v>0</v>
      </c>
      <c r="X5272">
        <f>IF(AND(LEFT(D5272,4)+1=LEFT(' Pivot Tables'!$A$4,4)+0,RIGHT(LEFT(D5272,7),2)=RIGHT(LEFT(' Pivot Tables'!$A$4,7),2)),1,0)</f>
        <v>0</v>
      </c>
      <c r="Y5272" s="6">
        <f>1/COUNTIF(Таблица1[Order ID],Таблица1[[#This Row],[Order ID]])</f>
        <v>0.33333333333333331</v>
      </c>
      <c r="Z5272" s="9">
        <f>1/COUNTIFS(Таблица1[Customer Name],Таблица1[[#This Row],[Customer Name]],Таблица1[Order-Year-Month],Таблица1[[#This Row],[Order-Year-Month]])</f>
        <v>0.33333333333333331</v>
      </c>
    </row>
    <row r="5273" spans="1:26" x14ac:dyDescent="0.2">
      <c r="A5273" s="6">
        <v>7246</v>
      </c>
      <c r="B5273" s="7">
        <v>51650</v>
      </c>
      <c r="C5273" s="8">
        <f>DATE(2012,12,31)-579</f>
        <v>40695</v>
      </c>
      <c r="D5273" s="8" t="str">
        <f t="shared" si="99"/>
        <v>2011-06 (июнь 2011)</v>
      </c>
      <c r="E5273" s="9" t="s">
        <v>30</v>
      </c>
      <c r="F5273" s="7">
        <v>19</v>
      </c>
      <c r="G5273" s="7">
        <v>51.23</v>
      </c>
      <c r="H5273" s="7">
        <v>0.1</v>
      </c>
      <c r="I5273" s="9" t="s">
        <v>22</v>
      </c>
      <c r="J5273" s="10">
        <v>-5.29</v>
      </c>
      <c r="K5273" s="11">
        <v>2.94</v>
      </c>
      <c r="L5273" s="11">
        <v>0.96</v>
      </c>
      <c r="M5273" s="9" t="s">
        <v>1886</v>
      </c>
      <c r="N5273" s="6" t="s">
        <v>672</v>
      </c>
      <c r="O5273" s="6" t="s">
        <v>673</v>
      </c>
      <c r="P5273" s="9" t="s">
        <v>33</v>
      </c>
      <c r="Q5273" s="9" t="s">
        <v>26</v>
      </c>
      <c r="R5273" s="9" t="s">
        <v>95</v>
      </c>
      <c r="S5273" s="7" t="s">
        <v>486</v>
      </c>
      <c r="T5273" s="9" t="s">
        <v>68</v>
      </c>
      <c r="U5273" s="7">
        <v>0.57999999999999996</v>
      </c>
      <c r="V5273" s="12">
        <f>C5273+2</f>
        <v>40697</v>
      </c>
      <c r="W5273">
        <f>IF(D5273=' Pivot Tables'!$A$4,1,0)</f>
        <v>0</v>
      </c>
      <c r="X5273">
        <f>IF(AND(LEFT(D5273,4)+1=LEFT(' Pivot Tables'!$A$4,4)+0,RIGHT(LEFT(D5273,7),2)=RIGHT(LEFT(' Pivot Tables'!$A$4,7),2)),1,0)</f>
        <v>0</v>
      </c>
      <c r="Y5273" s="6">
        <f>1/COUNTIF(Таблица1[Order ID],Таблица1[[#This Row],[Order ID]])</f>
        <v>0.33333333333333331</v>
      </c>
      <c r="Z5273" s="9">
        <f>1/COUNTIFS(Таблица1[Customer Name],Таблица1[[#This Row],[Customer Name]],Таблица1[Order-Year-Month],Таблица1[[#This Row],[Order-Year-Month]])</f>
        <v>0.33333333333333331</v>
      </c>
    </row>
    <row r="5274" spans="1:26" x14ac:dyDescent="0.2">
      <c r="A5274" s="6">
        <v>7247</v>
      </c>
      <c r="B5274" s="7">
        <v>51652</v>
      </c>
      <c r="C5274" s="8">
        <f>DATE(2012,12,31)-632</f>
        <v>40642</v>
      </c>
      <c r="D5274" s="8" t="str">
        <f t="shared" si="99"/>
        <v>2011-04 (апрель 2011)</v>
      </c>
      <c r="E5274" s="9" t="s">
        <v>45</v>
      </c>
      <c r="F5274" s="7">
        <v>37</v>
      </c>
      <c r="G5274" s="7">
        <v>195.51</v>
      </c>
      <c r="H5274" s="7">
        <v>0.03</v>
      </c>
      <c r="I5274" s="9" t="s">
        <v>56</v>
      </c>
      <c r="J5274" s="10">
        <v>95.56</v>
      </c>
      <c r="K5274" s="11">
        <v>4.9800000000000004</v>
      </c>
      <c r="L5274" s="11">
        <v>0.49</v>
      </c>
      <c r="M5274" s="9" t="s">
        <v>1886</v>
      </c>
      <c r="N5274" s="6" t="s">
        <v>672</v>
      </c>
      <c r="O5274" s="6" t="s">
        <v>673</v>
      </c>
      <c r="P5274" s="9" t="s">
        <v>60</v>
      </c>
      <c r="Q5274" s="9" t="s">
        <v>26</v>
      </c>
      <c r="R5274" s="9" t="s">
        <v>88</v>
      </c>
      <c r="S5274" s="7" t="s">
        <v>836</v>
      </c>
      <c r="T5274" s="9" t="s">
        <v>39</v>
      </c>
      <c r="U5274" s="7">
        <v>0.39</v>
      </c>
      <c r="V5274" s="12">
        <f>C5274+2</f>
        <v>40644</v>
      </c>
      <c r="W5274">
        <f>IF(D5274=' Pivot Tables'!$A$4,1,0)</f>
        <v>0</v>
      </c>
      <c r="X5274">
        <f>IF(AND(LEFT(D5274,4)+1=LEFT(' Pivot Tables'!$A$4,4)+0,RIGHT(LEFT(D5274,7),2)=RIGHT(LEFT(' Pivot Tables'!$A$4,7),2)),1,0)</f>
        <v>0</v>
      </c>
      <c r="Y5274" s="6">
        <f>1/COUNTIF(Таблица1[Order ID],Таблица1[[#This Row],[Order ID]])</f>
        <v>0.5</v>
      </c>
      <c r="Z5274" s="9">
        <f>1/COUNTIFS(Таблица1[Customer Name],Таблица1[[#This Row],[Customer Name]],Таблица1[Order-Year-Month],Таблица1[[#This Row],[Order-Year-Month]])</f>
        <v>0.5</v>
      </c>
    </row>
    <row r="5275" spans="1:26" x14ac:dyDescent="0.2">
      <c r="A5275" s="6">
        <v>7248</v>
      </c>
      <c r="B5275" s="7">
        <v>51652</v>
      </c>
      <c r="C5275" s="8">
        <f>DATE(2012,12,31)-632</f>
        <v>40642</v>
      </c>
      <c r="D5275" s="8" t="str">
        <f t="shared" si="99"/>
        <v>2011-04 (апрель 2011)</v>
      </c>
      <c r="E5275" s="9" t="s">
        <v>45</v>
      </c>
      <c r="F5275" s="7">
        <v>38</v>
      </c>
      <c r="G5275" s="7">
        <v>4992.63</v>
      </c>
      <c r="H5275" s="7">
        <v>7.0000000000000007E-2</v>
      </c>
      <c r="I5275" s="9" t="s">
        <v>56</v>
      </c>
      <c r="J5275" s="10">
        <v>44.13</v>
      </c>
      <c r="K5275" s="11">
        <v>140.85</v>
      </c>
      <c r="L5275" s="11">
        <v>19.989999999999998</v>
      </c>
      <c r="M5275" s="9" t="s">
        <v>1886</v>
      </c>
      <c r="N5275" s="6" t="s">
        <v>672</v>
      </c>
      <c r="O5275" s="6" t="s">
        <v>673</v>
      </c>
      <c r="P5275" s="9" t="s">
        <v>60</v>
      </c>
      <c r="Q5275" s="9" t="s">
        <v>26</v>
      </c>
      <c r="R5275" s="9" t="s">
        <v>27</v>
      </c>
      <c r="S5275" s="7" t="s">
        <v>538</v>
      </c>
      <c r="T5275" s="9" t="s">
        <v>39</v>
      </c>
      <c r="U5275" s="7">
        <v>0.73</v>
      </c>
      <c r="V5275" s="12">
        <f>C5275+1</f>
        <v>40643</v>
      </c>
      <c r="W5275">
        <f>IF(D5275=' Pivot Tables'!$A$4,1,0)</f>
        <v>0</v>
      </c>
      <c r="X5275">
        <f>IF(AND(LEFT(D5275,4)+1=LEFT(' Pivot Tables'!$A$4,4)+0,RIGHT(LEFT(D5275,7),2)=RIGHT(LEFT(' Pivot Tables'!$A$4,7),2)),1,0)</f>
        <v>0</v>
      </c>
      <c r="Y5275" s="6">
        <f>1/COUNTIF(Таблица1[Order ID],Таблица1[[#This Row],[Order ID]])</f>
        <v>0.5</v>
      </c>
      <c r="Z5275" s="9">
        <f>1/COUNTIFS(Таблица1[Customer Name],Таблица1[[#This Row],[Customer Name]],Таблица1[Order-Year-Month],Таблица1[[#This Row],[Order-Year-Month]])</f>
        <v>0.5</v>
      </c>
    </row>
    <row r="5276" spans="1:26" x14ac:dyDescent="0.2">
      <c r="A5276" s="6">
        <v>7272</v>
      </c>
      <c r="B5276" s="7">
        <v>51876</v>
      </c>
      <c r="C5276" s="8">
        <f>DATE(2012,12,31)-300</f>
        <v>40974</v>
      </c>
      <c r="D5276" s="8" t="str">
        <f t="shared" si="99"/>
        <v>2012-03 (март 2012)</v>
      </c>
      <c r="E5276" s="9" t="s">
        <v>78</v>
      </c>
      <c r="F5276" s="7">
        <v>2</v>
      </c>
      <c r="G5276" s="7">
        <v>95.055499999999995</v>
      </c>
      <c r="H5276" s="7">
        <v>0.1</v>
      </c>
      <c r="I5276" s="9" t="s">
        <v>22</v>
      </c>
      <c r="J5276" s="10">
        <v>-298.166</v>
      </c>
      <c r="K5276" s="11">
        <v>55.99</v>
      </c>
      <c r="L5276" s="11">
        <v>5</v>
      </c>
      <c r="M5276" s="9" t="s">
        <v>1862</v>
      </c>
      <c r="N5276" s="6" t="s">
        <v>672</v>
      </c>
      <c r="O5276" s="6" t="s">
        <v>673</v>
      </c>
      <c r="P5276" s="9" t="s">
        <v>33</v>
      </c>
      <c r="Q5276" s="9" t="s">
        <v>42</v>
      </c>
      <c r="R5276" s="9" t="s">
        <v>43</v>
      </c>
      <c r="S5276" s="7" t="s">
        <v>248</v>
      </c>
      <c r="T5276" s="9" t="s">
        <v>52</v>
      </c>
      <c r="U5276" s="7">
        <v>0.83</v>
      </c>
      <c r="V5276" s="12">
        <f>C5276+1</f>
        <v>40975</v>
      </c>
      <c r="W5276">
        <f>IF(D5276=' Pivot Tables'!$A$4,1,0)</f>
        <v>0</v>
      </c>
      <c r="X5276">
        <f>IF(AND(LEFT(D5276,4)+1=LEFT(' Pivot Tables'!$A$4,4)+0,RIGHT(LEFT(D5276,7),2)=RIGHT(LEFT(' Pivot Tables'!$A$4,7),2)),1,0)</f>
        <v>0</v>
      </c>
      <c r="Y5276" s="6">
        <f>1/COUNTIF(Таблица1[Order ID],Таблица1[[#This Row],[Order ID]])</f>
        <v>1</v>
      </c>
      <c r="Z5276" s="9">
        <f>1/COUNTIFS(Таблица1[Customer Name],Таблица1[[#This Row],[Customer Name]],Таблица1[Order-Year-Month],Таблица1[[#This Row],[Order-Year-Month]])</f>
        <v>1</v>
      </c>
    </row>
    <row r="5277" spans="1:26" x14ac:dyDescent="0.2">
      <c r="A5277" s="6">
        <v>7304</v>
      </c>
      <c r="B5277" s="7">
        <v>52070</v>
      </c>
      <c r="C5277" s="8">
        <f>DATE(2012,12,31)-1126</f>
        <v>40148</v>
      </c>
      <c r="D5277" s="8" t="str">
        <f t="shared" si="99"/>
        <v>2009-12 (декабрь 2009)</v>
      </c>
      <c r="E5277" s="9" t="s">
        <v>45</v>
      </c>
      <c r="F5277" s="7">
        <v>29</v>
      </c>
      <c r="G5277" s="7">
        <v>67.97</v>
      </c>
      <c r="H5277" s="7">
        <v>0.06</v>
      </c>
      <c r="I5277" s="9" t="s">
        <v>22</v>
      </c>
      <c r="J5277" s="10">
        <v>-109.94</v>
      </c>
      <c r="K5277" s="11">
        <v>2.2799999999999998</v>
      </c>
      <c r="L5277" s="11">
        <v>5.2</v>
      </c>
      <c r="M5277" s="9" t="s">
        <v>1460</v>
      </c>
      <c r="N5277" s="6" t="s">
        <v>672</v>
      </c>
      <c r="O5277" s="6" t="s">
        <v>673</v>
      </c>
      <c r="P5277" s="9" t="s">
        <v>41</v>
      </c>
      <c r="Q5277" s="9" t="s">
        <v>26</v>
      </c>
      <c r="R5277" s="9" t="s">
        <v>95</v>
      </c>
      <c r="S5277" s="7" t="s">
        <v>1499</v>
      </c>
      <c r="T5277" s="9" t="s">
        <v>68</v>
      </c>
      <c r="U5277" s="7">
        <v>0.41</v>
      </c>
      <c r="V5277" s="12">
        <f>C5277+2</f>
        <v>40150</v>
      </c>
      <c r="W5277">
        <f>IF(D5277=' Pivot Tables'!$A$4,1,0)</f>
        <v>0</v>
      </c>
      <c r="X5277">
        <f>IF(AND(LEFT(D5277,4)+1=LEFT(' Pivot Tables'!$A$4,4)+0,RIGHT(LEFT(D5277,7),2)=RIGHT(LEFT(' Pivot Tables'!$A$4,7),2)),1,0)</f>
        <v>0</v>
      </c>
      <c r="Y5277" s="6">
        <f>1/COUNTIF(Таблица1[Order ID],Таблица1[[#This Row],[Order ID]])</f>
        <v>1</v>
      </c>
      <c r="Z5277" s="9">
        <f>1/COUNTIFS(Таблица1[Customer Name],Таблица1[[#This Row],[Customer Name]],Таблица1[Order-Year-Month],Таблица1[[#This Row],[Order-Year-Month]])</f>
        <v>1</v>
      </c>
    </row>
    <row r="5278" spans="1:26" x14ac:dyDescent="0.2">
      <c r="A5278" s="6">
        <v>7313</v>
      </c>
      <c r="B5278" s="7">
        <v>52160</v>
      </c>
      <c r="C5278" s="8">
        <f>DATE(2012,12,31)-547</f>
        <v>40727</v>
      </c>
      <c r="D5278" s="8" t="str">
        <f t="shared" si="99"/>
        <v>2011-07 (июль 2011)</v>
      </c>
      <c r="E5278" s="9" t="s">
        <v>78</v>
      </c>
      <c r="F5278" s="7">
        <v>5</v>
      </c>
      <c r="G5278" s="7">
        <v>15.6</v>
      </c>
      <c r="H5278" s="7">
        <v>0.09</v>
      </c>
      <c r="I5278" s="9" t="s">
        <v>56</v>
      </c>
      <c r="J5278" s="10">
        <v>1.67</v>
      </c>
      <c r="K5278" s="11">
        <v>2.1800000000000002</v>
      </c>
      <c r="L5278" s="11">
        <v>0.78</v>
      </c>
      <c r="M5278" s="9" t="s">
        <v>109</v>
      </c>
      <c r="N5278" s="6" t="s">
        <v>672</v>
      </c>
      <c r="O5278" s="6" t="s">
        <v>673</v>
      </c>
      <c r="P5278" s="9" t="s">
        <v>41</v>
      </c>
      <c r="Q5278" s="9" t="s">
        <v>26</v>
      </c>
      <c r="R5278" s="9" t="s">
        <v>66</v>
      </c>
      <c r="S5278" s="7" t="s">
        <v>428</v>
      </c>
      <c r="T5278" s="9" t="s">
        <v>68</v>
      </c>
      <c r="U5278" s="7">
        <v>0.52</v>
      </c>
      <c r="V5278" s="12">
        <f>C5278+3</f>
        <v>40730</v>
      </c>
      <c r="W5278">
        <f>IF(D5278=' Pivot Tables'!$A$4,1,0)</f>
        <v>0</v>
      </c>
      <c r="X5278">
        <f>IF(AND(LEFT(D5278,4)+1=LEFT(' Pivot Tables'!$A$4,4)+0,RIGHT(LEFT(D5278,7),2)=RIGHT(LEFT(' Pivot Tables'!$A$4,7),2)),1,0)</f>
        <v>0</v>
      </c>
      <c r="Y5278" s="6">
        <f>1/COUNTIF(Таблица1[Order ID],Таблица1[[#This Row],[Order ID]])</f>
        <v>0.5</v>
      </c>
      <c r="Z5278" s="9">
        <f>1/COUNTIFS(Таблица1[Customer Name],Таблица1[[#This Row],[Customer Name]],Таблица1[Order-Year-Month],Таблица1[[#This Row],[Order-Year-Month]])</f>
        <v>0.5</v>
      </c>
    </row>
    <row r="5279" spans="1:26" x14ac:dyDescent="0.2">
      <c r="A5279" s="6">
        <v>7314</v>
      </c>
      <c r="B5279" s="7">
        <v>52160</v>
      </c>
      <c r="C5279" s="8">
        <f>DATE(2012,12,31)-547</f>
        <v>40727</v>
      </c>
      <c r="D5279" s="8" t="str">
        <f t="shared" si="99"/>
        <v>2011-07 (июль 2011)</v>
      </c>
      <c r="E5279" s="9" t="s">
        <v>78</v>
      </c>
      <c r="F5279" s="7">
        <v>6</v>
      </c>
      <c r="G5279" s="7">
        <v>631.49900000000002</v>
      </c>
      <c r="H5279" s="7">
        <v>0.09</v>
      </c>
      <c r="I5279" s="9" t="s">
        <v>22</v>
      </c>
      <c r="J5279" s="10">
        <v>-403.01799999999997</v>
      </c>
      <c r="K5279" s="11">
        <v>125.99</v>
      </c>
      <c r="L5279" s="11">
        <v>8.08</v>
      </c>
      <c r="M5279" s="9" t="s">
        <v>109</v>
      </c>
      <c r="N5279" s="6" t="s">
        <v>672</v>
      </c>
      <c r="O5279" s="6" t="s">
        <v>673</v>
      </c>
      <c r="P5279" s="9" t="s">
        <v>41</v>
      </c>
      <c r="Q5279" s="9" t="s">
        <v>42</v>
      </c>
      <c r="R5279" s="9" t="s">
        <v>43</v>
      </c>
      <c r="S5279" s="7" t="s">
        <v>586</v>
      </c>
      <c r="T5279" s="9" t="s">
        <v>39</v>
      </c>
      <c r="U5279" s="7">
        <v>0.56999999999999995</v>
      </c>
      <c r="V5279" s="12">
        <f>C5279+2</f>
        <v>40729</v>
      </c>
      <c r="W5279">
        <f>IF(D5279=' Pivot Tables'!$A$4,1,0)</f>
        <v>0</v>
      </c>
      <c r="X5279">
        <f>IF(AND(LEFT(D5279,4)+1=LEFT(' Pivot Tables'!$A$4,4)+0,RIGHT(LEFT(D5279,7),2)=RIGHT(LEFT(' Pivot Tables'!$A$4,7),2)),1,0)</f>
        <v>0</v>
      </c>
      <c r="Y5279" s="6">
        <f>1/COUNTIF(Таблица1[Order ID],Таблица1[[#This Row],[Order ID]])</f>
        <v>0.5</v>
      </c>
      <c r="Z5279" s="9">
        <f>1/COUNTIFS(Таблица1[Customer Name],Таблица1[[#This Row],[Customer Name]],Таблица1[Order-Year-Month],Таблица1[[#This Row],[Order-Year-Month]])</f>
        <v>0.5</v>
      </c>
    </row>
    <row r="5280" spans="1:26" x14ac:dyDescent="0.2">
      <c r="A5280" s="6">
        <v>7333</v>
      </c>
      <c r="B5280" s="7">
        <v>52258</v>
      </c>
      <c r="C5280" s="8">
        <f>DATE(2012,12,31)-1420</f>
        <v>39854</v>
      </c>
      <c r="D5280" s="8" t="str">
        <f t="shared" si="99"/>
        <v>2009-02 (февраль 2009)</v>
      </c>
      <c r="E5280" s="9" t="s">
        <v>21</v>
      </c>
      <c r="F5280" s="7">
        <v>5</v>
      </c>
      <c r="G5280" s="7">
        <v>63.85</v>
      </c>
      <c r="H5280" s="7">
        <v>0.04</v>
      </c>
      <c r="I5280" s="9" t="s">
        <v>22</v>
      </c>
      <c r="J5280" s="10">
        <v>40.44</v>
      </c>
      <c r="K5280" s="11">
        <v>12.22</v>
      </c>
      <c r="L5280" s="11">
        <v>2.85</v>
      </c>
      <c r="M5280" s="9" t="s">
        <v>1848</v>
      </c>
      <c r="N5280" s="6" t="s">
        <v>672</v>
      </c>
      <c r="O5280" s="6" t="s">
        <v>673</v>
      </c>
      <c r="P5280" s="9" t="s">
        <v>25</v>
      </c>
      <c r="Q5280" s="9" t="s">
        <v>49</v>
      </c>
      <c r="R5280" s="9" t="s">
        <v>50</v>
      </c>
      <c r="S5280" s="7" t="s">
        <v>245</v>
      </c>
      <c r="T5280" s="9" t="s">
        <v>52</v>
      </c>
      <c r="U5280" s="7">
        <v>0.55000000000000004</v>
      </c>
      <c r="V5280" s="12">
        <f>C5280+7</f>
        <v>39861</v>
      </c>
      <c r="W5280">
        <f>IF(D5280=' Pivot Tables'!$A$4,1,0)</f>
        <v>0</v>
      </c>
      <c r="X5280">
        <f>IF(AND(LEFT(D5280,4)+1=LEFT(' Pivot Tables'!$A$4,4)+0,RIGHT(LEFT(D5280,7),2)=RIGHT(LEFT(' Pivot Tables'!$A$4,7),2)),1,0)</f>
        <v>0</v>
      </c>
      <c r="Y5280" s="6">
        <f>1/COUNTIF(Таблица1[Order ID],Таблица1[[#This Row],[Order ID]])</f>
        <v>1</v>
      </c>
      <c r="Z5280" s="9">
        <f>1/COUNTIFS(Таблица1[Customer Name],Таблица1[[#This Row],[Customer Name]],Таблица1[Order-Year-Month],Таблица1[[#This Row],[Order-Year-Month]])</f>
        <v>0.5</v>
      </c>
    </row>
    <row r="5281" spans="1:26" x14ac:dyDescent="0.2">
      <c r="A5281" s="6">
        <v>7378</v>
      </c>
      <c r="B5281" s="7">
        <v>52608</v>
      </c>
      <c r="C5281" s="8">
        <f>DATE(2012,12,31)-1440</f>
        <v>39834</v>
      </c>
      <c r="D5281" s="8" t="str">
        <f t="shared" si="99"/>
        <v>2009-01 (январь 2009)</v>
      </c>
      <c r="E5281" s="9" t="s">
        <v>21</v>
      </c>
      <c r="F5281" s="7">
        <v>36</v>
      </c>
      <c r="G5281" s="7">
        <v>147.71</v>
      </c>
      <c r="H5281" s="7">
        <v>0.05</v>
      </c>
      <c r="I5281" s="9" t="s">
        <v>22</v>
      </c>
      <c r="J5281" s="10">
        <v>40.04</v>
      </c>
      <c r="K5281" s="11">
        <v>3.98</v>
      </c>
      <c r="L5281" s="11">
        <v>0.7</v>
      </c>
      <c r="M5281" s="9" t="s">
        <v>1881</v>
      </c>
      <c r="N5281" s="6" t="s">
        <v>672</v>
      </c>
      <c r="O5281" s="6" t="s">
        <v>673</v>
      </c>
      <c r="P5281" s="9" t="s">
        <v>33</v>
      </c>
      <c r="Q5281" s="9" t="s">
        <v>26</v>
      </c>
      <c r="R5281" s="9" t="s">
        <v>95</v>
      </c>
      <c r="S5281" s="7" t="s">
        <v>1565</v>
      </c>
      <c r="T5281" s="9" t="s">
        <v>68</v>
      </c>
      <c r="U5281" s="7">
        <v>0.52</v>
      </c>
      <c r="V5281" s="12">
        <f>C5281+4</f>
        <v>39838</v>
      </c>
      <c r="W5281">
        <f>IF(D5281=' Pivot Tables'!$A$4,1,0)</f>
        <v>0</v>
      </c>
      <c r="X5281">
        <f>IF(AND(LEFT(D5281,4)+1=LEFT(' Pivot Tables'!$A$4,4)+0,RIGHT(LEFT(D5281,7),2)=RIGHT(LEFT(' Pivot Tables'!$A$4,7),2)),1,0)</f>
        <v>1</v>
      </c>
      <c r="Y5281" s="6">
        <f>1/COUNTIF(Таблица1[Order ID],Таблица1[[#This Row],[Order ID]])</f>
        <v>1</v>
      </c>
      <c r="Z5281" s="9">
        <f>1/COUNTIFS(Таблица1[Customer Name],Таблица1[[#This Row],[Customer Name]],Таблица1[Order-Year-Month],Таблица1[[#This Row],[Order-Year-Month]])</f>
        <v>1</v>
      </c>
    </row>
    <row r="5282" spans="1:26" x14ac:dyDescent="0.2">
      <c r="A5282" s="6">
        <v>7382</v>
      </c>
      <c r="B5282" s="7">
        <v>52640</v>
      </c>
      <c r="C5282" s="8">
        <f>DATE(2012,12,31)-730</f>
        <v>40544</v>
      </c>
      <c r="D5282" s="8" t="str">
        <f t="shared" si="99"/>
        <v>2011-01 (январь 2011)</v>
      </c>
      <c r="E5282" s="9" t="s">
        <v>63</v>
      </c>
      <c r="F5282" s="7">
        <v>18</v>
      </c>
      <c r="G5282" s="7">
        <v>1163.75</v>
      </c>
      <c r="H5282" s="7">
        <v>0.05</v>
      </c>
      <c r="I5282" s="9" t="s">
        <v>56</v>
      </c>
      <c r="J5282" s="10">
        <v>222.173</v>
      </c>
      <c r="K5282" s="11">
        <v>63.98</v>
      </c>
      <c r="L5282" s="11">
        <v>19.989999999999998</v>
      </c>
      <c r="M5282" s="9" t="s">
        <v>1856</v>
      </c>
      <c r="N5282" s="6" t="s">
        <v>672</v>
      </c>
      <c r="O5282" s="6" t="s">
        <v>673</v>
      </c>
      <c r="P5282" s="9" t="s">
        <v>33</v>
      </c>
      <c r="Q5282" s="9" t="s">
        <v>26</v>
      </c>
      <c r="R5282" s="9" t="s">
        <v>37</v>
      </c>
      <c r="S5282" s="7" t="s">
        <v>1900</v>
      </c>
      <c r="T5282" s="9" t="s">
        <v>39</v>
      </c>
      <c r="U5282" s="7">
        <v>0.36</v>
      </c>
      <c r="V5282" s="12">
        <f>C5282+3</f>
        <v>40547</v>
      </c>
      <c r="W5282">
        <f>IF(D5282=' Pivot Tables'!$A$4,1,0)</f>
        <v>0</v>
      </c>
      <c r="X5282">
        <f>IF(AND(LEFT(D5282,4)+1=LEFT(' Pivot Tables'!$A$4,4)+0,RIGHT(LEFT(D5282,7),2)=RIGHT(LEFT(' Pivot Tables'!$A$4,7),2)),1,0)</f>
        <v>0</v>
      </c>
      <c r="Y5282" s="6">
        <f>1/COUNTIF(Таблица1[Order ID],Таблица1[[#This Row],[Order ID]])</f>
        <v>1</v>
      </c>
      <c r="Z5282" s="9">
        <f>1/COUNTIFS(Таблица1[Customer Name],Таблица1[[#This Row],[Customer Name]],Таблица1[Order-Year-Month],Таблица1[[#This Row],[Order-Year-Month]])</f>
        <v>0.5</v>
      </c>
    </row>
    <row r="5283" spans="1:26" x14ac:dyDescent="0.2">
      <c r="A5283" s="6">
        <v>7482</v>
      </c>
      <c r="B5283" s="7">
        <v>53412</v>
      </c>
      <c r="C5283" s="8">
        <f>DATE(2012,12,31)-1203</f>
        <v>40071</v>
      </c>
      <c r="D5283" s="8" t="str">
        <f t="shared" si="99"/>
        <v>2009-09 (сентябрь 2009)</v>
      </c>
      <c r="E5283" s="9" t="s">
        <v>78</v>
      </c>
      <c r="F5283" s="7">
        <v>45</v>
      </c>
      <c r="G5283" s="7">
        <v>2544.73</v>
      </c>
      <c r="H5283" s="7">
        <v>0.02</v>
      </c>
      <c r="I5283" s="9" t="s">
        <v>22</v>
      </c>
      <c r="J5283" s="10">
        <v>375.87</v>
      </c>
      <c r="K5283" s="11">
        <v>54.2</v>
      </c>
      <c r="L5283" s="11">
        <v>11.1</v>
      </c>
      <c r="M5283" s="9" t="s">
        <v>1864</v>
      </c>
      <c r="N5283" s="6" t="s">
        <v>672</v>
      </c>
      <c r="O5283" s="6" t="s">
        <v>673</v>
      </c>
      <c r="P5283" s="9" t="s">
        <v>25</v>
      </c>
      <c r="Q5283" s="9" t="s">
        <v>49</v>
      </c>
      <c r="R5283" s="9" t="s">
        <v>50</v>
      </c>
      <c r="S5283" s="7" t="s">
        <v>1833</v>
      </c>
      <c r="T5283" s="9" t="s">
        <v>48</v>
      </c>
      <c r="U5283" s="7">
        <v>0.64</v>
      </c>
      <c r="V5283" s="12">
        <f>C5283+1</f>
        <v>40072</v>
      </c>
      <c r="W5283">
        <f>IF(D5283=' Pivot Tables'!$A$4,1,0)</f>
        <v>0</v>
      </c>
      <c r="X5283">
        <f>IF(AND(LEFT(D5283,4)+1=LEFT(' Pivot Tables'!$A$4,4)+0,RIGHT(LEFT(D5283,7),2)=RIGHT(LEFT(' Pivot Tables'!$A$4,7),2)),1,0)</f>
        <v>0</v>
      </c>
      <c r="Y5283" s="6">
        <f>1/COUNTIF(Таблица1[Order ID],Таблица1[[#This Row],[Order ID]])</f>
        <v>1</v>
      </c>
      <c r="Z5283" s="9">
        <f>1/COUNTIFS(Таблица1[Customer Name],Таблица1[[#This Row],[Customer Name]],Таблица1[Order-Year-Month],Таблица1[[#This Row],[Order-Year-Month]])</f>
        <v>1</v>
      </c>
    </row>
    <row r="5284" spans="1:26" x14ac:dyDescent="0.2">
      <c r="A5284" s="6">
        <v>7504</v>
      </c>
      <c r="B5284" s="7">
        <v>53568</v>
      </c>
      <c r="C5284" s="8">
        <f>DATE(2012,12,31)-917</f>
        <v>40357</v>
      </c>
      <c r="D5284" s="8" t="str">
        <f t="shared" si="99"/>
        <v>2010-06 (июнь 2010)</v>
      </c>
      <c r="E5284" s="9" t="s">
        <v>63</v>
      </c>
      <c r="F5284" s="7">
        <v>34</v>
      </c>
      <c r="G5284" s="7">
        <v>4281.13</v>
      </c>
      <c r="H5284" s="7">
        <v>0.05</v>
      </c>
      <c r="I5284" s="9" t="s">
        <v>31</v>
      </c>
      <c r="J5284" s="10">
        <v>-1446.08</v>
      </c>
      <c r="K5284" s="11">
        <v>122.99</v>
      </c>
      <c r="L5284" s="11">
        <v>70.2</v>
      </c>
      <c r="M5284" s="9" t="s">
        <v>1869</v>
      </c>
      <c r="N5284" s="6" t="s">
        <v>672</v>
      </c>
      <c r="O5284" s="6" t="s">
        <v>673</v>
      </c>
      <c r="P5284" s="9" t="s">
        <v>60</v>
      </c>
      <c r="Q5284" s="9" t="s">
        <v>49</v>
      </c>
      <c r="R5284" s="9" t="s">
        <v>112</v>
      </c>
      <c r="S5284" s="7" t="s">
        <v>426</v>
      </c>
      <c r="T5284" s="9" t="s">
        <v>36</v>
      </c>
      <c r="U5284" s="7">
        <v>0.74</v>
      </c>
      <c r="V5284" s="12">
        <f>C5284+1</f>
        <v>40358</v>
      </c>
      <c r="W5284">
        <f>IF(D5284=' Pivot Tables'!$A$4,1,0)</f>
        <v>0</v>
      </c>
      <c r="X5284">
        <f>IF(AND(LEFT(D5284,4)+1=LEFT(' Pivot Tables'!$A$4,4)+0,RIGHT(LEFT(D5284,7),2)=RIGHT(LEFT(' Pivot Tables'!$A$4,7),2)),1,0)</f>
        <v>0</v>
      </c>
      <c r="Y5284" s="6">
        <f>1/COUNTIF(Таблица1[Order ID],Таблица1[[#This Row],[Order ID]])</f>
        <v>1</v>
      </c>
      <c r="Z5284" s="9">
        <f>1/COUNTIFS(Таблица1[Customer Name],Таблица1[[#This Row],[Customer Name]],Таблица1[Order-Year-Month],Таблица1[[#This Row],[Order-Year-Month]])</f>
        <v>0.5</v>
      </c>
    </row>
    <row r="5285" spans="1:26" x14ac:dyDescent="0.2">
      <c r="A5285" s="6">
        <v>7546</v>
      </c>
      <c r="B5285" s="7">
        <v>53956</v>
      </c>
      <c r="C5285" s="8">
        <f>DATE(2012,12,31)-511</f>
        <v>40763</v>
      </c>
      <c r="D5285" s="8" t="str">
        <f t="shared" si="99"/>
        <v>2011-08 (август 2011)</v>
      </c>
      <c r="E5285" s="9" t="s">
        <v>30</v>
      </c>
      <c r="F5285" s="7">
        <v>43</v>
      </c>
      <c r="G5285" s="7">
        <v>1779.87</v>
      </c>
      <c r="H5285" s="7">
        <v>0.01</v>
      </c>
      <c r="I5285" s="9" t="s">
        <v>22</v>
      </c>
      <c r="J5285" s="10">
        <v>311.72000000000003</v>
      </c>
      <c r="K5285" s="11">
        <v>40.99</v>
      </c>
      <c r="L5285" s="11">
        <v>17.48</v>
      </c>
      <c r="M5285" s="9" t="s">
        <v>1513</v>
      </c>
      <c r="N5285" s="6" t="s">
        <v>672</v>
      </c>
      <c r="O5285" s="6" t="s">
        <v>673</v>
      </c>
      <c r="P5285" s="9" t="s">
        <v>33</v>
      </c>
      <c r="Q5285" s="9" t="s">
        <v>26</v>
      </c>
      <c r="R5285" s="9" t="s">
        <v>61</v>
      </c>
      <c r="S5285" s="7" t="s">
        <v>236</v>
      </c>
      <c r="T5285" s="9" t="s">
        <v>39</v>
      </c>
      <c r="U5285" s="7">
        <v>0.36</v>
      </c>
      <c r="V5285" s="12">
        <f>C5285+1</f>
        <v>40764</v>
      </c>
      <c r="W5285">
        <f>IF(D5285=' Pivot Tables'!$A$4,1,0)</f>
        <v>0</v>
      </c>
      <c r="X5285">
        <f>IF(AND(LEFT(D5285,4)+1=LEFT(' Pivot Tables'!$A$4,4)+0,RIGHT(LEFT(D5285,7),2)=RIGHT(LEFT(' Pivot Tables'!$A$4,7),2)),1,0)</f>
        <v>0</v>
      </c>
      <c r="Y5285" s="6">
        <f>1/COUNTIF(Таблица1[Order ID],Таблица1[[#This Row],[Order ID]])</f>
        <v>1</v>
      </c>
      <c r="Z5285" s="9">
        <f>1/COUNTIFS(Таблица1[Customer Name],Таблица1[[#This Row],[Customer Name]],Таблица1[Order-Year-Month],Таблица1[[#This Row],[Order-Year-Month]])</f>
        <v>1</v>
      </c>
    </row>
    <row r="5286" spans="1:26" x14ac:dyDescent="0.2">
      <c r="A5286" s="6">
        <v>7601</v>
      </c>
      <c r="B5286" s="7">
        <v>54371</v>
      </c>
      <c r="C5286" s="8">
        <f>DATE(2012,12,31)-320</f>
        <v>40954</v>
      </c>
      <c r="D5286" s="8" t="str">
        <f t="shared" si="99"/>
        <v>2012-02 (февраль 2012)</v>
      </c>
      <c r="E5286" s="9" t="s">
        <v>45</v>
      </c>
      <c r="F5286" s="7">
        <v>28</v>
      </c>
      <c r="G5286" s="7">
        <v>115.02</v>
      </c>
      <c r="H5286" s="7">
        <v>0</v>
      </c>
      <c r="I5286" s="9" t="s">
        <v>22</v>
      </c>
      <c r="J5286" s="10">
        <v>46.3</v>
      </c>
      <c r="K5286" s="11">
        <v>3.78</v>
      </c>
      <c r="L5286" s="11">
        <v>0.71</v>
      </c>
      <c r="M5286" s="9" t="s">
        <v>1880</v>
      </c>
      <c r="N5286" s="6" t="s">
        <v>672</v>
      </c>
      <c r="O5286" s="6" t="s">
        <v>673</v>
      </c>
      <c r="P5286" s="9" t="s">
        <v>41</v>
      </c>
      <c r="Q5286" s="9" t="s">
        <v>26</v>
      </c>
      <c r="R5286" s="9" t="s">
        <v>66</v>
      </c>
      <c r="S5286" s="7" t="s">
        <v>419</v>
      </c>
      <c r="T5286" s="9" t="s">
        <v>68</v>
      </c>
      <c r="U5286" s="7">
        <v>0.39</v>
      </c>
      <c r="V5286" s="12">
        <f>C5286+0</f>
        <v>40954</v>
      </c>
      <c r="W5286">
        <f>IF(D5286=' Pivot Tables'!$A$4,1,0)</f>
        <v>0</v>
      </c>
      <c r="X5286">
        <f>IF(AND(LEFT(D5286,4)+1=LEFT(' Pivot Tables'!$A$4,4)+0,RIGHT(LEFT(D5286,7),2)=RIGHT(LEFT(' Pivot Tables'!$A$4,7),2)),1,0)</f>
        <v>0</v>
      </c>
      <c r="Y5286" s="6">
        <f>1/COUNTIF(Таблица1[Order ID],Таблица1[[#This Row],[Order ID]])</f>
        <v>0.5</v>
      </c>
      <c r="Z5286" s="9">
        <f>1/COUNTIFS(Таблица1[Customer Name],Таблица1[[#This Row],[Customer Name]],Таблица1[Order-Year-Month],Таблица1[[#This Row],[Order-Year-Month]])</f>
        <v>0.5</v>
      </c>
    </row>
    <row r="5287" spans="1:26" x14ac:dyDescent="0.2">
      <c r="A5287" s="6">
        <v>7602</v>
      </c>
      <c r="B5287" s="7">
        <v>54371</v>
      </c>
      <c r="C5287" s="8">
        <f>DATE(2012,12,31)-320</f>
        <v>40954</v>
      </c>
      <c r="D5287" s="8" t="str">
        <f t="shared" si="99"/>
        <v>2012-02 (февраль 2012)</v>
      </c>
      <c r="E5287" s="9" t="s">
        <v>45</v>
      </c>
      <c r="F5287" s="7">
        <v>7</v>
      </c>
      <c r="G5287" s="7">
        <v>118.63</v>
      </c>
      <c r="H5287" s="7">
        <v>0.05</v>
      </c>
      <c r="I5287" s="9" t="s">
        <v>22</v>
      </c>
      <c r="J5287" s="10">
        <v>6.2985000000000007</v>
      </c>
      <c r="K5287" s="11">
        <v>16.739999999999998</v>
      </c>
      <c r="L5287" s="11">
        <v>5.08</v>
      </c>
      <c r="M5287" s="9" t="s">
        <v>1880</v>
      </c>
      <c r="N5287" s="6" t="s">
        <v>672</v>
      </c>
      <c r="O5287" s="6" t="s">
        <v>673</v>
      </c>
      <c r="P5287" s="9" t="s">
        <v>41</v>
      </c>
      <c r="Q5287" s="9" t="s">
        <v>26</v>
      </c>
      <c r="R5287" s="9" t="s">
        <v>37</v>
      </c>
      <c r="S5287" s="7" t="s">
        <v>1901</v>
      </c>
      <c r="T5287" s="9" t="s">
        <v>39</v>
      </c>
      <c r="U5287" s="7">
        <v>0.36</v>
      </c>
      <c r="V5287" s="12">
        <f>C5287+2</f>
        <v>40956</v>
      </c>
      <c r="W5287">
        <f>IF(D5287=' Pivot Tables'!$A$4,1,0)</f>
        <v>0</v>
      </c>
      <c r="X5287">
        <f>IF(AND(LEFT(D5287,4)+1=LEFT(' Pivot Tables'!$A$4,4)+0,RIGHT(LEFT(D5287,7),2)=RIGHT(LEFT(' Pivot Tables'!$A$4,7),2)),1,0)</f>
        <v>0</v>
      </c>
      <c r="Y5287" s="6">
        <f>1/COUNTIF(Таблица1[Order ID],Таблица1[[#This Row],[Order ID]])</f>
        <v>0.5</v>
      </c>
      <c r="Z5287" s="9">
        <f>1/COUNTIFS(Таблица1[Customer Name],Таблица1[[#This Row],[Customer Name]],Таблица1[Order-Year-Month],Таблица1[[#This Row],[Order-Year-Month]])</f>
        <v>0.5</v>
      </c>
    </row>
    <row r="5288" spans="1:26" x14ac:dyDescent="0.2">
      <c r="A5288" s="6">
        <v>7605</v>
      </c>
      <c r="B5288" s="7">
        <v>54436</v>
      </c>
      <c r="C5288" s="8">
        <f>DATE(2012,12,31)-1199</f>
        <v>40075</v>
      </c>
      <c r="D5288" s="8" t="str">
        <f t="shared" si="99"/>
        <v>2009-09 (сентябрь 2009)</v>
      </c>
      <c r="E5288" s="9" t="s">
        <v>30</v>
      </c>
      <c r="F5288" s="7">
        <v>17</v>
      </c>
      <c r="G5288" s="7">
        <v>705.85</v>
      </c>
      <c r="H5288" s="7">
        <v>0.04</v>
      </c>
      <c r="I5288" s="9" t="s">
        <v>56</v>
      </c>
      <c r="J5288" s="10">
        <v>151.66999999999999</v>
      </c>
      <c r="K5288" s="11">
        <v>39.479999999999997</v>
      </c>
      <c r="L5288" s="11">
        <v>1.99</v>
      </c>
      <c r="M5288" s="9" t="s">
        <v>1880</v>
      </c>
      <c r="N5288" s="6" t="s">
        <v>672</v>
      </c>
      <c r="O5288" s="6" t="s">
        <v>673</v>
      </c>
      <c r="P5288" s="9" t="s">
        <v>41</v>
      </c>
      <c r="Q5288" s="9" t="s">
        <v>42</v>
      </c>
      <c r="R5288" s="9" t="s">
        <v>70</v>
      </c>
      <c r="S5288" s="7" t="s">
        <v>161</v>
      </c>
      <c r="T5288" s="9" t="s">
        <v>52</v>
      </c>
      <c r="U5288" s="7">
        <v>0.54</v>
      </c>
      <c r="V5288" s="12">
        <f>C5288+0</f>
        <v>40075</v>
      </c>
      <c r="W5288">
        <f>IF(D5288=' Pivot Tables'!$A$4,1,0)</f>
        <v>0</v>
      </c>
      <c r="X5288">
        <f>IF(AND(LEFT(D5288,4)+1=LEFT(' Pivot Tables'!$A$4,4)+0,RIGHT(LEFT(D5288,7),2)=RIGHT(LEFT(' Pivot Tables'!$A$4,7),2)),1,0)</f>
        <v>0</v>
      </c>
      <c r="Y5288" s="6">
        <f>1/COUNTIF(Таблица1[Order ID],Таблица1[[#This Row],[Order ID]])</f>
        <v>0.5</v>
      </c>
      <c r="Z5288" s="9">
        <f>1/COUNTIFS(Таблица1[Customer Name],Таблица1[[#This Row],[Customer Name]],Таблица1[Order-Year-Month],Таблица1[[#This Row],[Order-Year-Month]])</f>
        <v>0.5</v>
      </c>
    </row>
    <row r="5289" spans="1:26" x14ac:dyDescent="0.2">
      <c r="A5289" s="6">
        <v>7606</v>
      </c>
      <c r="B5289" s="7">
        <v>54436</v>
      </c>
      <c r="C5289" s="8">
        <f>DATE(2012,12,31)-1199</f>
        <v>40075</v>
      </c>
      <c r="D5289" s="8" t="str">
        <f t="shared" si="99"/>
        <v>2009-09 (сентябрь 2009)</v>
      </c>
      <c r="E5289" s="9" t="s">
        <v>30</v>
      </c>
      <c r="F5289" s="7">
        <v>37</v>
      </c>
      <c r="G5289" s="7">
        <v>321.3</v>
      </c>
      <c r="H5289" s="7">
        <v>0</v>
      </c>
      <c r="I5289" s="9" t="s">
        <v>22</v>
      </c>
      <c r="J5289" s="10">
        <v>-47.23</v>
      </c>
      <c r="K5289" s="11">
        <v>8.1199999999999992</v>
      </c>
      <c r="L5289" s="11">
        <v>2.83</v>
      </c>
      <c r="M5289" s="9" t="s">
        <v>1880</v>
      </c>
      <c r="N5289" s="6" t="s">
        <v>672</v>
      </c>
      <c r="O5289" s="6" t="s">
        <v>673</v>
      </c>
      <c r="P5289" s="9" t="s">
        <v>41</v>
      </c>
      <c r="Q5289" s="9" t="s">
        <v>42</v>
      </c>
      <c r="R5289" s="9" t="s">
        <v>70</v>
      </c>
      <c r="S5289" s="7" t="s">
        <v>630</v>
      </c>
      <c r="T5289" s="9" t="s">
        <v>52</v>
      </c>
      <c r="U5289" s="7">
        <v>0.77</v>
      </c>
      <c r="V5289" s="12">
        <f>C5289+1</f>
        <v>40076</v>
      </c>
      <c r="W5289">
        <f>IF(D5289=' Pivot Tables'!$A$4,1,0)</f>
        <v>0</v>
      </c>
      <c r="X5289">
        <f>IF(AND(LEFT(D5289,4)+1=LEFT(' Pivot Tables'!$A$4,4)+0,RIGHT(LEFT(D5289,7),2)=RIGHT(LEFT(' Pivot Tables'!$A$4,7),2)),1,0)</f>
        <v>0</v>
      </c>
      <c r="Y5289" s="6">
        <f>1/COUNTIF(Таблица1[Order ID],Таблица1[[#This Row],[Order ID]])</f>
        <v>0.5</v>
      </c>
      <c r="Z5289" s="9">
        <f>1/COUNTIFS(Таблица1[Customer Name],Таблица1[[#This Row],[Customer Name]],Таблица1[Order-Year-Month],Таблица1[[#This Row],[Order-Year-Month]])</f>
        <v>0.5</v>
      </c>
    </row>
    <row r="5290" spans="1:26" x14ac:dyDescent="0.2">
      <c r="A5290" s="6">
        <v>7608</v>
      </c>
      <c r="B5290" s="7">
        <v>54464</v>
      </c>
      <c r="C5290" s="8">
        <f>DATE(2012,12,31)-1217</f>
        <v>40057</v>
      </c>
      <c r="D5290" s="8" t="str">
        <f t="shared" si="99"/>
        <v>2009-09 (сентябрь 2009)</v>
      </c>
      <c r="E5290" s="9" t="s">
        <v>30</v>
      </c>
      <c r="F5290" s="7">
        <v>11</v>
      </c>
      <c r="G5290" s="7">
        <v>227.41</v>
      </c>
      <c r="H5290" s="7">
        <v>0.06</v>
      </c>
      <c r="I5290" s="9" t="s">
        <v>22</v>
      </c>
      <c r="J5290" s="10">
        <v>44.29</v>
      </c>
      <c r="K5290" s="11">
        <v>19.98</v>
      </c>
      <c r="L5290" s="11">
        <v>10.49</v>
      </c>
      <c r="M5290" s="9" t="s">
        <v>1126</v>
      </c>
      <c r="N5290" s="6" t="s">
        <v>672</v>
      </c>
      <c r="O5290" s="6" t="s">
        <v>673</v>
      </c>
      <c r="P5290" s="9" t="s">
        <v>33</v>
      </c>
      <c r="Q5290" s="9" t="s">
        <v>49</v>
      </c>
      <c r="R5290" s="9" t="s">
        <v>50</v>
      </c>
      <c r="S5290" s="7" t="s">
        <v>163</v>
      </c>
      <c r="T5290" s="9" t="s">
        <v>39</v>
      </c>
      <c r="U5290" s="7">
        <v>0.49</v>
      </c>
      <c r="V5290" s="12">
        <f>C5290+2</f>
        <v>40059</v>
      </c>
      <c r="W5290">
        <f>IF(D5290=' Pivot Tables'!$A$4,1,0)</f>
        <v>0</v>
      </c>
      <c r="X5290">
        <f>IF(AND(LEFT(D5290,4)+1=LEFT(' Pivot Tables'!$A$4,4)+0,RIGHT(LEFT(D5290,7),2)=RIGHT(LEFT(' Pivot Tables'!$A$4,7),2)),1,0)</f>
        <v>0</v>
      </c>
      <c r="Y5290" s="6">
        <f>1/COUNTIF(Таблица1[Order ID],Таблица1[[#This Row],[Order ID]])</f>
        <v>0.5</v>
      </c>
      <c r="Z5290" s="9">
        <f>1/COUNTIFS(Таблица1[Customer Name],Таблица1[[#This Row],[Customer Name]],Таблица1[Order-Year-Month],Таблица1[[#This Row],[Order-Year-Month]])</f>
        <v>0.5</v>
      </c>
    </row>
    <row r="5291" spans="1:26" x14ac:dyDescent="0.2">
      <c r="A5291" s="6">
        <v>7609</v>
      </c>
      <c r="B5291" s="7">
        <v>54464</v>
      </c>
      <c r="C5291" s="8">
        <f>DATE(2012,12,31)-1217</f>
        <v>40057</v>
      </c>
      <c r="D5291" s="8" t="str">
        <f t="shared" si="99"/>
        <v>2009-09 (сентябрь 2009)</v>
      </c>
      <c r="E5291" s="9" t="s">
        <v>30</v>
      </c>
      <c r="F5291" s="7">
        <v>50</v>
      </c>
      <c r="G5291" s="7">
        <v>87.44</v>
      </c>
      <c r="H5291" s="7">
        <v>0.08</v>
      </c>
      <c r="I5291" s="9" t="s">
        <v>22</v>
      </c>
      <c r="J5291" s="10">
        <v>-184.6</v>
      </c>
      <c r="K5291" s="11">
        <v>1.76</v>
      </c>
      <c r="L5291" s="11">
        <v>4.8600000000000003</v>
      </c>
      <c r="M5291" s="9" t="s">
        <v>1126</v>
      </c>
      <c r="N5291" s="6" t="s">
        <v>672</v>
      </c>
      <c r="O5291" s="6" t="s">
        <v>673</v>
      </c>
      <c r="P5291" s="9" t="s">
        <v>33</v>
      </c>
      <c r="Q5291" s="9" t="s">
        <v>49</v>
      </c>
      <c r="R5291" s="9" t="s">
        <v>50</v>
      </c>
      <c r="S5291" s="7" t="s">
        <v>1607</v>
      </c>
      <c r="T5291" s="9" t="s">
        <v>39</v>
      </c>
      <c r="U5291" s="7">
        <v>0.41</v>
      </c>
      <c r="V5291" s="12">
        <f>C5291+1</f>
        <v>40058</v>
      </c>
      <c r="W5291">
        <f>IF(D5291=' Pivot Tables'!$A$4,1,0)</f>
        <v>0</v>
      </c>
      <c r="X5291">
        <f>IF(AND(LEFT(D5291,4)+1=LEFT(' Pivot Tables'!$A$4,4)+0,RIGHT(LEFT(D5291,7),2)=RIGHT(LEFT(' Pivot Tables'!$A$4,7),2)),1,0)</f>
        <v>0</v>
      </c>
      <c r="Y5291" s="6">
        <f>1/COUNTIF(Таблица1[Order ID],Таблица1[[#This Row],[Order ID]])</f>
        <v>0.5</v>
      </c>
      <c r="Z5291" s="9">
        <f>1/COUNTIFS(Таблица1[Customer Name],Таблица1[[#This Row],[Customer Name]],Таблица1[Order-Year-Month],Таблица1[[#This Row],[Order-Year-Month]])</f>
        <v>0.5</v>
      </c>
    </row>
    <row r="5292" spans="1:26" x14ac:dyDescent="0.2">
      <c r="A5292" s="6">
        <v>7613</v>
      </c>
      <c r="B5292" s="7">
        <v>54468</v>
      </c>
      <c r="C5292" s="8">
        <f>DATE(2012,12,31)-1113</f>
        <v>40161</v>
      </c>
      <c r="D5292" s="8" t="str">
        <f t="shared" si="99"/>
        <v>2009-12 (декабрь 2009)</v>
      </c>
      <c r="E5292" s="9" t="s">
        <v>30</v>
      </c>
      <c r="F5292" s="7">
        <v>15</v>
      </c>
      <c r="G5292" s="7">
        <v>40.75</v>
      </c>
      <c r="H5292" s="7">
        <v>0.03</v>
      </c>
      <c r="I5292" s="9" t="s">
        <v>22</v>
      </c>
      <c r="J5292" s="10">
        <v>12.76</v>
      </c>
      <c r="K5292" s="11">
        <v>2.61</v>
      </c>
      <c r="L5292" s="11">
        <v>0.5</v>
      </c>
      <c r="M5292" s="9" t="s">
        <v>1842</v>
      </c>
      <c r="N5292" s="6" t="s">
        <v>672</v>
      </c>
      <c r="O5292" s="6" t="s">
        <v>673</v>
      </c>
      <c r="P5292" s="9" t="s">
        <v>33</v>
      </c>
      <c r="Q5292" s="9" t="s">
        <v>26</v>
      </c>
      <c r="R5292" s="9" t="s">
        <v>88</v>
      </c>
      <c r="S5292" s="7" t="s">
        <v>406</v>
      </c>
      <c r="T5292" s="9" t="s">
        <v>39</v>
      </c>
      <c r="U5292" s="7">
        <v>0.39</v>
      </c>
      <c r="V5292" s="12">
        <f>C5292+1</f>
        <v>40162</v>
      </c>
      <c r="W5292">
        <f>IF(D5292=' Pivot Tables'!$A$4,1,0)</f>
        <v>0</v>
      </c>
      <c r="X5292">
        <f>IF(AND(LEFT(D5292,4)+1=LEFT(' Pivot Tables'!$A$4,4)+0,RIGHT(LEFT(D5292,7),2)=RIGHT(LEFT(' Pivot Tables'!$A$4,7),2)),1,0)</f>
        <v>0</v>
      </c>
      <c r="Y5292" s="6">
        <f>1/COUNTIF(Таблица1[Order ID],Таблица1[[#This Row],[Order ID]])</f>
        <v>0.5</v>
      </c>
      <c r="Z5292" s="9">
        <f>1/COUNTIFS(Таблица1[Customer Name],Таблица1[[#This Row],[Customer Name]],Таблица1[Order-Year-Month],Таблица1[[#This Row],[Order-Year-Month]])</f>
        <v>0.5</v>
      </c>
    </row>
    <row r="5293" spans="1:26" x14ac:dyDescent="0.2">
      <c r="A5293" s="6">
        <v>7614</v>
      </c>
      <c r="B5293" s="7">
        <v>54468</v>
      </c>
      <c r="C5293" s="8">
        <f>DATE(2012,12,31)-1113</f>
        <v>40161</v>
      </c>
      <c r="D5293" s="8" t="str">
        <f t="shared" si="99"/>
        <v>2009-12 (декабрь 2009)</v>
      </c>
      <c r="E5293" s="9" t="s">
        <v>30</v>
      </c>
      <c r="F5293" s="7">
        <v>35</v>
      </c>
      <c r="G5293" s="7">
        <v>424.09</v>
      </c>
      <c r="H5293" s="7">
        <v>0.01</v>
      </c>
      <c r="I5293" s="9" t="s">
        <v>22</v>
      </c>
      <c r="J5293" s="10">
        <v>-114.18</v>
      </c>
      <c r="K5293" s="11">
        <v>11.66</v>
      </c>
      <c r="L5293" s="11">
        <v>7.95</v>
      </c>
      <c r="M5293" s="9" t="s">
        <v>1842</v>
      </c>
      <c r="N5293" s="6" t="s">
        <v>672</v>
      </c>
      <c r="O5293" s="6" t="s">
        <v>673</v>
      </c>
      <c r="P5293" s="9" t="s">
        <v>33</v>
      </c>
      <c r="Q5293" s="9" t="s">
        <v>26</v>
      </c>
      <c r="R5293" s="9" t="s">
        <v>95</v>
      </c>
      <c r="S5293" s="7" t="s">
        <v>555</v>
      </c>
      <c r="T5293" s="9" t="s">
        <v>52</v>
      </c>
      <c r="U5293" s="7">
        <v>0.57999999999999996</v>
      </c>
      <c r="V5293" s="12">
        <f>C5293+1</f>
        <v>40162</v>
      </c>
      <c r="W5293">
        <f>IF(D5293=' Pivot Tables'!$A$4,1,0)</f>
        <v>0</v>
      </c>
      <c r="X5293">
        <f>IF(AND(LEFT(D5293,4)+1=LEFT(' Pivot Tables'!$A$4,4)+0,RIGHT(LEFT(D5293,7),2)=RIGHT(LEFT(' Pivot Tables'!$A$4,7),2)),1,0)</f>
        <v>0</v>
      </c>
      <c r="Y5293" s="6">
        <f>1/COUNTIF(Таблица1[Order ID],Таблица1[[#This Row],[Order ID]])</f>
        <v>0.5</v>
      </c>
      <c r="Z5293" s="9">
        <f>1/COUNTIFS(Таблица1[Customer Name],Таблица1[[#This Row],[Customer Name]],Таблица1[Order-Year-Month],Таблица1[[#This Row],[Order-Year-Month]])</f>
        <v>0.5</v>
      </c>
    </row>
    <row r="5294" spans="1:26" x14ac:dyDescent="0.2">
      <c r="A5294" s="6">
        <v>7649</v>
      </c>
      <c r="B5294" s="7">
        <v>54819</v>
      </c>
      <c r="C5294" s="8">
        <f>DATE(2012,12,31)-1178</f>
        <v>40096</v>
      </c>
      <c r="D5294" s="8" t="str">
        <f t="shared" si="99"/>
        <v>2009-10 (октябрь 2009)</v>
      </c>
      <c r="E5294" s="9" t="s">
        <v>21</v>
      </c>
      <c r="F5294" s="7">
        <v>10</v>
      </c>
      <c r="G5294" s="7">
        <v>53.32</v>
      </c>
      <c r="H5294" s="7">
        <v>7.0000000000000007E-2</v>
      </c>
      <c r="I5294" s="9" t="s">
        <v>22</v>
      </c>
      <c r="J5294" s="10">
        <v>-20.68</v>
      </c>
      <c r="K5294" s="11">
        <v>4.97</v>
      </c>
      <c r="L5294" s="11">
        <v>5.71</v>
      </c>
      <c r="M5294" s="9" t="s">
        <v>1678</v>
      </c>
      <c r="N5294" s="6" t="s">
        <v>672</v>
      </c>
      <c r="O5294" s="6" t="s">
        <v>673</v>
      </c>
      <c r="P5294" s="9" t="s">
        <v>25</v>
      </c>
      <c r="Q5294" s="9" t="s">
        <v>49</v>
      </c>
      <c r="R5294" s="9" t="s">
        <v>50</v>
      </c>
      <c r="S5294" s="7" t="s">
        <v>1634</v>
      </c>
      <c r="T5294" s="9" t="s">
        <v>48</v>
      </c>
      <c r="U5294" s="7">
        <v>0.54</v>
      </c>
      <c r="V5294" s="12">
        <f>C5294+5</f>
        <v>40101</v>
      </c>
      <c r="W5294">
        <f>IF(D5294=' Pivot Tables'!$A$4,1,0)</f>
        <v>0</v>
      </c>
      <c r="X5294">
        <f>IF(AND(LEFT(D5294,4)+1=LEFT(' Pivot Tables'!$A$4,4)+0,RIGHT(LEFT(D5294,7),2)=RIGHT(LEFT(' Pivot Tables'!$A$4,7),2)),1,0)</f>
        <v>0</v>
      </c>
      <c r="Y5294" s="6">
        <f>1/COUNTIF(Таблица1[Order ID],Таблица1[[#This Row],[Order ID]])</f>
        <v>0.33333333333333331</v>
      </c>
      <c r="Z5294" s="9">
        <f>1/COUNTIFS(Таблица1[Customer Name],Таблица1[[#This Row],[Customer Name]],Таблица1[Order-Year-Month],Таблица1[[#This Row],[Order-Year-Month]])</f>
        <v>0.33333333333333331</v>
      </c>
    </row>
    <row r="5295" spans="1:26" x14ac:dyDescent="0.2">
      <c r="A5295" s="6">
        <v>7650</v>
      </c>
      <c r="B5295" s="7">
        <v>54819</v>
      </c>
      <c r="C5295" s="8">
        <f>DATE(2012,12,31)-1178</f>
        <v>40096</v>
      </c>
      <c r="D5295" s="8" t="str">
        <f t="shared" si="99"/>
        <v>2009-10 (октябрь 2009)</v>
      </c>
      <c r="E5295" s="9" t="s">
        <v>21</v>
      </c>
      <c r="F5295" s="7">
        <v>26</v>
      </c>
      <c r="G5295" s="7">
        <v>64.03</v>
      </c>
      <c r="H5295" s="7">
        <v>0.09</v>
      </c>
      <c r="I5295" s="9" t="s">
        <v>22</v>
      </c>
      <c r="J5295" s="10">
        <v>11.42</v>
      </c>
      <c r="K5295" s="11">
        <v>2.62</v>
      </c>
      <c r="L5295" s="11">
        <v>0.8</v>
      </c>
      <c r="M5295" s="9" t="s">
        <v>1678</v>
      </c>
      <c r="N5295" s="6" t="s">
        <v>672</v>
      </c>
      <c r="O5295" s="6" t="s">
        <v>673</v>
      </c>
      <c r="P5295" s="9" t="s">
        <v>25</v>
      </c>
      <c r="Q5295" s="9" t="s">
        <v>26</v>
      </c>
      <c r="R5295" s="9" t="s">
        <v>66</v>
      </c>
      <c r="S5295" s="7" t="s">
        <v>861</v>
      </c>
      <c r="T5295" s="9" t="s">
        <v>68</v>
      </c>
      <c r="U5295" s="7">
        <v>0.39</v>
      </c>
      <c r="V5295" s="12">
        <f>C5295+2</f>
        <v>40098</v>
      </c>
      <c r="W5295">
        <f>IF(D5295=' Pivot Tables'!$A$4,1,0)</f>
        <v>0</v>
      </c>
      <c r="X5295">
        <f>IF(AND(LEFT(D5295,4)+1=LEFT(' Pivot Tables'!$A$4,4)+0,RIGHT(LEFT(D5295,7),2)=RIGHT(LEFT(' Pivot Tables'!$A$4,7),2)),1,0)</f>
        <v>0</v>
      </c>
      <c r="Y5295" s="6">
        <f>1/COUNTIF(Таблица1[Order ID],Таблица1[[#This Row],[Order ID]])</f>
        <v>0.33333333333333331</v>
      </c>
      <c r="Z5295" s="9">
        <f>1/COUNTIFS(Таблица1[Customer Name],Таблица1[[#This Row],[Customer Name]],Таблица1[Order-Year-Month],Таблица1[[#This Row],[Order-Year-Month]])</f>
        <v>0.33333333333333331</v>
      </c>
    </row>
    <row r="5296" spans="1:26" x14ac:dyDescent="0.2">
      <c r="A5296" s="6">
        <v>7651</v>
      </c>
      <c r="B5296" s="7">
        <v>54819</v>
      </c>
      <c r="C5296" s="8">
        <f>DATE(2012,12,31)-1178</f>
        <v>40096</v>
      </c>
      <c r="D5296" s="8" t="str">
        <f t="shared" si="99"/>
        <v>2009-10 (октябрь 2009)</v>
      </c>
      <c r="E5296" s="9" t="s">
        <v>21</v>
      </c>
      <c r="F5296" s="7">
        <v>46</v>
      </c>
      <c r="G5296" s="7">
        <v>2710.5054999999998</v>
      </c>
      <c r="H5296" s="7">
        <v>0.03</v>
      </c>
      <c r="I5296" s="9" t="s">
        <v>22</v>
      </c>
      <c r="J5296" s="10">
        <v>624.12300000000005</v>
      </c>
      <c r="K5296" s="11">
        <v>65.989999999999995</v>
      </c>
      <c r="L5296" s="11">
        <v>8.8000000000000007</v>
      </c>
      <c r="M5296" s="9" t="s">
        <v>1678</v>
      </c>
      <c r="N5296" s="6" t="s">
        <v>672</v>
      </c>
      <c r="O5296" s="6" t="s">
        <v>673</v>
      </c>
      <c r="P5296" s="9" t="s">
        <v>25</v>
      </c>
      <c r="Q5296" s="9" t="s">
        <v>42</v>
      </c>
      <c r="R5296" s="9" t="s">
        <v>43</v>
      </c>
      <c r="S5296" s="7" t="s">
        <v>1132</v>
      </c>
      <c r="T5296" s="9" t="s">
        <v>39</v>
      </c>
      <c r="U5296" s="7">
        <v>0.57999999999999996</v>
      </c>
      <c r="V5296" s="12">
        <f>C5296+0</f>
        <v>40096</v>
      </c>
      <c r="W5296">
        <f>IF(D5296=' Pivot Tables'!$A$4,1,0)</f>
        <v>0</v>
      </c>
      <c r="X5296">
        <f>IF(AND(LEFT(D5296,4)+1=LEFT(' Pivot Tables'!$A$4,4)+0,RIGHT(LEFT(D5296,7),2)=RIGHT(LEFT(' Pivot Tables'!$A$4,7),2)),1,0)</f>
        <v>0</v>
      </c>
      <c r="Y5296" s="6">
        <f>1/COUNTIF(Таблица1[Order ID],Таблица1[[#This Row],[Order ID]])</f>
        <v>0.33333333333333331</v>
      </c>
      <c r="Z5296" s="9">
        <f>1/COUNTIFS(Таблица1[Customer Name],Таблица1[[#This Row],[Customer Name]],Таблица1[Order-Year-Month],Таблица1[[#This Row],[Order-Year-Month]])</f>
        <v>0.33333333333333331</v>
      </c>
    </row>
    <row r="5297" spans="1:26" x14ac:dyDescent="0.2">
      <c r="A5297" s="6">
        <v>7654</v>
      </c>
      <c r="B5297" s="7">
        <v>54882</v>
      </c>
      <c r="C5297" s="8">
        <f>DATE(2012,12,31)-694</f>
        <v>40580</v>
      </c>
      <c r="D5297" s="8" t="str">
        <f t="shared" si="99"/>
        <v>2011-02 (февраль 2011)</v>
      </c>
      <c r="E5297" s="9" t="s">
        <v>78</v>
      </c>
      <c r="F5297" s="7">
        <v>17</v>
      </c>
      <c r="G5297" s="7">
        <v>86.29</v>
      </c>
      <c r="H5297" s="7">
        <v>0.02</v>
      </c>
      <c r="I5297" s="9" t="s">
        <v>22</v>
      </c>
      <c r="J5297" s="10">
        <v>34.979999999999997</v>
      </c>
      <c r="K5297" s="11">
        <v>4.9800000000000004</v>
      </c>
      <c r="L5297" s="11">
        <v>0.49</v>
      </c>
      <c r="M5297" s="9" t="s">
        <v>1460</v>
      </c>
      <c r="N5297" s="6" t="s">
        <v>672</v>
      </c>
      <c r="O5297" s="6" t="s">
        <v>673</v>
      </c>
      <c r="P5297" s="9" t="s">
        <v>33</v>
      </c>
      <c r="Q5297" s="9" t="s">
        <v>26</v>
      </c>
      <c r="R5297" s="9" t="s">
        <v>88</v>
      </c>
      <c r="S5297" s="7" t="s">
        <v>836</v>
      </c>
      <c r="T5297" s="9" t="s">
        <v>39</v>
      </c>
      <c r="U5297" s="7">
        <v>0.39</v>
      </c>
      <c r="V5297" s="12">
        <f>C5297+3</f>
        <v>40583</v>
      </c>
      <c r="W5297">
        <f>IF(D5297=' Pivot Tables'!$A$4,1,0)</f>
        <v>0</v>
      </c>
      <c r="X5297">
        <f>IF(AND(LEFT(D5297,4)+1=LEFT(' Pivot Tables'!$A$4,4)+0,RIGHT(LEFT(D5297,7),2)=RIGHT(LEFT(' Pivot Tables'!$A$4,7),2)),1,0)</f>
        <v>0</v>
      </c>
      <c r="Y5297" s="6">
        <f>1/COUNTIF(Таблица1[Order ID],Таблица1[[#This Row],[Order ID]])</f>
        <v>0.5</v>
      </c>
      <c r="Z5297" s="9">
        <f>1/COUNTIFS(Таблица1[Customer Name],Таблица1[[#This Row],[Customer Name]],Таблица1[Order-Year-Month],Таблица1[[#This Row],[Order-Year-Month]])</f>
        <v>0.33333333333333331</v>
      </c>
    </row>
    <row r="5298" spans="1:26" x14ac:dyDescent="0.2">
      <c r="A5298" s="6">
        <v>7655</v>
      </c>
      <c r="B5298" s="7">
        <v>54882</v>
      </c>
      <c r="C5298" s="8">
        <f>DATE(2012,12,31)-694</f>
        <v>40580</v>
      </c>
      <c r="D5298" s="8" t="str">
        <f t="shared" si="99"/>
        <v>2011-02 (февраль 2011)</v>
      </c>
      <c r="E5298" s="9" t="s">
        <v>78</v>
      </c>
      <c r="F5298" s="7">
        <v>2</v>
      </c>
      <c r="G5298" s="7">
        <v>86.92</v>
      </c>
      <c r="H5298" s="7">
        <v>0.03</v>
      </c>
      <c r="I5298" s="9" t="s">
        <v>22</v>
      </c>
      <c r="J5298" s="10">
        <v>-43.93</v>
      </c>
      <c r="K5298" s="11">
        <v>36.549999999999997</v>
      </c>
      <c r="L5298" s="11">
        <v>13.89</v>
      </c>
      <c r="M5298" s="9" t="s">
        <v>1460</v>
      </c>
      <c r="N5298" s="6" t="s">
        <v>672</v>
      </c>
      <c r="O5298" s="6" t="s">
        <v>673</v>
      </c>
      <c r="P5298" s="9" t="s">
        <v>33</v>
      </c>
      <c r="Q5298" s="9" t="s">
        <v>26</v>
      </c>
      <c r="R5298" s="9" t="s">
        <v>95</v>
      </c>
      <c r="S5298" s="7" t="s">
        <v>290</v>
      </c>
      <c r="T5298" s="9" t="s">
        <v>68</v>
      </c>
      <c r="U5298" s="7">
        <v>0.41</v>
      </c>
      <c r="V5298" s="12">
        <f>C5298+2</f>
        <v>40582</v>
      </c>
      <c r="W5298">
        <f>IF(D5298=' Pivot Tables'!$A$4,1,0)</f>
        <v>0</v>
      </c>
      <c r="X5298">
        <f>IF(AND(LEFT(D5298,4)+1=LEFT(' Pivot Tables'!$A$4,4)+0,RIGHT(LEFT(D5298,7),2)=RIGHT(LEFT(' Pivot Tables'!$A$4,7),2)),1,0)</f>
        <v>0</v>
      </c>
      <c r="Y5298" s="6">
        <f>1/COUNTIF(Таблица1[Order ID],Таблица1[[#This Row],[Order ID]])</f>
        <v>0.5</v>
      </c>
      <c r="Z5298" s="9">
        <f>1/COUNTIFS(Таблица1[Customer Name],Таблица1[[#This Row],[Customer Name]],Таблица1[Order-Year-Month],Таблица1[[#This Row],[Order-Year-Month]])</f>
        <v>0.33333333333333331</v>
      </c>
    </row>
    <row r="5299" spans="1:26" x14ac:dyDescent="0.2">
      <c r="A5299" s="6">
        <v>7680</v>
      </c>
      <c r="B5299" s="7">
        <v>55042</v>
      </c>
      <c r="C5299" s="8">
        <f>DATE(2012,12,31)-389</f>
        <v>40885</v>
      </c>
      <c r="D5299" s="8" t="str">
        <f t="shared" si="99"/>
        <v>2011-12 (декабрь 2011)</v>
      </c>
      <c r="E5299" s="9" t="s">
        <v>30</v>
      </c>
      <c r="F5299" s="7">
        <v>28</v>
      </c>
      <c r="G5299" s="7">
        <v>1717.88</v>
      </c>
      <c r="H5299" s="7">
        <v>0.05</v>
      </c>
      <c r="I5299" s="9" t="s">
        <v>56</v>
      </c>
      <c r="J5299" s="10">
        <v>513.92999999999995</v>
      </c>
      <c r="K5299" s="11">
        <v>60.97</v>
      </c>
      <c r="L5299" s="11">
        <v>4.5</v>
      </c>
      <c r="M5299" s="9" t="s">
        <v>1164</v>
      </c>
      <c r="N5299" s="6" t="s">
        <v>672</v>
      </c>
      <c r="O5299" s="6" t="s">
        <v>673</v>
      </c>
      <c r="P5299" s="9" t="s">
        <v>60</v>
      </c>
      <c r="Q5299" s="9" t="s">
        <v>26</v>
      </c>
      <c r="R5299" s="9" t="s">
        <v>34</v>
      </c>
      <c r="S5299" s="7" t="s">
        <v>1574</v>
      </c>
      <c r="T5299" s="9" t="s">
        <v>39</v>
      </c>
      <c r="U5299" s="7">
        <v>0.56000000000000005</v>
      </c>
      <c r="V5299" s="12">
        <f>C5299+2</f>
        <v>40887</v>
      </c>
      <c r="W5299">
        <f>IF(D5299=' Pivot Tables'!$A$4,1,0)</f>
        <v>0</v>
      </c>
      <c r="X5299">
        <f>IF(AND(LEFT(D5299,4)+1=LEFT(' Pivot Tables'!$A$4,4)+0,RIGHT(LEFT(D5299,7),2)=RIGHT(LEFT(' Pivot Tables'!$A$4,7),2)),1,0)</f>
        <v>0</v>
      </c>
      <c r="Y5299" s="6">
        <f>1/COUNTIF(Таблица1[Order ID],Таблица1[[#This Row],[Order ID]])</f>
        <v>0.5</v>
      </c>
      <c r="Z5299" s="9">
        <f>1/COUNTIFS(Таблица1[Customer Name],Таблица1[[#This Row],[Customer Name]],Таблица1[Order-Year-Month],Таблица1[[#This Row],[Order-Year-Month]])</f>
        <v>0.25</v>
      </c>
    </row>
    <row r="5300" spans="1:26" x14ac:dyDescent="0.2">
      <c r="A5300" s="6">
        <v>7681</v>
      </c>
      <c r="B5300" s="7">
        <v>55042</v>
      </c>
      <c r="C5300" s="8">
        <f>DATE(2012,12,31)-389</f>
        <v>40885</v>
      </c>
      <c r="D5300" s="8" t="str">
        <f t="shared" si="99"/>
        <v>2011-12 (декабрь 2011)</v>
      </c>
      <c r="E5300" s="9" t="s">
        <v>30</v>
      </c>
      <c r="F5300" s="7">
        <v>38</v>
      </c>
      <c r="G5300" s="7">
        <v>1978.4345000000001</v>
      </c>
      <c r="H5300" s="7">
        <v>0.09</v>
      </c>
      <c r="I5300" s="9" t="s">
        <v>22</v>
      </c>
      <c r="J5300" s="10">
        <v>471.08699999999993</v>
      </c>
      <c r="K5300" s="11">
        <v>65.989999999999995</v>
      </c>
      <c r="L5300" s="11">
        <v>2.5</v>
      </c>
      <c r="M5300" s="9" t="s">
        <v>1164</v>
      </c>
      <c r="N5300" s="6" t="s">
        <v>672</v>
      </c>
      <c r="O5300" s="6" t="s">
        <v>673</v>
      </c>
      <c r="P5300" s="9" t="s">
        <v>60</v>
      </c>
      <c r="Q5300" s="9" t="s">
        <v>42</v>
      </c>
      <c r="R5300" s="9" t="s">
        <v>43</v>
      </c>
      <c r="S5300" s="7" t="s">
        <v>1179</v>
      </c>
      <c r="T5300" s="9" t="s">
        <v>39</v>
      </c>
      <c r="U5300" s="7">
        <v>0.55000000000000004</v>
      </c>
      <c r="V5300" s="12">
        <f>C5300+1</f>
        <v>40886</v>
      </c>
      <c r="W5300">
        <f>IF(D5300=' Pivot Tables'!$A$4,1,0)</f>
        <v>0</v>
      </c>
      <c r="X5300">
        <f>IF(AND(LEFT(D5300,4)+1=LEFT(' Pivot Tables'!$A$4,4)+0,RIGHT(LEFT(D5300,7),2)=RIGHT(LEFT(' Pivot Tables'!$A$4,7),2)),1,0)</f>
        <v>0</v>
      </c>
      <c r="Y5300" s="6">
        <f>1/COUNTIF(Таблица1[Order ID],Таблица1[[#This Row],[Order ID]])</f>
        <v>0.5</v>
      </c>
      <c r="Z5300" s="9">
        <f>1/COUNTIFS(Таблица1[Customer Name],Таблица1[[#This Row],[Customer Name]],Таблица1[Order-Year-Month],Таблица1[[#This Row],[Order-Year-Month]])</f>
        <v>0.25</v>
      </c>
    </row>
    <row r="5301" spans="1:26" x14ac:dyDescent="0.2">
      <c r="A5301" s="6">
        <v>7683</v>
      </c>
      <c r="B5301" s="7">
        <v>55046</v>
      </c>
      <c r="C5301" s="8">
        <f>DATE(2012,12,31)-1358</f>
        <v>39916</v>
      </c>
      <c r="D5301" s="8" t="str">
        <f t="shared" si="99"/>
        <v>2009-04 (апрель 2009)</v>
      </c>
      <c r="E5301" s="9" t="s">
        <v>78</v>
      </c>
      <c r="F5301" s="7">
        <v>2</v>
      </c>
      <c r="G5301" s="7">
        <v>29.32</v>
      </c>
      <c r="H5301" s="7">
        <v>0.08</v>
      </c>
      <c r="I5301" s="9" t="s">
        <v>56</v>
      </c>
      <c r="J5301" s="10">
        <v>-12.93</v>
      </c>
      <c r="K5301" s="11">
        <v>7.28</v>
      </c>
      <c r="L5301" s="11">
        <v>11.15</v>
      </c>
      <c r="M5301" s="9" t="s">
        <v>1848</v>
      </c>
      <c r="N5301" s="6" t="s">
        <v>672</v>
      </c>
      <c r="O5301" s="6" t="s">
        <v>673</v>
      </c>
      <c r="P5301" s="9" t="s">
        <v>25</v>
      </c>
      <c r="Q5301" s="9" t="s">
        <v>26</v>
      </c>
      <c r="R5301" s="9" t="s">
        <v>61</v>
      </c>
      <c r="S5301" s="7" t="s">
        <v>666</v>
      </c>
      <c r="T5301" s="9" t="s">
        <v>39</v>
      </c>
      <c r="U5301" s="7">
        <v>0.37</v>
      </c>
      <c r="V5301" s="12">
        <f>C5301+1</f>
        <v>39917</v>
      </c>
      <c r="W5301">
        <f>IF(D5301=' Pivot Tables'!$A$4,1,0)</f>
        <v>0</v>
      </c>
      <c r="X5301">
        <f>IF(AND(LEFT(D5301,4)+1=LEFT(' Pivot Tables'!$A$4,4)+0,RIGHT(LEFT(D5301,7),2)=RIGHT(LEFT(' Pivot Tables'!$A$4,7),2)),1,0)</f>
        <v>0</v>
      </c>
      <c r="Y5301" s="6">
        <f>1/COUNTIF(Таблица1[Order ID],Таблица1[[#This Row],[Order ID]])</f>
        <v>1</v>
      </c>
      <c r="Z5301" s="9">
        <f>1/COUNTIFS(Таблица1[Customer Name],Таблица1[[#This Row],[Customer Name]],Таблица1[Order-Year-Month],Таблица1[[#This Row],[Order-Year-Month]])</f>
        <v>1</v>
      </c>
    </row>
    <row r="5302" spans="1:26" x14ac:dyDescent="0.2">
      <c r="A5302" s="6">
        <v>7715</v>
      </c>
      <c r="B5302" s="7">
        <v>55297</v>
      </c>
      <c r="C5302" s="8">
        <f>DATE(2012,12,31)-804</f>
        <v>40470</v>
      </c>
      <c r="D5302" s="8" t="str">
        <f t="shared" si="99"/>
        <v>2010-10 (октябрь 2010)</v>
      </c>
      <c r="E5302" s="9" t="s">
        <v>63</v>
      </c>
      <c r="F5302" s="7">
        <v>29</v>
      </c>
      <c r="G5302" s="7">
        <v>566.66</v>
      </c>
      <c r="H5302" s="7">
        <v>0.1</v>
      </c>
      <c r="I5302" s="9" t="s">
        <v>22</v>
      </c>
      <c r="J5302" s="10">
        <v>60.59</v>
      </c>
      <c r="K5302" s="11">
        <v>19.98</v>
      </c>
      <c r="L5302" s="11">
        <v>8.68</v>
      </c>
      <c r="M5302" s="9" t="s">
        <v>1884</v>
      </c>
      <c r="N5302" s="6" t="s">
        <v>672</v>
      </c>
      <c r="O5302" s="6" t="s">
        <v>673</v>
      </c>
      <c r="P5302" s="9" t="s">
        <v>25</v>
      </c>
      <c r="Q5302" s="9" t="s">
        <v>26</v>
      </c>
      <c r="R5302" s="9" t="s">
        <v>61</v>
      </c>
      <c r="S5302" s="7" t="s">
        <v>617</v>
      </c>
      <c r="T5302" s="9" t="s">
        <v>39</v>
      </c>
      <c r="U5302" s="7">
        <v>0.37</v>
      </c>
      <c r="V5302" s="12">
        <f>C5302+2</f>
        <v>40472</v>
      </c>
      <c r="W5302">
        <f>IF(D5302=' Pivot Tables'!$A$4,1,0)</f>
        <v>0</v>
      </c>
      <c r="X5302">
        <f>IF(AND(LEFT(D5302,4)+1=LEFT(' Pivot Tables'!$A$4,4)+0,RIGHT(LEFT(D5302,7),2)=RIGHT(LEFT(' Pivot Tables'!$A$4,7),2)),1,0)</f>
        <v>0</v>
      </c>
      <c r="Y5302" s="6">
        <f>1/COUNTIF(Таблица1[Order ID],Таблица1[[#This Row],[Order ID]])</f>
        <v>1</v>
      </c>
      <c r="Z5302" s="9">
        <f>1/COUNTIFS(Таблица1[Customer Name],Таблица1[[#This Row],[Customer Name]],Таблица1[Order-Year-Month],Таблица1[[#This Row],[Order-Year-Month]])</f>
        <v>1</v>
      </c>
    </row>
    <row r="5303" spans="1:26" x14ac:dyDescent="0.2">
      <c r="A5303" s="6">
        <v>7724</v>
      </c>
      <c r="B5303" s="7">
        <v>55360</v>
      </c>
      <c r="C5303" s="8">
        <f>DATE(2012,12,31)-1439</f>
        <v>39835</v>
      </c>
      <c r="D5303" s="8" t="str">
        <f t="shared" si="99"/>
        <v>2009-01 (январь 2009)</v>
      </c>
      <c r="E5303" s="9" t="s">
        <v>63</v>
      </c>
      <c r="F5303" s="7">
        <v>49</v>
      </c>
      <c r="G5303" s="7">
        <v>134.83000000000001</v>
      </c>
      <c r="H5303" s="7">
        <v>7.0000000000000007E-2</v>
      </c>
      <c r="I5303" s="9" t="s">
        <v>22</v>
      </c>
      <c r="J5303" s="10">
        <v>50.74</v>
      </c>
      <c r="K5303" s="11">
        <v>2.89</v>
      </c>
      <c r="L5303" s="11">
        <v>0.5</v>
      </c>
      <c r="M5303" s="9" t="s">
        <v>1164</v>
      </c>
      <c r="N5303" s="6" t="s">
        <v>672</v>
      </c>
      <c r="O5303" s="6" t="s">
        <v>673</v>
      </c>
      <c r="P5303" s="9" t="s">
        <v>25</v>
      </c>
      <c r="Q5303" s="9" t="s">
        <v>26</v>
      </c>
      <c r="R5303" s="9" t="s">
        <v>88</v>
      </c>
      <c r="S5303" s="7" t="s">
        <v>474</v>
      </c>
      <c r="T5303" s="9" t="s">
        <v>39</v>
      </c>
      <c r="U5303" s="7">
        <v>0.38</v>
      </c>
      <c r="V5303" s="12">
        <f>C5303+2</f>
        <v>39837</v>
      </c>
      <c r="W5303">
        <f>IF(D5303=' Pivot Tables'!$A$4,1,0)</f>
        <v>0</v>
      </c>
      <c r="X5303">
        <f>IF(AND(LEFT(D5303,4)+1=LEFT(' Pivot Tables'!$A$4,4)+0,RIGHT(LEFT(D5303,7),2)=RIGHT(LEFT(' Pivot Tables'!$A$4,7),2)),1,0)</f>
        <v>1</v>
      </c>
      <c r="Y5303" s="6">
        <f>1/COUNTIF(Таблица1[Order ID],Таблица1[[#This Row],[Order ID]])</f>
        <v>0.5</v>
      </c>
      <c r="Z5303" s="9">
        <f>1/COUNTIFS(Таблица1[Customer Name],Таблица1[[#This Row],[Customer Name]],Таблица1[Order-Year-Month],Таблица1[[#This Row],[Order-Year-Month]])</f>
        <v>0.5</v>
      </c>
    </row>
    <row r="5304" spans="1:26" x14ac:dyDescent="0.2">
      <c r="A5304" s="6">
        <v>7725</v>
      </c>
      <c r="B5304" s="7">
        <v>55360</v>
      </c>
      <c r="C5304" s="8">
        <f>DATE(2012,12,31)-1439</f>
        <v>39835</v>
      </c>
      <c r="D5304" s="8" t="str">
        <f t="shared" si="99"/>
        <v>2009-01 (январь 2009)</v>
      </c>
      <c r="E5304" s="9" t="s">
        <v>63</v>
      </c>
      <c r="F5304" s="7">
        <v>39</v>
      </c>
      <c r="G5304" s="7">
        <v>8865.1</v>
      </c>
      <c r="H5304" s="7">
        <v>0</v>
      </c>
      <c r="I5304" s="9" t="s">
        <v>31</v>
      </c>
      <c r="J5304" s="10">
        <v>1517.12</v>
      </c>
      <c r="K5304" s="11">
        <v>217.85</v>
      </c>
      <c r="L5304" s="11">
        <v>29.1</v>
      </c>
      <c r="M5304" s="9" t="s">
        <v>1164</v>
      </c>
      <c r="N5304" s="6" t="s">
        <v>672</v>
      </c>
      <c r="O5304" s="6" t="s">
        <v>673</v>
      </c>
      <c r="P5304" s="9" t="s">
        <v>25</v>
      </c>
      <c r="Q5304" s="9" t="s">
        <v>49</v>
      </c>
      <c r="R5304" s="9" t="s">
        <v>83</v>
      </c>
      <c r="S5304" s="7" t="s">
        <v>1199</v>
      </c>
      <c r="T5304" s="9" t="s">
        <v>82</v>
      </c>
      <c r="U5304" s="7">
        <v>0.68</v>
      </c>
      <c r="V5304" s="12">
        <f>C5304+1</f>
        <v>39836</v>
      </c>
      <c r="W5304">
        <f>IF(D5304=' Pivot Tables'!$A$4,1,0)</f>
        <v>0</v>
      </c>
      <c r="X5304">
        <f>IF(AND(LEFT(D5304,4)+1=LEFT(' Pivot Tables'!$A$4,4)+0,RIGHT(LEFT(D5304,7),2)=RIGHT(LEFT(' Pivot Tables'!$A$4,7),2)),1,0)</f>
        <v>1</v>
      </c>
      <c r="Y5304" s="6">
        <f>1/COUNTIF(Таблица1[Order ID],Таблица1[[#This Row],[Order ID]])</f>
        <v>0.5</v>
      </c>
      <c r="Z5304" s="9">
        <f>1/COUNTIFS(Таблица1[Customer Name],Таблица1[[#This Row],[Customer Name]],Таблица1[Order-Year-Month],Таблица1[[#This Row],[Order-Year-Month]])</f>
        <v>0.5</v>
      </c>
    </row>
    <row r="5305" spans="1:26" x14ac:dyDescent="0.2">
      <c r="A5305" s="6">
        <v>7772</v>
      </c>
      <c r="B5305" s="7">
        <v>55623</v>
      </c>
      <c r="C5305" s="8">
        <f>DATE(2012,12,31)-87</f>
        <v>41187</v>
      </c>
      <c r="D5305" s="8" t="str">
        <f t="shared" si="99"/>
        <v>2012-10 (октябрь 2012)</v>
      </c>
      <c r="E5305" s="9" t="s">
        <v>78</v>
      </c>
      <c r="F5305" s="7">
        <v>47</v>
      </c>
      <c r="G5305" s="7">
        <v>10348.73</v>
      </c>
      <c r="H5305" s="7">
        <v>0.09</v>
      </c>
      <c r="I5305" s="9" t="s">
        <v>31</v>
      </c>
      <c r="J5305" s="10">
        <v>1094.57</v>
      </c>
      <c r="K5305" s="11">
        <v>227.55</v>
      </c>
      <c r="L5305" s="11">
        <v>32.479999999999997</v>
      </c>
      <c r="M5305" s="9" t="s">
        <v>109</v>
      </c>
      <c r="N5305" s="6" t="s">
        <v>672</v>
      </c>
      <c r="O5305" s="6" t="s">
        <v>673</v>
      </c>
      <c r="P5305" s="9" t="s">
        <v>41</v>
      </c>
      <c r="Q5305" s="9" t="s">
        <v>49</v>
      </c>
      <c r="R5305" s="9" t="s">
        <v>83</v>
      </c>
      <c r="S5305" s="7" t="s">
        <v>1632</v>
      </c>
      <c r="T5305" s="9" t="s">
        <v>82</v>
      </c>
      <c r="U5305" s="7">
        <v>0.68</v>
      </c>
      <c r="V5305" s="12">
        <f>C5305+1</f>
        <v>41188</v>
      </c>
      <c r="W5305">
        <f>IF(D5305=' Pivot Tables'!$A$4,1,0)</f>
        <v>0</v>
      </c>
      <c r="X5305">
        <f>IF(AND(LEFT(D5305,4)+1=LEFT(' Pivot Tables'!$A$4,4)+0,RIGHT(LEFT(D5305,7),2)=RIGHT(LEFT(' Pivot Tables'!$A$4,7),2)),1,0)</f>
        <v>0</v>
      </c>
      <c r="Y5305" s="6">
        <f>1/COUNTIF(Таблица1[Order ID],Таблица1[[#This Row],[Order ID]])</f>
        <v>1</v>
      </c>
      <c r="Z5305" s="9">
        <f>1/COUNTIFS(Таблица1[Customer Name],Таблица1[[#This Row],[Customer Name]],Таблица1[Order-Year-Month],Таблица1[[#This Row],[Order-Year-Month]])</f>
        <v>1</v>
      </c>
    </row>
    <row r="5306" spans="1:26" x14ac:dyDescent="0.2">
      <c r="A5306" s="6">
        <v>7774</v>
      </c>
      <c r="B5306" s="7">
        <v>55650</v>
      </c>
      <c r="C5306" s="8">
        <f>DATE(2012,12,31)-437</f>
        <v>40837</v>
      </c>
      <c r="D5306" s="8" t="str">
        <f t="shared" si="99"/>
        <v>2011-10 (октябрь 2011)</v>
      </c>
      <c r="E5306" s="9" t="s">
        <v>21</v>
      </c>
      <c r="F5306" s="7">
        <v>41</v>
      </c>
      <c r="G5306" s="7">
        <v>1258.97</v>
      </c>
      <c r="H5306" s="7">
        <v>0.1</v>
      </c>
      <c r="I5306" s="9" t="s">
        <v>22</v>
      </c>
      <c r="J5306" s="10">
        <v>-112.58</v>
      </c>
      <c r="K5306" s="11">
        <v>32.979999999999997</v>
      </c>
      <c r="L5306" s="11">
        <v>5.5</v>
      </c>
      <c r="M5306" s="9" t="s">
        <v>1872</v>
      </c>
      <c r="N5306" s="6" t="s">
        <v>672</v>
      </c>
      <c r="O5306" s="6" t="s">
        <v>673</v>
      </c>
      <c r="P5306" s="9" t="s">
        <v>60</v>
      </c>
      <c r="Q5306" s="9" t="s">
        <v>42</v>
      </c>
      <c r="R5306" s="9" t="s">
        <v>70</v>
      </c>
      <c r="S5306" s="7" t="s">
        <v>403</v>
      </c>
      <c r="T5306" s="9" t="s">
        <v>39</v>
      </c>
      <c r="U5306" s="7">
        <v>0.75</v>
      </c>
      <c r="V5306" s="12">
        <f>C5306+2</f>
        <v>40839</v>
      </c>
      <c r="W5306">
        <f>IF(D5306=' Pivot Tables'!$A$4,1,0)</f>
        <v>0</v>
      </c>
      <c r="X5306">
        <f>IF(AND(LEFT(D5306,4)+1=LEFT(' Pivot Tables'!$A$4,4)+0,RIGHT(LEFT(D5306,7),2)=RIGHT(LEFT(' Pivot Tables'!$A$4,7),2)),1,0)</f>
        <v>0</v>
      </c>
      <c r="Y5306" s="6">
        <f>1/COUNTIF(Таблица1[Order ID],Таблица1[[#This Row],[Order ID]])</f>
        <v>1</v>
      </c>
      <c r="Z5306" s="9">
        <f>1/COUNTIFS(Таблица1[Customer Name],Таблица1[[#This Row],[Customer Name]],Таблица1[Order-Year-Month],Таблица1[[#This Row],[Order-Year-Month]])</f>
        <v>1</v>
      </c>
    </row>
    <row r="5307" spans="1:26" x14ac:dyDescent="0.2">
      <c r="A5307" s="6">
        <v>7776</v>
      </c>
      <c r="B5307" s="7">
        <v>55651</v>
      </c>
      <c r="C5307" s="8">
        <f>DATE(2012,12,31)-299</f>
        <v>40975</v>
      </c>
      <c r="D5307" s="8" t="str">
        <f t="shared" si="99"/>
        <v>2012-03 (март 2012)</v>
      </c>
      <c r="E5307" s="9" t="s">
        <v>63</v>
      </c>
      <c r="F5307" s="7">
        <v>41</v>
      </c>
      <c r="G5307" s="7">
        <v>830.53</v>
      </c>
      <c r="H5307" s="7">
        <v>0.01</v>
      </c>
      <c r="I5307" s="9" t="s">
        <v>22</v>
      </c>
      <c r="J5307" s="10">
        <v>120.69</v>
      </c>
      <c r="K5307" s="11">
        <v>20.239999999999998</v>
      </c>
      <c r="L5307" s="11">
        <v>8.99</v>
      </c>
      <c r="M5307" s="9" t="s">
        <v>1094</v>
      </c>
      <c r="N5307" s="6" t="s">
        <v>672</v>
      </c>
      <c r="O5307" s="6" t="s">
        <v>673</v>
      </c>
      <c r="P5307" s="9" t="s">
        <v>41</v>
      </c>
      <c r="Q5307" s="9" t="s">
        <v>49</v>
      </c>
      <c r="R5307" s="9" t="s">
        <v>50</v>
      </c>
      <c r="S5307" s="7" t="s">
        <v>389</v>
      </c>
      <c r="T5307" s="9" t="s">
        <v>52</v>
      </c>
      <c r="U5307" s="7">
        <v>0.46</v>
      </c>
      <c r="V5307" s="12">
        <f>C5307+3</f>
        <v>40978</v>
      </c>
      <c r="W5307">
        <f>IF(D5307=' Pivot Tables'!$A$4,1,0)</f>
        <v>0</v>
      </c>
      <c r="X5307">
        <f>IF(AND(LEFT(D5307,4)+1=LEFT(' Pivot Tables'!$A$4,4)+0,RIGHT(LEFT(D5307,7),2)=RIGHT(LEFT(' Pivot Tables'!$A$4,7),2)),1,0)</f>
        <v>0</v>
      </c>
      <c r="Y5307" s="6">
        <f>1/COUNTIF(Таблица1[Order ID],Таблица1[[#This Row],[Order ID]])</f>
        <v>0.33333333333333331</v>
      </c>
      <c r="Z5307" s="9">
        <f>1/COUNTIFS(Таблица1[Customer Name],Таблица1[[#This Row],[Customer Name]],Таблица1[Order-Year-Month],Таблица1[[#This Row],[Order-Year-Month]])</f>
        <v>0.33333333333333331</v>
      </c>
    </row>
    <row r="5308" spans="1:26" x14ac:dyDescent="0.2">
      <c r="A5308" s="6">
        <v>7777</v>
      </c>
      <c r="B5308" s="7">
        <v>55651</v>
      </c>
      <c r="C5308" s="8">
        <f>DATE(2012,12,31)-299</f>
        <v>40975</v>
      </c>
      <c r="D5308" s="8" t="str">
        <f t="shared" si="99"/>
        <v>2012-03 (март 2012)</v>
      </c>
      <c r="E5308" s="9" t="s">
        <v>63</v>
      </c>
      <c r="F5308" s="7">
        <v>2</v>
      </c>
      <c r="G5308" s="7">
        <v>79.930000000000007</v>
      </c>
      <c r="H5308" s="7">
        <v>0</v>
      </c>
      <c r="I5308" s="9" t="s">
        <v>22</v>
      </c>
      <c r="J5308" s="10">
        <v>-52.73</v>
      </c>
      <c r="K5308" s="11">
        <v>27.75</v>
      </c>
      <c r="L5308" s="11">
        <v>19.989999999999998</v>
      </c>
      <c r="M5308" s="9" t="s">
        <v>1094</v>
      </c>
      <c r="N5308" s="6" t="s">
        <v>672</v>
      </c>
      <c r="O5308" s="6" t="s">
        <v>673</v>
      </c>
      <c r="P5308" s="9" t="s">
        <v>41</v>
      </c>
      <c r="Q5308" s="9" t="s">
        <v>26</v>
      </c>
      <c r="R5308" s="9" t="s">
        <v>27</v>
      </c>
      <c r="S5308" s="7" t="s">
        <v>561</v>
      </c>
      <c r="T5308" s="9" t="s">
        <v>39</v>
      </c>
      <c r="U5308" s="7">
        <v>0.67</v>
      </c>
      <c r="V5308" s="12">
        <f>C5308+1</f>
        <v>40976</v>
      </c>
      <c r="W5308">
        <f>IF(D5308=' Pivot Tables'!$A$4,1,0)</f>
        <v>0</v>
      </c>
      <c r="X5308">
        <f>IF(AND(LEFT(D5308,4)+1=LEFT(' Pivot Tables'!$A$4,4)+0,RIGHT(LEFT(D5308,7),2)=RIGHT(LEFT(' Pivot Tables'!$A$4,7),2)),1,0)</f>
        <v>0</v>
      </c>
      <c r="Y5308" s="6">
        <f>1/COUNTIF(Таблица1[Order ID],Таблица1[[#This Row],[Order ID]])</f>
        <v>0.33333333333333331</v>
      </c>
      <c r="Z5308" s="9">
        <f>1/COUNTIFS(Таблица1[Customer Name],Таблица1[[#This Row],[Customer Name]],Таблица1[Order-Year-Month],Таблица1[[#This Row],[Order-Year-Month]])</f>
        <v>0.33333333333333331</v>
      </c>
    </row>
    <row r="5309" spans="1:26" x14ac:dyDescent="0.2">
      <c r="A5309" s="6">
        <v>7876</v>
      </c>
      <c r="B5309" s="7">
        <v>56322</v>
      </c>
      <c r="C5309" s="8">
        <f>DATE(2012,12,31)-458</f>
        <v>40816</v>
      </c>
      <c r="D5309" s="8" t="str">
        <f t="shared" si="99"/>
        <v>2011-09 (сентябрь 2011)</v>
      </c>
      <c r="E5309" s="9" t="s">
        <v>63</v>
      </c>
      <c r="F5309" s="7">
        <v>26</v>
      </c>
      <c r="G5309" s="7">
        <v>799.84</v>
      </c>
      <c r="H5309" s="7">
        <v>0.08</v>
      </c>
      <c r="I5309" s="9" t="s">
        <v>22</v>
      </c>
      <c r="J5309" s="10">
        <v>64.13</v>
      </c>
      <c r="K5309" s="11">
        <v>31.11</v>
      </c>
      <c r="L5309" s="11">
        <v>3.6</v>
      </c>
      <c r="M5309" s="9" t="s">
        <v>1845</v>
      </c>
      <c r="N5309" s="6" t="s">
        <v>672</v>
      </c>
      <c r="O5309" s="6" t="s">
        <v>673</v>
      </c>
      <c r="P5309" s="9" t="s">
        <v>25</v>
      </c>
      <c r="Q5309" s="9" t="s">
        <v>42</v>
      </c>
      <c r="R5309" s="9" t="s">
        <v>70</v>
      </c>
      <c r="S5309" s="7" t="s">
        <v>893</v>
      </c>
      <c r="T5309" s="9" t="s">
        <v>52</v>
      </c>
      <c r="U5309" s="7">
        <v>0.64</v>
      </c>
      <c r="V5309" s="12">
        <f>C5309+2</f>
        <v>40818</v>
      </c>
      <c r="W5309">
        <f>IF(D5309=' Pivot Tables'!$A$4,1,0)</f>
        <v>0</v>
      </c>
      <c r="X5309">
        <f>IF(AND(LEFT(D5309,4)+1=LEFT(' Pivot Tables'!$A$4,4)+0,RIGHT(LEFT(D5309,7),2)=RIGHT(LEFT(' Pivot Tables'!$A$4,7),2)),1,0)</f>
        <v>0</v>
      </c>
      <c r="Y5309" s="6">
        <f>1/COUNTIF(Таблица1[Order ID],Таблица1[[#This Row],[Order ID]])</f>
        <v>0.5</v>
      </c>
      <c r="Z5309" s="9">
        <f>1/COUNTIFS(Таблица1[Customer Name],Таблица1[[#This Row],[Customer Name]],Таблица1[Order-Year-Month],Таблица1[[#This Row],[Order-Year-Month]])</f>
        <v>0.5</v>
      </c>
    </row>
    <row r="5310" spans="1:26" x14ac:dyDescent="0.2">
      <c r="A5310" s="6">
        <v>7877</v>
      </c>
      <c r="B5310" s="7">
        <v>56322</v>
      </c>
      <c r="C5310" s="8">
        <f>DATE(2012,12,31)-458</f>
        <v>40816</v>
      </c>
      <c r="D5310" s="8" t="str">
        <f t="shared" si="99"/>
        <v>2011-09 (сентябрь 2011)</v>
      </c>
      <c r="E5310" s="9" t="s">
        <v>63</v>
      </c>
      <c r="F5310" s="7">
        <v>16</v>
      </c>
      <c r="G5310" s="7">
        <v>1689.1369999999999</v>
      </c>
      <c r="H5310" s="7">
        <v>7.0000000000000007E-2</v>
      </c>
      <c r="I5310" s="9" t="s">
        <v>22</v>
      </c>
      <c r="J5310" s="10">
        <v>71.063999999999993</v>
      </c>
      <c r="K5310" s="11">
        <v>125.99</v>
      </c>
      <c r="L5310" s="11">
        <v>8.08</v>
      </c>
      <c r="M5310" s="9" t="s">
        <v>1845</v>
      </c>
      <c r="N5310" s="6" t="s">
        <v>672</v>
      </c>
      <c r="O5310" s="6" t="s">
        <v>673</v>
      </c>
      <c r="P5310" s="9" t="s">
        <v>25</v>
      </c>
      <c r="Q5310" s="9" t="s">
        <v>42</v>
      </c>
      <c r="R5310" s="9" t="s">
        <v>43</v>
      </c>
      <c r="S5310" s="7" t="s">
        <v>586</v>
      </c>
      <c r="T5310" s="9" t="s">
        <v>39</v>
      </c>
      <c r="U5310" s="7">
        <v>0.56999999999999995</v>
      </c>
      <c r="V5310" s="12">
        <f>C5310+2</f>
        <v>40818</v>
      </c>
      <c r="W5310">
        <f>IF(D5310=' Pivot Tables'!$A$4,1,0)</f>
        <v>0</v>
      </c>
      <c r="X5310">
        <f>IF(AND(LEFT(D5310,4)+1=LEFT(' Pivot Tables'!$A$4,4)+0,RIGHT(LEFT(D5310,7),2)=RIGHT(LEFT(' Pivot Tables'!$A$4,7),2)),1,0)</f>
        <v>0</v>
      </c>
      <c r="Y5310" s="6">
        <f>1/COUNTIF(Таблица1[Order ID],Таблица1[[#This Row],[Order ID]])</f>
        <v>0.5</v>
      </c>
      <c r="Z5310" s="9">
        <f>1/COUNTIFS(Таблица1[Customer Name],Таблица1[[#This Row],[Customer Name]],Таблица1[Order-Year-Month],Таблица1[[#This Row],[Order-Year-Month]])</f>
        <v>0.5</v>
      </c>
    </row>
    <row r="5311" spans="1:26" x14ac:dyDescent="0.2">
      <c r="A5311" s="6">
        <v>7918</v>
      </c>
      <c r="B5311" s="7">
        <v>56608</v>
      </c>
      <c r="C5311" s="8">
        <f>DATE(2012,12,31)-1139</f>
        <v>40135</v>
      </c>
      <c r="D5311" s="8" t="str">
        <f t="shared" si="99"/>
        <v>2009-11 (ноябрь 2009)</v>
      </c>
      <c r="E5311" s="9" t="s">
        <v>78</v>
      </c>
      <c r="F5311" s="7">
        <v>23</v>
      </c>
      <c r="G5311" s="7">
        <v>42.23</v>
      </c>
      <c r="H5311" s="7">
        <v>0.1</v>
      </c>
      <c r="I5311" s="9" t="s">
        <v>22</v>
      </c>
      <c r="J5311" s="10">
        <v>-15.11</v>
      </c>
      <c r="K5311" s="11">
        <v>1.89</v>
      </c>
      <c r="L5311" s="11">
        <v>0.76</v>
      </c>
      <c r="M5311" s="9" t="s">
        <v>1849</v>
      </c>
      <c r="N5311" s="6" t="s">
        <v>672</v>
      </c>
      <c r="O5311" s="6" t="s">
        <v>673</v>
      </c>
      <c r="P5311" s="9" t="s">
        <v>33</v>
      </c>
      <c r="Q5311" s="9" t="s">
        <v>26</v>
      </c>
      <c r="R5311" s="9" t="s">
        <v>66</v>
      </c>
      <c r="S5311" s="7" t="s">
        <v>177</v>
      </c>
      <c r="T5311" s="9" t="s">
        <v>68</v>
      </c>
      <c r="U5311" s="7">
        <v>0.83</v>
      </c>
      <c r="V5311" s="12">
        <f>C5311+2</f>
        <v>40137</v>
      </c>
      <c r="W5311">
        <f>IF(D5311=' Pivot Tables'!$A$4,1,0)</f>
        <v>0</v>
      </c>
      <c r="X5311">
        <f>IF(AND(LEFT(D5311,4)+1=LEFT(' Pivot Tables'!$A$4,4)+0,RIGHT(LEFT(D5311,7),2)=RIGHT(LEFT(' Pivot Tables'!$A$4,7),2)),1,0)</f>
        <v>0</v>
      </c>
      <c r="Y5311" s="6">
        <f>1/COUNTIF(Таблица1[Order ID],Таблица1[[#This Row],[Order ID]])</f>
        <v>1</v>
      </c>
      <c r="Z5311" s="9">
        <f>1/COUNTIFS(Таблица1[Customer Name],Таблица1[[#This Row],[Customer Name]],Таблица1[Order-Year-Month],Таблица1[[#This Row],[Order-Year-Month]])</f>
        <v>1</v>
      </c>
    </row>
    <row r="5312" spans="1:26" x14ac:dyDescent="0.2">
      <c r="A5312" s="6">
        <v>7920</v>
      </c>
      <c r="B5312" s="7">
        <v>56612</v>
      </c>
      <c r="C5312" s="8">
        <f>DATE(2012,12,31)-1258</f>
        <v>40016</v>
      </c>
      <c r="D5312" s="8" t="str">
        <f t="shared" si="99"/>
        <v>2009-07 (июль 2009)</v>
      </c>
      <c r="E5312" s="9" t="s">
        <v>30</v>
      </c>
      <c r="F5312" s="7">
        <v>38</v>
      </c>
      <c r="G5312" s="7">
        <v>4008.7274999999995</v>
      </c>
      <c r="H5312" s="7">
        <v>0</v>
      </c>
      <c r="I5312" s="9" t="s">
        <v>22</v>
      </c>
      <c r="J5312" s="10">
        <v>1219.338</v>
      </c>
      <c r="K5312" s="11">
        <v>115.99</v>
      </c>
      <c r="L5312" s="11">
        <v>5.92</v>
      </c>
      <c r="M5312" s="9" t="s">
        <v>1126</v>
      </c>
      <c r="N5312" s="6" t="s">
        <v>672</v>
      </c>
      <c r="O5312" s="6" t="s">
        <v>673</v>
      </c>
      <c r="P5312" s="9" t="s">
        <v>33</v>
      </c>
      <c r="Q5312" s="9" t="s">
        <v>42</v>
      </c>
      <c r="R5312" s="9" t="s">
        <v>43</v>
      </c>
      <c r="S5312" s="7" t="s">
        <v>977</v>
      </c>
      <c r="T5312" s="9" t="s">
        <v>39</v>
      </c>
      <c r="U5312" s="7">
        <v>0.57999999999999996</v>
      </c>
      <c r="V5312" s="12">
        <f>C5312+0</f>
        <v>40016</v>
      </c>
      <c r="W5312">
        <f>IF(D5312=' Pivot Tables'!$A$4,1,0)</f>
        <v>0</v>
      </c>
      <c r="X5312">
        <f>IF(AND(LEFT(D5312,4)+1=LEFT(' Pivot Tables'!$A$4,4)+0,RIGHT(LEFT(D5312,7),2)=RIGHT(LEFT(' Pivot Tables'!$A$4,7),2)),1,0)</f>
        <v>0</v>
      </c>
      <c r="Y5312" s="6">
        <f>1/COUNTIF(Таблица1[Order ID],Таблица1[[#This Row],[Order ID]])</f>
        <v>1</v>
      </c>
      <c r="Z5312" s="9">
        <f>1/COUNTIFS(Таблица1[Customer Name],Таблица1[[#This Row],[Customer Name]],Таблица1[Order-Year-Month],Таблица1[[#This Row],[Order-Year-Month]])</f>
        <v>1</v>
      </c>
    </row>
    <row r="5313" spans="1:26" x14ac:dyDescent="0.2">
      <c r="A5313" s="6">
        <v>7956</v>
      </c>
      <c r="B5313" s="7">
        <v>56835</v>
      </c>
      <c r="C5313" s="8">
        <f>DATE(2012,12,31)-1045</f>
        <v>40229</v>
      </c>
      <c r="D5313" s="8" t="str">
        <f t="shared" si="99"/>
        <v>2010-02 (февраль 2010)</v>
      </c>
      <c r="E5313" s="9" t="s">
        <v>45</v>
      </c>
      <c r="F5313" s="7">
        <v>1</v>
      </c>
      <c r="G5313" s="7">
        <v>10.94</v>
      </c>
      <c r="H5313" s="7">
        <v>0.1</v>
      </c>
      <c r="I5313" s="9" t="s">
        <v>22</v>
      </c>
      <c r="J5313" s="10">
        <v>-5.16</v>
      </c>
      <c r="K5313" s="11">
        <v>9.11</v>
      </c>
      <c r="L5313" s="11">
        <v>2.25</v>
      </c>
      <c r="M5313" s="9" t="s">
        <v>1902</v>
      </c>
      <c r="N5313" s="6" t="s">
        <v>672</v>
      </c>
      <c r="O5313" s="6" t="s">
        <v>673</v>
      </c>
      <c r="P5313" s="9" t="s">
        <v>60</v>
      </c>
      <c r="Q5313" s="9" t="s">
        <v>26</v>
      </c>
      <c r="R5313" s="9" t="s">
        <v>95</v>
      </c>
      <c r="S5313" s="7" t="s">
        <v>709</v>
      </c>
      <c r="T5313" s="9" t="s">
        <v>68</v>
      </c>
      <c r="U5313" s="7">
        <v>0.52</v>
      </c>
      <c r="V5313" s="12">
        <f>C5313+0</f>
        <v>40229</v>
      </c>
      <c r="W5313">
        <f>IF(D5313=' Pivot Tables'!$A$4,1,0)</f>
        <v>0</v>
      </c>
      <c r="X5313">
        <f>IF(AND(LEFT(D5313,4)+1=LEFT(' Pivot Tables'!$A$4,4)+0,RIGHT(LEFT(D5313,7),2)=RIGHT(LEFT(' Pivot Tables'!$A$4,7),2)),1,0)</f>
        <v>0</v>
      </c>
      <c r="Y5313" s="6">
        <f>1/COUNTIF(Таблица1[Order ID],Таблица1[[#This Row],[Order ID]])</f>
        <v>1</v>
      </c>
      <c r="Z5313" s="9">
        <f>1/COUNTIFS(Таблица1[Customer Name],Таблица1[[#This Row],[Customer Name]],Таблица1[Order-Year-Month],Таблица1[[#This Row],[Order-Year-Month]])</f>
        <v>1</v>
      </c>
    </row>
    <row r="5314" spans="1:26" x14ac:dyDescent="0.2">
      <c r="A5314" s="6">
        <v>7975</v>
      </c>
      <c r="B5314" s="7">
        <v>57058</v>
      </c>
      <c r="C5314" s="8">
        <f>DATE(2012,12,31)-236</f>
        <v>41038</v>
      </c>
      <c r="D5314" s="8" t="str">
        <f t="shared" si="99"/>
        <v>2012-05 (май 2012)</v>
      </c>
      <c r="E5314" s="9" t="s">
        <v>63</v>
      </c>
      <c r="F5314" s="7">
        <v>28</v>
      </c>
      <c r="G5314" s="7">
        <v>205.43</v>
      </c>
      <c r="H5314" s="7">
        <v>0</v>
      </c>
      <c r="I5314" s="9" t="s">
        <v>56</v>
      </c>
      <c r="J5314" s="10">
        <v>-24.299499999999998</v>
      </c>
      <c r="K5314" s="11">
        <v>6.54</v>
      </c>
      <c r="L5314" s="11">
        <v>5.27</v>
      </c>
      <c r="M5314" s="9" t="s">
        <v>109</v>
      </c>
      <c r="N5314" s="6" t="s">
        <v>672</v>
      </c>
      <c r="O5314" s="6" t="s">
        <v>673</v>
      </c>
      <c r="P5314" s="9" t="s">
        <v>41</v>
      </c>
      <c r="Q5314" s="9" t="s">
        <v>26</v>
      </c>
      <c r="R5314" s="9" t="s">
        <v>37</v>
      </c>
      <c r="S5314" s="7" t="s">
        <v>744</v>
      </c>
      <c r="T5314" s="9" t="s">
        <v>39</v>
      </c>
      <c r="U5314" s="7">
        <v>0.36</v>
      </c>
      <c r="V5314" s="12">
        <f>C5314+0</f>
        <v>41038</v>
      </c>
      <c r="W5314">
        <f>IF(D5314=' Pivot Tables'!$A$4,1,0)</f>
        <v>0</v>
      </c>
      <c r="X5314">
        <f>IF(AND(LEFT(D5314,4)+1=LEFT(' Pivot Tables'!$A$4,4)+0,RIGHT(LEFT(D5314,7),2)=RIGHT(LEFT(' Pivot Tables'!$A$4,7),2)),1,0)</f>
        <v>0</v>
      </c>
      <c r="Y5314" s="6">
        <f>1/COUNTIF(Таблица1[Order ID],Таблица1[[#This Row],[Order ID]])</f>
        <v>0.5</v>
      </c>
      <c r="Z5314" s="9">
        <f>1/COUNTIFS(Таблица1[Customer Name],Таблица1[[#This Row],[Customer Name]],Таблица1[Order-Year-Month],Таблица1[[#This Row],[Order-Year-Month]])</f>
        <v>0.5</v>
      </c>
    </row>
    <row r="5315" spans="1:26" x14ac:dyDescent="0.2">
      <c r="A5315" s="6">
        <v>7976</v>
      </c>
      <c r="B5315" s="7">
        <v>57058</v>
      </c>
      <c r="C5315" s="8">
        <f>DATE(2012,12,31)-236</f>
        <v>41038</v>
      </c>
      <c r="D5315" s="8" t="str">
        <f t="shared" ref="D5315:D5378" si="100">TEXT(C5315,"гггг-ММ (ММММ гггг)")</f>
        <v>2012-05 (май 2012)</v>
      </c>
      <c r="E5315" s="9" t="s">
        <v>63</v>
      </c>
      <c r="F5315" s="7">
        <v>27</v>
      </c>
      <c r="G5315" s="7">
        <v>979.06</v>
      </c>
      <c r="H5315" s="7">
        <v>7.0000000000000007E-2</v>
      </c>
      <c r="I5315" s="9" t="s">
        <v>22</v>
      </c>
      <c r="J5315" s="10">
        <v>-131.9</v>
      </c>
      <c r="K5315" s="11">
        <v>35.770000000000003</v>
      </c>
      <c r="L5315" s="11">
        <v>9.02</v>
      </c>
      <c r="M5315" s="9" t="s">
        <v>109</v>
      </c>
      <c r="N5315" s="6" t="s">
        <v>672</v>
      </c>
      <c r="O5315" s="6" t="s">
        <v>673</v>
      </c>
      <c r="P5315" s="9" t="s">
        <v>41</v>
      </c>
      <c r="Q5315" s="9" t="s">
        <v>42</v>
      </c>
      <c r="R5315" s="9" t="s">
        <v>70</v>
      </c>
      <c r="S5315" s="7" t="s">
        <v>1649</v>
      </c>
      <c r="T5315" s="9" t="s">
        <v>39</v>
      </c>
      <c r="U5315" s="7">
        <v>0.75</v>
      </c>
      <c r="V5315" s="12">
        <f>C5315+1</f>
        <v>41039</v>
      </c>
      <c r="W5315">
        <f>IF(D5315=' Pivot Tables'!$A$4,1,0)</f>
        <v>0</v>
      </c>
      <c r="X5315">
        <f>IF(AND(LEFT(D5315,4)+1=LEFT(' Pivot Tables'!$A$4,4)+0,RIGHT(LEFT(D5315,7),2)=RIGHT(LEFT(' Pivot Tables'!$A$4,7),2)),1,0)</f>
        <v>0</v>
      </c>
      <c r="Y5315" s="6">
        <f>1/COUNTIF(Таблица1[Order ID],Таблица1[[#This Row],[Order ID]])</f>
        <v>0.5</v>
      </c>
      <c r="Z5315" s="9">
        <f>1/COUNTIFS(Таблица1[Customer Name],Таблица1[[#This Row],[Customer Name]],Таблица1[Order-Year-Month],Таблица1[[#This Row],[Order-Year-Month]])</f>
        <v>0.5</v>
      </c>
    </row>
    <row r="5316" spans="1:26" x14ac:dyDescent="0.2">
      <c r="A5316" s="6">
        <v>8055</v>
      </c>
      <c r="B5316" s="7">
        <v>57506</v>
      </c>
      <c r="C5316" s="8">
        <f>DATE(2012,12,31)-1417</f>
        <v>39857</v>
      </c>
      <c r="D5316" s="8" t="str">
        <f t="shared" si="100"/>
        <v>2009-02 (февраль 2009)</v>
      </c>
      <c r="E5316" s="9" t="s">
        <v>63</v>
      </c>
      <c r="F5316" s="7">
        <v>48</v>
      </c>
      <c r="G5316" s="7">
        <v>332.55</v>
      </c>
      <c r="H5316" s="7">
        <v>0.1</v>
      </c>
      <c r="I5316" s="9" t="s">
        <v>22</v>
      </c>
      <c r="J5316" s="10">
        <v>-66.87</v>
      </c>
      <c r="K5316" s="11">
        <v>7.28</v>
      </c>
      <c r="L5316" s="11">
        <v>5.47</v>
      </c>
      <c r="M5316" s="9" t="s">
        <v>1848</v>
      </c>
      <c r="N5316" s="6" t="s">
        <v>672</v>
      </c>
      <c r="O5316" s="6" t="s">
        <v>673</v>
      </c>
      <c r="P5316" s="9" t="s">
        <v>41</v>
      </c>
      <c r="Q5316" s="9" t="s">
        <v>26</v>
      </c>
      <c r="R5316" s="9" t="s">
        <v>61</v>
      </c>
      <c r="S5316" s="7" t="s">
        <v>1903</v>
      </c>
      <c r="T5316" s="9" t="s">
        <v>39</v>
      </c>
      <c r="U5316" s="7">
        <v>0.35</v>
      </c>
      <c r="V5316" s="12">
        <f>C5316+0</f>
        <v>39857</v>
      </c>
      <c r="W5316">
        <f>IF(D5316=' Pivot Tables'!$A$4,1,0)</f>
        <v>0</v>
      </c>
      <c r="X5316">
        <f>IF(AND(LEFT(D5316,4)+1=LEFT(' Pivot Tables'!$A$4,4)+0,RIGHT(LEFT(D5316,7),2)=RIGHT(LEFT(' Pivot Tables'!$A$4,7),2)),1,0)</f>
        <v>0</v>
      </c>
      <c r="Y5316" s="6">
        <f>1/COUNTIF(Таблица1[Order ID],Таблица1[[#This Row],[Order ID]])</f>
        <v>1</v>
      </c>
      <c r="Z5316" s="9">
        <f>1/COUNTIFS(Таблица1[Customer Name],Таблица1[[#This Row],[Customer Name]],Таблица1[Order-Year-Month],Таблица1[[#This Row],[Order-Year-Month]])</f>
        <v>0.5</v>
      </c>
    </row>
    <row r="5317" spans="1:26" x14ac:dyDescent="0.2">
      <c r="A5317" s="6">
        <v>8072</v>
      </c>
      <c r="B5317" s="7">
        <v>57574</v>
      </c>
      <c r="C5317" s="8">
        <f>DATE(2012,12,31)-161</f>
        <v>41113</v>
      </c>
      <c r="D5317" s="8" t="str">
        <f t="shared" si="100"/>
        <v>2012-07 (июль 2012)</v>
      </c>
      <c r="E5317" s="9" t="s">
        <v>78</v>
      </c>
      <c r="F5317" s="7">
        <v>20</v>
      </c>
      <c r="G5317" s="7">
        <v>466.36</v>
      </c>
      <c r="H5317" s="7">
        <v>7.0000000000000007E-2</v>
      </c>
      <c r="I5317" s="9" t="s">
        <v>31</v>
      </c>
      <c r="J5317" s="10">
        <v>-192.7</v>
      </c>
      <c r="K5317" s="11">
        <v>23.99</v>
      </c>
      <c r="L5317" s="11">
        <v>15.68</v>
      </c>
      <c r="M5317" s="9" t="s">
        <v>1868</v>
      </c>
      <c r="N5317" s="6" t="s">
        <v>672</v>
      </c>
      <c r="O5317" s="6" t="s">
        <v>673</v>
      </c>
      <c r="P5317" s="9" t="s">
        <v>33</v>
      </c>
      <c r="Q5317" s="9" t="s">
        <v>49</v>
      </c>
      <c r="R5317" s="9" t="s">
        <v>50</v>
      </c>
      <c r="S5317" s="7" t="s">
        <v>1372</v>
      </c>
      <c r="T5317" s="9" t="s">
        <v>36</v>
      </c>
      <c r="U5317" s="7">
        <v>0.62</v>
      </c>
      <c r="V5317" s="12">
        <f>C5317+1</f>
        <v>41114</v>
      </c>
      <c r="W5317">
        <f>IF(D5317=' Pivot Tables'!$A$4,1,0)</f>
        <v>0</v>
      </c>
      <c r="X5317">
        <f>IF(AND(LEFT(D5317,4)+1=LEFT(' Pivot Tables'!$A$4,4)+0,RIGHT(LEFT(D5317,7),2)=RIGHT(LEFT(' Pivot Tables'!$A$4,7),2)),1,0)</f>
        <v>0</v>
      </c>
      <c r="Y5317" s="6">
        <f>1/COUNTIF(Таблица1[Order ID],Таблица1[[#This Row],[Order ID]])</f>
        <v>1</v>
      </c>
      <c r="Z5317" s="9">
        <f>1/COUNTIFS(Таблица1[Customer Name],Таблица1[[#This Row],[Customer Name]],Таблица1[Order-Year-Month],Таблица1[[#This Row],[Order-Year-Month]])</f>
        <v>1</v>
      </c>
    </row>
    <row r="5318" spans="1:26" x14ac:dyDescent="0.2">
      <c r="A5318" s="6">
        <v>8076</v>
      </c>
      <c r="B5318" s="7">
        <v>57602</v>
      </c>
      <c r="C5318" s="8">
        <f>DATE(2012,12,31)-228</f>
        <v>41046</v>
      </c>
      <c r="D5318" s="8" t="str">
        <f t="shared" si="100"/>
        <v>2012-05 (май 2012)</v>
      </c>
      <c r="E5318" s="9" t="s">
        <v>21</v>
      </c>
      <c r="F5318" s="7">
        <v>43</v>
      </c>
      <c r="G5318" s="7">
        <v>130.36000000000001</v>
      </c>
      <c r="H5318" s="7">
        <v>0.02</v>
      </c>
      <c r="I5318" s="9" t="s">
        <v>22</v>
      </c>
      <c r="J5318" s="10">
        <v>58.52</v>
      </c>
      <c r="K5318" s="11">
        <v>2.88</v>
      </c>
      <c r="L5318" s="11">
        <v>0.5</v>
      </c>
      <c r="M5318" s="9" t="s">
        <v>1886</v>
      </c>
      <c r="N5318" s="6" t="s">
        <v>672</v>
      </c>
      <c r="O5318" s="6" t="s">
        <v>673</v>
      </c>
      <c r="P5318" s="9" t="s">
        <v>33</v>
      </c>
      <c r="Q5318" s="9" t="s">
        <v>26</v>
      </c>
      <c r="R5318" s="9" t="s">
        <v>88</v>
      </c>
      <c r="S5318" s="7" t="s">
        <v>1398</v>
      </c>
      <c r="T5318" s="9" t="s">
        <v>39</v>
      </c>
      <c r="U5318" s="7">
        <v>0.36</v>
      </c>
      <c r="V5318" s="12">
        <f>C5318+9</f>
        <v>41055</v>
      </c>
      <c r="W5318">
        <f>IF(D5318=' Pivot Tables'!$A$4,1,0)</f>
        <v>0</v>
      </c>
      <c r="X5318">
        <f>IF(AND(LEFT(D5318,4)+1=LEFT(' Pivot Tables'!$A$4,4)+0,RIGHT(LEFT(D5318,7),2)=RIGHT(LEFT(' Pivot Tables'!$A$4,7),2)),1,0)</f>
        <v>0</v>
      </c>
      <c r="Y5318" s="6">
        <f>1/COUNTIF(Таблица1[Order ID],Таблица1[[#This Row],[Order ID]])</f>
        <v>1</v>
      </c>
      <c r="Z5318" s="9">
        <f>1/COUNTIFS(Таблица1[Customer Name],Таблица1[[#This Row],[Customer Name]],Таблица1[Order-Year-Month],Таблица1[[#This Row],[Order-Year-Month]])</f>
        <v>1</v>
      </c>
    </row>
    <row r="5319" spans="1:26" x14ac:dyDescent="0.2">
      <c r="A5319" s="6">
        <v>8112</v>
      </c>
      <c r="B5319" s="7">
        <v>57921</v>
      </c>
      <c r="C5319" s="8">
        <f>DATE(2012,12,31)-866</f>
        <v>40408</v>
      </c>
      <c r="D5319" s="8" t="str">
        <f t="shared" si="100"/>
        <v>2010-08 (август 2010)</v>
      </c>
      <c r="E5319" s="9" t="s">
        <v>63</v>
      </c>
      <c r="F5319" s="7">
        <v>8</v>
      </c>
      <c r="G5319" s="7">
        <v>45.24</v>
      </c>
      <c r="H5319" s="7">
        <v>0.01</v>
      </c>
      <c r="I5319" s="9" t="s">
        <v>22</v>
      </c>
      <c r="J5319" s="10">
        <v>-42.12</v>
      </c>
      <c r="K5319" s="11">
        <v>4.9800000000000004</v>
      </c>
      <c r="L5319" s="11">
        <v>4.62</v>
      </c>
      <c r="M5319" s="9" t="s">
        <v>1718</v>
      </c>
      <c r="N5319" s="6" t="s">
        <v>672</v>
      </c>
      <c r="O5319" s="6" t="s">
        <v>673</v>
      </c>
      <c r="P5319" s="9" t="s">
        <v>33</v>
      </c>
      <c r="Q5319" s="9" t="s">
        <v>42</v>
      </c>
      <c r="R5319" s="9" t="s">
        <v>70</v>
      </c>
      <c r="S5319" s="7" t="s">
        <v>402</v>
      </c>
      <c r="T5319" s="9" t="s">
        <v>52</v>
      </c>
      <c r="U5319" s="7">
        <v>0.64</v>
      </c>
      <c r="V5319" s="12">
        <f>C5319+0</f>
        <v>40408</v>
      </c>
      <c r="W5319">
        <f>IF(D5319=' Pivot Tables'!$A$4,1,0)</f>
        <v>0</v>
      </c>
      <c r="X5319">
        <f>IF(AND(LEFT(D5319,4)+1=LEFT(' Pivot Tables'!$A$4,4)+0,RIGHT(LEFT(D5319,7),2)=RIGHT(LEFT(' Pivot Tables'!$A$4,7),2)),1,0)</f>
        <v>0</v>
      </c>
      <c r="Y5319" s="6">
        <f>1/COUNTIF(Таблица1[Order ID],Таблица1[[#This Row],[Order ID]])</f>
        <v>0.5</v>
      </c>
      <c r="Z5319" s="9">
        <f>1/COUNTIFS(Таблица1[Customer Name],Таблица1[[#This Row],[Customer Name]],Таблица1[Order-Year-Month],Таблица1[[#This Row],[Order-Year-Month]])</f>
        <v>0.5</v>
      </c>
    </row>
    <row r="5320" spans="1:26" x14ac:dyDescent="0.2">
      <c r="A5320" s="6">
        <v>8113</v>
      </c>
      <c r="B5320" s="7">
        <v>57921</v>
      </c>
      <c r="C5320" s="8">
        <f>DATE(2012,12,31)-866</f>
        <v>40408</v>
      </c>
      <c r="D5320" s="8" t="str">
        <f t="shared" si="100"/>
        <v>2010-08 (август 2010)</v>
      </c>
      <c r="E5320" s="9" t="s">
        <v>63</v>
      </c>
      <c r="F5320" s="7">
        <v>7</v>
      </c>
      <c r="G5320" s="7">
        <v>148.05000000000001</v>
      </c>
      <c r="H5320" s="7">
        <v>0.08</v>
      </c>
      <c r="I5320" s="9" t="s">
        <v>22</v>
      </c>
      <c r="J5320" s="10">
        <v>-45.94</v>
      </c>
      <c r="K5320" s="11">
        <v>21.38</v>
      </c>
      <c r="L5320" s="11">
        <v>8.99</v>
      </c>
      <c r="M5320" s="9" t="s">
        <v>1718</v>
      </c>
      <c r="N5320" s="6" t="s">
        <v>672</v>
      </c>
      <c r="O5320" s="6" t="s">
        <v>673</v>
      </c>
      <c r="P5320" s="9" t="s">
        <v>33</v>
      </c>
      <c r="Q5320" s="9" t="s">
        <v>26</v>
      </c>
      <c r="R5320" s="9" t="s">
        <v>95</v>
      </c>
      <c r="S5320" s="7" t="s">
        <v>436</v>
      </c>
      <c r="T5320" s="9" t="s">
        <v>52</v>
      </c>
      <c r="U5320" s="7">
        <v>0.59</v>
      </c>
      <c r="V5320" s="12">
        <f>C5320+2</f>
        <v>40410</v>
      </c>
      <c r="W5320">
        <f>IF(D5320=' Pivot Tables'!$A$4,1,0)</f>
        <v>0</v>
      </c>
      <c r="X5320">
        <f>IF(AND(LEFT(D5320,4)+1=LEFT(' Pivot Tables'!$A$4,4)+0,RIGHT(LEFT(D5320,7),2)=RIGHT(LEFT(' Pivot Tables'!$A$4,7),2)),1,0)</f>
        <v>0</v>
      </c>
      <c r="Y5320" s="6">
        <f>1/COUNTIF(Таблица1[Order ID],Таблица1[[#This Row],[Order ID]])</f>
        <v>0.5</v>
      </c>
      <c r="Z5320" s="9">
        <f>1/COUNTIFS(Таблица1[Customer Name],Таблица1[[#This Row],[Customer Name]],Таблица1[Order-Year-Month],Таблица1[[#This Row],[Order-Year-Month]])</f>
        <v>0.5</v>
      </c>
    </row>
    <row r="5321" spans="1:26" x14ac:dyDescent="0.2">
      <c r="A5321" s="6">
        <v>8115</v>
      </c>
      <c r="B5321" s="7">
        <v>57958</v>
      </c>
      <c r="C5321" s="8">
        <f>DATE(2012,12,31)-1402</f>
        <v>39872</v>
      </c>
      <c r="D5321" s="8" t="str">
        <f t="shared" si="100"/>
        <v>2009-02 (февраль 2009)</v>
      </c>
      <c r="E5321" s="9" t="s">
        <v>78</v>
      </c>
      <c r="F5321" s="7">
        <v>46</v>
      </c>
      <c r="G5321" s="7">
        <v>1419.83</v>
      </c>
      <c r="H5321" s="7">
        <v>7.0000000000000007E-2</v>
      </c>
      <c r="I5321" s="9" t="s">
        <v>56</v>
      </c>
      <c r="J5321" s="10">
        <v>385.8</v>
      </c>
      <c r="K5321" s="11">
        <v>30.98</v>
      </c>
      <c r="L5321" s="11">
        <v>8.74</v>
      </c>
      <c r="M5321" s="9" t="s">
        <v>1856</v>
      </c>
      <c r="N5321" s="6" t="s">
        <v>672</v>
      </c>
      <c r="O5321" s="6" t="s">
        <v>673</v>
      </c>
      <c r="P5321" s="9" t="s">
        <v>33</v>
      </c>
      <c r="Q5321" s="9" t="s">
        <v>26</v>
      </c>
      <c r="R5321" s="9" t="s">
        <v>61</v>
      </c>
      <c r="S5321" s="7" t="s">
        <v>932</v>
      </c>
      <c r="T5321" s="9" t="s">
        <v>39</v>
      </c>
      <c r="U5321" s="7">
        <v>0.4</v>
      </c>
      <c r="V5321" s="12">
        <f>C5321+1</f>
        <v>39873</v>
      </c>
      <c r="W5321">
        <f>IF(D5321=' Pivot Tables'!$A$4,1,0)</f>
        <v>0</v>
      </c>
      <c r="X5321">
        <f>IF(AND(LEFT(D5321,4)+1=LEFT(' Pivot Tables'!$A$4,4)+0,RIGHT(LEFT(D5321,7),2)=RIGHT(LEFT(' Pivot Tables'!$A$4,7),2)),1,0)</f>
        <v>0</v>
      </c>
      <c r="Y5321" s="6">
        <f>1/COUNTIF(Таблица1[Order ID],Таблица1[[#This Row],[Order ID]])</f>
        <v>1</v>
      </c>
      <c r="Z5321" s="9">
        <f>1/COUNTIFS(Таблица1[Customer Name],Таблица1[[#This Row],[Customer Name]],Таблица1[Order-Year-Month],Таблица1[[#This Row],[Order-Year-Month]])</f>
        <v>1</v>
      </c>
    </row>
    <row r="5322" spans="1:26" x14ac:dyDescent="0.2">
      <c r="A5322" s="6">
        <v>8127</v>
      </c>
      <c r="B5322" s="7">
        <v>58086</v>
      </c>
      <c r="C5322" s="8">
        <f>DATE(2012,12,31)-662</f>
        <v>40612</v>
      </c>
      <c r="D5322" s="8" t="str">
        <f t="shared" si="100"/>
        <v>2011-03 (март 2011)</v>
      </c>
      <c r="E5322" s="9" t="s">
        <v>63</v>
      </c>
      <c r="F5322" s="7">
        <v>27</v>
      </c>
      <c r="G5322" s="7">
        <v>154.62</v>
      </c>
      <c r="H5322" s="7">
        <v>0.04</v>
      </c>
      <c r="I5322" s="9" t="s">
        <v>22</v>
      </c>
      <c r="J5322" s="10">
        <v>-118.59949999999999</v>
      </c>
      <c r="K5322" s="11">
        <v>5.53</v>
      </c>
      <c r="L5322" s="11">
        <v>6.98</v>
      </c>
      <c r="M5322" s="9" t="s">
        <v>1718</v>
      </c>
      <c r="N5322" s="6" t="s">
        <v>672</v>
      </c>
      <c r="O5322" s="6" t="s">
        <v>673</v>
      </c>
      <c r="P5322" s="9" t="s">
        <v>41</v>
      </c>
      <c r="Q5322" s="9" t="s">
        <v>26</v>
      </c>
      <c r="R5322" s="9" t="s">
        <v>37</v>
      </c>
      <c r="S5322" s="7" t="s">
        <v>667</v>
      </c>
      <c r="T5322" s="9" t="s">
        <v>39</v>
      </c>
      <c r="U5322" s="7">
        <v>0.39</v>
      </c>
      <c r="V5322" s="12">
        <f>C5322+1</f>
        <v>40613</v>
      </c>
      <c r="W5322">
        <f>IF(D5322=' Pivot Tables'!$A$4,1,0)</f>
        <v>0</v>
      </c>
      <c r="X5322">
        <f>IF(AND(LEFT(D5322,4)+1=LEFT(' Pivot Tables'!$A$4,4)+0,RIGHT(LEFT(D5322,7),2)=RIGHT(LEFT(' Pivot Tables'!$A$4,7),2)),1,0)</f>
        <v>0</v>
      </c>
      <c r="Y5322" s="6">
        <f>1/COUNTIF(Таблица1[Order ID],Таблица1[[#This Row],[Order ID]])</f>
        <v>0.5</v>
      </c>
      <c r="Z5322" s="9">
        <f>1/COUNTIFS(Таблица1[Customer Name],Таблица1[[#This Row],[Customer Name]],Таблица1[Order-Year-Month],Таблица1[[#This Row],[Order-Year-Month]])</f>
        <v>0.5</v>
      </c>
    </row>
    <row r="5323" spans="1:26" x14ac:dyDescent="0.2">
      <c r="A5323" s="6">
        <v>8128</v>
      </c>
      <c r="B5323" s="7">
        <v>58086</v>
      </c>
      <c r="C5323" s="8">
        <f>DATE(2012,12,31)-662</f>
        <v>40612</v>
      </c>
      <c r="D5323" s="8" t="str">
        <f t="shared" si="100"/>
        <v>2011-03 (март 2011)</v>
      </c>
      <c r="E5323" s="9" t="s">
        <v>63</v>
      </c>
      <c r="F5323" s="7">
        <v>31</v>
      </c>
      <c r="G5323" s="7">
        <v>1638.2</v>
      </c>
      <c r="H5323" s="7">
        <v>0.1</v>
      </c>
      <c r="I5323" s="9" t="s">
        <v>22</v>
      </c>
      <c r="J5323" s="10">
        <v>471.22</v>
      </c>
      <c r="K5323" s="11">
        <v>55.98</v>
      </c>
      <c r="L5323" s="11">
        <v>13.88</v>
      </c>
      <c r="M5323" s="9" t="s">
        <v>1718</v>
      </c>
      <c r="N5323" s="6" t="s">
        <v>672</v>
      </c>
      <c r="O5323" s="6" t="s">
        <v>673</v>
      </c>
      <c r="P5323" s="9" t="s">
        <v>41</v>
      </c>
      <c r="Q5323" s="9" t="s">
        <v>26</v>
      </c>
      <c r="R5323" s="9" t="s">
        <v>61</v>
      </c>
      <c r="S5323" s="7" t="s">
        <v>421</v>
      </c>
      <c r="T5323" s="9" t="s">
        <v>39</v>
      </c>
      <c r="U5323" s="7">
        <v>0.36</v>
      </c>
      <c r="V5323" s="12">
        <f>C5323+1</f>
        <v>40613</v>
      </c>
      <c r="W5323">
        <f>IF(D5323=' Pivot Tables'!$A$4,1,0)</f>
        <v>0</v>
      </c>
      <c r="X5323">
        <f>IF(AND(LEFT(D5323,4)+1=LEFT(' Pivot Tables'!$A$4,4)+0,RIGHT(LEFT(D5323,7),2)=RIGHT(LEFT(' Pivot Tables'!$A$4,7),2)),1,0)</f>
        <v>0</v>
      </c>
      <c r="Y5323" s="6">
        <f>1/COUNTIF(Таблица1[Order ID],Таблица1[[#This Row],[Order ID]])</f>
        <v>0.5</v>
      </c>
      <c r="Z5323" s="9">
        <f>1/COUNTIFS(Таблица1[Customer Name],Таблица1[[#This Row],[Customer Name]],Таблица1[Order-Year-Month],Таблица1[[#This Row],[Order-Year-Month]])</f>
        <v>0.5</v>
      </c>
    </row>
    <row r="5324" spans="1:26" x14ac:dyDescent="0.2">
      <c r="A5324" s="6">
        <v>8141</v>
      </c>
      <c r="B5324" s="7">
        <v>58182</v>
      </c>
      <c r="C5324" s="8">
        <f>DATE(2012,12,31)-1410</f>
        <v>39864</v>
      </c>
      <c r="D5324" s="8" t="str">
        <f t="shared" si="100"/>
        <v>2009-02 (февраль 2009)</v>
      </c>
      <c r="E5324" s="9" t="s">
        <v>30</v>
      </c>
      <c r="F5324" s="7">
        <v>24</v>
      </c>
      <c r="G5324" s="7">
        <v>479.13</v>
      </c>
      <c r="H5324" s="7">
        <v>0.05</v>
      </c>
      <c r="I5324" s="9" t="s">
        <v>56</v>
      </c>
      <c r="J5324" s="10">
        <v>166.92</v>
      </c>
      <c r="K5324" s="11">
        <v>19.23</v>
      </c>
      <c r="L5324" s="11">
        <v>6.15</v>
      </c>
      <c r="M5324" s="9" t="s">
        <v>1879</v>
      </c>
      <c r="N5324" s="6" t="s">
        <v>672</v>
      </c>
      <c r="O5324" s="6" t="s">
        <v>673</v>
      </c>
      <c r="P5324" s="9" t="s">
        <v>41</v>
      </c>
      <c r="Q5324" s="9" t="s">
        <v>49</v>
      </c>
      <c r="R5324" s="9" t="s">
        <v>50</v>
      </c>
      <c r="S5324" s="7" t="s">
        <v>520</v>
      </c>
      <c r="T5324" s="9" t="s">
        <v>52</v>
      </c>
      <c r="U5324" s="7">
        <v>0.44</v>
      </c>
      <c r="V5324" s="12">
        <f>C5324+2</f>
        <v>39866</v>
      </c>
      <c r="W5324">
        <f>IF(D5324=' Pivot Tables'!$A$4,1,0)</f>
        <v>0</v>
      </c>
      <c r="X5324">
        <f>IF(AND(LEFT(D5324,4)+1=LEFT(' Pivot Tables'!$A$4,4)+0,RIGHT(LEFT(D5324,7),2)=RIGHT(LEFT(' Pivot Tables'!$A$4,7),2)),1,0)</f>
        <v>0</v>
      </c>
      <c r="Y5324" s="6">
        <f>1/COUNTIF(Таблица1[Order ID],Таблица1[[#This Row],[Order ID]])</f>
        <v>1</v>
      </c>
      <c r="Z5324" s="9">
        <f>1/COUNTIFS(Таблица1[Customer Name],Таблица1[[#This Row],[Customer Name]],Таблица1[Order-Year-Month],Таблица1[[#This Row],[Order-Year-Month]])</f>
        <v>1</v>
      </c>
    </row>
    <row r="5325" spans="1:26" x14ac:dyDescent="0.2">
      <c r="A5325" s="6">
        <v>8160</v>
      </c>
      <c r="B5325" s="7">
        <v>58342</v>
      </c>
      <c r="C5325" s="8">
        <f>DATE(2012,12,31)-640</f>
        <v>40634</v>
      </c>
      <c r="D5325" s="8" t="str">
        <f t="shared" si="100"/>
        <v>2011-04 (апрель 2011)</v>
      </c>
      <c r="E5325" s="9" t="s">
        <v>30</v>
      </c>
      <c r="F5325" s="7">
        <v>40</v>
      </c>
      <c r="G5325" s="7">
        <v>1718.87</v>
      </c>
      <c r="H5325" s="7">
        <v>0.02</v>
      </c>
      <c r="I5325" s="9" t="s">
        <v>22</v>
      </c>
      <c r="J5325" s="10">
        <v>754.1</v>
      </c>
      <c r="K5325" s="11">
        <v>40.98</v>
      </c>
      <c r="L5325" s="11">
        <v>1.99</v>
      </c>
      <c r="M5325" s="9" t="s">
        <v>1891</v>
      </c>
      <c r="N5325" s="6" t="s">
        <v>672</v>
      </c>
      <c r="O5325" s="6" t="s">
        <v>673</v>
      </c>
      <c r="P5325" s="9" t="s">
        <v>33</v>
      </c>
      <c r="Q5325" s="9" t="s">
        <v>42</v>
      </c>
      <c r="R5325" s="9" t="s">
        <v>70</v>
      </c>
      <c r="S5325" s="7" t="s">
        <v>720</v>
      </c>
      <c r="T5325" s="9" t="s">
        <v>52</v>
      </c>
      <c r="U5325" s="7">
        <v>0.44</v>
      </c>
      <c r="V5325" s="12">
        <f>C5325+0</f>
        <v>40634</v>
      </c>
      <c r="W5325">
        <f>IF(D5325=' Pivot Tables'!$A$4,1,0)</f>
        <v>0</v>
      </c>
      <c r="X5325">
        <f>IF(AND(LEFT(D5325,4)+1=LEFT(' Pivot Tables'!$A$4,4)+0,RIGHT(LEFT(D5325,7),2)=RIGHT(LEFT(' Pivot Tables'!$A$4,7),2)),1,0)</f>
        <v>0</v>
      </c>
      <c r="Y5325" s="6">
        <f>1/COUNTIF(Таблица1[Order ID],Таблица1[[#This Row],[Order ID]])</f>
        <v>1</v>
      </c>
      <c r="Z5325" s="9">
        <f>1/COUNTIFS(Таблица1[Customer Name],Таблица1[[#This Row],[Customer Name]],Таблица1[Order-Year-Month],Таблица1[[#This Row],[Order-Year-Month]])</f>
        <v>1</v>
      </c>
    </row>
    <row r="5326" spans="1:26" x14ac:dyDescent="0.2">
      <c r="A5326" s="6">
        <v>8279</v>
      </c>
      <c r="B5326" s="7">
        <v>59174</v>
      </c>
      <c r="C5326" s="8">
        <f>DATE(2012,12,31)-1095</f>
        <v>40179</v>
      </c>
      <c r="D5326" s="8" t="str">
        <f t="shared" si="100"/>
        <v>2010-01 (январь 2010)</v>
      </c>
      <c r="E5326" s="9" t="s">
        <v>63</v>
      </c>
      <c r="F5326" s="7">
        <v>6</v>
      </c>
      <c r="G5326" s="7">
        <v>1193.0999999999999</v>
      </c>
      <c r="H5326" s="7">
        <v>0.09</v>
      </c>
      <c r="I5326" s="9" t="s">
        <v>56</v>
      </c>
      <c r="J5326" s="10">
        <v>-139.4958</v>
      </c>
      <c r="K5326" s="11">
        <v>204.1</v>
      </c>
      <c r="L5326" s="11">
        <v>13.99</v>
      </c>
      <c r="M5326" s="9" t="s">
        <v>1870</v>
      </c>
      <c r="N5326" s="6" t="s">
        <v>672</v>
      </c>
      <c r="O5326" s="6" t="s">
        <v>673</v>
      </c>
      <c r="P5326" s="9" t="s">
        <v>33</v>
      </c>
      <c r="Q5326" s="9" t="s">
        <v>42</v>
      </c>
      <c r="R5326" s="9" t="s">
        <v>210</v>
      </c>
      <c r="S5326" s="7" t="s">
        <v>470</v>
      </c>
      <c r="T5326" s="9" t="s">
        <v>48</v>
      </c>
      <c r="U5326" s="7">
        <v>0.37</v>
      </c>
      <c r="V5326" s="12">
        <f>C5326+2</f>
        <v>40181</v>
      </c>
      <c r="W5326">
        <f>IF(D5326=' Pivot Tables'!$A$4,1,0)</f>
        <v>1</v>
      </c>
      <c r="X5326">
        <f>IF(AND(LEFT(D5326,4)+1=LEFT(' Pivot Tables'!$A$4,4)+0,RIGHT(LEFT(D5326,7),2)=RIGHT(LEFT(' Pivot Tables'!$A$4,7),2)),1,0)</f>
        <v>0</v>
      </c>
      <c r="Y5326" s="6">
        <f>1/COUNTIF(Таблица1[Order ID],Таблица1[[#This Row],[Order ID]])</f>
        <v>1</v>
      </c>
      <c r="Z5326" s="9">
        <f>1/COUNTIFS(Таблица1[Customer Name],Таблица1[[#This Row],[Customer Name]],Таблица1[Order-Year-Month],Таблица1[[#This Row],[Order-Year-Month]])</f>
        <v>1</v>
      </c>
    </row>
    <row r="5327" spans="1:26" x14ac:dyDescent="0.2">
      <c r="A5327" s="6">
        <v>8308</v>
      </c>
      <c r="B5327" s="7">
        <v>59361</v>
      </c>
      <c r="C5327" s="8">
        <f>DATE(2012,12,31)-124</f>
        <v>41150</v>
      </c>
      <c r="D5327" s="8" t="str">
        <f t="shared" si="100"/>
        <v>2012-08 (август 2012)</v>
      </c>
      <c r="E5327" s="9" t="s">
        <v>30</v>
      </c>
      <c r="F5327" s="7">
        <v>45</v>
      </c>
      <c r="G5327" s="7">
        <v>1008.34</v>
      </c>
      <c r="H5327" s="7">
        <v>0.09</v>
      </c>
      <c r="I5327" s="9" t="s">
        <v>22</v>
      </c>
      <c r="J5327" s="10">
        <v>218.65</v>
      </c>
      <c r="K5327" s="11">
        <v>23.99</v>
      </c>
      <c r="L5327" s="11">
        <v>6.3</v>
      </c>
      <c r="M5327" s="9" t="s">
        <v>1881</v>
      </c>
      <c r="N5327" s="6" t="s">
        <v>672</v>
      </c>
      <c r="O5327" s="6" t="s">
        <v>673</v>
      </c>
      <c r="P5327" s="9" t="s">
        <v>33</v>
      </c>
      <c r="Q5327" s="9" t="s">
        <v>42</v>
      </c>
      <c r="R5327" s="9" t="s">
        <v>210</v>
      </c>
      <c r="S5327" s="7" t="s">
        <v>595</v>
      </c>
      <c r="T5327" s="9" t="s">
        <v>48</v>
      </c>
      <c r="U5327" s="7">
        <v>0.38</v>
      </c>
      <c r="V5327" s="12">
        <f>C5327+2</f>
        <v>41152</v>
      </c>
      <c r="W5327">
        <f>IF(D5327=' Pivot Tables'!$A$4,1,0)</f>
        <v>0</v>
      </c>
      <c r="X5327">
        <f>IF(AND(LEFT(D5327,4)+1=LEFT(' Pivot Tables'!$A$4,4)+0,RIGHT(LEFT(D5327,7),2)=RIGHT(LEFT(' Pivot Tables'!$A$4,7),2)),1,0)</f>
        <v>0</v>
      </c>
      <c r="Y5327" s="6">
        <f>1/COUNTIF(Таблица1[Order ID],Таблица1[[#This Row],[Order ID]])</f>
        <v>1</v>
      </c>
      <c r="Z5327" s="9">
        <f>1/COUNTIFS(Таблица1[Customer Name],Таблица1[[#This Row],[Customer Name]],Таблица1[Order-Year-Month],Таблица1[[#This Row],[Order-Year-Month]])</f>
        <v>1</v>
      </c>
    </row>
    <row r="5328" spans="1:26" x14ac:dyDescent="0.2">
      <c r="A5328" s="6">
        <v>8310</v>
      </c>
      <c r="B5328" s="7">
        <v>59365</v>
      </c>
      <c r="C5328" s="8">
        <f>DATE(2012,12,31)-1120</f>
        <v>40154</v>
      </c>
      <c r="D5328" s="8" t="str">
        <f t="shared" si="100"/>
        <v>2009-12 (декабрь 2009)</v>
      </c>
      <c r="E5328" s="9" t="s">
        <v>63</v>
      </c>
      <c r="F5328" s="7">
        <v>1</v>
      </c>
      <c r="G5328" s="7">
        <v>534.29999999999995</v>
      </c>
      <c r="H5328" s="7">
        <v>0.05</v>
      </c>
      <c r="I5328" s="9" t="s">
        <v>31</v>
      </c>
      <c r="J5328" s="10">
        <v>-1220.9144999999999</v>
      </c>
      <c r="K5328" s="11">
        <v>535.64</v>
      </c>
      <c r="L5328" s="11">
        <v>14.7</v>
      </c>
      <c r="M5328" s="9" t="s">
        <v>1874</v>
      </c>
      <c r="N5328" s="6" t="s">
        <v>672</v>
      </c>
      <c r="O5328" s="6" t="s">
        <v>673</v>
      </c>
      <c r="P5328" s="9" t="s">
        <v>60</v>
      </c>
      <c r="Q5328" s="9" t="s">
        <v>42</v>
      </c>
      <c r="R5328" s="9" t="s">
        <v>210</v>
      </c>
      <c r="S5328" s="7" t="s">
        <v>1799</v>
      </c>
      <c r="T5328" s="9" t="s">
        <v>36</v>
      </c>
      <c r="U5328" s="7">
        <v>0.59</v>
      </c>
      <c r="V5328" s="12">
        <f>C5328+2</f>
        <v>40156</v>
      </c>
      <c r="W5328">
        <f>IF(D5328=' Pivot Tables'!$A$4,1,0)</f>
        <v>0</v>
      </c>
      <c r="X5328">
        <f>IF(AND(LEFT(D5328,4)+1=LEFT(' Pivot Tables'!$A$4,4)+0,RIGHT(LEFT(D5328,7),2)=RIGHT(LEFT(' Pivot Tables'!$A$4,7),2)),1,0)</f>
        <v>0</v>
      </c>
      <c r="Y5328" s="6">
        <f>1/COUNTIF(Таблица1[Order ID],Таблица1[[#This Row],[Order ID]])</f>
        <v>1</v>
      </c>
      <c r="Z5328" s="9">
        <f>1/COUNTIFS(Таблица1[Customer Name],Таблица1[[#This Row],[Customer Name]],Таблица1[Order-Year-Month],Таблица1[[#This Row],[Order-Year-Month]])</f>
        <v>1</v>
      </c>
    </row>
    <row r="5329" spans="1:26" x14ac:dyDescent="0.2">
      <c r="A5329" s="6">
        <v>8326</v>
      </c>
      <c r="B5329" s="7">
        <v>59492</v>
      </c>
      <c r="C5329" s="8">
        <f>DATE(2012,12,31)-61</f>
        <v>41213</v>
      </c>
      <c r="D5329" s="8" t="str">
        <f t="shared" si="100"/>
        <v>2012-10 (октябрь 2012)</v>
      </c>
      <c r="E5329" s="9" t="s">
        <v>45</v>
      </c>
      <c r="F5329" s="7">
        <v>25</v>
      </c>
      <c r="G5329" s="7">
        <v>170.4</v>
      </c>
      <c r="H5329" s="7">
        <v>0.02</v>
      </c>
      <c r="I5329" s="9" t="s">
        <v>22</v>
      </c>
      <c r="J5329" s="10">
        <v>-153.75</v>
      </c>
      <c r="K5329" s="11">
        <v>6.48</v>
      </c>
      <c r="L5329" s="11">
        <v>10.050000000000001</v>
      </c>
      <c r="M5329" s="9" t="s">
        <v>1889</v>
      </c>
      <c r="N5329" s="6" t="s">
        <v>672</v>
      </c>
      <c r="O5329" s="6" t="s">
        <v>673</v>
      </c>
      <c r="P5329" s="9" t="s">
        <v>60</v>
      </c>
      <c r="Q5329" s="9" t="s">
        <v>26</v>
      </c>
      <c r="R5329" s="9" t="s">
        <v>61</v>
      </c>
      <c r="S5329" s="7" t="s">
        <v>868</v>
      </c>
      <c r="T5329" s="9" t="s">
        <v>39</v>
      </c>
      <c r="U5329" s="7">
        <v>0.37</v>
      </c>
      <c r="V5329" s="12">
        <f>C5329+1</f>
        <v>41214</v>
      </c>
      <c r="W5329">
        <f>IF(D5329=' Pivot Tables'!$A$4,1,0)</f>
        <v>0</v>
      </c>
      <c r="X5329">
        <f>IF(AND(LEFT(D5329,4)+1=LEFT(' Pivot Tables'!$A$4,4)+0,RIGHT(LEFT(D5329,7),2)=RIGHT(LEFT(' Pivot Tables'!$A$4,7),2)),1,0)</f>
        <v>0</v>
      </c>
      <c r="Y5329" s="6">
        <f>1/COUNTIF(Таблица1[Order ID],Таблица1[[#This Row],[Order ID]])</f>
        <v>1</v>
      </c>
      <c r="Z5329" s="9">
        <f>1/COUNTIFS(Таблица1[Customer Name],Таблица1[[#This Row],[Customer Name]],Таблица1[Order-Year-Month],Таблица1[[#This Row],[Order-Year-Month]])</f>
        <v>1</v>
      </c>
    </row>
    <row r="5330" spans="1:26" x14ac:dyDescent="0.2">
      <c r="A5330" s="6">
        <v>8350</v>
      </c>
      <c r="B5330" s="7">
        <v>59684</v>
      </c>
      <c r="C5330" s="8">
        <f>DATE(2012,12,31)-733</f>
        <v>40541</v>
      </c>
      <c r="D5330" s="8" t="str">
        <f t="shared" si="100"/>
        <v>2010-12 (декабрь 2010)</v>
      </c>
      <c r="E5330" s="9" t="s">
        <v>63</v>
      </c>
      <c r="F5330" s="7">
        <v>50</v>
      </c>
      <c r="G5330" s="7">
        <v>9059.9</v>
      </c>
      <c r="H5330" s="7">
        <v>7.0000000000000007E-2</v>
      </c>
      <c r="I5330" s="9" t="s">
        <v>31</v>
      </c>
      <c r="J5330" s="10">
        <v>778.01</v>
      </c>
      <c r="K5330" s="11">
        <v>180.98</v>
      </c>
      <c r="L5330" s="11">
        <v>55.24</v>
      </c>
      <c r="M5330" s="9" t="s">
        <v>1847</v>
      </c>
      <c r="N5330" s="6" t="s">
        <v>672</v>
      </c>
      <c r="O5330" s="6" t="s">
        <v>673</v>
      </c>
      <c r="P5330" s="9" t="s">
        <v>41</v>
      </c>
      <c r="Q5330" s="9" t="s">
        <v>26</v>
      </c>
      <c r="R5330" s="9" t="s">
        <v>34</v>
      </c>
      <c r="S5330" s="7" t="s">
        <v>550</v>
      </c>
      <c r="T5330" s="9" t="s">
        <v>36</v>
      </c>
      <c r="U5330" s="7">
        <v>0.56999999999999995</v>
      </c>
      <c r="V5330" s="12">
        <f>C5330+17</f>
        <v>40558</v>
      </c>
      <c r="W5330">
        <f>IF(D5330=' Pivot Tables'!$A$4,1,0)</f>
        <v>0</v>
      </c>
      <c r="X5330">
        <f>IF(AND(LEFT(D5330,4)+1=LEFT(' Pivot Tables'!$A$4,4)+0,RIGHT(LEFT(D5330,7),2)=RIGHT(LEFT(' Pivot Tables'!$A$4,7),2)),1,0)</f>
        <v>0</v>
      </c>
      <c r="Y5330" s="6">
        <f>1/COUNTIF(Таблица1[Order ID],Таблица1[[#This Row],[Order ID]])</f>
        <v>0.25</v>
      </c>
      <c r="Z5330" s="9">
        <f>1/COUNTIFS(Таблица1[Customer Name],Таблица1[[#This Row],[Customer Name]],Таблица1[Order-Year-Month],Таблица1[[#This Row],[Order-Year-Month]])</f>
        <v>0.25</v>
      </c>
    </row>
    <row r="5331" spans="1:26" x14ac:dyDescent="0.2">
      <c r="A5331" s="6">
        <v>8351</v>
      </c>
      <c r="B5331" s="7">
        <v>59684</v>
      </c>
      <c r="C5331" s="8">
        <f>DATE(2012,12,31)-733</f>
        <v>40541</v>
      </c>
      <c r="D5331" s="8" t="str">
        <f t="shared" si="100"/>
        <v>2010-12 (декабрь 2010)</v>
      </c>
      <c r="E5331" s="9" t="s">
        <v>63</v>
      </c>
      <c r="F5331" s="7">
        <v>41</v>
      </c>
      <c r="G5331" s="7">
        <v>368.17</v>
      </c>
      <c r="H5331" s="7">
        <v>0</v>
      </c>
      <c r="I5331" s="9" t="s">
        <v>56</v>
      </c>
      <c r="J5331" s="10">
        <v>-15.12</v>
      </c>
      <c r="K5331" s="11">
        <v>8.32</v>
      </c>
      <c r="L5331" s="11">
        <v>2.38</v>
      </c>
      <c r="M5331" s="9" t="s">
        <v>1847</v>
      </c>
      <c r="N5331" s="6" t="s">
        <v>672</v>
      </c>
      <c r="O5331" s="6" t="s">
        <v>673</v>
      </c>
      <c r="P5331" s="9" t="s">
        <v>41</v>
      </c>
      <c r="Q5331" s="9" t="s">
        <v>42</v>
      </c>
      <c r="R5331" s="9" t="s">
        <v>70</v>
      </c>
      <c r="S5331" s="7" t="s">
        <v>1584</v>
      </c>
      <c r="T5331" s="9" t="s">
        <v>52</v>
      </c>
      <c r="U5331" s="7">
        <v>0.74</v>
      </c>
      <c r="V5331" s="12">
        <f>C5331+18</f>
        <v>40559</v>
      </c>
      <c r="W5331">
        <f>IF(D5331=' Pivot Tables'!$A$4,1,0)</f>
        <v>0</v>
      </c>
      <c r="X5331">
        <f>IF(AND(LEFT(D5331,4)+1=LEFT(' Pivot Tables'!$A$4,4)+0,RIGHT(LEFT(D5331,7),2)=RIGHT(LEFT(' Pivot Tables'!$A$4,7),2)),1,0)</f>
        <v>0</v>
      </c>
      <c r="Y5331" s="6">
        <f>1/COUNTIF(Таблица1[Order ID],Таблица1[[#This Row],[Order ID]])</f>
        <v>0.25</v>
      </c>
      <c r="Z5331" s="9">
        <f>1/COUNTIFS(Таблица1[Customer Name],Таблица1[[#This Row],[Customer Name]],Таблица1[Order-Year-Month],Таблица1[[#This Row],[Order-Year-Month]])</f>
        <v>0.25</v>
      </c>
    </row>
    <row r="5332" spans="1:26" x14ac:dyDescent="0.2">
      <c r="A5332" s="6">
        <v>8352</v>
      </c>
      <c r="B5332" s="7">
        <v>59684</v>
      </c>
      <c r="C5332" s="8">
        <f>DATE(2012,12,31)-733</f>
        <v>40541</v>
      </c>
      <c r="D5332" s="8" t="str">
        <f t="shared" si="100"/>
        <v>2010-12 (декабрь 2010)</v>
      </c>
      <c r="E5332" s="9" t="s">
        <v>63</v>
      </c>
      <c r="F5332" s="7">
        <v>3</v>
      </c>
      <c r="G5332" s="7">
        <v>14.46</v>
      </c>
      <c r="H5332" s="7">
        <v>0.06</v>
      </c>
      <c r="I5332" s="9" t="s">
        <v>22</v>
      </c>
      <c r="J5332" s="10">
        <v>-5.26</v>
      </c>
      <c r="K5332" s="11">
        <v>4.2</v>
      </c>
      <c r="L5332" s="11">
        <v>2.2599999999999998</v>
      </c>
      <c r="M5332" s="9" t="s">
        <v>1847</v>
      </c>
      <c r="N5332" s="6" t="s">
        <v>672</v>
      </c>
      <c r="O5332" s="6" t="s">
        <v>673</v>
      </c>
      <c r="P5332" s="9" t="s">
        <v>41</v>
      </c>
      <c r="Q5332" s="9" t="s">
        <v>26</v>
      </c>
      <c r="R5332" s="9" t="s">
        <v>61</v>
      </c>
      <c r="S5332" s="7" t="s">
        <v>1409</v>
      </c>
      <c r="T5332" s="9" t="s">
        <v>68</v>
      </c>
      <c r="U5332" s="7">
        <v>0.36</v>
      </c>
      <c r="V5332" s="12">
        <f>C5332+19</f>
        <v>40560</v>
      </c>
      <c r="W5332">
        <f>IF(D5332=' Pivot Tables'!$A$4,1,0)</f>
        <v>0</v>
      </c>
      <c r="X5332">
        <f>IF(AND(LEFT(D5332,4)+1=LEFT(' Pivot Tables'!$A$4,4)+0,RIGHT(LEFT(D5332,7),2)=RIGHT(LEFT(' Pivot Tables'!$A$4,7),2)),1,0)</f>
        <v>0</v>
      </c>
      <c r="Y5332" s="6">
        <f>1/COUNTIF(Таблица1[Order ID],Таблица1[[#This Row],[Order ID]])</f>
        <v>0.25</v>
      </c>
      <c r="Z5332" s="9">
        <f>1/COUNTIFS(Таблица1[Customer Name],Таблица1[[#This Row],[Customer Name]],Таблица1[Order-Year-Month],Таблица1[[#This Row],[Order-Year-Month]])</f>
        <v>0.25</v>
      </c>
    </row>
    <row r="5333" spans="1:26" x14ac:dyDescent="0.2">
      <c r="A5333" s="6">
        <v>8353</v>
      </c>
      <c r="B5333" s="7">
        <v>59684</v>
      </c>
      <c r="C5333" s="8">
        <f>DATE(2012,12,31)-733</f>
        <v>40541</v>
      </c>
      <c r="D5333" s="8" t="str">
        <f t="shared" si="100"/>
        <v>2010-12 (декабрь 2010)</v>
      </c>
      <c r="E5333" s="9" t="s">
        <v>63</v>
      </c>
      <c r="F5333" s="7">
        <v>25</v>
      </c>
      <c r="G5333" s="7">
        <v>168.39</v>
      </c>
      <c r="H5333" s="7">
        <v>0.03</v>
      </c>
      <c r="I5333" s="9" t="s">
        <v>22</v>
      </c>
      <c r="J5333" s="10">
        <v>-144.88999999999999</v>
      </c>
      <c r="K5333" s="11">
        <v>6.48</v>
      </c>
      <c r="L5333" s="11">
        <v>9.68</v>
      </c>
      <c r="M5333" s="9" t="s">
        <v>1847</v>
      </c>
      <c r="N5333" s="6" t="s">
        <v>672</v>
      </c>
      <c r="O5333" s="6" t="s">
        <v>673</v>
      </c>
      <c r="P5333" s="9" t="s">
        <v>41</v>
      </c>
      <c r="Q5333" s="9" t="s">
        <v>26</v>
      </c>
      <c r="R5333" s="9" t="s">
        <v>61</v>
      </c>
      <c r="S5333" s="7" t="s">
        <v>766</v>
      </c>
      <c r="T5333" s="9" t="s">
        <v>39</v>
      </c>
      <c r="U5333" s="7">
        <v>0.36</v>
      </c>
      <c r="V5333" s="12">
        <f>C5333+1</f>
        <v>40542</v>
      </c>
      <c r="W5333">
        <f>IF(D5333=' Pivot Tables'!$A$4,1,0)</f>
        <v>0</v>
      </c>
      <c r="X5333">
        <f>IF(AND(LEFT(D5333,4)+1=LEFT(' Pivot Tables'!$A$4,4)+0,RIGHT(LEFT(D5333,7),2)=RIGHT(LEFT(' Pivot Tables'!$A$4,7),2)),1,0)</f>
        <v>0</v>
      </c>
      <c r="Y5333" s="6">
        <f>1/COUNTIF(Таблица1[Order ID],Таблица1[[#This Row],[Order ID]])</f>
        <v>0.25</v>
      </c>
      <c r="Z5333" s="9">
        <f>1/COUNTIFS(Таблица1[Customer Name],Таблица1[[#This Row],[Customer Name]],Таблица1[Order-Year-Month],Таблица1[[#This Row],[Order-Year-Month]])</f>
        <v>0.25</v>
      </c>
    </row>
    <row r="5334" spans="1:26" x14ac:dyDescent="0.2">
      <c r="A5334" s="6">
        <v>38</v>
      </c>
      <c r="B5334" s="7">
        <v>229</v>
      </c>
      <c r="C5334" s="8">
        <f>DATE(2012,12,31)-734</f>
        <v>40540</v>
      </c>
      <c r="D5334" s="8" t="str">
        <f t="shared" si="100"/>
        <v>2010-12 (декабрь 2010)</v>
      </c>
      <c r="E5334" s="9" t="s">
        <v>78</v>
      </c>
      <c r="F5334" s="7">
        <v>24</v>
      </c>
      <c r="G5334" s="7">
        <v>599.1</v>
      </c>
      <c r="H5334" s="7">
        <v>0.02</v>
      </c>
      <c r="I5334" s="9" t="s">
        <v>22</v>
      </c>
      <c r="J5334" s="10">
        <v>3.8164999999999956</v>
      </c>
      <c r="K5334" s="11">
        <v>24.92</v>
      </c>
      <c r="L5334" s="11">
        <v>12.98</v>
      </c>
      <c r="M5334" s="9" t="s">
        <v>1904</v>
      </c>
      <c r="N5334" s="6" t="s">
        <v>1905</v>
      </c>
      <c r="O5334" s="6" t="s">
        <v>673</v>
      </c>
      <c r="P5334" s="9" t="s">
        <v>33</v>
      </c>
      <c r="Q5334" s="9" t="s">
        <v>26</v>
      </c>
      <c r="R5334" s="9" t="s">
        <v>37</v>
      </c>
      <c r="S5334" s="7" t="s">
        <v>319</v>
      </c>
      <c r="T5334" s="9" t="s">
        <v>39</v>
      </c>
      <c r="U5334" s="7">
        <v>0.39</v>
      </c>
      <c r="V5334" s="12">
        <f>C5334+1</f>
        <v>40541</v>
      </c>
      <c r="W5334">
        <f>IF(D5334=' Pivot Tables'!$A$4,1,0)</f>
        <v>0</v>
      </c>
      <c r="X5334">
        <f>IF(AND(LEFT(D5334,4)+1=LEFT(' Pivot Tables'!$A$4,4)+0,RIGHT(LEFT(D5334,7),2)=RIGHT(LEFT(' Pivot Tables'!$A$4,7),2)),1,0)</f>
        <v>0</v>
      </c>
      <c r="Y5334" s="6">
        <f>1/COUNTIF(Таблица1[Order ID],Таблица1[[#This Row],[Order ID]])</f>
        <v>0.5</v>
      </c>
      <c r="Z5334" s="9">
        <f>1/COUNTIFS(Таблица1[Customer Name],Таблица1[[#This Row],[Customer Name]],Таблица1[Order-Year-Month],Таблица1[[#This Row],[Order-Year-Month]])</f>
        <v>1</v>
      </c>
    </row>
    <row r="5335" spans="1:26" x14ac:dyDescent="0.2">
      <c r="A5335" s="6">
        <v>82</v>
      </c>
      <c r="B5335" s="7">
        <v>512</v>
      </c>
      <c r="C5335" s="8">
        <f>DATE(2012,12,31)-592</f>
        <v>40682</v>
      </c>
      <c r="D5335" s="8" t="str">
        <f t="shared" si="100"/>
        <v>2011-05 (май 2011)</v>
      </c>
      <c r="E5335" s="9" t="s">
        <v>21</v>
      </c>
      <c r="F5335" s="7">
        <v>6</v>
      </c>
      <c r="G5335" s="7">
        <v>1309.53</v>
      </c>
      <c r="H5335" s="7">
        <v>0.06</v>
      </c>
      <c r="I5335" s="9" t="s">
        <v>22</v>
      </c>
      <c r="J5335" s="10">
        <v>19.17999999999995</v>
      </c>
      <c r="K5335" s="11">
        <v>218.08</v>
      </c>
      <c r="L5335" s="11">
        <v>18.059999999999999</v>
      </c>
      <c r="M5335" s="9" t="s">
        <v>1906</v>
      </c>
      <c r="N5335" s="6" t="s">
        <v>1905</v>
      </c>
      <c r="O5335" s="6" t="s">
        <v>673</v>
      </c>
      <c r="P5335" s="9" t="s">
        <v>60</v>
      </c>
      <c r="Q5335" s="9" t="s">
        <v>49</v>
      </c>
      <c r="R5335" s="9" t="s">
        <v>112</v>
      </c>
      <c r="S5335" s="7" t="s">
        <v>186</v>
      </c>
      <c r="T5335" s="9" t="s">
        <v>29</v>
      </c>
      <c r="U5335" s="7">
        <v>0.56999999999999995</v>
      </c>
      <c r="V5335" s="12">
        <f>C5335+0</f>
        <v>40682</v>
      </c>
      <c r="W5335">
        <f>IF(D5335=' Pivot Tables'!$A$4,1,0)</f>
        <v>0</v>
      </c>
      <c r="X5335">
        <f>IF(AND(LEFT(D5335,4)+1=LEFT(' Pivot Tables'!$A$4,4)+0,RIGHT(LEFT(D5335,7),2)=RIGHT(LEFT(' Pivot Tables'!$A$4,7),2)),1,0)</f>
        <v>0</v>
      </c>
      <c r="Y5335" s="6">
        <f>1/COUNTIF(Таблица1[Order ID],Таблица1[[#This Row],[Order ID]])</f>
        <v>0.5</v>
      </c>
      <c r="Z5335" s="9">
        <f>1/COUNTIFS(Таблица1[Customer Name],Таблица1[[#This Row],[Customer Name]],Таблица1[Order-Year-Month],Таблица1[[#This Row],[Order-Year-Month]])</f>
        <v>0.5</v>
      </c>
    </row>
    <row r="5336" spans="1:26" x14ac:dyDescent="0.2">
      <c r="A5336" s="6">
        <v>83</v>
      </c>
      <c r="B5336" s="7">
        <v>512</v>
      </c>
      <c r="C5336" s="8">
        <f>DATE(2012,12,31)-592</f>
        <v>40682</v>
      </c>
      <c r="D5336" s="8" t="str">
        <f t="shared" si="100"/>
        <v>2011-05 (май 2011)</v>
      </c>
      <c r="E5336" s="9" t="s">
        <v>21</v>
      </c>
      <c r="F5336" s="7">
        <v>48</v>
      </c>
      <c r="G5336" s="7">
        <v>806.37</v>
      </c>
      <c r="H5336" s="7">
        <v>0.01</v>
      </c>
      <c r="I5336" s="9" t="s">
        <v>56</v>
      </c>
      <c r="J5336" s="10">
        <v>-166.4</v>
      </c>
      <c r="K5336" s="11">
        <v>15.42</v>
      </c>
      <c r="L5336" s="11">
        <v>10.68</v>
      </c>
      <c r="M5336" s="9" t="s">
        <v>1906</v>
      </c>
      <c r="N5336" s="6" t="s">
        <v>1905</v>
      </c>
      <c r="O5336" s="6" t="s">
        <v>673</v>
      </c>
      <c r="P5336" s="9" t="s">
        <v>60</v>
      </c>
      <c r="Q5336" s="9" t="s">
        <v>26</v>
      </c>
      <c r="R5336" s="9" t="s">
        <v>27</v>
      </c>
      <c r="S5336" s="7" t="s">
        <v>1645</v>
      </c>
      <c r="T5336" s="9" t="s">
        <v>39</v>
      </c>
      <c r="U5336" s="7">
        <v>0.57999999999999996</v>
      </c>
      <c r="V5336" s="12">
        <f>C5336+2</f>
        <v>40684</v>
      </c>
      <c r="W5336">
        <f>IF(D5336=' Pivot Tables'!$A$4,1,0)</f>
        <v>0</v>
      </c>
      <c r="X5336">
        <f>IF(AND(LEFT(D5336,4)+1=LEFT(' Pivot Tables'!$A$4,4)+0,RIGHT(LEFT(D5336,7),2)=RIGHT(LEFT(' Pivot Tables'!$A$4,7),2)),1,0)</f>
        <v>0</v>
      </c>
      <c r="Y5336" s="6">
        <f>1/COUNTIF(Таблица1[Order ID],Таблица1[[#This Row],[Order ID]])</f>
        <v>0.5</v>
      </c>
      <c r="Z5336" s="9">
        <f>1/COUNTIFS(Таблица1[Customer Name],Таблица1[[#This Row],[Customer Name]],Таблица1[Order-Year-Month],Таблица1[[#This Row],[Order-Year-Month]])</f>
        <v>0.5</v>
      </c>
    </row>
    <row r="5337" spans="1:26" x14ac:dyDescent="0.2">
      <c r="A5337" s="6">
        <v>197</v>
      </c>
      <c r="B5337" s="7">
        <v>1287</v>
      </c>
      <c r="C5337" s="8">
        <f>DATE(2012,12,31)-1276</f>
        <v>39998</v>
      </c>
      <c r="D5337" s="8" t="str">
        <f t="shared" si="100"/>
        <v>2009-07 (июль 2009)</v>
      </c>
      <c r="E5337" s="9" t="s">
        <v>30</v>
      </c>
      <c r="F5337" s="7">
        <v>39</v>
      </c>
      <c r="G5337" s="7">
        <v>3908.65</v>
      </c>
      <c r="H5337" s="7">
        <v>0.06</v>
      </c>
      <c r="I5337" s="9" t="s">
        <v>22</v>
      </c>
      <c r="J5337" s="10">
        <v>480.57</v>
      </c>
      <c r="K5337" s="11">
        <v>105.29</v>
      </c>
      <c r="L5337" s="11">
        <v>10.119999999999999</v>
      </c>
      <c r="M5337" s="9" t="s">
        <v>1907</v>
      </c>
      <c r="N5337" s="6" t="s">
        <v>1905</v>
      </c>
      <c r="O5337" s="6" t="s">
        <v>673</v>
      </c>
      <c r="P5337" s="9" t="s">
        <v>41</v>
      </c>
      <c r="Q5337" s="9" t="s">
        <v>49</v>
      </c>
      <c r="R5337" s="9" t="s">
        <v>50</v>
      </c>
      <c r="S5337" s="7" t="s">
        <v>1510</v>
      </c>
      <c r="T5337" s="9" t="s">
        <v>29</v>
      </c>
      <c r="U5337" s="7">
        <v>0.79</v>
      </c>
      <c r="V5337" s="12">
        <f>C5337+2</f>
        <v>40000</v>
      </c>
      <c r="W5337">
        <f>IF(D5337=' Pivot Tables'!$A$4,1,0)</f>
        <v>0</v>
      </c>
      <c r="X5337">
        <f>IF(AND(LEFT(D5337,4)+1=LEFT(' Pivot Tables'!$A$4,4)+0,RIGHT(LEFT(D5337,7),2)=RIGHT(LEFT(' Pivot Tables'!$A$4,7),2)),1,0)</f>
        <v>0</v>
      </c>
      <c r="Y5337" s="6">
        <f>1/COUNTIF(Таблица1[Order ID],Таблица1[[#This Row],[Order ID]])</f>
        <v>1</v>
      </c>
      <c r="Z5337" s="9">
        <f>1/COUNTIFS(Таблица1[Customer Name],Таблица1[[#This Row],[Customer Name]],Таблица1[Order-Year-Month],Таблица1[[#This Row],[Order-Year-Month]])</f>
        <v>1</v>
      </c>
    </row>
    <row r="5338" spans="1:26" x14ac:dyDescent="0.2">
      <c r="A5338" s="6">
        <v>277</v>
      </c>
      <c r="B5338" s="7">
        <v>1895</v>
      </c>
      <c r="C5338" s="8">
        <f>DATE(2012,12,31)-1312</f>
        <v>39962</v>
      </c>
      <c r="D5338" s="8" t="str">
        <f t="shared" si="100"/>
        <v>2009-05 (май 2009)</v>
      </c>
      <c r="E5338" s="9" t="s">
        <v>63</v>
      </c>
      <c r="F5338" s="7">
        <v>5</v>
      </c>
      <c r="G5338" s="7">
        <v>41.25</v>
      </c>
      <c r="H5338" s="7">
        <v>0.02</v>
      </c>
      <c r="I5338" s="9" t="s">
        <v>22</v>
      </c>
      <c r="J5338" s="10">
        <v>-23.25</v>
      </c>
      <c r="K5338" s="11">
        <v>6.48</v>
      </c>
      <c r="L5338" s="11">
        <v>7.91</v>
      </c>
      <c r="M5338" s="9" t="s">
        <v>1907</v>
      </c>
      <c r="N5338" s="6" t="s">
        <v>1905</v>
      </c>
      <c r="O5338" s="6" t="s">
        <v>673</v>
      </c>
      <c r="P5338" s="9" t="s">
        <v>41</v>
      </c>
      <c r="Q5338" s="9" t="s">
        <v>26</v>
      </c>
      <c r="R5338" s="9" t="s">
        <v>61</v>
      </c>
      <c r="S5338" s="7" t="s">
        <v>1297</v>
      </c>
      <c r="T5338" s="9" t="s">
        <v>39</v>
      </c>
      <c r="U5338" s="7">
        <v>0.37</v>
      </c>
      <c r="V5338" s="12">
        <f>C5338+2</f>
        <v>39964</v>
      </c>
      <c r="W5338">
        <f>IF(D5338=' Pivot Tables'!$A$4,1,0)</f>
        <v>0</v>
      </c>
      <c r="X5338">
        <f>IF(AND(LEFT(D5338,4)+1=LEFT(' Pivot Tables'!$A$4,4)+0,RIGHT(LEFT(D5338,7),2)=RIGHT(LEFT(' Pivot Tables'!$A$4,7),2)),1,0)</f>
        <v>0</v>
      </c>
      <c r="Y5338" s="6">
        <f>1/COUNTIF(Таблица1[Order ID],Таблица1[[#This Row],[Order ID]])</f>
        <v>1</v>
      </c>
      <c r="Z5338" s="9">
        <f>1/COUNTIFS(Таблица1[Customer Name],Таблица1[[#This Row],[Customer Name]],Таблица1[Order-Year-Month],Таблица1[[#This Row],[Order-Year-Month]])</f>
        <v>0.33333333333333331</v>
      </c>
    </row>
    <row r="5339" spans="1:26" x14ac:dyDescent="0.2">
      <c r="A5339" s="6">
        <v>290</v>
      </c>
      <c r="B5339" s="7">
        <v>2023</v>
      </c>
      <c r="C5339" s="8">
        <f>DATE(2012,12,31)-240</f>
        <v>41034</v>
      </c>
      <c r="D5339" s="8" t="str">
        <f t="shared" si="100"/>
        <v>2012-05 (май 2012)</v>
      </c>
      <c r="E5339" s="9" t="s">
        <v>21</v>
      </c>
      <c r="F5339" s="7">
        <v>4</v>
      </c>
      <c r="G5339" s="7">
        <v>294.89</v>
      </c>
      <c r="H5339" s="7">
        <v>0.09</v>
      </c>
      <c r="I5339" s="9" t="s">
        <v>22</v>
      </c>
      <c r="J5339" s="10">
        <v>-321.83999999999997</v>
      </c>
      <c r="K5339" s="11">
        <v>73.98</v>
      </c>
      <c r="L5339" s="11">
        <v>12.14</v>
      </c>
      <c r="M5339" s="9" t="s">
        <v>1906</v>
      </c>
      <c r="N5339" s="6" t="s">
        <v>1905</v>
      </c>
      <c r="O5339" s="6" t="s">
        <v>673</v>
      </c>
      <c r="P5339" s="9" t="s">
        <v>60</v>
      </c>
      <c r="Q5339" s="9" t="s">
        <v>42</v>
      </c>
      <c r="R5339" s="9" t="s">
        <v>70</v>
      </c>
      <c r="S5339" s="7" t="s">
        <v>810</v>
      </c>
      <c r="T5339" s="9" t="s">
        <v>39</v>
      </c>
      <c r="U5339" s="7">
        <v>0.67</v>
      </c>
      <c r="V5339" s="12">
        <f>C5339+0</f>
        <v>41034</v>
      </c>
      <c r="W5339">
        <f>IF(D5339=' Pivot Tables'!$A$4,1,0)</f>
        <v>0</v>
      </c>
      <c r="X5339">
        <f>IF(AND(LEFT(D5339,4)+1=LEFT(' Pivot Tables'!$A$4,4)+0,RIGHT(LEFT(D5339,7),2)=RIGHT(LEFT(' Pivot Tables'!$A$4,7),2)),1,0)</f>
        <v>0</v>
      </c>
      <c r="Y5339" s="6">
        <f>1/COUNTIF(Таблица1[Order ID],Таблица1[[#This Row],[Order ID]])</f>
        <v>0.5</v>
      </c>
      <c r="Z5339" s="9">
        <f>1/COUNTIFS(Таблица1[Customer Name],Таблица1[[#This Row],[Customer Name]],Таблица1[Order-Year-Month],Таблица1[[#This Row],[Order-Year-Month]])</f>
        <v>0.5</v>
      </c>
    </row>
    <row r="5340" spans="1:26" x14ac:dyDescent="0.2">
      <c r="A5340" s="6">
        <v>291</v>
      </c>
      <c r="B5340" s="7">
        <v>2023</v>
      </c>
      <c r="C5340" s="8">
        <f>DATE(2012,12,31)-240</f>
        <v>41034</v>
      </c>
      <c r="D5340" s="8" t="str">
        <f t="shared" si="100"/>
        <v>2012-05 (май 2012)</v>
      </c>
      <c r="E5340" s="9" t="s">
        <v>21</v>
      </c>
      <c r="F5340" s="7">
        <v>50</v>
      </c>
      <c r="G5340" s="7">
        <v>246.57</v>
      </c>
      <c r="H5340" s="7">
        <v>0.06</v>
      </c>
      <c r="I5340" s="9" t="s">
        <v>22</v>
      </c>
      <c r="J5340" s="10">
        <v>-132.51</v>
      </c>
      <c r="K5340" s="11">
        <v>4.9800000000000004</v>
      </c>
      <c r="L5340" s="11">
        <v>5.49</v>
      </c>
      <c r="M5340" s="9" t="s">
        <v>1906</v>
      </c>
      <c r="N5340" s="6" t="s">
        <v>1905</v>
      </c>
      <c r="O5340" s="6" t="s">
        <v>673</v>
      </c>
      <c r="P5340" s="9" t="s">
        <v>60</v>
      </c>
      <c r="Q5340" s="9" t="s">
        <v>26</v>
      </c>
      <c r="R5340" s="9" t="s">
        <v>61</v>
      </c>
      <c r="S5340" s="7" t="s">
        <v>1224</v>
      </c>
      <c r="T5340" s="9" t="s">
        <v>39</v>
      </c>
      <c r="U5340" s="7">
        <v>0.38</v>
      </c>
      <c r="V5340" s="12">
        <f>C5340+2</f>
        <v>41036</v>
      </c>
      <c r="W5340">
        <f>IF(D5340=' Pivot Tables'!$A$4,1,0)</f>
        <v>0</v>
      </c>
      <c r="X5340">
        <f>IF(AND(LEFT(D5340,4)+1=LEFT(' Pivot Tables'!$A$4,4)+0,RIGHT(LEFT(D5340,7),2)=RIGHT(LEFT(' Pivot Tables'!$A$4,7),2)),1,0)</f>
        <v>0</v>
      </c>
      <c r="Y5340" s="6">
        <f>1/COUNTIF(Таблица1[Order ID],Таблица1[[#This Row],[Order ID]])</f>
        <v>0.5</v>
      </c>
      <c r="Z5340" s="9">
        <f>1/COUNTIFS(Таблица1[Customer Name],Таблица1[[#This Row],[Customer Name]],Таблица1[Order-Year-Month],Таблица1[[#This Row],[Order-Year-Month]])</f>
        <v>0.5</v>
      </c>
    </row>
    <row r="5341" spans="1:26" x14ac:dyDescent="0.2">
      <c r="A5341" s="6">
        <v>372</v>
      </c>
      <c r="B5341" s="7">
        <v>2593</v>
      </c>
      <c r="C5341" s="8">
        <f>DATE(2012,12,31)-850</f>
        <v>40424</v>
      </c>
      <c r="D5341" s="8" t="str">
        <f t="shared" si="100"/>
        <v>2010-09 (сентябрь 2010)</v>
      </c>
      <c r="E5341" s="9" t="s">
        <v>30</v>
      </c>
      <c r="F5341" s="7">
        <v>5</v>
      </c>
      <c r="G5341" s="7">
        <v>2004.12</v>
      </c>
      <c r="H5341" s="7">
        <v>0.1</v>
      </c>
      <c r="I5341" s="9" t="s">
        <v>56</v>
      </c>
      <c r="J5341" s="10">
        <v>276.67500000000001</v>
      </c>
      <c r="K5341" s="11">
        <v>420.98</v>
      </c>
      <c r="L5341" s="11">
        <v>19.989999999999998</v>
      </c>
      <c r="M5341" s="9" t="s">
        <v>1908</v>
      </c>
      <c r="N5341" s="6" t="s">
        <v>1905</v>
      </c>
      <c r="O5341" s="6" t="s">
        <v>673</v>
      </c>
      <c r="P5341" s="9" t="s">
        <v>41</v>
      </c>
      <c r="Q5341" s="9" t="s">
        <v>26</v>
      </c>
      <c r="R5341" s="9" t="s">
        <v>37</v>
      </c>
      <c r="S5341" s="7" t="s">
        <v>607</v>
      </c>
      <c r="T5341" s="9" t="s">
        <v>39</v>
      </c>
      <c r="U5341" s="7">
        <v>0.35</v>
      </c>
      <c r="V5341" s="12">
        <f>C5341+2</f>
        <v>40426</v>
      </c>
      <c r="W5341">
        <f>IF(D5341=' Pivot Tables'!$A$4,1,0)</f>
        <v>0</v>
      </c>
      <c r="X5341">
        <f>IF(AND(LEFT(D5341,4)+1=LEFT(' Pivot Tables'!$A$4,4)+0,RIGHT(LEFT(D5341,7),2)=RIGHT(LEFT(' Pivot Tables'!$A$4,7),2)),1,0)</f>
        <v>0</v>
      </c>
      <c r="Y5341" s="6">
        <f>1/COUNTIF(Таблица1[Order ID],Таблица1[[#This Row],[Order ID]])</f>
        <v>0.5</v>
      </c>
      <c r="Z5341" s="9">
        <f>1/COUNTIFS(Таблица1[Customer Name],Таблица1[[#This Row],[Customer Name]],Таблица1[Order-Year-Month],Таблица1[[#This Row],[Order-Year-Month]])</f>
        <v>0.5</v>
      </c>
    </row>
    <row r="5342" spans="1:26" x14ac:dyDescent="0.2">
      <c r="A5342" s="6">
        <v>373</v>
      </c>
      <c r="B5342" s="7">
        <v>2593</v>
      </c>
      <c r="C5342" s="8">
        <f>DATE(2012,12,31)-850</f>
        <v>40424</v>
      </c>
      <c r="D5342" s="8" t="str">
        <f t="shared" si="100"/>
        <v>2010-09 (сентябрь 2010)</v>
      </c>
      <c r="E5342" s="9" t="s">
        <v>30</v>
      </c>
      <c r="F5342" s="7">
        <v>15</v>
      </c>
      <c r="G5342" s="7">
        <v>3841.72</v>
      </c>
      <c r="H5342" s="7">
        <v>0.03</v>
      </c>
      <c r="I5342" s="9" t="s">
        <v>31</v>
      </c>
      <c r="J5342" s="10">
        <v>691.13</v>
      </c>
      <c r="K5342" s="11">
        <v>243.98</v>
      </c>
      <c r="L5342" s="11">
        <v>43.32</v>
      </c>
      <c r="M5342" s="9" t="s">
        <v>1908</v>
      </c>
      <c r="N5342" s="6" t="s">
        <v>1905</v>
      </c>
      <c r="O5342" s="6" t="s">
        <v>673</v>
      </c>
      <c r="P5342" s="9" t="s">
        <v>41</v>
      </c>
      <c r="Q5342" s="9" t="s">
        <v>49</v>
      </c>
      <c r="R5342" s="9" t="s">
        <v>112</v>
      </c>
      <c r="S5342" s="7" t="s">
        <v>237</v>
      </c>
      <c r="T5342" s="9" t="s">
        <v>36</v>
      </c>
      <c r="U5342" s="7">
        <v>0.55000000000000004</v>
      </c>
      <c r="V5342" s="12">
        <f>C5342+1</f>
        <v>40425</v>
      </c>
      <c r="W5342">
        <f>IF(D5342=' Pivot Tables'!$A$4,1,0)</f>
        <v>0</v>
      </c>
      <c r="X5342">
        <f>IF(AND(LEFT(D5342,4)+1=LEFT(' Pivot Tables'!$A$4,4)+0,RIGHT(LEFT(D5342,7),2)=RIGHT(LEFT(' Pivot Tables'!$A$4,7),2)),1,0)</f>
        <v>0</v>
      </c>
      <c r="Y5342" s="6">
        <f>1/COUNTIF(Таблица1[Order ID],Таблица1[[#This Row],[Order ID]])</f>
        <v>0.5</v>
      </c>
      <c r="Z5342" s="9">
        <f>1/COUNTIFS(Таблица1[Customer Name],Таблица1[[#This Row],[Customer Name]],Таблица1[Order-Year-Month],Таблица1[[#This Row],[Order-Year-Month]])</f>
        <v>0.5</v>
      </c>
    </row>
    <row r="5343" spans="1:26" x14ac:dyDescent="0.2">
      <c r="A5343" s="6">
        <v>501</v>
      </c>
      <c r="B5343" s="7">
        <v>3461</v>
      </c>
      <c r="C5343" s="8">
        <f>DATE(2012,12,31)-1066</f>
        <v>40208</v>
      </c>
      <c r="D5343" s="8" t="str">
        <f t="shared" si="100"/>
        <v>2010-01 (январь 2010)</v>
      </c>
      <c r="E5343" s="9" t="s">
        <v>78</v>
      </c>
      <c r="F5343" s="7">
        <v>47</v>
      </c>
      <c r="G5343" s="7">
        <v>2053.3789999999999</v>
      </c>
      <c r="H5343" s="7">
        <v>0.1</v>
      </c>
      <c r="I5343" s="9" t="s">
        <v>22</v>
      </c>
      <c r="J5343" s="10">
        <v>1040.4000000000001</v>
      </c>
      <c r="K5343" s="11">
        <v>55.99</v>
      </c>
      <c r="L5343" s="11">
        <v>1.25</v>
      </c>
      <c r="M5343" s="9" t="s">
        <v>1909</v>
      </c>
      <c r="N5343" s="6" t="s">
        <v>1905</v>
      </c>
      <c r="O5343" s="6" t="s">
        <v>673</v>
      </c>
      <c r="P5343" s="9" t="s">
        <v>60</v>
      </c>
      <c r="Q5343" s="9" t="s">
        <v>42</v>
      </c>
      <c r="R5343" s="9" t="s">
        <v>43</v>
      </c>
      <c r="S5343" s="7" t="s">
        <v>946</v>
      </c>
      <c r="T5343" s="9" t="s">
        <v>52</v>
      </c>
      <c r="U5343" s="7">
        <v>0.35</v>
      </c>
      <c r="V5343" s="12">
        <f>C5343+2</f>
        <v>40210</v>
      </c>
      <c r="W5343">
        <f>IF(D5343=' Pivot Tables'!$A$4,1,0)</f>
        <v>1</v>
      </c>
      <c r="X5343">
        <f>IF(AND(LEFT(D5343,4)+1=LEFT(' Pivot Tables'!$A$4,4)+0,RIGHT(LEFT(D5343,7),2)=RIGHT(LEFT(' Pivot Tables'!$A$4,7),2)),1,0)</f>
        <v>0</v>
      </c>
      <c r="Y5343" s="6">
        <f>1/COUNTIF(Таблица1[Order ID],Таблица1[[#This Row],[Order ID]])</f>
        <v>0.5</v>
      </c>
      <c r="Z5343" s="9">
        <f>1/COUNTIFS(Таблица1[Customer Name],Таблица1[[#This Row],[Customer Name]],Таблица1[Order-Year-Month],Таблица1[[#This Row],[Order-Year-Month]])</f>
        <v>0.33333333333333331</v>
      </c>
    </row>
    <row r="5344" spans="1:26" x14ac:dyDescent="0.2">
      <c r="A5344" s="6">
        <v>502</v>
      </c>
      <c r="B5344" s="7">
        <v>3461</v>
      </c>
      <c r="C5344" s="8">
        <f>DATE(2012,12,31)-1066</f>
        <v>40208</v>
      </c>
      <c r="D5344" s="8" t="str">
        <f t="shared" si="100"/>
        <v>2010-01 (январь 2010)</v>
      </c>
      <c r="E5344" s="9" t="s">
        <v>78</v>
      </c>
      <c r="F5344" s="7">
        <v>35</v>
      </c>
      <c r="G5344" s="7">
        <v>3206.3955000000001</v>
      </c>
      <c r="H5344" s="7">
        <v>0.08</v>
      </c>
      <c r="I5344" s="9" t="s">
        <v>22</v>
      </c>
      <c r="J5344" s="10">
        <v>784.77300000000002</v>
      </c>
      <c r="K5344" s="11">
        <v>115.99</v>
      </c>
      <c r="L5344" s="11">
        <v>2.5</v>
      </c>
      <c r="M5344" s="9" t="s">
        <v>1909</v>
      </c>
      <c r="N5344" s="6" t="s">
        <v>1905</v>
      </c>
      <c r="O5344" s="6" t="s">
        <v>673</v>
      </c>
      <c r="P5344" s="9" t="s">
        <v>60</v>
      </c>
      <c r="Q5344" s="9" t="s">
        <v>42</v>
      </c>
      <c r="R5344" s="9" t="s">
        <v>43</v>
      </c>
      <c r="S5344" s="7" t="s">
        <v>1719</v>
      </c>
      <c r="T5344" s="9" t="s">
        <v>39</v>
      </c>
      <c r="U5344" s="7">
        <v>0.55000000000000004</v>
      </c>
      <c r="V5344" s="12">
        <f>C5344+2</f>
        <v>40210</v>
      </c>
      <c r="W5344">
        <f>IF(D5344=' Pivot Tables'!$A$4,1,0)</f>
        <v>1</v>
      </c>
      <c r="X5344">
        <f>IF(AND(LEFT(D5344,4)+1=LEFT(' Pivot Tables'!$A$4,4)+0,RIGHT(LEFT(D5344,7),2)=RIGHT(LEFT(' Pivot Tables'!$A$4,7),2)),1,0)</f>
        <v>0</v>
      </c>
      <c r="Y5344" s="6">
        <f>1/COUNTIF(Таблица1[Order ID],Таблица1[[#This Row],[Order ID]])</f>
        <v>0.5</v>
      </c>
      <c r="Z5344" s="9">
        <f>1/COUNTIFS(Таблица1[Customer Name],Таблица1[[#This Row],[Customer Name]],Таблица1[Order-Year-Month],Таблица1[[#This Row],[Order-Year-Month]])</f>
        <v>0.33333333333333331</v>
      </c>
    </row>
    <row r="5345" spans="1:26" x14ac:dyDescent="0.2">
      <c r="A5345" s="6">
        <v>517</v>
      </c>
      <c r="B5345" s="7">
        <v>3554</v>
      </c>
      <c r="C5345" s="8">
        <f>DATE(2012,12,31)-564</f>
        <v>40710</v>
      </c>
      <c r="D5345" s="8" t="str">
        <f t="shared" si="100"/>
        <v>2011-06 (июнь 2011)</v>
      </c>
      <c r="E5345" s="9" t="s">
        <v>21</v>
      </c>
      <c r="F5345" s="7">
        <v>25</v>
      </c>
      <c r="G5345" s="7">
        <v>288.91000000000003</v>
      </c>
      <c r="H5345" s="7">
        <v>0.08</v>
      </c>
      <c r="I5345" s="9" t="s">
        <v>22</v>
      </c>
      <c r="J5345" s="10">
        <v>-14.06</v>
      </c>
      <c r="K5345" s="11">
        <v>12.28</v>
      </c>
      <c r="L5345" s="11">
        <v>6.47</v>
      </c>
      <c r="M5345" s="9" t="s">
        <v>1028</v>
      </c>
      <c r="N5345" s="6" t="s">
        <v>1905</v>
      </c>
      <c r="O5345" s="6" t="s">
        <v>673</v>
      </c>
      <c r="P5345" s="9" t="s">
        <v>41</v>
      </c>
      <c r="Q5345" s="9" t="s">
        <v>26</v>
      </c>
      <c r="R5345" s="9" t="s">
        <v>61</v>
      </c>
      <c r="S5345" s="7" t="s">
        <v>131</v>
      </c>
      <c r="T5345" s="9" t="s">
        <v>39</v>
      </c>
      <c r="U5345" s="7">
        <v>0.38</v>
      </c>
      <c r="V5345" s="12">
        <f>C5345+9</f>
        <v>40719</v>
      </c>
      <c r="W5345">
        <f>IF(D5345=' Pivot Tables'!$A$4,1,0)</f>
        <v>0</v>
      </c>
      <c r="X5345">
        <f>IF(AND(LEFT(D5345,4)+1=LEFT(' Pivot Tables'!$A$4,4)+0,RIGHT(LEFT(D5345,7),2)=RIGHT(LEFT(' Pivot Tables'!$A$4,7),2)),1,0)</f>
        <v>0</v>
      </c>
      <c r="Y5345" s="6">
        <f>1/COUNTIF(Таблица1[Order ID],Таблица1[[#This Row],[Order ID]])</f>
        <v>1</v>
      </c>
      <c r="Z5345" s="9">
        <f>1/COUNTIFS(Таблица1[Customer Name],Таблица1[[#This Row],[Customer Name]],Таблица1[Order-Year-Month],Таблица1[[#This Row],[Order-Year-Month]])</f>
        <v>1</v>
      </c>
    </row>
    <row r="5346" spans="1:26" x14ac:dyDescent="0.2">
      <c r="A5346" s="6">
        <v>610</v>
      </c>
      <c r="B5346" s="7">
        <v>4166</v>
      </c>
      <c r="C5346" s="8">
        <f>DATE(2012,12,31)-1038</f>
        <v>40236</v>
      </c>
      <c r="D5346" s="8" t="str">
        <f t="shared" si="100"/>
        <v>2010-02 (февраль 2010)</v>
      </c>
      <c r="E5346" s="9" t="s">
        <v>21</v>
      </c>
      <c r="F5346" s="7">
        <v>19</v>
      </c>
      <c r="G5346" s="7">
        <v>138.85</v>
      </c>
      <c r="H5346" s="7">
        <v>0.08</v>
      </c>
      <c r="I5346" s="9" t="s">
        <v>22</v>
      </c>
      <c r="J5346" s="10">
        <v>-49.346499999999999</v>
      </c>
      <c r="K5346" s="11">
        <v>7.1</v>
      </c>
      <c r="L5346" s="11">
        <v>6.05</v>
      </c>
      <c r="M5346" s="9" t="s">
        <v>1852</v>
      </c>
      <c r="N5346" s="6" t="s">
        <v>1905</v>
      </c>
      <c r="O5346" s="6" t="s">
        <v>673</v>
      </c>
      <c r="P5346" s="9" t="s">
        <v>41</v>
      </c>
      <c r="Q5346" s="9" t="s">
        <v>26</v>
      </c>
      <c r="R5346" s="9" t="s">
        <v>37</v>
      </c>
      <c r="S5346" s="7" t="s">
        <v>435</v>
      </c>
      <c r="T5346" s="9" t="s">
        <v>39</v>
      </c>
      <c r="U5346" s="7">
        <v>0.39</v>
      </c>
      <c r="V5346" s="12">
        <f>C5346+0</f>
        <v>40236</v>
      </c>
      <c r="W5346">
        <f>IF(D5346=' Pivot Tables'!$A$4,1,0)</f>
        <v>0</v>
      </c>
      <c r="X5346">
        <f>IF(AND(LEFT(D5346,4)+1=LEFT(' Pivot Tables'!$A$4,4)+0,RIGHT(LEFT(D5346,7),2)=RIGHT(LEFT(' Pivot Tables'!$A$4,7),2)),1,0)</f>
        <v>0</v>
      </c>
      <c r="Y5346" s="6">
        <f>1/COUNTIF(Таблица1[Order ID],Таблица1[[#This Row],[Order ID]])</f>
        <v>1</v>
      </c>
      <c r="Z5346" s="9">
        <f>1/COUNTIFS(Таблица1[Customer Name],Таблица1[[#This Row],[Customer Name]],Таблица1[Order-Year-Month],Таблица1[[#This Row],[Order-Year-Month]])</f>
        <v>0.33333333333333331</v>
      </c>
    </row>
    <row r="5347" spans="1:26" x14ac:dyDescent="0.2">
      <c r="A5347" s="6">
        <v>712</v>
      </c>
      <c r="B5347" s="7">
        <v>5059</v>
      </c>
      <c r="C5347" s="8">
        <f>DATE(2012,12,31)-783</f>
        <v>40491</v>
      </c>
      <c r="D5347" s="8" t="str">
        <f t="shared" si="100"/>
        <v>2010-11 (ноябрь 2010)</v>
      </c>
      <c r="E5347" s="9" t="s">
        <v>30</v>
      </c>
      <c r="F5347" s="7">
        <v>5</v>
      </c>
      <c r="G5347" s="7">
        <v>41.18</v>
      </c>
      <c r="H5347" s="7">
        <v>0.1</v>
      </c>
      <c r="I5347" s="9" t="s">
        <v>56</v>
      </c>
      <c r="J5347" s="10">
        <v>-19.308499999999999</v>
      </c>
      <c r="K5347" s="11">
        <v>5.44</v>
      </c>
      <c r="L5347" s="11">
        <v>7.46</v>
      </c>
      <c r="M5347" s="9" t="s">
        <v>1910</v>
      </c>
      <c r="N5347" s="6" t="s">
        <v>1905</v>
      </c>
      <c r="O5347" s="6" t="s">
        <v>673</v>
      </c>
      <c r="P5347" s="9" t="s">
        <v>25</v>
      </c>
      <c r="Q5347" s="9" t="s">
        <v>26</v>
      </c>
      <c r="R5347" s="9" t="s">
        <v>37</v>
      </c>
      <c r="S5347" s="7" t="s">
        <v>1911</v>
      </c>
      <c r="T5347" s="9" t="s">
        <v>39</v>
      </c>
      <c r="U5347" s="7">
        <v>0.36</v>
      </c>
      <c r="V5347" s="12">
        <f>C5347+2</f>
        <v>40493</v>
      </c>
      <c r="W5347">
        <f>IF(D5347=' Pivot Tables'!$A$4,1,0)</f>
        <v>0</v>
      </c>
      <c r="X5347">
        <f>IF(AND(LEFT(D5347,4)+1=LEFT(' Pivot Tables'!$A$4,4)+0,RIGHT(LEFT(D5347,7),2)=RIGHT(LEFT(' Pivot Tables'!$A$4,7),2)),1,0)</f>
        <v>0</v>
      </c>
      <c r="Y5347" s="6">
        <f>1/COUNTIF(Таблица1[Order ID],Таблица1[[#This Row],[Order ID]])</f>
        <v>1</v>
      </c>
      <c r="Z5347" s="9">
        <f>1/COUNTIFS(Таблица1[Customer Name],Таблица1[[#This Row],[Customer Name]],Таблица1[Order-Year-Month],Таблица1[[#This Row],[Order-Year-Month]])</f>
        <v>1</v>
      </c>
    </row>
    <row r="5348" spans="1:26" x14ac:dyDescent="0.2">
      <c r="A5348" s="6">
        <v>730</v>
      </c>
      <c r="B5348" s="7">
        <v>5254</v>
      </c>
      <c r="C5348" s="8">
        <f>DATE(2012,12,31)-159</f>
        <v>41115</v>
      </c>
      <c r="D5348" s="8" t="str">
        <f t="shared" si="100"/>
        <v>2012-07 (июль 2012)</v>
      </c>
      <c r="E5348" s="9" t="s">
        <v>45</v>
      </c>
      <c r="F5348" s="7">
        <v>31</v>
      </c>
      <c r="G5348" s="7">
        <v>1735.3515</v>
      </c>
      <c r="H5348" s="7">
        <v>0.08</v>
      </c>
      <c r="I5348" s="9" t="s">
        <v>22</v>
      </c>
      <c r="J5348" s="10">
        <v>258.62400000000002</v>
      </c>
      <c r="K5348" s="11">
        <v>65.989999999999995</v>
      </c>
      <c r="L5348" s="11">
        <v>8.99</v>
      </c>
      <c r="M5348" s="9" t="s">
        <v>1912</v>
      </c>
      <c r="N5348" s="6" t="s">
        <v>1905</v>
      </c>
      <c r="O5348" s="6" t="s">
        <v>673</v>
      </c>
      <c r="P5348" s="9" t="s">
        <v>41</v>
      </c>
      <c r="Q5348" s="9" t="s">
        <v>42</v>
      </c>
      <c r="R5348" s="9" t="s">
        <v>43</v>
      </c>
      <c r="S5348" s="7" t="s">
        <v>1181</v>
      </c>
      <c r="T5348" s="9" t="s">
        <v>39</v>
      </c>
      <c r="U5348" s="7">
        <v>0.56000000000000005</v>
      </c>
      <c r="V5348" s="12">
        <f>C5348+2</f>
        <v>41117</v>
      </c>
      <c r="W5348">
        <f>IF(D5348=' Pivot Tables'!$A$4,1,0)</f>
        <v>0</v>
      </c>
      <c r="X5348">
        <f>IF(AND(LEFT(D5348,4)+1=LEFT(' Pivot Tables'!$A$4,4)+0,RIGHT(LEFT(D5348,7),2)=RIGHT(LEFT(' Pivot Tables'!$A$4,7),2)),1,0)</f>
        <v>0</v>
      </c>
      <c r="Y5348" s="6">
        <f>1/COUNTIF(Таблица1[Order ID],Таблица1[[#This Row],[Order ID]])</f>
        <v>1</v>
      </c>
      <c r="Z5348" s="9">
        <f>1/COUNTIFS(Таблица1[Customer Name],Таблица1[[#This Row],[Customer Name]],Таблица1[Order-Year-Month],Таблица1[[#This Row],[Order-Year-Month]])</f>
        <v>1</v>
      </c>
    </row>
    <row r="5349" spans="1:26" x14ac:dyDescent="0.2">
      <c r="A5349" s="6">
        <v>784</v>
      </c>
      <c r="B5349" s="7">
        <v>5575</v>
      </c>
      <c r="C5349" s="8">
        <f>DATE(2012,12,31)-527</f>
        <v>40747</v>
      </c>
      <c r="D5349" s="8" t="str">
        <f t="shared" si="100"/>
        <v>2011-07 (июль 2011)</v>
      </c>
      <c r="E5349" s="9" t="s">
        <v>21</v>
      </c>
      <c r="F5349" s="7">
        <v>41</v>
      </c>
      <c r="G5349" s="7">
        <v>254.69</v>
      </c>
      <c r="H5349" s="7">
        <v>0.06</v>
      </c>
      <c r="I5349" s="9" t="s">
        <v>22</v>
      </c>
      <c r="J5349" s="10">
        <v>-269.37</v>
      </c>
      <c r="K5349" s="11">
        <v>5.98</v>
      </c>
      <c r="L5349" s="11">
        <v>10.39</v>
      </c>
      <c r="M5349" s="9" t="s">
        <v>1913</v>
      </c>
      <c r="N5349" s="6" t="s">
        <v>1905</v>
      </c>
      <c r="O5349" s="6" t="s">
        <v>673</v>
      </c>
      <c r="P5349" s="9" t="s">
        <v>41</v>
      </c>
      <c r="Q5349" s="9" t="s">
        <v>26</v>
      </c>
      <c r="R5349" s="9" t="s">
        <v>61</v>
      </c>
      <c r="S5349" s="7" t="s">
        <v>1430</v>
      </c>
      <c r="T5349" s="9" t="s">
        <v>39</v>
      </c>
      <c r="U5349" s="7">
        <v>0.4</v>
      </c>
      <c r="V5349" s="12">
        <f>C5349+0</f>
        <v>40747</v>
      </c>
      <c r="W5349">
        <f>IF(D5349=' Pivot Tables'!$A$4,1,0)</f>
        <v>0</v>
      </c>
      <c r="X5349">
        <f>IF(AND(LEFT(D5349,4)+1=LEFT(' Pivot Tables'!$A$4,4)+0,RIGHT(LEFT(D5349,7),2)=RIGHT(LEFT(' Pivot Tables'!$A$4,7),2)),1,0)</f>
        <v>0</v>
      </c>
      <c r="Y5349" s="6">
        <f>1/COUNTIF(Таблица1[Order ID],Таблица1[[#This Row],[Order ID]])</f>
        <v>1</v>
      </c>
      <c r="Z5349" s="9">
        <f>1/COUNTIFS(Таблица1[Customer Name],Таблица1[[#This Row],[Customer Name]],Таблица1[Order-Year-Month],Таблица1[[#This Row],[Order-Year-Month]])</f>
        <v>1</v>
      </c>
    </row>
    <row r="5350" spans="1:26" x14ac:dyDescent="0.2">
      <c r="A5350" s="6">
        <v>823</v>
      </c>
      <c r="B5350" s="7">
        <v>5954</v>
      </c>
      <c r="C5350" s="8">
        <f>DATE(2012,12,31)-29</f>
        <v>41245</v>
      </c>
      <c r="D5350" s="8" t="str">
        <f t="shared" si="100"/>
        <v>2012-12 (декабрь 2012)</v>
      </c>
      <c r="E5350" s="9" t="s">
        <v>78</v>
      </c>
      <c r="F5350" s="7">
        <v>32</v>
      </c>
      <c r="G5350" s="7">
        <v>18316.3</v>
      </c>
      <c r="H5350" s="7">
        <v>0.06</v>
      </c>
      <c r="I5350" s="9" t="s">
        <v>31</v>
      </c>
      <c r="J5350" s="10">
        <v>4569.0600000000004</v>
      </c>
      <c r="K5350" s="11">
        <v>596.98</v>
      </c>
      <c r="L5350" s="11">
        <v>14.7</v>
      </c>
      <c r="M5350" s="9" t="s">
        <v>1028</v>
      </c>
      <c r="N5350" s="6" t="s">
        <v>1905</v>
      </c>
      <c r="O5350" s="6" t="s">
        <v>673</v>
      </c>
      <c r="P5350" s="9" t="s">
        <v>41</v>
      </c>
      <c r="Q5350" s="9" t="s">
        <v>42</v>
      </c>
      <c r="R5350" s="9" t="s">
        <v>210</v>
      </c>
      <c r="S5350" s="7" t="s">
        <v>1914</v>
      </c>
      <c r="T5350" s="9" t="s">
        <v>36</v>
      </c>
      <c r="U5350" s="7">
        <v>0.56999999999999995</v>
      </c>
      <c r="V5350" s="12">
        <f>C5350+2</f>
        <v>41247</v>
      </c>
      <c r="W5350">
        <f>IF(D5350=' Pivot Tables'!$A$4,1,0)</f>
        <v>0</v>
      </c>
      <c r="X5350">
        <f>IF(AND(LEFT(D5350,4)+1=LEFT(' Pivot Tables'!$A$4,4)+0,RIGHT(LEFT(D5350,7),2)=RIGHT(LEFT(' Pivot Tables'!$A$4,7),2)),1,0)</f>
        <v>0</v>
      </c>
      <c r="Y5350" s="6">
        <f>1/COUNTIF(Таблица1[Order ID],Таблица1[[#This Row],[Order ID]])</f>
        <v>1</v>
      </c>
      <c r="Z5350" s="9">
        <f>1/COUNTIFS(Таблица1[Customer Name],Таблица1[[#This Row],[Customer Name]],Таблица1[Order-Year-Month],Таблица1[[#This Row],[Order-Year-Month]])</f>
        <v>0.25</v>
      </c>
    </row>
    <row r="5351" spans="1:26" x14ac:dyDescent="0.2">
      <c r="A5351" s="6">
        <v>840</v>
      </c>
      <c r="B5351" s="7">
        <v>6018</v>
      </c>
      <c r="C5351" s="8">
        <f>DATE(2012,12,31)-135</f>
        <v>41139</v>
      </c>
      <c r="D5351" s="8" t="str">
        <f t="shared" si="100"/>
        <v>2012-08 (август 2012)</v>
      </c>
      <c r="E5351" s="9" t="s">
        <v>21</v>
      </c>
      <c r="F5351" s="7">
        <v>39</v>
      </c>
      <c r="G5351" s="7">
        <v>206.09</v>
      </c>
      <c r="H5351" s="7">
        <v>0</v>
      </c>
      <c r="I5351" s="9" t="s">
        <v>22</v>
      </c>
      <c r="J5351" s="10">
        <v>36.04</v>
      </c>
      <c r="K5351" s="11">
        <v>5.08</v>
      </c>
      <c r="L5351" s="11">
        <v>2.0299999999999998</v>
      </c>
      <c r="M5351" s="9" t="s">
        <v>1915</v>
      </c>
      <c r="N5351" s="6" t="s">
        <v>1905</v>
      </c>
      <c r="O5351" s="6" t="s">
        <v>673</v>
      </c>
      <c r="P5351" s="9" t="s">
        <v>60</v>
      </c>
      <c r="Q5351" s="9" t="s">
        <v>49</v>
      </c>
      <c r="R5351" s="9" t="s">
        <v>50</v>
      </c>
      <c r="S5351" s="7" t="s">
        <v>918</v>
      </c>
      <c r="T5351" s="9" t="s">
        <v>68</v>
      </c>
      <c r="U5351" s="7">
        <v>0.51</v>
      </c>
      <c r="V5351" s="12">
        <f>C5351+2</f>
        <v>41141</v>
      </c>
      <c r="W5351">
        <f>IF(D5351=' Pivot Tables'!$A$4,1,0)</f>
        <v>0</v>
      </c>
      <c r="X5351">
        <f>IF(AND(LEFT(D5351,4)+1=LEFT(' Pivot Tables'!$A$4,4)+0,RIGHT(LEFT(D5351,7),2)=RIGHT(LEFT(' Pivot Tables'!$A$4,7),2)),1,0)</f>
        <v>0</v>
      </c>
      <c r="Y5351" s="6">
        <f>1/COUNTIF(Таблица1[Order ID],Таблица1[[#This Row],[Order ID]])</f>
        <v>0.5</v>
      </c>
      <c r="Z5351" s="9">
        <f>1/COUNTIFS(Таблица1[Customer Name],Таблица1[[#This Row],[Customer Name]],Таблица1[Order-Year-Month],Таблица1[[#This Row],[Order-Year-Month]])</f>
        <v>0.5</v>
      </c>
    </row>
    <row r="5352" spans="1:26" x14ac:dyDescent="0.2">
      <c r="A5352" s="6">
        <v>841</v>
      </c>
      <c r="B5352" s="7">
        <v>6018</v>
      </c>
      <c r="C5352" s="8">
        <f>DATE(2012,12,31)-135</f>
        <v>41139</v>
      </c>
      <c r="D5352" s="8" t="str">
        <f t="shared" si="100"/>
        <v>2012-08 (август 2012)</v>
      </c>
      <c r="E5352" s="9" t="s">
        <v>21</v>
      </c>
      <c r="F5352" s="7">
        <v>2</v>
      </c>
      <c r="G5352" s="7">
        <v>124.25</v>
      </c>
      <c r="H5352" s="7">
        <v>7.0000000000000007E-2</v>
      </c>
      <c r="I5352" s="9" t="s">
        <v>22</v>
      </c>
      <c r="J5352" s="10">
        <v>-55.78</v>
      </c>
      <c r="K5352" s="11">
        <v>55.98</v>
      </c>
      <c r="L5352" s="11">
        <v>13.88</v>
      </c>
      <c r="M5352" s="9" t="s">
        <v>1915</v>
      </c>
      <c r="N5352" s="6" t="s">
        <v>1905</v>
      </c>
      <c r="O5352" s="6" t="s">
        <v>673</v>
      </c>
      <c r="P5352" s="9" t="s">
        <v>60</v>
      </c>
      <c r="Q5352" s="9" t="s">
        <v>26</v>
      </c>
      <c r="R5352" s="9" t="s">
        <v>61</v>
      </c>
      <c r="S5352" s="7" t="s">
        <v>421</v>
      </c>
      <c r="T5352" s="9" t="s">
        <v>39</v>
      </c>
      <c r="U5352" s="7">
        <v>0.36</v>
      </c>
      <c r="V5352" s="12">
        <f>C5352+5</f>
        <v>41144</v>
      </c>
      <c r="W5352">
        <f>IF(D5352=' Pivot Tables'!$A$4,1,0)</f>
        <v>0</v>
      </c>
      <c r="X5352">
        <f>IF(AND(LEFT(D5352,4)+1=LEFT(' Pivot Tables'!$A$4,4)+0,RIGHT(LEFT(D5352,7),2)=RIGHT(LEFT(' Pivot Tables'!$A$4,7),2)),1,0)</f>
        <v>0</v>
      </c>
      <c r="Y5352" s="6">
        <f>1/COUNTIF(Таблица1[Order ID],Таблица1[[#This Row],[Order ID]])</f>
        <v>0.5</v>
      </c>
      <c r="Z5352" s="9">
        <f>1/COUNTIFS(Таблица1[Customer Name],Таблица1[[#This Row],[Customer Name]],Таблица1[Order-Year-Month],Таблица1[[#This Row],[Order-Year-Month]])</f>
        <v>0.5</v>
      </c>
    </row>
    <row r="5353" spans="1:26" x14ac:dyDescent="0.2">
      <c r="A5353" s="6">
        <v>881</v>
      </c>
      <c r="B5353" s="7">
        <v>6336</v>
      </c>
      <c r="C5353" s="8">
        <f>DATE(2012,12,31)-491</f>
        <v>40783</v>
      </c>
      <c r="D5353" s="8" t="str">
        <f t="shared" si="100"/>
        <v>2011-08 (август 2011)</v>
      </c>
      <c r="E5353" s="9" t="s">
        <v>30</v>
      </c>
      <c r="F5353" s="7">
        <v>43</v>
      </c>
      <c r="G5353" s="7">
        <v>320.26</v>
      </c>
      <c r="H5353" s="7">
        <v>0.01</v>
      </c>
      <c r="I5353" s="9" t="s">
        <v>56</v>
      </c>
      <c r="J5353" s="10">
        <v>-84.134</v>
      </c>
      <c r="K5353" s="11">
        <v>7.1</v>
      </c>
      <c r="L5353" s="11">
        <v>6.05</v>
      </c>
      <c r="M5353" s="9" t="s">
        <v>1916</v>
      </c>
      <c r="N5353" s="6" t="s">
        <v>1905</v>
      </c>
      <c r="O5353" s="6" t="s">
        <v>673</v>
      </c>
      <c r="P5353" s="9" t="s">
        <v>60</v>
      </c>
      <c r="Q5353" s="9" t="s">
        <v>26</v>
      </c>
      <c r="R5353" s="9" t="s">
        <v>37</v>
      </c>
      <c r="S5353" s="7" t="s">
        <v>435</v>
      </c>
      <c r="T5353" s="9" t="s">
        <v>39</v>
      </c>
      <c r="U5353" s="7">
        <v>0.39</v>
      </c>
      <c r="V5353" s="12">
        <f>C5353+2</f>
        <v>40785</v>
      </c>
      <c r="W5353">
        <f>IF(D5353=' Pivot Tables'!$A$4,1,0)</f>
        <v>0</v>
      </c>
      <c r="X5353">
        <f>IF(AND(LEFT(D5353,4)+1=LEFT(' Pivot Tables'!$A$4,4)+0,RIGHT(LEFT(D5353,7),2)=RIGHT(LEFT(' Pivot Tables'!$A$4,7),2)),1,0)</f>
        <v>0</v>
      </c>
      <c r="Y5353" s="6">
        <f>1/COUNTIF(Таблица1[Order ID],Таблица1[[#This Row],[Order ID]])</f>
        <v>1</v>
      </c>
      <c r="Z5353" s="9">
        <f>1/COUNTIFS(Таблица1[Customer Name],Таблица1[[#This Row],[Customer Name]],Таблица1[Order-Year-Month],Таблица1[[#This Row],[Order-Year-Month]])</f>
        <v>1</v>
      </c>
    </row>
    <row r="5354" spans="1:26" x14ac:dyDescent="0.2">
      <c r="A5354" s="6">
        <v>1037</v>
      </c>
      <c r="B5354" s="7">
        <v>7559</v>
      </c>
      <c r="C5354" s="8">
        <f>DATE(2012,12,31)-811</f>
        <v>40463</v>
      </c>
      <c r="D5354" s="8" t="str">
        <f t="shared" si="100"/>
        <v>2010-10 (октябрь 2010)</v>
      </c>
      <c r="E5354" s="9" t="s">
        <v>78</v>
      </c>
      <c r="F5354" s="7">
        <v>9</v>
      </c>
      <c r="G5354" s="7">
        <v>90.37</v>
      </c>
      <c r="H5354" s="7">
        <v>0.05</v>
      </c>
      <c r="I5354" s="9" t="s">
        <v>22</v>
      </c>
      <c r="J5354" s="10">
        <v>-374.82</v>
      </c>
      <c r="K5354" s="11">
        <v>4.4800000000000004</v>
      </c>
      <c r="L5354" s="11">
        <v>49</v>
      </c>
      <c r="M5354" s="9" t="s">
        <v>1852</v>
      </c>
      <c r="N5354" s="6" t="s">
        <v>1905</v>
      </c>
      <c r="O5354" s="6" t="s">
        <v>673</v>
      </c>
      <c r="P5354" s="9" t="s">
        <v>41</v>
      </c>
      <c r="Q5354" s="9" t="s">
        <v>26</v>
      </c>
      <c r="R5354" s="9" t="s">
        <v>34</v>
      </c>
      <c r="S5354" s="7" t="s">
        <v>128</v>
      </c>
      <c r="T5354" s="9" t="s">
        <v>29</v>
      </c>
      <c r="U5354" s="7">
        <v>0.6</v>
      </c>
      <c r="V5354" s="12">
        <f>C5354+2</f>
        <v>40465</v>
      </c>
      <c r="W5354">
        <f>IF(D5354=' Pivot Tables'!$A$4,1,0)</f>
        <v>0</v>
      </c>
      <c r="X5354">
        <f>IF(AND(LEFT(D5354,4)+1=LEFT(' Pivot Tables'!$A$4,4)+0,RIGHT(LEFT(D5354,7),2)=RIGHT(LEFT(' Pivot Tables'!$A$4,7),2)),1,0)</f>
        <v>0</v>
      </c>
      <c r="Y5354" s="6">
        <f>1/COUNTIF(Таблица1[Order ID],Таблица1[[#This Row],[Order ID]])</f>
        <v>0.5</v>
      </c>
      <c r="Z5354" s="9">
        <f>1/COUNTIFS(Таблица1[Customer Name],Таблица1[[#This Row],[Customer Name]],Таблица1[Order-Year-Month],Таблица1[[#This Row],[Order-Year-Month]])</f>
        <v>0.5</v>
      </c>
    </row>
    <row r="5355" spans="1:26" x14ac:dyDescent="0.2">
      <c r="A5355" s="6">
        <v>1038</v>
      </c>
      <c r="B5355" s="7">
        <v>7559</v>
      </c>
      <c r="C5355" s="8">
        <f>DATE(2012,12,31)-811</f>
        <v>40463</v>
      </c>
      <c r="D5355" s="8" t="str">
        <f t="shared" si="100"/>
        <v>2010-10 (октябрь 2010)</v>
      </c>
      <c r="E5355" s="9" t="s">
        <v>78</v>
      </c>
      <c r="F5355" s="7">
        <v>39</v>
      </c>
      <c r="G5355" s="7">
        <v>806.05</v>
      </c>
      <c r="H5355" s="7">
        <v>0.04</v>
      </c>
      <c r="I5355" s="9" t="s">
        <v>22</v>
      </c>
      <c r="J5355" s="10">
        <v>-63.39</v>
      </c>
      <c r="K5355" s="11">
        <v>20.95</v>
      </c>
      <c r="L5355" s="11">
        <v>5.99</v>
      </c>
      <c r="M5355" s="9" t="s">
        <v>1852</v>
      </c>
      <c r="N5355" s="6" t="s">
        <v>1905</v>
      </c>
      <c r="O5355" s="6" t="s">
        <v>673</v>
      </c>
      <c r="P5355" s="9" t="s">
        <v>41</v>
      </c>
      <c r="Q5355" s="9" t="s">
        <v>42</v>
      </c>
      <c r="R5355" s="9" t="s">
        <v>70</v>
      </c>
      <c r="S5355" s="7" t="s">
        <v>231</v>
      </c>
      <c r="T5355" s="9" t="s">
        <v>39</v>
      </c>
      <c r="U5355" s="7">
        <v>0.65</v>
      </c>
      <c r="V5355" s="12">
        <f>C5355+1</f>
        <v>40464</v>
      </c>
      <c r="W5355">
        <f>IF(D5355=' Pivot Tables'!$A$4,1,0)</f>
        <v>0</v>
      </c>
      <c r="X5355">
        <f>IF(AND(LEFT(D5355,4)+1=LEFT(' Pivot Tables'!$A$4,4)+0,RIGHT(LEFT(D5355,7),2)=RIGHT(LEFT(' Pivot Tables'!$A$4,7),2)),1,0)</f>
        <v>0</v>
      </c>
      <c r="Y5355" s="6">
        <f>1/COUNTIF(Таблица1[Order ID],Таблица1[[#This Row],[Order ID]])</f>
        <v>0.5</v>
      </c>
      <c r="Z5355" s="9">
        <f>1/COUNTIFS(Таблица1[Customer Name],Таблица1[[#This Row],[Customer Name]],Таблица1[Order-Year-Month],Таблица1[[#This Row],[Order-Year-Month]])</f>
        <v>0.5</v>
      </c>
    </row>
    <row r="5356" spans="1:26" x14ac:dyDescent="0.2">
      <c r="A5356" s="6">
        <v>1091</v>
      </c>
      <c r="B5356" s="7">
        <v>8007</v>
      </c>
      <c r="C5356" s="8">
        <f>DATE(2012,12,31)-324</f>
        <v>40950</v>
      </c>
      <c r="D5356" s="8" t="str">
        <f t="shared" si="100"/>
        <v>2012-02 (февраль 2012)</v>
      </c>
      <c r="E5356" s="9" t="s">
        <v>21</v>
      </c>
      <c r="F5356" s="7">
        <v>35</v>
      </c>
      <c r="G5356" s="7">
        <v>3332.06</v>
      </c>
      <c r="H5356" s="7">
        <v>0.09</v>
      </c>
      <c r="I5356" s="9" t="s">
        <v>22</v>
      </c>
      <c r="J5356" s="10">
        <v>412.63</v>
      </c>
      <c r="K5356" s="11">
        <v>99.99</v>
      </c>
      <c r="L5356" s="11">
        <v>19.989999999999998</v>
      </c>
      <c r="M5356" s="9" t="s">
        <v>1020</v>
      </c>
      <c r="N5356" s="6" t="s">
        <v>1905</v>
      </c>
      <c r="O5356" s="6" t="s">
        <v>673</v>
      </c>
      <c r="P5356" s="9" t="s">
        <v>41</v>
      </c>
      <c r="Q5356" s="9" t="s">
        <v>42</v>
      </c>
      <c r="R5356" s="9" t="s">
        <v>210</v>
      </c>
      <c r="S5356" s="7" t="s">
        <v>409</v>
      </c>
      <c r="T5356" s="9" t="s">
        <v>39</v>
      </c>
      <c r="U5356" s="7">
        <v>0.52</v>
      </c>
      <c r="V5356" s="12">
        <f>C5356+0</f>
        <v>40950</v>
      </c>
      <c r="W5356">
        <f>IF(D5356=' Pivot Tables'!$A$4,1,0)</f>
        <v>0</v>
      </c>
      <c r="X5356">
        <f>IF(AND(LEFT(D5356,4)+1=LEFT(' Pivot Tables'!$A$4,4)+0,RIGHT(LEFT(D5356,7),2)=RIGHT(LEFT(' Pivot Tables'!$A$4,7),2)),1,0)</f>
        <v>0</v>
      </c>
      <c r="Y5356" s="6">
        <f>1/COUNTIF(Таблица1[Order ID],Таблица1[[#This Row],[Order ID]])</f>
        <v>0.5</v>
      </c>
      <c r="Z5356" s="9">
        <f>1/COUNTIFS(Таблица1[Customer Name],Таблица1[[#This Row],[Customer Name]],Таблица1[Order-Year-Month],Таблица1[[#This Row],[Order-Year-Month]])</f>
        <v>0.33333333333333331</v>
      </c>
    </row>
    <row r="5357" spans="1:26" x14ac:dyDescent="0.2">
      <c r="A5357" s="6">
        <v>1100</v>
      </c>
      <c r="B5357" s="7">
        <v>8070</v>
      </c>
      <c r="C5357" s="8">
        <f>DATE(2012,12,31)-338</f>
        <v>40936</v>
      </c>
      <c r="D5357" s="8" t="str">
        <f t="shared" si="100"/>
        <v>2012-01 (январь 2012)</v>
      </c>
      <c r="E5357" s="9" t="s">
        <v>63</v>
      </c>
      <c r="F5357" s="7">
        <v>14</v>
      </c>
      <c r="G5357" s="7">
        <v>622.72</v>
      </c>
      <c r="H5357" s="7">
        <v>0</v>
      </c>
      <c r="I5357" s="9" t="s">
        <v>22</v>
      </c>
      <c r="J5357" s="10">
        <v>76.510000000000005</v>
      </c>
      <c r="K5357" s="11">
        <v>40.97</v>
      </c>
      <c r="L5357" s="11">
        <v>8.99</v>
      </c>
      <c r="M5357" s="9" t="s">
        <v>1913</v>
      </c>
      <c r="N5357" s="6" t="s">
        <v>1905</v>
      </c>
      <c r="O5357" s="6" t="s">
        <v>673</v>
      </c>
      <c r="P5357" s="9" t="s">
        <v>60</v>
      </c>
      <c r="Q5357" s="9" t="s">
        <v>26</v>
      </c>
      <c r="R5357" s="9" t="s">
        <v>95</v>
      </c>
      <c r="S5357" s="7" t="s">
        <v>777</v>
      </c>
      <c r="T5357" s="9" t="s">
        <v>52</v>
      </c>
      <c r="U5357" s="7">
        <v>0.59</v>
      </c>
      <c r="V5357" s="12">
        <f>C5357+1</f>
        <v>40937</v>
      </c>
      <c r="W5357">
        <f>IF(D5357=' Pivot Tables'!$A$4,1,0)</f>
        <v>0</v>
      </c>
      <c r="X5357">
        <f>IF(AND(LEFT(D5357,4)+1=LEFT(' Pivot Tables'!$A$4,4)+0,RIGHT(LEFT(D5357,7),2)=RIGHT(LEFT(' Pivot Tables'!$A$4,7),2)),1,0)</f>
        <v>0</v>
      </c>
      <c r="Y5357" s="6">
        <f>1/COUNTIF(Таблица1[Order ID],Таблица1[[#This Row],[Order ID]])</f>
        <v>1</v>
      </c>
      <c r="Z5357" s="9">
        <f>1/COUNTIFS(Таблица1[Customer Name],Таблица1[[#This Row],[Customer Name]],Таблица1[Order-Year-Month],Таблица1[[#This Row],[Order-Year-Month]])</f>
        <v>1</v>
      </c>
    </row>
    <row r="5358" spans="1:26" x14ac:dyDescent="0.2">
      <c r="A5358" s="6">
        <v>1131</v>
      </c>
      <c r="B5358" s="7">
        <v>8259</v>
      </c>
      <c r="C5358" s="8">
        <f>DATE(2012,12,31)-1353</f>
        <v>39921</v>
      </c>
      <c r="D5358" s="8" t="str">
        <f t="shared" si="100"/>
        <v>2009-04 (апрель 2009)</v>
      </c>
      <c r="E5358" s="9" t="s">
        <v>63</v>
      </c>
      <c r="F5358" s="7">
        <v>25</v>
      </c>
      <c r="G5358" s="7">
        <v>2130.2199999999998</v>
      </c>
      <c r="H5358" s="7">
        <v>0.09</v>
      </c>
      <c r="I5358" s="9" t="s">
        <v>31</v>
      </c>
      <c r="J5358" s="10">
        <v>-584.6</v>
      </c>
      <c r="K5358" s="11">
        <v>89.99</v>
      </c>
      <c r="L5358" s="11">
        <v>42</v>
      </c>
      <c r="M5358" s="9" t="s">
        <v>1904</v>
      </c>
      <c r="N5358" s="6" t="s">
        <v>1905</v>
      </c>
      <c r="O5358" s="6" t="s">
        <v>673</v>
      </c>
      <c r="P5358" s="9" t="s">
        <v>33</v>
      </c>
      <c r="Q5358" s="9" t="s">
        <v>49</v>
      </c>
      <c r="R5358" s="9" t="s">
        <v>112</v>
      </c>
      <c r="S5358" s="7" t="s">
        <v>853</v>
      </c>
      <c r="T5358" s="9" t="s">
        <v>36</v>
      </c>
      <c r="U5358" s="7">
        <v>0.66</v>
      </c>
      <c r="V5358" s="12">
        <f>C5358+0</f>
        <v>39921</v>
      </c>
      <c r="W5358">
        <f>IF(D5358=' Pivot Tables'!$A$4,1,0)</f>
        <v>0</v>
      </c>
      <c r="X5358">
        <f>IF(AND(LEFT(D5358,4)+1=LEFT(' Pivot Tables'!$A$4,4)+0,RIGHT(LEFT(D5358,7),2)=RIGHT(LEFT(' Pivot Tables'!$A$4,7),2)),1,0)</f>
        <v>0</v>
      </c>
      <c r="Y5358" s="6">
        <f>1/COUNTIF(Таблица1[Order ID],Таблица1[[#This Row],[Order ID]])</f>
        <v>1</v>
      </c>
      <c r="Z5358" s="9">
        <f>1/COUNTIFS(Таблица1[Customer Name],Таблица1[[#This Row],[Customer Name]],Таблица1[Order-Year-Month],Таблица1[[#This Row],[Order-Year-Month]])</f>
        <v>1</v>
      </c>
    </row>
    <row r="5359" spans="1:26" x14ac:dyDescent="0.2">
      <c r="A5359" s="6">
        <v>1180</v>
      </c>
      <c r="B5359" s="7">
        <v>8642</v>
      </c>
      <c r="C5359" s="8">
        <f>DATE(2012,12,31)-1080</f>
        <v>40194</v>
      </c>
      <c r="D5359" s="8" t="str">
        <f t="shared" si="100"/>
        <v>2010-01 (январь 2010)</v>
      </c>
      <c r="E5359" s="9" t="s">
        <v>30</v>
      </c>
      <c r="F5359" s="7">
        <v>26</v>
      </c>
      <c r="G5359" s="7">
        <v>151.05000000000001</v>
      </c>
      <c r="H5359" s="7">
        <v>0.09</v>
      </c>
      <c r="I5359" s="9" t="s">
        <v>22</v>
      </c>
      <c r="J5359" s="10">
        <v>-76.141499999999994</v>
      </c>
      <c r="K5359" s="11">
        <v>5.8</v>
      </c>
      <c r="L5359" s="11">
        <v>5.59</v>
      </c>
      <c r="M5359" s="9" t="s">
        <v>1852</v>
      </c>
      <c r="N5359" s="6" t="s">
        <v>1905</v>
      </c>
      <c r="O5359" s="6" t="s">
        <v>673</v>
      </c>
      <c r="P5359" s="9" t="s">
        <v>41</v>
      </c>
      <c r="Q5359" s="9" t="s">
        <v>26</v>
      </c>
      <c r="R5359" s="9" t="s">
        <v>37</v>
      </c>
      <c r="S5359" s="7" t="s">
        <v>991</v>
      </c>
      <c r="T5359" s="9" t="s">
        <v>39</v>
      </c>
      <c r="U5359" s="7">
        <v>0.4</v>
      </c>
      <c r="V5359" s="12">
        <f>C5359+1</f>
        <v>40195</v>
      </c>
      <c r="W5359">
        <f>IF(D5359=' Pivot Tables'!$A$4,1,0)</f>
        <v>1</v>
      </c>
      <c r="X5359">
        <f>IF(AND(LEFT(D5359,4)+1=LEFT(' Pivot Tables'!$A$4,4)+0,RIGHT(LEFT(D5359,7),2)=RIGHT(LEFT(' Pivot Tables'!$A$4,7),2)),1,0)</f>
        <v>0</v>
      </c>
      <c r="Y5359" s="6">
        <f>1/COUNTIF(Таблица1[Order ID],Таблица1[[#This Row],[Order ID]])</f>
        <v>0.5</v>
      </c>
      <c r="Z5359" s="9">
        <f>1/COUNTIFS(Таблица1[Customer Name],Таблица1[[#This Row],[Customer Name]],Таблица1[Order-Year-Month],Таблица1[[#This Row],[Order-Year-Month]])</f>
        <v>0.5</v>
      </c>
    </row>
    <row r="5360" spans="1:26" x14ac:dyDescent="0.2">
      <c r="A5360" s="6">
        <v>1181</v>
      </c>
      <c r="B5360" s="7">
        <v>8642</v>
      </c>
      <c r="C5360" s="8">
        <f>DATE(2012,12,31)-1080</f>
        <v>40194</v>
      </c>
      <c r="D5360" s="8" t="str">
        <f t="shared" si="100"/>
        <v>2010-01 (январь 2010)</v>
      </c>
      <c r="E5360" s="9" t="s">
        <v>30</v>
      </c>
      <c r="F5360" s="7">
        <v>13</v>
      </c>
      <c r="G5360" s="7">
        <v>133.04</v>
      </c>
      <c r="H5360" s="7">
        <v>0.04</v>
      </c>
      <c r="I5360" s="9" t="s">
        <v>22</v>
      </c>
      <c r="J5360" s="10">
        <v>49.69</v>
      </c>
      <c r="K5360" s="11">
        <v>10.35</v>
      </c>
      <c r="L5360" s="11">
        <v>0.99</v>
      </c>
      <c r="M5360" s="9" t="s">
        <v>1852</v>
      </c>
      <c r="N5360" s="6" t="s">
        <v>1905</v>
      </c>
      <c r="O5360" s="6" t="s">
        <v>673</v>
      </c>
      <c r="P5360" s="9" t="s">
        <v>41</v>
      </c>
      <c r="Q5360" s="9" t="s">
        <v>26</v>
      </c>
      <c r="R5360" s="9" t="s">
        <v>88</v>
      </c>
      <c r="S5360" s="7" t="s">
        <v>1360</v>
      </c>
      <c r="T5360" s="9" t="s">
        <v>39</v>
      </c>
      <c r="U5360" s="7">
        <v>0.37</v>
      </c>
      <c r="V5360" s="12">
        <f>C5360+1</f>
        <v>40195</v>
      </c>
      <c r="W5360">
        <f>IF(D5360=' Pivot Tables'!$A$4,1,0)</f>
        <v>1</v>
      </c>
      <c r="X5360">
        <f>IF(AND(LEFT(D5360,4)+1=LEFT(' Pivot Tables'!$A$4,4)+0,RIGHT(LEFT(D5360,7),2)=RIGHT(LEFT(' Pivot Tables'!$A$4,7),2)),1,0)</f>
        <v>0</v>
      </c>
      <c r="Y5360" s="6">
        <f>1/COUNTIF(Таблица1[Order ID],Таблица1[[#This Row],[Order ID]])</f>
        <v>0.5</v>
      </c>
      <c r="Z5360" s="9">
        <f>1/COUNTIFS(Таблица1[Customer Name],Таблица1[[#This Row],[Customer Name]],Таблица1[Order-Year-Month],Таблица1[[#This Row],[Order-Year-Month]])</f>
        <v>0.5</v>
      </c>
    </row>
    <row r="5361" spans="1:26" x14ac:dyDescent="0.2">
      <c r="A5361" s="6">
        <v>1200</v>
      </c>
      <c r="B5361" s="7">
        <v>8803</v>
      </c>
      <c r="C5361" s="8">
        <f>DATE(2012,12,31)-11</f>
        <v>41263</v>
      </c>
      <c r="D5361" s="8" t="str">
        <f t="shared" si="100"/>
        <v>2012-12 (декабрь 2012)</v>
      </c>
      <c r="E5361" s="9" t="s">
        <v>45</v>
      </c>
      <c r="F5361" s="7">
        <v>6</v>
      </c>
      <c r="G5361" s="7">
        <v>1184.1099999999999</v>
      </c>
      <c r="H5361" s="7">
        <v>7.0000000000000007E-2</v>
      </c>
      <c r="I5361" s="9" t="s">
        <v>22</v>
      </c>
      <c r="J5361" s="10">
        <v>-145.07</v>
      </c>
      <c r="K5361" s="11">
        <v>193.17</v>
      </c>
      <c r="L5361" s="11">
        <v>19.989999999999998</v>
      </c>
      <c r="M5361" s="9" t="s">
        <v>1912</v>
      </c>
      <c r="N5361" s="6" t="s">
        <v>1905</v>
      </c>
      <c r="O5361" s="6" t="s">
        <v>673</v>
      </c>
      <c r="P5361" s="9" t="s">
        <v>41</v>
      </c>
      <c r="Q5361" s="9" t="s">
        <v>26</v>
      </c>
      <c r="R5361" s="9" t="s">
        <v>27</v>
      </c>
      <c r="S5361" s="7" t="s">
        <v>338</v>
      </c>
      <c r="T5361" s="9" t="s">
        <v>39</v>
      </c>
      <c r="U5361" s="7">
        <v>0.71</v>
      </c>
      <c r="V5361" s="12">
        <f>C5361+1</f>
        <v>41264</v>
      </c>
      <c r="W5361">
        <f>IF(D5361=' Pivot Tables'!$A$4,1,0)</f>
        <v>0</v>
      </c>
      <c r="X5361">
        <f>IF(AND(LEFT(D5361,4)+1=LEFT(' Pivot Tables'!$A$4,4)+0,RIGHT(LEFT(D5361,7),2)=RIGHT(LEFT(' Pivot Tables'!$A$4,7),2)),1,0)</f>
        <v>0</v>
      </c>
      <c r="Y5361" s="6">
        <f>1/COUNTIF(Таблица1[Order ID],Таблица1[[#This Row],[Order ID]])</f>
        <v>0.5</v>
      </c>
      <c r="Z5361" s="9">
        <f>1/COUNTIFS(Таблица1[Customer Name],Таблица1[[#This Row],[Customer Name]],Таблица1[Order-Year-Month],Таблица1[[#This Row],[Order-Year-Month]])</f>
        <v>0.5</v>
      </c>
    </row>
    <row r="5362" spans="1:26" x14ac:dyDescent="0.2">
      <c r="A5362" s="6">
        <v>1201</v>
      </c>
      <c r="B5362" s="7">
        <v>8803</v>
      </c>
      <c r="C5362" s="8">
        <f>DATE(2012,12,31)-11</f>
        <v>41263</v>
      </c>
      <c r="D5362" s="8" t="str">
        <f t="shared" si="100"/>
        <v>2012-12 (декабрь 2012)</v>
      </c>
      <c r="E5362" s="9" t="s">
        <v>45</v>
      </c>
      <c r="F5362" s="7">
        <v>17</v>
      </c>
      <c r="G5362" s="7">
        <v>514.22</v>
      </c>
      <c r="H5362" s="7">
        <v>0.02</v>
      </c>
      <c r="I5362" s="9" t="s">
        <v>22</v>
      </c>
      <c r="J5362" s="10">
        <v>187.374</v>
      </c>
      <c r="K5362" s="11">
        <v>30.56</v>
      </c>
      <c r="L5362" s="11">
        <v>2.99</v>
      </c>
      <c r="M5362" s="9" t="s">
        <v>1912</v>
      </c>
      <c r="N5362" s="6" t="s">
        <v>1905</v>
      </c>
      <c r="O5362" s="6" t="s">
        <v>673</v>
      </c>
      <c r="P5362" s="9" t="s">
        <v>41</v>
      </c>
      <c r="Q5362" s="9" t="s">
        <v>26</v>
      </c>
      <c r="R5362" s="9" t="s">
        <v>37</v>
      </c>
      <c r="S5362" s="7" t="s">
        <v>250</v>
      </c>
      <c r="T5362" s="9" t="s">
        <v>39</v>
      </c>
      <c r="U5362" s="7">
        <v>0.35</v>
      </c>
      <c r="V5362" s="12">
        <f>C5362+3</f>
        <v>41266</v>
      </c>
      <c r="W5362">
        <f>IF(D5362=' Pivot Tables'!$A$4,1,0)</f>
        <v>0</v>
      </c>
      <c r="X5362">
        <f>IF(AND(LEFT(D5362,4)+1=LEFT(' Pivot Tables'!$A$4,4)+0,RIGHT(LEFT(D5362,7),2)=RIGHT(LEFT(' Pivot Tables'!$A$4,7),2)),1,0)</f>
        <v>0</v>
      </c>
      <c r="Y5362" s="6">
        <f>1/COUNTIF(Таблица1[Order ID],Таблица1[[#This Row],[Order ID]])</f>
        <v>0.5</v>
      </c>
      <c r="Z5362" s="9">
        <f>1/COUNTIFS(Таблица1[Customer Name],Таблица1[[#This Row],[Customer Name]],Таблица1[Order-Year-Month],Таблица1[[#This Row],[Order-Year-Month]])</f>
        <v>0.5</v>
      </c>
    </row>
    <row r="5363" spans="1:26" x14ac:dyDescent="0.2">
      <c r="A5363" s="6">
        <v>1287</v>
      </c>
      <c r="B5363" s="7">
        <v>9383</v>
      </c>
      <c r="C5363" s="8">
        <f>DATE(2012,12,31)-1386</f>
        <v>39888</v>
      </c>
      <c r="D5363" s="8" t="str">
        <f t="shared" si="100"/>
        <v>2009-03 (март 2009)</v>
      </c>
      <c r="E5363" s="9" t="s">
        <v>45</v>
      </c>
      <c r="F5363" s="7">
        <v>11</v>
      </c>
      <c r="G5363" s="7">
        <v>82.42</v>
      </c>
      <c r="H5363" s="7">
        <v>7.0000000000000007E-2</v>
      </c>
      <c r="I5363" s="9" t="s">
        <v>22</v>
      </c>
      <c r="J5363" s="10">
        <v>18.53</v>
      </c>
      <c r="K5363" s="11">
        <v>7.59</v>
      </c>
      <c r="L5363" s="11">
        <v>4</v>
      </c>
      <c r="M5363" s="9" t="s">
        <v>1908</v>
      </c>
      <c r="N5363" s="6" t="s">
        <v>1905</v>
      </c>
      <c r="O5363" s="6" t="s">
        <v>673</v>
      </c>
      <c r="P5363" s="9" t="s">
        <v>41</v>
      </c>
      <c r="Q5363" s="9" t="s">
        <v>49</v>
      </c>
      <c r="R5363" s="9" t="s">
        <v>50</v>
      </c>
      <c r="S5363" s="7" t="s">
        <v>504</v>
      </c>
      <c r="T5363" s="9" t="s">
        <v>68</v>
      </c>
      <c r="U5363" s="7">
        <v>0.42</v>
      </c>
      <c r="V5363" s="12">
        <f>C5363+2</f>
        <v>39890</v>
      </c>
      <c r="W5363">
        <f>IF(D5363=' Pivot Tables'!$A$4,1,0)</f>
        <v>0</v>
      </c>
      <c r="X5363">
        <f>IF(AND(LEFT(D5363,4)+1=LEFT(' Pivot Tables'!$A$4,4)+0,RIGHT(LEFT(D5363,7),2)=RIGHT(LEFT(' Pivot Tables'!$A$4,7),2)),1,0)</f>
        <v>0</v>
      </c>
      <c r="Y5363" s="6">
        <f>1/COUNTIF(Таблица1[Order ID],Таблица1[[#This Row],[Order ID]])</f>
        <v>1</v>
      </c>
      <c r="Z5363" s="9">
        <f>1/COUNTIFS(Таблица1[Customer Name],Таблица1[[#This Row],[Customer Name]],Таблица1[Order-Year-Month],Таблица1[[#This Row],[Order-Year-Month]])</f>
        <v>1</v>
      </c>
    </row>
    <row r="5364" spans="1:26" x14ac:dyDescent="0.2">
      <c r="A5364" s="6">
        <v>1418</v>
      </c>
      <c r="B5364" s="7">
        <v>10278</v>
      </c>
      <c r="C5364" s="8">
        <f>DATE(2012,12,31)-476</f>
        <v>40798</v>
      </c>
      <c r="D5364" s="8" t="str">
        <f t="shared" si="100"/>
        <v>2011-09 (сентябрь 2011)</v>
      </c>
      <c r="E5364" s="9" t="s">
        <v>21</v>
      </c>
      <c r="F5364" s="7">
        <v>25</v>
      </c>
      <c r="G5364" s="7">
        <v>1907.71</v>
      </c>
      <c r="H5364" s="7">
        <v>0</v>
      </c>
      <c r="I5364" s="9" t="s">
        <v>31</v>
      </c>
      <c r="J5364" s="10">
        <v>32.549999999999997</v>
      </c>
      <c r="K5364" s="11">
        <v>70.98</v>
      </c>
      <c r="L5364" s="11">
        <v>26.74</v>
      </c>
      <c r="M5364" s="9" t="s">
        <v>1913</v>
      </c>
      <c r="N5364" s="6" t="s">
        <v>1905</v>
      </c>
      <c r="O5364" s="6" t="s">
        <v>673</v>
      </c>
      <c r="P5364" s="9" t="s">
        <v>60</v>
      </c>
      <c r="Q5364" s="9" t="s">
        <v>49</v>
      </c>
      <c r="R5364" s="9" t="s">
        <v>80</v>
      </c>
      <c r="S5364" s="7" t="s">
        <v>675</v>
      </c>
      <c r="T5364" s="9" t="s">
        <v>82</v>
      </c>
      <c r="U5364" s="7">
        <v>0.6</v>
      </c>
      <c r="V5364" s="12">
        <f>C5364+7</f>
        <v>40805</v>
      </c>
      <c r="W5364">
        <f>IF(D5364=' Pivot Tables'!$A$4,1,0)</f>
        <v>0</v>
      </c>
      <c r="X5364">
        <f>IF(AND(LEFT(D5364,4)+1=LEFT(' Pivot Tables'!$A$4,4)+0,RIGHT(LEFT(D5364,7),2)=RIGHT(LEFT(' Pivot Tables'!$A$4,7),2)),1,0)</f>
        <v>0</v>
      </c>
      <c r="Y5364" s="6">
        <f>1/COUNTIF(Таблица1[Order ID],Таблица1[[#This Row],[Order ID]])</f>
        <v>1</v>
      </c>
      <c r="Z5364" s="9">
        <f>1/COUNTIFS(Таблица1[Customer Name],Таблица1[[#This Row],[Customer Name]],Таблица1[Order-Year-Month],Таблица1[[#This Row],[Order-Year-Month]])</f>
        <v>1</v>
      </c>
    </row>
    <row r="5365" spans="1:26" x14ac:dyDescent="0.2">
      <c r="A5365" s="6">
        <v>1515</v>
      </c>
      <c r="B5365" s="7">
        <v>10949</v>
      </c>
      <c r="C5365" s="8">
        <f>DATE(2012,12,31)-1372</f>
        <v>39902</v>
      </c>
      <c r="D5365" s="8" t="str">
        <f t="shared" si="100"/>
        <v>2009-03 (март 2009)</v>
      </c>
      <c r="E5365" s="9" t="s">
        <v>63</v>
      </c>
      <c r="F5365" s="7">
        <v>46</v>
      </c>
      <c r="G5365" s="7">
        <v>3449.26</v>
      </c>
      <c r="H5365" s="7">
        <v>0.1</v>
      </c>
      <c r="I5365" s="9" t="s">
        <v>31</v>
      </c>
      <c r="J5365" s="10">
        <v>252.77</v>
      </c>
      <c r="K5365" s="11">
        <v>80.97</v>
      </c>
      <c r="L5365" s="11">
        <v>30.06</v>
      </c>
      <c r="M5365" s="9" t="s">
        <v>1917</v>
      </c>
      <c r="N5365" s="6" t="s">
        <v>1905</v>
      </c>
      <c r="O5365" s="6" t="s">
        <v>673</v>
      </c>
      <c r="P5365" s="9" t="s">
        <v>25</v>
      </c>
      <c r="Q5365" s="9" t="s">
        <v>42</v>
      </c>
      <c r="R5365" s="9" t="s">
        <v>210</v>
      </c>
      <c r="S5365" s="7" t="s">
        <v>1035</v>
      </c>
      <c r="T5365" s="9" t="s">
        <v>82</v>
      </c>
      <c r="U5365" s="7">
        <v>0.4</v>
      </c>
      <c r="V5365" s="12">
        <f>C5365+1</f>
        <v>39903</v>
      </c>
      <c r="W5365">
        <f>IF(D5365=' Pivot Tables'!$A$4,1,0)</f>
        <v>0</v>
      </c>
      <c r="X5365">
        <f>IF(AND(LEFT(D5365,4)+1=LEFT(' Pivot Tables'!$A$4,4)+0,RIGHT(LEFT(D5365,7),2)=RIGHT(LEFT(' Pivot Tables'!$A$4,7),2)),1,0)</f>
        <v>0</v>
      </c>
      <c r="Y5365" s="6">
        <f>1/COUNTIF(Таблица1[Order ID],Таблица1[[#This Row],[Order ID]])</f>
        <v>1</v>
      </c>
      <c r="Z5365" s="9">
        <f>1/COUNTIFS(Таблица1[Customer Name],Таблица1[[#This Row],[Customer Name]],Таблица1[Order-Year-Month],Таблица1[[#This Row],[Order-Year-Month]])</f>
        <v>1</v>
      </c>
    </row>
    <row r="5366" spans="1:26" x14ac:dyDescent="0.2">
      <c r="A5366" s="6">
        <v>1569</v>
      </c>
      <c r="B5366" s="7">
        <v>11335</v>
      </c>
      <c r="C5366" s="8">
        <f>DATE(2012,12,31)-1167</f>
        <v>40107</v>
      </c>
      <c r="D5366" s="8" t="str">
        <f t="shared" si="100"/>
        <v>2009-10 (октябрь 2009)</v>
      </c>
      <c r="E5366" s="9" t="s">
        <v>30</v>
      </c>
      <c r="F5366" s="7">
        <v>3</v>
      </c>
      <c r="G5366" s="7">
        <v>14.84</v>
      </c>
      <c r="H5366" s="7">
        <v>0.08</v>
      </c>
      <c r="I5366" s="9" t="s">
        <v>22</v>
      </c>
      <c r="J5366" s="10">
        <v>-2.42</v>
      </c>
      <c r="K5366" s="11">
        <v>4.9800000000000004</v>
      </c>
      <c r="L5366" s="11">
        <v>0.49</v>
      </c>
      <c r="M5366" s="9" t="s">
        <v>1020</v>
      </c>
      <c r="N5366" s="6" t="s">
        <v>1905</v>
      </c>
      <c r="O5366" s="6" t="s">
        <v>673</v>
      </c>
      <c r="P5366" s="9" t="s">
        <v>41</v>
      </c>
      <c r="Q5366" s="9" t="s">
        <v>26</v>
      </c>
      <c r="R5366" s="9" t="s">
        <v>88</v>
      </c>
      <c r="S5366" s="7" t="s">
        <v>836</v>
      </c>
      <c r="T5366" s="9" t="s">
        <v>39</v>
      </c>
      <c r="U5366" s="7">
        <v>0.39</v>
      </c>
      <c r="V5366" s="12">
        <f>C5366+1</f>
        <v>40108</v>
      </c>
      <c r="W5366">
        <f>IF(D5366=' Pivot Tables'!$A$4,1,0)</f>
        <v>0</v>
      </c>
      <c r="X5366">
        <f>IF(AND(LEFT(D5366,4)+1=LEFT(' Pivot Tables'!$A$4,4)+0,RIGHT(LEFT(D5366,7),2)=RIGHT(LEFT(' Pivot Tables'!$A$4,7),2)),1,0)</f>
        <v>0</v>
      </c>
      <c r="Y5366" s="6">
        <f>1/COUNTIF(Таблица1[Order ID],Таблица1[[#This Row],[Order ID]])</f>
        <v>0.5</v>
      </c>
      <c r="Z5366" s="9">
        <f>1/COUNTIFS(Таблица1[Customer Name],Таблица1[[#This Row],[Customer Name]],Таблица1[Order-Year-Month],Таблица1[[#This Row],[Order-Year-Month]])</f>
        <v>0.5</v>
      </c>
    </row>
    <row r="5367" spans="1:26" x14ac:dyDescent="0.2">
      <c r="A5367" s="6">
        <v>1570</v>
      </c>
      <c r="B5367" s="7">
        <v>11335</v>
      </c>
      <c r="C5367" s="8">
        <f>DATE(2012,12,31)-1167</f>
        <v>40107</v>
      </c>
      <c r="D5367" s="8" t="str">
        <f t="shared" si="100"/>
        <v>2009-10 (октябрь 2009)</v>
      </c>
      <c r="E5367" s="9" t="s">
        <v>30</v>
      </c>
      <c r="F5367" s="7">
        <v>8</v>
      </c>
      <c r="G5367" s="7">
        <v>922.47</v>
      </c>
      <c r="H5367" s="7">
        <v>0.09</v>
      </c>
      <c r="I5367" s="9" t="s">
        <v>31</v>
      </c>
      <c r="J5367" s="10">
        <v>-13.1022</v>
      </c>
      <c r="K5367" s="11">
        <v>119.99</v>
      </c>
      <c r="L5367" s="11">
        <v>14</v>
      </c>
      <c r="M5367" s="9" t="s">
        <v>1020</v>
      </c>
      <c r="N5367" s="6" t="s">
        <v>1905</v>
      </c>
      <c r="O5367" s="6" t="s">
        <v>673</v>
      </c>
      <c r="P5367" s="9" t="s">
        <v>41</v>
      </c>
      <c r="Q5367" s="9" t="s">
        <v>42</v>
      </c>
      <c r="R5367" s="9" t="s">
        <v>210</v>
      </c>
      <c r="S5367" s="7" t="s">
        <v>1095</v>
      </c>
      <c r="T5367" s="9" t="s">
        <v>36</v>
      </c>
      <c r="U5367" s="7">
        <v>0.36</v>
      </c>
      <c r="V5367" s="12">
        <f>C5367+2</f>
        <v>40109</v>
      </c>
      <c r="W5367">
        <f>IF(D5367=' Pivot Tables'!$A$4,1,0)</f>
        <v>0</v>
      </c>
      <c r="X5367">
        <f>IF(AND(LEFT(D5367,4)+1=LEFT(' Pivot Tables'!$A$4,4)+0,RIGHT(LEFT(D5367,7),2)=RIGHT(LEFT(' Pivot Tables'!$A$4,7),2)),1,0)</f>
        <v>0</v>
      </c>
      <c r="Y5367" s="6">
        <f>1/COUNTIF(Таблица1[Order ID],Таблица1[[#This Row],[Order ID]])</f>
        <v>0.5</v>
      </c>
      <c r="Z5367" s="9">
        <f>1/COUNTIFS(Таблица1[Customer Name],Таблица1[[#This Row],[Customer Name]],Таблица1[Order-Year-Month],Таблица1[[#This Row],[Order-Year-Month]])</f>
        <v>0.5</v>
      </c>
    </row>
    <row r="5368" spans="1:26" x14ac:dyDescent="0.2">
      <c r="A5368" s="6">
        <v>1719</v>
      </c>
      <c r="B5368" s="7">
        <v>12355</v>
      </c>
      <c r="C5368" s="8">
        <f>DATE(2012,12,31)-583</f>
        <v>40691</v>
      </c>
      <c r="D5368" s="8" t="str">
        <f t="shared" si="100"/>
        <v>2011-05 (май 2011)</v>
      </c>
      <c r="E5368" s="9" t="s">
        <v>45</v>
      </c>
      <c r="F5368" s="7">
        <v>36</v>
      </c>
      <c r="G5368" s="7">
        <v>209.53</v>
      </c>
      <c r="H5368" s="7">
        <v>0.03</v>
      </c>
      <c r="I5368" s="9" t="s">
        <v>22</v>
      </c>
      <c r="J5368" s="10">
        <v>-81.06</v>
      </c>
      <c r="K5368" s="11">
        <v>5.78</v>
      </c>
      <c r="L5368" s="11">
        <v>5.67</v>
      </c>
      <c r="M5368" s="9" t="s">
        <v>1028</v>
      </c>
      <c r="N5368" s="6" t="s">
        <v>1905</v>
      </c>
      <c r="O5368" s="6" t="s">
        <v>673</v>
      </c>
      <c r="P5368" s="9" t="s">
        <v>41</v>
      </c>
      <c r="Q5368" s="9" t="s">
        <v>26</v>
      </c>
      <c r="R5368" s="9" t="s">
        <v>61</v>
      </c>
      <c r="S5368" s="7" t="s">
        <v>587</v>
      </c>
      <c r="T5368" s="9" t="s">
        <v>39</v>
      </c>
      <c r="U5368" s="7">
        <v>0.36</v>
      </c>
      <c r="V5368" s="12">
        <f>C5368+1</f>
        <v>40692</v>
      </c>
      <c r="W5368">
        <f>IF(D5368=' Pivot Tables'!$A$4,1,0)</f>
        <v>0</v>
      </c>
      <c r="X5368">
        <f>IF(AND(LEFT(D5368,4)+1=LEFT(' Pivot Tables'!$A$4,4)+0,RIGHT(LEFT(D5368,7),2)=RIGHT(LEFT(' Pivot Tables'!$A$4,7),2)),1,0)</f>
        <v>0</v>
      </c>
      <c r="Y5368" s="6">
        <f>1/COUNTIF(Таблица1[Order ID],Таблица1[[#This Row],[Order ID]])</f>
        <v>0.33333333333333331</v>
      </c>
      <c r="Z5368" s="9">
        <f>1/COUNTIFS(Таблица1[Customer Name],Таблица1[[#This Row],[Customer Name]],Таблица1[Order-Year-Month],Таблица1[[#This Row],[Order-Year-Month]])</f>
        <v>0.33333333333333331</v>
      </c>
    </row>
    <row r="5369" spans="1:26" x14ac:dyDescent="0.2">
      <c r="A5369" s="6">
        <v>1720</v>
      </c>
      <c r="B5369" s="7">
        <v>12355</v>
      </c>
      <c r="C5369" s="8">
        <f>DATE(2012,12,31)-583</f>
        <v>40691</v>
      </c>
      <c r="D5369" s="8" t="str">
        <f t="shared" si="100"/>
        <v>2011-05 (май 2011)</v>
      </c>
      <c r="E5369" s="9" t="s">
        <v>45</v>
      </c>
      <c r="F5369" s="7">
        <v>14</v>
      </c>
      <c r="G5369" s="7">
        <v>225.47</v>
      </c>
      <c r="H5369" s="7">
        <v>0</v>
      </c>
      <c r="I5369" s="9" t="s">
        <v>22</v>
      </c>
      <c r="J5369" s="10">
        <v>-29.07</v>
      </c>
      <c r="K5369" s="11">
        <v>14.97</v>
      </c>
      <c r="L5369" s="11">
        <v>7.51</v>
      </c>
      <c r="M5369" s="9" t="s">
        <v>1028</v>
      </c>
      <c r="N5369" s="6" t="s">
        <v>1905</v>
      </c>
      <c r="O5369" s="6" t="s">
        <v>673</v>
      </c>
      <c r="P5369" s="9" t="s">
        <v>41</v>
      </c>
      <c r="Q5369" s="9" t="s">
        <v>26</v>
      </c>
      <c r="R5369" s="9" t="s">
        <v>27</v>
      </c>
      <c r="S5369" s="7" t="s">
        <v>394</v>
      </c>
      <c r="T5369" s="9" t="s">
        <v>39</v>
      </c>
      <c r="U5369" s="7">
        <v>0.56999999999999995</v>
      </c>
      <c r="V5369" s="12">
        <f>C5369+1</f>
        <v>40692</v>
      </c>
      <c r="W5369">
        <f>IF(D5369=' Pivot Tables'!$A$4,1,0)</f>
        <v>0</v>
      </c>
      <c r="X5369">
        <f>IF(AND(LEFT(D5369,4)+1=LEFT(' Pivot Tables'!$A$4,4)+0,RIGHT(LEFT(D5369,7),2)=RIGHT(LEFT(' Pivot Tables'!$A$4,7),2)),1,0)</f>
        <v>0</v>
      </c>
      <c r="Y5369" s="6">
        <f>1/COUNTIF(Таблица1[Order ID],Таблица1[[#This Row],[Order ID]])</f>
        <v>0.33333333333333331</v>
      </c>
      <c r="Z5369" s="9">
        <f>1/COUNTIFS(Таблица1[Customer Name],Таблица1[[#This Row],[Customer Name]],Таблица1[Order-Year-Month],Таблица1[[#This Row],[Order-Year-Month]])</f>
        <v>0.33333333333333331</v>
      </c>
    </row>
    <row r="5370" spans="1:26" x14ac:dyDescent="0.2">
      <c r="A5370" s="6">
        <v>1834</v>
      </c>
      <c r="B5370" s="7">
        <v>13127</v>
      </c>
      <c r="C5370" s="8">
        <f>DATE(2012,12,31)-884</f>
        <v>40390</v>
      </c>
      <c r="D5370" s="8" t="str">
        <f t="shared" si="100"/>
        <v>2010-07 (июль 2010)</v>
      </c>
      <c r="E5370" s="9" t="s">
        <v>63</v>
      </c>
      <c r="F5370" s="7">
        <v>13</v>
      </c>
      <c r="G5370" s="7">
        <v>951.31</v>
      </c>
      <c r="H5370" s="7">
        <v>0.06</v>
      </c>
      <c r="I5370" s="9" t="s">
        <v>31</v>
      </c>
      <c r="J5370" s="10">
        <v>-333.07</v>
      </c>
      <c r="K5370" s="11">
        <v>68.81</v>
      </c>
      <c r="L5370" s="11">
        <v>60</v>
      </c>
      <c r="M5370" s="9" t="s">
        <v>1906</v>
      </c>
      <c r="N5370" s="6" t="s">
        <v>1905</v>
      </c>
      <c r="O5370" s="6" t="s">
        <v>673</v>
      </c>
      <c r="P5370" s="9" t="s">
        <v>60</v>
      </c>
      <c r="Q5370" s="9" t="s">
        <v>26</v>
      </c>
      <c r="R5370" s="9" t="s">
        <v>34</v>
      </c>
      <c r="S5370" s="7" t="s">
        <v>605</v>
      </c>
      <c r="T5370" s="9" t="s">
        <v>36</v>
      </c>
      <c r="U5370" s="7">
        <v>0.41</v>
      </c>
      <c r="V5370" s="12">
        <f>C5370+3</f>
        <v>40393</v>
      </c>
      <c r="W5370">
        <f>IF(D5370=' Pivot Tables'!$A$4,1,0)</f>
        <v>0</v>
      </c>
      <c r="X5370">
        <f>IF(AND(LEFT(D5370,4)+1=LEFT(' Pivot Tables'!$A$4,4)+0,RIGHT(LEFT(D5370,7),2)=RIGHT(LEFT(' Pivot Tables'!$A$4,7),2)),1,0)</f>
        <v>0</v>
      </c>
      <c r="Y5370" s="6">
        <f>1/COUNTIF(Таблица1[Order ID],Таблица1[[#This Row],[Order ID]])</f>
        <v>1</v>
      </c>
      <c r="Z5370" s="9">
        <f>1/COUNTIFS(Таблица1[Customer Name],Таблица1[[#This Row],[Customer Name]],Таблица1[Order-Year-Month],Таблица1[[#This Row],[Order-Year-Month]])</f>
        <v>1</v>
      </c>
    </row>
    <row r="5371" spans="1:26" x14ac:dyDescent="0.2">
      <c r="A5371" s="6">
        <v>2092</v>
      </c>
      <c r="B5371" s="7">
        <v>14978</v>
      </c>
      <c r="C5371" s="8">
        <f>DATE(2012,12,31)-949</f>
        <v>40325</v>
      </c>
      <c r="D5371" s="8" t="str">
        <f t="shared" si="100"/>
        <v>2010-05 (май 2010)</v>
      </c>
      <c r="E5371" s="9" t="s">
        <v>78</v>
      </c>
      <c r="F5371" s="7">
        <v>14</v>
      </c>
      <c r="G5371" s="7">
        <v>12043.88</v>
      </c>
      <c r="H5371" s="7">
        <v>7.0000000000000007E-2</v>
      </c>
      <c r="I5371" s="9" t="s">
        <v>31</v>
      </c>
      <c r="J5371" s="10">
        <v>2011.31</v>
      </c>
      <c r="K5371" s="11">
        <v>880.98</v>
      </c>
      <c r="L5371" s="11">
        <v>44.55</v>
      </c>
      <c r="M5371" s="9" t="s">
        <v>1910</v>
      </c>
      <c r="N5371" s="6" t="s">
        <v>1905</v>
      </c>
      <c r="O5371" s="6" t="s">
        <v>673</v>
      </c>
      <c r="P5371" s="9" t="s">
        <v>41</v>
      </c>
      <c r="Q5371" s="9" t="s">
        <v>49</v>
      </c>
      <c r="R5371" s="9" t="s">
        <v>80</v>
      </c>
      <c r="S5371" s="7" t="s">
        <v>301</v>
      </c>
      <c r="T5371" s="9" t="s">
        <v>82</v>
      </c>
      <c r="U5371" s="7">
        <v>0.62</v>
      </c>
      <c r="V5371" s="12">
        <f>C5371+1</f>
        <v>40326</v>
      </c>
      <c r="W5371">
        <f>IF(D5371=' Pivot Tables'!$A$4,1,0)</f>
        <v>0</v>
      </c>
      <c r="X5371">
        <f>IF(AND(LEFT(D5371,4)+1=LEFT(' Pivot Tables'!$A$4,4)+0,RIGHT(LEFT(D5371,7),2)=RIGHT(LEFT(' Pivot Tables'!$A$4,7),2)),1,0)</f>
        <v>0</v>
      </c>
      <c r="Y5371" s="6">
        <f>1/COUNTIF(Таблица1[Order ID],Таблица1[[#This Row],[Order ID]])</f>
        <v>0.5</v>
      </c>
      <c r="Z5371" s="9">
        <f>1/COUNTIFS(Таблица1[Customer Name],Таблица1[[#This Row],[Customer Name]],Таблица1[Order-Year-Month],Таблица1[[#This Row],[Order-Year-Month]])</f>
        <v>0.5</v>
      </c>
    </row>
    <row r="5372" spans="1:26" x14ac:dyDescent="0.2">
      <c r="A5372" s="6">
        <v>2093</v>
      </c>
      <c r="B5372" s="7">
        <v>14978</v>
      </c>
      <c r="C5372" s="8">
        <f>DATE(2012,12,31)-949</f>
        <v>40325</v>
      </c>
      <c r="D5372" s="8" t="str">
        <f t="shared" si="100"/>
        <v>2010-05 (май 2010)</v>
      </c>
      <c r="E5372" s="9" t="s">
        <v>78</v>
      </c>
      <c r="F5372" s="7">
        <v>14</v>
      </c>
      <c r="G5372" s="7">
        <v>195.12</v>
      </c>
      <c r="H5372" s="7">
        <v>0</v>
      </c>
      <c r="I5372" s="9" t="s">
        <v>22</v>
      </c>
      <c r="J5372" s="10">
        <v>-6.32</v>
      </c>
      <c r="K5372" s="11">
        <v>13.48</v>
      </c>
      <c r="L5372" s="11">
        <v>4.51</v>
      </c>
      <c r="M5372" s="9" t="s">
        <v>1910</v>
      </c>
      <c r="N5372" s="6" t="s">
        <v>1905</v>
      </c>
      <c r="O5372" s="6" t="s">
        <v>673</v>
      </c>
      <c r="P5372" s="9" t="s">
        <v>41</v>
      </c>
      <c r="Q5372" s="9" t="s">
        <v>26</v>
      </c>
      <c r="R5372" s="9" t="s">
        <v>27</v>
      </c>
      <c r="S5372" s="7" t="s">
        <v>101</v>
      </c>
      <c r="T5372" s="9" t="s">
        <v>39</v>
      </c>
      <c r="U5372" s="7">
        <v>0.59</v>
      </c>
      <c r="V5372" s="12">
        <f>C5372+1</f>
        <v>40326</v>
      </c>
      <c r="W5372">
        <f>IF(D5372=' Pivot Tables'!$A$4,1,0)</f>
        <v>0</v>
      </c>
      <c r="X5372">
        <f>IF(AND(LEFT(D5372,4)+1=LEFT(' Pivot Tables'!$A$4,4)+0,RIGHT(LEFT(D5372,7),2)=RIGHT(LEFT(' Pivot Tables'!$A$4,7),2)),1,0)</f>
        <v>0</v>
      </c>
      <c r="Y5372" s="6">
        <f>1/COUNTIF(Таблица1[Order ID],Таблица1[[#This Row],[Order ID]])</f>
        <v>0.5</v>
      </c>
      <c r="Z5372" s="9">
        <f>1/COUNTIFS(Таблица1[Customer Name],Таблица1[[#This Row],[Customer Name]],Таблица1[Order-Year-Month],Таблица1[[#This Row],[Order-Year-Month]])</f>
        <v>0.5</v>
      </c>
    </row>
    <row r="5373" spans="1:26" x14ac:dyDescent="0.2">
      <c r="A5373" s="6">
        <v>2187</v>
      </c>
      <c r="B5373" s="7">
        <v>15751</v>
      </c>
      <c r="C5373" s="8">
        <f>DATE(2012,12,31)-1234</f>
        <v>40040</v>
      </c>
      <c r="D5373" s="8" t="str">
        <f t="shared" si="100"/>
        <v>2009-08 (август 2009)</v>
      </c>
      <c r="E5373" s="9" t="s">
        <v>78</v>
      </c>
      <c r="F5373" s="7">
        <v>37</v>
      </c>
      <c r="G5373" s="7">
        <v>189.6</v>
      </c>
      <c r="H5373" s="7">
        <v>0.02</v>
      </c>
      <c r="I5373" s="9" t="s">
        <v>22</v>
      </c>
      <c r="J5373" s="10">
        <v>89.65</v>
      </c>
      <c r="K5373" s="11">
        <v>4.9800000000000004</v>
      </c>
      <c r="L5373" s="11">
        <v>0.49</v>
      </c>
      <c r="M5373" s="9" t="s">
        <v>1020</v>
      </c>
      <c r="N5373" s="6" t="s">
        <v>1905</v>
      </c>
      <c r="O5373" s="6" t="s">
        <v>673</v>
      </c>
      <c r="P5373" s="9" t="s">
        <v>41</v>
      </c>
      <c r="Q5373" s="9" t="s">
        <v>26</v>
      </c>
      <c r="R5373" s="9" t="s">
        <v>88</v>
      </c>
      <c r="S5373" s="7" t="s">
        <v>836</v>
      </c>
      <c r="T5373" s="9" t="s">
        <v>39</v>
      </c>
      <c r="U5373" s="7">
        <v>0.39</v>
      </c>
      <c r="V5373" s="12">
        <f>C5373+1</f>
        <v>40041</v>
      </c>
      <c r="W5373">
        <f>IF(D5373=' Pivot Tables'!$A$4,1,0)</f>
        <v>0</v>
      </c>
      <c r="X5373">
        <f>IF(AND(LEFT(D5373,4)+1=LEFT(' Pivot Tables'!$A$4,4)+0,RIGHT(LEFT(D5373,7),2)=RIGHT(LEFT(' Pivot Tables'!$A$4,7),2)),1,0)</f>
        <v>0</v>
      </c>
      <c r="Y5373" s="6">
        <f>1/COUNTIF(Таблица1[Order ID],Таблица1[[#This Row],[Order ID]])</f>
        <v>0.5</v>
      </c>
      <c r="Z5373" s="9">
        <f>1/COUNTIFS(Таблица1[Customer Name],Таблица1[[#This Row],[Customer Name]],Таблица1[Order-Year-Month],Таблица1[[#This Row],[Order-Year-Month]])</f>
        <v>0.5</v>
      </c>
    </row>
    <row r="5374" spans="1:26" x14ac:dyDescent="0.2">
      <c r="A5374" s="6">
        <v>2188</v>
      </c>
      <c r="B5374" s="7">
        <v>15751</v>
      </c>
      <c r="C5374" s="8">
        <f>DATE(2012,12,31)-1234</f>
        <v>40040</v>
      </c>
      <c r="D5374" s="8" t="str">
        <f t="shared" si="100"/>
        <v>2009-08 (август 2009)</v>
      </c>
      <c r="E5374" s="9" t="s">
        <v>78</v>
      </c>
      <c r="F5374" s="7">
        <v>21</v>
      </c>
      <c r="G5374" s="7">
        <v>397.73200000000003</v>
      </c>
      <c r="H5374" s="7">
        <v>0.01</v>
      </c>
      <c r="I5374" s="9" t="s">
        <v>22</v>
      </c>
      <c r="J5374" s="10">
        <v>-26.047999999999998</v>
      </c>
      <c r="K5374" s="11">
        <v>20.99</v>
      </c>
      <c r="L5374" s="11">
        <v>0.99</v>
      </c>
      <c r="M5374" s="9" t="s">
        <v>1020</v>
      </c>
      <c r="N5374" s="6" t="s">
        <v>1905</v>
      </c>
      <c r="O5374" s="6" t="s">
        <v>673</v>
      </c>
      <c r="P5374" s="9" t="s">
        <v>41</v>
      </c>
      <c r="Q5374" s="9" t="s">
        <v>42</v>
      </c>
      <c r="R5374" s="9" t="s">
        <v>43</v>
      </c>
      <c r="S5374" s="7" t="s">
        <v>1230</v>
      </c>
      <c r="T5374" s="9" t="s">
        <v>52</v>
      </c>
      <c r="U5374" s="7">
        <v>0.83</v>
      </c>
      <c r="V5374" s="12">
        <f>C5374+1</f>
        <v>40041</v>
      </c>
      <c r="W5374">
        <f>IF(D5374=' Pivot Tables'!$A$4,1,0)</f>
        <v>0</v>
      </c>
      <c r="X5374">
        <f>IF(AND(LEFT(D5374,4)+1=LEFT(' Pivot Tables'!$A$4,4)+0,RIGHT(LEFT(D5374,7),2)=RIGHT(LEFT(' Pivot Tables'!$A$4,7),2)),1,0)</f>
        <v>0</v>
      </c>
      <c r="Y5374" s="6">
        <f>1/COUNTIF(Таблица1[Order ID],Таблица1[[#This Row],[Order ID]])</f>
        <v>0.5</v>
      </c>
      <c r="Z5374" s="9">
        <f>1/COUNTIFS(Таблица1[Customer Name],Таблица1[[#This Row],[Customer Name]],Таблица1[Order-Year-Month],Таблица1[[#This Row],[Order-Year-Month]])</f>
        <v>0.5</v>
      </c>
    </row>
    <row r="5375" spans="1:26" x14ac:dyDescent="0.2">
      <c r="A5375" s="6">
        <v>2197</v>
      </c>
      <c r="B5375" s="7">
        <v>15815</v>
      </c>
      <c r="C5375" s="8">
        <f>DATE(2012,12,31)-1340</f>
        <v>39934</v>
      </c>
      <c r="D5375" s="8" t="str">
        <f t="shared" si="100"/>
        <v>2009-05 (май 2009)</v>
      </c>
      <c r="E5375" s="9" t="s">
        <v>78</v>
      </c>
      <c r="F5375" s="7">
        <v>43</v>
      </c>
      <c r="G5375" s="7">
        <v>528.6</v>
      </c>
      <c r="H5375" s="7">
        <v>0.01</v>
      </c>
      <c r="I5375" s="9" t="s">
        <v>22</v>
      </c>
      <c r="J5375" s="10">
        <v>52.589500000000001</v>
      </c>
      <c r="K5375" s="11">
        <v>11.7</v>
      </c>
      <c r="L5375" s="11">
        <v>5.63</v>
      </c>
      <c r="M5375" s="9" t="s">
        <v>1907</v>
      </c>
      <c r="N5375" s="6" t="s">
        <v>1905</v>
      </c>
      <c r="O5375" s="6" t="s">
        <v>673</v>
      </c>
      <c r="P5375" s="9" t="s">
        <v>41</v>
      </c>
      <c r="Q5375" s="9" t="s">
        <v>26</v>
      </c>
      <c r="R5375" s="9" t="s">
        <v>37</v>
      </c>
      <c r="S5375" s="7" t="s">
        <v>1333</v>
      </c>
      <c r="T5375" s="9" t="s">
        <v>39</v>
      </c>
      <c r="U5375" s="7">
        <v>0.4</v>
      </c>
      <c r="V5375" s="12">
        <f>C5375+2</f>
        <v>39936</v>
      </c>
      <c r="W5375">
        <f>IF(D5375=' Pivot Tables'!$A$4,1,0)</f>
        <v>0</v>
      </c>
      <c r="X5375">
        <f>IF(AND(LEFT(D5375,4)+1=LEFT(' Pivot Tables'!$A$4,4)+0,RIGHT(LEFT(D5375,7),2)=RIGHT(LEFT(' Pivot Tables'!$A$4,7),2)),1,0)</f>
        <v>0</v>
      </c>
      <c r="Y5375" s="6">
        <f>1/COUNTIF(Таблица1[Order ID],Таблица1[[#This Row],[Order ID]])</f>
        <v>0.5</v>
      </c>
      <c r="Z5375" s="9">
        <f>1/COUNTIFS(Таблица1[Customer Name],Таблица1[[#This Row],[Customer Name]],Таблица1[Order-Year-Month],Таблица1[[#This Row],[Order-Year-Month]])</f>
        <v>0.33333333333333331</v>
      </c>
    </row>
    <row r="5376" spans="1:26" x14ac:dyDescent="0.2">
      <c r="A5376" s="6">
        <v>2198</v>
      </c>
      <c r="B5376" s="7">
        <v>15815</v>
      </c>
      <c r="C5376" s="8">
        <f>DATE(2012,12,31)-1340</f>
        <v>39934</v>
      </c>
      <c r="D5376" s="8" t="str">
        <f t="shared" si="100"/>
        <v>2009-05 (май 2009)</v>
      </c>
      <c r="E5376" s="9" t="s">
        <v>78</v>
      </c>
      <c r="F5376" s="7">
        <v>24</v>
      </c>
      <c r="G5376" s="7">
        <v>107.41</v>
      </c>
      <c r="H5376" s="7">
        <v>0.03</v>
      </c>
      <c r="I5376" s="9" t="s">
        <v>22</v>
      </c>
      <c r="J5376" s="10">
        <v>20.680499999999999</v>
      </c>
      <c r="K5376" s="11">
        <v>4.55</v>
      </c>
      <c r="L5376" s="11">
        <v>1.49</v>
      </c>
      <c r="M5376" s="9" t="s">
        <v>1907</v>
      </c>
      <c r="N5376" s="6" t="s">
        <v>1905</v>
      </c>
      <c r="O5376" s="6" t="s">
        <v>673</v>
      </c>
      <c r="P5376" s="9" t="s">
        <v>41</v>
      </c>
      <c r="Q5376" s="9" t="s">
        <v>26</v>
      </c>
      <c r="R5376" s="9" t="s">
        <v>37</v>
      </c>
      <c r="S5376" s="7" t="s">
        <v>522</v>
      </c>
      <c r="T5376" s="9" t="s">
        <v>39</v>
      </c>
      <c r="U5376" s="7">
        <v>0.35</v>
      </c>
      <c r="V5376" s="12">
        <f>C5376+0</f>
        <v>39934</v>
      </c>
      <c r="W5376">
        <f>IF(D5376=' Pivot Tables'!$A$4,1,0)</f>
        <v>0</v>
      </c>
      <c r="X5376">
        <f>IF(AND(LEFT(D5376,4)+1=LEFT(' Pivot Tables'!$A$4,4)+0,RIGHT(LEFT(D5376,7),2)=RIGHT(LEFT(' Pivot Tables'!$A$4,7),2)),1,0)</f>
        <v>0</v>
      </c>
      <c r="Y5376" s="6">
        <f>1/COUNTIF(Таблица1[Order ID],Таблица1[[#This Row],[Order ID]])</f>
        <v>0.5</v>
      </c>
      <c r="Z5376" s="9">
        <f>1/COUNTIFS(Таблица1[Customer Name],Таблица1[[#This Row],[Customer Name]],Таблица1[Order-Year-Month],Таблица1[[#This Row],[Order-Year-Month]])</f>
        <v>0.33333333333333331</v>
      </c>
    </row>
    <row r="5377" spans="1:26" x14ac:dyDescent="0.2">
      <c r="A5377" s="6">
        <v>2322</v>
      </c>
      <c r="B5377" s="7">
        <v>16737</v>
      </c>
      <c r="C5377" s="8">
        <f>DATE(2012,12,31)-560</f>
        <v>40714</v>
      </c>
      <c r="D5377" s="8" t="str">
        <f t="shared" si="100"/>
        <v>2011-06 (июнь 2011)</v>
      </c>
      <c r="E5377" s="9" t="s">
        <v>45</v>
      </c>
      <c r="F5377" s="7">
        <v>15</v>
      </c>
      <c r="G5377" s="7">
        <v>1390.49</v>
      </c>
      <c r="H5377" s="7">
        <v>0.01</v>
      </c>
      <c r="I5377" s="9" t="s">
        <v>22</v>
      </c>
      <c r="J5377" s="10">
        <v>366.8</v>
      </c>
      <c r="K5377" s="11">
        <v>90.48</v>
      </c>
      <c r="L5377" s="11">
        <v>19.989999999999998</v>
      </c>
      <c r="M5377" s="9" t="s">
        <v>1915</v>
      </c>
      <c r="N5377" s="6" t="s">
        <v>1905</v>
      </c>
      <c r="O5377" s="6" t="s">
        <v>673</v>
      </c>
      <c r="P5377" s="9" t="s">
        <v>60</v>
      </c>
      <c r="Q5377" s="9" t="s">
        <v>26</v>
      </c>
      <c r="R5377" s="9" t="s">
        <v>76</v>
      </c>
      <c r="S5377" s="7" t="s">
        <v>1167</v>
      </c>
      <c r="T5377" s="9" t="s">
        <v>39</v>
      </c>
      <c r="U5377" s="7">
        <v>0.4</v>
      </c>
      <c r="V5377" s="12">
        <f>C5377+1</f>
        <v>40715</v>
      </c>
      <c r="W5377">
        <f>IF(D5377=' Pivot Tables'!$A$4,1,0)</f>
        <v>0</v>
      </c>
      <c r="X5377">
        <f>IF(AND(LEFT(D5377,4)+1=LEFT(' Pivot Tables'!$A$4,4)+0,RIGHT(LEFT(D5377,7),2)=RIGHT(LEFT(' Pivot Tables'!$A$4,7),2)),1,0)</f>
        <v>0</v>
      </c>
      <c r="Y5377" s="6">
        <f>1/COUNTIF(Таблица1[Order ID],Таблица1[[#This Row],[Order ID]])</f>
        <v>1</v>
      </c>
      <c r="Z5377" s="9">
        <f>1/COUNTIFS(Таблица1[Customer Name],Таблица1[[#This Row],[Customer Name]],Таблица1[Order-Year-Month],Таблица1[[#This Row],[Order-Year-Month]])</f>
        <v>1</v>
      </c>
    </row>
    <row r="5378" spans="1:26" x14ac:dyDescent="0.2">
      <c r="A5378" s="6">
        <v>2366</v>
      </c>
      <c r="B5378" s="7">
        <v>17124</v>
      </c>
      <c r="C5378" s="8">
        <f>DATE(2012,12,31)-1163</f>
        <v>40111</v>
      </c>
      <c r="D5378" s="8" t="str">
        <f t="shared" si="100"/>
        <v>2009-10 (октябрь 2009)</v>
      </c>
      <c r="E5378" s="9" t="s">
        <v>78</v>
      </c>
      <c r="F5378" s="7">
        <v>39</v>
      </c>
      <c r="G5378" s="7">
        <v>128.31</v>
      </c>
      <c r="H5378" s="7">
        <v>0.05</v>
      </c>
      <c r="I5378" s="9" t="s">
        <v>56</v>
      </c>
      <c r="J5378" s="10">
        <v>-55.72</v>
      </c>
      <c r="K5378" s="11">
        <v>3.14</v>
      </c>
      <c r="L5378" s="11">
        <v>1.92</v>
      </c>
      <c r="M5378" s="9" t="s">
        <v>1912</v>
      </c>
      <c r="N5378" s="6" t="s">
        <v>1905</v>
      </c>
      <c r="O5378" s="6" t="s">
        <v>673</v>
      </c>
      <c r="P5378" s="9" t="s">
        <v>60</v>
      </c>
      <c r="Q5378" s="9" t="s">
        <v>26</v>
      </c>
      <c r="R5378" s="9" t="s">
        <v>150</v>
      </c>
      <c r="S5378" s="7" t="s">
        <v>699</v>
      </c>
      <c r="T5378" s="9" t="s">
        <v>68</v>
      </c>
      <c r="U5378" s="7">
        <v>0.84</v>
      </c>
      <c r="V5378" s="12">
        <f>C5378+1</f>
        <v>40112</v>
      </c>
      <c r="W5378">
        <f>IF(D5378=' Pivot Tables'!$A$4,1,0)</f>
        <v>0</v>
      </c>
      <c r="X5378">
        <f>IF(AND(LEFT(D5378,4)+1=LEFT(' Pivot Tables'!$A$4,4)+0,RIGHT(LEFT(D5378,7),2)=RIGHT(LEFT(' Pivot Tables'!$A$4,7),2)),1,0)</f>
        <v>0</v>
      </c>
      <c r="Y5378" s="6">
        <f>1/COUNTIF(Таблица1[Order ID],Таблица1[[#This Row],[Order ID]])</f>
        <v>1</v>
      </c>
      <c r="Z5378" s="9">
        <f>1/COUNTIFS(Таблица1[Customer Name],Таблица1[[#This Row],[Customer Name]],Таблица1[Order-Year-Month],Таблица1[[#This Row],[Order-Year-Month]])</f>
        <v>0.2</v>
      </c>
    </row>
    <row r="5379" spans="1:26" x14ac:dyDescent="0.2">
      <c r="A5379" s="6">
        <v>2429</v>
      </c>
      <c r="B5379" s="7">
        <v>17666</v>
      </c>
      <c r="C5379" s="8">
        <f>DATE(2012,12,31)-845</f>
        <v>40429</v>
      </c>
      <c r="D5379" s="8" t="str">
        <f t="shared" ref="D5379:D5442" si="101">TEXT(C5379,"гггг-ММ (ММММ гггг)")</f>
        <v>2010-09 (сентябрь 2010)</v>
      </c>
      <c r="E5379" s="9" t="s">
        <v>63</v>
      </c>
      <c r="F5379" s="7">
        <v>19</v>
      </c>
      <c r="G5379" s="7">
        <v>82.56</v>
      </c>
      <c r="H5379" s="7">
        <v>0.01</v>
      </c>
      <c r="I5379" s="9" t="s">
        <v>22</v>
      </c>
      <c r="J5379" s="10">
        <v>21.74</v>
      </c>
      <c r="K5379" s="11">
        <v>4</v>
      </c>
      <c r="L5379" s="11">
        <v>1.3</v>
      </c>
      <c r="M5379" s="9" t="s">
        <v>1906</v>
      </c>
      <c r="N5379" s="6" t="s">
        <v>1905</v>
      </c>
      <c r="O5379" s="6" t="s">
        <v>673</v>
      </c>
      <c r="P5379" s="9" t="s">
        <v>60</v>
      </c>
      <c r="Q5379" s="9" t="s">
        <v>26</v>
      </c>
      <c r="R5379" s="9" t="s">
        <v>61</v>
      </c>
      <c r="S5379" s="7" t="s">
        <v>1209</v>
      </c>
      <c r="T5379" s="9" t="s">
        <v>68</v>
      </c>
      <c r="U5379" s="7">
        <v>0.37</v>
      </c>
      <c r="V5379" s="12">
        <f>C5379+2</f>
        <v>40431</v>
      </c>
      <c r="W5379">
        <f>IF(D5379=' Pivot Tables'!$A$4,1,0)</f>
        <v>0</v>
      </c>
      <c r="X5379">
        <f>IF(AND(LEFT(D5379,4)+1=LEFT(' Pivot Tables'!$A$4,4)+0,RIGHT(LEFT(D5379,7),2)=RIGHT(LEFT(' Pivot Tables'!$A$4,7),2)),1,0)</f>
        <v>0</v>
      </c>
      <c r="Y5379" s="6">
        <f>1/COUNTIF(Таблица1[Order ID],Таблица1[[#This Row],[Order ID]])</f>
        <v>0.5</v>
      </c>
      <c r="Z5379" s="9">
        <f>1/COUNTIFS(Таблица1[Customer Name],Таблица1[[#This Row],[Customer Name]],Таблица1[Order-Year-Month],Таблица1[[#This Row],[Order-Year-Month]])</f>
        <v>0.5</v>
      </c>
    </row>
    <row r="5380" spans="1:26" x14ac:dyDescent="0.2">
      <c r="A5380" s="6">
        <v>2430</v>
      </c>
      <c r="B5380" s="7">
        <v>17666</v>
      </c>
      <c r="C5380" s="8">
        <f>DATE(2012,12,31)-845</f>
        <v>40429</v>
      </c>
      <c r="D5380" s="8" t="str">
        <f t="shared" si="101"/>
        <v>2010-09 (сентябрь 2010)</v>
      </c>
      <c r="E5380" s="9" t="s">
        <v>63</v>
      </c>
      <c r="F5380" s="7">
        <v>11</v>
      </c>
      <c r="G5380" s="7">
        <v>141.07</v>
      </c>
      <c r="H5380" s="7">
        <v>0.08</v>
      </c>
      <c r="I5380" s="9" t="s">
        <v>22</v>
      </c>
      <c r="J5380" s="10">
        <v>-5.0999999999999996</v>
      </c>
      <c r="K5380" s="11">
        <v>12.98</v>
      </c>
      <c r="L5380" s="11">
        <v>3.14</v>
      </c>
      <c r="M5380" s="9" t="s">
        <v>1906</v>
      </c>
      <c r="N5380" s="6" t="s">
        <v>1905</v>
      </c>
      <c r="O5380" s="6" t="s">
        <v>673</v>
      </c>
      <c r="P5380" s="9" t="s">
        <v>60</v>
      </c>
      <c r="Q5380" s="9" t="s">
        <v>26</v>
      </c>
      <c r="R5380" s="9" t="s">
        <v>150</v>
      </c>
      <c r="S5380" s="7" t="s">
        <v>356</v>
      </c>
      <c r="T5380" s="9" t="s">
        <v>52</v>
      </c>
      <c r="U5380" s="7">
        <v>0.6</v>
      </c>
      <c r="V5380" s="12">
        <f>C5380+0</f>
        <v>40429</v>
      </c>
      <c r="W5380">
        <f>IF(D5380=' Pivot Tables'!$A$4,1,0)</f>
        <v>0</v>
      </c>
      <c r="X5380">
        <f>IF(AND(LEFT(D5380,4)+1=LEFT(' Pivot Tables'!$A$4,4)+0,RIGHT(LEFT(D5380,7),2)=RIGHT(LEFT(' Pivot Tables'!$A$4,7),2)),1,0)</f>
        <v>0</v>
      </c>
      <c r="Y5380" s="6">
        <f>1/COUNTIF(Таблица1[Order ID],Таблица1[[#This Row],[Order ID]])</f>
        <v>0.5</v>
      </c>
      <c r="Z5380" s="9">
        <f>1/COUNTIFS(Таблица1[Customer Name],Таблица1[[#This Row],[Customer Name]],Таблица1[Order-Year-Month],Таблица1[[#This Row],[Order-Year-Month]])</f>
        <v>0.5</v>
      </c>
    </row>
    <row r="5381" spans="1:26" x14ac:dyDescent="0.2">
      <c r="A5381" s="6">
        <v>2636</v>
      </c>
      <c r="B5381" s="7">
        <v>19075</v>
      </c>
      <c r="C5381" s="8">
        <f>DATE(2012,12,31)-1192</f>
        <v>40082</v>
      </c>
      <c r="D5381" s="8" t="str">
        <f t="shared" si="101"/>
        <v>2009-09 (сентябрь 2009)</v>
      </c>
      <c r="E5381" s="9" t="s">
        <v>78</v>
      </c>
      <c r="F5381" s="7">
        <v>36</v>
      </c>
      <c r="G5381" s="7">
        <v>1841.6</v>
      </c>
      <c r="H5381" s="7">
        <v>0.01</v>
      </c>
      <c r="I5381" s="9" t="s">
        <v>22</v>
      </c>
      <c r="J5381" s="10">
        <v>12.95000000000006</v>
      </c>
      <c r="K5381" s="11">
        <v>50.98</v>
      </c>
      <c r="L5381" s="11">
        <v>6.5</v>
      </c>
      <c r="M5381" s="9" t="s">
        <v>1916</v>
      </c>
      <c r="N5381" s="6" t="s">
        <v>1905</v>
      </c>
      <c r="O5381" s="6" t="s">
        <v>673</v>
      </c>
      <c r="P5381" s="9" t="s">
        <v>60</v>
      </c>
      <c r="Q5381" s="9" t="s">
        <v>42</v>
      </c>
      <c r="R5381" s="9" t="s">
        <v>70</v>
      </c>
      <c r="S5381" s="7" t="s">
        <v>187</v>
      </c>
      <c r="T5381" s="9" t="s">
        <v>39</v>
      </c>
      <c r="U5381" s="7">
        <v>0.73</v>
      </c>
      <c r="V5381" s="12">
        <f>C5381+1</f>
        <v>40083</v>
      </c>
      <c r="W5381">
        <f>IF(D5381=' Pivot Tables'!$A$4,1,0)</f>
        <v>0</v>
      </c>
      <c r="X5381">
        <f>IF(AND(LEFT(D5381,4)+1=LEFT(' Pivot Tables'!$A$4,4)+0,RIGHT(LEFT(D5381,7),2)=RIGHT(LEFT(' Pivot Tables'!$A$4,7),2)),1,0)</f>
        <v>0</v>
      </c>
      <c r="Y5381" s="6">
        <f>1/COUNTIF(Таблица1[Order ID],Таблица1[[#This Row],[Order ID]])</f>
        <v>1</v>
      </c>
      <c r="Z5381" s="9">
        <f>1/COUNTIFS(Таблица1[Customer Name],Таблица1[[#This Row],[Customer Name]],Таблица1[Order-Year-Month],Таблица1[[#This Row],[Order-Year-Month]])</f>
        <v>1</v>
      </c>
    </row>
    <row r="5382" spans="1:26" x14ac:dyDescent="0.2">
      <c r="A5382" s="6">
        <v>2927</v>
      </c>
      <c r="B5382" s="7">
        <v>21220</v>
      </c>
      <c r="C5382" s="8">
        <f>DATE(2012,12,31)-9</f>
        <v>41265</v>
      </c>
      <c r="D5382" s="8" t="str">
        <f t="shared" si="101"/>
        <v>2012-12 (декабрь 2012)</v>
      </c>
      <c r="E5382" s="9" t="s">
        <v>45</v>
      </c>
      <c r="F5382" s="7">
        <v>4</v>
      </c>
      <c r="G5382" s="7">
        <v>476.31</v>
      </c>
      <c r="H5382" s="7">
        <v>7.0000000000000007E-2</v>
      </c>
      <c r="I5382" s="9" t="s">
        <v>31</v>
      </c>
      <c r="J5382" s="10">
        <v>-258.07679999999999</v>
      </c>
      <c r="K5382" s="11">
        <v>120.97</v>
      </c>
      <c r="L5382" s="11">
        <v>26.3</v>
      </c>
      <c r="M5382" s="9" t="s">
        <v>1913</v>
      </c>
      <c r="N5382" s="6" t="s">
        <v>1905</v>
      </c>
      <c r="O5382" s="6" t="s">
        <v>673</v>
      </c>
      <c r="P5382" s="9" t="s">
        <v>60</v>
      </c>
      <c r="Q5382" s="9" t="s">
        <v>42</v>
      </c>
      <c r="R5382" s="9" t="s">
        <v>210</v>
      </c>
      <c r="S5382" s="7" t="s">
        <v>487</v>
      </c>
      <c r="T5382" s="9" t="s">
        <v>36</v>
      </c>
      <c r="U5382" s="7">
        <v>0.38</v>
      </c>
      <c r="V5382" s="12">
        <f>C5382+3</f>
        <v>41268</v>
      </c>
      <c r="W5382">
        <f>IF(D5382=' Pivot Tables'!$A$4,1,0)</f>
        <v>0</v>
      </c>
      <c r="X5382">
        <f>IF(AND(LEFT(D5382,4)+1=LEFT(' Pivot Tables'!$A$4,4)+0,RIGHT(LEFT(D5382,7),2)=RIGHT(LEFT(' Pivot Tables'!$A$4,7),2)),1,0)</f>
        <v>0</v>
      </c>
      <c r="Y5382" s="6">
        <f>1/COUNTIF(Таблица1[Order ID],Таблица1[[#This Row],[Order ID]])</f>
        <v>1</v>
      </c>
      <c r="Z5382" s="9">
        <f>1/COUNTIFS(Таблица1[Customer Name],Таблица1[[#This Row],[Customer Name]],Таблица1[Order-Year-Month],Таблица1[[#This Row],[Order-Year-Month]])</f>
        <v>1</v>
      </c>
    </row>
    <row r="5383" spans="1:26" x14ac:dyDescent="0.2">
      <c r="A5383" s="6">
        <v>2991</v>
      </c>
      <c r="B5383" s="7">
        <v>21600</v>
      </c>
      <c r="C5383" s="8">
        <f>DATE(2012,12,31)-1002</f>
        <v>40272</v>
      </c>
      <c r="D5383" s="8" t="str">
        <f t="shared" si="101"/>
        <v>2010-04 (апрель 2010)</v>
      </c>
      <c r="E5383" s="9" t="s">
        <v>21</v>
      </c>
      <c r="F5383" s="7">
        <v>17</v>
      </c>
      <c r="G5383" s="7">
        <v>169.48</v>
      </c>
      <c r="H5383" s="7">
        <v>0.03</v>
      </c>
      <c r="I5383" s="9" t="s">
        <v>22</v>
      </c>
      <c r="J5383" s="10">
        <v>48.55</v>
      </c>
      <c r="K5383" s="11">
        <v>10.14</v>
      </c>
      <c r="L5383" s="11">
        <v>2.27</v>
      </c>
      <c r="M5383" s="9" t="s">
        <v>1917</v>
      </c>
      <c r="N5383" s="6" t="s">
        <v>1905</v>
      </c>
      <c r="O5383" s="6" t="s">
        <v>673</v>
      </c>
      <c r="P5383" s="9" t="s">
        <v>60</v>
      </c>
      <c r="Q5383" s="9" t="s">
        <v>26</v>
      </c>
      <c r="R5383" s="9" t="s">
        <v>61</v>
      </c>
      <c r="S5383" s="7" t="s">
        <v>189</v>
      </c>
      <c r="T5383" s="9" t="s">
        <v>68</v>
      </c>
      <c r="U5383" s="7">
        <v>0.36</v>
      </c>
      <c r="V5383" s="12">
        <f>C5383+7</f>
        <v>40279</v>
      </c>
      <c r="W5383">
        <f>IF(D5383=' Pivot Tables'!$A$4,1,0)</f>
        <v>0</v>
      </c>
      <c r="X5383">
        <f>IF(AND(LEFT(D5383,4)+1=LEFT(' Pivot Tables'!$A$4,4)+0,RIGHT(LEFT(D5383,7),2)=RIGHT(LEFT(' Pivot Tables'!$A$4,7),2)),1,0)</f>
        <v>0</v>
      </c>
      <c r="Y5383" s="6">
        <f>1/COUNTIF(Таблица1[Order ID],Таблица1[[#This Row],[Order ID]])</f>
        <v>1</v>
      </c>
      <c r="Z5383" s="9">
        <f>1/COUNTIFS(Таблица1[Customer Name],Таблица1[[#This Row],[Customer Name]],Таблица1[Order-Year-Month],Таблица1[[#This Row],[Order-Year-Month]])</f>
        <v>1</v>
      </c>
    </row>
    <row r="5384" spans="1:26" x14ac:dyDescent="0.2">
      <c r="A5384" s="6">
        <v>3082</v>
      </c>
      <c r="B5384" s="7">
        <v>22117</v>
      </c>
      <c r="C5384" s="8">
        <f>DATE(2012,12,31)-872</f>
        <v>40402</v>
      </c>
      <c r="D5384" s="8" t="str">
        <f t="shared" si="101"/>
        <v>2010-08 (август 2010)</v>
      </c>
      <c r="E5384" s="9" t="s">
        <v>78</v>
      </c>
      <c r="F5384" s="7">
        <v>16</v>
      </c>
      <c r="G5384" s="7">
        <v>581.52</v>
      </c>
      <c r="H5384" s="7">
        <v>0.03</v>
      </c>
      <c r="I5384" s="9" t="s">
        <v>56</v>
      </c>
      <c r="J5384" s="10">
        <v>175.16</v>
      </c>
      <c r="K5384" s="11">
        <v>35.44</v>
      </c>
      <c r="L5384" s="11">
        <v>7.5</v>
      </c>
      <c r="M5384" s="9" t="s">
        <v>1913</v>
      </c>
      <c r="N5384" s="6" t="s">
        <v>1905</v>
      </c>
      <c r="O5384" s="6" t="s">
        <v>673</v>
      </c>
      <c r="P5384" s="9" t="s">
        <v>60</v>
      </c>
      <c r="Q5384" s="9" t="s">
        <v>26</v>
      </c>
      <c r="R5384" s="9" t="s">
        <v>61</v>
      </c>
      <c r="S5384" s="7" t="s">
        <v>225</v>
      </c>
      <c r="T5384" s="9" t="s">
        <v>39</v>
      </c>
      <c r="U5384" s="7">
        <v>0.38</v>
      </c>
      <c r="V5384" s="12">
        <f>C5384+1</f>
        <v>40403</v>
      </c>
      <c r="W5384">
        <f>IF(D5384=' Pivot Tables'!$A$4,1,0)</f>
        <v>0</v>
      </c>
      <c r="X5384">
        <f>IF(AND(LEFT(D5384,4)+1=LEFT(' Pivot Tables'!$A$4,4)+0,RIGHT(LEFT(D5384,7),2)=RIGHT(LEFT(' Pivot Tables'!$A$4,7),2)),1,0)</f>
        <v>0</v>
      </c>
      <c r="Y5384" s="6">
        <f>1/COUNTIF(Таблица1[Order ID],Таблица1[[#This Row],[Order ID]])</f>
        <v>0.5</v>
      </c>
      <c r="Z5384" s="9">
        <f>1/COUNTIFS(Таблица1[Customer Name],Таблица1[[#This Row],[Customer Name]],Таблица1[Order-Year-Month],Таблица1[[#This Row],[Order-Year-Month]])</f>
        <v>0.5</v>
      </c>
    </row>
    <row r="5385" spans="1:26" x14ac:dyDescent="0.2">
      <c r="A5385" s="6">
        <v>3083</v>
      </c>
      <c r="B5385" s="7">
        <v>22117</v>
      </c>
      <c r="C5385" s="8">
        <f>DATE(2012,12,31)-872</f>
        <v>40402</v>
      </c>
      <c r="D5385" s="8" t="str">
        <f t="shared" si="101"/>
        <v>2010-08 (август 2010)</v>
      </c>
      <c r="E5385" s="9" t="s">
        <v>78</v>
      </c>
      <c r="F5385" s="7">
        <v>5</v>
      </c>
      <c r="G5385" s="7">
        <v>19.170000000000002</v>
      </c>
      <c r="H5385" s="7">
        <v>0.1</v>
      </c>
      <c r="I5385" s="9" t="s">
        <v>22</v>
      </c>
      <c r="J5385" s="10">
        <v>-16.420000000000002</v>
      </c>
      <c r="K5385" s="11">
        <v>3.28</v>
      </c>
      <c r="L5385" s="11">
        <v>3.97</v>
      </c>
      <c r="M5385" s="9" t="s">
        <v>1913</v>
      </c>
      <c r="N5385" s="6" t="s">
        <v>1905</v>
      </c>
      <c r="O5385" s="6" t="s">
        <v>673</v>
      </c>
      <c r="P5385" s="9" t="s">
        <v>60</v>
      </c>
      <c r="Q5385" s="9" t="s">
        <v>26</v>
      </c>
      <c r="R5385" s="9" t="s">
        <v>95</v>
      </c>
      <c r="S5385" s="7" t="s">
        <v>570</v>
      </c>
      <c r="T5385" s="9" t="s">
        <v>68</v>
      </c>
      <c r="U5385" s="7">
        <v>0.56000000000000005</v>
      </c>
      <c r="V5385" s="12">
        <f>C5385+3</f>
        <v>40405</v>
      </c>
      <c r="W5385">
        <f>IF(D5385=' Pivot Tables'!$A$4,1,0)</f>
        <v>0</v>
      </c>
      <c r="X5385">
        <f>IF(AND(LEFT(D5385,4)+1=LEFT(' Pivot Tables'!$A$4,4)+0,RIGHT(LEFT(D5385,7),2)=RIGHT(LEFT(' Pivot Tables'!$A$4,7),2)),1,0)</f>
        <v>0</v>
      </c>
      <c r="Y5385" s="6">
        <f>1/COUNTIF(Таблица1[Order ID],Таблица1[[#This Row],[Order ID]])</f>
        <v>0.5</v>
      </c>
      <c r="Z5385" s="9">
        <f>1/COUNTIFS(Таблица1[Customer Name],Таблица1[[#This Row],[Customer Name]],Таблица1[Order-Year-Month],Таблица1[[#This Row],[Order-Year-Month]])</f>
        <v>0.5</v>
      </c>
    </row>
    <row r="5386" spans="1:26" x14ac:dyDescent="0.2">
      <c r="A5386" s="6">
        <v>3099</v>
      </c>
      <c r="B5386" s="7">
        <v>22211</v>
      </c>
      <c r="C5386" s="8">
        <f>DATE(2012,12,31)-455</f>
        <v>40819</v>
      </c>
      <c r="D5386" s="8" t="str">
        <f t="shared" si="101"/>
        <v>2011-10 (октябрь 2011)</v>
      </c>
      <c r="E5386" s="9" t="s">
        <v>45</v>
      </c>
      <c r="F5386" s="7">
        <v>30</v>
      </c>
      <c r="G5386" s="7">
        <v>943.44</v>
      </c>
      <c r="H5386" s="7">
        <v>0.08</v>
      </c>
      <c r="I5386" s="9" t="s">
        <v>22</v>
      </c>
      <c r="J5386" s="10">
        <v>-89.98</v>
      </c>
      <c r="K5386" s="11">
        <v>30.98</v>
      </c>
      <c r="L5386" s="11">
        <v>19.989999999999998</v>
      </c>
      <c r="M5386" s="9" t="s">
        <v>1904</v>
      </c>
      <c r="N5386" s="6" t="s">
        <v>1905</v>
      </c>
      <c r="O5386" s="6" t="s">
        <v>673</v>
      </c>
      <c r="P5386" s="9" t="s">
        <v>33</v>
      </c>
      <c r="Q5386" s="9" t="s">
        <v>26</v>
      </c>
      <c r="R5386" s="9" t="s">
        <v>61</v>
      </c>
      <c r="S5386" s="7" t="s">
        <v>1918</v>
      </c>
      <c r="T5386" s="9" t="s">
        <v>39</v>
      </c>
      <c r="U5386" s="7">
        <v>0.4</v>
      </c>
      <c r="V5386" s="12">
        <f>C5386+2</f>
        <v>40821</v>
      </c>
      <c r="W5386">
        <f>IF(D5386=' Pivot Tables'!$A$4,1,0)</f>
        <v>0</v>
      </c>
      <c r="X5386">
        <f>IF(AND(LEFT(D5386,4)+1=LEFT(' Pivot Tables'!$A$4,4)+0,RIGHT(LEFT(D5386,7),2)=RIGHT(LEFT(' Pivot Tables'!$A$4,7),2)),1,0)</f>
        <v>0</v>
      </c>
      <c r="Y5386" s="6">
        <f>1/COUNTIF(Таблица1[Order ID],Таблица1[[#This Row],[Order ID]])</f>
        <v>0.5</v>
      </c>
      <c r="Z5386" s="9">
        <f>1/COUNTIFS(Таблица1[Customer Name],Таблица1[[#This Row],[Customer Name]],Таблица1[Order-Year-Month],Таблица1[[#This Row],[Order-Year-Month]])</f>
        <v>0.25</v>
      </c>
    </row>
    <row r="5387" spans="1:26" x14ac:dyDescent="0.2">
      <c r="A5387" s="6">
        <v>3100</v>
      </c>
      <c r="B5387" s="7">
        <v>22211</v>
      </c>
      <c r="C5387" s="8">
        <f>DATE(2012,12,31)-455</f>
        <v>40819</v>
      </c>
      <c r="D5387" s="8" t="str">
        <f t="shared" si="101"/>
        <v>2011-10 (октябрь 2011)</v>
      </c>
      <c r="E5387" s="9" t="s">
        <v>45</v>
      </c>
      <c r="F5387" s="7">
        <v>47</v>
      </c>
      <c r="G5387" s="7">
        <v>14493.84</v>
      </c>
      <c r="H5387" s="7">
        <v>0</v>
      </c>
      <c r="I5387" s="9" t="s">
        <v>31</v>
      </c>
      <c r="J5387" s="10">
        <v>634.76</v>
      </c>
      <c r="K5387" s="11">
        <v>376.13</v>
      </c>
      <c r="L5387" s="11">
        <v>85.63</v>
      </c>
      <c r="M5387" s="9" t="s">
        <v>1904</v>
      </c>
      <c r="N5387" s="6" t="s">
        <v>1905</v>
      </c>
      <c r="O5387" s="6" t="s">
        <v>673</v>
      </c>
      <c r="P5387" s="9" t="s">
        <v>33</v>
      </c>
      <c r="Q5387" s="9" t="s">
        <v>49</v>
      </c>
      <c r="R5387" s="9" t="s">
        <v>83</v>
      </c>
      <c r="S5387" s="7" t="s">
        <v>725</v>
      </c>
      <c r="T5387" s="9" t="s">
        <v>82</v>
      </c>
      <c r="U5387" s="7">
        <v>0.74</v>
      </c>
      <c r="V5387" s="12">
        <f>C5387+1</f>
        <v>40820</v>
      </c>
      <c r="W5387">
        <f>IF(D5387=' Pivot Tables'!$A$4,1,0)</f>
        <v>0</v>
      </c>
      <c r="X5387">
        <f>IF(AND(LEFT(D5387,4)+1=LEFT(' Pivot Tables'!$A$4,4)+0,RIGHT(LEFT(D5387,7),2)=RIGHT(LEFT(' Pivot Tables'!$A$4,7),2)),1,0)</f>
        <v>0</v>
      </c>
      <c r="Y5387" s="6">
        <f>1/COUNTIF(Таблица1[Order ID],Таблица1[[#This Row],[Order ID]])</f>
        <v>0.5</v>
      </c>
      <c r="Z5387" s="9">
        <f>1/COUNTIFS(Таблица1[Customer Name],Таблица1[[#This Row],[Customer Name]],Таблица1[Order-Year-Month],Таблица1[[#This Row],[Order-Year-Month]])</f>
        <v>0.25</v>
      </c>
    </row>
    <row r="5388" spans="1:26" x14ac:dyDescent="0.2">
      <c r="A5388" s="6">
        <v>3119</v>
      </c>
      <c r="B5388" s="7">
        <v>22404</v>
      </c>
      <c r="C5388" s="8">
        <f>DATE(2012,12,31)-776</f>
        <v>40498</v>
      </c>
      <c r="D5388" s="8" t="str">
        <f t="shared" si="101"/>
        <v>2010-11 (ноябрь 2010)</v>
      </c>
      <c r="E5388" s="9" t="s">
        <v>21</v>
      </c>
      <c r="F5388" s="7">
        <v>35</v>
      </c>
      <c r="G5388" s="7">
        <v>7264.64</v>
      </c>
      <c r="H5388" s="7">
        <v>0.06</v>
      </c>
      <c r="I5388" s="9" t="s">
        <v>22</v>
      </c>
      <c r="J5388" s="10">
        <v>1845.68</v>
      </c>
      <c r="K5388" s="11">
        <v>218.08</v>
      </c>
      <c r="L5388" s="11">
        <v>18.059999999999999</v>
      </c>
      <c r="M5388" s="9" t="s">
        <v>1916</v>
      </c>
      <c r="N5388" s="6" t="s">
        <v>1905</v>
      </c>
      <c r="O5388" s="6" t="s">
        <v>673</v>
      </c>
      <c r="P5388" s="9" t="s">
        <v>60</v>
      </c>
      <c r="Q5388" s="9" t="s">
        <v>49</v>
      </c>
      <c r="R5388" s="9" t="s">
        <v>112</v>
      </c>
      <c r="S5388" s="7" t="s">
        <v>186</v>
      </c>
      <c r="T5388" s="9" t="s">
        <v>29</v>
      </c>
      <c r="U5388" s="7">
        <v>0.56999999999999995</v>
      </c>
      <c r="V5388" s="12">
        <f>C5388+7</f>
        <v>40505</v>
      </c>
      <c r="W5388">
        <f>IF(D5388=' Pivot Tables'!$A$4,1,0)</f>
        <v>0</v>
      </c>
      <c r="X5388">
        <f>IF(AND(LEFT(D5388,4)+1=LEFT(' Pivot Tables'!$A$4,4)+0,RIGHT(LEFT(D5388,7),2)=RIGHT(LEFT(' Pivot Tables'!$A$4,7),2)),1,0)</f>
        <v>0</v>
      </c>
      <c r="Y5388" s="6">
        <f>1/COUNTIF(Таблица1[Order ID],Таблица1[[#This Row],[Order ID]])</f>
        <v>1</v>
      </c>
      <c r="Z5388" s="9">
        <f>1/COUNTIFS(Таблица1[Customer Name],Таблица1[[#This Row],[Customer Name]],Таблица1[Order-Year-Month],Таблица1[[#This Row],[Order-Year-Month]])</f>
        <v>1</v>
      </c>
    </row>
    <row r="5389" spans="1:26" x14ac:dyDescent="0.2">
      <c r="A5389" s="6">
        <v>3266</v>
      </c>
      <c r="B5389" s="7">
        <v>23362</v>
      </c>
      <c r="C5389" s="8">
        <f>DATE(2012,12,31)-857</f>
        <v>40417</v>
      </c>
      <c r="D5389" s="8" t="str">
        <f t="shared" si="101"/>
        <v>2010-08 (август 2010)</v>
      </c>
      <c r="E5389" s="9" t="s">
        <v>63</v>
      </c>
      <c r="F5389" s="7">
        <v>45</v>
      </c>
      <c r="G5389" s="7">
        <v>852.05</v>
      </c>
      <c r="H5389" s="7">
        <v>0.1</v>
      </c>
      <c r="I5389" s="9" t="s">
        <v>22</v>
      </c>
      <c r="J5389" s="10">
        <v>-20.6</v>
      </c>
      <c r="K5389" s="11">
        <v>19.98</v>
      </c>
      <c r="L5389" s="11">
        <v>10.49</v>
      </c>
      <c r="M5389" s="9" t="s">
        <v>1910</v>
      </c>
      <c r="N5389" s="6" t="s">
        <v>1905</v>
      </c>
      <c r="O5389" s="6" t="s">
        <v>673</v>
      </c>
      <c r="P5389" s="9" t="s">
        <v>25</v>
      </c>
      <c r="Q5389" s="9" t="s">
        <v>49</v>
      </c>
      <c r="R5389" s="9" t="s">
        <v>50</v>
      </c>
      <c r="S5389" s="7" t="s">
        <v>163</v>
      </c>
      <c r="T5389" s="9" t="s">
        <v>39</v>
      </c>
      <c r="U5389" s="7">
        <v>0.49</v>
      </c>
      <c r="V5389" s="12">
        <f>C5389+2</f>
        <v>40419</v>
      </c>
      <c r="W5389">
        <f>IF(D5389=' Pivot Tables'!$A$4,1,0)</f>
        <v>0</v>
      </c>
      <c r="X5389">
        <f>IF(AND(LEFT(D5389,4)+1=LEFT(' Pivot Tables'!$A$4,4)+0,RIGHT(LEFT(D5389,7),2)=RIGHT(LEFT(' Pivot Tables'!$A$4,7),2)),1,0)</f>
        <v>0</v>
      </c>
      <c r="Y5389" s="6">
        <f>1/COUNTIF(Таблица1[Order ID],Таблица1[[#This Row],[Order ID]])</f>
        <v>1</v>
      </c>
      <c r="Z5389" s="9">
        <f>1/COUNTIFS(Таблица1[Customer Name],Таблица1[[#This Row],[Customer Name]],Таблица1[Order-Year-Month],Таблица1[[#This Row],[Order-Year-Month]])</f>
        <v>1</v>
      </c>
    </row>
    <row r="5390" spans="1:26" x14ac:dyDescent="0.2">
      <c r="A5390" s="6">
        <v>3275</v>
      </c>
      <c r="B5390" s="7">
        <v>23399</v>
      </c>
      <c r="C5390" s="8">
        <f>DATE(2012,12,31)-733</f>
        <v>40541</v>
      </c>
      <c r="D5390" s="8" t="str">
        <f t="shared" si="101"/>
        <v>2010-12 (декабрь 2010)</v>
      </c>
      <c r="E5390" s="9" t="s">
        <v>30</v>
      </c>
      <c r="F5390" s="7">
        <v>14</v>
      </c>
      <c r="G5390" s="7">
        <v>209.3</v>
      </c>
      <c r="H5390" s="7">
        <v>0.01</v>
      </c>
      <c r="I5390" s="9" t="s">
        <v>56</v>
      </c>
      <c r="J5390" s="10">
        <v>7.86</v>
      </c>
      <c r="K5390" s="11">
        <v>13.48</v>
      </c>
      <c r="L5390" s="11">
        <v>4.51</v>
      </c>
      <c r="M5390" s="9" t="s">
        <v>1910</v>
      </c>
      <c r="N5390" s="6" t="s">
        <v>1905</v>
      </c>
      <c r="O5390" s="6" t="s">
        <v>673</v>
      </c>
      <c r="P5390" s="9" t="s">
        <v>25</v>
      </c>
      <c r="Q5390" s="9" t="s">
        <v>26</v>
      </c>
      <c r="R5390" s="9" t="s">
        <v>27</v>
      </c>
      <c r="S5390" s="7" t="s">
        <v>101</v>
      </c>
      <c r="T5390" s="9" t="s">
        <v>39</v>
      </c>
      <c r="U5390" s="7">
        <v>0.59</v>
      </c>
      <c r="V5390" s="12">
        <f>C5390+0</f>
        <v>40541</v>
      </c>
      <c r="W5390">
        <f>IF(D5390=' Pivot Tables'!$A$4,1,0)</f>
        <v>0</v>
      </c>
      <c r="X5390">
        <f>IF(AND(LEFT(D5390,4)+1=LEFT(' Pivot Tables'!$A$4,4)+0,RIGHT(LEFT(D5390,7),2)=RIGHT(LEFT(' Pivot Tables'!$A$4,7),2)),1,0)</f>
        <v>0</v>
      </c>
      <c r="Y5390" s="6">
        <f>1/COUNTIF(Таблица1[Order ID],Таблица1[[#This Row],[Order ID]])</f>
        <v>1</v>
      </c>
      <c r="Z5390" s="9">
        <f>1/COUNTIFS(Таблица1[Customer Name],Таблица1[[#This Row],[Customer Name]],Таблица1[Order-Year-Month],Таблица1[[#This Row],[Order-Year-Month]])</f>
        <v>1</v>
      </c>
    </row>
    <row r="5391" spans="1:26" x14ac:dyDescent="0.2">
      <c r="A5391" s="6">
        <v>3326</v>
      </c>
      <c r="B5391" s="7">
        <v>23781</v>
      </c>
      <c r="C5391" s="8">
        <f>DATE(2012,12,31)-427</f>
        <v>40847</v>
      </c>
      <c r="D5391" s="8" t="str">
        <f t="shared" si="101"/>
        <v>2011-10 (октябрь 2011)</v>
      </c>
      <c r="E5391" s="9" t="s">
        <v>78</v>
      </c>
      <c r="F5391" s="7">
        <v>30</v>
      </c>
      <c r="G5391" s="7">
        <v>200.24</v>
      </c>
      <c r="H5391" s="7">
        <v>0</v>
      </c>
      <c r="I5391" s="9" t="s">
        <v>22</v>
      </c>
      <c r="J5391" s="10">
        <v>-59.85</v>
      </c>
      <c r="K5391" s="11">
        <v>6.48</v>
      </c>
      <c r="L5391" s="11">
        <v>5.84</v>
      </c>
      <c r="M5391" s="9" t="s">
        <v>1917</v>
      </c>
      <c r="N5391" s="6" t="s">
        <v>1905</v>
      </c>
      <c r="O5391" s="6" t="s">
        <v>673</v>
      </c>
      <c r="P5391" s="9" t="s">
        <v>60</v>
      </c>
      <c r="Q5391" s="9" t="s">
        <v>26</v>
      </c>
      <c r="R5391" s="9" t="s">
        <v>61</v>
      </c>
      <c r="S5391" s="7" t="s">
        <v>776</v>
      </c>
      <c r="T5391" s="9" t="s">
        <v>39</v>
      </c>
      <c r="U5391" s="7">
        <v>0.37</v>
      </c>
      <c r="V5391" s="12">
        <f>C5391+2</f>
        <v>40849</v>
      </c>
      <c r="W5391">
        <f>IF(D5391=' Pivot Tables'!$A$4,1,0)</f>
        <v>0</v>
      </c>
      <c r="X5391">
        <f>IF(AND(LEFT(D5391,4)+1=LEFT(' Pivot Tables'!$A$4,4)+0,RIGHT(LEFT(D5391,7),2)=RIGHT(LEFT(' Pivot Tables'!$A$4,7),2)),1,0)</f>
        <v>0</v>
      </c>
      <c r="Y5391" s="6">
        <f>1/COUNTIF(Таблица1[Order ID],Таблица1[[#This Row],[Order ID]])</f>
        <v>1</v>
      </c>
      <c r="Z5391" s="9">
        <f>1/COUNTIFS(Таблица1[Customer Name],Таблица1[[#This Row],[Customer Name]],Таблица1[Order-Year-Month],Таблица1[[#This Row],[Order-Year-Month]])</f>
        <v>1</v>
      </c>
    </row>
    <row r="5392" spans="1:26" x14ac:dyDescent="0.2">
      <c r="A5392" s="6">
        <v>3332</v>
      </c>
      <c r="B5392" s="7">
        <v>23812</v>
      </c>
      <c r="C5392" s="8">
        <f>DATE(2012,12,31)-157</f>
        <v>41117</v>
      </c>
      <c r="D5392" s="8" t="str">
        <f t="shared" si="101"/>
        <v>2012-07 (июль 2012)</v>
      </c>
      <c r="E5392" s="9" t="s">
        <v>78</v>
      </c>
      <c r="F5392" s="7">
        <v>32</v>
      </c>
      <c r="G5392" s="7">
        <v>5845.82</v>
      </c>
      <c r="H5392" s="7">
        <v>0.1</v>
      </c>
      <c r="I5392" s="9" t="s">
        <v>31</v>
      </c>
      <c r="J5392" s="10">
        <v>2227.89</v>
      </c>
      <c r="K5392" s="11">
        <v>200.97</v>
      </c>
      <c r="L5392" s="11">
        <v>15.59</v>
      </c>
      <c r="M5392" s="9" t="s">
        <v>1915</v>
      </c>
      <c r="N5392" s="6" t="s">
        <v>1905</v>
      </c>
      <c r="O5392" s="6" t="s">
        <v>673</v>
      </c>
      <c r="P5392" s="9" t="s">
        <v>60</v>
      </c>
      <c r="Q5392" s="9" t="s">
        <v>42</v>
      </c>
      <c r="R5392" s="9" t="s">
        <v>210</v>
      </c>
      <c r="S5392" s="7" t="s">
        <v>302</v>
      </c>
      <c r="T5392" s="9" t="s">
        <v>36</v>
      </c>
      <c r="U5392" s="7">
        <v>0.36</v>
      </c>
      <c r="V5392" s="12">
        <f>C5392+0</f>
        <v>41117</v>
      </c>
      <c r="W5392">
        <f>IF(D5392=' Pivot Tables'!$A$4,1,0)</f>
        <v>0</v>
      </c>
      <c r="X5392">
        <f>IF(AND(LEFT(D5392,4)+1=LEFT(' Pivot Tables'!$A$4,4)+0,RIGHT(LEFT(D5392,7),2)=RIGHT(LEFT(' Pivot Tables'!$A$4,7),2)),1,0)</f>
        <v>0</v>
      </c>
      <c r="Y5392" s="6">
        <f>1/COUNTIF(Таблица1[Order ID],Таблица1[[#This Row],[Order ID]])</f>
        <v>1</v>
      </c>
      <c r="Z5392" s="9">
        <f>1/COUNTIFS(Таблица1[Customer Name],Таблица1[[#This Row],[Customer Name]],Таблица1[Order-Year-Month],Таблица1[[#This Row],[Order-Year-Month]])</f>
        <v>1</v>
      </c>
    </row>
    <row r="5393" spans="1:26" x14ac:dyDescent="0.2">
      <c r="A5393" s="6">
        <v>3399</v>
      </c>
      <c r="B5393" s="7">
        <v>24199</v>
      </c>
      <c r="C5393" s="8">
        <f>DATE(2012,12,31)-1294</f>
        <v>39980</v>
      </c>
      <c r="D5393" s="8" t="str">
        <f t="shared" si="101"/>
        <v>2009-06 (июнь 2009)</v>
      </c>
      <c r="E5393" s="9" t="s">
        <v>78</v>
      </c>
      <c r="F5393" s="7">
        <v>16</v>
      </c>
      <c r="G5393" s="7">
        <v>706.53</v>
      </c>
      <c r="H5393" s="7">
        <v>0</v>
      </c>
      <c r="I5393" s="9" t="s">
        <v>22</v>
      </c>
      <c r="J5393" s="10">
        <v>-314.42</v>
      </c>
      <c r="K5393" s="11">
        <v>40.479999999999997</v>
      </c>
      <c r="L5393" s="11">
        <v>19.989999999999998</v>
      </c>
      <c r="M5393" s="9" t="s">
        <v>1910</v>
      </c>
      <c r="N5393" s="6" t="s">
        <v>1905</v>
      </c>
      <c r="O5393" s="6" t="s">
        <v>673</v>
      </c>
      <c r="P5393" s="9" t="s">
        <v>25</v>
      </c>
      <c r="Q5393" s="9" t="s">
        <v>42</v>
      </c>
      <c r="R5393" s="9" t="s">
        <v>70</v>
      </c>
      <c r="S5393" s="7" t="s">
        <v>549</v>
      </c>
      <c r="T5393" s="9" t="s">
        <v>39</v>
      </c>
      <c r="U5393" s="7">
        <v>0.77</v>
      </c>
      <c r="V5393" s="12">
        <f>C5393+1</f>
        <v>39981</v>
      </c>
      <c r="W5393">
        <f>IF(D5393=' Pivot Tables'!$A$4,1,0)</f>
        <v>0</v>
      </c>
      <c r="X5393">
        <f>IF(AND(LEFT(D5393,4)+1=LEFT(' Pivot Tables'!$A$4,4)+0,RIGHT(LEFT(D5393,7),2)=RIGHT(LEFT(' Pivot Tables'!$A$4,7),2)),1,0)</f>
        <v>0</v>
      </c>
      <c r="Y5393" s="6">
        <f>1/COUNTIF(Таблица1[Order ID],Таблица1[[#This Row],[Order ID]])</f>
        <v>1</v>
      </c>
      <c r="Z5393" s="9">
        <f>1/COUNTIFS(Таблица1[Customer Name],Таблица1[[#This Row],[Customer Name]],Таблица1[Order-Year-Month],Таблица1[[#This Row],[Order-Year-Month]])</f>
        <v>1</v>
      </c>
    </row>
    <row r="5394" spans="1:26" x14ac:dyDescent="0.2">
      <c r="A5394" s="6">
        <v>3534</v>
      </c>
      <c r="B5394" s="7">
        <v>25155</v>
      </c>
      <c r="C5394" s="8">
        <f>DATE(2012,12,31)-1076</f>
        <v>40198</v>
      </c>
      <c r="D5394" s="8" t="str">
        <f t="shared" si="101"/>
        <v>2010-01 (январь 2010)</v>
      </c>
      <c r="E5394" s="9" t="s">
        <v>21</v>
      </c>
      <c r="F5394" s="7">
        <v>48</v>
      </c>
      <c r="G5394" s="7">
        <v>1038.99</v>
      </c>
      <c r="H5394" s="7">
        <v>0</v>
      </c>
      <c r="I5394" s="9" t="s">
        <v>22</v>
      </c>
      <c r="J5394" s="10">
        <v>-180.45</v>
      </c>
      <c r="K5394" s="11">
        <v>19.940000000000001</v>
      </c>
      <c r="L5394" s="11">
        <v>14.87</v>
      </c>
      <c r="M5394" s="9" t="s">
        <v>1908</v>
      </c>
      <c r="N5394" s="6" t="s">
        <v>1905</v>
      </c>
      <c r="O5394" s="6" t="s">
        <v>673</v>
      </c>
      <c r="P5394" s="9" t="s">
        <v>41</v>
      </c>
      <c r="Q5394" s="9" t="s">
        <v>49</v>
      </c>
      <c r="R5394" s="9" t="s">
        <v>50</v>
      </c>
      <c r="S5394" s="7" t="s">
        <v>375</v>
      </c>
      <c r="T5394" s="9" t="s">
        <v>29</v>
      </c>
      <c r="U5394" s="7">
        <v>0.56999999999999995</v>
      </c>
      <c r="V5394" s="12">
        <f>C5394+7</f>
        <v>40205</v>
      </c>
      <c r="W5394">
        <f>IF(D5394=' Pivot Tables'!$A$4,1,0)</f>
        <v>1</v>
      </c>
      <c r="X5394">
        <f>IF(AND(LEFT(D5394,4)+1=LEFT(' Pivot Tables'!$A$4,4)+0,RIGHT(LEFT(D5394,7),2)=RIGHT(LEFT(' Pivot Tables'!$A$4,7),2)),1,0)</f>
        <v>0</v>
      </c>
      <c r="Y5394" s="6">
        <f>1/COUNTIF(Таблица1[Order ID],Таблица1[[#This Row],[Order ID]])</f>
        <v>0.33333333333333331</v>
      </c>
      <c r="Z5394" s="9">
        <f>1/COUNTIFS(Таблица1[Customer Name],Таблица1[[#This Row],[Customer Name]],Таблица1[Order-Year-Month],Таблица1[[#This Row],[Order-Year-Month]])</f>
        <v>0.33333333333333331</v>
      </c>
    </row>
    <row r="5395" spans="1:26" x14ac:dyDescent="0.2">
      <c r="A5395" s="6">
        <v>3535</v>
      </c>
      <c r="B5395" s="7">
        <v>25155</v>
      </c>
      <c r="C5395" s="8">
        <f>DATE(2012,12,31)-1076</f>
        <v>40198</v>
      </c>
      <c r="D5395" s="8" t="str">
        <f t="shared" si="101"/>
        <v>2010-01 (январь 2010)</v>
      </c>
      <c r="E5395" s="9" t="s">
        <v>21</v>
      </c>
      <c r="F5395" s="7">
        <v>17</v>
      </c>
      <c r="G5395" s="7">
        <v>114.01</v>
      </c>
      <c r="H5395" s="7">
        <v>0.08</v>
      </c>
      <c r="I5395" s="9" t="s">
        <v>22</v>
      </c>
      <c r="J5395" s="10">
        <v>6.99</v>
      </c>
      <c r="K5395" s="11">
        <v>6.69</v>
      </c>
      <c r="L5395" s="11">
        <v>3.1</v>
      </c>
      <c r="M5395" s="9" t="s">
        <v>1908</v>
      </c>
      <c r="N5395" s="6" t="s">
        <v>1905</v>
      </c>
      <c r="O5395" s="6" t="s">
        <v>673</v>
      </c>
      <c r="P5395" s="9" t="s">
        <v>41</v>
      </c>
      <c r="Q5395" s="9" t="s">
        <v>26</v>
      </c>
      <c r="R5395" s="9" t="s">
        <v>61</v>
      </c>
      <c r="S5395" s="7" t="s">
        <v>1188</v>
      </c>
      <c r="T5395" s="9" t="s">
        <v>68</v>
      </c>
      <c r="U5395" s="7">
        <v>0.36</v>
      </c>
      <c r="V5395" s="12">
        <f>C5395+7</f>
        <v>40205</v>
      </c>
      <c r="W5395">
        <f>IF(D5395=' Pivot Tables'!$A$4,1,0)</f>
        <v>1</v>
      </c>
      <c r="X5395">
        <f>IF(AND(LEFT(D5395,4)+1=LEFT(' Pivot Tables'!$A$4,4)+0,RIGHT(LEFT(D5395,7),2)=RIGHT(LEFT(' Pivot Tables'!$A$4,7),2)),1,0)</f>
        <v>0</v>
      </c>
      <c r="Y5395" s="6">
        <f>1/COUNTIF(Таблица1[Order ID],Таблица1[[#This Row],[Order ID]])</f>
        <v>0.33333333333333331</v>
      </c>
      <c r="Z5395" s="9">
        <f>1/COUNTIFS(Таблица1[Customer Name],Таблица1[[#This Row],[Customer Name]],Таблица1[Order-Year-Month],Таблица1[[#This Row],[Order-Year-Month]])</f>
        <v>0.33333333333333331</v>
      </c>
    </row>
    <row r="5396" spans="1:26" x14ac:dyDescent="0.2">
      <c r="A5396" s="6">
        <v>3536</v>
      </c>
      <c r="B5396" s="7">
        <v>25155</v>
      </c>
      <c r="C5396" s="8">
        <f>DATE(2012,12,31)-1076</f>
        <v>40198</v>
      </c>
      <c r="D5396" s="8" t="str">
        <f t="shared" si="101"/>
        <v>2010-01 (январь 2010)</v>
      </c>
      <c r="E5396" s="9" t="s">
        <v>21</v>
      </c>
      <c r="F5396" s="7">
        <v>3</v>
      </c>
      <c r="G5396" s="7">
        <v>30.37</v>
      </c>
      <c r="H5396" s="7">
        <v>0.01</v>
      </c>
      <c r="I5396" s="9" t="s">
        <v>56</v>
      </c>
      <c r="J5396" s="10">
        <v>-1.74</v>
      </c>
      <c r="K5396" s="11">
        <v>4.9800000000000004</v>
      </c>
      <c r="L5396" s="11">
        <v>5.49</v>
      </c>
      <c r="M5396" s="9" t="s">
        <v>1908</v>
      </c>
      <c r="N5396" s="6" t="s">
        <v>1905</v>
      </c>
      <c r="O5396" s="6" t="s">
        <v>673</v>
      </c>
      <c r="P5396" s="9" t="s">
        <v>41</v>
      </c>
      <c r="Q5396" s="9" t="s">
        <v>26</v>
      </c>
      <c r="R5396" s="9" t="s">
        <v>61</v>
      </c>
      <c r="S5396" s="7" t="s">
        <v>1224</v>
      </c>
      <c r="T5396" s="9" t="s">
        <v>39</v>
      </c>
      <c r="U5396" s="7">
        <v>0.38</v>
      </c>
      <c r="V5396" s="12">
        <f>C5396+5</f>
        <v>40203</v>
      </c>
      <c r="W5396">
        <f>IF(D5396=' Pivot Tables'!$A$4,1,0)</f>
        <v>1</v>
      </c>
      <c r="X5396">
        <f>IF(AND(LEFT(D5396,4)+1=LEFT(' Pivot Tables'!$A$4,4)+0,RIGHT(LEFT(D5396,7),2)=RIGHT(LEFT(' Pivot Tables'!$A$4,7),2)),1,0)</f>
        <v>0</v>
      </c>
      <c r="Y5396" s="6">
        <f>1/COUNTIF(Таблица1[Order ID],Таблица1[[#This Row],[Order ID]])</f>
        <v>0.33333333333333331</v>
      </c>
      <c r="Z5396" s="9">
        <f>1/COUNTIFS(Таблица1[Customer Name],Таблица1[[#This Row],[Customer Name]],Таблица1[Order-Year-Month],Таблица1[[#This Row],[Order-Year-Month]])</f>
        <v>0.33333333333333331</v>
      </c>
    </row>
    <row r="5397" spans="1:26" x14ac:dyDescent="0.2">
      <c r="A5397" s="6">
        <v>3648</v>
      </c>
      <c r="B5397" s="7">
        <v>26084</v>
      </c>
      <c r="C5397" s="8">
        <f>DATE(2012,12,31)-76</f>
        <v>41198</v>
      </c>
      <c r="D5397" s="8" t="str">
        <f t="shared" si="101"/>
        <v>2012-10 (октябрь 2012)</v>
      </c>
      <c r="E5397" s="9" t="s">
        <v>21</v>
      </c>
      <c r="F5397" s="7">
        <v>33</v>
      </c>
      <c r="G5397" s="7">
        <v>228.82</v>
      </c>
      <c r="H5397" s="7">
        <v>0.03</v>
      </c>
      <c r="I5397" s="9" t="s">
        <v>56</v>
      </c>
      <c r="J5397" s="10">
        <v>-107</v>
      </c>
      <c r="K5397" s="11">
        <v>6.68</v>
      </c>
      <c r="L5397" s="11">
        <v>7.3</v>
      </c>
      <c r="M5397" s="9" t="s">
        <v>1852</v>
      </c>
      <c r="N5397" s="6" t="s">
        <v>1905</v>
      </c>
      <c r="O5397" s="6" t="s">
        <v>673</v>
      </c>
      <c r="P5397" s="9" t="s">
        <v>41</v>
      </c>
      <c r="Q5397" s="9" t="s">
        <v>26</v>
      </c>
      <c r="R5397" s="9" t="s">
        <v>61</v>
      </c>
      <c r="S5397" s="7" t="s">
        <v>1317</v>
      </c>
      <c r="T5397" s="9" t="s">
        <v>39</v>
      </c>
      <c r="U5397" s="7">
        <v>0.37</v>
      </c>
      <c r="V5397" s="12">
        <f>C5397+5</f>
        <v>41203</v>
      </c>
      <c r="W5397">
        <f>IF(D5397=' Pivot Tables'!$A$4,1,0)</f>
        <v>0</v>
      </c>
      <c r="X5397">
        <f>IF(AND(LEFT(D5397,4)+1=LEFT(' Pivot Tables'!$A$4,4)+0,RIGHT(LEFT(D5397,7),2)=RIGHT(LEFT(' Pivot Tables'!$A$4,7),2)),1,0)</f>
        <v>0</v>
      </c>
      <c r="Y5397" s="6">
        <f>1/COUNTIF(Таблица1[Order ID],Таблица1[[#This Row],[Order ID]])</f>
        <v>1</v>
      </c>
      <c r="Z5397" s="9">
        <f>1/COUNTIFS(Таблица1[Customer Name],Таблица1[[#This Row],[Customer Name]],Таблица1[Order-Year-Month],Таблица1[[#This Row],[Order-Year-Month]])</f>
        <v>0.5</v>
      </c>
    </row>
    <row r="5398" spans="1:26" x14ac:dyDescent="0.2">
      <c r="A5398" s="6">
        <v>3654</v>
      </c>
      <c r="B5398" s="7">
        <v>26146</v>
      </c>
      <c r="C5398" s="8">
        <f>DATE(2012,12,31)-1177</f>
        <v>40097</v>
      </c>
      <c r="D5398" s="8" t="str">
        <f t="shared" si="101"/>
        <v>2009-10 (октябрь 2009)</v>
      </c>
      <c r="E5398" s="9" t="s">
        <v>21</v>
      </c>
      <c r="F5398" s="7">
        <v>13</v>
      </c>
      <c r="G5398" s="7">
        <v>1351.76</v>
      </c>
      <c r="H5398" s="7">
        <v>0.03</v>
      </c>
      <c r="I5398" s="9" t="s">
        <v>22</v>
      </c>
      <c r="J5398" s="10">
        <v>107.31</v>
      </c>
      <c r="K5398" s="11">
        <v>104.65</v>
      </c>
      <c r="L5398" s="11">
        <v>18.93</v>
      </c>
      <c r="M5398" s="9" t="s">
        <v>1908</v>
      </c>
      <c r="N5398" s="6" t="s">
        <v>1905</v>
      </c>
      <c r="O5398" s="6" t="s">
        <v>673</v>
      </c>
      <c r="P5398" s="9" t="s">
        <v>41</v>
      </c>
      <c r="Q5398" s="9" t="s">
        <v>26</v>
      </c>
      <c r="R5398" s="9" t="s">
        <v>34</v>
      </c>
      <c r="S5398" s="7" t="s">
        <v>1919</v>
      </c>
      <c r="T5398" s="9" t="s">
        <v>39</v>
      </c>
      <c r="U5398" s="7">
        <v>0.57999999999999996</v>
      </c>
      <c r="V5398" s="12">
        <f>C5398+7</f>
        <v>40104</v>
      </c>
      <c r="W5398">
        <f>IF(D5398=' Pivot Tables'!$A$4,1,0)</f>
        <v>0</v>
      </c>
      <c r="X5398">
        <f>IF(AND(LEFT(D5398,4)+1=LEFT(' Pivot Tables'!$A$4,4)+0,RIGHT(LEFT(D5398,7),2)=RIGHT(LEFT(' Pivot Tables'!$A$4,7),2)),1,0)</f>
        <v>0</v>
      </c>
      <c r="Y5398" s="6">
        <f>1/COUNTIF(Таблица1[Order ID],Таблица1[[#This Row],[Order ID]])</f>
        <v>0.5</v>
      </c>
      <c r="Z5398" s="9">
        <f>1/COUNTIFS(Таблица1[Customer Name],Таблица1[[#This Row],[Customer Name]],Таблица1[Order-Year-Month],Таблица1[[#This Row],[Order-Year-Month]])</f>
        <v>0.5</v>
      </c>
    </row>
    <row r="5399" spans="1:26" x14ac:dyDescent="0.2">
      <c r="A5399" s="6">
        <v>3655</v>
      </c>
      <c r="B5399" s="7">
        <v>26146</v>
      </c>
      <c r="C5399" s="8">
        <f>DATE(2012,12,31)-1177</f>
        <v>40097</v>
      </c>
      <c r="D5399" s="8" t="str">
        <f t="shared" si="101"/>
        <v>2009-10 (октябрь 2009)</v>
      </c>
      <c r="E5399" s="9" t="s">
        <v>21</v>
      </c>
      <c r="F5399" s="7">
        <v>49</v>
      </c>
      <c r="G5399" s="7">
        <v>595.4</v>
      </c>
      <c r="H5399" s="7">
        <v>0.03</v>
      </c>
      <c r="I5399" s="9" t="s">
        <v>22</v>
      </c>
      <c r="J5399" s="10">
        <v>-148.85</v>
      </c>
      <c r="K5399" s="11">
        <v>11.66</v>
      </c>
      <c r="L5399" s="11">
        <v>7.95</v>
      </c>
      <c r="M5399" s="9" t="s">
        <v>1908</v>
      </c>
      <c r="N5399" s="6" t="s">
        <v>1905</v>
      </c>
      <c r="O5399" s="6" t="s">
        <v>673</v>
      </c>
      <c r="P5399" s="9" t="s">
        <v>41</v>
      </c>
      <c r="Q5399" s="9" t="s">
        <v>26</v>
      </c>
      <c r="R5399" s="9" t="s">
        <v>95</v>
      </c>
      <c r="S5399" s="7" t="s">
        <v>555</v>
      </c>
      <c r="T5399" s="9" t="s">
        <v>52</v>
      </c>
      <c r="U5399" s="7">
        <v>0.57999999999999996</v>
      </c>
      <c r="V5399" s="12">
        <f>C5399+9</f>
        <v>40106</v>
      </c>
      <c r="W5399">
        <f>IF(D5399=' Pivot Tables'!$A$4,1,0)</f>
        <v>0</v>
      </c>
      <c r="X5399">
        <f>IF(AND(LEFT(D5399,4)+1=LEFT(' Pivot Tables'!$A$4,4)+0,RIGHT(LEFT(D5399,7),2)=RIGHT(LEFT(' Pivot Tables'!$A$4,7),2)),1,0)</f>
        <v>0</v>
      </c>
      <c r="Y5399" s="6">
        <f>1/COUNTIF(Таблица1[Order ID],Таблица1[[#This Row],[Order ID]])</f>
        <v>0.5</v>
      </c>
      <c r="Z5399" s="9">
        <f>1/COUNTIFS(Таблица1[Customer Name],Таблица1[[#This Row],[Customer Name]],Таблица1[Order-Year-Month],Таблица1[[#This Row],[Order-Year-Month]])</f>
        <v>0.5</v>
      </c>
    </row>
    <row r="5400" spans="1:26" x14ac:dyDescent="0.2">
      <c r="A5400" s="6">
        <v>3715</v>
      </c>
      <c r="B5400" s="7">
        <v>26529</v>
      </c>
      <c r="C5400" s="8">
        <f>DATE(2012,12,31)-703</f>
        <v>40571</v>
      </c>
      <c r="D5400" s="8" t="str">
        <f t="shared" si="101"/>
        <v>2011-01 (январь 2011)</v>
      </c>
      <c r="E5400" s="9" t="s">
        <v>21</v>
      </c>
      <c r="F5400" s="7">
        <v>41</v>
      </c>
      <c r="G5400" s="7">
        <v>12125.14</v>
      </c>
      <c r="H5400" s="7">
        <v>0.08</v>
      </c>
      <c r="I5400" s="9" t="s">
        <v>31</v>
      </c>
      <c r="J5400" s="10">
        <v>3376.03</v>
      </c>
      <c r="K5400" s="11">
        <v>297.64</v>
      </c>
      <c r="L5400" s="11">
        <v>14.7</v>
      </c>
      <c r="M5400" s="9" t="s">
        <v>1920</v>
      </c>
      <c r="N5400" s="6" t="s">
        <v>1905</v>
      </c>
      <c r="O5400" s="6" t="s">
        <v>673</v>
      </c>
      <c r="P5400" s="9" t="s">
        <v>33</v>
      </c>
      <c r="Q5400" s="9" t="s">
        <v>42</v>
      </c>
      <c r="R5400" s="9" t="s">
        <v>210</v>
      </c>
      <c r="S5400" s="7" t="s">
        <v>758</v>
      </c>
      <c r="T5400" s="9" t="s">
        <v>36</v>
      </c>
      <c r="U5400" s="7">
        <v>0.56999999999999995</v>
      </c>
      <c r="V5400" s="12">
        <f>C5400+4</f>
        <v>40575</v>
      </c>
      <c r="W5400">
        <f>IF(D5400=' Pivot Tables'!$A$4,1,0)</f>
        <v>0</v>
      </c>
      <c r="X5400">
        <f>IF(AND(LEFT(D5400,4)+1=LEFT(' Pivot Tables'!$A$4,4)+0,RIGHT(LEFT(D5400,7),2)=RIGHT(LEFT(' Pivot Tables'!$A$4,7),2)),1,0)</f>
        <v>0</v>
      </c>
      <c r="Y5400" s="6">
        <f>1/COUNTIF(Таблица1[Order ID],Таблица1[[#This Row],[Order ID]])</f>
        <v>0.5</v>
      </c>
      <c r="Z5400" s="9">
        <f>1/COUNTIFS(Таблица1[Customer Name],Таблица1[[#This Row],[Customer Name]],Таблица1[Order-Year-Month],Таблица1[[#This Row],[Order-Year-Month]])</f>
        <v>0.5</v>
      </c>
    </row>
    <row r="5401" spans="1:26" x14ac:dyDescent="0.2">
      <c r="A5401" s="6">
        <v>3736</v>
      </c>
      <c r="B5401" s="7">
        <v>26693</v>
      </c>
      <c r="C5401" s="8">
        <f>DATE(2012,12,31)-863</f>
        <v>40411</v>
      </c>
      <c r="D5401" s="8" t="str">
        <f t="shared" si="101"/>
        <v>2010-08 (август 2010)</v>
      </c>
      <c r="E5401" s="9" t="s">
        <v>63</v>
      </c>
      <c r="F5401" s="7">
        <v>44</v>
      </c>
      <c r="G5401" s="7">
        <v>2094.9779999999996</v>
      </c>
      <c r="H5401" s="7">
        <v>0.06</v>
      </c>
      <c r="I5401" s="9" t="s">
        <v>56</v>
      </c>
      <c r="J5401" s="10">
        <v>697.29300000000001</v>
      </c>
      <c r="K5401" s="11">
        <v>55.99</v>
      </c>
      <c r="L5401" s="11">
        <v>1.25</v>
      </c>
      <c r="M5401" s="9" t="s">
        <v>1912</v>
      </c>
      <c r="N5401" s="6" t="s">
        <v>1905</v>
      </c>
      <c r="O5401" s="6" t="s">
        <v>673</v>
      </c>
      <c r="P5401" s="9" t="s">
        <v>41</v>
      </c>
      <c r="Q5401" s="9" t="s">
        <v>42</v>
      </c>
      <c r="R5401" s="9" t="s">
        <v>43</v>
      </c>
      <c r="S5401" s="7" t="s">
        <v>661</v>
      </c>
      <c r="T5401" s="9" t="s">
        <v>52</v>
      </c>
      <c r="U5401" s="7">
        <v>0.55000000000000004</v>
      </c>
      <c r="V5401" s="12">
        <f>C5401+2</f>
        <v>40413</v>
      </c>
      <c r="W5401">
        <f>IF(D5401=' Pivot Tables'!$A$4,1,0)</f>
        <v>0</v>
      </c>
      <c r="X5401">
        <f>IF(AND(LEFT(D5401,4)+1=LEFT(' Pivot Tables'!$A$4,4)+0,RIGHT(LEFT(D5401,7),2)=RIGHT(LEFT(' Pivot Tables'!$A$4,7),2)),1,0)</f>
        <v>0</v>
      </c>
      <c r="Y5401" s="6">
        <f>1/COUNTIF(Таблица1[Order ID],Таблица1[[#This Row],[Order ID]])</f>
        <v>1</v>
      </c>
      <c r="Z5401" s="9">
        <f>1/COUNTIFS(Таблица1[Customer Name],Таблица1[[#This Row],[Customer Name]],Таблица1[Order-Year-Month],Таблица1[[#This Row],[Order-Year-Month]])</f>
        <v>1</v>
      </c>
    </row>
    <row r="5402" spans="1:26" x14ac:dyDescent="0.2">
      <c r="A5402" s="6">
        <v>3775</v>
      </c>
      <c r="B5402" s="7">
        <v>26948</v>
      </c>
      <c r="C5402" s="8">
        <f>DATE(2012,12,31)-405</f>
        <v>40869</v>
      </c>
      <c r="D5402" s="8" t="str">
        <f t="shared" si="101"/>
        <v>2011-11 (ноябрь 2011)</v>
      </c>
      <c r="E5402" s="9" t="s">
        <v>30</v>
      </c>
      <c r="F5402" s="7">
        <v>38</v>
      </c>
      <c r="G5402" s="7">
        <v>273.89</v>
      </c>
      <c r="H5402" s="7">
        <v>0.05</v>
      </c>
      <c r="I5402" s="9" t="s">
        <v>22</v>
      </c>
      <c r="J5402" s="10">
        <v>-160.40199999999999</v>
      </c>
      <c r="K5402" s="11">
        <v>7.3</v>
      </c>
      <c r="L5402" s="11">
        <v>7.72</v>
      </c>
      <c r="M5402" s="9" t="s">
        <v>1396</v>
      </c>
      <c r="N5402" s="6" t="s">
        <v>1905</v>
      </c>
      <c r="O5402" s="6" t="s">
        <v>673</v>
      </c>
      <c r="P5402" s="9" t="s">
        <v>60</v>
      </c>
      <c r="Q5402" s="9" t="s">
        <v>26</v>
      </c>
      <c r="R5402" s="9" t="s">
        <v>37</v>
      </c>
      <c r="S5402" s="7" t="s">
        <v>54</v>
      </c>
      <c r="T5402" s="9" t="s">
        <v>39</v>
      </c>
      <c r="U5402" s="7">
        <v>0.38</v>
      </c>
      <c r="V5402" s="12">
        <f>C5402+1</f>
        <v>40870</v>
      </c>
      <c r="W5402">
        <f>IF(D5402=' Pivot Tables'!$A$4,1,0)</f>
        <v>0</v>
      </c>
      <c r="X5402">
        <f>IF(AND(LEFT(D5402,4)+1=LEFT(' Pivot Tables'!$A$4,4)+0,RIGHT(LEFT(D5402,7),2)=RIGHT(LEFT(' Pivot Tables'!$A$4,7),2)),1,0)</f>
        <v>0</v>
      </c>
      <c r="Y5402" s="6">
        <f>1/COUNTIF(Таблица1[Order ID],Таблица1[[#This Row],[Order ID]])</f>
        <v>0.5</v>
      </c>
      <c r="Z5402" s="9">
        <f>1/COUNTIFS(Таблица1[Customer Name],Таблица1[[#This Row],[Customer Name]],Таблица1[Order-Year-Month],Таблица1[[#This Row],[Order-Year-Month]])</f>
        <v>0.25</v>
      </c>
    </row>
    <row r="5403" spans="1:26" x14ac:dyDescent="0.2">
      <c r="A5403" s="6">
        <v>3777</v>
      </c>
      <c r="B5403" s="7">
        <v>26951</v>
      </c>
      <c r="C5403" s="8">
        <f>DATE(2012,12,31)-998</f>
        <v>40276</v>
      </c>
      <c r="D5403" s="8" t="str">
        <f t="shared" si="101"/>
        <v>2010-04 (апрель 2010)</v>
      </c>
      <c r="E5403" s="9" t="s">
        <v>45</v>
      </c>
      <c r="F5403" s="7">
        <v>3</v>
      </c>
      <c r="G5403" s="7">
        <v>451.81</v>
      </c>
      <c r="H5403" s="7">
        <v>0.05</v>
      </c>
      <c r="I5403" s="9" t="s">
        <v>22</v>
      </c>
      <c r="J5403" s="10">
        <v>-318.59399999999999</v>
      </c>
      <c r="K5403" s="11">
        <v>150.97999999999999</v>
      </c>
      <c r="L5403" s="11">
        <v>13.99</v>
      </c>
      <c r="M5403" s="9" t="s">
        <v>1921</v>
      </c>
      <c r="N5403" s="6" t="s">
        <v>1905</v>
      </c>
      <c r="O5403" s="6" t="s">
        <v>673</v>
      </c>
      <c r="P5403" s="9" t="s">
        <v>60</v>
      </c>
      <c r="Q5403" s="9" t="s">
        <v>42</v>
      </c>
      <c r="R5403" s="9" t="s">
        <v>210</v>
      </c>
      <c r="S5403" s="7" t="s">
        <v>341</v>
      </c>
      <c r="T5403" s="9" t="s">
        <v>48</v>
      </c>
      <c r="U5403" s="7">
        <v>0.38</v>
      </c>
      <c r="V5403" s="12">
        <f>C5403+1</f>
        <v>40277</v>
      </c>
      <c r="W5403">
        <f>IF(D5403=' Pivot Tables'!$A$4,1,0)</f>
        <v>0</v>
      </c>
      <c r="X5403">
        <f>IF(AND(LEFT(D5403,4)+1=LEFT(' Pivot Tables'!$A$4,4)+0,RIGHT(LEFT(D5403,7),2)=RIGHT(LEFT(' Pivot Tables'!$A$4,7),2)),1,0)</f>
        <v>0</v>
      </c>
      <c r="Y5403" s="6">
        <f>1/COUNTIF(Таблица1[Order ID],Таблица1[[#This Row],[Order ID]])</f>
        <v>1</v>
      </c>
      <c r="Z5403" s="9">
        <f>1/COUNTIFS(Таблица1[Customer Name],Таблица1[[#This Row],[Customer Name]],Таблица1[Order-Year-Month],Таблица1[[#This Row],[Order-Year-Month]])</f>
        <v>1</v>
      </c>
    </row>
    <row r="5404" spans="1:26" x14ac:dyDescent="0.2">
      <c r="A5404" s="6">
        <v>3812</v>
      </c>
      <c r="B5404" s="7">
        <v>27141</v>
      </c>
      <c r="C5404" s="8">
        <f>DATE(2012,12,31)-1061</f>
        <v>40213</v>
      </c>
      <c r="D5404" s="8" t="str">
        <f t="shared" si="101"/>
        <v>2010-02 (февраль 2010)</v>
      </c>
      <c r="E5404" s="9" t="s">
        <v>45</v>
      </c>
      <c r="F5404" s="7">
        <v>25</v>
      </c>
      <c r="G5404" s="7">
        <v>495.8</v>
      </c>
      <c r="H5404" s="7">
        <v>0.03</v>
      </c>
      <c r="I5404" s="9" t="s">
        <v>22</v>
      </c>
      <c r="J5404" s="10">
        <v>107.82</v>
      </c>
      <c r="K5404" s="11">
        <v>19.04</v>
      </c>
      <c r="L5404" s="11">
        <v>6.38</v>
      </c>
      <c r="M5404" s="9" t="s">
        <v>1852</v>
      </c>
      <c r="N5404" s="6" t="s">
        <v>1905</v>
      </c>
      <c r="O5404" s="6" t="s">
        <v>673</v>
      </c>
      <c r="P5404" s="9" t="s">
        <v>41</v>
      </c>
      <c r="Q5404" s="9" t="s">
        <v>49</v>
      </c>
      <c r="R5404" s="9" t="s">
        <v>50</v>
      </c>
      <c r="S5404" s="7" t="s">
        <v>1772</v>
      </c>
      <c r="T5404" s="9" t="s">
        <v>39</v>
      </c>
      <c r="U5404" s="7">
        <v>0.56000000000000005</v>
      </c>
      <c r="V5404" s="12">
        <f>C5404+1</f>
        <v>40214</v>
      </c>
      <c r="W5404">
        <f>IF(D5404=' Pivot Tables'!$A$4,1,0)</f>
        <v>0</v>
      </c>
      <c r="X5404">
        <f>IF(AND(LEFT(D5404,4)+1=LEFT(' Pivot Tables'!$A$4,4)+0,RIGHT(LEFT(D5404,7),2)=RIGHT(LEFT(' Pivot Tables'!$A$4,7),2)),1,0)</f>
        <v>0</v>
      </c>
      <c r="Y5404" s="6">
        <f>1/COUNTIF(Таблица1[Order ID],Таблица1[[#This Row],[Order ID]])</f>
        <v>0.5</v>
      </c>
      <c r="Z5404" s="9">
        <f>1/COUNTIFS(Таблица1[Customer Name],Таблица1[[#This Row],[Customer Name]],Таблица1[Order-Year-Month],Таблица1[[#This Row],[Order-Year-Month]])</f>
        <v>0.33333333333333331</v>
      </c>
    </row>
    <row r="5405" spans="1:26" x14ac:dyDescent="0.2">
      <c r="A5405" s="6">
        <v>3813</v>
      </c>
      <c r="B5405" s="7">
        <v>27141</v>
      </c>
      <c r="C5405" s="8">
        <f>DATE(2012,12,31)-1061</f>
        <v>40213</v>
      </c>
      <c r="D5405" s="8" t="str">
        <f t="shared" si="101"/>
        <v>2010-02 (февраль 2010)</v>
      </c>
      <c r="E5405" s="9" t="s">
        <v>45</v>
      </c>
      <c r="F5405" s="7">
        <v>28</v>
      </c>
      <c r="G5405" s="7">
        <v>1645.51</v>
      </c>
      <c r="H5405" s="7">
        <v>0.06</v>
      </c>
      <c r="I5405" s="9" t="s">
        <v>22</v>
      </c>
      <c r="J5405" s="10">
        <v>300.33999999999997</v>
      </c>
      <c r="K5405" s="11">
        <v>59.76</v>
      </c>
      <c r="L5405" s="11">
        <v>9.7100000000000009</v>
      </c>
      <c r="M5405" s="9" t="s">
        <v>1852</v>
      </c>
      <c r="N5405" s="6" t="s">
        <v>1905</v>
      </c>
      <c r="O5405" s="6" t="s">
        <v>673</v>
      </c>
      <c r="P5405" s="9" t="s">
        <v>41</v>
      </c>
      <c r="Q5405" s="9" t="s">
        <v>26</v>
      </c>
      <c r="R5405" s="9" t="s">
        <v>27</v>
      </c>
      <c r="S5405" s="7" t="s">
        <v>1617</v>
      </c>
      <c r="T5405" s="9" t="s">
        <v>39</v>
      </c>
      <c r="U5405" s="7">
        <v>0.56999999999999995</v>
      </c>
      <c r="V5405" s="12">
        <f>C5405+1</f>
        <v>40214</v>
      </c>
      <c r="W5405">
        <f>IF(D5405=' Pivot Tables'!$A$4,1,0)</f>
        <v>0</v>
      </c>
      <c r="X5405">
        <f>IF(AND(LEFT(D5405,4)+1=LEFT(' Pivot Tables'!$A$4,4)+0,RIGHT(LEFT(D5405,7),2)=RIGHT(LEFT(' Pivot Tables'!$A$4,7),2)),1,0)</f>
        <v>0</v>
      </c>
      <c r="Y5405" s="6">
        <f>1/COUNTIF(Таблица1[Order ID],Таблица1[[#This Row],[Order ID]])</f>
        <v>0.5</v>
      </c>
      <c r="Z5405" s="9">
        <f>1/COUNTIFS(Таблица1[Customer Name],Таблица1[[#This Row],[Customer Name]],Таблица1[Order-Year-Month],Таблица1[[#This Row],[Order-Year-Month]])</f>
        <v>0.33333333333333331</v>
      </c>
    </row>
    <row r="5406" spans="1:26" x14ac:dyDescent="0.2">
      <c r="A5406" s="6">
        <v>3832</v>
      </c>
      <c r="B5406" s="7">
        <v>27302</v>
      </c>
      <c r="C5406" s="8">
        <f>DATE(2012,12,31)-110</f>
        <v>41164</v>
      </c>
      <c r="D5406" s="8" t="str">
        <f t="shared" si="101"/>
        <v>2012-09 (сентябрь 2012)</v>
      </c>
      <c r="E5406" s="9" t="s">
        <v>21</v>
      </c>
      <c r="F5406" s="7">
        <v>16</v>
      </c>
      <c r="G5406" s="7">
        <v>237.54</v>
      </c>
      <c r="H5406" s="7">
        <v>0.04</v>
      </c>
      <c r="I5406" s="9" t="s">
        <v>22</v>
      </c>
      <c r="J5406" s="10">
        <v>29.76</v>
      </c>
      <c r="K5406" s="11">
        <v>13.79</v>
      </c>
      <c r="L5406" s="11">
        <v>8.7799999999999994</v>
      </c>
      <c r="M5406" s="9" t="s">
        <v>1020</v>
      </c>
      <c r="N5406" s="6" t="s">
        <v>1905</v>
      </c>
      <c r="O5406" s="6" t="s">
        <v>673</v>
      </c>
      <c r="P5406" s="9" t="s">
        <v>41</v>
      </c>
      <c r="Q5406" s="9" t="s">
        <v>49</v>
      </c>
      <c r="R5406" s="9" t="s">
        <v>50</v>
      </c>
      <c r="S5406" s="7" t="s">
        <v>641</v>
      </c>
      <c r="T5406" s="9" t="s">
        <v>39</v>
      </c>
      <c r="U5406" s="7">
        <v>0.43</v>
      </c>
      <c r="V5406" s="12">
        <f>C5406+0</f>
        <v>41164</v>
      </c>
      <c r="W5406">
        <f>IF(D5406=' Pivot Tables'!$A$4,1,0)</f>
        <v>0</v>
      </c>
      <c r="X5406">
        <f>IF(AND(LEFT(D5406,4)+1=LEFT(' Pivot Tables'!$A$4,4)+0,RIGHT(LEFT(D5406,7),2)=RIGHT(LEFT(' Pivot Tables'!$A$4,7),2)),1,0)</f>
        <v>0</v>
      </c>
      <c r="Y5406" s="6">
        <f>1/COUNTIF(Таблица1[Order ID],Таблица1[[#This Row],[Order ID]])</f>
        <v>0.5</v>
      </c>
      <c r="Z5406" s="9">
        <f>1/COUNTIFS(Таблица1[Customer Name],Таблица1[[#This Row],[Customer Name]],Таблица1[Order-Year-Month],Таблица1[[#This Row],[Order-Year-Month]])</f>
        <v>0.5</v>
      </c>
    </row>
    <row r="5407" spans="1:26" x14ac:dyDescent="0.2">
      <c r="A5407" s="6">
        <v>3833</v>
      </c>
      <c r="B5407" s="7">
        <v>27302</v>
      </c>
      <c r="C5407" s="8">
        <f>DATE(2012,12,31)-110</f>
        <v>41164</v>
      </c>
      <c r="D5407" s="8" t="str">
        <f t="shared" si="101"/>
        <v>2012-09 (сентябрь 2012)</v>
      </c>
      <c r="E5407" s="9" t="s">
        <v>21</v>
      </c>
      <c r="F5407" s="7">
        <v>3</v>
      </c>
      <c r="G5407" s="7">
        <v>143.5</v>
      </c>
      <c r="H5407" s="7">
        <v>0.08</v>
      </c>
      <c r="I5407" s="9" t="s">
        <v>22</v>
      </c>
      <c r="J5407" s="10">
        <v>-27.51</v>
      </c>
      <c r="K5407" s="11">
        <v>48.91</v>
      </c>
      <c r="L5407" s="11">
        <v>5.81</v>
      </c>
      <c r="M5407" s="9" t="s">
        <v>1020</v>
      </c>
      <c r="N5407" s="6" t="s">
        <v>1905</v>
      </c>
      <c r="O5407" s="6" t="s">
        <v>673</v>
      </c>
      <c r="P5407" s="9" t="s">
        <v>41</v>
      </c>
      <c r="Q5407" s="9" t="s">
        <v>26</v>
      </c>
      <c r="R5407" s="9" t="s">
        <v>61</v>
      </c>
      <c r="S5407" s="7" t="s">
        <v>183</v>
      </c>
      <c r="T5407" s="9" t="s">
        <v>39</v>
      </c>
      <c r="U5407" s="7">
        <v>0.38</v>
      </c>
      <c r="V5407" s="12">
        <f>C5407+0</f>
        <v>41164</v>
      </c>
      <c r="W5407">
        <f>IF(D5407=' Pivot Tables'!$A$4,1,0)</f>
        <v>0</v>
      </c>
      <c r="X5407">
        <f>IF(AND(LEFT(D5407,4)+1=LEFT(' Pivot Tables'!$A$4,4)+0,RIGHT(LEFT(D5407,7),2)=RIGHT(LEFT(' Pivot Tables'!$A$4,7),2)),1,0)</f>
        <v>0</v>
      </c>
      <c r="Y5407" s="6">
        <f>1/COUNTIF(Таблица1[Order ID],Таблица1[[#This Row],[Order ID]])</f>
        <v>0.5</v>
      </c>
      <c r="Z5407" s="9">
        <f>1/COUNTIFS(Таблица1[Customer Name],Таблица1[[#This Row],[Customer Name]],Таблица1[Order-Year-Month],Таблица1[[#This Row],[Order-Year-Month]])</f>
        <v>0.5</v>
      </c>
    </row>
    <row r="5408" spans="1:26" x14ac:dyDescent="0.2">
      <c r="A5408" s="6">
        <v>3843</v>
      </c>
      <c r="B5408" s="7">
        <v>27426</v>
      </c>
      <c r="C5408" s="8">
        <f>DATE(2012,12,31)-1042</f>
        <v>40232</v>
      </c>
      <c r="D5408" s="8" t="str">
        <f t="shared" si="101"/>
        <v>2010-02 (февраль 2010)</v>
      </c>
      <c r="E5408" s="9" t="s">
        <v>21</v>
      </c>
      <c r="F5408" s="7">
        <v>41</v>
      </c>
      <c r="G5408" s="7">
        <v>438.66</v>
      </c>
      <c r="H5408" s="7">
        <v>0.01</v>
      </c>
      <c r="I5408" s="9" t="s">
        <v>22</v>
      </c>
      <c r="J5408" s="10">
        <v>58.86</v>
      </c>
      <c r="K5408" s="11">
        <v>9.99</v>
      </c>
      <c r="L5408" s="11">
        <v>4.78</v>
      </c>
      <c r="M5408" s="9" t="s">
        <v>1912</v>
      </c>
      <c r="N5408" s="6" t="s">
        <v>1905</v>
      </c>
      <c r="O5408" s="6" t="s">
        <v>673</v>
      </c>
      <c r="P5408" s="9" t="s">
        <v>60</v>
      </c>
      <c r="Q5408" s="9" t="s">
        <v>26</v>
      </c>
      <c r="R5408" s="9" t="s">
        <v>61</v>
      </c>
      <c r="S5408" s="7" t="s">
        <v>976</v>
      </c>
      <c r="T5408" s="9" t="s">
        <v>39</v>
      </c>
      <c r="U5408" s="7">
        <v>0.4</v>
      </c>
      <c r="V5408" s="12">
        <f>C5408+2</f>
        <v>40234</v>
      </c>
      <c r="W5408">
        <f>IF(D5408=' Pivot Tables'!$A$4,1,0)</f>
        <v>0</v>
      </c>
      <c r="X5408">
        <f>IF(AND(LEFT(D5408,4)+1=LEFT(' Pivot Tables'!$A$4,4)+0,RIGHT(LEFT(D5408,7),2)=RIGHT(LEFT(' Pivot Tables'!$A$4,7),2)),1,0)</f>
        <v>0</v>
      </c>
      <c r="Y5408" s="6">
        <f>1/COUNTIF(Таблица1[Order ID],Таблица1[[#This Row],[Order ID]])</f>
        <v>0.5</v>
      </c>
      <c r="Z5408" s="9">
        <f>1/COUNTIFS(Таблица1[Customer Name],Таблица1[[#This Row],[Customer Name]],Таблица1[Order-Year-Month],Таблица1[[#This Row],[Order-Year-Month]])</f>
        <v>0.5</v>
      </c>
    </row>
    <row r="5409" spans="1:26" x14ac:dyDescent="0.2">
      <c r="A5409" s="6">
        <v>3844</v>
      </c>
      <c r="B5409" s="7">
        <v>27426</v>
      </c>
      <c r="C5409" s="8">
        <f>DATE(2012,12,31)-1042</f>
        <v>40232</v>
      </c>
      <c r="D5409" s="8" t="str">
        <f t="shared" si="101"/>
        <v>2010-02 (февраль 2010)</v>
      </c>
      <c r="E5409" s="9" t="s">
        <v>21</v>
      </c>
      <c r="F5409" s="7">
        <v>32</v>
      </c>
      <c r="G5409" s="7">
        <v>416.99</v>
      </c>
      <c r="H5409" s="7">
        <v>0.02</v>
      </c>
      <c r="I5409" s="9" t="s">
        <v>56</v>
      </c>
      <c r="J5409" s="10">
        <v>-93.62</v>
      </c>
      <c r="K5409" s="11">
        <v>12.88</v>
      </c>
      <c r="L5409" s="11">
        <v>4.59</v>
      </c>
      <c r="M5409" s="9" t="s">
        <v>1912</v>
      </c>
      <c r="N5409" s="6" t="s">
        <v>1905</v>
      </c>
      <c r="O5409" s="6" t="s">
        <v>673</v>
      </c>
      <c r="P5409" s="9" t="s">
        <v>60</v>
      </c>
      <c r="Q5409" s="9" t="s">
        <v>26</v>
      </c>
      <c r="R5409" s="9" t="s">
        <v>150</v>
      </c>
      <c r="S5409" s="7" t="s">
        <v>557</v>
      </c>
      <c r="T5409" s="9" t="s">
        <v>68</v>
      </c>
      <c r="U5409" s="7">
        <v>0.82</v>
      </c>
      <c r="V5409" s="12">
        <f>C5409+7</f>
        <v>40239</v>
      </c>
      <c r="W5409">
        <f>IF(D5409=' Pivot Tables'!$A$4,1,0)</f>
        <v>0</v>
      </c>
      <c r="X5409">
        <f>IF(AND(LEFT(D5409,4)+1=LEFT(' Pivot Tables'!$A$4,4)+0,RIGHT(LEFT(D5409,7),2)=RIGHT(LEFT(' Pivot Tables'!$A$4,7),2)),1,0)</f>
        <v>0</v>
      </c>
      <c r="Y5409" s="6">
        <f>1/COUNTIF(Таблица1[Order ID],Таблица1[[#This Row],[Order ID]])</f>
        <v>0.5</v>
      </c>
      <c r="Z5409" s="9">
        <f>1/COUNTIFS(Таблица1[Customer Name],Таблица1[[#This Row],[Customer Name]],Таблица1[Order-Year-Month],Таблица1[[#This Row],[Order-Year-Month]])</f>
        <v>0.5</v>
      </c>
    </row>
    <row r="5410" spans="1:26" x14ac:dyDescent="0.2">
      <c r="A5410" s="6">
        <v>3898</v>
      </c>
      <c r="B5410" s="7">
        <v>27810</v>
      </c>
      <c r="C5410" s="8">
        <f>DATE(2012,12,31)-1068</f>
        <v>40206</v>
      </c>
      <c r="D5410" s="8" t="str">
        <f t="shared" si="101"/>
        <v>2010-01 (январь 2010)</v>
      </c>
      <c r="E5410" s="9" t="s">
        <v>30</v>
      </c>
      <c r="F5410" s="7">
        <v>32</v>
      </c>
      <c r="G5410" s="7">
        <v>216.51</v>
      </c>
      <c r="H5410" s="7">
        <v>0.02</v>
      </c>
      <c r="I5410" s="9" t="s">
        <v>56</v>
      </c>
      <c r="J5410" s="10">
        <v>109.29</v>
      </c>
      <c r="K5410" s="11">
        <v>6.3</v>
      </c>
      <c r="L5410" s="11">
        <v>0.5</v>
      </c>
      <c r="M5410" s="9" t="s">
        <v>1096</v>
      </c>
      <c r="N5410" s="6" t="s">
        <v>1905</v>
      </c>
      <c r="O5410" s="6" t="s">
        <v>673</v>
      </c>
      <c r="P5410" s="9" t="s">
        <v>33</v>
      </c>
      <c r="Q5410" s="9" t="s">
        <v>26</v>
      </c>
      <c r="R5410" s="9" t="s">
        <v>88</v>
      </c>
      <c r="S5410" s="7" t="s">
        <v>461</v>
      </c>
      <c r="T5410" s="9" t="s">
        <v>39</v>
      </c>
      <c r="U5410" s="7">
        <v>0.39</v>
      </c>
      <c r="V5410" s="12">
        <f>C5410+2</f>
        <v>40208</v>
      </c>
      <c r="W5410">
        <f>IF(D5410=' Pivot Tables'!$A$4,1,0)</f>
        <v>1</v>
      </c>
      <c r="X5410">
        <f>IF(AND(LEFT(D5410,4)+1=LEFT(' Pivot Tables'!$A$4,4)+0,RIGHT(LEFT(D5410,7),2)=RIGHT(LEFT(' Pivot Tables'!$A$4,7),2)),1,0)</f>
        <v>0</v>
      </c>
      <c r="Y5410" s="6">
        <f>1/COUNTIF(Таблица1[Order ID],Таблица1[[#This Row],[Order ID]])</f>
        <v>1</v>
      </c>
      <c r="Z5410" s="9">
        <f>1/COUNTIFS(Таблица1[Customer Name],Таблица1[[#This Row],[Customer Name]],Таблица1[Order-Year-Month],Таблица1[[#This Row],[Order-Year-Month]])</f>
        <v>1</v>
      </c>
    </row>
    <row r="5411" spans="1:26" x14ac:dyDescent="0.2">
      <c r="A5411" s="6">
        <v>4016</v>
      </c>
      <c r="B5411" s="7">
        <v>28674</v>
      </c>
      <c r="C5411" s="8">
        <f>DATE(2012,12,31)-504</f>
        <v>40770</v>
      </c>
      <c r="D5411" s="8" t="str">
        <f t="shared" si="101"/>
        <v>2011-08 (август 2011)</v>
      </c>
      <c r="E5411" s="9" t="s">
        <v>30</v>
      </c>
      <c r="F5411" s="7">
        <v>26</v>
      </c>
      <c r="G5411" s="7">
        <v>161.96</v>
      </c>
      <c r="H5411" s="7">
        <v>0</v>
      </c>
      <c r="I5411" s="9" t="s">
        <v>22</v>
      </c>
      <c r="J5411" s="10">
        <v>-51.12</v>
      </c>
      <c r="K5411" s="11">
        <v>5.78</v>
      </c>
      <c r="L5411" s="11">
        <v>5.67</v>
      </c>
      <c r="M5411" s="9" t="s">
        <v>1909</v>
      </c>
      <c r="N5411" s="6" t="s">
        <v>1905</v>
      </c>
      <c r="O5411" s="6" t="s">
        <v>673</v>
      </c>
      <c r="P5411" s="9" t="s">
        <v>60</v>
      </c>
      <c r="Q5411" s="9" t="s">
        <v>26</v>
      </c>
      <c r="R5411" s="9" t="s">
        <v>61</v>
      </c>
      <c r="S5411" s="7" t="s">
        <v>587</v>
      </c>
      <c r="T5411" s="9" t="s">
        <v>39</v>
      </c>
      <c r="U5411" s="7">
        <v>0.36</v>
      </c>
      <c r="V5411" s="12">
        <f>C5411+1</f>
        <v>40771</v>
      </c>
      <c r="W5411">
        <f>IF(D5411=' Pivot Tables'!$A$4,1,0)</f>
        <v>0</v>
      </c>
      <c r="X5411">
        <f>IF(AND(LEFT(D5411,4)+1=LEFT(' Pivot Tables'!$A$4,4)+0,RIGHT(LEFT(D5411,7),2)=RIGHT(LEFT(' Pivot Tables'!$A$4,7),2)),1,0)</f>
        <v>0</v>
      </c>
      <c r="Y5411" s="6">
        <f>1/COUNTIF(Таблица1[Order ID],Таблица1[[#This Row],[Order ID]])</f>
        <v>1</v>
      </c>
      <c r="Z5411" s="9">
        <f>1/COUNTIFS(Таблица1[Customer Name],Таблица1[[#This Row],[Customer Name]],Таблица1[Order-Year-Month],Таблица1[[#This Row],[Order-Year-Month]])</f>
        <v>1</v>
      </c>
    </row>
    <row r="5412" spans="1:26" x14ac:dyDescent="0.2">
      <c r="A5412" s="6">
        <v>4025</v>
      </c>
      <c r="B5412" s="7">
        <v>28742</v>
      </c>
      <c r="C5412" s="8">
        <f>DATE(2012,12,31)-246</f>
        <v>41028</v>
      </c>
      <c r="D5412" s="8" t="str">
        <f t="shared" si="101"/>
        <v>2012-04 (апрель 2012)</v>
      </c>
      <c r="E5412" s="9" t="s">
        <v>21</v>
      </c>
      <c r="F5412" s="7">
        <v>35</v>
      </c>
      <c r="G5412" s="7">
        <v>587.91999999999996</v>
      </c>
      <c r="H5412" s="7">
        <v>0.09</v>
      </c>
      <c r="I5412" s="9" t="s">
        <v>22</v>
      </c>
      <c r="J5412" s="10">
        <v>-7.92</v>
      </c>
      <c r="K5412" s="11">
        <v>16.91</v>
      </c>
      <c r="L5412" s="11">
        <v>6.25</v>
      </c>
      <c r="M5412" s="9" t="s">
        <v>1913</v>
      </c>
      <c r="N5412" s="6" t="s">
        <v>1905</v>
      </c>
      <c r="O5412" s="6" t="s">
        <v>673</v>
      </c>
      <c r="P5412" s="9" t="s">
        <v>41</v>
      </c>
      <c r="Q5412" s="9" t="s">
        <v>26</v>
      </c>
      <c r="R5412" s="9" t="s">
        <v>27</v>
      </c>
      <c r="S5412" s="7" t="s">
        <v>794</v>
      </c>
      <c r="T5412" s="9" t="s">
        <v>39</v>
      </c>
      <c r="U5412" s="7">
        <v>0.57999999999999996</v>
      </c>
      <c r="V5412" s="12">
        <f>C5412+0</f>
        <v>41028</v>
      </c>
      <c r="W5412">
        <f>IF(D5412=' Pivot Tables'!$A$4,1,0)</f>
        <v>0</v>
      </c>
      <c r="X5412">
        <f>IF(AND(LEFT(D5412,4)+1=LEFT(' Pivot Tables'!$A$4,4)+0,RIGHT(LEFT(D5412,7),2)=RIGHT(LEFT(' Pivot Tables'!$A$4,7),2)),1,0)</f>
        <v>0</v>
      </c>
      <c r="Y5412" s="6">
        <f>1/COUNTIF(Таблица1[Order ID],Таблица1[[#This Row],[Order ID]])</f>
        <v>0.5</v>
      </c>
      <c r="Z5412" s="9">
        <f>1/COUNTIFS(Таблица1[Customer Name],Таблица1[[#This Row],[Customer Name]],Таблица1[Order-Year-Month],Таблица1[[#This Row],[Order-Year-Month]])</f>
        <v>0.5</v>
      </c>
    </row>
    <row r="5413" spans="1:26" x14ac:dyDescent="0.2">
      <c r="A5413" s="6">
        <v>4026</v>
      </c>
      <c r="B5413" s="7">
        <v>28742</v>
      </c>
      <c r="C5413" s="8">
        <f>DATE(2012,12,31)-246</f>
        <v>41028</v>
      </c>
      <c r="D5413" s="8" t="str">
        <f t="shared" si="101"/>
        <v>2012-04 (апрель 2012)</v>
      </c>
      <c r="E5413" s="9" t="s">
        <v>21</v>
      </c>
      <c r="F5413" s="7">
        <v>7</v>
      </c>
      <c r="G5413" s="7">
        <v>2171.4639999999999</v>
      </c>
      <c r="H5413" s="7">
        <v>0.04</v>
      </c>
      <c r="I5413" s="9" t="s">
        <v>31</v>
      </c>
      <c r="J5413" s="10">
        <v>-209.56</v>
      </c>
      <c r="K5413" s="11">
        <v>376.13</v>
      </c>
      <c r="L5413" s="11">
        <v>85.63</v>
      </c>
      <c r="M5413" s="9" t="s">
        <v>1913</v>
      </c>
      <c r="N5413" s="6" t="s">
        <v>1905</v>
      </c>
      <c r="O5413" s="6" t="s">
        <v>673</v>
      </c>
      <c r="P5413" s="9" t="s">
        <v>41</v>
      </c>
      <c r="Q5413" s="9" t="s">
        <v>49</v>
      </c>
      <c r="R5413" s="9" t="s">
        <v>83</v>
      </c>
      <c r="S5413" s="7" t="s">
        <v>725</v>
      </c>
      <c r="T5413" s="9" t="s">
        <v>82</v>
      </c>
      <c r="U5413" s="7">
        <v>0.74</v>
      </c>
      <c r="V5413" s="12">
        <f>C5413+7</f>
        <v>41035</v>
      </c>
      <c r="W5413">
        <f>IF(D5413=' Pivot Tables'!$A$4,1,0)</f>
        <v>0</v>
      </c>
      <c r="X5413">
        <f>IF(AND(LEFT(D5413,4)+1=LEFT(' Pivot Tables'!$A$4,4)+0,RIGHT(LEFT(D5413,7),2)=RIGHT(LEFT(' Pivot Tables'!$A$4,7),2)),1,0)</f>
        <v>0</v>
      </c>
      <c r="Y5413" s="6">
        <f>1/COUNTIF(Таблица1[Order ID],Таблица1[[#This Row],[Order ID]])</f>
        <v>0.5</v>
      </c>
      <c r="Z5413" s="9">
        <f>1/COUNTIFS(Таблица1[Customer Name],Таблица1[[#This Row],[Customer Name]],Таблица1[Order-Year-Month],Таблица1[[#This Row],[Order-Year-Month]])</f>
        <v>0.5</v>
      </c>
    </row>
    <row r="5414" spans="1:26" x14ac:dyDescent="0.2">
      <c r="A5414" s="6">
        <v>4028</v>
      </c>
      <c r="B5414" s="7">
        <v>28772</v>
      </c>
      <c r="C5414" s="8">
        <f>DATE(2012,12,31)-1424</f>
        <v>39850</v>
      </c>
      <c r="D5414" s="8" t="str">
        <f t="shared" si="101"/>
        <v>2009-02 (февраль 2009)</v>
      </c>
      <c r="E5414" s="9" t="s">
        <v>30</v>
      </c>
      <c r="F5414" s="7">
        <v>16</v>
      </c>
      <c r="G5414" s="7">
        <v>950.46399999999994</v>
      </c>
      <c r="H5414" s="7">
        <v>0.02</v>
      </c>
      <c r="I5414" s="9" t="s">
        <v>22</v>
      </c>
      <c r="J5414" s="10">
        <v>-763.8</v>
      </c>
      <c r="K5414" s="11">
        <v>71.37</v>
      </c>
      <c r="L5414" s="11">
        <v>69</v>
      </c>
      <c r="M5414" s="9" t="s">
        <v>1922</v>
      </c>
      <c r="N5414" s="6" t="s">
        <v>1905</v>
      </c>
      <c r="O5414" s="6" t="s">
        <v>673</v>
      </c>
      <c r="P5414" s="9" t="s">
        <v>25</v>
      </c>
      <c r="Q5414" s="9" t="s">
        <v>49</v>
      </c>
      <c r="R5414" s="9" t="s">
        <v>83</v>
      </c>
      <c r="S5414" s="7" t="s">
        <v>84</v>
      </c>
      <c r="T5414" s="9" t="s">
        <v>29</v>
      </c>
      <c r="U5414" s="7">
        <v>0.68</v>
      </c>
      <c r="V5414" s="12">
        <f>C5414+1</f>
        <v>39851</v>
      </c>
      <c r="W5414">
        <f>IF(D5414=' Pivot Tables'!$A$4,1,0)</f>
        <v>0</v>
      </c>
      <c r="X5414">
        <f>IF(AND(LEFT(D5414,4)+1=LEFT(' Pivot Tables'!$A$4,4)+0,RIGHT(LEFT(D5414,7),2)=RIGHT(LEFT(' Pivot Tables'!$A$4,7),2)),1,0)</f>
        <v>0</v>
      </c>
      <c r="Y5414" s="6">
        <f>1/COUNTIF(Таблица1[Order ID],Таблица1[[#This Row],[Order ID]])</f>
        <v>0.5</v>
      </c>
      <c r="Z5414" s="9">
        <f>1/COUNTIFS(Таблица1[Customer Name],Таблица1[[#This Row],[Customer Name]],Таблица1[Order-Year-Month],Таблица1[[#This Row],[Order-Year-Month]])</f>
        <v>0.5</v>
      </c>
    </row>
    <row r="5415" spans="1:26" x14ac:dyDescent="0.2">
      <c r="A5415" s="6">
        <v>4029</v>
      </c>
      <c r="B5415" s="7">
        <v>28772</v>
      </c>
      <c r="C5415" s="8">
        <f>DATE(2012,12,31)-1424</f>
        <v>39850</v>
      </c>
      <c r="D5415" s="8" t="str">
        <f t="shared" si="101"/>
        <v>2009-02 (февраль 2009)</v>
      </c>
      <c r="E5415" s="9" t="s">
        <v>30</v>
      </c>
      <c r="F5415" s="7">
        <v>4</v>
      </c>
      <c r="G5415" s="7">
        <v>705.68700000000001</v>
      </c>
      <c r="H5415" s="7">
        <v>0.03</v>
      </c>
      <c r="I5415" s="9" t="s">
        <v>56</v>
      </c>
      <c r="J5415" s="10">
        <v>-803.077</v>
      </c>
      <c r="K5415" s="11">
        <v>205.99</v>
      </c>
      <c r="L5415" s="11">
        <v>8.99</v>
      </c>
      <c r="M5415" s="9" t="s">
        <v>1922</v>
      </c>
      <c r="N5415" s="6" t="s">
        <v>1905</v>
      </c>
      <c r="O5415" s="6" t="s">
        <v>673</v>
      </c>
      <c r="P5415" s="9" t="s">
        <v>25</v>
      </c>
      <c r="Q5415" s="9" t="s">
        <v>42</v>
      </c>
      <c r="R5415" s="9" t="s">
        <v>43</v>
      </c>
      <c r="S5415" s="7" t="s">
        <v>1021</v>
      </c>
      <c r="T5415" s="9" t="s">
        <v>39</v>
      </c>
      <c r="U5415" s="7">
        <v>0.6</v>
      </c>
      <c r="V5415" s="12">
        <f>C5415+2</f>
        <v>39852</v>
      </c>
      <c r="W5415">
        <f>IF(D5415=' Pivot Tables'!$A$4,1,0)</f>
        <v>0</v>
      </c>
      <c r="X5415">
        <f>IF(AND(LEFT(D5415,4)+1=LEFT(' Pivot Tables'!$A$4,4)+0,RIGHT(LEFT(D5415,7),2)=RIGHT(LEFT(' Pivot Tables'!$A$4,7),2)),1,0)</f>
        <v>0</v>
      </c>
      <c r="Y5415" s="6">
        <f>1/COUNTIF(Таблица1[Order ID],Таблица1[[#This Row],[Order ID]])</f>
        <v>0.5</v>
      </c>
      <c r="Z5415" s="9">
        <f>1/COUNTIFS(Таблица1[Customer Name],Таблица1[[#This Row],[Customer Name]],Таблица1[Order-Year-Month],Таблица1[[#This Row],[Order-Year-Month]])</f>
        <v>0.5</v>
      </c>
    </row>
    <row r="5416" spans="1:26" x14ac:dyDescent="0.2">
      <c r="A5416" s="6">
        <v>4087</v>
      </c>
      <c r="B5416" s="7">
        <v>29152</v>
      </c>
      <c r="C5416" s="8">
        <f>DATE(2012,12,31)-527</f>
        <v>40747</v>
      </c>
      <c r="D5416" s="8" t="str">
        <f t="shared" si="101"/>
        <v>2011-07 (июль 2011)</v>
      </c>
      <c r="E5416" s="9" t="s">
        <v>21</v>
      </c>
      <c r="F5416" s="7">
        <v>3</v>
      </c>
      <c r="G5416" s="7">
        <v>58.63</v>
      </c>
      <c r="H5416" s="7">
        <v>0</v>
      </c>
      <c r="I5416" s="9" t="s">
        <v>22</v>
      </c>
      <c r="J5416" s="10">
        <v>-40.86</v>
      </c>
      <c r="K5416" s="11">
        <v>17.48</v>
      </c>
      <c r="L5416" s="11">
        <v>1.99</v>
      </c>
      <c r="M5416" s="9" t="s">
        <v>1917</v>
      </c>
      <c r="N5416" s="6" t="s">
        <v>1905</v>
      </c>
      <c r="O5416" s="6" t="s">
        <v>673</v>
      </c>
      <c r="P5416" s="9" t="s">
        <v>25</v>
      </c>
      <c r="Q5416" s="9" t="s">
        <v>42</v>
      </c>
      <c r="R5416" s="9" t="s">
        <v>70</v>
      </c>
      <c r="S5416" s="7" t="s">
        <v>1067</v>
      </c>
      <c r="T5416" s="9" t="s">
        <v>52</v>
      </c>
      <c r="U5416" s="7">
        <v>0.45</v>
      </c>
      <c r="V5416" s="12">
        <f>C5416+4</f>
        <v>40751</v>
      </c>
      <c r="W5416">
        <f>IF(D5416=' Pivot Tables'!$A$4,1,0)</f>
        <v>0</v>
      </c>
      <c r="X5416">
        <f>IF(AND(LEFT(D5416,4)+1=LEFT(' Pivot Tables'!$A$4,4)+0,RIGHT(LEFT(D5416,7),2)=RIGHT(LEFT(' Pivot Tables'!$A$4,7),2)),1,0)</f>
        <v>0</v>
      </c>
      <c r="Y5416" s="6">
        <f>1/COUNTIF(Таблица1[Order ID],Таблица1[[#This Row],[Order ID]])</f>
        <v>0.5</v>
      </c>
      <c r="Z5416" s="9">
        <f>1/COUNTIFS(Таблица1[Customer Name],Таблица1[[#This Row],[Customer Name]],Таблица1[Order-Year-Month],Таблица1[[#This Row],[Order-Year-Month]])</f>
        <v>0.5</v>
      </c>
    </row>
    <row r="5417" spans="1:26" x14ac:dyDescent="0.2">
      <c r="A5417" s="6">
        <v>4088</v>
      </c>
      <c r="B5417" s="7">
        <v>29152</v>
      </c>
      <c r="C5417" s="8">
        <f>DATE(2012,12,31)-527</f>
        <v>40747</v>
      </c>
      <c r="D5417" s="8" t="str">
        <f t="shared" si="101"/>
        <v>2011-07 (июль 2011)</v>
      </c>
      <c r="E5417" s="9" t="s">
        <v>21</v>
      </c>
      <c r="F5417" s="7">
        <v>13</v>
      </c>
      <c r="G5417" s="7">
        <v>94.99</v>
      </c>
      <c r="H5417" s="7">
        <v>0.06</v>
      </c>
      <c r="I5417" s="9" t="s">
        <v>22</v>
      </c>
      <c r="J5417" s="10">
        <v>-106.29</v>
      </c>
      <c r="K5417" s="11">
        <v>6.98</v>
      </c>
      <c r="L5417" s="11">
        <v>9.69</v>
      </c>
      <c r="M5417" s="9" t="s">
        <v>1917</v>
      </c>
      <c r="N5417" s="6" t="s">
        <v>1905</v>
      </c>
      <c r="O5417" s="6" t="s">
        <v>673</v>
      </c>
      <c r="P5417" s="9" t="s">
        <v>25</v>
      </c>
      <c r="Q5417" s="9" t="s">
        <v>26</v>
      </c>
      <c r="R5417" s="9" t="s">
        <v>27</v>
      </c>
      <c r="S5417" s="7" t="s">
        <v>1314</v>
      </c>
      <c r="T5417" s="9" t="s">
        <v>39</v>
      </c>
      <c r="U5417" s="7">
        <v>0.83</v>
      </c>
      <c r="V5417" s="12">
        <f>C5417+0</f>
        <v>40747</v>
      </c>
      <c r="W5417">
        <f>IF(D5417=' Pivot Tables'!$A$4,1,0)</f>
        <v>0</v>
      </c>
      <c r="X5417">
        <f>IF(AND(LEFT(D5417,4)+1=LEFT(' Pivot Tables'!$A$4,4)+0,RIGHT(LEFT(D5417,7),2)=RIGHT(LEFT(' Pivot Tables'!$A$4,7),2)),1,0)</f>
        <v>0</v>
      </c>
      <c r="Y5417" s="6">
        <f>1/COUNTIF(Таблица1[Order ID],Таблица1[[#This Row],[Order ID]])</f>
        <v>0.5</v>
      </c>
      <c r="Z5417" s="9">
        <f>1/COUNTIFS(Таблица1[Customer Name],Таблица1[[#This Row],[Customer Name]],Таблица1[Order-Year-Month],Таблица1[[#This Row],[Order-Year-Month]])</f>
        <v>0.5</v>
      </c>
    </row>
    <row r="5418" spans="1:26" x14ac:dyDescent="0.2">
      <c r="A5418" s="6">
        <v>4177</v>
      </c>
      <c r="B5418" s="7">
        <v>29639</v>
      </c>
      <c r="C5418" s="8">
        <f>DATE(2012,12,31)-624</f>
        <v>40650</v>
      </c>
      <c r="D5418" s="8" t="str">
        <f t="shared" si="101"/>
        <v>2011-04 (апрель 2011)</v>
      </c>
      <c r="E5418" s="9" t="s">
        <v>78</v>
      </c>
      <c r="F5418" s="7">
        <v>8</v>
      </c>
      <c r="G5418" s="7">
        <v>22.37</v>
      </c>
      <c r="H5418" s="7">
        <v>0.04</v>
      </c>
      <c r="I5418" s="9" t="s">
        <v>22</v>
      </c>
      <c r="J5418" s="10">
        <v>-14.09</v>
      </c>
      <c r="K5418" s="11">
        <v>2.6</v>
      </c>
      <c r="L5418" s="11">
        <v>2.4</v>
      </c>
      <c r="M5418" s="9" t="s">
        <v>1852</v>
      </c>
      <c r="N5418" s="6" t="s">
        <v>1905</v>
      </c>
      <c r="O5418" s="6" t="s">
        <v>673</v>
      </c>
      <c r="P5418" s="9" t="s">
        <v>41</v>
      </c>
      <c r="Q5418" s="9" t="s">
        <v>26</v>
      </c>
      <c r="R5418" s="9" t="s">
        <v>95</v>
      </c>
      <c r="S5418" s="7" t="s">
        <v>393</v>
      </c>
      <c r="T5418" s="9" t="s">
        <v>68</v>
      </c>
      <c r="U5418" s="7">
        <v>0.57999999999999996</v>
      </c>
      <c r="V5418" s="12">
        <f>C5418+2</f>
        <v>40652</v>
      </c>
      <c r="W5418">
        <f>IF(D5418=' Pivot Tables'!$A$4,1,0)</f>
        <v>0</v>
      </c>
      <c r="X5418">
        <f>IF(AND(LEFT(D5418,4)+1=LEFT(' Pivot Tables'!$A$4,4)+0,RIGHT(LEFT(D5418,7),2)=RIGHT(LEFT(' Pivot Tables'!$A$4,7),2)),1,0)</f>
        <v>0</v>
      </c>
      <c r="Y5418" s="6">
        <f>1/COUNTIF(Таблица1[Order ID],Таблица1[[#This Row],[Order ID]])</f>
        <v>1</v>
      </c>
      <c r="Z5418" s="9">
        <f>1/COUNTIFS(Таблица1[Customer Name],Таблица1[[#This Row],[Customer Name]],Таблица1[Order-Year-Month],Таблица1[[#This Row],[Order-Year-Month]])</f>
        <v>1</v>
      </c>
    </row>
    <row r="5419" spans="1:26" x14ac:dyDescent="0.2">
      <c r="A5419" s="6">
        <v>4275</v>
      </c>
      <c r="B5419" s="7">
        <v>30407</v>
      </c>
      <c r="C5419" s="8">
        <f>DATE(2012,12,31)-1354</f>
        <v>39920</v>
      </c>
      <c r="D5419" s="8" t="str">
        <f t="shared" si="101"/>
        <v>2009-04 (апрель 2009)</v>
      </c>
      <c r="E5419" s="9" t="s">
        <v>21</v>
      </c>
      <c r="F5419" s="7">
        <v>41</v>
      </c>
      <c r="G5419" s="7">
        <v>17853.64</v>
      </c>
      <c r="H5419" s="7">
        <v>0.02</v>
      </c>
      <c r="I5419" s="9" t="s">
        <v>22</v>
      </c>
      <c r="J5419" s="10">
        <v>6227.33</v>
      </c>
      <c r="K5419" s="11">
        <v>419.19</v>
      </c>
      <c r="L5419" s="11">
        <v>19.989999999999998</v>
      </c>
      <c r="M5419" s="9" t="s">
        <v>1852</v>
      </c>
      <c r="N5419" s="6" t="s">
        <v>1905</v>
      </c>
      <c r="O5419" s="6" t="s">
        <v>673</v>
      </c>
      <c r="P5419" s="9" t="s">
        <v>41</v>
      </c>
      <c r="Q5419" s="9" t="s">
        <v>26</v>
      </c>
      <c r="R5419" s="9" t="s">
        <v>27</v>
      </c>
      <c r="S5419" s="7" t="s">
        <v>1655</v>
      </c>
      <c r="T5419" s="9" t="s">
        <v>39</v>
      </c>
      <c r="U5419" s="7">
        <v>0.57999999999999996</v>
      </c>
      <c r="V5419" s="12">
        <f>C5419+0</f>
        <v>39920</v>
      </c>
      <c r="W5419">
        <f>IF(D5419=' Pivot Tables'!$A$4,1,0)</f>
        <v>0</v>
      </c>
      <c r="X5419">
        <f>IF(AND(LEFT(D5419,4)+1=LEFT(' Pivot Tables'!$A$4,4)+0,RIGHT(LEFT(D5419,7),2)=RIGHT(LEFT(' Pivot Tables'!$A$4,7),2)),1,0)</f>
        <v>0</v>
      </c>
      <c r="Y5419" s="6">
        <f>1/COUNTIF(Таблица1[Order ID],Таблица1[[#This Row],[Order ID]])</f>
        <v>1</v>
      </c>
      <c r="Z5419" s="9">
        <f>1/COUNTIFS(Таблица1[Customer Name],Таблица1[[#This Row],[Customer Name]],Таблица1[Order-Year-Month],Таблица1[[#This Row],[Order-Year-Month]])</f>
        <v>1</v>
      </c>
    </row>
    <row r="5420" spans="1:26" x14ac:dyDescent="0.2">
      <c r="A5420" s="6">
        <v>4378</v>
      </c>
      <c r="B5420" s="7">
        <v>31175</v>
      </c>
      <c r="C5420" s="8">
        <f>DATE(2012,12,31)-1192</f>
        <v>40082</v>
      </c>
      <c r="D5420" s="8" t="str">
        <f t="shared" si="101"/>
        <v>2009-09 (сентябрь 2009)</v>
      </c>
      <c r="E5420" s="9" t="s">
        <v>78</v>
      </c>
      <c r="F5420" s="7">
        <v>26</v>
      </c>
      <c r="G5420" s="7">
        <v>539.66</v>
      </c>
      <c r="H5420" s="7">
        <v>0</v>
      </c>
      <c r="I5420" s="9" t="s">
        <v>56</v>
      </c>
      <c r="J5420" s="10">
        <v>147.08000000000001</v>
      </c>
      <c r="K5420" s="11">
        <v>19.98</v>
      </c>
      <c r="L5420" s="11">
        <v>5.97</v>
      </c>
      <c r="M5420" s="9" t="s">
        <v>1912</v>
      </c>
      <c r="N5420" s="6" t="s">
        <v>1905</v>
      </c>
      <c r="O5420" s="6" t="s">
        <v>673</v>
      </c>
      <c r="P5420" s="9" t="s">
        <v>41</v>
      </c>
      <c r="Q5420" s="9" t="s">
        <v>26</v>
      </c>
      <c r="R5420" s="9" t="s">
        <v>61</v>
      </c>
      <c r="S5420" s="7" t="s">
        <v>169</v>
      </c>
      <c r="T5420" s="9" t="s">
        <v>39</v>
      </c>
      <c r="U5420" s="7">
        <v>0.38</v>
      </c>
      <c r="V5420" s="12">
        <f>C5420+3</f>
        <v>40085</v>
      </c>
      <c r="W5420">
        <f>IF(D5420=' Pivot Tables'!$A$4,1,0)</f>
        <v>0</v>
      </c>
      <c r="X5420">
        <f>IF(AND(LEFT(D5420,4)+1=LEFT(' Pivot Tables'!$A$4,4)+0,RIGHT(LEFT(D5420,7),2)=RIGHT(LEFT(' Pivot Tables'!$A$4,7),2)),1,0)</f>
        <v>0</v>
      </c>
      <c r="Y5420" s="6">
        <f>1/COUNTIF(Таблица1[Order ID],Таблица1[[#This Row],[Order ID]])</f>
        <v>1</v>
      </c>
      <c r="Z5420" s="9">
        <f>1/COUNTIFS(Таблица1[Customer Name],Таблица1[[#This Row],[Customer Name]],Таблица1[Order-Year-Month],Таблица1[[#This Row],[Order-Year-Month]])</f>
        <v>1</v>
      </c>
    </row>
    <row r="5421" spans="1:26" x14ac:dyDescent="0.2">
      <c r="A5421" s="6">
        <v>4565</v>
      </c>
      <c r="B5421" s="7">
        <v>32455</v>
      </c>
      <c r="C5421" s="8">
        <f>DATE(2012,12,31)-830</f>
        <v>40444</v>
      </c>
      <c r="D5421" s="8" t="str">
        <f t="shared" si="101"/>
        <v>2010-09 (сентябрь 2010)</v>
      </c>
      <c r="E5421" s="9" t="s">
        <v>30</v>
      </c>
      <c r="F5421" s="7">
        <v>43</v>
      </c>
      <c r="G5421" s="7">
        <v>4620.53</v>
      </c>
      <c r="H5421" s="7">
        <v>0</v>
      </c>
      <c r="I5421" s="9" t="s">
        <v>22</v>
      </c>
      <c r="J5421" s="10">
        <v>1025.23</v>
      </c>
      <c r="K5421" s="11">
        <v>99.99</v>
      </c>
      <c r="L5421" s="11">
        <v>19.989999999999998</v>
      </c>
      <c r="M5421" s="9" t="s">
        <v>1904</v>
      </c>
      <c r="N5421" s="6" t="s">
        <v>1905</v>
      </c>
      <c r="O5421" s="6" t="s">
        <v>673</v>
      </c>
      <c r="P5421" s="9" t="s">
        <v>41</v>
      </c>
      <c r="Q5421" s="9" t="s">
        <v>42</v>
      </c>
      <c r="R5421" s="9" t="s">
        <v>70</v>
      </c>
      <c r="S5421" s="7" t="s">
        <v>337</v>
      </c>
      <c r="T5421" s="9" t="s">
        <v>39</v>
      </c>
      <c r="U5421" s="7">
        <v>0.52</v>
      </c>
      <c r="V5421" s="12">
        <f>C5421+1</f>
        <v>40445</v>
      </c>
      <c r="W5421">
        <f>IF(D5421=' Pivot Tables'!$A$4,1,0)</f>
        <v>0</v>
      </c>
      <c r="X5421">
        <f>IF(AND(LEFT(D5421,4)+1=LEFT(' Pivot Tables'!$A$4,4)+0,RIGHT(LEFT(D5421,7),2)=RIGHT(LEFT(' Pivot Tables'!$A$4,7),2)),1,0)</f>
        <v>0</v>
      </c>
      <c r="Y5421" s="6">
        <f>1/COUNTIF(Таблица1[Order ID],Таблица1[[#This Row],[Order ID]])</f>
        <v>1</v>
      </c>
      <c r="Z5421" s="9">
        <f>1/COUNTIFS(Таблица1[Customer Name],Таблица1[[#This Row],[Customer Name]],Таблица1[Order-Year-Month],Таблица1[[#This Row],[Order-Year-Month]])</f>
        <v>1</v>
      </c>
    </row>
    <row r="5422" spans="1:26" x14ac:dyDescent="0.2">
      <c r="A5422" s="6">
        <v>4566</v>
      </c>
      <c r="B5422" s="7">
        <v>32484</v>
      </c>
      <c r="C5422" s="8">
        <f>DATE(2012,12,31)-696</f>
        <v>40578</v>
      </c>
      <c r="D5422" s="8" t="str">
        <f t="shared" si="101"/>
        <v>2011-02 (февраль 2011)</v>
      </c>
      <c r="E5422" s="9" t="s">
        <v>45</v>
      </c>
      <c r="F5422" s="7">
        <v>9</v>
      </c>
      <c r="G5422" s="7">
        <v>2502.67</v>
      </c>
      <c r="H5422" s="7">
        <v>0.1</v>
      </c>
      <c r="I5422" s="9" t="s">
        <v>31</v>
      </c>
      <c r="J5422" s="10">
        <v>-198.8</v>
      </c>
      <c r="K5422" s="11">
        <v>300.98</v>
      </c>
      <c r="L5422" s="11">
        <v>64.73</v>
      </c>
      <c r="M5422" s="9" t="s">
        <v>1912</v>
      </c>
      <c r="N5422" s="6" t="s">
        <v>1905</v>
      </c>
      <c r="O5422" s="6" t="s">
        <v>673</v>
      </c>
      <c r="P5422" s="9" t="s">
        <v>41</v>
      </c>
      <c r="Q5422" s="9" t="s">
        <v>49</v>
      </c>
      <c r="R5422" s="9" t="s">
        <v>112</v>
      </c>
      <c r="S5422" s="7" t="s">
        <v>168</v>
      </c>
      <c r="T5422" s="9" t="s">
        <v>36</v>
      </c>
      <c r="U5422" s="7">
        <v>0.56000000000000005</v>
      </c>
      <c r="V5422" s="12">
        <f>C5422+1</f>
        <v>40579</v>
      </c>
      <c r="W5422">
        <f>IF(D5422=' Pivot Tables'!$A$4,1,0)</f>
        <v>0</v>
      </c>
      <c r="X5422">
        <f>IF(AND(LEFT(D5422,4)+1=LEFT(' Pivot Tables'!$A$4,4)+0,RIGHT(LEFT(D5422,7),2)=RIGHT(LEFT(' Pivot Tables'!$A$4,7),2)),1,0)</f>
        <v>0</v>
      </c>
      <c r="Y5422" s="6">
        <f>1/COUNTIF(Таблица1[Order ID],Таблица1[[#This Row],[Order ID]])</f>
        <v>1</v>
      </c>
      <c r="Z5422" s="9">
        <f>1/COUNTIFS(Таблица1[Customer Name],Таблица1[[#This Row],[Customer Name]],Таблица1[Order-Year-Month],Таблица1[[#This Row],[Order-Year-Month]])</f>
        <v>1</v>
      </c>
    </row>
    <row r="5423" spans="1:26" x14ac:dyDescent="0.2">
      <c r="A5423" s="6">
        <v>4835</v>
      </c>
      <c r="B5423" s="7">
        <v>34402</v>
      </c>
      <c r="C5423" s="8">
        <f>DATE(2012,12,31)-974</f>
        <v>40300</v>
      </c>
      <c r="D5423" s="8" t="str">
        <f t="shared" si="101"/>
        <v>2010-05 (май 2010)</v>
      </c>
      <c r="E5423" s="9" t="s">
        <v>30</v>
      </c>
      <c r="F5423" s="7">
        <v>38</v>
      </c>
      <c r="G5423" s="7">
        <v>3016.85</v>
      </c>
      <c r="H5423" s="7">
        <v>0.05</v>
      </c>
      <c r="I5423" s="9" t="s">
        <v>22</v>
      </c>
      <c r="J5423" s="10">
        <v>-967.67</v>
      </c>
      <c r="K5423" s="11">
        <v>80.98</v>
      </c>
      <c r="L5423" s="11">
        <v>35</v>
      </c>
      <c r="M5423" s="9" t="s">
        <v>1907</v>
      </c>
      <c r="N5423" s="6" t="s">
        <v>1905</v>
      </c>
      <c r="O5423" s="6" t="s">
        <v>673</v>
      </c>
      <c r="P5423" s="9" t="s">
        <v>41</v>
      </c>
      <c r="Q5423" s="9" t="s">
        <v>26</v>
      </c>
      <c r="R5423" s="9" t="s">
        <v>27</v>
      </c>
      <c r="S5423" s="7" t="s">
        <v>171</v>
      </c>
      <c r="T5423" s="9" t="s">
        <v>29</v>
      </c>
      <c r="U5423" s="7">
        <v>0.81</v>
      </c>
      <c r="V5423" s="12">
        <f>C5423+2</f>
        <v>40302</v>
      </c>
      <c r="W5423">
        <f>IF(D5423=' Pivot Tables'!$A$4,1,0)</f>
        <v>0</v>
      </c>
      <c r="X5423">
        <f>IF(AND(LEFT(D5423,4)+1=LEFT(' Pivot Tables'!$A$4,4)+0,RIGHT(LEFT(D5423,7),2)=RIGHT(LEFT(' Pivot Tables'!$A$4,7),2)),1,0)</f>
        <v>0</v>
      </c>
      <c r="Y5423" s="6">
        <f>1/COUNTIF(Таблица1[Order ID],Таблица1[[#This Row],[Order ID]])</f>
        <v>0.5</v>
      </c>
      <c r="Z5423" s="9">
        <f>1/COUNTIFS(Таблица1[Customer Name],Таблица1[[#This Row],[Customer Name]],Таблица1[Order-Year-Month],Таблица1[[#This Row],[Order-Year-Month]])</f>
        <v>0.5</v>
      </c>
    </row>
    <row r="5424" spans="1:26" x14ac:dyDescent="0.2">
      <c r="A5424" s="6">
        <v>4836</v>
      </c>
      <c r="B5424" s="7">
        <v>34402</v>
      </c>
      <c r="C5424" s="8">
        <f>DATE(2012,12,31)-974</f>
        <v>40300</v>
      </c>
      <c r="D5424" s="8" t="str">
        <f t="shared" si="101"/>
        <v>2010-05 (май 2010)</v>
      </c>
      <c r="E5424" s="9" t="s">
        <v>30</v>
      </c>
      <c r="F5424" s="7">
        <v>11</v>
      </c>
      <c r="G5424" s="7">
        <v>48.5</v>
      </c>
      <c r="H5424" s="7">
        <v>7.0000000000000007E-2</v>
      </c>
      <c r="I5424" s="9" t="s">
        <v>56</v>
      </c>
      <c r="J5424" s="10">
        <v>23.88</v>
      </c>
      <c r="K5424" s="11">
        <v>3.15</v>
      </c>
      <c r="L5424" s="11">
        <v>0.5</v>
      </c>
      <c r="M5424" s="9" t="s">
        <v>1907</v>
      </c>
      <c r="N5424" s="6" t="s">
        <v>1905</v>
      </c>
      <c r="O5424" s="6" t="s">
        <v>673</v>
      </c>
      <c r="P5424" s="9" t="s">
        <v>41</v>
      </c>
      <c r="Q5424" s="9" t="s">
        <v>26</v>
      </c>
      <c r="R5424" s="9" t="s">
        <v>88</v>
      </c>
      <c r="S5424" s="7" t="s">
        <v>774</v>
      </c>
      <c r="T5424" s="9" t="s">
        <v>39</v>
      </c>
      <c r="U5424" s="7">
        <v>0.37</v>
      </c>
      <c r="V5424" s="12">
        <f>C5424+3</f>
        <v>40303</v>
      </c>
      <c r="W5424">
        <f>IF(D5424=' Pivot Tables'!$A$4,1,0)</f>
        <v>0</v>
      </c>
      <c r="X5424">
        <f>IF(AND(LEFT(D5424,4)+1=LEFT(' Pivot Tables'!$A$4,4)+0,RIGHT(LEFT(D5424,7),2)=RIGHT(LEFT(' Pivot Tables'!$A$4,7),2)),1,0)</f>
        <v>0</v>
      </c>
      <c r="Y5424" s="6">
        <f>1/COUNTIF(Таблица1[Order ID],Таблица1[[#This Row],[Order ID]])</f>
        <v>0.5</v>
      </c>
      <c r="Z5424" s="9">
        <f>1/COUNTIFS(Таблица1[Customer Name],Таблица1[[#This Row],[Customer Name]],Таблица1[Order-Year-Month],Таблица1[[#This Row],[Order-Year-Month]])</f>
        <v>0.5</v>
      </c>
    </row>
    <row r="5425" spans="1:26" x14ac:dyDescent="0.2">
      <c r="A5425" s="6">
        <v>4880</v>
      </c>
      <c r="B5425" s="7">
        <v>34723</v>
      </c>
      <c r="C5425" s="8">
        <f>DATE(2012,12,31)-22</f>
        <v>41252</v>
      </c>
      <c r="D5425" s="8" t="str">
        <f t="shared" si="101"/>
        <v>2012-12 (декабрь 2012)</v>
      </c>
      <c r="E5425" s="9" t="s">
        <v>63</v>
      </c>
      <c r="F5425" s="7">
        <v>4</v>
      </c>
      <c r="G5425" s="7">
        <v>6095.14</v>
      </c>
      <c r="H5425" s="7">
        <v>0.06</v>
      </c>
      <c r="I5425" s="9" t="s">
        <v>31</v>
      </c>
      <c r="J5425" s="10">
        <v>-3001.2824999999998</v>
      </c>
      <c r="K5425" s="11">
        <v>1500.97</v>
      </c>
      <c r="L5425" s="11">
        <v>29.7</v>
      </c>
      <c r="M5425" s="9" t="s">
        <v>1923</v>
      </c>
      <c r="N5425" s="6" t="s">
        <v>1905</v>
      </c>
      <c r="O5425" s="6" t="s">
        <v>673</v>
      </c>
      <c r="P5425" s="9" t="s">
        <v>25</v>
      </c>
      <c r="Q5425" s="9" t="s">
        <v>42</v>
      </c>
      <c r="R5425" s="9" t="s">
        <v>210</v>
      </c>
      <c r="S5425" s="7" t="s">
        <v>316</v>
      </c>
      <c r="T5425" s="9" t="s">
        <v>36</v>
      </c>
      <c r="U5425" s="7">
        <v>0.56999999999999995</v>
      </c>
      <c r="V5425" s="12">
        <f>C5425+2</f>
        <v>41254</v>
      </c>
      <c r="W5425">
        <f>IF(D5425=' Pivot Tables'!$A$4,1,0)</f>
        <v>0</v>
      </c>
      <c r="X5425">
        <f>IF(AND(LEFT(D5425,4)+1=LEFT(' Pivot Tables'!$A$4,4)+0,RIGHT(LEFT(D5425,7),2)=RIGHT(LEFT(' Pivot Tables'!$A$4,7),2)),1,0)</f>
        <v>0</v>
      </c>
      <c r="Y5425" s="6">
        <f>1/COUNTIF(Таблица1[Order ID],Таблица1[[#This Row],[Order ID]])</f>
        <v>0.33333333333333331</v>
      </c>
      <c r="Z5425" s="9">
        <f>1/COUNTIFS(Таблица1[Customer Name],Таблица1[[#This Row],[Customer Name]],Таблица1[Order-Year-Month],Таблица1[[#This Row],[Order-Year-Month]])</f>
        <v>0.33333333333333331</v>
      </c>
    </row>
    <row r="5426" spans="1:26" x14ac:dyDescent="0.2">
      <c r="A5426" s="6">
        <v>4881</v>
      </c>
      <c r="B5426" s="7">
        <v>34723</v>
      </c>
      <c r="C5426" s="8">
        <f>DATE(2012,12,31)-22</f>
        <v>41252</v>
      </c>
      <c r="D5426" s="8" t="str">
        <f t="shared" si="101"/>
        <v>2012-12 (декабрь 2012)</v>
      </c>
      <c r="E5426" s="9" t="s">
        <v>63</v>
      </c>
      <c r="F5426" s="7">
        <v>46</v>
      </c>
      <c r="G5426" s="7">
        <v>3776.28</v>
      </c>
      <c r="H5426" s="7">
        <v>0.06</v>
      </c>
      <c r="I5426" s="9" t="s">
        <v>31</v>
      </c>
      <c r="J5426" s="10">
        <v>579.79</v>
      </c>
      <c r="K5426" s="11">
        <v>80.97</v>
      </c>
      <c r="L5426" s="11">
        <v>30.06</v>
      </c>
      <c r="M5426" s="9" t="s">
        <v>1923</v>
      </c>
      <c r="N5426" s="6" t="s">
        <v>1905</v>
      </c>
      <c r="O5426" s="6" t="s">
        <v>673</v>
      </c>
      <c r="P5426" s="9" t="s">
        <v>25</v>
      </c>
      <c r="Q5426" s="9" t="s">
        <v>42</v>
      </c>
      <c r="R5426" s="9" t="s">
        <v>210</v>
      </c>
      <c r="S5426" s="7" t="s">
        <v>1035</v>
      </c>
      <c r="T5426" s="9" t="s">
        <v>82</v>
      </c>
      <c r="U5426" s="7">
        <v>0.4</v>
      </c>
      <c r="V5426" s="12">
        <f>C5426+3</f>
        <v>41255</v>
      </c>
      <c r="W5426">
        <f>IF(D5426=' Pivot Tables'!$A$4,1,0)</f>
        <v>0</v>
      </c>
      <c r="X5426">
        <f>IF(AND(LEFT(D5426,4)+1=LEFT(' Pivot Tables'!$A$4,4)+0,RIGHT(LEFT(D5426,7),2)=RIGHT(LEFT(' Pivot Tables'!$A$4,7),2)),1,0)</f>
        <v>0</v>
      </c>
      <c r="Y5426" s="6">
        <f>1/COUNTIF(Таблица1[Order ID],Таблица1[[#This Row],[Order ID]])</f>
        <v>0.33333333333333331</v>
      </c>
      <c r="Z5426" s="9">
        <f>1/COUNTIFS(Таблица1[Customer Name],Таблица1[[#This Row],[Customer Name]],Таблица1[Order-Year-Month],Таблица1[[#This Row],[Order-Year-Month]])</f>
        <v>0.33333333333333331</v>
      </c>
    </row>
    <row r="5427" spans="1:26" x14ac:dyDescent="0.2">
      <c r="A5427" s="6">
        <v>4882</v>
      </c>
      <c r="B5427" s="7">
        <v>34723</v>
      </c>
      <c r="C5427" s="8">
        <f>DATE(2012,12,31)-22</f>
        <v>41252</v>
      </c>
      <c r="D5427" s="8" t="str">
        <f t="shared" si="101"/>
        <v>2012-12 (декабрь 2012)</v>
      </c>
      <c r="E5427" s="9" t="s">
        <v>63</v>
      </c>
      <c r="F5427" s="7">
        <v>29</v>
      </c>
      <c r="G5427" s="7">
        <v>1487.8995</v>
      </c>
      <c r="H5427" s="7">
        <v>0.09</v>
      </c>
      <c r="I5427" s="9" t="s">
        <v>22</v>
      </c>
      <c r="J5427" s="10">
        <v>79.316999999999993</v>
      </c>
      <c r="K5427" s="11">
        <v>65.989999999999995</v>
      </c>
      <c r="L5427" s="11">
        <v>8.99</v>
      </c>
      <c r="M5427" s="9" t="s">
        <v>1923</v>
      </c>
      <c r="N5427" s="6" t="s">
        <v>1905</v>
      </c>
      <c r="O5427" s="6" t="s">
        <v>673</v>
      </c>
      <c r="P5427" s="9" t="s">
        <v>25</v>
      </c>
      <c r="Q5427" s="9" t="s">
        <v>42</v>
      </c>
      <c r="R5427" s="9" t="s">
        <v>43</v>
      </c>
      <c r="S5427" s="7" t="s">
        <v>1181</v>
      </c>
      <c r="T5427" s="9" t="s">
        <v>39</v>
      </c>
      <c r="U5427" s="7">
        <v>0.56000000000000005</v>
      </c>
      <c r="V5427" s="12">
        <f>C5427+2</f>
        <v>41254</v>
      </c>
      <c r="W5427">
        <f>IF(D5427=' Pivot Tables'!$A$4,1,0)</f>
        <v>0</v>
      </c>
      <c r="X5427">
        <f>IF(AND(LEFT(D5427,4)+1=LEFT(' Pivot Tables'!$A$4,4)+0,RIGHT(LEFT(D5427,7),2)=RIGHT(LEFT(' Pivot Tables'!$A$4,7),2)),1,0)</f>
        <v>0</v>
      </c>
      <c r="Y5427" s="6">
        <f>1/COUNTIF(Таблица1[Order ID],Таблица1[[#This Row],[Order ID]])</f>
        <v>0.33333333333333331</v>
      </c>
      <c r="Z5427" s="9">
        <f>1/COUNTIFS(Таблица1[Customer Name],Таблица1[[#This Row],[Customer Name]],Таблица1[Order-Year-Month],Таблица1[[#This Row],[Order-Year-Month]])</f>
        <v>0.33333333333333331</v>
      </c>
    </row>
    <row r="5428" spans="1:26" x14ac:dyDescent="0.2">
      <c r="A5428" s="6">
        <v>4887</v>
      </c>
      <c r="B5428" s="7">
        <v>34757</v>
      </c>
      <c r="C5428" s="8">
        <f>DATE(2012,12,31)-217</f>
        <v>41057</v>
      </c>
      <c r="D5428" s="8" t="str">
        <f t="shared" si="101"/>
        <v>2012-05 (май 2012)</v>
      </c>
      <c r="E5428" s="9" t="s">
        <v>30</v>
      </c>
      <c r="F5428" s="7">
        <v>40</v>
      </c>
      <c r="G5428" s="7">
        <v>250.6</v>
      </c>
      <c r="H5428" s="7">
        <v>0.1</v>
      </c>
      <c r="I5428" s="9" t="s">
        <v>56</v>
      </c>
      <c r="J5428" s="10">
        <v>-107.06</v>
      </c>
      <c r="K5428" s="11">
        <v>6.48</v>
      </c>
      <c r="L5428" s="11">
        <v>6.22</v>
      </c>
      <c r="M5428" s="9" t="s">
        <v>1923</v>
      </c>
      <c r="N5428" s="6" t="s">
        <v>1905</v>
      </c>
      <c r="O5428" s="6" t="s">
        <v>673</v>
      </c>
      <c r="P5428" s="9" t="s">
        <v>25</v>
      </c>
      <c r="Q5428" s="9" t="s">
        <v>26</v>
      </c>
      <c r="R5428" s="9" t="s">
        <v>61</v>
      </c>
      <c r="S5428" s="7" t="s">
        <v>943</v>
      </c>
      <c r="T5428" s="9" t="s">
        <v>39</v>
      </c>
      <c r="U5428" s="7">
        <v>0.37</v>
      </c>
      <c r="V5428" s="12">
        <f>C5428+2</f>
        <v>41059</v>
      </c>
      <c r="W5428">
        <f>IF(D5428=' Pivot Tables'!$A$4,1,0)</f>
        <v>0</v>
      </c>
      <c r="X5428">
        <f>IF(AND(LEFT(D5428,4)+1=LEFT(' Pivot Tables'!$A$4,4)+0,RIGHT(LEFT(D5428,7),2)=RIGHT(LEFT(' Pivot Tables'!$A$4,7),2)),1,0)</f>
        <v>0</v>
      </c>
      <c r="Y5428" s="6">
        <f>1/COUNTIF(Таблица1[Order ID],Таблица1[[#This Row],[Order ID]])</f>
        <v>1</v>
      </c>
      <c r="Z5428" s="9">
        <f>1/COUNTIFS(Таблица1[Customer Name],Таблица1[[#This Row],[Customer Name]],Таблица1[Order-Year-Month],Таблица1[[#This Row],[Order-Year-Month]])</f>
        <v>1</v>
      </c>
    </row>
    <row r="5429" spans="1:26" x14ac:dyDescent="0.2">
      <c r="A5429" s="6">
        <v>4905</v>
      </c>
      <c r="B5429" s="7">
        <v>34913</v>
      </c>
      <c r="C5429" s="8">
        <f>DATE(2012,12,31)-405</f>
        <v>40869</v>
      </c>
      <c r="D5429" s="8" t="str">
        <f t="shared" si="101"/>
        <v>2011-11 (ноябрь 2011)</v>
      </c>
      <c r="E5429" s="9" t="s">
        <v>63</v>
      </c>
      <c r="F5429" s="7">
        <v>15</v>
      </c>
      <c r="G5429" s="7">
        <v>107.63</v>
      </c>
      <c r="H5429" s="7">
        <v>0</v>
      </c>
      <c r="I5429" s="9" t="s">
        <v>22</v>
      </c>
      <c r="J5429" s="10">
        <v>-29.888499999999997</v>
      </c>
      <c r="K5429" s="11">
        <v>6.81</v>
      </c>
      <c r="L5429" s="11">
        <v>5.48</v>
      </c>
      <c r="M5429" s="9" t="s">
        <v>1912</v>
      </c>
      <c r="N5429" s="6" t="s">
        <v>1905</v>
      </c>
      <c r="O5429" s="6" t="s">
        <v>673</v>
      </c>
      <c r="P5429" s="9" t="s">
        <v>60</v>
      </c>
      <c r="Q5429" s="9" t="s">
        <v>26</v>
      </c>
      <c r="R5429" s="9" t="s">
        <v>37</v>
      </c>
      <c r="S5429" s="7" t="s">
        <v>1319</v>
      </c>
      <c r="T5429" s="9" t="s">
        <v>39</v>
      </c>
      <c r="U5429" s="7">
        <v>0.37</v>
      </c>
      <c r="V5429" s="12">
        <f>C5429+2</f>
        <v>40871</v>
      </c>
      <c r="W5429">
        <f>IF(D5429=' Pivot Tables'!$A$4,1,0)</f>
        <v>0</v>
      </c>
      <c r="X5429">
        <f>IF(AND(LEFT(D5429,4)+1=LEFT(' Pivot Tables'!$A$4,4)+0,RIGHT(LEFT(D5429,7),2)=RIGHT(LEFT(' Pivot Tables'!$A$4,7),2)),1,0)</f>
        <v>0</v>
      </c>
      <c r="Y5429" s="6">
        <f>1/COUNTIF(Таблица1[Order ID],Таблица1[[#This Row],[Order ID]])</f>
        <v>1</v>
      </c>
      <c r="Z5429" s="9">
        <f>1/COUNTIFS(Таблица1[Customer Name],Таблица1[[#This Row],[Customer Name]],Таблица1[Order-Year-Month],Таблица1[[#This Row],[Order-Year-Month]])</f>
        <v>1</v>
      </c>
    </row>
    <row r="5430" spans="1:26" x14ac:dyDescent="0.2">
      <c r="A5430" s="6">
        <v>4938</v>
      </c>
      <c r="B5430" s="7">
        <v>35136</v>
      </c>
      <c r="C5430" s="8">
        <f>DATE(2012,12,31)-1180</f>
        <v>40094</v>
      </c>
      <c r="D5430" s="8" t="str">
        <f t="shared" si="101"/>
        <v>2009-10 (октябрь 2009)</v>
      </c>
      <c r="E5430" s="9" t="s">
        <v>78</v>
      </c>
      <c r="F5430" s="7">
        <v>23</v>
      </c>
      <c r="G5430" s="7">
        <v>68.73</v>
      </c>
      <c r="H5430" s="7">
        <v>7.0000000000000007E-2</v>
      </c>
      <c r="I5430" s="9" t="s">
        <v>22</v>
      </c>
      <c r="J5430" s="10">
        <v>17.170000000000002</v>
      </c>
      <c r="K5430" s="11">
        <v>2.94</v>
      </c>
      <c r="L5430" s="11">
        <v>0.81</v>
      </c>
      <c r="M5430" s="9" t="s">
        <v>1904</v>
      </c>
      <c r="N5430" s="6" t="s">
        <v>1905</v>
      </c>
      <c r="O5430" s="6" t="s">
        <v>673</v>
      </c>
      <c r="P5430" s="9" t="s">
        <v>41</v>
      </c>
      <c r="Q5430" s="9" t="s">
        <v>26</v>
      </c>
      <c r="R5430" s="9" t="s">
        <v>95</v>
      </c>
      <c r="S5430" s="7" t="s">
        <v>1130</v>
      </c>
      <c r="T5430" s="9" t="s">
        <v>68</v>
      </c>
      <c r="U5430" s="7">
        <v>0.4</v>
      </c>
      <c r="V5430" s="12">
        <f>C5430+1</f>
        <v>40095</v>
      </c>
      <c r="W5430">
        <f>IF(D5430=' Pivot Tables'!$A$4,1,0)</f>
        <v>0</v>
      </c>
      <c r="X5430">
        <f>IF(AND(LEFT(D5430,4)+1=LEFT(' Pivot Tables'!$A$4,4)+0,RIGHT(LEFT(D5430,7),2)=RIGHT(LEFT(' Pivot Tables'!$A$4,7),2)),1,0)</f>
        <v>0</v>
      </c>
      <c r="Y5430" s="6">
        <f>1/COUNTIF(Таблица1[Order ID],Таблица1[[#This Row],[Order ID]])</f>
        <v>1</v>
      </c>
      <c r="Z5430" s="9">
        <f>1/COUNTIFS(Таблица1[Customer Name],Таблица1[[#This Row],[Customer Name]],Таблица1[Order-Year-Month],Таблица1[[#This Row],[Order-Year-Month]])</f>
        <v>1</v>
      </c>
    </row>
    <row r="5431" spans="1:26" x14ac:dyDescent="0.2">
      <c r="A5431" s="6">
        <v>4961</v>
      </c>
      <c r="B5431" s="7">
        <v>35299</v>
      </c>
      <c r="C5431" s="8">
        <f>DATE(2012,12,31)-143</f>
        <v>41131</v>
      </c>
      <c r="D5431" s="8" t="str">
        <f t="shared" si="101"/>
        <v>2012-08 (август 2012)</v>
      </c>
      <c r="E5431" s="9" t="s">
        <v>45</v>
      </c>
      <c r="F5431" s="7">
        <v>41</v>
      </c>
      <c r="G5431" s="7">
        <v>4359</v>
      </c>
      <c r="H5431" s="7">
        <v>0.02</v>
      </c>
      <c r="I5431" s="9" t="s">
        <v>22</v>
      </c>
      <c r="J5431" s="10">
        <v>907.67</v>
      </c>
      <c r="K5431" s="11">
        <v>99.99</v>
      </c>
      <c r="L5431" s="11">
        <v>19.989999999999998</v>
      </c>
      <c r="M5431" s="9" t="s">
        <v>1910</v>
      </c>
      <c r="N5431" s="6" t="s">
        <v>1905</v>
      </c>
      <c r="O5431" s="6" t="s">
        <v>673</v>
      </c>
      <c r="P5431" s="9" t="s">
        <v>41</v>
      </c>
      <c r="Q5431" s="9" t="s">
        <v>42</v>
      </c>
      <c r="R5431" s="9" t="s">
        <v>70</v>
      </c>
      <c r="S5431" s="7" t="s">
        <v>337</v>
      </c>
      <c r="T5431" s="9" t="s">
        <v>39</v>
      </c>
      <c r="U5431" s="7">
        <v>0.52</v>
      </c>
      <c r="V5431" s="12">
        <f>C5431+2</f>
        <v>41133</v>
      </c>
      <c r="W5431">
        <f>IF(D5431=' Pivot Tables'!$A$4,1,0)</f>
        <v>0</v>
      </c>
      <c r="X5431">
        <f>IF(AND(LEFT(D5431,4)+1=LEFT(' Pivot Tables'!$A$4,4)+0,RIGHT(LEFT(D5431,7),2)=RIGHT(LEFT(' Pivot Tables'!$A$4,7),2)),1,0)</f>
        <v>0</v>
      </c>
      <c r="Y5431" s="6">
        <f>1/COUNTIF(Таблица1[Order ID],Таблица1[[#This Row],[Order ID]])</f>
        <v>1</v>
      </c>
      <c r="Z5431" s="9">
        <f>1/COUNTIFS(Таблица1[Customer Name],Таблица1[[#This Row],[Customer Name]],Таблица1[Order-Year-Month],Таблица1[[#This Row],[Order-Year-Month]])</f>
        <v>1</v>
      </c>
    </row>
    <row r="5432" spans="1:26" x14ac:dyDescent="0.2">
      <c r="A5432" s="6">
        <v>5145</v>
      </c>
      <c r="B5432" s="7">
        <v>36676</v>
      </c>
      <c r="C5432" s="8">
        <f>DATE(2012,12,31)-494</f>
        <v>40780</v>
      </c>
      <c r="D5432" s="8" t="str">
        <f t="shared" si="101"/>
        <v>2011-08 (август 2011)</v>
      </c>
      <c r="E5432" s="9" t="s">
        <v>45</v>
      </c>
      <c r="F5432" s="7">
        <v>32</v>
      </c>
      <c r="G5432" s="7">
        <v>3046.01</v>
      </c>
      <c r="H5432" s="7">
        <v>0.08</v>
      </c>
      <c r="I5432" s="9" t="s">
        <v>31</v>
      </c>
      <c r="J5432" s="10">
        <v>998.65</v>
      </c>
      <c r="K5432" s="11">
        <v>100.97</v>
      </c>
      <c r="L5432" s="11">
        <v>14</v>
      </c>
      <c r="M5432" s="9" t="s">
        <v>1907</v>
      </c>
      <c r="N5432" s="6" t="s">
        <v>1905</v>
      </c>
      <c r="O5432" s="6" t="s">
        <v>673</v>
      </c>
      <c r="P5432" s="9" t="s">
        <v>41</v>
      </c>
      <c r="Q5432" s="9" t="s">
        <v>42</v>
      </c>
      <c r="R5432" s="9" t="s">
        <v>210</v>
      </c>
      <c r="S5432" s="7" t="s">
        <v>911</v>
      </c>
      <c r="T5432" s="9" t="s">
        <v>36</v>
      </c>
      <c r="U5432" s="7">
        <v>0.37</v>
      </c>
      <c r="V5432" s="12">
        <f>C5432+2</f>
        <v>40782</v>
      </c>
      <c r="W5432">
        <f>IF(D5432=' Pivot Tables'!$A$4,1,0)</f>
        <v>0</v>
      </c>
      <c r="X5432">
        <f>IF(AND(LEFT(D5432,4)+1=LEFT(' Pivot Tables'!$A$4,4)+0,RIGHT(LEFT(D5432,7),2)=RIGHT(LEFT(' Pivot Tables'!$A$4,7),2)),1,0)</f>
        <v>0</v>
      </c>
      <c r="Y5432" s="6">
        <f>1/COUNTIF(Таблица1[Order ID],Таблица1[[#This Row],[Order ID]])</f>
        <v>0.5</v>
      </c>
      <c r="Z5432" s="9">
        <f>1/COUNTIFS(Таблица1[Customer Name],Таблица1[[#This Row],[Customer Name]],Таблица1[Order-Year-Month],Таблица1[[#This Row],[Order-Year-Month]])</f>
        <v>0.5</v>
      </c>
    </row>
    <row r="5433" spans="1:26" x14ac:dyDescent="0.2">
      <c r="A5433" s="6">
        <v>5146</v>
      </c>
      <c r="B5433" s="7">
        <v>36676</v>
      </c>
      <c r="C5433" s="8">
        <f>DATE(2012,12,31)-494</f>
        <v>40780</v>
      </c>
      <c r="D5433" s="8" t="str">
        <f t="shared" si="101"/>
        <v>2011-08 (август 2011)</v>
      </c>
      <c r="E5433" s="9" t="s">
        <v>45</v>
      </c>
      <c r="F5433" s="7">
        <v>15</v>
      </c>
      <c r="G5433" s="7">
        <v>353.52</v>
      </c>
      <c r="H5433" s="7">
        <v>0.04</v>
      </c>
      <c r="I5433" s="9" t="s">
        <v>22</v>
      </c>
      <c r="J5433" s="10">
        <v>51.53</v>
      </c>
      <c r="K5433" s="11">
        <v>22.84</v>
      </c>
      <c r="L5433" s="11">
        <v>8.18</v>
      </c>
      <c r="M5433" s="9" t="s">
        <v>1907</v>
      </c>
      <c r="N5433" s="6" t="s">
        <v>1905</v>
      </c>
      <c r="O5433" s="6" t="s">
        <v>673</v>
      </c>
      <c r="P5433" s="9" t="s">
        <v>41</v>
      </c>
      <c r="Q5433" s="9" t="s">
        <v>26</v>
      </c>
      <c r="R5433" s="9" t="s">
        <v>61</v>
      </c>
      <c r="S5433" s="7" t="s">
        <v>1539</v>
      </c>
      <c r="T5433" s="9" t="s">
        <v>39</v>
      </c>
      <c r="U5433" s="7">
        <v>0.39</v>
      </c>
      <c r="V5433" s="12">
        <f>C5433+1</f>
        <v>40781</v>
      </c>
      <c r="W5433">
        <f>IF(D5433=' Pivot Tables'!$A$4,1,0)</f>
        <v>0</v>
      </c>
      <c r="X5433">
        <f>IF(AND(LEFT(D5433,4)+1=LEFT(' Pivot Tables'!$A$4,4)+0,RIGHT(LEFT(D5433,7),2)=RIGHT(LEFT(' Pivot Tables'!$A$4,7),2)),1,0)</f>
        <v>0</v>
      </c>
      <c r="Y5433" s="6">
        <f>1/COUNTIF(Таблица1[Order ID],Таблица1[[#This Row],[Order ID]])</f>
        <v>0.5</v>
      </c>
      <c r="Z5433" s="9">
        <f>1/COUNTIFS(Таблица1[Customer Name],Таблица1[[#This Row],[Customer Name]],Таблица1[Order-Year-Month],Таблица1[[#This Row],[Order-Year-Month]])</f>
        <v>0.5</v>
      </c>
    </row>
    <row r="5434" spans="1:26" x14ac:dyDescent="0.2">
      <c r="A5434" s="6">
        <v>5155</v>
      </c>
      <c r="B5434" s="7">
        <v>36708</v>
      </c>
      <c r="C5434" s="8">
        <f>DATE(2012,12,31)-469</f>
        <v>40805</v>
      </c>
      <c r="D5434" s="8" t="str">
        <f t="shared" si="101"/>
        <v>2011-09 (сентябрь 2011)</v>
      </c>
      <c r="E5434" s="9" t="s">
        <v>45</v>
      </c>
      <c r="F5434" s="7">
        <v>46</v>
      </c>
      <c r="G5434" s="7">
        <v>636.5</v>
      </c>
      <c r="H5434" s="7">
        <v>0.01</v>
      </c>
      <c r="I5434" s="9" t="s">
        <v>22</v>
      </c>
      <c r="J5434" s="10">
        <v>-71.983800000000002</v>
      </c>
      <c r="K5434" s="11">
        <v>12.99</v>
      </c>
      <c r="L5434" s="11">
        <v>9.44</v>
      </c>
      <c r="M5434" s="9" t="s">
        <v>1912</v>
      </c>
      <c r="N5434" s="6" t="s">
        <v>1905</v>
      </c>
      <c r="O5434" s="6" t="s">
        <v>673</v>
      </c>
      <c r="P5434" s="9" t="s">
        <v>41</v>
      </c>
      <c r="Q5434" s="9" t="s">
        <v>42</v>
      </c>
      <c r="R5434" s="9" t="s">
        <v>210</v>
      </c>
      <c r="S5434" s="7" t="s">
        <v>1924</v>
      </c>
      <c r="T5434" s="9" t="s">
        <v>48</v>
      </c>
      <c r="U5434" s="7">
        <v>0.39</v>
      </c>
      <c r="V5434" s="12">
        <f>C5434+2</f>
        <v>40807</v>
      </c>
      <c r="W5434">
        <f>IF(D5434=' Pivot Tables'!$A$4,1,0)</f>
        <v>0</v>
      </c>
      <c r="X5434">
        <f>IF(AND(LEFT(D5434,4)+1=LEFT(' Pivot Tables'!$A$4,4)+0,RIGHT(LEFT(D5434,7),2)=RIGHT(LEFT(' Pivot Tables'!$A$4,7),2)),1,0)</f>
        <v>0</v>
      </c>
      <c r="Y5434" s="6">
        <f>1/COUNTIF(Таблица1[Order ID],Таблица1[[#This Row],[Order ID]])</f>
        <v>0.5</v>
      </c>
      <c r="Z5434" s="9">
        <f>1/COUNTIFS(Таблица1[Customer Name],Таблица1[[#This Row],[Customer Name]],Таблица1[Order-Year-Month],Таблица1[[#This Row],[Order-Year-Month]])</f>
        <v>0.5</v>
      </c>
    </row>
    <row r="5435" spans="1:26" x14ac:dyDescent="0.2">
      <c r="A5435" s="6">
        <v>5156</v>
      </c>
      <c r="B5435" s="7">
        <v>36708</v>
      </c>
      <c r="C5435" s="8">
        <f>DATE(2012,12,31)-469</f>
        <v>40805</v>
      </c>
      <c r="D5435" s="8" t="str">
        <f t="shared" si="101"/>
        <v>2011-09 (сентябрь 2011)</v>
      </c>
      <c r="E5435" s="9" t="s">
        <v>45</v>
      </c>
      <c r="F5435" s="7">
        <v>25</v>
      </c>
      <c r="G5435" s="7">
        <v>2614.3705</v>
      </c>
      <c r="H5435" s="7">
        <v>7.0000000000000007E-2</v>
      </c>
      <c r="I5435" s="9" t="s">
        <v>22</v>
      </c>
      <c r="J5435" s="10">
        <v>384.012</v>
      </c>
      <c r="K5435" s="11">
        <v>125.99</v>
      </c>
      <c r="L5435" s="11">
        <v>7.69</v>
      </c>
      <c r="M5435" s="9" t="s">
        <v>1912</v>
      </c>
      <c r="N5435" s="6" t="s">
        <v>1905</v>
      </c>
      <c r="O5435" s="6" t="s">
        <v>673</v>
      </c>
      <c r="P5435" s="9" t="s">
        <v>41</v>
      </c>
      <c r="Q5435" s="9" t="s">
        <v>42</v>
      </c>
      <c r="R5435" s="9" t="s">
        <v>43</v>
      </c>
      <c r="S5435" s="7" t="s">
        <v>129</v>
      </c>
      <c r="T5435" s="9" t="s">
        <v>39</v>
      </c>
      <c r="U5435" s="7">
        <v>0.57999999999999996</v>
      </c>
      <c r="V5435" s="12">
        <f>C5435+2</f>
        <v>40807</v>
      </c>
      <c r="W5435">
        <f>IF(D5435=' Pivot Tables'!$A$4,1,0)</f>
        <v>0</v>
      </c>
      <c r="X5435">
        <f>IF(AND(LEFT(D5435,4)+1=LEFT(' Pivot Tables'!$A$4,4)+0,RIGHT(LEFT(D5435,7),2)=RIGHT(LEFT(' Pivot Tables'!$A$4,7),2)),1,0)</f>
        <v>0</v>
      </c>
      <c r="Y5435" s="6">
        <f>1/COUNTIF(Таблица1[Order ID],Таблица1[[#This Row],[Order ID]])</f>
        <v>0.5</v>
      </c>
      <c r="Z5435" s="9">
        <f>1/COUNTIFS(Таблица1[Customer Name],Таблица1[[#This Row],[Customer Name]],Таблица1[Order-Year-Month],Таблица1[[#This Row],[Order-Year-Month]])</f>
        <v>0.5</v>
      </c>
    </row>
    <row r="5436" spans="1:26" x14ac:dyDescent="0.2">
      <c r="A5436" s="6">
        <v>5181</v>
      </c>
      <c r="B5436" s="7">
        <v>36835</v>
      </c>
      <c r="C5436" s="8">
        <f>DATE(2012,12,31)-1168</f>
        <v>40106</v>
      </c>
      <c r="D5436" s="8" t="str">
        <f t="shared" si="101"/>
        <v>2009-10 (октябрь 2009)</v>
      </c>
      <c r="E5436" s="9" t="s">
        <v>78</v>
      </c>
      <c r="F5436" s="7">
        <v>39</v>
      </c>
      <c r="G5436" s="7">
        <v>12073.06</v>
      </c>
      <c r="H5436" s="7">
        <v>0.03</v>
      </c>
      <c r="I5436" s="9" t="s">
        <v>22</v>
      </c>
      <c r="J5436" s="10">
        <v>5081.8694999999998</v>
      </c>
      <c r="K5436" s="11">
        <v>315.98</v>
      </c>
      <c r="L5436" s="11">
        <v>19.989999999999998</v>
      </c>
      <c r="M5436" s="9" t="s">
        <v>1912</v>
      </c>
      <c r="N5436" s="6" t="s">
        <v>1905</v>
      </c>
      <c r="O5436" s="6" t="s">
        <v>673</v>
      </c>
      <c r="P5436" s="9" t="s">
        <v>60</v>
      </c>
      <c r="Q5436" s="9" t="s">
        <v>26</v>
      </c>
      <c r="R5436" s="9" t="s">
        <v>37</v>
      </c>
      <c r="S5436" s="7" t="s">
        <v>885</v>
      </c>
      <c r="T5436" s="9" t="s">
        <v>39</v>
      </c>
      <c r="U5436" s="7">
        <v>0.38</v>
      </c>
      <c r="V5436" s="12">
        <f>C5436+2</f>
        <v>40108</v>
      </c>
      <c r="W5436">
        <f>IF(D5436=' Pivot Tables'!$A$4,1,0)</f>
        <v>0</v>
      </c>
      <c r="X5436">
        <f>IF(AND(LEFT(D5436,4)+1=LEFT(' Pivot Tables'!$A$4,4)+0,RIGHT(LEFT(D5436,7),2)=RIGHT(LEFT(' Pivot Tables'!$A$4,7),2)),1,0)</f>
        <v>0</v>
      </c>
      <c r="Y5436" s="6">
        <f>1/COUNTIF(Таблица1[Order ID],Таблица1[[#This Row],[Order ID]])</f>
        <v>0.33333333333333331</v>
      </c>
      <c r="Z5436" s="9">
        <f>1/COUNTIFS(Таблица1[Customer Name],Таблица1[[#This Row],[Customer Name]],Таблица1[Order-Year-Month],Таблица1[[#This Row],[Order-Year-Month]])</f>
        <v>0.2</v>
      </c>
    </row>
    <row r="5437" spans="1:26" x14ac:dyDescent="0.2">
      <c r="A5437" s="6">
        <v>5182</v>
      </c>
      <c r="B5437" s="7">
        <v>36835</v>
      </c>
      <c r="C5437" s="8">
        <f>DATE(2012,12,31)-1168</f>
        <v>40106</v>
      </c>
      <c r="D5437" s="8" t="str">
        <f t="shared" si="101"/>
        <v>2009-10 (октябрь 2009)</v>
      </c>
      <c r="E5437" s="9" t="s">
        <v>78</v>
      </c>
      <c r="F5437" s="7">
        <v>25</v>
      </c>
      <c r="G5437" s="7">
        <v>6685.05</v>
      </c>
      <c r="H5437" s="7">
        <v>0.09</v>
      </c>
      <c r="I5437" s="9" t="s">
        <v>22</v>
      </c>
      <c r="J5437" s="10">
        <v>1653.6</v>
      </c>
      <c r="K5437" s="11">
        <v>276.2</v>
      </c>
      <c r="L5437" s="11">
        <v>24.49</v>
      </c>
      <c r="M5437" s="9" t="s">
        <v>1912</v>
      </c>
      <c r="N5437" s="6" t="s">
        <v>1905</v>
      </c>
      <c r="O5437" s="6" t="s">
        <v>673</v>
      </c>
      <c r="P5437" s="9" t="s">
        <v>60</v>
      </c>
      <c r="Q5437" s="9" t="s">
        <v>49</v>
      </c>
      <c r="R5437" s="9" t="s">
        <v>112</v>
      </c>
      <c r="S5437" s="7" t="s">
        <v>164</v>
      </c>
      <c r="T5437" s="9" t="s">
        <v>29</v>
      </c>
      <c r="U5437" s="7"/>
      <c r="V5437" s="12">
        <f>C5437+1</f>
        <v>40107</v>
      </c>
      <c r="W5437">
        <f>IF(D5437=' Pivot Tables'!$A$4,1,0)</f>
        <v>0</v>
      </c>
      <c r="X5437">
        <f>IF(AND(LEFT(D5437,4)+1=LEFT(' Pivot Tables'!$A$4,4)+0,RIGHT(LEFT(D5437,7),2)=RIGHT(LEFT(' Pivot Tables'!$A$4,7),2)),1,0)</f>
        <v>0</v>
      </c>
      <c r="Y5437" s="6">
        <f>1/COUNTIF(Таблица1[Order ID],Таблица1[[#This Row],[Order ID]])</f>
        <v>0.33333333333333331</v>
      </c>
      <c r="Z5437" s="9">
        <f>1/COUNTIFS(Таблица1[Customer Name],Таблица1[[#This Row],[Customer Name]],Таблица1[Order-Year-Month],Таблица1[[#This Row],[Order-Year-Month]])</f>
        <v>0.2</v>
      </c>
    </row>
    <row r="5438" spans="1:26" x14ac:dyDescent="0.2">
      <c r="A5438" s="6">
        <v>5183</v>
      </c>
      <c r="B5438" s="7">
        <v>36835</v>
      </c>
      <c r="C5438" s="8">
        <f>DATE(2012,12,31)-1168</f>
        <v>40106</v>
      </c>
      <c r="D5438" s="8" t="str">
        <f t="shared" si="101"/>
        <v>2009-10 (октябрь 2009)</v>
      </c>
      <c r="E5438" s="9" t="s">
        <v>78</v>
      </c>
      <c r="F5438" s="7">
        <v>18</v>
      </c>
      <c r="G5438" s="7">
        <v>1175.53</v>
      </c>
      <c r="H5438" s="7">
        <v>0.03</v>
      </c>
      <c r="I5438" s="9" t="s">
        <v>22</v>
      </c>
      <c r="J5438" s="10">
        <v>257.58999999999997</v>
      </c>
      <c r="K5438" s="11">
        <v>63.94</v>
      </c>
      <c r="L5438" s="11">
        <v>14.48</v>
      </c>
      <c r="M5438" s="9" t="s">
        <v>1912</v>
      </c>
      <c r="N5438" s="6" t="s">
        <v>1905</v>
      </c>
      <c r="O5438" s="6" t="s">
        <v>673</v>
      </c>
      <c r="P5438" s="9" t="s">
        <v>60</v>
      </c>
      <c r="Q5438" s="9" t="s">
        <v>49</v>
      </c>
      <c r="R5438" s="9" t="s">
        <v>50</v>
      </c>
      <c r="S5438" s="7" t="s">
        <v>433</v>
      </c>
      <c r="T5438" s="9" t="s">
        <v>39</v>
      </c>
      <c r="U5438" s="7">
        <v>0.46</v>
      </c>
      <c r="V5438" s="12">
        <f>C5438+1</f>
        <v>40107</v>
      </c>
      <c r="W5438">
        <f>IF(D5438=' Pivot Tables'!$A$4,1,0)</f>
        <v>0</v>
      </c>
      <c r="X5438">
        <f>IF(AND(LEFT(D5438,4)+1=LEFT(' Pivot Tables'!$A$4,4)+0,RIGHT(LEFT(D5438,7),2)=RIGHT(LEFT(' Pivot Tables'!$A$4,7),2)),1,0)</f>
        <v>0</v>
      </c>
      <c r="Y5438" s="6">
        <f>1/COUNTIF(Таблица1[Order ID],Таблица1[[#This Row],[Order ID]])</f>
        <v>0.33333333333333331</v>
      </c>
      <c r="Z5438" s="9">
        <f>1/COUNTIFS(Таблица1[Customer Name],Таблица1[[#This Row],[Customer Name]],Таблица1[Order-Year-Month],Таблица1[[#This Row],[Order-Year-Month]])</f>
        <v>0.2</v>
      </c>
    </row>
    <row r="5439" spans="1:26" x14ac:dyDescent="0.2">
      <c r="A5439" s="6">
        <v>5218</v>
      </c>
      <c r="B5439" s="7">
        <v>37127</v>
      </c>
      <c r="C5439" s="8">
        <f>DATE(2012,12,31)-821</f>
        <v>40453</v>
      </c>
      <c r="D5439" s="8" t="str">
        <f t="shared" si="101"/>
        <v>2010-10 (октябрь 2010)</v>
      </c>
      <c r="E5439" s="9" t="s">
        <v>30</v>
      </c>
      <c r="F5439" s="7">
        <v>19</v>
      </c>
      <c r="G5439" s="7">
        <v>178.44</v>
      </c>
      <c r="H5439" s="7">
        <v>0.03</v>
      </c>
      <c r="I5439" s="9" t="s">
        <v>22</v>
      </c>
      <c r="J5439" s="10">
        <v>50.13</v>
      </c>
      <c r="K5439" s="11">
        <v>9.11</v>
      </c>
      <c r="L5439" s="11">
        <v>2.15</v>
      </c>
      <c r="M5439" s="9" t="s">
        <v>1908</v>
      </c>
      <c r="N5439" s="6" t="s">
        <v>1905</v>
      </c>
      <c r="O5439" s="6" t="s">
        <v>673</v>
      </c>
      <c r="P5439" s="9" t="s">
        <v>41</v>
      </c>
      <c r="Q5439" s="9" t="s">
        <v>26</v>
      </c>
      <c r="R5439" s="9" t="s">
        <v>61</v>
      </c>
      <c r="S5439" s="7" t="s">
        <v>1402</v>
      </c>
      <c r="T5439" s="9" t="s">
        <v>68</v>
      </c>
      <c r="U5439" s="7">
        <v>0.4</v>
      </c>
      <c r="V5439" s="12">
        <f>C5439+1</f>
        <v>40454</v>
      </c>
      <c r="W5439">
        <f>IF(D5439=' Pivot Tables'!$A$4,1,0)</f>
        <v>0</v>
      </c>
      <c r="X5439">
        <f>IF(AND(LEFT(D5439,4)+1=LEFT(' Pivot Tables'!$A$4,4)+0,RIGHT(LEFT(D5439,7),2)=RIGHT(LEFT(' Pivot Tables'!$A$4,7),2)),1,0)</f>
        <v>0</v>
      </c>
      <c r="Y5439" s="6">
        <f>1/COUNTIF(Таблица1[Order ID],Таблица1[[#This Row],[Order ID]])</f>
        <v>1</v>
      </c>
      <c r="Z5439" s="9">
        <f>1/COUNTIFS(Таблица1[Customer Name],Таблица1[[#This Row],[Customer Name]],Таблица1[Order-Year-Month],Таблица1[[#This Row],[Order-Year-Month]])</f>
        <v>1</v>
      </c>
    </row>
    <row r="5440" spans="1:26" x14ac:dyDescent="0.2">
      <c r="A5440" s="6">
        <v>5288</v>
      </c>
      <c r="B5440" s="7">
        <v>37667</v>
      </c>
      <c r="C5440" s="8">
        <f>DATE(2012,12,31)-395</f>
        <v>40879</v>
      </c>
      <c r="D5440" s="8" t="str">
        <f t="shared" si="101"/>
        <v>2011-12 (декабрь 2011)</v>
      </c>
      <c r="E5440" s="9" t="s">
        <v>30</v>
      </c>
      <c r="F5440" s="7">
        <v>31</v>
      </c>
      <c r="G5440" s="7">
        <v>472.35</v>
      </c>
      <c r="H5440" s="7">
        <v>0.03</v>
      </c>
      <c r="I5440" s="9" t="s">
        <v>22</v>
      </c>
      <c r="J5440" s="10">
        <v>61.676000000000002</v>
      </c>
      <c r="K5440" s="11">
        <v>14.48</v>
      </c>
      <c r="L5440" s="11">
        <v>6.46</v>
      </c>
      <c r="M5440" s="9" t="s">
        <v>1904</v>
      </c>
      <c r="N5440" s="6" t="s">
        <v>1905</v>
      </c>
      <c r="O5440" s="6" t="s">
        <v>673</v>
      </c>
      <c r="P5440" s="9" t="s">
        <v>33</v>
      </c>
      <c r="Q5440" s="9" t="s">
        <v>26</v>
      </c>
      <c r="R5440" s="9" t="s">
        <v>37</v>
      </c>
      <c r="S5440" s="7" t="s">
        <v>816</v>
      </c>
      <c r="T5440" s="9" t="s">
        <v>39</v>
      </c>
      <c r="U5440" s="7">
        <v>0.38</v>
      </c>
      <c r="V5440" s="12">
        <f>C5440+1</f>
        <v>40880</v>
      </c>
      <c r="W5440">
        <f>IF(D5440=' Pivot Tables'!$A$4,1,0)</f>
        <v>0</v>
      </c>
      <c r="X5440">
        <f>IF(AND(LEFT(D5440,4)+1=LEFT(' Pivot Tables'!$A$4,4)+0,RIGHT(LEFT(D5440,7),2)=RIGHT(LEFT(' Pivot Tables'!$A$4,7),2)),1,0)</f>
        <v>0</v>
      </c>
      <c r="Y5440" s="6">
        <f>1/COUNTIF(Таблица1[Order ID],Таблица1[[#This Row],[Order ID]])</f>
        <v>1</v>
      </c>
      <c r="Z5440" s="9">
        <f>1/COUNTIFS(Таблица1[Customer Name],Таблица1[[#This Row],[Customer Name]],Таблица1[Order-Year-Month],Таблица1[[#This Row],[Order-Year-Month]])</f>
        <v>1</v>
      </c>
    </row>
    <row r="5441" spans="1:26" x14ac:dyDescent="0.2">
      <c r="A5441" s="6">
        <v>5316</v>
      </c>
      <c r="B5441" s="7">
        <v>37825</v>
      </c>
      <c r="C5441" s="8">
        <f>DATE(2012,12,31)-1258</f>
        <v>40016</v>
      </c>
      <c r="D5441" s="8" t="str">
        <f t="shared" si="101"/>
        <v>2009-07 (июль 2009)</v>
      </c>
      <c r="E5441" s="9" t="s">
        <v>21</v>
      </c>
      <c r="F5441" s="7">
        <v>44</v>
      </c>
      <c r="G5441" s="7">
        <v>505.01</v>
      </c>
      <c r="H5441" s="7">
        <v>0.06</v>
      </c>
      <c r="I5441" s="9" t="s">
        <v>22</v>
      </c>
      <c r="J5441" s="10">
        <v>-43.52</v>
      </c>
      <c r="K5441" s="11">
        <v>11.97</v>
      </c>
      <c r="L5441" s="11">
        <v>4.9800000000000004</v>
      </c>
      <c r="M5441" s="9" t="s">
        <v>1396</v>
      </c>
      <c r="N5441" s="6" t="s">
        <v>1905</v>
      </c>
      <c r="O5441" s="6" t="s">
        <v>673</v>
      </c>
      <c r="P5441" s="9" t="s">
        <v>60</v>
      </c>
      <c r="Q5441" s="9" t="s">
        <v>26</v>
      </c>
      <c r="R5441" s="9" t="s">
        <v>34</v>
      </c>
      <c r="S5441" s="7" t="s">
        <v>274</v>
      </c>
      <c r="T5441" s="9" t="s">
        <v>39</v>
      </c>
      <c r="U5441" s="7">
        <v>0.57999999999999996</v>
      </c>
      <c r="V5441" s="12">
        <f>C5441+2</f>
        <v>40018</v>
      </c>
      <c r="W5441">
        <f>IF(D5441=' Pivot Tables'!$A$4,1,0)</f>
        <v>0</v>
      </c>
      <c r="X5441">
        <f>IF(AND(LEFT(D5441,4)+1=LEFT(' Pivot Tables'!$A$4,4)+0,RIGHT(LEFT(D5441,7),2)=RIGHT(LEFT(' Pivot Tables'!$A$4,7),2)),1,0)</f>
        <v>0</v>
      </c>
      <c r="Y5441" s="6">
        <f>1/COUNTIF(Таблица1[Order ID],Таблица1[[#This Row],[Order ID]])</f>
        <v>0.5</v>
      </c>
      <c r="Z5441" s="9">
        <f>1/COUNTIFS(Таблица1[Customer Name],Таблица1[[#This Row],[Customer Name]],Таблица1[Order-Year-Month],Таблица1[[#This Row],[Order-Year-Month]])</f>
        <v>0.5</v>
      </c>
    </row>
    <row r="5442" spans="1:26" x14ac:dyDescent="0.2">
      <c r="A5442" s="6">
        <v>5317</v>
      </c>
      <c r="B5442" s="7">
        <v>37825</v>
      </c>
      <c r="C5442" s="8">
        <f>DATE(2012,12,31)-1258</f>
        <v>40016</v>
      </c>
      <c r="D5442" s="8" t="str">
        <f t="shared" si="101"/>
        <v>2009-07 (июль 2009)</v>
      </c>
      <c r="E5442" s="9" t="s">
        <v>21</v>
      </c>
      <c r="F5442" s="7">
        <v>41</v>
      </c>
      <c r="G5442" s="7">
        <v>286.75</v>
      </c>
      <c r="H5442" s="7">
        <v>0.06</v>
      </c>
      <c r="I5442" s="9" t="s">
        <v>22</v>
      </c>
      <c r="J5442" s="10">
        <v>98.44</v>
      </c>
      <c r="K5442" s="11">
        <v>6.98</v>
      </c>
      <c r="L5442" s="11">
        <v>1.6</v>
      </c>
      <c r="M5442" s="9" t="s">
        <v>1396</v>
      </c>
      <c r="N5442" s="6" t="s">
        <v>1905</v>
      </c>
      <c r="O5442" s="6" t="s">
        <v>673</v>
      </c>
      <c r="P5442" s="9" t="s">
        <v>60</v>
      </c>
      <c r="Q5442" s="9" t="s">
        <v>26</v>
      </c>
      <c r="R5442" s="9" t="s">
        <v>61</v>
      </c>
      <c r="S5442" s="7" t="s">
        <v>829</v>
      </c>
      <c r="T5442" s="9" t="s">
        <v>68</v>
      </c>
      <c r="U5442" s="7">
        <v>0.38</v>
      </c>
      <c r="V5442" s="12">
        <f>C5442+7</f>
        <v>40023</v>
      </c>
      <c r="W5442">
        <f>IF(D5442=' Pivot Tables'!$A$4,1,0)</f>
        <v>0</v>
      </c>
      <c r="X5442">
        <f>IF(AND(LEFT(D5442,4)+1=LEFT(' Pivot Tables'!$A$4,4)+0,RIGHT(LEFT(D5442,7),2)=RIGHT(LEFT(' Pivot Tables'!$A$4,7),2)),1,0)</f>
        <v>0</v>
      </c>
      <c r="Y5442" s="6">
        <f>1/COUNTIF(Таблица1[Order ID],Таблица1[[#This Row],[Order ID]])</f>
        <v>0.5</v>
      </c>
      <c r="Z5442" s="9">
        <f>1/COUNTIFS(Таблица1[Customer Name],Таблица1[[#This Row],[Customer Name]],Таблица1[Order-Year-Month],Таблица1[[#This Row],[Order-Year-Month]])</f>
        <v>0.5</v>
      </c>
    </row>
    <row r="5443" spans="1:26" x14ac:dyDescent="0.2">
      <c r="A5443" s="6">
        <v>5326</v>
      </c>
      <c r="B5443" s="7">
        <v>37861</v>
      </c>
      <c r="C5443" s="8">
        <f>DATE(2012,12,31)-369</f>
        <v>40905</v>
      </c>
      <c r="D5443" s="8" t="str">
        <f t="shared" ref="D5443:D5506" si="102">TEXT(C5443,"гггг-ММ (ММММ гггг)")</f>
        <v>2011-12 (декабрь 2011)</v>
      </c>
      <c r="E5443" s="9" t="s">
        <v>45</v>
      </c>
      <c r="F5443" s="7">
        <v>32</v>
      </c>
      <c r="G5443" s="7">
        <v>980.07</v>
      </c>
      <c r="H5443" s="7">
        <v>0.09</v>
      </c>
      <c r="I5443" s="9" t="s">
        <v>22</v>
      </c>
      <c r="J5443" s="10">
        <v>337.25</v>
      </c>
      <c r="K5443" s="11">
        <v>30.98</v>
      </c>
      <c r="L5443" s="11">
        <v>5.76</v>
      </c>
      <c r="M5443" s="9" t="s">
        <v>1852</v>
      </c>
      <c r="N5443" s="6" t="s">
        <v>1905</v>
      </c>
      <c r="O5443" s="6" t="s">
        <v>673</v>
      </c>
      <c r="P5443" s="9" t="s">
        <v>41</v>
      </c>
      <c r="Q5443" s="9" t="s">
        <v>26</v>
      </c>
      <c r="R5443" s="9" t="s">
        <v>61</v>
      </c>
      <c r="S5443" s="7" t="s">
        <v>117</v>
      </c>
      <c r="T5443" s="9" t="s">
        <v>39</v>
      </c>
      <c r="U5443" s="7">
        <v>0.4</v>
      </c>
      <c r="V5443" s="12">
        <f>C5443+2</f>
        <v>40907</v>
      </c>
      <c r="W5443">
        <f>IF(D5443=' Pivot Tables'!$A$4,1,0)</f>
        <v>0</v>
      </c>
      <c r="X5443">
        <f>IF(AND(LEFT(D5443,4)+1=LEFT(' Pivot Tables'!$A$4,4)+0,RIGHT(LEFT(D5443,7),2)=RIGHT(LEFT(' Pivot Tables'!$A$4,7),2)),1,0)</f>
        <v>0</v>
      </c>
      <c r="Y5443" s="6">
        <f>1/COUNTIF(Таблица1[Order ID],Таблица1[[#This Row],[Order ID]])</f>
        <v>1</v>
      </c>
      <c r="Z5443" s="9">
        <f>1/COUNTIFS(Таблица1[Customer Name],Таблица1[[#This Row],[Customer Name]],Таблица1[Order-Year-Month],Таблица1[[#This Row],[Order-Year-Month]])</f>
        <v>1</v>
      </c>
    </row>
    <row r="5444" spans="1:26" x14ac:dyDescent="0.2">
      <c r="A5444" s="6">
        <v>5342</v>
      </c>
      <c r="B5444" s="7">
        <v>37926</v>
      </c>
      <c r="C5444" s="8">
        <f>DATE(2012,12,31)-1210</f>
        <v>40064</v>
      </c>
      <c r="D5444" s="8" t="str">
        <f t="shared" si="102"/>
        <v>2009-09 (сентябрь 2009)</v>
      </c>
      <c r="E5444" s="9" t="s">
        <v>78</v>
      </c>
      <c r="F5444" s="7">
        <v>31</v>
      </c>
      <c r="G5444" s="7">
        <v>353.25</v>
      </c>
      <c r="H5444" s="7">
        <v>0.02</v>
      </c>
      <c r="I5444" s="9" t="s">
        <v>22</v>
      </c>
      <c r="J5444" s="10">
        <v>60.06</v>
      </c>
      <c r="K5444" s="11">
        <v>11.55</v>
      </c>
      <c r="L5444" s="11">
        <v>2.36</v>
      </c>
      <c r="M5444" s="9" t="s">
        <v>1913</v>
      </c>
      <c r="N5444" s="6" t="s">
        <v>1905</v>
      </c>
      <c r="O5444" s="6" t="s">
        <v>673</v>
      </c>
      <c r="P5444" s="9" t="s">
        <v>41</v>
      </c>
      <c r="Q5444" s="9" t="s">
        <v>26</v>
      </c>
      <c r="R5444" s="9" t="s">
        <v>95</v>
      </c>
      <c r="S5444" s="7" t="s">
        <v>990</v>
      </c>
      <c r="T5444" s="9" t="s">
        <v>68</v>
      </c>
      <c r="U5444" s="7">
        <v>0.55000000000000004</v>
      </c>
      <c r="V5444" s="12">
        <f>C5444+2</f>
        <v>40066</v>
      </c>
      <c r="W5444">
        <f>IF(D5444=' Pivot Tables'!$A$4,1,0)</f>
        <v>0</v>
      </c>
      <c r="X5444">
        <f>IF(AND(LEFT(D5444,4)+1=LEFT(' Pivot Tables'!$A$4,4)+0,RIGHT(LEFT(D5444,7),2)=RIGHT(LEFT(' Pivot Tables'!$A$4,7),2)),1,0)</f>
        <v>0</v>
      </c>
      <c r="Y5444" s="6">
        <f>1/COUNTIF(Таблица1[Order ID],Таблица1[[#This Row],[Order ID]])</f>
        <v>1</v>
      </c>
      <c r="Z5444" s="9">
        <f>1/COUNTIFS(Таблица1[Customer Name],Таблица1[[#This Row],[Customer Name]],Таблица1[Order-Year-Month],Таблица1[[#This Row],[Order-Year-Month]])</f>
        <v>1</v>
      </c>
    </row>
    <row r="5445" spans="1:26" x14ac:dyDescent="0.2">
      <c r="A5445" s="6">
        <v>5385</v>
      </c>
      <c r="B5445" s="7">
        <v>38304</v>
      </c>
      <c r="C5445" s="8">
        <f>DATE(2012,12,31)-650</f>
        <v>40624</v>
      </c>
      <c r="D5445" s="8" t="str">
        <f t="shared" si="102"/>
        <v>2011-03 (март 2011)</v>
      </c>
      <c r="E5445" s="9" t="s">
        <v>30</v>
      </c>
      <c r="F5445" s="7">
        <v>7</v>
      </c>
      <c r="G5445" s="7">
        <v>30.1</v>
      </c>
      <c r="H5445" s="7">
        <v>0.09</v>
      </c>
      <c r="I5445" s="9" t="s">
        <v>22</v>
      </c>
      <c r="J5445" s="10">
        <v>-28.313000000000002</v>
      </c>
      <c r="K5445" s="11">
        <v>3.58</v>
      </c>
      <c r="L5445" s="11">
        <v>5.47</v>
      </c>
      <c r="M5445" s="9" t="s">
        <v>1920</v>
      </c>
      <c r="N5445" s="6" t="s">
        <v>1905</v>
      </c>
      <c r="O5445" s="6" t="s">
        <v>673</v>
      </c>
      <c r="P5445" s="9" t="s">
        <v>33</v>
      </c>
      <c r="Q5445" s="9" t="s">
        <v>26</v>
      </c>
      <c r="R5445" s="9" t="s">
        <v>37</v>
      </c>
      <c r="S5445" s="7" t="s">
        <v>462</v>
      </c>
      <c r="T5445" s="9" t="s">
        <v>39</v>
      </c>
      <c r="U5445" s="7">
        <v>0.37</v>
      </c>
      <c r="V5445" s="12">
        <f>C5445+2</f>
        <v>40626</v>
      </c>
      <c r="W5445">
        <f>IF(D5445=' Pivot Tables'!$A$4,1,0)</f>
        <v>0</v>
      </c>
      <c r="X5445">
        <f>IF(AND(LEFT(D5445,4)+1=LEFT(' Pivot Tables'!$A$4,4)+0,RIGHT(LEFT(D5445,7),2)=RIGHT(LEFT(' Pivot Tables'!$A$4,7),2)),1,0)</f>
        <v>0</v>
      </c>
      <c r="Y5445" s="6">
        <f>1/COUNTIF(Таблица1[Order ID],Таблица1[[#This Row],[Order ID]])</f>
        <v>1</v>
      </c>
      <c r="Z5445" s="9">
        <f>1/COUNTIFS(Таблица1[Customer Name],Таблица1[[#This Row],[Customer Name]],Таблица1[Order-Year-Month],Таблица1[[#This Row],[Order-Year-Month]])</f>
        <v>0.33333333333333331</v>
      </c>
    </row>
    <row r="5446" spans="1:26" x14ac:dyDescent="0.2">
      <c r="A5446" s="6">
        <v>5495</v>
      </c>
      <c r="B5446" s="7">
        <v>38978</v>
      </c>
      <c r="C5446" s="8">
        <f>DATE(2012,12,31)-1246</f>
        <v>40028</v>
      </c>
      <c r="D5446" s="8" t="str">
        <f t="shared" si="102"/>
        <v>2009-08 (август 2009)</v>
      </c>
      <c r="E5446" s="9" t="s">
        <v>21</v>
      </c>
      <c r="F5446" s="7">
        <v>24</v>
      </c>
      <c r="G5446" s="7">
        <v>4547.26</v>
      </c>
      <c r="H5446" s="7">
        <v>0</v>
      </c>
      <c r="I5446" s="9" t="s">
        <v>31</v>
      </c>
      <c r="J5446" s="10">
        <v>468.27</v>
      </c>
      <c r="K5446" s="11">
        <v>180.98</v>
      </c>
      <c r="L5446" s="11">
        <v>30</v>
      </c>
      <c r="M5446" s="9" t="s">
        <v>1922</v>
      </c>
      <c r="N5446" s="6" t="s">
        <v>1905</v>
      </c>
      <c r="O5446" s="6" t="s">
        <v>673</v>
      </c>
      <c r="P5446" s="9" t="s">
        <v>25</v>
      </c>
      <c r="Q5446" s="9" t="s">
        <v>49</v>
      </c>
      <c r="R5446" s="9" t="s">
        <v>112</v>
      </c>
      <c r="S5446" s="7" t="s">
        <v>957</v>
      </c>
      <c r="T5446" s="9" t="s">
        <v>36</v>
      </c>
      <c r="U5446" s="7">
        <v>0.69</v>
      </c>
      <c r="V5446" s="12">
        <f>C5446+2</f>
        <v>40030</v>
      </c>
      <c r="W5446">
        <f>IF(D5446=' Pivot Tables'!$A$4,1,0)</f>
        <v>0</v>
      </c>
      <c r="X5446">
        <f>IF(AND(LEFT(D5446,4)+1=LEFT(' Pivot Tables'!$A$4,4)+0,RIGHT(LEFT(D5446,7),2)=RIGHT(LEFT(' Pivot Tables'!$A$4,7),2)),1,0)</f>
        <v>0</v>
      </c>
      <c r="Y5446" s="6">
        <f>1/COUNTIF(Таблица1[Order ID],Таблица1[[#This Row],[Order ID]])</f>
        <v>1</v>
      </c>
      <c r="Z5446" s="9">
        <f>1/COUNTIFS(Таблица1[Customer Name],Таблица1[[#This Row],[Customer Name]],Таблица1[Order-Year-Month],Таблица1[[#This Row],[Order-Year-Month]])</f>
        <v>1</v>
      </c>
    </row>
    <row r="5447" spans="1:26" x14ac:dyDescent="0.2">
      <c r="A5447" s="6">
        <v>5543</v>
      </c>
      <c r="B5447" s="7">
        <v>39267</v>
      </c>
      <c r="C5447" s="8">
        <f>DATE(2012,12,31)-1078</f>
        <v>40196</v>
      </c>
      <c r="D5447" s="8" t="str">
        <f t="shared" si="102"/>
        <v>2010-01 (январь 2010)</v>
      </c>
      <c r="E5447" s="9" t="s">
        <v>30</v>
      </c>
      <c r="F5447" s="7">
        <v>26</v>
      </c>
      <c r="G5447" s="7">
        <v>430.33</v>
      </c>
      <c r="H5447" s="7">
        <v>0.08</v>
      </c>
      <c r="I5447" s="9" t="s">
        <v>22</v>
      </c>
      <c r="J5447" s="10">
        <v>85.48</v>
      </c>
      <c r="K5447" s="11">
        <v>17.78</v>
      </c>
      <c r="L5447" s="11">
        <v>5.03</v>
      </c>
      <c r="M5447" s="9" t="s">
        <v>1906</v>
      </c>
      <c r="N5447" s="6" t="s">
        <v>1905</v>
      </c>
      <c r="O5447" s="6" t="s">
        <v>673</v>
      </c>
      <c r="P5447" s="9" t="s">
        <v>60</v>
      </c>
      <c r="Q5447" s="9" t="s">
        <v>49</v>
      </c>
      <c r="R5447" s="9" t="s">
        <v>50</v>
      </c>
      <c r="S5447" s="7" t="s">
        <v>723</v>
      </c>
      <c r="T5447" s="9" t="s">
        <v>39</v>
      </c>
      <c r="U5447" s="7">
        <v>0.54</v>
      </c>
      <c r="V5447" s="12">
        <f>C5447+2</f>
        <v>40198</v>
      </c>
      <c r="W5447">
        <f>IF(D5447=' Pivot Tables'!$A$4,1,0)</f>
        <v>1</v>
      </c>
      <c r="X5447">
        <f>IF(AND(LEFT(D5447,4)+1=LEFT(' Pivot Tables'!$A$4,4)+0,RIGHT(LEFT(D5447,7),2)=RIGHT(LEFT(' Pivot Tables'!$A$4,7),2)),1,0)</f>
        <v>0</v>
      </c>
      <c r="Y5447" s="6">
        <f>1/COUNTIF(Таблица1[Order ID],Таблица1[[#This Row],[Order ID]])</f>
        <v>0.5</v>
      </c>
      <c r="Z5447" s="9">
        <f>1/COUNTIFS(Таблица1[Customer Name],Таблица1[[#This Row],[Customer Name]],Таблица1[Order-Year-Month],Таблица1[[#This Row],[Order-Year-Month]])</f>
        <v>0.5</v>
      </c>
    </row>
    <row r="5448" spans="1:26" x14ac:dyDescent="0.2">
      <c r="A5448" s="6">
        <v>5544</v>
      </c>
      <c r="B5448" s="7">
        <v>39267</v>
      </c>
      <c r="C5448" s="8">
        <f>DATE(2012,12,31)-1078</f>
        <v>40196</v>
      </c>
      <c r="D5448" s="8" t="str">
        <f t="shared" si="102"/>
        <v>2010-01 (январь 2010)</v>
      </c>
      <c r="E5448" s="9" t="s">
        <v>30</v>
      </c>
      <c r="F5448" s="7">
        <v>46</v>
      </c>
      <c r="G5448" s="7">
        <v>1221.47</v>
      </c>
      <c r="H5448" s="7">
        <v>0.09</v>
      </c>
      <c r="I5448" s="9" t="s">
        <v>22</v>
      </c>
      <c r="J5448" s="10">
        <v>-233.14</v>
      </c>
      <c r="K5448" s="11">
        <v>28.28</v>
      </c>
      <c r="L5448" s="11">
        <v>13.99</v>
      </c>
      <c r="M5448" s="9" t="s">
        <v>1906</v>
      </c>
      <c r="N5448" s="6" t="s">
        <v>1905</v>
      </c>
      <c r="O5448" s="6" t="s">
        <v>673</v>
      </c>
      <c r="P5448" s="9" t="s">
        <v>60</v>
      </c>
      <c r="Q5448" s="9" t="s">
        <v>26</v>
      </c>
      <c r="R5448" s="9" t="s">
        <v>27</v>
      </c>
      <c r="S5448" s="7" t="s">
        <v>267</v>
      </c>
      <c r="T5448" s="9" t="s">
        <v>48</v>
      </c>
      <c r="U5448" s="7">
        <v>0.57999999999999996</v>
      </c>
      <c r="V5448" s="12">
        <f>C5448+1</f>
        <v>40197</v>
      </c>
      <c r="W5448">
        <f>IF(D5448=' Pivot Tables'!$A$4,1,0)</f>
        <v>1</v>
      </c>
      <c r="X5448">
        <f>IF(AND(LEFT(D5448,4)+1=LEFT(' Pivot Tables'!$A$4,4)+0,RIGHT(LEFT(D5448,7),2)=RIGHT(LEFT(' Pivot Tables'!$A$4,7),2)),1,0)</f>
        <v>0</v>
      </c>
      <c r="Y5448" s="6">
        <f>1/COUNTIF(Таблица1[Order ID],Таблица1[[#This Row],[Order ID]])</f>
        <v>0.5</v>
      </c>
      <c r="Z5448" s="9">
        <f>1/COUNTIFS(Таблица1[Customer Name],Таблица1[[#This Row],[Customer Name]],Таблица1[Order-Year-Month],Таблица1[[#This Row],[Order-Year-Month]])</f>
        <v>0.5</v>
      </c>
    </row>
    <row r="5449" spans="1:26" x14ac:dyDescent="0.2">
      <c r="A5449" s="6">
        <v>5738</v>
      </c>
      <c r="B5449" s="7">
        <v>40772</v>
      </c>
      <c r="C5449" s="8">
        <f>DATE(2012,12,31)-322</f>
        <v>40952</v>
      </c>
      <c r="D5449" s="8" t="str">
        <f t="shared" si="102"/>
        <v>2012-02 (февраль 2012)</v>
      </c>
      <c r="E5449" s="9" t="s">
        <v>78</v>
      </c>
      <c r="F5449" s="7">
        <v>15</v>
      </c>
      <c r="G5449" s="7">
        <v>128.27000000000001</v>
      </c>
      <c r="H5449" s="7">
        <v>0</v>
      </c>
      <c r="I5449" s="9" t="s">
        <v>22</v>
      </c>
      <c r="J5449" s="10">
        <v>22.85</v>
      </c>
      <c r="K5449" s="11">
        <v>7.89</v>
      </c>
      <c r="L5449" s="11">
        <v>2.82</v>
      </c>
      <c r="M5449" s="9" t="s">
        <v>1920</v>
      </c>
      <c r="N5449" s="6" t="s">
        <v>1905</v>
      </c>
      <c r="O5449" s="6" t="s">
        <v>673</v>
      </c>
      <c r="P5449" s="9" t="s">
        <v>33</v>
      </c>
      <c r="Q5449" s="9" t="s">
        <v>26</v>
      </c>
      <c r="R5449" s="9" t="s">
        <v>66</v>
      </c>
      <c r="S5449" s="7" t="s">
        <v>793</v>
      </c>
      <c r="T5449" s="9" t="s">
        <v>68</v>
      </c>
      <c r="U5449" s="7">
        <v>0.4</v>
      </c>
      <c r="V5449" s="12">
        <f>C5449+1</f>
        <v>40953</v>
      </c>
      <c r="W5449">
        <f>IF(D5449=' Pivot Tables'!$A$4,1,0)</f>
        <v>0</v>
      </c>
      <c r="X5449">
        <f>IF(AND(LEFT(D5449,4)+1=LEFT(' Pivot Tables'!$A$4,4)+0,RIGHT(LEFT(D5449,7),2)=RIGHT(LEFT(' Pivot Tables'!$A$4,7),2)),1,0)</f>
        <v>0</v>
      </c>
      <c r="Y5449" s="6">
        <f>1/COUNTIF(Таблица1[Order ID],Таблица1[[#This Row],[Order ID]])</f>
        <v>1</v>
      </c>
      <c r="Z5449" s="9">
        <f>1/COUNTIFS(Таблица1[Customer Name],Таблица1[[#This Row],[Customer Name]],Таблица1[Order-Year-Month],Таблица1[[#This Row],[Order-Year-Month]])</f>
        <v>1</v>
      </c>
    </row>
    <row r="5450" spans="1:26" x14ac:dyDescent="0.2">
      <c r="A5450" s="6">
        <v>5765</v>
      </c>
      <c r="B5450" s="7">
        <v>40928</v>
      </c>
      <c r="C5450" s="8">
        <f>DATE(2012,12,31)-1206</f>
        <v>40068</v>
      </c>
      <c r="D5450" s="8" t="str">
        <f t="shared" si="102"/>
        <v>2009-09 (сентябрь 2009)</v>
      </c>
      <c r="E5450" s="9" t="s">
        <v>21</v>
      </c>
      <c r="F5450" s="7">
        <v>4</v>
      </c>
      <c r="G5450" s="7">
        <v>292.34050000000002</v>
      </c>
      <c r="H5450" s="7">
        <v>0.01</v>
      </c>
      <c r="I5450" s="9" t="s">
        <v>22</v>
      </c>
      <c r="J5450" s="10">
        <v>-420.58499999999998</v>
      </c>
      <c r="K5450" s="11">
        <v>85.99</v>
      </c>
      <c r="L5450" s="11">
        <v>0.99</v>
      </c>
      <c r="M5450" s="9" t="s">
        <v>1852</v>
      </c>
      <c r="N5450" s="6" t="s">
        <v>1905</v>
      </c>
      <c r="O5450" s="6" t="s">
        <v>673</v>
      </c>
      <c r="P5450" s="9" t="s">
        <v>41</v>
      </c>
      <c r="Q5450" s="9" t="s">
        <v>42</v>
      </c>
      <c r="R5450" s="9" t="s">
        <v>43</v>
      </c>
      <c r="S5450" s="7" t="s">
        <v>146</v>
      </c>
      <c r="T5450" s="9" t="s">
        <v>68</v>
      </c>
      <c r="U5450" s="7">
        <v>0.85</v>
      </c>
      <c r="V5450" s="12">
        <f>C5450+5</f>
        <v>40073</v>
      </c>
      <c r="W5450">
        <f>IF(D5450=' Pivot Tables'!$A$4,1,0)</f>
        <v>0</v>
      </c>
      <c r="X5450">
        <f>IF(AND(LEFT(D5450,4)+1=LEFT(' Pivot Tables'!$A$4,4)+0,RIGHT(LEFT(D5450,7),2)=RIGHT(LEFT(' Pivot Tables'!$A$4,7),2)),1,0)</f>
        <v>0</v>
      </c>
      <c r="Y5450" s="6">
        <f>1/COUNTIF(Таблица1[Order ID],Таблица1[[#This Row],[Order ID]])</f>
        <v>1</v>
      </c>
      <c r="Z5450" s="9">
        <f>1/COUNTIFS(Таблица1[Customer Name],Таблица1[[#This Row],[Customer Name]],Таблица1[Order-Year-Month],Таблица1[[#This Row],[Order-Year-Month]])</f>
        <v>1</v>
      </c>
    </row>
    <row r="5451" spans="1:26" x14ac:dyDescent="0.2">
      <c r="A5451" s="6">
        <v>5812</v>
      </c>
      <c r="B5451" s="7">
        <v>41216</v>
      </c>
      <c r="C5451" s="8">
        <f>DATE(2012,12,31)-1279</f>
        <v>39995</v>
      </c>
      <c r="D5451" s="8" t="str">
        <f t="shared" si="102"/>
        <v>2009-07 (июль 2009)</v>
      </c>
      <c r="E5451" s="9" t="s">
        <v>45</v>
      </c>
      <c r="F5451" s="7">
        <v>8</v>
      </c>
      <c r="G5451" s="7">
        <v>253.26</v>
      </c>
      <c r="H5451" s="7">
        <v>0.02</v>
      </c>
      <c r="I5451" s="9" t="s">
        <v>22</v>
      </c>
      <c r="J5451" s="10">
        <v>49.657000000000004</v>
      </c>
      <c r="K5451" s="11">
        <v>29.17</v>
      </c>
      <c r="L5451" s="11">
        <v>6.27</v>
      </c>
      <c r="M5451" s="9" t="s">
        <v>1921</v>
      </c>
      <c r="N5451" s="6" t="s">
        <v>1905</v>
      </c>
      <c r="O5451" s="6" t="s">
        <v>673</v>
      </c>
      <c r="P5451" s="9" t="s">
        <v>60</v>
      </c>
      <c r="Q5451" s="9" t="s">
        <v>26</v>
      </c>
      <c r="R5451" s="9" t="s">
        <v>37</v>
      </c>
      <c r="S5451" s="7" t="s">
        <v>1100</v>
      </c>
      <c r="T5451" s="9" t="s">
        <v>39</v>
      </c>
      <c r="U5451" s="7">
        <v>0.37</v>
      </c>
      <c r="V5451" s="12">
        <f>C5451+1</f>
        <v>39996</v>
      </c>
      <c r="W5451">
        <f>IF(D5451=' Pivot Tables'!$A$4,1,0)</f>
        <v>0</v>
      </c>
      <c r="X5451">
        <f>IF(AND(LEFT(D5451,4)+1=LEFT(' Pivot Tables'!$A$4,4)+0,RIGHT(LEFT(D5451,7),2)=RIGHT(LEFT(' Pivot Tables'!$A$4,7),2)),1,0)</f>
        <v>0</v>
      </c>
      <c r="Y5451" s="6">
        <f>1/COUNTIF(Таблица1[Order ID],Таблица1[[#This Row],[Order ID]])</f>
        <v>0.5</v>
      </c>
      <c r="Z5451" s="9">
        <f>1/COUNTIFS(Таблица1[Customer Name],Таблица1[[#This Row],[Customer Name]],Таблица1[Order-Year-Month],Таблица1[[#This Row],[Order-Year-Month]])</f>
        <v>0.5</v>
      </c>
    </row>
    <row r="5452" spans="1:26" x14ac:dyDescent="0.2">
      <c r="A5452" s="6">
        <v>5813</v>
      </c>
      <c r="B5452" s="7">
        <v>41216</v>
      </c>
      <c r="C5452" s="8">
        <f>DATE(2012,12,31)-1279</f>
        <v>39995</v>
      </c>
      <c r="D5452" s="8" t="str">
        <f t="shared" si="102"/>
        <v>2009-07 (июль 2009)</v>
      </c>
      <c r="E5452" s="9" t="s">
        <v>45</v>
      </c>
      <c r="F5452" s="7">
        <v>45</v>
      </c>
      <c r="G5452" s="7">
        <v>6865.0720000000001</v>
      </c>
      <c r="H5452" s="7">
        <v>0</v>
      </c>
      <c r="I5452" s="9" t="s">
        <v>31</v>
      </c>
      <c r="J5452" s="10">
        <v>1117.24</v>
      </c>
      <c r="K5452" s="11">
        <v>179.29</v>
      </c>
      <c r="L5452" s="11">
        <v>29.21</v>
      </c>
      <c r="M5452" s="9" t="s">
        <v>1921</v>
      </c>
      <c r="N5452" s="6" t="s">
        <v>1905</v>
      </c>
      <c r="O5452" s="6" t="s">
        <v>673</v>
      </c>
      <c r="P5452" s="9" t="s">
        <v>60</v>
      </c>
      <c r="Q5452" s="9" t="s">
        <v>49</v>
      </c>
      <c r="R5452" s="9" t="s">
        <v>83</v>
      </c>
      <c r="S5452" s="7" t="s">
        <v>207</v>
      </c>
      <c r="T5452" s="9" t="s">
        <v>82</v>
      </c>
      <c r="U5452" s="7">
        <v>0.74</v>
      </c>
      <c r="V5452" s="12">
        <f>C5452+2</f>
        <v>39997</v>
      </c>
      <c r="W5452">
        <f>IF(D5452=' Pivot Tables'!$A$4,1,0)</f>
        <v>0</v>
      </c>
      <c r="X5452">
        <f>IF(AND(LEFT(D5452,4)+1=LEFT(' Pivot Tables'!$A$4,4)+0,RIGHT(LEFT(D5452,7),2)=RIGHT(LEFT(' Pivot Tables'!$A$4,7),2)),1,0)</f>
        <v>0</v>
      </c>
      <c r="Y5452" s="6">
        <f>1/COUNTIF(Таблица1[Order ID],Таблица1[[#This Row],[Order ID]])</f>
        <v>0.5</v>
      </c>
      <c r="Z5452" s="9">
        <f>1/COUNTIFS(Таблица1[Customer Name],Таблица1[[#This Row],[Customer Name]],Таблица1[Order-Year-Month],Таблица1[[#This Row],[Order-Year-Month]])</f>
        <v>0.5</v>
      </c>
    </row>
    <row r="5453" spans="1:26" x14ac:dyDescent="0.2">
      <c r="A5453" s="6">
        <v>5966</v>
      </c>
      <c r="B5453" s="7">
        <v>42310</v>
      </c>
      <c r="C5453" s="8">
        <f>DATE(2012,12,31)-1259</f>
        <v>40015</v>
      </c>
      <c r="D5453" s="8" t="str">
        <f t="shared" si="102"/>
        <v>2009-07 (июль 2009)</v>
      </c>
      <c r="E5453" s="9" t="s">
        <v>78</v>
      </c>
      <c r="F5453" s="7">
        <v>20</v>
      </c>
      <c r="G5453" s="7">
        <v>3361.7584999999999</v>
      </c>
      <c r="H5453" s="7">
        <v>0.04</v>
      </c>
      <c r="I5453" s="9" t="s">
        <v>22</v>
      </c>
      <c r="J5453" s="10">
        <v>394.35300000000001</v>
      </c>
      <c r="K5453" s="11">
        <v>205.99</v>
      </c>
      <c r="L5453" s="11">
        <v>8.99</v>
      </c>
      <c r="M5453" s="9" t="s">
        <v>1096</v>
      </c>
      <c r="N5453" s="6" t="s">
        <v>1905</v>
      </c>
      <c r="O5453" s="6" t="s">
        <v>673</v>
      </c>
      <c r="P5453" s="9" t="s">
        <v>33</v>
      </c>
      <c r="Q5453" s="9" t="s">
        <v>42</v>
      </c>
      <c r="R5453" s="9" t="s">
        <v>43</v>
      </c>
      <c r="S5453" s="7" t="s">
        <v>1444</v>
      </c>
      <c r="T5453" s="9" t="s">
        <v>39</v>
      </c>
      <c r="U5453" s="7">
        <v>0.56000000000000005</v>
      </c>
      <c r="V5453" s="12">
        <f>C5453+1</f>
        <v>40016</v>
      </c>
      <c r="W5453">
        <f>IF(D5453=' Pivot Tables'!$A$4,1,0)</f>
        <v>0</v>
      </c>
      <c r="X5453">
        <f>IF(AND(LEFT(D5453,4)+1=LEFT(' Pivot Tables'!$A$4,4)+0,RIGHT(LEFT(D5453,7),2)=RIGHT(LEFT(' Pivot Tables'!$A$4,7),2)),1,0)</f>
        <v>0</v>
      </c>
      <c r="Y5453" s="6">
        <f>1/COUNTIF(Таблица1[Order ID],Таблица1[[#This Row],[Order ID]])</f>
        <v>1</v>
      </c>
      <c r="Z5453" s="9">
        <f>1/COUNTIFS(Таблица1[Customer Name],Таблица1[[#This Row],[Customer Name]],Таблица1[Order-Year-Month],Таблица1[[#This Row],[Order-Year-Month]])</f>
        <v>1</v>
      </c>
    </row>
    <row r="5454" spans="1:26" x14ac:dyDescent="0.2">
      <c r="A5454" s="6">
        <v>5983</v>
      </c>
      <c r="B5454" s="7">
        <v>42403</v>
      </c>
      <c r="C5454" s="8">
        <f>DATE(2012,12,31)-1290</f>
        <v>39984</v>
      </c>
      <c r="D5454" s="8" t="str">
        <f t="shared" si="102"/>
        <v>2009-06 (июнь 2009)</v>
      </c>
      <c r="E5454" s="9" t="s">
        <v>45</v>
      </c>
      <c r="F5454" s="7">
        <v>38</v>
      </c>
      <c r="G5454" s="7">
        <v>117.84</v>
      </c>
      <c r="H5454" s="7">
        <v>0.04</v>
      </c>
      <c r="I5454" s="9" t="s">
        <v>22</v>
      </c>
      <c r="J5454" s="10">
        <v>30.76</v>
      </c>
      <c r="K5454" s="11">
        <v>3.08</v>
      </c>
      <c r="L5454" s="11">
        <v>0.99</v>
      </c>
      <c r="M5454" s="9" t="s">
        <v>1922</v>
      </c>
      <c r="N5454" s="6" t="s">
        <v>1905</v>
      </c>
      <c r="O5454" s="6" t="s">
        <v>673</v>
      </c>
      <c r="P5454" s="9" t="s">
        <v>25</v>
      </c>
      <c r="Q5454" s="9" t="s">
        <v>26</v>
      </c>
      <c r="R5454" s="9" t="s">
        <v>88</v>
      </c>
      <c r="S5454" s="7" t="s">
        <v>368</v>
      </c>
      <c r="T5454" s="9" t="s">
        <v>39</v>
      </c>
      <c r="U5454" s="7">
        <v>0.37</v>
      </c>
      <c r="V5454" s="12">
        <f>C5454+1</f>
        <v>39985</v>
      </c>
      <c r="W5454">
        <f>IF(D5454=' Pivot Tables'!$A$4,1,0)</f>
        <v>0</v>
      </c>
      <c r="X5454">
        <f>IF(AND(LEFT(D5454,4)+1=LEFT(' Pivot Tables'!$A$4,4)+0,RIGHT(LEFT(D5454,7),2)=RIGHT(LEFT(' Pivot Tables'!$A$4,7),2)),1,0)</f>
        <v>0</v>
      </c>
      <c r="Y5454" s="6">
        <f>1/COUNTIF(Таблица1[Order ID],Таблица1[[#This Row],[Order ID]])</f>
        <v>0.5</v>
      </c>
      <c r="Z5454" s="9">
        <f>1/COUNTIFS(Таблица1[Customer Name],Таблица1[[#This Row],[Customer Name]],Таблица1[Order-Year-Month],Таблица1[[#This Row],[Order-Year-Month]])</f>
        <v>0.5</v>
      </c>
    </row>
    <row r="5455" spans="1:26" x14ac:dyDescent="0.2">
      <c r="A5455" s="6">
        <v>5984</v>
      </c>
      <c r="B5455" s="7">
        <v>42403</v>
      </c>
      <c r="C5455" s="8">
        <f>DATE(2012,12,31)-1290</f>
        <v>39984</v>
      </c>
      <c r="D5455" s="8" t="str">
        <f t="shared" si="102"/>
        <v>2009-06 (июнь 2009)</v>
      </c>
      <c r="E5455" s="9" t="s">
        <v>45</v>
      </c>
      <c r="F5455" s="7">
        <v>47</v>
      </c>
      <c r="G5455" s="7">
        <v>121.2</v>
      </c>
      <c r="H5455" s="7">
        <v>0.1</v>
      </c>
      <c r="I5455" s="9" t="s">
        <v>22</v>
      </c>
      <c r="J5455" s="10">
        <v>-20.2</v>
      </c>
      <c r="K5455" s="11">
        <v>2.78</v>
      </c>
      <c r="L5455" s="11">
        <v>1.25</v>
      </c>
      <c r="M5455" s="9" t="s">
        <v>1922</v>
      </c>
      <c r="N5455" s="6" t="s">
        <v>1905</v>
      </c>
      <c r="O5455" s="6" t="s">
        <v>673</v>
      </c>
      <c r="P5455" s="9" t="s">
        <v>25</v>
      </c>
      <c r="Q5455" s="9" t="s">
        <v>26</v>
      </c>
      <c r="R5455" s="9" t="s">
        <v>95</v>
      </c>
      <c r="S5455" s="7" t="s">
        <v>490</v>
      </c>
      <c r="T5455" s="9" t="s">
        <v>68</v>
      </c>
      <c r="U5455" s="7">
        <v>0.59</v>
      </c>
      <c r="V5455" s="12">
        <f>C5455+1</f>
        <v>39985</v>
      </c>
      <c r="W5455">
        <f>IF(D5455=' Pivot Tables'!$A$4,1,0)</f>
        <v>0</v>
      </c>
      <c r="X5455">
        <f>IF(AND(LEFT(D5455,4)+1=LEFT(' Pivot Tables'!$A$4,4)+0,RIGHT(LEFT(D5455,7),2)=RIGHT(LEFT(' Pivot Tables'!$A$4,7),2)),1,0)</f>
        <v>0</v>
      </c>
      <c r="Y5455" s="6">
        <f>1/COUNTIF(Таблица1[Order ID],Таблица1[[#This Row],[Order ID]])</f>
        <v>0.5</v>
      </c>
      <c r="Z5455" s="9">
        <f>1/COUNTIFS(Таблица1[Customer Name],Таблица1[[#This Row],[Customer Name]],Таблица1[Order-Year-Month],Таблица1[[#This Row],[Order-Year-Month]])</f>
        <v>0.5</v>
      </c>
    </row>
    <row r="5456" spans="1:26" x14ac:dyDescent="0.2">
      <c r="A5456" s="6">
        <v>6089</v>
      </c>
      <c r="B5456" s="7">
        <v>43138</v>
      </c>
      <c r="C5456" s="8">
        <f>DATE(2012,12,31)-292</f>
        <v>40982</v>
      </c>
      <c r="D5456" s="8" t="str">
        <f t="shared" si="102"/>
        <v>2012-03 (март 2012)</v>
      </c>
      <c r="E5456" s="9" t="s">
        <v>21</v>
      </c>
      <c r="F5456" s="7">
        <v>43</v>
      </c>
      <c r="G5456" s="7">
        <v>1334.05</v>
      </c>
      <c r="H5456" s="7">
        <v>0.06</v>
      </c>
      <c r="I5456" s="9" t="s">
        <v>22</v>
      </c>
      <c r="J5456" s="10">
        <v>581.76549999999997</v>
      </c>
      <c r="K5456" s="11">
        <v>30.56</v>
      </c>
      <c r="L5456" s="11">
        <v>2.99</v>
      </c>
      <c r="M5456" s="9" t="s">
        <v>1396</v>
      </c>
      <c r="N5456" s="6" t="s">
        <v>1905</v>
      </c>
      <c r="O5456" s="6" t="s">
        <v>673</v>
      </c>
      <c r="P5456" s="9" t="s">
        <v>60</v>
      </c>
      <c r="Q5456" s="9" t="s">
        <v>26</v>
      </c>
      <c r="R5456" s="9" t="s">
        <v>37</v>
      </c>
      <c r="S5456" s="7" t="s">
        <v>250</v>
      </c>
      <c r="T5456" s="9" t="s">
        <v>39</v>
      </c>
      <c r="U5456" s="7">
        <v>0.35</v>
      </c>
      <c r="V5456" s="12">
        <f>C5456+4</f>
        <v>40986</v>
      </c>
      <c r="W5456">
        <f>IF(D5456=' Pivot Tables'!$A$4,1,0)</f>
        <v>0</v>
      </c>
      <c r="X5456">
        <f>IF(AND(LEFT(D5456,4)+1=LEFT(' Pivot Tables'!$A$4,4)+0,RIGHT(LEFT(D5456,7),2)=RIGHT(LEFT(' Pivot Tables'!$A$4,7),2)),1,0)</f>
        <v>0</v>
      </c>
      <c r="Y5456" s="6">
        <f>1/COUNTIF(Таблица1[Order ID],Таблица1[[#This Row],[Order ID]])</f>
        <v>0.5</v>
      </c>
      <c r="Z5456" s="9">
        <f>1/COUNTIFS(Таблица1[Customer Name],Таблица1[[#This Row],[Customer Name]],Таблица1[Order-Year-Month],Таблица1[[#This Row],[Order-Year-Month]])</f>
        <v>0.5</v>
      </c>
    </row>
    <row r="5457" spans="1:26" x14ac:dyDescent="0.2">
      <c r="A5457" s="6">
        <v>6090</v>
      </c>
      <c r="B5457" s="7">
        <v>43138</v>
      </c>
      <c r="C5457" s="8">
        <f>DATE(2012,12,31)-292</f>
        <v>40982</v>
      </c>
      <c r="D5457" s="8" t="str">
        <f t="shared" si="102"/>
        <v>2012-03 (март 2012)</v>
      </c>
      <c r="E5457" s="9" t="s">
        <v>21</v>
      </c>
      <c r="F5457" s="7">
        <v>50</v>
      </c>
      <c r="G5457" s="7">
        <v>6552.86</v>
      </c>
      <c r="H5457" s="7">
        <v>7.0000000000000007E-2</v>
      </c>
      <c r="I5457" s="9" t="s">
        <v>31</v>
      </c>
      <c r="J5457" s="10">
        <v>-692.82</v>
      </c>
      <c r="K5457" s="11">
        <v>137.47999999999999</v>
      </c>
      <c r="L5457" s="11">
        <v>32.18</v>
      </c>
      <c r="M5457" s="9" t="s">
        <v>1396</v>
      </c>
      <c r="N5457" s="6" t="s">
        <v>1905</v>
      </c>
      <c r="O5457" s="6" t="s">
        <v>673</v>
      </c>
      <c r="P5457" s="9" t="s">
        <v>60</v>
      </c>
      <c r="Q5457" s="9" t="s">
        <v>49</v>
      </c>
      <c r="R5457" s="9" t="s">
        <v>80</v>
      </c>
      <c r="S5457" s="7" t="s">
        <v>1743</v>
      </c>
      <c r="T5457" s="9" t="s">
        <v>82</v>
      </c>
      <c r="U5457" s="7">
        <v>0.78</v>
      </c>
      <c r="V5457" s="12">
        <f>C5457+2</f>
        <v>40984</v>
      </c>
      <c r="W5457">
        <f>IF(D5457=' Pivot Tables'!$A$4,1,0)</f>
        <v>0</v>
      </c>
      <c r="X5457">
        <f>IF(AND(LEFT(D5457,4)+1=LEFT(' Pivot Tables'!$A$4,4)+0,RIGHT(LEFT(D5457,7),2)=RIGHT(LEFT(' Pivot Tables'!$A$4,7),2)),1,0)</f>
        <v>0</v>
      </c>
      <c r="Y5457" s="6">
        <f>1/COUNTIF(Таблица1[Order ID],Таблица1[[#This Row],[Order ID]])</f>
        <v>0.5</v>
      </c>
      <c r="Z5457" s="9">
        <f>1/COUNTIFS(Таблица1[Customer Name],Таблица1[[#This Row],[Customer Name]],Таблица1[Order-Year-Month],Таблица1[[#This Row],[Order-Year-Month]])</f>
        <v>0.5</v>
      </c>
    </row>
    <row r="5458" spans="1:26" x14ac:dyDescent="0.2">
      <c r="A5458" s="6">
        <v>6098</v>
      </c>
      <c r="B5458" s="7">
        <v>43206</v>
      </c>
      <c r="C5458" s="8">
        <f>DATE(2012,12,31)-1226</f>
        <v>40048</v>
      </c>
      <c r="D5458" s="8" t="str">
        <f t="shared" si="102"/>
        <v>2009-08 (август 2009)</v>
      </c>
      <c r="E5458" s="9" t="s">
        <v>63</v>
      </c>
      <c r="F5458" s="7">
        <v>16</v>
      </c>
      <c r="G5458" s="7">
        <v>587.88</v>
      </c>
      <c r="H5458" s="7">
        <v>0</v>
      </c>
      <c r="I5458" s="9" t="s">
        <v>56</v>
      </c>
      <c r="J5458" s="10">
        <v>135.37</v>
      </c>
      <c r="K5458" s="11">
        <v>35.409999999999997</v>
      </c>
      <c r="L5458" s="11">
        <v>1.99</v>
      </c>
      <c r="M5458" s="9" t="s">
        <v>1908</v>
      </c>
      <c r="N5458" s="6" t="s">
        <v>1905</v>
      </c>
      <c r="O5458" s="6" t="s">
        <v>673</v>
      </c>
      <c r="P5458" s="9" t="s">
        <v>41</v>
      </c>
      <c r="Q5458" s="9" t="s">
        <v>42</v>
      </c>
      <c r="R5458" s="9" t="s">
        <v>70</v>
      </c>
      <c r="S5458" s="7" t="s">
        <v>971</v>
      </c>
      <c r="T5458" s="9" t="s">
        <v>52</v>
      </c>
      <c r="U5458" s="7">
        <v>0.43</v>
      </c>
      <c r="V5458" s="12">
        <f>C5458+1</f>
        <v>40049</v>
      </c>
      <c r="W5458">
        <f>IF(D5458=' Pivot Tables'!$A$4,1,0)</f>
        <v>0</v>
      </c>
      <c r="X5458">
        <f>IF(AND(LEFT(D5458,4)+1=LEFT(' Pivot Tables'!$A$4,4)+0,RIGHT(LEFT(D5458,7),2)=RIGHT(LEFT(' Pivot Tables'!$A$4,7),2)),1,0)</f>
        <v>0</v>
      </c>
      <c r="Y5458" s="6">
        <f>1/COUNTIF(Таблица1[Order ID],Таблица1[[#This Row],[Order ID]])</f>
        <v>1</v>
      </c>
      <c r="Z5458" s="9">
        <f>1/COUNTIFS(Таблица1[Customer Name],Таблица1[[#This Row],[Customer Name]],Таблица1[Order-Year-Month],Таблица1[[#This Row],[Order-Year-Month]])</f>
        <v>1</v>
      </c>
    </row>
    <row r="5459" spans="1:26" x14ac:dyDescent="0.2">
      <c r="A5459" s="6">
        <v>6099</v>
      </c>
      <c r="B5459" s="7">
        <v>43207</v>
      </c>
      <c r="C5459" s="8">
        <f>DATE(2012,12,31)-936</f>
        <v>40338</v>
      </c>
      <c r="D5459" s="8" t="str">
        <f t="shared" si="102"/>
        <v>2010-06 (июнь 2010)</v>
      </c>
      <c r="E5459" s="9" t="s">
        <v>21</v>
      </c>
      <c r="F5459" s="7">
        <v>45</v>
      </c>
      <c r="G5459" s="7">
        <v>2207.9</v>
      </c>
      <c r="H5459" s="7">
        <v>0.02</v>
      </c>
      <c r="I5459" s="9" t="s">
        <v>22</v>
      </c>
      <c r="J5459" s="10">
        <v>579.76</v>
      </c>
      <c r="K5459" s="11">
        <v>49.34</v>
      </c>
      <c r="L5459" s="11">
        <v>10.25</v>
      </c>
      <c r="M5459" s="9" t="s">
        <v>1096</v>
      </c>
      <c r="N5459" s="6" t="s">
        <v>1905</v>
      </c>
      <c r="O5459" s="6" t="s">
        <v>673</v>
      </c>
      <c r="P5459" s="9" t="s">
        <v>33</v>
      </c>
      <c r="Q5459" s="9" t="s">
        <v>49</v>
      </c>
      <c r="R5459" s="9" t="s">
        <v>50</v>
      </c>
      <c r="S5459" s="7" t="s">
        <v>1279</v>
      </c>
      <c r="T5459" s="9" t="s">
        <v>29</v>
      </c>
      <c r="U5459" s="7">
        <v>0.56999999999999995</v>
      </c>
      <c r="V5459" s="12">
        <f>C5459+4</f>
        <v>40342</v>
      </c>
      <c r="W5459">
        <f>IF(D5459=' Pivot Tables'!$A$4,1,0)</f>
        <v>0</v>
      </c>
      <c r="X5459">
        <f>IF(AND(LEFT(D5459,4)+1=LEFT(' Pivot Tables'!$A$4,4)+0,RIGHT(LEFT(D5459,7),2)=RIGHT(LEFT(' Pivot Tables'!$A$4,7),2)),1,0)</f>
        <v>0</v>
      </c>
      <c r="Y5459" s="6">
        <f>1/COUNTIF(Таблица1[Order ID],Таблица1[[#This Row],[Order ID]])</f>
        <v>0.33333333333333331</v>
      </c>
      <c r="Z5459" s="9">
        <f>1/COUNTIFS(Таблица1[Customer Name],Таблица1[[#This Row],[Customer Name]],Таблица1[Order-Year-Month],Таблица1[[#This Row],[Order-Year-Month]])</f>
        <v>0.33333333333333331</v>
      </c>
    </row>
    <row r="5460" spans="1:26" x14ac:dyDescent="0.2">
      <c r="A5460" s="6">
        <v>6100</v>
      </c>
      <c r="B5460" s="7">
        <v>43207</v>
      </c>
      <c r="C5460" s="8">
        <f>DATE(2012,12,31)-936</f>
        <v>40338</v>
      </c>
      <c r="D5460" s="8" t="str">
        <f t="shared" si="102"/>
        <v>2010-06 (июнь 2010)</v>
      </c>
      <c r="E5460" s="9" t="s">
        <v>21</v>
      </c>
      <c r="F5460" s="7">
        <v>41</v>
      </c>
      <c r="G5460" s="7">
        <v>139.93</v>
      </c>
      <c r="H5460" s="7">
        <v>0.05</v>
      </c>
      <c r="I5460" s="9" t="s">
        <v>22</v>
      </c>
      <c r="J5460" s="10">
        <v>-3.06</v>
      </c>
      <c r="K5460" s="11">
        <v>3.28</v>
      </c>
      <c r="L5460" s="11">
        <v>1.95</v>
      </c>
      <c r="M5460" s="9" t="s">
        <v>1096</v>
      </c>
      <c r="N5460" s="6" t="s">
        <v>1905</v>
      </c>
      <c r="O5460" s="6" t="s">
        <v>673</v>
      </c>
      <c r="P5460" s="9" t="s">
        <v>33</v>
      </c>
      <c r="Q5460" s="9" t="s">
        <v>26</v>
      </c>
      <c r="R5460" s="9" t="s">
        <v>95</v>
      </c>
      <c r="S5460" s="7" t="s">
        <v>1925</v>
      </c>
      <c r="T5460" s="9" t="s">
        <v>68</v>
      </c>
      <c r="U5460" s="7">
        <v>0.42</v>
      </c>
      <c r="V5460" s="12">
        <f>C5460+7</f>
        <v>40345</v>
      </c>
      <c r="W5460">
        <f>IF(D5460=' Pivot Tables'!$A$4,1,0)</f>
        <v>0</v>
      </c>
      <c r="X5460">
        <f>IF(AND(LEFT(D5460,4)+1=LEFT(' Pivot Tables'!$A$4,4)+0,RIGHT(LEFT(D5460,7),2)=RIGHT(LEFT(' Pivot Tables'!$A$4,7),2)),1,0)</f>
        <v>0</v>
      </c>
      <c r="Y5460" s="6">
        <f>1/COUNTIF(Таблица1[Order ID],Таблица1[[#This Row],[Order ID]])</f>
        <v>0.33333333333333331</v>
      </c>
      <c r="Z5460" s="9">
        <f>1/COUNTIFS(Таблица1[Customer Name],Таблица1[[#This Row],[Customer Name]],Таблица1[Order-Year-Month],Таблица1[[#This Row],[Order-Year-Month]])</f>
        <v>0.33333333333333331</v>
      </c>
    </row>
    <row r="5461" spans="1:26" x14ac:dyDescent="0.2">
      <c r="A5461" s="6">
        <v>6101</v>
      </c>
      <c r="B5461" s="7">
        <v>43207</v>
      </c>
      <c r="C5461" s="8">
        <f>DATE(2012,12,31)-936</f>
        <v>40338</v>
      </c>
      <c r="D5461" s="8" t="str">
        <f t="shared" si="102"/>
        <v>2010-06 (июнь 2010)</v>
      </c>
      <c r="E5461" s="9" t="s">
        <v>21</v>
      </c>
      <c r="F5461" s="7">
        <v>8</v>
      </c>
      <c r="G5461" s="7">
        <v>15.45</v>
      </c>
      <c r="H5461" s="7">
        <v>0.05</v>
      </c>
      <c r="I5461" s="9" t="s">
        <v>22</v>
      </c>
      <c r="J5461" s="10">
        <v>-7.75</v>
      </c>
      <c r="K5461" s="11">
        <v>1.81</v>
      </c>
      <c r="L5461" s="11">
        <v>1.56</v>
      </c>
      <c r="M5461" s="9" t="s">
        <v>1096</v>
      </c>
      <c r="N5461" s="6" t="s">
        <v>1905</v>
      </c>
      <c r="O5461" s="6" t="s">
        <v>673</v>
      </c>
      <c r="P5461" s="9" t="s">
        <v>33</v>
      </c>
      <c r="Q5461" s="9" t="s">
        <v>26</v>
      </c>
      <c r="R5461" s="9" t="s">
        <v>66</v>
      </c>
      <c r="S5461" s="7" t="s">
        <v>1070</v>
      </c>
      <c r="T5461" s="9" t="s">
        <v>68</v>
      </c>
      <c r="U5461" s="7">
        <v>0.49</v>
      </c>
      <c r="V5461" s="12">
        <f>C5461+2</f>
        <v>40340</v>
      </c>
      <c r="W5461">
        <f>IF(D5461=' Pivot Tables'!$A$4,1,0)</f>
        <v>0</v>
      </c>
      <c r="X5461">
        <f>IF(AND(LEFT(D5461,4)+1=LEFT(' Pivot Tables'!$A$4,4)+0,RIGHT(LEFT(D5461,7),2)=RIGHT(LEFT(' Pivot Tables'!$A$4,7),2)),1,0)</f>
        <v>0</v>
      </c>
      <c r="Y5461" s="6">
        <f>1/COUNTIF(Таблица1[Order ID],Таблица1[[#This Row],[Order ID]])</f>
        <v>0.33333333333333331</v>
      </c>
      <c r="Z5461" s="9">
        <f>1/COUNTIFS(Таблица1[Customer Name],Таблица1[[#This Row],[Customer Name]],Таблица1[Order-Year-Month],Таблица1[[#This Row],[Order-Year-Month]])</f>
        <v>0.33333333333333331</v>
      </c>
    </row>
    <row r="5462" spans="1:26" x14ac:dyDescent="0.2">
      <c r="A5462" s="6">
        <v>6160</v>
      </c>
      <c r="B5462" s="7">
        <v>43650</v>
      </c>
      <c r="C5462" s="8">
        <f>DATE(2012,12,31)-1379</f>
        <v>39895</v>
      </c>
      <c r="D5462" s="8" t="str">
        <f t="shared" si="102"/>
        <v>2009-03 (март 2009)</v>
      </c>
      <c r="E5462" s="9" t="s">
        <v>45</v>
      </c>
      <c r="F5462" s="7">
        <v>3</v>
      </c>
      <c r="G5462" s="7">
        <v>1759.65</v>
      </c>
      <c r="H5462" s="7">
        <v>0.06</v>
      </c>
      <c r="I5462" s="9" t="s">
        <v>22</v>
      </c>
      <c r="J5462" s="10">
        <v>-2213.75</v>
      </c>
      <c r="K5462" s="11">
        <v>599.99</v>
      </c>
      <c r="L5462" s="11">
        <v>24.49</v>
      </c>
      <c r="M5462" s="9" t="s">
        <v>1912</v>
      </c>
      <c r="N5462" s="6" t="s">
        <v>1905</v>
      </c>
      <c r="O5462" s="6" t="s">
        <v>673</v>
      </c>
      <c r="P5462" s="9" t="s">
        <v>41</v>
      </c>
      <c r="Q5462" s="9" t="s">
        <v>42</v>
      </c>
      <c r="R5462" s="9" t="s">
        <v>99</v>
      </c>
      <c r="S5462" s="7" t="s">
        <v>1349</v>
      </c>
      <c r="T5462" s="9" t="s">
        <v>29</v>
      </c>
      <c r="U5462" s="7">
        <v>0.5</v>
      </c>
      <c r="V5462" s="12">
        <f>C5462+1</f>
        <v>39896</v>
      </c>
      <c r="W5462">
        <f>IF(D5462=' Pivot Tables'!$A$4,1,0)</f>
        <v>0</v>
      </c>
      <c r="X5462">
        <f>IF(AND(LEFT(D5462,4)+1=LEFT(' Pivot Tables'!$A$4,4)+0,RIGHT(LEFT(D5462,7),2)=RIGHT(LEFT(' Pivot Tables'!$A$4,7),2)),1,0)</f>
        <v>0</v>
      </c>
      <c r="Y5462" s="6">
        <f>1/COUNTIF(Таблица1[Order ID],Таблица1[[#This Row],[Order ID]])</f>
        <v>0.5</v>
      </c>
      <c r="Z5462" s="9">
        <f>1/COUNTIFS(Таблица1[Customer Name],Таблица1[[#This Row],[Customer Name]],Таблица1[Order-Year-Month],Таблица1[[#This Row],[Order-Year-Month]])</f>
        <v>0.5</v>
      </c>
    </row>
    <row r="5463" spans="1:26" x14ac:dyDescent="0.2">
      <c r="A5463" s="6">
        <v>6161</v>
      </c>
      <c r="B5463" s="7">
        <v>43650</v>
      </c>
      <c r="C5463" s="8">
        <f>DATE(2012,12,31)-1379</f>
        <v>39895</v>
      </c>
      <c r="D5463" s="8" t="str">
        <f t="shared" si="102"/>
        <v>2009-03 (март 2009)</v>
      </c>
      <c r="E5463" s="9" t="s">
        <v>45</v>
      </c>
      <c r="F5463" s="7">
        <v>7</v>
      </c>
      <c r="G5463" s="7">
        <v>88.59</v>
      </c>
      <c r="H5463" s="7">
        <v>0.05</v>
      </c>
      <c r="I5463" s="9" t="s">
        <v>22</v>
      </c>
      <c r="J5463" s="10">
        <v>-26.29</v>
      </c>
      <c r="K5463" s="11">
        <v>11.97</v>
      </c>
      <c r="L5463" s="11">
        <v>5.81</v>
      </c>
      <c r="M5463" s="9" t="s">
        <v>1912</v>
      </c>
      <c r="N5463" s="6" t="s">
        <v>1905</v>
      </c>
      <c r="O5463" s="6" t="s">
        <v>673</v>
      </c>
      <c r="P5463" s="9" t="s">
        <v>41</v>
      </c>
      <c r="Q5463" s="9" t="s">
        <v>26</v>
      </c>
      <c r="R5463" s="9" t="s">
        <v>95</v>
      </c>
      <c r="S5463" s="7" t="s">
        <v>521</v>
      </c>
      <c r="T5463" s="9" t="s">
        <v>52</v>
      </c>
      <c r="U5463" s="7">
        <v>0.6</v>
      </c>
      <c r="V5463" s="12">
        <f>C5463+2</f>
        <v>39897</v>
      </c>
      <c r="W5463">
        <f>IF(D5463=' Pivot Tables'!$A$4,1,0)</f>
        <v>0</v>
      </c>
      <c r="X5463">
        <f>IF(AND(LEFT(D5463,4)+1=LEFT(' Pivot Tables'!$A$4,4)+0,RIGHT(LEFT(D5463,7),2)=RIGHT(LEFT(' Pivot Tables'!$A$4,7),2)),1,0)</f>
        <v>0</v>
      </c>
      <c r="Y5463" s="6">
        <f>1/COUNTIF(Таблица1[Order ID],Таблица1[[#This Row],[Order ID]])</f>
        <v>0.5</v>
      </c>
      <c r="Z5463" s="9">
        <f>1/COUNTIFS(Таблица1[Customer Name],Таблица1[[#This Row],[Customer Name]],Таблица1[Order-Year-Month],Таблица1[[#This Row],[Order-Year-Month]])</f>
        <v>0.5</v>
      </c>
    </row>
    <row r="5464" spans="1:26" x14ac:dyDescent="0.2">
      <c r="A5464" s="6">
        <v>6253</v>
      </c>
      <c r="B5464" s="7">
        <v>44290</v>
      </c>
      <c r="C5464" s="8">
        <f>DATE(2012,12,31)-1016</f>
        <v>40258</v>
      </c>
      <c r="D5464" s="8" t="str">
        <f t="shared" si="102"/>
        <v>2010-03 (март 2010)</v>
      </c>
      <c r="E5464" s="9" t="s">
        <v>63</v>
      </c>
      <c r="F5464" s="7">
        <v>49</v>
      </c>
      <c r="G5464" s="7">
        <v>508.38</v>
      </c>
      <c r="H5464" s="7">
        <v>0.06</v>
      </c>
      <c r="I5464" s="9" t="s">
        <v>22</v>
      </c>
      <c r="J5464" s="10">
        <v>4.68</v>
      </c>
      <c r="K5464" s="11">
        <v>10.4</v>
      </c>
      <c r="L5464" s="11">
        <v>5.4</v>
      </c>
      <c r="M5464" s="9" t="s">
        <v>1904</v>
      </c>
      <c r="N5464" s="6" t="s">
        <v>1905</v>
      </c>
      <c r="O5464" s="6" t="s">
        <v>673</v>
      </c>
      <c r="P5464" s="9" t="s">
        <v>41</v>
      </c>
      <c r="Q5464" s="9" t="s">
        <v>49</v>
      </c>
      <c r="R5464" s="9" t="s">
        <v>50</v>
      </c>
      <c r="S5464" s="7" t="s">
        <v>761</v>
      </c>
      <c r="T5464" s="9" t="s">
        <v>52</v>
      </c>
      <c r="U5464" s="7">
        <v>0.51</v>
      </c>
      <c r="V5464" s="12">
        <f>C5464+2</f>
        <v>40260</v>
      </c>
      <c r="W5464">
        <f>IF(D5464=' Pivot Tables'!$A$4,1,0)</f>
        <v>0</v>
      </c>
      <c r="X5464">
        <f>IF(AND(LEFT(D5464,4)+1=LEFT(' Pivot Tables'!$A$4,4)+0,RIGHT(LEFT(D5464,7),2)=RIGHT(LEFT(' Pivot Tables'!$A$4,7),2)),1,0)</f>
        <v>0</v>
      </c>
      <c r="Y5464" s="6">
        <f>1/COUNTIF(Таблица1[Order ID],Таблица1[[#This Row],[Order ID]])</f>
        <v>0.33333333333333331</v>
      </c>
      <c r="Z5464" s="9">
        <f>1/COUNTIFS(Таблица1[Customer Name],Таблица1[[#This Row],[Customer Name]],Таблица1[Order-Year-Month],Таблица1[[#This Row],[Order-Year-Month]])</f>
        <v>0.33333333333333331</v>
      </c>
    </row>
    <row r="5465" spans="1:26" x14ac:dyDescent="0.2">
      <c r="A5465" s="6">
        <v>6254</v>
      </c>
      <c r="B5465" s="7">
        <v>44290</v>
      </c>
      <c r="C5465" s="8">
        <f>DATE(2012,12,31)-1016</f>
        <v>40258</v>
      </c>
      <c r="D5465" s="8" t="str">
        <f t="shared" si="102"/>
        <v>2010-03 (март 2010)</v>
      </c>
      <c r="E5465" s="9" t="s">
        <v>63</v>
      </c>
      <c r="F5465" s="7">
        <v>28</v>
      </c>
      <c r="G5465" s="7">
        <v>281.08999999999997</v>
      </c>
      <c r="H5465" s="7">
        <v>0.01</v>
      </c>
      <c r="I5465" s="9" t="s">
        <v>22</v>
      </c>
      <c r="J5465" s="10">
        <v>-114.58</v>
      </c>
      <c r="K5465" s="11">
        <v>9.06</v>
      </c>
      <c r="L5465" s="11">
        <v>9.86</v>
      </c>
      <c r="M5465" s="9" t="s">
        <v>1904</v>
      </c>
      <c r="N5465" s="6" t="s">
        <v>1905</v>
      </c>
      <c r="O5465" s="6" t="s">
        <v>673</v>
      </c>
      <c r="P5465" s="9" t="s">
        <v>41</v>
      </c>
      <c r="Q5465" s="9" t="s">
        <v>26</v>
      </c>
      <c r="R5465" s="9" t="s">
        <v>61</v>
      </c>
      <c r="S5465" s="7" t="s">
        <v>930</v>
      </c>
      <c r="T5465" s="9" t="s">
        <v>39</v>
      </c>
      <c r="U5465" s="7">
        <v>0.4</v>
      </c>
      <c r="V5465" s="12">
        <f>C5465+2</f>
        <v>40260</v>
      </c>
      <c r="W5465">
        <f>IF(D5465=' Pivot Tables'!$A$4,1,0)</f>
        <v>0</v>
      </c>
      <c r="X5465">
        <f>IF(AND(LEFT(D5465,4)+1=LEFT(' Pivot Tables'!$A$4,4)+0,RIGHT(LEFT(D5465,7),2)=RIGHT(LEFT(' Pivot Tables'!$A$4,7),2)),1,0)</f>
        <v>0</v>
      </c>
      <c r="Y5465" s="6">
        <f>1/COUNTIF(Таблица1[Order ID],Таблица1[[#This Row],[Order ID]])</f>
        <v>0.33333333333333331</v>
      </c>
      <c r="Z5465" s="9">
        <f>1/COUNTIFS(Таблица1[Customer Name],Таблица1[[#This Row],[Customer Name]],Таблица1[Order-Year-Month],Таблица1[[#This Row],[Order-Year-Month]])</f>
        <v>0.33333333333333331</v>
      </c>
    </row>
    <row r="5466" spans="1:26" x14ac:dyDescent="0.2">
      <c r="A5466" s="6">
        <v>6255</v>
      </c>
      <c r="B5466" s="7">
        <v>44290</v>
      </c>
      <c r="C5466" s="8">
        <f>DATE(2012,12,31)-1016</f>
        <v>40258</v>
      </c>
      <c r="D5466" s="8" t="str">
        <f t="shared" si="102"/>
        <v>2010-03 (март 2010)</v>
      </c>
      <c r="E5466" s="9" t="s">
        <v>63</v>
      </c>
      <c r="F5466" s="7">
        <v>41</v>
      </c>
      <c r="G5466" s="7">
        <v>276.64999999999998</v>
      </c>
      <c r="H5466" s="7">
        <v>0.02</v>
      </c>
      <c r="I5466" s="9" t="s">
        <v>22</v>
      </c>
      <c r="J5466" s="10">
        <v>-75.28</v>
      </c>
      <c r="K5466" s="11">
        <v>6.48</v>
      </c>
      <c r="L5466" s="11">
        <v>5.87</v>
      </c>
      <c r="M5466" s="9" t="s">
        <v>1904</v>
      </c>
      <c r="N5466" s="6" t="s">
        <v>1905</v>
      </c>
      <c r="O5466" s="6" t="s">
        <v>673</v>
      </c>
      <c r="P5466" s="9" t="s">
        <v>41</v>
      </c>
      <c r="Q5466" s="9" t="s">
        <v>26</v>
      </c>
      <c r="R5466" s="9" t="s">
        <v>61</v>
      </c>
      <c r="S5466" s="7" t="s">
        <v>1340</v>
      </c>
      <c r="T5466" s="9" t="s">
        <v>39</v>
      </c>
      <c r="U5466" s="7">
        <v>0.37</v>
      </c>
      <c r="V5466" s="12">
        <f>C5466+2</f>
        <v>40260</v>
      </c>
      <c r="W5466">
        <f>IF(D5466=' Pivot Tables'!$A$4,1,0)</f>
        <v>0</v>
      </c>
      <c r="X5466">
        <f>IF(AND(LEFT(D5466,4)+1=LEFT(' Pivot Tables'!$A$4,4)+0,RIGHT(LEFT(D5466,7),2)=RIGHT(LEFT(' Pivot Tables'!$A$4,7),2)),1,0)</f>
        <v>0</v>
      </c>
      <c r="Y5466" s="6">
        <f>1/COUNTIF(Таблица1[Order ID],Таблица1[[#This Row],[Order ID]])</f>
        <v>0.33333333333333331</v>
      </c>
      <c r="Z5466" s="9">
        <f>1/COUNTIFS(Таблица1[Customer Name],Таблица1[[#This Row],[Customer Name]],Таблица1[Order-Year-Month],Таблица1[[#This Row],[Order-Year-Month]])</f>
        <v>0.33333333333333331</v>
      </c>
    </row>
    <row r="5467" spans="1:26" x14ac:dyDescent="0.2">
      <c r="A5467" s="6">
        <v>6304</v>
      </c>
      <c r="B5467" s="7">
        <v>44613</v>
      </c>
      <c r="C5467" s="8">
        <f>DATE(2012,12,31)-854</f>
        <v>40420</v>
      </c>
      <c r="D5467" s="8" t="str">
        <f t="shared" si="102"/>
        <v>2010-08 (август 2010)</v>
      </c>
      <c r="E5467" s="9" t="s">
        <v>30</v>
      </c>
      <c r="F5467" s="7">
        <v>34</v>
      </c>
      <c r="G5467" s="7">
        <v>1911.69</v>
      </c>
      <c r="H5467" s="7">
        <v>7.0000000000000007E-2</v>
      </c>
      <c r="I5467" s="9" t="s">
        <v>22</v>
      </c>
      <c r="J5467" s="10">
        <v>939.43</v>
      </c>
      <c r="K5467" s="11">
        <v>55.98</v>
      </c>
      <c r="L5467" s="11">
        <v>5.15</v>
      </c>
      <c r="M5467" s="9" t="s">
        <v>1923</v>
      </c>
      <c r="N5467" s="6" t="s">
        <v>1905</v>
      </c>
      <c r="O5467" s="6" t="s">
        <v>673</v>
      </c>
      <c r="P5467" s="9" t="s">
        <v>25</v>
      </c>
      <c r="Q5467" s="9" t="s">
        <v>26</v>
      </c>
      <c r="R5467" s="9" t="s">
        <v>61</v>
      </c>
      <c r="S5467" s="7" t="s">
        <v>1169</v>
      </c>
      <c r="T5467" s="9" t="s">
        <v>39</v>
      </c>
      <c r="U5467" s="7">
        <v>0.36</v>
      </c>
      <c r="V5467" s="12">
        <f>C5467+1</f>
        <v>40421</v>
      </c>
      <c r="W5467">
        <f>IF(D5467=' Pivot Tables'!$A$4,1,0)</f>
        <v>0</v>
      </c>
      <c r="X5467">
        <f>IF(AND(LEFT(D5467,4)+1=LEFT(' Pivot Tables'!$A$4,4)+0,RIGHT(LEFT(D5467,7),2)=RIGHT(LEFT(' Pivot Tables'!$A$4,7),2)),1,0)</f>
        <v>0</v>
      </c>
      <c r="Y5467" s="6">
        <f>1/COUNTIF(Таблица1[Order ID],Таблица1[[#This Row],[Order ID]])</f>
        <v>0.33333333333333331</v>
      </c>
      <c r="Z5467" s="9">
        <f>1/COUNTIFS(Таблица1[Customer Name],Таблица1[[#This Row],[Customer Name]],Таблица1[Order-Year-Month],Таблица1[[#This Row],[Order-Year-Month]])</f>
        <v>0.33333333333333331</v>
      </c>
    </row>
    <row r="5468" spans="1:26" x14ac:dyDescent="0.2">
      <c r="A5468" s="6">
        <v>6305</v>
      </c>
      <c r="B5468" s="7">
        <v>44613</v>
      </c>
      <c r="C5468" s="8">
        <f>DATE(2012,12,31)-854</f>
        <v>40420</v>
      </c>
      <c r="D5468" s="8" t="str">
        <f t="shared" si="102"/>
        <v>2010-08 (август 2010)</v>
      </c>
      <c r="E5468" s="9" t="s">
        <v>30</v>
      </c>
      <c r="F5468" s="7">
        <v>17</v>
      </c>
      <c r="G5468" s="7">
        <v>120.751</v>
      </c>
      <c r="H5468" s="7">
        <v>0.03</v>
      </c>
      <c r="I5468" s="9" t="s">
        <v>22</v>
      </c>
      <c r="J5468" s="10">
        <v>-71.39</v>
      </c>
      <c r="K5468" s="11">
        <v>7.99</v>
      </c>
      <c r="L5468" s="11">
        <v>5.03</v>
      </c>
      <c r="M5468" s="9" t="s">
        <v>1923</v>
      </c>
      <c r="N5468" s="6" t="s">
        <v>1905</v>
      </c>
      <c r="O5468" s="6" t="s">
        <v>673</v>
      </c>
      <c r="P5468" s="9" t="s">
        <v>25</v>
      </c>
      <c r="Q5468" s="9" t="s">
        <v>42</v>
      </c>
      <c r="R5468" s="9" t="s">
        <v>43</v>
      </c>
      <c r="S5468" s="7" t="s">
        <v>140</v>
      </c>
      <c r="T5468" s="9" t="s">
        <v>48</v>
      </c>
      <c r="U5468" s="7">
        <v>0.6</v>
      </c>
      <c r="V5468" s="12">
        <f>C5468+1</f>
        <v>40421</v>
      </c>
      <c r="W5468">
        <f>IF(D5468=' Pivot Tables'!$A$4,1,0)</f>
        <v>0</v>
      </c>
      <c r="X5468">
        <f>IF(AND(LEFT(D5468,4)+1=LEFT(' Pivot Tables'!$A$4,4)+0,RIGHT(LEFT(D5468,7),2)=RIGHT(LEFT(' Pivot Tables'!$A$4,7),2)),1,0)</f>
        <v>0</v>
      </c>
      <c r="Y5468" s="6">
        <f>1/COUNTIF(Таблица1[Order ID],Таблица1[[#This Row],[Order ID]])</f>
        <v>0.33333333333333331</v>
      </c>
      <c r="Z5468" s="9">
        <f>1/COUNTIFS(Таблица1[Customer Name],Таблица1[[#This Row],[Customer Name]],Таблица1[Order-Year-Month],Таблица1[[#This Row],[Order-Year-Month]])</f>
        <v>0.33333333333333331</v>
      </c>
    </row>
    <row r="5469" spans="1:26" x14ac:dyDescent="0.2">
      <c r="A5469" s="6">
        <v>6306</v>
      </c>
      <c r="B5469" s="7">
        <v>44613</v>
      </c>
      <c r="C5469" s="8">
        <f>DATE(2012,12,31)-854</f>
        <v>40420</v>
      </c>
      <c r="D5469" s="8" t="str">
        <f t="shared" si="102"/>
        <v>2010-08 (август 2010)</v>
      </c>
      <c r="E5469" s="9" t="s">
        <v>30</v>
      </c>
      <c r="F5469" s="7">
        <v>45</v>
      </c>
      <c r="G5469" s="7">
        <v>245.55</v>
      </c>
      <c r="H5469" s="7">
        <v>0.03</v>
      </c>
      <c r="I5469" s="9" t="s">
        <v>22</v>
      </c>
      <c r="J5469" s="10">
        <v>-227.25</v>
      </c>
      <c r="K5469" s="11">
        <v>5.28</v>
      </c>
      <c r="L5469" s="11">
        <v>8.16</v>
      </c>
      <c r="M5469" s="9" t="s">
        <v>1923</v>
      </c>
      <c r="N5469" s="6" t="s">
        <v>1905</v>
      </c>
      <c r="O5469" s="6" t="s">
        <v>673</v>
      </c>
      <c r="P5469" s="9" t="s">
        <v>25</v>
      </c>
      <c r="Q5469" s="9" t="s">
        <v>26</v>
      </c>
      <c r="R5469" s="9" t="s">
        <v>61</v>
      </c>
      <c r="S5469" s="7" t="s">
        <v>1640</v>
      </c>
      <c r="T5469" s="9" t="s">
        <v>39</v>
      </c>
      <c r="U5469" s="7">
        <v>0.4</v>
      </c>
      <c r="V5469" s="12">
        <f>C5469+1</f>
        <v>40421</v>
      </c>
      <c r="W5469">
        <f>IF(D5469=' Pivot Tables'!$A$4,1,0)</f>
        <v>0</v>
      </c>
      <c r="X5469">
        <f>IF(AND(LEFT(D5469,4)+1=LEFT(' Pivot Tables'!$A$4,4)+0,RIGHT(LEFT(D5469,7),2)=RIGHT(LEFT(' Pivot Tables'!$A$4,7),2)),1,0)</f>
        <v>0</v>
      </c>
      <c r="Y5469" s="6">
        <f>1/COUNTIF(Таблица1[Order ID],Таблица1[[#This Row],[Order ID]])</f>
        <v>0.33333333333333331</v>
      </c>
      <c r="Z5469" s="9">
        <f>1/COUNTIFS(Таблица1[Customer Name],Таблица1[[#This Row],[Customer Name]],Таблица1[Order-Year-Month],Таблица1[[#This Row],[Order-Year-Month]])</f>
        <v>0.33333333333333331</v>
      </c>
    </row>
    <row r="5470" spans="1:26" x14ac:dyDescent="0.2">
      <c r="A5470" s="6">
        <v>6344</v>
      </c>
      <c r="B5470" s="7">
        <v>44965</v>
      </c>
      <c r="C5470" s="8">
        <f>DATE(2012,12,31)-456</f>
        <v>40818</v>
      </c>
      <c r="D5470" s="8" t="str">
        <f t="shared" si="102"/>
        <v>2011-10 (октябрь 2011)</v>
      </c>
      <c r="E5470" s="9" t="s">
        <v>21</v>
      </c>
      <c r="F5470" s="7">
        <v>19</v>
      </c>
      <c r="G5470" s="7">
        <v>28.82</v>
      </c>
      <c r="H5470" s="7">
        <v>0</v>
      </c>
      <c r="I5470" s="9" t="s">
        <v>22</v>
      </c>
      <c r="J5470" s="10">
        <v>2.16</v>
      </c>
      <c r="K5470" s="11">
        <v>1.48</v>
      </c>
      <c r="L5470" s="11">
        <v>0.7</v>
      </c>
      <c r="M5470" s="9" t="s">
        <v>1904</v>
      </c>
      <c r="N5470" s="6" t="s">
        <v>1905</v>
      </c>
      <c r="O5470" s="6" t="s">
        <v>673</v>
      </c>
      <c r="P5470" s="9" t="s">
        <v>41</v>
      </c>
      <c r="Q5470" s="9" t="s">
        <v>26</v>
      </c>
      <c r="R5470" s="9" t="s">
        <v>66</v>
      </c>
      <c r="S5470" s="7" t="s">
        <v>623</v>
      </c>
      <c r="T5470" s="9" t="s">
        <v>68</v>
      </c>
      <c r="U5470" s="7">
        <v>0.37</v>
      </c>
      <c r="V5470" s="12">
        <f>C5470+4</f>
        <v>40822</v>
      </c>
      <c r="W5470">
        <f>IF(D5470=' Pivot Tables'!$A$4,1,0)</f>
        <v>0</v>
      </c>
      <c r="X5470">
        <f>IF(AND(LEFT(D5470,4)+1=LEFT(' Pivot Tables'!$A$4,4)+0,RIGHT(LEFT(D5470,7),2)=RIGHT(LEFT(' Pivot Tables'!$A$4,7),2)),1,0)</f>
        <v>0</v>
      </c>
      <c r="Y5470" s="6">
        <f>1/COUNTIF(Таблица1[Order ID],Таблица1[[#This Row],[Order ID]])</f>
        <v>0.5</v>
      </c>
      <c r="Z5470" s="9">
        <f>1/COUNTIFS(Таблица1[Customer Name],Таблица1[[#This Row],[Customer Name]],Таблица1[Order-Year-Month],Таблица1[[#This Row],[Order-Year-Month]])</f>
        <v>0.25</v>
      </c>
    </row>
    <row r="5471" spans="1:26" x14ac:dyDescent="0.2">
      <c r="A5471" s="6">
        <v>6345</v>
      </c>
      <c r="B5471" s="7">
        <v>44965</v>
      </c>
      <c r="C5471" s="8">
        <f>DATE(2012,12,31)-456</f>
        <v>40818</v>
      </c>
      <c r="D5471" s="8" t="str">
        <f t="shared" si="102"/>
        <v>2011-10 (октябрь 2011)</v>
      </c>
      <c r="E5471" s="9" t="s">
        <v>21</v>
      </c>
      <c r="F5471" s="7">
        <v>45</v>
      </c>
      <c r="G5471" s="7">
        <v>75.39</v>
      </c>
      <c r="H5471" s="7">
        <v>0.05</v>
      </c>
      <c r="I5471" s="9" t="s">
        <v>22</v>
      </c>
      <c r="J5471" s="10">
        <v>-4.83</v>
      </c>
      <c r="K5471" s="11">
        <v>1.68</v>
      </c>
      <c r="L5471" s="11">
        <v>0.7</v>
      </c>
      <c r="M5471" s="9" t="s">
        <v>1904</v>
      </c>
      <c r="N5471" s="6" t="s">
        <v>1905</v>
      </c>
      <c r="O5471" s="6" t="s">
        <v>673</v>
      </c>
      <c r="P5471" s="9" t="s">
        <v>41</v>
      </c>
      <c r="Q5471" s="9" t="s">
        <v>26</v>
      </c>
      <c r="R5471" s="9" t="s">
        <v>95</v>
      </c>
      <c r="S5471" s="7" t="s">
        <v>1926</v>
      </c>
      <c r="T5471" s="9" t="s">
        <v>68</v>
      </c>
      <c r="U5471" s="7">
        <v>0.6</v>
      </c>
      <c r="V5471" s="12">
        <f>C5471+4</f>
        <v>40822</v>
      </c>
      <c r="W5471">
        <f>IF(D5471=' Pivot Tables'!$A$4,1,0)</f>
        <v>0</v>
      </c>
      <c r="X5471">
        <f>IF(AND(LEFT(D5471,4)+1=LEFT(' Pivot Tables'!$A$4,4)+0,RIGHT(LEFT(D5471,7),2)=RIGHT(LEFT(' Pivot Tables'!$A$4,7),2)),1,0)</f>
        <v>0</v>
      </c>
      <c r="Y5471" s="6">
        <f>1/COUNTIF(Таблица1[Order ID],Таблица1[[#This Row],[Order ID]])</f>
        <v>0.5</v>
      </c>
      <c r="Z5471" s="9">
        <f>1/COUNTIFS(Таблица1[Customer Name],Таблица1[[#This Row],[Customer Name]],Таблица1[Order-Year-Month],Таблица1[[#This Row],[Order-Year-Month]])</f>
        <v>0.25</v>
      </c>
    </row>
    <row r="5472" spans="1:26" x14ac:dyDescent="0.2">
      <c r="A5472" s="6">
        <v>6435</v>
      </c>
      <c r="B5472" s="7">
        <v>45733</v>
      </c>
      <c r="C5472" s="8">
        <f>DATE(2012,12,31)-756</f>
        <v>40518</v>
      </c>
      <c r="D5472" s="8" t="str">
        <f t="shared" si="102"/>
        <v>2010-12 (декабрь 2010)</v>
      </c>
      <c r="E5472" s="9" t="s">
        <v>78</v>
      </c>
      <c r="F5472" s="7">
        <v>39</v>
      </c>
      <c r="G5472" s="7">
        <v>851.17</v>
      </c>
      <c r="H5472" s="7">
        <v>7.0000000000000007E-2</v>
      </c>
      <c r="I5472" s="9" t="s">
        <v>22</v>
      </c>
      <c r="J5472" s="10">
        <v>-131.28399999999999</v>
      </c>
      <c r="K5472" s="11">
        <v>22.38</v>
      </c>
      <c r="L5472" s="11">
        <v>15.1</v>
      </c>
      <c r="M5472" s="9" t="s">
        <v>1020</v>
      </c>
      <c r="N5472" s="6" t="s">
        <v>1905</v>
      </c>
      <c r="O5472" s="6" t="s">
        <v>673</v>
      </c>
      <c r="P5472" s="9" t="s">
        <v>41</v>
      </c>
      <c r="Q5472" s="9" t="s">
        <v>26</v>
      </c>
      <c r="R5472" s="9" t="s">
        <v>37</v>
      </c>
      <c r="S5472" s="7" t="s">
        <v>415</v>
      </c>
      <c r="T5472" s="9" t="s">
        <v>39</v>
      </c>
      <c r="U5472" s="7">
        <v>0.38</v>
      </c>
      <c r="V5472" s="12">
        <f>C5472+1</f>
        <v>40519</v>
      </c>
      <c r="W5472">
        <f>IF(D5472=' Pivot Tables'!$A$4,1,0)</f>
        <v>0</v>
      </c>
      <c r="X5472">
        <f>IF(AND(LEFT(D5472,4)+1=LEFT(' Pivot Tables'!$A$4,4)+0,RIGHT(LEFT(D5472,7),2)=RIGHT(LEFT(' Pivot Tables'!$A$4,7),2)),1,0)</f>
        <v>0</v>
      </c>
      <c r="Y5472" s="6">
        <f>1/COUNTIF(Таблица1[Order ID],Таблица1[[#This Row],[Order ID]])</f>
        <v>1</v>
      </c>
      <c r="Z5472" s="9">
        <f>1/COUNTIFS(Таблица1[Customer Name],Таблица1[[#This Row],[Customer Name]],Таблица1[Order-Year-Month],Таблица1[[#This Row],[Order-Year-Month]])</f>
        <v>1</v>
      </c>
    </row>
    <row r="5473" spans="1:26" x14ac:dyDescent="0.2">
      <c r="A5473" s="6">
        <v>6448</v>
      </c>
      <c r="B5473" s="7">
        <v>45893</v>
      </c>
      <c r="C5473" s="8">
        <f>DATE(2012,12,31)-585</f>
        <v>40689</v>
      </c>
      <c r="D5473" s="8" t="str">
        <f t="shared" si="102"/>
        <v>2011-05 (май 2011)</v>
      </c>
      <c r="E5473" s="9" t="s">
        <v>30</v>
      </c>
      <c r="F5473" s="7">
        <v>15</v>
      </c>
      <c r="G5473" s="7">
        <v>68.03</v>
      </c>
      <c r="H5473" s="7">
        <v>0.05</v>
      </c>
      <c r="I5473" s="9" t="s">
        <v>22</v>
      </c>
      <c r="J5473" s="10">
        <v>8.865499999999999</v>
      </c>
      <c r="K5473" s="11">
        <v>4.49</v>
      </c>
      <c r="L5473" s="11">
        <v>1.49</v>
      </c>
      <c r="M5473" s="9" t="s">
        <v>1852</v>
      </c>
      <c r="N5473" s="6" t="s">
        <v>1905</v>
      </c>
      <c r="O5473" s="6" t="s">
        <v>673</v>
      </c>
      <c r="P5473" s="9" t="s">
        <v>41</v>
      </c>
      <c r="Q5473" s="9" t="s">
        <v>26</v>
      </c>
      <c r="R5473" s="9" t="s">
        <v>37</v>
      </c>
      <c r="S5473" s="7" t="s">
        <v>987</v>
      </c>
      <c r="T5473" s="9" t="s">
        <v>39</v>
      </c>
      <c r="U5473" s="7">
        <v>0.39</v>
      </c>
      <c r="V5473" s="12">
        <f>C5473+1</f>
        <v>40690</v>
      </c>
      <c r="W5473">
        <f>IF(D5473=' Pivot Tables'!$A$4,1,0)</f>
        <v>0</v>
      </c>
      <c r="X5473">
        <f>IF(AND(LEFT(D5473,4)+1=LEFT(' Pivot Tables'!$A$4,4)+0,RIGHT(LEFT(D5473,7),2)=RIGHT(LEFT(' Pivot Tables'!$A$4,7),2)),1,0)</f>
        <v>0</v>
      </c>
      <c r="Y5473" s="6">
        <f>1/COUNTIF(Таблица1[Order ID],Таблица1[[#This Row],[Order ID]])</f>
        <v>1</v>
      </c>
      <c r="Z5473" s="9">
        <f>1/COUNTIFS(Таблица1[Customer Name],Таблица1[[#This Row],[Customer Name]],Таблица1[Order-Year-Month],Таблица1[[#This Row],[Order-Year-Month]])</f>
        <v>1</v>
      </c>
    </row>
    <row r="5474" spans="1:26" x14ac:dyDescent="0.2">
      <c r="A5474" s="6">
        <v>6476</v>
      </c>
      <c r="B5474" s="7">
        <v>46113</v>
      </c>
      <c r="C5474" s="8">
        <f>DATE(2012,12,31)-1125</f>
        <v>40149</v>
      </c>
      <c r="D5474" s="8" t="str">
        <f t="shared" si="102"/>
        <v>2009-12 (декабрь 2009)</v>
      </c>
      <c r="E5474" s="9" t="s">
        <v>45</v>
      </c>
      <c r="F5474" s="7">
        <v>18</v>
      </c>
      <c r="G5474" s="7">
        <v>2567.13</v>
      </c>
      <c r="H5474" s="7">
        <v>0.02</v>
      </c>
      <c r="I5474" s="9" t="s">
        <v>56</v>
      </c>
      <c r="J5474" s="10">
        <v>945.54</v>
      </c>
      <c r="K5474" s="11">
        <v>136.97999999999999</v>
      </c>
      <c r="L5474" s="11">
        <v>24.49</v>
      </c>
      <c r="M5474" s="9" t="s">
        <v>1922</v>
      </c>
      <c r="N5474" s="6" t="s">
        <v>1905</v>
      </c>
      <c r="O5474" s="6" t="s">
        <v>673</v>
      </c>
      <c r="P5474" s="9" t="s">
        <v>25</v>
      </c>
      <c r="Q5474" s="9" t="s">
        <v>49</v>
      </c>
      <c r="R5474" s="9" t="s">
        <v>50</v>
      </c>
      <c r="S5474" s="7" t="s">
        <v>480</v>
      </c>
      <c r="T5474" s="9" t="s">
        <v>29</v>
      </c>
      <c r="U5474" s="7">
        <v>0.59</v>
      </c>
      <c r="V5474" s="12">
        <f>C5474+1</f>
        <v>40150</v>
      </c>
      <c r="W5474">
        <f>IF(D5474=' Pivot Tables'!$A$4,1,0)</f>
        <v>0</v>
      </c>
      <c r="X5474">
        <f>IF(AND(LEFT(D5474,4)+1=LEFT(' Pivot Tables'!$A$4,4)+0,RIGHT(LEFT(D5474,7),2)=RIGHT(LEFT(' Pivot Tables'!$A$4,7),2)),1,0)</f>
        <v>0</v>
      </c>
      <c r="Y5474" s="6">
        <f>1/COUNTIF(Таблица1[Order ID],Таблица1[[#This Row],[Order ID]])</f>
        <v>1</v>
      </c>
      <c r="Z5474" s="9">
        <f>1/COUNTIFS(Таблица1[Customer Name],Таблица1[[#This Row],[Customer Name]],Таблица1[Order-Year-Month],Таблица1[[#This Row],[Order-Year-Month]])</f>
        <v>1</v>
      </c>
    </row>
    <row r="5475" spans="1:26" x14ac:dyDescent="0.2">
      <c r="A5475" s="6">
        <v>6507</v>
      </c>
      <c r="B5475" s="7">
        <v>46311</v>
      </c>
      <c r="C5475" s="8">
        <f>DATE(2012,12,31)-525</f>
        <v>40749</v>
      </c>
      <c r="D5475" s="8" t="str">
        <f t="shared" si="102"/>
        <v>2011-07 (июль 2011)</v>
      </c>
      <c r="E5475" s="9" t="s">
        <v>30</v>
      </c>
      <c r="F5475" s="7">
        <v>42</v>
      </c>
      <c r="G5475" s="7">
        <v>1244.01</v>
      </c>
      <c r="H5475" s="7">
        <v>0</v>
      </c>
      <c r="I5475" s="9" t="s">
        <v>22</v>
      </c>
      <c r="J5475" s="10">
        <v>539.57000000000005</v>
      </c>
      <c r="K5475" s="11">
        <v>28.48</v>
      </c>
      <c r="L5475" s="11">
        <v>1.99</v>
      </c>
      <c r="M5475" s="9" t="s">
        <v>1904</v>
      </c>
      <c r="N5475" s="6" t="s">
        <v>1905</v>
      </c>
      <c r="O5475" s="6" t="s">
        <v>673</v>
      </c>
      <c r="P5475" s="9" t="s">
        <v>33</v>
      </c>
      <c r="Q5475" s="9" t="s">
        <v>42</v>
      </c>
      <c r="R5475" s="9" t="s">
        <v>70</v>
      </c>
      <c r="S5475" s="7" t="s">
        <v>523</v>
      </c>
      <c r="T5475" s="9" t="s">
        <v>52</v>
      </c>
      <c r="U5475" s="7">
        <v>0.4</v>
      </c>
      <c r="V5475" s="12">
        <f>C5475+0</f>
        <v>40749</v>
      </c>
      <c r="W5475">
        <f>IF(D5475=' Pivot Tables'!$A$4,1,0)</f>
        <v>0</v>
      </c>
      <c r="X5475">
        <f>IF(AND(LEFT(D5475,4)+1=LEFT(' Pivot Tables'!$A$4,4)+0,RIGHT(LEFT(D5475,7),2)=RIGHT(LEFT(' Pivot Tables'!$A$4,7),2)),1,0)</f>
        <v>0</v>
      </c>
      <c r="Y5475" s="6">
        <f>1/COUNTIF(Таблица1[Order ID],Таблица1[[#This Row],[Order ID]])</f>
        <v>0.33333333333333331</v>
      </c>
      <c r="Z5475" s="9">
        <f>1/COUNTIFS(Таблица1[Customer Name],Таблица1[[#This Row],[Customer Name]],Таблица1[Order-Year-Month],Таблица1[[#This Row],[Order-Year-Month]])</f>
        <v>0.33333333333333331</v>
      </c>
    </row>
    <row r="5476" spans="1:26" x14ac:dyDescent="0.2">
      <c r="A5476" s="6">
        <v>6508</v>
      </c>
      <c r="B5476" s="7">
        <v>46311</v>
      </c>
      <c r="C5476" s="8">
        <f>DATE(2012,12,31)-525</f>
        <v>40749</v>
      </c>
      <c r="D5476" s="8" t="str">
        <f t="shared" si="102"/>
        <v>2011-07 (июль 2011)</v>
      </c>
      <c r="E5476" s="9" t="s">
        <v>30</v>
      </c>
      <c r="F5476" s="7">
        <v>42</v>
      </c>
      <c r="G5476" s="7">
        <v>981.73</v>
      </c>
      <c r="H5476" s="7">
        <v>0.03</v>
      </c>
      <c r="I5476" s="9" t="s">
        <v>22</v>
      </c>
      <c r="J5476" s="10">
        <v>388.23</v>
      </c>
      <c r="K5476" s="11">
        <v>22.23</v>
      </c>
      <c r="L5476" s="11">
        <v>3.63</v>
      </c>
      <c r="M5476" s="9" t="s">
        <v>1904</v>
      </c>
      <c r="N5476" s="6" t="s">
        <v>1905</v>
      </c>
      <c r="O5476" s="6" t="s">
        <v>673</v>
      </c>
      <c r="P5476" s="9" t="s">
        <v>33</v>
      </c>
      <c r="Q5476" s="9" t="s">
        <v>49</v>
      </c>
      <c r="R5476" s="9" t="s">
        <v>50</v>
      </c>
      <c r="S5476" s="7" t="s">
        <v>632</v>
      </c>
      <c r="T5476" s="9" t="s">
        <v>52</v>
      </c>
      <c r="U5476" s="7">
        <v>0.52</v>
      </c>
      <c r="V5476" s="12">
        <f>C5476+1</f>
        <v>40750</v>
      </c>
      <c r="W5476">
        <f>IF(D5476=' Pivot Tables'!$A$4,1,0)</f>
        <v>0</v>
      </c>
      <c r="X5476">
        <f>IF(AND(LEFT(D5476,4)+1=LEFT(' Pivot Tables'!$A$4,4)+0,RIGHT(LEFT(D5476,7),2)=RIGHT(LEFT(' Pivot Tables'!$A$4,7),2)),1,0)</f>
        <v>0</v>
      </c>
      <c r="Y5476" s="6">
        <f>1/COUNTIF(Таблица1[Order ID],Таблица1[[#This Row],[Order ID]])</f>
        <v>0.33333333333333331</v>
      </c>
      <c r="Z5476" s="9">
        <f>1/COUNTIFS(Таблица1[Customer Name],Таблица1[[#This Row],[Customer Name]],Таблица1[Order-Year-Month],Таблица1[[#This Row],[Order-Year-Month]])</f>
        <v>0.33333333333333331</v>
      </c>
    </row>
    <row r="5477" spans="1:26" x14ac:dyDescent="0.2">
      <c r="A5477" s="6">
        <v>6509</v>
      </c>
      <c r="B5477" s="7">
        <v>46311</v>
      </c>
      <c r="C5477" s="8">
        <f>DATE(2012,12,31)-525</f>
        <v>40749</v>
      </c>
      <c r="D5477" s="8" t="str">
        <f t="shared" si="102"/>
        <v>2011-07 (июль 2011)</v>
      </c>
      <c r="E5477" s="9" t="s">
        <v>30</v>
      </c>
      <c r="F5477" s="7">
        <v>44</v>
      </c>
      <c r="G5477" s="7">
        <v>302.07</v>
      </c>
      <c r="H5477" s="7">
        <v>0</v>
      </c>
      <c r="I5477" s="9" t="s">
        <v>22</v>
      </c>
      <c r="J5477" s="10">
        <v>-185.98</v>
      </c>
      <c r="K5477" s="11">
        <v>6.48</v>
      </c>
      <c r="L5477" s="11">
        <v>8.4</v>
      </c>
      <c r="M5477" s="9" t="s">
        <v>1904</v>
      </c>
      <c r="N5477" s="6" t="s">
        <v>1905</v>
      </c>
      <c r="O5477" s="6" t="s">
        <v>673</v>
      </c>
      <c r="P5477" s="9" t="s">
        <v>33</v>
      </c>
      <c r="Q5477" s="9" t="s">
        <v>26</v>
      </c>
      <c r="R5477" s="9" t="s">
        <v>61</v>
      </c>
      <c r="S5477" s="7" t="s">
        <v>1097</v>
      </c>
      <c r="T5477" s="9" t="s">
        <v>39</v>
      </c>
      <c r="U5477" s="7">
        <v>0.37</v>
      </c>
      <c r="V5477" s="12">
        <f>C5477+2</f>
        <v>40751</v>
      </c>
      <c r="W5477">
        <f>IF(D5477=' Pivot Tables'!$A$4,1,0)</f>
        <v>0</v>
      </c>
      <c r="X5477">
        <f>IF(AND(LEFT(D5477,4)+1=LEFT(' Pivot Tables'!$A$4,4)+0,RIGHT(LEFT(D5477,7),2)=RIGHT(LEFT(' Pivot Tables'!$A$4,7),2)),1,0)</f>
        <v>0</v>
      </c>
      <c r="Y5477" s="6">
        <f>1/COUNTIF(Таблица1[Order ID],Таблица1[[#This Row],[Order ID]])</f>
        <v>0.33333333333333331</v>
      </c>
      <c r="Z5477" s="9">
        <f>1/COUNTIFS(Таблица1[Customer Name],Таблица1[[#This Row],[Customer Name]],Таблица1[Order-Year-Month],Таблица1[[#This Row],[Order-Year-Month]])</f>
        <v>0.33333333333333331</v>
      </c>
    </row>
    <row r="5478" spans="1:26" x14ac:dyDescent="0.2">
      <c r="A5478" s="6">
        <v>6660</v>
      </c>
      <c r="B5478" s="7">
        <v>47398</v>
      </c>
      <c r="C5478" s="8">
        <f>DATE(2012,12,31)-563</f>
        <v>40711</v>
      </c>
      <c r="D5478" s="8" t="str">
        <f t="shared" si="102"/>
        <v>2011-06 (июнь 2011)</v>
      </c>
      <c r="E5478" s="9" t="s">
        <v>63</v>
      </c>
      <c r="F5478" s="7">
        <v>6</v>
      </c>
      <c r="G5478" s="7">
        <v>1307.1840000000002</v>
      </c>
      <c r="H5478" s="7">
        <v>0.03</v>
      </c>
      <c r="I5478" s="9" t="s">
        <v>31</v>
      </c>
      <c r="J5478" s="10">
        <v>-184.06</v>
      </c>
      <c r="K5478" s="11">
        <v>262.11</v>
      </c>
      <c r="L5478" s="11">
        <v>62.74</v>
      </c>
      <c r="M5478" s="9" t="s">
        <v>1904</v>
      </c>
      <c r="N5478" s="6" t="s">
        <v>1905</v>
      </c>
      <c r="O5478" s="6" t="s">
        <v>673</v>
      </c>
      <c r="P5478" s="9" t="s">
        <v>41</v>
      </c>
      <c r="Q5478" s="9" t="s">
        <v>49</v>
      </c>
      <c r="R5478" s="9" t="s">
        <v>83</v>
      </c>
      <c r="S5478" s="7" t="s">
        <v>191</v>
      </c>
      <c r="T5478" s="9" t="s">
        <v>82</v>
      </c>
      <c r="U5478" s="7">
        <v>0.75</v>
      </c>
      <c r="V5478" s="12">
        <f>C5478+2</f>
        <v>40713</v>
      </c>
      <c r="W5478">
        <f>IF(D5478=' Pivot Tables'!$A$4,1,0)</f>
        <v>0</v>
      </c>
      <c r="X5478">
        <f>IF(AND(LEFT(D5478,4)+1=LEFT(' Pivot Tables'!$A$4,4)+0,RIGHT(LEFT(D5478,7),2)=RIGHT(LEFT(' Pivot Tables'!$A$4,7),2)),1,0)</f>
        <v>0</v>
      </c>
      <c r="Y5478" s="6">
        <f>1/COUNTIF(Таблица1[Order ID],Таблица1[[#This Row],[Order ID]])</f>
        <v>1</v>
      </c>
      <c r="Z5478" s="9">
        <f>1/COUNTIFS(Таблица1[Customer Name],Таблица1[[#This Row],[Customer Name]],Таблица1[Order-Year-Month],Таблица1[[#This Row],[Order-Year-Month]])</f>
        <v>1</v>
      </c>
    </row>
    <row r="5479" spans="1:26" x14ac:dyDescent="0.2">
      <c r="A5479" s="6">
        <v>6685</v>
      </c>
      <c r="B5479" s="7">
        <v>47554</v>
      </c>
      <c r="C5479" s="8">
        <f>DATE(2012,12,31)-1024</f>
        <v>40250</v>
      </c>
      <c r="D5479" s="8" t="str">
        <f t="shared" si="102"/>
        <v>2010-03 (март 2010)</v>
      </c>
      <c r="E5479" s="9" t="s">
        <v>21</v>
      </c>
      <c r="F5479" s="7">
        <v>9</v>
      </c>
      <c r="G5479" s="7">
        <v>436.3</v>
      </c>
      <c r="H5479" s="7">
        <v>0.08</v>
      </c>
      <c r="I5479" s="9" t="s">
        <v>31</v>
      </c>
      <c r="J5479" s="10">
        <v>-50.31</v>
      </c>
      <c r="K5479" s="11">
        <v>50.98</v>
      </c>
      <c r="L5479" s="11">
        <v>14.19</v>
      </c>
      <c r="M5479" s="9" t="s">
        <v>1908</v>
      </c>
      <c r="N5479" s="6" t="s">
        <v>1905</v>
      </c>
      <c r="O5479" s="6" t="s">
        <v>673</v>
      </c>
      <c r="P5479" s="9" t="s">
        <v>41</v>
      </c>
      <c r="Q5479" s="9" t="s">
        <v>49</v>
      </c>
      <c r="R5479" s="9" t="s">
        <v>112</v>
      </c>
      <c r="S5479" s="7" t="s">
        <v>431</v>
      </c>
      <c r="T5479" s="9" t="s">
        <v>36</v>
      </c>
      <c r="U5479" s="7">
        <v>0.56000000000000005</v>
      </c>
      <c r="V5479" s="12">
        <f>C5479+0</f>
        <v>40250</v>
      </c>
      <c r="W5479">
        <f>IF(D5479=' Pivot Tables'!$A$4,1,0)</f>
        <v>0</v>
      </c>
      <c r="X5479">
        <f>IF(AND(LEFT(D5479,4)+1=LEFT(' Pivot Tables'!$A$4,4)+0,RIGHT(LEFT(D5479,7),2)=RIGHT(LEFT(' Pivot Tables'!$A$4,7),2)),1,0)</f>
        <v>0</v>
      </c>
      <c r="Y5479" s="6">
        <f>1/COUNTIF(Таблица1[Order ID],Таблица1[[#This Row],[Order ID]])</f>
        <v>0.5</v>
      </c>
      <c r="Z5479" s="9">
        <f>1/COUNTIFS(Таблица1[Customer Name],Таблица1[[#This Row],[Customer Name]],Таблица1[Order-Year-Month],Таблица1[[#This Row],[Order-Year-Month]])</f>
        <v>0.5</v>
      </c>
    </row>
    <row r="5480" spans="1:26" x14ac:dyDescent="0.2">
      <c r="A5480" s="6">
        <v>6686</v>
      </c>
      <c r="B5480" s="7">
        <v>47554</v>
      </c>
      <c r="C5480" s="8">
        <f>DATE(2012,12,31)-1024</f>
        <v>40250</v>
      </c>
      <c r="D5480" s="8" t="str">
        <f t="shared" si="102"/>
        <v>2010-03 (март 2010)</v>
      </c>
      <c r="E5480" s="9" t="s">
        <v>21</v>
      </c>
      <c r="F5480" s="7">
        <v>47</v>
      </c>
      <c r="G5480" s="7">
        <v>364.23</v>
      </c>
      <c r="H5480" s="7">
        <v>0.01</v>
      </c>
      <c r="I5480" s="9" t="s">
        <v>22</v>
      </c>
      <c r="J5480" s="10">
        <v>41.58</v>
      </c>
      <c r="K5480" s="11">
        <v>7.59</v>
      </c>
      <c r="L5480" s="11">
        <v>4</v>
      </c>
      <c r="M5480" s="9" t="s">
        <v>1908</v>
      </c>
      <c r="N5480" s="6" t="s">
        <v>1905</v>
      </c>
      <c r="O5480" s="6" t="s">
        <v>673</v>
      </c>
      <c r="P5480" s="9" t="s">
        <v>41</v>
      </c>
      <c r="Q5480" s="9" t="s">
        <v>49</v>
      </c>
      <c r="R5480" s="9" t="s">
        <v>50</v>
      </c>
      <c r="S5480" s="7" t="s">
        <v>504</v>
      </c>
      <c r="T5480" s="9" t="s">
        <v>68</v>
      </c>
      <c r="U5480" s="7">
        <v>0.42</v>
      </c>
      <c r="V5480" s="12">
        <f>C5480+7</f>
        <v>40257</v>
      </c>
      <c r="W5480">
        <f>IF(D5480=' Pivot Tables'!$A$4,1,0)</f>
        <v>0</v>
      </c>
      <c r="X5480">
        <f>IF(AND(LEFT(D5480,4)+1=LEFT(' Pivot Tables'!$A$4,4)+0,RIGHT(LEFT(D5480,7),2)=RIGHT(LEFT(' Pivot Tables'!$A$4,7),2)),1,0)</f>
        <v>0</v>
      </c>
      <c r="Y5480" s="6">
        <f>1/COUNTIF(Таблица1[Order ID],Таблица1[[#This Row],[Order ID]])</f>
        <v>0.5</v>
      </c>
      <c r="Z5480" s="9">
        <f>1/COUNTIFS(Таблица1[Customer Name],Таблица1[[#This Row],[Customer Name]],Таблица1[Order-Year-Month],Таблица1[[#This Row],[Order-Year-Month]])</f>
        <v>0.5</v>
      </c>
    </row>
    <row r="5481" spans="1:26" x14ac:dyDescent="0.2">
      <c r="A5481" s="6">
        <v>6757</v>
      </c>
      <c r="B5481" s="7">
        <v>48135</v>
      </c>
      <c r="C5481" s="8">
        <f>DATE(2012,12,31)-1352</f>
        <v>39922</v>
      </c>
      <c r="D5481" s="8" t="str">
        <f t="shared" si="102"/>
        <v>2009-04 (апрель 2009)</v>
      </c>
      <c r="E5481" s="9" t="s">
        <v>30</v>
      </c>
      <c r="F5481" s="7">
        <v>40</v>
      </c>
      <c r="G5481" s="7">
        <v>750.14</v>
      </c>
      <c r="H5481" s="7">
        <v>0.02</v>
      </c>
      <c r="I5481" s="9" t="s">
        <v>22</v>
      </c>
      <c r="J5481" s="10">
        <v>93.68</v>
      </c>
      <c r="K5481" s="11">
        <v>17.670000000000002</v>
      </c>
      <c r="L5481" s="11">
        <v>8.99</v>
      </c>
      <c r="M5481" s="9" t="s">
        <v>1396</v>
      </c>
      <c r="N5481" s="6" t="s">
        <v>1905</v>
      </c>
      <c r="O5481" s="6" t="s">
        <v>673</v>
      </c>
      <c r="P5481" s="9" t="s">
        <v>60</v>
      </c>
      <c r="Q5481" s="9" t="s">
        <v>49</v>
      </c>
      <c r="R5481" s="9" t="s">
        <v>50</v>
      </c>
      <c r="S5481" s="7" t="s">
        <v>763</v>
      </c>
      <c r="T5481" s="9" t="s">
        <v>52</v>
      </c>
      <c r="U5481" s="7">
        <v>0.47</v>
      </c>
      <c r="V5481" s="12">
        <f>C5481+0</f>
        <v>39922</v>
      </c>
      <c r="W5481">
        <f>IF(D5481=' Pivot Tables'!$A$4,1,0)</f>
        <v>0</v>
      </c>
      <c r="X5481">
        <f>IF(AND(LEFT(D5481,4)+1=LEFT(' Pivot Tables'!$A$4,4)+0,RIGHT(LEFT(D5481,7),2)=RIGHT(LEFT(' Pivot Tables'!$A$4,7),2)),1,0)</f>
        <v>0</v>
      </c>
      <c r="Y5481" s="6">
        <f>1/COUNTIF(Таблица1[Order ID],Таблица1[[#This Row],[Order ID]])</f>
        <v>0.5</v>
      </c>
      <c r="Z5481" s="9">
        <f>1/COUNTIFS(Таблица1[Customer Name],Таблица1[[#This Row],[Customer Name]],Таблица1[Order-Year-Month],Таблица1[[#This Row],[Order-Year-Month]])</f>
        <v>0.5</v>
      </c>
    </row>
    <row r="5482" spans="1:26" x14ac:dyDescent="0.2">
      <c r="A5482" s="6">
        <v>6917</v>
      </c>
      <c r="B5482" s="7">
        <v>49346</v>
      </c>
      <c r="C5482" s="8">
        <f>DATE(2012,12,31)-606</f>
        <v>40668</v>
      </c>
      <c r="D5482" s="8" t="str">
        <f t="shared" si="102"/>
        <v>2011-05 (май 2011)</v>
      </c>
      <c r="E5482" s="9" t="s">
        <v>45</v>
      </c>
      <c r="F5482" s="7">
        <v>8</v>
      </c>
      <c r="G5482" s="7">
        <v>94.35</v>
      </c>
      <c r="H5482" s="7">
        <v>0.1</v>
      </c>
      <c r="I5482" s="9" t="s">
        <v>22</v>
      </c>
      <c r="J5482" s="10">
        <v>42.22</v>
      </c>
      <c r="K5482" s="11">
        <v>12.22</v>
      </c>
      <c r="L5482" s="11">
        <v>2.85</v>
      </c>
      <c r="M5482" s="9" t="s">
        <v>1913</v>
      </c>
      <c r="N5482" s="6" t="s">
        <v>1905</v>
      </c>
      <c r="O5482" s="6" t="s">
        <v>673</v>
      </c>
      <c r="P5482" s="9" t="s">
        <v>41</v>
      </c>
      <c r="Q5482" s="9" t="s">
        <v>49</v>
      </c>
      <c r="R5482" s="9" t="s">
        <v>50</v>
      </c>
      <c r="S5482" s="7" t="s">
        <v>245</v>
      </c>
      <c r="T5482" s="9" t="s">
        <v>52</v>
      </c>
      <c r="U5482" s="7">
        <v>0.55000000000000004</v>
      </c>
      <c r="V5482" s="12">
        <f>C5482+3</f>
        <v>40671</v>
      </c>
      <c r="W5482">
        <f>IF(D5482=' Pivot Tables'!$A$4,1,0)</f>
        <v>0</v>
      </c>
      <c r="X5482">
        <f>IF(AND(LEFT(D5482,4)+1=LEFT(' Pivot Tables'!$A$4,4)+0,RIGHT(LEFT(D5482,7),2)=RIGHT(LEFT(' Pivot Tables'!$A$4,7),2)),1,0)</f>
        <v>0</v>
      </c>
      <c r="Y5482" s="6">
        <f>1/COUNTIF(Таблица1[Order ID],Таблица1[[#This Row],[Order ID]])</f>
        <v>0.5</v>
      </c>
      <c r="Z5482" s="9">
        <f>1/COUNTIFS(Таблица1[Customer Name],Таблица1[[#This Row],[Customer Name]],Таблица1[Order-Year-Month],Таблица1[[#This Row],[Order-Year-Month]])</f>
        <v>0.5</v>
      </c>
    </row>
    <row r="5483" spans="1:26" x14ac:dyDescent="0.2">
      <c r="A5483" s="6">
        <v>6918</v>
      </c>
      <c r="B5483" s="7">
        <v>49346</v>
      </c>
      <c r="C5483" s="8">
        <f>DATE(2012,12,31)-606</f>
        <v>40668</v>
      </c>
      <c r="D5483" s="8" t="str">
        <f t="shared" si="102"/>
        <v>2011-05 (май 2011)</v>
      </c>
      <c r="E5483" s="9" t="s">
        <v>45</v>
      </c>
      <c r="F5483" s="7">
        <v>50</v>
      </c>
      <c r="G5483" s="7">
        <v>276.75</v>
      </c>
      <c r="H5483" s="7">
        <v>0.04</v>
      </c>
      <c r="I5483" s="9" t="s">
        <v>22</v>
      </c>
      <c r="J5483" s="10">
        <v>-117.91</v>
      </c>
      <c r="K5483" s="11">
        <v>5.28</v>
      </c>
      <c r="L5483" s="11">
        <v>5.57</v>
      </c>
      <c r="M5483" s="9" t="s">
        <v>1913</v>
      </c>
      <c r="N5483" s="6" t="s">
        <v>1905</v>
      </c>
      <c r="O5483" s="6" t="s">
        <v>673</v>
      </c>
      <c r="P5483" s="9" t="s">
        <v>41</v>
      </c>
      <c r="Q5483" s="9" t="s">
        <v>26</v>
      </c>
      <c r="R5483" s="9" t="s">
        <v>61</v>
      </c>
      <c r="S5483" s="7" t="s">
        <v>1650</v>
      </c>
      <c r="T5483" s="9" t="s">
        <v>39</v>
      </c>
      <c r="U5483" s="7">
        <v>0.4</v>
      </c>
      <c r="V5483" s="12">
        <f>C5483+1</f>
        <v>40669</v>
      </c>
      <c r="W5483">
        <f>IF(D5483=' Pivot Tables'!$A$4,1,0)</f>
        <v>0</v>
      </c>
      <c r="X5483">
        <f>IF(AND(LEFT(D5483,4)+1=LEFT(' Pivot Tables'!$A$4,4)+0,RIGHT(LEFT(D5483,7),2)=RIGHT(LEFT(' Pivot Tables'!$A$4,7),2)),1,0)</f>
        <v>0</v>
      </c>
      <c r="Y5483" s="6">
        <f>1/COUNTIF(Таблица1[Order ID],Таблица1[[#This Row],[Order ID]])</f>
        <v>0.5</v>
      </c>
      <c r="Z5483" s="9">
        <f>1/COUNTIFS(Таблица1[Customer Name],Таблица1[[#This Row],[Customer Name]],Таблица1[Order-Year-Month],Таблица1[[#This Row],[Order-Year-Month]])</f>
        <v>0.5</v>
      </c>
    </row>
    <row r="5484" spans="1:26" x14ac:dyDescent="0.2">
      <c r="A5484" s="6">
        <v>6954</v>
      </c>
      <c r="B5484" s="7">
        <v>49735</v>
      </c>
      <c r="C5484" s="8">
        <f>DATE(2012,12,31)-1195</f>
        <v>40079</v>
      </c>
      <c r="D5484" s="8" t="str">
        <f t="shared" si="102"/>
        <v>2009-09 (сентябрь 2009)</v>
      </c>
      <c r="E5484" s="9" t="s">
        <v>45</v>
      </c>
      <c r="F5484" s="7">
        <v>32</v>
      </c>
      <c r="G5484" s="7">
        <v>1929.19</v>
      </c>
      <c r="H5484" s="7">
        <v>0.04</v>
      </c>
      <c r="I5484" s="9" t="s">
        <v>22</v>
      </c>
      <c r="J5484" s="10">
        <v>570.66999999999996</v>
      </c>
      <c r="K5484" s="11">
        <v>60.97</v>
      </c>
      <c r="L5484" s="11">
        <v>4.5</v>
      </c>
      <c r="M5484" s="9" t="s">
        <v>1907</v>
      </c>
      <c r="N5484" s="6" t="s">
        <v>1905</v>
      </c>
      <c r="O5484" s="6" t="s">
        <v>673</v>
      </c>
      <c r="P5484" s="9" t="s">
        <v>41</v>
      </c>
      <c r="Q5484" s="9" t="s">
        <v>26</v>
      </c>
      <c r="R5484" s="9" t="s">
        <v>34</v>
      </c>
      <c r="S5484" s="7" t="s">
        <v>1574</v>
      </c>
      <c r="T5484" s="9" t="s">
        <v>39</v>
      </c>
      <c r="U5484" s="7">
        <v>0.56000000000000005</v>
      </c>
      <c r="V5484" s="12">
        <f>C5484+1</f>
        <v>40080</v>
      </c>
      <c r="W5484">
        <f>IF(D5484=' Pivot Tables'!$A$4,1,0)</f>
        <v>0</v>
      </c>
      <c r="X5484">
        <f>IF(AND(LEFT(D5484,4)+1=LEFT(' Pivot Tables'!$A$4,4)+0,RIGHT(LEFT(D5484,7),2)=RIGHT(LEFT(' Pivot Tables'!$A$4,7),2)),1,0)</f>
        <v>0</v>
      </c>
      <c r="Y5484" s="6">
        <f>1/COUNTIF(Таблица1[Order ID],Таблица1[[#This Row],[Order ID]])</f>
        <v>1</v>
      </c>
      <c r="Z5484" s="9">
        <f>1/COUNTIFS(Таблица1[Customer Name],Таблица1[[#This Row],[Customer Name]],Таблица1[Order-Year-Month],Таблица1[[#This Row],[Order-Year-Month]])</f>
        <v>1</v>
      </c>
    </row>
    <row r="5485" spans="1:26" x14ac:dyDescent="0.2">
      <c r="A5485" s="6">
        <v>7020</v>
      </c>
      <c r="B5485" s="7">
        <v>50087</v>
      </c>
      <c r="C5485" s="8">
        <f>DATE(2012,12,31)-961</f>
        <v>40313</v>
      </c>
      <c r="D5485" s="8" t="str">
        <f t="shared" si="102"/>
        <v>2010-05 (май 2010)</v>
      </c>
      <c r="E5485" s="9" t="s">
        <v>45</v>
      </c>
      <c r="F5485" s="7">
        <v>17</v>
      </c>
      <c r="G5485" s="7">
        <v>58.86</v>
      </c>
      <c r="H5485" s="7">
        <v>0.03</v>
      </c>
      <c r="I5485" s="9" t="s">
        <v>22</v>
      </c>
      <c r="J5485" s="10">
        <v>6.96</v>
      </c>
      <c r="K5485" s="11">
        <v>3.29</v>
      </c>
      <c r="L5485" s="11">
        <v>1.35</v>
      </c>
      <c r="M5485" s="9" t="s">
        <v>1852</v>
      </c>
      <c r="N5485" s="6" t="s">
        <v>1905</v>
      </c>
      <c r="O5485" s="6" t="s">
        <v>673</v>
      </c>
      <c r="P5485" s="9" t="s">
        <v>41</v>
      </c>
      <c r="Q5485" s="9" t="s">
        <v>26</v>
      </c>
      <c r="R5485" s="9" t="s">
        <v>66</v>
      </c>
      <c r="S5485" s="7" t="s">
        <v>464</v>
      </c>
      <c r="T5485" s="9" t="s">
        <v>68</v>
      </c>
      <c r="U5485" s="7">
        <v>0.4</v>
      </c>
      <c r="V5485" s="12">
        <f>C5485+2</f>
        <v>40315</v>
      </c>
      <c r="W5485">
        <f>IF(D5485=' Pivot Tables'!$A$4,1,0)</f>
        <v>0</v>
      </c>
      <c r="X5485">
        <f>IF(AND(LEFT(D5485,4)+1=LEFT(' Pivot Tables'!$A$4,4)+0,RIGHT(LEFT(D5485,7),2)=RIGHT(LEFT(' Pivot Tables'!$A$4,7),2)),1,0)</f>
        <v>0</v>
      </c>
      <c r="Y5485" s="6">
        <f>1/COUNTIF(Таблица1[Order ID],Таблица1[[#This Row],[Order ID]])</f>
        <v>1</v>
      </c>
      <c r="Z5485" s="9">
        <f>1/COUNTIFS(Таблица1[Customer Name],Таблица1[[#This Row],[Customer Name]],Таблица1[Order-Year-Month],Таблица1[[#This Row],[Order-Year-Month]])</f>
        <v>1</v>
      </c>
    </row>
    <row r="5486" spans="1:26" x14ac:dyDescent="0.2">
      <c r="A5486" s="6">
        <v>7071</v>
      </c>
      <c r="B5486" s="7">
        <v>50466</v>
      </c>
      <c r="C5486" s="8">
        <f>DATE(2012,12,31)-186</f>
        <v>41088</v>
      </c>
      <c r="D5486" s="8" t="str">
        <f t="shared" si="102"/>
        <v>2012-06 (июнь 2012)</v>
      </c>
      <c r="E5486" s="9" t="s">
        <v>78</v>
      </c>
      <c r="F5486" s="7">
        <v>32</v>
      </c>
      <c r="G5486" s="7">
        <v>6892.07</v>
      </c>
      <c r="H5486" s="7">
        <v>0.05</v>
      </c>
      <c r="I5486" s="9" t="s">
        <v>56</v>
      </c>
      <c r="J5486" s="10">
        <v>2754.1615000000002</v>
      </c>
      <c r="K5486" s="11">
        <v>223.98</v>
      </c>
      <c r="L5486" s="11">
        <v>15.01</v>
      </c>
      <c r="M5486" s="9" t="s">
        <v>1915</v>
      </c>
      <c r="N5486" s="6" t="s">
        <v>1905</v>
      </c>
      <c r="O5486" s="6" t="s">
        <v>673</v>
      </c>
      <c r="P5486" s="9" t="s">
        <v>60</v>
      </c>
      <c r="Q5486" s="9" t="s">
        <v>26</v>
      </c>
      <c r="R5486" s="9" t="s">
        <v>37</v>
      </c>
      <c r="S5486" s="7" t="s">
        <v>348</v>
      </c>
      <c r="T5486" s="9" t="s">
        <v>39</v>
      </c>
      <c r="U5486" s="7">
        <v>0.38</v>
      </c>
      <c r="V5486" s="12">
        <f>C5486+2</f>
        <v>41090</v>
      </c>
      <c r="W5486">
        <f>IF(D5486=' Pivot Tables'!$A$4,1,0)</f>
        <v>0</v>
      </c>
      <c r="X5486">
        <f>IF(AND(LEFT(D5486,4)+1=LEFT(' Pivot Tables'!$A$4,4)+0,RIGHT(LEFT(D5486,7),2)=RIGHT(LEFT(' Pivot Tables'!$A$4,7),2)),1,0)</f>
        <v>0</v>
      </c>
      <c r="Y5486" s="6">
        <f>1/COUNTIF(Таблица1[Order ID],Таблица1[[#This Row],[Order ID]])</f>
        <v>1</v>
      </c>
      <c r="Z5486" s="9">
        <f>1/COUNTIFS(Таблица1[Customer Name],Таблица1[[#This Row],[Customer Name]],Таблица1[Order-Year-Month],Таблица1[[#This Row],[Order-Year-Month]])</f>
        <v>1</v>
      </c>
    </row>
    <row r="5487" spans="1:26" x14ac:dyDescent="0.2">
      <c r="A5487" s="6">
        <v>7078</v>
      </c>
      <c r="B5487" s="7">
        <v>50501</v>
      </c>
      <c r="C5487" s="8">
        <f>DATE(2012,12,31)-1312</f>
        <v>39962</v>
      </c>
      <c r="D5487" s="8" t="str">
        <f t="shared" si="102"/>
        <v>2009-05 (май 2009)</v>
      </c>
      <c r="E5487" s="9" t="s">
        <v>30</v>
      </c>
      <c r="F5487" s="7">
        <v>31</v>
      </c>
      <c r="G5487" s="7">
        <v>801.45</v>
      </c>
      <c r="H5487" s="7">
        <v>0.01</v>
      </c>
      <c r="I5487" s="9" t="s">
        <v>22</v>
      </c>
      <c r="J5487" s="10">
        <v>227.59</v>
      </c>
      <c r="K5487" s="11">
        <v>23.99</v>
      </c>
      <c r="L5487" s="11">
        <v>6.3</v>
      </c>
      <c r="M5487" s="9" t="s">
        <v>1908</v>
      </c>
      <c r="N5487" s="6" t="s">
        <v>1905</v>
      </c>
      <c r="O5487" s="6" t="s">
        <v>673</v>
      </c>
      <c r="P5487" s="9" t="s">
        <v>41</v>
      </c>
      <c r="Q5487" s="9" t="s">
        <v>42</v>
      </c>
      <c r="R5487" s="9" t="s">
        <v>210</v>
      </c>
      <c r="S5487" s="7" t="s">
        <v>595</v>
      </c>
      <c r="T5487" s="9" t="s">
        <v>48</v>
      </c>
      <c r="U5487" s="7">
        <v>0.38</v>
      </c>
      <c r="V5487" s="12">
        <f>C5487+2</f>
        <v>39964</v>
      </c>
      <c r="W5487">
        <f>IF(D5487=' Pivot Tables'!$A$4,1,0)</f>
        <v>0</v>
      </c>
      <c r="X5487">
        <f>IF(AND(LEFT(D5487,4)+1=LEFT(' Pivot Tables'!$A$4,4)+0,RIGHT(LEFT(D5487,7),2)=RIGHT(LEFT(' Pivot Tables'!$A$4,7),2)),1,0)</f>
        <v>0</v>
      </c>
      <c r="Y5487" s="6">
        <f>1/COUNTIF(Таблица1[Order ID],Таблица1[[#This Row],[Order ID]])</f>
        <v>1</v>
      </c>
      <c r="Z5487" s="9">
        <f>1/COUNTIFS(Таблица1[Customer Name],Таблица1[[#This Row],[Customer Name]],Таблица1[Order-Year-Month],Таблица1[[#This Row],[Order-Year-Month]])</f>
        <v>1</v>
      </c>
    </row>
    <row r="5488" spans="1:26" x14ac:dyDescent="0.2">
      <c r="A5488" s="6">
        <v>7123</v>
      </c>
      <c r="B5488" s="7">
        <v>50818</v>
      </c>
      <c r="C5488" s="8">
        <f>DATE(2012,12,31)-86</f>
        <v>41188</v>
      </c>
      <c r="D5488" s="8" t="str">
        <f t="shared" si="102"/>
        <v>2012-10 (октябрь 2012)</v>
      </c>
      <c r="E5488" s="9" t="s">
        <v>63</v>
      </c>
      <c r="F5488" s="7">
        <v>34</v>
      </c>
      <c r="G5488" s="7">
        <v>5518.5315000000001</v>
      </c>
      <c r="H5488" s="7">
        <v>0.1</v>
      </c>
      <c r="I5488" s="9" t="s">
        <v>22</v>
      </c>
      <c r="J5488" s="10">
        <v>1111.2570000000001</v>
      </c>
      <c r="K5488" s="11">
        <v>205.99</v>
      </c>
      <c r="L5488" s="11">
        <v>8.99</v>
      </c>
      <c r="M5488" s="9" t="s">
        <v>1923</v>
      </c>
      <c r="N5488" s="6" t="s">
        <v>1905</v>
      </c>
      <c r="O5488" s="6" t="s">
        <v>673</v>
      </c>
      <c r="P5488" s="9" t="s">
        <v>25</v>
      </c>
      <c r="Q5488" s="9" t="s">
        <v>42</v>
      </c>
      <c r="R5488" s="9" t="s">
        <v>43</v>
      </c>
      <c r="S5488" s="7" t="s">
        <v>1444</v>
      </c>
      <c r="T5488" s="9" t="s">
        <v>39</v>
      </c>
      <c r="U5488" s="7">
        <v>0.56000000000000005</v>
      </c>
      <c r="V5488" s="12">
        <f>C5488+2</f>
        <v>41190</v>
      </c>
      <c r="W5488">
        <f>IF(D5488=' Pivot Tables'!$A$4,1,0)</f>
        <v>0</v>
      </c>
      <c r="X5488">
        <f>IF(AND(LEFT(D5488,4)+1=LEFT(' Pivot Tables'!$A$4,4)+0,RIGHT(LEFT(D5488,7),2)=RIGHT(LEFT(' Pivot Tables'!$A$4,7),2)),1,0)</f>
        <v>0</v>
      </c>
      <c r="Y5488" s="6">
        <f>1/COUNTIF(Таблица1[Order ID],Таблица1[[#This Row],[Order ID]])</f>
        <v>1</v>
      </c>
      <c r="Z5488" s="9">
        <f>1/COUNTIFS(Таблица1[Customer Name],Таблица1[[#This Row],[Customer Name]],Таблица1[Order-Year-Month],Таблица1[[#This Row],[Order-Year-Month]])</f>
        <v>1</v>
      </c>
    </row>
    <row r="5489" spans="1:26" x14ac:dyDescent="0.2">
      <c r="A5489" s="6">
        <v>7130</v>
      </c>
      <c r="B5489" s="7">
        <v>50852</v>
      </c>
      <c r="C5489" s="8">
        <f>DATE(2012,12,31)-568</f>
        <v>40706</v>
      </c>
      <c r="D5489" s="8" t="str">
        <f t="shared" si="102"/>
        <v>2011-06 (июнь 2011)</v>
      </c>
      <c r="E5489" s="9" t="s">
        <v>63</v>
      </c>
      <c r="F5489" s="7">
        <v>24</v>
      </c>
      <c r="G5489" s="7">
        <v>188.47</v>
      </c>
      <c r="H5489" s="7">
        <v>0.03</v>
      </c>
      <c r="I5489" s="9" t="s">
        <v>22</v>
      </c>
      <c r="J5489" s="10">
        <v>-191.23349999999999</v>
      </c>
      <c r="K5489" s="11">
        <v>7.38</v>
      </c>
      <c r="L5489" s="11">
        <v>11.51</v>
      </c>
      <c r="M5489" s="9" t="s">
        <v>1922</v>
      </c>
      <c r="N5489" s="6" t="s">
        <v>1905</v>
      </c>
      <c r="O5489" s="6" t="s">
        <v>673</v>
      </c>
      <c r="P5489" s="9" t="s">
        <v>25</v>
      </c>
      <c r="Q5489" s="9" t="s">
        <v>26</v>
      </c>
      <c r="R5489" s="9" t="s">
        <v>37</v>
      </c>
      <c r="S5489" s="7" t="s">
        <v>1685</v>
      </c>
      <c r="T5489" s="9" t="s">
        <v>39</v>
      </c>
      <c r="U5489" s="7">
        <v>0.36</v>
      </c>
      <c r="V5489" s="12">
        <f>C5489+1</f>
        <v>40707</v>
      </c>
      <c r="W5489">
        <f>IF(D5489=' Pivot Tables'!$A$4,1,0)</f>
        <v>0</v>
      </c>
      <c r="X5489">
        <f>IF(AND(LEFT(D5489,4)+1=LEFT(' Pivot Tables'!$A$4,4)+0,RIGHT(LEFT(D5489,7),2)=RIGHT(LEFT(' Pivot Tables'!$A$4,7),2)),1,0)</f>
        <v>0</v>
      </c>
      <c r="Y5489" s="6">
        <f>1/COUNTIF(Таблица1[Order ID],Таблица1[[#This Row],[Order ID]])</f>
        <v>1</v>
      </c>
      <c r="Z5489" s="9">
        <f>1/COUNTIFS(Таблица1[Customer Name],Таблица1[[#This Row],[Customer Name]],Таблица1[Order-Year-Month],Таблица1[[#This Row],[Order-Year-Month]])</f>
        <v>1</v>
      </c>
    </row>
    <row r="5490" spans="1:26" x14ac:dyDescent="0.2">
      <c r="A5490" s="6">
        <v>7300</v>
      </c>
      <c r="B5490" s="7">
        <v>52068</v>
      </c>
      <c r="C5490" s="8">
        <f>DATE(2012,12,31)-353</f>
        <v>40921</v>
      </c>
      <c r="D5490" s="8" t="str">
        <f t="shared" si="102"/>
        <v>2012-01 (январь 2012)</v>
      </c>
      <c r="E5490" s="9" t="s">
        <v>45</v>
      </c>
      <c r="F5490" s="7">
        <v>31</v>
      </c>
      <c r="G5490" s="7">
        <v>163.27000000000001</v>
      </c>
      <c r="H5490" s="7">
        <v>0.04</v>
      </c>
      <c r="I5490" s="9" t="s">
        <v>22</v>
      </c>
      <c r="J5490" s="10">
        <v>-0.62100000000000111</v>
      </c>
      <c r="K5490" s="11">
        <v>5.28</v>
      </c>
      <c r="L5490" s="11">
        <v>2.99</v>
      </c>
      <c r="M5490" s="9" t="s">
        <v>1904</v>
      </c>
      <c r="N5490" s="6" t="s">
        <v>1905</v>
      </c>
      <c r="O5490" s="6" t="s">
        <v>673</v>
      </c>
      <c r="P5490" s="9" t="s">
        <v>41</v>
      </c>
      <c r="Q5490" s="9" t="s">
        <v>26</v>
      </c>
      <c r="R5490" s="9" t="s">
        <v>37</v>
      </c>
      <c r="S5490" s="7" t="s">
        <v>73</v>
      </c>
      <c r="T5490" s="9" t="s">
        <v>39</v>
      </c>
      <c r="U5490" s="7">
        <v>0.37</v>
      </c>
      <c r="V5490" s="12">
        <f>C5490+0</f>
        <v>40921</v>
      </c>
      <c r="W5490">
        <f>IF(D5490=' Pivot Tables'!$A$4,1,0)</f>
        <v>0</v>
      </c>
      <c r="X5490">
        <f>IF(AND(LEFT(D5490,4)+1=LEFT(' Pivot Tables'!$A$4,4)+0,RIGHT(LEFT(D5490,7),2)=RIGHT(LEFT(' Pivot Tables'!$A$4,7),2)),1,0)</f>
        <v>0</v>
      </c>
      <c r="Y5490" s="6">
        <f>1/COUNTIF(Таблица1[Order ID],Таблица1[[#This Row],[Order ID]])</f>
        <v>0.25</v>
      </c>
      <c r="Z5490" s="9">
        <f>1/COUNTIFS(Таблица1[Customer Name],Таблица1[[#This Row],[Customer Name]],Таблица1[Order-Year-Month],Таблица1[[#This Row],[Order-Year-Month]])</f>
        <v>0.25</v>
      </c>
    </row>
    <row r="5491" spans="1:26" x14ac:dyDescent="0.2">
      <c r="A5491" s="6">
        <v>7301</v>
      </c>
      <c r="B5491" s="7">
        <v>52068</v>
      </c>
      <c r="C5491" s="8">
        <f>DATE(2012,12,31)-353</f>
        <v>40921</v>
      </c>
      <c r="D5491" s="8" t="str">
        <f t="shared" si="102"/>
        <v>2012-01 (январь 2012)</v>
      </c>
      <c r="E5491" s="9" t="s">
        <v>45</v>
      </c>
      <c r="F5491" s="7">
        <v>47</v>
      </c>
      <c r="G5491" s="7">
        <v>24559.91</v>
      </c>
      <c r="H5491" s="7">
        <v>0.01</v>
      </c>
      <c r="I5491" s="9" t="s">
        <v>31</v>
      </c>
      <c r="J5491" s="10">
        <v>7358.66</v>
      </c>
      <c r="K5491" s="11">
        <v>517.48</v>
      </c>
      <c r="L5491" s="11">
        <v>16.63</v>
      </c>
      <c r="M5491" s="9" t="s">
        <v>1904</v>
      </c>
      <c r="N5491" s="6" t="s">
        <v>1905</v>
      </c>
      <c r="O5491" s="6" t="s">
        <v>673</v>
      </c>
      <c r="P5491" s="9" t="s">
        <v>41</v>
      </c>
      <c r="Q5491" s="9" t="s">
        <v>42</v>
      </c>
      <c r="R5491" s="9" t="s">
        <v>210</v>
      </c>
      <c r="S5491" s="7" t="s">
        <v>851</v>
      </c>
      <c r="T5491" s="9" t="s">
        <v>82</v>
      </c>
      <c r="U5491" s="7">
        <v>0.59</v>
      </c>
      <c r="V5491" s="12">
        <f>C5491+0</f>
        <v>40921</v>
      </c>
      <c r="W5491">
        <f>IF(D5491=' Pivot Tables'!$A$4,1,0)</f>
        <v>0</v>
      </c>
      <c r="X5491">
        <f>IF(AND(LEFT(D5491,4)+1=LEFT(' Pivot Tables'!$A$4,4)+0,RIGHT(LEFT(D5491,7),2)=RIGHT(LEFT(' Pivot Tables'!$A$4,7),2)),1,0)</f>
        <v>0</v>
      </c>
      <c r="Y5491" s="6">
        <f>1/COUNTIF(Таблица1[Order ID],Таблица1[[#This Row],[Order ID]])</f>
        <v>0.25</v>
      </c>
      <c r="Z5491" s="9">
        <f>1/COUNTIFS(Таблица1[Customer Name],Таблица1[[#This Row],[Customer Name]],Таблица1[Order-Year-Month],Таблица1[[#This Row],[Order-Year-Month]])</f>
        <v>0.25</v>
      </c>
    </row>
    <row r="5492" spans="1:26" x14ac:dyDescent="0.2">
      <c r="A5492" s="6">
        <v>7302</v>
      </c>
      <c r="B5492" s="7">
        <v>52068</v>
      </c>
      <c r="C5492" s="8">
        <f>DATE(2012,12,31)-353</f>
        <v>40921</v>
      </c>
      <c r="D5492" s="8" t="str">
        <f t="shared" si="102"/>
        <v>2012-01 (январь 2012)</v>
      </c>
      <c r="E5492" s="9" t="s">
        <v>45</v>
      </c>
      <c r="F5492" s="7">
        <v>21</v>
      </c>
      <c r="G5492" s="7">
        <v>1217.5</v>
      </c>
      <c r="H5492" s="7">
        <v>7.0000000000000007E-2</v>
      </c>
      <c r="I5492" s="9" t="s">
        <v>31</v>
      </c>
      <c r="J5492" s="10">
        <v>-412.36</v>
      </c>
      <c r="K5492" s="11">
        <v>58.14</v>
      </c>
      <c r="L5492" s="11">
        <v>36.61</v>
      </c>
      <c r="M5492" s="9" t="s">
        <v>1904</v>
      </c>
      <c r="N5492" s="6" t="s">
        <v>1905</v>
      </c>
      <c r="O5492" s="6" t="s">
        <v>673</v>
      </c>
      <c r="P5492" s="9" t="s">
        <v>41</v>
      </c>
      <c r="Q5492" s="9" t="s">
        <v>49</v>
      </c>
      <c r="R5492" s="9" t="s">
        <v>80</v>
      </c>
      <c r="S5492" s="7" t="s">
        <v>233</v>
      </c>
      <c r="T5492" s="9" t="s">
        <v>82</v>
      </c>
      <c r="U5492" s="7">
        <v>0.61</v>
      </c>
      <c r="V5492" s="12">
        <f>C5492+1</f>
        <v>40922</v>
      </c>
      <c r="W5492">
        <f>IF(D5492=' Pivot Tables'!$A$4,1,0)</f>
        <v>0</v>
      </c>
      <c r="X5492">
        <f>IF(AND(LEFT(D5492,4)+1=LEFT(' Pivot Tables'!$A$4,4)+0,RIGHT(LEFT(D5492,7),2)=RIGHT(LEFT(' Pivot Tables'!$A$4,7),2)),1,0)</f>
        <v>0</v>
      </c>
      <c r="Y5492" s="6">
        <f>1/COUNTIF(Таблица1[Order ID],Таблица1[[#This Row],[Order ID]])</f>
        <v>0.25</v>
      </c>
      <c r="Z5492" s="9">
        <f>1/COUNTIFS(Таблица1[Customer Name],Таблица1[[#This Row],[Customer Name]],Таблица1[Order-Year-Month],Таблица1[[#This Row],[Order-Year-Month]])</f>
        <v>0.25</v>
      </c>
    </row>
    <row r="5493" spans="1:26" x14ac:dyDescent="0.2">
      <c r="A5493" s="6">
        <v>7303</v>
      </c>
      <c r="B5493" s="7">
        <v>52068</v>
      </c>
      <c r="C5493" s="8">
        <f>DATE(2012,12,31)-353</f>
        <v>40921</v>
      </c>
      <c r="D5493" s="8" t="str">
        <f t="shared" si="102"/>
        <v>2012-01 (январь 2012)</v>
      </c>
      <c r="E5493" s="9" t="s">
        <v>45</v>
      </c>
      <c r="F5493" s="7">
        <v>17</v>
      </c>
      <c r="G5493" s="7">
        <v>441.53</v>
      </c>
      <c r="H5493" s="7">
        <v>7.0000000000000007E-2</v>
      </c>
      <c r="I5493" s="9" t="s">
        <v>31</v>
      </c>
      <c r="J5493" s="10">
        <v>-119.55</v>
      </c>
      <c r="K5493" s="11">
        <v>25.98</v>
      </c>
      <c r="L5493" s="11">
        <v>14.36</v>
      </c>
      <c r="M5493" s="9" t="s">
        <v>1904</v>
      </c>
      <c r="N5493" s="6" t="s">
        <v>1905</v>
      </c>
      <c r="O5493" s="6" t="s">
        <v>673</v>
      </c>
      <c r="P5493" s="9" t="s">
        <v>41</v>
      </c>
      <c r="Q5493" s="9" t="s">
        <v>49</v>
      </c>
      <c r="R5493" s="9" t="s">
        <v>112</v>
      </c>
      <c r="S5493" s="7" t="s">
        <v>280</v>
      </c>
      <c r="T5493" s="9" t="s">
        <v>36</v>
      </c>
      <c r="U5493" s="7">
        <v>0.6</v>
      </c>
      <c r="V5493" s="12">
        <f>C5493+2</f>
        <v>40923</v>
      </c>
      <c r="W5493">
        <f>IF(D5493=' Pivot Tables'!$A$4,1,0)</f>
        <v>0</v>
      </c>
      <c r="X5493">
        <f>IF(AND(LEFT(D5493,4)+1=LEFT(' Pivot Tables'!$A$4,4)+0,RIGHT(LEFT(D5493,7),2)=RIGHT(LEFT(' Pivot Tables'!$A$4,7),2)),1,0)</f>
        <v>0</v>
      </c>
      <c r="Y5493" s="6">
        <f>1/COUNTIF(Таблица1[Order ID],Таблица1[[#This Row],[Order ID]])</f>
        <v>0.25</v>
      </c>
      <c r="Z5493" s="9">
        <f>1/COUNTIFS(Таблица1[Customer Name],Таблица1[[#This Row],[Customer Name]],Таблица1[Order-Year-Month],Таблица1[[#This Row],[Order-Year-Month]])</f>
        <v>0.25</v>
      </c>
    </row>
    <row r="5494" spans="1:26" x14ac:dyDescent="0.2">
      <c r="A5494" s="6">
        <v>7383</v>
      </c>
      <c r="B5494" s="7">
        <v>52641</v>
      </c>
      <c r="C5494" s="8">
        <f>DATE(2012,12,31)-815</f>
        <v>40459</v>
      </c>
      <c r="D5494" s="8" t="str">
        <f t="shared" si="102"/>
        <v>2010-10 (октябрь 2010)</v>
      </c>
      <c r="E5494" s="9" t="s">
        <v>45</v>
      </c>
      <c r="F5494" s="7">
        <v>6</v>
      </c>
      <c r="G5494" s="7">
        <v>834.21549999999991</v>
      </c>
      <c r="H5494" s="7">
        <v>0.02</v>
      </c>
      <c r="I5494" s="9" t="s">
        <v>22</v>
      </c>
      <c r="J5494" s="10">
        <v>-449.416</v>
      </c>
      <c r="K5494" s="11">
        <v>155.99</v>
      </c>
      <c r="L5494" s="11">
        <v>8.08</v>
      </c>
      <c r="M5494" s="9" t="s">
        <v>1096</v>
      </c>
      <c r="N5494" s="6" t="s">
        <v>1905</v>
      </c>
      <c r="O5494" s="6" t="s">
        <v>673</v>
      </c>
      <c r="P5494" s="9" t="s">
        <v>33</v>
      </c>
      <c r="Q5494" s="9" t="s">
        <v>42</v>
      </c>
      <c r="R5494" s="9" t="s">
        <v>43</v>
      </c>
      <c r="S5494" s="7" t="s">
        <v>333</v>
      </c>
      <c r="T5494" s="9" t="s">
        <v>39</v>
      </c>
      <c r="U5494" s="7">
        <v>0.6</v>
      </c>
      <c r="V5494" s="12">
        <f>C5494+2</f>
        <v>40461</v>
      </c>
      <c r="W5494">
        <f>IF(D5494=' Pivot Tables'!$A$4,1,0)</f>
        <v>0</v>
      </c>
      <c r="X5494">
        <f>IF(AND(LEFT(D5494,4)+1=LEFT(' Pivot Tables'!$A$4,4)+0,RIGHT(LEFT(D5494,7),2)=RIGHT(LEFT(' Pivot Tables'!$A$4,7),2)),1,0)</f>
        <v>0</v>
      </c>
      <c r="Y5494" s="6">
        <f>1/COUNTIF(Таблица1[Order ID],Таблица1[[#This Row],[Order ID]])</f>
        <v>1</v>
      </c>
      <c r="Z5494" s="9">
        <f>1/COUNTIFS(Таблица1[Customer Name],Таблица1[[#This Row],[Customer Name]],Таблица1[Order-Year-Month],Таблица1[[#This Row],[Order-Year-Month]])</f>
        <v>1</v>
      </c>
    </row>
    <row r="5495" spans="1:26" x14ac:dyDescent="0.2">
      <c r="A5495" s="6">
        <v>7474</v>
      </c>
      <c r="B5495" s="7">
        <v>53378</v>
      </c>
      <c r="C5495" s="8">
        <f>DATE(2012,12,31)-171</f>
        <v>41103</v>
      </c>
      <c r="D5495" s="8" t="str">
        <f t="shared" si="102"/>
        <v>2012-07 (июль 2012)</v>
      </c>
      <c r="E5495" s="9" t="s">
        <v>63</v>
      </c>
      <c r="F5495" s="7">
        <v>50</v>
      </c>
      <c r="G5495" s="7">
        <v>13934.53</v>
      </c>
      <c r="H5495" s="7">
        <v>0.1</v>
      </c>
      <c r="I5495" s="9" t="s">
        <v>56</v>
      </c>
      <c r="J5495" s="10">
        <v>4352.83</v>
      </c>
      <c r="K5495" s="11">
        <v>299.99</v>
      </c>
      <c r="L5495" s="11">
        <v>11.64</v>
      </c>
      <c r="M5495" s="9" t="s">
        <v>1907</v>
      </c>
      <c r="N5495" s="6" t="s">
        <v>1905</v>
      </c>
      <c r="O5495" s="6" t="s">
        <v>673</v>
      </c>
      <c r="P5495" s="9" t="s">
        <v>41</v>
      </c>
      <c r="Q5495" s="9" t="s">
        <v>42</v>
      </c>
      <c r="R5495" s="9" t="s">
        <v>99</v>
      </c>
      <c r="S5495" s="7" t="s">
        <v>1425</v>
      </c>
      <c r="T5495" s="9" t="s">
        <v>29</v>
      </c>
      <c r="U5495" s="7">
        <v>0.5</v>
      </c>
      <c r="V5495" s="12">
        <f>C5495+1</f>
        <v>41104</v>
      </c>
      <c r="W5495">
        <f>IF(D5495=' Pivot Tables'!$A$4,1,0)</f>
        <v>0</v>
      </c>
      <c r="X5495">
        <f>IF(AND(LEFT(D5495,4)+1=LEFT(' Pivot Tables'!$A$4,4)+0,RIGHT(LEFT(D5495,7),2)=RIGHT(LEFT(' Pivot Tables'!$A$4,7),2)),1,0)</f>
        <v>0</v>
      </c>
      <c r="Y5495" s="6">
        <f>1/COUNTIF(Таблица1[Order ID],Таблица1[[#This Row],[Order ID]])</f>
        <v>0.33333333333333331</v>
      </c>
      <c r="Z5495" s="9">
        <f>1/COUNTIFS(Таблица1[Customer Name],Таблица1[[#This Row],[Customer Name]],Таблица1[Order-Year-Month],Таблица1[[#This Row],[Order-Year-Month]])</f>
        <v>0.33333333333333331</v>
      </c>
    </row>
    <row r="5496" spans="1:26" x14ac:dyDescent="0.2">
      <c r="A5496" s="6">
        <v>7475</v>
      </c>
      <c r="B5496" s="7">
        <v>53378</v>
      </c>
      <c r="C5496" s="8">
        <f>DATE(2012,12,31)-171</f>
        <v>41103</v>
      </c>
      <c r="D5496" s="8" t="str">
        <f t="shared" si="102"/>
        <v>2012-07 (июль 2012)</v>
      </c>
      <c r="E5496" s="9" t="s">
        <v>63</v>
      </c>
      <c r="F5496" s="7">
        <v>38</v>
      </c>
      <c r="G5496" s="7">
        <v>1233.76</v>
      </c>
      <c r="H5496" s="7">
        <v>0.06</v>
      </c>
      <c r="I5496" s="9" t="s">
        <v>22</v>
      </c>
      <c r="J5496" s="10">
        <v>-168.08</v>
      </c>
      <c r="K5496" s="11">
        <v>33.979999999999997</v>
      </c>
      <c r="L5496" s="11">
        <v>19.989999999999998</v>
      </c>
      <c r="M5496" s="9" t="s">
        <v>1907</v>
      </c>
      <c r="N5496" s="6" t="s">
        <v>1905</v>
      </c>
      <c r="O5496" s="6" t="s">
        <v>673</v>
      </c>
      <c r="P5496" s="9" t="s">
        <v>41</v>
      </c>
      <c r="Q5496" s="9" t="s">
        <v>49</v>
      </c>
      <c r="R5496" s="9" t="s">
        <v>50</v>
      </c>
      <c r="S5496" s="7" t="s">
        <v>192</v>
      </c>
      <c r="T5496" s="9" t="s">
        <v>39</v>
      </c>
      <c r="U5496" s="7">
        <v>0.55000000000000004</v>
      </c>
      <c r="V5496" s="12">
        <f>C5496+1</f>
        <v>41104</v>
      </c>
      <c r="W5496">
        <f>IF(D5496=' Pivot Tables'!$A$4,1,0)</f>
        <v>0</v>
      </c>
      <c r="X5496">
        <f>IF(AND(LEFT(D5496,4)+1=LEFT(' Pivot Tables'!$A$4,4)+0,RIGHT(LEFT(D5496,7),2)=RIGHT(LEFT(' Pivot Tables'!$A$4,7),2)),1,0)</f>
        <v>0</v>
      </c>
      <c r="Y5496" s="6">
        <f>1/COUNTIF(Таблица1[Order ID],Таблица1[[#This Row],[Order ID]])</f>
        <v>0.33333333333333331</v>
      </c>
      <c r="Z5496" s="9">
        <f>1/COUNTIFS(Таблица1[Customer Name],Таблица1[[#This Row],[Customer Name]],Таблица1[Order-Year-Month],Таблица1[[#This Row],[Order-Year-Month]])</f>
        <v>0.33333333333333331</v>
      </c>
    </row>
    <row r="5497" spans="1:26" x14ac:dyDescent="0.2">
      <c r="A5497" s="6">
        <v>7476</v>
      </c>
      <c r="B5497" s="7">
        <v>53378</v>
      </c>
      <c r="C5497" s="8">
        <f>DATE(2012,12,31)-171</f>
        <v>41103</v>
      </c>
      <c r="D5497" s="8" t="str">
        <f t="shared" si="102"/>
        <v>2012-07 (июль 2012)</v>
      </c>
      <c r="E5497" s="9" t="s">
        <v>63</v>
      </c>
      <c r="F5497" s="7">
        <v>49</v>
      </c>
      <c r="G5497" s="7">
        <v>2377.2800000000002</v>
      </c>
      <c r="H5497" s="7">
        <v>0.04</v>
      </c>
      <c r="I5497" s="9" t="s">
        <v>22</v>
      </c>
      <c r="J5497" s="10">
        <v>-5.7859999999999996</v>
      </c>
      <c r="K5497" s="11">
        <v>55.99</v>
      </c>
      <c r="L5497" s="11">
        <v>5</v>
      </c>
      <c r="M5497" s="9" t="s">
        <v>1907</v>
      </c>
      <c r="N5497" s="6" t="s">
        <v>1905</v>
      </c>
      <c r="O5497" s="6" t="s">
        <v>673</v>
      </c>
      <c r="P5497" s="9" t="s">
        <v>41</v>
      </c>
      <c r="Q5497" s="9" t="s">
        <v>42</v>
      </c>
      <c r="R5497" s="9" t="s">
        <v>43</v>
      </c>
      <c r="S5497" s="7" t="s">
        <v>248</v>
      </c>
      <c r="T5497" s="9" t="s">
        <v>52</v>
      </c>
      <c r="U5497" s="7">
        <v>0.83</v>
      </c>
      <c r="V5497" s="12">
        <f>C5497+1</f>
        <v>41104</v>
      </c>
      <c r="W5497">
        <f>IF(D5497=' Pivot Tables'!$A$4,1,0)</f>
        <v>0</v>
      </c>
      <c r="X5497">
        <f>IF(AND(LEFT(D5497,4)+1=LEFT(' Pivot Tables'!$A$4,4)+0,RIGHT(LEFT(D5497,7),2)=RIGHT(LEFT(' Pivot Tables'!$A$4,7),2)),1,0)</f>
        <v>0</v>
      </c>
      <c r="Y5497" s="6">
        <f>1/COUNTIF(Таблица1[Order ID],Таблица1[[#This Row],[Order ID]])</f>
        <v>0.33333333333333331</v>
      </c>
      <c r="Z5497" s="9">
        <f>1/COUNTIFS(Таблица1[Customer Name],Таблица1[[#This Row],[Customer Name]],Таблица1[Order-Year-Month],Таблица1[[#This Row],[Order-Year-Month]])</f>
        <v>0.33333333333333331</v>
      </c>
    </row>
    <row r="5498" spans="1:26" x14ac:dyDescent="0.2">
      <c r="A5498" s="6">
        <v>7689</v>
      </c>
      <c r="B5498" s="7">
        <v>55136</v>
      </c>
      <c r="C5498" s="8">
        <f>DATE(2012,12,31)-814</f>
        <v>40460</v>
      </c>
      <c r="D5498" s="8" t="str">
        <f t="shared" si="102"/>
        <v>2010-10 (октябрь 2010)</v>
      </c>
      <c r="E5498" s="9" t="s">
        <v>78</v>
      </c>
      <c r="F5498" s="7">
        <v>29</v>
      </c>
      <c r="G5498" s="7">
        <v>134.68</v>
      </c>
      <c r="H5498" s="7">
        <v>0.1</v>
      </c>
      <c r="I5498" s="9" t="s">
        <v>22</v>
      </c>
      <c r="J5498" s="10">
        <v>-66.459999999999994</v>
      </c>
      <c r="K5498" s="11">
        <v>4.9800000000000004</v>
      </c>
      <c r="L5498" s="11">
        <v>4.7</v>
      </c>
      <c r="M5498" s="9" t="s">
        <v>1912</v>
      </c>
      <c r="N5498" s="6" t="s">
        <v>1905</v>
      </c>
      <c r="O5498" s="6" t="s">
        <v>673</v>
      </c>
      <c r="P5498" s="9" t="s">
        <v>60</v>
      </c>
      <c r="Q5498" s="9" t="s">
        <v>26</v>
      </c>
      <c r="R5498" s="9" t="s">
        <v>61</v>
      </c>
      <c r="S5498" s="7" t="s">
        <v>937</v>
      </c>
      <c r="T5498" s="9" t="s">
        <v>39</v>
      </c>
      <c r="U5498" s="7">
        <v>0.38</v>
      </c>
      <c r="V5498" s="12">
        <f>C5498+2</f>
        <v>40462</v>
      </c>
      <c r="W5498">
        <f>IF(D5498=' Pivot Tables'!$A$4,1,0)</f>
        <v>0</v>
      </c>
      <c r="X5498">
        <f>IF(AND(LEFT(D5498,4)+1=LEFT(' Pivot Tables'!$A$4,4)+0,RIGHT(LEFT(D5498,7),2)=RIGHT(LEFT(' Pivot Tables'!$A$4,7),2)),1,0)</f>
        <v>0</v>
      </c>
      <c r="Y5498" s="6">
        <f>1/COUNTIF(Таблица1[Order ID],Таблица1[[#This Row],[Order ID]])</f>
        <v>1</v>
      </c>
      <c r="Z5498" s="9">
        <f>1/COUNTIFS(Таблица1[Customer Name],Таблица1[[#This Row],[Customer Name]],Таблица1[Order-Year-Month],Таблица1[[#This Row],[Order-Year-Month]])</f>
        <v>1</v>
      </c>
    </row>
    <row r="5499" spans="1:26" x14ac:dyDescent="0.2">
      <c r="A5499" s="6">
        <v>7780</v>
      </c>
      <c r="B5499" s="7">
        <v>55655</v>
      </c>
      <c r="C5499" s="8">
        <f>DATE(2012,12,31)-98</f>
        <v>41176</v>
      </c>
      <c r="D5499" s="8" t="str">
        <f t="shared" si="102"/>
        <v>2012-09 (сентябрь 2012)</v>
      </c>
      <c r="E5499" s="9" t="s">
        <v>21</v>
      </c>
      <c r="F5499" s="7">
        <v>33</v>
      </c>
      <c r="G5499" s="7">
        <v>3671.1414999999997</v>
      </c>
      <c r="H5499" s="7">
        <v>0.02</v>
      </c>
      <c r="I5499" s="9" t="s">
        <v>22</v>
      </c>
      <c r="J5499" s="10">
        <v>995.08500000000004</v>
      </c>
      <c r="K5499" s="11">
        <v>125.99</v>
      </c>
      <c r="L5499" s="11">
        <v>8.99</v>
      </c>
      <c r="M5499" s="9" t="s">
        <v>1915</v>
      </c>
      <c r="N5499" s="6" t="s">
        <v>1905</v>
      </c>
      <c r="O5499" s="6" t="s">
        <v>673</v>
      </c>
      <c r="P5499" s="9" t="s">
        <v>60</v>
      </c>
      <c r="Q5499" s="9" t="s">
        <v>42</v>
      </c>
      <c r="R5499" s="9" t="s">
        <v>43</v>
      </c>
      <c r="S5499" s="7" t="s">
        <v>849</v>
      </c>
      <c r="T5499" s="9" t="s">
        <v>39</v>
      </c>
      <c r="U5499" s="7">
        <v>0.55000000000000004</v>
      </c>
      <c r="V5499" s="12">
        <f>C5499+2</f>
        <v>41178</v>
      </c>
      <c r="W5499">
        <f>IF(D5499=' Pivot Tables'!$A$4,1,0)</f>
        <v>0</v>
      </c>
      <c r="X5499">
        <f>IF(AND(LEFT(D5499,4)+1=LEFT(' Pivot Tables'!$A$4,4)+0,RIGHT(LEFT(D5499,7),2)=RIGHT(LEFT(' Pivot Tables'!$A$4,7),2)),1,0)</f>
        <v>0</v>
      </c>
      <c r="Y5499" s="6">
        <f>1/COUNTIF(Таблица1[Order ID],Таблица1[[#This Row],[Order ID]])</f>
        <v>1</v>
      </c>
      <c r="Z5499" s="9">
        <f>1/COUNTIFS(Таблица1[Customer Name],Таблица1[[#This Row],[Customer Name]],Таблица1[Order-Year-Month],Таблица1[[#This Row],[Order-Year-Month]])</f>
        <v>1</v>
      </c>
    </row>
    <row r="5500" spans="1:26" x14ac:dyDescent="0.2">
      <c r="A5500" s="6">
        <v>7794</v>
      </c>
      <c r="B5500" s="7">
        <v>55750</v>
      </c>
      <c r="C5500" s="8">
        <f>DATE(2012,12,31)-857</f>
        <v>40417</v>
      </c>
      <c r="D5500" s="8" t="str">
        <f t="shared" si="102"/>
        <v>2010-08 (август 2010)</v>
      </c>
      <c r="E5500" s="9" t="s">
        <v>78</v>
      </c>
      <c r="F5500" s="7">
        <v>31</v>
      </c>
      <c r="G5500" s="7">
        <v>5445.9920000000002</v>
      </c>
      <c r="H5500" s="7">
        <v>0.08</v>
      </c>
      <c r="I5500" s="9" t="s">
        <v>31</v>
      </c>
      <c r="J5500" s="10">
        <v>-791.66</v>
      </c>
      <c r="K5500" s="11">
        <v>218.75</v>
      </c>
      <c r="L5500" s="11">
        <v>69.64</v>
      </c>
      <c r="M5500" s="9" t="s">
        <v>1922</v>
      </c>
      <c r="N5500" s="6" t="s">
        <v>1905</v>
      </c>
      <c r="O5500" s="6" t="s">
        <v>673</v>
      </c>
      <c r="P5500" s="9" t="s">
        <v>25</v>
      </c>
      <c r="Q5500" s="9" t="s">
        <v>49</v>
      </c>
      <c r="R5500" s="9" t="s">
        <v>83</v>
      </c>
      <c r="S5500" s="7" t="s">
        <v>254</v>
      </c>
      <c r="T5500" s="9" t="s">
        <v>82</v>
      </c>
      <c r="U5500" s="7">
        <v>0.77</v>
      </c>
      <c r="V5500" s="12">
        <f>C5500+2</f>
        <v>40419</v>
      </c>
      <c r="W5500">
        <f>IF(D5500=' Pivot Tables'!$A$4,1,0)</f>
        <v>0</v>
      </c>
      <c r="X5500">
        <f>IF(AND(LEFT(D5500,4)+1=LEFT(' Pivot Tables'!$A$4,4)+0,RIGHT(LEFT(D5500,7),2)=RIGHT(LEFT(' Pivot Tables'!$A$4,7),2)),1,0)</f>
        <v>0</v>
      </c>
      <c r="Y5500" s="6">
        <f>1/COUNTIF(Таблица1[Order ID],Таблица1[[#This Row],[Order ID]])</f>
        <v>1</v>
      </c>
      <c r="Z5500" s="9">
        <f>1/COUNTIFS(Таблица1[Customer Name],Таблица1[[#This Row],[Customer Name]],Таблица1[Order-Year-Month],Таблица1[[#This Row],[Order-Year-Month]])</f>
        <v>1</v>
      </c>
    </row>
    <row r="5501" spans="1:26" x14ac:dyDescent="0.2">
      <c r="A5501" s="6">
        <v>7841</v>
      </c>
      <c r="B5501" s="7">
        <v>56064</v>
      </c>
      <c r="C5501" s="8">
        <f>DATE(2012,12,31)-1159</f>
        <v>40115</v>
      </c>
      <c r="D5501" s="8" t="str">
        <f t="shared" si="102"/>
        <v>2009-10 (октябрь 2009)</v>
      </c>
      <c r="E5501" s="9" t="s">
        <v>63</v>
      </c>
      <c r="F5501" s="7">
        <v>41</v>
      </c>
      <c r="G5501" s="7">
        <v>1169.26</v>
      </c>
      <c r="H5501" s="7">
        <v>0.02</v>
      </c>
      <c r="I5501" s="9" t="s">
        <v>22</v>
      </c>
      <c r="J5501" s="10">
        <v>515.61850000000004</v>
      </c>
      <c r="K5501" s="11">
        <v>28.53</v>
      </c>
      <c r="L5501" s="11">
        <v>1.49</v>
      </c>
      <c r="M5501" s="9" t="s">
        <v>1912</v>
      </c>
      <c r="N5501" s="6" t="s">
        <v>1905</v>
      </c>
      <c r="O5501" s="6" t="s">
        <v>673</v>
      </c>
      <c r="P5501" s="9" t="s">
        <v>60</v>
      </c>
      <c r="Q5501" s="9" t="s">
        <v>26</v>
      </c>
      <c r="R5501" s="9" t="s">
        <v>37</v>
      </c>
      <c r="S5501" s="7" t="s">
        <v>380</v>
      </c>
      <c r="T5501" s="9" t="s">
        <v>39</v>
      </c>
      <c r="U5501" s="7">
        <v>0.38</v>
      </c>
      <c r="V5501" s="12">
        <f>C5501+0</f>
        <v>40115</v>
      </c>
      <c r="W5501">
        <f>IF(D5501=' Pivot Tables'!$A$4,1,0)</f>
        <v>0</v>
      </c>
      <c r="X5501">
        <f>IF(AND(LEFT(D5501,4)+1=LEFT(' Pivot Tables'!$A$4,4)+0,RIGHT(LEFT(D5501,7),2)=RIGHT(LEFT(' Pivot Tables'!$A$4,7),2)),1,0)</f>
        <v>0</v>
      </c>
      <c r="Y5501" s="6">
        <f>1/COUNTIF(Таблица1[Order ID],Таблица1[[#This Row],[Order ID]])</f>
        <v>1</v>
      </c>
      <c r="Z5501" s="9">
        <f>1/COUNTIFS(Таблица1[Customer Name],Таблица1[[#This Row],[Customer Name]],Таблица1[Order-Year-Month],Таблица1[[#This Row],[Order-Year-Month]])</f>
        <v>0.2</v>
      </c>
    </row>
    <row r="5502" spans="1:26" x14ac:dyDescent="0.2">
      <c r="A5502" s="6">
        <v>7950</v>
      </c>
      <c r="B5502" s="7">
        <v>56804</v>
      </c>
      <c r="C5502" s="8">
        <f>DATE(2012,12,31)-645</f>
        <v>40629</v>
      </c>
      <c r="D5502" s="8" t="str">
        <f t="shared" si="102"/>
        <v>2011-03 (март 2011)</v>
      </c>
      <c r="E5502" s="9" t="s">
        <v>78</v>
      </c>
      <c r="F5502" s="7">
        <v>41</v>
      </c>
      <c r="G5502" s="7">
        <v>136.44999999999999</v>
      </c>
      <c r="H5502" s="7">
        <v>0.1</v>
      </c>
      <c r="I5502" s="9" t="s">
        <v>22</v>
      </c>
      <c r="J5502" s="10">
        <v>-202.078</v>
      </c>
      <c r="K5502" s="11">
        <v>3.36</v>
      </c>
      <c r="L5502" s="11">
        <v>6.27</v>
      </c>
      <c r="M5502" s="9" t="s">
        <v>1913</v>
      </c>
      <c r="N5502" s="6" t="s">
        <v>1905</v>
      </c>
      <c r="O5502" s="6" t="s">
        <v>673</v>
      </c>
      <c r="P5502" s="9" t="s">
        <v>60</v>
      </c>
      <c r="Q5502" s="9" t="s">
        <v>26</v>
      </c>
      <c r="R5502" s="9" t="s">
        <v>37</v>
      </c>
      <c r="S5502" s="7" t="s">
        <v>410</v>
      </c>
      <c r="T5502" s="9" t="s">
        <v>39</v>
      </c>
      <c r="U5502" s="7">
        <v>0.4</v>
      </c>
      <c r="V5502" s="12">
        <f>C5502+2</f>
        <v>40631</v>
      </c>
      <c r="W5502">
        <f>IF(D5502=' Pivot Tables'!$A$4,1,0)</f>
        <v>0</v>
      </c>
      <c r="X5502">
        <f>IF(AND(LEFT(D5502,4)+1=LEFT(' Pivot Tables'!$A$4,4)+0,RIGHT(LEFT(D5502,7),2)=RIGHT(LEFT(' Pivot Tables'!$A$4,7),2)),1,0)</f>
        <v>0</v>
      </c>
      <c r="Y5502" s="6">
        <f>1/COUNTIF(Таблица1[Order ID],Таблица1[[#This Row],[Order ID]])</f>
        <v>0.5</v>
      </c>
      <c r="Z5502" s="9">
        <f>1/COUNTIFS(Таблица1[Customer Name],Таблица1[[#This Row],[Customer Name]],Таблица1[Order-Year-Month],Таблица1[[#This Row],[Order-Year-Month]])</f>
        <v>0.5</v>
      </c>
    </row>
    <row r="5503" spans="1:26" x14ac:dyDescent="0.2">
      <c r="A5503" s="6">
        <v>7951</v>
      </c>
      <c r="B5503" s="7">
        <v>56804</v>
      </c>
      <c r="C5503" s="8">
        <f>DATE(2012,12,31)-645</f>
        <v>40629</v>
      </c>
      <c r="D5503" s="8" t="str">
        <f t="shared" si="102"/>
        <v>2011-03 (март 2011)</v>
      </c>
      <c r="E5503" s="9" t="s">
        <v>78</v>
      </c>
      <c r="F5503" s="7">
        <v>24</v>
      </c>
      <c r="G5503" s="7">
        <v>121.81</v>
      </c>
      <c r="H5503" s="7">
        <v>0.05</v>
      </c>
      <c r="I5503" s="9" t="s">
        <v>22</v>
      </c>
      <c r="J5503" s="10">
        <v>-50.21</v>
      </c>
      <c r="K5503" s="11">
        <v>4.9800000000000004</v>
      </c>
      <c r="L5503" s="11">
        <v>4.8600000000000003</v>
      </c>
      <c r="M5503" s="9" t="s">
        <v>1913</v>
      </c>
      <c r="N5503" s="6" t="s">
        <v>1905</v>
      </c>
      <c r="O5503" s="6" t="s">
        <v>673</v>
      </c>
      <c r="P5503" s="9" t="s">
        <v>60</v>
      </c>
      <c r="Q5503" s="9" t="s">
        <v>26</v>
      </c>
      <c r="R5503" s="9" t="s">
        <v>61</v>
      </c>
      <c r="S5503" s="7" t="s">
        <v>307</v>
      </c>
      <c r="T5503" s="9" t="s">
        <v>39</v>
      </c>
      <c r="U5503" s="7">
        <v>0.38</v>
      </c>
      <c r="V5503" s="12">
        <f>C5503+1</f>
        <v>40630</v>
      </c>
      <c r="W5503">
        <f>IF(D5503=' Pivot Tables'!$A$4,1,0)</f>
        <v>0</v>
      </c>
      <c r="X5503">
        <f>IF(AND(LEFT(D5503,4)+1=LEFT(' Pivot Tables'!$A$4,4)+0,RIGHT(LEFT(D5503,7),2)=RIGHT(LEFT(' Pivot Tables'!$A$4,7),2)),1,0)</f>
        <v>0</v>
      </c>
      <c r="Y5503" s="6">
        <f>1/COUNTIF(Таблица1[Order ID],Таблица1[[#This Row],[Order ID]])</f>
        <v>0.5</v>
      </c>
      <c r="Z5503" s="9">
        <f>1/COUNTIFS(Таблица1[Customer Name],Таблица1[[#This Row],[Customer Name]],Таблица1[Order-Year-Month],Таблица1[[#This Row],[Order-Year-Month]])</f>
        <v>0.5</v>
      </c>
    </row>
    <row r="5504" spans="1:26" x14ac:dyDescent="0.2">
      <c r="A5504" s="6">
        <v>8000</v>
      </c>
      <c r="B5504" s="7">
        <v>57157</v>
      </c>
      <c r="C5504" s="8">
        <f>DATE(2012,12,31)-309</f>
        <v>40965</v>
      </c>
      <c r="D5504" s="8" t="str">
        <f t="shared" si="102"/>
        <v>2012-02 (февраль 2012)</v>
      </c>
      <c r="E5504" s="9" t="s">
        <v>78</v>
      </c>
      <c r="F5504" s="7">
        <v>18</v>
      </c>
      <c r="G5504" s="7">
        <v>203.57</v>
      </c>
      <c r="H5504" s="7">
        <v>0.01</v>
      </c>
      <c r="I5504" s="9" t="s">
        <v>22</v>
      </c>
      <c r="J5504" s="10">
        <v>-4.84</v>
      </c>
      <c r="K5504" s="11">
        <v>10.98</v>
      </c>
      <c r="L5504" s="11">
        <v>3.99</v>
      </c>
      <c r="M5504" s="9" t="s">
        <v>1020</v>
      </c>
      <c r="N5504" s="6" t="s">
        <v>1905</v>
      </c>
      <c r="O5504" s="6" t="s">
        <v>673</v>
      </c>
      <c r="P5504" s="9" t="s">
        <v>41</v>
      </c>
      <c r="Q5504" s="9" t="s">
        <v>26</v>
      </c>
      <c r="R5504" s="9" t="s">
        <v>34</v>
      </c>
      <c r="S5504" s="7" t="s">
        <v>1752</v>
      </c>
      <c r="T5504" s="9" t="s">
        <v>39</v>
      </c>
      <c r="U5504" s="7">
        <v>0.57999999999999996</v>
      </c>
      <c r="V5504" s="12">
        <f>C5504+3</f>
        <v>40968</v>
      </c>
      <c r="W5504">
        <f>IF(D5504=' Pivot Tables'!$A$4,1,0)</f>
        <v>0</v>
      </c>
      <c r="X5504">
        <f>IF(AND(LEFT(D5504,4)+1=LEFT(' Pivot Tables'!$A$4,4)+0,RIGHT(LEFT(D5504,7),2)=RIGHT(LEFT(' Pivot Tables'!$A$4,7),2)),1,0)</f>
        <v>0</v>
      </c>
      <c r="Y5504" s="6">
        <f>1/COUNTIF(Таблица1[Order ID],Таблица1[[#This Row],[Order ID]])</f>
        <v>1</v>
      </c>
      <c r="Z5504" s="9">
        <f>1/COUNTIFS(Таблица1[Customer Name],Таблица1[[#This Row],[Customer Name]],Таблица1[Order-Year-Month],Таблица1[[#This Row],[Order-Year-Month]])</f>
        <v>0.33333333333333331</v>
      </c>
    </row>
    <row r="5505" spans="1:26" x14ac:dyDescent="0.2">
      <c r="A5505" s="6">
        <v>8122</v>
      </c>
      <c r="B5505" s="7">
        <v>58053</v>
      </c>
      <c r="C5505" s="8">
        <f>DATE(2012,12,31)-1088</f>
        <v>40186</v>
      </c>
      <c r="D5505" s="8" t="str">
        <f t="shared" si="102"/>
        <v>2010-01 (январь 2010)</v>
      </c>
      <c r="E5505" s="9" t="s">
        <v>63</v>
      </c>
      <c r="F5505" s="7">
        <v>42</v>
      </c>
      <c r="G5505" s="7">
        <v>287.75</v>
      </c>
      <c r="H5505" s="7">
        <v>0.02</v>
      </c>
      <c r="I5505" s="9" t="s">
        <v>22</v>
      </c>
      <c r="J5505" s="10">
        <v>-136.02000000000001</v>
      </c>
      <c r="K5505" s="11">
        <v>6.68</v>
      </c>
      <c r="L5505" s="11">
        <v>7.3</v>
      </c>
      <c r="M5505" s="9" t="s">
        <v>1909</v>
      </c>
      <c r="N5505" s="6" t="s">
        <v>1905</v>
      </c>
      <c r="O5505" s="6" t="s">
        <v>673</v>
      </c>
      <c r="P5505" s="9" t="s">
        <v>60</v>
      </c>
      <c r="Q5505" s="9" t="s">
        <v>26</v>
      </c>
      <c r="R5505" s="9" t="s">
        <v>61</v>
      </c>
      <c r="S5505" s="7" t="s">
        <v>1317</v>
      </c>
      <c r="T5505" s="9" t="s">
        <v>39</v>
      </c>
      <c r="U5505" s="7">
        <v>0.37</v>
      </c>
      <c r="V5505" s="12">
        <f>C5505+2</f>
        <v>40188</v>
      </c>
      <c r="W5505">
        <f>IF(D5505=' Pivot Tables'!$A$4,1,0)</f>
        <v>1</v>
      </c>
      <c r="X5505">
        <f>IF(AND(LEFT(D5505,4)+1=LEFT(' Pivot Tables'!$A$4,4)+0,RIGHT(LEFT(D5505,7),2)=RIGHT(LEFT(' Pivot Tables'!$A$4,7),2)),1,0)</f>
        <v>0</v>
      </c>
      <c r="Y5505" s="6">
        <f>1/COUNTIF(Таблица1[Order ID],Таблица1[[#This Row],[Order ID]])</f>
        <v>1</v>
      </c>
      <c r="Z5505" s="9">
        <f>1/COUNTIFS(Таблица1[Customer Name],Таблица1[[#This Row],[Customer Name]],Таблица1[Order-Year-Month],Таблица1[[#This Row],[Order-Year-Month]])</f>
        <v>0.33333333333333331</v>
      </c>
    </row>
    <row r="5506" spans="1:26" x14ac:dyDescent="0.2">
      <c r="A5506" s="6">
        <v>8131</v>
      </c>
      <c r="B5506" s="7">
        <v>58116</v>
      </c>
      <c r="C5506" s="8">
        <f>DATE(2012,12,31)-1374</f>
        <v>39900</v>
      </c>
      <c r="D5506" s="8" t="str">
        <f t="shared" si="102"/>
        <v>2009-03 (март 2009)</v>
      </c>
      <c r="E5506" s="9" t="s">
        <v>78</v>
      </c>
      <c r="F5506" s="7">
        <v>6</v>
      </c>
      <c r="G5506" s="7">
        <v>171.77</v>
      </c>
      <c r="H5506" s="7">
        <v>0.01</v>
      </c>
      <c r="I5506" s="9" t="s">
        <v>31</v>
      </c>
      <c r="J5506" s="10">
        <v>-59.88</v>
      </c>
      <c r="K5506" s="11">
        <v>25.98</v>
      </c>
      <c r="L5506" s="11">
        <v>14.36</v>
      </c>
      <c r="M5506" s="9" t="s">
        <v>1922</v>
      </c>
      <c r="N5506" s="6" t="s">
        <v>1905</v>
      </c>
      <c r="O5506" s="6" t="s">
        <v>673</v>
      </c>
      <c r="P5506" s="9" t="s">
        <v>25</v>
      </c>
      <c r="Q5506" s="9" t="s">
        <v>49</v>
      </c>
      <c r="R5506" s="9" t="s">
        <v>112</v>
      </c>
      <c r="S5506" s="7" t="s">
        <v>280</v>
      </c>
      <c r="T5506" s="9" t="s">
        <v>36</v>
      </c>
      <c r="U5506" s="7">
        <v>0.6</v>
      </c>
      <c r="V5506" s="12">
        <f>C5506+1</f>
        <v>39901</v>
      </c>
      <c r="W5506">
        <f>IF(D5506=' Pivot Tables'!$A$4,1,0)</f>
        <v>0</v>
      </c>
      <c r="X5506">
        <f>IF(AND(LEFT(D5506,4)+1=LEFT(' Pivot Tables'!$A$4,4)+0,RIGHT(LEFT(D5506,7),2)=RIGHT(LEFT(' Pivot Tables'!$A$4,7),2)),1,0)</f>
        <v>0</v>
      </c>
      <c r="Y5506" s="6">
        <f>1/COUNTIF(Таблица1[Order ID],Таблица1[[#This Row],[Order ID]])</f>
        <v>1</v>
      </c>
      <c r="Z5506" s="9">
        <f>1/COUNTIFS(Таблица1[Customer Name],Таблица1[[#This Row],[Customer Name]],Таблица1[Order-Year-Month],Таблица1[[#This Row],[Order-Year-Month]])</f>
        <v>1</v>
      </c>
    </row>
    <row r="5507" spans="1:26" x14ac:dyDescent="0.2">
      <c r="A5507" s="6">
        <v>8140</v>
      </c>
      <c r="B5507" s="7">
        <v>58181</v>
      </c>
      <c r="C5507" s="8">
        <f>DATE(2012,12,31)-85</f>
        <v>41189</v>
      </c>
      <c r="D5507" s="8" t="str">
        <f t="shared" ref="D5507:D5570" si="103">TEXT(C5507,"гггг-ММ (ММММ гггг)")</f>
        <v>2012-10 (октябрь 2012)</v>
      </c>
      <c r="E5507" s="9" t="s">
        <v>45</v>
      </c>
      <c r="F5507" s="7">
        <v>5</v>
      </c>
      <c r="G5507" s="7">
        <v>36.43</v>
      </c>
      <c r="H5507" s="7">
        <v>0.04</v>
      </c>
      <c r="I5507" s="9" t="s">
        <v>22</v>
      </c>
      <c r="J5507" s="10">
        <v>-22.04</v>
      </c>
      <c r="K5507" s="11">
        <v>5.98</v>
      </c>
      <c r="L5507" s="11">
        <v>7.15</v>
      </c>
      <c r="M5507" s="9" t="s">
        <v>1912</v>
      </c>
      <c r="N5507" s="6" t="s">
        <v>1905</v>
      </c>
      <c r="O5507" s="6" t="s">
        <v>673</v>
      </c>
      <c r="P5507" s="9" t="s">
        <v>41</v>
      </c>
      <c r="Q5507" s="9" t="s">
        <v>26</v>
      </c>
      <c r="R5507" s="9" t="s">
        <v>61</v>
      </c>
      <c r="S5507" s="7" t="s">
        <v>1424</v>
      </c>
      <c r="T5507" s="9" t="s">
        <v>39</v>
      </c>
      <c r="U5507" s="7">
        <v>0.36</v>
      </c>
      <c r="V5507" s="12">
        <f>C5507+2</f>
        <v>41191</v>
      </c>
      <c r="W5507">
        <f>IF(D5507=' Pivot Tables'!$A$4,1,0)</f>
        <v>0</v>
      </c>
      <c r="X5507">
        <f>IF(AND(LEFT(D5507,4)+1=LEFT(' Pivot Tables'!$A$4,4)+0,RIGHT(LEFT(D5507,7),2)=RIGHT(LEFT(' Pivot Tables'!$A$4,7),2)),1,0)</f>
        <v>0</v>
      </c>
      <c r="Y5507" s="6">
        <f>1/COUNTIF(Таблица1[Order ID],Таблица1[[#This Row],[Order ID]])</f>
        <v>1</v>
      </c>
      <c r="Z5507" s="9">
        <f>1/COUNTIFS(Таблица1[Customer Name],Таблица1[[#This Row],[Customer Name]],Таблица1[Order-Year-Month],Таблица1[[#This Row],[Order-Year-Month]])</f>
        <v>1</v>
      </c>
    </row>
    <row r="5508" spans="1:26" x14ac:dyDescent="0.2">
      <c r="A5508" s="6">
        <v>8152</v>
      </c>
      <c r="B5508" s="7">
        <v>58308</v>
      </c>
      <c r="C5508" s="8">
        <f>DATE(2012,12,31)-955</f>
        <v>40319</v>
      </c>
      <c r="D5508" s="8" t="str">
        <f t="shared" si="103"/>
        <v>2010-05 (май 2010)</v>
      </c>
      <c r="E5508" s="9" t="s">
        <v>45</v>
      </c>
      <c r="F5508" s="7">
        <v>35</v>
      </c>
      <c r="G5508" s="7">
        <v>2173.2600000000002</v>
      </c>
      <c r="H5508" s="7">
        <v>0</v>
      </c>
      <c r="I5508" s="9" t="s">
        <v>31</v>
      </c>
      <c r="J5508" s="10">
        <v>-465.66</v>
      </c>
      <c r="K5508" s="11">
        <v>58.14</v>
      </c>
      <c r="L5508" s="11">
        <v>36.61</v>
      </c>
      <c r="M5508" s="9" t="s">
        <v>1912</v>
      </c>
      <c r="N5508" s="6" t="s">
        <v>1905</v>
      </c>
      <c r="O5508" s="6" t="s">
        <v>673</v>
      </c>
      <c r="P5508" s="9" t="s">
        <v>41</v>
      </c>
      <c r="Q5508" s="9" t="s">
        <v>49</v>
      </c>
      <c r="R5508" s="9" t="s">
        <v>80</v>
      </c>
      <c r="S5508" s="7" t="s">
        <v>233</v>
      </c>
      <c r="T5508" s="9" t="s">
        <v>82</v>
      </c>
      <c r="U5508" s="7">
        <v>0.61</v>
      </c>
      <c r="V5508" s="12">
        <f>C5508+0</f>
        <v>40319</v>
      </c>
      <c r="W5508">
        <f>IF(D5508=' Pivot Tables'!$A$4,1,0)</f>
        <v>0</v>
      </c>
      <c r="X5508">
        <f>IF(AND(LEFT(D5508,4)+1=LEFT(' Pivot Tables'!$A$4,4)+0,RIGHT(LEFT(D5508,7),2)=RIGHT(LEFT(' Pivot Tables'!$A$4,7),2)),1,0)</f>
        <v>0</v>
      </c>
      <c r="Y5508" s="6">
        <f>1/COUNTIF(Таблица1[Order ID],Таблица1[[#This Row],[Order ID]])</f>
        <v>0.33333333333333331</v>
      </c>
      <c r="Z5508" s="9">
        <f>1/COUNTIFS(Таблица1[Customer Name],Таблица1[[#This Row],[Customer Name]],Таблица1[Order-Year-Month],Таблица1[[#This Row],[Order-Year-Month]])</f>
        <v>0.33333333333333331</v>
      </c>
    </row>
    <row r="5509" spans="1:26" x14ac:dyDescent="0.2">
      <c r="A5509" s="6">
        <v>8153</v>
      </c>
      <c r="B5509" s="7">
        <v>58308</v>
      </c>
      <c r="C5509" s="8">
        <f>DATE(2012,12,31)-955</f>
        <v>40319</v>
      </c>
      <c r="D5509" s="8" t="str">
        <f t="shared" si="103"/>
        <v>2010-05 (май 2010)</v>
      </c>
      <c r="E5509" s="9" t="s">
        <v>45</v>
      </c>
      <c r="F5509" s="7">
        <v>20</v>
      </c>
      <c r="G5509" s="7">
        <v>623.29</v>
      </c>
      <c r="H5509" s="7">
        <v>0</v>
      </c>
      <c r="I5509" s="9" t="s">
        <v>22</v>
      </c>
      <c r="J5509" s="10">
        <v>57.44</v>
      </c>
      <c r="K5509" s="11">
        <v>29.99</v>
      </c>
      <c r="L5509" s="11">
        <v>5.5</v>
      </c>
      <c r="M5509" s="9" t="s">
        <v>1912</v>
      </c>
      <c r="N5509" s="6" t="s">
        <v>1905</v>
      </c>
      <c r="O5509" s="6" t="s">
        <v>673</v>
      </c>
      <c r="P5509" s="9" t="s">
        <v>41</v>
      </c>
      <c r="Q5509" s="9" t="s">
        <v>42</v>
      </c>
      <c r="R5509" s="9" t="s">
        <v>70</v>
      </c>
      <c r="S5509" s="7" t="s">
        <v>1177</v>
      </c>
      <c r="T5509" s="9" t="s">
        <v>39</v>
      </c>
      <c r="U5509" s="7">
        <v>0.51</v>
      </c>
      <c r="V5509" s="12">
        <f>C5509+1</f>
        <v>40320</v>
      </c>
      <c r="W5509">
        <f>IF(D5509=' Pivot Tables'!$A$4,1,0)</f>
        <v>0</v>
      </c>
      <c r="X5509">
        <f>IF(AND(LEFT(D5509,4)+1=LEFT(' Pivot Tables'!$A$4,4)+0,RIGHT(LEFT(D5509,7),2)=RIGHT(LEFT(' Pivot Tables'!$A$4,7),2)),1,0)</f>
        <v>0</v>
      </c>
      <c r="Y5509" s="6">
        <f>1/COUNTIF(Таблица1[Order ID],Таблица1[[#This Row],[Order ID]])</f>
        <v>0.33333333333333331</v>
      </c>
      <c r="Z5509" s="9">
        <f>1/COUNTIFS(Таблица1[Customer Name],Таблица1[[#This Row],[Customer Name]],Таблица1[Order-Year-Month],Таблица1[[#This Row],[Order-Year-Month]])</f>
        <v>0.33333333333333331</v>
      </c>
    </row>
    <row r="5510" spans="1:26" x14ac:dyDescent="0.2">
      <c r="A5510" s="6">
        <v>8154</v>
      </c>
      <c r="B5510" s="7">
        <v>58308</v>
      </c>
      <c r="C5510" s="8">
        <f>DATE(2012,12,31)-955</f>
        <v>40319</v>
      </c>
      <c r="D5510" s="8" t="str">
        <f t="shared" si="103"/>
        <v>2010-05 (май 2010)</v>
      </c>
      <c r="E5510" s="9" t="s">
        <v>45</v>
      </c>
      <c r="F5510" s="7">
        <v>2</v>
      </c>
      <c r="G5510" s="7">
        <v>40.340000000000003</v>
      </c>
      <c r="H5510" s="7">
        <v>0.03</v>
      </c>
      <c r="I5510" s="9" t="s">
        <v>22</v>
      </c>
      <c r="J5510" s="10">
        <v>-23.62</v>
      </c>
      <c r="K5510" s="11">
        <v>16.16</v>
      </c>
      <c r="L5510" s="11">
        <v>7.74</v>
      </c>
      <c r="M5510" s="9" t="s">
        <v>1912</v>
      </c>
      <c r="N5510" s="6" t="s">
        <v>1905</v>
      </c>
      <c r="O5510" s="6" t="s">
        <v>673</v>
      </c>
      <c r="P5510" s="9" t="s">
        <v>41</v>
      </c>
      <c r="Q5510" s="9" t="s">
        <v>49</v>
      </c>
      <c r="R5510" s="9" t="s">
        <v>50</v>
      </c>
      <c r="S5510" s="7" t="s">
        <v>1893</v>
      </c>
      <c r="T5510" s="9" t="s">
        <v>39</v>
      </c>
      <c r="U5510" s="7">
        <v>0.5</v>
      </c>
      <c r="V5510" s="12">
        <f>C5510+2</f>
        <v>40321</v>
      </c>
      <c r="W5510">
        <f>IF(D5510=' Pivot Tables'!$A$4,1,0)</f>
        <v>0</v>
      </c>
      <c r="X5510">
        <f>IF(AND(LEFT(D5510,4)+1=LEFT(' Pivot Tables'!$A$4,4)+0,RIGHT(LEFT(D5510,7),2)=RIGHT(LEFT(' Pivot Tables'!$A$4,7),2)),1,0)</f>
        <v>0</v>
      </c>
      <c r="Y5510" s="6">
        <f>1/COUNTIF(Таблица1[Order ID],Таблица1[[#This Row],[Order ID]])</f>
        <v>0.33333333333333331</v>
      </c>
      <c r="Z5510" s="9">
        <f>1/COUNTIFS(Таблица1[Customer Name],Таблица1[[#This Row],[Customer Name]],Таблица1[Order-Year-Month],Таблица1[[#This Row],[Order-Year-Month]])</f>
        <v>0.33333333333333331</v>
      </c>
    </row>
    <row r="5511" spans="1:26" x14ac:dyDescent="0.2">
      <c r="A5511" s="6">
        <v>8157</v>
      </c>
      <c r="B5511" s="7">
        <v>58339</v>
      </c>
      <c r="C5511" s="8">
        <f>DATE(2012,12,31)-1297</f>
        <v>39977</v>
      </c>
      <c r="D5511" s="8" t="str">
        <f t="shared" si="103"/>
        <v>2009-06 (июнь 2009)</v>
      </c>
      <c r="E5511" s="9" t="s">
        <v>30</v>
      </c>
      <c r="F5511" s="7">
        <v>9</v>
      </c>
      <c r="G5511" s="7">
        <v>1608.87</v>
      </c>
      <c r="H5511" s="7">
        <v>7.0000000000000007E-2</v>
      </c>
      <c r="I5511" s="9" t="s">
        <v>22</v>
      </c>
      <c r="J5511" s="10">
        <v>346.98</v>
      </c>
      <c r="K5511" s="11">
        <v>177.98</v>
      </c>
      <c r="L5511" s="11">
        <v>0.99</v>
      </c>
      <c r="M5511" s="9" t="s">
        <v>1913</v>
      </c>
      <c r="N5511" s="6" t="s">
        <v>1905</v>
      </c>
      <c r="O5511" s="6" t="s">
        <v>673</v>
      </c>
      <c r="P5511" s="9" t="s">
        <v>41</v>
      </c>
      <c r="Q5511" s="9" t="s">
        <v>26</v>
      </c>
      <c r="R5511" s="9" t="s">
        <v>34</v>
      </c>
      <c r="S5511" s="7" t="s">
        <v>388</v>
      </c>
      <c r="T5511" s="9" t="s">
        <v>39</v>
      </c>
      <c r="U5511" s="7">
        <v>0.56000000000000005</v>
      </c>
      <c r="V5511" s="12">
        <f>C5511+0</f>
        <v>39977</v>
      </c>
      <c r="W5511">
        <f>IF(D5511=' Pivot Tables'!$A$4,1,0)</f>
        <v>0</v>
      </c>
      <c r="X5511">
        <f>IF(AND(LEFT(D5511,4)+1=LEFT(' Pivot Tables'!$A$4,4)+0,RIGHT(LEFT(D5511,7),2)=RIGHT(LEFT(' Pivot Tables'!$A$4,7),2)),1,0)</f>
        <v>0</v>
      </c>
      <c r="Y5511" s="6">
        <f>1/COUNTIF(Таблица1[Order ID],Таблица1[[#This Row],[Order ID]])</f>
        <v>0.5</v>
      </c>
      <c r="Z5511" s="9">
        <f>1/COUNTIFS(Таблица1[Customer Name],Таблица1[[#This Row],[Customer Name]],Таблица1[Order-Year-Month],Таблица1[[#This Row],[Order-Year-Month]])</f>
        <v>0.5</v>
      </c>
    </row>
    <row r="5512" spans="1:26" x14ac:dyDescent="0.2">
      <c r="A5512" s="6">
        <v>8158</v>
      </c>
      <c r="B5512" s="7">
        <v>58339</v>
      </c>
      <c r="C5512" s="8">
        <f>DATE(2012,12,31)-1297</f>
        <v>39977</v>
      </c>
      <c r="D5512" s="8" t="str">
        <f t="shared" si="103"/>
        <v>2009-06 (июнь 2009)</v>
      </c>
      <c r="E5512" s="9" t="s">
        <v>30</v>
      </c>
      <c r="F5512" s="7">
        <v>11</v>
      </c>
      <c r="G5512" s="7">
        <v>37.64</v>
      </c>
      <c r="H5512" s="7">
        <v>0.01</v>
      </c>
      <c r="I5512" s="9" t="s">
        <v>56</v>
      </c>
      <c r="J5512" s="10">
        <v>7.5225</v>
      </c>
      <c r="K5512" s="11">
        <v>2.08</v>
      </c>
      <c r="L5512" s="11">
        <v>1.49</v>
      </c>
      <c r="M5512" s="9" t="s">
        <v>1913</v>
      </c>
      <c r="N5512" s="6" t="s">
        <v>1905</v>
      </c>
      <c r="O5512" s="6" t="s">
        <v>673</v>
      </c>
      <c r="P5512" s="9" t="s">
        <v>41</v>
      </c>
      <c r="Q5512" s="9" t="s">
        <v>26</v>
      </c>
      <c r="R5512" s="9" t="s">
        <v>37</v>
      </c>
      <c r="S5512" s="7" t="s">
        <v>745</v>
      </c>
      <c r="T5512" s="9" t="s">
        <v>39</v>
      </c>
      <c r="U5512" s="7">
        <v>0.36</v>
      </c>
      <c r="V5512" s="12">
        <f>C5512+1</f>
        <v>39978</v>
      </c>
      <c r="W5512">
        <f>IF(D5512=' Pivot Tables'!$A$4,1,0)</f>
        <v>0</v>
      </c>
      <c r="X5512">
        <f>IF(AND(LEFT(D5512,4)+1=LEFT(' Pivot Tables'!$A$4,4)+0,RIGHT(LEFT(D5512,7),2)=RIGHT(LEFT(' Pivot Tables'!$A$4,7),2)),1,0)</f>
        <v>0</v>
      </c>
      <c r="Y5512" s="6">
        <f>1/COUNTIF(Таблица1[Order ID],Таблица1[[#This Row],[Order ID]])</f>
        <v>0.5</v>
      </c>
      <c r="Z5512" s="9">
        <f>1/COUNTIFS(Таблица1[Customer Name],Таблица1[[#This Row],[Customer Name]],Таблица1[Order-Year-Month],Таблица1[[#This Row],[Order-Year-Month]])</f>
        <v>0.5</v>
      </c>
    </row>
    <row r="5513" spans="1:26" x14ac:dyDescent="0.2">
      <c r="A5513" s="6">
        <v>8237</v>
      </c>
      <c r="B5513" s="7">
        <v>58883</v>
      </c>
      <c r="C5513" s="8">
        <f>DATE(2012,12,31)-141</f>
        <v>41133</v>
      </c>
      <c r="D5513" s="8" t="str">
        <f t="shared" si="103"/>
        <v>2012-08 (август 2012)</v>
      </c>
      <c r="E5513" s="9" t="s">
        <v>21</v>
      </c>
      <c r="F5513" s="7">
        <v>36</v>
      </c>
      <c r="G5513" s="7">
        <v>161.56</v>
      </c>
      <c r="H5513" s="7">
        <v>0</v>
      </c>
      <c r="I5513" s="9" t="s">
        <v>22</v>
      </c>
      <c r="J5513" s="10">
        <v>59.67</v>
      </c>
      <c r="K5513" s="11">
        <v>4.13</v>
      </c>
      <c r="L5513" s="11">
        <v>0.99</v>
      </c>
      <c r="M5513" s="9" t="s">
        <v>1020</v>
      </c>
      <c r="N5513" s="6" t="s">
        <v>1905</v>
      </c>
      <c r="O5513" s="6" t="s">
        <v>673</v>
      </c>
      <c r="P5513" s="9" t="s">
        <v>41</v>
      </c>
      <c r="Q5513" s="9" t="s">
        <v>26</v>
      </c>
      <c r="R5513" s="9" t="s">
        <v>88</v>
      </c>
      <c r="S5513" s="7" t="s">
        <v>492</v>
      </c>
      <c r="T5513" s="9" t="s">
        <v>39</v>
      </c>
      <c r="U5513" s="7">
        <v>0.39</v>
      </c>
      <c r="V5513" s="12">
        <f>C5513+5</f>
        <v>41138</v>
      </c>
      <c r="W5513">
        <f>IF(D5513=' Pivot Tables'!$A$4,1,0)</f>
        <v>0</v>
      </c>
      <c r="X5513">
        <f>IF(AND(LEFT(D5513,4)+1=LEFT(' Pivot Tables'!$A$4,4)+0,RIGHT(LEFT(D5513,7),2)=RIGHT(LEFT(' Pivot Tables'!$A$4,7),2)),1,0)</f>
        <v>0</v>
      </c>
      <c r="Y5513" s="6">
        <f>1/COUNTIF(Таблица1[Order ID],Таблица1[[#This Row],[Order ID]])</f>
        <v>1</v>
      </c>
      <c r="Z5513" s="9">
        <f>1/COUNTIFS(Таблица1[Customer Name],Таблица1[[#This Row],[Customer Name]],Таблица1[Order-Year-Month],Таблица1[[#This Row],[Order-Year-Month]])</f>
        <v>1</v>
      </c>
    </row>
    <row r="5514" spans="1:26" x14ac:dyDescent="0.2">
      <c r="A5514" s="6">
        <v>8363</v>
      </c>
      <c r="B5514" s="7">
        <v>59777</v>
      </c>
      <c r="C5514" s="8">
        <f>DATE(2012,12,31)-750</f>
        <v>40524</v>
      </c>
      <c r="D5514" s="8" t="str">
        <f t="shared" si="103"/>
        <v>2010-12 (декабрь 2010)</v>
      </c>
      <c r="E5514" s="9" t="s">
        <v>30</v>
      </c>
      <c r="F5514" s="7">
        <v>19</v>
      </c>
      <c r="G5514" s="7">
        <v>917.31</v>
      </c>
      <c r="H5514" s="7">
        <v>0.05</v>
      </c>
      <c r="I5514" s="9" t="s">
        <v>56</v>
      </c>
      <c r="J5514" s="10">
        <v>-139.86000000000001</v>
      </c>
      <c r="K5514" s="11">
        <v>49.99</v>
      </c>
      <c r="L5514" s="11">
        <v>19.989999999999998</v>
      </c>
      <c r="M5514" s="9" t="s">
        <v>1906</v>
      </c>
      <c r="N5514" s="6" t="s">
        <v>1905</v>
      </c>
      <c r="O5514" s="6" t="s">
        <v>673</v>
      </c>
      <c r="P5514" s="9" t="s">
        <v>60</v>
      </c>
      <c r="Q5514" s="9" t="s">
        <v>42</v>
      </c>
      <c r="R5514" s="9" t="s">
        <v>70</v>
      </c>
      <c r="S5514" s="7" t="s">
        <v>1682</v>
      </c>
      <c r="T5514" s="9" t="s">
        <v>39</v>
      </c>
      <c r="U5514" s="7">
        <v>0.45</v>
      </c>
      <c r="V5514" s="12">
        <f>C5514+1</f>
        <v>40525</v>
      </c>
      <c r="W5514">
        <f>IF(D5514=' Pivot Tables'!$A$4,1,0)</f>
        <v>0</v>
      </c>
      <c r="X5514">
        <f>IF(AND(LEFT(D5514,4)+1=LEFT(' Pivot Tables'!$A$4,4)+0,RIGHT(LEFT(D5514,7),2)=RIGHT(LEFT(' Pivot Tables'!$A$4,7),2)),1,0)</f>
        <v>0</v>
      </c>
      <c r="Y5514" s="6">
        <f>1/COUNTIF(Таблица1[Order ID],Таблица1[[#This Row],[Order ID]])</f>
        <v>1</v>
      </c>
      <c r="Z5514" s="9">
        <f>1/COUNTIFS(Таблица1[Customer Name],Таблица1[[#This Row],[Customer Name]],Таблица1[Order-Year-Month],Таблица1[[#This Row],[Order-Year-Month]])</f>
        <v>1</v>
      </c>
    </row>
    <row r="5515" spans="1:26" x14ac:dyDescent="0.2">
      <c r="A5515" s="6">
        <v>87</v>
      </c>
      <c r="B5515" s="7">
        <v>548</v>
      </c>
      <c r="C5515" s="8">
        <f>DATE(2012,12,31)-1198</f>
        <v>40076</v>
      </c>
      <c r="D5515" s="8" t="str">
        <f t="shared" si="103"/>
        <v>2009-09 (сентябрь 2009)</v>
      </c>
      <c r="E5515" s="9" t="s">
        <v>78</v>
      </c>
      <c r="F5515" s="7">
        <v>41</v>
      </c>
      <c r="G5515" s="7">
        <v>129.49</v>
      </c>
      <c r="H5515" s="7">
        <v>0.04</v>
      </c>
      <c r="I5515" s="9" t="s">
        <v>22</v>
      </c>
      <c r="J5515" s="10">
        <v>36.020000000000003</v>
      </c>
      <c r="K5515" s="11">
        <v>3.08</v>
      </c>
      <c r="L5515" s="11">
        <v>0.99</v>
      </c>
      <c r="M5515" s="9" t="s">
        <v>1927</v>
      </c>
      <c r="N5515" s="6" t="s">
        <v>1905</v>
      </c>
      <c r="O5515" s="6" t="s">
        <v>673</v>
      </c>
      <c r="P5515" s="9" t="s">
        <v>60</v>
      </c>
      <c r="Q5515" s="9" t="s">
        <v>26</v>
      </c>
      <c r="R5515" s="9" t="s">
        <v>88</v>
      </c>
      <c r="S5515" s="7" t="s">
        <v>368</v>
      </c>
      <c r="T5515" s="9" t="s">
        <v>39</v>
      </c>
      <c r="U5515" s="7">
        <v>0.37</v>
      </c>
      <c r="V5515" s="12">
        <f>C5515+1</f>
        <v>40077</v>
      </c>
      <c r="W5515">
        <f>IF(D5515=' Pivot Tables'!$A$4,1,0)</f>
        <v>0</v>
      </c>
      <c r="X5515">
        <f>IF(AND(LEFT(D5515,4)+1=LEFT(' Pivot Tables'!$A$4,4)+0,RIGHT(LEFT(D5515,7),2)=RIGHT(LEFT(' Pivot Tables'!$A$4,7),2)),1,0)</f>
        <v>0</v>
      </c>
      <c r="Y5515" s="6">
        <f>1/COUNTIF(Таблица1[Order ID],Таблица1[[#This Row],[Order ID]])</f>
        <v>0.33333333333333331</v>
      </c>
      <c r="Z5515" s="9">
        <f>1/COUNTIFS(Таблица1[Customer Name],Таблица1[[#This Row],[Customer Name]],Таблица1[Order-Year-Month],Таблица1[[#This Row],[Order-Year-Month]])</f>
        <v>0.33333333333333331</v>
      </c>
    </row>
    <row r="5516" spans="1:26" x14ac:dyDescent="0.2">
      <c r="A5516" s="6">
        <v>88</v>
      </c>
      <c r="B5516" s="7">
        <v>548</v>
      </c>
      <c r="C5516" s="8">
        <f>DATE(2012,12,31)-1198</f>
        <v>40076</v>
      </c>
      <c r="D5516" s="8" t="str">
        <f t="shared" si="103"/>
        <v>2009-09 (сентябрь 2009)</v>
      </c>
      <c r="E5516" s="9" t="s">
        <v>78</v>
      </c>
      <c r="F5516" s="7">
        <v>29</v>
      </c>
      <c r="G5516" s="7">
        <v>202.95</v>
      </c>
      <c r="H5516" s="7">
        <v>0.02</v>
      </c>
      <c r="I5516" s="9" t="s">
        <v>22</v>
      </c>
      <c r="J5516" s="10">
        <v>-50.64</v>
      </c>
      <c r="K5516" s="11">
        <v>6.48</v>
      </c>
      <c r="L5516" s="11">
        <v>5.9</v>
      </c>
      <c r="M5516" s="9" t="s">
        <v>1927</v>
      </c>
      <c r="N5516" s="6" t="s">
        <v>1905</v>
      </c>
      <c r="O5516" s="6" t="s">
        <v>673</v>
      </c>
      <c r="P5516" s="9" t="s">
        <v>60</v>
      </c>
      <c r="Q5516" s="9" t="s">
        <v>26</v>
      </c>
      <c r="R5516" s="9" t="s">
        <v>61</v>
      </c>
      <c r="S5516" s="7" t="s">
        <v>696</v>
      </c>
      <c r="T5516" s="9" t="s">
        <v>39</v>
      </c>
      <c r="U5516" s="7">
        <v>0.37</v>
      </c>
      <c r="V5516" s="12">
        <f>C5516+1</f>
        <v>40077</v>
      </c>
      <c r="W5516">
        <f>IF(D5516=' Pivot Tables'!$A$4,1,0)</f>
        <v>0</v>
      </c>
      <c r="X5516">
        <f>IF(AND(LEFT(D5516,4)+1=LEFT(' Pivot Tables'!$A$4,4)+0,RIGHT(LEFT(D5516,7),2)=RIGHT(LEFT(' Pivot Tables'!$A$4,7),2)),1,0)</f>
        <v>0</v>
      </c>
      <c r="Y5516" s="6">
        <f>1/COUNTIF(Таблица1[Order ID],Таблица1[[#This Row],[Order ID]])</f>
        <v>0.33333333333333331</v>
      </c>
      <c r="Z5516" s="9">
        <f>1/COUNTIFS(Таблица1[Customer Name],Таблица1[[#This Row],[Customer Name]],Таблица1[Order-Year-Month],Таблица1[[#This Row],[Order-Year-Month]])</f>
        <v>0.33333333333333331</v>
      </c>
    </row>
    <row r="5517" spans="1:26" x14ac:dyDescent="0.2">
      <c r="A5517" s="6">
        <v>89</v>
      </c>
      <c r="B5517" s="7">
        <v>548</v>
      </c>
      <c r="C5517" s="8">
        <f>DATE(2012,12,31)-1198</f>
        <v>40076</v>
      </c>
      <c r="D5517" s="8" t="str">
        <f t="shared" si="103"/>
        <v>2009-09 (сентябрь 2009)</v>
      </c>
      <c r="E5517" s="9" t="s">
        <v>78</v>
      </c>
      <c r="F5517" s="7">
        <v>26</v>
      </c>
      <c r="G5517" s="7">
        <v>2753.1925000000001</v>
      </c>
      <c r="H5517" s="7">
        <v>0.04</v>
      </c>
      <c r="I5517" s="9" t="s">
        <v>22</v>
      </c>
      <c r="J5517" s="10">
        <v>510.48900000000003</v>
      </c>
      <c r="K5517" s="11">
        <v>125.99</v>
      </c>
      <c r="L5517" s="11">
        <v>4.2</v>
      </c>
      <c r="M5517" s="9" t="s">
        <v>1927</v>
      </c>
      <c r="N5517" s="6" t="s">
        <v>1905</v>
      </c>
      <c r="O5517" s="6" t="s">
        <v>673</v>
      </c>
      <c r="P5517" s="9" t="s">
        <v>60</v>
      </c>
      <c r="Q5517" s="9" t="s">
        <v>42</v>
      </c>
      <c r="R5517" s="9" t="s">
        <v>43</v>
      </c>
      <c r="S5517" s="7" t="s">
        <v>1579</v>
      </c>
      <c r="T5517" s="9" t="s">
        <v>39</v>
      </c>
      <c r="U5517" s="7">
        <v>0.59</v>
      </c>
      <c r="V5517" s="12">
        <f>C5517+2</f>
        <v>40078</v>
      </c>
      <c r="W5517">
        <f>IF(D5517=' Pivot Tables'!$A$4,1,0)</f>
        <v>0</v>
      </c>
      <c r="X5517">
        <f>IF(AND(LEFT(D5517,4)+1=LEFT(' Pivot Tables'!$A$4,4)+0,RIGHT(LEFT(D5517,7),2)=RIGHT(LEFT(' Pivot Tables'!$A$4,7),2)),1,0)</f>
        <v>0</v>
      </c>
      <c r="Y5517" s="6">
        <f>1/COUNTIF(Таблица1[Order ID],Таблица1[[#This Row],[Order ID]])</f>
        <v>0.33333333333333331</v>
      </c>
      <c r="Z5517" s="9">
        <f>1/COUNTIFS(Таблица1[Customer Name],Таблица1[[#This Row],[Customer Name]],Таблица1[Order-Year-Month],Таблица1[[#This Row],[Order-Year-Month]])</f>
        <v>0.33333333333333331</v>
      </c>
    </row>
    <row r="5518" spans="1:26" x14ac:dyDescent="0.2">
      <c r="A5518" s="6">
        <v>116</v>
      </c>
      <c r="B5518" s="7">
        <v>771</v>
      </c>
      <c r="C5518" s="8">
        <f>DATE(2012,12,31)-564</f>
        <v>40710</v>
      </c>
      <c r="D5518" s="8" t="str">
        <f t="shared" si="103"/>
        <v>2011-06 (июнь 2011)</v>
      </c>
      <c r="E5518" s="9" t="s">
        <v>78</v>
      </c>
      <c r="F5518" s="7">
        <v>18</v>
      </c>
      <c r="G5518" s="7">
        <v>88.84</v>
      </c>
      <c r="H5518" s="7">
        <v>0.08</v>
      </c>
      <c r="I5518" s="9" t="s">
        <v>22</v>
      </c>
      <c r="J5518" s="10">
        <v>-38.35</v>
      </c>
      <c r="K5518" s="11">
        <v>4.9800000000000004</v>
      </c>
      <c r="L5518" s="11">
        <v>4.72</v>
      </c>
      <c r="M5518" s="9" t="s">
        <v>1928</v>
      </c>
      <c r="N5518" s="6" t="s">
        <v>1905</v>
      </c>
      <c r="O5518" s="6" t="s">
        <v>673</v>
      </c>
      <c r="P5518" s="9" t="s">
        <v>60</v>
      </c>
      <c r="Q5518" s="9" t="s">
        <v>26</v>
      </c>
      <c r="R5518" s="9" t="s">
        <v>61</v>
      </c>
      <c r="S5518" s="7" t="s">
        <v>968</v>
      </c>
      <c r="T5518" s="9" t="s">
        <v>39</v>
      </c>
      <c r="U5518" s="7">
        <v>0.36</v>
      </c>
      <c r="V5518" s="12">
        <f>C5518+1</f>
        <v>40711</v>
      </c>
      <c r="W5518">
        <f>IF(D5518=' Pivot Tables'!$A$4,1,0)</f>
        <v>0</v>
      </c>
      <c r="X5518">
        <f>IF(AND(LEFT(D5518,4)+1=LEFT(' Pivot Tables'!$A$4,4)+0,RIGHT(LEFT(D5518,7),2)=RIGHT(LEFT(' Pivot Tables'!$A$4,7),2)),1,0)</f>
        <v>0</v>
      </c>
      <c r="Y5518" s="6">
        <f>1/COUNTIF(Таблица1[Order ID],Таблица1[[#This Row],[Order ID]])</f>
        <v>1</v>
      </c>
      <c r="Z5518" s="9">
        <f>1/COUNTIFS(Таблица1[Customer Name],Таблица1[[#This Row],[Customer Name]],Таблица1[Order-Year-Month],Таблица1[[#This Row],[Order-Year-Month]])</f>
        <v>1</v>
      </c>
    </row>
    <row r="5519" spans="1:26" x14ac:dyDescent="0.2">
      <c r="A5519" s="6">
        <v>279</v>
      </c>
      <c r="B5519" s="7">
        <v>1925</v>
      </c>
      <c r="C5519" s="8">
        <f>DATE(2012,12,31)-302</f>
        <v>40972</v>
      </c>
      <c r="D5519" s="8" t="str">
        <f t="shared" si="103"/>
        <v>2012-03 (март 2012)</v>
      </c>
      <c r="E5519" s="9" t="s">
        <v>78</v>
      </c>
      <c r="F5519" s="7">
        <v>40</v>
      </c>
      <c r="G5519" s="7">
        <v>909.82</v>
      </c>
      <c r="H5519" s="7">
        <v>0.02</v>
      </c>
      <c r="I5519" s="9" t="s">
        <v>22</v>
      </c>
      <c r="J5519" s="10">
        <v>292.49</v>
      </c>
      <c r="K5519" s="11">
        <v>22.98</v>
      </c>
      <c r="L5519" s="11">
        <v>1.99</v>
      </c>
      <c r="M5519" s="9" t="s">
        <v>689</v>
      </c>
      <c r="N5519" s="6" t="s">
        <v>1905</v>
      </c>
      <c r="O5519" s="6" t="s">
        <v>673</v>
      </c>
      <c r="P5519" s="9" t="s">
        <v>41</v>
      </c>
      <c r="Q5519" s="9" t="s">
        <v>42</v>
      </c>
      <c r="R5519" s="9" t="s">
        <v>70</v>
      </c>
      <c r="S5519" s="7" t="s">
        <v>501</v>
      </c>
      <c r="T5519" s="9" t="s">
        <v>52</v>
      </c>
      <c r="U5519" s="7">
        <v>0.46</v>
      </c>
      <c r="V5519" s="12">
        <f>C5519+2</f>
        <v>40974</v>
      </c>
      <c r="W5519">
        <f>IF(D5519=' Pivot Tables'!$A$4,1,0)</f>
        <v>0</v>
      </c>
      <c r="X5519">
        <f>IF(AND(LEFT(D5519,4)+1=LEFT(' Pivot Tables'!$A$4,4)+0,RIGHT(LEFT(D5519,7),2)=RIGHT(LEFT(' Pivot Tables'!$A$4,7),2)),1,0)</f>
        <v>0</v>
      </c>
      <c r="Y5519" s="6">
        <f>1/COUNTIF(Таблица1[Order ID],Таблица1[[#This Row],[Order ID]])</f>
        <v>0.5</v>
      </c>
      <c r="Z5519" s="9">
        <f>1/COUNTIFS(Таблица1[Customer Name],Таблица1[[#This Row],[Customer Name]],Таблица1[Order-Year-Month],Таблица1[[#This Row],[Order-Year-Month]])</f>
        <v>0.5</v>
      </c>
    </row>
    <row r="5520" spans="1:26" x14ac:dyDescent="0.2">
      <c r="A5520" s="6">
        <v>303</v>
      </c>
      <c r="B5520" s="7">
        <v>2086</v>
      </c>
      <c r="C5520" s="8">
        <f>DATE(2012,12,31)-1170</f>
        <v>40104</v>
      </c>
      <c r="D5520" s="8" t="str">
        <f t="shared" si="103"/>
        <v>2009-10 (октябрь 2009)</v>
      </c>
      <c r="E5520" s="9" t="s">
        <v>78</v>
      </c>
      <c r="F5520" s="7">
        <v>24</v>
      </c>
      <c r="G5520" s="7">
        <v>1411.58</v>
      </c>
      <c r="H5520" s="7">
        <v>0.01</v>
      </c>
      <c r="I5520" s="9" t="s">
        <v>56</v>
      </c>
      <c r="J5520" s="10">
        <v>699.31</v>
      </c>
      <c r="K5520" s="11">
        <v>55.98</v>
      </c>
      <c r="L5520" s="11">
        <v>4.8600000000000003</v>
      </c>
      <c r="M5520" s="9" t="s">
        <v>689</v>
      </c>
      <c r="N5520" s="6" t="s">
        <v>1905</v>
      </c>
      <c r="O5520" s="6" t="s">
        <v>673</v>
      </c>
      <c r="P5520" s="9" t="s">
        <v>41</v>
      </c>
      <c r="Q5520" s="9" t="s">
        <v>26</v>
      </c>
      <c r="R5520" s="9" t="s">
        <v>61</v>
      </c>
      <c r="S5520" s="7" t="s">
        <v>1260</v>
      </c>
      <c r="T5520" s="9" t="s">
        <v>39</v>
      </c>
      <c r="U5520" s="7">
        <v>0.36</v>
      </c>
      <c r="V5520" s="12">
        <f>C5520+2</f>
        <v>40106</v>
      </c>
      <c r="W5520">
        <f>IF(D5520=' Pivot Tables'!$A$4,1,0)</f>
        <v>0</v>
      </c>
      <c r="X5520">
        <f>IF(AND(LEFT(D5520,4)+1=LEFT(' Pivot Tables'!$A$4,4)+0,RIGHT(LEFT(D5520,7),2)=RIGHT(LEFT(' Pivot Tables'!$A$4,7),2)),1,0)</f>
        <v>0</v>
      </c>
      <c r="Y5520" s="6">
        <f>1/COUNTIF(Таблица1[Order ID],Таблица1[[#This Row],[Order ID]])</f>
        <v>0.33333333333333331</v>
      </c>
      <c r="Z5520" s="9">
        <f>1/COUNTIFS(Таблица1[Customer Name],Таблица1[[#This Row],[Customer Name]],Таблица1[Order-Year-Month],Таблица1[[#This Row],[Order-Year-Month]])</f>
        <v>0.33333333333333331</v>
      </c>
    </row>
    <row r="5521" spans="1:26" x14ac:dyDescent="0.2">
      <c r="A5521" s="6">
        <v>304</v>
      </c>
      <c r="B5521" s="7">
        <v>2086</v>
      </c>
      <c r="C5521" s="8">
        <f>DATE(2012,12,31)-1170</f>
        <v>40104</v>
      </c>
      <c r="D5521" s="8" t="str">
        <f t="shared" si="103"/>
        <v>2009-10 (октябрь 2009)</v>
      </c>
      <c r="E5521" s="9" t="s">
        <v>78</v>
      </c>
      <c r="F5521" s="7">
        <v>38</v>
      </c>
      <c r="G5521" s="7">
        <v>2115.2419999999997</v>
      </c>
      <c r="H5521" s="7">
        <v>0.04</v>
      </c>
      <c r="I5521" s="9" t="s">
        <v>22</v>
      </c>
      <c r="J5521" s="10">
        <v>371.41200000000003</v>
      </c>
      <c r="K5521" s="11">
        <v>65.989999999999995</v>
      </c>
      <c r="L5521" s="11">
        <v>8.99</v>
      </c>
      <c r="M5521" s="9" t="s">
        <v>689</v>
      </c>
      <c r="N5521" s="6" t="s">
        <v>1905</v>
      </c>
      <c r="O5521" s="6" t="s">
        <v>673</v>
      </c>
      <c r="P5521" s="9" t="s">
        <v>41</v>
      </c>
      <c r="Q5521" s="9" t="s">
        <v>42</v>
      </c>
      <c r="R5521" s="9" t="s">
        <v>43</v>
      </c>
      <c r="S5521" s="7" t="s">
        <v>534</v>
      </c>
      <c r="T5521" s="9" t="s">
        <v>39</v>
      </c>
      <c r="U5521" s="7">
        <v>0.56000000000000005</v>
      </c>
      <c r="V5521" s="12">
        <f>C5521+1</f>
        <v>40105</v>
      </c>
      <c r="W5521">
        <f>IF(D5521=' Pivot Tables'!$A$4,1,0)</f>
        <v>0</v>
      </c>
      <c r="X5521">
        <f>IF(AND(LEFT(D5521,4)+1=LEFT(' Pivot Tables'!$A$4,4)+0,RIGHT(LEFT(D5521,7),2)=RIGHT(LEFT(' Pivot Tables'!$A$4,7),2)),1,0)</f>
        <v>0</v>
      </c>
      <c r="Y5521" s="6">
        <f>1/COUNTIF(Таблица1[Order ID],Таблица1[[#This Row],[Order ID]])</f>
        <v>0.33333333333333331</v>
      </c>
      <c r="Z5521" s="9">
        <f>1/COUNTIFS(Таблица1[Customer Name],Таблица1[[#This Row],[Customer Name]],Таблица1[Order-Year-Month],Таблица1[[#This Row],[Order-Year-Month]])</f>
        <v>0.33333333333333331</v>
      </c>
    </row>
    <row r="5522" spans="1:26" x14ac:dyDescent="0.2">
      <c r="A5522" s="6">
        <v>305</v>
      </c>
      <c r="B5522" s="7">
        <v>2086</v>
      </c>
      <c r="C5522" s="8">
        <f>DATE(2012,12,31)-1170</f>
        <v>40104</v>
      </c>
      <c r="D5522" s="8" t="str">
        <f t="shared" si="103"/>
        <v>2009-10 (октябрь 2009)</v>
      </c>
      <c r="E5522" s="9" t="s">
        <v>78</v>
      </c>
      <c r="F5522" s="7">
        <v>9</v>
      </c>
      <c r="G5522" s="7">
        <v>1246.68</v>
      </c>
      <c r="H5522" s="7">
        <v>0.01</v>
      </c>
      <c r="I5522" s="9" t="s">
        <v>22</v>
      </c>
      <c r="J5522" s="10">
        <v>218.48</v>
      </c>
      <c r="K5522" s="11">
        <v>128.24</v>
      </c>
      <c r="L5522" s="11">
        <v>12.65</v>
      </c>
      <c r="M5522" s="9" t="s">
        <v>689</v>
      </c>
      <c r="N5522" s="6" t="s">
        <v>1905</v>
      </c>
      <c r="O5522" s="6" t="s">
        <v>673</v>
      </c>
      <c r="P5522" s="9" t="s">
        <v>41</v>
      </c>
      <c r="Q5522" s="9" t="s">
        <v>49</v>
      </c>
      <c r="R5522" s="9" t="s">
        <v>112</v>
      </c>
      <c r="S5522" s="7" t="s">
        <v>545</v>
      </c>
      <c r="T5522" s="9" t="s">
        <v>48</v>
      </c>
      <c r="U5522" s="7"/>
      <c r="V5522" s="12">
        <f>C5522+3</f>
        <v>40107</v>
      </c>
      <c r="W5522">
        <f>IF(D5522=' Pivot Tables'!$A$4,1,0)</f>
        <v>0</v>
      </c>
      <c r="X5522">
        <f>IF(AND(LEFT(D5522,4)+1=LEFT(' Pivot Tables'!$A$4,4)+0,RIGHT(LEFT(D5522,7),2)=RIGHT(LEFT(' Pivot Tables'!$A$4,7),2)),1,0)</f>
        <v>0</v>
      </c>
      <c r="Y5522" s="6">
        <f>1/COUNTIF(Таблица1[Order ID],Таблица1[[#This Row],[Order ID]])</f>
        <v>0.33333333333333331</v>
      </c>
      <c r="Z5522" s="9">
        <f>1/COUNTIFS(Таблица1[Customer Name],Таблица1[[#This Row],[Customer Name]],Таблица1[Order-Year-Month],Таблица1[[#This Row],[Order-Year-Month]])</f>
        <v>0.33333333333333331</v>
      </c>
    </row>
    <row r="5523" spans="1:26" x14ac:dyDescent="0.2">
      <c r="A5523" s="6">
        <v>912</v>
      </c>
      <c r="B5523" s="7">
        <v>6560</v>
      </c>
      <c r="C5523" s="8">
        <f>DATE(2012,12,31)-727</f>
        <v>40547</v>
      </c>
      <c r="D5523" s="8" t="str">
        <f t="shared" si="103"/>
        <v>2011-01 (январь 2011)</v>
      </c>
      <c r="E5523" s="9" t="s">
        <v>21</v>
      </c>
      <c r="F5523" s="7">
        <v>20</v>
      </c>
      <c r="G5523" s="7">
        <v>169.18</v>
      </c>
      <c r="H5523" s="7">
        <v>0.09</v>
      </c>
      <c r="I5523" s="9" t="s">
        <v>22</v>
      </c>
      <c r="J5523" s="10">
        <v>-18.73</v>
      </c>
      <c r="K5523" s="11">
        <v>8.67</v>
      </c>
      <c r="L5523" s="11">
        <v>3.5</v>
      </c>
      <c r="M5523" s="9" t="s">
        <v>1929</v>
      </c>
      <c r="N5523" s="6" t="s">
        <v>1905</v>
      </c>
      <c r="O5523" s="6" t="s">
        <v>673</v>
      </c>
      <c r="P5523" s="9" t="s">
        <v>41</v>
      </c>
      <c r="Q5523" s="9" t="s">
        <v>26</v>
      </c>
      <c r="R5523" s="9" t="s">
        <v>34</v>
      </c>
      <c r="S5523" s="7" t="s">
        <v>1128</v>
      </c>
      <c r="T5523" s="9" t="s">
        <v>39</v>
      </c>
      <c r="U5523" s="7">
        <v>0.57999999999999996</v>
      </c>
      <c r="V5523" s="12">
        <f>C5523+4</f>
        <v>40551</v>
      </c>
      <c r="W5523">
        <f>IF(D5523=' Pivot Tables'!$A$4,1,0)</f>
        <v>0</v>
      </c>
      <c r="X5523">
        <f>IF(AND(LEFT(D5523,4)+1=LEFT(' Pivot Tables'!$A$4,4)+0,RIGHT(LEFT(D5523,7),2)=RIGHT(LEFT(' Pivot Tables'!$A$4,7),2)),1,0)</f>
        <v>0</v>
      </c>
      <c r="Y5523" s="6">
        <f>1/COUNTIF(Таблица1[Order ID],Таблица1[[#This Row],[Order ID]])</f>
        <v>0.5</v>
      </c>
      <c r="Z5523" s="9">
        <f>1/COUNTIFS(Таблица1[Customer Name],Таблица1[[#This Row],[Customer Name]],Таблица1[Order-Year-Month],Таблица1[[#This Row],[Order-Year-Month]])</f>
        <v>0.5</v>
      </c>
    </row>
    <row r="5524" spans="1:26" x14ac:dyDescent="0.2">
      <c r="A5524" s="6">
        <v>913</v>
      </c>
      <c r="B5524" s="7">
        <v>6560</v>
      </c>
      <c r="C5524" s="8">
        <f>DATE(2012,12,31)-727</f>
        <v>40547</v>
      </c>
      <c r="D5524" s="8" t="str">
        <f t="shared" si="103"/>
        <v>2011-01 (январь 2011)</v>
      </c>
      <c r="E5524" s="9" t="s">
        <v>21</v>
      </c>
      <c r="F5524" s="7">
        <v>37</v>
      </c>
      <c r="G5524" s="7">
        <v>8252.3919999999998</v>
      </c>
      <c r="H5524" s="7">
        <v>0.04</v>
      </c>
      <c r="I5524" s="9" t="s">
        <v>31</v>
      </c>
      <c r="J5524" s="10">
        <v>1853.19</v>
      </c>
      <c r="K5524" s="11">
        <v>280.98</v>
      </c>
      <c r="L5524" s="11">
        <v>35.67</v>
      </c>
      <c r="M5524" s="9" t="s">
        <v>1929</v>
      </c>
      <c r="N5524" s="6" t="s">
        <v>1905</v>
      </c>
      <c r="O5524" s="6" t="s">
        <v>673</v>
      </c>
      <c r="P5524" s="9" t="s">
        <v>41</v>
      </c>
      <c r="Q5524" s="9" t="s">
        <v>49</v>
      </c>
      <c r="R5524" s="9" t="s">
        <v>83</v>
      </c>
      <c r="S5524" s="7" t="s">
        <v>526</v>
      </c>
      <c r="T5524" s="9" t="s">
        <v>82</v>
      </c>
      <c r="U5524" s="7">
        <v>0.66</v>
      </c>
      <c r="V5524" s="12">
        <f>C5524+5</f>
        <v>40552</v>
      </c>
      <c r="W5524">
        <f>IF(D5524=' Pivot Tables'!$A$4,1,0)</f>
        <v>0</v>
      </c>
      <c r="X5524">
        <f>IF(AND(LEFT(D5524,4)+1=LEFT(' Pivot Tables'!$A$4,4)+0,RIGHT(LEFT(D5524,7),2)=RIGHT(LEFT(' Pivot Tables'!$A$4,7),2)),1,0)</f>
        <v>0</v>
      </c>
      <c r="Y5524" s="6">
        <f>1/COUNTIF(Таблица1[Order ID],Таблица1[[#This Row],[Order ID]])</f>
        <v>0.5</v>
      </c>
      <c r="Z5524" s="9">
        <f>1/COUNTIFS(Таблица1[Customer Name],Таблица1[[#This Row],[Customer Name]],Таблица1[Order-Year-Month],Таблица1[[#This Row],[Order-Year-Month]])</f>
        <v>0.5</v>
      </c>
    </row>
    <row r="5525" spans="1:26" x14ac:dyDescent="0.2">
      <c r="A5525" s="6">
        <v>981</v>
      </c>
      <c r="B5525" s="7">
        <v>7105</v>
      </c>
      <c r="C5525" s="8">
        <f>DATE(2012,12,31)-924</f>
        <v>40350</v>
      </c>
      <c r="D5525" s="8" t="str">
        <f t="shared" si="103"/>
        <v>2010-06 (июнь 2010)</v>
      </c>
      <c r="E5525" s="9" t="s">
        <v>21</v>
      </c>
      <c r="F5525" s="7">
        <v>17</v>
      </c>
      <c r="G5525" s="7">
        <v>77.19</v>
      </c>
      <c r="H5525" s="7">
        <v>0.03</v>
      </c>
      <c r="I5525" s="9" t="s">
        <v>22</v>
      </c>
      <c r="J5525" s="10">
        <v>-81.349999999999994</v>
      </c>
      <c r="K5525" s="11">
        <v>4.0599999999999996</v>
      </c>
      <c r="L5525" s="11">
        <v>6.89</v>
      </c>
      <c r="M5525" s="9" t="s">
        <v>689</v>
      </c>
      <c r="N5525" s="6" t="s">
        <v>1905</v>
      </c>
      <c r="O5525" s="6" t="s">
        <v>673</v>
      </c>
      <c r="P5525" s="9" t="s">
        <v>41</v>
      </c>
      <c r="Q5525" s="9" t="s">
        <v>26</v>
      </c>
      <c r="R5525" s="9" t="s">
        <v>34</v>
      </c>
      <c r="S5525" s="7" t="s">
        <v>408</v>
      </c>
      <c r="T5525" s="9" t="s">
        <v>39</v>
      </c>
      <c r="U5525" s="7">
        <v>0.6</v>
      </c>
      <c r="V5525" s="12">
        <f>C5525+7</f>
        <v>40357</v>
      </c>
      <c r="W5525">
        <f>IF(D5525=' Pivot Tables'!$A$4,1,0)</f>
        <v>0</v>
      </c>
      <c r="X5525">
        <f>IF(AND(LEFT(D5525,4)+1=LEFT(' Pivot Tables'!$A$4,4)+0,RIGHT(LEFT(D5525,7),2)=RIGHT(LEFT(' Pivot Tables'!$A$4,7),2)),1,0)</f>
        <v>0</v>
      </c>
      <c r="Y5525" s="6">
        <f>1/COUNTIF(Таблица1[Order ID],Таблица1[[#This Row],[Order ID]])</f>
        <v>1</v>
      </c>
      <c r="Z5525" s="9">
        <f>1/COUNTIFS(Таблица1[Customer Name],Таблица1[[#This Row],[Customer Name]],Таблица1[Order-Year-Month],Таблица1[[#This Row],[Order-Year-Month]])</f>
        <v>1</v>
      </c>
    </row>
    <row r="5526" spans="1:26" x14ac:dyDescent="0.2">
      <c r="A5526" s="6">
        <v>1052</v>
      </c>
      <c r="B5526" s="7">
        <v>7776</v>
      </c>
      <c r="C5526" s="8">
        <f>DATE(2012,12,31)-1388</f>
        <v>39886</v>
      </c>
      <c r="D5526" s="8" t="str">
        <f t="shared" si="103"/>
        <v>2009-03 (март 2009)</v>
      </c>
      <c r="E5526" s="9" t="s">
        <v>63</v>
      </c>
      <c r="F5526" s="7">
        <v>36</v>
      </c>
      <c r="G5526" s="7">
        <v>7223.59</v>
      </c>
      <c r="H5526" s="7">
        <v>7.0000000000000007E-2</v>
      </c>
      <c r="I5526" s="9" t="s">
        <v>31</v>
      </c>
      <c r="J5526" s="10">
        <v>1769.81</v>
      </c>
      <c r="K5526" s="11">
        <v>200.98</v>
      </c>
      <c r="L5526" s="11">
        <v>23.76</v>
      </c>
      <c r="M5526" s="9" t="s">
        <v>1930</v>
      </c>
      <c r="N5526" s="6" t="s">
        <v>1905</v>
      </c>
      <c r="O5526" s="6" t="s">
        <v>673</v>
      </c>
      <c r="P5526" s="9" t="s">
        <v>41</v>
      </c>
      <c r="Q5526" s="9" t="s">
        <v>49</v>
      </c>
      <c r="R5526" s="9" t="s">
        <v>112</v>
      </c>
      <c r="S5526" s="7" t="s">
        <v>441</v>
      </c>
      <c r="T5526" s="9" t="s">
        <v>36</v>
      </c>
      <c r="U5526" s="7">
        <v>0.57999999999999996</v>
      </c>
      <c r="V5526" s="12">
        <f>C5526+1</f>
        <v>39887</v>
      </c>
      <c r="W5526">
        <f>IF(D5526=' Pivot Tables'!$A$4,1,0)</f>
        <v>0</v>
      </c>
      <c r="X5526">
        <f>IF(AND(LEFT(D5526,4)+1=LEFT(' Pivot Tables'!$A$4,4)+0,RIGHT(LEFT(D5526,7),2)=RIGHT(LEFT(' Pivot Tables'!$A$4,7),2)),1,0)</f>
        <v>0</v>
      </c>
      <c r="Y5526" s="6">
        <f>1/COUNTIF(Таблица1[Order ID],Таблица1[[#This Row],[Order ID]])</f>
        <v>0.5</v>
      </c>
      <c r="Z5526" s="9">
        <f>1/COUNTIFS(Таблица1[Customer Name],Таблица1[[#This Row],[Customer Name]],Таблица1[Order-Year-Month],Таблица1[[#This Row],[Order-Year-Month]])</f>
        <v>0.5</v>
      </c>
    </row>
    <row r="5527" spans="1:26" x14ac:dyDescent="0.2">
      <c r="A5527" s="6">
        <v>1053</v>
      </c>
      <c r="B5527" s="7">
        <v>7776</v>
      </c>
      <c r="C5527" s="8">
        <f>DATE(2012,12,31)-1388</f>
        <v>39886</v>
      </c>
      <c r="D5527" s="8" t="str">
        <f t="shared" si="103"/>
        <v>2009-03 (март 2009)</v>
      </c>
      <c r="E5527" s="9" t="s">
        <v>63</v>
      </c>
      <c r="F5527" s="7">
        <v>6</v>
      </c>
      <c r="G5527" s="7">
        <v>934.21600000000001</v>
      </c>
      <c r="H5527" s="7">
        <v>0.02</v>
      </c>
      <c r="I5527" s="9" t="s">
        <v>31</v>
      </c>
      <c r="J5527" s="10">
        <v>-4.34</v>
      </c>
      <c r="K5527" s="11">
        <v>179.29</v>
      </c>
      <c r="L5527" s="11">
        <v>29.21</v>
      </c>
      <c r="M5527" s="9" t="s">
        <v>1930</v>
      </c>
      <c r="N5527" s="6" t="s">
        <v>1905</v>
      </c>
      <c r="O5527" s="6" t="s">
        <v>673</v>
      </c>
      <c r="P5527" s="9" t="s">
        <v>41</v>
      </c>
      <c r="Q5527" s="9" t="s">
        <v>49</v>
      </c>
      <c r="R5527" s="9" t="s">
        <v>83</v>
      </c>
      <c r="S5527" s="7" t="s">
        <v>207</v>
      </c>
      <c r="T5527" s="9" t="s">
        <v>82</v>
      </c>
      <c r="U5527" s="7">
        <v>0.76</v>
      </c>
      <c r="V5527" s="12">
        <f>C5527+0</f>
        <v>39886</v>
      </c>
      <c r="W5527">
        <f>IF(D5527=' Pivot Tables'!$A$4,1,0)</f>
        <v>0</v>
      </c>
      <c r="X5527">
        <f>IF(AND(LEFT(D5527,4)+1=LEFT(' Pivot Tables'!$A$4,4)+0,RIGHT(LEFT(D5527,7),2)=RIGHT(LEFT(' Pivot Tables'!$A$4,7),2)),1,0)</f>
        <v>0</v>
      </c>
      <c r="Y5527" s="6">
        <f>1/COUNTIF(Таблица1[Order ID],Таблица1[[#This Row],[Order ID]])</f>
        <v>0.5</v>
      </c>
      <c r="Z5527" s="9">
        <f>1/COUNTIFS(Таблица1[Customer Name],Таблица1[[#This Row],[Customer Name]],Таблица1[Order-Year-Month],Таблица1[[#This Row],[Order-Year-Month]])</f>
        <v>0.5</v>
      </c>
    </row>
    <row r="5528" spans="1:26" x14ac:dyDescent="0.2">
      <c r="A5528" s="6">
        <v>1160</v>
      </c>
      <c r="B5528" s="7">
        <v>8450</v>
      </c>
      <c r="C5528" s="8">
        <f>DATE(2012,12,31)-262</f>
        <v>41012</v>
      </c>
      <c r="D5528" s="8" t="str">
        <f t="shared" si="103"/>
        <v>2012-04 (апрель 2012)</v>
      </c>
      <c r="E5528" s="9" t="s">
        <v>45</v>
      </c>
      <c r="F5528" s="7">
        <v>24</v>
      </c>
      <c r="G5528" s="7">
        <v>1307</v>
      </c>
      <c r="H5528" s="7">
        <v>0.02</v>
      </c>
      <c r="I5528" s="9" t="s">
        <v>22</v>
      </c>
      <c r="J5528" s="10">
        <v>428.99</v>
      </c>
      <c r="K5528" s="11">
        <v>54.48</v>
      </c>
      <c r="L5528" s="11">
        <v>0.99</v>
      </c>
      <c r="M5528" s="9" t="s">
        <v>1228</v>
      </c>
      <c r="N5528" s="6" t="s">
        <v>1905</v>
      </c>
      <c r="O5528" s="6" t="s">
        <v>673</v>
      </c>
      <c r="P5528" s="9" t="s">
        <v>60</v>
      </c>
      <c r="Q5528" s="9" t="s">
        <v>26</v>
      </c>
      <c r="R5528" s="9" t="s">
        <v>34</v>
      </c>
      <c r="S5528" s="7" t="s">
        <v>1134</v>
      </c>
      <c r="T5528" s="9" t="s">
        <v>39</v>
      </c>
      <c r="U5528" s="7">
        <v>0.56999999999999995</v>
      </c>
      <c r="V5528" s="12">
        <f>C5528+2</f>
        <v>41014</v>
      </c>
      <c r="W5528">
        <f>IF(D5528=' Pivot Tables'!$A$4,1,0)</f>
        <v>0</v>
      </c>
      <c r="X5528">
        <f>IF(AND(LEFT(D5528,4)+1=LEFT(' Pivot Tables'!$A$4,4)+0,RIGHT(LEFT(D5528,7),2)=RIGHT(LEFT(' Pivot Tables'!$A$4,7),2)),1,0)</f>
        <v>0</v>
      </c>
      <c r="Y5528" s="6">
        <f>1/COUNTIF(Таблица1[Order ID],Таблица1[[#This Row],[Order ID]])</f>
        <v>0.5</v>
      </c>
      <c r="Z5528" s="9">
        <f>1/COUNTIFS(Таблица1[Customer Name],Таблица1[[#This Row],[Customer Name]],Таблица1[Order-Year-Month],Таблица1[[#This Row],[Order-Year-Month]])</f>
        <v>0.5</v>
      </c>
    </row>
    <row r="5529" spans="1:26" x14ac:dyDescent="0.2">
      <c r="A5529" s="6">
        <v>1161</v>
      </c>
      <c r="B5529" s="7">
        <v>8450</v>
      </c>
      <c r="C5529" s="8">
        <f>DATE(2012,12,31)-262</f>
        <v>41012</v>
      </c>
      <c r="D5529" s="8" t="str">
        <f t="shared" si="103"/>
        <v>2012-04 (апрель 2012)</v>
      </c>
      <c r="E5529" s="9" t="s">
        <v>45</v>
      </c>
      <c r="F5529" s="7">
        <v>22</v>
      </c>
      <c r="G5529" s="7">
        <v>41.39</v>
      </c>
      <c r="H5529" s="7">
        <v>0.09</v>
      </c>
      <c r="I5529" s="9" t="s">
        <v>22</v>
      </c>
      <c r="J5529" s="10">
        <v>-12.0175</v>
      </c>
      <c r="K5529" s="11">
        <v>1.88</v>
      </c>
      <c r="L5529" s="11">
        <v>1.49</v>
      </c>
      <c r="M5529" s="9" t="s">
        <v>1228</v>
      </c>
      <c r="N5529" s="6" t="s">
        <v>1905</v>
      </c>
      <c r="O5529" s="6" t="s">
        <v>673</v>
      </c>
      <c r="P5529" s="9" t="s">
        <v>60</v>
      </c>
      <c r="Q5529" s="9" t="s">
        <v>26</v>
      </c>
      <c r="R5529" s="9" t="s">
        <v>37</v>
      </c>
      <c r="S5529" s="7" t="s">
        <v>172</v>
      </c>
      <c r="T5529" s="9" t="s">
        <v>39</v>
      </c>
      <c r="U5529" s="7">
        <v>0.37</v>
      </c>
      <c r="V5529" s="12">
        <f>C5529+1</f>
        <v>41013</v>
      </c>
      <c r="W5529">
        <f>IF(D5529=' Pivot Tables'!$A$4,1,0)</f>
        <v>0</v>
      </c>
      <c r="X5529">
        <f>IF(AND(LEFT(D5529,4)+1=LEFT(' Pivot Tables'!$A$4,4)+0,RIGHT(LEFT(D5529,7),2)=RIGHT(LEFT(' Pivot Tables'!$A$4,7),2)),1,0)</f>
        <v>0</v>
      </c>
      <c r="Y5529" s="6">
        <f>1/COUNTIF(Таблица1[Order ID],Таблица1[[#This Row],[Order ID]])</f>
        <v>0.5</v>
      </c>
      <c r="Z5529" s="9">
        <f>1/COUNTIFS(Таблица1[Customer Name],Таблица1[[#This Row],[Customer Name]],Таблица1[Order-Year-Month],Таблица1[[#This Row],[Order-Year-Month]])</f>
        <v>0.5</v>
      </c>
    </row>
    <row r="5530" spans="1:26" x14ac:dyDescent="0.2">
      <c r="A5530" s="6">
        <v>2241</v>
      </c>
      <c r="B5530" s="7">
        <v>16164</v>
      </c>
      <c r="C5530" s="8">
        <f>DATE(2012,12,31)-363</f>
        <v>40911</v>
      </c>
      <c r="D5530" s="8" t="str">
        <f t="shared" si="103"/>
        <v>2012-01 (январь 2012)</v>
      </c>
      <c r="E5530" s="9" t="s">
        <v>21</v>
      </c>
      <c r="F5530" s="7">
        <v>26</v>
      </c>
      <c r="G5530" s="7">
        <v>2354.15</v>
      </c>
      <c r="H5530" s="7">
        <v>0.03</v>
      </c>
      <c r="I5530" s="9" t="s">
        <v>31</v>
      </c>
      <c r="J5530" s="10">
        <v>774.79</v>
      </c>
      <c r="K5530" s="11">
        <v>90.97</v>
      </c>
      <c r="L5530" s="11">
        <v>14</v>
      </c>
      <c r="M5530" s="9" t="s">
        <v>1228</v>
      </c>
      <c r="N5530" s="6" t="s">
        <v>1905</v>
      </c>
      <c r="O5530" s="6" t="s">
        <v>673</v>
      </c>
      <c r="P5530" s="9" t="s">
        <v>60</v>
      </c>
      <c r="Q5530" s="9" t="s">
        <v>42</v>
      </c>
      <c r="R5530" s="9" t="s">
        <v>210</v>
      </c>
      <c r="S5530" s="7" t="s">
        <v>772</v>
      </c>
      <c r="T5530" s="9" t="s">
        <v>36</v>
      </c>
      <c r="U5530" s="7">
        <v>0.36</v>
      </c>
      <c r="V5530" s="12">
        <f>C5530+4</f>
        <v>40915</v>
      </c>
      <c r="W5530">
        <f>IF(D5530=' Pivot Tables'!$A$4,1,0)</f>
        <v>0</v>
      </c>
      <c r="X5530">
        <f>IF(AND(LEFT(D5530,4)+1=LEFT(' Pivot Tables'!$A$4,4)+0,RIGHT(LEFT(D5530,7),2)=RIGHT(LEFT(' Pivot Tables'!$A$4,7),2)),1,0)</f>
        <v>0</v>
      </c>
      <c r="Y5530" s="6">
        <f>1/COUNTIF(Таблица1[Order ID],Таблица1[[#This Row],[Order ID]])</f>
        <v>0.33333333333333331</v>
      </c>
      <c r="Z5530" s="9">
        <f>1/COUNTIFS(Таблица1[Customer Name],Таблица1[[#This Row],[Customer Name]],Таблица1[Order-Year-Month],Таблица1[[#This Row],[Order-Year-Month]])</f>
        <v>0.33333333333333331</v>
      </c>
    </row>
    <row r="5531" spans="1:26" x14ac:dyDescent="0.2">
      <c r="A5531" s="6">
        <v>2601</v>
      </c>
      <c r="B5531" s="7">
        <v>18789</v>
      </c>
      <c r="C5531" s="8">
        <f>DATE(2012,12,31)-656</f>
        <v>40618</v>
      </c>
      <c r="D5531" s="8" t="str">
        <f t="shared" si="103"/>
        <v>2011-03 (март 2011)</v>
      </c>
      <c r="E5531" s="9" t="s">
        <v>30</v>
      </c>
      <c r="F5531" s="7">
        <v>50</v>
      </c>
      <c r="G5531" s="7">
        <v>1558.18</v>
      </c>
      <c r="H5531" s="7">
        <v>0</v>
      </c>
      <c r="I5531" s="9" t="s">
        <v>22</v>
      </c>
      <c r="J5531" s="10">
        <v>417.62</v>
      </c>
      <c r="K5531" s="11">
        <v>30.98</v>
      </c>
      <c r="L5531" s="11">
        <v>9.18</v>
      </c>
      <c r="M5531" s="9" t="s">
        <v>1931</v>
      </c>
      <c r="N5531" s="6" t="s">
        <v>1905</v>
      </c>
      <c r="O5531" s="6" t="s">
        <v>673</v>
      </c>
      <c r="P5531" s="9" t="s">
        <v>25</v>
      </c>
      <c r="Q5531" s="9" t="s">
        <v>26</v>
      </c>
      <c r="R5531" s="9" t="s">
        <v>61</v>
      </c>
      <c r="S5531" s="7" t="s">
        <v>1583</v>
      </c>
      <c r="T5531" s="9" t="s">
        <v>39</v>
      </c>
      <c r="U5531" s="7">
        <v>0.4</v>
      </c>
      <c r="V5531" s="12">
        <f>C5531+2</f>
        <v>40620</v>
      </c>
      <c r="W5531">
        <f>IF(D5531=' Pivot Tables'!$A$4,1,0)</f>
        <v>0</v>
      </c>
      <c r="X5531">
        <f>IF(AND(LEFT(D5531,4)+1=LEFT(' Pivot Tables'!$A$4,4)+0,RIGHT(LEFT(D5531,7),2)=RIGHT(LEFT(' Pivot Tables'!$A$4,7),2)),1,0)</f>
        <v>0</v>
      </c>
      <c r="Y5531" s="6">
        <f>1/COUNTIF(Таблица1[Order ID],Таблица1[[#This Row],[Order ID]])</f>
        <v>1</v>
      </c>
      <c r="Z5531" s="9">
        <f>1/COUNTIFS(Таблица1[Customer Name],Таблица1[[#This Row],[Customer Name]],Таблица1[Order-Year-Month],Таблица1[[#This Row],[Order-Year-Month]])</f>
        <v>1</v>
      </c>
    </row>
    <row r="5532" spans="1:26" x14ac:dyDescent="0.2">
      <c r="A5532" s="6">
        <v>2639</v>
      </c>
      <c r="B5532" s="7">
        <v>19105</v>
      </c>
      <c r="C5532" s="8">
        <f>DATE(2012,12,31)-1160</f>
        <v>40114</v>
      </c>
      <c r="D5532" s="8" t="str">
        <f t="shared" si="103"/>
        <v>2009-10 (октябрь 2009)</v>
      </c>
      <c r="E5532" s="9" t="s">
        <v>30</v>
      </c>
      <c r="F5532" s="7">
        <v>31</v>
      </c>
      <c r="G5532" s="7">
        <v>1370.56</v>
      </c>
      <c r="H5532" s="7">
        <v>0.1</v>
      </c>
      <c r="I5532" s="9" t="s">
        <v>22</v>
      </c>
      <c r="J5532" s="10">
        <v>511.51</v>
      </c>
      <c r="K5532" s="11">
        <v>48.91</v>
      </c>
      <c r="L5532" s="11">
        <v>5.97</v>
      </c>
      <c r="M5532" s="9" t="s">
        <v>1929</v>
      </c>
      <c r="N5532" s="6" t="s">
        <v>1905</v>
      </c>
      <c r="O5532" s="6" t="s">
        <v>673</v>
      </c>
      <c r="P5532" s="9" t="s">
        <v>41</v>
      </c>
      <c r="Q5532" s="9" t="s">
        <v>26</v>
      </c>
      <c r="R5532" s="9" t="s">
        <v>61</v>
      </c>
      <c r="S5532" s="7" t="s">
        <v>1316</v>
      </c>
      <c r="T5532" s="9" t="s">
        <v>39</v>
      </c>
      <c r="U5532" s="7">
        <v>0.38</v>
      </c>
      <c r="V5532" s="12">
        <f>C5532+2</f>
        <v>40116</v>
      </c>
      <c r="W5532">
        <f>IF(D5532=' Pivot Tables'!$A$4,1,0)</f>
        <v>0</v>
      </c>
      <c r="X5532">
        <f>IF(AND(LEFT(D5532,4)+1=LEFT(' Pivot Tables'!$A$4,4)+0,RIGHT(LEFT(D5532,7),2)=RIGHT(LEFT(' Pivot Tables'!$A$4,7),2)),1,0)</f>
        <v>0</v>
      </c>
      <c r="Y5532" s="6">
        <f>1/COUNTIF(Таблица1[Order ID],Таблица1[[#This Row],[Order ID]])</f>
        <v>0.5</v>
      </c>
      <c r="Z5532" s="9">
        <f>1/COUNTIFS(Таблица1[Customer Name],Таблица1[[#This Row],[Customer Name]],Таблица1[Order-Year-Month],Таблица1[[#This Row],[Order-Year-Month]])</f>
        <v>0.5</v>
      </c>
    </row>
    <row r="5533" spans="1:26" x14ac:dyDescent="0.2">
      <c r="A5533" s="6">
        <v>2640</v>
      </c>
      <c r="B5533" s="7">
        <v>19105</v>
      </c>
      <c r="C5533" s="8">
        <f>DATE(2012,12,31)-1160</f>
        <v>40114</v>
      </c>
      <c r="D5533" s="8" t="str">
        <f t="shared" si="103"/>
        <v>2009-10 (октябрь 2009)</v>
      </c>
      <c r="E5533" s="9" t="s">
        <v>30</v>
      </c>
      <c r="F5533" s="7">
        <v>29</v>
      </c>
      <c r="G5533" s="7">
        <v>172.98</v>
      </c>
      <c r="H5533" s="7">
        <v>0.08</v>
      </c>
      <c r="I5533" s="9" t="s">
        <v>22</v>
      </c>
      <c r="J5533" s="10">
        <v>-59.75</v>
      </c>
      <c r="K5533" s="11">
        <v>5.98</v>
      </c>
      <c r="L5533" s="11">
        <v>5.46</v>
      </c>
      <c r="M5533" s="9" t="s">
        <v>1929</v>
      </c>
      <c r="N5533" s="6" t="s">
        <v>1905</v>
      </c>
      <c r="O5533" s="6" t="s">
        <v>673</v>
      </c>
      <c r="P5533" s="9" t="s">
        <v>41</v>
      </c>
      <c r="Q5533" s="9" t="s">
        <v>26</v>
      </c>
      <c r="R5533" s="9" t="s">
        <v>61</v>
      </c>
      <c r="S5533" s="7" t="s">
        <v>751</v>
      </c>
      <c r="T5533" s="9" t="s">
        <v>39</v>
      </c>
      <c r="U5533" s="7">
        <v>0.36</v>
      </c>
      <c r="V5533" s="12">
        <f>C5533+0</f>
        <v>40114</v>
      </c>
      <c r="W5533">
        <f>IF(D5533=' Pivot Tables'!$A$4,1,0)</f>
        <v>0</v>
      </c>
      <c r="X5533">
        <f>IF(AND(LEFT(D5533,4)+1=LEFT(' Pivot Tables'!$A$4,4)+0,RIGHT(LEFT(D5533,7),2)=RIGHT(LEFT(' Pivot Tables'!$A$4,7),2)),1,0)</f>
        <v>0</v>
      </c>
      <c r="Y5533" s="6">
        <f>1/COUNTIF(Таблица1[Order ID],Таблица1[[#This Row],[Order ID]])</f>
        <v>0.5</v>
      </c>
      <c r="Z5533" s="9">
        <f>1/COUNTIFS(Таблица1[Customer Name],Таблица1[[#This Row],[Customer Name]],Таблица1[Order-Year-Month],Таблица1[[#This Row],[Order-Year-Month]])</f>
        <v>0.5</v>
      </c>
    </row>
    <row r="5534" spans="1:26" x14ac:dyDescent="0.2">
      <c r="A5534" s="6">
        <v>2642</v>
      </c>
      <c r="B5534" s="7">
        <v>19136</v>
      </c>
      <c r="C5534" s="8">
        <f>DATE(2012,12,31)-880</f>
        <v>40394</v>
      </c>
      <c r="D5534" s="8" t="str">
        <f t="shared" si="103"/>
        <v>2010-08 (август 2010)</v>
      </c>
      <c r="E5534" s="9" t="s">
        <v>45</v>
      </c>
      <c r="F5534" s="7">
        <v>44</v>
      </c>
      <c r="G5534" s="7">
        <v>1372.9455</v>
      </c>
      <c r="H5534" s="7">
        <v>0</v>
      </c>
      <c r="I5534" s="9" t="s">
        <v>22</v>
      </c>
      <c r="J5534" s="10">
        <v>429.88499999999999</v>
      </c>
      <c r="K5534" s="11">
        <v>35.99</v>
      </c>
      <c r="L5534" s="11">
        <v>1.25</v>
      </c>
      <c r="M5534" s="9" t="s">
        <v>1930</v>
      </c>
      <c r="N5534" s="6" t="s">
        <v>1905</v>
      </c>
      <c r="O5534" s="6" t="s">
        <v>673</v>
      </c>
      <c r="P5534" s="9" t="s">
        <v>41</v>
      </c>
      <c r="Q5534" s="9" t="s">
        <v>42</v>
      </c>
      <c r="R5534" s="9" t="s">
        <v>43</v>
      </c>
      <c r="S5534" s="7" t="s">
        <v>695</v>
      </c>
      <c r="T5534" s="9" t="s">
        <v>52</v>
      </c>
      <c r="U5534" s="7">
        <v>0.56999999999999995</v>
      </c>
      <c r="V5534" s="12">
        <f>C5534+2</f>
        <v>40396</v>
      </c>
      <c r="W5534">
        <f>IF(D5534=' Pivot Tables'!$A$4,1,0)</f>
        <v>0</v>
      </c>
      <c r="X5534">
        <f>IF(AND(LEFT(D5534,4)+1=LEFT(' Pivot Tables'!$A$4,4)+0,RIGHT(LEFT(D5534,7),2)=RIGHT(LEFT(' Pivot Tables'!$A$4,7),2)),1,0)</f>
        <v>0</v>
      </c>
      <c r="Y5534" s="6">
        <f>1/COUNTIF(Таблица1[Order ID],Таблица1[[#This Row],[Order ID]])</f>
        <v>1</v>
      </c>
      <c r="Z5534" s="9">
        <f>1/COUNTIFS(Таблица1[Customer Name],Таблица1[[#This Row],[Customer Name]],Таблица1[Order-Year-Month],Таблица1[[#This Row],[Order-Year-Month]])</f>
        <v>1</v>
      </c>
    </row>
    <row r="5535" spans="1:26" x14ac:dyDescent="0.2">
      <c r="A5535" s="6">
        <v>2657</v>
      </c>
      <c r="B5535" s="7">
        <v>19206</v>
      </c>
      <c r="C5535" s="8">
        <f>DATE(2012,12,31)-1007</f>
        <v>40267</v>
      </c>
      <c r="D5535" s="8" t="str">
        <f t="shared" si="103"/>
        <v>2010-03 (март 2010)</v>
      </c>
      <c r="E5535" s="9" t="s">
        <v>21</v>
      </c>
      <c r="F5535" s="7">
        <v>40</v>
      </c>
      <c r="G5535" s="7">
        <v>88.02</v>
      </c>
      <c r="H5535" s="7">
        <v>0</v>
      </c>
      <c r="I5535" s="9" t="s">
        <v>22</v>
      </c>
      <c r="J5535" s="10">
        <v>-6.5435000000000008</v>
      </c>
      <c r="K5535" s="11">
        <v>2.08</v>
      </c>
      <c r="L5535" s="11">
        <v>1.49</v>
      </c>
      <c r="M5535" s="9" t="s">
        <v>1930</v>
      </c>
      <c r="N5535" s="6" t="s">
        <v>1905</v>
      </c>
      <c r="O5535" s="6" t="s">
        <v>673</v>
      </c>
      <c r="P5535" s="9" t="s">
        <v>41</v>
      </c>
      <c r="Q5535" s="9" t="s">
        <v>26</v>
      </c>
      <c r="R5535" s="9" t="s">
        <v>37</v>
      </c>
      <c r="S5535" s="7" t="s">
        <v>745</v>
      </c>
      <c r="T5535" s="9" t="s">
        <v>39</v>
      </c>
      <c r="U5535" s="7">
        <v>0.36</v>
      </c>
      <c r="V5535" s="12">
        <f>C5535+4</f>
        <v>40271</v>
      </c>
      <c r="W5535">
        <f>IF(D5535=' Pivot Tables'!$A$4,1,0)</f>
        <v>0</v>
      </c>
      <c r="X5535">
        <f>IF(AND(LEFT(D5535,4)+1=LEFT(' Pivot Tables'!$A$4,4)+0,RIGHT(LEFT(D5535,7),2)=RIGHT(LEFT(' Pivot Tables'!$A$4,7),2)),1,0)</f>
        <v>0</v>
      </c>
      <c r="Y5535" s="6">
        <f>1/COUNTIF(Таблица1[Order ID],Таблица1[[#This Row],[Order ID]])</f>
        <v>0.5</v>
      </c>
      <c r="Z5535" s="9">
        <f>1/COUNTIFS(Таблица1[Customer Name],Таблица1[[#This Row],[Customer Name]],Таблица1[Order-Year-Month],Таблица1[[#This Row],[Order-Year-Month]])</f>
        <v>0.25</v>
      </c>
    </row>
    <row r="5536" spans="1:26" x14ac:dyDescent="0.2">
      <c r="A5536" s="6">
        <v>2658</v>
      </c>
      <c r="B5536" s="7">
        <v>19206</v>
      </c>
      <c r="C5536" s="8">
        <f>DATE(2012,12,31)-1007</f>
        <v>40267</v>
      </c>
      <c r="D5536" s="8" t="str">
        <f t="shared" si="103"/>
        <v>2010-03 (март 2010)</v>
      </c>
      <c r="E5536" s="9" t="s">
        <v>21</v>
      </c>
      <c r="F5536" s="7">
        <v>32</v>
      </c>
      <c r="G5536" s="7">
        <v>800</v>
      </c>
      <c r="H5536" s="7">
        <v>0.1</v>
      </c>
      <c r="I5536" s="9" t="s">
        <v>31</v>
      </c>
      <c r="J5536" s="10">
        <v>-210.3</v>
      </c>
      <c r="K5536" s="11">
        <v>25.98</v>
      </c>
      <c r="L5536" s="11">
        <v>14.36</v>
      </c>
      <c r="M5536" s="9" t="s">
        <v>1930</v>
      </c>
      <c r="N5536" s="6" t="s">
        <v>1905</v>
      </c>
      <c r="O5536" s="6" t="s">
        <v>673</v>
      </c>
      <c r="P5536" s="9" t="s">
        <v>41</v>
      </c>
      <c r="Q5536" s="9" t="s">
        <v>49</v>
      </c>
      <c r="R5536" s="9" t="s">
        <v>112</v>
      </c>
      <c r="S5536" s="7" t="s">
        <v>280</v>
      </c>
      <c r="T5536" s="9" t="s">
        <v>36</v>
      </c>
      <c r="U5536" s="7">
        <v>0.6</v>
      </c>
      <c r="V5536" s="12">
        <f>C5536+2</f>
        <v>40269</v>
      </c>
      <c r="W5536">
        <f>IF(D5536=' Pivot Tables'!$A$4,1,0)</f>
        <v>0</v>
      </c>
      <c r="X5536">
        <f>IF(AND(LEFT(D5536,4)+1=LEFT(' Pivot Tables'!$A$4,4)+0,RIGHT(LEFT(D5536,7),2)=RIGHT(LEFT(' Pivot Tables'!$A$4,7),2)),1,0)</f>
        <v>0</v>
      </c>
      <c r="Y5536" s="6">
        <f>1/COUNTIF(Таблица1[Order ID],Таблица1[[#This Row],[Order ID]])</f>
        <v>0.5</v>
      </c>
      <c r="Z5536" s="9">
        <f>1/COUNTIFS(Таблица1[Customer Name],Таблица1[[#This Row],[Customer Name]],Таблица1[Order-Year-Month],Таблица1[[#This Row],[Order-Year-Month]])</f>
        <v>0.25</v>
      </c>
    </row>
    <row r="5537" spans="1:26" x14ac:dyDescent="0.2">
      <c r="A5537" s="6">
        <v>2725</v>
      </c>
      <c r="B5537" s="7">
        <v>19654</v>
      </c>
      <c r="C5537" s="8">
        <f>DATE(2012,12,31)-722</f>
        <v>40552</v>
      </c>
      <c r="D5537" s="8" t="str">
        <f t="shared" si="103"/>
        <v>2011-01 (январь 2011)</v>
      </c>
      <c r="E5537" s="9" t="s">
        <v>30</v>
      </c>
      <c r="F5537" s="7">
        <v>8</v>
      </c>
      <c r="G5537" s="7">
        <v>381.69</v>
      </c>
      <c r="H5537" s="7">
        <v>0.04</v>
      </c>
      <c r="I5537" s="9" t="s">
        <v>22</v>
      </c>
      <c r="J5537" s="10">
        <v>256.18</v>
      </c>
      <c r="K5537" s="11">
        <v>46.94</v>
      </c>
      <c r="L5537" s="11">
        <v>6.77</v>
      </c>
      <c r="M5537" s="9" t="s">
        <v>1932</v>
      </c>
      <c r="N5537" s="6" t="s">
        <v>1905</v>
      </c>
      <c r="O5537" s="6" t="s">
        <v>673</v>
      </c>
      <c r="P5537" s="9" t="s">
        <v>60</v>
      </c>
      <c r="Q5537" s="9" t="s">
        <v>49</v>
      </c>
      <c r="R5537" s="9" t="s">
        <v>50</v>
      </c>
      <c r="S5537" s="7" t="s">
        <v>1124</v>
      </c>
      <c r="T5537" s="9" t="s">
        <v>39</v>
      </c>
      <c r="U5537" s="7">
        <v>0.44</v>
      </c>
      <c r="V5537" s="12">
        <f>C5537+0</f>
        <v>40552</v>
      </c>
      <c r="W5537">
        <f>IF(D5537=' Pivot Tables'!$A$4,1,0)</f>
        <v>0</v>
      </c>
      <c r="X5537">
        <f>IF(AND(LEFT(D5537,4)+1=LEFT(' Pivot Tables'!$A$4,4)+0,RIGHT(LEFT(D5537,7),2)=RIGHT(LEFT(' Pivot Tables'!$A$4,7),2)),1,0)</f>
        <v>0</v>
      </c>
      <c r="Y5537" s="6">
        <f>1/COUNTIF(Таблица1[Order ID],Таблица1[[#This Row],[Order ID]])</f>
        <v>1</v>
      </c>
      <c r="Z5537" s="9">
        <f>1/COUNTIFS(Таблица1[Customer Name],Таблица1[[#This Row],[Customer Name]],Таблица1[Order-Year-Month],Таблица1[[#This Row],[Order-Year-Month]])</f>
        <v>1</v>
      </c>
    </row>
    <row r="5538" spans="1:26" x14ac:dyDescent="0.2">
      <c r="A5538" s="6">
        <v>2775</v>
      </c>
      <c r="B5538" s="7">
        <v>20037</v>
      </c>
      <c r="C5538" s="8">
        <f>DATE(2012,12,31)-1451</f>
        <v>39823</v>
      </c>
      <c r="D5538" s="8" t="str">
        <f t="shared" si="103"/>
        <v>2009-01 (январь 2009)</v>
      </c>
      <c r="E5538" s="9" t="s">
        <v>21</v>
      </c>
      <c r="F5538" s="7">
        <v>35</v>
      </c>
      <c r="G5538" s="7">
        <v>1009.42</v>
      </c>
      <c r="H5538" s="7">
        <v>0.02</v>
      </c>
      <c r="I5538" s="9" t="s">
        <v>22</v>
      </c>
      <c r="J5538" s="10">
        <v>339.58</v>
      </c>
      <c r="K5538" s="11">
        <v>29.18</v>
      </c>
      <c r="L5538" s="11">
        <v>8.5500000000000007</v>
      </c>
      <c r="M5538" s="9" t="s">
        <v>1930</v>
      </c>
      <c r="N5538" s="6" t="s">
        <v>1905</v>
      </c>
      <c r="O5538" s="6" t="s">
        <v>673</v>
      </c>
      <c r="P5538" s="9" t="s">
        <v>41</v>
      </c>
      <c r="Q5538" s="9" t="s">
        <v>49</v>
      </c>
      <c r="R5538" s="9" t="s">
        <v>50</v>
      </c>
      <c r="S5538" s="7" t="s">
        <v>608</v>
      </c>
      <c r="T5538" s="9" t="s">
        <v>39</v>
      </c>
      <c r="U5538" s="7">
        <v>0.42</v>
      </c>
      <c r="V5538" s="12">
        <f>C5538+5</f>
        <v>39828</v>
      </c>
      <c r="W5538">
        <f>IF(D5538=' Pivot Tables'!$A$4,1,0)</f>
        <v>0</v>
      </c>
      <c r="X5538">
        <f>IF(AND(LEFT(D5538,4)+1=LEFT(' Pivot Tables'!$A$4,4)+0,RIGHT(LEFT(D5538,7),2)=RIGHT(LEFT(' Pivot Tables'!$A$4,7),2)),1,0)</f>
        <v>1</v>
      </c>
      <c r="Y5538" s="6">
        <f>1/COUNTIF(Таблица1[Order ID],Таблица1[[#This Row],[Order ID]])</f>
        <v>0.5</v>
      </c>
      <c r="Z5538" s="9">
        <f>1/COUNTIFS(Таблица1[Customer Name],Таблица1[[#This Row],[Customer Name]],Таблица1[Order-Year-Month],Таблица1[[#This Row],[Order-Year-Month]])</f>
        <v>0.5</v>
      </c>
    </row>
    <row r="5539" spans="1:26" x14ac:dyDescent="0.2">
      <c r="A5539" s="6">
        <v>2776</v>
      </c>
      <c r="B5539" s="7">
        <v>20037</v>
      </c>
      <c r="C5539" s="8">
        <f>DATE(2012,12,31)-1451</f>
        <v>39823</v>
      </c>
      <c r="D5539" s="8" t="str">
        <f t="shared" si="103"/>
        <v>2009-01 (январь 2009)</v>
      </c>
      <c r="E5539" s="9" t="s">
        <v>21</v>
      </c>
      <c r="F5539" s="7">
        <v>49</v>
      </c>
      <c r="G5539" s="7">
        <v>15137.11</v>
      </c>
      <c r="H5539" s="7">
        <v>0.03</v>
      </c>
      <c r="I5539" s="9" t="s">
        <v>31</v>
      </c>
      <c r="J5539" s="10">
        <v>4913.16</v>
      </c>
      <c r="K5539" s="11">
        <v>297.64</v>
      </c>
      <c r="L5539" s="11">
        <v>14.7</v>
      </c>
      <c r="M5539" s="9" t="s">
        <v>1930</v>
      </c>
      <c r="N5539" s="6" t="s">
        <v>1905</v>
      </c>
      <c r="O5539" s="6" t="s">
        <v>673</v>
      </c>
      <c r="P5539" s="9" t="s">
        <v>41</v>
      </c>
      <c r="Q5539" s="9" t="s">
        <v>42</v>
      </c>
      <c r="R5539" s="9" t="s">
        <v>210</v>
      </c>
      <c r="S5539" s="7" t="s">
        <v>758</v>
      </c>
      <c r="T5539" s="9" t="s">
        <v>36</v>
      </c>
      <c r="U5539" s="7">
        <v>0.56999999999999995</v>
      </c>
      <c r="V5539" s="12">
        <f>C5539+5</f>
        <v>39828</v>
      </c>
      <c r="W5539">
        <f>IF(D5539=' Pivot Tables'!$A$4,1,0)</f>
        <v>0</v>
      </c>
      <c r="X5539">
        <f>IF(AND(LEFT(D5539,4)+1=LEFT(' Pivot Tables'!$A$4,4)+0,RIGHT(LEFT(D5539,7),2)=RIGHT(LEFT(' Pivot Tables'!$A$4,7),2)),1,0)</f>
        <v>1</v>
      </c>
      <c r="Y5539" s="6">
        <f>1/COUNTIF(Таблица1[Order ID],Таблица1[[#This Row],[Order ID]])</f>
        <v>0.5</v>
      </c>
      <c r="Z5539" s="9">
        <f>1/COUNTIFS(Таблица1[Customer Name],Таблица1[[#This Row],[Customer Name]],Таблица1[Order-Year-Month],Таблица1[[#This Row],[Order-Year-Month]])</f>
        <v>0.5</v>
      </c>
    </row>
    <row r="5540" spans="1:26" x14ac:dyDescent="0.2">
      <c r="A5540" s="6">
        <v>2855</v>
      </c>
      <c r="B5540" s="7">
        <v>20549</v>
      </c>
      <c r="C5540" s="8">
        <f>DATE(2012,12,31)-1449</f>
        <v>39825</v>
      </c>
      <c r="D5540" s="8" t="str">
        <f t="shared" si="103"/>
        <v>2009-01 (январь 2009)</v>
      </c>
      <c r="E5540" s="9" t="s">
        <v>45</v>
      </c>
      <c r="F5540" s="7">
        <v>40</v>
      </c>
      <c r="G5540" s="7">
        <v>1030.0899999999999</v>
      </c>
      <c r="H5540" s="7">
        <v>0.09</v>
      </c>
      <c r="I5540" s="9" t="s">
        <v>22</v>
      </c>
      <c r="J5540" s="10">
        <v>-568.71</v>
      </c>
      <c r="K5540" s="11">
        <v>27.75</v>
      </c>
      <c r="L5540" s="11">
        <v>19.989999999999998</v>
      </c>
      <c r="M5540" s="9" t="s">
        <v>360</v>
      </c>
      <c r="N5540" s="6" t="s">
        <v>1905</v>
      </c>
      <c r="O5540" s="6" t="s">
        <v>673</v>
      </c>
      <c r="P5540" s="9" t="s">
        <v>41</v>
      </c>
      <c r="Q5540" s="9" t="s">
        <v>26</v>
      </c>
      <c r="R5540" s="9" t="s">
        <v>27</v>
      </c>
      <c r="S5540" s="7" t="s">
        <v>561</v>
      </c>
      <c r="T5540" s="9" t="s">
        <v>39</v>
      </c>
      <c r="U5540" s="7">
        <v>0.67</v>
      </c>
      <c r="V5540" s="12">
        <f>C5540+1</f>
        <v>39826</v>
      </c>
      <c r="W5540">
        <f>IF(D5540=' Pivot Tables'!$A$4,1,0)</f>
        <v>0</v>
      </c>
      <c r="X5540">
        <f>IF(AND(LEFT(D5540,4)+1=LEFT(' Pivot Tables'!$A$4,4)+0,RIGHT(LEFT(D5540,7),2)=RIGHT(LEFT(' Pivot Tables'!$A$4,7),2)),1,0)</f>
        <v>1</v>
      </c>
      <c r="Y5540" s="6">
        <f>1/COUNTIF(Таблица1[Order ID],Таблица1[[#This Row],[Order ID]])</f>
        <v>1</v>
      </c>
      <c r="Z5540" s="9">
        <f>1/COUNTIFS(Таблица1[Customer Name],Таблица1[[#This Row],[Customer Name]],Таблица1[Order-Year-Month],Таблица1[[#This Row],[Order-Year-Month]])</f>
        <v>1</v>
      </c>
    </row>
    <row r="5541" spans="1:26" x14ac:dyDescent="0.2">
      <c r="A5541" s="6">
        <v>2888</v>
      </c>
      <c r="B5541" s="7">
        <v>20832</v>
      </c>
      <c r="C5541" s="8">
        <f>DATE(2012,12,31)-885</f>
        <v>40389</v>
      </c>
      <c r="D5541" s="8" t="str">
        <f t="shared" si="103"/>
        <v>2010-07 (июль 2010)</v>
      </c>
      <c r="E5541" s="9" t="s">
        <v>45</v>
      </c>
      <c r="F5541" s="7">
        <v>47</v>
      </c>
      <c r="G5541" s="7">
        <v>88.7</v>
      </c>
      <c r="H5541" s="7">
        <v>0.06</v>
      </c>
      <c r="I5541" s="9" t="s">
        <v>22</v>
      </c>
      <c r="J5541" s="10">
        <v>-20.447000000000003</v>
      </c>
      <c r="K5541" s="11">
        <v>1.88</v>
      </c>
      <c r="L5541" s="11">
        <v>1.49</v>
      </c>
      <c r="M5541" s="9" t="s">
        <v>1933</v>
      </c>
      <c r="N5541" s="6" t="s">
        <v>1905</v>
      </c>
      <c r="O5541" s="6" t="s">
        <v>673</v>
      </c>
      <c r="P5541" s="9" t="s">
        <v>60</v>
      </c>
      <c r="Q5541" s="9" t="s">
        <v>26</v>
      </c>
      <c r="R5541" s="9" t="s">
        <v>37</v>
      </c>
      <c r="S5541" s="7" t="s">
        <v>172</v>
      </c>
      <c r="T5541" s="9" t="s">
        <v>39</v>
      </c>
      <c r="U5541" s="7">
        <v>0.37</v>
      </c>
      <c r="V5541" s="12">
        <f>C5541+0</f>
        <v>40389</v>
      </c>
      <c r="W5541">
        <f>IF(D5541=' Pivot Tables'!$A$4,1,0)</f>
        <v>0</v>
      </c>
      <c r="X5541">
        <f>IF(AND(LEFT(D5541,4)+1=LEFT(' Pivot Tables'!$A$4,4)+0,RIGHT(LEFT(D5541,7),2)=RIGHT(LEFT(' Pivot Tables'!$A$4,7),2)),1,0)</f>
        <v>0</v>
      </c>
      <c r="Y5541" s="6">
        <f>1/COUNTIF(Таблица1[Order ID],Таблица1[[#This Row],[Order ID]])</f>
        <v>0.5</v>
      </c>
      <c r="Z5541" s="9">
        <f>1/COUNTIFS(Таблица1[Customer Name],Таблица1[[#This Row],[Customer Name]],Таблица1[Order-Year-Month],Таблица1[[#This Row],[Order-Year-Month]])</f>
        <v>0.33333333333333331</v>
      </c>
    </row>
    <row r="5542" spans="1:26" x14ac:dyDescent="0.2">
      <c r="A5542" s="6">
        <v>2889</v>
      </c>
      <c r="B5542" s="7">
        <v>20832</v>
      </c>
      <c r="C5542" s="8">
        <f>DATE(2012,12,31)-885</f>
        <v>40389</v>
      </c>
      <c r="D5542" s="8" t="str">
        <f t="shared" si="103"/>
        <v>2010-07 (июль 2010)</v>
      </c>
      <c r="E5542" s="9" t="s">
        <v>45</v>
      </c>
      <c r="F5542" s="7">
        <v>39</v>
      </c>
      <c r="G5542" s="7">
        <v>105.89</v>
      </c>
      <c r="H5542" s="7">
        <v>0.08</v>
      </c>
      <c r="I5542" s="9" t="s">
        <v>22</v>
      </c>
      <c r="J5542" s="10">
        <v>4.13</v>
      </c>
      <c r="K5542" s="11">
        <v>2.84</v>
      </c>
      <c r="L5542" s="11">
        <v>0.93</v>
      </c>
      <c r="M5542" s="9" t="s">
        <v>1933</v>
      </c>
      <c r="N5542" s="6" t="s">
        <v>1905</v>
      </c>
      <c r="O5542" s="6" t="s">
        <v>673</v>
      </c>
      <c r="P5542" s="9" t="s">
        <v>60</v>
      </c>
      <c r="Q5542" s="9" t="s">
        <v>26</v>
      </c>
      <c r="R5542" s="9" t="s">
        <v>95</v>
      </c>
      <c r="S5542" s="7" t="s">
        <v>98</v>
      </c>
      <c r="T5542" s="9" t="s">
        <v>68</v>
      </c>
      <c r="U5542" s="7">
        <v>0.54</v>
      </c>
      <c r="V5542" s="12">
        <f>C5542+2</f>
        <v>40391</v>
      </c>
      <c r="W5542">
        <f>IF(D5542=' Pivot Tables'!$A$4,1,0)</f>
        <v>0</v>
      </c>
      <c r="X5542">
        <f>IF(AND(LEFT(D5542,4)+1=LEFT(' Pivot Tables'!$A$4,4)+0,RIGHT(LEFT(D5542,7),2)=RIGHT(LEFT(' Pivot Tables'!$A$4,7),2)),1,0)</f>
        <v>0</v>
      </c>
      <c r="Y5542" s="6">
        <f>1/COUNTIF(Таблица1[Order ID],Таблица1[[#This Row],[Order ID]])</f>
        <v>0.5</v>
      </c>
      <c r="Z5542" s="9">
        <f>1/COUNTIFS(Таблица1[Customer Name],Таблица1[[#This Row],[Customer Name]],Таблица1[Order-Year-Month],Таблица1[[#This Row],[Order-Year-Month]])</f>
        <v>0.33333333333333331</v>
      </c>
    </row>
    <row r="5543" spans="1:26" x14ac:dyDescent="0.2">
      <c r="A5543" s="6">
        <v>3191</v>
      </c>
      <c r="B5543" s="7">
        <v>22887</v>
      </c>
      <c r="C5543" s="8">
        <f>DATE(2012,12,31)-774</f>
        <v>40500</v>
      </c>
      <c r="D5543" s="8" t="str">
        <f t="shared" si="103"/>
        <v>2010-11 (ноябрь 2010)</v>
      </c>
      <c r="E5543" s="9" t="s">
        <v>45</v>
      </c>
      <c r="F5543" s="7">
        <v>34</v>
      </c>
      <c r="G5543" s="7">
        <v>9107.27</v>
      </c>
      <c r="H5543" s="7">
        <v>7.0000000000000007E-2</v>
      </c>
      <c r="I5543" s="9" t="s">
        <v>22</v>
      </c>
      <c r="J5543" s="10">
        <v>2463.36</v>
      </c>
      <c r="K5543" s="11">
        <v>276.2</v>
      </c>
      <c r="L5543" s="11">
        <v>24.49</v>
      </c>
      <c r="M5543" s="9" t="s">
        <v>1933</v>
      </c>
      <c r="N5543" s="6" t="s">
        <v>1905</v>
      </c>
      <c r="O5543" s="6" t="s">
        <v>673</v>
      </c>
      <c r="P5543" s="9" t="s">
        <v>60</v>
      </c>
      <c r="Q5543" s="9" t="s">
        <v>49</v>
      </c>
      <c r="R5543" s="9" t="s">
        <v>112</v>
      </c>
      <c r="S5543" s="7" t="s">
        <v>164</v>
      </c>
      <c r="T5543" s="9" t="s">
        <v>29</v>
      </c>
      <c r="U5543" s="7"/>
      <c r="V5543" s="12">
        <f>C5543+1</f>
        <v>40501</v>
      </c>
      <c r="W5543">
        <f>IF(D5543=' Pivot Tables'!$A$4,1,0)</f>
        <v>0</v>
      </c>
      <c r="X5543">
        <f>IF(AND(LEFT(D5543,4)+1=LEFT(' Pivot Tables'!$A$4,4)+0,RIGHT(LEFT(D5543,7),2)=RIGHT(LEFT(' Pivot Tables'!$A$4,7),2)),1,0)</f>
        <v>0</v>
      </c>
      <c r="Y5543" s="6">
        <f>1/COUNTIF(Таблица1[Order ID],Таблица1[[#This Row],[Order ID]])</f>
        <v>1</v>
      </c>
      <c r="Z5543" s="9">
        <f>1/COUNTIFS(Таблица1[Customer Name],Таблица1[[#This Row],[Customer Name]],Таблица1[Order-Year-Month],Таблица1[[#This Row],[Order-Year-Month]])</f>
        <v>1</v>
      </c>
    </row>
    <row r="5544" spans="1:26" x14ac:dyDescent="0.2">
      <c r="A5544" s="6">
        <v>3345</v>
      </c>
      <c r="B5544" s="7">
        <v>23936</v>
      </c>
      <c r="C5544" s="8">
        <f>DATE(2012,12,31)-1110</f>
        <v>40164</v>
      </c>
      <c r="D5544" s="8" t="str">
        <f t="shared" si="103"/>
        <v>2009-12 (декабрь 2009)</v>
      </c>
      <c r="E5544" s="9" t="s">
        <v>63</v>
      </c>
      <c r="F5544" s="7">
        <v>27</v>
      </c>
      <c r="G5544" s="7">
        <v>71.39</v>
      </c>
      <c r="H5544" s="7">
        <v>0.09</v>
      </c>
      <c r="I5544" s="9" t="s">
        <v>22</v>
      </c>
      <c r="J5544" s="10">
        <v>-39.33</v>
      </c>
      <c r="K5544" s="11">
        <v>2.6</v>
      </c>
      <c r="L5544" s="11">
        <v>2.4</v>
      </c>
      <c r="M5544" s="9" t="s">
        <v>1928</v>
      </c>
      <c r="N5544" s="6" t="s">
        <v>1905</v>
      </c>
      <c r="O5544" s="6" t="s">
        <v>673</v>
      </c>
      <c r="P5544" s="9" t="s">
        <v>60</v>
      </c>
      <c r="Q5544" s="9" t="s">
        <v>26</v>
      </c>
      <c r="R5544" s="9" t="s">
        <v>95</v>
      </c>
      <c r="S5544" s="7" t="s">
        <v>393</v>
      </c>
      <c r="T5544" s="9" t="s">
        <v>68</v>
      </c>
      <c r="U5544" s="7">
        <v>0.57999999999999996</v>
      </c>
      <c r="V5544" s="12">
        <f>C5544+2</f>
        <v>40166</v>
      </c>
      <c r="W5544">
        <f>IF(D5544=' Pivot Tables'!$A$4,1,0)</f>
        <v>0</v>
      </c>
      <c r="X5544">
        <f>IF(AND(LEFT(D5544,4)+1=LEFT(' Pivot Tables'!$A$4,4)+0,RIGHT(LEFT(D5544,7),2)=RIGHT(LEFT(' Pivot Tables'!$A$4,7),2)),1,0)</f>
        <v>0</v>
      </c>
      <c r="Y5544" s="6">
        <f>1/COUNTIF(Таблица1[Order ID],Таблица1[[#This Row],[Order ID]])</f>
        <v>1</v>
      </c>
      <c r="Z5544" s="9">
        <f>1/COUNTIFS(Таблица1[Customer Name],Таблица1[[#This Row],[Customer Name]],Таблица1[Order-Year-Month],Таблица1[[#This Row],[Order-Year-Month]])</f>
        <v>1</v>
      </c>
    </row>
    <row r="5545" spans="1:26" x14ac:dyDescent="0.2">
      <c r="A5545" s="6">
        <v>3407</v>
      </c>
      <c r="B5545" s="7">
        <v>24326</v>
      </c>
      <c r="C5545" s="8">
        <f>DATE(2012,12,31)-459</f>
        <v>40815</v>
      </c>
      <c r="D5545" s="8" t="str">
        <f t="shared" si="103"/>
        <v>2011-09 (сентябрь 2011)</v>
      </c>
      <c r="E5545" s="9" t="s">
        <v>78</v>
      </c>
      <c r="F5545" s="7">
        <v>37</v>
      </c>
      <c r="G5545" s="7">
        <v>1596.86</v>
      </c>
      <c r="H5545" s="7">
        <v>0.05</v>
      </c>
      <c r="I5545" s="9" t="s">
        <v>22</v>
      </c>
      <c r="J5545" s="10">
        <v>418.6</v>
      </c>
      <c r="K5545" s="11">
        <v>44.01</v>
      </c>
      <c r="L5545" s="11">
        <v>3.5</v>
      </c>
      <c r="M5545" s="9" t="s">
        <v>360</v>
      </c>
      <c r="N5545" s="6" t="s">
        <v>1905</v>
      </c>
      <c r="O5545" s="6" t="s">
        <v>673</v>
      </c>
      <c r="P5545" s="9" t="s">
        <v>41</v>
      </c>
      <c r="Q5545" s="9" t="s">
        <v>26</v>
      </c>
      <c r="R5545" s="9" t="s">
        <v>34</v>
      </c>
      <c r="S5545" s="7" t="s">
        <v>1648</v>
      </c>
      <c r="T5545" s="9" t="s">
        <v>39</v>
      </c>
      <c r="U5545" s="7">
        <v>0.59</v>
      </c>
      <c r="V5545" s="12">
        <f>C5545+2</f>
        <v>40817</v>
      </c>
      <c r="W5545">
        <f>IF(D5545=' Pivot Tables'!$A$4,1,0)</f>
        <v>0</v>
      </c>
      <c r="X5545">
        <f>IF(AND(LEFT(D5545,4)+1=LEFT(' Pivot Tables'!$A$4,4)+0,RIGHT(LEFT(D5545,7),2)=RIGHT(LEFT(' Pivot Tables'!$A$4,7),2)),1,0)</f>
        <v>0</v>
      </c>
      <c r="Y5545" s="6">
        <f>1/COUNTIF(Таблица1[Order ID],Таблица1[[#This Row],[Order ID]])</f>
        <v>0.5</v>
      </c>
      <c r="Z5545" s="9">
        <f>1/COUNTIFS(Таблица1[Customer Name],Таблица1[[#This Row],[Customer Name]],Таблица1[Order-Year-Month],Таблица1[[#This Row],[Order-Year-Month]])</f>
        <v>0.5</v>
      </c>
    </row>
    <row r="5546" spans="1:26" x14ac:dyDescent="0.2">
      <c r="A5546" s="6">
        <v>3408</v>
      </c>
      <c r="B5546" s="7">
        <v>24326</v>
      </c>
      <c r="C5546" s="8">
        <f>DATE(2012,12,31)-459</f>
        <v>40815</v>
      </c>
      <c r="D5546" s="8" t="str">
        <f t="shared" si="103"/>
        <v>2011-09 (сентябрь 2011)</v>
      </c>
      <c r="E5546" s="9" t="s">
        <v>78</v>
      </c>
      <c r="F5546" s="7">
        <v>12</v>
      </c>
      <c r="G5546" s="7">
        <v>78.36</v>
      </c>
      <c r="H5546" s="7">
        <v>0.06</v>
      </c>
      <c r="I5546" s="9" t="s">
        <v>22</v>
      </c>
      <c r="J5546" s="10">
        <v>8.52</v>
      </c>
      <c r="K5546" s="11">
        <v>6.68</v>
      </c>
      <c r="L5546" s="11">
        <v>1.5</v>
      </c>
      <c r="M5546" s="9" t="s">
        <v>360</v>
      </c>
      <c r="N5546" s="6" t="s">
        <v>1905</v>
      </c>
      <c r="O5546" s="6" t="s">
        <v>673</v>
      </c>
      <c r="P5546" s="9" t="s">
        <v>41</v>
      </c>
      <c r="Q5546" s="9" t="s">
        <v>26</v>
      </c>
      <c r="R5546" s="9" t="s">
        <v>95</v>
      </c>
      <c r="S5546" s="7" t="s">
        <v>609</v>
      </c>
      <c r="T5546" s="9" t="s">
        <v>68</v>
      </c>
      <c r="U5546" s="7">
        <v>0.48</v>
      </c>
      <c r="V5546" s="12">
        <f>C5546+1</f>
        <v>40816</v>
      </c>
      <c r="W5546">
        <f>IF(D5546=' Pivot Tables'!$A$4,1,0)</f>
        <v>0</v>
      </c>
      <c r="X5546">
        <f>IF(AND(LEFT(D5546,4)+1=LEFT(' Pivot Tables'!$A$4,4)+0,RIGHT(LEFT(D5546,7),2)=RIGHT(LEFT(' Pivot Tables'!$A$4,7),2)),1,0)</f>
        <v>0</v>
      </c>
      <c r="Y5546" s="6">
        <f>1/COUNTIF(Таблица1[Order ID],Таблица1[[#This Row],[Order ID]])</f>
        <v>0.5</v>
      </c>
      <c r="Z5546" s="9">
        <f>1/COUNTIFS(Таблица1[Customer Name],Таблица1[[#This Row],[Customer Name]],Таблица1[Order-Year-Month],Таблица1[[#This Row],[Order-Year-Month]])</f>
        <v>0.5</v>
      </c>
    </row>
    <row r="5547" spans="1:26" x14ac:dyDescent="0.2">
      <c r="A5547" s="6">
        <v>3627</v>
      </c>
      <c r="B5547" s="7">
        <v>25926</v>
      </c>
      <c r="C5547" s="8">
        <f>DATE(2012,12,31)-1137</f>
        <v>40137</v>
      </c>
      <c r="D5547" s="8" t="str">
        <f t="shared" si="103"/>
        <v>2009-11 (ноябрь 2009)</v>
      </c>
      <c r="E5547" s="9" t="s">
        <v>30</v>
      </c>
      <c r="F5547" s="7">
        <v>20</v>
      </c>
      <c r="G5547" s="7">
        <v>3300.2160000000003</v>
      </c>
      <c r="H5547" s="7">
        <v>0.1</v>
      </c>
      <c r="I5547" s="9" t="s">
        <v>31</v>
      </c>
      <c r="J5547" s="10">
        <v>-855.03</v>
      </c>
      <c r="K5547" s="11">
        <v>218.75</v>
      </c>
      <c r="L5547" s="11">
        <v>69.64</v>
      </c>
      <c r="M5547" s="9" t="s">
        <v>1930</v>
      </c>
      <c r="N5547" s="6" t="s">
        <v>1905</v>
      </c>
      <c r="O5547" s="6" t="s">
        <v>673</v>
      </c>
      <c r="P5547" s="9" t="s">
        <v>41</v>
      </c>
      <c r="Q5547" s="9" t="s">
        <v>49</v>
      </c>
      <c r="R5547" s="9" t="s">
        <v>83</v>
      </c>
      <c r="S5547" s="7" t="s">
        <v>254</v>
      </c>
      <c r="T5547" s="9" t="s">
        <v>82</v>
      </c>
      <c r="U5547" s="7">
        <v>0.77</v>
      </c>
      <c r="V5547" s="12">
        <f>C5547+1</f>
        <v>40138</v>
      </c>
      <c r="W5547">
        <f>IF(D5547=' Pivot Tables'!$A$4,1,0)</f>
        <v>0</v>
      </c>
      <c r="X5547">
        <f>IF(AND(LEFT(D5547,4)+1=LEFT(' Pivot Tables'!$A$4,4)+0,RIGHT(LEFT(D5547,7),2)=RIGHT(LEFT(' Pivot Tables'!$A$4,7),2)),1,0)</f>
        <v>0</v>
      </c>
      <c r="Y5547" s="6">
        <f>1/COUNTIF(Таблица1[Order ID],Таблица1[[#This Row],[Order ID]])</f>
        <v>0.5</v>
      </c>
      <c r="Z5547" s="9">
        <f>1/COUNTIFS(Таблица1[Customer Name],Таблица1[[#This Row],[Customer Name]],Таблица1[Order-Year-Month],Таблица1[[#This Row],[Order-Year-Month]])</f>
        <v>0.5</v>
      </c>
    </row>
    <row r="5548" spans="1:26" x14ac:dyDescent="0.2">
      <c r="A5548" s="6">
        <v>3628</v>
      </c>
      <c r="B5548" s="7">
        <v>25926</v>
      </c>
      <c r="C5548" s="8">
        <f>DATE(2012,12,31)-1137</f>
        <v>40137</v>
      </c>
      <c r="D5548" s="8" t="str">
        <f t="shared" si="103"/>
        <v>2009-11 (ноябрь 2009)</v>
      </c>
      <c r="E5548" s="9" t="s">
        <v>30</v>
      </c>
      <c r="F5548" s="7">
        <v>23</v>
      </c>
      <c r="G5548" s="7">
        <v>331.54</v>
      </c>
      <c r="H5548" s="7">
        <v>0.05</v>
      </c>
      <c r="I5548" s="9" t="s">
        <v>22</v>
      </c>
      <c r="J5548" s="10">
        <v>9.4094999999999995</v>
      </c>
      <c r="K5548" s="11">
        <v>14.27</v>
      </c>
      <c r="L5548" s="11">
        <v>7.27</v>
      </c>
      <c r="M5548" s="9" t="s">
        <v>1930</v>
      </c>
      <c r="N5548" s="6" t="s">
        <v>1905</v>
      </c>
      <c r="O5548" s="6" t="s">
        <v>673</v>
      </c>
      <c r="P5548" s="9" t="s">
        <v>41</v>
      </c>
      <c r="Q5548" s="9" t="s">
        <v>26</v>
      </c>
      <c r="R5548" s="9" t="s">
        <v>37</v>
      </c>
      <c r="S5548" s="7" t="s">
        <v>658</v>
      </c>
      <c r="T5548" s="9" t="s">
        <v>39</v>
      </c>
      <c r="U5548" s="7">
        <v>0.38</v>
      </c>
      <c r="V5548" s="12">
        <f>C5548+2</f>
        <v>40139</v>
      </c>
      <c r="W5548">
        <f>IF(D5548=' Pivot Tables'!$A$4,1,0)</f>
        <v>0</v>
      </c>
      <c r="X5548">
        <f>IF(AND(LEFT(D5548,4)+1=LEFT(' Pivot Tables'!$A$4,4)+0,RIGHT(LEFT(D5548,7),2)=RIGHT(LEFT(' Pivot Tables'!$A$4,7),2)),1,0)</f>
        <v>0</v>
      </c>
      <c r="Y5548" s="6">
        <f>1/COUNTIF(Таблица1[Order ID],Таблица1[[#This Row],[Order ID]])</f>
        <v>0.5</v>
      </c>
      <c r="Z5548" s="9">
        <f>1/COUNTIFS(Таблица1[Customer Name],Таблица1[[#This Row],[Customer Name]],Таблица1[Order-Year-Month],Таблица1[[#This Row],[Order-Year-Month]])</f>
        <v>0.5</v>
      </c>
    </row>
    <row r="5549" spans="1:26" x14ac:dyDescent="0.2">
      <c r="A5549" s="6">
        <v>3878</v>
      </c>
      <c r="B5549" s="7">
        <v>27687</v>
      </c>
      <c r="C5549" s="8">
        <f>DATE(2012,12,31)-984</f>
        <v>40290</v>
      </c>
      <c r="D5549" s="8" t="str">
        <f t="shared" si="103"/>
        <v>2010-04 (апрель 2010)</v>
      </c>
      <c r="E5549" s="9" t="s">
        <v>63</v>
      </c>
      <c r="F5549" s="7">
        <v>38</v>
      </c>
      <c r="G5549" s="7">
        <v>251.3</v>
      </c>
      <c r="H5549" s="7">
        <v>0.1</v>
      </c>
      <c r="I5549" s="9" t="s">
        <v>22</v>
      </c>
      <c r="J5549" s="10">
        <v>-112.723</v>
      </c>
      <c r="K5549" s="11">
        <v>7.1</v>
      </c>
      <c r="L5549" s="11">
        <v>6.05</v>
      </c>
      <c r="M5549" s="9" t="s">
        <v>1932</v>
      </c>
      <c r="N5549" s="6" t="s">
        <v>1905</v>
      </c>
      <c r="O5549" s="6" t="s">
        <v>673</v>
      </c>
      <c r="P5549" s="9" t="s">
        <v>60</v>
      </c>
      <c r="Q5549" s="9" t="s">
        <v>26</v>
      </c>
      <c r="R5549" s="9" t="s">
        <v>37</v>
      </c>
      <c r="S5549" s="7" t="s">
        <v>435</v>
      </c>
      <c r="T5549" s="9" t="s">
        <v>39</v>
      </c>
      <c r="U5549" s="7">
        <v>0.39</v>
      </c>
      <c r="V5549" s="12">
        <f>C5549+2</f>
        <v>40292</v>
      </c>
      <c r="W5549">
        <f>IF(D5549=' Pivot Tables'!$A$4,1,0)</f>
        <v>0</v>
      </c>
      <c r="X5549">
        <f>IF(AND(LEFT(D5549,4)+1=LEFT(' Pivot Tables'!$A$4,4)+0,RIGHT(LEFT(D5549,7),2)=RIGHT(LEFT(' Pivot Tables'!$A$4,7),2)),1,0)</f>
        <v>0</v>
      </c>
      <c r="Y5549" s="6">
        <f>1/COUNTIF(Таблица1[Order ID],Таблица1[[#This Row],[Order ID]])</f>
        <v>1</v>
      </c>
      <c r="Z5549" s="9">
        <f>1/COUNTIFS(Таблица1[Customer Name],Таблица1[[#This Row],[Customer Name]],Таблица1[Order-Year-Month],Таблица1[[#This Row],[Order-Year-Month]])</f>
        <v>1</v>
      </c>
    </row>
    <row r="5550" spans="1:26" x14ac:dyDescent="0.2">
      <c r="A5550" s="6">
        <v>3889</v>
      </c>
      <c r="B5550" s="7">
        <v>27776</v>
      </c>
      <c r="C5550" s="8">
        <f>DATE(2012,12,31)-972</f>
        <v>40302</v>
      </c>
      <c r="D5550" s="8" t="str">
        <f t="shared" si="103"/>
        <v>2010-05 (май 2010)</v>
      </c>
      <c r="E5550" s="9" t="s">
        <v>21</v>
      </c>
      <c r="F5550" s="7">
        <v>41</v>
      </c>
      <c r="G5550" s="7">
        <v>226.68</v>
      </c>
      <c r="H5550" s="7">
        <v>0.04</v>
      </c>
      <c r="I5550" s="9" t="s">
        <v>56</v>
      </c>
      <c r="J5550" s="10">
        <v>-159.35</v>
      </c>
      <c r="K5550" s="11">
        <v>4.9800000000000004</v>
      </c>
      <c r="L5550" s="11">
        <v>7.28</v>
      </c>
      <c r="M5550" s="9" t="s">
        <v>880</v>
      </c>
      <c r="N5550" s="6" t="s">
        <v>1905</v>
      </c>
      <c r="O5550" s="6" t="s">
        <v>673</v>
      </c>
      <c r="P5550" s="9" t="s">
        <v>41</v>
      </c>
      <c r="Q5550" s="9" t="s">
        <v>26</v>
      </c>
      <c r="R5550" s="9" t="s">
        <v>61</v>
      </c>
      <c r="S5550" s="7" t="s">
        <v>1871</v>
      </c>
      <c r="T5550" s="9" t="s">
        <v>39</v>
      </c>
      <c r="U5550" s="7">
        <v>0.38</v>
      </c>
      <c r="V5550" s="12">
        <f>C5550+4</f>
        <v>40306</v>
      </c>
      <c r="W5550">
        <f>IF(D5550=' Pivot Tables'!$A$4,1,0)</f>
        <v>0</v>
      </c>
      <c r="X5550">
        <f>IF(AND(LEFT(D5550,4)+1=LEFT(' Pivot Tables'!$A$4,4)+0,RIGHT(LEFT(D5550,7),2)=RIGHT(LEFT(' Pivot Tables'!$A$4,7),2)),1,0)</f>
        <v>0</v>
      </c>
      <c r="Y5550" s="6">
        <f>1/COUNTIF(Таблица1[Order ID],Таблица1[[#This Row],[Order ID]])</f>
        <v>1</v>
      </c>
      <c r="Z5550" s="9">
        <f>1/COUNTIFS(Таблица1[Customer Name],Таблица1[[#This Row],[Customer Name]],Таблица1[Order-Year-Month],Таблица1[[#This Row],[Order-Year-Month]])</f>
        <v>1</v>
      </c>
    </row>
    <row r="5551" spans="1:26" x14ac:dyDescent="0.2">
      <c r="A5551" s="6">
        <v>3901</v>
      </c>
      <c r="B5551" s="7">
        <v>27813</v>
      </c>
      <c r="C5551" s="8">
        <f>DATE(2012,12,31)-1449</f>
        <v>39825</v>
      </c>
      <c r="D5551" s="8" t="str">
        <f t="shared" si="103"/>
        <v>2009-01 (январь 2009)</v>
      </c>
      <c r="E5551" s="9" t="s">
        <v>63</v>
      </c>
      <c r="F5551" s="7">
        <v>10</v>
      </c>
      <c r="G5551" s="7">
        <v>401.14</v>
      </c>
      <c r="H5551" s="7">
        <v>0.1</v>
      </c>
      <c r="I5551" s="9" t="s">
        <v>22</v>
      </c>
      <c r="J5551" s="10">
        <v>-131.03</v>
      </c>
      <c r="K5551" s="11">
        <v>40.98</v>
      </c>
      <c r="L5551" s="11">
        <v>6.5</v>
      </c>
      <c r="M5551" s="9" t="s">
        <v>880</v>
      </c>
      <c r="N5551" s="6" t="s">
        <v>1905</v>
      </c>
      <c r="O5551" s="6" t="s">
        <v>673</v>
      </c>
      <c r="P5551" s="9" t="s">
        <v>33</v>
      </c>
      <c r="Q5551" s="9" t="s">
        <v>42</v>
      </c>
      <c r="R5551" s="9" t="s">
        <v>70</v>
      </c>
      <c r="S5551" s="7" t="s">
        <v>1120</v>
      </c>
      <c r="T5551" s="9" t="s">
        <v>39</v>
      </c>
      <c r="U5551" s="7">
        <v>0.74</v>
      </c>
      <c r="V5551" s="12">
        <f>C5551+2</f>
        <v>39827</v>
      </c>
      <c r="W5551">
        <f>IF(D5551=' Pivot Tables'!$A$4,1,0)</f>
        <v>0</v>
      </c>
      <c r="X5551">
        <f>IF(AND(LEFT(D5551,4)+1=LEFT(' Pivot Tables'!$A$4,4)+0,RIGHT(LEFT(D5551,7),2)=RIGHT(LEFT(' Pivot Tables'!$A$4,7),2)),1,0)</f>
        <v>1</v>
      </c>
      <c r="Y5551" s="6">
        <f>1/COUNTIF(Таблица1[Order ID],Таблица1[[#This Row],[Order ID]])</f>
        <v>1</v>
      </c>
      <c r="Z5551" s="9">
        <f>1/COUNTIFS(Таблица1[Customer Name],Таблица1[[#This Row],[Customer Name]],Таблица1[Order-Year-Month],Таблица1[[#This Row],[Order-Year-Month]])</f>
        <v>1</v>
      </c>
    </row>
    <row r="5552" spans="1:26" x14ac:dyDescent="0.2">
      <c r="A5552" s="6">
        <v>3958</v>
      </c>
      <c r="B5552" s="7">
        <v>28256</v>
      </c>
      <c r="C5552" s="8">
        <f>DATE(2012,12,31)-1407</f>
        <v>39867</v>
      </c>
      <c r="D5552" s="8" t="str">
        <f t="shared" si="103"/>
        <v>2009-02 (февраль 2009)</v>
      </c>
      <c r="E5552" s="9" t="s">
        <v>30</v>
      </c>
      <c r="F5552" s="7">
        <v>19</v>
      </c>
      <c r="G5552" s="7">
        <v>467.4</v>
      </c>
      <c r="H5552" s="7">
        <v>0.01</v>
      </c>
      <c r="I5552" s="9" t="s">
        <v>31</v>
      </c>
      <c r="J5552" s="10">
        <v>-851.09</v>
      </c>
      <c r="K5552" s="11">
        <v>20.98</v>
      </c>
      <c r="L5552" s="11">
        <v>53.03</v>
      </c>
      <c r="M5552" s="9" t="s">
        <v>689</v>
      </c>
      <c r="N5552" s="6" t="s">
        <v>1905</v>
      </c>
      <c r="O5552" s="6" t="s">
        <v>673</v>
      </c>
      <c r="P5552" s="9" t="s">
        <v>41</v>
      </c>
      <c r="Q5552" s="9" t="s">
        <v>26</v>
      </c>
      <c r="R5552" s="9" t="s">
        <v>27</v>
      </c>
      <c r="S5552" s="7" t="s">
        <v>218</v>
      </c>
      <c r="T5552" s="9" t="s">
        <v>36</v>
      </c>
      <c r="U5552" s="7">
        <v>0.78</v>
      </c>
      <c r="V5552" s="12">
        <f>C5552+0</f>
        <v>39867</v>
      </c>
      <c r="W5552">
        <f>IF(D5552=' Pivot Tables'!$A$4,1,0)</f>
        <v>0</v>
      </c>
      <c r="X5552">
        <f>IF(AND(LEFT(D5552,4)+1=LEFT(' Pivot Tables'!$A$4,4)+0,RIGHT(LEFT(D5552,7),2)=RIGHT(LEFT(' Pivot Tables'!$A$4,7),2)),1,0)</f>
        <v>0</v>
      </c>
      <c r="Y5552" s="6">
        <f>1/COUNTIF(Таблица1[Order ID],Таблица1[[#This Row],[Order ID]])</f>
        <v>1</v>
      </c>
      <c r="Z5552" s="9">
        <f>1/COUNTIFS(Таблица1[Customer Name],Таблица1[[#This Row],[Customer Name]],Таблица1[Order-Year-Month],Таблица1[[#This Row],[Order-Year-Month]])</f>
        <v>1</v>
      </c>
    </row>
    <row r="5553" spans="1:26" x14ac:dyDescent="0.2">
      <c r="A5553" s="6">
        <v>4001</v>
      </c>
      <c r="B5553" s="7">
        <v>28550</v>
      </c>
      <c r="C5553" s="8">
        <f>DATE(2012,12,31)-652</f>
        <v>40622</v>
      </c>
      <c r="D5553" s="8" t="str">
        <f t="shared" si="103"/>
        <v>2011-03 (март 2011)</v>
      </c>
      <c r="E5553" s="9" t="s">
        <v>45</v>
      </c>
      <c r="F5553" s="7">
        <v>44</v>
      </c>
      <c r="G5553" s="7">
        <v>21532.26</v>
      </c>
      <c r="H5553" s="7">
        <v>0.09</v>
      </c>
      <c r="I5553" s="9" t="s">
        <v>31</v>
      </c>
      <c r="J5553" s="10">
        <v>8323.39</v>
      </c>
      <c r="K5553" s="11">
        <v>500.97</v>
      </c>
      <c r="L5553" s="11">
        <v>69.3</v>
      </c>
      <c r="M5553" s="9" t="s">
        <v>360</v>
      </c>
      <c r="N5553" s="6" t="s">
        <v>1905</v>
      </c>
      <c r="O5553" s="6" t="s">
        <v>673</v>
      </c>
      <c r="P5553" s="9" t="s">
        <v>41</v>
      </c>
      <c r="Q5553" s="9" t="s">
        <v>42</v>
      </c>
      <c r="R5553" s="9" t="s">
        <v>210</v>
      </c>
      <c r="S5553" s="7" t="s">
        <v>404</v>
      </c>
      <c r="T5553" s="9" t="s">
        <v>36</v>
      </c>
      <c r="U5553" s="7">
        <v>0.37</v>
      </c>
      <c r="V5553" s="12">
        <f>C5553+3</f>
        <v>40625</v>
      </c>
      <c r="W5553">
        <f>IF(D5553=' Pivot Tables'!$A$4,1,0)</f>
        <v>0</v>
      </c>
      <c r="X5553">
        <f>IF(AND(LEFT(D5553,4)+1=LEFT(' Pivot Tables'!$A$4,4)+0,RIGHT(LEFT(D5553,7),2)=RIGHT(LEFT(' Pivot Tables'!$A$4,7),2)),1,0)</f>
        <v>0</v>
      </c>
      <c r="Y5553" s="6">
        <f>1/COUNTIF(Таблица1[Order ID],Таблица1[[#This Row],[Order ID]])</f>
        <v>0.5</v>
      </c>
      <c r="Z5553" s="9">
        <f>1/COUNTIFS(Таблица1[Customer Name],Таблица1[[#This Row],[Customer Name]],Таблица1[Order-Year-Month],Таблица1[[#This Row],[Order-Year-Month]])</f>
        <v>0.5</v>
      </c>
    </row>
    <row r="5554" spans="1:26" x14ac:dyDescent="0.2">
      <c r="A5554" s="6">
        <v>4002</v>
      </c>
      <c r="B5554" s="7">
        <v>28550</v>
      </c>
      <c r="C5554" s="8">
        <f>DATE(2012,12,31)-652</f>
        <v>40622</v>
      </c>
      <c r="D5554" s="8" t="str">
        <f t="shared" si="103"/>
        <v>2011-03 (март 2011)</v>
      </c>
      <c r="E5554" s="9" t="s">
        <v>45</v>
      </c>
      <c r="F5554" s="7">
        <v>1</v>
      </c>
      <c r="G5554" s="7">
        <v>7.64</v>
      </c>
      <c r="H5554" s="7">
        <v>0.1</v>
      </c>
      <c r="I5554" s="9" t="s">
        <v>22</v>
      </c>
      <c r="J5554" s="10">
        <v>-6.6</v>
      </c>
      <c r="K5554" s="11">
        <v>4.76</v>
      </c>
      <c r="L5554" s="11">
        <v>3.01</v>
      </c>
      <c r="M5554" s="9" t="s">
        <v>360</v>
      </c>
      <c r="N5554" s="6" t="s">
        <v>1905</v>
      </c>
      <c r="O5554" s="6" t="s">
        <v>673</v>
      </c>
      <c r="P5554" s="9" t="s">
        <v>41</v>
      </c>
      <c r="Q5554" s="9" t="s">
        <v>26</v>
      </c>
      <c r="R5554" s="9" t="s">
        <v>61</v>
      </c>
      <c r="S5554" s="7" t="s">
        <v>899</v>
      </c>
      <c r="T5554" s="9" t="s">
        <v>68</v>
      </c>
      <c r="U5554" s="7">
        <v>0.36</v>
      </c>
      <c r="V5554" s="12">
        <f>C5554+1</f>
        <v>40623</v>
      </c>
      <c r="W5554">
        <f>IF(D5554=' Pivot Tables'!$A$4,1,0)</f>
        <v>0</v>
      </c>
      <c r="X5554">
        <f>IF(AND(LEFT(D5554,4)+1=LEFT(' Pivot Tables'!$A$4,4)+0,RIGHT(LEFT(D5554,7),2)=RIGHT(LEFT(' Pivot Tables'!$A$4,7),2)),1,0)</f>
        <v>0</v>
      </c>
      <c r="Y5554" s="6">
        <f>1/COUNTIF(Таблица1[Order ID],Таблица1[[#This Row],[Order ID]])</f>
        <v>0.5</v>
      </c>
      <c r="Z5554" s="9">
        <f>1/COUNTIFS(Таблица1[Customer Name],Таблица1[[#This Row],[Customer Name]],Таблица1[Order-Year-Month],Таблица1[[#This Row],[Order-Year-Month]])</f>
        <v>0.5</v>
      </c>
    </row>
    <row r="5555" spans="1:26" x14ac:dyDescent="0.2">
      <c r="A5555" s="6">
        <v>4049</v>
      </c>
      <c r="B5555" s="7">
        <v>28870</v>
      </c>
      <c r="C5555" s="8">
        <f>DATE(2012,12,31)-417</f>
        <v>40857</v>
      </c>
      <c r="D5555" s="8" t="str">
        <f t="shared" si="103"/>
        <v>2011-11 (ноябрь 2011)</v>
      </c>
      <c r="E5555" s="9" t="s">
        <v>30</v>
      </c>
      <c r="F5555" s="7">
        <v>27</v>
      </c>
      <c r="G5555" s="7">
        <v>1154.8900000000001</v>
      </c>
      <c r="H5555" s="7">
        <v>0.03</v>
      </c>
      <c r="I5555" s="9" t="s">
        <v>22</v>
      </c>
      <c r="J5555" s="10">
        <v>66.36</v>
      </c>
      <c r="K5555" s="11">
        <v>40.98</v>
      </c>
      <c r="L5555" s="11">
        <v>6.5</v>
      </c>
      <c r="M5555" s="9" t="s">
        <v>360</v>
      </c>
      <c r="N5555" s="6" t="s">
        <v>1905</v>
      </c>
      <c r="O5555" s="6" t="s">
        <v>673</v>
      </c>
      <c r="P5555" s="9" t="s">
        <v>41</v>
      </c>
      <c r="Q5555" s="9" t="s">
        <v>42</v>
      </c>
      <c r="R5555" s="9" t="s">
        <v>70</v>
      </c>
      <c r="S5555" s="7" t="s">
        <v>1646</v>
      </c>
      <c r="T5555" s="9" t="s">
        <v>39</v>
      </c>
      <c r="U5555" s="7">
        <v>0.64</v>
      </c>
      <c r="V5555" s="12">
        <f>C5555+1</f>
        <v>40858</v>
      </c>
      <c r="W5555">
        <f>IF(D5555=' Pivot Tables'!$A$4,1,0)</f>
        <v>0</v>
      </c>
      <c r="X5555">
        <f>IF(AND(LEFT(D5555,4)+1=LEFT(' Pivot Tables'!$A$4,4)+0,RIGHT(LEFT(D5555,7),2)=RIGHT(LEFT(' Pivot Tables'!$A$4,7),2)),1,0)</f>
        <v>0</v>
      </c>
      <c r="Y5555" s="6">
        <f>1/COUNTIF(Таблица1[Order ID],Таблица1[[#This Row],[Order ID]])</f>
        <v>0.5</v>
      </c>
      <c r="Z5555" s="9">
        <f>1/COUNTIFS(Таблица1[Customer Name],Таблица1[[#This Row],[Customer Name]],Таблица1[Order-Year-Month],Таблица1[[#This Row],[Order-Year-Month]])</f>
        <v>0.5</v>
      </c>
    </row>
    <row r="5556" spans="1:26" x14ac:dyDescent="0.2">
      <c r="A5556" s="6">
        <v>4268</v>
      </c>
      <c r="B5556" s="7">
        <v>30374</v>
      </c>
      <c r="C5556" s="8">
        <f>DATE(2012,12,31)-1016</f>
        <v>40258</v>
      </c>
      <c r="D5556" s="8" t="str">
        <f t="shared" si="103"/>
        <v>2010-03 (март 2010)</v>
      </c>
      <c r="E5556" s="9" t="s">
        <v>78</v>
      </c>
      <c r="F5556" s="7">
        <v>12</v>
      </c>
      <c r="G5556" s="7">
        <v>709.54</v>
      </c>
      <c r="H5556" s="7">
        <v>7.0000000000000007E-2</v>
      </c>
      <c r="I5556" s="9" t="s">
        <v>22</v>
      </c>
      <c r="J5556" s="10">
        <v>131.44</v>
      </c>
      <c r="K5556" s="11">
        <v>59.98</v>
      </c>
      <c r="L5556" s="11">
        <v>3.99</v>
      </c>
      <c r="M5556" s="9" t="s">
        <v>1930</v>
      </c>
      <c r="N5556" s="6" t="s">
        <v>1905</v>
      </c>
      <c r="O5556" s="6" t="s">
        <v>673</v>
      </c>
      <c r="P5556" s="9" t="s">
        <v>41</v>
      </c>
      <c r="Q5556" s="9" t="s">
        <v>26</v>
      </c>
      <c r="R5556" s="9" t="s">
        <v>34</v>
      </c>
      <c r="S5556" s="7" t="s">
        <v>448</v>
      </c>
      <c r="T5556" s="9" t="s">
        <v>39</v>
      </c>
      <c r="U5556" s="7">
        <v>0.56999999999999995</v>
      </c>
      <c r="V5556" s="12">
        <f>C5556+1</f>
        <v>40259</v>
      </c>
      <c r="W5556">
        <f>IF(D5556=' Pivot Tables'!$A$4,1,0)</f>
        <v>0</v>
      </c>
      <c r="X5556">
        <f>IF(AND(LEFT(D5556,4)+1=LEFT(' Pivot Tables'!$A$4,4)+0,RIGHT(LEFT(D5556,7),2)=RIGHT(LEFT(' Pivot Tables'!$A$4,7),2)),1,0)</f>
        <v>0</v>
      </c>
      <c r="Y5556" s="6">
        <f>1/COUNTIF(Таблица1[Order ID],Таблица1[[#This Row],[Order ID]])</f>
        <v>0.5</v>
      </c>
      <c r="Z5556" s="9">
        <f>1/COUNTIFS(Таблица1[Customer Name],Таблица1[[#This Row],[Customer Name]],Таблица1[Order-Year-Month],Таблица1[[#This Row],[Order-Year-Month]])</f>
        <v>0.25</v>
      </c>
    </row>
    <row r="5557" spans="1:26" x14ac:dyDescent="0.2">
      <c r="A5557" s="6">
        <v>4269</v>
      </c>
      <c r="B5557" s="7">
        <v>30374</v>
      </c>
      <c r="C5557" s="8">
        <f>DATE(2012,12,31)-1016</f>
        <v>40258</v>
      </c>
      <c r="D5557" s="8" t="str">
        <f t="shared" si="103"/>
        <v>2010-03 (март 2010)</v>
      </c>
      <c r="E5557" s="9" t="s">
        <v>78</v>
      </c>
      <c r="F5557" s="7">
        <v>42</v>
      </c>
      <c r="G5557" s="7">
        <v>1220.08</v>
      </c>
      <c r="H5557" s="7">
        <v>0</v>
      </c>
      <c r="I5557" s="9" t="s">
        <v>22</v>
      </c>
      <c r="J5557" s="10">
        <v>515.64</v>
      </c>
      <c r="K5557" s="11">
        <v>28.48</v>
      </c>
      <c r="L5557" s="11">
        <v>1.99</v>
      </c>
      <c r="M5557" s="9" t="s">
        <v>1930</v>
      </c>
      <c r="N5557" s="6" t="s">
        <v>1905</v>
      </c>
      <c r="O5557" s="6" t="s">
        <v>673</v>
      </c>
      <c r="P5557" s="9" t="s">
        <v>41</v>
      </c>
      <c r="Q5557" s="9" t="s">
        <v>42</v>
      </c>
      <c r="R5557" s="9" t="s">
        <v>70</v>
      </c>
      <c r="S5557" s="7" t="s">
        <v>523</v>
      </c>
      <c r="T5557" s="9" t="s">
        <v>52</v>
      </c>
      <c r="U5557" s="7">
        <v>0.4</v>
      </c>
      <c r="V5557" s="12">
        <f>C5557+1</f>
        <v>40259</v>
      </c>
      <c r="W5557">
        <f>IF(D5557=' Pivot Tables'!$A$4,1,0)</f>
        <v>0</v>
      </c>
      <c r="X5557">
        <f>IF(AND(LEFT(D5557,4)+1=LEFT(' Pivot Tables'!$A$4,4)+0,RIGHT(LEFT(D5557,7),2)=RIGHT(LEFT(' Pivot Tables'!$A$4,7),2)),1,0)</f>
        <v>0</v>
      </c>
      <c r="Y5557" s="6">
        <f>1/COUNTIF(Таблица1[Order ID],Таблица1[[#This Row],[Order ID]])</f>
        <v>0.5</v>
      </c>
      <c r="Z5557" s="9">
        <f>1/COUNTIFS(Таблица1[Customer Name],Таблица1[[#This Row],[Customer Name]],Таблица1[Order-Year-Month],Таблица1[[#This Row],[Order-Year-Month]])</f>
        <v>0.25</v>
      </c>
    </row>
    <row r="5558" spans="1:26" x14ac:dyDescent="0.2">
      <c r="A5558" s="6">
        <v>4288</v>
      </c>
      <c r="B5558" s="7">
        <v>30564</v>
      </c>
      <c r="C5558" s="8">
        <f>DATE(2012,12,31)-1404</f>
        <v>39870</v>
      </c>
      <c r="D5558" s="8" t="str">
        <f t="shared" si="103"/>
        <v>2009-02 (февраль 2009)</v>
      </c>
      <c r="E5558" s="9" t="s">
        <v>78</v>
      </c>
      <c r="F5558" s="7">
        <v>20</v>
      </c>
      <c r="G5558" s="7">
        <v>606.39850000000001</v>
      </c>
      <c r="H5558" s="7">
        <v>0.09</v>
      </c>
      <c r="I5558" s="9" t="s">
        <v>22</v>
      </c>
      <c r="J5558" s="10">
        <v>126.12599999999999</v>
      </c>
      <c r="K5558" s="11">
        <v>35.99</v>
      </c>
      <c r="L5558" s="11">
        <v>5.99</v>
      </c>
      <c r="M5558" s="9" t="s">
        <v>1928</v>
      </c>
      <c r="N5558" s="6" t="s">
        <v>1905</v>
      </c>
      <c r="O5558" s="6" t="s">
        <v>673</v>
      </c>
      <c r="P5558" s="9" t="s">
        <v>60</v>
      </c>
      <c r="Q5558" s="9" t="s">
        <v>42</v>
      </c>
      <c r="R5558" s="9" t="s">
        <v>43</v>
      </c>
      <c r="S5558" s="7" t="s">
        <v>907</v>
      </c>
      <c r="T5558" s="9" t="s">
        <v>68</v>
      </c>
      <c r="U5558" s="7">
        <v>0.38</v>
      </c>
      <c r="V5558" s="12">
        <f>C5558+1</f>
        <v>39871</v>
      </c>
      <c r="W5558">
        <f>IF(D5558=' Pivot Tables'!$A$4,1,0)</f>
        <v>0</v>
      </c>
      <c r="X5558">
        <f>IF(AND(LEFT(D5558,4)+1=LEFT(' Pivot Tables'!$A$4,4)+0,RIGHT(LEFT(D5558,7),2)=RIGHT(LEFT(' Pivot Tables'!$A$4,7),2)),1,0)</f>
        <v>0</v>
      </c>
      <c r="Y5558" s="6">
        <f>1/COUNTIF(Таблица1[Order ID],Таблица1[[#This Row],[Order ID]])</f>
        <v>1</v>
      </c>
      <c r="Z5558" s="9">
        <f>1/COUNTIFS(Таблица1[Customer Name],Таблица1[[#This Row],[Customer Name]],Таблица1[Order-Year-Month],Таблица1[[#This Row],[Order-Year-Month]])</f>
        <v>1</v>
      </c>
    </row>
    <row r="5559" spans="1:26" x14ac:dyDescent="0.2">
      <c r="A5559" s="6">
        <v>4440</v>
      </c>
      <c r="B5559" s="7">
        <v>31620</v>
      </c>
      <c r="C5559" s="8">
        <f>DATE(2012,12,31)-508</f>
        <v>40766</v>
      </c>
      <c r="D5559" s="8" t="str">
        <f t="shared" si="103"/>
        <v>2011-08 (август 2011)</v>
      </c>
      <c r="E5559" s="9" t="s">
        <v>78</v>
      </c>
      <c r="F5559" s="7">
        <v>20</v>
      </c>
      <c r="G5559" s="7">
        <v>1108.366</v>
      </c>
      <c r="H5559" s="7">
        <v>0.05</v>
      </c>
      <c r="I5559" s="9" t="s">
        <v>22</v>
      </c>
      <c r="J5559" s="10">
        <v>178.30799999999999</v>
      </c>
      <c r="K5559" s="11">
        <v>65.989999999999995</v>
      </c>
      <c r="L5559" s="11">
        <v>2.5</v>
      </c>
      <c r="M5559" s="9" t="s">
        <v>1932</v>
      </c>
      <c r="N5559" s="6" t="s">
        <v>1905</v>
      </c>
      <c r="O5559" s="6" t="s">
        <v>673</v>
      </c>
      <c r="P5559" s="9" t="s">
        <v>60</v>
      </c>
      <c r="Q5559" s="9" t="s">
        <v>42</v>
      </c>
      <c r="R5559" s="9" t="s">
        <v>43</v>
      </c>
      <c r="S5559" s="7" t="s">
        <v>1179</v>
      </c>
      <c r="T5559" s="9" t="s">
        <v>39</v>
      </c>
      <c r="U5559" s="7">
        <v>0.55000000000000004</v>
      </c>
      <c r="V5559" s="12">
        <f>C5559+2</f>
        <v>40768</v>
      </c>
      <c r="W5559">
        <f>IF(D5559=' Pivot Tables'!$A$4,1,0)</f>
        <v>0</v>
      </c>
      <c r="X5559">
        <f>IF(AND(LEFT(D5559,4)+1=LEFT(' Pivot Tables'!$A$4,4)+0,RIGHT(LEFT(D5559,7),2)=RIGHT(LEFT(' Pivot Tables'!$A$4,7),2)),1,0)</f>
        <v>0</v>
      </c>
      <c r="Y5559" s="6">
        <f>1/COUNTIF(Таблица1[Order ID],Таблица1[[#This Row],[Order ID]])</f>
        <v>1</v>
      </c>
      <c r="Z5559" s="9">
        <f>1/COUNTIFS(Таблица1[Customer Name],Таблица1[[#This Row],[Customer Name]],Таблица1[Order-Year-Month],Таблица1[[#This Row],[Order-Year-Month]])</f>
        <v>1</v>
      </c>
    </row>
    <row r="5560" spans="1:26" x14ac:dyDescent="0.2">
      <c r="A5560" s="6">
        <v>4458</v>
      </c>
      <c r="B5560" s="7">
        <v>31780</v>
      </c>
      <c r="C5560" s="8">
        <f>DATE(2012,12,31)-1067</f>
        <v>40207</v>
      </c>
      <c r="D5560" s="8" t="str">
        <f t="shared" si="103"/>
        <v>2010-01 (январь 2010)</v>
      </c>
      <c r="E5560" s="9" t="s">
        <v>63</v>
      </c>
      <c r="F5560" s="7">
        <v>17</v>
      </c>
      <c r="G5560" s="7">
        <v>734.25</v>
      </c>
      <c r="H5560" s="7">
        <v>0.08</v>
      </c>
      <c r="I5560" s="9" t="s">
        <v>56</v>
      </c>
      <c r="J5560" s="10">
        <v>160.58000000000001</v>
      </c>
      <c r="K5560" s="11">
        <v>42.98</v>
      </c>
      <c r="L5560" s="11">
        <v>4.62</v>
      </c>
      <c r="M5560" s="9" t="s">
        <v>1929</v>
      </c>
      <c r="N5560" s="6" t="s">
        <v>1905</v>
      </c>
      <c r="O5560" s="6" t="s">
        <v>673</v>
      </c>
      <c r="P5560" s="9" t="s">
        <v>41</v>
      </c>
      <c r="Q5560" s="9" t="s">
        <v>26</v>
      </c>
      <c r="R5560" s="9" t="s">
        <v>34</v>
      </c>
      <c r="S5560" s="7" t="s">
        <v>852</v>
      </c>
      <c r="T5560" s="9" t="s">
        <v>39</v>
      </c>
      <c r="U5560" s="7">
        <v>0.56000000000000005</v>
      </c>
      <c r="V5560" s="12">
        <f>C5560+2</f>
        <v>40209</v>
      </c>
      <c r="W5560">
        <f>IF(D5560=' Pivot Tables'!$A$4,1,0)</f>
        <v>1</v>
      </c>
      <c r="X5560">
        <f>IF(AND(LEFT(D5560,4)+1=LEFT(' Pivot Tables'!$A$4,4)+0,RIGHT(LEFT(D5560,7),2)=RIGHT(LEFT(' Pivot Tables'!$A$4,7),2)),1,0)</f>
        <v>0</v>
      </c>
      <c r="Y5560" s="6">
        <f>1/COUNTIF(Таблица1[Order ID],Таблица1[[#This Row],[Order ID]])</f>
        <v>1</v>
      </c>
      <c r="Z5560" s="9">
        <f>1/COUNTIFS(Таблица1[Customer Name],Таблица1[[#This Row],[Customer Name]],Таблица1[Order-Year-Month],Таблица1[[#This Row],[Order-Year-Month]])</f>
        <v>1</v>
      </c>
    </row>
    <row r="5561" spans="1:26" x14ac:dyDescent="0.2">
      <c r="A5561" s="6">
        <v>4479</v>
      </c>
      <c r="B5561" s="7">
        <v>31876</v>
      </c>
      <c r="C5561" s="8">
        <f>DATE(2012,12,31)-604</f>
        <v>40670</v>
      </c>
      <c r="D5561" s="8" t="str">
        <f t="shared" si="103"/>
        <v>2011-05 (май 2011)</v>
      </c>
      <c r="E5561" s="9" t="s">
        <v>30</v>
      </c>
      <c r="F5561" s="7">
        <v>8</v>
      </c>
      <c r="G5561" s="7">
        <v>741.49</v>
      </c>
      <c r="H5561" s="7">
        <v>0.08</v>
      </c>
      <c r="I5561" s="9" t="s">
        <v>22</v>
      </c>
      <c r="J5561" s="10">
        <v>-360.18</v>
      </c>
      <c r="K5561" s="11">
        <v>95.99</v>
      </c>
      <c r="L5561" s="11">
        <v>35</v>
      </c>
      <c r="M5561" s="9" t="s">
        <v>689</v>
      </c>
      <c r="N5561" s="6" t="s">
        <v>1905</v>
      </c>
      <c r="O5561" s="6" t="s">
        <v>673</v>
      </c>
      <c r="P5561" s="9" t="s">
        <v>41</v>
      </c>
      <c r="Q5561" s="9" t="s">
        <v>26</v>
      </c>
      <c r="R5561" s="9" t="s">
        <v>27</v>
      </c>
      <c r="S5561" s="7" t="s">
        <v>1411</v>
      </c>
      <c r="T5561" s="9" t="s">
        <v>29</v>
      </c>
      <c r="U5561" s="7"/>
      <c r="V5561" s="12">
        <f>C5561+1</f>
        <v>40671</v>
      </c>
      <c r="W5561">
        <f>IF(D5561=' Pivot Tables'!$A$4,1,0)</f>
        <v>0</v>
      </c>
      <c r="X5561">
        <f>IF(AND(LEFT(D5561,4)+1=LEFT(' Pivot Tables'!$A$4,4)+0,RIGHT(LEFT(D5561,7),2)=RIGHT(LEFT(' Pivot Tables'!$A$4,7),2)),1,0)</f>
        <v>0</v>
      </c>
      <c r="Y5561" s="6">
        <f>1/COUNTIF(Таблица1[Order ID],Таблица1[[#This Row],[Order ID]])</f>
        <v>1</v>
      </c>
      <c r="Z5561" s="9">
        <f>1/COUNTIFS(Таблица1[Customer Name],Таблица1[[#This Row],[Customer Name]],Таблица1[Order-Year-Month],Таблица1[[#This Row],[Order-Year-Month]])</f>
        <v>1</v>
      </c>
    </row>
    <row r="5562" spans="1:26" x14ac:dyDescent="0.2">
      <c r="A5562" s="6">
        <v>4549</v>
      </c>
      <c r="B5562" s="7">
        <v>32356</v>
      </c>
      <c r="C5562" s="8">
        <f>DATE(2012,12,31)-82</f>
        <v>41192</v>
      </c>
      <c r="D5562" s="8" t="str">
        <f t="shared" si="103"/>
        <v>2012-10 (октябрь 2012)</v>
      </c>
      <c r="E5562" s="9" t="s">
        <v>45</v>
      </c>
      <c r="F5562" s="7">
        <v>12</v>
      </c>
      <c r="G5562" s="7">
        <v>768.41</v>
      </c>
      <c r="H5562" s="7">
        <v>0.1</v>
      </c>
      <c r="I5562" s="9" t="s">
        <v>22</v>
      </c>
      <c r="J5562" s="10">
        <v>60.375500000000002</v>
      </c>
      <c r="K5562" s="11">
        <v>67.28</v>
      </c>
      <c r="L5562" s="11">
        <v>19.989999999999998</v>
      </c>
      <c r="M5562" s="9" t="s">
        <v>1932</v>
      </c>
      <c r="N5562" s="6" t="s">
        <v>1905</v>
      </c>
      <c r="O5562" s="6" t="s">
        <v>673</v>
      </c>
      <c r="P5562" s="9" t="s">
        <v>60</v>
      </c>
      <c r="Q5562" s="9" t="s">
        <v>26</v>
      </c>
      <c r="R5562" s="9" t="s">
        <v>37</v>
      </c>
      <c r="S5562" s="7" t="s">
        <v>637</v>
      </c>
      <c r="T5562" s="9" t="s">
        <v>39</v>
      </c>
      <c r="U5562" s="7">
        <v>0.4</v>
      </c>
      <c r="V5562" s="12">
        <f>C5562+1</f>
        <v>41193</v>
      </c>
      <c r="W5562">
        <f>IF(D5562=' Pivot Tables'!$A$4,1,0)</f>
        <v>0</v>
      </c>
      <c r="X5562">
        <f>IF(AND(LEFT(D5562,4)+1=LEFT(' Pivot Tables'!$A$4,4)+0,RIGHT(LEFT(D5562,7),2)=RIGHT(LEFT(' Pivot Tables'!$A$4,7),2)),1,0)</f>
        <v>0</v>
      </c>
      <c r="Y5562" s="6">
        <f>1/COUNTIF(Таблица1[Order ID],Таблица1[[#This Row],[Order ID]])</f>
        <v>0.5</v>
      </c>
      <c r="Z5562" s="9">
        <f>1/COUNTIFS(Таблица1[Customer Name],Таблица1[[#This Row],[Customer Name]],Таблица1[Order-Year-Month],Таблица1[[#This Row],[Order-Year-Month]])</f>
        <v>0.5</v>
      </c>
    </row>
    <row r="5563" spans="1:26" x14ac:dyDescent="0.2">
      <c r="A5563" s="6">
        <v>4550</v>
      </c>
      <c r="B5563" s="7">
        <v>32356</v>
      </c>
      <c r="C5563" s="8">
        <f>DATE(2012,12,31)-82</f>
        <v>41192</v>
      </c>
      <c r="D5563" s="8" t="str">
        <f t="shared" si="103"/>
        <v>2012-10 (октябрь 2012)</v>
      </c>
      <c r="E5563" s="9" t="s">
        <v>45</v>
      </c>
      <c r="F5563" s="7">
        <v>47</v>
      </c>
      <c r="G5563" s="7">
        <v>5238.192</v>
      </c>
      <c r="H5563" s="7">
        <v>0.08</v>
      </c>
      <c r="I5563" s="9" t="s">
        <v>31</v>
      </c>
      <c r="J5563" s="10">
        <v>-503.77</v>
      </c>
      <c r="K5563" s="11">
        <v>145.97999999999999</v>
      </c>
      <c r="L5563" s="11">
        <v>46.2</v>
      </c>
      <c r="M5563" s="9" t="s">
        <v>1932</v>
      </c>
      <c r="N5563" s="6" t="s">
        <v>1905</v>
      </c>
      <c r="O5563" s="6" t="s">
        <v>673</v>
      </c>
      <c r="P5563" s="9" t="s">
        <v>60</v>
      </c>
      <c r="Q5563" s="9" t="s">
        <v>49</v>
      </c>
      <c r="R5563" s="9" t="s">
        <v>83</v>
      </c>
      <c r="S5563" s="7" t="s">
        <v>938</v>
      </c>
      <c r="T5563" s="9" t="s">
        <v>82</v>
      </c>
      <c r="U5563" s="7">
        <v>0.69</v>
      </c>
      <c r="V5563" s="12">
        <f>C5563+2</f>
        <v>41194</v>
      </c>
      <c r="W5563">
        <f>IF(D5563=' Pivot Tables'!$A$4,1,0)</f>
        <v>0</v>
      </c>
      <c r="X5563">
        <f>IF(AND(LEFT(D5563,4)+1=LEFT(' Pivot Tables'!$A$4,4)+0,RIGHT(LEFT(D5563,7),2)=RIGHT(LEFT(' Pivot Tables'!$A$4,7),2)),1,0)</f>
        <v>0</v>
      </c>
      <c r="Y5563" s="6">
        <f>1/COUNTIF(Таблица1[Order ID],Таблица1[[#This Row],[Order ID]])</f>
        <v>0.5</v>
      </c>
      <c r="Z5563" s="9">
        <f>1/COUNTIFS(Таблица1[Customer Name],Таблица1[[#This Row],[Customer Name]],Таблица1[Order-Year-Month],Таблица1[[#This Row],[Order-Year-Month]])</f>
        <v>0.5</v>
      </c>
    </row>
    <row r="5564" spans="1:26" x14ac:dyDescent="0.2">
      <c r="A5564" s="6">
        <v>4696</v>
      </c>
      <c r="B5564" s="7">
        <v>33473</v>
      </c>
      <c r="C5564" s="8">
        <f>DATE(2012,12,31)-727</f>
        <v>40547</v>
      </c>
      <c r="D5564" s="8" t="str">
        <f t="shared" si="103"/>
        <v>2011-01 (январь 2011)</v>
      </c>
      <c r="E5564" s="9" t="s">
        <v>21</v>
      </c>
      <c r="F5564" s="7">
        <v>50</v>
      </c>
      <c r="G5564" s="7">
        <v>600.22</v>
      </c>
      <c r="H5564" s="7">
        <v>0.08</v>
      </c>
      <c r="I5564" s="9" t="s">
        <v>22</v>
      </c>
      <c r="J5564" s="10">
        <v>27.86</v>
      </c>
      <c r="K5564" s="11">
        <v>12.98</v>
      </c>
      <c r="L5564" s="11">
        <v>3.14</v>
      </c>
      <c r="M5564" s="9" t="s">
        <v>1930</v>
      </c>
      <c r="N5564" s="6" t="s">
        <v>1905</v>
      </c>
      <c r="O5564" s="6" t="s">
        <v>673</v>
      </c>
      <c r="P5564" s="9" t="s">
        <v>41</v>
      </c>
      <c r="Q5564" s="9" t="s">
        <v>26</v>
      </c>
      <c r="R5564" s="9" t="s">
        <v>150</v>
      </c>
      <c r="S5564" s="7" t="s">
        <v>356</v>
      </c>
      <c r="T5564" s="9" t="s">
        <v>52</v>
      </c>
      <c r="U5564" s="7">
        <v>0.6</v>
      </c>
      <c r="V5564" s="12">
        <f>C5564+0</f>
        <v>40547</v>
      </c>
      <c r="W5564">
        <f>IF(D5564=' Pivot Tables'!$A$4,1,0)</f>
        <v>0</v>
      </c>
      <c r="X5564">
        <f>IF(AND(LEFT(D5564,4)+1=LEFT(' Pivot Tables'!$A$4,4)+0,RIGHT(LEFT(D5564,7),2)=RIGHT(LEFT(' Pivot Tables'!$A$4,7),2)),1,0)</f>
        <v>0</v>
      </c>
      <c r="Y5564" s="6">
        <f>1/COUNTIF(Таблица1[Order ID],Таблица1[[#This Row],[Order ID]])</f>
        <v>1</v>
      </c>
      <c r="Z5564" s="9">
        <f>1/COUNTIFS(Таблица1[Customer Name],Таблица1[[#This Row],[Customer Name]],Таблица1[Order-Year-Month],Таблица1[[#This Row],[Order-Year-Month]])</f>
        <v>1</v>
      </c>
    </row>
    <row r="5565" spans="1:26" x14ac:dyDescent="0.2">
      <c r="A5565" s="6">
        <v>4923</v>
      </c>
      <c r="B5565" s="7">
        <v>35043</v>
      </c>
      <c r="C5565" s="8">
        <f>DATE(2012,12,31)-896</f>
        <v>40378</v>
      </c>
      <c r="D5565" s="8" t="str">
        <f t="shared" si="103"/>
        <v>2010-07 (июль 2010)</v>
      </c>
      <c r="E5565" s="9" t="s">
        <v>45</v>
      </c>
      <c r="F5565" s="7">
        <v>45</v>
      </c>
      <c r="G5565" s="7">
        <v>125.21</v>
      </c>
      <c r="H5565" s="7">
        <v>0.01</v>
      </c>
      <c r="I5565" s="9" t="s">
        <v>56</v>
      </c>
      <c r="J5565" s="10">
        <v>37.99</v>
      </c>
      <c r="K5565" s="11">
        <v>2.62</v>
      </c>
      <c r="L5565" s="11">
        <v>0.8</v>
      </c>
      <c r="M5565" s="9" t="s">
        <v>1932</v>
      </c>
      <c r="N5565" s="6" t="s">
        <v>1905</v>
      </c>
      <c r="O5565" s="6" t="s">
        <v>673</v>
      </c>
      <c r="P5565" s="9" t="s">
        <v>60</v>
      </c>
      <c r="Q5565" s="9" t="s">
        <v>26</v>
      </c>
      <c r="R5565" s="9" t="s">
        <v>66</v>
      </c>
      <c r="S5565" s="7" t="s">
        <v>861</v>
      </c>
      <c r="T5565" s="9" t="s">
        <v>68</v>
      </c>
      <c r="U5565" s="7">
        <v>0.39</v>
      </c>
      <c r="V5565" s="12">
        <f>C5565+1</f>
        <v>40379</v>
      </c>
      <c r="W5565">
        <f>IF(D5565=' Pivot Tables'!$A$4,1,0)</f>
        <v>0</v>
      </c>
      <c r="X5565">
        <f>IF(AND(LEFT(D5565,4)+1=LEFT(' Pivot Tables'!$A$4,4)+0,RIGHT(LEFT(D5565,7),2)=RIGHT(LEFT(' Pivot Tables'!$A$4,7),2)),1,0)</f>
        <v>0</v>
      </c>
      <c r="Y5565" s="6">
        <f>1/COUNTIF(Таблица1[Order ID],Таблица1[[#This Row],[Order ID]])</f>
        <v>0.5</v>
      </c>
      <c r="Z5565" s="9">
        <f>1/COUNTIFS(Таблица1[Customer Name],Таблица1[[#This Row],[Customer Name]],Таблица1[Order-Year-Month],Таблица1[[#This Row],[Order-Year-Month]])</f>
        <v>0.5</v>
      </c>
    </row>
    <row r="5566" spans="1:26" x14ac:dyDescent="0.2">
      <c r="A5566" s="6">
        <v>4924</v>
      </c>
      <c r="B5566" s="7">
        <v>35043</v>
      </c>
      <c r="C5566" s="8">
        <f>DATE(2012,12,31)-896</f>
        <v>40378</v>
      </c>
      <c r="D5566" s="8" t="str">
        <f t="shared" si="103"/>
        <v>2010-07 (июль 2010)</v>
      </c>
      <c r="E5566" s="9" t="s">
        <v>45</v>
      </c>
      <c r="F5566" s="7">
        <v>9</v>
      </c>
      <c r="G5566" s="7">
        <v>924.11149999999998</v>
      </c>
      <c r="H5566" s="7">
        <v>0.06</v>
      </c>
      <c r="I5566" s="9" t="s">
        <v>22</v>
      </c>
      <c r="J5566" s="10">
        <v>-287.99099999999999</v>
      </c>
      <c r="K5566" s="11">
        <v>125.99</v>
      </c>
      <c r="L5566" s="11">
        <v>8.08</v>
      </c>
      <c r="M5566" s="9" t="s">
        <v>1932</v>
      </c>
      <c r="N5566" s="6" t="s">
        <v>1905</v>
      </c>
      <c r="O5566" s="6" t="s">
        <v>673</v>
      </c>
      <c r="P5566" s="9" t="s">
        <v>60</v>
      </c>
      <c r="Q5566" s="9" t="s">
        <v>42</v>
      </c>
      <c r="R5566" s="9" t="s">
        <v>43</v>
      </c>
      <c r="S5566" s="7" t="s">
        <v>586</v>
      </c>
      <c r="T5566" s="9" t="s">
        <v>39</v>
      </c>
      <c r="U5566" s="7">
        <v>0.56999999999999995</v>
      </c>
      <c r="V5566" s="12">
        <f>C5566+1</f>
        <v>40379</v>
      </c>
      <c r="W5566">
        <f>IF(D5566=' Pivot Tables'!$A$4,1,0)</f>
        <v>0</v>
      </c>
      <c r="X5566">
        <f>IF(AND(LEFT(D5566,4)+1=LEFT(' Pivot Tables'!$A$4,4)+0,RIGHT(LEFT(D5566,7),2)=RIGHT(LEFT(' Pivot Tables'!$A$4,7),2)),1,0)</f>
        <v>0</v>
      </c>
      <c r="Y5566" s="6">
        <f>1/COUNTIF(Таблица1[Order ID],Таблица1[[#This Row],[Order ID]])</f>
        <v>0.5</v>
      </c>
      <c r="Z5566" s="9">
        <f>1/COUNTIFS(Таблица1[Customer Name],Таблица1[[#This Row],[Customer Name]],Таблица1[Order-Year-Month],Таблица1[[#This Row],[Order-Year-Month]])</f>
        <v>0.5</v>
      </c>
    </row>
    <row r="5567" spans="1:26" x14ac:dyDescent="0.2">
      <c r="A5567" s="6">
        <v>5281</v>
      </c>
      <c r="B5567" s="7">
        <v>37603</v>
      </c>
      <c r="C5567" s="8">
        <f>DATE(2012,12,31)-768</f>
        <v>40506</v>
      </c>
      <c r="D5567" s="8" t="str">
        <f t="shared" si="103"/>
        <v>2010-11 (ноябрь 2010)</v>
      </c>
      <c r="E5567" s="9" t="s">
        <v>63</v>
      </c>
      <c r="F5567" s="7">
        <v>50</v>
      </c>
      <c r="G5567" s="7">
        <v>2440.2600000000002</v>
      </c>
      <c r="H5567" s="7">
        <v>0</v>
      </c>
      <c r="I5567" s="9" t="s">
        <v>22</v>
      </c>
      <c r="J5567" s="10">
        <v>917.28</v>
      </c>
      <c r="K5567" s="11">
        <v>45.19</v>
      </c>
      <c r="L5567" s="11">
        <v>1.99</v>
      </c>
      <c r="M5567" s="9" t="s">
        <v>880</v>
      </c>
      <c r="N5567" s="6" t="s">
        <v>1905</v>
      </c>
      <c r="O5567" s="6" t="s">
        <v>673</v>
      </c>
      <c r="P5567" s="9" t="s">
        <v>33</v>
      </c>
      <c r="Q5567" s="9" t="s">
        <v>42</v>
      </c>
      <c r="R5567" s="9" t="s">
        <v>70</v>
      </c>
      <c r="S5567" s="7" t="s">
        <v>379</v>
      </c>
      <c r="T5567" s="9" t="s">
        <v>52</v>
      </c>
      <c r="U5567" s="7">
        <v>0.55000000000000004</v>
      </c>
      <c r="V5567" s="12">
        <f>C5567+2</f>
        <v>40508</v>
      </c>
      <c r="W5567">
        <f>IF(D5567=' Pivot Tables'!$A$4,1,0)</f>
        <v>0</v>
      </c>
      <c r="X5567">
        <f>IF(AND(LEFT(D5567,4)+1=LEFT(' Pivot Tables'!$A$4,4)+0,RIGHT(LEFT(D5567,7),2)=RIGHT(LEFT(' Pivot Tables'!$A$4,7),2)),1,0)</f>
        <v>0</v>
      </c>
      <c r="Y5567" s="6">
        <f>1/COUNTIF(Таблица1[Order ID],Таблица1[[#This Row],[Order ID]])</f>
        <v>0.5</v>
      </c>
      <c r="Z5567" s="9">
        <f>1/COUNTIFS(Таблица1[Customer Name],Таблица1[[#This Row],[Customer Name]],Таблица1[Order-Year-Month],Таблица1[[#This Row],[Order-Year-Month]])</f>
        <v>0.5</v>
      </c>
    </row>
    <row r="5568" spans="1:26" x14ac:dyDescent="0.2">
      <c r="A5568" s="6">
        <v>5282</v>
      </c>
      <c r="B5568" s="7">
        <v>37603</v>
      </c>
      <c r="C5568" s="8">
        <f>DATE(2012,12,31)-768</f>
        <v>40506</v>
      </c>
      <c r="D5568" s="8" t="str">
        <f t="shared" si="103"/>
        <v>2010-11 (ноябрь 2010)</v>
      </c>
      <c r="E5568" s="9" t="s">
        <v>63</v>
      </c>
      <c r="F5568" s="7">
        <v>23</v>
      </c>
      <c r="G5568" s="7">
        <v>1008.19</v>
      </c>
      <c r="H5568" s="7">
        <v>0.03</v>
      </c>
      <c r="I5568" s="9" t="s">
        <v>22</v>
      </c>
      <c r="J5568" s="10">
        <v>210.01</v>
      </c>
      <c r="K5568" s="11">
        <v>45.19</v>
      </c>
      <c r="L5568" s="11">
        <v>1.99</v>
      </c>
      <c r="M5568" s="9" t="s">
        <v>880</v>
      </c>
      <c r="N5568" s="6" t="s">
        <v>1905</v>
      </c>
      <c r="O5568" s="6" t="s">
        <v>673</v>
      </c>
      <c r="P5568" s="9" t="s">
        <v>33</v>
      </c>
      <c r="Q5568" s="9" t="s">
        <v>42</v>
      </c>
      <c r="R5568" s="9" t="s">
        <v>70</v>
      </c>
      <c r="S5568" s="7" t="s">
        <v>379</v>
      </c>
      <c r="T5568" s="9" t="s">
        <v>52</v>
      </c>
      <c r="U5568" s="7">
        <v>0.55000000000000004</v>
      </c>
      <c r="V5568" s="12">
        <f>C5568+2</f>
        <v>40508</v>
      </c>
      <c r="W5568">
        <f>IF(D5568=' Pivot Tables'!$A$4,1,0)</f>
        <v>0</v>
      </c>
      <c r="X5568">
        <f>IF(AND(LEFT(D5568,4)+1=LEFT(' Pivot Tables'!$A$4,4)+0,RIGHT(LEFT(D5568,7),2)=RIGHT(LEFT(' Pivot Tables'!$A$4,7),2)),1,0)</f>
        <v>0</v>
      </c>
      <c r="Y5568" s="6">
        <f>1/COUNTIF(Таблица1[Order ID],Таблица1[[#This Row],[Order ID]])</f>
        <v>0.5</v>
      </c>
      <c r="Z5568" s="9">
        <f>1/COUNTIFS(Таблица1[Customer Name],Таблица1[[#This Row],[Customer Name]],Таблица1[Order-Year-Month],Таблица1[[#This Row],[Order-Year-Month]])</f>
        <v>0.5</v>
      </c>
    </row>
    <row r="5569" spans="1:26" x14ac:dyDescent="0.2">
      <c r="A5569" s="6">
        <v>5426</v>
      </c>
      <c r="B5569" s="7">
        <v>38561</v>
      </c>
      <c r="C5569" s="8">
        <f>DATE(2012,12,31)-489</f>
        <v>40785</v>
      </c>
      <c r="D5569" s="8" t="str">
        <f t="shared" si="103"/>
        <v>2011-08 (август 2011)</v>
      </c>
      <c r="E5569" s="9" t="s">
        <v>78</v>
      </c>
      <c r="F5569" s="7">
        <v>19</v>
      </c>
      <c r="G5569" s="7">
        <v>169.4</v>
      </c>
      <c r="H5569" s="7">
        <v>0.1</v>
      </c>
      <c r="I5569" s="9" t="s">
        <v>22</v>
      </c>
      <c r="J5569" s="10">
        <v>-59.64</v>
      </c>
      <c r="K5569" s="11">
        <v>9.48</v>
      </c>
      <c r="L5569" s="11">
        <v>7.29</v>
      </c>
      <c r="M5569" s="9" t="s">
        <v>1934</v>
      </c>
      <c r="N5569" s="6" t="s">
        <v>1905</v>
      </c>
      <c r="O5569" s="6" t="s">
        <v>673</v>
      </c>
      <c r="P5569" s="9" t="s">
        <v>60</v>
      </c>
      <c r="Q5569" s="9" t="s">
        <v>49</v>
      </c>
      <c r="R5569" s="9" t="s">
        <v>50</v>
      </c>
      <c r="S5569" s="7" t="s">
        <v>934</v>
      </c>
      <c r="T5569" s="9" t="s">
        <v>52</v>
      </c>
      <c r="U5569" s="7">
        <v>0.45</v>
      </c>
      <c r="V5569" s="12">
        <f>C5569+2</f>
        <v>40787</v>
      </c>
      <c r="W5569">
        <f>IF(D5569=' Pivot Tables'!$A$4,1,0)</f>
        <v>0</v>
      </c>
      <c r="X5569">
        <f>IF(AND(LEFT(D5569,4)+1=LEFT(' Pivot Tables'!$A$4,4)+0,RIGHT(LEFT(D5569,7),2)=RIGHT(LEFT(' Pivot Tables'!$A$4,7),2)),1,0)</f>
        <v>0</v>
      </c>
      <c r="Y5569" s="6">
        <f>1/COUNTIF(Таблица1[Order ID],Таблица1[[#This Row],[Order ID]])</f>
        <v>1</v>
      </c>
      <c r="Z5569" s="9">
        <f>1/COUNTIFS(Таблица1[Customer Name],Таблица1[[#This Row],[Customer Name]],Таблица1[Order-Year-Month],Таблица1[[#This Row],[Order-Year-Month]])</f>
        <v>1</v>
      </c>
    </row>
    <row r="5570" spans="1:26" x14ac:dyDescent="0.2">
      <c r="A5570" s="6">
        <v>5629</v>
      </c>
      <c r="B5570" s="7">
        <v>39846</v>
      </c>
      <c r="C5570" s="8">
        <f>DATE(2012,12,31)-1403</f>
        <v>39871</v>
      </c>
      <c r="D5570" s="8" t="str">
        <f t="shared" si="103"/>
        <v>2009-02 (февраль 2009)</v>
      </c>
      <c r="E5570" s="9" t="s">
        <v>21</v>
      </c>
      <c r="F5570" s="7">
        <v>10</v>
      </c>
      <c r="G5570" s="7">
        <v>1372.14</v>
      </c>
      <c r="H5570" s="7">
        <v>0.06</v>
      </c>
      <c r="I5570" s="9" t="s">
        <v>31</v>
      </c>
      <c r="J5570" s="10">
        <v>-340.98</v>
      </c>
      <c r="K5570" s="11">
        <v>130.97999999999999</v>
      </c>
      <c r="L5570" s="11">
        <v>54.74</v>
      </c>
      <c r="M5570" s="9" t="s">
        <v>360</v>
      </c>
      <c r="N5570" s="6" t="s">
        <v>1905</v>
      </c>
      <c r="O5570" s="6" t="s">
        <v>673</v>
      </c>
      <c r="P5570" s="9" t="s">
        <v>41</v>
      </c>
      <c r="Q5570" s="9" t="s">
        <v>49</v>
      </c>
      <c r="R5570" s="9" t="s">
        <v>80</v>
      </c>
      <c r="S5570" s="7" t="s">
        <v>807</v>
      </c>
      <c r="T5570" s="9" t="s">
        <v>82</v>
      </c>
      <c r="U5570" s="7">
        <v>0.69</v>
      </c>
      <c r="V5570" s="12">
        <f>C5570+7</f>
        <v>39878</v>
      </c>
      <c r="W5570">
        <f>IF(D5570=' Pivot Tables'!$A$4,1,0)</f>
        <v>0</v>
      </c>
      <c r="X5570">
        <f>IF(AND(LEFT(D5570,4)+1=LEFT(' Pivot Tables'!$A$4,4)+0,RIGHT(LEFT(D5570,7),2)=RIGHT(LEFT(' Pivot Tables'!$A$4,7),2)),1,0)</f>
        <v>0</v>
      </c>
      <c r="Y5570" s="6">
        <f>1/COUNTIF(Таблица1[Order ID],Таблица1[[#This Row],[Order ID]])</f>
        <v>0.5</v>
      </c>
      <c r="Z5570" s="9">
        <f>1/COUNTIFS(Таблица1[Customer Name],Таблица1[[#This Row],[Customer Name]],Таблица1[Order-Year-Month],Таблица1[[#This Row],[Order-Year-Month]])</f>
        <v>0.5</v>
      </c>
    </row>
    <row r="5571" spans="1:26" x14ac:dyDescent="0.2">
      <c r="A5571" s="6">
        <v>5722</v>
      </c>
      <c r="B5571" s="7">
        <v>40547</v>
      </c>
      <c r="C5571" s="8">
        <f>DATE(2012,12,31)-1271</f>
        <v>40003</v>
      </c>
      <c r="D5571" s="8" t="str">
        <f t="shared" ref="D5571:D5634" si="104">TEXT(C5571,"гггг-ММ (ММММ гггг)")</f>
        <v>2009-07 (июль 2009)</v>
      </c>
      <c r="E5571" s="9" t="s">
        <v>78</v>
      </c>
      <c r="F5571" s="7">
        <v>45</v>
      </c>
      <c r="G5571" s="7">
        <v>6944.0920000000006</v>
      </c>
      <c r="H5571" s="7">
        <v>0.06</v>
      </c>
      <c r="I5571" s="9" t="s">
        <v>56</v>
      </c>
      <c r="J5571" s="10">
        <v>1820.952</v>
      </c>
      <c r="K5571" s="11">
        <v>179.99</v>
      </c>
      <c r="L5571" s="11">
        <v>13.99</v>
      </c>
      <c r="M5571" s="9" t="s">
        <v>1931</v>
      </c>
      <c r="N5571" s="6" t="s">
        <v>1905</v>
      </c>
      <c r="O5571" s="6" t="s">
        <v>673</v>
      </c>
      <c r="P5571" s="9" t="s">
        <v>25</v>
      </c>
      <c r="Q5571" s="9" t="s">
        <v>42</v>
      </c>
      <c r="R5571" s="9" t="s">
        <v>43</v>
      </c>
      <c r="S5571" s="7" t="s">
        <v>343</v>
      </c>
      <c r="T5571" s="9" t="s">
        <v>48</v>
      </c>
      <c r="U5571" s="7">
        <v>0.56999999999999995</v>
      </c>
      <c r="V5571" s="12">
        <f>C5571+2</f>
        <v>40005</v>
      </c>
      <c r="W5571">
        <f>IF(D5571=' Pivot Tables'!$A$4,1,0)</f>
        <v>0</v>
      </c>
      <c r="X5571">
        <f>IF(AND(LEFT(D5571,4)+1=LEFT(' Pivot Tables'!$A$4,4)+0,RIGHT(LEFT(D5571,7),2)=RIGHT(LEFT(' Pivot Tables'!$A$4,7),2)),1,0)</f>
        <v>0</v>
      </c>
      <c r="Y5571" s="6">
        <f>1/COUNTIF(Таблица1[Order ID],Таблица1[[#This Row],[Order ID]])</f>
        <v>1</v>
      </c>
      <c r="Z5571" s="9">
        <f>1/COUNTIFS(Таблица1[Customer Name],Таблица1[[#This Row],[Customer Name]],Таблица1[Order-Year-Month],Таблица1[[#This Row],[Order-Year-Month]])</f>
        <v>1</v>
      </c>
    </row>
    <row r="5572" spans="1:26" x14ac:dyDescent="0.2">
      <c r="A5572" s="6">
        <v>5725</v>
      </c>
      <c r="B5572" s="7">
        <v>40611</v>
      </c>
      <c r="C5572" s="8">
        <f>DATE(2012,12,31)-278</f>
        <v>40996</v>
      </c>
      <c r="D5572" s="8" t="str">
        <f t="shared" si="104"/>
        <v>2012-03 (март 2012)</v>
      </c>
      <c r="E5572" s="9" t="s">
        <v>45</v>
      </c>
      <c r="F5572" s="7">
        <v>12</v>
      </c>
      <c r="G5572" s="7">
        <v>66.83</v>
      </c>
      <c r="H5572" s="7">
        <v>0.02</v>
      </c>
      <c r="I5572" s="9" t="s">
        <v>56</v>
      </c>
      <c r="J5572" s="10">
        <v>-24.31</v>
      </c>
      <c r="K5572" s="11">
        <v>4.28</v>
      </c>
      <c r="L5572" s="11">
        <v>5.17</v>
      </c>
      <c r="M5572" s="9" t="s">
        <v>1928</v>
      </c>
      <c r="N5572" s="6" t="s">
        <v>1905</v>
      </c>
      <c r="O5572" s="6" t="s">
        <v>673</v>
      </c>
      <c r="P5572" s="9" t="s">
        <v>60</v>
      </c>
      <c r="Q5572" s="9" t="s">
        <v>26</v>
      </c>
      <c r="R5572" s="9" t="s">
        <v>61</v>
      </c>
      <c r="S5572" s="7" t="s">
        <v>266</v>
      </c>
      <c r="T5572" s="9" t="s">
        <v>39</v>
      </c>
      <c r="U5572" s="7">
        <v>0.4</v>
      </c>
      <c r="V5572" s="12">
        <f>C5572+2</f>
        <v>40998</v>
      </c>
      <c r="W5572">
        <f>IF(D5572=' Pivot Tables'!$A$4,1,0)</f>
        <v>0</v>
      </c>
      <c r="X5572">
        <f>IF(AND(LEFT(D5572,4)+1=LEFT(' Pivot Tables'!$A$4,4)+0,RIGHT(LEFT(D5572,7),2)=RIGHT(LEFT(' Pivot Tables'!$A$4,7),2)),1,0)</f>
        <v>0</v>
      </c>
      <c r="Y5572" s="6">
        <f>1/COUNTIF(Таблица1[Order ID],Таблица1[[#This Row],[Order ID]])</f>
        <v>0.5</v>
      </c>
      <c r="Z5572" s="9">
        <f>1/COUNTIFS(Таблица1[Customer Name],Таблица1[[#This Row],[Customer Name]],Таблица1[Order-Year-Month],Таблица1[[#This Row],[Order-Year-Month]])</f>
        <v>0.5</v>
      </c>
    </row>
    <row r="5573" spans="1:26" x14ac:dyDescent="0.2">
      <c r="A5573" s="6">
        <v>5726</v>
      </c>
      <c r="B5573" s="7">
        <v>40611</v>
      </c>
      <c r="C5573" s="8">
        <f>DATE(2012,12,31)-278</f>
        <v>40996</v>
      </c>
      <c r="D5573" s="8" t="str">
        <f t="shared" si="104"/>
        <v>2012-03 (март 2012)</v>
      </c>
      <c r="E5573" s="9" t="s">
        <v>45</v>
      </c>
      <c r="F5573" s="7">
        <v>43</v>
      </c>
      <c r="G5573" s="7">
        <v>1407.5150000000001</v>
      </c>
      <c r="H5573" s="7">
        <v>0</v>
      </c>
      <c r="I5573" s="9" t="s">
        <v>22</v>
      </c>
      <c r="J5573" s="10">
        <v>657.45</v>
      </c>
      <c r="K5573" s="11">
        <v>35.99</v>
      </c>
      <c r="L5573" s="11">
        <v>3.3</v>
      </c>
      <c r="M5573" s="9" t="s">
        <v>1928</v>
      </c>
      <c r="N5573" s="6" t="s">
        <v>1905</v>
      </c>
      <c r="O5573" s="6" t="s">
        <v>673</v>
      </c>
      <c r="P5573" s="9" t="s">
        <v>60</v>
      </c>
      <c r="Q5573" s="9" t="s">
        <v>42</v>
      </c>
      <c r="R5573" s="9" t="s">
        <v>43</v>
      </c>
      <c r="S5573" s="7" t="s">
        <v>417</v>
      </c>
      <c r="T5573" s="9" t="s">
        <v>52</v>
      </c>
      <c r="U5573" s="7">
        <v>0.39</v>
      </c>
      <c r="V5573" s="12">
        <f>C5573+2</f>
        <v>40998</v>
      </c>
      <c r="W5573">
        <f>IF(D5573=' Pivot Tables'!$A$4,1,0)</f>
        <v>0</v>
      </c>
      <c r="X5573">
        <f>IF(AND(LEFT(D5573,4)+1=LEFT(' Pivot Tables'!$A$4,4)+0,RIGHT(LEFT(D5573,7),2)=RIGHT(LEFT(' Pivot Tables'!$A$4,7),2)),1,0)</f>
        <v>0</v>
      </c>
      <c r="Y5573" s="6">
        <f>1/COUNTIF(Таблица1[Order ID],Таблица1[[#This Row],[Order ID]])</f>
        <v>0.5</v>
      </c>
      <c r="Z5573" s="9">
        <f>1/COUNTIFS(Таблица1[Customer Name],Таблица1[[#This Row],[Customer Name]],Таблица1[Order-Year-Month],Таблица1[[#This Row],[Order-Year-Month]])</f>
        <v>0.5</v>
      </c>
    </row>
    <row r="5574" spans="1:26" x14ac:dyDescent="0.2">
      <c r="A5574" s="6">
        <v>5762</v>
      </c>
      <c r="B5574" s="7">
        <v>40901</v>
      </c>
      <c r="C5574" s="8">
        <f>DATE(2012,12,31)-155</f>
        <v>41119</v>
      </c>
      <c r="D5574" s="8" t="str">
        <f t="shared" si="104"/>
        <v>2012-07 (июль 2012)</v>
      </c>
      <c r="E5574" s="9" t="s">
        <v>63</v>
      </c>
      <c r="F5574" s="7">
        <v>40</v>
      </c>
      <c r="G5574" s="7">
        <v>273.14</v>
      </c>
      <c r="H5574" s="7">
        <v>0.02</v>
      </c>
      <c r="I5574" s="9" t="s">
        <v>22</v>
      </c>
      <c r="J5574" s="10">
        <v>-96.9</v>
      </c>
      <c r="K5574" s="11">
        <v>6.6</v>
      </c>
      <c r="L5574" s="11">
        <v>4.07</v>
      </c>
      <c r="M5574" s="9" t="s">
        <v>1928</v>
      </c>
      <c r="N5574" s="6" t="s">
        <v>1905</v>
      </c>
      <c r="O5574" s="6" t="s">
        <v>673</v>
      </c>
      <c r="P5574" s="9" t="s">
        <v>60</v>
      </c>
      <c r="Q5574" s="9" t="s">
        <v>42</v>
      </c>
      <c r="R5574" s="9" t="s">
        <v>70</v>
      </c>
      <c r="S5574" s="7" t="s">
        <v>1168</v>
      </c>
      <c r="T5574" s="9" t="s">
        <v>52</v>
      </c>
      <c r="U5574" s="7">
        <v>0.66</v>
      </c>
      <c r="V5574" s="12">
        <f>C5574+2</f>
        <v>41121</v>
      </c>
      <c r="W5574">
        <f>IF(D5574=' Pivot Tables'!$A$4,1,0)</f>
        <v>0</v>
      </c>
      <c r="X5574">
        <f>IF(AND(LEFT(D5574,4)+1=LEFT(' Pivot Tables'!$A$4,4)+0,RIGHT(LEFT(D5574,7),2)=RIGHT(LEFT(' Pivot Tables'!$A$4,7),2)),1,0)</f>
        <v>0</v>
      </c>
      <c r="Y5574" s="6">
        <f>1/COUNTIF(Таблица1[Order ID],Таблица1[[#This Row],[Order ID]])</f>
        <v>0.5</v>
      </c>
      <c r="Z5574" s="9">
        <f>1/COUNTIFS(Таблица1[Customer Name],Таблица1[[#This Row],[Customer Name]],Таблица1[Order-Year-Month],Таблица1[[#This Row],[Order-Year-Month]])</f>
        <v>0.5</v>
      </c>
    </row>
    <row r="5575" spans="1:26" x14ac:dyDescent="0.2">
      <c r="A5575" s="6">
        <v>5763</v>
      </c>
      <c r="B5575" s="7">
        <v>40901</v>
      </c>
      <c r="C5575" s="8">
        <f>DATE(2012,12,31)-155</f>
        <v>41119</v>
      </c>
      <c r="D5575" s="8" t="str">
        <f t="shared" si="104"/>
        <v>2012-07 (июль 2012)</v>
      </c>
      <c r="E5575" s="9" t="s">
        <v>63</v>
      </c>
      <c r="F5575" s="7">
        <v>22</v>
      </c>
      <c r="G5575" s="7">
        <v>3100.1115</v>
      </c>
      <c r="H5575" s="7">
        <v>0.02</v>
      </c>
      <c r="I5575" s="9" t="s">
        <v>56</v>
      </c>
      <c r="J5575" s="10">
        <v>567.36899999999991</v>
      </c>
      <c r="K5575" s="11">
        <v>155.99</v>
      </c>
      <c r="L5575" s="11">
        <v>8.08</v>
      </c>
      <c r="M5575" s="9" t="s">
        <v>1928</v>
      </c>
      <c r="N5575" s="6" t="s">
        <v>1905</v>
      </c>
      <c r="O5575" s="6" t="s">
        <v>673</v>
      </c>
      <c r="P5575" s="9" t="s">
        <v>60</v>
      </c>
      <c r="Q5575" s="9" t="s">
        <v>42</v>
      </c>
      <c r="R5575" s="9" t="s">
        <v>43</v>
      </c>
      <c r="S5575" s="7" t="s">
        <v>333</v>
      </c>
      <c r="T5575" s="9" t="s">
        <v>39</v>
      </c>
      <c r="U5575" s="7">
        <v>0.6</v>
      </c>
      <c r="V5575" s="12">
        <f>C5575+2</f>
        <v>41121</v>
      </c>
      <c r="W5575">
        <f>IF(D5575=' Pivot Tables'!$A$4,1,0)</f>
        <v>0</v>
      </c>
      <c r="X5575">
        <f>IF(AND(LEFT(D5575,4)+1=LEFT(' Pivot Tables'!$A$4,4)+0,RIGHT(LEFT(D5575,7),2)=RIGHT(LEFT(' Pivot Tables'!$A$4,7),2)),1,0)</f>
        <v>0</v>
      </c>
      <c r="Y5575" s="6">
        <f>1/COUNTIF(Таблица1[Order ID],Таблица1[[#This Row],[Order ID]])</f>
        <v>0.5</v>
      </c>
      <c r="Z5575" s="9">
        <f>1/COUNTIFS(Таблица1[Customer Name],Таблица1[[#This Row],[Customer Name]],Таблица1[Order-Year-Month],Таблица1[[#This Row],[Order-Year-Month]])</f>
        <v>0.5</v>
      </c>
    </row>
    <row r="5576" spans="1:26" x14ac:dyDescent="0.2">
      <c r="A5576" s="6">
        <v>5867</v>
      </c>
      <c r="B5576" s="7">
        <v>41634</v>
      </c>
      <c r="C5576" s="8">
        <f>DATE(2012,12,31)-23</f>
        <v>41251</v>
      </c>
      <c r="D5576" s="8" t="str">
        <f t="shared" si="104"/>
        <v>2012-12 (декабрь 2012)</v>
      </c>
      <c r="E5576" s="9" t="s">
        <v>45</v>
      </c>
      <c r="F5576" s="7">
        <v>7</v>
      </c>
      <c r="G5576" s="7">
        <v>57.35</v>
      </c>
      <c r="H5576" s="7">
        <v>0.06</v>
      </c>
      <c r="I5576" s="9" t="s">
        <v>22</v>
      </c>
      <c r="J5576" s="10">
        <v>-28.55</v>
      </c>
      <c r="K5576" s="11">
        <v>8.33</v>
      </c>
      <c r="L5576" s="11">
        <v>1.99</v>
      </c>
      <c r="M5576" s="9" t="s">
        <v>1928</v>
      </c>
      <c r="N5576" s="6" t="s">
        <v>1905</v>
      </c>
      <c r="O5576" s="6" t="s">
        <v>673</v>
      </c>
      <c r="P5576" s="9" t="s">
        <v>60</v>
      </c>
      <c r="Q5576" s="9" t="s">
        <v>42</v>
      </c>
      <c r="R5576" s="9" t="s">
        <v>70</v>
      </c>
      <c r="S5576" s="7" t="s">
        <v>324</v>
      </c>
      <c r="T5576" s="9" t="s">
        <v>52</v>
      </c>
      <c r="U5576" s="7">
        <v>0.52</v>
      </c>
      <c r="V5576" s="12">
        <f>C5576+1</f>
        <v>41252</v>
      </c>
      <c r="W5576">
        <f>IF(D5576=' Pivot Tables'!$A$4,1,0)</f>
        <v>0</v>
      </c>
      <c r="X5576">
        <f>IF(AND(LEFT(D5576,4)+1=LEFT(' Pivot Tables'!$A$4,4)+0,RIGHT(LEFT(D5576,7),2)=RIGHT(LEFT(' Pivot Tables'!$A$4,7),2)),1,0)</f>
        <v>0</v>
      </c>
      <c r="Y5576" s="6">
        <f>1/COUNTIF(Таблица1[Order ID],Таблица1[[#This Row],[Order ID]])</f>
        <v>0.5</v>
      </c>
      <c r="Z5576" s="9">
        <f>1/COUNTIFS(Таблица1[Customer Name],Таблица1[[#This Row],[Customer Name]],Таблица1[Order-Year-Month],Таблица1[[#This Row],[Order-Year-Month]])</f>
        <v>0.5</v>
      </c>
    </row>
    <row r="5577" spans="1:26" x14ac:dyDescent="0.2">
      <c r="A5577" s="6">
        <v>5868</v>
      </c>
      <c r="B5577" s="7">
        <v>41634</v>
      </c>
      <c r="C5577" s="8">
        <f>DATE(2012,12,31)-23</f>
        <v>41251</v>
      </c>
      <c r="D5577" s="8" t="str">
        <f t="shared" si="104"/>
        <v>2012-12 (декабрь 2012)</v>
      </c>
      <c r="E5577" s="9" t="s">
        <v>45</v>
      </c>
      <c r="F5577" s="7">
        <v>10</v>
      </c>
      <c r="G5577" s="7">
        <v>371.45</v>
      </c>
      <c r="H5577" s="7">
        <v>0.01</v>
      </c>
      <c r="I5577" s="9" t="s">
        <v>22</v>
      </c>
      <c r="J5577" s="10">
        <v>17.73</v>
      </c>
      <c r="K5577" s="11">
        <v>34.99</v>
      </c>
      <c r="L5577" s="11">
        <v>7.73</v>
      </c>
      <c r="M5577" s="9" t="s">
        <v>1928</v>
      </c>
      <c r="N5577" s="6" t="s">
        <v>1905</v>
      </c>
      <c r="O5577" s="6" t="s">
        <v>673</v>
      </c>
      <c r="P5577" s="9" t="s">
        <v>60</v>
      </c>
      <c r="Q5577" s="9" t="s">
        <v>26</v>
      </c>
      <c r="R5577" s="9" t="s">
        <v>95</v>
      </c>
      <c r="S5577" s="7" t="s">
        <v>1355</v>
      </c>
      <c r="T5577" s="9" t="s">
        <v>39</v>
      </c>
      <c r="U5577" s="7">
        <v>0.59</v>
      </c>
      <c r="V5577" s="12">
        <f>C5577+2</f>
        <v>41253</v>
      </c>
      <c r="W5577">
        <f>IF(D5577=' Pivot Tables'!$A$4,1,0)</f>
        <v>0</v>
      </c>
      <c r="X5577">
        <f>IF(AND(LEFT(D5577,4)+1=LEFT(' Pivot Tables'!$A$4,4)+0,RIGHT(LEFT(D5577,7),2)=RIGHT(LEFT(' Pivot Tables'!$A$4,7),2)),1,0)</f>
        <v>0</v>
      </c>
      <c r="Y5577" s="6">
        <f>1/COUNTIF(Таблица1[Order ID],Таблица1[[#This Row],[Order ID]])</f>
        <v>0.5</v>
      </c>
      <c r="Z5577" s="9">
        <f>1/COUNTIFS(Таблица1[Customer Name],Таблица1[[#This Row],[Customer Name]],Таблица1[Order-Year-Month],Таблица1[[#This Row],[Order-Year-Month]])</f>
        <v>0.5</v>
      </c>
    </row>
    <row r="5578" spans="1:26" x14ac:dyDescent="0.2">
      <c r="A5578" s="6">
        <v>5889</v>
      </c>
      <c r="B5578" s="7">
        <v>41766</v>
      </c>
      <c r="C5578" s="8">
        <f>DATE(2012,12,31)-111</f>
        <v>41163</v>
      </c>
      <c r="D5578" s="8" t="str">
        <f t="shared" si="104"/>
        <v>2012-09 (сентябрь 2012)</v>
      </c>
      <c r="E5578" s="9" t="s">
        <v>78</v>
      </c>
      <c r="F5578" s="7">
        <v>10</v>
      </c>
      <c r="G5578" s="7">
        <v>5158.09</v>
      </c>
      <c r="H5578" s="7">
        <v>0.01</v>
      </c>
      <c r="I5578" s="9" t="s">
        <v>31</v>
      </c>
      <c r="J5578" s="10">
        <v>969.05</v>
      </c>
      <c r="K5578" s="11">
        <v>500.98</v>
      </c>
      <c r="L5578" s="11">
        <v>28.14</v>
      </c>
      <c r="M5578" s="9" t="s">
        <v>1518</v>
      </c>
      <c r="N5578" s="6" t="s">
        <v>1905</v>
      </c>
      <c r="O5578" s="6" t="s">
        <v>673</v>
      </c>
      <c r="P5578" s="9" t="s">
        <v>41</v>
      </c>
      <c r="Q5578" s="9" t="s">
        <v>42</v>
      </c>
      <c r="R5578" s="9" t="s">
        <v>210</v>
      </c>
      <c r="S5578" s="7" t="s">
        <v>1016</v>
      </c>
      <c r="T5578" s="9" t="s">
        <v>36</v>
      </c>
      <c r="U5578" s="7">
        <v>0.38</v>
      </c>
      <c r="V5578" s="12">
        <f>C5578+1</f>
        <v>41164</v>
      </c>
      <c r="W5578">
        <f>IF(D5578=' Pivot Tables'!$A$4,1,0)</f>
        <v>0</v>
      </c>
      <c r="X5578">
        <f>IF(AND(LEFT(D5578,4)+1=LEFT(' Pivot Tables'!$A$4,4)+0,RIGHT(LEFT(D5578,7),2)=RIGHT(LEFT(' Pivot Tables'!$A$4,7),2)),1,0)</f>
        <v>0</v>
      </c>
      <c r="Y5578" s="6">
        <f>1/COUNTIF(Таблица1[Order ID],Таблица1[[#This Row],[Order ID]])</f>
        <v>0.5</v>
      </c>
      <c r="Z5578" s="9">
        <f>1/COUNTIFS(Таблица1[Customer Name],Таблица1[[#This Row],[Customer Name]],Таблица1[Order-Year-Month],Таблица1[[#This Row],[Order-Year-Month]])</f>
        <v>0.5</v>
      </c>
    </row>
    <row r="5579" spans="1:26" x14ac:dyDescent="0.2">
      <c r="A5579" s="6">
        <v>5916</v>
      </c>
      <c r="B5579" s="7">
        <v>41956</v>
      </c>
      <c r="C5579" s="8">
        <f>DATE(2012,12,31)-385</f>
        <v>40889</v>
      </c>
      <c r="D5579" s="8" t="str">
        <f t="shared" si="104"/>
        <v>2011-12 (декабрь 2011)</v>
      </c>
      <c r="E5579" s="9" t="s">
        <v>63</v>
      </c>
      <c r="F5579" s="7">
        <v>22</v>
      </c>
      <c r="G5579" s="7">
        <v>364.69</v>
      </c>
      <c r="H5579" s="7">
        <v>0.06</v>
      </c>
      <c r="I5579" s="9" t="s">
        <v>56</v>
      </c>
      <c r="J5579" s="10">
        <v>-22.4</v>
      </c>
      <c r="K5579" s="11">
        <v>16.91</v>
      </c>
      <c r="L5579" s="11">
        <v>6.25</v>
      </c>
      <c r="M5579" s="9" t="s">
        <v>1935</v>
      </c>
      <c r="N5579" s="6" t="s">
        <v>1905</v>
      </c>
      <c r="O5579" s="6" t="s">
        <v>673</v>
      </c>
      <c r="P5579" s="9" t="s">
        <v>60</v>
      </c>
      <c r="Q5579" s="9" t="s">
        <v>26</v>
      </c>
      <c r="R5579" s="9" t="s">
        <v>27</v>
      </c>
      <c r="S5579" s="7" t="s">
        <v>794</v>
      </c>
      <c r="T5579" s="9" t="s">
        <v>39</v>
      </c>
      <c r="U5579" s="7">
        <v>0.57999999999999996</v>
      </c>
      <c r="V5579" s="12">
        <f>C5579+1</f>
        <v>40890</v>
      </c>
      <c r="W5579">
        <f>IF(D5579=' Pivot Tables'!$A$4,1,0)</f>
        <v>0</v>
      </c>
      <c r="X5579">
        <f>IF(AND(LEFT(D5579,4)+1=LEFT(' Pivot Tables'!$A$4,4)+0,RIGHT(LEFT(D5579,7),2)=RIGHT(LEFT(' Pivot Tables'!$A$4,7),2)),1,0)</f>
        <v>0</v>
      </c>
      <c r="Y5579" s="6">
        <f>1/COUNTIF(Таблица1[Order ID],Таблица1[[#This Row],[Order ID]])</f>
        <v>0.5</v>
      </c>
      <c r="Z5579" s="9">
        <f>1/COUNTIFS(Таблица1[Customer Name],Таблица1[[#This Row],[Customer Name]],Таблица1[Order-Year-Month],Таблица1[[#This Row],[Order-Year-Month]])</f>
        <v>0.5</v>
      </c>
    </row>
    <row r="5580" spans="1:26" x14ac:dyDescent="0.2">
      <c r="A5580" s="6">
        <v>5917</v>
      </c>
      <c r="B5580" s="7">
        <v>41956</v>
      </c>
      <c r="C5580" s="8">
        <f>DATE(2012,12,31)-385</f>
        <v>40889</v>
      </c>
      <c r="D5580" s="8" t="str">
        <f t="shared" si="104"/>
        <v>2011-12 (декабрь 2011)</v>
      </c>
      <c r="E5580" s="9" t="s">
        <v>63</v>
      </c>
      <c r="F5580" s="7">
        <v>16</v>
      </c>
      <c r="G5580" s="7">
        <v>86.3</v>
      </c>
      <c r="H5580" s="7">
        <v>0</v>
      </c>
      <c r="I5580" s="9" t="s">
        <v>22</v>
      </c>
      <c r="J5580" s="10">
        <v>-68.67</v>
      </c>
      <c r="K5580" s="11">
        <v>4.8899999999999997</v>
      </c>
      <c r="L5580" s="11">
        <v>4.93</v>
      </c>
      <c r="M5580" s="9" t="s">
        <v>1935</v>
      </c>
      <c r="N5580" s="6" t="s">
        <v>1905</v>
      </c>
      <c r="O5580" s="6" t="s">
        <v>673</v>
      </c>
      <c r="P5580" s="9" t="s">
        <v>60</v>
      </c>
      <c r="Q5580" s="9" t="s">
        <v>42</v>
      </c>
      <c r="R5580" s="9" t="s">
        <v>70</v>
      </c>
      <c r="S5580" s="7" t="s">
        <v>93</v>
      </c>
      <c r="T5580" s="9" t="s">
        <v>52</v>
      </c>
      <c r="U5580" s="7">
        <v>0.66</v>
      </c>
      <c r="V5580" s="12">
        <f>C5580+2</f>
        <v>40891</v>
      </c>
      <c r="W5580">
        <f>IF(D5580=' Pivot Tables'!$A$4,1,0)</f>
        <v>0</v>
      </c>
      <c r="X5580">
        <f>IF(AND(LEFT(D5580,4)+1=LEFT(' Pivot Tables'!$A$4,4)+0,RIGHT(LEFT(D5580,7),2)=RIGHT(LEFT(' Pivot Tables'!$A$4,7),2)),1,0)</f>
        <v>0</v>
      </c>
      <c r="Y5580" s="6">
        <f>1/COUNTIF(Таблица1[Order ID],Таблица1[[#This Row],[Order ID]])</f>
        <v>0.5</v>
      </c>
      <c r="Z5580" s="9">
        <f>1/COUNTIFS(Таблица1[Customer Name],Таблица1[[#This Row],[Customer Name]],Таблица1[Order-Year-Month],Таблица1[[#This Row],[Order-Year-Month]])</f>
        <v>0.5</v>
      </c>
    </row>
    <row r="5581" spans="1:26" x14ac:dyDescent="0.2">
      <c r="A5581" s="6">
        <v>6310</v>
      </c>
      <c r="B5581" s="7">
        <v>44646</v>
      </c>
      <c r="C5581" s="8">
        <f>DATE(2012,12,31)-362</f>
        <v>40912</v>
      </c>
      <c r="D5581" s="8" t="str">
        <f t="shared" si="104"/>
        <v>2012-01 (январь 2012)</v>
      </c>
      <c r="E5581" s="9" t="s">
        <v>21</v>
      </c>
      <c r="F5581" s="7">
        <v>47</v>
      </c>
      <c r="G5581" s="7">
        <v>12723.95</v>
      </c>
      <c r="H5581" s="7">
        <v>0.08</v>
      </c>
      <c r="I5581" s="9" t="s">
        <v>22</v>
      </c>
      <c r="J5581" s="10">
        <v>11.54</v>
      </c>
      <c r="K5581" s="11">
        <v>279.48</v>
      </c>
      <c r="L5581" s="11">
        <v>35</v>
      </c>
      <c r="M5581" s="9" t="s">
        <v>1934</v>
      </c>
      <c r="N5581" s="6" t="s">
        <v>1905</v>
      </c>
      <c r="O5581" s="6" t="s">
        <v>673</v>
      </c>
      <c r="P5581" s="9" t="s">
        <v>60</v>
      </c>
      <c r="Q5581" s="9" t="s">
        <v>26</v>
      </c>
      <c r="R5581" s="9" t="s">
        <v>27</v>
      </c>
      <c r="S5581" s="7" t="s">
        <v>180</v>
      </c>
      <c r="T5581" s="9" t="s">
        <v>29</v>
      </c>
      <c r="U5581" s="7">
        <v>0.8</v>
      </c>
      <c r="V5581" s="12">
        <f>C5581+4</f>
        <v>40916</v>
      </c>
      <c r="W5581">
        <f>IF(D5581=' Pivot Tables'!$A$4,1,0)</f>
        <v>0</v>
      </c>
      <c r="X5581">
        <f>IF(AND(LEFT(D5581,4)+1=LEFT(' Pivot Tables'!$A$4,4)+0,RIGHT(LEFT(D5581,7),2)=RIGHT(LEFT(' Pivot Tables'!$A$4,7),2)),1,0)</f>
        <v>0</v>
      </c>
      <c r="Y5581" s="6">
        <f>1/COUNTIF(Таблица1[Order ID],Таблица1[[#This Row],[Order ID]])</f>
        <v>1</v>
      </c>
      <c r="Z5581" s="9">
        <f>1/COUNTIFS(Таблица1[Customer Name],Таблица1[[#This Row],[Customer Name]],Таблица1[Order-Year-Month],Таблица1[[#This Row],[Order-Year-Month]])</f>
        <v>1</v>
      </c>
    </row>
    <row r="5582" spans="1:26" x14ac:dyDescent="0.2">
      <c r="A5582" s="6">
        <v>6444</v>
      </c>
      <c r="B5582" s="7">
        <v>45825</v>
      </c>
      <c r="C5582" s="8">
        <f>DATE(2012,12,31)-85</f>
        <v>41189</v>
      </c>
      <c r="D5582" s="8" t="str">
        <f t="shared" si="104"/>
        <v>2012-10 (октябрь 2012)</v>
      </c>
      <c r="E5582" s="9" t="s">
        <v>63</v>
      </c>
      <c r="F5582" s="7">
        <v>43</v>
      </c>
      <c r="G5582" s="7">
        <v>272.63</v>
      </c>
      <c r="H5582" s="7">
        <v>0.04</v>
      </c>
      <c r="I5582" s="9" t="s">
        <v>22</v>
      </c>
      <c r="J5582" s="10">
        <v>-64.45</v>
      </c>
      <c r="K5582" s="11">
        <v>6.48</v>
      </c>
      <c r="L5582" s="11">
        <v>5.14</v>
      </c>
      <c r="M5582" s="9" t="s">
        <v>880</v>
      </c>
      <c r="N5582" s="6" t="s">
        <v>1905</v>
      </c>
      <c r="O5582" s="6" t="s">
        <v>673</v>
      </c>
      <c r="P5582" s="9" t="s">
        <v>41</v>
      </c>
      <c r="Q5582" s="9" t="s">
        <v>26</v>
      </c>
      <c r="R5582" s="9" t="s">
        <v>61</v>
      </c>
      <c r="S5582" s="7" t="s">
        <v>1184</v>
      </c>
      <c r="T5582" s="9" t="s">
        <v>39</v>
      </c>
      <c r="U5582" s="7">
        <v>0.37</v>
      </c>
      <c r="V5582" s="12">
        <f>C5582+0</f>
        <v>41189</v>
      </c>
      <c r="W5582">
        <f>IF(D5582=' Pivot Tables'!$A$4,1,0)</f>
        <v>0</v>
      </c>
      <c r="X5582">
        <f>IF(AND(LEFT(D5582,4)+1=LEFT(' Pivot Tables'!$A$4,4)+0,RIGHT(LEFT(D5582,7),2)=RIGHT(LEFT(' Pivot Tables'!$A$4,7),2)),1,0)</f>
        <v>0</v>
      </c>
      <c r="Y5582" s="6">
        <f>1/COUNTIF(Таблица1[Order ID],Таблица1[[#This Row],[Order ID]])</f>
        <v>1</v>
      </c>
      <c r="Z5582" s="9">
        <f>1/COUNTIFS(Таблица1[Customer Name],Таблица1[[#This Row],[Customer Name]],Таблица1[Order-Year-Month],Таблица1[[#This Row],[Order-Year-Month]])</f>
        <v>1</v>
      </c>
    </row>
    <row r="5583" spans="1:26" x14ac:dyDescent="0.2">
      <c r="A5583" s="6">
        <v>6641</v>
      </c>
      <c r="B5583" s="7">
        <v>47232</v>
      </c>
      <c r="C5583" s="8">
        <f>DATE(2012,12,31)-867</f>
        <v>40407</v>
      </c>
      <c r="D5583" s="8" t="str">
        <f t="shared" si="104"/>
        <v>2010-08 (август 2010)</v>
      </c>
      <c r="E5583" s="9" t="s">
        <v>45</v>
      </c>
      <c r="F5583" s="7">
        <v>39</v>
      </c>
      <c r="G5583" s="7">
        <v>546.4</v>
      </c>
      <c r="H5583" s="7">
        <v>0.1</v>
      </c>
      <c r="I5583" s="9" t="s">
        <v>56</v>
      </c>
      <c r="J5583" s="10">
        <v>-138.82</v>
      </c>
      <c r="K5583" s="11">
        <v>15.14</v>
      </c>
      <c r="L5583" s="11">
        <v>4.53</v>
      </c>
      <c r="M5583" s="9" t="s">
        <v>689</v>
      </c>
      <c r="N5583" s="6" t="s">
        <v>1905</v>
      </c>
      <c r="O5583" s="6" t="s">
        <v>673</v>
      </c>
      <c r="P5583" s="9" t="s">
        <v>41</v>
      </c>
      <c r="Q5583" s="9" t="s">
        <v>26</v>
      </c>
      <c r="R5583" s="9" t="s">
        <v>27</v>
      </c>
      <c r="S5583" s="7" t="s">
        <v>721</v>
      </c>
      <c r="T5583" s="9" t="s">
        <v>39</v>
      </c>
      <c r="U5583" s="7">
        <v>0.81</v>
      </c>
      <c r="V5583" s="12">
        <f>C5583+2</f>
        <v>40409</v>
      </c>
      <c r="W5583">
        <f>IF(D5583=' Pivot Tables'!$A$4,1,0)</f>
        <v>0</v>
      </c>
      <c r="X5583">
        <f>IF(AND(LEFT(D5583,4)+1=LEFT(' Pivot Tables'!$A$4,4)+0,RIGHT(LEFT(D5583,7),2)=RIGHT(LEFT(' Pivot Tables'!$A$4,7),2)),1,0)</f>
        <v>0</v>
      </c>
      <c r="Y5583" s="6">
        <f>1/COUNTIF(Таблица1[Order ID],Таблица1[[#This Row],[Order ID]])</f>
        <v>1</v>
      </c>
      <c r="Z5583" s="9">
        <f>1/COUNTIFS(Таблица1[Customer Name],Таблица1[[#This Row],[Customer Name]],Таблица1[Order-Year-Month],Таблица1[[#This Row],[Order-Year-Month]])</f>
        <v>1</v>
      </c>
    </row>
    <row r="5584" spans="1:26" x14ac:dyDescent="0.2">
      <c r="A5584" s="6">
        <v>6915</v>
      </c>
      <c r="B5584" s="7">
        <v>49344</v>
      </c>
      <c r="C5584" s="8">
        <f>DATE(2012,12,31)-1</f>
        <v>41273</v>
      </c>
      <c r="D5584" s="8" t="str">
        <f t="shared" si="104"/>
        <v>2012-12 (декабрь 2012)</v>
      </c>
      <c r="E5584" s="9" t="s">
        <v>21</v>
      </c>
      <c r="F5584" s="7">
        <v>31</v>
      </c>
      <c r="G5584" s="7">
        <v>672.93</v>
      </c>
      <c r="H5584" s="7">
        <v>0</v>
      </c>
      <c r="I5584" s="9" t="s">
        <v>22</v>
      </c>
      <c r="J5584" s="10">
        <v>27.85</v>
      </c>
      <c r="K5584" s="11">
        <v>19.98</v>
      </c>
      <c r="L5584" s="11">
        <v>4</v>
      </c>
      <c r="M5584" s="9" t="s">
        <v>1932</v>
      </c>
      <c r="N5584" s="6" t="s">
        <v>1905</v>
      </c>
      <c r="O5584" s="6" t="s">
        <v>673</v>
      </c>
      <c r="P5584" s="9" t="s">
        <v>60</v>
      </c>
      <c r="Q5584" s="9" t="s">
        <v>42</v>
      </c>
      <c r="R5584" s="9" t="s">
        <v>70</v>
      </c>
      <c r="S5584" s="7" t="s">
        <v>655</v>
      </c>
      <c r="T5584" s="9" t="s">
        <v>39</v>
      </c>
      <c r="U5584" s="7">
        <v>0.68</v>
      </c>
      <c r="V5584" s="12">
        <f>C5584+0</f>
        <v>41273</v>
      </c>
      <c r="W5584">
        <f>IF(D5584=' Pivot Tables'!$A$4,1,0)</f>
        <v>0</v>
      </c>
      <c r="X5584">
        <f>IF(AND(LEFT(D5584,4)+1=LEFT(' Pivot Tables'!$A$4,4)+0,RIGHT(LEFT(D5584,7),2)=RIGHT(LEFT(' Pivot Tables'!$A$4,7),2)),1,0)</f>
        <v>0</v>
      </c>
      <c r="Y5584" s="6">
        <f>1/COUNTIF(Таблица1[Order ID],Таблица1[[#This Row],[Order ID]])</f>
        <v>0.5</v>
      </c>
      <c r="Z5584" s="9">
        <f>1/COUNTIFS(Таблица1[Customer Name],Таблица1[[#This Row],[Customer Name]],Таблица1[Order-Year-Month],Таблица1[[#This Row],[Order-Year-Month]])</f>
        <v>0.5</v>
      </c>
    </row>
    <row r="5585" spans="1:26" x14ac:dyDescent="0.2">
      <c r="A5585" s="6">
        <v>6916</v>
      </c>
      <c r="B5585" s="7">
        <v>49344</v>
      </c>
      <c r="C5585" s="8">
        <f>DATE(2012,12,31)-1</f>
        <v>41273</v>
      </c>
      <c r="D5585" s="8" t="str">
        <f t="shared" si="104"/>
        <v>2012-12 (декабрь 2012)</v>
      </c>
      <c r="E5585" s="9" t="s">
        <v>21</v>
      </c>
      <c r="F5585" s="7">
        <v>1</v>
      </c>
      <c r="G5585" s="7">
        <v>803.33</v>
      </c>
      <c r="H5585" s="7">
        <v>0.09</v>
      </c>
      <c r="I5585" s="9" t="s">
        <v>22</v>
      </c>
      <c r="J5585" s="10">
        <v>-745.2</v>
      </c>
      <c r="K5585" s="11">
        <v>832.81</v>
      </c>
      <c r="L5585" s="11">
        <v>24.49</v>
      </c>
      <c r="M5585" s="9" t="s">
        <v>1932</v>
      </c>
      <c r="N5585" s="6" t="s">
        <v>1905</v>
      </c>
      <c r="O5585" s="6" t="s">
        <v>673</v>
      </c>
      <c r="P5585" s="9" t="s">
        <v>60</v>
      </c>
      <c r="Q5585" s="9" t="s">
        <v>26</v>
      </c>
      <c r="R5585" s="9" t="s">
        <v>150</v>
      </c>
      <c r="S5585" s="7" t="s">
        <v>1936</v>
      </c>
      <c r="T5585" s="9" t="s">
        <v>48</v>
      </c>
      <c r="U5585" s="7">
        <v>0.83</v>
      </c>
      <c r="V5585" s="12">
        <f>C5585+0</f>
        <v>41273</v>
      </c>
      <c r="W5585">
        <f>IF(D5585=' Pivot Tables'!$A$4,1,0)</f>
        <v>0</v>
      </c>
      <c r="X5585">
        <f>IF(AND(LEFT(D5585,4)+1=LEFT(' Pivot Tables'!$A$4,4)+0,RIGHT(LEFT(D5585,7),2)=RIGHT(LEFT(' Pivot Tables'!$A$4,7),2)),1,0)</f>
        <v>0</v>
      </c>
      <c r="Y5585" s="6">
        <f>1/COUNTIF(Таблица1[Order ID],Таблица1[[#This Row],[Order ID]])</f>
        <v>0.5</v>
      </c>
      <c r="Z5585" s="9">
        <f>1/COUNTIFS(Таблица1[Customer Name],Таблица1[[#This Row],[Customer Name]],Таблица1[Order-Year-Month],Таблица1[[#This Row],[Order-Year-Month]])</f>
        <v>0.5</v>
      </c>
    </row>
    <row r="5586" spans="1:26" x14ac:dyDescent="0.2">
      <c r="A5586" s="6">
        <v>6922</v>
      </c>
      <c r="B5586" s="7">
        <v>49351</v>
      </c>
      <c r="C5586" s="8">
        <f>DATE(2012,12,31)-276</f>
        <v>40998</v>
      </c>
      <c r="D5586" s="8" t="str">
        <f t="shared" si="104"/>
        <v>2012-03 (март 2012)</v>
      </c>
      <c r="E5586" s="9" t="s">
        <v>21</v>
      </c>
      <c r="F5586" s="7">
        <v>27</v>
      </c>
      <c r="G5586" s="7">
        <v>109.92</v>
      </c>
      <c r="H5586" s="7">
        <v>0.06</v>
      </c>
      <c r="I5586" s="9" t="s">
        <v>22</v>
      </c>
      <c r="J5586" s="10">
        <v>24.75</v>
      </c>
      <c r="K5586" s="11">
        <v>3.98</v>
      </c>
      <c r="L5586" s="11">
        <v>0.83</v>
      </c>
      <c r="M5586" s="9" t="s">
        <v>1930</v>
      </c>
      <c r="N5586" s="6" t="s">
        <v>1905</v>
      </c>
      <c r="O5586" s="6" t="s">
        <v>673</v>
      </c>
      <c r="P5586" s="9" t="s">
        <v>41</v>
      </c>
      <c r="Q5586" s="9" t="s">
        <v>26</v>
      </c>
      <c r="R5586" s="9" t="s">
        <v>95</v>
      </c>
      <c r="S5586" s="7" t="s">
        <v>1216</v>
      </c>
      <c r="T5586" s="9" t="s">
        <v>68</v>
      </c>
      <c r="U5586" s="7">
        <v>0.51</v>
      </c>
      <c r="V5586" s="12">
        <f>C5586+4</f>
        <v>41002</v>
      </c>
      <c r="W5586">
        <f>IF(D5586=' Pivot Tables'!$A$4,1,0)</f>
        <v>0</v>
      </c>
      <c r="X5586">
        <f>IF(AND(LEFT(D5586,4)+1=LEFT(' Pivot Tables'!$A$4,4)+0,RIGHT(LEFT(D5586,7),2)=RIGHT(LEFT(' Pivot Tables'!$A$4,7),2)),1,0)</f>
        <v>0</v>
      </c>
      <c r="Y5586" s="6">
        <f>1/COUNTIF(Таблица1[Order ID],Таблица1[[#This Row],[Order ID]])</f>
        <v>1</v>
      </c>
      <c r="Z5586" s="9">
        <f>1/COUNTIFS(Таблица1[Customer Name],Таблица1[[#This Row],[Customer Name]],Таблица1[Order-Year-Month],Таблица1[[#This Row],[Order-Year-Month]])</f>
        <v>1</v>
      </c>
    </row>
    <row r="5587" spans="1:26" x14ac:dyDescent="0.2">
      <c r="A5587" s="6">
        <v>6939</v>
      </c>
      <c r="B5587" s="7">
        <v>49511</v>
      </c>
      <c r="C5587" s="8">
        <f>DATE(2012,12,31)-1351</f>
        <v>39923</v>
      </c>
      <c r="D5587" s="8" t="str">
        <f t="shared" si="104"/>
        <v>2009-04 (апрель 2009)</v>
      </c>
      <c r="E5587" s="9" t="s">
        <v>30</v>
      </c>
      <c r="F5587" s="7">
        <v>35</v>
      </c>
      <c r="G5587" s="7">
        <v>150.29</v>
      </c>
      <c r="H5587" s="7">
        <v>0.03</v>
      </c>
      <c r="I5587" s="9" t="s">
        <v>56</v>
      </c>
      <c r="J5587" s="10">
        <v>5.04</v>
      </c>
      <c r="K5587" s="11">
        <v>3.69</v>
      </c>
      <c r="L5587" s="11">
        <v>2.5</v>
      </c>
      <c r="M5587" s="9" t="s">
        <v>1933</v>
      </c>
      <c r="N5587" s="6" t="s">
        <v>1905</v>
      </c>
      <c r="O5587" s="6" t="s">
        <v>673</v>
      </c>
      <c r="P5587" s="9" t="s">
        <v>60</v>
      </c>
      <c r="Q5587" s="9" t="s">
        <v>26</v>
      </c>
      <c r="R5587" s="9" t="s">
        <v>76</v>
      </c>
      <c r="S5587" s="7" t="s">
        <v>647</v>
      </c>
      <c r="T5587" s="9" t="s">
        <v>39</v>
      </c>
      <c r="U5587" s="7">
        <v>0.39</v>
      </c>
      <c r="V5587" s="12">
        <f>C5587+0</f>
        <v>39923</v>
      </c>
      <c r="W5587">
        <f>IF(D5587=' Pivot Tables'!$A$4,1,0)</f>
        <v>0</v>
      </c>
      <c r="X5587">
        <f>IF(AND(LEFT(D5587,4)+1=LEFT(' Pivot Tables'!$A$4,4)+0,RIGHT(LEFT(D5587,7),2)=RIGHT(LEFT(' Pivot Tables'!$A$4,7),2)),1,0)</f>
        <v>0</v>
      </c>
      <c r="Y5587" s="6">
        <f>1/COUNTIF(Таблица1[Order ID],Таблица1[[#This Row],[Order ID]])</f>
        <v>1</v>
      </c>
      <c r="Z5587" s="9">
        <f>1/COUNTIFS(Таблица1[Customer Name],Таблица1[[#This Row],[Customer Name]],Таблица1[Order-Year-Month],Таблица1[[#This Row],[Order-Year-Month]])</f>
        <v>1</v>
      </c>
    </row>
    <row r="5588" spans="1:26" x14ac:dyDescent="0.2">
      <c r="A5588" s="6">
        <v>7358</v>
      </c>
      <c r="B5588" s="7">
        <v>52419</v>
      </c>
      <c r="C5588" s="8">
        <f>DATE(2012,12,31)-104</f>
        <v>41170</v>
      </c>
      <c r="D5588" s="8" t="str">
        <f t="shared" si="104"/>
        <v>2012-09 (сентябрь 2012)</v>
      </c>
      <c r="E5588" s="9" t="s">
        <v>30</v>
      </c>
      <c r="F5588" s="7">
        <v>32</v>
      </c>
      <c r="G5588" s="7">
        <v>3500.49</v>
      </c>
      <c r="H5588" s="7">
        <v>0.09</v>
      </c>
      <c r="I5588" s="9" t="s">
        <v>22</v>
      </c>
      <c r="J5588" s="10">
        <v>230.64</v>
      </c>
      <c r="K5588" s="11">
        <v>111.03</v>
      </c>
      <c r="L5588" s="11">
        <v>8.64</v>
      </c>
      <c r="M5588" s="9" t="s">
        <v>592</v>
      </c>
      <c r="N5588" s="6" t="s">
        <v>1905</v>
      </c>
      <c r="O5588" s="6" t="s">
        <v>673</v>
      </c>
      <c r="P5588" s="9" t="s">
        <v>41</v>
      </c>
      <c r="Q5588" s="9" t="s">
        <v>26</v>
      </c>
      <c r="R5588" s="9" t="s">
        <v>27</v>
      </c>
      <c r="S5588" s="7" t="s">
        <v>199</v>
      </c>
      <c r="T5588" s="9" t="s">
        <v>39</v>
      </c>
      <c r="U5588" s="7">
        <v>0.78</v>
      </c>
      <c r="V5588" s="12">
        <f>C5588+1</f>
        <v>41171</v>
      </c>
      <c r="W5588">
        <f>IF(D5588=' Pivot Tables'!$A$4,1,0)</f>
        <v>0</v>
      </c>
      <c r="X5588">
        <f>IF(AND(LEFT(D5588,4)+1=LEFT(' Pivot Tables'!$A$4,4)+0,RIGHT(LEFT(D5588,7),2)=RIGHT(LEFT(' Pivot Tables'!$A$4,7),2)),1,0)</f>
        <v>0</v>
      </c>
      <c r="Y5588" s="6">
        <f>1/COUNTIF(Таблица1[Order ID],Таблица1[[#This Row],[Order ID]])</f>
        <v>1</v>
      </c>
      <c r="Z5588" s="9">
        <f>1/COUNTIFS(Таблица1[Customer Name],Таблица1[[#This Row],[Customer Name]],Таблица1[Order-Year-Month],Таблица1[[#This Row],[Order-Year-Month]])</f>
        <v>1</v>
      </c>
    </row>
    <row r="5589" spans="1:26" x14ac:dyDescent="0.2">
      <c r="A5589" s="6">
        <v>7440</v>
      </c>
      <c r="B5589" s="7">
        <v>53029</v>
      </c>
      <c r="C5589" s="8">
        <f>DATE(2012,12,31)-1253</f>
        <v>40021</v>
      </c>
      <c r="D5589" s="8" t="str">
        <f t="shared" si="104"/>
        <v>2009-07 (июль 2009)</v>
      </c>
      <c r="E5589" s="9" t="s">
        <v>21</v>
      </c>
      <c r="F5589" s="7">
        <v>39</v>
      </c>
      <c r="G5589" s="7">
        <v>223.34</v>
      </c>
      <c r="H5589" s="7">
        <v>0.1</v>
      </c>
      <c r="I5589" s="9" t="s">
        <v>22</v>
      </c>
      <c r="J5589" s="10">
        <v>95.42</v>
      </c>
      <c r="K5589" s="11">
        <v>6.3</v>
      </c>
      <c r="L5589" s="11">
        <v>0.5</v>
      </c>
      <c r="M5589" s="9" t="s">
        <v>1929</v>
      </c>
      <c r="N5589" s="6" t="s">
        <v>1905</v>
      </c>
      <c r="O5589" s="6" t="s">
        <v>673</v>
      </c>
      <c r="P5589" s="9" t="s">
        <v>41</v>
      </c>
      <c r="Q5589" s="9" t="s">
        <v>26</v>
      </c>
      <c r="R5589" s="9" t="s">
        <v>88</v>
      </c>
      <c r="S5589" s="7" t="s">
        <v>900</v>
      </c>
      <c r="T5589" s="9" t="s">
        <v>39</v>
      </c>
      <c r="U5589" s="7">
        <v>0.39</v>
      </c>
      <c r="V5589" s="12">
        <f>C5589+5</f>
        <v>40026</v>
      </c>
      <c r="W5589">
        <f>IF(D5589=' Pivot Tables'!$A$4,1,0)</f>
        <v>0</v>
      </c>
      <c r="X5589">
        <f>IF(AND(LEFT(D5589,4)+1=LEFT(' Pivot Tables'!$A$4,4)+0,RIGHT(LEFT(D5589,7),2)=RIGHT(LEFT(' Pivot Tables'!$A$4,7),2)),1,0)</f>
        <v>0</v>
      </c>
      <c r="Y5589" s="6">
        <f>1/COUNTIF(Таблица1[Order ID],Таблица1[[#This Row],[Order ID]])</f>
        <v>1</v>
      </c>
      <c r="Z5589" s="9">
        <f>1/COUNTIFS(Таблица1[Customer Name],Таблица1[[#This Row],[Customer Name]],Таблица1[Order-Year-Month],Таблица1[[#This Row],[Order-Year-Month]])</f>
        <v>1</v>
      </c>
    </row>
    <row r="5590" spans="1:26" x14ac:dyDescent="0.2">
      <c r="A5590" s="6">
        <v>7644</v>
      </c>
      <c r="B5590" s="7">
        <v>54786</v>
      </c>
      <c r="C5590" s="8">
        <f>DATE(2012,12,31)-355</f>
        <v>40919</v>
      </c>
      <c r="D5590" s="8" t="str">
        <f t="shared" si="104"/>
        <v>2012-01 (январь 2012)</v>
      </c>
      <c r="E5590" s="9" t="s">
        <v>45</v>
      </c>
      <c r="F5590" s="7">
        <v>30</v>
      </c>
      <c r="G5590" s="7">
        <v>380.28</v>
      </c>
      <c r="H5590" s="7">
        <v>0.08</v>
      </c>
      <c r="I5590" s="9" t="s">
        <v>22</v>
      </c>
      <c r="J5590" s="10">
        <v>-20.58</v>
      </c>
      <c r="K5590" s="11">
        <v>13.48</v>
      </c>
      <c r="L5590" s="11">
        <v>4.51</v>
      </c>
      <c r="M5590" s="9" t="s">
        <v>1932</v>
      </c>
      <c r="N5590" s="6" t="s">
        <v>1905</v>
      </c>
      <c r="O5590" s="6" t="s">
        <v>673</v>
      </c>
      <c r="P5590" s="9" t="s">
        <v>60</v>
      </c>
      <c r="Q5590" s="9" t="s">
        <v>26</v>
      </c>
      <c r="R5590" s="9" t="s">
        <v>27</v>
      </c>
      <c r="S5590" s="7" t="s">
        <v>101</v>
      </c>
      <c r="T5590" s="9" t="s">
        <v>39</v>
      </c>
      <c r="U5590" s="7">
        <v>0.59</v>
      </c>
      <c r="V5590" s="12">
        <f>C5590+2</f>
        <v>40921</v>
      </c>
      <c r="W5590">
        <f>IF(D5590=' Pivot Tables'!$A$4,1,0)</f>
        <v>0</v>
      </c>
      <c r="X5590">
        <f>IF(AND(LEFT(D5590,4)+1=LEFT(' Pivot Tables'!$A$4,4)+0,RIGHT(LEFT(D5590,7),2)=RIGHT(LEFT(' Pivot Tables'!$A$4,7),2)),1,0)</f>
        <v>0</v>
      </c>
      <c r="Y5590" s="6">
        <f>1/COUNTIF(Таблица1[Order ID],Таблица1[[#This Row],[Order ID]])</f>
        <v>1</v>
      </c>
      <c r="Z5590" s="9">
        <f>1/COUNTIFS(Таблица1[Customer Name],Таблица1[[#This Row],[Customer Name]],Таблица1[Order-Year-Month],Таблица1[[#This Row],[Order-Year-Month]])</f>
        <v>1</v>
      </c>
    </row>
    <row r="5591" spans="1:26" x14ac:dyDescent="0.2">
      <c r="A5591" s="6">
        <v>7728</v>
      </c>
      <c r="B5591" s="7">
        <v>55362</v>
      </c>
      <c r="C5591" s="8">
        <f>DATE(2012,12,31)-621</f>
        <v>40653</v>
      </c>
      <c r="D5591" s="8" t="str">
        <f t="shared" si="104"/>
        <v>2011-04 (апрель 2011)</v>
      </c>
      <c r="E5591" s="9" t="s">
        <v>30</v>
      </c>
      <c r="F5591" s="7">
        <v>24</v>
      </c>
      <c r="G5591" s="7">
        <v>67.84</v>
      </c>
      <c r="H5591" s="7">
        <v>7.0000000000000007E-2</v>
      </c>
      <c r="I5591" s="9" t="s">
        <v>22</v>
      </c>
      <c r="J5591" s="10">
        <v>13.44</v>
      </c>
      <c r="K5591" s="11">
        <v>2.88</v>
      </c>
      <c r="L5591" s="11">
        <v>0.99</v>
      </c>
      <c r="M5591" s="9" t="s">
        <v>360</v>
      </c>
      <c r="N5591" s="6" t="s">
        <v>1905</v>
      </c>
      <c r="O5591" s="6" t="s">
        <v>673</v>
      </c>
      <c r="P5591" s="9" t="s">
        <v>41</v>
      </c>
      <c r="Q5591" s="9" t="s">
        <v>26</v>
      </c>
      <c r="R5591" s="9" t="s">
        <v>88</v>
      </c>
      <c r="S5591" s="7" t="s">
        <v>300</v>
      </c>
      <c r="T5591" s="9" t="s">
        <v>39</v>
      </c>
      <c r="U5591" s="7">
        <v>0.36</v>
      </c>
      <c r="V5591" s="12">
        <f>C5591+2</f>
        <v>40655</v>
      </c>
      <c r="W5591">
        <f>IF(D5591=' Pivot Tables'!$A$4,1,0)</f>
        <v>0</v>
      </c>
      <c r="X5591">
        <f>IF(AND(LEFT(D5591,4)+1=LEFT(' Pivot Tables'!$A$4,4)+0,RIGHT(LEFT(D5591,7),2)=RIGHT(LEFT(' Pivot Tables'!$A$4,7),2)),1,0)</f>
        <v>0</v>
      </c>
      <c r="Y5591" s="6">
        <f>1/COUNTIF(Таблица1[Order ID],Таблица1[[#This Row],[Order ID]])</f>
        <v>1</v>
      </c>
      <c r="Z5591" s="9">
        <f>1/COUNTIFS(Таблица1[Customer Name],Таблица1[[#This Row],[Customer Name]],Таблица1[Order-Year-Month],Таблица1[[#This Row],[Order-Year-Month]])</f>
        <v>1</v>
      </c>
    </row>
    <row r="5592" spans="1:26" x14ac:dyDescent="0.2">
      <c r="A5592" s="6">
        <v>7844</v>
      </c>
      <c r="B5592" s="7">
        <v>56099</v>
      </c>
      <c r="C5592" s="8">
        <f>DATE(2012,12,31)-818</f>
        <v>40456</v>
      </c>
      <c r="D5592" s="8" t="str">
        <f t="shared" si="104"/>
        <v>2010-10 (октябрь 2010)</v>
      </c>
      <c r="E5592" s="9" t="s">
        <v>21</v>
      </c>
      <c r="F5592" s="7">
        <v>11</v>
      </c>
      <c r="G5592" s="7">
        <v>122.35</v>
      </c>
      <c r="H5592" s="7">
        <v>0.02</v>
      </c>
      <c r="I5592" s="9" t="s">
        <v>22</v>
      </c>
      <c r="J5592" s="10">
        <v>-13.55</v>
      </c>
      <c r="K5592" s="11">
        <v>10.98</v>
      </c>
      <c r="L5592" s="11">
        <v>3.99</v>
      </c>
      <c r="M5592" s="9" t="s">
        <v>1930</v>
      </c>
      <c r="N5592" s="6" t="s">
        <v>1905</v>
      </c>
      <c r="O5592" s="6" t="s">
        <v>673</v>
      </c>
      <c r="P5592" s="9" t="s">
        <v>41</v>
      </c>
      <c r="Q5592" s="9" t="s">
        <v>26</v>
      </c>
      <c r="R5592" s="9" t="s">
        <v>34</v>
      </c>
      <c r="S5592" s="7" t="s">
        <v>1752</v>
      </c>
      <c r="T5592" s="9" t="s">
        <v>39</v>
      </c>
      <c r="U5592" s="7">
        <v>0.57999999999999996</v>
      </c>
      <c r="V5592" s="12">
        <f>C5592+7</f>
        <v>40463</v>
      </c>
      <c r="W5592">
        <f>IF(D5592=' Pivot Tables'!$A$4,1,0)</f>
        <v>0</v>
      </c>
      <c r="X5592">
        <f>IF(AND(LEFT(D5592,4)+1=LEFT(' Pivot Tables'!$A$4,4)+0,RIGHT(LEFT(D5592,7),2)=RIGHT(LEFT(' Pivot Tables'!$A$4,7),2)),1,0)</f>
        <v>0</v>
      </c>
      <c r="Y5592" s="6">
        <f>1/COUNTIF(Таблица1[Order ID],Таблица1[[#This Row],[Order ID]])</f>
        <v>0.5</v>
      </c>
      <c r="Z5592" s="9">
        <f>1/COUNTIFS(Таблица1[Customer Name],Таблица1[[#This Row],[Customer Name]],Таблица1[Order-Year-Month],Таблица1[[#This Row],[Order-Year-Month]])</f>
        <v>0.5</v>
      </c>
    </row>
    <row r="5593" spans="1:26" x14ac:dyDescent="0.2">
      <c r="A5593" s="6">
        <v>7903</v>
      </c>
      <c r="B5593" s="7">
        <v>56516</v>
      </c>
      <c r="C5593" s="8">
        <f>DATE(2012,12,31)-1246</f>
        <v>40028</v>
      </c>
      <c r="D5593" s="8" t="str">
        <f t="shared" si="104"/>
        <v>2009-08 (август 2009)</v>
      </c>
      <c r="E5593" s="9" t="s">
        <v>63</v>
      </c>
      <c r="F5593" s="7">
        <v>6</v>
      </c>
      <c r="G5593" s="7">
        <v>27.89</v>
      </c>
      <c r="H5593" s="7">
        <v>0.08</v>
      </c>
      <c r="I5593" s="9" t="s">
        <v>22</v>
      </c>
      <c r="J5593" s="10">
        <v>-23.805</v>
      </c>
      <c r="K5593" s="11">
        <v>3.98</v>
      </c>
      <c r="L5593" s="11">
        <v>5.26</v>
      </c>
      <c r="M5593" s="9" t="s">
        <v>1518</v>
      </c>
      <c r="N5593" s="6" t="s">
        <v>1905</v>
      </c>
      <c r="O5593" s="6" t="s">
        <v>673</v>
      </c>
      <c r="P5593" s="9" t="s">
        <v>41</v>
      </c>
      <c r="Q5593" s="9" t="s">
        <v>26</v>
      </c>
      <c r="R5593" s="9" t="s">
        <v>37</v>
      </c>
      <c r="S5593" s="7" t="s">
        <v>1348</v>
      </c>
      <c r="T5593" s="9" t="s">
        <v>39</v>
      </c>
      <c r="U5593" s="7">
        <v>0.38</v>
      </c>
      <c r="V5593" s="12">
        <f>C5593+1</f>
        <v>40029</v>
      </c>
      <c r="W5593">
        <f>IF(D5593=' Pivot Tables'!$A$4,1,0)</f>
        <v>0</v>
      </c>
      <c r="X5593">
        <f>IF(AND(LEFT(D5593,4)+1=LEFT(' Pivot Tables'!$A$4,4)+0,RIGHT(LEFT(D5593,7),2)=RIGHT(LEFT(' Pivot Tables'!$A$4,7),2)),1,0)</f>
        <v>0</v>
      </c>
      <c r="Y5593" s="6">
        <f>1/COUNTIF(Таблица1[Order ID],Таблица1[[#This Row],[Order ID]])</f>
        <v>0.5</v>
      </c>
      <c r="Z5593" s="9">
        <f>1/COUNTIFS(Таблица1[Customer Name],Таблица1[[#This Row],[Customer Name]],Таблица1[Order-Year-Month],Таблица1[[#This Row],[Order-Year-Month]])</f>
        <v>0.5</v>
      </c>
    </row>
    <row r="5594" spans="1:26" x14ac:dyDescent="0.2">
      <c r="A5594" s="6">
        <v>7904</v>
      </c>
      <c r="B5594" s="7">
        <v>56516</v>
      </c>
      <c r="C5594" s="8">
        <f>DATE(2012,12,31)-1246</f>
        <v>40028</v>
      </c>
      <c r="D5594" s="8" t="str">
        <f t="shared" si="104"/>
        <v>2009-08 (август 2009)</v>
      </c>
      <c r="E5594" s="9" t="s">
        <v>63</v>
      </c>
      <c r="F5594" s="7">
        <v>24</v>
      </c>
      <c r="G5594" s="7">
        <v>2560.9395</v>
      </c>
      <c r="H5594" s="7">
        <v>0.06</v>
      </c>
      <c r="I5594" s="9" t="s">
        <v>22</v>
      </c>
      <c r="J5594" s="10">
        <v>457.79400000000004</v>
      </c>
      <c r="K5594" s="11">
        <v>125.99</v>
      </c>
      <c r="L5594" s="11">
        <v>2.5</v>
      </c>
      <c r="M5594" s="9" t="s">
        <v>1518</v>
      </c>
      <c r="N5594" s="6" t="s">
        <v>1905</v>
      </c>
      <c r="O5594" s="6" t="s">
        <v>673</v>
      </c>
      <c r="P5594" s="9" t="s">
        <v>41</v>
      </c>
      <c r="Q5594" s="9" t="s">
        <v>42</v>
      </c>
      <c r="R5594" s="9" t="s">
        <v>43</v>
      </c>
      <c r="S5594" s="7" t="s">
        <v>954</v>
      </c>
      <c r="T5594" s="9" t="s">
        <v>39</v>
      </c>
      <c r="U5594" s="7">
        <v>0.6</v>
      </c>
      <c r="V5594" s="12">
        <f>C5594+2</f>
        <v>40030</v>
      </c>
      <c r="W5594">
        <f>IF(D5594=' Pivot Tables'!$A$4,1,0)</f>
        <v>0</v>
      </c>
      <c r="X5594">
        <f>IF(AND(LEFT(D5594,4)+1=LEFT(' Pivot Tables'!$A$4,4)+0,RIGHT(LEFT(D5594,7),2)=RIGHT(LEFT(' Pivot Tables'!$A$4,7),2)),1,0)</f>
        <v>0</v>
      </c>
      <c r="Y5594" s="6">
        <f>1/COUNTIF(Таблица1[Order ID],Таблица1[[#This Row],[Order ID]])</f>
        <v>0.5</v>
      </c>
      <c r="Z5594" s="9">
        <f>1/COUNTIFS(Таблица1[Customer Name],Таблица1[[#This Row],[Customer Name]],Таблица1[Order-Year-Month],Таблица1[[#This Row],[Order-Year-Month]])</f>
        <v>0.5</v>
      </c>
    </row>
    <row r="5595" spans="1:26" x14ac:dyDescent="0.2">
      <c r="A5595" s="6">
        <v>8331</v>
      </c>
      <c r="B5595" s="7">
        <v>59556</v>
      </c>
      <c r="C5595" s="8">
        <f>DATE(2012,12,31)-1112</f>
        <v>40162</v>
      </c>
      <c r="D5595" s="8" t="str">
        <f t="shared" si="104"/>
        <v>2009-12 (декабрь 2009)</v>
      </c>
      <c r="E5595" s="9" t="s">
        <v>45</v>
      </c>
      <c r="F5595" s="7">
        <v>27</v>
      </c>
      <c r="G5595" s="7">
        <v>43.46</v>
      </c>
      <c r="H5595" s="7">
        <v>0</v>
      </c>
      <c r="I5595" s="9" t="s">
        <v>22</v>
      </c>
      <c r="J5595" s="10">
        <v>6.81</v>
      </c>
      <c r="K5595" s="11">
        <v>1.48</v>
      </c>
      <c r="L5595" s="11">
        <v>0.7</v>
      </c>
      <c r="M5595" s="9" t="s">
        <v>1934</v>
      </c>
      <c r="N5595" s="6" t="s">
        <v>1905</v>
      </c>
      <c r="O5595" s="6" t="s">
        <v>673</v>
      </c>
      <c r="P5595" s="9" t="s">
        <v>60</v>
      </c>
      <c r="Q5595" s="9" t="s">
        <v>26</v>
      </c>
      <c r="R5595" s="9" t="s">
        <v>66</v>
      </c>
      <c r="S5595" s="7" t="s">
        <v>623</v>
      </c>
      <c r="T5595" s="9" t="s">
        <v>68</v>
      </c>
      <c r="U5595" s="7">
        <v>0.37</v>
      </c>
      <c r="V5595" s="12">
        <f>C5595+2</f>
        <v>40164</v>
      </c>
      <c r="W5595">
        <f>IF(D5595=' Pivot Tables'!$A$4,1,0)</f>
        <v>0</v>
      </c>
      <c r="X5595">
        <f>IF(AND(LEFT(D5595,4)+1=LEFT(' Pivot Tables'!$A$4,4)+0,RIGHT(LEFT(D5595,7),2)=RIGHT(LEFT(' Pivot Tables'!$A$4,7),2)),1,0)</f>
        <v>0</v>
      </c>
      <c r="Y5595" s="6">
        <f>1/COUNTIF(Таблица1[Order ID],Таблица1[[#This Row],[Order ID]])</f>
        <v>0.5</v>
      </c>
      <c r="Z5595" s="9">
        <f>1/COUNTIFS(Таблица1[Customer Name],Таблица1[[#This Row],[Customer Name]],Таблица1[Order-Year-Month],Таблица1[[#This Row],[Order-Year-Month]])</f>
        <v>0.5</v>
      </c>
    </row>
    <row r="5596" spans="1:26" x14ac:dyDescent="0.2">
      <c r="A5596" s="6">
        <v>8332</v>
      </c>
      <c r="B5596" s="7">
        <v>59556</v>
      </c>
      <c r="C5596" s="8">
        <f>DATE(2012,12,31)-1112</f>
        <v>40162</v>
      </c>
      <c r="D5596" s="8" t="str">
        <f t="shared" si="104"/>
        <v>2009-12 (декабрь 2009)</v>
      </c>
      <c r="E5596" s="9" t="s">
        <v>45</v>
      </c>
      <c r="F5596" s="7">
        <v>5</v>
      </c>
      <c r="G5596" s="7">
        <v>927.98749999999995</v>
      </c>
      <c r="H5596" s="7">
        <v>0</v>
      </c>
      <c r="I5596" s="9" t="s">
        <v>22</v>
      </c>
      <c r="J5596" s="10">
        <v>-615.91199999999992</v>
      </c>
      <c r="K5596" s="11">
        <v>205.99</v>
      </c>
      <c r="L5596" s="11">
        <v>8.99</v>
      </c>
      <c r="M5596" s="9" t="s">
        <v>1934</v>
      </c>
      <c r="N5596" s="6" t="s">
        <v>1905</v>
      </c>
      <c r="O5596" s="6" t="s">
        <v>673</v>
      </c>
      <c r="P5596" s="9" t="s">
        <v>60</v>
      </c>
      <c r="Q5596" s="9" t="s">
        <v>42</v>
      </c>
      <c r="R5596" s="9" t="s">
        <v>43</v>
      </c>
      <c r="S5596" s="7" t="s">
        <v>1444</v>
      </c>
      <c r="T5596" s="9" t="s">
        <v>39</v>
      </c>
      <c r="U5596" s="7">
        <v>0.56000000000000005</v>
      </c>
      <c r="V5596" s="12">
        <f>C5596+1</f>
        <v>40163</v>
      </c>
      <c r="W5596">
        <f>IF(D5596=' Pivot Tables'!$A$4,1,0)</f>
        <v>0</v>
      </c>
      <c r="X5596">
        <f>IF(AND(LEFT(D5596,4)+1=LEFT(' Pivot Tables'!$A$4,4)+0,RIGHT(LEFT(D5596,7),2)=RIGHT(LEFT(' Pivot Tables'!$A$4,7),2)),1,0)</f>
        <v>0</v>
      </c>
      <c r="Y5596" s="6">
        <f>1/COUNTIF(Таблица1[Order ID],Таблица1[[#This Row],[Order ID]])</f>
        <v>0.5</v>
      </c>
      <c r="Z5596" s="9">
        <f>1/COUNTIFS(Таблица1[Customer Name],Таблица1[[#This Row],[Customer Name]],Таблица1[Order-Year-Month],Таблица1[[#This Row],[Order-Year-Month]])</f>
        <v>0.5</v>
      </c>
    </row>
    <row r="5597" spans="1:26" x14ac:dyDescent="0.2">
      <c r="A5597" s="6">
        <v>8364</v>
      </c>
      <c r="B5597" s="7">
        <v>59779</v>
      </c>
      <c r="C5597" s="8">
        <f>DATE(2012,12,31)-1324</f>
        <v>39950</v>
      </c>
      <c r="D5597" s="8" t="str">
        <f t="shared" si="104"/>
        <v>2009-05 (май 2009)</v>
      </c>
      <c r="E5597" s="9" t="s">
        <v>21</v>
      </c>
      <c r="F5597" s="7">
        <v>30</v>
      </c>
      <c r="G5597" s="7">
        <v>3575.23</v>
      </c>
      <c r="H5597" s="7">
        <v>0.04</v>
      </c>
      <c r="I5597" s="9" t="s">
        <v>31</v>
      </c>
      <c r="J5597" s="10">
        <v>87.879999999999953</v>
      </c>
      <c r="K5597" s="11">
        <v>113.98</v>
      </c>
      <c r="L5597" s="11">
        <v>30</v>
      </c>
      <c r="M5597" s="9" t="s">
        <v>1518</v>
      </c>
      <c r="N5597" s="6" t="s">
        <v>1905</v>
      </c>
      <c r="O5597" s="6" t="s">
        <v>673</v>
      </c>
      <c r="P5597" s="9" t="s">
        <v>41</v>
      </c>
      <c r="Q5597" s="9" t="s">
        <v>49</v>
      </c>
      <c r="R5597" s="9" t="s">
        <v>112</v>
      </c>
      <c r="S5597" s="7" t="s">
        <v>840</v>
      </c>
      <c r="T5597" s="9" t="s">
        <v>36</v>
      </c>
      <c r="U5597" s="7">
        <v>0.69</v>
      </c>
      <c r="V5597" s="12">
        <f>C5597+7</f>
        <v>39957</v>
      </c>
      <c r="W5597">
        <f>IF(D5597=' Pivot Tables'!$A$4,1,0)</f>
        <v>0</v>
      </c>
      <c r="X5597">
        <f>IF(AND(LEFT(D5597,4)+1=LEFT(' Pivot Tables'!$A$4,4)+0,RIGHT(LEFT(D5597,7),2)=RIGHT(LEFT(' Pivot Tables'!$A$4,7),2)),1,0)</f>
        <v>0</v>
      </c>
      <c r="Y5597" s="6">
        <f>1/COUNTIF(Таблица1[Order ID],Таблица1[[#This Row],[Order ID]])</f>
        <v>1</v>
      </c>
      <c r="Z5597" s="9">
        <f>1/COUNTIFS(Таблица1[Customer Name],Таблица1[[#This Row],[Customer Name]],Таблица1[Order-Year-Month],Таблица1[[#This Row],[Order-Year-Month]])</f>
        <v>1</v>
      </c>
    </row>
    <row r="5598" spans="1:26" x14ac:dyDescent="0.2">
      <c r="A5598" s="6">
        <v>183</v>
      </c>
      <c r="B5598" s="7">
        <v>1217</v>
      </c>
      <c r="C5598" s="8">
        <f>DATE(2012,12,31)-250</f>
        <v>41024</v>
      </c>
      <c r="D5598" s="8" t="str">
        <f t="shared" si="104"/>
        <v>2012-04 (апрель 2012)</v>
      </c>
      <c r="E5598" s="9" t="s">
        <v>45</v>
      </c>
      <c r="F5598" s="7">
        <v>25</v>
      </c>
      <c r="G5598" s="7">
        <v>662.16</v>
      </c>
      <c r="H5598" s="7">
        <v>7.0000000000000007E-2</v>
      </c>
      <c r="I5598" s="9" t="s">
        <v>22</v>
      </c>
      <c r="J5598" s="10">
        <v>185.21</v>
      </c>
      <c r="K5598" s="11">
        <v>28.48</v>
      </c>
      <c r="L5598" s="11">
        <v>1.99</v>
      </c>
      <c r="M5598" s="9" t="s">
        <v>1937</v>
      </c>
      <c r="N5598" s="6" t="s">
        <v>1905</v>
      </c>
      <c r="O5598" s="6" t="s">
        <v>673</v>
      </c>
      <c r="P5598" s="9" t="s">
        <v>41</v>
      </c>
      <c r="Q5598" s="9" t="s">
        <v>42</v>
      </c>
      <c r="R5598" s="9" t="s">
        <v>70</v>
      </c>
      <c r="S5598" s="7" t="s">
        <v>523</v>
      </c>
      <c r="T5598" s="9" t="s">
        <v>52</v>
      </c>
      <c r="U5598" s="7">
        <v>0.4</v>
      </c>
      <c r="V5598" s="12">
        <f>C5598+1</f>
        <v>41025</v>
      </c>
      <c r="W5598">
        <f>IF(D5598=' Pivot Tables'!$A$4,1,0)</f>
        <v>0</v>
      </c>
      <c r="X5598">
        <f>IF(AND(LEFT(D5598,4)+1=LEFT(' Pivot Tables'!$A$4,4)+0,RIGHT(LEFT(D5598,7),2)=RIGHT(LEFT(' Pivot Tables'!$A$4,7),2)),1,0)</f>
        <v>0</v>
      </c>
      <c r="Y5598" s="6">
        <f>1/COUNTIF(Таблица1[Order ID],Таблица1[[#This Row],[Order ID]])</f>
        <v>1</v>
      </c>
      <c r="Z5598" s="9">
        <f>1/COUNTIFS(Таблица1[Customer Name],Таблица1[[#This Row],[Customer Name]],Таблица1[Order-Year-Month],Таблица1[[#This Row],[Order-Year-Month]])</f>
        <v>1</v>
      </c>
    </row>
    <row r="5599" spans="1:26" x14ac:dyDescent="0.2">
      <c r="A5599" s="6">
        <v>245</v>
      </c>
      <c r="B5599" s="7">
        <v>1666</v>
      </c>
      <c r="C5599" s="8">
        <f>DATE(2012,12,31)-441</f>
        <v>40833</v>
      </c>
      <c r="D5599" s="8" t="str">
        <f t="shared" si="104"/>
        <v>2011-10 (октябрь 2011)</v>
      </c>
      <c r="E5599" s="9" t="s">
        <v>78</v>
      </c>
      <c r="F5599" s="7">
        <v>19</v>
      </c>
      <c r="G5599" s="7">
        <v>5642.18</v>
      </c>
      <c r="H5599" s="7">
        <v>0.09</v>
      </c>
      <c r="I5599" s="9" t="s">
        <v>56</v>
      </c>
      <c r="J5599" s="10">
        <v>1996.6755000000003</v>
      </c>
      <c r="K5599" s="11">
        <v>315.98</v>
      </c>
      <c r="L5599" s="11">
        <v>19.989999999999998</v>
      </c>
      <c r="M5599" s="9" t="s">
        <v>1819</v>
      </c>
      <c r="N5599" s="6" t="s">
        <v>1905</v>
      </c>
      <c r="O5599" s="6" t="s">
        <v>673</v>
      </c>
      <c r="P5599" s="9" t="s">
        <v>41</v>
      </c>
      <c r="Q5599" s="9" t="s">
        <v>26</v>
      </c>
      <c r="R5599" s="9" t="s">
        <v>37</v>
      </c>
      <c r="S5599" s="7" t="s">
        <v>885</v>
      </c>
      <c r="T5599" s="9" t="s">
        <v>39</v>
      </c>
      <c r="U5599" s="7">
        <v>0.38</v>
      </c>
      <c r="V5599" s="12">
        <f>C5599+2</f>
        <v>40835</v>
      </c>
      <c r="W5599">
        <f>IF(D5599=' Pivot Tables'!$A$4,1,0)</f>
        <v>0</v>
      </c>
      <c r="X5599">
        <f>IF(AND(LEFT(D5599,4)+1=LEFT(' Pivot Tables'!$A$4,4)+0,RIGHT(LEFT(D5599,7),2)=RIGHT(LEFT(' Pivot Tables'!$A$4,7),2)),1,0)</f>
        <v>0</v>
      </c>
      <c r="Y5599" s="6">
        <f>1/COUNTIF(Таблица1[Order ID],Таблица1[[#This Row],[Order ID]])</f>
        <v>1</v>
      </c>
      <c r="Z5599" s="9">
        <f>1/COUNTIFS(Таблица1[Customer Name],Таблица1[[#This Row],[Customer Name]],Таблица1[Order-Year-Month],Таблица1[[#This Row],[Order-Year-Month]])</f>
        <v>1</v>
      </c>
    </row>
    <row r="5600" spans="1:26" x14ac:dyDescent="0.2">
      <c r="A5600" s="6">
        <v>265</v>
      </c>
      <c r="B5600" s="7">
        <v>1829</v>
      </c>
      <c r="C5600" s="8">
        <f>DATE(2012,12,31)-1334</f>
        <v>39940</v>
      </c>
      <c r="D5600" s="8" t="str">
        <f t="shared" si="104"/>
        <v>2009-05 (май 2009)</v>
      </c>
      <c r="E5600" s="9" t="s">
        <v>30</v>
      </c>
      <c r="F5600" s="7">
        <v>48</v>
      </c>
      <c r="G5600" s="7">
        <v>133.04</v>
      </c>
      <c r="H5600" s="7">
        <v>7.0000000000000007E-2</v>
      </c>
      <c r="I5600" s="9" t="s">
        <v>22</v>
      </c>
      <c r="J5600" s="10">
        <v>6.7320000000000002</v>
      </c>
      <c r="K5600" s="11">
        <v>2.78</v>
      </c>
      <c r="L5600" s="11">
        <v>1.49</v>
      </c>
      <c r="M5600" s="9" t="s">
        <v>1628</v>
      </c>
      <c r="N5600" s="6" t="s">
        <v>1905</v>
      </c>
      <c r="O5600" s="6" t="s">
        <v>673</v>
      </c>
      <c r="P5600" s="9" t="s">
        <v>25</v>
      </c>
      <c r="Q5600" s="9" t="s">
        <v>26</v>
      </c>
      <c r="R5600" s="9" t="s">
        <v>37</v>
      </c>
      <c r="S5600" s="7" t="s">
        <v>1938</v>
      </c>
      <c r="T5600" s="9" t="s">
        <v>39</v>
      </c>
      <c r="U5600" s="7">
        <v>0.36</v>
      </c>
      <c r="V5600" s="12">
        <f>C5600+1</f>
        <v>39941</v>
      </c>
      <c r="W5600">
        <f>IF(D5600=' Pivot Tables'!$A$4,1,0)</f>
        <v>0</v>
      </c>
      <c r="X5600">
        <f>IF(AND(LEFT(D5600,4)+1=LEFT(' Pivot Tables'!$A$4,4)+0,RIGHT(LEFT(D5600,7),2)=RIGHT(LEFT(' Pivot Tables'!$A$4,7),2)),1,0)</f>
        <v>0</v>
      </c>
      <c r="Y5600" s="6">
        <f>1/COUNTIF(Таблица1[Order ID],Таблица1[[#This Row],[Order ID]])</f>
        <v>1</v>
      </c>
      <c r="Z5600" s="9">
        <f>1/COUNTIFS(Таблица1[Customer Name],Таблица1[[#This Row],[Customer Name]],Таблица1[Order-Year-Month],Таблица1[[#This Row],[Order-Year-Month]])</f>
        <v>0.5</v>
      </c>
    </row>
    <row r="5601" spans="1:26" x14ac:dyDescent="0.2">
      <c r="A5601" s="6">
        <v>468</v>
      </c>
      <c r="B5601" s="7">
        <v>3202</v>
      </c>
      <c r="C5601" s="8">
        <f>DATE(2012,12,31)-8</f>
        <v>41266</v>
      </c>
      <c r="D5601" s="8" t="str">
        <f t="shared" si="104"/>
        <v>2012-12 (декабрь 2012)</v>
      </c>
      <c r="E5601" s="9" t="s">
        <v>21</v>
      </c>
      <c r="F5601" s="7">
        <v>10</v>
      </c>
      <c r="G5601" s="7">
        <v>554.21</v>
      </c>
      <c r="H5601" s="7">
        <v>0.05</v>
      </c>
      <c r="I5601" s="9" t="s">
        <v>22</v>
      </c>
      <c r="J5601" s="10">
        <v>-105.37</v>
      </c>
      <c r="K5601" s="11">
        <v>53.98</v>
      </c>
      <c r="L5601" s="11">
        <v>5.5</v>
      </c>
      <c r="M5601" s="9" t="s">
        <v>1939</v>
      </c>
      <c r="N5601" s="6" t="s">
        <v>1905</v>
      </c>
      <c r="O5601" s="6" t="s">
        <v>673</v>
      </c>
      <c r="P5601" s="9" t="s">
        <v>33</v>
      </c>
      <c r="Q5601" s="9" t="s">
        <v>42</v>
      </c>
      <c r="R5601" s="9" t="s">
        <v>70</v>
      </c>
      <c r="S5601" s="7" t="s">
        <v>958</v>
      </c>
      <c r="T5601" s="9" t="s">
        <v>39</v>
      </c>
      <c r="U5601" s="7">
        <v>0.62</v>
      </c>
      <c r="V5601" s="12">
        <f>C5601+4</f>
        <v>41270</v>
      </c>
      <c r="W5601">
        <f>IF(D5601=' Pivot Tables'!$A$4,1,0)</f>
        <v>0</v>
      </c>
      <c r="X5601">
        <f>IF(AND(LEFT(D5601,4)+1=LEFT(' Pivot Tables'!$A$4,4)+0,RIGHT(LEFT(D5601,7),2)=RIGHT(LEFT(' Pivot Tables'!$A$4,7),2)),1,0)</f>
        <v>0</v>
      </c>
      <c r="Y5601" s="6">
        <f>1/COUNTIF(Таблица1[Order ID],Таблица1[[#This Row],[Order ID]])</f>
        <v>1</v>
      </c>
      <c r="Z5601" s="9">
        <f>1/COUNTIFS(Таблица1[Customer Name],Таблица1[[#This Row],[Customer Name]],Таблица1[Order-Year-Month],Таблица1[[#This Row],[Order-Year-Month]])</f>
        <v>1</v>
      </c>
    </row>
    <row r="5602" spans="1:26" x14ac:dyDescent="0.2">
      <c r="A5602" s="6">
        <v>697</v>
      </c>
      <c r="B5602" s="7">
        <v>4871</v>
      </c>
      <c r="C5602" s="8">
        <f>DATE(2012,12,31)-569</f>
        <v>40705</v>
      </c>
      <c r="D5602" s="8" t="str">
        <f t="shared" si="104"/>
        <v>2011-06 (июнь 2011)</v>
      </c>
      <c r="E5602" s="9" t="s">
        <v>78</v>
      </c>
      <c r="F5602" s="7">
        <v>8</v>
      </c>
      <c r="G5602" s="7">
        <v>775.74</v>
      </c>
      <c r="H5602" s="7">
        <v>0.02</v>
      </c>
      <c r="I5602" s="9" t="s">
        <v>31</v>
      </c>
      <c r="J5602" s="10">
        <v>-215.39</v>
      </c>
      <c r="K5602" s="11">
        <v>89.99</v>
      </c>
      <c r="L5602" s="11">
        <v>42</v>
      </c>
      <c r="M5602" s="9" t="s">
        <v>1940</v>
      </c>
      <c r="N5602" s="6" t="s">
        <v>1905</v>
      </c>
      <c r="O5602" s="6" t="s">
        <v>673</v>
      </c>
      <c r="P5602" s="9" t="s">
        <v>33</v>
      </c>
      <c r="Q5602" s="9" t="s">
        <v>49</v>
      </c>
      <c r="R5602" s="9" t="s">
        <v>112</v>
      </c>
      <c r="S5602" s="7" t="s">
        <v>853</v>
      </c>
      <c r="T5602" s="9" t="s">
        <v>36</v>
      </c>
      <c r="U5602" s="7">
        <v>0.66</v>
      </c>
      <c r="V5602" s="12">
        <f>C5602+2</f>
        <v>40707</v>
      </c>
      <c r="W5602">
        <f>IF(D5602=' Pivot Tables'!$A$4,1,0)</f>
        <v>0</v>
      </c>
      <c r="X5602">
        <f>IF(AND(LEFT(D5602,4)+1=LEFT(' Pivot Tables'!$A$4,4)+0,RIGHT(LEFT(D5602,7),2)=RIGHT(LEFT(' Pivot Tables'!$A$4,7),2)),1,0)</f>
        <v>0</v>
      </c>
      <c r="Y5602" s="6">
        <f>1/COUNTIF(Таблица1[Order ID],Таблица1[[#This Row],[Order ID]])</f>
        <v>0.5</v>
      </c>
      <c r="Z5602" s="9">
        <f>1/COUNTIFS(Таблица1[Customer Name],Таблица1[[#This Row],[Customer Name]],Таблица1[Order-Year-Month],Таблица1[[#This Row],[Order-Year-Month]])</f>
        <v>0.5</v>
      </c>
    </row>
    <row r="5603" spans="1:26" x14ac:dyDescent="0.2">
      <c r="A5603" s="6">
        <v>698</v>
      </c>
      <c r="B5603" s="7">
        <v>4871</v>
      </c>
      <c r="C5603" s="8">
        <f>DATE(2012,12,31)-569</f>
        <v>40705</v>
      </c>
      <c r="D5603" s="8" t="str">
        <f t="shared" si="104"/>
        <v>2011-06 (июнь 2011)</v>
      </c>
      <c r="E5603" s="9" t="s">
        <v>78</v>
      </c>
      <c r="F5603" s="7">
        <v>26</v>
      </c>
      <c r="G5603" s="7">
        <v>238.34</v>
      </c>
      <c r="H5603" s="7">
        <v>0.06</v>
      </c>
      <c r="I5603" s="9" t="s">
        <v>22</v>
      </c>
      <c r="J5603" s="10">
        <v>-19.309999999999999</v>
      </c>
      <c r="K5603" s="11">
        <v>9.31</v>
      </c>
      <c r="L5603" s="11">
        <v>3.98</v>
      </c>
      <c r="M5603" s="9" t="s">
        <v>1940</v>
      </c>
      <c r="N5603" s="6" t="s">
        <v>1905</v>
      </c>
      <c r="O5603" s="6" t="s">
        <v>673</v>
      </c>
      <c r="P5603" s="9" t="s">
        <v>33</v>
      </c>
      <c r="Q5603" s="9" t="s">
        <v>26</v>
      </c>
      <c r="R5603" s="9" t="s">
        <v>150</v>
      </c>
      <c r="S5603" s="7" t="s">
        <v>1249</v>
      </c>
      <c r="T5603" s="9" t="s">
        <v>52</v>
      </c>
      <c r="U5603" s="7">
        <v>0.56000000000000005</v>
      </c>
      <c r="V5603" s="12">
        <f>C5603+3</f>
        <v>40708</v>
      </c>
      <c r="W5603">
        <f>IF(D5603=' Pivot Tables'!$A$4,1,0)</f>
        <v>0</v>
      </c>
      <c r="X5603">
        <f>IF(AND(LEFT(D5603,4)+1=LEFT(' Pivot Tables'!$A$4,4)+0,RIGHT(LEFT(D5603,7),2)=RIGHT(LEFT(' Pivot Tables'!$A$4,7),2)),1,0)</f>
        <v>0</v>
      </c>
      <c r="Y5603" s="6">
        <f>1/COUNTIF(Таблица1[Order ID],Таблица1[[#This Row],[Order ID]])</f>
        <v>0.5</v>
      </c>
      <c r="Z5603" s="9">
        <f>1/COUNTIFS(Таблица1[Customer Name],Таблица1[[#This Row],[Customer Name]],Таблица1[Order-Year-Month],Таблица1[[#This Row],[Order-Year-Month]])</f>
        <v>0.5</v>
      </c>
    </row>
    <row r="5604" spans="1:26" x14ac:dyDescent="0.2">
      <c r="A5604" s="6">
        <v>866</v>
      </c>
      <c r="B5604" s="7">
        <v>6211</v>
      </c>
      <c r="C5604" s="8">
        <f>DATE(2012,12,31)-1134</f>
        <v>40140</v>
      </c>
      <c r="D5604" s="8" t="str">
        <f t="shared" si="104"/>
        <v>2009-11 (ноябрь 2009)</v>
      </c>
      <c r="E5604" s="9" t="s">
        <v>78</v>
      </c>
      <c r="F5604" s="7">
        <v>28</v>
      </c>
      <c r="G5604" s="7">
        <v>67.72</v>
      </c>
      <c r="H5604" s="7">
        <v>0.01</v>
      </c>
      <c r="I5604" s="9" t="s">
        <v>22</v>
      </c>
      <c r="J5604" s="10">
        <v>-142.66900000000001</v>
      </c>
      <c r="K5604" s="11">
        <v>2.16</v>
      </c>
      <c r="L5604" s="11">
        <v>6.05</v>
      </c>
      <c r="M5604" s="9" t="s">
        <v>1819</v>
      </c>
      <c r="N5604" s="6" t="s">
        <v>1905</v>
      </c>
      <c r="O5604" s="6" t="s">
        <v>673</v>
      </c>
      <c r="P5604" s="9" t="s">
        <v>41</v>
      </c>
      <c r="Q5604" s="9" t="s">
        <v>26</v>
      </c>
      <c r="R5604" s="9" t="s">
        <v>37</v>
      </c>
      <c r="S5604" s="7" t="s">
        <v>516</v>
      </c>
      <c r="T5604" s="9" t="s">
        <v>39</v>
      </c>
      <c r="U5604" s="7">
        <v>0.37</v>
      </c>
      <c r="V5604" s="12">
        <f>C5604+2</f>
        <v>40142</v>
      </c>
      <c r="W5604">
        <f>IF(D5604=' Pivot Tables'!$A$4,1,0)</f>
        <v>0</v>
      </c>
      <c r="X5604">
        <f>IF(AND(LEFT(D5604,4)+1=LEFT(' Pivot Tables'!$A$4,4)+0,RIGHT(LEFT(D5604,7),2)=RIGHT(LEFT(' Pivot Tables'!$A$4,7),2)),1,0)</f>
        <v>0</v>
      </c>
      <c r="Y5604" s="6">
        <f>1/COUNTIF(Таблица1[Order ID],Таблица1[[#This Row],[Order ID]])</f>
        <v>0.5</v>
      </c>
      <c r="Z5604" s="9">
        <f>1/COUNTIFS(Таблица1[Customer Name],Таблица1[[#This Row],[Customer Name]],Таблица1[Order-Year-Month],Таблица1[[#This Row],[Order-Year-Month]])</f>
        <v>0.5</v>
      </c>
    </row>
    <row r="5605" spans="1:26" x14ac:dyDescent="0.2">
      <c r="A5605" s="6">
        <v>867</v>
      </c>
      <c r="B5605" s="7">
        <v>6211</v>
      </c>
      <c r="C5605" s="8">
        <f>DATE(2012,12,31)-1134</f>
        <v>40140</v>
      </c>
      <c r="D5605" s="8" t="str">
        <f t="shared" si="104"/>
        <v>2009-11 (ноябрь 2009)</v>
      </c>
      <c r="E5605" s="9" t="s">
        <v>78</v>
      </c>
      <c r="F5605" s="7">
        <v>3</v>
      </c>
      <c r="G5605" s="7">
        <v>68.64</v>
      </c>
      <c r="H5605" s="7">
        <v>7.0000000000000007E-2</v>
      </c>
      <c r="I5605" s="9" t="s">
        <v>22</v>
      </c>
      <c r="J5605" s="10">
        <v>-38.93</v>
      </c>
      <c r="K5605" s="11">
        <v>21.38</v>
      </c>
      <c r="L5605" s="11">
        <v>8.99</v>
      </c>
      <c r="M5605" s="9" t="s">
        <v>1819</v>
      </c>
      <c r="N5605" s="6" t="s">
        <v>1905</v>
      </c>
      <c r="O5605" s="6" t="s">
        <v>673</v>
      </c>
      <c r="P5605" s="9" t="s">
        <v>41</v>
      </c>
      <c r="Q5605" s="9" t="s">
        <v>26</v>
      </c>
      <c r="R5605" s="9" t="s">
        <v>95</v>
      </c>
      <c r="S5605" s="7" t="s">
        <v>436</v>
      </c>
      <c r="T5605" s="9" t="s">
        <v>52</v>
      </c>
      <c r="U5605" s="7">
        <v>0.59</v>
      </c>
      <c r="V5605" s="12">
        <f>C5605+2</f>
        <v>40142</v>
      </c>
      <c r="W5605">
        <f>IF(D5605=' Pivot Tables'!$A$4,1,0)</f>
        <v>0</v>
      </c>
      <c r="X5605">
        <f>IF(AND(LEFT(D5605,4)+1=LEFT(' Pivot Tables'!$A$4,4)+0,RIGHT(LEFT(D5605,7),2)=RIGHT(LEFT(' Pivot Tables'!$A$4,7),2)),1,0)</f>
        <v>0</v>
      </c>
      <c r="Y5605" s="6">
        <f>1/COUNTIF(Таблица1[Order ID],Таблица1[[#This Row],[Order ID]])</f>
        <v>0.5</v>
      </c>
      <c r="Z5605" s="9">
        <f>1/COUNTIFS(Таблица1[Customer Name],Таблица1[[#This Row],[Customer Name]],Таблица1[Order-Year-Month],Таблица1[[#This Row],[Order-Year-Month]])</f>
        <v>0.5</v>
      </c>
    </row>
    <row r="5606" spans="1:26" x14ac:dyDescent="0.2">
      <c r="A5606" s="6">
        <v>1007</v>
      </c>
      <c r="B5606" s="7">
        <v>7363</v>
      </c>
      <c r="C5606" s="8">
        <f>DATE(2012,12,31)-783</f>
        <v>40491</v>
      </c>
      <c r="D5606" s="8" t="str">
        <f t="shared" si="104"/>
        <v>2010-11 (ноябрь 2010)</v>
      </c>
      <c r="E5606" s="9" t="s">
        <v>63</v>
      </c>
      <c r="F5606" s="7">
        <v>24</v>
      </c>
      <c r="G5606" s="7">
        <v>875.52</v>
      </c>
      <c r="H5606" s="7">
        <v>0.09</v>
      </c>
      <c r="I5606" s="9" t="s">
        <v>22</v>
      </c>
      <c r="J5606" s="10">
        <v>5.710000000000008</v>
      </c>
      <c r="K5606" s="11">
        <v>37.93</v>
      </c>
      <c r="L5606" s="11">
        <v>13.99</v>
      </c>
      <c r="M5606" s="9" t="s">
        <v>1937</v>
      </c>
      <c r="N5606" s="6" t="s">
        <v>1905</v>
      </c>
      <c r="O5606" s="6" t="s">
        <v>673</v>
      </c>
      <c r="P5606" s="9" t="s">
        <v>41</v>
      </c>
      <c r="Q5606" s="9" t="s">
        <v>49</v>
      </c>
      <c r="R5606" s="9" t="s">
        <v>50</v>
      </c>
      <c r="S5606" s="7" t="s">
        <v>1391</v>
      </c>
      <c r="T5606" s="9" t="s">
        <v>68</v>
      </c>
      <c r="U5606" s="7">
        <v>0.67</v>
      </c>
      <c r="V5606" s="12">
        <f>C5606+2</f>
        <v>40493</v>
      </c>
      <c r="W5606">
        <f>IF(D5606=' Pivot Tables'!$A$4,1,0)</f>
        <v>0</v>
      </c>
      <c r="X5606">
        <f>IF(AND(LEFT(D5606,4)+1=LEFT(' Pivot Tables'!$A$4,4)+0,RIGHT(LEFT(D5606,7),2)=RIGHT(LEFT(' Pivot Tables'!$A$4,7),2)),1,0)</f>
        <v>0</v>
      </c>
      <c r="Y5606" s="6">
        <f>1/COUNTIF(Таблица1[Order ID],Таблица1[[#This Row],[Order ID]])</f>
        <v>1</v>
      </c>
      <c r="Z5606" s="9">
        <f>1/COUNTIFS(Таблица1[Customer Name],Таблица1[[#This Row],[Customer Name]],Таблица1[Order-Year-Month],Таблица1[[#This Row],[Order-Year-Month]])</f>
        <v>1</v>
      </c>
    </row>
    <row r="5607" spans="1:26" x14ac:dyDescent="0.2">
      <c r="A5607" s="6">
        <v>1109</v>
      </c>
      <c r="B5607" s="7">
        <v>8133</v>
      </c>
      <c r="C5607" s="8">
        <f>DATE(2012,12,31)-674</f>
        <v>40600</v>
      </c>
      <c r="D5607" s="8" t="str">
        <f t="shared" si="104"/>
        <v>2011-02 (февраль 2011)</v>
      </c>
      <c r="E5607" s="9" t="s">
        <v>63</v>
      </c>
      <c r="F5607" s="7">
        <v>11</v>
      </c>
      <c r="G5607" s="7">
        <v>405.53</v>
      </c>
      <c r="H5607" s="7">
        <v>0.04</v>
      </c>
      <c r="I5607" s="9" t="s">
        <v>22</v>
      </c>
      <c r="J5607" s="10">
        <v>130.52000000000001</v>
      </c>
      <c r="K5607" s="11">
        <v>35.44</v>
      </c>
      <c r="L5607" s="11">
        <v>5.09</v>
      </c>
      <c r="M5607" s="9" t="s">
        <v>1940</v>
      </c>
      <c r="N5607" s="6" t="s">
        <v>1905</v>
      </c>
      <c r="O5607" s="6" t="s">
        <v>673</v>
      </c>
      <c r="P5607" s="9" t="s">
        <v>41</v>
      </c>
      <c r="Q5607" s="9" t="s">
        <v>26</v>
      </c>
      <c r="R5607" s="9" t="s">
        <v>61</v>
      </c>
      <c r="S5607" s="7" t="s">
        <v>227</v>
      </c>
      <c r="T5607" s="9" t="s">
        <v>39</v>
      </c>
      <c r="U5607" s="7">
        <v>0.38</v>
      </c>
      <c r="V5607" s="12">
        <f>C5607+1</f>
        <v>40601</v>
      </c>
      <c r="W5607">
        <f>IF(D5607=' Pivot Tables'!$A$4,1,0)</f>
        <v>0</v>
      </c>
      <c r="X5607">
        <f>IF(AND(LEFT(D5607,4)+1=LEFT(' Pivot Tables'!$A$4,4)+0,RIGHT(LEFT(D5607,7),2)=RIGHT(LEFT(' Pivot Tables'!$A$4,7),2)),1,0)</f>
        <v>0</v>
      </c>
      <c r="Y5607" s="6">
        <f>1/COUNTIF(Таблица1[Order ID],Таблица1[[#This Row],[Order ID]])</f>
        <v>1</v>
      </c>
      <c r="Z5607" s="9">
        <f>1/COUNTIFS(Таблица1[Customer Name],Таблица1[[#This Row],[Customer Name]],Таблица1[Order-Year-Month],Таблица1[[#This Row],[Order-Year-Month]])</f>
        <v>1</v>
      </c>
    </row>
    <row r="5608" spans="1:26" x14ac:dyDescent="0.2">
      <c r="A5608" s="6">
        <v>1155</v>
      </c>
      <c r="B5608" s="7">
        <v>8416</v>
      </c>
      <c r="C5608" s="8">
        <f>DATE(2012,12,31)-878</f>
        <v>40396</v>
      </c>
      <c r="D5608" s="8" t="str">
        <f t="shared" si="104"/>
        <v>2010-08 (август 2010)</v>
      </c>
      <c r="E5608" s="9" t="s">
        <v>21</v>
      </c>
      <c r="F5608" s="7">
        <v>2</v>
      </c>
      <c r="G5608" s="7">
        <v>22.07</v>
      </c>
      <c r="H5608" s="7">
        <v>7.0000000000000007E-2</v>
      </c>
      <c r="I5608" s="9" t="s">
        <v>22</v>
      </c>
      <c r="J5608" s="10">
        <v>-15.45</v>
      </c>
      <c r="K5608" s="11">
        <v>5.98</v>
      </c>
      <c r="L5608" s="11">
        <v>10.39</v>
      </c>
      <c r="M5608" s="9" t="s">
        <v>1941</v>
      </c>
      <c r="N5608" s="6" t="s">
        <v>1905</v>
      </c>
      <c r="O5608" s="6" t="s">
        <v>673</v>
      </c>
      <c r="P5608" s="9" t="s">
        <v>25</v>
      </c>
      <c r="Q5608" s="9" t="s">
        <v>26</v>
      </c>
      <c r="R5608" s="9" t="s">
        <v>61</v>
      </c>
      <c r="S5608" s="7" t="s">
        <v>1430</v>
      </c>
      <c r="T5608" s="9" t="s">
        <v>39</v>
      </c>
      <c r="U5608" s="7">
        <v>0.4</v>
      </c>
      <c r="V5608" s="12">
        <f>C5608+4</f>
        <v>40400</v>
      </c>
      <c r="W5608">
        <f>IF(D5608=' Pivot Tables'!$A$4,1,0)</f>
        <v>0</v>
      </c>
      <c r="X5608">
        <f>IF(AND(LEFT(D5608,4)+1=LEFT(' Pivot Tables'!$A$4,4)+0,RIGHT(LEFT(D5608,7),2)=RIGHT(LEFT(' Pivot Tables'!$A$4,7),2)),1,0)</f>
        <v>0</v>
      </c>
      <c r="Y5608" s="6">
        <f>1/COUNTIF(Таблица1[Order ID],Таблица1[[#This Row],[Order ID]])</f>
        <v>1</v>
      </c>
      <c r="Z5608" s="9">
        <f>1/COUNTIFS(Таблица1[Customer Name],Таблица1[[#This Row],[Customer Name]],Таблица1[Order-Year-Month],Таблица1[[#This Row],[Order-Year-Month]])</f>
        <v>1</v>
      </c>
    </row>
    <row r="5609" spans="1:26" x14ac:dyDescent="0.2">
      <c r="A5609" s="6">
        <v>1199</v>
      </c>
      <c r="B5609" s="7">
        <v>8802</v>
      </c>
      <c r="C5609" s="8">
        <f>DATE(2012,12,31)-700</f>
        <v>40574</v>
      </c>
      <c r="D5609" s="8" t="str">
        <f t="shared" si="104"/>
        <v>2011-01 (январь 2011)</v>
      </c>
      <c r="E5609" s="9" t="s">
        <v>63</v>
      </c>
      <c r="F5609" s="7">
        <v>15</v>
      </c>
      <c r="G5609" s="7">
        <v>1866.12</v>
      </c>
      <c r="H5609" s="7">
        <v>7.0000000000000007E-2</v>
      </c>
      <c r="I5609" s="9" t="s">
        <v>22</v>
      </c>
      <c r="J5609" s="10">
        <v>400.69</v>
      </c>
      <c r="K5609" s="11">
        <v>123.38</v>
      </c>
      <c r="L5609" s="11">
        <v>24.49</v>
      </c>
      <c r="M5609" s="9" t="s">
        <v>1942</v>
      </c>
      <c r="N5609" s="6" t="s">
        <v>1905</v>
      </c>
      <c r="O5609" s="6" t="s">
        <v>673</v>
      </c>
      <c r="P5609" s="9" t="s">
        <v>25</v>
      </c>
      <c r="Q5609" s="9" t="s">
        <v>26</v>
      </c>
      <c r="R5609" s="9" t="s">
        <v>34</v>
      </c>
      <c r="S5609" s="7" t="s">
        <v>1943</v>
      </c>
      <c r="T5609" s="9" t="s">
        <v>29</v>
      </c>
      <c r="U5609" s="7">
        <v>0.46</v>
      </c>
      <c r="V5609" s="12">
        <f>C5609+2</f>
        <v>40576</v>
      </c>
      <c r="W5609">
        <f>IF(D5609=' Pivot Tables'!$A$4,1,0)</f>
        <v>0</v>
      </c>
      <c r="X5609">
        <f>IF(AND(LEFT(D5609,4)+1=LEFT(' Pivot Tables'!$A$4,4)+0,RIGHT(LEFT(D5609,7),2)=RIGHT(LEFT(' Pivot Tables'!$A$4,7),2)),1,0)</f>
        <v>0</v>
      </c>
      <c r="Y5609" s="6">
        <f>1/COUNTIF(Таблица1[Order ID],Таблица1[[#This Row],[Order ID]])</f>
        <v>1</v>
      </c>
      <c r="Z5609" s="9">
        <f>1/COUNTIFS(Таблица1[Customer Name],Таблица1[[#This Row],[Customer Name]],Таблица1[Order-Year-Month],Таблица1[[#This Row],[Order-Year-Month]])</f>
        <v>1</v>
      </c>
    </row>
    <row r="5610" spans="1:26" x14ac:dyDescent="0.2">
      <c r="A5610" s="6">
        <v>1315</v>
      </c>
      <c r="B5610" s="7">
        <v>9637</v>
      </c>
      <c r="C5610" s="8">
        <f>DATE(2012,12,31)-1458</f>
        <v>39816</v>
      </c>
      <c r="D5610" s="8" t="str">
        <f t="shared" si="104"/>
        <v>2009-01 (январь 2009)</v>
      </c>
      <c r="E5610" s="9" t="s">
        <v>21</v>
      </c>
      <c r="F5610" s="7">
        <v>12</v>
      </c>
      <c r="G5610" s="7">
        <v>522.49</v>
      </c>
      <c r="H5610" s="7">
        <v>0.08</v>
      </c>
      <c r="I5610" s="9" t="s">
        <v>22</v>
      </c>
      <c r="J5610" s="10">
        <v>-236.43</v>
      </c>
      <c r="K5610" s="11">
        <v>43.22</v>
      </c>
      <c r="L5610" s="11">
        <v>16.71</v>
      </c>
      <c r="M5610" s="9" t="s">
        <v>1329</v>
      </c>
      <c r="N5610" s="6" t="s">
        <v>1905</v>
      </c>
      <c r="O5610" s="6" t="s">
        <v>673</v>
      </c>
      <c r="P5610" s="9" t="s">
        <v>41</v>
      </c>
      <c r="Q5610" s="9" t="s">
        <v>42</v>
      </c>
      <c r="R5610" s="9" t="s">
        <v>70</v>
      </c>
      <c r="S5610" s="7" t="s">
        <v>921</v>
      </c>
      <c r="T5610" s="9" t="s">
        <v>39</v>
      </c>
      <c r="U5610" s="7">
        <v>0.66</v>
      </c>
      <c r="V5610" s="12">
        <f>C5610+2</f>
        <v>39818</v>
      </c>
      <c r="W5610">
        <f>IF(D5610=' Pivot Tables'!$A$4,1,0)</f>
        <v>0</v>
      </c>
      <c r="X5610">
        <f>IF(AND(LEFT(D5610,4)+1=LEFT(' Pivot Tables'!$A$4,4)+0,RIGHT(LEFT(D5610,7),2)=RIGHT(LEFT(' Pivot Tables'!$A$4,7),2)),1,0)</f>
        <v>1</v>
      </c>
      <c r="Y5610" s="6">
        <f>1/COUNTIF(Таблица1[Order ID],Таблица1[[#This Row],[Order ID]])</f>
        <v>0.33333333333333331</v>
      </c>
      <c r="Z5610" s="9">
        <f>1/COUNTIFS(Таблица1[Customer Name],Таблица1[[#This Row],[Customer Name]],Таблица1[Order-Year-Month],Таблица1[[#This Row],[Order-Year-Month]])</f>
        <v>0.33333333333333331</v>
      </c>
    </row>
    <row r="5611" spans="1:26" x14ac:dyDescent="0.2">
      <c r="A5611" s="6">
        <v>1316</v>
      </c>
      <c r="B5611" s="7">
        <v>9637</v>
      </c>
      <c r="C5611" s="8">
        <f>DATE(2012,12,31)-1458</f>
        <v>39816</v>
      </c>
      <c r="D5611" s="8" t="str">
        <f t="shared" si="104"/>
        <v>2009-01 (январь 2009)</v>
      </c>
      <c r="E5611" s="9" t="s">
        <v>21</v>
      </c>
      <c r="F5611" s="7">
        <v>49</v>
      </c>
      <c r="G5611" s="7">
        <v>28359.4</v>
      </c>
      <c r="H5611" s="7">
        <v>0.05</v>
      </c>
      <c r="I5611" s="9" t="s">
        <v>22</v>
      </c>
      <c r="J5611" s="10">
        <v>14440.39</v>
      </c>
      <c r="K5611" s="11">
        <v>574.74</v>
      </c>
      <c r="L5611" s="11">
        <v>24.49</v>
      </c>
      <c r="M5611" s="9" t="s">
        <v>1329</v>
      </c>
      <c r="N5611" s="6" t="s">
        <v>1905</v>
      </c>
      <c r="O5611" s="6" t="s">
        <v>673</v>
      </c>
      <c r="P5611" s="9" t="s">
        <v>41</v>
      </c>
      <c r="Q5611" s="9" t="s">
        <v>42</v>
      </c>
      <c r="R5611" s="9" t="s">
        <v>210</v>
      </c>
      <c r="S5611" s="7" t="s">
        <v>288</v>
      </c>
      <c r="T5611" s="9" t="s">
        <v>29</v>
      </c>
      <c r="U5611" s="7">
        <v>0.37</v>
      </c>
      <c r="V5611" s="12">
        <f>C5611+7</f>
        <v>39823</v>
      </c>
      <c r="W5611">
        <f>IF(D5611=' Pivot Tables'!$A$4,1,0)</f>
        <v>0</v>
      </c>
      <c r="X5611">
        <f>IF(AND(LEFT(D5611,4)+1=LEFT(' Pivot Tables'!$A$4,4)+0,RIGHT(LEFT(D5611,7),2)=RIGHT(LEFT(' Pivot Tables'!$A$4,7),2)),1,0)</f>
        <v>1</v>
      </c>
      <c r="Y5611" s="6">
        <f>1/COUNTIF(Таблица1[Order ID],Таблица1[[#This Row],[Order ID]])</f>
        <v>0.33333333333333331</v>
      </c>
      <c r="Z5611" s="9">
        <f>1/COUNTIFS(Таблица1[Customer Name],Таблица1[[#This Row],[Customer Name]],Таблица1[Order-Year-Month],Таблица1[[#This Row],[Order-Year-Month]])</f>
        <v>0.33333333333333331</v>
      </c>
    </row>
    <row r="5612" spans="1:26" x14ac:dyDescent="0.2">
      <c r="A5612" s="6">
        <v>1317</v>
      </c>
      <c r="B5612" s="7">
        <v>9637</v>
      </c>
      <c r="C5612" s="8">
        <f>DATE(2012,12,31)-1458</f>
        <v>39816</v>
      </c>
      <c r="D5612" s="8" t="str">
        <f t="shared" si="104"/>
        <v>2009-01 (январь 2009)</v>
      </c>
      <c r="E5612" s="9" t="s">
        <v>21</v>
      </c>
      <c r="F5612" s="7">
        <v>12</v>
      </c>
      <c r="G5612" s="7">
        <v>123.76</v>
      </c>
      <c r="H5612" s="7">
        <v>0.04</v>
      </c>
      <c r="I5612" s="9" t="s">
        <v>22</v>
      </c>
      <c r="J5612" s="10">
        <v>32.44</v>
      </c>
      <c r="K5612" s="11">
        <v>10.14</v>
      </c>
      <c r="L5612" s="11">
        <v>2.27</v>
      </c>
      <c r="M5612" s="9" t="s">
        <v>1329</v>
      </c>
      <c r="N5612" s="6" t="s">
        <v>1905</v>
      </c>
      <c r="O5612" s="6" t="s">
        <v>673</v>
      </c>
      <c r="P5612" s="9" t="s">
        <v>41</v>
      </c>
      <c r="Q5612" s="9" t="s">
        <v>26</v>
      </c>
      <c r="R5612" s="9" t="s">
        <v>61</v>
      </c>
      <c r="S5612" s="7" t="s">
        <v>189</v>
      </c>
      <c r="T5612" s="9" t="s">
        <v>68</v>
      </c>
      <c r="U5612" s="7">
        <v>0.36</v>
      </c>
      <c r="V5612" s="12">
        <f>C5612+4</f>
        <v>39820</v>
      </c>
      <c r="W5612">
        <f>IF(D5612=' Pivot Tables'!$A$4,1,0)</f>
        <v>0</v>
      </c>
      <c r="X5612">
        <f>IF(AND(LEFT(D5612,4)+1=LEFT(' Pivot Tables'!$A$4,4)+0,RIGHT(LEFT(D5612,7),2)=RIGHT(LEFT(' Pivot Tables'!$A$4,7),2)),1,0)</f>
        <v>1</v>
      </c>
      <c r="Y5612" s="6">
        <f>1/COUNTIF(Таблица1[Order ID],Таблица1[[#This Row],[Order ID]])</f>
        <v>0.33333333333333331</v>
      </c>
      <c r="Z5612" s="9">
        <f>1/COUNTIFS(Таблица1[Customer Name],Таблица1[[#This Row],[Customer Name]],Таблица1[Order-Year-Month],Таблица1[[#This Row],[Order-Year-Month]])</f>
        <v>0.33333333333333331</v>
      </c>
    </row>
    <row r="5613" spans="1:26" x14ac:dyDescent="0.2">
      <c r="A5613" s="6">
        <v>1327</v>
      </c>
      <c r="B5613" s="7">
        <v>9671</v>
      </c>
      <c r="C5613" s="8">
        <f>DATE(2012,12,31)-476</f>
        <v>40798</v>
      </c>
      <c r="D5613" s="8" t="str">
        <f t="shared" si="104"/>
        <v>2011-09 (сентябрь 2011)</v>
      </c>
      <c r="E5613" s="9" t="s">
        <v>30</v>
      </c>
      <c r="F5613" s="7">
        <v>6</v>
      </c>
      <c r="G5613" s="7">
        <v>12.61</v>
      </c>
      <c r="H5613" s="7">
        <v>7.0000000000000007E-2</v>
      </c>
      <c r="I5613" s="9" t="s">
        <v>22</v>
      </c>
      <c r="J5613" s="10">
        <v>-4.899</v>
      </c>
      <c r="K5613" s="11">
        <v>1.88</v>
      </c>
      <c r="L5613" s="11">
        <v>1.49</v>
      </c>
      <c r="M5613" s="9" t="s">
        <v>1937</v>
      </c>
      <c r="N5613" s="6" t="s">
        <v>1905</v>
      </c>
      <c r="O5613" s="6" t="s">
        <v>673</v>
      </c>
      <c r="P5613" s="9" t="s">
        <v>41</v>
      </c>
      <c r="Q5613" s="9" t="s">
        <v>26</v>
      </c>
      <c r="R5613" s="9" t="s">
        <v>37</v>
      </c>
      <c r="S5613" s="7" t="s">
        <v>172</v>
      </c>
      <c r="T5613" s="9" t="s">
        <v>39</v>
      </c>
      <c r="U5613" s="7">
        <v>0.37</v>
      </c>
      <c r="V5613" s="12">
        <f>C5613+2</f>
        <v>40800</v>
      </c>
      <c r="W5613">
        <f>IF(D5613=' Pivot Tables'!$A$4,1,0)</f>
        <v>0</v>
      </c>
      <c r="X5613">
        <f>IF(AND(LEFT(D5613,4)+1=LEFT(' Pivot Tables'!$A$4,4)+0,RIGHT(LEFT(D5613,7),2)=RIGHT(LEFT(' Pivot Tables'!$A$4,7),2)),1,0)</f>
        <v>0</v>
      </c>
      <c r="Y5613" s="6">
        <f>1/COUNTIF(Таблица1[Order ID],Таблица1[[#This Row],[Order ID]])</f>
        <v>1</v>
      </c>
      <c r="Z5613" s="9">
        <f>1/COUNTIFS(Таблица1[Customer Name],Таблица1[[#This Row],[Customer Name]],Таблица1[Order-Year-Month],Таблица1[[#This Row],[Order-Year-Month]])</f>
        <v>1</v>
      </c>
    </row>
    <row r="5614" spans="1:26" x14ac:dyDescent="0.2">
      <c r="A5614" s="6">
        <v>1378</v>
      </c>
      <c r="B5614" s="7">
        <v>9957</v>
      </c>
      <c r="C5614" s="8">
        <f>DATE(2012,12,31)-762</f>
        <v>40512</v>
      </c>
      <c r="D5614" s="8" t="str">
        <f t="shared" si="104"/>
        <v>2010-11 (ноябрь 2010)</v>
      </c>
      <c r="E5614" s="9" t="s">
        <v>45</v>
      </c>
      <c r="F5614" s="7">
        <v>31</v>
      </c>
      <c r="G5614" s="7">
        <v>74.75</v>
      </c>
      <c r="H5614" s="7">
        <v>0.06</v>
      </c>
      <c r="I5614" s="9" t="s">
        <v>56</v>
      </c>
      <c r="J5614" s="10">
        <v>-115.43</v>
      </c>
      <c r="K5614" s="11">
        <v>2.2799999999999998</v>
      </c>
      <c r="L5614" s="11">
        <v>5.2</v>
      </c>
      <c r="M5614" s="9" t="s">
        <v>1942</v>
      </c>
      <c r="N5614" s="6" t="s">
        <v>1905</v>
      </c>
      <c r="O5614" s="6" t="s">
        <v>673</v>
      </c>
      <c r="P5614" s="9" t="s">
        <v>41</v>
      </c>
      <c r="Q5614" s="9" t="s">
        <v>26</v>
      </c>
      <c r="R5614" s="9" t="s">
        <v>95</v>
      </c>
      <c r="S5614" s="7" t="s">
        <v>1499</v>
      </c>
      <c r="T5614" s="9" t="s">
        <v>68</v>
      </c>
      <c r="U5614" s="7">
        <v>0.41</v>
      </c>
      <c r="V5614" s="12">
        <f>C5614+1</f>
        <v>40513</v>
      </c>
      <c r="W5614">
        <f>IF(D5614=' Pivot Tables'!$A$4,1,0)</f>
        <v>0</v>
      </c>
      <c r="X5614">
        <f>IF(AND(LEFT(D5614,4)+1=LEFT(' Pivot Tables'!$A$4,4)+0,RIGHT(LEFT(D5614,7),2)=RIGHT(LEFT(' Pivot Tables'!$A$4,7),2)),1,0)</f>
        <v>0</v>
      </c>
      <c r="Y5614" s="6">
        <f>1/COUNTIF(Таблица1[Order ID],Таблица1[[#This Row],[Order ID]])</f>
        <v>1</v>
      </c>
      <c r="Z5614" s="9">
        <f>1/COUNTIFS(Таблица1[Customer Name],Таблица1[[#This Row],[Customer Name]],Таблица1[Order-Year-Month],Таблица1[[#This Row],[Order-Year-Month]])</f>
        <v>1</v>
      </c>
    </row>
    <row r="5615" spans="1:26" x14ac:dyDescent="0.2">
      <c r="A5615" s="6">
        <v>1467</v>
      </c>
      <c r="B5615" s="7">
        <v>10567</v>
      </c>
      <c r="C5615" s="8">
        <f>DATE(2012,12,31)-277</f>
        <v>40997</v>
      </c>
      <c r="D5615" s="8" t="str">
        <f t="shared" si="104"/>
        <v>2012-03 (март 2012)</v>
      </c>
      <c r="E5615" s="9" t="s">
        <v>30</v>
      </c>
      <c r="F5615" s="7">
        <v>10</v>
      </c>
      <c r="G5615" s="7">
        <v>1111.008</v>
      </c>
      <c r="H5615" s="7">
        <v>0.09</v>
      </c>
      <c r="I5615" s="9" t="s">
        <v>31</v>
      </c>
      <c r="J5615" s="10">
        <v>-146.29</v>
      </c>
      <c r="K5615" s="11">
        <v>146.34</v>
      </c>
      <c r="L5615" s="11">
        <v>43.75</v>
      </c>
      <c r="M5615" s="9" t="s">
        <v>1944</v>
      </c>
      <c r="N5615" s="6" t="s">
        <v>1905</v>
      </c>
      <c r="O5615" s="6" t="s">
        <v>673</v>
      </c>
      <c r="P5615" s="9" t="s">
        <v>60</v>
      </c>
      <c r="Q5615" s="9" t="s">
        <v>49</v>
      </c>
      <c r="R5615" s="9" t="s">
        <v>83</v>
      </c>
      <c r="S5615" s="7" t="s">
        <v>204</v>
      </c>
      <c r="T5615" s="9" t="s">
        <v>82</v>
      </c>
      <c r="U5615" s="7">
        <v>0.65</v>
      </c>
      <c r="V5615" s="12">
        <f>C5615+1</f>
        <v>40998</v>
      </c>
      <c r="W5615">
        <f>IF(D5615=' Pivot Tables'!$A$4,1,0)</f>
        <v>0</v>
      </c>
      <c r="X5615">
        <f>IF(AND(LEFT(D5615,4)+1=LEFT(' Pivot Tables'!$A$4,4)+0,RIGHT(LEFT(D5615,7),2)=RIGHT(LEFT(' Pivot Tables'!$A$4,7),2)),1,0)</f>
        <v>0</v>
      </c>
      <c r="Y5615" s="6">
        <f>1/COUNTIF(Таблица1[Order ID],Таблица1[[#This Row],[Order ID]])</f>
        <v>1</v>
      </c>
      <c r="Z5615" s="9">
        <f>1/COUNTIFS(Таблица1[Customer Name],Таблица1[[#This Row],[Customer Name]],Таблица1[Order-Year-Month],Таблица1[[#This Row],[Order-Year-Month]])</f>
        <v>1</v>
      </c>
    </row>
    <row r="5616" spans="1:26" x14ac:dyDescent="0.2">
      <c r="A5616" s="6">
        <v>1760</v>
      </c>
      <c r="B5616" s="7">
        <v>12613</v>
      </c>
      <c r="C5616" s="8">
        <f>DATE(2012,12,31)-996</f>
        <v>40278</v>
      </c>
      <c r="D5616" s="8" t="str">
        <f t="shared" si="104"/>
        <v>2010-04 (апрель 2010)</v>
      </c>
      <c r="E5616" s="9" t="s">
        <v>63</v>
      </c>
      <c r="F5616" s="7">
        <v>3</v>
      </c>
      <c r="G5616" s="7">
        <v>15.64</v>
      </c>
      <c r="H5616" s="7">
        <v>0.08</v>
      </c>
      <c r="I5616" s="9" t="s">
        <v>22</v>
      </c>
      <c r="J5616" s="10">
        <v>-16.007999999999999</v>
      </c>
      <c r="K5616" s="11">
        <v>3.36</v>
      </c>
      <c r="L5616" s="11">
        <v>6.27</v>
      </c>
      <c r="M5616" s="9" t="s">
        <v>1939</v>
      </c>
      <c r="N5616" s="6" t="s">
        <v>1905</v>
      </c>
      <c r="O5616" s="6" t="s">
        <v>673</v>
      </c>
      <c r="P5616" s="9" t="s">
        <v>33</v>
      </c>
      <c r="Q5616" s="9" t="s">
        <v>26</v>
      </c>
      <c r="R5616" s="9" t="s">
        <v>37</v>
      </c>
      <c r="S5616" s="7" t="s">
        <v>410</v>
      </c>
      <c r="T5616" s="9" t="s">
        <v>39</v>
      </c>
      <c r="U5616" s="7">
        <v>0.4</v>
      </c>
      <c r="V5616" s="12">
        <f>C5616+3</f>
        <v>40281</v>
      </c>
      <c r="W5616">
        <f>IF(D5616=' Pivot Tables'!$A$4,1,0)</f>
        <v>0</v>
      </c>
      <c r="X5616">
        <f>IF(AND(LEFT(D5616,4)+1=LEFT(' Pivot Tables'!$A$4,4)+0,RIGHT(LEFT(D5616,7),2)=RIGHT(LEFT(' Pivot Tables'!$A$4,7),2)),1,0)</f>
        <v>0</v>
      </c>
      <c r="Y5616" s="6">
        <f>1/COUNTIF(Таблица1[Order ID],Таблица1[[#This Row],[Order ID]])</f>
        <v>0.33333333333333331</v>
      </c>
      <c r="Z5616" s="9">
        <f>1/COUNTIFS(Таблица1[Customer Name],Таблица1[[#This Row],[Customer Name]],Таблица1[Order-Year-Month],Таблица1[[#This Row],[Order-Year-Month]])</f>
        <v>0.33333333333333331</v>
      </c>
    </row>
    <row r="5617" spans="1:26" x14ac:dyDescent="0.2">
      <c r="A5617" s="6">
        <v>1761</v>
      </c>
      <c r="B5617" s="7">
        <v>12613</v>
      </c>
      <c r="C5617" s="8">
        <f>DATE(2012,12,31)-996</f>
        <v>40278</v>
      </c>
      <c r="D5617" s="8" t="str">
        <f t="shared" si="104"/>
        <v>2010-04 (апрель 2010)</v>
      </c>
      <c r="E5617" s="9" t="s">
        <v>63</v>
      </c>
      <c r="F5617" s="7">
        <v>28</v>
      </c>
      <c r="G5617" s="7">
        <v>1751.08</v>
      </c>
      <c r="H5617" s="7">
        <v>0</v>
      </c>
      <c r="I5617" s="9" t="s">
        <v>22</v>
      </c>
      <c r="J5617" s="10">
        <v>587.01</v>
      </c>
      <c r="K5617" s="11">
        <v>59.78</v>
      </c>
      <c r="L5617" s="11">
        <v>10.29</v>
      </c>
      <c r="M5617" s="9" t="s">
        <v>1939</v>
      </c>
      <c r="N5617" s="6" t="s">
        <v>1905</v>
      </c>
      <c r="O5617" s="6" t="s">
        <v>673</v>
      </c>
      <c r="P5617" s="9" t="s">
        <v>33</v>
      </c>
      <c r="Q5617" s="9" t="s">
        <v>26</v>
      </c>
      <c r="R5617" s="9" t="s">
        <v>37</v>
      </c>
      <c r="S5617" s="7" t="s">
        <v>284</v>
      </c>
      <c r="T5617" s="9" t="s">
        <v>39</v>
      </c>
      <c r="U5617" s="7">
        <v>0.39</v>
      </c>
      <c r="V5617" s="12">
        <f>C5617+1</f>
        <v>40279</v>
      </c>
      <c r="W5617">
        <f>IF(D5617=' Pivot Tables'!$A$4,1,0)</f>
        <v>0</v>
      </c>
      <c r="X5617">
        <f>IF(AND(LEFT(D5617,4)+1=LEFT(' Pivot Tables'!$A$4,4)+0,RIGHT(LEFT(D5617,7),2)=RIGHT(LEFT(' Pivot Tables'!$A$4,7),2)),1,0)</f>
        <v>0</v>
      </c>
      <c r="Y5617" s="6">
        <f>1/COUNTIF(Таблица1[Order ID],Таблица1[[#This Row],[Order ID]])</f>
        <v>0.33333333333333331</v>
      </c>
      <c r="Z5617" s="9">
        <f>1/COUNTIFS(Таблица1[Customer Name],Таблица1[[#This Row],[Customer Name]],Таблица1[Order-Year-Month],Таблица1[[#This Row],[Order-Year-Month]])</f>
        <v>0.33333333333333331</v>
      </c>
    </row>
    <row r="5618" spans="1:26" x14ac:dyDescent="0.2">
      <c r="A5618" s="6">
        <v>1762</v>
      </c>
      <c r="B5618" s="7">
        <v>12613</v>
      </c>
      <c r="C5618" s="8">
        <f>DATE(2012,12,31)-996</f>
        <v>40278</v>
      </c>
      <c r="D5618" s="8" t="str">
        <f t="shared" si="104"/>
        <v>2010-04 (апрель 2010)</v>
      </c>
      <c r="E5618" s="9" t="s">
        <v>63</v>
      </c>
      <c r="F5618" s="7">
        <v>18</v>
      </c>
      <c r="G5618" s="7">
        <v>225.37</v>
      </c>
      <c r="H5618" s="7">
        <v>0.04</v>
      </c>
      <c r="I5618" s="9" t="s">
        <v>56</v>
      </c>
      <c r="J5618" s="10">
        <v>77.53</v>
      </c>
      <c r="K5618" s="11">
        <v>12.22</v>
      </c>
      <c r="L5618" s="11">
        <v>2.85</v>
      </c>
      <c r="M5618" s="9" t="s">
        <v>1939</v>
      </c>
      <c r="N5618" s="6" t="s">
        <v>1905</v>
      </c>
      <c r="O5618" s="6" t="s">
        <v>673</v>
      </c>
      <c r="P5618" s="9" t="s">
        <v>33</v>
      </c>
      <c r="Q5618" s="9" t="s">
        <v>49</v>
      </c>
      <c r="R5618" s="9" t="s">
        <v>50</v>
      </c>
      <c r="S5618" s="7" t="s">
        <v>245</v>
      </c>
      <c r="T5618" s="9" t="s">
        <v>52</v>
      </c>
      <c r="U5618" s="7">
        <v>0.55000000000000004</v>
      </c>
      <c r="V5618" s="12">
        <f>C5618+1</f>
        <v>40279</v>
      </c>
      <c r="W5618">
        <f>IF(D5618=' Pivot Tables'!$A$4,1,0)</f>
        <v>0</v>
      </c>
      <c r="X5618">
        <f>IF(AND(LEFT(D5618,4)+1=LEFT(' Pivot Tables'!$A$4,4)+0,RIGHT(LEFT(D5618,7),2)=RIGHT(LEFT(' Pivot Tables'!$A$4,7),2)),1,0)</f>
        <v>0</v>
      </c>
      <c r="Y5618" s="6">
        <f>1/COUNTIF(Таблица1[Order ID],Таблица1[[#This Row],[Order ID]])</f>
        <v>0.33333333333333331</v>
      </c>
      <c r="Z5618" s="9">
        <f>1/COUNTIFS(Таблица1[Customer Name],Таблица1[[#This Row],[Customer Name]],Таблица1[Order-Year-Month],Таблица1[[#This Row],[Order-Year-Month]])</f>
        <v>0.33333333333333331</v>
      </c>
    </row>
    <row r="5619" spans="1:26" x14ac:dyDescent="0.2">
      <c r="A5619" s="6">
        <v>1776</v>
      </c>
      <c r="B5619" s="7">
        <v>12711</v>
      </c>
      <c r="C5619" s="8">
        <f>DATE(2012,12,31)-316</f>
        <v>40958</v>
      </c>
      <c r="D5619" s="8" t="str">
        <f t="shared" si="104"/>
        <v>2012-02 (февраль 2012)</v>
      </c>
      <c r="E5619" s="9" t="s">
        <v>78</v>
      </c>
      <c r="F5619" s="7">
        <v>32</v>
      </c>
      <c r="G5619" s="7">
        <v>1486.72</v>
      </c>
      <c r="H5619" s="7">
        <v>0</v>
      </c>
      <c r="I5619" s="9" t="s">
        <v>22</v>
      </c>
      <c r="J5619" s="10">
        <v>294.81</v>
      </c>
      <c r="K5619" s="11">
        <v>43.98</v>
      </c>
      <c r="L5619" s="11">
        <v>8.99</v>
      </c>
      <c r="M5619" s="9" t="s">
        <v>1937</v>
      </c>
      <c r="N5619" s="6" t="s">
        <v>1905</v>
      </c>
      <c r="O5619" s="6" t="s">
        <v>673</v>
      </c>
      <c r="P5619" s="9" t="s">
        <v>41</v>
      </c>
      <c r="Q5619" s="9" t="s">
        <v>26</v>
      </c>
      <c r="R5619" s="9" t="s">
        <v>95</v>
      </c>
      <c r="S5619" s="7" t="s">
        <v>858</v>
      </c>
      <c r="T5619" s="9" t="s">
        <v>52</v>
      </c>
      <c r="U5619" s="7">
        <v>0.57999999999999996</v>
      </c>
      <c r="V5619" s="12">
        <f>C5619+1</f>
        <v>40959</v>
      </c>
      <c r="W5619">
        <f>IF(D5619=' Pivot Tables'!$A$4,1,0)</f>
        <v>0</v>
      </c>
      <c r="X5619">
        <f>IF(AND(LEFT(D5619,4)+1=LEFT(' Pivot Tables'!$A$4,4)+0,RIGHT(LEFT(D5619,7),2)=RIGHT(LEFT(' Pivot Tables'!$A$4,7),2)),1,0)</f>
        <v>0</v>
      </c>
      <c r="Y5619" s="6">
        <f>1/COUNTIF(Таблица1[Order ID],Таблица1[[#This Row],[Order ID]])</f>
        <v>0.5</v>
      </c>
      <c r="Z5619" s="9">
        <f>1/COUNTIFS(Таблица1[Customer Name],Таблица1[[#This Row],[Customer Name]],Таблица1[Order-Year-Month],Таблица1[[#This Row],[Order-Year-Month]])</f>
        <v>0.5</v>
      </c>
    </row>
    <row r="5620" spans="1:26" x14ac:dyDescent="0.2">
      <c r="A5620" s="6">
        <v>1777</v>
      </c>
      <c r="B5620" s="7">
        <v>12711</v>
      </c>
      <c r="C5620" s="8">
        <f>DATE(2012,12,31)-316</f>
        <v>40958</v>
      </c>
      <c r="D5620" s="8" t="str">
        <f t="shared" si="104"/>
        <v>2012-02 (февраль 2012)</v>
      </c>
      <c r="E5620" s="9" t="s">
        <v>78</v>
      </c>
      <c r="F5620" s="7">
        <v>45</v>
      </c>
      <c r="G5620" s="7">
        <v>558.04</v>
      </c>
      <c r="H5620" s="7">
        <v>0.05</v>
      </c>
      <c r="I5620" s="9" t="s">
        <v>22</v>
      </c>
      <c r="J5620" s="10">
        <v>40.32</v>
      </c>
      <c r="K5620" s="11">
        <v>12.98</v>
      </c>
      <c r="L5620" s="11">
        <v>3.14</v>
      </c>
      <c r="M5620" s="9" t="s">
        <v>1937</v>
      </c>
      <c r="N5620" s="6" t="s">
        <v>1905</v>
      </c>
      <c r="O5620" s="6" t="s">
        <v>673</v>
      </c>
      <c r="P5620" s="9" t="s">
        <v>41</v>
      </c>
      <c r="Q5620" s="9" t="s">
        <v>26</v>
      </c>
      <c r="R5620" s="9" t="s">
        <v>150</v>
      </c>
      <c r="S5620" s="7" t="s">
        <v>356</v>
      </c>
      <c r="T5620" s="9" t="s">
        <v>52</v>
      </c>
      <c r="U5620" s="7">
        <v>0.6</v>
      </c>
      <c r="V5620" s="12">
        <f>C5620+1</f>
        <v>40959</v>
      </c>
      <c r="W5620">
        <f>IF(D5620=' Pivot Tables'!$A$4,1,0)</f>
        <v>0</v>
      </c>
      <c r="X5620">
        <f>IF(AND(LEFT(D5620,4)+1=LEFT(' Pivot Tables'!$A$4,4)+0,RIGHT(LEFT(D5620,7),2)=RIGHT(LEFT(' Pivot Tables'!$A$4,7),2)),1,0)</f>
        <v>0</v>
      </c>
      <c r="Y5620" s="6">
        <f>1/COUNTIF(Таблица1[Order ID],Таблица1[[#This Row],[Order ID]])</f>
        <v>0.5</v>
      </c>
      <c r="Z5620" s="9">
        <f>1/COUNTIFS(Таблица1[Customer Name],Таблица1[[#This Row],[Customer Name]],Таблица1[Order-Year-Month],Таблица1[[#This Row],[Order-Year-Month]])</f>
        <v>0.5</v>
      </c>
    </row>
    <row r="5621" spans="1:26" x14ac:dyDescent="0.2">
      <c r="A5621" s="6">
        <v>1886</v>
      </c>
      <c r="B5621" s="7">
        <v>13543</v>
      </c>
      <c r="C5621" s="8">
        <f>DATE(2012,12,31)-145</f>
        <v>41129</v>
      </c>
      <c r="D5621" s="8" t="str">
        <f t="shared" si="104"/>
        <v>2012-08 (август 2012)</v>
      </c>
      <c r="E5621" s="9" t="s">
        <v>63</v>
      </c>
      <c r="F5621" s="7">
        <v>2</v>
      </c>
      <c r="G5621" s="7">
        <v>27.83</v>
      </c>
      <c r="H5621" s="7">
        <v>0.09</v>
      </c>
      <c r="I5621" s="9" t="s">
        <v>22</v>
      </c>
      <c r="J5621" s="10">
        <v>-22.14</v>
      </c>
      <c r="K5621" s="11">
        <v>9.7100000000000009</v>
      </c>
      <c r="L5621" s="11">
        <v>9.4499999999999993</v>
      </c>
      <c r="M5621" s="9" t="s">
        <v>1329</v>
      </c>
      <c r="N5621" s="6" t="s">
        <v>1905</v>
      </c>
      <c r="O5621" s="6" t="s">
        <v>673</v>
      </c>
      <c r="P5621" s="9" t="s">
        <v>41</v>
      </c>
      <c r="Q5621" s="9" t="s">
        <v>26</v>
      </c>
      <c r="R5621" s="9" t="s">
        <v>27</v>
      </c>
      <c r="S5621" s="7" t="s">
        <v>927</v>
      </c>
      <c r="T5621" s="9" t="s">
        <v>39</v>
      </c>
      <c r="U5621" s="7">
        <v>0.6</v>
      </c>
      <c r="V5621" s="12">
        <f>C5621+0</f>
        <v>41129</v>
      </c>
      <c r="W5621">
        <f>IF(D5621=' Pivot Tables'!$A$4,1,0)</f>
        <v>0</v>
      </c>
      <c r="X5621">
        <f>IF(AND(LEFT(D5621,4)+1=LEFT(' Pivot Tables'!$A$4,4)+0,RIGHT(LEFT(D5621,7),2)=RIGHT(LEFT(' Pivot Tables'!$A$4,7),2)),1,0)</f>
        <v>0</v>
      </c>
      <c r="Y5621" s="6">
        <f>1/COUNTIF(Таблица1[Order ID],Таблица1[[#This Row],[Order ID]])</f>
        <v>1</v>
      </c>
      <c r="Z5621" s="9">
        <f>1/COUNTIFS(Таблица1[Customer Name],Таблица1[[#This Row],[Customer Name]],Таблица1[Order-Year-Month],Таблица1[[#This Row],[Order-Year-Month]])</f>
        <v>1</v>
      </c>
    </row>
    <row r="5622" spans="1:26" x14ac:dyDescent="0.2">
      <c r="A5622" s="6">
        <v>1924</v>
      </c>
      <c r="B5622" s="7">
        <v>13767</v>
      </c>
      <c r="C5622" s="8">
        <f>DATE(2012,12,31)-858</f>
        <v>40416</v>
      </c>
      <c r="D5622" s="8" t="str">
        <f t="shared" si="104"/>
        <v>2010-08 (август 2010)</v>
      </c>
      <c r="E5622" s="9" t="s">
        <v>30</v>
      </c>
      <c r="F5622" s="7">
        <v>29</v>
      </c>
      <c r="G5622" s="7">
        <v>597.66</v>
      </c>
      <c r="H5622" s="7">
        <v>0.08</v>
      </c>
      <c r="I5622" s="9" t="s">
        <v>22</v>
      </c>
      <c r="J5622" s="10">
        <v>-178</v>
      </c>
      <c r="K5622" s="11">
        <v>21.66</v>
      </c>
      <c r="L5622" s="11">
        <v>13.99</v>
      </c>
      <c r="M5622" s="9" t="s">
        <v>1819</v>
      </c>
      <c r="N5622" s="6" t="s">
        <v>1905</v>
      </c>
      <c r="O5622" s="6" t="s">
        <v>673</v>
      </c>
      <c r="P5622" s="9" t="s">
        <v>41</v>
      </c>
      <c r="Q5622" s="9" t="s">
        <v>26</v>
      </c>
      <c r="R5622" s="9" t="s">
        <v>34</v>
      </c>
      <c r="S5622" s="7" t="s">
        <v>223</v>
      </c>
      <c r="T5622" s="9" t="s">
        <v>48</v>
      </c>
      <c r="U5622" s="7">
        <v>0.52</v>
      </c>
      <c r="V5622" s="12">
        <f>C5622+2</f>
        <v>40418</v>
      </c>
      <c r="W5622">
        <f>IF(D5622=' Pivot Tables'!$A$4,1,0)</f>
        <v>0</v>
      </c>
      <c r="X5622">
        <f>IF(AND(LEFT(D5622,4)+1=LEFT(' Pivot Tables'!$A$4,4)+0,RIGHT(LEFT(D5622,7),2)=RIGHT(LEFT(' Pivot Tables'!$A$4,7),2)),1,0)</f>
        <v>0</v>
      </c>
      <c r="Y5622" s="6">
        <f>1/COUNTIF(Таблица1[Order ID],Таблица1[[#This Row],[Order ID]])</f>
        <v>0.25</v>
      </c>
      <c r="Z5622" s="9">
        <f>1/COUNTIFS(Таблица1[Customer Name],Таблица1[[#This Row],[Customer Name]],Таблица1[Order-Year-Month],Таблица1[[#This Row],[Order-Year-Month]])</f>
        <v>0.25</v>
      </c>
    </row>
    <row r="5623" spans="1:26" x14ac:dyDescent="0.2">
      <c r="A5623" s="6">
        <v>1925</v>
      </c>
      <c r="B5623" s="7">
        <v>13767</v>
      </c>
      <c r="C5623" s="8">
        <f>DATE(2012,12,31)-858</f>
        <v>40416</v>
      </c>
      <c r="D5623" s="8" t="str">
        <f t="shared" si="104"/>
        <v>2010-08 (август 2010)</v>
      </c>
      <c r="E5623" s="9" t="s">
        <v>30</v>
      </c>
      <c r="F5623" s="7">
        <v>45</v>
      </c>
      <c r="G5623" s="7">
        <v>1403.741</v>
      </c>
      <c r="H5623" s="7">
        <v>0.01</v>
      </c>
      <c r="I5623" s="9" t="s">
        <v>22</v>
      </c>
      <c r="J5623" s="10">
        <v>622.25099999999998</v>
      </c>
      <c r="K5623" s="11">
        <v>35.99</v>
      </c>
      <c r="L5623" s="11">
        <v>3.3</v>
      </c>
      <c r="M5623" s="9" t="s">
        <v>1819</v>
      </c>
      <c r="N5623" s="6" t="s">
        <v>1905</v>
      </c>
      <c r="O5623" s="6" t="s">
        <v>673</v>
      </c>
      <c r="P5623" s="9" t="s">
        <v>41</v>
      </c>
      <c r="Q5623" s="9" t="s">
        <v>42</v>
      </c>
      <c r="R5623" s="9" t="s">
        <v>43</v>
      </c>
      <c r="S5623" s="7" t="s">
        <v>417</v>
      </c>
      <c r="T5623" s="9" t="s">
        <v>52</v>
      </c>
      <c r="U5623" s="7">
        <v>0.39</v>
      </c>
      <c r="V5623" s="12">
        <f>C5623+2</f>
        <v>40418</v>
      </c>
      <c r="W5623">
        <f>IF(D5623=' Pivot Tables'!$A$4,1,0)</f>
        <v>0</v>
      </c>
      <c r="X5623">
        <f>IF(AND(LEFT(D5623,4)+1=LEFT(' Pivot Tables'!$A$4,4)+0,RIGHT(LEFT(D5623,7),2)=RIGHT(LEFT(' Pivot Tables'!$A$4,7),2)),1,0)</f>
        <v>0</v>
      </c>
      <c r="Y5623" s="6">
        <f>1/COUNTIF(Таблица1[Order ID],Таблица1[[#This Row],[Order ID]])</f>
        <v>0.25</v>
      </c>
      <c r="Z5623" s="9">
        <f>1/COUNTIFS(Таблица1[Customer Name],Таблица1[[#This Row],[Customer Name]],Таблица1[Order-Year-Month],Таблица1[[#This Row],[Order-Year-Month]])</f>
        <v>0.25</v>
      </c>
    </row>
    <row r="5624" spans="1:26" x14ac:dyDescent="0.2">
      <c r="A5624" s="6">
        <v>1926</v>
      </c>
      <c r="B5624" s="7">
        <v>13767</v>
      </c>
      <c r="C5624" s="8">
        <f>DATE(2012,12,31)-858</f>
        <v>40416</v>
      </c>
      <c r="D5624" s="8" t="str">
        <f t="shared" si="104"/>
        <v>2010-08 (август 2010)</v>
      </c>
      <c r="E5624" s="9" t="s">
        <v>30</v>
      </c>
      <c r="F5624" s="7">
        <v>10</v>
      </c>
      <c r="G5624" s="7">
        <v>1246.3634999999999</v>
      </c>
      <c r="H5624" s="7">
        <v>0.06</v>
      </c>
      <c r="I5624" s="9" t="s">
        <v>22</v>
      </c>
      <c r="J5624" s="10">
        <v>-339.10799999999995</v>
      </c>
      <c r="K5624" s="11">
        <v>155.99</v>
      </c>
      <c r="L5624" s="11">
        <v>8.99</v>
      </c>
      <c r="M5624" s="9" t="s">
        <v>1819</v>
      </c>
      <c r="N5624" s="6" t="s">
        <v>1905</v>
      </c>
      <c r="O5624" s="6" t="s">
        <v>673</v>
      </c>
      <c r="P5624" s="9" t="s">
        <v>41</v>
      </c>
      <c r="Q5624" s="9" t="s">
        <v>42</v>
      </c>
      <c r="R5624" s="9" t="s">
        <v>43</v>
      </c>
      <c r="S5624" s="7" t="s">
        <v>87</v>
      </c>
      <c r="T5624" s="9" t="s">
        <v>39</v>
      </c>
      <c r="U5624" s="7">
        <v>0.57999999999999996</v>
      </c>
      <c r="V5624" s="12">
        <f>C5624+1</f>
        <v>40417</v>
      </c>
      <c r="W5624">
        <f>IF(D5624=' Pivot Tables'!$A$4,1,0)</f>
        <v>0</v>
      </c>
      <c r="X5624">
        <f>IF(AND(LEFT(D5624,4)+1=LEFT(' Pivot Tables'!$A$4,4)+0,RIGHT(LEFT(D5624,7),2)=RIGHT(LEFT(' Pivot Tables'!$A$4,7),2)),1,0)</f>
        <v>0</v>
      </c>
      <c r="Y5624" s="6">
        <f>1/COUNTIF(Таблица1[Order ID],Таблица1[[#This Row],[Order ID]])</f>
        <v>0.25</v>
      </c>
      <c r="Z5624" s="9">
        <f>1/COUNTIFS(Таблица1[Customer Name],Таблица1[[#This Row],[Customer Name]],Таблица1[Order-Year-Month],Таблица1[[#This Row],[Order-Year-Month]])</f>
        <v>0.25</v>
      </c>
    </row>
    <row r="5625" spans="1:26" x14ac:dyDescent="0.2">
      <c r="A5625" s="6">
        <v>2462</v>
      </c>
      <c r="B5625" s="7">
        <v>17924</v>
      </c>
      <c r="C5625" s="8">
        <f>DATE(2012,12,31)-493</f>
        <v>40781</v>
      </c>
      <c r="D5625" s="8" t="str">
        <f t="shared" si="104"/>
        <v>2011-08 (август 2011)</v>
      </c>
      <c r="E5625" s="9" t="s">
        <v>78</v>
      </c>
      <c r="F5625" s="7">
        <v>42</v>
      </c>
      <c r="G5625" s="7">
        <v>2507.48</v>
      </c>
      <c r="H5625" s="7">
        <v>0.04</v>
      </c>
      <c r="I5625" s="9" t="s">
        <v>22</v>
      </c>
      <c r="J5625" s="10">
        <v>762.53</v>
      </c>
      <c r="K5625" s="11">
        <v>60.97</v>
      </c>
      <c r="L5625" s="11">
        <v>4.5</v>
      </c>
      <c r="M5625" s="9" t="s">
        <v>1939</v>
      </c>
      <c r="N5625" s="6" t="s">
        <v>1905</v>
      </c>
      <c r="O5625" s="6" t="s">
        <v>673</v>
      </c>
      <c r="P5625" s="9" t="s">
        <v>33</v>
      </c>
      <c r="Q5625" s="9" t="s">
        <v>26</v>
      </c>
      <c r="R5625" s="9" t="s">
        <v>34</v>
      </c>
      <c r="S5625" s="7" t="s">
        <v>1574</v>
      </c>
      <c r="T5625" s="9" t="s">
        <v>39</v>
      </c>
      <c r="U5625" s="7">
        <v>0.56000000000000005</v>
      </c>
      <c r="V5625" s="12">
        <f>C5625+0</f>
        <v>40781</v>
      </c>
      <c r="W5625">
        <f>IF(D5625=' Pivot Tables'!$A$4,1,0)</f>
        <v>0</v>
      </c>
      <c r="X5625">
        <f>IF(AND(LEFT(D5625,4)+1=LEFT(' Pivot Tables'!$A$4,4)+0,RIGHT(LEFT(D5625,7),2)=RIGHT(LEFT(' Pivot Tables'!$A$4,7),2)),1,0)</f>
        <v>0</v>
      </c>
      <c r="Y5625" s="6">
        <f>1/COUNTIF(Таблица1[Order ID],Таблица1[[#This Row],[Order ID]])</f>
        <v>1</v>
      </c>
      <c r="Z5625" s="9">
        <f>1/COUNTIFS(Таблица1[Customer Name],Таблица1[[#This Row],[Customer Name]],Таблица1[Order-Year-Month],Таблица1[[#This Row],[Order-Year-Month]])</f>
        <v>1</v>
      </c>
    </row>
    <row r="5626" spans="1:26" x14ac:dyDescent="0.2">
      <c r="A5626" s="6">
        <v>2533</v>
      </c>
      <c r="B5626" s="7">
        <v>18374</v>
      </c>
      <c r="C5626" s="8">
        <f>DATE(2012,12,31)-92</f>
        <v>41182</v>
      </c>
      <c r="D5626" s="8" t="str">
        <f t="shared" si="104"/>
        <v>2012-09 (сентябрь 2012)</v>
      </c>
      <c r="E5626" s="9" t="s">
        <v>21</v>
      </c>
      <c r="F5626" s="7">
        <v>21</v>
      </c>
      <c r="G5626" s="7">
        <v>150.16</v>
      </c>
      <c r="H5626" s="7">
        <v>0.09</v>
      </c>
      <c r="I5626" s="9" t="s">
        <v>22</v>
      </c>
      <c r="J5626" s="10">
        <v>-32.78</v>
      </c>
      <c r="K5626" s="11">
        <v>7.28</v>
      </c>
      <c r="L5626" s="11">
        <v>5.47</v>
      </c>
      <c r="M5626" s="9" t="s">
        <v>1945</v>
      </c>
      <c r="N5626" s="6" t="s">
        <v>1905</v>
      </c>
      <c r="O5626" s="6" t="s">
        <v>673</v>
      </c>
      <c r="P5626" s="9" t="s">
        <v>41</v>
      </c>
      <c r="Q5626" s="9" t="s">
        <v>26</v>
      </c>
      <c r="R5626" s="9" t="s">
        <v>61</v>
      </c>
      <c r="S5626" s="7" t="s">
        <v>1903</v>
      </c>
      <c r="T5626" s="9" t="s">
        <v>39</v>
      </c>
      <c r="U5626" s="7">
        <v>0.35</v>
      </c>
      <c r="V5626" s="12">
        <f>C5626+2</f>
        <v>41184</v>
      </c>
      <c r="W5626">
        <f>IF(D5626=' Pivot Tables'!$A$4,1,0)</f>
        <v>0</v>
      </c>
      <c r="X5626">
        <f>IF(AND(LEFT(D5626,4)+1=LEFT(' Pivot Tables'!$A$4,4)+0,RIGHT(LEFT(D5626,7),2)=RIGHT(LEFT(' Pivot Tables'!$A$4,7),2)),1,0)</f>
        <v>0</v>
      </c>
      <c r="Y5626" s="6">
        <f>1/COUNTIF(Таблица1[Order ID],Таблица1[[#This Row],[Order ID]])</f>
        <v>1</v>
      </c>
      <c r="Z5626" s="9">
        <f>1/COUNTIFS(Таблица1[Customer Name],Таблица1[[#This Row],[Customer Name]],Таблица1[Order-Year-Month],Таблица1[[#This Row],[Order-Year-Month]])</f>
        <v>1</v>
      </c>
    </row>
    <row r="5627" spans="1:26" x14ac:dyDescent="0.2">
      <c r="A5627" s="6">
        <v>2750</v>
      </c>
      <c r="B5627" s="7">
        <v>19841</v>
      </c>
      <c r="C5627" s="8">
        <f>DATE(2012,12,31)-736</f>
        <v>40538</v>
      </c>
      <c r="D5627" s="8" t="str">
        <f t="shared" si="104"/>
        <v>2010-12 (декабрь 2010)</v>
      </c>
      <c r="E5627" s="9" t="s">
        <v>21</v>
      </c>
      <c r="F5627" s="7">
        <v>43</v>
      </c>
      <c r="G5627" s="7">
        <v>4687.6734999999999</v>
      </c>
      <c r="H5627" s="7">
        <v>0.06</v>
      </c>
      <c r="I5627" s="9" t="s">
        <v>56</v>
      </c>
      <c r="J5627" s="10">
        <v>1304.559</v>
      </c>
      <c r="K5627" s="11">
        <v>125.99</v>
      </c>
      <c r="L5627" s="11">
        <v>8.08</v>
      </c>
      <c r="M5627" s="9" t="s">
        <v>1628</v>
      </c>
      <c r="N5627" s="6" t="s">
        <v>1905</v>
      </c>
      <c r="O5627" s="6" t="s">
        <v>673</v>
      </c>
      <c r="P5627" s="9" t="s">
        <v>41</v>
      </c>
      <c r="Q5627" s="9" t="s">
        <v>42</v>
      </c>
      <c r="R5627" s="9" t="s">
        <v>43</v>
      </c>
      <c r="S5627" s="7" t="s">
        <v>586</v>
      </c>
      <c r="T5627" s="9" t="s">
        <v>39</v>
      </c>
      <c r="U5627" s="7">
        <v>0.56999999999999995</v>
      </c>
      <c r="V5627" s="12">
        <f>C5627+19</f>
        <v>40557</v>
      </c>
      <c r="W5627">
        <f>IF(D5627=' Pivot Tables'!$A$4,1,0)</f>
        <v>0</v>
      </c>
      <c r="X5627">
        <f>IF(AND(LEFT(D5627,4)+1=LEFT(' Pivot Tables'!$A$4,4)+0,RIGHT(LEFT(D5627,7),2)=RIGHT(LEFT(' Pivot Tables'!$A$4,7),2)),1,0)</f>
        <v>0</v>
      </c>
      <c r="Y5627" s="6">
        <f>1/COUNTIF(Таблица1[Order ID],Таблица1[[#This Row],[Order ID]])</f>
        <v>0.33333333333333331</v>
      </c>
      <c r="Z5627" s="9">
        <f>1/COUNTIFS(Таблица1[Customer Name],Таблица1[[#This Row],[Customer Name]],Таблица1[Order-Year-Month],Таблица1[[#This Row],[Order-Year-Month]])</f>
        <v>0.33333333333333331</v>
      </c>
    </row>
    <row r="5628" spans="1:26" x14ac:dyDescent="0.2">
      <c r="A5628" s="6">
        <v>2953</v>
      </c>
      <c r="B5628" s="7">
        <v>21382</v>
      </c>
      <c r="C5628" s="8">
        <f>DATE(2012,12,31)-354</f>
        <v>40920</v>
      </c>
      <c r="D5628" s="8" t="str">
        <f t="shared" si="104"/>
        <v>2012-01 (январь 2012)</v>
      </c>
      <c r="E5628" s="9" t="s">
        <v>78</v>
      </c>
      <c r="F5628" s="7">
        <v>21</v>
      </c>
      <c r="G5628" s="7">
        <v>6435.87</v>
      </c>
      <c r="H5628" s="7">
        <v>0.04</v>
      </c>
      <c r="I5628" s="9" t="s">
        <v>31</v>
      </c>
      <c r="J5628" s="10">
        <v>935.06</v>
      </c>
      <c r="K5628" s="11">
        <v>300.98</v>
      </c>
      <c r="L5628" s="11">
        <v>64.73</v>
      </c>
      <c r="M5628" s="9" t="s">
        <v>1329</v>
      </c>
      <c r="N5628" s="6" t="s">
        <v>1905</v>
      </c>
      <c r="O5628" s="6" t="s">
        <v>673</v>
      </c>
      <c r="P5628" s="9" t="s">
        <v>41</v>
      </c>
      <c r="Q5628" s="9" t="s">
        <v>49</v>
      </c>
      <c r="R5628" s="9" t="s">
        <v>112</v>
      </c>
      <c r="S5628" s="7" t="s">
        <v>168</v>
      </c>
      <c r="T5628" s="9" t="s">
        <v>36</v>
      </c>
      <c r="U5628" s="7">
        <v>0.56000000000000005</v>
      </c>
      <c r="V5628" s="12">
        <f>C5628+2</f>
        <v>40922</v>
      </c>
      <c r="W5628">
        <f>IF(D5628=' Pivot Tables'!$A$4,1,0)</f>
        <v>0</v>
      </c>
      <c r="X5628">
        <f>IF(AND(LEFT(D5628,4)+1=LEFT(' Pivot Tables'!$A$4,4)+0,RIGHT(LEFT(D5628,7),2)=RIGHT(LEFT(' Pivot Tables'!$A$4,7),2)),1,0)</f>
        <v>0</v>
      </c>
      <c r="Y5628" s="6">
        <f>1/COUNTIF(Таблица1[Order ID],Таблица1[[#This Row],[Order ID]])</f>
        <v>0.33333333333333331</v>
      </c>
      <c r="Z5628" s="9">
        <f>1/COUNTIFS(Таблица1[Customer Name],Таблица1[[#This Row],[Customer Name]],Таблица1[Order-Year-Month],Таблица1[[#This Row],[Order-Year-Month]])</f>
        <v>0.33333333333333331</v>
      </c>
    </row>
    <row r="5629" spans="1:26" x14ac:dyDescent="0.2">
      <c r="A5629" s="6">
        <v>2954</v>
      </c>
      <c r="B5629" s="7">
        <v>21382</v>
      </c>
      <c r="C5629" s="8">
        <f>DATE(2012,12,31)-354</f>
        <v>40920</v>
      </c>
      <c r="D5629" s="8" t="str">
        <f t="shared" si="104"/>
        <v>2012-01 (январь 2012)</v>
      </c>
      <c r="E5629" s="9" t="s">
        <v>78</v>
      </c>
      <c r="F5629" s="7">
        <v>11</v>
      </c>
      <c r="G5629" s="7">
        <v>312.02999999999997</v>
      </c>
      <c r="H5629" s="7">
        <v>0.08</v>
      </c>
      <c r="I5629" s="9" t="s">
        <v>22</v>
      </c>
      <c r="J5629" s="10">
        <v>-66.66</v>
      </c>
      <c r="K5629" s="11">
        <v>29.99</v>
      </c>
      <c r="L5629" s="11">
        <v>5.5</v>
      </c>
      <c r="M5629" s="9" t="s">
        <v>1329</v>
      </c>
      <c r="N5629" s="6" t="s">
        <v>1905</v>
      </c>
      <c r="O5629" s="6" t="s">
        <v>673</v>
      </c>
      <c r="P5629" s="9" t="s">
        <v>41</v>
      </c>
      <c r="Q5629" s="9" t="s">
        <v>42</v>
      </c>
      <c r="R5629" s="9" t="s">
        <v>70</v>
      </c>
      <c r="S5629" s="7" t="s">
        <v>1177</v>
      </c>
      <c r="T5629" s="9" t="s">
        <v>39</v>
      </c>
      <c r="U5629" s="7">
        <v>0.51</v>
      </c>
      <c r="V5629" s="12">
        <f>C5629+2</f>
        <v>40922</v>
      </c>
      <c r="W5629">
        <f>IF(D5629=' Pivot Tables'!$A$4,1,0)</f>
        <v>0</v>
      </c>
      <c r="X5629">
        <f>IF(AND(LEFT(D5629,4)+1=LEFT(' Pivot Tables'!$A$4,4)+0,RIGHT(LEFT(D5629,7),2)=RIGHT(LEFT(' Pivot Tables'!$A$4,7),2)),1,0)</f>
        <v>0</v>
      </c>
      <c r="Y5629" s="6">
        <f>1/COUNTIF(Таблица1[Order ID],Таблица1[[#This Row],[Order ID]])</f>
        <v>0.33333333333333331</v>
      </c>
      <c r="Z5629" s="9">
        <f>1/COUNTIFS(Таблица1[Customer Name],Таблица1[[#This Row],[Customer Name]],Таблица1[Order-Year-Month],Таблица1[[#This Row],[Order-Year-Month]])</f>
        <v>0.33333333333333331</v>
      </c>
    </row>
    <row r="5630" spans="1:26" x14ac:dyDescent="0.2">
      <c r="A5630" s="6">
        <v>3007</v>
      </c>
      <c r="B5630" s="7">
        <v>21638</v>
      </c>
      <c r="C5630" s="8">
        <f>DATE(2012,12,31)-259</f>
        <v>41015</v>
      </c>
      <c r="D5630" s="8" t="str">
        <f t="shared" si="104"/>
        <v>2012-04 (апрель 2012)</v>
      </c>
      <c r="E5630" s="9" t="s">
        <v>30</v>
      </c>
      <c r="F5630" s="7">
        <v>13</v>
      </c>
      <c r="G5630" s="7">
        <v>418.93</v>
      </c>
      <c r="H5630" s="7">
        <v>0.03</v>
      </c>
      <c r="I5630" s="9" t="s">
        <v>22</v>
      </c>
      <c r="J5630" s="10">
        <v>82.25</v>
      </c>
      <c r="K5630" s="11">
        <v>30.98</v>
      </c>
      <c r="L5630" s="11">
        <v>8.74</v>
      </c>
      <c r="M5630" s="9" t="s">
        <v>1942</v>
      </c>
      <c r="N5630" s="6" t="s">
        <v>1905</v>
      </c>
      <c r="O5630" s="6" t="s">
        <v>673</v>
      </c>
      <c r="P5630" s="9" t="s">
        <v>25</v>
      </c>
      <c r="Q5630" s="9" t="s">
        <v>26</v>
      </c>
      <c r="R5630" s="9" t="s">
        <v>61</v>
      </c>
      <c r="S5630" s="7" t="s">
        <v>932</v>
      </c>
      <c r="T5630" s="9" t="s">
        <v>39</v>
      </c>
      <c r="U5630" s="7">
        <v>0.4</v>
      </c>
      <c r="V5630" s="12">
        <f>C5630+1</f>
        <v>41016</v>
      </c>
      <c r="W5630">
        <f>IF(D5630=' Pivot Tables'!$A$4,1,0)</f>
        <v>0</v>
      </c>
      <c r="X5630">
        <f>IF(AND(LEFT(D5630,4)+1=LEFT(' Pivot Tables'!$A$4,4)+0,RIGHT(LEFT(D5630,7),2)=RIGHT(LEFT(' Pivot Tables'!$A$4,7),2)),1,0)</f>
        <v>0</v>
      </c>
      <c r="Y5630" s="6">
        <f>1/COUNTIF(Таблица1[Order ID],Таблица1[[#This Row],[Order ID]])</f>
        <v>1</v>
      </c>
      <c r="Z5630" s="9">
        <f>1/COUNTIFS(Таблица1[Customer Name],Таблица1[[#This Row],[Customer Name]],Таблица1[Order-Year-Month],Таблица1[[#This Row],[Order-Year-Month]])</f>
        <v>1</v>
      </c>
    </row>
    <row r="5631" spans="1:26" x14ac:dyDescent="0.2">
      <c r="A5631" s="6">
        <v>3120</v>
      </c>
      <c r="B5631" s="7">
        <v>22407</v>
      </c>
      <c r="C5631" s="8">
        <f>DATE(2012,12,31)-1140</f>
        <v>40134</v>
      </c>
      <c r="D5631" s="8" t="str">
        <f t="shared" si="104"/>
        <v>2009-11 (ноябрь 2009)</v>
      </c>
      <c r="E5631" s="9" t="s">
        <v>45</v>
      </c>
      <c r="F5631" s="7">
        <v>20</v>
      </c>
      <c r="G5631" s="7">
        <v>676.44</v>
      </c>
      <c r="H5631" s="7">
        <v>7.0000000000000007E-2</v>
      </c>
      <c r="I5631" s="9" t="s">
        <v>22</v>
      </c>
      <c r="J5631" s="10">
        <v>48.756</v>
      </c>
      <c r="K5631" s="11">
        <v>34.54</v>
      </c>
      <c r="L5631" s="11">
        <v>14.72</v>
      </c>
      <c r="M5631" s="9" t="s">
        <v>1937</v>
      </c>
      <c r="N5631" s="6" t="s">
        <v>1905</v>
      </c>
      <c r="O5631" s="6" t="s">
        <v>673</v>
      </c>
      <c r="P5631" s="9" t="s">
        <v>41</v>
      </c>
      <c r="Q5631" s="9" t="s">
        <v>26</v>
      </c>
      <c r="R5631" s="9" t="s">
        <v>37</v>
      </c>
      <c r="S5631" s="7" t="s">
        <v>229</v>
      </c>
      <c r="T5631" s="9" t="s">
        <v>39</v>
      </c>
      <c r="U5631" s="7">
        <v>0.37</v>
      </c>
      <c r="V5631" s="12">
        <f>C5631+1</f>
        <v>40135</v>
      </c>
      <c r="W5631">
        <f>IF(D5631=' Pivot Tables'!$A$4,1,0)</f>
        <v>0</v>
      </c>
      <c r="X5631">
        <f>IF(AND(LEFT(D5631,4)+1=LEFT(' Pivot Tables'!$A$4,4)+0,RIGHT(LEFT(D5631,7),2)=RIGHT(LEFT(' Pivot Tables'!$A$4,7),2)),1,0)</f>
        <v>0</v>
      </c>
      <c r="Y5631" s="6">
        <f>1/COUNTIF(Таблица1[Order ID],Таблица1[[#This Row],[Order ID]])</f>
        <v>0.33333333333333331</v>
      </c>
      <c r="Z5631" s="9">
        <f>1/COUNTIFS(Таблица1[Customer Name],Таблица1[[#This Row],[Customer Name]],Таблица1[Order-Year-Month],Таблица1[[#This Row],[Order-Year-Month]])</f>
        <v>0.33333333333333331</v>
      </c>
    </row>
    <row r="5632" spans="1:26" x14ac:dyDescent="0.2">
      <c r="A5632" s="6">
        <v>3121</v>
      </c>
      <c r="B5632" s="7">
        <v>22407</v>
      </c>
      <c r="C5632" s="8">
        <f>DATE(2012,12,31)-1140</f>
        <v>40134</v>
      </c>
      <c r="D5632" s="8" t="str">
        <f t="shared" si="104"/>
        <v>2009-11 (ноябрь 2009)</v>
      </c>
      <c r="E5632" s="9" t="s">
        <v>45</v>
      </c>
      <c r="F5632" s="7">
        <v>10</v>
      </c>
      <c r="G5632" s="7">
        <v>128.02000000000001</v>
      </c>
      <c r="H5632" s="7">
        <v>0.02</v>
      </c>
      <c r="I5632" s="9" t="s">
        <v>22</v>
      </c>
      <c r="J5632" s="10">
        <v>-7.9</v>
      </c>
      <c r="K5632" s="11">
        <v>12.28</v>
      </c>
      <c r="L5632" s="11">
        <v>6.47</v>
      </c>
      <c r="M5632" s="9" t="s">
        <v>1937</v>
      </c>
      <c r="N5632" s="6" t="s">
        <v>1905</v>
      </c>
      <c r="O5632" s="6" t="s">
        <v>673</v>
      </c>
      <c r="P5632" s="9" t="s">
        <v>41</v>
      </c>
      <c r="Q5632" s="9" t="s">
        <v>26</v>
      </c>
      <c r="R5632" s="9" t="s">
        <v>61</v>
      </c>
      <c r="S5632" s="7" t="s">
        <v>131</v>
      </c>
      <c r="T5632" s="9" t="s">
        <v>39</v>
      </c>
      <c r="U5632" s="7">
        <v>0.38</v>
      </c>
      <c r="V5632" s="12">
        <f>C5632+0</f>
        <v>40134</v>
      </c>
      <c r="W5632">
        <f>IF(D5632=' Pivot Tables'!$A$4,1,0)</f>
        <v>0</v>
      </c>
      <c r="X5632">
        <f>IF(AND(LEFT(D5632,4)+1=LEFT(' Pivot Tables'!$A$4,4)+0,RIGHT(LEFT(D5632,7),2)=RIGHT(LEFT(' Pivot Tables'!$A$4,7),2)),1,0)</f>
        <v>0</v>
      </c>
      <c r="Y5632" s="6">
        <f>1/COUNTIF(Таблица1[Order ID],Таблица1[[#This Row],[Order ID]])</f>
        <v>0.33333333333333331</v>
      </c>
      <c r="Z5632" s="9">
        <f>1/COUNTIFS(Таблица1[Customer Name],Таблица1[[#This Row],[Customer Name]],Таблица1[Order-Year-Month],Таблица1[[#This Row],[Order-Year-Month]])</f>
        <v>0.33333333333333331</v>
      </c>
    </row>
    <row r="5633" spans="1:26" x14ac:dyDescent="0.2">
      <c r="A5633" s="6">
        <v>3122</v>
      </c>
      <c r="B5633" s="7">
        <v>22407</v>
      </c>
      <c r="C5633" s="8">
        <f>DATE(2012,12,31)-1140</f>
        <v>40134</v>
      </c>
      <c r="D5633" s="8" t="str">
        <f t="shared" si="104"/>
        <v>2009-11 (ноябрь 2009)</v>
      </c>
      <c r="E5633" s="9" t="s">
        <v>45</v>
      </c>
      <c r="F5633" s="7">
        <v>15</v>
      </c>
      <c r="G5633" s="7">
        <v>526.82000000000005</v>
      </c>
      <c r="H5633" s="7">
        <v>0.06</v>
      </c>
      <c r="I5633" s="9" t="s">
        <v>56</v>
      </c>
      <c r="J5633" s="10">
        <v>32.340000000000003</v>
      </c>
      <c r="K5633" s="11">
        <v>34.58</v>
      </c>
      <c r="L5633" s="11">
        <v>8.99</v>
      </c>
      <c r="M5633" s="9" t="s">
        <v>1937</v>
      </c>
      <c r="N5633" s="6" t="s">
        <v>1905</v>
      </c>
      <c r="O5633" s="6" t="s">
        <v>673</v>
      </c>
      <c r="P5633" s="9" t="s">
        <v>41</v>
      </c>
      <c r="Q5633" s="9" t="s">
        <v>26</v>
      </c>
      <c r="R5633" s="9" t="s">
        <v>95</v>
      </c>
      <c r="S5633" s="7" t="s">
        <v>713</v>
      </c>
      <c r="T5633" s="9" t="s">
        <v>52</v>
      </c>
      <c r="U5633" s="7">
        <v>0.56000000000000005</v>
      </c>
      <c r="V5633" s="12">
        <f>C5633+2</f>
        <v>40136</v>
      </c>
      <c r="W5633">
        <f>IF(D5633=' Pivot Tables'!$A$4,1,0)</f>
        <v>0</v>
      </c>
      <c r="X5633">
        <f>IF(AND(LEFT(D5633,4)+1=LEFT(' Pivot Tables'!$A$4,4)+0,RIGHT(LEFT(D5633,7),2)=RIGHT(LEFT(' Pivot Tables'!$A$4,7),2)),1,0)</f>
        <v>0</v>
      </c>
      <c r="Y5633" s="6">
        <f>1/COUNTIF(Таблица1[Order ID],Таблица1[[#This Row],[Order ID]])</f>
        <v>0.33333333333333331</v>
      </c>
      <c r="Z5633" s="9">
        <f>1/COUNTIFS(Таблица1[Customer Name],Таблица1[[#This Row],[Customer Name]],Таблица1[Order-Year-Month],Таблица1[[#This Row],[Order-Year-Month]])</f>
        <v>0.33333333333333331</v>
      </c>
    </row>
    <row r="5634" spans="1:26" x14ac:dyDescent="0.2">
      <c r="A5634" s="6">
        <v>3548</v>
      </c>
      <c r="B5634" s="7">
        <v>25314</v>
      </c>
      <c r="C5634" s="8">
        <f>DATE(2012,12,31)-311</f>
        <v>40963</v>
      </c>
      <c r="D5634" s="8" t="str">
        <f t="shared" si="104"/>
        <v>2012-02 (февраль 2012)</v>
      </c>
      <c r="E5634" s="9" t="s">
        <v>30</v>
      </c>
      <c r="F5634" s="7">
        <v>43</v>
      </c>
      <c r="G5634" s="7">
        <v>7679.5119999999988</v>
      </c>
      <c r="H5634" s="7">
        <v>0</v>
      </c>
      <c r="I5634" s="9" t="s">
        <v>22</v>
      </c>
      <c r="J5634" s="10">
        <v>2307.42</v>
      </c>
      <c r="K5634" s="11">
        <v>205.99</v>
      </c>
      <c r="L5634" s="11">
        <v>5</v>
      </c>
      <c r="M5634" s="9" t="s">
        <v>1945</v>
      </c>
      <c r="N5634" s="6" t="s">
        <v>1905</v>
      </c>
      <c r="O5634" s="6" t="s">
        <v>673</v>
      </c>
      <c r="P5634" s="9" t="s">
        <v>41</v>
      </c>
      <c r="Q5634" s="9" t="s">
        <v>42</v>
      </c>
      <c r="R5634" s="9" t="s">
        <v>43</v>
      </c>
      <c r="S5634" s="7" t="s">
        <v>1318</v>
      </c>
      <c r="T5634" s="9" t="s">
        <v>39</v>
      </c>
      <c r="U5634" s="7">
        <v>0.59</v>
      </c>
      <c r="V5634" s="12">
        <f>C5634+2</f>
        <v>40965</v>
      </c>
      <c r="W5634">
        <f>IF(D5634=' Pivot Tables'!$A$4,1,0)</f>
        <v>0</v>
      </c>
      <c r="X5634">
        <f>IF(AND(LEFT(D5634,4)+1=LEFT(' Pivot Tables'!$A$4,4)+0,RIGHT(LEFT(D5634,7),2)=RIGHT(LEFT(' Pivot Tables'!$A$4,7),2)),1,0)</f>
        <v>0</v>
      </c>
      <c r="Y5634" s="6">
        <f>1/COUNTIF(Таблица1[Order ID],Таблица1[[#This Row],[Order ID]])</f>
        <v>1</v>
      </c>
      <c r="Z5634" s="9">
        <f>1/COUNTIFS(Таблица1[Customer Name],Таблица1[[#This Row],[Customer Name]],Таблица1[Order-Year-Month],Таблица1[[#This Row],[Order-Year-Month]])</f>
        <v>0.2</v>
      </c>
    </row>
    <row r="5635" spans="1:26" x14ac:dyDescent="0.2">
      <c r="A5635" s="6">
        <v>3586</v>
      </c>
      <c r="B5635" s="7">
        <v>25574</v>
      </c>
      <c r="C5635" s="8">
        <f>DATE(2012,12,31)-1390</f>
        <v>39884</v>
      </c>
      <c r="D5635" s="8" t="str">
        <f t="shared" ref="D5635:D5698" si="105">TEXT(C5635,"гггг-ММ (ММММ гггг)")</f>
        <v>2009-03 (март 2009)</v>
      </c>
      <c r="E5635" s="9" t="s">
        <v>45</v>
      </c>
      <c r="F5635" s="7">
        <v>46</v>
      </c>
      <c r="G5635" s="7">
        <v>5074.07</v>
      </c>
      <c r="H5635" s="7">
        <v>0</v>
      </c>
      <c r="I5635" s="9" t="s">
        <v>31</v>
      </c>
      <c r="J5635" s="10">
        <v>-1390.53</v>
      </c>
      <c r="K5635" s="11">
        <v>100.98</v>
      </c>
      <c r="L5635" s="11">
        <v>57.38</v>
      </c>
      <c r="M5635" s="9" t="s">
        <v>1152</v>
      </c>
      <c r="N5635" s="6" t="s">
        <v>1905</v>
      </c>
      <c r="O5635" s="6" t="s">
        <v>673</v>
      </c>
      <c r="P5635" s="9" t="s">
        <v>33</v>
      </c>
      <c r="Q5635" s="9" t="s">
        <v>49</v>
      </c>
      <c r="R5635" s="9" t="s">
        <v>80</v>
      </c>
      <c r="S5635" s="7" t="s">
        <v>162</v>
      </c>
      <c r="T5635" s="9" t="s">
        <v>82</v>
      </c>
      <c r="U5635" s="7">
        <v>0.78</v>
      </c>
      <c r="V5635" s="12">
        <f>C5635+0</f>
        <v>39884</v>
      </c>
      <c r="W5635">
        <f>IF(D5635=' Pivot Tables'!$A$4,1,0)</f>
        <v>0</v>
      </c>
      <c r="X5635">
        <f>IF(AND(LEFT(D5635,4)+1=LEFT(' Pivot Tables'!$A$4,4)+0,RIGHT(LEFT(D5635,7),2)=RIGHT(LEFT(' Pivot Tables'!$A$4,7),2)),1,0)</f>
        <v>0</v>
      </c>
      <c r="Y5635" s="6">
        <f>1/COUNTIF(Таблица1[Order ID],Таблица1[[#This Row],[Order ID]])</f>
        <v>0.5</v>
      </c>
      <c r="Z5635" s="9">
        <f>1/COUNTIFS(Таблица1[Customer Name],Таблица1[[#This Row],[Customer Name]],Таблица1[Order-Year-Month],Таблица1[[#This Row],[Order-Year-Month]])</f>
        <v>0.5</v>
      </c>
    </row>
    <row r="5636" spans="1:26" x14ac:dyDescent="0.2">
      <c r="A5636" s="6">
        <v>3587</v>
      </c>
      <c r="B5636" s="7">
        <v>25574</v>
      </c>
      <c r="C5636" s="8">
        <f>DATE(2012,12,31)-1390</f>
        <v>39884</v>
      </c>
      <c r="D5636" s="8" t="str">
        <f t="shared" si="105"/>
        <v>2009-03 (март 2009)</v>
      </c>
      <c r="E5636" s="9" t="s">
        <v>45</v>
      </c>
      <c r="F5636" s="7">
        <v>31</v>
      </c>
      <c r="G5636" s="7">
        <v>1526.67</v>
      </c>
      <c r="H5636" s="7">
        <v>0.01</v>
      </c>
      <c r="I5636" s="9" t="s">
        <v>56</v>
      </c>
      <c r="J5636" s="10">
        <v>118.82</v>
      </c>
      <c r="K5636" s="11">
        <v>47.98</v>
      </c>
      <c r="L5636" s="11">
        <v>3.61</v>
      </c>
      <c r="M5636" s="9" t="s">
        <v>1152</v>
      </c>
      <c r="N5636" s="6" t="s">
        <v>1905</v>
      </c>
      <c r="O5636" s="6" t="s">
        <v>673</v>
      </c>
      <c r="P5636" s="9" t="s">
        <v>33</v>
      </c>
      <c r="Q5636" s="9" t="s">
        <v>42</v>
      </c>
      <c r="R5636" s="9" t="s">
        <v>70</v>
      </c>
      <c r="S5636" s="7" t="s">
        <v>71</v>
      </c>
      <c r="T5636" s="9" t="s">
        <v>52</v>
      </c>
      <c r="U5636" s="7">
        <v>0.71</v>
      </c>
      <c r="V5636" s="12">
        <f>C5636+1</f>
        <v>39885</v>
      </c>
      <c r="W5636">
        <f>IF(D5636=' Pivot Tables'!$A$4,1,0)</f>
        <v>0</v>
      </c>
      <c r="X5636">
        <f>IF(AND(LEFT(D5636,4)+1=LEFT(' Pivot Tables'!$A$4,4)+0,RIGHT(LEFT(D5636,7),2)=RIGHT(LEFT(' Pivot Tables'!$A$4,7),2)),1,0)</f>
        <v>0</v>
      </c>
      <c r="Y5636" s="6">
        <f>1/COUNTIF(Таблица1[Order ID],Таблица1[[#This Row],[Order ID]])</f>
        <v>0.5</v>
      </c>
      <c r="Z5636" s="9">
        <f>1/COUNTIFS(Таблица1[Customer Name],Таблица1[[#This Row],[Customer Name]],Таблица1[Order-Year-Month],Таблица1[[#This Row],[Order-Year-Month]])</f>
        <v>0.5</v>
      </c>
    </row>
    <row r="5637" spans="1:26" x14ac:dyDescent="0.2">
      <c r="A5637" s="6">
        <v>3678</v>
      </c>
      <c r="B5637" s="7">
        <v>26310</v>
      </c>
      <c r="C5637" s="8">
        <f>DATE(2012,12,31)-155</f>
        <v>41119</v>
      </c>
      <c r="D5637" s="8" t="str">
        <f t="shared" si="105"/>
        <v>2012-07 (июль 2012)</v>
      </c>
      <c r="E5637" s="9" t="s">
        <v>45</v>
      </c>
      <c r="F5637" s="7">
        <v>5</v>
      </c>
      <c r="G5637" s="7">
        <v>77.41</v>
      </c>
      <c r="H5637" s="7">
        <v>0.05</v>
      </c>
      <c r="I5637" s="9" t="s">
        <v>22</v>
      </c>
      <c r="J5637" s="10">
        <v>9.35</v>
      </c>
      <c r="K5637" s="11">
        <v>15.67</v>
      </c>
      <c r="L5637" s="11">
        <v>1.39</v>
      </c>
      <c r="M5637" s="9" t="s">
        <v>1940</v>
      </c>
      <c r="N5637" s="6" t="s">
        <v>1905</v>
      </c>
      <c r="O5637" s="6" t="s">
        <v>673</v>
      </c>
      <c r="P5637" s="9" t="s">
        <v>41</v>
      </c>
      <c r="Q5637" s="9" t="s">
        <v>26</v>
      </c>
      <c r="R5637" s="9" t="s">
        <v>76</v>
      </c>
      <c r="S5637" s="7" t="s">
        <v>165</v>
      </c>
      <c r="T5637" s="9" t="s">
        <v>39</v>
      </c>
      <c r="U5637" s="7">
        <v>0.38</v>
      </c>
      <c r="V5637" s="12">
        <f>C5637+2</f>
        <v>41121</v>
      </c>
      <c r="W5637">
        <f>IF(D5637=' Pivot Tables'!$A$4,1,0)</f>
        <v>0</v>
      </c>
      <c r="X5637">
        <f>IF(AND(LEFT(D5637,4)+1=LEFT(' Pivot Tables'!$A$4,4)+0,RIGHT(LEFT(D5637,7),2)=RIGHT(LEFT(' Pivot Tables'!$A$4,7),2)),1,0)</f>
        <v>0</v>
      </c>
      <c r="Y5637" s="6">
        <f>1/COUNTIF(Таблица1[Order ID],Таблица1[[#This Row],[Order ID]])</f>
        <v>0.5</v>
      </c>
      <c r="Z5637" s="9">
        <f>1/COUNTIFS(Таблица1[Customer Name],Таблица1[[#This Row],[Customer Name]],Таблица1[Order-Year-Month],Таблица1[[#This Row],[Order-Year-Month]])</f>
        <v>0.25</v>
      </c>
    </row>
    <row r="5638" spans="1:26" x14ac:dyDescent="0.2">
      <c r="A5638" s="6">
        <v>3679</v>
      </c>
      <c r="B5638" s="7">
        <v>26310</v>
      </c>
      <c r="C5638" s="8">
        <f>DATE(2012,12,31)-155</f>
        <v>41119</v>
      </c>
      <c r="D5638" s="8" t="str">
        <f t="shared" si="105"/>
        <v>2012-07 (июль 2012)</v>
      </c>
      <c r="E5638" s="9" t="s">
        <v>45</v>
      </c>
      <c r="F5638" s="7">
        <v>19</v>
      </c>
      <c r="G5638" s="7">
        <v>112.67</v>
      </c>
      <c r="H5638" s="7">
        <v>0.09</v>
      </c>
      <c r="I5638" s="9" t="s">
        <v>22</v>
      </c>
      <c r="J5638" s="10">
        <v>-37.85</v>
      </c>
      <c r="K5638" s="11">
        <v>5.98</v>
      </c>
      <c r="L5638" s="11">
        <v>5.14</v>
      </c>
      <c r="M5638" s="9" t="s">
        <v>1940</v>
      </c>
      <c r="N5638" s="6" t="s">
        <v>1905</v>
      </c>
      <c r="O5638" s="6" t="s">
        <v>673</v>
      </c>
      <c r="P5638" s="9" t="s">
        <v>41</v>
      </c>
      <c r="Q5638" s="9" t="s">
        <v>26</v>
      </c>
      <c r="R5638" s="9" t="s">
        <v>61</v>
      </c>
      <c r="S5638" s="7" t="s">
        <v>972</v>
      </c>
      <c r="T5638" s="9" t="s">
        <v>39</v>
      </c>
      <c r="U5638" s="7">
        <v>0.36</v>
      </c>
      <c r="V5638" s="12">
        <f>C5638+1</f>
        <v>41120</v>
      </c>
      <c r="W5638">
        <f>IF(D5638=' Pivot Tables'!$A$4,1,0)</f>
        <v>0</v>
      </c>
      <c r="X5638">
        <f>IF(AND(LEFT(D5638,4)+1=LEFT(' Pivot Tables'!$A$4,4)+0,RIGHT(LEFT(D5638,7),2)=RIGHT(LEFT(' Pivot Tables'!$A$4,7),2)),1,0)</f>
        <v>0</v>
      </c>
      <c r="Y5638" s="6">
        <f>1/COUNTIF(Таблица1[Order ID],Таблица1[[#This Row],[Order ID]])</f>
        <v>0.5</v>
      </c>
      <c r="Z5638" s="9">
        <f>1/COUNTIFS(Таблица1[Customer Name],Таблица1[[#This Row],[Customer Name]],Таблица1[Order-Year-Month],Таблица1[[#This Row],[Order-Year-Month]])</f>
        <v>0.25</v>
      </c>
    </row>
    <row r="5639" spans="1:26" x14ac:dyDescent="0.2">
      <c r="A5639" s="6">
        <v>3870</v>
      </c>
      <c r="B5639" s="7">
        <v>27616</v>
      </c>
      <c r="C5639" s="8">
        <f>DATE(2012,12,31)-154</f>
        <v>41120</v>
      </c>
      <c r="D5639" s="8" t="str">
        <f t="shared" si="105"/>
        <v>2012-07 (июль 2012)</v>
      </c>
      <c r="E5639" s="9" t="s">
        <v>21</v>
      </c>
      <c r="F5639" s="7">
        <v>3</v>
      </c>
      <c r="G5639" s="7">
        <v>614.14</v>
      </c>
      <c r="H5639" s="7">
        <v>0.09</v>
      </c>
      <c r="I5639" s="9" t="s">
        <v>22</v>
      </c>
      <c r="J5639" s="10">
        <v>-735.27</v>
      </c>
      <c r="K5639" s="11">
        <v>199.99</v>
      </c>
      <c r="L5639" s="11">
        <v>24.49</v>
      </c>
      <c r="M5639" s="9" t="s">
        <v>1944</v>
      </c>
      <c r="N5639" s="6" t="s">
        <v>1905</v>
      </c>
      <c r="O5639" s="6" t="s">
        <v>673</v>
      </c>
      <c r="P5639" s="9" t="s">
        <v>60</v>
      </c>
      <c r="Q5639" s="9" t="s">
        <v>42</v>
      </c>
      <c r="R5639" s="9" t="s">
        <v>99</v>
      </c>
      <c r="S5639" s="7" t="s">
        <v>619</v>
      </c>
      <c r="T5639" s="9" t="s">
        <v>29</v>
      </c>
      <c r="U5639" s="7">
        <v>0.46</v>
      </c>
      <c r="V5639" s="12">
        <f>C5639+2</f>
        <v>41122</v>
      </c>
      <c r="W5639">
        <f>IF(D5639=' Pivot Tables'!$A$4,1,0)</f>
        <v>0</v>
      </c>
      <c r="X5639">
        <f>IF(AND(LEFT(D5639,4)+1=LEFT(' Pivot Tables'!$A$4,4)+0,RIGHT(LEFT(D5639,7),2)=RIGHT(LEFT(' Pivot Tables'!$A$4,7),2)),1,0)</f>
        <v>0</v>
      </c>
      <c r="Y5639" s="6">
        <f>1/COUNTIF(Таблица1[Order ID],Таблица1[[#This Row],[Order ID]])</f>
        <v>1</v>
      </c>
      <c r="Z5639" s="9">
        <f>1/COUNTIFS(Таблица1[Customer Name],Таблица1[[#This Row],[Customer Name]],Таблица1[Order-Year-Month],Таблица1[[#This Row],[Order-Year-Month]])</f>
        <v>1</v>
      </c>
    </row>
    <row r="5640" spans="1:26" x14ac:dyDescent="0.2">
      <c r="A5640" s="6">
        <v>4169</v>
      </c>
      <c r="B5640" s="7">
        <v>29539</v>
      </c>
      <c r="C5640" s="8">
        <f>DATE(2012,12,31)-618</f>
        <v>40656</v>
      </c>
      <c r="D5640" s="8" t="str">
        <f t="shared" si="105"/>
        <v>2011-04 (апрель 2011)</v>
      </c>
      <c r="E5640" s="9" t="s">
        <v>30</v>
      </c>
      <c r="F5640" s="7">
        <v>24</v>
      </c>
      <c r="G5640" s="7">
        <v>223.2</v>
      </c>
      <c r="H5640" s="7">
        <v>0.1</v>
      </c>
      <c r="I5640" s="9" t="s">
        <v>22</v>
      </c>
      <c r="J5640" s="10">
        <v>78.739999999999995</v>
      </c>
      <c r="K5640" s="11">
        <v>9.7799999999999994</v>
      </c>
      <c r="L5640" s="11">
        <v>1.39</v>
      </c>
      <c r="M5640" s="9" t="s">
        <v>1940</v>
      </c>
      <c r="N5640" s="6" t="s">
        <v>1905</v>
      </c>
      <c r="O5640" s="6" t="s">
        <v>673</v>
      </c>
      <c r="P5640" s="9" t="s">
        <v>41</v>
      </c>
      <c r="Q5640" s="9" t="s">
        <v>26</v>
      </c>
      <c r="R5640" s="9" t="s">
        <v>76</v>
      </c>
      <c r="S5640" s="7" t="s">
        <v>571</v>
      </c>
      <c r="T5640" s="9" t="s">
        <v>39</v>
      </c>
      <c r="U5640" s="7">
        <v>0.39</v>
      </c>
      <c r="V5640" s="12">
        <f>C5640+1</f>
        <v>40657</v>
      </c>
      <c r="W5640">
        <f>IF(D5640=' Pivot Tables'!$A$4,1,0)</f>
        <v>0</v>
      </c>
      <c r="X5640">
        <f>IF(AND(LEFT(D5640,4)+1=LEFT(' Pivot Tables'!$A$4,4)+0,RIGHT(LEFT(D5640,7),2)=RIGHT(LEFT(' Pivot Tables'!$A$4,7),2)),1,0)</f>
        <v>0</v>
      </c>
      <c r="Y5640" s="6">
        <f>1/COUNTIF(Таблица1[Order ID],Таблица1[[#This Row],[Order ID]])</f>
        <v>1</v>
      </c>
      <c r="Z5640" s="9">
        <f>1/COUNTIFS(Таблица1[Customer Name],Таблица1[[#This Row],[Customer Name]],Таблица1[Order-Year-Month],Таблица1[[#This Row],[Order-Year-Month]])</f>
        <v>1</v>
      </c>
    </row>
    <row r="5641" spans="1:26" x14ac:dyDescent="0.2">
      <c r="A5641" s="6">
        <v>4364</v>
      </c>
      <c r="B5641" s="7">
        <v>31106</v>
      </c>
      <c r="C5641" s="8">
        <f>DATE(2012,12,31)-319</f>
        <v>40955</v>
      </c>
      <c r="D5641" s="8" t="str">
        <f t="shared" si="105"/>
        <v>2012-02 (февраль 2012)</v>
      </c>
      <c r="E5641" s="9" t="s">
        <v>21</v>
      </c>
      <c r="F5641" s="7">
        <v>37</v>
      </c>
      <c r="G5641" s="7">
        <v>101.9</v>
      </c>
      <c r="H5641" s="7">
        <v>0</v>
      </c>
      <c r="I5641" s="9" t="s">
        <v>22</v>
      </c>
      <c r="J5641" s="10">
        <v>40.520000000000003</v>
      </c>
      <c r="K5641" s="11">
        <v>2.61</v>
      </c>
      <c r="L5641" s="11">
        <v>0.5</v>
      </c>
      <c r="M5641" s="9" t="s">
        <v>1945</v>
      </c>
      <c r="N5641" s="6" t="s">
        <v>1905</v>
      </c>
      <c r="O5641" s="6" t="s">
        <v>673</v>
      </c>
      <c r="P5641" s="9" t="s">
        <v>41</v>
      </c>
      <c r="Q5641" s="9" t="s">
        <v>26</v>
      </c>
      <c r="R5641" s="9" t="s">
        <v>88</v>
      </c>
      <c r="S5641" s="7" t="s">
        <v>406</v>
      </c>
      <c r="T5641" s="9" t="s">
        <v>39</v>
      </c>
      <c r="U5641" s="7">
        <v>0.39</v>
      </c>
      <c r="V5641" s="12">
        <f>C5641+0</f>
        <v>40955</v>
      </c>
      <c r="W5641">
        <f>IF(D5641=' Pivot Tables'!$A$4,1,0)</f>
        <v>0</v>
      </c>
      <c r="X5641">
        <f>IF(AND(LEFT(D5641,4)+1=LEFT(' Pivot Tables'!$A$4,4)+0,RIGHT(LEFT(D5641,7),2)=RIGHT(LEFT(' Pivot Tables'!$A$4,7),2)),1,0)</f>
        <v>0</v>
      </c>
      <c r="Y5641" s="6">
        <f>1/COUNTIF(Таблица1[Order ID],Таблица1[[#This Row],[Order ID]])</f>
        <v>0.25</v>
      </c>
      <c r="Z5641" s="9">
        <f>1/COUNTIFS(Таблица1[Customer Name],Таблица1[[#This Row],[Customer Name]],Таблица1[Order-Year-Month],Таблица1[[#This Row],[Order-Year-Month]])</f>
        <v>0.2</v>
      </c>
    </row>
    <row r="5642" spans="1:26" x14ac:dyDescent="0.2">
      <c r="A5642" s="6">
        <v>4365</v>
      </c>
      <c r="B5642" s="7">
        <v>31106</v>
      </c>
      <c r="C5642" s="8">
        <f>DATE(2012,12,31)-319</f>
        <v>40955</v>
      </c>
      <c r="D5642" s="8" t="str">
        <f t="shared" si="105"/>
        <v>2012-02 (февраль 2012)</v>
      </c>
      <c r="E5642" s="9" t="s">
        <v>21</v>
      </c>
      <c r="F5642" s="7">
        <v>7</v>
      </c>
      <c r="G5642" s="7">
        <v>187.33</v>
      </c>
      <c r="H5642" s="7">
        <v>0.03</v>
      </c>
      <c r="I5642" s="9" t="s">
        <v>22</v>
      </c>
      <c r="J5642" s="10">
        <v>66.47</v>
      </c>
      <c r="K5642" s="11">
        <v>25.13</v>
      </c>
      <c r="L5642" s="11">
        <v>9.8699999999999992</v>
      </c>
      <c r="M5642" s="9" t="s">
        <v>1945</v>
      </c>
      <c r="N5642" s="6" t="s">
        <v>1905</v>
      </c>
      <c r="O5642" s="6" t="s">
        <v>673</v>
      </c>
      <c r="P5642" s="9" t="s">
        <v>41</v>
      </c>
      <c r="Q5642" s="9" t="s">
        <v>49</v>
      </c>
      <c r="R5642" s="9" t="s">
        <v>50</v>
      </c>
      <c r="S5642" s="7" t="s">
        <v>1946</v>
      </c>
      <c r="T5642" s="9" t="s">
        <v>39</v>
      </c>
      <c r="U5642" s="7">
        <v>0.57999999999999996</v>
      </c>
      <c r="V5642" s="12">
        <f>C5642+5</f>
        <v>40960</v>
      </c>
      <c r="W5642">
        <f>IF(D5642=' Pivot Tables'!$A$4,1,0)</f>
        <v>0</v>
      </c>
      <c r="X5642">
        <f>IF(AND(LEFT(D5642,4)+1=LEFT(' Pivot Tables'!$A$4,4)+0,RIGHT(LEFT(D5642,7),2)=RIGHT(LEFT(' Pivot Tables'!$A$4,7),2)),1,0)</f>
        <v>0</v>
      </c>
      <c r="Y5642" s="6">
        <f>1/COUNTIF(Таблица1[Order ID],Таблица1[[#This Row],[Order ID]])</f>
        <v>0.25</v>
      </c>
      <c r="Z5642" s="9">
        <f>1/COUNTIFS(Таблица1[Customer Name],Таблица1[[#This Row],[Customer Name]],Таблица1[Order-Year-Month],Таблица1[[#This Row],[Order-Year-Month]])</f>
        <v>0.2</v>
      </c>
    </row>
    <row r="5643" spans="1:26" x14ac:dyDescent="0.2">
      <c r="A5643" s="6">
        <v>4366</v>
      </c>
      <c r="B5643" s="7">
        <v>31106</v>
      </c>
      <c r="C5643" s="8">
        <f>DATE(2012,12,31)-319</f>
        <v>40955</v>
      </c>
      <c r="D5643" s="8" t="str">
        <f t="shared" si="105"/>
        <v>2012-02 (февраль 2012)</v>
      </c>
      <c r="E5643" s="9" t="s">
        <v>21</v>
      </c>
      <c r="F5643" s="7">
        <v>45</v>
      </c>
      <c r="G5643" s="7">
        <v>259.17</v>
      </c>
      <c r="H5643" s="7">
        <v>0.01</v>
      </c>
      <c r="I5643" s="9" t="s">
        <v>22</v>
      </c>
      <c r="J5643" s="10">
        <v>-57.33</v>
      </c>
      <c r="K5643" s="11">
        <v>5.68</v>
      </c>
      <c r="L5643" s="11">
        <v>3.6</v>
      </c>
      <c r="M5643" s="9" t="s">
        <v>1945</v>
      </c>
      <c r="N5643" s="6" t="s">
        <v>1905</v>
      </c>
      <c r="O5643" s="6" t="s">
        <v>673</v>
      </c>
      <c r="P5643" s="9" t="s">
        <v>41</v>
      </c>
      <c r="Q5643" s="9" t="s">
        <v>26</v>
      </c>
      <c r="R5643" s="9" t="s">
        <v>150</v>
      </c>
      <c r="S5643" s="7" t="s">
        <v>1716</v>
      </c>
      <c r="T5643" s="9" t="s">
        <v>52</v>
      </c>
      <c r="U5643" s="7">
        <v>0.56000000000000005</v>
      </c>
      <c r="V5643" s="12">
        <f>C5643+2</f>
        <v>40957</v>
      </c>
      <c r="W5643">
        <f>IF(D5643=' Pivot Tables'!$A$4,1,0)</f>
        <v>0</v>
      </c>
      <c r="X5643">
        <f>IF(AND(LEFT(D5643,4)+1=LEFT(' Pivot Tables'!$A$4,4)+0,RIGHT(LEFT(D5643,7),2)=RIGHT(LEFT(' Pivot Tables'!$A$4,7),2)),1,0)</f>
        <v>0</v>
      </c>
      <c r="Y5643" s="6">
        <f>1/COUNTIF(Таблица1[Order ID],Таблица1[[#This Row],[Order ID]])</f>
        <v>0.25</v>
      </c>
      <c r="Z5643" s="9">
        <f>1/COUNTIFS(Таблица1[Customer Name],Таблица1[[#This Row],[Customer Name]],Таблица1[Order-Year-Month],Таблица1[[#This Row],[Order-Year-Month]])</f>
        <v>0.2</v>
      </c>
    </row>
    <row r="5644" spans="1:26" x14ac:dyDescent="0.2">
      <c r="A5644" s="6">
        <v>4367</v>
      </c>
      <c r="B5644" s="7">
        <v>31106</v>
      </c>
      <c r="C5644" s="8">
        <f>DATE(2012,12,31)-319</f>
        <v>40955</v>
      </c>
      <c r="D5644" s="8" t="str">
        <f t="shared" si="105"/>
        <v>2012-02 (февраль 2012)</v>
      </c>
      <c r="E5644" s="9" t="s">
        <v>21</v>
      </c>
      <c r="F5644" s="7">
        <v>43</v>
      </c>
      <c r="G5644" s="7">
        <v>4697.0320000000002</v>
      </c>
      <c r="H5644" s="7">
        <v>0</v>
      </c>
      <c r="I5644" s="9" t="s">
        <v>22</v>
      </c>
      <c r="J5644" s="10">
        <v>1263.0059999999999</v>
      </c>
      <c r="K5644" s="11">
        <v>125.99</v>
      </c>
      <c r="L5644" s="11">
        <v>5.63</v>
      </c>
      <c r="M5644" s="9" t="s">
        <v>1945</v>
      </c>
      <c r="N5644" s="6" t="s">
        <v>1905</v>
      </c>
      <c r="O5644" s="6" t="s">
        <v>673</v>
      </c>
      <c r="P5644" s="9" t="s">
        <v>41</v>
      </c>
      <c r="Q5644" s="9" t="s">
        <v>42</v>
      </c>
      <c r="R5644" s="9" t="s">
        <v>43</v>
      </c>
      <c r="S5644" s="7" t="s">
        <v>481</v>
      </c>
      <c r="T5644" s="9" t="s">
        <v>39</v>
      </c>
      <c r="U5644" s="7">
        <v>0.6</v>
      </c>
      <c r="V5644" s="12">
        <f>C5644+7</f>
        <v>40962</v>
      </c>
      <c r="W5644">
        <f>IF(D5644=' Pivot Tables'!$A$4,1,0)</f>
        <v>0</v>
      </c>
      <c r="X5644">
        <f>IF(AND(LEFT(D5644,4)+1=LEFT(' Pivot Tables'!$A$4,4)+0,RIGHT(LEFT(D5644,7),2)=RIGHT(LEFT(' Pivot Tables'!$A$4,7),2)),1,0)</f>
        <v>0</v>
      </c>
      <c r="Y5644" s="6">
        <f>1/COUNTIF(Таблица1[Order ID],Таблица1[[#This Row],[Order ID]])</f>
        <v>0.25</v>
      </c>
      <c r="Z5644" s="9">
        <f>1/COUNTIFS(Таблица1[Customer Name],Таблица1[[#This Row],[Customer Name]],Таблица1[Order-Year-Month],Таблица1[[#This Row],[Order-Year-Month]])</f>
        <v>0.2</v>
      </c>
    </row>
    <row r="5645" spans="1:26" x14ac:dyDescent="0.2">
      <c r="A5645" s="6">
        <v>4371</v>
      </c>
      <c r="B5645" s="7">
        <v>31140</v>
      </c>
      <c r="C5645" s="8">
        <f>DATE(2012,12,31)-699</f>
        <v>40575</v>
      </c>
      <c r="D5645" s="8" t="str">
        <f t="shared" si="105"/>
        <v>2011-02 (февраль 2011)</v>
      </c>
      <c r="E5645" s="9" t="s">
        <v>78</v>
      </c>
      <c r="F5645" s="7">
        <v>4</v>
      </c>
      <c r="G5645" s="7">
        <v>13.42</v>
      </c>
      <c r="H5645" s="7">
        <v>0.03</v>
      </c>
      <c r="I5645" s="9" t="s">
        <v>22</v>
      </c>
      <c r="J5645" s="10">
        <v>-1.26</v>
      </c>
      <c r="K5645" s="11">
        <v>3.08</v>
      </c>
      <c r="L5645" s="11">
        <v>0.99</v>
      </c>
      <c r="M5645" s="9" t="s">
        <v>1944</v>
      </c>
      <c r="N5645" s="6" t="s">
        <v>1905</v>
      </c>
      <c r="O5645" s="6" t="s">
        <v>673</v>
      </c>
      <c r="P5645" s="9" t="s">
        <v>60</v>
      </c>
      <c r="Q5645" s="9" t="s">
        <v>26</v>
      </c>
      <c r="R5645" s="9" t="s">
        <v>88</v>
      </c>
      <c r="S5645" s="7" t="s">
        <v>368</v>
      </c>
      <c r="T5645" s="9" t="s">
        <v>39</v>
      </c>
      <c r="U5645" s="7">
        <v>0.37</v>
      </c>
      <c r="V5645" s="12">
        <f>C5645+1</f>
        <v>40576</v>
      </c>
      <c r="W5645">
        <f>IF(D5645=' Pivot Tables'!$A$4,1,0)</f>
        <v>0</v>
      </c>
      <c r="X5645">
        <f>IF(AND(LEFT(D5645,4)+1=LEFT(' Pivot Tables'!$A$4,4)+0,RIGHT(LEFT(D5645,7),2)=RIGHT(LEFT(' Pivot Tables'!$A$4,7),2)),1,0)</f>
        <v>0</v>
      </c>
      <c r="Y5645" s="6">
        <f>1/COUNTIF(Таблица1[Order ID],Таблица1[[#This Row],[Order ID]])</f>
        <v>1</v>
      </c>
      <c r="Z5645" s="9">
        <f>1/COUNTIFS(Таблица1[Customer Name],Таблица1[[#This Row],[Customer Name]],Таблица1[Order-Year-Month],Таблица1[[#This Row],[Order-Year-Month]])</f>
        <v>1</v>
      </c>
    </row>
    <row r="5646" spans="1:26" x14ac:dyDescent="0.2">
      <c r="A5646" s="6">
        <v>4373</v>
      </c>
      <c r="B5646" s="7">
        <v>31170</v>
      </c>
      <c r="C5646" s="8">
        <f>DATE(2012,12,31)-339</f>
        <v>40935</v>
      </c>
      <c r="D5646" s="8" t="str">
        <f t="shared" si="105"/>
        <v>2012-01 (январь 2012)</v>
      </c>
      <c r="E5646" s="9" t="s">
        <v>63</v>
      </c>
      <c r="F5646" s="7">
        <v>32</v>
      </c>
      <c r="G5646" s="7">
        <v>320.57</v>
      </c>
      <c r="H5646" s="7">
        <v>0.09</v>
      </c>
      <c r="I5646" s="9" t="s">
        <v>22</v>
      </c>
      <c r="J5646" s="10">
        <v>27.95</v>
      </c>
      <c r="K5646" s="11">
        <v>10.130000000000001</v>
      </c>
      <c r="L5646" s="11">
        <v>1.99</v>
      </c>
      <c r="M5646" s="9" t="s">
        <v>1942</v>
      </c>
      <c r="N5646" s="6" t="s">
        <v>1905</v>
      </c>
      <c r="O5646" s="6" t="s">
        <v>673</v>
      </c>
      <c r="P5646" s="9" t="s">
        <v>41</v>
      </c>
      <c r="Q5646" s="9" t="s">
        <v>42</v>
      </c>
      <c r="R5646" s="9" t="s">
        <v>70</v>
      </c>
      <c r="S5646" s="7" t="s">
        <v>1947</v>
      </c>
      <c r="T5646" s="9" t="s">
        <v>52</v>
      </c>
      <c r="U5646" s="7">
        <v>0.55000000000000004</v>
      </c>
      <c r="V5646" s="12">
        <f>C5646+2</f>
        <v>40937</v>
      </c>
      <c r="W5646">
        <f>IF(D5646=' Pivot Tables'!$A$4,1,0)</f>
        <v>0</v>
      </c>
      <c r="X5646">
        <f>IF(AND(LEFT(D5646,4)+1=LEFT(' Pivot Tables'!$A$4,4)+0,RIGHT(LEFT(D5646,7),2)=RIGHT(LEFT(' Pivot Tables'!$A$4,7),2)),1,0)</f>
        <v>0</v>
      </c>
      <c r="Y5646" s="6">
        <f>1/COUNTIF(Таблица1[Order ID],Таблица1[[#This Row],[Order ID]])</f>
        <v>1</v>
      </c>
      <c r="Z5646" s="9">
        <f>1/COUNTIFS(Таблица1[Customer Name],Таблица1[[#This Row],[Customer Name]],Таблица1[Order-Year-Month],Таблица1[[#This Row],[Order-Year-Month]])</f>
        <v>1</v>
      </c>
    </row>
    <row r="5647" spans="1:26" x14ac:dyDescent="0.2">
      <c r="A5647" s="6">
        <v>4417</v>
      </c>
      <c r="B5647" s="7">
        <v>31520</v>
      </c>
      <c r="C5647" s="8">
        <f>DATE(2012,12,31)-399</f>
        <v>40875</v>
      </c>
      <c r="D5647" s="8" t="str">
        <f t="shared" si="105"/>
        <v>2011-11 (ноябрь 2011)</v>
      </c>
      <c r="E5647" s="9" t="s">
        <v>30</v>
      </c>
      <c r="F5647" s="7">
        <v>23</v>
      </c>
      <c r="G5647" s="7">
        <v>138.71</v>
      </c>
      <c r="H5647" s="7">
        <v>0.09</v>
      </c>
      <c r="I5647" s="9" t="s">
        <v>22</v>
      </c>
      <c r="J5647" s="10">
        <v>-33.159999999999997</v>
      </c>
      <c r="K5647" s="11">
        <v>5.89</v>
      </c>
      <c r="L5647" s="11">
        <v>5.57</v>
      </c>
      <c r="M5647" s="9" t="s">
        <v>1152</v>
      </c>
      <c r="N5647" s="6" t="s">
        <v>1905</v>
      </c>
      <c r="O5647" s="6" t="s">
        <v>673</v>
      </c>
      <c r="P5647" s="9" t="s">
        <v>33</v>
      </c>
      <c r="Q5647" s="9" t="s">
        <v>49</v>
      </c>
      <c r="R5647" s="9" t="s">
        <v>50</v>
      </c>
      <c r="S5647" s="7" t="s">
        <v>467</v>
      </c>
      <c r="T5647" s="9" t="s">
        <v>39</v>
      </c>
      <c r="U5647" s="7">
        <v>0.41</v>
      </c>
      <c r="V5647" s="12">
        <f>C5647+1</f>
        <v>40876</v>
      </c>
      <c r="W5647">
        <f>IF(D5647=' Pivot Tables'!$A$4,1,0)</f>
        <v>0</v>
      </c>
      <c r="X5647">
        <f>IF(AND(LEFT(D5647,4)+1=LEFT(' Pivot Tables'!$A$4,4)+0,RIGHT(LEFT(D5647,7),2)=RIGHT(LEFT(' Pivot Tables'!$A$4,7),2)),1,0)</f>
        <v>0</v>
      </c>
      <c r="Y5647" s="6">
        <f>1/COUNTIF(Таблица1[Order ID],Таблица1[[#This Row],[Order ID]])</f>
        <v>1</v>
      </c>
      <c r="Z5647" s="9">
        <f>1/COUNTIFS(Таблица1[Customer Name],Таблица1[[#This Row],[Customer Name]],Таблица1[Order-Year-Month],Таблица1[[#This Row],[Order-Year-Month]])</f>
        <v>1</v>
      </c>
    </row>
    <row r="5648" spans="1:26" x14ac:dyDescent="0.2">
      <c r="A5648" s="6">
        <v>4873</v>
      </c>
      <c r="B5648" s="7">
        <v>34663</v>
      </c>
      <c r="C5648" s="8">
        <f>DATE(2012,12,31)-544</f>
        <v>40730</v>
      </c>
      <c r="D5648" s="8" t="str">
        <f t="shared" si="105"/>
        <v>2011-07 (июль 2011)</v>
      </c>
      <c r="E5648" s="9" t="s">
        <v>45</v>
      </c>
      <c r="F5648" s="7">
        <v>38</v>
      </c>
      <c r="G5648" s="7">
        <v>29186.49</v>
      </c>
      <c r="H5648" s="7">
        <v>0.05</v>
      </c>
      <c r="I5648" s="9" t="s">
        <v>31</v>
      </c>
      <c r="J5648" s="10">
        <v>11562.08</v>
      </c>
      <c r="K5648" s="11">
        <v>808.49</v>
      </c>
      <c r="L5648" s="11">
        <v>55.3</v>
      </c>
      <c r="M5648" s="9" t="s">
        <v>1945</v>
      </c>
      <c r="N5648" s="6" t="s">
        <v>1905</v>
      </c>
      <c r="O5648" s="6" t="s">
        <v>673</v>
      </c>
      <c r="P5648" s="9" t="s">
        <v>41</v>
      </c>
      <c r="Q5648" s="9" t="s">
        <v>42</v>
      </c>
      <c r="R5648" s="9" t="s">
        <v>210</v>
      </c>
      <c r="S5648" s="7" t="s">
        <v>1537</v>
      </c>
      <c r="T5648" s="9" t="s">
        <v>36</v>
      </c>
      <c r="U5648" s="7">
        <v>0.4</v>
      </c>
      <c r="V5648" s="12">
        <f>C5648+2</f>
        <v>40732</v>
      </c>
      <c r="W5648">
        <f>IF(D5648=' Pivot Tables'!$A$4,1,0)</f>
        <v>0</v>
      </c>
      <c r="X5648">
        <f>IF(AND(LEFT(D5648,4)+1=LEFT(' Pivot Tables'!$A$4,4)+0,RIGHT(LEFT(D5648,7),2)=RIGHT(LEFT(' Pivot Tables'!$A$4,7),2)),1,0)</f>
        <v>0</v>
      </c>
      <c r="Y5648" s="6">
        <f>1/COUNTIF(Таблица1[Order ID],Таблица1[[#This Row],[Order ID]])</f>
        <v>1</v>
      </c>
      <c r="Z5648" s="9">
        <f>1/COUNTIFS(Таблица1[Customer Name],Таблица1[[#This Row],[Customer Name]],Таблица1[Order-Year-Month],Таблица1[[#This Row],[Order-Year-Month]])</f>
        <v>1</v>
      </c>
    </row>
    <row r="5649" spans="1:26" x14ac:dyDescent="0.2">
      <c r="A5649" s="6">
        <v>5029</v>
      </c>
      <c r="B5649" s="7">
        <v>35842</v>
      </c>
      <c r="C5649" s="8">
        <f>DATE(2012,12,31)-221</f>
        <v>41053</v>
      </c>
      <c r="D5649" s="8" t="str">
        <f t="shared" si="105"/>
        <v>2012-05 (май 2012)</v>
      </c>
      <c r="E5649" s="9" t="s">
        <v>30</v>
      </c>
      <c r="F5649" s="7">
        <v>18</v>
      </c>
      <c r="G5649" s="7">
        <v>53.79</v>
      </c>
      <c r="H5649" s="7">
        <v>0.03</v>
      </c>
      <c r="I5649" s="9" t="s">
        <v>22</v>
      </c>
      <c r="J5649" s="10">
        <v>11.55</v>
      </c>
      <c r="K5649" s="11">
        <v>2.88</v>
      </c>
      <c r="L5649" s="11">
        <v>0.99</v>
      </c>
      <c r="M5649" s="9" t="s">
        <v>1944</v>
      </c>
      <c r="N5649" s="6" t="s">
        <v>1905</v>
      </c>
      <c r="O5649" s="6" t="s">
        <v>673</v>
      </c>
      <c r="P5649" s="9" t="s">
        <v>60</v>
      </c>
      <c r="Q5649" s="9" t="s">
        <v>26</v>
      </c>
      <c r="R5649" s="9" t="s">
        <v>88</v>
      </c>
      <c r="S5649" s="7" t="s">
        <v>300</v>
      </c>
      <c r="T5649" s="9" t="s">
        <v>39</v>
      </c>
      <c r="U5649" s="7">
        <v>0.36</v>
      </c>
      <c r="V5649" s="12">
        <f>C5649+2</f>
        <v>41055</v>
      </c>
      <c r="W5649">
        <f>IF(D5649=' Pivot Tables'!$A$4,1,0)</f>
        <v>0</v>
      </c>
      <c r="X5649">
        <f>IF(AND(LEFT(D5649,4)+1=LEFT(' Pivot Tables'!$A$4,4)+0,RIGHT(LEFT(D5649,7),2)=RIGHT(LEFT(' Pivot Tables'!$A$4,7),2)),1,0)</f>
        <v>0</v>
      </c>
      <c r="Y5649" s="6">
        <f>1/COUNTIF(Таблица1[Order ID],Таблица1[[#This Row],[Order ID]])</f>
        <v>1</v>
      </c>
      <c r="Z5649" s="9">
        <f>1/COUNTIFS(Таблица1[Customer Name],Таблица1[[#This Row],[Customer Name]],Таблица1[Order-Year-Month],Таблица1[[#This Row],[Order-Year-Month]])</f>
        <v>1</v>
      </c>
    </row>
    <row r="5650" spans="1:26" x14ac:dyDescent="0.2">
      <c r="A5650" s="6">
        <v>5069</v>
      </c>
      <c r="B5650" s="7">
        <v>36131</v>
      </c>
      <c r="C5650" s="8">
        <f>DATE(2012,12,31)-1324</f>
        <v>39950</v>
      </c>
      <c r="D5650" s="8" t="str">
        <f t="shared" si="105"/>
        <v>2009-05 (май 2009)</v>
      </c>
      <c r="E5650" s="9" t="s">
        <v>30</v>
      </c>
      <c r="F5650" s="7">
        <v>43</v>
      </c>
      <c r="G5650" s="7">
        <v>354.96</v>
      </c>
      <c r="H5650" s="7">
        <v>7.0000000000000007E-2</v>
      </c>
      <c r="I5650" s="9" t="s">
        <v>22</v>
      </c>
      <c r="J5650" s="10">
        <v>151.27000000000001</v>
      </c>
      <c r="K5650" s="11">
        <v>8.34</v>
      </c>
      <c r="L5650" s="11">
        <v>1.43</v>
      </c>
      <c r="M5650" s="9" t="s">
        <v>1948</v>
      </c>
      <c r="N5650" s="6" t="s">
        <v>1905</v>
      </c>
      <c r="O5650" s="6" t="s">
        <v>673</v>
      </c>
      <c r="P5650" s="9" t="s">
        <v>60</v>
      </c>
      <c r="Q5650" s="9" t="s">
        <v>26</v>
      </c>
      <c r="R5650" s="9" t="s">
        <v>61</v>
      </c>
      <c r="S5650" s="7" t="s">
        <v>1208</v>
      </c>
      <c r="T5650" s="9" t="s">
        <v>68</v>
      </c>
      <c r="U5650" s="7">
        <v>0.35</v>
      </c>
      <c r="V5650" s="12">
        <f>C5650+2</f>
        <v>39952</v>
      </c>
      <c r="W5650">
        <f>IF(D5650=' Pivot Tables'!$A$4,1,0)</f>
        <v>0</v>
      </c>
      <c r="X5650">
        <f>IF(AND(LEFT(D5650,4)+1=LEFT(' Pivot Tables'!$A$4,4)+0,RIGHT(LEFT(D5650,7),2)=RIGHT(LEFT(' Pivot Tables'!$A$4,7),2)),1,0)</f>
        <v>0</v>
      </c>
      <c r="Y5650" s="6">
        <f>1/COUNTIF(Таблица1[Order ID],Таблица1[[#This Row],[Order ID]])</f>
        <v>0.33333333333333331</v>
      </c>
      <c r="Z5650" s="9">
        <f>1/COUNTIFS(Таблица1[Customer Name],Таблица1[[#This Row],[Customer Name]],Таблица1[Order-Year-Month],Таблица1[[#This Row],[Order-Year-Month]])</f>
        <v>0.33333333333333331</v>
      </c>
    </row>
    <row r="5651" spans="1:26" x14ac:dyDescent="0.2">
      <c r="A5651" s="6">
        <v>5070</v>
      </c>
      <c r="B5651" s="7">
        <v>36131</v>
      </c>
      <c r="C5651" s="8">
        <f>DATE(2012,12,31)-1324</f>
        <v>39950</v>
      </c>
      <c r="D5651" s="8" t="str">
        <f t="shared" si="105"/>
        <v>2009-05 (май 2009)</v>
      </c>
      <c r="E5651" s="9" t="s">
        <v>30</v>
      </c>
      <c r="F5651" s="7">
        <v>26</v>
      </c>
      <c r="G5651" s="7">
        <v>130.97</v>
      </c>
      <c r="H5651" s="7">
        <v>0.09</v>
      </c>
      <c r="I5651" s="9" t="s">
        <v>22</v>
      </c>
      <c r="J5651" s="10">
        <v>-83.42</v>
      </c>
      <c r="K5651" s="11">
        <v>4.9800000000000004</v>
      </c>
      <c r="L5651" s="11">
        <v>6.07</v>
      </c>
      <c r="M5651" s="9" t="s">
        <v>1948</v>
      </c>
      <c r="N5651" s="6" t="s">
        <v>1905</v>
      </c>
      <c r="O5651" s="6" t="s">
        <v>673</v>
      </c>
      <c r="P5651" s="9" t="s">
        <v>60</v>
      </c>
      <c r="Q5651" s="9" t="s">
        <v>26</v>
      </c>
      <c r="R5651" s="9" t="s">
        <v>61</v>
      </c>
      <c r="S5651" s="7" t="s">
        <v>352</v>
      </c>
      <c r="T5651" s="9" t="s">
        <v>39</v>
      </c>
      <c r="U5651" s="7">
        <v>0.36</v>
      </c>
      <c r="V5651" s="12">
        <f>C5651+1</f>
        <v>39951</v>
      </c>
      <c r="W5651">
        <f>IF(D5651=' Pivot Tables'!$A$4,1,0)</f>
        <v>0</v>
      </c>
      <c r="X5651">
        <f>IF(AND(LEFT(D5651,4)+1=LEFT(' Pivot Tables'!$A$4,4)+0,RIGHT(LEFT(D5651,7),2)=RIGHT(LEFT(' Pivot Tables'!$A$4,7),2)),1,0)</f>
        <v>0</v>
      </c>
      <c r="Y5651" s="6">
        <f>1/COUNTIF(Таблица1[Order ID],Таблица1[[#This Row],[Order ID]])</f>
        <v>0.33333333333333331</v>
      </c>
      <c r="Z5651" s="9">
        <f>1/COUNTIFS(Таблица1[Customer Name],Таблица1[[#This Row],[Customer Name]],Таблица1[Order-Year-Month],Таблица1[[#This Row],[Order-Year-Month]])</f>
        <v>0.33333333333333331</v>
      </c>
    </row>
    <row r="5652" spans="1:26" x14ac:dyDescent="0.2">
      <c r="A5652" s="6">
        <v>5203</v>
      </c>
      <c r="B5652" s="7">
        <v>36992</v>
      </c>
      <c r="C5652" s="8">
        <f>DATE(2012,12,31)-1120</f>
        <v>40154</v>
      </c>
      <c r="D5652" s="8" t="str">
        <f t="shared" si="105"/>
        <v>2009-12 (декабрь 2009)</v>
      </c>
      <c r="E5652" s="9" t="s">
        <v>63</v>
      </c>
      <c r="F5652" s="7">
        <v>34</v>
      </c>
      <c r="G5652" s="7">
        <v>459.08</v>
      </c>
      <c r="H5652" s="7">
        <v>0.04</v>
      </c>
      <c r="I5652" s="9" t="s">
        <v>56</v>
      </c>
      <c r="J5652" s="10">
        <v>61.57</v>
      </c>
      <c r="K5652" s="11">
        <v>12.98</v>
      </c>
      <c r="L5652" s="11">
        <v>3.14</v>
      </c>
      <c r="M5652" s="9" t="s">
        <v>1948</v>
      </c>
      <c r="N5652" s="6" t="s">
        <v>1905</v>
      </c>
      <c r="O5652" s="6" t="s">
        <v>673</v>
      </c>
      <c r="P5652" s="9" t="s">
        <v>41</v>
      </c>
      <c r="Q5652" s="9" t="s">
        <v>26</v>
      </c>
      <c r="R5652" s="9" t="s">
        <v>150</v>
      </c>
      <c r="S5652" s="7" t="s">
        <v>356</v>
      </c>
      <c r="T5652" s="9" t="s">
        <v>52</v>
      </c>
      <c r="U5652" s="7">
        <v>0.6</v>
      </c>
      <c r="V5652" s="12">
        <f>C5652+2</f>
        <v>40156</v>
      </c>
      <c r="W5652">
        <f>IF(D5652=' Pivot Tables'!$A$4,1,0)</f>
        <v>0</v>
      </c>
      <c r="X5652">
        <f>IF(AND(LEFT(D5652,4)+1=LEFT(' Pivot Tables'!$A$4,4)+0,RIGHT(LEFT(D5652,7),2)=RIGHT(LEFT(' Pivot Tables'!$A$4,7),2)),1,0)</f>
        <v>0</v>
      </c>
      <c r="Y5652" s="6">
        <f>1/COUNTIF(Таблица1[Order ID],Таблица1[[#This Row],[Order ID]])</f>
        <v>1</v>
      </c>
      <c r="Z5652" s="9">
        <f>1/COUNTIFS(Таблица1[Customer Name],Таблица1[[#This Row],[Customer Name]],Таблица1[Order-Year-Month],Таблица1[[#This Row],[Order-Year-Month]])</f>
        <v>1</v>
      </c>
    </row>
    <row r="5653" spans="1:26" x14ac:dyDescent="0.2">
      <c r="A5653" s="6">
        <v>5432</v>
      </c>
      <c r="B5653" s="7">
        <v>38596</v>
      </c>
      <c r="C5653" s="8">
        <f>DATE(2012,12,31)-1004</f>
        <v>40270</v>
      </c>
      <c r="D5653" s="8" t="str">
        <f t="shared" si="105"/>
        <v>2010-04 (апрель 2010)</v>
      </c>
      <c r="E5653" s="9" t="s">
        <v>63</v>
      </c>
      <c r="F5653" s="7">
        <v>20</v>
      </c>
      <c r="G5653" s="7">
        <v>193.7</v>
      </c>
      <c r="H5653" s="7">
        <v>0.06</v>
      </c>
      <c r="I5653" s="9" t="s">
        <v>22</v>
      </c>
      <c r="J5653" s="10">
        <v>-14.99</v>
      </c>
      <c r="K5653" s="11">
        <v>9.85</v>
      </c>
      <c r="L5653" s="11">
        <v>4.82</v>
      </c>
      <c r="M5653" s="9" t="s">
        <v>1948</v>
      </c>
      <c r="N5653" s="6" t="s">
        <v>1905</v>
      </c>
      <c r="O5653" s="6" t="s">
        <v>673</v>
      </c>
      <c r="P5653" s="9" t="s">
        <v>41</v>
      </c>
      <c r="Q5653" s="9" t="s">
        <v>26</v>
      </c>
      <c r="R5653" s="9" t="s">
        <v>95</v>
      </c>
      <c r="S5653" s="7" t="s">
        <v>1625</v>
      </c>
      <c r="T5653" s="9" t="s">
        <v>68</v>
      </c>
      <c r="U5653" s="7">
        <v>0.47</v>
      </c>
      <c r="V5653" s="12">
        <f>C5653+1</f>
        <v>40271</v>
      </c>
      <c r="W5653">
        <f>IF(D5653=' Pivot Tables'!$A$4,1,0)</f>
        <v>0</v>
      </c>
      <c r="X5653">
        <f>IF(AND(LEFT(D5653,4)+1=LEFT(' Pivot Tables'!$A$4,4)+0,RIGHT(LEFT(D5653,7),2)=RIGHT(LEFT(' Pivot Tables'!$A$4,7),2)),1,0)</f>
        <v>0</v>
      </c>
      <c r="Y5653" s="6">
        <f>1/COUNTIF(Таблица1[Order ID],Таблица1[[#This Row],[Order ID]])</f>
        <v>1</v>
      </c>
      <c r="Z5653" s="9">
        <f>1/COUNTIFS(Таблица1[Customer Name],Таблица1[[#This Row],[Customer Name]],Таблица1[Order-Year-Month],Таблица1[[#This Row],[Order-Year-Month]])</f>
        <v>1</v>
      </c>
    </row>
    <row r="5654" spans="1:26" x14ac:dyDescent="0.2">
      <c r="A5654" s="6">
        <v>5526</v>
      </c>
      <c r="B5654" s="7">
        <v>39143</v>
      </c>
      <c r="C5654" s="8">
        <f>DATE(2012,12,31)-269</f>
        <v>41005</v>
      </c>
      <c r="D5654" s="8" t="str">
        <f t="shared" si="105"/>
        <v>2012-04 (апрель 2012)</v>
      </c>
      <c r="E5654" s="9" t="s">
        <v>45</v>
      </c>
      <c r="F5654" s="7">
        <v>46</v>
      </c>
      <c r="G5654" s="7">
        <v>6730.07</v>
      </c>
      <c r="H5654" s="7">
        <v>0.05</v>
      </c>
      <c r="I5654" s="9" t="s">
        <v>31</v>
      </c>
      <c r="J5654" s="10">
        <v>-1134.6099999999999</v>
      </c>
      <c r="K5654" s="11">
        <v>150.97999999999999</v>
      </c>
      <c r="L5654" s="11">
        <v>66.27</v>
      </c>
      <c r="M5654" s="9" t="s">
        <v>1939</v>
      </c>
      <c r="N5654" s="6" t="s">
        <v>1905</v>
      </c>
      <c r="O5654" s="6" t="s">
        <v>673</v>
      </c>
      <c r="P5654" s="9" t="s">
        <v>33</v>
      </c>
      <c r="Q5654" s="9" t="s">
        <v>49</v>
      </c>
      <c r="R5654" s="9" t="s">
        <v>80</v>
      </c>
      <c r="S5654" s="7" t="s">
        <v>325</v>
      </c>
      <c r="T5654" s="9" t="s">
        <v>82</v>
      </c>
      <c r="U5654" s="7">
        <v>0.65</v>
      </c>
      <c r="V5654" s="12">
        <f>C5654+0</f>
        <v>41005</v>
      </c>
      <c r="W5654">
        <f>IF(D5654=' Pivot Tables'!$A$4,1,0)</f>
        <v>0</v>
      </c>
      <c r="X5654">
        <f>IF(AND(LEFT(D5654,4)+1=LEFT(' Pivot Tables'!$A$4,4)+0,RIGHT(LEFT(D5654,7),2)=RIGHT(LEFT(' Pivot Tables'!$A$4,7),2)),1,0)</f>
        <v>0</v>
      </c>
      <c r="Y5654" s="6">
        <f>1/COUNTIF(Таблица1[Order ID],Таблица1[[#This Row],[Order ID]])</f>
        <v>1</v>
      </c>
      <c r="Z5654" s="9">
        <f>1/COUNTIFS(Таблица1[Customer Name],Таблица1[[#This Row],[Customer Name]],Таблица1[Order-Year-Month],Таблица1[[#This Row],[Order-Year-Month]])</f>
        <v>1</v>
      </c>
    </row>
    <row r="5655" spans="1:26" x14ac:dyDescent="0.2">
      <c r="A5655" s="6">
        <v>5807</v>
      </c>
      <c r="B5655" s="7">
        <v>41186</v>
      </c>
      <c r="C5655" s="8">
        <f>DATE(2012,12,31)-770</f>
        <v>40504</v>
      </c>
      <c r="D5655" s="8" t="str">
        <f t="shared" si="105"/>
        <v>2010-11 (ноябрь 2010)</v>
      </c>
      <c r="E5655" s="9" t="s">
        <v>30</v>
      </c>
      <c r="F5655" s="7">
        <v>33</v>
      </c>
      <c r="G5655" s="7">
        <v>553.3415</v>
      </c>
      <c r="H5655" s="7">
        <v>0.08</v>
      </c>
      <c r="I5655" s="9" t="s">
        <v>22</v>
      </c>
      <c r="J5655" s="10">
        <v>-67.704999999999998</v>
      </c>
      <c r="K5655" s="11">
        <v>20.99</v>
      </c>
      <c r="L5655" s="11">
        <v>0.99</v>
      </c>
      <c r="M5655" s="9" t="s">
        <v>1948</v>
      </c>
      <c r="N5655" s="6" t="s">
        <v>1905</v>
      </c>
      <c r="O5655" s="6" t="s">
        <v>673</v>
      </c>
      <c r="P5655" s="9" t="s">
        <v>41</v>
      </c>
      <c r="Q5655" s="9" t="s">
        <v>42</v>
      </c>
      <c r="R5655" s="9" t="s">
        <v>43</v>
      </c>
      <c r="S5655" s="7" t="s">
        <v>1230</v>
      </c>
      <c r="T5655" s="9" t="s">
        <v>52</v>
      </c>
      <c r="U5655" s="7">
        <v>0.83</v>
      </c>
      <c r="V5655" s="12">
        <f>C5655+1</f>
        <v>40505</v>
      </c>
      <c r="W5655">
        <f>IF(D5655=' Pivot Tables'!$A$4,1,0)</f>
        <v>0</v>
      </c>
      <c r="X5655">
        <f>IF(AND(LEFT(D5655,4)+1=LEFT(' Pivot Tables'!$A$4,4)+0,RIGHT(LEFT(D5655,7),2)=RIGHT(LEFT(' Pivot Tables'!$A$4,7),2)),1,0)</f>
        <v>0</v>
      </c>
      <c r="Y5655" s="6">
        <f>1/COUNTIF(Таблица1[Order ID],Таблица1[[#This Row],[Order ID]])</f>
        <v>0.5</v>
      </c>
      <c r="Z5655" s="9">
        <f>1/COUNTIFS(Таблица1[Customer Name],Таблица1[[#This Row],[Customer Name]],Таблица1[Order-Year-Month],Таблица1[[#This Row],[Order-Year-Month]])</f>
        <v>0.5</v>
      </c>
    </row>
    <row r="5656" spans="1:26" x14ac:dyDescent="0.2">
      <c r="A5656" s="6">
        <v>6143</v>
      </c>
      <c r="B5656" s="7">
        <v>43493</v>
      </c>
      <c r="C5656" s="8">
        <f>DATE(2012,12,31)-235</f>
        <v>41039</v>
      </c>
      <c r="D5656" s="8" t="str">
        <f t="shared" si="105"/>
        <v>2012-05 (май 2012)</v>
      </c>
      <c r="E5656" s="9" t="s">
        <v>30</v>
      </c>
      <c r="F5656" s="7">
        <v>22</v>
      </c>
      <c r="G5656" s="7">
        <v>152.52000000000001</v>
      </c>
      <c r="H5656" s="7">
        <v>0.03</v>
      </c>
      <c r="I5656" s="9" t="s">
        <v>22</v>
      </c>
      <c r="J5656" s="10">
        <v>-43.87</v>
      </c>
      <c r="K5656" s="11">
        <v>6.48</v>
      </c>
      <c r="L5656" s="11">
        <v>5.94</v>
      </c>
      <c r="M5656" s="9" t="s">
        <v>1945</v>
      </c>
      <c r="N5656" s="6" t="s">
        <v>1905</v>
      </c>
      <c r="O5656" s="6" t="s">
        <v>673</v>
      </c>
      <c r="P5656" s="9" t="s">
        <v>41</v>
      </c>
      <c r="Q5656" s="9" t="s">
        <v>26</v>
      </c>
      <c r="R5656" s="9" t="s">
        <v>61</v>
      </c>
      <c r="S5656" s="7" t="s">
        <v>994</v>
      </c>
      <c r="T5656" s="9" t="s">
        <v>39</v>
      </c>
      <c r="U5656" s="7">
        <v>0.37</v>
      </c>
      <c r="V5656" s="12">
        <f>C5656+1</f>
        <v>41040</v>
      </c>
      <c r="W5656">
        <f>IF(D5656=' Pivot Tables'!$A$4,1,0)</f>
        <v>0</v>
      </c>
      <c r="X5656">
        <f>IF(AND(LEFT(D5656,4)+1=LEFT(' Pivot Tables'!$A$4,4)+0,RIGHT(LEFT(D5656,7),2)=RIGHT(LEFT(' Pivot Tables'!$A$4,7),2)),1,0)</f>
        <v>0</v>
      </c>
      <c r="Y5656" s="6">
        <f>1/COUNTIF(Таблица1[Order ID],Таблица1[[#This Row],[Order ID]])</f>
        <v>0.33333333333333331</v>
      </c>
      <c r="Z5656" s="9">
        <f>1/COUNTIFS(Таблица1[Customer Name],Таблица1[[#This Row],[Customer Name]],Таблица1[Order-Year-Month],Таблица1[[#This Row],[Order-Year-Month]])</f>
        <v>0.33333333333333331</v>
      </c>
    </row>
    <row r="5657" spans="1:26" x14ac:dyDescent="0.2">
      <c r="A5657" s="6">
        <v>6144</v>
      </c>
      <c r="B5657" s="7">
        <v>43493</v>
      </c>
      <c r="C5657" s="8">
        <f>DATE(2012,12,31)-235</f>
        <v>41039</v>
      </c>
      <c r="D5657" s="8" t="str">
        <f t="shared" si="105"/>
        <v>2012-05 (май 2012)</v>
      </c>
      <c r="E5657" s="9" t="s">
        <v>30</v>
      </c>
      <c r="F5657" s="7">
        <v>14</v>
      </c>
      <c r="G5657" s="7">
        <v>71.599999999999994</v>
      </c>
      <c r="H5657" s="7">
        <v>0.05</v>
      </c>
      <c r="I5657" s="9" t="s">
        <v>22</v>
      </c>
      <c r="J5657" s="10">
        <v>-30.65</v>
      </c>
      <c r="K5657" s="11">
        <v>4.9800000000000004</v>
      </c>
      <c r="L5657" s="11">
        <v>4.7</v>
      </c>
      <c r="M5657" s="9" t="s">
        <v>1945</v>
      </c>
      <c r="N5657" s="6" t="s">
        <v>1905</v>
      </c>
      <c r="O5657" s="6" t="s">
        <v>673</v>
      </c>
      <c r="P5657" s="9" t="s">
        <v>41</v>
      </c>
      <c r="Q5657" s="9" t="s">
        <v>26</v>
      </c>
      <c r="R5657" s="9" t="s">
        <v>61</v>
      </c>
      <c r="S5657" s="7" t="s">
        <v>937</v>
      </c>
      <c r="T5657" s="9" t="s">
        <v>39</v>
      </c>
      <c r="U5657" s="7">
        <v>0.38</v>
      </c>
      <c r="V5657" s="12">
        <f>C5657+2</f>
        <v>41041</v>
      </c>
      <c r="W5657">
        <f>IF(D5657=' Pivot Tables'!$A$4,1,0)</f>
        <v>0</v>
      </c>
      <c r="X5657">
        <f>IF(AND(LEFT(D5657,4)+1=LEFT(' Pivot Tables'!$A$4,4)+0,RIGHT(LEFT(D5657,7),2)=RIGHT(LEFT(' Pivot Tables'!$A$4,7),2)),1,0)</f>
        <v>0</v>
      </c>
      <c r="Y5657" s="6">
        <f>1/COUNTIF(Таблица1[Order ID],Таблица1[[#This Row],[Order ID]])</f>
        <v>0.33333333333333331</v>
      </c>
      <c r="Z5657" s="9">
        <f>1/COUNTIFS(Таблица1[Customer Name],Таблица1[[#This Row],[Customer Name]],Таблица1[Order-Year-Month],Таблица1[[#This Row],[Order-Year-Month]])</f>
        <v>0.33333333333333331</v>
      </c>
    </row>
    <row r="5658" spans="1:26" x14ac:dyDescent="0.2">
      <c r="A5658" s="6">
        <v>6145</v>
      </c>
      <c r="B5658" s="7">
        <v>43493</v>
      </c>
      <c r="C5658" s="8">
        <f>DATE(2012,12,31)-235</f>
        <v>41039</v>
      </c>
      <c r="D5658" s="8" t="str">
        <f t="shared" si="105"/>
        <v>2012-05 (май 2012)</v>
      </c>
      <c r="E5658" s="9" t="s">
        <v>30</v>
      </c>
      <c r="F5658" s="7">
        <v>37</v>
      </c>
      <c r="G5658" s="7">
        <v>1699.9829999999999</v>
      </c>
      <c r="H5658" s="7">
        <v>0.1</v>
      </c>
      <c r="I5658" s="9" t="s">
        <v>22</v>
      </c>
      <c r="J5658" s="10">
        <v>-202.86199999999999</v>
      </c>
      <c r="K5658" s="11">
        <v>55.99</v>
      </c>
      <c r="L5658" s="11">
        <v>5</v>
      </c>
      <c r="M5658" s="9" t="s">
        <v>1945</v>
      </c>
      <c r="N5658" s="6" t="s">
        <v>1905</v>
      </c>
      <c r="O5658" s="6" t="s">
        <v>673</v>
      </c>
      <c r="P5658" s="9" t="s">
        <v>41</v>
      </c>
      <c r="Q5658" s="9" t="s">
        <v>42</v>
      </c>
      <c r="R5658" s="9" t="s">
        <v>43</v>
      </c>
      <c r="S5658" s="7" t="s">
        <v>248</v>
      </c>
      <c r="T5658" s="9" t="s">
        <v>52</v>
      </c>
      <c r="U5658" s="7">
        <v>0.83</v>
      </c>
      <c r="V5658" s="12">
        <f>C5658+3</f>
        <v>41042</v>
      </c>
      <c r="W5658">
        <f>IF(D5658=' Pivot Tables'!$A$4,1,0)</f>
        <v>0</v>
      </c>
      <c r="X5658">
        <f>IF(AND(LEFT(D5658,4)+1=LEFT(' Pivot Tables'!$A$4,4)+0,RIGHT(LEFT(D5658,7),2)=RIGHT(LEFT(' Pivot Tables'!$A$4,7),2)),1,0)</f>
        <v>0</v>
      </c>
      <c r="Y5658" s="6">
        <f>1/COUNTIF(Таблица1[Order ID],Таблица1[[#This Row],[Order ID]])</f>
        <v>0.33333333333333331</v>
      </c>
      <c r="Z5658" s="9">
        <f>1/COUNTIFS(Таблица1[Customer Name],Таблица1[[#This Row],[Customer Name]],Таблица1[Order-Year-Month],Таблица1[[#This Row],[Order-Year-Month]])</f>
        <v>0.33333333333333331</v>
      </c>
    </row>
    <row r="5659" spans="1:26" x14ac:dyDescent="0.2">
      <c r="A5659" s="6">
        <v>6152</v>
      </c>
      <c r="B5659" s="7">
        <v>43555</v>
      </c>
      <c r="C5659" s="8">
        <f>DATE(2012,12,31)-181</f>
        <v>41093</v>
      </c>
      <c r="D5659" s="8" t="str">
        <f t="shared" si="105"/>
        <v>2012-07 (июль 2012)</v>
      </c>
      <c r="E5659" s="9" t="s">
        <v>63</v>
      </c>
      <c r="F5659" s="7">
        <v>34</v>
      </c>
      <c r="G5659" s="7">
        <v>43.54</v>
      </c>
      <c r="H5659" s="7">
        <v>0</v>
      </c>
      <c r="I5659" s="9" t="s">
        <v>22</v>
      </c>
      <c r="J5659" s="10">
        <v>-17.48</v>
      </c>
      <c r="K5659" s="11">
        <v>1.26</v>
      </c>
      <c r="L5659" s="11">
        <v>0.7</v>
      </c>
      <c r="M5659" s="9" t="s">
        <v>1937</v>
      </c>
      <c r="N5659" s="6" t="s">
        <v>1905</v>
      </c>
      <c r="O5659" s="6" t="s">
        <v>673</v>
      </c>
      <c r="P5659" s="9" t="s">
        <v>41</v>
      </c>
      <c r="Q5659" s="9" t="s">
        <v>26</v>
      </c>
      <c r="R5659" s="9" t="s">
        <v>66</v>
      </c>
      <c r="S5659" s="7" t="s">
        <v>351</v>
      </c>
      <c r="T5659" s="9" t="s">
        <v>68</v>
      </c>
      <c r="U5659" s="7">
        <v>0.81</v>
      </c>
      <c r="V5659" s="12">
        <f>C5659+2</f>
        <v>41095</v>
      </c>
      <c r="W5659">
        <f>IF(D5659=' Pivot Tables'!$A$4,1,0)</f>
        <v>0</v>
      </c>
      <c r="X5659">
        <f>IF(AND(LEFT(D5659,4)+1=LEFT(' Pivot Tables'!$A$4,4)+0,RIGHT(LEFT(D5659,7),2)=RIGHT(LEFT(' Pivot Tables'!$A$4,7),2)),1,0)</f>
        <v>0</v>
      </c>
      <c r="Y5659" s="6">
        <f>1/COUNTIF(Таблица1[Order ID],Таблица1[[#This Row],[Order ID]])</f>
        <v>1</v>
      </c>
      <c r="Z5659" s="9">
        <f>1/COUNTIFS(Таблица1[Customer Name],Таблица1[[#This Row],[Customer Name]],Таблица1[Order-Year-Month],Таблица1[[#This Row],[Order-Year-Month]])</f>
        <v>1</v>
      </c>
    </row>
    <row r="5660" spans="1:26" x14ac:dyDescent="0.2">
      <c r="A5660" s="6">
        <v>6283</v>
      </c>
      <c r="B5660" s="7">
        <v>44452</v>
      </c>
      <c r="C5660" s="8">
        <f>DATE(2012,12,31)-388</f>
        <v>40886</v>
      </c>
      <c r="D5660" s="8" t="str">
        <f t="shared" si="105"/>
        <v>2011-12 (декабрь 2011)</v>
      </c>
      <c r="E5660" s="9" t="s">
        <v>45</v>
      </c>
      <c r="F5660" s="7">
        <v>50</v>
      </c>
      <c r="G5660" s="7">
        <v>330.27</v>
      </c>
      <c r="H5660" s="7">
        <v>7.0000000000000007E-2</v>
      </c>
      <c r="I5660" s="9" t="s">
        <v>22</v>
      </c>
      <c r="J5660" s="10">
        <v>-195.57</v>
      </c>
      <c r="K5660" s="11">
        <v>6.48</v>
      </c>
      <c r="L5660" s="11">
        <v>7.86</v>
      </c>
      <c r="M5660" s="9" t="s">
        <v>1944</v>
      </c>
      <c r="N5660" s="6" t="s">
        <v>1905</v>
      </c>
      <c r="O5660" s="6" t="s">
        <v>673</v>
      </c>
      <c r="P5660" s="9" t="s">
        <v>60</v>
      </c>
      <c r="Q5660" s="9" t="s">
        <v>26</v>
      </c>
      <c r="R5660" s="9" t="s">
        <v>61</v>
      </c>
      <c r="S5660" s="7" t="s">
        <v>153</v>
      </c>
      <c r="T5660" s="9" t="s">
        <v>39</v>
      </c>
      <c r="U5660" s="7">
        <v>0.37</v>
      </c>
      <c r="V5660" s="12">
        <f>C5660+2</f>
        <v>40888</v>
      </c>
      <c r="W5660">
        <f>IF(D5660=' Pivot Tables'!$A$4,1,0)</f>
        <v>0</v>
      </c>
      <c r="X5660">
        <f>IF(AND(LEFT(D5660,4)+1=LEFT(' Pivot Tables'!$A$4,4)+0,RIGHT(LEFT(D5660,7),2)=RIGHT(LEFT(' Pivot Tables'!$A$4,7),2)),1,0)</f>
        <v>0</v>
      </c>
      <c r="Y5660" s="6">
        <f>1/COUNTIF(Таблица1[Order ID],Таблица1[[#This Row],[Order ID]])</f>
        <v>1</v>
      </c>
      <c r="Z5660" s="9">
        <f>1/COUNTIFS(Таблица1[Customer Name],Таблица1[[#This Row],[Customer Name]],Таблица1[Order-Year-Month],Таблица1[[#This Row],[Order-Year-Month]])</f>
        <v>1</v>
      </c>
    </row>
    <row r="5661" spans="1:26" x14ac:dyDescent="0.2">
      <c r="A5661" s="6">
        <v>6404</v>
      </c>
      <c r="B5661" s="7">
        <v>45506</v>
      </c>
      <c r="C5661" s="8">
        <f>DATE(2012,12,31)-371</f>
        <v>40903</v>
      </c>
      <c r="D5661" s="8" t="str">
        <f t="shared" si="105"/>
        <v>2011-12 (декабрь 2011)</v>
      </c>
      <c r="E5661" s="9" t="s">
        <v>21</v>
      </c>
      <c r="F5661" s="7">
        <v>3</v>
      </c>
      <c r="G5661" s="7">
        <v>448.36649999999997</v>
      </c>
      <c r="H5661" s="7">
        <v>0.03</v>
      </c>
      <c r="I5661" s="9" t="s">
        <v>22</v>
      </c>
      <c r="J5661" s="10">
        <v>-748.40700000000004</v>
      </c>
      <c r="K5661" s="11">
        <v>175.99</v>
      </c>
      <c r="L5661" s="11">
        <v>8.99</v>
      </c>
      <c r="M5661" s="9" t="s">
        <v>1940</v>
      </c>
      <c r="N5661" s="6" t="s">
        <v>1905</v>
      </c>
      <c r="O5661" s="6" t="s">
        <v>673</v>
      </c>
      <c r="P5661" s="9" t="s">
        <v>33</v>
      </c>
      <c r="Q5661" s="9" t="s">
        <v>42</v>
      </c>
      <c r="R5661" s="9" t="s">
        <v>43</v>
      </c>
      <c r="S5661" s="7" t="s">
        <v>631</v>
      </c>
      <c r="T5661" s="9" t="s">
        <v>39</v>
      </c>
      <c r="U5661" s="7">
        <v>0.56999999999999995</v>
      </c>
      <c r="V5661" s="12">
        <f>C5661+5</f>
        <v>40908</v>
      </c>
      <c r="W5661">
        <f>IF(D5661=' Pivot Tables'!$A$4,1,0)</f>
        <v>0</v>
      </c>
      <c r="X5661">
        <f>IF(AND(LEFT(D5661,4)+1=LEFT(' Pivot Tables'!$A$4,4)+0,RIGHT(LEFT(D5661,7),2)=RIGHT(LEFT(' Pivot Tables'!$A$4,7),2)),1,0)</f>
        <v>0</v>
      </c>
      <c r="Y5661" s="6">
        <f>1/COUNTIF(Таблица1[Order ID],Таблица1[[#This Row],[Order ID]])</f>
        <v>1</v>
      </c>
      <c r="Z5661" s="9">
        <f>1/COUNTIFS(Таблица1[Customer Name],Таблица1[[#This Row],[Customer Name]],Таблица1[Order-Year-Month],Таблица1[[#This Row],[Order-Year-Month]])</f>
        <v>1</v>
      </c>
    </row>
    <row r="5662" spans="1:26" x14ac:dyDescent="0.2">
      <c r="A5662" s="6">
        <v>6441</v>
      </c>
      <c r="B5662" s="7">
        <v>45767</v>
      </c>
      <c r="C5662" s="8">
        <f>DATE(2012,12,31)-174</f>
        <v>41100</v>
      </c>
      <c r="D5662" s="8" t="str">
        <f t="shared" si="105"/>
        <v>2012-07 (июль 2012)</v>
      </c>
      <c r="E5662" s="9" t="s">
        <v>30</v>
      </c>
      <c r="F5662" s="7">
        <v>49</v>
      </c>
      <c r="G5662" s="7">
        <v>841.51</v>
      </c>
      <c r="H5662" s="7">
        <v>0.05</v>
      </c>
      <c r="I5662" s="9" t="s">
        <v>56</v>
      </c>
      <c r="J5662" s="10">
        <v>20.86</v>
      </c>
      <c r="K5662" s="11">
        <v>16.91</v>
      </c>
      <c r="L5662" s="11">
        <v>6.25</v>
      </c>
      <c r="M5662" s="9" t="s">
        <v>1945</v>
      </c>
      <c r="N5662" s="6" t="s">
        <v>1905</v>
      </c>
      <c r="O5662" s="6" t="s">
        <v>673</v>
      </c>
      <c r="P5662" s="9" t="s">
        <v>41</v>
      </c>
      <c r="Q5662" s="9" t="s">
        <v>26</v>
      </c>
      <c r="R5662" s="9" t="s">
        <v>27</v>
      </c>
      <c r="S5662" s="7" t="s">
        <v>794</v>
      </c>
      <c r="T5662" s="9" t="s">
        <v>39</v>
      </c>
      <c r="U5662" s="7">
        <v>0.57999999999999996</v>
      </c>
      <c r="V5662" s="12">
        <f>C5662+2</f>
        <v>41102</v>
      </c>
      <c r="W5662">
        <f>IF(D5662=' Pivot Tables'!$A$4,1,0)</f>
        <v>0</v>
      </c>
      <c r="X5662">
        <f>IF(AND(LEFT(D5662,4)+1=LEFT(' Pivot Tables'!$A$4,4)+0,RIGHT(LEFT(D5662,7),2)=RIGHT(LEFT(' Pivot Tables'!$A$4,7),2)),1,0)</f>
        <v>0</v>
      </c>
      <c r="Y5662" s="6">
        <f>1/COUNTIF(Таблица1[Order ID],Таблица1[[#This Row],[Order ID]])</f>
        <v>1</v>
      </c>
      <c r="Z5662" s="9">
        <f>1/COUNTIFS(Таблица1[Customer Name],Таблица1[[#This Row],[Customer Name]],Таблица1[Order-Year-Month],Таблица1[[#This Row],[Order-Year-Month]])</f>
        <v>1</v>
      </c>
    </row>
    <row r="5663" spans="1:26" x14ac:dyDescent="0.2">
      <c r="A5663" s="6">
        <v>6457</v>
      </c>
      <c r="B5663" s="7">
        <v>45986</v>
      </c>
      <c r="C5663" s="8">
        <f>DATE(2012,12,31)-1102</f>
        <v>40172</v>
      </c>
      <c r="D5663" s="8" t="str">
        <f t="shared" si="105"/>
        <v>2009-12 (декабрь 2009)</v>
      </c>
      <c r="E5663" s="9" t="s">
        <v>21</v>
      </c>
      <c r="F5663" s="7">
        <v>20</v>
      </c>
      <c r="G5663" s="7">
        <v>71.069999999999993</v>
      </c>
      <c r="H5663" s="7">
        <v>0.08</v>
      </c>
      <c r="I5663" s="9" t="s">
        <v>22</v>
      </c>
      <c r="J5663" s="10">
        <v>-15.09</v>
      </c>
      <c r="K5663" s="11">
        <v>3.69</v>
      </c>
      <c r="L5663" s="11">
        <v>2.5</v>
      </c>
      <c r="M5663" s="9" t="s">
        <v>1942</v>
      </c>
      <c r="N5663" s="6" t="s">
        <v>1905</v>
      </c>
      <c r="O5663" s="6" t="s">
        <v>673</v>
      </c>
      <c r="P5663" s="9" t="s">
        <v>25</v>
      </c>
      <c r="Q5663" s="9" t="s">
        <v>26</v>
      </c>
      <c r="R5663" s="9" t="s">
        <v>76</v>
      </c>
      <c r="S5663" s="7" t="s">
        <v>647</v>
      </c>
      <c r="T5663" s="9" t="s">
        <v>39</v>
      </c>
      <c r="U5663" s="7">
        <v>0.39</v>
      </c>
      <c r="V5663" s="12">
        <f>C5663+5</f>
        <v>40177</v>
      </c>
      <c r="W5663">
        <f>IF(D5663=' Pivot Tables'!$A$4,1,0)</f>
        <v>0</v>
      </c>
      <c r="X5663">
        <f>IF(AND(LEFT(D5663,4)+1=LEFT(' Pivot Tables'!$A$4,4)+0,RIGHT(LEFT(D5663,7),2)=RIGHT(LEFT(' Pivot Tables'!$A$4,7),2)),1,0)</f>
        <v>0</v>
      </c>
      <c r="Y5663" s="6">
        <f>1/COUNTIF(Таблица1[Order ID],Таблица1[[#This Row],[Order ID]])</f>
        <v>1</v>
      </c>
      <c r="Z5663" s="9">
        <f>1/COUNTIFS(Таблица1[Customer Name],Таблица1[[#This Row],[Customer Name]],Таблица1[Order-Year-Month],Таблица1[[#This Row],[Order-Year-Month]])</f>
        <v>1</v>
      </c>
    </row>
    <row r="5664" spans="1:26" x14ac:dyDescent="0.2">
      <c r="A5664" s="6">
        <v>6584</v>
      </c>
      <c r="B5664" s="7">
        <v>46881</v>
      </c>
      <c r="C5664" s="8">
        <f>DATE(2012,12,31)-1182</f>
        <v>40092</v>
      </c>
      <c r="D5664" s="8" t="str">
        <f t="shared" si="105"/>
        <v>2009-10 (октябрь 2009)</v>
      </c>
      <c r="E5664" s="9" t="s">
        <v>78</v>
      </c>
      <c r="F5664" s="7">
        <v>31</v>
      </c>
      <c r="G5664" s="7">
        <v>176.28</v>
      </c>
      <c r="H5664" s="7">
        <v>7.0000000000000007E-2</v>
      </c>
      <c r="I5664" s="9" t="s">
        <v>56</v>
      </c>
      <c r="J5664" s="10">
        <v>-80.30449999999999</v>
      </c>
      <c r="K5664" s="11">
        <v>5.18</v>
      </c>
      <c r="L5664" s="11">
        <v>5.74</v>
      </c>
      <c r="M5664" s="9" t="s">
        <v>1945</v>
      </c>
      <c r="N5664" s="6" t="s">
        <v>1905</v>
      </c>
      <c r="O5664" s="6" t="s">
        <v>673</v>
      </c>
      <c r="P5664" s="9" t="s">
        <v>41</v>
      </c>
      <c r="Q5664" s="9" t="s">
        <v>26</v>
      </c>
      <c r="R5664" s="9" t="s">
        <v>37</v>
      </c>
      <c r="S5664" s="7" t="s">
        <v>606</v>
      </c>
      <c r="T5664" s="9" t="s">
        <v>39</v>
      </c>
      <c r="U5664" s="7">
        <v>0.36</v>
      </c>
      <c r="V5664" s="12">
        <f>C5664+2</f>
        <v>40094</v>
      </c>
      <c r="W5664">
        <f>IF(D5664=' Pivot Tables'!$A$4,1,0)</f>
        <v>0</v>
      </c>
      <c r="X5664">
        <f>IF(AND(LEFT(D5664,4)+1=LEFT(' Pivot Tables'!$A$4,4)+0,RIGHT(LEFT(D5664,7),2)=RIGHT(LEFT(' Pivot Tables'!$A$4,7),2)),1,0)</f>
        <v>0</v>
      </c>
      <c r="Y5664" s="6">
        <f>1/COUNTIF(Таблица1[Order ID],Таблица1[[#This Row],[Order ID]])</f>
        <v>1</v>
      </c>
      <c r="Z5664" s="9">
        <f>1/COUNTIFS(Таблица1[Customer Name],Таблица1[[#This Row],[Customer Name]],Таблица1[Order-Year-Month],Таблица1[[#This Row],[Order-Year-Month]])</f>
        <v>1</v>
      </c>
    </row>
    <row r="5665" spans="1:26" x14ac:dyDescent="0.2">
      <c r="A5665" s="6">
        <v>6601</v>
      </c>
      <c r="B5665" s="7">
        <v>46979</v>
      </c>
      <c r="C5665" s="8">
        <f>DATE(2012,12,31)-168</f>
        <v>41106</v>
      </c>
      <c r="D5665" s="8" t="str">
        <f t="shared" si="105"/>
        <v>2012-07 (июль 2012)</v>
      </c>
      <c r="E5665" s="9" t="s">
        <v>21</v>
      </c>
      <c r="F5665" s="7">
        <v>30</v>
      </c>
      <c r="G5665" s="7">
        <v>8718.4599999999991</v>
      </c>
      <c r="H5665" s="7">
        <v>0.09</v>
      </c>
      <c r="I5665" s="9" t="s">
        <v>31</v>
      </c>
      <c r="J5665" s="10">
        <v>1554.85</v>
      </c>
      <c r="K5665" s="11">
        <v>306.14</v>
      </c>
      <c r="L5665" s="11">
        <v>26.53</v>
      </c>
      <c r="M5665" s="9" t="s">
        <v>1940</v>
      </c>
      <c r="N5665" s="6" t="s">
        <v>1905</v>
      </c>
      <c r="O5665" s="6" t="s">
        <v>673</v>
      </c>
      <c r="P5665" s="9" t="s">
        <v>33</v>
      </c>
      <c r="Q5665" s="9" t="s">
        <v>42</v>
      </c>
      <c r="R5665" s="9" t="s">
        <v>210</v>
      </c>
      <c r="S5665" s="7" t="s">
        <v>1085</v>
      </c>
      <c r="T5665" s="9" t="s">
        <v>36</v>
      </c>
      <c r="U5665" s="7">
        <v>0.56000000000000005</v>
      </c>
      <c r="V5665" s="12">
        <f>C5665+2</f>
        <v>41108</v>
      </c>
      <c r="W5665">
        <f>IF(D5665=' Pivot Tables'!$A$4,1,0)</f>
        <v>0</v>
      </c>
      <c r="X5665">
        <f>IF(AND(LEFT(D5665,4)+1=LEFT(' Pivot Tables'!$A$4,4)+0,RIGHT(LEFT(D5665,7),2)=RIGHT(LEFT(' Pivot Tables'!$A$4,7),2)),1,0)</f>
        <v>0</v>
      </c>
      <c r="Y5665" s="6">
        <f>1/COUNTIF(Таблица1[Order ID],Таблица1[[#This Row],[Order ID]])</f>
        <v>0.5</v>
      </c>
      <c r="Z5665" s="9">
        <f>1/COUNTIFS(Таблица1[Customer Name],Таблица1[[#This Row],[Customer Name]],Таблица1[Order-Year-Month],Таблица1[[#This Row],[Order-Year-Month]])</f>
        <v>0.25</v>
      </c>
    </row>
    <row r="5666" spans="1:26" x14ac:dyDescent="0.2">
      <c r="A5666" s="6">
        <v>6602</v>
      </c>
      <c r="B5666" s="7">
        <v>46979</v>
      </c>
      <c r="C5666" s="8">
        <f>DATE(2012,12,31)-168</f>
        <v>41106</v>
      </c>
      <c r="D5666" s="8" t="str">
        <f t="shared" si="105"/>
        <v>2012-07 (июль 2012)</v>
      </c>
      <c r="E5666" s="9" t="s">
        <v>21</v>
      </c>
      <c r="F5666" s="7">
        <v>26</v>
      </c>
      <c r="G5666" s="7">
        <v>135.88</v>
      </c>
      <c r="H5666" s="7">
        <v>0.05</v>
      </c>
      <c r="I5666" s="9" t="s">
        <v>22</v>
      </c>
      <c r="J5666" s="10">
        <v>-66.02</v>
      </c>
      <c r="K5666" s="11">
        <v>4.9800000000000004</v>
      </c>
      <c r="L5666" s="11">
        <v>5.49</v>
      </c>
      <c r="M5666" s="9" t="s">
        <v>1940</v>
      </c>
      <c r="N5666" s="6" t="s">
        <v>1905</v>
      </c>
      <c r="O5666" s="6" t="s">
        <v>673</v>
      </c>
      <c r="P5666" s="9" t="s">
        <v>33</v>
      </c>
      <c r="Q5666" s="9" t="s">
        <v>26</v>
      </c>
      <c r="R5666" s="9" t="s">
        <v>61</v>
      </c>
      <c r="S5666" s="7" t="s">
        <v>1224</v>
      </c>
      <c r="T5666" s="9" t="s">
        <v>39</v>
      </c>
      <c r="U5666" s="7">
        <v>0.38</v>
      </c>
      <c r="V5666" s="12">
        <f>C5666+9</f>
        <v>41115</v>
      </c>
      <c r="W5666">
        <f>IF(D5666=' Pivot Tables'!$A$4,1,0)</f>
        <v>0</v>
      </c>
      <c r="X5666">
        <f>IF(AND(LEFT(D5666,4)+1=LEFT(' Pivot Tables'!$A$4,4)+0,RIGHT(LEFT(D5666,7),2)=RIGHT(LEFT(' Pivot Tables'!$A$4,7),2)),1,0)</f>
        <v>0</v>
      </c>
      <c r="Y5666" s="6">
        <f>1/COUNTIF(Таблица1[Order ID],Таблица1[[#This Row],[Order ID]])</f>
        <v>0.5</v>
      </c>
      <c r="Z5666" s="9">
        <f>1/COUNTIFS(Таблица1[Customer Name],Таблица1[[#This Row],[Customer Name]],Таблица1[Order-Year-Month],Таблица1[[#This Row],[Order-Year-Month]])</f>
        <v>0.25</v>
      </c>
    </row>
    <row r="5667" spans="1:26" x14ac:dyDescent="0.2">
      <c r="A5667" s="6">
        <v>6611</v>
      </c>
      <c r="B5667" s="7">
        <v>47040</v>
      </c>
      <c r="C5667" s="8">
        <f>DATE(2012,12,31)-868</f>
        <v>40406</v>
      </c>
      <c r="D5667" s="8" t="str">
        <f t="shared" si="105"/>
        <v>2010-08 (август 2010)</v>
      </c>
      <c r="E5667" s="9" t="s">
        <v>30</v>
      </c>
      <c r="F5667" s="7">
        <v>38</v>
      </c>
      <c r="G5667" s="7">
        <v>487.98</v>
      </c>
      <c r="H5667" s="7">
        <v>0.01</v>
      </c>
      <c r="I5667" s="9" t="s">
        <v>22</v>
      </c>
      <c r="J5667" s="10">
        <v>8.1005000000000003</v>
      </c>
      <c r="K5667" s="11">
        <v>12.53</v>
      </c>
      <c r="L5667" s="11">
        <v>7.17</v>
      </c>
      <c r="M5667" s="9" t="s">
        <v>1152</v>
      </c>
      <c r="N5667" s="6" t="s">
        <v>1905</v>
      </c>
      <c r="O5667" s="6" t="s">
        <v>673</v>
      </c>
      <c r="P5667" s="9" t="s">
        <v>33</v>
      </c>
      <c r="Q5667" s="9" t="s">
        <v>26</v>
      </c>
      <c r="R5667" s="9" t="s">
        <v>37</v>
      </c>
      <c r="S5667" s="7" t="s">
        <v>1414</v>
      </c>
      <c r="T5667" s="9" t="s">
        <v>39</v>
      </c>
      <c r="U5667" s="7">
        <v>0.38</v>
      </c>
      <c r="V5667" s="12">
        <f>C5667+1</f>
        <v>40407</v>
      </c>
      <c r="W5667">
        <f>IF(D5667=' Pivot Tables'!$A$4,1,0)</f>
        <v>0</v>
      </c>
      <c r="X5667">
        <f>IF(AND(LEFT(D5667,4)+1=LEFT(' Pivot Tables'!$A$4,4)+0,RIGHT(LEFT(D5667,7),2)=RIGHT(LEFT(' Pivot Tables'!$A$4,7),2)),1,0)</f>
        <v>0</v>
      </c>
      <c r="Y5667" s="6">
        <f>1/COUNTIF(Таблица1[Order ID],Таблица1[[#This Row],[Order ID]])</f>
        <v>1</v>
      </c>
      <c r="Z5667" s="9">
        <f>1/COUNTIFS(Таблица1[Customer Name],Таблица1[[#This Row],[Customer Name]],Таблица1[Order-Year-Month],Таблица1[[#This Row],[Order-Year-Month]])</f>
        <v>1</v>
      </c>
    </row>
    <row r="5668" spans="1:26" x14ac:dyDescent="0.2">
      <c r="A5668" s="6">
        <v>6792</v>
      </c>
      <c r="B5668" s="7">
        <v>48391</v>
      </c>
      <c r="C5668" s="8">
        <f>DATE(2012,12,31)-794</f>
        <v>40480</v>
      </c>
      <c r="D5668" s="8" t="str">
        <f t="shared" si="105"/>
        <v>2010-10 (октябрь 2010)</v>
      </c>
      <c r="E5668" s="9" t="s">
        <v>45</v>
      </c>
      <c r="F5668" s="7">
        <v>45</v>
      </c>
      <c r="G5668" s="7">
        <v>254.92</v>
      </c>
      <c r="H5668" s="7">
        <v>0.1</v>
      </c>
      <c r="I5668" s="9" t="s">
        <v>22</v>
      </c>
      <c r="J5668" s="10">
        <v>-99.62</v>
      </c>
      <c r="K5668" s="11">
        <v>5.98</v>
      </c>
      <c r="L5668" s="11">
        <v>5.46</v>
      </c>
      <c r="M5668" s="9" t="s">
        <v>1945</v>
      </c>
      <c r="N5668" s="6" t="s">
        <v>1905</v>
      </c>
      <c r="O5668" s="6" t="s">
        <v>673</v>
      </c>
      <c r="P5668" s="9" t="s">
        <v>41</v>
      </c>
      <c r="Q5668" s="9" t="s">
        <v>26</v>
      </c>
      <c r="R5668" s="9" t="s">
        <v>61</v>
      </c>
      <c r="S5668" s="7" t="s">
        <v>751</v>
      </c>
      <c r="T5668" s="9" t="s">
        <v>39</v>
      </c>
      <c r="U5668" s="7">
        <v>0.36</v>
      </c>
      <c r="V5668" s="12">
        <f>C5668+1</f>
        <v>40481</v>
      </c>
      <c r="W5668">
        <f>IF(D5668=' Pivot Tables'!$A$4,1,0)</f>
        <v>0</v>
      </c>
      <c r="X5668">
        <f>IF(AND(LEFT(D5668,4)+1=LEFT(' Pivot Tables'!$A$4,4)+0,RIGHT(LEFT(D5668,7),2)=RIGHT(LEFT(' Pivot Tables'!$A$4,7),2)),1,0)</f>
        <v>0</v>
      </c>
      <c r="Y5668" s="6">
        <f>1/COUNTIF(Таблица1[Order ID],Таблица1[[#This Row],[Order ID]])</f>
        <v>1</v>
      </c>
      <c r="Z5668" s="9">
        <f>1/COUNTIFS(Таблица1[Customer Name],Таблица1[[#This Row],[Customer Name]],Таблица1[Order-Year-Month],Таблица1[[#This Row],[Order-Year-Month]])</f>
        <v>1</v>
      </c>
    </row>
    <row r="5669" spans="1:26" x14ac:dyDescent="0.2">
      <c r="A5669" s="6">
        <v>7255</v>
      </c>
      <c r="B5669" s="7">
        <v>51780</v>
      </c>
      <c r="C5669" s="8">
        <f>DATE(2012,12,31)-891</f>
        <v>40383</v>
      </c>
      <c r="D5669" s="8" t="str">
        <f t="shared" si="105"/>
        <v>2010-07 (июль 2010)</v>
      </c>
      <c r="E5669" s="9" t="s">
        <v>21</v>
      </c>
      <c r="F5669" s="7">
        <v>26</v>
      </c>
      <c r="G5669" s="7">
        <v>1846.2</v>
      </c>
      <c r="H5669" s="7">
        <v>0.04</v>
      </c>
      <c r="I5669" s="9" t="s">
        <v>31</v>
      </c>
      <c r="J5669" s="10">
        <v>-584.92999999999995</v>
      </c>
      <c r="K5669" s="11">
        <v>68.81</v>
      </c>
      <c r="L5669" s="11">
        <v>60</v>
      </c>
      <c r="M5669" s="9" t="s">
        <v>1152</v>
      </c>
      <c r="N5669" s="6" t="s">
        <v>1905</v>
      </c>
      <c r="O5669" s="6" t="s">
        <v>673</v>
      </c>
      <c r="P5669" s="9" t="s">
        <v>33</v>
      </c>
      <c r="Q5669" s="9" t="s">
        <v>26</v>
      </c>
      <c r="R5669" s="9" t="s">
        <v>34</v>
      </c>
      <c r="S5669" s="7" t="s">
        <v>605</v>
      </c>
      <c r="T5669" s="9" t="s">
        <v>36</v>
      </c>
      <c r="U5669" s="7">
        <v>0.41</v>
      </c>
      <c r="V5669" s="12">
        <f>C5669+2</f>
        <v>40385</v>
      </c>
      <c r="W5669">
        <f>IF(D5669=' Pivot Tables'!$A$4,1,0)</f>
        <v>0</v>
      </c>
      <c r="X5669">
        <f>IF(AND(LEFT(D5669,4)+1=LEFT(' Pivot Tables'!$A$4,4)+0,RIGHT(LEFT(D5669,7),2)=RIGHT(LEFT(' Pivot Tables'!$A$4,7),2)),1,0)</f>
        <v>0</v>
      </c>
      <c r="Y5669" s="6">
        <f>1/COUNTIF(Таблица1[Order ID],Таблица1[[#This Row],[Order ID]])</f>
        <v>0.25</v>
      </c>
      <c r="Z5669" s="9">
        <f>1/COUNTIFS(Таблица1[Customer Name],Таблица1[[#This Row],[Customer Name]],Таблица1[Order-Year-Month],Таблица1[[#This Row],[Order-Year-Month]])</f>
        <v>0.25</v>
      </c>
    </row>
    <row r="5670" spans="1:26" x14ac:dyDescent="0.2">
      <c r="A5670" s="6">
        <v>7256</v>
      </c>
      <c r="B5670" s="7">
        <v>51780</v>
      </c>
      <c r="C5670" s="8">
        <f>DATE(2012,12,31)-891</f>
        <v>40383</v>
      </c>
      <c r="D5670" s="8" t="str">
        <f t="shared" si="105"/>
        <v>2010-07 (июль 2010)</v>
      </c>
      <c r="E5670" s="9" t="s">
        <v>21</v>
      </c>
      <c r="F5670" s="7">
        <v>11</v>
      </c>
      <c r="G5670" s="7">
        <v>32.03</v>
      </c>
      <c r="H5670" s="7">
        <v>0.09</v>
      </c>
      <c r="I5670" s="9" t="s">
        <v>22</v>
      </c>
      <c r="J5670" s="10">
        <v>7.41</v>
      </c>
      <c r="K5670" s="11">
        <v>3.15</v>
      </c>
      <c r="L5670" s="11">
        <v>0.5</v>
      </c>
      <c r="M5670" s="9" t="s">
        <v>1152</v>
      </c>
      <c r="N5670" s="6" t="s">
        <v>1905</v>
      </c>
      <c r="O5670" s="6" t="s">
        <v>673</v>
      </c>
      <c r="P5670" s="9" t="s">
        <v>33</v>
      </c>
      <c r="Q5670" s="9" t="s">
        <v>26</v>
      </c>
      <c r="R5670" s="9" t="s">
        <v>88</v>
      </c>
      <c r="S5670" s="7" t="s">
        <v>774</v>
      </c>
      <c r="T5670" s="9" t="s">
        <v>39</v>
      </c>
      <c r="U5670" s="7">
        <v>0.37</v>
      </c>
      <c r="V5670" s="12">
        <f>C5670+7</f>
        <v>40390</v>
      </c>
      <c r="W5670">
        <f>IF(D5670=' Pivot Tables'!$A$4,1,0)</f>
        <v>0</v>
      </c>
      <c r="X5670">
        <f>IF(AND(LEFT(D5670,4)+1=LEFT(' Pivot Tables'!$A$4,4)+0,RIGHT(LEFT(D5670,7),2)=RIGHT(LEFT(' Pivot Tables'!$A$4,7),2)),1,0)</f>
        <v>0</v>
      </c>
      <c r="Y5670" s="6">
        <f>1/COUNTIF(Таблица1[Order ID],Таблица1[[#This Row],[Order ID]])</f>
        <v>0.25</v>
      </c>
      <c r="Z5670" s="9">
        <f>1/COUNTIFS(Таблица1[Customer Name],Таблица1[[#This Row],[Customer Name]],Таблица1[Order-Year-Month],Таблица1[[#This Row],[Order-Year-Month]])</f>
        <v>0.25</v>
      </c>
    </row>
    <row r="5671" spans="1:26" x14ac:dyDescent="0.2">
      <c r="A5671" s="6">
        <v>7257</v>
      </c>
      <c r="B5671" s="7">
        <v>51780</v>
      </c>
      <c r="C5671" s="8">
        <f>DATE(2012,12,31)-891</f>
        <v>40383</v>
      </c>
      <c r="D5671" s="8" t="str">
        <f t="shared" si="105"/>
        <v>2010-07 (июль 2010)</v>
      </c>
      <c r="E5671" s="9" t="s">
        <v>21</v>
      </c>
      <c r="F5671" s="7">
        <v>44</v>
      </c>
      <c r="G5671" s="7">
        <v>185.82</v>
      </c>
      <c r="H5671" s="7">
        <v>0.05</v>
      </c>
      <c r="I5671" s="9" t="s">
        <v>56</v>
      </c>
      <c r="J5671" s="10">
        <v>11.45</v>
      </c>
      <c r="K5671" s="11">
        <v>4.2</v>
      </c>
      <c r="L5671" s="11">
        <v>2.2599999999999998</v>
      </c>
      <c r="M5671" s="9" t="s">
        <v>1152</v>
      </c>
      <c r="N5671" s="6" t="s">
        <v>1905</v>
      </c>
      <c r="O5671" s="6" t="s">
        <v>673</v>
      </c>
      <c r="P5671" s="9" t="s">
        <v>33</v>
      </c>
      <c r="Q5671" s="9" t="s">
        <v>26</v>
      </c>
      <c r="R5671" s="9" t="s">
        <v>61</v>
      </c>
      <c r="S5671" s="7" t="s">
        <v>1409</v>
      </c>
      <c r="T5671" s="9" t="s">
        <v>68</v>
      </c>
      <c r="U5671" s="7">
        <v>0.36</v>
      </c>
      <c r="V5671" s="12">
        <f>C5671+0</f>
        <v>40383</v>
      </c>
      <c r="W5671">
        <f>IF(D5671=' Pivot Tables'!$A$4,1,0)</f>
        <v>0</v>
      </c>
      <c r="X5671">
        <f>IF(AND(LEFT(D5671,4)+1=LEFT(' Pivot Tables'!$A$4,4)+0,RIGHT(LEFT(D5671,7),2)=RIGHT(LEFT(' Pivot Tables'!$A$4,7),2)),1,0)</f>
        <v>0</v>
      </c>
      <c r="Y5671" s="6">
        <f>1/COUNTIF(Таблица1[Order ID],Таблица1[[#This Row],[Order ID]])</f>
        <v>0.25</v>
      </c>
      <c r="Z5671" s="9">
        <f>1/COUNTIFS(Таблица1[Customer Name],Таблица1[[#This Row],[Customer Name]],Таблица1[Order-Year-Month],Таблица1[[#This Row],[Order-Year-Month]])</f>
        <v>0.25</v>
      </c>
    </row>
    <row r="5672" spans="1:26" x14ac:dyDescent="0.2">
      <c r="A5672" s="6">
        <v>7473</v>
      </c>
      <c r="B5672" s="7">
        <v>53350</v>
      </c>
      <c r="C5672" s="8">
        <f>DATE(2012,12,31)-1296</f>
        <v>39978</v>
      </c>
      <c r="D5672" s="8" t="str">
        <f t="shared" si="105"/>
        <v>2009-06 (июнь 2009)</v>
      </c>
      <c r="E5672" s="9" t="s">
        <v>45</v>
      </c>
      <c r="F5672" s="7">
        <v>24</v>
      </c>
      <c r="G5672" s="7">
        <v>7046.61</v>
      </c>
      <c r="H5672" s="7">
        <v>0.08</v>
      </c>
      <c r="I5672" s="9" t="s">
        <v>22</v>
      </c>
      <c r="J5672" s="10">
        <v>2595.1775000000002</v>
      </c>
      <c r="K5672" s="11">
        <v>315.98</v>
      </c>
      <c r="L5672" s="11">
        <v>19.989999999999998</v>
      </c>
      <c r="M5672" s="9" t="s">
        <v>1944</v>
      </c>
      <c r="N5672" s="6" t="s">
        <v>1905</v>
      </c>
      <c r="O5672" s="6" t="s">
        <v>673</v>
      </c>
      <c r="P5672" s="9" t="s">
        <v>60</v>
      </c>
      <c r="Q5672" s="9" t="s">
        <v>26</v>
      </c>
      <c r="R5672" s="9" t="s">
        <v>37</v>
      </c>
      <c r="S5672" s="7" t="s">
        <v>885</v>
      </c>
      <c r="T5672" s="9" t="s">
        <v>39</v>
      </c>
      <c r="U5672" s="7">
        <v>0.38</v>
      </c>
      <c r="V5672" s="12">
        <f>C5672+0</f>
        <v>39978</v>
      </c>
      <c r="W5672">
        <f>IF(D5672=' Pivot Tables'!$A$4,1,0)</f>
        <v>0</v>
      </c>
      <c r="X5672">
        <f>IF(AND(LEFT(D5672,4)+1=LEFT(' Pivot Tables'!$A$4,4)+0,RIGHT(LEFT(D5672,7),2)=RIGHT(LEFT(' Pivot Tables'!$A$4,7),2)),1,0)</f>
        <v>0</v>
      </c>
      <c r="Y5672" s="6">
        <f>1/COUNTIF(Таблица1[Order ID],Таблица1[[#This Row],[Order ID]])</f>
        <v>1</v>
      </c>
      <c r="Z5672" s="9">
        <f>1/COUNTIFS(Таблица1[Customer Name],Таблица1[[#This Row],[Customer Name]],Таблица1[Order-Year-Month],Таблица1[[#This Row],[Order-Year-Month]])</f>
        <v>1</v>
      </c>
    </row>
    <row r="5673" spans="1:26" x14ac:dyDescent="0.2">
      <c r="A5673" s="6">
        <v>7773</v>
      </c>
      <c r="B5673" s="7">
        <v>55648</v>
      </c>
      <c r="C5673" s="8">
        <f>DATE(2012,12,31)-1209</f>
        <v>40065</v>
      </c>
      <c r="D5673" s="8" t="str">
        <f t="shared" si="105"/>
        <v>2009-09 (сентябрь 2009)</v>
      </c>
      <c r="E5673" s="9" t="s">
        <v>78</v>
      </c>
      <c r="F5673" s="7">
        <v>5</v>
      </c>
      <c r="G5673" s="7">
        <v>14.74</v>
      </c>
      <c r="H5673" s="7">
        <v>0.08</v>
      </c>
      <c r="I5673" s="9" t="s">
        <v>22</v>
      </c>
      <c r="J5673" s="10">
        <v>-2.58</v>
      </c>
      <c r="K5673" s="11">
        <v>2.88</v>
      </c>
      <c r="L5673" s="11">
        <v>0.7</v>
      </c>
      <c r="M5673" s="9" t="s">
        <v>1937</v>
      </c>
      <c r="N5673" s="6" t="s">
        <v>1905</v>
      </c>
      <c r="O5673" s="6" t="s">
        <v>673</v>
      </c>
      <c r="P5673" s="9" t="s">
        <v>41</v>
      </c>
      <c r="Q5673" s="9" t="s">
        <v>26</v>
      </c>
      <c r="R5673" s="9" t="s">
        <v>95</v>
      </c>
      <c r="S5673" s="7" t="s">
        <v>913</v>
      </c>
      <c r="T5673" s="9" t="s">
        <v>68</v>
      </c>
      <c r="U5673" s="7">
        <v>0.56000000000000005</v>
      </c>
      <c r="V5673" s="12">
        <f>C5673+3</f>
        <v>40068</v>
      </c>
      <c r="W5673">
        <f>IF(D5673=' Pivot Tables'!$A$4,1,0)</f>
        <v>0</v>
      </c>
      <c r="X5673">
        <f>IF(AND(LEFT(D5673,4)+1=LEFT(' Pivot Tables'!$A$4,4)+0,RIGHT(LEFT(D5673,7),2)=RIGHT(LEFT(' Pivot Tables'!$A$4,7),2)),1,0)</f>
        <v>0</v>
      </c>
      <c r="Y5673" s="6">
        <f>1/COUNTIF(Таблица1[Order ID],Таблица1[[#This Row],[Order ID]])</f>
        <v>1</v>
      </c>
      <c r="Z5673" s="9">
        <f>1/COUNTIFS(Таблица1[Customer Name],Таблица1[[#This Row],[Customer Name]],Таблица1[Order-Year-Month],Таблица1[[#This Row],[Order-Year-Month]])</f>
        <v>1</v>
      </c>
    </row>
    <row r="5674" spans="1:26" x14ac:dyDescent="0.2">
      <c r="A5674" s="6">
        <v>7783</v>
      </c>
      <c r="B5674" s="7">
        <v>55686</v>
      </c>
      <c r="C5674" s="8">
        <f>DATE(2012,12,31)-647</f>
        <v>40627</v>
      </c>
      <c r="D5674" s="8" t="str">
        <f t="shared" si="105"/>
        <v>2011-03 (март 2011)</v>
      </c>
      <c r="E5674" s="9" t="s">
        <v>78</v>
      </c>
      <c r="F5674" s="7">
        <v>26</v>
      </c>
      <c r="G5674" s="7">
        <v>423.14</v>
      </c>
      <c r="H5674" s="7">
        <v>0.03</v>
      </c>
      <c r="I5674" s="9" t="s">
        <v>22</v>
      </c>
      <c r="J5674" s="10">
        <v>85.51</v>
      </c>
      <c r="K5674" s="11">
        <v>15.98</v>
      </c>
      <c r="L5674" s="11">
        <v>4</v>
      </c>
      <c r="M5674" s="9" t="s">
        <v>1942</v>
      </c>
      <c r="N5674" s="6" t="s">
        <v>1905</v>
      </c>
      <c r="O5674" s="6" t="s">
        <v>673</v>
      </c>
      <c r="P5674" s="9" t="s">
        <v>41</v>
      </c>
      <c r="Q5674" s="9" t="s">
        <v>42</v>
      </c>
      <c r="R5674" s="9" t="s">
        <v>70</v>
      </c>
      <c r="S5674" s="7" t="s">
        <v>536</v>
      </c>
      <c r="T5674" s="9" t="s">
        <v>39</v>
      </c>
      <c r="U5674" s="7">
        <v>0.37</v>
      </c>
      <c r="V5674" s="12">
        <f>C5674+2</f>
        <v>40629</v>
      </c>
      <c r="W5674">
        <f>IF(D5674=' Pivot Tables'!$A$4,1,0)</f>
        <v>0</v>
      </c>
      <c r="X5674">
        <f>IF(AND(LEFT(D5674,4)+1=LEFT(' Pivot Tables'!$A$4,4)+0,RIGHT(LEFT(D5674,7),2)=RIGHT(LEFT(' Pivot Tables'!$A$4,7),2)),1,0)</f>
        <v>0</v>
      </c>
      <c r="Y5674" s="6">
        <f>1/COUNTIF(Таблица1[Order ID],Таблица1[[#This Row],[Order ID]])</f>
        <v>0.33333333333333331</v>
      </c>
      <c r="Z5674" s="9">
        <f>1/COUNTIFS(Таблица1[Customer Name],Таблица1[[#This Row],[Customer Name]],Таблица1[Order-Year-Month],Таблица1[[#This Row],[Order-Year-Month]])</f>
        <v>0.33333333333333331</v>
      </c>
    </row>
    <row r="5675" spans="1:26" x14ac:dyDescent="0.2">
      <c r="A5675" s="6">
        <v>7784</v>
      </c>
      <c r="B5675" s="7">
        <v>55686</v>
      </c>
      <c r="C5675" s="8">
        <f>DATE(2012,12,31)-647</f>
        <v>40627</v>
      </c>
      <c r="D5675" s="8" t="str">
        <f t="shared" si="105"/>
        <v>2011-03 (март 2011)</v>
      </c>
      <c r="E5675" s="9" t="s">
        <v>78</v>
      </c>
      <c r="F5675" s="7">
        <v>22</v>
      </c>
      <c r="G5675" s="7">
        <v>628.39</v>
      </c>
      <c r="H5675" s="7">
        <v>0.1</v>
      </c>
      <c r="I5675" s="9" t="s">
        <v>56</v>
      </c>
      <c r="J5675" s="10">
        <v>181.83</v>
      </c>
      <c r="K5675" s="11">
        <v>30.98</v>
      </c>
      <c r="L5675" s="11">
        <v>5.09</v>
      </c>
      <c r="M5675" s="9" t="s">
        <v>1942</v>
      </c>
      <c r="N5675" s="6" t="s">
        <v>1905</v>
      </c>
      <c r="O5675" s="6" t="s">
        <v>673</v>
      </c>
      <c r="P5675" s="9" t="s">
        <v>41</v>
      </c>
      <c r="Q5675" s="9" t="s">
        <v>26</v>
      </c>
      <c r="R5675" s="9" t="s">
        <v>61</v>
      </c>
      <c r="S5675" s="7" t="s">
        <v>1684</v>
      </c>
      <c r="T5675" s="9" t="s">
        <v>39</v>
      </c>
      <c r="U5675" s="7">
        <v>0.4</v>
      </c>
      <c r="V5675" s="12">
        <f>C5675+2</f>
        <v>40629</v>
      </c>
      <c r="W5675">
        <f>IF(D5675=' Pivot Tables'!$A$4,1,0)</f>
        <v>0</v>
      </c>
      <c r="X5675">
        <f>IF(AND(LEFT(D5675,4)+1=LEFT(' Pivot Tables'!$A$4,4)+0,RIGHT(LEFT(D5675,7),2)=RIGHT(LEFT(' Pivot Tables'!$A$4,7),2)),1,0)</f>
        <v>0</v>
      </c>
      <c r="Y5675" s="6">
        <f>1/COUNTIF(Таблица1[Order ID],Таблица1[[#This Row],[Order ID]])</f>
        <v>0.33333333333333331</v>
      </c>
      <c r="Z5675" s="9">
        <f>1/COUNTIFS(Таблица1[Customer Name],Таблица1[[#This Row],[Customer Name]],Таблица1[Order-Year-Month],Таблица1[[#This Row],[Order-Year-Month]])</f>
        <v>0.33333333333333331</v>
      </c>
    </row>
    <row r="5676" spans="1:26" x14ac:dyDescent="0.2">
      <c r="A5676" s="6">
        <v>7785</v>
      </c>
      <c r="B5676" s="7">
        <v>55686</v>
      </c>
      <c r="C5676" s="8">
        <f>DATE(2012,12,31)-647</f>
        <v>40627</v>
      </c>
      <c r="D5676" s="8" t="str">
        <f t="shared" si="105"/>
        <v>2011-03 (март 2011)</v>
      </c>
      <c r="E5676" s="9" t="s">
        <v>78</v>
      </c>
      <c r="F5676" s="7">
        <v>2</v>
      </c>
      <c r="G5676" s="7">
        <v>162.49</v>
      </c>
      <c r="H5676" s="7">
        <v>0.03</v>
      </c>
      <c r="I5676" s="9" t="s">
        <v>22</v>
      </c>
      <c r="J5676" s="10">
        <v>-94.83</v>
      </c>
      <c r="K5676" s="11">
        <v>81.319999999999993</v>
      </c>
      <c r="L5676" s="11">
        <v>0.99</v>
      </c>
      <c r="M5676" s="9" t="s">
        <v>1942</v>
      </c>
      <c r="N5676" s="6" t="s">
        <v>1905</v>
      </c>
      <c r="O5676" s="6" t="s">
        <v>673</v>
      </c>
      <c r="P5676" s="9" t="s">
        <v>41</v>
      </c>
      <c r="Q5676" s="9" t="s">
        <v>26</v>
      </c>
      <c r="R5676" s="9" t="s">
        <v>34</v>
      </c>
      <c r="S5676" s="7" t="s">
        <v>1949</v>
      </c>
      <c r="T5676" s="9" t="s">
        <v>39</v>
      </c>
      <c r="U5676" s="7">
        <v>0.56999999999999995</v>
      </c>
      <c r="V5676" s="12">
        <f>C5676+3</f>
        <v>40630</v>
      </c>
      <c r="W5676">
        <f>IF(D5676=' Pivot Tables'!$A$4,1,0)</f>
        <v>0</v>
      </c>
      <c r="X5676">
        <f>IF(AND(LEFT(D5676,4)+1=LEFT(' Pivot Tables'!$A$4,4)+0,RIGHT(LEFT(D5676,7),2)=RIGHT(LEFT(' Pivot Tables'!$A$4,7),2)),1,0)</f>
        <v>0</v>
      </c>
      <c r="Y5676" s="6">
        <f>1/COUNTIF(Таблица1[Order ID],Таблица1[[#This Row],[Order ID]])</f>
        <v>0.33333333333333331</v>
      </c>
      <c r="Z5676" s="9">
        <f>1/COUNTIFS(Таблица1[Customer Name],Таблица1[[#This Row],[Customer Name]],Таблица1[Order-Year-Month],Таблица1[[#This Row],[Order-Year-Month]])</f>
        <v>0.33333333333333331</v>
      </c>
    </row>
    <row r="5677" spans="1:26" x14ac:dyDescent="0.2">
      <c r="A5677" s="6">
        <v>7807</v>
      </c>
      <c r="B5677" s="7">
        <v>55847</v>
      </c>
      <c r="C5677" s="8">
        <f>DATE(2012,12,31)-1260</f>
        <v>40014</v>
      </c>
      <c r="D5677" s="8" t="str">
        <f t="shared" si="105"/>
        <v>2009-07 (июль 2009)</v>
      </c>
      <c r="E5677" s="9" t="s">
        <v>45</v>
      </c>
      <c r="F5677" s="7">
        <v>21</v>
      </c>
      <c r="G5677" s="7">
        <v>133.15</v>
      </c>
      <c r="H5677" s="7">
        <v>0.05</v>
      </c>
      <c r="I5677" s="9" t="s">
        <v>22</v>
      </c>
      <c r="J5677" s="10">
        <v>-51.427999999999997</v>
      </c>
      <c r="K5677" s="11">
        <v>6.28</v>
      </c>
      <c r="L5677" s="11">
        <v>5.36</v>
      </c>
      <c r="M5677" s="9" t="s">
        <v>1940</v>
      </c>
      <c r="N5677" s="6" t="s">
        <v>1905</v>
      </c>
      <c r="O5677" s="6" t="s">
        <v>673</v>
      </c>
      <c r="P5677" s="9" t="s">
        <v>33</v>
      </c>
      <c r="Q5677" s="9" t="s">
        <v>26</v>
      </c>
      <c r="R5677" s="9" t="s">
        <v>37</v>
      </c>
      <c r="S5677" s="7" t="s">
        <v>1205</v>
      </c>
      <c r="T5677" s="9" t="s">
        <v>39</v>
      </c>
      <c r="U5677" s="7">
        <v>0.4</v>
      </c>
      <c r="V5677" s="12">
        <f>C5677+3</f>
        <v>40017</v>
      </c>
      <c r="W5677">
        <f>IF(D5677=' Pivot Tables'!$A$4,1,0)</f>
        <v>0</v>
      </c>
      <c r="X5677">
        <f>IF(AND(LEFT(D5677,4)+1=LEFT(' Pivot Tables'!$A$4,4)+0,RIGHT(LEFT(D5677,7),2)=RIGHT(LEFT(' Pivot Tables'!$A$4,7),2)),1,0)</f>
        <v>0</v>
      </c>
      <c r="Y5677" s="6">
        <f>1/COUNTIF(Таблица1[Order ID],Таблица1[[#This Row],[Order ID]])</f>
        <v>0.5</v>
      </c>
      <c r="Z5677" s="9">
        <f>1/COUNTIFS(Таблица1[Customer Name],Таблица1[[#This Row],[Customer Name]],Таблица1[Order-Year-Month],Таблица1[[#This Row],[Order-Year-Month]])</f>
        <v>0.5</v>
      </c>
    </row>
    <row r="5678" spans="1:26" x14ac:dyDescent="0.2">
      <c r="A5678" s="6">
        <v>7808</v>
      </c>
      <c r="B5678" s="7">
        <v>55847</v>
      </c>
      <c r="C5678" s="8">
        <f>DATE(2012,12,31)-1260</f>
        <v>40014</v>
      </c>
      <c r="D5678" s="8" t="str">
        <f t="shared" si="105"/>
        <v>2009-07 (июль 2009)</v>
      </c>
      <c r="E5678" s="9" t="s">
        <v>45</v>
      </c>
      <c r="F5678" s="7">
        <v>45</v>
      </c>
      <c r="G5678" s="7">
        <v>136.71</v>
      </c>
      <c r="H5678" s="7">
        <v>0.04</v>
      </c>
      <c r="I5678" s="9" t="s">
        <v>22</v>
      </c>
      <c r="J5678" s="10">
        <v>34.72</v>
      </c>
      <c r="K5678" s="11">
        <v>3.08</v>
      </c>
      <c r="L5678" s="11">
        <v>0.99</v>
      </c>
      <c r="M5678" s="9" t="s">
        <v>1940</v>
      </c>
      <c r="N5678" s="6" t="s">
        <v>1905</v>
      </c>
      <c r="O5678" s="6" t="s">
        <v>673</v>
      </c>
      <c r="P5678" s="9" t="s">
        <v>33</v>
      </c>
      <c r="Q5678" s="9" t="s">
        <v>26</v>
      </c>
      <c r="R5678" s="9" t="s">
        <v>88</v>
      </c>
      <c r="S5678" s="7" t="s">
        <v>368</v>
      </c>
      <c r="T5678" s="9" t="s">
        <v>39</v>
      </c>
      <c r="U5678" s="7">
        <v>0.37</v>
      </c>
      <c r="V5678" s="12">
        <f>C5678+1</f>
        <v>40015</v>
      </c>
      <c r="W5678">
        <f>IF(D5678=' Pivot Tables'!$A$4,1,0)</f>
        <v>0</v>
      </c>
      <c r="X5678">
        <f>IF(AND(LEFT(D5678,4)+1=LEFT(' Pivot Tables'!$A$4,4)+0,RIGHT(LEFT(D5678,7),2)=RIGHT(LEFT(' Pivot Tables'!$A$4,7),2)),1,0)</f>
        <v>0</v>
      </c>
      <c r="Y5678" s="6">
        <f>1/COUNTIF(Таблица1[Order ID],Таблица1[[#This Row],[Order ID]])</f>
        <v>0.5</v>
      </c>
      <c r="Z5678" s="9">
        <f>1/COUNTIFS(Таблица1[Customer Name],Таблица1[[#This Row],[Customer Name]],Таблица1[Order-Year-Month],Таблица1[[#This Row],[Order-Year-Month]])</f>
        <v>0.5</v>
      </c>
    </row>
    <row r="5679" spans="1:26" x14ac:dyDescent="0.2">
      <c r="A5679" s="6">
        <v>7843</v>
      </c>
      <c r="B5679" s="7">
        <v>56099</v>
      </c>
      <c r="C5679" s="8">
        <f>DATE(2012,12,31)-818</f>
        <v>40456</v>
      </c>
      <c r="D5679" s="8" t="str">
        <f t="shared" si="105"/>
        <v>2010-10 (октябрь 2010)</v>
      </c>
      <c r="E5679" s="9" t="s">
        <v>21</v>
      </c>
      <c r="F5679" s="7">
        <v>6</v>
      </c>
      <c r="G5679" s="7">
        <v>96.03</v>
      </c>
      <c r="H5679" s="7">
        <v>0.1</v>
      </c>
      <c r="I5679" s="9" t="s">
        <v>22</v>
      </c>
      <c r="J5679" s="10">
        <v>-59.39</v>
      </c>
      <c r="K5679" s="11">
        <v>15.7</v>
      </c>
      <c r="L5679" s="11">
        <v>11.25</v>
      </c>
      <c r="M5679" s="9" t="s">
        <v>1930</v>
      </c>
      <c r="N5679" s="6" t="s">
        <v>1905</v>
      </c>
      <c r="O5679" s="6" t="s">
        <v>673</v>
      </c>
      <c r="P5679" s="9" t="s">
        <v>41</v>
      </c>
      <c r="Q5679" s="9" t="s">
        <v>26</v>
      </c>
      <c r="R5679" s="9" t="s">
        <v>27</v>
      </c>
      <c r="S5679" s="7" t="s">
        <v>206</v>
      </c>
      <c r="T5679" s="9" t="s">
        <v>39</v>
      </c>
      <c r="U5679" s="7">
        <v>0.6</v>
      </c>
      <c r="V5679" s="12">
        <f>C5679+7</f>
        <v>40463</v>
      </c>
      <c r="W5679">
        <f>IF(D5679=' Pivot Tables'!$A$4,1,0)</f>
        <v>0</v>
      </c>
      <c r="X5679">
        <f>IF(AND(LEFT(D5679,4)+1=LEFT(' Pivot Tables'!$A$4,4)+0,RIGHT(LEFT(D5679,7),2)=RIGHT(LEFT(' Pivot Tables'!$A$4,7),2)),1,0)</f>
        <v>0</v>
      </c>
      <c r="Y5679" s="6">
        <f>1/COUNTIF(Таблица1[Order ID],Таблица1[[#This Row],[Order ID]])</f>
        <v>0.5</v>
      </c>
      <c r="Z5679" s="9">
        <f>1/COUNTIFS(Таблица1[Customer Name],Таблица1[[#This Row],[Customer Name]],Таблица1[Order-Year-Month],Таблица1[[#This Row],[Order-Year-Month]])</f>
        <v>0.5</v>
      </c>
    </row>
    <row r="5680" spans="1:26" x14ac:dyDescent="0.2">
      <c r="A5680" s="6">
        <v>7859</v>
      </c>
      <c r="B5680" s="7">
        <v>56197</v>
      </c>
      <c r="C5680" s="8">
        <f>DATE(2012,12,31)-1330</f>
        <v>39944</v>
      </c>
      <c r="D5680" s="8" t="str">
        <f t="shared" si="105"/>
        <v>2009-05 (май 2009)</v>
      </c>
      <c r="E5680" s="9" t="s">
        <v>30</v>
      </c>
      <c r="F5680" s="7">
        <v>11</v>
      </c>
      <c r="G5680" s="7">
        <v>28.63</v>
      </c>
      <c r="H5680" s="7">
        <v>0.09</v>
      </c>
      <c r="I5680" s="9" t="s">
        <v>56</v>
      </c>
      <c r="J5680" s="10">
        <v>-21.17</v>
      </c>
      <c r="K5680" s="11">
        <v>1.74</v>
      </c>
      <c r="L5680" s="11">
        <v>4.08</v>
      </c>
      <c r="M5680" s="9" t="s">
        <v>1940</v>
      </c>
      <c r="N5680" s="6" t="s">
        <v>1905</v>
      </c>
      <c r="O5680" s="6" t="s">
        <v>673</v>
      </c>
      <c r="P5680" s="9" t="s">
        <v>33</v>
      </c>
      <c r="Q5680" s="9" t="s">
        <v>49</v>
      </c>
      <c r="R5680" s="9" t="s">
        <v>50</v>
      </c>
      <c r="S5680" s="7" t="s">
        <v>456</v>
      </c>
      <c r="T5680" s="9" t="s">
        <v>52</v>
      </c>
      <c r="U5680" s="7">
        <v>0.53</v>
      </c>
      <c r="V5680" s="12">
        <f>C5680+2</f>
        <v>39946</v>
      </c>
      <c r="W5680">
        <f>IF(D5680=' Pivot Tables'!$A$4,1,0)</f>
        <v>0</v>
      </c>
      <c r="X5680">
        <f>IF(AND(LEFT(D5680,4)+1=LEFT(' Pivot Tables'!$A$4,4)+0,RIGHT(LEFT(D5680,7),2)=RIGHT(LEFT(' Pivot Tables'!$A$4,7),2)),1,0)</f>
        <v>0</v>
      </c>
      <c r="Y5680" s="6">
        <f>1/COUNTIF(Таблица1[Order ID],Таблица1[[#This Row],[Order ID]])</f>
        <v>0.5</v>
      </c>
      <c r="Z5680" s="9">
        <f>1/COUNTIFS(Таблица1[Customer Name],Таблица1[[#This Row],[Customer Name]],Таблица1[Order-Year-Month],Таблица1[[#This Row],[Order-Year-Month]])</f>
        <v>0.5</v>
      </c>
    </row>
    <row r="5681" spans="1:26" x14ac:dyDescent="0.2">
      <c r="A5681" s="6">
        <v>7860</v>
      </c>
      <c r="B5681" s="7">
        <v>56197</v>
      </c>
      <c r="C5681" s="8">
        <f>DATE(2012,12,31)-1330</f>
        <v>39944</v>
      </c>
      <c r="D5681" s="8" t="str">
        <f t="shared" si="105"/>
        <v>2009-05 (май 2009)</v>
      </c>
      <c r="E5681" s="9" t="s">
        <v>30</v>
      </c>
      <c r="F5681" s="7">
        <v>45</v>
      </c>
      <c r="G5681" s="7">
        <v>8014.6240000000007</v>
      </c>
      <c r="H5681" s="7">
        <v>0.08</v>
      </c>
      <c r="I5681" s="9" t="s">
        <v>31</v>
      </c>
      <c r="J5681" s="10">
        <v>1366.1</v>
      </c>
      <c r="K5681" s="11">
        <v>227.55</v>
      </c>
      <c r="L5681" s="11">
        <v>32.479999999999997</v>
      </c>
      <c r="M5681" s="9" t="s">
        <v>1940</v>
      </c>
      <c r="N5681" s="6" t="s">
        <v>1905</v>
      </c>
      <c r="O5681" s="6" t="s">
        <v>673</v>
      </c>
      <c r="P5681" s="9" t="s">
        <v>33</v>
      </c>
      <c r="Q5681" s="9" t="s">
        <v>49</v>
      </c>
      <c r="R5681" s="9" t="s">
        <v>83</v>
      </c>
      <c r="S5681" s="7" t="s">
        <v>1632</v>
      </c>
      <c r="T5681" s="9" t="s">
        <v>82</v>
      </c>
      <c r="U5681" s="7">
        <v>0.68</v>
      </c>
      <c r="V5681" s="12">
        <f>C5681+0</f>
        <v>39944</v>
      </c>
      <c r="W5681">
        <f>IF(D5681=' Pivot Tables'!$A$4,1,0)</f>
        <v>0</v>
      </c>
      <c r="X5681">
        <f>IF(AND(LEFT(D5681,4)+1=LEFT(' Pivot Tables'!$A$4,4)+0,RIGHT(LEFT(D5681,7),2)=RIGHT(LEFT(' Pivot Tables'!$A$4,7),2)),1,0)</f>
        <v>0</v>
      </c>
      <c r="Y5681" s="6">
        <f>1/COUNTIF(Таблица1[Order ID],Таблица1[[#This Row],[Order ID]])</f>
        <v>0.5</v>
      </c>
      <c r="Z5681" s="9">
        <f>1/COUNTIFS(Таблица1[Customer Name],Таблица1[[#This Row],[Customer Name]],Таблица1[Order-Year-Month],Таблица1[[#This Row],[Order-Year-Month]])</f>
        <v>0.5</v>
      </c>
    </row>
    <row r="5682" spans="1:26" x14ac:dyDescent="0.2">
      <c r="A5682" s="6">
        <v>7905</v>
      </c>
      <c r="B5682" s="7">
        <v>56548</v>
      </c>
      <c r="C5682" s="8">
        <f>DATE(2012,12,31)-117</f>
        <v>41157</v>
      </c>
      <c r="D5682" s="8" t="str">
        <f t="shared" si="105"/>
        <v>2012-09 (сентябрь 2012)</v>
      </c>
      <c r="E5682" s="9" t="s">
        <v>63</v>
      </c>
      <c r="F5682" s="7">
        <v>7</v>
      </c>
      <c r="G5682" s="7">
        <v>1339.0240000000001</v>
      </c>
      <c r="H5682" s="7">
        <v>0.03</v>
      </c>
      <c r="I5682" s="9" t="s">
        <v>31</v>
      </c>
      <c r="J5682" s="10">
        <v>-211.51</v>
      </c>
      <c r="K5682" s="11">
        <v>218.75</v>
      </c>
      <c r="L5682" s="11">
        <v>69.64</v>
      </c>
      <c r="M5682" s="9" t="s">
        <v>1942</v>
      </c>
      <c r="N5682" s="6" t="s">
        <v>1905</v>
      </c>
      <c r="O5682" s="6" t="s">
        <v>673</v>
      </c>
      <c r="P5682" s="9" t="s">
        <v>25</v>
      </c>
      <c r="Q5682" s="9" t="s">
        <v>49</v>
      </c>
      <c r="R5682" s="9" t="s">
        <v>83</v>
      </c>
      <c r="S5682" s="7" t="s">
        <v>254</v>
      </c>
      <c r="T5682" s="9" t="s">
        <v>82</v>
      </c>
      <c r="U5682" s="7">
        <v>0.77</v>
      </c>
      <c r="V5682" s="12">
        <f>C5682+2</f>
        <v>41159</v>
      </c>
      <c r="W5682">
        <f>IF(D5682=' Pivot Tables'!$A$4,1,0)</f>
        <v>0</v>
      </c>
      <c r="X5682">
        <f>IF(AND(LEFT(D5682,4)+1=LEFT(' Pivot Tables'!$A$4,4)+0,RIGHT(LEFT(D5682,7),2)=RIGHT(LEFT(' Pivot Tables'!$A$4,7),2)),1,0)</f>
        <v>0</v>
      </c>
      <c r="Y5682" s="6">
        <f>1/COUNTIF(Таблица1[Order ID],Таблица1[[#This Row],[Order ID]])</f>
        <v>1</v>
      </c>
      <c r="Z5682" s="9">
        <f>1/COUNTIFS(Таблица1[Customer Name],Таблица1[[#This Row],[Customer Name]],Таблица1[Order-Year-Month],Таблица1[[#This Row],[Order-Year-Month]])</f>
        <v>1</v>
      </c>
    </row>
    <row r="5683" spans="1:26" x14ac:dyDescent="0.2">
      <c r="A5683" s="6">
        <v>8291</v>
      </c>
      <c r="B5683" s="7">
        <v>59232</v>
      </c>
      <c r="C5683" s="8">
        <f>DATE(2012,12,31)-1456</f>
        <v>39818</v>
      </c>
      <c r="D5683" s="8" t="str">
        <f t="shared" si="105"/>
        <v>2009-01 (январь 2009)</v>
      </c>
      <c r="E5683" s="9" t="s">
        <v>30</v>
      </c>
      <c r="F5683" s="7">
        <v>23</v>
      </c>
      <c r="G5683" s="7">
        <v>725.43</v>
      </c>
      <c r="H5683" s="7">
        <v>0</v>
      </c>
      <c r="I5683" s="9" t="s">
        <v>22</v>
      </c>
      <c r="J5683" s="10">
        <v>245.97</v>
      </c>
      <c r="K5683" s="11">
        <v>30.98</v>
      </c>
      <c r="L5683" s="11">
        <v>5.76</v>
      </c>
      <c r="M5683" s="9" t="s">
        <v>1093</v>
      </c>
      <c r="N5683" s="6" t="s">
        <v>1905</v>
      </c>
      <c r="O5683" s="6" t="s">
        <v>673</v>
      </c>
      <c r="P5683" s="9" t="s">
        <v>60</v>
      </c>
      <c r="Q5683" s="9" t="s">
        <v>26</v>
      </c>
      <c r="R5683" s="9" t="s">
        <v>61</v>
      </c>
      <c r="S5683" s="7" t="s">
        <v>117</v>
      </c>
      <c r="T5683" s="9" t="s">
        <v>39</v>
      </c>
      <c r="U5683" s="7">
        <v>0.4</v>
      </c>
      <c r="V5683" s="12">
        <f>C5683+2</f>
        <v>39820</v>
      </c>
      <c r="W5683">
        <f>IF(D5683=' Pivot Tables'!$A$4,1,0)</f>
        <v>0</v>
      </c>
      <c r="X5683">
        <f>IF(AND(LEFT(D5683,4)+1=LEFT(' Pivot Tables'!$A$4,4)+0,RIGHT(LEFT(D5683,7),2)=RIGHT(LEFT(' Pivot Tables'!$A$4,7),2)),1,0)</f>
        <v>1</v>
      </c>
      <c r="Y5683" s="6">
        <f>1/COUNTIF(Таблица1[Order ID],Таблица1[[#This Row],[Order ID]])</f>
        <v>1</v>
      </c>
      <c r="Z5683" s="9">
        <f>1/COUNTIFS(Таблица1[Customer Name],Таблица1[[#This Row],[Customer Name]],Таблица1[Order-Year-Month],Таблица1[[#This Row],[Order-Year-Month]])</f>
        <v>1</v>
      </c>
    </row>
    <row r="5684" spans="1:26" x14ac:dyDescent="0.2">
      <c r="A5684" s="6">
        <v>8390</v>
      </c>
      <c r="B5684" s="7">
        <v>59939</v>
      </c>
      <c r="C5684" s="8">
        <f>DATE(2012,12,31)-852</f>
        <v>40422</v>
      </c>
      <c r="D5684" s="8" t="str">
        <f t="shared" si="105"/>
        <v>2010-09 (сентябрь 2010)</v>
      </c>
      <c r="E5684" s="9" t="s">
        <v>63</v>
      </c>
      <c r="F5684" s="7">
        <v>42</v>
      </c>
      <c r="G5684" s="7">
        <v>130.96</v>
      </c>
      <c r="H5684" s="7">
        <v>0.05</v>
      </c>
      <c r="I5684" s="9" t="s">
        <v>22</v>
      </c>
      <c r="J5684" s="10">
        <v>-66.739999999999995</v>
      </c>
      <c r="K5684" s="11">
        <v>3.14</v>
      </c>
      <c r="L5684" s="11">
        <v>1.92</v>
      </c>
      <c r="M5684" s="9" t="s">
        <v>1941</v>
      </c>
      <c r="N5684" s="6" t="s">
        <v>1905</v>
      </c>
      <c r="O5684" s="6" t="s">
        <v>673</v>
      </c>
      <c r="P5684" s="9" t="s">
        <v>25</v>
      </c>
      <c r="Q5684" s="9" t="s">
        <v>26</v>
      </c>
      <c r="R5684" s="9" t="s">
        <v>150</v>
      </c>
      <c r="S5684" s="7" t="s">
        <v>699</v>
      </c>
      <c r="T5684" s="9" t="s">
        <v>68</v>
      </c>
      <c r="U5684" s="7">
        <v>0.84</v>
      </c>
      <c r="V5684" s="12">
        <f>C5684+0</f>
        <v>40422</v>
      </c>
      <c r="W5684">
        <f>IF(D5684=' Pivot Tables'!$A$4,1,0)</f>
        <v>0</v>
      </c>
      <c r="X5684">
        <f>IF(AND(LEFT(D5684,4)+1=LEFT(' Pivot Tables'!$A$4,4)+0,RIGHT(LEFT(D5684,7),2)=RIGHT(LEFT(' Pivot Tables'!$A$4,7),2)),1,0)</f>
        <v>0</v>
      </c>
      <c r="Y5684" s="6">
        <f>1/COUNTIF(Таблица1[Order ID],Таблица1[[#This Row],[Order ID]])</f>
        <v>1</v>
      </c>
      <c r="Z5684" s="9">
        <f>1/COUNTIFS(Таблица1[Customer Name],Таблица1[[#This Row],[Customer Name]],Таблица1[Order-Year-Month],Таблица1[[#This Row],[Order-Year-Month]])</f>
        <v>1</v>
      </c>
    </row>
    <row r="5685" spans="1:26" x14ac:dyDescent="0.2">
      <c r="A5685" s="6">
        <v>8398</v>
      </c>
      <c r="B5685" s="7">
        <v>59973</v>
      </c>
      <c r="C5685" s="8">
        <f>DATE(2012,12,31)-412</f>
        <v>40862</v>
      </c>
      <c r="D5685" s="8" t="str">
        <f t="shared" si="105"/>
        <v>2011-11 (ноябрь 2011)</v>
      </c>
      <c r="E5685" s="9" t="s">
        <v>21</v>
      </c>
      <c r="F5685" s="7">
        <v>29</v>
      </c>
      <c r="G5685" s="7">
        <v>11039.75</v>
      </c>
      <c r="H5685" s="7">
        <v>0.06</v>
      </c>
      <c r="I5685" s="9" t="s">
        <v>31</v>
      </c>
      <c r="J5685" s="10">
        <v>2148.9699999999998</v>
      </c>
      <c r="K5685" s="11">
        <v>400.97</v>
      </c>
      <c r="L5685" s="11">
        <v>14.7</v>
      </c>
      <c r="M5685" s="9" t="s">
        <v>1942</v>
      </c>
      <c r="N5685" s="6" t="s">
        <v>1905</v>
      </c>
      <c r="O5685" s="6" t="s">
        <v>673</v>
      </c>
      <c r="P5685" s="9" t="s">
        <v>25</v>
      </c>
      <c r="Q5685" s="9" t="s">
        <v>42</v>
      </c>
      <c r="R5685" s="9" t="s">
        <v>210</v>
      </c>
      <c r="S5685" s="7" t="s">
        <v>1838</v>
      </c>
      <c r="T5685" s="9" t="s">
        <v>36</v>
      </c>
      <c r="U5685" s="7">
        <v>0.59</v>
      </c>
      <c r="V5685" s="12">
        <f>C5685+0</f>
        <v>40862</v>
      </c>
      <c r="W5685">
        <f>IF(D5685=' Pivot Tables'!$A$4,1,0)</f>
        <v>0</v>
      </c>
      <c r="X5685">
        <f>IF(AND(LEFT(D5685,4)+1=LEFT(' Pivot Tables'!$A$4,4)+0,RIGHT(LEFT(D5685,7),2)=RIGHT(LEFT(' Pivot Tables'!$A$4,7),2)),1,0)</f>
        <v>0</v>
      </c>
      <c r="Y5685" s="6">
        <f>1/COUNTIF(Таблица1[Order ID],Таблица1[[#This Row],[Order ID]])</f>
        <v>0.5</v>
      </c>
      <c r="Z5685" s="9">
        <f>1/COUNTIFS(Таблица1[Customer Name],Таблица1[[#This Row],[Customer Name]],Таблица1[Order-Year-Month],Таблица1[[#This Row],[Order-Year-Month]])</f>
        <v>0.5</v>
      </c>
    </row>
    <row r="5686" spans="1:26" x14ac:dyDescent="0.2">
      <c r="A5686" s="6">
        <v>8399</v>
      </c>
      <c r="B5686" s="7">
        <v>59973</v>
      </c>
      <c r="C5686" s="8">
        <f>DATE(2012,12,31)-412</f>
        <v>40862</v>
      </c>
      <c r="D5686" s="8" t="str">
        <f t="shared" si="105"/>
        <v>2011-11 (ноябрь 2011)</v>
      </c>
      <c r="E5686" s="9" t="s">
        <v>21</v>
      </c>
      <c r="F5686" s="7">
        <v>30</v>
      </c>
      <c r="G5686" s="7">
        <v>4982.9440000000004</v>
      </c>
      <c r="H5686" s="7">
        <v>7.0000000000000007E-2</v>
      </c>
      <c r="I5686" s="9" t="s">
        <v>31</v>
      </c>
      <c r="J5686" s="10">
        <v>693.69</v>
      </c>
      <c r="K5686" s="11">
        <v>217.85</v>
      </c>
      <c r="L5686" s="11">
        <v>29.1</v>
      </c>
      <c r="M5686" s="9" t="s">
        <v>1942</v>
      </c>
      <c r="N5686" s="6" t="s">
        <v>1905</v>
      </c>
      <c r="O5686" s="6" t="s">
        <v>673</v>
      </c>
      <c r="P5686" s="9" t="s">
        <v>25</v>
      </c>
      <c r="Q5686" s="9" t="s">
        <v>49</v>
      </c>
      <c r="R5686" s="9" t="s">
        <v>83</v>
      </c>
      <c r="S5686" s="7" t="s">
        <v>1199</v>
      </c>
      <c r="T5686" s="9" t="s">
        <v>82</v>
      </c>
      <c r="U5686" s="7">
        <v>0.68</v>
      </c>
      <c r="V5686" s="12">
        <f>C5686+4</f>
        <v>40866</v>
      </c>
      <c r="W5686">
        <f>IF(D5686=' Pivot Tables'!$A$4,1,0)</f>
        <v>0</v>
      </c>
      <c r="X5686">
        <f>IF(AND(LEFT(D5686,4)+1=LEFT(' Pivot Tables'!$A$4,4)+0,RIGHT(LEFT(D5686,7),2)=RIGHT(LEFT(' Pivot Tables'!$A$4,7),2)),1,0)</f>
        <v>0</v>
      </c>
      <c r="Y5686" s="6">
        <f>1/COUNTIF(Таблица1[Order ID],Таблица1[[#This Row],[Order ID]])</f>
        <v>0.5</v>
      </c>
      <c r="Z5686" s="9">
        <f>1/COUNTIFS(Таблица1[Customer Name],Таблица1[[#This Row],[Customer Name]],Таблица1[Order-Year-Month],Таблица1[[#This Row],[Order-Year-Month]])</f>
        <v>0.5</v>
      </c>
    </row>
    <row r="5687" spans="1:26" x14ac:dyDescent="0.2">
      <c r="A5687" s="6">
        <v>370</v>
      </c>
      <c r="B5687" s="7">
        <v>2563</v>
      </c>
      <c r="C5687" s="8">
        <f>DATE(2012,12,31)-774</f>
        <v>40500</v>
      </c>
      <c r="D5687" s="8" t="str">
        <f t="shared" si="105"/>
        <v>2010-11 (ноябрь 2010)</v>
      </c>
      <c r="E5687" s="9" t="s">
        <v>45</v>
      </c>
      <c r="F5687" s="7">
        <v>12</v>
      </c>
      <c r="G5687" s="7">
        <v>31.77</v>
      </c>
      <c r="H5687" s="7">
        <v>0.04</v>
      </c>
      <c r="I5687" s="9" t="s">
        <v>22</v>
      </c>
      <c r="J5687" s="10">
        <v>8.34</v>
      </c>
      <c r="K5687" s="11">
        <v>2.61</v>
      </c>
      <c r="L5687" s="11">
        <v>0.5</v>
      </c>
      <c r="M5687" s="9" t="s">
        <v>1681</v>
      </c>
      <c r="N5687" s="6" t="s">
        <v>1905</v>
      </c>
      <c r="O5687" s="6" t="s">
        <v>673</v>
      </c>
      <c r="P5687" s="9" t="s">
        <v>25</v>
      </c>
      <c r="Q5687" s="9" t="s">
        <v>26</v>
      </c>
      <c r="R5687" s="9" t="s">
        <v>88</v>
      </c>
      <c r="S5687" s="7" t="s">
        <v>406</v>
      </c>
      <c r="T5687" s="9" t="s">
        <v>39</v>
      </c>
      <c r="U5687" s="7">
        <v>0.39</v>
      </c>
      <c r="V5687" s="12">
        <f>C5687+1</f>
        <v>40501</v>
      </c>
      <c r="W5687">
        <f>IF(D5687=' Pivot Tables'!$A$4,1,0)</f>
        <v>0</v>
      </c>
      <c r="X5687">
        <f>IF(AND(LEFT(D5687,4)+1=LEFT(' Pivot Tables'!$A$4,4)+0,RIGHT(LEFT(D5687,7),2)=RIGHT(LEFT(' Pivot Tables'!$A$4,7),2)),1,0)</f>
        <v>0</v>
      </c>
      <c r="Y5687" s="6">
        <f>1/COUNTIF(Таблица1[Order ID],Таблица1[[#This Row],[Order ID]])</f>
        <v>0.5</v>
      </c>
      <c r="Z5687" s="9">
        <f>1/COUNTIFS(Таблица1[Customer Name],Таблица1[[#This Row],[Customer Name]],Таблица1[Order-Year-Month],Таблица1[[#This Row],[Order-Year-Month]])</f>
        <v>0.33333333333333331</v>
      </c>
    </row>
    <row r="5688" spans="1:26" x14ac:dyDescent="0.2">
      <c r="A5688" s="6">
        <v>371</v>
      </c>
      <c r="B5688" s="7">
        <v>2563</v>
      </c>
      <c r="C5688" s="8">
        <f>DATE(2012,12,31)-774</f>
        <v>40500</v>
      </c>
      <c r="D5688" s="8" t="str">
        <f t="shared" si="105"/>
        <v>2010-11 (ноябрь 2010)</v>
      </c>
      <c r="E5688" s="9" t="s">
        <v>45</v>
      </c>
      <c r="F5688" s="7">
        <v>33</v>
      </c>
      <c r="G5688" s="7">
        <v>208.05</v>
      </c>
      <c r="H5688" s="7">
        <v>0.01</v>
      </c>
      <c r="I5688" s="9" t="s">
        <v>22</v>
      </c>
      <c r="J5688" s="10">
        <v>46.01</v>
      </c>
      <c r="K5688" s="11">
        <v>5.98</v>
      </c>
      <c r="L5688" s="11">
        <v>0.96</v>
      </c>
      <c r="M5688" s="9" t="s">
        <v>1681</v>
      </c>
      <c r="N5688" s="6" t="s">
        <v>1905</v>
      </c>
      <c r="O5688" s="6" t="s">
        <v>673</v>
      </c>
      <c r="P5688" s="9" t="s">
        <v>25</v>
      </c>
      <c r="Q5688" s="9" t="s">
        <v>26</v>
      </c>
      <c r="R5688" s="9" t="s">
        <v>95</v>
      </c>
      <c r="S5688" s="7" t="s">
        <v>749</v>
      </c>
      <c r="T5688" s="9" t="s">
        <v>68</v>
      </c>
      <c r="U5688" s="7">
        <v>0.6</v>
      </c>
      <c r="V5688" s="12">
        <f>C5688+1</f>
        <v>40501</v>
      </c>
      <c r="W5688">
        <f>IF(D5688=' Pivot Tables'!$A$4,1,0)</f>
        <v>0</v>
      </c>
      <c r="X5688">
        <f>IF(AND(LEFT(D5688,4)+1=LEFT(' Pivot Tables'!$A$4,4)+0,RIGHT(LEFT(D5688,7),2)=RIGHT(LEFT(' Pivot Tables'!$A$4,7),2)),1,0)</f>
        <v>0</v>
      </c>
      <c r="Y5688" s="6">
        <f>1/COUNTIF(Таблица1[Order ID],Таблица1[[#This Row],[Order ID]])</f>
        <v>0.5</v>
      </c>
      <c r="Z5688" s="9">
        <f>1/COUNTIFS(Таблица1[Customer Name],Таблица1[[#This Row],[Customer Name]],Таблица1[Order-Year-Month],Таблица1[[#This Row],[Order-Year-Month]])</f>
        <v>0.33333333333333331</v>
      </c>
    </row>
    <row r="5689" spans="1:26" x14ac:dyDescent="0.2">
      <c r="A5689" s="6">
        <v>408</v>
      </c>
      <c r="B5689" s="7">
        <v>2759</v>
      </c>
      <c r="C5689" s="8">
        <f>DATE(2012,12,31)-768</f>
        <v>40506</v>
      </c>
      <c r="D5689" s="8" t="str">
        <f t="shared" si="105"/>
        <v>2010-11 (ноябрь 2010)</v>
      </c>
      <c r="E5689" s="9" t="s">
        <v>45</v>
      </c>
      <c r="F5689" s="7">
        <v>25</v>
      </c>
      <c r="G5689" s="7">
        <v>827.47</v>
      </c>
      <c r="H5689" s="7">
        <v>0</v>
      </c>
      <c r="I5689" s="9" t="s">
        <v>22</v>
      </c>
      <c r="J5689" s="10">
        <v>45.37</v>
      </c>
      <c r="K5689" s="11">
        <v>30.98</v>
      </c>
      <c r="L5689" s="11">
        <v>6.5</v>
      </c>
      <c r="M5689" s="9" t="s">
        <v>1681</v>
      </c>
      <c r="N5689" s="6" t="s">
        <v>1905</v>
      </c>
      <c r="O5689" s="6" t="s">
        <v>673</v>
      </c>
      <c r="P5689" s="9" t="s">
        <v>25</v>
      </c>
      <c r="Q5689" s="9" t="s">
        <v>42</v>
      </c>
      <c r="R5689" s="9" t="s">
        <v>70</v>
      </c>
      <c r="S5689" s="7" t="s">
        <v>601</v>
      </c>
      <c r="T5689" s="9" t="s">
        <v>39</v>
      </c>
      <c r="U5689" s="7">
        <v>0.64</v>
      </c>
      <c r="V5689" s="12">
        <f>C5689+2</f>
        <v>40508</v>
      </c>
      <c r="W5689">
        <f>IF(D5689=' Pivot Tables'!$A$4,1,0)</f>
        <v>0</v>
      </c>
      <c r="X5689">
        <f>IF(AND(LEFT(D5689,4)+1=LEFT(' Pivot Tables'!$A$4,4)+0,RIGHT(LEFT(D5689,7),2)=RIGHT(LEFT(' Pivot Tables'!$A$4,7),2)),1,0)</f>
        <v>0</v>
      </c>
      <c r="Y5689" s="6">
        <f>1/COUNTIF(Таблица1[Order ID],Таблица1[[#This Row],[Order ID]])</f>
        <v>1</v>
      </c>
      <c r="Z5689" s="9">
        <f>1/COUNTIFS(Таблица1[Customer Name],Таблица1[[#This Row],[Customer Name]],Таблица1[Order-Year-Month],Таблица1[[#This Row],[Order-Year-Month]])</f>
        <v>0.33333333333333331</v>
      </c>
    </row>
    <row r="5690" spans="1:26" x14ac:dyDescent="0.2">
      <c r="A5690" s="6">
        <v>748</v>
      </c>
      <c r="B5690" s="7">
        <v>5350</v>
      </c>
      <c r="C5690" s="8">
        <f>DATE(2012,12,31)-814</f>
        <v>40460</v>
      </c>
      <c r="D5690" s="8" t="str">
        <f t="shared" si="105"/>
        <v>2010-10 (октябрь 2010)</v>
      </c>
      <c r="E5690" s="9" t="s">
        <v>21</v>
      </c>
      <c r="F5690" s="7">
        <v>50</v>
      </c>
      <c r="G5690" s="7">
        <v>7017.42</v>
      </c>
      <c r="H5690" s="7">
        <v>0.08</v>
      </c>
      <c r="I5690" s="9" t="s">
        <v>22</v>
      </c>
      <c r="J5690" s="10">
        <v>595.20000000000005</v>
      </c>
      <c r="K5690" s="11">
        <v>140.85</v>
      </c>
      <c r="L5690" s="11">
        <v>19.989999999999998</v>
      </c>
      <c r="M5690" s="9" t="s">
        <v>1950</v>
      </c>
      <c r="N5690" s="6" t="s">
        <v>1905</v>
      </c>
      <c r="O5690" s="6" t="s">
        <v>673</v>
      </c>
      <c r="P5690" s="9" t="s">
        <v>33</v>
      </c>
      <c r="Q5690" s="9" t="s">
        <v>26</v>
      </c>
      <c r="R5690" s="9" t="s">
        <v>27</v>
      </c>
      <c r="S5690" s="7" t="s">
        <v>538</v>
      </c>
      <c r="T5690" s="9" t="s">
        <v>39</v>
      </c>
      <c r="U5690" s="7">
        <v>0.73</v>
      </c>
      <c r="V5690" s="12">
        <f>C5690+7</f>
        <v>40467</v>
      </c>
      <c r="W5690">
        <f>IF(D5690=' Pivot Tables'!$A$4,1,0)</f>
        <v>0</v>
      </c>
      <c r="X5690">
        <f>IF(AND(LEFT(D5690,4)+1=LEFT(' Pivot Tables'!$A$4,4)+0,RIGHT(LEFT(D5690,7),2)=RIGHT(LEFT(' Pivot Tables'!$A$4,7),2)),1,0)</f>
        <v>0</v>
      </c>
      <c r="Y5690" s="6">
        <f>1/COUNTIF(Таблица1[Order ID],Таблица1[[#This Row],[Order ID]])</f>
        <v>0.5</v>
      </c>
      <c r="Z5690" s="9">
        <f>1/COUNTIFS(Таблица1[Customer Name],Таблица1[[#This Row],[Customer Name]],Таблица1[Order-Year-Month],Таблица1[[#This Row],[Order-Year-Month]])</f>
        <v>0.5</v>
      </c>
    </row>
    <row r="5691" spans="1:26" x14ac:dyDescent="0.2">
      <c r="A5691" s="6">
        <v>1361</v>
      </c>
      <c r="B5691" s="7">
        <v>9922</v>
      </c>
      <c r="C5691" s="8">
        <f>DATE(2012,12,31)-638</f>
        <v>40636</v>
      </c>
      <c r="D5691" s="8" t="str">
        <f t="shared" si="105"/>
        <v>2011-04 (апрель 2011)</v>
      </c>
      <c r="E5691" s="9" t="s">
        <v>45</v>
      </c>
      <c r="F5691" s="7">
        <v>26</v>
      </c>
      <c r="G5691" s="7">
        <v>1075.9100000000001</v>
      </c>
      <c r="H5691" s="7">
        <v>0.03</v>
      </c>
      <c r="I5691" s="9" t="s">
        <v>22</v>
      </c>
      <c r="J5691" s="10">
        <v>34.42</v>
      </c>
      <c r="K5691" s="11">
        <v>39.979999999999997</v>
      </c>
      <c r="L5691" s="11">
        <v>7.12</v>
      </c>
      <c r="M5691" s="9" t="s">
        <v>1003</v>
      </c>
      <c r="N5691" s="6" t="s">
        <v>1905</v>
      </c>
      <c r="O5691" s="6" t="s">
        <v>673</v>
      </c>
      <c r="P5691" s="9" t="s">
        <v>33</v>
      </c>
      <c r="Q5691" s="9" t="s">
        <v>42</v>
      </c>
      <c r="R5691" s="9" t="s">
        <v>70</v>
      </c>
      <c r="S5691" s="7" t="s">
        <v>1084</v>
      </c>
      <c r="T5691" s="9" t="s">
        <v>39</v>
      </c>
      <c r="U5691" s="7">
        <v>0.67</v>
      </c>
      <c r="V5691" s="12">
        <f>C5691+1</f>
        <v>40637</v>
      </c>
      <c r="W5691">
        <f>IF(D5691=' Pivot Tables'!$A$4,1,0)</f>
        <v>0</v>
      </c>
      <c r="X5691">
        <f>IF(AND(LEFT(D5691,4)+1=LEFT(' Pivot Tables'!$A$4,4)+0,RIGHT(LEFT(D5691,7),2)=RIGHT(LEFT(' Pivot Tables'!$A$4,7),2)),1,0)</f>
        <v>0</v>
      </c>
      <c r="Y5691" s="6">
        <f>1/COUNTIF(Таблица1[Order ID],Таблица1[[#This Row],[Order ID]])</f>
        <v>0.33333333333333331</v>
      </c>
      <c r="Z5691" s="9">
        <f>1/COUNTIFS(Таблица1[Customer Name],Таблица1[[#This Row],[Customer Name]],Таблица1[Order-Year-Month],Таблица1[[#This Row],[Order-Year-Month]])</f>
        <v>0.14285714285714285</v>
      </c>
    </row>
    <row r="5692" spans="1:26" x14ac:dyDescent="0.2">
      <c r="A5692" s="6">
        <v>1362</v>
      </c>
      <c r="B5692" s="7">
        <v>9922</v>
      </c>
      <c r="C5692" s="8">
        <f>DATE(2012,12,31)-638</f>
        <v>40636</v>
      </c>
      <c r="D5692" s="8" t="str">
        <f t="shared" si="105"/>
        <v>2011-04 (апрель 2011)</v>
      </c>
      <c r="E5692" s="9" t="s">
        <v>45</v>
      </c>
      <c r="F5692" s="7">
        <v>21</v>
      </c>
      <c r="G5692" s="7">
        <v>1176.8589999999999</v>
      </c>
      <c r="H5692" s="7">
        <v>0.03</v>
      </c>
      <c r="I5692" s="9" t="s">
        <v>22</v>
      </c>
      <c r="J5692" s="10">
        <v>137.86199999999999</v>
      </c>
      <c r="K5692" s="11">
        <v>65.989999999999995</v>
      </c>
      <c r="L5692" s="11">
        <v>3.99</v>
      </c>
      <c r="M5692" s="9" t="s">
        <v>1003</v>
      </c>
      <c r="N5692" s="6" t="s">
        <v>1905</v>
      </c>
      <c r="O5692" s="6" t="s">
        <v>673</v>
      </c>
      <c r="P5692" s="9" t="s">
        <v>33</v>
      </c>
      <c r="Q5692" s="9" t="s">
        <v>42</v>
      </c>
      <c r="R5692" s="9" t="s">
        <v>43</v>
      </c>
      <c r="S5692" s="7" t="s">
        <v>582</v>
      </c>
      <c r="T5692" s="9" t="s">
        <v>39</v>
      </c>
      <c r="U5692" s="7">
        <v>0.59</v>
      </c>
      <c r="V5692" s="12">
        <f>C5692+1</f>
        <v>40637</v>
      </c>
      <c r="W5692">
        <f>IF(D5692=' Pivot Tables'!$A$4,1,0)</f>
        <v>0</v>
      </c>
      <c r="X5692">
        <f>IF(AND(LEFT(D5692,4)+1=LEFT(' Pivot Tables'!$A$4,4)+0,RIGHT(LEFT(D5692,7),2)=RIGHT(LEFT(' Pivot Tables'!$A$4,7),2)),1,0)</f>
        <v>0</v>
      </c>
      <c r="Y5692" s="6">
        <f>1/COUNTIF(Таблица1[Order ID],Таблица1[[#This Row],[Order ID]])</f>
        <v>0.33333333333333331</v>
      </c>
      <c r="Z5692" s="9">
        <f>1/COUNTIFS(Таблица1[Customer Name],Таблица1[[#This Row],[Customer Name]],Таблица1[Order-Year-Month],Таблица1[[#This Row],[Order-Year-Month]])</f>
        <v>0.14285714285714285</v>
      </c>
    </row>
    <row r="5693" spans="1:26" x14ac:dyDescent="0.2">
      <c r="A5693" s="6">
        <v>1627</v>
      </c>
      <c r="B5693" s="7">
        <v>11777</v>
      </c>
      <c r="C5693" s="8">
        <f>DATE(2012,12,31)-1102</f>
        <v>40172</v>
      </c>
      <c r="D5693" s="8" t="str">
        <f t="shared" si="105"/>
        <v>2009-12 (декабрь 2009)</v>
      </c>
      <c r="E5693" s="9" t="s">
        <v>21</v>
      </c>
      <c r="F5693" s="7">
        <v>39</v>
      </c>
      <c r="G5693" s="7">
        <v>651.45000000000005</v>
      </c>
      <c r="H5693" s="7">
        <v>7.0000000000000007E-2</v>
      </c>
      <c r="I5693" s="9" t="s">
        <v>22</v>
      </c>
      <c r="J5693" s="10">
        <v>-160.56</v>
      </c>
      <c r="K5693" s="11">
        <v>17.7</v>
      </c>
      <c r="L5693" s="11">
        <v>9.4700000000000006</v>
      </c>
      <c r="M5693" s="9" t="s">
        <v>1003</v>
      </c>
      <c r="N5693" s="6" t="s">
        <v>1905</v>
      </c>
      <c r="O5693" s="6" t="s">
        <v>673</v>
      </c>
      <c r="P5693" s="9" t="s">
        <v>33</v>
      </c>
      <c r="Q5693" s="9" t="s">
        <v>26</v>
      </c>
      <c r="R5693" s="9" t="s">
        <v>27</v>
      </c>
      <c r="S5693" s="7" t="s">
        <v>1446</v>
      </c>
      <c r="T5693" s="9" t="s">
        <v>39</v>
      </c>
      <c r="U5693" s="7">
        <v>0.59</v>
      </c>
      <c r="V5693" s="12">
        <f>C5693+7</f>
        <v>40179</v>
      </c>
      <c r="W5693">
        <f>IF(D5693=' Pivot Tables'!$A$4,1,0)</f>
        <v>0</v>
      </c>
      <c r="X5693">
        <f>IF(AND(LEFT(D5693,4)+1=LEFT(' Pivot Tables'!$A$4,4)+0,RIGHT(LEFT(D5693,7),2)=RIGHT(LEFT(' Pivot Tables'!$A$4,7),2)),1,0)</f>
        <v>0</v>
      </c>
      <c r="Y5693" s="6">
        <f>1/COUNTIF(Таблица1[Order ID],Таблица1[[#This Row],[Order ID]])</f>
        <v>1</v>
      </c>
      <c r="Z5693" s="9">
        <f>1/COUNTIFS(Таблица1[Customer Name],Таблица1[[#This Row],[Customer Name]],Таблица1[Order-Year-Month],Таблица1[[#This Row],[Order-Year-Month]])</f>
        <v>1</v>
      </c>
    </row>
    <row r="5694" spans="1:26" x14ac:dyDescent="0.2">
      <c r="A5694" s="6">
        <v>1728</v>
      </c>
      <c r="B5694" s="7">
        <v>12420</v>
      </c>
      <c r="C5694" s="8">
        <f>DATE(2012,12,31)-736</f>
        <v>40538</v>
      </c>
      <c r="D5694" s="8" t="str">
        <f t="shared" si="105"/>
        <v>2010-12 (декабрь 2010)</v>
      </c>
      <c r="E5694" s="9" t="s">
        <v>63</v>
      </c>
      <c r="F5694" s="7">
        <v>34</v>
      </c>
      <c r="G5694" s="7">
        <v>536.25</v>
      </c>
      <c r="H5694" s="7">
        <v>0.06</v>
      </c>
      <c r="I5694" s="9" t="s">
        <v>56</v>
      </c>
      <c r="J5694" s="10">
        <v>-166.75</v>
      </c>
      <c r="K5694" s="11">
        <v>15.99</v>
      </c>
      <c r="L5694" s="11">
        <v>13.18</v>
      </c>
      <c r="M5694" s="9" t="s">
        <v>1951</v>
      </c>
      <c r="N5694" s="6" t="s">
        <v>1905</v>
      </c>
      <c r="O5694" s="6" t="s">
        <v>673</v>
      </c>
      <c r="P5694" s="9" t="s">
        <v>60</v>
      </c>
      <c r="Q5694" s="9" t="s">
        <v>26</v>
      </c>
      <c r="R5694" s="9" t="s">
        <v>37</v>
      </c>
      <c r="S5694" s="7" t="s">
        <v>92</v>
      </c>
      <c r="T5694" s="9" t="s">
        <v>39</v>
      </c>
      <c r="U5694" s="7">
        <v>0.37</v>
      </c>
      <c r="V5694" s="12">
        <f>C5694+0</f>
        <v>40538</v>
      </c>
      <c r="W5694">
        <f>IF(D5694=' Pivot Tables'!$A$4,1,0)</f>
        <v>0</v>
      </c>
      <c r="X5694">
        <f>IF(AND(LEFT(D5694,4)+1=LEFT(' Pivot Tables'!$A$4,4)+0,RIGHT(LEFT(D5694,7),2)=RIGHT(LEFT(' Pivot Tables'!$A$4,7),2)),1,0)</f>
        <v>0</v>
      </c>
      <c r="Y5694" s="6">
        <f>1/COUNTIF(Таблица1[Order ID],Таблица1[[#This Row],[Order ID]])</f>
        <v>0.5</v>
      </c>
      <c r="Z5694" s="9">
        <f>1/COUNTIFS(Таблица1[Customer Name],Таблица1[[#This Row],[Customer Name]],Таблица1[Order-Year-Month],Таблица1[[#This Row],[Order-Year-Month]])</f>
        <v>0.5</v>
      </c>
    </row>
    <row r="5695" spans="1:26" x14ac:dyDescent="0.2">
      <c r="A5695" s="6">
        <v>1729</v>
      </c>
      <c r="B5695" s="7">
        <v>12420</v>
      </c>
      <c r="C5695" s="8">
        <f>DATE(2012,12,31)-736</f>
        <v>40538</v>
      </c>
      <c r="D5695" s="8" t="str">
        <f t="shared" si="105"/>
        <v>2010-12 (декабрь 2010)</v>
      </c>
      <c r="E5695" s="9" t="s">
        <v>63</v>
      </c>
      <c r="F5695" s="7">
        <v>1</v>
      </c>
      <c r="G5695" s="7">
        <v>5.73</v>
      </c>
      <c r="H5695" s="7">
        <v>0.01</v>
      </c>
      <c r="I5695" s="9" t="s">
        <v>22</v>
      </c>
      <c r="J5695" s="10">
        <v>-1.84</v>
      </c>
      <c r="K5695" s="11">
        <v>4.9800000000000004</v>
      </c>
      <c r="L5695" s="11">
        <v>0.8</v>
      </c>
      <c r="M5695" s="9" t="s">
        <v>1951</v>
      </c>
      <c r="N5695" s="6" t="s">
        <v>1905</v>
      </c>
      <c r="O5695" s="6" t="s">
        <v>673</v>
      </c>
      <c r="P5695" s="9" t="s">
        <v>60</v>
      </c>
      <c r="Q5695" s="9" t="s">
        <v>26</v>
      </c>
      <c r="R5695" s="9" t="s">
        <v>61</v>
      </c>
      <c r="S5695" s="7" t="s">
        <v>842</v>
      </c>
      <c r="T5695" s="9" t="s">
        <v>68</v>
      </c>
      <c r="U5695" s="7">
        <v>0.36</v>
      </c>
      <c r="V5695" s="12">
        <f>C5695+1</f>
        <v>40539</v>
      </c>
      <c r="W5695">
        <f>IF(D5695=' Pivot Tables'!$A$4,1,0)</f>
        <v>0</v>
      </c>
      <c r="X5695">
        <f>IF(AND(LEFT(D5695,4)+1=LEFT(' Pivot Tables'!$A$4,4)+0,RIGHT(LEFT(D5695,7),2)=RIGHT(LEFT(' Pivot Tables'!$A$4,7),2)),1,0)</f>
        <v>0</v>
      </c>
      <c r="Y5695" s="6">
        <f>1/COUNTIF(Таблица1[Order ID],Таблица1[[#This Row],[Order ID]])</f>
        <v>0.5</v>
      </c>
      <c r="Z5695" s="9">
        <f>1/COUNTIFS(Таблица1[Customer Name],Таблица1[[#This Row],[Customer Name]],Таблица1[Order-Year-Month],Таблица1[[#This Row],[Order-Year-Month]])</f>
        <v>0.5</v>
      </c>
    </row>
    <row r="5696" spans="1:26" x14ac:dyDescent="0.2">
      <c r="A5696" s="6">
        <v>1757</v>
      </c>
      <c r="B5696" s="7">
        <v>12611</v>
      </c>
      <c r="C5696" s="8">
        <f>DATE(2012,12,31)-443</f>
        <v>40831</v>
      </c>
      <c r="D5696" s="8" t="str">
        <f t="shared" si="105"/>
        <v>2011-10 (октябрь 2011)</v>
      </c>
      <c r="E5696" s="9" t="s">
        <v>63</v>
      </c>
      <c r="F5696" s="7">
        <v>13</v>
      </c>
      <c r="G5696" s="7">
        <v>189.99</v>
      </c>
      <c r="H5696" s="7">
        <v>0.03</v>
      </c>
      <c r="I5696" s="9" t="s">
        <v>56</v>
      </c>
      <c r="J5696" s="10">
        <v>72.819500000000005</v>
      </c>
      <c r="K5696" s="11">
        <v>12.97</v>
      </c>
      <c r="L5696" s="11">
        <v>1.49</v>
      </c>
      <c r="M5696" s="9" t="s">
        <v>1952</v>
      </c>
      <c r="N5696" s="6" t="s">
        <v>1905</v>
      </c>
      <c r="O5696" s="6" t="s">
        <v>673</v>
      </c>
      <c r="P5696" s="9" t="s">
        <v>60</v>
      </c>
      <c r="Q5696" s="9" t="s">
        <v>26</v>
      </c>
      <c r="R5696" s="9" t="s">
        <v>37</v>
      </c>
      <c r="S5696" s="7" t="s">
        <v>1269</v>
      </c>
      <c r="T5696" s="9" t="s">
        <v>39</v>
      </c>
      <c r="U5696" s="7">
        <v>0.35</v>
      </c>
      <c r="V5696" s="12">
        <f>C5696+2</f>
        <v>40833</v>
      </c>
      <c r="W5696">
        <f>IF(D5696=' Pivot Tables'!$A$4,1,0)</f>
        <v>0</v>
      </c>
      <c r="X5696">
        <f>IF(AND(LEFT(D5696,4)+1=LEFT(' Pivot Tables'!$A$4,4)+0,RIGHT(LEFT(D5696,7),2)=RIGHT(LEFT(' Pivot Tables'!$A$4,7),2)),1,0)</f>
        <v>0</v>
      </c>
      <c r="Y5696" s="6">
        <f>1/COUNTIF(Таблица1[Order ID],Таблица1[[#This Row],[Order ID]])</f>
        <v>1</v>
      </c>
      <c r="Z5696" s="9">
        <f>1/COUNTIFS(Таблица1[Customer Name],Таблица1[[#This Row],[Customer Name]],Таблица1[Order-Year-Month],Таблица1[[#This Row],[Order-Year-Month]])</f>
        <v>1</v>
      </c>
    </row>
    <row r="5697" spans="1:26" x14ac:dyDescent="0.2">
      <c r="A5697" s="6">
        <v>1769</v>
      </c>
      <c r="B5697" s="7">
        <v>12676</v>
      </c>
      <c r="C5697" s="8">
        <f>DATE(2012,12,31)-1446</f>
        <v>39828</v>
      </c>
      <c r="D5697" s="8" t="str">
        <f t="shared" si="105"/>
        <v>2009-01 (январь 2009)</v>
      </c>
      <c r="E5697" s="9" t="s">
        <v>30</v>
      </c>
      <c r="F5697" s="7">
        <v>25</v>
      </c>
      <c r="G5697" s="7">
        <v>201.06</v>
      </c>
      <c r="H5697" s="7">
        <v>0.08</v>
      </c>
      <c r="I5697" s="9" t="s">
        <v>56</v>
      </c>
      <c r="J5697" s="10">
        <v>-80.86</v>
      </c>
      <c r="K5697" s="11">
        <v>8.09</v>
      </c>
      <c r="L5697" s="11">
        <v>7.96</v>
      </c>
      <c r="M5697" s="9" t="s">
        <v>1953</v>
      </c>
      <c r="N5697" s="6" t="s">
        <v>1905</v>
      </c>
      <c r="O5697" s="6" t="s">
        <v>673</v>
      </c>
      <c r="P5697" s="9" t="s">
        <v>60</v>
      </c>
      <c r="Q5697" s="9" t="s">
        <v>49</v>
      </c>
      <c r="R5697" s="9" t="s">
        <v>50</v>
      </c>
      <c r="S5697" s="7" t="s">
        <v>1769</v>
      </c>
      <c r="T5697" s="9" t="s">
        <v>39</v>
      </c>
      <c r="U5697" s="7">
        <v>0.49</v>
      </c>
      <c r="V5697" s="12">
        <f>C5697+1</f>
        <v>39829</v>
      </c>
      <c r="W5697">
        <f>IF(D5697=' Pivot Tables'!$A$4,1,0)</f>
        <v>0</v>
      </c>
      <c r="X5697">
        <f>IF(AND(LEFT(D5697,4)+1=LEFT(' Pivot Tables'!$A$4,4)+0,RIGHT(LEFT(D5697,7),2)=RIGHT(LEFT(' Pivot Tables'!$A$4,7),2)),1,0)</f>
        <v>1</v>
      </c>
      <c r="Y5697" s="6">
        <f>1/COUNTIF(Таблица1[Order ID],Таблица1[[#This Row],[Order ID]])</f>
        <v>1</v>
      </c>
      <c r="Z5697" s="9">
        <f>1/COUNTIFS(Таблица1[Customer Name],Таблица1[[#This Row],[Customer Name]],Таблица1[Order-Year-Month],Таблица1[[#This Row],[Order-Year-Month]])</f>
        <v>1</v>
      </c>
    </row>
    <row r="5698" spans="1:26" x14ac:dyDescent="0.2">
      <c r="A5698" s="6">
        <v>1798</v>
      </c>
      <c r="B5698" s="7">
        <v>12871</v>
      </c>
      <c r="C5698" s="8">
        <f>DATE(2012,12,31)-454</f>
        <v>40820</v>
      </c>
      <c r="D5698" s="8" t="str">
        <f t="shared" si="105"/>
        <v>2011-10 (октябрь 2011)</v>
      </c>
      <c r="E5698" s="9" t="s">
        <v>45</v>
      </c>
      <c r="F5698" s="7">
        <v>46</v>
      </c>
      <c r="G5698" s="7">
        <v>459.26</v>
      </c>
      <c r="H5698" s="7">
        <v>0.08</v>
      </c>
      <c r="I5698" s="9" t="s">
        <v>22</v>
      </c>
      <c r="J5698" s="10">
        <v>-54.12</v>
      </c>
      <c r="K5698" s="11">
        <v>10.23</v>
      </c>
      <c r="L5698" s="11">
        <v>4.68</v>
      </c>
      <c r="M5698" s="9" t="s">
        <v>1552</v>
      </c>
      <c r="N5698" s="6" t="s">
        <v>1905</v>
      </c>
      <c r="O5698" s="6" t="s">
        <v>673</v>
      </c>
      <c r="P5698" s="9" t="s">
        <v>25</v>
      </c>
      <c r="Q5698" s="9" t="s">
        <v>26</v>
      </c>
      <c r="R5698" s="9" t="s">
        <v>150</v>
      </c>
      <c r="S5698" s="7" t="s">
        <v>1054</v>
      </c>
      <c r="T5698" s="9" t="s">
        <v>52</v>
      </c>
      <c r="U5698" s="7">
        <v>0.59</v>
      </c>
      <c r="V5698" s="12">
        <f>C5698+2</f>
        <v>40822</v>
      </c>
      <c r="W5698">
        <f>IF(D5698=' Pivot Tables'!$A$4,1,0)</f>
        <v>0</v>
      </c>
      <c r="X5698">
        <f>IF(AND(LEFT(D5698,4)+1=LEFT(' Pivot Tables'!$A$4,4)+0,RIGHT(LEFT(D5698,7),2)=RIGHT(LEFT(' Pivot Tables'!$A$4,7),2)),1,0)</f>
        <v>0</v>
      </c>
      <c r="Y5698" s="6">
        <f>1/COUNTIF(Таблица1[Order ID],Таблица1[[#This Row],[Order ID]])</f>
        <v>1</v>
      </c>
      <c r="Z5698" s="9">
        <f>1/COUNTIFS(Таблица1[Customer Name],Таблица1[[#This Row],[Customer Name]],Таблица1[Order-Year-Month],Таблица1[[#This Row],[Order-Year-Month]])</f>
        <v>1</v>
      </c>
    </row>
    <row r="5699" spans="1:26" x14ac:dyDescent="0.2">
      <c r="A5699" s="6">
        <v>2103</v>
      </c>
      <c r="B5699" s="7">
        <v>15040</v>
      </c>
      <c r="C5699" s="8">
        <f>DATE(2012,12,31)-1123</f>
        <v>40151</v>
      </c>
      <c r="D5699" s="8" t="str">
        <f t="shared" ref="D5699:D5762" si="106">TEXT(C5699,"гггг-ММ (ММММ гггг)")</f>
        <v>2009-12 (декабрь 2009)</v>
      </c>
      <c r="E5699" s="9" t="s">
        <v>21</v>
      </c>
      <c r="F5699" s="7">
        <v>48</v>
      </c>
      <c r="G5699" s="7">
        <v>410.35</v>
      </c>
      <c r="H5699" s="7">
        <v>0.1</v>
      </c>
      <c r="I5699" s="9" t="s">
        <v>56</v>
      </c>
      <c r="J5699" s="10">
        <v>114.02</v>
      </c>
      <c r="K5699" s="11">
        <v>9.11</v>
      </c>
      <c r="L5699" s="11">
        <v>2.15</v>
      </c>
      <c r="M5699" s="9" t="s">
        <v>1950</v>
      </c>
      <c r="N5699" s="6" t="s">
        <v>1905</v>
      </c>
      <c r="O5699" s="6" t="s">
        <v>673</v>
      </c>
      <c r="P5699" s="9" t="s">
        <v>33</v>
      </c>
      <c r="Q5699" s="9" t="s">
        <v>26</v>
      </c>
      <c r="R5699" s="9" t="s">
        <v>61</v>
      </c>
      <c r="S5699" s="7" t="s">
        <v>1402</v>
      </c>
      <c r="T5699" s="9" t="s">
        <v>68</v>
      </c>
      <c r="U5699" s="7">
        <v>0.4</v>
      </c>
      <c r="V5699" s="12">
        <f>C5699+4</f>
        <v>40155</v>
      </c>
      <c r="W5699">
        <f>IF(D5699=' Pivot Tables'!$A$4,1,0)</f>
        <v>0</v>
      </c>
      <c r="X5699">
        <f>IF(AND(LEFT(D5699,4)+1=LEFT(' Pivot Tables'!$A$4,4)+0,RIGHT(LEFT(D5699,7),2)=RIGHT(LEFT(' Pivot Tables'!$A$4,7),2)),1,0)</f>
        <v>0</v>
      </c>
      <c r="Y5699" s="6">
        <f>1/COUNTIF(Таблица1[Order ID],Таблица1[[#This Row],[Order ID]])</f>
        <v>1</v>
      </c>
      <c r="Z5699" s="9">
        <f>1/COUNTIFS(Таблица1[Customer Name],Таблица1[[#This Row],[Customer Name]],Таблица1[Order-Year-Month],Таблица1[[#This Row],[Order-Year-Month]])</f>
        <v>1</v>
      </c>
    </row>
    <row r="5700" spans="1:26" x14ac:dyDescent="0.2">
      <c r="A5700" s="6">
        <v>2159</v>
      </c>
      <c r="B5700" s="7">
        <v>15491</v>
      </c>
      <c r="C5700" s="8">
        <f>DATE(2012,12,31)-348</f>
        <v>40926</v>
      </c>
      <c r="D5700" s="8" t="str">
        <f t="shared" si="106"/>
        <v>2012-01 (январь 2012)</v>
      </c>
      <c r="E5700" s="9" t="s">
        <v>63</v>
      </c>
      <c r="F5700" s="7">
        <v>5</v>
      </c>
      <c r="G5700" s="7">
        <v>901.37400000000002</v>
      </c>
      <c r="H5700" s="7">
        <v>0.01</v>
      </c>
      <c r="I5700" s="9" t="s">
        <v>22</v>
      </c>
      <c r="J5700" s="10">
        <v>-648.64799999999991</v>
      </c>
      <c r="K5700" s="11">
        <v>205.99</v>
      </c>
      <c r="L5700" s="11">
        <v>2.5</v>
      </c>
      <c r="M5700" s="9" t="s">
        <v>1552</v>
      </c>
      <c r="N5700" s="6" t="s">
        <v>1905</v>
      </c>
      <c r="O5700" s="6" t="s">
        <v>673</v>
      </c>
      <c r="P5700" s="9" t="s">
        <v>25</v>
      </c>
      <c r="Q5700" s="9" t="s">
        <v>42</v>
      </c>
      <c r="R5700" s="9" t="s">
        <v>43</v>
      </c>
      <c r="S5700" s="7" t="s">
        <v>1431</v>
      </c>
      <c r="T5700" s="9" t="s">
        <v>39</v>
      </c>
      <c r="U5700" s="7">
        <v>0.59</v>
      </c>
      <c r="V5700" s="12">
        <f>C5700+0</f>
        <v>40926</v>
      </c>
      <c r="W5700">
        <f>IF(D5700=' Pivot Tables'!$A$4,1,0)</f>
        <v>0</v>
      </c>
      <c r="X5700">
        <f>IF(AND(LEFT(D5700,4)+1=LEFT(' Pivot Tables'!$A$4,4)+0,RIGHT(LEFT(D5700,7),2)=RIGHT(LEFT(' Pivot Tables'!$A$4,7),2)),1,0)</f>
        <v>0</v>
      </c>
      <c r="Y5700" s="6">
        <f>1/COUNTIF(Таблица1[Order ID],Таблица1[[#This Row],[Order ID]])</f>
        <v>1</v>
      </c>
      <c r="Z5700" s="9">
        <f>1/COUNTIFS(Таблица1[Customer Name],Таблица1[[#This Row],[Customer Name]],Таблица1[Order-Year-Month],Таблица1[[#This Row],[Order-Year-Month]])</f>
        <v>0.5</v>
      </c>
    </row>
    <row r="5701" spans="1:26" x14ac:dyDescent="0.2">
      <c r="A5701" s="6">
        <v>2359</v>
      </c>
      <c r="B5701" s="7">
        <v>17028</v>
      </c>
      <c r="C5701" s="8">
        <f>DATE(2012,12,31)-1173</f>
        <v>40101</v>
      </c>
      <c r="D5701" s="8" t="str">
        <f t="shared" si="106"/>
        <v>2009-10 (октябрь 2009)</v>
      </c>
      <c r="E5701" s="9" t="s">
        <v>30</v>
      </c>
      <c r="F5701" s="7">
        <v>19</v>
      </c>
      <c r="G5701" s="7">
        <v>513.5</v>
      </c>
      <c r="H5701" s="7">
        <v>0.02</v>
      </c>
      <c r="I5701" s="9" t="s">
        <v>22</v>
      </c>
      <c r="J5701" s="10">
        <v>82.96</v>
      </c>
      <c r="K5701" s="11">
        <v>25.99</v>
      </c>
      <c r="L5701" s="11">
        <v>5.37</v>
      </c>
      <c r="M5701" s="9" t="s">
        <v>1953</v>
      </c>
      <c r="N5701" s="6" t="s">
        <v>1905</v>
      </c>
      <c r="O5701" s="6" t="s">
        <v>673</v>
      </c>
      <c r="P5701" s="9" t="s">
        <v>60</v>
      </c>
      <c r="Q5701" s="9" t="s">
        <v>26</v>
      </c>
      <c r="R5701" s="9" t="s">
        <v>95</v>
      </c>
      <c r="S5701" s="7" t="s">
        <v>1548</v>
      </c>
      <c r="T5701" s="9" t="s">
        <v>39</v>
      </c>
      <c r="U5701" s="7">
        <v>0.56000000000000005</v>
      </c>
      <c r="V5701" s="12">
        <f>C5701+2</f>
        <v>40103</v>
      </c>
      <c r="W5701">
        <f>IF(D5701=' Pivot Tables'!$A$4,1,0)</f>
        <v>0</v>
      </c>
      <c r="X5701">
        <f>IF(AND(LEFT(D5701,4)+1=LEFT(' Pivot Tables'!$A$4,4)+0,RIGHT(LEFT(D5701,7),2)=RIGHT(LEFT(' Pivot Tables'!$A$4,7),2)),1,0)</f>
        <v>0</v>
      </c>
      <c r="Y5701" s="6">
        <f>1/COUNTIF(Таблица1[Order ID],Таблица1[[#This Row],[Order ID]])</f>
        <v>1</v>
      </c>
      <c r="Z5701" s="9">
        <f>1/COUNTIFS(Таблица1[Customer Name],Таблица1[[#This Row],[Customer Name]],Таблица1[Order-Year-Month],Таблица1[[#This Row],[Order-Year-Month]])</f>
        <v>0.33333333333333331</v>
      </c>
    </row>
    <row r="5702" spans="1:26" x14ac:dyDescent="0.2">
      <c r="A5702" s="6">
        <v>2458</v>
      </c>
      <c r="B5702" s="7">
        <v>17859</v>
      </c>
      <c r="C5702" s="8">
        <f>DATE(2012,12,31)-950</f>
        <v>40324</v>
      </c>
      <c r="D5702" s="8" t="str">
        <f t="shared" si="106"/>
        <v>2010-05 (май 2010)</v>
      </c>
      <c r="E5702" s="9" t="s">
        <v>78</v>
      </c>
      <c r="F5702" s="7">
        <v>7</v>
      </c>
      <c r="G5702" s="7">
        <v>182.89</v>
      </c>
      <c r="H5702" s="7">
        <v>7.0000000000000007E-2</v>
      </c>
      <c r="I5702" s="9" t="s">
        <v>22</v>
      </c>
      <c r="J5702" s="10">
        <v>-99.3</v>
      </c>
      <c r="K5702" s="11">
        <v>27.48</v>
      </c>
      <c r="L5702" s="11">
        <v>4</v>
      </c>
      <c r="M5702" s="9" t="s">
        <v>1003</v>
      </c>
      <c r="N5702" s="6" t="s">
        <v>1905</v>
      </c>
      <c r="O5702" s="6" t="s">
        <v>673</v>
      </c>
      <c r="P5702" s="9" t="s">
        <v>33</v>
      </c>
      <c r="Q5702" s="9" t="s">
        <v>42</v>
      </c>
      <c r="R5702" s="9" t="s">
        <v>70</v>
      </c>
      <c r="S5702" s="7" t="s">
        <v>762</v>
      </c>
      <c r="T5702" s="9" t="s">
        <v>39</v>
      </c>
      <c r="U5702" s="7">
        <v>0.75</v>
      </c>
      <c r="V5702" s="12">
        <f>C5702+2</f>
        <v>40326</v>
      </c>
      <c r="W5702">
        <f>IF(D5702=' Pivot Tables'!$A$4,1,0)</f>
        <v>0</v>
      </c>
      <c r="X5702">
        <f>IF(AND(LEFT(D5702,4)+1=LEFT(' Pivot Tables'!$A$4,4)+0,RIGHT(LEFT(D5702,7),2)=RIGHT(LEFT(' Pivot Tables'!$A$4,7),2)),1,0)</f>
        <v>0</v>
      </c>
      <c r="Y5702" s="6">
        <f>1/COUNTIF(Таблица1[Order ID],Таблица1[[#This Row],[Order ID]])</f>
        <v>1</v>
      </c>
      <c r="Z5702" s="9">
        <f>1/COUNTIFS(Таблица1[Customer Name],Таблица1[[#This Row],[Customer Name]],Таблица1[Order-Year-Month],Таблица1[[#This Row],[Order-Year-Month]])</f>
        <v>0.33333333333333331</v>
      </c>
    </row>
    <row r="5703" spans="1:26" x14ac:dyDescent="0.2">
      <c r="A5703" s="6">
        <v>2524</v>
      </c>
      <c r="B5703" s="7">
        <v>18340</v>
      </c>
      <c r="C5703" s="8">
        <f>DATE(2012,12,31)-563</f>
        <v>40711</v>
      </c>
      <c r="D5703" s="8" t="str">
        <f t="shared" si="106"/>
        <v>2011-06 (июнь 2011)</v>
      </c>
      <c r="E5703" s="9" t="s">
        <v>63</v>
      </c>
      <c r="F5703" s="7">
        <v>20</v>
      </c>
      <c r="G5703" s="7">
        <v>148.65</v>
      </c>
      <c r="H5703" s="7">
        <v>0.1</v>
      </c>
      <c r="I5703" s="9" t="s">
        <v>56</v>
      </c>
      <c r="J5703" s="10">
        <v>-142.78</v>
      </c>
      <c r="K5703" s="11">
        <v>7.28</v>
      </c>
      <c r="L5703" s="11">
        <v>11.15</v>
      </c>
      <c r="M5703" s="9" t="s">
        <v>1003</v>
      </c>
      <c r="N5703" s="6" t="s">
        <v>1905</v>
      </c>
      <c r="O5703" s="6" t="s">
        <v>673</v>
      </c>
      <c r="P5703" s="9" t="s">
        <v>33</v>
      </c>
      <c r="Q5703" s="9" t="s">
        <v>26</v>
      </c>
      <c r="R5703" s="9" t="s">
        <v>61</v>
      </c>
      <c r="S5703" s="7" t="s">
        <v>666</v>
      </c>
      <c r="T5703" s="9" t="s">
        <v>39</v>
      </c>
      <c r="U5703" s="7">
        <v>0.37</v>
      </c>
      <c r="V5703" s="12">
        <f>C5703+1</f>
        <v>40712</v>
      </c>
      <c r="W5703">
        <f>IF(D5703=' Pivot Tables'!$A$4,1,0)</f>
        <v>0</v>
      </c>
      <c r="X5703">
        <f>IF(AND(LEFT(D5703,4)+1=LEFT(' Pivot Tables'!$A$4,4)+0,RIGHT(LEFT(D5703,7),2)=RIGHT(LEFT(' Pivot Tables'!$A$4,7),2)),1,0)</f>
        <v>0</v>
      </c>
      <c r="Y5703" s="6">
        <f>1/COUNTIF(Таблица1[Order ID],Таблица1[[#This Row],[Order ID]])</f>
        <v>0.5</v>
      </c>
      <c r="Z5703" s="9">
        <f>1/COUNTIFS(Таблица1[Customer Name],Таблица1[[#This Row],[Customer Name]],Таблица1[Order-Year-Month],Таблица1[[#This Row],[Order-Year-Month]])</f>
        <v>0.25</v>
      </c>
    </row>
    <row r="5704" spans="1:26" x14ac:dyDescent="0.2">
      <c r="A5704" s="6">
        <v>2525</v>
      </c>
      <c r="B5704" s="7">
        <v>18340</v>
      </c>
      <c r="C5704" s="8">
        <f>DATE(2012,12,31)-563</f>
        <v>40711</v>
      </c>
      <c r="D5704" s="8" t="str">
        <f t="shared" si="106"/>
        <v>2011-06 (июнь 2011)</v>
      </c>
      <c r="E5704" s="9" t="s">
        <v>63</v>
      </c>
      <c r="F5704" s="7">
        <v>28</v>
      </c>
      <c r="G5704" s="7">
        <v>198.21</v>
      </c>
      <c r="H5704" s="7">
        <v>0.01</v>
      </c>
      <c r="I5704" s="9" t="s">
        <v>56</v>
      </c>
      <c r="J5704" s="10">
        <v>-163.28</v>
      </c>
      <c r="K5704" s="11">
        <v>6.48</v>
      </c>
      <c r="L5704" s="11">
        <v>10.050000000000001</v>
      </c>
      <c r="M5704" s="9" t="s">
        <v>1003</v>
      </c>
      <c r="N5704" s="6" t="s">
        <v>1905</v>
      </c>
      <c r="O5704" s="6" t="s">
        <v>673</v>
      </c>
      <c r="P5704" s="9" t="s">
        <v>33</v>
      </c>
      <c r="Q5704" s="9" t="s">
        <v>26</v>
      </c>
      <c r="R5704" s="9" t="s">
        <v>61</v>
      </c>
      <c r="S5704" s="7" t="s">
        <v>868</v>
      </c>
      <c r="T5704" s="9" t="s">
        <v>39</v>
      </c>
      <c r="U5704" s="7">
        <v>0.37</v>
      </c>
      <c r="V5704" s="12">
        <f>C5704+1</f>
        <v>40712</v>
      </c>
      <c r="W5704">
        <f>IF(D5704=' Pivot Tables'!$A$4,1,0)</f>
        <v>0</v>
      </c>
      <c r="X5704">
        <f>IF(AND(LEFT(D5704,4)+1=LEFT(' Pivot Tables'!$A$4,4)+0,RIGHT(LEFT(D5704,7),2)=RIGHT(LEFT(' Pivot Tables'!$A$4,7),2)),1,0)</f>
        <v>0</v>
      </c>
      <c r="Y5704" s="6">
        <f>1/COUNTIF(Таблица1[Order ID],Таблица1[[#This Row],[Order ID]])</f>
        <v>0.5</v>
      </c>
      <c r="Z5704" s="9">
        <f>1/COUNTIFS(Таблица1[Customer Name],Таблица1[[#This Row],[Customer Name]],Таблица1[Order-Year-Month],Таблица1[[#This Row],[Order-Year-Month]])</f>
        <v>0.25</v>
      </c>
    </row>
    <row r="5705" spans="1:26" x14ac:dyDescent="0.2">
      <c r="A5705" s="6">
        <v>2866</v>
      </c>
      <c r="B5705" s="7">
        <v>20704</v>
      </c>
      <c r="C5705" s="8">
        <f>DATE(2012,12,31)-1055</f>
        <v>40219</v>
      </c>
      <c r="D5705" s="8" t="str">
        <f t="shared" si="106"/>
        <v>2010-02 (февраль 2010)</v>
      </c>
      <c r="E5705" s="9" t="s">
        <v>21</v>
      </c>
      <c r="F5705" s="7">
        <v>1</v>
      </c>
      <c r="G5705" s="7">
        <v>5.63</v>
      </c>
      <c r="H5705" s="7">
        <v>0.03</v>
      </c>
      <c r="I5705" s="9" t="s">
        <v>22</v>
      </c>
      <c r="J5705" s="10">
        <v>-3.55</v>
      </c>
      <c r="K5705" s="11">
        <v>4.71</v>
      </c>
      <c r="L5705" s="11">
        <v>0.7</v>
      </c>
      <c r="M5705" s="9" t="s">
        <v>1952</v>
      </c>
      <c r="N5705" s="6" t="s">
        <v>1905</v>
      </c>
      <c r="O5705" s="6" t="s">
        <v>673</v>
      </c>
      <c r="P5705" s="9" t="s">
        <v>60</v>
      </c>
      <c r="Q5705" s="9" t="s">
        <v>26</v>
      </c>
      <c r="R5705" s="9" t="s">
        <v>66</v>
      </c>
      <c r="S5705" s="7" t="s">
        <v>90</v>
      </c>
      <c r="T5705" s="9" t="s">
        <v>68</v>
      </c>
      <c r="U5705" s="7">
        <v>0.8</v>
      </c>
      <c r="V5705" s="12">
        <f>C5705+0</f>
        <v>40219</v>
      </c>
      <c r="W5705">
        <f>IF(D5705=' Pivot Tables'!$A$4,1,0)</f>
        <v>0</v>
      </c>
      <c r="X5705">
        <f>IF(AND(LEFT(D5705,4)+1=LEFT(' Pivot Tables'!$A$4,4)+0,RIGHT(LEFT(D5705,7),2)=RIGHT(LEFT(' Pivot Tables'!$A$4,7),2)),1,0)</f>
        <v>0</v>
      </c>
      <c r="Y5705" s="6">
        <f>1/COUNTIF(Таблица1[Order ID],Таблица1[[#This Row],[Order ID]])</f>
        <v>0.33333333333333331</v>
      </c>
      <c r="Z5705" s="9">
        <f>1/COUNTIFS(Таблица1[Customer Name],Таблица1[[#This Row],[Customer Name]],Таблица1[Order-Year-Month],Таблица1[[#This Row],[Order-Year-Month]])</f>
        <v>0.33333333333333331</v>
      </c>
    </row>
    <row r="5706" spans="1:26" x14ac:dyDescent="0.2">
      <c r="A5706" s="6">
        <v>2867</v>
      </c>
      <c r="B5706" s="7">
        <v>20704</v>
      </c>
      <c r="C5706" s="8">
        <f>DATE(2012,12,31)-1055</f>
        <v>40219</v>
      </c>
      <c r="D5706" s="8" t="str">
        <f t="shared" si="106"/>
        <v>2010-02 (февраль 2010)</v>
      </c>
      <c r="E5706" s="9" t="s">
        <v>21</v>
      </c>
      <c r="F5706" s="7">
        <v>5</v>
      </c>
      <c r="G5706" s="7">
        <v>16.48</v>
      </c>
      <c r="H5706" s="7">
        <v>0.06</v>
      </c>
      <c r="I5706" s="9" t="s">
        <v>22</v>
      </c>
      <c r="J5706" s="10">
        <v>-0.33</v>
      </c>
      <c r="K5706" s="11">
        <v>3.08</v>
      </c>
      <c r="L5706" s="11">
        <v>0.99</v>
      </c>
      <c r="M5706" s="9" t="s">
        <v>1952</v>
      </c>
      <c r="N5706" s="6" t="s">
        <v>1905</v>
      </c>
      <c r="O5706" s="6" t="s">
        <v>673</v>
      </c>
      <c r="P5706" s="9" t="s">
        <v>60</v>
      </c>
      <c r="Q5706" s="9" t="s">
        <v>26</v>
      </c>
      <c r="R5706" s="9" t="s">
        <v>88</v>
      </c>
      <c r="S5706" s="7" t="s">
        <v>368</v>
      </c>
      <c r="T5706" s="9" t="s">
        <v>39</v>
      </c>
      <c r="U5706" s="7">
        <v>0.37</v>
      </c>
      <c r="V5706" s="12">
        <f>C5706+5</f>
        <v>40224</v>
      </c>
      <c r="W5706">
        <f>IF(D5706=' Pivot Tables'!$A$4,1,0)</f>
        <v>0</v>
      </c>
      <c r="X5706">
        <f>IF(AND(LEFT(D5706,4)+1=LEFT(' Pivot Tables'!$A$4,4)+0,RIGHT(LEFT(D5706,7),2)=RIGHT(LEFT(' Pivot Tables'!$A$4,7),2)),1,0)</f>
        <v>0</v>
      </c>
      <c r="Y5706" s="6">
        <f>1/COUNTIF(Таблица1[Order ID],Таблица1[[#This Row],[Order ID]])</f>
        <v>0.33333333333333331</v>
      </c>
      <c r="Z5706" s="9">
        <f>1/COUNTIFS(Таблица1[Customer Name],Таблица1[[#This Row],[Customer Name]],Таблица1[Order-Year-Month],Таблица1[[#This Row],[Order-Year-Month]])</f>
        <v>0.33333333333333331</v>
      </c>
    </row>
    <row r="5707" spans="1:26" x14ac:dyDescent="0.2">
      <c r="A5707" s="6">
        <v>2868</v>
      </c>
      <c r="B5707" s="7">
        <v>20704</v>
      </c>
      <c r="C5707" s="8">
        <f>DATE(2012,12,31)-1055</f>
        <v>40219</v>
      </c>
      <c r="D5707" s="8" t="str">
        <f t="shared" si="106"/>
        <v>2010-02 (февраль 2010)</v>
      </c>
      <c r="E5707" s="9" t="s">
        <v>21</v>
      </c>
      <c r="F5707" s="7">
        <v>38</v>
      </c>
      <c r="G5707" s="7">
        <v>15655.24</v>
      </c>
      <c r="H5707" s="7">
        <v>0.09</v>
      </c>
      <c r="I5707" s="9" t="s">
        <v>22</v>
      </c>
      <c r="J5707" s="10">
        <v>4818.29</v>
      </c>
      <c r="K5707" s="11">
        <v>419.19</v>
      </c>
      <c r="L5707" s="11">
        <v>19.989999999999998</v>
      </c>
      <c r="M5707" s="9" t="s">
        <v>1952</v>
      </c>
      <c r="N5707" s="6" t="s">
        <v>1905</v>
      </c>
      <c r="O5707" s="6" t="s">
        <v>673</v>
      </c>
      <c r="P5707" s="9" t="s">
        <v>60</v>
      </c>
      <c r="Q5707" s="9" t="s">
        <v>26</v>
      </c>
      <c r="R5707" s="9" t="s">
        <v>27</v>
      </c>
      <c r="S5707" s="7" t="s">
        <v>1655</v>
      </c>
      <c r="T5707" s="9" t="s">
        <v>39</v>
      </c>
      <c r="U5707" s="7">
        <v>0.57999999999999996</v>
      </c>
      <c r="V5707" s="12">
        <f>C5707+5</f>
        <v>40224</v>
      </c>
      <c r="W5707">
        <f>IF(D5707=' Pivot Tables'!$A$4,1,0)</f>
        <v>0</v>
      </c>
      <c r="X5707">
        <f>IF(AND(LEFT(D5707,4)+1=LEFT(' Pivot Tables'!$A$4,4)+0,RIGHT(LEFT(D5707,7),2)=RIGHT(LEFT(' Pivot Tables'!$A$4,7),2)),1,0)</f>
        <v>0</v>
      </c>
      <c r="Y5707" s="6">
        <f>1/COUNTIF(Таблица1[Order ID],Таблица1[[#This Row],[Order ID]])</f>
        <v>0.33333333333333331</v>
      </c>
      <c r="Z5707" s="9">
        <f>1/COUNTIFS(Таблица1[Customer Name],Таблица1[[#This Row],[Customer Name]],Таблица1[Order-Year-Month],Таблица1[[#This Row],[Order-Year-Month]])</f>
        <v>0.33333333333333331</v>
      </c>
    </row>
    <row r="5708" spans="1:26" x14ac:dyDescent="0.2">
      <c r="A5708" s="6">
        <v>2972</v>
      </c>
      <c r="B5708" s="7">
        <v>21477</v>
      </c>
      <c r="C5708" s="8">
        <f>DATE(2012,12,31)-590</f>
        <v>40684</v>
      </c>
      <c r="D5708" s="8" t="str">
        <f t="shared" si="106"/>
        <v>2011-05 (май 2011)</v>
      </c>
      <c r="E5708" s="9" t="s">
        <v>21</v>
      </c>
      <c r="F5708" s="7">
        <v>7</v>
      </c>
      <c r="G5708" s="7">
        <v>189.73</v>
      </c>
      <c r="H5708" s="7">
        <v>0.01</v>
      </c>
      <c r="I5708" s="9" t="s">
        <v>22</v>
      </c>
      <c r="J5708" s="10">
        <v>43.171500000000002</v>
      </c>
      <c r="K5708" s="11">
        <v>24.95</v>
      </c>
      <c r="L5708" s="11">
        <v>2.99</v>
      </c>
      <c r="M5708" s="9" t="s">
        <v>1953</v>
      </c>
      <c r="N5708" s="6" t="s">
        <v>1905</v>
      </c>
      <c r="O5708" s="6" t="s">
        <v>673</v>
      </c>
      <c r="P5708" s="9" t="s">
        <v>60</v>
      </c>
      <c r="Q5708" s="9" t="s">
        <v>26</v>
      </c>
      <c r="R5708" s="9" t="s">
        <v>37</v>
      </c>
      <c r="S5708" s="7" t="s">
        <v>1390</v>
      </c>
      <c r="T5708" s="9" t="s">
        <v>39</v>
      </c>
      <c r="U5708" s="7">
        <v>0.39</v>
      </c>
      <c r="V5708" s="12">
        <f>C5708+0</f>
        <v>40684</v>
      </c>
      <c r="W5708">
        <f>IF(D5708=' Pivot Tables'!$A$4,1,0)</f>
        <v>0</v>
      </c>
      <c r="X5708">
        <f>IF(AND(LEFT(D5708,4)+1=LEFT(' Pivot Tables'!$A$4,4)+0,RIGHT(LEFT(D5708,7),2)=RIGHT(LEFT(' Pivot Tables'!$A$4,7),2)),1,0)</f>
        <v>0</v>
      </c>
      <c r="Y5708" s="6">
        <f>1/COUNTIF(Таблица1[Order ID],Таблица1[[#This Row],[Order ID]])</f>
        <v>0.5</v>
      </c>
      <c r="Z5708" s="9">
        <f>1/COUNTIFS(Таблица1[Customer Name],Таблица1[[#This Row],[Customer Name]],Таблица1[Order-Year-Month],Таблица1[[#This Row],[Order-Year-Month]])</f>
        <v>0.5</v>
      </c>
    </row>
    <row r="5709" spans="1:26" x14ac:dyDescent="0.2">
      <c r="A5709" s="6">
        <v>2973</v>
      </c>
      <c r="B5709" s="7">
        <v>21477</v>
      </c>
      <c r="C5709" s="8">
        <f>DATE(2012,12,31)-590</f>
        <v>40684</v>
      </c>
      <c r="D5709" s="8" t="str">
        <f t="shared" si="106"/>
        <v>2011-05 (май 2011)</v>
      </c>
      <c r="E5709" s="9" t="s">
        <v>21</v>
      </c>
      <c r="F5709" s="7">
        <v>40</v>
      </c>
      <c r="G5709" s="7">
        <v>278.8</v>
      </c>
      <c r="H5709" s="7">
        <v>0.06</v>
      </c>
      <c r="I5709" s="9" t="s">
        <v>22</v>
      </c>
      <c r="J5709" s="10">
        <v>77.709999999999994</v>
      </c>
      <c r="K5709" s="11">
        <v>6.88</v>
      </c>
      <c r="L5709" s="11">
        <v>2</v>
      </c>
      <c r="M5709" s="9" t="s">
        <v>1953</v>
      </c>
      <c r="N5709" s="6" t="s">
        <v>1905</v>
      </c>
      <c r="O5709" s="6" t="s">
        <v>673</v>
      </c>
      <c r="P5709" s="9" t="s">
        <v>60</v>
      </c>
      <c r="Q5709" s="9" t="s">
        <v>26</v>
      </c>
      <c r="R5709" s="9" t="s">
        <v>61</v>
      </c>
      <c r="S5709" s="7" t="s">
        <v>1063</v>
      </c>
      <c r="T5709" s="9" t="s">
        <v>68</v>
      </c>
      <c r="U5709" s="7">
        <v>0.39</v>
      </c>
      <c r="V5709" s="12">
        <f>C5709+2</f>
        <v>40686</v>
      </c>
      <c r="W5709">
        <f>IF(D5709=' Pivot Tables'!$A$4,1,0)</f>
        <v>0</v>
      </c>
      <c r="X5709">
        <f>IF(AND(LEFT(D5709,4)+1=LEFT(' Pivot Tables'!$A$4,4)+0,RIGHT(LEFT(D5709,7),2)=RIGHT(LEFT(' Pivot Tables'!$A$4,7),2)),1,0)</f>
        <v>0</v>
      </c>
      <c r="Y5709" s="6">
        <f>1/COUNTIF(Таблица1[Order ID],Таблица1[[#This Row],[Order ID]])</f>
        <v>0.5</v>
      </c>
      <c r="Z5709" s="9">
        <f>1/COUNTIFS(Таблица1[Customer Name],Таблица1[[#This Row],[Customer Name]],Таблица1[Order-Year-Month],Таблица1[[#This Row],[Order-Year-Month]])</f>
        <v>0.5</v>
      </c>
    </row>
    <row r="5710" spans="1:26" x14ac:dyDescent="0.2">
      <c r="A5710" s="6">
        <v>2993</v>
      </c>
      <c r="B5710" s="7">
        <v>21602</v>
      </c>
      <c r="C5710" s="8">
        <f>DATE(2012,12,31)-1279</f>
        <v>39995</v>
      </c>
      <c r="D5710" s="8" t="str">
        <f t="shared" si="106"/>
        <v>2009-07 (июль 2009)</v>
      </c>
      <c r="E5710" s="9" t="s">
        <v>78</v>
      </c>
      <c r="F5710" s="7">
        <v>6</v>
      </c>
      <c r="G5710" s="7">
        <v>2170.61</v>
      </c>
      <c r="H5710" s="7">
        <v>0.01</v>
      </c>
      <c r="I5710" s="9" t="s">
        <v>31</v>
      </c>
      <c r="J5710" s="10">
        <v>-62.29</v>
      </c>
      <c r="K5710" s="11">
        <v>348.21</v>
      </c>
      <c r="L5710" s="11">
        <v>40.19</v>
      </c>
      <c r="M5710" s="9" t="s">
        <v>1003</v>
      </c>
      <c r="N5710" s="6" t="s">
        <v>1905</v>
      </c>
      <c r="O5710" s="6" t="s">
        <v>673</v>
      </c>
      <c r="P5710" s="9" t="s">
        <v>25</v>
      </c>
      <c r="Q5710" s="9" t="s">
        <v>49</v>
      </c>
      <c r="R5710" s="9" t="s">
        <v>83</v>
      </c>
      <c r="S5710" s="7" t="s">
        <v>599</v>
      </c>
      <c r="T5710" s="9" t="s">
        <v>82</v>
      </c>
      <c r="U5710" s="7">
        <v>0.62</v>
      </c>
      <c r="V5710" s="12">
        <f>C5710+3</f>
        <v>39998</v>
      </c>
      <c r="W5710">
        <f>IF(D5710=' Pivot Tables'!$A$4,1,0)</f>
        <v>0</v>
      </c>
      <c r="X5710">
        <f>IF(AND(LEFT(D5710,4)+1=LEFT(' Pivot Tables'!$A$4,4)+0,RIGHT(LEFT(D5710,7),2)=RIGHT(LEFT(' Pivot Tables'!$A$4,7),2)),1,0)</f>
        <v>0</v>
      </c>
      <c r="Y5710" s="6">
        <f>1/COUNTIF(Таблица1[Order ID],Таблица1[[#This Row],[Order ID]])</f>
        <v>1</v>
      </c>
      <c r="Z5710" s="9">
        <f>1/COUNTIFS(Таблица1[Customer Name],Таблица1[[#This Row],[Customer Name]],Таблица1[Order-Year-Month],Таблица1[[#This Row],[Order-Year-Month]])</f>
        <v>1</v>
      </c>
    </row>
    <row r="5711" spans="1:26" x14ac:dyDescent="0.2">
      <c r="A5711" s="6">
        <v>3616</v>
      </c>
      <c r="B5711" s="7">
        <v>25828</v>
      </c>
      <c r="C5711" s="8">
        <f>DATE(2012,12,31)-769</f>
        <v>40505</v>
      </c>
      <c r="D5711" s="8" t="str">
        <f t="shared" si="106"/>
        <v>2010-11 (ноябрь 2010)</v>
      </c>
      <c r="E5711" s="9" t="s">
        <v>45</v>
      </c>
      <c r="F5711" s="7">
        <v>29</v>
      </c>
      <c r="G5711" s="7">
        <v>163.04</v>
      </c>
      <c r="H5711" s="7">
        <v>0.08</v>
      </c>
      <c r="I5711" s="9" t="s">
        <v>22</v>
      </c>
      <c r="J5711" s="10">
        <v>58</v>
      </c>
      <c r="K5711" s="11">
        <v>5.84</v>
      </c>
      <c r="L5711" s="11">
        <v>1</v>
      </c>
      <c r="M5711" s="9" t="s">
        <v>1552</v>
      </c>
      <c r="N5711" s="6" t="s">
        <v>1905</v>
      </c>
      <c r="O5711" s="6" t="s">
        <v>673</v>
      </c>
      <c r="P5711" s="9" t="s">
        <v>25</v>
      </c>
      <c r="Q5711" s="9" t="s">
        <v>26</v>
      </c>
      <c r="R5711" s="9" t="s">
        <v>95</v>
      </c>
      <c r="S5711" s="7" t="s">
        <v>1144</v>
      </c>
      <c r="T5711" s="9" t="s">
        <v>68</v>
      </c>
      <c r="U5711" s="7">
        <v>0.38</v>
      </c>
      <c r="V5711" s="12">
        <f>C5711+1</f>
        <v>40506</v>
      </c>
      <c r="W5711">
        <f>IF(D5711=' Pivot Tables'!$A$4,1,0)</f>
        <v>0</v>
      </c>
      <c r="X5711">
        <f>IF(AND(LEFT(D5711,4)+1=LEFT(' Pivot Tables'!$A$4,4)+0,RIGHT(LEFT(D5711,7),2)=RIGHT(LEFT(' Pivot Tables'!$A$4,7),2)),1,0)</f>
        <v>0</v>
      </c>
      <c r="Y5711" s="6">
        <f>1/COUNTIF(Таблица1[Order ID],Таблица1[[#This Row],[Order ID]])</f>
        <v>0.33333333333333331</v>
      </c>
      <c r="Z5711" s="9">
        <f>1/COUNTIFS(Таблица1[Customer Name],Таблица1[[#This Row],[Customer Name]],Таблица1[Order-Year-Month],Таблица1[[#This Row],[Order-Year-Month]])</f>
        <v>0.33333333333333331</v>
      </c>
    </row>
    <row r="5712" spans="1:26" x14ac:dyDescent="0.2">
      <c r="A5712" s="6">
        <v>3617</v>
      </c>
      <c r="B5712" s="7">
        <v>25828</v>
      </c>
      <c r="C5712" s="8">
        <f>DATE(2012,12,31)-769</f>
        <v>40505</v>
      </c>
      <c r="D5712" s="8" t="str">
        <f t="shared" si="106"/>
        <v>2010-11 (ноябрь 2010)</v>
      </c>
      <c r="E5712" s="9" t="s">
        <v>45</v>
      </c>
      <c r="F5712" s="7">
        <v>31</v>
      </c>
      <c r="G5712" s="7">
        <v>9041.26</v>
      </c>
      <c r="H5712" s="7">
        <v>0.01</v>
      </c>
      <c r="I5712" s="9" t="s">
        <v>31</v>
      </c>
      <c r="J5712" s="10">
        <v>-383.03</v>
      </c>
      <c r="K5712" s="11">
        <v>286.85000000000002</v>
      </c>
      <c r="L5712" s="11">
        <v>61.76</v>
      </c>
      <c r="M5712" s="9" t="s">
        <v>1552</v>
      </c>
      <c r="N5712" s="6" t="s">
        <v>1905</v>
      </c>
      <c r="O5712" s="6" t="s">
        <v>673</v>
      </c>
      <c r="P5712" s="9" t="s">
        <v>25</v>
      </c>
      <c r="Q5712" s="9" t="s">
        <v>49</v>
      </c>
      <c r="R5712" s="9" t="s">
        <v>83</v>
      </c>
      <c r="S5712" s="7" t="s">
        <v>1086</v>
      </c>
      <c r="T5712" s="9" t="s">
        <v>82</v>
      </c>
      <c r="U5712" s="7">
        <v>0.78</v>
      </c>
      <c r="V5712" s="12">
        <f>C5712+0</f>
        <v>40505</v>
      </c>
      <c r="W5712">
        <f>IF(D5712=' Pivot Tables'!$A$4,1,0)</f>
        <v>0</v>
      </c>
      <c r="X5712">
        <f>IF(AND(LEFT(D5712,4)+1=LEFT(' Pivot Tables'!$A$4,4)+0,RIGHT(LEFT(D5712,7),2)=RIGHT(LEFT(' Pivot Tables'!$A$4,7),2)),1,0)</f>
        <v>0</v>
      </c>
      <c r="Y5712" s="6">
        <f>1/COUNTIF(Таблица1[Order ID],Таблица1[[#This Row],[Order ID]])</f>
        <v>0.33333333333333331</v>
      </c>
      <c r="Z5712" s="9">
        <f>1/COUNTIFS(Таблица1[Customer Name],Таблица1[[#This Row],[Customer Name]],Таблица1[Order-Year-Month],Таблица1[[#This Row],[Order-Year-Month]])</f>
        <v>0.33333333333333331</v>
      </c>
    </row>
    <row r="5713" spans="1:26" x14ac:dyDescent="0.2">
      <c r="A5713" s="6">
        <v>3746</v>
      </c>
      <c r="B5713" s="7">
        <v>26758</v>
      </c>
      <c r="C5713" s="8">
        <f>DATE(2012,12,31)-1318</f>
        <v>39956</v>
      </c>
      <c r="D5713" s="8" t="str">
        <f t="shared" si="106"/>
        <v>2009-05 (май 2009)</v>
      </c>
      <c r="E5713" s="9" t="s">
        <v>45</v>
      </c>
      <c r="F5713" s="7">
        <v>46</v>
      </c>
      <c r="G5713" s="7">
        <v>3519.12</v>
      </c>
      <c r="H5713" s="7">
        <v>0.09</v>
      </c>
      <c r="I5713" s="9" t="s">
        <v>56</v>
      </c>
      <c r="J5713" s="10">
        <v>315.33</v>
      </c>
      <c r="K5713" s="11">
        <v>77.510000000000005</v>
      </c>
      <c r="L5713" s="11">
        <v>4</v>
      </c>
      <c r="M5713" s="9" t="s">
        <v>1952</v>
      </c>
      <c r="N5713" s="6" t="s">
        <v>1905</v>
      </c>
      <c r="O5713" s="6" t="s">
        <v>673</v>
      </c>
      <c r="P5713" s="9" t="s">
        <v>60</v>
      </c>
      <c r="Q5713" s="9" t="s">
        <v>42</v>
      </c>
      <c r="R5713" s="9" t="s">
        <v>70</v>
      </c>
      <c r="S5713" s="7" t="s">
        <v>1122</v>
      </c>
      <c r="T5713" s="9" t="s">
        <v>39</v>
      </c>
      <c r="U5713" s="7">
        <v>0.76</v>
      </c>
      <c r="V5713" s="12">
        <f>C5713+2</f>
        <v>39958</v>
      </c>
      <c r="W5713">
        <f>IF(D5713=' Pivot Tables'!$A$4,1,0)</f>
        <v>0</v>
      </c>
      <c r="X5713">
        <f>IF(AND(LEFT(D5713,4)+1=LEFT(' Pivot Tables'!$A$4,4)+0,RIGHT(LEFT(D5713,7),2)=RIGHT(LEFT(' Pivot Tables'!$A$4,7),2)),1,0)</f>
        <v>0</v>
      </c>
      <c r="Y5713" s="6">
        <f>1/COUNTIF(Таблица1[Order ID],Таблица1[[#This Row],[Order ID]])</f>
        <v>0.5</v>
      </c>
      <c r="Z5713" s="9">
        <f>1/COUNTIFS(Таблица1[Customer Name],Таблица1[[#This Row],[Customer Name]],Таблица1[Order-Year-Month],Таблица1[[#This Row],[Order-Year-Month]])</f>
        <v>0.5</v>
      </c>
    </row>
    <row r="5714" spans="1:26" x14ac:dyDescent="0.2">
      <c r="A5714" s="6">
        <v>3747</v>
      </c>
      <c r="B5714" s="7">
        <v>26758</v>
      </c>
      <c r="C5714" s="8">
        <f>DATE(2012,12,31)-1318</f>
        <v>39956</v>
      </c>
      <c r="D5714" s="8" t="str">
        <f t="shared" si="106"/>
        <v>2009-05 (май 2009)</v>
      </c>
      <c r="E5714" s="9" t="s">
        <v>45</v>
      </c>
      <c r="F5714" s="7">
        <v>37</v>
      </c>
      <c r="G5714" s="7">
        <v>108.33</v>
      </c>
      <c r="H5714" s="7">
        <v>0</v>
      </c>
      <c r="I5714" s="9" t="s">
        <v>22</v>
      </c>
      <c r="J5714" s="10">
        <v>17</v>
      </c>
      <c r="K5714" s="11">
        <v>2.88</v>
      </c>
      <c r="L5714" s="11">
        <v>0.7</v>
      </c>
      <c r="M5714" s="9" t="s">
        <v>1952</v>
      </c>
      <c r="N5714" s="6" t="s">
        <v>1905</v>
      </c>
      <c r="O5714" s="6" t="s">
        <v>673</v>
      </c>
      <c r="P5714" s="9" t="s">
        <v>60</v>
      </c>
      <c r="Q5714" s="9" t="s">
        <v>26</v>
      </c>
      <c r="R5714" s="9" t="s">
        <v>95</v>
      </c>
      <c r="S5714" s="7" t="s">
        <v>1059</v>
      </c>
      <c r="T5714" s="9" t="s">
        <v>68</v>
      </c>
      <c r="U5714" s="7">
        <v>0.56000000000000005</v>
      </c>
      <c r="V5714" s="12">
        <f>C5714+2</f>
        <v>39958</v>
      </c>
      <c r="W5714">
        <f>IF(D5714=' Pivot Tables'!$A$4,1,0)</f>
        <v>0</v>
      </c>
      <c r="X5714">
        <f>IF(AND(LEFT(D5714,4)+1=LEFT(' Pivot Tables'!$A$4,4)+0,RIGHT(LEFT(D5714,7),2)=RIGHT(LEFT(' Pivot Tables'!$A$4,7),2)),1,0)</f>
        <v>0</v>
      </c>
      <c r="Y5714" s="6">
        <f>1/COUNTIF(Таблица1[Order ID],Таблица1[[#This Row],[Order ID]])</f>
        <v>0.5</v>
      </c>
      <c r="Z5714" s="9">
        <f>1/COUNTIFS(Таблица1[Customer Name],Таблица1[[#This Row],[Customer Name]],Таблица1[Order-Year-Month],Таблица1[[#This Row],[Order-Year-Month]])</f>
        <v>0.5</v>
      </c>
    </row>
    <row r="5715" spans="1:26" x14ac:dyDescent="0.2">
      <c r="A5715" s="6">
        <v>3966</v>
      </c>
      <c r="B5715" s="7">
        <v>28291</v>
      </c>
      <c r="C5715" s="8">
        <f>DATE(2012,12,31)-1398</f>
        <v>39876</v>
      </c>
      <c r="D5715" s="8" t="str">
        <f t="shared" si="106"/>
        <v>2009-03 (март 2009)</v>
      </c>
      <c r="E5715" s="9" t="s">
        <v>78</v>
      </c>
      <c r="F5715" s="7">
        <v>14</v>
      </c>
      <c r="G5715" s="7">
        <v>3950.6</v>
      </c>
      <c r="H5715" s="7">
        <v>0.02</v>
      </c>
      <c r="I5715" s="9" t="s">
        <v>31</v>
      </c>
      <c r="J5715" s="10">
        <v>-477.66</v>
      </c>
      <c r="K5715" s="11">
        <v>280.98</v>
      </c>
      <c r="L5715" s="11">
        <v>57</v>
      </c>
      <c r="M5715" s="9" t="s">
        <v>1950</v>
      </c>
      <c r="N5715" s="6" t="s">
        <v>1905</v>
      </c>
      <c r="O5715" s="6" t="s">
        <v>673</v>
      </c>
      <c r="P5715" s="9" t="s">
        <v>33</v>
      </c>
      <c r="Q5715" s="9" t="s">
        <v>49</v>
      </c>
      <c r="R5715" s="9" t="s">
        <v>112</v>
      </c>
      <c r="S5715" s="7" t="s">
        <v>697</v>
      </c>
      <c r="T5715" s="9" t="s">
        <v>36</v>
      </c>
      <c r="U5715" s="7">
        <v>0.78</v>
      </c>
      <c r="V5715" s="12">
        <f>C5715+1</f>
        <v>39877</v>
      </c>
      <c r="W5715">
        <f>IF(D5715=' Pivot Tables'!$A$4,1,0)</f>
        <v>0</v>
      </c>
      <c r="X5715">
        <f>IF(AND(LEFT(D5715,4)+1=LEFT(' Pivot Tables'!$A$4,4)+0,RIGHT(LEFT(D5715,7),2)=RIGHT(LEFT(' Pivot Tables'!$A$4,7),2)),1,0)</f>
        <v>0</v>
      </c>
      <c r="Y5715" s="6">
        <f>1/COUNTIF(Таблица1[Order ID],Таблица1[[#This Row],[Order ID]])</f>
        <v>1</v>
      </c>
      <c r="Z5715" s="9">
        <f>1/COUNTIFS(Таблица1[Customer Name],Таблица1[[#This Row],[Customer Name]],Таблица1[Order-Year-Month],Таблица1[[#This Row],[Order-Year-Month]])</f>
        <v>1</v>
      </c>
    </row>
    <row r="5716" spans="1:26" x14ac:dyDescent="0.2">
      <c r="A5716" s="6">
        <v>3986</v>
      </c>
      <c r="B5716" s="7">
        <v>28455</v>
      </c>
      <c r="C5716" s="8">
        <f>DATE(2012,12,31)-946</f>
        <v>40328</v>
      </c>
      <c r="D5716" s="8" t="str">
        <f t="shared" si="106"/>
        <v>2010-05 (май 2010)</v>
      </c>
      <c r="E5716" s="9" t="s">
        <v>63</v>
      </c>
      <c r="F5716" s="7">
        <v>12</v>
      </c>
      <c r="G5716" s="7">
        <v>254.12</v>
      </c>
      <c r="H5716" s="7">
        <v>0.06</v>
      </c>
      <c r="I5716" s="9" t="s">
        <v>22</v>
      </c>
      <c r="J5716" s="10">
        <v>-64.97</v>
      </c>
      <c r="K5716" s="11">
        <v>20.95</v>
      </c>
      <c r="L5716" s="11">
        <v>5.99</v>
      </c>
      <c r="M5716" s="9" t="s">
        <v>1003</v>
      </c>
      <c r="N5716" s="6" t="s">
        <v>1905</v>
      </c>
      <c r="O5716" s="6" t="s">
        <v>673</v>
      </c>
      <c r="P5716" s="9" t="s">
        <v>25</v>
      </c>
      <c r="Q5716" s="9" t="s">
        <v>42</v>
      </c>
      <c r="R5716" s="9" t="s">
        <v>70</v>
      </c>
      <c r="S5716" s="7" t="s">
        <v>231</v>
      </c>
      <c r="T5716" s="9" t="s">
        <v>39</v>
      </c>
      <c r="U5716" s="7">
        <v>0.65</v>
      </c>
      <c r="V5716" s="12">
        <f>C5716+2</f>
        <v>40330</v>
      </c>
      <c r="W5716">
        <f>IF(D5716=' Pivot Tables'!$A$4,1,0)</f>
        <v>0</v>
      </c>
      <c r="X5716">
        <f>IF(AND(LEFT(D5716,4)+1=LEFT(' Pivot Tables'!$A$4,4)+0,RIGHT(LEFT(D5716,7),2)=RIGHT(LEFT(' Pivot Tables'!$A$4,7),2)),1,0)</f>
        <v>0</v>
      </c>
      <c r="Y5716" s="6">
        <f>1/COUNTIF(Таблица1[Order ID],Таблица1[[#This Row],[Order ID]])</f>
        <v>0.5</v>
      </c>
      <c r="Z5716" s="9">
        <f>1/COUNTIFS(Таблица1[Customer Name],Таблица1[[#This Row],[Customer Name]],Таблица1[Order-Year-Month],Таблица1[[#This Row],[Order-Year-Month]])</f>
        <v>0.33333333333333331</v>
      </c>
    </row>
    <row r="5717" spans="1:26" x14ac:dyDescent="0.2">
      <c r="A5717" s="6">
        <v>3987</v>
      </c>
      <c r="B5717" s="7">
        <v>28455</v>
      </c>
      <c r="C5717" s="8">
        <f>DATE(2012,12,31)-946</f>
        <v>40328</v>
      </c>
      <c r="D5717" s="8" t="str">
        <f t="shared" si="106"/>
        <v>2010-05 (май 2010)</v>
      </c>
      <c r="E5717" s="9" t="s">
        <v>63</v>
      </c>
      <c r="F5717" s="7">
        <v>37</v>
      </c>
      <c r="G5717" s="7">
        <v>767.04</v>
      </c>
      <c r="H5717" s="7">
        <v>0.02</v>
      </c>
      <c r="I5717" s="9" t="s">
        <v>22</v>
      </c>
      <c r="J5717" s="10">
        <v>238.84</v>
      </c>
      <c r="K5717" s="11">
        <v>20.89</v>
      </c>
      <c r="L5717" s="11">
        <v>1.99</v>
      </c>
      <c r="M5717" s="9" t="s">
        <v>1003</v>
      </c>
      <c r="N5717" s="6" t="s">
        <v>1905</v>
      </c>
      <c r="O5717" s="6" t="s">
        <v>673</v>
      </c>
      <c r="P5717" s="9" t="s">
        <v>25</v>
      </c>
      <c r="Q5717" s="9" t="s">
        <v>42</v>
      </c>
      <c r="R5717" s="9" t="s">
        <v>70</v>
      </c>
      <c r="S5717" s="7" t="s">
        <v>303</v>
      </c>
      <c r="T5717" s="9" t="s">
        <v>52</v>
      </c>
      <c r="U5717" s="7">
        <v>0.48</v>
      </c>
      <c r="V5717" s="12">
        <f>C5717+1</f>
        <v>40329</v>
      </c>
      <c r="W5717">
        <f>IF(D5717=' Pivot Tables'!$A$4,1,0)</f>
        <v>0</v>
      </c>
      <c r="X5717">
        <f>IF(AND(LEFT(D5717,4)+1=LEFT(' Pivot Tables'!$A$4,4)+0,RIGHT(LEFT(D5717,7),2)=RIGHT(LEFT(' Pivot Tables'!$A$4,7),2)),1,0)</f>
        <v>0</v>
      </c>
      <c r="Y5717" s="6">
        <f>1/COUNTIF(Таблица1[Order ID],Таблица1[[#This Row],[Order ID]])</f>
        <v>0.5</v>
      </c>
      <c r="Z5717" s="9">
        <f>1/COUNTIFS(Таблица1[Customer Name],Таблица1[[#This Row],[Customer Name]],Таблица1[Order-Year-Month],Таблица1[[#This Row],[Order-Year-Month]])</f>
        <v>0.33333333333333331</v>
      </c>
    </row>
    <row r="5718" spans="1:26" x14ac:dyDescent="0.2">
      <c r="A5718" s="6">
        <v>4069</v>
      </c>
      <c r="B5718" s="7">
        <v>28963</v>
      </c>
      <c r="C5718" s="8">
        <f>DATE(2012,12,31)-393</f>
        <v>40881</v>
      </c>
      <c r="D5718" s="8" t="str">
        <f t="shared" si="106"/>
        <v>2011-12 (декабрь 2011)</v>
      </c>
      <c r="E5718" s="9" t="s">
        <v>45</v>
      </c>
      <c r="F5718" s="7">
        <v>37</v>
      </c>
      <c r="G5718" s="7">
        <v>6072.1875</v>
      </c>
      <c r="H5718" s="7">
        <v>0.09</v>
      </c>
      <c r="I5718" s="9" t="s">
        <v>22</v>
      </c>
      <c r="J5718" s="10">
        <v>1372.086</v>
      </c>
      <c r="K5718" s="11">
        <v>205.99</v>
      </c>
      <c r="L5718" s="11">
        <v>2.5</v>
      </c>
      <c r="M5718" s="9" t="s">
        <v>1951</v>
      </c>
      <c r="N5718" s="6" t="s">
        <v>1905</v>
      </c>
      <c r="O5718" s="6" t="s">
        <v>673</v>
      </c>
      <c r="P5718" s="9" t="s">
        <v>60</v>
      </c>
      <c r="Q5718" s="9" t="s">
        <v>42</v>
      </c>
      <c r="R5718" s="9" t="s">
        <v>43</v>
      </c>
      <c r="S5718" s="7" t="s">
        <v>1431</v>
      </c>
      <c r="T5718" s="9" t="s">
        <v>39</v>
      </c>
      <c r="U5718" s="7">
        <v>0.59</v>
      </c>
      <c r="V5718" s="12">
        <f>C5718+2</f>
        <v>40883</v>
      </c>
      <c r="W5718">
        <f>IF(D5718=' Pivot Tables'!$A$4,1,0)</f>
        <v>0</v>
      </c>
      <c r="X5718">
        <f>IF(AND(LEFT(D5718,4)+1=LEFT(' Pivot Tables'!$A$4,4)+0,RIGHT(LEFT(D5718,7),2)=RIGHT(LEFT(' Pivot Tables'!$A$4,7),2)),1,0)</f>
        <v>0</v>
      </c>
      <c r="Y5718" s="6">
        <f>1/COUNTIF(Таблица1[Order ID],Таблица1[[#This Row],[Order ID]])</f>
        <v>1</v>
      </c>
      <c r="Z5718" s="9">
        <f>1/COUNTIFS(Таблица1[Customer Name],Таблица1[[#This Row],[Customer Name]],Таблица1[Order-Year-Month],Таблица1[[#This Row],[Order-Year-Month]])</f>
        <v>1</v>
      </c>
    </row>
    <row r="5719" spans="1:26" x14ac:dyDescent="0.2">
      <c r="A5719" s="6">
        <v>4100</v>
      </c>
      <c r="B5719" s="7">
        <v>29216</v>
      </c>
      <c r="C5719" s="8">
        <f>DATE(2012,12,31)-2</f>
        <v>41272</v>
      </c>
      <c r="D5719" s="8" t="str">
        <f t="shared" si="106"/>
        <v>2012-12 (декабрь 2012)</v>
      </c>
      <c r="E5719" s="9" t="s">
        <v>78</v>
      </c>
      <c r="F5719" s="7">
        <v>46</v>
      </c>
      <c r="G5719" s="7">
        <v>1936.45</v>
      </c>
      <c r="H5719" s="7">
        <v>0.1</v>
      </c>
      <c r="I5719" s="9" t="s">
        <v>22</v>
      </c>
      <c r="J5719" s="10">
        <v>307.17</v>
      </c>
      <c r="K5719" s="11">
        <v>43.22</v>
      </c>
      <c r="L5719" s="11">
        <v>4</v>
      </c>
      <c r="M5719" s="9" t="s">
        <v>1953</v>
      </c>
      <c r="N5719" s="6" t="s">
        <v>1905</v>
      </c>
      <c r="O5719" s="6" t="s">
        <v>673</v>
      </c>
      <c r="P5719" s="9" t="s">
        <v>60</v>
      </c>
      <c r="Q5719" s="9" t="s">
        <v>42</v>
      </c>
      <c r="R5719" s="9" t="s">
        <v>70</v>
      </c>
      <c r="S5719" s="7" t="s">
        <v>921</v>
      </c>
      <c r="T5719" s="9" t="s">
        <v>39</v>
      </c>
      <c r="U5719" s="7">
        <v>0.64</v>
      </c>
      <c r="V5719" s="12">
        <f>C5719+1</f>
        <v>41273</v>
      </c>
      <c r="W5719">
        <f>IF(D5719=' Pivot Tables'!$A$4,1,0)</f>
        <v>0</v>
      </c>
      <c r="X5719">
        <f>IF(AND(LEFT(D5719,4)+1=LEFT(' Pivot Tables'!$A$4,4)+0,RIGHT(LEFT(D5719,7),2)=RIGHT(LEFT(' Pivot Tables'!$A$4,7),2)),1,0)</f>
        <v>0</v>
      </c>
      <c r="Y5719" s="6">
        <f>1/COUNTIF(Таблица1[Order ID],Таблица1[[#This Row],[Order ID]])</f>
        <v>0.5</v>
      </c>
      <c r="Z5719" s="9">
        <f>1/COUNTIFS(Таблица1[Customer Name],Таблица1[[#This Row],[Customer Name]],Таблица1[Order-Year-Month],Таблица1[[#This Row],[Order-Year-Month]])</f>
        <v>0.5</v>
      </c>
    </row>
    <row r="5720" spans="1:26" x14ac:dyDescent="0.2">
      <c r="A5720" s="6">
        <v>4101</v>
      </c>
      <c r="B5720" s="7">
        <v>29216</v>
      </c>
      <c r="C5720" s="8">
        <f>DATE(2012,12,31)-2</f>
        <v>41272</v>
      </c>
      <c r="D5720" s="8" t="str">
        <f t="shared" si="106"/>
        <v>2012-12 (декабрь 2012)</v>
      </c>
      <c r="E5720" s="9" t="s">
        <v>78</v>
      </c>
      <c r="F5720" s="7">
        <v>17</v>
      </c>
      <c r="G5720" s="7">
        <v>3711.04</v>
      </c>
      <c r="H5720" s="7">
        <v>0.04</v>
      </c>
      <c r="I5720" s="9" t="s">
        <v>31</v>
      </c>
      <c r="J5720" s="10">
        <v>-773.78</v>
      </c>
      <c r="K5720" s="11">
        <v>218.75</v>
      </c>
      <c r="L5720" s="11">
        <v>69.64</v>
      </c>
      <c r="M5720" s="9" t="s">
        <v>1953</v>
      </c>
      <c r="N5720" s="6" t="s">
        <v>1905</v>
      </c>
      <c r="O5720" s="6" t="s">
        <v>673</v>
      </c>
      <c r="P5720" s="9" t="s">
        <v>60</v>
      </c>
      <c r="Q5720" s="9" t="s">
        <v>49</v>
      </c>
      <c r="R5720" s="9" t="s">
        <v>83</v>
      </c>
      <c r="S5720" s="7" t="s">
        <v>254</v>
      </c>
      <c r="T5720" s="9" t="s">
        <v>82</v>
      </c>
      <c r="U5720" s="7">
        <v>0.77</v>
      </c>
      <c r="V5720" s="12">
        <f>C5720+1</f>
        <v>41273</v>
      </c>
      <c r="W5720">
        <f>IF(D5720=' Pivot Tables'!$A$4,1,0)</f>
        <v>0</v>
      </c>
      <c r="X5720">
        <f>IF(AND(LEFT(D5720,4)+1=LEFT(' Pivot Tables'!$A$4,4)+0,RIGHT(LEFT(D5720,7),2)=RIGHT(LEFT(' Pivot Tables'!$A$4,7),2)),1,0)</f>
        <v>0</v>
      </c>
      <c r="Y5720" s="6">
        <f>1/COUNTIF(Таблица1[Order ID],Таблица1[[#This Row],[Order ID]])</f>
        <v>0.5</v>
      </c>
      <c r="Z5720" s="9">
        <f>1/COUNTIFS(Таблица1[Customer Name],Таблица1[[#This Row],[Customer Name]],Таблица1[Order-Year-Month],Таблица1[[#This Row],[Order-Year-Month]])</f>
        <v>0.5</v>
      </c>
    </row>
    <row r="5721" spans="1:26" x14ac:dyDescent="0.2">
      <c r="A5721" s="6">
        <v>4274</v>
      </c>
      <c r="B5721" s="7">
        <v>30405</v>
      </c>
      <c r="C5721" s="8">
        <f>DATE(2012,12,31)-247</f>
        <v>41027</v>
      </c>
      <c r="D5721" s="8" t="str">
        <f t="shared" si="106"/>
        <v>2012-04 (апрель 2012)</v>
      </c>
      <c r="E5721" s="9" t="s">
        <v>21</v>
      </c>
      <c r="F5721" s="7">
        <v>7</v>
      </c>
      <c r="G5721" s="7">
        <v>2789.03</v>
      </c>
      <c r="H5721" s="7">
        <v>0.05</v>
      </c>
      <c r="I5721" s="9" t="s">
        <v>31</v>
      </c>
      <c r="J5721" s="10">
        <v>-303.44</v>
      </c>
      <c r="K5721" s="11">
        <v>400.98</v>
      </c>
      <c r="L5721" s="11">
        <v>42.52</v>
      </c>
      <c r="M5721" s="9" t="s">
        <v>1952</v>
      </c>
      <c r="N5721" s="6" t="s">
        <v>1905</v>
      </c>
      <c r="O5721" s="6" t="s">
        <v>673</v>
      </c>
      <c r="P5721" s="9" t="s">
        <v>60</v>
      </c>
      <c r="Q5721" s="9" t="s">
        <v>49</v>
      </c>
      <c r="R5721" s="9" t="s">
        <v>83</v>
      </c>
      <c r="S5721" s="7" t="s">
        <v>1136</v>
      </c>
      <c r="T5721" s="9" t="s">
        <v>82</v>
      </c>
      <c r="U5721" s="7">
        <v>0.71</v>
      </c>
      <c r="V5721" s="12">
        <f>C5721+5</f>
        <v>41032</v>
      </c>
      <c r="W5721">
        <f>IF(D5721=' Pivot Tables'!$A$4,1,0)</f>
        <v>0</v>
      </c>
      <c r="X5721">
        <f>IF(AND(LEFT(D5721,4)+1=LEFT(' Pivot Tables'!$A$4,4)+0,RIGHT(LEFT(D5721,7),2)=RIGHT(LEFT(' Pivot Tables'!$A$4,7),2)),1,0)</f>
        <v>0</v>
      </c>
      <c r="Y5721" s="6">
        <f>1/COUNTIF(Таблица1[Order ID],Таблица1[[#This Row],[Order ID]])</f>
        <v>1</v>
      </c>
      <c r="Z5721" s="9">
        <f>1/COUNTIFS(Таблица1[Customer Name],Таблица1[[#This Row],[Customer Name]],Таблица1[Order-Year-Month],Таблица1[[#This Row],[Order-Year-Month]])</f>
        <v>1</v>
      </c>
    </row>
    <row r="5722" spans="1:26" x14ac:dyDescent="0.2">
      <c r="A5722" s="6">
        <v>4348</v>
      </c>
      <c r="B5722" s="7">
        <v>30976</v>
      </c>
      <c r="C5722" s="8">
        <f>DATE(2012,12,31)-68</f>
        <v>41206</v>
      </c>
      <c r="D5722" s="8" t="str">
        <f t="shared" si="106"/>
        <v>2012-10 (октябрь 2012)</v>
      </c>
      <c r="E5722" s="9" t="s">
        <v>30</v>
      </c>
      <c r="F5722" s="7">
        <v>10</v>
      </c>
      <c r="G5722" s="7">
        <v>403.88</v>
      </c>
      <c r="H5722" s="7">
        <v>7.0000000000000007E-2</v>
      </c>
      <c r="I5722" s="9" t="s">
        <v>22</v>
      </c>
      <c r="J5722" s="10">
        <v>48.03</v>
      </c>
      <c r="K5722" s="11">
        <v>40.97</v>
      </c>
      <c r="L5722" s="11">
        <v>1.99</v>
      </c>
      <c r="M5722" s="9" t="s">
        <v>1003</v>
      </c>
      <c r="N5722" s="6" t="s">
        <v>1905</v>
      </c>
      <c r="O5722" s="6" t="s">
        <v>673</v>
      </c>
      <c r="P5722" s="9" t="s">
        <v>25</v>
      </c>
      <c r="Q5722" s="9" t="s">
        <v>42</v>
      </c>
      <c r="R5722" s="9" t="s">
        <v>70</v>
      </c>
      <c r="S5722" s="7" t="s">
        <v>1519</v>
      </c>
      <c r="T5722" s="9" t="s">
        <v>52</v>
      </c>
      <c r="U5722" s="7">
        <v>0.42</v>
      </c>
      <c r="V5722" s="12">
        <f>C5722+0</f>
        <v>41206</v>
      </c>
      <c r="W5722">
        <f>IF(D5722=' Pivot Tables'!$A$4,1,0)</f>
        <v>0</v>
      </c>
      <c r="X5722">
        <f>IF(AND(LEFT(D5722,4)+1=LEFT(' Pivot Tables'!$A$4,4)+0,RIGHT(LEFT(D5722,7),2)=RIGHT(LEFT(' Pivot Tables'!$A$4,7),2)),1,0)</f>
        <v>0</v>
      </c>
      <c r="Y5722" s="6">
        <f>1/COUNTIF(Таблица1[Order ID],Таблица1[[#This Row],[Order ID]])</f>
        <v>1</v>
      </c>
      <c r="Z5722" s="9">
        <f>1/COUNTIFS(Таблица1[Customer Name],Таблица1[[#This Row],[Customer Name]],Таблица1[Order-Year-Month],Таблица1[[#This Row],[Order-Year-Month]])</f>
        <v>0.33333333333333331</v>
      </c>
    </row>
    <row r="5723" spans="1:26" x14ac:dyDescent="0.2">
      <c r="A5723" s="6">
        <v>4667</v>
      </c>
      <c r="B5723" s="7">
        <v>33220</v>
      </c>
      <c r="C5723" s="8">
        <f>DATE(2012,12,31)-1356</f>
        <v>39918</v>
      </c>
      <c r="D5723" s="8" t="str">
        <f t="shared" si="106"/>
        <v>2009-04 (апрель 2009)</v>
      </c>
      <c r="E5723" s="9" t="s">
        <v>45</v>
      </c>
      <c r="F5723" s="7">
        <v>49</v>
      </c>
      <c r="G5723" s="7">
        <v>3291.13</v>
      </c>
      <c r="H5723" s="7">
        <v>0.09</v>
      </c>
      <c r="I5723" s="9" t="s">
        <v>22</v>
      </c>
      <c r="J5723" s="10">
        <v>925.95</v>
      </c>
      <c r="K5723" s="11">
        <v>70.97</v>
      </c>
      <c r="L5723" s="11">
        <v>3.5</v>
      </c>
      <c r="M5723" s="9" t="s">
        <v>1950</v>
      </c>
      <c r="N5723" s="6" t="s">
        <v>1905</v>
      </c>
      <c r="O5723" s="6" t="s">
        <v>673</v>
      </c>
      <c r="P5723" s="9" t="s">
        <v>33</v>
      </c>
      <c r="Q5723" s="9" t="s">
        <v>26</v>
      </c>
      <c r="R5723" s="9" t="s">
        <v>34</v>
      </c>
      <c r="S5723" s="7" t="s">
        <v>1401</v>
      </c>
      <c r="T5723" s="9" t="s">
        <v>39</v>
      </c>
      <c r="U5723" s="7">
        <v>0.59</v>
      </c>
      <c r="V5723" s="12">
        <f>C5723+0</f>
        <v>39918</v>
      </c>
      <c r="W5723">
        <f>IF(D5723=' Pivot Tables'!$A$4,1,0)</f>
        <v>0</v>
      </c>
      <c r="X5723">
        <f>IF(AND(LEFT(D5723,4)+1=LEFT(' Pivot Tables'!$A$4,4)+0,RIGHT(LEFT(D5723,7),2)=RIGHT(LEFT(' Pivot Tables'!$A$4,7),2)),1,0)</f>
        <v>0</v>
      </c>
      <c r="Y5723" s="6">
        <f>1/COUNTIF(Таблица1[Order ID],Таблица1[[#This Row],[Order ID]])</f>
        <v>0.5</v>
      </c>
      <c r="Z5723" s="9">
        <f>1/COUNTIFS(Таблица1[Customer Name],Таблица1[[#This Row],[Customer Name]],Таблица1[Order-Year-Month],Таблица1[[#This Row],[Order-Year-Month]])</f>
        <v>0.5</v>
      </c>
    </row>
    <row r="5724" spans="1:26" x14ac:dyDescent="0.2">
      <c r="A5724" s="6">
        <v>4668</v>
      </c>
      <c r="B5724" s="7">
        <v>33220</v>
      </c>
      <c r="C5724" s="8">
        <f>DATE(2012,12,31)-1356</f>
        <v>39918</v>
      </c>
      <c r="D5724" s="8" t="str">
        <f t="shared" si="106"/>
        <v>2009-04 (апрель 2009)</v>
      </c>
      <c r="E5724" s="9" t="s">
        <v>45</v>
      </c>
      <c r="F5724" s="7">
        <v>40</v>
      </c>
      <c r="G5724" s="7">
        <v>736.96</v>
      </c>
      <c r="H5724" s="7">
        <v>0.1</v>
      </c>
      <c r="I5724" s="9" t="s">
        <v>22</v>
      </c>
      <c r="J5724" s="10">
        <v>-34.29</v>
      </c>
      <c r="K5724" s="11">
        <v>19.98</v>
      </c>
      <c r="L5724" s="11">
        <v>10.49</v>
      </c>
      <c r="M5724" s="9" t="s">
        <v>1950</v>
      </c>
      <c r="N5724" s="6" t="s">
        <v>1905</v>
      </c>
      <c r="O5724" s="6" t="s">
        <v>673</v>
      </c>
      <c r="P5724" s="9" t="s">
        <v>33</v>
      </c>
      <c r="Q5724" s="9" t="s">
        <v>49</v>
      </c>
      <c r="R5724" s="9" t="s">
        <v>50</v>
      </c>
      <c r="S5724" s="7" t="s">
        <v>163</v>
      </c>
      <c r="T5724" s="9" t="s">
        <v>39</v>
      </c>
      <c r="U5724" s="7">
        <v>0.49</v>
      </c>
      <c r="V5724" s="12">
        <f>C5724+3</f>
        <v>39921</v>
      </c>
      <c r="W5724">
        <f>IF(D5724=' Pivot Tables'!$A$4,1,0)</f>
        <v>0</v>
      </c>
      <c r="X5724">
        <f>IF(AND(LEFT(D5724,4)+1=LEFT(' Pivot Tables'!$A$4,4)+0,RIGHT(LEFT(D5724,7),2)=RIGHT(LEFT(' Pivot Tables'!$A$4,7),2)),1,0)</f>
        <v>0</v>
      </c>
      <c r="Y5724" s="6">
        <f>1/COUNTIF(Таблица1[Order ID],Таблица1[[#This Row],[Order ID]])</f>
        <v>0.5</v>
      </c>
      <c r="Z5724" s="9">
        <f>1/COUNTIFS(Таблица1[Customer Name],Таблица1[[#This Row],[Customer Name]],Таблица1[Order-Year-Month],Таблица1[[#This Row],[Order-Year-Month]])</f>
        <v>0.5</v>
      </c>
    </row>
    <row r="5725" spans="1:26" x14ac:dyDescent="0.2">
      <c r="A5725" s="6">
        <v>4736</v>
      </c>
      <c r="B5725" s="7">
        <v>33701</v>
      </c>
      <c r="C5725" s="8">
        <f>DATE(2012,12,31)-1187</f>
        <v>40087</v>
      </c>
      <c r="D5725" s="8" t="str">
        <f t="shared" si="106"/>
        <v>2009-10 (октябрь 2009)</v>
      </c>
      <c r="E5725" s="9" t="s">
        <v>63</v>
      </c>
      <c r="F5725" s="7">
        <v>35</v>
      </c>
      <c r="G5725" s="7">
        <v>2333.06</v>
      </c>
      <c r="H5725" s="7">
        <v>0.08</v>
      </c>
      <c r="I5725" s="9" t="s">
        <v>56</v>
      </c>
      <c r="J5725" s="10">
        <v>473.39049999999997</v>
      </c>
      <c r="K5725" s="11">
        <v>67.28</v>
      </c>
      <c r="L5725" s="11">
        <v>19.989999999999998</v>
      </c>
      <c r="M5725" s="9" t="s">
        <v>1950</v>
      </c>
      <c r="N5725" s="6" t="s">
        <v>1905</v>
      </c>
      <c r="O5725" s="6" t="s">
        <v>673</v>
      </c>
      <c r="P5725" s="9" t="s">
        <v>33</v>
      </c>
      <c r="Q5725" s="9" t="s">
        <v>26</v>
      </c>
      <c r="R5725" s="9" t="s">
        <v>37</v>
      </c>
      <c r="S5725" s="7" t="s">
        <v>637</v>
      </c>
      <c r="T5725" s="9" t="s">
        <v>39</v>
      </c>
      <c r="U5725" s="7">
        <v>0.4</v>
      </c>
      <c r="V5725" s="12">
        <f>C5725+2</f>
        <v>40089</v>
      </c>
      <c r="W5725">
        <f>IF(D5725=' Pivot Tables'!$A$4,1,0)</f>
        <v>0</v>
      </c>
      <c r="X5725">
        <f>IF(AND(LEFT(D5725,4)+1=LEFT(' Pivot Tables'!$A$4,4)+0,RIGHT(LEFT(D5725,7),2)=RIGHT(LEFT(' Pivot Tables'!$A$4,7),2)),1,0)</f>
        <v>0</v>
      </c>
      <c r="Y5725" s="6">
        <f>1/COUNTIF(Таблица1[Order ID],Таблица1[[#This Row],[Order ID]])</f>
        <v>1</v>
      </c>
      <c r="Z5725" s="9">
        <f>1/COUNTIFS(Таблица1[Customer Name],Таблица1[[#This Row],[Customer Name]],Таблица1[Order-Year-Month],Таблица1[[#This Row],[Order-Year-Month]])</f>
        <v>1</v>
      </c>
    </row>
    <row r="5726" spans="1:26" x14ac:dyDescent="0.2">
      <c r="A5726" s="6">
        <v>4752</v>
      </c>
      <c r="B5726" s="7">
        <v>33793</v>
      </c>
      <c r="C5726" s="8">
        <f>DATE(2012,12,31)-187</f>
        <v>41087</v>
      </c>
      <c r="D5726" s="8" t="str">
        <f t="shared" si="106"/>
        <v>2012-06 (июнь 2012)</v>
      </c>
      <c r="E5726" s="9" t="s">
        <v>78</v>
      </c>
      <c r="F5726" s="7">
        <v>17</v>
      </c>
      <c r="G5726" s="7">
        <v>267.58</v>
      </c>
      <c r="H5726" s="7">
        <v>0.03</v>
      </c>
      <c r="I5726" s="9" t="s">
        <v>22</v>
      </c>
      <c r="J5726" s="10">
        <v>-137.74700000000001</v>
      </c>
      <c r="K5726" s="11">
        <v>15.16</v>
      </c>
      <c r="L5726" s="11">
        <v>15.09</v>
      </c>
      <c r="M5726" s="9" t="s">
        <v>1951</v>
      </c>
      <c r="N5726" s="6" t="s">
        <v>1905</v>
      </c>
      <c r="O5726" s="6" t="s">
        <v>673</v>
      </c>
      <c r="P5726" s="9" t="s">
        <v>60</v>
      </c>
      <c r="Q5726" s="9" t="s">
        <v>26</v>
      </c>
      <c r="R5726" s="9" t="s">
        <v>37</v>
      </c>
      <c r="S5726" s="7" t="s">
        <v>1696</v>
      </c>
      <c r="T5726" s="9" t="s">
        <v>39</v>
      </c>
      <c r="U5726" s="7">
        <v>0.39</v>
      </c>
      <c r="V5726" s="12">
        <f>C5726+1</f>
        <v>41088</v>
      </c>
      <c r="W5726">
        <f>IF(D5726=' Pivot Tables'!$A$4,1,0)</f>
        <v>0</v>
      </c>
      <c r="X5726">
        <f>IF(AND(LEFT(D5726,4)+1=LEFT(' Pivot Tables'!$A$4,4)+0,RIGHT(LEFT(D5726,7),2)=RIGHT(LEFT(' Pivot Tables'!$A$4,7),2)),1,0)</f>
        <v>0</v>
      </c>
      <c r="Y5726" s="6">
        <f>1/COUNTIF(Таблица1[Order ID],Таблица1[[#This Row],[Order ID]])</f>
        <v>1</v>
      </c>
      <c r="Z5726" s="9">
        <f>1/COUNTIFS(Таблица1[Customer Name],Таблица1[[#This Row],[Customer Name]],Таблица1[Order-Year-Month],Таблица1[[#This Row],[Order-Year-Month]])</f>
        <v>1</v>
      </c>
    </row>
    <row r="5727" spans="1:26" x14ac:dyDescent="0.2">
      <c r="A5727" s="6">
        <v>4850</v>
      </c>
      <c r="B5727" s="7">
        <v>34499</v>
      </c>
      <c r="C5727" s="8">
        <f>DATE(2012,12,31)-897</f>
        <v>40377</v>
      </c>
      <c r="D5727" s="8" t="str">
        <f t="shared" si="106"/>
        <v>2010-07 (июль 2010)</v>
      </c>
      <c r="E5727" s="9" t="s">
        <v>63</v>
      </c>
      <c r="F5727" s="7">
        <v>2</v>
      </c>
      <c r="G5727" s="7">
        <v>555.67999999999995</v>
      </c>
      <c r="H5727" s="7">
        <v>0.01</v>
      </c>
      <c r="I5727" s="9" t="s">
        <v>31</v>
      </c>
      <c r="J5727" s="10">
        <v>-336.3</v>
      </c>
      <c r="K5727" s="11">
        <v>243.98</v>
      </c>
      <c r="L5727" s="11">
        <v>62.94</v>
      </c>
      <c r="M5727" s="9" t="s">
        <v>1951</v>
      </c>
      <c r="N5727" s="6" t="s">
        <v>1905</v>
      </c>
      <c r="O5727" s="6" t="s">
        <v>673</v>
      </c>
      <c r="P5727" s="9" t="s">
        <v>60</v>
      </c>
      <c r="Q5727" s="9" t="s">
        <v>49</v>
      </c>
      <c r="R5727" s="9" t="s">
        <v>112</v>
      </c>
      <c r="S5727" s="7" t="s">
        <v>1715</v>
      </c>
      <c r="T5727" s="9" t="s">
        <v>36</v>
      </c>
      <c r="U5727" s="7">
        <v>0.56999999999999995</v>
      </c>
      <c r="V5727" s="12">
        <f>C5727+1</f>
        <v>40378</v>
      </c>
      <c r="W5727">
        <f>IF(D5727=' Pivot Tables'!$A$4,1,0)</f>
        <v>0</v>
      </c>
      <c r="X5727">
        <f>IF(AND(LEFT(D5727,4)+1=LEFT(' Pivot Tables'!$A$4,4)+0,RIGHT(LEFT(D5727,7),2)=RIGHT(LEFT(' Pivot Tables'!$A$4,7),2)),1,0)</f>
        <v>0</v>
      </c>
      <c r="Y5727" s="6">
        <f>1/COUNTIF(Таблица1[Order ID],Таблица1[[#This Row],[Order ID]])</f>
        <v>1</v>
      </c>
      <c r="Z5727" s="9">
        <f>1/COUNTIFS(Таблица1[Customer Name],Таблица1[[#This Row],[Customer Name]],Таблица1[Order-Year-Month],Таблица1[[#This Row],[Order-Year-Month]])</f>
        <v>1</v>
      </c>
    </row>
    <row r="5728" spans="1:26" x14ac:dyDescent="0.2">
      <c r="A5728" s="6">
        <v>4920</v>
      </c>
      <c r="B5728" s="7">
        <v>35040</v>
      </c>
      <c r="C5728" s="8">
        <f>DATE(2012,12,31)-257</f>
        <v>41017</v>
      </c>
      <c r="D5728" s="8" t="str">
        <f t="shared" si="106"/>
        <v>2012-04 (апрель 2012)</v>
      </c>
      <c r="E5728" s="9" t="s">
        <v>45</v>
      </c>
      <c r="F5728" s="7">
        <v>44</v>
      </c>
      <c r="G5728" s="7">
        <v>486.63</v>
      </c>
      <c r="H5728" s="7">
        <v>0.03</v>
      </c>
      <c r="I5728" s="9" t="s">
        <v>22</v>
      </c>
      <c r="J5728" s="10">
        <v>-146.37</v>
      </c>
      <c r="K5728" s="11">
        <v>10.9</v>
      </c>
      <c r="L5728" s="11">
        <v>7.46</v>
      </c>
      <c r="M5728" s="9" t="s">
        <v>1003</v>
      </c>
      <c r="N5728" s="6" t="s">
        <v>1905</v>
      </c>
      <c r="O5728" s="6" t="s">
        <v>673</v>
      </c>
      <c r="P5728" s="9" t="s">
        <v>60</v>
      </c>
      <c r="Q5728" s="9" t="s">
        <v>26</v>
      </c>
      <c r="R5728" s="9" t="s">
        <v>27</v>
      </c>
      <c r="S5728" s="7" t="s">
        <v>159</v>
      </c>
      <c r="T5728" s="9" t="s">
        <v>39</v>
      </c>
      <c r="U5728" s="7">
        <v>0.59</v>
      </c>
      <c r="V5728" s="12">
        <f>C5728+3</f>
        <v>41020</v>
      </c>
      <c r="W5728">
        <f>IF(D5728=' Pivot Tables'!$A$4,1,0)</f>
        <v>0</v>
      </c>
      <c r="X5728">
        <f>IF(AND(LEFT(D5728,4)+1=LEFT(' Pivot Tables'!$A$4,4)+0,RIGHT(LEFT(D5728,7),2)=RIGHT(LEFT(' Pivot Tables'!$A$4,7),2)),1,0)</f>
        <v>0</v>
      </c>
      <c r="Y5728" s="6">
        <f>1/COUNTIF(Таблица1[Order ID],Таблица1[[#This Row],[Order ID]])</f>
        <v>1</v>
      </c>
      <c r="Z5728" s="9">
        <f>1/COUNTIFS(Таблица1[Customer Name],Таблица1[[#This Row],[Customer Name]],Таблица1[Order-Year-Month],Таблица1[[#This Row],[Order-Year-Month]])</f>
        <v>1</v>
      </c>
    </row>
    <row r="5729" spans="1:26" x14ac:dyDescent="0.2">
      <c r="A5729" s="6">
        <v>4951</v>
      </c>
      <c r="B5729" s="7">
        <v>35238</v>
      </c>
      <c r="C5729" s="8">
        <f>DATE(2012,12,31)-613</f>
        <v>40661</v>
      </c>
      <c r="D5729" s="8" t="str">
        <f t="shared" si="106"/>
        <v>2011-04 (апрель 2011)</v>
      </c>
      <c r="E5729" s="9" t="s">
        <v>21</v>
      </c>
      <c r="F5729" s="7">
        <v>27</v>
      </c>
      <c r="G5729" s="7">
        <v>1403.0269999999998</v>
      </c>
      <c r="H5729" s="7">
        <v>0.1</v>
      </c>
      <c r="I5729" s="9" t="s">
        <v>56</v>
      </c>
      <c r="J5729" s="10">
        <v>153.80099999999999</v>
      </c>
      <c r="K5729" s="11">
        <v>65.989999999999995</v>
      </c>
      <c r="L5729" s="11">
        <v>5.63</v>
      </c>
      <c r="M5729" s="9" t="s">
        <v>1003</v>
      </c>
      <c r="N5729" s="6" t="s">
        <v>1905</v>
      </c>
      <c r="O5729" s="6" t="s">
        <v>673</v>
      </c>
      <c r="P5729" s="9" t="s">
        <v>25</v>
      </c>
      <c r="Q5729" s="9" t="s">
        <v>42</v>
      </c>
      <c r="R5729" s="9" t="s">
        <v>43</v>
      </c>
      <c r="S5729" s="7" t="s">
        <v>1419</v>
      </c>
      <c r="T5729" s="9" t="s">
        <v>39</v>
      </c>
      <c r="U5729" s="7">
        <v>0.56000000000000005</v>
      </c>
      <c r="V5729" s="12">
        <f>C5729+0</f>
        <v>40661</v>
      </c>
      <c r="W5729">
        <f>IF(D5729=' Pivot Tables'!$A$4,1,0)</f>
        <v>0</v>
      </c>
      <c r="X5729">
        <f>IF(AND(LEFT(D5729,4)+1=LEFT(' Pivot Tables'!$A$4,4)+0,RIGHT(LEFT(D5729,7),2)=RIGHT(LEFT(' Pivot Tables'!$A$4,7),2)),1,0)</f>
        <v>0</v>
      </c>
      <c r="Y5729" s="6">
        <f>1/COUNTIF(Таблица1[Order ID],Таблица1[[#This Row],[Order ID]])</f>
        <v>1</v>
      </c>
      <c r="Z5729" s="9">
        <f>1/COUNTIFS(Таблица1[Customer Name],Таблица1[[#This Row],[Customer Name]],Таблица1[Order-Year-Month],Таблица1[[#This Row],[Order-Year-Month]])</f>
        <v>0.14285714285714285</v>
      </c>
    </row>
    <row r="5730" spans="1:26" x14ac:dyDescent="0.2">
      <c r="A5730" s="6">
        <v>4976</v>
      </c>
      <c r="B5730" s="7">
        <v>35399</v>
      </c>
      <c r="C5730" s="8">
        <f>DATE(2012,12,31)-710</f>
        <v>40564</v>
      </c>
      <c r="D5730" s="8" t="str">
        <f t="shared" si="106"/>
        <v>2011-01 (январь 2011)</v>
      </c>
      <c r="E5730" s="9" t="s">
        <v>21</v>
      </c>
      <c r="F5730" s="7">
        <v>38</v>
      </c>
      <c r="G5730" s="7">
        <v>188.38</v>
      </c>
      <c r="H5730" s="7">
        <v>0.04</v>
      </c>
      <c r="I5730" s="9" t="s">
        <v>22</v>
      </c>
      <c r="J5730" s="10">
        <v>-120.11750000000001</v>
      </c>
      <c r="K5730" s="11">
        <v>4.91</v>
      </c>
      <c r="L5730" s="11">
        <v>5.68</v>
      </c>
      <c r="M5730" s="9" t="s">
        <v>1954</v>
      </c>
      <c r="N5730" s="6" t="s">
        <v>1905</v>
      </c>
      <c r="O5730" s="6" t="s">
        <v>673</v>
      </c>
      <c r="P5730" s="9" t="s">
        <v>41</v>
      </c>
      <c r="Q5730" s="9" t="s">
        <v>26</v>
      </c>
      <c r="R5730" s="9" t="s">
        <v>37</v>
      </c>
      <c r="S5730" s="7" t="s">
        <v>1345</v>
      </c>
      <c r="T5730" s="9" t="s">
        <v>39</v>
      </c>
      <c r="U5730" s="7">
        <v>0.36</v>
      </c>
      <c r="V5730" s="12">
        <f>C5730+2</f>
        <v>40566</v>
      </c>
      <c r="W5730">
        <f>IF(D5730=' Pivot Tables'!$A$4,1,0)</f>
        <v>0</v>
      </c>
      <c r="X5730">
        <f>IF(AND(LEFT(D5730,4)+1=LEFT(' Pivot Tables'!$A$4,4)+0,RIGHT(LEFT(D5730,7),2)=RIGHT(LEFT(' Pivot Tables'!$A$4,7),2)),1,0)</f>
        <v>0</v>
      </c>
      <c r="Y5730" s="6">
        <f>1/COUNTIF(Таблица1[Order ID],Таблица1[[#This Row],[Order ID]])</f>
        <v>1</v>
      </c>
      <c r="Z5730" s="9">
        <f>1/COUNTIFS(Таблица1[Customer Name],Таблица1[[#This Row],[Customer Name]],Таблица1[Order-Year-Month],Таблица1[[#This Row],[Order-Year-Month]])</f>
        <v>1</v>
      </c>
    </row>
    <row r="5731" spans="1:26" x14ac:dyDescent="0.2">
      <c r="A5731" s="6">
        <v>5039</v>
      </c>
      <c r="B5731" s="7">
        <v>35910</v>
      </c>
      <c r="C5731" s="8">
        <f>DATE(2012,12,31)-768</f>
        <v>40506</v>
      </c>
      <c r="D5731" s="8" t="str">
        <f t="shared" si="106"/>
        <v>2010-11 (ноябрь 2010)</v>
      </c>
      <c r="E5731" s="9" t="s">
        <v>30</v>
      </c>
      <c r="F5731" s="7">
        <v>28</v>
      </c>
      <c r="G5731" s="7">
        <v>881.50099999999998</v>
      </c>
      <c r="H5731" s="7">
        <v>0.02</v>
      </c>
      <c r="I5731" s="9" t="s">
        <v>56</v>
      </c>
      <c r="J5731" s="10">
        <v>334.53</v>
      </c>
      <c r="K5731" s="11">
        <v>35.99</v>
      </c>
      <c r="L5731" s="11">
        <v>3.3</v>
      </c>
      <c r="M5731" s="9" t="s">
        <v>1798</v>
      </c>
      <c r="N5731" s="6" t="s">
        <v>1905</v>
      </c>
      <c r="O5731" s="6" t="s">
        <v>673</v>
      </c>
      <c r="P5731" s="9" t="s">
        <v>41</v>
      </c>
      <c r="Q5731" s="9" t="s">
        <v>42</v>
      </c>
      <c r="R5731" s="9" t="s">
        <v>43</v>
      </c>
      <c r="S5731" s="7" t="s">
        <v>417</v>
      </c>
      <c r="T5731" s="9" t="s">
        <v>52</v>
      </c>
      <c r="U5731" s="7">
        <v>0.39</v>
      </c>
      <c r="V5731" s="12">
        <f>C5731+1</f>
        <v>40507</v>
      </c>
      <c r="W5731">
        <f>IF(D5731=' Pivot Tables'!$A$4,1,0)</f>
        <v>0</v>
      </c>
      <c r="X5731">
        <f>IF(AND(LEFT(D5731,4)+1=LEFT(' Pivot Tables'!$A$4,4)+0,RIGHT(LEFT(D5731,7),2)=RIGHT(LEFT(' Pivot Tables'!$A$4,7),2)),1,0)</f>
        <v>0</v>
      </c>
      <c r="Y5731" s="6">
        <f>1/COUNTIF(Таблица1[Order ID],Таблица1[[#This Row],[Order ID]])</f>
        <v>0.33333333333333331</v>
      </c>
      <c r="Z5731" s="9">
        <f>1/COUNTIFS(Таблица1[Customer Name],Таблица1[[#This Row],[Customer Name]],Таблица1[Order-Year-Month],Таблица1[[#This Row],[Order-Year-Month]])</f>
        <v>0.33333333333333331</v>
      </c>
    </row>
    <row r="5732" spans="1:26" x14ac:dyDescent="0.2">
      <c r="A5732" s="6">
        <v>5040</v>
      </c>
      <c r="B5732" s="7">
        <v>35910</v>
      </c>
      <c r="C5732" s="8">
        <f>DATE(2012,12,31)-768</f>
        <v>40506</v>
      </c>
      <c r="D5732" s="8" t="str">
        <f t="shared" si="106"/>
        <v>2010-11 (ноябрь 2010)</v>
      </c>
      <c r="E5732" s="9" t="s">
        <v>30</v>
      </c>
      <c r="F5732" s="7">
        <v>25</v>
      </c>
      <c r="G5732" s="7">
        <v>161.72</v>
      </c>
      <c r="H5732" s="7">
        <v>0.09</v>
      </c>
      <c r="I5732" s="9" t="s">
        <v>22</v>
      </c>
      <c r="J5732" s="10">
        <v>-121.18</v>
      </c>
      <c r="K5732" s="11">
        <v>6.48</v>
      </c>
      <c r="L5732" s="11">
        <v>8.4</v>
      </c>
      <c r="M5732" s="9" t="s">
        <v>1798</v>
      </c>
      <c r="N5732" s="6" t="s">
        <v>1905</v>
      </c>
      <c r="O5732" s="6" t="s">
        <v>673</v>
      </c>
      <c r="P5732" s="9" t="s">
        <v>41</v>
      </c>
      <c r="Q5732" s="9" t="s">
        <v>26</v>
      </c>
      <c r="R5732" s="9" t="s">
        <v>61</v>
      </c>
      <c r="S5732" s="7" t="s">
        <v>1097</v>
      </c>
      <c r="T5732" s="9" t="s">
        <v>39</v>
      </c>
      <c r="U5732" s="7">
        <v>0.37</v>
      </c>
      <c r="V5732" s="12">
        <f>C5732+2</f>
        <v>40508</v>
      </c>
      <c r="W5732">
        <f>IF(D5732=' Pivot Tables'!$A$4,1,0)</f>
        <v>0</v>
      </c>
      <c r="X5732">
        <f>IF(AND(LEFT(D5732,4)+1=LEFT(' Pivot Tables'!$A$4,4)+0,RIGHT(LEFT(D5732,7),2)=RIGHT(LEFT(' Pivot Tables'!$A$4,7),2)),1,0)</f>
        <v>0</v>
      </c>
      <c r="Y5732" s="6">
        <f>1/COUNTIF(Таблица1[Order ID],Таблица1[[#This Row],[Order ID]])</f>
        <v>0.33333333333333331</v>
      </c>
      <c r="Z5732" s="9">
        <f>1/COUNTIFS(Таблица1[Customer Name],Таблица1[[#This Row],[Customer Name]],Таблица1[Order-Year-Month],Таблица1[[#This Row],[Order-Year-Month]])</f>
        <v>0.33333333333333331</v>
      </c>
    </row>
    <row r="5733" spans="1:26" x14ac:dyDescent="0.2">
      <c r="A5733" s="6">
        <v>5041</v>
      </c>
      <c r="B5733" s="7">
        <v>35910</v>
      </c>
      <c r="C5733" s="8">
        <f>DATE(2012,12,31)-768</f>
        <v>40506</v>
      </c>
      <c r="D5733" s="8" t="str">
        <f t="shared" si="106"/>
        <v>2010-11 (ноябрь 2010)</v>
      </c>
      <c r="E5733" s="9" t="s">
        <v>30</v>
      </c>
      <c r="F5733" s="7">
        <v>36</v>
      </c>
      <c r="G5733" s="7">
        <v>660.05899999999997</v>
      </c>
      <c r="H5733" s="7">
        <v>0.05</v>
      </c>
      <c r="I5733" s="9" t="s">
        <v>22</v>
      </c>
      <c r="J5733" s="10">
        <v>-0.64900000000000002</v>
      </c>
      <c r="K5733" s="11">
        <v>20.99</v>
      </c>
      <c r="L5733" s="11">
        <v>1.25</v>
      </c>
      <c r="M5733" s="9" t="s">
        <v>1798</v>
      </c>
      <c r="N5733" s="6" t="s">
        <v>1905</v>
      </c>
      <c r="O5733" s="6" t="s">
        <v>673</v>
      </c>
      <c r="P5733" s="9" t="s">
        <v>41</v>
      </c>
      <c r="Q5733" s="9" t="s">
        <v>42</v>
      </c>
      <c r="R5733" s="9" t="s">
        <v>43</v>
      </c>
      <c r="S5733" s="7" t="s">
        <v>285</v>
      </c>
      <c r="T5733" s="9" t="s">
        <v>52</v>
      </c>
      <c r="U5733" s="7">
        <v>0.83</v>
      </c>
      <c r="V5733" s="12">
        <f>C5733+2</f>
        <v>40508</v>
      </c>
      <c r="W5733">
        <f>IF(D5733=' Pivot Tables'!$A$4,1,0)</f>
        <v>0</v>
      </c>
      <c r="X5733">
        <f>IF(AND(LEFT(D5733,4)+1=LEFT(' Pivot Tables'!$A$4,4)+0,RIGHT(LEFT(D5733,7),2)=RIGHT(LEFT(' Pivot Tables'!$A$4,7),2)),1,0)</f>
        <v>0</v>
      </c>
      <c r="Y5733" s="6">
        <f>1/COUNTIF(Таблица1[Order ID],Таблица1[[#This Row],[Order ID]])</f>
        <v>0.33333333333333331</v>
      </c>
      <c r="Z5733" s="9">
        <f>1/COUNTIFS(Таблица1[Customer Name],Таблица1[[#This Row],[Customer Name]],Таблица1[Order-Year-Month],Таблица1[[#This Row],[Order-Year-Month]])</f>
        <v>0.33333333333333331</v>
      </c>
    </row>
    <row r="5734" spans="1:26" x14ac:dyDescent="0.2">
      <c r="A5734" s="6">
        <v>5363</v>
      </c>
      <c r="B5734" s="7">
        <v>38118</v>
      </c>
      <c r="C5734" s="8">
        <f>DATE(2012,12,31)-623</f>
        <v>40651</v>
      </c>
      <c r="D5734" s="8" t="str">
        <f t="shared" si="106"/>
        <v>2011-04 (апрель 2011)</v>
      </c>
      <c r="E5734" s="9" t="s">
        <v>45</v>
      </c>
      <c r="F5734" s="7">
        <v>7</v>
      </c>
      <c r="G5734" s="7">
        <v>138.91</v>
      </c>
      <c r="H5734" s="7">
        <v>0.09</v>
      </c>
      <c r="I5734" s="9" t="s">
        <v>22</v>
      </c>
      <c r="J5734" s="10">
        <v>-64.11</v>
      </c>
      <c r="K5734" s="11">
        <v>19.98</v>
      </c>
      <c r="L5734" s="11">
        <v>4</v>
      </c>
      <c r="M5734" s="9" t="s">
        <v>1003</v>
      </c>
      <c r="N5734" s="6" t="s">
        <v>1905</v>
      </c>
      <c r="O5734" s="6" t="s">
        <v>673</v>
      </c>
      <c r="P5734" s="9" t="s">
        <v>25</v>
      </c>
      <c r="Q5734" s="9" t="s">
        <v>42</v>
      </c>
      <c r="R5734" s="9" t="s">
        <v>70</v>
      </c>
      <c r="S5734" s="7" t="s">
        <v>655</v>
      </c>
      <c r="T5734" s="9" t="s">
        <v>39</v>
      </c>
      <c r="U5734" s="7">
        <v>0.68</v>
      </c>
      <c r="V5734" s="12">
        <f>C5734+2</f>
        <v>40653</v>
      </c>
      <c r="W5734">
        <f>IF(D5734=' Pivot Tables'!$A$4,1,0)</f>
        <v>0</v>
      </c>
      <c r="X5734">
        <f>IF(AND(LEFT(D5734,4)+1=LEFT(' Pivot Tables'!$A$4,4)+0,RIGHT(LEFT(D5734,7),2)=RIGHT(LEFT(' Pivot Tables'!$A$4,7),2)),1,0)</f>
        <v>0</v>
      </c>
      <c r="Y5734" s="6">
        <f>1/COUNTIF(Таблица1[Order ID],Таблица1[[#This Row],[Order ID]])</f>
        <v>1</v>
      </c>
      <c r="Z5734" s="9">
        <f>1/COUNTIFS(Таблица1[Customer Name],Таблица1[[#This Row],[Customer Name]],Таблица1[Order-Year-Month],Таблица1[[#This Row],[Order-Year-Month]])</f>
        <v>0.14285714285714285</v>
      </c>
    </row>
    <row r="5735" spans="1:26" x14ac:dyDescent="0.2">
      <c r="A5735" s="6">
        <v>6050</v>
      </c>
      <c r="B5735" s="7">
        <v>42886</v>
      </c>
      <c r="C5735" s="8">
        <f>DATE(2012,12,31)-358</f>
        <v>40916</v>
      </c>
      <c r="D5735" s="8" t="str">
        <f t="shared" si="106"/>
        <v>2012-01 (январь 2012)</v>
      </c>
      <c r="E5735" s="9" t="s">
        <v>63</v>
      </c>
      <c r="F5735" s="7">
        <v>42</v>
      </c>
      <c r="G5735" s="7">
        <v>162.57</v>
      </c>
      <c r="H5735" s="7">
        <v>0.02</v>
      </c>
      <c r="I5735" s="9" t="s">
        <v>22</v>
      </c>
      <c r="J5735" s="10">
        <v>75.8</v>
      </c>
      <c r="K5735" s="11">
        <v>3.75</v>
      </c>
      <c r="L5735" s="11">
        <v>0.5</v>
      </c>
      <c r="M5735" s="9" t="s">
        <v>1798</v>
      </c>
      <c r="N5735" s="6" t="s">
        <v>1905</v>
      </c>
      <c r="O5735" s="6" t="s">
        <v>673</v>
      </c>
      <c r="P5735" s="9" t="s">
        <v>41</v>
      </c>
      <c r="Q5735" s="9" t="s">
        <v>26</v>
      </c>
      <c r="R5735" s="9" t="s">
        <v>88</v>
      </c>
      <c r="S5735" s="7" t="s">
        <v>130</v>
      </c>
      <c r="T5735" s="9" t="s">
        <v>39</v>
      </c>
      <c r="U5735" s="7">
        <v>0.37</v>
      </c>
      <c r="V5735" s="12">
        <f>C5735+2</f>
        <v>40918</v>
      </c>
      <c r="W5735">
        <f>IF(D5735=' Pivot Tables'!$A$4,1,0)</f>
        <v>0</v>
      </c>
      <c r="X5735">
        <f>IF(AND(LEFT(D5735,4)+1=LEFT(' Pivot Tables'!$A$4,4)+0,RIGHT(LEFT(D5735,7),2)=RIGHT(LEFT(' Pivot Tables'!$A$4,7),2)),1,0)</f>
        <v>0</v>
      </c>
      <c r="Y5735" s="6">
        <f>1/COUNTIF(Таблица1[Order ID],Таблица1[[#This Row],[Order ID]])</f>
        <v>1</v>
      </c>
      <c r="Z5735" s="9">
        <f>1/COUNTIFS(Таблица1[Customer Name],Таблица1[[#This Row],[Customer Name]],Таблица1[Order-Year-Month],Таблица1[[#This Row],[Order-Year-Month]])</f>
        <v>1</v>
      </c>
    </row>
    <row r="5736" spans="1:26" x14ac:dyDescent="0.2">
      <c r="A5736" s="6">
        <v>6158</v>
      </c>
      <c r="B5736" s="7">
        <v>43620</v>
      </c>
      <c r="C5736" s="8">
        <f>DATE(2012,12,31)-1444</f>
        <v>39830</v>
      </c>
      <c r="D5736" s="8" t="str">
        <f t="shared" si="106"/>
        <v>2009-01 (январь 2009)</v>
      </c>
      <c r="E5736" s="9" t="s">
        <v>63</v>
      </c>
      <c r="F5736" s="7">
        <v>13</v>
      </c>
      <c r="G5736" s="7">
        <v>196.22</v>
      </c>
      <c r="H5736" s="7">
        <v>0.05</v>
      </c>
      <c r="I5736" s="9" t="s">
        <v>22</v>
      </c>
      <c r="J5736" s="10">
        <v>-89.35</v>
      </c>
      <c r="K5736" s="11">
        <v>14.81</v>
      </c>
      <c r="L5736" s="11">
        <v>13.32</v>
      </c>
      <c r="M5736" s="9" t="s">
        <v>1951</v>
      </c>
      <c r="N5736" s="6" t="s">
        <v>1905</v>
      </c>
      <c r="O5736" s="6" t="s">
        <v>673</v>
      </c>
      <c r="P5736" s="9" t="s">
        <v>60</v>
      </c>
      <c r="Q5736" s="9" t="s">
        <v>26</v>
      </c>
      <c r="R5736" s="9" t="s">
        <v>34</v>
      </c>
      <c r="S5736" s="7" t="s">
        <v>683</v>
      </c>
      <c r="T5736" s="9" t="s">
        <v>39</v>
      </c>
      <c r="U5736" s="7">
        <v>0.43</v>
      </c>
      <c r="V5736" s="12">
        <f>C5736+3</f>
        <v>39833</v>
      </c>
      <c r="W5736">
        <f>IF(D5736=' Pivot Tables'!$A$4,1,0)</f>
        <v>0</v>
      </c>
      <c r="X5736">
        <f>IF(AND(LEFT(D5736,4)+1=LEFT(' Pivot Tables'!$A$4,4)+0,RIGHT(LEFT(D5736,7),2)=RIGHT(LEFT(' Pivot Tables'!$A$4,7),2)),1,0)</f>
        <v>1</v>
      </c>
      <c r="Y5736" s="6">
        <f>1/COUNTIF(Таблица1[Order ID],Таблица1[[#This Row],[Order ID]])</f>
        <v>0.5</v>
      </c>
      <c r="Z5736" s="9">
        <f>1/COUNTIFS(Таблица1[Customer Name],Таблица1[[#This Row],[Customer Name]],Таблица1[Order-Year-Month],Таблица1[[#This Row],[Order-Year-Month]])</f>
        <v>0.5</v>
      </c>
    </row>
    <row r="5737" spans="1:26" x14ac:dyDescent="0.2">
      <c r="A5737" s="6">
        <v>6159</v>
      </c>
      <c r="B5737" s="7">
        <v>43620</v>
      </c>
      <c r="C5737" s="8">
        <f>DATE(2012,12,31)-1444</f>
        <v>39830</v>
      </c>
      <c r="D5737" s="8" t="str">
        <f t="shared" si="106"/>
        <v>2009-01 (январь 2009)</v>
      </c>
      <c r="E5737" s="9" t="s">
        <v>63</v>
      </c>
      <c r="F5737" s="7">
        <v>11</v>
      </c>
      <c r="G5737" s="7">
        <v>49.76</v>
      </c>
      <c r="H5737" s="7">
        <v>0.05</v>
      </c>
      <c r="I5737" s="9" t="s">
        <v>56</v>
      </c>
      <c r="J5737" s="10">
        <v>-0.13000000000000078</v>
      </c>
      <c r="K5737" s="11">
        <v>4.2</v>
      </c>
      <c r="L5737" s="11">
        <v>2.2599999999999998</v>
      </c>
      <c r="M5737" s="9" t="s">
        <v>1951</v>
      </c>
      <c r="N5737" s="6" t="s">
        <v>1905</v>
      </c>
      <c r="O5737" s="6" t="s">
        <v>673</v>
      </c>
      <c r="P5737" s="9" t="s">
        <v>60</v>
      </c>
      <c r="Q5737" s="9" t="s">
        <v>26</v>
      </c>
      <c r="R5737" s="9" t="s">
        <v>61</v>
      </c>
      <c r="S5737" s="7" t="s">
        <v>1409</v>
      </c>
      <c r="T5737" s="9" t="s">
        <v>68</v>
      </c>
      <c r="U5737" s="7">
        <v>0.36</v>
      </c>
      <c r="V5737" s="12">
        <f>C5737+2</f>
        <v>39832</v>
      </c>
      <c r="W5737">
        <f>IF(D5737=' Pivot Tables'!$A$4,1,0)</f>
        <v>0</v>
      </c>
      <c r="X5737">
        <f>IF(AND(LEFT(D5737,4)+1=LEFT(' Pivot Tables'!$A$4,4)+0,RIGHT(LEFT(D5737,7),2)=RIGHT(LEFT(' Pivot Tables'!$A$4,7),2)),1,0)</f>
        <v>1</v>
      </c>
      <c r="Y5737" s="6">
        <f>1/COUNTIF(Таблица1[Order ID],Таблица1[[#This Row],[Order ID]])</f>
        <v>0.5</v>
      </c>
      <c r="Z5737" s="9">
        <f>1/COUNTIFS(Таблица1[Customer Name],Таблица1[[#This Row],[Customer Name]],Таблица1[Order-Year-Month],Таблица1[[#This Row],[Order-Year-Month]])</f>
        <v>0.5</v>
      </c>
    </row>
    <row r="5738" spans="1:26" x14ac:dyDescent="0.2">
      <c r="A5738" s="6">
        <v>6203</v>
      </c>
      <c r="B5738" s="7">
        <v>43936</v>
      </c>
      <c r="C5738" s="8">
        <f>DATE(2012,12,31)-1024</f>
        <v>40250</v>
      </c>
      <c r="D5738" s="8" t="str">
        <f t="shared" si="106"/>
        <v>2010-03 (март 2010)</v>
      </c>
      <c r="E5738" s="9" t="s">
        <v>78</v>
      </c>
      <c r="F5738" s="7">
        <v>42</v>
      </c>
      <c r="G5738" s="7">
        <v>670.65</v>
      </c>
      <c r="H5738" s="7">
        <v>0.08</v>
      </c>
      <c r="I5738" s="9" t="s">
        <v>22</v>
      </c>
      <c r="J5738" s="10">
        <v>41.66</v>
      </c>
      <c r="K5738" s="11">
        <v>15.94</v>
      </c>
      <c r="L5738" s="11">
        <v>5.45</v>
      </c>
      <c r="M5738" s="9" t="s">
        <v>1950</v>
      </c>
      <c r="N5738" s="6" t="s">
        <v>1905</v>
      </c>
      <c r="O5738" s="6" t="s">
        <v>673</v>
      </c>
      <c r="P5738" s="9" t="s">
        <v>33</v>
      </c>
      <c r="Q5738" s="9" t="s">
        <v>26</v>
      </c>
      <c r="R5738" s="9" t="s">
        <v>95</v>
      </c>
      <c r="S5738" s="7" t="s">
        <v>469</v>
      </c>
      <c r="T5738" s="9" t="s">
        <v>52</v>
      </c>
      <c r="U5738" s="7">
        <v>0.55000000000000004</v>
      </c>
      <c r="V5738" s="12">
        <f>C5738+1</f>
        <v>40251</v>
      </c>
      <c r="W5738">
        <f>IF(D5738=' Pivot Tables'!$A$4,1,0)</f>
        <v>0</v>
      </c>
      <c r="X5738">
        <f>IF(AND(LEFT(D5738,4)+1=LEFT(' Pivot Tables'!$A$4,4)+0,RIGHT(LEFT(D5738,7),2)=RIGHT(LEFT(' Pivot Tables'!$A$4,7),2)),1,0)</f>
        <v>0</v>
      </c>
      <c r="Y5738" s="6">
        <f>1/COUNTIF(Таблица1[Order ID],Таблица1[[#This Row],[Order ID]])</f>
        <v>1</v>
      </c>
      <c r="Z5738" s="9">
        <f>1/COUNTIFS(Таблица1[Customer Name],Таблица1[[#This Row],[Customer Name]],Таблица1[Order-Year-Month],Таблица1[[#This Row],[Order-Year-Month]])</f>
        <v>1</v>
      </c>
    </row>
    <row r="5739" spans="1:26" x14ac:dyDescent="0.2">
      <c r="A5739" s="6">
        <v>6463</v>
      </c>
      <c r="B5739" s="7">
        <v>46018</v>
      </c>
      <c r="C5739" s="8">
        <f>DATE(2012,12,31)-1238</f>
        <v>40036</v>
      </c>
      <c r="D5739" s="8" t="str">
        <f t="shared" si="106"/>
        <v>2009-08 (август 2009)</v>
      </c>
      <c r="E5739" s="9" t="s">
        <v>63</v>
      </c>
      <c r="F5739" s="7">
        <v>31</v>
      </c>
      <c r="G5739" s="7">
        <v>2797.41</v>
      </c>
      <c r="H5739" s="7">
        <v>0.06</v>
      </c>
      <c r="I5739" s="9" t="s">
        <v>31</v>
      </c>
      <c r="J5739" s="10">
        <v>984.3</v>
      </c>
      <c r="K5739" s="11">
        <v>90.97</v>
      </c>
      <c r="L5739" s="11">
        <v>14</v>
      </c>
      <c r="M5739" s="9" t="s">
        <v>1952</v>
      </c>
      <c r="N5739" s="6" t="s">
        <v>1905</v>
      </c>
      <c r="O5739" s="6" t="s">
        <v>673</v>
      </c>
      <c r="P5739" s="9" t="s">
        <v>60</v>
      </c>
      <c r="Q5739" s="9" t="s">
        <v>42</v>
      </c>
      <c r="R5739" s="9" t="s">
        <v>210</v>
      </c>
      <c r="S5739" s="7" t="s">
        <v>772</v>
      </c>
      <c r="T5739" s="9" t="s">
        <v>36</v>
      </c>
      <c r="U5739" s="7">
        <v>0.36</v>
      </c>
      <c r="V5739" s="12">
        <f>C5739+1</f>
        <v>40037</v>
      </c>
      <c r="W5739">
        <f>IF(D5739=' Pivot Tables'!$A$4,1,0)</f>
        <v>0</v>
      </c>
      <c r="X5739">
        <f>IF(AND(LEFT(D5739,4)+1=LEFT(' Pivot Tables'!$A$4,4)+0,RIGHT(LEFT(D5739,7),2)=RIGHT(LEFT(' Pivot Tables'!$A$4,7),2)),1,0)</f>
        <v>0</v>
      </c>
      <c r="Y5739" s="6">
        <f>1/COUNTIF(Таблица1[Order ID],Таблица1[[#This Row],[Order ID]])</f>
        <v>1</v>
      </c>
      <c r="Z5739" s="9">
        <f>1/COUNTIFS(Таблица1[Customer Name],Таблица1[[#This Row],[Customer Name]],Таблица1[Order-Year-Month],Таблица1[[#This Row],[Order-Year-Month]])</f>
        <v>1</v>
      </c>
    </row>
    <row r="5740" spans="1:26" x14ac:dyDescent="0.2">
      <c r="A5740" s="6">
        <v>6786</v>
      </c>
      <c r="B5740" s="7">
        <v>48327</v>
      </c>
      <c r="C5740" s="8">
        <f>DATE(2012,12,31)-1239</f>
        <v>40035</v>
      </c>
      <c r="D5740" s="8" t="str">
        <f t="shared" si="106"/>
        <v>2009-08 (август 2009)</v>
      </c>
      <c r="E5740" s="9" t="s">
        <v>45</v>
      </c>
      <c r="F5740" s="7">
        <v>14</v>
      </c>
      <c r="G5740" s="7">
        <v>89.93</v>
      </c>
      <c r="H5740" s="7">
        <v>0.03</v>
      </c>
      <c r="I5740" s="9" t="s">
        <v>22</v>
      </c>
      <c r="J5740" s="10">
        <v>-44.82</v>
      </c>
      <c r="K5740" s="11">
        <v>5.98</v>
      </c>
      <c r="L5740" s="11">
        <v>3.85</v>
      </c>
      <c r="M5740" s="9" t="s">
        <v>1953</v>
      </c>
      <c r="N5740" s="6" t="s">
        <v>1905</v>
      </c>
      <c r="O5740" s="6" t="s">
        <v>673</v>
      </c>
      <c r="P5740" s="9" t="s">
        <v>60</v>
      </c>
      <c r="Q5740" s="9" t="s">
        <v>42</v>
      </c>
      <c r="R5740" s="9" t="s">
        <v>70</v>
      </c>
      <c r="S5740" s="7" t="s">
        <v>1697</v>
      </c>
      <c r="T5740" s="9" t="s">
        <v>52</v>
      </c>
      <c r="U5740" s="7">
        <v>0.68</v>
      </c>
      <c r="V5740" s="12">
        <f>C5740+2</f>
        <v>40037</v>
      </c>
      <c r="W5740">
        <f>IF(D5740=' Pivot Tables'!$A$4,1,0)</f>
        <v>0</v>
      </c>
      <c r="X5740">
        <f>IF(AND(LEFT(D5740,4)+1=LEFT(' Pivot Tables'!$A$4,4)+0,RIGHT(LEFT(D5740,7),2)=RIGHT(LEFT(' Pivot Tables'!$A$4,7),2)),1,0)</f>
        <v>0</v>
      </c>
      <c r="Y5740" s="6">
        <f>1/COUNTIF(Таблица1[Order ID],Таблица1[[#This Row],[Order ID]])</f>
        <v>1</v>
      </c>
      <c r="Z5740" s="9">
        <f>1/COUNTIFS(Таблица1[Customer Name],Таблица1[[#This Row],[Customer Name]],Таблица1[Order-Year-Month],Таблица1[[#This Row],[Order-Year-Month]])</f>
        <v>1</v>
      </c>
    </row>
    <row r="5741" spans="1:26" x14ac:dyDescent="0.2">
      <c r="A5741" s="6">
        <v>6796</v>
      </c>
      <c r="B5741" s="7">
        <v>48448</v>
      </c>
      <c r="C5741" s="8">
        <f>DATE(2012,12,31)-45</f>
        <v>41229</v>
      </c>
      <c r="D5741" s="8" t="str">
        <f t="shared" si="106"/>
        <v>2012-11 (ноябрь 2012)</v>
      </c>
      <c r="E5741" s="9" t="s">
        <v>21</v>
      </c>
      <c r="F5741" s="7">
        <v>20</v>
      </c>
      <c r="G5741" s="7">
        <v>340.952</v>
      </c>
      <c r="H5741" s="7">
        <v>0.09</v>
      </c>
      <c r="I5741" s="9" t="s">
        <v>22</v>
      </c>
      <c r="J5741" s="10">
        <v>108.93600000000001</v>
      </c>
      <c r="K5741" s="11">
        <v>20.99</v>
      </c>
      <c r="L5741" s="11">
        <v>0.99</v>
      </c>
      <c r="M5741" s="9" t="s">
        <v>1951</v>
      </c>
      <c r="N5741" s="6" t="s">
        <v>1905</v>
      </c>
      <c r="O5741" s="6" t="s">
        <v>673</v>
      </c>
      <c r="P5741" s="9" t="s">
        <v>60</v>
      </c>
      <c r="Q5741" s="9" t="s">
        <v>42</v>
      </c>
      <c r="R5741" s="9" t="s">
        <v>43</v>
      </c>
      <c r="S5741" s="7" t="s">
        <v>272</v>
      </c>
      <c r="T5741" s="9" t="s">
        <v>68</v>
      </c>
      <c r="U5741" s="7">
        <v>0.37</v>
      </c>
      <c r="V5741" s="12">
        <f>C5741+0</f>
        <v>41229</v>
      </c>
      <c r="W5741">
        <f>IF(D5741=' Pivot Tables'!$A$4,1,0)</f>
        <v>0</v>
      </c>
      <c r="X5741">
        <f>IF(AND(LEFT(D5741,4)+1=LEFT(' Pivot Tables'!$A$4,4)+0,RIGHT(LEFT(D5741,7),2)=RIGHT(LEFT(' Pivot Tables'!$A$4,7),2)),1,0)</f>
        <v>0</v>
      </c>
      <c r="Y5741" s="6">
        <f>1/COUNTIF(Таблица1[Order ID],Таблица1[[#This Row],[Order ID]])</f>
        <v>1</v>
      </c>
      <c r="Z5741" s="9">
        <f>1/COUNTIFS(Таблица1[Customer Name],Таблица1[[#This Row],[Customer Name]],Таблица1[Order-Year-Month],Таблица1[[#This Row],[Order-Year-Month]])</f>
        <v>1</v>
      </c>
    </row>
    <row r="5742" spans="1:26" x14ac:dyDescent="0.2">
      <c r="A5742" s="6">
        <v>6818</v>
      </c>
      <c r="B5742" s="7">
        <v>48544</v>
      </c>
      <c r="C5742" s="8">
        <f>DATE(2012,12,31)-595</f>
        <v>40679</v>
      </c>
      <c r="D5742" s="8" t="str">
        <f t="shared" si="106"/>
        <v>2011-05 (май 2011)</v>
      </c>
      <c r="E5742" s="9" t="s">
        <v>30</v>
      </c>
      <c r="F5742" s="7">
        <v>44</v>
      </c>
      <c r="G5742" s="7">
        <v>831.58050000000003</v>
      </c>
      <c r="H5742" s="7">
        <v>0.01</v>
      </c>
      <c r="I5742" s="9" t="s">
        <v>22</v>
      </c>
      <c r="J5742" s="10">
        <v>273.05099999999999</v>
      </c>
      <c r="K5742" s="11">
        <v>20.99</v>
      </c>
      <c r="L5742" s="11">
        <v>0.99</v>
      </c>
      <c r="M5742" s="9" t="s">
        <v>1003</v>
      </c>
      <c r="N5742" s="6" t="s">
        <v>1905</v>
      </c>
      <c r="O5742" s="6" t="s">
        <v>673</v>
      </c>
      <c r="P5742" s="9" t="s">
        <v>25</v>
      </c>
      <c r="Q5742" s="9" t="s">
        <v>42</v>
      </c>
      <c r="R5742" s="9" t="s">
        <v>43</v>
      </c>
      <c r="S5742" s="7" t="s">
        <v>837</v>
      </c>
      <c r="T5742" s="9" t="s">
        <v>68</v>
      </c>
      <c r="U5742" s="7">
        <v>0.56999999999999995</v>
      </c>
      <c r="V5742" s="12">
        <f>C5742+2</f>
        <v>40681</v>
      </c>
      <c r="W5742">
        <f>IF(D5742=' Pivot Tables'!$A$4,1,0)</f>
        <v>0</v>
      </c>
      <c r="X5742">
        <f>IF(AND(LEFT(D5742,4)+1=LEFT(' Pivot Tables'!$A$4,4)+0,RIGHT(LEFT(D5742,7),2)=RIGHT(LEFT(' Pivot Tables'!$A$4,7),2)),1,0)</f>
        <v>0</v>
      </c>
      <c r="Y5742" s="6">
        <f>1/COUNTIF(Таблица1[Order ID],Таблица1[[#This Row],[Order ID]])</f>
        <v>1</v>
      </c>
      <c r="Z5742" s="9">
        <f>1/COUNTIFS(Таблица1[Customer Name],Таблица1[[#This Row],[Customer Name]],Таблица1[Order-Year-Month],Таблица1[[#This Row],[Order-Year-Month]])</f>
        <v>1</v>
      </c>
    </row>
    <row r="5743" spans="1:26" x14ac:dyDescent="0.2">
      <c r="A5743" s="6">
        <v>6862</v>
      </c>
      <c r="B5743" s="7">
        <v>48900</v>
      </c>
      <c r="C5743" s="8">
        <f>DATE(2012,12,31)-1380</f>
        <v>39894</v>
      </c>
      <c r="D5743" s="8" t="str">
        <f t="shared" si="106"/>
        <v>2009-03 (март 2009)</v>
      </c>
      <c r="E5743" s="9" t="s">
        <v>45</v>
      </c>
      <c r="F5743" s="7">
        <v>27</v>
      </c>
      <c r="G5743" s="7">
        <v>337.61</v>
      </c>
      <c r="H5743" s="7">
        <v>0.03</v>
      </c>
      <c r="I5743" s="9" t="s">
        <v>22</v>
      </c>
      <c r="J5743" s="10">
        <v>15.61</v>
      </c>
      <c r="K5743" s="11">
        <v>12.28</v>
      </c>
      <c r="L5743" s="11">
        <v>6.35</v>
      </c>
      <c r="M5743" s="9" t="s">
        <v>1003</v>
      </c>
      <c r="N5743" s="6" t="s">
        <v>1905</v>
      </c>
      <c r="O5743" s="6" t="s">
        <v>673</v>
      </c>
      <c r="P5743" s="9" t="s">
        <v>25</v>
      </c>
      <c r="Q5743" s="9" t="s">
        <v>26</v>
      </c>
      <c r="R5743" s="9" t="s">
        <v>61</v>
      </c>
      <c r="S5743" s="7" t="s">
        <v>674</v>
      </c>
      <c r="T5743" s="9" t="s">
        <v>39</v>
      </c>
      <c r="U5743" s="7">
        <v>0.38</v>
      </c>
      <c r="V5743" s="12">
        <f>C5743+2</f>
        <v>39896</v>
      </c>
      <c r="W5743">
        <f>IF(D5743=' Pivot Tables'!$A$4,1,0)</f>
        <v>0</v>
      </c>
      <c r="X5743">
        <f>IF(AND(LEFT(D5743,4)+1=LEFT(' Pivot Tables'!$A$4,4)+0,RIGHT(LEFT(D5743,7),2)=RIGHT(LEFT(' Pivot Tables'!$A$4,7),2)),1,0)</f>
        <v>0</v>
      </c>
      <c r="Y5743" s="6">
        <f>1/COUNTIF(Таблица1[Order ID],Таблица1[[#This Row],[Order ID]])</f>
        <v>0.5</v>
      </c>
      <c r="Z5743" s="9">
        <f>1/COUNTIFS(Таблица1[Customer Name],Таблица1[[#This Row],[Customer Name]],Таблица1[Order-Year-Month],Таблица1[[#This Row],[Order-Year-Month]])</f>
        <v>0.5</v>
      </c>
    </row>
    <row r="5744" spans="1:26" x14ac:dyDescent="0.2">
      <c r="A5744" s="6">
        <v>6863</v>
      </c>
      <c r="B5744" s="7">
        <v>48900</v>
      </c>
      <c r="C5744" s="8">
        <f>DATE(2012,12,31)-1380</f>
        <v>39894</v>
      </c>
      <c r="D5744" s="8" t="str">
        <f t="shared" si="106"/>
        <v>2009-03 (март 2009)</v>
      </c>
      <c r="E5744" s="9" t="s">
        <v>45</v>
      </c>
      <c r="F5744" s="7">
        <v>42</v>
      </c>
      <c r="G5744" s="7">
        <v>636.34</v>
      </c>
      <c r="H5744" s="7">
        <v>0.08</v>
      </c>
      <c r="I5744" s="9" t="s">
        <v>22</v>
      </c>
      <c r="J5744" s="10">
        <v>-99.26</v>
      </c>
      <c r="K5744" s="11">
        <v>15.14</v>
      </c>
      <c r="L5744" s="11">
        <v>4.53</v>
      </c>
      <c r="M5744" s="9" t="s">
        <v>1003</v>
      </c>
      <c r="N5744" s="6" t="s">
        <v>1905</v>
      </c>
      <c r="O5744" s="6" t="s">
        <v>673</v>
      </c>
      <c r="P5744" s="9" t="s">
        <v>25</v>
      </c>
      <c r="Q5744" s="9" t="s">
        <v>26</v>
      </c>
      <c r="R5744" s="9" t="s">
        <v>27</v>
      </c>
      <c r="S5744" s="7" t="s">
        <v>721</v>
      </c>
      <c r="T5744" s="9" t="s">
        <v>39</v>
      </c>
      <c r="U5744" s="7">
        <v>0.81</v>
      </c>
      <c r="V5744" s="12">
        <f>C5744+1</f>
        <v>39895</v>
      </c>
      <c r="W5744">
        <f>IF(D5744=' Pivot Tables'!$A$4,1,0)</f>
        <v>0</v>
      </c>
      <c r="X5744">
        <f>IF(AND(LEFT(D5744,4)+1=LEFT(' Pivot Tables'!$A$4,4)+0,RIGHT(LEFT(D5744,7),2)=RIGHT(LEFT(' Pivot Tables'!$A$4,7),2)),1,0)</f>
        <v>0</v>
      </c>
      <c r="Y5744" s="6">
        <f>1/COUNTIF(Таблица1[Order ID],Таблица1[[#This Row],[Order ID]])</f>
        <v>0.5</v>
      </c>
      <c r="Z5744" s="9">
        <f>1/COUNTIFS(Таблица1[Customer Name],Таблица1[[#This Row],[Customer Name]],Таблица1[Order-Year-Month],Таблица1[[#This Row],[Order-Year-Month]])</f>
        <v>0.5</v>
      </c>
    </row>
    <row r="5745" spans="1:26" x14ac:dyDescent="0.2">
      <c r="A5745" s="6">
        <v>6913</v>
      </c>
      <c r="B5745" s="7">
        <v>49319</v>
      </c>
      <c r="C5745" s="8">
        <f>DATE(2012,12,31)-494</f>
        <v>40780</v>
      </c>
      <c r="D5745" s="8" t="str">
        <f t="shared" si="106"/>
        <v>2011-08 (август 2011)</v>
      </c>
      <c r="E5745" s="9" t="s">
        <v>21</v>
      </c>
      <c r="F5745" s="7">
        <v>13</v>
      </c>
      <c r="G5745" s="7">
        <v>98.82</v>
      </c>
      <c r="H5745" s="7">
        <v>0.09</v>
      </c>
      <c r="I5745" s="9" t="s">
        <v>22</v>
      </c>
      <c r="J5745" s="10">
        <v>-68.66</v>
      </c>
      <c r="K5745" s="11">
        <v>7.37</v>
      </c>
      <c r="L5745" s="11">
        <v>5.53</v>
      </c>
      <c r="M5745" s="9" t="s">
        <v>1954</v>
      </c>
      <c r="N5745" s="6" t="s">
        <v>1905</v>
      </c>
      <c r="O5745" s="6" t="s">
        <v>673</v>
      </c>
      <c r="P5745" s="9" t="s">
        <v>41</v>
      </c>
      <c r="Q5745" s="9" t="s">
        <v>42</v>
      </c>
      <c r="R5745" s="9" t="s">
        <v>70</v>
      </c>
      <c r="S5745" s="7" t="s">
        <v>1081</v>
      </c>
      <c r="T5745" s="9" t="s">
        <v>52</v>
      </c>
      <c r="U5745" s="7">
        <v>0.69</v>
      </c>
      <c r="V5745" s="12">
        <f>C5745+2</f>
        <v>40782</v>
      </c>
      <c r="W5745">
        <f>IF(D5745=' Pivot Tables'!$A$4,1,0)</f>
        <v>0</v>
      </c>
      <c r="X5745">
        <f>IF(AND(LEFT(D5745,4)+1=LEFT(' Pivot Tables'!$A$4,4)+0,RIGHT(LEFT(D5745,7),2)=RIGHT(LEFT(' Pivot Tables'!$A$4,7),2)),1,0)</f>
        <v>0</v>
      </c>
      <c r="Y5745" s="6">
        <f>1/COUNTIF(Таблица1[Order ID],Таблица1[[#This Row],[Order ID]])</f>
        <v>0.5</v>
      </c>
      <c r="Z5745" s="9">
        <f>1/COUNTIFS(Таблица1[Customer Name],Таблица1[[#This Row],[Customer Name]],Таблица1[Order-Year-Month],Таблица1[[#This Row],[Order-Year-Month]])</f>
        <v>0.5</v>
      </c>
    </row>
    <row r="5746" spans="1:26" x14ac:dyDescent="0.2">
      <c r="A5746" s="6">
        <v>6914</v>
      </c>
      <c r="B5746" s="7">
        <v>49319</v>
      </c>
      <c r="C5746" s="8">
        <f>DATE(2012,12,31)-494</f>
        <v>40780</v>
      </c>
      <c r="D5746" s="8" t="str">
        <f t="shared" si="106"/>
        <v>2011-08 (август 2011)</v>
      </c>
      <c r="E5746" s="9" t="s">
        <v>21</v>
      </c>
      <c r="F5746" s="7">
        <v>40</v>
      </c>
      <c r="G5746" s="7">
        <v>289.19</v>
      </c>
      <c r="H5746" s="7">
        <v>0.01</v>
      </c>
      <c r="I5746" s="9" t="s">
        <v>22</v>
      </c>
      <c r="J5746" s="10">
        <v>-69.03</v>
      </c>
      <c r="K5746" s="11">
        <v>6.68</v>
      </c>
      <c r="L5746" s="11">
        <v>6.15</v>
      </c>
      <c r="M5746" s="9" t="s">
        <v>1954</v>
      </c>
      <c r="N5746" s="6" t="s">
        <v>1905</v>
      </c>
      <c r="O5746" s="6" t="s">
        <v>673</v>
      </c>
      <c r="P5746" s="9" t="s">
        <v>41</v>
      </c>
      <c r="Q5746" s="9" t="s">
        <v>26</v>
      </c>
      <c r="R5746" s="9" t="s">
        <v>61</v>
      </c>
      <c r="S5746" s="7" t="s">
        <v>1714</v>
      </c>
      <c r="T5746" s="9" t="s">
        <v>39</v>
      </c>
      <c r="U5746" s="7">
        <v>0.37</v>
      </c>
      <c r="V5746" s="12">
        <f>C5746+2</f>
        <v>40782</v>
      </c>
      <c r="W5746">
        <f>IF(D5746=' Pivot Tables'!$A$4,1,0)</f>
        <v>0</v>
      </c>
      <c r="X5746">
        <f>IF(AND(LEFT(D5746,4)+1=LEFT(' Pivot Tables'!$A$4,4)+0,RIGHT(LEFT(D5746,7),2)=RIGHT(LEFT(' Pivot Tables'!$A$4,7),2)),1,0)</f>
        <v>0</v>
      </c>
      <c r="Y5746" s="6">
        <f>1/COUNTIF(Таблица1[Order ID],Таблица1[[#This Row],[Order ID]])</f>
        <v>0.5</v>
      </c>
      <c r="Z5746" s="9">
        <f>1/COUNTIFS(Таблица1[Customer Name],Таблица1[[#This Row],[Customer Name]],Таблица1[Order-Year-Month],Таблица1[[#This Row],[Order-Year-Month]])</f>
        <v>0.5</v>
      </c>
    </row>
    <row r="5747" spans="1:26" x14ac:dyDescent="0.2">
      <c r="A5747" s="6">
        <v>6950</v>
      </c>
      <c r="B5747" s="7">
        <v>49638</v>
      </c>
      <c r="C5747" s="8">
        <f>DATE(2012,12,31)-877</f>
        <v>40397</v>
      </c>
      <c r="D5747" s="8" t="str">
        <f t="shared" si="106"/>
        <v>2010-08 (август 2010)</v>
      </c>
      <c r="E5747" s="9" t="s">
        <v>63</v>
      </c>
      <c r="F5747" s="7">
        <v>17</v>
      </c>
      <c r="G5747" s="7">
        <v>196.07</v>
      </c>
      <c r="H5747" s="7">
        <v>0.05</v>
      </c>
      <c r="I5747" s="9" t="s">
        <v>22</v>
      </c>
      <c r="J5747" s="10">
        <v>-77.66</v>
      </c>
      <c r="K5747" s="11">
        <v>10.97</v>
      </c>
      <c r="L5747" s="11">
        <v>6.5</v>
      </c>
      <c r="M5747" s="9" t="s">
        <v>1003</v>
      </c>
      <c r="N5747" s="6" t="s">
        <v>1905</v>
      </c>
      <c r="O5747" s="6" t="s">
        <v>673</v>
      </c>
      <c r="P5747" s="9" t="s">
        <v>60</v>
      </c>
      <c r="Q5747" s="9" t="s">
        <v>42</v>
      </c>
      <c r="R5747" s="9" t="s">
        <v>70</v>
      </c>
      <c r="S5747" s="7" t="s">
        <v>336</v>
      </c>
      <c r="T5747" s="9" t="s">
        <v>39</v>
      </c>
      <c r="U5747" s="7">
        <v>0.64</v>
      </c>
      <c r="V5747" s="12">
        <f>C5747+1</f>
        <v>40398</v>
      </c>
      <c r="W5747">
        <f>IF(D5747=' Pivot Tables'!$A$4,1,0)</f>
        <v>0</v>
      </c>
      <c r="X5747">
        <f>IF(AND(LEFT(D5747,4)+1=LEFT(' Pivot Tables'!$A$4,4)+0,RIGHT(LEFT(D5747,7),2)=RIGHT(LEFT(' Pivot Tables'!$A$4,7),2)),1,0)</f>
        <v>0</v>
      </c>
      <c r="Y5747" s="6">
        <f>1/COUNTIF(Таблица1[Order ID],Таблица1[[#This Row],[Order ID]])</f>
        <v>1</v>
      </c>
      <c r="Z5747" s="9">
        <f>1/COUNTIFS(Таблица1[Customer Name],Таблица1[[#This Row],[Customer Name]],Таблица1[Order-Year-Month],Таблица1[[#This Row],[Order-Year-Month]])</f>
        <v>1</v>
      </c>
    </row>
    <row r="5748" spans="1:26" x14ac:dyDescent="0.2">
      <c r="A5748" s="6">
        <v>7016</v>
      </c>
      <c r="B5748" s="7">
        <v>50055</v>
      </c>
      <c r="C5748" s="8">
        <f>DATE(2012,12,31)-74</f>
        <v>41200</v>
      </c>
      <c r="D5748" s="8" t="str">
        <f t="shared" si="106"/>
        <v>2012-10 (октябрь 2012)</v>
      </c>
      <c r="E5748" s="9" t="s">
        <v>63</v>
      </c>
      <c r="F5748" s="7">
        <v>1</v>
      </c>
      <c r="G5748" s="7">
        <v>13.45</v>
      </c>
      <c r="H5748" s="7">
        <v>0</v>
      </c>
      <c r="I5748" s="9" t="s">
        <v>22</v>
      </c>
      <c r="J5748" s="10">
        <v>-8.1995000000000005</v>
      </c>
      <c r="K5748" s="11">
        <v>5.4</v>
      </c>
      <c r="L5748" s="11">
        <v>7.78</v>
      </c>
      <c r="M5748" s="9" t="s">
        <v>1003</v>
      </c>
      <c r="N5748" s="6" t="s">
        <v>1905</v>
      </c>
      <c r="O5748" s="6" t="s">
        <v>673</v>
      </c>
      <c r="P5748" s="9" t="s">
        <v>25</v>
      </c>
      <c r="Q5748" s="9" t="s">
        <v>26</v>
      </c>
      <c r="R5748" s="9" t="s">
        <v>37</v>
      </c>
      <c r="S5748" s="7" t="s">
        <v>330</v>
      </c>
      <c r="T5748" s="9" t="s">
        <v>39</v>
      </c>
      <c r="U5748" s="7">
        <v>0.37</v>
      </c>
      <c r="V5748" s="12">
        <f>C5748+2</f>
        <v>41202</v>
      </c>
      <c r="W5748">
        <f>IF(D5748=' Pivot Tables'!$A$4,1,0)</f>
        <v>0</v>
      </c>
      <c r="X5748">
        <f>IF(AND(LEFT(D5748,4)+1=LEFT(' Pivot Tables'!$A$4,4)+0,RIGHT(LEFT(D5748,7),2)=RIGHT(LEFT(' Pivot Tables'!$A$4,7),2)),1,0)</f>
        <v>0</v>
      </c>
      <c r="Y5748" s="6">
        <f>1/COUNTIF(Таблица1[Order ID],Таблица1[[#This Row],[Order ID]])</f>
        <v>0.5</v>
      </c>
      <c r="Z5748" s="9">
        <f>1/COUNTIFS(Таблица1[Customer Name],Таблица1[[#This Row],[Customer Name]],Таблица1[Order-Year-Month],Таблица1[[#This Row],[Order-Year-Month]])</f>
        <v>0.33333333333333331</v>
      </c>
    </row>
    <row r="5749" spans="1:26" x14ac:dyDescent="0.2">
      <c r="A5749" s="6">
        <v>7017</v>
      </c>
      <c r="B5749" s="7">
        <v>50055</v>
      </c>
      <c r="C5749" s="8">
        <f>DATE(2012,12,31)-74</f>
        <v>41200</v>
      </c>
      <c r="D5749" s="8" t="str">
        <f t="shared" si="106"/>
        <v>2012-10 (октябрь 2012)</v>
      </c>
      <c r="E5749" s="9" t="s">
        <v>63</v>
      </c>
      <c r="F5749" s="7">
        <v>11</v>
      </c>
      <c r="G5749" s="7">
        <v>75.790000000000006</v>
      </c>
      <c r="H5749" s="7">
        <v>0.09</v>
      </c>
      <c r="I5749" s="9" t="s">
        <v>22</v>
      </c>
      <c r="J5749" s="10">
        <v>-18.77</v>
      </c>
      <c r="K5749" s="11">
        <v>6.68</v>
      </c>
      <c r="L5749" s="11">
        <v>4.91</v>
      </c>
      <c r="M5749" s="9" t="s">
        <v>1003</v>
      </c>
      <c r="N5749" s="6" t="s">
        <v>1905</v>
      </c>
      <c r="O5749" s="6" t="s">
        <v>673</v>
      </c>
      <c r="P5749" s="9" t="s">
        <v>25</v>
      </c>
      <c r="Q5749" s="9" t="s">
        <v>26</v>
      </c>
      <c r="R5749" s="9" t="s">
        <v>61</v>
      </c>
      <c r="S5749" s="7" t="s">
        <v>941</v>
      </c>
      <c r="T5749" s="9" t="s">
        <v>39</v>
      </c>
      <c r="U5749" s="7">
        <v>0.37</v>
      </c>
      <c r="V5749" s="12">
        <f>C5749+2</f>
        <v>41202</v>
      </c>
      <c r="W5749">
        <f>IF(D5749=' Pivot Tables'!$A$4,1,0)</f>
        <v>0</v>
      </c>
      <c r="X5749">
        <f>IF(AND(LEFT(D5749,4)+1=LEFT(' Pivot Tables'!$A$4,4)+0,RIGHT(LEFT(D5749,7),2)=RIGHT(LEFT(' Pivot Tables'!$A$4,7),2)),1,0)</f>
        <v>0</v>
      </c>
      <c r="Y5749" s="6">
        <f>1/COUNTIF(Таблица1[Order ID],Таблица1[[#This Row],[Order ID]])</f>
        <v>0.5</v>
      </c>
      <c r="Z5749" s="9">
        <f>1/COUNTIFS(Таблица1[Customer Name],Таблица1[[#This Row],[Customer Name]],Таблица1[Order-Year-Month],Таблица1[[#This Row],[Order-Year-Month]])</f>
        <v>0.33333333333333331</v>
      </c>
    </row>
    <row r="5750" spans="1:26" x14ac:dyDescent="0.2">
      <c r="A5750" s="6">
        <v>7197</v>
      </c>
      <c r="B5750" s="7">
        <v>51360</v>
      </c>
      <c r="C5750" s="8">
        <f>DATE(2012,12,31)-560</f>
        <v>40714</v>
      </c>
      <c r="D5750" s="8" t="str">
        <f t="shared" si="106"/>
        <v>2011-06 (июнь 2011)</v>
      </c>
      <c r="E5750" s="9" t="s">
        <v>63</v>
      </c>
      <c r="F5750" s="7">
        <v>12</v>
      </c>
      <c r="G5750" s="7">
        <v>46.55</v>
      </c>
      <c r="H5750" s="7">
        <v>0</v>
      </c>
      <c r="I5750" s="9" t="s">
        <v>22</v>
      </c>
      <c r="J5750" s="10">
        <v>16.34</v>
      </c>
      <c r="K5750" s="11">
        <v>3.69</v>
      </c>
      <c r="L5750" s="11">
        <v>0.5</v>
      </c>
      <c r="M5750" s="9" t="s">
        <v>1003</v>
      </c>
      <c r="N5750" s="6" t="s">
        <v>1905</v>
      </c>
      <c r="O5750" s="6" t="s">
        <v>673</v>
      </c>
      <c r="P5750" s="9" t="s">
        <v>33</v>
      </c>
      <c r="Q5750" s="9" t="s">
        <v>26</v>
      </c>
      <c r="R5750" s="9" t="s">
        <v>88</v>
      </c>
      <c r="S5750" s="7" t="s">
        <v>1445</v>
      </c>
      <c r="T5750" s="9" t="s">
        <v>39</v>
      </c>
      <c r="U5750" s="7">
        <v>0.38</v>
      </c>
      <c r="V5750" s="12">
        <f>C5750+2</f>
        <v>40716</v>
      </c>
      <c r="W5750">
        <f>IF(D5750=' Pivot Tables'!$A$4,1,0)</f>
        <v>0</v>
      </c>
      <c r="X5750">
        <f>IF(AND(LEFT(D5750,4)+1=LEFT(' Pivot Tables'!$A$4,4)+0,RIGHT(LEFT(D5750,7),2)=RIGHT(LEFT(' Pivot Tables'!$A$4,7),2)),1,0)</f>
        <v>0</v>
      </c>
      <c r="Y5750" s="6">
        <f>1/COUNTIF(Таблица1[Order ID],Таблица1[[#This Row],[Order ID]])</f>
        <v>1</v>
      </c>
      <c r="Z5750" s="9">
        <f>1/COUNTIFS(Таблица1[Customer Name],Таблица1[[#This Row],[Customer Name]],Таблица1[Order-Year-Month],Таблица1[[#This Row],[Order-Year-Month]])</f>
        <v>0.25</v>
      </c>
    </row>
    <row r="5751" spans="1:26" x14ac:dyDescent="0.2">
      <c r="A5751" s="6">
        <v>7389</v>
      </c>
      <c r="B5751" s="7">
        <v>52672</v>
      </c>
      <c r="C5751" s="8">
        <f>DATE(2012,12,31)-723</f>
        <v>40551</v>
      </c>
      <c r="D5751" s="8" t="str">
        <f t="shared" si="106"/>
        <v>2011-01 (январь 2011)</v>
      </c>
      <c r="E5751" s="9" t="s">
        <v>21</v>
      </c>
      <c r="F5751" s="7">
        <v>29</v>
      </c>
      <c r="G5751" s="7">
        <v>1499.5275000000001</v>
      </c>
      <c r="H5751" s="7">
        <v>0.09</v>
      </c>
      <c r="I5751" s="9" t="s">
        <v>22</v>
      </c>
      <c r="J5751" s="10">
        <v>188.982</v>
      </c>
      <c r="K5751" s="11">
        <v>65.989999999999995</v>
      </c>
      <c r="L5751" s="11">
        <v>5.26</v>
      </c>
      <c r="M5751" s="9" t="s">
        <v>1003</v>
      </c>
      <c r="N5751" s="6" t="s">
        <v>1905</v>
      </c>
      <c r="O5751" s="6" t="s">
        <v>673</v>
      </c>
      <c r="P5751" s="9" t="s">
        <v>60</v>
      </c>
      <c r="Q5751" s="9" t="s">
        <v>42</v>
      </c>
      <c r="R5751" s="9" t="s">
        <v>43</v>
      </c>
      <c r="S5751" s="7" t="s">
        <v>390</v>
      </c>
      <c r="T5751" s="9" t="s">
        <v>39</v>
      </c>
      <c r="U5751" s="7">
        <v>0.56000000000000005</v>
      </c>
      <c r="V5751" s="12">
        <f>C5751+5</f>
        <v>40556</v>
      </c>
      <c r="W5751">
        <f>IF(D5751=' Pivot Tables'!$A$4,1,0)</f>
        <v>0</v>
      </c>
      <c r="X5751">
        <f>IF(AND(LEFT(D5751,4)+1=LEFT(' Pivot Tables'!$A$4,4)+0,RIGHT(LEFT(D5751,7),2)=RIGHT(LEFT(' Pivot Tables'!$A$4,7),2)),1,0)</f>
        <v>0</v>
      </c>
      <c r="Y5751" s="6">
        <f>1/COUNTIF(Таблица1[Order ID],Таблица1[[#This Row],[Order ID]])</f>
        <v>1</v>
      </c>
      <c r="Z5751" s="9">
        <f>1/COUNTIFS(Таблица1[Customer Name],Таблица1[[#This Row],[Customer Name]],Таблица1[Order-Year-Month],Таблица1[[#This Row],[Order-Year-Month]])</f>
        <v>1</v>
      </c>
    </row>
    <row r="5752" spans="1:26" x14ac:dyDescent="0.2">
      <c r="A5752" s="6">
        <v>7409</v>
      </c>
      <c r="B5752" s="7">
        <v>52867</v>
      </c>
      <c r="C5752" s="8">
        <f>DATE(2012,12,31)-1236</f>
        <v>40038</v>
      </c>
      <c r="D5752" s="8" t="str">
        <f t="shared" si="106"/>
        <v>2009-08 (август 2009)</v>
      </c>
      <c r="E5752" s="9" t="s">
        <v>30</v>
      </c>
      <c r="F5752" s="7">
        <v>15</v>
      </c>
      <c r="G5752" s="7">
        <v>1917.61</v>
      </c>
      <c r="H5752" s="7">
        <v>0.03</v>
      </c>
      <c r="I5752" s="9" t="s">
        <v>31</v>
      </c>
      <c r="J5752" s="10">
        <v>-286.89999999999998</v>
      </c>
      <c r="K5752" s="11">
        <v>124.49</v>
      </c>
      <c r="L5752" s="11">
        <v>51.94</v>
      </c>
      <c r="M5752" s="9" t="s">
        <v>1003</v>
      </c>
      <c r="N5752" s="6" t="s">
        <v>1905</v>
      </c>
      <c r="O5752" s="6" t="s">
        <v>673</v>
      </c>
      <c r="P5752" s="9" t="s">
        <v>33</v>
      </c>
      <c r="Q5752" s="9" t="s">
        <v>49</v>
      </c>
      <c r="R5752" s="9" t="s">
        <v>83</v>
      </c>
      <c r="S5752" s="7" t="s">
        <v>432</v>
      </c>
      <c r="T5752" s="9" t="s">
        <v>82</v>
      </c>
      <c r="U5752" s="7">
        <v>0.63</v>
      </c>
      <c r="V5752" s="12">
        <f>C5752+1</f>
        <v>40039</v>
      </c>
      <c r="W5752">
        <f>IF(D5752=' Pivot Tables'!$A$4,1,0)</f>
        <v>0</v>
      </c>
      <c r="X5752">
        <f>IF(AND(LEFT(D5752,4)+1=LEFT(' Pivot Tables'!$A$4,4)+0,RIGHT(LEFT(D5752,7),2)=RIGHT(LEFT(' Pivot Tables'!$A$4,7),2)),1,0)</f>
        <v>0</v>
      </c>
      <c r="Y5752" s="6">
        <f>1/COUNTIF(Таблица1[Order ID],Таблица1[[#This Row],[Order ID]])</f>
        <v>1</v>
      </c>
      <c r="Z5752" s="9">
        <f>1/COUNTIFS(Таблица1[Customer Name],Таблица1[[#This Row],[Customer Name]],Таблица1[Order-Year-Month],Таблица1[[#This Row],[Order-Year-Month]])</f>
        <v>1</v>
      </c>
    </row>
    <row r="5753" spans="1:26" x14ac:dyDescent="0.2">
      <c r="A5753" s="6">
        <v>7572</v>
      </c>
      <c r="B5753" s="7">
        <v>54176</v>
      </c>
      <c r="C5753" s="8">
        <f>DATE(2012,12,31)-553</f>
        <v>40721</v>
      </c>
      <c r="D5753" s="8" t="str">
        <f t="shared" si="106"/>
        <v>2011-06 (июнь 2011)</v>
      </c>
      <c r="E5753" s="9" t="s">
        <v>45</v>
      </c>
      <c r="F5753" s="7">
        <v>33</v>
      </c>
      <c r="G5753" s="7">
        <v>2492.9699999999998</v>
      </c>
      <c r="H5753" s="7">
        <v>0.06</v>
      </c>
      <c r="I5753" s="9" t="s">
        <v>22</v>
      </c>
      <c r="J5753" s="10">
        <v>131.02000000000001</v>
      </c>
      <c r="K5753" s="11">
        <v>73.98</v>
      </c>
      <c r="L5753" s="11">
        <v>14.52</v>
      </c>
      <c r="M5753" s="9" t="s">
        <v>1003</v>
      </c>
      <c r="N5753" s="6" t="s">
        <v>1905</v>
      </c>
      <c r="O5753" s="6" t="s">
        <v>673</v>
      </c>
      <c r="P5753" s="9" t="s">
        <v>33</v>
      </c>
      <c r="Q5753" s="9" t="s">
        <v>42</v>
      </c>
      <c r="R5753" s="9" t="s">
        <v>70</v>
      </c>
      <c r="S5753" s="7" t="s">
        <v>822</v>
      </c>
      <c r="T5753" s="9" t="s">
        <v>39</v>
      </c>
      <c r="U5753" s="7">
        <v>0.65</v>
      </c>
      <c r="V5753" s="12">
        <f>C5753+1</f>
        <v>40722</v>
      </c>
      <c r="W5753">
        <f>IF(D5753=' Pivot Tables'!$A$4,1,0)</f>
        <v>0</v>
      </c>
      <c r="X5753">
        <f>IF(AND(LEFT(D5753,4)+1=LEFT(' Pivot Tables'!$A$4,4)+0,RIGHT(LEFT(D5753,7),2)=RIGHT(LEFT(' Pivot Tables'!$A$4,7),2)),1,0)</f>
        <v>0</v>
      </c>
      <c r="Y5753" s="6">
        <f>1/COUNTIF(Таблица1[Order ID],Таблица1[[#This Row],[Order ID]])</f>
        <v>1</v>
      </c>
      <c r="Z5753" s="9">
        <f>1/COUNTIFS(Таблица1[Customer Name],Таблица1[[#This Row],[Customer Name]],Таблица1[Order-Year-Month],Таблица1[[#This Row],[Order-Year-Month]])</f>
        <v>0.25</v>
      </c>
    </row>
    <row r="5754" spans="1:26" x14ac:dyDescent="0.2">
      <c r="A5754" s="6">
        <v>7695</v>
      </c>
      <c r="B5754" s="7">
        <v>55171</v>
      </c>
      <c r="C5754" s="8">
        <f>DATE(2012,12,31)-66</f>
        <v>41208</v>
      </c>
      <c r="D5754" s="8" t="str">
        <f t="shared" si="106"/>
        <v>2012-10 (октябрь 2012)</v>
      </c>
      <c r="E5754" s="9" t="s">
        <v>30</v>
      </c>
      <c r="F5754" s="7">
        <v>29</v>
      </c>
      <c r="G5754" s="7">
        <v>575.89</v>
      </c>
      <c r="H5754" s="7">
        <v>0.06</v>
      </c>
      <c r="I5754" s="9" t="s">
        <v>22</v>
      </c>
      <c r="J5754" s="10">
        <v>-14.04</v>
      </c>
      <c r="K5754" s="11">
        <v>19.98</v>
      </c>
      <c r="L5754" s="11">
        <v>4</v>
      </c>
      <c r="M5754" s="9" t="s">
        <v>1953</v>
      </c>
      <c r="N5754" s="6" t="s">
        <v>1905</v>
      </c>
      <c r="O5754" s="6" t="s">
        <v>673</v>
      </c>
      <c r="P5754" s="9" t="s">
        <v>60</v>
      </c>
      <c r="Q5754" s="9" t="s">
        <v>42</v>
      </c>
      <c r="R5754" s="9" t="s">
        <v>70</v>
      </c>
      <c r="S5754" s="7" t="s">
        <v>655</v>
      </c>
      <c r="T5754" s="9" t="s">
        <v>39</v>
      </c>
      <c r="U5754" s="7">
        <v>0.68</v>
      </c>
      <c r="V5754" s="12">
        <f>C5754+1</f>
        <v>41209</v>
      </c>
      <c r="W5754">
        <f>IF(D5754=' Pivot Tables'!$A$4,1,0)</f>
        <v>0</v>
      </c>
      <c r="X5754">
        <f>IF(AND(LEFT(D5754,4)+1=LEFT(' Pivot Tables'!$A$4,4)+0,RIGHT(LEFT(D5754,7),2)=RIGHT(LEFT(' Pivot Tables'!$A$4,7),2)),1,0)</f>
        <v>0</v>
      </c>
      <c r="Y5754" s="6">
        <f>1/COUNTIF(Таблица1[Order ID],Таблица1[[#This Row],[Order ID]])</f>
        <v>0.5</v>
      </c>
      <c r="Z5754" s="9">
        <f>1/COUNTIFS(Таблица1[Customer Name],Таблица1[[#This Row],[Customer Name]],Таблица1[Order-Year-Month],Таблица1[[#This Row],[Order-Year-Month]])</f>
        <v>0.5</v>
      </c>
    </row>
    <row r="5755" spans="1:26" x14ac:dyDescent="0.2">
      <c r="A5755" s="6">
        <v>7696</v>
      </c>
      <c r="B5755" s="7">
        <v>55171</v>
      </c>
      <c r="C5755" s="8">
        <f>DATE(2012,12,31)-66</f>
        <v>41208</v>
      </c>
      <c r="D5755" s="8" t="str">
        <f t="shared" si="106"/>
        <v>2012-10 (октябрь 2012)</v>
      </c>
      <c r="E5755" s="9" t="s">
        <v>30</v>
      </c>
      <c r="F5755" s="7">
        <v>43</v>
      </c>
      <c r="G5755" s="7">
        <v>260.60000000000002</v>
      </c>
      <c r="H5755" s="7">
        <v>0.05</v>
      </c>
      <c r="I5755" s="9" t="s">
        <v>22</v>
      </c>
      <c r="J5755" s="10">
        <v>-182.71</v>
      </c>
      <c r="K5755" s="11">
        <v>5.78</v>
      </c>
      <c r="L5755" s="11">
        <v>7.96</v>
      </c>
      <c r="M5755" s="9" t="s">
        <v>1953</v>
      </c>
      <c r="N5755" s="6" t="s">
        <v>1905</v>
      </c>
      <c r="O5755" s="6" t="s">
        <v>673</v>
      </c>
      <c r="P5755" s="9" t="s">
        <v>60</v>
      </c>
      <c r="Q5755" s="9" t="s">
        <v>26</v>
      </c>
      <c r="R5755" s="9" t="s">
        <v>61</v>
      </c>
      <c r="S5755" s="7" t="s">
        <v>754</v>
      </c>
      <c r="T5755" s="9" t="s">
        <v>39</v>
      </c>
      <c r="U5755" s="7">
        <v>0.36</v>
      </c>
      <c r="V5755" s="12">
        <f>C5755+0</f>
        <v>41208</v>
      </c>
      <c r="W5755">
        <f>IF(D5755=' Pivot Tables'!$A$4,1,0)</f>
        <v>0</v>
      </c>
      <c r="X5755">
        <f>IF(AND(LEFT(D5755,4)+1=LEFT(' Pivot Tables'!$A$4,4)+0,RIGHT(LEFT(D5755,7),2)=RIGHT(LEFT(' Pivot Tables'!$A$4,7),2)),1,0)</f>
        <v>0</v>
      </c>
      <c r="Y5755" s="6">
        <f>1/COUNTIF(Таблица1[Order ID],Таблица1[[#This Row],[Order ID]])</f>
        <v>0.5</v>
      </c>
      <c r="Z5755" s="9">
        <f>1/COUNTIFS(Таблица1[Customer Name],Таблица1[[#This Row],[Customer Name]],Таблица1[Order-Year-Month],Таблица1[[#This Row],[Order-Year-Month]])</f>
        <v>0.5</v>
      </c>
    </row>
    <row r="5756" spans="1:26" x14ac:dyDescent="0.2">
      <c r="A5756" s="6">
        <v>7781</v>
      </c>
      <c r="B5756" s="7">
        <v>55683</v>
      </c>
      <c r="C5756" s="8">
        <f>DATE(2012,12,31)-169</f>
        <v>41105</v>
      </c>
      <c r="D5756" s="8" t="str">
        <f t="shared" si="106"/>
        <v>2012-07 (июль 2012)</v>
      </c>
      <c r="E5756" s="9" t="s">
        <v>30</v>
      </c>
      <c r="F5756" s="7">
        <v>50</v>
      </c>
      <c r="G5756" s="7">
        <v>172.23</v>
      </c>
      <c r="H5756" s="7">
        <v>0.02</v>
      </c>
      <c r="I5756" s="9" t="s">
        <v>22</v>
      </c>
      <c r="J5756" s="10">
        <v>32.35</v>
      </c>
      <c r="K5756" s="11">
        <v>3.29</v>
      </c>
      <c r="L5756" s="11">
        <v>1.35</v>
      </c>
      <c r="M5756" s="9" t="s">
        <v>1867</v>
      </c>
      <c r="N5756" s="6" t="s">
        <v>1905</v>
      </c>
      <c r="O5756" s="6" t="s">
        <v>673</v>
      </c>
      <c r="P5756" s="9" t="s">
        <v>25</v>
      </c>
      <c r="Q5756" s="9" t="s">
        <v>26</v>
      </c>
      <c r="R5756" s="9" t="s">
        <v>66</v>
      </c>
      <c r="S5756" s="7" t="s">
        <v>464</v>
      </c>
      <c r="T5756" s="9" t="s">
        <v>68</v>
      </c>
      <c r="U5756" s="7">
        <v>0.4</v>
      </c>
      <c r="V5756" s="12">
        <f>C5756+2</f>
        <v>41107</v>
      </c>
      <c r="W5756">
        <f>IF(D5756=' Pivot Tables'!$A$4,1,0)</f>
        <v>0</v>
      </c>
      <c r="X5756">
        <f>IF(AND(LEFT(D5756,4)+1=LEFT(' Pivot Tables'!$A$4,4)+0,RIGHT(LEFT(D5756,7),2)=RIGHT(LEFT(' Pivot Tables'!$A$4,7),2)),1,0)</f>
        <v>0</v>
      </c>
      <c r="Y5756" s="6">
        <f>1/COUNTIF(Таблица1[Order ID],Таблица1[[#This Row],[Order ID]])</f>
        <v>0.5</v>
      </c>
      <c r="Z5756" s="9">
        <f>1/COUNTIFS(Таблица1[Customer Name],Таблица1[[#This Row],[Customer Name]],Таблица1[Order-Year-Month],Таблица1[[#This Row],[Order-Year-Month]])</f>
        <v>0.33333333333333331</v>
      </c>
    </row>
    <row r="5757" spans="1:26" x14ac:dyDescent="0.2">
      <c r="A5757" s="6">
        <v>8135</v>
      </c>
      <c r="B5757" s="7">
        <v>58147</v>
      </c>
      <c r="C5757" s="8">
        <f>DATE(2012,12,31)-1323</f>
        <v>39951</v>
      </c>
      <c r="D5757" s="8" t="str">
        <f t="shared" si="106"/>
        <v>2009-05 (май 2009)</v>
      </c>
      <c r="E5757" s="9" t="s">
        <v>30</v>
      </c>
      <c r="F5757" s="7">
        <v>41</v>
      </c>
      <c r="G5757" s="7">
        <v>470.74</v>
      </c>
      <c r="H5757" s="7">
        <v>0.04</v>
      </c>
      <c r="I5757" s="9" t="s">
        <v>22</v>
      </c>
      <c r="J5757" s="10">
        <v>24.09</v>
      </c>
      <c r="K5757" s="11">
        <v>10.98</v>
      </c>
      <c r="L5757" s="11">
        <v>3.99</v>
      </c>
      <c r="M5757" s="9" t="s">
        <v>1003</v>
      </c>
      <c r="N5757" s="6" t="s">
        <v>1905</v>
      </c>
      <c r="O5757" s="6" t="s">
        <v>673</v>
      </c>
      <c r="P5757" s="9" t="s">
        <v>25</v>
      </c>
      <c r="Q5757" s="9" t="s">
        <v>26</v>
      </c>
      <c r="R5757" s="9" t="s">
        <v>34</v>
      </c>
      <c r="S5757" s="7" t="s">
        <v>1752</v>
      </c>
      <c r="T5757" s="9" t="s">
        <v>39</v>
      </c>
      <c r="U5757" s="7">
        <v>0.57999999999999996</v>
      </c>
      <c r="V5757" s="12">
        <f>C5757+0</f>
        <v>39951</v>
      </c>
      <c r="W5757">
        <f>IF(D5757=' Pivot Tables'!$A$4,1,0)</f>
        <v>0</v>
      </c>
      <c r="X5757">
        <f>IF(AND(LEFT(D5757,4)+1=LEFT(' Pivot Tables'!$A$4,4)+0,RIGHT(LEFT(D5757,7),2)=RIGHT(LEFT(' Pivot Tables'!$A$4,7),2)),1,0)</f>
        <v>0</v>
      </c>
      <c r="Y5757" s="6">
        <f>1/COUNTIF(Таблица1[Order ID],Таблица1[[#This Row],[Order ID]])</f>
        <v>1</v>
      </c>
      <c r="Z5757" s="9">
        <f>1/COUNTIFS(Таблица1[Customer Name],Таблица1[[#This Row],[Customer Name]],Таблица1[Order-Year-Month],Таблица1[[#This Row],[Order-Year-Month]])</f>
        <v>1</v>
      </c>
    </row>
    <row r="5758" spans="1:26" x14ac:dyDescent="0.2">
      <c r="A5758" s="6">
        <v>8220</v>
      </c>
      <c r="B5758" s="7">
        <v>58784</v>
      </c>
      <c r="C5758" s="8">
        <f>DATE(2012,12,31)-1443</f>
        <v>39831</v>
      </c>
      <c r="D5758" s="8" t="str">
        <f t="shared" si="106"/>
        <v>2009-01 (январь 2009)</v>
      </c>
      <c r="E5758" s="9" t="s">
        <v>63</v>
      </c>
      <c r="F5758" s="7">
        <v>12</v>
      </c>
      <c r="G5758" s="7">
        <v>141.9</v>
      </c>
      <c r="H5758" s="7">
        <v>0.02</v>
      </c>
      <c r="I5758" s="9" t="s">
        <v>22</v>
      </c>
      <c r="J5758" s="10">
        <v>1.46</v>
      </c>
      <c r="K5758" s="11">
        <v>11.58</v>
      </c>
      <c r="L5758" s="11">
        <v>5.72</v>
      </c>
      <c r="M5758" s="9" t="s">
        <v>1798</v>
      </c>
      <c r="N5758" s="6" t="s">
        <v>1905</v>
      </c>
      <c r="O5758" s="6" t="s">
        <v>673</v>
      </c>
      <c r="P5758" s="9" t="s">
        <v>41</v>
      </c>
      <c r="Q5758" s="9" t="s">
        <v>26</v>
      </c>
      <c r="R5758" s="9" t="s">
        <v>76</v>
      </c>
      <c r="S5758" s="7" t="s">
        <v>304</v>
      </c>
      <c r="T5758" s="9" t="s">
        <v>39</v>
      </c>
      <c r="U5758" s="7">
        <v>0.35</v>
      </c>
      <c r="V5758" s="12">
        <f>C5758+1</f>
        <v>39832</v>
      </c>
      <c r="W5758">
        <f>IF(D5758=' Pivot Tables'!$A$4,1,0)</f>
        <v>0</v>
      </c>
      <c r="X5758">
        <f>IF(AND(LEFT(D5758,4)+1=LEFT(' Pivot Tables'!$A$4,4)+0,RIGHT(LEFT(D5758,7),2)=RIGHT(LEFT(' Pivot Tables'!$A$4,7),2)),1,0)</f>
        <v>1</v>
      </c>
      <c r="Y5758" s="6">
        <f>1/COUNTIF(Таблица1[Order ID],Таблица1[[#This Row],[Order ID]])</f>
        <v>0.2</v>
      </c>
      <c r="Z5758" s="9">
        <f>1/COUNTIFS(Таблица1[Customer Name],Таблица1[[#This Row],[Customer Name]],Таблица1[Order-Year-Month],Таблица1[[#This Row],[Order-Year-Month]])</f>
        <v>0.2</v>
      </c>
    </row>
    <row r="5759" spans="1:26" x14ac:dyDescent="0.2">
      <c r="A5759" s="6">
        <v>8221</v>
      </c>
      <c r="B5759" s="7">
        <v>58784</v>
      </c>
      <c r="C5759" s="8">
        <f>DATE(2012,12,31)-1443</f>
        <v>39831</v>
      </c>
      <c r="D5759" s="8" t="str">
        <f t="shared" si="106"/>
        <v>2009-01 (январь 2009)</v>
      </c>
      <c r="E5759" s="9" t="s">
        <v>63</v>
      </c>
      <c r="F5759" s="7">
        <v>29</v>
      </c>
      <c r="G5759" s="7">
        <v>1379.1</v>
      </c>
      <c r="H5759" s="7">
        <v>0.06</v>
      </c>
      <c r="I5759" s="9" t="s">
        <v>22</v>
      </c>
      <c r="J5759" s="10">
        <v>573.79999999999995</v>
      </c>
      <c r="K5759" s="11">
        <v>48.91</v>
      </c>
      <c r="L5759" s="11">
        <v>5.81</v>
      </c>
      <c r="M5759" s="9" t="s">
        <v>1798</v>
      </c>
      <c r="N5759" s="6" t="s">
        <v>1905</v>
      </c>
      <c r="O5759" s="6" t="s">
        <v>673</v>
      </c>
      <c r="P5759" s="9" t="s">
        <v>41</v>
      </c>
      <c r="Q5759" s="9" t="s">
        <v>26</v>
      </c>
      <c r="R5759" s="9" t="s">
        <v>61</v>
      </c>
      <c r="S5759" s="7" t="s">
        <v>183</v>
      </c>
      <c r="T5759" s="9" t="s">
        <v>39</v>
      </c>
      <c r="U5759" s="7">
        <v>0.38</v>
      </c>
      <c r="V5759" s="12">
        <f>C5759+0</f>
        <v>39831</v>
      </c>
      <c r="W5759">
        <f>IF(D5759=' Pivot Tables'!$A$4,1,0)</f>
        <v>0</v>
      </c>
      <c r="X5759">
        <f>IF(AND(LEFT(D5759,4)+1=LEFT(' Pivot Tables'!$A$4,4)+0,RIGHT(LEFT(D5759,7),2)=RIGHT(LEFT(' Pivot Tables'!$A$4,7),2)),1,0)</f>
        <v>1</v>
      </c>
      <c r="Y5759" s="6">
        <f>1/COUNTIF(Таблица1[Order ID],Таблица1[[#This Row],[Order ID]])</f>
        <v>0.2</v>
      </c>
      <c r="Z5759" s="9">
        <f>1/COUNTIFS(Таблица1[Customer Name],Таблица1[[#This Row],[Customer Name]],Таблица1[Order-Year-Month],Таблица1[[#This Row],[Order-Year-Month]])</f>
        <v>0.2</v>
      </c>
    </row>
    <row r="5760" spans="1:26" x14ac:dyDescent="0.2">
      <c r="A5760" s="6">
        <v>8222</v>
      </c>
      <c r="B5760" s="7">
        <v>58784</v>
      </c>
      <c r="C5760" s="8">
        <f>DATE(2012,12,31)-1443</f>
        <v>39831</v>
      </c>
      <c r="D5760" s="8" t="str">
        <f t="shared" si="106"/>
        <v>2009-01 (январь 2009)</v>
      </c>
      <c r="E5760" s="9" t="s">
        <v>63</v>
      </c>
      <c r="F5760" s="7">
        <v>17</v>
      </c>
      <c r="G5760" s="7">
        <v>278.76</v>
      </c>
      <c r="H5760" s="7">
        <v>0.02</v>
      </c>
      <c r="I5760" s="9" t="s">
        <v>22</v>
      </c>
      <c r="J5760" s="10">
        <v>-210.09</v>
      </c>
      <c r="K5760" s="11">
        <v>15.51</v>
      </c>
      <c r="L5760" s="11">
        <v>17.78</v>
      </c>
      <c r="M5760" s="9" t="s">
        <v>1798</v>
      </c>
      <c r="N5760" s="6" t="s">
        <v>1905</v>
      </c>
      <c r="O5760" s="6" t="s">
        <v>673</v>
      </c>
      <c r="P5760" s="9" t="s">
        <v>41</v>
      </c>
      <c r="Q5760" s="9" t="s">
        <v>26</v>
      </c>
      <c r="R5760" s="9" t="s">
        <v>27</v>
      </c>
      <c r="S5760" s="7" t="s">
        <v>383</v>
      </c>
      <c r="T5760" s="9" t="s">
        <v>39</v>
      </c>
      <c r="U5760" s="7">
        <v>0.59</v>
      </c>
      <c r="V5760" s="12">
        <f>C5760+1</f>
        <v>39832</v>
      </c>
      <c r="W5760">
        <f>IF(D5760=' Pivot Tables'!$A$4,1,0)</f>
        <v>0</v>
      </c>
      <c r="X5760">
        <f>IF(AND(LEFT(D5760,4)+1=LEFT(' Pivot Tables'!$A$4,4)+0,RIGHT(LEFT(D5760,7),2)=RIGHT(LEFT(' Pivot Tables'!$A$4,7),2)),1,0)</f>
        <v>1</v>
      </c>
      <c r="Y5760" s="6">
        <f>1/COUNTIF(Таблица1[Order ID],Таблица1[[#This Row],[Order ID]])</f>
        <v>0.2</v>
      </c>
      <c r="Z5760" s="9">
        <f>1/COUNTIFS(Таблица1[Customer Name],Таблица1[[#This Row],[Customer Name]],Таблица1[Order-Year-Month],Таблица1[[#This Row],[Order-Year-Month]])</f>
        <v>0.2</v>
      </c>
    </row>
    <row r="5761" spans="1:26" x14ac:dyDescent="0.2">
      <c r="A5761" s="6">
        <v>8320</v>
      </c>
      <c r="B5761" s="7">
        <v>59456</v>
      </c>
      <c r="C5761" s="8">
        <f>DATE(2012,12,31)-358</f>
        <v>40916</v>
      </c>
      <c r="D5761" s="8" t="str">
        <f t="shared" si="106"/>
        <v>2012-01 (январь 2012)</v>
      </c>
      <c r="E5761" s="9" t="s">
        <v>21</v>
      </c>
      <c r="F5761" s="7">
        <v>30</v>
      </c>
      <c r="G5761" s="7">
        <v>182.92</v>
      </c>
      <c r="H5761" s="7">
        <v>0.06</v>
      </c>
      <c r="I5761" s="9" t="s">
        <v>22</v>
      </c>
      <c r="J5761" s="10">
        <v>-1367.72</v>
      </c>
      <c r="K5761" s="11">
        <v>4.4800000000000004</v>
      </c>
      <c r="L5761" s="11">
        <v>49</v>
      </c>
      <c r="M5761" s="9" t="s">
        <v>1952</v>
      </c>
      <c r="N5761" s="6" t="s">
        <v>1905</v>
      </c>
      <c r="O5761" s="6" t="s">
        <v>673</v>
      </c>
      <c r="P5761" s="9" t="s">
        <v>60</v>
      </c>
      <c r="Q5761" s="9" t="s">
        <v>26</v>
      </c>
      <c r="R5761" s="9" t="s">
        <v>34</v>
      </c>
      <c r="S5761" s="7" t="s">
        <v>128</v>
      </c>
      <c r="T5761" s="9" t="s">
        <v>29</v>
      </c>
      <c r="U5761" s="7">
        <v>0.6</v>
      </c>
      <c r="V5761" s="12">
        <f>C5761+0</f>
        <v>40916</v>
      </c>
      <c r="W5761">
        <f>IF(D5761=' Pivot Tables'!$A$4,1,0)</f>
        <v>0</v>
      </c>
      <c r="X5761">
        <f>IF(AND(LEFT(D5761,4)+1=LEFT(' Pivot Tables'!$A$4,4)+0,RIGHT(LEFT(D5761,7),2)=RIGHT(LEFT(' Pivot Tables'!$A$4,7),2)),1,0)</f>
        <v>0</v>
      </c>
      <c r="Y5761" s="6">
        <f>1/COUNTIF(Таблица1[Order ID],Таблица1[[#This Row],[Order ID]])</f>
        <v>1</v>
      </c>
      <c r="Z5761" s="9">
        <f>1/COUNTIFS(Таблица1[Customer Name],Таблица1[[#This Row],[Customer Name]],Таблица1[Order-Year-Month],Таблица1[[#This Row],[Order-Year-Month]])</f>
        <v>1</v>
      </c>
    </row>
    <row r="5762" spans="1:26" x14ac:dyDescent="0.2">
      <c r="A5762" s="6">
        <v>8340</v>
      </c>
      <c r="B5762" s="7">
        <v>59591</v>
      </c>
      <c r="C5762" s="8">
        <f>DATE(2012,12,31)-1179</f>
        <v>40095</v>
      </c>
      <c r="D5762" s="8" t="str">
        <f t="shared" si="106"/>
        <v>2009-10 (октябрь 2009)</v>
      </c>
      <c r="E5762" s="9" t="s">
        <v>45</v>
      </c>
      <c r="F5762" s="7">
        <v>34</v>
      </c>
      <c r="G5762" s="7">
        <v>3361.84</v>
      </c>
      <c r="H5762" s="7">
        <v>0.08</v>
      </c>
      <c r="I5762" s="9" t="s">
        <v>31</v>
      </c>
      <c r="J5762" s="10">
        <v>1211.76</v>
      </c>
      <c r="K5762" s="11">
        <v>100.97</v>
      </c>
      <c r="L5762" s="11">
        <v>14</v>
      </c>
      <c r="M5762" s="9" t="s">
        <v>1953</v>
      </c>
      <c r="N5762" s="6" t="s">
        <v>1905</v>
      </c>
      <c r="O5762" s="6" t="s">
        <v>673</v>
      </c>
      <c r="P5762" s="9" t="s">
        <v>60</v>
      </c>
      <c r="Q5762" s="9" t="s">
        <v>42</v>
      </c>
      <c r="R5762" s="9" t="s">
        <v>210</v>
      </c>
      <c r="S5762" s="7" t="s">
        <v>911</v>
      </c>
      <c r="T5762" s="9" t="s">
        <v>36</v>
      </c>
      <c r="U5762" s="7">
        <v>0.37</v>
      </c>
      <c r="V5762" s="12">
        <f>C5762+1</f>
        <v>40096</v>
      </c>
      <c r="W5762">
        <f>IF(D5762=' Pivot Tables'!$A$4,1,0)</f>
        <v>0</v>
      </c>
      <c r="X5762">
        <f>IF(AND(LEFT(D5762,4)+1=LEFT(' Pivot Tables'!$A$4,4)+0,RIGHT(LEFT(D5762,7),2)=RIGHT(LEFT(' Pivot Tables'!$A$4,7),2)),1,0)</f>
        <v>0</v>
      </c>
      <c r="Y5762" s="6">
        <f>1/COUNTIF(Таблица1[Order ID],Таблица1[[#This Row],[Order ID]])</f>
        <v>0.5</v>
      </c>
      <c r="Z5762" s="9">
        <f>1/COUNTIFS(Таблица1[Customer Name],Таблица1[[#This Row],[Customer Name]],Таблица1[Order-Year-Month],Таблица1[[#This Row],[Order-Year-Month]])</f>
        <v>0.33333333333333331</v>
      </c>
    </row>
    <row r="5763" spans="1:26" x14ac:dyDescent="0.2">
      <c r="A5763" s="6">
        <v>8341</v>
      </c>
      <c r="B5763" s="7">
        <v>59591</v>
      </c>
      <c r="C5763" s="8">
        <f>DATE(2012,12,31)-1179</f>
        <v>40095</v>
      </c>
      <c r="D5763" s="8" t="str">
        <f t="shared" ref="D5763:D5826" si="107">TEXT(C5763,"гггг-ММ (ММММ гггг)")</f>
        <v>2009-10 (октябрь 2009)</v>
      </c>
      <c r="E5763" s="9" t="s">
        <v>45</v>
      </c>
      <c r="F5763" s="7">
        <v>29</v>
      </c>
      <c r="G5763" s="7">
        <v>195.82</v>
      </c>
      <c r="H5763" s="7">
        <v>7.0000000000000007E-2</v>
      </c>
      <c r="I5763" s="9" t="s">
        <v>22</v>
      </c>
      <c r="J5763" s="10">
        <v>-91.7</v>
      </c>
      <c r="K5763" s="11">
        <v>6.48</v>
      </c>
      <c r="L5763" s="11">
        <v>7.07</v>
      </c>
      <c r="M5763" s="9" t="s">
        <v>1953</v>
      </c>
      <c r="N5763" s="6" t="s">
        <v>1905</v>
      </c>
      <c r="O5763" s="6" t="s">
        <v>673</v>
      </c>
      <c r="P5763" s="9" t="s">
        <v>60</v>
      </c>
      <c r="Q5763" s="9" t="s">
        <v>26</v>
      </c>
      <c r="R5763" s="9" t="s">
        <v>61</v>
      </c>
      <c r="S5763" s="7" t="s">
        <v>1955</v>
      </c>
      <c r="T5763" s="9" t="s">
        <v>39</v>
      </c>
      <c r="U5763" s="7">
        <v>0.37</v>
      </c>
      <c r="V5763" s="12">
        <f>C5763+2</f>
        <v>40097</v>
      </c>
      <c r="W5763">
        <f>IF(D5763=' Pivot Tables'!$A$4,1,0)</f>
        <v>0</v>
      </c>
      <c r="X5763">
        <f>IF(AND(LEFT(D5763,4)+1=LEFT(' Pivot Tables'!$A$4,4)+0,RIGHT(LEFT(D5763,7),2)=RIGHT(LEFT(' Pivot Tables'!$A$4,7),2)),1,0)</f>
        <v>0</v>
      </c>
      <c r="Y5763" s="6">
        <f>1/COUNTIF(Таблица1[Order ID],Таблица1[[#This Row],[Order ID]])</f>
        <v>0.5</v>
      </c>
      <c r="Z5763" s="9">
        <f>1/COUNTIFS(Таблица1[Customer Name],Таблица1[[#This Row],[Customer Name]],Таблица1[Order-Year-Month],Таблица1[[#This Row],[Order-Year-Month]])</f>
        <v>0.33333333333333331</v>
      </c>
    </row>
    <row r="5764" spans="1:26" x14ac:dyDescent="0.2">
      <c r="A5764" s="6">
        <v>8381</v>
      </c>
      <c r="B5764" s="7">
        <v>59879</v>
      </c>
      <c r="C5764" s="8">
        <f>DATE(2012,12,31)-1393</f>
        <v>39881</v>
      </c>
      <c r="D5764" s="8" t="str">
        <f t="shared" si="107"/>
        <v>2009-03 (март 2009)</v>
      </c>
      <c r="E5764" s="9" t="s">
        <v>45</v>
      </c>
      <c r="F5764" s="7">
        <v>33</v>
      </c>
      <c r="G5764" s="7">
        <v>987.3175</v>
      </c>
      <c r="H5764" s="7">
        <v>0.04</v>
      </c>
      <c r="I5764" s="9" t="s">
        <v>56</v>
      </c>
      <c r="J5764" s="10">
        <v>368.55899999999997</v>
      </c>
      <c r="K5764" s="11">
        <v>35.99</v>
      </c>
      <c r="L5764" s="11">
        <v>3.3</v>
      </c>
      <c r="M5764" s="9" t="s">
        <v>1954</v>
      </c>
      <c r="N5764" s="6" t="s">
        <v>1905</v>
      </c>
      <c r="O5764" s="6" t="s">
        <v>673</v>
      </c>
      <c r="P5764" s="9" t="s">
        <v>41</v>
      </c>
      <c r="Q5764" s="9" t="s">
        <v>42</v>
      </c>
      <c r="R5764" s="9" t="s">
        <v>43</v>
      </c>
      <c r="S5764" s="7" t="s">
        <v>417</v>
      </c>
      <c r="T5764" s="9" t="s">
        <v>52</v>
      </c>
      <c r="U5764" s="7">
        <v>0.39</v>
      </c>
      <c r="V5764" s="12">
        <f>C5764+2</f>
        <v>39883</v>
      </c>
      <c r="W5764">
        <f>IF(D5764=' Pivot Tables'!$A$4,1,0)</f>
        <v>0</v>
      </c>
      <c r="X5764">
        <f>IF(AND(LEFT(D5764,4)+1=LEFT(' Pivot Tables'!$A$4,4)+0,RIGHT(LEFT(D5764,7),2)=RIGHT(LEFT(' Pivot Tables'!$A$4,7),2)),1,0)</f>
        <v>0</v>
      </c>
      <c r="Y5764" s="6">
        <f>1/COUNTIF(Таблица1[Order ID],Таблица1[[#This Row],[Order ID]])</f>
        <v>1</v>
      </c>
      <c r="Z5764" s="9">
        <f>1/COUNTIFS(Таблица1[Customer Name],Таблица1[[#This Row],[Customer Name]],Таблица1[Order-Year-Month],Таблица1[[#This Row],[Order-Year-Month]])</f>
        <v>1</v>
      </c>
    </row>
    <row r="5765" spans="1:26" x14ac:dyDescent="0.2">
      <c r="A5765" s="6">
        <v>6</v>
      </c>
      <c r="B5765" s="7">
        <v>32</v>
      </c>
      <c r="C5765" s="8">
        <f>DATE(2012,12,31)-535</f>
        <v>40739</v>
      </c>
      <c r="D5765" s="8" t="str">
        <f t="shared" si="107"/>
        <v>2011-07 (июль 2011)</v>
      </c>
      <c r="E5765" s="9" t="s">
        <v>30</v>
      </c>
      <c r="F5765" s="7">
        <v>15</v>
      </c>
      <c r="G5765" s="7">
        <v>140.56</v>
      </c>
      <c r="H5765" s="7">
        <v>0.04</v>
      </c>
      <c r="I5765" s="9" t="s">
        <v>22</v>
      </c>
      <c r="J5765" s="10">
        <v>-128.38</v>
      </c>
      <c r="K5765" s="11">
        <v>8.4600000000000009</v>
      </c>
      <c r="L5765" s="11">
        <v>8.99</v>
      </c>
      <c r="M5765" s="9" t="s">
        <v>1956</v>
      </c>
      <c r="N5765" s="6" t="s">
        <v>1905</v>
      </c>
      <c r="O5765" s="6" t="s">
        <v>673</v>
      </c>
      <c r="P5765" s="9" t="s">
        <v>41</v>
      </c>
      <c r="Q5765" s="9" t="s">
        <v>42</v>
      </c>
      <c r="R5765" s="9" t="s">
        <v>70</v>
      </c>
      <c r="S5765" s="7" t="s">
        <v>331</v>
      </c>
      <c r="T5765" s="9" t="s">
        <v>52</v>
      </c>
      <c r="U5765" s="7">
        <v>0.79</v>
      </c>
      <c r="V5765" s="12">
        <f>C5765+1</f>
        <v>40740</v>
      </c>
      <c r="W5765">
        <f>IF(D5765=' Pivot Tables'!$A$4,1,0)</f>
        <v>0</v>
      </c>
      <c r="X5765">
        <f>IF(AND(LEFT(D5765,4)+1=LEFT(' Pivot Tables'!$A$4,4)+0,RIGHT(LEFT(D5765,7),2)=RIGHT(LEFT(' Pivot Tables'!$A$4,7),2)),1,0)</f>
        <v>0</v>
      </c>
      <c r="Y5765" s="6">
        <f>1/COUNTIF(Таблица1[Order ID],Таблица1[[#This Row],[Order ID]])</f>
        <v>0.25</v>
      </c>
      <c r="Z5765" s="9">
        <f>1/COUNTIFS(Таблица1[Customer Name],Таблица1[[#This Row],[Customer Name]],Таблица1[Order-Year-Month],Таблица1[[#This Row],[Order-Year-Month]])</f>
        <v>0.25</v>
      </c>
    </row>
    <row r="5766" spans="1:26" x14ac:dyDescent="0.2">
      <c r="A5766" s="6">
        <v>12</v>
      </c>
      <c r="B5766" s="7">
        <v>69</v>
      </c>
      <c r="C5766" s="8">
        <f>DATE(2012,12,31)-1307</f>
        <v>39967</v>
      </c>
      <c r="D5766" s="8" t="str">
        <f t="shared" si="107"/>
        <v>2009-06 (июнь 2009)</v>
      </c>
      <c r="E5766" s="9" t="s">
        <v>45</v>
      </c>
      <c r="F5766" s="7">
        <v>42</v>
      </c>
      <c r="G5766" s="7">
        <v>1186.06</v>
      </c>
      <c r="H5766" s="7">
        <v>0.09</v>
      </c>
      <c r="I5766" s="9" t="s">
        <v>22</v>
      </c>
      <c r="J5766" s="10">
        <v>511.69</v>
      </c>
      <c r="K5766" s="11">
        <v>30.93</v>
      </c>
      <c r="L5766" s="11">
        <v>3.92</v>
      </c>
      <c r="M5766" s="9" t="s">
        <v>1957</v>
      </c>
      <c r="N5766" s="6" t="s">
        <v>1905</v>
      </c>
      <c r="O5766" s="6" t="s">
        <v>673</v>
      </c>
      <c r="P5766" s="9" t="s">
        <v>41</v>
      </c>
      <c r="Q5766" s="9" t="s">
        <v>49</v>
      </c>
      <c r="R5766" s="9" t="s">
        <v>50</v>
      </c>
      <c r="S5766" s="7" t="s">
        <v>786</v>
      </c>
      <c r="T5766" s="9" t="s">
        <v>52</v>
      </c>
      <c r="U5766" s="7">
        <v>0.44</v>
      </c>
      <c r="V5766" s="12">
        <f>C5766+2</f>
        <v>39969</v>
      </c>
      <c r="W5766">
        <f>IF(D5766=' Pivot Tables'!$A$4,1,0)</f>
        <v>0</v>
      </c>
      <c r="X5766">
        <f>IF(AND(LEFT(D5766,4)+1=LEFT(' Pivot Tables'!$A$4,4)+0,RIGHT(LEFT(D5766,7),2)=RIGHT(LEFT(' Pivot Tables'!$A$4,7),2)),1,0)</f>
        <v>0</v>
      </c>
      <c r="Y5766" s="6">
        <f>1/COUNTIF(Таблица1[Order ID],Таблица1[[#This Row],[Order ID]])</f>
        <v>0.5</v>
      </c>
      <c r="Z5766" s="9">
        <f>1/COUNTIFS(Таблица1[Customer Name],Таблица1[[#This Row],[Customer Name]],Таблица1[Order-Year-Month],Таблица1[[#This Row],[Order-Year-Month]])</f>
        <v>0.33333333333333331</v>
      </c>
    </row>
    <row r="5767" spans="1:26" x14ac:dyDescent="0.2">
      <c r="A5767" s="6">
        <v>13</v>
      </c>
      <c r="B5767" s="7">
        <v>69</v>
      </c>
      <c r="C5767" s="8">
        <f>DATE(2012,12,31)-1307</f>
        <v>39967</v>
      </c>
      <c r="D5767" s="8" t="str">
        <f t="shared" si="107"/>
        <v>2009-06 (июнь 2009)</v>
      </c>
      <c r="E5767" s="9" t="s">
        <v>45</v>
      </c>
      <c r="F5767" s="7">
        <v>28</v>
      </c>
      <c r="G5767" s="7">
        <v>51.53</v>
      </c>
      <c r="H5767" s="7">
        <v>0.03</v>
      </c>
      <c r="I5767" s="9" t="s">
        <v>56</v>
      </c>
      <c r="J5767" s="10">
        <v>0.35</v>
      </c>
      <c r="K5767" s="11">
        <v>1.68</v>
      </c>
      <c r="L5767" s="11">
        <v>0.7</v>
      </c>
      <c r="M5767" s="9" t="s">
        <v>1957</v>
      </c>
      <c r="N5767" s="6" t="s">
        <v>1905</v>
      </c>
      <c r="O5767" s="6" t="s">
        <v>673</v>
      </c>
      <c r="P5767" s="9" t="s">
        <v>41</v>
      </c>
      <c r="Q5767" s="9" t="s">
        <v>26</v>
      </c>
      <c r="R5767" s="9" t="s">
        <v>95</v>
      </c>
      <c r="S5767" s="7" t="s">
        <v>1926</v>
      </c>
      <c r="T5767" s="9" t="s">
        <v>68</v>
      </c>
      <c r="U5767" s="7">
        <v>0.6</v>
      </c>
      <c r="V5767" s="12">
        <f>C5767+2</f>
        <v>39969</v>
      </c>
      <c r="W5767">
        <f>IF(D5767=' Pivot Tables'!$A$4,1,0)</f>
        <v>0</v>
      </c>
      <c r="X5767">
        <f>IF(AND(LEFT(D5767,4)+1=LEFT(' Pivot Tables'!$A$4,4)+0,RIGHT(LEFT(D5767,7),2)=RIGHT(LEFT(' Pivot Tables'!$A$4,7),2)),1,0)</f>
        <v>0</v>
      </c>
      <c r="Y5767" s="6">
        <f>1/COUNTIF(Таблица1[Order ID],Таблица1[[#This Row],[Order ID]])</f>
        <v>0.5</v>
      </c>
      <c r="Z5767" s="9">
        <f>1/COUNTIFS(Таблица1[Customer Name],Таблица1[[#This Row],[Customer Name]],Таблица1[Order-Year-Month],Таблица1[[#This Row],[Order-Year-Month]])</f>
        <v>0.33333333333333331</v>
      </c>
    </row>
    <row r="5768" spans="1:26" x14ac:dyDescent="0.2">
      <c r="A5768" s="6">
        <v>56</v>
      </c>
      <c r="B5768" s="7">
        <v>324</v>
      </c>
      <c r="C5768" s="8">
        <f>DATE(2012,12,31)-287</f>
        <v>40987</v>
      </c>
      <c r="D5768" s="8" t="str">
        <f t="shared" si="107"/>
        <v>2012-03 (март 2012)</v>
      </c>
      <c r="E5768" s="9" t="s">
        <v>78</v>
      </c>
      <c r="F5768" s="7">
        <v>25</v>
      </c>
      <c r="G5768" s="7">
        <v>3872.634</v>
      </c>
      <c r="H5768" s="7">
        <v>0.02</v>
      </c>
      <c r="I5768" s="9" t="s">
        <v>22</v>
      </c>
      <c r="J5768" s="10">
        <v>667.33199999999999</v>
      </c>
      <c r="K5768" s="11">
        <v>179.99</v>
      </c>
      <c r="L5768" s="11">
        <v>13.99</v>
      </c>
      <c r="M5768" s="9" t="s">
        <v>1958</v>
      </c>
      <c r="N5768" s="6" t="s">
        <v>1905</v>
      </c>
      <c r="O5768" s="6" t="s">
        <v>673</v>
      </c>
      <c r="P5768" s="9" t="s">
        <v>25</v>
      </c>
      <c r="Q5768" s="9" t="s">
        <v>42</v>
      </c>
      <c r="R5768" s="9" t="s">
        <v>43</v>
      </c>
      <c r="S5768" s="7" t="s">
        <v>343</v>
      </c>
      <c r="T5768" s="9" t="s">
        <v>48</v>
      </c>
      <c r="U5768" s="7">
        <v>0.56999999999999995</v>
      </c>
      <c r="V5768" s="12">
        <f>C5768+2</f>
        <v>40989</v>
      </c>
      <c r="W5768">
        <f>IF(D5768=' Pivot Tables'!$A$4,1,0)</f>
        <v>0</v>
      </c>
      <c r="X5768">
        <f>IF(AND(LEFT(D5768,4)+1=LEFT(' Pivot Tables'!$A$4,4)+0,RIGHT(LEFT(D5768,7),2)=RIGHT(LEFT(' Pivot Tables'!$A$4,7),2)),1,0)</f>
        <v>0</v>
      </c>
      <c r="Y5768" s="6">
        <f>1/COUNTIF(Таблица1[Order ID],Таблица1[[#This Row],[Order ID]])</f>
        <v>1</v>
      </c>
      <c r="Z5768" s="9">
        <f>1/COUNTIFS(Таблица1[Customer Name],Таблица1[[#This Row],[Customer Name]],Таблица1[Order-Year-Month],Таблица1[[#This Row],[Order-Year-Month]])</f>
        <v>1</v>
      </c>
    </row>
    <row r="5769" spans="1:26" x14ac:dyDescent="0.2">
      <c r="A5769" s="6">
        <v>200</v>
      </c>
      <c r="B5769" s="7">
        <v>1317</v>
      </c>
      <c r="C5769" s="8">
        <f>DATE(2012,12,31)-593</f>
        <v>40681</v>
      </c>
      <c r="D5769" s="8" t="str">
        <f t="shared" si="107"/>
        <v>2011-05 (май 2011)</v>
      </c>
      <c r="E5769" s="9" t="s">
        <v>30</v>
      </c>
      <c r="F5769" s="7">
        <v>44</v>
      </c>
      <c r="G5769" s="7">
        <v>523.41999999999996</v>
      </c>
      <c r="H5769" s="7">
        <v>0.06</v>
      </c>
      <c r="I5769" s="9" t="s">
        <v>22</v>
      </c>
      <c r="J5769" s="10">
        <v>39.423000000000002</v>
      </c>
      <c r="K5769" s="11">
        <v>11.7</v>
      </c>
      <c r="L5769" s="11">
        <v>5.63</v>
      </c>
      <c r="M5769" s="9" t="s">
        <v>1959</v>
      </c>
      <c r="N5769" s="6" t="s">
        <v>1905</v>
      </c>
      <c r="O5769" s="6" t="s">
        <v>673</v>
      </c>
      <c r="P5769" s="9" t="s">
        <v>33</v>
      </c>
      <c r="Q5769" s="9" t="s">
        <v>26</v>
      </c>
      <c r="R5769" s="9" t="s">
        <v>37</v>
      </c>
      <c r="S5769" s="7" t="s">
        <v>1333</v>
      </c>
      <c r="T5769" s="9" t="s">
        <v>39</v>
      </c>
      <c r="U5769" s="7">
        <v>0.4</v>
      </c>
      <c r="V5769" s="12">
        <f>C5769+2</f>
        <v>40683</v>
      </c>
      <c r="W5769">
        <f>IF(D5769=' Pivot Tables'!$A$4,1,0)</f>
        <v>0</v>
      </c>
      <c r="X5769">
        <f>IF(AND(LEFT(D5769,4)+1=LEFT(' Pivot Tables'!$A$4,4)+0,RIGHT(LEFT(D5769,7),2)=RIGHT(LEFT(' Pivot Tables'!$A$4,7),2)),1,0)</f>
        <v>0</v>
      </c>
      <c r="Y5769" s="6">
        <f>1/COUNTIF(Таблица1[Order ID],Таблица1[[#This Row],[Order ID]])</f>
        <v>0.33333333333333331</v>
      </c>
      <c r="Z5769" s="9">
        <f>1/COUNTIFS(Таблица1[Customer Name],Таблица1[[#This Row],[Customer Name]],Таблица1[Order-Year-Month],Таблица1[[#This Row],[Order-Year-Month]])</f>
        <v>0.2</v>
      </c>
    </row>
    <row r="5770" spans="1:26" x14ac:dyDescent="0.2">
      <c r="A5770" s="6">
        <v>201</v>
      </c>
      <c r="B5770" s="7">
        <v>1317</v>
      </c>
      <c r="C5770" s="8">
        <f>DATE(2012,12,31)-593</f>
        <v>40681</v>
      </c>
      <c r="D5770" s="8" t="str">
        <f t="shared" si="107"/>
        <v>2011-05 (май 2011)</v>
      </c>
      <c r="E5770" s="9" t="s">
        <v>30</v>
      </c>
      <c r="F5770" s="7">
        <v>40</v>
      </c>
      <c r="G5770" s="7">
        <v>192.54</v>
      </c>
      <c r="H5770" s="7">
        <v>0.08</v>
      </c>
      <c r="I5770" s="9" t="s">
        <v>22</v>
      </c>
      <c r="J5770" s="10">
        <v>-186.73</v>
      </c>
      <c r="K5770" s="11">
        <v>4.9800000000000004</v>
      </c>
      <c r="L5770" s="11">
        <v>7.44</v>
      </c>
      <c r="M5770" s="9" t="s">
        <v>1959</v>
      </c>
      <c r="N5770" s="6" t="s">
        <v>1905</v>
      </c>
      <c r="O5770" s="6" t="s">
        <v>673</v>
      </c>
      <c r="P5770" s="9" t="s">
        <v>33</v>
      </c>
      <c r="Q5770" s="9" t="s">
        <v>26</v>
      </c>
      <c r="R5770" s="9" t="s">
        <v>61</v>
      </c>
      <c r="S5770" s="7" t="s">
        <v>1159</v>
      </c>
      <c r="T5770" s="9" t="s">
        <v>39</v>
      </c>
      <c r="U5770" s="7">
        <v>0.36</v>
      </c>
      <c r="V5770" s="12">
        <f>C5770+1</f>
        <v>40682</v>
      </c>
      <c r="W5770">
        <f>IF(D5770=' Pivot Tables'!$A$4,1,0)</f>
        <v>0</v>
      </c>
      <c r="X5770">
        <f>IF(AND(LEFT(D5770,4)+1=LEFT(' Pivot Tables'!$A$4,4)+0,RIGHT(LEFT(D5770,7),2)=RIGHT(LEFT(' Pivot Tables'!$A$4,7),2)),1,0)</f>
        <v>0</v>
      </c>
      <c r="Y5770" s="6">
        <f>1/COUNTIF(Таблица1[Order ID],Таблица1[[#This Row],[Order ID]])</f>
        <v>0.33333333333333331</v>
      </c>
      <c r="Z5770" s="9">
        <f>1/COUNTIFS(Таблица1[Customer Name],Таблица1[[#This Row],[Customer Name]],Таблица1[Order-Year-Month],Таблица1[[#This Row],[Order-Year-Month]])</f>
        <v>0.2</v>
      </c>
    </row>
    <row r="5771" spans="1:26" x14ac:dyDescent="0.2">
      <c r="A5771" s="6">
        <v>202</v>
      </c>
      <c r="B5771" s="7">
        <v>1317</v>
      </c>
      <c r="C5771" s="8">
        <f>DATE(2012,12,31)-593</f>
        <v>40681</v>
      </c>
      <c r="D5771" s="8" t="str">
        <f t="shared" si="107"/>
        <v>2011-05 (май 2011)</v>
      </c>
      <c r="E5771" s="9" t="s">
        <v>30</v>
      </c>
      <c r="F5771" s="7">
        <v>29</v>
      </c>
      <c r="G5771" s="7">
        <v>156.69999999999999</v>
      </c>
      <c r="H5771" s="7">
        <v>0.06</v>
      </c>
      <c r="I5771" s="9" t="s">
        <v>22</v>
      </c>
      <c r="J5771" s="10">
        <v>-76.64</v>
      </c>
      <c r="K5771" s="11">
        <v>5.28</v>
      </c>
      <c r="L5771" s="11">
        <v>5.57</v>
      </c>
      <c r="M5771" s="9" t="s">
        <v>1959</v>
      </c>
      <c r="N5771" s="6" t="s">
        <v>1905</v>
      </c>
      <c r="O5771" s="6" t="s">
        <v>673</v>
      </c>
      <c r="P5771" s="9" t="s">
        <v>33</v>
      </c>
      <c r="Q5771" s="9" t="s">
        <v>26</v>
      </c>
      <c r="R5771" s="9" t="s">
        <v>61</v>
      </c>
      <c r="S5771" s="7" t="s">
        <v>1650</v>
      </c>
      <c r="T5771" s="9" t="s">
        <v>39</v>
      </c>
      <c r="U5771" s="7">
        <v>0.4</v>
      </c>
      <c r="V5771" s="12">
        <f>C5771+2</f>
        <v>40683</v>
      </c>
      <c r="W5771">
        <f>IF(D5771=' Pivot Tables'!$A$4,1,0)</f>
        <v>0</v>
      </c>
      <c r="X5771">
        <f>IF(AND(LEFT(D5771,4)+1=LEFT(' Pivot Tables'!$A$4,4)+0,RIGHT(LEFT(D5771,7),2)=RIGHT(LEFT(' Pivot Tables'!$A$4,7),2)),1,0)</f>
        <v>0</v>
      </c>
      <c r="Y5771" s="6">
        <f>1/COUNTIF(Таблица1[Order ID],Таблица1[[#This Row],[Order ID]])</f>
        <v>0.33333333333333331</v>
      </c>
      <c r="Z5771" s="9">
        <f>1/COUNTIFS(Таблица1[Customer Name],Таблица1[[#This Row],[Customer Name]],Таблица1[Order-Year-Month],Таблица1[[#This Row],[Order-Year-Month]])</f>
        <v>0.2</v>
      </c>
    </row>
    <row r="5772" spans="1:26" x14ac:dyDescent="0.2">
      <c r="A5772" s="6">
        <v>239</v>
      </c>
      <c r="B5772" s="7">
        <v>1604</v>
      </c>
      <c r="C5772" s="8">
        <f>DATE(2012,12,31)-899</f>
        <v>40375</v>
      </c>
      <c r="D5772" s="8" t="str">
        <f t="shared" si="107"/>
        <v>2010-07 (июль 2010)</v>
      </c>
      <c r="E5772" s="9" t="s">
        <v>21</v>
      </c>
      <c r="F5772" s="7">
        <v>47</v>
      </c>
      <c r="G5772" s="7">
        <v>622.82000000000005</v>
      </c>
      <c r="H5772" s="7">
        <v>0</v>
      </c>
      <c r="I5772" s="9" t="s">
        <v>22</v>
      </c>
      <c r="J5772" s="10">
        <v>128.88</v>
      </c>
      <c r="K5772" s="11">
        <v>12.64</v>
      </c>
      <c r="L5772" s="11">
        <v>4.9800000000000004</v>
      </c>
      <c r="M5772" s="9" t="s">
        <v>1196</v>
      </c>
      <c r="N5772" s="6" t="s">
        <v>1905</v>
      </c>
      <c r="O5772" s="6" t="s">
        <v>673</v>
      </c>
      <c r="P5772" s="9" t="s">
        <v>33</v>
      </c>
      <c r="Q5772" s="9" t="s">
        <v>49</v>
      </c>
      <c r="R5772" s="9" t="s">
        <v>50</v>
      </c>
      <c r="S5772" s="7" t="s">
        <v>997</v>
      </c>
      <c r="T5772" s="9" t="s">
        <v>52</v>
      </c>
      <c r="U5772" s="7">
        <v>0.48</v>
      </c>
      <c r="V5772" s="12">
        <f>C5772+0</f>
        <v>40375</v>
      </c>
      <c r="W5772">
        <f>IF(D5772=' Pivot Tables'!$A$4,1,0)</f>
        <v>0</v>
      </c>
      <c r="X5772">
        <f>IF(AND(LEFT(D5772,4)+1=LEFT(' Pivot Tables'!$A$4,4)+0,RIGHT(LEFT(D5772,7),2)=RIGHT(LEFT(' Pivot Tables'!$A$4,7),2)),1,0)</f>
        <v>0</v>
      </c>
      <c r="Y5772" s="6">
        <f>1/COUNTIF(Таблица1[Order ID],Таблица1[[#This Row],[Order ID]])</f>
        <v>1</v>
      </c>
      <c r="Z5772" s="9">
        <f>1/COUNTIFS(Таблица1[Customer Name],Таблица1[[#This Row],[Customer Name]],Таблица1[Order-Year-Month],Таблица1[[#This Row],[Order-Year-Month]])</f>
        <v>1</v>
      </c>
    </row>
    <row r="5773" spans="1:26" x14ac:dyDescent="0.2">
      <c r="A5773" s="6">
        <v>306</v>
      </c>
      <c r="B5773" s="7">
        <v>2144</v>
      </c>
      <c r="C5773" s="8">
        <f>DATE(2012,12,31)-1374</f>
        <v>39900</v>
      </c>
      <c r="D5773" s="8" t="str">
        <f t="shared" si="107"/>
        <v>2009-03 (март 2009)</v>
      </c>
      <c r="E5773" s="9" t="s">
        <v>63</v>
      </c>
      <c r="F5773" s="7">
        <v>40</v>
      </c>
      <c r="G5773" s="7">
        <v>5945.3675000000003</v>
      </c>
      <c r="H5773" s="7">
        <v>0.08</v>
      </c>
      <c r="I5773" s="9" t="s">
        <v>22</v>
      </c>
      <c r="J5773" s="10">
        <v>1585.4760000000001</v>
      </c>
      <c r="K5773" s="11">
        <v>175.99</v>
      </c>
      <c r="L5773" s="11">
        <v>4.99</v>
      </c>
      <c r="M5773" s="9" t="s">
        <v>1957</v>
      </c>
      <c r="N5773" s="6" t="s">
        <v>1905</v>
      </c>
      <c r="O5773" s="6" t="s">
        <v>673</v>
      </c>
      <c r="P5773" s="9" t="s">
        <v>41</v>
      </c>
      <c r="Q5773" s="9" t="s">
        <v>42</v>
      </c>
      <c r="R5773" s="9" t="s">
        <v>43</v>
      </c>
      <c r="S5773" s="7" t="s">
        <v>771</v>
      </c>
      <c r="T5773" s="9" t="s">
        <v>39</v>
      </c>
      <c r="U5773" s="7">
        <v>0.59</v>
      </c>
      <c r="V5773" s="12">
        <f>C5773+0</f>
        <v>39900</v>
      </c>
      <c r="W5773">
        <f>IF(D5773=' Pivot Tables'!$A$4,1,0)</f>
        <v>0</v>
      </c>
      <c r="X5773">
        <f>IF(AND(LEFT(D5773,4)+1=LEFT(' Pivot Tables'!$A$4,4)+0,RIGHT(LEFT(D5773,7),2)=RIGHT(LEFT(' Pivot Tables'!$A$4,7),2)),1,0)</f>
        <v>0</v>
      </c>
      <c r="Y5773" s="6">
        <f>1/COUNTIF(Таблица1[Order ID],Таблица1[[#This Row],[Order ID]])</f>
        <v>1</v>
      </c>
      <c r="Z5773" s="9">
        <f>1/COUNTIFS(Таблица1[Customer Name],Таблица1[[#This Row],[Customer Name]],Таблица1[Order-Year-Month],Таблица1[[#This Row],[Order-Year-Month]])</f>
        <v>1</v>
      </c>
    </row>
    <row r="5774" spans="1:26" x14ac:dyDescent="0.2">
      <c r="A5774" s="6">
        <v>407</v>
      </c>
      <c r="B5774" s="7">
        <v>2757</v>
      </c>
      <c r="C5774" s="8">
        <f>DATE(2012,12,31)-531</f>
        <v>40743</v>
      </c>
      <c r="D5774" s="8" t="str">
        <f t="shared" si="107"/>
        <v>2011-07 (июль 2011)</v>
      </c>
      <c r="E5774" s="9" t="s">
        <v>30</v>
      </c>
      <c r="F5774" s="7">
        <v>42</v>
      </c>
      <c r="G5774" s="7">
        <v>569.32000000000005</v>
      </c>
      <c r="H5774" s="7">
        <v>0.05</v>
      </c>
      <c r="I5774" s="9" t="s">
        <v>56</v>
      </c>
      <c r="J5774" s="10">
        <v>84.38</v>
      </c>
      <c r="K5774" s="11">
        <v>12.98</v>
      </c>
      <c r="L5774" s="11">
        <v>3.14</v>
      </c>
      <c r="M5774" s="9" t="s">
        <v>1131</v>
      </c>
      <c r="N5774" s="6" t="s">
        <v>1905</v>
      </c>
      <c r="O5774" s="6" t="s">
        <v>673</v>
      </c>
      <c r="P5774" s="9" t="s">
        <v>41</v>
      </c>
      <c r="Q5774" s="9" t="s">
        <v>26</v>
      </c>
      <c r="R5774" s="9" t="s">
        <v>150</v>
      </c>
      <c r="S5774" s="7" t="s">
        <v>356</v>
      </c>
      <c r="T5774" s="9" t="s">
        <v>52</v>
      </c>
      <c r="U5774" s="7">
        <v>0.6</v>
      </c>
      <c r="V5774" s="12">
        <f>C5774+1</f>
        <v>40744</v>
      </c>
      <c r="W5774">
        <f>IF(D5774=' Pivot Tables'!$A$4,1,0)</f>
        <v>0</v>
      </c>
      <c r="X5774">
        <f>IF(AND(LEFT(D5774,4)+1=LEFT(' Pivot Tables'!$A$4,4)+0,RIGHT(LEFT(D5774,7),2)=RIGHT(LEFT(' Pivot Tables'!$A$4,7),2)),1,0)</f>
        <v>0</v>
      </c>
      <c r="Y5774" s="6">
        <f>1/COUNTIF(Таблица1[Order ID],Таблица1[[#This Row],[Order ID]])</f>
        <v>0.5</v>
      </c>
      <c r="Z5774" s="9">
        <f>1/COUNTIFS(Таблица1[Customer Name],Таблица1[[#This Row],[Customer Name]],Таблица1[Order-Year-Month],Таблица1[[#This Row],[Order-Year-Month]])</f>
        <v>0.5</v>
      </c>
    </row>
    <row r="5775" spans="1:26" x14ac:dyDescent="0.2">
      <c r="A5775" s="6">
        <v>445</v>
      </c>
      <c r="B5775" s="7">
        <v>3012</v>
      </c>
      <c r="C5775" s="8">
        <f>DATE(2012,12,31)-972</f>
        <v>40302</v>
      </c>
      <c r="D5775" s="8" t="str">
        <f t="shared" si="107"/>
        <v>2010-05 (май 2010)</v>
      </c>
      <c r="E5775" s="9" t="s">
        <v>78</v>
      </c>
      <c r="F5775" s="7">
        <v>41</v>
      </c>
      <c r="G5775" s="7">
        <v>120.03</v>
      </c>
      <c r="H5775" s="7">
        <v>0</v>
      </c>
      <c r="I5775" s="9" t="s">
        <v>22</v>
      </c>
      <c r="J5775" s="10">
        <v>10.4975</v>
      </c>
      <c r="K5775" s="11">
        <v>2.78</v>
      </c>
      <c r="L5775" s="11">
        <v>1.49</v>
      </c>
      <c r="M5775" s="9" t="s">
        <v>1960</v>
      </c>
      <c r="N5775" s="6" t="s">
        <v>1905</v>
      </c>
      <c r="O5775" s="6" t="s">
        <v>673</v>
      </c>
      <c r="P5775" s="9" t="s">
        <v>41</v>
      </c>
      <c r="Q5775" s="9" t="s">
        <v>26</v>
      </c>
      <c r="R5775" s="9" t="s">
        <v>37</v>
      </c>
      <c r="S5775" s="7" t="s">
        <v>1938</v>
      </c>
      <c r="T5775" s="9" t="s">
        <v>39</v>
      </c>
      <c r="U5775" s="7">
        <v>0.36</v>
      </c>
      <c r="V5775" s="12">
        <f>C5775+2</f>
        <v>40304</v>
      </c>
      <c r="W5775">
        <f>IF(D5775=' Pivot Tables'!$A$4,1,0)</f>
        <v>0</v>
      </c>
      <c r="X5775">
        <f>IF(AND(LEFT(D5775,4)+1=LEFT(' Pivot Tables'!$A$4,4)+0,RIGHT(LEFT(D5775,7),2)=RIGHT(LEFT(' Pivot Tables'!$A$4,7),2)),1,0)</f>
        <v>0</v>
      </c>
      <c r="Y5775" s="6">
        <f>1/COUNTIF(Таблица1[Order ID],Таблица1[[#This Row],[Order ID]])</f>
        <v>1</v>
      </c>
      <c r="Z5775" s="9">
        <f>1/COUNTIFS(Таблица1[Customer Name],Таблица1[[#This Row],[Customer Name]],Таблица1[Order-Year-Month],Таблица1[[#This Row],[Order-Year-Month]])</f>
        <v>1</v>
      </c>
    </row>
    <row r="5776" spans="1:26" x14ac:dyDescent="0.2">
      <c r="A5776" s="6">
        <v>465</v>
      </c>
      <c r="B5776" s="7">
        <v>3169</v>
      </c>
      <c r="C5776" s="8">
        <f>DATE(2012,12,31)-742</f>
        <v>40532</v>
      </c>
      <c r="D5776" s="8" t="str">
        <f t="shared" si="107"/>
        <v>2010-12 (декабрь 2010)</v>
      </c>
      <c r="E5776" s="9" t="s">
        <v>63</v>
      </c>
      <c r="F5776" s="7">
        <v>7</v>
      </c>
      <c r="G5776" s="7">
        <v>35.58</v>
      </c>
      <c r="H5776" s="7">
        <v>0.04</v>
      </c>
      <c r="I5776" s="9" t="s">
        <v>22</v>
      </c>
      <c r="J5776" s="10">
        <v>-19.95</v>
      </c>
      <c r="K5776" s="11">
        <v>4.42</v>
      </c>
      <c r="L5776" s="11">
        <v>4.99</v>
      </c>
      <c r="M5776" s="9" t="s">
        <v>1961</v>
      </c>
      <c r="N5776" s="6" t="s">
        <v>1905</v>
      </c>
      <c r="O5776" s="6" t="s">
        <v>673</v>
      </c>
      <c r="P5776" s="9" t="s">
        <v>41</v>
      </c>
      <c r="Q5776" s="9" t="s">
        <v>26</v>
      </c>
      <c r="R5776" s="9" t="s">
        <v>76</v>
      </c>
      <c r="S5776" s="7" t="s">
        <v>1665</v>
      </c>
      <c r="T5776" s="9" t="s">
        <v>39</v>
      </c>
      <c r="U5776" s="7">
        <v>0.38</v>
      </c>
      <c r="V5776" s="12">
        <f>C5776+1</f>
        <v>40533</v>
      </c>
      <c r="W5776">
        <f>IF(D5776=' Pivot Tables'!$A$4,1,0)</f>
        <v>0</v>
      </c>
      <c r="X5776">
        <f>IF(AND(LEFT(D5776,4)+1=LEFT(' Pivot Tables'!$A$4,4)+0,RIGHT(LEFT(D5776,7),2)=RIGHT(LEFT(' Pivot Tables'!$A$4,7),2)),1,0)</f>
        <v>0</v>
      </c>
      <c r="Y5776" s="6">
        <f>1/COUNTIF(Таблица1[Order ID],Таблица1[[#This Row],[Order ID]])</f>
        <v>1</v>
      </c>
      <c r="Z5776" s="9">
        <f>1/COUNTIFS(Таблица1[Customer Name],Таблица1[[#This Row],[Customer Name]],Таблица1[Order-Year-Month],Таблица1[[#This Row],[Order-Year-Month]])</f>
        <v>1</v>
      </c>
    </row>
    <row r="5777" spans="1:26" x14ac:dyDescent="0.2">
      <c r="A5777" s="6">
        <v>479</v>
      </c>
      <c r="B5777" s="7">
        <v>3331</v>
      </c>
      <c r="C5777" s="8">
        <f>DATE(2012,12,31)-956</f>
        <v>40318</v>
      </c>
      <c r="D5777" s="8" t="str">
        <f t="shared" si="107"/>
        <v>2010-05 (май 2010)</v>
      </c>
      <c r="E5777" s="9" t="s">
        <v>30</v>
      </c>
      <c r="F5777" s="7">
        <v>31</v>
      </c>
      <c r="G5777" s="7">
        <v>153.28</v>
      </c>
      <c r="H5777" s="7">
        <v>0.05</v>
      </c>
      <c r="I5777" s="9" t="s">
        <v>22</v>
      </c>
      <c r="J5777" s="10">
        <v>73.16</v>
      </c>
      <c r="K5777" s="11">
        <v>4.91</v>
      </c>
      <c r="L5777" s="11">
        <v>0.5</v>
      </c>
      <c r="M5777" s="9" t="s">
        <v>949</v>
      </c>
      <c r="N5777" s="6" t="s">
        <v>1905</v>
      </c>
      <c r="O5777" s="6" t="s">
        <v>673</v>
      </c>
      <c r="P5777" s="9" t="s">
        <v>41</v>
      </c>
      <c r="Q5777" s="9" t="s">
        <v>26</v>
      </c>
      <c r="R5777" s="9" t="s">
        <v>88</v>
      </c>
      <c r="S5777" s="7" t="s">
        <v>1370</v>
      </c>
      <c r="T5777" s="9" t="s">
        <v>39</v>
      </c>
      <c r="U5777" s="7">
        <v>0.36</v>
      </c>
      <c r="V5777" s="12">
        <f>C5777+1</f>
        <v>40319</v>
      </c>
      <c r="W5777">
        <f>IF(D5777=' Pivot Tables'!$A$4,1,0)</f>
        <v>0</v>
      </c>
      <c r="X5777">
        <f>IF(AND(LEFT(D5777,4)+1=LEFT(' Pivot Tables'!$A$4,4)+0,RIGHT(LEFT(D5777,7),2)=RIGHT(LEFT(' Pivot Tables'!$A$4,7),2)),1,0)</f>
        <v>0</v>
      </c>
      <c r="Y5777" s="6">
        <f>1/COUNTIF(Таблица1[Order ID],Таблица1[[#This Row],[Order ID]])</f>
        <v>1</v>
      </c>
      <c r="Z5777" s="9">
        <f>1/COUNTIFS(Таблица1[Customer Name],Таблица1[[#This Row],[Customer Name]],Таблица1[Order-Year-Month],Таблица1[[#This Row],[Order-Year-Month]])</f>
        <v>0.5</v>
      </c>
    </row>
    <row r="5778" spans="1:26" x14ac:dyDescent="0.2">
      <c r="A5778" s="6">
        <v>538</v>
      </c>
      <c r="B5778" s="7">
        <v>3650</v>
      </c>
      <c r="C5778" s="8">
        <f>DATE(2012,12,31)-218</f>
        <v>41056</v>
      </c>
      <c r="D5778" s="8" t="str">
        <f t="shared" si="107"/>
        <v>2012-05 (май 2012)</v>
      </c>
      <c r="E5778" s="9" t="s">
        <v>45</v>
      </c>
      <c r="F5778" s="7">
        <v>36</v>
      </c>
      <c r="G5778" s="7">
        <v>139.94999999999999</v>
      </c>
      <c r="H5778" s="7">
        <v>0.04</v>
      </c>
      <c r="I5778" s="9" t="s">
        <v>56</v>
      </c>
      <c r="J5778" s="10">
        <v>-128.59299999999999</v>
      </c>
      <c r="K5778" s="11">
        <v>3.58</v>
      </c>
      <c r="L5778" s="11">
        <v>5.47</v>
      </c>
      <c r="M5778" s="9" t="s">
        <v>1837</v>
      </c>
      <c r="N5778" s="6" t="s">
        <v>1905</v>
      </c>
      <c r="O5778" s="6" t="s">
        <v>673</v>
      </c>
      <c r="P5778" s="9" t="s">
        <v>60</v>
      </c>
      <c r="Q5778" s="9" t="s">
        <v>26</v>
      </c>
      <c r="R5778" s="9" t="s">
        <v>37</v>
      </c>
      <c r="S5778" s="7" t="s">
        <v>462</v>
      </c>
      <c r="T5778" s="9" t="s">
        <v>39</v>
      </c>
      <c r="U5778" s="7">
        <v>0.37</v>
      </c>
      <c r="V5778" s="12">
        <f>C5778+2</f>
        <v>41058</v>
      </c>
      <c r="W5778">
        <f>IF(D5778=' Pivot Tables'!$A$4,1,0)</f>
        <v>0</v>
      </c>
      <c r="X5778">
        <f>IF(AND(LEFT(D5778,4)+1=LEFT(' Pivot Tables'!$A$4,4)+0,RIGHT(LEFT(D5778,7),2)=RIGHT(LEFT(' Pivot Tables'!$A$4,7),2)),1,0)</f>
        <v>0</v>
      </c>
      <c r="Y5778" s="6">
        <f>1/COUNTIF(Таблица1[Order ID],Таблица1[[#This Row],[Order ID]])</f>
        <v>0.5</v>
      </c>
      <c r="Z5778" s="9">
        <f>1/COUNTIFS(Таблица1[Customer Name],Таблица1[[#This Row],[Customer Name]],Таблица1[Order-Year-Month],Таблица1[[#This Row],[Order-Year-Month]])</f>
        <v>0.5</v>
      </c>
    </row>
    <row r="5779" spans="1:26" x14ac:dyDescent="0.2">
      <c r="A5779" s="6">
        <v>539</v>
      </c>
      <c r="B5779" s="7">
        <v>3650</v>
      </c>
      <c r="C5779" s="8">
        <f>DATE(2012,12,31)-218</f>
        <v>41056</v>
      </c>
      <c r="D5779" s="8" t="str">
        <f t="shared" si="107"/>
        <v>2012-05 (май 2012)</v>
      </c>
      <c r="E5779" s="9" t="s">
        <v>45</v>
      </c>
      <c r="F5779" s="7">
        <v>24</v>
      </c>
      <c r="G5779" s="7">
        <v>5207.5</v>
      </c>
      <c r="H5779" s="7">
        <v>0.03</v>
      </c>
      <c r="I5779" s="9" t="s">
        <v>31</v>
      </c>
      <c r="J5779" s="10">
        <v>166.44</v>
      </c>
      <c r="K5779" s="11">
        <v>216.6</v>
      </c>
      <c r="L5779" s="11">
        <v>64.2</v>
      </c>
      <c r="M5779" s="9" t="s">
        <v>1837</v>
      </c>
      <c r="N5779" s="6" t="s">
        <v>1905</v>
      </c>
      <c r="O5779" s="6" t="s">
        <v>673</v>
      </c>
      <c r="P5779" s="9" t="s">
        <v>60</v>
      </c>
      <c r="Q5779" s="9" t="s">
        <v>49</v>
      </c>
      <c r="R5779" s="9" t="s">
        <v>112</v>
      </c>
      <c r="S5779" s="7" t="s">
        <v>313</v>
      </c>
      <c r="T5779" s="9" t="s">
        <v>36</v>
      </c>
      <c r="U5779" s="7">
        <v>0.59</v>
      </c>
      <c r="V5779" s="12">
        <f>C5779+2</f>
        <v>41058</v>
      </c>
      <c r="W5779">
        <f>IF(D5779=' Pivot Tables'!$A$4,1,0)</f>
        <v>0</v>
      </c>
      <c r="X5779">
        <f>IF(AND(LEFT(D5779,4)+1=LEFT(' Pivot Tables'!$A$4,4)+0,RIGHT(LEFT(D5779,7),2)=RIGHT(LEFT(' Pivot Tables'!$A$4,7),2)),1,0)</f>
        <v>0</v>
      </c>
      <c r="Y5779" s="6">
        <f>1/COUNTIF(Таблица1[Order ID],Таблица1[[#This Row],[Order ID]])</f>
        <v>0.5</v>
      </c>
      <c r="Z5779" s="9">
        <f>1/COUNTIFS(Таблица1[Customer Name],Таблица1[[#This Row],[Customer Name]],Таблица1[Order-Year-Month],Таблица1[[#This Row],[Order-Year-Month]])</f>
        <v>0.5</v>
      </c>
    </row>
    <row r="5780" spans="1:26" x14ac:dyDescent="0.2">
      <c r="A5780" s="6">
        <v>560</v>
      </c>
      <c r="B5780" s="7">
        <v>3783</v>
      </c>
      <c r="C5780" s="8">
        <f>DATE(2012,12,31)-757</f>
        <v>40517</v>
      </c>
      <c r="D5780" s="8" t="str">
        <f t="shared" si="107"/>
        <v>2010-12 (декабрь 2010)</v>
      </c>
      <c r="E5780" s="9" t="s">
        <v>45</v>
      </c>
      <c r="F5780" s="7">
        <v>11</v>
      </c>
      <c r="G5780" s="7">
        <v>92.14</v>
      </c>
      <c r="H5780" s="7">
        <v>0.01</v>
      </c>
      <c r="I5780" s="9" t="s">
        <v>22</v>
      </c>
      <c r="J5780" s="10">
        <v>-40.25</v>
      </c>
      <c r="K5780" s="11">
        <v>8.1199999999999992</v>
      </c>
      <c r="L5780" s="11">
        <v>2.83</v>
      </c>
      <c r="M5780" s="9" t="s">
        <v>1957</v>
      </c>
      <c r="N5780" s="6" t="s">
        <v>1905</v>
      </c>
      <c r="O5780" s="6" t="s">
        <v>673</v>
      </c>
      <c r="P5780" s="9" t="s">
        <v>41</v>
      </c>
      <c r="Q5780" s="9" t="s">
        <v>42</v>
      </c>
      <c r="R5780" s="9" t="s">
        <v>70</v>
      </c>
      <c r="S5780" s="7" t="s">
        <v>630</v>
      </c>
      <c r="T5780" s="9" t="s">
        <v>52</v>
      </c>
      <c r="U5780" s="7">
        <v>0.77</v>
      </c>
      <c r="V5780" s="12">
        <f>C5780+0</f>
        <v>40517</v>
      </c>
      <c r="W5780">
        <f>IF(D5780=' Pivot Tables'!$A$4,1,0)</f>
        <v>0</v>
      </c>
      <c r="X5780">
        <f>IF(AND(LEFT(D5780,4)+1=LEFT(' Pivot Tables'!$A$4,4)+0,RIGHT(LEFT(D5780,7),2)=RIGHT(LEFT(' Pivot Tables'!$A$4,7),2)),1,0)</f>
        <v>0</v>
      </c>
      <c r="Y5780" s="6">
        <f>1/COUNTIF(Таблица1[Order ID],Таблица1[[#This Row],[Order ID]])</f>
        <v>0.5</v>
      </c>
      <c r="Z5780" s="9">
        <f>1/COUNTIFS(Таблица1[Customer Name],Таблица1[[#This Row],[Customer Name]],Таблица1[Order-Year-Month],Таблица1[[#This Row],[Order-Year-Month]])</f>
        <v>0.5</v>
      </c>
    </row>
    <row r="5781" spans="1:26" x14ac:dyDescent="0.2">
      <c r="A5781" s="6">
        <v>561</v>
      </c>
      <c r="B5781" s="7">
        <v>3783</v>
      </c>
      <c r="C5781" s="8">
        <f>DATE(2012,12,31)-757</f>
        <v>40517</v>
      </c>
      <c r="D5781" s="8" t="str">
        <f t="shared" si="107"/>
        <v>2010-12 (декабрь 2010)</v>
      </c>
      <c r="E5781" s="9" t="s">
        <v>45</v>
      </c>
      <c r="F5781" s="7">
        <v>40</v>
      </c>
      <c r="G5781" s="7">
        <v>257.43</v>
      </c>
      <c r="H5781" s="7">
        <v>0.05</v>
      </c>
      <c r="I5781" s="9" t="s">
        <v>22</v>
      </c>
      <c r="J5781" s="10">
        <v>-200.63</v>
      </c>
      <c r="K5781" s="11">
        <v>6.48</v>
      </c>
      <c r="L5781" s="11">
        <v>8.73</v>
      </c>
      <c r="M5781" s="9" t="s">
        <v>1957</v>
      </c>
      <c r="N5781" s="6" t="s">
        <v>1905</v>
      </c>
      <c r="O5781" s="6" t="s">
        <v>673</v>
      </c>
      <c r="P5781" s="9" t="s">
        <v>41</v>
      </c>
      <c r="Q5781" s="9" t="s">
        <v>26</v>
      </c>
      <c r="R5781" s="9" t="s">
        <v>61</v>
      </c>
      <c r="S5781" s="7" t="s">
        <v>828</v>
      </c>
      <c r="T5781" s="9" t="s">
        <v>39</v>
      </c>
      <c r="U5781" s="7">
        <v>0.37</v>
      </c>
      <c r="V5781" s="12">
        <f>C5781+2</f>
        <v>40519</v>
      </c>
      <c r="W5781">
        <f>IF(D5781=' Pivot Tables'!$A$4,1,0)</f>
        <v>0</v>
      </c>
      <c r="X5781">
        <f>IF(AND(LEFT(D5781,4)+1=LEFT(' Pivot Tables'!$A$4,4)+0,RIGHT(LEFT(D5781,7),2)=RIGHT(LEFT(' Pivot Tables'!$A$4,7),2)),1,0)</f>
        <v>0</v>
      </c>
      <c r="Y5781" s="6">
        <f>1/COUNTIF(Таблица1[Order ID],Таблица1[[#This Row],[Order ID]])</f>
        <v>0.5</v>
      </c>
      <c r="Z5781" s="9">
        <f>1/COUNTIFS(Таблица1[Customer Name],Таблица1[[#This Row],[Customer Name]],Таблица1[Order-Year-Month],Таблица1[[#This Row],[Order-Year-Month]])</f>
        <v>0.5</v>
      </c>
    </row>
    <row r="5782" spans="1:26" x14ac:dyDescent="0.2">
      <c r="A5782" s="6">
        <v>652</v>
      </c>
      <c r="B5782" s="7">
        <v>4583</v>
      </c>
      <c r="C5782" s="8">
        <f>DATE(2012,12,31)-1194</f>
        <v>40080</v>
      </c>
      <c r="D5782" s="8" t="str">
        <f t="shared" si="107"/>
        <v>2009-09 (сентябрь 2009)</v>
      </c>
      <c r="E5782" s="9" t="s">
        <v>63</v>
      </c>
      <c r="F5782" s="7">
        <v>44</v>
      </c>
      <c r="G5782" s="7">
        <v>3021.64</v>
      </c>
      <c r="H5782" s="7">
        <v>7.0000000000000007E-2</v>
      </c>
      <c r="I5782" s="9" t="s">
        <v>31</v>
      </c>
      <c r="J5782" s="10">
        <v>-720.2</v>
      </c>
      <c r="K5782" s="11">
        <v>70.98</v>
      </c>
      <c r="L5782" s="11">
        <v>30</v>
      </c>
      <c r="M5782" s="9" t="s">
        <v>1960</v>
      </c>
      <c r="N5782" s="6" t="s">
        <v>1905</v>
      </c>
      <c r="O5782" s="6" t="s">
        <v>673</v>
      </c>
      <c r="P5782" s="9" t="s">
        <v>41</v>
      </c>
      <c r="Q5782" s="9" t="s">
        <v>49</v>
      </c>
      <c r="R5782" s="9" t="s">
        <v>112</v>
      </c>
      <c r="S5782" s="7" t="s">
        <v>850</v>
      </c>
      <c r="T5782" s="9" t="s">
        <v>36</v>
      </c>
      <c r="U5782" s="7">
        <v>0.73</v>
      </c>
      <c r="V5782" s="12">
        <f>C5782+2</f>
        <v>40082</v>
      </c>
      <c r="W5782">
        <f>IF(D5782=' Pivot Tables'!$A$4,1,0)</f>
        <v>0</v>
      </c>
      <c r="X5782">
        <f>IF(AND(LEFT(D5782,4)+1=LEFT(' Pivot Tables'!$A$4,4)+0,RIGHT(LEFT(D5782,7),2)=RIGHT(LEFT(' Pivot Tables'!$A$4,7),2)),1,0)</f>
        <v>0</v>
      </c>
      <c r="Y5782" s="6">
        <f>1/COUNTIF(Таблица1[Order ID],Таблица1[[#This Row],[Order ID]])</f>
        <v>1</v>
      </c>
      <c r="Z5782" s="9">
        <f>1/COUNTIFS(Таблица1[Customer Name],Таблица1[[#This Row],[Customer Name]],Таблица1[Order-Year-Month],Таблица1[[#This Row],[Order-Year-Month]])</f>
        <v>1</v>
      </c>
    </row>
    <row r="5783" spans="1:26" x14ac:dyDescent="0.2">
      <c r="A5783" s="6">
        <v>668</v>
      </c>
      <c r="B5783" s="7">
        <v>4675</v>
      </c>
      <c r="C5783" s="8">
        <f>DATE(2012,12,31)-768</f>
        <v>40506</v>
      </c>
      <c r="D5783" s="8" t="str">
        <f t="shared" si="107"/>
        <v>2010-11 (ноябрь 2010)</v>
      </c>
      <c r="E5783" s="9" t="s">
        <v>45</v>
      </c>
      <c r="F5783" s="7">
        <v>4</v>
      </c>
      <c r="G5783" s="7">
        <v>17.89</v>
      </c>
      <c r="H5783" s="7">
        <v>0</v>
      </c>
      <c r="I5783" s="9" t="s">
        <v>22</v>
      </c>
      <c r="J5783" s="10">
        <v>-1.1499999999999999</v>
      </c>
      <c r="K5783" s="11">
        <v>3.98</v>
      </c>
      <c r="L5783" s="11">
        <v>0.7</v>
      </c>
      <c r="M5783" s="9" t="s">
        <v>1196</v>
      </c>
      <c r="N5783" s="6" t="s">
        <v>1905</v>
      </c>
      <c r="O5783" s="6" t="s">
        <v>673</v>
      </c>
      <c r="P5783" s="9" t="s">
        <v>33</v>
      </c>
      <c r="Q5783" s="9" t="s">
        <v>26</v>
      </c>
      <c r="R5783" s="9" t="s">
        <v>95</v>
      </c>
      <c r="S5783" s="7" t="s">
        <v>1565</v>
      </c>
      <c r="T5783" s="9" t="s">
        <v>68</v>
      </c>
      <c r="U5783" s="7">
        <v>0.52</v>
      </c>
      <c r="V5783" s="12">
        <f>C5783+2</f>
        <v>40508</v>
      </c>
      <c r="W5783">
        <f>IF(D5783=' Pivot Tables'!$A$4,1,0)</f>
        <v>0</v>
      </c>
      <c r="X5783">
        <f>IF(AND(LEFT(D5783,4)+1=LEFT(' Pivot Tables'!$A$4,4)+0,RIGHT(LEFT(D5783,7),2)=RIGHT(LEFT(' Pivot Tables'!$A$4,7),2)),1,0)</f>
        <v>0</v>
      </c>
      <c r="Y5783" s="6">
        <f>1/COUNTIF(Таблица1[Order ID],Таблица1[[#This Row],[Order ID]])</f>
        <v>1</v>
      </c>
      <c r="Z5783" s="9">
        <f>1/COUNTIFS(Таблица1[Customer Name],Таблица1[[#This Row],[Customer Name]],Таблица1[Order-Year-Month],Таблица1[[#This Row],[Order-Year-Month]])</f>
        <v>0.33333333333333331</v>
      </c>
    </row>
    <row r="5784" spans="1:26" x14ac:dyDescent="0.2">
      <c r="A5784" s="6">
        <v>684</v>
      </c>
      <c r="B5784" s="7">
        <v>4772</v>
      </c>
      <c r="C5784" s="8">
        <f>DATE(2012,12,31)-1205</f>
        <v>40069</v>
      </c>
      <c r="D5784" s="8" t="str">
        <f t="shared" si="107"/>
        <v>2009-09 (сентябрь 2009)</v>
      </c>
      <c r="E5784" s="9" t="s">
        <v>78</v>
      </c>
      <c r="F5784" s="7">
        <v>28</v>
      </c>
      <c r="G5784" s="7">
        <v>1560.617</v>
      </c>
      <c r="H5784" s="7">
        <v>0.04</v>
      </c>
      <c r="I5784" s="9" t="s">
        <v>22</v>
      </c>
      <c r="J5784" s="10">
        <v>214.29</v>
      </c>
      <c r="K5784" s="11">
        <v>65.989999999999995</v>
      </c>
      <c r="L5784" s="11">
        <v>8.99</v>
      </c>
      <c r="M5784" s="9" t="s">
        <v>949</v>
      </c>
      <c r="N5784" s="6" t="s">
        <v>1905</v>
      </c>
      <c r="O5784" s="6" t="s">
        <v>673</v>
      </c>
      <c r="P5784" s="9" t="s">
        <v>41</v>
      </c>
      <c r="Q5784" s="9" t="s">
        <v>42</v>
      </c>
      <c r="R5784" s="9" t="s">
        <v>43</v>
      </c>
      <c r="S5784" s="7" t="s">
        <v>1843</v>
      </c>
      <c r="T5784" s="9" t="s">
        <v>39</v>
      </c>
      <c r="U5784" s="7">
        <v>0.55000000000000004</v>
      </c>
      <c r="V5784" s="12">
        <f>C5784+1</f>
        <v>40070</v>
      </c>
      <c r="W5784">
        <f>IF(D5784=' Pivot Tables'!$A$4,1,0)</f>
        <v>0</v>
      </c>
      <c r="X5784">
        <f>IF(AND(LEFT(D5784,4)+1=LEFT(' Pivot Tables'!$A$4,4)+0,RIGHT(LEFT(D5784,7),2)=RIGHT(LEFT(' Pivot Tables'!$A$4,7),2)),1,0)</f>
        <v>0</v>
      </c>
      <c r="Y5784" s="6">
        <f>1/COUNTIF(Таблица1[Order ID],Таблица1[[#This Row],[Order ID]])</f>
        <v>1</v>
      </c>
      <c r="Z5784" s="9">
        <f>1/COUNTIFS(Таблица1[Customer Name],Таблица1[[#This Row],[Customer Name]],Таблица1[Order-Year-Month],Таблица1[[#This Row],[Order-Year-Month]])</f>
        <v>1</v>
      </c>
    </row>
    <row r="5785" spans="1:26" x14ac:dyDescent="0.2">
      <c r="A5785" s="6">
        <v>725</v>
      </c>
      <c r="B5785" s="7">
        <v>5217</v>
      </c>
      <c r="C5785" s="8">
        <f>DATE(2012,12,31)-446</f>
        <v>40828</v>
      </c>
      <c r="D5785" s="8" t="str">
        <f t="shared" si="107"/>
        <v>2011-10 (октябрь 2011)</v>
      </c>
      <c r="E5785" s="9" t="s">
        <v>30</v>
      </c>
      <c r="F5785" s="7">
        <v>8</v>
      </c>
      <c r="G5785" s="7">
        <v>339.35</v>
      </c>
      <c r="H5785" s="7">
        <v>0.03</v>
      </c>
      <c r="I5785" s="9" t="s">
        <v>56</v>
      </c>
      <c r="J5785" s="10">
        <v>27.88</v>
      </c>
      <c r="K5785" s="11">
        <v>40.98</v>
      </c>
      <c r="L5785" s="11">
        <v>5.33</v>
      </c>
      <c r="M5785" s="9" t="s">
        <v>1131</v>
      </c>
      <c r="N5785" s="6" t="s">
        <v>1905</v>
      </c>
      <c r="O5785" s="6" t="s">
        <v>673</v>
      </c>
      <c r="P5785" s="9" t="s">
        <v>60</v>
      </c>
      <c r="Q5785" s="9" t="s">
        <v>26</v>
      </c>
      <c r="R5785" s="9" t="s">
        <v>34</v>
      </c>
      <c r="S5785" s="7" t="s">
        <v>682</v>
      </c>
      <c r="T5785" s="9" t="s">
        <v>39</v>
      </c>
      <c r="U5785" s="7">
        <v>0.56999999999999995</v>
      </c>
      <c r="V5785" s="12">
        <f>C5785+0</f>
        <v>40828</v>
      </c>
      <c r="W5785">
        <f>IF(D5785=' Pivot Tables'!$A$4,1,0)</f>
        <v>0</v>
      </c>
      <c r="X5785">
        <f>IF(AND(LEFT(D5785,4)+1=LEFT(' Pivot Tables'!$A$4,4)+0,RIGHT(LEFT(D5785,7),2)=RIGHT(LEFT(' Pivot Tables'!$A$4,7),2)),1,0)</f>
        <v>0</v>
      </c>
      <c r="Y5785" s="6">
        <f>1/COUNTIF(Таблица1[Order ID],Таблица1[[#This Row],[Order ID]])</f>
        <v>0.5</v>
      </c>
      <c r="Z5785" s="9">
        <f>1/COUNTIFS(Таблица1[Customer Name],Таблица1[[#This Row],[Customer Name]],Таблица1[Order-Year-Month],Таблица1[[#This Row],[Order-Year-Month]])</f>
        <v>0.5</v>
      </c>
    </row>
    <row r="5786" spans="1:26" x14ac:dyDescent="0.2">
      <c r="A5786" s="6">
        <v>726</v>
      </c>
      <c r="B5786" s="7">
        <v>5217</v>
      </c>
      <c r="C5786" s="8">
        <f>DATE(2012,12,31)-446</f>
        <v>40828</v>
      </c>
      <c r="D5786" s="8" t="str">
        <f t="shared" si="107"/>
        <v>2011-10 (октябрь 2011)</v>
      </c>
      <c r="E5786" s="9" t="s">
        <v>30</v>
      </c>
      <c r="F5786" s="7">
        <v>11</v>
      </c>
      <c r="G5786" s="7">
        <v>33.67</v>
      </c>
      <c r="H5786" s="7">
        <v>0.09</v>
      </c>
      <c r="I5786" s="9" t="s">
        <v>22</v>
      </c>
      <c r="J5786" s="10">
        <v>4.08</v>
      </c>
      <c r="K5786" s="11">
        <v>3.08</v>
      </c>
      <c r="L5786" s="11">
        <v>0.99</v>
      </c>
      <c r="M5786" s="9" t="s">
        <v>1131</v>
      </c>
      <c r="N5786" s="6" t="s">
        <v>1905</v>
      </c>
      <c r="O5786" s="6" t="s">
        <v>673</v>
      </c>
      <c r="P5786" s="9" t="s">
        <v>60</v>
      </c>
      <c r="Q5786" s="9" t="s">
        <v>26</v>
      </c>
      <c r="R5786" s="9" t="s">
        <v>88</v>
      </c>
      <c r="S5786" s="7" t="s">
        <v>368</v>
      </c>
      <c r="T5786" s="9" t="s">
        <v>39</v>
      </c>
      <c r="U5786" s="7">
        <v>0.37</v>
      </c>
      <c r="V5786" s="12">
        <f>C5786+2</f>
        <v>40830</v>
      </c>
      <c r="W5786">
        <f>IF(D5786=' Pivot Tables'!$A$4,1,0)</f>
        <v>0</v>
      </c>
      <c r="X5786">
        <f>IF(AND(LEFT(D5786,4)+1=LEFT(' Pivot Tables'!$A$4,4)+0,RIGHT(LEFT(D5786,7),2)=RIGHT(LEFT(' Pivot Tables'!$A$4,7),2)),1,0)</f>
        <v>0</v>
      </c>
      <c r="Y5786" s="6">
        <f>1/COUNTIF(Таблица1[Order ID],Таблица1[[#This Row],[Order ID]])</f>
        <v>0.5</v>
      </c>
      <c r="Z5786" s="9">
        <f>1/COUNTIFS(Таблица1[Customer Name],Таблица1[[#This Row],[Customer Name]],Таблица1[Order-Year-Month],Таблица1[[#This Row],[Order-Year-Month]])</f>
        <v>0.5</v>
      </c>
    </row>
    <row r="5787" spans="1:26" x14ac:dyDescent="0.2">
      <c r="A5787" s="6">
        <v>804</v>
      </c>
      <c r="B5787" s="7">
        <v>5765</v>
      </c>
      <c r="C5787" s="8">
        <f>DATE(2012,12,31)-1113</f>
        <v>40161</v>
      </c>
      <c r="D5787" s="8" t="str">
        <f t="shared" si="107"/>
        <v>2009-12 (декабрь 2009)</v>
      </c>
      <c r="E5787" s="9" t="s">
        <v>21</v>
      </c>
      <c r="F5787" s="7">
        <v>23</v>
      </c>
      <c r="G5787" s="7">
        <v>849.46</v>
      </c>
      <c r="H5787" s="7">
        <v>0.04</v>
      </c>
      <c r="I5787" s="9" t="s">
        <v>22</v>
      </c>
      <c r="J5787" s="10">
        <v>9.06</v>
      </c>
      <c r="K5787" s="11">
        <v>35.44</v>
      </c>
      <c r="L5787" s="11">
        <v>19.989999999999998</v>
      </c>
      <c r="M5787" s="9" t="s">
        <v>1957</v>
      </c>
      <c r="N5787" s="6" t="s">
        <v>1905</v>
      </c>
      <c r="O5787" s="6" t="s">
        <v>673</v>
      </c>
      <c r="P5787" s="9" t="s">
        <v>41</v>
      </c>
      <c r="Q5787" s="9" t="s">
        <v>26</v>
      </c>
      <c r="R5787" s="9" t="s">
        <v>61</v>
      </c>
      <c r="S5787" s="7" t="s">
        <v>1507</v>
      </c>
      <c r="T5787" s="9" t="s">
        <v>39</v>
      </c>
      <c r="U5787" s="7">
        <v>0.38</v>
      </c>
      <c r="V5787" s="12">
        <f>C5787+7</f>
        <v>40168</v>
      </c>
      <c r="W5787">
        <f>IF(D5787=' Pivot Tables'!$A$4,1,0)</f>
        <v>0</v>
      </c>
      <c r="X5787">
        <f>IF(AND(LEFT(D5787,4)+1=LEFT(' Pivot Tables'!$A$4,4)+0,RIGHT(LEFT(D5787,7),2)=RIGHT(LEFT(' Pivot Tables'!$A$4,7),2)),1,0)</f>
        <v>0</v>
      </c>
      <c r="Y5787" s="6">
        <f>1/COUNTIF(Таблица1[Order ID],Таблица1[[#This Row],[Order ID]])</f>
        <v>1</v>
      </c>
      <c r="Z5787" s="9">
        <f>1/COUNTIFS(Таблица1[Customer Name],Таблица1[[#This Row],[Customer Name]],Таблица1[Order-Year-Month],Таблица1[[#This Row],[Order-Year-Month]])</f>
        <v>1</v>
      </c>
    </row>
    <row r="5788" spans="1:26" x14ac:dyDescent="0.2">
      <c r="A5788" s="6">
        <v>884</v>
      </c>
      <c r="B5788" s="7">
        <v>6339</v>
      </c>
      <c r="C5788" s="8">
        <f>DATE(2012,12,31)-20</f>
        <v>41254</v>
      </c>
      <c r="D5788" s="8" t="str">
        <f t="shared" si="107"/>
        <v>2012-12 (декабрь 2012)</v>
      </c>
      <c r="E5788" s="9" t="s">
        <v>78</v>
      </c>
      <c r="F5788" s="7">
        <v>20</v>
      </c>
      <c r="G5788" s="7">
        <v>303.69</v>
      </c>
      <c r="H5788" s="7">
        <v>0.05</v>
      </c>
      <c r="I5788" s="9" t="s">
        <v>22</v>
      </c>
      <c r="J5788" s="10">
        <v>-50.84</v>
      </c>
      <c r="K5788" s="11">
        <v>14.98</v>
      </c>
      <c r="L5788" s="11">
        <v>7.69</v>
      </c>
      <c r="M5788" s="9" t="s">
        <v>1957</v>
      </c>
      <c r="N5788" s="6" t="s">
        <v>1905</v>
      </c>
      <c r="O5788" s="6" t="s">
        <v>673</v>
      </c>
      <c r="P5788" s="9" t="s">
        <v>41</v>
      </c>
      <c r="Q5788" s="9" t="s">
        <v>26</v>
      </c>
      <c r="R5788" s="9" t="s">
        <v>27</v>
      </c>
      <c r="S5788" s="7" t="s">
        <v>1240</v>
      </c>
      <c r="T5788" s="9" t="s">
        <v>39</v>
      </c>
      <c r="U5788" s="7">
        <v>0.56999999999999995</v>
      </c>
      <c r="V5788" s="12">
        <f>C5788+1</f>
        <v>41255</v>
      </c>
      <c r="W5788">
        <f>IF(D5788=' Pivot Tables'!$A$4,1,0)</f>
        <v>0</v>
      </c>
      <c r="X5788">
        <f>IF(AND(LEFT(D5788,4)+1=LEFT(' Pivot Tables'!$A$4,4)+0,RIGHT(LEFT(D5788,7),2)=RIGHT(LEFT(' Pivot Tables'!$A$4,7),2)),1,0)</f>
        <v>0</v>
      </c>
      <c r="Y5788" s="6">
        <f>1/COUNTIF(Таблица1[Order ID],Таблица1[[#This Row],[Order ID]])</f>
        <v>1</v>
      </c>
      <c r="Z5788" s="9">
        <f>1/COUNTIFS(Таблица1[Customer Name],Таблица1[[#This Row],[Customer Name]],Таблица1[Order-Year-Month],Таблица1[[#This Row],[Order-Year-Month]])</f>
        <v>1</v>
      </c>
    </row>
    <row r="5789" spans="1:26" x14ac:dyDescent="0.2">
      <c r="A5789" s="6">
        <v>942</v>
      </c>
      <c r="B5789" s="7">
        <v>6848</v>
      </c>
      <c r="C5789" s="8">
        <f>DATE(2012,12,31)-840</f>
        <v>40434</v>
      </c>
      <c r="D5789" s="8" t="str">
        <f t="shared" si="107"/>
        <v>2010-09 (сентябрь 2010)</v>
      </c>
      <c r="E5789" s="9" t="s">
        <v>30</v>
      </c>
      <c r="F5789" s="7">
        <v>22</v>
      </c>
      <c r="G5789" s="7">
        <v>116.84</v>
      </c>
      <c r="H5789" s="7">
        <v>0.1</v>
      </c>
      <c r="I5789" s="9" t="s">
        <v>22</v>
      </c>
      <c r="J5789" s="10">
        <v>-125.44199999999999</v>
      </c>
      <c r="K5789" s="11">
        <v>5.4</v>
      </c>
      <c r="L5789" s="11">
        <v>7.78</v>
      </c>
      <c r="M5789" s="9" t="s">
        <v>1962</v>
      </c>
      <c r="N5789" s="6" t="s">
        <v>1905</v>
      </c>
      <c r="O5789" s="6" t="s">
        <v>673</v>
      </c>
      <c r="P5789" s="9" t="s">
        <v>33</v>
      </c>
      <c r="Q5789" s="9" t="s">
        <v>26</v>
      </c>
      <c r="R5789" s="9" t="s">
        <v>37</v>
      </c>
      <c r="S5789" s="7" t="s">
        <v>330</v>
      </c>
      <c r="T5789" s="9" t="s">
        <v>39</v>
      </c>
      <c r="U5789" s="7">
        <v>0.37</v>
      </c>
      <c r="V5789" s="12">
        <f>C5789+1</f>
        <v>40435</v>
      </c>
      <c r="W5789">
        <f>IF(D5789=' Pivot Tables'!$A$4,1,0)</f>
        <v>0</v>
      </c>
      <c r="X5789">
        <f>IF(AND(LEFT(D5789,4)+1=LEFT(' Pivot Tables'!$A$4,4)+0,RIGHT(LEFT(D5789,7),2)=RIGHT(LEFT(' Pivot Tables'!$A$4,7),2)),1,0)</f>
        <v>0</v>
      </c>
      <c r="Y5789" s="6">
        <f>1/COUNTIF(Таблица1[Order ID],Таблица1[[#This Row],[Order ID]])</f>
        <v>1</v>
      </c>
      <c r="Z5789" s="9">
        <f>1/COUNTIFS(Таблица1[Customer Name],Таблица1[[#This Row],[Customer Name]],Таблица1[Order-Year-Month],Таблица1[[#This Row],[Order-Year-Month]])</f>
        <v>1</v>
      </c>
    </row>
    <row r="5790" spans="1:26" x14ac:dyDescent="0.2">
      <c r="A5790" s="6">
        <v>1054</v>
      </c>
      <c r="B5790" s="7">
        <v>7782</v>
      </c>
      <c r="C5790" s="8">
        <f>DATE(2012,12,31)-1278</f>
        <v>39996</v>
      </c>
      <c r="D5790" s="8" t="str">
        <f t="shared" si="107"/>
        <v>2009-07 (июль 2009)</v>
      </c>
      <c r="E5790" s="9" t="s">
        <v>78</v>
      </c>
      <c r="F5790" s="7">
        <v>20</v>
      </c>
      <c r="G5790" s="7">
        <v>1205.73</v>
      </c>
      <c r="H5790" s="7">
        <v>7.0000000000000007E-2</v>
      </c>
      <c r="I5790" s="9" t="s">
        <v>56</v>
      </c>
      <c r="J5790" s="10">
        <v>310.93</v>
      </c>
      <c r="K5790" s="11">
        <v>60.97</v>
      </c>
      <c r="L5790" s="11">
        <v>4.5</v>
      </c>
      <c r="M5790" s="9" t="s">
        <v>1960</v>
      </c>
      <c r="N5790" s="6" t="s">
        <v>1905</v>
      </c>
      <c r="O5790" s="6" t="s">
        <v>673</v>
      </c>
      <c r="P5790" s="9" t="s">
        <v>41</v>
      </c>
      <c r="Q5790" s="9" t="s">
        <v>26</v>
      </c>
      <c r="R5790" s="9" t="s">
        <v>34</v>
      </c>
      <c r="S5790" s="7" t="s">
        <v>1574</v>
      </c>
      <c r="T5790" s="9" t="s">
        <v>39</v>
      </c>
      <c r="U5790" s="7">
        <v>0.56000000000000005</v>
      </c>
      <c r="V5790" s="12">
        <f>C5790+2</f>
        <v>39998</v>
      </c>
      <c r="W5790">
        <f>IF(D5790=' Pivot Tables'!$A$4,1,0)</f>
        <v>0</v>
      </c>
      <c r="X5790">
        <f>IF(AND(LEFT(D5790,4)+1=LEFT(' Pivot Tables'!$A$4,4)+0,RIGHT(LEFT(D5790,7),2)=RIGHT(LEFT(' Pivot Tables'!$A$4,7),2)),1,0)</f>
        <v>0</v>
      </c>
      <c r="Y5790" s="6">
        <f>1/COUNTIF(Таблица1[Order ID],Таблица1[[#This Row],[Order ID]])</f>
        <v>1</v>
      </c>
      <c r="Z5790" s="9">
        <f>1/COUNTIFS(Таблица1[Customer Name],Таблица1[[#This Row],[Customer Name]],Таблица1[Order-Year-Month],Таблица1[[#This Row],[Order-Year-Month]])</f>
        <v>1</v>
      </c>
    </row>
    <row r="5791" spans="1:26" x14ac:dyDescent="0.2">
      <c r="A5791" s="6">
        <v>1082</v>
      </c>
      <c r="B5791" s="7">
        <v>7941</v>
      </c>
      <c r="C5791" s="8">
        <f>DATE(2012,12,31)-283</f>
        <v>40991</v>
      </c>
      <c r="D5791" s="8" t="str">
        <f t="shared" si="107"/>
        <v>2012-03 (март 2012)</v>
      </c>
      <c r="E5791" s="9" t="s">
        <v>21</v>
      </c>
      <c r="F5791" s="7">
        <v>50</v>
      </c>
      <c r="G5791" s="7">
        <v>2796.67</v>
      </c>
      <c r="H5791" s="7">
        <v>0.01</v>
      </c>
      <c r="I5791" s="9" t="s">
        <v>22</v>
      </c>
      <c r="J5791" s="10">
        <v>801.04</v>
      </c>
      <c r="K5791" s="11">
        <v>55.29</v>
      </c>
      <c r="L5791" s="11">
        <v>5.08</v>
      </c>
      <c r="M5791" s="9" t="s">
        <v>949</v>
      </c>
      <c r="N5791" s="6" t="s">
        <v>1905</v>
      </c>
      <c r="O5791" s="6" t="s">
        <v>673</v>
      </c>
      <c r="P5791" s="9" t="s">
        <v>41</v>
      </c>
      <c r="Q5791" s="9" t="s">
        <v>26</v>
      </c>
      <c r="R5791" s="9" t="s">
        <v>27</v>
      </c>
      <c r="S5791" s="7" t="s">
        <v>294</v>
      </c>
      <c r="T5791" s="9" t="s">
        <v>39</v>
      </c>
      <c r="U5791" s="7">
        <v>0.59</v>
      </c>
      <c r="V5791" s="12">
        <f>C5791+7</f>
        <v>40998</v>
      </c>
      <c r="W5791">
        <f>IF(D5791=' Pivot Tables'!$A$4,1,0)</f>
        <v>0</v>
      </c>
      <c r="X5791">
        <f>IF(AND(LEFT(D5791,4)+1=LEFT(' Pivot Tables'!$A$4,4)+0,RIGHT(LEFT(D5791,7),2)=RIGHT(LEFT(' Pivot Tables'!$A$4,7),2)),1,0)</f>
        <v>0</v>
      </c>
      <c r="Y5791" s="6">
        <f>1/COUNTIF(Таблица1[Order ID],Таблица1[[#This Row],[Order ID]])</f>
        <v>1</v>
      </c>
      <c r="Z5791" s="9">
        <f>1/COUNTIFS(Таблица1[Customer Name],Таблица1[[#This Row],[Customer Name]],Таблица1[Order-Year-Month],Таблица1[[#This Row],[Order-Year-Month]])</f>
        <v>1</v>
      </c>
    </row>
    <row r="5792" spans="1:26" x14ac:dyDescent="0.2">
      <c r="A5792" s="6">
        <v>1093</v>
      </c>
      <c r="B5792" s="7">
        <v>8034</v>
      </c>
      <c r="C5792" s="8">
        <f>DATE(2012,12,31)-347</f>
        <v>40927</v>
      </c>
      <c r="D5792" s="8" t="str">
        <f t="shared" si="107"/>
        <v>2012-01 (январь 2012)</v>
      </c>
      <c r="E5792" s="9" t="s">
        <v>30</v>
      </c>
      <c r="F5792" s="7">
        <v>31</v>
      </c>
      <c r="G5792" s="7">
        <v>354.45</v>
      </c>
      <c r="H5792" s="7">
        <v>0.01</v>
      </c>
      <c r="I5792" s="9" t="s">
        <v>22</v>
      </c>
      <c r="J5792" s="10">
        <v>11.38</v>
      </c>
      <c r="K5792" s="11">
        <v>10.98</v>
      </c>
      <c r="L5792" s="11">
        <v>3.99</v>
      </c>
      <c r="M5792" s="9" t="s">
        <v>1963</v>
      </c>
      <c r="N5792" s="6" t="s">
        <v>1905</v>
      </c>
      <c r="O5792" s="6" t="s">
        <v>673</v>
      </c>
      <c r="P5792" s="9" t="s">
        <v>41</v>
      </c>
      <c r="Q5792" s="9" t="s">
        <v>26</v>
      </c>
      <c r="R5792" s="9" t="s">
        <v>34</v>
      </c>
      <c r="S5792" s="7" t="s">
        <v>1752</v>
      </c>
      <c r="T5792" s="9" t="s">
        <v>39</v>
      </c>
      <c r="U5792" s="7">
        <v>0.57999999999999996</v>
      </c>
      <c r="V5792" s="12">
        <f>C5792+0</f>
        <v>40927</v>
      </c>
      <c r="W5792">
        <f>IF(D5792=' Pivot Tables'!$A$4,1,0)</f>
        <v>0</v>
      </c>
      <c r="X5792">
        <f>IF(AND(LEFT(D5792,4)+1=LEFT(' Pivot Tables'!$A$4,4)+0,RIGHT(LEFT(D5792,7),2)=RIGHT(LEFT(' Pivot Tables'!$A$4,7),2)),1,0)</f>
        <v>0</v>
      </c>
      <c r="Y5792" s="6">
        <f>1/COUNTIF(Таблица1[Order ID],Таблица1[[#This Row],[Order ID]])</f>
        <v>0.33333333333333331</v>
      </c>
      <c r="Z5792" s="9">
        <f>1/COUNTIFS(Таблица1[Customer Name],Таблица1[[#This Row],[Customer Name]],Таблица1[Order-Year-Month],Таблица1[[#This Row],[Order-Year-Month]])</f>
        <v>0.25</v>
      </c>
    </row>
    <row r="5793" spans="1:26" x14ac:dyDescent="0.2">
      <c r="A5793" s="6">
        <v>1094</v>
      </c>
      <c r="B5793" s="7">
        <v>8034</v>
      </c>
      <c r="C5793" s="8">
        <f>DATE(2012,12,31)-347</f>
        <v>40927</v>
      </c>
      <c r="D5793" s="8" t="str">
        <f t="shared" si="107"/>
        <v>2012-01 (январь 2012)</v>
      </c>
      <c r="E5793" s="9" t="s">
        <v>30</v>
      </c>
      <c r="F5793" s="7">
        <v>13</v>
      </c>
      <c r="G5793" s="7">
        <v>238.43</v>
      </c>
      <c r="H5793" s="7">
        <v>0.02</v>
      </c>
      <c r="I5793" s="9" t="s">
        <v>22</v>
      </c>
      <c r="J5793" s="10">
        <v>-36.11</v>
      </c>
      <c r="K5793" s="11">
        <v>16.989999999999998</v>
      </c>
      <c r="L5793" s="11">
        <v>8.99</v>
      </c>
      <c r="M5793" s="9" t="s">
        <v>1963</v>
      </c>
      <c r="N5793" s="6" t="s">
        <v>1905</v>
      </c>
      <c r="O5793" s="6" t="s">
        <v>673</v>
      </c>
      <c r="P5793" s="9" t="s">
        <v>41</v>
      </c>
      <c r="Q5793" s="9" t="s">
        <v>26</v>
      </c>
      <c r="R5793" s="9" t="s">
        <v>95</v>
      </c>
      <c r="S5793" s="7" t="s">
        <v>827</v>
      </c>
      <c r="T5793" s="9" t="s">
        <v>52</v>
      </c>
      <c r="U5793" s="7">
        <v>0.56000000000000005</v>
      </c>
      <c r="V5793" s="12">
        <f>C5793+1</f>
        <v>40928</v>
      </c>
      <c r="W5793">
        <f>IF(D5793=' Pivot Tables'!$A$4,1,0)</f>
        <v>0</v>
      </c>
      <c r="X5793">
        <f>IF(AND(LEFT(D5793,4)+1=LEFT(' Pivot Tables'!$A$4,4)+0,RIGHT(LEFT(D5793,7),2)=RIGHT(LEFT(' Pivot Tables'!$A$4,7),2)),1,0)</f>
        <v>0</v>
      </c>
      <c r="Y5793" s="6">
        <f>1/COUNTIF(Таблица1[Order ID],Таблица1[[#This Row],[Order ID]])</f>
        <v>0.33333333333333331</v>
      </c>
      <c r="Z5793" s="9">
        <f>1/COUNTIFS(Таблица1[Customer Name],Таблица1[[#This Row],[Customer Name]],Таблица1[Order-Year-Month],Таблица1[[#This Row],[Order-Year-Month]])</f>
        <v>0.25</v>
      </c>
    </row>
    <row r="5794" spans="1:26" x14ac:dyDescent="0.2">
      <c r="A5794" s="6">
        <v>1095</v>
      </c>
      <c r="B5794" s="7">
        <v>8034</v>
      </c>
      <c r="C5794" s="8">
        <f>DATE(2012,12,31)-347</f>
        <v>40927</v>
      </c>
      <c r="D5794" s="8" t="str">
        <f t="shared" si="107"/>
        <v>2012-01 (январь 2012)</v>
      </c>
      <c r="E5794" s="9" t="s">
        <v>30</v>
      </c>
      <c r="F5794" s="7">
        <v>36</v>
      </c>
      <c r="G5794" s="7">
        <v>1606.4</v>
      </c>
      <c r="H5794" s="7">
        <v>0.08</v>
      </c>
      <c r="I5794" s="9" t="s">
        <v>31</v>
      </c>
      <c r="J5794" s="10">
        <v>-1231.3499999999999</v>
      </c>
      <c r="K5794" s="11">
        <v>44.43</v>
      </c>
      <c r="L5794" s="11">
        <v>46.59</v>
      </c>
      <c r="M5794" s="9" t="s">
        <v>1963</v>
      </c>
      <c r="N5794" s="6" t="s">
        <v>1905</v>
      </c>
      <c r="O5794" s="6" t="s">
        <v>673</v>
      </c>
      <c r="P5794" s="9" t="s">
        <v>41</v>
      </c>
      <c r="Q5794" s="9" t="s">
        <v>49</v>
      </c>
      <c r="R5794" s="9" t="s">
        <v>83</v>
      </c>
      <c r="S5794" s="7" t="s">
        <v>1528</v>
      </c>
      <c r="T5794" s="9" t="s">
        <v>82</v>
      </c>
      <c r="U5794" s="7">
        <v>0.67</v>
      </c>
      <c r="V5794" s="12">
        <f>C5794+2</f>
        <v>40929</v>
      </c>
      <c r="W5794">
        <f>IF(D5794=' Pivot Tables'!$A$4,1,0)</f>
        <v>0</v>
      </c>
      <c r="X5794">
        <f>IF(AND(LEFT(D5794,4)+1=LEFT(' Pivot Tables'!$A$4,4)+0,RIGHT(LEFT(D5794,7),2)=RIGHT(LEFT(' Pivot Tables'!$A$4,7),2)),1,0)</f>
        <v>0</v>
      </c>
      <c r="Y5794" s="6">
        <f>1/COUNTIF(Таблица1[Order ID],Таблица1[[#This Row],[Order ID]])</f>
        <v>0.33333333333333331</v>
      </c>
      <c r="Z5794" s="9">
        <f>1/COUNTIFS(Таблица1[Customer Name],Таблица1[[#This Row],[Customer Name]],Таблица1[Order-Year-Month],Таблица1[[#This Row],[Order-Year-Month]])</f>
        <v>0.25</v>
      </c>
    </row>
    <row r="5795" spans="1:26" x14ac:dyDescent="0.2">
      <c r="A5795" s="6">
        <v>1110</v>
      </c>
      <c r="B5795" s="7">
        <v>8135</v>
      </c>
      <c r="C5795" s="8">
        <f>DATE(2012,12,31)-554</f>
        <v>40720</v>
      </c>
      <c r="D5795" s="8" t="str">
        <f t="shared" si="107"/>
        <v>2011-06 (июнь 2011)</v>
      </c>
      <c r="E5795" s="9" t="s">
        <v>45</v>
      </c>
      <c r="F5795" s="7">
        <v>16</v>
      </c>
      <c r="G5795" s="7">
        <v>772.41200000000003</v>
      </c>
      <c r="H5795" s="7">
        <v>0.03</v>
      </c>
      <c r="I5795" s="9" t="s">
        <v>22</v>
      </c>
      <c r="J5795" s="10">
        <v>-184.69</v>
      </c>
      <c r="K5795" s="11">
        <v>55.99</v>
      </c>
      <c r="L5795" s="11">
        <v>5</v>
      </c>
      <c r="M5795" s="9" t="s">
        <v>1196</v>
      </c>
      <c r="N5795" s="6" t="s">
        <v>1905</v>
      </c>
      <c r="O5795" s="6" t="s">
        <v>673</v>
      </c>
      <c r="P5795" s="9" t="s">
        <v>33</v>
      </c>
      <c r="Q5795" s="9" t="s">
        <v>42</v>
      </c>
      <c r="R5795" s="9" t="s">
        <v>43</v>
      </c>
      <c r="S5795" s="7" t="s">
        <v>268</v>
      </c>
      <c r="T5795" s="9" t="s">
        <v>52</v>
      </c>
      <c r="U5795" s="7">
        <v>0.8</v>
      </c>
      <c r="V5795" s="12">
        <f>C5795+1</f>
        <v>40721</v>
      </c>
      <c r="W5795">
        <f>IF(D5795=' Pivot Tables'!$A$4,1,0)</f>
        <v>0</v>
      </c>
      <c r="X5795">
        <f>IF(AND(LEFT(D5795,4)+1=LEFT(' Pivot Tables'!$A$4,4)+0,RIGHT(LEFT(D5795,7),2)=RIGHT(LEFT(' Pivot Tables'!$A$4,7),2)),1,0)</f>
        <v>0</v>
      </c>
      <c r="Y5795" s="6">
        <f>1/COUNTIF(Таблица1[Order ID],Таблица1[[#This Row],[Order ID]])</f>
        <v>1</v>
      </c>
      <c r="Z5795" s="9">
        <f>1/COUNTIFS(Таблица1[Customer Name],Таблица1[[#This Row],[Customer Name]],Таблица1[Order-Year-Month],Таблица1[[#This Row],[Order-Year-Month]])</f>
        <v>1</v>
      </c>
    </row>
    <row r="5796" spans="1:26" x14ac:dyDescent="0.2">
      <c r="A5796" s="6">
        <v>1290</v>
      </c>
      <c r="B5796" s="7">
        <v>9473</v>
      </c>
      <c r="C5796" s="8">
        <f>DATE(2012,12,31)-81</f>
        <v>41193</v>
      </c>
      <c r="D5796" s="8" t="str">
        <f t="shared" si="107"/>
        <v>2012-10 (октябрь 2012)</v>
      </c>
      <c r="E5796" s="9" t="s">
        <v>45</v>
      </c>
      <c r="F5796" s="7">
        <v>3</v>
      </c>
      <c r="G5796" s="7">
        <v>31.95</v>
      </c>
      <c r="H5796" s="7">
        <v>0.1</v>
      </c>
      <c r="I5796" s="9" t="s">
        <v>22</v>
      </c>
      <c r="J5796" s="10">
        <v>-23.69</v>
      </c>
      <c r="K5796" s="11">
        <v>8.0399999999999991</v>
      </c>
      <c r="L5796" s="11">
        <v>8.94</v>
      </c>
      <c r="M5796" s="9" t="s">
        <v>1957</v>
      </c>
      <c r="N5796" s="6" t="s">
        <v>1905</v>
      </c>
      <c r="O5796" s="6" t="s">
        <v>673</v>
      </c>
      <c r="P5796" s="9" t="s">
        <v>41</v>
      </c>
      <c r="Q5796" s="9" t="s">
        <v>26</v>
      </c>
      <c r="R5796" s="9" t="s">
        <v>37</v>
      </c>
      <c r="S5796" s="7" t="s">
        <v>529</v>
      </c>
      <c r="T5796" s="9" t="s">
        <v>39</v>
      </c>
      <c r="U5796" s="7">
        <v>0.4</v>
      </c>
      <c r="V5796" s="12">
        <f>C5796+2</f>
        <v>41195</v>
      </c>
      <c r="W5796">
        <f>IF(D5796=' Pivot Tables'!$A$4,1,0)</f>
        <v>0</v>
      </c>
      <c r="X5796">
        <f>IF(AND(LEFT(D5796,4)+1=LEFT(' Pivot Tables'!$A$4,4)+0,RIGHT(LEFT(D5796,7),2)=RIGHT(LEFT(' Pivot Tables'!$A$4,7),2)),1,0)</f>
        <v>0</v>
      </c>
      <c r="Y5796" s="6">
        <f>1/COUNTIF(Таблица1[Order ID],Таблица1[[#This Row],[Order ID]])</f>
        <v>0.33333333333333331</v>
      </c>
      <c r="Z5796" s="9">
        <f>1/COUNTIFS(Таблица1[Customer Name],Таблица1[[#This Row],[Customer Name]],Таблица1[Order-Year-Month],Таблица1[[#This Row],[Order-Year-Month]])</f>
        <v>0.16666666666666666</v>
      </c>
    </row>
    <row r="5797" spans="1:26" x14ac:dyDescent="0.2">
      <c r="A5797" s="6">
        <v>1291</v>
      </c>
      <c r="B5797" s="7">
        <v>9473</v>
      </c>
      <c r="C5797" s="8">
        <f>DATE(2012,12,31)-81</f>
        <v>41193</v>
      </c>
      <c r="D5797" s="8" t="str">
        <f t="shared" si="107"/>
        <v>2012-10 (октябрь 2012)</v>
      </c>
      <c r="E5797" s="9" t="s">
        <v>45</v>
      </c>
      <c r="F5797" s="7">
        <v>34</v>
      </c>
      <c r="G5797" s="7">
        <v>563.82000000000005</v>
      </c>
      <c r="H5797" s="7">
        <v>0.03</v>
      </c>
      <c r="I5797" s="9" t="s">
        <v>22</v>
      </c>
      <c r="J5797" s="10">
        <v>188.22399999999999</v>
      </c>
      <c r="K5797" s="11">
        <v>16.510000000000002</v>
      </c>
      <c r="L5797" s="11">
        <v>2.99</v>
      </c>
      <c r="M5797" s="9" t="s">
        <v>1957</v>
      </c>
      <c r="N5797" s="6" t="s">
        <v>1905</v>
      </c>
      <c r="O5797" s="6" t="s">
        <v>673</v>
      </c>
      <c r="P5797" s="9" t="s">
        <v>41</v>
      </c>
      <c r="Q5797" s="9" t="s">
        <v>26</v>
      </c>
      <c r="R5797" s="9" t="s">
        <v>37</v>
      </c>
      <c r="S5797" s="7" t="s">
        <v>1860</v>
      </c>
      <c r="T5797" s="9" t="s">
        <v>39</v>
      </c>
      <c r="U5797" s="7">
        <v>0.37</v>
      </c>
      <c r="V5797" s="12">
        <f>C5797+1</f>
        <v>41194</v>
      </c>
      <c r="W5797">
        <f>IF(D5797=' Pivot Tables'!$A$4,1,0)</f>
        <v>0</v>
      </c>
      <c r="X5797">
        <f>IF(AND(LEFT(D5797,4)+1=LEFT(' Pivot Tables'!$A$4,4)+0,RIGHT(LEFT(D5797,7),2)=RIGHT(LEFT(' Pivot Tables'!$A$4,7),2)),1,0)</f>
        <v>0</v>
      </c>
      <c r="Y5797" s="6">
        <f>1/COUNTIF(Таблица1[Order ID],Таблица1[[#This Row],[Order ID]])</f>
        <v>0.33333333333333331</v>
      </c>
      <c r="Z5797" s="9">
        <f>1/COUNTIFS(Таблица1[Customer Name],Таблица1[[#This Row],[Customer Name]],Таблица1[Order-Year-Month],Таблица1[[#This Row],[Order-Year-Month]])</f>
        <v>0.16666666666666666</v>
      </c>
    </row>
    <row r="5798" spans="1:26" x14ac:dyDescent="0.2">
      <c r="A5798" s="6">
        <v>1292</v>
      </c>
      <c r="B5798" s="7">
        <v>9473</v>
      </c>
      <c r="C5798" s="8">
        <f>DATE(2012,12,31)-81</f>
        <v>41193</v>
      </c>
      <c r="D5798" s="8" t="str">
        <f t="shared" si="107"/>
        <v>2012-10 (октябрь 2012)</v>
      </c>
      <c r="E5798" s="9" t="s">
        <v>45</v>
      </c>
      <c r="F5798" s="7">
        <v>31</v>
      </c>
      <c r="G5798" s="7">
        <v>502.44</v>
      </c>
      <c r="H5798" s="7">
        <v>0.04</v>
      </c>
      <c r="I5798" s="9" t="s">
        <v>22</v>
      </c>
      <c r="J5798" s="10">
        <v>-363.44</v>
      </c>
      <c r="K5798" s="11">
        <v>15.51</v>
      </c>
      <c r="L5798" s="11">
        <v>17.78</v>
      </c>
      <c r="M5798" s="9" t="s">
        <v>1957</v>
      </c>
      <c r="N5798" s="6" t="s">
        <v>1905</v>
      </c>
      <c r="O5798" s="6" t="s">
        <v>673</v>
      </c>
      <c r="P5798" s="9" t="s">
        <v>41</v>
      </c>
      <c r="Q5798" s="9" t="s">
        <v>26</v>
      </c>
      <c r="R5798" s="9" t="s">
        <v>27</v>
      </c>
      <c r="S5798" s="7" t="s">
        <v>383</v>
      </c>
      <c r="T5798" s="9" t="s">
        <v>39</v>
      </c>
      <c r="U5798" s="7">
        <v>0.59</v>
      </c>
      <c r="V5798" s="12">
        <f>C5798+2</f>
        <v>41195</v>
      </c>
      <c r="W5798">
        <f>IF(D5798=' Pivot Tables'!$A$4,1,0)</f>
        <v>0</v>
      </c>
      <c r="X5798">
        <f>IF(AND(LEFT(D5798,4)+1=LEFT(' Pivot Tables'!$A$4,4)+0,RIGHT(LEFT(D5798,7),2)=RIGHT(LEFT(' Pivot Tables'!$A$4,7),2)),1,0)</f>
        <v>0</v>
      </c>
      <c r="Y5798" s="6">
        <f>1/COUNTIF(Таблица1[Order ID],Таблица1[[#This Row],[Order ID]])</f>
        <v>0.33333333333333331</v>
      </c>
      <c r="Z5798" s="9">
        <f>1/COUNTIFS(Таблица1[Customer Name],Таблица1[[#This Row],[Customer Name]],Таблица1[Order-Year-Month],Таблица1[[#This Row],[Order-Year-Month]])</f>
        <v>0.16666666666666666</v>
      </c>
    </row>
    <row r="5799" spans="1:26" x14ac:dyDescent="0.2">
      <c r="A5799" s="6">
        <v>1404</v>
      </c>
      <c r="B5799" s="7">
        <v>10210</v>
      </c>
      <c r="C5799" s="8">
        <f>DATE(2012,12,31)-557</f>
        <v>40717</v>
      </c>
      <c r="D5799" s="8" t="str">
        <f t="shared" si="107"/>
        <v>2011-06 (июнь 2011)</v>
      </c>
      <c r="E5799" s="9" t="s">
        <v>45</v>
      </c>
      <c r="F5799" s="7">
        <v>10</v>
      </c>
      <c r="G5799" s="7">
        <v>767.34</v>
      </c>
      <c r="H5799" s="7">
        <v>0.04</v>
      </c>
      <c r="I5799" s="9" t="s">
        <v>22</v>
      </c>
      <c r="J5799" s="10">
        <v>-154.65</v>
      </c>
      <c r="K5799" s="11">
        <v>73.98</v>
      </c>
      <c r="L5799" s="11">
        <v>14.52</v>
      </c>
      <c r="M5799" s="9" t="s">
        <v>1961</v>
      </c>
      <c r="N5799" s="6" t="s">
        <v>1905</v>
      </c>
      <c r="O5799" s="6" t="s">
        <v>673</v>
      </c>
      <c r="P5799" s="9" t="s">
        <v>41</v>
      </c>
      <c r="Q5799" s="9" t="s">
        <v>42</v>
      </c>
      <c r="R5799" s="9" t="s">
        <v>70</v>
      </c>
      <c r="S5799" s="7" t="s">
        <v>822</v>
      </c>
      <c r="T5799" s="9" t="s">
        <v>39</v>
      </c>
      <c r="U5799" s="7">
        <v>0.65</v>
      </c>
      <c r="V5799" s="12">
        <f>C5799+1</f>
        <v>40718</v>
      </c>
      <c r="W5799">
        <f>IF(D5799=' Pivot Tables'!$A$4,1,0)</f>
        <v>0</v>
      </c>
      <c r="X5799">
        <f>IF(AND(LEFT(D5799,4)+1=LEFT(' Pivot Tables'!$A$4,4)+0,RIGHT(LEFT(D5799,7),2)=RIGHT(LEFT(' Pivot Tables'!$A$4,7),2)),1,0)</f>
        <v>0</v>
      </c>
      <c r="Y5799" s="6">
        <f>1/COUNTIF(Таблица1[Order ID],Таблица1[[#This Row],[Order ID]])</f>
        <v>1</v>
      </c>
      <c r="Z5799" s="9">
        <f>1/COUNTIFS(Таблица1[Customer Name],Таблица1[[#This Row],[Customer Name]],Таблица1[Order-Year-Month],Таблица1[[#This Row],[Order-Year-Month]])</f>
        <v>1</v>
      </c>
    </row>
    <row r="5800" spans="1:26" x14ac:dyDescent="0.2">
      <c r="A5800" s="6">
        <v>1421</v>
      </c>
      <c r="B5800" s="7">
        <v>10308</v>
      </c>
      <c r="C5800" s="8">
        <f>DATE(2012,12,31)-621</f>
        <v>40653</v>
      </c>
      <c r="D5800" s="8" t="str">
        <f t="shared" si="107"/>
        <v>2011-04 (апрель 2011)</v>
      </c>
      <c r="E5800" s="9" t="s">
        <v>30</v>
      </c>
      <c r="F5800" s="7">
        <v>40</v>
      </c>
      <c r="G5800" s="7">
        <v>5554.0360000000001</v>
      </c>
      <c r="H5800" s="7">
        <v>0.09</v>
      </c>
      <c r="I5800" s="9" t="s">
        <v>22</v>
      </c>
      <c r="J5800" s="10">
        <v>1153.836</v>
      </c>
      <c r="K5800" s="11">
        <v>175.99</v>
      </c>
      <c r="L5800" s="11">
        <v>8.99</v>
      </c>
      <c r="M5800" s="9" t="s">
        <v>1963</v>
      </c>
      <c r="N5800" s="6" t="s">
        <v>1905</v>
      </c>
      <c r="O5800" s="6" t="s">
        <v>673</v>
      </c>
      <c r="P5800" s="9" t="s">
        <v>25</v>
      </c>
      <c r="Q5800" s="9" t="s">
        <v>42</v>
      </c>
      <c r="R5800" s="9" t="s">
        <v>43</v>
      </c>
      <c r="S5800" s="7" t="s">
        <v>631</v>
      </c>
      <c r="T5800" s="9" t="s">
        <v>39</v>
      </c>
      <c r="U5800" s="7">
        <v>0.56999999999999995</v>
      </c>
      <c r="V5800" s="12">
        <f>C5800+2</f>
        <v>40655</v>
      </c>
      <c r="W5800">
        <f>IF(D5800=' Pivot Tables'!$A$4,1,0)</f>
        <v>0</v>
      </c>
      <c r="X5800">
        <f>IF(AND(LEFT(D5800,4)+1=LEFT(' Pivot Tables'!$A$4,4)+0,RIGHT(LEFT(D5800,7),2)=RIGHT(LEFT(' Pivot Tables'!$A$4,7),2)),1,0)</f>
        <v>0</v>
      </c>
      <c r="Y5800" s="6">
        <f>1/COUNTIF(Таблица1[Order ID],Таблица1[[#This Row],[Order ID]])</f>
        <v>1</v>
      </c>
      <c r="Z5800" s="9">
        <f>1/COUNTIFS(Таблица1[Customer Name],Таблица1[[#This Row],[Customer Name]],Таблица1[Order-Year-Month],Таблица1[[#This Row],[Order-Year-Month]])</f>
        <v>1</v>
      </c>
    </row>
    <row r="5801" spans="1:26" x14ac:dyDescent="0.2">
      <c r="A5801" s="6">
        <v>1516</v>
      </c>
      <c r="B5801" s="7">
        <v>10951</v>
      </c>
      <c r="C5801" s="8">
        <f>DATE(2012,12,31)-55</f>
        <v>41219</v>
      </c>
      <c r="D5801" s="8" t="str">
        <f t="shared" si="107"/>
        <v>2012-11 (ноябрь 2012)</v>
      </c>
      <c r="E5801" s="9" t="s">
        <v>45</v>
      </c>
      <c r="F5801" s="7">
        <v>14</v>
      </c>
      <c r="G5801" s="7">
        <v>677.43</v>
      </c>
      <c r="H5801" s="7">
        <v>0.1</v>
      </c>
      <c r="I5801" s="9" t="s">
        <v>22</v>
      </c>
      <c r="J5801" s="10">
        <v>75.48</v>
      </c>
      <c r="K5801" s="11">
        <v>50.98</v>
      </c>
      <c r="L5801" s="11">
        <v>22.24</v>
      </c>
      <c r="M5801" s="9" t="s">
        <v>949</v>
      </c>
      <c r="N5801" s="6" t="s">
        <v>1905</v>
      </c>
      <c r="O5801" s="6" t="s">
        <v>673</v>
      </c>
      <c r="P5801" s="9" t="s">
        <v>41</v>
      </c>
      <c r="Q5801" s="9" t="s">
        <v>49</v>
      </c>
      <c r="R5801" s="9" t="s">
        <v>50</v>
      </c>
      <c r="S5801" s="7" t="s">
        <v>1292</v>
      </c>
      <c r="T5801" s="9" t="s">
        <v>29</v>
      </c>
      <c r="U5801" s="7">
        <v>0.55000000000000004</v>
      </c>
      <c r="V5801" s="12">
        <f>C5801+0</f>
        <v>41219</v>
      </c>
      <c r="W5801">
        <f>IF(D5801=' Pivot Tables'!$A$4,1,0)</f>
        <v>0</v>
      </c>
      <c r="X5801">
        <f>IF(AND(LEFT(D5801,4)+1=LEFT(' Pivot Tables'!$A$4,4)+0,RIGHT(LEFT(D5801,7),2)=RIGHT(LEFT(' Pivot Tables'!$A$4,7),2)),1,0)</f>
        <v>0</v>
      </c>
      <c r="Y5801" s="6">
        <f>1/COUNTIF(Таблица1[Order ID],Таблица1[[#This Row],[Order ID]])</f>
        <v>1</v>
      </c>
      <c r="Z5801" s="9">
        <f>1/COUNTIFS(Таблица1[Customer Name],Таблица1[[#This Row],[Customer Name]],Таблица1[Order-Year-Month],Таблица1[[#This Row],[Order-Year-Month]])</f>
        <v>1</v>
      </c>
    </row>
    <row r="5802" spans="1:26" x14ac:dyDescent="0.2">
      <c r="A5802" s="6">
        <v>1687</v>
      </c>
      <c r="B5802" s="7">
        <v>12194</v>
      </c>
      <c r="C5802" s="8">
        <f>DATE(2012,12,31)-671</f>
        <v>40603</v>
      </c>
      <c r="D5802" s="8" t="str">
        <f t="shared" si="107"/>
        <v>2011-03 (март 2011)</v>
      </c>
      <c r="E5802" s="9" t="s">
        <v>78</v>
      </c>
      <c r="F5802" s="7">
        <v>19</v>
      </c>
      <c r="G5802" s="7">
        <v>3355.1539999999995</v>
      </c>
      <c r="H5802" s="7">
        <v>0</v>
      </c>
      <c r="I5802" s="9" t="s">
        <v>22</v>
      </c>
      <c r="J5802" s="10">
        <v>658.50299999999993</v>
      </c>
      <c r="K5802" s="11">
        <v>195.99</v>
      </c>
      <c r="L5802" s="11">
        <v>3.99</v>
      </c>
      <c r="M5802" s="9" t="s">
        <v>1960</v>
      </c>
      <c r="N5802" s="6" t="s">
        <v>1905</v>
      </c>
      <c r="O5802" s="6" t="s">
        <v>673</v>
      </c>
      <c r="P5802" s="9" t="s">
        <v>41</v>
      </c>
      <c r="Q5802" s="9" t="s">
        <v>42</v>
      </c>
      <c r="R5802" s="9" t="s">
        <v>43</v>
      </c>
      <c r="S5802" s="7" t="s">
        <v>44</v>
      </c>
      <c r="T5802" s="9" t="s">
        <v>39</v>
      </c>
      <c r="U5802" s="7">
        <v>0.57999999999999996</v>
      </c>
      <c r="V5802" s="12">
        <f>C5802+1</f>
        <v>40604</v>
      </c>
      <c r="W5802">
        <f>IF(D5802=' Pivot Tables'!$A$4,1,0)</f>
        <v>0</v>
      </c>
      <c r="X5802">
        <f>IF(AND(LEFT(D5802,4)+1=LEFT(' Pivot Tables'!$A$4,4)+0,RIGHT(LEFT(D5802,7),2)=RIGHT(LEFT(' Pivot Tables'!$A$4,7),2)),1,0)</f>
        <v>0</v>
      </c>
      <c r="Y5802" s="6">
        <f>1/COUNTIF(Таблица1[Order ID],Таблица1[[#This Row],[Order ID]])</f>
        <v>1</v>
      </c>
      <c r="Z5802" s="9">
        <f>1/COUNTIFS(Таблица1[Customer Name],Таблица1[[#This Row],[Customer Name]],Таблица1[Order-Year-Month],Таблица1[[#This Row],[Order-Year-Month]])</f>
        <v>1</v>
      </c>
    </row>
    <row r="5803" spans="1:26" x14ac:dyDescent="0.2">
      <c r="A5803" s="6">
        <v>1766</v>
      </c>
      <c r="B5803" s="7">
        <v>12642</v>
      </c>
      <c r="C5803" s="8">
        <f>DATE(2012,12,31)-1344</f>
        <v>39930</v>
      </c>
      <c r="D5803" s="8" t="str">
        <f t="shared" si="107"/>
        <v>2009-04 (апрель 2009)</v>
      </c>
      <c r="E5803" s="9" t="s">
        <v>78</v>
      </c>
      <c r="F5803" s="7">
        <v>10</v>
      </c>
      <c r="G5803" s="7">
        <v>564.85</v>
      </c>
      <c r="H5803" s="7">
        <v>0.09</v>
      </c>
      <c r="I5803" s="9" t="s">
        <v>56</v>
      </c>
      <c r="J5803" s="10">
        <v>181.02449999999999</v>
      </c>
      <c r="K5803" s="11">
        <v>58.1</v>
      </c>
      <c r="L5803" s="11">
        <v>1.49</v>
      </c>
      <c r="M5803" s="9" t="s">
        <v>949</v>
      </c>
      <c r="N5803" s="6" t="s">
        <v>1905</v>
      </c>
      <c r="O5803" s="6" t="s">
        <v>673</v>
      </c>
      <c r="P5803" s="9" t="s">
        <v>60</v>
      </c>
      <c r="Q5803" s="9" t="s">
        <v>26</v>
      </c>
      <c r="R5803" s="9" t="s">
        <v>37</v>
      </c>
      <c r="S5803" s="7" t="s">
        <v>142</v>
      </c>
      <c r="T5803" s="9" t="s">
        <v>39</v>
      </c>
      <c r="U5803" s="7">
        <v>0.38</v>
      </c>
      <c r="V5803" s="12">
        <f>C5803+2</f>
        <v>39932</v>
      </c>
      <c r="W5803">
        <f>IF(D5803=' Pivot Tables'!$A$4,1,0)</f>
        <v>0</v>
      </c>
      <c r="X5803">
        <f>IF(AND(LEFT(D5803,4)+1=LEFT(' Pivot Tables'!$A$4,4)+0,RIGHT(LEFT(D5803,7),2)=RIGHT(LEFT(' Pivot Tables'!$A$4,7),2)),1,0)</f>
        <v>0</v>
      </c>
      <c r="Y5803" s="6">
        <f>1/COUNTIF(Таблица1[Order ID],Таблица1[[#This Row],[Order ID]])</f>
        <v>0.5</v>
      </c>
      <c r="Z5803" s="9">
        <f>1/COUNTIFS(Таблица1[Customer Name],Таблица1[[#This Row],[Customer Name]],Таблица1[Order-Year-Month],Таблица1[[#This Row],[Order-Year-Month]])</f>
        <v>0.5</v>
      </c>
    </row>
    <row r="5804" spans="1:26" x14ac:dyDescent="0.2">
      <c r="A5804" s="6">
        <v>1767</v>
      </c>
      <c r="B5804" s="7">
        <v>12642</v>
      </c>
      <c r="C5804" s="8">
        <f>DATE(2012,12,31)-1344</f>
        <v>39930</v>
      </c>
      <c r="D5804" s="8" t="str">
        <f t="shared" si="107"/>
        <v>2009-04 (апрель 2009)</v>
      </c>
      <c r="E5804" s="9" t="s">
        <v>78</v>
      </c>
      <c r="F5804" s="7">
        <v>14</v>
      </c>
      <c r="G5804" s="7">
        <v>572.33000000000004</v>
      </c>
      <c r="H5804" s="7">
        <v>0.01</v>
      </c>
      <c r="I5804" s="9" t="s">
        <v>22</v>
      </c>
      <c r="J5804" s="10">
        <v>-62.28</v>
      </c>
      <c r="K5804" s="11">
        <v>39.979999999999997</v>
      </c>
      <c r="L5804" s="11">
        <v>7.12</v>
      </c>
      <c r="M5804" s="9" t="s">
        <v>949</v>
      </c>
      <c r="N5804" s="6" t="s">
        <v>1905</v>
      </c>
      <c r="O5804" s="6" t="s">
        <v>673</v>
      </c>
      <c r="P5804" s="9" t="s">
        <v>60</v>
      </c>
      <c r="Q5804" s="9" t="s">
        <v>42</v>
      </c>
      <c r="R5804" s="9" t="s">
        <v>70</v>
      </c>
      <c r="S5804" s="7" t="s">
        <v>1084</v>
      </c>
      <c r="T5804" s="9" t="s">
        <v>39</v>
      </c>
      <c r="U5804" s="7">
        <v>0.67</v>
      </c>
      <c r="V5804" s="12">
        <f>C5804+2</f>
        <v>39932</v>
      </c>
      <c r="W5804">
        <f>IF(D5804=' Pivot Tables'!$A$4,1,0)</f>
        <v>0</v>
      </c>
      <c r="X5804">
        <f>IF(AND(LEFT(D5804,4)+1=LEFT(' Pivot Tables'!$A$4,4)+0,RIGHT(LEFT(D5804,7),2)=RIGHT(LEFT(' Pivot Tables'!$A$4,7),2)),1,0)</f>
        <v>0</v>
      </c>
      <c r="Y5804" s="6">
        <f>1/COUNTIF(Таблица1[Order ID],Таблица1[[#This Row],[Order ID]])</f>
        <v>0.5</v>
      </c>
      <c r="Z5804" s="9">
        <f>1/COUNTIFS(Таблица1[Customer Name],Таблица1[[#This Row],[Customer Name]],Таблица1[Order-Year-Month],Таблица1[[#This Row],[Order-Year-Month]])</f>
        <v>0.5</v>
      </c>
    </row>
    <row r="5805" spans="1:26" x14ac:dyDescent="0.2">
      <c r="A5805" s="6">
        <v>1884</v>
      </c>
      <c r="B5805" s="7">
        <v>13542</v>
      </c>
      <c r="C5805" s="8">
        <f>DATE(2012,12,31)-1394</f>
        <v>39880</v>
      </c>
      <c r="D5805" s="8" t="str">
        <f t="shared" si="107"/>
        <v>2009-03 (март 2009)</v>
      </c>
      <c r="E5805" s="9" t="s">
        <v>21</v>
      </c>
      <c r="F5805" s="7">
        <v>11</v>
      </c>
      <c r="G5805" s="7">
        <v>3571.84</v>
      </c>
      <c r="H5805" s="7">
        <v>0.01</v>
      </c>
      <c r="I5805" s="9" t="s">
        <v>31</v>
      </c>
      <c r="J5805" s="10">
        <v>403.81</v>
      </c>
      <c r="K5805" s="11">
        <v>300.98</v>
      </c>
      <c r="L5805" s="11">
        <v>64.73</v>
      </c>
      <c r="M5805" s="9" t="s">
        <v>1964</v>
      </c>
      <c r="N5805" s="6" t="s">
        <v>1905</v>
      </c>
      <c r="O5805" s="6" t="s">
        <v>673</v>
      </c>
      <c r="P5805" s="9" t="s">
        <v>33</v>
      </c>
      <c r="Q5805" s="9" t="s">
        <v>49</v>
      </c>
      <c r="R5805" s="9" t="s">
        <v>112</v>
      </c>
      <c r="S5805" s="7" t="s">
        <v>168</v>
      </c>
      <c r="T5805" s="9" t="s">
        <v>36</v>
      </c>
      <c r="U5805" s="7">
        <v>0.56000000000000005</v>
      </c>
      <c r="V5805" s="12">
        <f>C5805+7</f>
        <v>39887</v>
      </c>
      <c r="W5805">
        <f>IF(D5805=' Pivot Tables'!$A$4,1,0)</f>
        <v>0</v>
      </c>
      <c r="X5805">
        <f>IF(AND(LEFT(D5805,4)+1=LEFT(' Pivot Tables'!$A$4,4)+0,RIGHT(LEFT(D5805,7),2)=RIGHT(LEFT(' Pivot Tables'!$A$4,7),2)),1,0)</f>
        <v>0</v>
      </c>
      <c r="Y5805" s="6">
        <f>1/COUNTIF(Таблица1[Order ID],Таблица1[[#This Row],[Order ID]])</f>
        <v>0.5</v>
      </c>
      <c r="Z5805" s="9">
        <f>1/COUNTIFS(Таблица1[Customer Name],Таблица1[[#This Row],[Customer Name]],Таблица1[Order-Year-Month],Таблица1[[#This Row],[Order-Year-Month]])</f>
        <v>0.5</v>
      </c>
    </row>
    <row r="5806" spans="1:26" x14ac:dyDescent="0.2">
      <c r="A5806" s="6">
        <v>1885</v>
      </c>
      <c r="B5806" s="7">
        <v>13542</v>
      </c>
      <c r="C5806" s="8">
        <f>DATE(2012,12,31)-1394</f>
        <v>39880</v>
      </c>
      <c r="D5806" s="8" t="str">
        <f t="shared" si="107"/>
        <v>2009-03 (март 2009)</v>
      </c>
      <c r="E5806" s="9" t="s">
        <v>21</v>
      </c>
      <c r="F5806" s="7">
        <v>33</v>
      </c>
      <c r="G5806" s="7">
        <v>310.44</v>
      </c>
      <c r="H5806" s="7">
        <v>0.03</v>
      </c>
      <c r="I5806" s="9" t="s">
        <v>22</v>
      </c>
      <c r="J5806" s="10">
        <v>-90.21</v>
      </c>
      <c r="K5806" s="11">
        <v>8.74</v>
      </c>
      <c r="L5806" s="11">
        <v>8.2899999999999991</v>
      </c>
      <c r="M5806" s="9" t="s">
        <v>1964</v>
      </c>
      <c r="N5806" s="6" t="s">
        <v>1905</v>
      </c>
      <c r="O5806" s="6" t="s">
        <v>673</v>
      </c>
      <c r="P5806" s="9" t="s">
        <v>33</v>
      </c>
      <c r="Q5806" s="9" t="s">
        <v>26</v>
      </c>
      <c r="R5806" s="9" t="s">
        <v>76</v>
      </c>
      <c r="S5806" s="7" t="s">
        <v>567</v>
      </c>
      <c r="T5806" s="9" t="s">
        <v>39</v>
      </c>
      <c r="U5806" s="7">
        <v>0.38</v>
      </c>
      <c r="V5806" s="12">
        <f>C5806+0</f>
        <v>39880</v>
      </c>
      <c r="W5806">
        <f>IF(D5806=' Pivot Tables'!$A$4,1,0)</f>
        <v>0</v>
      </c>
      <c r="X5806">
        <f>IF(AND(LEFT(D5806,4)+1=LEFT(' Pivot Tables'!$A$4,4)+0,RIGHT(LEFT(D5806,7),2)=RIGHT(LEFT(' Pivot Tables'!$A$4,7),2)),1,0)</f>
        <v>0</v>
      </c>
      <c r="Y5806" s="6">
        <f>1/COUNTIF(Таблица1[Order ID],Таблица1[[#This Row],[Order ID]])</f>
        <v>0.5</v>
      </c>
      <c r="Z5806" s="9">
        <f>1/COUNTIFS(Таблица1[Customer Name],Таблица1[[#This Row],[Customer Name]],Таблица1[Order-Year-Month],Таблица1[[#This Row],[Order-Year-Month]])</f>
        <v>0.5</v>
      </c>
    </row>
    <row r="5807" spans="1:26" x14ac:dyDescent="0.2">
      <c r="A5807" s="6">
        <v>1954</v>
      </c>
      <c r="B5807" s="7">
        <v>13988</v>
      </c>
      <c r="C5807" s="8">
        <f>DATE(2012,12,31)-152</f>
        <v>41122</v>
      </c>
      <c r="D5807" s="8" t="str">
        <f t="shared" si="107"/>
        <v>2012-08 (август 2012)</v>
      </c>
      <c r="E5807" s="9" t="s">
        <v>45</v>
      </c>
      <c r="F5807" s="7">
        <v>34</v>
      </c>
      <c r="G5807" s="7">
        <v>180.27</v>
      </c>
      <c r="H5807" s="7">
        <v>0.01</v>
      </c>
      <c r="I5807" s="9" t="s">
        <v>22</v>
      </c>
      <c r="J5807" s="10">
        <v>-59.71</v>
      </c>
      <c r="K5807" s="11">
        <v>4.95</v>
      </c>
      <c r="L5807" s="11">
        <v>5.32</v>
      </c>
      <c r="M5807" s="9" t="s">
        <v>1965</v>
      </c>
      <c r="N5807" s="6" t="s">
        <v>1905</v>
      </c>
      <c r="O5807" s="6" t="s">
        <v>673</v>
      </c>
      <c r="P5807" s="9" t="s">
        <v>60</v>
      </c>
      <c r="Q5807" s="9" t="s">
        <v>49</v>
      </c>
      <c r="R5807" s="9" t="s">
        <v>50</v>
      </c>
      <c r="S5807" s="7" t="s">
        <v>1712</v>
      </c>
      <c r="T5807" s="9" t="s">
        <v>39</v>
      </c>
      <c r="U5807" s="7">
        <v>0.41</v>
      </c>
      <c r="V5807" s="12">
        <f>C5807+1</f>
        <v>41123</v>
      </c>
      <c r="W5807">
        <f>IF(D5807=' Pivot Tables'!$A$4,1,0)</f>
        <v>0</v>
      </c>
      <c r="X5807">
        <f>IF(AND(LEFT(D5807,4)+1=LEFT(' Pivot Tables'!$A$4,4)+0,RIGHT(LEFT(D5807,7),2)=RIGHT(LEFT(' Pivot Tables'!$A$4,7),2)),1,0)</f>
        <v>0</v>
      </c>
      <c r="Y5807" s="6">
        <f>1/COUNTIF(Таблица1[Order ID],Таблица1[[#This Row],[Order ID]])</f>
        <v>0.33333333333333331</v>
      </c>
      <c r="Z5807" s="9">
        <f>1/COUNTIFS(Таблица1[Customer Name],Таблица1[[#This Row],[Customer Name]],Таблица1[Order-Year-Month],Таблица1[[#This Row],[Order-Year-Month]])</f>
        <v>0.33333333333333331</v>
      </c>
    </row>
    <row r="5808" spans="1:26" x14ac:dyDescent="0.2">
      <c r="A5808" s="6">
        <v>1955</v>
      </c>
      <c r="B5808" s="7">
        <v>13988</v>
      </c>
      <c r="C5808" s="8">
        <f>DATE(2012,12,31)-152</f>
        <v>41122</v>
      </c>
      <c r="D5808" s="8" t="str">
        <f t="shared" si="107"/>
        <v>2012-08 (август 2012)</v>
      </c>
      <c r="E5808" s="9" t="s">
        <v>45</v>
      </c>
      <c r="F5808" s="7">
        <v>39</v>
      </c>
      <c r="G5808" s="7">
        <v>626.96</v>
      </c>
      <c r="H5808" s="7">
        <v>0</v>
      </c>
      <c r="I5808" s="9" t="s">
        <v>22</v>
      </c>
      <c r="J5808" s="10">
        <v>-35.92</v>
      </c>
      <c r="K5808" s="11">
        <v>14.98</v>
      </c>
      <c r="L5808" s="11">
        <v>7.69</v>
      </c>
      <c r="M5808" s="9" t="s">
        <v>1965</v>
      </c>
      <c r="N5808" s="6" t="s">
        <v>1905</v>
      </c>
      <c r="O5808" s="6" t="s">
        <v>673</v>
      </c>
      <c r="P5808" s="9" t="s">
        <v>60</v>
      </c>
      <c r="Q5808" s="9" t="s">
        <v>26</v>
      </c>
      <c r="R5808" s="9" t="s">
        <v>27</v>
      </c>
      <c r="S5808" s="7" t="s">
        <v>1240</v>
      </c>
      <c r="T5808" s="9" t="s">
        <v>39</v>
      </c>
      <c r="U5808" s="7">
        <v>0.56999999999999995</v>
      </c>
      <c r="V5808" s="12">
        <f>C5808+1</f>
        <v>41123</v>
      </c>
      <c r="W5808">
        <f>IF(D5808=' Pivot Tables'!$A$4,1,0)</f>
        <v>0</v>
      </c>
      <c r="X5808">
        <f>IF(AND(LEFT(D5808,4)+1=LEFT(' Pivot Tables'!$A$4,4)+0,RIGHT(LEFT(D5808,7),2)=RIGHT(LEFT(' Pivot Tables'!$A$4,7),2)),1,0)</f>
        <v>0</v>
      </c>
      <c r="Y5808" s="6">
        <f>1/COUNTIF(Таблица1[Order ID],Таблица1[[#This Row],[Order ID]])</f>
        <v>0.33333333333333331</v>
      </c>
      <c r="Z5808" s="9">
        <f>1/COUNTIFS(Таблица1[Customer Name],Таблица1[[#This Row],[Customer Name]],Таблица1[Order-Year-Month],Таблица1[[#This Row],[Order-Year-Month]])</f>
        <v>0.33333333333333331</v>
      </c>
    </row>
    <row r="5809" spans="1:26" x14ac:dyDescent="0.2">
      <c r="A5809" s="6">
        <v>1956</v>
      </c>
      <c r="B5809" s="7">
        <v>13988</v>
      </c>
      <c r="C5809" s="8">
        <f>DATE(2012,12,31)-152</f>
        <v>41122</v>
      </c>
      <c r="D5809" s="8" t="str">
        <f t="shared" si="107"/>
        <v>2012-08 (август 2012)</v>
      </c>
      <c r="E5809" s="9" t="s">
        <v>45</v>
      </c>
      <c r="F5809" s="7">
        <v>18</v>
      </c>
      <c r="G5809" s="7">
        <v>236.31</v>
      </c>
      <c r="H5809" s="7">
        <v>0.04</v>
      </c>
      <c r="I5809" s="9" t="s">
        <v>56</v>
      </c>
      <c r="J5809" s="10">
        <v>-2.2400000000000002</v>
      </c>
      <c r="K5809" s="11">
        <v>11.97</v>
      </c>
      <c r="L5809" s="11">
        <v>4.9800000000000004</v>
      </c>
      <c r="M5809" s="9" t="s">
        <v>1965</v>
      </c>
      <c r="N5809" s="6" t="s">
        <v>1905</v>
      </c>
      <c r="O5809" s="6" t="s">
        <v>673</v>
      </c>
      <c r="P5809" s="9" t="s">
        <v>60</v>
      </c>
      <c r="Q5809" s="9" t="s">
        <v>26</v>
      </c>
      <c r="R5809" s="9" t="s">
        <v>34</v>
      </c>
      <c r="S5809" s="7" t="s">
        <v>274</v>
      </c>
      <c r="T5809" s="9" t="s">
        <v>39</v>
      </c>
      <c r="U5809" s="7">
        <v>0.57999999999999996</v>
      </c>
      <c r="V5809" s="12">
        <f>C5809+1</f>
        <v>41123</v>
      </c>
      <c r="W5809">
        <f>IF(D5809=' Pivot Tables'!$A$4,1,0)</f>
        <v>0</v>
      </c>
      <c r="X5809">
        <f>IF(AND(LEFT(D5809,4)+1=LEFT(' Pivot Tables'!$A$4,4)+0,RIGHT(LEFT(D5809,7),2)=RIGHT(LEFT(' Pivot Tables'!$A$4,7),2)),1,0)</f>
        <v>0</v>
      </c>
      <c r="Y5809" s="6">
        <f>1/COUNTIF(Таблица1[Order ID],Таблица1[[#This Row],[Order ID]])</f>
        <v>0.33333333333333331</v>
      </c>
      <c r="Z5809" s="9">
        <f>1/COUNTIFS(Таблица1[Customer Name],Таблица1[[#This Row],[Customer Name]],Таблица1[Order-Year-Month],Таблица1[[#This Row],[Order-Year-Month]])</f>
        <v>0.33333333333333331</v>
      </c>
    </row>
    <row r="5810" spans="1:26" x14ac:dyDescent="0.2">
      <c r="A5810" s="6">
        <v>1996</v>
      </c>
      <c r="B5810" s="7">
        <v>14241</v>
      </c>
      <c r="C5810" s="8">
        <f>DATE(2012,12,31)-200</f>
        <v>41074</v>
      </c>
      <c r="D5810" s="8" t="str">
        <f t="shared" si="107"/>
        <v>2012-06 (июнь 2012)</v>
      </c>
      <c r="E5810" s="9" t="s">
        <v>78</v>
      </c>
      <c r="F5810" s="7">
        <v>22</v>
      </c>
      <c r="G5810" s="7">
        <v>263.63</v>
      </c>
      <c r="H5810" s="7">
        <v>0.03</v>
      </c>
      <c r="I5810" s="9" t="s">
        <v>22</v>
      </c>
      <c r="J5810" s="10">
        <v>48.86</v>
      </c>
      <c r="K5810" s="11">
        <v>11.55</v>
      </c>
      <c r="L5810" s="11">
        <v>2.36</v>
      </c>
      <c r="M5810" s="9" t="s">
        <v>1965</v>
      </c>
      <c r="N5810" s="6" t="s">
        <v>1905</v>
      </c>
      <c r="O5810" s="6" t="s">
        <v>673</v>
      </c>
      <c r="P5810" s="9" t="s">
        <v>60</v>
      </c>
      <c r="Q5810" s="9" t="s">
        <v>26</v>
      </c>
      <c r="R5810" s="9" t="s">
        <v>95</v>
      </c>
      <c r="S5810" s="7" t="s">
        <v>990</v>
      </c>
      <c r="T5810" s="9" t="s">
        <v>68</v>
      </c>
      <c r="U5810" s="7">
        <v>0.55000000000000004</v>
      </c>
      <c r="V5810" s="12">
        <f>C5810+1</f>
        <v>41075</v>
      </c>
      <c r="W5810">
        <f>IF(D5810=' Pivot Tables'!$A$4,1,0)</f>
        <v>0</v>
      </c>
      <c r="X5810">
        <f>IF(AND(LEFT(D5810,4)+1=LEFT(' Pivot Tables'!$A$4,4)+0,RIGHT(LEFT(D5810,7),2)=RIGHT(LEFT(' Pivot Tables'!$A$4,7),2)),1,0)</f>
        <v>0</v>
      </c>
      <c r="Y5810" s="6">
        <f>1/COUNTIF(Таблица1[Order ID],Таблица1[[#This Row],[Order ID]])</f>
        <v>1</v>
      </c>
      <c r="Z5810" s="9">
        <f>1/COUNTIFS(Таблица1[Customer Name],Таблица1[[#This Row],[Customer Name]],Таблица1[Order-Year-Month],Таблица1[[#This Row],[Order-Year-Month]])</f>
        <v>1</v>
      </c>
    </row>
    <row r="5811" spans="1:26" x14ac:dyDescent="0.2">
      <c r="A5811" s="6">
        <v>1997</v>
      </c>
      <c r="B5811" s="7">
        <v>14242</v>
      </c>
      <c r="C5811" s="8">
        <f>DATE(2012,12,31)-603</f>
        <v>40671</v>
      </c>
      <c r="D5811" s="8" t="str">
        <f t="shared" si="107"/>
        <v>2011-05 (май 2011)</v>
      </c>
      <c r="E5811" s="9" t="s">
        <v>30</v>
      </c>
      <c r="F5811" s="7">
        <v>35</v>
      </c>
      <c r="G5811" s="7">
        <v>1078.58</v>
      </c>
      <c r="H5811" s="7">
        <v>0.03</v>
      </c>
      <c r="I5811" s="9" t="s">
        <v>22</v>
      </c>
      <c r="J5811" s="10">
        <v>8.9999999999999751</v>
      </c>
      <c r="K5811" s="11">
        <v>30.73</v>
      </c>
      <c r="L5811" s="11">
        <v>4</v>
      </c>
      <c r="M5811" s="9" t="s">
        <v>1963</v>
      </c>
      <c r="N5811" s="6" t="s">
        <v>1905</v>
      </c>
      <c r="O5811" s="6" t="s">
        <v>673</v>
      </c>
      <c r="P5811" s="9" t="s">
        <v>41</v>
      </c>
      <c r="Q5811" s="9" t="s">
        <v>42</v>
      </c>
      <c r="R5811" s="9" t="s">
        <v>70</v>
      </c>
      <c r="S5811" s="7" t="s">
        <v>270</v>
      </c>
      <c r="T5811" s="9" t="s">
        <v>39</v>
      </c>
      <c r="U5811" s="7">
        <v>0.75</v>
      </c>
      <c r="V5811" s="12">
        <f>C5811+2</f>
        <v>40673</v>
      </c>
      <c r="W5811">
        <f>IF(D5811=' Pivot Tables'!$A$4,1,0)</f>
        <v>0</v>
      </c>
      <c r="X5811">
        <f>IF(AND(LEFT(D5811,4)+1=LEFT(' Pivot Tables'!$A$4,4)+0,RIGHT(LEFT(D5811,7),2)=RIGHT(LEFT(' Pivot Tables'!$A$4,7),2)),1,0)</f>
        <v>0</v>
      </c>
      <c r="Y5811" s="6">
        <f>1/COUNTIF(Таблица1[Order ID],Таблица1[[#This Row],[Order ID]])</f>
        <v>1</v>
      </c>
      <c r="Z5811" s="9">
        <f>1/COUNTIFS(Таблица1[Customer Name],Таблица1[[#This Row],[Customer Name]],Таблица1[Order-Year-Month],Таблица1[[#This Row],[Order-Year-Month]])</f>
        <v>1</v>
      </c>
    </row>
    <row r="5812" spans="1:26" x14ac:dyDescent="0.2">
      <c r="A5812" s="6">
        <v>2085</v>
      </c>
      <c r="B5812" s="7">
        <v>14913</v>
      </c>
      <c r="C5812" s="8">
        <f>DATE(2012,12,31)-1416</f>
        <v>39858</v>
      </c>
      <c r="D5812" s="8" t="str">
        <f t="shared" si="107"/>
        <v>2009-02 (февраль 2009)</v>
      </c>
      <c r="E5812" s="9" t="s">
        <v>30</v>
      </c>
      <c r="F5812" s="7">
        <v>47</v>
      </c>
      <c r="G5812" s="7">
        <v>1003.43</v>
      </c>
      <c r="H5812" s="7">
        <v>0.01</v>
      </c>
      <c r="I5812" s="9" t="s">
        <v>22</v>
      </c>
      <c r="J5812" s="10">
        <v>208.06</v>
      </c>
      <c r="K5812" s="11">
        <v>19.98</v>
      </c>
      <c r="L5812" s="11">
        <v>8.68</v>
      </c>
      <c r="M5812" s="9" t="s">
        <v>1959</v>
      </c>
      <c r="N5812" s="6" t="s">
        <v>1905</v>
      </c>
      <c r="O5812" s="6" t="s">
        <v>673</v>
      </c>
      <c r="P5812" s="9" t="s">
        <v>33</v>
      </c>
      <c r="Q5812" s="9" t="s">
        <v>26</v>
      </c>
      <c r="R5812" s="9" t="s">
        <v>61</v>
      </c>
      <c r="S5812" s="7" t="s">
        <v>617</v>
      </c>
      <c r="T5812" s="9" t="s">
        <v>39</v>
      </c>
      <c r="U5812" s="7">
        <v>0.37</v>
      </c>
      <c r="V5812" s="12">
        <f>C5812+1</f>
        <v>39859</v>
      </c>
      <c r="W5812">
        <f>IF(D5812=' Pivot Tables'!$A$4,1,0)</f>
        <v>0</v>
      </c>
      <c r="X5812">
        <f>IF(AND(LEFT(D5812,4)+1=LEFT(' Pivot Tables'!$A$4,4)+0,RIGHT(LEFT(D5812,7),2)=RIGHT(LEFT(' Pivot Tables'!$A$4,7),2)),1,0)</f>
        <v>0</v>
      </c>
      <c r="Y5812" s="6">
        <f>1/COUNTIF(Таблица1[Order ID],Таблица1[[#This Row],[Order ID]])</f>
        <v>1</v>
      </c>
      <c r="Z5812" s="9">
        <f>1/COUNTIFS(Таблица1[Customer Name],Таблица1[[#This Row],[Customer Name]],Таблица1[Order-Year-Month],Таблица1[[#This Row],[Order-Year-Month]])</f>
        <v>1</v>
      </c>
    </row>
    <row r="5813" spans="1:26" x14ac:dyDescent="0.2">
      <c r="A5813" s="6">
        <v>2089</v>
      </c>
      <c r="B5813" s="7">
        <v>14951</v>
      </c>
      <c r="C5813" s="8">
        <f>DATE(2012,12,31)-594</f>
        <v>40680</v>
      </c>
      <c r="D5813" s="8" t="str">
        <f t="shared" si="107"/>
        <v>2011-05 (май 2011)</v>
      </c>
      <c r="E5813" s="9" t="s">
        <v>63</v>
      </c>
      <c r="F5813" s="7">
        <v>34</v>
      </c>
      <c r="G5813" s="7">
        <v>2779.2</v>
      </c>
      <c r="H5813" s="7">
        <v>0.02</v>
      </c>
      <c r="I5813" s="9" t="s">
        <v>22</v>
      </c>
      <c r="J5813" s="10">
        <v>889.57</v>
      </c>
      <c r="K5813" s="11">
        <v>80.98</v>
      </c>
      <c r="L5813" s="11">
        <v>7.18</v>
      </c>
      <c r="M5813" s="9" t="s">
        <v>1837</v>
      </c>
      <c r="N5813" s="6" t="s">
        <v>1905</v>
      </c>
      <c r="O5813" s="6" t="s">
        <v>673</v>
      </c>
      <c r="P5813" s="9" t="s">
        <v>60</v>
      </c>
      <c r="Q5813" s="9" t="s">
        <v>42</v>
      </c>
      <c r="R5813" s="9" t="s">
        <v>70</v>
      </c>
      <c r="S5813" s="7" t="s">
        <v>686</v>
      </c>
      <c r="T5813" s="9" t="s">
        <v>39</v>
      </c>
      <c r="U5813" s="7">
        <v>0.48</v>
      </c>
      <c r="V5813" s="12">
        <f>C5813+2</f>
        <v>40682</v>
      </c>
      <c r="W5813">
        <f>IF(D5813=' Pivot Tables'!$A$4,1,0)</f>
        <v>0</v>
      </c>
      <c r="X5813">
        <f>IF(AND(LEFT(D5813,4)+1=LEFT(' Pivot Tables'!$A$4,4)+0,RIGHT(LEFT(D5813,7),2)=RIGHT(LEFT(' Pivot Tables'!$A$4,7),2)),1,0)</f>
        <v>0</v>
      </c>
      <c r="Y5813" s="6">
        <f>1/COUNTIF(Таблица1[Order ID],Таблица1[[#This Row],[Order ID]])</f>
        <v>0.5</v>
      </c>
      <c r="Z5813" s="9">
        <f>1/COUNTIFS(Таблица1[Customer Name],Таблица1[[#This Row],[Customer Name]],Таблица1[Order-Year-Month],Таблица1[[#This Row],[Order-Year-Month]])</f>
        <v>0.33333333333333331</v>
      </c>
    </row>
    <row r="5814" spans="1:26" x14ac:dyDescent="0.2">
      <c r="A5814" s="6">
        <v>2090</v>
      </c>
      <c r="B5814" s="7">
        <v>14951</v>
      </c>
      <c r="C5814" s="8">
        <f>DATE(2012,12,31)-594</f>
        <v>40680</v>
      </c>
      <c r="D5814" s="8" t="str">
        <f t="shared" si="107"/>
        <v>2011-05 (май 2011)</v>
      </c>
      <c r="E5814" s="9" t="s">
        <v>63</v>
      </c>
      <c r="F5814" s="7">
        <v>26</v>
      </c>
      <c r="G5814" s="7">
        <v>65.209999999999994</v>
      </c>
      <c r="H5814" s="7">
        <v>0.08</v>
      </c>
      <c r="I5814" s="9" t="s">
        <v>22</v>
      </c>
      <c r="J5814" s="10">
        <v>-41.6</v>
      </c>
      <c r="K5814" s="11">
        <v>2.6</v>
      </c>
      <c r="L5814" s="11">
        <v>2.4</v>
      </c>
      <c r="M5814" s="9" t="s">
        <v>1837</v>
      </c>
      <c r="N5814" s="6" t="s">
        <v>1905</v>
      </c>
      <c r="O5814" s="6" t="s">
        <v>673</v>
      </c>
      <c r="P5814" s="9" t="s">
        <v>60</v>
      </c>
      <c r="Q5814" s="9" t="s">
        <v>26</v>
      </c>
      <c r="R5814" s="9" t="s">
        <v>95</v>
      </c>
      <c r="S5814" s="7" t="s">
        <v>393</v>
      </c>
      <c r="T5814" s="9" t="s">
        <v>68</v>
      </c>
      <c r="U5814" s="7">
        <v>0.57999999999999996</v>
      </c>
      <c r="V5814" s="12">
        <f>C5814+0</f>
        <v>40680</v>
      </c>
      <c r="W5814">
        <f>IF(D5814=' Pivot Tables'!$A$4,1,0)</f>
        <v>0</v>
      </c>
      <c r="X5814">
        <f>IF(AND(LEFT(D5814,4)+1=LEFT(' Pivot Tables'!$A$4,4)+0,RIGHT(LEFT(D5814,7),2)=RIGHT(LEFT(' Pivot Tables'!$A$4,7),2)),1,0)</f>
        <v>0</v>
      </c>
      <c r="Y5814" s="6">
        <f>1/COUNTIF(Таблица1[Order ID],Таблица1[[#This Row],[Order ID]])</f>
        <v>0.5</v>
      </c>
      <c r="Z5814" s="9">
        <f>1/COUNTIFS(Таблица1[Customer Name],Таблица1[[#This Row],[Customer Name]],Таблица1[Order-Year-Month],Таблица1[[#This Row],[Order-Year-Month]])</f>
        <v>0.33333333333333331</v>
      </c>
    </row>
    <row r="5815" spans="1:26" x14ac:dyDescent="0.2">
      <c r="A5815" s="6">
        <v>2097</v>
      </c>
      <c r="B5815" s="7">
        <v>14983</v>
      </c>
      <c r="C5815" s="8">
        <f>DATE(2012,12,31)-1419</f>
        <v>39855</v>
      </c>
      <c r="D5815" s="8" t="str">
        <f t="shared" si="107"/>
        <v>2009-02 (февраль 2009)</v>
      </c>
      <c r="E5815" s="9" t="s">
        <v>30</v>
      </c>
      <c r="F5815" s="7">
        <v>48</v>
      </c>
      <c r="G5815" s="7">
        <v>8475.9619999999995</v>
      </c>
      <c r="H5815" s="7">
        <v>0.05</v>
      </c>
      <c r="I5815" s="9" t="s">
        <v>56</v>
      </c>
      <c r="J5815" s="10">
        <v>2497.9409999999998</v>
      </c>
      <c r="K5815" s="11">
        <v>205.99</v>
      </c>
      <c r="L5815" s="11">
        <v>8.99</v>
      </c>
      <c r="M5815" s="9" t="s">
        <v>1196</v>
      </c>
      <c r="N5815" s="6" t="s">
        <v>1905</v>
      </c>
      <c r="O5815" s="6" t="s">
        <v>673</v>
      </c>
      <c r="P5815" s="9" t="s">
        <v>33</v>
      </c>
      <c r="Q5815" s="9" t="s">
        <v>42</v>
      </c>
      <c r="R5815" s="9" t="s">
        <v>43</v>
      </c>
      <c r="S5815" s="7" t="s">
        <v>1162</v>
      </c>
      <c r="T5815" s="9" t="s">
        <v>39</v>
      </c>
      <c r="U5815" s="7">
        <v>0.57999999999999996</v>
      </c>
      <c r="V5815" s="12">
        <f>C5815+1</f>
        <v>39856</v>
      </c>
      <c r="W5815">
        <f>IF(D5815=' Pivot Tables'!$A$4,1,0)</f>
        <v>0</v>
      </c>
      <c r="X5815">
        <f>IF(AND(LEFT(D5815,4)+1=LEFT(' Pivot Tables'!$A$4,4)+0,RIGHT(LEFT(D5815,7),2)=RIGHT(LEFT(' Pivot Tables'!$A$4,7),2)),1,0)</f>
        <v>0</v>
      </c>
      <c r="Y5815" s="6">
        <f>1/COUNTIF(Таблица1[Order ID],Таблица1[[#This Row],[Order ID]])</f>
        <v>0.5</v>
      </c>
      <c r="Z5815" s="9">
        <f>1/COUNTIFS(Таблица1[Customer Name],Таблица1[[#This Row],[Customer Name]],Таблица1[Order-Year-Month],Таблица1[[#This Row],[Order-Year-Month]])</f>
        <v>0.5</v>
      </c>
    </row>
    <row r="5816" spans="1:26" x14ac:dyDescent="0.2">
      <c r="A5816" s="6">
        <v>2098</v>
      </c>
      <c r="B5816" s="7">
        <v>14983</v>
      </c>
      <c r="C5816" s="8">
        <f>DATE(2012,12,31)-1419</f>
        <v>39855</v>
      </c>
      <c r="D5816" s="8" t="str">
        <f t="shared" si="107"/>
        <v>2009-02 (февраль 2009)</v>
      </c>
      <c r="E5816" s="9" t="s">
        <v>30</v>
      </c>
      <c r="F5816" s="7">
        <v>18</v>
      </c>
      <c r="G5816" s="7">
        <v>3015.4939999999997</v>
      </c>
      <c r="H5816" s="7">
        <v>0.08</v>
      </c>
      <c r="I5816" s="9" t="s">
        <v>22</v>
      </c>
      <c r="J5816" s="10">
        <v>251.541</v>
      </c>
      <c r="K5816" s="11">
        <v>205.99</v>
      </c>
      <c r="L5816" s="11">
        <v>8.99</v>
      </c>
      <c r="M5816" s="9" t="s">
        <v>1196</v>
      </c>
      <c r="N5816" s="6" t="s">
        <v>1905</v>
      </c>
      <c r="O5816" s="6" t="s">
        <v>673</v>
      </c>
      <c r="P5816" s="9" t="s">
        <v>33</v>
      </c>
      <c r="Q5816" s="9" t="s">
        <v>42</v>
      </c>
      <c r="R5816" s="9" t="s">
        <v>43</v>
      </c>
      <c r="S5816" s="7" t="s">
        <v>1444</v>
      </c>
      <c r="T5816" s="9" t="s">
        <v>39</v>
      </c>
      <c r="U5816" s="7">
        <v>0.56000000000000005</v>
      </c>
      <c r="V5816" s="12">
        <f>C5816+1</f>
        <v>39856</v>
      </c>
      <c r="W5816">
        <f>IF(D5816=' Pivot Tables'!$A$4,1,0)</f>
        <v>0</v>
      </c>
      <c r="X5816">
        <f>IF(AND(LEFT(D5816,4)+1=LEFT(' Pivot Tables'!$A$4,4)+0,RIGHT(LEFT(D5816,7),2)=RIGHT(LEFT(' Pivot Tables'!$A$4,7),2)),1,0)</f>
        <v>0</v>
      </c>
      <c r="Y5816" s="6">
        <f>1/COUNTIF(Таблица1[Order ID],Таблица1[[#This Row],[Order ID]])</f>
        <v>0.5</v>
      </c>
      <c r="Z5816" s="9">
        <f>1/COUNTIFS(Таблица1[Customer Name],Таблица1[[#This Row],[Customer Name]],Таблица1[Order-Year-Month],Таблица1[[#This Row],[Order-Year-Month]])</f>
        <v>0.5</v>
      </c>
    </row>
    <row r="5817" spans="1:26" x14ac:dyDescent="0.2">
      <c r="A5817" s="6">
        <v>2160</v>
      </c>
      <c r="B5817" s="7">
        <v>15524</v>
      </c>
      <c r="C5817" s="8">
        <f>DATE(2012,12,31)-234</f>
        <v>41040</v>
      </c>
      <c r="D5817" s="8" t="str">
        <f t="shared" si="107"/>
        <v>2012-05 (май 2012)</v>
      </c>
      <c r="E5817" s="9" t="s">
        <v>63</v>
      </c>
      <c r="F5817" s="7">
        <v>27</v>
      </c>
      <c r="G5817" s="7">
        <v>156.82</v>
      </c>
      <c r="H5817" s="7">
        <v>0.03</v>
      </c>
      <c r="I5817" s="9" t="s">
        <v>22</v>
      </c>
      <c r="J5817" s="10">
        <v>-37.619999999999997</v>
      </c>
      <c r="K5817" s="11">
        <v>5.68</v>
      </c>
      <c r="L5817" s="11">
        <v>3.6</v>
      </c>
      <c r="M5817" s="9" t="s">
        <v>1964</v>
      </c>
      <c r="N5817" s="6" t="s">
        <v>1905</v>
      </c>
      <c r="O5817" s="6" t="s">
        <v>673</v>
      </c>
      <c r="P5817" s="9" t="s">
        <v>33</v>
      </c>
      <c r="Q5817" s="9" t="s">
        <v>26</v>
      </c>
      <c r="R5817" s="9" t="s">
        <v>150</v>
      </c>
      <c r="S5817" s="7" t="s">
        <v>1716</v>
      </c>
      <c r="T5817" s="9" t="s">
        <v>52</v>
      </c>
      <c r="U5817" s="7">
        <v>0.56000000000000005</v>
      </c>
      <c r="V5817" s="12">
        <f>C5817+1</f>
        <v>41041</v>
      </c>
      <c r="W5817">
        <f>IF(D5817=' Pivot Tables'!$A$4,1,0)</f>
        <v>0</v>
      </c>
      <c r="X5817">
        <f>IF(AND(LEFT(D5817,4)+1=LEFT(' Pivot Tables'!$A$4,4)+0,RIGHT(LEFT(D5817,7),2)=RIGHT(LEFT(' Pivot Tables'!$A$4,7),2)),1,0)</f>
        <v>0</v>
      </c>
      <c r="Y5817" s="6">
        <f>1/COUNTIF(Таблица1[Order ID],Таблица1[[#This Row],[Order ID]])</f>
        <v>1</v>
      </c>
      <c r="Z5817" s="9">
        <f>1/COUNTIFS(Таблица1[Customer Name],Таблица1[[#This Row],[Customer Name]],Таблица1[Order-Year-Month],Таблица1[[#This Row],[Order-Year-Month]])</f>
        <v>1</v>
      </c>
    </row>
    <row r="5818" spans="1:26" x14ac:dyDescent="0.2">
      <c r="A5818" s="6">
        <v>2180</v>
      </c>
      <c r="B5818" s="7">
        <v>15714</v>
      </c>
      <c r="C5818" s="8">
        <f>DATE(2012,12,31)-545</f>
        <v>40729</v>
      </c>
      <c r="D5818" s="8" t="str">
        <f t="shared" si="107"/>
        <v>2011-07 (июль 2011)</v>
      </c>
      <c r="E5818" s="9" t="s">
        <v>30</v>
      </c>
      <c r="F5818" s="7">
        <v>50</v>
      </c>
      <c r="G5818" s="7">
        <v>2510.71</v>
      </c>
      <c r="H5818" s="7">
        <v>0.01</v>
      </c>
      <c r="I5818" s="9" t="s">
        <v>56</v>
      </c>
      <c r="J5818" s="10">
        <v>3.5999999999999943</v>
      </c>
      <c r="K5818" s="11">
        <v>49.43</v>
      </c>
      <c r="L5818" s="11">
        <v>19.989999999999998</v>
      </c>
      <c r="M5818" s="9" t="s">
        <v>1965</v>
      </c>
      <c r="N5818" s="6" t="s">
        <v>1905</v>
      </c>
      <c r="O5818" s="6" t="s">
        <v>673</v>
      </c>
      <c r="P5818" s="9" t="s">
        <v>60</v>
      </c>
      <c r="Q5818" s="9" t="s">
        <v>26</v>
      </c>
      <c r="R5818" s="9" t="s">
        <v>34</v>
      </c>
      <c r="S5818" s="7" t="s">
        <v>820</v>
      </c>
      <c r="T5818" s="9" t="s">
        <v>39</v>
      </c>
      <c r="U5818" s="7">
        <v>0.56999999999999995</v>
      </c>
      <c r="V5818" s="12">
        <f>C5818+2</f>
        <v>40731</v>
      </c>
      <c r="W5818">
        <f>IF(D5818=' Pivot Tables'!$A$4,1,0)</f>
        <v>0</v>
      </c>
      <c r="X5818">
        <f>IF(AND(LEFT(D5818,4)+1=LEFT(' Pivot Tables'!$A$4,4)+0,RIGHT(LEFT(D5818,7),2)=RIGHT(LEFT(' Pivot Tables'!$A$4,7),2)),1,0)</f>
        <v>0</v>
      </c>
      <c r="Y5818" s="6">
        <f>1/COUNTIF(Таблица1[Order ID],Таблица1[[#This Row],[Order ID]])</f>
        <v>1</v>
      </c>
      <c r="Z5818" s="9">
        <f>1/COUNTIFS(Таблица1[Customer Name],Таблица1[[#This Row],[Customer Name]],Таблица1[Order-Year-Month],Таблица1[[#This Row],[Order-Year-Month]])</f>
        <v>1</v>
      </c>
    </row>
    <row r="5819" spans="1:26" x14ac:dyDescent="0.2">
      <c r="A5819" s="6">
        <v>2382</v>
      </c>
      <c r="B5819" s="7">
        <v>17282</v>
      </c>
      <c r="C5819" s="8">
        <f>DATE(2012,12,31)-1139</f>
        <v>40135</v>
      </c>
      <c r="D5819" s="8" t="str">
        <f t="shared" si="107"/>
        <v>2009-11 (ноябрь 2009)</v>
      </c>
      <c r="E5819" s="9" t="s">
        <v>21</v>
      </c>
      <c r="F5819" s="7">
        <v>37</v>
      </c>
      <c r="G5819" s="7">
        <v>988.42</v>
      </c>
      <c r="H5819" s="7">
        <v>0.09</v>
      </c>
      <c r="I5819" s="9" t="s">
        <v>22</v>
      </c>
      <c r="J5819" s="10">
        <v>253.9375</v>
      </c>
      <c r="K5819" s="11">
        <v>29.17</v>
      </c>
      <c r="L5819" s="11">
        <v>6.27</v>
      </c>
      <c r="M5819" s="9" t="s">
        <v>1837</v>
      </c>
      <c r="N5819" s="6" t="s">
        <v>1905</v>
      </c>
      <c r="O5819" s="6" t="s">
        <v>673</v>
      </c>
      <c r="P5819" s="9" t="s">
        <v>60</v>
      </c>
      <c r="Q5819" s="9" t="s">
        <v>26</v>
      </c>
      <c r="R5819" s="9" t="s">
        <v>37</v>
      </c>
      <c r="S5819" s="7" t="s">
        <v>1100</v>
      </c>
      <c r="T5819" s="9" t="s">
        <v>39</v>
      </c>
      <c r="U5819" s="7">
        <v>0.37</v>
      </c>
      <c r="V5819" s="12">
        <f>C5819+2</f>
        <v>40137</v>
      </c>
      <c r="W5819">
        <f>IF(D5819=' Pivot Tables'!$A$4,1,0)</f>
        <v>0</v>
      </c>
      <c r="X5819">
        <f>IF(AND(LEFT(D5819,4)+1=LEFT(' Pivot Tables'!$A$4,4)+0,RIGHT(LEFT(D5819,7),2)=RIGHT(LEFT(' Pivot Tables'!$A$4,7),2)),1,0)</f>
        <v>0</v>
      </c>
      <c r="Y5819" s="6">
        <f>1/COUNTIF(Таблица1[Order ID],Таблица1[[#This Row],[Order ID]])</f>
        <v>1</v>
      </c>
      <c r="Z5819" s="9">
        <f>1/COUNTIFS(Таблица1[Customer Name],Таблица1[[#This Row],[Customer Name]],Таблица1[Order-Year-Month],Таблица1[[#This Row],[Order-Year-Month]])</f>
        <v>1</v>
      </c>
    </row>
    <row r="5820" spans="1:26" x14ac:dyDescent="0.2">
      <c r="A5820" s="6">
        <v>2398</v>
      </c>
      <c r="B5820" s="7">
        <v>17381</v>
      </c>
      <c r="C5820" s="8">
        <f>DATE(2012,12,31)-870</f>
        <v>40404</v>
      </c>
      <c r="D5820" s="8" t="str">
        <f t="shared" si="107"/>
        <v>2010-08 (август 2010)</v>
      </c>
      <c r="E5820" s="9" t="s">
        <v>30</v>
      </c>
      <c r="F5820" s="7">
        <v>28</v>
      </c>
      <c r="G5820" s="7">
        <v>101.25</v>
      </c>
      <c r="H5820" s="7">
        <v>0.05</v>
      </c>
      <c r="I5820" s="9" t="s">
        <v>22</v>
      </c>
      <c r="J5820" s="10">
        <v>40.9</v>
      </c>
      <c r="K5820" s="11">
        <v>3.75</v>
      </c>
      <c r="L5820" s="11">
        <v>0.5</v>
      </c>
      <c r="M5820" s="9" t="s">
        <v>1196</v>
      </c>
      <c r="N5820" s="6" t="s">
        <v>1905</v>
      </c>
      <c r="O5820" s="6" t="s">
        <v>673</v>
      </c>
      <c r="P5820" s="9" t="s">
        <v>41</v>
      </c>
      <c r="Q5820" s="9" t="s">
        <v>26</v>
      </c>
      <c r="R5820" s="9" t="s">
        <v>88</v>
      </c>
      <c r="S5820" s="7" t="s">
        <v>959</v>
      </c>
      <c r="T5820" s="9" t="s">
        <v>39</v>
      </c>
      <c r="U5820" s="7">
        <v>0.37</v>
      </c>
      <c r="V5820" s="12">
        <f>C5820+1</f>
        <v>40405</v>
      </c>
      <c r="W5820">
        <f>IF(D5820=' Pivot Tables'!$A$4,1,0)</f>
        <v>0</v>
      </c>
      <c r="X5820">
        <f>IF(AND(LEFT(D5820,4)+1=LEFT(' Pivot Tables'!$A$4,4)+0,RIGHT(LEFT(D5820,7),2)=RIGHT(LEFT(' Pivot Tables'!$A$4,7),2)),1,0)</f>
        <v>0</v>
      </c>
      <c r="Y5820" s="6">
        <f>1/COUNTIF(Таблица1[Order ID],Таблица1[[#This Row],[Order ID]])</f>
        <v>1</v>
      </c>
      <c r="Z5820" s="9">
        <f>1/COUNTIFS(Таблица1[Customer Name],Таблица1[[#This Row],[Customer Name]],Таблица1[Order-Year-Month],Таблица1[[#This Row],[Order-Year-Month]])</f>
        <v>1</v>
      </c>
    </row>
    <row r="5821" spans="1:26" x14ac:dyDescent="0.2">
      <c r="A5821" s="6">
        <v>2460</v>
      </c>
      <c r="B5821" s="7">
        <v>17862</v>
      </c>
      <c r="C5821" s="8">
        <f>DATE(2012,12,31)-238</f>
        <v>41036</v>
      </c>
      <c r="D5821" s="8" t="str">
        <f t="shared" si="107"/>
        <v>2012-05 (май 2012)</v>
      </c>
      <c r="E5821" s="9" t="s">
        <v>45</v>
      </c>
      <c r="F5821" s="7">
        <v>1</v>
      </c>
      <c r="G5821" s="7">
        <v>28.73</v>
      </c>
      <c r="H5821" s="7">
        <v>0</v>
      </c>
      <c r="I5821" s="9" t="s">
        <v>22</v>
      </c>
      <c r="J5821" s="10">
        <v>-57.04</v>
      </c>
      <c r="K5821" s="11">
        <v>20.97</v>
      </c>
      <c r="L5821" s="11">
        <v>6.5</v>
      </c>
      <c r="M5821" s="9" t="s">
        <v>949</v>
      </c>
      <c r="N5821" s="6" t="s">
        <v>1905</v>
      </c>
      <c r="O5821" s="6" t="s">
        <v>673</v>
      </c>
      <c r="P5821" s="9" t="s">
        <v>41</v>
      </c>
      <c r="Q5821" s="9" t="s">
        <v>42</v>
      </c>
      <c r="R5821" s="9" t="s">
        <v>70</v>
      </c>
      <c r="S5821" s="7" t="s">
        <v>262</v>
      </c>
      <c r="T5821" s="9" t="s">
        <v>39</v>
      </c>
      <c r="U5821" s="7">
        <v>0.78</v>
      </c>
      <c r="V5821" s="12">
        <f>C5821+1</f>
        <v>41037</v>
      </c>
      <c r="W5821">
        <f>IF(D5821=' Pivot Tables'!$A$4,1,0)</f>
        <v>0</v>
      </c>
      <c r="X5821">
        <f>IF(AND(LEFT(D5821,4)+1=LEFT(' Pivot Tables'!$A$4,4)+0,RIGHT(LEFT(D5821,7),2)=RIGHT(LEFT(' Pivot Tables'!$A$4,7),2)),1,0)</f>
        <v>0</v>
      </c>
      <c r="Y5821" s="6">
        <f>1/COUNTIF(Таблица1[Order ID],Таблица1[[#This Row],[Order ID]])</f>
        <v>0.5</v>
      </c>
      <c r="Z5821" s="9">
        <f>1/COUNTIFS(Таблица1[Customer Name],Таблица1[[#This Row],[Customer Name]],Таблица1[Order-Year-Month],Таблица1[[#This Row],[Order-Year-Month]])</f>
        <v>0.5</v>
      </c>
    </row>
    <row r="5822" spans="1:26" x14ac:dyDescent="0.2">
      <c r="A5822" s="6">
        <v>2461</v>
      </c>
      <c r="B5822" s="7">
        <v>17862</v>
      </c>
      <c r="C5822" s="8">
        <f>DATE(2012,12,31)-238</f>
        <v>41036</v>
      </c>
      <c r="D5822" s="8" t="str">
        <f t="shared" si="107"/>
        <v>2012-05 (май 2012)</v>
      </c>
      <c r="E5822" s="9" t="s">
        <v>45</v>
      </c>
      <c r="F5822" s="7">
        <v>31</v>
      </c>
      <c r="G5822" s="7">
        <v>67.88</v>
      </c>
      <c r="H5822" s="7">
        <v>0.08</v>
      </c>
      <c r="I5822" s="9" t="s">
        <v>56</v>
      </c>
      <c r="J5822" s="10">
        <v>4.87</v>
      </c>
      <c r="K5822" s="11">
        <v>2.1</v>
      </c>
      <c r="L5822" s="11">
        <v>0.7</v>
      </c>
      <c r="M5822" s="9" t="s">
        <v>949</v>
      </c>
      <c r="N5822" s="6" t="s">
        <v>1905</v>
      </c>
      <c r="O5822" s="6" t="s">
        <v>673</v>
      </c>
      <c r="P5822" s="9" t="s">
        <v>41</v>
      </c>
      <c r="Q5822" s="9" t="s">
        <v>26</v>
      </c>
      <c r="R5822" s="9" t="s">
        <v>95</v>
      </c>
      <c r="S5822" s="7" t="s">
        <v>1703</v>
      </c>
      <c r="T5822" s="9" t="s">
        <v>68</v>
      </c>
      <c r="U5822" s="7">
        <v>0.56999999999999995</v>
      </c>
      <c r="V5822" s="12">
        <f>C5822+2</f>
        <v>41038</v>
      </c>
      <c r="W5822">
        <f>IF(D5822=' Pivot Tables'!$A$4,1,0)</f>
        <v>0</v>
      </c>
      <c r="X5822">
        <f>IF(AND(LEFT(D5822,4)+1=LEFT(' Pivot Tables'!$A$4,4)+0,RIGHT(LEFT(D5822,7),2)=RIGHT(LEFT(' Pivot Tables'!$A$4,7),2)),1,0)</f>
        <v>0</v>
      </c>
      <c r="Y5822" s="6">
        <f>1/COUNTIF(Таблица1[Order ID],Таблица1[[#This Row],[Order ID]])</f>
        <v>0.5</v>
      </c>
      <c r="Z5822" s="9">
        <f>1/COUNTIFS(Таблица1[Customer Name],Таблица1[[#This Row],[Customer Name]],Таблица1[Order-Year-Month],Таблица1[[#This Row],[Order-Year-Month]])</f>
        <v>0.5</v>
      </c>
    </row>
    <row r="5823" spans="1:26" x14ac:dyDescent="0.2">
      <c r="A5823" s="6">
        <v>2464</v>
      </c>
      <c r="B5823" s="7">
        <v>17927</v>
      </c>
      <c r="C5823" s="8">
        <f>DATE(2012,12,31)-1240</f>
        <v>40034</v>
      </c>
      <c r="D5823" s="8" t="str">
        <f t="shared" si="107"/>
        <v>2009-08 (август 2009)</v>
      </c>
      <c r="E5823" s="9" t="s">
        <v>63</v>
      </c>
      <c r="F5823" s="7">
        <v>42</v>
      </c>
      <c r="G5823" s="7">
        <v>865.21</v>
      </c>
      <c r="H5823" s="7">
        <v>7.0000000000000007E-2</v>
      </c>
      <c r="I5823" s="9" t="s">
        <v>22</v>
      </c>
      <c r="J5823" s="10">
        <v>-42.1</v>
      </c>
      <c r="K5823" s="11">
        <v>20.95</v>
      </c>
      <c r="L5823" s="11">
        <v>5.99</v>
      </c>
      <c r="M5823" s="9" t="s">
        <v>1959</v>
      </c>
      <c r="N5823" s="6" t="s">
        <v>1905</v>
      </c>
      <c r="O5823" s="6" t="s">
        <v>673</v>
      </c>
      <c r="P5823" s="9" t="s">
        <v>33</v>
      </c>
      <c r="Q5823" s="9" t="s">
        <v>42</v>
      </c>
      <c r="R5823" s="9" t="s">
        <v>70</v>
      </c>
      <c r="S5823" s="7" t="s">
        <v>231</v>
      </c>
      <c r="T5823" s="9" t="s">
        <v>39</v>
      </c>
      <c r="U5823" s="7">
        <v>0.65</v>
      </c>
      <c r="V5823" s="12">
        <f>C5823+1</f>
        <v>40035</v>
      </c>
      <c r="W5823">
        <f>IF(D5823=' Pivot Tables'!$A$4,1,0)</f>
        <v>0</v>
      </c>
      <c r="X5823">
        <f>IF(AND(LEFT(D5823,4)+1=LEFT(' Pivot Tables'!$A$4,4)+0,RIGHT(LEFT(D5823,7),2)=RIGHT(LEFT(' Pivot Tables'!$A$4,7),2)),1,0)</f>
        <v>0</v>
      </c>
      <c r="Y5823" s="6">
        <f>1/COUNTIF(Таблица1[Order ID],Таблица1[[#This Row],[Order ID]])</f>
        <v>1</v>
      </c>
      <c r="Z5823" s="9">
        <f>1/COUNTIFS(Таблица1[Customer Name],Таблица1[[#This Row],[Customer Name]],Таблица1[Order-Year-Month],Таблица1[[#This Row],[Order-Year-Month]])</f>
        <v>1</v>
      </c>
    </row>
    <row r="5824" spans="1:26" x14ac:dyDescent="0.2">
      <c r="A5824" s="6">
        <v>2477</v>
      </c>
      <c r="B5824" s="7">
        <v>17988</v>
      </c>
      <c r="C5824" s="8">
        <f>DATE(2012,12,31)-831</f>
        <v>40443</v>
      </c>
      <c r="D5824" s="8" t="str">
        <f t="shared" si="107"/>
        <v>2010-09 (сентябрь 2010)</v>
      </c>
      <c r="E5824" s="9" t="s">
        <v>21</v>
      </c>
      <c r="F5824" s="7">
        <v>46</v>
      </c>
      <c r="G5824" s="7">
        <v>2660.6105000000002</v>
      </c>
      <c r="H5824" s="7">
        <v>0.03</v>
      </c>
      <c r="I5824" s="9" t="s">
        <v>22</v>
      </c>
      <c r="J5824" s="10">
        <v>618.06600000000003</v>
      </c>
      <c r="K5824" s="11">
        <v>65.989999999999995</v>
      </c>
      <c r="L5824" s="11">
        <v>8.99</v>
      </c>
      <c r="M5824" s="9" t="s">
        <v>1543</v>
      </c>
      <c r="N5824" s="6" t="s">
        <v>1905</v>
      </c>
      <c r="O5824" s="6" t="s">
        <v>673</v>
      </c>
      <c r="P5824" s="9" t="s">
        <v>25</v>
      </c>
      <c r="Q5824" s="9" t="s">
        <v>42</v>
      </c>
      <c r="R5824" s="9" t="s">
        <v>43</v>
      </c>
      <c r="S5824" s="7" t="s">
        <v>1181</v>
      </c>
      <c r="T5824" s="9" t="s">
        <v>39</v>
      </c>
      <c r="U5824" s="7">
        <v>0.56000000000000005</v>
      </c>
      <c r="V5824" s="12">
        <f>C5824+2</f>
        <v>40445</v>
      </c>
      <c r="W5824">
        <f>IF(D5824=' Pivot Tables'!$A$4,1,0)</f>
        <v>0</v>
      </c>
      <c r="X5824">
        <f>IF(AND(LEFT(D5824,4)+1=LEFT(' Pivot Tables'!$A$4,4)+0,RIGHT(LEFT(D5824,7),2)=RIGHT(LEFT(' Pivot Tables'!$A$4,7),2)),1,0)</f>
        <v>0</v>
      </c>
      <c r="Y5824" s="6">
        <f>1/COUNTIF(Таблица1[Order ID],Таблица1[[#This Row],[Order ID]])</f>
        <v>1</v>
      </c>
      <c r="Z5824" s="9">
        <f>1/COUNTIFS(Таблица1[Customer Name],Таблица1[[#This Row],[Customer Name]],Таблица1[Order-Year-Month],Таблица1[[#This Row],[Order-Year-Month]])</f>
        <v>1</v>
      </c>
    </row>
    <row r="5825" spans="1:26" x14ac:dyDescent="0.2">
      <c r="A5825" s="6">
        <v>2481</v>
      </c>
      <c r="B5825" s="7">
        <v>18049</v>
      </c>
      <c r="C5825" s="8">
        <f>DATE(2012,12,31)-1236</f>
        <v>40038</v>
      </c>
      <c r="D5825" s="8" t="str">
        <f t="shared" si="107"/>
        <v>2009-08 (август 2009)</v>
      </c>
      <c r="E5825" s="9" t="s">
        <v>63</v>
      </c>
      <c r="F5825" s="7">
        <v>10</v>
      </c>
      <c r="G5825" s="7">
        <v>65.52</v>
      </c>
      <c r="H5825" s="7">
        <v>7.0000000000000007E-2</v>
      </c>
      <c r="I5825" s="9" t="s">
        <v>22</v>
      </c>
      <c r="J5825" s="10">
        <v>-22.57</v>
      </c>
      <c r="K5825" s="11">
        <v>5.98</v>
      </c>
      <c r="L5825" s="11">
        <v>5.46</v>
      </c>
      <c r="M5825" s="9" t="s">
        <v>1961</v>
      </c>
      <c r="N5825" s="6" t="s">
        <v>1905</v>
      </c>
      <c r="O5825" s="6" t="s">
        <v>673</v>
      </c>
      <c r="P5825" s="9" t="s">
        <v>41</v>
      </c>
      <c r="Q5825" s="9" t="s">
        <v>26</v>
      </c>
      <c r="R5825" s="9" t="s">
        <v>61</v>
      </c>
      <c r="S5825" s="7" t="s">
        <v>751</v>
      </c>
      <c r="T5825" s="9" t="s">
        <v>39</v>
      </c>
      <c r="U5825" s="7">
        <v>0.36</v>
      </c>
      <c r="V5825" s="12">
        <f>C5825+2</f>
        <v>40040</v>
      </c>
      <c r="W5825">
        <f>IF(D5825=' Pivot Tables'!$A$4,1,0)</f>
        <v>0</v>
      </c>
      <c r="X5825">
        <f>IF(AND(LEFT(D5825,4)+1=LEFT(' Pivot Tables'!$A$4,4)+0,RIGHT(LEFT(D5825,7),2)=RIGHT(LEFT(' Pivot Tables'!$A$4,7),2)),1,0)</f>
        <v>0</v>
      </c>
      <c r="Y5825" s="6">
        <f>1/COUNTIF(Таблица1[Order ID],Таблица1[[#This Row],[Order ID]])</f>
        <v>1</v>
      </c>
      <c r="Z5825" s="9">
        <f>1/COUNTIFS(Таблица1[Customer Name],Таблица1[[#This Row],[Customer Name]],Таблица1[Order-Year-Month],Таблица1[[#This Row],[Order-Year-Month]])</f>
        <v>1</v>
      </c>
    </row>
    <row r="5826" spans="1:26" x14ac:dyDescent="0.2">
      <c r="A5826" s="6">
        <v>2518</v>
      </c>
      <c r="B5826" s="7">
        <v>18307</v>
      </c>
      <c r="C5826" s="8">
        <f>DATE(2012,12,31)-1063</f>
        <v>40211</v>
      </c>
      <c r="D5826" s="8" t="str">
        <f t="shared" si="107"/>
        <v>2010-02 (февраль 2010)</v>
      </c>
      <c r="E5826" s="9" t="s">
        <v>21</v>
      </c>
      <c r="F5826" s="7">
        <v>23</v>
      </c>
      <c r="G5826" s="7">
        <v>441.99</v>
      </c>
      <c r="H5826" s="7">
        <v>0.08</v>
      </c>
      <c r="I5826" s="9" t="s">
        <v>56</v>
      </c>
      <c r="J5826" s="10">
        <v>32.36</v>
      </c>
      <c r="K5826" s="11">
        <v>19.98</v>
      </c>
      <c r="L5826" s="11">
        <v>8.68</v>
      </c>
      <c r="M5826" s="9" t="s">
        <v>1963</v>
      </c>
      <c r="N5826" s="6" t="s">
        <v>1905</v>
      </c>
      <c r="O5826" s="6" t="s">
        <v>673</v>
      </c>
      <c r="P5826" s="9" t="s">
        <v>41</v>
      </c>
      <c r="Q5826" s="9" t="s">
        <v>26</v>
      </c>
      <c r="R5826" s="9" t="s">
        <v>61</v>
      </c>
      <c r="S5826" s="7" t="s">
        <v>617</v>
      </c>
      <c r="T5826" s="9" t="s">
        <v>39</v>
      </c>
      <c r="U5826" s="7">
        <v>0.37</v>
      </c>
      <c r="V5826" s="12">
        <f>C5826+4</f>
        <v>40215</v>
      </c>
      <c r="W5826">
        <f>IF(D5826=' Pivot Tables'!$A$4,1,0)</f>
        <v>0</v>
      </c>
      <c r="X5826">
        <f>IF(AND(LEFT(D5826,4)+1=LEFT(' Pivot Tables'!$A$4,4)+0,RIGHT(LEFT(D5826,7),2)=RIGHT(LEFT(' Pivot Tables'!$A$4,7),2)),1,0)</f>
        <v>0</v>
      </c>
      <c r="Y5826" s="6">
        <f>1/COUNTIF(Таблица1[Order ID],Таблица1[[#This Row],[Order ID]])</f>
        <v>0.5</v>
      </c>
      <c r="Z5826" s="9">
        <f>1/COUNTIFS(Таблица1[Customer Name],Таблица1[[#This Row],[Customer Name]],Таблица1[Order-Year-Month],Таблица1[[#This Row],[Order-Year-Month]])</f>
        <v>0.5</v>
      </c>
    </row>
    <row r="5827" spans="1:26" x14ac:dyDescent="0.2">
      <c r="A5827" s="6">
        <v>2519</v>
      </c>
      <c r="B5827" s="7">
        <v>18307</v>
      </c>
      <c r="C5827" s="8">
        <f>DATE(2012,12,31)-1063</f>
        <v>40211</v>
      </c>
      <c r="D5827" s="8" t="str">
        <f t="shared" ref="D5827:D5890" si="108">TEXT(C5827,"гггг-ММ (ММММ гггг)")</f>
        <v>2010-02 (февраль 2010)</v>
      </c>
      <c r="E5827" s="9" t="s">
        <v>21</v>
      </c>
      <c r="F5827" s="7">
        <v>34</v>
      </c>
      <c r="G5827" s="7">
        <v>245.19</v>
      </c>
      <c r="H5827" s="7">
        <v>0.03</v>
      </c>
      <c r="I5827" s="9" t="s">
        <v>22</v>
      </c>
      <c r="J5827" s="10">
        <v>37.99</v>
      </c>
      <c r="K5827" s="11">
        <v>7.08</v>
      </c>
      <c r="L5827" s="11">
        <v>2.35</v>
      </c>
      <c r="M5827" s="9" t="s">
        <v>1963</v>
      </c>
      <c r="N5827" s="6" t="s">
        <v>1905</v>
      </c>
      <c r="O5827" s="6" t="s">
        <v>673</v>
      </c>
      <c r="P5827" s="9" t="s">
        <v>41</v>
      </c>
      <c r="Q5827" s="9" t="s">
        <v>26</v>
      </c>
      <c r="R5827" s="9" t="s">
        <v>95</v>
      </c>
      <c r="S5827" s="7" t="s">
        <v>286</v>
      </c>
      <c r="T5827" s="9" t="s">
        <v>68</v>
      </c>
      <c r="U5827" s="7">
        <v>0.47</v>
      </c>
      <c r="V5827" s="12">
        <f>C5827+0</f>
        <v>40211</v>
      </c>
      <c r="W5827">
        <f>IF(D5827=' Pivot Tables'!$A$4,1,0)</f>
        <v>0</v>
      </c>
      <c r="X5827">
        <f>IF(AND(LEFT(D5827,4)+1=LEFT(' Pivot Tables'!$A$4,4)+0,RIGHT(LEFT(D5827,7),2)=RIGHT(LEFT(' Pivot Tables'!$A$4,7),2)),1,0)</f>
        <v>0</v>
      </c>
      <c r="Y5827" s="6">
        <f>1/COUNTIF(Таблица1[Order ID],Таблица1[[#This Row],[Order ID]])</f>
        <v>0.5</v>
      </c>
      <c r="Z5827" s="9">
        <f>1/COUNTIFS(Таблица1[Customer Name],Таблица1[[#This Row],[Customer Name]],Таблица1[Order-Year-Month],Таблица1[[#This Row],[Order-Year-Month]])</f>
        <v>0.5</v>
      </c>
    </row>
    <row r="5828" spans="1:26" x14ac:dyDescent="0.2">
      <c r="A5828" s="6">
        <v>2530</v>
      </c>
      <c r="B5828" s="7">
        <v>18370</v>
      </c>
      <c r="C5828" s="8">
        <f>DATE(2012,12,31)-718</f>
        <v>40556</v>
      </c>
      <c r="D5828" s="8" t="str">
        <f t="shared" si="108"/>
        <v>2011-01 (январь 2011)</v>
      </c>
      <c r="E5828" s="9" t="s">
        <v>21</v>
      </c>
      <c r="F5828" s="7">
        <v>41</v>
      </c>
      <c r="G5828" s="7">
        <v>1271.0474999999999</v>
      </c>
      <c r="H5828" s="7">
        <v>0</v>
      </c>
      <c r="I5828" s="9" t="s">
        <v>22</v>
      </c>
      <c r="J5828" s="10">
        <v>-158.23500000000001</v>
      </c>
      <c r="K5828" s="11">
        <v>35.99</v>
      </c>
      <c r="L5828" s="11">
        <v>5</v>
      </c>
      <c r="M5828" s="9" t="s">
        <v>1196</v>
      </c>
      <c r="N5828" s="6" t="s">
        <v>1905</v>
      </c>
      <c r="O5828" s="6" t="s">
        <v>673</v>
      </c>
      <c r="P5828" s="9" t="s">
        <v>33</v>
      </c>
      <c r="Q5828" s="9" t="s">
        <v>42</v>
      </c>
      <c r="R5828" s="9" t="s">
        <v>43</v>
      </c>
      <c r="S5828" s="7" t="s">
        <v>825</v>
      </c>
      <c r="T5828" s="9" t="s">
        <v>39</v>
      </c>
      <c r="U5828" s="7">
        <v>0.85</v>
      </c>
      <c r="V5828" s="12">
        <f>C5828+4</f>
        <v>40560</v>
      </c>
      <c r="W5828">
        <f>IF(D5828=' Pivot Tables'!$A$4,1,0)</f>
        <v>0</v>
      </c>
      <c r="X5828">
        <f>IF(AND(LEFT(D5828,4)+1=LEFT(' Pivot Tables'!$A$4,4)+0,RIGHT(LEFT(D5828,7),2)=RIGHT(LEFT(' Pivot Tables'!$A$4,7),2)),1,0)</f>
        <v>0</v>
      </c>
      <c r="Y5828" s="6">
        <f>1/COUNTIF(Таблица1[Order ID],Таблица1[[#This Row],[Order ID]])</f>
        <v>1</v>
      </c>
      <c r="Z5828" s="9">
        <f>1/COUNTIFS(Таблица1[Customer Name],Таблица1[[#This Row],[Customer Name]],Таблица1[Order-Year-Month],Таблица1[[#This Row],[Order-Year-Month]])</f>
        <v>1</v>
      </c>
    </row>
    <row r="5829" spans="1:26" x14ac:dyDescent="0.2">
      <c r="A5829" s="6">
        <v>2531</v>
      </c>
      <c r="B5829" s="7">
        <v>18371</v>
      </c>
      <c r="C5829" s="8">
        <f>DATE(2012,12,31)-1200</f>
        <v>40074</v>
      </c>
      <c r="D5829" s="8" t="str">
        <f t="shared" si="108"/>
        <v>2009-09 (сентябрь 2009)</v>
      </c>
      <c r="E5829" s="9" t="s">
        <v>63</v>
      </c>
      <c r="F5829" s="7">
        <v>30</v>
      </c>
      <c r="G5829" s="7">
        <v>1394.36</v>
      </c>
      <c r="H5829" s="7">
        <v>0</v>
      </c>
      <c r="I5829" s="9" t="s">
        <v>22</v>
      </c>
      <c r="J5829" s="10">
        <v>271.45</v>
      </c>
      <c r="K5829" s="11">
        <v>43.98</v>
      </c>
      <c r="L5829" s="11">
        <v>8.99</v>
      </c>
      <c r="M5829" s="9" t="s">
        <v>1837</v>
      </c>
      <c r="N5829" s="6" t="s">
        <v>1905</v>
      </c>
      <c r="O5829" s="6" t="s">
        <v>673</v>
      </c>
      <c r="P5829" s="9" t="s">
        <v>60</v>
      </c>
      <c r="Q5829" s="9" t="s">
        <v>26</v>
      </c>
      <c r="R5829" s="9" t="s">
        <v>95</v>
      </c>
      <c r="S5829" s="7" t="s">
        <v>858</v>
      </c>
      <c r="T5829" s="9" t="s">
        <v>52</v>
      </c>
      <c r="U5829" s="7">
        <v>0.57999999999999996</v>
      </c>
      <c r="V5829" s="12">
        <f>C5829+0</f>
        <v>40074</v>
      </c>
      <c r="W5829">
        <f>IF(D5829=' Pivot Tables'!$A$4,1,0)</f>
        <v>0</v>
      </c>
      <c r="X5829">
        <f>IF(AND(LEFT(D5829,4)+1=LEFT(' Pivot Tables'!$A$4,4)+0,RIGHT(LEFT(D5829,7),2)=RIGHT(LEFT(' Pivot Tables'!$A$4,7),2)),1,0)</f>
        <v>0</v>
      </c>
      <c r="Y5829" s="6">
        <f>1/COUNTIF(Таблица1[Order ID],Таблица1[[#This Row],[Order ID]])</f>
        <v>1</v>
      </c>
      <c r="Z5829" s="9">
        <f>1/COUNTIFS(Таблица1[Customer Name],Таблица1[[#This Row],[Customer Name]],Таблица1[Order-Year-Month],Таблица1[[#This Row],[Order-Year-Month]])</f>
        <v>1</v>
      </c>
    </row>
    <row r="5830" spans="1:26" x14ac:dyDescent="0.2">
      <c r="A5830" s="6">
        <v>2720</v>
      </c>
      <c r="B5830" s="7">
        <v>19649</v>
      </c>
      <c r="C5830" s="8">
        <f>DATE(2012,12,31)-607</f>
        <v>40667</v>
      </c>
      <c r="D5830" s="8" t="str">
        <f t="shared" si="108"/>
        <v>2011-05 (май 2011)</v>
      </c>
      <c r="E5830" s="9" t="s">
        <v>30</v>
      </c>
      <c r="F5830" s="7">
        <v>25</v>
      </c>
      <c r="G5830" s="7">
        <v>375.74</v>
      </c>
      <c r="H5830" s="7">
        <v>0.05</v>
      </c>
      <c r="I5830" s="9" t="s">
        <v>56</v>
      </c>
      <c r="J5830" s="10">
        <v>-9.31</v>
      </c>
      <c r="K5830" s="11">
        <v>14.42</v>
      </c>
      <c r="L5830" s="11">
        <v>6.75</v>
      </c>
      <c r="M5830" s="9" t="s">
        <v>1959</v>
      </c>
      <c r="N5830" s="6" t="s">
        <v>1905</v>
      </c>
      <c r="O5830" s="6" t="s">
        <v>673</v>
      </c>
      <c r="P5830" s="9" t="s">
        <v>33</v>
      </c>
      <c r="Q5830" s="9" t="s">
        <v>26</v>
      </c>
      <c r="R5830" s="9" t="s">
        <v>34</v>
      </c>
      <c r="S5830" s="7" t="s">
        <v>1036</v>
      </c>
      <c r="T5830" s="9" t="s">
        <v>48</v>
      </c>
      <c r="U5830" s="7">
        <v>0.52</v>
      </c>
      <c r="V5830" s="12">
        <f>C5830+2</f>
        <v>40669</v>
      </c>
      <c r="W5830">
        <f>IF(D5830=' Pivot Tables'!$A$4,1,0)</f>
        <v>0</v>
      </c>
      <c r="X5830">
        <f>IF(AND(LEFT(D5830,4)+1=LEFT(' Pivot Tables'!$A$4,4)+0,RIGHT(LEFT(D5830,7),2)=RIGHT(LEFT(' Pivot Tables'!$A$4,7),2)),1,0)</f>
        <v>0</v>
      </c>
      <c r="Y5830" s="6">
        <f>1/COUNTIF(Таблица1[Order ID],Таблица1[[#This Row],[Order ID]])</f>
        <v>0.5</v>
      </c>
      <c r="Z5830" s="9">
        <f>1/COUNTIFS(Таблица1[Customer Name],Таблица1[[#This Row],[Customer Name]],Таблица1[Order-Year-Month],Таблица1[[#This Row],[Order-Year-Month]])</f>
        <v>0.2</v>
      </c>
    </row>
    <row r="5831" spans="1:26" x14ac:dyDescent="0.2">
      <c r="A5831" s="6">
        <v>2721</v>
      </c>
      <c r="B5831" s="7">
        <v>19649</v>
      </c>
      <c r="C5831" s="8">
        <f>DATE(2012,12,31)-607</f>
        <v>40667</v>
      </c>
      <c r="D5831" s="8" t="str">
        <f t="shared" si="108"/>
        <v>2011-05 (май 2011)</v>
      </c>
      <c r="E5831" s="9" t="s">
        <v>30</v>
      </c>
      <c r="F5831" s="7">
        <v>36</v>
      </c>
      <c r="G5831" s="7">
        <v>1095.1099999999999</v>
      </c>
      <c r="H5831" s="7">
        <v>0.1</v>
      </c>
      <c r="I5831" s="9" t="s">
        <v>31</v>
      </c>
      <c r="J5831" s="10">
        <v>-1286.43</v>
      </c>
      <c r="K5831" s="11">
        <v>31.76</v>
      </c>
      <c r="L5831" s="11">
        <v>45.51</v>
      </c>
      <c r="M5831" s="9" t="s">
        <v>1959</v>
      </c>
      <c r="N5831" s="6" t="s">
        <v>1905</v>
      </c>
      <c r="O5831" s="6" t="s">
        <v>673</v>
      </c>
      <c r="P5831" s="9" t="s">
        <v>33</v>
      </c>
      <c r="Q5831" s="9" t="s">
        <v>49</v>
      </c>
      <c r="R5831" s="9" t="s">
        <v>83</v>
      </c>
      <c r="S5831" s="7" t="s">
        <v>611</v>
      </c>
      <c r="T5831" s="9" t="s">
        <v>82</v>
      </c>
      <c r="U5831" s="7">
        <v>0.65</v>
      </c>
      <c r="V5831" s="12">
        <f>C5831+1</f>
        <v>40668</v>
      </c>
      <c r="W5831">
        <f>IF(D5831=' Pivot Tables'!$A$4,1,0)</f>
        <v>0</v>
      </c>
      <c r="X5831">
        <f>IF(AND(LEFT(D5831,4)+1=LEFT(' Pivot Tables'!$A$4,4)+0,RIGHT(LEFT(D5831,7),2)=RIGHT(LEFT(' Pivot Tables'!$A$4,7),2)),1,0)</f>
        <v>0</v>
      </c>
      <c r="Y5831" s="6">
        <f>1/COUNTIF(Таблица1[Order ID],Таблица1[[#This Row],[Order ID]])</f>
        <v>0.5</v>
      </c>
      <c r="Z5831" s="9">
        <f>1/COUNTIFS(Таблица1[Customer Name],Таблица1[[#This Row],[Customer Name]],Таблица1[Order-Year-Month],Таблица1[[#This Row],[Order-Year-Month]])</f>
        <v>0.2</v>
      </c>
    </row>
    <row r="5832" spans="1:26" x14ac:dyDescent="0.2">
      <c r="A5832" s="6">
        <v>2738</v>
      </c>
      <c r="B5832" s="7">
        <v>19748</v>
      </c>
      <c r="C5832" s="8">
        <f>DATE(2012,12,31)-880</f>
        <v>40394</v>
      </c>
      <c r="D5832" s="8" t="str">
        <f t="shared" si="108"/>
        <v>2010-08 (август 2010)</v>
      </c>
      <c r="E5832" s="9" t="s">
        <v>45</v>
      </c>
      <c r="F5832" s="7">
        <v>6</v>
      </c>
      <c r="G5832" s="7">
        <v>124.65</v>
      </c>
      <c r="H5832" s="7">
        <v>0.01</v>
      </c>
      <c r="I5832" s="9" t="s">
        <v>22</v>
      </c>
      <c r="J5832" s="10">
        <v>13.34</v>
      </c>
      <c r="K5832" s="11">
        <v>18.97</v>
      </c>
      <c r="L5832" s="11">
        <v>5.21</v>
      </c>
      <c r="M5832" s="9" t="s">
        <v>1960</v>
      </c>
      <c r="N5832" s="6" t="s">
        <v>1905</v>
      </c>
      <c r="O5832" s="6" t="s">
        <v>673</v>
      </c>
      <c r="P5832" s="9" t="s">
        <v>41</v>
      </c>
      <c r="Q5832" s="9" t="s">
        <v>26</v>
      </c>
      <c r="R5832" s="9" t="s">
        <v>61</v>
      </c>
      <c r="S5832" s="7" t="s">
        <v>182</v>
      </c>
      <c r="T5832" s="9" t="s">
        <v>39</v>
      </c>
      <c r="U5832" s="7">
        <v>0.37</v>
      </c>
      <c r="V5832" s="12">
        <f>C5832+1</f>
        <v>40395</v>
      </c>
      <c r="W5832">
        <f>IF(D5832=' Pivot Tables'!$A$4,1,0)</f>
        <v>0</v>
      </c>
      <c r="X5832">
        <f>IF(AND(LEFT(D5832,4)+1=LEFT(' Pivot Tables'!$A$4,4)+0,RIGHT(LEFT(D5832,7),2)=RIGHT(LEFT(' Pivot Tables'!$A$4,7),2)),1,0)</f>
        <v>0</v>
      </c>
      <c r="Y5832" s="6">
        <f>1/COUNTIF(Таблица1[Order ID],Таблица1[[#This Row],[Order ID]])</f>
        <v>1</v>
      </c>
      <c r="Z5832" s="9">
        <f>1/COUNTIFS(Таблица1[Customer Name],Таблица1[[#This Row],[Customer Name]],Таблица1[Order-Year-Month],Таблица1[[#This Row],[Order-Year-Month]])</f>
        <v>1</v>
      </c>
    </row>
    <row r="5833" spans="1:26" x14ac:dyDescent="0.2">
      <c r="A5833" s="6">
        <v>2762</v>
      </c>
      <c r="B5833" s="7">
        <v>19974</v>
      </c>
      <c r="C5833" s="8">
        <f>DATE(2012,12,31)-789</f>
        <v>40485</v>
      </c>
      <c r="D5833" s="8" t="str">
        <f t="shared" si="108"/>
        <v>2010-11 (ноябрь 2010)</v>
      </c>
      <c r="E5833" s="9" t="s">
        <v>30</v>
      </c>
      <c r="F5833" s="7">
        <v>14</v>
      </c>
      <c r="G5833" s="7">
        <v>3830.84</v>
      </c>
      <c r="H5833" s="7">
        <v>0.1</v>
      </c>
      <c r="I5833" s="9" t="s">
        <v>31</v>
      </c>
      <c r="J5833" s="10">
        <v>635.33000000000004</v>
      </c>
      <c r="K5833" s="11">
        <v>279.81</v>
      </c>
      <c r="L5833" s="11">
        <v>23.19</v>
      </c>
      <c r="M5833" s="9" t="s">
        <v>1196</v>
      </c>
      <c r="N5833" s="6" t="s">
        <v>1905</v>
      </c>
      <c r="O5833" s="6" t="s">
        <v>673</v>
      </c>
      <c r="P5833" s="9" t="s">
        <v>41</v>
      </c>
      <c r="Q5833" s="9" t="s">
        <v>26</v>
      </c>
      <c r="R5833" s="9" t="s">
        <v>34</v>
      </c>
      <c r="S5833" s="7" t="s">
        <v>494</v>
      </c>
      <c r="T5833" s="9" t="s">
        <v>36</v>
      </c>
      <c r="U5833" s="7">
        <v>0.59</v>
      </c>
      <c r="V5833" s="12">
        <f>C5833+2</f>
        <v>40487</v>
      </c>
      <c r="W5833">
        <f>IF(D5833=' Pivot Tables'!$A$4,1,0)</f>
        <v>0</v>
      </c>
      <c r="X5833">
        <f>IF(AND(LEFT(D5833,4)+1=LEFT(' Pivot Tables'!$A$4,4)+0,RIGHT(LEFT(D5833,7),2)=RIGHT(LEFT(' Pivot Tables'!$A$4,7),2)),1,0)</f>
        <v>0</v>
      </c>
      <c r="Y5833" s="6">
        <f>1/COUNTIF(Таблица1[Order ID],Таблица1[[#This Row],[Order ID]])</f>
        <v>0.5</v>
      </c>
      <c r="Z5833" s="9">
        <f>1/COUNTIFS(Таблица1[Customer Name],Таблица1[[#This Row],[Customer Name]],Таблица1[Order-Year-Month],Таблица1[[#This Row],[Order-Year-Month]])</f>
        <v>0.33333333333333331</v>
      </c>
    </row>
    <row r="5834" spans="1:26" x14ac:dyDescent="0.2">
      <c r="A5834" s="6">
        <v>2763</v>
      </c>
      <c r="B5834" s="7">
        <v>19974</v>
      </c>
      <c r="C5834" s="8">
        <f>DATE(2012,12,31)-789</f>
        <v>40485</v>
      </c>
      <c r="D5834" s="8" t="str">
        <f t="shared" si="108"/>
        <v>2010-11 (ноябрь 2010)</v>
      </c>
      <c r="E5834" s="9" t="s">
        <v>30</v>
      </c>
      <c r="F5834" s="7">
        <v>22</v>
      </c>
      <c r="G5834" s="7">
        <v>267.43</v>
      </c>
      <c r="H5834" s="7">
        <v>7.0000000000000007E-2</v>
      </c>
      <c r="I5834" s="9" t="s">
        <v>22</v>
      </c>
      <c r="J5834" s="10">
        <v>-45.98</v>
      </c>
      <c r="K5834" s="11">
        <v>12.28</v>
      </c>
      <c r="L5834" s="11">
        <v>6.13</v>
      </c>
      <c r="M5834" s="9" t="s">
        <v>1196</v>
      </c>
      <c r="N5834" s="6" t="s">
        <v>1905</v>
      </c>
      <c r="O5834" s="6" t="s">
        <v>673</v>
      </c>
      <c r="P5834" s="9" t="s">
        <v>41</v>
      </c>
      <c r="Q5834" s="9" t="s">
        <v>26</v>
      </c>
      <c r="R5834" s="9" t="s">
        <v>27</v>
      </c>
      <c r="S5834" s="7" t="s">
        <v>275</v>
      </c>
      <c r="T5834" s="9" t="s">
        <v>39</v>
      </c>
      <c r="U5834" s="7">
        <v>0.56999999999999995</v>
      </c>
      <c r="V5834" s="12">
        <f>C5834+2</f>
        <v>40487</v>
      </c>
      <c r="W5834">
        <f>IF(D5834=' Pivot Tables'!$A$4,1,0)</f>
        <v>0</v>
      </c>
      <c r="X5834">
        <f>IF(AND(LEFT(D5834,4)+1=LEFT(' Pivot Tables'!$A$4,4)+0,RIGHT(LEFT(D5834,7),2)=RIGHT(LEFT(' Pivot Tables'!$A$4,7),2)),1,0)</f>
        <v>0</v>
      </c>
      <c r="Y5834" s="6">
        <f>1/COUNTIF(Таблица1[Order ID],Таблица1[[#This Row],[Order ID]])</f>
        <v>0.5</v>
      </c>
      <c r="Z5834" s="9">
        <f>1/COUNTIFS(Таблица1[Customer Name],Таблица1[[#This Row],[Customer Name]],Таблица1[Order-Year-Month],Таблица1[[#This Row],[Order-Year-Month]])</f>
        <v>0.33333333333333331</v>
      </c>
    </row>
    <row r="5835" spans="1:26" x14ac:dyDescent="0.2">
      <c r="A5835" s="6">
        <v>2769</v>
      </c>
      <c r="B5835" s="7">
        <v>20032</v>
      </c>
      <c r="C5835" s="8">
        <f>DATE(2012,12,31)-56</f>
        <v>41218</v>
      </c>
      <c r="D5835" s="8" t="str">
        <f t="shared" si="108"/>
        <v>2012-11 (ноябрь 2012)</v>
      </c>
      <c r="E5835" s="9" t="s">
        <v>63</v>
      </c>
      <c r="F5835" s="7">
        <v>8</v>
      </c>
      <c r="G5835" s="7">
        <v>137.38</v>
      </c>
      <c r="H5835" s="7">
        <v>0.06</v>
      </c>
      <c r="I5835" s="9" t="s">
        <v>22</v>
      </c>
      <c r="J5835" s="10">
        <v>-11.39</v>
      </c>
      <c r="K5835" s="11">
        <v>17.48</v>
      </c>
      <c r="L5835" s="11">
        <v>1.99</v>
      </c>
      <c r="M5835" s="9" t="s">
        <v>1961</v>
      </c>
      <c r="N5835" s="6" t="s">
        <v>1905</v>
      </c>
      <c r="O5835" s="6" t="s">
        <v>673</v>
      </c>
      <c r="P5835" s="9" t="s">
        <v>41</v>
      </c>
      <c r="Q5835" s="9" t="s">
        <v>42</v>
      </c>
      <c r="R5835" s="9" t="s">
        <v>70</v>
      </c>
      <c r="S5835" s="7" t="s">
        <v>1067</v>
      </c>
      <c r="T5835" s="9" t="s">
        <v>52</v>
      </c>
      <c r="U5835" s="7">
        <v>0.45</v>
      </c>
      <c r="V5835" s="12">
        <f>C5835+2</f>
        <v>41220</v>
      </c>
      <c r="W5835">
        <f>IF(D5835=' Pivot Tables'!$A$4,1,0)</f>
        <v>0</v>
      </c>
      <c r="X5835">
        <f>IF(AND(LEFT(D5835,4)+1=LEFT(' Pivot Tables'!$A$4,4)+0,RIGHT(LEFT(D5835,7),2)=RIGHT(LEFT(' Pivot Tables'!$A$4,7),2)),1,0)</f>
        <v>0</v>
      </c>
      <c r="Y5835" s="6">
        <f>1/COUNTIF(Таблица1[Order ID],Таблица1[[#This Row],[Order ID]])</f>
        <v>1</v>
      </c>
      <c r="Z5835" s="9">
        <f>1/COUNTIFS(Таблица1[Customer Name],Таблица1[[#This Row],[Customer Name]],Таблица1[Order-Year-Month],Таблица1[[#This Row],[Order-Year-Month]])</f>
        <v>1</v>
      </c>
    </row>
    <row r="5836" spans="1:26" x14ac:dyDescent="0.2">
      <c r="A5836" s="6">
        <v>3164</v>
      </c>
      <c r="B5836" s="7">
        <v>22727</v>
      </c>
      <c r="C5836" s="8">
        <f>DATE(2012,12,31)-547</f>
        <v>40727</v>
      </c>
      <c r="D5836" s="8" t="str">
        <f t="shared" si="108"/>
        <v>2011-07 (июль 2011)</v>
      </c>
      <c r="E5836" s="9" t="s">
        <v>45</v>
      </c>
      <c r="F5836" s="7">
        <v>45</v>
      </c>
      <c r="G5836" s="7">
        <v>296.82</v>
      </c>
      <c r="H5836" s="7">
        <v>7.0000000000000007E-2</v>
      </c>
      <c r="I5836" s="9" t="s">
        <v>22</v>
      </c>
      <c r="J5836" s="10">
        <v>-120.37</v>
      </c>
      <c r="K5836" s="11">
        <v>6.48</v>
      </c>
      <c r="L5836" s="11">
        <v>6.65</v>
      </c>
      <c r="M5836" s="9" t="s">
        <v>1131</v>
      </c>
      <c r="N5836" s="6" t="s">
        <v>1905</v>
      </c>
      <c r="O5836" s="6" t="s">
        <v>673</v>
      </c>
      <c r="P5836" s="9" t="s">
        <v>41</v>
      </c>
      <c r="Q5836" s="9" t="s">
        <v>26</v>
      </c>
      <c r="R5836" s="9" t="s">
        <v>61</v>
      </c>
      <c r="S5836" s="7" t="s">
        <v>152</v>
      </c>
      <c r="T5836" s="9" t="s">
        <v>39</v>
      </c>
      <c r="U5836" s="7">
        <v>0.36</v>
      </c>
      <c r="V5836" s="12">
        <f>C5836+0</f>
        <v>40727</v>
      </c>
      <c r="W5836">
        <f>IF(D5836=' Pivot Tables'!$A$4,1,0)</f>
        <v>0</v>
      </c>
      <c r="X5836">
        <f>IF(AND(LEFT(D5836,4)+1=LEFT(' Pivot Tables'!$A$4,4)+0,RIGHT(LEFT(D5836,7),2)=RIGHT(LEFT(' Pivot Tables'!$A$4,7),2)),1,0)</f>
        <v>0</v>
      </c>
      <c r="Y5836" s="6">
        <f>1/COUNTIF(Таблица1[Order ID],Таблица1[[#This Row],[Order ID]])</f>
        <v>1</v>
      </c>
      <c r="Z5836" s="9">
        <f>1/COUNTIFS(Таблица1[Customer Name],Таблица1[[#This Row],[Customer Name]],Таблица1[Order-Year-Month],Таблица1[[#This Row],[Order-Year-Month]])</f>
        <v>0.5</v>
      </c>
    </row>
    <row r="5837" spans="1:26" x14ac:dyDescent="0.2">
      <c r="A5837" s="6">
        <v>3203</v>
      </c>
      <c r="B5837" s="7">
        <v>22978</v>
      </c>
      <c r="C5837" s="8">
        <f>DATE(2012,12,31)-1369</f>
        <v>39905</v>
      </c>
      <c r="D5837" s="8" t="str">
        <f t="shared" si="108"/>
        <v>2009-04 (апрель 2009)</v>
      </c>
      <c r="E5837" s="9" t="s">
        <v>63</v>
      </c>
      <c r="F5837" s="7">
        <v>28</v>
      </c>
      <c r="G5837" s="7">
        <v>1801.95</v>
      </c>
      <c r="H5837" s="7">
        <v>0.03</v>
      </c>
      <c r="I5837" s="9" t="s">
        <v>31</v>
      </c>
      <c r="J5837" s="10">
        <v>-182.07</v>
      </c>
      <c r="K5837" s="11">
        <v>60.89</v>
      </c>
      <c r="L5837" s="11">
        <v>32.409999999999997</v>
      </c>
      <c r="M5837" s="9" t="s">
        <v>1543</v>
      </c>
      <c r="N5837" s="6" t="s">
        <v>1905</v>
      </c>
      <c r="O5837" s="6" t="s">
        <v>673</v>
      </c>
      <c r="P5837" s="9" t="s">
        <v>25</v>
      </c>
      <c r="Q5837" s="9" t="s">
        <v>49</v>
      </c>
      <c r="R5837" s="9" t="s">
        <v>112</v>
      </c>
      <c r="S5837" s="7" t="s">
        <v>1416</v>
      </c>
      <c r="T5837" s="9" t="s">
        <v>36</v>
      </c>
      <c r="U5837" s="7">
        <v>0.56000000000000005</v>
      </c>
      <c r="V5837" s="12">
        <f>C5837+1</f>
        <v>39906</v>
      </c>
      <c r="W5837">
        <f>IF(D5837=' Pivot Tables'!$A$4,1,0)</f>
        <v>0</v>
      </c>
      <c r="X5837">
        <f>IF(AND(LEFT(D5837,4)+1=LEFT(' Pivot Tables'!$A$4,4)+0,RIGHT(LEFT(D5837,7),2)=RIGHT(LEFT(' Pivot Tables'!$A$4,7),2)),1,0)</f>
        <v>0</v>
      </c>
      <c r="Y5837" s="6">
        <f>1/COUNTIF(Таблица1[Order ID],Таблица1[[#This Row],[Order ID]])</f>
        <v>1</v>
      </c>
      <c r="Z5837" s="9">
        <f>1/COUNTIFS(Таблица1[Customer Name],Таблица1[[#This Row],[Customer Name]],Таблица1[Order-Year-Month],Таблица1[[#This Row],[Order-Year-Month]])</f>
        <v>1</v>
      </c>
    </row>
    <row r="5838" spans="1:26" x14ac:dyDescent="0.2">
      <c r="A5838" s="6">
        <v>3224</v>
      </c>
      <c r="B5838" s="7">
        <v>23140</v>
      </c>
      <c r="C5838" s="8">
        <f>DATE(2012,12,31)-327</f>
        <v>40947</v>
      </c>
      <c r="D5838" s="8" t="str">
        <f t="shared" si="108"/>
        <v>2012-02 (февраль 2012)</v>
      </c>
      <c r="E5838" s="9" t="s">
        <v>30</v>
      </c>
      <c r="F5838" s="7">
        <v>18</v>
      </c>
      <c r="G5838" s="7">
        <v>1713.8</v>
      </c>
      <c r="H5838" s="7">
        <v>0.05</v>
      </c>
      <c r="I5838" s="9" t="s">
        <v>22</v>
      </c>
      <c r="J5838" s="10">
        <v>1125.29</v>
      </c>
      <c r="K5838" s="11">
        <v>99.23</v>
      </c>
      <c r="L5838" s="11">
        <v>8.99</v>
      </c>
      <c r="M5838" s="9" t="s">
        <v>1965</v>
      </c>
      <c r="N5838" s="6" t="s">
        <v>1905</v>
      </c>
      <c r="O5838" s="6" t="s">
        <v>673</v>
      </c>
      <c r="P5838" s="9" t="s">
        <v>60</v>
      </c>
      <c r="Q5838" s="9" t="s">
        <v>49</v>
      </c>
      <c r="R5838" s="9" t="s">
        <v>50</v>
      </c>
      <c r="S5838" s="7" t="s">
        <v>700</v>
      </c>
      <c r="T5838" s="9" t="s">
        <v>52</v>
      </c>
      <c r="U5838" s="7">
        <v>0.35</v>
      </c>
      <c r="V5838" s="12">
        <f>C5838+2</f>
        <v>40949</v>
      </c>
      <c r="W5838">
        <f>IF(D5838=' Pivot Tables'!$A$4,1,0)</f>
        <v>0</v>
      </c>
      <c r="X5838">
        <f>IF(AND(LEFT(D5838,4)+1=LEFT(' Pivot Tables'!$A$4,4)+0,RIGHT(LEFT(D5838,7),2)=RIGHT(LEFT(' Pivot Tables'!$A$4,7),2)),1,0)</f>
        <v>0</v>
      </c>
      <c r="Y5838" s="6">
        <f>1/COUNTIF(Таблица1[Order ID],Таблица1[[#This Row],[Order ID]])</f>
        <v>0.5</v>
      </c>
      <c r="Z5838" s="9">
        <f>1/COUNTIFS(Таблица1[Customer Name],Таблица1[[#This Row],[Customer Name]],Таблица1[Order-Year-Month],Таблица1[[#This Row],[Order-Year-Month]])</f>
        <v>0.5</v>
      </c>
    </row>
    <row r="5839" spans="1:26" x14ac:dyDescent="0.2">
      <c r="A5839" s="6">
        <v>3225</v>
      </c>
      <c r="B5839" s="7">
        <v>23140</v>
      </c>
      <c r="C5839" s="8">
        <f>DATE(2012,12,31)-327</f>
        <v>40947</v>
      </c>
      <c r="D5839" s="8" t="str">
        <f t="shared" si="108"/>
        <v>2012-02 (февраль 2012)</v>
      </c>
      <c r="E5839" s="9" t="s">
        <v>30</v>
      </c>
      <c r="F5839" s="7">
        <v>16</v>
      </c>
      <c r="G5839" s="7">
        <v>116.69</v>
      </c>
      <c r="H5839" s="7">
        <v>0.02</v>
      </c>
      <c r="I5839" s="9" t="s">
        <v>22</v>
      </c>
      <c r="J5839" s="10">
        <v>11.69</v>
      </c>
      <c r="K5839" s="11">
        <v>7.08</v>
      </c>
      <c r="L5839" s="11">
        <v>2.35</v>
      </c>
      <c r="M5839" s="9" t="s">
        <v>1965</v>
      </c>
      <c r="N5839" s="6" t="s">
        <v>1905</v>
      </c>
      <c r="O5839" s="6" t="s">
        <v>673</v>
      </c>
      <c r="P5839" s="9" t="s">
        <v>60</v>
      </c>
      <c r="Q5839" s="9" t="s">
        <v>26</v>
      </c>
      <c r="R5839" s="9" t="s">
        <v>95</v>
      </c>
      <c r="S5839" s="7" t="s">
        <v>286</v>
      </c>
      <c r="T5839" s="9" t="s">
        <v>68</v>
      </c>
      <c r="U5839" s="7">
        <v>0.47</v>
      </c>
      <c r="V5839" s="12">
        <f>C5839+0</f>
        <v>40947</v>
      </c>
      <c r="W5839">
        <f>IF(D5839=' Pivot Tables'!$A$4,1,0)</f>
        <v>0</v>
      </c>
      <c r="X5839">
        <f>IF(AND(LEFT(D5839,4)+1=LEFT(' Pivot Tables'!$A$4,4)+0,RIGHT(LEFT(D5839,7),2)=RIGHT(LEFT(' Pivot Tables'!$A$4,7),2)),1,0)</f>
        <v>0</v>
      </c>
      <c r="Y5839" s="6">
        <f>1/COUNTIF(Таблица1[Order ID],Таблица1[[#This Row],[Order ID]])</f>
        <v>0.5</v>
      </c>
      <c r="Z5839" s="9">
        <f>1/COUNTIFS(Таблица1[Customer Name],Таблица1[[#This Row],[Customer Name]],Таблица1[Order-Year-Month],Таблица1[[#This Row],[Order-Year-Month]])</f>
        <v>0.5</v>
      </c>
    </row>
    <row r="5840" spans="1:26" x14ac:dyDescent="0.2">
      <c r="A5840" s="6">
        <v>3302</v>
      </c>
      <c r="B5840" s="7">
        <v>23586</v>
      </c>
      <c r="C5840" s="8">
        <f>DATE(2012,12,31)-1082</f>
        <v>40192</v>
      </c>
      <c r="D5840" s="8" t="str">
        <f t="shared" si="108"/>
        <v>2010-01 (январь 2010)</v>
      </c>
      <c r="E5840" s="9" t="s">
        <v>63</v>
      </c>
      <c r="F5840" s="7">
        <v>32</v>
      </c>
      <c r="G5840" s="7">
        <v>210.9</v>
      </c>
      <c r="H5840" s="7">
        <v>0.03</v>
      </c>
      <c r="I5840" s="9" t="s">
        <v>22</v>
      </c>
      <c r="J5840" s="10">
        <v>-62.46</v>
      </c>
      <c r="K5840" s="11">
        <v>6.48</v>
      </c>
      <c r="L5840" s="11">
        <v>5.74</v>
      </c>
      <c r="M5840" s="9" t="s">
        <v>1543</v>
      </c>
      <c r="N5840" s="6" t="s">
        <v>1905</v>
      </c>
      <c r="O5840" s="6" t="s">
        <v>673</v>
      </c>
      <c r="P5840" s="9" t="s">
        <v>25</v>
      </c>
      <c r="Q5840" s="9" t="s">
        <v>26</v>
      </c>
      <c r="R5840" s="9" t="s">
        <v>61</v>
      </c>
      <c r="S5840" s="7" t="s">
        <v>707</v>
      </c>
      <c r="T5840" s="9" t="s">
        <v>39</v>
      </c>
      <c r="U5840" s="7">
        <v>0.37</v>
      </c>
      <c r="V5840" s="12">
        <f>C5840+3</f>
        <v>40195</v>
      </c>
      <c r="W5840">
        <f>IF(D5840=' Pivot Tables'!$A$4,1,0)</f>
        <v>1</v>
      </c>
      <c r="X5840">
        <f>IF(AND(LEFT(D5840,4)+1=LEFT(' Pivot Tables'!$A$4,4)+0,RIGHT(LEFT(D5840,7),2)=RIGHT(LEFT(' Pivot Tables'!$A$4,7),2)),1,0)</f>
        <v>0</v>
      </c>
      <c r="Y5840" s="6">
        <f>1/COUNTIF(Таблица1[Order ID],Таблица1[[#This Row],[Order ID]])</f>
        <v>1</v>
      </c>
      <c r="Z5840" s="9">
        <f>1/COUNTIFS(Таблица1[Customer Name],Таблица1[[#This Row],[Customer Name]],Таблица1[Order-Year-Month],Таблица1[[#This Row],[Order-Year-Month]])</f>
        <v>1</v>
      </c>
    </row>
    <row r="5841" spans="1:26" x14ac:dyDescent="0.2">
      <c r="A5841" s="6">
        <v>3309</v>
      </c>
      <c r="B5841" s="7">
        <v>23648</v>
      </c>
      <c r="C5841" s="8">
        <f>DATE(2012,12,31)-98</f>
        <v>41176</v>
      </c>
      <c r="D5841" s="8" t="str">
        <f t="shared" si="108"/>
        <v>2012-09 (сентябрь 2012)</v>
      </c>
      <c r="E5841" s="9" t="s">
        <v>78</v>
      </c>
      <c r="F5841" s="7">
        <v>44</v>
      </c>
      <c r="G5841" s="7">
        <v>6768.16</v>
      </c>
      <c r="H5841" s="7">
        <v>0.03</v>
      </c>
      <c r="I5841" s="9" t="s">
        <v>22</v>
      </c>
      <c r="J5841" s="10">
        <v>907.49</v>
      </c>
      <c r="K5841" s="11">
        <v>152.47999999999999</v>
      </c>
      <c r="L5841" s="11">
        <v>6.5</v>
      </c>
      <c r="M5841" s="9" t="s">
        <v>1961</v>
      </c>
      <c r="N5841" s="6" t="s">
        <v>1905</v>
      </c>
      <c r="O5841" s="6" t="s">
        <v>673</v>
      </c>
      <c r="P5841" s="9" t="s">
        <v>41</v>
      </c>
      <c r="Q5841" s="9" t="s">
        <v>42</v>
      </c>
      <c r="R5841" s="9" t="s">
        <v>70</v>
      </c>
      <c r="S5841" s="7" t="s">
        <v>844</v>
      </c>
      <c r="T5841" s="9" t="s">
        <v>39</v>
      </c>
      <c r="U5841" s="7">
        <v>0.74</v>
      </c>
      <c r="V5841" s="12">
        <f>C5841+1</f>
        <v>41177</v>
      </c>
      <c r="W5841">
        <f>IF(D5841=' Pivot Tables'!$A$4,1,0)</f>
        <v>0</v>
      </c>
      <c r="X5841">
        <f>IF(AND(LEFT(D5841,4)+1=LEFT(' Pivot Tables'!$A$4,4)+0,RIGHT(LEFT(D5841,7),2)=RIGHT(LEFT(' Pivot Tables'!$A$4,7),2)),1,0)</f>
        <v>0</v>
      </c>
      <c r="Y5841" s="6">
        <f>1/COUNTIF(Таблица1[Order ID],Таблица1[[#This Row],[Order ID]])</f>
        <v>0.5</v>
      </c>
      <c r="Z5841" s="9">
        <f>1/COUNTIFS(Таблица1[Customer Name],Таблица1[[#This Row],[Customer Name]],Таблица1[Order-Year-Month],Таблица1[[#This Row],[Order-Year-Month]])</f>
        <v>0.5</v>
      </c>
    </row>
    <row r="5842" spans="1:26" x14ac:dyDescent="0.2">
      <c r="A5842" s="6">
        <v>3310</v>
      </c>
      <c r="B5842" s="7">
        <v>23648</v>
      </c>
      <c r="C5842" s="8">
        <f>DATE(2012,12,31)-98</f>
        <v>41176</v>
      </c>
      <c r="D5842" s="8" t="str">
        <f t="shared" si="108"/>
        <v>2012-09 (сентябрь 2012)</v>
      </c>
      <c r="E5842" s="9" t="s">
        <v>78</v>
      </c>
      <c r="F5842" s="7">
        <v>4</v>
      </c>
      <c r="G5842" s="7">
        <v>10.65</v>
      </c>
      <c r="H5842" s="7">
        <v>0.1</v>
      </c>
      <c r="I5842" s="9" t="s">
        <v>22</v>
      </c>
      <c r="J5842" s="10">
        <v>-0.64</v>
      </c>
      <c r="K5842" s="11">
        <v>2.61</v>
      </c>
      <c r="L5842" s="11">
        <v>0.5</v>
      </c>
      <c r="M5842" s="9" t="s">
        <v>1961</v>
      </c>
      <c r="N5842" s="6" t="s">
        <v>1905</v>
      </c>
      <c r="O5842" s="6" t="s">
        <v>673</v>
      </c>
      <c r="P5842" s="9" t="s">
        <v>41</v>
      </c>
      <c r="Q5842" s="9" t="s">
        <v>26</v>
      </c>
      <c r="R5842" s="9" t="s">
        <v>88</v>
      </c>
      <c r="S5842" s="7" t="s">
        <v>406</v>
      </c>
      <c r="T5842" s="9" t="s">
        <v>39</v>
      </c>
      <c r="U5842" s="7">
        <v>0.39</v>
      </c>
      <c r="V5842" s="12">
        <f>C5842+1</f>
        <v>41177</v>
      </c>
      <c r="W5842">
        <f>IF(D5842=' Pivot Tables'!$A$4,1,0)</f>
        <v>0</v>
      </c>
      <c r="X5842">
        <f>IF(AND(LEFT(D5842,4)+1=LEFT(' Pivot Tables'!$A$4,4)+0,RIGHT(LEFT(D5842,7),2)=RIGHT(LEFT(' Pivot Tables'!$A$4,7),2)),1,0)</f>
        <v>0</v>
      </c>
      <c r="Y5842" s="6">
        <f>1/COUNTIF(Таблица1[Order ID],Таблица1[[#This Row],[Order ID]])</f>
        <v>0.5</v>
      </c>
      <c r="Z5842" s="9">
        <f>1/COUNTIFS(Таблица1[Customer Name],Таблица1[[#This Row],[Customer Name]],Таблица1[Order-Year-Month],Таблица1[[#This Row],[Order-Year-Month]])</f>
        <v>0.5</v>
      </c>
    </row>
    <row r="5843" spans="1:26" x14ac:dyDescent="0.2">
      <c r="A5843" s="6">
        <v>3497</v>
      </c>
      <c r="B5843" s="7">
        <v>24931</v>
      </c>
      <c r="C5843" s="8">
        <f>DATE(2012,12,31)-420</f>
        <v>40854</v>
      </c>
      <c r="D5843" s="8" t="str">
        <f t="shared" si="108"/>
        <v>2011-11 (ноябрь 2011)</v>
      </c>
      <c r="E5843" s="9" t="s">
        <v>21</v>
      </c>
      <c r="F5843" s="7">
        <v>9</v>
      </c>
      <c r="G5843" s="7">
        <v>149.63999999999999</v>
      </c>
      <c r="H5843" s="7">
        <v>0.05</v>
      </c>
      <c r="I5843" s="9" t="s">
        <v>22</v>
      </c>
      <c r="J5843" s="10">
        <v>13.77</v>
      </c>
      <c r="K5843" s="11">
        <v>16.739999999999998</v>
      </c>
      <c r="L5843" s="11">
        <v>5.08</v>
      </c>
      <c r="M5843" s="9" t="s">
        <v>1965</v>
      </c>
      <c r="N5843" s="6" t="s">
        <v>1905</v>
      </c>
      <c r="O5843" s="6" t="s">
        <v>673</v>
      </c>
      <c r="P5843" s="9" t="s">
        <v>60</v>
      </c>
      <c r="Q5843" s="9" t="s">
        <v>26</v>
      </c>
      <c r="R5843" s="9" t="s">
        <v>37</v>
      </c>
      <c r="S5843" s="7" t="s">
        <v>1901</v>
      </c>
      <c r="T5843" s="9" t="s">
        <v>39</v>
      </c>
      <c r="U5843" s="7">
        <v>0.36</v>
      </c>
      <c r="V5843" s="12">
        <f>C5843+4</f>
        <v>40858</v>
      </c>
      <c r="W5843">
        <f>IF(D5843=' Pivot Tables'!$A$4,1,0)</f>
        <v>0</v>
      </c>
      <c r="X5843">
        <f>IF(AND(LEFT(D5843,4)+1=LEFT(' Pivot Tables'!$A$4,4)+0,RIGHT(LEFT(D5843,7),2)=RIGHT(LEFT(' Pivot Tables'!$A$4,7),2)),1,0)</f>
        <v>0</v>
      </c>
      <c r="Y5843" s="6">
        <f>1/COUNTIF(Таблица1[Order ID],Таблица1[[#This Row],[Order ID]])</f>
        <v>1</v>
      </c>
      <c r="Z5843" s="9">
        <f>1/COUNTIFS(Таблица1[Customer Name],Таблица1[[#This Row],[Customer Name]],Таблица1[Order-Year-Month],Таблица1[[#This Row],[Order-Year-Month]])</f>
        <v>1</v>
      </c>
    </row>
    <row r="5844" spans="1:26" x14ac:dyDescent="0.2">
      <c r="A5844" s="6">
        <v>3566</v>
      </c>
      <c r="B5844" s="7">
        <v>25443</v>
      </c>
      <c r="C5844" s="8">
        <f>DATE(2012,12,31)-100</f>
        <v>41174</v>
      </c>
      <c r="D5844" s="8" t="str">
        <f t="shared" si="108"/>
        <v>2012-09 (сентябрь 2012)</v>
      </c>
      <c r="E5844" s="9" t="s">
        <v>63</v>
      </c>
      <c r="F5844" s="7">
        <v>33</v>
      </c>
      <c r="G5844" s="7">
        <v>570.24</v>
      </c>
      <c r="H5844" s="7">
        <v>0.01</v>
      </c>
      <c r="I5844" s="9" t="s">
        <v>22</v>
      </c>
      <c r="J5844" s="10">
        <v>-57.828899999999997</v>
      </c>
      <c r="K5844" s="11">
        <v>15.99</v>
      </c>
      <c r="L5844" s="11">
        <v>11.28</v>
      </c>
      <c r="M5844" s="9" t="s">
        <v>1196</v>
      </c>
      <c r="N5844" s="6" t="s">
        <v>1905</v>
      </c>
      <c r="O5844" s="6" t="s">
        <v>673</v>
      </c>
      <c r="P5844" s="9" t="s">
        <v>41</v>
      </c>
      <c r="Q5844" s="9" t="s">
        <v>42</v>
      </c>
      <c r="R5844" s="9" t="s">
        <v>210</v>
      </c>
      <c r="S5844" s="7" t="s">
        <v>1966</v>
      </c>
      <c r="T5844" s="9" t="s">
        <v>48</v>
      </c>
      <c r="U5844" s="7">
        <v>0.38</v>
      </c>
      <c r="V5844" s="12">
        <f>C5844+0</f>
        <v>41174</v>
      </c>
      <c r="W5844">
        <f>IF(D5844=' Pivot Tables'!$A$4,1,0)</f>
        <v>0</v>
      </c>
      <c r="X5844">
        <f>IF(AND(LEFT(D5844,4)+1=LEFT(' Pivot Tables'!$A$4,4)+0,RIGHT(LEFT(D5844,7),2)=RIGHT(LEFT(' Pivot Tables'!$A$4,7),2)),1,0)</f>
        <v>0</v>
      </c>
      <c r="Y5844" s="6">
        <f>1/COUNTIF(Таблица1[Order ID],Таблица1[[#This Row],[Order ID]])</f>
        <v>1</v>
      </c>
      <c r="Z5844" s="9">
        <f>1/COUNTIFS(Таблица1[Customer Name],Таблица1[[#This Row],[Customer Name]],Таблица1[Order-Year-Month],Таблица1[[#This Row],[Order-Year-Month]])</f>
        <v>1</v>
      </c>
    </row>
    <row r="5845" spans="1:26" x14ac:dyDescent="0.2">
      <c r="A5845" s="6">
        <v>3632</v>
      </c>
      <c r="B5845" s="7">
        <v>25953</v>
      </c>
      <c r="C5845" s="8">
        <f>DATE(2012,12,31)-1191</f>
        <v>40083</v>
      </c>
      <c r="D5845" s="8" t="str">
        <f t="shared" si="108"/>
        <v>2009-09 (сентябрь 2009)</v>
      </c>
      <c r="E5845" s="9" t="s">
        <v>78</v>
      </c>
      <c r="F5845" s="7">
        <v>27</v>
      </c>
      <c r="G5845" s="7">
        <v>258.54000000000002</v>
      </c>
      <c r="H5845" s="7">
        <v>0.1</v>
      </c>
      <c r="I5845" s="9" t="s">
        <v>22</v>
      </c>
      <c r="J5845" s="10">
        <v>-16.3</v>
      </c>
      <c r="K5845" s="11">
        <v>9.85</v>
      </c>
      <c r="L5845" s="11">
        <v>4.82</v>
      </c>
      <c r="M5845" s="9" t="s">
        <v>1961</v>
      </c>
      <c r="N5845" s="6" t="s">
        <v>1905</v>
      </c>
      <c r="O5845" s="6" t="s">
        <v>673</v>
      </c>
      <c r="P5845" s="9" t="s">
        <v>41</v>
      </c>
      <c r="Q5845" s="9" t="s">
        <v>26</v>
      </c>
      <c r="R5845" s="9" t="s">
        <v>95</v>
      </c>
      <c r="S5845" s="7" t="s">
        <v>1625</v>
      </c>
      <c r="T5845" s="9" t="s">
        <v>68</v>
      </c>
      <c r="U5845" s="7">
        <v>0.47</v>
      </c>
      <c r="V5845" s="12">
        <f>C5845+1</f>
        <v>40084</v>
      </c>
      <c r="W5845">
        <f>IF(D5845=' Pivot Tables'!$A$4,1,0)</f>
        <v>0</v>
      </c>
      <c r="X5845">
        <f>IF(AND(LEFT(D5845,4)+1=LEFT(' Pivot Tables'!$A$4,4)+0,RIGHT(LEFT(D5845,7),2)=RIGHT(LEFT(' Pivot Tables'!$A$4,7),2)),1,0)</f>
        <v>0</v>
      </c>
      <c r="Y5845" s="6">
        <f>1/COUNTIF(Таблица1[Order ID],Таблица1[[#This Row],[Order ID]])</f>
        <v>0.5</v>
      </c>
      <c r="Z5845" s="9">
        <f>1/COUNTIFS(Таблица1[Customer Name],Таблица1[[#This Row],[Customer Name]],Таблица1[Order-Year-Month],Таблица1[[#This Row],[Order-Year-Month]])</f>
        <v>0.5</v>
      </c>
    </row>
    <row r="5846" spans="1:26" x14ac:dyDescent="0.2">
      <c r="A5846" s="6">
        <v>3633</v>
      </c>
      <c r="B5846" s="7">
        <v>25953</v>
      </c>
      <c r="C5846" s="8">
        <f>DATE(2012,12,31)-1191</f>
        <v>40083</v>
      </c>
      <c r="D5846" s="8" t="str">
        <f t="shared" si="108"/>
        <v>2009-09 (сентябрь 2009)</v>
      </c>
      <c r="E5846" s="9" t="s">
        <v>78</v>
      </c>
      <c r="F5846" s="7">
        <v>19</v>
      </c>
      <c r="G5846" s="7">
        <v>1972.884</v>
      </c>
      <c r="H5846" s="7">
        <v>0.04</v>
      </c>
      <c r="I5846" s="9" t="s">
        <v>22</v>
      </c>
      <c r="J5846" s="10">
        <v>140.91299999999998</v>
      </c>
      <c r="K5846" s="11">
        <v>125.99</v>
      </c>
      <c r="L5846" s="11">
        <v>7.69</v>
      </c>
      <c r="M5846" s="9" t="s">
        <v>1961</v>
      </c>
      <c r="N5846" s="6" t="s">
        <v>1905</v>
      </c>
      <c r="O5846" s="6" t="s">
        <v>673</v>
      </c>
      <c r="P5846" s="9" t="s">
        <v>41</v>
      </c>
      <c r="Q5846" s="9" t="s">
        <v>42</v>
      </c>
      <c r="R5846" s="9" t="s">
        <v>43</v>
      </c>
      <c r="S5846" s="7" t="s">
        <v>129</v>
      </c>
      <c r="T5846" s="9" t="s">
        <v>39</v>
      </c>
      <c r="U5846" s="7">
        <v>0.57999999999999996</v>
      </c>
      <c r="V5846" s="12">
        <f>C5846+1</f>
        <v>40084</v>
      </c>
      <c r="W5846">
        <f>IF(D5846=' Pivot Tables'!$A$4,1,0)</f>
        <v>0</v>
      </c>
      <c r="X5846">
        <f>IF(AND(LEFT(D5846,4)+1=LEFT(' Pivot Tables'!$A$4,4)+0,RIGHT(LEFT(D5846,7),2)=RIGHT(LEFT(' Pivot Tables'!$A$4,7),2)),1,0)</f>
        <v>0</v>
      </c>
      <c r="Y5846" s="6">
        <f>1/COUNTIF(Таблица1[Order ID],Таблица1[[#This Row],[Order ID]])</f>
        <v>0.5</v>
      </c>
      <c r="Z5846" s="9">
        <f>1/COUNTIFS(Таблица1[Customer Name],Таблица1[[#This Row],[Customer Name]],Таблица1[Order-Year-Month],Таблица1[[#This Row],[Order-Year-Month]])</f>
        <v>0.5</v>
      </c>
    </row>
    <row r="5847" spans="1:26" x14ac:dyDescent="0.2">
      <c r="A5847" s="6">
        <v>3650</v>
      </c>
      <c r="B5847" s="7">
        <v>26144</v>
      </c>
      <c r="C5847" s="8">
        <f>DATE(2012,12,31)-432</f>
        <v>40842</v>
      </c>
      <c r="D5847" s="8" t="str">
        <f t="shared" si="108"/>
        <v>2011-10 (октябрь 2011)</v>
      </c>
      <c r="E5847" s="9" t="s">
        <v>30</v>
      </c>
      <c r="F5847" s="7">
        <v>28</v>
      </c>
      <c r="G5847" s="7">
        <v>75.739999999999995</v>
      </c>
      <c r="H5847" s="7">
        <v>0.1</v>
      </c>
      <c r="I5847" s="9" t="s">
        <v>22</v>
      </c>
      <c r="J5847" s="10">
        <v>13.23</v>
      </c>
      <c r="K5847" s="11">
        <v>2.88</v>
      </c>
      <c r="L5847" s="11">
        <v>0.99</v>
      </c>
      <c r="M5847" s="9" t="s">
        <v>1705</v>
      </c>
      <c r="N5847" s="6" t="s">
        <v>1905</v>
      </c>
      <c r="O5847" s="6" t="s">
        <v>673</v>
      </c>
      <c r="P5847" s="9" t="s">
        <v>25</v>
      </c>
      <c r="Q5847" s="9" t="s">
        <v>26</v>
      </c>
      <c r="R5847" s="9" t="s">
        <v>88</v>
      </c>
      <c r="S5847" s="7" t="s">
        <v>300</v>
      </c>
      <c r="T5847" s="9" t="s">
        <v>39</v>
      </c>
      <c r="U5847" s="7">
        <v>0.36</v>
      </c>
      <c r="V5847" s="12">
        <f>C5847+1</f>
        <v>40843</v>
      </c>
      <c r="W5847">
        <f>IF(D5847=' Pivot Tables'!$A$4,1,0)</f>
        <v>0</v>
      </c>
      <c r="X5847">
        <f>IF(AND(LEFT(D5847,4)+1=LEFT(' Pivot Tables'!$A$4,4)+0,RIGHT(LEFT(D5847,7),2)=RIGHT(LEFT(' Pivot Tables'!$A$4,7),2)),1,0)</f>
        <v>0</v>
      </c>
      <c r="Y5847" s="6">
        <f>1/COUNTIF(Таблица1[Order ID],Таблица1[[#This Row],[Order ID]])</f>
        <v>1</v>
      </c>
      <c r="Z5847" s="9">
        <f>1/COUNTIFS(Таблица1[Customer Name],Таблица1[[#This Row],[Customer Name]],Таблица1[Order-Year-Month],Таблица1[[#This Row],[Order-Year-Month]])</f>
        <v>1</v>
      </c>
    </row>
    <row r="5848" spans="1:26" x14ac:dyDescent="0.2">
      <c r="A5848" s="6">
        <v>3702</v>
      </c>
      <c r="B5848" s="7">
        <v>26439</v>
      </c>
      <c r="C5848" s="8">
        <f>DATE(2012,12,31)-473</f>
        <v>40801</v>
      </c>
      <c r="D5848" s="8" t="str">
        <f t="shared" si="108"/>
        <v>2011-09 (сентябрь 2011)</v>
      </c>
      <c r="E5848" s="9" t="s">
        <v>63</v>
      </c>
      <c r="F5848" s="7">
        <v>38</v>
      </c>
      <c r="G5848" s="7">
        <v>1230.83</v>
      </c>
      <c r="H5848" s="7">
        <v>0</v>
      </c>
      <c r="I5848" s="9" t="s">
        <v>22</v>
      </c>
      <c r="J5848" s="10">
        <v>75.5</v>
      </c>
      <c r="K5848" s="11">
        <v>30.98</v>
      </c>
      <c r="L5848" s="11">
        <v>6.5</v>
      </c>
      <c r="M5848" s="9" t="s">
        <v>1823</v>
      </c>
      <c r="N5848" s="6" t="s">
        <v>1905</v>
      </c>
      <c r="O5848" s="6" t="s">
        <v>673</v>
      </c>
      <c r="P5848" s="9" t="s">
        <v>41</v>
      </c>
      <c r="Q5848" s="9" t="s">
        <v>42</v>
      </c>
      <c r="R5848" s="9" t="s">
        <v>70</v>
      </c>
      <c r="S5848" s="7" t="s">
        <v>601</v>
      </c>
      <c r="T5848" s="9" t="s">
        <v>39</v>
      </c>
      <c r="U5848" s="7">
        <v>0.64</v>
      </c>
      <c r="V5848" s="12">
        <f>C5848+1</f>
        <v>40802</v>
      </c>
      <c r="W5848">
        <f>IF(D5848=' Pivot Tables'!$A$4,1,0)</f>
        <v>0</v>
      </c>
      <c r="X5848">
        <f>IF(AND(LEFT(D5848,4)+1=LEFT(' Pivot Tables'!$A$4,4)+0,RIGHT(LEFT(D5848,7),2)=RIGHT(LEFT(' Pivot Tables'!$A$4,7),2)),1,0)</f>
        <v>0</v>
      </c>
      <c r="Y5848" s="6">
        <f>1/COUNTIF(Таблица1[Order ID],Таблица1[[#This Row],[Order ID]])</f>
        <v>0.33333333333333331</v>
      </c>
      <c r="Z5848" s="9">
        <f>1/COUNTIFS(Таблица1[Customer Name],Таблица1[[#This Row],[Customer Name]],Таблица1[Order-Year-Month],Таблица1[[#This Row],[Order-Year-Month]])</f>
        <v>0.33333333333333331</v>
      </c>
    </row>
    <row r="5849" spans="1:26" x14ac:dyDescent="0.2">
      <c r="A5849" s="6">
        <v>3703</v>
      </c>
      <c r="B5849" s="7">
        <v>26439</v>
      </c>
      <c r="C5849" s="8">
        <f>DATE(2012,12,31)-473</f>
        <v>40801</v>
      </c>
      <c r="D5849" s="8" t="str">
        <f t="shared" si="108"/>
        <v>2011-09 (сентябрь 2011)</v>
      </c>
      <c r="E5849" s="9" t="s">
        <v>63</v>
      </c>
      <c r="F5849" s="7">
        <v>37</v>
      </c>
      <c r="G5849" s="7">
        <v>169.93</v>
      </c>
      <c r="H5849" s="7">
        <v>0.04</v>
      </c>
      <c r="I5849" s="9" t="s">
        <v>22</v>
      </c>
      <c r="J5849" s="10">
        <v>-114.35</v>
      </c>
      <c r="K5849" s="11">
        <v>4.28</v>
      </c>
      <c r="L5849" s="11">
        <v>5.74</v>
      </c>
      <c r="M5849" s="9" t="s">
        <v>1823</v>
      </c>
      <c r="N5849" s="6" t="s">
        <v>1905</v>
      </c>
      <c r="O5849" s="6" t="s">
        <v>673</v>
      </c>
      <c r="P5849" s="9" t="s">
        <v>41</v>
      </c>
      <c r="Q5849" s="9" t="s">
        <v>26</v>
      </c>
      <c r="R5849" s="9" t="s">
        <v>61</v>
      </c>
      <c r="S5849" s="7" t="s">
        <v>648</v>
      </c>
      <c r="T5849" s="9" t="s">
        <v>39</v>
      </c>
      <c r="U5849" s="7">
        <v>0.4</v>
      </c>
      <c r="V5849" s="12">
        <f>C5849+0</f>
        <v>40801</v>
      </c>
      <c r="W5849">
        <f>IF(D5849=' Pivot Tables'!$A$4,1,0)</f>
        <v>0</v>
      </c>
      <c r="X5849">
        <f>IF(AND(LEFT(D5849,4)+1=LEFT(' Pivot Tables'!$A$4,4)+0,RIGHT(LEFT(D5849,7),2)=RIGHT(LEFT(' Pivot Tables'!$A$4,7),2)),1,0)</f>
        <v>0</v>
      </c>
      <c r="Y5849" s="6">
        <f>1/COUNTIF(Таблица1[Order ID],Таблица1[[#This Row],[Order ID]])</f>
        <v>0.33333333333333331</v>
      </c>
      <c r="Z5849" s="9">
        <f>1/COUNTIFS(Таблица1[Customer Name],Таблица1[[#This Row],[Customer Name]],Таблица1[Order-Year-Month],Таблица1[[#This Row],[Order-Year-Month]])</f>
        <v>0.33333333333333331</v>
      </c>
    </row>
    <row r="5850" spans="1:26" x14ac:dyDescent="0.2">
      <c r="A5850" s="6">
        <v>3704</v>
      </c>
      <c r="B5850" s="7">
        <v>26439</v>
      </c>
      <c r="C5850" s="8">
        <f>DATE(2012,12,31)-473</f>
        <v>40801</v>
      </c>
      <c r="D5850" s="8" t="str">
        <f t="shared" si="108"/>
        <v>2011-09 (сентябрь 2011)</v>
      </c>
      <c r="E5850" s="9" t="s">
        <v>63</v>
      </c>
      <c r="F5850" s="7">
        <v>23</v>
      </c>
      <c r="G5850" s="7">
        <v>1176.944</v>
      </c>
      <c r="H5850" s="7">
        <v>0.1</v>
      </c>
      <c r="I5850" s="9" t="s">
        <v>22</v>
      </c>
      <c r="J5850" s="10">
        <v>53.649000000000001</v>
      </c>
      <c r="K5850" s="11">
        <v>65.989999999999995</v>
      </c>
      <c r="L5850" s="11">
        <v>4.99</v>
      </c>
      <c r="M5850" s="9" t="s">
        <v>1823</v>
      </c>
      <c r="N5850" s="6" t="s">
        <v>1905</v>
      </c>
      <c r="O5850" s="6" t="s">
        <v>673</v>
      </c>
      <c r="P5850" s="9" t="s">
        <v>41</v>
      </c>
      <c r="Q5850" s="9" t="s">
        <v>42</v>
      </c>
      <c r="R5850" s="9" t="s">
        <v>43</v>
      </c>
      <c r="S5850" s="7" t="s">
        <v>855</v>
      </c>
      <c r="T5850" s="9" t="s">
        <v>39</v>
      </c>
      <c r="U5850" s="7">
        <v>0.57999999999999996</v>
      </c>
      <c r="V5850" s="12">
        <f>C5850+2</f>
        <v>40803</v>
      </c>
      <c r="W5850">
        <f>IF(D5850=' Pivot Tables'!$A$4,1,0)</f>
        <v>0</v>
      </c>
      <c r="X5850">
        <f>IF(AND(LEFT(D5850,4)+1=LEFT(' Pivot Tables'!$A$4,4)+0,RIGHT(LEFT(D5850,7),2)=RIGHT(LEFT(' Pivot Tables'!$A$4,7),2)),1,0)</f>
        <v>0</v>
      </c>
      <c r="Y5850" s="6">
        <f>1/COUNTIF(Таблица1[Order ID],Таблица1[[#This Row],[Order ID]])</f>
        <v>0.33333333333333331</v>
      </c>
      <c r="Z5850" s="9">
        <f>1/COUNTIFS(Таблица1[Customer Name],Таблица1[[#This Row],[Customer Name]],Таблица1[Order-Year-Month],Таблица1[[#This Row],[Order-Year-Month]])</f>
        <v>0.33333333333333331</v>
      </c>
    </row>
    <row r="5851" spans="1:26" x14ac:dyDescent="0.2">
      <c r="A5851" s="6">
        <v>3707</v>
      </c>
      <c r="B5851" s="7">
        <v>26466</v>
      </c>
      <c r="C5851" s="8">
        <f>DATE(2012,12,31)-1299</f>
        <v>39975</v>
      </c>
      <c r="D5851" s="8" t="str">
        <f t="shared" si="108"/>
        <v>2009-06 (июнь 2009)</v>
      </c>
      <c r="E5851" s="9" t="s">
        <v>78</v>
      </c>
      <c r="F5851" s="7">
        <v>29</v>
      </c>
      <c r="G5851" s="7">
        <v>909.721</v>
      </c>
      <c r="H5851" s="7">
        <v>0.01</v>
      </c>
      <c r="I5851" s="9" t="s">
        <v>22</v>
      </c>
      <c r="J5851" s="10">
        <v>287.99099999999999</v>
      </c>
      <c r="K5851" s="11">
        <v>35.99</v>
      </c>
      <c r="L5851" s="11">
        <v>5.99</v>
      </c>
      <c r="M5851" s="9" t="s">
        <v>1196</v>
      </c>
      <c r="N5851" s="6" t="s">
        <v>1905</v>
      </c>
      <c r="O5851" s="6" t="s">
        <v>673</v>
      </c>
      <c r="P5851" s="9" t="s">
        <v>41</v>
      </c>
      <c r="Q5851" s="9" t="s">
        <v>42</v>
      </c>
      <c r="R5851" s="9" t="s">
        <v>43</v>
      </c>
      <c r="S5851" s="7" t="s">
        <v>907</v>
      </c>
      <c r="T5851" s="9" t="s">
        <v>68</v>
      </c>
      <c r="U5851" s="7">
        <v>0.38</v>
      </c>
      <c r="V5851" s="12">
        <f>C5851+1</f>
        <v>39976</v>
      </c>
      <c r="W5851">
        <f>IF(D5851=' Pivot Tables'!$A$4,1,0)</f>
        <v>0</v>
      </c>
      <c r="X5851">
        <f>IF(AND(LEFT(D5851,4)+1=LEFT(' Pivot Tables'!$A$4,4)+0,RIGHT(LEFT(D5851,7),2)=RIGHT(LEFT(' Pivot Tables'!$A$4,7),2)),1,0)</f>
        <v>0</v>
      </c>
      <c r="Y5851" s="6">
        <f>1/COUNTIF(Таблица1[Order ID],Таблица1[[#This Row],[Order ID]])</f>
        <v>1</v>
      </c>
      <c r="Z5851" s="9">
        <f>1/COUNTIFS(Таблица1[Customer Name],Таблица1[[#This Row],[Customer Name]],Таблица1[Order-Year-Month],Таблица1[[#This Row],[Order-Year-Month]])</f>
        <v>1</v>
      </c>
    </row>
    <row r="5852" spans="1:26" x14ac:dyDescent="0.2">
      <c r="A5852" s="6">
        <v>3937</v>
      </c>
      <c r="B5852" s="7">
        <v>28037</v>
      </c>
      <c r="C5852" s="8">
        <f>DATE(2012,12,31)-1115</f>
        <v>40159</v>
      </c>
      <c r="D5852" s="8" t="str">
        <f t="shared" si="108"/>
        <v>2009-12 (декабрь 2009)</v>
      </c>
      <c r="E5852" s="9" t="s">
        <v>30</v>
      </c>
      <c r="F5852" s="7">
        <v>31</v>
      </c>
      <c r="G5852" s="7">
        <v>203.53</v>
      </c>
      <c r="H5852" s="7">
        <v>0.06</v>
      </c>
      <c r="I5852" s="9" t="s">
        <v>22</v>
      </c>
      <c r="J5852" s="10">
        <v>-101.28</v>
      </c>
      <c r="K5852" s="11">
        <v>6.68</v>
      </c>
      <c r="L5852" s="11">
        <v>6.93</v>
      </c>
      <c r="M5852" s="9" t="s">
        <v>1960</v>
      </c>
      <c r="N5852" s="6" t="s">
        <v>1905</v>
      </c>
      <c r="O5852" s="6" t="s">
        <v>673</v>
      </c>
      <c r="P5852" s="9" t="s">
        <v>41</v>
      </c>
      <c r="Q5852" s="9" t="s">
        <v>26</v>
      </c>
      <c r="R5852" s="9" t="s">
        <v>61</v>
      </c>
      <c r="S5852" s="7" t="s">
        <v>385</v>
      </c>
      <c r="T5852" s="9" t="s">
        <v>39</v>
      </c>
      <c r="U5852" s="7">
        <v>0.37</v>
      </c>
      <c r="V5852" s="12">
        <f>C5852+1</f>
        <v>40160</v>
      </c>
      <c r="W5852">
        <f>IF(D5852=' Pivot Tables'!$A$4,1,0)</f>
        <v>0</v>
      </c>
      <c r="X5852">
        <f>IF(AND(LEFT(D5852,4)+1=LEFT(' Pivot Tables'!$A$4,4)+0,RIGHT(LEFT(D5852,7),2)=RIGHT(LEFT(' Pivot Tables'!$A$4,7),2)),1,0)</f>
        <v>0</v>
      </c>
      <c r="Y5852" s="6">
        <f>1/COUNTIF(Таблица1[Order ID],Таблица1[[#This Row],[Order ID]])</f>
        <v>1</v>
      </c>
      <c r="Z5852" s="9">
        <f>1/COUNTIFS(Таблица1[Customer Name],Таблица1[[#This Row],[Customer Name]],Таблица1[Order-Year-Month],Таблица1[[#This Row],[Order-Year-Month]])</f>
        <v>1</v>
      </c>
    </row>
    <row r="5853" spans="1:26" x14ac:dyDescent="0.2">
      <c r="A5853" s="6">
        <v>3967</v>
      </c>
      <c r="B5853" s="7">
        <v>28294</v>
      </c>
      <c r="C5853" s="8">
        <f>DATE(2012,12,31)-223</f>
        <v>41051</v>
      </c>
      <c r="D5853" s="8" t="str">
        <f t="shared" si="108"/>
        <v>2012-05 (май 2012)</v>
      </c>
      <c r="E5853" s="9" t="s">
        <v>30</v>
      </c>
      <c r="F5853" s="7">
        <v>47</v>
      </c>
      <c r="G5853" s="7">
        <v>63.47</v>
      </c>
      <c r="H5853" s="7">
        <v>0</v>
      </c>
      <c r="I5853" s="9" t="s">
        <v>22</v>
      </c>
      <c r="J5853" s="10">
        <v>-19.920000000000002</v>
      </c>
      <c r="K5853" s="11">
        <v>1.26</v>
      </c>
      <c r="L5853" s="11">
        <v>0.7</v>
      </c>
      <c r="M5853" s="9" t="s">
        <v>1705</v>
      </c>
      <c r="N5853" s="6" t="s">
        <v>1905</v>
      </c>
      <c r="O5853" s="6" t="s">
        <v>673</v>
      </c>
      <c r="P5853" s="9" t="s">
        <v>41</v>
      </c>
      <c r="Q5853" s="9" t="s">
        <v>26</v>
      </c>
      <c r="R5853" s="9" t="s">
        <v>66</v>
      </c>
      <c r="S5853" s="7" t="s">
        <v>351</v>
      </c>
      <c r="T5853" s="9" t="s">
        <v>68</v>
      </c>
      <c r="U5853" s="7">
        <v>0.81</v>
      </c>
      <c r="V5853" s="12">
        <f>C5853+1</f>
        <v>41052</v>
      </c>
      <c r="W5853">
        <f>IF(D5853=' Pivot Tables'!$A$4,1,0)</f>
        <v>0</v>
      </c>
      <c r="X5853">
        <f>IF(AND(LEFT(D5853,4)+1=LEFT(' Pivot Tables'!$A$4,4)+0,RIGHT(LEFT(D5853,7),2)=RIGHT(LEFT(' Pivot Tables'!$A$4,7),2)),1,0)</f>
        <v>0</v>
      </c>
      <c r="Y5853" s="6">
        <f>1/COUNTIF(Таблица1[Order ID],Таблица1[[#This Row],[Order ID]])</f>
        <v>1</v>
      </c>
      <c r="Z5853" s="9">
        <f>1/COUNTIFS(Таблица1[Customer Name],Таблица1[[#This Row],[Customer Name]],Таблица1[Order-Year-Month],Таблица1[[#This Row],[Order-Year-Month]])</f>
        <v>0.5</v>
      </c>
    </row>
    <row r="5854" spans="1:26" x14ac:dyDescent="0.2">
      <c r="A5854" s="6">
        <v>3984</v>
      </c>
      <c r="B5854" s="7">
        <v>28453</v>
      </c>
      <c r="C5854" s="8">
        <f>DATE(2012,12,31)-3</f>
        <v>41271</v>
      </c>
      <c r="D5854" s="8" t="str">
        <f t="shared" si="108"/>
        <v>2012-12 (декабрь 2012)</v>
      </c>
      <c r="E5854" s="9" t="s">
        <v>78</v>
      </c>
      <c r="F5854" s="7">
        <v>26</v>
      </c>
      <c r="G5854" s="7">
        <v>560.03</v>
      </c>
      <c r="H5854" s="7">
        <v>0.04</v>
      </c>
      <c r="I5854" s="9" t="s">
        <v>22</v>
      </c>
      <c r="J5854" s="10">
        <v>-139.87</v>
      </c>
      <c r="K5854" s="11">
        <v>21.66</v>
      </c>
      <c r="L5854" s="11">
        <v>13.99</v>
      </c>
      <c r="M5854" s="9" t="s">
        <v>1131</v>
      </c>
      <c r="N5854" s="6" t="s">
        <v>1905</v>
      </c>
      <c r="O5854" s="6" t="s">
        <v>673</v>
      </c>
      <c r="P5854" s="9" t="s">
        <v>60</v>
      </c>
      <c r="Q5854" s="9" t="s">
        <v>26</v>
      </c>
      <c r="R5854" s="9" t="s">
        <v>34</v>
      </c>
      <c r="S5854" s="7" t="s">
        <v>223</v>
      </c>
      <c r="T5854" s="9" t="s">
        <v>48</v>
      </c>
      <c r="U5854" s="7">
        <v>0.52</v>
      </c>
      <c r="V5854" s="12">
        <f>C5854+0</f>
        <v>41271</v>
      </c>
      <c r="W5854">
        <f>IF(D5854=' Pivot Tables'!$A$4,1,0)</f>
        <v>0</v>
      </c>
      <c r="X5854">
        <f>IF(AND(LEFT(D5854,4)+1=LEFT(' Pivot Tables'!$A$4,4)+0,RIGHT(LEFT(D5854,7),2)=RIGHT(LEFT(' Pivot Tables'!$A$4,7),2)),1,0)</f>
        <v>0</v>
      </c>
      <c r="Y5854" s="6">
        <f>1/COUNTIF(Таблица1[Order ID],Таблица1[[#This Row],[Order ID]])</f>
        <v>1</v>
      </c>
      <c r="Z5854" s="9">
        <f>1/COUNTIFS(Таблица1[Customer Name],Таблица1[[#This Row],[Customer Name]],Таблица1[Order-Year-Month],Таблица1[[#This Row],[Order-Year-Month]])</f>
        <v>1</v>
      </c>
    </row>
    <row r="5855" spans="1:26" x14ac:dyDescent="0.2">
      <c r="A5855" s="6">
        <v>3993</v>
      </c>
      <c r="B5855" s="7">
        <v>28512</v>
      </c>
      <c r="C5855" s="8">
        <f>DATE(2012,12,31)-979</f>
        <v>40295</v>
      </c>
      <c r="D5855" s="8" t="str">
        <f t="shared" si="108"/>
        <v>2010-04 (апрель 2010)</v>
      </c>
      <c r="E5855" s="9" t="s">
        <v>63</v>
      </c>
      <c r="F5855" s="7">
        <v>11</v>
      </c>
      <c r="G5855" s="7">
        <v>323.91000000000003</v>
      </c>
      <c r="H5855" s="7">
        <v>0.09</v>
      </c>
      <c r="I5855" s="9" t="s">
        <v>22</v>
      </c>
      <c r="J5855" s="10">
        <v>-96.53</v>
      </c>
      <c r="K5855" s="11">
        <v>30.73</v>
      </c>
      <c r="L5855" s="11">
        <v>4</v>
      </c>
      <c r="M5855" s="9" t="s">
        <v>1705</v>
      </c>
      <c r="N5855" s="6" t="s">
        <v>1905</v>
      </c>
      <c r="O5855" s="6" t="s">
        <v>673</v>
      </c>
      <c r="P5855" s="9" t="s">
        <v>41</v>
      </c>
      <c r="Q5855" s="9" t="s">
        <v>42</v>
      </c>
      <c r="R5855" s="9" t="s">
        <v>70</v>
      </c>
      <c r="S5855" s="7" t="s">
        <v>270</v>
      </c>
      <c r="T5855" s="9" t="s">
        <v>39</v>
      </c>
      <c r="U5855" s="7">
        <v>0.75</v>
      </c>
      <c r="V5855" s="12">
        <f>C5855+1</f>
        <v>40296</v>
      </c>
      <c r="W5855">
        <f>IF(D5855=' Pivot Tables'!$A$4,1,0)</f>
        <v>0</v>
      </c>
      <c r="X5855">
        <f>IF(AND(LEFT(D5855,4)+1=LEFT(' Pivot Tables'!$A$4,4)+0,RIGHT(LEFT(D5855,7),2)=RIGHT(LEFT(' Pivot Tables'!$A$4,7),2)),1,0)</f>
        <v>0</v>
      </c>
      <c r="Y5855" s="6">
        <f>1/COUNTIF(Таблица1[Order ID],Таблица1[[#This Row],[Order ID]])</f>
        <v>0.33333333333333331</v>
      </c>
      <c r="Z5855" s="9">
        <f>1/COUNTIFS(Таблица1[Customer Name],Таблица1[[#This Row],[Customer Name]],Таблица1[Order-Year-Month],Таблица1[[#This Row],[Order-Year-Month]])</f>
        <v>0.33333333333333331</v>
      </c>
    </row>
    <row r="5856" spans="1:26" x14ac:dyDescent="0.2">
      <c r="A5856" s="6">
        <v>3994</v>
      </c>
      <c r="B5856" s="7">
        <v>28512</v>
      </c>
      <c r="C5856" s="8">
        <f>DATE(2012,12,31)-979</f>
        <v>40295</v>
      </c>
      <c r="D5856" s="8" t="str">
        <f t="shared" si="108"/>
        <v>2010-04 (апрель 2010)</v>
      </c>
      <c r="E5856" s="9" t="s">
        <v>63</v>
      </c>
      <c r="F5856" s="7">
        <v>10</v>
      </c>
      <c r="G5856" s="7">
        <v>185.59</v>
      </c>
      <c r="H5856" s="7">
        <v>0.1</v>
      </c>
      <c r="I5856" s="9" t="s">
        <v>22</v>
      </c>
      <c r="J5856" s="10">
        <v>12.01</v>
      </c>
      <c r="K5856" s="11">
        <v>19.98</v>
      </c>
      <c r="L5856" s="11">
        <v>5.77</v>
      </c>
      <c r="M5856" s="9" t="s">
        <v>1705</v>
      </c>
      <c r="N5856" s="6" t="s">
        <v>1905</v>
      </c>
      <c r="O5856" s="6" t="s">
        <v>673</v>
      </c>
      <c r="P5856" s="9" t="s">
        <v>41</v>
      </c>
      <c r="Q5856" s="9" t="s">
        <v>26</v>
      </c>
      <c r="R5856" s="9" t="s">
        <v>61</v>
      </c>
      <c r="S5856" s="7" t="s">
        <v>197</v>
      </c>
      <c r="T5856" s="9" t="s">
        <v>39</v>
      </c>
      <c r="U5856" s="7">
        <v>0.38</v>
      </c>
      <c r="V5856" s="12">
        <f>C5856+2</f>
        <v>40297</v>
      </c>
      <c r="W5856">
        <f>IF(D5856=' Pivot Tables'!$A$4,1,0)</f>
        <v>0</v>
      </c>
      <c r="X5856">
        <f>IF(AND(LEFT(D5856,4)+1=LEFT(' Pivot Tables'!$A$4,4)+0,RIGHT(LEFT(D5856,7),2)=RIGHT(LEFT(' Pivot Tables'!$A$4,7),2)),1,0)</f>
        <v>0</v>
      </c>
      <c r="Y5856" s="6">
        <f>1/COUNTIF(Таблица1[Order ID],Таблица1[[#This Row],[Order ID]])</f>
        <v>0.33333333333333331</v>
      </c>
      <c r="Z5856" s="9">
        <f>1/COUNTIFS(Таблица1[Customer Name],Таблица1[[#This Row],[Customer Name]],Таблица1[Order-Year-Month],Таблица1[[#This Row],[Order-Year-Month]])</f>
        <v>0.33333333333333331</v>
      </c>
    </row>
    <row r="5857" spans="1:26" x14ac:dyDescent="0.2">
      <c r="A5857" s="6">
        <v>3995</v>
      </c>
      <c r="B5857" s="7">
        <v>28512</v>
      </c>
      <c r="C5857" s="8">
        <f>DATE(2012,12,31)-979</f>
        <v>40295</v>
      </c>
      <c r="D5857" s="8" t="str">
        <f t="shared" si="108"/>
        <v>2010-04 (апрель 2010)</v>
      </c>
      <c r="E5857" s="9" t="s">
        <v>63</v>
      </c>
      <c r="F5857" s="7">
        <v>18</v>
      </c>
      <c r="G5857" s="7">
        <v>7168.15</v>
      </c>
      <c r="H5857" s="7">
        <v>0.05</v>
      </c>
      <c r="I5857" s="9" t="s">
        <v>22</v>
      </c>
      <c r="J5857" s="10">
        <v>1593.61</v>
      </c>
      <c r="K5857" s="11">
        <v>419.19</v>
      </c>
      <c r="L5857" s="11">
        <v>19.989999999999998</v>
      </c>
      <c r="M5857" s="9" t="s">
        <v>1705</v>
      </c>
      <c r="N5857" s="6" t="s">
        <v>1905</v>
      </c>
      <c r="O5857" s="6" t="s">
        <v>673</v>
      </c>
      <c r="P5857" s="9" t="s">
        <v>41</v>
      </c>
      <c r="Q5857" s="9" t="s">
        <v>26</v>
      </c>
      <c r="R5857" s="9" t="s">
        <v>27</v>
      </c>
      <c r="S5857" s="7" t="s">
        <v>1655</v>
      </c>
      <c r="T5857" s="9" t="s">
        <v>39</v>
      </c>
      <c r="U5857" s="7">
        <v>0.57999999999999996</v>
      </c>
      <c r="V5857" s="12">
        <f>C5857+2</f>
        <v>40297</v>
      </c>
      <c r="W5857">
        <f>IF(D5857=' Pivot Tables'!$A$4,1,0)</f>
        <v>0</v>
      </c>
      <c r="X5857">
        <f>IF(AND(LEFT(D5857,4)+1=LEFT(' Pivot Tables'!$A$4,4)+0,RIGHT(LEFT(D5857,7),2)=RIGHT(LEFT(' Pivot Tables'!$A$4,7),2)),1,0)</f>
        <v>0</v>
      </c>
      <c r="Y5857" s="6">
        <f>1/COUNTIF(Таблица1[Order ID],Таблица1[[#This Row],[Order ID]])</f>
        <v>0.33333333333333331</v>
      </c>
      <c r="Z5857" s="9">
        <f>1/COUNTIFS(Таблица1[Customer Name],Таблица1[[#This Row],[Customer Name]],Таблица1[Order-Year-Month],Таблица1[[#This Row],[Order-Year-Month]])</f>
        <v>0.33333333333333331</v>
      </c>
    </row>
    <row r="5858" spans="1:26" x14ac:dyDescent="0.2">
      <c r="A5858" s="6">
        <v>4011</v>
      </c>
      <c r="B5858" s="7">
        <v>28641</v>
      </c>
      <c r="C5858" s="8">
        <f>DATE(2012,12,31)-446</f>
        <v>40828</v>
      </c>
      <c r="D5858" s="8" t="str">
        <f t="shared" si="108"/>
        <v>2011-10 (октябрь 2011)</v>
      </c>
      <c r="E5858" s="9" t="s">
        <v>45</v>
      </c>
      <c r="F5858" s="7">
        <v>33</v>
      </c>
      <c r="G5858" s="7">
        <v>278.64999999999998</v>
      </c>
      <c r="H5858" s="7">
        <v>0.05</v>
      </c>
      <c r="I5858" s="9" t="s">
        <v>56</v>
      </c>
      <c r="J5858" s="10">
        <v>-36.340000000000003</v>
      </c>
      <c r="K5858" s="11">
        <v>8.32</v>
      </c>
      <c r="L5858" s="11">
        <v>2.38</v>
      </c>
      <c r="M5858" s="9" t="s">
        <v>1956</v>
      </c>
      <c r="N5858" s="6" t="s">
        <v>1905</v>
      </c>
      <c r="O5858" s="6" t="s">
        <v>673</v>
      </c>
      <c r="P5858" s="9" t="s">
        <v>60</v>
      </c>
      <c r="Q5858" s="9" t="s">
        <v>42</v>
      </c>
      <c r="R5858" s="9" t="s">
        <v>70</v>
      </c>
      <c r="S5858" s="7" t="s">
        <v>1584</v>
      </c>
      <c r="T5858" s="9" t="s">
        <v>52</v>
      </c>
      <c r="U5858" s="7">
        <v>0.74</v>
      </c>
      <c r="V5858" s="12">
        <f>C5858+1</f>
        <v>40829</v>
      </c>
      <c r="W5858">
        <f>IF(D5858=' Pivot Tables'!$A$4,1,0)</f>
        <v>0</v>
      </c>
      <c r="X5858">
        <f>IF(AND(LEFT(D5858,4)+1=LEFT(' Pivot Tables'!$A$4,4)+0,RIGHT(LEFT(D5858,7),2)=RIGHT(LEFT(' Pivot Tables'!$A$4,7),2)),1,0)</f>
        <v>0</v>
      </c>
      <c r="Y5858" s="6">
        <f>1/COUNTIF(Таблица1[Order ID],Таблица1[[#This Row],[Order ID]])</f>
        <v>1</v>
      </c>
      <c r="Z5858" s="9">
        <f>1/COUNTIFS(Таблица1[Customer Name],Таблица1[[#This Row],[Customer Name]],Таблица1[Order-Year-Month],Таблица1[[#This Row],[Order-Year-Month]])</f>
        <v>1</v>
      </c>
    </row>
    <row r="5859" spans="1:26" x14ac:dyDescent="0.2">
      <c r="A5859" s="6">
        <v>4045</v>
      </c>
      <c r="B5859" s="7">
        <v>28867</v>
      </c>
      <c r="C5859" s="8">
        <f>DATE(2012,12,31)-528</f>
        <v>40746</v>
      </c>
      <c r="D5859" s="8" t="str">
        <f t="shared" si="108"/>
        <v>2011-07 (июль 2011)</v>
      </c>
      <c r="E5859" s="9" t="s">
        <v>63</v>
      </c>
      <c r="F5859" s="7">
        <v>43</v>
      </c>
      <c r="G5859" s="7">
        <v>866.73</v>
      </c>
      <c r="H5859" s="7">
        <v>0.1</v>
      </c>
      <c r="I5859" s="9" t="s">
        <v>22</v>
      </c>
      <c r="J5859" s="10">
        <v>-199.98</v>
      </c>
      <c r="K5859" s="11">
        <v>20.97</v>
      </c>
      <c r="L5859" s="11">
        <v>6.5</v>
      </c>
      <c r="M5859" s="9" t="s">
        <v>1960</v>
      </c>
      <c r="N5859" s="6" t="s">
        <v>1905</v>
      </c>
      <c r="O5859" s="6" t="s">
        <v>673</v>
      </c>
      <c r="P5859" s="9" t="s">
        <v>41</v>
      </c>
      <c r="Q5859" s="9" t="s">
        <v>42</v>
      </c>
      <c r="R5859" s="9" t="s">
        <v>70</v>
      </c>
      <c r="S5859" s="7" t="s">
        <v>262</v>
      </c>
      <c r="T5859" s="9" t="s">
        <v>39</v>
      </c>
      <c r="U5859" s="7">
        <v>0.78</v>
      </c>
      <c r="V5859" s="12">
        <f>C5859+1</f>
        <v>40747</v>
      </c>
      <c r="W5859">
        <f>IF(D5859=' Pivot Tables'!$A$4,1,0)</f>
        <v>0</v>
      </c>
      <c r="X5859">
        <f>IF(AND(LEFT(D5859,4)+1=LEFT(' Pivot Tables'!$A$4,4)+0,RIGHT(LEFT(D5859,7),2)=RIGHT(LEFT(' Pivot Tables'!$A$4,7),2)),1,0)</f>
        <v>0</v>
      </c>
      <c r="Y5859" s="6">
        <f>1/COUNTIF(Таблица1[Order ID],Таблица1[[#This Row],[Order ID]])</f>
        <v>0.33333333333333331</v>
      </c>
      <c r="Z5859" s="9">
        <f>1/COUNTIFS(Таблица1[Customer Name],Таблица1[[#This Row],[Customer Name]],Таблица1[Order-Year-Month],Таблица1[[#This Row],[Order-Year-Month]])</f>
        <v>0.33333333333333331</v>
      </c>
    </row>
    <row r="5860" spans="1:26" x14ac:dyDescent="0.2">
      <c r="A5860" s="6">
        <v>4046</v>
      </c>
      <c r="B5860" s="7">
        <v>28867</v>
      </c>
      <c r="C5860" s="8">
        <f>DATE(2012,12,31)-528</f>
        <v>40746</v>
      </c>
      <c r="D5860" s="8" t="str">
        <f t="shared" si="108"/>
        <v>2011-07 (июль 2011)</v>
      </c>
      <c r="E5860" s="9" t="s">
        <v>63</v>
      </c>
      <c r="F5860" s="7">
        <v>6</v>
      </c>
      <c r="G5860" s="7">
        <v>642.41999999999996</v>
      </c>
      <c r="H5860" s="7">
        <v>0.03</v>
      </c>
      <c r="I5860" s="9" t="s">
        <v>22</v>
      </c>
      <c r="J5860" s="10">
        <v>80.010000000000005</v>
      </c>
      <c r="K5860" s="11">
        <v>104.85</v>
      </c>
      <c r="L5860" s="11">
        <v>19.989999999999998</v>
      </c>
      <c r="M5860" s="9" t="s">
        <v>1960</v>
      </c>
      <c r="N5860" s="6" t="s">
        <v>1905</v>
      </c>
      <c r="O5860" s="6" t="s">
        <v>673</v>
      </c>
      <c r="P5860" s="9" t="s">
        <v>41</v>
      </c>
      <c r="Q5860" s="9" t="s">
        <v>26</v>
      </c>
      <c r="R5860" s="9" t="s">
        <v>61</v>
      </c>
      <c r="S5860" s="7" t="s">
        <v>1057</v>
      </c>
      <c r="T5860" s="9" t="s">
        <v>39</v>
      </c>
      <c r="U5860" s="7">
        <v>0.37</v>
      </c>
      <c r="V5860" s="12">
        <f>C5860+1</f>
        <v>40747</v>
      </c>
      <c r="W5860">
        <f>IF(D5860=' Pivot Tables'!$A$4,1,0)</f>
        <v>0</v>
      </c>
      <c r="X5860">
        <f>IF(AND(LEFT(D5860,4)+1=LEFT(' Pivot Tables'!$A$4,4)+0,RIGHT(LEFT(D5860,7),2)=RIGHT(LEFT(' Pivot Tables'!$A$4,7),2)),1,0)</f>
        <v>0</v>
      </c>
      <c r="Y5860" s="6">
        <f>1/COUNTIF(Таблица1[Order ID],Таблица1[[#This Row],[Order ID]])</f>
        <v>0.33333333333333331</v>
      </c>
      <c r="Z5860" s="9">
        <f>1/COUNTIFS(Таблица1[Customer Name],Таблица1[[#This Row],[Customer Name]],Таблица1[Order-Year-Month],Таблица1[[#This Row],[Order-Year-Month]])</f>
        <v>0.33333333333333331</v>
      </c>
    </row>
    <row r="5861" spans="1:26" x14ac:dyDescent="0.2">
      <c r="A5861" s="6">
        <v>4047</v>
      </c>
      <c r="B5861" s="7">
        <v>28867</v>
      </c>
      <c r="C5861" s="8">
        <f>DATE(2012,12,31)-528</f>
        <v>40746</v>
      </c>
      <c r="D5861" s="8" t="str">
        <f t="shared" si="108"/>
        <v>2011-07 (июль 2011)</v>
      </c>
      <c r="E5861" s="9" t="s">
        <v>63</v>
      </c>
      <c r="F5861" s="7">
        <v>26</v>
      </c>
      <c r="G5861" s="7">
        <v>2169.7525000000001</v>
      </c>
      <c r="H5861" s="7">
        <v>0.02</v>
      </c>
      <c r="I5861" s="9" t="s">
        <v>22</v>
      </c>
      <c r="J5861" s="10">
        <v>374.75099999999998</v>
      </c>
      <c r="K5861" s="11">
        <v>95.99</v>
      </c>
      <c r="L5861" s="11">
        <v>8.99</v>
      </c>
      <c r="M5861" s="9" t="s">
        <v>1960</v>
      </c>
      <c r="N5861" s="6" t="s">
        <v>1905</v>
      </c>
      <c r="O5861" s="6" t="s">
        <v>673</v>
      </c>
      <c r="P5861" s="9" t="s">
        <v>41</v>
      </c>
      <c r="Q5861" s="9" t="s">
        <v>42</v>
      </c>
      <c r="R5861" s="9" t="s">
        <v>43</v>
      </c>
      <c r="S5861" s="7" t="s">
        <v>198</v>
      </c>
      <c r="T5861" s="9" t="s">
        <v>39</v>
      </c>
      <c r="U5861" s="7">
        <v>0.56999999999999995</v>
      </c>
      <c r="V5861" s="12">
        <f>C5861+2</f>
        <v>40748</v>
      </c>
      <c r="W5861">
        <f>IF(D5861=' Pivot Tables'!$A$4,1,0)</f>
        <v>0</v>
      </c>
      <c r="X5861">
        <f>IF(AND(LEFT(D5861,4)+1=LEFT(' Pivot Tables'!$A$4,4)+0,RIGHT(LEFT(D5861,7),2)=RIGHT(LEFT(' Pivot Tables'!$A$4,7),2)),1,0)</f>
        <v>0</v>
      </c>
      <c r="Y5861" s="6">
        <f>1/COUNTIF(Таблица1[Order ID],Таблица1[[#This Row],[Order ID]])</f>
        <v>0.33333333333333331</v>
      </c>
      <c r="Z5861" s="9">
        <f>1/COUNTIFS(Таблица1[Customer Name],Таблица1[[#This Row],[Customer Name]],Таблица1[Order-Year-Month],Таблица1[[#This Row],[Order-Year-Month]])</f>
        <v>0.33333333333333331</v>
      </c>
    </row>
    <row r="5862" spans="1:26" x14ac:dyDescent="0.2">
      <c r="A5862" s="6">
        <v>4055</v>
      </c>
      <c r="B5862" s="7">
        <v>28899</v>
      </c>
      <c r="C5862" s="8">
        <f>DATE(2012,12,31)-200</f>
        <v>41074</v>
      </c>
      <c r="D5862" s="8" t="str">
        <f t="shared" si="108"/>
        <v>2012-06 (июнь 2012)</v>
      </c>
      <c r="E5862" s="9" t="s">
        <v>21</v>
      </c>
      <c r="F5862" s="7">
        <v>27</v>
      </c>
      <c r="G5862" s="7">
        <v>4488.2635</v>
      </c>
      <c r="H5862" s="7">
        <v>0.06</v>
      </c>
      <c r="I5862" s="9" t="s">
        <v>22</v>
      </c>
      <c r="J5862" s="10">
        <v>750.54600000000005</v>
      </c>
      <c r="K5862" s="11">
        <v>205.99</v>
      </c>
      <c r="L5862" s="11">
        <v>5</v>
      </c>
      <c r="M5862" s="9" t="s">
        <v>1959</v>
      </c>
      <c r="N5862" s="6" t="s">
        <v>1905</v>
      </c>
      <c r="O5862" s="6" t="s">
        <v>673</v>
      </c>
      <c r="P5862" s="9" t="s">
        <v>33</v>
      </c>
      <c r="Q5862" s="9" t="s">
        <v>42</v>
      </c>
      <c r="R5862" s="9" t="s">
        <v>43</v>
      </c>
      <c r="S5862" s="7" t="s">
        <v>1318</v>
      </c>
      <c r="T5862" s="9" t="s">
        <v>39</v>
      </c>
      <c r="U5862" s="7">
        <v>0.59</v>
      </c>
      <c r="V5862" s="12">
        <f>C5862+2</f>
        <v>41076</v>
      </c>
      <c r="W5862">
        <f>IF(D5862=' Pivot Tables'!$A$4,1,0)</f>
        <v>0</v>
      </c>
      <c r="X5862">
        <f>IF(AND(LEFT(D5862,4)+1=LEFT(' Pivot Tables'!$A$4,4)+0,RIGHT(LEFT(D5862,7),2)=RIGHT(LEFT(' Pivot Tables'!$A$4,7),2)),1,0)</f>
        <v>0</v>
      </c>
      <c r="Y5862" s="6">
        <f>1/COUNTIF(Таблица1[Order ID],Таблица1[[#This Row],[Order ID]])</f>
        <v>1</v>
      </c>
      <c r="Z5862" s="9">
        <f>1/COUNTIFS(Таблица1[Customer Name],Таблица1[[#This Row],[Customer Name]],Таблица1[Order-Year-Month],Таблица1[[#This Row],[Order-Year-Month]])</f>
        <v>1</v>
      </c>
    </row>
    <row r="5863" spans="1:26" x14ac:dyDescent="0.2">
      <c r="A5863" s="6">
        <v>4264</v>
      </c>
      <c r="B5863" s="7">
        <v>30343</v>
      </c>
      <c r="C5863" s="8">
        <f>DATE(2012,12,31)-224</f>
        <v>41050</v>
      </c>
      <c r="D5863" s="8" t="str">
        <f t="shared" si="108"/>
        <v>2012-05 (май 2012)</v>
      </c>
      <c r="E5863" s="9" t="s">
        <v>78</v>
      </c>
      <c r="F5863" s="7">
        <v>8</v>
      </c>
      <c r="G5863" s="7">
        <v>41343.21</v>
      </c>
      <c r="H5863" s="7">
        <v>0.09</v>
      </c>
      <c r="I5863" s="9" t="s">
        <v>22</v>
      </c>
      <c r="J5863" s="10">
        <v>3852.19</v>
      </c>
      <c r="K5863" s="11">
        <v>6783.02</v>
      </c>
      <c r="L5863" s="11">
        <v>24.49</v>
      </c>
      <c r="M5863" s="9" t="s">
        <v>1967</v>
      </c>
      <c r="N5863" s="6" t="s">
        <v>1905</v>
      </c>
      <c r="O5863" s="6" t="s">
        <v>673</v>
      </c>
      <c r="P5863" s="9" t="s">
        <v>41</v>
      </c>
      <c r="Q5863" s="9" t="s">
        <v>42</v>
      </c>
      <c r="R5863" s="9" t="s">
        <v>210</v>
      </c>
      <c r="S5863" s="7" t="s">
        <v>1668</v>
      </c>
      <c r="T5863" s="9" t="s">
        <v>29</v>
      </c>
      <c r="U5863" s="7">
        <v>0.39</v>
      </c>
      <c r="V5863" s="12">
        <f>C5863+2</f>
        <v>41052</v>
      </c>
      <c r="W5863">
        <f>IF(D5863=' Pivot Tables'!$A$4,1,0)</f>
        <v>0</v>
      </c>
      <c r="X5863">
        <f>IF(AND(LEFT(D5863,4)+1=LEFT(' Pivot Tables'!$A$4,4)+0,RIGHT(LEFT(D5863,7),2)=RIGHT(LEFT(' Pivot Tables'!$A$4,7),2)),1,0)</f>
        <v>0</v>
      </c>
      <c r="Y5863" s="6">
        <f>1/COUNTIF(Таблица1[Order ID],Таблица1[[#This Row],[Order ID]])</f>
        <v>0.33333333333333331</v>
      </c>
      <c r="Z5863" s="9">
        <f>1/COUNTIFS(Таблица1[Customer Name],Таблица1[[#This Row],[Customer Name]],Таблица1[Order-Year-Month],Таблица1[[#This Row],[Order-Year-Month]])</f>
        <v>1</v>
      </c>
    </row>
    <row r="5864" spans="1:26" x14ac:dyDescent="0.2">
      <c r="A5864" s="6">
        <v>4303</v>
      </c>
      <c r="B5864" s="7">
        <v>30657</v>
      </c>
      <c r="C5864" s="8">
        <f>DATE(2012,12,31)-601</f>
        <v>40673</v>
      </c>
      <c r="D5864" s="8" t="str">
        <f t="shared" si="108"/>
        <v>2011-05 (май 2011)</v>
      </c>
      <c r="E5864" s="9" t="s">
        <v>30</v>
      </c>
      <c r="F5864" s="7">
        <v>6</v>
      </c>
      <c r="G5864" s="7">
        <v>273.38</v>
      </c>
      <c r="H5864" s="7">
        <v>0.06</v>
      </c>
      <c r="I5864" s="9" t="s">
        <v>56</v>
      </c>
      <c r="J5864" s="10">
        <v>-170.91</v>
      </c>
      <c r="K5864" s="11">
        <v>43.22</v>
      </c>
      <c r="L5864" s="11">
        <v>16.71</v>
      </c>
      <c r="M5864" s="9" t="s">
        <v>1968</v>
      </c>
      <c r="N5864" s="6" t="s">
        <v>1905</v>
      </c>
      <c r="O5864" s="6" t="s">
        <v>673</v>
      </c>
      <c r="P5864" s="9" t="s">
        <v>41</v>
      </c>
      <c r="Q5864" s="9" t="s">
        <v>42</v>
      </c>
      <c r="R5864" s="9" t="s">
        <v>70</v>
      </c>
      <c r="S5864" s="7" t="s">
        <v>921</v>
      </c>
      <c r="T5864" s="9" t="s">
        <v>39</v>
      </c>
      <c r="U5864" s="7">
        <v>0.66</v>
      </c>
      <c r="V5864" s="12">
        <f>C5864+1</f>
        <v>40674</v>
      </c>
      <c r="W5864">
        <f>IF(D5864=' Pivot Tables'!$A$4,1,0)</f>
        <v>0</v>
      </c>
      <c r="X5864">
        <f>IF(AND(LEFT(D5864,4)+1=LEFT(' Pivot Tables'!$A$4,4)+0,RIGHT(LEFT(D5864,7),2)=RIGHT(LEFT(' Pivot Tables'!$A$4,7),2)),1,0)</f>
        <v>0</v>
      </c>
      <c r="Y5864" s="6">
        <f>1/COUNTIF(Таблица1[Order ID],Таблица1[[#This Row],[Order ID]])</f>
        <v>0.5</v>
      </c>
      <c r="Z5864" s="9">
        <f>1/COUNTIFS(Таблица1[Customer Name],Таблица1[[#This Row],[Customer Name]],Таблица1[Order-Year-Month],Таблица1[[#This Row],[Order-Year-Month]])</f>
        <v>0.5</v>
      </c>
    </row>
    <row r="5865" spans="1:26" x14ac:dyDescent="0.2">
      <c r="A5865" s="6">
        <v>4304</v>
      </c>
      <c r="B5865" s="7">
        <v>30657</v>
      </c>
      <c r="C5865" s="8">
        <f>DATE(2012,12,31)-601</f>
        <v>40673</v>
      </c>
      <c r="D5865" s="8" t="str">
        <f t="shared" si="108"/>
        <v>2011-05 (май 2011)</v>
      </c>
      <c r="E5865" s="9" t="s">
        <v>30</v>
      </c>
      <c r="F5865" s="7">
        <v>8</v>
      </c>
      <c r="G5865" s="7">
        <v>179.66</v>
      </c>
      <c r="H5865" s="7">
        <v>0.01</v>
      </c>
      <c r="I5865" s="9" t="s">
        <v>22</v>
      </c>
      <c r="J5865" s="10">
        <v>-1.7299999999999827</v>
      </c>
      <c r="K5865" s="11">
        <v>22.24</v>
      </c>
      <c r="L5865" s="11">
        <v>1.99</v>
      </c>
      <c r="M5865" s="9" t="s">
        <v>1968</v>
      </c>
      <c r="N5865" s="6" t="s">
        <v>1905</v>
      </c>
      <c r="O5865" s="6" t="s">
        <v>673</v>
      </c>
      <c r="P5865" s="9" t="s">
        <v>41</v>
      </c>
      <c r="Q5865" s="9" t="s">
        <v>42</v>
      </c>
      <c r="R5865" s="9" t="s">
        <v>70</v>
      </c>
      <c r="S5865" s="7" t="s">
        <v>1116</v>
      </c>
      <c r="T5865" s="9" t="s">
        <v>52</v>
      </c>
      <c r="U5865" s="7">
        <v>0.43</v>
      </c>
      <c r="V5865" s="12">
        <f>C5865+2</f>
        <v>40675</v>
      </c>
      <c r="W5865">
        <f>IF(D5865=' Pivot Tables'!$A$4,1,0)</f>
        <v>0</v>
      </c>
      <c r="X5865">
        <f>IF(AND(LEFT(D5865,4)+1=LEFT(' Pivot Tables'!$A$4,4)+0,RIGHT(LEFT(D5865,7),2)=RIGHT(LEFT(' Pivot Tables'!$A$4,7),2)),1,0)</f>
        <v>0</v>
      </c>
      <c r="Y5865" s="6">
        <f>1/COUNTIF(Таблица1[Order ID],Таблица1[[#This Row],[Order ID]])</f>
        <v>0.5</v>
      </c>
      <c r="Z5865" s="9">
        <f>1/COUNTIFS(Таблица1[Customer Name],Таблица1[[#This Row],[Customer Name]],Таблица1[Order-Year-Month],Таблица1[[#This Row],[Order-Year-Month]])</f>
        <v>0.5</v>
      </c>
    </row>
    <row r="5866" spans="1:26" x14ac:dyDescent="0.2">
      <c r="A5866" s="6">
        <v>4399</v>
      </c>
      <c r="B5866" s="7">
        <v>31330</v>
      </c>
      <c r="C5866" s="8">
        <f>DATE(2012,12,31)-944</f>
        <v>40330</v>
      </c>
      <c r="D5866" s="8" t="str">
        <f t="shared" si="108"/>
        <v>2010-06 (июнь 2010)</v>
      </c>
      <c r="E5866" s="9" t="s">
        <v>30</v>
      </c>
      <c r="F5866" s="7">
        <v>2</v>
      </c>
      <c r="G5866" s="7">
        <v>13.5</v>
      </c>
      <c r="H5866" s="7">
        <v>0.04</v>
      </c>
      <c r="I5866" s="9" t="s">
        <v>22</v>
      </c>
      <c r="J5866" s="10">
        <v>-7.9</v>
      </c>
      <c r="K5866" s="11">
        <v>5.98</v>
      </c>
      <c r="L5866" s="11">
        <v>1.67</v>
      </c>
      <c r="M5866" s="9" t="s">
        <v>1968</v>
      </c>
      <c r="N5866" s="6" t="s">
        <v>1905</v>
      </c>
      <c r="O5866" s="6" t="s">
        <v>673</v>
      </c>
      <c r="P5866" s="9" t="s">
        <v>41</v>
      </c>
      <c r="Q5866" s="9" t="s">
        <v>26</v>
      </c>
      <c r="R5866" s="9" t="s">
        <v>95</v>
      </c>
      <c r="S5866" s="7" t="s">
        <v>1762</v>
      </c>
      <c r="T5866" s="9" t="s">
        <v>68</v>
      </c>
      <c r="U5866" s="7">
        <v>0.51</v>
      </c>
      <c r="V5866" s="12">
        <f>C5866+1</f>
        <v>40331</v>
      </c>
      <c r="W5866">
        <f>IF(D5866=' Pivot Tables'!$A$4,1,0)</f>
        <v>0</v>
      </c>
      <c r="X5866">
        <f>IF(AND(LEFT(D5866,4)+1=LEFT(' Pivot Tables'!$A$4,4)+0,RIGHT(LEFT(D5866,7),2)=RIGHT(LEFT(' Pivot Tables'!$A$4,7),2)),1,0)</f>
        <v>0</v>
      </c>
      <c r="Y5866" s="6">
        <f>1/COUNTIF(Таблица1[Order ID],Таблица1[[#This Row],[Order ID]])</f>
        <v>0.5</v>
      </c>
      <c r="Z5866" s="9">
        <f>1/COUNTIFS(Таблица1[Customer Name],Таблица1[[#This Row],[Customer Name]],Таблица1[Order-Year-Month],Таблица1[[#This Row],[Order-Year-Month]])</f>
        <v>0.5</v>
      </c>
    </row>
    <row r="5867" spans="1:26" x14ac:dyDescent="0.2">
      <c r="A5867" s="6">
        <v>4400</v>
      </c>
      <c r="B5867" s="7">
        <v>31330</v>
      </c>
      <c r="C5867" s="8">
        <f>DATE(2012,12,31)-944</f>
        <v>40330</v>
      </c>
      <c r="D5867" s="8" t="str">
        <f t="shared" si="108"/>
        <v>2010-06 (июнь 2010)</v>
      </c>
      <c r="E5867" s="9" t="s">
        <v>30</v>
      </c>
      <c r="F5867" s="7">
        <v>38</v>
      </c>
      <c r="G5867" s="7">
        <v>540.64</v>
      </c>
      <c r="H5867" s="7">
        <v>0.02</v>
      </c>
      <c r="I5867" s="9" t="s">
        <v>22</v>
      </c>
      <c r="J5867" s="10">
        <v>13.89</v>
      </c>
      <c r="K5867" s="11">
        <v>13.43</v>
      </c>
      <c r="L5867" s="11">
        <v>5.5</v>
      </c>
      <c r="M5867" s="9" t="s">
        <v>1968</v>
      </c>
      <c r="N5867" s="6" t="s">
        <v>1905</v>
      </c>
      <c r="O5867" s="6" t="s">
        <v>673</v>
      </c>
      <c r="P5867" s="9" t="s">
        <v>41</v>
      </c>
      <c r="Q5867" s="9" t="s">
        <v>26</v>
      </c>
      <c r="R5867" s="9" t="s">
        <v>27</v>
      </c>
      <c r="S5867" s="7" t="s">
        <v>1066</v>
      </c>
      <c r="T5867" s="9" t="s">
        <v>39</v>
      </c>
      <c r="U5867" s="7">
        <v>0.56999999999999995</v>
      </c>
      <c r="V5867" s="12">
        <f>C5867+1</f>
        <v>40331</v>
      </c>
      <c r="W5867">
        <f>IF(D5867=' Pivot Tables'!$A$4,1,0)</f>
        <v>0</v>
      </c>
      <c r="X5867">
        <f>IF(AND(LEFT(D5867,4)+1=LEFT(' Pivot Tables'!$A$4,4)+0,RIGHT(LEFT(D5867,7),2)=RIGHT(LEFT(' Pivot Tables'!$A$4,7),2)),1,0)</f>
        <v>0</v>
      </c>
      <c r="Y5867" s="6">
        <f>1/COUNTIF(Таблица1[Order ID],Таблица1[[#This Row],[Order ID]])</f>
        <v>0.5</v>
      </c>
      <c r="Z5867" s="9">
        <f>1/COUNTIFS(Таблица1[Customer Name],Таблица1[[#This Row],[Customer Name]],Таблица1[Order-Year-Month],Таблица1[[#This Row],[Order-Year-Month]])</f>
        <v>0.5</v>
      </c>
    </row>
    <row r="5868" spans="1:26" x14ac:dyDescent="0.2">
      <c r="A5868" s="6">
        <v>4428</v>
      </c>
      <c r="B5868" s="7">
        <v>31556</v>
      </c>
      <c r="C5868" s="8">
        <f>DATE(2012,12,31)-523</f>
        <v>40751</v>
      </c>
      <c r="D5868" s="8" t="str">
        <f t="shared" si="108"/>
        <v>2011-07 (июль 2011)</v>
      </c>
      <c r="E5868" s="9" t="s">
        <v>78</v>
      </c>
      <c r="F5868" s="7">
        <v>35</v>
      </c>
      <c r="G5868" s="7">
        <v>269.35000000000002</v>
      </c>
      <c r="H5868" s="7">
        <v>7.0000000000000007E-2</v>
      </c>
      <c r="I5868" s="9" t="s">
        <v>22</v>
      </c>
      <c r="J5868" s="10">
        <v>-14.99</v>
      </c>
      <c r="K5868" s="11">
        <v>7.7</v>
      </c>
      <c r="L5868" s="11">
        <v>3.68</v>
      </c>
      <c r="M5868" s="9" t="s">
        <v>1962</v>
      </c>
      <c r="N5868" s="6" t="s">
        <v>1905</v>
      </c>
      <c r="O5868" s="6" t="s">
        <v>673</v>
      </c>
      <c r="P5868" s="9" t="s">
        <v>33</v>
      </c>
      <c r="Q5868" s="9" t="s">
        <v>49</v>
      </c>
      <c r="R5868" s="9" t="s">
        <v>50</v>
      </c>
      <c r="S5868" s="7" t="s">
        <v>1052</v>
      </c>
      <c r="T5868" s="9" t="s">
        <v>68</v>
      </c>
      <c r="U5868" s="7">
        <v>0.52</v>
      </c>
      <c r="V5868" s="12">
        <f>C5868+1</f>
        <v>40752</v>
      </c>
      <c r="W5868">
        <f>IF(D5868=' Pivot Tables'!$A$4,1,0)</f>
        <v>0</v>
      </c>
      <c r="X5868">
        <f>IF(AND(LEFT(D5868,4)+1=LEFT(' Pivot Tables'!$A$4,4)+0,RIGHT(LEFT(D5868,7),2)=RIGHT(LEFT(' Pivot Tables'!$A$4,7),2)),1,0)</f>
        <v>0</v>
      </c>
      <c r="Y5868" s="6">
        <f>1/COUNTIF(Таблица1[Order ID],Таблица1[[#This Row],[Order ID]])</f>
        <v>1</v>
      </c>
      <c r="Z5868" s="9">
        <f>1/COUNTIFS(Таблица1[Customer Name],Таблица1[[#This Row],[Customer Name]],Таблица1[Order-Year-Month],Таблица1[[#This Row],[Order-Year-Month]])</f>
        <v>1</v>
      </c>
    </row>
    <row r="5869" spans="1:26" x14ac:dyDescent="0.2">
      <c r="A5869" s="6">
        <v>4441</v>
      </c>
      <c r="B5869" s="7">
        <v>31648</v>
      </c>
      <c r="C5869" s="8">
        <f>DATE(2012,12,31)-499</f>
        <v>40775</v>
      </c>
      <c r="D5869" s="8" t="str">
        <f t="shared" si="108"/>
        <v>2011-08 (август 2011)</v>
      </c>
      <c r="E5869" s="9" t="s">
        <v>30</v>
      </c>
      <c r="F5869" s="7">
        <v>8</v>
      </c>
      <c r="G5869" s="7">
        <v>68.94</v>
      </c>
      <c r="H5869" s="7">
        <v>0</v>
      </c>
      <c r="I5869" s="9" t="s">
        <v>22</v>
      </c>
      <c r="J5869" s="10">
        <v>-32.630000000000003</v>
      </c>
      <c r="K5869" s="11">
        <v>8.32</v>
      </c>
      <c r="L5869" s="11">
        <v>2.38</v>
      </c>
      <c r="M5869" s="9" t="s">
        <v>1776</v>
      </c>
      <c r="N5869" s="6" t="s">
        <v>1905</v>
      </c>
      <c r="O5869" s="6" t="s">
        <v>673</v>
      </c>
      <c r="P5869" s="9" t="s">
        <v>60</v>
      </c>
      <c r="Q5869" s="9" t="s">
        <v>42</v>
      </c>
      <c r="R5869" s="9" t="s">
        <v>70</v>
      </c>
      <c r="S5869" s="7" t="s">
        <v>1584</v>
      </c>
      <c r="T5869" s="9" t="s">
        <v>52</v>
      </c>
      <c r="U5869" s="7">
        <v>0.74</v>
      </c>
      <c r="V5869" s="12">
        <f>C5869+0</f>
        <v>40775</v>
      </c>
      <c r="W5869">
        <f>IF(D5869=' Pivot Tables'!$A$4,1,0)</f>
        <v>0</v>
      </c>
      <c r="X5869">
        <f>IF(AND(LEFT(D5869,4)+1=LEFT(' Pivot Tables'!$A$4,4)+0,RIGHT(LEFT(D5869,7),2)=RIGHT(LEFT(' Pivot Tables'!$A$4,7),2)),1,0)</f>
        <v>0</v>
      </c>
      <c r="Y5869" s="6">
        <f>1/COUNTIF(Таблица1[Order ID],Таблица1[[#This Row],[Order ID]])</f>
        <v>0.5</v>
      </c>
      <c r="Z5869" s="9">
        <f>1/COUNTIFS(Таблица1[Customer Name],Таблица1[[#This Row],[Customer Name]],Таблица1[Order-Year-Month],Таблица1[[#This Row],[Order-Year-Month]])</f>
        <v>0.5</v>
      </c>
    </row>
    <row r="5870" spans="1:26" x14ac:dyDescent="0.2">
      <c r="A5870" s="6">
        <v>4442</v>
      </c>
      <c r="B5870" s="7">
        <v>31648</v>
      </c>
      <c r="C5870" s="8">
        <f>DATE(2012,12,31)-499</f>
        <v>40775</v>
      </c>
      <c r="D5870" s="8" t="str">
        <f t="shared" si="108"/>
        <v>2011-08 (август 2011)</v>
      </c>
      <c r="E5870" s="9" t="s">
        <v>30</v>
      </c>
      <c r="F5870" s="7">
        <v>10</v>
      </c>
      <c r="G5870" s="7">
        <v>74.040000000000006</v>
      </c>
      <c r="H5870" s="7">
        <v>0.03</v>
      </c>
      <c r="I5870" s="9" t="s">
        <v>22</v>
      </c>
      <c r="J5870" s="10">
        <v>-37.04</v>
      </c>
      <c r="K5870" s="11">
        <v>6.68</v>
      </c>
      <c r="L5870" s="11">
        <v>7.3</v>
      </c>
      <c r="M5870" s="9" t="s">
        <v>1776</v>
      </c>
      <c r="N5870" s="6" t="s">
        <v>1905</v>
      </c>
      <c r="O5870" s="6" t="s">
        <v>673</v>
      </c>
      <c r="P5870" s="9" t="s">
        <v>60</v>
      </c>
      <c r="Q5870" s="9" t="s">
        <v>26</v>
      </c>
      <c r="R5870" s="9" t="s">
        <v>61</v>
      </c>
      <c r="S5870" s="7" t="s">
        <v>1317</v>
      </c>
      <c r="T5870" s="9" t="s">
        <v>39</v>
      </c>
      <c r="U5870" s="7">
        <v>0.37</v>
      </c>
      <c r="V5870" s="12">
        <f>C5870+2</f>
        <v>40777</v>
      </c>
      <c r="W5870">
        <f>IF(D5870=' Pivot Tables'!$A$4,1,0)</f>
        <v>0</v>
      </c>
      <c r="X5870">
        <f>IF(AND(LEFT(D5870,4)+1=LEFT(' Pivot Tables'!$A$4,4)+0,RIGHT(LEFT(D5870,7),2)=RIGHT(LEFT(' Pivot Tables'!$A$4,7),2)),1,0)</f>
        <v>0</v>
      </c>
      <c r="Y5870" s="6">
        <f>1/COUNTIF(Таблица1[Order ID],Таблица1[[#This Row],[Order ID]])</f>
        <v>0.5</v>
      </c>
      <c r="Z5870" s="9">
        <f>1/COUNTIFS(Таблица1[Customer Name],Таблица1[[#This Row],[Customer Name]],Таблица1[Order-Year-Month],Таблица1[[#This Row],[Order-Year-Month]])</f>
        <v>0.5</v>
      </c>
    </row>
    <row r="5871" spans="1:26" x14ac:dyDescent="0.2">
      <c r="A5871" s="6">
        <v>4510</v>
      </c>
      <c r="B5871" s="7">
        <v>32100</v>
      </c>
      <c r="C5871" s="8">
        <f>DATE(2012,12,31)-222</f>
        <v>41052</v>
      </c>
      <c r="D5871" s="8" t="str">
        <f t="shared" si="108"/>
        <v>2012-05 (май 2012)</v>
      </c>
      <c r="E5871" s="9" t="s">
        <v>63</v>
      </c>
      <c r="F5871" s="7">
        <v>29</v>
      </c>
      <c r="G5871" s="7">
        <v>1104.28</v>
      </c>
      <c r="H5871" s="7">
        <v>0.08</v>
      </c>
      <c r="I5871" s="9" t="s">
        <v>22</v>
      </c>
      <c r="J5871" s="10">
        <v>359.75</v>
      </c>
      <c r="K5871" s="11">
        <v>40.98</v>
      </c>
      <c r="L5871" s="11">
        <v>1.99</v>
      </c>
      <c r="M5871" s="9" t="s">
        <v>1961</v>
      </c>
      <c r="N5871" s="6" t="s">
        <v>1905</v>
      </c>
      <c r="O5871" s="6" t="s">
        <v>673</v>
      </c>
      <c r="P5871" s="9" t="s">
        <v>41</v>
      </c>
      <c r="Q5871" s="9" t="s">
        <v>42</v>
      </c>
      <c r="R5871" s="9" t="s">
        <v>70</v>
      </c>
      <c r="S5871" s="7" t="s">
        <v>720</v>
      </c>
      <c r="T5871" s="9" t="s">
        <v>52</v>
      </c>
      <c r="U5871" s="7">
        <v>0.44</v>
      </c>
      <c r="V5871" s="12">
        <f>C5871+2</f>
        <v>41054</v>
      </c>
      <c r="W5871">
        <f>IF(D5871=' Pivot Tables'!$A$4,1,0)</f>
        <v>0</v>
      </c>
      <c r="X5871">
        <f>IF(AND(LEFT(D5871,4)+1=LEFT(' Pivot Tables'!$A$4,4)+0,RIGHT(LEFT(D5871,7),2)=RIGHT(LEFT(' Pivot Tables'!$A$4,7),2)),1,0)</f>
        <v>0</v>
      </c>
      <c r="Y5871" s="6">
        <f>1/COUNTIF(Таблица1[Order ID],Таблица1[[#This Row],[Order ID]])</f>
        <v>1</v>
      </c>
      <c r="Z5871" s="9">
        <f>1/COUNTIFS(Таблица1[Customer Name],Таблица1[[#This Row],[Customer Name]],Таблица1[Order-Year-Month],Таблица1[[#This Row],[Order-Year-Month]])</f>
        <v>1</v>
      </c>
    </row>
    <row r="5872" spans="1:26" x14ac:dyDescent="0.2">
      <c r="A5872" s="6">
        <v>4593</v>
      </c>
      <c r="B5872" s="7">
        <v>32675</v>
      </c>
      <c r="C5872" s="8">
        <f>DATE(2012,12,31)-1154</f>
        <v>40120</v>
      </c>
      <c r="D5872" s="8" t="str">
        <f t="shared" si="108"/>
        <v>2009-11 (ноябрь 2009)</v>
      </c>
      <c r="E5872" s="9" t="s">
        <v>30</v>
      </c>
      <c r="F5872" s="7">
        <v>20</v>
      </c>
      <c r="G5872" s="7">
        <v>6865.19</v>
      </c>
      <c r="H5872" s="7">
        <v>0.09</v>
      </c>
      <c r="I5872" s="9" t="s">
        <v>31</v>
      </c>
      <c r="J5872" s="10">
        <v>1541.68</v>
      </c>
      <c r="K5872" s="11">
        <v>349.45</v>
      </c>
      <c r="L5872" s="11">
        <v>60</v>
      </c>
      <c r="M5872" s="9" t="s">
        <v>1957</v>
      </c>
      <c r="N5872" s="6" t="s">
        <v>1905</v>
      </c>
      <c r="O5872" s="6" t="s">
        <v>673</v>
      </c>
      <c r="P5872" s="9" t="s">
        <v>41</v>
      </c>
      <c r="Q5872" s="9" t="s">
        <v>49</v>
      </c>
      <c r="R5872" s="9" t="s">
        <v>83</v>
      </c>
      <c r="S5872" s="7" t="s">
        <v>311</v>
      </c>
      <c r="T5872" s="9" t="s">
        <v>36</v>
      </c>
      <c r="U5872" s="7"/>
      <c r="V5872" s="12">
        <f>C5872+1</f>
        <v>40121</v>
      </c>
      <c r="W5872">
        <f>IF(D5872=' Pivot Tables'!$A$4,1,0)</f>
        <v>0</v>
      </c>
      <c r="X5872">
        <f>IF(AND(LEFT(D5872,4)+1=LEFT(' Pivot Tables'!$A$4,4)+0,RIGHT(LEFT(D5872,7),2)=RIGHT(LEFT(' Pivot Tables'!$A$4,7),2)),1,0)</f>
        <v>0</v>
      </c>
      <c r="Y5872" s="6">
        <f>1/COUNTIF(Таблица1[Order ID],Таблица1[[#This Row],[Order ID]])</f>
        <v>1</v>
      </c>
      <c r="Z5872" s="9">
        <f>1/COUNTIFS(Таблица1[Customer Name],Таблица1[[#This Row],[Customer Name]],Таблица1[Order-Year-Month],Таблица1[[#This Row],[Order-Year-Month]])</f>
        <v>1</v>
      </c>
    </row>
    <row r="5873" spans="1:26" x14ac:dyDescent="0.2">
      <c r="A5873" s="6">
        <v>4605</v>
      </c>
      <c r="B5873" s="7">
        <v>32804</v>
      </c>
      <c r="C5873" s="8">
        <f>DATE(2012,12,31)-113</f>
        <v>41161</v>
      </c>
      <c r="D5873" s="8" t="str">
        <f t="shared" si="108"/>
        <v>2012-09 (сентябрь 2012)</v>
      </c>
      <c r="E5873" s="9" t="s">
        <v>63</v>
      </c>
      <c r="F5873" s="7">
        <v>49</v>
      </c>
      <c r="G5873" s="7">
        <v>174.81</v>
      </c>
      <c r="H5873" s="7">
        <v>7.0000000000000007E-2</v>
      </c>
      <c r="I5873" s="9" t="s">
        <v>22</v>
      </c>
      <c r="J5873" s="10">
        <v>74.819999999999993</v>
      </c>
      <c r="K5873" s="11">
        <v>3.75</v>
      </c>
      <c r="L5873" s="11">
        <v>0.5</v>
      </c>
      <c r="M5873" s="9" t="s">
        <v>1131</v>
      </c>
      <c r="N5873" s="6" t="s">
        <v>1905</v>
      </c>
      <c r="O5873" s="6" t="s">
        <v>673</v>
      </c>
      <c r="P5873" s="9" t="s">
        <v>41</v>
      </c>
      <c r="Q5873" s="9" t="s">
        <v>26</v>
      </c>
      <c r="R5873" s="9" t="s">
        <v>88</v>
      </c>
      <c r="S5873" s="7" t="s">
        <v>130</v>
      </c>
      <c r="T5873" s="9" t="s">
        <v>39</v>
      </c>
      <c r="U5873" s="7">
        <v>0.37</v>
      </c>
      <c r="V5873" s="12">
        <f>C5873+1</f>
        <v>41162</v>
      </c>
      <c r="W5873">
        <f>IF(D5873=' Pivot Tables'!$A$4,1,0)</f>
        <v>0</v>
      </c>
      <c r="X5873">
        <f>IF(AND(LEFT(D5873,4)+1=LEFT(' Pivot Tables'!$A$4,4)+0,RIGHT(LEFT(D5873,7),2)=RIGHT(LEFT(' Pivot Tables'!$A$4,7),2)),1,0)</f>
        <v>0</v>
      </c>
      <c r="Y5873" s="6">
        <f>1/COUNTIF(Таблица1[Order ID],Таблица1[[#This Row],[Order ID]])</f>
        <v>0.5</v>
      </c>
      <c r="Z5873" s="9">
        <f>1/COUNTIFS(Таблица1[Customer Name],Таблица1[[#This Row],[Customer Name]],Таблица1[Order-Year-Month],Таблица1[[#This Row],[Order-Year-Month]])</f>
        <v>0.5</v>
      </c>
    </row>
    <row r="5874" spans="1:26" x14ac:dyDescent="0.2">
      <c r="A5874" s="6">
        <v>4606</v>
      </c>
      <c r="B5874" s="7">
        <v>32804</v>
      </c>
      <c r="C5874" s="8">
        <f>DATE(2012,12,31)-113</f>
        <v>41161</v>
      </c>
      <c r="D5874" s="8" t="str">
        <f t="shared" si="108"/>
        <v>2012-09 (сентябрь 2012)</v>
      </c>
      <c r="E5874" s="9" t="s">
        <v>63</v>
      </c>
      <c r="F5874" s="7">
        <v>20</v>
      </c>
      <c r="G5874" s="7">
        <v>89.51</v>
      </c>
      <c r="H5874" s="7">
        <v>0.02</v>
      </c>
      <c r="I5874" s="9" t="s">
        <v>22</v>
      </c>
      <c r="J5874" s="10">
        <v>-61.984999999999999</v>
      </c>
      <c r="K5874" s="11">
        <v>3.98</v>
      </c>
      <c r="L5874" s="11">
        <v>5.26</v>
      </c>
      <c r="M5874" s="9" t="s">
        <v>1131</v>
      </c>
      <c r="N5874" s="6" t="s">
        <v>1905</v>
      </c>
      <c r="O5874" s="6" t="s">
        <v>673</v>
      </c>
      <c r="P5874" s="9" t="s">
        <v>41</v>
      </c>
      <c r="Q5874" s="9" t="s">
        <v>26</v>
      </c>
      <c r="R5874" s="9" t="s">
        <v>37</v>
      </c>
      <c r="S5874" s="7" t="s">
        <v>1348</v>
      </c>
      <c r="T5874" s="9" t="s">
        <v>39</v>
      </c>
      <c r="U5874" s="7">
        <v>0.38</v>
      </c>
      <c r="V5874" s="12">
        <f>C5874+2</f>
        <v>41163</v>
      </c>
      <c r="W5874">
        <f>IF(D5874=' Pivot Tables'!$A$4,1,0)</f>
        <v>0</v>
      </c>
      <c r="X5874">
        <f>IF(AND(LEFT(D5874,4)+1=LEFT(' Pivot Tables'!$A$4,4)+0,RIGHT(LEFT(D5874,7),2)=RIGHT(LEFT(' Pivot Tables'!$A$4,7),2)),1,0)</f>
        <v>0</v>
      </c>
      <c r="Y5874" s="6">
        <f>1/COUNTIF(Таблица1[Order ID],Таблица1[[#This Row],[Order ID]])</f>
        <v>0.5</v>
      </c>
      <c r="Z5874" s="9">
        <f>1/COUNTIFS(Таблица1[Customer Name],Таблица1[[#This Row],[Customer Name]],Таблица1[Order-Year-Month],Таблица1[[#This Row],[Order-Year-Month]])</f>
        <v>0.5</v>
      </c>
    </row>
    <row r="5875" spans="1:26" x14ac:dyDescent="0.2">
      <c r="A5875" s="6">
        <v>4608</v>
      </c>
      <c r="B5875" s="7">
        <v>32806</v>
      </c>
      <c r="C5875" s="8">
        <f>DATE(2012,12,31)-559</f>
        <v>40715</v>
      </c>
      <c r="D5875" s="8" t="str">
        <f t="shared" si="108"/>
        <v>2011-06 (июнь 2011)</v>
      </c>
      <c r="E5875" s="9" t="s">
        <v>30</v>
      </c>
      <c r="F5875" s="7">
        <v>48</v>
      </c>
      <c r="G5875" s="7">
        <v>175.99</v>
      </c>
      <c r="H5875" s="7">
        <v>0.1</v>
      </c>
      <c r="I5875" s="9" t="s">
        <v>56</v>
      </c>
      <c r="J5875" s="10">
        <v>77.3</v>
      </c>
      <c r="K5875" s="11">
        <v>3.69</v>
      </c>
      <c r="L5875" s="11">
        <v>0.5</v>
      </c>
      <c r="M5875" s="9" t="s">
        <v>1131</v>
      </c>
      <c r="N5875" s="6" t="s">
        <v>1905</v>
      </c>
      <c r="O5875" s="6" t="s">
        <v>673</v>
      </c>
      <c r="P5875" s="9" t="s">
        <v>60</v>
      </c>
      <c r="Q5875" s="9" t="s">
        <v>26</v>
      </c>
      <c r="R5875" s="9" t="s">
        <v>88</v>
      </c>
      <c r="S5875" s="7" t="s">
        <v>202</v>
      </c>
      <c r="T5875" s="9" t="s">
        <v>39</v>
      </c>
      <c r="U5875" s="7">
        <v>0.38</v>
      </c>
      <c r="V5875" s="12">
        <f>C5875+1</f>
        <v>40716</v>
      </c>
      <c r="W5875">
        <f>IF(D5875=' Pivot Tables'!$A$4,1,0)</f>
        <v>0</v>
      </c>
      <c r="X5875">
        <f>IF(AND(LEFT(D5875,4)+1=LEFT(' Pivot Tables'!$A$4,4)+0,RIGHT(LEFT(D5875,7),2)=RIGHT(LEFT(' Pivot Tables'!$A$4,7),2)),1,0)</f>
        <v>0</v>
      </c>
      <c r="Y5875" s="6">
        <f>1/COUNTIF(Таблица1[Order ID],Таблица1[[#This Row],[Order ID]])</f>
        <v>0.33333333333333331</v>
      </c>
      <c r="Z5875" s="9">
        <f>1/COUNTIFS(Таблица1[Customer Name],Таблица1[[#This Row],[Customer Name]],Таблица1[Order-Year-Month],Таблица1[[#This Row],[Order-Year-Month]])</f>
        <v>0.33333333333333331</v>
      </c>
    </row>
    <row r="5876" spans="1:26" x14ac:dyDescent="0.2">
      <c r="A5876" s="6">
        <v>4609</v>
      </c>
      <c r="B5876" s="7">
        <v>32806</v>
      </c>
      <c r="C5876" s="8">
        <f>DATE(2012,12,31)-559</f>
        <v>40715</v>
      </c>
      <c r="D5876" s="8" t="str">
        <f t="shared" si="108"/>
        <v>2011-06 (июнь 2011)</v>
      </c>
      <c r="E5876" s="9" t="s">
        <v>30</v>
      </c>
      <c r="F5876" s="7">
        <v>33</v>
      </c>
      <c r="G5876" s="7">
        <v>221.23</v>
      </c>
      <c r="H5876" s="7">
        <v>0.02</v>
      </c>
      <c r="I5876" s="9" t="s">
        <v>22</v>
      </c>
      <c r="J5876" s="10">
        <v>-45.29</v>
      </c>
      <c r="K5876" s="11">
        <v>6.68</v>
      </c>
      <c r="L5876" s="11">
        <v>5.2</v>
      </c>
      <c r="M5876" s="9" t="s">
        <v>1131</v>
      </c>
      <c r="N5876" s="6" t="s">
        <v>1905</v>
      </c>
      <c r="O5876" s="6" t="s">
        <v>673</v>
      </c>
      <c r="P5876" s="9" t="s">
        <v>60</v>
      </c>
      <c r="Q5876" s="9" t="s">
        <v>26</v>
      </c>
      <c r="R5876" s="9" t="s">
        <v>61</v>
      </c>
      <c r="S5876" s="7" t="s">
        <v>445</v>
      </c>
      <c r="T5876" s="9" t="s">
        <v>39</v>
      </c>
      <c r="U5876" s="7">
        <v>0.37</v>
      </c>
      <c r="V5876" s="12">
        <f>C5876+2</f>
        <v>40717</v>
      </c>
      <c r="W5876">
        <f>IF(D5876=' Pivot Tables'!$A$4,1,0)</f>
        <v>0</v>
      </c>
      <c r="X5876">
        <f>IF(AND(LEFT(D5876,4)+1=LEFT(' Pivot Tables'!$A$4,4)+0,RIGHT(LEFT(D5876,7),2)=RIGHT(LEFT(' Pivot Tables'!$A$4,7),2)),1,0)</f>
        <v>0</v>
      </c>
      <c r="Y5876" s="6">
        <f>1/COUNTIF(Таблица1[Order ID],Таблица1[[#This Row],[Order ID]])</f>
        <v>0.33333333333333331</v>
      </c>
      <c r="Z5876" s="9">
        <f>1/COUNTIFS(Таблица1[Customer Name],Таблица1[[#This Row],[Customer Name]],Таблица1[Order-Year-Month],Таблица1[[#This Row],[Order-Year-Month]])</f>
        <v>0.33333333333333331</v>
      </c>
    </row>
    <row r="5877" spans="1:26" x14ac:dyDescent="0.2">
      <c r="A5877" s="6">
        <v>4635</v>
      </c>
      <c r="B5877" s="7">
        <v>32996</v>
      </c>
      <c r="C5877" s="8">
        <f>DATE(2012,12,31)-745</f>
        <v>40529</v>
      </c>
      <c r="D5877" s="8" t="str">
        <f t="shared" si="108"/>
        <v>2010-12 (декабрь 2010)</v>
      </c>
      <c r="E5877" s="9" t="s">
        <v>78</v>
      </c>
      <c r="F5877" s="7">
        <v>15</v>
      </c>
      <c r="G5877" s="7">
        <v>262.29000000000002</v>
      </c>
      <c r="H5877" s="7">
        <v>0.09</v>
      </c>
      <c r="I5877" s="9" t="s">
        <v>22</v>
      </c>
      <c r="J5877" s="10">
        <v>7.26</v>
      </c>
      <c r="K5877" s="11">
        <v>17.78</v>
      </c>
      <c r="L5877" s="11">
        <v>5.03</v>
      </c>
      <c r="M5877" s="9" t="s">
        <v>1959</v>
      </c>
      <c r="N5877" s="6" t="s">
        <v>1905</v>
      </c>
      <c r="O5877" s="6" t="s">
        <v>673</v>
      </c>
      <c r="P5877" s="9" t="s">
        <v>33</v>
      </c>
      <c r="Q5877" s="9" t="s">
        <v>49</v>
      </c>
      <c r="R5877" s="9" t="s">
        <v>50</v>
      </c>
      <c r="S5877" s="7" t="s">
        <v>723</v>
      </c>
      <c r="T5877" s="9" t="s">
        <v>39</v>
      </c>
      <c r="U5877" s="7">
        <v>0.54</v>
      </c>
      <c r="V5877" s="12">
        <f>C5877+3</f>
        <v>40532</v>
      </c>
      <c r="W5877">
        <f>IF(D5877=' Pivot Tables'!$A$4,1,0)</f>
        <v>0</v>
      </c>
      <c r="X5877">
        <f>IF(AND(LEFT(D5877,4)+1=LEFT(' Pivot Tables'!$A$4,4)+0,RIGHT(LEFT(D5877,7),2)=RIGHT(LEFT(' Pivot Tables'!$A$4,7),2)),1,0)</f>
        <v>0</v>
      </c>
      <c r="Y5877" s="6">
        <f>1/COUNTIF(Таблица1[Order ID],Таблица1[[#This Row],[Order ID]])</f>
        <v>0.5</v>
      </c>
      <c r="Z5877" s="9">
        <f>1/COUNTIFS(Таблица1[Customer Name],Таблица1[[#This Row],[Customer Name]],Таблица1[Order-Year-Month],Таблица1[[#This Row],[Order-Year-Month]])</f>
        <v>0.5</v>
      </c>
    </row>
    <row r="5878" spans="1:26" x14ac:dyDescent="0.2">
      <c r="A5878" s="6">
        <v>4636</v>
      </c>
      <c r="B5878" s="7">
        <v>32996</v>
      </c>
      <c r="C5878" s="8">
        <f>DATE(2012,12,31)-745</f>
        <v>40529</v>
      </c>
      <c r="D5878" s="8" t="str">
        <f t="shared" si="108"/>
        <v>2010-12 (декабрь 2010)</v>
      </c>
      <c r="E5878" s="9" t="s">
        <v>78</v>
      </c>
      <c r="F5878" s="7">
        <v>2</v>
      </c>
      <c r="G5878" s="7">
        <v>116.31399999999999</v>
      </c>
      <c r="H5878" s="7">
        <v>0.04</v>
      </c>
      <c r="I5878" s="9" t="s">
        <v>22</v>
      </c>
      <c r="J5878" s="10">
        <v>-300.85000000000002</v>
      </c>
      <c r="K5878" s="11">
        <v>65.989999999999995</v>
      </c>
      <c r="L5878" s="11">
        <v>3.9</v>
      </c>
      <c r="M5878" s="9" t="s">
        <v>1959</v>
      </c>
      <c r="N5878" s="6" t="s">
        <v>1905</v>
      </c>
      <c r="O5878" s="6" t="s">
        <v>673</v>
      </c>
      <c r="P5878" s="9" t="s">
        <v>33</v>
      </c>
      <c r="Q5878" s="9" t="s">
        <v>42</v>
      </c>
      <c r="R5878" s="9" t="s">
        <v>43</v>
      </c>
      <c r="S5878" s="7" t="s">
        <v>370</v>
      </c>
      <c r="T5878" s="9" t="s">
        <v>39</v>
      </c>
      <c r="U5878" s="7">
        <v>0.55000000000000004</v>
      </c>
      <c r="V5878" s="12">
        <f>C5878+2</f>
        <v>40531</v>
      </c>
      <c r="W5878">
        <f>IF(D5878=' Pivot Tables'!$A$4,1,0)</f>
        <v>0</v>
      </c>
      <c r="X5878">
        <f>IF(AND(LEFT(D5878,4)+1=LEFT(' Pivot Tables'!$A$4,4)+0,RIGHT(LEFT(D5878,7),2)=RIGHT(LEFT(' Pivot Tables'!$A$4,7),2)),1,0)</f>
        <v>0</v>
      </c>
      <c r="Y5878" s="6">
        <f>1/COUNTIF(Таблица1[Order ID],Таблица1[[#This Row],[Order ID]])</f>
        <v>0.5</v>
      </c>
      <c r="Z5878" s="9">
        <f>1/COUNTIFS(Таблица1[Customer Name],Таблица1[[#This Row],[Customer Name]],Таблица1[Order-Year-Month],Таблица1[[#This Row],[Order-Year-Month]])</f>
        <v>0.5</v>
      </c>
    </row>
    <row r="5879" spans="1:26" x14ac:dyDescent="0.2">
      <c r="A5879" s="6">
        <v>4657</v>
      </c>
      <c r="B5879" s="7">
        <v>33184</v>
      </c>
      <c r="C5879" s="8">
        <f>DATE(2012,12,31)-322</f>
        <v>40952</v>
      </c>
      <c r="D5879" s="8" t="str">
        <f t="shared" si="108"/>
        <v>2012-02 (февраль 2012)</v>
      </c>
      <c r="E5879" s="9" t="s">
        <v>45</v>
      </c>
      <c r="F5879" s="7">
        <v>32</v>
      </c>
      <c r="G5879" s="7">
        <v>402.49</v>
      </c>
      <c r="H5879" s="7">
        <v>0</v>
      </c>
      <c r="I5879" s="9" t="s">
        <v>22</v>
      </c>
      <c r="J5879" s="10">
        <v>41.794499999999999</v>
      </c>
      <c r="K5879" s="11">
        <v>11.7</v>
      </c>
      <c r="L5879" s="11">
        <v>5.63</v>
      </c>
      <c r="M5879" s="9" t="s">
        <v>1963</v>
      </c>
      <c r="N5879" s="6" t="s">
        <v>1905</v>
      </c>
      <c r="O5879" s="6" t="s">
        <v>673</v>
      </c>
      <c r="P5879" s="9" t="s">
        <v>25</v>
      </c>
      <c r="Q5879" s="9" t="s">
        <v>26</v>
      </c>
      <c r="R5879" s="9" t="s">
        <v>37</v>
      </c>
      <c r="S5879" s="7" t="s">
        <v>1333</v>
      </c>
      <c r="T5879" s="9" t="s">
        <v>39</v>
      </c>
      <c r="U5879" s="7">
        <v>0.4</v>
      </c>
      <c r="V5879" s="12">
        <f>C5879+2</f>
        <v>40954</v>
      </c>
      <c r="W5879">
        <f>IF(D5879=' Pivot Tables'!$A$4,1,0)</f>
        <v>0</v>
      </c>
      <c r="X5879">
        <f>IF(AND(LEFT(D5879,4)+1=LEFT(' Pivot Tables'!$A$4,4)+0,RIGHT(LEFT(D5879,7),2)=RIGHT(LEFT(' Pivot Tables'!$A$4,7),2)),1,0)</f>
        <v>0</v>
      </c>
      <c r="Y5879" s="6">
        <f>1/COUNTIF(Таблица1[Order ID],Таблица1[[#This Row],[Order ID]])</f>
        <v>0.5</v>
      </c>
      <c r="Z5879" s="9">
        <f>1/COUNTIFS(Таблица1[Customer Name],Таблица1[[#This Row],[Customer Name]],Таблица1[Order-Year-Month],Таблица1[[#This Row],[Order-Year-Month]])</f>
        <v>0.5</v>
      </c>
    </row>
    <row r="5880" spans="1:26" x14ac:dyDescent="0.2">
      <c r="A5880" s="6">
        <v>4658</v>
      </c>
      <c r="B5880" s="7">
        <v>33184</v>
      </c>
      <c r="C5880" s="8">
        <f>DATE(2012,12,31)-322</f>
        <v>40952</v>
      </c>
      <c r="D5880" s="8" t="str">
        <f t="shared" si="108"/>
        <v>2012-02 (февраль 2012)</v>
      </c>
      <c r="E5880" s="9" t="s">
        <v>45</v>
      </c>
      <c r="F5880" s="7">
        <v>1</v>
      </c>
      <c r="G5880" s="7">
        <v>1754.29</v>
      </c>
      <c r="H5880" s="7">
        <v>0.09</v>
      </c>
      <c r="I5880" s="9" t="s">
        <v>22</v>
      </c>
      <c r="J5880" s="10">
        <v>-961.50350000000003</v>
      </c>
      <c r="K5880" s="11">
        <v>1889.99</v>
      </c>
      <c r="L5880" s="11">
        <v>19.989999999999998</v>
      </c>
      <c r="M5880" s="9" t="s">
        <v>1963</v>
      </c>
      <c r="N5880" s="6" t="s">
        <v>1905</v>
      </c>
      <c r="O5880" s="6" t="s">
        <v>673</v>
      </c>
      <c r="P5880" s="9" t="s">
        <v>25</v>
      </c>
      <c r="Q5880" s="9" t="s">
        <v>26</v>
      </c>
      <c r="R5880" s="9" t="s">
        <v>37</v>
      </c>
      <c r="S5880" s="7" t="s">
        <v>1756</v>
      </c>
      <c r="T5880" s="9" t="s">
        <v>39</v>
      </c>
      <c r="U5880" s="7">
        <v>0.36</v>
      </c>
      <c r="V5880" s="12">
        <f>C5880+2</f>
        <v>40954</v>
      </c>
      <c r="W5880">
        <f>IF(D5880=' Pivot Tables'!$A$4,1,0)</f>
        <v>0</v>
      </c>
      <c r="X5880">
        <f>IF(AND(LEFT(D5880,4)+1=LEFT(' Pivot Tables'!$A$4,4)+0,RIGHT(LEFT(D5880,7),2)=RIGHT(LEFT(' Pivot Tables'!$A$4,7),2)),1,0)</f>
        <v>0</v>
      </c>
      <c r="Y5880" s="6">
        <f>1/COUNTIF(Таблица1[Order ID],Таблица1[[#This Row],[Order ID]])</f>
        <v>0.5</v>
      </c>
      <c r="Z5880" s="9">
        <f>1/COUNTIFS(Таблица1[Customer Name],Таблица1[[#This Row],[Customer Name]],Таблица1[Order-Year-Month],Таблица1[[#This Row],[Order-Year-Month]])</f>
        <v>0.5</v>
      </c>
    </row>
    <row r="5881" spans="1:26" x14ac:dyDescent="0.2">
      <c r="A5881" s="6">
        <v>4742</v>
      </c>
      <c r="B5881" s="7">
        <v>33731</v>
      </c>
      <c r="C5881" s="8">
        <f>DATE(2012,12,31)-84</f>
        <v>41190</v>
      </c>
      <c r="D5881" s="8" t="str">
        <f t="shared" si="108"/>
        <v>2012-10 (октябрь 2012)</v>
      </c>
      <c r="E5881" s="9" t="s">
        <v>30</v>
      </c>
      <c r="F5881" s="7">
        <v>27</v>
      </c>
      <c r="G5881" s="7">
        <v>8213.3700000000008</v>
      </c>
      <c r="H5881" s="7">
        <v>0.02</v>
      </c>
      <c r="I5881" s="9" t="s">
        <v>31</v>
      </c>
      <c r="J5881" s="10">
        <v>1148.8800000000001</v>
      </c>
      <c r="K5881" s="11">
        <v>284.98</v>
      </c>
      <c r="L5881" s="11">
        <v>69.55</v>
      </c>
      <c r="M5881" s="9" t="s">
        <v>1957</v>
      </c>
      <c r="N5881" s="6" t="s">
        <v>1905</v>
      </c>
      <c r="O5881" s="6" t="s">
        <v>673</v>
      </c>
      <c r="P5881" s="9" t="s">
        <v>41</v>
      </c>
      <c r="Q5881" s="9" t="s">
        <v>49</v>
      </c>
      <c r="R5881" s="9" t="s">
        <v>112</v>
      </c>
      <c r="S5881" s="7" t="s">
        <v>834</v>
      </c>
      <c r="T5881" s="9" t="s">
        <v>36</v>
      </c>
      <c r="U5881" s="7">
        <v>0.6</v>
      </c>
      <c r="V5881" s="12">
        <f>C5881+1</f>
        <v>41191</v>
      </c>
      <c r="W5881">
        <f>IF(D5881=' Pivot Tables'!$A$4,1,0)</f>
        <v>0</v>
      </c>
      <c r="X5881">
        <f>IF(AND(LEFT(D5881,4)+1=LEFT(' Pivot Tables'!$A$4,4)+0,RIGHT(LEFT(D5881,7),2)=RIGHT(LEFT(' Pivot Tables'!$A$4,7),2)),1,0)</f>
        <v>0</v>
      </c>
      <c r="Y5881" s="6">
        <f>1/COUNTIF(Таблица1[Order ID],Таблица1[[#This Row],[Order ID]])</f>
        <v>0.33333333333333331</v>
      </c>
      <c r="Z5881" s="9">
        <f>1/COUNTIFS(Таблица1[Customer Name],Таблица1[[#This Row],[Customer Name]],Таблица1[Order-Year-Month],Таблица1[[#This Row],[Order-Year-Month]])</f>
        <v>0.16666666666666666</v>
      </c>
    </row>
    <row r="5882" spans="1:26" x14ac:dyDescent="0.2">
      <c r="A5882" s="6">
        <v>4743</v>
      </c>
      <c r="B5882" s="7">
        <v>33731</v>
      </c>
      <c r="C5882" s="8">
        <f>DATE(2012,12,31)-84</f>
        <v>41190</v>
      </c>
      <c r="D5882" s="8" t="str">
        <f t="shared" si="108"/>
        <v>2012-10 (октябрь 2012)</v>
      </c>
      <c r="E5882" s="9" t="s">
        <v>30</v>
      </c>
      <c r="F5882" s="7">
        <v>32</v>
      </c>
      <c r="G5882" s="7">
        <v>109.01</v>
      </c>
      <c r="H5882" s="7">
        <v>0.09</v>
      </c>
      <c r="I5882" s="9" t="s">
        <v>22</v>
      </c>
      <c r="J5882" s="10">
        <v>8.4499999999999993</v>
      </c>
      <c r="K5882" s="11">
        <v>3.58</v>
      </c>
      <c r="L5882" s="11">
        <v>1.63</v>
      </c>
      <c r="M5882" s="9" t="s">
        <v>1957</v>
      </c>
      <c r="N5882" s="6" t="s">
        <v>1905</v>
      </c>
      <c r="O5882" s="6" t="s">
        <v>673</v>
      </c>
      <c r="P5882" s="9" t="s">
        <v>41</v>
      </c>
      <c r="Q5882" s="9" t="s">
        <v>26</v>
      </c>
      <c r="R5882" s="9" t="s">
        <v>66</v>
      </c>
      <c r="S5882" s="7" t="s">
        <v>1075</v>
      </c>
      <c r="T5882" s="9" t="s">
        <v>68</v>
      </c>
      <c r="U5882" s="7">
        <v>0.36</v>
      </c>
      <c r="V5882" s="12">
        <f>C5882+0</f>
        <v>41190</v>
      </c>
      <c r="W5882">
        <f>IF(D5882=' Pivot Tables'!$A$4,1,0)</f>
        <v>0</v>
      </c>
      <c r="X5882">
        <f>IF(AND(LEFT(D5882,4)+1=LEFT(' Pivot Tables'!$A$4,4)+0,RIGHT(LEFT(D5882,7),2)=RIGHT(LEFT(' Pivot Tables'!$A$4,7),2)),1,0)</f>
        <v>0</v>
      </c>
      <c r="Y5882" s="6">
        <f>1/COUNTIF(Таблица1[Order ID],Таблица1[[#This Row],[Order ID]])</f>
        <v>0.33333333333333331</v>
      </c>
      <c r="Z5882" s="9">
        <f>1/COUNTIFS(Таблица1[Customer Name],Таблица1[[#This Row],[Customer Name]],Таблица1[Order-Year-Month],Таблица1[[#This Row],[Order-Year-Month]])</f>
        <v>0.16666666666666666</v>
      </c>
    </row>
    <row r="5883" spans="1:26" x14ac:dyDescent="0.2">
      <c r="A5883" s="6">
        <v>4744</v>
      </c>
      <c r="B5883" s="7">
        <v>33731</v>
      </c>
      <c r="C5883" s="8">
        <f>DATE(2012,12,31)-84</f>
        <v>41190</v>
      </c>
      <c r="D5883" s="8" t="str">
        <f t="shared" si="108"/>
        <v>2012-10 (октябрь 2012)</v>
      </c>
      <c r="E5883" s="9" t="s">
        <v>30</v>
      </c>
      <c r="F5883" s="7">
        <v>12</v>
      </c>
      <c r="G5883" s="7">
        <v>138.88</v>
      </c>
      <c r="H5883" s="7">
        <v>0.05</v>
      </c>
      <c r="I5883" s="9" t="s">
        <v>22</v>
      </c>
      <c r="J5883" s="10">
        <v>-23.99</v>
      </c>
      <c r="K5883" s="11">
        <v>11.29</v>
      </c>
      <c r="L5883" s="11">
        <v>5.03</v>
      </c>
      <c r="M5883" s="9" t="s">
        <v>1957</v>
      </c>
      <c r="N5883" s="6" t="s">
        <v>1905</v>
      </c>
      <c r="O5883" s="6" t="s">
        <v>673</v>
      </c>
      <c r="P5883" s="9" t="s">
        <v>41</v>
      </c>
      <c r="Q5883" s="9" t="s">
        <v>26</v>
      </c>
      <c r="R5883" s="9" t="s">
        <v>27</v>
      </c>
      <c r="S5883" s="7" t="s">
        <v>614</v>
      </c>
      <c r="T5883" s="9" t="s">
        <v>39</v>
      </c>
      <c r="U5883" s="7">
        <v>0.59</v>
      </c>
      <c r="V5883" s="12">
        <f>C5883+2</f>
        <v>41192</v>
      </c>
      <c r="W5883">
        <f>IF(D5883=' Pivot Tables'!$A$4,1,0)</f>
        <v>0</v>
      </c>
      <c r="X5883">
        <f>IF(AND(LEFT(D5883,4)+1=LEFT(' Pivot Tables'!$A$4,4)+0,RIGHT(LEFT(D5883,7),2)=RIGHT(LEFT(' Pivot Tables'!$A$4,7),2)),1,0)</f>
        <v>0</v>
      </c>
      <c r="Y5883" s="6">
        <f>1/COUNTIF(Таблица1[Order ID],Таблица1[[#This Row],[Order ID]])</f>
        <v>0.33333333333333331</v>
      </c>
      <c r="Z5883" s="9">
        <f>1/COUNTIFS(Таблица1[Customer Name],Таблица1[[#This Row],[Customer Name]],Таблица1[Order-Year-Month],Таблица1[[#This Row],[Order-Year-Month]])</f>
        <v>0.16666666666666666</v>
      </c>
    </row>
    <row r="5884" spans="1:26" x14ac:dyDescent="0.2">
      <c r="A5884" s="6">
        <v>4799</v>
      </c>
      <c r="B5884" s="7">
        <v>34112</v>
      </c>
      <c r="C5884" s="8">
        <f>DATE(2012,12,31)-487</f>
        <v>40787</v>
      </c>
      <c r="D5884" s="8" t="str">
        <f t="shared" si="108"/>
        <v>2011-09 (сентябрь 2011)</v>
      </c>
      <c r="E5884" s="9" t="s">
        <v>78</v>
      </c>
      <c r="F5884" s="7">
        <v>13</v>
      </c>
      <c r="G5884" s="7">
        <v>315.79199999999997</v>
      </c>
      <c r="H5884" s="7">
        <v>0.1</v>
      </c>
      <c r="I5884" s="9" t="s">
        <v>22</v>
      </c>
      <c r="J5884" s="10">
        <v>-105.765</v>
      </c>
      <c r="K5884" s="11">
        <v>28.99</v>
      </c>
      <c r="L5884" s="11">
        <v>8.59</v>
      </c>
      <c r="M5884" s="9" t="s">
        <v>1963</v>
      </c>
      <c r="N5884" s="6" t="s">
        <v>1905</v>
      </c>
      <c r="O5884" s="6" t="s">
        <v>673</v>
      </c>
      <c r="P5884" s="9" t="s">
        <v>25</v>
      </c>
      <c r="Q5884" s="9" t="s">
        <v>42</v>
      </c>
      <c r="R5884" s="9" t="s">
        <v>43</v>
      </c>
      <c r="S5884" s="7" t="s">
        <v>508</v>
      </c>
      <c r="T5884" s="9" t="s">
        <v>48</v>
      </c>
      <c r="U5884" s="7">
        <v>0.56000000000000005</v>
      </c>
      <c r="V5884" s="12">
        <f>C5884+2</f>
        <v>40789</v>
      </c>
      <c r="W5884">
        <f>IF(D5884=' Pivot Tables'!$A$4,1,0)</f>
        <v>0</v>
      </c>
      <c r="X5884">
        <f>IF(AND(LEFT(D5884,4)+1=LEFT(' Pivot Tables'!$A$4,4)+0,RIGHT(LEFT(D5884,7),2)=RIGHT(LEFT(' Pivot Tables'!$A$4,7),2)),1,0)</f>
        <v>0</v>
      </c>
      <c r="Y5884" s="6">
        <f>1/COUNTIF(Таблица1[Order ID],Таблица1[[#This Row],[Order ID]])</f>
        <v>1</v>
      </c>
      <c r="Z5884" s="9">
        <f>1/COUNTIFS(Таблица1[Customer Name],Таблица1[[#This Row],[Customer Name]],Таблица1[Order-Year-Month],Таблица1[[#This Row],[Order-Year-Month]])</f>
        <v>1</v>
      </c>
    </row>
    <row r="5885" spans="1:26" x14ac:dyDescent="0.2">
      <c r="A5885" s="6">
        <v>4896</v>
      </c>
      <c r="B5885" s="7">
        <v>34849</v>
      </c>
      <c r="C5885" s="8">
        <f>DATE(2012,12,31)-811</f>
        <v>40463</v>
      </c>
      <c r="D5885" s="8" t="str">
        <f t="shared" si="108"/>
        <v>2010-10 (октябрь 2010)</v>
      </c>
      <c r="E5885" s="9" t="s">
        <v>78</v>
      </c>
      <c r="F5885" s="7">
        <v>3</v>
      </c>
      <c r="G5885" s="7">
        <v>11.76</v>
      </c>
      <c r="H5885" s="7">
        <v>0.1</v>
      </c>
      <c r="I5885" s="9" t="s">
        <v>22</v>
      </c>
      <c r="J5885" s="10">
        <v>-2.83</v>
      </c>
      <c r="K5885" s="11">
        <v>4.13</v>
      </c>
      <c r="L5885" s="11">
        <v>0.5</v>
      </c>
      <c r="M5885" s="9" t="s">
        <v>1131</v>
      </c>
      <c r="N5885" s="6" t="s">
        <v>1905</v>
      </c>
      <c r="O5885" s="6" t="s">
        <v>673</v>
      </c>
      <c r="P5885" s="9" t="s">
        <v>60</v>
      </c>
      <c r="Q5885" s="9" t="s">
        <v>26</v>
      </c>
      <c r="R5885" s="9" t="s">
        <v>88</v>
      </c>
      <c r="S5885" s="7" t="s">
        <v>184</v>
      </c>
      <c r="T5885" s="9" t="s">
        <v>39</v>
      </c>
      <c r="U5885" s="7">
        <v>0.39</v>
      </c>
      <c r="V5885" s="12">
        <f>C5885+2</f>
        <v>40465</v>
      </c>
      <c r="W5885">
        <f>IF(D5885=' Pivot Tables'!$A$4,1,0)</f>
        <v>0</v>
      </c>
      <c r="X5885">
        <f>IF(AND(LEFT(D5885,4)+1=LEFT(' Pivot Tables'!$A$4,4)+0,RIGHT(LEFT(D5885,7),2)=RIGHT(LEFT(' Pivot Tables'!$A$4,7),2)),1,0)</f>
        <v>0</v>
      </c>
      <c r="Y5885" s="6">
        <f>1/COUNTIF(Таблица1[Order ID],Таблица1[[#This Row],[Order ID]])</f>
        <v>0.33333333333333331</v>
      </c>
      <c r="Z5885" s="9">
        <f>1/COUNTIFS(Таблица1[Customer Name],Таблица1[[#This Row],[Customer Name]],Таблица1[Order-Year-Month],Таблица1[[#This Row],[Order-Year-Month]])</f>
        <v>0.33333333333333331</v>
      </c>
    </row>
    <row r="5886" spans="1:26" x14ac:dyDescent="0.2">
      <c r="A5886" s="6">
        <v>4897</v>
      </c>
      <c r="B5886" s="7">
        <v>34849</v>
      </c>
      <c r="C5886" s="8">
        <f>DATE(2012,12,31)-811</f>
        <v>40463</v>
      </c>
      <c r="D5886" s="8" t="str">
        <f t="shared" si="108"/>
        <v>2010-10 (октябрь 2010)</v>
      </c>
      <c r="E5886" s="9" t="s">
        <v>78</v>
      </c>
      <c r="F5886" s="7">
        <v>22</v>
      </c>
      <c r="G5886" s="7">
        <v>100.13</v>
      </c>
      <c r="H5886" s="7">
        <v>0.08</v>
      </c>
      <c r="I5886" s="9" t="s">
        <v>22</v>
      </c>
      <c r="J5886" s="10">
        <v>19.77</v>
      </c>
      <c r="K5886" s="11">
        <v>4.7300000000000004</v>
      </c>
      <c r="L5886" s="11">
        <v>1.52</v>
      </c>
      <c r="M5886" s="9" t="s">
        <v>1131</v>
      </c>
      <c r="N5886" s="6" t="s">
        <v>1905</v>
      </c>
      <c r="O5886" s="6" t="s">
        <v>673</v>
      </c>
      <c r="P5886" s="9" t="s">
        <v>60</v>
      </c>
      <c r="Q5886" s="9" t="s">
        <v>26</v>
      </c>
      <c r="R5886" s="9" t="s">
        <v>61</v>
      </c>
      <c r="S5886" s="7" t="s">
        <v>1515</v>
      </c>
      <c r="T5886" s="9" t="s">
        <v>68</v>
      </c>
      <c r="U5886" s="7">
        <v>0.36</v>
      </c>
      <c r="V5886" s="12">
        <f>C5886+1</f>
        <v>40464</v>
      </c>
      <c r="W5886">
        <f>IF(D5886=' Pivot Tables'!$A$4,1,0)</f>
        <v>0</v>
      </c>
      <c r="X5886">
        <f>IF(AND(LEFT(D5886,4)+1=LEFT(' Pivot Tables'!$A$4,4)+0,RIGHT(LEFT(D5886,7),2)=RIGHT(LEFT(' Pivot Tables'!$A$4,7),2)),1,0)</f>
        <v>0</v>
      </c>
      <c r="Y5886" s="6">
        <f>1/COUNTIF(Таблица1[Order ID],Таблица1[[#This Row],[Order ID]])</f>
        <v>0.33333333333333331</v>
      </c>
      <c r="Z5886" s="9">
        <f>1/COUNTIFS(Таблица1[Customer Name],Таблица1[[#This Row],[Customer Name]],Таблица1[Order-Year-Month],Таблица1[[#This Row],[Order-Year-Month]])</f>
        <v>0.33333333333333331</v>
      </c>
    </row>
    <row r="5887" spans="1:26" x14ac:dyDescent="0.2">
      <c r="A5887" s="6">
        <v>4898</v>
      </c>
      <c r="B5887" s="7">
        <v>34849</v>
      </c>
      <c r="C5887" s="8">
        <f>DATE(2012,12,31)-811</f>
        <v>40463</v>
      </c>
      <c r="D5887" s="8" t="str">
        <f t="shared" si="108"/>
        <v>2010-10 (октябрь 2010)</v>
      </c>
      <c r="E5887" s="9" t="s">
        <v>78</v>
      </c>
      <c r="F5887" s="7">
        <v>3</v>
      </c>
      <c r="G5887" s="7">
        <v>1192.93</v>
      </c>
      <c r="H5887" s="7">
        <v>7.0000000000000007E-2</v>
      </c>
      <c r="I5887" s="9" t="s">
        <v>22</v>
      </c>
      <c r="J5887" s="10">
        <v>-434.81</v>
      </c>
      <c r="K5887" s="11">
        <v>419.19</v>
      </c>
      <c r="L5887" s="11">
        <v>19.989999999999998</v>
      </c>
      <c r="M5887" s="9" t="s">
        <v>1131</v>
      </c>
      <c r="N5887" s="6" t="s">
        <v>1905</v>
      </c>
      <c r="O5887" s="6" t="s">
        <v>673</v>
      </c>
      <c r="P5887" s="9" t="s">
        <v>60</v>
      </c>
      <c r="Q5887" s="9" t="s">
        <v>26</v>
      </c>
      <c r="R5887" s="9" t="s">
        <v>27</v>
      </c>
      <c r="S5887" s="7" t="s">
        <v>1655</v>
      </c>
      <c r="T5887" s="9" t="s">
        <v>39</v>
      </c>
      <c r="U5887" s="7">
        <v>0.57999999999999996</v>
      </c>
      <c r="V5887" s="12">
        <f>C5887+1</f>
        <v>40464</v>
      </c>
      <c r="W5887">
        <f>IF(D5887=' Pivot Tables'!$A$4,1,0)</f>
        <v>0</v>
      </c>
      <c r="X5887">
        <f>IF(AND(LEFT(D5887,4)+1=LEFT(' Pivot Tables'!$A$4,4)+0,RIGHT(LEFT(D5887,7),2)=RIGHT(LEFT(' Pivot Tables'!$A$4,7),2)),1,0)</f>
        <v>0</v>
      </c>
      <c r="Y5887" s="6">
        <f>1/COUNTIF(Таблица1[Order ID],Таблица1[[#This Row],[Order ID]])</f>
        <v>0.33333333333333331</v>
      </c>
      <c r="Z5887" s="9">
        <f>1/COUNTIFS(Таблица1[Customer Name],Таблица1[[#This Row],[Customer Name]],Таблица1[Order-Year-Month],Таблица1[[#This Row],[Order-Year-Month]])</f>
        <v>0.33333333333333331</v>
      </c>
    </row>
    <row r="5888" spans="1:26" x14ac:dyDescent="0.2">
      <c r="A5888" s="6">
        <v>5337</v>
      </c>
      <c r="B5888" s="7">
        <v>37923</v>
      </c>
      <c r="C5888" s="8">
        <f>DATE(2012,12,31)-1010</f>
        <v>40264</v>
      </c>
      <c r="D5888" s="8" t="str">
        <f t="shared" si="108"/>
        <v>2010-03 (март 2010)</v>
      </c>
      <c r="E5888" s="9" t="s">
        <v>45</v>
      </c>
      <c r="F5888" s="7">
        <v>29</v>
      </c>
      <c r="G5888" s="7">
        <v>198.43</v>
      </c>
      <c r="H5888" s="7">
        <v>0.01</v>
      </c>
      <c r="I5888" s="9" t="s">
        <v>22</v>
      </c>
      <c r="J5888" s="10">
        <v>-79.67</v>
      </c>
      <c r="K5888" s="11">
        <v>6.48</v>
      </c>
      <c r="L5888" s="11">
        <v>6.81</v>
      </c>
      <c r="M5888" s="9" t="s">
        <v>1968</v>
      </c>
      <c r="N5888" s="6" t="s">
        <v>1905</v>
      </c>
      <c r="O5888" s="6" t="s">
        <v>673</v>
      </c>
      <c r="P5888" s="9" t="s">
        <v>41</v>
      </c>
      <c r="Q5888" s="9" t="s">
        <v>26</v>
      </c>
      <c r="R5888" s="9" t="s">
        <v>61</v>
      </c>
      <c r="S5888" s="7" t="s">
        <v>299</v>
      </c>
      <c r="T5888" s="9" t="s">
        <v>39</v>
      </c>
      <c r="U5888" s="7">
        <v>0.36</v>
      </c>
      <c r="V5888" s="12">
        <f>C5888+1</f>
        <v>40265</v>
      </c>
      <c r="W5888">
        <f>IF(D5888=' Pivot Tables'!$A$4,1,0)</f>
        <v>0</v>
      </c>
      <c r="X5888">
        <f>IF(AND(LEFT(D5888,4)+1=LEFT(' Pivot Tables'!$A$4,4)+0,RIGHT(LEFT(D5888,7),2)=RIGHT(LEFT(' Pivot Tables'!$A$4,7),2)),1,0)</f>
        <v>0</v>
      </c>
      <c r="Y5888" s="6">
        <f>1/COUNTIF(Таблица1[Order ID],Таблица1[[#This Row],[Order ID]])</f>
        <v>1</v>
      </c>
      <c r="Z5888" s="9">
        <f>1/COUNTIFS(Таблица1[Customer Name],Таблица1[[#This Row],[Customer Name]],Таблица1[Order-Year-Month],Таблица1[[#This Row],[Order-Year-Month]])</f>
        <v>1</v>
      </c>
    </row>
    <row r="5889" spans="1:26" x14ac:dyDescent="0.2">
      <c r="A5889" s="6">
        <v>5376</v>
      </c>
      <c r="B5889" s="7">
        <v>38215</v>
      </c>
      <c r="C5889" s="8">
        <f>DATE(2012,12,31)-1094</f>
        <v>40180</v>
      </c>
      <c r="D5889" s="8" t="str">
        <f t="shared" si="108"/>
        <v>2010-01 (январь 2010)</v>
      </c>
      <c r="E5889" s="9" t="s">
        <v>78</v>
      </c>
      <c r="F5889" s="7">
        <v>42</v>
      </c>
      <c r="G5889" s="7">
        <v>756.72949999999992</v>
      </c>
      <c r="H5889" s="7">
        <v>7.0000000000000007E-2</v>
      </c>
      <c r="I5889" s="9" t="s">
        <v>22</v>
      </c>
      <c r="J5889" s="10">
        <v>64.782000000000011</v>
      </c>
      <c r="K5889" s="11">
        <v>20.99</v>
      </c>
      <c r="L5889" s="11">
        <v>4.8099999999999996</v>
      </c>
      <c r="M5889" s="9" t="s">
        <v>1963</v>
      </c>
      <c r="N5889" s="6" t="s">
        <v>1905</v>
      </c>
      <c r="O5889" s="6" t="s">
        <v>673</v>
      </c>
      <c r="P5889" s="9" t="s">
        <v>25</v>
      </c>
      <c r="Q5889" s="9" t="s">
        <v>42</v>
      </c>
      <c r="R5889" s="9" t="s">
        <v>43</v>
      </c>
      <c r="S5889" s="7" t="s">
        <v>760</v>
      </c>
      <c r="T5889" s="9" t="s">
        <v>48</v>
      </c>
      <c r="U5889" s="7">
        <v>0.57999999999999996</v>
      </c>
      <c r="V5889" s="12">
        <f>C5889+1</f>
        <v>40181</v>
      </c>
      <c r="W5889">
        <f>IF(D5889=' Pivot Tables'!$A$4,1,0)</f>
        <v>1</v>
      </c>
      <c r="X5889">
        <f>IF(AND(LEFT(D5889,4)+1=LEFT(' Pivot Tables'!$A$4,4)+0,RIGHT(LEFT(D5889,7),2)=RIGHT(LEFT(' Pivot Tables'!$A$4,7),2)),1,0)</f>
        <v>0</v>
      </c>
      <c r="Y5889" s="6">
        <f>1/COUNTIF(Таблица1[Order ID],Таблица1[[#This Row],[Order ID]])</f>
        <v>0.5</v>
      </c>
      <c r="Z5889" s="9">
        <f>1/COUNTIFS(Таблица1[Customer Name],Таблица1[[#This Row],[Customer Name]],Таблица1[Order-Year-Month],Таблица1[[#This Row],[Order-Year-Month]])</f>
        <v>0.5</v>
      </c>
    </row>
    <row r="5890" spans="1:26" x14ac:dyDescent="0.2">
      <c r="A5890" s="6">
        <v>5377</v>
      </c>
      <c r="B5890" s="7">
        <v>38215</v>
      </c>
      <c r="C5890" s="8">
        <f>DATE(2012,12,31)-1094</f>
        <v>40180</v>
      </c>
      <c r="D5890" s="8" t="str">
        <f t="shared" si="108"/>
        <v>2010-01 (январь 2010)</v>
      </c>
      <c r="E5890" s="9" t="s">
        <v>78</v>
      </c>
      <c r="F5890" s="7">
        <v>38</v>
      </c>
      <c r="G5890" s="7">
        <v>3676.96</v>
      </c>
      <c r="H5890" s="7">
        <v>0.09</v>
      </c>
      <c r="I5890" s="9" t="s">
        <v>56</v>
      </c>
      <c r="J5890" s="10">
        <v>1233.45</v>
      </c>
      <c r="K5890" s="11">
        <v>104.85</v>
      </c>
      <c r="L5890" s="11">
        <v>19.989999999999998</v>
      </c>
      <c r="M5890" s="9" t="s">
        <v>1963</v>
      </c>
      <c r="N5890" s="6" t="s">
        <v>1905</v>
      </c>
      <c r="O5890" s="6" t="s">
        <v>673</v>
      </c>
      <c r="P5890" s="9" t="s">
        <v>25</v>
      </c>
      <c r="Q5890" s="9" t="s">
        <v>26</v>
      </c>
      <c r="R5890" s="9" t="s">
        <v>61</v>
      </c>
      <c r="S5890" s="7" t="s">
        <v>1057</v>
      </c>
      <c r="T5890" s="9" t="s">
        <v>39</v>
      </c>
      <c r="U5890" s="7">
        <v>0.37</v>
      </c>
      <c r="V5890" s="12">
        <f>C5890+2</f>
        <v>40182</v>
      </c>
      <c r="W5890">
        <f>IF(D5890=' Pivot Tables'!$A$4,1,0)</f>
        <v>1</v>
      </c>
      <c r="X5890">
        <f>IF(AND(LEFT(D5890,4)+1=LEFT(' Pivot Tables'!$A$4,4)+0,RIGHT(LEFT(D5890,7),2)=RIGHT(LEFT(' Pivot Tables'!$A$4,7),2)),1,0)</f>
        <v>0</v>
      </c>
      <c r="Y5890" s="6">
        <f>1/COUNTIF(Таблица1[Order ID],Таблица1[[#This Row],[Order ID]])</f>
        <v>0.5</v>
      </c>
      <c r="Z5890" s="9">
        <f>1/COUNTIFS(Таблица1[Customer Name],Таблица1[[#This Row],[Customer Name]],Таблица1[Order-Year-Month],Таблица1[[#This Row],[Order-Year-Month]])</f>
        <v>0.5</v>
      </c>
    </row>
    <row r="5891" spans="1:26" x14ac:dyDescent="0.2">
      <c r="A5891" s="6">
        <v>5445</v>
      </c>
      <c r="B5891" s="7">
        <v>38659</v>
      </c>
      <c r="C5891" s="8">
        <f>DATE(2012,12,31)-1007</f>
        <v>40267</v>
      </c>
      <c r="D5891" s="8" t="str">
        <f t="shared" ref="D5891:D5954" si="109">TEXT(C5891,"гггг-ММ (ММММ гггг)")</f>
        <v>2010-03 (март 2010)</v>
      </c>
      <c r="E5891" s="9" t="s">
        <v>21</v>
      </c>
      <c r="F5891" s="7">
        <v>48</v>
      </c>
      <c r="G5891" s="7">
        <v>3982.42</v>
      </c>
      <c r="H5891" s="7">
        <v>0.04</v>
      </c>
      <c r="I5891" s="9" t="s">
        <v>22</v>
      </c>
      <c r="J5891" s="10">
        <v>1560.82</v>
      </c>
      <c r="K5891" s="11">
        <v>83.1</v>
      </c>
      <c r="L5891" s="11">
        <v>6.13</v>
      </c>
      <c r="M5891" s="9" t="s">
        <v>1957</v>
      </c>
      <c r="N5891" s="6" t="s">
        <v>1905</v>
      </c>
      <c r="O5891" s="6" t="s">
        <v>673</v>
      </c>
      <c r="P5891" s="9" t="s">
        <v>41</v>
      </c>
      <c r="Q5891" s="9" t="s">
        <v>42</v>
      </c>
      <c r="R5891" s="9" t="s">
        <v>70</v>
      </c>
      <c r="S5891" s="7" t="s">
        <v>573</v>
      </c>
      <c r="T5891" s="9" t="s">
        <v>39</v>
      </c>
      <c r="U5891" s="7">
        <v>0.45</v>
      </c>
      <c r="V5891" s="12">
        <f>C5891+4</f>
        <v>40271</v>
      </c>
      <c r="W5891">
        <f>IF(D5891=' Pivot Tables'!$A$4,1,0)</f>
        <v>0</v>
      </c>
      <c r="X5891">
        <f>IF(AND(LEFT(D5891,4)+1=LEFT(' Pivot Tables'!$A$4,4)+0,RIGHT(LEFT(D5891,7),2)=RIGHT(LEFT(' Pivot Tables'!$A$4,7),2)),1,0)</f>
        <v>0</v>
      </c>
      <c r="Y5891" s="6">
        <f>1/COUNTIF(Таблица1[Order ID],Таблица1[[#This Row],[Order ID]])</f>
        <v>0.5</v>
      </c>
      <c r="Z5891" s="9">
        <f>1/COUNTIFS(Таблица1[Customer Name],Таблица1[[#This Row],[Customer Name]],Таблица1[Order-Year-Month],Таблица1[[#This Row],[Order-Year-Month]])</f>
        <v>0.5</v>
      </c>
    </row>
    <row r="5892" spans="1:26" x14ac:dyDescent="0.2">
      <c r="A5892" s="6">
        <v>5446</v>
      </c>
      <c r="B5892" s="7">
        <v>38659</v>
      </c>
      <c r="C5892" s="8">
        <f>DATE(2012,12,31)-1007</f>
        <v>40267</v>
      </c>
      <c r="D5892" s="8" t="str">
        <f t="shared" si="109"/>
        <v>2010-03 (март 2010)</v>
      </c>
      <c r="E5892" s="9" t="s">
        <v>21</v>
      </c>
      <c r="F5892" s="7">
        <v>32</v>
      </c>
      <c r="G5892" s="7">
        <v>4025.66</v>
      </c>
      <c r="H5892" s="7">
        <v>0.05</v>
      </c>
      <c r="I5892" s="9" t="s">
        <v>31</v>
      </c>
      <c r="J5892" s="10">
        <v>-395.12</v>
      </c>
      <c r="K5892" s="11">
        <v>124.49</v>
      </c>
      <c r="L5892" s="11">
        <v>51.94</v>
      </c>
      <c r="M5892" s="9" t="s">
        <v>1957</v>
      </c>
      <c r="N5892" s="6" t="s">
        <v>1905</v>
      </c>
      <c r="O5892" s="6" t="s">
        <v>673</v>
      </c>
      <c r="P5892" s="9" t="s">
        <v>41</v>
      </c>
      <c r="Q5892" s="9" t="s">
        <v>49</v>
      </c>
      <c r="R5892" s="9" t="s">
        <v>83</v>
      </c>
      <c r="S5892" s="7" t="s">
        <v>432</v>
      </c>
      <c r="T5892" s="9" t="s">
        <v>82</v>
      </c>
      <c r="U5892" s="7">
        <v>0.63</v>
      </c>
      <c r="V5892" s="12">
        <f>C5892+7</f>
        <v>40274</v>
      </c>
      <c r="W5892">
        <f>IF(D5892=' Pivot Tables'!$A$4,1,0)</f>
        <v>0</v>
      </c>
      <c r="X5892">
        <f>IF(AND(LEFT(D5892,4)+1=LEFT(' Pivot Tables'!$A$4,4)+0,RIGHT(LEFT(D5892,7),2)=RIGHT(LEFT(' Pivot Tables'!$A$4,7),2)),1,0)</f>
        <v>0</v>
      </c>
      <c r="Y5892" s="6">
        <f>1/COUNTIF(Таблица1[Order ID],Таблица1[[#This Row],[Order ID]])</f>
        <v>0.5</v>
      </c>
      <c r="Z5892" s="9">
        <f>1/COUNTIFS(Таблица1[Customer Name],Таблица1[[#This Row],[Customer Name]],Таблица1[Order-Year-Month],Таблица1[[#This Row],[Order-Year-Month]])</f>
        <v>0.5</v>
      </c>
    </row>
    <row r="5893" spans="1:26" x14ac:dyDescent="0.2">
      <c r="A5893" s="6">
        <v>5499</v>
      </c>
      <c r="B5893" s="7">
        <v>38982</v>
      </c>
      <c r="C5893" s="8">
        <f>DATE(2012,12,31)-1263</f>
        <v>40011</v>
      </c>
      <c r="D5893" s="8" t="str">
        <f t="shared" si="109"/>
        <v>2009-07 (июль 2009)</v>
      </c>
      <c r="E5893" s="9" t="s">
        <v>45</v>
      </c>
      <c r="F5893" s="7">
        <v>43</v>
      </c>
      <c r="G5893" s="7">
        <v>1114.42</v>
      </c>
      <c r="H5893" s="7">
        <v>0.09</v>
      </c>
      <c r="I5893" s="9" t="s">
        <v>22</v>
      </c>
      <c r="J5893" s="10">
        <v>425.07</v>
      </c>
      <c r="K5893" s="11">
        <v>28.48</v>
      </c>
      <c r="L5893" s="11">
        <v>1.99</v>
      </c>
      <c r="M5893" s="9" t="s">
        <v>1961</v>
      </c>
      <c r="N5893" s="6" t="s">
        <v>1905</v>
      </c>
      <c r="O5893" s="6" t="s">
        <v>673</v>
      </c>
      <c r="P5893" s="9" t="s">
        <v>41</v>
      </c>
      <c r="Q5893" s="9" t="s">
        <v>42</v>
      </c>
      <c r="R5893" s="9" t="s">
        <v>70</v>
      </c>
      <c r="S5893" s="7" t="s">
        <v>523</v>
      </c>
      <c r="T5893" s="9" t="s">
        <v>52</v>
      </c>
      <c r="U5893" s="7">
        <v>0.4</v>
      </c>
      <c r="V5893" s="12">
        <f>C5893+1</f>
        <v>40012</v>
      </c>
      <c r="W5893">
        <f>IF(D5893=' Pivot Tables'!$A$4,1,0)</f>
        <v>0</v>
      </c>
      <c r="X5893">
        <f>IF(AND(LEFT(D5893,4)+1=LEFT(' Pivot Tables'!$A$4,4)+0,RIGHT(LEFT(D5893,7),2)=RIGHT(LEFT(' Pivot Tables'!$A$4,7),2)),1,0)</f>
        <v>0</v>
      </c>
      <c r="Y5893" s="6">
        <f>1/COUNTIF(Таблица1[Order ID],Таблица1[[#This Row],[Order ID]])</f>
        <v>1</v>
      </c>
      <c r="Z5893" s="9">
        <f>1/COUNTIFS(Таблица1[Customer Name],Таблица1[[#This Row],[Customer Name]],Таблица1[Order-Year-Month],Таблица1[[#This Row],[Order-Year-Month]])</f>
        <v>1</v>
      </c>
    </row>
    <row r="5894" spans="1:26" x14ac:dyDescent="0.2">
      <c r="A5894" s="6">
        <v>5642</v>
      </c>
      <c r="B5894" s="7">
        <v>39908</v>
      </c>
      <c r="C5894" s="8">
        <f>DATE(2012,12,31)-1331</f>
        <v>39943</v>
      </c>
      <c r="D5894" s="8" t="str">
        <f t="shared" si="109"/>
        <v>2009-05 (май 2009)</v>
      </c>
      <c r="E5894" s="9" t="s">
        <v>21</v>
      </c>
      <c r="F5894" s="7">
        <v>23</v>
      </c>
      <c r="G5894" s="7">
        <v>753.75</v>
      </c>
      <c r="H5894" s="7">
        <v>0.1</v>
      </c>
      <c r="I5894" s="9" t="s">
        <v>22</v>
      </c>
      <c r="J5894" s="10">
        <v>31.17</v>
      </c>
      <c r="K5894" s="11">
        <v>34.99</v>
      </c>
      <c r="L5894" s="11">
        <v>7.73</v>
      </c>
      <c r="M5894" s="9" t="s">
        <v>949</v>
      </c>
      <c r="N5894" s="6" t="s">
        <v>1905</v>
      </c>
      <c r="O5894" s="6" t="s">
        <v>673</v>
      </c>
      <c r="P5894" s="9" t="s">
        <v>60</v>
      </c>
      <c r="Q5894" s="9" t="s">
        <v>26</v>
      </c>
      <c r="R5894" s="9" t="s">
        <v>95</v>
      </c>
      <c r="S5894" s="7" t="s">
        <v>1355</v>
      </c>
      <c r="T5894" s="9" t="s">
        <v>39</v>
      </c>
      <c r="U5894" s="7">
        <v>0.59</v>
      </c>
      <c r="V5894" s="12">
        <f>C5894+2</f>
        <v>39945</v>
      </c>
      <c r="W5894">
        <f>IF(D5894=' Pivot Tables'!$A$4,1,0)</f>
        <v>0</v>
      </c>
      <c r="X5894">
        <f>IF(AND(LEFT(D5894,4)+1=LEFT(' Pivot Tables'!$A$4,4)+0,RIGHT(LEFT(D5894,7),2)=RIGHT(LEFT(' Pivot Tables'!$A$4,7),2)),1,0)</f>
        <v>0</v>
      </c>
      <c r="Y5894" s="6">
        <f>1/COUNTIF(Таблица1[Order ID],Таблица1[[#This Row],[Order ID]])</f>
        <v>1</v>
      </c>
      <c r="Z5894" s="9">
        <f>1/COUNTIFS(Таблица1[Customer Name],Таблица1[[#This Row],[Customer Name]],Таблица1[Order-Year-Month],Таблица1[[#This Row],[Order-Year-Month]])</f>
        <v>1</v>
      </c>
    </row>
    <row r="5895" spans="1:26" x14ac:dyDescent="0.2">
      <c r="A5895" s="6">
        <v>5690</v>
      </c>
      <c r="B5895" s="7">
        <v>40225</v>
      </c>
      <c r="C5895" s="8">
        <f>DATE(2012,12,31)-722</f>
        <v>40552</v>
      </c>
      <c r="D5895" s="8" t="str">
        <f t="shared" si="109"/>
        <v>2011-01 (январь 2011)</v>
      </c>
      <c r="E5895" s="9" t="s">
        <v>21</v>
      </c>
      <c r="F5895" s="7">
        <v>50</v>
      </c>
      <c r="G5895" s="7">
        <v>839.07</v>
      </c>
      <c r="H5895" s="7">
        <v>0.06</v>
      </c>
      <c r="I5895" s="9" t="s">
        <v>22</v>
      </c>
      <c r="J5895" s="10">
        <v>212.7295</v>
      </c>
      <c r="K5895" s="11">
        <v>16.739999999999998</v>
      </c>
      <c r="L5895" s="11">
        <v>5.08</v>
      </c>
      <c r="M5895" s="9" t="s">
        <v>1958</v>
      </c>
      <c r="N5895" s="6" t="s">
        <v>1905</v>
      </c>
      <c r="O5895" s="6" t="s">
        <v>673</v>
      </c>
      <c r="P5895" s="9" t="s">
        <v>25</v>
      </c>
      <c r="Q5895" s="9" t="s">
        <v>26</v>
      </c>
      <c r="R5895" s="9" t="s">
        <v>37</v>
      </c>
      <c r="S5895" s="7" t="s">
        <v>1901</v>
      </c>
      <c r="T5895" s="9" t="s">
        <v>39</v>
      </c>
      <c r="U5895" s="7">
        <v>0.36</v>
      </c>
      <c r="V5895" s="12">
        <f>C5895+7</f>
        <v>40559</v>
      </c>
      <c r="W5895">
        <f>IF(D5895=' Pivot Tables'!$A$4,1,0)</f>
        <v>0</v>
      </c>
      <c r="X5895">
        <f>IF(AND(LEFT(D5895,4)+1=LEFT(' Pivot Tables'!$A$4,4)+0,RIGHT(LEFT(D5895,7),2)=RIGHT(LEFT(' Pivot Tables'!$A$4,7),2)),1,0)</f>
        <v>0</v>
      </c>
      <c r="Y5895" s="6">
        <f>1/COUNTIF(Таблица1[Order ID],Таблица1[[#This Row],[Order ID]])</f>
        <v>0.5</v>
      </c>
      <c r="Z5895" s="9">
        <f>1/COUNTIFS(Таблица1[Customer Name],Таблица1[[#This Row],[Customer Name]],Таблица1[Order-Year-Month],Таблица1[[#This Row],[Order-Year-Month]])</f>
        <v>0.5</v>
      </c>
    </row>
    <row r="5896" spans="1:26" x14ac:dyDescent="0.2">
      <c r="A5896" s="6">
        <v>5691</v>
      </c>
      <c r="B5896" s="7">
        <v>40225</v>
      </c>
      <c r="C5896" s="8">
        <f>DATE(2012,12,31)-722</f>
        <v>40552</v>
      </c>
      <c r="D5896" s="8" t="str">
        <f t="shared" si="109"/>
        <v>2011-01 (январь 2011)</v>
      </c>
      <c r="E5896" s="9" t="s">
        <v>21</v>
      </c>
      <c r="F5896" s="7">
        <v>45</v>
      </c>
      <c r="G5896" s="7">
        <v>5643.49</v>
      </c>
      <c r="H5896" s="7">
        <v>0.05</v>
      </c>
      <c r="I5896" s="9" t="s">
        <v>31</v>
      </c>
      <c r="J5896" s="10">
        <v>-1857.06</v>
      </c>
      <c r="K5896" s="11">
        <v>122.99</v>
      </c>
      <c r="L5896" s="11">
        <v>70.2</v>
      </c>
      <c r="M5896" s="9" t="s">
        <v>1958</v>
      </c>
      <c r="N5896" s="6" t="s">
        <v>1905</v>
      </c>
      <c r="O5896" s="6" t="s">
        <v>673</v>
      </c>
      <c r="P5896" s="9" t="s">
        <v>25</v>
      </c>
      <c r="Q5896" s="9" t="s">
        <v>49</v>
      </c>
      <c r="R5896" s="9" t="s">
        <v>112</v>
      </c>
      <c r="S5896" s="7" t="s">
        <v>426</v>
      </c>
      <c r="T5896" s="9" t="s">
        <v>36</v>
      </c>
      <c r="U5896" s="7">
        <v>0.74</v>
      </c>
      <c r="V5896" s="12">
        <f>C5896+2</f>
        <v>40554</v>
      </c>
      <c r="W5896">
        <f>IF(D5896=' Pivot Tables'!$A$4,1,0)</f>
        <v>0</v>
      </c>
      <c r="X5896">
        <f>IF(AND(LEFT(D5896,4)+1=LEFT(' Pivot Tables'!$A$4,4)+0,RIGHT(LEFT(D5896,7),2)=RIGHT(LEFT(' Pivot Tables'!$A$4,7),2)),1,0)</f>
        <v>0</v>
      </c>
      <c r="Y5896" s="6">
        <f>1/COUNTIF(Таблица1[Order ID],Таблица1[[#This Row],[Order ID]])</f>
        <v>0.5</v>
      </c>
      <c r="Z5896" s="9">
        <f>1/COUNTIFS(Таблица1[Customer Name],Таблица1[[#This Row],[Customer Name]],Таблица1[Order-Year-Month],Таблица1[[#This Row],[Order-Year-Month]])</f>
        <v>0.5</v>
      </c>
    </row>
    <row r="5897" spans="1:26" x14ac:dyDescent="0.2">
      <c r="A5897" s="6">
        <v>5718</v>
      </c>
      <c r="B5897" s="7">
        <v>40512</v>
      </c>
      <c r="C5897" s="8">
        <f>DATE(2012,12,31)-836</f>
        <v>40438</v>
      </c>
      <c r="D5897" s="8" t="str">
        <f t="shared" si="109"/>
        <v>2010-09 (сентябрь 2010)</v>
      </c>
      <c r="E5897" s="9" t="s">
        <v>63</v>
      </c>
      <c r="F5897" s="7">
        <v>41</v>
      </c>
      <c r="G5897" s="7">
        <v>405.83</v>
      </c>
      <c r="H5897" s="7">
        <v>0.06</v>
      </c>
      <c r="I5897" s="9" t="s">
        <v>22</v>
      </c>
      <c r="J5897" s="10">
        <v>178.86</v>
      </c>
      <c r="K5897" s="11">
        <v>9.9</v>
      </c>
      <c r="L5897" s="11">
        <v>1.39</v>
      </c>
      <c r="M5897" s="9" t="s">
        <v>1776</v>
      </c>
      <c r="N5897" s="6" t="s">
        <v>1905</v>
      </c>
      <c r="O5897" s="6" t="s">
        <v>673</v>
      </c>
      <c r="P5897" s="9" t="s">
        <v>60</v>
      </c>
      <c r="Q5897" s="9" t="s">
        <v>26</v>
      </c>
      <c r="R5897" s="9" t="s">
        <v>76</v>
      </c>
      <c r="S5897" s="7" t="s">
        <v>1664</v>
      </c>
      <c r="T5897" s="9" t="s">
        <v>39</v>
      </c>
      <c r="U5897" s="7">
        <v>0.37</v>
      </c>
      <c r="V5897" s="12">
        <f>C5897+1</f>
        <v>40439</v>
      </c>
      <c r="W5897">
        <f>IF(D5897=' Pivot Tables'!$A$4,1,0)</f>
        <v>0</v>
      </c>
      <c r="X5897">
        <f>IF(AND(LEFT(D5897,4)+1=LEFT(' Pivot Tables'!$A$4,4)+0,RIGHT(LEFT(D5897,7),2)=RIGHT(LEFT(' Pivot Tables'!$A$4,7),2)),1,0)</f>
        <v>0</v>
      </c>
      <c r="Y5897" s="6">
        <f>1/COUNTIF(Таблица1[Order ID],Таблица1[[#This Row],[Order ID]])</f>
        <v>1</v>
      </c>
      <c r="Z5897" s="9">
        <f>1/COUNTIFS(Таблица1[Customer Name],Таблица1[[#This Row],[Customer Name]],Таблица1[Order-Year-Month],Таблица1[[#This Row],[Order-Year-Month]])</f>
        <v>0.5</v>
      </c>
    </row>
    <row r="5898" spans="1:26" x14ac:dyDescent="0.2">
      <c r="A5898" s="6">
        <v>5869</v>
      </c>
      <c r="B5898" s="7">
        <v>41636</v>
      </c>
      <c r="C5898" s="8">
        <f>DATE(2012,12,31)-1235</f>
        <v>40039</v>
      </c>
      <c r="D5898" s="8" t="str">
        <f t="shared" si="109"/>
        <v>2009-08 (август 2009)</v>
      </c>
      <c r="E5898" s="9" t="s">
        <v>78</v>
      </c>
      <c r="F5898" s="7">
        <v>47</v>
      </c>
      <c r="G5898" s="7">
        <v>5294.48</v>
      </c>
      <c r="H5898" s="7">
        <v>0.03</v>
      </c>
      <c r="I5898" s="9" t="s">
        <v>22</v>
      </c>
      <c r="J5898" s="10">
        <v>1521.31</v>
      </c>
      <c r="K5898" s="11">
        <v>107.53</v>
      </c>
      <c r="L5898" s="11">
        <v>5.81</v>
      </c>
      <c r="M5898" s="9" t="s">
        <v>1965</v>
      </c>
      <c r="N5898" s="6" t="s">
        <v>1905</v>
      </c>
      <c r="O5898" s="6" t="s">
        <v>673</v>
      </c>
      <c r="P5898" s="9" t="s">
        <v>60</v>
      </c>
      <c r="Q5898" s="9" t="s">
        <v>49</v>
      </c>
      <c r="R5898" s="9" t="s">
        <v>50</v>
      </c>
      <c r="S5898" s="7" t="s">
        <v>473</v>
      </c>
      <c r="T5898" s="9" t="s">
        <v>48</v>
      </c>
      <c r="U5898" s="7">
        <v>0.65</v>
      </c>
      <c r="V5898" s="12">
        <f>C5898+1</f>
        <v>40040</v>
      </c>
      <c r="W5898">
        <f>IF(D5898=' Pivot Tables'!$A$4,1,0)</f>
        <v>0</v>
      </c>
      <c r="X5898">
        <f>IF(AND(LEFT(D5898,4)+1=LEFT(' Pivot Tables'!$A$4,4)+0,RIGHT(LEFT(D5898,7),2)=RIGHT(LEFT(' Pivot Tables'!$A$4,7),2)),1,0)</f>
        <v>0</v>
      </c>
      <c r="Y5898" s="6">
        <f>1/COUNTIF(Таблица1[Order ID],Таблица1[[#This Row],[Order ID]])</f>
        <v>0.33333333333333331</v>
      </c>
      <c r="Z5898" s="9">
        <f>1/COUNTIFS(Таблица1[Customer Name],Таблица1[[#This Row],[Customer Name]],Таблица1[Order-Year-Month],Таблица1[[#This Row],[Order-Year-Month]])</f>
        <v>0.33333333333333331</v>
      </c>
    </row>
    <row r="5899" spans="1:26" x14ac:dyDescent="0.2">
      <c r="A5899" s="6">
        <v>5870</v>
      </c>
      <c r="B5899" s="7">
        <v>41636</v>
      </c>
      <c r="C5899" s="8">
        <f>DATE(2012,12,31)-1235</f>
        <v>40039</v>
      </c>
      <c r="D5899" s="8" t="str">
        <f t="shared" si="109"/>
        <v>2009-08 (август 2009)</v>
      </c>
      <c r="E5899" s="9" t="s">
        <v>78</v>
      </c>
      <c r="F5899" s="7">
        <v>25</v>
      </c>
      <c r="G5899" s="7">
        <v>423.15</v>
      </c>
      <c r="H5899" s="7">
        <v>0.05</v>
      </c>
      <c r="I5899" s="9" t="s">
        <v>22</v>
      </c>
      <c r="J5899" s="10">
        <v>-47.28</v>
      </c>
      <c r="K5899" s="11">
        <v>16.98</v>
      </c>
      <c r="L5899" s="11">
        <v>7.78</v>
      </c>
      <c r="M5899" s="9" t="s">
        <v>1965</v>
      </c>
      <c r="N5899" s="6" t="s">
        <v>1905</v>
      </c>
      <c r="O5899" s="6" t="s">
        <v>673</v>
      </c>
      <c r="P5899" s="9" t="s">
        <v>60</v>
      </c>
      <c r="Q5899" s="9" t="s">
        <v>26</v>
      </c>
      <c r="R5899" s="9" t="s">
        <v>95</v>
      </c>
      <c r="S5899" s="7" t="s">
        <v>1969</v>
      </c>
      <c r="T5899" s="9" t="s">
        <v>52</v>
      </c>
      <c r="U5899" s="7">
        <v>0.56999999999999995</v>
      </c>
      <c r="V5899" s="12">
        <f>C5899+2</f>
        <v>40041</v>
      </c>
      <c r="W5899">
        <f>IF(D5899=' Pivot Tables'!$A$4,1,0)</f>
        <v>0</v>
      </c>
      <c r="X5899">
        <f>IF(AND(LEFT(D5899,4)+1=LEFT(' Pivot Tables'!$A$4,4)+0,RIGHT(LEFT(D5899,7),2)=RIGHT(LEFT(' Pivot Tables'!$A$4,7),2)),1,0)</f>
        <v>0</v>
      </c>
      <c r="Y5899" s="6">
        <f>1/COUNTIF(Таблица1[Order ID],Таблица1[[#This Row],[Order ID]])</f>
        <v>0.33333333333333331</v>
      </c>
      <c r="Z5899" s="9">
        <f>1/COUNTIFS(Таблица1[Customer Name],Таблица1[[#This Row],[Customer Name]],Таблица1[Order-Year-Month],Таблица1[[#This Row],[Order-Year-Month]])</f>
        <v>0.33333333333333331</v>
      </c>
    </row>
    <row r="5900" spans="1:26" x14ac:dyDescent="0.2">
      <c r="A5900" s="6">
        <v>5871</v>
      </c>
      <c r="B5900" s="7">
        <v>41636</v>
      </c>
      <c r="C5900" s="8">
        <f>DATE(2012,12,31)-1235</f>
        <v>40039</v>
      </c>
      <c r="D5900" s="8" t="str">
        <f t="shared" si="109"/>
        <v>2009-08 (август 2009)</v>
      </c>
      <c r="E5900" s="9" t="s">
        <v>78</v>
      </c>
      <c r="F5900" s="7">
        <v>27</v>
      </c>
      <c r="G5900" s="7">
        <v>2762.857</v>
      </c>
      <c r="H5900" s="7">
        <v>0.03</v>
      </c>
      <c r="I5900" s="9" t="s">
        <v>22</v>
      </c>
      <c r="J5900" s="10">
        <v>722.24099999999999</v>
      </c>
      <c r="K5900" s="11">
        <v>115.99</v>
      </c>
      <c r="L5900" s="11">
        <v>4.2300000000000004</v>
      </c>
      <c r="M5900" s="9" t="s">
        <v>1965</v>
      </c>
      <c r="N5900" s="6" t="s">
        <v>1905</v>
      </c>
      <c r="O5900" s="6" t="s">
        <v>673</v>
      </c>
      <c r="P5900" s="9" t="s">
        <v>60</v>
      </c>
      <c r="Q5900" s="9" t="s">
        <v>42</v>
      </c>
      <c r="R5900" s="9" t="s">
        <v>43</v>
      </c>
      <c r="S5900" s="7" t="s">
        <v>1569</v>
      </c>
      <c r="T5900" s="9" t="s">
        <v>39</v>
      </c>
      <c r="U5900" s="7">
        <v>0.56000000000000005</v>
      </c>
      <c r="V5900" s="12">
        <f>C5900+2</f>
        <v>40041</v>
      </c>
      <c r="W5900">
        <f>IF(D5900=' Pivot Tables'!$A$4,1,0)</f>
        <v>0</v>
      </c>
      <c r="X5900">
        <f>IF(AND(LEFT(D5900,4)+1=LEFT(' Pivot Tables'!$A$4,4)+0,RIGHT(LEFT(D5900,7),2)=RIGHT(LEFT(' Pivot Tables'!$A$4,7),2)),1,0)</f>
        <v>0</v>
      </c>
      <c r="Y5900" s="6">
        <f>1/COUNTIF(Таблица1[Order ID],Таблица1[[#This Row],[Order ID]])</f>
        <v>0.33333333333333331</v>
      </c>
      <c r="Z5900" s="9">
        <f>1/COUNTIFS(Таблица1[Customer Name],Таблица1[[#This Row],[Customer Name]],Таблица1[Order-Year-Month],Таблица1[[#This Row],[Order-Year-Month]])</f>
        <v>0.33333333333333331</v>
      </c>
    </row>
    <row r="5901" spans="1:26" x14ac:dyDescent="0.2">
      <c r="A5901" s="6">
        <v>5894</v>
      </c>
      <c r="B5901" s="7">
        <v>41799</v>
      </c>
      <c r="C5901" s="8">
        <f>DATE(2012,12,31)-1287</f>
        <v>39987</v>
      </c>
      <c r="D5901" s="8" t="str">
        <f t="shared" si="109"/>
        <v>2009-06 (июнь 2009)</v>
      </c>
      <c r="E5901" s="9" t="s">
        <v>30</v>
      </c>
      <c r="F5901" s="7">
        <v>21</v>
      </c>
      <c r="G5901" s="7">
        <v>1130.8059999999998</v>
      </c>
      <c r="H5901" s="7">
        <v>0.04</v>
      </c>
      <c r="I5901" s="9" t="s">
        <v>22</v>
      </c>
      <c r="J5901" s="10">
        <v>95.147999999999996</v>
      </c>
      <c r="K5901" s="11">
        <v>65.989999999999995</v>
      </c>
      <c r="L5901" s="11">
        <v>4.99</v>
      </c>
      <c r="M5901" s="9" t="s">
        <v>1957</v>
      </c>
      <c r="N5901" s="6" t="s">
        <v>1905</v>
      </c>
      <c r="O5901" s="6" t="s">
        <v>673</v>
      </c>
      <c r="P5901" s="9" t="s">
        <v>41</v>
      </c>
      <c r="Q5901" s="9" t="s">
        <v>42</v>
      </c>
      <c r="R5901" s="9" t="s">
        <v>43</v>
      </c>
      <c r="S5901" s="7" t="s">
        <v>692</v>
      </c>
      <c r="T5901" s="9" t="s">
        <v>39</v>
      </c>
      <c r="U5901" s="7">
        <v>0.56999999999999995</v>
      </c>
      <c r="V5901" s="12">
        <f>C5901+1</f>
        <v>39988</v>
      </c>
      <c r="W5901">
        <f>IF(D5901=' Pivot Tables'!$A$4,1,0)</f>
        <v>0</v>
      </c>
      <c r="X5901">
        <f>IF(AND(LEFT(D5901,4)+1=LEFT(' Pivot Tables'!$A$4,4)+0,RIGHT(LEFT(D5901,7),2)=RIGHT(LEFT(' Pivot Tables'!$A$4,7),2)),1,0)</f>
        <v>0</v>
      </c>
      <c r="Y5901" s="6">
        <f>1/COUNTIF(Таблица1[Order ID],Таблица1[[#This Row],[Order ID]])</f>
        <v>1</v>
      </c>
      <c r="Z5901" s="9">
        <f>1/COUNTIFS(Таблица1[Customer Name],Таблица1[[#This Row],[Customer Name]],Таблица1[Order-Year-Month],Таблица1[[#This Row],[Order-Year-Month]])</f>
        <v>0.33333333333333331</v>
      </c>
    </row>
    <row r="5902" spans="1:26" x14ac:dyDescent="0.2">
      <c r="A5902" s="6">
        <v>5904</v>
      </c>
      <c r="B5902" s="7">
        <v>41857</v>
      </c>
      <c r="C5902" s="8">
        <f>DATE(2012,12,31)-605</f>
        <v>40669</v>
      </c>
      <c r="D5902" s="8" t="str">
        <f t="shared" si="109"/>
        <v>2011-05 (май 2011)</v>
      </c>
      <c r="E5902" s="9" t="s">
        <v>21</v>
      </c>
      <c r="F5902" s="7">
        <v>45</v>
      </c>
      <c r="G5902" s="7">
        <v>461.05</v>
      </c>
      <c r="H5902" s="7">
        <v>0.04</v>
      </c>
      <c r="I5902" s="9" t="s">
        <v>56</v>
      </c>
      <c r="J5902" s="10">
        <v>-38.39</v>
      </c>
      <c r="K5902" s="11">
        <v>9.65</v>
      </c>
      <c r="L5902" s="11">
        <v>6.22</v>
      </c>
      <c r="M5902" s="9" t="s">
        <v>1131</v>
      </c>
      <c r="N5902" s="6" t="s">
        <v>1905</v>
      </c>
      <c r="O5902" s="6" t="s">
        <v>673</v>
      </c>
      <c r="P5902" s="9" t="s">
        <v>60</v>
      </c>
      <c r="Q5902" s="9" t="s">
        <v>49</v>
      </c>
      <c r="R5902" s="9" t="s">
        <v>50</v>
      </c>
      <c r="S5902" s="7" t="s">
        <v>138</v>
      </c>
      <c r="T5902" s="9" t="s">
        <v>39</v>
      </c>
      <c r="U5902" s="7">
        <v>0.55000000000000004</v>
      </c>
      <c r="V5902" s="12">
        <f>C5902+5</f>
        <v>40674</v>
      </c>
      <c r="W5902">
        <f>IF(D5902=' Pivot Tables'!$A$4,1,0)</f>
        <v>0</v>
      </c>
      <c r="X5902">
        <f>IF(AND(LEFT(D5902,4)+1=LEFT(' Pivot Tables'!$A$4,4)+0,RIGHT(LEFT(D5902,7),2)=RIGHT(LEFT(' Pivot Tables'!$A$4,7),2)),1,0)</f>
        <v>0</v>
      </c>
      <c r="Y5902" s="6">
        <f>1/COUNTIF(Таблица1[Order ID],Таблица1[[#This Row],[Order ID]])</f>
        <v>1</v>
      </c>
      <c r="Z5902" s="9">
        <f>1/COUNTIFS(Таблица1[Customer Name],Таблица1[[#This Row],[Customer Name]],Таблица1[Order-Year-Month],Таблица1[[#This Row],[Order-Year-Month]])</f>
        <v>1</v>
      </c>
    </row>
    <row r="5903" spans="1:26" x14ac:dyDescent="0.2">
      <c r="A5903" s="6">
        <v>5970</v>
      </c>
      <c r="B5903" s="7">
        <v>42342</v>
      </c>
      <c r="C5903" s="8">
        <f>DATE(2012,12,31)-1214</f>
        <v>40060</v>
      </c>
      <c r="D5903" s="8" t="str">
        <f t="shared" si="109"/>
        <v>2009-09 (сентябрь 2009)</v>
      </c>
      <c r="E5903" s="9" t="s">
        <v>45</v>
      </c>
      <c r="F5903" s="7">
        <v>43</v>
      </c>
      <c r="G5903" s="7">
        <v>9501.6240000000016</v>
      </c>
      <c r="H5903" s="7">
        <v>7.0000000000000007E-2</v>
      </c>
      <c r="I5903" s="9" t="s">
        <v>31</v>
      </c>
      <c r="J5903" s="10">
        <v>-686.45</v>
      </c>
      <c r="K5903" s="11">
        <v>286.85000000000002</v>
      </c>
      <c r="L5903" s="11">
        <v>61.76</v>
      </c>
      <c r="M5903" s="9" t="s">
        <v>969</v>
      </c>
      <c r="N5903" s="6" t="s">
        <v>1905</v>
      </c>
      <c r="O5903" s="6" t="s">
        <v>673</v>
      </c>
      <c r="P5903" s="9" t="s">
        <v>41</v>
      </c>
      <c r="Q5903" s="9" t="s">
        <v>49</v>
      </c>
      <c r="R5903" s="9" t="s">
        <v>83</v>
      </c>
      <c r="S5903" s="7" t="s">
        <v>1086</v>
      </c>
      <c r="T5903" s="9" t="s">
        <v>82</v>
      </c>
      <c r="U5903" s="7">
        <v>0.78</v>
      </c>
      <c r="V5903" s="12">
        <f>C5903+2</f>
        <v>40062</v>
      </c>
      <c r="W5903">
        <f>IF(D5903=' Pivot Tables'!$A$4,1,0)</f>
        <v>0</v>
      </c>
      <c r="X5903">
        <f>IF(AND(LEFT(D5903,4)+1=LEFT(' Pivot Tables'!$A$4,4)+0,RIGHT(LEFT(D5903,7),2)=RIGHT(LEFT(' Pivot Tables'!$A$4,7),2)),1,0)</f>
        <v>0</v>
      </c>
      <c r="Y5903" s="6">
        <f>1/COUNTIF(Таблица1[Order ID],Таблица1[[#This Row],[Order ID]])</f>
        <v>0.5</v>
      </c>
      <c r="Z5903" s="9">
        <f>1/COUNTIFS(Таблица1[Customer Name],Таблица1[[#This Row],[Customer Name]],Таблица1[Order-Year-Month],Таблица1[[#This Row],[Order-Year-Month]])</f>
        <v>0.5</v>
      </c>
    </row>
    <row r="5904" spans="1:26" x14ac:dyDescent="0.2">
      <c r="A5904" s="6">
        <v>5977</v>
      </c>
      <c r="B5904" s="7">
        <v>42374</v>
      </c>
      <c r="C5904" s="8">
        <f>DATE(2012,12,31)-167</f>
        <v>41107</v>
      </c>
      <c r="D5904" s="8" t="str">
        <f t="shared" si="109"/>
        <v>2012-07 (июль 2012)</v>
      </c>
      <c r="E5904" s="9" t="s">
        <v>78</v>
      </c>
      <c r="F5904" s="7">
        <v>21</v>
      </c>
      <c r="G5904" s="7">
        <v>205.32</v>
      </c>
      <c r="H5904" s="7">
        <v>0.08</v>
      </c>
      <c r="I5904" s="9" t="s">
        <v>56</v>
      </c>
      <c r="J5904" s="10">
        <v>37.299999999999997</v>
      </c>
      <c r="K5904" s="11">
        <v>10.01</v>
      </c>
      <c r="L5904" s="11">
        <v>1.99</v>
      </c>
      <c r="M5904" s="9" t="s">
        <v>1963</v>
      </c>
      <c r="N5904" s="6" t="s">
        <v>1905</v>
      </c>
      <c r="O5904" s="6" t="s">
        <v>673</v>
      </c>
      <c r="P5904" s="9" t="s">
        <v>41</v>
      </c>
      <c r="Q5904" s="9" t="s">
        <v>42</v>
      </c>
      <c r="R5904" s="9" t="s">
        <v>70</v>
      </c>
      <c r="S5904" s="7" t="s">
        <v>444</v>
      </c>
      <c r="T5904" s="9" t="s">
        <v>52</v>
      </c>
      <c r="U5904" s="7">
        <v>0.41</v>
      </c>
      <c r="V5904" s="12">
        <f>C5904+0</f>
        <v>41107</v>
      </c>
      <c r="W5904">
        <f>IF(D5904=' Pivot Tables'!$A$4,1,0)</f>
        <v>0</v>
      </c>
      <c r="X5904">
        <f>IF(AND(LEFT(D5904,4)+1=LEFT(' Pivot Tables'!$A$4,4)+0,RIGHT(LEFT(D5904,7),2)=RIGHT(LEFT(' Pivot Tables'!$A$4,7),2)),1,0)</f>
        <v>0</v>
      </c>
      <c r="Y5904" s="6">
        <f>1/COUNTIF(Таблица1[Order ID],Таблица1[[#This Row],[Order ID]])</f>
        <v>0.33333333333333331</v>
      </c>
      <c r="Z5904" s="9">
        <f>1/COUNTIFS(Таблица1[Customer Name],Таблица1[[#This Row],[Customer Name]],Таблица1[Order-Year-Month],Таблица1[[#This Row],[Order-Year-Month]])</f>
        <v>0.33333333333333331</v>
      </c>
    </row>
    <row r="5905" spans="1:26" x14ac:dyDescent="0.2">
      <c r="A5905" s="6">
        <v>5978</v>
      </c>
      <c r="B5905" s="7">
        <v>42374</v>
      </c>
      <c r="C5905" s="8">
        <f>DATE(2012,12,31)-167</f>
        <v>41107</v>
      </c>
      <c r="D5905" s="8" t="str">
        <f t="shared" si="109"/>
        <v>2012-07 (июль 2012)</v>
      </c>
      <c r="E5905" s="9" t="s">
        <v>78</v>
      </c>
      <c r="F5905" s="7">
        <v>47</v>
      </c>
      <c r="G5905" s="7">
        <v>807.6</v>
      </c>
      <c r="H5905" s="7">
        <v>0</v>
      </c>
      <c r="I5905" s="9" t="s">
        <v>22</v>
      </c>
      <c r="J5905" s="10">
        <v>214.30200000000002</v>
      </c>
      <c r="K5905" s="11">
        <v>16.739999999999998</v>
      </c>
      <c r="L5905" s="11">
        <v>5.08</v>
      </c>
      <c r="M5905" s="9" t="s">
        <v>1963</v>
      </c>
      <c r="N5905" s="6" t="s">
        <v>1905</v>
      </c>
      <c r="O5905" s="6" t="s">
        <v>673</v>
      </c>
      <c r="P5905" s="9" t="s">
        <v>41</v>
      </c>
      <c r="Q5905" s="9" t="s">
        <v>26</v>
      </c>
      <c r="R5905" s="9" t="s">
        <v>37</v>
      </c>
      <c r="S5905" s="7" t="s">
        <v>1901</v>
      </c>
      <c r="T5905" s="9" t="s">
        <v>39</v>
      </c>
      <c r="U5905" s="7">
        <v>0.36</v>
      </c>
      <c r="V5905" s="12">
        <f>C5905+1</f>
        <v>41108</v>
      </c>
      <c r="W5905">
        <f>IF(D5905=' Pivot Tables'!$A$4,1,0)</f>
        <v>0</v>
      </c>
      <c r="X5905">
        <f>IF(AND(LEFT(D5905,4)+1=LEFT(' Pivot Tables'!$A$4,4)+0,RIGHT(LEFT(D5905,7),2)=RIGHT(LEFT(' Pivot Tables'!$A$4,7),2)),1,0)</f>
        <v>0</v>
      </c>
      <c r="Y5905" s="6">
        <f>1/COUNTIF(Таблица1[Order ID],Таблица1[[#This Row],[Order ID]])</f>
        <v>0.33333333333333331</v>
      </c>
      <c r="Z5905" s="9">
        <f>1/COUNTIFS(Таблица1[Customer Name],Таблица1[[#This Row],[Customer Name]],Таблица1[Order-Year-Month],Таблица1[[#This Row],[Order-Year-Month]])</f>
        <v>0.33333333333333331</v>
      </c>
    </row>
    <row r="5906" spans="1:26" x14ac:dyDescent="0.2">
      <c r="A5906" s="6">
        <v>5979</v>
      </c>
      <c r="B5906" s="7">
        <v>42374</v>
      </c>
      <c r="C5906" s="8">
        <f>DATE(2012,12,31)-167</f>
        <v>41107</v>
      </c>
      <c r="D5906" s="8" t="str">
        <f t="shared" si="109"/>
        <v>2012-07 (июль 2012)</v>
      </c>
      <c r="E5906" s="9" t="s">
        <v>78</v>
      </c>
      <c r="F5906" s="7">
        <v>11</v>
      </c>
      <c r="G5906" s="7">
        <v>694.17</v>
      </c>
      <c r="H5906" s="7">
        <v>0</v>
      </c>
      <c r="I5906" s="9" t="s">
        <v>22</v>
      </c>
      <c r="J5906" s="10">
        <v>174.21600000000001</v>
      </c>
      <c r="K5906" s="11">
        <v>59.78</v>
      </c>
      <c r="L5906" s="11">
        <v>10.29</v>
      </c>
      <c r="M5906" s="9" t="s">
        <v>1963</v>
      </c>
      <c r="N5906" s="6" t="s">
        <v>1905</v>
      </c>
      <c r="O5906" s="6" t="s">
        <v>673</v>
      </c>
      <c r="P5906" s="9" t="s">
        <v>41</v>
      </c>
      <c r="Q5906" s="9" t="s">
        <v>26</v>
      </c>
      <c r="R5906" s="9" t="s">
        <v>37</v>
      </c>
      <c r="S5906" s="7" t="s">
        <v>284</v>
      </c>
      <c r="T5906" s="9" t="s">
        <v>39</v>
      </c>
      <c r="U5906" s="7">
        <v>0.39</v>
      </c>
      <c r="V5906" s="12">
        <f>C5906+2</f>
        <v>41109</v>
      </c>
      <c r="W5906">
        <f>IF(D5906=' Pivot Tables'!$A$4,1,0)</f>
        <v>0</v>
      </c>
      <c r="X5906">
        <f>IF(AND(LEFT(D5906,4)+1=LEFT(' Pivot Tables'!$A$4,4)+0,RIGHT(LEFT(D5906,7),2)=RIGHT(LEFT(' Pivot Tables'!$A$4,7),2)),1,0)</f>
        <v>0</v>
      </c>
      <c r="Y5906" s="6">
        <f>1/COUNTIF(Таблица1[Order ID],Таблица1[[#This Row],[Order ID]])</f>
        <v>0.33333333333333331</v>
      </c>
      <c r="Z5906" s="9">
        <f>1/COUNTIFS(Таблица1[Customer Name],Таблица1[[#This Row],[Customer Name]],Таблица1[Order-Year-Month],Таблица1[[#This Row],[Order-Year-Month]])</f>
        <v>0.33333333333333331</v>
      </c>
    </row>
    <row r="5907" spans="1:26" x14ac:dyDescent="0.2">
      <c r="A5907" s="6">
        <v>6016</v>
      </c>
      <c r="B5907" s="7">
        <v>42631</v>
      </c>
      <c r="C5907" s="8">
        <f>DATE(2012,12,31)-1332</f>
        <v>39942</v>
      </c>
      <c r="D5907" s="8" t="str">
        <f t="shared" si="109"/>
        <v>2009-05 (май 2009)</v>
      </c>
      <c r="E5907" s="9" t="s">
        <v>30</v>
      </c>
      <c r="F5907" s="7">
        <v>41</v>
      </c>
      <c r="G5907" s="7">
        <v>257.66000000000003</v>
      </c>
      <c r="H5907" s="7">
        <v>0.05</v>
      </c>
      <c r="I5907" s="9" t="s">
        <v>22</v>
      </c>
      <c r="J5907" s="10">
        <v>-69.23</v>
      </c>
      <c r="K5907" s="11">
        <v>6.48</v>
      </c>
      <c r="L5907" s="11">
        <v>2.74</v>
      </c>
      <c r="M5907" s="9" t="s">
        <v>354</v>
      </c>
      <c r="N5907" s="6" t="s">
        <v>1905</v>
      </c>
      <c r="O5907" s="6" t="s">
        <v>673</v>
      </c>
      <c r="P5907" s="9" t="s">
        <v>41</v>
      </c>
      <c r="Q5907" s="9" t="s">
        <v>42</v>
      </c>
      <c r="R5907" s="9" t="s">
        <v>70</v>
      </c>
      <c r="S5907" s="7" t="s">
        <v>1141</v>
      </c>
      <c r="T5907" s="9" t="s">
        <v>52</v>
      </c>
      <c r="U5907" s="7">
        <v>0.71</v>
      </c>
      <c r="V5907" s="12">
        <f>C5907+0</f>
        <v>39942</v>
      </c>
      <c r="W5907">
        <f>IF(D5907=' Pivot Tables'!$A$4,1,0)</f>
        <v>0</v>
      </c>
      <c r="X5907">
        <f>IF(AND(LEFT(D5907,4)+1=LEFT(' Pivot Tables'!$A$4,4)+0,RIGHT(LEFT(D5907,7),2)=RIGHT(LEFT(' Pivot Tables'!$A$4,7),2)),1,0)</f>
        <v>0</v>
      </c>
      <c r="Y5907" s="6">
        <f>1/COUNTIF(Таблица1[Order ID],Таблица1[[#This Row],[Order ID]])</f>
        <v>0.25</v>
      </c>
      <c r="Z5907" s="9">
        <f>1/COUNTIFS(Таблица1[Customer Name],Таблица1[[#This Row],[Customer Name]],Таблица1[Order-Year-Month],Таблица1[[#This Row],[Order-Year-Month]])</f>
        <v>0.25</v>
      </c>
    </row>
    <row r="5908" spans="1:26" x14ac:dyDescent="0.2">
      <c r="A5908" s="6">
        <v>6017</v>
      </c>
      <c r="B5908" s="7">
        <v>42631</v>
      </c>
      <c r="C5908" s="8">
        <f>DATE(2012,12,31)-1332</f>
        <v>39942</v>
      </c>
      <c r="D5908" s="8" t="str">
        <f t="shared" si="109"/>
        <v>2009-05 (май 2009)</v>
      </c>
      <c r="E5908" s="9" t="s">
        <v>30</v>
      </c>
      <c r="F5908" s="7">
        <v>18</v>
      </c>
      <c r="G5908" s="7">
        <v>211.4</v>
      </c>
      <c r="H5908" s="7">
        <v>0.09</v>
      </c>
      <c r="I5908" s="9" t="s">
        <v>22</v>
      </c>
      <c r="J5908" s="10">
        <v>91.63</v>
      </c>
      <c r="K5908" s="11">
        <v>12.53</v>
      </c>
      <c r="L5908" s="11">
        <v>0.5</v>
      </c>
      <c r="M5908" s="9" t="s">
        <v>354</v>
      </c>
      <c r="N5908" s="6" t="s">
        <v>1905</v>
      </c>
      <c r="O5908" s="6" t="s">
        <v>673</v>
      </c>
      <c r="P5908" s="9" t="s">
        <v>41</v>
      </c>
      <c r="Q5908" s="9" t="s">
        <v>26</v>
      </c>
      <c r="R5908" s="9" t="s">
        <v>88</v>
      </c>
      <c r="S5908" s="7" t="s">
        <v>525</v>
      </c>
      <c r="T5908" s="9" t="s">
        <v>39</v>
      </c>
      <c r="U5908" s="7">
        <v>0.38</v>
      </c>
      <c r="V5908" s="12">
        <f>C5908+1</f>
        <v>39943</v>
      </c>
      <c r="W5908">
        <f>IF(D5908=' Pivot Tables'!$A$4,1,0)</f>
        <v>0</v>
      </c>
      <c r="X5908">
        <f>IF(AND(LEFT(D5908,4)+1=LEFT(' Pivot Tables'!$A$4,4)+0,RIGHT(LEFT(D5908,7),2)=RIGHT(LEFT(' Pivot Tables'!$A$4,7),2)),1,0)</f>
        <v>0</v>
      </c>
      <c r="Y5908" s="6">
        <f>1/COUNTIF(Таблица1[Order ID],Таблица1[[#This Row],[Order ID]])</f>
        <v>0.25</v>
      </c>
      <c r="Z5908" s="9">
        <f>1/COUNTIFS(Таблица1[Customer Name],Таблица1[[#This Row],[Customer Name]],Таблица1[Order-Year-Month],Таблица1[[#This Row],[Order-Year-Month]])</f>
        <v>0.25</v>
      </c>
    </row>
    <row r="5909" spans="1:26" x14ac:dyDescent="0.2">
      <c r="A5909" s="6">
        <v>6018</v>
      </c>
      <c r="B5909" s="7">
        <v>42631</v>
      </c>
      <c r="C5909" s="8">
        <f>DATE(2012,12,31)-1332</f>
        <v>39942</v>
      </c>
      <c r="D5909" s="8" t="str">
        <f t="shared" si="109"/>
        <v>2009-05 (май 2009)</v>
      </c>
      <c r="E5909" s="9" t="s">
        <v>30</v>
      </c>
      <c r="F5909" s="7">
        <v>44</v>
      </c>
      <c r="G5909" s="7">
        <v>287.22000000000003</v>
      </c>
      <c r="H5909" s="7">
        <v>0.06</v>
      </c>
      <c r="I5909" s="9" t="s">
        <v>22</v>
      </c>
      <c r="J5909" s="10">
        <v>-72.930000000000007</v>
      </c>
      <c r="K5909" s="11">
        <v>6.68</v>
      </c>
      <c r="L5909" s="11">
        <v>5.41</v>
      </c>
      <c r="M5909" s="9" t="s">
        <v>354</v>
      </c>
      <c r="N5909" s="6" t="s">
        <v>1905</v>
      </c>
      <c r="O5909" s="6" t="s">
        <v>673</v>
      </c>
      <c r="P5909" s="9" t="s">
        <v>41</v>
      </c>
      <c r="Q5909" s="9" t="s">
        <v>26</v>
      </c>
      <c r="R5909" s="9" t="s">
        <v>61</v>
      </c>
      <c r="S5909" s="7" t="s">
        <v>1827</v>
      </c>
      <c r="T5909" s="9" t="s">
        <v>39</v>
      </c>
      <c r="U5909" s="7">
        <v>0.37</v>
      </c>
      <c r="V5909" s="12">
        <f>C5909+1</f>
        <v>39943</v>
      </c>
      <c r="W5909">
        <f>IF(D5909=' Pivot Tables'!$A$4,1,0)</f>
        <v>0</v>
      </c>
      <c r="X5909">
        <f>IF(AND(LEFT(D5909,4)+1=LEFT(' Pivot Tables'!$A$4,4)+0,RIGHT(LEFT(D5909,7),2)=RIGHT(LEFT(' Pivot Tables'!$A$4,7),2)),1,0)</f>
        <v>0</v>
      </c>
      <c r="Y5909" s="6">
        <f>1/COUNTIF(Таблица1[Order ID],Таблица1[[#This Row],[Order ID]])</f>
        <v>0.25</v>
      </c>
      <c r="Z5909" s="9">
        <f>1/COUNTIFS(Таблица1[Customer Name],Таблица1[[#This Row],[Customer Name]],Таблица1[Order-Year-Month],Таблица1[[#This Row],[Order-Year-Month]])</f>
        <v>0.25</v>
      </c>
    </row>
    <row r="5910" spans="1:26" x14ac:dyDescent="0.2">
      <c r="A5910" s="6">
        <v>6019</v>
      </c>
      <c r="B5910" s="7">
        <v>42631</v>
      </c>
      <c r="C5910" s="8">
        <f>DATE(2012,12,31)-1332</f>
        <v>39942</v>
      </c>
      <c r="D5910" s="8" t="str">
        <f t="shared" si="109"/>
        <v>2009-05 (май 2009)</v>
      </c>
      <c r="E5910" s="9" t="s">
        <v>30</v>
      </c>
      <c r="F5910" s="7">
        <v>22</v>
      </c>
      <c r="G5910" s="7">
        <v>1148.0355</v>
      </c>
      <c r="H5910" s="7">
        <v>0.08</v>
      </c>
      <c r="I5910" s="9" t="s">
        <v>56</v>
      </c>
      <c r="J5910" s="10">
        <v>21.978000000000002</v>
      </c>
      <c r="K5910" s="11">
        <v>65.989999999999995</v>
      </c>
      <c r="L5910" s="11">
        <v>8.99</v>
      </c>
      <c r="M5910" s="9" t="s">
        <v>354</v>
      </c>
      <c r="N5910" s="6" t="s">
        <v>1905</v>
      </c>
      <c r="O5910" s="6" t="s">
        <v>673</v>
      </c>
      <c r="P5910" s="9" t="s">
        <v>41</v>
      </c>
      <c r="Q5910" s="9" t="s">
        <v>42</v>
      </c>
      <c r="R5910" s="9" t="s">
        <v>43</v>
      </c>
      <c r="S5910" s="7" t="s">
        <v>1843</v>
      </c>
      <c r="T5910" s="9" t="s">
        <v>39</v>
      </c>
      <c r="U5910" s="7">
        <v>0.55000000000000004</v>
      </c>
      <c r="V5910" s="12">
        <f>C5910+2</f>
        <v>39944</v>
      </c>
      <c r="W5910">
        <f>IF(D5910=' Pivot Tables'!$A$4,1,0)</f>
        <v>0</v>
      </c>
      <c r="X5910">
        <f>IF(AND(LEFT(D5910,4)+1=LEFT(' Pivot Tables'!$A$4,4)+0,RIGHT(LEFT(D5910,7),2)=RIGHT(LEFT(' Pivot Tables'!$A$4,7),2)),1,0)</f>
        <v>0</v>
      </c>
      <c r="Y5910" s="6">
        <f>1/COUNTIF(Таблица1[Order ID],Таблица1[[#This Row],[Order ID]])</f>
        <v>0.25</v>
      </c>
      <c r="Z5910" s="9">
        <f>1/COUNTIFS(Таблица1[Customer Name],Таблица1[[#This Row],[Customer Name]],Таблица1[Order-Year-Month],Таблица1[[#This Row],[Order-Year-Month]])</f>
        <v>0.25</v>
      </c>
    </row>
    <row r="5911" spans="1:26" x14ac:dyDescent="0.2">
      <c r="A5911" s="6">
        <v>6066</v>
      </c>
      <c r="B5911" s="7">
        <v>42979</v>
      </c>
      <c r="C5911" s="8">
        <f>DATE(2012,12,31)-610</f>
        <v>40664</v>
      </c>
      <c r="D5911" s="8" t="str">
        <f t="shared" si="109"/>
        <v>2011-05 (май 2011)</v>
      </c>
      <c r="E5911" s="9" t="s">
        <v>45</v>
      </c>
      <c r="F5911" s="7">
        <v>29</v>
      </c>
      <c r="G5911" s="7">
        <v>2770.79</v>
      </c>
      <c r="H5911" s="7">
        <v>0.02</v>
      </c>
      <c r="I5911" s="9" t="s">
        <v>31</v>
      </c>
      <c r="J5911" s="10">
        <v>109.39</v>
      </c>
      <c r="K5911" s="11">
        <v>90.98</v>
      </c>
      <c r="L5911" s="11">
        <v>30</v>
      </c>
      <c r="M5911" s="9" t="s">
        <v>1960</v>
      </c>
      <c r="N5911" s="6" t="s">
        <v>1905</v>
      </c>
      <c r="O5911" s="6" t="s">
        <v>673</v>
      </c>
      <c r="P5911" s="9" t="s">
        <v>41</v>
      </c>
      <c r="Q5911" s="9" t="s">
        <v>49</v>
      </c>
      <c r="R5911" s="9" t="s">
        <v>112</v>
      </c>
      <c r="S5911" s="7" t="s">
        <v>717</v>
      </c>
      <c r="T5911" s="9" t="s">
        <v>36</v>
      </c>
      <c r="U5911" s="7">
        <v>0.61</v>
      </c>
      <c r="V5911" s="12">
        <f>C5911+2</f>
        <v>40666</v>
      </c>
      <c r="W5911">
        <f>IF(D5911=' Pivot Tables'!$A$4,1,0)</f>
        <v>0</v>
      </c>
      <c r="X5911">
        <f>IF(AND(LEFT(D5911,4)+1=LEFT(' Pivot Tables'!$A$4,4)+0,RIGHT(LEFT(D5911,7),2)=RIGHT(LEFT(' Pivot Tables'!$A$4,7),2)),1,0)</f>
        <v>0</v>
      </c>
      <c r="Y5911" s="6">
        <f>1/COUNTIF(Таблица1[Order ID],Таблица1[[#This Row],[Order ID]])</f>
        <v>1</v>
      </c>
      <c r="Z5911" s="9">
        <f>1/COUNTIFS(Таблица1[Customer Name],Таблица1[[#This Row],[Customer Name]],Таблица1[Order-Year-Month],Таблица1[[#This Row],[Order-Year-Month]])</f>
        <v>1</v>
      </c>
    </row>
    <row r="5912" spans="1:26" x14ac:dyDescent="0.2">
      <c r="A5912" s="6">
        <v>6077</v>
      </c>
      <c r="B5912" s="7">
        <v>43045</v>
      </c>
      <c r="C5912" s="8">
        <f>DATE(2012,12,31)-200</f>
        <v>41074</v>
      </c>
      <c r="D5912" s="8" t="str">
        <f t="shared" si="109"/>
        <v>2012-06 (июнь 2012)</v>
      </c>
      <c r="E5912" s="9" t="s">
        <v>63</v>
      </c>
      <c r="F5912" s="7">
        <v>47</v>
      </c>
      <c r="G5912" s="7">
        <v>5301.2</v>
      </c>
      <c r="H5912" s="7">
        <v>0.01</v>
      </c>
      <c r="I5912" s="9" t="s">
        <v>22</v>
      </c>
      <c r="J5912" s="10">
        <v>1126.72</v>
      </c>
      <c r="K5912" s="11">
        <v>105.29</v>
      </c>
      <c r="L5912" s="11">
        <v>10.119999999999999</v>
      </c>
      <c r="M5912" s="9" t="s">
        <v>949</v>
      </c>
      <c r="N5912" s="6" t="s">
        <v>1905</v>
      </c>
      <c r="O5912" s="6" t="s">
        <v>673</v>
      </c>
      <c r="P5912" s="9" t="s">
        <v>41</v>
      </c>
      <c r="Q5912" s="9" t="s">
        <v>49</v>
      </c>
      <c r="R5912" s="9" t="s">
        <v>50</v>
      </c>
      <c r="S5912" s="7" t="s">
        <v>1510</v>
      </c>
      <c r="T5912" s="9" t="s">
        <v>29</v>
      </c>
      <c r="U5912" s="7">
        <v>0.79</v>
      </c>
      <c r="V5912" s="12">
        <f>C5912+2</f>
        <v>41076</v>
      </c>
      <c r="W5912">
        <f>IF(D5912=' Pivot Tables'!$A$4,1,0)</f>
        <v>0</v>
      </c>
      <c r="X5912">
        <f>IF(AND(LEFT(D5912,4)+1=LEFT(' Pivot Tables'!$A$4,4)+0,RIGHT(LEFT(D5912,7),2)=RIGHT(LEFT(' Pivot Tables'!$A$4,7),2)),1,0)</f>
        <v>0</v>
      </c>
      <c r="Y5912" s="6">
        <f>1/COUNTIF(Таблица1[Order ID],Таблица1[[#This Row],[Order ID]])</f>
        <v>0.5</v>
      </c>
      <c r="Z5912" s="9">
        <f>1/COUNTIFS(Таблица1[Customer Name],Таблица1[[#This Row],[Customer Name]],Таблица1[Order-Year-Month],Таблица1[[#This Row],[Order-Year-Month]])</f>
        <v>0.5</v>
      </c>
    </row>
    <row r="5913" spans="1:26" x14ac:dyDescent="0.2">
      <c r="A5913" s="6">
        <v>6078</v>
      </c>
      <c r="B5913" s="7">
        <v>43045</v>
      </c>
      <c r="C5913" s="8">
        <f>DATE(2012,12,31)-200</f>
        <v>41074</v>
      </c>
      <c r="D5913" s="8" t="str">
        <f t="shared" si="109"/>
        <v>2012-06 (июнь 2012)</v>
      </c>
      <c r="E5913" s="9" t="s">
        <v>63</v>
      </c>
      <c r="F5913" s="7">
        <v>12</v>
      </c>
      <c r="G5913" s="7">
        <v>418.44</v>
      </c>
      <c r="H5913" s="7">
        <v>0.05</v>
      </c>
      <c r="I5913" s="9" t="s">
        <v>31</v>
      </c>
      <c r="J5913" s="10">
        <v>-407.17</v>
      </c>
      <c r="K5913" s="11">
        <v>31.76</v>
      </c>
      <c r="L5913" s="11">
        <v>45.51</v>
      </c>
      <c r="M5913" s="9" t="s">
        <v>949</v>
      </c>
      <c r="N5913" s="6" t="s">
        <v>1905</v>
      </c>
      <c r="O5913" s="6" t="s">
        <v>673</v>
      </c>
      <c r="P5913" s="9" t="s">
        <v>41</v>
      </c>
      <c r="Q5913" s="9" t="s">
        <v>49</v>
      </c>
      <c r="R5913" s="9" t="s">
        <v>83</v>
      </c>
      <c r="S5913" s="7" t="s">
        <v>611</v>
      </c>
      <c r="T5913" s="9" t="s">
        <v>82</v>
      </c>
      <c r="U5913" s="7">
        <v>0.65</v>
      </c>
      <c r="V5913" s="12">
        <f>C5913+0</f>
        <v>41074</v>
      </c>
      <c r="W5913">
        <f>IF(D5913=' Pivot Tables'!$A$4,1,0)</f>
        <v>0</v>
      </c>
      <c r="X5913">
        <f>IF(AND(LEFT(D5913,4)+1=LEFT(' Pivot Tables'!$A$4,4)+0,RIGHT(LEFT(D5913,7),2)=RIGHT(LEFT(' Pivot Tables'!$A$4,7),2)),1,0)</f>
        <v>0</v>
      </c>
      <c r="Y5913" s="6">
        <f>1/COUNTIF(Таблица1[Order ID],Таблица1[[#This Row],[Order ID]])</f>
        <v>0.5</v>
      </c>
      <c r="Z5913" s="9">
        <f>1/COUNTIFS(Таблица1[Customer Name],Таблица1[[#This Row],[Customer Name]],Таблица1[Order-Year-Month],Таблица1[[#This Row],[Order-Year-Month]])</f>
        <v>0.5</v>
      </c>
    </row>
    <row r="5914" spans="1:26" x14ac:dyDescent="0.2">
      <c r="A5914" s="6">
        <v>6085</v>
      </c>
      <c r="B5914" s="7">
        <v>43110</v>
      </c>
      <c r="C5914" s="8">
        <f>DATE(2012,12,31)-694</f>
        <v>40580</v>
      </c>
      <c r="D5914" s="8" t="str">
        <f t="shared" si="109"/>
        <v>2011-02 (февраль 2011)</v>
      </c>
      <c r="E5914" s="9" t="s">
        <v>30</v>
      </c>
      <c r="F5914" s="7">
        <v>3</v>
      </c>
      <c r="G5914" s="7">
        <v>21.01</v>
      </c>
      <c r="H5914" s="7">
        <v>0</v>
      </c>
      <c r="I5914" s="9" t="s">
        <v>22</v>
      </c>
      <c r="J5914" s="10">
        <v>-9.69</v>
      </c>
      <c r="K5914" s="11">
        <v>4.9800000000000004</v>
      </c>
      <c r="L5914" s="11">
        <v>5.0199999999999996</v>
      </c>
      <c r="M5914" s="9" t="s">
        <v>1960</v>
      </c>
      <c r="N5914" s="6" t="s">
        <v>1905</v>
      </c>
      <c r="O5914" s="6" t="s">
        <v>673</v>
      </c>
      <c r="P5914" s="9" t="s">
        <v>41</v>
      </c>
      <c r="Q5914" s="9" t="s">
        <v>26</v>
      </c>
      <c r="R5914" s="9" t="s">
        <v>61</v>
      </c>
      <c r="S5914" s="7" t="s">
        <v>702</v>
      </c>
      <c r="T5914" s="9" t="s">
        <v>39</v>
      </c>
      <c r="U5914" s="7">
        <v>0.38</v>
      </c>
      <c r="V5914" s="12">
        <f>C5914+0</f>
        <v>40580</v>
      </c>
      <c r="W5914">
        <f>IF(D5914=' Pivot Tables'!$A$4,1,0)</f>
        <v>0</v>
      </c>
      <c r="X5914">
        <f>IF(AND(LEFT(D5914,4)+1=LEFT(' Pivot Tables'!$A$4,4)+0,RIGHT(LEFT(D5914,7),2)=RIGHT(LEFT(' Pivot Tables'!$A$4,7),2)),1,0)</f>
        <v>0</v>
      </c>
      <c r="Y5914" s="6">
        <f>1/COUNTIF(Таблица1[Order ID],Таблица1[[#This Row],[Order ID]])</f>
        <v>0.5</v>
      </c>
      <c r="Z5914" s="9">
        <f>1/COUNTIFS(Таблица1[Customer Name],Таблица1[[#This Row],[Customer Name]],Таблица1[Order-Year-Month],Таблица1[[#This Row],[Order-Year-Month]])</f>
        <v>0.5</v>
      </c>
    </row>
    <row r="5915" spans="1:26" x14ac:dyDescent="0.2">
      <c r="A5915" s="6">
        <v>6086</v>
      </c>
      <c r="B5915" s="7">
        <v>43110</v>
      </c>
      <c r="C5915" s="8">
        <f>DATE(2012,12,31)-694</f>
        <v>40580</v>
      </c>
      <c r="D5915" s="8" t="str">
        <f t="shared" si="109"/>
        <v>2011-02 (февраль 2011)</v>
      </c>
      <c r="E5915" s="9" t="s">
        <v>30</v>
      </c>
      <c r="F5915" s="7">
        <v>1</v>
      </c>
      <c r="G5915" s="7">
        <v>3457.99</v>
      </c>
      <c r="H5915" s="7">
        <v>0.05</v>
      </c>
      <c r="I5915" s="9" t="s">
        <v>22</v>
      </c>
      <c r="J5915" s="10">
        <v>-11861.46</v>
      </c>
      <c r="K5915" s="11">
        <v>3499.99</v>
      </c>
      <c r="L5915" s="11">
        <v>24.49</v>
      </c>
      <c r="M5915" s="9" t="s">
        <v>1960</v>
      </c>
      <c r="N5915" s="6" t="s">
        <v>1905</v>
      </c>
      <c r="O5915" s="6" t="s">
        <v>673</v>
      </c>
      <c r="P5915" s="9" t="s">
        <v>41</v>
      </c>
      <c r="Q5915" s="9" t="s">
        <v>42</v>
      </c>
      <c r="R5915" s="9" t="s">
        <v>99</v>
      </c>
      <c r="S5915" s="7" t="s">
        <v>627</v>
      </c>
      <c r="T5915" s="9" t="s">
        <v>29</v>
      </c>
      <c r="U5915" s="7">
        <v>0.37</v>
      </c>
      <c r="V5915" s="12">
        <f>C5915+2</f>
        <v>40582</v>
      </c>
      <c r="W5915">
        <f>IF(D5915=' Pivot Tables'!$A$4,1,0)</f>
        <v>0</v>
      </c>
      <c r="X5915">
        <f>IF(AND(LEFT(D5915,4)+1=LEFT(' Pivot Tables'!$A$4,4)+0,RIGHT(LEFT(D5915,7),2)=RIGHT(LEFT(' Pivot Tables'!$A$4,7),2)),1,0)</f>
        <v>0</v>
      </c>
      <c r="Y5915" s="6">
        <f>1/COUNTIF(Таблица1[Order ID],Таблица1[[#This Row],[Order ID]])</f>
        <v>0.5</v>
      </c>
      <c r="Z5915" s="9">
        <f>1/COUNTIFS(Таблица1[Customer Name],Таблица1[[#This Row],[Customer Name]],Таблица1[Order-Year-Month],Таблица1[[#This Row],[Order-Year-Month]])</f>
        <v>0.5</v>
      </c>
    </row>
    <row r="5916" spans="1:26" x14ac:dyDescent="0.2">
      <c r="A5916" s="6">
        <v>6104</v>
      </c>
      <c r="B5916" s="7">
        <v>43239</v>
      </c>
      <c r="C5916" s="8">
        <f>DATE(2012,12,31)-656</f>
        <v>40618</v>
      </c>
      <c r="D5916" s="8" t="str">
        <f t="shared" si="109"/>
        <v>2011-03 (март 2011)</v>
      </c>
      <c r="E5916" s="9" t="s">
        <v>45</v>
      </c>
      <c r="F5916" s="7">
        <v>14</v>
      </c>
      <c r="G5916" s="7">
        <v>270.25</v>
      </c>
      <c r="H5916" s="7">
        <v>0.02</v>
      </c>
      <c r="I5916" s="9" t="s">
        <v>22</v>
      </c>
      <c r="J5916" s="10">
        <v>100.895</v>
      </c>
      <c r="K5916" s="11">
        <v>18.940000000000001</v>
      </c>
      <c r="L5916" s="11">
        <v>1.49</v>
      </c>
      <c r="M5916" s="9" t="s">
        <v>1131</v>
      </c>
      <c r="N5916" s="6" t="s">
        <v>1905</v>
      </c>
      <c r="O5916" s="6" t="s">
        <v>673</v>
      </c>
      <c r="P5916" s="9" t="s">
        <v>60</v>
      </c>
      <c r="Q5916" s="9" t="s">
        <v>26</v>
      </c>
      <c r="R5916" s="9" t="s">
        <v>37</v>
      </c>
      <c r="S5916" s="7" t="s">
        <v>896</v>
      </c>
      <c r="T5916" s="9" t="s">
        <v>39</v>
      </c>
      <c r="U5916" s="7">
        <v>0.35</v>
      </c>
      <c r="V5916" s="12">
        <f>C5916+2</f>
        <v>40620</v>
      </c>
      <c r="W5916">
        <f>IF(D5916=' Pivot Tables'!$A$4,1,0)</f>
        <v>0</v>
      </c>
      <c r="X5916">
        <f>IF(AND(LEFT(D5916,4)+1=LEFT(' Pivot Tables'!$A$4,4)+0,RIGHT(LEFT(D5916,7),2)=RIGHT(LEFT(' Pivot Tables'!$A$4,7),2)),1,0)</f>
        <v>0</v>
      </c>
      <c r="Y5916" s="6">
        <f>1/COUNTIF(Таблица1[Order ID],Таблица1[[#This Row],[Order ID]])</f>
        <v>1</v>
      </c>
      <c r="Z5916" s="9">
        <f>1/COUNTIFS(Таблица1[Customer Name],Таблица1[[#This Row],[Customer Name]],Таблица1[Order-Year-Month],Таблица1[[#This Row],[Order-Year-Month]])</f>
        <v>1</v>
      </c>
    </row>
    <row r="5917" spans="1:26" x14ac:dyDescent="0.2">
      <c r="A5917" s="6">
        <v>6313</v>
      </c>
      <c r="B5917" s="7">
        <v>44678</v>
      </c>
      <c r="C5917" s="8">
        <f>DATE(2012,12,31)-79</f>
        <v>41195</v>
      </c>
      <c r="D5917" s="8" t="str">
        <f t="shared" si="109"/>
        <v>2012-10 (октябрь 2012)</v>
      </c>
      <c r="E5917" s="9" t="s">
        <v>21</v>
      </c>
      <c r="F5917" s="7">
        <v>36</v>
      </c>
      <c r="G5917" s="7">
        <v>1152.6300000000001</v>
      </c>
      <c r="H5917" s="7">
        <v>0.03</v>
      </c>
      <c r="I5917" s="9" t="s">
        <v>22</v>
      </c>
      <c r="J5917" s="10">
        <v>389.4</v>
      </c>
      <c r="K5917" s="11">
        <v>32.479999999999997</v>
      </c>
      <c r="L5917" s="11">
        <v>7.09</v>
      </c>
      <c r="M5917" s="9" t="s">
        <v>1963</v>
      </c>
      <c r="N5917" s="6" t="s">
        <v>1905</v>
      </c>
      <c r="O5917" s="6" t="s">
        <v>673</v>
      </c>
      <c r="P5917" s="9" t="s">
        <v>25</v>
      </c>
      <c r="Q5917" s="9" t="s">
        <v>49</v>
      </c>
      <c r="R5917" s="9" t="s">
        <v>50</v>
      </c>
      <c r="S5917" s="7" t="s">
        <v>1693</v>
      </c>
      <c r="T5917" s="9" t="s">
        <v>39</v>
      </c>
      <c r="U5917" s="7">
        <v>0.49</v>
      </c>
      <c r="V5917" s="12">
        <f>C5917+0</f>
        <v>41195</v>
      </c>
      <c r="W5917">
        <f>IF(D5917=' Pivot Tables'!$A$4,1,0)</f>
        <v>0</v>
      </c>
      <c r="X5917">
        <f>IF(AND(LEFT(D5917,4)+1=LEFT(' Pivot Tables'!$A$4,4)+0,RIGHT(LEFT(D5917,7),2)=RIGHT(LEFT(' Pivot Tables'!$A$4,7),2)),1,0)</f>
        <v>0</v>
      </c>
      <c r="Y5917" s="6">
        <f>1/COUNTIF(Таблица1[Order ID],Таблица1[[#This Row],[Order ID]])</f>
        <v>0.5</v>
      </c>
      <c r="Z5917" s="9">
        <f>1/COUNTIFS(Таблица1[Customer Name],Таблица1[[#This Row],[Customer Name]],Таблица1[Order-Year-Month],Таблица1[[#This Row],[Order-Year-Month]])</f>
        <v>0.5</v>
      </c>
    </row>
    <row r="5918" spans="1:26" x14ac:dyDescent="0.2">
      <c r="A5918" s="6">
        <v>6314</v>
      </c>
      <c r="B5918" s="7">
        <v>44678</v>
      </c>
      <c r="C5918" s="8">
        <f>DATE(2012,12,31)-79</f>
        <v>41195</v>
      </c>
      <c r="D5918" s="8" t="str">
        <f t="shared" si="109"/>
        <v>2012-10 (октябрь 2012)</v>
      </c>
      <c r="E5918" s="9" t="s">
        <v>21</v>
      </c>
      <c r="F5918" s="7">
        <v>4</v>
      </c>
      <c r="G5918" s="7">
        <v>7.56</v>
      </c>
      <c r="H5918" s="7">
        <v>0.1</v>
      </c>
      <c r="I5918" s="9" t="s">
        <v>22</v>
      </c>
      <c r="J5918" s="10">
        <v>-5.53</v>
      </c>
      <c r="K5918" s="11">
        <v>1.89</v>
      </c>
      <c r="L5918" s="11">
        <v>0.76</v>
      </c>
      <c r="M5918" s="9" t="s">
        <v>1963</v>
      </c>
      <c r="N5918" s="6" t="s">
        <v>1905</v>
      </c>
      <c r="O5918" s="6" t="s">
        <v>673</v>
      </c>
      <c r="P5918" s="9" t="s">
        <v>25</v>
      </c>
      <c r="Q5918" s="9" t="s">
        <v>26</v>
      </c>
      <c r="R5918" s="9" t="s">
        <v>66</v>
      </c>
      <c r="S5918" s="7" t="s">
        <v>177</v>
      </c>
      <c r="T5918" s="9" t="s">
        <v>68</v>
      </c>
      <c r="U5918" s="7">
        <v>0.83</v>
      </c>
      <c r="V5918" s="12">
        <f>C5918+2</f>
        <v>41197</v>
      </c>
      <c r="W5918">
        <f>IF(D5918=' Pivot Tables'!$A$4,1,0)</f>
        <v>0</v>
      </c>
      <c r="X5918">
        <f>IF(AND(LEFT(D5918,4)+1=LEFT(' Pivot Tables'!$A$4,4)+0,RIGHT(LEFT(D5918,7),2)=RIGHT(LEFT(' Pivot Tables'!$A$4,7),2)),1,0)</f>
        <v>0</v>
      </c>
      <c r="Y5918" s="6">
        <f>1/COUNTIF(Таблица1[Order ID],Таблица1[[#This Row],[Order ID]])</f>
        <v>0.5</v>
      </c>
      <c r="Z5918" s="9">
        <f>1/COUNTIFS(Таблица1[Customer Name],Таблица1[[#This Row],[Customer Name]],Таблица1[Order-Year-Month],Таблица1[[#This Row],[Order-Year-Month]])</f>
        <v>0.5</v>
      </c>
    </row>
    <row r="5919" spans="1:26" x14ac:dyDescent="0.2">
      <c r="A5919" s="6">
        <v>6326</v>
      </c>
      <c r="B5919" s="7">
        <v>44805</v>
      </c>
      <c r="C5919" s="8">
        <f>DATE(2012,12,31)-108</f>
        <v>41166</v>
      </c>
      <c r="D5919" s="8" t="str">
        <f t="shared" si="109"/>
        <v>2012-09 (сентябрь 2012)</v>
      </c>
      <c r="E5919" s="9" t="s">
        <v>30</v>
      </c>
      <c r="F5919" s="7">
        <v>40</v>
      </c>
      <c r="G5919" s="7">
        <v>1710.65</v>
      </c>
      <c r="H5919" s="7">
        <v>0.01</v>
      </c>
      <c r="I5919" s="9" t="s">
        <v>22</v>
      </c>
      <c r="J5919" s="10">
        <v>782.00850000000003</v>
      </c>
      <c r="K5919" s="11">
        <v>41.94</v>
      </c>
      <c r="L5919" s="11">
        <v>2.99</v>
      </c>
      <c r="M5919" s="9" t="s">
        <v>1957</v>
      </c>
      <c r="N5919" s="6" t="s">
        <v>1905</v>
      </c>
      <c r="O5919" s="6" t="s">
        <v>673</v>
      </c>
      <c r="P5919" s="9" t="s">
        <v>41</v>
      </c>
      <c r="Q5919" s="9" t="s">
        <v>26</v>
      </c>
      <c r="R5919" s="9" t="s">
        <v>37</v>
      </c>
      <c r="S5919" s="7" t="s">
        <v>369</v>
      </c>
      <c r="T5919" s="9" t="s">
        <v>39</v>
      </c>
      <c r="U5919" s="7">
        <v>0.35</v>
      </c>
      <c r="V5919" s="12">
        <f>C5919+1</f>
        <v>41167</v>
      </c>
      <c r="W5919">
        <f>IF(D5919=' Pivot Tables'!$A$4,1,0)</f>
        <v>0</v>
      </c>
      <c r="X5919">
        <f>IF(AND(LEFT(D5919,4)+1=LEFT(' Pivot Tables'!$A$4,4)+0,RIGHT(LEFT(D5919,7),2)=RIGHT(LEFT(' Pivot Tables'!$A$4,7),2)),1,0)</f>
        <v>0</v>
      </c>
      <c r="Y5919" s="6">
        <f>1/COUNTIF(Таблица1[Order ID],Таблица1[[#This Row],[Order ID]])</f>
        <v>1</v>
      </c>
      <c r="Z5919" s="9">
        <f>1/COUNTIFS(Таблица1[Customer Name],Таблица1[[#This Row],[Customer Name]],Таблица1[Order-Year-Month],Таблица1[[#This Row],[Order-Year-Month]])</f>
        <v>1</v>
      </c>
    </row>
    <row r="5920" spans="1:26" x14ac:dyDescent="0.2">
      <c r="A5920" s="6">
        <v>6335</v>
      </c>
      <c r="B5920" s="7">
        <v>44897</v>
      </c>
      <c r="C5920" s="8">
        <f>DATE(2012,12,31)-1028</f>
        <v>40246</v>
      </c>
      <c r="D5920" s="8" t="str">
        <f t="shared" si="109"/>
        <v>2010-03 (март 2010)</v>
      </c>
      <c r="E5920" s="9" t="s">
        <v>30</v>
      </c>
      <c r="F5920" s="7">
        <v>11</v>
      </c>
      <c r="G5920" s="7">
        <v>85.62</v>
      </c>
      <c r="H5920" s="7">
        <v>7.0000000000000007E-2</v>
      </c>
      <c r="I5920" s="9" t="s">
        <v>22</v>
      </c>
      <c r="J5920" s="10">
        <v>-81.22</v>
      </c>
      <c r="K5920" s="11">
        <v>7.28</v>
      </c>
      <c r="L5920" s="11">
        <v>11.15</v>
      </c>
      <c r="M5920" s="9" t="s">
        <v>1962</v>
      </c>
      <c r="N5920" s="6" t="s">
        <v>1905</v>
      </c>
      <c r="O5920" s="6" t="s">
        <v>673</v>
      </c>
      <c r="P5920" s="9" t="s">
        <v>33</v>
      </c>
      <c r="Q5920" s="9" t="s">
        <v>26</v>
      </c>
      <c r="R5920" s="9" t="s">
        <v>61</v>
      </c>
      <c r="S5920" s="7" t="s">
        <v>666</v>
      </c>
      <c r="T5920" s="9" t="s">
        <v>39</v>
      </c>
      <c r="U5920" s="7">
        <v>0.37</v>
      </c>
      <c r="V5920" s="12">
        <f>C5920+2</f>
        <v>40248</v>
      </c>
      <c r="W5920">
        <f>IF(D5920=' Pivot Tables'!$A$4,1,0)</f>
        <v>0</v>
      </c>
      <c r="X5920">
        <f>IF(AND(LEFT(D5920,4)+1=LEFT(' Pivot Tables'!$A$4,4)+0,RIGHT(LEFT(D5920,7),2)=RIGHT(LEFT(' Pivot Tables'!$A$4,7),2)),1,0)</f>
        <v>0</v>
      </c>
      <c r="Y5920" s="6">
        <f>1/COUNTIF(Таблица1[Order ID],Таблица1[[#This Row],[Order ID]])</f>
        <v>1</v>
      </c>
      <c r="Z5920" s="9">
        <f>1/COUNTIFS(Таблица1[Customer Name],Таблица1[[#This Row],[Customer Name]],Таблица1[Order-Year-Month],Таблица1[[#This Row],[Order-Year-Month]])</f>
        <v>1</v>
      </c>
    </row>
    <row r="5921" spans="1:26" x14ac:dyDescent="0.2">
      <c r="A5921" s="6">
        <v>6610</v>
      </c>
      <c r="B5921" s="7">
        <v>47015</v>
      </c>
      <c r="C5921" s="8">
        <f>DATE(2012,12,31)-687</f>
        <v>40587</v>
      </c>
      <c r="D5921" s="8" t="str">
        <f t="shared" si="109"/>
        <v>2011-02 (февраль 2011)</v>
      </c>
      <c r="E5921" s="9" t="s">
        <v>45</v>
      </c>
      <c r="F5921" s="7">
        <v>19</v>
      </c>
      <c r="G5921" s="7">
        <v>5441.06</v>
      </c>
      <c r="H5921" s="7">
        <v>0.06</v>
      </c>
      <c r="I5921" s="9" t="s">
        <v>31</v>
      </c>
      <c r="J5921" s="10">
        <v>-557.20000000000005</v>
      </c>
      <c r="K5921" s="11">
        <v>286.85000000000002</v>
      </c>
      <c r="L5921" s="11">
        <v>61.76</v>
      </c>
      <c r="M5921" s="9" t="s">
        <v>354</v>
      </c>
      <c r="N5921" s="6" t="s">
        <v>1905</v>
      </c>
      <c r="O5921" s="6" t="s">
        <v>673</v>
      </c>
      <c r="P5921" s="9" t="s">
        <v>41</v>
      </c>
      <c r="Q5921" s="9" t="s">
        <v>49</v>
      </c>
      <c r="R5921" s="9" t="s">
        <v>83</v>
      </c>
      <c r="S5921" s="7" t="s">
        <v>1086</v>
      </c>
      <c r="T5921" s="9" t="s">
        <v>82</v>
      </c>
      <c r="U5921" s="7">
        <v>0.78</v>
      </c>
      <c r="V5921" s="12">
        <f>C5921+1</f>
        <v>40588</v>
      </c>
      <c r="W5921">
        <f>IF(D5921=' Pivot Tables'!$A$4,1,0)</f>
        <v>0</v>
      </c>
      <c r="X5921">
        <f>IF(AND(LEFT(D5921,4)+1=LEFT(' Pivot Tables'!$A$4,4)+0,RIGHT(LEFT(D5921,7),2)=RIGHT(LEFT(' Pivot Tables'!$A$4,7),2)),1,0)</f>
        <v>0</v>
      </c>
      <c r="Y5921" s="6">
        <f>1/COUNTIF(Таблица1[Order ID],Таблица1[[#This Row],[Order ID]])</f>
        <v>1</v>
      </c>
      <c r="Z5921" s="9">
        <f>1/COUNTIFS(Таблица1[Customer Name],Таблица1[[#This Row],[Customer Name]],Таблица1[Order-Year-Month],Таблица1[[#This Row],[Order-Year-Month]])</f>
        <v>1</v>
      </c>
    </row>
    <row r="5922" spans="1:26" x14ac:dyDescent="0.2">
      <c r="A5922" s="6">
        <v>6636</v>
      </c>
      <c r="B5922" s="7">
        <v>47175</v>
      </c>
      <c r="C5922" s="8">
        <f>DATE(2012,12,31)-981</f>
        <v>40293</v>
      </c>
      <c r="D5922" s="8" t="str">
        <f t="shared" si="109"/>
        <v>2010-04 (апрель 2010)</v>
      </c>
      <c r="E5922" s="9" t="s">
        <v>45</v>
      </c>
      <c r="F5922" s="7">
        <v>40</v>
      </c>
      <c r="G5922" s="7">
        <v>70.45</v>
      </c>
      <c r="H5922" s="7">
        <v>0.1</v>
      </c>
      <c r="I5922" s="9" t="s">
        <v>22</v>
      </c>
      <c r="J5922" s="10">
        <v>-2.31</v>
      </c>
      <c r="K5922" s="11">
        <v>1.82</v>
      </c>
      <c r="L5922" s="11">
        <v>1</v>
      </c>
      <c r="M5922" s="9" t="s">
        <v>354</v>
      </c>
      <c r="N5922" s="6" t="s">
        <v>1905</v>
      </c>
      <c r="O5922" s="6" t="s">
        <v>673</v>
      </c>
      <c r="P5922" s="9" t="s">
        <v>41</v>
      </c>
      <c r="Q5922" s="9" t="s">
        <v>26</v>
      </c>
      <c r="R5922" s="9" t="s">
        <v>95</v>
      </c>
      <c r="S5922" s="7" t="s">
        <v>1480</v>
      </c>
      <c r="T5922" s="9" t="s">
        <v>68</v>
      </c>
      <c r="U5922" s="7">
        <v>0.4</v>
      </c>
      <c r="V5922" s="12">
        <f>C5922+1</f>
        <v>40294</v>
      </c>
      <c r="W5922">
        <f>IF(D5922=' Pivot Tables'!$A$4,1,0)</f>
        <v>0</v>
      </c>
      <c r="X5922">
        <f>IF(AND(LEFT(D5922,4)+1=LEFT(' Pivot Tables'!$A$4,4)+0,RIGHT(LEFT(D5922,7),2)=RIGHT(LEFT(' Pivot Tables'!$A$4,7),2)),1,0)</f>
        <v>0</v>
      </c>
      <c r="Y5922" s="6">
        <f>1/COUNTIF(Таблица1[Order ID],Таблица1[[#This Row],[Order ID]])</f>
        <v>1</v>
      </c>
      <c r="Z5922" s="9">
        <f>1/COUNTIFS(Таблица1[Customer Name],Таблица1[[#This Row],[Customer Name]],Таблица1[Order-Year-Month],Таблица1[[#This Row],[Order-Year-Month]])</f>
        <v>0.33333333333333331</v>
      </c>
    </row>
    <row r="5923" spans="1:26" x14ac:dyDescent="0.2">
      <c r="A5923" s="6">
        <v>6638</v>
      </c>
      <c r="B5923" s="7">
        <v>47203</v>
      </c>
      <c r="C5923" s="8">
        <f>DATE(2012,12,31)-1109</f>
        <v>40165</v>
      </c>
      <c r="D5923" s="8" t="str">
        <f t="shared" si="109"/>
        <v>2009-12 (декабрь 2009)</v>
      </c>
      <c r="E5923" s="9" t="s">
        <v>78</v>
      </c>
      <c r="F5923" s="7">
        <v>8</v>
      </c>
      <c r="G5923" s="7">
        <v>129.18</v>
      </c>
      <c r="H5923" s="7">
        <v>0.04</v>
      </c>
      <c r="I5923" s="9" t="s">
        <v>22</v>
      </c>
      <c r="J5923" s="10">
        <v>-30.02</v>
      </c>
      <c r="K5923" s="11">
        <v>15.98</v>
      </c>
      <c r="L5923" s="11">
        <v>4</v>
      </c>
      <c r="M5923" s="9" t="s">
        <v>969</v>
      </c>
      <c r="N5923" s="6" t="s">
        <v>1905</v>
      </c>
      <c r="O5923" s="6" t="s">
        <v>673</v>
      </c>
      <c r="P5923" s="9" t="s">
        <v>41</v>
      </c>
      <c r="Q5923" s="9" t="s">
        <v>42</v>
      </c>
      <c r="R5923" s="9" t="s">
        <v>70</v>
      </c>
      <c r="S5923" s="7" t="s">
        <v>536</v>
      </c>
      <c r="T5923" s="9" t="s">
        <v>39</v>
      </c>
      <c r="U5923" s="7">
        <v>0.37</v>
      </c>
      <c r="V5923" s="12">
        <f>C5923+1</f>
        <v>40166</v>
      </c>
      <c r="W5923">
        <f>IF(D5923=' Pivot Tables'!$A$4,1,0)</f>
        <v>0</v>
      </c>
      <c r="X5923">
        <f>IF(AND(LEFT(D5923,4)+1=LEFT(' Pivot Tables'!$A$4,4)+0,RIGHT(LEFT(D5923,7),2)=RIGHT(LEFT(' Pivot Tables'!$A$4,7),2)),1,0)</f>
        <v>0</v>
      </c>
      <c r="Y5923" s="6">
        <f>1/COUNTIF(Таблица1[Order ID],Таблица1[[#This Row],[Order ID]])</f>
        <v>0.5</v>
      </c>
      <c r="Z5923" s="9">
        <f>1/COUNTIFS(Таблица1[Customer Name],Таблица1[[#This Row],[Customer Name]],Таблица1[Order-Year-Month],Таблица1[[#This Row],[Order-Year-Month]])</f>
        <v>0.5</v>
      </c>
    </row>
    <row r="5924" spans="1:26" x14ac:dyDescent="0.2">
      <c r="A5924" s="6">
        <v>6639</v>
      </c>
      <c r="B5924" s="7">
        <v>47203</v>
      </c>
      <c r="C5924" s="8">
        <f>DATE(2012,12,31)-1109</f>
        <v>40165</v>
      </c>
      <c r="D5924" s="8" t="str">
        <f t="shared" si="109"/>
        <v>2009-12 (декабрь 2009)</v>
      </c>
      <c r="E5924" s="9" t="s">
        <v>78</v>
      </c>
      <c r="F5924" s="7">
        <v>44</v>
      </c>
      <c r="G5924" s="7">
        <v>1016.26</v>
      </c>
      <c r="H5924" s="7">
        <v>0.06</v>
      </c>
      <c r="I5924" s="9" t="s">
        <v>22</v>
      </c>
      <c r="J5924" s="10">
        <v>337.97</v>
      </c>
      <c r="K5924" s="11">
        <v>22.84</v>
      </c>
      <c r="L5924" s="11">
        <v>5.47</v>
      </c>
      <c r="M5924" s="9" t="s">
        <v>969</v>
      </c>
      <c r="N5924" s="6" t="s">
        <v>1905</v>
      </c>
      <c r="O5924" s="6" t="s">
        <v>673</v>
      </c>
      <c r="P5924" s="9" t="s">
        <v>41</v>
      </c>
      <c r="Q5924" s="9" t="s">
        <v>26</v>
      </c>
      <c r="R5924" s="9" t="s">
        <v>61</v>
      </c>
      <c r="S5924" s="7" t="s">
        <v>326</v>
      </c>
      <c r="T5924" s="9" t="s">
        <v>39</v>
      </c>
      <c r="U5924" s="7">
        <v>0.39</v>
      </c>
      <c r="V5924" s="12">
        <f>C5924+2</f>
        <v>40167</v>
      </c>
      <c r="W5924">
        <f>IF(D5924=' Pivot Tables'!$A$4,1,0)</f>
        <v>0</v>
      </c>
      <c r="X5924">
        <f>IF(AND(LEFT(D5924,4)+1=LEFT(' Pivot Tables'!$A$4,4)+0,RIGHT(LEFT(D5924,7),2)=RIGHT(LEFT(' Pivot Tables'!$A$4,7),2)),1,0)</f>
        <v>0</v>
      </c>
      <c r="Y5924" s="6">
        <f>1/COUNTIF(Таблица1[Order ID],Таблица1[[#This Row],[Order ID]])</f>
        <v>0.5</v>
      </c>
      <c r="Z5924" s="9">
        <f>1/COUNTIFS(Таблица1[Customer Name],Таблица1[[#This Row],[Customer Name]],Таблица1[Order-Year-Month],Таблица1[[#This Row],[Order-Year-Month]])</f>
        <v>0.5</v>
      </c>
    </row>
    <row r="5925" spans="1:26" x14ac:dyDescent="0.2">
      <c r="A5925" s="6">
        <v>6646</v>
      </c>
      <c r="B5925" s="7">
        <v>47270</v>
      </c>
      <c r="C5925" s="8">
        <f>DATE(2012,12,31)-882</f>
        <v>40392</v>
      </c>
      <c r="D5925" s="8" t="str">
        <f t="shared" si="109"/>
        <v>2010-08 (август 2010)</v>
      </c>
      <c r="E5925" s="9" t="s">
        <v>78</v>
      </c>
      <c r="F5925" s="7">
        <v>40</v>
      </c>
      <c r="G5925" s="7">
        <v>382.65</v>
      </c>
      <c r="H5925" s="7">
        <v>0.03</v>
      </c>
      <c r="I5925" s="9" t="s">
        <v>56</v>
      </c>
      <c r="J5925" s="10">
        <v>47.61</v>
      </c>
      <c r="K5925" s="11">
        <v>9.27</v>
      </c>
      <c r="L5925" s="11">
        <v>4.3899999999999997</v>
      </c>
      <c r="M5925" s="9" t="s">
        <v>1837</v>
      </c>
      <c r="N5925" s="6" t="s">
        <v>1905</v>
      </c>
      <c r="O5925" s="6" t="s">
        <v>673</v>
      </c>
      <c r="P5925" s="9" t="s">
        <v>60</v>
      </c>
      <c r="Q5925" s="9" t="s">
        <v>26</v>
      </c>
      <c r="R5925" s="9" t="s">
        <v>61</v>
      </c>
      <c r="S5925" s="7" t="s">
        <v>400</v>
      </c>
      <c r="T5925" s="9" t="s">
        <v>68</v>
      </c>
      <c r="U5925" s="7">
        <v>0.38</v>
      </c>
      <c r="V5925" s="12">
        <f>C5925+3</f>
        <v>40395</v>
      </c>
      <c r="W5925">
        <f>IF(D5925=' Pivot Tables'!$A$4,1,0)</f>
        <v>0</v>
      </c>
      <c r="X5925">
        <f>IF(AND(LEFT(D5925,4)+1=LEFT(' Pivot Tables'!$A$4,4)+0,RIGHT(LEFT(D5925,7),2)=RIGHT(LEFT(' Pivot Tables'!$A$4,7),2)),1,0)</f>
        <v>0</v>
      </c>
      <c r="Y5925" s="6">
        <f>1/COUNTIF(Таблица1[Order ID],Таблица1[[#This Row],[Order ID]])</f>
        <v>0.33333333333333331</v>
      </c>
      <c r="Z5925" s="9">
        <f>1/COUNTIFS(Таблица1[Customer Name],Таблица1[[#This Row],[Customer Name]],Таблица1[Order-Year-Month],Таблица1[[#This Row],[Order-Year-Month]])</f>
        <v>0.33333333333333331</v>
      </c>
    </row>
    <row r="5926" spans="1:26" x14ac:dyDescent="0.2">
      <c r="A5926" s="6">
        <v>6647</v>
      </c>
      <c r="B5926" s="7">
        <v>47270</v>
      </c>
      <c r="C5926" s="8">
        <f>DATE(2012,12,31)-882</f>
        <v>40392</v>
      </c>
      <c r="D5926" s="8" t="str">
        <f t="shared" si="109"/>
        <v>2010-08 (август 2010)</v>
      </c>
      <c r="E5926" s="9" t="s">
        <v>78</v>
      </c>
      <c r="F5926" s="7">
        <v>9</v>
      </c>
      <c r="G5926" s="7">
        <v>61</v>
      </c>
      <c r="H5926" s="7">
        <v>0.08</v>
      </c>
      <c r="I5926" s="9" t="s">
        <v>22</v>
      </c>
      <c r="J5926" s="10">
        <v>-34.25</v>
      </c>
      <c r="K5926" s="11">
        <v>6.48</v>
      </c>
      <c r="L5926" s="11">
        <v>6.81</v>
      </c>
      <c r="M5926" s="9" t="s">
        <v>1837</v>
      </c>
      <c r="N5926" s="6" t="s">
        <v>1905</v>
      </c>
      <c r="O5926" s="6" t="s">
        <v>673</v>
      </c>
      <c r="P5926" s="9" t="s">
        <v>60</v>
      </c>
      <c r="Q5926" s="9" t="s">
        <v>26</v>
      </c>
      <c r="R5926" s="9" t="s">
        <v>61</v>
      </c>
      <c r="S5926" s="7" t="s">
        <v>299</v>
      </c>
      <c r="T5926" s="9" t="s">
        <v>39</v>
      </c>
      <c r="U5926" s="7">
        <v>0.36</v>
      </c>
      <c r="V5926" s="12">
        <f>C5926+2</f>
        <v>40394</v>
      </c>
      <c r="W5926">
        <f>IF(D5926=' Pivot Tables'!$A$4,1,0)</f>
        <v>0</v>
      </c>
      <c r="X5926">
        <f>IF(AND(LEFT(D5926,4)+1=LEFT(' Pivot Tables'!$A$4,4)+0,RIGHT(LEFT(D5926,7),2)=RIGHT(LEFT(' Pivot Tables'!$A$4,7),2)),1,0)</f>
        <v>0</v>
      </c>
      <c r="Y5926" s="6">
        <f>1/COUNTIF(Таблица1[Order ID],Таблица1[[#This Row],[Order ID]])</f>
        <v>0.33333333333333331</v>
      </c>
      <c r="Z5926" s="9">
        <f>1/COUNTIFS(Таблица1[Customer Name],Таблица1[[#This Row],[Customer Name]],Таблица1[Order-Year-Month],Таблица1[[#This Row],[Order-Year-Month]])</f>
        <v>0.33333333333333331</v>
      </c>
    </row>
    <row r="5927" spans="1:26" x14ac:dyDescent="0.2">
      <c r="A5927" s="6">
        <v>6648</v>
      </c>
      <c r="B5927" s="7">
        <v>47270</v>
      </c>
      <c r="C5927" s="8">
        <f>DATE(2012,12,31)-882</f>
        <v>40392</v>
      </c>
      <c r="D5927" s="8" t="str">
        <f t="shared" si="109"/>
        <v>2010-08 (август 2010)</v>
      </c>
      <c r="E5927" s="9" t="s">
        <v>78</v>
      </c>
      <c r="F5927" s="7">
        <v>19</v>
      </c>
      <c r="G5927" s="7">
        <v>3559.6129999999998</v>
      </c>
      <c r="H5927" s="7">
        <v>0</v>
      </c>
      <c r="I5927" s="9" t="s">
        <v>22</v>
      </c>
      <c r="J5927" s="10">
        <v>747.73800000000006</v>
      </c>
      <c r="K5927" s="11">
        <v>205.99</v>
      </c>
      <c r="L5927" s="11">
        <v>3</v>
      </c>
      <c r="M5927" s="9" t="s">
        <v>1837</v>
      </c>
      <c r="N5927" s="6" t="s">
        <v>1905</v>
      </c>
      <c r="O5927" s="6" t="s">
        <v>673</v>
      </c>
      <c r="P5927" s="9" t="s">
        <v>60</v>
      </c>
      <c r="Q5927" s="9" t="s">
        <v>42</v>
      </c>
      <c r="R5927" s="9" t="s">
        <v>43</v>
      </c>
      <c r="S5927" s="7" t="s">
        <v>764</v>
      </c>
      <c r="T5927" s="9" t="s">
        <v>39</v>
      </c>
      <c r="U5927" s="7">
        <v>0.57999999999999996</v>
      </c>
      <c r="V5927" s="12">
        <f>C5927+2</f>
        <v>40394</v>
      </c>
      <c r="W5927">
        <f>IF(D5927=' Pivot Tables'!$A$4,1,0)</f>
        <v>0</v>
      </c>
      <c r="X5927">
        <f>IF(AND(LEFT(D5927,4)+1=LEFT(' Pivot Tables'!$A$4,4)+0,RIGHT(LEFT(D5927,7),2)=RIGHT(LEFT(' Pivot Tables'!$A$4,7),2)),1,0)</f>
        <v>0</v>
      </c>
      <c r="Y5927" s="6">
        <f>1/COUNTIF(Таблица1[Order ID],Таблица1[[#This Row],[Order ID]])</f>
        <v>0.33333333333333331</v>
      </c>
      <c r="Z5927" s="9">
        <f>1/COUNTIFS(Таблица1[Customer Name],Таблица1[[#This Row],[Customer Name]],Таблица1[Order-Year-Month],Таблица1[[#This Row],[Order-Year-Month]])</f>
        <v>0.33333333333333331</v>
      </c>
    </row>
    <row r="5928" spans="1:26" x14ac:dyDescent="0.2">
      <c r="A5928" s="6">
        <v>6680</v>
      </c>
      <c r="B5928" s="7">
        <v>47524</v>
      </c>
      <c r="C5928" s="8">
        <f>DATE(2012,12,31)-991</f>
        <v>40283</v>
      </c>
      <c r="D5928" s="8" t="str">
        <f t="shared" si="109"/>
        <v>2010-04 (апрель 2010)</v>
      </c>
      <c r="E5928" s="9" t="s">
        <v>63</v>
      </c>
      <c r="F5928" s="7">
        <v>40</v>
      </c>
      <c r="G5928" s="7">
        <v>245.82</v>
      </c>
      <c r="H5928" s="7">
        <v>0.08</v>
      </c>
      <c r="I5928" s="9" t="s">
        <v>22</v>
      </c>
      <c r="J5928" s="10">
        <v>86.44</v>
      </c>
      <c r="K5928" s="11">
        <v>6.45</v>
      </c>
      <c r="L5928" s="11">
        <v>1.34</v>
      </c>
      <c r="M5928" s="9" t="s">
        <v>354</v>
      </c>
      <c r="N5928" s="6" t="s">
        <v>1905</v>
      </c>
      <c r="O5928" s="6" t="s">
        <v>673</v>
      </c>
      <c r="P5928" s="9" t="s">
        <v>41</v>
      </c>
      <c r="Q5928" s="9" t="s">
        <v>26</v>
      </c>
      <c r="R5928" s="9" t="s">
        <v>61</v>
      </c>
      <c r="S5928" s="7" t="s">
        <v>1039</v>
      </c>
      <c r="T5928" s="9" t="s">
        <v>68</v>
      </c>
      <c r="U5928" s="7">
        <v>0.36</v>
      </c>
      <c r="V5928" s="12">
        <f>C5928+0</f>
        <v>40283</v>
      </c>
      <c r="W5928">
        <f>IF(D5928=' Pivot Tables'!$A$4,1,0)</f>
        <v>0</v>
      </c>
      <c r="X5928">
        <f>IF(AND(LEFT(D5928,4)+1=LEFT(' Pivot Tables'!$A$4,4)+0,RIGHT(LEFT(D5928,7),2)=RIGHT(LEFT(' Pivot Tables'!$A$4,7),2)),1,0)</f>
        <v>0</v>
      </c>
      <c r="Y5928" s="6">
        <f>1/COUNTIF(Таблица1[Order ID],Таблица1[[#This Row],[Order ID]])</f>
        <v>0.5</v>
      </c>
      <c r="Z5928" s="9">
        <f>1/COUNTIFS(Таблица1[Customer Name],Таблица1[[#This Row],[Customer Name]],Таблица1[Order-Year-Month],Таблица1[[#This Row],[Order-Year-Month]])</f>
        <v>0.33333333333333331</v>
      </c>
    </row>
    <row r="5929" spans="1:26" x14ac:dyDescent="0.2">
      <c r="A5929" s="6">
        <v>6748</v>
      </c>
      <c r="B5929" s="7">
        <v>48035</v>
      </c>
      <c r="C5929" s="8">
        <f>DATE(2012,12,31)-1371</f>
        <v>39903</v>
      </c>
      <c r="D5929" s="8" t="str">
        <f t="shared" si="109"/>
        <v>2009-03 (март 2009)</v>
      </c>
      <c r="E5929" s="9" t="s">
        <v>78</v>
      </c>
      <c r="F5929" s="7">
        <v>8</v>
      </c>
      <c r="G5929" s="7">
        <v>155.92400000000001</v>
      </c>
      <c r="H5929" s="7">
        <v>0.09</v>
      </c>
      <c r="I5929" s="9" t="s">
        <v>56</v>
      </c>
      <c r="J5929" s="10">
        <v>-63.118000000000002</v>
      </c>
      <c r="K5929" s="11">
        <v>20.99</v>
      </c>
      <c r="L5929" s="11">
        <v>4.8099999999999996</v>
      </c>
      <c r="M5929" s="9" t="s">
        <v>1956</v>
      </c>
      <c r="N5929" s="6" t="s">
        <v>1905</v>
      </c>
      <c r="O5929" s="6" t="s">
        <v>673</v>
      </c>
      <c r="P5929" s="9" t="s">
        <v>60</v>
      </c>
      <c r="Q5929" s="9" t="s">
        <v>42</v>
      </c>
      <c r="R5929" s="9" t="s">
        <v>43</v>
      </c>
      <c r="S5929" s="7" t="s">
        <v>760</v>
      </c>
      <c r="T5929" s="9" t="s">
        <v>48</v>
      </c>
      <c r="U5929" s="7">
        <v>0.57999999999999996</v>
      </c>
      <c r="V5929" s="12">
        <f>C5929+1</f>
        <v>39904</v>
      </c>
      <c r="W5929">
        <f>IF(D5929=' Pivot Tables'!$A$4,1,0)</f>
        <v>0</v>
      </c>
      <c r="X5929">
        <f>IF(AND(LEFT(D5929,4)+1=LEFT(' Pivot Tables'!$A$4,4)+0,RIGHT(LEFT(D5929,7),2)=RIGHT(LEFT(' Pivot Tables'!$A$4,7),2)),1,0)</f>
        <v>0</v>
      </c>
      <c r="Y5929" s="6">
        <f>1/COUNTIF(Таблица1[Order ID],Таблица1[[#This Row],[Order ID]])</f>
        <v>1</v>
      </c>
      <c r="Z5929" s="9">
        <f>1/COUNTIFS(Таблица1[Customer Name],Таблица1[[#This Row],[Customer Name]],Таблица1[Order-Year-Month],Таблица1[[#This Row],[Order-Year-Month]])</f>
        <v>0.33333333333333331</v>
      </c>
    </row>
    <row r="5930" spans="1:26" x14ac:dyDescent="0.2">
      <c r="A5930" s="6">
        <v>6752</v>
      </c>
      <c r="B5930" s="7">
        <v>48096</v>
      </c>
      <c r="C5930" s="8">
        <f>DATE(2012,12,31)-1298</f>
        <v>39976</v>
      </c>
      <c r="D5930" s="8" t="str">
        <f t="shared" si="109"/>
        <v>2009-06 (июнь 2009)</v>
      </c>
      <c r="E5930" s="9" t="s">
        <v>30</v>
      </c>
      <c r="F5930" s="7">
        <v>3</v>
      </c>
      <c r="G5930" s="7">
        <v>34.229999999999997</v>
      </c>
      <c r="H5930" s="7">
        <v>0.02</v>
      </c>
      <c r="I5930" s="9" t="s">
        <v>56</v>
      </c>
      <c r="J5930" s="10">
        <v>-9.5</v>
      </c>
      <c r="K5930" s="11">
        <v>6.48</v>
      </c>
      <c r="L5930" s="11">
        <v>7.86</v>
      </c>
      <c r="M5930" s="9" t="s">
        <v>1837</v>
      </c>
      <c r="N5930" s="6" t="s">
        <v>1905</v>
      </c>
      <c r="O5930" s="6" t="s">
        <v>673</v>
      </c>
      <c r="P5930" s="9" t="s">
        <v>60</v>
      </c>
      <c r="Q5930" s="9" t="s">
        <v>26</v>
      </c>
      <c r="R5930" s="9" t="s">
        <v>61</v>
      </c>
      <c r="S5930" s="7" t="s">
        <v>153</v>
      </c>
      <c r="T5930" s="9" t="s">
        <v>39</v>
      </c>
      <c r="U5930" s="7">
        <v>0.37</v>
      </c>
      <c r="V5930" s="12">
        <f>C5930+1</f>
        <v>39977</v>
      </c>
      <c r="W5930">
        <f>IF(D5930=' Pivot Tables'!$A$4,1,0)</f>
        <v>0</v>
      </c>
      <c r="X5930">
        <f>IF(AND(LEFT(D5930,4)+1=LEFT(' Pivot Tables'!$A$4,4)+0,RIGHT(LEFT(D5930,7),2)=RIGHT(LEFT(' Pivot Tables'!$A$4,7),2)),1,0)</f>
        <v>0</v>
      </c>
      <c r="Y5930" s="6">
        <f>1/COUNTIF(Таблица1[Order ID],Таблица1[[#This Row],[Order ID]])</f>
        <v>0.5</v>
      </c>
      <c r="Z5930" s="9">
        <f>1/COUNTIFS(Таблица1[Customer Name],Таблица1[[#This Row],[Customer Name]],Таблица1[Order-Year-Month],Таблица1[[#This Row],[Order-Year-Month]])</f>
        <v>0.5</v>
      </c>
    </row>
    <row r="5931" spans="1:26" x14ac:dyDescent="0.2">
      <c r="A5931" s="6">
        <v>6753</v>
      </c>
      <c r="B5931" s="7">
        <v>48096</v>
      </c>
      <c r="C5931" s="8">
        <f>DATE(2012,12,31)-1298</f>
        <v>39976</v>
      </c>
      <c r="D5931" s="8" t="str">
        <f t="shared" si="109"/>
        <v>2009-06 (июнь 2009)</v>
      </c>
      <c r="E5931" s="9" t="s">
        <v>30</v>
      </c>
      <c r="F5931" s="7">
        <v>22</v>
      </c>
      <c r="G5931" s="7">
        <v>383.33</v>
      </c>
      <c r="H5931" s="7">
        <v>0.03</v>
      </c>
      <c r="I5931" s="9" t="s">
        <v>22</v>
      </c>
      <c r="J5931" s="10">
        <v>27.62</v>
      </c>
      <c r="K5931" s="11">
        <v>17.07</v>
      </c>
      <c r="L5931" s="11">
        <v>8.1300000000000008</v>
      </c>
      <c r="M5931" s="9" t="s">
        <v>1837</v>
      </c>
      <c r="N5931" s="6" t="s">
        <v>1905</v>
      </c>
      <c r="O5931" s="6" t="s">
        <v>673</v>
      </c>
      <c r="P5931" s="9" t="s">
        <v>60</v>
      </c>
      <c r="Q5931" s="9" t="s">
        <v>26</v>
      </c>
      <c r="R5931" s="9" t="s">
        <v>76</v>
      </c>
      <c r="S5931" s="7" t="s">
        <v>1330</v>
      </c>
      <c r="T5931" s="9" t="s">
        <v>39</v>
      </c>
      <c r="U5931" s="7">
        <v>0.38</v>
      </c>
      <c r="V5931" s="12">
        <f>C5931+2</f>
        <v>39978</v>
      </c>
      <c r="W5931">
        <f>IF(D5931=' Pivot Tables'!$A$4,1,0)</f>
        <v>0</v>
      </c>
      <c r="X5931">
        <f>IF(AND(LEFT(D5931,4)+1=LEFT(' Pivot Tables'!$A$4,4)+0,RIGHT(LEFT(D5931,7),2)=RIGHT(LEFT(' Pivot Tables'!$A$4,7),2)),1,0)</f>
        <v>0</v>
      </c>
      <c r="Y5931" s="6">
        <f>1/COUNTIF(Таблица1[Order ID],Таблица1[[#This Row],[Order ID]])</f>
        <v>0.5</v>
      </c>
      <c r="Z5931" s="9">
        <f>1/COUNTIFS(Таблица1[Customer Name],Таблица1[[#This Row],[Customer Name]],Таблица1[Order-Year-Month],Таблица1[[#This Row],[Order-Year-Month]])</f>
        <v>0.5</v>
      </c>
    </row>
    <row r="5932" spans="1:26" x14ac:dyDescent="0.2">
      <c r="A5932" s="6">
        <v>6859</v>
      </c>
      <c r="B5932" s="7">
        <v>48868</v>
      </c>
      <c r="C5932" s="8">
        <f>DATE(2012,12,31)-201</f>
        <v>41073</v>
      </c>
      <c r="D5932" s="8" t="str">
        <f t="shared" si="109"/>
        <v>2012-06 (июнь 2012)</v>
      </c>
      <c r="E5932" s="9" t="s">
        <v>45</v>
      </c>
      <c r="F5932" s="7">
        <v>47</v>
      </c>
      <c r="G5932" s="7">
        <v>7647.97</v>
      </c>
      <c r="H5932" s="7">
        <v>0.05</v>
      </c>
      <c r="I5932" s="9" t="s">
        <v>56</v>
      </c>
      <c r="J5932" s="10">
        <v>-1014.01</v>
      </c>
      <c r="K5932" s="11">
        <v>167.27</v>
      </c>
      <c r="L5932" s="11">
        <v>35</v>
      </c>
      <c r="M5932" s="9" t="s">
        <v>1968</v>
      </c>
      <c r="N5932" s="6" t="s">
        <v>1905</v>
      </c>
      <c r="O5932" s="6" t="s">
        <v>673</v>
      </c>
      <c r="P5932" s="9" t="s">
        <v>41</v>
      </c>
      <c r="Q5932" s="9" t="s">
        <v>26</v>
      </c>
      <c r="R5932" s="9" t="s">
        <v>27</v>
      </c>
      <c r="S5932" s="7" t="s">
        <v>978</v>
      </c>
      <c r="T5932" s="9" t="s">
        <v>29</v>
      </c>
      <c r="U5932" s="7">
        <v>0.85</v>
      </c>
      <c r="V5932" s="12">
        <f>C5932+2</f>
        <v>41075</v>
      </c>
      <c r="W5932">
        <f>IF(D5932=' Pivot Tables'!$A$4,1,0)</f>
        <v>0</v>
      </c>
      <c r="X5932">
        <f>IF(AND(LEFT(D5932,4)+1=LEFT(' Pivot Tables'!$A$4,4)+0,RIGHT(LEFT(D5932,7),2)=RIGHT(LEFT(' Pivot Tables'!$A$4,7),2)),1,0)</f>
        <v>0</v>
      </c>
      <c r="Y5932" s="6">
        <f>1/COUNTIF(Таблица1[Order ID],Таблица1[[#This Row],[Order ID]])</f>
        <v>0.5</v>
      </c>
      <c r="Z5932" s="9">
        <f>1/COUNTIFS(Таблица1[Customer Name],Таблица1[[#This Row],[Customer Name]],Таблица1[Order-Year-Month],Таблица1[[#This Row],[Order-Year-Month]])</f>
        <v>0.5</v>
      </c>
    </row>
    <row r="5933" spans="1:26" x14ac:dyDescent="0.2">
      <c r="A5933" s="6">
        <v>6860</v>
      </c>
      <c r="B5933" s="7">
        <v>48868</v>
      </c>
      <c r="C5933" s="8">
        <f>DATE(2012,12,31)-201</f>
        <v>41073</v>
      </c>
      <c r="D5933" s="8" t="str">
        <f t="shared" si="109"/>
        <v>2012-06 (июнь 2012)</v>
      </c>
      <c r="E5933" s="9" t="s">
        <v>45</v>
      </c>
      <c r="F5933" s="7">
        <v>43</v>
      </c>
      <c r="G5933" s="7">
        <v>6861.8545000000004</v>
      </c>
      <c r="H5933" s="7">
        <v>7.0000000000000007E-2</v>
      </c>
      <c r="I5933" s="9" t="s">
        <v>22</v>
      </c>
      <c r="J5933" s="10">
        <v>1754.0819999999999</v>
      </c>
      <c r="K5933" s="11">
        <v>195.99</v>
      </c>
      <c r="L5933" s="11">
        <v>3.99</v>
      </c>
      <c r="M5933" s="9" t="s">
        <v>1968</v>
      </c>
      <c r="N5933" s="6" t="s">
        <v>1905</v>
      </c>
      <c r="O5933" s="6" t="s">
        <v>673</v>
      </c>
      <c r="P5933" s="9" t="s">
        <v>41</v>
      </c>
      <c r="Q5933" s="9" t="s">
        <v>42</v>
      </c>
      <c r="R5933" s="9" t="s">
        <v>43</v>
      </c>
      <c r="S5933" s="7" t="s">
        <v>309</v>
      </c>
      <c r="T5933" s="9" t="s">
        <v>39</v>
      </c>
      <c r="U5933" s="7">
        <v>0.59</v>
      </c>
      <c r="V5933" s="12">
        <f>C5933+1</f>
        <v>41074</v>
      </c>
      <c r="W5933">
        <f>IF(D5933=' Pivot Tables'!$A$4,1,0)</f>
        <v>0</v>
      </c>
      <c r="X5933">
        <f>IF(AND(LEFT(D5933,4)+1=LEFT(' Pivot Tables'!$A$4,4)+0,RIGHT(LEFT(D5933,7),2)=RIGHT(LEFT(' Pivot Tables'!$A$4,7),2)),1,0)</f>
        <v>0</v>
      </c>
      <c r="Y5933" s="6">
        <f>1/COUNTIF(Таблица1[Order ID],Таблица1[[#This Row],[Order ID]])</f>
        <v>0.5</v>
      </c>
      <c r="Z5933" s="9">
        <f>1/COUNTIFS(Таблица1[Customer Name],Таблица1[[#This Row],[Customer Name]],Таблица1[Order-Year-Month],Таблица1[[#This Row],[Order-Year-Month]])</f>
        <v>0.5</v>
      </c>
    </row>
    <row r="5934" spans="1:26" x14ac:dyDescent="0.2">
      <c r="A5934" s="6">
        <v>6955</v>
      </c>
      <c r="B5934" s="7">
        <v>49760</v>
      </c>
      <c r="C5934" s="8">
        <f>DATE(2012,12,31)-457</f>
        <v>40817</v>
      </c>
      <c r="D5934" s="8" t="str">
        <f t="shared" si="109"/>
        <v>2011-10 (октябрь 2011)</v>
      </c>
      <c r="E5934" s="9" t="s">
        <v>63</v>
      </c>
      <c r="F5934" s="7">
        <v>3</v>
      </c>
      <c r="G5934" s="7">
        <v>44.84</v>
      </c>
      <c r="H5934" s="7">
        <v>0.09</v>
      </c>
      <c r="I5934" s="9" t="s">
        <v>22</v>
      </c>
      <c r="J5934" s="10">
        <v>37.74</v>
      </c>
      <c r="K5934" s="11">
        <v>14.2</v>
      </c>
      <c r="L5934" s="11">
        <v>5.3</v>
      </c>
      <c r="M5934" s="9" t="s">
        <v>1837</v>
      </c>
      <c r="N5934" s="6" t="s">
        <v>1905</v>
      </c>
      <c r="O5934" s="6" t="s">
        <v>673</v>
      </c>
      <c r="P5934" s="9" t="s">
        <v>60</v>
      </c>
      <c r="Q5934" s="9" t="s">
        <v>49</v>
      </c>
      <c r="R5934" s="9" t="s">
        <v>50</v>
      </c>
      <c r="S5934" s="7" t="s">
        <v>603</v>
      </c>
      <c r="T5934" s="9" t="s">
        <v>68</v>
      </c>
      <c r="U5934" s="7">
        <v>0.46</v>
      </c>
      <c r="V5934" s="12">
        <f>C5934+1</f>
        <v>40818</v>
      </c>
      <c r="W5934">
        <f>IF(D5934=' Pivot Tables'!$A$4,1,0)</f>
        <v>0</v>
      </c>
      <c r="X5934">
        <f>IF(AND(LEFT(D5934,4)+1=LEFT(' Pivot Tables'!$A$4,4)+0,RIGHT(LEFT(D5934,7),2)=RIGHT(LEFT(' Pivot Tables'!$A$4,7),2)),1,0)</f>
        <v>0</v>
      </c>
      <c r="Y5934" s="6">
        <f>1/COUNTIF(Таблица1[Order ID],Таблица1[[#This Row],[Order ID]])</f>
        <v>0.33333333333333331</v>
      </c>
      <c r="Z5934" s="9">
        <f>1/COUNTIFS(Таблица1[Customer Name],Таблица1[[#This Row],[Customer Name]],Таблица1[Order-Year-Month],Таблица1[[#This Row],[Order-Year-Month]])</f>
        <v>0.33333333333333331</v>
      </c>
    </row>
    <row r="5935" spans="1:26" x14ac:dyDescent="0.2">
      <c r="A5935" s="6">
        <v>6956</v>
      </c>
      <c r="B5935" s="7">
        <v>49760</v>
      </c>
      <c r="C5935" s="8">
        <f>DATE(2012,12,31)-457</f>
        <v>40817</v>
      </c>
      <c r="D5935" s="8" t="str">
        <f t="shared" si="109"/>
        <v>2011-10 (октябрь 2011)</v>
      </c>
      <c r="E5935" s="9" t="s">
        <v>63</v>
      </c>
      <c r="F5935" s="7">
        <v>13</v>
      </c>
      <c r="G5935" s="7">
        <v>1281.1795</v>
      </c>
      <c r="H5935" s="7">
        <v>0.02</v>
      </c>
      <c r="I5935" s="9" t="s">
        <v>22</v>
      </c>
      <c r="J5935" s="10">
        <v>-26.62</v>
      </c>
      <c r="K5935" s="11">
        <v>115.99</v>
      </c>
      <c r="L5935" s="11">
        <v>5.92</v>
      </c>
      <c r="M5935" s="9" t="s">
        <v>1837</v>
      </c>
      <c r="N5935" s="6" t="s">
        <v>1905</v>
      </c>
      <c r="O5935" s="6" t="s">
        <v>673</v>
      </c>
      <c r="P5935" s="9" t="s">
        <v>60</v>
      </c>
      <c r="Q5935" s="9" t="s">
        <v>42</v>
      </c>
      <c r="R5935" s="9" t="s">
        <v>43</v>
      </c>
      <c r="S5935" s="7" t="s">
        <v>977</v>
      </c>
      <c r="T5935" s="9" t="s">
        <v>39</v>
      </c>
      <c r="U5935" s="7">
        <v>0.57999999999999996</v>
      </c>
      <c r="V5935" s="12">
        <f>C5935+2</f>
        <v>40819</v>
      </c>
      <c r="W5935">
        <f>IF(D5935=' Pivot Tables'!$A$4,1,0)</f>
        <v>0</v>
      </c>
      <c r="X5935">
        <f>IF(AND(LEFT(D5935,4)+1=LEFT(' Pivot Tables'!$A$4,4)+0,RIGHT(LEFT(D5935,7),2)=RIGHT(LEFT(' Pivot Tables'!$A$4,7),2)),1,0)</f>
        <v>0</v>
      </c>
      <c r="Y5935" s="6">
        <f>1/COUNTIF(Таблица1[Order ID],Таблица1[[#This Row],[Order ID]])</f>
        <v>0.33333333333333331</v>
      </c>
      <c r="Z5935" s="9">
        <f>1/COUNTIFS(Таблица1[Customer Name],Таблица1[[#This Row],[Customer Name]],Таблица1[Order-Year-Month],Таблица1[[#This Row],[Order-Year-Month]])</f>
        <v>0.33333333333333331</v>
      </c>
    </row>
    <row r="5936" spans="1:26" x14ac:dyDescent="0.2">
      <c r="A5936" s="6">
        <v>6957</v>
      </c>
      <c r="B5936" s="7">
        <v>49760</v>
      </c>
      <c r="C5936" s="8">
        <f>DATE(2012,12,31)-457</f>
        <v>40817</v>
      </c>
      <c r="D5936" s="8" t="str">
        <f t="shared" si="109"/>
        <v>2011-10 (октябрь 2011)</v>
      </c>
      <c r="E5936" s="9" t="s">
        <v>63</v>
      </c>
      <c r="F5936" s="7">
        <v>38</v>
      </c>
      <c r="G5936" s="7">
        <v>710.33</v>
      </c>
      <c r="H5936" s="7">
        <v>0.09</v>
      </c>
      <c r="I5936" s="9" t="s">
        <v>56</v>
      </c>
      <c r="J5936" s="10">
        <v>62.53</v>
      </c>
      <c r="K5936" s="11">
        <v>18.97</v>
      </c>
      <c r="L5936" s="11">
        <v>9.0299999999999994</v>
      </c>
      <c r="M5936" s="9" t="s">
        <v>1837</v>
      </c>
      <c r="N5936" s="6" t="s">
        <v>1905</v>
      </c>
      <c r="O5936" s="6" t="s">
        <v>673</v>
      </c>
      <c r="P5936" s="9" t="s">
        <v>60</v>
      </c>
      <c r="Q5936" s="9" t="s">
        <v>26</v>
      </c>
      <c r="R5936" s="9" t="s">
        <v>61</v>
      </c>
      <c r="S5936" s="7" t="s">
        <v>123</v>
      </c>
      <c r="T5936" s="9" t="s">
        <v>39</v>
      </c>
      <c r="U5936" s="7">
        <v>0.37</v>
      </c>
      <c r="V5936" s="12">
        <f>C5936+2</f>
        <v>40819</v>
      </c>
      <c r="W5936">
        <f>IF(D5936=' Pivot Tables'!$A$4,1,0)</f>
        <v>0</v>
      </c>
      <c r="X5936">
        <f>IF(AND(LEFT(D5936,4)+1=LEFT(' Pivot Tables'!$A$4,4)+0,RIGHT(LEFT(D5936,7),2)=RIGHT(LEFT(' Pivot Tables'!$A$4,7),2)),1,0)</f>
        <v>0</v>
      </c>
      <c r="Y5936" s="6">
        <f>1/COUNTIF(Таблица1[Order ID],Таблица1[[#This Row],[Order ID]])</f>
        <v>0.33333333333333331</v>
      </c>
      <c r="Z5936" s="9">
        <f>1/COUNTIFS(Таблица1[Customer Name],Таблица1[[#This Row],[Customer Name]],Таблица1[Order-Year-Month],Таблица1[[#This Row],[Order-Year-Month]])</f>
        <v>0.33333333333333331</v>
      </c>
    </row>
    <row r="5937" spans="1:26" x14ac:dyDescent="0.2">
      <c r="A5937" s="6">
        <v>6975</v>
      </c>
      <c r="B5937" s="7">
        <v>49830</v>
      </c>
      <c r="C5937" s="8">
        <f>DATE(2012,12,31)-1271</f>
        <v>40003</v>
      </c>
      <c r="D5937" s="8" t="str">
        <f t="shared" si="109"/>
        <v>2009-07 (июль 2009)</v>
      </c>
      <c r="E5937" s="9" t="s">
        <v>78</v>
      </c>
      <c r="F5937" s="7">
        <v>31</v>
      </c>
      <c r="G5937" s="7">
        <v>16949.439999999999</v>
      </c>
      <c r="H5937" s="7">
        <v>0.01</v>
      </c>
      <c r="I5937" s="9" t="s">
        <v>22</v>
      </c>
      <c r="J5937" s="10">
        <v>7858.08</v>
      </c>
      <c r="K5937" s="11">
        <v>525.98</v>
      </c>
      <c r="L5937" s="11">
        <v>19.989999999999998</v>
      </c>
      <c r="M5937" s="9" t="s">
        <v>1812</v>
      </c>
      <c r="N5937" s="6" t="s">
        <v>1905</v>
      </c>
      <c r="O5937" s="6" t="s">
        <v>673</v>
      </c>
      <c r="P5937" s="9" t="s">
        <v>25</v>
      </c>
      <c r="Q5937" s="9" t="s">
        <v>26</v>
      </c>
      <c r="R5937" s="9" t="s">
        <v>37</v>
      </c>
      <c r="S5937" s="7" t="s">
        <v>1704</v>
      </c>
      <c r="T5937" s="9" t="s">
        <v>39</v>
      </c>
      <c r="U5937" s="7">
        <v>0.37</v>
      </c>
      <c r="V5937" s="12">
        <f>C5937+2</f>
        <v>40005</v>
      </c>
      <c r="W5937">
        <f>IF(D5937=' Pivot Tables'!$A$4,1,0)</f>
        <v>0</v>
      </c>
      <c r="X5937">
        <f>IF(AND(LEFT(D5937,4)+1=LEFT(' Pivot Tables'!$A$4,4)+0,RIGHT(LEFT(D5937,7),2)=RIGHT(LEFT(' Pivot Tables'!$A$4,7),2)),1,0)</f>
        <v>0</v>
      </c>
      <c r="Y5937" s="6">
        <f>1/COUNTIF(Таблица1[Order ID],Таблица1[[#This Row],[Order ID]])</f>
        <v>0.5</v>
      </c>
      <c r="Z5937" s="9">
        <f>1/COUNTIFS(Таблица1[Customer Name],Таблица1[[#This Row],[Customer Name]],Таблица1[Order-Year-Month],Таблица1[[#This Row],[Order-Year-Month]])</f>
        <v>0.5</v>
      </c>
    </row>
    <row r="5938" spans="1:26" x14ac:dyDescent="0.2">
      <c r="A5938" s="6">
        <v>7027</v>
      </c>
      <c r="B5938" s="7">
        <v>50147</v>
      </c>
      <c r="C5938" s="8">
        <f>DATE(2012,12,31)-1180</f>
        <v>40094</v>
      </c>
      <c r="D5938" s="8" t="str">
        <f t="shared" si="109"/>
        <v>2009-10 (октябрь 2009)</v>
      </c>
      <c r="E5938" s="9" t="s">
        <v>63</v>
      </c>
      <c r="F5938" s="7">
        <v>42</v>
      </c>
      <c r="G5938" s="7">
        <v>1504.01</v>
      </c>
      <c r="H5938" s="7">
        <v>0.05</v>
      </c>
      <c r="I5938" s="9" t="s">
        <v>22</v>
      </c>
      <c r="J5938" s="10">
        <v>211.04</v>
      </c>
      <c r="K5938" s="11">
        <v>35.89</v>
      </c>
      <c r="L5938" s="11">
        <v>14.72</v>
      </c>
      <c r="M5938" s="9" t="s">
        <v>1837</v>
      </c>
      <c r="N5938" s="6" t="s">
        <v>1905</v>
      </c>
      <c r="O5938" s="6" t="s">
        <v>673</v>
      </c>
      <c r="P5938" s="9" t="s">
        <v>60</v>
      </c>
      <c r="Q5938" s="9" t="s">
        <v>26</v>
      </c>
      <c r="R5938" s="9" t="s">
        <v>76</v>
      </c>
      <c r="S5938" s="7" t="s">
        <v>813</v>
      </c>
      <c r="T5938" s="9" t="s">
        <v>39</v>
      </c>
      <c r="U5938" s="7">
        <v>0.4</v>
      </c>
      <c r="V5938" s="12">
        <f>C5938+1</f>
        <v>40095</v>
      </c>
      <c r="W5938">
        <f>IF(D5938=' Pivot Tables'!$A$4,1,0)</f>
        <v>0</v>
      </c>
      <c r="X5938">
        <f>IF(AND(LEFT(D5938,4)+1=LEFT(' Pivot Tables'!$A$4,4)+0,RIGHT(LEFT(D5938,7),2)=RIGHT(LEFT(' Pivot Tables'!$A$4,7),2)),1,0)</f>
        <v>0</v>
      </c>
      <c r="Y5938" s="6">
        <f>1/COUNTIF(Таблица1[Order ID],Таблица1[[#This Row],[Order ID]])</f>
        <v>0.5</v>
      </c>
      <c r="Z5938" s="9">
        <f>1/COUNTIFS(Таблица1[Customer Name],Таблица1[[#This Row],[Customer Name]],Таблица1[Order-Year-Month],Таблица1[[#This Row],[Order-Year-Month]])</f>
        <v>0.5</v>
      </c>
    </row>
    <row r="5939" spans="1:26" x14ac:dyDescent="0.2">
      <c r="A5939" s="6">
        <v>7028</v>
      </c>
      <c r="B5939" s="7">
        <v>50147</v>
      </c>
      <c r="C5939" s="8">
        <f>DATE(2012,12,31)-1180</f>
        <v>40094</v>
      </c>
      <c r="D5939" s="8" t="str">
        <f t="shared" si="109"/>
        <v>2009-10 (октябрь 2009)</v>
      </c>
      <c r="E5939" s="9" t="s">
        <v>63</v>
      </c>
      <c r="F5939" s="7">
        <v>13</v>
      </c>
      <c r="G5939" s="7">
        <v>163.62</v>
      </c>
      <c r="H5939" s="7">
        <v>0</v>
      </c>
      <c r="I5939" s="9" t="s">
        <v>22</v>
      </c>
      <c r="J5939" s="10">
        <v>16.34</v>
      </c>
      <c r="K5939" s="11">
        <v>11.48</v>
      </c>
      <c r="L5939" s="11">
        <v>5.43</v>
      </c>
      <c r="M5939" s="9" t="s">
        <v>1837</v>
      </c>
      <c r="N5939" s="6" t="s">
        <v>1905</v>
      </c>
      <c r="O5939" s="6" t="s">
        <v>673</v>
      </c>
      <c r="P5939" s="9" t="s">
        <v>60</v>
      </c>
      <c r="Q5939" s="9" t="s">
        <v>26</v>
      </c>
      <c r="R5939" s="9" t="s">
        <v>61</v>
      </c>
      <c r="S5939" s="7" t="s">
        <v>148</v>
      </c>
      <c r="T5939" s="9" t="s">
        <v>39</v>
      </c>
      <c r="U5939" s="7">
        <v>0.36</v>
      </c>
      <c r="V5939" s="12">
        <f>C5939+0</f>
        <v>40094</v>
      </c>
      <c r="W5939">
        <f>IF(D5939=' Pivot Tables'!$A$4,1,0)</f>
        <v>0</v>
      </c>
      <c r="X5939">
        <f>IF(AND(LEFT(D5939,4)+1=LEFT(' Pivot Tables'!$A$4,4)+0,RIGHT(LEFT(D5939,7),2)=RIGHT(LEFT(' Pivot Tables'!$A$4,7),2)),1,0)</f>
        <v>0</v>
      </c>
      <c r="Y5939" s="6">
        <f>1/COUNTIF(Таблица1[Order ID],Таблица1[[#This Row],[Order ID]])</f>
        <v>0.5</v>
      </c>
      <c r="Z5939" s="9">
        <f>1/COUNTIFS(Таблица1[Customer Name],Таблица1[[#This Row],[Customer Name]],Таблица1[Order-Year-Month],Таблица1[[#This Row],[Order-Year-Month]])</f>
        <v>0.5</v>
      </c>
    </row>
    <row r="5940" spans="1:26" x14ac:dyDescent="0.2">
      <c r="A5940" s="6">
        <v>7044</v>
      </c>
      <c r="B5940" s="7">
        <v>50304</v>
      </c>
      <c r="C5940" s="8">
        <f>DATE(2012,12,31)-1065</f>
        <v>40209</v>
      </c>
      <c r="D5940" s="8" t="str">
        <f t="shared" si="109"/>
        <v>2010-01 (январь 2010)</v>
      </c>
      <c r="E5940" s="9" t="s">
        <v>78</v>
      </c>
      <c r="F5940" s="7">
        <v>22</v>
      </c>
      <c r="G5940" s="7">
        <v>887.98</v>
      </c>
      <c r="H5940" s="7">
        <v>0.04</v>
      </c>
      <c r="I5940" s="9" t="s">
        <v>22</v>
      </c>
      <c r="J5940" s="10">
        <v>239.94</v>
      </c>
      <c r="K5940" s="11">
        <v>39.979999999999997</v>
      </c>
      <c r="L5940" s="11">
        <v>9.83</v>
      </c>
      <c r="M5940" s="9" t="s">
        <v>1957</v>
      </c>
      <c r="N5940" s="6" t="s">
        <v>1905</v>
      </c>
      <c r="O5940" s="6" t="s">
        <v>673</v>
      </c>
      <c r="P5940" s="9" t="s">
        <v>41</v>
      </c>
      <c r="Q5940" s="9" t="s">
        <v>26</v>
      </c>
      <c r="R5940" s="9" t="s">
        <v>76</v>
      </c>
      <c r="S5940" s="7" t="s">
        <v>1127</v>
      </c>
      <c r="T5940" s="9" t="s">
        <v>39</v>
      </c>
      <c r="U5940" s="7">
        <v>0.4</v>
      </c>
      <c r="V5940" s="12">
        <f>C5940+2</f>
        <v>40211</v>
      </c>
      <c r="W5940">
        <f>IF(D5940=' Pivot Tables'!$A$4,1,0)</f>
        <v>1</v>
      </c>
      <c r="X5940">
        <f>IF(AND(LEFT(D5940,4)+1=LEFT(' Pivot Tables'!$A$4,4)+0,RIGHT(LEFT(D5940,7),2)=RIGHT(LEFT(' Pivot Tables'!$A$4,7),2)),1,0)</f>
        <v>0</v>
      </c>
      <c r="Y5940" s="6">
        <f>1/COUNTIF(Таблица1[Order ID],Таблица1[[#This Row],[Order ID]])</f>
        <v>0.5</v>
      </c>
      <c r="Z5940" s="9">
        <f>1/COUNTIFS(Таблица1[Customer Name],Таблица1[[#This Row],[Customer Name]],Таблица1[Order-Year-Month],Таблица1[[#This Row],[Order-Year-Month]])</f>
        <v>0.5</v>
      </c>
    </row>
    <row r="5941" spans="1:26" x14ac:dyDescent="0.2">
      <c r="A5941" s="6">
        <v>7045</v>
      </c>
      <c r="B5941" s="7">
        <v>50304</v>
      </c>
      <c r="C5941" s="8">
        <f>DATE(2012,12,31)-1065</f>
        <v>40209</v>
      </c>
      <c r="D5941" s="8" t="str">
        <f t="shared" si="109"/>
        <v>2010-01 (январь 2010)</v>
      </c>
      <c r="E5941" s="9" t="s">
        <v>78</v>
      </c>
      <c r="F5941" s="7">
        <v>3</v>
      </c>
      <c r="G5941" s="7">
        <v>72.459999999999994</v>
      </c>
      <c r="H5941" s="7">
        <v>0.05</v>
      </c>
      <c r="I5941" s="9" t="s">
        <v>31</v>
      </c>
      <c r="J5941" s="10">
        <v>-60.74</v>
      </c>
      <c r="K5941" s="11">
        <v>15.23</v>
      </c>
      <c r="L5941" s="11">
        <v>27.75</v>
      </c>
      <c r="M5941" s="9" t="s">
        <v>1957</v>
      </c>
      <c r="N5941" s="6" t="s">
        <v>1905</v>
      </c>
      <c r="O5941" s="6" t="s">
        <v>673</v>
      </c>
      <c r="P5941" s="9" t="s">
        <v>41</v>
      </c>
      <c r="Q5941" s="9" t="s">
        <v>49</v>
      </c>
      <c r="R5941" s="9" t="s">
        <v>83</v>
      </c>
      <c r="S5941" s="7" t="s">
        <v>1186</v>
      </c>
      <c r="T5941" s="9" t="s">
        <v>82</v>
      </c>
      <c r="U5941" s="7">
        <v>0.76</v>
      </c>
      <c r="V5941" s="12">
        <f>C5941+2</f>
        <v>40211</v>
      </c>
      <c r="W5941">
        <f>IF(D5941=' Pivot Tables'!$A$4,1,0)</f>
        <v>1</v>
      </c>
      <c r="X5941">
        <f>IF(AND(LEFT(D5941,4)+1=LEFT(' Pivot Tables'!$A$4,4)+0,RIGHT(LEFT(D5941,7),2)=RIGHT(LEFT(' Pivot Tables'!$A$4,7),2)),1,0)</f>
        <v>0</v>
      </c>
      <c r="Y5941" s="6">
        <f>1/COUNTIF(Таблица1[Order ID],Таблица1[[#This Row],[Order ID]])</f>
        <v>0.5</v>
      </c>
      <c r="Z5941" s="9">
        <f>1/COUNTIFS(Таблица1[Customer Name],Таблица1[[#This Row],[Customer Name]],Таблица1[Order-Year-Month],Таблица1[[#This Row],[Order-Year-Month]])</f>
        <v>0.5</v>
      </c>
    </row>
    <row r="5942" spans="1:26" x14ac:dyDescent="0.2">
      <c r="A5942" s="6">
        <v>7112</v>
      </c>
      <c r="B5942" s="7">
        <v>50756</v>
      </c>
      <c r="C5942" s="8">
        <f>DATE(2012,12,31)-844</f>
        <v>40430</v>
      </c>
      <c r="D5942" s="8" t="str">
        <f t="shared" si="109"/>
        <v>2010-09 (сентябрь 2010)</v>
      </c>
      <c r="E5942" s="9" t="s">
        <v>45</v>
      </c>
      <c r="F5942" s="7">
        <v>19</v>
      </c>
      <c r="G5942" s="7">
        <v>470.39</v>
      </c>
      <c r="H5942" s="7">
        <v>0.08</v>
      </c>
      <c r="I5942" s="9" t="s">
        <v>22</v>
      </c>
      <c r="J5942" s="10">
        <v>-147.99</v>
      </c>
      <c r="K5942" s="11">
        <v>26.31</v>
      </c>
      <c r="L5942" s="11">
        <v>5.89</v>
      </c>
      <c r="M5942" s="9" t="s">
        <v>1812</v>
      </c>
      <c r="N5942" s="6" t="s">
        <v>1905</v>
      </c>
      <c r="O5942" s="6" t="s">
        <v>673</v>
      </c>
      <c r="P5942" s="9" t="s">
        <v>60</v>
      </c>
      <c r="Q5942" s="9" t="s">
        <v>42</v>
      </c>
      <c r="R5942" s="9" t="s">
        <v>70</v>
      </c>
      <c r="S5942" s="7" t="s">
        <v>420</v>
      </c>
      <c r="T5942" s="9" t="s">
        <v>39</v>
      </c>
      <c r="U5942" s="7">
        <v>0.75</v>
      </c>
      <c r="V5942" s="12">
        <f>C5942+1</f>
        <v>40431</v>
      </c>
      <c r="W5942">
        <f>IF(D5942=' Pivot Tables'!$A$4,1,0)</f>
        <v>0</v>
      </c>
      <c r="X5942">
        <f>IF(AND(LEFT(D5942,4)+1=LEFT(' Pivot Tables'!$A$4,4)+0,RIGHT(LEFT(D5942,7),2)=RIGHT(LEFT(' Pivot Tables'!$A$4,7),2)),1,0)</f>
        <v>0</v>
      </c>
      <c r="Y5942" s="6">
        <f>1/COUNTIF(Таблица1[Order ID],Таблица1[[#This Row],[Order ID]])</f>
        <v>0.5</v>
      </c>
      <c r="Z5942" s="9">
        <f>1/COUNTIFS(Таблица1[Customer Name],Таблица1[[#This Row],[Customer Name]],Таблица1[Order-Year-Month],Таблица1[[#This Row],[Order-Year-Month]])</f>
        <v>0.5</v>
      </c>
    </row>
    <row r="5943" spans="1:26" x14ac:dyDescent="0.2">
      <c r="A5943" s="6">
        <v>7113</v>
      </c>
      <c r="B5943" s="7">
        <v>50756</v>
      </c>
      <c r="C5943" s="8">
        <f>DATE(2012,12,31)-844</f>
        <v>40430</v>
      </c>
      <c r="D5943" s="8" t="str">
        <f t="shared" si="109"/>
        <v>2010-09 (сентябрь 2010)</v>
      </c>
      <c r="E5943" s="9" t="s">
        <v>45</v>
      </c>
      <c r="F5943" s="7">
        <v>2</v>
      </c>
      <c r="G5943" s="7">
        <v>15.04</v>
      </c>
      <c r="H5943" s="7">
        <v>0.02</v>
      </c>
      <c r="I5943" s="9" t="s">
        <v>22</v>
      </c>
      <c r="J5943" s="10">
        <v>-6.12</v>
      </c>
      <c r="K5943" s="11">
        <v>7.31</v>
      </c>
      <c r="L5943" s="11">
        <v>0.49</v>
      </c>
      <c r="M5943" s="9" t="s">
        <v>1812</v>
      </c>
      <c r="N5943" s="6" t="s">
        <v>1905</v>
      </c>
      <c r="O5943" s="6" t="s">
        <v>673</v>
      </c>
      <c r="P5943" s="9" t="s">
        <v>60</v>
      </c>
      <c r="Q5943" s="9" t="s">
        <v>26</v>
      </c>
      <c r="R5943" s="9" t="s">
        <v>88</v>
      </c>
      <c r="S5943" s="7" t="s">
        <v>107</v>
      </c>
      <c r="T5943" s="9" t="s">
        <v>39</v>
      </c>
      <c r="U5943" s="7">
        <v>0.38</v>
      </c>
      <c r="V5943" s="12">
        <f>C5943+0</f>
        <v>40430</v>
      </c>
      <c r="W5943">
        <f>IF(D5943=' Pivot Tables'!$A$4,1,0)</f>
        <v>0</v>
      </c>
      <c r="X5943">
        <f>IF(AND(LEFT(D5943,4)+1=LEFT(' Pivot Tables'!$A$4,4)+0,RIGHT(LEFT(D5943,7),2)=RIGHT(LEFT(' Pivot Tables'!$A$4,7),2)),1,0)</f>
        <v>0</v>
      </c>
      <c r="Y5943" s="6">
        <f>1/COUNTIF(Таблица1[Order ID],Таблица1[[#This Row],[Order ID]])</f>
        <v>0.5</v>
      </c>
      <c r="Z5943" s="9">
        <f>1/COUNTIFS(Таблица1[Customer Name],Таблица1[[#This Row],[Customer Name]],Таблица1[Order-Year-Month],Таблица1[[#This Row],[Order-Year-Month]])</f>
        <v>0.5</v>
      </c>
    </row>
    <row r="5944" spans="1:26" x14ac:dyDescent="0.2">
      <c r="A5944" s="6">
        <v>7173</v>
      </c>
      <c r="B5944" s="7">
        <v>51201</v>
      </c>
      <c r="C5944" s="8">
        <f>DATE(2012,12,31)-381</f>
        <v>40893</v>
      </c>
      <c r="D5944" s="8" t="str">
        <f t="shared" si="109"/>
        <v>2011-12 (декабрь 2011)</v>
      </c>
      <c r="E5944" s="9" t="s">
        <v>30</v>
      </c>
      <c r="F5944" s="7">
        <v>42</v>
      </c>
      <c r="G5944" s="7">
        <v>312.05</v>
      </c>
      <c r="H5944" s="7">
        <v>0.04</v>
      </c>
      <c r="I5944" s="9" t="s">
        <v>22</v>
      </c>
      <c r="J5944" s="10">
        <v>-342.37800000000004</v>
      </c>
      <c r="K5944" s="11">
        <v>7.38</v>
      </c>
      <c r="L5944" s="11">
        <v>11.51</v>
      </c>
      <c r="M5944" s="9" t="s">
        <v>1957</v>
      </c>
      <c r="N5944" s="6" t="s">
        <v>1905</v>
      </c>
      <c r="O5944" s="6" t="s">
        <v>673</v>
      </c>
      <c r="P5944" s="9" t="s">
        <v>41</v>
      </c>
      <c r="Q5944" s="9" t="s">
        <v>26</v>
      </c>
      <c r="R5944" s="9" t="s">
        <v>37</v>
      </c>
      <c r="S5944" s="7" t="s">
        <v>1685</v>
      </c>
      <c r="T5944" s="9" t="s">
        <v>39</v>
      </c>
      <c r="U5944" s="7">
        <v>0.36</v>
      </c>
      <c r="V5944" s="12">
        <f>C5944+0</f>
        <v>40893</v>
      </c>
      <c r="W5944">
        <f>IF(D5944=' Pivot Tables'!$A$4,1,0)</f>
        <v>0</v>
      </c>
      <c r="X5944">
        <f>IF(AND(LEFT(D5944,4)+1=LEFT(' Pivot Tables'!$A$4,4)+0,RIGHT(LEFT(D5944,7),2)=RIGHT(LEFT(' Pivot Tables'!$A$4,7),2)),1,0)</f>
        <v>0</v>
      </c>
      <c r="Y5944" s="6">
        <f>1/COUNTIF(Таблица1[Order ID],Таблица1[[#This Row],[Order ID]])</f>
        <v>1</v>
      </c>
      <c r="Z5944" s="9">
        <f>1/COUNTIFS(Таблица1[Customer Name],Таблица1[[#This Row],[Customer Name]],Таблица1[Order-Year-Month],Таблица1[[#This Row],[Order-Year-Month]])</f>
        <v>1</v>
      </c>
    </row>
    <row r="5945" spans="1:26" x14ac:dyDescent="0.2">
      <c r="A5945" s="6">
        <v>7227</v>
      </c>
      <c r="B5945" s="7">
        <v>51554</v>
      </c>
      <c r="C5945" s="8">
        <f>DATE(2012,12,31)-1376</f>
        <v>39898</v>
      </c>
      <c r="D5945" s="8" t="str">
        <f t="shared" si="109"/>
        <v>2009-03 (март 2009)</v>
      </c>
      <c r="E5945" s="9" t="s">
        <v>63</v>
      </c>
      <c r="F5945" s="7">
        <v>7</v>
      </c>
      <c r="G5945" s="7">
        <v>545.04</v>
      </c>
      <c r="H5945" s="7">
        <v>0.05</v>
      </c>
      <c r="I5945" s="9" t="s">
        <v>31</v>
      </c>
      <c r="J5945" s="10">
        <v>-210.06</v>
      </c>
      <c r="K5945" s="11">
        <v>68.81</v>
      </c>
      <c r="L5945" s="11">
        <v>60</v>
      </c>
      <c r="M5945" s="9" t="s">
        <v>1956</v>
      </c>
      <c r="N5945" s="6" t="s">
        <v>1905</v>
      </c>
      <c r="O5945" s="6" t="s">
        <v>673</v>
      </c>
      <c r="P5945" s="9" t="s">
        <v>60</v>
      </c>
      <c r="Q5945" s="9" t="s">
        <v>26</v>
      </c>
      <c r="R5945" s="9" t="s">
        <v>34</v>
      </c>
      <c r="S5945" s="7" t="s">
        <v>605</v>
      </c>
      <c r="T5945" s="9" t="s">
        <v>36</v>
      </c>
      <c r="U5945" s="7">
        <v>0.41</v>
      </c>
      <c r="V5945" s="12">
        <f>C5945+2</f>
        <v>39900</v>
      </c>
      <c r="W5945">
        <f>IF(D5945=' Pivot Tables'!$A$4,1,0)</f>
        <v>0</v>
      </c>
      <c r="X5945">
        <f>IF(AND(LEFT(D5945,4)+1=LEFT(' Pivot Tables'!$A$4,4)+0,RIGHT(LEFT(D5945,7),2)=RIGHT(LEFT(' Pivot Tables'!$A$4,7),2)),1,0)</f>
        <v>0</v>
      </c>
      <c r="Y5945" s="6">
        <f>1/COUNTIF(Таблица1[Order ID],Таблица1[[#This Row],[Order ID]])</f>
        <v>0.5</v>
      </c>
      <c r="Z5945" s="9">
        <f>1/COUNTIFS(Таблица1[Customer Name],Таблица1[[#This Row],[Customer Name]],Таблица1[Order-Year-Month],Таблица1[[#This Row],[Order-Year-Month]])</f>
        <v>0.33333333333333331</v>
      </c>
    </row>
    <row r="5946" spans="1:26" x14ac:dyDescent="0.2">
      <c r="A5946" s="6">
        <v>7228</v>
      </c>
      <c r="B5946" s="7">
        <v>51554</v>
      </c>
      <c r="C5946" s="8">
        <f>DATE(2012,12,31)-1376</f>
        <v>39898</v>
      </c>
      <c r="D5946" s="8" t="str">
        <f t="shared" si="109"/>
        <v>2009-03 (март 2009)</v>
      </c>
      <c r="E5946" s="9" t="s">
        <v>63</v>
      </c>
      <c r="F5946" s="7">
        <v>29</v>
      </c>
      <c r="G5946" s="7">
        <v>606.91</v>
      </c>
      <c r="H5946" s="7">
        <v>0.09</v>
      </c>
      <c r="I5946" s="9" t="s">
        <v>22</v>
      </c>
      <c r="J5946" s="10">
        <v>-271.77</v>
      </c>
      <c r="K5946" s="11">
        <v>20.89</v>
      </c>
      <c r="L5946" s="11">
        <v>11.52</v>
      </c>
      <c r="M5946" s="9" t="s">
        <v>1956</v>
      </c>
      <c r="N5946" s="6" t="s">
        <v>1905</v>
      </c>
      <c r="O5946" s="6" t="s">
        <v>673</v>
      </c>
      <c r="P5946" s="9" t="s">
        <v>60</v>
      </c>
      <c r="Q5946" s="9" t="s">
        <v>26</v>
      </c>
      <c r="R5946" s="9" t="s">
        <v>27</v>
      </c>
      <c r="S5946" s="7" t="s">
        <v>1041</v>
      </c>
      <c r="T5946" s="9" t="s">
        <v>39</v>
      </c>
      <c r="U5946" s="7">
        <v>0.83</v>
      </c>
      <c r="V5946" s="12">
        <f>C5946+1</f>
        <v>39899</v>
      </c>
      <c r="W5946">
        <f>IF(D5946=' Pivot Tables'!$A$4,1,0)</f>
        <v>0</v>
      </c>
      <c r="X5946">
        <f>IF(AND(LEFT(D5946,4)+1=LEFT(' Pivot Tables'!$A$4,4)+0,RIGHT(LEFT(D5946,7),2)=RIGHT(LEFT(' Pivot Tables'!$A$4,7),2)),1,0)</f>
        <v>0</v>
      </c>
      <c r="Y5946" s="6">
        <f>1/COUNTIF(Таблица1[Order ID],Таблица1[[#This Row],[Order ID]])</f>
        <v>0.5</v>
      </c>
      <c r="Z5946" s="9">
        <f>1/COUNTIFS(Таблица1[Customer Name],Таблица1[[#This Row],[Customer Name]],Таблица1[Order-Year-Month],Таблица1[[#This Row],[Order-Year-Month]])</f>
        <v>0.33333333333333331</v>
      </c>
    </row>
    <row r="5947" spans="1:26" x14ac:dyDescent="0.2">
      <c r="A5947" s="6">
        <v>7325</v>
      </c>
      <c r="B5947" s="7">
        <v>52197</v>
      </c>
      <c r="C5947" s="8">
        <f>DATE(2012,12,31)-149</f>
        <v>41125</v>
      </c>
      <c r="D5947" s="8" t="str">
        <f t="shared" si="109"/>
        <v>2012-08 (август 2012)</v>
      </c>
      <c r="E5947" s="9" t="s">
        <v>78</v>
      </c>
      <c r="F5947" s="7">
        <v>23</v>
      </c>
      <c r="G5947" s="7">
        <v>91.94</v>
      </c>
      <c r="H5947" s="7">
        <v>0.01</v>
      </c>
      <c r="I5947" s="9" t="s">
        <v>22</v>
      </c>
      <c r="J5947" s="10">
        <v>-10.11</v>
      </c>
      <c r="K5947" s="11">
        <v>3.95</v>
      </c>
      <c r="L5947" s="11">
        <v>2</v>
      </c>
      <c r="M5947" s="9" t="s">
        <v>1960</v>
      </c>
      <c r="N5947" s="6" t="s">
        <v>1905</v>
      </c>
      <c r="O5947" s="6" t="s">
        <v>673</v>
      </c>
      <c r="P5947" s="9" t="s">
        <v>41</v>
      </c>
      <c r="Q5947" s="9" t="s">
        <v>26</v>
      </c>
      <c r="R5947" s="9" t="s">
        <v>66</v>
      </c>
      <c r="S5947" s="7" t="s">
        <v>67</v>
      </c>
      <c r="T5947" s="9" t="s">
        <v>68</v>
      </c>
      <c r="U5947" s="7">
        <v>0.53</v>
      </c>
      <c r="V5947" s="12">
        <f>C5947+1</f>
        <v>41126</v>
      </c>
      <c r="W5947">
        <f>IF(D5947=' Pivot Tables'!$A$4,1,0)</f>
        <v>0</v>
      </c>
      <c r="X5947">
        <f>IF(AND(LEFT(D5947,4)+1=LEFT(' Pivot Tables'!$A$4,4)+0,RIGHT(LEFT(D5947,7),2)=RIGHT(LEFT(' Pivot Tables'!$A$4,7),2)),1,0)</f>
        <v>0</v>
      </c>
      <c r="Y5947" s="6">
        <f>1/COUNTIF(Таблица1[Order ID],Таблица1[[#This Row],[Order ID]])</f>
        <v>0.5</v>
      </c>
      <c r="Z5947" s="9">
        <f>1/COUNTIFS(Таблица1[Customer Name],Таблица1[[#This Row],[Customer Name]],Таблица1[Order-Year-Month],Таблица1[[#This Row],[Order-Year-Month]])</f>
        <v>0.5</v>
      </c>
    </row>
    <row r="5948" spans="1:26" x14ac:dyDescent="0.2">
      <c r="A5948" s="6">
        <v>7326</v>
      </c>
      <c r="B5948" s="7">
        <v>52197</v>
      </c>
      <c r="C5948" s="8">
        <f>DATE(2012,12,31)-149</f>
        <v>41125</v>
      </c>
      <c r="D5948" s="8" t="str">
        <f t="shared" si="109"/>
        <v>2012-08 (август 2012)</v>
      </c>
      <c r="E5948" s="9" t="s">
        <v>78</v>
      </c>
      <c r="F5948" s="7">
        <v>6</v>
      </c>
      <c r="G5948" s="7">
        <v>377.03</v>
      </c>
      <c r="H5948" s="7">
        <v>0.06</v>
      </c>
      <c r="I5948" s="9" t="s">
        <v>22</v>
      </c>
      <c r="J5948" s="10">
        <v>-78.819999999999993</v>
      </c>
      <c r="K5948" s="11">
        <v>64.98</v>
      </c>
      <c r="L5948" s="11">
        <v>6.88</v>
      </c>
      <c r="M5948" s="9" t="s">
        <v>1960</v>
      </c>
      <c r="N5948" s="6" t="s">
        <v>1905</v>
      </c>
      <c r="O5948" s="6" t="s">
        <v>673</v>
      </c>
      <c r="P5948" s="9" t="s">
        <v>41</v>
      </c>
      <c r="Q5948" s="9" t="s">
        <v>26</v>
      </c>
      <c r="R5948" s="9" t="s">
        <v>27</v>
      </c>
      <c r="S5948" s="7" t="s">
        <v>519</v>
      </c>
      <c r="T5948" s="9" t="s">
        <v>39</v>
      </c>
      <c r="U5948" s="7">
        <v>0.73</v>
      </c>
      <c r="V5948" s="12">
        <f>C5948+2</f>
        <v>41127</v>
      </c>
      <c r="W5948">
        <f>IF(D5948=' Pivot Tables'!$A$4,1,0)</f>
        <v>0</v>
      </c>
      <c r="X5948">
        <f>IF(AND(LEFT(D5948,4)+1=LEFT(' Pivot Tables'!$A$4,4)+0,RIGHT(LEFT(D5948,7),2)=RIGHT(LEFT(' Pivot Tables'!$A$4,7),2)),1,0)</f>
        <v>0</v>
      </c>
      <c r="Y5948" s="6">
        <f>1/COUNTIF(Таблица1[Order ID],Таблица1[[#This Row],[Order ID]])</f>
        <v>0.5</v>
      </c>
      <c r="Z5948" s="9">
        <f>1/COUNTIFS(Таблица1[Customer Name],Таблица1[[#This Row],[Customer Name]],Таблица1[Order-Year-Month],Таблица1[[#This Row],[Order-Year-Month]])</f>
        <v>0.5</v>
      </c>
    </row>
    <row r="5949" spans="1:26" x14ac:dyDescent="0.2">
      <c r="A5949" s="6">
        <v>7380</v>
      </c>
      <c r="B5949" s="7">
        <v>52615</v>
      </c>
      <c r="C5949" s="8">
        <f>DATE(2012,12,31)-1169</f>
        <v>40105</v>
      </c>
      <c r="D5949" s="8" t="str">
        <f t="shared" si="109"/>
        <v>2009-10 (октябрь 2009)</v>
      </c>
      <c r="E5949" s="9" t="s">
        <v>21</v>
      </c>
      <c r="F5949" s="7">
        <v>4</v>
      </c>
      <c r="G5949" s="7">
        <v>67.22</v>
      </c>
      <c r="H5949" s="7">
        <v>0.05</v>
      </c>
      <c r="I5949" s="9" t="s">
        <v>22</v>
      </c>
      <c r="J5949" s="10">
        <v>-139.53</v>
      </c>
      <c r="K5949" s="11">
        <v>4.4800000000000004</v>
      </c>
      <c r="L5949" s="11">
        <v>49</v>
      </c>
      <c r="M5949" s="9" t="s">
        <v>1956</v>
      </c>
      <c r="N5949" s="6" t="s">
        <v>1905</v>
      </c>
      <c r="O5949" s="6" t="s">
        <v>673</v>
      </c>
      <c r="P5949" s="9" t="s">
        <v>41</v>
      </c>
      <c r="Q5949" s="9" t="s">
        <v>26</v>
      </c>
      <c r="R5949" s="9" t="s">
        <v>34</v>
      </c>
      <c r="S5949" s="7" t="s">
        <v>128</v>
      </c>
      <c r="T5949" s="9" t="s">
        <v>29</v>
      </c>
      <c r="U5949" s="7">
        <v>0.6</v>
      </c>
      <c r="V5949" s="12">
        <f>C5949+4</f>
        <v>40109</v>
      </c>
      <c r="W5949">
        <f>IF(D5949=' Pivot Tables'!$A$4,1,0)</f>
        <v>0</v>
      </c>
      <c r="X5949">
        <f>IF(AND(LEFT(D5949,4)+1=LEFT(' Pivot Tables'!$A$4,4)+0,RIGHT(LEFT(D5949,7),2)=RIGHT(LEFT(' Pivot Tables'!$A$4,7),2)),1,0)</f>
        <v>0</v>
      </c>
      <c r="Y5949" s="6">
        <f>1/COUNTIF(Таблица1[Order ID],Таблица1[[#This Row],[Order ID]])</f>
        <v>0.5</v>
      </c>
      <c r="Z5949" s="9">
        <f>1/COUNTIFS(Таблица1[Customer Name],Таблица1[[#This Row],[Customer Name]],Таблица1[Order-Year-Month],Таблица1[[#This Row],[Order-Year-Month]])</f>
        <v>0.5</v>
      </c>
    </row>
    <row r="5950" spans="1:26" x14ac:dyDescent="0.2">
      <c r="A5950" s="6">
        <v>7381</v>
      </c>
      <c r="B5950" s="7">
        <v>52615</v>
      </c>
      <c r="C5950" s="8">
        <f>DATE(2012,12,31)-1169</f>
        <v>40105</v>
      </c>
      <c r="D5950" s="8" t="str">
        <f t="shared" si="109"/>
        <v>2009-10 (октябрь 2009)</v>
      </c>
      <c r="E5950" s="9" t="s">
        <v>21</v>
      </c>
      <c r="F5950" s="7">
        <v>18</v>
      </c>
      <c r="G5950" s="7">
        <v>76.849999999999994</v>
      </c>
      <c r="H5950" s="7">
        <v>0.1</v>
      </c>
      <c r="I5950" s="9" t="s">
        <v>22</v>
      </c>
      <c r="J5950" s="10">
        <v>-64.078000000000003</v>
      </c>
      <c r="K5950" s="11">
        <v>4.24</v>
      </c>
      <c r="L5950" s="11">
        <v>5.41</v>
      </c>
      <c r="M5950" s="9" t="s">
        <v>1956</v>
      </c>
      <c r="N5950" s="6" t="s">
        <v>1905</v>
      </c>
      <c r="O5950" s="6" t="s">
        <v>673</v>
      </c>
      <c r="P5950" s="9" t="s">
        <v>41</v>
      </c>
      <c r="Q5950" s="9" t="s">
        <v>26</v>
      </c>
      <c r="R5950" s="9" t="s">
        <v>37</v>
      </c>
      <c r="S5950" s="7" t="s">
        <v>873</v>
      </c>
      <c r="T5950" s="9" t="s">
        <v>39</v>
      </c>
      <c r="U5950" s="7">
        <v>0.35</v>
      </c>
      <c r="V5950" s="12">
        <f>C5950+4</f>
        <v>40109</v>
      </c>
      <c r="W5950">
        <f>IF(D5950=' Pivot Tables'!$A$4,1,0)</f>
        <v>0</v>
      </c>
      <c r="X5950">
        <f>IF(AND(LEFT(D5950,4)+1=LEFT(' Pivot Tables'!$A$4,4)+0,RIGHT(LEFT(D5950,7),2)=RIGHT(LEFT(' Pivot Tables'!$A$4,7),2)),1,0)</f>
        <v>0</v>
      </c>
      <c r="Y5950" s="6">
        <f>1/COUNTIF(Таблица1[Order ID],Таблица1[[#This Row],[Order ID]])</f>
        <v>0.5</v>
      </c>
      <c r="Z5950" s="9">
        <f>1/COUNTIFS(Таблица1[Customer Name],Таблица1[[#This Row],[Customer Name]],Таблица1[Order-Year-Month],Таблица1[[#This Row],[Order-Year-Month]])</f>
        <v>0.5</v>
      </c>
    </row>
    <row r="5951" spans="1:26" x14ac:dyDescent="0.2">
      <c r="A5951" s="6">
        <v>7395</v>
      </c>
      <c r="B5951" s="7">
        <v>52678</v>
      </c>
      <c r="C5951" s="8">
        <f>DATE(2012,12,31)-155</f>
        <v>41119</v>
      </c>
      <c r="D5951" s="8" t="str">
        <f t="shared" si="109"/>
        <v>2012-07 (июль 2012)</v>
      </c>
      <c r="E5951" s="9" t="s">
        <v>30</v>
      </c>
      <c r="F5951" s="7">
        <v>3</v>
      </c>
      <c r="G5951" s="7">
        <v>112.79</v>
      </c>
      <c r="H5951" s="7">
        <v>0.06</v>
      </c>
      <c r="I5951" s="9" t="s">
        <v>31</v>
      </c>
      <c r="J5951" s="10">
        <v>-95.39</v>
      </c>
      <c r="K5951" s="11">
        <v>20.98</v>
      </c>
      <c r="L5951" s="11">
        <v>53.03</v>
      </c>
      <c r="M5951" s="9" t="s">
        <v>1957</v>
      </c>
      <c r="N5951" s="6" t="s">
        <v>1905</v>
      </c>
      <c r="O5951" s="6" t="s">
        <v>673</v>
      </c>
      <c r="P5951" s="9" t="s">
        <v>41</v>
      </c>
      <c r="Q5951" s="9" t="s">
        <v>26</v>
      </c>
      <c r="R5951" s="9" t="s">
        <v>27</v>
      </c>
      <c r="S5951" s="7" t="s">
        <v>218</v>
      </c>
      <c r="T5951" s="9" t="s">
        <v>36</v>
      </c>
      <c r="U5951" s="7">
        <v>0.78</v>
      </c>
      <c r="V5951" s="12">
        <f>C5951+2</f>
        <v>41121</v>
      </c>
      <c r="W5951">
        <f>IF(D5951=' Pivot Tables'!$A$4,1,0)</f>
        <v>0</v>
      </c>
      <c r="X5951">
        <f>IF(AND(LEFT(D5951,4)+1=LEFT(' Pivot Tables'!$A$4,4)+0,RIGHT(LEFT(D5951,7),2)=RIGHT(LEFT(' Pivot Tables'!$A$4,7),2)),1,0)</f>
        <v>0</v>
      </c>
      <c r="Y5951" s="6">
        <f>1/COUNTIF(Таблица1[Order ID],Таблица1[[#This Row],[Order ID]])</f>
        <v>1</v>
      </c>
      <c r="Z5951" s="9">
        <f>1/COUNTIFS(Таблица1[Customer Name],Таблица1[[#This Row],[Customer Name]],Таблица1[Order-Year-Month],Таблица1[[#This Row],[Order-Year-Month]])</f>
        <v>1</v>
      </c>
    </row>
    <row r="5952" spans="1:26" x14ac:dyDescent="0.2">
      <c r="A5952" s="6">
        <v>7770</v>
      </c>
      <c r="B5952" s="7">
        <v>55621</v>
      </c>
      <c r="C5952" s="8">
        <f>DATE(2012,12,31)-657</f>
        <v>40617</v>
      </c>
      <c r="D5952" s="8" t="str">
        <f t="shared" si="109"/>
        <v>2011-03 (март 2011)</v>
      </c>
      <c r="E5952" s="9" t="s">
        <v>21</v>
      </c>
      <c r="F5952" s="7">
        <v>50</v>
      </c>
      <c r="G5952" s="7">
        <v>6356.68</v>
      </c>
      <c r="H5952" s="7">
        <v>0.03</v>
      </c>
      <c r="I5952" s="9" t="s">
        <v>22</v>
      </c>
      <c r="J5952" s="10">
        <v>1812.86</v>
      </c>
      <c r="K5952" s="11">
        <v>128.24</v>
      </c>
      <c r="L5952" s="11">
        <v>12.65</v>
      </c>
      <c r="M5952" s="9" t="s">
        <v>949</v>
      </c>
      <c r="N5952" s="6" t="s">
        <v>1905</v>
      </c>
      <c r="O5952" s="6" t="s">
        <v>673</v>
      </c>
      <c r="P5952" s="9" t="s">
        <v>60</v>
      </c>
      <c r="Q5952" s="9" t="s">
        <v>49</v>
      </c>
      <c r="R5952" s="9" t="s">
        <v>112</v>
      </c>
      <c r="S5952" s="7" t="s">
        <v>545</v>
      </c>
      <c r="T5952" s="9" t="s">
        <v>48</v>
      </c>
      <c r="U5952" s="7"/>
      <c r="V5952" s="12">
        <f>C5952+2</f>
        <v>40619</v>
      </c>
      <c r="W5952">
        <f>IF(D5952=' Pivot Tables'!$A$4,1,0)</f>
        <v>0</v>
      </c>
      <c r="X5952">
        <f>IF(AND(LEFT(D5952,4)+1=LEFT(' Pivot Tables'!$A$4,4)+0,RIGHT(LEFT(D5952,7),2)=RIGHT(LEFT(' Pivot Tables'!$A$4,7),2)),1,0)</f>
        <v>0</v>
      </c>
      <c r="Y5952" s="6">
        <f>1/COUNTIF(Таблица1[Order ID],Таблица1[[#This Row],[Order ID]])</f>
        <v>0.5</v>
      </c>
      <c r="Z5952" s="9">
        <f>1/COUNTIFS(Таблица1[Customer Name],Таблица1[[#This Row],[Customer Name]],Таблица1[Order-Year-Month],Таблица1[[#This Row],[Order-Year-Month]])</f>
        <v>0.5</v>
      </c>
    </row>
    <row r="5953" spans="1:26" x14ac:dyDescent="0.2">
      <c r="A5953" s="6">
        <v>7771</v>
      </c>
      <c r="B5953" s="7">
        <v>55621</v>
      </c>
      <c r="C5953" s="8">
        <f>DATE(2012,12,31)-657</f>
        <v>40617</v>
      </c>
      <c r="D5953" s="8" t="str">
        <f t="shared" si="109"/>
        <v>2011-03 (март 2011)</v>
      </c>
      <c r="E5953" s="9" t="s">
        <v>21</v>
      </c>
      <c r="F5953" s="7">
        <v>47</v>
      </c>
      <c r="G5953" s="7">
        <v>193.15</v>
      </c>
      <c r="H5953" s="7">
        <v>0.09</v>
      </c>
      <c r="I5953" s="9" t="s">
        <v>22</v>
      </c>
      <c r="J5953" s="10">
        <v>27.76</v>
      </c>
      <c r="K5953" s="11">
        <v>4.28</v>
      </c>
      <c r="L5953" s="11">
        <v>0.94</v>
      </c>
      <c r="M5953" s="9" t="s">
        <v>949</v>
      </c>
      <c r="N5953" s="6" t="s">
        <v>1905</v>
      </c>
      <c r="O5953" s="6" t="s">
        <v>673</v>
      </c>
      <c r="P5953" s="9" t="s">
        <v>60</v>
      </c>
      <c r="Q5953" s="9" t="s">
        <v>26</v>
      </c>
      <c r="R5953" s="9" t="s">
        <v>95</v>
      </c>
      <c r="S5953" s="7" t="s">
        <v>540</v>
      </c>
      <c r="T5953" s="9" t="s">
        <v>68</v>
      </c>
      <c r="U5953" s="7">
        <v>0.56000000000000005</v>
      </c>
      <c r="V5953" s="12">
        <f>C5953+7</f>
        <v>40624</v>
      </c>
      <c r="W5953">
        <f>IF(D5953=' Pivot Tables'!$A$4,1,0)</f>
        <v>0</v>
      </c>
      <c r="X5953">
        <f>IF(AND(LEFT(D5953,4)+1=LEFT(' Pivot Tables'!$A$4,4)+0,RIGHT(LEFT(D5953,7),2)=RIGHT(LEFT(' Pivot Tables'!$A$4,7),2)),1,0)</f>
        <v>0</v>
      </c>
      <c r="Y5953" s="6">
        <f>1/COUNTIF(Таблица1[Order ID],Таблица1[[#This Row],[Order ID]])</f>
        <v>0.5</v>
      </c>
      <c r="Z5953" s="9">
        <f>1/COUNTIFS(Таблица1[Customer Name],Таблица1[[#This Row],[Customer Name]],Таблица1[Order-Year-Month],Таблица1[[#This Row],[Order-Year-Month]])</f>
        <v>0.5</v>
      </c>
    </row>
    <row r="5954" spans="1:26" x14ac:dyDescent="0.2">
      <c r="A5954" s="6">
        <v>7891</v>
      </c>
      <c r="B5954" s="7">
        <v>56423</v>
      </c>
      <c r="C5954" s="8">
        <f>DATE(2012,12,31)-372</f>
        <v>40902</v>
      </c>
      <c r="D5954" s="8" t="str">
        <f t="shared" si="109"/>
        <v>2011-12 (декабрь 2011)</v>
      </c>
      <c r="E5954" s="9" t="s">
        <v>45</v>
      </c>
      <c r="F5954" s="7">
        <v>41</v>
      </c>
      <c r="G5954" s="7">
        <v>170.82</v>
      </c>
      <c r="H5954" s="7">
        <v>0</v>
      </c>
      <c r="I5954" s="9" t="s">
        <v>56</v>
      </c>
      <c r="J5954" s="10">
        <v>85.45</v>
      </c>
      <c r="K5954" s="11">
        <v>3.69</v>
      </c>
      <c r="L5954" s="11">
        <v>0.5</v>
      </c>
      <c r="M5954" s="9" t="s">
        <v>1963</v>
      </c>
      <c r="N5954" s="6" t="s">
        <v>1905</v>
      </c>
      <c r="O5954" s="6" t="s">
        <v>673</v>
      </c>
      <c r="P5954" s="9" t="s">
        <v>41</v>
      </c>
      <c r="Q5954" s="9" t="s">
        <v>26</v>
      </c>
      <c r="R5954" s="9" t="s">
        <v>88</v>
      </c>
      <c r="S5954" s="7" t="s">
        <v>1445</v>
      </c>
      <c r="T5954" s="9" t="s">
        <v>39</v>
      </c>
      <c r="U5954" s="7">
        <v>0.38</v>
      </c>
      <c r="V5954" s="12">
        <f>C5954+1</f>
        <v>40903</v>
      </c>
      <c r="W5954">
        <f>IF(D5954=' Pivot Tables'!$A$4,1,0)</f>
        <v>0</v>
      </c>
      <c r="X5954">
        <f>IF(AND(LEFT(D5954,4)+1=LEFT(' Pivot Tables'!$A$4,4)+0,RIGHT(LEFT(D5954,7),2)=RIGHT(LEFT(' Pivot Tables'!$A$4,7),2)),1,0)</f>
        <v>0</v>
      </c>
      <c r="Y5954" s="6">
        <f>1/COUNTIF(Таблица1[Order ID],Таблица1[[#This Row],[Order ID]])</f>
        <v>0.5</v>
      </c>
      <c r="Z5954" s="9">
        <f>1/COUNTIFS(Таблица1[Customer Name],Таблица1[[#This Row],[Customer Name]],Таблица1[Order-Year-Month],Таблица1[[#This Row],[Order-Year-Month]])</f>
        <v>0.5</v>
      </c>
    </row>
    <row r="5955" spans="1:26" x14ac:dyDescent="0.2">
      <c r="A5955" s="6">
        <v>7892</v>
      </c>
      <c r="B5955" s="7">
        <v>56423</v>
      </c>
      <c r="C5955" s="8">
        <f>DATE(2012,12,31)-372</f>
        <v>40902</v>
      </c>
      <c r="D5955" s="8" t="str">
        <f t="shared" ref="D5955:D6018" si="110">TEXT(C5955,"гггг-ММ (ММММ гггг)")</f>
        <v>2011-12 (декабрь 2011)</v>
      </c>
      <c r="E5955" s="9" t="s">
        <v>45</v>
      </c>
      <c r="F5955" s="7">
        <v>4</v>
      </c>
      <c r="G5955" s="7">
        <v>1609.69</v>
      </c>
      <c r="H5955" s="7">
        <v>0.04</v>
      </c>
      <c r="I5955" s="9" t="s">
        <v>22</v>
      </c>
      <c r="J5955" s="10">
        <v>-281.17</v>
      </c>
      <c r="K5955" s="11">
        <v>419.19</v>
      </c>
      <c r="L5955" s="11">
        <v>19.989999999999998</v>
      </c>
      <c r="M5955" s="9" t="s">
        <v>1963</v>
      </c>
      <c r="N5955" s="6" t="s">
        <v>1905</v>
      </c>
      <c r="O5955" s="6" t="s">
        <v>673</v>
      </c>
      <c r="P5955" s="9" t="s">
        <v>41</v>
      </c>
      <c r="Q5955" s="9" t="s">
        <v>26</v>
      </c>
      <c r="R5955" s="9" t="s">
        <v>27</v>
      </c>
      <c r="S5955" s="7" t="s">
        <v>1655</v>
      </c>
      <c r="T5955" s="9" t="s">
        <v>39</v>
      </c>
      <c r="U5955" s="7">
        <v>0.57999999999999996</v>
      </c>
      <c r="V5955" s="12">
        <f>C5955+1</f>
        <v>40903</v>
      </c>
      <c r="W5955">
        <f>IF(D5955=' Pivot Tables'!$A$4,1,0)</f>
        <v>0</v>
      </c>
      <c r="X5955">
        <f>IF(AND(LEFT(D5955,4)+1=LEFT(' Pivot Tables'!$A$4,4)+0,RIGHT(LEFT(D5955,7),2)=RIGHT(LEFT(' Pivot Tables'!$A$4,7),2)),1,0)</f>
        <v>0</v>
      </c>
      <c r="Y5955" s="6">
        <f>1/COUNTIF(Таблица1[Order ID],Таблица1[[#This Row],[Order ID]])</f>
        <v>0.5</v>
      </c>
      <c r="Z5955" s="9">
        <f>1/COUNTIFS(Таблица1[Customer Name],Таблица1[[#This Row],[Customer Name]],Таблица1[Order-Year-Month],Таблица1[[#This Row],[Order-Year-Month]])</f>
        <v>0.5</v>
      </c>
    </row>
    <row r="5956" spans="1:26" x14ac:dyDescent="0.2">
      <c r="A5956" s="6">
        <v>7923</v>
      </c>
      <c r="B5956" s="7">
        <v>56644</v>
      </c>
      <c r="C5956" s="8">
        <f>DATE(2012,12,31)-33</f>
        <v>41241</v>
      </c>
      <c r="D5956" s="8" t="str">
        <f t="shared" si="110"/>
        <v>2012-11 (ноябрь 2012)</v>
      </c>
      <c r="E5956" s="9" t="s">
        <v>45</v>
      </c>
      <c r="F5956" s="7">
        <v>36</v>
      </c>
      <c r="G5956" s="7">
        <v>82.09</v>
      </c>
      <c r="H5956" s="7">
        <v>0.02</v>
      </c>
      <c r="I5956" s="9" t="s">
        <v>22</v>
      </c>
      <c r="J5956" s="10">
        <v>11.44</v>
      </c>
      <c r="K5956" s="11">
        <v>2.21</v>
      </c>
      <c r="L5956" s="11">
        <v>1</v>
      </c>
      <c r="M5956" s="9" t="s">
        <v>798</v>
      </c>
      <c r="N5956" s="6" t="s">
        <v>1905</v>
      </c>
      <c r="O5956" s="6" t="s">
        <v>673</v>
      </c>
      <c r="P5956" s="9" t="s">
        <v>60</v>
      </c>
      <c r="Q5956" s="9" t="s">
        <v>26</v>
      </c>
      <c r="R5956" s="9" t="s">
        <v>95</v>
      </c>
      <c r="S5956" s="7" t="s">
        <v>1737</v>
      </c>
      <c r="T5956" s="9" t="s">
        <v>68</v>
      </c>
      <c r="U5956" s="7">
        <v>0.38</v>
      </c>
      <c r="V5956" s="12">
        <f>C5956+2</f>
        <v>41243</v>
      </c>
      <c r="W5956">
        <f>IF(D5956=' Pivot Tables'!$A$4,1,0)</f>
        <v>0</v>
      </c>
      <c r="X5956">
        <f>IF(AND(LEFT(D5956,4)+1=LEFT(' Pivot Tables'!$A$4,4)+0,RIGHT(LEFT(D5956,7),2)=RIGHT(LEFT(' Pivot Tables'!$A$4,7),2)),1,0)</f>
        <v>0</v>
      </c>
      <c r="Y5956" s="6">
        <f>1/COUNTIF(Таблица1[Order ID],Таблица1[[#This Row],[Order ID]])</f>
        <v>1</v>
      </c>
      <c r="Z5956" s="9">
        <f>1/COUNTIFS(Таблица1[Customer Name],Таблица1[[#This Row],[Customer Name]],Таблица1[Order-Year-Month],Таблица1[[#This Row],[Order-Year-Month]])</f>
        <v>1</v>
      </c>
    </row>
    <row r="5957" spans="1:26" x14ac:dyDescent="0.2">
      <c r="A5957" s="6">
        <v>8016</v>
      </c>
      <c r="B5957" s="7">
        <v>57280</v>
      </c>
      <c r="C5957" s="8">
        <f>DATE(2012,12,31)-335</f>
        <v>40939</v>
      </c>
      <c r="D5957" s="8" t="str">
        <f t="shared" si="110"/>
        <v>2012-01 (январь 2012)</v>
      </c>
      <c r="E5957" s="9" t="s">
        <v>63</v>
      </c>
      <c r="F5957" s="7">
        <v>44</v>
      </c>
      <c r="G5957" s="7">
        <v>299.85000000000002</v>
      </c>
      <c r="H5957" s="7">
        <v>0.03</v>
      </c>
      <c r="I5957" s="9" t="s">
        <v>56</v>
      </c>
      <c r="J5957" s="10">
        <v>-260.8</v>
      </c>
      <c r="K5957" s="11">
        <v>6.48</v>
      </c>
      <c r="L5957" s="11">
        <v>10.050000000000001</v>
      </c>
      <c r="M5957" s="9" t="s">
        <v>1963</v>
      </c>
      <c r="N5957" s="6" t="s">
        <v>1905</v>
      </c>
      <c r="O5957" s="6" t="s">
        <v>673</v>
      </c>
      <c r="P5957" s="9" t="s">
        <v>41</v>
      </c>
      <c r="Q5957" s="9" t="s">
        <v>26</v>
      </c>
      <c r="R5957" s="9" t="s">
        <v>61</v>
      </c>
      <c r="S5957" s="7" t="s">
        <v>868</v>
      </c>
      <c r="T5957" s="9" t="s">
        <v>39</v>
      </c>
      <c r="U5957" s="7">
        <v>0.37</v>
      </c>
      <c r="V5957" s="12">
        <f>C5957+1</f>
        <v>40940</v>
      </c>
      <c r="W5957">
        <f>IF(D5957=' Pivot Tables'!$A$4,1,0)</f>
        <v>0</v>
      </c>
      <c r="X5957">
        <f>IF(AND(LEFT(D5957,4)+1=LEFT(' Pivot Tables'!$A$4,4)+0,RIGHT(LEFT(D5957,7),2)=RIGHT(LEFT(' Pivot Tables'!$A$4,7),2)),1,0)</f>
        <v>0</v>
      </c>
      <c r="Y5957" s="6">
        <f>1/COUNTIF(Таблица1[Order ID],Таблица1[[#This Row],[Order ID]])</f>
        <v>1</v>
      </c>
      <c r="Z5957" s="9">
        <f>1/COUNTIFS(Таблица1[Customer Name],Таблица1[[#This Row],[Customer Name]],Таблица1[Order-Year-Month],Таблица1[[#This Row],[Order-Year-Month]])</f>
        <v>0.25</v>
      </c>
    </row>
    <row r="5958" spans="1:26" x14ac:dyDescent="0.2">
      <c r="A5958" s="6">
        <v>8052</v>
      </c>
      <c r="B5958" s="7">
        <v>57478</v>
      </c>
      <c r="C5958" s="8">
        <f>DATE(2012,12,31)-820</f>
        <v>40454</v>
      </c>
      <c r="D5958" s="8" t="str">
        <f t="shared" si="110"/>
        <v>2010-10 (октябрь 2010)</v>
      </c>
      <c r="E5958" s="9" t="s">
        <v>78</v>
      </c>
      <c r="F5958" s="7">
        <v>36</v>
      </c>
      <c r="G5958" s="7">
        <v>63.53</v>
      </c>
      <c r="H5958" s="7">
        <v>0.1</v>
      </c>
      <c r="I5958" s="9" t="s">
        <v>22</v>
      </c>
      <c r="J5958" s="10">
        <v>-2.5099999999999998</v>
      </c>
      <c r="K5958" s="11">
        <v>1.88</v>
      </c>
      <c r="L5958" s="11">
        <v>0.79</v>
      </c>
      <c r="M5958" s="9" t="s">
        <v>1776</v>
      </c>
      <c r="N5958" s="6" t="s">
        <v>1905</v>
      </c>
      <c r="O5958" s="6" t="s">
        <v>673</v>
      </c>
      <c r="P5958" s="9" t="s">
        <v>60</v>
      </c>
      <c r="Q5958" s="9" t="s">
        <v>26</v>
      </c>
      <c r="R5958" s="9" t="s">
        <v>66</v>
      </c>
      <c r="S5958" s="7" t="s">
        <v>1378</v>
      </c>
      <c r="T5958" s="9" t="s">
        <v>68</v>
      </c>
      <c r="U5958" s="7">
        <v>0.5</v>
      </c>
      <c r="V5958" s="12">
        <f>C5958+1</f>
        <v>40455</v>
      </c>
      <c r="W5958">
        <f>IF(D5958=' Pivot Tables'!$A$4,1,0)</f>
        <v>0</v>
      </c>
      <c r="X5958">
        <f>IF(AND(LEFT(D5958,4)+1=LEFT(' Pivot Tables'!$A$4,4)+0,RIGHT(LEFT(D5958,7),2)=RIGHT(LEFT(' Pivot Tables'!$A$4,7),2)),1,0)</f>
        <v>0</v>
      </c>
      <c r="Y5958" s="6">
        <f>1/COUNTIF(Таблица1[Order ID],Таблица1[[#This Row],[Order ID]])</f>
        <v>1</v>
      </c>
      <c r="Z5958" s="9">
        <f>1/COUNTIFS(Таблица1[Customer Name],Таблица1[[#This Row],[Customer Name]],Таблица1[Order-Year-Month],Таблица1[[#This Row],[Order-Year-Month]])</f>
        <v>1</v>
      </c>
    </row>
    <row r="5959" spans="1:26" x14ac:dyDescent="0.2">
      <c r="A5959" s="6">
        <v>8059</v>
      </c>
      <c r="B5959" s="7">
        <v>57510</v>
      </c>
      <c r="C5959" s="8">
        <f>DATE(2012,12,31)-387</f>
        <v>40887</v>
      </c>
      <c r="D5959" s="8" t="str">
        <f t="shared" si="110"/>
        <v>2011-12 (декабрь 2011)</v>
      </c>
      <c r="E5959" s="9" t="s">
        <v>45</v>
      </c>
      <c r="F5959" s="7">
        <v>6</v>
      </c>
      <c r="G5959" s="7">
        <v>48.05</v>
      </c>
      <c r="H5959" s="7">
        <v>0.01</v>
      </c>
      <c r="I5959" s="9" t="s">
        <v>22</v>
      </c>
      <c r="J5959" s="10">
        <v>-11.34</v>
      </c>
      <c r="K5959" s="11">
        <v>6.68</v>
      </c>
      <c r="L5959" s="11">
        <v>5.2</v>
      </c>
      <c r="M5959" s="9" t="s">
        <v>1961</v>
      </c>
      <c r="N5959" s="6" t="s">
        <v>1905</v>
      </c>
      <c r="O5959" s="6" t="s">
        <v>673</v>
      </c>
      <c r="P5959" s="9" t="s">
        <v>41</v>
      </c>
      <c r="Q5959" s="9" t="s">
        <v>26</v>
      </c>
      <c r="R5959" s="9" t="s">
        <v>61</v>
      </c>
      <c r="S5959" s="7" t="s">
        <v>445</v>
      </c>
      <c r="T5959" s="9" t="s">
        <v>39</v>
      </c>
      <c r="U5959" s="7">
        <v>0.37</v>
      </c>
      <c r="V5959" s="12">
        <f>C5959+0</f>
        <v>40887</v>
      </c>
      <c r="W5959">
        <f>IF(D5959=' Pivot Tables'!$A$4,1,0)</f>
        <v>0</v>
      </c>
      <c r="X5959">
        <f>IF(AND(LEFT(D5959,4)+1=LEFT(' Pivot Tables'!$A$4,4)+0,RIGHT(LEFT(D5959,7),2)=RIGHT(LEFT(' Pivot Tables'!$A$4,7),2)),1,0)</f>
        <v>0</v>
      </c>
      <c r="Y5959" s="6">
        <f>1/COUNTIF(Таблица1[Order ID],Таблица1[[#This Row],[Order ID]])</f>
        <v>1</v>
      </c>
      <c r="Z5959" s="9">
        <f>1/COUNTIFS(Таблица1[Customer Name],Таблица1[[#This Row],[Customer Name]],Таблица1[Order-Year-Month],Таблица1[[#This Row],[Order-Year-Month]])</f>
        <v>1</v>
      </c>
    </row>
    <row r="5960" spans="1:26" x14ac:dyDescent="0.2">
      <c r="A5960" s="6">
        <v>8098</v>
      </c>
      <c r="B5960" s="7">
        <v>57767</v>
      </c>
      <c r="C5960" s="8">
        <f>DATE(2012,12,31)-264</f>
        <v>41010</v>
      </c>
      <c r="D5960" s="8" t="str">
        <f t="shared" si="110"/>
        <v>2012-04 (апрель 2012)</v>
      </c>
      <c r="E5960" s="9" t="s">
        <v>78</v>
      </c>
      <c r="F5960" s="7">
        <v>34</v>
      </c>
      <c r="G5960" s="7">
        <v>3373.7094999999999</v>
      </c>
      <c r="H5960" s="7">
        <v>0.01</v>
      </c>
      <c r="I5960" s="9" t="s">
        <v>22</v>
      </c>
      <c r="J5960" s="10">
        <v>861.72299999999996</v>
      </c>
      <c r="K5960" s="11">
        <v>110.99</v>
      </c>
      <c r="L5960" s="11">
        <v>8.99</v>
      </c>
      <c r="M5960" s="9" t="s">
        <v>1956</v>
      </c>
      <c r="N5960" s="6" t="s">
        <v>1905</v>
      </c>
      <c r="O5960" s="6" t="s">
        <v>673</v>
      </c>
      <c r="P5960" s="9" t="s">
        <v>41</v>
      </c>
      <c r="Q5960" s="9" t="s">
        <v>42</v>
      </c>
      <c r="R5960" s="9" t="s">
        <v>43</v>
      </c>
      <c r="S5960" s="7" t="s">
        <v>565</v>
      </c>
      <c r="T5960" s="9" t="s">
        <v>39</v>
      </c>
      <c r="U5960" s="7">
        <v>0.56999999999999995</v>
      </c>
      <c r="V5960" s="12">
        <f>C5960+2</f>
        <v>41012</v>
      </c>
      <c r="W5960">
        <f>IF(D5960=' Pivot Tables'!$A$4,1,0)</f>
        <v>0</v>
      </c>
      <c r="X5960">
        <f>IF(AND(LEFT(D5960,4)+1=LEFT(' Pivot Tables'!$A$4,4)+0,RIGHT(LEFT(D5960,7),2)=RIGHT(LEFT(' Pivot Tables'!$A$4,7),2)),1,0)</f>
        <v>0</v>
      </c>
      <c r="Y5960" s="6">
        <f>1/COUNTIF(Таблица1[Order ID],Таблица1[[#This Row],[Order ID]])</f>
        <v>1</v>
      </c>
      <c r="Z5960" s="9">
        <f>1/COUNTIFS(Таблица1[Customer Name],Таблица1[[#This Row],[Customer Name]],Таблица1[Order-Year-Month],Таблица1[[#This Row],[Order-Year-Month]])</f>
        <v>1</v>
      </c>
    </row>
    <row r="5961" spans="1:26" x14ac:dyDescent="0.2">
      <c r="A5961" s="6">
        <v>8101</v>
      </c>
      <c r="B5961" s="7">
        <v>57799</v>
      </c>
      <c r="C5961" s="8">
        <f>DATE(2012,12,31)-488</f>
        <v>40786</v>
      </c>
      <c r="D5961" s="8" t="str">
        <f t="shared" si="110"/>
        <v>2011-08 (август 2011)</v>
      </c>
      <c r="E5961" s="9" t="s">
        <v>30</v>
      </c>
      <c r="F5961" s="7">
        <v>25</v>
      </c>
      <c r="G5961" s="7">
        <v>12343.07</v>
      </c>
      <c r="H5961" s="7">
        <v>0.02</v>
      </c>
      <c r="I5961" s="9" t="s">
        <v>31</v>
      </c>
      <c r="J5961" s="10">
        <v>3972.72</v>
      </c>
      <c r="K5961" s="11">
        <v>500.97</v>
      </c>
      <c r="L5961" s="11">
        <v>69.3</v>
      </c>
      <c r="M5961" s="9" t="s">
        <v>1959</v>
      </c>
      <c r="N5961" s="6" t="s">
        <v>1905</v>
      </c>
      <c r="O5961" s="6" t="s">
        <v>673</v>
      </c>
      <c r="P5961" s="9" t="s">
        <v>33</v>
      </c>
      <c r="Q5961" s="9" t="s">
        <v>42</v>
      </c>
      <c r="R5961" s="9" t="s">
        <v>210</v>
      </c>
      <c r="S5961" s="7" t="s">
        <v>404</v>
      </c>
      <c r="T5961" s="9" t="s">
        <v>36</v>
      </c>
      <c r="U5961" s="7">
        <v>0.37</v>
      </c>
      <c r="V5961" s="12">
        <f>C5961+2</f>
        <v>40788</v>
      </c>
      <c r="W5961">
        <f>IF(D5961=' Pivot Tables'!$A$4,1,0)</f>
        <v>0</v>
      </c>
      <c r="X5961">
        <f>IF(AND(LEFT(D5961,4)+1=LEFT(' Pivot Tables'!$A$4,4)+0,RIGHT(LEFT(D5961,7),2)=RIGHT(LEFT(' Pivot Tables'!$A$4,7),2)),1,0)</f>
        <v>0</v>
      </c>
      <c r="Y5961" s="6">
        <f>1/COUNTIF(Таблица1[Order ID],Таблица1[[#This Row],[Order ID]])</f>
        <v>1</v>
      </c>
      <c r="Z5961" s="9">
        <f>1/COUNTIFS(Таблица1[Customer Name],Таблица1[[#This Row],[Customer Name]],Таблица1[Order-Year-Month],Таблица1[[#This Row],[Order-Year-Month]])</f>
        <v>1</v>
      </c>
    </row>
    <row r="5962" spans="1:26" x14ac:dyDescent="0.2">
      <c r="A5962" s="6">
        <v>8192</v>
      </c>
      <c r="B5962" s="7">
        <v>58595</v>
      </c>
      <c r="C5962" s="8">
        <f>DATE(2012,12,31)-855</f>
        <v>40419</v>
      </c>
      <c r="D5962" s="8" t="str">
        <f t="shared" si="110"/>
        <v>2010-08 (август 2010)</v>
      </c>
      <c r="E5962" s="9" t="s">
        <v>30</v>
      </c>
      <c r="F5962" s="7">
        <v>41</v>
      </c>
      <c r="G5962" s="7">
        <v>812.21</v>
      </c>
      <c r="H5962" s="7">
        <v>0.06</v>
      </c>
      <c r="I5962" s="9" t="s">
        <v>56</v>
      </c>
      <c r="J5962" s="10">
        <v>-128.02000000000001</v>
      </c>
      <c r="K5962" s="11">
        <v>20.28</v>
      </c>
      <c r="L5962" s="11">
        <v>14.39</v>
      </c>
      <c r="M5962" s="9" t="s">
        <v>949</v>
      </c>
      <c r="N5962" s="6" t="s">
        <v>1905</v>
      </c>
      <c r="O5962" s="6" t="s">
        <v>673</v>
      </c>
      <c r="P5962" s="9" t="s">
        <v>60</v>
      </c>
      <c r="Q5962" s="9" t="s">
        <v>49</v>
      </c>
      <c r="R5962" s="9" t="s">
        <v>50</v>
      </c>
      <c r="S5962" s="7" t="s">
        <v>894</v>
      </c>
      <c r="T5962" s="9" t="s">
        <v>39</v>
      </c>
      <c r="U5962" s="7">
        <v>0.47</v>
      </c>
      <c r="V5962" s="12">
        <f>C5962+1</f>
        <v>40420</v>
      </c>
      <c r="W5962">
        <f>IF(D5962=' Pivot Tables'!$A$4,1,0)</f>
        <v>0</v>
      </c>
      <c r="X5962">
        <f>IF(AND(LEFT(D5962,4)+1=LEFT(' Pivot Tables'!$A$4,4)+0,RIGHT(LEFT(D5962,7),2)=RIGHT(LEFT(' Pivot Tables'!$A$4,7),2)),1,0)</f>
        <v>0</v>
      </c>
      <c r="Y5962" s="6">
        <f>1/COUNTIF(Таблица1[Order ID],Таблица1[[#This Row],[Order ID]])</f>
        <v>1</v>
      </c>
      <c r="Z5962" s="9">
        <f>1/COUNTIFS(Таблица1[Customer Name],Таблица1[[#This Row],[Customer Name]],Таблица1[Order-Year-Month],Таблица1[[#This Row],[Order-Year-Month]])</f>
        <v>1</v>
      </c>
    </row>
    <row r="5963" spans="1:26" x14ac:dyDescent="0.2">
      <c r="A5963" s="6">
        <v>8217</v>
      </c>
      <c r="B5963" s="7">
        <v>58755</v>
      </c>
      <c r="C5963" s="8">
        <f>DATE(2012,12,31)-394</f>
        <v>40880</v>
      </c>
      <c r="D5963" s="8" t="str">
        <f t="shared" si="110"/>
        <v>2011-12 (декабрь 2011)</v>
      </c>
      <c r="E5963" s="9" t="s">
        <v>21</v>
      </c>
      <c r="F5963" s="7">
        <v>7</v>
      </c>
      <c r="G5963" s="7">
        <v>15.61</v>
      </c>
      <c r="H5963" s="7">
        <v>0.03</v>
      </c>
      <c r="I5963" s="9" t="s">
        <v>22</v>
      </c>
      <c r="J5963" s="10">
        <v>-5.1864999999999997</v>
      </c>
      <c r="K5963" s="11">
        <v>2.08</v>
      </c>
      <c r="L5963" s="11">
        <v>1.49</v>
      </c>
      <c r="M5963" s="9" t="s">
        <v>1837</v>
      </c>
      <c r="N5963" s="6" t="s">
        <v>1905</v>
      </c>
      <c r="O5963" s="6" t="s">
        <v>673</v>
      </c>
      <c r="P5963" s="9" t="s">
        <v>60</v>
      </c>
      <c r="Q5963" s="9" t="s">
        <v>26</v>
      </c>
      <c r="R5963" s="9" t="s">
        <v>37</v>
      </c>
      <c r="S5963" s="7" t="s">
        <v>779</v>
      </c>
      <c r="T5963" s="9" t="s">
        <v>39</v>
      </c>
      <c r="U5963" s="7">
        <v>0.38</v>
      </c>
      <c r="V5963" s="12">
        <f>C5963+2</f>
        <v>40882</v>
      </c>
      <c r="W5963">
        <f>IF(D5963=' Pivot Tables'!$A$4,1,0)</f>
        <v>0</v>
      </c>
      <c r="X5963">
        <f>IF(AND(LEFT(D5963,4)+1=LEFT(' Pivot Tables'!$A$4,4)+0,RIGHT(LEFT(D5963,7),2)=RIGHT(LEFT(' Pivot Tables'!$A$4,7),2)),1,0)</f>
        <v>0</v>
      </c>
      <c r="Y5963" s="6">
        <f>1/COUNTIF(Таблица1[Order ID],Таблица1[[#This Row],[Order ID]])</f>
        <v>0.5</v>
      </c>
      <c r="Z5963" s="9">
        <f>1/COUNTIFS(Таблица1[Customer Name],Таблица1[[#This Row],[Customer Name]],Таблица1[Order-Year-Month],Таблица1[[#This Row],[Order-Year-Month]])</f>
        <v>0.33333333333333331</v>
      </c>
    </row>
    <row r="5964" spans="1:26" x14ac:dyDescent="0.2">
      <c r="A5964" s="6">
        <v>8218</v>
      </c>
      <c r="B5964" s="7">
        <v>58755</v>
      </c>
      <c r="C5964" s="8">
        <f>DATE(2012,12,31)-394</f>
        <v>40880</v>
      </c>
      <c r="D5964" s="8" t="str">
        <f t="shared" si="110"/>
        <v>2011-12 (декабрь 2011)</v>
      </c>
      <c r="E5964" s="9" t="s">
        <v>21</v>
      </c>
      <c r="F5964" s="7">
        <v>18</v>
      </c>
      <c r="G5964" s="7">
        <v>47.11</v>
      </c>
      <c r="H5964" s="7">
        <v>0</v>
      </c>
      <c r="I5964" s="9" t="s">
        <v>22</v>
      </c>
      <c r="J5964" s="10">
        <v>-95.42</v>
      </c>
      <c r="K5964" s="11">
        <v>2.1800000000000002</v>
      </c>
      <c r="L5964" s="11">
        <v>7.09</v>
      </c>
      <c r="M5964" s="9" t="s">
        <v>1837</v>
      </c>
      <c r="N5964" s="6" t="s">
        <v>1905</v>
      </c>
      <c r="O5964" s="6" t="s">
        <v>673</v>
      </c>
      <c r="P5964" s="9" t="s">
        <v>60</v>
      </c>
      <c r="Q5964" s="9" t="s">
        <v>26</v>
      </c>
      <c r="R5964" s="9" t="s">
        <v>61</v>
      </c>
      <c r="S5964" s="7" t="s">
        <v>1271</v>
      </c>
      <c r="T5964" s="9" t="s">
        <v>68</v>
      </c>
      <c r="U5964" s="7">
        <v>0.38</v>
      </c>
      <c r="V5964" s="12">
        <f>C5964+9</f>
        <v>40889</v>
      </c>
      <c r="W5964">
        <f>IF(D5964=' Pivot Tables'!$A$4,1,0)</f>
        <v>0</v>
      </c>
      <c r="X5964">
        <f>IF(AND(LEFT(D5964,4)+1=LEFT(' Pivot Tables'!$A$4,4)+0,RIGHT(LEFT(D5964,7),2)=RIGHT(LEFT(' Pivot Tables'!$A$4,7),2)),1,0)</f>
        <v>0</v>
      </c>
      <c r="Y5964" s="6">
        <f>1/COUNTIF(Таблица1[Order ID],Таблица1[[#This Row],[Order ID]])</f>
        <v>0.5</v>
      </c>
      <c r="Z5964" s="9">
        <f>1/COUNTIFS(Таблица1[Customer Name],Таблица1[[#This Row],[Customer Name]],Таблица1[Order-Year-Month],Таблица1[[#This Row],[Order-Year-Month]])</f>
        <v>0.33333333333333331</v>
      </c>
    </row>
    <row r="5965" spans="1:26" x14ac:dyDescent="0.2">
      <c r="A5965" s="6">
        <v>8250</v>
      </c>
      <c r="B5965" s="7">
        <v>59008</v>
      </c>
      <c r="C5965" s="8">
        <f>DATE(2012,12,31)-824</f>
        <v>40450</v>
      </c>
      <c r="D5965" s="8" t="str">
        <f t="shared" si="110"/>
        <v>2010-09 (сентябрь 2010)</v>
      </c>
      <c r="E5965" s="9" t="s">
        <v>78</v>
      </c>
      <c r="F5965" s="7">
        <v>39</v>
      </c>
      <c r="G5965" s="7">
        <v>3451.85</v>
      </c>
      <c r="H5965" s="7">
        <v>0.05</v>
      </c>
      <c r="I5965" s="9" t="s">
        <v>31</v>
      </c>
      <c r="J5965" s="10">
        <v>1264.75</v>
      </c>
      <c r="K5965" s="11">
        <v>90.97</v>
      </c>
      <c r="L5965" s="11">
        <v>14</v>
      </c>
      <c r="M5965" s="9" t="s">
        <v>1131</v>
      </c>
      <c r="N5965" s="6" t="s">
        <v>1905</v>
      </c>
      <c r="O5965" s="6" t="s">
        <v>673</v>
      </c>
      <c r="P5965" s="9" t="s">
        <v>41</v>
      </c>
      <c r="Q5965" s="9" t="s">
        <v>42</v>
      </c>
      <c r="R5965" s="9" t="s">
        <v>210</v>
      </c>
      <c r="S5965" s="7" t="s">
        <v>772</v>
      </c>
      <c r="T5965" s="9" t="s">
        <v>36</v>
      </c>
      <c r="U5965" s="7">
        <v>0.36</v>
      </c>
      <c r="V5965" s="12">
        <f>C5965+0</f>
        <v>40450</v>
      </c>
      <c r="W5965">
        <f>IF(D5965=' Pivot Tables'!$A$4,1,0)</f>
        <v>0</v>
      </c>
      <c r="X5965">
        <f>IF(AND(LEFT(D5965,4)+1=LEFT(' Pivot Tables'!$A$4,4)+0,RIGHT(LEFT(D5965,7),2)=RIGHT(LEFT(' Pivot Tables'!$A$4,7),2)),1,0)</f>
        <v>0</v>
      </c>
      <c r="Y5965" s="6">
        <f>1/COUNTIF(Таблица1[Order ID],Таблица1[[#This Row],[Order ID]])</f>
        <v>1</v>
      </c>
      <c r="Z5965" s="9">
        <f>1/COUNTIFS(Таблица1[Customer Name],Таблица1[[#This Row],[Customer Name]],Таблица1[Order-Year-Month],Таблица1[[#This Row],[Order-Year-Month]])</f>
        <v>0.2</v>
      </c>
    </row>
    <row r="5966" spans="1:26" x14ac:dyDescent="0.2">
      <c r="A5966" s="6">
        <v>8287</v>
      </c>
      <c r="B5966" s="7">
        <v>59205</v>
      </c>
      <c r="C5966" s="8">
        <f>DATE(2012,12,31)-427</f>
        <v>40847</v>
      </c>
      <c r="D5966" s="8" t="str">
        <f t="shared" si="110"/>
        <v>2011-10 (октябрь 2011)</v>
      </c>
      <c r="E5966" s="9" t="s">
        <v>78</v>
      </c>
      <c r="F5966" s="7">
        <v>11</v>
      </c>
      <c r="G5966" s="7">
        <v>54.59</v>
      </c>
      <c r="H5966" s="7">
        <v>0</v>
      </c>
      <c r="I5966" s="9" t="s">
        <v>22</v>
      </c>
      <c r="J5966" s="10">
        <v>-47.18</v>
      </c>
      <c r="K5966" s="11">
        <v>4.13</v>
      </c>
      <c r="L5966" s="11">
        <v>6.89</v>
      </c>
      <c r="M5966" s="9" t="s">
        <v>949</v>
      </c>
      <c r="N5966" s="6" t="s">
        <v>1905</v>
      </c>
      <c r="O5966" s="6" t="s">
        <v>673</v>
      </c>
      <c r="P5966" s="9" t="s">
        <v>60</v>
      </c>
      <c r="Q5966" s="9" t="s">
        <v>26</v>
      </c>
      <c r="R5966" s="9" t="s">
        <v>88</v>
      </c>
      <c r="S5966" s="7" t="s">
        <v>1219</v>
      </c>
      <c r="T5966" s="9" t="s">
        <v>39</v>
      </c>
      <c r="U5966" s="7">
        <v>0.39</v>
      </c>
      <c r="V5966" s="12">
        <f>C5966+2</f>
        <v>40849</v>
      </c>
      <c r="W5966">
        <f>IF(D5966=' Pivot Tables'!$A$4,1,0)</f>
        <v>0</v>
      </c>
      <c r="X5966">
        <f>IF(AND(LEFT(D5966,4)+1=LEFT(' Pivot Tables'!$A$4,4)+0,RIGHT(LEFT(D5966,7),2)=RIGHT(LEFT(' Pivot Tables'!$A$4,7),2)),1,0)</f>
        <v>0</v>
      </c>
      <c r="Y5966" s="6">
        <f>1/COUNTIF(Таблица1[Order ID],Таблица1[[#This Row],[Order ID]])</f>
        <v>0.5</v>
      </c>
      <c r="Z5966" s="9">
        <f>1/COUNTIFS(Таблица1[Customer Name],Таблица1[[#This Row],[Customer Name]],Таблица1[Order-Year-Month],Таблица1[[#This Row],[Order-Year-Month]])</f>
        <v>0.5</v>
      </c>
    </row>
    <row r="5967" spans="1:26" x14ac:dyDescent="0.2">
      <c r="A5967" s="6">
        <v>8288</v>
      </c>
      <c r="B5967" s="7">
        <v>59205</v>
      </c>
      <c r="C5967" s="8">
        <f>DATE(2012,12,31)-427</f>
        <v>40847</v>
      </c>
      <c r="D5967" s="8" t="str">
        <f t="shared" si="110"/>
        <v>2011-10 (октябрь 2011)</v>
      </c>
      <c r="E5967" s="9" t="s">
        <v>78</v>
      </c>
      <c r="F5967" s="7">
        <v>35</v>
      </c>
      <c r="G5967" s="7">
        <v>597.04</v>
      </c>
      <c r="H5967" s="7">
        <v>0.05</v>
      </c>
      <c r="I5967" s="9" t="s">
        <v>22</v>
      </c>
      <c r="J5967" s="10">
        <v>-157.41999999999999</v>
      </c>
      <c r="K5967" s="11">
        <v>16.739999999999998</v>
      </c>
      <c r="L5967" s="11">
        <v>7.04</v>
      </c>
      <c r="M5967" s="9" t="s">
        <v>949</v>
      </c>
      <c r="N5967" s="6" t="s">
        <v>1905</v>
      </c>
      <c r="O5967" s="6" t="s">
        <v>673</v>
      </c>
      <c r="P5967" s="9" t="s">
        <v>60</v>
      </c>
      <c r="Q5967" s="9" t="s">
        <v>26</v>
      </c>
      <c r="R5967" s="9" t="s">
        <v>27</v>
      </c>
      <c r="S5967" s="7" t="s">
        <v>1441</v>
      </c>
      <c r="T5967" s="9" t="s">
        <v>39</v>
      </c>
      <c r="U5967" s="7">
        <v>0.81</v>
      </c>
      <c r="V5967" s="12">
        <f>C5967+2</f>
        <v>40849</v>
      </c>
      <c r="W5967">
        <f>IF(D5967=' Pivot Tables'!$A$4,1,0)</f>
        <v>0</v>
      </c>
      <c r="X5967">
        <f>IF(AND(LEFT(D5967,4)+1=LEFT(' Pivot Tables'!$A$4,4)+0,RIGHT(LEFT(D5967,7),2)=RIGHT(LEFT(' Pivot Tables'!$A$4,7),2)),1,0)</f>
        <v>0</v>
      </c>
      <c r="Y5967" s="6">
        <f>1/COUNTIF(Таблица1[Order ID],Таблица1[[#This Row],[Order ID]])</f>
        <v>0.5</v>
      </c>
      <c r="Z5967" s="9">
        <f>1/COUNTIFS(Таблица1[Customer Name],Таблица1[[#This Row],[Customer Name]],Таблица1[Order-Year-Month],Таблица1[[#This Row],[Order-Year-Month]])</f>
        <v>0.5</v>
      </c>
    </row>
    <row r="5968" spans="1:26" x14ac:dyDescent="0.2">
      <c r="A5968" s="6">
        <v>8322</v>
      </c>
      <c r="B5968" s="7">
        <v>59491</v>
      </c>
      <c r="C5968" s="8">
        <f>DATE(2012,12,31)-282</f>
        <v>40992</v>
      </c>
      <c r="D5968" s="8" t="str">
        <f t="shared" si="110"/>
        <v>2012-03 (март 2012)</v>
      </c>
      <c r="E5968" s="9" t="s">
        <v>30</v>
      </c>
      <c r="F5968" s="7">
        <v>8</v>
      </c>
      <c r="G5968" s="7">
        <v>32.31</v>
      </c>
      <c r="H5968" s="7">
        <v>0.09</v>
      </c>
      <c r="I5968" s="9" t="s">
        <v>22</v>
      </c>
      <c r="J5968" s="10">
        <v>-33.591500000000003</v>
      </c>
      <c r="K5968" s="11">
        <v>3.58</v>
      </c>
      <c r="L5968" s="11">
        <v>5.47</v>
      </c>
      <c r="M5968" s="9" t="s">
        <v>1776</v>
      </c>
      <c r="N5968" s="6" t="s">
        <v>1905</v>
      </c>
      <c r="O5968" s="6" t="s">
        <v>673</v>
      </c>
      <c r="P5968" s="9" t="s">
        <v>60</v>
      </c>
      <c r="Q5968" s="9" t="s">
        <v>26</v>
      </c>
      <c r="R5968" s="9" t="s">
        <v>37</v>
      </c>
      <c r="S5968" s="7" t="s">
        <v>462</v>
      </c>
      <c r="T5968" s="9" t="s">
        <v>39</v>
      </c>
      <c r="U5968" s="7">
        <v>0.37</v>
      </c>
      <c r="V5968" s="12">
        <f>C5968+1</f>
        <v>40993</v>
      </c>
      <c r="W5968">
        <f>IF(D5968=' Pivot Tables'!$A$4,1,0)</f>
        <v>0</v>
      </c>
      <c r="X5968">
        <f>IF(AND(LEFT(D5968,4)+1=LEFT(' Pivot Tables'!$A$4,4)+0,RIGHT(LEFT(D5968,7),2)=RIGHT(LEFT(' Pivot Tables'!$A$4,7),2)),1,0)</f>
        <v>0</v>
      </c>
      <c r="Y5968" s="6">
        <f>1/COUNTIF(Таблица1[Order ID],Таблица1[[#This Row],[Order ID]])</f>
        <v>0.25</v>
      </c>
      <c r="Z5968" s="9">
        <f>1/COUNTIFS(Таблица1[Customer Name],Таблица1[[#This Row],[Customer Name]],Таблица1[Order-Year-Month],Таблица1[[#This Row],[Order-Year-Month]])</f>
        <v>0.25</v>
      </c>
    </row>
    <row r="5969" spans="1:26" x14ac:dyDescent="0.2">
      <c r="A5969" s="6">
        <v>8323</v>
      </c>
      <c r="B5969" s="7">
        <v>59491</v>
      </c>
      <c r="C5969" s="8">
        <f>DATE(2012,12,31)-282</f>
        <v>40992</v>
      </c>
      <c r="D5969" s="8" t="str">
        <f t="shared" si="110"/>
        <v>2012-03 (март 2012)</v>
      </c>
      <c r="E5969" s="9" t="s">
        <v>30</v>
      </c>
      <c r="F5969" s="7">
        <v>6</v>
      </c>
      <c r="G5969" s="7">
        <v>57.9</v>
      </c>
      <c r="H5969" s="7">
        <v>0.03</v>
      </c>
      <c r="I5969" s="9" t="s">
        <v>22</v>
      </c>
      <c r="J5969" s="10">
        <v>-48.138999999999996</v>
      </c>
      <c r="K5969" s="11">
        <v>7.38</v>
      </c>
      <c r="L5969" s="11">
        <v>11.51</v>
      </c>
      <c r="M5969" s="9" t="s">
        <v>1776</v>
      </c>
      <c r="N5969" s="6" t="s">
        <v>1905</v>
      </c>
      <c r="O5969" s="6" t="s">
        <v>673</v>
      </c>
      <c r="P5969" s="9" t="s">
        <v>60</v>
      </c>
      <c r="Q5969" s="9" t="s">
        <v>26</v>
      </c>
      <c r="R5969" s="9" t="s">
        <v>37</v>
      </c>
      <c r="S5969" s="7" t="s">
        <v>1685</v>
      </c>
      <c r="T5969" s="9" t="s">
        <v>39</v>
      </c>
      <c r="U5969" s="7">
        <v>0.36</v>
      </c>
      <c r="V5969" s="12">
        <f>C5969+0</f>
        <v>40992</v>
      </c>
      <c r="W5969">
        <f>IF(D5969=' Pivot Tables'!$A$4,1,0)</f>
        <v>0</v>
      </c>
      <c r="X5969">
        <f>IF(AND(LEFT(D5969,4)+1=LEFT(' Pivot Tables'!$A$4,4)+0,RIGHT(LEFT(D5969,7),2)=RIGHT(LEFT(' Pivot Tables'!$A$4,7),2)),1,0)</f>
        <v>0</v>
      </c>
      <c r="Y5969" s="6">
        <f>1/COUNTIF(Таблица1[Order ID],Таблица1[[#This Row],[Order ID]])</f>
        <v>0.25</v>
      </c>
      <c r="Z5969" s="9">
        <f>1/COUNTIFS(Таблица1[Customer Name],Таблица1[[#This Row],[Customer Name]],Таблица1[Order-Year-Month],Таблица1[[#This Row],[Order-Year-Month]])</f>
        <v>0.25</v>
      </c>
    </row>
    <row r="5970" spans="1:26" x14ac:dyDescent="0.2">
      <c r="A5970" s="6">
        <v>8324</v>
      </c>
      <c r="B5970" s="7">
        <v>59491</v>
      </c>
      <c r="C5970" s="8">
        <f>DATE(2012,12,31)-282</f>
        <v>40992</v>
      </c>
      <c r="D5970" s="8" t="str">
        <f t="shared" si="110"/>
        <v>2012-03 (март 2012)</v>
      </c>
      <c r="E5970" s="9" t="s">
        <v>30</v>
      </c>
      <c r="F5970" s="7">
        <v>46</v>
      </c>
      <c r="G5970" s="7">
        <v>562.95000000000005</v>
      </c>
      <c r="H5970" s="7">
        <v>0.06</v>
      </c>
      <c r="I5970" s="9" t="s">
        <v>22</v>
      </c>
      <c r="J5970" s="10">
        <v>147.12</v>
      </c>
      <c r="K5970" s="11">
        <v>12.22</v>
      </c>
      <c r="L5970" s="11">
        <v>2.85</v>
      </c>
      <c r="M5970" s="9" t="s">
        <v>1776</v>
      </c>
      <c r="N5970" s="6" t="s">
        <v>1905</v>
      </c>
      <c r="O5970" s="6" t="s">
        <v>673</v>
      </c>
      <c r="P5970" s="9" t="s">
        <v>60</v>
      </c>
      <c r="Q5970" s="9" t="s">
        <v>49</v>
      </c>
      <c r="R5970" s="9" t="s">
        <v>50</v>
      </c>
      <c r="S5970" s="7" t="s">
        <v>245</v>
      </c>
      <c r="T5970" s="9" t="s">
        <v>52</v>
      </c>
      <c r="U5970" s="7">
        <v>0.55000000000000004</v>
      </c>
      <c r="V5970" s="12">
        <f>C5970+2</f>
        <v>40994</v>
      </c>
      <c r="W5970">
        <f>IF(D5970=' Pivot Tables'!$A$4,1,0)</f>
        <v>0</v>
      </c>
      <c r="X5970">
        <f>IF(AND(LEFT(D5970,4)+1=LEFT(' Pivot Tables'!$A$4,4)+0,RIGHT(LEFT(D5970,7),2)=RIGHT(LEFT(' Pivot Tables'!$A$4,7),2)),1,0)</f>
        <v>0</v>
      </c>
      <c r="Y5970" s="6">
        <f>1/COUNTIF(Таблица1[Order ID],Таблица1[[#This Row],[Order ID]])</f>
        <v>0.25</v>
      </c>
      <c r="Z5970" s="9">
        <f>1/COUNTIFS(Таблица1[Customer Name],Таблица1[[#This Row],[Customer Name]],Таблица1[Order-Year-Month],Таблица1[[#This Row],[Order-Year-Month]])</f>
        <v>0.25</v>
      </c>
    </row>
    <row r="5971" spans="1:26" x14ac:dyDescent="0.2">
      <c r="A5971" s="6">
        <v>8361</v>
      </c>
      <c r="B5971" s="7">
        <v>59776</v>
      </c>
      <c r="C5971" s="8">
        <f>DATE(2012,12,31)-1393</f>
        <v>39881</v>
      </c>
      <c r="D5971" s="8" t="str">
        <f t="shared" si="110"/>
        <v>2009-03 (март 2009)</v>
      </c>
      <c r="E5971" s="9" t="s">
        <v>21</v>
      </c>
      <c r="F5971" s="7">
        <v>35</v>
      </c>
      <c r="G5971" s="7">
        <v>285.01</v>
      </c>
      <c r="H5971" s="7">
        <v>0.01</v>
      </c>
      <c r="I5971" s="9" t="s">
        <v>56</v>
      </c>
      <c r="J5971" s="10">
        <v>124.82</v>
      </c>
      <c r="K5971" s="11">
        <v>7.64</v>
      </c>
      <c r="L5971" s="11">
        <v>1.39</v>
      </c>
      <c r="M5971" s="9" t="s">
        <v>1960</v>
      </c>
      <c r="N5971" s="6" t="s">
        <v>1905</v>
      </c>
      <c r="O5971" s="6" t="s">
        <v>673</v>
      </c>
      <c r="P5971" s="9" t="s">
        <v>41</v>
      </c>
      <c r="Q5971" s="9" t="s">
        <v>26</v>
      </c>
      <c r="R5971" s="9" t="s">
        <v>76</v>
      </c>
      <c r="S5971" s="7" t="s">
        <v>297</v>
      </c>
      <c r="T5971" s="9" t="s">
        <v>39</v>
      </c>
      <c r="U5971" s="7">
        <v>0.36</v>
      </c>
      <c r="V5971" s="12">
        <f>C5971+4</f>
        <v>39885</v>
      </c>
      <c r="W5971">
        <f>IF(D5971=' Pivot Tables'!$A$4,1,0)</f>
        <v>0</v>
      </c>
      <c r="X5971">
        <f>IF(AND(LEFT(D5971,4)+1=LEFT(' Pivot Tables'!$A$4,4)+0,RIGHT(LEFT(D5971,7),2)=RIGHT(LEFT(' Pivot Tables'!$A$4,7),2)),1,0)</f>
        <v>0</v>
      </c>
      <c r="Y5971" s="6">
        <f>1/COUNTIF(Таблица1[Order ID],Таблица1[[#This Row],[Order ID]])</f>
        <v>0.5</v>
      </c>
      <c r="Z5971" s="9">
        <f>1/COUNTIFS(Таблица1[Customer Name],Таблица1[[#This Row],[Customer Name]],Таблица1[Order-Year-Month],Таблица1[[#This Row],[Order-Year-Month]])</f>
        <v>0.5</v>
      </c>
    </row>
    <row r="5972" spans="1:26" x14ac:dyDescent="0.2">
      <c r="A5972" s="6">
        <v>8362</v>
      </c>
      <c r="B5972" s="7">
        <v>59776</v>
      </c>
      <c r="C5972" s="8">
        <f>DATE(2012,12,31)-1393</f>
        <v>39881</v>
      </c>
      <c r="D5972" s="8" t="str">
        <f t="shared" si="110"/>
        <v>2009-03 (март 2009)</v>
      </c>
      <c r="E5972" s="9" t="s">
        <v>21</v>
      </c>
      <c r="F5972" s="7">
        <v>33</v>
      </c>
      <c r="G5972" s="7">
        <v>12215.43</v>
      </c>
      <c r="H5972" s="7">
        <v>7.0000000000000007E-2</v>
      </c>
      <c r="I5972" s="9" t="s">
        <v>31</v>
      </c>
      <c r="J5972" s="10">
        <v>5255.45</v>
      </c>
      <c r="K5972" s="11">
        <v>400.97</v>
      </c>
      <c r="L5972" s="11">
        <v>48.26</v>
      </c>
      <c r="M5972" s="9" t="s">
        <v>1960</v>
      </c>
      <c r="N5972" s="6" t="s">
        <v>1905</v>
      </c>
      <c r="O5972" s="6" t="s">
        <v>673</v>
      </c>
      <c r="P5972" s="9" t="s">
        <v>41</v>
      </c>
      <c r="Q5972" s="9" t="s">
        <v>42</v>
      </c>
      <c r="R5972" s="9" t="s">
        <v>210</v>
      </c>
      <c r="S5972" s="7" t="s">
        <v>966</v>
      </c>
      <c r="T5972" s="9" t="s">
        <v>82</v>
      </c>
      <c r="U5972" s="7">
        <v>0.36</v>
      </c>
      <c r="V5972" s="12">
        <f>C5972+4</f>
        <v>39885</v>
      </c>
      <c r="W5972">
        <f>IF(D5972=' Pivot Tables'!$A$4,1,0)</f>
        <v>0</v>
      </c>
      <c r="X5972">
        <f>IF(AND(LEFT(D5972,4)+1=LEFT(' Pivot Tables'!$A$4,4)+0,RIGHT(LEFT(D5972,7),2)=RIGHT(LEFT(' Pivot Tables'!$A$4,7),2)),1,0)</f>
        <v>0</v>
      </c>
      <c r="Y5972" s="6">
        <f>1/COUNTIF(Таблица1[Order ID],Таблица1[[#This Row],[Order ID]])</f>
        <v>0.5</v>
      </c>
      <c r="Z5972" s="9">
        <f>1/COUNTIFS(Таблица1[Customer Name],Таблица1[[#This Row],[Customer Name]],Таблица1[Order-Year-Month],Таблица1[[#This Row],[Order-Year-Month]])</f>
        <v>0.5</v>
      </c>
    </row>
    <row r="5973" spans="1:26" x14ac:dyDescent="0.2">
      <c r="A5973" s="6">
        <v>8372</v>
      </c>
      <c r="B5973" s="7">
        <v>59809</v>
      </c>
      <c r="C5973" s="8">
        <f>DATE(2012,12,31)-664</f>
        <v>40610</v>
      </c>
      <c r="D5973" s="8" t="str">
        <f t="shared" si="110"/>
        <v>2011-03 (март 2011)</v>
      </c>
      <c r="E5973" s="9" t="s">
        <v>45</v>
      </c>
      <c r="F5973" s="7">
        <v>12</v>
      </c>
      <c r="G5973" s="7">
        <v>138.66999999999999</v>
      </c>
      <c r="H5973" s="7">
        <v>0.08</v>
      </c>
      <c r="I5973" s="9" t="s">
        <v>22</v>
      </c>
      <c r="J5973" s="10">
        <v>-9.7174999999999994</v>
      </c>
      <c r="K5973" s="11">
        <v>11.7</v>
      </c>
      <c r="L5973" s="11">
        <v>5.63</v>
      </c>
      <c r="M5973" s="9" t="s">
        <v>1837</v>
      </c>
      <c r="N5973" s="6" t="s">
        <v>1905</v>
      </c>
      <c r="O5973" s="6" t="s">
        <v>673</v>
      </c>
      <c r="P5973" s="9" t="s">
        <v>60</v>
      </c>
      <c r="Q5973" s="9" t="s">
        <v>26</v>
      </c>
      <c r="R5973" s="9" t="s">
        <v>37</v>
      </c>
      <c r="S5973" s="7" t="s">
        <v>1333</v>
      </c>
      <c r="T5973" s="9" t="s">
        <v>39</v>
      </c>
      <c r="U5973" s="7">
        <v>0.4</v>
      </c>
      <c r="V5973" s="12">
        <f>C5973+2</f>
        <v>40612</v>
      </c>
      <c r="W5973">
        <f>IF(D5973=' Pivot Tables'!$A$4,1,0)</f>
        <v>0</v>
      </c>
      <c r="X5973">
        <f>IF(AND(LEFT(D5973,4)+1=LEFT(' Pivot Tables'!$A$4,4)+0,RIGHT(LEFT(D5973,7),2)=RIGHT(LEFT(' Pivot Tables'!$A$4,7),2)),1,0)</f>
        <v>0</v>
      </c>
      <c r="Y5973" s="6">
        <f>1/COUNTIF(Таблица1[Order ID],Таблица1[[#This Row],[Order ID]])</f>
        <v>0.5</v>
      </c>
      <c r="Z5973" s="9">
        <f>1/COUNTIFS(Таблица1[Customer Name],Таблица1[[#This Row],[Customer Name]],Таблица1[Order-Year-Month],Таблица1[[#This Row],[Order-Year-Month]])</f>
        <v>0.5</v>
      </c>
    </row>
    <row r="5974" spans="1:26" x14ac:dyDescent="0.2">
      <c r="A5974" s="6">
        <v>8373</v>
      </c>
      <c r="B5974" s="7">
        <v>59809</v>
      </c>
      <c r="C5974" s="8">
        <f>DATE(2012,12,31)-664</f>
        <v>40610</v>
      </c>
      <c r="D5974" s="8" t="str">
        <f t="shared" si="110"/>
        <v>2011-03 (март 2011)</v>
      </c>
      <c r="E5974" s="9" t="s">
        <v>45</v>
      </c>
      <c r="F5974" s="7">
        <v>16</v>
      </c>
      <c r="G5974" s="7">
        <v>506.84</v>
      </c>
      <c r="H5974" s="7">
        <v>0.02</v>
      </c>
      <c r="I5974" s="9" t="s">
        <v>22</v>
      </c>
      <c r="J5974" s="10">
        <v>-38.32</v>
      </c>
      <c r="K5974" s="11">
        <v>30.98</v>
      </c>
      <c r="L5974" s="11">
        <v>6.5</v>
      </c>
      <c r="M5974" s="9" t="s">
        <v>1837</v>
      </c>
      <c r="N5974" s="6" t="s">
        <v>1905</v>
      </c>
      <c r="O5974" s="6" t="s">
        <v>673</v>
      </c>
      <c r="P5974" s="9" t="s">
        <v>60</v>
      </c>
      <c r="Q5974" s="9" t="s">
        <v>42</v>
      </c>
      <c r="R5974" s="9" t="s">
        <v>70</v>
      </c>
      <c r="S5974" s="7" t="s">
        <v>601</v>
      </c>
      <c r="T5974" s="9" t="s">
        <v>39</v>
      </c>
      <c r="U5974" s="7">
        <v>0.64</v>
      </c>
      <c r="V5974" s="12">
        <f>C5974+1</f>
        <v>40611</v>
      </c>
      <c r="W5974">
        <f>IF(D5974=' Pivot Tables'!$A$4,1,0)</f>
        <v>0</v>
      </c>
      <c r="X5974">
        <f>IF(AND(LEFT(D5974,4)+1=LEFT(' Pivot Tables'!$A$4,4)+0,RIGHT(LEFT(D5974,7),2)=RIGHT(LEFT(' Pivot Tables'!$A$4,7),2)),1,0)</f>
        <v>0</v>
      </c>
      <c r="Y5974" s="6">
        <f>1/COUNTIF(Таблица1[Order ID],Таблица1[[#This Row],[Order ID]])</f>
        <v>0.5</v>
      </c>
      <c r="Z5974" s="9">
        <f>1/COUNTIFS(Таблица1[Customer Name],Таблица1[[#This Row],[Customer Name]],Таблица1[Order-Year-Month],Таблица1[[#This Row],[Order-Year-Month]])</f>
        <v>0.5</v>
      </c>
    </row>
    <row r="5975" spans="1:26" x14ac:dyDescent="0.2">
      <c r="A5975" s="6">
        <v>8392</v>
      </c>
      <c r="B5975" s="7">
        <v>59943</v>
      </c>
      <c r="C5975" s="8">
        <f>DATE(2012,12,31)-936</f>
        <v>40338</v>
      </c>
      <c r="D5975" s="8" t="str">
        <f t="shared" si="110"/>
        <v>2010-06 (июнь 2010)</v>
      </c>
      <c r="E5975" s="9" t="s">
        <v>78</v>
      </c>
      <c r="F5975" s="7">
        <v>43</v>
      </c>
      <c r="G5975" s="7">
        <v>679.65</v>
      </c>
      <c r="H5975" s="7">
        <v>0</v>
      </c>
      <c r="I5975" s="9" t="s">
        <v>22</v>
      </c>
      <c r="J5975" s="10">
        <v>31.203500000000002</v>
      </c>
      <c r="K5975" s="11">
        <v>15.01</v>
      </c>
      <c r="L5975" s="11">
        <v>8.4</v>
      </c>
      <c r="M5975" s="9" t="s">
        <v>1812</v>
      </c>
      <c r="N5975" s="6" t="s">
        <v>1905</v>
      </c>
      <c r="O5975" s="6" t="s">
        <v>673</v>
      </c>
      <c r="P5975" s="9" t="s">
        <v>60</v>
      </c>
      <c r="Q5975" s="9" t="s">
        <v>26</v>
      </c>
      <c r="R5975" s="9" t="s">
        <v>37</v>
      </c>
      <c r="S5975" s="7" t="s">
        <v>443</v>
      </c>
      <c r="T5975" s="9" t="s">
        <v>39</v>
      </c>
      <c r="U5975" s="7">
        <v>0.39</v>
      </c>
      <c r="V5975" s="12">
        <f>C5975+1</f>
        <v>40339</v>
      </c>
      <c r="W5975">
        <f>IF(D5975=' Pivot Tables'!$A$4,1,0)</f>
        <v>0</v>
      </c>
      <c r="X5975">
        <f>IF(AND(LEFT(D5975,4)+1=LEFT(' Pivot Tables'!$A$4,4)+0,RIGHT(LEFT(D5975,7),2)=RIGHT(LEFT(' Pivot Tables'!$A$4,7),2)),1,0)</f>
        <v>0</v>
      </c>
      <c r="Y5975" s="6">
        <f>1/COUNTIF(Таблица1[Order ID],Таблица1[[#This Row],[Order ID]])</f>
        <v>1</v>
      </c>
      <c r="Z5975" s="9">
        <f>1/COUNTIFS(Таблица1[Customer Name],Таблица1[[#This Row],[Customer Name]],Таблица1[Order-Year-Month],Таблица1[[#This Row],[Order-Year-Month]])</f>
        <v>1</v>
      </c>
    </row>
    <row r="5976" spans="1:26" x14ac:dyDescent="0.2">
      <c r="A5976" s="6">
        <v>48</v>
      </c>
      <c r="B5976" s="7">
        <v>292</v>
      </c>
      <c r="C5976" s="8">
        <f>DATE(2012,12,31)-354</f>
        <v>40920</v>
      </c>
      <c r="D5976" s="8" t="str">
        <f t="shared" si="110"/>
        <v>2012-01 (январь 2012)</v>
      </c>
      <c r="E5976" s="9" t="s">
        <v>30</v>
      </c>
      <c r="F5976" s="7">
        <v>43</v>
      </c>
      <c r="G5976" s="7">
        <v>412.62</v>
      </c>
      <c r="H5976" s="7">
        <v>0.08</v>
      </c>
      <c r="I5976" s="9" t="s">
        <v>22</v>
      </c>
      <c r="J5976" s="10">
        <v>175.54</v>
      </c>
      <c r="K5976" s="11">
        <v>9.9</v>
      </c>
      <c r="L5976" s="11">
        <v>1.39</v>
      </c>
      <c r="M5976" s="9" t="s">
        <v>1842</v>
      </c>
      <c r="N5976" s="6" t="s">
        <v>1905</v>
      </c>
      <c r="O5976" s="6" t="s">
        <v>673</v>
      </c>
      <c r="P5976" s="9" t="s">
        <v>33</v>
      </c>
      <c r="Q5976" s="9" t="s">
        <v>26</v>
      </c>
      <c r="R5976" s="9" t="s">
        <v>76</v>
      </c>
      <c r="S5976" s="7" t="s">
        <v>1664</v>
      </c>
      <c r="T5976" s="9" t="s">
        <v>39</v>
      </c>
      <c r="U5976" s="7">
        <v>0.37</v>
      </c>
      <c r="V5976" s="12">
        <f>C5976+1</f>
        <v>40921</v>
      </c>
      <c r="W5976">
        <f>IF(D5976=' Pivot Tables'!$A$4,1,0)</f>
        <v>0</v>
      </c>
      <c r="X5976">
        <f>IF(AND(LEFT(D5976,4)+1=LEFT(' Pivot Tables'!$A$4,4)+0,RIGHT(LEFT(D5976,7),2)=RIGHT(LEFT(' Pivot Tables'!$A$4,7),2)),1,0)</f>
        <v>0</v>
      </c>
      <c r="Y5976" s="6">
        <f>1/COUNTIF(Таблица1[Order ID],Таблица1[[#This Row],[Order ID]])</f>
        <v>1</v>
      </c>
      <c r="Z5976" s="9">
        <f>1/COUNTIFS(Таблица1[Customer Name],Таблица1[[#This Row],[Customer Name]],Таблица1[Order-Year-Month],Таблица1[[#This Row],[Order-Year-Month]])</f>
        <v>1</v>
      </c>
    </row>
    <row r="5977" spans="1:26" x14ac:dyDescent="0.2">
      <c r="A5977" s="6">
        <v>417</v>
      </c>
      <c r="B5977" s="7">
        <v>2817</v>
      </c>
      <c r="C5977" s="8">
        <f>DATE(2012,12,31)-1353</f>
        <v>39921</v>
      </c>
      <c r="D5977" s="8" t="str">
        <f t="shared" si="110"/>
        <v>2009-04 (апрель 2009)</v>
      </c>
      <c r="E5977" s="9" t="s">
        <v>63</v>
      </c>
      <c r="F5977" s="7">
        <v>14</v>
      </c>
      <c r="G5977" s="7">
        <v>3830.14</v>
      </c>
      <c r="H5977" s="7">
        <v>0.1</v>
      </c>
      <c r="I5977" s="9" t="s">
        <v>22</v>
      </c>
      <c r="J5977" s="10">
        <v>202.25</v>
      </c>
      <c r="K5977" s="11">
        <v>300.97000000000003</v>
      </c>
      <c r="L5977" s="11">
        <v>7.18</v>
      </c>
      <c r="M5977" s="9" t="s">
        <v>1970</v>
      </c>
      <c r="N5977" s="6" t="s">
        <v>1905</v>
      </c>
      <c r="O5977" s="6" t="s">
        <v>673</v>
      </c>
      <c r="P5977" s="9" t="s">
        <v>60</v>
      </c>
      <c r="Q5977" s="9" t="s">
        <v>42</v>
      </c>
      <c r="R5977" s="9" t="s">
        <v>70</v>
      </c>
      <c r="S5977" s="7" t="s">
        <v>1658</v>
      </c>
      <c r="T5977" s="9" t="s">
        <v>39</v>
      </c>
      <c r="U5977" s="7">
        <v>0.48</v>
      </c>
      <c r="V5977" s="12">
        <f>C5977+1</f>
        <v>39922</v>
      </c>
      <c r="W5977">
        <f>IF(D5977=' Pivot Tables'!$A$4,1,0)</f>
        <v>0</v>
      </c>
      <c r="X5977">
        <f>IF(AND(LEFT(D5977,4)+1=LEFT(' Pivot Tables'!$A$4,4)+0,RIGHT(LEFT(D5977,7),2)=RIGHT(LEFT(' Pivot Tables'!$A$4,7),2)),1,0)</f>
        <v>0</v>
      </c>
      <c r="Y5977" s="6">
        <f>1/COUNTIF(Таблица1[Order ID],Таблица1[[#This Row],[Order ID]])</f>
        <v>0.5</v>
      </c>
      <c r="Z5977" s="9">
        <f>1/COUNTIFS(Таблица1[Customer Name],Таблица1[[#This Row],[Customer Name]],Таблица1[Order-Year-Month],Таблица1[[#This Row],[Order-Year-Month]])</f>
        <v>0.5</v>
      </c>
    </row>
    <row r="5978" spans="1:26" x14ac:dyDescent="0.2">
      <c r="A5978" s="6">
        <v>418</v>
      </c>
      <c r="B5978" s="7">
        <v>2817</v>
      </c>
      <c r="C5978" s="8">
        <f>DATE(2012,12,31)-1353</f>
        <v>39921</v>
      </c>
      <c r="D5978" s="8" t="str">
        <f t="shared" si="110"/>
        <v>2009-04 (апрель 2009)</v>
      </c>
      <c r="E5978" s="9" t="s">
        <v>63</v>
      </c>
      <c r="F5978" s="7">
        <v>40</v>
      </c>
      <c r="G5978" s="7">
        <v>1559.86</v>
      </c>
      <c r="H5978" s="7">
        <v>0.06</v>
      </c>
      <c r="I5978" s="9" t="s">
        <v>22</v>
      </c>
      <c r="J5978" s="10">
        <v>672.37</v>
      </c>
      <c r="K5978" s="11">
        <v>39.89</v>
      </c>
      <c r="L5978" s="11">
        <v>3.04</v>
      </c>
      <c r="M5978" s="9" t="s">
        <v>1970</v>
      </c>
      <c r="N5978" s="6" t="s">
        <v>1905</v>
      </c>
      <c r="O5978" s="6" t="s">
        <v>673</v>
      </c>
      <c r="P5978" s="9" t="s">
        <v>60</v>
      </c>
      <c r="Q5978" s="9" t="s">
        <v>49</v>
      </c>
      <c r="R5978" s="9" t="s">
        <v>50</v>
      </c>
      <c r="S5978" s="7" t="s">
        <v>74</v>
      </c>
      <c r="T5978" s="9" t="s">
        <v>68</v>
      </c>
      <c r="U5978" s="7">
        <v>0.53</v>
      </c>
      <c r="V5978" s="12">
        <f>C5978+2</f>
        <v>39923</v>
      </c>
      <c r="W5978">
        <f>IF(D5978=' Pivot Tables'!$A$4,1,0)</f>
        <v>0</v>
      </c>
      <c r="X5978">
        <f>IF(AND(LEFT(D5978,4)+1=LEFT(' Pivot Tables'!$A$4,4)+0,RIGHT(LEFT(D5978,7),2)=RIGHT(LEFT(' Pivot Tables'!$A$4,7),2)),1,0)</f>
        <v>0</v>
      </c>
      <c r="Y5978" s="6">
        <f>1/COUNTIF(Таблица1[Order ID],Таблица1[[#This Row],[Order ID]])</f>
        <v>0.5</v>
      </c>
      <c r="Z5978" s="9">
        <f>1/COUNTIFS(Таблица1[Customer Name],Таблица1[[#This Row],[Customer Name]],Таблица1[Order-Year-Month],Таблица1[[#This Row],[Order-Year-Month]])</f>
        <v>0.5</v>
      </c>
    </row>
    <row r="5979" spans="1:26" x14ac:dyDescent="0.2">
      <c r="A5979" s="6">
        <v>426</v>
      </c>
      <c r="B5979" s="7">
        <v>2852</v>
      </c>
      <c r="C5979" s="8">
        <f>DATE(2012,12,31)-1081</f>
        <v>40193</v>
      </c>
      <c r="D5979" s="8" t="str">
        <f t="shared" si="110"/>
        <v>2010-01 (январь 2010)</v>
      </c>
      <c r="E5979" s="9" t="s">
        <v>78</v>
      </c>
      <c r="F5979" s="7">
        <v>10</v>
      </c>
      <c r="G5979" s="7">
        <v>74.87</v>
      </c>
      <c r="H5979" s="7">
        <v>0.02</v>
      </c>
      <c r="I5979" s="9" t="s">
        <v>22</v>
      </c>
      <c r="J5979" s="10">
        <v>-43.97</v>
      </c>
      <c r="K5979" s="11">
        <v>6.48</v>
      </c>
      <c r="L5979" s="11">
        <v>8.19</v>
      </c>
      <c r="M5979" s="9" t="s">
        <v>1970</v>
      </c>
      <c r="N5979" s="6" t="s">
        <v>1905</v>
      </c>
      <c r="O5979" s="6" t="s">
        <v>673</v>
      </c>
      <c r="P5979" s="9" t="s">
        <v>60</v>
      </c>
      <c r="Q5979" s="9" t="s">
        <v>26</v>
      </c>
      <c r="R5979" s="9" t="s">
        <v>61</v>
      </c>
      <c r="S5979" s="7" t="s">
        <v>176</v>
      </c>
      <c r="T5979" s="9" t="s">
        <v>39</v>
      </c>
      <c r="U5979" s="7">
        <v>0.37</v>
      </c>
      <c r="V5979" s="12">
        <f>C5979+0</f>
        <v>40193</v>
      </c>
      <c r="W5979">
        <f>IF(D5979=' Pivot Tables'!$A$4,1,0)</f>
        <v>1</v>
      </c>
      <c r="X5979">
        <f>IF(AND(LEFT(D5979,4)+1=LEFT(' Pivot Tables'!$A$4,4)+0,RIGHT(LEFT(D5979,7),2)=RIGHT(LEFT(' Pivot Tables'!$A$4,7),2)),1,0)</f>
        <v>0</v>
      </c>
      <c r="Y5979" s="6">
        <f>1/COUNTIF(Таблица1[Order ID],Таблица1[[#This Row],[Order ID]])</f>
        <v>0.5</v>
      </c>
      <c r="Z5979" s="9">
        <f>1/COUNTIFS(Таблица1[Customer Name],Таблица1[[#This Row],[Customer Name]],Таблица1[Order-Year-Month],Таблица1[[#This Row],[Order-Year-Month]])</f>
        <v>0.5</v>
      </c>
    </row>
    <row r="5980" spans="1:26" x14ac:dyDescent="0.2">
      <c r="A5980" s="6">
        <v>427</v>
      </c>
      <c r="B5980" s="7">
        <v>2852</v>
      </c>
      <c r="C5980" s="8">
        <f>DATE(2012,12,31)-1081</f>
        <v>40193</v>
      </c>
      <c r="D5980" s="8" t="str">
        <f t="shared" si="110"/>
        <v>2010-01 (январь 2010)</v>
      </c>
      <c r="E5980" s="9" t="s">
        <v>78</v>
      </c>
      <c r="F5980" s="7">
        <v>42</v>
      </c>
      <c r="G5980" s="7">
        <v>3931.3179999999998</v>
      </c>
      <c r="H5980" s="7">
        <v>0.06</v>
      </c>
      <c r="I5980" s="9" t="s">
        <v>22</v>
      </c>
      <c r="J5980" s="10">
        <v>1025.451</v>
      </c>
      <c r="K5980" s="11">
        <v>115.99</v>
      </c>
      <c r="L5980" s="11">
        <v>4.2300000000000004</v>
      </c>
      <c r="M5980" s="9" t="s">
        <v>1970</v>
      </c>
      <c r="N5980" s="6" t="s">
        <v>1905</v>
      </c>
      <c r="O5980" s="6" t="s">
        <v>673</v>
      </c>
      <c r="P5980" s="9" t="s">
        <v>60</v>
      </c>
      <c r="Q5980" s="9" t="s">
        <v>42</v>
      </c>
      <c r="R5980" s="9" t="s">
        <v>43</v>
      </c>
      <c r="S5980" s="7" t="s">
        <v>1569</v>
      </c>
      <c r="T5980" s="9" t="s">
        <v>39</v>
      </c>
      <c r="U5980" s="7">
        <v>0.56000000000000005</v>
      </c>
      <c r="V5980" s="12">
        <f>C5980+1</f>
        <v>40194</v>
      </c>
      <c r="W5980">
        <f>IF(D5980=' Pivot Tables'!$A$4,1,0)</f>
        <v>1</v>
      </c>
      <c r="X5980">
        <f>IF(AND(LEFT(D5980,4)+1=LEFT(' Pivot Tables'!$A$4,4)+0,RIGHT(LEFT(D5980,7),2)=RIGHT(LEFT(' Pivot Tables'!$A$4,7),2)),1,0)</f>
        <v>0</v>
      </c>
      <c r="Y5980" s="6">
        <f>1/COUNTIF(Таблица1[Order ID],Таблица1[[#This Row],[Order ID]])</f>
        <v>0.5</v>
      </c>
      <c r="Z5980" s="9">
        <f>1/COUNTIFS(Таблица1[Customer Name],Таблица1[[#This Row],[Customer Name]],Таблица1[Order-Year-Month],Таблица1[[#This Row],[Order-Year-Month]])</f>
        <v>0.5</v>
      </c>
    </row>
    <row r="5981" spans="1:26" x14ac:dyDescent="0.2">
      <c r="A5981" s="6">
        <v>626</v>
      </c>
      <c r="B5981" s="7">
        <v>4359</v>
      </c>
      <c r="C5981" s="8">
        <f>DATE(2012,12,31)-1035</f>
        <v>40239</v>
      </c>
      <c r="D5981" s="8" t="str">
        <f t="shared" si="110"/>
        <v>2010-03 (март 2010)</v>
      </c>
      <c r="E5981" s="9" t="s">
        <v>78</v>
      </c>
      <c r="F5981" s="7">
        <v>21</v>
      </c>
      <c r="G5981" s="7">
        <v>215.76</v>
      </c>
      <c r="H5981" s="7">
        <v>0.09</v>
      </c>
      <c r="I5981" s="9" t="s">
        <v>22</v>
      </c>
      <c r="J5981" s="10">
        <v>-97.75</v>
      </c>
      <c r="K5981" s="11">
        <v>10.9</v>
      </c>
      <c r="L5981" s="11">
        <v>7.46</v>
      </c>
      <c r="M5981" s="9" t="s">
        <v>1971</v>
      </c>
      <c r="N5981" s="6" t="s">
        <v>1905</v>
      </c>
      <c r="O5981" s="6" t="s">
        <v>673</v>
      </c>
      <c r="P5981" s="9" t="s">
        <v>60</v>
      </c>
      <c r="Q5981" s="9" t="s">
        <v>26</v>
      </c>
      <c r="R5981" s="9" t="s">
        <v>27</v>
      </c>
      <c r="S5981" s="7" t="s">
        <v>159</v>
      </c>
      <c r="T5981" s="9" t="s">
        <v>39</v>
      </c>
      <c r="U5981" s="7">
        <v>0.59</v>
      </c>
      <c r="V5981" s="12">
        <f>C5981+2</f>
        <v>40241</v>
      </c>
      <c r="W5981">
        <f>IF(D5981=' Pivot Tables'!$A$4,1,0)</f>
        <v>0</v>
      </c>
      <c r="X5981">
        <f>IF(AND(LEFT(D5981,4)+1=LEFT(' Pivot Tables'!$A$4,4)+0,RIGHT(LEFT(D5981,7),2)=RIGHT(LEFT(' Pivot Tables'!$A$4,7),2)),1,0)</f>
        <v>0</v>
      </c>
      <c r="Y5981" s="6">
        <f>1/COUNTIF(Таблица1[Order ID],Таблица1[[#This Row],[Order ID]])</f>
        <v>1</v>
      </c>
      <c r="Z5981" s="9">
        <f>1/COUNTIFS(Таблица1[Customer Name],Таблица1[[#This Row],[Customer Name]],Таблица1[Order-Year-Month],Таблица1[[#This Row],[Order-Year-Month]])</f>
        <v>1</v>
      </c>
    </row>
    <row r="5982" spans="1:26" x14ac:dyDescent="0.2">
      <c r="A5982" s="6">
        <v>1136</v>
      </c>
      <c r="B5982" s="7">
        <v>8293</v>
      </c>
      <c r="C5982" s="8">
        <f>DATE(2012,12,31)-143</f>
        <v>41131</v>
      </c>
      <c r="D5982" s="8" t="str">
        <f t="shared" si="110"/>
        <v>2012-08 (август 2012)</v>
      </c>
      <c r="E5982" s="9" t="s">
        <v>21</v>
      </c>
      <c r="F5982" s="7">
        <v>22</v>
      </c>
      <c r="G5982" s="7">
        <v>75.03</v>
      </c>
      <c r="H5982" s="7">
        <v>0.02</v>
      </c>
      <c r="I5982" s="9" t="s">
        <v>22</v>
      </c>
      <c r="J5982" s="10">
        <v>-31.52</v>
      </c>
      <c r="K5982" s="11">
        <v>3.14</v>
      </c>
      <c r="L5982" s="11">
        <v>1.92</v>
      </c>
      <c r="M5982" s="9" t="s">
        <v>1608</v>
      </c>
      <c r="N5982" s="6" t="s">
        <v>1905</v>
      </c>
      <c r="O5982" s="6" t="s">
        <v>673</v>
      </c>
      <c r="P5982" s="9" t="s">
        <v>25</v>
      </c>
      <c r="Q5982" s="9" t="s">
        <v>26</v>
      </c>
      <c r="R5982" s="9" t="s">
        <v>150</v>
      </c>
      <c r="S5982" s="7" t="s">
        <v>699</v>
      </c>
      <c r="T5982" s="9" t="s">
        <v>68</v>
      </c>
      <c r="U5982" s="7">
        <v>0.84</v>
      </c>
      <c r="V5982" s="12">
        <f>C5982+4</f>
        <v>41135</v>
      </c>
      <c r="W5982">
        <f>IF(D5982=' Pivot Tables'!$A$4,1,0)</f>
        <v>0</v>
      </c>
      <c r="X5982">
        <f>IF(AND(LEFT(D5982,4)+1=LEFT(' Pivot Tables'!$A$4,4)+0,RIGHT(LEFT(D5982,7),2)=RIGHT(LEFT(' Pivot Tables'!$A$4,7),2)),1,0)</f>
        <v>0</v>
      </c>
      <c r="Y5982" s="6">
        <f>1/COUNTIF(Таблица1[Order ID],Таблица1[[#This Row],[Order ID]])</f>
        <v>0.5</v>
      </c>
      <c r="Z5982" s="9">
        <f>1/COUNTIFS(Таблица1[Customer Name],Таблица1[[#This Row],[Customer Name]],Таблица1[Order-Year-Month],Таблица1[[#This Row],[Order-Year-Month]])</f>
        <v>0.5</v>
      </c>
    </row>
    <row r="5983" spans="1:26" x14ac:dyDescent="0.2">
      <c r="A5983" s="6">
        <v>1254</v>
      </c>
      <c r="B5983" s="7">
        <v>9095</v>
      </c>
      <c r="C5983" s="8">
        <f>DATE(2012,12,31)-570</f>
        <v>40704</v>
      </c>
      <c r="D5983" s="8" t="str">
        <f t="shared" si="110"/>
        <v>2011-06 (июнь 2011)</v>
      </c>
      <c r="E5983" s="9" t="s">
        <v>30</v>
      </c>
      <c r="F5983" s="7">
        <v>23</v>
      </c>
      <c r="G5983" s="7">
        <v>294.91000000000003</v>
      </c>
      <c r="H5983" s="7">
        <v>0.03</v>
      </c>
      <c r="I5983" s="9" t="s">
        <v>22</v>
      </c>
      <c r="J5983" s="10">
        <v>-37.270000000000003</v>
      </c>
      <c r="K5983" s="11">
        <v>12.44</v>
      </c>
      <c r="L5983" s="11">
        <v>6.27</v>
      </c>
      <c r="M5983" s="9" t="s">
        <v>1972</v>
      </c>
      <c r="N5983" s="6" t="s">
        <v>1905</v>
      </c>
      <c r="O5983" s="6" t="s">
        <v>673</v>
      </c>
      <c r="P5983" s="9" t="s">
        <v>25</v>
      </c>
      <c r="Q5983" s="9" t="s">
        <v>26</v>
      </c>
      <c r="R5983" s="9" t="s">
        <v>27</v>
      </c>
      <c r="S5983" s="7" t="s">
        <v>756</v>
      </c>
      <c r="T5983" s="9" t="s">
        <v>48</v>
      </c>
      <c r="U5983" s="7">
        <v>0.56999999999999995</v>
      </c>
      <c r="V5983" s="12">
        <f>C5983+2</f>
        <v>40706</v>
      </c>
      <c r="W5983">
        <f>IF(D5983=' Pivot Tables'!$A$4,1,0)</f>
        <v>0</v>
      </c>
      <c r="X5983">
        <f>IF(AND(LEFT(D5983,4)+1=LEFT(' Pivot Tables'!$A$4,4)+0,RIGHT(LEFT(D5983,7),2)=RIGHT(LEFT(' Pivot Tables'!$A$4,7),2)),1,0)</f>
        <v>0</v>
      </c>
      <c r="Y5983" s="6">
        <f>1/COUNTIF(Таблица1[Order ID],Таблица1[[#This Row],[Order ID]])</f>
        <v>1</v>
      </c>
      <c r="Z5983" s="9">
        <f>1/COUNTIFS(Таблица1[Customer Name],Таблица1[[#This Row],[Customer Name]],Таблица1[Order-Year-Month],Таблица1[[#This Row],[Order-Year-Month]])</f>
        <v>1</v>
      </c>
    </row>
    <row r="5984" spans="1:26" x14ac:dyDescent="0.2">
      <c r="A5984" s="6">
        <v>1276</v>
      </c>
      <c r="B5984" s="7">
        <v>9254</v>
      </c>
      <c r="C5984" s="8">
        <f>DATE(2012,12,31)-962</f>
        <v>40312</v>
      </c>
      <c r="D5984" s="8" t="str">
        <f t="shared" si="110"/>
        <v>2010-05 (май 2010)</v>
      </c>
      <c r="E5984" s="9" t="s">
        <v>63</v>
      </c>
      <c r="F5984" s="7">
        <v>24</v>
      </c>
      <c r="G5984" s="7">
        <v>131.65</v>
      </c>
      <c r="H5984" s="7">
        <v>0.01</v>
      </c>
      <c r="I5984" s="9" t="s">
        <v>56</v>
      </c>
      <c r="J5984" s="10">
        <v>67.41</v>
      </c>
      <c r="K5984" s="11">
        <v>4.91</v>
      </c>
      <c r="L5984" s="11">
        <v>0.5</v>
      </c>
      <c r="M5984" s="9" t="s">
        <v>1973</v>
      </c>
      <c r="N5984" s="6" t="s">
        <v>1905</v>
      </c>
      <c r="O5984" s="6" t="s">
        <v>673</v>
      </c>
      <c r="P5984" s="9" t="s">
        <v>33</v>
      </c>
      <c r="Q5984" s="9" t="s">
        <v>26</v>
      </c>
      <c r="R5984" s="9" t="s">
        <v>88</v>
      </c>
      <c r="S5984" s="7" t="s">
        <v>468</v>
      </c>
      <c r="T5984" s="9" t="s">
        <v>39</v>
      </c>
      <c r="U5984" s="7">
        <v>0.36</v>
      </c>
      <c r="V5984" s="12">
        <f>C5984+2</f>
        <v>40314</v>
      </c>
      <c r="W5984">
        <f>IF(D5984=' Pivot Tables'!$A$4,1,0)</f>
        <v>0</v>
      </c>
      <c r="X5984">
        <f>IF(AND(LEFT(D5984,4)+1=LEFT(' Pivot Tables'!$A$4,4)+0,RIGHT(LEFT(D5984,7),2)=RIGHT(LEFT(' Pivot Tables'!$A$4,7),2)),1,0)</f>
        <v>0</v>
      </c>
      <c r="Y5984" s="6">
        <f>1/COUNTIF(Таблица1[Order ID],Таблица1[[#This Row],[Order ID]])</f>
        <v>1</v>
      </c>
      <c r="Z5984" s="9">
        <f>1/COUNTIFS(Таблица1[Customer Name],Таблица1[[#This Row],[Customer Name]],Таблица1[Order-Year-Month],Таблица1[[#This Row],[Order-Year-Month]])</f>
        <v>1</v>
      </c>
    </row>
    <row r="5985" spans="1:26" x14ac:dyDescent="0.2">
      <c r="A5985" s="6">
        <v>1346</v>
      </c>
      <c r="B5985" s="7">
        <v>9829</v>
      </c>
      <c r="C5985" s="8">
        <f>DATE(2012,12,31)-389</f>
        <v>40885</v>
      </c>
      <c r="D5985" s="8" t="str">
        <f t="shared" si="110"/>
        <v>2011-12 (декабрь 2011)</v>
      </c>
      <c r="E5985" s="9" t="s">
        <v>78</v>
      </c>
      <c r="F5985" s="7">
        <v>23</v>
      </c>
      <c r="G5985" s="7">
        <v>750.39</v>
      </c>
      <c r="H5985" s="7">
        <v>0.04</v>
      </c>
      <c r="I5985" s="9" t="s">
        <v>22</v>
      </c>
      <c r="J5985" s="10">
        <v>133.70500000000001</v>
      </c>
      <c r="K5985" s="11">
        <v>30.98</v>
      </c>
      <c r="L5985" s="11">
        <v>11.63</v>
      </c>
      <c r="M5985" s="9" t="s">
        <v>1842</v>
      </c>
      <c r="N5985" s="6" t="s">
        <v>1905</v>
      </c>
      <c r="O5985" s="6" t="s">
        <v>673</v>
      </c>
      <c r="P5985" s="9" t="s">
        <v>33</v>
      </c>
      <c r="Q5985" s="9" t="s">
        <v>26</v>
      </c>
      <c r="R5985" s="9" t="s">
        <v>37</v>
      </c>
      <c r="S5985" s="7" t="s">
        <v>228</v>
      </c>
      <c r="T5985" s="9" t="s">
        <v>39</v>
      </c>
      <c r="U5985" s="7">
        <v>0.37</v>
      </c>
      <c r="V5985" s="12">
        <f>C5985+1</f>
        <v>40886</v>
      </c>
      <c r="W5985">
        <f>IF(D5985=' Pivot Tables'!$A$4,1,0)</f>
        <v>0</v>
      </c>
      <c r="X5985">
        <f>IF(AND(LEFT(D5985,4)+1=LEFT(' Pivot Tables'!$A$4,4)+0,RIGHT(LEFT(D5985,7),2)=RIGHT(LEFT(' Pivot Tables'!$A$4,7),2)),1,0)</f>
        <v>0</v>
      </c>
      <c r="Y5985" s="6">
        <f>1/COUNTIF(Таблица1[Order ID],Таблица1[[#This Row],[Order ID]])</f>
        <v>0.5</v>
      </c>
      <c r="Z5985" s="9">
        <f>1/COUNTIFS(Таблица1[Customer Name],Таблица1[[#This Row],[Customer Name]],Таблица1[Order-Year-Month],Таблица1[[#This Row],[Order-Year-Month]])</f>
        <v>0.5</v>
      </c>
    </row>
    <row r="5986" spans="1:26" x14ac:dyDescent="0.2">
      <c r="A5986" s="6">
        <v>1347</v>
      </c>
      <c r="B5986" s="7">
        <v>9829</v>
      </c>
      <c r="C5986" s="8">
        <f>DATE(2012,12,31)-389</f>
        <v>40885</v>
      </c>
      <c r="D5986" s="8" t="str">
        <f t="shared" si="110"/>
        <v>2011-12 (декабрь 2011)</v>
      </c>
      <c r="E5986" s="9" t="s">
        <v>78</v>
      </c>
      <c r="F5986" s="7">
        <v>4</v>
      </c>
      <c r="G5986" s="7">
        <v>18.46</v>
      </c>
      <c r="H5986" s="7">
        <v>0.06</v>
      </c>
      <c r="I5986" s="9" t="s">
        <v>22</v>
      </c>
      <c r="J5986" s="10">
        <v>-0.43</v>
      </c>
      <c r="K5986" s="11">
        <v>4.91</v>
      </c>
      <c r="L5986" s="11">
        <v>0.5</v>
      </c>
      <c r="M5986" s="9" t="s">
        <v>1842</v>
      </c>
      <c r="N5986" s="6" t="s">
        <v>1905</v>
      </c>
      <c r="O5986" s="6" t="s">
        <v>673</v>
      </c>
      <c r="P5986" s="9" t="s">
        <v>33</v>
      </c>
      <c r="Q5986" s="9" t="s">
        <v>26</v>
      </c>
      <c r="R5986" s="9" t="s">
        <v>88</v>
      </c>
      <c r="S5986" s="7" t="s">
        <v>1370</v>
      </c>
      <c r="T5986" s="9" t="s">
        <v>39</v>
      </c>
      <c r="U5986" s="7">
        <v>0.36</v>
      </c>
      <c r="V5986" s="12">
        <f>C5986+2</f>
        <v>40887</v>
      </c>
      <c r="W5986">
        <f>IF(D5986=' Pivot Tables'!$A$4,1,0)</f>
        <v>0</v>
      </c>
      <c r="X5986">
        <f>IF(AND(LEFT(D5986,4)+1=LEFT(' Pivot Tables'!$A$4,4)+0,RIGHT(LEFT(D5986,7),2)=RIGHT(LEFT(' Pivot Tables'!$A$4,7),2)),1,0)</f>
        <v>0</v>
      </c>
      <c r="Y5986" s="6">
        <f>1/COUNTIF(Таблица1[Order ID],Таблица1[[#This Row],[Order ID]])</f>
        <v>0.5</v>
      </c>
      <c r="Z5986" s="9">
        <f>1/COUNTIFS(Таблица1[Customer Name],Таблица1[[#This Row],[Customer Name]],Таблица1[Order-Year-Month],Таблица1[[#This Row],[Order-Year-Month]])</f>
        <v>0.5</v>
      </c>
    </row>
    <row r="5987" spans="1:26" x14ac:dyDescent="0.2">
      <c r="A5987" s="6">
        <v>1460</v>
      </c>
      <c r="B5987" s="7">
        <v>10528</v>
      </c>
      <c r="C5987" s="8">
        <f>DATE(2012,12,31)-1205</f>
        <v>40069</v>
      </c>
      <c r="D5987" s="8" t="str">
        <f t="shared" si="110"/>
        <v>2009-09 (сентябрь 2009)</v>
      </c>
      <c r="E5987" s="9" t="s">
        <v>63</v>
      </c>
      <c r="F5987" s="7">
        <v>47</v>
      </c>
      <c r="G5987" s="7">
        <v>838.4</v>
      </c>
      <c r="H5987" s="7">
        <v>0.02</v>
      </c>
      <c r="I5987" s="9" t="s">
        <v>56</v>
      </c>
      <c r="J5987" s="10">
        <v>-132.91</v>
      </c>
      <c r="K5987" s="11">
        <v>17.7</v>
      </c>
      <c r="L5987" s="11">
        <v>9.4700000000000006</v>
      </c>
      <c r="M5987" s="9" t="s">
        <v>1974</v>
      </c>
      <c r="N5987" s="6" t="s">
        <v>1905</v>
      </c>
      <c r="O5987" s="6" t="s">
        <v>673</v>
      </c>
      <c r="P5987" s="9" t="s">
        <v>41</v>
      </c>
      <c r="Q5987" s="9" t="s">
        <v>26</v>
      </c>
      <c r="R5987" s="9" t="s">
        <v>27</v>
      </c>
      <c r="S5987" s="7" t="s">
        <v>1446</v>
      </c>
      <c r="T5987" s="9" t="s">
        <v>39</v>
      </c>
      <c r="U5987" s="7">
        <v>0.59</v>
      </c>
      <c r="V5987" s="12">
        <f>C5987+2</f>
        <v>40071</v>
      </c>
      <c r="W5987">
        <f>IF(D5987=' Pivot Tables'!$A$4,1,0)</f>
        <v>0</v>
      </c>
      <c r="X5987">
        <f>IF(AND(LEFT(D5987,4)+1=LEFT(' Pivot Tables'!$A$4,4)+0,RIGHT(LEFT(D5987,7),2)=RIGHT(LEFT(' Pivot Tables'!$A$4,7),2)),1,0)</f>
        <v>0</v>
      </c>
      <c r="Y5987" s="6">
        <f>1/COUNTIF(Таблица1[Order ID],Таблица1[[#This Row],[Order ID]])</f>
        <v>1</v>
      </c>
      <c r="Z5987" s="9">
        <f>1/COUNTIFS(Таблица1[Customer Name],Таблица1[[#This Row],[Customer Name]],Таблица1[Order-Year-Month],Таблица1[[#This Row],[Order-Year-Month]])</f>
        <v>1</v>
      </c>
    </row>
    <row r="5988" spans="1:26" x14ac:dyDescent="0.2">
      <c r="A5988" s="6">
        <v>1492</v>
      </c>
      <c r="B5988" s="7">
        <v>10754</v>
      </c>
      <c r="C5988" s="8">
        <f>DATE(2012,12,31)-1020</f>
        <v>40254</v>
      </c>
      <c r="D5988" s="8" t="str">
        <f t="shared" si="110"/>
        <v>2010-03 (март 2010)</v>
      </c>
      <c r="E5988" s="9" t="s">
        <v>21</v>
      </c>
      <c r="F5988" s="7">
        <v>7</v>
      </c>
      <c r="G5988" s="7">
        <v>48.04</v>
      </c>
      <c r="H5988" s="7">
        <v>0.09</v>
      </c>
      <c r="I5988" s="9" t="s">
        <v>22</v>
      </c>
      <c r="J5988" s="10">
        <v>-23.28</v>
      </c>
      <c r="K5988" s="11">
        <v>6.48</v>
      </c>
      <c r="L5988" s="11">
        <v>5.94</v>
      </c>
      <c r="M5988" s="9" t="s">
        <v>1975</v>
      </c>
      <c r="N5988" s="6" t="s">
        <v>1905</v>
      </c>
      <c r="O5988" s="6" t="s">
        <v>673</v>
      </c>
      <c r="P5988" s="9" t="s">
        <v>41</v>
      </c>
      <c r="Q5988" s="9" t="s">
        <v>26</v>
      </c>
      <c r="R5988" s="9" t="s">
        <v>61</v>
      </c>
      <c r="S5988" s="7" t="s">
        <v>994</v>
      </c>
      <c r="T5988" s="9" t="s">
        <v>39</v>
      </c>
      <c r="U5988" s="7">
        <v>0.37</v>
      </c>
      <c r="V5988" s="12">
        <f>C5988+2</f>
        <v>40256</v>
      </c>
      <c r="W5988">
        <f>IF(D5988=' Pivot Tables'!$A$4,1,0)</f>
        <v>0</v>
      </c>
      <c r="X5988">
        <f>IF(AND(LEFT(D5988,4)+1=LEFT(' Pivot Tables'!$A$4,4)+0,RIGHT(LEFT(D5988,7),2)=RIGHT(LEFT(' Pivot Tables'!$A$4,7),2)),1,0)</f>
        <v>0</v>
      </c>
      <c r="Y5988" s="6">
        <f>1/COUNTIF(Таблица1[Order ID],Таблица1[[#This Row],[Order ID]])</f>
        <v>1</v>
      </c>
      <c r="Z5988" s="9">
        <f>1/COUNTIFS(Таблица1[Customer Name],Таблица1[[#This Row],[Customer Name]],Таблица1[Order-Year-Month],Таблица1[[#This Row],[Order-Year-Month]])</f>
        <v>1</v>
      </c>
    </row>
    <row r="5989" spans="1:26" x14ac:dyDescent="0.2">
      <c r="A5989" s="6">
        <v>1541</v>
      </c>
      <c r="B5989" s="7">
        <v>11109</v>
      </c>
      <c r="C5989" s="8">
        <f>DATE(2012,12,31)-657</f>
        <v>40617</v>
      </c>
      <c r="D5989" s="8" t="str">
        <f t="shared" si="110"/>
        <v>2011-03 (март 2011)</v>
      </c>
      <c r="E5989" s="9" t="s">
        <v>63</v>
      </c>
      <c r="F5989" s="7">
        <v>18</v>
      </c>
      <c r="G5989" s="7">
        <v>130.38</v>
      </c>
      <c r="H5989" s="7">
        <v>0.08</v>
      </c>
      <c r="I5989" s="9" t="s">
        <v>22</v>
      </c>
      <c r="J5989" s="10">
        <v>31.52</v>
      </c>
      <c r="K5989" s="11">
        <v>7.4</v>
      </c>
      <c r="L5989" s="11">
        <v>1.71</v>
      </c>
      <c r="M5989" s="9" t="s">
        <v>1975</v>
      </c>
      <c r="N5989" s="6" t="s">
        <v>1905</v>
      </c>
      <c r="O5989" s="6" t="s">
        <v>673</v>
      </c>
      <c r="P5989" s="9" t="s">
        <v>33</v>
      </c>
      <c r="Q5989" s="9" t="s">
        <v>26</v>
      </c>
      <c r="R5989" s="9" t="s">
        <v>61</v>
      </c>
      <c r="S5989" s="7" t="s">
        <v>864</v>
      </c>
      <c r="T5989" s="9" t="s">
        <v>68</v>
      </c>
      <c r="U5989" s="7">
        <v>0.4</v>
      </c>
      <c r="V5989" s="12">
        <f>C5989+1</f>
        <v>40618</v>
      </c>
      <c r="W5989">
        <f>IF(D5989=' Pivot Tables'!$A$4,1,0)</f>
        <v>0</v>
      </c>
      <c r="X5989">
        <f>IF(AND(LEFT(D5989,4)+1=LEFT(' Pivot Tables'!$A$4,4)+0,RIGHT(LEFT(D5989,7),2)=RIGHT(LEFT(' Pivot Tables'!$A$4,7),2)),1,0)</f>
        <v>0</v>
      </c>
      <c r="Y5989" s="6">
        <f>1/COUNTIF(Таблица1[Order ID],Таблица1[[#This Row],[Order ID]])</f>
        <v>1</v>
      </c>
      <c r="Z5989" s="9">
        <f>1/COUNTIFS(Таблица1[Customer Name],Таблица1[[#This Row],[Customer Name]],Таблица1[Order-Year-Month],Таблица1[[#This Row],[Order-Year-Month]])</f>
        <v>1</v>
      </c>
    </row>
    <row r="5990" spans="1:26" x14ac:dyDescent="0.2">
      <c r="A5990" s="6">
        <v>1581</v>
      </c>
      <c r="B5990" s="7">
        <v>11426</v>
      </c>
      <c r="C5990" s="8">
        <f>DATE(2012,12,31)-1334</f>
        <v>39940</v>
      </c>
      <c r="D5990" s="8" t="str">
        <f t="shared" si="110"/>
        <v>2009-05 (май 2009)</v>
      </c>
      <c r="E5990" s="9" t="s">
        <v>63</v>
      </c>
      <c r="F5990" s="7">
        <v>19</v>
      </c>
      <c r="G5990" s="7">
        <v>333.68</v>
      </c>
      <c r="H5990" s="7">
        <v>0.01</v>
      </c>
      <c r="I5990" s="9" t="s">
        <v>22</v>
      </c>
      <c r="J5990" s="10">
        <v>81.96</v>
      </c>
      <c r="K5990" s="11">
        <v>16.48</v>
      </c>
      <c r="L5990" s="11">
        <v>1.99</v>
      </c>
      <c r="M5990" s="9" t="s">
        <v>1976</v>
      </c>
      <c r="N5990" s="6" t="s">
        <v>1905</v>
      </c>
      <c r="O5990" s="6" t="s">
        <v>673</v>
      </c>
      <c r="P5990" s="9" t="s">
        <v>33</v>
      </c>
      <c r="Q5990" s="9" t="s">
        <v>42</v>
      </c>
      <c r="R5990" s="9" t="s">
        <v>70</v>
      </c>
      <c r="S5990" s="7" t="s">
        <v>848</v>
      </c>
      <c r="T5990" s="9" t="s">
        <v>52</v>
      </c>
      <c r="U5990" s="7">
        <v>0.42</v>
      </c>
      <c r="V5990" s="12">
        <f>C5990+1</f>
        <v>39941</v>
      </c>
      <c r="W5990">
        <f>IF(D5990=' Pivot Tables'!$A$4,1,0)</f>
        <v>0</v>
      </c>
      <c r="X5990">
        <f>IF(AND(LEFT(D5990,4)+1=LEFT(' Pivot Tables'!$A$4,4)+0,RIGHT(LEFT(D5990,7),2)=RIGHT(LEFT(' Pivot Tables'!$A$4,7),2)),1,0)</f>
        <v>0</v>
      </c>
      <c r="Y5990" s="6">
        <f>1/COUNTIF(Таблица1[Order ID],Таблица1[[#This Row],[Order ID]])</f>
        <v>1</v>
      </c>
      <c r="Z5990" s="9">
        <f>1/COUNTIFS(Таблица1[Customer Name],Таблица1[[#This Row],[Customer Name]],Таблица1[Order-Year-Month],Таблица1[[#This Row],[Order-Year-Month]])</f>
        <v>1</v>
      </c>
    </row>
    <row r="5991" spans="1:26" x14ac:dyDescent="0.2">
      <c r="A5991" s="6">
        <v>1797</v>
      </c>
      <c r="B5991" s="7">
        <v>12869</v>
      </c>
      <c r="C5991" s="8">
        <f>DATE(2012,12,31)-1436</f>
        <v>39838</v>
      </c>
      <c r="D5991" s="8" t="str">
        <f t="shared" si="110"/>
        <v>2009-01 (январь 2009)</v>
      </c>
      <c r="E5991" s="9" t="s">
        <v>45</v>
      </c>
      <c r="F5991" s="7">
        <v>15</v>
      </c>
      <c r="G5991" s="7">
        <v>1532.482</v>
      </c>
      <c r="H5991" s="7">
        <v>0.1</v>
      </c>
      <c r="I5991" s="9" t="s">
        <v>22</v>
      </c>
      <c r="J5991" s="10">
        <v>-42.999000000000002</v>
      </c>
      <c r="K5991" s="11">
        <v>125.99</v>
      </c>
      <c r="L5991" s="11">
        <v>8.99</v>
      </c>
      <c r="M5991" s="9" t="s">
        <v>1976</v>
      </c>
      <c r="N5991" s="6" t="s">
        <v>1905</v>
      </c>
      <c r="O5991" s="6" t="s">
        <v>673</v>
      </c>
      <c r="P5991" s="9" t="s">
        <v>33</v>
      </c>
      <c r="Q5991" s="9" t="s">
        <v>42</v>
      </c>
      <c r="R5991" s="9" t="s">
        <v>43</v>
      </c>
      <c r="S5991" s="7" t="s">
        <v>1977</v>
      </c>
      <c r="T5991" s="9" t="s">
        <v>39</v>
      </c>
      <c r="U5991" s="7">
        <v>0.56999999999999995</v>
      </c>
      <c r="V5991" s="12">
        <f>C5991+3</f>
        <v>39841</v>
      </c>
      <c r="W5991">
        <f>IF(D5991=' Pivot Tables'!$A$4,1,0)</f>
        <v>0</v>
      </c>
      <c r="X5991">
        <f>IF(AND(LEFT(D5991,4)+1=LEFT(' Pivot Tables'!$A$4,4)+0,RIGHT(LEFT(D5991,7),2)=RIGHT(LEFT(' Pivot Tables'!$A$4,7),2)),1,0)</f>
        <v>1</v>
      </c>
      <c r="Y5991" s="6">
        <f>1/COUNTIF(Таблица1[Order ID],Таблица1[[#This Row],[Order ID]])</f>
        <v>1</v>
      </c>
      <c r="Z5991" s="9">
        <f>1/COUNTIFS(Таблица1[Customer Name],Таблица1[[#This Row],[Customer Name]],Таблица1[Order-Year-Month],Таблица1[[#This Row],[Order-Year-Month]])</f>
        <v>1</v>
      </c>
    </row>
    <row r="5992" spans="1:26" x14ac:dyDescent="0.2">
      <c r="A5992" s="6">
        <v>1825</v>
      </c>
      <c r="B5992" s="7">
        <v>13094</v>
      </c>
      <c r="C5992" s="8">
        <f>DATE(2012,12,31)-866</f>
        <v>40408</v>
      </c>
      <c r="D5992" s="8" t="str">
        <f t="shared" si="110"/>
        <v>2010-08 (август 2010)</v>
      </c>
      <c r="E5992" s="9" t="s">
        <v>45</v>
      </c>
      <c r="F5992" s="7">
        <v>7</v>
      </c>
      <c r="G5992" s="7">
        <v>283.57</v>
      </c>
      <c r="H5992" s="7">
        <v>0.02</v>
      </c>
      <c r="I5992" s="9" t="s">
        <v>22</v>
      </c>
      <c r="J5992" s="10">
        <v>71.209999999999994</v>
      </c>
      <c r="K5992" s="11">
        <v>37.94</v>
      </c>
      <c r="L5992" s="11">
        <v>5.08</v>
      </c>
      <c r="M5992" s="9" t="s">
        <v>1973</v>
      </c>
      <c r="N5992" s="6" t="s">
        <v>1905</v>
      </c>
      <c r="O5992" s="6" t="s">
        <v>673</v>
      </c>
      <c r="P5992" s="9" t="s">
        <v>33</v>
      </c>
      <c r="Q5992" s="9" t="s">
        <v>26</v>
      </c>
      <c r="R5992" s="9" t="s">
        <v>61</v>
      </c>
      <c r="S5992" s="7" t="s">
        <v>684</v>
      </c>
      <c r="T5992" s="9" t="s">
        <v>68</v>
      </c>
      <c r="U5992" s="7">
        <v>0.38</v>
      </c>
      <c r="V5992" s="12">
        <f>C5992+1</f>
        <v>40409</v>
      </c>
      <c r="W5992">
        <f>IF(D5992=' Pivot Tables'!$A$4,1,0)</f>
        <v>0</v>
      </c>
      <c r="X5992">
        <f>IF(AND(LEFT(D5992,4)+1=LEFT(' Pivot Tables'!$A$4,4)+0,RIGHT(LEFT(D5992,7),2)=RIGHT(LEFT(' Pivot Tables'!$A$4,7),2)),1,0)</f>
        <v>0</v>
      </c>
      <c r="Y5992" s="6">
        <f>1/COUNTIF(Таблица1[Order ID],Таблица1[[#This Row],[Order ID]])</f>
        <v>1</v>
      </c>
      <c r="Z5992" s="9">
        <f>1/COUNTIFS(Таблица1[Customer Name],Таблица1[[#This Row],[Customer Name]],Таблица1[Order-Year-Month],Таблица1[[#This Row],[Order-Year-Month]])</f>
        <v>1</v>
      </c>
    </row>
    <row r="5993" spans="1:26" x14ac:dyDescent="0.2">
      <c r="A5993" s="6">
        <v>2001</v>
      </c>
      <c r="B5993" s="7">
        <v>14274</v>
      </c>
      <c r="C5993" s="8">
        <f>DATE(2012,12,31)-1455</f>
        <v>39819</v>
      </c>
      <c r="D5993" s="8" t="str">
        <f t="shared" si="110"/>
        <v>2009-01 (январь 2009)</v>
      </c>
      <c r="E5993" s="9" t="s">
        <v>45</v>
      </c>
      <c r="F5993" s="7">
        <v>23</v>
      </c>
      <c r="G5993" s="7">
        <v>3674.08</v>
      </c>
      <c r="H5993" s="7">
        <v>0.01</v>
      </c>
      <c r="I5993" s="9" t="s">
        <v>31</v>
      </c>
      <c r="J5993" s="10">
        <v>112.44</v>
      </c>
      <c r="K5993" s="11">
        <v>150.97999999999999</v>
      </c>
      <c r="L5993" s="11">
        <v>30</v>
      </c>
      <c r="M5993" s="9" t="s">
        <v>1973</v>
      </c>
      <c r="N5993" s="6" t="s">
        <v>1905</v>
      </c>
      <c r="O5993" s="6" t="s">
        <v>673</v>
      </c>
      <c r="P5993" s="9" t="s">
        <v>33</v>
      </c>
      <c r="Q5993" s="9" t="s">
        <v>49</v>
      </c>
      <c r="R5993" s="9" t="s">
        <v>112</v>
      </c>
      <c r="S5993" s="7" t="s">
        <v>731</v>
      </c>
      <c r="T5993" s="9" t="s">
        <v>36</v>
      </c>
      <c r="U5993" s="7">
        <v>0.74</v>
      </c>
      <c r="V5993" s="12">
        <f>C5993+2</f>
        <v>39821</v>
      </c>
      <c r="W5993">
        <f>IF(D5993=' Pivot Tables'!$A$4,1,0)</f>
        <v>0</v>
      </c>
      <c r="X5993">
        <f>IF(AND(LEFT(D5993,4)+1=LEFT(' Pivot Tables'!$A$4,4)+0,RIGHT(LEFT(D5993,7),2)=RIGHT(LEFT(' Pivot Tables'!$A$4,7),2)),1,0)</f>
        <v>1</v>
      </c>
      <c r="Y5993" s="6">
        <f>1/COUNTIF(Таблица1[Order ID],Таблица1[[#This Row],[Order ID]])</f>
        <v>0.33333333333333331</v>
      </c>
      <c r="Z5993" s="9">
        <f>1/COUNTIFS(Таблица1[Customer Name],Таблица1[[#This Row],[Customer Name]],Таблица1[Order-Year-Month],Таблица1[[#This Row],[Order-Year-Month]])</f>
        <v>0.33333333333333331</v>
      </c>
    </row>
    <row r="5994" spans="1:26" x14ac:dyDescent="0.2">
      <c r="A5994" s="6">
        <v>2002</v>
      </c>
      <c r="B5994" s="7">
        <v>14274</v>
      </c>
      <c r="C5994" s="8">
        <f>DATE(2012,12,31)-1455</f>
        <v>39819</v>
      </c>
      <c r="D5994" s="8" t="str">
        <f t="shared" si="110"/>
        <v>2009-01 (январь 2009)</v>
      </c>
      <c r="E5994" s="9" t="s">
        <v>45</v>
      </c>
      <c r="F5994" s="7">
        <v>46</v>
      </c>
      <c r="G5994" s="7">
        <v>1413.89</v>
      </c>
      <c r="H5994" s="7">
        <v>0.01</v>
      </c>
      <c r="I5994" s="9" t="s">
        <v>56</v>
      </c>
      <c r="J5994" s="10">
        <v>-40.72</v>
      </c>
      <c r="K5994" s="11">
        <v>28.28</v>
      </c>
      <c r="L5994" s="11">
        <v>13.99</v>
      </c>
      <c r="M5994" s="9" t="s">
        <v>1973</v>
      </c>
      <c r="N5994" s="6" t="s">
        <v>1905</v>
      </c>
      <c r="O5994" s="6" t="s">
        <v>673</v>
      </c>
      <c r="P5994" s="9" t="s">
        <v>33</v>
      </c>
      <c r="Q5994" s="9" t="s">
        <v>26</v>
      </c>
      <c r="R5994" s="9" t="s">
        <v>27</v>
      </c>
      <c r="S5994" s="7" t="s">
        <v>267</v>
      </c>
      <c r="T5994" s="9" t="s">
        <v>48</v>
      </c>
      <c r="U5994" s="7">
        <v>0.57999999999999996</v>
      </c>
      <c r="V5994" s="12">
        <f>C5994+2</f>
        <v>39821</v>
      </c>
      <c r="W5994">
        <f>IF(D5994=' Pivot Tables'!$A$4,1,0)</f>
        <v>0</v>
      </c>
      <c r="X5994">
        <f>IF(AND(LEFT(D5994,4)+1=LEFT(' Pivot Tables'!$A$4,4)+0,RIGHT(LEFT(D5994,7),2)=RIGHT(LEFT(' Pivot Tables'!$A$4,7),2)),1,0)</f>
        <v>1</v>
      </c>
      <c r="Y5994" s="6">
        <f>1/COUNTIF(Таблица1[Order ID],Таблица1[[#This Row],[Order ID]])</f>
        <v>0.33333333333333331</v>
      </c>
      <c r="Z5994" s="9">
        <f>1/COUNTIFS(Таблица1[Customer Name],Таблица1[[#This Row],[Customer Name]],Таблица1[Order-Year-Month],Таблица1[[#This Row],[Order-Year-Month]])</f>
        <v>0.33333333333333331</v>
      </c>
    </row>
    <row r="5995" spans="1:26" x14ac:dyDescent="0.2">
      <c r="A5995" s="6">
        <v>2003</v>
      </c>
      <c r="B5995" s="7">
        <v>14274</v>
      </c>
      <c r="C5995" s="8">
        <f>DATE(2012,12,31)-1455</f>
        <v>39819</v>
      </c>
      <c r="D5995" s="8" t="str">
        <f t="shared" si="110"/>
        <v>2009-01 (январь 2009)</v>
      </c>
      <c r="E5995" s="9" t="s">
        <v>45</v>
      </c>
      <c r="F5995" s="7">
        <v>2</v>
      </c>
      <c r="G5995" s="7">
        <v>61.718499999999999</v>
      </c>
      <c r="H5995" s="7">
        <v>0.03</v>
      </c>
      <c r="I5995" s="9" t="s">
        <v>22</v>
      </c>
      <c r="J5995" s="10">
        <v>-164.04300000000001</v>
      </c>
      <c r="K5995" s="11">
        <v>35.99</v>
      </c>
      <c r="L5995" s="11">
        <v>1.1000000000000001</v>
      </c>
      <c r="M5995" s="9" t="s">
        <v>1973</v>
      </c>
      <c r="N5995" s="6" t="s">
        <v>1905</v>
      </c>
      <c r="O5995" s="6" t="s">
        <v>673</v>
      </c>
      <c r="P5995" s="9" t="s">
        <v>33</v>
      </c>
      <c r="Q5995" s="9" t="s">
        <v>42</v>
      </c>
      <c r="R5995" s="9" t="s">
        <v>43</v>
      </c>
      <c r="S5995" s="7" t="s">
        <v>1082</v>
      </c>
      <c r="T5995" s="9" t="s">
        <v>39</v>
      </c>
      <c r="U5995" s="7">
        <v>0.55000000000000004</v>
      </c>
      <c r="V5995" s="12">
        <f>C5995+1</f>
        <v>39820</v>
      </c>
      <c r="W5995">
        <f>IF(D5995=' Pivot Tables'!$A$4,1,0)</f>
        <v>0</v>
      </c>
      <c r="X5995">
        <f>IF(AND(LEFT(D5995,4)+1=LEFT(' Pivot Tables'!$A$4,4)+0,RIGHT(LEFT(D5995,7),2)=RIGHT(LEFT(' Pivot Tables'!$A$4,7),2)),1,0)</f>
        <v>1</v>
      </c>
      <c r="Y5995" s="6">
        <f>1/COUNTIF(Таблица1[Order ID],Таблица1[[#This Row],[Order ID]])</f>
        <v>0.33333333333333331</v>
      </c>
      <c r="Z5995" s="9">
        <f>1/COUNTIFS(Таблица1[Customer Name],Таблица1[[#This Row],[Customer Name]],Таблица1[Order-Year-Month],Таблица1[[#This Row],[Order-Year-Month]])</f>
        <v>0.33333333333333331</v>
      </c>
    </row>
    <row r="5996" spans="1:26" x14ac:dyDescent="0.2">
      <c r="A5996" s="6">
        <v>2039</v>
      </c>
      <c r="B5996" s="7">
        <v>14530</v>
      </c>
      <c r="C5996" s="8">
        <f>DATE(2012,12,31)-1365</f>
        <v>39909</v>
      </c>
      <c r="D5996" s="8" t="str">
        <f t="shared" si="110"/>
        <v>2009-04 (апрель 2009)</v>
      </c>
      <c r="E5996" s="9" t="s">
        <v>30</v>
      </c>
      <c r="F5996" s="7">
        <v>17</v>
      </c>
      <c r="G5996" s="7">
        <v>1556.61</v>
      </c>
      <c r="H5996" s="7">
        <v>0.06</v>
      </c>
      <c r="I5996" s="9" t="s">
        <v>22</v>
      </c>
      <c r="J5996" s="10">
        <v>-485.55</v>
      </c>
      <c r="K5996" s="11">
        <v>89.83</v>
      </c>
      <c r="L5996" s="11">
        <v>35</v>
      </c>
      <c r="M5996" s="9" t="s">
        <v>1978</v>
      </c>
      <c r="N5996" s="6" t="s">
        <v>1905</v>
      </c>
      <c r="O5996" s="6" t="s">
        <v>673</v>
      </c>
      <c r="P5996" s="9" t="s">
        <v>60</v>
      </c>
      <c r="Q5996" s="9" t="s">
        <v>26</v>
      </c>
      <c r="R5996" s="9" t="s">
        <v>27</v>
      </c>
      <c r="S5996" s="7" t="s">
        <v>1771</v>
      </c>
      <c r="T5996" s="9" t="s">
        <v>29</v>
      </c>
      <c r="U5996" s="7">
        <v>0.83</v>
      </c>
      <c r="V5996" s="12">
        <f>C5996+2</f>
        <v>39911</v>
      </c>
      <c r="W5996">
        <f>IF(D5996=' Pivot Tables'!$A$4,1,0)</f>
        <v>0</v>
      </c>
      <c r="X5996">
        <f>IF(AND(LEFT(D5996,4)+1=LEFT(' Pivot Tables'!$A$4,4)+0,RIGHT(LEFT(D5996,7),2)=RIGHT(LEFT(' Pivot Tables'!$A$4,7),2)),1,0)</f>
        <v>0</v>
      </c>
      <c r="Y5996" s="6">
        <f>1/COUNTIF(Таблица1[Order ID],Таблица1[[#This Row],[Order ID]])</f>
        <v>0.33333333333333331</v>
      </c>
      <c r="Z5996" s="9">
        <f>1/COUNTIFS(Таблица1[Customer Name],Таблица1[[#This Row],[Customer Name]],Таблица1[Order-Year-Month],Таблица1[[#This Row],[Order-Year-Month]])</f>
        <v>0.33333333333333331</v>
      </c>
    </row>
    <row r="5997" spans="1:26" x14ac:dyDescent="0.2">
      <c r="A5997" s="6">
        <v>2040</v>
      </c>
      <c r="B5997" s="7">
        <v>14530</v>
      </c>
      <c r="C5997" s="8">
        <f>DATE(2012,12,31)-1365</f>
        <v>39909</v>
      </c>
      <c r="D5997" s="8" t="str">
        <f t="shared" si="110"/>
        <v>2009-04 (апрель 2009)</v>
      </c>
      <c r="E5997" s="9" t="s">
        <v>30</v>
      </c>
      <c r="F5997" s="7">
        <v>49</v>
      </c>
      <c r="G5997" s="7">
        <v>645.14</v>
      </c>
      <c r="H5997" s="7">
        <v>0.1</v>
      </c>
      <c r="I5997" s="9" t="s">
        <v>22</v>
      </c>
      <c r="J5997" s="10">
        <v>-26.32</v>
      </c>
      <c r="K5997" s="11">
        <v>13.43</v>
      </c>
      <c r="L5997" s="11">
        <v>5.5</v>
      </c>
      <c r="M5997" s="9" t="s">
        <v>1978</v>
      </c>
      <c r="N5997" s="6" t="s">
        <v>1905</v>
      </c>
      <c r="O5997" s="6" t="s">
        <v>673</v>
      </c>
      <c r="P5997" s="9" t="s">
        <v>60</v>
      </c>
      <c r="Q5997" s="9" t="s">
        <v>26</v>
      </c>
      <c r="R5997" s="9" t="s">
        <v>27</v>
      </c>
      <c r="S5997" s="7" t="s">
        <v>1066</v>
      </c>
      <c r="T5997" s="9" t="s">
        <v>39</v>
      </c>
      <c r="U5997" s="7">
        <v>0.56999999999999995</v>
      </c>
      <c r="V5997" s="12">
        <f>C5997+2</f>
        <v>39911</v>
      </c>
      <c r="W5997">
        <f>IF(D5997=' Pivot Tables'!$A$4,1,0)</f>
        <v>0</v>
      </c>
      <c r="X5997">
        <f>IF(AND(LEFT(D5997,4)+1=LEFT(' Pivot Tables'!$A$4,4)+0,RIGHT(LEFT(D5997,7),2)=RIGHT(LEFT(' Pivot Tables'!$A$4,7),2)),1,0)</f>
        <v>0</v>
      </c>
      <c r="Y5997" s="6">
        <f>1/COUNTIF(Таблица1[Order ID],Таблица1[[#This Row],[Order ID]])</f>
        <v>0.33333333333333331</v>
      </c>
      <c r="Z5997" s="9">
        <f>1/COUNTIFS(Таблица1[Customer Name],Таблица1[[#This Row],[Customer Name]],Таблица1[Order-Year-Month],Таблица1[[#This Row],[Order-Year-Month]])</f>
        <v>0.33333333333333331</v>
      </c>
    </row>
    <row r="5998" spans="1:26" x14ac:dyDescent="0.2">
      <c r="A5998" s="6">
        <v>2041</v>
      </c>
      <c r="B5998" s="7">
        <v>14530</v>
      </c>
      <c r="C5998" s="8">
        <f>DATE(2012,12,31)-1365</f>
        <v>39909</v>
      </c>
      <c r="D5998" s="8" t="str">
        <f t="shared" si="110"/>
        <v>2009-04 (апрель 2009)</v>
      </c>
      <c r="E5998" s="9" t="s">
        <v>30</v>
      </c>
      <c r="F5998" s="7">
        <v>44</v>
      </c>
      <c r="G5998" s="7">
        <v>4851.5024999999996</v>
      </c>
      <c r="H5998" s="7">
        <v>0.01</v>
      </c>
      <c r="I5998" s="9" t="s">
        <v>22</v>
      </c>
      <c r="J5998" s="10">
        <v>1371.672</v>
      </c>
      <c r="K5998" s="11">
        <v>125.99</v>
      </c>
      <c r="L5998" s="11">
        <v>7.69</v>
      </c>
      <c r="M5998" s="9" t="s">
        <v>1978</v>
      </c>
      <c r="N5998" s="6" t="s">
        <v>1905</v>
      </c>
      <c r="O5998" s="6" t="s">
        <v>673</v>
      </c>
      <c r="P5998" s="9" t="s">
        <v>60</v>
      </c>
      <c r="Q5998" s="9" t="s">
        <v>42</v>
      </c>
      <c r="R5998" s="9" t="s">
        <v>43</v>
      </c>
      <c r="S5998" s="7" t="s">
        <v>129</v>
      </c>
      <c r="T5998" s="9" t="s">
        <v>39</v>
      </c>
      <c r="U5998" s="7">
        <v>0.57999999999999996</v>
      </c>
      <c r="V5998" s="12">
        <f>C5998+0</f>
        <v>39909</v>
      </c>
      <c r="W5998">
        <f>IF(D5998=' Pivot Tables'!$A$4,1,0)</f>
        <v>0</v>
      </c>
      <c r="X5998">
        <f>IF(AND(LEFT(D5998,4)+1=LEFT(' Pivot Tables'!$A$4,4)+0,RIGHT(LEFT(D5998,7),2)=RIGHT(LEFT(' Pivot Tables'!$A$4,7),2)),1,0)</f>
        <v>0</v>
      </c>
      <c r="Y5998" s="6">
        <f>1/COUNTIF(Таблица1[Order ID],Таблица1[[#This Row],[Order ID]])</f>
        <v>0.33333333333333331</v>
      </c>
      <c r="Z5998" s="9">
        <f>1/COUNTIFS(Таблица1[Customer Name],Таблица1[[#This Row],[Customer Name]],Таблица1[Order-Year-Month],Таблица1[[#This Row],[Order-Year-Month]])</f>
        <v>0.33333333333333331</v>
      </c>
    </row>
    <row r="5999" spans="1:26" x14ac:dyDescent="0.2">
      <c r="A5999" s="6">
        <v>2157</v>
      </c>
      <c r="B5999" s="7">
        <v>15462</v>
      </c>
      <c r="C5999" s="8">
        <f>DATE(2012,12,31)-674</f>
        <v>40600</v>
      </c>
      <c r="D5999" s="8" t="str">
        <f t="shared" si="110"/>
        <v>2011-02 (февраль 2011)</v>
      </c>
      <c r="E5999" s="9" t="s">
        <v>78</v>
      </c>
      <c r="F5999" s="7">
        <v>20</v>
      </c>
      <c r="G5999" s="7">
        <v>862.64</v>
      </c>
      <c r="H5999" s="7">
        <v>0.08</v>
      </c>
      <c r="I5999" s="9" t="s">
        <v>22</v>
      </c>
      <c r="J5999" s="10">
        <v>320.80700000000002</v>
      </c>
      <c r="K5999" s="11">
        <v>43.41</v>
      </c>
      <c r="L5999" s="11">
        <v>2.99</v>
      </c>
      <c r="M5999" s="9" t="s">
        <v>1970</v>
      </c>
      <c r="N5999" s="6" t="s">
        <v>1905</v>
      </c>
      <c r="O5999" s="6" t="s">
        <v>673</v>
      </c>
      <c r="P5999" s="9" t="s">
        <v>60</v>
      </c>
      <c r="Q5999" s="9" t="s">
        <v>26</v>
      </c>
      <c r="R5999" s="9" t="s">
        <v>37</v>
      </c>
      <c r="S5999" s="7" t="s">
        <v>200</v>
      </c>
      <c r="T5999" s="9" t="s">
        <v>39</v>
      </c>
      <c r="U5999" s="7">
        <v>0.39</v>
      </c>
      <c r="V5999" s="12">
        <f>C5999+1</f>
        <v>40601</v>
      </c>
      <c r="W5999">
        <f>IF(D5999=' Pivot Tables'!$A$4,1,0)</f>
        <v>0</v>
      </c>
      <c r="X5999">
        <f>IF(AND(LEFT(D5999,4)+1=LEFT(' Pivot Tables'!$A$4,4)+0,RIGHT(LEFT(D5999,7),2)=RIGHT(LEFT(' Pivot Tables'!$A$4,7),2)),1,0)</f>
        <v>0</v>
      </c>
      <c r="Y5999" s="6">
        <f>1/COUNTIF(Таблица1[Order ID],Таблица1[[#This Row],[Order ID]])</f>
        <v>1</v>
      </c>
      <c r="Z5999" s="9">
        <f>1/COUNTIFS(Таблица1[Customer Name],Таблица1[[#This Row],[Customer Name]],Таблица1[Order-Year-Month],Таблица1[[#This Row],[Order-Year-Month]])</f>
        <v>0.25</v>
      </c>
    </row>
    <row r="6000" spans="1:26" x14ac:dyDescent="0.2">
      <c r="A6000" s="6">
        <v>2181</v>
      </c>
      <c r="B6000" s="7">
        <v>15715</v>
      </c>
      <c r="C6000" s="8">
        <f>DATE(2012,12,31)-77</f>
        <v>41197</v>
      </c>
      <c r="D6000" s="8" t="str">
        <f t="shared" si="110"/>
        <v>2012-10 (октябрь 2012)</v>
      </c>
      <c r="E6000" s="9" t="s">
        <v>78</v>
      </c>
      <c r="F6000" s="7">
        <v>43</v>
      </c>
      <c r="G6000" s="7">
        <v>2123.64</v>
      </c>
      <c r="H6000" s="7">
        <v>0.03</v>
      </c>
      <c r="I6000" s="9" t="s">
        <v>22</v>
      </c>
      <c r="J6000" s="10">
        <v>1013.77</v>
      </c>
      <c r="K6000" s="11">
        <v>47.9</v>
      </c>
      <c r="L6000" s="11">
        <v>5.86</v>
      </c>
      <c r="M6000" s="9" t="s">
        <v>1971</v>
      </c>
      <c r="N6000" s="6" t="s">
        <v>1905</v>
      </c>
      <c r="O6000" s="6" t="s">
        <v>673</v>
      </c>
      <c r="P6000" s="9" t="s">
        <v>60</v>
      </c>
      <c r="Q6000" s="9" t="s">
        <v>26</v>
      </c>
      <c r="R6000" s="9" t="s">
        <v>61</v>
      </c>
      <c r="S6000" s="7" t="s">
        <v>841</v>
      </c>
      <c r="T6000" s="9" t="s">
        <v>39</v>
      </c>
      <c r="U6000" s="7">
        <v>0.37</v>
      </c>
      <c r="V6000" s="12">
        <f>C6000+3</f>
        <v>41200</v>
      </c>
      <c r="W6000">
        <f>IF(D6000=' Pivot Tables'!$A$4,1,0)</f>
        <v>0</v>
      </c>
      <c r="X6000">
        <f>IF(AND(LEFT(D6000,4)+1=LEFT(' Pivot Tables'!$A$4,4)+0,RIGHT(LEFT(D6000,7),2)=RIGHT(LEFT(' Pivot Tables'!$A$4,7),2)),1,0)</f>
        <v>0</v>
      </c>
      <c r="Y6000" s="6">
        <f>1/COUNTIF(Таблица1[Order ID],Таблица1[[#This Row],[Order ID]])</f>
        <v>1</v>
      </c>
      <c r="Z6000" s="9">
        <f>1/COUNTIFS(Таблица1[Customer Name],Таблица1[[#This Row],[Customer Name]],Таблица1[Order-Year-Month],Таблица1[[#This Row],[Order-Year-Month]])</f>
        <v>1</v>
      </c>
    </row>
    <row r="6001" spans="1:26" x14ac:dyDescent="0.2">
      <c r="A6001" s="6">
        <v>2231</v>
      </c>
      <c r="B6001" s="7">
        <v>16128</v>
      </c>
      <c r="C6001" s="8">
        <f>DATE(2012,12,31)-603</f>
        <v>40671</v>
      </c>
      <c r="D6001" s="8" t="str">
        <f t="shared" si="110"/>
        <v>2011-05 (май 2011)</v>
      </c>
      <c r="E6001" s="9" t="s">
        <v>30</v>
      </c>
      <c r="F6001" s="7">
        <v>46</v>
      </c>
      <c r="G6001" s="7">
        <v>2968.66</v>
      </c>
      <c r="H6001" s="7">
        <v>7.0000000000000007E-2</v>
      </c>
      <c r="I6001" s="9" t="s">
        <v>22</v>
      </c>
      <c r="J6001" s="10">
        <v>1077.49</v>
      </c>
      <c r="K6001" s="11">
        <v>63.94</v>
      </c>
      <c r="L6001" s="11">
        <v>14.48</v>
      </c>
      <c r="M6001" s="9" t="s">
        <v>1974</v>
      </c>
      <c r="N6001" s="6" t="s">
        <v>1905</v>
      </c>
      <c r="O6001" s="6" t="s">
        <v>673</v>
      </c>
      <c r="P6001" s="9" t="s">
        <v>41</v>
      </c>
      <c r="Q6001" s="9" t="s">
        <v>49</v>
      </c>
      <c r="R6001" s="9" t="s">
        <v>50</v>
      </c>
      <c r="S6001" s="7" t="s">
        <v>433</v>
      </c>
      <c r="T6001" s="9" t="s">
        <v>39</v>
      </c>
      <c r="U6001" s="7">
        <v>0.46</v>
      </c>
      <c r="V6001" s="12">
        <f>C6001+0</f>
        <v>40671</v>
      </c>
      <c r="W6001">
        <f>IF(D6001=' Pivot Tables'!$A$4,1,0)</f>
        <v>0</v>
      </c>
      <c r="X6001">
        <f>IF(AND(LEFT(D6001,4)+1=LEFT(' Pivot Tables'!$A$4,4)+0,RIGHT(LEFT(D6001,7),2)=RIGHT(LEFT(' Pivot Tables'!$A$4,7),2)),1,0)</f>
        <v>0</v>
      </c>
      <c r="Y6001" s="6">
        <f>1/COUNTIF(Таблица1[Order ID],Таблица1[[#This Row],[Order ID]])</f>
        <v>1</v>
      </c>
      <c r="Z6001" s="9">
        <f>1/COUNTIFS(Таблица1[Customer Name],Таблица1[[#This Row],[Customer Name]],Таблица1[Order-Year-Month],Таблица1[[#This Row],[Order-Year-Month]])</f>
        <v>1</v>
      </c>
    </row>
    <row r="6002" spans="1:26" x14ac:dyDescent="0.2">
      <c r="A6002" s="6">
        <v>2300</v>
      </c>
      <c r="B6002" s="7">
        <v>16579</v>
      </c>
      <c r="C6002" s="8">
        <f>DATE(2012,12,31)-750</f>
        <v>40524</v>
      </c>
      <c r="D6002" s="8" t="str">
        <f t="shared" si="110"/>
        <v>2010-12 (декабрь 2010)</v>
      </c>
      <c r="E6002" s="9" t="s">
        <v>45</v>
      </c>
      <c r="F6002" s="7">
        <v>33</v>
      </c>
      <c r="G6002" s="7">
        <v>63.96</v>
      </c>
      <c r="H6002" s="7">
        <v>0.05</v>
      </c>
      <c r="I6002" s="9" t="s">
        <v>22</v>
      </c>
      <c r="J6002" s="10">
        <v>-13.708</v>
      </c>
      <c r="K6002" s="11">
        <v>1.88</v>
      </c>
      <c r="L6002" s="11">
        <v>1.49</v>
      </c>
      <c r="M6002" s="9" t="s">
        <v>1975</v>
      </c>
      <c r="N6002" s="6" t="s">
        <v>1905</v>
      </c>
      <c r="O6002" s="6" t="s">
        <v>673</v>
      </c>
      <c r="P6002" s="9" t="s">
        <v>33</v>
      </c>
      <c r="Q6002" s="9" t="s">
        <v>26</v>
      </c>
      <c r="R6002" s="9" t="s">
        <v>37</v>
      </c>
      <c r="S6002" s="7" t="s">
        <v>172</v>
      </c>
      <c r="T6002" s="9" t="s">
        <v>39</v>
      </c>
      <c r="U6002" s="7">
        <v>0.37</v>
      </c>
      <c r="V6002" s="12">
        <f>C6002+1</f>
        <v>40525</v>
      </c>
      <c r="W6002">
        <f>IF(D6002=' Pivot Tables'!$A$4,1,0)</f>
        <v>0</v>
      </c>
      <c r="X6002">
        <f>IF(AND(LEFT(D6002,4)+1=LEFT(' Pivot Tables'!$A$4,4)+0,RIGHT(LEFT(D6002,7),2)=RIGHT(LEFT(' Pivot Tables'!$A$4,7),2)),1,0)</f>
        <v>0</v>
      </c>
      <c r="Y6002" s="6">
        <f>1/COUNTIF(Таблица1[Order ID],Таблица1[[#This Row],[Order ID]])</f>
        <v>0.5</v>
      </c>
      <c r="Z6002" s="9">
        <f>1/COUNTIFS(Таблица1[Customer Name],Таблица1[[#This Row],[Customer Name]],Таблица1[Order-Year-Month],Таблица1[[#This Row],[Order-Year-Month]])</f>
        <v>0.25</v>
      </c>
    </row>
    <row r="6003" spans="1:26" x14ac:dyDescent="0.2">
      <c r="A6003" s="6">
        <v>2301</v>
      </c>
      <c r="B6003" s="7">
        <v>16579</v>
      </c>
      <c r="C6003" s="8">
        <f>DATE(2012,12,31)-750</f>
        <v>40524</v>
      </c>
      <c r="D6003" s="8" t="str">
        <f t="shared" si="110"/>
        <v>2010-12 (декабрь 2010)</v>
      </c>
      <c r="E6003" s="9" t="s">
        <v>45</v>
      </c>
      <c r="F6003" s="7">
        <v>23</v>
      </c>
      <c r="G6003" s="7">
        <v>177.23</v>
      </c>
      <c r="H6003" s="7">
        <v>7.0000000000000007E-2</v>
      </c>
      <c r="I6003" s="9" t="s">
        <v>22</v>
      </c>
      <c r="J6003" s="10">
        <v>4.9400000000000004</v>
      </c>
      <c r="K6003" s="11">
        <v>8.14</v>
      </c>
      <c r="L6003" s="11">
        <v>3.12</v>
      </c>
      <c r="M6003" s="9" t="s">
        <v>1975</v>
      </c>
      <c r="N6003" s="6" t="s">
        <v>1905</v>
      </c>
      <c r="O6003" s="6" t="s">
        <v>673</v>
      </c>
      <c r="P6003" s="9" t="s">
        <v>33</v>
      </c>
      <c r="Q6003" s="9" t="s">
        <v>26</v>
      </c>
      <c r="R6003" s="9" t="s">
        <v>95</v>
      </c>
      <c r="S6003" s="7" t="s">
        <v>1979</v>
      </c>
      <c r="T6003" s="9" t="s">
        <v>68</v>
      </c>
      <c r="U6003" s="7">
        <v>0.45</v>
      </c>
      <c r="V6003" s="12">
        <f>C6003+1</f>
        <v>40525</v>
      </c>
      <c r="W6003">
        <f>IF(D6003=' Pivot Tables'!$A$4,1,0)</f>
        <v>0</v>
      </c>
      <c r="X6003">
        <f>IF(AND(LEFT(D6003,4)+1=LEFT(' Pivot Tables'!$A$4,4)+0,RIGHT(LEFT(D6003,7),2)=RIGHT(LEFT(' Pivot Tables'!$A$4,7),2)),1,0)</f>
        <v>0</v>
      </c>
      <c r="Y6003" s="6">
        <f>1/COUNTIF(Таблица1[Order ID],Таблица1[[#This Row],[Order ID]])</f>
        <v>0.5</v>
      </c>
      <c r="Z6003" s="9">
        <f>1/COUNTIFS(Таблица1[Customer Name],Таблица1[[#This Row],[Customer Name]],Таблица1[Order-Year-Month],Таблица1[[#This Row],[Order-Year-Month]])</f>
        <v>0.25</v>
      </c>
    </row>
    <row r="6004" spans="1:26" x14ac:dyDescent="0.2">
      <c r="A6004" s="6">
        <v>2348</v>
      </c>
      <c r="B6004" s="7">
        <v>16935</v>
      </c>
      <c r="C6004" s="8">
        <f>DATE(2012,12,31)-16</f>
        <v>41258</v>
      </c>
      <c r="D6004" s="8" t="str">
        <f t="shared" si="110"/>
        <v>2012-12 (декабрь 2012)</v>
      </c>
      <c r="E6004" s="9" t="s">
        <v>45</v>
      </c>
      <c r="F6004" s="7">
        <v>3</v>
      </c>
      <c r="G6004" s="7">
        <v>14.74</v>
      </c>
      <c r="H6004" s="7">
        <v>0.06</v>
      </c>
      <c r="I6004" s="9" t="s">
        <v>22</v>
      </c>
      <c r="J6004" s="10">
        <v>-2.72</v>
      </c>
      <c r="K6004" s="11">
        <v>4.4800000000000004</v>
      </c>
      <c r="L6004" s="11">
        <v>1.22</v>
      </c>
      <c r="M6004" s="9" t="s">
        <v>1974</v>
      </c>
      <c r="N6004" s="6" t="s">
        <v>1905</v>
      </c>
      <c r="O6004" s="6" t="s">
        <v>673</v>
      </c>
      <c r="P6004" s="9" t="s">
        <v>41</v>
      </c>
      <c r="Q6004" s="9" t="s">
        <v>26</v>
      </c>
      <c r="R6004" s="9" t="s">
        <v>61</v>
      </c>
      <c r="S6004" s="7" t="s">
        <v>222</v>
      </c>
      <c r="T6004" s="9" t="s">
        <v>68</v>
      </c>
      <c r="U6004" s="7">
        <v>0.36</v>
      </c>
      <c r="V6004" s="12">
        <f>C6004+1</f>
        <v>41259</v>
      </c>
      <c r="W6004">
        <f>IF(D6004=' Pivot Tables'!$A$4,1,0)</f>
        <v>0</v>
      </c>
      <c r="X6004">
        <f>IF(AND(LEFT(D6004,4)+1=LEFT(' Pivot Tables'!$A$4,4)+0,RIGHT(LEFT(D6004,7),2)=RIGHT(LEFT(' Pivot Tables'!$A$4,7),2)),1,0)</f>
        <v>0</v>
      </c>
      <c r="Y6004" s="6">
        <f>1/COUNTIF(Таблица1[Order ID],Таблица1[[#This Row],[Order ID]])</f>
        <v>0.5</v>
      </c>
      <c r="Z6004" s="9">
        <f>1/COUNTIFS(Таблица1[Customer Name],Таблица1[[#This Row],[Customer Name]],Таблица1[Order-Year-Month],Таблица1[[#This Row],[Order-Year-Month]])</f>
        <v>0.5</v>
      </c>
    </row>
    <row r="6005" spans="1:26" x14ac:dyDescent="0.2">
      <c r="A6005" s="6">
        <v>2349</v>
      </c>
      <c r="B6005" s="7">
        <v>16935</v>
      </c>
      <c r="C6005" s="8">
        <f>DATE(2012,12,31)-16</f>
        <v>41258</v>
      </c>
      <c r="D6005" s="8" t="str">
        <f t="shared" si="110"/>
        <v>2012-12 (декабрь 2012)</v>
      </c>
      <c r="E6005" s="9" t="s">
        <v>45</v>
      </c>
      <c r="F6005" s="7">
        <v>43</v>
      </c>
      <c r="G6005" s="7">
        <v>117.68</v>
      </c>
      <c r="H6005" s="7">
        <v>0.09</v>
      </c>
      <c r="I6005" s="9" t="s">
        <v>56</v>
      </c>
      <c r="J6005" s="10">
        <v>12.47</v>
      </c>
      <c r="K6005" s="11">
        <v>2.88</v>
      </c>
      <c r="L6005" s="11">
        <v>0.7</v>
      </c>
      <c r="M6005" s="9" t="s">
        <v>1974</v>
      </c>
      <c r="N6005" s="6" t="s">
        <v>1905</v>
      </c>
      <c r="O6005" s="6" t="s">
        <v>673</v>
      </c>
      <c r="P6005" s="9" t="s">
        <v>41</v>
      </c>
      <c r="Q6005" s="9" t="s">
        <v>26</v>
      </c>
      <c r="R6005" s="9" t="s">
        <v>95</v>
      </c>
      <c r="S6005" s="7" t="s">
        <v>1059</v>
      </c>
      <c r="T6005" s="9" t="s">
        <v>68</v>
      </c>
      <c r="U6005" s="7">
        <v>0.56000000000000005</v>
      </c>
      <c r="V6005" s="12">
        <f>C6005+2</f>
        <v>41260</v>
      </c>
      <c r="W6005">
        <f>IF(D6005=' Pivot Tables'!$A$4,1,0)</f>
        <v>0</v>
      </c>
      <c r="X6005">
        <f>IF(AND(LEFT(D6005,4)+1=LEFT(' Pivot Tables'!$A$4,4)+0,RIGHT(LEFT(D6005,7),2)=RIGHT(LEFT(' Pivot Tables'!$A$4,7),2)),1,0)</f>
        <v>0</v>
      </c>
      <c r="Y6005" s="6">
        <f>1/COUNTIF(Таблица1[Order ID],Таблица1[[#This Row],[Order ID]])</f>
        <v>0.5</v>
      </c>
      <c r="Z6005" s="9">
        <f>1/COUNTIFS(Таблица1[Customer Name],Таблица1[[#This Row],[Customer Name]],Таблица1[Order-Year-Month],Таблица1[[#This Row],[Order-Year-Month]])</f>
        <v>0.5</v>
      </c>
    </row>
    <row r="6006" spans="1:26" x14ac:dyDescent="0.2">
      <c r="A6006" s="6">
        <v>2620</v>
      </c>
      <c r="B6006" s="7">
        <v>18946</v>
      </c>
      <c r="C6006" s="8">
        <f>DATE(2012,12,31)-972</f>
        <v>40302</v>
      </c>
      <c r="D6006" s="8" t="str">
        <f t="shared" si="110"/>
        <v>2010-05 (май 2010)</v>
      </c>
      <c r="E6006" s="9" t="s">
        <v>78</v>
      </c>
      <c r="F6006" s="7">
        <v>32</v>
      </c>
      <c r="G6006" s="7">
        <v>202.89</v>
      </c>
      <c r="H6006" s="7">
        <v>7.0000000000000007E-2</v>
      </c>
      <c r="I6006" s="9" t="s">
        <v>22</v>
      </c>
      <c r="J6006" s="10">
        <v>-201.91</v>
      </c>
      <c r="K6006" s="11">
        <v>6.48</v>
      </c>
      <c r="L6006" s="11">
        <v>10.050000000000001</v>
      </c>
      <c r="M6006" s="9" t="s">
        <v>1971</v>
      </c>
      <c r="N6006" s="6" t="s">
        <v>1905</v>
      </c>
      <c r="O6006" s="6" t="s">
        <v>673</v>
      </c>
      <c r="P6006" s="9" t="s">
        <v>60</v>
      </c>
      <c r="Q6006" s="9" t="s">
        <v>26</v>
      </c>
      <c r="R6006" s="9" t="s">
        <v>61</v>
      </c>
      <c r="S6006" s="7" t="s">
        <v>868</v>
      </c>
      <c r="T6006" s="9" t="s">
        <v>39</v>
      </c>
      <c r="U6006" s="7">
        <v>0.37</v>
      </c>
      <c r="V6006" s="12">
        <f>C6006+0</f>
        <v>40302</v>
      </c>
      <c r="W6006">
        <f>IF(D6006=' Pivot Tables'!$A$4,1,0)</f>
        <v>0</v>
      </c>
      <c r="X6006">
        <f>IF(AND(LEFT(D6006,4)+1=LEFT(' Pivot Tables'!$A$4,4)+0,RIGHT(LEFT(D6006,7),2)=RIGHT(LEFT(' Pivot Tables'!$A$4,7),2)),1,0)</f>
        <v>0</v>
      </c>
      <c r="Y6006" s="6">
        <f>1/COUNTIF(Таблица1[Order ID],Таблица1[[#This Row],[Order ID]])</f>
        <v>1</v>
      </c>
      <c r="Z6006" s="9">
        <f>1/COUNTIFS(Таблица1[Customer Name],Таблица1[[#This Row],[Customer Name]],Таблица1[Order-Year-Month],Таблица1[[#This Row],[Order-Year-Month]])</f>
        <v>1</v>
      </c>
    </row>
    <row r="6007" spans="1:26" x14ac:dyDescent="0.2">
      <c r="A6007" s="6">
        <v>2675</v>
      </c>
      <c r="B6007" s="7">
        <v>19361</v>
      </c>
      <c r="C6007" s="8">
        <f>DATE(2012,12,31)-99</f>
        <v>41175</v>
      </c>
      <c r="D6007" s="8" t="str">
        <f t="shared" si="110"/>
        <v>2012-09 (сентябрь 2012)</v>
      </c>
      <c r="E6007" s="9" t="s">
        <v>21</v>
      </c>
      <c r="F6007" s="7">
        <v>21</v>
      </c>
      <c r="G6007" s="7">
        <v>535.57000000000005</v>
      </c>
      <c r="H6007" s="7">
        <v>0.05</v>
      </c>
      <c r="I6007" s="9" t="s">
        <v>22</v>
      </c>
      <c r="J6007" s="10">
        <v>131.05000000000001</v>
      </c>
      <c r="K6007" s="11">
        <v>25.38</v>
      </c>
      <c r="L6007" s="11">
        <v>8.99</v>
      </c>
      <c r="M6007" s="9" t="s">
        <v>1842</v>
      </c>
      <c r="N6007" s="6" t="s">
        <v>1905</v>
      </c>
      <c r="O6007" s="6" t="s">
        <v>673</v>
      </c>
      <c r="P6007" s="9" t="s">
        <v>33</v>
      </c>
      <c r="Q6007" s="9" t="s">
        <v>49</v>
      </c>
      <c r="R6007" s="9" t="s">
        <v>50</v>
      </c>
      <c r="S6007" s="7" t="s">
        <v>335</v>
      </c>
      <c r="T6007" s="9" t="s">
        <v>52</v>
      </c>
      <c r="U6007" s="7">
        <v>0.5</v>
      </c>
      <c r="V6007" s="12">
        <f>C6007+2</f>
        <v>41177</v>
      </c>
      <c r="W6007">
        <f>IF(D6007=' Pivot Tables'!$A$4,1,0)</f>
        <v>0</v>
      </c>
      <c r="X6007">
        <f>IF(AND(LEFT(D6007,4)+1=LEFT(' Pivot Tables'!$A$4,4)+0,RIGHT(LEFT(D6007,7),2)=RIGHT(LEFT(' Pivot Tables'!$A$4,7),2)),1,0)</f>
        <v>0</v>
      </c>
      <c r="Y6007" s="6">
        <f>1/COUNTIF(Таблица1[Order ID],Таблица1[[#This Row],[Order ID]])</f>
        <v>0.33333333333333331</v>
      </c>
      <c r="Z6007" s="9">
        <f>1/COUNTIFS(Таблица1[Customer Name],Таблица1[[#This Row],[Customer Name]],Таблица1[Order-Year-Month],Таблица1[[#This Row],[Order-Year-Month]])</f>
        <v>0.33333333333333331</v>
      </c>
    </row>
    <row r="6008" spans="1:26" x14ac:dyDescent="0.2">
      <c r="A6008" s="6">
        <v>2813</v>
      </c>
      <c r="B6008" s="7">
        <v>20292</v>
      </c>
      <c r="C6008" s="8">
        <f>DATE(2012,12,31)-53</f>
        <v>41221</v>
      </c>
      <c r="D6008" s="8" t="str">
        <f t="shared" si="110"/>
        <v>2012-11 (ноябрь 2012)</v>
      </c>
      <c r="E6008" s="9" t="s">
        <v>63</v>
      </c>
      <c r="F6008" s="7">
        <v>26</v>
      </c>
      <c r="G6008" s="7">
        <v>452.39</v>
      </c>
      <c r="H6008" s="7">
        <v>0.08</v>
      </c>
      <c r="I6008" s="9" t="s">
        <v>22</v>
      </c>
      <c r="J6008" s="10">
        <v>-22.83</v>
      </c>
      <c r="K6008" s="11">
        <v>17.52</v>
      </c>
      <c r="L6008" s="11">
        <v>8.17</v>
      </c>
      <c r="M6008" s="9" t="s">
        <v>1974</v>
      </c>
      <c r="N6008" s="6" t="s">
        <v>1905</v>
      </c>
      <c r="O6008" s="6" t="s">
        <v>673</v>
      </c>
      <c r="P6008" s="9" t="s">
        <v>41</v>
      </c>
      <c r="Q6008" s="9" t="s">
        <v>26</v>
      </c>
      <c r="R6008" s="9" t="s">
        <v>34</v>
      </c>
      <c r="S6008" s="7" t="s">
        <v>1663</v>
      </c>
      <c r="T6008" s="9" t="s">
        <v>48</v>
      </c>
      <c r="U6008" s="7">
        <v>0.5</v>
      </c>
      <c r="V6008" s="12">
        <f>C6008+0</f>
        <v>41221</v>
      </c>
      <c r="W6008">
        <f>IF(D6008=' Pivot Tables'!$A$4,1,0)</f>
        <v>0</v>
      </c>
      <c r="X6008">
        <f>IF(AND(LEFT(D6008,4)+1=LEFT(' Pivot Tables'!$A$4,4)+0,RIGHT(LEFT(D6008,7),2)=RIGHT(LEFT(' Pivot Tables'!$A$4,7),2)),1,0)</f>
        <v>0</v>
      </c>
      <c r="Y6008" s="6">
        <f>1/COUNTIF(Таблица1[Order ID],Таблица1[[#This Row],[Order ID]])</f>
        <v>0.5</v>
      </c>
      <c r="Z6008" s="9">
        <f>1/COUNTIFS(Таблица1[Customer Name],Таблица1[[#This Row],[Customer Name]],Таблица1[Order-Year-Month],Таблица1[[#This Row],[Order-Year-Month]])</f>
        <v>0.5</v>
      </c>
    </row>
    <row r="6009" spans="1:26" x14ac:dyDescent="0.2">
      <c r="A6009" s="6">
        <v>2814</v>
      </c>
      <c r="B6009" s="7">
        <v>20292</v>
      </c>
      <c r="C6009" s="8">
        <f>DATE(2012,12,31)-53</f>
        <v>41221</v>
      </c>
      <c r="D6009" s="8" t="str">
        <f t="shared" si="110"/>
        <v>2012-11 (ноябрь 2012)</v>
      </c>
      <c r="E6009" s="9" t="s">
        <v>63</v>
      </c>
      <c r="F6009" s="7">
        <v>5</v>
      </c>
      <c r="G6009" s="7">
        <v>117.13</v>
      </c>
      <c r="H6009" s="7">
        <v>0</v>
      </c>
      <c r="I6009" s="9" t="s">
        <v>22</v>
      </c>
      <c r="J6009" s="10">
        <v>-70.47</v>
      </c>
      <c r="K6009" s="11">
        <v>20.95</v>
      </c>
      <c r="L6009" s="11">
        <v>4</v>
      </c>
      <c r="M6009" s="9" t="s">
        <v>1974</v>
      </c>
      <c r="N6009" s="6" t="s">
        <v>1905</v>
      </c>
      <c r="O6009" s="6" t="s">
        <v>673</v>
      </c>
      <c r="P6009" s="9" t="s">
        <v>41</v>
      </c>
      <c r="Q6009" s="9" t="s">
        <v>42</v>
      </c>
      <c r="R6009" s="9" t="s">
        <v>70</v>
      </c>
      <c r="S6009" s="7" t="s">
        <v>231</v>
      </c>
      <c r="T6009" s="9" t="s">
        <v>39</v>
      </c>
      <c r="U6009" s="7">
        <v>0.6</v>
      </c>
      <c r="V6009" s="12">
        <f>C6009+1</f>
        <v>41222</v>
      </c>
      <c r="W6009">
        <f>IF(D6009=' Pivot Tables'!$A$4,1,0)</f>
        <v>0</v>
      </c>
      <c r="X6009">
        <f>IF(AND(LEFT(D6009,4)+1=LEFT(' Pivot Tables'!$A$4,4)+0,RIGHT(LEFT(D6009,7),2)=RIGHT(LEFT(' Pivot Tables'!$A$4,7),2)),1,0)</f>
        <v>0</v>
      </c>
      <c r="Y6009" s="6">
        <f>1/COUNTIF(Таблица1[Order ID],Таблица1[[#This Row],[Order ID]])</f>
        <v>0.5</v>
      </c>
      <c r="Z6009" s="9">
        <f>1/COUNTIFS(Таблица1[Customer Name],Таблица1[[#This Row],[Customer Name]],Таблица1[Order-Year-Month],Таблица1[[#This Row],[Order-Year-Month]])</f>
        <v>0.5</v>
      </c>
    </row>
    <row r="6010" spans="1:26" x14ac:dyDescent="0.2">
      <c r="A6010" s="6">
        <v>3003</v>
      </c>
      <c r="B6010" s="7">
        <v>21635</v>
      </c>
      <c r="C6010" s="8">
        <f>DATE(2012,12,31)-1125</f>
        <v>40149</v>
      </c>
      <c r="D6010" s="8" t="str">
        <f t="shared" si="110"/>
        <v>2009-12 (декабрь 2009)</v>
      </c>
      <c r="E6010" s="9" t="s">
        <v>21</v>
      </c>
      <c r="F6010" s="7">
        <v>2</v>
      </c>
      <c r="G6010" s="7">
        <v>65.31</v>
      </c>
      <c r="H6010" s="7">
        <v>0</v>
      </c>
      <c r="I6010" s="9" t="s">
        <v>22</v>
      </c>
      <c r="J6010" s="10">
        <v>-34.419499999999999</v>
      </c>
      <c r="K6010" s="11">
        <v>24.92</v>
      </c>
      <c r="L6010" s="11">
        <v>12.98</v>
      </c>
      <c r="M6010" s="9" t="s">
        <v>1976</v>
      </c>
      <c r="N6010" s="6" t="s">
        <v>1905</v>
      </c>
      <c r="O6010" s="6" t="s">
        <v>673</v>
      </c>
      <c r="P6010" s="9" t="s">
        <v>33</v>
      </c>
      <c r="Q6010" s="9" t="s">
        <v>26</v>
      </c>
      <c r="R6010" s="9" t="s">
        <v>37</v>
      </c>
      <c r="S6010" s="7" t="s">
        <v>319</v>
      </c>
      <c r="T6010" s="9" t="s">
        <v>39</v>
      </c>
      <c r="U6010" s="7">
        <v>0.39</v>
      </c>
      <c r="V6010" s="12">
        <f>C6010+0</f>
        <v>40149</v>
      </c>
      <c r="W6010">
        <f>IF(D6010=' Pivot Tables'!$A$4,1,0)</f>
        <v>0</v>
      </c>
      <c r="X6010">
        <f>IF(AND(LEFT(D6010,4)+1=LEFT(' Pivot Tables'!$A$4,4)+0,RIGHT(LEFT(D6010,7),2)=RIGHT(LEFT(' Pivot Tables'!$A$4,7),2)),1,0)</f>
        <v>0</v>
      </c>
      <c r="Y6010" s="6">
        <f>1/COUNTIF(Таблица1[Order ID],Таблица1[[#This Row],[Order ID]])</f>
        <v>1</v>
      </c>
      <c r="Z6010" s="9">
        <f>1/COUNTIFS(Таблица1[Customer Name],Таблица1[[#This Row],[Customer Name]],Таблица1[Order-Year-Month],Таблица1[[#This Row],[Order-Year-Month]])</f>
        <v>1</v>
      </c>
    </row>
    <row r="6011" spans="1:26" x14ac:dyDescent="0.2">
      <c r="A6011" s="6">
        <v>3045</v>
      </c>
      <c r="B6011" s="7">
        <v>21860</v>
      </c>
      <c r="C6011" s="8">
        <f>DATE(2012,12,31)-247</f>
        <v>41027</v>
      </c>
      <c r="D6011" s="8" t="str">
        <f t="shared" si="110"/>
        <v>2012-04 (апрель 2012)</v>
      </c>
      <c r="E6011" s="9" t="s">
        <v>78</v>
      </c>
      <c r="F6011" s="7">
        <v>9</v>
      </c>
      <c r="G6011" s="7">
        <v>73.7</v>
      </c>
      <c r="H6011" s="7">
        <v>0.06</v>
      </c>
      <c r="I6011" s="9" t="s">
        <v>56</v>
      </c>
      <c r="J6011" s="10">
        <v>1.42</v>
      </c>
      <c r="K6011" s="11">
        <v>7.59</v>
      </c>
      <c r="L6011" s="11">
        <v>4</v>
      </c>
      <c r="M6011" s="9" t="s">
        <v>1980</v>
      </c>
      <c r="N6011" s="6" t="s">
        <v>1905</v>
      </c>
      <c r="O6011" s="6" t="s">
        <v>673</v>
      </c>
      <c r="P6011" s="9" t="s">
        <v>33</v>
      </c>
      <c r="Q6011" s="9" t="s">
        <v>49</v>
      </c>
      <c r="R6011" s="9" t="s">
        <v>50</v>
      </c>
      <c r="S6011" s="7" t="s">
        <v>504</v>
      </c>
      <c r="T6011" s="9" t="s">
        <v>68</v>
      </c>
      <c r="U6011" s="7">
        <v>0.42</v>
      </c>
      <c r="V6011" s="12">
        <f>C6011+1</f>
        <v>41028</v>
      </c>
      <c r="W6011">
        <f>IF(D6011=' Pivot Tables'!$A$4,1,0)</f>
        <v>0</v>
      </c>
      <c r="X6011">
        <f>IF(AND(LEFT(D6011,4)+1=LEFT(' Pivot Tables'!$A$4,4)+0,RIGHT(LEFT(D6011,7),2)=RIGHT(LEFT(' Pivot Tables'!$A$4,7),2)),1,0)</f>
        <v>0</v>
      </c>
      <c r="Y6011" s="6">
        <f>1/COUNTIF(Таблица1[Order ID],Таблица1[[#This Row],[Order ID]])</f>
        <v>1</v>
      </c>
      <c r="Z6011" s="9">
        <f>1/COUNTIFS(Таблица1[Customer Name],Таблица1[[#This Row],[Customer Name]],Таблица1[Order-Year-Month],Таблица1[[#This Row],[Order-Year-Month]])</f>
        <v>1</v>
      </c>
    </row>
    <row r="6012" spans="1:26" x14ac:dyDescent="0.2">
      <c r="A6012" s="6">
        <v>3189</v>
      </c>
      <c r="B6012" s="7">
        <v>22882</v>
      </c>
      <c r="C6012" s="8">
        <f>DATE(2012,12,31)-840</f>
        <v>40434</v>
      </c>
      <c r="D6012" s="8" t="str">
        <f t="shared" si="110"/>
        <v>2010-09 (сентябрь 2010)</v>
      </c>
      <c r="E6012" s="9" t="s">
        <v>78</v>
      </c>
      <c r="F6012" s="7">
        <v>10</v>
      </c>
      <c r="G6012" s="7">
        <v>71.239999999999995</v>
      </c>
      <c r="H6012" s="7">
        <v>0.03</v>
      </c>
      <c r="I6012" s="9" t="s">
        <v>22</v>
      </c>
      <c r="J6012" s="10">
        <v>2.78</v>
      </c>
      <c r="K6012" s="11">
        <v>6.69</v>
      </c>
      <c r="L6012" s="11">
        <v>3.1</v>
      </c>
      <c r="M6012" s="9" t="s">
        <v>1970</v>
      </c>
      <c r="N6012" s="6" t="s">
        <v>1905</v>
      </c>
      <c r="O6012" s="6" t="s">
        <v>673</v>
      </c>
      <c r="P6012" s="9" t="s">
        <v>60</v>
      </c>
      <c r="Q6012" s="9" t="s">
        <v>26</v>
      </c>
      <c r="R6012" s="9" t="s">
        <v>61</v>
      </c>
      <c r="S6012" s="7" t="s">
        <v>1188</v>
      </c>
      <c r="T6012" s="9" t="s">
        <v>68</v>
      </c>
      <c r="U6012" s="7">
        <v>0.36</v>
      </c>
      <c r="V6012" s="12">
        <f>C6012+2</f>
        <v>40436</v>
      </c>
      <c r="W6012">
        <f>IF(D6012=' Pivot Tables'!$A$4,1,0)</f>
        <v>0</v>
      </c>
      <c r="X6012">
        <f>IF(AND(LEFT(D6012,4)+1=LEFT(' Pivot Tables'!$A$4,4)+0,RIGHT(LEFT(D6012,7),2)=RIGHT(LEFT(' Pivot Tables'!$A$4,7),2)),1,0)</f>
        <v>0</v>
      </c>
      <c r="Y6012" s="6">
        <f>1/COUNTIF(Таблица1[Order ID],Таблица1[[#This Row],[Order ID]])</f>
        <v>1</v>
      </c>
      <c r="Z6012" s="9">
        <f>1/COUNTIFS(Таблица1[Customer Name],Таблица1[[#This Row],[Customer Name]],Таблица1[Order-Year-Month],Таблица1[[#This Row],[Order-Year-Month]])</f>
        <v>1</v>
      </c>
    </row>
    <row r="6013" spans="1:26" x14ac:dyDescent="0.2">
      <c r="A6013" s="6">
        <v>3480</v>
      </c>
      <c r="B6013" s="7">
        <v>24775</v>
      </c>
      <c r="C6013" s="8">
        <f>DATE(2012,12,31)-318</f>
        <v>40956</v>
      </c>
      <c r="D6013" s="8" t="str">
        <f t="shared" si="110"/>
        <v>2012-02 (февраль 2012)</v>
      </c>
      <c r="E6013" s="9" t="s">
        <v>78</v>
      </c>
      <c r="F6013" s="7">
        <v>15</v>
      </c>
      <c r="G6013" s="7">
        <v>1616.66</v>
      </c>
      <c r="H6013" s="7">
        <v>0</v>
      </c>
      <c r="I6013" s="9" t="s">
        <v>31</v>
      </c>
      <c r="J6013" s="10">
        <v>112.58</v>
      </c>
      <c r="K6013" s="11">
        <v>100.98</v>
      </c>
      <c r="L6013" s="11">
        <v>56.22</v>
      </c>
      <c r="M6013" s="9" t="s">
        <v>1978</v>
      </c>
      <c r="N6013" s="6" t="s">
        <v>1905</v>
      </c>
      <c r="O6013" s="6" t="s">
        <v>673</v>
      </c>
      <c r="P6013" s="9" t="s">
        <v>60</v>
      </c>
      <c r="Q6013" s="9" t="s">
        <v>49</v>
      </c>
      <c r="R6013" s="9" t="s">
        <v>80</v>
      </c>
      <c r="S6013" s="7" t="s">
        <v>81</v>
      </c>
      <c r="T6013" s="9" t="s">
        <v>82</v>
      </c>
      <c r="U6013" s="7">
        <v>0.6</v>
      </c>
      <c r="V6013" s="12">
        <f>C6013+2</f>
        <v>40958</v>
      </c>
      <c r="W6013">
        <f>IF(D6013=' Pivot Tables'!$A$4,1,0)</f>
        <v>0</v>
      </c>
      <c r="X6013">
        <f>IF(AND(LEFT(D6013,4)+1=LEFT(' Pivot Tables'!$A$4,4)+0,RIGHT(LEFT(D6013,7),2)=RIGHT(LEFT(' Pivot Tables'!$A$4,7),2)),1,0)</f>
        <v>0</v>
      </c>
      <c r="Y6013" s="6">
        <f>1/COUNTIF(Таблица1[Order ID],Таблица1[[#This Row],[Order ID]])</f>
        <v>0.5</v>
      </c>
      <c r="Z6013" s="9">
        <f>1/COUNTIFS(Таблица1[Customer Name],Таблица1[[#This Row],[Customer Name]],Таблица1[Order-Year-Month],Таблица1[[#This Row],[Order-Year-Month]])</f>
        <v>0.5</v>
      </c>
    </row>
    <row r="6014" spans="1:26" x14ac:dyDescent="0.2">
      <c r="A6014" s="6">
        <v>3481</v>
      </c>
      <c r="B6014" s="7">
        <v>24775</v>
      </c>
      <c r="C6014" s="8">
        <f>DATE(2012,12,31)-318</f>
        <v>40956</v>
      </c>
      <c r="D6014" s="8" t="str">
        <f t="shared" si="110"/>
        <v>2012-02 (февраль 2012)</v>
      </c>
      <c r="E6014" s="9" t="s">
        <v>78</v>
      </c>
      <c r="F6014" s="7">
        <v>6</v>
      </c>
      <c r="G6014" s="7">
        <v>96.21</v>
      </c>
      <c r="H6014" s="7">
        <v>0.06</v>
      </c>
      <c r="I6014" s="9" t="s">
        <v>22</v>
      </c>
      <c r="J6014" s="10">
        <v>-19.34</v>
      </c>
      <c r="K6014" s="11">
        <v>14.58</v>
      </c>
      <c r="L6014" s="11">
        <v>57.4</v>
      </c>
      <c r="M6014" s="9" t="s">
        <v>1978</v>
      </c>
      <c r="N6014" s="6" t="s">
        <v>1905</v>
      </c>
      <c r="O6014" s="6" t="s">
        <v>673</v>
      </c>
      <c r="P6014" s="9" t="s">
        <v>60</v>
      </c>
      <c r="Q6014" s="9" t="s">
        <v>49</v>
      </c>
      <c r="R6014" s="9" t="s">
        <v>50</v>
      </c>
      <c r="S6014" s="7" t="s">
        <v>653</v>
      </c>
      <c r="T6014" s="9" t="s">
        <v>39</v>
      </c>
      <c r="U6014" s="7">
        <v>0.48</v>
      </c>
      <c r="V6014" s="12">
        <f>C6014+1</f>
        <v>40957</v>
      </c>
      <c r="W6014">
        <f>IF(D6014=' Pivot Tables'!$A$4,1,0)</f>
        <v>0</v>
      </c>
      <c r="X6014">
        <f>IF(AND(LEFT(D6014,4)+1=LEFT(' Pivot Tables'!$A$4,4)+0,RIGHT(LEFT(D6014,7),2)=RIGHT(LEFT(' Pivot Tables'!$A$4,7),2)),1,0)</f>
        <v>0</v>
      </c>
      <c r="Y6014" s="6">
        <f>1/COUNTIF(Таблица1[Order ID],Таблица1[[#This Row],[Order ID]])</f>
        <v>0.5</v>
      </c>
      <c r="Z6014" s="9">
        <f>1/COUNTIFS(Таблица1[Customer Name],Таблица1[[#This Row],[Customer Name]],Таблица1[Order-Year-Month],Таблица1[[#This Row],[Order-Year-Month]])</f>
        <v>0.5</v>
      </c>
    </row>
    <row r="6015" spans="1:26" x14ac:dyDescent="0.2">
      <c r="A6015" s="6">
        <v>3529</v>
      </c>
      <c r="B6015" s="7">
        <v>25120</v>
      </c>
      <c r="C6015" s="8">
        <f>DATE(2012,12,31)-1426</f>
        <v>39848</v>
      </c>
      <c r="D6015" s="8" t="str">
        <f t="shared" si="110"/>
        <v>2009-02 (февраль 2009)</v>
      </c>
      <c r="E6015" s="9" t="s">
        <v>63</v>
      </c>
      <c r="F6015" s="7">
        <v>46</v>
      </c>
      <c r="G6015" s="7">
        <v>237.15</v>
      </c>
      <c r="H6015" s="7">
        <v>0</v>
      </c>
      <c r="I6015" s="9" t="s">
        <v>22</v>
      </c>
      <c r="J6015" s="10">
        <v>123.02</v>
      </c>
      <c r="K6015" s="11">
        <v>4.91</v>
      </c>
      <c r="L6015" s="11">
        <v>0.5</v>
      </c>
      <c r="M6015" s="9" t="s">
        <v>1974</v>
      </c>
      <c r="N6015" s="6" t="s">
        <v>1905</v>
      </c>
      <c r="O6015" s="6" t="s">
        <v>673</v>
      </c>
      <c r="P6015" s="9" t="s">
        <v>41</v>
      </c>
      <c r="Q6015" s="9" t="s">
        <v>26</v>
      </c>
      <c r="R6015" s="9" t="s">
        <v>88</v>
      </c>
      <c r="S6015" s="7" t="s">
        <v>509</v>
      </c>
      <c r="T6015" s="9" t="s">
        <v>39</v>
      </c>
      <c r="U6015" s="7">
        <v>0.36</v>
      </c>
      <c r="V6015" s="12">
        <f>C6015+2</f>
        <v>39850</v>
      </c>
      <c r="W6015">
        <f>IF(D6015=' Pivot Tables'!$A$4,1,0)</f>
        <v>0</v>
      </c>
      <c r="X6015">
        <f>IF(AND(LEFT(D6015,4)+1=LEFT(' Pivot Tables'!$A$4,4)+0,RIGHT(LEFT(D6015,7),2)=RIGHT(LEFT(' Pivot Tables'!$A$4,7),2)),1,0)</f>
        <v>0</v>
      </c>
      <c r="Y6015" s="6">
        <f>1/COUNTIF(Таблица1[Order ID],Таблица1[[#This Row],[Order ID]])</f>
        <v>0.33333333333333331</v>
      </c>
      <c r="Z6015" s="9">
        <f>1/COUNTIFS(Таблица1[Customer Name],Таблица1[[#This Row],[Customer Name]],Таблица1[Order-Year-Month],Таблица1[[#This Row],[Order-Year-Month]])</f>
        <v>0.33333333333333331</v>
      </c>
    </row>
    <row r="6016" spans="1:26" x14ac:dyDescent="0.2">
      <c r="A6016" s="6">
        <v>3530</v>
      </c>
      <c r="B6016" s="7">
        <v>25120</v>
      </c>
      <c r="C6016" s="8">
        <f>DATE(2012,12,31)-1426</f>
        <v>39848</v>
      </c>
      <c r="D6016" s="8" t="str">
        <f t="shared" si="110"/>
        <v>2009-02 (февраль 2009)</v>
      </c>
      <c r="E6016" s="9" t="s">
        <v>63</v>
      </c>
      <c r="F6016" s="7">
        <v>22</v>
      </c>
      <c r="G6016" s="7">
        <v>179.22</v>
      </c>
      <c r="H6016" s="7">
        <v>0.01</v>
      </c>
      <c r="I6016" s="9" t="s">
        <v>22</v>
      </c>
      <c r="J6016" s="10">
        <v>-139.9</v>
      </c>
      <c r="K6016" s="11">
        <v>7.28</v>
      </c>
      <c r="L6016" s="11">
        <v>11.15</v>
      </c>
      <c r="M6016" s="9" t="s">
        <v>1974</v>
      </c>
      <c r="N6016" s="6" t="s">
        <v>1905</v>
      </c>
      <c r="O6016" s="6" t="s">
        <v>673</v>
      </c>
      <c r="P6016" s="9" t="s">
        <v>41</v>
      </c>
      <c r="Q6016" s="9" t="s">
        <v>26</v>
      </c>
      <c r="R6016" s="9" t="s">
        <v>61</v>
      </c>
      <c r="S6016" s="7" t="s">
        <v>666</v>
      </c>
      <c r="T6016" s="9" t="s">
        <v>39</v>
      </c>
      <c r="U6016" s="7">
        <v>0.37</v>
      </c>
      <c r="V6016" s="12">
        <f>C6016+1</f>
        <v>39849</v>
      </c>
      <c r="W6016">
        <f>IF(D6016=' Pivot Tables'!$A$4,1,0)</f>
        <v>0</v>
      </c>
      <c r="X6016">
        <f>IF(AND(LEFT(D6016,4)+1=LEFT(' Pivot Tables'!$A$4,4)+0,RIGHT(LEFT(D6016,7),2)=RIGHT(LEFT(' Pivot Tables'!$A$4,7),2)),1,0)</f>
        <v>0</v>
      </c>
      <c r="Y6016" s="6">
        <f>1/COUNTIF(Таблица1[Order ID],Таблица1[[#This Row],[Order ID]])</f>
        <v>0.33333333333333331</v>
      </c>
      <c r="Z6016" s="9">
        <f>1/COUNTIFS(Таблица1[Customer Name],Таблица1[[#This Row],[Customer Name]],Таблица1[Order-Year-Month],Таблица1[[#This Row],[Order-Year-Month]])</f>
        <v>0.33333333333333331</v>
      </c>
    </row>
    <row r="6017" spans="1:26" x14ac:dyDescent="0.2">
      <c r="A6017" s="6">
        <v>3531</v>
      </c>
      <c r="B6017" s="7">
        <v>25120</v>
      </c>
      <c r="C6017" s="8">
        <f>DATE(2012,12,31)-1426</f>
        <v>39848</v>
      </c>
      <c r="D6017" s="8" t="str">
        <f t="shared" si="110"/>
        <v>2009-02 (февраль 2009)</v>
      </c>
      <c r="E6017" s="9" t="s">
        <v>63</v>
      </c>
      <c r="F6017" s="7">
        <v>10</v>
      </c>
      <c r="G6017" s="7">
        <v>71.86</v>
      </c>
      <c r="H6017" s="7">
        <v>0.1</v>
      </c>
      <c r="I6017" s="9" t="s">
        <v>22</v>
      </c>
      <c r="J6017" s="10">
        <v>-35.520000000000003</v>
      </c>
      <c r="K6017" s="11">
        <v>6.68</v>
      </c>
      <c r="L6017" s="11">
        <v>6.93</v>
      </c>
      <c r="M6017" s="9" t="s">
        <v>1974</v>
      </c>
      <c r="N6017" s="6" t="s">
        <v>1905</v>
      </c>
      <c r="O6017" s="6" t="s">
        <v>673</v>
      </c>
      <c r="P6017" s="9" t="s">
        <v>41</v>
      </c>
      <c r="Q6017" s="9" t="s">
        <v>26</v>
      </c>
      <c r="R6017" s="9" t="s">
        <v>61</v>
      </c>
      <c r="S6017" s="7" t="s">
        <v>385</v>
      </c>
      <c r="T6017" s="9" t="s">
        <v>39</v>
      </c>
      <c r="U6017" s="7">
        <v>0.37</v>
      </c>
      <c r="V6017" s="12">
        <f>C6017+3</f>
        <v>39851</v>
      </c>
      <c r="W6017">
        <f>IF(D6017=' Pivot Tables'!$A$4,1,0)</f>
        <v>0</v>
      </c>
      <c r="X6017">
        <f>IF(AND(LEFT(D6017,4)+1=LEFT(' Pivot Tables'!$A$4,4)+0,RIGHT(LEFT(D6017,7),2)=RIGHT(LEFT(' Pivot Tables'!$A$4,7),2)),1,0)</f>
        <v>0</v>
      </c>
      <c r="Y6017" s="6">
        <f>1/COUNTIF(Таблица1[Order ID],Таблица1[[#This Row],[Order ID]])</f>
        <v>0.33333333333333331</v>
      </c>
      <c r="Z6017" s="9">
        <f>1/COUNTIFS(Таблица1[Customer Name],Таблица1[[#This Row],[Customer Name]],Таблица1[Order-Year-Month],Таблица1[[#This Row],[Order-Year-Month]])</f>
        <v>0.33333333333333331</v>
      </c>
    </row>
    <row r="6018" spans="1:26" x14ac:dyDescent="0.2">
      <c r="A6018" s="6">
        <v>3563</v>
      </c>
      <c r="B6018" s="7">
        <v>25440</v>
      </c>
      <c r="C6018" s="8">
        <f>DATE(2012,12,31)-1424</f>
        <v>39850</v>
      </c>
      <c r="D6018" s="8" t="str">
        <f t="shared" si="110"/>
        <v>2009-02 (февраль 2009)</v>
      </c>
      <c r="E6018" s="9" t="s">
        <v>30</v>
      </c>
      <c r="F6018" s="7">
        <v>30</v>
      </c>
      <c r="G6018" s="7">
        <v>6589.3040000000001</v>
      </c>
      <c r="H6018" s="7">
        <v>0.02</v>
      </c>
      <c r="I6018" s="9" t="s">
        <v>31</v>
      </c>
      <c r="J6018" s="10">
        <v>912.48</v>
      </c>
      <c r="K6018" s="11">
        <v>259.70999999999998</v>
      </c>
      <c r="L6018" s="11">
        <v>66.67</v>
      </c>
      <c r="M6018" s="9" t="s">
        <v>1971</v>
      </c>
      <c r="N6018" s="6" t="s">
        <v>1905</v>
      </c>
      <c r="O6018" s="6" t="s">
        <v>673</v>
      </c>
      <c r="P6018" s="9" t="s">
        <v>60</v>
      </c>
      <c r="Q6018" s="9" t="s">
        <v>49</v>
      </c>
      <c r="R6018" s="9" t="s">
        <v>83</v>
      </c>
      <c r="S6018" s="7" t="s">
        <v>510</v>
      </c>
      <c r="T6018" s="9" t="s">
        <v>82</v>
      </c>
      <c r="U6018" s="7">
        <v>0.65</v>
      </c>
      <c r="V6018" s="12">
        <f>C6018+0</f>
        <v>39850</v>
      </c>
      <c r="W6018">
        <f>IF(D6018=' Pivot Tables'!$A$4,1,0)</f>
        <v>0</v>
      </c>
      <c r="X6018">
        <f>IF(AND(LEFT(D6018,4)+1=LEFT(' Pivot Tables'!$A$4,4)+0,RIGHT(LEFT(D6018,7),2)=RIGHT(LEFT(' Pivot Tables'!$A$4,7),2)),1,0)</f>
        <v>0</v>
      </c>
      <c r="Y6018" s="6">
        <f>1/COUNTIF(Таблица1[Order ID],Таблица1[[#This Row],[Order ID]])</f>
        <v>1</v>
      </c>
      <c r="Z6018" s="9">
        <f>1/COUNTIFS(Таблица1[Customer Name],Таблица1[[#This Row],[Customer Name]],Таблица1[Order-Year-Month],Таблица1[[#This Row],[Order-Year-Month]])</f>
        <v>1</v>
      </c>
    </row>
    <row r="6019" spans="1:26" x14ac:dyDescent="0.2">
      <c r="A6019" s="6">
        <v>3608</v>
      </c>
      <c r="B6019" s="7">
        <v>25799</v>
      </c>
      <c r="C6019" s="8">
        <f>DATE(2012,12,31)-676</f>
        <v>40598</v>
      </c>
      <c r="D6019" s="8" t="str">
        <f t="shared" ref="D6019:D6082" si="111">TEXT(C6019,"гггг-ММ (ММММ гггг)")</f>
        <v>2011-02 (февраль 2011)</v>
      </c>
      <c r="E6019" s="9" t="s">
        <v>21</v>
      </c>
      <c r="F6019" s="7">
        <v>38</v>
      </c>
      <c r="G6019" s="7">
        <v>136.5</v>
      </c>
      <c r="H6019" s="7">
        <v>0.05</v>
      </c>
      <c r="I6019" s="9" t="s">
        <v>22</v>
      </c>
      <c r="J6019" s="10">
        <v>-216.66</v>
      </c>
      <c r="K6019" s="11">
        <v>3.34</v>
      </c>
      <c r="L6019" s="11">
        <v>7.49</v>
      </c>
      <c r="M6019" s="9" t="s">
        <v>1975</v>
      </c>
      <c r="N6019" s="6" t="s">
        <v>1905</v>
      </c>
      <c r="O6019" s="6" t="s">
        <v>673</v>
      </c>
      <c r="P6019" s="9" t="s">
        <v>41</v>
      </c>
      <c r="Q6019" s="9" t="s">
        <v>26</v>
      </c>
      <c r="R6019" s="9" t="s">
        <v>95</v>
      </c>
      <c r="S6019" s="7" t="s">
        <v>765</v>
      </c>
      <c r="T6019" s="9" t="s">
        <v>68</v>
      </c>
      <c r="U6019" s="7">
        <v>0.54</v>
      </c>
      <c r="V6019" s="12">
        <f>C6019+3</f>
        <v>40601</v>
      </c>
      <c r="W6019">
        <f>IF(D6019=' Pivot Tables'!$A$4,1,0)</f>
        <v>0</v>
      </c>
      <c r="X6019">
        <f>IF(AND(LEFT(D6019,4)+1=LEFT(' Pivot Tables'!$A$4,4)+0,RIGHT(LEFT(D6019,7),2)=RIGHT(LEFT(' Pivot Tables'!$A$4,7),2)),1,0)</f>
        <v>0</v>
      </c>
      <c r="Y6019" s="6">
        <f>1/COUNTIF(Таблица1[Order ID],Таблица1[[#This Row],[Order ID]])</f>
        <v>1</v>
      </c>
      <c r="Z6019" s="9">
        <f>1/COUNTIFS(Таблица1[Customer Name],Таблица1[[#This Row],[Customer Name]],Таблица1[Order-Year-Month],Таблица1[[#This Row],[Order-Year-Month]])</f>
        <v>1</v>
      </c>
    </row>
    <row r="6020" spans="1:26" x14ac:dyDescent="0.2">
      <c r="A6020" s="6">
        <v>3620</v>
      </c>
      <c r="B6020" s="7">
        <v>25831</v>
      </c>
      <c r="C6020" s="8">
        <f>DATE(2012,12,31)-1204</f>
        <v>40070</v>
      </c>
      <c r="D6020" s="8" t="str">
        <f t="shared" si="111"/>
        <v>2009-09 (сентябрь 2009)</v>
      </c>
      <c r="E6020" s="9" t="s">
        <v>63</v>
      </c>
      <c r="F6020" s="7">
        <v>6</v>
      </c>
      <c r="G6020" s="7">
        <v>250.376</v>
      </c>
      <c r="H6020" s="7">
        <v>0.01</v>
      </c>
      <c r="I6020" s="9" t="s">
        <v>22</v>
      </c>
      <c r="J6020" s="10">
        <v>-131.846</v>
      </c>
      <c r="K6020" s="11">
        <v>45.99</v>
      </c>
      <c r="L6020" s="11">
        <v>4.99</v>
      </c>
      <c r="M6020" s="9" t="s">
        <v>1978</v>
      </c>
      <c r="N6020" s="6" t="s">
        <v>1905</v>
      </c>
      <c r="O6020" s="6" t="s">
        <v>673</v>
      </c>
      <c r="P6020" s="9" t="s">
        <v>60</v>
      </c>
      <c r="Q6020" s="9" t="s">
        <v>42</v>
      </c>
      <c r="R6020" s="9" t="s">
        <v>43</v>
      </c>
      <c r="S6020" s="7" t="s">
        <v>629</v>
      </c>
      <c r="T6020" s="9" t="s">
        <v>39</v>
      </c>
      <c r="U6020" s="7">
        <v>0.56000000000000005</v>
      </c>
      <c r="V6020" s="12">
        <f>C6020+2</f>
        <v>40072</v>
      </c>
      <c r="W6020">
        <f>IF(D6020=' Pivot Tables'!$A$4,1,0)</f>
        <v>0</v>
      </c>
      <c r="X6020">
        <f>IF(AND(LEFT(D6020,4)+1=LEFT(' Pivot Tables'!$A$4,4)+0,RIGHT(LEFT(D6020,7),2)=RIGHT(LEFT(' Pivot Tables'!$A$4,7),2)),1,0)</f>
        <v>0</v>
      </c>
      <c r="Y6020" s="6">
        <f>1/COUNTIF(Таблица1[Order ID],Таблица1[[#This Row],[Order ID]])</f>
        <v>1</v>
      </c>
      <c r="Z6020" s="9">
        <f>1/COUNTIFS(Таблица1[Customer Name],Таблица1[[#This Row],[Customer Name]],Таблица1[Order-Year-Month],Таблица1[[#This Row],[Order-Year-Month]])</f>
        <v>1</v>
      </c>
    </row>
    <row r="6021" spans="1:26" x14ac:dyDescent="0.2">
      <c r="A6021" s="6">
        <v>4000</v>
      </c>
      <c r="B6021" s="7">
        <v>28545</v>
      </c>
      <c r="C6021" s="8">
        <f>DATE(2012,12,31)-496</f>
        <v>40778</v>
      </c>
      <c r="D6021" s="8" t="str">
        <f t="shared" si="111"/>
        <v>2011-08 (август 2011)</v>
      </c>
      <c r="E6021" s="9" t="s">
        <v>30</v>
      </c>
      <c r="F6021" s="7">
        <v>15</v>
      </c>
      <c r="G6021" s="7">
        <v>5296.19</v>
      </c>
      <c r="H6021" s="7">
        <v>0.1</v>
      </c>
      <c r="I6021" s="9" t="s">
        <v>22</v>
      </c>
      <c r="J6021" s="10">
        <v>1164.05</v>
      </c>
      <c r="K6021" s="11">
        <v>363.25</v>
      </c>
      <c r="L6021" s="11">
        <v>19.989999999999998</v>
      </c>
      <c r="M6021" s="9" t="s">
        <v>1971</v>
      </c>
      <c r="N6021" s="6" t="s">
        <v>1905</v>
      </c>
      <c r="O6021" s="6" t="s">
        <v>673</v>
      </c>
      <c r="P6021" s="9" t="s">
        <v>60</v>
      </c>
      <c r="Q6021" s="9" t="s">
        <v>26</v>
      </c>
      <c r="R6021" s="9" t="s">
        <v>34</v>
      </c>
      <c r="S6021" s="7" t="s">
        <v>589</v>
      </c>
      <c r="T6021" s="9" t="s">
        <v>39</v>
      </c>
      <c r="U6021" s="7">
        <v>0.56999999999999995</v>
      </c>
      <c r="V6021" s="12">
        <f>C6021+1</f>
        <v>40779</v>
      </c>
      <c r="W6021">
        <f>IF(D6021=' Pivot Tables'!$A$4,1,0)</f>
        <v>0</v>
      </c>
      <c r="X6021">
        <f>IF(AND(LEFT(D6021,4)+1=LEFT(' Pivot Tables'!$A$4,4)+0,RIGHT(LEFT(D6021,7),2)=RIGHT(LEFT(' Pivot Tables'!$A$4,7),2)),1,0)</f>
        <v>0</v>
      </c>
      <c r="Y6021" s="6">
        <f>1/COUNTIF(Таблица1[Order ID],Таблица1[[#This Row],[Order ID]])</f>
        <v>1</v>
      </c>
      <c r="Z6021" s="9">
        <f>1/COUNTIFS(Таблица1[Customer Name],Таблица1[[#This Row],[Customer Name]],Таблица1[Order-Year-Month],Таблица1[[#This Row],[Order-Year-Month]])</f>
        <v>1</v>
      </c>
    </row>
    <row r="6022" spans="1:26" x14ac:dyDescent="0.2">
      <c r="A6022" s="6">
        <v>4060</v>
      </c>
      <c r="B6022" s="7">
        <v>28929</v>
      </c>
      <c r="C6022" s="8">
        <f>DATE(2012,12,31)-83</f>
        <v>41191</v>
      </c>
      <c r="D6022" s="8" t="str">
        <f t="shared" si="111"/>
        <v>2012-10 (октябрь 2012)</v>
      </c>
      <c r="E6022" s="9" t="s">
        <v>63</v>
      </c>
      <c r="F6022" s="7">
        <v>37</v>
      </c>
      <c r="G6022" s="7">
        <v>230.97</v>
      </c>
      <c r="H6022" s="7">
        <v>0.08</v>
      </c>
      <c r="I6022" s="9" t="s">
        <v>22</v>
      </c>
      <c r="J6022" s="10">
        <v>-173.73</v>
      </c>
      <c r="K6022" s="11">
        <v>6.48</v>
      </c>
      <c r="L6022" s="11">
        <v>8.19</v>
      </c>
      <c r="M6022" s="9" t="s">
        <v>1975</v>
      </c>
      <c r="N6022" s="6" t="s">
        <v>1905</v>
      </c>
      <c r="O6022" s="6" t="s">
        <v>673</v>
      </c>
      <c r="P6022" s="9" t="s">
        <v>41</v>
      </c>
      <c r="Q6022" s="9" t="s">
        <v>26</v>
      </c>
      <c r="R6022" s="9" t="s">
        <v>61</v>
      </c>
      <c r="S6022" s="7" t="s">
        <v>176</v>
      </c>
      <c r="T6022" s="9" t="s">
        <v>39</v>
      </c>
      <c r="U6022" s="7">
        <v>0.37</v>
      </c>
      <c r="V6022" s="12">
        <f>C6022+1</f>
        <v>41192</v>
      </c>
      <c r="W6022">
        <f>IF(D6022=' Pivot Tables'!$A$4,1,0)</f>
        <v>0</v>
      </c>
      <c r="X6022">
        <f>IF(AND(LEFT(D6022,4)+1=LEFT(' Pivot Tables'!$A$4,4)+0,RIGHT(LEFT(D6022,7),2)=RIGHT(LEFT(' Pivot Tables'!$A$4,7),2)),1,0)</f>
        <v>0</v>
      </c>
      <c r="Y6022" s="6">
        <f>1/COUNTIF(Таблица1[Order ID],Таблица1[[#This Row],[Order ID]])</f>
        <v>0.5</v>
      </c>
      <c r="Z6022" s="9">
        <f>1/COUNTIFS(Таблица1[Customer Name],Таблица1[[#This Row],[Customer Name]],Таблица1[Order-Year-Month],Таблица1[[#This Row],[Order-Year-Month]])</f>
        <v>0.5</v>
      </c>
    </row>
    <row r="6023" spans="1:26" x14ac:dyDescent="0.2">
      <c r="A6023" s="6">
        <v>4061</v>
      </c>
      <c r="B6023" s="7">
        <v>28929</v>
      </c>
      <c r="C6023" s="8">
        <f>DATE(2012,12,31)-83</f>
        <v>41191</v>
      </c>
      <c r="D6023" s="8" t="str">
        <f t="shared" si="111"/>
        <v>2012-10 (октябрь 2012)</v>
      </c>
      <c r="E6023" s="9" t="s">
        <v>63</v>
      </c>
      <c r="F6023" s="7">
        <v>46</v>
      </c>
      <c r="G6023" s="7">
        <v>723.17</v>
      </c>
      <c r="H6023" s="7">
        <v>0.09</v>
      </c>
      <c r="I6023" s="9" t="s">
        <v>22</v>
      </c>
      <c r="J6023" s="10">
        <v>-154.11000000000001</v>
      </c>
      <c r="K6023" s="11">
        <v>16.98</v>
      </c>
      <c r="L6023" s="11">
        <v>12.39</v>
      </c>
      <c r="M6023" s="9" t="s">
        <v>1975</v>
      </c>
      <c r="N6023" s="6" t="s">
        <v>1905</v>
      </c>
      <c r="O6023" s="6" t="s">
        <v>673</v>
      </c>
      <c r="P6023" s="9" t="s">
        <v>41</v>
      </c>
      <c r="Q6023" s="9" t="s">
        <v>26</v>
      </c>
      <c r="R6023" s="9" t="s">
        <v>76</v>
      </c>
      <c r="S6023" s="7" t="s">
        <v>478</v>
      </c>
      <c r="T6023" s="9" t="s">
        <v>39</v>
      </c>
      <c r="U6023" s="7">
        <v>0.35</v>
      </c>
      <c r="V6023" s="12">
        <f>C6023+2</f>
        <v>41193</v>
      </c>
      <c r="W6023">
        <f>IF(D6023=' Pivot Tables'!$A$4,1,0)</f>
        <v>0</v>
      </c>
      <c r="X6023">
        <f>IF(AND(LEFT(D6023,4)+1=LEFT(' Pivot Tables'!$A$4,4)+0,RIGHT(LEFT(D6023,7),2)=RIGHT(LEFT(' Pivot Tables'!$A$4,7),2)),1,0)</f>
        <v>0</v>
      </c>
      <c r="Y6023" s="6">
        <f>1/COUNTIF(Таблица1[Order ID],Таблица1[[#This Row],[Order ID]])</f>
        <v>0.5</v>
      </c>
      <c r="Z6023" s="9">
        <f>1/COUNTIFS(Таблица1[Customer Name],Таблица1[[#This Row],[Customer Name]],Таблица1[Order-Year-Month],Таблица1[[#This Row],[Order-Year-Month]])</f>
        <v>0.5</v>
      </c>
    </row>
    <row r="6024" spans="1:26" x14ac:dyDescent="0.2">
      <c r="A6024" s="6">
        <v>4234</v>
      </c>
      <c r="B6024" s="7">
        <v>30083</v>
      </c>
      <c r="C6024" s="8">
        <f>DATE(2012,12,31)-1453</f>
        <v>39821</v>
      </c>
      <c r="D6024" s="8" t="str">
        <f t="shared" si="111"/>
        <v>2009-01 (январь 2009)</v>
      </c>
      <c r="E6024" s="9" t="s">
        <v>45</v>
      </c>
      <c r="F6024" s="7">
        <v>23</v>
      </c>
      <c r="G6024" s="7">
        <v>324.27999999999997</v>
      </c>
      <c r="H6024" s="7">
        <v>7.0000000000000007E-2</v>
      </c>
      <c r="I6024" s="9" t="s">
        <v>22</v>
      </c>
      <c r="J6024" s="10">
        <v>20.43</v>
      </c>
      <c r="K6024" s="11">
        <v>14.56</v>
      </c>
      <c r="L6024" s="11">
        <v>3.5</v>
      </c>
      <c r="M6024" s="9" t="s">
        <v>1970</v>
      </c>
      <c r="N6024" s="6" t="s">
        <v>1905</v>
      </c>
      <c r="O6024" s="6" t="s">
        <v>673</v>
      </c>
      <c r="P6024" s="9" t="s">
        <v>60</v>
      </c>
      <c r="Q6024" s="9" t="s">
        <v>26</v>
      </c>
      <c r="R6024" s="9" t="s">
        <v>34</v>
      </c>
      <c r="S6024" s="7" t="s">
        <v>925</v>
      </c>
      <c r="T6024" s="9" t="s">
        <v>39</v>
      </c>
      <c r="U6024" s="7">
        <v>0.57999999999999996</v>
      </c>
      <c r="V6024" s="12">
        <f>C6024+1</f>
        <v>39822</v>
      </c>
      <c r="W6024">
        <f>IF(D6024=' Pivot Tables'!$A$4,1,0)</f>
        <v>0</v>
      </c>
      <c r="X6024">
        <f>IF(AND(LEFT(D6024,4)+1=LEFT(' Pivot Tables'!$A$4,4)+0,RIGHT(LEFT(D6024,7),2)=RIGHT(LEFT(' Pivot Tables'!$A$4,7),2)),1,0)</f>
        <v>1</v>
      </c>
      <c r="Y6024" s="6">
        <f>1/COUNTIF(Таблица1[Order ID],Таблица1[[#This Row],[Order ID]])</f>
        <v>1</v>
      </c>
      <c r="Z6024" s="9">
        <f>1/COUNTIFS(Таблица1[Customer Name],Таблица1[[#This Row],[Customer Name]],Таблица1[Order-Year-Month],Таблица1[[#This Row],[Order-Year-Month]])</f>
        <v>1</v>
      </c>
    </row>
    <row r="6025" spans="1:26" x14ac:dyDescent="0.2">
      <c r="A6025" s="6">
        <v>4331</v>
      </c>
      <c r="B6025" s="7">
        <v>30853</v>
      </c>
      <c r="C6025" s="8">
        <f>DATE(2012,12,31)-523</f>
        <v>40751</v>
      </c>
      <c r="D6025" s="8" t="str">
        <f t="shared" si="111"/>
        <v>2011-07 (июль 2011)</v>
      </c>
      <c r="E6025" s="9" t="s">
        <v>63</v>
      </c>
      <c r="F6025" s="7">
        <v>40</v>
      </c>
      <c r="G6025" s="7">
        <v>254.02</v>
      </c>
      <c r="H6025" s="7">
        <v>0.04</v>
      </c>
      <c r="I6025" s="9" t="s">
        <v>22</v>
      </c>
      <c r="J6025" s="10">
        <v>123.14</v>
      </c>
      <c r="K6025" s="11">
        <v>6.3</v>
      </c>
      <c r="L6025" s="11">
        <v>0.5</v>
      </c>
      <c r="M6025" s="9" t="s">
        <v>1867</v>
      </c>
      <c r="N6025" s="6" t="s">
        <v>1905</v>
      </c>
      <c r="O6025" s="6" t="s">
        <v>673</v>
      </c>
      <c r="P6025" s="9" t="s">
        <v>25</v>
      </c>
      <c r="Q6025" s="9" t="s">
        <v>26</v>
      </c>
      <c r="R6025" s="9" t="s">
        <v>88</v>
      </c>
      <c r="S6025" s="7" t="s">
        <v>900</v>
      </c>
      <c r="T6025" s="9" t="s">
        <v>39</v>
      </c>
      <c r="U6025" s="7">
        <v>0.39</v>
      </c>
      <c r="V6025" s="12">
        <f>C6025+3</f>
        <v>40754</v>
      </c>
      <c r="W6025">
        <f>IF(D6025=' Pivot Tables'!$A$4,1,0)</f>
        <v>0</v>
      </c>
      <c r="X6025">
        <f>IF(AND(LEFT(D6025,4)+1=LEFT(' Pivot Tables'!$A$4,4)+0,RIGHT(LEFT(D6025,7),2)=RIGHT(LEFT(' Pivot Tables'!$A$4,7),2)),1,0)</f>
        <v>0</v>
      </c>
      <c r="Y6025" s="6">
        <f>1/COUNTIF(Таблица1[Order ID],Таблица1[[#This Row],[Order ID]])</f>
        <v>0.5</v>
      </c>
      <c r="Z6025" s="9">
        <f>1/COUNTIFS(Таблица1[Customer Name],Таблица1[[#This Row],[Customer Name]],Таблица1[Order-Year-Month],Таблица1[[#This Row],[Order-Year-Month]])</f>
        <v>0.5</v>
      </c>
    </row>
    <row r="6026" spans="1:26" x14ac:dyDescent="0.2">
      <c r="A6026" s="6">
        <v>4345</v>
      </c>
      <c r="B6026" s="7">
        <v>30944</v>
      </c>
      <c r="C6026" s="8">
        <f>DATE(2012,12,31)-558</f>
        <v>40716</v>
      </c>
      <c r="D6026" s="8" t="str">
        <f t="shared" si="111"/>
        <v>2011-06 (июнь 2011)</v>
      </c>
      <c r="E6026" s="9" t="s">
        <v>78</v>
      </c>
      <c r="F6026" s="7">
        <v>32</v>
      </c>
      <c r="G6026" s="7">
        <v>546.01</v>
      </c>
      <c r="H6026" s="7">
        <v>0.01</v>
      </c>
      <c r="I6026" s="9" t="s">
        <v>22</v>
      </c>
      <c r="J6026" s="10">
        <v>133.56049999999999</v>
      </c>
      <c r="K6026" s="11">
        <v>16.739999999999998</v>
      </c>
      <c r="L6026" s="11">
        <v>5.08</v>
      </c>
      <c r="M6026" s="9" t="s">
        <v>1975</v>
      </c>
      <c r="N6026" s="6" t="s">
        <v>1905</v>
      </c>
      <c r="O6026" s="6" t="s">
        <v>673</v>
      </c>
      <c r="P6026" s="9" t="s">
        <v>33</v>
      </c>
      <c r="Q6026" s="9" t="s">
        <v>26</v>
      </c>
      <c r="R6026" s="9" t="s">
        <v>37</v>
      </c>
      <c r="S6026" s="7" t="s">
        <v>1901</v>
      </c>
      <c r="T6026" s="9" t="s">
        <v>39</v>
      </c>
      <c r="U6026" s="7">
        <v>0.36</v>
      </c>
      <c r="V6026" s="12">
        <f>C6026+1</f>
        <v>40717</v>
      </c>
      <c r="W6026">
        <f>IF(D6026=' Pivot Tables'!$A$4,1,0)</f>
        <v>0</v>
      </c>
      <c r="X6026">
        <f>IF(AND(LEFT(D6026,4)+1=LEFT(' Pivot Tables'!$A$4,4)+0,RIGHT(LEFT(D6026,7),2)=RIGHT(LEFT(' Pivot Tables'!$A$4,7),2)),1,0)</f>
        <v>0</v>
      </c>
      <c r="Y6026" s="6">
        <f>1/COUNTIF(Таблица1[Order ID],Таблица1[[#This Row],[Order ID]])</f>
        <v>1</v>
      </c>
      <c r="Z6026" s="9">
        <f>1/COUNTIFS(Таблица1[Customer Name],Таблица1[[#This Row],[Customer Name]],Таблица1[Order-Year-Month],Таблица1[[#This Row],[Order-Year-Month]])</f>
        <v>1</v>
      </c>
    </row>
    <row r="6027" spans="1:26" x14ac:dyDescent="0.2">
      <c r="A6027" s="6">
        <v>4686</v>
      </c>
      <c r="B6027" s="7">
        <v>33350</v>
      </c>
      <c r="C6027" s="8">
        <f>DATE(2012,12,31)-1259</f>
        <v>40015</v>
      </c>
      <c r="D6027" s="8" t="str">
        <f t="shared" si="111"/>
        <v>2009-07 (июль 2009)</v>
      </c>
      <c r="E6027" s="9" t="s">
        <v>45</v>
      </c>
      <c r="F6027" s="7">
        <v>1</v>
      </c>
      <c r="G6027" s="7">
        <v>1786.04</v>
      </c>
      <c r="H6027" s="7">
        <v>0.1</v>
      </c>
      <c r="I6027" s="9" t="s">
        <v>22</v>
      </c>
      <c r="J6027" s="10">
        <v>-924.99099999999999</v>
      </c>
      <c r="K6027" s="11">
        <v>1889.99</v>
      </c>
      <c r="L6027" s="11">
        <v>19.989999999999998</v>
      </c>
      <c r="M6027" s="9" t="s">
        <v>1971</v>
      </c>
      <c r="N6027" s="6" t="s">
        <v>1905</v>
      </c>
      <c r="O6027" s="6" t="s">
        <v>673</v>
      </c>
      <c r="P6027" s="9" t="s">
        <v>60</v>
      </c>
      <c r="Q6027" s="9" t="s">
        <v>26</v>
      </c>
      <c r="R6027" s="9" t="s">
        <v>37</v>
      </c>
      <c r="S6027" s="7" t="s">
        <v>1756</v>
      </c>
      <c r="T6027" s="9" t="s">
        <v>39</v>
      </c>
      <c r="U6027" s="7">
        <v>0.36</v>
      </c>
      <c r="V6027" s="12">
        <f>C6027+0</f>
        <v>40015</v>
      </c>
      <c r="W6027">
        <f>IF(D6027=' Pivot Tables'!$A$4,1,0)</f>
        <v>0</v>
      </c>
      <c r="X6027">
        <f>IF(AND(LEFT(D6027,4)+1=LEFT(' Pivot Tables'!$A$4,4)+0,RIGHT(LEFT(D6027,7),2)=RIGHT(LEFT(' Pivot Tables'!$A$4,7),2)),1,0)</f>
        <v>0</v>
      </c>
      <c r="Y6027" s="6">
        <f>1/COUNTIF(Таблица1[Order ID],Таблица1[[#This Row],[Order ID]])</f>
        <v>1</v>
      </c>
      <c r="Z6027" s="9">
        <f>1/COUNTIFS(Таблица1[Customer Name],Таблица1[[#This Row],[Customer Name]],Таблица1[Order-Year-Month],Таблица1[[#This Row],[Order-Year-Month]])</f>
        <v>1</v>
      </c>
    </row>
    <row r="6028" spans="1:26" x14ac:dyDescent="0.2">
      <c r="A6028" s="6">
        <v>4869</v>
      </c>
      <c r="B6028" s="7">
        <v>34660</v>
      </c>
      <c r="C6028" s="8">
        <f>DATE(2012,12,31)-485</f>
        <v>40789</v>
      </c>
      <c r="D6028" s="8" t="str">
        <f t="shared" si="111"/>
        <v>2011-09 (сентябрь 2011)</v>
      </c>
      <c r="E6028" s="9" t="s">
        <v>45</v>
      </c>
      <c r="F6028" s="7">
        <v>4</v>
      </c>
      <c r="G6028" s="7">
        <v>24.77</v>
      </c>
      <c r="H6028" s="7">
        <v>0.1</v>
      </c>
      <c r="I6028" s="9" t="s">
        <v>22</v>
      </c>
      <c r="J6028" s="10">
        <v>-17.065999999999999</v>
      </c>
      <c r="K6028" s="11">
        <v>4.91</v>
      </c>
      <c r="L6028" s="11">
        <v>5.68</v>
      </c>
      <c r="M6028" s="9" t="s">
        <v>1978</v>
      </c>
      <c r="N6028" s="6" t="s">
        <v>1905</v>
      </c>
      <c r="O6028" s="6" t="s">
        <v>673</v>
      </c>
      <c r="P6028" s="9" t="s">
        <v>60</v>
      </c>
      <c r="Q6028" s="9" t="s">
        <v>26</v>
      </c>
      <c r="R6028" s="9" t="s">
        <v>37</v>
      </c>
      <c r="S6028" s="7" t="s">
        <v>1345</v>
      </c>
      <c r="T6028" s="9" t="s">
        <v>39</v>
      </c>
      <c r="U6028" s="7">
        <v>0.36</v>
      </c>
      <c r="V6028" s="12">
        <f>C6028+1</f>
        <v>40790</v>
      </c>
      <c r="W6028">
        <f>IF(D6028=' Pivot Tables'!$A$4,1,0)</f>
        <v>0</v>
      </c>
      <c r="X6028">
        <f>IF(AND(LEFT(D6028,4)+1=LEFT(' Pivot Tables'!$A$4,4)+0,RIGHT(LEFT(D6028,7),2)=RIGHT(LEFT(' Pivot Tables'!$A$4,7),2)),1,0)</f>
        <v>0</v>
      </c>
      <c r="Y6028" s="6">
        <f>1/COUNTIF(Таблица1[Order ID],Таблица1[[#This Row],[Order ID]])</f>
        <v>0.5</v>
      </c>
      <c r="Z6028" s="9">
        <f>1/COUNTIFS(Таблица1[Customer Name],Таблица1[[#This Row],[Customer Name]],Таблица1[Order-Year-Month],Таблица1[[#This Row],[Order-Year-Month]])</f>
        <v>0.5</v>
      </c>
    </row>
    <row r="6029" spans="1:26" x14ac:dyDescent="0.2">
      <c r="A6029" s="6">
        <v>4870</v>
      </c>
      <c r="B6029" s="7">
        <v>34660</v>
      </c>
      <c r="C6029" s="8">
        <f>DATE(2012,12,31)-485</f>
        <v>40789</v>
      </c>
      <c r="D6029" s="8" t="str">
        <f t="shared" si="111"/>
        <v>2011-09 (сентябрь 2011)</v>
      </c>
      <c r="E6029" s="9" t="s">
        <v>45</v>
      </c>
      <c r="F6029" s="7">
        <v>36</v>
      </c>
      <c r="G6029" s="7">
        <v>3832.37</v>
      </c>
      <c r="H6029" s="7">
        <v>0.01</v>
      </c>
      <c r="I6029" s="9" t="s">
        <v>22</v>
      </c>
      <c r="J6029" s="10">
        <v>1322.07</v>
      </c>
      <c r="K6029" s="11">
        <v>107.53</v>
      </c>
      <c r="L6029" s="11">
        <v>5.81</v>
      </c>
      <c r="M6029" s="9" t="s">
        <v>1978</v>
      </c>
      <c r="N6029" s="6" t="s">
        <v>1905</v>
      </c>
      <c r="O6029" s="6" t="s">
        <v>673</v>
      </c>
      <c r="P6029" s="9" t="s">
        <v>60</v>
      </c>
      <c r="Q6029" s="9" t="s">
        <v>49</v>
      </c>
      <c r="R6029" s="9" t="s">
        <v>50</v>
      </c>
      <c r="S6029" s="7" t="s">
        <v>473</v>
      </c>
      <c r="T6029" s="9" t="s">
        <v>48</v>
      </c>
      <c r="U6029" s="7">
        <v>0.65</v>
      </c>
      <c r="V6029" s="12">
        <f>C6029+2</f>
        <v>40791</v>
      </c>
      <c r="W6029">
        <f>IF(D6029=' Pivot Tables'!$A$4,1,0)</f>
        <v>0</v>
      </c>
      <c r="X6029">
        <f>IF(AND(LEFT(D6029,4)+1=LEFT(' Pivot Tables'!$A$4,4)+0,RIGHT(LEFT(D6029,7),2)=RIGHT(LEFT(' Pivot Tables'!$A$4,7),2)),1,0)</f>
        <v>0</v>
      </c>
      <c r="Y6029" s="6">
        <f>1/COUNTIF(Таблица1[Order ID],Таблица1[[#This Row],[Order ID]])</f>
        <v>0.5</v>
      </c>
      <c r="Z6029" s="9">
        <f>1/COUNTIFS(Таблица1[Customer Name],Таблица1[[#This Row],[Customer Name]],Таблица1[Order-Year-Month],Таблица1[[#This Row],[Order-Year-Month]])</f>
        <v>0.5</v>
      </c>
    </row>
    <row r="6030" spans="1:26" x14ac:dyDescent="0.2">
      <c r="A6030" s="6">
        <v>4977</v>
      </c>
      <c r="B6030" s="7">
        <v>35425</v>
      </c>
      <c r="C6030" s="8">
        <f>DATE(2012,12,31)-1009</f>
        <v>40265</v>
      </c>
      <c r="D6030" s="8" t="str">
        <f t="shared" si="111"/>
        <v>2010-03 (март 2010)</v>
      </c>
      <c r="E6030" s="9" t="s">
        <v>45</v>
      </c>
      <c r="F6030" s="7">
        <v>25</v>
      </c>
      <c r="G6030" s="7">
        <v>100.34</v>
      </c>
      <c r="H6030" s="7">
        <v>0</v>
      </c>
      <c r="I6030" s="9" t="s">
        <v>22</v>
      </c>
      <c r="J6030" s="10">
        <v>-88.1935</v>
      </c>
      <c r="K6030" s="11">
        <v>3.58</v>
      </c>
      <c r="L6030" s="11">
        <v>5.47</v>
      </c>
      <c r="M6030" s="9" t="s">
        <v>1978</v>
      </c>
      <c r="N6030" s="6" t="s">
        <v>1905</v>
      </c>
      <c r="O6030" s="6" t="s">
        <v>673</v>
      </c>
      <c r="P6030" s="9" t="s">
        <v>60</v>
      </c>
      <c r="Q6030" s="9" t="s">
        <v>26</v>
      </c>
      <c r="R6030" s="9" t="s">
        <v>37</v>
      </c>
      <c r="S6030" s="7" t="s">
        <v>462</v>
      </c>
      <c r="T6030" s="9" t="s">
        <v>39</v>
      </c>
      <c r="U6030" s="7">
        <v>0.37</v>
      </c>
      <c r="V6030" s="12">
        <f>C6030+2</f>
        <v>40267</v>
      </c>
      <c r="W6030">
        <f>IF(D6030=' Pivot Tables'!$A$4,1,0)</f>
        <v>0</v>
      </c>
      <c r="X6030">
        <f>IF(AND(LEFT(D6030,4)+1=LEFT(' Pivot Tables'!$A$4,4)+0,RIGHT(LEFT(D6030,7),2)=RIGHT(LEFT(' Pivot Tables'!$A$4,7),2)),1,0)</f>
        <v>0</v>
      </c>
      <c r="Y6030" s="6">
        <f>1/COUNTIF(Таблица1[Order ID],Таблица1[[#This Row],[Order ID]])</f>
        <v>0.5</v>
      </c>
      <c r="Z6030" s="9">
        <f>1/COUNTIFS(Таблица1[Customer Name],Таблица1[[#This Row],[Customer Name]],Таблица1[Order-Year-Month],Таблица1[[#This Row],[Order-Year-Month]])</f>
        <v>0.5</v>
      </c>
    </row>
    <row r="6031" spans="1:26" x14ac:dyDescent="0.2">
      <c r="A6031" s="6">
        <v>4978</v>
      </c>
      <c r="B6031" s="7">
        <v>35425</v>
      </c>
      <c r="C6031" s="8">
        <f>DATE(2012,12,31)-1009</f>
        <v>40265</v>
      </c>
      <c r="D6031" s="8" t="str">
        <f t="shared" si="111"/>
        <v>2010-03 (март 2010)</v>
      </c>
      <c r="E6031" s="9" t="s">
        <v>45</v>
      </c>
      <c r="F6031" s="7">
        <v>45</v>
      </c>
      <c r="G6031" s="7">
        <v>75.680000000000007</v>
      </c>
      <c r="H6031" s="7">
        <v>0.08</v>
      </c>
      <c r="I6031" s="9" t="s">
        <v>22</v>
      </c>
      <c r="J6031" s="10">
        <v>-4.04</v>
      </c>
      <c r="K6031" s="11">
        <v>1.81</v>
      </c>
      <c r="L6031" s="11">
        <v>0.75</v>
      </c>
      <c r="M6031" s="9" t="s">
        <v>1978</v>
      </c>
      <c r="N6031" s="6" t="s">
        <v>1905</v>
      </c>
      <c r="O6031" s="6" t="s">
        <v>673</v>
      </c>
      <c r="P6031" s="9" t="s">
        <v>60</v>
      </c>
      <c r="Q6031" s="9" t="s">
        <v>26</v>
      </c>
      <c r="R6031" s="9" t="s">
        <v>66</v>
      </c>
      <c r="S6031" s="7" t="s">
        <v>384</v>
      </c>
      <c r="T6031" s="9" t="s">
        <v>68</v>
      </c>
      <c r="U6031" s="7">
        <v>0.52</v>
      </c>
      <c r="V6031" s="12">
        <f>C6031+2</f>
        <v>40267</v>
      </c>
      <c r="W6031">
        <f>IF(D6031=' Pivot Tables'!$A$4,1,0)</f>
        <v>0</v>
      </c>
      <c r="X6031">
        <f>IF(AND(LEFT(D6031,4)+1=LEFT(' Pivot Tables'!$A$4,4)+0,RIGHT(LEFT(D6031,7),2)=RIGHT(LEFT(' Pivot Tables'!$A$4,7),2)),1,0)</f>
        <v>0</v>
      </c>
      <c r="Y6031" s="6">
        <f>1/COUNTIF(Таблица1[Order ID],Таблица1[[#This Row],[Order ID]])</f>
        <v>0.5</v>
      </c>
      <c r="Z6031" s="9">
        <f>1/COUNTIFS(Таблица1[Customer Name],Таблица1[[#This Row],[Customer Name]],Таблица1[Order-Year-Month],Таблица1[[#This Row],[Order-Year-Month]])</f>
        <v>0.5</v>
      </c>
    </row>
    <row r="6032" spans="1:26" x14ac:dyDescent="0.2">
      <c r="A6032" s="6">
        <v>5251</v>
      </c>
      <c r="B6032" s="7">
        <v>37350</v>
      </c>
      <c r="C6032" s="8">
        <f>DATE(2012,12,31)-225</f>
        <v>41049</v>
      </c>
      <c r="D6032" s="8" t="str">
        <f t="shared" si="111"/>
        <v>2012-05 (май 2012)</v>
      </c>
      <c r="E6032" s="9" t="s">
        <v>78</v>
      </c>
      <c r="F6032" s="7">
        <v>7</v>
      </c>
      <c r="G6032" s="7">
        <v>163.13999999999999</v>
      </c>
      <c r="H6032" s="7">
        <v>7.0000000000000007E-2</v>
      </c>
      <c r="I6032" s="9" t="s">
        <v>22</v>
      </c>
      <c r="J6032" s="10">
        <v>-37.5</v>
      </c>
      <c r="K6032" s="11">
        <v>22.99</v>
      </c>
      <c r="L6032" s="11">
        <v>8.99</v>
      </c>
      <c r="M6032" s="9" t="s">
        <v>1971</v>
      </c>
      <c r="N6032" s="6" t="s">
        <v>1905</v>
      </c>
      <c r="O6032" s="6" t="s">
        <v>673</v>
      </c>
      <c r="P6032" s="9" t="s">
        <v>60</v>
      </c>
      <c r="Q6032" s="9" t="s">
        <v>26</v>
      </c>
      <c r="R6032" s="9" t="s">
        <v>95</v>
      </c>
      <c r="S6032" s="7" t="s">
        <v>554</v>
      </c>
      <c r="T6032" s="9" t="s">
        <v>52</v>
      </c>
      <c r="U6032" s="7">
        <v>0.56999999999999995</v>
      </c>
      <c r="V6032" s="12">
        <f>C6032+1</f>
        <v>41050</v>
      </c>
      <c r="W6032">
        <f>IF(D6032=' Pivot Tables'!$A$4,1,0)</f>
        <v>0</v>
      </c>
      <c r="X6032">
        <f>IF(AND(LEFT(D6032,4)+1=LEFT(' Pivot Tables'!$A$4,4)+0,RIGHT(LEFT(D6032,7),2)=RIGHT(LEFT(' Pivot Tables'!$A$4,7),2)),1,0)</f>
        <v>0</v>
      </c>
      <c r="Y6032" s="6">
        <f>1/COUNTIF(Таблица1[Order ID],Таблица1[[#This Row],[Order ID]])</f>
        <v>1</v>
      </c>
      <c r="Z6032" s="9">
        <f>1/COUNTIFS(Таблица1[Customer Name],Таблица1[[#This Row],[Customer Name]],Таблица1[Order-Year-Month],Таблица1[[#This Row],[Order-Year-Month]])</f>
        <v>1</v>
      </c>
    </row>
    <row r="6033" spans="1:26" x14ac:dyDescent="0.2">
      <c r="A6033" s="6">
        <v>5307</v>
      </c>
      <c r="B6033" s="7">
        <v>37765</v>
      </c>
      <c r="C6033" s="8">
        <f>DATE(2012,12,31)-37</f>
        <v>41237</v>
      </c>
      <c r="D6033" s="8" t="str">
        <f t="shared" si="111"/>
        <v>2012-11 (ноябрь 2012)</v>
      </c>
      <c r="E6033" s="9" t="s">
        <v>21</v>
      </c>
      <c r="F6033" s="7">
        <v>7</v>
      </c>
      <c r="G6033" s="7">
        <v>42.66</v>
      </c>
      <c r="H6033" s="7">
        <v>0.09</v>
      </c>
      <c r="I6033" s="9" t="s">
        <v>56</v>
      </c>
      <c r="J6033" s="10">
        <v>-30.74</v>
      </c>
      <c r="K6033" s="11">
        <v>4.0599999999999996</v>
      </c>
      <c r="L6033" s="11">
        <v>6.89</v>
      </c>
      <c r="M6033" s="9" t="s">
        <v>1980</v>
      </c>
      <c r="N6033" s="6" t="s">
        <v>1905</v>
      </c>
      <c r="O6033" s="6" t="s">
        <v>673</v>
      </c>
      <c r="P6033" s="9" t="s">
        <v>33</v>
      </c>
      <c r="Q6033" s="9" t="s">
        <v>26</v>
      </c>
      <c r="R6033" s="9" t="s">
        <v>34</v>
      </c>
      <c r="S6033" s="7" t="s">
        <v>408</v>
      </c>
      <c r="T6033" s="9" t="s">
        <v>39</v>
      </c>
      <c r="U6033" s="7">
        <v>0.6</v>
      </c>
      <c r="V6033" s="12">
        <f>C6033+5</f>
        <v>41242</v>
      </c>
      <c r="W6033">
        <f>IF(D6033=' Pivot Tables'!$A$4,1,0)</f>
        <v>0</v>
      </c>
      <c r="X6033">
        <f>IF(AND(LEFT(D6033,4)+1=LEFT(' Pivot Tables'!$A$4,4)+0,RIGHT(LEFT(D6033,7),2)=RIGHT(LEFT(' Pivot Tables'!$A$4,7),2)),1,0)</f>
        <v>0</v>
      </c>
      <c r="Y6033" s="6">
        <f>1/COUNTIF(Таблица1[Order ID],Таблица1[[#This Row],[Order ID]])</f>
        <v>0.33333333333333331</v>
      </c>
      <c r="Z6033" s="9">
        <f>1/COUNTIFS(Таблица1[Customer Name],Таблица1[[#This Row],[Customer Name]],Таблица1[Order-Year-Month],Таблица1[[#This Row],[Order-Year-Month]])</f>
        <v>0.33333333333333331</v>
      </c>
    </row>
    <row r="6034" spans="1:26" x14ac:dyDescent="0.2">
      <c r="A6034" s="6">
        <v>5308</v>
      </c>
      <c r="B6034" s="7">
        <v>37765</v>
      </c>
      <c r="C6034" s="8">
        <f>DATE(2012,12,31)-37</f>
        <v>41237</v>
      </c>
      <c r="D6034" s="8" t="str">
        <f t="shared" si="111"/>
        <v>2012-11 (ноябрь 2012)</v>
      </c>
      <c r="E6034" s="9" t="s">
        <v>21</v>
      </c>
      <c r="F6034" s="7">
        <v>18</v>
      </c>
      <c r="G6034" s="7">
        <v>655.58</v>
      </c>
      <c r="H6034" s="7">
        <v>0.01</v>
      </c>
      <c r="I6034" s="9" t="s">
        <v>22</v>
      </c>
      <c r="J6034" s="10">
        <v>250.67</v>
      </c>
      <c r="K6034" s="11">
        <v>35.44</v>
      </c>
      <c r="L6034" s="11">
        <v>5.09</v>
      </c>
      <c r="M6034" s="9" t="s">
        <v>1980</v>
      </c>
      <c r="N6034" s="6" t="s">
        <v>1905</v>
      </c>
      <c r="O6034" s="6" t="s">
        <v>673</v>
      </c>
      <c r="P6034" s="9" t="s">
        <v>33</v>
      </c>
      <c r="Q6034" s="9" t="s">
        <v>26</v>
      </c>
      <c r="R6034" s="9" t="s">
        <v>61</v>
      </c>
      <c r="S6034" s="7" t="s">
        <v>227</v>
      </c>
      <c r="T6034" s="9" t="s">
        <v>39</v>
      </c>
      <c r="U6034" s="7">
        <v>0.38</v>
      </c>
      <c r="V6034" s="12">
        <f>C6034+4</f>
        <v>41241</v>
      </c>
      <c r="W6034">
        <f>IF(D6034=' Pivot Tables'!$A$4,1,0)</f>
        <v>0</v>
      </c>
      <c r="X6034">
        <f>IF(AND(LEFT(D6034,4)+1=LEFT(' Pivot Tables'!$A$4,4)+0,RIGHT(LEFT(D6034,7),2)=RIGHT(LEFT(' Pivot Tables'!$A$4,7),2)),1,0)</f>
        <v>0</v>
      </c>
      <c r="Y6034" s="6">
        <f>1/COUNTIF(Таблица1[Order ID],Таблица1[[#This Row],[Order ID]])</f>
        <v>0.33333333333333331</v>
      </c>
      <c r="Z6034" s="9">
        <f>1/COUNTIFS(Таблица1[Customer Name],Таблица1[[#This Row],[Customer Name]],Таблица1[Order-Year-Month],Таблица1[[#This Row],[Order-Year-Month]])</f>
        <v>0.33333333333333331</v>
      </c>
    </row>
    <row r="6035" spans="1:26" x14ac:dyDescent="0.2">
      <c r="A6035" s="6">
        <v>5309</v>
      </c>
      <c r="B6035" s="7">
        <v>37765</v>
      </c>
      <c r="C6035" s="8">
        <f>DATE(2012,12,31)-37</f>
        <v>41237</v>
      </c>
      <c r="D6035" s="8" t="str">
        <f t="shared" si="111"/>
        <v>2012-11 (ноябрь 2012)</v>
      </c>
      <c r="E6035" s="9" t="s">
        <v>21</v>
      </c>
      <c r="F6035" s="7">
        <v>12</v>
      </c>
      <c r="G6035" s="7">
        <v>1465.33</v>
      </c>
      <c r="H6035" s="7">
        <v>0.01</v>
      </c>
      <c r="I6035" s="9" t="s">
        <v>31</v>
      </c>
      <c r="J6035" s="10">
        <v>-66.38</v>
      </c>
      <c r="K6035" s="11">
        <v>113.98</v>
      </c>
      <c r="L6035" s="11">
        <v>30</v>
      </c>
      <c r="M6035" s="9" t="s">
        <v>1980</v>
      </c>
      <c r="N6035" s="6" t="s">
        <v>1905</v>
      </c>
      <c r="O6035" s="6" t="s">
        <v>673</v>
      </c>
      <c r="P6035" s="9" t="s">
        <v>33</v>
      </c>
      <c r="Q6035" s="9" t="s">
        <v>49</v>
      </c>
      <c r="R6035" s="9" t="s">
        <v>112</v>
      </c>
      <c r="S6035" s="7" t="s">
        <v>840</v>
      </c>
      <c r="T6035" s="9" t="s">
        <v>36</v>
      </c>
      <c r="U6035" s="7">
        <v>0.69</v>
      </c>
      <c r="V6035" s="12">
        <f>C6035+5</f>
        <v>41242</v>
      </c>
      <c r="W6035">
        <f>IF(D6035=' Pivot Tables'!$A$4,1,0)</f>
        <v>0</v>
      </c>
      <c r="X6035">
        <f>IF(AND(LEFT(D6035,4)+1=LEFT(' Pivot Tables'!$A$4,4)+0,RIGHT(LEFT(D6035,7),2)=RIGHT(LEFT(' Pivot Tables'!$A$4,7),2)),1,0)</f>
        <v>0</v>
      </c>
      <c r="Y6035" s="6">
        <f>1/COUNTIF(Таблица1[Order ID],Таблица1[[#This Row],[Order ID]])</f>
        <v>0.33333333333333331</v>
      </c>
      <c r="Z6035" s="9">
        <f>1/COUNTIFS(Таблица1[Customer Name],Таблица1[[#This Row],[Customer Name]],Таблица1[Order-Year-Month],Таблица1[[#This Row],[Order-Year-Month]])</f>
        <v>0.33333333333333331</v>
      </c>
    </row>
    <row r="6036" spans="1:26" x14ac:dyDescent="0.2">
      <c r="A6036" s="6">
        <v>5354</v>
      </c>
      <c r="B6036" s="7">
        <v>38050</v>
      </c>
      <c r="C6036" s="8">
        <f>DATE(2012,12,31)-797</f>
        <v>40477</v>
      </c>
      <c r="D6036" s="8" t="str">
        <f t="shared" si="111"/>
        <v>2010-10 (октябрь 2010)</v>
      </c>
      <c r="E6036" s="9" t="s">
        <v>45</v>
      </c>
      <c r="F6036" s="7">
        <v>31</v>
      </c>
      <c r="G6036" s="7">
        <v>187.18</v>
      </c>
      <c r="H6036" s="7">
        <v>0.09</v>
      </c>
      <c r="I6036" s="9" t="s">
        <v>56</v>
      </c>
      <c r="J6036" s="10">
        <v>28.91</v>
      </c>
      <c r="K6036" s="11">
        <v>5.98</v>
      </c>
      <c r="L6036" s="11">
        <v>1.67</v>
      </c>
      <c r="M6036" s="9" t="s">
        <v>1970</v>
      </c>
      <c r="N6036" s="6" t="s">
        <v>1905</v>
      </c>
      <c r="O6036" s="6" t="s">
        <v>673</v>
      </c>
      <c r="P6036" s="9" t="s">
        <v>60</v>
      </c>
      <c r="Q6036" s="9" t="s">
        <v>26</v>
      </c>
      <c r="R6036" s="9" t="s">
        <v>95</v>
      </c>
      <c r="S6036" s="7" t="s">
        <v>1762</v>
      </c>
      <c r="T6036" s="9" t="s">
        <v>68</v>
      </c>
      <c r="U6036" s="7">
        <v>0.51</v>
      </c>
      <c r="V6036" s="12">
        <f>C6036+1</f>
        <v>40478</v>
      </c>
      <c r="W6036">
        <f>IF(D6036=' Pivot Tables'!$A$4,1,0)</f>
        <v>0</v>
      </c>
      <c r="X6036">
        <f>IF(AND(LEFT(D6036,4)+1=LEFT(' Pivot Tables'!$A$4,4)+0,RIGHT(LEFT(D6036,7),2)=RIGHT(LEFT(' Pivot Tables'!$A$4,7),2)),1,0)</f>
        <v>0</v>
      </c>
      <c r="Y6036" s="6">
        <f>1/COUNTIF(Таблица1[Order ID],Таблица1[[#This Row],[Order ID]])</f>
        <v>0.33333333333333331</v>
      </c>
      <c r="Z6036" s="9">
        <f>1/COUNTIFS(Таблица1[Customer Name],Таблица1[[#This Row],[Customer Name]],Таблица1[Order-Year-Month],Таблица1[[#This Row],[Order-Year-Month]])</f>
        <v>0.33333333333333331</v>
      </c>
    </row>
    <row r="6037" spans="1:26" x14ac:dyDescent="0.2">
      <c r="A6037" s="6">
        <v>5355</v>
      </c>
      <c r="B6037" s="7">
        <v>38050</v>
      </c>
      <c r="C6037" s="8">
        <f>DATE(2012,12,31)-797</f>
        <v>40477</v>
      </c>
      <c r="D6037" s="8" t="str">
        <f t="shared" si="111"/>
        <v>2010-10 (октябрь 2010)</v>
      </c>
      <c r="E6037" s="9" t="s">
        <v>45</v>
      </c>
      <c r="F6037" s="7">
        <v>36</v>
      </c>
      <c r="G6037" s="7">
        <v>104.21</v>
      </c>
      <c r="H6037" s="7">
        <v>0.04</v>
      </c>
      <c r="I6037" s="9" t="s">
        <v>22</v>
      </c>
      <c r="J6037" s="10">
        <v>15.19</v>
      </c>
      <c r="K6037" s="11">
        <v>2.88</v>
      </c>
      <c r="L6037" s="11">
        <v>0.7</v>
      </c>
      <c r="M6037" s="9" t="s">
        <v>1970</v>
      </c>
      <c r="N6037" s="6" t="s">
        <v>1905</v>
      </c>
      <c r="O6037" s="6" t="s">
        <v>673</v>
      </c>
      <c r="P6037" s="9" t="s">
        <v>60</v>
      </c>
      <c r="Q6037" s="9" t="s">
        <v>26</v>
      </c>
      <c r="R6037" s="9" t="s">
        <v>95</v>
      </c>
      <c r="S6037" s="7" t="s">
        <v>1059</v>
      </c>
      <c r="T6037" s="9" t="s">
        <v>68</v>
      </c>
      <c r="U6037" s="7">
        <v>0.56000000000000005</v>
      </c>
      <c r="V6037" s="12">
        <f>C6037+2</f>
        <v>40479</v>
      </c>
      <c r="W6037">
        <f>IF(D6037=' Pivot Tables'!$A$4,1,0)</f>
        <v>0</v>
      </c>
      <c r="X6037">
        <f>IF(AND(LEFT(D6037,4)+1=LEFT(' Pivot Tables'!$A$4,4)+0,RIGHT(LEFT(D6037,7),2)=RIGHT(LEFT(' Pivot Tables'!$A$4,7),2)),1,0)</f>
        <v>0</v>
      </c>
      <c r="Y6037" s="6">
        <f>1/COUNTIF(Таблица1[Order ID],Таблица1[[#This Row],[Order ID]])</f>
        <v>0.33333333333333331</v>
      </c>
      <c r="Z6037" s="9">
        <f>1/COUNTIFS(Таблица1[Customer Name],Таблица1[[#This Row],[Customer Name]],Таблица1[Order-Year-Month],Таблица1[[#This Row],[Order-Year-Month]])</f>
        <v>0.33333333333333331</v>
      </c>
    </row>
    <row r="6038" spans="1:26" x14ac:dyDescent="0.2">
      <c r="A6038" s="6">
        <v>5356</v>
      </c>
      <c r="B6038" s="7">
        <v>38050</v>
      </c>
      <c r="C6038" s="8">
        <f>DATE(2012,12,31)-797</f>
        <v>40477</v>
      </c>
      <c r="D6038" s="8" t="str">
        <f t="shared" si="111"/>
        <v>2010-10 (октябрь 2010)</v>
      </c>
      <c r="E6038" s="9" t="s">
        <v>45</v>
      </c>
      <c r="F6038" s="7">
        <v>14</v>
      </c>
      <c r="G6038" s="7">
        <v>1331.2240000000002</v>
      </c>
      <c r="H6038" s="7">
        <v>0.04</v>
      </c>
      <c r="I6038" s="9" t="s">
        <v>22</v>
      </c>
      <c r="J6038" s="10">
        <v>-401.42</v>
      </c>
      <c r="K6038" s="11">
        <v>111.96</v>
      </c>
      <c r="L6038" s="11">
        <v>69</v>
      </c>
      <c r="M6038" s="9" t="s">
        <v>1970</v>
      </c>
      <c r="N6038" s="6" t="s">
        <v>1905</v>
      </c>
      <c r="O6038" s="6" t="s">
        <v>673</v>
      </c>
      <c r="P6038" s="9" t="s">
        <v>60</v>
      </c>
      <c r="Q6038" s="9" t="s">
        <v>49</v>
      </c>
      <c r="R6038" s="9" t="s">
        <v>83</v>
      </c>
      <c r="S6038" s="7" t="s">
        <v>1363</v>
      </c>
      <c r="T6038" s="9" t="s">
        <v>29</v>
      </c>
      <c r="U6038" s="7">
        <v>0.63</v>
      </c>
      <c r="V6038" s="12">
        <f>C6038+2</f>
        <v>40479</v>
      </c>
      <c r="W6038">
        <f>IF(D6038=' Pivot Tables'!$A$4,1,0)</f>
        <v>0</v>
      </c>
      <c r="X6038">
        <f>IF(AND(LEFT(D6038,4)+1=LEFT(' Pivot Tables'!$A$4,4)+0,RIGHT(LEFT(D6038,7),2)=RIGHT(LEFT(' Pivot Tables'!$A$4,7),2)),1,0)</f>
        <v>0</v>
      </c>
      <c r="Y6038" s="6">
        <f>1/COUNTIF(Таблица1[Order ID],Таблица1[[#This Row],[Order ID]])</f>
        <v>0.33333333333333331</v>
      </c>
      <c r="Z6038" s="9">
        <f>1/COUNTIFS(Таблица1[Customer Name],Таблица1[[#This Row],[Customer Name]],Таблица1[Order-Year-Month],Таблица1[[#This Row],[Order-Year-Month]])</f>
        <v>0.33333333333333331</v>
      </c>
    </row>
    <row r="6039" spans="1:26" x14ac:dyDescent="0.2">
      <c r="A6039" s="6">
        <v>5507</v>
      </c>
      <c r="B6039" s="7">
        <v>39043</v>
      </c>
      <c r="C6039" s="8">
        <f>DATE(2012,12,31)-740</f>
        <v>40534</v>
      </c>
      <c r="D6039" s="8" t="str">
        <f t="shared" si="111"/>
        <v>2010-12 (декабрь 2010)</v>
      </c>
      <c r="E6039" s="9" t="s">
        <v>45</v>
      </c>
      <c r="F6039" s="7">
        <v>14</v>
      </c>
      <c r="G6039" s="7">
        <v>50.8</v>
      </c>
      <c r="H6039" s="7">
        <v>0.09</v>
      </c>
      <c r="I6039" s="9" t="s">
        <v>22</v>
      </c>
      <c r="J6039" s="10">
        <v>16.79</v>
      </c>
      <c r="K6039" s="11">
        <v>3.69</v>
      </c>
      <c r="L6039" s="11">
        <v>0.5</v>
      </c>
      <c r="M6039" s="9" t="s">
        <v>1970</v>
      </c>
      <c r="N6039" s="6" t="s">
        <v>1905</v>
      </c>
      <c r="O6039" s="6" t="s">
        <v>673</v>
      </c>
      <c r="P6039" s="9" t="s">
        <v>60</v>
      </c>
      <c r="Q6039" s="9" t="s">
        <v>26</v>
      </c>
      <c r="R6039" s="9" t="s">
        <v>88</v>
      </c>
      <c r="S6039" s="7" t="s">
        <v>1445</v>
      </c>
      <c r="T6039" s="9" t="s">
        <v>39</v>
      </c>
      <c r="U6039" s="7">
        <v>0.38</v>
      </c>
      <c r="V6039" s="12">
        <f>C6039+1</f>
        <v>40535</v>
      </c>
      <c r="W6039">
        <f>IF(D6039=' Pivot Tables'!$A$4,1,0)</f>
        <v>0</v>
      </c>
      <c r="X6039">
        <f>IF(AND(LEFT(D6039,4)+1=LEFT(' Pivot Tables'!$A$4,4)+0,RIGHT(LEFT(D6039,7),2)=RIGHT(LEFT(' Pivot Tables'!$A$4,7),2)),1,0)</f>
        <v>0</v>
      </c>
      <c r="Y6039" s="6">
        <f>1/COUNTIF(Таблица1[Order ID],Таблица1[[#This Row],[Order ID]])</f>
        <v>0.5</v>
      </c>
      <c r="Z6039" s="9">
        <f>1/COUNTIFS(Таблица1[Customer Name],Таблица1[[#This Row],[Customer Name]],Таблица1[Order-Year-Month],Таблица1[[#This Row],[Order-Year-Month]])</f>
        <v>0.5</v>
      </c>
    </row>
    <row r="6040" spans="1:26" x14ac:dyDescent="0.2">
      <c r="A6040" s="6">
        <v>5508</v>
      </c>
      <c r="B6040" s="7">
        <v>39043</v>
      </c>
      <c r="C6040" s="8">
        <f>DATE(2012,12,31)-740</f>
        <v>40534</v>
      </c>
      <c r="D6040" s="8" t="str">
        <f t="shared" si="111"/>
        <v>2010-12 (декабрь 2010)</v>
      </c>
      <c r="E6040" s="9" t="s">
        <v>45</v>
      </c>
      <c r="F6040" s="7">
        <v>37</v>
      </c>
      <c r="G6040" s="7">
        <v>750.89</v>
      </c>
      <c r="H6040" s="7">
        <v>7.0000000000000007E-2</v>
      </c>
      <c r="I6040" s="9" t="s">
        <v>56</v>
      </c>
      <c r="J6040" s="10">
        <v>-1176.28</v>
      </c>
      <c r="K6040" s="11">
        <v>20.34</v>
      </c>
      <c r="L6040" s="11">
        <v>35</v>
      </c>
      <c r="M6040" s="9" t="s">
        <v>1970</v>
      </c>
      <c r="N6040" s="6" t="s">
        <v>1905</v>
      </c>
      <c r="O6040" s="6" t="s">
        <v>673</v>
      </c>
      <c r="P6040" s="9" t="s">
        <v>60</v>
      </c>
      <c r="Q6040" s="9" t="s">
        <v>26</v>
      </c>
      <c r="R6040" s="9" t="s">
        <v>27</v>
      </c>
      <c r="S6040" s="7" t="s">
        <v>693</v>
      </c>
      <c r="T6040" s="9" t="s">
        <v>29</v>
      </c>
      <c r="U6040" s="7">
        <v>0.84</v>
      </c>
      <c r="V6040" s="12">
        <f>C6040+1</f>
        <v>40535</v>
      </c>
      <c r="W6040">
        <f>IF(D6040=' Pivot Tables'!$A$4,1,0)</f>
        <v>0</v>
      </c>
      <c r="X6040">
        <f>IF(AND(LEFT(D6040,4)+1=LEFT(' Pivot Tables'!$A$4,4)+0,RIGHT(LEFT(D6040,7),2)=RIGHT(LEFT(' Pivot Tables'!$A$4,7),2)),1,0)</f>
        <v>0</v>
      </c>
      <c r="Y6040" s="6">
        <f>1/COUNTIF(Таблица1[Order ID],Таблица1[[#This Row],[Order ID]])</f>
        <v>0.5</v>
      </c>
      <c r="Z6040" s="9">
        <f>1/COUNTIFS(Таблица1[Customer Name],Таблица1[[#This Row],[Customer Name]],Таблица1[Order-Year-Month],Таблица1[[#This Row],[Order-Year-Month]])</f>
        <v>0.5</v>
      </c>
    </row>
    <row r="6041" spans="1:26" x14ac:dyDescent="0.2">
      <c r="A6041" s="6">
        <v>5709</v>
      </c>
      <c r="B6041" s="7">
        <v>40388</v>
      </c>
      <c r="C6041" s="8">
        <f>DATE(2012,12,31)-160</f>
        <v>41114</v>
      </c>
      <c r="D6041" s="8" t="str">
        <f t="shared" si="111"/>
        <v>2012-07 (июль 2012)</v>
      </c>
      <c r="E6041" s="9" t="s">
        <v>78</v>
      </c>
      <c r="F6041" s="7">
        <v>17</v>
      </c>
      <c r="G6041" s="7">
        <v>67.73</v>
      </c>
      <c r="H6041" s="7">
        <v>0.1</v>
      </c>
      <c r="I6041" s="9" t="s">
        <v>22</v>
      </c>
      <c r="J6041" s="10">
        <v>2.44</v>
      </c>
      <c r="K6041" s="11">
        <v>4.28</v>
      </c>
      <c r="L6041" s="11">
        <v>0.94</v>
      </c>
      <c r="M6041" s="9" t="s">
        <v>1970</v>
      </c>
      <c r="N6041" s="6" t="s">
        <v>1905</v>
      </c>
      <c r="O6041" s="6" t="s">
        <v>673</v>
      </c>
      <c r="P6041" s="9" t="s">
        <v>60</v>
      </c>
      <c r="Q6041" s="9" t="s">
        <v>26</v>
      </c>
      <c r="R6041" s="9" t="s">
        <v>95</v>
      </c>
      <c r="S6041" s="7" t="s">
        <v>540</v>
      </c>
      <c r="T6041" s="9" t="s">
        <v>68</v>
      </c>
      <c r="U6041" s="7">
        <v>0.56000000000000005</v>
      </c>
      <c r="V6041" s="12">
        <f>C6041+2</f>
        <v>41116</v>
      </c>
      <c r="W6041">
        <f>IF(D6041=' Pivot Tables'!$A$4,1,0)</f>
        <v>0</v>
      </c>
      <c r="X6041">
        <f>IF(AND(LEFT(D6041,4)+1=LEFT(' Pivot Tables'!$A$4,4)+0,RIGHT(LEFT(D6041,7),2)=RIGHT(LEFT(' Pivot Tables'!$A$4,7),2)),1,0)</f>
        <v>0</v>
      </c>
      <c r="Y6041" s="6">
        <f>1/COUNTIF(Таблица1[Order ID],Таблица1[[#This Row],[Order ID]])</f>
        <v>1</v>
      </c>
      <c r="Z6041" s="9">
        <f>1/COUNTIFS(Таблица1[Customer Name],Таблица1[[#This Row],[Customer Name]],Таблица1[Order-Year-Month],Таблица1[[#This Row],[Order-Year-Month]])</f>
        <v>1</v>
      </c>
    </row>
    <row r="6042" spans="1:26" x14ac:dyDescent="0.2">
      <c r="A6042" s="6">
        <v>5963</v>
      </c>
      <c r="B6042" s="7">
        <v>42309</v>
      </c>
      <c r="C6042" s="8">
        <f>DATE(2012,12,31)-1243</f>
        <v>40031</v>
      </c>
      <c r="D6042" s="8" t="str">
        <f t="shared" si="111"/>
        <v>2009-08 (август 2009)</v>
      </c>
      <c r="E6042" s="9" t="s">
        <v>21</v>
      </c>
      <c r="F6042" s="7">
        <v>41</v>
      </c>
      <c r="G6042" s="7">
        <v>854.23</v>
      </c>
      <c r="H6042" s="7">
        <v>0.01</v>
      </c>
      <c r="I6042" s="9" t="s">
        <v>22</v>
      </c>
      <c r="J6042" s="10">
        <v>67.14</v>
      </c>
      <c r="K6042" s="11">
        <v>20.48</v>
      </c>
      <c r="L6042" s="11">
        <v>6.32</v>
      </c>
      <c r="M6042" s="9" t="s">
        <v>1867</v>
      </c>
      <c r="N6042" s="6" t="s">
        <v>1905</v>
      </c>
      <c r="O6042" s="6" t="s">
        <v>673</v>
      </c>
      <c r="P6042" s="9" t="s">
        <v>25</v>
      </c>
      <c r="Q6042" s="9" t="s">
        <v>26</v>
      </c>
      <c r="R6042" s="9" t="s">
        <v>34</v>
      </c>
      <c r="S6042" s="7" t="s">
        <v>891</v>
      </c>
      <c r="T6042" s="9" t="s">
        <v>39</v>
      </c>
      <c r="U6042" s="7">
        <v>0.57999999999999996</v>
      </c>
      <c r="V6042" s="12">
        <f>C6042+2</f>
        <v>40033</v>
      </c>
      <c r="W6042">
        <f>IF(D6042=' Pivot Tables'!$A$4,1,0)</f>
        <v>0</v>
      </c>
      <c r="X6042">
        <f>IF(AND(LEFT(D6042,4)+1=LEFT(' Pivot Tables'!$A$4,4)+0,RIGHT(LEFT(D6042,7),2)=RIGHT(LEFT(' Pivot Tables'!$A$4,7),2)),1,0)</f>
        <v>0</v>
      </c>
      <c r="Y6042" s="6">
        <f>1/COUNTIF(Таблица1[Order ID],Таблица1[[#This Row],[Order ID]])</f>
        <v>0.33333333333333331</v>
      </c>
      <c r="Z6042" s="9">
        <f>1/COUNTIFS(Таблица1[Customer Name],Таблица1[[#This Row],[Customer Name]],Таблица1[Order-Year-Month],Таблица1[[#This Row],[Order-Year-Month]])</f>
        <v>0.33333333333333331</v>
      </c>
    </row>
    <row r="6043" spans="1:26" x14ac:dyDescent="0.2">
      <c r="A6043" s="6">
        <v>5964</v>
      </c>
      <c r="B6043" s="7">
        <v>42309</v>
      </c>
      <c r="C6043" s="8">
        <f>DATE(2012,12,31)-1243</f>
        <v>40031</v>
      </c>
      <c r="D6043" s="8" t="str">
        <f t="shared" si="111"/>
        <v>2009-08 (август 2009)</v>
      </c>
      <c r="E6043" s="9" t="s">
        <v>21</v>
      </c>
      <c r="F6043" s="7">
        <v>26</v>
      </c>
      <c r="G6043" s="7">
        <v>47.91</v>
      </c>
      <c r="H6043" s="7">
        <v>0.09</v>
      </c>
      <c r="I6043" s="9" t="s">
        <v>22</v>
      </c>
      <c r="J6043" s="10">
        <v>-58.83</v>
      </c>
      <c r="K6043" s="11">
        <v>1.86</v>
      </c>
      <c r="L6043" s="11">
        <v>2.58</v>
      </c>
      <c r="M6043" s="9" t="s">
        <v>1867</v>
      </c>
      <c r="N6043" s="6" t="s">
        <v>1905</v>
      </c>
      <c r="O6043" s="6" t="s">
        <v>673</v>
      </c>
      <c r="P6043" s="9" t="s">
        <v>25</v>
      </c>
      <c r="Q6043" s="9" t="s">
        <v>26</v>
      </c>
      <c r="R6043" s="9" t="s">
        <v>66</v>
      </c>
      <c r="S6043" s="7" t="s">
        <v>783</v>
      </c>
      <c r="T6043" s="9" t="s">
        <v>68</v>
      </c>
      <c r="U6043" s="7">
        <v>0.82</v>
      </c>
      <c r="V6043" s="12">
        <f>C6043+5</f>
        <v>40036</v>
      </c>
      <c r="W6043">
        <f>IF(D6043=' Pivot Tables'!$A$4,1,0)</f>
        <v>0</v>
      </c>
      <c r="X6043">
        <f>IF(AND(LEFT(D6043,4)+1=LEFT(' Pivot Tables'!$A$4,4)+0,RIGHT(LEFT(D6043,7),2)=RIGHT(LEFT(' Pivot Tables'!$A$4,7),2)),1,0)</f>
        <v>0</v>
      </c>
      <c r="Y6043" s="6">
        <f>1/COUNTIF(Таблица1[Order ID],Таблица1[[#This Row],[Order ID]])</f>
        <v>0.33333333333333331</v>
      </c>
      <c r="Z6043" s="9">
        <f>1/COUNTIFS(Таблица1[Customer Name],Таблица1[[#This Row],[Customer Name]],Таблица1[Order-Year-Month],Таблица1[[#This Row],[Order-Year-Month]])</f>
        <v>0.33333333333333331</v>
      </c>
    </row>
    <row r="6044" spans="1:26" x14ac:dyDescent="0.2">
      <c r="A6044" s="6">
        <v>5965</v>
      </c>
      <c r="B6044" s="7">
        <v>42309</v>
      </c>
      <c r="C6044" s="8">
        <f>DATE(2012,12,31)-1243</f>
        <v>40031</v>
      </c>
      <c r="D6044" s="8" t="str">
        <f t="shared" si="111"/>
        <v>2009-08 (август 2009)</v>
      </c>
      <c r="E6044" s="9" t="s">
        <v>21</v>
      </c>
      <c r="F6044" s="7">
        <v>38</v>
      </c>
      <c r="G6044" s="7">
        <v>6427.2579999999998</v>
      </c>
      <c r="H6044" s="7">
        <v>0.08</v>
      </c>
      <c r="I6044" s="9" t="s">
        <v>22</v>
      </c>
      <c r="J6044" s="10">
        <v>1636.4069999999999</v>
      </c>
      <c r="K6044" s="11">
        <v>205.99</v>
      </c>
      <c r="L6044" s="11">
        <v>2.5</v>
      </c>
      <c r="M6044" s="9" t="s">
        <v>1867</v>
      </c>
      <c r="N6044" s="6" t="s">
        <v>1905</v>
      </c>
      <c r="O6044" s="6" t="s">
        <v>673</v>
      </c>
      <c r="P6044" s="9" t="s">
        <v>25</v>
      </c>
      <c r="Q6044" s="9" t="s">
        <v>42</v>
      </c>
      <c r="R6044" s="9" t="s">
        <v>43</v>
      </c>
      <c r="S6044" s="7" t="s">
        <v>1431</v>
      </c>
      <c r="T6044" s="9" t="s">
        <v>39</v>
      </c>
      <c r="U6044" s="7">
        <v>0.59</v>
      </c>
      <c r="V6044" s="12">
        <f>C6044+5</f>
        <v>40036</v>
      </c>
      <c r="W6044">
        <f>IF(D6044=' Pivot Tables'!$A$4,1,0)</f>
        <v>0</v>
      </c>
      <c r="X6044">
        <f>IF(AND(LEFT(D6044,4)+1=LEFT(' Pivot Tables'!$A$4,4)+0,RIGHT(LEFT(D6044,7),2)=RIGHT(LEFT(' Pivot Tables'!$A$4,7),2)),1,0)</f>
        <v>0</v>
      </c>
      <c r="Y6044" s="6">
        <f>1/COUNTIF(Таблица1[Order ID],Таблица1[[#This Row],[Order ID]])</f>
        <v>0.33333333333333331</v>
      </c>
      <c r="Z6044" s="9">
        <f>1/COUNTIFS(Таблица1[Customer Name],Таблица1[[#This Row],[Customer Name]],Таблица1[Order-Year-Month],Таблица1[[#This Row],[Order-Year-Month]])</f>
        <v>0.33333333333333331</v>
      </c>
    </row>
    <row r="6045" spans="1:26" x14ac:dyDescent="0.2">
      <c r="A6045" s="6">
        <v>6033</v>
      </c>
      <c r="B6045" s="7">
        <v>42727</v>
      </c>
      <c r="C6045" s="8">
        <f>DATE(2012,12,31)-612</f>
        <v>40662</v>
      </c>
      <c r="D6045" s="8" t="str">
        <f t="shared" si="111"/>
        <v>2011-04 (апрель 2011)</v>
      </c>
      <c r="E6045" s="9" t="s">
        <v>45</v>
      </c>
      <c r="F6045" s="7">
        <v>11</v>
      </c>
      <c r="G6045" s="7">
        <v>5510.23</v>
      </c>
      <c r="H6045" s="7">
        <v>0.01</v>
      </c>
      <c r="I6045" s="9" t="s">
        <v>31</v>
      </c>
      <c r="J6045" s="10">
        <v>915.8</v>
      </c>
      <c r="K6045" s="11">
        <v>500.98</v>
      </c>
      <c r="L6045" s="11">
        <v>26</v>
      </c>
      <c r="M6045" s="9" t="s">
        <v>1975</v>
      </c>
      <c r="N6045" s="6" t="s">
        <v>1905</v>
      </c>
      <c r="O6045" s="6" t="s">
        <v>673</v>
      </c>
      <c r="P6045" s="9" t="s">
        <v>33</v>
      </c>
      <c r="Q6045" s="9" t="s">
        <v>49</v>
      </c>
      <c r="R6045" s="9" t="s">
        <v>112</v>
      </c>
      <c r="S6045" s="7" t="s">
        <v>119</v>
      </c>
      <c r="T6045" s="9" t="s">
        <v>36</v>
      </c>
      <c r="U6045" s="7">
        <v>0.6</v>
      </c>
      <c r="V6045" s="12">
        <f>C6045+1</f>
        <v>40663</v>
      </c>
      <c r="W6045">
        <f>IF(D6045=' Pivot Tables'!$A$4,1,0)</f>
        <v>0</v>
      </c>
      <c r="X6045">
        <f>IF(AND(LEFT(D6045,4)+1=LEFT(' Pivot Tables'!$A$4,4)+0,RIGHT(LEFT(D6045,7),2)=RIGHT(LEFT(' Pivot Tables'!$A$4,7),2)),1,0)</f>
        <v>0</v>
      </c>
      <c r="Y6045" s="6">
        <f>1/COUNTIF(Таблица1[Order ID],Таблица1[[#This Row],[Order ID]])</f>
        <v>0.5</v>
      </c>
      <c r="Z6045" s="9">
        <f>1/COUNTIFS(Таблица1[Customer Name],Таблица1[[#This Row],[Customer Name]],Таблица1[Order-Year-Month],Таблица1[[#This Row],[Order-Year-Month]])</f>
        <v>0.5</v>
      </c>
    </row>
    <row r="6046" spans="1:26" x14ac:dyDescent="0.2">
      <c r="A6046" s="6">
        <v>6034</v>
      </c>
      <c r="B6046" s="7">
        <v>42727</v>
      </c>
      <c r="C6046" s="8">
        <f>DATE(2012,12,31)-612</f>
        <v>40662</v>
      </c>
      <c r="D6046" s="8" t="str">
        <f t="shared" si="111"/>
        <v>2011-04 (апрель 2011)</v>
      </c>
      <c r="E6046" s="9" t="s">
        <v>45</v>
      </c>
      <c r="F6046" s="7">
        <v>21</v>
      </c>
      <c r="G6046" s="7">
        <v>177.06</v>
      </c>
      <c r="H6046" s="7">
        <v>0.1</v>
      </c>
      <c r="I6046" s="9" t="s">
        <v>22</v>
      </c>
      <c r="J6046" s="10">
        <v>-100.61</v>
      </c>
      <c r="K6046" s="11">
        <v>8.4499999999999993</v>
      </c>
      <c r="L6046" s="11">
        <v>7.77</v>
      </c>
      <c r="M6046" s="9" t="s">
        <v>1975</v>
      </c>
      <c r="N6046" s="6" t="s">
        <v>1905</v>
      </c>
      <c r="O6046" s="6" t="s">
        <v>673</v>
      </c>
      <c r="P6046" s="9" t="s">
        <v>33</v>
      </c>
      <c r="Q6046" s="9" t="s">
        <v>26</v>
      </c>
      <c r="R6046" s="9" t="s">
        <v>150</v>
      </c>
      <c r="S6046" s="7" t="s">
        <v>466</v>
      </c>
      <c r="T6046" s="9" t="s">
        <v>52</v>
      </c>
      <c r="U6046" s="7">
        <v>0.55000000000000004</v>
      </c>
      <c r="V6046" s="12">
        <f>C6046+1</f>
        <v>40663</v>
      </c>
      <c r="W6046">
        <f>IF(D6046=' Pivot Tables'!$A$4,1,0)</f>
        <v>0</v>
      </c>
      <c r="X6046">
        <f>IF(AND(LEFT(D6046,4)+1=LEFT(' Pivot Tables'!$A$4,4)+0,RIGHT(LEFT(D6046,7),2)=RIGHT(LEFT(' Pivot Tables'!$A$4,7),2)),1,0)</f>
        <v>0</v>
      </c>
      <c r="Y6046" s="6">
        <f>1/COUNTIF(Таблица1[Order ID],Таблица1[[#This Row],[Order ID]])</f>
        <v>0.5</v>
      </c>
      <c r="Z6046" s="9">
        <f>1/COUNTIFS(Таблица1[Customer Name],Таблица1[[#This Row],[Customer Name]],Таблица1[Order-Year-Month],Таблица1[[#This Row],[Order-Year-Month]])</f>
        <v>0.5</v>
      </c>
    </row>
    <row r="6047" spans="1:26" x14ac:dyDescent="0.2">
      <c r="A6047" s="6">
        <v>6124</v>
      </c>
      <c r="B6047" s="7">
        <v>43363</v>
      </c>
      <c r="C6047" s="8">
        <f>DATE(2012,12,31)-483</f>
        <v>40791</v>
      </c>
      <c r="D6047" s="8" t="str">
        <f t="shared" si="111"/>
        <v>2011-09 (сентябрь 2011)</v>
      </c>
      <c r="E6047" s="9" t="s">
        <v>78</v>
      </c>
      <c r="F6047" s="7">
        <v>35</v>
      </c>
      <c r="G6047" s="7">
        <v>12908.4</v>
      </c>
      <c r="H6047" s="7">
        <v>0.03</v>
      </c>
      <c r="I6047" s="9" t="s">
        <v>31</v>
      </c>
      <c r="J6047" s="10">
        <v>4084.86</v>
      </c>
      <c r="K6047" s="11">
        <v>350.99</v>
      </c>
      <c r="L6047" s="11">
        <v>59</v>
      </c>
      <c r="M6047" s="9" t="s">
        <v>1970</v>
      </c>
      <c r="N6047" s="6" t="s">
        <v>1905</v>
      </c>
      <c r="O6047" s="6" t="s">
        <v>673</v>
      </c>
      <c r="P6047" s="9" t="s">
        <v>60</v>
      </c>
      <c r="Q6047" s="9" t="s">
        <v>49</v>
      </c>
      <c r="R6047" s="9" t="s">
        <v>112</v>
      </c>
      <c r="S6047" s="7" t="s">
        <v>1618</v>
      </c>
      <c r="T6047" s="9" t="s">
        <v>36</v>
      </c>
      <c r="U6047" s="7">
        <v>0.55000000000000004</v>
      </c>
      <c r="V6047" s="12">
        <f>C6047+2</f>
        <v>40793</v>
      </c>
      <c r="W6047">
        <f>IF(D6047=' Pivot Tables'!$A$4,1,0)</f>
        <v>0</v>
      </c>
      <c r="X6047">
        <f>IF(AND(LEFT(D6047,4)+1=LEFT(' Pivot Tables'!$A$4,4)+0,RIGHT(LEFT(D6047,7),2)=RIGHT(LEFT(' Pivot Tables'!$A$4,7),2)),1,0)</f>
        <v>0</v>
      </c>
      <c r="Y6047" s="6">
        <f>1/COUNTIF(Таблица1[Order ID],Таблица1[[#This Row],[Order ID]])</f>
        <v>1</v>
      </c>
      <c r="Z6047" s="9">
        <f>1/COUNTIFS(Таблица1[Customer Name],Таблица1[[#This Row],[Customer Name]],Таблица1[Order-Year-Month],Таблица1[[#This Row],[Order-Year-Month]])</f>
        <v>1</v>
      </c>
    </row>
    <row r="6048" spans="1:26" x14ac:dyDescent="0.2">
      <c r="A6048" s="6">
        <v>6153</v>
      </c>
      <c r="B6048" s="7">
        <v>43556</v>
      </c>
      <c r="C6048" s="8">
        <f>DATE(2012,12,31)-162</f>
        <v>41112</v>
      </c>
      <c r="D6048" s="8" t="str">
        <f t="shared" si="111"/>
        <v>2012-07 (июль 2012)</v>
      </c>
      <c r="E6048" s="9" t="s">
        <v>21</v>
      </c>
      <c r="F6048" s="7">
        <v>31</v>
      </c>
      <c r="G6048" s="7">
        <v>477.16</v>
      </c>
      <c r="H6048" s="7">
        <v>0.02</v>
      </c>
      <c r="I6048" s="9" t="s">
        <v>22</v>
      </c>
      <c r="J6048" s="10">
        <v>204.18</v>
      </c>
      <c r="K6048" s="11">
        <v>15.04</v>
      </c>
      <c r="L6048" s="11">
        <v>1.97</v>
      </c>
      <c r="M6048" s="9" t="s">
        <v>1975</v>
      </c>
      <c r="N6048" s="6" t="s">
        <v>1905</v>
      </c>
      <c r="O6048" s="6" t="s">
        <v>673</v>
      </c>
      <c r="P6048" s="9" t="s">
        <v>33</v>
      </c>
      <c r="Q6048" s="9" t="s">
        <v>26</v>
      </c>
      <c r="R6048" s="9" t="s">
        <v>61</v>
      </c>
      <c r="S6048" s="7" t="s">
        <v>688</v>
      </c>
      <c r="T6048" s="9" t="s">
        <v>68</v>
      </c>
      <c r="U6048" s="7">
        <v>0.39</v>
      </c>
      <c r="V6048" s="12">
        <f>C6048+5</f>
        <v>41117</v>
      </c>
      <c r="W6048">
        <f>IF(D6048=' Pivot Tables'!$A$4,1,0)</f>
        <v>0</v>
      </c>
      <c r="X6048">
        <f>IF(AND(LEFT(D6048,4)+1=LEFT(' Pivot Tables'!$A$4,4)+0,RIGHT(LEFT(D6048,7),2)=RIGHT(LEFT(' Pivot Tables'!$A$4,7),2)),1,0)</f>
        <v>0</v>
      </c>
      <c r="Y6048" s="6">
        <f>1/COUNTIF(Таблица1[Order ID],Таблица1[[#This Row],[Order ID]])</f>
        <v>1</v>
      </c>
      <c r="Z6048" s="9">
        <f>1/COUNTIFS(Таблица1[Customer Name],Таблица1[[#This Row],[Customer Name]],Таблица1[Order-Year-Month],Таблица1[[#This Row],[Order-Year-Month]])</f>
        <v>1</v>
      </c>
    </row>
    <row r="6049" spans="1:26" x14ac:dyDescent="0.2">
      <c r="A6049" s="6">
        <v>6364</v>
      </c>
      <c r="B6049" s="7">
        <v>45156</v>
      </c>
      <c r="C6049" s="8">
        <f>DATE(2012,12,31)-688</f>
        <v>40586</v>
      </c>
      <c r="D6049" s="8" t="str">
        <f t="shared" si="111"/>
        <v>2011-02 (февраль 2011)</v>
      </c>
      <c r="E6049" s="9" t="s">
        <v>21</v>
      </c>
      <c r="F6049" s="7">
        <v>30</v>
      </c>
      <c r="G6049" s="7">
        <v>663.24</v>
      </c>
      <c r="H6049" s="7">
        <v>0.01</v>
      </c>
      <c r="I6049" s="9" t="s">
        <v>22</v>
      </c>
      <c r="J6049" s="10">
        <v>76.33</v>
      </c>
      <c r="K6049" s="11">
        <v>20.48</v>
      </c>
      <c r="L6049" s="11">
        <v>6.32</v>
      </c>
      <c r="M6049" s="9" t="s">
        <v>1970</v>
      </c>
      <c r="N6049" s="6" t="s">
        <v>1905</v>
      </c>
      <c r="O6049" s="6" t="s">
        <v>673</v>
      </c>
      <c r="P6049" s="9" t="s">
        <v>60</v>
      </c>
      <c r="Q6049" s="9" t="s">
        <v>26</v>
      </c>
      <c r="R6049" s="9" t="s">
        <v>34</v>
      </c>
      <c r="S6049" s="7" t="s">
        <v>891</v>
      </c>
      <c r="T6049" s="9" t="s">
        <v>39</v>
      </c>
      <c r="U6049" s="7">
        <v>0.57999999999999996</v>
      </c>
      <c r="V6049" s="12">
        <f>C6049+0</f>
        <v>40586</v>
      </c>
      <c r="W6049">
        <f>IF(D6049=' Pivot Tables'!$A$4,1,0)</f>
        <v>0</v>
      </c>
      <c r="X6049">
        <f>IF(AND(LEFT(D6049,4)+1=LEFT(' Pivot Tables'!$A$4,4)+0,RIGHT(LEFT(D6049,7),2)=RIGHT(LEFT(' Pivot Tables'!$A$4,7),2)),1,0)</f>
        <v>0</v>
      </c>
      <c r="Y6049" s="6">
        <f>1/COUNTIF(Таблица1[Order ID],Таблица1[[#This Row],[Order ID]])</f>
        <v>0.33333333333333331</v>
      </c>
      <c r="Z6049" s="9">
        <f>1/COUNTIFS(Таблица1[Customer Name],Таблица1[[#This Row],[Customer Name]],Таблица1[Order-Year-Month],Таблица1[[#This Row],[Order-Year-Month]])</f>
        <v>0.25</v>
      </c>
    </row>
    <row r="6050" spans="1:26" x14ac:dyDescent="0.2">
      <c r="A6050" s="6">
        <v>6365</v>
      </c>
      <c r="B6050" s="7">
        <v>45156</v>
      </c>
      <c r="C6050" s="8">
        <f>DATE(2012,12,31)-688</f>
        <v>40586</v>
      </c>
      <c r="D6050" s="8" t="str">
        <f t="shared" si="111"/>
        <v>2011-02 (февраль 2011)</v>
      </c>
      <c r="E6050" s="9" t="s">
        <v>21</v>
      </c>
      <c r="F6050" s="7">
        <v>35</v>
      </c>
      <c r="G6050" s="7">
        <v>238.08</v>
      </c>
      <c r="H6050" s="7">
        <v>7.0000000000000007E-2</v>
      </c>
      <c r="I6050" s="9" t="s">
        <v>22</v>
      </c>
      <c r="J6050" s="10">
        <v>31.654000000000003</v>
      </c>
      <c r="K6050" s="11">
        <v>6.75</v>
      </c>
      <c r="L6050" s="11">
        <v>2.99</v>
      </c>
      <c r="M6050" s="9" t="s">
        <v>1970</v>
      </c>
      <c r="N6050" s="6" t="s">
        <v>1905</v>
      </c>
      <c r="O6050" s="6" t="s">
        <v>673</v>
      </c>
      <c r="P6050" s="9" t="s">
        <v>60</v>
      </c>
      <c r="Q6050" s="9" t="s">
        <v>26</v>
      </c>
      <c r="R6050" s="9" t="s">
        <v>37</v>
      </c>
      <c r="S6050" s="7" t="s">
        <v>362</v>
      </c>
      <c r="T6050" s="9" t="s">
        <v>39</v>
      </c>
      <c r="U6050" s="7">
        <v>0.35</v>
      </c>
      <c r="V6050" s="12">
        <f>C6050+7</f>
        <v>40593</v>
      </c>
      <c r="W6050">
        <f>IF(D6050=' Pivot Tables'!$A$4,1,0)</f>
        <v>0</v>
      </c>
      <c r="X6050">
        <f>IF(AND(LEFT(D6050,4)+1=LEFT(' Pivot Tables'!$A$4,4)+0,RIGHT(LEFT(D6050,7),2)=RIGHT(LEFT(' Pivot Tables'!$A$4,7),2)),1,0)</f>
        <v>0</v>
      </c>
      <c r="Y6050" s="6">
        <f>1/COUNTIF(Таблица1[Order ID],Таблица1[[#This Row],[Order ID]])</f>
        <v>0.33333333333333331</v>
      </c>
      <c r="Z6050" s="9">
        <f>1/COUNTIFS(Таблица1[Customer Name],Таблица1[[#This Row],[Customer Name]],Таблица1[Order-Year-Month],Таблица1[[#This Row],[Order-Year-Month]])</f>
        <v>0.25</v>
      </c>
    </row>
    <row r="6051" spans="1:26" x14ac:dyDescent="0.2">
      <c r="A6051" s="6">
        <v>6366</v>
      </c>
      <c r="B6051" s="7">
        <v>45156</v>
      </c>
      <c r="C6051" s="8">
        <f>DATE(2012,12,31)-688</f>
        <v>40586</v>
      </c>
      <c r="D6051" s="8" t="str">
        <f t="shared" si="111"/>
        <v>2011-02 (февраль 2011)</v>
      </c>
      <c r="E6051" s="9" t="s">
        <v>21</v>
      </c>
      <c r="F6051" s="7">
        <v>14</v>
      </c>
      <c r="G6051" s="7">
        <v>174.3</v>
      </c>
      <c r="H6051" s="7">
        <v>0.08</v>
      </c>
      <c r="I6051" s="9" t="s">
        <v>22</v>
      </c>
      <c r="J6051" s="10">
        <v>75.58</v>
      </c>
      <c r="K6051" s="11">
        <v>12.53</v>
      </c>
      <c r="L6051" s="11">
        <v>0.5</v>
      </c>
      <c r="M6051" s="9" t="s">
        <v>1970</v>
      </c>
      <c r="N6051" s="6" t="s">
        <v>1905</v>
      </c>
      <c r="O6051" s="6" t="s">
        <v>673</v>
      </c>
      <c r="P6051" s="9" t="s">
        <v>60</v>
      </c>
      <c r="Q6051" s="9" t="s">
        <v>26</v>
      </c>
      <c r="R6051" s="9" t="s">
        <v>88</v>
      </c>
      <c r="S6051" s="7" t="s">
        <v>525</v>
      </c>
      <c r="T6051" s="9" t="s">
        <v>39</v>
      </c>
      <c r="U6051" s="7">
        <v>0.38</v>
      </c>
      <c r="V6051" s="12">
        <f>C6051+5</f>
        <v>40591</v>
      </c>
      <c r="W6051">
        <f>IF(D6051=' Pivot Tables'!$A$4,1,0)</f>
        <v>0</v>
      </c>
      <c r="X6051">
        <f>IF(AND(LEFT(D6051,4)+1=LEFT(' Pivot Tables'!$A$4,4)+0,RIGHT(LEFT(D6051,7),2)=RIGHT(LEFT(' Pivot Tables'!$A$4,7),2)),1,0)</f>
        <v>0</v>
      </c>
      <c r="Y6051" s="6">
        <f>1/COUNTIF(Таблица1[Order ID],Таблица1[[#This Row],[Order ID]])</f>
        <v>0.33333333333333331</v>
      </c>
      <c r="Z6051" s="9">
        <f>1/COUNTIFS(Таблица1[Customer Name],Таблица1[[#This Row],[Customer Name]],Таблица1[Order-Year-Month],Таблица1[[#This Row],[Order-Year-Month]])</f>
        <v>0.25</v>
      </c>
    </row>
    <row r="6052" spans="1:26" x14ac:dyDescent="0.2">
      <c r="A6052" s="6">
        <v>6396</v>
      </c>
      <c r="B6052" s="7">
        <v>45410</v>
      </c>
      <c r="C6052" s="8">
        <f>DATE(2012,12,31)-1230</f>
        <v>40044</v>
      </c>
      <c r="D6052" s="8" t="str">
        <f t="shared" si="111"/>
        <v>2009-08 (август 2009)</v>
      </c>
      <c r="E6052" s="9" t="s">
        <v>21</v>
      </c>
      <c r="F6052" s="7">
        <v>19</v>
      </c>
      <c r="G6052" s="7">
        <v>991.36</v>
      </c>
      <c r="H6052" s="7">
        <v>0.1</v>
      </c>
      <c r="I6052" s="9" t="s">
        <v>22</v>
      </c>
      <c r="J6052" s="10">
        <v>-103.11</v>
      </c>
      <c r="K6052" s="11">
        <v>54.1</v>
      </c>
      <c r="L6052" s="11">
        <v>19.989999999999998</v>
      </c>
      <c r="M6052" s="9" t="s">
        <v>1974</v>
      </c>
      <c r="N6052" s="6" t="s">
        <v>1905</v>
      </c>
      <c r="O6052" s="6" t="s">
        <v>673</v>
      </c>
      <c r="P6052" s="9" t="s">
        <v>41</v>
      </c>
      <c r="Q6052" s="9" t="s">
        <v>26</v>
      </c>
      <c r="R6052" s="9" t="s">
        <v>27</v>
      </c>
      <c r="S6052" s="7" t="s">
        <v>1981</v>
      </c>
      <c r="T6052" s="9" t="s">
        <v>39</v>
      </c>
      <c r="U6052" s="7">
        <v>0.59</v>
      </c>
      <c r="V6052" s="12">
        <f>C6052+5</f>
        <v>40049</v>
      </c>
      <c r="W6052">
        <f>IF(D6052=' Pivot Tables'!$A$4,1,0)</f>
        <v>0</v>
      </c>
      <c r="X6052">
        <f>IF(AND(LEFT(D6052,4)+1=LEFT(' Pivot Tables'!$A$4,4)+0,RIGHT(LEFT(D6052,7),2)=RIGHT(LEFT(' Pivot Tables'!$A$4,7),2)),1,0)</f>
        <v>0</v>
      </c>
      <c r="Y6052" s="6">
        <f>1/COUNTIF(Таблица1[Order ID],Таблица1[[#This Row],[Order ID]])</f>
        <v>1</v>
      </c>
      <c r="Z6052" s="9">
        <f>1/COUNTIFS(Таблица1[Customer Name],Таблица1[[#This Row],[Customer Name]],Таблица1[Order-Year-Month],Таблица1[[#This Row],[Order-Year-Month]])</f>
        <v>1</v>
      </c>
    </row>
    <row r="6053" spans="1:26" x14ac:dyDescent="0.2">
      <c r="A6053" s="6">
        <v>6609</v>
      </c>
      <c r="B6053" s="7">
        <v>47014</v>
      </c>
      <c r="C6053" s="8">
        <f>DATE(2012,12,31)-232</f>
        <v>41042</v>
      </c>
      <c r="D6053" s="8" t="str">
        <f t="shared" si="111"/>
        <v>2012-05 (май 2012)</v>
      </c>
      <c r="E6053" s="9" t="s">
        <v>78</v>
      </c>
      <c r="F6053" s="7">
        <v>33</v>
      </c>
      <c r="G6053" s="7">
        <v>803.11</v>
      </c>
      <c r="H6053" s="7">
        <v>0.08</v>
      </c>
      <c r="I6053" s="9" t="s">
        <v>31</v>
      </c>
      <c r="J6053" s="10">
        <v>-237.13</v>
      </c>
      <c r="K6053" s="11">
        <v>25.98</v>
      </c>
      <c r="L6053" s="11">
        <v>14.36</v>
      </c>
      <c r="M6053" s="9" t="s">
        <v>1867</v>
      </c>
      <c r="N6053" s="6" t="s">
        <v>1905</v>
      </c>
      <c r="O6053" s="6" t="s">
        <v>673</v>
      </c>
      <c r="P6053" s="9" t="s">
        <v>25</v>
      </c>
      <c r="Q6053" s="9" t="s">
        <v>49</v>
      </c>
      <c r="R6053" s="9" t="s">
        <v>112</v>
      </c>
      <c r="S6053" s="7" t="s">
        <v>280</v>
      </c>
      <c r="T6053" s="9" t="s">
        <v>36</v>
      </c>
      <c r="U6053" s="7">
        <v>0.6</v>
      </c>
      <c r="V6053" s="12">
        <f>C6053+2</f>
        <v>41044</v>
      </c>
      <c r="W6053">
        <f>IF(D6053=' Pivot Tables'!$A$4,1,0)</f>
        <v>0</v>
      </c>
      <c r="X6053">
        <f>IF(AND(LEFT(D6053,4)+1=LEFT(' Pivot Tables'!$A$4,4)+0,RIGHT(LEFT(D6053,7),2)=RIGHT(LEFT(' Pivot Tables'!$A$4,7),2)),1,0)</f>
        <v>0</v>
      </c>
      <c r="Y6053" s="6">
        <f>1/COUNTIF(Таблица1[Order ID],Таблица1[[#This Row],[Order ID]])</f>
        <v>1</v>
      </c>
      <c r="Z6053" s="9">
        <f>1/COUNTIFS(Таблица1[Customer Name],Таблица1[[#This Row],[Customer Name]],Таблица1[Order-Year-Month],Таблица1[[#This Row],[Order-Year-Month]])</f>
        <v>1</v>
      </c>
    </row>
    <row r="6054" spans="1:26" x14ac:dyDescent="0.2">
      <c r="A6054" s="6">
        <v>6733</v>
      </c>
      <c r="B6054" s="7">
        <v>47942</v>
      </c>
      <c r="C6054" s="8">
        <f>DATE(2012,12,31)-1038</f>
        <v>40236</v>
      </c>
      <c r="D6054" s="8" t="str">
        <f t="shared" si="111"/>
        <v>2010-02 (февраль 2010)</v>
      </c>
      <c r="E6054" s="9" t="s">
        <v>63</v>
      </c>
      <c r="F6054" s="7">
        <v>30</v>
      </c>
      <c r="G6054" s="7">
        <v>17034.919999999998</v>
      </c>
      <c r="H6054" s="7">
        <v>0.09</v>
      </c>
      <c r="I6054" s="9" t="s">
        <v>22</v>
      </c>
      <c r="J6054" s="10">
        <v>5916.3429999999998</v>
      </c>
      <c r="K6054" s="11">
        <v>599.99</v>
      </c>
      <c r="L6054" s="11">
        <v>24.49</v>
      </c>
      <c r="M6054" s="9" t="s">
        <v>1473</v>
      </c>
      <c r="N6054" s="6" t="s">
        <v>1905</v>
      </c>
      <c r="O6054" s="6" t="s">
        <v>673</v>
      </c>
      <c r="P6054" s="9" t="s">
        <v>41</v>
      </c>
      <c r="Q6054" s="9" t="s">
        <v>42</v>
      </c>
      <c r="R6054" s="9" t="s">
        <v>99</v>
      </c>
      <c r="S6054" s="7" t="s">
        <v>1004</v>
      </c>
      <c r="T6054" s="9" t="s">
        <v>29</v>
      </c>
      <c r="U6054" s="7">
        <v>0.37</v>
      </c>
      <c r="V6054" s="12">
        <f>C6054+2</f>
        <v>40238</v>
      </c>
      <c r="W6054">
        <f>IF(D6054=' Pivot Tables'!$A$4,1,0)</f>
        <v>0</v>
      </c>
      <c r="X6054">
        <f>IF(AND(LEFT(D6054,4)+1=LEFT(' Pivot Tables'!$A$4,4)+0,RIGHT(LEFT(D6054,7),2)=RIGHT(LEFT(' Pivot Tables'!$A$4,7),2)),1,0)</f>
        <v>0</v>
      </c>
      <c r="Y6054" s="6">
        <f>1/COUNTIF(Таблица1[Order ID],Таблица1[[#This Row],[Order ID]])</f>
        <v>0.33333333333333331</v>
      </c>
      <c r="Z6054" s="9">
        <f>1/COUNTIFS(Таблица1[Customer Name],Таблица1[[#This Row],[Customer Name]],Таблица1[Order-Year-Month],Таблица1[[#This Row],[Order-Year-Month]])</f>
        <v>0.25</v>
      </c>
    </row>
    <row r="6055" spans="1:26" x14ac:dyDescent="0.2">
      <c r="A6055" s="6">
        <v>6734</v>
      </c>
      <c r="B6055" s="7">
        <v>47942</v>
      </c>
      <c r="C6055" s="8">
        <f>DATE(2012,12,31)-1038</f>
        <v>40236</v>
      </c>
      <c r="D6055" s="8" t="str">
        <f t="shared" si="111"/>
        <v>2010-02 (февраль 2010)</v>
      </c>
      <c r="E6055" s="9" t="s">
        <v>63</v>
      </c>
      <c r="F6055" s="7">
        <v>3</v>
      </c>
      <c r="G6055" s="7">
        <v>22.6</v>
      </c>
      <c r="H6055" s="7">
        <v>0.04</v>
      </c>
      <c r="I6055" s="9" t="s">
        <v>56</v>
      </c>
      <c r="J6055" s="10">
        <v>-4.63</v>
      </c>
      <c r="K6055" s="11">
        <v>5.88</v>
      </c>
      <c r="L6055" s="11">
        <v>3.04</v>
      </c>
      <c r="M6055" s="9" t="s">
        <v>1473</v>
      </c>
      <c r="N6055" s="6" t="s">
        <v>1905</v>
      </c>
      <c r="O6055" s="6" t="s">
        <v>673</v>
      </c>
      <c r="P6055" s="9" t="s">
        <v>41</v>
      </c>
      <c r="Q6055" s="9" t="s">
        <v>26</v>
      </c>
      <c r="R6055" s="9" t="s">
        <v>61</v>
      </c>
      <c r="S6055" s="7" t="s">
        <v>136</v>
      </c>
      <c r="T6055" s="9" t="s">
        <v>68</v>
      </c>
      <c r="U6055" s="7">
        <v>0.36</v>
      </c>
      <c r="V6055" s="12">
        <f>C6055+2</f>
        <v>40238</v>
      </c>
      <c r="W6055">
        <f>IF(D6055=' Pivot Tables'!$A$4,1,0)</f>
        <v>0</v>
      </c>
      <c r="X6055">
        <f>IF(AND(LEFT(D6055,4)+1=LEFT(' Pivot Tables'!$A$4,4)+0,RIGHT(LEFT(D6055,7),2)=RIGHT(LEFT(' Pivot Tables'!$A$4,7),2)),1,0)</f>
        <v>0</v>
      </c>
      <c r="Y6055" s="6">
        <f>1/COUNTIF(Таблица1[Order ID],Таблица1[[#This Row],[Order ID]])</f>
        <v>0.33333333333333331</v>
      </c>
      <c r="Z6055" s="9">
        <f>1/COUNTIFS(Таблица1[Customer Name],Таблица1[[#This Row],[Customer Name]],Таблица1[Order-Year-Month],Таблица1[[#This Row],[Order-Year-Month]])</f>
        <v>0.25</v>
      </c>
    </row>
    <row r="6056" spans="1:26" x14ac:dyDescent="0.2">
      <c r="A6056" s="6">
        <v>6735</v>
      </c>
      <c r="B6056" s="7">
        <v>47942</v>
      </c>
      <c r="C6056" s="8">
        <f>DATE(2012,12,31)-1038</f>
        <v>40236</v>
      </c>
      <c r="D6056" s="8" t="str">
        <f t="shared" si="111"/>
        <v>2010-02 (февраль 2010)</v>
      </c>
      <c r="E6056" s="9" t="s">
        <v>63</v>
      </c>
      <c r="F6056" s="7">
        <v>9</v>
      </c>
      <c r="G6056" s="7">
        <v>918.73949999999991</v>
      </c>
      <c r="H6056" s="7">
        <v>0.06</v>
      </c>
      <c r="I6056" s="9" t="s">
        <v>56</v>
      </c>
      <c r="J6056" s="10">
        <v>-303.55599999999998</v>
      </c>
      <c r="K6056" s="11">
        <v>125.99</v>
      </c>
      <c r="L6056" s="11">
        <v>7.69</v>
      </c>
      <c r="M6056" s="9" t="s">
        <v>1473</v>
      </c>
      <c r="N6056" s="6" t="s">
        <v>1905</v>
      </c>
      <c r="O6056" s="6" t="s">
        <v>673</v>
      </c>
      <c r="P6056" s="9" t="s">
        <v>41</v>
      </c>
      <c r="Q6056" s="9" t="s">
        <v>42</v>
      </c>
      <c r="R6056" s="9" t="s">
        <v>43</v>
      </c>
      <c r="S6056" s="7" t="s">
        <v>129</v>
      </c>
      <c r="T6056" s="9" t="s">
        <v>39</v>
      </c>
      <c r="U6056" s="7">
        <v>0.57999999999999996</v>
      </c>
      <c r="V6056" s="12">
        <f>C6056+1</f>
        <v>40237</v>
      </c>
      <c r="W6056">
        <f>IF(D6056=' Pivot Tables'!$A$4,1,0)</f>
        <v>0</v>
      </c>
      <c r="X6056">
        <f>IF(AND(LEFT(D6056,4)+1=LEFT(' Pivot Tables'!$A$4,4)+0,RIGHT(LEFT(D6056,7),2)=RIGHT(LEFT(' Pivot Tables'!$A$4,7),2)),1,0)</f>
        <v>0</v>
      </c>
      <c r="Y6056" s="6">
        <f>1/COUNTIF(Таблица1[Order ID],Таблица1[[#This Row],[Order ID]])</f>
        <v>0.33333333333333331</v>
      </c>
      <c r="Z6056" s="9">
        <f>1/COUNTIFS(Таблица1[Customer Name],Таблица1[[#This Row],[Customer Name]],Таблица1[Order-Year-Month],Таблица1[[#This Row],[Order-Year-Month]])</f>
        <v>0.25</v>
      </c>
    </row>
    <row r="6057" spans="1:26" x14ac:dyDescent="0.2">
      <c r="A6057" s="6">
        <v>6755</v>
      </c>
      <c r="B6057" s="7">
        <v>48128</v>
      </c>
      <c r="C6057" s="8">
        <f>DATE(2012,12,31)-264</f>
        <v>41010</v>
      </c>
      <c r="D6057" s="8" t="str">
        <f t="shared" si="111"/>
        <v>2012-04 (апрель 2012)</v>
      </c>
      <c r="E6057" s="9" t="s">
        <v>63</v>
      </c>
      <c r="F6057" s="7">
        <v>5</v>
      </c>
      <c r="G6057" s="7">
        <v>2600.44</v>
      </c>
      <c r="H6057" s="7">
        <v>0.03</v>
      </c>
      <c r="I6057" s="9" t="s">
        <v>56</v>
      </c>
      <c r="J6057" s="10">
        <v>-921.94</v>
      </c>
      <c r="K6057" s="11">
        <v>499.99</v>
      </c>
      <c r="L6057" s="11">
        <v>24.49</v>
      </c>
      <c r="M6057" s="9" t="s">
        <v>1976</v>
      </c>
      <c r="N6057" s="6" t="s">
        <v>1905</v>
      </c>
      <c r="O6057" s="6" t="s">
        <v>673</v>
      </c>
      <c r="P6057" s="9" t="s">
        <v>33</v>
      </c>
      <c r="Q6057" s="9" t="s">
        <v>42</v>
      </c>
      <c r="R6057" s="9" t="s">
        <v>99</v>
      </c>
      <c r="S6057" s="7" t="s">
        <v>217</v>
      </c>
      <c r="T6057" s="9" t="s">
        <v>29</v>
      </c>
      <c r="U6057" s="7">
        <v>0.36</v>
      </c>
      <c r="V6057" s="12">
        <f>C6057+1</f>
        <v>41011</v>
      </c>
      <c r="W6057">
        <f>IF(D6057=' Pivot Tables'!$A$4,1,0)</f>
        <v>0</v>
      </c>
      <c r="X6057">
        <f>IF(AND(LEFT(D6057,4)+1=LEFT(' Pivot Tables'!$A$4,4)+0,RIGHT(LEFT(D6057,7),2)=RIGHT(LEFT(' Pivot Tables'!$A$4,7),2)),1,0)</f>
        <v>0</v>
      </c>
      <c r="Y6057" s="6">
        <f>1/COUNTIF(Таблица1[Order ID],Таблица1[[#This Row],[Order ID]])</f>
        <v>1</v>
      </c>
      <c r="Z6057" s="9">
        <f>1/COUNTIFS(Таблица1[Customer Name],Таблица1[[#This Row],[Customer Name]],Таблица1[Order-Year-Month],Таблица1[[#This Row],[Order-Year-Month]])</f>
        <v>1</v>
      </c>
    </row>
    <row r="6058" spans="1:26" x14ac:dyDescent="0.2">
      <c r="A6058" s="6">
        <v>6838</v>
      </c>
      <c r="B6058" s="7">
        <v>48704</v>
      </c>
      <c r="C6058" s="8">
        <f>DATE(2012,12,31)-357</f>
        <v>40917</v>
      </c>
      <c r="D6058" s="8" t="str">
        <f t="shared" si="111"/>
        <v>2012-01 (январь 2012)</v>
      </c>
      <c r="E6058" s="9" t="s">
        <v>30</v>
      </c>
      <c r="F6058" s="7">
        <v>11</v>
      </c>
      <c r="G6058" s="7">
        <v>1247.8595</v>
      </c>
      <c r="H6058" s="7">
        <v>0.01</v>
      </c>
      <c r="I6058" s="9" t="s">
        <v>22</v>
      </c>
      <c r="J6058" s="10">
        <v>-55.802999999999997</v>
      </c>
      <c r="K6058" s="11">
        <v>125.99</v>
      </c>
      <c r="L6058" s="11">
        <v>8.99</v>
      </c>
      <c r="M6058" s="9" t="s">
        <v>1971</v>
      </c>
      <c r="N6058" s="6" t="s">
        <v>1905</v>
      </c>
      <c r="O6058" s="6" t="s">
        <v>673</v>
      </c>
      <c r="P6058" s="9" t="s">
        <v>60</v>
      </c>
      <c r="Q6058" s="9" t="s">
        <v>42</v>
      </c>
      <c r="R6058" s="9" t="s">
        <v>43</v>
      </c>
      <c r="S6058" s="7" t="s">
        <v>1977</v>
      </c>
      <c r="T6058" s="9" t="s">
        <v>39</v>
      </c>
      <c r="U6058" s="7">
        <v>0.56999999999999995</v>
      </c>
      <c r="V6058" s="12">
        <f>C6058+1</f>
        <v>40918</v>
      </c>
      <c r="W6058">
        <f>IF(D6058=' Pivot Tables'!$A$4,1,0)</f>
        <v>0</v>
      </c>
      <c r="X6058">
        <f>IF(AND(LEFT(D6058,4)+1=LEFT(' Pivot Tables'!$A$4,4)+0,RIGHT(LEFT(D6058,7),2)=RIGHT(LEFT(' Pivot Tables'!$A$4,7),2)),1,0)</f>
        <v>0</v>
      </c>
      <c r="Y6058" s="6">
        <f>1/COUNTIF(Таблица1[Order ID],Таблица1[[#This Row],[Order ID]])</f>
        <v>1</v>
      </c>
      <c r="Z6058" s="9">
        <f>1/COUNTIFS(Таблица1[Customer Name],Таблица1[[#This Row],[Customer Name]],Таблица1[Order-Year-Month],Таблица1[[#This Row],[Order-Year-Month]])</f>
        <v>1</v>
      </c>
    </row>
    <row r="6059" spans="1:26" x14ac:dyDescent="0.2">
      <c r="A6059" s="6">
        <v>6895</v>
      </c>
      <c r="B6059" s="7">
        <v>49155</v>
      </c>
      <c r="C6059" s="8">
        <f>DATE(2012,12,31)-835</f>
        <v>40439</v>
      </c>
      <c r="D6059" s="8" t="str">
        <f t="shared" si="111"/>
        <v>2010-09 (сентябрь 2010)</v>
      </c>
      <c r="E6059" s="9" t="s">
        <v>21</v>
      </c>
      <c r="F6059" s="7">
        <v>22</v>
      </c>
      <c r="G6059" s="7">
        <v>3760.3065000000001</v>
      </c>
      <c r="H6059" s="7">
        <v>0.05</v>
      </c>
      <c r="I6059" s="9" t="s">
        <v>22</v>
      </c>
      <c r="J6059" s="10">
        <v>593.18100000000004</v>
      </c>
      <c r="K6059" s="11">
        <v>195.99</v>
      </c>
      <c r="L6059" s="11">
        <v>8.99</v>
      </c>
      <c r="M6059" s="9" t="s">
        <v>1867</v>
      </c>
      <c r="N6059" s="6" t="s">
        <v>1905</v>
      </c>
      <c r="O6059" s="6" t="s">
        <v>673</v>
      </c>
      <c r="P6059" s="9" t="s">
        <v>25</v>
      </c>
      <c r="Q6059" s="9" t="s">
        <v>42</v>
      </c>
      <c r="R6059" s="9" t="s">
        <v>43</v>
      </c>
      <c r="S6059" s="7" t="s">
        <v>670</v>
      </c>
      <c r="T6059" s="9" t="s">
        <v>39</v>
      </c>
      <c r="U6059" s="7">
        <v>0.6</v>
      </c>
      <c r="V6059" s="12">
        <f>C6059+5</f>
        <v>40444</v>
      </c>
      <c r="W6059">
        <f>IF(D6059=' Pivot Tables'!$A$4,1,0)</f>
        <v>0</v>
      </c>
      <c r="X6059">
        <f>IF(AND(LEFT(D6059,4)+1=LEFT(' Pivot Tables'!$A$4,4)+0,RIGHT(LEFT(D6059,7),2)=RIGHT(LEFT(' Pivot Tables'!$A$4,7),2)),1,0)</f>
        <v>0</v>
      </c>
      <c r="Y6059" s="6">
        <f>1/COUNTIF(Таблица1[Order ID],Таблица1[[#This Row],[Order ID]])</f>
        <v>1</v>
      </c>
      <c r="Z6059" s="9">
        <f>1/COUNTIFS(Таблица1[Customer Name],Таблица1[[#This Row],[Customer Name]],Таблица1[Order-Year-Month],Таблица1[[#This Row],[Order-Year-Month]])</f>
        <v>1</v>
      </c>
    </row>
    <row r="6060" spans="1:26" x14ac:dyDescent="0.2">
      <c r="A6060" s="6">
        <v>6935</v>
      </c>
      <c r="B6060" s="7">
        <v>49504</v>
      </c>
      <c r="C6060" s="8">
        <f>DATE(2012,12,31)-1141</f>
        <v>40133</v>
      </c>
      <c r="D6060" s="8" t="str">
        <f t="shared" si="111"/>
        <v>2009-11 (ноябрь 2009)</v>
      </c>
      <c r="E6060" s="9" t="s">
        <v>45</v>
      </c>
      <c r="F6060" s="7">
        <v>45</v>
      </c>
      <c r="G6060" s="7">
        <v>318.94</v>
      </c>
      <c r="H6060" s="7">
        <v>0.1</v>
      </c>
      <c r="I6060" s="9" t="s">
        <v>22</v>
      </c>
      <c r="J6060" s="10">
        <v>-195.6</v>
      </c>
      <c r="K6060" s="11">
        <v>7.37</v>
      </c>
      <c r="L6060" s="11">
        <v>5.53</v>
      </c>
      <c r="M6060" s="9" t="s">
        <v>1980</v>
      </c>
      <c r="N6060" s="6" t="s">
        <v>1905</v>
      </c>
      <c r="O6060" s="6" t="s">
        <v>673</v>
      </c>
      <c r="P6060" s="9" t="s">
        <v>33</v>
      </c>
      <c r="Q6060" s="9" t="s">
        <v>42</v>
      </c>
      <c r="R6060" s="9" t="s">
        <v>70</v>
      </c>
      <c r="S6060" s="7" t="s">
        <v>1081</v>
      </c>
      <c r="T6060" s="9" t="s">
        <v>52</v>
      </c>
      <c r="U6060" s="7">
        <v>0.69</v>
      </c>
      <c r="V6060" s="12">
        <f>C6060+0</f>
        <v>40133</v>
      </c>
      <c r="W6060">
        <f>IF(D6060=' Pivot Tables'!$A$4,1,0)</f>
        <v>0</v>
      </c>
      <c r="X6060">
        <f>IF(AND(LEFT(D6060,4)+1=LEFT(' Pivot Tables'!$A$4,4)+0,RIGHT(LEFT(D6060,7),2)=RIGHT(LEFT(' Pivot Tables'!$A$4,7),2)),1,0)</f>
        <v>0</v>
      </c>
      <c r="Y6060" s="6">
        <f>1/COUNTIF(Таблица1[Order ID],Таблица1[[#This Row],[Order ID]])</f>
        <v>1</v>
      </c>
      <c r="Z6060" s="9">
        <f>1/COUNTIFS(Таблица1[Customer Name],Таблица1[[#This Row],[Customer Name]],Таблица1[Order-Year-Month],Таблица1[[#This Row],[Order-Year-Month]])</f>
        <v>1</v>
      </c>
    </row>
    <row r="6061" spans="1:26" x14ac:dyDescent="0.2">
      <c r="A6061" s="6">
        <v>7006</v>
      </c>
      <c r="B6061" s="7">
        <v>50016</v>
      </c>
      <c r="C6061" s="8">
        <f>DATE(2012,12,31)-1366</f>
        <v>39908</v>
      </c>
      <c r="D6061" s="8" t="str">
        <f t="shared" si="111"/>
        <v>2009-04 (апрель 2009)</v>
      </c>
      <c r="E6061" s="9" t="s">
        <v>30</v>
      </c>
      <c r="F6061" s="7">
        <v>15</v>
      </c>
      <c r="G6061" s="7">
        <v>1093.6355000000001</v>
      </c>
      <c r="H6061" s="7">
        <v>0.05</v>
      </c>
      <c r="I6061" s="9" t="s">
        <v>22</v>
      </c>
      <c r="J6061" s="10">
        <v>119.169</v>
      </c>
      <c r="K6061" s="11">
        <v>85.99</v>
      </c>
      <c r="L6061" s="11">
        <v>0.99</v>
      </c>
      <c r="M6061" s="9" t="s">
        <v>1473</v>
      </c>
      <c r="N6061" s="6" t="s">
        <v>1905</v>
      </c>
      <c r="O6061" s="6" t="s">
        <v>673</v>
      </c>
      <c r="P6061" s="9" t="s">
        <v>33</v>
      </c>
      <c r="Q6061" s="9" t="s">
        <v>42</v>
      </c>
      <c r="R6061" s="9" t="s">
        <v>43</v>
      </c>
      <c r="S6061" s="7" t="s">
        <v>741</v>
      </c>
      <c r="T6061" s="9" t="s">
        <v>68</v>
      </c>
      <c r="U6061" s="7">
        <v>0.55000000000000004</v>
      </c>
      <c r="V6061" s="12">
        <f>C6061+2</f>
        <v>39910</v>
      </c>
      <c r="W6061">
        <f>IF(D6061=' Pivot Tables'!$A$4,1,0)</f>
        <v>0</v>
      </c>
      <c r="X6061">
        <f>IF(AND(LEFT(D6061,4)+1=LEFT(' Pivot Tables'!$A$4,4)+0,RIGHT(LEFT(D6061,7),2)=RIGHT(LEFT(' Pivot Tables'!$A$4,7),2)),1,0)</f>
        <v>0</v>
      </c>
      <c r="Y6061" s="6">
        <f>1/COUNTIF(Таблица1[Order ID],Таблица1[[#This Row],[Order ID]])</f>
        <v>1</v>
      </c>
      <c r="Z6061" s="9">
        <f>1/COUNTIFS(Таблица1[Customer Name],Таблица1[[#This Row],[Customer Name]],Таблица1[Order-Year-Month],Таблица1[[#This Row],[Order-Year-Month]])</f>
        <v>1</v>
      </c>
    </row>
    <row r="6062" spans="1:26" x14ac:dyDescent="0.2">
      <c r="A6062" s="6">
        <v>7024</v>
      </c>
      <c r="B6062" s="7">
        <v>50145</v>
      </c>
      <c r="C6062" s="8">
        <f>DATE(2012,12,31)-674</f>
        <v>40600</v>
      </c>
      <c r="D6062" s="8" t="str">
        <f t="shared" si="111"/>
        <v>2011-02 (февраль 2011)</v>
      </c>
      <c r="E6062" s="9" t="s">
        <v>30</v>
      </c>
      <c r="F6062" s="7">
        <v>18</v>
      </c>
      <c r="G6062" s="7">
        <v>325.58</v>
      </c>
      <c r="H6062" s="7">
        <v>0.06</v>
      </c>
      <c r="I6062" s="9" t="s">
        <v>22</v>
      </c>
      <c r="J6062" s="10">
        <v>152.28</v>
      </c>
      <c r="K6062" s="11">
        <v>18.84</v>
      </c>
      <c r="L6062" s="11">
        <v>3.62</v>
      </c>
      <c r="M6062" s="9" t="s">
        <v>1974</v>
      </c>
      <c r="N6062" s="6" t="s">
        <v>1905</v>
      </c>
      <c r="O6062" s="6" t="s">
        <v>673</v>
      </c>
      <c r="P6062" s="9" t="s">
        <v>41</v>
      </c>
      <c r="Q6062" s="9" t="s">
        <v>49</v>
      </c>
      <c r="R6062" s="9" t="s">
        <v>50</v>
      </c>
      <c r="S6062" s="7" t="s">
        <v>992</v>
      </c>
      <c r="T6062" s="9" t="s">
        <v>68</v>
      </c>
      <c r="U6062" s="7">
        <v>0.43</v>
      </c>
      <c r="V6062" s="12">
        <f>C6062+1</f>
        <v>40601</v>
      </c>
      <c r="W6062">
        <f>IF(D6062=' Pivot Tables'!$A$4,1,0)</f>
        <v>0</v>
      </c>
      <c r="X6062">
        <f>IF(AND(LEFT(D6062,4)+1=LEFT(' Pivot Tables'!$A$4,4)+0,RIGHT(LEFT(D6062,7),2)=RIGHT(LEFT(' Pivot Tables'!$A$4,7),2)),1,0)</f>
        <v>0</v>
      </c>
      <c r="Y6062" s="6">
        <f>1/COUNTIF(Таблица1[Order ID],Таблица1[[#This Row],[Order ID]])</f>
        <v>0.5</v>
      </c>
      <c r="Z6062" s="9">
        <f>1/COUNTIFS(Таблица1[Customer Name],Таблица1[[#This Row],[Customer Name]],Таблица1[Order-Year-Month],Таблица1[[#This Row],[Order-Year-Month]])</f>
        <v>0.5</v>
      </c>
    </row>
    <row r="6063" spans="1:26" x14ac:dyDescent="0.2">
      <c r="A6063" s="6">
        <v>7025</v>
      </c>
      <c r="B6063" s="7">
        <v>50145</v>
      </c>
      <c r="C6063" s="8">
        <f>DATE(2012,12,31)-674</f>
        <v>40600</v>
      </c>
      <c r="D6063" s="8" t="str">
        <f t="shared" si="111"/>
        <v>2011-02 (февраль 2011)</v>
      </c>
      <c r="E6063" s="9" t="s">
        <v>30</v>
      </c>
      <c r="F6063" s="7">
        <v>9</v>
      </c>
      <c r="G6063" s="7">
        <v>458.8</v>
      </c>
      <c r="H6063" s="7">
        <v>0</v>
      </c>
      <c r="I6063" s="9" t="s">
        <v>22</v>
      </c>
      <c r="J6063" s="10">
        <v>305.87</v>
      </c>
      <c r="K6063" s="11">
        <v>46.94</v>
      </c>
      <c r="L6063" s="11">
        <v>6.77</v>
      </c>
      <c r="M6063" s="9" t="s">
        <v>1974</v>
      </c>
      <c r="N6063" s="6" t="s">
        <v>1905</v>
      </c>
      <c r="O6063" s="6" t="s">
        <v>673</v>
      </c>
      <c r="P6063" s="9" t="s">
        <v>41</v>
      </c>
      <c r="Q6063" s="9" t="s">
        <v>49</v>
      </c>
      <c r="R6063" s="9" t="s">
        <v>50</v>
      </c>
      <c r="S6063" s="7" t="s">
        <v>1124</v>
      </c>
      <c r="T6063" s="9" t="s">
        <v>39</v>
      </c>
      <c r="U6063" s="7">
        <v>0.44</v>
      </c>
      <c r="V6063" s="12">
        <f>C6063+0</f>
        <v>40600</v>
      </c>
      <c r="W6063">
        <f>IF(D6063=' Pivot Tables'!$A$4,1,0)</f>
        <v>0</v>
      </c>
      <c r="X6063">
        <f>IF(AND(LEFT(D6063,4)+1=LEFT(' Pivot Tables'!$A$4,4)+0,RIGHT(LEFT(D6063,7),2)=RIGHT(LEFT(' Pivot Tables'!$A$4,7),2)),1,0)</f>
        <v>0</v>
      </c>
      <c r="Y6063" s="6">
        <f>1/COUNTIF(Таблица1[Order ID],Таблица1[[#This Row],[Order ID]])</f>
        <v>0.5</v>
      </c>
      <c r="Z6063" s="9">
        <f>1/COUNTIFS(Таблица1[Customer Name],Таблица1[[#This Row],[Customer Name]],Таблица1[Order-Year-Month],Таблица1[[#This Row],[Order-Year-Month]])</f>
        <v>0.5</v>
      </c>
    </row>
    <row r="6064" spans="1:26" x14ac:dyDescent="0.2">
      <c r="A6064" s="6">
        <v>7080</v>
      </c>
      <c r="B6064" s="7">
        <v>50532</v>
      </c>
      <c r="C6064" s="8">
        <f>DATE(2012,12,31)-139</f>
        <v>41135</v>
      </c>
      <c r="D6064" s="8" t="str">
        <f t="shared" si="111"/>
        <v>2012-08 (август 2012)</v>
      </c>
      <c r="E6064" s="9" t="s">
        <v>63</v>
      </c>
      <c r="F6064" s="7">
        <v>10</v>
      </c>
      <c r="G6064" s="7">
        <v>267.06</v>
      </c>
      <c r="H6064" s="7">
        <v>0.02</v>
      </c>
      <c r="I6064" s="9" t="s">
        <v>22</v>
      </c>
      <c r="J6064" s="10">
        <v>76.465999999999994</v>
      </c>
      <c r="K6064" s="11">
        <v>24.95</v>
      </c>
      <c r="L6064" s="11">
        <v>2.99</v>
      </c>
      <c r="M6064" s="9" t="s">
        <v>1982</v>
      </c>
      <c r="N6064" s="6" t="s">
        <v>1905</v>
      </c>
      <c r="O6064" s="6" t="s">
        <v>673</v>
      </c>
      <c r="P6064" s="9" t="s">
        <v>25</v>
      </c>
      <c r="Q6064" s="9" t="s">
        <v>26</v>
      </c>
      <c r="R6064" s="9" t="s">
        <v>37</v>
      </c>
      <c r="S6064" s="7" t="s">
        <v>1390</v>
      </c>
      <c r="T6064" s="9" t="s">
        <v>39</v>
      </c>
      <c r="U6064" s="7">
        <v>0.39</v>
      </c>
      <c r="V6064" s="12">
        <f>C6064+2</f>
        <v>41137</v>
      </c>
      <c r="W6064">
        <f>IF(D6064=' Pivot Tables'!$A$4,1,0)</f>
        <v>0</v>
      </c>
      <c r="X6064">
        <f>IF(AND(LEFT(D6064,4)+1=LEFT(' Pivot Tables'!$A$4,4)+0,RIGHT(LEFT(D6064,7),2)=RIGHT(LEFT(' Pivot Tables'!$A$4,7),2)),1,0)</f>
        <v>0</v>
      </c>
      <c r="Y6064" s="6">
        <f>1/COUNTIF(Таблица1[Order ID],Таблица1[[#This Row],[Order ID]])</f>
        <v>0.5</v>
      </c>
      <c r="Z6064" s="9">
        <f>1/COUNTIFS(Таблица1[Customer Name],Таблица1[[#This Row],[Customer Name]],Таблица1[Order-Year-Month],Таблица1[[#This Row],[Order-Year-Month]])</f>
        <v>0.5</v>
      </c>
    </row>
    <row r="6065" spans="1:26" x14ac:dyDescent="0.2">
      <c r="A6065" s="6">
        <v>7081</v>
      </c>
      <c r="B6065" s="7">
        <v>50532</v>
      </c>
      <c r="C6065" s="8">
        <f>DATE(2012,12,31)-139</f>
        <v>41135</v>
      </c>
      <c r="D6065" s="8" t="str">
        <f t="shared" si="111"/>
        <v>2012-08 (август 2012)</v>
      </c>
      <c r="E6065" s="9" t="s">
        <v>63</v>
      </c>
      <c r="F6065" s="7">
        <v>22</v>
      </c>
      <c r="G6065" s="7">
        <v>82.98</v>
      </c>
      <c r="H6065" s="7">
        <v>0.09</v>
      </c>
      <c r="I6065" s="9" t="s">
        <v>22</v>
      </c>
      <c r="J6065" s="10">
        <v>13.82</v>
      </c>
      <c r="K6065" s="11">
        <v>4</v>
      </c>
      <c r="L6065" s="11">
        <v>1.3</v>
      </c>
      <c r="M6065" s="9" t="s">
        <v>1982</v>
      </c>
      <c r="N6065" s="6" t="s">
        <v>1905</v>
      </c>
      <c r="O6065" s="6" t="s">
        <v>673</v>
      </c>
      <c r="P6065" s="9" t="s">
        <v>25</v>
      </c>
      <c r="Q6065" s="9" t="s">
        <v>26</v>
      </c>
      <c r="R6065" s="9" t="s">
        <v>61</v>
      </c>
      <c r="S6065" s="7" t="s">
        <v>1209</v>
      </c>
      <c r="T6065" s="9" t="s">
        <v>68</v>
      </c>
      <c r="U6065" s="7">
        <v>0.37</v>
      </c>
      <c r="V6065" s="12">
        <f>C6065+1</f>
        <v>41136</v>
      </c>
      <c r="W6065">
        <f>IF(D6065=' Pivot Tables'!$A$4,1,0)</f>
        <v>0</v>
      </c>
      <c r="X6065">
        <f>IF(AND(LEFT(D6065,4)+1=LEFT(' Pivot Tables'!$A$4,4)+0,RIGHT(LEFT(D6065,7),2)=RIGHT(LEFT(' Pivot Tables'!$A$4,7),2)),1,0)</f>
        <v>0</v>
      </c>
      <c r="Y6065" s="6">
        <f>1/COUNTIF(Таблица1[Order ID],Таблица1[[#This Row],[Order ID]])</f>
        <v>0.5</v>
      </c>
      <c r="Z6065" s="9">
        <f>1/COUNTIFS(Таблица1[Customer Name],Таблица1[[#This Row],[Customer Name]],Таблица1[Order-Year-Month],Таблица1[[#This Row],[Order-Year-Month]])</f>
        <v>0.5</v>
      </c>
    </row>
    <row r="6066" spans="1:26" x14ac:dyDescent="0.2">
      <c r="A6066" s="6">
        <v>7182</v>
      </c>
      <c r="B6066" s="7">
        <v>51266</v>
      </c>
      <c r="C6066" s="8">
        <f>DATE(2012,12,31)-1377</f>
        <v>39897</v>
      </c>
      <c r="D6066" s="8" t="str">
        <f t="shared" si="111"/>
        <v>2009-03 (март 2009)</v>
      </c>
      <c r="E6066" s="9" t="s">
        <v>45</v>
      </c>
      <c r="F6066" s="7">
        <v>11</v>
      </c>
      <c r="G6066" s="7">
        <v>1610.29</v>
      </c>
      <c r="H6066" s="7">
        <v>0.04</v>
      </c>
      <c r="I6066" s="9" t="s">
        <v>22</v>
      </c>
      <c r="J6066" s="10">
        <v>221.38</v>
      </c>
      <c r="K6066" s="11">
        <v>150.97999999999999</v>
      </c>
      <c r="L6066" s="11">
        <v>13.99</v>
      </c>
      <c r="M6066" s="9" t="s">
        <v>1974</v>
      </c>
      <c r="N6066" s="6" t="s">
        <v>1905</v>
      </c>
      <c r="O6066" s="6" t="s">
        <v>673</v>
      </c>
      <c r="P6066" s="9" t="s">
        <v>41</v>
      </c>
      <c r="Q6066" s="9" t="s">
        <v>42</v>
      </c>
      <c r="R6066" s="9" t="s">
        <v>210</v>
      </c>
      <c r="S6066" s="7" t="s">
        <v>341</v>
      </c>
      <c r="T6066" s="9" t="s">
        <v>48</v>
      </c>
      <c r="U6066" s="7">
        <v>0.38</v>
      </c>
      <c r="V6066" s="12">
        <f>C6066+2</f>
        <v>39899</v>
      </c>
      <c r="W6066">
        <f>IF(D6066=' Pivot Tables'!$A$4,1,0)</f>
        <v>0</v>
      </c>
      <c r="X6066">
        <f>IF(AND(LEFT(D6066,4)+1=LEFT(' Pivot Tables'!$A$4,4)+0,RIGHT(LEFT(D6066,7),2)=RIGHT(LEFT(' Pivot Tables'!$A$4,7),2)),1,0)</f>
        <v>0</v>
      </c>
      <c r="Y6066" s="6">
        <f>1/COUNTIF(Таблица1[Order ID],Таблица1[[#This Row],[Order ID]])</f>
        <v>0.25</v>
      </c>
      <c r="Z6066" s="9">
        <f>1/COUNTIFS(Таблица1[Customer Name],Таблица1[[#This Row],[Customer Name]],Таблица1[Order-Year-Month],Таблица1[[#This Row],[Order-Year-Month]])</f>
        <v>0.25</v>
      </c>
    </row>
    <row r="6067" spans="1:26" x14ac:dyDescent="0.2">
      <c r="A6067" s="6">
        <v>7183</v>
      </c>
      <c r="B6067" s="7">
        <v>51266</v>
      </c>
      <c r="C6067" s="8">
        <f>DATE(2012,12,31)-1377</f>
        <v>39897</v>
      </c>
      <c r="D6067" s="8" t="str">
        <f t="shared" si="111"/>
        <v>2009-03 (март 2009)</v>
      </c>
      <c r="E6067" s="9" t="s">
        <v>45</v>
      </c>
      <c r="F6067" s="7">
        <v>30</v>
      </c>
      <c r="G6067" s="7">
        <v>617.51</v>
      </c>
      <c r="H6067" s="7">
        <v>0.01</v>
      </c>
      <c r="I6067" s="9" t="s">
        <v>22</v>
      </c>
      <c r="J6067" s="10">
        <v>98.1</v>
      </c>
      <c r="K6067" s="11">
        <v>18.97</v>
      </c>
      <c r="L6067" s="11">
        <v>9.0299999999999994</v>
      </c>
      <c r="M6067" s="9" t="s">
        <v>1974</v>
      </c>
      <c r="N6067" s="6" t="s">
        <v>1905</v>
      </c>
      <c r="O6067" s="6" t="s">
        <v>673</v>
      </c>
      <c r="P6067" s="9" t="s">
        <v>41</v>
      </c>
      <c r="Q6067" s="9" t="s">
        <v>26</v>
      </c>
      <c r="R6067" s="9" t="s">
        <v>61</v>
      </c>
      <c r="S6067" s="7" t="s">
        <v>123</v>
      </c>
      <c r="T6067" s="9" t="s">
        <v>39</v>
      </c>
      <c r="U6067" s="7">
        <v>0.37</v>
      </c>
      <c r="V6067" s="12">
        <f>C6067+0</f>
        <v>39897</v>
      </c>
      <c r="W6067">
        <f>IF(D6067=' Pivot Tables'!$A$4,1,0)</f>
        <v>0</v>
      </c>
      <c r="X6067">
        <f>IF(AND(LEFT(D6067,4)+1=LEFT(' Pivot Tables'!$A$4,4)+0,RIGHT(LEFT(D6067,7),2)=RIGHT(LEFT(' Pivot Tables'!$A$4,7),2)),1,0)</f>
        <v>0</v>
      </c>
      <c r="Y6067" s="6">
        <f>1/COUNTIF(Таблица1[Order ID],Таблица1[[#This Row],[Order ID]])</f>
        <v>0.25</v>
      </c>
      <c r="Z6067" s="9">
        <f>1/COUNTIFS(Таблица1[Customer Name],Таблица1[[#This Row],[Customer Name]],Таблица1[Order-Year-Month],Таблица1[[#This Row],[Order-Year-Month]])</f>
        <v>0.25</v>
      </c>
    </row>
    <row r="6068" spans="1:26" x14ac:dyDescent="0.2">
      <c r="A6068" s="6">
        <v>7184</v>
      </c>
      <c r="B6068" s="7">
        <v>51266</v>
      </c>
      <c r="C6068" s="8">
        <f>DATE(2012,12,31)-1377</f>
        <v>39897</v>
      </c>
      <c r="D6068" s="8" t="str">
        <f t="shared" si="111"/>
        <v>2009-03 (март 2009)</v>
      </c>
      <c r="E6068" s="9" t="s">
        <v>45</v>
      </c>
      <c r="F6068" s="7">
        <v>23</v>
      </c>
      <c r="G6068" s="7">
        <v>278.83</v>
      </c>
      <c r="H6068" s="7">
        <v>0.03</v>
      </c>
      <c r="I6068" s="9" t="s">
        <v>22</v>
      </c>
      <c r="J6068" s="10">
        <v>35.159999999999997</v>
      </c>
      <c r="K6068" s="11">
        <v>12.28</v>
      </c>
      <c r="L6068" s="11">
        <v>4.8600000000000003</v>
      </c>
      <c r="M6068" s="9" t="s">
        <v>1974</v>
      </c>
      <c r="N6068" s="6" t="s">
        <v>1905</v>
      </c>
      <c r="O6068" s="6" t="s">
        <v>673</v>
      </c>
      <c r="P6068" s="9" t="s">
        <v>41</v>
      </c>
      <c r="Q6068" s="9" t="s">
        <v>26</v>
      </c>
      <c r="R6068" s="9" t="s">
        <v>61</v>
      </c>
      <c r="S6068" s="7" t="s">
        <v>1226</v>
      </c>
      <c r="T6068" s="9" t="s">
        <v>39</v>
      </c>
      <c r="U6068" s="7">
        <v>0.38</v>
      </c>
      <c r="V6068" s="12">
        <f>C6068+1</f>
        <v>39898</v>
      </c>
      <c r="W6068">
        <f>IF(D6068=' Pivot Tables'!$A$4,1,0)</f>
        <v>0</v>
      </c>
      <c r="X6068">
        <f>IF(AND(LEFT(D6068,4)+1=LEFT(' Pivot Tables'!$A$4,4)+0,RIGHT(LEFT(D6068,7),2)=RIGHT(LEFT(' Pivot Tables'!$A$4,7),2)),1,0)</f>
        <v>0</v>
      </c>
      <c r="Y6068" s="6">
        <f>1/COUNTIF(Таблица1[Order ID],Таблица1[[#This Row],[Order ID]])</f>
        <v>0.25</v>
      </c>
      <c r="Z6068" s="9">
        <f>1/COUNTIFS(Таблица1[Customer Name],Таблица1[[#This Row],[Customer Name]],Таблица1[Order-Year-Month],Таблица1[[#This Row],[Order-Year-Month]])</f>
        <v>0.25</v>
      </c>
    </row>
    <row r="6069" spans="1:26" x14ac:dyDescent="0.2">
      <c r="A6069" s="6">
        <v>7185</v>
      </c>
      <c r="B6069" s="7">
        <v>51266</v>
      </c>
      <c r="C6069" s="8">
        <f>DATE(2012,12,31)-1377</f>
        <v>39897</v>
      </c>
      <c r="D6069" s="8" t="str">
        <f t="shared" si="111"/>
        <v>2009-03 (март 2009)</v>
      </c>
      <c r="E6069" s="9" t="s">
        <v>45</v>
      </c>
      <c r="F6069" s="7">
        <v>46</v>
      </c>
      <c r="G6069" s="7">
        <v>1605.22</v>
      </c>
      <c r="H6069" s="7">
        <v>0.05</v>
      </c>
      <c r="I6069" s="9" t="s">
        <v>56</v>
      </c>
      <c r="J6069" s="10">
        <v>230.03</v>
      </c>
      <c r="K6069" s="11">
        <v>34.99</v>
      </c>
      <c r="L6069" s="11">
        <v>7.73</v>
      </c>
      <c r="M6069" s="9" t="s">
        <v>1974</v>
      </c>
      <c r="N6069" s="6" t="s">
        <v>1905</v>
      </c>
      <c r="O6069" s="6" t="s">
        <v>673</v>
      </c>
      <c r="P6069" s="9" t="s">
        <v>41</v>
      </c>
      <c r="Q6069" s="9" t="s">
        <v>26</v>
      </c>
      <c r="R6069" s="9" t="s">
        <v>95</v>
      </c>
      <c r="S6069" s="7" t="s">
        <v>1355</v>
      </c>
      <c r="T6069" s="9" t="s">
        <v>39</v>
      </c>
      <c r="U6069" s="7">
        <v>0.59</v>
      </c>
      <c r="V6069" s="12">
        <f>C6069+2</f>
        <v>39899</v>
      </c>
      <c r="W6069">
        <f>IF(D6069=' Pivot Tables'!$A$4,1,0)</f>
        <v>0</v>
      </c>
      <c r="X6069">
        <f>IF(AND(LEFT(D6069,4)+1=LEFT(' Pivot Tables'!$A$4,4)+0,RIGHT(LEFT(D6069,7),2)=RIGHT(LEFT(' Pivot Tables'!$A$4,7),2)),1,0)</f>
        <v>0</v>
      </c>
      <c r="Y6069" s="6">
        <f>1/COUNTIF(Таблица1[Order ID],Таблица1[[#This Row],[Order ID]])</f>
        <v>0.25</v>
      </c>
      <c r="Z6069" s="9">
        <f>1/COUNTIFS(Таблица1[Customer Name],Таблица1[[#This Row],[Customer Name]],Таблица1[Order-Year-Month],Таблица1[[#This Row],[Order-Year-Month]])</f>
        <v>0.25</v>
      </c>
    </row>
    <row r="6070" spans="1:26" x14ac:dyDescent="0.2">
      <c r="A6070" s="6">
        <v>7208</v>
      </c>
      <c r="B6070" s="7">
        <v>51426</v>
      </c>
      <c r="C6070" s="8">
        <f>DATE(2012,12,31)-761</f>
        <v>40513</v>
      </c>
      <c r="D6070" s="8" t="str">
        <f t="shared" si="111"/>
        <v>2010-12 (декабрь 2010)</v>
      </c>
      <c r="E6070" s="9" t="s">
        <v>63</v>
      </c>
      <c r="F6070" s="7">
        <v>41</v>
      </c>
      <c r="G6070" s="7">
        <v>357.01</v>
      </c>
      <c r="H6070" s="7">
        <v>0.01</v>
      </c>
      <c r="I6070" s="9" t="s">
        <v>22</v>
      </c>
      <c r="J6070" s="10">
        <v>64.5</v>
      </c>
      <c r="K6070" s="11">
        <v>8.33</v>
      </c>
      <c r="L6070" s="11">
        <v>1.99</v>
      </c>
      <c r="M6070" s="9" t="s">
        <v>1975</v>
      </c>
      <c r="N6070" s="6" t="s">
        <v>1905</v>
      </c>
      <c r="O6070" s="6" t="s">
        <v>673</v>
      </c>
      <c r="P6070" s="9" t="s">
        <v>33</v>
      </c>
      <c r="Q6070" s="9" t="s">
        <v>42</v>
      </c>
      <c r="R6070" s="9" t="s">
        <v>70</v>
      </c>
      <c r="S6070" s="7" t="s">
        <v>324</v>
      </c>
      <c r="T6070" s="9" t="s">
        <v>52</v>
      </c>
      <c r="U6070" s="7">
        <v>0.52</v>
      </c>
      <c r="V6070" s="12">
        <f>C6070+1</f>
        <v>40514</v>
      </c>
      <c r="W6070">
        <f>IF(D6070=' Pivot Tables'!$A$4,1,0)</f>
        <v>0</v>
      </c>
      <c r="X6070">
        <f>IF(AND(LEFT(D6070,4)+1=LEFT(' Pivot Tables'!$A$4,4)+0,RIGHT(LEFT(D6070,7),2)=RIGHT(LEFT(' Pivot Tables'!$A$4,7),2)),1,0)</f>
        <v>0</v>
      </c>
      <c r="Y6070" s="6">
        <f>1/COUNTIF(Таблица1[Order ID],Таблица1[[#This Row],[Order ID]])</f>
        <v>1</v>
      </c>
      <c r="Z6070" s="9">
        <f>1/COUNTIFS(Таблица1[Customer Name],Таблица1[[#This Row],[Customer Name]],Таблица1[Order-Year-Month],Таблица1[[#This Row],[Order-Year-Month]])</f>
        <v>0.25</v>
      </c>
    </row>
    <row r="6071" spans="1:26" x14ac:dyDescent="0.2">
      <c r="A6071" s="6">
        <v>7682</v>
      </c>
      <c r="B6071" s="7">
        <v>55045</v>
      </c>
      <c r="C6071" s="8">
        <f>DATE(2012,12,31)-1135</f>
        <v>40139</v>
      </c>
      <c r="D6071" s="8" t="str">
        <f t="shared" si="111"/>
        <v>2009-11 (ноябрь 2009)</v>
      </c>
      <c r="E6071" s="9" t="s">
        <v>30</v>
      </c>
      <c r="F6071" s="7">
        <v>20</v>
      </c>
      <c r="G6071" s="7">
        <v>632.04999999999995</v>
      </c>
      <c r="H6071" s="7">
        <v>0.09</v>
      </c>
      <c r="I6071" s="9" t="s">
        <v>22</v>
      </c>
      <c r="J6071" s="10">
        <v>-626.61</v>
      </c>
      <c r="K6071" s="11">
        <v>32.479999999999997</v>
      </c>
      <c r="L6071" s="11">
        <v>35</v>
      </c>
      <c r="M6071" s="9" t="s">
        <v>1970</v>
      </c>
      <c r="N6071" s="6" t="s">
        <v>1905</v>
      </c>
      <c r="O6071" s="6" t="s">
        <v>673</v>
      </c>
      <c r="P6071" s="9" t="s">
        <v>60</v>
      </c>
      <c r="Q6071" s="9" t="s">
        <v>26</v>
      </c>
      <c r="R6071" s="9" t="s">
        <v>27</v>
      </c>
      <c r="S6071" s="7" t="s">
        <v>483</v>
      </c>
      <c r="T6071" s="9" t="s">
        <v>29</v>
      </c>
      <c r="U6071" s="7">
        <v>0.81</v>
      </c>
      <c r="V6071" s="12">
        <f>C6071+0</f>
        <v>40139</v>
      </c>
      <c r="W6071">
        <f>IF(D6071=' Pivot Tables'!$A$4,1,0)</f>
        <v>0</v>
      </c>
      <c r="X6071">
        <f>IF(AND(LEFT(D6071,4)+1=LEFT(' Pivot Tables'!$A$4,4)+0,RIGHT(LEFT(D6071,7),2)=RIGHT(LEFT(' Pivot Tables'!$A$4,7),2)),1,0)</f>
        <v>0</v>
      </c>
      <c r="Y6071" s="6">
        <f>1/COUNTIF(Таблица1[Order ID],Таблица1[[#This Row],[Order ID]])</f>
        <v>1</v>
      </c>
      <c r="Z6071" s="9">
        <f>1/COUNTIFS(Таблица1[Customer Name],Таблица1[[#This Row],[Customer Name]],Таблица1[Order-Year-Month],Таблица1[[#This Row],[Order-Year-Month]])</f>
        <v>1</v>
      </c>
    </row>
    <row r="6072" spans="1:26" x14ac:dyDescent="0.2">
      <c r="A6072" s="6">
        <v>7704</v>
      </c>
      <c r="B6072" s="7">
        <v>55234</v>
      </c>
      <c r="C6072" s="8">
        <f>DATE(2012,12,31)-887</f>
        <v>40387</v>
      </c>
      <c r="D6072" s="8" t="str">
        <f t="shared" si="111"/>
        <v>2010-07 (июль 2010)</v>
      </c>
      <c r="E6072" s="9" t="s">
        <v>21</v>
      </c>
      <c r="F6072" s="7">
        <v>12</v>
      </c>
      <c r="G6072" s="7">
        <v>600.86</v>
      </c>
      <c r="H6072" s="7">
        <v>0.09</v>
      </c>
      <c r="I6072" s="9" t="s">
        <v>22</v>
      </c>
      <c r="J6072" s="10">
        <v>-82.67</v>
      </c>
      <c r="K6072" s="11">
        <v>53.98</v>
      </c>
      <c r="L6072" s="11">
        <v>5.5</v>
      </c>
      <c r="M6072" s="9" t="s">
        <v>1983</v>
      </c>
      <c r="N6072" s="6" t="s">
        <v>1905</v>
      </c>
      <c r="O6072" s="6" t="s">
        <v>673</v>
      </c>
      <c r="P6072" s="9" t="s">
        <v>41</v>
      </c>
      <c r="Q6072" s="9" t="s">
        <v>42</v>
      </c>
      <c r="R6072" s="9" t="s">
        <v>70</v>
      </c>
      <c r="S6072" s="7" t="s">
        <v>958</v>
      </c>
      <c r="T6072" s="9" t="s">
        <v>39</v>
      </c>
      <c r="U6072" s="7">
        <v>0.62</v>
      </c>
      <c r="V6072" s="12">
        <f>C6072+4</f>
        <v>40391</v>
      </c>
      <c r="W6072">
        <f>IF(D6072=' Pivot Tables'!$A$4,1,0)</f>
        <v>0</v>
      </c>
      <c r="X6072">
        <f>IF(AND(LEFT(D6072,4)+1=LEFT(' Pivot Tables'!$A$4,4)+0,RIGHT(LEFT(D6072,7),2)=RIGHT(LEFT(' Pivot Tables'!$A$4,7),2)),1,0)</f>
        <v>0</v>
      </c>
      <c r="Y6072" s="6">
        <f>1/COUNTIF(Таблица1[Order ID],Таблица1[[#This Row],[Order ID]])</f>
        <v>0.5</v>
      </c>
      <c r="Z6072" s="9">
        <f>1/COUNTIFS(Таблица1[Customer Name],Таблица1[[#This Row],[Customer Name]],Таблица1[Order-Year-Month],Таблица1[[#This Row],[Order-Year-Month]])</f>
        <v>0.5</v>
      </c>
    </row>
    <row r="6073" spans="1:26" x14ac:dyDescent="0.2">
      <c r="A6073" s="6">
        <v>7705</v>
      </c>
      <c r="B6073" s="7">
        <v>55234</v>
      </c>
      <c r="C6073" s="8">
        <f>DATE(2012,12,31)-887</f>
        <v>40387</v>
      </c>
      <c r="D6073" s="8" t="str">
        <f t="shared" si="111"/>
        <v>2010-07 (июль 2010)</v>
      </c>
      <c r="E6073" s="9" t="s">
        <v>21</v>
      </c>
      <c r="F6073" s="7">
        <v>5</v>
      </c>
      <c r="G6073" s="7">
        <v>17.059999999999999</v>
      </c>
      <c r="H6073" s="7">
        <v>0.03</v>
      </c>
      <c r="I6073" s="9" t="s">
        <v>22</v>
      </c>
      <c r="J6073" s="10">
        <v>-7.54</v>
      </c>
      <c r="K6073" s="11">
        <v>2.98</v>
      </c>
      <c r="L6073" s="11">
        <v>2.0299999999999998</v>
      </c>
      <c r="M6073" s="9" t="s">
        <v>1983</v>
      </c>
      <c r="N6073" s="6" t="s">
        <v>1905</v>
      </c>
      <c r="O6073" s="6" t="s">
        <v>673</v>
      </c>
      <c r="P6073" s="9" t="s">
        <v>41</v>
      </c>
      <c r="Q6073" s="9" t="s">
        <v>26</v>
      </c>
      <c r="R6073" s="9" t="s">
        <v>95</v>
      </c>
      <c r="S6073" s="7" t="s">
        <v>1764</v>
      </c>
      <c r="T6073" s="9" t="s">
        <v>68</v>
      </c>
      <c r="U6073" s="7">
        <v>0.56999999999999995</v>
      </c>
      <c r="V6073" s="12">
        <f>C6073+2</f>
        <v>40389</v>
      </c>
      <c r="W6073">
        <f>IF(D6073=' Pivot Tables'!$A$4,1,0)</f>
        <v>0</v>
      </c>
      <c r="X6073">
        <f>IF(AND(LEFT(D6073,4)+1=LEFT(' Pivot Tables'!$A$4,4)+0,RIGHT(LEFT(D6073,7),2)=RIGHT(LEFT(' Pivot Tables'!$A$4,7),2)),1,0)</f>
        <v>0</v>
      </c>
      <c r="Y6073" s="6">
        <f>1/COUNTIF(Таблица1[Order ID],Таблица1[[#This Row],[Order ID]])</f>
        <v>0.5</v>
      </c>
      <c r="Z6073" s="9">
        <f>1/COUNTIFS(Таблица1[Customer Name],Таблица1[[#This Row],[Customer Name]],Таблица1[Order-Year-Month],Таблица1[[#This Row],[Order-Year-Month]])</f>
        <v>0.5</v>
      </c>
    </row>
    <row r="6074" spans="1:26" x14ac:dyDescent="0.2">
      <c r="A6074" s="6">
        <v>7782</v>
      </c>
      <c r="B6074" s="7">
        <v>55683</v>
      </c>
      <c r="C6074" s="8">
        <f>DATE(2012,12,31)-169</f>
        <v>41105</v>
      </c>
      <c r="D6074" s="8" t="str">
        <f t="shared" si="111"/>
        <v>2012-07 (июль 2012)</v>
      </c>
      <c r="E6074" s="9" t="s">
        <v>30</v>
      </c>
      <c r="F6074" s="7">
        <v>23</v>
      </c>
      <c r="G6074" s="7">
        <v>1198.0999999999999</v>
      </c>
      <c r="H6074" s="7">
        <v>0.02</v>
      </c>
      <c r="I6074" s="9" t="s">
        <v>22</v>
      </c>
      <c r="J6074" s="10">
        <v>187.19</v>
      </c>
      <c r="K6074" s="11">
        <v>51.75</v>
      </c>
      <c r="L6074" s="11">
        <v>19.989999999999998</v>
      </c>
      <c r="M6074" s="9" t="s">
        <v>1867</v>
      </c>
      <c r="N6074" s="6" t="s">
        <v>1905</v>
      </c>
      <c r="O6074" s="6" t="s">
        <v>673</v>
      </c>
      <c r="P6074" s="9" t="s">
        <v>25</v>
      </c>
      <c r="Q6074" s="9" t="s">
        <v>49</v>
      </c>
      <c r="R6074" s="9" t="s">
        <v>50</v>
      </c>
      <c r="S6074" s="7" t="s">
        <v>293</v>
      </c>
      <c r="T6074" s="9" t="s">
        <v>39</v>
      </c>
      <c r="U6074" s="7">
        <v>0.55000000000000004</v>
      </c>
      <c r="V6074" s="12">
        <f>C6074+1</f>
        <v>41106</v>
      </c>
      <c r="W6074">
        <f>IF(D6074=' Pivot Tables'!$A$4,1,0)</f>
        <v>0</v>
      </c>
      <c r="X6074">
        <f>IF(AND(LEFT(D6074,4)+1=LEFT(' Pivot Tables'!$A$4,4)+0,RIGHT(LEFT(D6074,7),2)=RIGHT(LEFT(' Pivot Tables'!$A$4,7),2)),1,0)</f>
        <v>0</v>
      </c>
      <c r="Y6074" s="6">
        <f>1/COUNTIF(Таблица1[Order ID],Таблица1[[#This Row],[Order ID]])</f>
        <v>0.5</v>
      </c>
      <c r="Z6074" s="9">
        <f>1/COUNTIFS(Таблица1[Customer Name],Таблица1[[#This Row],[Customer Name]],Таблица1[Order-Year-Month],Таблица1[[#This Row],[Order-Year-Month]])</f>
        <v>0.33333333333333331</v>
      </c>
    </row>
    <row r="6075" spans="1:26" x14ac:dyDescent="0.2">
      <c r="A6075" s="6">
        <v>7817</v>
      </c>
      <c r="B6075" s="7">
        <v>55906</v>
      </c>
      <c r="C6075" s="8">
        <f>DATE(2012,12,31)-1131</f>
        <v>40143</v>
      </c>
      <c r="D6075" s="8" t="str">
        <f t="shared" si="111"/>
        <v>2009-11 (ноябрь 2009)</v>
      </c>
      <c r="E6075" s="9" t="s">
        <v>78</v>
      </c>
      <c r="F6075" s="7">
        <v>49</v>
      </c>
      <c r="G6075" s="7">
        <v>276.3</v>
      </c>
      <c r="H6075" s="7">
        <v>0.02</v>
      </c>
      <c r="I6075" s="9" t="s">
        <v>22</v>
      </c>
      <c r="J6075" s="10">
        <v>14.841000000000001</v>
      </c>
      <c r="K6075" s="11">
        <v>5.58</v>
      </c>
      <c r="L6075" s="11">
        <v>2.99</v>
      </c>
      <c r="M6075" s="9" t="s">
        <v>1975</v>
      </c>
      <c r="N6075" s="6" t="s">
        <v>1905</v>
      </c>
      <c r="O6075" s="6" t="s">
        <v>673</v>
      </c>
      <c r="P6075" s="9" t="s">
        <v>33</v>
      </c>
      <c r="Q6075" s="9" t="s">
        <v>26</v>
      </c>
      <c r="R6075" s="9" t="s">
        <v>37</v>
      </c>
      <c r="S6075" s="7" t="s">
        <v>1083</v>
      </c>
      <c r="T6075" s="9" t="s">
        <v>39</v>
      </c>
      <c r="U6075" s="7">
        <v>0.37</v>
      </c>
      <c r="V6075" s="12">
        <f>C6075+2</f>
        <v>40145</v>
      </c>
      <c r="W6075">
        <f>IF(D6075=' Pivot Tables'!$A$4,1,0)</f>
        <v>0</v>
      </c>
      <c r="X6075">
        <f>IF(AND(LEFT(D6075,4)+1=LEFT(' Pivot Tables'!$A$4,4)+0,RIGHT(LEFT(D6075,7),2)=RIGHT(LEFT(' Pivot Tables'!$A$4,7),2)),1,0)</f>
        <v>0</v>
      </c>
      <c r="Y6075" s="6">
        <f>1/COUNTIF(Таблица1[Order ID],Таблица1[[#This Row],[Order ID]])</f>
        <v>0.33333333333333331</v>
      </c>
      <c r="Z6075" s="9">
        <f>1/COUNTIFS(Таблица1[Customer Name],Таблица1[[#This Row],[Customer Name]],Таблица1[Order-Year-Month],Таблица1[[#This Row],[Order-Year-Month]])</f>
        <v>0.33333333333333331</v>
      </c>
    </row>
    <row r="6076" spans="1:26" x14ac:dyDescent="0.2">
      <c r="A6076" s="6">
        <v>7818</v>
      </c>
      <c r="B6076" s="7">
        <v>55906</v>
      </c>
      <c r="C6076" s="8">
        <f>DATE(2012,12,31)-1131</f>
        <v>40143</v>
      </c>
      <c r="D6076" s="8" t="str">
        <f t="shared" si="111"/>
        <v>2009-11 (ноябрь 2009)</v>
      </c>
      <c r="E6076" s="9" t="s">
        <v>78</v>
      </c>
      <c r="F6076" s="7">
        <v>15</v>
      </c>
      <c r="G6076" s="7">
        <v>120.52</v>
      </c>
      <c r="H6076" s="7">
        <v>0.06</v>
      </c>
      <c r="I6076" s="9" t="s">
        <v>22</v>
      </c>
      <c r="J6076" s="10">
        <v>43.92</v>
      </c>
      <c r="K6076" s="11">
        <v>7.98</v>
      </c>
      <c r="L6076" s="11">
        <v>1.25</v>
      </c>
      <c r="M6076" s="9" t="s">
        <v>1975</v>
      </c>
      <c r="N6076" s="6" t="s">
        <v>1905</v>
      </c>
      <c r="O6076" s="6" t="s">
        <v>673</v>
      </c>
      <c r="P6076" s="9" t="s">
        <v>33</v>
      </c>
      <c r="Q6076" s="9" t="s">
        <v>26</v>
      </c>
      <c r="R6076" s="9" t="s">
        <v>61</v>
      </c>
      <c r="S6076" s="7" t="s">
        <v>664</v>
      </c>
      <c r="T6076" s="9" t="s">
        <v>68</v>
      </c>
      <c r="U6076" s="7">
        <v>0.35</v>
      </c>
      <c r="V6076" s="12">
        <f>C6076+1</f>
        <v>40144</v>
      </c>
      <c r="W6076">
        <f>IF(D6076=' Pivot Tables'!$A$4,1,0)</f>
        <v>0</v>
      </c>
      <c r="X6076">
        <f>IF(AND(LEFT(D6076,4)+1=LEFT(' Pivot Tables'!$A$4,4)+0,RIGHT(LEFT(D6076,7),2)=RIGHT(LEFT(' Pivot Tables'!$A$4,7),2)),1,0)</f>
        <v>0</v>
      </c>
      <c r="Y6076" s="6">
        <f>1/COUNTIF(Таблица1[Order ID],Таблица1[[#This Row],[Order ID]])</f>
        <v>0.33333333333333331</v>
      </c>
      <c r="Z6076" s="9">
        <f>1/COUNTIFS(Таблица1[Customer Name],Таблица1[[#This Row],[Customer Name]],Таблица1[Order-Year-Month],Таблица1[[#This Row],[Order-Year-Month]])</f>
        <v>0.33333333333333331</v>
      </c>
    </row>
    <row r="6077" spans="1:26" x14ac:dyDescent="0.2">
      <c r="A6077" s="6">
        <v>7819</v>
      </c>
      <c r="B6077" s="7">
        <v>55906</v>
      </c>
      <c r="C6077" s="8">
        <f>DATE(2012,12,31)-1131</f>
        <v>40143</v>
      </c>
      <c r="D6077" s="8" t="str">
        <f t="shared" si="111"/>
        <v>2009-11 (ноябрь 2009)</v>
      </c>
      <c r="E6077" s="9" t="s">
        <v>78</v>
      </c>
      <c r="F6077" s="7">
        <v>42</v>
      </c>
      <c r="G6077" s="7">
        <v>2269.0100000000002</v>
      </c>
      <c r="H6077" s="7">
        <v>0.02</v>
      </c>
      <c r="I6077" s="9" t="s">
        <v>22</v>
      </c>
      <c r="J6077" s="10">
        <v>-19.37</v>
      </c>
      <c r="K6077" s="11">
        <v>54.1</v>
      </c>
      <c r="L6077" s="11">
        <v>19.989999999999998</v>
      </c>
      <c r="M6077" s="9" t="s">
        <v>1975</v>
      </c>
      <c r="N6077" s="6" t="s">
        <v>1905</v>
      </c>
      <c r="O6077" s="6" t="s">
        <v>673</v>
      </c>
      <c r="P6077" s="9" t="s">
        <v>33</v>
      </c>
      <c r="Q6077" s="9" t="s">
        <v>26</v>
      </c>
      <c r="R6077" s="9" t="s">
        <v>27</v>
      </c>
      <c r="S6077" s="7" t="s">
        <v>1981</v>
      </c>
      <c r="T6077" s="9" t="s">
        <v>39</v>
      </c>
      <c r="U6077" s="7">
        <v>0.59</v>
      </c>
      <c r="V6077" s="12">
        <f>C6077+1</f>
        <v>40144</v>
      </c>
      <c r="W6077">
        <f>IF(D6077=' Pivot Tables'!$A$4,1,0)</f>
        <v>0</v>
      </c>
      <c r="X6077">
        <f>IF(AND(LEFT(D6077,4)+1=LEFT(' Pivot Tables'!$A$4,4)+0,RIGHT(LEFT(D6077,7),2)=RIGHT(LEFT(' Pivot Tables'!$A$4,7),2)),1,0)</f>
        <v>0</v>
      </c>
      <c r="Y6077" s="6">
        <f>1/COUNTIF(Таблица1[Order ID],Таблица1[[#This Row],[Order ID]])</f>
        <v>0.33333333333333331</v>
      </c>
      <c r="Z6077" s="9">
        <f>1/COUNTIFS(Таблица1[Customer Name],Таблица1[[#This Row],[Customer Name]],Таблица1[Order-Year-Month],Таблица1[[#This Row],[Order-Year-Month]])</f>
        <v>0.33333333333333331</v>
      </c>
    </row>
    <row r="6078" spans="1:26" x14ac:dyDescent="0.2">
      <c r="A6078" s="6">
        <v>7838</v>
      </c>
      <c r="B6078" s="7">
        <v>56032</v>
      </c>
      <c r="C6078" s="8">
        <f>DATE(2012,12,31)-378</f>
        <v>40896</v>
      </c>
      <c r="D6078" s="8" t="str">
        <f t="shared" si="111"/>
        <v>2011-12 (декабрь 2011)</v>
      </c>
      <c r="E6078" s="9" t="s">
        <v>45</v>
      </c>
      <c r="F6078" s="7">
        <v>31</v>
      </c>
      <c r="G6078" s="7">
        <v>2893.31</v>
      </c>
      <c r="H6078" s="7">
        <v>0.1</v>
      </c>
      <c r="I6078" s="9" t="s">
        <v>22</v>
      </c>
      <c r="J6078" s="10">
        <v>937.64</v>
      </c>
      <c r="K6078" s="11">
        <v>96.45</v>
      </c>
      <c r="L6078" s="11">
        <v>13.99</v>
      </c>
      <c r="M6078" s="9" t="s">
        <v>1473</v>
      </c>
      <c r="N6078" s="6" t="s">
        <v>1905</v>
      </c>
      <c r="O6078" s="6" t="s">
        <v>673</v>
      </c>
      <c r="P6078" s="9" t="s">
        <v>41</v>
      </c>
      <c r="Q6078" s="9" t="s">
        <v>42</v>
      </c>
      <c r="R6078" s="9" t="s">
        <v>210</v>
      </c>
      <c r="S6078" s="7" t="s">
        <v>1840</v>
      </c>
      <c r="T6078" s="9" t="s">
        <v>48</v>
      </c>
      <c r="U6078" s="7">
        <v>0.38</v>
      </c>
      <c r="V6078" s="12">
        <f>C6078+0</f>
        <v>40896</v>
      </c>
      <c r="W6078">
        <f>IF(D6078=' Pivot Tables'!$A$4,1,0)</f>
        <v>0</v>
      </c>
      <c r="X6078">
        <f>IF(AND(LEFT(D6078,4)+1=LEFT(' Pivot Tables'!$A$4,4)+0,RIGHT(LEFT(D6078,7),2)=RIGHT(LEFT(' Pivot Tables'!$A$4,7),2)),1,0)</f>
        <v>0</v>
      </c>
      <c r="Y6078" s="6">
        <f>1/COUNTIF(Таблица1[Order ID],Таблица1[[#This Row],[Order ID]])</f>
        <v>0.5</v>
      </c>
      <c r="Z6078" s="9">
        <f>1/COUNTIFS(Таблица1[Customer Name],Таблица1[[#This Row],[Customer Name]],Таблица1[Order-Year-Month],Таблица1[[#This Row],[Order-Year-Month]])</f>
        <v>0.5</v>
      </c>
    </row>
    <row r="6079" spans="1:26" x14ac:dyDescent="0.2">
      <c r="A6079" s="6">
        <v>7839</v>
      </c>
      <c r="B6079" s="7">
        <v>56032</v>
      </c>
      <c r="C6079" s="8">
        <f>DATE(2012,12,31)-378</f>
        <v>40896</v>
      </c>
      <c r="D6079" s="8" t="str">
        <f t="shared" si="111"/>
        <v>2011-12 (декабрь 2011)</v>
      </c>
      <c r="E6079" s="9" t="s">
        <v>45</v>
      </c>
      <c r="F6079" s="7">
        <v>25</v>
      </c>
      <c r="G6079" s="7">
        <v>3923.27</v>
      </c>
      <c r="H6079" s="7">
        <v>0.03</v>
      </c>
      <c r="I6079" s="9" t="s">
        <v>31</v>
      </c>
      <c r="J6079" s="10">
        <v>-85.86</v>
      </c>
      <c r="K6079" s="11">
        <v>159.31</v>
      </c>
      <c r="L6079" s="11">
        <v>60</v>
      </c>
      <c r="M6079" s="9" t="s">
        <v>1473</v>
      </c>
      <c r="N6079" s="6" t="s">
        <v>1905</v>
      </c>
      <c r="O6079" s="6" t="s">
        <v>673</v>
      </c>
      <c r="P6079" s="9" t="s">
        <v>41</v>
      </c>
      <c r="Q6079" s="9" t="s">
        <v>49</v>
      </c>
      <c r="R6079" s="9" t="s">
        <v>83</v>
      </c>
      <c r="S6079" s="7" t="s">
        <v>956</v>
      </c>
      <c r="T6079" s="9" t="s">
        <v>36</v>
      </c>
      <c r="U6079" s="7">
        <v>0.55000000000000004</v>
      </c>
      <c r="V6079" s="12">
        <f>C6079+2</f>
        <v>40898</v>
      </c>
      <c r="W6079">
        <f>IF(D6079=' Pivot Tables'!$A$4,1,0)</f>
        <v>0</v>
      </c>
      <c r="X6079">
        <f>IF(AND(LEFT(D6079,4)+1=LEFT(' Pivot Tables'!$A$4,4)+0,RIGHT(LEFT(D6079,7),2)=RIGHT(LEFT(' Pivot Tables'!$A$4,7),2)),1,0)</f>
        <v>0</v>
      </c>
      <c r="Y6079" s="6">
        <f>1/COUNTIF(Таблица1[Order ID],Таблица1[[#This Row],[Order ID]])</f>
        <v>0.5</v>
      </c>
      <c r="Z6079" s="9">
        <f>1/COUNTIFS(Таблица1[Customer Name],Таблица1[[#This Row],[Customer Name]],Таблица1[Order-Year-Month],Таблица1[[#This Row],[Order-Year-Month]])</f>
        <v>0.5</v>
      </c>
    </row>
    <row r="6080" spans="1:26" x14ac:dyDescent="0.2">
      <c r="A6080" s="6">
        <v>7847</v>
      </c>
      <c r="B6080" s="7">
        <v>56103</v>
      </c>
      <c r="C6080" s="8">
        <f>DATE(2012,12,31)-736</f>
        <v>40538</v>
      </c>
      <c r="D6080" s="8" t="str">
        <f t="shared" si="111"/>
        <v>2010-12 (декабрь 2010)</v>
      </c>
      <c r="E6080" s="9" t="s">
        <v>30</v>
      </c>
      <c r="F6080" s="7">
        <v>24</v>
      </c>
      <c r="G6080" s="7">
        <v>2332.5954999999999</v>
      </c>
      <c r="H6080" s="7">
        <v>7.0000000000000007E-2</v>
      </c>
      <c r="I6080" s="9" t="s">
        <v>22</v>
      </c>
      <c r="J6080" s="10">
        <v>366.858</v>
      </c>
      <c r="K6080" s="11">
        <v>115.99</v>
      </c>
      <c r="L6080" s="11">
        <v>5.92</v>
      </c>
      <c r="M6080" s="9" t="s">
        <v>1975</v>
      </c>
      <c r="N6080" s="6" t="s">
        <v>1905</v>
      </c>
      <c r="O6080" s="6" t="s">
        <v>673</v>
      </c>
      <c r="P6080" s="9" t="s">
        <v>41</v>
      </c>
      <c r="Q6080" s="9" t="s">
        <v>42</v>
      </c>
      <c r="R6080" s="9" t="s">
        <v>43</v>
      </c>
      <c r="S6080" s="7" t="s">
        <v>977</v>
      </c>
      <c r="T6080" s="9" t="s">
        <v>39</v>
      </c>
      <c r="U6080" s="7">
        <v>0.57999999999999996</v>
      </c>
      <c r="V6080" s="12">
        <f>C6080+2</f>
        <v>40540</v>
      </c>
      <c r="W6080">
        <f>IF(D6080=' Pivot Tables'!$A$4,1,0)</f>
        <v>0</v>
      </c>
      <c r="X6080">
        <f>IF(AND(LEFT(D6080,4)+1=LEFT(' Pivot Tables'!$A$4,4)+0,RIGHT(LEFT(D6080,7),2)=RIGHT(LEFT(' Pivot Tables'!$A$4,7),2)),1,0)</f>
        <v>0</v>
      </c>
      <c r="Y6080" s="6">
        <f>1/COUNTIF(Таблица1[Order ID],Таблица1[[#This Row],[Order ID]])</f>
        <v>1</v>
      </c>
      <c r="Z6080" s="9">
        <f>1/COUNTIFS(Таблица1[Customer Name],Таблица1[[#This Row],[Customer Name]],Таблица1[Order-Year-Month],Таблица1[[#This Row],[Order-Year-Month]])</f>
        <v>0.25</v>
      </c>
    </row>
    <row r="6081" spans="1:26" x14ac:dyDescent="0.2">
      <c r="A6081" s="6">
        <v>19</v>
      </c>
      <c r="B6081" s="7">
        <v>130</v>
      </c>
      <c r="C6081" s="8">
        <f>DATE(2012,12,31)-238</f>
        <v>41036</v>
      </c>
      <c r="D6081" s="8" t="str">
        <f t="shared" si="111"/>
        <v>2012-05 (май 2012)</v>
      </c>
      <c r="E6081" s="9" t="s">
        <v>30</v>
      </c>
      <c r="F6081" s="7">
        <v>3</v>
      </c>
      <c r="G6081" s="7">
        <v>461.89</v>
      </c>
      <c r="H6081" s="7">
        <v>0.05</v>
      </c>
      <c r="I6081" s="9" t="s">
        <v>56</v>
      </c>
      <c r="J6081" s="10">
        <v>-309.82440000000003</v>
      </c>
      <c r="K6081" s="11">
        <v>150.97999999999999</v>
      </c>
      <c r="L6081" s="11">
        <v>13.99</v>
      </c>
      <c r="M6081" s="9" t="s">
        <v>1984</v>
      </c>
      <c r="N6081" s="6" t="s">
        <v>1905</v>
      </c>
      <c r="O6081" s="6" t="s">
        <v>673</v>
      </c>
      <c r="P6081" s="9" t="s">
        <v>41</v>
      </c>
      <c r="Q6081" s="9" t="s">
        <v>42</v>
      </c>
      <c r="R6081" s="9" t="s">
        <v>210</v>
      </c>
      <c r="S6081" s="7" t="s">
        <v>341</v>
      </c>
      <c r="T6081" s="9" t="s">
        <v>48</v>
      </c>
      <c r="U6081" s="7">
        <v>0.38</v>
      </c>
      <c r="V6081" s="12">
        <f>C6081+2</f>
        <v>41038</v>
      </c>
      <c r="W6081">
        <f>IF(D6081=' Pivot Tables'!$A$4,1,0)</f>
        <v>0</v>
      </c>
      <c r="X6081">
        <f>IF(AND(LEFT(D6081,4)+1=LEFT(' Pivot Tables'!$A$4,4)+0,RIGHT(LEFT(D6081,7),2)=RIGHT(LEFT(' Pivot Tables'!$A$4,7),2)),1,0)</f>
        <v>0</v>
      </c>
      <c r="Y6081" s="6">
        <f>1/COUNTIF(Таблица1[Order ID],Таблица1[[#This Row],[Order ID]])</f>
        <v>0.33333333333333331</v>
      </c>
      <c r="Z6081" s="9">
        <f>1/COUNTIFS(Таблица1[Customer Name],Таблица1[[#This Row],[Customer Name]],Таблица1[Order-Year-Month],Таблица1[[#This Row],[Order-Year-Month]])</f>
        <v>0.33333333333333331</v>
      </c>
    </row>
    <row r="6082" spans="1:26" x14ac:dyDescent="0.2">
      <c r="A6082" s="6">
        <v>20</v>
      </c>
      <c r="B6082" s="7">
        <v>130</v>
      </c>
      <c r="C6082" s="8">
        <f>DATE(2012,12,31)-238</f>
        <v>41036</v>
      </c>
      <c r="D6082" s="8" t="str">
        <f t="shared" si="111"/>
        <v>2012-05 (май 2012)</v>
      </c>
      <c r="E6082" s="9" t="s">
        <v>30</v>
      </c>
      <c r="F6082" s="7">
        <v>29</v>
      </c>
      <c r="G6082" s="7">
        <v>575.11</v>
      </c>
      <c r="H6082" s="7">
        <v>0.02</v>
      </c>
      <c r="I6082" s="9" t="s">
        <v>22</v>
      </c>
      <c r="J6082" s="10">
        <v>71.75</v>
      </c>
      <c r="K6082" s="11">
        <v>18.97</v>
      </c>
      <c r="L6082" s="11">
        <v>9.0299999999999994</v>
      </c>
      <c r="M6082" s="9" t="s">
        <v>1984</v>
      </c>
      <c r="N6082" s="6" t="s">
        <v>1905</v>
      </c>
      <c r="O6082" s="6" t="s">
        <v>673</v>
      </c>
      <c r="P6082" s="9" t="s">
        <v>41</v>
      </c>
      <c r="Q6082" s="9" t="s">
        <v>26</v>
      </c>
      <c r="R6082" s="9" t="s">
        <v>61</v>
      </c>
      <c r="S6082" s="7" t="s">
        <v>123</v>
      </c>
      <c r="T6082" s="9" t="s">
        <v>39</v>
      </c>
      <c r="U6082" s="7">
        <v>0.37</v>
      </c>
      <c r="V6082" s="12">
        <f>C6082+1</f>
        <v>41037</v>
      </c>
      <c r="W6082">
        <f>IF(D6082=' Pivot Tables'!$A$4,1,0)</f>
        <v>0</v>
      </c>
      <c r="X6082">
        <f>IF(AND(LEFT(D6082,4)+1=LEFT(' Pivot Tables'!$A$4,4)+0,RIGHT(LEFT(D6082,7),2)=RIGHT(LEFT(' Pivot Tables'!$A$4,7),2)),1,0)</f>
        <v>0</v>
      </c>
      <c r="Y6082" s="6">
        <f>1/COUNTIF(Таблица1[Order ID],Таблица1[[#This Row],[Order ID]])</f>
        <v>0.33333333333333331</v>
      </c>
      <c r="Z6082" s="9">
        <f>1/COUNTIFS(Таблица1[Customer Name],Таблица1[[#This Row],[Customer Name]],Таблица1[Order-Year-Month],Таблица1[[#This Row],[Order-Year-Month]])</f>
        <v>0.33333333333333331</v>
      </c>
    </row>
    <row r="6083" spans="1:26" x14ac:dyDescent="0.2">
      <c r="A6083" s="6">
        <v>21</v>
      </c>
      <c r="B6083" s="7">
        <v>130</v>
      </c>
      <c r="C6083" s="8">
        <f>DATE(2012,12,31)-238</f>
        <v>41036</v>
      </c>
      <c r="D6083" s="8" t="str">
        <f t="shared" ref="D6083:D6146" si="112">TEXT(C6083,"гггг-ММ (ММММ гггг)")</f>
        <v>2012-05 (май 2012)</v>
      </c>
      <c r="E6083" s="9" t="s">
        <v>30</v>
      </c>
      <c r="F6083" s="7">
        <v>23</v>
      </c>
      <c r="G6083" s="7">
        <v>236.46</v>
      </c>
      <c r="H6083" s="7">
        <v>0.05</v>
      </c>
      <c r="I6083" s="9" t="s">
        <v>22</v>
      </c>
      <c r="J6083" s="10">
        <v>-134.31</v>
      </c>
      <c r="K6083" s="11">
        <v>9.7100000000000009</v>
      </c>
      <c r="L6083" s="11">
        <v>9.4499999999999993</v>
      </c>
      <c r="M6083" s="9" t="s">
        <v>1984</v>
      </c>
      <c r="N6083" s="6" t="s">
        <v>1905</v>
      </c>
      <c r="O6083" s="6" t="s">
        <v>673</v>
      </c>
      <c r="P6083" s="9" t="s">
        <v>41</v>
      </c>
      <c r="Q6083" s="9" t="s">
        <v>26</v>
      </c>
      <c r="R6083" s="9" t="s">
        <v>27</v>
      </c>
      <c r="S6083" s="7" t="s">
        <v>927</v>
      </c>
      <c r="T6083" s="9" t="s">
        <v>39</v>
      </c>
      <c r="U6083" s="7">
        <v>0.6</v>
      </c>
      <c r="V6083" s="12">
        <f>C6083+3</f>
        <v>41039</v>
      </c>
      <c r="W6083">
        <f>IF(D6083=' Pivot Tables'!$A$4,1,0)</f>
        <v>0</v>
      </c>
      <c r="X6083">
        <f>IF(AND(LEFT(D6083,4)+1=LEFT(' Pivot Tables'!$A$4,4)+0,RIGHT(LEFT(D6083,7),2)=RIGHT(LEFT(' Pivot Tables'!$A$4,7),2)),1,0)</f>
        <v>0</v>
      </c>
      <c r="Y6083" s="6">
        <f>1/COUNTIF(Таблица1[Order ID],Таблица1[[#This Row],[Order ID]])</f>
        <v>0.33333333333333331</v>
      </c>
      <c r="Z6083" s="9">
        <f>1/COUNTIFS(Таблица1[Customer Name],Таблица1[[#This Row],[Customer Name]],Таблица1[Order-Year-Month],Таблица1[[#This Row],[Order-Year-Month]])</f>
        <v>0.33333333333333331</v>
      </c>
    </row>
    <row r="6084" spans="1:26" x14ac:dyDescent="0.2">
      <c r="A6084" s="6">
        <v>126</v>
      </c>
      <c r="B6084" s="7">
        <v>805</v>
      </c>
      <c r="C6084" s="8">
        <f>DATE(2012,12,31)-546</f>
        <v>40728</v>
      </c>
      <c r="D6084" s="8" t="str">
        <f t="shared" si="112"/>
        <v>2011-07 (июль 2011)</v>
      </c>
      <c r="E6084" s="9" t="s">
        <v>45</v>
      </c>
      <c r="F6084" s="7">
        <v>39</v>
      </c>
      <c r="G6084" s="7">
        <v>197.56</v>
      </c>
      <c r="H6084" s="7">
        <v>0.02</v>
      </c>
      <c r="I6084" s="9" t="s">
        <v>22</v>
      </c>
      <c r="J6084" s="10">
        <v>-119.86</v>
      </c>
      <c r="K6084" s="11">
        <v>4.97</v>
      </c>
      <c r="L6084" s="11">
        <v>5.71</v>
      </c>
      <c r="M6084" s="9" t="s">
        <v>1985</v>
      </c>
      <c r="N6084" s="6" t="s">
        <v>1905</v>
      </c>
      <c r="O6084" s="6" t="s">
        <v>673</v>
      </c>
      <c r="P6084" s="9" t="s">
        <v>25</v>
      </c>
      <c r="Q6084" s="9" t="s">
        <v>49</v>
      </c>
      <c r="R6084" s="9" t="s">
        <v>50</v>
      </c>
      <c r="S6084" s="7" t="s">
        <v>1634</v>
      </c>
      <c r="T6084" s="9" t="s">
        <v>48</v>
      </c>
      <c r="U6084" s="7">
        <v>0.54</v>
      </c>
      <c r="V6084" s="12">
        <f>C6084+2</f>
        <v>40730</v>
      </c>
      <c r="W6084">
        <f>IF(D6084=' Pivot Tables'!$A$4,1,0)</f>
        <v>0</v>
      </c>
      <c r="X6084">
        <f>IF(AND(LEFT(D6084,4)+1=LEFT(' Pivot Tables'!$A$4,4)+0,RIGHT(LEFT(D6084,7),2)=RIGHT(LEFT(' Pivot Tables'!$A$4,7),2)),1,0)</f>
        <v>0</v>
      </c>
      <c r="Y6084" s="6">
        <f>1/COUNTIF(Таблица1[Order ID],Таблица1[[#This Row],[Order ID]])</f>
        <v>1</v>
      </c>
      <c r="Z6084" s="9">
        <f>1/COUNTIFS(Таблица1[Customer Name],Таблица1[[#This Row],[Customer Name]],Таблица1[Order-Year-Month],Таблица1[[#This Row],[Order-Year-Month]])</f>
        <v>1</v>
      </c>
    </row>
    <row r="6085" spans="1:26" x14ac:dyDescent="0.2">
      <c r="A6085" s="6">
        <v>324</v>
      </c>
      <c r="B6085" s="7">
        <v>2240</v>
      </c>
      <c r="C6085" s="8">
        <f>DATE(2012,12,31)-301</f>
        <v>40973</v>
      </c>
      <c r="D6085" s="8" t="str">
        <f t="shared" si="112"/>
        <v>2012-03 (март 2012)</v>
      </c>
      <c r="E6085" s="9" t="s">
        <v>45</v>
      </c>
      <c r="F6085" s="7">
        <v>17</v>
      </c>
      <c r="G6085" s="7">
        <v>186.02</v>
      </c>
      <c r="H6085" s="7">
        <v>0.01</v>
      </c>
      <c r="I6085" s="9" t="s">
        <v>22</v>
      </c>
      <c r="J6085" s="10">
        <v>16.48</v>
      </c>
      <c r="K6085" s="11">
        <v>10.64</v>
      </c>
      <c r="L6085" s="11">
        <v>5.16</v>
      </c>
      <c r="M6085" s="9" t="s">
        <v>1699</v>
      </c>
      <c r="N6085" s="6" t="s">
        <v>1905</v>
      </c>
      <c r="O6085" s="6" t="s">
        <v>673</v>
      </c>
      <c r="P6085" s="9" t="s">
        <v>33</v>
      </c>
      <c r="Q6085" s="9" t="s">
        <v>49</v>
      </c>
      <c r="R6085" s="9" t="s">
        <v>50</v>
      </c>
      <c r="S6085" s="7" t="s">
        <v>593</v>
      </c>
      <c r="T6085" s="9" t="s">
        <v>39</v>
      </c>
      <c r="U6085" s="7">
        <v>0.56999999999999995</v>
      </c>
      <c r="V6085" s="12">
        <f>C6085+1</f>
        <v>40974</v>
      </c>
      <c r="W6085">
        <f>IF(D6085=' Pivot Tables'!$A$4,1,0)</f>
        <v>0</v>
      </c>
      <c r="X6085">
        <f>IF(AND(LEFT(D6085,4)+1=LEFT(' Pivot Tables'!$A$4,4)+0,RIGHT(LEFT(D6085,7),2)=RIGHT(LEFT(' Pivot Tables'!$A$4,7),2)),1,0)</f>
        <v>0</v>
      </c>
      <c r="Y6085" s="6">
        <f>1/COUNTIF(Таблица1[Order ID],Таблица1[[#This Row],[Order ID]])</f>
        <v>0.5</v>
      </c>
      <c r="Z6085" s="9">
        <f>1/COUNTIFS(Таблица1[Customer Name],Таблица1[[#This Row],[Customer Name]],Таблица1[Order-Year-Month],Таблица1[[#This Row],[Order-Year-Month]])</f>
        <v>0.5</v>
      </c>
    </row>
    <row r="6086" spans="1:26" x14ac:dyDescent="0.2">
      <c r="A6086" s="6">
        <v>325</v>
      </c>
      <c r="B6086" s="7">
        <v>2240</v>
      </c>
      <c r="C6086" s="8">
        <f>DATE(2012,12,31)-301</f>
        <v>40973</v>
      </c>
      <c r="D6086" s="8" t="str">
        <f t="shared" si="112"/>
        <v>2012-03 (март 2012)</v>
      </c>
      <c r="E6086" s="9" t="s">
        <v>45</v>
      </c>
      <c r="F6086" s="7">
        <v>5</v>
      </c>
      <c r="G6086" s="7">
        <v>142.44</v>
      </c>
      <c r="H6086" s="7">
        <v>0.06</v>
      </c>
      <c r="I6086" s="9" t="s">
        <v>22</v>
      </c>
      <c r="J6086" s="10">
        <v>-22.12</v>
      </c>
      <c r="K6086" s="11">
        <v>28.15</v>
      </c>
      <c r="L6086" s="11">
        <v>6.17</v>
      </c>
      <c r="M6086" s="9" t="s">
        <v>1699</v>
      </c>
      <c r="N6086" s="6" t="s">
        <v>1905</v>
      </c>
      <c r="O6086" s="6" t="s">
        <v>673</v>
      </c>
      <c r="P6086" s="9" t="s">
        <v>33</v>
      </c>
      <c r="Q6086" s="9" t="s">
        <v>26</v>
      </c>
      <c r="R6086" s="9" t="s">
        <v>95</v>
      </c>
      <c r="S6086" s="7" t="s">
        <v>1753</v>
      </c>
      <c r="T6086" s="9" t="s">
        <v>52</v>
      </c>
      <c r="U6086" s="7">
        <v>0.55000000000000004</v>
      </c>
      <c r="V6086" s="12">
        <f>C6086+1</f>
        <v>40974</v>
      </c>
      <c r="W6086">
        <f>IF(D6086=' Pivot Tables'!$A$4,1,0)</f>
        <v>0</v>
      </c>
      <c r="X6086">
        <f>IF(AND(LEFT(D6086,4)+1=LEFT(' Pivot Tables'!$A$4,4)+0,RIGHT(LEFT(D6086,7),2)=RIGHT(LEFT(' Pivot Tables'!$A$4,7),2)),1,0)</f>
        <v>0</v>
      </c>
      <c r="Y6086" s="6">
        <f>1/COUNTIF(Таблица1[Order ID],Таблица1[[#This Row],[Order ID]])</f>
        <v>0.5</v>
      </c>
      <c r="Z6086" s="9">
        <f>1/COUNTIFS(Таблица1[Customer Name],Таблица1[[#This Row],[Customer Name]],Таблица1[Order-Year-Month],Таблица1[[#This Row],[Order-Year-Month]])</f>
        <v>0.5</v>
      </c>
    </row>
    <row r="6087" spans="1:26" x14ac:dyDescent="0.2">
      <c r="A6087" s="6">
        <v>326</v>
      </c>
      <c r="B6087" s="7">
        <v>2241</v>
      </c>
      <c r="C6087" s="8">
        <f>DATE(2012,12,31)-966</f>
        <v>40308</v>
      </c>
      <c r="D6087" s="8" t="str">
        <f t="shared" si="112"/>
        <v>2010-05 (май 2010)</v>
      </c>
      <c r="E6087" s="9" t="s">
        <v>78</v>
      </c>
      <c r="F6087" s="7">
        <v>38</v>
      </c>
      <c r="G6087" s="7">
        <v>967.78</v>
      </c>
      <c r="H6087" s="7">
        <v>0.04</v>
      </c>
      <c r="I6087" s="9" t="s">
        <v>22</v>
      </c>
      <c r="J6087" s="10">
        <v>369.32499999999999</v>
      </c>
      <c r="K6087" s="11">
        <v>24.95</v>
      </c>
      <c r="L6087" s="11">
        <v>2.99</v>
      </c>
      <c r="M6087" s="9" t="s">
        <v>1699</v>
      </c>
      <c r="N6087" s="6" t="s">
        <v>1905</v>
      </c>
      <c r="O6087" s="6" t="s">
        <v>673</v>
      </c>
      <c r="P6087" s="9" t="s">
        <v>33</v>
      </c>
      <c r="Q6087" s="9" t="s">
        <v>26</v>
      </c>
      <c r="R6087" s="9" t="s">
        <v>37</v>
      </c>
      <c r="S6087" s="7" t="s">
        <v>1390</v>
      </c>
      <c r="T6087" s="9" t="s">
        <v>39</v>
      </c>
      <c r="U6087" s="7">
        <v>0.39</v>
      </c>
      <c r="V6087" s="12">
        <f>C6087+2</f>
        <v>40310</v>
      </c>
      <c r="W6087">
        <f>IF(D6087=' Pivot Tables'!$A$4,1,0)</f>
        <v>0</v>
      </c>
      <c r="X6087">
        <f>IF(AND(LEFT(D6087,4)+1=LEFT(' Pivot Tables'!$A$4,4)+0,RIGHT(LEFT(D6087,7),2)=RIGHT(LEFT(' Pivot Tables'!$A$4,7),2)),1,0)</f>
        <v>0</v>
      </c>
      <c r="Y6087" s="6">
        <f>1/COUNTIF(Таблица1[Order ID],Таблица1[[#This Row],[Order ID]])</f>
        <v>1</v>
      </c>
      <c r="Z6087" s="9">
        <f>1/COUNTIFS(Таблица1[Customer Name],Таблица1[[#This Row],[Customer Name]],Таблица1[Order-Year-Month],Таблица1[[#This Row],[Order-Year-Month]])</f>
        <v>1</v>
      </c>
    </row>
    <row r="6088" spans="1:26" x14ac:dyDescent="0.2">
      <c r="A6088" s="6">
        <v>667</v>
      </c>
      <c r="B6088" s="7">
        <v>4674</v>
      </c>
      <c r="C6088" s="8">
        <f>DATE(2012,12,31)-1353</f>
        <v>39921</v>
      </c>
      <c r="D6088" s="8" t="str">
        <f t="shared" si="112"/>
        <v>2009-04 (апрель 2009)</v>
      </c>
      <c r="E6088" s="9" t="s">
        <v>78</v>
      </c>
      <c r="F6088" s="7">
        <v>23</v>
      </c>
      <c r="G6088" s="7">
        <v>3041.33</v>
      </c>
      <c r="H6088" s="7">
        <v>0.02</v>
      </c>
      <c r="I6088" s="9" t="s">
        <v>31</v>
      </c>
      <c r="J6088" s="10">
        <v>-260.41000000000003</v>
      </c>
      <c r="K6088" s="11">
        <v>130.97999999999999</v>
      </c>
      <c r="L6088" s="11">
        <v>30</v>
      </c>
      <c r="M6088" s="9" t="s">
        <v>1986</v>
      </c>
      <c r="N6088" s="6" t="s">
        <v>1905</v>
      </c>
      <c r="O6088" s="6" t="s">
        <v>673</v>
      </c>
      <c r="P6088" s="9" t="s">
        <v>41</v>
      </c>
      <c r="Q6088" s="9" t="s">
        <v>49</v>
      </c>
      <c r="R6088" s="9" t="s">
        <v>112</v>
      </c>
      <c r="S6088" s="7" t="s">
        <v>265</v>
      </c>
      <c r="T6088" s="9" t="s">
        <v>36</v>
      </c>
      <c r="U6088" s="7">
        <v>0.78</v>
      </c>
      <c r="V6088" s="12">
        <f>C6088+1</f>
        <v>39922</v>
      </c>
      <c r="W6088">
        <f>IF(D6088=' Pivot Tables'!$A$4,1,0)</f>
        <v>0</v>
      </c>
      <c r="X6088">
        <f>IF(AND(LEFT(D6088,4)+1=LEFT(' Pivot Tables'!$A$4,4)+0,RIGHT(LEFT(D6088,7),2)=RIGHT(LEFT(' Pivot Tables'!$A$4,7),2)),1,0)</f>
        <v>0</v>
      </c>
      <c r="Y6088" s="6">
        <f>1/COUNTIF(Таблица1[Order ID],Таблица1[[#This Row],[Order ID]])</f>
        <v>1</v>
      </c>
      <c r="Z6088" s="9">
        <f>1/COUNTIFS(Таблица1[Customer Name],Таблица1[[#This Row],[Customer Name]],Таблица1[Order-Year-Month],Таблица1[[#This Row],[Order-Year-Month]])</f>
        <v>0.5</v>
      </c>
    </row>
    <row r="6089" spans="1:26" x14ac:dyDescent="0.2">
      <c r="A6089" s="6">
        <v>676</v>
      </c>
      <c r="B6089" s="7">
        <v>4737</v>
      </c>
      <c r="C6089" s="8">
        <f>DATE(2012,12,31)-1027</f>
        <v>40247</v>
      </c>
      <c r="D6089" s="8" t="str">
        <f t="shared" si="112"/>
        <v>2010-03 (март 2010)</v>
      </c>
      <c r="E6089" s="9" t="s">
        <v>45</v>
      </c>
      <c r="F6089" s="7">
        <v>49</v>
      </c>
      <c r="G6089" s="7">
        <v>314.20999999999998</v>
      </c>
      <c r="H6089" s="7">
        <v>0</v>
      </c>
      <c r="I6089" s="9" t="s">
        <v>22</v>
      </c>
      <c r="J6089" s="10">
        <v>49.77</v>
      </c>
      <c r="K6089" s="11">
        <v>5.88</v>
      </c>
      <c r="L6089" s="11">
        <v>3.04</v>
      </c>
      <c r="M6089" s="9" t="s">
        <v>1984</v>
      </c>
      <c r="N6089" s="6" t="s">
        <v>1905</v>
      </c>
      <c r="O6089" s="6" t="s">
        <v>673</v>
      </c>
      <c r="P6089" s="9" t="s">
        <v>41</v>
      </c>
      <c r="Q6089" s="9" t="s">
        <v>26</v>
      </c>
      <c r="R6089" s="9" t="s">
        <v>61</v>
      </c>
      <c r="S6089" s="7" t="s">
        <v>136</v>
      </c>
      <c r="T6089" s="9" t="s">
        <v>68</v>
      </c>
      <c r="U6089" s="7">
        <v>0.36</v>
      </c>
      <c r="V6089" s="12">
        <f>C6089+1</f>
        <v>40248</v>
      </c>
      <c r="W6089">
        <f>IF(D6089=' Pivot Tables'!$A$4,1,0)</f>
        <v>0</v>
      </c>
      <c r="X6089">
        <f>IF(AND(LEFT(D6089,4)+1=LEFT(' Pivot Tables'!$A$4,4)+0,RIGHT(LEFT(D6089,7),2)=RIGHT(LEFT(' Pivot Tables'!$A$4,7),2)),1,0)</f>
        <v>0</v>
      </c>
      <c r="Y6089" s="6">
        <f>1/COUNTIF(Таблица1[Order ID],Таблица1[[#This Row],[Order ID]])</f>
        <v>1</v>
      </c>
      <c r="Z6089" s="9">
        <f>1/COUNTIFS(Таблица1[Customer Name],Таблица1[[#This Row],[Customer Name]],Таблица1[Order-Year-Month],Таблица1[[#This Row],[Order-Year-Month]])</f>
        <v>1</v>
      </c>
    </row>
    <row r="6090" spans="1:26" x14ac:dyDescent="0.2">
      <c r="A6090" s="6">
        <v>727</v>
      </c>
      <c r="B6090" s="7">
        <v>5221</v>
      </c>
      <c r="C6090" s="8">
        <f>DATE(2012,12,31)-572</f>
        <v>40702</v>
      </c>
      <c r="D6090" s="8" t="str">
        <f t="shared" si="112"/>
        <v>2011-06 (июнь 2011)</v>
      </c>
      <c r="E6090" s="9" t="s">
        <v>45</v>
      </c>
      <c r="F6090" s="7">
        <v>48</v>
      </c>
      <c r="G6090" s="7">
        <v>1347.63</v>
      </c>
      <c r="H6090" s="7">
        <v>7.0000000000000007E-2</v>
      </c>
      <c r="I6090" s="9" t="s">
        <v>22</v>
      </c>
      <c r="J6090" s="10">
        <v>562.89</v>
      </c>
      <c r="K6090" s="11">
        <v>28.48</v>
      </c>
      <c r="L6090" s="11">
        <v>1.99</v>
      </c>
      <c r="M6090" s="9" t="s">
        <v>1987</v>
      </c>
      <c r="N6090" s="6" t="s">
        <v>1905</v>
      </c>
      <c r="O6090" s="6" t="s">
        <v>673</v>
      </c>
      <c r="P6090" s="9" t="s">
        <v>41</v>
      </c>
      <c r="Q6090" s="9" t="s">
        <v>42</v>
      </c>
      <c r="R6090" s="9" t="s">
        <v>70</v>
      </c>
      <c r="S6090" s="7" t="s">
        <v>523</v>
      </c>
      <c r="T6090" s="9" t="s">
        <v>52</v>
      </c>
      <c r="U6090" s="7">
        <v>0.4</v>
      </c>
      <c r="V6090" s="12">
        <f>C6090+2</f>
        <v>40704</v>
      </c>
      <c r="W6090">
        <f>IF(D6090=' Pivot Tables'!$A$4,1,0)</f>
        <v>0</v>
      </c>
      <c r="X6090">
        <f>IF(AND(LEFT(D6090,4)+1=LEFT(' Pivot Tables'!$A$4,4)+0,RIGHT(LEFT(D6090,7),2)=RIGHT(LEFT(' Pivot Tables'!$A$4,7),2)),1,0)</f>
        <v>0</v>
      </c>
      <c r="Y6090" s="6">
        <f>1/COUNTIF(Таблица1[Order ID],Таблица1[[#This Row],[Order ID]])</f>
        <v>1</v>
      </c>
      <c r="Z6090" s="9">
        <f>1/COUNTIFS(Таблица1[Customer Name],Таблица1[[#This Row],[Customer Name]],Таблица1[Order-Year-Month],Таблица1[[#This Row],[Order-Year-Month]])</f>
        <v>1</v>
      </c>
    </row>
    <row r="6091" spans="1:26" x14ac:dyDescent="0.2">
      <c r="A6091" s="6">
        <v>781</v>
      </c>
      <c r="B6091" s="7">
        <v>5568</v>
      </c>
      <c r="C6091" s="8">
        <f>DATE(2012,12,31)-574</f>
        <v>40700</v>
      </c>
      <c r="D6091" s="8" t="str">
        <f t="shared" si="112"/>
        <v>2011-06 (июнь 2011)</v>
      </c>
      <c r="E6091" s="9" t="s">
        <v>63</v>
      </c>
      <c r="F6091" s="7">
        <v>8</v>
      </c>
      <c r="G6091" s="7">
        <v>120.22</v>
      </c>
      <c r="H6091" s="7">
        <v>7.0000000000000007E-2</v>
      </c>
      <c r="I6091" s="9" t="s">
        <v>22</v>
      </c>
      <c r="J6091" s="10">
        <v>52.69</v>
      </c>
      <c r="K6091" s="11">
        <v>14.34</v>
      </c>
      <c r="L6091" s="11">
        <v>5</v>
      </c>
      <c r="M6091" s="9" t="s">
        <v>1988</v>
      </c>
      <c r="N6091" s="6" t="s">
        <v>1905</v>
      </c>
      <c r="O6091" s="6" t="s">
        <v>673</v>
      </c>
      <c r="P6091" s="9" t="s">
        <v>60</v>
      </c>
      <c r="Q6091" s="9" t="s">
        <v>49</v>
      </c>
      <c r="R6091" s="9" t="s">
        <v>50</v>
      </c>
      <c r="S6091" s="7" t="s">
        <v>706</v>
      </c>
      <c r="T6091" s="9" t="s">
        <v>52</v>
      </c>
      <c r="U6091" s="7">
        <v>0.49</v>
      </c>
      <c r="V6091" s="12">
        <f>C6091+1</f>
        <v>40701</v>
      </c>
      <c r="W6091">
        <f>IF(D6091=' Pivot Tables'!$A$4,1,0)</f>
        <v>0</v>
      </c>
      <c r="X6091">
        <f>IF(AND(LEFT(D6091,4)+1=LEFT(' Pivot Tables'!$A$4,4)+0,RIGHT(LEFT(D6091,7),2)=RIGHT(LEFT(' Pivot Tables'!$A$4,7),2)),1,0)</f>
        <v>0</v>
      </c>
      <c r="Y6091" s="6">
        <f>1/COUNTIF(Таблица1[Order ID],Таблица1[[#This Row],[Order ID]])</f>
        <v>1</v>
      </c>
      <c r="Z6091" s="9">
        <f>1/COUNTIFS(Таблица1[Customer Name],Таблица1[[#This Row],[Customer Name]],Таблица1[Order-Year-Month],Таблица1[[#This Row],[Order-Year-Month]])</f>
        <v>1</v>
      </c>
    </row>
    <row r="6092" spans="1:26" x14ac:dyDescent="0.2">
      <c r="A6092" s="6">
        <v>842</v>
      </c>
      <c r="B6092" s="7">
        <v>6020</v>
      </c>
      <c r="C6092" s="8">
        <f>DATE(2012,12,31)-1197</f>
        <v>40077</v>
      </c>
      <c r="D6092" s="8" t="str">
        <f t="shared" si="112"/>
        <v>2009-09 (сентябрь 2009)</v>
      </c>
      <c r="E6092" s="9" t="s">
        <v>63</v>
      </c>
      <c r="F6092" s="7">
        <v>23</v>
      </c>
      <c r="G6092" s="7">
        <v>66.09</v>
      </c>
      <c r="H6092" s="7">
        <v>0.09</v>
      </c>
      <c r="I6092" s="9" t="s">
        <v>22</v>
      </c>
      <c r="J6092" s="10">
        <v>13.71</v>
      </c>
      <c r="K6092" s="11">
        <v>2.88</v>
      </c>
      <c r="L6092" s="11">
        <v>0.99</v>
      </c>
      <c r="M6092" s="9" t="s">
        <v>1989</v>
      </c>
      <c r="N6092" s="6" t="s">
        <v>1905</v>
      </c>
      <c r="O6092" s="6" t="s">
        <v>673</v>
      </c>
      <c r="P6092" s="9" t="s">
        <v>41</v>
      </c>
      <c r="Q6092" s="9" t="s">
        <v>26</v>
      </c>
      <c r="R6092" s="9" t="s">
        <v>88</v>
      </c>
      <c r="S6092" s="7" t="s">
        <v>962</v>
      </c>
      <c r="T6092" s="9" t="s">
        <v>39</v>
      </c>
      <c r="U6092" s="7">
        <v>0.36</v>
      </c>
      <c r="V6092" s="12">
        <f>C6092+2</f>
        <v>40079</v>
      </c>
      <c r="W6092">
        <f>IF(D6092=' Pivot Tables'!$A$4,1,0)</f>
        <v>0</v>
      </c>
      <c r="X6092">
        <f>IF(AND(LEFT(D6092,4)+1=LEFT(' Pivot Tables'!$A$4,4)+0,RIGHT(LEFT(D6092,7),2)=RIGHT(LEFT(' Pivot Tables'!$A$4,7),2)),1,0)</f>
        <v>0</v>
      </c>
      <c r="Y6092" s="6">
        <f>1/COUNTIF(Таблица1[Order ID],Таблица1[[#This Row],[Order ID]])</f>
        <v>1</v>
      </c>
      <c r="Z6092" s="9">
        <f>1/COUNTIFS(Таблица1[Customer Name],Таблица1[[#This Row],[Customer Name]],Таблица1[Order-Year-Month],Таблица1[[#This Row],[Order-Year-Month]])</f>
        <v>1</v>
      </c>
    </row>
    <row r="6093" spans="1:26" x14ac:dyDescent="0.2">
      <c r="A6093" s="6">
        <v>849</v>
      </c>
      <c r="B6093" s="7">
        <v>6112</v>
      </c>
      <c r="C6093" s="8">
        <f>DATE(2012,12,31)-1226</f>
        <v>40048</v>
      </c>
      <c r="D6093" s="8" t="str">
        <f t="shared" si="112"/>
        <v>2009-08 (август 2009)</v>
      </c>
      <c r="E6093" s="9" t="s">
        <v>63</v>
      </c>
      <c r="F6093" s="7">
        <v>10</v>
      </c>
      <c r="G6093" s="7">
        <v>1597.37</v>
      </c>
      <c r="H6093" s="7">
        <v>0.02</v>
      </c>
      <c r="I6093" s="9" t="s">
        <v>31</v>
      </c>
      <c r="J6093" s="10">
        <v>-533.69000000000005</v>
      </c>
      <c r="K6093" s="11">
        <v>146.05000000000001</v>
      </c>
      <c r="L6093" s="11">
        <v>80.2</v>
      </c>
      <c r="M6093" s="9" t="s">
        <v>1989</v>
      </c>
      <c r="N6093" s="6" t="s">
        <v>1905</v>
      </c>
      <c r="O6093" s="6" t="s">
        <v>673</v>
      </c>
      <c r="P6093" s="9" t="s">
        <v>41</v>
      </c>
      <c r="Q6093" s="9" t="s">
        <v>49</v>
      </c>
      <c r="R6093" s="9" t="s">
        <v>83</v>
      </c>
      <c r="S6093" s="7" t="s">
        <v>1101</v>
      </c>
      <c r="T6093" s="9" t="s">
        <v>82</v>
      </c>
      <c r="U6093" s="7">
        <v>0.71</v>
      </c>
      <c r="V6093" s="12">
        <f>C6093+0</f>
        <v>40048</v>
      </c>
      <c r="W6093">
        <f>IF(D6093=' Pivot Tables'!$A$4,1,0)</f>
        <v>0</v>
      </c>
      <c r="X6093">
        <f>IF(AND(LEFT(D6093,4)+1=LEFT(' Pivot Tables'!$A$4,4)+0,RIGHT(LEFT(D6093,7),2)=RIGHT(LEFT(' Pivot Tables'!$A$4,7),2)),1,0)</f>
        <v>0</v>
      </c>
      <c r="Y6093" s="6">
        <f>1/COUNTIF(Таблица1[Order ID],Таблица1[[#This Row],[Order ID]])</f>
        <v>0.5</v>
      </c>
      <c r="Z6093" s="9">
        <f>1/COUNTIFS(Таблица1[Customer Name],Таблица1[[#This Row],[Customer Name]],Таблица1[Order-Year-Month],Таблица1[[#This Row],[Order-Year-Month]])</f>
        <v>0.5</v>
      </c>
    </row>
    <row r="6094" spans="1:26" x14ac:dyDescent="0.2">
      <c r="A6094" s="6">
        <v>850</v>
      </c>
      <c r="B6094" s="7">
        <v>6112</v>
      </c>
      <c r="C6094" s="8">
        <f>DATE(2012,12,31)-1226</f>
        <v>40048</v>
      </c>
      <c r="D6094" s="8" t="str">
        <f t="shared" si="112"/>
        <v>2009-08 (август 2009)</v>
      </c>
      <c r="E6094" s="9" t="s">
        <v>63</v>
      </c>
      <c r="F6094" s="7">
        <v>31</v>
      </c>
      <c r="G6094" s="7">
        <v>1753.9579999999999</v>
      </c>
      <c r="H6094" s="7">
        <v>0.06</v>
      </c>
      <c r="I6094" s="9" t="s">
        <v>22</v>
      </c>
      <c r="J6094" s="10">
        <v>382.392</v>
      </c>
      <c r="K6094" s="11">
        <v>65.989999999999995</v>
      </c>
      <c r="L6094" s="11">
        <v>5.92</v>
      </c>
      <c r="M6094" s="9" t="s">
        <v>1989</v>
      </c>
      <c r="N6094" s="6" t="s">
        <v>1905</v>
      </c>
      <c r="O6094" s="6" t="s">
        <v>673</v>
      </c>
      <c r="P6094" s="9" t="s">
        <v>41</v>
      </c>
      <c r="Q6094" s="9" t="s">
        <v>42</v>
      </c>
      <c r="R6094" s="9" t="s">
        <v>43</v>
      </c>
      <c r="S6094" s="7" t="s">
        <v>359</v>
      </c>
      <c r="T6094" s="9" t="s">
        <v>39</v>
      </c>
      <c r="U6094" s="7">
        <v>0.55000000000000004</v>
      </c>
      <c r="V6094" s="12">
        <f>C6094+1</f>
        <v>40049</v>
      </c>
      <c r="W6094">
        <f>IF(D6094=' Pivot Tables'!$A$4,1,0)</f>
        <v>0</v>
      </c>
      <c r="X6094">
        <f>IF(AND(LEFT(D6094,4)+1=LEFT(' Pivot Tables'!$A$4,4)+0,RIGHT(LEFT(D6094,7),2)=RIGHT(LEFT(' Pivot Tables'!$A$4,7),2)),1,0)</f>
        <v>0</v>
      </c>
      <c r="Y6094" s="6">
        <f>1/COUNTIF(Таблица1[Order ID],Таблица1[[#This Row],[Order ID]])</f>
        <v>0.5</v>
      </c>
      <c r="Z6094" s="9">
        <f>1/COUNTIFS(Таблица1[Customer Name],Таблица1[[#This Row],[Customer Name]],Таблица1[Order-Year-Month],Таблица1[[#This Row],[Order-Year-Month]])</f>
        <v>0.5</v>
      </c>
    </row>
    <row r="6095" spans="1:26" x14ac:dyDescent="0.2">
      <c r="A6095" s="6">
        <v>871</v>
      </c>
      <c r="B6095" s="7">
        <v>6272</v>
      </c>
      <c r="C6095" s="8">
        <f>DATE(2012,12,31)-1038</f>
        <v>40236</v>
      </c>
      <c r="D6095" s="8" t="str">
        <f t="shared" si="112"/>
        <v>2010-02 (февраль 2010)</v>
      </c>
      <c r="E6095" s="9" t="s">
        <v>30</v>
      </c>
      <c r="F6095" s="7">
        <v>33</v>
      </c>
      <c r="G6095" s="7">
        <v>497.4</v>
      </c>
      <c r="H6095" s="7">
        <v>0.05</v>
      </c>
      <c r="I6095" s="9" t="s">
        <v>22</v>
      </c>
      <c r="J6095" s="10">
        <v>37.9</v>
      </c>
      <c r="K6095" s="11">
        <v>14.98</v>
      </c>
      <c r="L6095" s="11">
        <v>8.99</v>
      </c>
      <c r="M6095" s="9" t="s">
        <v>1988</v>
      </c>
      <c r="N6095" s="6" t="s">
        <v>1905</v>
      </c>
      <c r="O6095" s="6" t="s">
        <v>673</v>
      </c>
      <c r="P6095" s="9" t="s">
        <v>41</v>
      </c>
      <c r="Q6095" s="9" t="s">
        <v>49</v>
      </c>
      <c r="R6095" s="9" t="s">
        <v>50</v>
      </c>
      <c r="S6095" s="7" t="s">
        <v>332</v>
      </c>
      <c r="T6095" s="9" t="s">
        <v>52</v>
      </c>
      <c r="U6095" s="7">
        <v>0.39</v>
      </c>
      <c r="V6095" s="12">
        <f t="shared" ref="V6095:V6103" si="113">C6095+2</f>
        <v>40238</v>
      </c>
      <c r="W6095">
        <f>IF(D6095=' Pivot Tables'!$A$4,1,0)</f>
        <v>0</v>
      </c>
      <c r="X6095">
        <f>IF(AND(LEFT(D6095,4)+1=LEFT(' Pivot Tables'!$A$4,4)+0,RIGHT(LEFT(D6095,7),2)=RIGHT(LEFT(' Pivot Tables'!$A$4,7),2)),1,0)</f>
        <v>0</v>
      </c>
      <c r="Y6095" s="6">
        <f>1/COUNTIF(Таблица1[Order ID],Таблица1[[#This Row],[Order ID]])</f>
        <v>0.25</v>
      </c>
      <c r="Z6095" s="9">
        <f>1/COUNTIFS(Таблица1[Customer Name],Таблица1[[#This Row],[Customer Name]],Таблица1[Order-Year-Month],Таблица1[[#This Row],[Order-Year-Month]])</f>
        <v>0.25</v>
      </c>
    </row>
    <row r="6096" spans="1:26" x14ac:dyDescent="0.2">
      <c r="A6096" s="6">
        <v>872</v>
      </c>
      <c r="B6096" s="7">
        <v>6272</v>
      </c>
      <c r="C6096" s="8">
        <f>DATE(2012,12,31)-1038</f>
        <v>40236</v>
      </c>
      <c r="D6096" s="8" t="str">
        <f t="shared" si="112"/>
        <v>2010-02 (февраль 2010)</v>
      </c>
      <c r="E6096" s="9" t="s">
        <v>30</v>
      </c>
      <c r="F6096" s="7">
        <v>48</v>
      </c>
      <c r="G6096" s="7">
        <v>4965.384</v>
      </c>
      <c r="H6096" s="7">
        <v>0</v>
      </c>
      <c r="I6096" s="9" t="s">
        <v>31</v>
      </c>
      <c r="J6096" s="10">
        <v>-175.46</v>
      </c>
      <c r="K6096" s="11">
        <v>124.49</v>
      </c>
      <c r="L6096" s="11">
        <v>51.94</v>
      </c>
      <c r="M6096" s="9" t="s">
        <v>1988</v>
      </c>
      <c r="N6096" s="6" t="s">
        <v>1905</v>
      </c>
      <c r="O6096" s="6" t="s">
        <v>673</v>
      </c>
      <c r="P6096" s="9" t="s">
        <v>41</v>
      </c>
      <c r="Q6096" s="9" t="s">
        <v>49</v>
      </c>
      <c r="R6096" s="9" t="s">
        <v>83</v>
      </c>
      <c r="S6096" s="7" t="s">
        <v>432</v>
      </c>
      <c r="T6096" s="9" t="s">
        <v>82</v>
      </c>
      <c r="U6096" s="7">
        <v>0.63</v>
      </c>
      <c r="V6096" s="12">
        <f t="shared" si="113"/>
        <v>40238</v>
      </c>
      <c r="W6096">
        <f>IF(D6096=' Pivot Tables'!$A$4,1,0)</f>
        <v>0</v>
      </c>
      <c r="X6096">
        <f>IF(AND(LEFT(D6096,4)+1=LEFT(' Pivot Tables'!$A$4,4)+0,RIGHT(LEFT(D6096,7),2)=RIGHT(LEFT(' Pivot Tables'!$A$4,7),2)),1,0)</f>
        <v>0</v>
      </c>
      <c r="Y6096" s="6">
        <f>1/COUNTIF(Таблица1[Order ID],Таблица1[[#This Row],[Order ID]])</f>
        <v>0.25</v>
      </c>
      <c r="Z6096" s="9">
        <f>1/COUNTIFS(Таблица1[Customer Name],Таблица1[[#This Row],[Customer Name]],Таблица1[Order-Year-Month],Таблица1[[#This Row],[Order-Year-Month]])</f>
        <v>0.25</v>
      </c>
    </row>
    <row r="6097" spans="1:26" x14ac:dyDescent="0.2">
      <c r="A6097" s="6">
        <v>873</v>
      </c>
      <c r="B6097" s="7">
        <v>6272</v>
      </c>
      <c r="C6097" s="8">
        <f>DATE(2012,12,31)-1038</f>
        <v>40236</v>
      </c>
      <c r="D6097" s="8" t="str">
        <f t="shared" si="112"/>
        <v>2010-02 (февраль 2010)</v>
      </c>
      <c r="E6097" s="9" t="s">
        <v>30</v>
      </c>
      <c r="F6097" s="7">
        <v>8</v>
      </c>
      <c r="G6097" s="7">
        <v>358.41950000000003</v>
      </c>
      <c r="H6097" s="7">
        <v>0.09</v>
      </c>
      <c r="I6097" s="9" t="s">
        <v>56</v>
      </c>
      <c r="J6097" s="10">
        <v>-275.05500000000001</v>
      </c>
      <c r="K6097" s="11">
        <v>55.99</v>
      </c>
      <c r="L6097" s="11">
        <v>2.5</v>
      </c>
      <c r="M6097" s="9" t="s">
        <v>1988</v>
      </c>
      <c r="N6097" s="6" t="s">
        <v>1905</v>
      </c>
      <c r="O6097" s="6" t="s">
        <v>673</v>
      </c>
      <c r="P6097" s="9" t="s">
        <v>41</v>
      </c>
      <c r="Q6097" s="9" t="s">
        <v>42</v>
      </c>
      <c r="R6097" s="9" t="s">
        <v>43</v>
      </c>
      <c r="S6097" s="7" t="s">
        <v>1323</v>
      </c>
      <c r="T6097" s="9" t="s">
        <v>52</v>
      </c>
      <c r="U6097" s="7">
        <v>0.83</v>
      </c>
      <c r="V6097" s="12">
        <f t="shared" si="113"/>
        <v>40238</v>
      </c>
      <c r="W6097">
        <f>IF(D6097=' Pivot Tables'!$A$4,1,0)</f>
        <v>0</v>
      </c>
      <c r="X6097">
        <f>IF(AND(LEFT(D6097,4)+1=LEFT(' Pivot Tables'!$A$4,4)+0,RIGHT(LEFT(D6097,7),2)=RIGHT(LEFT(' Pivot Tables'!$A$4,7),2)),1,0)</f>
        <v>0</v>
      </c>
      <c r="Y6097" s="6">
        <f>1/COUNTIF(Таблица1[Order ID],Таблица1[[#This Row],[Order ID]])</f>
        <v>0.25</v>
      </c>
      <c r="Z6097" s="9">
        <f>1/COUNTIFS(Таблица1[Customer Name],Таблица1[[#This Row],[Customer Name]],Таблица1[Order-Year-Month],Таблица1[[#This Row],[Order-Year-Month]])</f>
        <v>0.25</v>
      </c>
    </row>
    <row r="6098" spans="1:26" x14ac:dyDescent="0.2">
      <c r="A6098" s="6">
        <v>874</v>
      </c>
      <c r="B6098" s="7">
        <v>6272</v>
      </c>
      <c r="C6098" s="8">
        <f>DATE(2012,12,31)-1038</f>
        <v>40236</v>
      </c>
      <c r="D6098" s="8" t="str">
        <f t="shared" si="112"/>
        <v>2010-02 (февраль 2010)</v>
      </c>
      <c r="E6098" s="9" t="s">
        <v>30</v>
      </c>
      <c r="F6098" s="7">
        <v>31</v>
      </c>
      <c r="G6098" s="7">
        <v>3232.68</v>
      </c>
      <c r="H6098" s="7">
        <v>0.03</v>
      </c>
      <c r="I6098" s="9" t="s">
        <v>22</v>
      </c>
      <c r="J6098" s="10">
        <v>875.45</v>
      </c>
      <c r="K6098" s="11">
        <v>105.98</v>
      </c>
      <c r="L6098" s="11">
        <v>13.99</v>
      </c>
      <c r="M6098" s="9" t="s">
        <v>1988</v>
      </c>
      <c r="N6098" s="6" t="s">
        <v>1905</v>
      </c>
      <c r="O6098" s="6" t="s">
        <v>673</v>
      </c>
      <c r="P6098" s="9" t="s">
        <v>41</v>
      </c>
      <c r="Q6098" s="9" t="s">
        <v>49</v>
      </c>
      <c r="R6098" s="9" t="s">
        <v>50</v>
      </c>
      <c r="S6098" s="7" t="s">
        <v>242</v>
      </c>
      <c r="T6098" s="9" t="s">
        <v>48</v>
      </c>
      <c r="U6098" s="7">
        <v>0.65</v>
      </c>
      <c r="V6098" s="12">
        <f t="shared" si="113"/>
        <v>40238</v>
      </c>
      <c r="W6098">
        <f>IF(D6098=' Pivot Tables'!$A$4,1,0)</f>
        <v>0</v>
      </c>
      <c r="X6098">
        <f>IF(AND(LEFT(D6098,4)+1=LEFT(' Pivot Tables'!$A$4,4)+0,RIGHT(LEFT(D6098,7),2)=RIGHT(LEFT(' Pivot Tables'!$A$4,7),2)),1,0)</f>
        <v>0</v>
      </c>
      <c r="Y6098" s="6">
        <f>1/COUNTIF(Таблица1[Order ID],Таблица1[[#This Row],[Order ID]])</f>
        <v>0.25</v>
      </c>
      <c r="Z6098" s="9">
        <f>1/COUNTIFS(Таблица1[Customer Name],Таблица1[[#This Row],[Customer Name]],Таблица1[Order-Year-Month],Таблица1[[#This Row],[Order-Year-Month]])</f>
        <v>0.25</v>
      </c>
    </row>
    <row r="6099" spans="1:26" x14ac:dyDescent="0.2">
      <c r="A6099" s="6">
        <v>904</v>
      </c>
      <c r="B6099" s="7">
        <v>6501</v>
      </c>
      <c r="C6099" s="8">
        <f>DATE(2012,12,31)-353</f>
        <v>40921</v>
      </c>
      <c r="D6099" s="8" t="str">
        <f t="shared" si="112"/>
        <v>2012-01 (январь 2012)</v>
      </c>
      <c r="E6099" s="9" t="s">
        <v>30</v>
      </c>
      <c r="F6099" s="7">
        <v>35</v>
      </c>
      <c r="G6099" s="7">
        <v>236.99</v>
      </c>
      <c r="H6099" s="7">
        <v>0.06</v>
      </c>
      <c r="I6099" s="9" t="s">
        <v>22</v>
      </c>
      <c r="J6099" s="10">
        <v>-95.79</v>
      </c>
      <c r="K6099" s="11">
        <v>6.48</v>
      </c>
      <c r="L6099" s="11">
        <v>6.74</v>
      </c>
      <c r="M6099" s="9" t="s">
        <v>1989</v>
      </c>
      <c r="N6099" s="6" t="s">
        <v>1905</v>
      </c>
      <c r="O6099" s="6" t="s">
        <v>673</v>
      </c>
      <c r="P6099" s="9" t="s">
        <v>41</v>
      </c>
      <c r="Q6099" s="9" t="s">
        <v>26</v>
      </c>
      <c r="R6099" s="9" t="s">
        <v>61</v>
      </c>
      <c r="S6099" s="7" t="s">
        <v>1761</v>
      </c>
      <c r="T6099" s="9" t="s">
        <v>39</v>
      </c>
      <c r="U6099" s="7">
        <v>0.37</v>
      </c>
      <c r="V6099" s="12">
        <f t="shared" si="113"/>
        <v>40923</v>
      </c>
      <c r="W6099">
        <f>IF(D6099=' Pivot Tables'!$A$4,1,0)</f>
        <v>0</v>
      </c>
      <c r="X6099">
        <f>IF(AND(LEFT(D6099,4)+1=LEFT(' Pivot Tables'!$A$4,4)+0,RIGHT(LEFT(D6099,7),2)=RIGHT(LEFT(' Pivot Tables'!$A$4,7),2)),1,0)</f>
        <v>0</v>
      </c>
      <c r="Y6099" s="6">
        <f>1/COUNTIF(Таблица1[Order ID],Таблица1[[#This Row],[Order ID]])</f>
        <v>0.5</v>
      </c>
      <c r="Z6099" s="9">
        <f>1/COUNTIFS(Таблица1[Customer Name],Таблица1[[#This Row],[Customer Name]],Таблица1[Order-Year-Month],Таблица1[[#This Row],[Order-Year-Month]])</f>
        <v>0.5</v>
      </c>
    </row>
    <row r="6100" spans="1:26" x14ac:dyDescent="0.2">
      <c r="A6100" s="6">
        <v>905</v>
      </c>
      <c r="B6100" s="7">
        <v>6501</v>
      </c>
      <c r="C6100" s="8">
        <f>DATE(2012,12,31)-353</f>
        <v>40921</v>
      </c>
      <c r="D6100" s="8" t="str">
        <f t="shared" si="112"/>
        <v>2012-01 (январь 2012)</v>
      </c>
      <c r="E6100" s="9" t="s">
        <v>30</v>
      </c>
      <c r="F6100" s="7">
        <v>46</v>
      </c>
      <c r="G6100" s="7">
        <v>4617.3359999999993</v>
      </c>
      <c r="H6100" s="7">
        <v>0.09</v>
      </c>
      <c r="I6100" s="9" t="s">
        <v>22</v>
      </c>
      <c r="J6100" s="10">
        <v>978.35399999999993</v>
      </c>
      <c r="K6100" s="11">
        <v>125.99</v>
      </c>
      <c r="L6100" s="11">
        <v>7.69</v>
      </c>
      <c r="M6100" s="9" t="s">
        <v>1989</v>
      </c>
      <c r="N6100" s="6" t="s">
        <v>1905</v>
      </c>
      <c r="O6100" s="6" t="s">
        <v>673</v>
      </c>
      <c r="P6100" s="9" t="s">
        <v>41</v>
      </c>
      <c r="Q6100" s="9" t="s">
        <v>42</v>
      </c>
      <c r="R6100" s="9" t="s">
        <v>43</v>
      </c>
      <c r="S6100" s="7" t="s">
        <v>129</v>
      </c>
      <c r="T6100" s="9" t="s">
        <v>39</v>
      </c>
      <c r="U6100" s="7">
        <v>0.57999999999999996</v>
      </c>
      <c r="V6100" s="12">
        <f t="shared" si="113"/>
        <v>40923</v>
      </c>
      <c r="W6100">
        <f>IF(D6100=' Pivot Tables'!$A$4,1,0)</f>
        <v>0</v>
      </c>
      <c r="X6100">
        <f>IF(AND(LEFT(D6100,4)+1=LEFT(' Pivot Tables'!$A$4,4)+0,RIGHT(LEFT(D6100,7),2)=RIGHT(LEFT(' Pivot Tables'!$A$4,7),2)),1,0)</f>
        <v>0</v>
      </c>
      <c r="Y6100" s="6">
        <f>1/COUNTIF(Таблица1[Order ID],Таблица1[[#This Row],[Order ID]])</f>
        <v>0.5</v>
      </c>
      <c r="Z6100" s="9">
        <f>1/COUNTIFS(Таблица1[Customer Name],Таблица1[[#This Row],[Customer Name]],Таблица1[Order-Year-Month],Таблица1[[#This Row],[Order-Year-Month]])</f>
        <v>0.5</v>
      </c>
    </row>
    <row r="6101" spans="1:26" x14ac:dyDescent="0.2">
      <c r="A6101" s="6">
        <v>908</v>
      </c>
      <c r="B6101" s="7">
        <v>6529</v>
      </c>
      <c r="C6101" s="8">
        <f>DATE(2012,12,31)-35</f>
        <v>41239</v>
      </c>
      <c r="D6101" s="8" t="str">
        <f t="shared" si="112"/>
        <v>2012-11 (ноябрь 2012)</v>
      </c>
      <c r="E6101" s="9" t="s">
        <v>63</v>
      </c>
      <c r="F6101" s="7">
        <v>35</v>
      </c>
      <c r="G6101" s="7">
        <v>89.71</v>
      </c>
      <c r="H6101" s="7">
        <v>0.04</v>
      </c>
      <c r="I6101" s="9" t="s">
        <v>22</v>
      </c>
      <c r="J6101" s="10">
        <v>20.71</v>
      </c>
      <c r="K6101" s="11">
        <v>2.62</v>
      </c>
      <c r="L6101" s="11">
        <v>0.8</v>
      </c>
      <c r="M6101" s="9" t="s">
        <v>1337</v>
      </c>
      <c r="N6101" s="6" t="s">
        <v>1905</v>
      </c>
      <c r="O6101" s="6" t="s">
        <v>673</v>
      </c>
      <c r="P6101" s="9" t="s">
        <v>25</v>
      </c>
      <c r="Q6101" s="9" t="s">
        <v>26</v>
      </c>
      <c r="R6101" s="9" t="s">
        <v>66</v>
      </c>
      <c r="S6101" s="7" t="s">
        <v>861</v>
      </c>
      <c r="T6101" s="9" t="s">
        <v>68</v>
      </c>
      <c r="U6101" s="7">
        <v>0.39</v>
      </c>
      <c r="V6101" s="12">
        <f t="shared" si="113"/>
        <v>41241</v>
      </c>
      <c r="W6101">
        <f>IF(D6101=' Pivot Tables'!$A$4,1,0)</f>
        <v>0</v>
      </c>
      <c r="X6101">
        <f>IF(AND(LEFT(D6101,4)+1=LEFT(' Pivot Tables'!$A$4,4)+0,RIGHT(LEFT(D6101,7),2)=RIGHT(LEFT(' Pivot Tables'!$A$4,7),2)),1,0)</f>
        <v>0</v>
      </c>
      <c r="Y6101" s="6">
        <f>1/COUNTIF(Таблица1[Order ID],Таблица1[[#This Row],[Order ID]])</f>
        <v>1</v>
      </c>
      <c r="Z6101" s="9">
        <f>1/COUNTIFS(Таблица1[Customer Name],Таблица1[[#This Row],[Customer Name]],Таблица1[Order-Year-Month],Таблица1[[#This Row],[Order-Year-Month]])</f>
        <v>1</v>
      </c>
    </row>
    <row r="6102" spans="1:26" x14ac:dyDescent="0.2">
      <c r="A6102" s="6">
        <v>994</v>
      </c>
      <c r="B6102" s="7">
        <v>7171</v>
      </c>
      <c r="C6102" s="8">
        <f>DATE(2012,12,31)-687</f>
        <v>40587</v>
      </c>
      <c r="D6102" s="8" t="str">
        <f t="shared" si="112"/>
        <v>2011-02 (февраль 2011)</v>
      </c>
      <c r="E6102" s="9" t="s">
        <v>63</v>
      </c>
      <c r="F6102" s="7">
        <v>28</v>
      </c>
      <c r="G6102" s="7">
        <v>1703.8505</v>
      </c>
      <c r="H6102" s="7">
        <v>0</v>
      </c>
      <c r="I6102" s="9" t="s">
        <v>22</v>
      </c>
      <c r="J6102" s="10">
        <v>316.06200000000001</v>
      </c>
      <c r="K6102" s="11">
        <v>65.989999999999995</v>
      </c>
      <c r="L6102" s="11">
        <v>8.99</v>
      </c>
      <c r="M6102" s="9" t="s">
        <v>1990</v>
      </c>
      <c r="N6102" s="6" t="s">
        <v>1905</v>
      </c>
      <c r="O6102" s="6" t="s">
        <v>673</v>
      </c>
      <c r="P6102" s="9" t="s">
        <v>33</v>
      </c>
      <c r="Q6102" s="9" t="s">
        <v>42</v>
      </c>
      <c r="R6102" s="9" t="s">
        <v>43</v>
      </c>
      <c r="S6102" s="7" t="s">
        <v>429</v>
      </c>
      <c r="T6102" s="9" t="s">
        <v>39</v>
      </c>
      <c r="U6102" s="7">
        <v>0.57999999999999996</v>
      </c>
      <c r="V6102" s="12">
        <f t="shared" si="113"/>
        <v>40589</v>
      </c>
      <c r="W6102">
        <f>IF(D6102=' Pivot Tables'!$A$4,1,0)</f>
        <v>0</v>
      </c>
      <c r="X6102">
        <f>IF(AND(LEFT(D6102,4)+1=LEFT(' Pivot Tables'!$A$4,4)+0,RIGHT(LEFT(D6102,7),2)=RIGHT(LEFT(' Pivot Tables'!$A$4,7),2)),1,0)</f>
        <v>0</v>
      </c>
      <c r="Y6102" s="6">
        <f>1/COUNTIF(Таблица1[Order ID],Таблица1[[#This Row],[Order ID]])</f>
        <v>0.5</v>
      </c>
      <c r="Z6102" s="9">
        <f>1/COUNTIFS(Таблица1[Customer Name],Таблица1[[#This Row],[Customer Name]],Таблица1[Order-Year-Month],Таблица1[[#This Row],[Order-Year-Month]])</f>
        <v>0.5</v>
      </c>
    </row>
    <row r="6103" spans="1:26" x14ac:dyDescent="0.2">
      <c r="A6103" s="6">
        <v>995</v>
      </c>
      <c r="B6103" s="7">
        <v>7171</v>
      </c>
      <c r="C6103" s="8">
        <f>DATE(2012,12,31)-687</f>
        <v>40587</v>
      </c>
      <c r="D6103" s="8" t="str">
        <f t="shared" si="112"/>
        <v>2011-02 (февраль 2011)</v>
      </c>
      <c r="E6103" s="9" t="s">
        <v>63</v>
      </c>
      <c r="F6103" s="7">
        <v>17</v>
      </c>
      <c r="G6103" s="7">
        <v>303.18649999999997</v>
      </c>
      <c r="H6103" s="7">
        <v>0.02</v>
      </c>
      <c r="I6103" s="9" t="s">
        <v>22</v>
      </c>
      <c r="J6103" s="10">
        <v>92.591999999999999</v>
      </c>
      <c r="K6103" s="11">
        <v>20.99</v>
      </c>
      <c r="L6103" s="11">
        <v>0.99</v>
      </c>
      <c r="M6103" s="9" t="s">
        <v>1990</v>
      </c>
      <c r="N6103" s="6" t="s">
        <v>1905</v>
      </c>
      <c r="O6103" s="6" t="s">
        <v>673</v>
      </c>
      <c r="P6103" s="9" t="s">
        <v>33</v>
      </c>
      <c r="Q6103" s="9" t="s">
        <v>42</v>
      </c>
      <c r="R6103" s="9" t="s">
        <v>43</v>
      </c>
      <c r="S6103" s="7" t="s">
        <v>272</v>
      </c>
      <c r="T6103" s="9" t="s">
        <v>68</v>
      </c>
      <c r="U6103" s="7">
        <v>0.37</v>
      </c>
      <c r="V6103" s="12">
        <f t="shared" si="113"/>
        <v>40589</v>
      </c>
      <c r="W6103">
        <f>IF(D6103=' Pivot Tables'!$A$4,1,0)</f>
        <v>0</v>
      </c>
      <c r="X6103">
        <f>IF(AND(LEFT(D6103,4)+1=LEFT(' Pivot Tables'!$A$4,4)+0,RIGHT(LEFT(D6103,7),2)=RIGHT(LEFT(' Pivot Tables'!$A$4,7),2)),1,0)</f>
        <v>0</v>
      </c>
      <c r="Y6103" s="6">
        <f>1/COUNTIF(Таблица1[Order ID],Таблица1[[#This Row],[Order ID]])</f>
        <v>0.5</v>
      </c>
      <c r="Z6103" s="9">
        <f>1/COUNTIFS(Таблица1[Customer Name],Таблица1[[#This Row],[Customer Name]],Таблица1[Order-Year-Month],Таблица1[[#This Row],[Order-Year-Month]])</f>
        <v>0.5</v>
      </c>
    </row>
    <row r="6104" spans="1:26" x14ac:dyDescent="0.2">
      <c r="A6104" s="6">
        <v>1058</v>
      </c>
      <c r="B6104" s="7">
        <v>7815</v>
      </c>
      <c r="C6104" s="8">
        <f>DATE(2012,12,31)-1439</f>
        <v>39835</v>
      </c>
      <c r="D6104" s="8" t="str">
        <f t="shared" si="112"/>
        <v>2009-01 (январь 2009)</v>
      </c>
      <c r="E6104" s="9" t="s">
        <v>78</v>
      </c>
      <c r="F6104" s="7">
        <v>6</v>
      </c>
      <c r="G6104" s="7">
        <v>187.37</v>
      </c>
      <c r="H6104" s="7">
        <v>0.09</v>
      </c>
      <c r="I6104" s="9" t="s">
        <v>22</v>
      </c>
      <c r="J6104" s="10">
        <v>-125.96</v>
      </c>
      <c r="K6104" s="11">
        <v>32.979999999999997</v>
      </c>
      <c r="L6104" s="11">
        <v>5.5</v>
      </c>
      <c r="M6104" s="9" t="s">
        <v>1991</v>
      </c>
      <c r="N6104" s="6" t="s">
        <v>1905</v>
      </c>
      <c r="O6104" s="6" t="s">
        <v>673</v>
      </c>
      <c r="P6104" s="9" t="s">
        <v>60</v>
      </c>
      <c r="Q6104" s="9" t="s">
        <v>42</v>
      </c>
      <c r="R6104" s="9" t="s">
        <v>70</v>
      </c>
      <c r="S6104" s="7" t="s">
        <v>403</v>
      </c>
      <c r="T6104" s="9" t="s">
        <v>39</v>
      </c>
      <c r="U6104" s="7">
        <v>0.75</v>
      </c>
      <c r="V6104" s="12">
        <f>C6104+1</f>
        <v>39836</v>
      </c>
      <c r="W6104">
        <f>IF(D6104=' Pivot Tables'!$A$4,1,0)</f>
        <v>0</v>
      </c>
      <c r="X6104">
        <f>IF(AND(LEFT(D6104,4)+1=LEFT(' Pivot Tables'!$A$4,4)+0,RIGHT(LEFT(D6104,7),2)=RIGHT(LEFT(' Pivot Tables'!$A$4,7),2)),1,0)</f>
        <v>1</v>
      </c>
      <c r="Y6104" s="6">
        <f>1/COUNTIF(Таблица1[Order ID],Таблица1[[#This Row],[Order ID]])</f>
        <v>1</v>
      </c>
      <c r="Z6104" s="9">
        <f>1/COUNTIFS(Таблица1[Customer Name],Таблица1[[#This Row],[Customer Name]],Таблица1[Order-Year-Month],Таблица1[[#This Row],[Order-Year-Month]])</f>
        <v>0.5</v>
      </c>
    </row>
    <row r="6105" spans="1:26" x14ac:dyDescent="0.2">
      <c r="A6105" s="6">
        <v>1360</v>
      </c>
      <c r="B6105" s="7">
        <v>9921</v>
      </c>
      <c r="C6105" s="8">
        <f>DATE(2012,12,31)-597</f>
        <v>40677</v>
      </c>
      <c r="D6105" s="8" t="str">
        <f t="shared" si="112"/>
        <v>2011-05 (май 2011)</v>
      </c>
      <c r="E6105" s="9" t="s">
        <v>21</v>
      </c>
      <c r="F6105" s="7">
        <v>23</v>
      </c>
      <c r="G6105" s="7">
        <v>356.09</v>
      </c>
      <c r="H6105" s="7">
        <v>0.05</v>
      </c>
      <c r="I6105" s="9" t="s">
        <v>22</v>
      </c>
      <c r="J6105" s="10">
        <v>155.82</v>
      </c>
      <c r="K6105" s="11">
        <v>15.67</v>
      </c>
      <c r="L6105" s="11">
        <v>1.39</v>
      </c>
      <c r="M6105" s="9" t="s">
        <v>1991</v>
      </c>
      <c r="N6105" s="6" t="s">
        <v>1905</v>
      </c>
      <c r="O6105" s="6" t="s">
        <v>673</v>
      </c>
      <c r="P6105" s="9" t="s">
        <v>60</v>
      </c>
      <c r="Q6105" s="9" t="s">
        <v>26</v>
      </c>
      <c r="R6105" s="9" t="s">
        <v>76</v>
      </c>
      <c r="S6105" s="7" t="s">
        <v>165</v>
      </c>
      <c r="T6105" s="9" t="s">
        <v>39</v>
      </c>
      <c r="U6105" s="7">
        <v>0.38</v>
      </c>
      <c r="V6105" s="12">
        <f>C6105+0</f>
        <v>40677</v>
      </c>
      <c r="W6105">
        <f>IF(D6105=' Pivot Tables'!$A$4,1,0)</f>
        <v>0</v>
      </c>
      <c r="X6105">
        <f>IF(AND(LEFT(D6105,4)+1=LEFT(' Pivot Tables'!$A$4,4)+0,RIGHT(LEFT(D6105,7),2)=RIGHT(LEFT(' Pivot Tables'!$A$4,7),2)),1,0)</f>
        <v>0</v>
      </c>
      <c r="Y6105" s="6">
        <f>1/COUNTIF(Таблица1[Order ID],Таблица1[[#This Row],[Order ID]])</f>
        <v>1</v>
      </c>
      <c r="Z6105" s="9">
        <f>1/COUNTIFS(Таблица1[Customer Name],Таблица1[[#This Row],[Customer Name]],Таблица1[Order-Year-Month],Таблица1[[#This Row],[Order-Year-Month]])</f>
        <v>1</v>
      </c>
    </row>
    <row r="6106" spans="1:26" x14ac:dyDescent="0.2">
      <c r="A6106" s="6">
        <v>1386</v>
      </c>
      <c r="B6106" s="7">
        <v>10053</v>
      </c>
      <c r="C6106" s="8">
        <f>DATE(2012,12,31)-356</f>
        <v>40918</v>
      </c>
      <c r="D6106" s="8" t="str">
        <f t="shared" si="112"/>
        <v>2012-01 (январь 2012)</v>
      </c>
      <c r="E6106" s="9" t="s">
        <v>30</v>
      </c>
      <c r="F6106" s="7">
        <v>31</v>
      </c>
      <c r="G6106" s="7">
        <v>162.58000000000001</v>
      </c>
      <c r="H6106" s="7">
        <v>0</v>
      </c>
      <c r="I6106" s="9" t="s">
        <v>22</v>
      </c>
      <c r="J6106" s="10">
        <v>-109.86</v>
      </c>
      <c r="K6106" s="11">
        <v>4.8899999999999997</v>
      </c>
      <c r="L6106" s="11">
        <v>4.93</v>
      </c>
      <c r="M6106" s="9" t="s">
        <v>1887</v>
      </c>
      <c r="N6106" s="6" t="s">
        <v>1905</v>
      </c>
      <c r="O6106" s="6" t="s">
        <v>673</v>
      </c>
      <c r="P6106" s="9" t="s">
        <v>25</v>
      </c>
      <c r="Q6106" s="9" t="s">
        <v>42</v>
      </c>
      <c r="R6106" s="9" t="s">
        <v>70</v>
      </c>
      <c r="S6106" s="7" t="s">
        <v>93</v>
      </c>
      <c r="T6106" s="9" t="s">
        <v>52</v>
      </c>
      <c r="U6106" s="7">
        <v>0.66</v>
      </c>
      <c r="V6106" s="12">
        <f>C6106+3</f>
        <v>40921</v>
      </c>
      <c r="W6106">
        <f>IF(D6106=' Pivot Tables'!$A$4,1,0)</f>
        <v>0</v>
      </c>
      <c r="X6106">
        <f>IF(AND(LEFT(D6106,4)+1=LEFT(' Pivot Tables'!$A$4,4)+0,RIGHT(LEFT(D6106,7),2)=RIGHT(LEFT(' Pivot Tables'!$A$4,7),2)),1,0)</f>
        <v>0</v>
      </c>
      <c r="Y6106" s="6">
        <f>1/COUNTIF(Таблица1[Order ID],Таблица1[[#This Row],[Order ID]])</f>
        <v>0.5</v>
      </c>
      <c r="Z6106" s="9">
        <f>1/COUNTIFS(Таблица1[Customer Name],Таблица1[[#This Row],[Customer Name]],Таблица1[Order-Year-Month],Таблица1[[#This Row],[Order-Year-Month]])</f>
        <v>0.5</v>
      </c>
    </row>
    <row r="6107" spans="1:26" x14ac:dyDescent="0.2">
      <c r="A6107" s="6">
        <v>1387</v>
      </c>
      <c r="B6107" s="7">
        <v>10053</v>
      </c>
      <c r="C6107" s="8">
        <f>DATE(2012,12,31)-356</f>
        <v>40918</v>
      </c>
      <c r="D6107" s="8" t="str">
        <f t="shared" si="112"/>
        <v>2012-01 (январь 2012)</v>
      </c>
      <c r="E6107" s="9" t="s">
        <v>30</v>
      </c>
      <c r="F6107" s="7">
        <v>44</v>
      </c>
      <c r="G6107" s="7">
        <v>6815.23</v>
      </c>
      <c r="H6107" s="7">
        <v>0</v>
      </c>
      <c r="I6107" s="9" t="s">
        <v>31</v>
      </c>
      <c r="J6107" s="10">
        <v>-196.07</v>
      </c>
      <c r="K6107" s="11">
        <v>150.97999999999999</v>
      </c>
      <c r="L6107" s="11">
        <v>39.25</v>
      </c>
      <c r="M6107" s="9" t="s">
        <v>1887</v>
      </c>
      <c r="N6107" s="6" t="s">
        <v>1905</v>
      </c>
      <c r="O6107" s="6" t="s">
        <v>673</v>
      </c>
      <c r="P6107" s="9" t="s">
        <v>25</v>
      </c>
      <c r="Q6107" s="9" t="s">
        <v>49</v>
      </c>
      <c r="R6107" s="9" t="s">
        <v>83</v>
      </c>
      <c r="S6107" s="7" t="s">
        <v>1404</v>
      </c>
      <c r="T6107" s="9" t="s">
        <v>82</v>
      </c>
      <c r="U6107" s="7">
        <v>0.75</v>
      </c>
      <c r="V6107" s="12">
        <f>C6107+2</f>
        <v>40920</v>
      </c>
      <c r="W6107">
        <f>IF(D6107=' Pivot Tables'!$A$4,1,0)</f>
        <v>0</v>
      </c>
      <c r="X6107">
        <f>IF(AND(LEFT(D6107,4)+1=LEFT(' Pivot Tables'!$A$4,4)+0,RIGHT(LEFT(D6107,7),2)=RIGHT(LEFT(' Pivot Tables'!$A$4,7),2)),1,0)</f>
        <v>0</v>
      </c>
      <c r="Y6107" s="6">
        <f>1/COUNTIF(Таблица1[Order ID],Таблица1[[#This Row],[Order ID]])</f>
        <v>0.5</v>
      </c>
      <c r="Z6107" s="9">
        <f>1/COUNTIFS(Таблица1[Customer Name],Таблица1[[#This Row],[Customer Name]],Таблица1[Order-Year-Month],Таблица1[[#This Row],[Order-Year-Month]])</f>
        <v>0.5</v>
      </c>
    </row>
    <row r="6108" spans="1:26" x14ac:dyDescent="0.2">
      <c r="A6108" s="6">
        <v>1422</v>
      </c>
      <c r="B6108" s="7">
        <v>10309</v>
      </c>
      <c r="C6108" s="8">
        <f>DATE(2012,12,31)-1136</f>
        <v>40138</v>
      </c>
      <c r="D6108" s="8" t="str">
        <f t="shared" si="112"/>
        <v>2009-11 (ноябрь 2009)</v>
      </c>
      <c r="E6108" s="9" t="s">
        <v>21</v>
      </c>
      <c r="F6108" s="7">
        <v>23</v>
      </c>
      <c r="G6108" s="7">
        <v>496.15</v>
      </c>
      <c r="H6108" s="7">
        <v>0.03</v>
      </c>
      <c r="I6108" s="9" t="s">
        <v>22</v>
      </c>
      <c r="J6108" s="10">
        <v>213.37549999999999</v>
      </c>
      <c r="K6108" s="11">
        <v>20.98</v>
      </c>
      <c r="L6108" s="11">
        <v>1.49</v>
      </c>
      <c r="M6108" s="9" t="s">
        <v>1992</v>
      </c>
      <c r="N6108" s="6" t="s">
        <v>1905</v>
      </c>
      <c r="O6108" s="6" t="s">
        <v>673</v>
      </c>
      <c r="P6108" s="9" t="s">
        <v>25</v>
      </c>
      <c r="Q6108" s="9" t="s">
        <v>26</v>
      </c>
      <c r="R6108" s="9" t="s">
        <v>37</v>
      </c>
      <c r="S6108" s="7" t="s">
        <v>645</v>
      </c>
      <c r="T6108" s="9" t="s">
        <v>39</v>
      </c>
      <c r="U6108" s="7">
        <v>0.35</v>
      </c>
      <c r="V6108" s="12">
        <f>C6108+0</f>
        <v>40138</v>
      </c>
      <c r="W6108">
        <f>IF(D6108=' Pivot Tables'!$A$4,1,0)</f>
        <v>0</v>
      </c>
      <c r="X6108">
        <f>IF(AND(LEFT(D6108,4)+1=LEFT(' Pivot Tables'!$A$4,4)+0,RIGHT(LEFT(D6108,7),2)=RIGHT(LEFT(' Pivot Tables'!$A$4,7),2)),1,0)</f>
        <v>0</v>
      </c>
      <c r="Y6108" s="6">
        <f>1/COUNTIF(Таблица1[Order ID],Таблица1[[#This Row],[Order ID]])</f>
        <v>1</v>
      </c>
      <c r="Z6108" s="9">
        <f>1/COUNTIFS(Таблица1[Customer Name],Таблица1[[#This Row],[Customer Name]],Таблица1[Order-Year-Month],Таблица1[[#This Row],[Order-Year-Month]])</f>
        <v>1</v>
      </c>
    </row>
    <row r="6109" spans="1:26" x14ac:dyDescent="0.2">
      <c r="A6109" s="6">
        <v>1517</v>
      </c>
      <c r="B6109" s="7">
        <v>10978</v>
      </c>
      <c r="C6109" s="8">
        <f>DATE(2012,12,31)-1370</f>
        <v>39904</v>
      </c>
      <c r="D6109" s="8" t="str">
        <f t="shared" si="112"/>
        <v>2009-04 (апрель 2009)</v>
      </c>
      <c r="E6109" s="9" t="s">
        <v>78</v>
      </c>
      <c r="F6109" s="7">
        <v>9</v>
      </c>
      <c r="G6109" s="7">
        <v>566.53</v>
      </c>
      <c r="H6109" s="7">
        <v>0.06</v>
      </c>
      <c r="I6109" s="9" t="s">
        <v>31</v>
      </c>
      <c r="J6109" s="10">
        <v>-209.6</v>
      </c>
      <c r="K6109" s="11">
        <v>60.98</v>
      </c>
      <c r="L6109" s="11">
        <v>30</v>
      </c>
      <c r="M6109" s="9" t="s">
        <v>1985</v>
      </c>
      <c r="N6109" s="6" t="s">
        <v>1905</v>
      </c>
      <c r="O6109" s="6" t="s">
        <v>673</v>
      </c>
      <c r="P6109" s="9" t="s">
        <v>25</v>
      </c>
      <c r="Q6109" s="9" t="s">
        <v>49</v>
      </c>
      <c r="R6109" s="9" t="s">
        <v>112</v>
      </c>
      <c r="S6109" s="7" t="s">
        <v>979</v>
      </c>
      <c r="T6109" s="9" t="s">
        <v>36</v>
      </c>
      <c r="U6109" s="7">
        <v>0.7</v>
      </c>
      <c r="V6109" s="12">
        <f>C6109+1</f>
        <v>39905</v>
      </c>
      <c r="W6109">
        <f>IF(D6109=' Pivot Tables'!$A$4,1,0)</f>
        <v>0</v>
      </c>
      <c r="X6109">
        <f>IF(AND(LEFT(D6109,4)+1=LEFT(' Pivot Tables'!$A$4,4)+0,RIGHT(LEFT(D6109,7),2)=RIGHT(LEFT(' Pivot Tables'!$A$4,7),2)),1,0)</f>
        <v>0</v>
      </c>
      <c r="Y6109" s="6">
        <f>1/COUNTIF(Таблица1[Order ID],Таблица1[[#This Row],[Order ID]])</f>
        <v>1</v>
      </c>
      <c r="Z6109" s="9">
        <f>1/COUNTIFS(Таблица1[Customer Name],Таблица1[[#This Row],[Customer Name]],Таблица1[Order-Year-Month],Таблица1[[#This Row],[Order-Year-Month]])</f>
        <v>1</v>
      </c>
    </row>
    <row r="6110" spans="1:26" x14ac:dyDescent="0.2">
      <c r="A6110" s="6">
        <v>1518</v>
      </c>
      <c r="B6110" s="7">
        <v>10979</v>
      </c>
      <c r="C6110" s="8">
        <f>DATE(2012,12,31)-454</f>
        <v>40820</v>
      </c>
      <c r="D6110" s="8" t="str">
        <f t="shared" si="112"/>
        <v>2011-10 (октябрь 2011)</v>
      </c>
      <c r="E6110" s="9" t="s">
        <v>63</v>
      </c>
      <c r="F6110" s="7">
        <v>15</v>
      </c>
      <c r="G6110" s="7">
        <v>486.43</v>
      </c>
      <c r="H6110" s="7">
        <v>0</v>
      </c>
      <c r="I6110" s="9" t="s">
        <v>22</v>
      </c>
      <c r="J6110" s="10">
        <v>285.35000000000002</v>
      </c>
      <c r="K6110" s="11">
        <v>30.93</v>
      </c>
      <c r="L6110" s="11">
        <v>3.92</v>
      </c>
      <c r="M6110" s="9" t="s">
        <v>1991</v>
      </c>
      <c r="N6110" s="6" t="s">
        <v>1905</v>
      </c>
      <c r="O6110" s="6" t="s">
        <v>673</v>
      </c>
      <c r="P6110" s="9" t="s">
        <v>25</v>
      </c>
      <c r="Q6110" s="9" t="s">
        <v>49</v>
      </c>
      <c r="R6110" s="9" t="s">
        <v>50</v>
      </c>
      <c r="S6110" s="7" t="s">
        <v>786</v>
      </c>
      <c r="T6110" s="9" t="s">
        <v>52</v>
      </c>
      <c r="U6110" s="7">
        <v>0.44</v>
      </c>
      <c r="V6110" s="12">
        <f>C6110+2</f>
        <v>40822</v>
      </c>
      <c r="W6110">
        <f>IF(D6110=' Pivot Tables'!$A$4,1,0)</f>
        <v>0</v>
      </c>
      <c r="X6110">
        <f>IF(AND(LEFT(D6110,4)+1=LEFT(' Pivot Tables'!$A$4,4)+0,RIGHT(LEFT(D6110,7),2)=RIGHT(LEFT(' Pivot Tables'!$A$4,7),2)),1,0)</f>
        <v>0</v>
      </c>
      <c r="Y6110" s="6">
        <f>1/COUNTIF(Таблица1[Order ID],Таблица1[[#This Row],[Order ID]])</f>
        <v>0.5</v>
      </c>
      <c r="Z6110" s="9">
        <f>1/COUNTIFS(Таблица1[Customer Name],Таблица1[[#This Row],[Customer Name]],Таблица1[Order-Year-Month],Таблица1[[#This Row],[Order-Year-Month]])</f>
        <v>0.33333333333333331</v>
      </c>
    </row>
    <row r="6111" spans="1:26" x14ac:dyDescent="0.2">
      <c r="A6111" s="6">
        <v>1519</v>
      </c>
      <c r="B6111" s="7">
        <v>10979</v>
      </c>
      <c r="C6111" s="8">
        <f>DATE(2012,12,31)-454</f>
        <v>40820</v>
      </c>
      <c r="D6111" s="8" t="str">
        <f t="shared" si="112"/>
        <v>2011-10 (октябрь 2011)</v>
      </c>
      <c r="E6111" s="9" t="s">
        <v>63</v>
      </c>
      <c r="F6111" s="7">
        <v>7</v>
      </c>
      <c r="G6111" s="7">
        <v>144.94999999999999</v>
      </c>
      <c r="H6111" s="7">
        <v>0.08</v>
      </c>
      <c r="I6111" s="9" t="s">
        <v>56</v>
      </c>
      <c r="J6111" s="10">
        <v>10.82</v>
      </c>
      <c r="K6111" s="11">
        <v>19.98</v>
      </c>
      <c r="L6111" s="11">
        <v>5.86</v>
      </c>
      <c r="M6111" s="9" t="s">
        <v>1991</v>
      </c>
      <c r="N6111" s="6" t="s">
        <v>1905</v>
      </c>
      <c r="O6111" s="6" t="s">
        <v>673</v>
      </c>
      <c r="P6111" s="9" t="s">
        <v>25</v>
      </c>
      <c r="Q6111" s="9" t="s">
        <v>26</v>
      </c>
      <c r="R6111" s="9" t="s">
        <v>61</v>
      </c>
      <c r="S6111" s="7" t="s">
        <v>1350</v>
      </c>
      <c r="T6111" s="9" t="s">
        <v>39</v>
      </c>
      <c r="U6111" s="7">
        <v>0.38</v>
      </c>
      <c r="V6111" s="12">
        <f>C6111+2</f>
        <v>40822</v>
      </c>
      <c r="W6111">
        <f>IF(D6111=' Pivot Tables'!$A$4,1,0)</f>
        <v>0</v>
      </c>
      <c r="X6111">
        <f>IF(AND(LEFT(D6111,4)+1=LEFT(' Pivot Tables'!$A$4,4)+0,RIGHT(LEFT(D6111,7),2)=RIGHT(LEFT(' Pivot Tables'!$A$4,7),2)),1,0)</f>
        <v>0</v>
      </c>
      <c r="Y6111" s="6">
        <f>1/COUNTIF(Таблица1[Order ID],Таблица1[[#This Row],[Order ID]])</f>
        <v>0.5</v>
      </c>
      <c r="Z6111" s="9">
        <f>1/COUNTIFS(Таблица1[Customer Name],Таблица1[[#This Row],[Customer Name]],Таблица1[Order-Year-Month],Таблица1[[#This Row],[Order-Year-Month]])</f>
        <v>0.33333333333333331</v>
      </c>
    </row>
    <row r="6112" spans="1:26" x14ac:dyDescent="0.2">
      <c r="A6112" s="6">
        <v>1540</v>
      </c>
      <c r="B6112" s="7">
        <v>11108</v>
      </c>
      <c r="C6112" s="8">
        <f>DATE(2012,12,31)-137</f>
        <v>41137</v>
      </c>
      <c r="D6112" s="8" t="str">
        <f t="shared" si="112"/>
        <v>2012-08 (август 2012)</v>
      </c>
      <c r="E6112" s="9" t="s">
        <v>45</v>
      </c>
      <c r="F6112" s="7">
        <v>20</v>
      </c>
      <c r="G6112" s="7">
        <v>131.71</v>
      </c>
      <c r="H6112" s="7">
        <v>0.1</v>
      </c>
      <c r="I6112" s="9" t="s">
        <v>22</v>
      </c>
      <c r="J6112" s="10">
        <v>-44</v>
      </c>
      <c r="K6112" s="11">
        <v>6.48</v>
      </c>
      <c r="L6112" s="11">
        <v>5.74</v>
      </c>
      <c r="M6112" s="9" t="s">
        <v>1337</v>
      </c>
      <c r="N6112" s="6" t="s">
        <v>1905</v>
      </c>
      <c r="O6112" s="6" t="s">
        <v>673</v>
      </c>
      <c r="P6112" s="9" t="s">
        <v>25</v>
      </c>
      <c r="Q6112" s="9" t="s">
        <v>26</v>
      </c>
      <c r="R6112" s="9" t="s">
        <v>61</v>
      </c>
      <c r="S6112" s="7" t="s">
        <v>707</v>
      </c>
      <c r="T6112" s="9" t="s">
        <v>39</v>
      </c>
      <c r="U6112" s="7">
        <v>0.37</v>
      </c>
      <c r="V6112" s="12">
        <f>C6112+2</f>
        <v>41139</v>
      </c>
      <c r="W6112">
        <f>IF(D6112=' Pivot Tables'!$A$4,1,0)</f>
        <v>0</v>
      </c>
      <c r="X6112">
        <f>IF(AND(LEFT(D6112,4)+1=LEFT(' Pivot Tables'!$A$4,4)+0,RIGHT(LEFT(D6112,7),2)=RIGHT(LEFT(' Pivot Tables'!$A$4,7),2)),1,0)</f>
        <v>0</v>
      </c>
      <c r="Y6112" s="6">
        <f>1/COUNTIF(Таблица1[Order ID],Таблица1[[#This Row],[Order ID]])</f>
        <v>1</v>
      </c>
      <c r="Z6112" s="9">
        <f>1/COUNTIFS(Таблица1[Customer Name],Таблица1[[#This Row],[Customer Name]],Таблица1[Order-Year-Month],Таблица1[[#This Row],[Order-Year-Month]])</f>
        <v>0.5</v>
      </c>
    </row>
    <row r="6113" spans="1:26" x14ac:dyDescent="0.2">
      <c r="A6113" s="6">
        <v>1670</v>
      </c>
      <c r="B6113" s="7">
        <v>12067</v>
      </c>
      <c r="C6113" s="8">
        <f>DATE(2012,12,31)-1061</f>
        <v>40213</v>
      </c>
      <c r="D6113" s="8" t="str">
        <f t="shared" si="112"/>
        <v>2010-02 (февраль 2010)</v>
      </c>
      <c r="E6113" s="9" t="s">
        <v>78</v>
      </c>
      <c r="F6113" s="7">
        <v>45</v>
      </c>
      <c r="G6113" s="7">
        <v>271.06</v>
      </c>
      <c r="H6113" s="7">
        <v>0</v>
      </c>
      <c r="I6113" s="9" t="s">
        <v>22</v>
      </c>
      <c r="J6113" s="10">
        <v>-76.601500000000001</v>
      </c>
      <c r="K6113" s="11">
        <v>5.74</v>
      </c>
      <c r="L6113" s="11">
        <v>5.01</v>
      </c>
      <c r="M6113" s="9" t="s">
        <v>1985</v>
      </c>
      <c r="N6113" s="6" t="s">
        <v>1905</v>
      </c>
      <c r="O6113" s="6" t="s">
        <v>673</v>
      </c>
      <c r="P6113" s="9" t="s">
        <v>25</v>
      </c>
      <c r="Q6113" s="9" t="s">
        <v>26</v>
      </c>
      <c r="R6113" s="9" t="s">
        <v>37</v>
      </c>
      <c r="S6113" s="7" t="s">
        <v>363</v>
      </c>
      <c r="T6113" s="9" t="s">
        <v>39</v>
      </c>
      <c r="U6113" s="7">
        <v>0.39</v>
      </c>
      <c r="V6113" s="12">
        <f>C6113+0</f>
        <v>40213</v>
      </c>
      <c r="W6113">
        <f>IF(D6113=' Pivot Tables'!$A$4,1,0)</f>
        <v>0</v>
      </c>
      <c r="X6113">
        <f>IF(AND(LEFT(D6113,4)+1=LEFT(' Pivot Tables'!$A$4,4)+0,RIGHT(LEFT(D6113,7),2)=RIGHT(LEFT(' Pivot Tables'!$A$4,7),2)),1,0)</f>
        <v>0</v>
      </c>
      <c r="Y6113" s="6">
        <f>1/COUNTIF(Таблица1[Order ID],Таблица1[[#This Row],[Order ID]])</f>
        <v>0.2</v>
      </c>
      <c r="Z6113" s="9">
        <f>1/COUNTIFS(Таблица1[Customer Name],Таблица1[[#This Row],[Customer Name]],Таблица1[Order-Year-Month],Таблица1[[#This Row],[Order-Year-Month]])</f>
        <v>0.2</v>
      </c>
    </row>
    <row r="6114" spans="1:26" x14ac:dyDescent="0.2">
      <c r="A6114" s="6">
        <v>1671</v>
      </c>
      <c r="B6114" s="7">
        <v>12067</v>
      </c>
      <c r="C6114" s="8">
        <f>DATE(2012,12,31)-1061</f>
        <v>40213</v>
      </c>
      <c r="D6114" s="8" t="str">
        <f t="shared" si="112"/>
        <v>2010-02 (февраль 2010)</v>
      </c>
      <c r="E6114" s="9" t="s">
        <v>78</v>
      </c>
      <c r="F6114" s="7">
        <v>6</v>
      </c>
      <c r="G6114" s="7">
        <v>58.84</v>
      </c>
      <c r="H6114" s="7">
        <v>0.05</v>
      </c>
      <c r="I6114" s="9" t="s">
        <v>22</v>
      </c>
      <c r="J6114" s="10">
        <v>4.29</v>
      </c>
      <c r="K6114" s="11">
        <v>9.48</v>
      </c>
      <c r="L6114" s="11">
        <v>3.72</v>
      </c>
      <c r="M6114" s="9" t="s">
        <v>1985</v>
      </c>
      <c r="N6114" s="6" t="s">
        <v>1905</v>
      </c>
      <c r="O6114" s="6" t="s">
        <v>673</v>
      </c>
      <c r="P6114" s="9" t="s">
        <v>25</v>
      </c>
      <c r="Q6114" s="9" t="s">
        <v>49</v>
      </c>
      <c r="R6114" s="9" t="s">
        <v>50</v>
      </c>
      <c r="S6114" s="7" t="s">
        <v>1794</v>
      </c>
      <c r="T6114" s="9" t="s">
        <v>52</v>
      </c>
      <c r="U6114" s="7">
        <v>0.4</v>
      </c>
      <c r="V6114" s="12">
        <f>C6114+1</f>
        <v>40214</v>
      </c>
      <c r="W6114">
        <f>IF(D6114=' Pivot Tables'!$A$4,1,0)</f>
        <v>0</v>
      </c>
      <c r="X6114">
        <f>IF(AND(LEFT(D6114,4)+1=LEFT(' Pivot Tables'!$A$4,4)+0,RIGHT(LEFT(D6114,7),2)=RIGHT(LEFT(' Pivot Tables'!$A$4,7),2)),1,0)</f>
        <v>0</v>
      </c>
      <c r="Y6114" s="6">
        <f>1/COUNTIF(Таблица1[Order ID],Таблица1[[#This Row],[Order ID]])</f>
        <v>0.2</v>
      </c>
      <c r="Z6114" s="9">
        <f>1/COUNTIFS(Таблица1[Customer Name],Таблица1[[#This Row],[Customer Name]],Таблица1[Order-Year-Month],Таблица1[[#This Row],[Order-Year-Month]])</f>
        <v>0.2</v>
      </c>
    </row>
    <row r="6115" spans="1:26" x14ac:dyDescent="0.2">
      <c r="A6115" s="6">
        <v>1672</v>
      </c>
      <c r="B6115" s="7">
        <v>12067</v>
      </c>
      <c r="C6115" s="8">
        <f>DATE(2012,12,31)-1061</f>
        <v>40213</v>
      </c>
      <c r="D6115" s="8" t="str">
        <f t="shared" si="112"/>
        <v>2010-02 (февраль 2010)</v>
      </c>
      <c r="E6115" s="9" t="s">
        <v>78</v>
      </c>
      <c r="F6115" s="7">
        <v>12</v>
      </c>
      <c r="G6115" s="7">
        <v>1211.72</v>
      </c>
      <c r="H6115" s="7">
        <v>0.04</v>
      </c>
      <c r="I6115" s="9" t="s">
        <v>22</v>
      </c>
      <c r="J6115" s="10">
        <v>587.84</v>
      </c>
      <c r="K6115" s="11">
        <v>99.23</v>
      </c>
      <c r="L6115" s="11">
        <v>8.99</v>
      </c>
      <c r="M6115" s="9" t="s">
        <v>1985</v>
      </c>
      <c r="N6115" s="6" t="s">
        <v>1905</v>
      </c>
      <c r="O6115" s="6" t="s">
        <v>673</v>
      </c>
      <c r="P6115" s="9" t="s">
        <v>25</v>
      </c>
      <c r="Q6115" s="9" t="s">
        <v>49</v>
      </c>
      <c r="R6115" s="9" t="s">
        <v>50</v>
      </c>
      <c r="S6115" s="7" t="s">
        <v>700</v>
      </c>
      <c r="T6115" s="9" t="s">
        <v>52</v>
      </c>
      <c r="U6115" s="7">
        <v>0.35</v>
      </c>
      <c r="V6115" s="12">
        <f>C6115+1</f>
        <v>40214</v>
      </c>
      <c r="W6115">
        <f>IF(D6115=' Pivot Tables'!$A$4,1,0)</f>
        <v>0</v>
      </c>
      <c r="X6115">
        <f>IF(AND(LEFT(D6115,4)+1=LEFT(' Pivot Tables'!$A$4,4)+0,RIGHT(LEFT(D6115,7),2)=RIGHT(LEFT(' Pivot Tables'!$A$4,7),2)),1,0)</f>
        <v>0</v>
      </c>
      <c r="Y6115" s="6">
        <f>1/COUNTIF(Таблица1[Order ID],Таблица1[[#This Row],[Order ID]])</f>
        <v>0.2</v>
      </c>
      <c r="Z6115" s="9">
        <f>1/COUNTIFS(Таблица1[Customer Name],Таблица1[[#This Row],[Customer Name]],Таблица1[Order-Year-Month],Таблица1[[#This Row],[Order-Year-Month]])</f>
        <v>0.2</v>
      </c>
    </row>
    <row r="6116" spans="1:26" x14ac:dyDescent="0.2">
      <c r="A6116" s="6">
        <v>1673</v>
      </c>
      <c r="B6116" s="7">
        <v>12067</v>
      </c>
      <c r="C6116" s="8">
        <f>DATE(2012,12,31)-1061</f>
        <v>40213</v>
      </c>
      <c r="D6116" s="8" t="str">
        <f t="shared" si="112"/>
        <v>2010-02 (февраль 2010)</v>
      </c>
      <c r="E6116" s="9" t="s">
        <v>78</v>
      </c>
      <c r="F6116" s="7">
        <v>9</v>
      </c>
      <c r="G6116" s="7">
        <v>75.260000000000005</v>
      </c>
      <c r="H6116" s="7">
        <v>0.01</v>
      </c>
      <c r="I6116" s="9" t="s">
        <v>22</v>
      </c>
      <c r="J6116" s="10">
        <v>-17.239999999999998</v>
      </c>
      <c r="K6116" s="11">
        <v>7.64</v>
      </c>
      <c r="L6116" s="11">
        <v>5.83</v>
      </c>
      <c r="M6116" s="9" t="s">
        <v>1985</v>
      </c>
      <c r="N6116" s="6" t="s">
        <v>1905</v>
      </c>
      <c r="O6116" s="6" t="s">
        <v>673</v>
      </c>
      <c r="P6116" s="9" t="s">
        <v>25</v>
      </c>
      <c r="Q6116" s="9" t="s">
        <v>26</v>
      </c>
      <c r="R6116" s="9" t="s">
        <v>61</v>
      </c>
      <c r="S6116" s="7" t="s">
        <v>371</v>
      </c>
      <c r="T6116" s="9" t="s">
        <v>68</v>
      </c>
      <c r="U6116" s="7">
        <v>0.36</v>
      </c>
      <c r="V6116" s="12">
        <f>C6116+1</f>
        <v>40214</v>
      </c>
      <c r="W6116">
        <f>IF(D6116=' Pivot Tables'!$A$4,1,0)</f>
        <v>0</v>
      </c>
      <c r="X6116">
        <f>IF(AND(LEFT(D6116,4)+1=LEFT(' Pivot Tables'!$A$4,4)+0,RIGHT(LEFT(D6116,7),2)=RIGHT(LEFT(' Pivot Tables'!$A$4,7),2)),1,0)</f>
        <v>0</v>
      </c>
      <c r="Y6116" s="6">
        <f>1/COUNTIF(Таблица1[Order ID],Таблица1[[#This Row],[Order ID]])</f>
        <v>0.2</v>
      </c>
      <c r="Z6116" s="9">
        <f>1/COUNTIFS(Таблица1[Customer Name],Таблица1[[#This Row],[Customer Name]],Таблица1[Order-Year-Month],Таблица1[[#This Row],[Order-Year-Month]])</f>
        <v>0.2</v>
      </c>
    </row>
    <row r="6117" spans="1:26" x14ac:dyDescent="0.2">
      <c r="A6117" s="6">
        <v>1674</v>
      </c>
      <c r="B6117" s="7">
        <v>12067</v>
      </c>
      <c r="C6117" s="8">
        <f>DATE(2012,12,31)-1061</f>
        <v>40213</v>
      </c>
      <c r="D6117" s="8" t="str">
        <f t="shared" si="112"/>
        <v>2010-02 (февраль 2010)</v>
      </c>
      <c r="E6117" s="9" t="s">
        <v>78</v>
      </c>
      <c r="F6117" s="7">
        <v>7</v>
      </c>
      <c r="G6117" s="7">
        <v>407.11599999999999</v>
      </c>
      <c r="H6117" s="7">
        <v>0.08</v>
      </c>
      <c r="I6117" s="9" t="s">
        <v>22</v>
      </c>
      <c r="J6117" s="10">
        <v>-289.80599999999998</v>
      </c>
      <c r="K6117" s="11">
        <v>65.989999999999995</v>
      </c>
      <c r="L6117" s="11">
        <v>19.989999999999998</v>
      </c>
      <c r="M6117" s="9" t="s">
        <v>1985</v>
      </c>
      <c r="N6117" s="6" t="s">
        <v>1905</v>
      </c>
      <c r="O6117" s="6" t="s">
        <v>673</v>
      </c>
      <c r="P6117" s="9" t="s">
        <v>25</v>
      </c>
      <c r="Q6117" s="9" t="s">
        <v>42</v>
      </c>
      <c r="R6117" s="9" t="s">
        <v>43</v>
      </c>
      <c r="S6117" s="7" t="s">
        <v>784</v>
      </c>
      <c r="T6117" s="9" t="s">
        <v>39</v>
      </c>
      <c r="U6117" s="7">
        <v>0.59</v>
      </c>
      <c r="V6117" s="12">
        <f>C6117+1</f>
        <v>40214</v>
      </c>
      <c r="W6117">
        <f>IF(D6117=' Pivot Tables'!$A$4,1,0)</f>
        <v>0</v>
      </c>
      <c r="X6117">
        <f>IF(AND(LEFT(D6117,4)+1=LEFT(' Pivot Tables'!$A$4,4)+0,RIGHT(LEFT(D6117,7),2)=RIGHT(LEFT(' Pivot Tables'!$A$4,7),2)),1,0)</f>
        <v>0</v>
      </c>
      <c r="Y6117" s="6">
        <f>1/COUNTIF(Таблица1[Order ID],Таблица1[[#This Row],[Order ID]])</f>
        <v>0.2</v>
      </c>
      <c r="Z6117" s="9">
        <f>1/COUNTIFS(Таблица1[Customer Name],Таблица1[[#This Row],[Customer Name]],Таблица1[Order-Year-Month],Таблица1[[#This Row],[Order-Year-Month]])</f>
        <v>0.2</v>
      </c>
    </row>
    <row r="6118" spans="1:26" x14ac:dyDescent="0.2">
      <c r="A6118" s="6">
        <v>1788</v>
      </c>
      <c r="B6118" s="7">
        <v>12804</v>
      </c>
      <c r="C6118" s="8">
        <f>DATE(2012,12,31)-220</f>
        <v>41054</v>
      </c>
      <c r="D6118" s="8" t="str">
        <f t="shared" si="112"/>
        <v>2012-05 (май 2012)</v>
      </c>
      <c r="E6118" s="9" t="s">
        <v>63</v>
      </c>
      <c r="F6118" s="7">
        <v>21</v>
      </c>
      <c r="G6118" s="7">
        <v>69.06</v>
      </c>
      <c r="H6118" s="7">
        <v>0</v>
      </c>
      <c r="I6118" s="9" t="s">
        <v>22</v>
      </c>
      <c r="J6118" s="10">
        <v>28.47</v>
      </c>
      <c r="K6118" s="11">
        <v>3.08</v>
      </c>
      <c r="L6118" s="11">
        <v>0.5</v>
      </c>
      <c r="M6118" s="9" t="s">
        <v>1810</v>
      </c>
      <c r="N6118" s="6" t="s">
        <v>1905</v>
      </c>
      <c r="O6118" s="6" t="s">
        <v>673</v>
      </c>
      <c r="P6118" s="9" t="s">
        <v>60</v>
      </c>
      <c r="Q6118" s="9" t="s">
        <v>26</v>
      </c>
      <c r="R6118" s="9" t="s">
        <v>88</v>
      </c>
      <c r="S6118" s="7" t="s">
        <v>544</v>
      </c>
      <c r="T6118" s="9" t="s">
        <v>39</v>
      </c>
      <c r="U6118" s="7">
        <v>0.37</v>
      </c>
      <c r="V6118" s="12">
        <f>C6118+3</f>
        <v>41057</v>
      </c>
      <c r="W6118">
        <f>IF(D6118=' Pivot Tables'!$A$4,1,0)</f>
        <v>0</v>
      </c>
      <c r="X6118">
        <f>IF(AND(LEFT(D6118,4)+1=LEFT(' Pivot Tables'!$A$4,4)+0,RIGHT(LEFT(D6118,7),2)=RIGHT(LEFT(' Pivot Tables'!$A$4,7),2)),1,0)</f>
        <v>0</v>
      </c>
      <c r="Y6118" s="6">
        <f>1/COUNTIF(Таблица1[Order ID],Таблица1[[#This Row],[Order ID]])</f>
        <v>0.33333333333333331</v>
      </c>
      <c r="Z6118" s="9">
        <f>1/COUNTIFS(Таблица1[Customer Name],Таблица1[[#This Row],[Customer Name]],Таблица1[Order-Year-Month],Таблица1[[#This Row],[Order-Year-Month]])</f>
        <v>0.33333333333333331</v>
      </c>
    </row>
    <row r="6119" spans="1:26" x14ac:dyDescent="0.2">
      <c r="A6119" s="6">
        <v>1789</v>
      </c>
      <c r="B6119" s="7">
        <v>12804</v>
      </c>
      <c r="C6119" s="8">
        <f>DATE(2012,12,31)-220</f>
        <v>41054</v>
      </c>
      <c r="D6119" s="8" t="str">
        <f t="shared" si="112"/>
        <v>2012-05 (май 2012)</v>
      </c>
      <c r="E6119" s="9" t="s">
        <v>63</v>
      </c>
      <c r="F6119" s="7">
        <v>50</v>
      </c>
      <c r="G6119" s="7">
        <v>84.01</v>
      </c>
      <c r="H6119" s="7">
        <v>0.08</v>
      </c>
      <c r="I6119" s="9" t="s">
        <v>22</v>
      </c>
      <c r="J6119" s="10">
        <v>-4.17</v>
      </c>
      <c r="K6119" s="11">
        <v>1.81</v>
      </c>
      <c r="L6119" s="11">
        <v>0.75</v>
      </c>
      <c r="M6119" s="9" t="s">
        <v>1810</v>
      </c>
      <c r="N6119" s="6" t="s">
        <v>1905</v>
      </c>
      <c r="O6119" s="6" t="s">
        <v>673</v>
      </c>
      <c r="P6119" s="9" t="s">
        <v>60</v>
      </c>
      <c r="Q6119" s="9" t="s">
        <v>26</v>
      </c>
      <c r="R6119" s="9" t="s">
        <v>66</v>
      </c>
      <c r="S6119" s="7" t="s">
        <v>384</v>
      </c>
      <c r="T6119" s="9" t="s">
        <v>68</v>
      </c>
      <c r="U6119" s="7">
        <v>0.52</v>
      </c>
      <c r="V6119" s="12">
        <f>C6119+2</f>
        <v>41056</v>
      </c>
      <c r="W6119">
        <f>IF(D6119=' Pivot Tables'!$A$4,1,0)</f>
        <v>0</v>
      </c>
      <c r="X6119">
        <f>IF(AND(LEFT(D6119,4)+1=LEFT(' Pivot Tables'!$A$4,4)+0,RIGHT(LEFT(D6119,7),2)=RIGHT(LEFT(' Pivot Tables'!$A$4,7),2)),1,0)</f>
        <v>0</v>
      </c>
      <c r="Y6119" s="6">
        <f>1/COUNTIF(Таблица1[Order ID],Таблица1[[#This Row],[Order ID]])</f>
        <v>0.33333333333333331</v>
      </c>
      <c r="Z6119" s="9">
        <f>1/COUNTIFS(Таблица1[Customer Name],Таблица1[[#This Row],[Customer Name]],Таблица1[Order-Year-Month],Таблица1[[#This Row],[Order-Year-Month]])</f>
        <v>0.33333333333333331</v>
      </c>
    </row>
    <row r="6120" spans="1:26" x14ac:dyDescent="0.2">
      <c r="A6120" s="6">
        <v>1790</v>
      </c>
      <c r="B6120" s="7">
        <v>12804</v>
      </c>
      <c r="C6120" s="8">
        <f>DATE(2012,12,31)-220</f>
        <v>41054</v>
      </c>
      <c r="D6120" s="8" t="str">
        <f t="shared" si="112"/>
        <v>2012-05 (май 2012)</v>
      </c>
      <c r="E6120" s="9" t="s">
        <v>63</v>
      </c>
      <c r="F6120" s="7">
        <v>34</v>
      </c>
      <c r="G6120" s="7">
        <v>592.91999999999996</v>
      </c>
      <c r="H6120" s="7">
        <v>0.02</v>
      </c>
      <c r="I6120" s="9" t="s">
        <v>56</v>
      </c>
      <c r="J6120" s="10">
        <v>-44.92</v>
      </c>
      <c r="K6120" s="11">
        <v>16.059999999999999</v>
      </c>
      <c r="L6120" s="11">
        <v>8.34</v>
      </c>
      <c r="M6120" s="9" t="s">
        <v>1810</v>
      </c>
      <c r="N6120" s="6" t="s">
        <v>1905</v>
      </c>
      <c r="O6120" s="6" t="s">
        <v>673</v>
      </c>
      <c r="P6120" s="9" t="s">
        <v>60</v>
      </c>
      <c r="Q6120" s="9" t="s">
        <v>26</v>
      </c>
      <c r="R6120" s="9" t="s">
        <v>27</v>
      </c>
      <c r="S6120" s="7" t="s">
        <v>967</v>
      </c>
      <c r="T6120" s="9" t="s">
        <v>39</v>
      </c>
      <c r="U6120" s="7">
        <v>0.59</v>
      </c>
      <c r="V6120" s="12">
        <f>C6120+2</f>
        <v>41056</v>
      </c>
      <c r="W6120">
        <f>IF(D6120=' Pivot Tables'!$A$4,1,0)</f>
        <v>0</v>
      </c>
      <c r="X6120">
        <f>IF(AND(LEFT(D6120,4)+1=LEFT(' Pivot Tables'!$A$4,4)+0,RIGHT(LEFT(D6120,7),2)=RIGHT(LEFT(' Pivot Tables'!$A$4,7),2)),1,0)</f>
        <v>0</v>
      </c>
      <c r="Y6120" s="6">
        <f>1/COUNTIF(Таблица1[Order ID],Таблица1[[#This Row],[Order ID]])</f>
        <v>0.33333333333333331</v>
      </c>
      <c r="Z6120" s="9">
        <f>1/COUNTIFS(Таблица1[Customer Name],Таблица1[[#This Row],[Customer Name]],Таблица1[Order-Year-Month],Таблица1[[#This Row],[Order-Year-Month]])</f>
        <v>0.33333333333333331</v>
      </c>
    </row>
    <row r="6121" spans="1:26" x14ac:dyDescent="0.2">
      <c r="A6121" s="6">
        <v>1892</v>
      </c>
      <c r="B6121" s="7">
        <v>13575</v>
      </c>
      <c r="C6121" s="8">
        <f>DATE(2012,12,31)-124</f>
        <v>41150</v>
      </c>
      <c r="D6121" s="8" t="str">
        <f t="shared" si="112"/>
        <v>2012-08 (август 2012)</v>
      </c>
      <c r="E6121" s="9" t="s">
        <v>78</v>
      </c>
      <c r="F6121" s="7">
        <v>15</v>
      </c>
      <c r="G6121" s="7">
        <v>106.1</v>
      </c>
      <c r="H6121" s="7">
        <v>0.09</v>
      </c>
      <c r="I6121" s="9" t="s">
        <v>56</v>
      </c>
      <c r="J6121" s="10">
        <v>-65.67</v>
      </c>
      <c r="K6121" s="11">
        <v>6.48</v>
      </c>
      <c r="L6121" s="11">
        <v>8.19</v>
      </c>
      <c r="M6121" s="9" t="s">
        <v>1337</v>
      </c>
      <c r="N6121" s="6" t="s">
        <v>1905</v>
      </c>
      <c r="O6121" s="6" t="s">
        <v>673</v>
      </c>
      <c r="P6121" s="9" t="s">
        <v>25</v>
      </c>
      <c r="Q6121" s="9" t="s">
        <v>26</v>
      </c>
      <c r="R6121" s="9" t="s">
        <v>61</v>
      </c>
      <c r="S6121" s="7" t="s">
        <v>176</v>
      </c>
      <c r="T6121" s="9" t="s">
        <v>39</v>
      </c>
      <c r="U6121" s="7">
        <v>0.37</v>
      </c>
      <c r="V6121" s="12">
        <f>C6121+3</f>
        <v>41153</v>
      </c>
      <c r="W6121">
        <f>IF(D6121=' Pivot Tables'!$A$4,1,0)</f>
        <v>0</v>
      </c>
      <c r="X6121">
        <f>IF(AND(LEFT(D6121,4)+1=LEFT(' Pivot Tables'!$A$4,4)+0,RIGHT(LEFT(D6121,7),2)=RIGHT(LEFT(' Pivot Tables'!$A$4,7),2)),1,0)</f>
        <v>0</v>
      </c>
      <c r="Y6121" s="6">
        <f>1/COUNTIF(Таблица1[Order ID],Таблица1[[#This Row],[Order ID]])</f>
        <v>1</v>
      </c>
      <c r="Z6121" s="9">
        <f>1/COUNTIFS(Таблица1[Customer Name],Таблица1[[#This Row],[Customer Name]],Таблица1[Order-Year-Month],Таблица1[[#This Row],[Order-Year-Month]])</f>
        <v>0.5</v>
      </c>
    </row>
    <row r="6122" spans="1:26" x14ac:dyDescent="0.2">
      <c r="A6122" s="6">
        <v>1907</v>
      </c>
      <c r="B6122" s="7">
        <v>13635</v>
      </c>
      <c r="C6122" s="8">
        <f>DATE(2012,12,31)-1340</f>
        <v>39934</v>
      </c>
      <c r="D6122" s="8" t="str">
        <f t="shared" si="112"/>
        <v>2009-05 (май 2009)</v>
      </c>
      <c r="E6122" s="9" t="s">
        <v>78</v>
      </c>
      <c r="F6122" s="7">
        <v>28</v>
      </c>
      <c r="G6122" s="7">
        <v>149</v>
      </c>
      <c r="H6122" s="7">
        <v>0.06</v>
      </c>
      <c r="I6122" s="9" t="s">
        <v>22</v>
      </c>
      <c r="J6122" s="10">
        <v>-119.48</v>
      </c>
      <c r="K6122" s="11">
        <v>4.9800000000000004</v>
      </c>
      <c r="L6122" s="11">
        <v>7.44</v>
      </c>
      <c r="M6122" s="9" t="s">
        <v>1988</v>
      </c>
      <c r="N6122" s="6" t="s">
        <v>1905</v>
      </c>
      <c r="O6122" s="6" t="s">
        <v>673</v>
      </c>
      <c r="P6122" s="9" t="s">
        <v>60</v>
      </c>
      <c r="Q6122" s="9" t="s">
        <v>26</v>
      </c>
      <c r="R6122" s="9" t="s">
        <v>61</v>
      </c>
      <c r="S6122" s="7" t="s">
        <v>1159</v>
      </c>
      <c r="T6122" s="9" t="s">
        <v>39</v>
      </c>
      <c r="U6122" s="7">
        <v>0.36</v>
      </c>
      <c r="V6122" s="12">
        <f>C6122+1</f>
        <v>39935</v>
      </c>
      <c r="W6122">
        <f>IF(D6122=' Pivot Tables'!$A$4,1,0)</f>
        <v>0</v>
      </c>
      <c r="X6122">
        <f>IF(AND(LEFT(D6122,4)+1=LEFT(' Pivot Tables'!$A$4,4)+0,RIGHT(LEFT(D6122,7),2)=RIGHT(LEFT(' Pivot Tables'!$A$4,7),2)),1,0)</f>
        <v>0</v>
      </c>
      <c r="Y6122" s="6">
        <f>1/COUNTIF(Таблица1[Order ID],Таблица1[[#This Row],[Order ID]])</f>
        <v>0.5</v>
      </c>
      <c r="Z6122" s="9">
        <f>1/COUNTIFS(Таблица1[Customer Name],Таблица1[[#This Row],[Customer Name]],Таблица1[Order-Year-Month],Таблица1[[#This Row],[Order-Year-Month]])</f>
        <v>0.5</v>
      </c>
    </row>
    <row r="6123" spans="1:26" x14ac:dyDescent="0.2">
      <c r="A6123" s="6">
        <v>1908</v>
      </c>
      <c r="B6123" s="7">
        <v>13635</v>
      </c>
      <c r="C6123" s="8">
        <f>DATE(2012,12,31)-1340</f>
        <v>39934</v>
      </c>
      <c r="D6123" s="8" t="str">
        <f t="shared" si="112"/>
        <v>2009-05 (май 2009)</v>
      </c>
      <c r="E6123" s="9" t="s">
        <v>78</v>
      </c>
      <c r="F6123" s="7">
        <v>49</v>
      </c>
      <c r="G6123" s="7">
        <v>334.29</v>
      </c>
      <c r="H6123" s="7">
        <v>0.01</v>
      </c>
      <c r="I6123" s="9" t="s">
        <v>22</v>
      </c>
      <c r="J6123" s="10">
        <v>-157.28</v>
      </c>
      <c r="K6123" s="11">
        <v>6.48</v>
      </c>
      <c r="L6123" s="11">
        <v>7.37</v>
      </c>
      <c r="M6123" s="9" t="s">
        <v>1988</v>
      </c>
      <c r="N6123" s="6" t="s">
        <v>1905</v>
      </c>
      <c r="O6123" s="6" t="s">
        <v>673</v>
      </c>
      <c r="P6123" s="9" t="s">
        <v>60</v>
      </c>
      <c r="Q6123" s="9" t="s">
        <v>26</v>
      </c>
      <c r="R6123" s="9" t="s">
        <v>61</v>
      </c>
      <c r="S6123" s="7" t="s">
        <v>859</v>
      </c>
      <c r="T6123" s="9" t="s">
        <v>39</v>
      </c>
      <c r="U6123" s="7">
        <v>0.37</v>
      </c>
      <c r="V6123" s="12">
        <f>C6123+2</f>
        <v>39936</v>
      </c>
      <c r="W6123">
        <f>IF(D6123=' Pivot Tables'!$A$4,1,0)</f>
        <v>0</v>
      </c>
      <c r="X6123">
        <f>IF(AND(LEFT(D6123,4)+1=LEFT(' Pivot Tables'!$A$4,4)+0,RIGHT(LEFT(D6123,7),2)=RIGHT(LEFT(' Pivot Tables'!$A$4,7),2)),1,0)</f>
        <v>0</v>
      </c>
      <c r="Y6123" s="6">
        <f>1/COUNTIF(Таблица1[Order ID],Таблица1[[#This Row],[Order ID]])</f>
        <v>0.5</v>
      </c>
      <c r="Z6123" s="9">
        <f>1/COUNTIFS(Таблица1[Customer Name],Таблица1[[#This Row],[Customer Name]],Таблица1[Order-Year-Month],Таблица1[[#This Row],[Order-Year-Month]])</f>
        <v>0.5</v>
      </c>
    </row>
    <row r="6124" spans="1:26" x14ac:dyDescent="0.2">
      <c r="A6124" s="6">
        <v>1998</v>
      </c>
      <c r="B6124" s="7">
        <v>14245</v>
      </c>
      <c r="C6124" s="8">
        <f>DATE(2012,12,31)-1054</f>
        <v>40220</v>
      </c>
      <c r="D6124" s="8" t="str">
        <f t="shared" si="112"/>
        <v>2010-02 (февраль 2010)</v>
      </c>
      <c r="E6124" s="9" t="s">
        <v>78</v>
      </c>
      <c r="F6124" s="7">
        <v>17</v>
      </c>
      <c r="G6124" s="7">
        <v>454.09</v>
      </c>
      <c r="H6124" s="7">
        <v>0.1</v>
      </c>
      <c r="I6124" s="9" t="s">
        <v>22</v>
      </c>
      <c r="J6124" s="10">
        <v>29.7</v>
      </c>
      <c r="K6124" s="11">
        <v>28.15</v>
      </c>
      <c r="L6124" s="11">
        <v>6.17</v>
      </c>
      <c r="M6124" s="9" t="s">
        <v>1993</v>
      </c>
      <c r="N6124" s="6" t="s">
        <v>1905</v>
      </c>
      <c r="O6124" s="6" t="s">
        <v>673</v>
      </c>
      <c r="P6124" s="9" t="s">
        <v>25</v>
      </c>
      <c r="Q6124" s="9" t="s">
        <v>26</v>
      </c>
      <c r="R6124" s="9" t="s">
        <v>95</v>
      </c>
      <c r="S6124" s="7" t="s">
        <v>1753</v>
      </c>
      <c r="T6124" s="9" t="s">
        <v>52</v>
      </c>
      <c r="U6124" s="7">
        <v>0.55000000000000004</v>
      </c>
      <c r="V6124" s="12">
        <f>C6124+1</f>
        <v>40221</v>
      </c>
      <c r="W6124">
        <f>IF(D6124=' Pivot Tables'!$A$4,1,0)</f>
        <v>0</v>
      </c>
      <c r="X6124">
        <f>IF(AND(LEFT(D6124,4)+1=LEFT(' Pivot Tables'!$A$4,4)+0,RIGHT(LEFT(D6124,7),2)=RIGHT(LEFT(' Pivot Tables'!$A$4,7),2)),1,0)</f>
        <v>0</v>
      </c>
      <c r="Y6124" s="6">
        <f>1/COUNTIF(Таблица1[Order ID],Таблица1[[#This Row],[Order ID]])</f>
        <v>1</v>
      </c>
      <c r="Z6124" s="9">
        <f>1/COUNTIFS(Таблица1[Customer Name],Таблица1[[#This Row],[Customer Name]],Таблица1[Order-Year-Month],Таблица1[[#This Row],[Order-Year-Month]])</f>
        <v>1</v>
      </c>
    </row>
    <row r="6125" spans="1:26" x14ac:dyDescent="0.2">
      <c r="A6125" s="6">
        <v>2203</v>
      </c>
      <c r="B6125" s="7">
        <v>15904</v>
      </c>
      <c r="C6125" s="8">
        <f>DATE(2012,12,31)-1161</f>
        <v>40113</v>
      </c>
      <c r="D6125" s="8" t="str">
        <f t="shared" si="112"/>
        <v>2009-10 (октябрь 2009)</v>
      </c>
      <c r="E6125" s="9" t="s">
        <v>45</v>
      </c>
      <c r="F6125" s="7">
        <v>39</v>
      </c>
      <c r="G6125" s="7">
        <v>124.01</v>
      </c>
      <c r="H6125" s="7">
        <v>0.08</v>
      </c>
      <c r="I6125" s="9" t="s">
        <v>22</v>
      </c>
      <c r="J6125" s="10">
        <v>-109.02</v>
      </c>
      <c r="K6125" s="11">
        <v>3.28</v>
      </c>
      <c r="L6125" s="11">
        <v>3.97</v>
      </c>
      <c r="M6125" s="9" t="s">
        <v>1992</v>
      </c>
      <c r="N6125" s="6" t="s">
        <v>1905</v>
      </c>
      <c r="O6125" s="6" t="s">
        <v>673</v>
      </c>
      <c r="P6125" s="9" t="s">
        <v>25</v>
      </c>
      <c r="Q6125" s="9" t="s">
        <v>26</v>
      </c>
      <c r="R6125" s="9" t="s">
        <v>95</v>
      </c>
      <c r="S6125" s="7" t="s">
        <v>570</v>
      </c>
      <c r="T6125" s="9" t="s">
        <v>68</v>
      </c>
      <c r="U6125" s="7">
        <v>0.56000000000000005</v>
      </c>
      <c r="V6125" s="12">
        <f>C6125+1</f>
        <v>40114</v>
      </c>
      <c r="W6125">
        <f>IF(D6125=' Pivot Tables'!$A$4,1,0)</f>
        <v>0</v>
      </c>
      <c r="X6125">
        <f>IF(AND(LEFT(D6125,4)+1=LEFT(' Pivot Tables'!$A$4,4)+0,RIGHT(LEFT(D6125,7),2)=RIGHT(LEFT(' Pivot Tables'!$A$4,7),2)),1,0)</f>
        <v>0</v>
      </c>
      <c r="Y6125" s="6">
        <f>1/COUNTIF(Таблица1[Order ID],Таблица1[[#This Row],[Order ID]])</f>
        <v>0.5</v>
      </c>
      <c r="Z6125" s="9">
        <f>1/COUNTIFS(Таблица1[Customer Name],Таблица1[[#This Row],[Customer Name]],Таблица1[Order-Year-Month],Таблица1[[#This Row],[Order-Year-Month]])</f>
        <v>0.5</v>
      </c>
    </row>
    <row r="6126" spans="1:26" x14ac:dyDescent="0.2">
      <c r="A6126" s="6">
        <v>2204</v>
      </c>
      <c r="B6126" s="7">
        <v>15904</v>
      </c>
      <c r="C6126" s="8">
        <f>DATE(2012,12,31)-1161</f>
        <v>40113</v>
      </c>
      <c r="D6126" s="8" t="str">
        <f t="shared" si="112"/>
        <v>2009-10 (октябрь 2009)</v>
      </c>
      <c r="E6126" s="9" t="s">
        <v>45</v>
      </c>
      <c r="F6126" s="7">
        <v>49</v>
      </c>
      <c r="G6126" s="7">
        <v>1836.84</v>
      </c>
      <c r="H6126" s="7">
        <v>0.09</v>
      </c>
      <c r="I6126" s="9" t="s">
        <v>56</v>
      </c>
      <c r="J6126" s="10">
        <v>129.94999999999999</v>
      </c>
      <c r="K6126" s="11">
        <v>40.97</v>
      </c>
      <c r="L6126" s="11">
        <v>8.99</v>
      </c>
      <c r="M6126" s="9" t="s">
        <v>1992</v>
      </c>
      <c r="N6126" s="6" t="s">
        <v>1905</v>
      </c>
      <c r="O6126" s="6" t="s">
        <v>673</v>
      </c>
      <c r="P6126" s="9" t="s">
        <v>25</v>
      </c>
      <c r="Q6126" s="9" t="s">
        <v>26</v>
      </c>
      <c r="R6126" s="9" t="s">
        <v>95</v>
      </c>
      <c r="S6126" s="7" t="s">
        <v>777</v>
      </c>
      <c r="T6126" s="9" t="s">
        <v>52</v>
      </c>
      <c r="U6126" s="7">
        <v>0.59</v>
      </c>
      <c r="V6126" s="12">
        <f>C6126+2</f>
        <v>40115</v>
      </c>
      <c r="W6126">
        <f>IF(D6126=' Pivot Tables'!$A$4,1,0)</f>
        <v>0</v>
      </c>
      <c r="X6126">
        <f>IF(AND(LEFT(D6126,4)+1=LEFT(' Pivot Tables'!$A$4,4)+0,RIGHT(LEFT(D6126,7),2)=RIGHT(LEFT(' Pivot Tables'!$A$4,7),2)),1,0)</f>
        <v>0</v>
      </c>
      <c r="Y6126" s="6">
        <f>1/COUNTIF(Таблица1[Order ID],Таблица1[[#This Row],[Order ID]])</f>
        <v>0.5</v>
      </c>
      <c r="Z6126" s="9">
        <f>1/COUNTIFS(Таблица1[Customer Name],Таблица1[[#This Row],[Customer Name]],Таблица1[Order-Year-Month],Таблица1[[#This Row],[Order-Year-Month]])</f>
        <v>0.5</v>
      </c>
    </row>
    <row r="6127" spans="1:26" x14ac:dyDescent="0.2">
      <c r="A6127" s="6">
        <v>2279</v>
      </c>
      <c r="B6127" s="7">
        <v>16422</v>
      </c>
      <c r="C6127" s="8">
        <f>DATE(2012,12,31)-449</f>
        <v>40825</v>
      </c>
      <c r="D6127" s="8" t="str">
        <f t="shared" si="112"/>
        <v>2011-10 (октябрь 2011)</v>
      </c>
      <c r="E6127" s="9" t="s">
        <v>78</v>
      </c>
      <c r="F6127" s="7">
        <v>40</v>
      </c>
      <c r="G6127" s="7">
        <v>272.01</v>
      </c>
      <c r="H6127" s="7">
        <v>0.01</v>
      </c>
      <c r="I6127" s="9" t="s">
        <v>22</v>
      </c>
      <c r="J6127" s="10">
        <v>-42.45</v>
      </c>
      <c r="K6127" s="11">
        <v>6.48</v>
      </c>
      <c r="L6127" s="11">
        <v>5.14</v>
      </c>
      <c r="M6127" s="9" t="s">
        <v>1994</v>
      </c>
      <c r="N6127" s="6" t="s">
        <v>1905</v>
      </c>
      <c r="O6127" s="6" t="s">
        <v>673</v>
      </c>
      <c r="P6127" s="9" t="s">
        <v>25</v>
      </c>
      <c r="Q6127" s="9" t="s">
        <v>26</v>
      </c>
      <c r="R6127" s="9" t="s">
        <v>61</v>
      </c>
      <c r="S6127" s="7" t="s">
        <v>1184</v>
      </c>
      <c r="T6127" s="9" t="s">
        <v>39</v>
      </c>
      <c r="U6127" s="7">
        <v>0.37</v>
      </c>
      <c r="V6127" s="12">
        <f>C6127+1</f>
        <v>40826</v>
      </c>
      <c r="W6127">
        <f>IF(D6127=' Pivot Tables'!$A$4,1,0)</f>
        <v>0</v>
      </c>
      <c r="X6127">
        <f>IF(AND(LEFT(D6127,4)+1=LEFT(' Pivot Tables'!$A$4,4)+0,RIGHT(LEFT(D6127,7),2)=RIGHT(LEFT(' Pivot Tables'!$A$4,7),2)),1,0)</f>
        <v>0</v>
      </c>
      <c r="Y6127" s="6">
        <f>1/COUNTIF(Таблица1[Order ID],Таблица1[[#This Row],[Order ID]])</f>
        <v>0.5</v>
      </c>
      <c r="Z6127" s="9">
        <f>1/COUNTIFS(Таблица1[Customer Name],Таблица1[[#This Row],[Customer Name]],Таблица1[Order-Year-Month],Таблица1[[#This Row],[Order-Year-Month]])</f>
        <v>0.5</v>
      </c>
    </row>
    <row r="6128" spans="1:26" x14ac:dyDescent="0.2">
      <c r="A6128" s="6">
        <v>2280</v>
      </c>
      <c r="B6128" s="7">
        <v>16422</v>
      </c>
      <c r="C6128" s="8">
        <f>DATE(2012,12,31)-449</f>
        <v>40825</v>
      </c>
      <c r="D6128" s="8" t="str">
        <f t="shared" si="112"/>
        <v>2011-10 (октябрь 2011)</v>
      </c>
      <c r="E6128" s="9" t="s">
        <v>78</v>
      </c>
      <c r="F6128" s="7">
        <v>16</v>
      </c>
      <c r="G6128" s="7">
        <v>171.5</v>
      </c>
      <c r="H6128" s="7">
        <v>0.02</v>
      </c>
      <c r="I6128" s="9" t="s">
        <v>22</v>
      </c>
      <c r="J6128" s="10">
        <v>-20.41</v>
      </c>
      <c r="K6128" s="11">
        <v>10.23</v>
      </c>
      <c r="L6128" s="11">
        <v>4.68</v>
      </c>
      <c r="M6128" s="9" t="s">
        <v>1994</v>
      </c>
      <c r="N6128" s="6" t="s">
        <v>1905</v>
      </c>
      <c r="O6128" s="6" t="s">
        <v>673</v>
      </c>
      <c r="P6128" s="9" t="s">
        <v>25</v>
      </c>
      <c r="Q6128" s="9" t="s">
        <v>26</v>
      </c>
      <c r="R6128" s="9" t="s">
        <v>150</v>
      </c>
      <c r="S6128" s="7" t="s">
        <v>1054</v>
      </c>
      <c r="T6128" s="9" t="s">
        <v>52</v>
      </c>
      <c r="U6128" s="7">
        <v>0.59</v>
      </c>
      <c r="V6128" s="12">
        <f>C6128+2</f>
        <v>40827</v>
      </c>
      <c r="W6128">
        <f>IF(D6128=' Pivot Tables'!$A$4,1,0)</f>
        <v>0</v>
      </c>
      <c r="X6128">
        <f>IF(AND(LEFT(D6128,4)+1=LEFT(' Pivot Tables'!$A$4,4)+0,RIGHT(LEFT(D6128,7),2)=RIGHT(LEFT(' Pivot Tables'!$A$4,7),2)),1,0)</f>
        <v>0</v>
      </c>
      <c r="Y6128" s="6">
        <f>1/COUNTIF(Таблица1[Order ID],Таблица1[[#This Row],[Order ID]])</f>
        <v>0.5</v>
      </c>
      <c r="Z6128" s="9">
        <f>1/COUNTIFS(Таблица1[Customer Name],Таблица1[[#This Row],[Customer Name]],Таблица1[Order-Year-Month],Таблица1[[#This Row],[Order-Year-Month]])</f>
        <v>0.5</v>
      </c>
    </row>
    <row r="6129" spans="1:26" x14ac:dyDescent="0.2">
      <c r="A6129" s="6">
        <v>2394</v>
      </c>
      <c r="B6129" s="7">
        <v>17345</v>
      </c>
      <c r="C6129" s="8">
        <f>DATE(2012,12,31)-517</f>
        <v>40757</v>
      </c>
      <c r="D6129" s="8" t="str">
        <f t="shared" si="112"/>
        <v>2011-08 (август 2011)</v>
      </c>
      <c r="E6129" s="9" t="s">
        <v>78</v>
      </c>
      <c r="F6129" s="7">
        <v>23</v>
      </c>
      <c r="G6129" s="7">
        <v>195.61</v>
      </c>
      <c r="H6129" s="7">
        <v>0</v>
      </c>
      <c r="I6129" s="9" t="s">
        <v>22</v>
      </c>
      <c r="J6129" s="10">
        <v>-17.02</v>
      </c>
      <c r="K6129" s="11">
        <v>7.64</v>
      </c>
      <c r="L6129" s="11">
        <v>5.83</v>
      </c>
      <c r="M6129" s="9" t="s">
        <v>1337</v>
      </c>
      <c r="N6129" s="6" t="s">
        <v>1905</v>
      </c>
      <c r="O6129" s="6" t="s">
        <v>673</v>
      </c>
      <c r="P6129" s="9" t="s">
        <v>25</v>
      </c>
      <c r="Q6129" s="9" t="s">
        <v>26</v>
      </c>
      <c r="R6129" s="9" t="s">
        <v>61</v>
      </c>
      <c r="S6129" s="7" t="s">
        <v>371</v>
      </c>
      <c r="T6129" s="9" t="s">
        <v>68</v>
      </c>
      <c r="U6129" s="7">
        <v>0.36</v>
      </c>
      <c r="V6129" s="12">
        <f>C6129+2</f>
        <v>40759</v>
      </c>
      <c r="W6129">
        <f>IF(D6129=' Pivot Tables'!$A$4,1,0)</f>
        <v>0</v>
      </c>
      <c r="X6129">
        <f>IF(AND(LEFT(D6129,4)+1=LEFT(' Pivot Tables'!$A$4,4)+0,RIGHT(LEFT(D6129,7),2)=RIGHT(LEFT(' Pivot Tables'!$A$4,7),2)),1,0)</f>
        <v>0</v>
      </c>
      <c r="Y6129" s="6">
        <f>1/COUNTIF(Таблица1[Order ID],Таблица1[[#This Row],[Order ID]])</f>
        <v>1</v>
      </c>
      <c r="Z6129" s="9">
        <f>1/COUNTIFS(Таблица1[Customer Name],Таблица1[[#This Row],[Customer Name]],Таблица1[Order-Year-Month],Таблица1[[#This Row],[Order-Year-Month]])</f>
        <v>1</v>
      </c>
    </row>
    <row r="6130" spans="1:26" x14ac:dyDescent="0.2">
      <c r="A6130" s="6">
        <v>2504</v>
      </c>
      <c r="B6130" s="7">
        <v>18208</v>
      </c>
      <c r="C6130" s="8">
        <f>DATE(2012,12,31)-274</f>
        <v>41000</v>
      </c>
      <c r="D6130" s="8" t="str">
        <f t="shared" si="112"/>
        <v>2012-04 (апрель 2012)</v>
      </c>
      <c r="E6130" s="9" t="s">
        <v>45</v>
      </c>
      <c r="F6130" s="7">
        <v>34</v>
      </c>
      <c r="G6130" s="7">
        <v>197.45</v>
      </c>
      <c r="H6130" s="7">
        <v>0.06</v>
      </c>
      <c r="I6130" s="9" t="s">
        <v>22</v>
      </c>
      <c r="J6130" s="10">
        <v>65.44</v>
      </c>
      <c r="K6130" s="11">
        <v>5.68</v>
      </c>
      <c r="L6130" s="11">
        <v>1.39</v>
      </c>
      <c r="M6130" s="9" t="s">
        <v>1984</v>
      </c>
      <c r="N6130" s="6" t="s">
        <v>1905</v>
      </c>
      <c r="O6130" s="6" t="s">
        <v>673</v>
      </c>
      <c r="P6130" s="9" t="s">
        <v>41</v>
      </c>
      <c r="Q6130" s="9" t="s">
        <v>26</v>
      </c>
      <c r="R6130" s="9" t="s">
        <v>76</v>
      </c>
      <c r="S6130" s="7" t="s">
        <v>620</v>
      </c>
      <c r="T6130" s="9" t="s">
        <v>39</v>
      </c>
      <c r="U6130" s="7">
        <v>0.38</v>
      </c>
      <c r="V6130" s="12">
        <f>C6130+2</f>
        <v>41002</v>
      </c>
      <c r="W6130">
        <f>IF(D6130=' Pivot Tables'!$A$4,1,0)</f>
        <v>0</v>
      </c>
      <c r="X6130">
        <f>IF(AND(LEFT(D6130,4)+1=LEFT(' Pivot Tables'!$A$4,4)+0,RIGHT(LEFT(D6130,7),2)=RIGHT(LEFT(' Pivot Tables'!$A$4,7),2)),1,0)</f>
        <v>0</v>
      </c>
      <c r="Y6130" s="6">
        <f>1/COUNTIF(Таблица1[Order ID],Таблица1[[#This Row],[Order ID]])</f>
        <v>0.5</v>
      </c>
      <c r="Z6130" s="9">
        <f>1/COUNTIFS(Таблица1[Customer Name],Таблица1[[#This Row],[Customer Name]],Таблица1[Order-Year-Month],Таблица1[[#This Row],[Order-Year-Month]])</f>
        <v>0.5</v>
      </c>
    </row>
    <row r="6131" spans="1:26" x14ac:dyDescent="0.2">
      <c r="A6131" s="6">
        <v>2505</v>
      </c>
      <c r="B6131" s="7">
        <v>18208</v>
      </c>
      <c r="C6131" s="8">
        <f>DATE(2012,12,31)-274</f>
        <v>41000</v>
      </c>
      <c r="D6131" s="8" t="str">
        <f t="shared" si="112"/>
        <v>2012-04 (апрель 2012)</v>
      </c>
      <c r="E6131" s="9" t="s">
        <v>45</v>
      </c>
      <c r="F6131" s="7">
        <v>36</v>
      </c>
      <c r="G6131" s="7">
        <v>82.98</v>
      </c>
      <c r="H6131" s="7">
        <v>0.08</v>
      </c>
      <c r="I6131" s="9" t="s">
        <v>22</v>
      </c>
      <c r="J6131" s="10">
        <v>-137.87</v>
      </c>
      <c r="K6131" s="11">
        <v>2.2799999999999998</v>
      </c>
      <c r="L6131" s="11">
        <v>5.2</v>
      </c>
      <c r="M6131" s="9" t="s">
        <v>1984</v>
      </c>
      <c r="N6131" s="6" t="s">
        <v>1905</v>
      </c>
      <c r="O6131" s="6" t="s">
        <v>673</v>
      </c>
      <c r="P6131" s="9" t="s">
        <v>41</v>
      </c>
      <c r="Q6131" s="9" t="s">
        <v>26</v>
      </c>
      <c r="R6131" s="9" t="s">
        <v>95</v>
      </c>
      <c r="S6131" s="7" t="s">
        <v>1499</v>
      </c>
      <c r="T6131" s="9" t="s">
        <v>68</v>
      </c>
      <c r="U6131" s="7">
        <v>0.41</v>
      </c>
      <c r="V6131" s="12">
        <f>C6131+2</f>
        <v>41002</v>
      </c>
      <c r="W6131">
        <f>IF(D6131=' Pivot Tables'!$A$4,1,0)</f>
        <v>0</v>
      </c>
      <c r="X6131">
        <f>IF(AND(LEFT(D6131,4)+1=LEFT(' Pivot Tables'!$A$4,4)+0,RIGHT(LEFT(D6131,7),2)=RIGHT(LEFT(' Pivot Tables'!$A$4,7),2)),1,0)</f>
        <v>0</v>
      </c>
      <c r="Y6131" s="6">
        <f>1/COUNTIF(Таблица1[Order ID],Таблица1[[#This Row],[Order ID]])</f>
        <v>0.5</v>
      </c>
      <c r="Z6131" s="9">
        <f>1/COUNTIFS(Таблица1[Customer Name],Таблица1[[#This Row],[Customer Name]],Таблица1[Order-Year-Month],Таблица1[[#This Row],[Order-Year-Month]])</f>
        <v>0.5</v>
      </c>
    </row>
    <row r="6132" spans="1:26" x14ac:dyDescent="0.2">
      <c r="A6132" s="6">
        <v>2556</v>
      </c>
      <c r="B6132" s="7">
        <v>18500</v>
      </c>
      <c r="C6132" s="8">
        <f>DATE(2012,12,31)-324</f>
        <v>40950</v>
      </c>
      <c r="D6132" s="8" t="str">
        <f t="shared" si="112"/>
        <v>2012-02 (февраль 2012)</v>
      </c>
      <c r="E6132" s="9" t="s">
        <v>63</v>
      </c>
      <c r="F6132" s="7">
        <v>44</v>
      </c>
      <c r="G6132" s="7">
        <v>2507.79</v>
      </c>
      <c r="H6132" s="7">
        <v>0.08</v>
      </c>
      <c r="I6132" s="9" t="s">
        <v>31</v>
      </c>
      <c r="J6132" s="10">
        <v>-779.81</v>
      </c>
      <c r="K6132" s="11">
        <v>58.14</v>
      </c>
      <c r="L6132" s="11">
        <v>36.61</v>
      </c>
      <c r="M6132" s="9" t="s">
        <v>1985</v>
      </c>
      <c r="N6132" s="6" t="s">
        <v>1905</v>
      </c>
      <c r="O6132" s="6" t="s">
        <v>673</v>
      </c>
      <c r="P6132" s="9" t="s">
        <v>25</v>
      </c>
      <c r="Q6132" s="9" t="s">
        <v>49</v>
      </c>
      <c r="R6132" s="9" t="s">
        <v>80</v>
      </c>
      <c r="S6132" s="7" t="s">
        <v>233</v>
      </c>
      <c r="T6132" s="9" t="s">
        <v>82</v>
      </c>
      <c r="U6132" s="7">
        <v>0.61</v>
      </c>
      <c r="V6132" s="12">
        <f>C6132+1</f>
        <v>40951</v>
      </c>
      <c r="W6132">
        <f>IF(D6132=' Pivot Tables'!$A$4,1,0)</f>
        <v>0</v>
      </c>
      <c r="X6132">
        <f>IF(AND(LEFT(D6132,4)+1=LEFT(' Pivot Tables'!$A$4,4)+0,RIGHT(LEFT(D6132,7),2)=RIGHT(LEFT(' Pivot Tables'!$A$4,7),2)),1,0)</f>
        <v>0</v>
      </c>
      <c r="Y6132" s="6">
        <f>1/COUNTIF(Таблица1[Order ID],Таблица1[[#This Row],[Order ID]])</f>
        <v>0.33333333333333331</v>
      </c>
      <c r="Z6132" s="9">
        <f>1/COUNTIFS(Таблица1[Customer Name],Таблица1[[#This Row],[Customer Name]],Таблица1[Order-Year-Month],Таблица1[[#This Row],[Order-Year-Month]])</f>
        <v>0.33333333333333331</v>
      </c>
    </row>
    <row r="6133" spans="1:26" x14ac:dyDescent="0.2">
      <c r="A6133" s="6">
        <v>2557</v>
      </c>
      <c r="B6133" s="7">
        <v>18500</v>
      </c>
      <c r="C6133" s="8">
        <f>DATE(2012,12,31)-324</f>
        <v>40950</v>
      </c>
      <c r="D6133" s="8" t="str">
        <f t="shared" si="112"/>
        <v>2012-02 (февраль 2012)</v>
      </c>
      <c r="E6133" s="9" t="s">
        <v>63</v>
      </c>
      <c r="F6133" s="7">
        <v>30</v>
      </c>
      <c r="G6133" s="7">
        <v>1052.68</v>
      </c>
      <c r="H6133" s="7">
        <v>0.02</v>
      </c>
      <c r="I6133" s="9" t="s">
        <v>22</v>
      </c>
      <c r="J6133" s="10">
        <v>-19.27</v>
      </c>
      <c r="K6133" s="11">
        <v>32.979999999999997</v>
      </c>
      <c r="L6133" s="11">
        <v>5.5</v>
      </c>
      <c r="M6133" s="9" t="s">
        <v>1985</v>
      </c>
      <c r="N6133" s="6" t="s">
        <v>1905</v>
      </c>
      <c r="O6133" s="6" t="s">
        <v>673</v>
      </c>
      <c r="P6133" s="9" t="s">
        <v>25</v>
      </c>
      <c r="Q6133" s="9" t="s">
        <v>42</v>
      </c>
      <c r="R6133" s="9" t="s">
        <v>70</v>
      </c>
      <c r="S6133" s="7" t="s">
        <v>403</v>
      </c>
      <c r="T6133" s="9" t="s">
        <v>39</v>
      </c>
      <c r="U6133" s="7">
        <v>0.75</v>
      </c>
      <c r="V6133" s="12">
        <f>C6133+1</f>
        <v>40951</v>
      </c>
      <c r="W6133">
        <f>IF(D6133=' Pivot Tables'!$A$4,1,0)</f>
        <v>0</v>
      </c>
      <c r="X6133">
        <f>IF(AND(LEFT(D6133,4)+1=LEFT(' Pivot Tables'!$A$4,4)+0,RIGHT(LEFT(D6133,7),2)=RIGHT(LEFT(' Pivot Tables'!$A$4,7),2)),1,0)</f>
        <v>0</v>
      </c>
      <c r="Y6133" s="6">
        <f>1/COUNTIF(Таблица1[Order ID],Таблица1[[#This Row],[Order ID]])</f>
        <v>0.33333333333333331</v>
      </c>
      <c r="Z6133" s="9">
        <f>1/COUNTIFS(Таблица1[Customer Name],Таблица1[[#This Row],[Customer Name]],Таблица1[Order-Year-Month],Таблица1[[#This Row],[Order-Year-Month]])</f>
        <v>0.33333333333333331</v>
      </c>
    </row>
    <row r="6134" spans="1:26" x14ac:dyDescent="0.2">
      <c r="A6134" s="6">
        <v>2558</v>
      </c>
      <c r="B6134" s="7">
        <v>18500</v>
      </c>
      <c r="C6134" s="8">
        <f>DATE(2012,12,31)-324</f>
        <v>40950</v>
      </c>
      <c r="D6134" s="8" t="str">
        <f t="shared" si="112"/>
        <v>2012-02 (февраль 2012)</v>
      </c>
      <c r="E6134" s="9" t="s">
        <v>63</v>
      </c>
      <c r="F6134" s="7">
        <v>30</v>
      </c>
      <c r="G6134" s="7">
        <v>2536.31</v>
      </c>
      <c r="H6134" s="7">
        <v>0.01</v>
      </c>
      <c r="I6134" s="9" t="s">
        <v>22</v>
      </c>
      <c r="J6134" s="10">
        <v>-643.46</v>
      </c>
      <c r="K6134" s="11">
        <v>80.98</v>
      </c>
      <c r="L6134" s="11">
        <v>35</v>
      </c>
      <c r="M6134" s="9" t="s">
        <v>1985</v>
      </c>
      <c r="N6134" s="6" t="s">
        <v>1905</v>
      </c>
      <c r="O6134" s="6" t="s">
        <v>673</v>
      </c>
      <c r="P6134" s="9" t="s">
        <v>25</v>
      </c>
      <c r="Q6134" s="9" t="s">
        <v>26</v>
      </c>
      <c r="R6134" s="9" t="s">
        <v>27</v>
      </c>
      <c r="S6134" s="7" t="s">
        <v>171</v>
      </c>
      <c r="T6134" s="9" t="s">
        <v>29</v>
      </c>
      <c r="U6134" s="7">
        <v>0.81</v>
      </c>
      <c r="V6134" s="12">
        <f>C6134+2</f>
        <v>40952</v>
      </c>
      <c r="W6134">
        <f>IF(D6134=' Pivot Tables'!$A$4,1,0)</f>
        <v>0</v>
      </c>
      <c r="X6134">
        <f>IF(AND(LEFT(D6134,4)+1=LEFT(' Pivot Tables'!$A$4,4)+0,RIGHT(LEFT(D6134,7),2)=RIGHT(LEFT(' Pivot Tables'!$A$4,7),2)),1,0)</f>
        <v>0</v>
      </c>
      <c r="Y6134" s="6">
        <f>1/COUNTIF(Таблица1[Order ID],Таблица1[[#This Row],[Order ID]])</f>
        <v>0.33333333333333331</v>
      </c>
      <c r="Z6134" s="9">
        <f>1/COUNTIFS(Таблица1[Customer Name],Таблица1[[#This Row],[Customer Name]],Таблица1[Order-Year-Month],Таблица1[[#This Row],[Order-Year-Month]])</f>
        <v>0.33333333333333331</v>
      </c>
    </row>
    <row r="6135" spans="1:26" x14ac:dyDescent="0.2">
      <c r="A6135" s="6">
        <v>2580</v>
      </c>
      <c r="B6135" s="7">
        <v>18597</v>
      </c>
      <c r="C6135" s="8">
        <f>DATE(2012,12,31)-827</f>
        <v>40447</v>
      </c>
      <c r="D6135" s="8" t="str">
        <f t="shared" si="112"/>
        <v>2010-09 (сентябрь 2010)</v>
      </c>
      <c r="E6135" s="9" t="s">
        <v>63</v>
      </c>
      <c r="F6135" s="7">
        <v>37</v>
      </c>
      <c r="G6135" s="7">
        <v>101.2</v>
      </c>
      <c r="H6135" s="7">
        <v>0.1</v>
      </c>
      <c r="I6135" s="9" t="s">
        <v>22</v>
      </c>
      <c r="J6135" s="10">
        <v>38.58</v>
      </c>
      <c r="K6135" s="11">
        <v>2.88</v>
      </c>
      <c r="L6135" s="11">
        <v>0.5</v>
      </c>
      <c r="M6135" s="9" t="s">
        <v>1990</v>
      </c>
      <c r="N6135" s="6" t="s">
        <v>1905</v>
      </c>
      <c r="O6135" s="6" t="s">
        <v>673</v>
      </c>
      <c r="P6135" s="9" t="s">
        <v>33</v>
      </c>
      <c r="Q6135" s="9" t="s">
        <v>26</v>
      </c>
      <c r="R6135" s="9" t="s">
        <v>88</v>
      </c>
      <c r="S6135" s="7" t="s">
        <v>1161</v>
      </c>
      <c r="T6135" s="9" t="s">
        <v>39</v>
      </c>
      <c r="U6135" s="7">
        <v>0.36</v>
      </c>
      <c r="V6135" s="12">
        <f>C6135+1</f>
        <v>40448</v>
      </c>
      <c r="W6135">
        <f>IF(D6135=' Pivot Tables'!$A$4,1,0)</f>
        <v>0</v>
      </c>
      <c r="X6135">
        <f>IF(AND(LEFT(D6135,4)+1=LEFT(' Pivot Tables'!$A$4,4)+0,RIGHT(LEFT(D6135,7),2)=RIGHT(LEFT(' Pivot Tables'!$A$4,7),2)),1,0)</f>
        <v>0</v>
      </c>
      <c r="Y6135" s="6">
        <f>1/COUNTIF(Таблица1[Order ID],Таблица1[[#This Row],[Order ID]])</f>
        <v>1</v>
      </c>
      <c r="Z6135" s="9">
        <f>1/COUNTIFS(Таблица1[Customer Name],Таблица1[[#This Row],[Customer Name]],Таблица1[Order-Year-Month],Таблица1[[#This Row],[Order-Year-Month]])</f>
        <v>1</v>
      </c>
    </row>
    <row r="6136" spans="1:26" x14ac:dyDescent="0.2">
      <c r="A6136" s="6">
        <v>2605</v>
      </c>
      <c r="B6136" s="7">
        <v>18822</v>
      </c>
      <c r="C6136" s="8">
        <f>DATE(2012,12,31)-741</f>
        <v>40533</v>
      </c>
      <c r="D6136" s="8" t="str">
        <f t="shared" si="112"/>
        <v>2010-12 (декабрь 2010)</v>
      </c>
      <c r="E6136" s="9" t="s">
        <v>21</v>
      </c>
      <c r="F6136" s="7">
        <v>34</v>
      </c>
      <c r="G6136" s="7">
        <v>1950.0359999999998</v>
      </c>
      <c r="H6136" s="7">
        <v>0.03</v>
      </c>
      <c r="I6136" s="9" t="s">
        <v>22</v>
      </c>
      <c r="J6136" s="10">
        <v>361.89</v>
      </c>
      <c r="K6136" s="11">
        <v>65.989999999999995</v>
      </c>
      <c r="L6136" s="11">
        <v>8.99</v>
      </c>
      <c r="M6136" s="9" t="s">
        <v>1337</v>
      </c>
      <c r="N6136" s="6" t="s">
        <v>1905</v>
      </c>
      <c r="O6136" s="6" t="s">
        <v>673</v>
      </c>
      <c r="P6136" s="9" t="s">
        <v>25</v>
      </c>
      <c r="Q6136" s="9" t="s">
        <v>42</v>
      </c>
      <c r="R6136" s="9" t="s">
        <v>43</v>
      </c>
      <c r="S6136" s="7" t="s">
        <v>534</v>
      </c>
      <c r="T6136" s="9" t="s">
        <v>39</v>
      </c>
      <c r="U6136" s="7">
        <v>0.56000000000000005</v>
      </c>
      <c r="V6136" s="12">
        <f>C6136+9</f>
        <v>40542</v>
      </c>
      <c r="W6136">
        <f>IF(D6136=' Pivot Tables'!$A$4,1,0)</f>
        <v>0</v>
      </c>
      <c r="X6136">
        <f>IF(AND(LEFT(D6136,4)+1=LEFT(' Pivot Tables'!$A$4,4)+0,RIGHT(LEFT(D6136,7),2)=RIGHT(LEFT(' Pivot Tables'!$A$4,7),2)),1,0)</f>
        <v>0</v>
      </c>
      <c r="Y6136" s="6">
        <f>1/COUNTIF(Таблица1[Order ID],Таблица1[[#This Row],[Order ID]])</f>
        <v>1</v>
      </c>
      <c r="Z6136" s="9">
        <f>1/COUNTIFS(Таблица1[Customer Name],Таблица1[[#This Row],[Customer Name]],Таблица1[Order-Year-Month],Таблица1[[#This Row],[Order-Year-Month]])</f>
        <v>1</v>
      </c>
    </row>
    <row r="6137" spans="1:26" x14ac:dyDescent="0.2">
      <c r="A6137" s="6">
        <v>2661</v>
      </c>
      <c r="B6137" s="7">
        <v>19232</v>
      </c>
      <c r="C6137" s="8">
        <f>DATE(2012,12,31)-1268</f>
        <v>40006</v>
      </c>
      <c r="D6137" s="8" t="str">
        <f t="shared" si="112"/>
        <v>2009-07 (июль 2009)</v>
      </c>
      <c r="E6137" s="9" t="s">
        <v>21</v>
      </c>
      <c r="F6137" s="7">
        <v>43</v>
      </c>
      <c r="G6137" s="7">
        <v>265.38</v>
      </c>
      <c r="H6137" s="7">
        <v>0.04</v>
      </c>
      <c r="I6137" s="9" t="s">
        <v>22</v>
      </c>
      <c r="J6137" s="10">
        <v>-107.59</v>
      </c>
      <c r="K6137" s="11">
        <v>6.24</v>
      </c>
      <c r="L6137" s="11">
        <v>5.22</v>
      </c>
      <c r="M6137" s="9" t="s">
        <v>1337</v>
      </c>
      <c r="N6137" s="6" t="s">
        <v>1905</v>
      </c>
      <c r="O6137" s="6" t="s">
        <v>673</v>
      </c>
      <c r="P6137" s="9" t="s">
        <v>25</v>
      </c>
      <c r="Q6137" s="9" t="s">
        <v>49</v>
      </c>
      <c r="R6137" s="9" t="s">
        <v>50</v>
      </c>
      <c r="S6137" s="7" t="s">
        <v>1140</v>
      </c>
      <c r="T6137" s="9" t="s">
        <v>39</v>
      </c>
      <c r="U6137" s="7">
        <v>0.6</v>
      </c>
      <c r="V6137" s="12">
        <f>C6137+5</f>
        <v>40011</v>
      </c>
      <c r="W6137">
        <f>IF(D6137=' Pivot Tables'!$A$4,1,0)</f>
        <v>0</v>
      </c>
      <c r="X6137">
        <f>IF(AND(LEFT(D6137,4)+1=LEFT(' Pivot Tables'!$A$4,4)+0,RIGHT(LEFT(D6137,7),2)=RIGHT(LEFT(' Pivot Tables'!$A$4,7),2)),1,0)</f>
        <v>0</v>
      </c>
      <c r="Y6137" s="6">
        <f>1/COUNTIF(Таблица1[Order ID],Таблица1[[#This Row],[Order ID]])</f>
        <v>0.33333333333333331</v>
      </c>
      <c r="Z6137" s="9">
        <f>1/COUNTIFS(Таблица1[Customer Name],Таблица1[[#This Row],[Customer Name]],Таблица1[Order-Year-Month],Таблица1[[#This Row],[Order-Year-Month]])</f>
        <v>0.33333333333333331</v>
      </c>
    </row>
    <row r="6138" spans="1:26" x14ac:dyDescent="0.2">
      <c r="A6138" s="6">
        <v>2662</v>
      </c>
      <c r="B6138" s="7">
        <v>19232</v>
      </c>
      <c r="C6138" s="8">
        <f>DATE(2012,12,31)-1268</f>
        <v>40006</v>
      </c>
      <c r="D6138" s="8" t="str">
        <f t="shared" si="112"/>
        <v>2009-07 (июль 2009)</v>
      </c>
      <c r="E6138" s="9" t="s">
        <v>21</v>
      </c>
      <c r="F6138" s="7">
        <v>5</v>
      </c>
      <c r="G6138" s="7">
        <v>33.409999999999997</v>
      </c>
      <c r="H6138" s="7">
        <v>0.09</v>
      </c>
      <c r="I6138" s="9" t="s">
        <v>22</v>
      </c>
      <c r="J6138" s="10">
        <v>-3.48</v>
      </c>
      <c r="K6138" s="11">
        <v>6.68</v>
      </c>
      <c r="L6138" s="11">
        <v>1.5</v>
      </c>
      <c r="M6138" s="9" t="s">
        <v>1337</v>
      </c>
      <c r="N6138" s="6" t="s">
        <v>1905</v>
      </c>
      <c r="O6138" s="6" t="s">
        <v>673</v>
      </c>
      <c r="P6138" s="9" t="s">
        <v>25</v>
      </c>
      <c r="Q6138" s="9" t="s">
        <v>26</v>
      </c>
      <c r="R6138" s="9" t="s">
        <v>95</v>
      </c>
      <c r="S6138" s="7" t="s">
        <v>609</v>
      </c>
      <c r="T6138" s="9" t="s">
        <v>68</v>
      </c>
      <c r="U6138" s="7">
        <v>0.48</v>
      </c>
      <c r="V6138" s="12">
        <f>C6138+2</f>
        <v>40008</v>
      </c>
      <c r="W6138">
        <f>IF(D6138=' Pivot Tables'!$A$4,1,0)</f>
        <v>0</v>
      </c>
      <c r="X6138">
        <f>IF(AND(LEFT(D6138,4)+1=LEFT(' Pivot Tables'!$A$4,4)+0,RIGHT(LEFT(D6138,7),2)=RIGHT(LEFT(' Pivot Tables'!$A$4,7),2)),1,0)</f>
        <v>0</v>
      </c>
      <c r="Y6138" s="6">
        <f>1/COUNTIF(Таблица1[Order ID],Таблица1[[#This Row],[Order ID]])</f>
        <v>0.33333333333333331</v>
      </c>
      <c r="Z6138" s="9">
        <f>1/COUNTIFS(Таблица1[Customer Name],Таблица1[[#This Row],[Customer Name]],Таблица1[Order-Year-Month],Таблица1[[#This Row],[Order-Year-Month]])</f>
        <v>0.33333333333333331</v>
      </c>
    </row>
    <row r="6139" spans="1:26" x14ac:dyDescent="0.2">
      <c r="A6139" s="6">
        <v>2663</v>
      </c>
      <c r="B6139" s="7">
        <v>19232</v>
      </c>
      <c r="C6139" s="8">
        <f>DATE(2012,12,31)-1268</f>
        <v>40006</v>
      </c>
      <c r="D6139" s="8" t="str">
        <f t="shared" si="112"/>
        <v>2009-07 (июль 2009)</v>
      </c>
      <c r="E6139" s="9" t="s">
        <v>21</v>
      </c>
      <c r="F6139" s="7">
        <v>28</v>
      </c>
      <c r="G6139" s="7">
        <v>7157.16</v>
      </c>
      <c r="H6139" s="7">
        <v>0.09</v>
      </c>
      <c r="I6139" s="9" t="s">
        <v>31</v>
      </c>
      <c r="J6139" s="10">
        <v>1150.33</v>
      </c>
      <c r="K6139" s="11">
        <v>260.98</v>
      </c>
      <c r="L6139" s="11">
        <v>41.91</v>
      </c>
      <c r="M6139" s="9" t="s">
        <v>1337</v>
      </c>
      <c r="N6139" s="6" t="s">
        <v>1905</v>
      </c>
      <c r="O6139" s="6" t="s">
        <v>673</v>
      </c>
      <c r="P6139" s="9" t="s">
        <v>25</v>
      </c>
      <c r="Q6139" s="9" t="s">
        <v>49</v>
      </c>
      <c r="R6139" s="9" t="s">
        <v>80</v>
      </c>
      <c r="S6139" s="7" t="s">
        <v>365</v>
      </c>
      <c r="T6139" s="9" t="s">
        <v>82</v>
      </c>
      <c r="U6139" s="7">
        <v>0.59</v>
      </c>
      <c r="V6139" s="12">
        <f>C6139+7</f>
        <v>40013</v>
      </c>
      <c r="W6139">
        <f>IF(D6139=' Pivot Tables'!$A$4,1,0)</f>
        <v>0</v>
      </c>
      <c r="X6139">
        <f>IF(AND(LEFT(D6139,4)+1=LEFT(' Pivot Tables'!$A$4,4)+0,RIGHT(LEFT(D6139,7),2)=RIGHT(LEFT(' Pivot Tables'!$A$4,7),2)),1,0)</f>
        <v>0</v>
      </c>
      <c r="Y6139" s="6">
        <f>1/COUNTIF(Таблица1[Order ID],Таблица1[[#This Row],[Order ID]])</f>
        <v>0.33333333333333331</v>
      </c>
      <c r="Z6139" s="9">
        <f>1/COUNTIFS(Таблица1[Customer Name],Таблица1[[#This Row],[Customer Name]],Таблица1[Order-Year-Month],Таблица1[[#This Row],[Order-Year-Month]])</f>
        <v>0.33333333333333331</v>
      </c>
    </row>
    <row r="6140" spans="1:26" x14ac:dyDescent="0.2">
      <c r="A6140" s="6">
        <v>2676</v>
      </c>
      <c r="B6140" s="7">
        <v>19363</v>
      </c>
      <c r="C6140" s="8">
        <f>DATE(2012,12,31)-545</f>
        <v>40729</v>
      </c>
      <c r="D6140" s="8" t="str">
        <f t="shared" si="112"/>
        <v>2011-07 (июль 2011)</v>
      </c>
      <c r="E6140" s="9" t="s">
        <v>30</v>
      </c>
      <c r="F6140" s="7">
        <v>44</v>
      </c>
      <c r="G6140" s="7">
        <v>286.06</v>
      </c>
      <c r="H6140" s="7">
        <v>0.1</v>
      </c>
      <c r="I6140" s="9" t="s">
        <v>22</v>
      </c>
      <c r="J6140" s="10">
        <v>-85.09</v>
      </c>
      <c r="K6140" s="11">
        <v>6.68</v>
      </c>
      <c r="L6140" s="11">
        <v>5.66</v>
      </c>
      <c r="M6140" s="9" t="s">
        <v>1988</v>
      </c>
      <c r="N6140" s="6" t="s">
        <v>1905</v>
      </c>
      <c r="O6140" s="6" t="s">
        <v>673</v>
      </c>
      <c r="P6140" s="9" t="s">
        <v>60</v>
      </c>
      <c r="Q6140" s="9" t="s">
        <v>26</v>
      </c>
      <c r="R6140" s="9" t="s">
        <v>61</v>
      </c>
      <c r="S6140" s="7" t="s">
        <v>860</v>
      </c>
      <c r="T6140" s="9" t="s">
        <v>39</v>
      </c>
      <c r="U6140" s="7">
        <v>0.37</v>
      </c>
      <c r="V6140" s="12">
        <f>C6140+1</f>
        <v>40730</v>
      </c>
      <c r="W6140">
        <f>IF(D6140=' Pivot Tables'!$A$4,1,0)</f>
        <v>0</v>
      </c>
      <c r="X6140">
        <f>IF(AND(LEFT(D6140,4)+1=LEFT(' Pivot Tables'!$A$4,4)+0,RIGHT(LEFT(D6140,7),2)=RIGHT(LEFT(' Pivot Tables'!$A$4,7),2)),1,0)</f>
        <v>0</v>
      </c>
      <c r="Y6140" s="6">
        <f>1/COUNTIF(Таблица1[Order ID],Таблица1[[#This Row],[Order ID]])</f>
        <v>0.5</v>
      </c>
      <c r="Z6140" s="9">
        <f>1/COUNTIFS(Таблица1[Customer Name],Таблица1[[#This Row],[Customer Name]],Таблица1[Order-Year-Month],Таблица1[[#This Row],[Order-Year-Month]])</f>
        <v>0.5</v>
      </c>
    </row>
    <row r="6141" spans="1:26" x14ac:dyDescent="0.2">
      <c r="A6141" s="6">
        <v>2677</v>
      </c>
      <c r="B6141" s="7">
        <v>19363</v>
      </c>
      <c r="C6141" s="8">
        <f>DATE(2012,12,31)-545</f>
        <v>40729</v>
      </c>
      <c r="D6141" s="8" t="str">
        <f t="shared" si="112"/>
        <v>2011-07 (июль 2011)</v>
      </c>
      <c r="E6141" s="9" t="s">
        <v>30</v>
      </c>
      <c r="F6141" s="7">
        <v>41</v>
      </c>
      <c r="G6141" s="7">
        <v>248.1</v>
      </c>
      <c r="H6141" s="7">
        <v>0.04</v>
      </c>
      <c r="I6141" s="9" t="s">
        <v>22</v>
      </c>
      <c r="J6141" s="10">
        <v>49.67</v>
      </c>
      <c r="K6141" s="11">
        <v>5.98</v>
      </c>
      <c r="L6141" s="11">
        <v>0.96</v>
      </c>
      <c r="M6141" s="9" t="s">
        <v>1988</v>
      </c>
      <c r="N6141" s="6" t="s">
        <v>1905</v>
      </c>
      <c r="O6141" s="6" t="s">
        <v>673</v>
      </c>
      <c r="P6141" s="9" t="s">
        <v>60</v>
      </c>
      <c r="Q6141" s="9" t="s">
        <v>26</v>
      </c>
      <c r="R6141" s="9" t="s">
        <v>95</v>
      </c>
      <c r="S6141" s="7" t="s">
        <v>749</v>
      </c>
      <c r="T6141" s="9" t="s">
        <v>68</v>
      </c>
      <c r="U6141" s="7">
        <v>0.6</v>
      </c>
      <c r="V6141" s="12">
        <f>C6141+2</f>
        <v>40731</v>
      </c>
      <c r="W6141">
        <f>IF(D6141=' Pivot Tables'!$A$4,1,0)</f>
        <v>0</v>
      </c>
      <c r="X6141">
        <f>IF(AND(LEFT(D6141,4)+1=LEFT(' Pivot Tables'!$A$4,4)+0,RIGHT(LEFT(D6141,7),2)=RIGHT(LEFT(' Pivot Tables'!$A$4,7),2)),1,0)</f>
        <v>0</v>
      </c>
      <c r="Y6141" s="6">
        <f>1/COUNTIF(Таблица1[Order ID],Таблица1[[#This Row],[Order ID]])</f>
        <v>0.5</v>
      </c>
      <c r="Z6141" s="9">
        <f>1/COUNTIFS(Таблица1[Customer Name],Таблица1[[#This Row],[Customer Name]],Таблица1[Order-Year-Month],Таблица1[[#This Row],[Order-Year-Month]])</f>
        <v>0.5</v>
      </c>
    </row>
    <row r="6142" spans="1:26" x14ac:dyDescent="0.2">
      <c r="A6142" s="6">
        <v>2679</v>
      </c>
      <c r="B6142" s="7">
        <v>19367</v>
      </c>
      <c r="C6142" s="8">
        <f>DATE(2012,12,31)-1351</f>
        <v>39923</v>
      </c>
      <c r="D6142" s="8" t="str">
        <f t="shared" si="112"/>
        <v>2009-04 (апрель 2009)</v>
      </c>
      <c r="E6142" s="9" t="s">
        <v>30</v>
      </c>
      <c r="F6142" s="7">
        <v>20</v>
      </c>
      <c r="G6142" s="7">
        <v>112.42</v>
      </c>
      <c r="H6142" s="7">
        <v>0.09</v>
      </c>
      <c r="I6142" s="9" t="s">
        <v>22</v>
      </c>
      <c r="J6142" s="10">
        <v>7.4</v>
      </c>
      <c r="K6142" s="11">
        <v>5.98</v>
      </c>
      <c r="L6142" s="11">
        <v>2.5</v>
      </c>
      <c r="M6142" s="9" t="s">
        <v>1991</v>
      </c>
      <c r="N6142" s="6" t="s">
        <v>1905</v>
      </c>
      <c r="O6142" s="6" t="s">
        <v>673</v>
      </c>
      <c r="P6142" s="9" t="s">
        <v>60</v>
      </c>
      <c r="Q6142" s="9" t="s">
        <v>26</v>
      </c>
      <c r="R6142" s="9" t="s">
        <v>76</v>
      </c>
      <c r="S6142" s="7" t="s">
        <v>625</v>
      </c>
      <c r="T6142" s="9" t="s">
        <v>39</v>
      </c>
      <c r="U6142" s="7">
        <v>0.36</v>
      </c>
      <c r="V6142" s="12">
        <f>C6142+2</f>
        <v>39925</v>
      </c>
      <c r="W6142">
        <f>IF(D6142=' Pivot Tables'!$A$4,1,0)</f>
        <v>0</v>
      </c>
      <c r="X6142">
        <f>IF(AND(LEFT(D6142,4)+1=LEFT(' Pivot Tables'!$A$4,4)+0,RIGHT(LEFT(D6142,7),2)=RIGHT(LEFT(' Pivot Tables'!$A$4,7),2)),1,0)</f>
        <v>0</v>
      </c>
      <c r="Y6142" s="6">
        <f>1/COUNTIF(Таблица1[Order ID],Таблица1[[#This Row],[Order ID]])</f>
        <v>1</v>
      </c>
      <c r="Z6142" s="9">
        <f>1/COUNTIFS(Таблица1[Customer Name],Таблица1[[#This Row],[Customer Name]],Таблица1[Order-Year-Month],Таблица1[[#This Row],[Order-Year-Month]])</f>
        <v>0.5</v>
      </c>
    </row>
    <row r="6143" spans="1:26" x14ac:dyDescent="0.2">
      <c r="A6143" s="6">
        <v>2755</v>
      </c>
      <c r="B6143" s="7">
        <v>19911</v>
      </c>
      <c r="C6143" s="8">
        <f>DATE(2012,12,31)-452</f>
        <v>40822</v>
      </c>
      <c r="D6143" s="8" t="str">
        <f t="shared" si="112"/>
        <v>2011-10 (октябрь 2011)</v>
      </c>
      <c r="E6143" s="9" t="s">
        <v>30</v>
      </c>
      <c r="F6143" s="7">
        <v>43</v>
      </c>
      <c r="G6143" s="7">
        <v>1054.7</v>
      </c>
      <c r="H6143" s="7">
        <v>7.0000000000000007E-2</v>
      </c>
      <c r="I6143" s="9" t="s">
        <v>22</v>
      </c>
      <c r="J6143" s="10">
        <v>213.26</v>
      </c>
      <c r="K6143" s="11">
        <v>25.98</v>
      </c>
      <c r="L6143" s="11">
        <v>5.37</v>
      </c>
      <c r="M6143" s="9" t="s">
        <v>1995</v>
      </c>
      <c r="N6143" s="6" t="s">
        <v>1905</v>
      </c>
      <c r="O6143" s="6" t="s">
        <v>673</v>
      </c>
      <c r="P6143" s="9" t="s">
        <v>33</v>
      </c>
      <c r="Q6143" s="9" t="s">
        <v>26</v>
      </c>
      <c r="R6143" s="9" t="s">
        <v>34</v>
      </c>
      <c r="S6143" s="7" t="s">
        <v>167</v>
      </c>
      <c r="T6143" s="9" t="s">
        <v>48</v>
      </c>
      <c r="U6143" s="7">
        <v>0.5</v>
      </c>
      <c r="V6143" s="12">
        <f>C6143+1</f>
        <v>40823</v>
      </c>
      <c r="W6143">
        <f>IF(D6143=' Pivot Tables'!$A$4,1,0)</f>
        <v>0</v>
      </c>
      <c r="X6143">
        <f>IF(AND(LEFT(D6143,4)+1=LEFT(' Pivot Tables'!$A$4,4)+0,RIGHT(LEFT(D6143,7),2)=RIGHT(LEFT(' Pivot Tables'!$A$4,7),2)),1,0)</f>
        <v>0</v>
      </c>
      <c r="Y6143" s="6">
        <f>1/COUNTIF(Таблица1[Order ID],Таблица1[[#This Row],[Order ID]])</f>
        <v>0.33333333333333331</v>
      </c>
      <c r="Z6143" s="9">
        <f>1/COUNTIFS(Таблица1[Customer Name],Таблица1[[#This Row],[Customer Name]],Таблица1[Order-Year-Month],Таблица1[[#This Row],[Order-Year-Month]])</f>
        <v>0.33333333333333331</v>
      </c>
    </row>
    <row r="6144" spans="1:26" x14ac:dyDescent="0.2">
      <c r="A6144" s="6">
        <v>2756</v>
      </c>
      <c r="B6144" s="7">
        <v>19911</v>
      </c>
      <c r="C6144" s="8">
        <f>DATE(2012,12,31)-452</f>
        <v>40822</v>
      </c>
      <c r="D6144" s="8" t="str">
        <f t="shared" si="112"/>
        <v>2011-10 (октябрь 2011)</v>
      </c>
      <c r="E6144" s="9" t="s">
        <v>30</v>
      </c>
      <c r="F6144" s="7">
        <v>38</v>
      </c>
      <c r="G6144" s="7">
        <v>5349.21</v>
      </c>
      <c r="H6144" s="7">
        <v>0.01</v>
      </c>
      <c r="I6144" s="9" t="s">
        <v>31</v>
      </c>
      <c r="J6144" s="10">
        <v>61.9</v>
      </c>
      <c r="K6144" s="11">
        <v>135.99</v>
      </c>
      <c r="L6144" s="11">
        <v>28.63</v>
      </c>
      <c r="M6144" s="9" t="s">
        <v>1995</v>
      </c>
      <c r="N6144" s="6" t="s">
        <v>1905</v>
      </c>
      <c r="O6144" s="6" t="s">
        <v>673</v>
      </c>
      <c r="P6144" s="9" t="s">
        <v>33</v>
      </c>
      <c r="Q6144" s="9" t="s">
        <v>49</v>
      </c>
      <c r="R6144" s="9" t="s">
        <v>112</v>
      </c>
      <c r="S6144" s="7" t="s">
        <v>458</v>
      </c>
      <c r="T6144" s="9" t="s">
        <v>36</v>
      </c>
      <c r="U6144" s="7">
        <v>0.76</v>
      </c>
      <c r="V6144" s="12">
        <f>C6144+2</f>
        <v>40824</v>
      </c>
      <c r="W6144">
        <f>IF(D6144=' Pivot Tables'!$A$4,1,0)</f>
        <v>0</v>
      </c>
      <c r="X6144">
        <f>IF(AND(LEFT(D6144,4)+1=LEFT(' Pivot Tables'!$A$4,4)+0,RIGHT(LEFT(D6144,7),2)=RIGHT(LEFT(' Pivot Tables'!$A$4,7),2)),1,0)</f>
        <v>0</v>
      </c>
      <c r="Y6144" s="6">
        <f>1/COUNTIF(Таблица1[Order ID],Таблица1[[#This Row],[Order ID]])</f>
        <v>0.33333333333333331</v>
      </c>
      <c r="Z6144" s="9">
        <f>1/COUNTIFS(Таблица1[Customer Name],Таблица1[[#This Row],[Customer Name]],Таблица1[Order-Year-Month],Таблица1[[#This Row],[Order-Year-Month]])</f>
        <v>0.33333333333333331</v>
      </c>
    </row>
    <row r="6145" spans="1:26" x14ac:dyDescent="0.2">
      <c r="A6145" s="6">
        <v>2757</v>
      </c>
      <c r="B6145" s="7">
        <v>19911</v>
      </c>
      <c r="C6145" s="8">
        <f>DATE(2012,12,31)-452</f>
        <v>40822</v>
      </c>
      <c r="D6145" s="8" t="str">
        <f t="shared" si="112"/>
        <v>2011-10 (октябрь 2011)</v>
      </c>
      <c r="E6145" s="9" t="s">
        <v>30</v>
      </c>
      <c r="F6145" s="7">
        <v>39</v>
      </c>
      <c r="G6145" s="7">
        <v>4859.37</v>
      </c>
      <c r="H6145" s="7">
        <v>7.0000000000000007E-2</v>
      </c>
      <c r="I6145" s="9" t="s">
        <v>22</v>
      </c>
      <c r="J6145" s="10">
        <v>2472.3200000000002</v>
      </c>
      <c r="K6145" s="11">
        <v>150.97999999999999</v>
      </c>
      <c r="L6145" s="11">
        <v>13.99</v>
      </c>
      <c r="M6145" s="9" t="s">
        <v>1995</v>
      </c>
      <c r="N6145" s="6" t="s">
        <v>1905</v>
      </c>
      <c r="O6145" s="6" t="s">
        <v>673</v>
      </c>
      <c r="P6145" s="9" t="s">
        <v>33</v>
      </c>
      <c r="Q6145" s="9" t="s">
        <v>42</v>
      </c>
      <c r="R6145" s="9" t="s">
        <v>210</v>
      </c>
      <c r="S6145" s="7" t="s">
        <v>341</v>
      </c>
      <c r="T6145" s="9" t="s">
        <v>48</v>
      </c>
      <c r="U6145" s="7">
        <v>0.38</v>
      </c>
      <c r="V6145" s="12">
        <f>C6145+0</f>
        <v>40822</v>
      </c>
      <c r="W6145">
        <f>IF(D6145=' Pivot Tables'!$A$4,1,0)</f>
        <v>0</v>
      </c>
      <c r="X6145">
        <f>IF(AND(LEFT(D6145,4)+1=LEFT(' Pivot Tables'!$A$4,4)+0,RIGHT(LEFT(D6145,7),2)=RIGHT(LEFT(' Pivot Tables'!$A$4,7),2)),1,0)</f>
        <v>0</v>
      </c>
      <c r="Y6145" s="6">
        <f>1/COUNTIF(Таблица1[Order ID],Таблица1[[#This Row],[Order ID]])</f>
        <v>0.33333333333333331</v>
      </c>
      <c r="Z6145" s="9">
        <f>1/COUNTIFS(Таблица1[Customer Name],Таблица1[[#This Row],[Customer Name]],Таблица1[Order-Year-Month],Таблица1[[#This Row],[Order-Year-Month]])</f>
        <v>0.33333333333333331</v>
      </c>
    </row>
    <row r="6146" spans="1:26" x14ac:dyDescent="0.2">
      <c r="A6146" s="6">
        <v>2848</v>
      </c>
      <c r="B6146" s="7">
        <v>20517</v>
      </c>
      <c r="C6146" s="8">
        <f>DATE(2012,12,31)-838</f>
        <v>40436</v>
      </c>
      <c r="D6146" s="8" t="str">
        <f t="shared" si="112"/>
        <v>2010-09 (сентябрь 2010)</v>
      </c>
      <c r="E6146" s="9" t="s">
        <v>21</v>
      </c>
      <c r="F6146" s="7">
        <v>39</v>
      </c>
      <c r="G6146" s="7">
        <v>116.63</v>
      </c>
      <c r="H6146" s="7">
        <v>0.03</v>
      </c>
      <c r="I6146" s="9" t="s">
        <v>22</v>
      </c>
      <c r="J6146" s="10">
        <v>6.81</v>
      </c>
      <c r="K6146" s="11">
        <v>2.94</v>
      </c>
      <c r="L6146" s="11">
        <v>0.96</v>
      </c>
      <c r="M6146" s="9" t="s">
        <v>1992</v>
      </c>
      <c r="N6146" s="6" t="s">
        <v>1905</v>
      </c>
      <c r="O6146" s="6" t="s">
        <v>673</v>
      </c>
      <c r="P6146" s="9" t="s">
        <v>25</v>
      </c>
      <c r="Q6146" s="9" t="s">
        <v>26</v>
      </c>
      <c r="R6146" s="9" t="s">
        <v>95</v>
      </c>
      <c r="S6146" s="7" t="s">
        <v>486</v>
      </c>
      <c r="T6146" s="9" t="s">
        <v>68</v>
      </c>
      <c r="U6146" s="7">
        <v>0.57999999999999996</v>
      </c>
      <c r="V6146" s="12">
        <f>C6146+2</f>
        <v>40438</v>
      </c>
      <c r="W6146">
        <f>IF(D6146=' Pivot Tables'!$A$4,1,0)</f>
        <v>0</v>
      </c>
      <c r="X6146">
        <f>IF(AND(LEFT(D6146,4)+1=LEFT(' Pivot Tables'!$A$4,4)+0,RIGHT(LEFT(D6146,7),2)=RIGHT(LEFT(' Pivot Tables'!$A$4,7),2)),1,0)</f>
        <v>0</v>
      </c>
      <c r="Y6146" s="6">
        <f>1/COUNTIF(Таблица1[Order ID],Таблица1[[#This Row],[Order ID]])</f>
        <v>1</v>
      </c>
      <c r="Z6146" s="9">
        <f>1/COUNTIFS(Таблица1[Customer Name],Таблица1[[#This Row],[Customer Name]],Таблица1[Order-Year-Month],Таблица1[[#This Row],[Order-Year-Month]])</f>
        <v>1</v>
      </c>
    </row>
    <row r="6147" spans="1:26" x14ac:dyDescent="0.2">
      <c r="A6147" s="6">
        <v>2995</v>
      </c>
      <c r="B6147" s="7">
        <v>21605</v>
      </c>
      <c r="C6147" s="8">
        <f>DATE(2012,12,31)-267</f>
        <v>41007</v>
      </c>
      <c r="D6147" s="8" t="str">
        <f t="shared" ref="D6147:D6210" si="114">TEXT(C6147,"гггг-ММ (ММММ гггг)")</f>
        <v>2012-04 (апрель 2012)</v>
      </c>
      <c r="E6147" s="9" t="s">
        <v>30</v>
      </c>
      <c r="F6147" s="7">
        <v>32</v>
      </c>
      <c r="G6147" s="7">
        <v>1932.97</v>
      </c>
      <c r="H6147" s="7">
        <v>0.08</v>
      </c>
      <c r="I6147" s="9" t="s">
        <v>31</v>
      </c>
      <c r="J6147" s="10">
        <v>-514.94000000000005</v>
      </c>
      <c r="K6147" s="11">
        <v>60.98</v>
      </c>
      <c r="L6147" s="11">
        <v>30</v>
      </c>
      <c r="M6147" s="9" t="s">
        <v>1993</v>
      </c>
      <c r="N6147" s="6" t="s">
        <v>1905</v>
      </c>
      <c r="O6147" s="6" t="s">
        <v>673</v>
      </c>
      <c r="P6147" s="9" t="s">
        <v>25</v>
      </c>
      <c r="Q6147" s="9" t="s">
        <v>49</v>
      </c>
      <c r="R6147" s="9" t="s">
        <v>112</v>
      </c>
      <c r="S6147" s="7" t="s">
        <v>979</v>
      </c>
      <c r="T6147" s="9" t="s">
        <v>36</v>
      </c>
      <c r="U6147" s="7">
        <v>0.7</v>
      </c>
      <c r="V6147" s="12">
        <f>C6147+2</f>
        <v>41009</v>
      </c>
      <c r="W6147">
        <f>IF(D6147=' Pivot Tables'!$A$4,1,0)</f>
        <v>0</v>
      </c>
      <c r="X6147">
        <f>IF(AND(LEFT(D6147,4)+1=LEFT(' Pivot Tables'!$A$4,4)+0,RIGHT(LEFT(D6147,7),2)=RIGHT(LEFT(' Pivot Tables'!$A$4,7),2)),1,0)</f>
        <v>0</v>
      </c>
      <c r="Y6147" s="6">
        <f>1/COUNTIF(Таблица1[Order ID],Таблица1[[#This Row],[Order ID]])</f>
        <v>0.5</v>
      </c>
      <c r="Z6147" s="9">
        <f>1/COUNTIFS(Таблица1[Customer Name],Таблица1[[#This Row],[Customer Name]],Таблица1[Order-Year-Month],Таблица1[[#This Row],[Order-Year-Month]])</f>
        <v>0.5</v>
      </c>
    </row>
    <row r="6148" spans="1:26" x14ac:dyDescent="0.2">
      <c r="A6148" s="6">
        <v>2996</v>
      </c>
      <c r="B6148" s="7">
        <v>21605</v>
      </c>
      <c r="C6148" s="8">
        <f>DATE(2012,12,31)-267</f>
        <v>41007</v>
      </c>
      <c r="D6148" s="8" t="str">
        <f t="shared" si="114"/>
        <v>2012-04 (апрель 2012)</v>
      </c>
      <c r="E6148" s="9" t="s">
        <v>30</v>
      </c>
      <c r="F6148" s="7">
        <v>46</v>
      </c>
      <c r="G6148" s="7">
        <v>476.49</v>
      </c>
      <c r="H6148" s="7">
        <v>0.1</v>
      </c>
      <c r="I6148" s="9" t="s">
        <v>22</v>
      </c>
      <c r="J6148" s="10">
        <v>-18.57</v>
      </c>
      <c r="K6148" s="11">
        <v>10.64</v>
      </c>
      <c r="L6148" s="11">
        <v>5.16</v>
      </c>
      <c r="M6148" s="9" t="s">
        <v>1993</v>
      </c>
      <c r="N6148" s="6" t="s">
        <v>1905</v>
      </c>
      <c r="O6148" s="6" t="s">
        <v>673</v>
      </c>
      <c r="P6148" s="9" t="s">
        <v>25</v>
      </c>
      <c r="Q6148" s="9" t="s">
        <v>49</v>
      </c>
      <c r="R6148" s="9" t="s">
        <v>50</v>
      </c>
      <c r="S6148" s="7" t="s">
        <v>593</v>
      </c>
      <c r="T6148" s="9" t="s">
        <v>39</v>
      </c>
      <c r="U6148" s="7">
        <v>0.56999999999999995</v>
      </c>
      <c r="V6148" s="12">
        <f>C6148+2</f>
        <v>41009</v>
      </c>
      <c r="W6148">
        <f>IF(D6148=' Pivot Tables'!$A$4,1,0)</f>
        <v>0</v>
      </c>
      <c r="X6148">
        <f>IF(AND(LEFT(D6148,4)+1=LEFT(' Pivot Tables'!$A$4,4)+0,RIGHT(LEFT(D6148,7),2)=RIGHT(LEFT(' Pivot Tables'!$A$4,7),2)),1,0)</f>
        <v>0</v>
      </c>
      <c r="Y6148" s="6">
        <f>1/COUNTIF(Таблица1[Order ID],Таблица1[[#This Row],[Order ID]])</f>
        <v>0.5</v>
      </c>
      <c r="Z6148" s="9">
        <f>1/COUNTIFS(Таблица1[Customer Name],Таблица1[[#This Row],[Customer Name]],Таблица1[Order-Year-Month],Таблица1[[#This Row],[Order-Year-Month]])</f>
        <v>0.5</v>
      </c>
    </row>
    <row r="6149" spans="1:26" x14ac:dyDescent="0.2">
      <c r="A6149" s="6">
        <v>3040</v>
      </c>
      <c r="B6149" s="7">
        <v>21830</v>
      </c>
      <c r="C6149" s="8">
        <f>DATE(2012,12,31)-1450</f>
        <v>39824</v>
      </c>
      <c r="D6149" s="8" t="str">
        <f t="shared" si="114"/>
        <v>2009-01 (январь 2009)</v>
      </c>
      <c r="E6149" s="9" t="s">
        <v>21</v>
      </c>
      <c r="F6149" s="7">
        <v>19</v>
      </c>
      <c r="G6149" s="7">
        <v>6991.65</v>
      </c>
      <c r="H6149" s="7">
        <v>0.08</v>
      </c>
      <c r="I6149" s="9" t="s">
        <v>31</v>
      </c>
      <c r="J6149" s="10">
        <v>906.8</v>
      </c>
      <c r="K6149" s="11">
        <v>399.98</v>
      </c>
      <c r="L6149" s="11">
        <v>12.06</v>
      </c>
      <c r="M6149" s="9" t="s">
        <v>1990</v>
      </c>
      <c r="N6149" s="6" t="s">
        <v>1905</v>
      </c>
      <c r="O6149" s="6" t="s">
        <v>673</v>
      </c>
      <c r="P6149" s="9" t="s">
        <v>33</v>
      </c>
      <c r="Q6149" s="9" t="s">
        <v>42</v>
      </c>
      <c r="R6149" s="9" t="s">
        <v>210</v>
      </c>
      <c r="S6149" s="7" t="s">
        <v>1051</v>
      </c>
      <c r="T6149" s="9" t="s">
        <v>82</v>
      </c>
      <c r="U6149" s="7">
        <v>0.56000000000000005</v>
      </c>
      <c r="V6149" s="12">
        <f>C6149+7</f>
        <v>39831</v>
      </c>
      <c r="W6149">
        <f>IF(D6149=' Pivot Tables'!$A$4,1,0)</f>
        <v>0</v>
      </c>
      <c r="X6149">
        <f>IF(AND(LEFT(D6149,4)+1=LEFT(' Pivot Tables'!$A$4,4)+0,RIGHT(LEFT(D6149,7),2)=RIGHT(LEFT(' Pivot Tables'!$A$4,7),2)),1,0)</f>
        <v>1</v>
      </c>
      <c r="Y6149" s="6">
        <f>1/COUNTIF(Таблица1[Order ID],Таблица1[[#This Row],[Order ID]])</f>
        <v>1</v>
      </c>
      <c r="Z6149" s="9">
        <f>1/COUNTIFS(Таблица1[Customer Name],Таблица1[[#This Row],[Customer Name]],Таблица1[Order-Year-Month],Таблица1[[#This Row],[Order-Year-Month]])</f>
        <v>1</v>
      </c>
    </row>
    <row r="6150" spans="1:26" x14ac:dyDescent="0.2">
      <c r="A6150" s="6">
        <v>3086</v>
      </c>
      <c r="B6150" s="7">
        <v>22147</v>
      </c>
      <c r="C6150" s="8">
        <f>DATE(2012,12,31)-1445</f>
        <v>39829</v>
      </c>
      <c r="D6150" s="8" t="str">
        <f t="shared" si="114"/>
        <v>2009-01 (январь 2009)</v>
      </c>
      <c r="E6150" s="9" t="s">
        <v>21</v>
      </c>
      <c r="F6150" s="7">
        <v>37</v>
      </c>
      <c r="G6150" s="7">
        <v>832.14</v>
      </c>
      <c r="H6150" s="7">
        <v>0.04</v>
      </c>
      <c r="I6150" s="9" t="s">
        <v>22</v>
      </c>
      <c r="J6150" s="10">
        <v>175.07</v>
      </c>
      <c r="K6150" s="11">
        <v>22.72</v>
      </c>
      <c r="L6150" s="11">
        <v>8.99</v>
      </c>
      <c r="M6150" s="9" t="s">
        <v>1986</v>
      </c>
      <c r="N6150" s="6" t="s">
        <v>1905</v>
      </c>
      <c r="O6150" s="6" t="s">
        <v>673</v>
      </c>
      <c r="P6150" s="9" t="s">
        <v>41</v>
      </c>
      <c r="Q6150" s="9" t="s">
        <v>49</v>
      </c>
      <c r="R6150" s="9" t="s">
        <v>50</v>
      </c>
      <c r="S6150" s="7" t="s">
        <v>315</v>
      </c>
      <c r="T6150" s="9" t="s">
        <v>52</v>
      </c>
      <c r="U6150" s="7">
        <v>0.44</v>
      </c>
      <c r="V6150" s="12">
        <f>C6150+4</f>
        <v>39833</v>
      </c>
      <c r="W6150">
        <f>IF(D6150=' Pivot Tables'!$A$4,1,0)</f>
        <v>0</v>
      </c>
      <c r="X6150">
        <f>IF(AND(LEFT(D6150,4)+1=LEFT(' Pivot Tables'!$A$4,4)+0,RIGHT(LEFT(D6150,7),2)=RIGHT(LEFT(' Pivot Tables'!$A$4,7),2)),1,0)</f>
        <v>1</v>
      </c>
      <c r="Y6150" s="6">
        <f>1/COUNTIF(Таблица1[Order ID],Таблица1[[#This Row],[Order ID]])</f>
        <v>1</v>
      </c>
      <c r="Z6150" s="9">
        <f>1/COUNTIFS(Таблица1[Customer Name],Таблица1[[#This Row],[Customer Name]],Таблица1[Order-Year-Month],Таблица1[[#This Row],[Order-Year-Month]])</f>
        <v>1</v>
      </c>
    </row>
    <row r="6151" spans="1:26" x14ac:dyDescent="0.2">
      <c r="A6151" s="6">
        <v>3092</v>
      </c>
      <c r="B6151" s="7">
        <v>22182</v>
      </c>
      <c r="C6151" s="8">
        <f>DATE(2012,12,31)-117</f>
        <v>41157</v>
      </c>
      <c r="D6151" s="8" t="str">
        <f t="shared" si="114"/>
        <v>2012-09 (сентябрь 2012)</v>
      </c>
      <c r="E6151" s="9" t="s">
        <v>63</v>
      </c>
      <c r="F6151" s="7">
        <v>4</v>
      </c>
      <c r="G6151" s="7">
        <v>55.97</v>
      </c>
      <c r="H6151" s="7">
        <v>0.09</v>
      </c>
      <c r="I6151" s="9" t="s">
        <v>22</v>
      </c>
      <c r="J6151" s="10">
        <v>-19.343</v>
      </c>
      <c r="K6151" s="11">
        <v>12.53</v>
      </c>
      <c r="L6151" s="11">
        <v>7.17</v>
      </c>
      <c r="M6151" s="9" t="s">
        <v>1337</v>
      </c>
      <c r="N6151" s="6" t="s">
        <v>1905</v>
      </c>
      <c r="O6151" s="6" t="s">
        <v>673</v>
      </c>
      <c r="P6151" s="9" t="s">
        <v>25</v>
      </c>
      <c r="Q6151" s="9" t="s">
        <v>26</v>
      </c>
      <c r="R6151" s="9" t="s">
        <v>37</v>
      </c>
      <c r="S6151" s="7" t="s">
        <v>1414</v>
      </c>
      <c r="T6151" s="9" t="s">
        <v>39</v>
      </c>
      <c r="U6151" s="7">
        <v>0.38</v>
      </c>
      <c r="V6151" s="12">
        <f>C6151+1</f>
        <v>41158</v>
      </c>
      <c r="W6151">
        <f>IF(D6151=' Pivot Tables'!$A$4,1,0)</f>
        <v>0</v>
      </c>
      <c r="X6151">
        <f>IF(AND(LEFT(D6151,4)+1=LEFT(' Pivot Tables'!$A$4,4)+0,RIGHT(LEFT(D6151,7),2)=RIGHT(LEFT(' Pivot Tables'!$A$4,7),2)),1,0)</f>
        <v>0</v>
      </c>
      <c r="Y6151" s="6">
        <f>1/COUNTIF(Таблица1[Order ID],Таблица1[[#This Row],[Order ID]])</f>
        <v>0.33333333333333331</v>
      </c>
      <c r="Z6151" s="9">
        <f>1/COUNTIFS(Таблица1[Customer Name],Таблица1[[#This Row],[Customer Name]],Таблица1[Order-Year-Month],Таблица1[[#This Row],[Order-Year-Month]])</f>
        <v>0.33333333333333331</v>
      </c>
    </row>
    <row r="6152" spans="1:26" x14ac:dyDescent="0.2">
      <c r="A6152" s="6">
        <v>3093</v>
      </c>
      <c r="B6152" s="7">
        <v>22182</v>
      </c>
      <c r="C6152" s="8">
        <f>DATE(2012,12,31)-117</f>
        <v>41157</v>
      </c>
      <c r="D6152" s="8" t="str">
        <f t="shared" si="114"/>
        <v>2012-09 (сентябрь 2012)</v>
      </c>
      <c r="E6152" s="9" t="s">
        <v>63</v>
      </c>
      <c r="F6152" s="7">
        <v>9</v>
      </c>
      <c r="G6152" s="7">
        <v>174.72</v>
      </c>
      <c r="H6152" s="7">
        <v>0.06</v>
      </c>
      <c r="I6152" s="9" t="s">
        <v>22</v>
      </c>
      <c r="J6152" s="10">
        <v>-63.48</v>
      </c>
      <c r="K6152" s="11">
        <v>19.98</v>
      </c>
      <c r="L6152" s="11">
        <v>4</v>
      </c>
      <c r="M6152" s="9" t="s">
        <v>1337</v>
      </c>
      <c r="N6152" s="6" t="s">
        <v>1905</v>
      </c>
      <c r="O6152" s="6" t="s">
        <v>673</v>
      </c>
      <c r="P6152" s="9" t="s">
        <v>25</v>
      </c>
      <c r="Q6152" s="9" t="s">
        <v>42</v>
      </c>
      <c r="R6152" s="9" t="s">
        <v>70</v>
      </c>
      <c r="S6152" s="7" t="s">
        <v>655</v>
      </c>
      <c r="T6152" s="9" t="s">
        <v>39</v>
      </c>
      <c r="U6152" s="7">
        <v>0.68</v>
      </c>
      <c r="V6152" s="12">
        <f>C6152+3</f>
        <v>41160</v>
      </c>
      <c r="W6152">
        <f>IF(D6152=' Pivot Tables'!$A$4,1,0)</f>
        <v>0</v>
      </c>
      <c r="X6152">
        <f>IF(AND(LEFT(D6152,4)+1=LEFT(' Pivot Tables'!$A$4,4)+0,RIGHT(LEFT(D6152,7),2)=RIGHT(LEFT(' Pivot Tables'!$A$4,7),2)),1,0)</f>
        <v>0</v>
      </c>
      <c r="Y6152" s="6">
        <f>1/COUNTIF(Таблица1[Order ID],Таблица1[[#This Row],[Order ID]])</f>
        <v>0.33333333333333331</v>
      </c>
      <c r="Z6152" s="9">
        <f>1/COUNTIFS(Таблица1[Customer Name],Таблица1[[#This Row],[Customer Name]],Таблица1[Order-Year-Month],Таблица1[[#This Row],[Order-Year-Month]])</f>
        <v>0.33333333333333331</v>
      </c>
    </row>
    <row r="6153" spans="1:26" x14ac:dyDescent="0.2">
      <c r="A6153" s="6">
        <v>3094</v>
      </c>
      <c r="B6153" s="7">
        <v>22182</v>
      </c>
      <c r="C6153" s="8">
        <f>DATE(2012,12,31)-117</f>
        <v>41157</v>
      </c>
      <c r="D6153" s="8" t="str">
        <f t="shared" si="114"/>
        <v>2012-09 (сентябрь 2012)</v>
      </c>
      <c r="E6153" s="9" t="s">
        <v>63</v>
      </c>
      <c r="F6153" s="7">
        <v>48</v>
      </c>
      <c r="G6153" s="7">
        <v>2271.37</v>
      </c>
      <c r="H6153" s="7">
        <v>0.09</v>
      </c>
      <c r="I6153" s="9" t="s">
        <v>56</v>
      </c>
      <c r="J6153" s="10">
        <v>528.11</v>
      </c>
      <c r="K6153" s="11">
        <v>49.34</v>
      </c>
      <c r="L6153" s="11">
        <v>10.25</v>
      </c>
      <c r="M6153" s="9" t="s">
        <v>1337</v>
      </c>
      <c r="N6153" s="6" t="s">
        <v>1905</v>
      </c>
      <c r="O6153" s="6" t="s">
        <v>673</v>
      </c>
      <c r="P6153" s="9" t="s">
        <v>25</v>
      </c>
      <c r="Q6153" s="9" t="s">
        <v>49</v>
      </c>
      <c r="R6153" s="9" t="s">
        <v>50</v>
      </c>
      <c r="S6153" s="7" t="s">
        <v>1279</v>
      </c>
      <c r="T6153" s="9" t="s">
        <v>29</v>
      </c>
      <c r="U6153" s="7">
        <v>0.56999999999999995</v>
      </c>
      <c r="V6153" s="12">
        <f>C6153+2</f>
        <v>41159</v>
      </c>
      <c r="W6153">
        <f>IF(D6153=' Pivot Tables'!$A$4,1,0)</f>
        <v>0</v>
      </c>
      <c r="X6153">
        <f>IF(AND(LEFT(D6153,4)+1=LEFT(' Pivot Tables'!$A$4,4)+0,RIGHT(LEFT(D6153,7),2)=RIGHT(LEFT(' Pivot Tables'!$A$4,7),2)),1,0)</f>
        <v>0</v>
      </c>
      <c r="Y6153" s="6">
        <f>1/COUNTIF(Таблица1[Order ID],Таблица1[[#This Row],[Order ID]])</f>
        <v>0.33333333333333331</v>
      </c>
      <c r="Z6153" s="9">
        <f>1/COUNTIFS(Таблица1[Customer Name],Таблица1[[#This Row],[Customer Name]],Таблица1[Order-Year-Month],Таблица1[[#This Row],[Order-Year-Month]])</f>
        <v>0.33333333333333331</v>
      </c>
    </row>
    <row r="6154" spans="1:26" x14ac:dyDescent="0.2">
      <c r="A6154" s="6">
        <v>3103</v>
      </c>
      <c r="B6154" s="7">
        <v>22243</v>
      </c>
      <c r="C6154" s="8">
        <f>DATE(2012,12,31)-1446</f>
        <v>39828</v>
      </c>
      <c r="D6154" s="8" t="str">
        <f t="shared" si="114"/>
        <v>2009-01 (январь 2009)</v>
      </c>
      <c r="E6154" s="9" t="s">
        <v>78</v>
      </c>
      <c r="F6154" s="7">
        <v>9</v>
      </c>
      <c r="G6154" s="7">
        <v>24.76</v>
      </c>
      <c r="H6154" s="7">
        <v>0.09</v>
      </c>
      <c r="I6154" s="9" t="s">
        <v>22</v>
      </c>
      <c r="J6154" s="10">
        <v>-1.82</v>
      </c>
      <c r="K6154" s="11">
        <v>2.88</v>
      </c>
      <c r="L6154" s="11">
        <v>0.7</v>
      </c>
      <c r="M6154" s="9" t="s">
        <v>1991</v>
      </c>
      <c r="N6154" s="6" t="s">
        <v>1905</v>
      </c>
      <c r="O6154" s="6" t="s">
        <v>673</v>
      </c>
      <c r="P6154" s="9" t="s">
        <v>33</v>
      </c>
      <c r="Q6154" s="9" t="s">
        <v>26</v>
      </c>
      <c r="R6154" s="9" t="s">
        <v>95</v>
      </c>
      <c r="S6154" s="7" t="s">
        <v>96</v>
      </c>
      <c r="T6154" s="9" t="s">
        <v>68</v>
      </c>
      <c r="U6154" s="7">
        <v>0.56000000000000005</v>
      </c>
      <c r="V6154" s="12">
        <f>C6154+1</f>
        <v>39829</v>
      </c>
      <c r="W6154">
        <f>IF(D6154=' Pivot Tables'!$A$4,1,0)</f>
        <v>0</v>
      </c>
      <c r="X6154">
        <f>IF(AND(LEFT(D6154,4)+1=LEFT(' Pivot Tables'!$A$4,4)+0,RIGHT(LEFT(D6154,7),2)=RIGHT(LEFT(' Pivot Tables'!$A$4,7),2)),1,0)</f>
        <v>1</v>
      </c>
      <c r="Y6154" s="6">
        <f>1/COUNTIF(Таблица1[Order ID],Таблица1[[#This Row],[Order ID]])</f>
        <v>1</v>
      </c>
      <c r="Z6154" s="9">
        <f>1/COUNTIFS(Таблица1[Customer Name],Таблица1[[#This Row],[Customer Name]],Таблица1[Order-Year-Month],Таблица1[[#This Row],[Order-Year-Month]])</f>
        <v>0.5</v>
      </c>
    </row>
    <row r="6155" spans="1:26" x14ac:dyDescent="0.2">
      <c r="A6155" s="6">
        <v>3218</v>
      </c>
      <c r="B6155" s="7">
        <v>23104</v>
      </c>
      <c r="C6155" s="8">
        <f>DATE(2012,12,31)-632</f>
        <v>40642</v>
      </c>
      <c r="D6155" s="8" t="str">
        <f t="shared" si="114"/>
        <v>2011-04 (апрель 2011)</v>
      </c>
      <c r="E6155" s="9" t="s">
        <v>63</v>
      </c>
      <c r="F6155" s="7">
        <v>3</v>
      </c>
      <c r="G6155" s="7">
        <v>30.92</v>
      </c>
      <c r="H6155" s="7">
        <v>0.02</v>
      </c>
      <c r="I6155" s="9" t="s">
        <v>56</v>
      </c>
      <c r="J6155" s="10">
        <v>28.64</v>
      </c>
      <c r="K6155" s="11">
        <v>6.98</v>
      </c>
      <c r="L6155" s="11">
        <v>2.83</v>
      </c>
      <c r="M6155" s="9" t="s">
        <v>1992</v>
      </c>
      <c r="N6155" s="6" t="s">
        <v>1905</v>
      </c>
      <c r="O6155" s="6" t="s">
        <v>673</v>
      </c>
      <c r="P6155" s="9" t="s">
        <v>25</v>
      </c>
      <c r="Q6155" s="9" t="s">
        <v>49</v>
      </c>
      <c r="R6155" s="9" t="s">
        <v>50</v>
      </c>
      <c r="S6155" s="7" t="s">
        <v>926</v>
      </c>
      <c r="T6155" s="9" t="s">
        <v>52</v>
      </c>
      <c r="U6155" s="7">
        <v>0.37</v>
      </c>
      <c r="V6155" s="12">
        <f>C6155+1</f>
        <v>40643</v>
      </c>
      <c r="W6155">
        <f>IF(D6155=' Pivot Tables'!$A$4,1,0)</f>
        <v>0</v>
      </c>
      <c r="X6155">
        <f>IF(AND(LEFT(D6155,4)+1=LEFT(' Pivot Tables'!$A$4,4)+0,RIGHT(LEFT(D6155,7),2)=RIGHT(LEFT(' Pivot Tables'!$A$4,7),2)),1,0)</f>
        <v>0</v>
      </c>
      <c r="Y6155" s="6">
        <f>1/COUNTIF(Таблица1[Order ID],Таблица1[[#This Row],[Order ID]])</f>
        <v>0.5</v>
      </c>
      <c r="Z6155" s="9">
        <f>1/COUNTIFS(Таблица1[Customer Name],Таблица1[[#This Row],[Customer Name]],Таблица1[Order-Year-Month],Таблица1[[#This Row],[Order-Year-Month]])</f>
        <v>0.25</v>
      </c>
    </row>
    <row r="6156" spans="1:26" x14ac:dyDescent="0.2">
      <c r="A6156" s="6">
        <v>3219</v>
      </c>
      <c r="B6156" s="7">
        <v>23104</v>
      </c>
      <c r="C6156" s="8">
        <f>DATE(2012,12,31)-632</f>
        <v>40642</v>
      </c>
      <c r="D6156" s="8" t="str">
        <f t="shared" si="114"/>
        <v>2011-04 (апрель 2011)</v>
      </c>
      <c r="E6156" s="9" t="s">
        <v>63</v>
      </c>
      <c r="F6156" s="7">
        <v>24</v>
      </c>
      <c r="G6156" s="7">
        <v>142.80000000000001</v>
      </c>
      <c r="H6156" s="7">
        <v>0.01</v>
      </c>
      <c r="I6156" s="9" t="s">
        <v>22</v>
      </c>
      <c r="J6156" s="10">
        <v>-25</v>
      </c>
      <c r="K6156" s="11">
        <v>5.81</v>
      </c>
      <c r="L6156" s="11">
        <v>3.37</v>
      </c>
      <c r="M6156" s="9" t="s">
        <v>1992</v>
      </c>
      <c r="N6156" s="6" t="s">
        <v>1905</v>
      </c>
      <c r="O6156" s="6" t="s">
        <v>673</v>
      </c>
      <c r="P6156" s="9" t="s">
        <v>25</v>
      </c>
      <c r="Q6156" s="9" t="s">
        <v>26</v>
      </c>
      <c r="R6156" s="9" t="s">
        <v>66</v>
      </c>
      <c r="S6156" s="7" t="s">
        <v>792</v>
      </c>
      <c r="T6156" s="9" t="s">
        <v>68</v>
      </c>
      <c r="U6156" s="7">
        <v>0.54</v>
      </c>
      <c r="V6156" s="12">
        <f>C6156+3</f>
        <v>40645</v>
      </c>
      <c r="W6156">
        <f>IF(D6156=' Pivot Tables'!$A$4,1,0)</f>
        <v>0</v>
      </c>
      <c r="X6156">
        <f>IF(AND(LEFT(D6156,4)+1=LEFT(' Pivot Tables'!$A$4,4)+0,RIGHT(LEFT(D6156,7),2)=RIGHT(LEFT(' Pivot Tables'!$A$4,7),2)),1,0)</f>
        <v>0</v>
      </c>
      <c r="Y6156" s="6">
        <f>1/COUNTIF(Таблица1[Order ID],Таблица1[[#This Row],[Order ID]])</f>
        <v>0.5</v>
      </c>
      <c r="Z6156" s="9">
        <f>1/COUNTIFS(Таблица1[Customer Name],Таблица1[[#This Row],[Customer Name]],Таблица1[Order-Year-Month],Таблица1[[#This Row],[Order-Year-Month]])</f>
        <v>0.25</v>
      </c>
    </row>
    <row r="6157" spans="1:26" x14ac:dyDescent="0.2">
      <c r="A6157" s="6">
        <v>3267</v>
      </c>
      <c r="B6157" s="7">
        <v>23363</v>
      </c>
      <c r="C6157" s="8">
        <f>DATE(2012,12,31)-216</f>
        <v>41058</v>
      </c>
      <c r="D6157" s="8" t="str">
        <f t="shared" si="114"/>
        <v>2012-05 (май 2012)</v>
      </c>
      <c r="E6157" s="9" t="s">
        <v>21</v>
      </c>
      <c r="F6157" s="7">
        <v>46</v>
      </c>
      <c r="G6157" s="7">
        <v>241.81</v>
      </c>
      <c r="H6157" s="7">
        <v>0.02</v>
      </c>
      <c r="I6157" s="9" t="s">
        <v>22</v>
      </c>
      <c r="J6157" s="10">
        <v>-94.828999999999994</v>
      </c>
      <c r="K6157" s="11">
        <v>4.91</v>
      </c>
      <c r="L6157" s="11">
        <v>4.97</v>
      </c>
      <c r="M6157" s="9" t="s">
        <v>1987</v>
      </c>
      <c r="N6157" s="6" t="s">
        <v>1905</v>
      </c>
      <c r="O6157" s="6" t="s">
        <v>673</v>
      </c>
      <c r="P6157" s="9" t="s">
        <v>41</v>
      </c>
      <c r="Q6157" s="9" t="s">
        <v>26</v>
      </c>
      <c r="R6157" s="9" t="s">
        <v>37</v>
      </c>
      <c r="S6157" s="7" t="s">
        <v>626</v>
      </c>
      <c r="T6157" s="9" t="s">
        <v>39</v>
      </c>
      <c r="U6157" s="7">
        <v>0.38</v>
      </c>
      <c r="V6157" s="12">
        <f>C6157+7</f>
        <v>41065</v>
      </c>
      <c r="W6157">
        <f>IF(D6157=' Pivot Tables'!$A$4,1,0)</f>
        <v>0</v>
      </c>
      <c r="X6157">
        <f>IF(AND(LEFT(D6157,4)+1=LEFT(' Pivot Tables'!$A$4,4)+0,RIGHT(LEFT(D6157,7),2)=RIGHT(LEFT(' Pivot Tables'!$A$4,7),2)),1,0)</f>
        <v>0</v>
      </c>
      <c r="Y6157" s="6">
        <f>1/COUNTIF(Таблица1[Order ID],Таблица1[[#This Row],[Order ID]])</f>
        <v>1</v>
      </c>
      <c r="Z6157" s="9">
        <f>1/COUNTIFS(Таблица1[Customer Name],Таблица1[[#This Row],[Customer Name]],Таблица1[Order-Year-Month],Таблица1[[#This Row],[Order-Year-Month]])</f>
        <v>1</v>
      </c>
    </row>
    <row r="6158" spans="1:26" x14ac:dyDescent="0.2">
      <c r="A6158" s="6">
        <v>3298</v>
      </c>
      <c r="B6158" s="7">
        <v>23559</v>
      </c>
      <c r="C6158" s="8">
        <f>DATE(2012,12,31)-897</f>
        <v>40377</v>
      </c>
      <c r="D6158" s="8" t="str">
        <f t="shared" si="114"/>
        <v>2010-07 (июль 2010)</v>
      </c>
      <c r="E6158" s="9" t="s">
        <v>21</v>
      </c>
      <c r="F6158" s="7">
        <v>14</v>
      </c>
      <c r="G6158" s="7">
        <v>425.67</v>
      </c>
      <c r="H6158" s="7">
        <v>0.03</v>
      </c>
      <c r="I6158" s="9" t="s">
        <v>56</v>
      </c>
      <c r="J6158" s="10">
        <v>166.5745</v>
      </c>
      <c r="K6158" s="11">
        <v>28.53</v>
      </c>
      <c r="L6158" s="11">
        <v>1.49</v>
      </c>
      <c r="M6158" s="9" t="s">
        <v>1337</v>
      </c>
      <c r="N6158" s="6" t="s">
        <v>1905</v>
      </c>
      <c r="O6158" s="6" t="s">
        <v>673</v>
      </c>
      <c r="P6158" s="9" t="s">
        <v>60</v>
      </c>
      <c r="Q6158" s="9" t="s">
        <v>26</v>
      </c>
      <c r="R6158" s="9" t="s">
        <v>37</v>
      </c>
      <c r="S6158" s="7" t="s">
        <v>380</v>
      </c>
      <c r="T6158" s="9" t="s">
        <v>39</v>
      </c>
      <c r="U6158" s="7">
        <v>0.38</v>
      </c>
      <c r="V6158" s="12">
        <f>C6158+7</f>
        <v>40384</v>
      </c>
      <c r="W6158">
        <f>IF(D6158=' Pivot Tables'!$A$4,1,0)</f>
        <v>0</v>
      </c>
      <c r="X6158">
        <f>IF(AND(LEFT(D6158,4)+1=LEFT(' Pivot Tables'!$A$4,4)+0,RIGHT(LEFT(D6158,7),2)=RIGHT(LEFT(' Pivot Tables'!$A$4,7),2)),1,0)</f>
        <v>0</v>
      </c>
      <c r="Y6158" s="6">
        <f>1/COUNTIF(Таблица1[Order ID],Таблица1[[#This Row],[Order ID]])</f>
        <v>0.5</v>
      </c>
      <c r="Z6158" s="9">
        <f>1/COUNTIFS(Таблица1[Customer Name],Таблица1[[#This Row],[Customer Name]],Таблица1[Order-Year-Month],Таблица1[[#This Row],[Order-Year-Month]])</f>
        <v>0.5</v>
      </c>
    </row>
    <row r="6159" spans="1:26" x14ac:dyDescent="0.2">
      <c r="A6159" s="6">
        <v>3299</v>
      </c>
      <c r="B6159" s="7">
        <v>23559</v>
      </c>
      <c r="C6159" s="8">
        <f>DATE(2012,12,31)-897</f>
        <v>40377</v>
      </c>
      <c r="D6159" s="8" t="str">
        <f t="shared" si="114"/>
        <v>2010-07 (июль 2010)</v>
      </c>
      <c r="E6159" s="9" t="s">
        <v>21</v>
      </c>
      <c r="F6159" s="7">
        <v>9</v>
      </c>
      <c r="G6159" s="7">
        <v>173.44</v>
      </c>
      <c r="H6159" s="7">
        <v>0.02</v>
      </c>
      <c r="I6159" s="9" t="s">
        <v>22</v>
      </c>
      <c r="J6159" s="10">
        <v>-34.625999999999998</v>
      </c>
      <c r="K6159" s="11">
        <v>17.98</v>
      </c>
      <c r="L6159" s="11">
        <v>8.51</v>
      </c>
      <c r="M6159" s="9" t="s">
        <v>1337</v>
      </c>
      <c r="N6159" s="6" t="s">
        <v>1905</v>
      </c>
      <c r="O6159" s="6" t="s">
        <v>673</v>
      </c>
      <c r="P6159" s="9" t="s">
        <v>60</v>
      </c>
      <c r="Q6159" s="9" t="s">
        <v>42</v>
      </c>
      <c r="R6159" s="9" t="s">
        <v>210</v>
      </c>
      <c r="S6159" s="7" t="s">
        <v>277</v>
      </c>
      <c r="T6159" s="9" t="s">
        <v>48</v>
      </c>
      <c r="U6159" s="7">
        <v>0.4</v>
      </c>
      <c r="V6159" s="12">
        <f>C6159+5</f>
        <v>40382</v>
      </c>
      <c r="W6159">
        <f>IF(D6159=' Pivot Tables'!$A$4,1,0)</f>
        <v>0</v>
      </c>
      <c r="X6159">
        <f>IF(AND(LEFT(D6159,4)+1=LEFT(' Pivot Tables'!$A$4,4)+0,RIGHT(LEFT(D6159,7),2)=RIGHT(LEFT(' Pivot Tables'!$A$4,7),2)),1,0)</f>
        <v>0</v>
      </c>
      <c r="Y6159" s="6">
        <f>1/COUNTIF(Таблица1[Order ID],Таблица1[[#This Row],[Order ID]])</f>
        <v>0.5</v>
      </c>
      <c r="Z6159" s="9">
        <f>1/COUNTIFS(Таблица1[Customer Name],Таблица1[[#This Row],[Customer Name]],Таблица1[Order-Year-Month],Таблица1[[#This Row],[Order-Year-Month]])</f>
        <v>0.5</v>
      </c>
    </row>
    <row r="6160" spans="1:26" x14ac:dyDescent="0.2">
      <c r="A6160" s="6">
        <v>3389</v>
      </c>
      <c r="B6160" s="7">
        <v>24160</v>
      </c>
      <c r="C6160" s="8">
        <f>DATE(2012,12,31)-699</f>
        <v>40575</v>
      </c>
      <c r="D6160" s="8" t="str">
        <f t="shared" si="114"/>
        <v>2011-02 (февраль 2011)</v>
      </c>
      <c r="E6160" s="9" t="s">
        <v>63</v>
      </c>
      <c r="F6160" s="7">
        <v>44</v>
      </c>
      <c r="G6160" s="7">
        <v>3644.596</v>
      </c>
      <c r="H6160" s="7">
        <v>0.06</v>
      </c>
      <c r="I6160" s="9" t="s">
        <v>22</v>
      </c>
      <c r="J6160" s="10">
        <v>1104.318</v>
      </c>
      <c r="K6160" s="11">
        <v>95.99</v>
      </c>
      <c r="L6160" s="11">
        <v>4.9000000000000004</v>
      </c>
      <c r="M6160" s="9" t="s">
        <v>1991</v>
      </c>
      <c r="N6160" s="6" t="s">
        <v>1905</v>
      </c>
      <c r="O6160" s="6" t="s">
        <v>673</v>
      </c>
      <c r="P6160" s="9" t="s">
        <v>60</v>
      </c>
      <c r="Q6160" s="9" t="s">
        <v>42</v>
      </c>
      <c r="R6160" s="9" t="s">
        <v>43</v>
      </c>
      <c r="S6160" s="7" t="s">
        <v>1254</v>
      </c>
      <c r="T6160" s="9" t="s">
        <v>39</v>
      </c>
      <c r="U6160" s="7">
        <v>0.56000000000000005</v>
      </c>
      <c r="V6160" s="12">
        <f>C6160+1</f>
        <v>40576</v>
      </c>
      <c r="W6160">
        <f>IF(D6160=' Pivot Tables'!$A$4,1,0)</f>
        <v>0</v>
      </c>
      <c r="X6160">
        <f>IF(AND(LEFT(D6160,4)+1=LEFT(' Pivot Tables'!$A$4,4)+0,RIGHT(LEFT(D6160,7),2)=RIGHT(LEFT(' Pivot Tables'!$A$4,7),2)),1,0)</f>
        <v>0</v>
      </c>
      <c r="Y6160" s="6">
        <f>1/COUNTIF(Таблица1[Order ID],Таблица1[[#This Row],[Order ID]])</f>
        <v>1</v>
      </c>
      <c r="Z6160" s="9">
        <f>1/COUNTIFS(Таблица1[Customer Name],Таблица1[[#This Row],[Customer Name]],Таблица1[Order-Year-Month],Таблица1[[#This Row],[Order-Year-Month]])</f>
        <v>1</v>
      </c>
    </row>
    <row r="6161" spans="1:26" x14ac:dyDescent="0.2">
      <c r="A6161" s="6">
        <v>3392</v>
      </c>
      <c r="B6161" s="7">
        <v>24193</v>
      </c>
      <c r="C6161" s="8">
        <f>DATE(2012,12,31)-1388</f>
        <v>39886</v>
      </c>
      <c r="D6161" s="8" t="str">
        <f t="shared" si="114"/>
        <v>2009-03 (март 2009)</v>
      </c>
      <c r="E6161" s="9" t="s">
        <v>45</v>
      </c>
      <c r="F6161" s="7">
        <v>45</v>
      </c>
      <c r="G6161" s="7">
        <v>9539.6</v>
      </c>
      <c r="H6161" s="7">
        <v>0.02</v>
      </c>
      <c r="I6161" s="9" t="s">
        <v>31</v>
      </c>
      <c r="J6161" s="10">
        <v>-163.63</v>
      </c>
      <c r="K6161" s="11">
        <v>200.98</v>
      </c>
      <c r="L6161" s="11">
        <v>55.96</v>
      </c>
      <c r="M6161" s="9" t="s">
        <v>1994</v>
      </c>
      <c r="N6161" s="6" t="s">
        <v>1905</v>
      </c>
      <c r="O6161" s="6" t="s">
        <v>673</v>
      </c>
      <c r="P6161" s="9" t="s">
        <v>25</v>
      </c>
      <c r="Q6161" s="9" t="s">
        <v>49</v>
      </c>
      <c r="R6161" s="9" t="s">
        <v>80</v>
      </c>
      <c r="S6161" s="7" t="s">
        <v>1182</v>
      </c>
      <c r="T6161" s="9" t="s">
        <v>82</v>
      </c>
      <c r="U6161" s="7">
        <v>0.75</v>
      </c>
      <c r="V6161" s="12">
        <f>C6161+2</f>
        <v>39888</v>
      </c>
      <c r="W6161">
        <f>IF(D6161=' Pivot Tables'!$A$4,1,0)</f>
        <v>0</v>
      </c>
      <c r="X6161">
        <f>IF(AND(LEFT(D6161,4)+1=LEFT(' Pivot Tables'!$A$4,4)+0,RIGHT(LEFT(D6161,7),2)=RIGHT(LEFT(' Pivot Tables'!$A$4,7),2)),1,0)</f>
        <v>0</v>
      </c>
      <c r="Y6161" s="6">
        <f>1/COUNTIF(Таблица1[Order ID],Таблица1[[#This Row],[Order ID]])</f>
        <v>0.33333333333333331</v>
      </c>
      <c r="Z6161" s="9">
        <f>1/COUNTIFS(Таблица1[Customer Name],Таблица1[[#This Row],[Customer Name]],Таблица1[Order-Year-Month],Таблица1[[#This Row],[Order-Year-Month]])</f>
        <v>0.33333333333333331</v>
      </c>
    </row>
    <row r="6162" spans="1:26" x14ac:dyDescent="0.2">
      <c r="A6162" s="6">
        <v>3393</v>
      </c>
      <c r="B6162" s="7">
        <v>24193</v>
      </c>
      <c r="C6162" s="8">
        <f>DATE(2012,12,31)-1388</f>
        <v>39886</v>
      </c>
      <c r="D6162" s="8" t="str">
        <f t="shared" si="114"/>
        <v>2009-03 (март 2009)</v>
      </c>
      <c r="E6162" s="9" t="s">
        <v>45</v>
      </c>
      <c r="F6162" s="7">
        <v>24</v>
      </c>
      <c r="G6162" s="7">
        <v>109.86</v>
      </c>
      <c r="H6162" s="7">
        <v>0.02</v>
      </c>
      <c r="I6162" s="9" t="s">
        <v>22</v>
      </c>
      <c r="J6162" s="10">
        <v>-63.87</v>
      </c>
      <c r="K6162" s="11">
        <v>4.28</v>
      </c>
      <c r="L6162" s="11">
        <v>5.17</v>
      </c>
      <c r="M6162" s="9" t="s">
        <v>1994</v>
      </c>
      <c r="N6162" s="6" t="s">
        <v>1905</v>
      </c>
      <c r="O6162" s="6" t="s">
        <v>673</v>
      </c>
      <c r="P6162" s="9" t="s">
        <v>25</v>
      </c>
      <c r="Q6162" s="9" t="s">
        <v>26</v>
      </c>
      <c r="R6162" s="9" t="s">
        <v>61</v>
      </c>
      <c r="S6162" s="7" t="s">
        <v>266</v>
      </c>
      <c r="T6162" s="9" t="s">
        <v>39</v>
      </c>
      <c r="U6162" s="7">
        <v>0.4</v>
      </c>
      <c r="V6162" s="12">
        <f>C6162+1</f>
        <v>39887</v>
      </c>
      <c r="W6162">
        <f>IF(D6162=' Pivot Tables'!$A$4,1,0)</f>
        <v>0</v>
      </c>
      <c r="X6162">
        <f>IF(AND(LEFT(D6162,4)+1=LEFT(' Pivot Tables'!$A$4,4)+0,RIGHT(LEFT(D6162,7),2)=RIGHT(LEFT(' Pivot Tables'!$A$4,7),2)),1,0)</f>
        <v>0</v>
      </c>
      <c r="Y6162" s="6">
        <f>1/COUNTIF(Таблица1[Order ID],Таблица1[[#This Row],[Order ID]])</f>
        <v>0.33333333333333331</v>
      </c>
      <c r="Z6162" s="9">
        <f>1/COUNTIFS(Таблица1[Customer Name],Таблица1[[#This Row],[Customer Name]],Таблица1[Order-Year-Month],Таблица1[[#This Row],[Order-Year-Month]])</f>
        <v>0.33333333333333331</v>
      </c>
    </row>
    <row r="6163" spans="1:26" x14ac:dyDescent="0.2">
      <c r="A6163" s="6">
        <v>3394</v>
      </c>
      <c r="B6163" s="7">
        <v>24193</v>
      </c>
      <c r="C6163" s="8">
        <f>DATE(2012,12,31)-1388</f>
        <v>39886</v>
      </c>
      <c r="D6163" s="8" t="str">
        <f t="shared" si="114"/>
        <v>2009-03 (март 2009)</v>
      </c>
      <c r="E6163" s="9" t="s">
        <v>45</v>
      </c>
      <c r="F6163" s="7">
        <v>19</v>
      </c>
      <c r="G6163" s="7">
        <v>1426.5125</v>
      </c>
      <c r="H6163" s="7">
        <v>0.04</v>
      </c>
      <c r="I6163" s="9" t="s">
        <v>22</v>
      </c>
      <c r="J6163" s="10">
        <v>-175.17500000000001</v>
      </c>
      <c r="K6163" s="11">
        <v>85.99</v>
      </c>
      <c r="L6163" s="11">
        <v>0.99</v>
      </c>
      <c r="M6163" s="9" t="s">
        <v>1994</v>
      </c>
      <c r="N6163" s="6" t="s">
        <v>1905</v>
      </c>
      <c r="O6163" s="6" t="s">
        <v>673</v>
      </c>
      <c r="P6163" s="9" t="s">
        <v>25</v>
      </c>
      <c r="Q6163" s="9" t="s">
        <v>42</v>
      </c>
      <c r="R6163" s="9" t="s">
        <v>43</v>
      </c>
      <c r="S6163" s="7" t="s">
        <v>146</v>
      </c>
      <c r="T6163" s="9" t="s">
        <v>68</v>
      </c>
      <c r="U6163" s="7">
        <v>0.85</v>
      </c>
      <c r="V6163" s="12">
        <f>C6163+2</f>
        <v>39888</v>
      </c>
      <c r="W6163">
        <f>IF(D6163=' Pivot Tables'!$A$4,1,0)</f>
        <v>0</v>
      </c>
      <c r="X6163">
        <f>IF(AND(LEFT(D6163,4)+1=LEFT(' Pivot Tables'!$A$4,4)+0,RIGHT(LEFT(D6163,7),2)=RIGHT(LEFT(' Pivot Tables'!$A$4,7),2)),1,0)</f>
        <v>0</v>
      </c>
      <c r="Y6163" s="6">
        <f>1/COUNTIF(Таблица1[Order ID],Таблица1[[#This Row],[Order ID]])</f>
        <v>0.33333333333333331</v>
      </c>
      <c r="Z6163" s="9">
        <f>1/COUNTIFS(Таблица1[Customer Name],Таблица1[[#This Row],[Customer Name]],Таблица1[Order-Year-Month],Таблица1[[#This Row],[Order-Year-Month]])</f>
        <v>0.33333333333333331</v>
      </c>
    </row>
    <row r="6164" spans="1:26" x14ac:dyDescent="0.2">
      <c r="A6164" s="6">
        <v>3409</v>
      </c>
      <c r="B6164" s="7">
        <v>24352</v>
      </c>
      <c r="C6164" s="8">
        <f>DATE(2012,12,31)-966</f>
        <v>40308</v>
      </c>
      <c r="D6164" s="8" t="str">
        <f t="shared" si="114"/>
        <v>2010-05 (май 2010)</v>
      </c>
      <c r="E6164" s="9" t="s">
        <v>78</v>
      </c>
      <c r="F6164" s="7">
        <v>32</v>
      </c>
      <c r="G6164" s="7">
        <v>103.48</v>
      </c>
      <c r="H6164" s="7">
        <v>0.03</v>
      </c>
      <c r="I6164" s="9" t="s">
        <v>22</v>
      </c>
      <c r="J6164" s="10">
        <v>20.53</v>
      </c>
      <c r="K6164" s="11">
        <v>3.14</v>
      </c>
      <c r="L6164" s="11">
        <v>1.1399999999999999</v>
      </c>
      <c r="M6164" s="9" t="s">
        <v>1985</v>
      </c>
      <c r="N6164" s="6" t="s">
        <v>1905</v>
      </c>
      <c r="O6164" s="6" t="s">
        <v>673</v>
      </c>
      <c r="P6164" s="9" t="s">
        <v>25</v>
      </c>
      <c r="Q6164" s="9" t="s">
        <v>26</v>
      </c>
      <c r="R6164" s="9" t="s">
        <v>61</v>
      </c>
      <c r="S6164" s="7" t="s">
        <v>1768</v>
      </c>
      <c r="T6164" s="9" t="s">
        <v>68</v>
      </c>
      <c r="U6164" s="7">
        <v>0.4</v>
      </c>
      <c r="V6164" s="12">
        <f>C6164+0</f>
        <v>40308</v>
      </c>
      <c r="W6164">
        <f>IF(D6164=' Pivot Tables'!$A$4,1,0)</f>
        <v>0</v>
      </c>
      <c r="X6164">
        <f>IF(AND(LEFT(D6164,4)+1=LEFT(' Pivot Tables'!$A$4,4)+0,RIGHT(LEFT(D6164,7),2)=RIGHT(LEFT(' Pivot Tables'!$A$4,7),2)),1,0)</f>
        <v>0</v>
      </c>
      <c r="Y6164" s="6">
        <f>1/COUNTIF(Таблица1[Order ID],Таблица1[[#This Row],[Order ID]])</f>
        <v>1</v>
      </c>
      <c r="Z6164" s="9">
        <f>1/COUNTIFS(Таблица1[Customer Name],Таблица1[[#This Row],[Customer Name]],Таблица1[Order-Year-Month],Таблица1[[#This Row],[Order-Year-Month]])</f>
        <v>1</v>
      </c>
    </row>
    <row r="6165" spans="1:26" x14ac:dyDescent="0.2">
      <c r="A6165" s="6">
        <v>3460</v>
      </c>
      <c r="B6165" s="7">
        <v>24646</v>
      </c>
      <c r="C6165" s="8">
        <f>DATE(2012,12,31)-626</f>
        <v>40648</v>
      </c>
      <c r="D6165" s="8" t="str">
        <f t="shared" si="114"/>
        <v>2011-04 (апрель 2011)</v>
      </c>
      <c r="E6165" s="9" t="s">
        <v>45</v>
      </c>
      <c r="F6165" s="7">
        <v>46</v>
      </c>
      <c r="G6165" s="7">
        <v>662.51</v>
      </c>
      <c r="H6165" s="7">
        <v>0.09</v>
      </c>
      <c r="I6165" s="9" t="s">
        <v>22</v>
      </c>
      <c r="J6165" s="10">
        <v>293.32</v>
      </c>
      <c r="K6165" s="11">
        <v>15.67</v>
      </c>
      <c r="L6165" s="11">
        <v>1.39</v>
      </c>
      <c r="M6165" s="9" t="s">
        <v>1992</v>
      </c>
      <c r="N6165" s="6" t="s">
        <v>1905</v>
      </c>
      <c r="O6165" s="6" t="s">
        <v>673</v>
      </c>
      <c r="P6165" s="9" t="s">
        <v>25</v>
      </c>
      <c r="Q6165" s="9" t="s">
        <v>26</v>
      </c>
      <c r="R6165" s="9" t="s">
        <v>76</v>
      </c>
      <c r="S6165" s="7" t="s">
        <v>165</v>
      </c>
      <c r="T6165" s="9" t="s">
        <v>39</v>
      </c>
      <c r="U6165" s="7">
        <v>0.38</v>
      </c>
      <c r="V6165" s="12">
        <f>C6165+1</f>
        <v>40649</v>
      </c>
      <c r="W6165">
        <f>IF(D6165=' Pivot Tables'!$A$4,1,0)</f>
        <v>0</v>
      </c>
      <c r="X6165">
        <f>IF(AND(LEFT(D6165,4)+1=LEFT(' Pivot Tables'!$A$4,4)+0,RIGHT(LEFT(D6165,7),2)=RIGHT(LEFT(' Pivot Tables'!$A$4,7),2)),1,0)</f>
        <v>0</v>
      </c>
      <c r="Y6165" s="6">
        <f>1/COUNTIF(Таблица1[Order ID],Таблица1[[#This Row],[Order ID]])</f>
        <v>0.5</v>
      </c>
      <c r="Z6165" s="9">
        <f>1/COUNTIFS(Таблица1[Customer Name],Таблица1[[#This Row],[Customer Name]],Таблица1[Order-Year-Month],Таблица1[[#This Row],[Order-Year-Month]])</f>
        <v>0.25</v>
      </c>
    </row>
    <row r="6166" spans="1:26" x14ac:dyDescent="0.2">
      <c r="A6166" s="6">
        <v>3461</v>
      </c>
      <c r="B6166" s="7">
        <v>24646</v>
      </c>
      <c r="C6166" s="8">
        <f>DATE(2012,12,31)-626</f>
        <v>40648</v>
      </c>
      <c r="D6166" s="8" t="str">
        <f t="shared" si="114"/>
        <v>2011-04 (апрель 2011)</v>
      </c>
      <c r="E6166" s="9" t="s">
        <v>45</v>
      </c>
      <c r="F6166" s="7">
        <v>21</v>
      </c>
      <c r="G6166" s="7">
        <v>61.18</v>
      </c>
      <c r="H6166" s="7">
        <v>0</v>
      </c>
      <c r="I6166" s="9" t="s">
        <v>22</v>
      </c>
      <c r="J6166" s="10">
        <v>6.85</v>
      </c>
      <c r="K6166" s="11">
        <v>2.88</v>
      </c>
      <c r="L6166" s="11">
        <v>0.7</v>
      </c>
      <c r="M6166" s="9" t="s">
        <v>1992</v>
      </c>
      <c r="N6166" s="6" t="s">
        <v>1905</v>
      </c>
      <c r="O6166" s="6" t="s">
        <v>673</v>
      </c>
      <c r="P6166" s="9" t="s">
        <v>25</v>
      </c>
      <c r="Q6166" s="9" t="s">
        <v>26</v>
      </c>
      <c r="R6166" s="9" t="s">
        <v>95</v>
      </c>
      <c r="S6166" s="7" t="s">
        <v>1059</v>
      </c>
      <c r="T6166" s="9" t="s">
        <v>68</v>
      </c>
      <c r="U6166" s="7">
        <v>0.56000000000000005</v>
      </c>
      <c r="V6166" s="12">
        <f>C6166+2</f>
        <v>40650</v>
      </c>
      <c r="W6166">
        <f>IF(D6166=' Pivot Tables'!$A$4,1,0)</f>
        <v>0</v>
      </c>
      <c r="X6166">
        <f>IF(AND(LEFT(D6166,4)+1=LEFT(' Pivot Tables'!$A$4,4)+0,RIGHT(LEFT(D6166,7),2)=RIGHT(LEFT(' Pivot Tables'!$A$4,7),2)),1,0)</f>
        <v>0</v>
      </c>
      <c r="Y6166" s="6">
        <f>1/COUNTIF(Таблица1[Order ID],Таблица1[[#This Row],[Order ID]])</f>
        <v>0.5</v>
      </c>
      <c r="Z6166" s="9">
        <f>1/COUNTIFS(Таблица1[Customer Name],Таблица1[[#This Row],[Customer Name]],Таблица1[Order-Year-Month],Таблица1[[#This Row],[Order-Year-Month]])</f>
        <v>0.25</v>
      </c>
    </row>
    <row r="6167" spans="1:26" x14ac:dyDescent="0.2">
      <c r="A6167" s="6">
        <v>3508</v>
      </c>
      <c r="B6167" s="7">
        <v>24993</v>
      </c>
      <c r="C6167" s="8">
        <f>DATE(2012,12,31)-1026</f>
        <v>40248</v>
      </c>
      <c r="D6167" s="8" t="str">
        <f t="shared" si="114"/>
        <v>2010-03 (март 2010)</v>
      </c>
      <c r="E6167" s="9" t="s">
        <v>30</v>
      </c>
      <c r="F6167" s="7">
        <v>36</v>
      </c>
      <c r="G6167" s="7">
        <v>1561.2204999999999</v>
      </c>
      <c r="H6167" s="7">
        <v>0.09</v>
      </c>
      <c r="I6167" s="9" t="s">
        <v>22</v>
      </c>
      <c r="J6167" s="10">
        <v>-226.82</v>
      </c>
      <c r="K6167" s="11">
        <v>55.99</v>
      </c>
      <c r="L6167" s="11">
        <v>2.5</v>
      </c>
      <c r="M6167" s="9" t="s">
        <v>1994</v>
      </c>
      <c r="N6167" s="6" t="s">
        <v>1905</v>
      </c>
      <c r="O6167" s="6" t="s">
        <v>673</v>
      </c>
      <c r="P6167" s="9" t="s">
        <v>25</v>
      </c>
      <c r="Q6167" s="9" t="s">
        <v>42</v>
      </c>
      <c r="R6167" s="9" t="s">
        <v>43</v>
      </c>
      <c r="S6167" s="7" t="s">
        <v>1323</v>
      </c>
      <c r="T6167" s="9" t="s">
        <v>52</v>
      </c>
      <c r="U6167" s="7">
        <v>0.83</v>
      </c>
      <c r="V6167" s="12">
        <f>C6167+2</f>
        <v>40250</v>
      </c>
      <c r="W6167">
        <f>IF(D6167=' Pivot Tables'!$A$4,1,0)</f>
        <v>0</v>
      </c>
      <c r="X6167">
        <f>IF(AND(LEFT(D6167,4)+1=LEFT(' Pivot Tables'!$A$4,4)+0,RIGHT(LEFT(D6167,7),2)=RIGHT(LEFT(' Pivot Tables'!$A$4,7),2)),1,0)</f>
        <v>0</v>
      </c>
      <c r="Y6167" s="6">
        <f>1/COUNTIF(Таблица1[Order ID],Таблица1[[#This Row],[Order ID]])</f>
        <v>1</v>
      </c>
      <c r="Z6167" s="9">
        <f>1/COUNTIFS(Таблица1[Customer Name],Таблица1[[#This Row],[Customer Name]],Таблица1[Order-Year-Month],Таблица1[[#This Row],[Order-Year-Month]])</f>
        <v>1</v>
      </c>
    </row>
    <row r="6168" spans="1:26" x14ac:dyDescent="0.2">
      <c r="A6168" s="6">
        <v>3517</v>
      </c>
      <c r="B6168" s="7">
        <v>25060</v>
      </c>
      <c r="C6168" s="8">
        <f>DATE(2012,12,31)-1260</f>
        <v>40014</v>
      </c>
      <c r="D6168" s="8" t="str">
        <f t="shared" si="114"/>
        <v>2009-07 (июль 2009)</v>
      </c>
      <c r="E6168" s="9" t="s">
        <v>45</v>
      </c>
      <c r="F6168" s="7">
        <v>6</v>
      </c>
      <c r="G6168" s="7">
        <v>7767.02</v>
      </c>
      <c r="H6168" s="7">
        <v>0.03</v>
      </c>
      <c r="I6168" s="9" t="s">
        <v>22</v>
      </c>
      <c r="J6168" s="10">
        <v>2070.6170000000002</v>
      </c>
      <c r="K6168" s="11">
        <v>1270.99</v>
      </c>
      <c r="L6168" s="11">
        <v>19.989999999999998</v>
      </c>
      <c r="M6168" s="9" t="s">
        <v>1995</v>
      </c>
      <c r="N6168" s="6" t="s">
        <v>1905</v>
      </c>
      <c r="O6168" s="6" t="s">
        <v>673</v>
      </c>
      <c r="P6168" s="9" t="s">
        <v>33</v>
      </c>
      <c r="Q6168" s="9" t="s">
        <v>26</v>
      </c>
      <c r="R6168" s="9" t="s">
        <v>37</v>
      </c>
      <c r="S6168" s="7" t="s">
        <v>273</v>
      </c>
      <c r="T6168" s="9" t="s">
        <v>39</v>
      </c>
      <c r="U6168" s="7">
        <v>0.35</v>
      </c>
      <c r="V6168" s="12">
        <f>C6168+2</f>
        <v>40016</v>
      </c>
      <c r="W6168">
        <f>IF(D6168=' Pivot Tables'!$A$4,1,0)</f>
        <v>0</v>
      </c>
      <c r="X6168">
        <f>IF(AND(LEFT(D6168,4)+1=LEFT(' Pivot Tables'!$A$4,4)+0,RIGHT(LEFT(D6168,7),2)=RIGHT(LEFT(' Pivot Tables'!$A$4,7),2)),1,0)</f>
        <v>0</v>
      </c>
      <c r="Y6168" s="6">
        <f>1/COUNTIF(Таблица1[Order ID],Таблица1[[#This Row],[Order ID]])</f>
        <v>0.5</v>
      </c>
      <c r="Z6168" s="9">
        <f>1/COUNTIFS(Таблица1[Customer Name],Таблица1[[#This Row],[Customer Name]],Таблица1[Order-Year-Month],Таблица1[[#This Row],[Order-Year-Month]])</f>
        <v>0.5</v>
      </c>
    </row>
    <row r="6169" spans="1:26" x14ac:dyDescent="0.2">
      <c r="A6169" s="6">
        <v>3518</v>
      </c>
      <c r="B6169" s="7">
        <v>25060</v>
      </c>
      <c r="C6169" s="8">
        <f>DATE(2012,12,31)-1260</f>
        <v>40014</v>
      </c>
      <c r="D6169" s="8" t="str">
        <f t="shared" si="114"/>
        <v>2009-07 (июль 2009)</v>
      </c>
      <c r="E6169" s="9" t="s">
        <v>45</v>
      </c>
      <c r="F6169" s="7">
        <v>1</v>
      </c>
      <c r="G6169" s="7">
        <v>1893.93</v>
      </c>
      <c r="H6169" s="7">
        <v>7.0000000000000007E-2</v>
      </c>
      <c r="I6169" s="9" t="s">
        <v>31</v>
      </c>
      <c r="J6169" s="10">
        <v>-4654.7349000000004</v>
      </c>
      <c r="K6169" s="11">
        <v>2036.48</v>
      </c>
      <c r="L6169" s="11">
        <v>14.7</v>
      </c>
      <c r="M6169" s="9" t="s">
        <v>1995</v>
      </c>
      <c r="N6169" s="6" t="s">
        <v>1905</v>
      </c>
      <c r="O6169" s="6" t="s">
        <v>673</v>
      </c>
      <c r="P6169" s="9" t="s">
        <v>33</v>
      </c>
      <c r="Q6169" s="9" t="s">
        <v>42</v>
      </c>
      <c r="R6169" s="9" t="s">
        <v>210</v>
      </c>
      <c r="S6169" s="7" t="s">
        <v>1996</v>
      </c>
      <c r="T6169" s="9" t="s">
        <v>36</v>
      </c>
      <c r="U6169" s="7">
        <v>0.55000000000000004</v>
      </c>
      <c r="V6169" s="12">
        <f>C6169+2</f>
        <v>40016</v>
      </c>
      <c r="W6169">
        <f>IF(D6169=' Pivot Tables'!$A$4,1,0)</f>
        <v>0</v>
      </c>
      <c r="X6169">
        <f>IF(AND(LEFT(D6169,4)+1=LEFT(' Pivot Tables'!$A$4,4)+0,RIGHT(LEFT(D6169,7),2)=RIGHT(LEFT(' Pivot Tables'!$A$4,7),2)),1,0)</f>
        <v>0</v>
      </c>
      <c r="Y6169" s="6">
        <f>1/COUNTIF(Таблица1[Order ID],Таблица1[[#This Row],[Order ID]])</f>
        <v>0.5</v>
      </c>
      <c r="Z6169" s="9">
        <f>1/COUNTIFS(Таблица1[Customer Name],Таблица1[[#This Row],[Customer Name]],Таблица1[Order-Year-Month],Таблица1[[#This Row],[Order-Year-Month]])</f>
        <v>0.5</v>
      </c>
    </row>
    <row r="6170" spans="1:26" x14ac:dyDescent="0.2">
      <c r="A6170" s="6">
        <v>3568</v>
      </c>
      <c r="B6170" s="7">
        <v>25447</v>
      </c>
      <c r="C6170" s="8">
        <f>DATE(2012,12,31)-222</f>
        <v>41052</v>
      </c>
      <c r="D6170" s="8" t="str">
        <f t="shared" si="114"/>
        <v>2012-05 (май 2012)</v>
      </c>
      <c r="E6170" s="9" t="s">
        <v>45</v>
      </c>
      <c r="F6170" s="7">
        <v>25</v>
      </c>
      <c r="G6170" s="7">
        <v>536.21</v>
      </c>
      <c r="H6170" s="7">
        <v>0.09</v>
      </c>
      <c r="I6170" s="9" t="s">
        <v>22</v>
      </c>
      <c r="J6170" s="10">
        <v>106.98</v>
      </c>
      <c r="K6170" s="11">
        <v>22.72</v>
      </c>
      <c r="L6170" s="11">
        <v>8.99</v>
      </c>
      <c r="M6170" s="9" t="s">
        <v>1988</v>
      </c>
      <c r="N6170" s="6" t="s">
        <v>1905</v>
      </c>
      <c r="O6170" s="6" t="s">
        <v>673</v>
      </c>
      <c r="P6170" s="9" t="s">
        <v>41</v>
      </c>
      <c r="Q6170" s="9" t="s">
        <v>49</v>
      </c>
      <c r="R6170" s="9" t="s">
        <v>50</v>
      </c>
      <c r="S6170" s="7" t="s">
        <v>315</v>
      </c>
      <c r="T6170" s="9" t="s">
        <v>52</v>
      </c>
      <c r="U6170" s="7">
        <v>0.44</v>
      </c>
      <c r="V6170" s="12">
        <f>C6170+1</f>
        <v>41053</v>
      </c>
      <c r="W6170">
        <f>IF(D6170=' Pivot Tables'!$A$4,1,0)</f>
        <v>0</v>
      </c>
      <c r="X6170">
        <f>IF(AND(LEFT(D6170,4)+1=LEFT(' Pivot Tables'!$A$4,4)+0,RIGHT(LEFT(D6170,7),2)=RIGHT(LEFT(' Pivot Tables'!$A$4,7),2)),1,0)</f>
        <v>0</v>
      </c>
      <c r="Y6170" s="6">
        <f>1/COUNTIF(Таблица1[Order ID],Таблица1[[#This Row],[Order ID]])</f>
        <v>0.5</v>
      </c>
      <c r="Z6170" s="9">
        <f>1/COUNTIFS(Таблица1[Customer Name],Таблица1[[#This Row],[Customer Name]],Таблица1[Order-Year-Month],Таблица1[[#This Row],[Order-Year-Month]])</f>
        <v>0.33333333333333331</v>
      </c>
    </row>
    <row r="6171" spans="1:26" x14ac:dyDescent="0.2">
      <c r="A6171" s="6">
        <v>3569</v>
      </c>
      <c r="B6171" s="7">
        <v>25447</v>
      </c>
      <c r="C6171" s="8">
        <f>DATE(2012,12,31)-222</f>
        <v>41052</v>
      </c>
      <c r="D6171" s="8" t="str">
        <f t="shared" si="114"/>
        <v>2012-05 (май 2012)</v>
      </c>
      <c r="E6171" s="9" t="s">
        <v>45</v>
      </c>
      <c r="F6171" s="7">
        <v>18</v>
      </c>
      <c r="G6171" s="7">
        <v>4428.5600000000004</v>
      </c>
      <c r="H6171" s="7">
        <v>0.03</v>
      </c>
      <c r="I6171" s="9" t="s">
        <v>31</v>
      </c>
      <c r="J6171" s="10">
        <v>213.62</v>
      </c>
      <c r="K6171" s="11">
        <v>296.18</v>
      </c>
      <c r="L6171" s="11">
        <v>54.12</v>
      </c>
      <c r="M6171" s="9" t="s">
        <v>1988</v>
      </c>
      <c r="N6171" s="6" t="s">
        <v>1905</v>
      </c>
      <c r="O6171" s="6" t="s">
        <v>673</v>
      </c>
      <c r="P6171" s="9" t="s">
        <v>41</v>
      </c>
      <c r="Q6171" s="9" t="s">
        <v>49</v>
      </c>
      <c r="R6171" s="9" t="s">
        <v>83</v>
      </c>
      <c r="S6171" s="7" t="s">
        <v>425</v>
      </c>
      <c r="T6171" s="9" t="s">
        <v>82</v>
      </c>
      <c r="U6171" s="7">
        <v>0.76</v>
      </c>
      <c r="V6171" s="12">
        <f>C6171+3</f>
        <v>41055</v>
      </c>
      <c r="W6171">
        <f>IF(D6171=' Pivot Tables'!$A$4,1,0)</f>
        <v>0</v>
      </c>
      <c r="X6171">
        <f>IF(AND(LEFT(D6171,4)+1=LEFT(' Pivot Tables'!$A$4,4)+0,RIGHT(LEFT(D6171,7),2)=RIGHT(LEFT(' Pivot Tables'!$A$4,7),2)),1,0)</f>
        <v>0</v>
      </c>
      <c r="Y6171" s="6">
        <f>1/COUNTIF(Таблица1[Order ID],Таблица1[[#This Row],[Order ID]])</f>
        <v>0.5</v>
      </c>
      <c r="Z6171" s="9">
        <f>1/COUNTIFS(Таблица1[Customer Name],Таблица1[[#This Row],[Customer Name]],Таблица1[Order-Year-Month],Таблица1[[#This Row],[Order-Year-Month]])</f>
        <v>0.33333333333333331</v>
      </c>
    </row>
    <row r="6172" spans="1:26" x14ac:dyDescent="0.2">
      <c r="A6172" s="6">
        <v>3660</v>
      </c>
      <c r="B6172" s="7">
        <v>26214</v>
      </c>
      <c r="C6172" s="8">
        <f>DATE(2012,12,31)-407</f>
        <v>40867</v>
      </c>
      <c r="D6172" s="8" t="str">
        <f t="shared" si="114"/>
        <v>2011-11 (ноябрь 2011)</v>
      </c>
      <c r="E6172" s="9" t="s">
        <v>63</v>
      </c>
      <c r="F6172" s="7">
        <v>19</v>
      </c>
      <c r="G6172" s="7">
        <v>305.68</v>
      </c>
      <c r="H6172" s="7">
        <v>0.1</v>
      </c>
      <c r="I6172" s="9" t="s">
        <v>56</v>
      </c>
      <c r="J6172" s="10">
        <v>128.16999999999999</v>
      </c>
      <c r="K6172" s="11">
        <v>15.74</v>
      </c>
      <c r="L6172" s="11">
        <v>1.39</v>
      </c>
      <c r="M6172" s="9" t="s">
        <v>1994</v>
      </c>
      <c r="N6172" s="6" t="s">
        <v>1905</v>
      </c>
      <c r="O6172" s="6" t="s">
        <v>673</v>
      </c>
      <c r="P6172" s="9" t="s">
        <v>25</v>
      </c>
      <c r="Q6172" s="9" t="s">
        <v>26</v>
      </c>
      <c r="R6172" s="9" t="s">
        <v>76</v>
      </c>
      <c r="S6172" s="7" t="s">
        <v>77</v>
      </c>
      <c r="T6172" s="9" t="s">
        <v>39</v>
      </c>
      <c r="U6172" s="7">
        <v>0.4</v>
      </c>
      <c r="V6172" s="12">
        <f>C6172+1</f>
        <v>40868</v>
      </c>
      <c r="W6172">
        <f>IF(D6172=' Pivot Tables'!$A$4,1,0)</f>
        <v>0</v>
      </c>
      <c r="X6172">
        <f>IF(AND(LEFT(D6172,4)+1=LEFT(' Pivot Tables'!$A$4,4)+0,RIGHT(LEFT(D6172,7),2)=RIGHT(LEFT(' Pivot Tables'!$A$4,7),2)),1,0)</f>
        <v>0</v>
      </c>
      <c r="Y6172" s="6">
        <f>1/COUNTIF(Таблица1[Order ID],Таблица1[[#This Row],[Order ID]])</f>
        <v>0.5</v>
      </c>
      <c r="Z6172" s="9">
        <f>1/COUNTIFS(Таблица1[Customer Name],Таблица1[[#This Row],[Customer Name]],Таблица1[Order-Year-Month],Таблица1[[#This Row],[Order-Year-Month]])</f>
        <v>0.5</v>
      </c>
    </row>
    <row r="6173" spans="1:26" x14ac:dyDescent="0.2">
      <c r="A6173" s="6">
        <v>3661</v>
      </c>
      <c r="B6173" s="7">
        <v>26214</v>
      </c>
      <c r="C6173" s="8">
        <f>DATE(2012,12,31)-407</f>
        <v>40867</v>
      </c>
      <c r="D6173" s="8" t="str">
        <f t="shared" si="114"/>
        <v>2011-11 (ноябрь 2011)</v>
      </c>
      <c r="E6173" s="9" t="s">
        <v>63</v>
      </c>
      <c r="F6173" s="7">
        <v>41</v>
      </c>
      <c r="G6173" s="7">
        <v>1901.29</v>
      </c>
      <c r="H6173" s="7">
        <v>0.08</v>
      </c>
      <c r="I6173" s="9" t="s">
        <v>22</v>
      </c>
      <c r="J6173" s="10">
        <v>870.8</v>
      </c>
      <c r="K6173" s="11">
        <v>46.94</v>
      </c>
      <c r="L6173" s="11">
        <v>6.77</v>
      </c>
      <c r="M6173" s="9" t="s">
        <v>1994</v>
      </c>
      <c r="N6173" s="6" t="s">
        <v>1905</v>
      </c>
      <c r="O6173" s="6" t="s">
        <v>673</v>
      </c>
      <c r="P6173" s="9" t="s">
        <v>25</v>
      </c>
      <c r="Q6173" s="9" t="s">
        <v>49</v>
      </c>
      <c r="R6173" s="9" t="s">
        <v>50</v>
      </c>
      <c r="S6173" s="7" t="s">
        <v>1124</v>
      </c>
      <c r="T6173" s="9" t="s">
        <v>39</v>
      </c>
      <c r="U6173" s="7">
        <v>0.44</v>
      </c>
      <c r="V6173" s="12">
        <f>C6173+1</f>
        <v>40868</v>
      </c>
      <c r="W6173">
        <f>IF(D6173=' Pivot Tables'!$A$4,1,0)</f>
        <v>0</v>
      </c>
      <c r="X6173">
        <f>IF(AND(LEFT(D6173,4)+1=LEFT(' Pivot Tables'!$A$4,4)+0,RIGHT(LEFT(D6173,7),2)=RIGHT(LEFT(' Pivot Tables'!$A$4,7),2)),1,0)</f>
        <v>0</v>
      </c>
      <c r="Y6173" s="6">
        <f>1/COUNTIF(Таблица1[Order ID],Таблица1[[#This Row],[Order ID]])</f>
        <v>0.5</v>
      </c>
      <c r="Z6173" s="9">
        <f>1/COUNTIFS(Таблица1[Customer Name],Таблица1[[#This Row],[Customer Name]],Таблица1[Order-Year-Month],Таблица1[[#This Row],[Order-Year-Month]])</f>
        <v>0.5</v>
      </c>
    </row>
    <row r="6174" spans="1:26" x14ac:dyDescent="0.2">
      <c r="A6174" s="6">
        <v>3767</v>
      </c>
      <c r="B6174" s="7">
        <v>26913</v>
      </c>
      <c r="C6174" s="8">
        <f>DATE(2012,12,31)-1189</f>
        <v>40085</v>
      </c>
      <c r="D6174" s="8" t="str">
        <f t="shared" si="114"/>
        <v>2009-09 (сентябрь 2009)</v>
      </c>
      <c r="E6174" s="9" t="s">
        <v>30</v>
      </c>
      <c r="F6174" s="7">
        <v>11</v>
      </c>
      <c r="G6174" s="7">
        <v>642.91449999999998</v>
      </c>
      <c r="H6174" s="7">
        <v>0.01</v>
      </c>
      <c r="I6174" s="9" t="s">
        <v>22</v>
      </c>
      <c r="J6174" s="10">
        <v>-118.8</v>
      </c>
      <c r="K6174" s="11">
        <v>65.989999999999995</v>
      </c>
      <c r="L6174" s="11">
        <v>8.99</v>
      </c>
      <c r="M6174" s="9" t="s">
        <v>1991</v>
      </c>
      <c r="N6174" s="6" t="s">
        <v>1905</v>
      </c>
      <c r="O6174" s="6" t="s">
        <v>673</v>
      </c>
      <c r="P6174" s="9" t="s">
        <v>33</v>
      </c>
      <c r="Q6174" s="9" t="s">
        <v>42</v>
      </c>
      <c r="R6174" s="9" t="s">
        <v>43</v>
      </c>
      <c r="S6174" s="7" t="s">
        <v>1068</v>
      </c>
      <c r="T6174" s="9" t="s">
        <v>39</v>
      </c>
      <c r="U6174" s="7">
        <v>0.6</v>
      </c>
      <c r="V6174" s="12">
        <f>C6174+2</f>
        <v>40087</v>
      </c>
      <c r="W6174">
        <f>IF(D6174=' Pivot Tables'!$A$4,1,0)</f>
        <v>0</v>
      </c>
      <c r="X6174">
        <f>IF(AND(LEFT(D6174,4)+1=LEFT(' Pivot Tables'!$A$4,4)+0,RIGHT(LEFT(D6174,7),2)=RIGHT(LEFT(' Pivot Tables'!$A$4,7),2)),1,0)</f>
        <v>0</v>
      </c>
      <c r="Y6174" s="6">
        <f>1/COUNTIF(Таблица1[Order ID],Таблица1[[#This Row],[Order ID]])</f>
        <v>1</v>
      </c>
      <c r="Z6174" s="9">
        <f>1/COUNTIFS(Таблица1[Customer Name],Таблица1[[#This Row],[Customer Name]],Таблица1[Order-Year-Month],Таблица1[[#This Row],[Order-Year-Month]])</f>
        <v>1</v>
      </c>
    </row>
    <row r="6175" spans="1:26" x14ac:dyDescent="0.2">
      <c r="A6175" s="6">
        <v>3822</v>
      </c>
      <c r="B6175" s="7">
        <v>27265</v>
      </c>
      <c r="C6175" s="8">
        <f>DATE(2012,12,31)-239</f>
        <v>41035</v>
      </c>
      <c r="D6175" s="8" t="str">
        <f t="shared" si="114"/>
        <v>2012-05 (май 2012)</v>
      </c>
      <c r="E6175" s="9" t="s">
        <v>78</v>
      </c>
      <c r="F6175" s="7">
        <v>49</v>
      </c>
      <c r="G6175" s="7">
        <v>14981.74</v>
      </c>
      <c r="H6175" s="7">
        <v>0.02</v>
      </c>
      <c r="I6175" s="9" t="s">
        <v>22</v>
      </c>
      <c r="J6175" s="10">
        <v>-1791.5</v>
      </c>
      <c r="K6175" s="11">
        <v>299.99</v>
      </c>
      <c r="L6175" s="11">
        <v>11.64</v>
      </c>
      <c r="M6175" s="9" t="s">
        <v>1986</v>
      </c>
      <c r="N6175" s="6" t="s">
        <v>1905</v>
      </c>
      <c r="O6175" s="6" t="s">
        <v>673</v>
      </c>
      <c r="P6175" s="9" t="s">
        <v>41</v>
      </c>
      <c r="Q6175" s="9" t="s">
        <v>42</v>
      </c>
      <c r="R6175" s="9" t="s">
        <v>99</v>
      </c>
      <c r="S6175" s="7" t="s">
        <v>1425</v>
      </c>
      <c r="T6175" s="9" t="s">
        <v>29</v>
      </c>
      <c r="U6175" s="7">
        <v>0.5</v>
      </c>
      <c r="V6175" s="12">
        <f>C6175+0</f>
        <v>41035</v>
      </c>
      <c r="W6175">
        <f>IF(D6175=' Pivot Tables'!$A$4,1,0)</f>
        <v>0</v>
      </c>
      <c r="X6175">
        <f>IF(AND(LEFT(D6175,4)+1=LEFT(' Pivot Tables'!$A$4,4)+0,RIGHT(LEFT(D6175,7),2)=RIGHT(LEFT(' Pivot Tables'!$A$4,7),2)),1,0)</f>
        <v>0</v>
      </c>
      <c r="Y6175" s="6">
        <f>1/COUNTIF(Таблица1[Order ID],Таблица1[[#This Row],[Order ID]])</f>
        <v>0.33333333333333331</v>
      </c>
      <c r="Z6175" s="9">
        <f>1/COUNTIFS(Таблица1[Customer Name],Таблица1[[#This Row],[Customer Name]],Таблица1[Order-Year-Month],Таблица1[[#This Row],[Order-Year-Month]])</f>
        <v>0.25</v>
      </c>
    </row>
    <row r="6176" spans="1:26" x14ac:dyDescent="0.2">
      <c r="A6176" s="6">
        <v>3823</v>
      </c>
      <c r="B6176" s="7">
        <v>27265</v>
      </c>
      <c r="C6176" s="8">
        <f>DATE(2012,12,31)-239</f>
        <v>41035</v>
      </c>
      <c r="D6176" s="8" t="str">
        <f t="shared" si="114"/>
        <v>2012-05 (май 2012)</v>
      </c>
      <c r="E6176" s="9" t="s">
        <v>78</v>
      </c>
      <c r="F6176" s="7">
        <v>36</v>
      </c>
      <c r="G6176" s="7">
        <v>5587.2</v>
      </c>
      <c r="H6176" s="7">
        <v>0.05</v>
      </c>
      <c r="I6176" s="9" t="s">
        <v>56</v>
      </c>
      <c r="J6176" s="10">
        <v>2254.16</v>
      </c>
      <c r="K6176" s="11">
        <v>162.93</v>
      </c>
      <c r="L6176" s="11">
        <v>19.989999999999998</v>
      </c>
      <c r="M6176" s="9" t="s">
        <v>1986</v>
      </c>
      <c r="N6176" s="6" t="s">
        <v>1905</v>
      </c>
      <c r="O6176" s="6" t="s">
        <v>673</v>
      </c>
      <c r="P6176" s="9" t="s">
        <v>41</v>
      </c>
      <c r="Q6176" s="9" t="s">
        <v>26</v>
      </c>
      <c r="R6176" s="9" t="s">
        <v>76</v>
      </c>
      <c r="S6176" s="7" t="s">
        <v>449</v>
      </c>
      <c r="T6176" s="9" t="s">
        <v>39</v>
      </c>
      <c r="U6176" s="7">
        <v>0.39</v>
      </c>
      <c r="V6176" s="12">
        <f>C6176+1</f>
        <v>41036</v>
      </c>
      <c r="W6176">
        <f>IF(D6176=' Pivot Tables'!$A$4,1,0)</f>
        <v>0</v>
      </c>
      <c r="X6176">
        <f>IF(AND(LEFT(D6176,4)+1=LEFT(' Pivot Tables'!$A$4,4)+0,RIGHT(LEFT(D6176,7),2)=RIGHT(LEFT(' Pivot Tables'!$A$4,7),2)),1,0)</f>
        <v>0</v>
      </c>
      <c r="Y6176" s="6">
        <f>1/COUNTIF(Таблица1[Order ID],Таблица1[[#This Row],[Order ID]])</f>
        <v>0.33333333333333331</v>
      </c>
      <c r="Z6176" s="9">
        <f>1/COUNTIFS(Таблица1[Customer Name],Таблица1[[#This Row],[Customer Name]],Таблица1[Order-Year-Month],Таблица1[[#This Row],[Order-Year-Month]])</f>
        <v>0.25</v>
      </c>
    </row>
    <row r="6177" spans="1:26" x14ac:dyDescent="0.2">
      <c r="A6177" s="6">
        <v>3824</v>
      </c>
      <c r="B6177" s="7">
        <v>27265</v>
      </c>
      <c r="C6177" s="8">
        <f>DATE(2012,12,31)-239</f>
        <v>41035</v>
      </c>
      <c r="D6177" s="8" t="str">
        <f t="shared" si="114"/>
        <v>2012-05 (май 2012)</v>
      </c>
      <c r="E6177" s="9" t="s">
        <v>78</v>
      </c>
      <c r="F6177" s="7">
        <v>49</v>
      </c>
      <c r="G6177" s="7">
        <v>401.39</v>
      </c>
      <c r="H6177" s="7">
        <v>0.03</v>
      </c>
      <c r="I6177" s="9" t="s">
        <v>56</v>
      </c>
      <c r="J6177" s="10">
        <v>161.94999999999999</v>
      </c>
      <c r="K6177" s="11">
        <v>8.34</v>
      </c>
      <c r="L6177" s="11">
        <v>0.96</v>
      </c>
      <c r="M6177" s="9" t="s">
        <v>1986</v>
      </c>
      <c r="N6177" s="6" t="s">
        <v>1905</v>
      </c>
      <c r="O6177" s="6" t="s">
        <v>673</v>
      </c>
      <c r="P6177" s="9" t="s">
        <v>41</v>
      </c>
      <c r="Q6177" s="9" t="s">
        <v>49</v>
      </c>
      <c r="R6177" s="9" t="s">
        <v>50</v>
      </c>
      <c r="S6177" s="7" t="s">
        <v>1306</v>
      </c>
      <c r="T6177" s="9" t="s">
        <v>68</v>
      </c>
      <c r="U6177" s="7">
        <v>0.43</v>
      </c>
      <c r="V6177" s="12">
        <f>C6177+2</f>
        <v>41037</v>
      </c>
      <c r="W6177">
        <f>IF(D6177=' Pivot Tables'!$A$4,1,0)</f>
        <v>0</v>
      </c>
      <c r="X6177">
        <f>IF(AND(LEFT(D6177,4)+1=LEFT(' Pivot Tables'!$A$4,4)+0,RIGHT(LEFT(D6177,7),2)=RIGHT(LEFT(' Pivot Tables'!$A$4,7),2)),1,0)</f>
        <v>0</v>
      </c>
      <c r="Y6177" s="6">
        <f>1/COUNTIF(Таблица1[Order ID],Таблица1[[#This Row],[Order ID]])</f>
        <v>0.33333333333333331</v>
      </c>
      <c r="Z6177" s="9">
        <f>1/COUNTIFS(Таблица1[Customer Name],Таблица1[[#This Row],[Customer Name]],Таблица1[Order-Year-Month],Таблица1[[#This Row],[Order-Year-Month]])</f>
        <v>0.25</v>
      </c>
    </row>
    <row r="6178" spans="1:26" x14ac:dyDescent="0.2">
      <c r="A6178" s="6">
        <v>3855</v>
      </c>
      <c r="B6178" s="7">
        <v>27491</v>
      </c>
      <c r="C6178" s="8">
        <f>DATE(2012,12,31)-1362</f>
        <v>39912</v>
      </c>
      <c r="D6178" s="8" t="str">
        <f t="shared" si="114"/>
        <v>2009-04 (апрель 2009)</v>
      </c>
      <c r="E6178" s="9" t="s">
        <v>45</v>
      </c>
      <c r="F6178" s="7">
        <v>11</v>
      </c>
      <c r="G6178" s="7">
        <v>985.01</v>
      </c>
      <c r="H6178" s="7">
        <v>0.04</v>
      </c>
      <c r="I6178" s="9" t="s">
        <v>22</v>
      </c>
      <c r="J6178" s="10">
        <v>186.05</v>
      </c>
      <c r="K6178" s="11">
        <v>90.48</v>
      </c>
      <c r="L6178" s="11">
        <v>19.989999999999998</v>
      </c>
      <c r="M6178" s="9" t="s">
        <v>1984</v>
      </c>
      <c r="N6178" s="6" t="s">
        <v>1905</v>
      </c>
      <c r="O6178" s="6" t="s">
        <v>673</v>
      </c>
      <c r="P6178" s="9" t="s">
        <v>41</v>
      </c>
      <c r="Q6178" s="9" t="s">
        <v>26</v>
      </c>
      <c r="R6178" s="9" t="s">
        <v>76</v>
      </c>
      <c r="S6178" s="7" t="s">
        <v>1167</v>
      </c>
      <c r="T6178" s="9" t="s">
        <v>39</v>
      </c>
      <c r="U6178" s="7">
        <v>0.4</v>
      </c>
      <c r="V6178" s="12">
        <f>C6178+2</f>
        <v>39914</v>
      </c>
      <c r="W6178">
        <f>IF(D6178=' Pivot Tables'!$A$4,1,0)</f>
        <v>0</v>
      </c>
      <c r="X6178">
        <f>IF(AND(LEFT(D6178,4)+1=LEFT(' Pivot Tables'!$A$4,4)+0,RIGHT(LEFT(D6178,7),2)=RIGHT(LEFT(' Pivot Tables'!$A$4,7),2)),1,0)</f>
        <v>0</v>
      </c>
      <c r="Y6178" s="6">
        <f>1/COUNTIF(Таблица1[Order ID],Таблица1[[#This Row],[Order ID]])</f>
        <v>0.33333333333333331</v>
      </c>
      <c r="Z6178" s="9">
        <f>1/COUNTIFS(Таблица1[Customer Name],Таблица1[[#This Row],[Customer Name]],Таблица1[Order-Year-Month],Таблица1[[#This Row],[Order-Year-Month]])</f>
        <v>0.33333333333333331</v>
      </c>
    </row>
    <row r="6179" spans="1:26" x14ac:dyDescent="0.2">
      <c r="A6179" s="6">
        <v>3856</v>
      </c>
      <c r="B6179" s="7">
        <v>27491</v>
      </c>
      <c r="C6179" s="8">
        <f>DATE(2012,12,31)-1362</f>
        <v>39912</v>
      </c>
      <c r="D6179" s="8" t="str">
        <f t="shared" si="114"/>
        <v>2009-04 (апрель 2009)</v>
      </c>
      <c r="E6179" s="9" t="s">
        <v>45</v>
      </c>
      <c r="F6179" s="7">
        <v>36</v>
      </c>
      <c r="G6179" s="7">
        <v>350.71</v>
      </c>
      <c r="H6179" s="7">
        <v>0.02</v>
      </c>
      <c r="I6179" s="9" t="s">
        <v>22</v>
      </c>
      <c r="J6179" s="10">
        <v>-15.3</v>
      </c>
      <c r="K6179" s="11">
        <v>9.77</v>
      </c>
      <c r="L6179" s="11">
        <v>6.02</v>
      </c>
      <c r="M6179" s="9" t="s">
        <v>1984</v>
      </c>
      <c r="N6179" s="6" t="s">
        <v>1905</v>
      </c>
      <c r="O6179" s="6" t="s">
        <v>673</v>
      </c>
      <c r="P6179" s="9" t="s">
        <v>41</v>
      </c>
      <c r="Q6179" s="9" t="s">
        <v>49</v>
      </c>
      <c r="R6179" s="9" t="s">
        <v>50</v>
      </c>
      <c r="S6179" s="7" t="s">
        <v>446</v>
      </c>
      <c r="T6179" s="9" t="s">
        <v>48</v>
      </c>
      <c r="U6179" s="7">
        <v>0.48</v>
      </c>
      <c r="V6179" s="12">
        <f>C6179+1</f>
        <v>39913</v>
      </c>
      <c r="W6179">
        <f>IF(D6179=' Pivot Tables'!$A$4,1,0)</f>
        <v>0</v>
      </c>
      <c r="X6179">
        <f>IF(AND(LEFT(D6179,4)+1=LEFT(' Pivot Tables'!$A$4,4)+0,RIGHT(LEFT(D6179,7),2)=RIGHT(LEFT(' Pivot Tables'!$A$4,7),2)),1,0)</f>
        <v>0</v>
      </c>
      <c r="Y6179" s="6">
        <f>1/COUNTIF(Таблица1[Order ID],Таблица1[[#This Row],[Order ID]])</f>
        <v>0.33333333333333331</v>
      </c>
      <c r="Z6179" s="9">
        <f>1/COUNTIFS(Таблица1[Customer Name],Таблица1[[#This Row],[Customer Name]],Таблица1[Order-Year-Month],Таблица1[[#This Row],[Order-Year-Month]])</f>
        <v>0.33333333333333331</v>
      </c>
    </row>
    <row r="6180" spans="1:26" x14ac:dyDescent="0.2">
      <c r="A6180" s="6">
        <v>3857</v>
      </c>
      <c r="B6180" s="7">
        <v>27491</v>
      </c>
      <c r="C6180" s="8">
        <f>DATE(2012,12,31)-1362</f>
        <v>39912</v>
      </c>
      <c r="D6180" s="8" t="str">
        <f t="shared" si="114"/>
        <v>2009-04 (апрель 2009)</v>
      </c>
      <c r="E6180" s="9" t="s">
        <v>45</v>
      </c>
      <c r="F6180" s="7">
        <v>2</v>
      </c>
      <c r="G6180" s="7">
        <v>75.23</v>
      </c>
      <c r="H6180" s="7">
        <v>0.09</v>
      </c>
      <c r="I6180" s="9" t="s">
        <v>22</v>
      </c>
      <c r="J6180" s="10">
        <v>-51.5</v>
      </c>
      <c r="K6180" s="11">
        <v>34.99</v>
      </c>
      <c r="L6180" s="11">
        <v>7.73</v>
      </c>
      <c r="M6180" s="9" t="s">
        <v>1984</v>
      </c>
      <c r="N6180" s="6" t="s">
        <v>1905</v>
      </c>
      <c r="O6180" s="6" t="s">
        <v>673</v>
      </c>
      <c r="P6180" s="9" t="s">
        <v>41</v>
      </c>
      <c r="Q6180" s="9" t="s">
        <v>26</v>
      </c>
      <c r="R6180" s="9" t="s">
        <v>95</v>
      </c>
      <c r="S6180" s="7" t="s">
        <v>1355</v>
      </c>
      <c r="T6180" s="9" t="s">
        <v>39</v>
      </c>
      <c r="U6180" s="7">
        <v>0.59</v>
      </c>
      <c r="V6180" s="12">
        <f>C6180+2</f>
        <v>39914</v>
      </c>
      <c r="W6180">
        <f>IF(D6180=' Pivot Tables'!$A$4,1,0)</f>
        <v>0</v>
      </c>
      <c r="X6180">
        <f>IF(AND(LEFT(D6180,4)+1=LEFT(' Pivot Tables'!$A$4,4)+0,RIGHT(LEFT(D6180,7),2)=RIGHT(LEFT(' Pivot Tables'!$A$4,7),2)),1,0)</f>
        <v>0</v>
      </c>
      <c r="Y6180" s="6">
        <f>1/COUNTIF(Таблица1[Order ID],Таблица1[[#This Row],[Order ID]])</f>
        <v>0.33333333333333331</v>
      </c>
      <c r="Z6180" s="9">
        <f>1/COUNTIFS(Таблица1[Customer Name],Таблица1[[#This Row],[Customer Name]],Таблица1[Order-Year-Month],Таблица1[[#This Row],[Order-Year-Month]])</f>
        <v>0.33333333333333331</v>
      </c>
    </row>
    <row r="6181" spans="1:26" x14ac:dyDescent="0.2">
      <c r="A6181" s="6">
        <v>3907</v>
      </c>
      <c r="B6181" s="7">
        <v>27845</v>
      </c>
      <c r="C6181" s="8">
        <f>DATE(2012,12,31)-537</f>
        <v>40737</v>
      </c>
      <c r="D6181" s="8" t="str">
        <f t="shared" si="114"/>
        <v>2011-07 (июль 2011)</v>
      </c>
      <c r="E6181" s="9" t="s">
        <v>45</v>
      </c>
      <c r="F6181" s="7">
        <v>36</v>
      </c>
      <c r="G6181" s="7">
        <v>220.45</v>
      </c>
      <c r="H6181" s="7">
        <v>0.1</v>
      </c>
      <c r="I6181" s="9" t="s">
        <v>22</v>
      </c>
      <c r="J6181" s="10">
        <v>101.4</v>
      </c>
      <c r="K6181" s="11">
        <v>6.3</v>
      </c>
      <c r="L6181" s="11">
        <v>0.5</v>
      </c>
      <c r="M6181" s="9" t="s">
        <v>1887</v>
      </c>
      <c r="N6181" s="6" t="s">
        <v>1905</v>
      </c>
      <c r="O6181" s="6" t="s">
        <v>673</v>
      </c>
      <c r="P6181" s="9" t="s">
        <v>25</v>
      </c>
      <c r="Q6181" s="9" t="s">
        <v>26</v>
      </c>
      <c r="R6181" s="9" t="s">
        <v>88</v>
      </c>
      <c r="S6181" s="7" t="s">
        <v>461</v>
      </c>
      <c r="T6181" s="9" t="s">
        <v>39</v>
      </c>
      <c r="U6181" s="7">
        <v>0.39</v>
      </c>
      <c r="V6181" s="12">
        <f>C6181+1</f>
        <v>40738</v>
      </c>
      <c r="W6181">
        <f>IF(D6181=' Pivot Tables'!$A$4,1,0)</f>
        <v>0</v>
      </c>
      <c r="X6181">
        <f>IF(AND(LEFT(D6181,4)+1=LEFT(' Pivot Tables'!$A$4,4)+0,RIGHT(LEFT(D6181,7),2)=RIGHT(LEFT(' Pivot Tables'!$A$4,7),2)),1,0)</f>
        <v>0</v>
      </c>
      <c r="Y6181" s="6">
        <f>1/COUNTIF(Таблица1[Order ID],Таблица1[[#This Row],[Order ID]])</f>
        <v>1</v>
      </c>
      <c r="Z6181" s="9">
        <f>1/COUNTIFS(Таблица1[Customer Name],Таблица1[[#This Row],[Customer Name]],Таблица1[Order-Year-Month],Таблица1[[#This Row],[Order-Year-Month]])</f>
        <v>1</v>
      </c>
    </row>
    <row r="6182" spans="1:26" x14ac:dyDescent="0.2">
      <c r="A6182" s="6">
        <v>4243</v>
      </c>
      <c r="B6182" s="7">
        <v>30176</v>
      </c>
      <c r="C6182" s="8">
        <f>DATE(2012,12,31)-1352</f>
        <v>39922</v>
      </c>
      <c r="D6182" s="8" t="str">
        <f t="shared" si="114"/>
        <v>2009-04 (апрель 2009)</v>
      </c>
      <c r="E6182" s="9" t="s">
        <v>21</v>
      </c>
      <c r="F6182" s="7">
        <v>30</v>
      </c>
      <c r="G6182" s="7">
        <v>2504.41</v>
      </c>
      <c r="H6182" s="7">
        <v>0.01</v>
      </c>
      <c r="I6182" s="9" t="s">
        <v>22</v>
      </c>
      <c r="J6182" s="10">
        <v>-547.89</v>
      </c>
      <c r="K6182" s="11">
        <v>79.52</v>
      </c>
      <c r="L6182" s="11">
        <v>48.2</v>
      </c>
      <c r="M6182" s="9" t="s">
        <v>1991</v>
      </c>
      <c r="N6182" s="6" t="s">
        <v>1905</v>
      </c>
      <c r="O6182" s="6" t="s">
        <v>673</v>
      </c>
      <c r="P6182" s="9" t="s">
        <v>60</v>
      </c>
      <c r="Q6182" s="9" t="s">
        <v>49</v>
      </c>
      <c r="R6182" s="9" t="s">
        <v>50</v>
      </c>
      <c r="S6182" s="7" t="s">
        <v>902</v>
      </c>
      <c r="T6182" s="9" t="s">
        <v>48</v>
      </c>
      <c r="U6182" s="7">
        <v>0.74</v>
      </c>
      <c r="V6182" s="12">
        <f>C6182+7</f>
        <v>39929</v>
      </c>
      <c r="W6182">
        <f>IF(D6182=' Pivot Tables'!$A$4,1,0)</f>
        <v>0</v>
      </c>
      <c r="X6182">
        <f>IF(AND(LEFT(D6182,4)+1=LEFT(' Pivot Tables'!$A$4,4)+0,RIGHT(LEFT(D6182,7),2)=RIGHT(LEFT(' Pivot Tables'!$A$4,7),2)),1,0)</f>
        <v>0</v>
      </c>
      <c r="Y6182" s="6">
        <f>1/COUNTIF(Таблица1[Order ID],Таблица1[[#This Row],[Order ID]])</f>
        <v>1</v>
      </c>
      <c r="Z6182" s="9">
        <f>1/COUNTIFS(Таблица1[Customer Name],Таблица1[[#This Row],[Customer Name]],Таблица1[Order-Year-Month],Таблица1[[#This Row],[Order-Year-Month]])</f>
        <v>0.5</v>
      </c>
    </row>
    <row r="6183" spans="1:26" x14ac:dyDescent="0.2">
      <c r="A6183" s="6">
        <v>4270</v>
      </c>
      <c r="B6183" s="7">
        <v>30375</v>
      </c>
      <c r="C6183" s="8">
        <f>DATE(2012,12,31)-242</f>
        <v>41032</v>
      </c>
      <c r="D6183" s="8" t="str">
        <f t="shared" si="114"/>
        <v>2012-05 (май 2012)</v>
      </c>
      <c r="E6183" s="9" t="s">
        <v>21</v>
      </c>
      <c r="F6183" s="7">
        <v>20</v>
      </c>
      <c r="G6183" s="7">
        <v>71.45</v>
      </c>
      <c r="H6183" s="7">
        <v>0.03</v>
      </c>
      <c r="I6183" s="9" t="s">
        <v>22</v>
      </c>
      <c r="J6183" s="10">
        <v>-92.954499999999996</v>
      </c>
      <c r="K6183" s="11">
        <v>3.36</v>
      </c>
      <c r="L6183" s="11">
        <v>6.27</v>
      </c>
      <c r="M6183" s="9" t="s">
        <v>1986</v>
      </c>
      <c r="N6183" s="6" t="s">
        <v>1905</v>
      </c>
      <c r="O6183" s="6" t="s">
        <v>673</v>
      </c>
      <c r="P6183" s="9" t="s">
        <v>41</v>
      </c>
      <c r="Q6183" s="9" t="s">
        <v>26</v>
      </c>
      <c r="R6183" s="9" t="s">
        <v>37</v>
      </c>
      <c r="S6183" s="7" t="s">
        <v>410</v>
      </c>
      <c r="T6183" s="9" t="s">
        <v>39</v>
      </c>
      <c r="U6183" s="7">
        <v>0.4</v>
      </c>
      <c r="V6183" s="12">
        <f>C6183+4</f>
        <v>41036</v>
      </c>
      <c r="W6183">
        <f>IF(D6183=' Pivot Tables'!$A$4,1,0)</f>
        <v>0</v>
      </c>
      <c r="X6183">
        <f>IF(AND(LEFT(D6183,4)+1=LEFT(' Pivot Tables'!$A$4,4)+0,RIGHT(LEFT(D6183,7),2)=RIGHT(LEFT(' Pivot Tables'!$A$4,7),2)),1,0)</f>
        <v>0</v>
      </c>
      <c r="Y6183" s="6">
        <f>1/COUNTIF(Таблица1[Order ID],Таблица1[[#This Row],[Order ID]])</f>
        <v>1</v>
      </c>
      <c r="Z6183" s="9">
        <f>1/COUNTIFS(Таблица1[Customer Name],Таблица1[[#This Row],[Customer Name]],Таблица1[Order-Year-Month],Таблица1[[#This Row],[Order-Year-Month]])</f>
        <v>0.25</v>
      </c>
    </row>
    <row r="6184" spans="1:26" x14ac:dyDescent="0.2">
      <c r="A6184" s="6">
        <v>4289</v>
      </c>
      <c r="B6184" s="7">
        <v>30565</v>
      </c>
      <c r="C6184" s="8">
        <f>DATE(2012,12,31)-524</f>
        <v>40750</v>
      </c>
      <c r="D6184" s="8" t="str">
        <f t="shared" si="114"/>
        <v>2011-07 (июль 2011)</v>
      </c>
      <c r="E6184" s="9" t="s">
        <v>63</v>
      </c>
      <c r="F6184" s="7">
        <v>32</v>
      </c>
      <c r="G6184" s="7">
        <v>1785.02</v>
      </c>
      <c r="H6184" s="7">
        <v>0.04</v>
      </c>
      <c r="I6184" s="9" t="s">
        <v>56</v>
      </c>
      <c r="J6184" s="10">
        <v>52.66</v>
      </c>
      <c r="K6184" s="11">
        <v>55.94</v>
      </c>
      <c r="L6184" s="11">
        <v>4</v>
      </c>
      <c r="M6184" s="9" t="s">
        <v>1984</v>
      </c>
      <c r="N6184" s="6" t="s">
        <v>1905</v>
      </c>
      <c r="O6184" s="6" t="s">
        <v>673</v>
      </c>
      <c r="P6184" s="9" t="s">
        <v>41</v>
      </c>
      <c r="Q6184" s="9" t="s">
        <v>42</v>
      </c>
      <c r="R6184" s="9" t="s">
        <v>70</v>
      </c>
      <c r="S6184" s="7" t="s">
        <v>503</v>
      </c>
      <c r="T6184" s="9" t="s">
        <v>39</v>
      </c>
      <c r="U6184" s="7">
        <v>0.74</v>
      </c>
      <c r="V6184" s="12">
        <f>C6184+2</f>
        <v>40752</v>
      </c>
      <c r="W6184">
        <f>IF(D6184=' Pivot Tables'!$A$4,1,0)</f>
        <v>0</v>
      </c>
      <c r="X6184">
        <f>IF(AND(LEFT(D6184,4)+1=LEFT(' Pivot Tables'!$A$4,4)+0,RIGHT(LEFT(D6184,7),2)=RIGHT(LEFT(' Pivot Tables'!$A$4,7),2)),1,0)</f>
        <v>0</v>
      </c>
      <c r="Y6184" s="6">
        <f>1/COUNTIF(Таблица1[Order ID],Таблица1[[#This Row],[Order ID]])</f>
        <v>1</v>
      </c>
      <c r="Z6184" s="9">
        <f>1/COUNTIFS(Таблица1[Customer Name],Таблица1[[#This Row],[Customer Name]],Таблица1[Order-Year-Month],Таблица1[[#This Row],[Order-Year-Month]])</f>
        <v>0.5</v>
      </c>
    </row>
    <row r="6185" spans="1:26" x14ac:dyDescent="0.2">
      <c r="A6185" s="6">
        <v>4291</v>
      </c>
      <c r="B6185" s="7">
        <v>30567</v>
      </c>
      <c r="C6185" s="8">
        <f>DATE(2012,12,31)-1447</f>
        <v>39827</v>
      </c>
      <c r="D6185" s="8" t="str">
        <f t="shared" si="114"/>
        <v>2009-01 (январь 2009)</v>
      </c>
      <c r="E6185" s="9" t="s">
        <v>45</v>
      </c>
      <c r="F6185" s="7">
        <v>14</v>
      </c>
      <c r="G6185" s="7">
        <v>2690.84</v>
      </c>
      <c r="H6185" s="7">
        <v>0.1</v>
      </c>
      <c r="I6185" s="9" t="s">
        <v>31</v>
      </c>
      <c r="J6185" s="10">
        <v>-368.02</v>
      </c>
      <c r="K6185" s="11">
        <v>208.16</v>
      </c>
      <c r="L6185" s="11">
        <v>68.02</v>
      </c>
      <c r="M6185" s="9" t="s">
        <v>1985</v>
      </c>
      <c r="N6185" s="6" t="s">
        <v>1905</v>
      </c>
      <c r="O6185" s="6" t="s">
        <v>673</v>
      </c>
      <c r="P6185" s="9" t="s">
        <v>25</v>
      </c>
      <c r="Q6185" s="9" t="s">
        <v>26</v>
      </c>
      <c r="R6185" s="9" t="s">
        <v>34</v>
      </c>
      <c r="S6185" s="7" t="s">
        <v>35</v>
      </c>
      <c r="T6185" s="9" t="s">
        <v>36</v>
      </c>
      <c r="U6185" s="7">
        <v>0.57999999999999996</v>
      </c>
      <c r="V6185" s="12">
        <f>C6185+0</f>
        <v>39827</v>
      </c>
      <c r="W6185">
        <f>IF(D6185=' Pivot Tables'!$A$4,1,0)</f>
        <v>0</v>
      </c>
      <c r="X6185">
        <f>IF(AND(LEFT(D6185,4)+1=LEFT(' Pivot Tables'!$A$4,4)+0,RIGHT(LEFT(D6185,7),2)=RIGHT(LEFT(' Pivot Tables'!$A$4,7),2)),1,0)</f>
        <v>1</v>
      </c>
      <c r="Y6185" s="6">
        <f>1/COUNTIF(Таблица1[Order ID],Таблица1[[#This Row],[Order ID]])</f>
        <v>0.25</v>
      </c>
      <c r="Z6185" s="9">
        <f>1/COUNTIFS(Таблица1[Customer Name],Таблица1[[#This Row],[Customer Name]],Таблица1[Order-Year-Month],Таблица1[[#This Row],[Order-Year-Month]])</f>
        <v>0.25</v>
      </c>
    </row>
    <row r="6186" spans="1:26" x14ac:dyDescent="0.2">
      <c r="A6186" s="6">
        <v>4292</v>
      </c>
      <c r="B6186" s="7">
        <v>30567</v>
      </c>
      <c r="C6186" s="8">
        <f>DATE(2012,12,31)-1447</f>
        <v>39827</v>
      </c>
      <c r="D6186" s="8" t="str">
        <f t="shared" si="114"/>
        <v>2009-01 (январь 2009)</v>
      </c>
      <c r="E6186" s="9" t="s">
        <v>45</v>
      </c>
      <c r="F6186" s="7">
        <v>8</v>
      </c>
      <c r="G6186" s="7">
        <v>733.55</v>
      </c>
      <c r="H6186" s="7">
        <v>7.0000000000000007E-2</v>
      </c>
      <c r="I6186" s="9" t="s">
        <v>22</v>
      </c>
      <c r="J6186" s="10">
        <v>103.13</v>
      </c>
      <c r="K6186" s="11">
        <v>90.48</v>
      </c>
      <c r="L6186" s="11">
        <v>19.989999999999998</v>
      </c>
      <c r="M6186" s="9" t="s">
        <v>1985</v>
      </c>
      <c r="N6186" s="6" t="s">
        <v>1905</v>
      </c>
      <c r="O6186" s="6" t="s">
        <v>673</v>
      </c>
      <c r="P6186" s="9" t="s">
        <v>25</v>
      </c>
      <c r="Q6186" s="9" t="s">
        <v>26</v>
      </c>
      <c r="R6186" s="9" t="s">
        <v>76</v>
      </c>
      <c r="S6186" s="7" t="s">
        <v>1167</v>
      </c>
      <c r="T6186" s="9" t="s">
        <v>39</v>
      </c>
      <c r="U6186" s="7">
        <v>0.4</v>
      </c>
      <c r="V6186" s="12">
        <f>C6186+1</f>
        <v>39828</v>
      </c>
      <c r="W6186">
        <f>IF(D6186=' Pivot Tables'!$A$4,1,0)</f>
        <v>0</v>
      </c>
      <c r="X6186">
        <f>IF(AND(LEFT(D6186,4)+1=LEFT(' Pivot Tables'!$A$4,4)+0,RIGHT(LEFT(D6186,7),2)=RIGHT(LEFT(' Pivot Tables'!$A$4,7),2)),1,0)</f>
        <v>1</v>
      </c>
      <c r="Y6186" s="6">
        <f>1/COUNTIF(Таблица1[Order ID],Таблица1[[#This Row],[Order ID]])</f>
        <v>0.25</v>
      </c>
      <c r="Z6186" s="9">
        <f>1/COUNTIFS(Таблица1[Customer Name],Таблица1[[#This Row],[Customer Name]],Таблица1[Order-Year-Month],Таблица1[[#This Row],[Order-Year-Month]])</f>
        <v>0.25</v>
      </c>
    </row>
    <row r="6187" spans="1:26" x14ac:dyDescent="0.2">
      <c r="A6187" s="6">
        <v>4293</v>
      </c>
      <c r="B6187" s="7">
        <v>30567</v>
      </c>
      <c r="C6187" s="8">
        <f>DATE(2012,12,31)-1447</f>
        <v>39827</v>
      </c>
      <c r="D6187" s="8" t="str">
        <f t="shared" si="114"/>
        <v>2009-01 (январь 2009)</v>
      </c>
      <c r="E6187" s="9" t="s">
        <v>45</v>
      </c>
      <c r="F6187" s="7">
        <v>3</v>
      </c>
      <c r="G6187" s="7">
        <v>38.71</v>
      </c>
      <c r="H6187" s="7">
        <v>0.01</v>
      </c>
      <c r="I6187" s="9" t="s">
        <v>56</v>
      </c>
      <c r="J6187" s="10">
        <v>23</v>
      </c>
      <c r="K6187" s="11">
        <v>9.48</v>
      </c>
      <c r="L6187" s="11">
        <v>7.29</v>
      </c>
      <c r="M6187" s="9" t="s">
        <v>1985</v>
      </c>
      <c r="N6187" s="6" t="s">
        <v>1905</v>
      </c>
      <c r="O6187" s="6" t="s">
        <v>673</v>
      </c>
      <c r="P6187" s="9" t="s">
        <v>25</v>
      </c>
      <c r="Q6187" s="9" t="s">
        <v>49</v>
      </c>
      <c r="R6187" s="9" t="s">
        <v>50</v>
      </c>
      <c r="S6187" s="7" t="s">
        <v>934</v>
      </c>
      <c r="T6187" s="9" t="s">
        <v>52</v>
      </c>
      <c r="U6187" s="7">
        <v>0.45</v>
      </c>
      <c r="V6187" s="12">
        <f>C6187+2</f>
        <v>39829</v>
      </c>
      <c r="W6187">
        <f>IF(D6187=' Pivot Tables'!$A$4,1,0)</f>
        <v>0</v>
      </c>
      <c r="X6187">
        <f>IF(AND(LEFT(D6187,4)+1=LEFT(' Pivot Tables'!$A$4,4)+0,RIGHT(LEFT(D6187,7),2)=RIGHT(LEFT(' Pivot Tables'!$A$4,7),2)),1,0)</f>
        <v>1</v>
      </c>
      <c r="Y6187" s="6">
        <f>1/COUNTIF(Таблица1[Order ID],Таблица1[[#This Row],[Order ID]])</f>
        <v>0.25</v>
      </c>
      <c r="Z6187" s="9">
        <f>1/COUNTIFS(Таблица1[Customer Name],Таблица1[[#This Row],[Customer Name]],Таблица1[Order-Year-Month],Таблица1[[#This Row],[Order-Year-Month]])</f>
        <v>0.25</v>
      </c>
    </row>
    <row r="6188" spans="1:26" x14ac:dyDescent="0.2">
      <c r="A6188" s="6">
        <v>4294</v>
      </c>
      <c r="B6188" s="7">
        <v>30567</v>
      </c>
      <c r="C6188" s="8">
        <f>DATE(2012,12,31)-1447</f>
        <v>39827</v>
      </c>
      <c r="D6188" s="8" t="str">
        <f t="shared" si="114"/>
        <v>2009-01 (январь 2009)</v>
      </c>
      <c r="E6188" s="9" t="s">
        <v>45</v>
      </c>
      <c r="F6188" s="7">
        <v>14</v>
      </c>
      <c r="G6188" s="7">
        <v>62.6</v>
      </c>
      <c r="H6188" s="7">
        <v>0.02</v>
      </c>
      <c r="I6188" s="9" t="s">
        <v>22</v>
      </c>
      <c r="J6188" s="10">
        <v>7.32</v>
      </c>
      <c r="K6188" s="11">
        <v>4.28</v>
      </c>
      <c r="L6188" s="11">
        <v>0.94</v>
      </c>
      <c r="M6188" s="9" t="s">
        <v>1985</v>
      </c>
      <c r="N6188" s="6" t="s">
        <v>1905</v>
      </c>
      <c r="O6188" s="6" t="s">
        <v>673</v>
      </c>
      <c r="P6188" s="9" t="s">
        <v>25</v>
      </c>
      <c r="Q6188" s="9" t="s">
        <v>26</v>
      </c>
      <c r="R6188" s="9" t="s">
        <v>95</v>
      </c>
      <c r="S6188" s="7" t="s">
        <v>540</v>
      </c>
      <c r="T6188" s="9" t="s">
        <v>68</v>
      </c>
      <c r="U6188" s="7">
        <v>0.56000000000000005</v>
      </c>
      <c r="V6188" s="12">
        <f>C6188+1</f>
        <v>39828</v>
      </c>
      <c r="W6188">
        <f>IF(D6188=' Pivot Tables'!$A$4,1,0)</f>
        <v>0</v>
      </c>
      <c r="X6188">
        <f>IF(AND(LEFT(D6188,4)+1=LEFT(' Pivot Tables'!$A$4,4)+0,RIGHT(LEFT(D6188,7),2)=RIGHT(LEFT(' Pivot Tables'!$A$4,7),2)),1,0)</f>
        <v>1</v>
      </c>
      <c r="Y6188" s="6">
        <f>1/COUNTIF(Таблица1[Order ID],Таблица1[[#This Row],[Order ID]])</f>
        <v>0.25</v>
      </c>
      <c r="Z6188" s="9">
        <f>1/COUNTIFS(Таблица1[Customer Name],Таблица1[[#This Row],[Customer Name]],Таблица1[Order-Year-Month],Таблица1[[#This Row],[Order-Year-Month]])</f>
        <v>0.25</v>
      </c>
    </row>
    <row r="6189" spans="1:26" x14ac:dyDescent="0.2">
      <c r="A6189" s="6">
        <v>4431</v>
      </c>
      <c r="B6189" s="7">
        <v>31586</v>
      </c>
      <c r="C6189" s="8">
        <f>DATE(2012,12,31)-285</f>
        <v>40989</v>
      </c>
      <c r="D6189" s="8" t="str">
        <f t="shared" si="114"/>
        <v>2012-03 (март 2012)</v>
      </c>
      <c r="E6189" s="9" t="s">
        <v>21</v>
      </c>
      <c r="F6189" s="7">
        <v>22</v>
      </c>
      <c r="G6189" s="7">
        <v>963.45</v>
      </c>
      <c r="H6189" s="7">
        <v>0.05</v>
      </c>
      <c r="I6189" s="9" t="s">
        <v>56</v>
      </c>
      <c r="J6189" s="10">
        <v>94.03</v>
      </c>
      <c r="K6189" s="11">
        <v>43.22</v>
      </c>
      <c r="L6189" s="11">
        <v>4</v>
      </c>
      <c r="M6189" s="9" t="s">
        <v>1991</v>
      </c>
      <c r="N6189" s="6" t="s">
        <v>1905</v>
      </c>
      <c r="O6189" s="6" t="s">
        <v>673</v>
      </c>
      <c r="P6189" s="9" t="s">
        <v>60</v>
      </c>
      <c r="Q6189" s="9" t="s">
        <v>42</v>
      </c>
      <c r="R6189" s="9" t="s">
        <v>70</v>
      </c>
      <c r="S6189" s="7" t="s">
        <v>921</v>
      </c>
      <c r="T6189" s="9" t="s">
        <v>39</v>
      </c>
      <c r="U6189" s="7">
        <v>0.64</v>
      </c>
      <c r="V6189" s="12">
        <f>C6189+4</f>
        <v>40993</v>
      </c>
      <c r="W6189">
        <f>IF(D6189=' Pivot Tables'!$A$4,1,0)</f>
        <v>0</v>
      </c>
      <c r="X6189">
        <f>IF(AND(LEFT(D6189,4)+1=LEFT(' Pivot Tables'!$A$4,4)+0,RIGHT(LEFT(D6189,7),2)=RIGHT(LEFT(' Pivot Tables'!$A$4,7),2)),1,0)</f>
        <v>0</v>
      </c>
      <c r="Y6189" s="6">
        <f>1/COUNTIF(Таблица1[Order ID],Таблица1[[#This Row],[Order ID]])</f>
        <v>0.5</v>
      </c>
      <c r="Z6189" s="9">
        <f>1/COUNTIFS(Таблица1[Customer Name],Таблица1[[#This Row],[Customer Name]],Таблица1[Order-Year-Month],Таблица1[[#This Row],[Order-Year-Month]])</f>
        <v>0.5</v>
      </c>
    </row>
    <row r="6190" spans="1:26" x14ac:dyDescent="0.2">
      <c r="A6190" s="6">
        <v>4432</v>
      </c>
      <c r="B6190" s="7">
        <v>31586</v>
      </c>
      <c r="C6190" s="8">
        <f>DATE(2012,12,31)-285</f>
        <v>40989</v>
      </c>
      <c r="D6190" s="8" t="str">
        <f t="shared" si="114"/>
        <v>2012-03 (март 2012)</v>
      </c>
      <c r="E6190" s="9" t="s">
        <v>21</v>
      </c>
      <c r="F6190" s="7">
        <v>25</v>
      </c>
      <c r="G6190" s="7">
        <v>4390.0289999999995</v>
      </c>
      <c r="H6190" s="7">
        <v>0</v>
      </c>
      <c r="I6190" s="9" t="s">
        <v>56</v>
      </c>
      <c r="J6190" s="10">
        <v>1007.4870000000001</v>
      </c>
      <c r="K6190" s="11">
        <v>205.99</v>
      </c>
      <c r="L6190" s="11">
        <v>5.26</v>
      </c>
      <c r="M6190" s="9" t="s">
        <v>1991</v>
      </c>
      <c r="N6190" s="6" t="s">
        <v>1905</v>
      </c>
      <c r="O6190" s="6" t="s">
        <v>673</v>
      </c>
      <c r="P6190" s="9" t="s">
        <v>60</v>
      </c>
      <c r="Q6190" s="9" t="s">
        <v>42</v>
      </c>
      <c r="R6190" s="9" t="s">
        <v>43</v>
      </c>
      <c r="S6190" s="7" t="s">
        <v>329</v>
      </c>
      <c r="T6190" s="9" t="s">
        <v>39</v>
      </c>
      <c r="U6190" s="7">
        <v>0.56000000000000005</v>
      </c>
      <c r="V6190" s="12">
        <f>C6190+9</f>
        <v>40998</v>
      </c>
      <c r="W6190">
        <f>IF(D6190=' Pivot Tables'!$A$4,1,0)</f>
        <v>0</v>
      </c>
      <c r="X6190">
        <f>IF(AND(LEFT(D6190,4)+1=LEFT(' Pivot Tables'!$A$4,4)+0,RIGHT(LEFT(D6190,7),2)=RIGHT(LEFT(' Pivot Tables'!$A$4,7),2)),1,0)</f>
        <v>0</v>
      </c>
      <c r="Y6190" s="6">
        <f>1/COUNTIF(Таблица1[Order ID],Таблица1[[#This Row],[Order ID]])</f>
        <v>0.5</v>
      </c>
      <c r="Z6190" s="9">
        <f>1/COUNTIFS(Таблица1[Customer Name],Таблица1[[#This Row],[Customer Name]],Таблица1[Order-Year-Month],Таблица1[[#This Row],[Order-Year-Month]])</f>
        <v>0.5</v>
      </c>
    </row>
    <row r="6191" spans="1:26" x14ac:dyDescent="0.2">
      <c r="A6191" s="6">
        <v>4448</v>
      </c>
      <c r="B6191" s="7">
        <v>31687</v>
      </c>
      <c r="C6191" s="8">
        <f>DATE(2012,12,31)-592</f>
        <v>40682</v>
      </c>
      <c r="D6191" s="8" t="str">
        <f t="shared" si="114"/>
        <v>2011-05 (май 2011)</v>
      </c>
      <c r="E6191" s="9" t="s">
        <v>30</v>
      </c>
      <c r="F6191" s="7">
        <v>44</v>
      </c>
      <c r="G6191" s="7">
        <v>123.06</v>
      </c>
      <c r="H6191" s="7">
        <v>7.0000000000000007E-2</v>
      </c>
      <c r="I6191" s="9" t="s">
        <v>22</v>
      </c>
      <c r="J6191" s="10">
        <v>3.5</v>
      </c>
      <c r="K6191" s="11">
        <v>2.78</v>
      </c>
      <c r="L6191" s="11">
        <v>1.34</v>
      </c>
      <c r="M6191" s="9" t="s">
        <v>1989</v>
      </c>
      <c r="N6191" s="6" t="s">
        <v>1905</v>
      </c>
      <c r="O6191" s="6" t="s">
        <v>673</v>
      </c>
      <c r="P6191" s="9" t="s">
        <v>41</v>
      </c>
      <c r="Q6191" s="9" t="s">
        <v>26</v>
      </c>
      <c r="R6191" s="9" t="s">
        <v>95</v>
      </c>
      <c r="S6191" s="7" t="s">
        <v>256</v>
      </c>
      <c r="T6191" s="9" t="s">
        <v>68</v>
      </c>
      <c r="U6191" s="7">
        <v>0.45</v>
      </c>
      <c r="V6191" s="12">
        <f>C6191+0</f>
        <v>40682</v>
      </c>
      <c r="W6191">
        <f>IF(D6191=' Pivot Tables'!$A$4,1,0)</f>
        <v>0</v>
      </c>
      <c r="X6191">
        <f>IF(AND(LEFT(D6191,4)+1=LEFT(' Pivot Tables'!$A$4,4)+0,RIGHT(LEFT(D6191,7),2)=RIGHT(LEFT(' Pivot Tables'!$A$4,7),2)),1,0)</f>
        <v>0</v>
      </c>
      <c r="Y6191" s="6">
        <f>1/COUNTIF(Таблица1[Order ID],Таблица1[[#This Row],[Order ID]])</f>
        <v>1</v>
      </c>
      <c r="Z6191" s="9">
        <f>1/COUNTIFS(Таблица1[Customer Name],Таблица1[[#This Row],[Customer Name]],Таблица1[Order-Year-Month],Таблица1[[#This Row],[Order-Year-Month]])</f>
        <v>1</v>
      </c>
    </row>
    <row r="6192" spans="1:26" x14ac:dyDescent="0.2">
      <c r="A6192" s="6">
        <v>4470</v>
      </c>
      <c r="B6192" s="7">
        <v>31847</v>
      </c>
      <c r="C6192" s="8">
        <f>DATE(2012,12,31)-1109</f>
        <v>40165</v>
      </c>
      <c r="D6192" s="8" t="str">
        <f t="shared" si="114"/>
        <v>2009-12 (декабрь 2009)</v>
      </c>
      <c r="E6192" s="9" t="s">
        <v>21</v>
      </c>
      <c r="F6192" s="7">
        <v>46</v>
      </c>
      <c r="G6192" s="7">
        <v>1692.28</v>
      </c>
      <c r="H6192" s="7">
        <v>0.1</v>
      </c>
      <c r="I6192" s="9" t="s">
        <v>22</v>
      </c>
      <c r="J6192" s="10">
        <v>61</v>
      </c>
      <c r="K6192" s="11">
        <v>39.979999999999997</v>
      </c>
      <c r="L6192" s="11">
        <v>4</v>
      </c>
      <c r="M6192" s="9" t="s">
        <v>1991</v>
      </c>
      <c r="N6192" s="6" t="s">
        <v>1905</v>
      </c>
      <c r="O6192" s="6" t="s">
        <v>673</v>
      </c>
      <c r="P6192" s="9" t="s">
        <v>25</v>
      </c>
      <c r="Q6192" s="9" t="s">
        <v>42</v>
      </c>
      <c r="R6192" s="9" t="s">
        <v>70</v>
      </c>
      <c r="S6192" s="7" t="s">
        <v>906</v>
      </c>
      <c r="T6192" s="9" t="s">
        <v>39</v>
      </c>
      <c r="U6192" s="7">
        <v>0.7</v>
      </c>
      <c r="V6192" s="12">
        <f>C6192+4</f>
        <v>40169</v>
      </c>
      <c r="W6192">
        <f>IF(D6192=' Pivot Tables'!$A$4,1,0)</f>
        <v>0</v>
      </c>
      <c r="X6192">
        <f>IF(AND(LEFT(D6192,4)+1=LEFT(' Pivot Tables'!$A$4,4)+0,RIGHT(LEFT(D6192,7),2)=RIGHT(LEFT(' Pivot Tables'!$A$4,7),2)),1,0)</f>
        <v>0</v>
      </c>
      <c r="Y6192" s="6">
        <f>1/COUNTIF(Таблица1[Order ID],Таблица1[[#This Row],[Order ID]])</f>
        <v>1</v>
      </c>
      <c r="Z6192" s="9">
        <f>1/COUNTIFS(Таблица1[Customer Name],Таблица1[[#This Row],[Customer Name]],Таблица1[Order-Year-Month],Таблица1[[#This Row],[Order-Year-Month]])</f>
        <v>1</v>
      </c>
    </row>
    <row r="6193" spans="1:26" x14ac:dyDescent="0.2">
      <c r="A6193" s="6">
        <v>4612</v>
      </c>
      <c r="B6193" s="7">
        <v>32868</v>
      </c>
      <c r="C6193" s="8">
        <f>DATE(2012,12,31)-1444</f>
        <v>39830</v>
      </c>
      <c r="D6193" s="8" t="str">
        <f t="shared" si="114"/>
        <v>2009-01 (январь 2009)</v>
      </c>
      <c r="E6193" s="9" t="s">
        <v>45</v>
      </c>
      <c r="F6193" s="7">
        <v>39</v>
      </c>
      <c r="G6193" s="7">
        <v>1101.28</v>
      </c>
      <c r="H6193" s="7">
        <v>0.05</v>
      </c>
      <c r="I6193" s="9" t="s">
        <v>22</v>
      </c>
      <c r="J6193" s="10">
        <v>200.53</v>
      </c>
      <c r="K6193" s="11">
        <v>28.15</v>
      </c>
      <c r="L6193" s="11">
        <v>6.17</v>
      </c>
      <c r="M6193" s="9" t="s">
        <v>1988</v>
      </c>
      <c r="N6193" s="6" t="s">
        <v>1905</v>
      </c>
      <c r="O6193" s="6" t="s">
        <v>673</v>
      </c>
      <c r="P6193" s="9" t="s">
        <v>60</v>
      </c>
      <c r="Q6193" s="9" t="s">
        <v>26</v>
      </c>
      <c r="R6193" s="9" t="s">
        <v>95</v>
      </c>
      <c r="S6193" s="7" t="s">
        <v>1753</v>
      </c>
      <c r="T6193" s="9" t="s">
        <v>52</v>
      </c>
      <c r="U6193" s="7">
        <v>0.55000000000000004</v>
      </c>
      <c r="V6193" s="12">
        <f>C6193+1</f>
        <v>39831</v>
      </c>
      <c r="W6193">
        <f>IF(D6193=' Pivot Tables'!$A$4,1,0)</f>
        <v>0</v>
      </c>
      <c r="X6193">
        <f>IF(AND(LEFT(D6193,4)+1=LEFT(' Pivot Tables'!$A$4,4)+0,RIGHT(LEFT(D6193,7),2)=RIGHT(LEFT(' Pivot Tables'!$A$4,7),2)),1,0)</f>
        <v>1</v>
      </c>
      <c r="Y6193" s="6">
        <f>1/COUNTIF(Таблица1[Order ID],Таблица1[[#This Row],[Order ID]])</f>
        <v>1</v>
      </c>
      <c r="Z6193" s="9">
        <f>1/COUNTIFS(Таблица1[Customer Name],Таблица1[[#This Row],[Customer Name]],Таблица1[Order-Year-Month],Таблица1[[#This Row],[Order-Year-Month]])</f>
        <v>1</v>
      </c>
    </row>
    <row r="6194" spans="1:26" x14ac:dyDescent="0.2">
      <c r="A6194" s="6">
        <v>5081</v>
      </c>
      <c r="B6194" s="7">
        <v>36224</v>
      </c>
      <c r="C6194" s="8">
        <f>DATE(2012,12,31)-1338</f>
        <v>39936</v>
      </c>
      <c r="D6194" s="8" t="str">
        <f t="shared" si="114"/>
        <v>2009-05 (май 2009)</v>
      </c>
      <c r="E6194" s="9" t="s">
        <v>63</v>
      </c>
      <c r="F6194" s="7">
        <v>15</v>
      </c>
      <c r="G6194" s="7">
        <v>1765.45</v>
      </c>
      <c r="H6194" s="7">
        <v>0.09</v>
      </c>
      <c r="I6194" s="9" t="s">
        <v>56</v>
      </c>
      <c r="J6194" s="10">
        <v>374.82</v>
      </c>
      <c r="K6194" s="11">
        <v>120.98</v>
      </c>
      <c r="L6194" s="11">
        <v>3.99</v>
      </c>
      <c r="M6194" s="9" t="s">
        <v>1987</v>
      </c>
      <c r="N6194" s="6" t="s">
        <v>1905</v>
      </c>
      <c r="O6194" s="6" t="s">
        <v>673</v>
      </c>
      <c r="P6194" s="9" t="s">
        <v>41</v>
      </c>
      <c r="Q6194" s="9" t="s">
        <v>26</v>
      </c>
      <c r="R6194" s="9" t="s">
        <v>34</v>
      </c>
      <c r="S6194" s="7" t="s">
        <v>1371</v>
      </c>
      <c r="T6194" s="9" t="s">
        <v>39</v>
      </c>
      <c r="U6194" s="7">
        <v>0.6</v>
      </c>
      <c r="V6194" s="12">
        <f>C6194+2</f>
        <v>39938</v>
      </c>
      <c r="W6194">
        <f>IF(D6194=' Pivot Tables'!$A$4,1,0)</f>
        <v>0</v>
      </c>
      <c r="X6194">
        <f>IF(AND(LEFT(D6194,4)+1=LEFT(' Pivot Tables'!$A$4,4)+0,RIGHT(LEFT(D6194,7),2)=RIGHT(LEFT(' Pivot Tables'!$A$4,7),2)),1,0)</f>
        <v>0</v>
      </c>
      <c r="Y6194" s="6">
        <f>1/COUNTIF(Таблица1[Order ID],Таблица1[[#This Row],[Order ID]])</f>
        <v>1</v>
      </c>
      <c r="Z6194" s="9">
        <f>1/COUNTIFS(Таблица1[Customer Name],Таблица1[[#This Row],[Customer Name]],Таблица1[Order-Year-Month],Таблица1[[#This Row],[Order-Year-Month]])</f>
        <v>1</v>
      </c>
    </row>
    <row r="6195" spans="1:26" x14ac:dyDescent="0.2">
      <c r="A6195" s="6">
        <v>5157</v>
      </c>
      <c r="B6195" s="7">
        <v>36709</v>
      </c>
      <c r="C6195" s="8">
        <f>DATE(2012,12,31)-130</f>
        <v>41144</v>
      </c>
      <c r="D6195" s="8" t="str">
        <f t="shared" si="114"/>
        <v>2012-08 (август 2012)</v>
      </c>
      <c r="E6195" s="9" t="s">
        <v>78</v>
      </c>
      <c r="F6195" s="7">
        <v>42</v>
      </c>
      <c r="G6195" s="7">
        <v>2245.6914999999999</v>
      </c>
      <c r="H6195" s="7">
        <v>0.05</v>
      </c>
      <c r="I6195" s="9" t="s">
        <v>22</v>
      </c>
      <c r="J6195" s="10">
        <v>369.08099999999996</v>
      </c>
      <c r="K6195" s="11">
        <v>65.989999999999995</v>
      </c>
      <c r="L6195" s="11">
        <v>8.99</v>
      </c>
      <c r="M6195" s="9" t="s">
        <v>1686</v>
      </c>
      <c r="N6195" s="6" t="s">
        <v>1905</v>
      </c>
      <c r="O6195" s="6" t="s">
        <v>673</v>
      </c>
      <c r="P6195" s="9" t="s">
        <v>41</v>
      </c>
      <c r="Q6195" s="9" t="s">
        <v>42</v>
      </c>
      <c r="R6195" s="9" t="s">
        <v>43</v>
      </c>
      <c r="S6195" s="7" t="s">
        <v>1843</v>
      </c>
      <c r="T6195" s="9" t="s">
        <v>39</v>
      </c>
      <c r="U6195" s="7">
        <v>0.55000000000000004</v>
      </c>
      <c r="V6195" s="12">
        <f>C6195+2</f>
        <v>41146</v>
      </c>
      <c r="W6195">
        <f>IF(D6195=' Pivot Tables'!$A$4,1,0)</f>
        <v>0</v>
      </c>
      <c r="X6195">
        <f>IF(AND(LEFT(D6195,4)+1=LEFT(' Pivot Tables'!$A$4,4)+0,RIGHT(LEFT(D6195,7),2)=RIGHT(LEFT(' Pivot Tables'!$A$4,7),2)),1,0)</f>
        <v>0</v>
      </c>
      <c r="Y6195" s="6">
        <f>1/COUNTIF(Таблица1[Order ID],Таблица1[[#This Row],[Order ID]])</f>
        <v>1</v>
      </c>
      <c r="Z6195" s="9">
        <f>1/COUNTIFS(Таблица1[Customer Name],Таблица1[[#This Row],[Customer Name]],Таблица1[Order-Year-Month],Таблица1[[#This Row],[Order-Year-Month]])</f>
        <v>1</v>
      </c>
    </row>
    <row r="6196" spans="1:26" x14ac:dyDescent="0.2">
      <c r="A6196" s="6">
        <v>5318</v>
      </c>
      <c r="B6196" s="7">
        <v>37826</v>
      </c>
      <c r="C6196" s="8">
        <f>DATE(2012,12,31)-618</f>
        <v>40656</v>
      </c>
      <c r="D6196" s="8" t="str">
        <f t="shared" si="114"/>
        <v>2011-04 (апрель 2011)</v>
      </c>
      <c r="E6196" s="9" t="s">
        <v>63</v>
      </c>
      <c r="F6196" s="7">
        <v>45</v>
      </c>
      <c r="G6196" s="7">
        <v>325.8</v>
      </c>
      <c r="H6196" s="7">
        <v>0.03</v>
      </c>
      <c r="I6196" s="9" t="s">
        <v>22</v>
      </c>
      <c r="J6196" s="10">
        <v>-84.85</v>
      </c>
      <c r="K6196" s="11">
        <v>6.78</v>
      </c>
      <c r="L6196" s="11">
        <v>6.18</v>
      </c>
      <c r="M6196" s="9" t="s">
        <v>1991</v>
      </c>
      <c r="N6196" s="6" t="s">
        <v>1905</v>
      </c>
      <c r="O6196" s="6" t="s">
        <v>673</v>
      </c>
      <c r="P6196" s="9" t="s">
        <v>33</v>
      </c>
      <c r="Q6196" s="9" t="s">
        <v>26</v>
      </c>
      <c r="R6196" s="9" t="s">
        <v>61</v>
      </c>
      <c r="S6196" s="7" t="s">
        <v>814</v>
      </c>
      <c r="T6196" s="9" t="s">
        <v>39</v>
      </c>
      <c r="U6196" s="7">
        <v>0.39</v>
      </c>
      <c r="V6196" s="12">
        <f>C6196+2</f>
        <v>40658</v>
      </c>
      <c r="W6196">
        <f>IF(D6196=' Pivot Tables'!$A$4,1,0)</f>
        <v>0</v>
      </c>
      <c r="X6196">
        <f>IF(AND(LEFT(D6196,4)+1=LEFT(' Pivot Tables'!$A$4,4)+0,RIGHT(LEFT(D6196,7),2)=RIGHT(LEFT(' Pivot Tables'!$A$4,7),2)),1,0)</f>
        <v>0</v>
      </c>
      <c r="Y6196" s="6">
        <f>1/COUNTIF(Таблица1[Order ID],Таблица1[[#This Row],[Order ID]])</f>
        <v>1</v>
      </c>
      <c r="Z6196" s="9">
        <f>1/COUNTIFS(Таблица1[Customer Name],Таблица1[[#This Row],[Customer Name]],Таблица1[Order-Year-Month],Таблица1[[#This Row],[Order-Year-Month]])</f>
        <v>1</v>
      </c>
    </row>
    <row r="6197" spans="1:26" x14ac:dyDescent="0.2">
      <c r="A6197" s="6">
        <v>5338</v>
      </c>
      <c r="B6197" s="7">
        <v>37924</v>
      </c>
      <c r="C6197" s="8">
        <f>DATE(2012,12,31)-1128</f>
        <v>40146</v>
      </c>
      <c r="D6197" s="8" t="str">
        <f t="shared" si="114"/>
        <v>2009-11 (ноябрь 2009)</v>
      </c>
      <c r="E6197" s="9" t="s">
        <v>30</v>
      </c>
      <c r="F6197" s="7">
        <v>49</v>
      </c>
      <c r="G6197" s="7">
        <v>8094.55</v>
      </c>
      <c r="H6197" s="7">
        <v>0.05</v>
      </c>
      <c r="I6197" s="9" t="s">
        <v>22</v>
      </c>
      <c r="J6197" s="10">
        <v>2008.71</v>
      </c>
      <c r="K6197" s="11">
        <v>165.2</v>
      </c>
      <c r="L6197" s="11">
        <v>19.989999999999998</v>
      </c>
      <c r="M6197" s="9" t="s">
        <v>1810</v>
      </c>
      <c r="N6197" s="6" t="s">
        <v>1905</v>
      </c>
      <c r="O6197" s="6" t="s">
        <v>673</v>
      </c>
      <c r="P6197" s="9" t="s">
        <v>60</v>
      </c>
      <c r="Q6197" s="9" t="s">
        <v>26</v>
      </c>
      <c r="R6197" s="9" t="s">
        <v>27</v>
      </c>
      <c r="S6197" s="7" t="s">
        <v>1773</v>
      </c>
      <c r="T6197" s="9" t="s">
        <v>39</v>
      </c>
      <c r="U6197" s="7">
        <v>0.59</v>
      </c>
      <c r="V6197" s="12">
        <f>C6197+0</f>
        <v>40146</v>
      </c>
      <c r="W6197">
        <f>IF(D6197=' Pivot Tables'!$A$4,1,0)</f>
        <v>0</v>
      </c>
      <c r="X6197">
        <f>IF(AND(LEFT(D6197,4)+1=LEFT(' Pivot Tables'!$A$4,4)+0,RIGHT(LEFT(D6197,7),2)=RIGHT(LEFT(' Pivot Tables'!$A$4,7),2)),1,0)</f>
        <v>0</v>
      </c>
      <c r="Y6197" s="6">
        <f>1/COUNTIF(Таблица1[Order ID],Таблица1[[#This Row],[Order ID]])</f>
        <v>0.5</v>
      </c>
      <c r="Z6197" s="9">
        <f>1/COUNTIFS(Таблица1[Customer Name],Таблица1[[#This Row],[Customer Name]],Таблица1[Order-Year-Month],Таблица1[[#This Row],[Order-Year-Month]])</f>
        <v>0.5</v>
      </c>
    </row>
    <row r="6198" spans="1:26" x14ac:dyDescent="0.2">
      <c r="A6198" s="6">
        <v>5371</v>
      </c>
      <c r="B6198" s="7">
        <v>38182</v>
      </c>
      <c r="C6198" s="8">
        <f>DATE(2012,12,31)-223</f>
        <v>41051</v>
      </c>
      <c r="D6198" s="8" t="str">
        <f t="shared" si="114"/>
        <v>2012-05 (май 2012)</v>
      </c>
      <c r="E6198" s="9" t="s">
        <v>30</v>
      </c>
      <c r="F6198" s="7">
        <v>45</v>
      </c>
      <c r="G6198" s="7">
        <v>2848.83</v>
      </c>
      <c r="H6198" s="7">
        <v>7.0000000000000007E-2</v>
      </c>
      <c r="I6198" s="9" t="s">
        <v>22</v>
      </c>
      <c r="J6198" s="10">
        <v>-1182.8699999999999</v>
      </c>
      <c r="K6198" s="11">
        <v>64.650000000000006</v>
      </c>
      <c r="L6198" s="11">
        <v>35</v>
      </c>
      <c r="M6198" s="9" t="s">
        <v>1988</v>
      </c>
      <c r="N6198" s="6" t="s">
        <v>1905</v>
      </c>
      <c r="O6198" s="6" t="s">
        <v>673</v>
      </c>
      <c r="P6198" s="9" t="s">
        <v>60</v>
      </c>
      <c r="Q6198" s="9" t="s">
        <v>26</v>
      </c>
      <c r="R6198" s="9" t="s">
        <v>27</v>
      </c>
      <c r="S6198" s="7" t="s">
        <v>1060</v>
      </c>
      <c r="T6198" s="9" t="s">
        <v>29</v>
      </c>
      <c r="U6198" s="7">
        <v>0.8</v>
      </c>
      <c r="V6198" s="12">
        <f>C6198+0</f>
        <v>41051</v>
      </c>
      <c r="W6198">
        <f>IF(D6198=' Pivot Tables'!$A$4,1,0)</f>
        <v>0</v>
      </c>
      <c r="X6198">
        <f>IF(AND(LEFT(D6198,4)+1=LEFT(' Pivot Tables'!$A$4,4)+0,RIGHT(LEFT(D6198,7),2)=RIGHT(LEFT(' Pivot Tables'!$A$4,7),2)),1,0)</f>
        <v>0</v>
      </c>
      <c r="Y6198" s="6">
        <f>1/COUNTIF(Таблица1[Order ID],Таблица1[[#This Row],[Order ID]])</f>
        <v>1</v>
      </c>
      <c r="Z6198" s="9">
        <f>1/COUNTIFS(Таблица1[Customer Name],Таблица1[[#This Row],[Customer Name]],Таблица1[Order-Year-Month],Таблица1[[#This Row],[Order-Year-Month]])</f>
        <v>0.33333333333333331</v>
      </c>
    </row>
    <row r="6199" spans="1:26" x14ac:dyDescent="0.2">
      <c r="A6199" s="6">
        <v>5604</v>
      </c>
      <c r="B6199" s="7">
        <v>39717</v>
      </c>
      <c r="C6199" s="8">
        <f>DATE(2012,12,31)-1129</f>
        <v>40145</v>
      </c>
      <c r="D6199" s="8" t="str">
        <f t="shared" si="114"/>
        <v>2009-11 (ноябрь 2009)</v>
      </c>
      <c r="E6199" s="9" t="s">
        <v>30</v>
      </c>
      <c r="F6199" s="7">
        <v>20</v>
      </c>
      <c r="G6199" s="7">
        <v>835.48</v>
      </c>
      <c r="H6199" s="7">
        <v>0.06</v>
      </c>
      <c r="I6199" s="9" t="s">
        <v>22</v>
      </c>
      <c r="J6199" s="10">
        <v>-58.13</v>
      </c>
      <c r="K6199" s="11">
        <v>43.57</v>
      </c>
      <c r="L6199" s="11">
        <v>16.36</v>
      </c>
      <c r="M6199" s="9" t="s">
        <v>1686</v>
      </c>
      <c r="N6199" s="6" t="s">
        <v>1905</v>
      </c>
      <c r="O6199" s="6" t="s">
        <v>673</v>
      </c>
      <c r="P6199" s="9" t="s">
        <v>41</v>
      </c>
      <c r="Q6199" s="9" t="s">
        <v>26</v>
      </c>
      <c r="R6199" s="9" t="s">
        <v>27</v>
      </c>
      <c r="S6199" s="7" t="s">
        <v>1338</v>
      </c>
      <c r="T6199" s="9" t="s">
        <v>39</v>
      </c>
      <c r="U6199" s="7">
        <v>0.55000000000000004</v>
      </c>
      <c r="V6199" s="12">
        <f>C6199+2</f>
        <v>40147</v>
      </c>
      <c r="W6199">
        <f>IF(D6199=' Pivot Tables'!$A$4,1,0)</f>
        <v>0</v>
      </c>
      <c r="X6199">
        <f>IF(AND(LEFT(D6199,4)+1=LEFT(' Pivot Tables'!$A$4,4)+0,RIGHT(LEFT(D6199,7),2)=RIGHT(LEFT(' Pivot Tables'!$A$4,7),2)),1,0)</f>
        <v>0</v>
      </c>
      <c r="Y6199" s="6">
        <f>1/COUNTIF(Таблица1[Order ID],Таблица1[[#This Row],[Order ID]])</f>
        <v>1</v>
      </c>
      <c r="Z6199" s="9">
        <f>1/COUNTIFS(Таблица1[Customer Name],Таблица1[[#This Row],[Customer Name]],Таблица1[Order-Year-Month],Таблица1[[#This Row],[Order-Year-Month]])</f>
        <v>1</v>
      </c>
    </row>
    <row r="6200" spans="1:26" x14ac:dyDescent="0.2">
      <c r="A6200" s="6">
        <v>5692</v>
      </c>
      <c r="B6200" s="7">
        <v>40257</v>
      </c>
      <c r="C6200" s="8">
        <f>DATE(2012,12,31)-863</f>
        <v>40411</v>
      </c>
      <c r="D6200" s="8" t="str">
        <f t="shared" si="114"/>
        <v>2010-08 (август 2010)</v>
      </c>
      <c r="E6200" s="9" t="s">
        <v>45</v>
      </c>
      <c r="F6200" s="7">
        <v>24</v>
      </c>
      <c r="G6200" s="7">
        <v>3201.16</v>
      </c>
      <c r="H6200" s="7">
        <v>0.06</v>
      </c>
      <c r="I6200" s="9" t="s">
        <v>22</v>
      </c>
      <c r="J6200" s="10">
        <v>405.5</v>
      </c>
      <c r="K6200" s="11">
        <v>140.81</v>
      </c>
      <c r="L6200" s="11">
        <v>24.49</v>
      </c>
      <c r="M6200" s="9" t="s">
        <v>1995</v>
      </c>
      <c r="N6200" s="6" t="s">
        <v>1905</v>
      </c>
      <c r="O6200" s="6" t="s">
        <v>673</v>
      </c>
      <c r="P6200" s="9" t="s">
        <v>33</v>
      </c>
      <c r="Q6200" s="9" t="s">
        <v>49</v>
      </c>
      <c r="R6200" s="9" t="s">
        <v>112</v>
      </c>
      <c r="S6200" s="7" t="s">
        <v>314</v>
      </c>
      <c r="T6200" s="9" t="s">
        <v>29</v>
      </c>
      <c r="U6200" s="7">
        <v>0.56999999999999995</v>
      </c>
      <c r="V6200" s="12">
        <f>C6200+1</f>
        <v>40412</v>
      </c>
      <c r="W6200">
        <f>IF(D6200=' Pivot Tables'!$A$4,1,0)</f>
        <v>0</v>
      </c>
      <c r="X6200">
        <f>IF(AND(LEFT(D6200,4)+1=LEFT(' Pivot Tables'!$A$4,4)+0,RIGHT(LEFT(D6200,7),2)=RIGHT(LEFT(' Pivot Tables'!$A$4,7),2)),1,0)</f>
        <v>0</v>
      </c>
      <c r="Y6200" s="6">
        <f>1/COUNTIF(Таблица1[Order ID],Таблица1[[#This Row],[Order ID]])</f>
        <v>1</v>
      </c>
      <c r="Z6200" s="9">
        <f>1/COUNTIFS(Таблица1[Customer Name],Таблица1[[#This Row],[Customer Name]],Таблица1[Order-Year-Month],Таблица1[[#This Row],[Order-Year-Month]])</f>
        <v>1</v>
      </c>
    </row>
    <row r="6201" spans="1:26" x14ac:dyDescent="0.2">
      <c r="A6201" s="6">
        <v>5700</v>
      </c>
      <c r="B6201" s="7">
        <v>40321</v>
      </c>
      <c r="C6201" s="8">
        <f>DATE(2012,12,31)-922</f>
        <v>40352</v>
      </c>
      <c r="D6201" s="8" t="str">
        <f t="shared" si="114"/>
        <v>2010-06 (июнь 2010)</v>
      </c>
      <c r="E6201" s="9" t="s">
        <v>30</v>
      </c>
      <c r="F6201" s="7">
        <v>23</v>
      </c>
      <c r="G6201" s="7">
        <v>1484.49</v>
      </c>
      <c r="H6201" s="7">
        <v>0.09</v>
      </c>
      <c r="I6201" s="9" t="s">
        <v>22</v>
      </c>
      <c r="J6201" s="10">
        <v>230.50300000000001</v>
      </c>
      <c r="K6201" s="11">
        <v>67.28</v>
      </c>
      <c r="L6201" s="11">
        <v>19.989999999999998</v>
      </c>
      <c r="M6201" s="9" t="s">
        <v>1990</v>
      </c>
      <c r="N6201" s="6" t="s">
        <v>1905</v>
      </c>
      <c r="O6201" s="6" t="s">
        <v>673</v>
      </c>
      <c r="P6201" s="9" t="s">
        <v>33</v>
      </c>
      <c r="Q6201" s="9" t="s">
        <v>26</v>
      </c>
      <c r="R6201" s="9" t="s">
        <v>37</v>
      </c>
      <c r="S6201" s="7" t="s">
        <v>637</v>
      </c>
      <c r="T6201" s="9" t="s">
        <v>39</v>
      </c>
      <c r="U6201" s="7">
        <v>0.4</v>
      </c>
      <c r="V6201" s="12">
        <f>C6201+2</f>
        <v>40354</v>
      </c>
      <c r="W6201">
        <f>IF(D6201=' Pivot Tables'!$A$4,1,0)</f>
        <v>0</v>
      </c>
      <c r="X6201">
        <f>IF(AND(LEFT(D6201,4)+1=LEFT(' Pivot Tables'!$A$4,4)+0,RIGHT(LEFT(D6201,7),2)=RIGHT(LEFT(' Pivot Tables'!$A$4,7),2)),1,0)</f>
        <v>0</v>
      </c>
      <c r="Y6201" s="6">
        <f>1/COUNTIF(Таблица1[Order ID],Таблица1[[#This Row],[Order ID]])</f>
        <v>0.5</v>
      </c>
      <c r="Z6201" s="9">
        <f>1/COUNTIFS(Таблица1[Customer Name],Таблица1[[#This Row],[Customer Name]],Таблица1[Order-Year-Month],Таблица1[[#This Row],[Order-Year-Month]])</f>
        <v>0.5</v>
      </c>
    </row>
    <row r="6202" spans="1:26" x14ac:dyDescent="0.2">
      <c r="A6202" s="6">
        <v>5701</v>
      </c>
      <c r="B6202" s="7">
        <v>40321</v>
      </c>
      <c r="C6202" s="8">
        <f>DATE(2012,12,31)-922</f>
        <v>40352</v>
      </c>
      <c r="D6202" s="8" t="str">
        <f t="shared" si="114"/>
        <v>2010-06 (июнь 2010)</v>
      </c>
      <c r="E6202" s="9" t="s">
        <v>30</v>
      </c>
      <c r="F6202" s="7">
        <v>18</v>
      </c>
      <c r="G6202" s="7">
        <v>740.49</v>
      </c>
      <c r="H6202" s="7">
        <v>0.1</v>
      </c>
      <c r="I6202" s="9" t="s">
        <v>22</v>
      </c>
      <c r="J6202" s="10">
        <v>88.9</v>
      </c>
      <c r="K6202" s="11">
        <v>42.76</v>
      </c>
      <c r="L6202" s="11">
        <v>6.22</v>
      </c>
      <c r="M6202" s="9" t="s">
        <v>1990</v>
      </c>
      <c r="N6202" s="6" t="s">
        <v>1905</v>
      </c>
      <c r="O6202" s="6" t="s">
        <v>673</v>
      </c>
      <c r="P6202" s="9" t="s">
        <v>33</v>
      </c>
      <c r="Q6202" s="9" t="s">
        <v>26</v>
      </c>
      <c r="R6202" s="9" t="s">
        <v>27</v>
      </c>
      <c r="S6202" s="7" t="s">
        <v>55</v>
      </c>
      <c r="T6202" s="9" t="s">
        <v>39</v>
      </c>
      <c r="U6202" s="7"/>
      <c r="V6202" s="12">
        <f>C6202+1</f>
        <v>40353</v>
      </c>
      <c r="W6202">
        <f>IF(D6202=' Pivot Tables'!$A$4,1,0)</f>
        <v>0</v>
      </c>
      <c r="X6202">
        <f>IF(AND(LEFT(D6202,4)+1=LEFT(' Pivot Tables'!$A$4,4)+0,RIGHT(LEFT(D6202,7),2)=RIGHT(LEFT(' Pivot Tables'!$A$4,7),2)),1,0)</f>
        <v>0</v>
      </c>
      <c r="Y6202" s="6">
        <f>1/COUNTIF(Таблица1[Order ID],Таблица1[[#This Row],[Order ID]])</f>
        <v>0.5</v>
      </c>
      <c r="Z6202" s="9">
        <f>1/COUNTIFS(Таблица1[Customer Name],Таблица1[[#This Row],[Customer Name]],Таблица1[Order-Year-Month],Таблица1[[#This Row],[Order-Year-Month]])</f>
        <v>0.5</v>
      </c>
    </row>
    <row r="6203" spans="1:26" x14ac:dyDescent="0.2">
      <c r="A6203" s="6">
        <v>5947</v>
      </c>
      <c r="B6203" s="7">
        <v>42214</v>
      </c>
      <c r="C6203" s="8">
        <f>DATE(2012,12,31)-587</f>
        <v>40687</v>
      </c>
      <c r="D6203" s="8" t="str">
        <f t="shared" si="114"/>
        <v>2011-05 (май 2011)</v>
      </c>
      <c r="E6203" s="9" t="s">
        <v>21</v>
      </c>
      <c r="F6203" s="7">
        <v>46</v>
      </c>
      <c r="G6203" s="7">
        <v>569.91999999999996</v>
      </c>
      <c r="H6203" s="7">
        <v>0.03</v>
      </c>
      <c r="I6203" s="9" t="s">
        <v>22</v>
      </c>
      <c r="J6203" s="10">
        <v>154.09</v>
      </c>
      <c r="K6203" s="11">
        <v>12.22</v>
      </c>
      <c r="L6203" s="11">
        <v>2.85</v>
      </c>
      <c r="M6203" s="9" t="s">
        <v>1988</v>
      </c>
      <c r="N6203" s="6" t="s">
        <v>1905</v>
      </c>
      <c r="O6203" s="6" t="s">
        <v>673</v>
      </c>
      <c r="P6203" s="9" t="s">
        <v>60</v>
      </c>
      <c r="Q6203" s="9" t="s">
        <v>49</v>
      </c>
      <c r="R6203" s="9" t="s">
        <v>50</v>
      </c>
      <c r="S6203" s="7" t="s">
        <v>245</v>
      </c>
      <c r="T6203" s="9" t="s">
        <v>52</v>
      </c>
      <c r="U6203" s="7">
        <v>0.55000000000000004</v>
      </c>
      <c r="V6203" s="12">
        <f>C6203+7</f>
        <v>40694</v>
      </c>
      <c r="W6203">
        <f>IF(D6203=' Pivot Tables'!$A$4,1,0)</f>
        <v>0</v>
      </c>
      <c r="X6203">
        <f>IF(AND(LEFT(D6203,4)+1=LEFT(' Pivot Tables'!$A$4,4)+0,RIGHT(LEFT(D6203,7),2)=RIGHT(LEFT(' Pivot Tables'!$A$4,7),2)),1,0)</f>
        <v>0</v>
      </c>
      <c r="Y6203" s="6">
        <f>1/COUNTIF(Таблица1[Order ID],Таблица1[[#This Row],[Order ID]])</f>
        <v>0.5</v>
      </c>
      <c r="Z6203" s="9">
        <f>1/COUNTIFS(Таблица1[Customer Name],Таблица1[[#This Row],[Customer Name]],Таблица1[Order-Year-Month],Таблица1[[#This Row],[Order-Year-Month]])</f>
        <v>0.5</v>
      </c>
    </row>
    <row r="6204" spans="1:26" x14ac:dyDescent="0.2">
      <c r="A6204" s="6">
        <v>5948</v>
      </c>
      <c r="B6204" s="7">
        <v>42214</v>
      </c>
      <c r="C6204" s="8">
        <f>DATE(2012,12,31)-587</f>
        <v>40687</v>
      </c>
      <c r="D6204" s="8" t="str">
        <f t="shared" si="114"/>
        <v>2011-05 (май 2011)</v>
      </c>
      <c r="E6204" s="9" t="s">
        <v>21</v>
      </c>
      <c r="F6204" s="7">
        <v>28</v>
      </c>
      <c r="G6204" s="7">
        <v>183.65</v>
      </c>
      <c r="H6204" s="7">
        <v>0.02</v>
      </c>
      <c r="I6204" s="9" t="s">
        <v>22</v>
      </c>
      <c r="J6204" s="10">
        <v>-59.96</v>
      </c>
      <c r="K6204" s="11">
        <v>6.48</v>
      </c>
      <c r="L6204" s="11">
        <v>5.84</v>
      </c>
      <c r="M6204" s="9" t="s">
        <v>1988</v>
      </c>
      <c r="N6204" s="6" t="s">
        <v>1905</v>
      </c>
      <c r="O6204" s="6" t="s">
        <v>673</v>
      </c>
      <c r="P6204" s="9" t="s">
        <v>60</v>
      </c>
      <c r="Q6204" s="9" t="s">
        <v>26</v>
      </c>
      <c r="R6204" s="9" t="s">
        <v>61</v>
      </c>
      <c r="S6204" s="7" t="s">
        <v>776</v>
      </c>
      <c r="T6204" s="9" t="s">
        <v>39</v>
      </c>
      <c r="U6204" s="7">
        <v>0.37</v>
      </c>
      <c r="V6204" s="12">
        <f>C6204+7</f>
        <v>40694</v>
      </c>
      <c r="W6204">
        <f>IF(D6204=' Pivot Tables'!$A$4,1,0)</f>
        <v>0</v>
      </c>
      <c r="X6204">
        <f>IF(AND(LEFT(D6204,4)+1=LEFT(' Pivot Tables'!$A$4,4)+0,RIGHT(LEFT(D6204,7),2)=RIGHT(LEFT(' Pivot Tables'!$A$4,7),2)),1,0)</f>
        <v>0</v>
      </c>
      <c r="Y6204" s="6">
        <f>1/COUNTIF(Таблица1[Order ID],Таблица1[[#This Row],[Order ID]])</f>
        <v>0.5</v>
      </c>
      <c r="Z6204" s="9">
        <f>1/COUNTIFS(Таблица1[Customer Name],Таблица1[[#This Row],[Customer Name]],Таблица1[Order-Year-Month],Таблица1[[#This Row],[Order-Year-Month]])</f>
        <v>0.5</v>
      </c>
    </row>
    <row r="6205" spans="1:26" x14ac:dyDescent="0.2">
      <c r="A6205" s="6">
        <v>6039</v>
      </c>
      <c r="B6205" s="7">
        <v>42788</v>
      </c>
      <c r="C6205" s="8">
        <f>DATE(2012,12,31)-445</f>
        <v>40829</v>
      </c>
      <c r="D6205" s="8" t="str">
        <f t="shared" si="114"/>
        <v>2011-10 (октябрь 2011)</v>
      </c>
      <c r="E6205" s="9" t="s">
        <v>78</v>
      </c>
      <c r="F6205" s="7">
        <v>26</v>
      </c>
      <c r="G6205" s="7">
        <v>241.92</v>
      </c>
      <c r="H6205" s="7">
        <v>0.1</v>
      </c>
      <c r="I6205" s="9" t="s">
        <v>22</v>
      </c>
      <c r="J6205" s="10">
        <v>67.709999999999994</v>
      </c>
      <c r="K6205" s="11">
        <v>10.14</v>
      </c>
      <c r="L6205" s="11">
        <v>2.27</v>
      </c>
      <c r="M6205" s="9" t="s">
        <v>1991</v>
      </c>
      <c r="N6205" s="6" t="s">
        <v>1905</v>
      </c>
      <c r="O6205" s="6" t="s">
        <v>673</v>
      </c>
      <c r="P6205" s="9" t="s">
        <v>25</v>
      </c>
      <c r="Q6205" s="9" t="s">
        <v>26</v>
      </c>
      <c r="R6205" s="9" t="s">
        <v>61</v>
      </c>
      <c r="S6205" s="7" t="s">
        <v>189</v>
      </c>
      <c r="T6205" s="9" t="s">
        <v>68</v>
      </c>
      <c r="U6205" s="7">
        <v>0.36</v>
      </c>
      <c r="V6205" s="12">
        <f>C6205+2</f>
        <v>40831</v>
      </c>
      <c r="W6205">
        <f>IF(D6205=' Pivot Tables'!$A$4,1,0)</f>
        <v>0</v>
      </c>
      <c r="X6205">
        <f>IF(AND(LEFT(D6205,4)+1=LEFT(' Pivot Tables'!$A$4,4)+0,RIGHT(LEFT(D6205,7),2)=RIGHT(LEFT(' Pivot Tables'!$A$4,7),2)),1,0)</f>
        <v>0</v>
      </c>
      <c r="Y6205" s="6">
        <f>1/COUNTIF(Таблица1[Order ID],Таблица1[[#This Row],[Order ID]])</f>
        <v>1</v>
      </c>
      <c r="Z6205" s="9">
        <f>1/COUNTIFS(Таблица1[Customer Name],Таблица1[[#This Row],[Customer Name]],Таблица1[Order-Year-Month],Таблица1[[#This Row],[Order-Year-Month]])</f>
        <v>0.33333333333333331</v>
      </c>
    </row>
    <row r="6206" spans="1:26" x14ac:dyDescent="0.2">
      <c r="A6206" s="6">
        <v>6054</v>
      </c>
      <c r="B6206" s="7">
        <v>42912</v>
      </c>
      <c r="C6206" s="8">
        <f>DATE(2012,12,31)-972</f>
        <v>40302</v>
      </c>
      <c r="D6206" s="8" t="str">
        <f t="shared" si="114"/>
        <v>2010-05 (май 2010)</v>
      </c>
      <c r="E6206" s="9" t="s">
        <v>45</v>
      </c>
      <c r="F6206" s="7">
        <v>4</v>
      </c>
      <c r="G6206" s="7">
        <v>52.59</v>
      </c>
      <c r="H6206" s="7">
        <v>0.05</v>
      </c>
      <c r="I6206" s="9" t="s">
        <v>22</v>
      </c>
      <c r="J6206" s="10">
        <v>-30.39</v>
      </c>
      <c r="K6206" s="11">
        <v>11.35</v>
      </c>
      <c r="L6206" s="11">
        <v>8.6</v>
      </c>
      <c r="M6206" s="9" t="s">
        <v>1887</v>
      </c>
      <c r="N6206" s="6" t="s">
        <v>1905</v>
      </c>
      <c r="O6206" s="6" t="s">
        <v>673</v>
      </c>
      <c r="P6206" s="9" t="s">
        <v>25</v>
      </c>
      <c r="Q6206" s="9" t="s">
        <v>26</v>
      </c>
      <c r="R6206" s="9" t="s">
        <v>27</v>
      </c>
      <c r="S6206" s="7" t="s">
        <v>1030</v>
      </c>
      <c r="T6206" s="9" t="s">
        <v>39</v>
      </c>
      <c r="U6206" s="7">
        <v>0.56999999999999995</v>
      </c>
      <c r="V6206" s="12">
        <f>C6206+2</f>
        <v>40304</v>
      </c>
      <c r="W6206">
        <f>IF(D6206=' Pivot Tables'!$A$4,1,0)</f>
        <v>0</v>
      </c>
      <c r="X6206">
        <f>IF(AND(LEFT(D6206,4)+1=LEFT(' Pivot Tables'!$A$4,4)+0,RIGHT(LEFT(D6206,7),2)=RIGHT(LEFT(' Pivot Tables'!$A$4,7),2)),1,0)</f>
        <v>0</v>
      </c>
      <c r="Y6206" s="6">
        <f>1/COUNTIF(Таблица1[Order ID],Таблица1[[#This Row],[Order ID]])</f>
        <v>1</v>
      </c>
      <c r="Z6206" s="9">
        <f>1/COUNTIFS(Таблица1[Customer Name],Таблица1[[#This Row],[Customer Name]],Таблица1[Order-Year-Month],Таблица1[[#This Row],[Order-Year-Month]])</f>
        <v>1</v>
      </c>
    </row>
    <row r="6207" spans="1:26" x14ac:dyDescent="0.2">
      <c r="A6207" s="6">
        <v>6162</v>
      </c>
      <c r="B6207" s="7">
        <v>43653</v>
      </c>
      <c r="C6207" s="8">
        <f>DATE(2012,12,31)-62</f>
        <v>41212</v>
      </c>
      <c r="D6207" s="8" t="str">
        <f t="shared" si="114"/>
        <v>2012-10 (октябрь 2012)</v>
      </c>
      <c r="E6207" s="9" t="s">
        <v>30</v>
      </c>
      <c r="F6207" s="7">
        <v>3</v>
      </c>
      <c r="G6207" s="7">
        <v>10.62</v>
      </c>
      <c r="H6207" s="7">
        <v>7.0000000000000007E-2</v>
      </c>
      <c r="I6207" s="9" t="s">
        <v>22</v>
      </c>
      <c r="J6207" s="10">
        <v>-3.96</v>
      </c>
      <c r="K6207" s="11">
        <v>3.29</v>
      </c>
      <c r="L6207" s="11">
        <v>1.35</v>
      </c>
      <c r="M6207" s="9" t="s">
        <v>1991</v>
      </c>
      <c r="N6207" s="6" t="s">
        <v>1905</v>
      </c>
      <c r="O6207" s="6" t="s">
        <v>673</v>
      </c>
      <c r="P6207" s="9" t="s">
        <v>25</v>
      </c>
      <c r="Q6207" s="9" t="s">
        <v>26</v>
      </c>
      <c r="R6207" s="9" t="s">
        <v>66</v>
      </c>
      <c r="S6207" s="7" t="s">
        <v>464</v>
      </c>
      <c r="T6207" s="9" t="s">
        <v>68</v>
      </c>
      <c r="U6207" s="7">
        <v>0.4</v>
      </c>
      <c r="V6207" s="12">
        <f>C6207+0</f>
        <v>41212</v>
      </c>
      <c r="W6207">
        <f>IF(D6207=' Pivot Tables'!$A$4,1,0)</f>
        <v>0</v>
      </c>
      <c r="X6207">
        <f>IF(AND(LEFT(D6207,4)+1=LEFT(' Pivot Tables'!$A$4,4)+0,RIGHT(LEFT(D6207,7),2)=RIGHT(LEFT(' Pivot Tables'!$A$4,7),2)),1,0)</f>
        <v>0</v>
      </c>
      <c r="Y6207" s="6">
        <f>1/COUNTIF(Таблица1[Order ID],Таблица1[[#This Row],[Order ID]])</f>
        <v>0.33333333333333331</v>
      </c>
      <c r="Z6207" s="9">
        <f>1/COUNTIFS(Таблица1[Customer Name],Таблица1[[#This Row],[Customer Name]],Таблица1[Order-Year-Month],Таблица1[[#This Row],[Order-Year-Month]])</f>
        <v>0.33333333333333331</v>
      </c>
    </row>
    <row r="6208" spans="1:26" x14ac:dyDescent="0.2">
      <c r="A6208" s="6">
        <v>6163</v>
      </c>
      <c r="B6208" s="7">
        <v>43653</v>
      </c>
      <c r="C6208" s="8">
        <f>DATE(2012,12,31)-62</f>
        <v>41212</v>
      </c>
      <c r="D6208" s="8" t="str">
        <f t="shared" si="114"/>
        <v>2012-10 (октябрь 2012)</v>
      </c>
      <c r="E6208" s="9" t="s">
        <v>30</v>
      </c>
      <c r="F6208" s="7">
        <v>39</v>
      </c>
      <c r="G6208" s="7">
        <v>666.4</v>
      </c>
      <c r="H6208" s="7">
        <v>0</v>
      </c>
      <c r="I6208" s="9" t="s">
        <v>56</v>
      </c>
      <c r="J6208" s="10">
        <v>2.02</v>
      </c>
      <c r="K6208" s="11">
        <v>15.73</v>
      </c>
      <c r="L6208" s="11">
        <v>7.42</v>
      </c>
      <c r="M6208" s="9" t="s">
        <v>1991</v>
      </c>
      <c r="N6208" s="6" t="s">
        <v>1905</v>
      </c>
      <c r="O6208" s="6" t="s">
        <v>673</v>
      </c>
      <c r="P6208" s="9" t="s">
        <v>25</v>
      </c>
      <c r="Q6208" s="9" t="s">
        <v>26</v>
      </c>
      <c r="R6208" s="9" t="s">
        <v>150</v>
      </c>
      <c r="S6208" s="7" t="s">
        <v>1287</v>
      </c>
      <c r="T6208" s="9" t="s">
        <v>52</v>
      </c>
      <c r="U6208" s="7">
        <v>0.56000000000000005</v>
      </c>
      <c r="V6208" s="12">
        <f>C6208+1</f>
        <v>41213</v>
      </c>
      <c r="W6208">
        <f>IF(D6208=' Pivot Tables'!$A$4,1,0)</f>
        <v>0</v>
      </c>
      <c r="X6208">
        <f>IF(AND(LEFT(D6208,4)+1=LEFT(' Pivot Tables'!$A$4,4)+0,RIGHT(LEFT(D6208,7),2)=RIGHT(LEFT(' Pivot Tables'!$A$4,7),2)),1,0)</f>
        <v>0</v>
      </c>
      <c r="Y6208" s="6">
        <f>1/COUNTIF(Таблица1[Order ID],Таблица1[[#This Row],[Order ID]])</f>
        <v>0.33333333333333331</v>
      </c>
      <c r="Z6208" s="9">
        <f>1/COUNTIFS(Таблица1[Customer Name],Таблица1[[#This Row],[Customer Name]],Таблица1[Order-Year-Month],Таблица1[[#This Row],[Order-Year-Month]])</f>
        <v>0.33333333333333331</v>
      </c>
    </row>
    <row r="6209" spans="1:26" x14ac:dyDescent="0.2">
      <c r="A6209" s="6">
        <v>6164</v>
      </c>
      <c r="B6209" s="7">
        <v>43653</v>
      </c>
      <c r="C6209" s="8">
        <f>DATE(2012,12,31)-62</f>
        <v>41212</v>
      </c>
      <c r="D6209" s="8" t="str">
        <f t="shared" si="114"/>
        <v>2012-10 (октябрь 2012)</v>
      </c>
      <c r="E6209" s="9" t="s">
        <v>30</v>
      </c>
      <c r="F6209" s="7">
        <v>10</v>
      </c>
      <c r="G6209" s="7">
        <v>351.3</v>
      </c>
      <c r="H6209" s="7">
        <v>0.06</v>
      </c>
      <c r="I6209" s="9" t="s">
        <v>22</v>
      </c>
      <c r="J6209" s="10">
        <v>1.45</v>
      </c>
      <c r="K6209" s="11">
        <v>34.76</v>
      </c>
      <c r="L6209" s="11">
        <v>8.2200000000000006</v>
      </c>
      <c r="M6209" s="9" t="s">
        <v>1991</v>
      </c>
      <c r="N6209" s="6" t="s">
        <v>1905</v>
      </c>
      <c r="O6209" s="6" t="s">
        <v>673</v>
      </c>
      <c r="P6209" s="9" t="s">
        <v>25</v>
      </c>
      <c r="Q6209" s="9" t="s">
        <v>26</v>
      </c>
      <c r="R6209" s="9" t="s">
        <v>27</v>
      </c>
      <c r="S6209" s="7" t="s">
        <v>247</v>
      </c>
      <c r="T6209" s="9" t="s">
        <v>39</v>
      </c>
      <c r="U6209" s="7">
        <v>0.56999999999999995</v>
      </c>
      <c r="V6209" s="12">
        <f>C6209+2</f>
        <v>41214</v>
      </c>
      <c r="W6209">
        <f>IF(D6209=' Pivot Tables'!$A$4,1,0)</f>
        <v>0</v>
      </c>
      <c r="X6209">
        <f>IF(AND(LEFT(D6209,4)+1=LEFT(' Pivot Tables'!$A$4,4)+0,RIGHT(LEFT(D6209,7),2)=RIGHT(LEFT(' Pivot Tables'!$A$4,7),2)),1,0)</f>
        <v>0</v>
      </c>
      <c r="Y6209" s="6">
        <f>1/COUNTIF(Таблица1[Order ID],Таблица1[[#This Row],[Order ID]])</f>
        <v>0.33333333333333331</v>
      </c>
      <c r="Z6209" s="9">
        <f>1/COUNTIFS(Таблица1[Customer Name],Таблица1[[#This Row],[Customer Name]],Таблица1[Order-Year-Month],Таблица1[[#This Row],[Order-Year-Month]])</f>
        <v>0.33333333333333331</v>
      </c>
    </row>
    <row r="6210" spans="1:26" x14ac:dyDescent="0.2">
      <c r="A6210" s="6">
        <v>6343</v>
      </c>
      <c r="B6210" s="7">
        <v>44962</v>
      </c>
      <c r="C6210" s="8">
        <f>DATE(2012,12,31)-1099</f>
        <v>40175</v>
      </c>
      <c r="D6210" s="8" t="str">
        <f t="shared" si="114"/>
        <v>2009-12 (декабрь 2009)</v>
      </c>
      <c r="E6210" s="9" t="s">
        <v>63</v>
      </c>
      <c r="F6210" s="7">
        <v>27</v>
      </c>
      <c r="G6210" s="7">
        <v>575.74</v>
      </c>
      <c r="H6210" s="7">
        <v>0.06</v>
      </c>
      <c r="I6210" s="9" t="s">
        <v>22</v>
      </c>
      <c r="J6210" s="10">
        <v>152.6</v>
      </c>
      <c r="K6210" s="11">
        <v>22.24</v>
      </c>
      <c r="L6210" s="11">
        <v>1.99</v>
      </c>
      <c r="M6210" s="9" t="s">
        <v>1985</v>
      </c>
      <c r="N6210" s="6" t="s">
        <v>1905</v>
      </c>
      <c r="O6210" s="6" t="s">
        <v>673</v>
      </c>
      <c r="P6210" s="9" t="s">
        <v>25</v>
      </c>
      <c r="Q6210" s="9" t="s">
        <v>42</v>
      </c>
      <c r="R6210" s="9" t="s">
        <v>70</v>
      </c>
      <c r="S6210" s="7" t="s">
        <v>1116</v>
      </c>
      <c r="T6210" s="9" t="s">
        <v>52</v>
      </c>
      <c r="U6210" s="7">
        <v>0.43</v>
      </c>
      <c r="V6210" s="12">
        <f>C6210+2</f>
        <v>40177</v>
      </c>
      <c r="W6210">
        <f>IF(D6210=' Pivot Tables'!$A$4,1,0)</f>
        <v>0</v>
      </c>
      <c r="X6210">
        <f>IF(AND(LEFT(D6210,4)+1=LEFT(' Pivot Tables'!$A$4,4)+0,RIGHT(LEFT(D6210,7),2)=RIGHT(LEFT(' Pivot Tables'!$A$4,7),2)),1,0)</f>
        <v>0</v>
      </c>
      <c r="Y6210" s="6">
        <f>1/COUNTIF(Таблица1[Order ID],Таблица1[[#This Row],[Order ID]])</f>
        <v>1</v>
      </c>
      <c r="Z6210" s="9">
        <f>1/COUNTIFS(Таблица1[Customer Name],Таблица1[[#This Row],[Customer Name]],Таблица1[Order-Year-Month],Таблица1[[#This Row],[Order-Year-Month]])</f>
        <v>1</v>
      </c>
    </row>
    <row r="6211" spans="1:26" x14ac:dyDescent="0.2">
      <c r="A6211" s="6">
        <v>6397</v>
      </c>
      <c r="B6211" s="7">
        <v>45412</v>
      </c>
      <c r="C6211" s="8">
        <f>DATE(2012,12,31)-984</f>
        <v>40290</v>
      </c>
      <c r="D6211" s="8" t="str">
        <f t="shared" ref="D6211:D6274" si="115">TEXT(C6211,"гггг-ММ (ММММ гггг)")</f>
        <v>2010-04 (апрель 2010)</v>
      </c>
      <c r="E6211" s="9" t="s">
        <v>63</v>
      </c>
      <c r="F6211" s="7">
        <v>20</v>
      </c>
      <c r="G6211" s="7">
        <v>586.61900000000003</v>
      </c>
      <c r="H6211" s="7">
        <v>0.06</v>
      </c>
      <c r="I6211" s="9" t="s">
        <v>22</v>
      </c>
      <c r="J6211" s="10">
        <v>83.07</v>
      </c>
      <c r="K6211" s="11">
        <v>35.99</v>
      </c>
      <c r="L6211" s="11">
        <v>1.1000000000000001</v>
      </c>
      <c r="M6211" s="9" t="s">
        <v>1989</v>
      </c>
      <c r="N6211" s="6" t="s">
        <v>1905</v>
      </c>
      <c r="O6211" s="6" t="s">
        <v>673</v>
      </c>
      <c r="P6211" s="9" t="s">
        <v>41</v>
      </c>
      <c r="Q6211" s="9" t="s">
        <v>42</v>
      </c>
      <c r="R6211" s="9" t="s">
        <v>43</v>
      </c>
      <c r="S6211" s="7" t="s">
        <v>1082</v>
      </c>
      <c r="T6211" s="9" t="s">
        <v>39</v>
      </c>
      <c r="U6211" s="7">
        <v>0.55000000000000004</v>
      </c>
      <c r="V6211" s="12">
        <f>C6211+1</f>
        <v>40291</v>
      </c>
      <c r="W6211">
        <f>IF(D6211=' Pivot Tables'!$A$4,1,0)</f>
        <v>0</v>
      </c>
      <c r="X6211">
        <f>IF(AND(LEFT(D6211,4)+1=LEFT(' Pivot Tables'!$A$4,4)+0,RIGHT(LEFT(D6211,7),2)=RIGHT(LEFT(' Pivot Tables'!$A$4,7),2)),1,0)</f>
        <v>0</v>
      </c>
      <c r="Y6211" s="6">
        <f>1/COUNTIF(Таблица1[Order ID],Таблица1[[#This Row],[Order ID]])</f>
        <v>1</v>
      </c>
      <c r="Z6211" s="9">
        <f>1/COUNTIFS(Таблица1[Customer Name],Таблица1[[#This Row],[Customer Name]],Таблица1[Order-Year-Month],Таблица1[[#This Row],[Order-Year-Month]])</f>
        <v>1</v>
      </c>
    </row>
    <row r="6212" spans="1:26" x14ac:dyDescent="0.2">
      <c r="A6212" s="6">
        <v>6436</v>
      </c>
      <c r="B6212" s="7">
        <v>45734</v>
      </c>
      <c r="C6212" s="8">
        <f>DATE(2012,12,31)-167</f>
        <v>41107</v>
      </c>
      <c r="D6212" s="8" t="str">
        <f t="shared" si="115"/>
        <v>2012-07 (июль 2012)</v>
      </c>
      <c r="E6212" s="9" t="s">
        <v>78</v>
      </c>
      <c r="F6212" s="7">
        <v>47</v>
      </c>
      <c r="G6212" s="7">
        <v>557.52</v>
      </c>
      <c r="H6212" s="7">
        <v>0.03</v>
      </c>
      <c r="I6212" s="9" t="s">
        <v>56</v>
      </c>
      <c r="J6212" s="10">
        <v>-157.30000000000001</v>
      </c>
      <c r="K6212" s="11">
        <v>11.66</v>
      </c>
      <c r="L6212" s="11">
        <v>7.95</v>
      </c>
      <c r="M6212" s="9" t="s">
        <v>1991</v>
      </c>
      <c r="N6212" s="6" t="s">
        <v>1905</v>
      </c>
      <c r="O6212" s="6" t="s">
        <v>673</v>
      </c>
      <c r="P6212" s="9" t="s">
        <v>33</v>
      </c>
      <c r="Q6212" s="9" t="s">
        <v>26</v>
      </c>
      <c r="R6212" s="9" t="s">
        <v>95</v>
      </c>
      <c r="S6212" s="7" t="s">
        <v>555</v>
      </c>
      <c r="T6212" s="9" t="s">
        <v>52</v>
      </c>
      <c r="U6212" s="7">
        <v>0.57999999999999996</v>
      </c>
      <c r="V6212" s="12">
        <f>C6212+2</f>
        <v>41109</v>
      </c>
      <c r="W6212">
        <f>IF(D6212=' Pivot Tables'!$A$4,1,0)</f>
        <v>0</v>
      </c>
      <c r="X6212">
        <f>IF(AND(LEFT(D6212,4)+1=LEFT(' Pivot Tables'!$A$4,4)+0,RIGHT(LEFT(D6212,7),2)=RIGHT(LEFT(' Pivot Tables'!$A$4,7),2)),1,0)</f>
        <v>0</v>
      </c>
      <c r="Y6212" s="6">
        <f>1/COUNTIF(Таблица1[Order ID],Таблица1[[#This Row],[Order ID]])</f>
        <v>1</v>
      </c>
      <c r="Z6212" s="9">
        <f>1/COUNTIFS(Таблица1[Customer Name],Таблица1[[#This Row],[Customer Name]],Таблица1[Order-Year-Month],Таблица1[[#This Row],[Order-Year-Month]])</f>
        <v>1</v>
      </c>
    </row>
    <row r="6213" spans="1:26" x14ac:dyDescent="0.2">
      <c r="A6213" s="6">
        <v>6454</v>
      </c>
      <c r="B6213" s="7">
        <v>45959</v>
      </c>
      <c r="C6213" s="8">
        <f>DATE(2012,12,31)-1121</f>
        <v>40153</v>
      </c>
      <c r="D6213" s="8" t="str">
        <f t="shared" si="115"/>
        <v>2009-12 (декабрь 2009)</v>
      </c>
      <c r="E6213" s="9" t="s">
        <v>63</v>
      </c>
      <c r="F6213" s="7">
        <v>15</v>
      </c>
      <c r="G6213" s="7">
        <v>201.74</v>
      </c>
      <c r="H6213" s="7">
        <v>0.08</v>
      </c>
      <c r="I6213" s="9" t="s">
        <v>56</v>
      </c>
      <c r="J6213" s="10">
        <v>-2.6335000000000002</v>
      </c>
      <c r="K6213" s="11">
        <v>12.53</v>
      </c>
      <c r="L6213" s="11">
        <v>7.17</v>
      </c>
      <c r="M6213" s="9" t="s">
        <v>1984</v>
      </c>
      <c r="N6213" s="6" t="s">
        <v>1905</v>
      </c>
      <c r="O6213" s="6" t="s">
        <v>673</v>
      </c>
      <c r="P6213" s="9" t="s">
        <v>41</v>
      </c>
      <c r="Q6213" s="9" t="s">
        <v>26</v>
      </c>
      <c r="R6213" s="9" t="s">
        <v>37</v>
      </c>
      <c r="S6213" s="7" t="s">
        <v>1414</v>
      </c>
      <c r="T6213" s="9" t="s">
        <v>39</v>
      </c>
      <c r="U6213" s="7">
        <v>0.38</v>
      </c>
      <c r="V6213" s="12">
        <f>C6213+2</f>
        <v>40155</v>
      </c>
      <c r="W6213">
        <f>IF(D6213=' Pivot Tables'!$A$4,1,0)</f>
        <v>0</v>
      </c>
      <c r="X6213">
        <f>IF(AND(LEFT(D6213,4)+1=LEFT(' Pivot Tables'!$A$4,4)+0,RIGHT(LEFT(D6213,7),2)=RIGHT(LEFT(' Pivot Tables'!$A$4,7),2)),1,0)</f>
        <v>0</v>
      </c>
      <c r="Y6213" s="6">
        <f>1/COUNTIF(Таблица1[Order ID],Таблица1[[#This Row],[Order ID]])</f>
        <v>0.5</v>
      </c>
      <c r="Z6213" s="9">
        <f>1/COUNTIFS(Таблица1[Customer Name],Таблица1[[#This Row],[Customer Name]],Таблица1[Order-Year-Month],Таблица1[[#This Row],[Order-Year-Month]])</f>
        <v>0.5</v>
      </c>
    </row>
    <row r="6214" spans="1:26" x14ac:dyDescent="0.2">
      <c r="A6214" s="6">
        <v>6455</v>
      </c>
      <c r="B6214" s="7">
        <v>45959</v>
      </c>
      <c r="C6214" s="8">
        <f>DATE(2012,12,31)-1121</f>
        <v>40153</v>
      </c>
      <c r="D6214" s="8" t="str">
        <f t="shared" si="115"/>
        <v>2009-12 (декабрь 2009)</v>
      </c>
      <c r="E6214" s="9" t="s">
        <v>63</v>
      </c>
      <c r="F6214" s="7">
        <v>35</v>
      </c>
      <c r="G6214" s="7">
        <v>1822.13</v>
      </c>
      <c r="H6214" s="7">
        <v>0</v>
      </c>
      <c r="I6214" s="9" t="s">
        <v>22</v>
      </c>
      <c r="J6214" s="10">
        <v>155.16999999999999</v>
      </c>
      <c r="K6214" s="11">
        <v>49.99</v>
      </c>
      <c r="L6214" s="11">
        <v>19.989999999999998</v>
      </c>
      <c r="M6214" s="9" t="s">
        <v>1984</v>
      </c>
      <c r="N6214" s="6" t="s">
        <v>1905</v>
      </c>
      <c r="O6214" s="6" t="s">
        <v>673</v>
      </c>
      <c r="P6214" s="9" t="s">
        <v>41</v>
      </c>
      <c r="Q6214" s="9" t="s">
        <v>42</v>
      </c>
      <c r="R6214" s="9" t="s">
        <v>70</v>
      </c>
      <c r="S6214" s="7" t="s">
        <v>590</v>
      </c>
      <c r="T6214" s="9" t="s">
        <v>39</v>
      </c>
      <c r="U6214" s="7">
        <v>0.41</v>
      </c>
      <c r="V6214" s="12">
        <f>C6214+2</f>
        <v>40155</v>
      </c>
      <c r="W6214">
        <f>IF(D6214=' Pivot Tables'!$A$4,1,0)</f>
        <v>0</v>
      </c>
      <c r="X6214">
        <f>IF(AND(LEFT(D6214,4)+1=LEFT(' Pivot Tables'!$A$4,4)+0,RIGHT(LEFT(D6214,7),2)=RIGHT(LEFT(' Pivot Tables'!$A$4,7),2)),1,0)</f>
        <v>0</v>
      </c>
      <c r="Y6214" s="6">
        <f>1/COUNTIF(Таблица1[Order ID],Таблица1[[#This Row],[Order ID]])</f>
        <v>0.5</v>
      </c>
      <c r="Z6214" s="9">
        <f>1/COUNTIFS(Таблица1[Customer Name],Таблица1[[#This Row],[Customer Name]],Таблица1[Order-Year-Month],Таблица1[[#This Row],[Order-Year-Month]])</f>
        <v>0.5</v>
      </c>
    </row>
    <row r="6215" spans="1:26" x14ac:dyDescent="0.2">
      <c r="A6215" s="6">
        <v>6585</v>
      </c>
      <c r="B6215" s="7">
        <v>46884</v>
      </c>
      <c r="C6215" s="8">
        <f>DATE(2012,12,31)-1444</f>
        <v>39830</v>
      </c>
      <c r="D6215" s="8" t="str">
        <f t="shared" si="115"/>
        <v>2009-01 (январь 2009)</v>
      </c>
      <c r="E6215" s="9" t="s">
        <v>63</v>
      </c>
      <c r="F6215" s="7">
        <v>18</v>
      </c>
      <c r="G6215" s="7">
        <v>130.11000000000001</v>
      </c>
      <c r="H6215" s="7">
        <v>0.1</v>
      </c>
      <c r="I6215" s="9" t="s">
        <v>22</v>
      </c>
      <c r="J6215" s="10">
        <v>40.299999999999997</v>
      </c>
      <c r="K6215" s="11">
        <v>7.64</v>
      </c>
      <c r="L6215" s="11">
        <v>1.39</v>
      </c>
      <c r="M6215" s="9" t="s">
        <v>1233</v>
      </c>
      <c r="N6215" s="6" t="s">
        <v>1905</v>
      </c>
      <c r="O6215" s="6" t="s">
        <v>673</v>
      </c>
      <c r="P6215" s="9" t="s">
        <v>41</v>
      </c>
      <c r="Q6215" s="9" t="s">
        <v>26</v>
      </c>
      <c r="R6215" s="9" t="s">
        <v>76</v>
      </c>
      <c r="S6215" s="7" t="s">
        <v>1150</v>
      </c>
      <c r="T6215" s="9" t="s">
        <v>39</v>
      </c>
      <c r="U6215" s="7">
        <v>0.36</v>
      </c>
      <c r="V6215" s="12">
        <f>C6215+2</f>
        <v>39832</v>
      </c>
      <c r="W6215">
        <f>IF(D6215=' Pivot Tables'!$A$4,1,0)</f>
        <v>0</v>
      </c>
      <c r="X6215">
        <f>IF(AND(LEFT(D6215,4)+1=LEFT(' Pivot Tables'!$A$4,4)+0,RIGHT(LEFT(D6215,7),2)=RIGHT(LEFT(' Pivot Tables'!$A$4,7),2)),1,0)</f>
        <v>1</v>
      </c>
      <c r="Y6215" s="6">
        <f>1/COUNTIF(Таблица1[Order ID],Таблица1[[#This Row],[Order ID]])</f>
        <v>0.33333333333333331</v>
      </c>
      <c r="Z6215" s="9">
        <f>1/COUNTIFS(Таблица1[Customer Name],Таблица1[[#This Row],[Customer Name]],Таблица1[Order-Year-Month],Таблица1[[#This Row],[Order-Year-Month]])</f>
        <v>0.33333333333333331</v>
      </c>
    </row>
    <row r="6216" spans="1:26" x14ac:dyDescent="0.2">
      <c r="A6216" s="6">
        <v>6586</v>
      </c>
      <c r="B6216" s="7">
        <v>46884</v>
      </c>
      <c r="C6216" s="8">
        <f>DATE(2012,12,31)-1444</f>
        <v>39830</v>
      </c>
      <c r="D6216" s="8" t="str">
        <f t="shared" si="115"/>
        <v>2009-01 (январь 2009)</v>
      </c>
      <c r="E6216" s="9" t="s">
        <v>63</v>
      </c>
      <c r="F6216" s="7">
        <v>3</v>
      </c>
      <c r="G6216" s="7">
        <v>337.33949999999999</v>
      </c>
      <c r="H6216" s="7">
        <v>0</v>
      </c>
      <c r="I6216" s="9" t="s">
        <v>22</v>
      </c>
      <c r="J6216" s="10">
        <v>-509.93799999999999</v>
      </c>
      <c r="K6216" s="11">
        <v>125.99</v>
      </c>
      <c r="L6216" s="11">
        <v>2.5</v>
      </c>
      <c r="M6216" s="9" t="s">
        <v>1233</v>
      </c>
      <c r="N6216" s="6" t="s">
        <v>1905</v>
      </c>
      <c r="O6216" s="6" t="s">
        <v>673</v>
      </c>
      <c r="P6216" s="9" t="s">
        <v>41</v>
      </c>
      <c r="Q6216" s="9" t="s">
        <v>42</v>
      </c>
      <c r="R6216" s="9" t="s">
        <v>43</v>
      </c>
      <c r="S6216" s="7" t="s">
        <v>1997</v>
      </c>
      <c r="T6216" s="9" t="s">
        <v>39</v>
      </c>
      <c r="U6216" s="7">
        <v>0.59</v>
      </c>
      <c r="V6216" s="12">
        <f>C6216+2</f>
        <v>39832</v>
      </c>
      <c r="W6216">
        <f>IF(D6216=' Pivot Tables'!$A$4,1,0)</f>
        <v>0</v>
      </c>
      <c r="X6216">
        <f>IF(AND(LEFT(D6216,4)+1=LEFT(' Pivot Tables'!$A$4,4)+0,RIGHT(LEFT(D6216,7),2)=RIGHT(LEFT(' Pivot Tables'!$A$4,7),2)),1,0)</f>
        <v>1</v>
      </c>
      <c r="Y6216" s="6">
        <f>1/COUNTIF(Таблица1[Order ID],Таблица1[[#This Row],[Order ID]])</f>
        <v>0.33333333333333331</v>
      </c>
      <c r="Z6216" s="9">
        <f>1/COUNTIFS(Таблица1[Customer Name],Таблица1[[#This Row],[Customer Name]],Таблица1[Order-Year-Month],Таблица1[[#This Row],[Order-Year-Month]])</f>
        <v>0.33333333333333331</v>
      </c>
    </row>
    <row r="6217" spans="1:26" x14ac:dyDescent="0.2">
      <c r="A6217" s="6">
        <v>6604</v>
      </c>
      <c r="B6217" s="7">
        <v>46981</v>
      </c>
      <c r="C6217" s="8">
        <f>DATE(2012,12,31)-1423</f>
        <v>39851</v>
      </c>
      <c r="D6217" s="8" t="str">
        <f t="shared" si="115"/>
        <v>2009-02 (февраль 2009)</v>
      </c>
      <c r="E6217" s="9" t="s">
        <v>63</v>
      </c>
      <c r="F6217" s="7">
        <v>46</v>
      </c>
      <c r="G6217" s="7">
        <v>1398.87</v>
      </c>
      <c r="H6217" s="7">
        <v>7.0000000000000007E-2</v>
      </c>
      <c r="I6217" s="9" t="s">
        <v>22</v>
      </c>
      <c r="J6217" s="10">
        <v>601.9615</v>
      </c>
      <c r="K6217" s="11">
        <v>30.56</v>
      </c>
      <c r="L6217" s="11">
        <v>2.99</v>
      </c>
      <c r="M6217" s="9" t="s">
        <v>1987</v>
      </c>
      <c r="N6217" s="6" t="s">
        <v>1905</v>
      </c>
      <c r="O6217" s="6" t="s">
        <v>673</v>
      </c>
      <c r="P6217" s="9" t="s">
        <v>41</v>
      </c>
      <c r="Q6217" s="9" t="s">
        <v>26</v>
      </c>
      <c r="R6217" s="9" t="s">
        <v>37</v>
      </c>
      <c r="S6217" s="7" t="s">
        <v>250</v>
      </c>
      <c r="T6217" s="9" t="s">
        <v>39</v>
      </c>
      <c r="U6217" s="7">
        <v>0.35</v>
      </c>
      <c r="V6217" s="12">
        <f>C6217+0</f>
        <v>39851</v>
      </c>
      <c r="W6217">
        <f>IF(D6217=' Pivot Tables'!$A$4,1,0)</f>
        <v>0</v>
      </c>
      <c r="X6217">
        <f>IF(AND(LEFT(D6217,4)+1=LEFT(' Pivot Tables'!$A$4,4)+0,RIGHT(LEFT(D6217,7),2)=RIGHT(LEFT(' Pivot Tables'!$A$4,7),2)),1,0)</f>
        <v>0</v>
      </c>
      <c r="Y6217" s="6">
        <f>1/COUNTIF(Таблица1[Order ID],Таблица1[[#This Row],[Order ID]])</f>
        <v>1</v>
      </c>
      <c r="Z6217" s="9">
        <f>1/COUNTIFS(Таблица1[Customer Name],Таблица1[[#This Row],[Customer Name]],Таблица1[Order-Year-Month],Таблица1[[#This Row],[Order-Year-Month]])</f>
        <v>1</v>
      </c>
    </row>
    <row r="6218" spans="1:26" x14ac:dyDescent="0.2">
      <c r="A6218" s="6">
        <v>6606</v>
      </c>
      <c r="B6218" s="7">
        <v>47010</v>
      </c>
      <c r="C6218" s="8">
        <f>DATE(2012,12,31)-455</f>
        <v>40819</v>
      </c>
      <c r="D6218" s="8" t="str">
        <f t="shared" si="115"/>
        <v>2011-10 (октябрь 2011)</v>
      </c>
      <c r="E6218" s="9" t="s">
        <v>78</v>
      </c>
      <c r="F6218" s="7">
        <v>11</v>
      </c>
      <c r="G6218" s="7">
        <v>1479.14</v>
      </c>
      <c r="H6218" s="7">
        <v>0.06</v>
      </c>
      <c r="I6218" s="9" t="s">
        <v>31</v>
      </c>
      <c r="J6218" s="10">
        <v>-236.63</v>
      </c>
      <c r="K6218" s="11">
        <v>130.97999999999999</v>
      </c>
      <c r="L6218" s="11">
        <v>30</v>
      </c>
      <c r="M6218" s="9" t="s">
        <v>1987</v>
      </c>
      <c r="N6218" s="6" t="s">
        <v>1905</v>
      </c>
      <c r="O6218" s="6" t="s">
        <v>673</v>
      </c>
      <c r="P6218" s="9" t="s">
        <v>41</v>
      </c>
      <c r="Q6218" s="9" t="s">
        <v>49</v>
      </c>
      <c r="R6218" s="9" t="s">
        <v>112</v>
      </c>
      <c r="S6218" s="7" t="s">
        <v>265</v>
      </c>
      <c r="T6218" s="9" t="s">
        <v>36</v>
      </c>
      <c r="U6218" s="7">
        <v>0.78</v>
      </c>
      <c r="V6218" s="12">
        <f>C6218+0</f>
        <v>40819</v>
      </c>
      <c r="W6218">
        <f>IF(D6218=' Pivot Tables'!$A$4,1,0)</f>
        <v>0</v>
      </c>
      <c r="X6218">
        <f>IF(AND(LEFT(D6218,4)+1=LEFT(' Pivot Tables'!$A$4,4)+0,RIGHT(LEFT(D6218,7),2)=RIGHT(LEFT(' Pivot Tables'!$A$4,7),2)),1,0)</f>
        <v>0</v>
      </c>
      <c r="Y6218" s="6">
        <f>1/COUNTIF(Таблица1[Order ID],Таблица1[[#This Row],[Order ID]])</f>
        <v>1</v>
      </c>
      <c r="Z6218" s="9">
        <f>1/COUNTIFS(Таблица1[Customer Name],Таблица1[[#This Row],[Customer Name]],Таблица1[Order-Year-Month],Таблица1[[#This Row],[Order-Year-Month]])</f>
        <v>1</v>
      </c>
    </row>
    <row r="6219" spans="1:26" x14ac:dyDescent="0.2">
      <c r="A6219" s="6">
        <v>6702</v>
      </c>
      <c r="B6219" s="7">
        <v>47717</v>
      </c>
      <c r="C6219" s="8">
        <f>DATE(2012,12,31)-380</f>
        <v>40894</v>
      </c>
      <c r="D6219" s="8" t="str">
        <f t="shared" si="115"/>
        <v>2011-12 (декабрь 2011)</v>
      </c>
      <c r="E6219" s="9" t="s">
        <v>45</v>
      </c>
      <c r="F6219" s="7">
        <v>35</v>
      </c>
      <c r="G6219" s="7">
        <v>173.22</v>
      </c>
      <c r="H6219" s="7">
        <v>0.04</v>
      </c>
      <c r="I6219" s="9" t="s">
        <v>22</v>
      </c>
      <c r="J6219" s="10">
        <v>84.03</v>
      </c>
      <c r="K6219" s="11">
        <v>4.91</v>
      </c>
      <c r="L6219" s="11">
        <v>0.5</v>
      </c>
      <c r="M6219" s="9" t="s">
        <v>1990</v>
      </c>
      <c r="N6219" s="6" t="s">
        <v>1905</v>
      </c>
      <c r="O6219" s="6" t="s">
        <v>673</v>
      </c>
      <c r="P6219" s="9" t="s">
        <v>33</v>
      </c>
      <c r="Q6219" s="9" t="s">
        <v>26</v>
      </c>
      <c r="R6219" s="9" t="s">
        <v>88</v>
      </c>
      <c r="S6219" s="7" t="s">
        <v>509</v>
      </c>
      <c r="T6219" s="9" t="s">
        <v>39</v>
      </c>
      <c r="U6219" s="7">
        <v>0.36</v>
      </c>
      <c r="V6219" s="12">
        <f>C6219+1</f>
        <v>40895</v>
      </c>
      <c r="W6219">
        <f>IF(D6219=' Pivot Tables'!$A$4,1,0)</f>
        <v>0</v>
      </c>
      <c r="X6219">
        <f>IF(AND(LEFT(D6219,4)+1=LEFT(' Pivot Tables'!$A$4,4)+0,RIGHT(LEFT(D6219,7),2)=RIGHT(LEFT(' Pivot Tables'!$A$4,7),2)),1,0)</f>
        <v>0</v>
      </c>
      <c r="Y6219" s="6">
        <f>1/COUNTIF(Таблица1[Order ID],Таблица1[[#This Row],[Order ID]])</f>
        <v>1</v>
      </c>
      <c r="Z6219" s="9">
        <f>1/COUNTIFS(Таблица1[Customer Name],Таблица1[[#This Row],[Customer Name]],Таблица1[Order-Year-Month],Таблица1[[#This Row],[Order-Year-Month]])</f>
        <v>1</v>
      </c>
    </row>
    <row r="6220" spans="1:26" x14ac:dyDescent="0.2">
      <c r="A6220" s="6">
        <v>6776</v>
      </c>
      <c r="B6220" s="7">
        <v>48257</v>
      </c>
      <c r="C6220" s="8">
        <f>DATE(2012,12,31)-1349</f>
        <v>39925</v>
      </c>
      <c r="D6220" s="8" t="str">
        <f t="shared" si="115"/>
        <v>2009-04 (апрель 2009)</v>
      </c>
      <c r="E6220" s="9" t="s">
        <v>21</v>
      </c>
      <c r="F6220" s="7">
        <v>45</v>
      </c>
      <c r="G6220" s="7">
        <v>221.06</v>
      </c>
      <c r="H6220" s="7">
        <v>0.02</v>
      </c>
      <c r="I6220" s="9" t="s">
        <v>22</v>
      </c>
      <c r="J6220" s="10">
        <v>-124.28049999999999</v>
      </c>
      <c r="K6220" s="11">
        <v>4.57</v>
      </c>
      <c r="L6220" s="11">
        <v>5.42</v>
      </c>
      <c r="M6220" s="9" t="s">
        <v>1986</v>
      </c>
      <c r="N6220" s="6" t="s">
        <v>1905</v>
      </c>
      <c r="O6220" s="6" t="s">
        <v>673</v>
      </c>
      <c r="P6220" s="9" t="s">
        <v>41</v>
      </c>
      <c r="Q6220" s="9" t="s">
        <v>26</v>
      </c>
      <c r="R6220" s="9" t="s">
        <v>37</v>
      </c>
      <c r="S6220" s="7" t="s">
        <v>453</v>
      </c>
      <c r="T6220" s="9" t="s">
        <v>39</v>
      </c>
      <c r="U6220" s="7">
        <v>0.37</v>
      </c>
      <c r="V6220" s="12">
        <f>C6220+4</f>
        <v>39929</v>
      </c>
      <c r="W6220">
        <f>IF(D6220=' Pivot Tables'!$A$4,1,0)</f>
        <v>0</v>
      </c>
      <c r="X6220">
        <f>IF(AND(LEFT(D6220,4)+1=LEFT(' Pivot Tables'!$A$4,4)+0,RIGHT(LEFT(D6220,7),2)=RIGHT(LEFT(' Pivot Tables'!$A$4,7),2)),1,0)</f>
        <v>0</v>
      </c>
      <c r="Y6220" s="6">
        <f>1/COUNTIF(Таблица1[Order ID],Таблица1[[#This Row],[Order ID]])</f>
        <v>1</v>
      </c>
      <c r="Z6220" s="9">
        <f>1/COUNTIFS(Таблица1[Customer Name],Таблица1[[#This Row],[Customer Name]],Таблица1[Order-Year-Month],Таблица1[[#This Row],[Order-Year-Month]])</f>
        <v>0.5</v>
      </c>
    </row>
    <row r="6221" spans="1:26" x14ac:dyDescent="0.2">
      <c r="A6221" s="6">
        <v>6822</v>
      </c>
      <c r="B6221" s="7">
        <v>48577</v>
      </c>
      <c r="C6221" s="8">
        <f>DATE(2012,12,31)-176</f>
        <v>41098</v>
      </c>
      <c r="D6221" s="8" t="str">
        <f t="shared" si="115"/>
        <v>2012-07 (июль 2012)</v>
      </c>
      <c r="E6221" s="9" t="s">
        <v>63</v>
      </c>
      <c r="F6221" s="7">
        <v>6</v>
      </c>
      <c r="G6221" s="7">
        <v>201.83</v>
      </c>
      <c r="H6221" s="7">
        <v>0.02</v>
      </c>
      <c r="I6221" s="9" t="s">
        <v>22</v>
      </c>
      <c r="J6221" s="10">
        <v>34.979999999999997</v>
      </c>
      <c r="K6221" s="11">
        <v>30.98</v>
      </c>
      <c r="L6221" s="11">
        <v>5.09</v>
      </c>
      <c r="M6221" s="9" t="s">
        <v>1984</v>
      </c>
      <c r="N6221" s="6" t="s">
        <v>1905</v>
      </c>
      <c r="O6221" s="6" t="s">
        <v>673</v>
      </c>
      <c r="P6221" s="9" t="s">
        <v>41</v>
      </c>
      <c r="Q6221" s="9" t="s">
        <v>26</v>
      </c>
      <c r="R6221" s="9" t="s">
        <v>61</v>
      </c>
      <c r="S6221" s="7" t="s">
        <v>1684</v>
      </c>
      <c r="T6221" s="9" t="s">
        <v>39</v>
      </c>
      <c r="U6221" s="7">
        <v>0.4</v>
      </c>
      <c r="V6221" s="12">
        <f>C6221+2</f>
        <v>41100</v>
      </c>
      <c r="W6221">
        <f>IF(D6221=' Pivot Tables'!$A$4,1,0)</f>
        <v>0</v>
      </c>
      <c r="X6221">
        <f>IF(AND(LEFT(D6221,4)+1=LEFT(' Pivot Tables'!$A$4,4)+0,RIGHT(LEFT(D6221,7),2)=RIGHT(LEFT(' Pivot Tables'!$A$4,7),2)),1,0)</f>
        <v>0</v>
      </c>
      <c r="Y6221" s="6">
        <f>1/COUNTIF(Таблица1[Order ID],Таблица1[[#This Row],[Order ID]])</f>
        <v>1</v>
      </c>
      <c r="Z6221" s="9">
        <f>1/COUNTIFS(Таблица1[Customer Name],Таблица1[[#This Row],[Customer Name]],Таблица1[Order-Year-Month],Таблица1[[#This Row],[Order-Year-Month]])</f>
        <v>1</v>
      </c>
    </row>
    <row r="6222" spans="1:26" x14ac:dyDescent="0.2">
      <c r="A6222" s="6">
        <v>6992</v>
      </c>
      <c r="B6222" s="7">
        <v>49953</v>
      </c>
      <c r="C6222" s="8">
        <f>DATE(2012,12,31)-289</f>
        <v>40985</v>
      </c>
      <c r="D6222" s="8" t="str">
        <f t="shared" si="115"/>
        <v>2012-03 (март 2012)</v>
      </c>
      <c r="E6222" s="9" t="s">
        <v>45</v>
      </c>
      <c r="F6222" s="7">
        <v>18</v>
      </c>
      <c r="G6222" s="7">
        <v>283.5</v>
      </c>
      <c r="H6222" s="7">
        <v>0.1</v>
      </c>
      <c r="I6222" s="9" t="s">
        <v>22</v>
      </c>
      <c r="J6222" s="10">
        <v>-51.47</v>
      </c>
      <c r="K6222" s="11">
        <v>15.98</v>
      </c>
      <c r="L6222" s="11">
        <v>6.5</v>
      </c>
      <c r="M6222" s="9" t="s">
        <v>1708</v>
      </c>
      <c r="N6222" s="6" t="s">
        <v>1905</v>
      </c>
      <c r="O6222" s="6" t="s">
        <v>673</v>
      </c>
      <c r="P6222" s="9" t="s">
        <v>60</v>
      </c>
      <c r="Q6222" s="9" t="s">
        <v>42</v>
      </c>
      <c r="R6222" s="9" t="s">
        <v>70</v>
      </c>
      <c r="S6222" s="7" t="s">
        <v>536</v>
      </c>
      <c r="T6222" s="9" t="s">
        <v>39</v>
      </c>
      <c r="U6222" s="7">
        <v>0.48</v>
      </c>
      <c r="V6222" s="12">
        <f>C6222+1</f>
        <v>40986</v>
      </c>
      <c r="W6222">
        <f>IF(D6222=' Pivot Tables'!$A$4,1,0)</f>
        <v>0</v>
      </c>
      <c r="X6222">
        <f>IF(AND(LEFT(D6222,4)+1=LEFT(' Pivot Tables'!$A$4,4)+0,RIGHT(LEFT(D6222,7),2)=RIGHT(LEFT(' Pivot Tables'!$A$4,7),2)),1,0)</f>
        <v>0</v>
      </c>
      <c r="Y6222" s="6">
        <f>1/COUNTIF(Таблица1[Order ID],Таблица1[[#This Row],[Order ID]])</f>
        <v>0.5</v>
      </c>
      <c r="Z6222" s="9">
        <f>1/COUNTIFS(Таблица1[Customer Name],Таблица1[[#This Row],[Customer Name]],Таблица1[Order-Year-Month],Таблица1[[#This Row],[Order-Year-Month]])</f>
        <v>0.5</v>
      </c>
    </row>
    <row r="6223" spans="1:26" x14ac:dyDescent="0.2">
      <c r="A6223" s="6">
        <v>6993</v>
      </c>
      <c r="B6223" s="7">
        <v>49953</v>
      </c>
      <c r="C6223" s="8">
        <f>DATE(2012,12,31)-289</f>
        <v>40985</v>
      </c>
      <c r="D6223" s="8" t="str">
        <f t="shared" si="115"/>
        <v>2012-03 (март 2012)</v>
      </c>
      <c r="E6223" s="9" t="s">
        <v>45</v>
      </c>
      <c r="F6223" s="7">
        <v>36</v>
      </c>
      <c r="G6223" s="7">
        <v>242.13</v>
      </c>
      <c r="H6223" s="7">
        <v>0.09</v>
      </c>
      <c r="I6223" s="9" t="s">
        <v>56</v>
      </c>
      <c r="J6223" s="10">
        <v>-94.74</v>
      </c>
      <c r="K6223" s="11">
        <v>6.48</v>
      </c>
      <c r="L6223" s="11">
        <v>6.6</v>
      </c>
      <c r="M6223" s="9" t="s">
        <v>1708</v>
      </c>
      <c r="N6223" s="6" t="s">
        <v>1905</v>
      </c>
      <c r="O6223" s="6" t="s">
        <v>673</v>
      </c>
      <c r="P6223" s="9" t="s">
        <v>60</v>
      </c>
      <c r="Q6223" s="9" t="s">
        <v>26</v>
      </c>
      <c r="R6223" s="9" t="s">
        <v>61</v>
      </c>
      <c r="S6223" s="7" t="s">
        <v>346</v>
      </c>
      <c r="T6223" s="9" t="s">
        <v>39</v>
      </c>
      <c r="U6223" s="7">
        <v>0.37</v>
      </c>
      <c r="V6223" s="12">
        <f>C6223+0</f>
        <v>40985</v>
      </c>
      <c r="W6223">
        <f>IF(D6223=' Pivot Tables'!$A$4,1,0)</f>
        <v>0</v>
      </c>
      <c r="X6223">
        <f>IF(AND(LEFT(D6223,4)+1=LEFT(' Pivot Tables'!$A$4,4)+0,RIGHT(LEFT(D6223,7),2)=RIGHT(LEFT(' Pivot Tables'!$A$4,7),2)),1,0)</f>
        <v>0</v>
      </c>
      <c r="Y6223" s="6">
        <f>1/COUNTIF(Таблица1[Order ID],Таблица1[[#This Row],[Order ID]])</f>
        <v>0.5</v>
      </c>
      <c r="Z6223" s="9">
        <f>1/COUNTIFS(Таблица1[Customer Name],Таблица1[[#This Row],[Customer Name]],Таблица1[Order-Year-Month],Таблица1[[#This Row],[Order-Year-Month]])</f>
        <v>0.5</v>
      </c>
    </row>
    <row r="6224" spans="1:26" x14ac:dyDescent="0.2">
      <c r="A6224" s="6">
        <v>7192</v>
      </c>
      <c r="B6224" s="7">
        <v>51300</v>
      </c>
      <c r="C6224" s="8">
        <f>DATE(2012,12,31)-443</f>
        <v>40831</v>
      </c>
      <c r="D6224" s="8" t="str">
        <f t="shared" si="115"/>
        <v>2011-10 (октябрь 2011)</v>
      </c>
      <c r="E6224" s="9" t="s">
        <v>63</v>
      </c>
      <c r="F6224" s="7">
        <v>43</v>
      </c>
      <c r="G6224" s="7">
        <v>344.24</v>
      </c>
      <c r="H6224" s="7">
        <v>0.09</v>
      </c>
      <c r="I6224" s="9" t="s">
        <v>22</v>
      </c>
      <c r="J6224" s="10">
        <v>30.76</v>
      </c>
      <c r="K6224" s="11">
        <v>8.33</v>
      </c>
      <c r="L6224" s="11">
        <v>1.99</v>
      </c>
      <c r="M6224" s="9" t="s">
        <v>1708</v>
      </c>
      <c r="N6224" s="6" t="s">
        <v>1905</v>
      </c>
      <c r="O6224" s="6" t="s">
        <v>673</v>
      </c>
      <c r="P6224" s="9" t="s">
        <v>60</v>
      </c>
      <c r="Q6224" s="9" t="s">
        <v>42</v>
      </c>
      <c r="R6224" s="9" t="s">
        <v>70</v>
      </c>
      <c r="S6224" s="7" t="s">
        <v>324</v>
      </c>
      <c r="T6224" s="9" t="s">
        <v>52</v>
      </c>
      <c r="U6224" s="7">
        <v>0.52</v>
      </c>
      <c r="V6224" s="12">
        <f>C6224+2</f>
        <v>40833</v>
      </c>
      <c r="W6224">
        <f>IF(D6224=' Pivot Tables'!$A$4,1,0)</f>
        <v>0</v>
      </c>
      <c r="X6224">
        <f>IF(AND(LEFT(D6224,4)+1=LEFT(' Pivot Tables'!$A$4,4)+0,RIGHT(LEFT(D6224,7),2)=RIGHT(LEFT(' Pivot Tables'!$A$4,7),2)),1,0)</f>
        <v>0</v>
      </c>
      <c r="Y6224" s="6">
        <f>1/COUNTIF(Таблица1[Order ID],Таблица1[[#This Row],[Order ID]])</f>
        <v>1</v>
      </c>
      <c r="Z6224" s="9">
        <f>1/COUNTIFS(Таблица1[Customer Name],Таблица1[[#This Row],[Customer Name]],Таблица1[Order-Year-Month],Таблица1[[#This Row],[Order-Year-Month]])</f>
        <v>1</v>
      </c>
    </row>
    <row r="6225" spans="1:26" x14ac:dyDescent="0.2">
      <c r="A6225" s="6">
        <v>7249</v>
      </c>
      <c r="B6225" s="7">
        <v>51687</v>
      </c>
      <c r="C6225" s="8">
        <f>DATE(2012,12,31)-477</f>
        <v>40797</v>
      </c>
      <c r="D6225" s="8" t="str">
        <f t="shared" si="115"/>
        <v>2011-09 (сентябрь 2011)</v>
      </c>
      <c r="E6225" s="9" t="s">
        <v>21</v>
      </c>
      <c r="F6225" s="7">
        <v>42</v>
      </c>
      <c r="G6225" s="7">
        <v>248.92</v>
      </c>
      <c r="H6225" s="7">
        <v>0.01</v>
      </c>
      <c r="I6225" s="9" t="s">
        <v>22</v>
      </c>
      <c r="J6225" s="10">
        <v>-66.87</v>
      </c>
      <c r="K6225" s="11">
        <v>5.58</v>
      </c>
      <c r="L6225" s="11">
        <v>5.3</v>
      </c>
      <c r="M6225" s="9" t="s">
        <v>1887</v>
      </c>
      <c r="N6225" s="6" t="s">
        <v>1905</v>
      </c>
      <c r="O6225" s="6" t="s">
        <v>673</v>
      </c>
      <c r="P6225" s="9" t="s">
        <v>25</v>
      </c>
      <c r="Q6225" s="9" t="s">
        <v>26</v>
      </c>
      <c r="R6225" s="9" t="s">
        <v>76</v>
      </c>
      <c r="S6225" s="7" t="s">
        <v>881</v>
      </c>
      <c r="T6225" s="9" t="s">
        <v>39</v>
      </c>
      <c r="U6225" s="7">
        <v>0.35</v>
      </c>
      <c r="V6225" s="12">
        <f>C6225+2</f>
        <v>40799</v>
      </c>
      <c r="W6225">
        <f>IF(D6225=' Pivot Tables'!$A$4,1,0)</f>
        <v>0</v>
      </c>
      <c r="X6225">
        <f>IF(AND(LEFT(D6225,4)+1=LEFT(' Pivot Tables'!$A$4,4)+0,RIGHT(LEFT(D6225,7),2)=RIGHT(LEFT(' Pivot Tables'!$A$4,7),2)),1,0)</f>
        <v>0</v>
      </c>
      <c r="Y6225" s="6">
        <f>1/COUNTIF(Таблица1[Order ID],Таблица1[[#This Row],[Order ID]])</f>
        <v>1</v>
      </c>
      <c r="Z6225" s="9">
        <f>1/COUNTIFS(Таблица1[Customer Name],Таблица1[[#This Row],[Customer Name]],Таблица1[Order-Year-Month],Таблица1[[#This Row],[Order-Year-Month]])</f>
        <v>1</v>
      </c>
    </row>
    <row r="6226" spans="1:26" x14ac:dyDescent="0.2">
      <c r="A6226" s="6">
        <v>7288</v>
      </c>
      <c r="B6226" s="7">
        <v>51974</v>
      </c>
      <c r="C6226" s="8">
        <f>DATE(2012,12,31)-705</f>
        <v>40569</v>
      </c>
      <c r="D6226" s="8" t="str">
        <f t="shared" si="115"/>
        <v>2011-01 (январь 2011)</v>
      </c>
      <c r="E6226" s="9" t="s">
        <v>30</v>
      </c>
      <c r="F6226" s="7">
        <v>10</v>
      </c>
      <c r="G6226" s="7">
        <v>1290.3699999999999</v>
      </c>
      <c r="H6226" s="7">
        <v>0.05</v>
      </c>
      <c r="I6226" s="9" t="s">
        <v>22</v>
      </c>
      <c r="J6226" s="10">
        <v>231.16</v>
      </c>
      <c r="K6226" s="11">
        <v>123.38</v>
      </c>
      <c r="L6226" s="11">
        <v>24.49</v>
      </c>
      <c r="M6226" s="9" t="s">
        <v>1992</v>
      </c>
      <c r="N6226" s="6" t="s">
        <v>1905</v>
      </c>
      <c r="O6226" s="6" t="s">
        <v>673</v>
      </c>
      <c r="P6226" s="9" t="s">
        <v>25</v>
      </c>
      <c r="Q6226" s="9" t="s">
        <v>26</v>
      </c>
      <c r="R6226" s="9" t="s">
        <v>34</v>
      </c>
      <c r="S6226" s="7" t="s">
        <v>1943</v>
      </c>
      <c r="T6226" s="9" t="s">
        <v>29</v>
      </c>
      <c r="U6226" s="7">
        <v>0.46</v>
      </c>
      <c r="V6226" s="12">
        <f>C6226+1</f>
        <v>40570</v>
      </c>
      <c r="W6226">
        <f>IF(D6226=' Pivot Tables'!$A$4,1,0)</f>
        <v>0</v>
      </c>
      <c r="X6226">
        <f>IF(AND(LEFT(D6226,4)+1=LEFT(' Pivot Tables'!$A$4,4)+0,RIGHT(LEFT(D6226,7),2)=RIGHT(LEFT(' Pivot Tables'!$A$4,7),2)),1,0)</f>
        <v>0</v>
      </c>
      <c r="Y6226" s="6">
        <f>1/COUNTIF(Таблица1[Order ID],Таблица1[[#This Row],[Order ID]])</f>
        <v>0.5</v>
      </c>
      <c r="Z6226" s="9">
        <f>1/COUNTIFS(Таблица1[Customer Name],Таблица1[[#This Row],[Customer Name]],Таблица1[Order-Year-Month],Таблица1[[#This Row],[Order-Year-Month]])</f>
        <v>0.5</v>
      </c>
    </row>
    <row r="6227" spans="1:26" x14ac:dyDescent="0.2">
      <c r="A6227" s="6">
        <v>7289</v>
      </c>
      <c r="B6227" s="7">
        <v>51974</v>
      </c>
      <c r="C6227" s="8">
        <f>DATE(2012,12,31)-705</f>
        <v>40569</v>
      </c>
      <c r="D6227" s="8" t="str">
        <f t="shared" si="115"/>
        <v>2011-01 (январь 2011)</v>
      </c>
      <c r="E6227" s="9" t="s">
        <v>30</v>
      </c>
      <c r="F6227" s="7">
        <v>2</v>
      </c>
      <c r="G6227" s="7">
        <v>23.18</v>
      </c>
      <c r="H6227" s="7">
        <v>0.05</v>
      </c>
      <c r="I6227" s="9" t="s">
        <v>22</v>
      </c>
      <c r="J6227" s="10">
        <v>-14.881</v>
      </c>
      <c r="K6227" s="11">
        <v>8.6</v>
      </c>
      <c r="L6227" s="11">
        <v>6.19</v>
      </c>
      <c r="M6227" s="9" t="s">
        <v>1992</v>
      </c>
      <c r="N6227" s="6" t="s">
        <v>1905</v>
      </c>
      <c r="O6227" s="6" t="s">
        <v>673</v>
      </c>
      <c r="P6227" s="9" t="s">
        <v>25</v>
      </c>
      <c r="Q6227" s="9" t="s">
        <v>26</v>
      </c>
      <c r="R6227" s="9" t="s">
        <v>37</v>
      </c>
      <c r="S6227" s="7" t="s">
        <v>872</v>
      </c>
      <c r="T6227" s="9" t="s">
        <v>39</v>
      </c>
      <c r="U6227" s="7">
        <v>0.38</v>
      </c>
      <c r="V6227" s="12">
        <f>C6227+1</f>
        <v>40570</v>
      </c>
      <c r="W6227">
        <f>IF(D6227=' Pivot Tables'!$A$4,1,0)</f>
        <v>0</v>
      </c>
      <c r="X6227">
        <f>IF(AND(LEFT(D6227,4)+1=LEFT(' Pivot Tables'!$A$4,4)+0,RIGHT(LEFT(D6227,7),2)=RIGHT(LEFT(' Pivot Tables'!$A$4,7),2)),1,0)</f>
        <v>0</v>
      </c>
      <c r="Y6227" s="6">
        <f>1/COUNTIF(Таблица1[Order ID],Таблица1[[#This Row],[Order ID]])</f>
        <v>0.5</v>
      </c>
      <c r="Z6227" s="9">
        <f>1/COUNTIFS(Таблица1[Customer Name],Таблица1[[#This Row],[Customer Name]],Таблица1[Order-Year-Month],Таблица1[[#This Row],[Order-Year-Month]])</f>
        <v>0.5</v>
      </c>
    </row>
    <row r="6228" spans="1:26" x14ac:dyDescent="0.2">
      <c r="A6228" s="6">
        <v>7394</v>
      </c>
      <c r="B6228" s="7">
        <v>52676</v>
      </c>
      <c r="C6228" s="8">
        <f>DATE(2012,12,31)-125</f>
        <v>41149</v>
      </c>
      <c r="D6228" s="8" t="str">
        <f t="shared" si="115"/>
        <v>2012-08 (август 2012)</v>
      </c>
      <c r="E6228" s="9" t="s">
        <v>30</v>
      </c>
      <c r="F6228" s="7">
        <v>46</v>
      </c>
      <c r="G6228" s="7">
        <v>979.44</v>
      </c>
      <c r="H6228" s="7">
        <v>0.01</v>
      </c>
      <c r="I6228" s="9" t="s">
        <v>22</v>
      </c>
      <c r="J6228" s="10">
        <v>320.67</v>
      </c>
      <c r="K6228" s="11">
        <v>19.98</v>
      </c>
      <c r="L6228" s="11">
        <v>5.86</v>
      </c>
      <c r="M6228" s="9" t="s">
        <v>1991</v>
      </c>
      <c r="N6228" s="6" t="s">
        <v>1905</v>
      </c>
      <c r="O6228" s="6" t="s">
        <v>673</v>
      </c>
      <c r="P6228" s="9" t="s">
        <v>60</v>
      </c>
      <c r="Q6228" s="9" t="s">
        <v>26</v>
      </c>
      <c r="R6228" s="9" t="s">
        <v>61</v>
      </c>
      <c r="S6228" s="7" t="s">
        <v>1350</v>
      </c>
      <c r="T6228" s="9" t="s">
        <v>39</v>
      </c>
      <c r="U6228" s="7">
        <v>0.38</v>
      </c>
      <c r="V6228" s="12">
        <f>C6228+2</f>
        <v>41151</v>
      </c>
      <c r="W6228">
        <f>IF(D6228=' Pivot Tables'!$A$4,1,0)</f>
        <v>0</v>
      </c>
      <c r="X6228">
        <f>IF(AND(LEFT(D6228,4)+1=LEFT(' Pivot Tables'!$A$4,4)+0,RIGHT(LEFT(D6228,7),2)=RIGHT(LEFT(' Pivot Tables'!$A$4,7),2)),1,0)</f>
        <v>0</v>
      </c>
      <c r="Y6228" s="6">
        <f>1/COUNTIF(Таблица1[Order ID],Таблица1[[#This Row],[Order ID]])</f>
        <v>1</v>
      </c>
      <c r="Z6228" s="9">
        <f>1/COUNTIFS(Таблица1[Customer Name],Таблица1[[#This Row],[Customer Name]],Таблица1[Order-Year-Month],Таблица1[[#This Row],[Order-Year-Month]])</f>
        <v>1</v>
      </c>
    </row>
    <row r="6229" spans="1:26" x14ac:dyDescent="0.2">
      <c r="A6229" s="6">
        <v>7452</v>
      </c>
      <c r="B6229" s="7">
        <v>53153</v>
      </c>
      <c r="C6229" s="8">
        <f>DATE(2012,12,31)-1195</f>
        <v>40079</v>
      </c>
      <c r="D6229" s="8" t="str">
        <f t="shared" si="115"/>
        <v>2009-09 (сентябрь 2009)</v>
      </c>
      <c r="E6229" s="9" t="s">
        <v>78</v>
      </c>
      <c r="F6229" s="7">
        <v>29</v>
      </c>
      <c r="G6229" s="7">
        <v>575.36</v>
      </c>
      <c r="H6229" s="7">
        <v>0.1</v>
      </c>
      <c r="I6229" s="9" t="s">
        <v>22</v>
      </c>
      <c r="J6229" s="10">
        <v>84.05</v>
      </c>
      <c r="K6229" s="11">
        <v>20.27</v>
      </c>
      <c r="L6229" s="11">
        <v>3.99</v>
      </c>
      <c r="M6229" s="9" t="s">
        <v>1233</v>
      </c>
      <c r="N6229" s="6" t="s">
        <v>1905</v>
      </c>
      <c r="O6229" s="6" t="s">
        <v>673</v>
      </c>
      <c r="P6229" s="9" t="s">
        <v>41</v>
      </c>
      <c r="Q6229" s="9" t="s">
        <v>26</v>
      </c>
      <c r="R6229" s="9" t="s">
        <v>34</v>
      </c>
      <c r="S6229" s="7" t="s">
        <v>1763</v>
      </c>
      <c r="T6229" s="9" t="s">
        <v>39</v>
      </c>
      <c r="U6229" s="7">
        <v>0.56999999999999995</v>
      </c>
      <c r="V6229" s="12">
        <f>C6229+1</f>
        <v>40080</v>
      </c>
      <c r="W6229">
        <f>IF(D6229=' Pivot Tables'!$A$4,1,0)</f>
        <v>0</v>
      </c>
      <c r="X6229">
        <f>IF(AND(LEFT(D6229,4)+1=LEFT(' Pivot Tables'!$A$4,4)+0,RIGHT(LEFT(D6229,7),2)=RIGHT(LEFT(' Pivot Tables'!$A$4,7),2)),1,0)</f>
        <v>0</v>
      </c>
      <c r="Y6229" s="6">
        <f>1/COUNTIF(Таблица1[Order ID],Таблица1[[#This Row],[Order ID]])</f>
        <v>1</v>
      </c>
      <c r="Z6229" s="9">
        <f>1/COUNTIFS(Таблица1[Customer Name],Таблица1[[#This Row],[Customer Name]],Таблица1[Order-Year-Month],Таблица1[[#This Row],[Order-Year-Month]])</f>
        <v>0.5</v>
      </c>
    </row>
    <row r="6230" spans="1:26" x14ac:dyDescent="0.2">
      <c r="A6230" s="6">
        <v>7542</v>
      </c>
      <c r="B6230" s="7">
        <v>53895</v>
      </c>
      <c r="C6230" s="8">
        <f>DATE(2012,12,31)-484</f>
        <v>40790</v>
      </c>
      <c r="D6230" s="8" t="str">
        <f t="shared" si="115"/>
        <v>2011-09 (сентябрь 2011)</v>
      </c>
      <c r="E6230" s="9" t="s">
        <v>45</v>
      </c>
      <c r="F6230" s="7">
        <v>21</v>
      </c>
      <c r="G6230" s="7">
        <v>7922.69</v>
      </c>
      <c r="H6230" s="7">
        <v>0.1</v>
      </c>
      <c r="I6230" s="9" t="s">
        <v>22</v>
      </c>
      <c r="J6230" s="10">
        <v>1558.79</v>
      </c>
      <c r="K6230" s="11">
        <v>419.19</v>
      </c>
      <c r="L6230" s="11">
        <v>19.989999999999998</v>
      </c>
      <c r="M6230" s="9" t="s">
        <v>1991</v>
      </c>
      <c r="N6230" s="6" t="s">
        <v>1905</v>
      </c>
      <c r="O6230" s="6" t="s">
        <v>673</v>
      </c>
      <c r="P6230" s="9" t="s">
        <v>25</v>
      </c>
      <c r="Q6230" s="9" t="s">
        <v>26</v>
      </c>
      <c r="R6230" s="9" t="s">
        <v>27</v>
      </c>
      <c r="S6230" s="7" t="s">
        <v>1655</v>
      </c>
      <c r="T6230" s="9" t="s">
        <v>39</v>
      </c>
      <c r="U6230" s="7">
        <v>0.57999999999999996</v>
      </c>
      <c r="V6230" s="12">
        <f>C6230+2</f>
        <v>40792</v>
      </c>
      <c r="W6230">
        <f>IF(D6230=' Pivot Tables'!$A$4,1,0)</f>
        <v>0</v>
      </c>
      <c r="X6230">
        <f>IF(AND(LEFT(D6230,4)+1=LEFT(' Pivot Tables'!$A$4,4)+0,RIGHT(LEFT(D6230,7),2)=RIGHT(LEFT(' Pivot Tables'!$A$4,7),2)),1,0)</f>
        <v>0</v>
      </c>
      <c r="Y6230" s="6">
        <f>1/COUNTIF(Таблица1[Order ID],Таблица1[[#This Row],[Order ID]])</f>
        <v>1</v>
      </c>
      <c r="Z6230" s="9">
        <f>1/COUNTIFS(Таблица1[Customer Name],Таблица1[[#This Row],[Customer Name]],Таблица1[Order-Year-Month],Таблица1[[#This Row],[Order-Year-Month]])</f>
        <v>1</v>
      </c>
    </row>
    <row r="6231" spans="1:26" x14ac:dyDescent="0.2">
      <c r="A6231" s="6">
        <v>7615</v>
      </c>
      <c r="B6231" s="7">
        <v>54497</v>
      </c>
      <c r="C6231" s="8">
        <f>DATE(2012,12,31)-1077</f>
        <v>40197</v>
      </c>
      <c r="D6231" s="8" t="str">
        <f t="shared" si="115"/>
        <v>2010-01 (январь 2010)</v>
      </c>
      <c r="E6231" s="9" t="s">
        <v>45</v>
      </c>
      <c r="F6231" s="7">
        <v>1</v>
      </c>
      <c r="G6231" s="7">
        <v>155.51</v>
      </c>
      <c r="H6231" s="7">
        <v>7.0000000000000007E-2</v>
      </c>
      <c r="I6231" s="9" t="s">
        <v>22</v>
      </c>
      <c r="J6231" s="10">
        <v>-87.34</v>
      </c>
      <c r="K6231" s="11">
        <v>142.86000000000001</v>
      </c>
      <c r="L6231" s="11">
        <v>19.989999999999998</v>
      </c>
      <c r="M6231" s="9" t="s">
        <v>1810</v>
      </c>
      <c r="N6231" s="6" t="s">
        <v>1905</v>
      </c>
      <c r="O6231" s="6" t="s">
        <v>673</v>
      </c>
      <c r="P6231" s="9" t="s">
        <v>60</v>
      </c>
      <c r="Q6231" s="9" t="s">
        <v>26</v>
      </c>
      <c r="R6231" s="9" t="s">
        <v>27</v>
      </c>
      <c r="S6231" s="7" t="s">
        <v>887</v>
      </c>
      <c r="T6231" s="9" t="s">
        <v>39</v>
      </c>
      <c r="U6231" s="7">
        <v>0.56000000000000005</v>
      </c>
      <c r="V6231" s="12">
        <f>C6231+3</f>
        <v>40200</v>
      </c>
      <c r="W6231">
        <f>IF(D6231=' Pivot Tables'!$A$4,1,0)</f>
        <v>1</v>
      </c>
      <c r="X6231">
        <f>IF(AND(LEFT(D6231,4)+1=LEFT(' Pivot Tables'!$A$4,4)+0,RIGHT(LEFT(D6231,7),2)=RIGHT(LEFT(' Pivot Tables'!$A$4,7),2)),1,0)</f>
        <v>0</v>
      </c>
      <c r="Y6231" s="6">
        <f>1/COUNTIF(Таблица1[Order ID],Таблица1[[#This Row],[Order ID]])</f>
        <v>1</v>
      </c>
      <c r="Z6231" s="9">
        <f>1/COUNTIFS(Таблица1[Customer Name],Таблица1[[#This Row],[Customer Name]],Таблица1[Order-Year-Month],Таблица1[[#This Row],[Order-Year-Month]])</f>
        <v>1</v>
      </c>
    </row>
    <row r="6232" spans="1:26" x14ac:dyDescent="0.2">
      <c r="A6232" s="6">
        <v>7714</v>
      </c>
      <c r="B6232" s="7">
        <v>55296</v>
      </c>
      <c r="C6232" s="8">
        <f>DATE(2012,12,31)-74</f>
        <v>41200</v>
      </c>
      <c r="D6232" s="8" t="str">
        <f t="shared" si="115"/>
        <v>2012-10 (октябрь 2012)</v>
      </c>
      <c r="E6232" s="9" t="s">
        <v>21</v>
      </c>
      <c r="F6232" s="7">
        <v>32</v>
      </c>
      <c r="G6232" s="7">
        <v>317.06</v>
      </c>
      <c r="H6232" s="7">
        <v>0.05</v>
      </c>
      <c r="I6232" s="9" t="s">
        <v>22</v>
      </c>
      <c r="J6232" s="10">
        <v>105.47</v>
      </c>
      <c r="K6232" s="11">
        <v>10.06</v>
      </c>
      <c r="L6232" s="11">
        <v>2.06</v>
      </c>
      <c r="M6232" s="9" t="s">
        <v>1252</v>
      </c>
      <c r="N6232" s="6" t="s">
        <v>1905</v>
      </c>
      <c r="O6232" s="6" t="s">
        <v>673</v>
      </c>
      <c r="P6232" s="9" t="s">
        <v>41</v>
      </c>
      <c r="Q6232" s="9" t="s">
        <v>26</v>
      </c>
      <c r="R6232" s="9" t="s">
        <v>61</v>
      </c>
      <c r="S6232" s="7" t="s">
        <v>602</v>
      </c>
      <c r="T6232" s="9" t="s">
        <v>68</v>
      </c>
      <c r="U6232" s="7">
        <v>0.39</v>
      </c>
      <c r="V6232" s="12">
        <f>C6232+4</f>
        <v>41204</v>
      </c>
      <c r="W6232">
        <f>IF(D6232=' Pivot Tables'!$A$4,1,0)</f>
        <v>0</v>
      </c>
      <c r="X6232">
        <f>IF(AND(LEFT(D6232,4)+1=LEFT(' Pivot Tables'!$A$4,4)+0,RIGHT(LEFT(D6232,7),2)=RIGHT(LEFT(' Pivot Tables'!$A$4,7),2)),1,0)</f>
        <v>0</v>
      </c>
      <c r="Y6232" s="6">
        <f>1/COUNTIF(Таблица1[Order ID],Таблица1[[#This Row],[Order ID]])</f>
        <v>1</v>
      </c>
      <c r="Z6232" s="9">
        <f>1/COUNTIFS(Таблица1[Customer Name],Таблица1[[#This Row],[Customer Name]],Таблица1[Order-Year-Month],Таблица1[[#This Row],[Order-Year-Month]])</f>
        <v>1</v>
      </c>
    </row>
    <row r="6233" spans="1:26" x14ac:dyDescent="0.2">
      <c r="A6233" s="6">
        <v>7779</v>
      </c>
      <c r="B6233" s="7">
        <v>55654</v>
      </c>
      <c r="C6233" s="8">
        <f>DATE(2012,12,31)-834</f>
        <v>40440</v>
      </c>
      <c r="D6233" s="8" t="str">
        <f t="shared" si="115"/>
        <v>2010-09 (сентябрь 2010)</v>
      </c>
      <c r="E6233" s="9" t="s">
        <v>30</v>
      </c>
      <c r="F6233" s="7">
        <v>2</v>
      </c>
      <c r="G6233" s="7">
        <v>17.3</v>
      </c>
      <c r="H6233" s="7">
        <v>0.04</v>
      </c>
      <c r="I6233" s="9" t="s">
        <v>22</v>
      </c>
      <c r="J6233" s="10">
        <v>-7.49</v>
      </c>
      <c r="K6233" s="11">
        <v>6.98</v>
      </c>
      <c r="L6233" s="11">
        <v>2.83</v>
      </c>
      <c r="M6233" s="9" t="s">
        <v>1708</v>
      </c>
      <c r="N6233" s="6" t="s">
        <v>1905</v>
      </c>
      <c r="O6233" s="6" t="s">
        <v>673</v>
      </c>
      <c r="P6233" s="9" t="s">
        <v>60</v>
      </c>
      <c r="Q6233" s="9" t="s">
        <v>49</v>
      </c>
      <c r="R6233" s="9" t="s">
        <v>50</v>
      </c>
      <c r="S6233" s="7" t="s">
        <v>926</v>
      </c>
      <c r="T6233" s="9" t="s">
        <v>52</v>
      </c>
      <c r="U6233" s="7">
        <v>0.37</v>
      </c>
      <c r="V6233" s="12">
        <f>C6233+2</f>
        <v>40442</v>
      </c>
      <c r="W6233">
        <f>IF(D6233=' Pivot Tables'!$A$4,1,0)</f>
        <v>0</v>
      </c>
      <c r="X6233">
        <f>IF(AND(LEFT(D6233,4)+1=LEFT(' Pivot Tables'!$A$4,4)+0,RIGHT(LEFT(D6233,7),2)=RIGHT(LEFT(' Pivot Tables'!$A$4,7),2)),1,0)</f>
        <v>0</v>
      </c>
      <c r="Y6233" s="6">
        <f>1/COUNTIF(Таблица1[Order ID],Таблица1[[#This Row],[Order ID]])</f>
        <v>1</v>
      </c>
      <c r="Z6233" s="9">
        <f>1/COUNTIFS(Таблица1[Customer Name],Таблица1[[#This Row],[Customer Name]],Таблица1[Order-Year-Month],Таблица1[[#This Row],[Order-Year-Month]])</f>
        <v>1</v>
      </c>
    </row>
    <row r="6234" spans="1:26" x14ac:dyDescent="0.2">
      <c r="A6234" s="6">
        <v>7884</v>
      </c>
      <c r="B6234" s="7">
        <v>56387</v>
      </c>
      <c r="C6234" s="8">
        <f>DATE(2012,12,31)-591</f>
        <v>40683</v>
      </c>
      <c r="D6234" s="8" t="str">
        <f t="shared" si="115"/>
        <v>2011-05 (май 2011)</v>
      </c>
      <c r="E6234" s="9" t="s">
        <v>63</v>
      </c>
      <c r="F6234" s="7">
        <v>32</v>
      </c>
      <c r="G6234" s="7">
        <v>128.13999999999999</v>
      </c>
      <c r="H6234" s="7">
        <v>0.1</v>
      </c>
      <c r="I6234" s="9" t="s">
        <v>56</v>
      </c>
      <c r="J6234" s="10">
        <v>-163.57600000000002</v>
      </c>
      <c r="K6234" s="11">
        <v>3.89</v>
      </c>
      <c r="L6234" s="11">
        <v>7.01</v>
      </c>
      <c r="M6234" s="9" t="s">
        <v>1993</v>
      </c>
      <c r="N6234" s="6" t="s">
        <v>1905</v>
      </c>
      <c r="O6234" s="6" t="s">
        <v>673</v>
      </c>
      <c r="P6234" s="9" t="s">
        <v>25</v>
      </c>
      <c r="Q6234" s="9" t="s">
        <v>26</v>
      </c>
      <c r="R6234" s="9" t="s">
        <v>37</v>
      </c>
      <c r="S6234" s="7" t="s">
        <v>115</v>
      </c>
      <c r="T6234" s="9" t="s">
        <v>39</v>
      </c>
      <c r="U6234" s="7">
        <v>0.37</v>
      </c>
      <c r="V6234" s="12">
        <f>C6234+2</f>
        <v>40685</v>
      </c>
      <c r="W6234">
        <f>IF(D6234=' Pivot Tables'!$A$4,1,0)</f>
        <v>0</v>
      </c>
      <c r="X6234">
        <f>IF(AND(LEFT(D6234,4)+1=LEFT(' Pivot Tables'!$A$4,4)+0,RIGHT(LEFT(D6234,7),2)=RIGHT(LEFT(' Pivot Tables'!$A$4,7),2)),1,0)</f>
        <v>0</v>
      </c>
      <c r="Y6234" s="6">
        <f>1/COUNTIF(Таблица1[Order ID],Таблица1[[#This Row],[Order ID]])</f>
        <v>0.5</v>
      </c>
      <c r="Z6234" s="9">
        <f>1/COUNTIFS(Таблица1[Customer Name],Таблица1[[#This Row],[Customer Name]],Таблица1[Order-Year-Month],Таблица1[[#This Row],[Order-Year-Month]])</f>
        <v>0.5</v>
      </c>
    </row>
    <row r="6235" spans="1:26" x14ac:dyDescent="0.2">
      <c r="A6235" s="6">
        <v>7885</v>
      </c>
      <c r="B6235" s="7">
        <v>56387</v>
      </c>
      <c r="C6235" s="8">
        <f>DATE(2012,12,31)-591</f>
        <v>40683</v>
      </c>
      <c r="D6235" s="8" t="str">
        <f t="shared" si="115"/>
        <v>2011-05 (май 2011)</v>
      </c>
      <c r="E6235" s="9" t="s">
        <v>63</v>
      </c>
      <c r="F6235" s="7">
        <v>9</v>
      </c>
      <c r="G6235" s="7">
        <v>67.459999999999994</v>
      </c>
      <c r="H6235" s="7">
        <v>0.08</v>
      </c>
      <c r="I6235" s="9" t="s">
        <v>22</v>
      </c>
      <c r="J6235" s="10">
        <v>-57.53</v>
      </c>
      <c r="K6235" s="11">
        <v>6.48</v>
      </c>
      <c r="L6235" s="11">
        <v>10.050000000000001</v>
      </c>
      <c r="M6235" s="9" t="s">
        <v>1993</v>
      </c>
      <c r="N6235" s="6" t="s">
        <v>1905</v>
      </c>
      <c r="O6235" s="6" t="s">
        <v>673</v>
      </c>
      <c r="P6235" s="9" t="s">
        <v>25</v>
      </c>
      <c r="Q6235" s="9" t="s">
        <v>26</v>
      </c>
      <c r="R6235" s="9" t="s">
        <v>61</v>
      </c>
      <c r="S6235" s="7" t="s">
        <v>868</v>
      </c>
      <c r="T6235" s="9" t="s">
        <v>39</v>
      </c>
      <c r="U6235" s="7">
        <v>0.37</v>
      </c>
      <c r="V6235" s="12">
        <f>C6235+2</f>
        <v>40685</v>
      </c>
      <c r="W6235">
        <f>IF(D6235=' Pivot Tables'!$A$4,1,0)</f>
        <v>0</v>
      </c>
      <c r="X6235">
        <f>IF(AND(LEFT(D6235,4)+1=LEFT(' Pivot Tables'!$A$4,4)+0,RIGHT(LEFT(D6235,7),2)=RIGHT(LEFT(' Pivot Tables'!$A$4,7),2)),1,0)</f>
        <v>0</v>
      </c>
      <c r="Y6235" s="6">
        <f>1/COUNTIF(Таблица1[Order ID],Таблица1[[#This Row],[Order ID]])</f>
        <v>0.5</v>
      </c>
      <c r="Z6235" s="9">
        <f>1/COUNTIFS(Таблица1[Customer Name],Таблица1[[#This Row],[Customer Name]],Таблица1[Order-Year-Month],Таблица1[[#This Row],[Order-Year-Month]])</f>
        <v>0.5</v>
      </c>
    </row>
    <row r="6236" spans="1:26" x14ac:dyDescent="0.2">
      <c r="A6236" s="6">
        <v>7944</v>
      </c>
      <c r="B6236" s="7">
        <v>56743</v>
      </c>
      <c r="C6236" s="8">
        <f>DATE(2012,12,31)-558</f>
        <v>40716</v>
      </c>
      <c r="D6236" s="8" t="str">
        <f t="shared" si="115"/>
        <v>2011-06 (июнь 2011)</v>
      </c>
      <c r="E6236" s="9" t="s">
        <v>63</v>
      </c>
      <c r="F6236" s="7">
        <v>23</v>
      </c>
      <c r="G6236" s="7">
        <v>524.25</v>
      </c>
      <c r="H6236" s="7">
        <v>0.06</v>
      </c>
      <c r="I6236" s="9" t="s">
        <v>56</v>
      </c>
      <c r="J6236" s="10">
        <v>152.31</v>
      </c>
      <c r="K6236" s="11">
        <v>22.23</v>
      </c>
      <c r="L6236" s="11">
        <v>8.99</v>
      </c>
      <c r="M6236" s="9" t="s">
        <v>1989</v>
      </c>
      <c r="N6236" s="6" t="s">
        <v>1905</v>
      </c>
      <c r="O6236" s="6" t="s">
        <v>673</v>
      </c>
      <c r="P6236" s="9" t="s">
        <v>41</v>
      </c>
      <c r="Q6236" s="9" t="s">
        <v>49</v>
      </c>
      <c r="R6236" s="9" t="s">
        <v>50</v>
      </c>
      <c r="S6236" s="7" t="s">
        <v>960</v>
      </c>
      <c r="T6236" s="9" t="s">
        <v>52</v>
      </c>
      <c r="U6236" s="7">
        <v>0.41</v>
      </c>
      <c r="V6236" s="12">
        <f>C6236+3</f>
        <v>40719</v>
      </c>
      <c r="W6236">
        <f>IF(D6236=' Pivot Tables'!$A$4,1,0)</f>
        <v>0</v>
      </c>
      <c r="X6236">
        <f>IF(AND(LEFT(D6236,4)+1=LEFT(' Pivot Tables'!$A$4,4)+0,RIGHT(LEFT(D6236,7),2)=RIGHT(LEFT(' Pivot Tables'!$A$4,7),2)),1,0)</f>
        <v>0</v>
      </c>
      <c r="Y6236" s="6">
        <f>1/COUNTIF(Таблица1[Order ID],Таблица1[[#This Row],[Order ID]])</f>
        <v>1</v>
      </c>
      <c r="Z6236" s="9">
        <f>1/COUNTIFS(Таблица1[Customer Name],Таблица1[[#This Row],[Customer Name]],Таблица1[Order-Year-Month],Таблица1[[#This Row],[Order-Year-Month]])</f>
        <v>1</v>
      </c>
    </row>
    <row r="6237" spans="1:26" x14ac:dyDescent="0.2">
      <c r="A6237" s="6">
        <v>7952</v>
      </c>
      <c r="B6237" s="7">
        <v>56805</v>
      </c>
      <c r="C6237" s="8">
        <f>DATE(2012,12,31)-209</f>
        <v>41065</v>
      </c>
      <c r="D6237" s="8" t="str">
        <f t="shared" si="115"/>
        <v>2012-06 (июнь 2012)</v>
      </c>
      <c r="E6237" s="9" t="s">
        <v>30</v>
      </c>
      <c r="F6237" s="7">
        <v>38</v>
      </c>
      <c r="G6237" s="7">
        <v>14753.08</v>
      </c>
      <c r="H6237" s="7">
        <v>0.01</v>
      </c>
      <c r="I6237" s="9" t="s">
        <v>31</v>
      </c>
      <c r="J6237" s="10">
        <v>1085.9100000000001</v>
      </c>
      <c r="K6237" s="11">
        <v>370.98</v>
      </c>
      <c r="L6237" s="11">
        <v>99</v>
      </c>
      <c r="M6237" s="9" t="s">
        <v>1887</v>
      </c>
      <c r="N6237" s="6" t="s">
        <v>1905</v>
      </c>
      <c r="O6237" s="6" t="s">
        <v>673</v>
      </c>
      <c r="P6237" s="9" t="s">
        <v>25</v>
      </c>
      <c r="Q6237" s="9" t="s">
        <v>26</v>
      </c>
      <c r="R6237" s="9" t="s">
        <v>27</v>
      </c>
      <c r="S6237" s="7" t="s">
        <v>342</v>
      </c>
      <c r="T6237" s="9" t="s">
        <v>36</v>
      </c>
      <c r="U6237" s="7">
        <v>0.65</v>
      </c>
      <c r="V6237" s="12">
        <f>C6237+1</f>
        <v>41066</v>
      </c>
      <c r="W6237">
        <f>IF(D6237=' Pivot Tables'!$A$4,1,0)</f>
        <v>0</v>
      </c>
      <c r="X6237">
        <f>IF(AND(LEFT(D6237,4)+1=LEFT(' Pivot Tables'!$A$4,4)+0,RIGHT(LEFT(D6237,7),2)=RIGHT(LEFT(' Pivot Tables'!$A$4,7),2)),1,0)</f>
        <v>0</v>
      </c>
      <c r="Y6237" s="6">
        <f>1/COUNTIF(Таблица1[Order ID],Таблица1[[#This Row],[Order ID]])</f>
        <v>1</v>
      </c>
      <c r="Z6237" s="9">
        <f>1/COUNTIFS(Таблица1[Customer Name],Таблица1[[#This Row],[Customer Name]],Таблица1[Order-Year-Month],Таблица1[[#This Row],[Order-Year-Month]])</f>
        <v>1</v>
      </c>
    </row>
    <row r="6238" spans="1:26" x14ac:dyDescent="0.2">
      <c r="A6238" s="6">
        <v>7958</v>
      </c>
      <c r="B6238" s="7">
        <v>56838</v>
      </c>
      <c r="C6238" s="8">
        <f>DATE(2012,12,31)-521</f>
        <v>40753</v>
      </c>
      <c r="D6238" s="8" t="str">
        <f t="shared" si="115"/>
        <v>2011-07 (июль 2011)</v>
      </c>
      <c r="E6238" s="9" t="s">
        <v>78</v>
      </c>
      <c r="F6238" s="7">
        <v>44</v>
      </c>
      <c r="G6238" s="7">
        <v>4326.2700000000004</v>
      </c>
      <c r="H6238" s="7">
        <v>0.09</v>
      </c>
      <c r="I6238" s="9" t="s">
        <v>22</v>
      </c>
      <c r="J6238" s="10">
        <v>1728.2</v>
      </c>
      <c r="K6238" s="11">
        <v>100.98</v>
      </c>
      <c r="L6238" s="11">
        <v>7.18</v>
      </c>
      <c r="M6238" s="9" t="s">
        <v>1984</v>
      </c>
      <c r="N6238" s="6" t="s">
        <v>1905</v>
      </c>
      <c r="O6238" s="6" t="s">
        <v>673</v>
      </c>
      <c r="P6238" s="9" t="s">
        <v>41</v>
      </c>
      <c r="Q6238" s="9" t="s">
        <v>42</v>
      </c>
      <c r="R6238" s="9" t="s">
        <v>70</v>
      </c>
      <c r="S6238" s="7" t="s">
        <v>642</v>
      </c>
      <c r="T6238" s="9" t="s">
        <v>39</v>
      </c>
      <c r="U6238" s="7">
        <v>0.4</v>
      </c>
      <c r="V6238" s="12">
        <f>C6238+1</f>
        <v>40754</v>
      </c>
      <c r="W6238">
        <f>IF(D6238=' Pivot Tables'!$A$4,1,0)</f>
        <v>0</v>
      </c>
      <c r="X6238">
        <f>IF(AND(LEFT(D6238,4)+1=LEFT(' Pivot Tables'!$A$4,4)+0,RIGHT(LEFT(D6238,7),2)=RIGHT(LEFT(' Pivot Tables'!$A$4,7),2)),1,0)</f>
        <v>0</v>
      </c>
      <c r="Y6238" s="6">
        <f>1/COUNTIF(Таблица1[Order ID],Таблица1[[#This Row],[Order ID]])</f>
        <v>1</v>
      </c>
      <c r="Z6238" s="9">
        <f>1/COUNTIFS(Таблица1[Customer Name],Таблица1[[#This Row],[Customer Name]],Таблица1[Order-Year-Month],Таблица1[[#This Row],[Order-Year-Month]])</f>
        <v>0.5</v>
      </c>
    </row>
    <row r="6239" spans="1:26" x14ac:dyDescent="0.2">
      <c r="A6239" s="6">
        <v>7988</v>
      </c>
      <c r="B6239" s="7">
        <v>57095</v>
      </c>
      <c r="C6239" s="8">
        <f>DATE(2012,12,31)-649</f>
        <v>40625</v>
      </c>
      <c r="D6239" s="8" t="str">
        <f t="shared" si="115"/>
        <v>2011-03 (март 2011)</v>
      </c>
      <c r="E6239" s="9" t="s">
        <v>63</v>
      </c>
      <c r="F6239" s="7">
        <v>37</v>
      </c>
      <c r="G6239" s="7">
        <v>254.93</v>
      </c>
      <c r="H6239" s="7">
        <v>0.01</v>
      </c>
      <c r="I6239" s="9" t="s">
        <v>22</v>
      </c>
      <c r="J6239" s="10">
        <v>-62.881999999999998</v>
      </c>
      <c r="K6239" s="11">
        <v>6.81</v>
      </c>
      <c r="L6239" s="11">
        <v>5.48</v>
      </c>
      <c r="M6239" s="9" t="s">
        <v>1233</v>
      </c>
      <c r="N6239" s="6" t="s">
        <v>1905</v>
      </c>
      <c r="O6239" s="6" t="s">
        <v>673</v>
      </c>
      <c r="P6239" s="9" t="s">
        <v>41</v>
      </c>
      <c r="Q6239" s="9" t="s">
        <v>26</v>
      </c>
      <c r="R6239" s="9" t="s">
        <v>37</v>
      </c>
      <c r="S6239" s="7" t="s">
        <v>1319</v>
      </c>
      <c r="T6239" s="9" t="s">
        <v>39</v>
      </c>
      <c r="U6239" s="7">
        <v>0.37</v>
      </c>
      <c r="V6239" s="12">
        <f>C6239+3</f>
        <v>40628</v>
      </c>
      <c r="W6239">
        <f>IF(D6239=' Pivot Tables'!$A$4,1,0)</f>
        <v>0</v>
      </c>
      <c r="X6239">
        <f>IF(AND(LEFT(D6239,4)+1=LEFT(' Pivot Tables'!$A$4,4)+0,RIGHT(LEFT(D6239,7),2)=RIGHT(LEFT(' Pivot Tables'!$A$4,7),2)),1,0)</f>
        <v>0</v>
      </c>
      <c r="Y6239" s="6">
        <f>1/COUNTIF(Таблица1[Order ID],Таблица1[[#This Row],[Order ID]])</f>
        <v>1</v>
      </c>
      <c r="Z6239" s="9">
        <f>1/COUNTIFS(Таблица1[Customer Name],Таблица1[[#This Row],[Customer Name]],Таблица1[Order-Year-Month],Таблица1[[#This Row],[Order-Year-Month]])</f>
        <v>1</v>
      </c>
    </row>
    <row r="6240" spans="1:26" x14ac:dyDescent="0.2">
      <c r="A6240" s="6">
        <v>8019</v>
      </c>
      <c r="B6240" s="7">
        <v>57287</v>
      </c>
      <c r="C6240" s="8">
        <f>DATE(2012,12,31)-430</f>
        <v>40844</v>
      </c>
      <c r="D6240" s="8" t="str">
        <f t="shared" si="115"/>
        <v>2011-10 (октябрь 2011)</v>
      </c>
      <c r="E6240" s="9" t="s">
        <v>45</v>
      </c>
      <c r="F6240" s="7">
        <v>11</v>
      </c>
      <c r="G6240" s="7">
        <v>472.12</v>
      </c>
      <c r="H6240" s="7">
        <v>0.03</v>
      </c>
      <c r="I6240" s="9" t="s">
        <v>22</v>
      </c>
      <c r="J6240" s="10">
        <v>56.1</v>
      </c>
      <c r="K6240" s="11">
        <v>40.97</v>
      </c>
      <c r="L6240" s="11">
        <v>1.99</v>
      </c>
      <c r="M6240" s="9" t="s">
        <v>1988</v>
      </c>
      <c r="N6240" s="6" t="s">
        <v>1905</v>
      </c>
      <c r="O6240" s="6" t="s">
        <v>673</v>
      </c>
      <c r="P6240" s="9" t="s">
        <v>41</v>
      </c>
      <c r="Q6240" s="9" t="s">
        <v>42</v>
      </c>
      <c r="R6240" s="9" t="s">
        <v>70</v>
      </c>
      <c r="S6240" s="7" t="s">
        <v>1519</v>
      </c>
      <c r="T6240" s="9" t="s">
        <v>52</v>
      </c>
      <c r="U6240" s="7">
        <v>0.42</v>
      </c>
      <c r="V6240" s="12">
        <f>C6240+1</f>
        <v>40845</v>
      </c>
      <c r="W6240">
        <f>IF(D6240=' Pivot Tables'!$A$4,1,0)</f>
        <v>0</v>
      </c>
      <c r="X6240">
        <f>IF(AND(LEFT(D6240,4)+1=LEFT(' Pivot Tables'!$A$4,4)+0,RIGHT(LEFT(D6240,7),2)=RIGHT(LEFT(' Pivot Tables'!$A$4,7),2)),1,0)</f>
        <v>0</v>
      </c>
      <c r="Y6240" s="6">
        <f>1/COUNTIF(Таблица1[Order ID],Таблица1[[#This Row],[Order ID]])</f>
        <v>1</v>
      </c>
      <c r="Z6240" s="9">
        <f>1/COUNTIFS(Таблица1[Customer Name],Таблица1[[#This Row],[Customer Name]],Таблица1[Order-Year-Month],Таблица1[[#This Row],[Order-Year-Month]])</f>
        <v>1</v>
      </c>
    </row>
    <row r="6241" spans="1:26" x14ac:dyDescent="0.2">
      <c r="A6241" s="6">
        <v>8118</v>
      </c>
      <c r="B6241" s="7">
        <v>57984</v>
      </c>
      <c r="C6241" s="8">
        <f>DATE(2012,12,31)-821</f>
        <v>40453</v>
      </c>
      <c r="D6241" s="8" t="str">
        <f t="shared" si="115"/>
        <v>2010-10 (октябрь 2010)</v>
      </c>
      <c r="E6241" s="9" t="s">
        <v>30</v>
      </c>
      <c r="F6241" s="7">
        <v>6</v>
      </c>
      <c r="G6241" s="7">
        <v>192.99</v>
      </c>
      <c r="H6241" s="7">
        <v>7.0000000000000007E-2</v>
      </c>
      <c r="I6241" s="9" t="s">
        <v>56</v>
      </c>
      <c r="J6241" s="10">
        <v>-123.37</v>
      </c>
      <c r="K6241" s="11">
        <v>30.97</v>
      </c>
      <c r="L6241" s="11">
        <v>4</v>
      </c>
      <c r="M6241" s="9" t="s">
        <v>1708</v>
      </c>
      <c r="N6241" s="6" t="s">
        <v>1905</v>
      </c>
      <c r="O6241" s="6" t="s">
        <v>673</v>
      </c>
      <c r="P6241" s="9" t="s">
        <v>60</v>
      </c>
      <c r="Q6241" s="9" t="s">
        <v>42</v>
      </c>
      <c r="R6241" s="9" t="s">
        <v>70</v>
      </c>
      <c r="S6241" s="7" t="s">
        <v>942</v>
      </c>
      <c r="T6241" s="9" t="s">
        <v>39</v>
      </c>
      <c r="U6241" s="7">
        <v>0.74</v>
      </c>
      <c r="V6241" s="12">
        <f>C6241+1</f>
        <v>40454</v>
      </c>
      <c r="W6241">
        <f>IF(D6241=' Pivot Tables'!$A$4,1,0)</f>
        <v>0</v>
      </c>
      <c r="X6241">
        <f>IF(AND(LEFT(D6241,4)+1=LEFT(' Pivot Tables'!$A$4,4)+0,RIGHT(LEFT(D6241,7),2)=RIGHT(LEFT(' Pivot Tables'!$A$4,7),2)),1,0)</f>
        <v>0</v>
      </c>
      <c r="Y6241" s="6">
        <f>1/COUNTIF(Таблица1[Order ID],Таблица1[[#This Row],[Order ID]])</f>
        <v>0.5</v>
      </c>
      <c r="Z6241" s="9">
        <f>1/COUNTIFS(Таблица1[Customer Name],Таблица1[[#This Row],[Customer Name]],Таблица1[Order-Year-Month],Таблица1[[#This Row],[Order-Year-Month]])</f>
        <v>0.5</v>
      </c>
    </row>
    <row r="6242" spans="1:26" x14ac:dyDescent="0.2">
      <c r="A6242" s="6">
        <v>8119</v>
      </c>
      <c r="B6242" s="7">
        <v>57984</v>
      </c>
      <c r="C6242" s="8">
        <f>DATE(2012,12,31)-821</f>
        <v>40453</v>
      </c>
      <c r="D6242" s="8" t="str">
        <f t="shared" si="115"/>
        <v>2010-10 (октябрь 2010)</v>
      </c>
      <c r="E6242" s="9" t="s">
        <v>30</v>
      </c>
      <c r="F6242" s="7">
        <v>20</v>
      </c>
      <c r="G6242" s="7">
        <v>11829.4</v>
      </c>
      <c r="H6242" s="7">
        <v>7.0000000000000007E-2</v>
      </c>
      <c r="I6242" s="9" t="s">
        <v>22</v>
      </c>
      <c r="J6242" s="10">
        <v>3899.72</v>
      </c>
      <c r="K6242" s="11">
        <v>599.99</v>
      </c>
      <c r="L6242" s="11">
        <v>24.49</v>
      </c>
      <c r="M6242" s="9" t="s">
        <v>1708</v>
      </c>
      <c r="N6242" s="6" t="s">
        <v>1905</v>
      </c>
      <c r="O6242" s="6" t="s">
        <v>673</v>
      </c>
      <c r="P6242" s="9" t="s">
        <v>60</v>
      </c>
      <c r="Q6242" s="9" t="s">
        <v>42</v>
      </c>
      <c r="R6242" s="9" t="s">
        <v>99</v>
      </c>
      <c r="S6242" s="7" t="s">
        <v>1004</v>
      </c>
      <c r="T6242" s="9" t="s">
        <v>29</v>
      </c>
      <c r="U6242" s="7">
        <v>0.37</v>
      </c>
      <c r="V6242" s="12">
        <f>C6242+2</f>
        <v>40455</v>
      </c>
      <c r="W6242">
        <f>IF(D6242=' Pivot Tables'!$A$4,1,0)</f>
        <v>0</v>
      </c>
      <c r="X6242">
        <f>IF(AND(LEFT(D6242,4)+1=LEFT(' Pivot Tables'!$A$4,4)+0,RIGHT(LEFT(D6242,7),2)=RIGHT(LEFT(' Pivot Tables'!$A$4,7),2)),1,0)</f>
        <v>0</v>
      </c>
      <c r="Y6242" s="6">
        <f>1/COUNTIF(Таблица1[Order ID],Таблица1[[#This Row],[Order ID]])</f>
        <v>0.5</v>
      </c>
      <c r="Z6242" s="9">
        <f>1/COUNTIFS(Таблица1[Customer Name],Таблица1[[#This Row],[Customer Name]],Таблица1[Order-Year-Month],Таблица1[[#This Row],[Order-Year-Month]])</f>
        <v>0.5</v>
      </c>
    </row>
    <row r="6243" spans="1:26" x14ac:dyDescent="0.2">
      <c r="A6243" s="6">
        <v>8289</v>
      </c>
      <c r="B6243" s="7">
        <v>59207</v>
      </c>
      <c r="C6243" s="8">
        <f>DATE(2012,12,31)-1323</f>
        <v>39951</v>
      </c>
      <c r="D6243" s="8" t="str">
        <f t="shared" si="115"/>
        <v>2009-05 (май 2009)</v>
      </c>
      <c r="E6243" s="9" t="s">
        <v>78</v>
      </c>
      <c r="F6243" s="7">
        <v>3</v>
      </c>
      <c r="G6243" s="7">
        <v>10.119999999999999</v>
      </c>
      <c r="H6243" s="7">
        <v>0.09</v>
      </c>
      <c r="I6243" s="9" t="s">
        <v>22</v>
      </c>
      <c r="J6243" s="10">
        <v>-4.07</v>
      </c>
      <c r="K6243" s="11">
        <v>2.98</v>
      </c>
      <c r="L6243" s="11">
        <v>1.58</v>
      </c>
      <c r="M6243" s="9" t="s">
        <v>1984</v>
      </c>
      <c r="N6243" s="6" t="s">
        <v>1905</v>
      </c>
      <c r="O6243" s="6" t="s">
        <v>673</v>
      </c>
      <c r="P6243" s="9" t="s">
        <v>41</v>
      </c>
      <c r="Q6243" s="9" t="s">
        <v>26</v>
      </c>
      <c r="R6243" s="9" t="s">
        <v>66</v>
      </c>
      <c r="S6243" s="7" t="s">
        <v>1310</v>
      </c>
      <c r="T6243" s="9" t="s">
        <v>68</v>
      </c>
      <c r="U6243" s="7">
        <v>0.39</v>
      </c>
      <c r="V6243" s="12">
        <f>C6243+1</f>
        <v>39952</v>
      </c>
      <c r="W6243">
        <f>IF(D6243=' Pivot Tables'!$A$4,1,0)</f>
        <v>0</v>
      </c>
      <c r="X6243">
        <f>IF(AND(LEFT(D6243,4)+1=LEFT(' Pivot Tables'!$A$4,4)+0,RIGHT(LEFT(D6243,7),2)=RIGHT(LEFT(' Pivot Tables'!$A$4,7),2)),1,0)</f>
        <v>0</v>
      </c>
      <c r="Y6243" s="6">
        <f>1/COUNTIF(Таблица1[Order ID],Таблица1[[#This Row],[Order ID]])</f>
        <v>0.5</v>
      </c>
      <c r="Z6243" s="9">
        <f>1/COUNTIFS(Таблица1[Customer Name],Таблица1[[#This Row],[Customer Name]],Таблица1[Order-Year-Month],Таблица1[[#This Row],[Order-Year-Month]])</f>
        <v>1</v>
      </c>
    </row>
    <row r="6244" spans="1:26" x14ac:dyDescent="0.2">
      <c r="A6244" s="6">
        <v>8296</v>
      </c>
      <c r="B6244" s="7">
        <v>59238</v>
      </c>
      <c r="C6244" s="8">
        <f>DATE(2012,12,31)-1199</f>
        <v>40075</v>
      </c>
      <c r="D6244" s="8" t="str">
        <f t="shared" si="115"/>
        <v>2009-09 (сентябрь 2009)</v>
      </c>
      <c r="E6244" s="9" t="s">
        <v>30</v>
      </c>
      <c r="F6244" s="7">
        <v>11</v>
      </c>
      <c r="G6244" s="7">
        <v>455.88</v>
      </c>
      <c r="H6244" s="7">
        <v>0.03</v>
      </c>
      <c r="I6244" s="9" t="s">
        <v>56</v>
      </c>
      <c r="J6244" s="10">
        <v>9.1500000000000057</v>
      </c>
      <c r="K6244" s="11">
        <v>40.97</v>
      </c>
      <c r="L6244" s="11">
        <v>8.99</v>
      </c>
      <c r="M6244" s="9" t="s">
        <v>1233</v>
      </c>
      <c r="N6244" s="6" t="s">
        <v>1905</v>
      </c>
      <c r="O6244" s="6" t="s">
        <v>673</v>
      </c>
      <c r="P6244" s="9" t="s">
        <v>41</v>
      </c>
      <c r="Q6244" s="9" t="s">
        <v>26</v>
      </c>
      <c r="R6244" s="9" t="s">
        <v>95</v>
      </c>
      <c r="S6244" s="7" t="s">
        <v>777</v>
      </c>
      <c r="T6244" s="9" t="s">
        <v>52</v>
      </c>
      <c r="U6244" s="7">
        <v>0.59</v>
      </c>
      <c r="V6244" s="12">
        <f>C6244+1</f>
        <v>40076</v>
      </c>
      <c r="W6244">
        <f>IF(D6244=' Pivot Tables'!$A$4,1,0)</f>
        <v>0</v>
      </c>
      <c r="X6244">
        <f>IF(AND(LEFT(D6244,4)+1=LEFT(' Pivot Tables'!$A$4,4)+0,RIGHT(LEFT(D6244,7),2)=RIGHT(LEFT(' Pivot Tables'!$A$4,7),2)),1,0)</f>
        <v>0</v>
      </c>
      <c r="Y6244" s="6">
        <f>1/COUNTIF(Таблица1[Order ID],Таблица1[[#This Row],[Order ID]])</f>
        <v>1</v>
      </c>
      <c r="Z6244" s="9">
        <f>1/COUNTIFS(Таблица1[Customer Name],Таблица1[[#This Row],[Customer Name]],Таблица1[Order-Year-Month],Таблица1[[#This Row],[Order-Year-Month]])</f>
        <v>0.5</v>
      </c>
    </row>
    <row r="6245" spans="1:26" x14ac:dyDescent="0.2">
      <c r="A6245" s="6">
        <v>8315</v>
      </c>
      <c r="B6245" s="7">
        <v>59396</v>
      </c>
      <c r="C6245" s="8">
        <f>DATE(2012,12,31)-1143</f>
        <v>40131</v>
      </c>
      <c r="D6245" s="8" t="str">
        <f t="shared" si="115"/>
        <v>2009-11 (ноябрь 2009)</v>
      </c>
      <c r="E6245" s="9" t="s">
        <v>78</v>
      </c>
      <c r="F6245" s="7">
        <v>41</v>
      </c>
      <c r="G6245" s="7">
        <v>5930.34</v>
      </c>
      <c r="H6245" s="7">
        <v>7.0000000000000007E-2</v>
      </c>
      <c r="I6245" s="9" t="s">
        <v>22</v>
      </c>
      <c r="J6245" s="10">
        <v>427.68</v>
      </c>
      <c r="K6245" s="11">
        <v>152.47999999999999</v>
      </c>
      <c r="L6245" s="11">
        <v>6.5</v>
      </c>
      <c r="M6245" s="9" t="s">
        <v>1993</v>
      </c>
      <c r="N6245" s="6" t="s">
        <v>1905</v>
      </c>
      <c r="O6245" s="6" t="s">
        <v>673</v>
      </c>
      <c r="P6245" s="9" t="s">
        <v>25</v>
      </c>
      <c r="Q6245" s="9" t="s">
        <v>42</v>
      </c>
      <c r="R6245" s="9" t="s">
        <v>70</v>
      </c>
      <c r="S6245" s="7" t="s">
        <v>844</v>
      </c>
      <c r="T6245" s="9" t="s">
        <v>39</v>
      </c>
      <c r="U6245" s="7">
        <v>0.74</v>
      </c>
      <c r="V6245" s="12">
        <f>C6245+2</f>
        <v>40133</v>
      </c>
      <c r="W6245">
        <f>IF(D6245=' Pivot Tables'!$A$4,1,0)</f>
        <v>0</v>
      </c>
      <c r="X6245">
        <f>IF(AND(LEFT(D6245,4)+1=LEFT(' Pivot Tables'!$A$4,4)+0,RIGHT(LEFT(D6245,7),2)=RIGHT(LEFT(' Pivot Tables'!$A$4,7),2)),1,0)</f>
        <v>0</v>
      </c>
      <c r="Y6245" s="6">
        <f>1/COUNTIF(Таблица1[Order ID],Таблица1[[#This Row],[Order ID]])</f>
        <v>1</v>
      </c>
      <c r="Z6245" s="9">
        <f>1/COUNTIFS(Таблица1[Customer Name],Таблица1[[#This Row],[Customer Name]],Таблица1[Order-Year-Month],Таблица1[[#This Row],[Order-Year-Month]])</f>
        <v>1</v>
      </c>
    </row>
    <row r="6246" spans="1:26" x14ac:dyDescent="0.2">
      <c r="A6246" s="6">
        <v>8388</v>
      </c>
      <c r="B6246" s="7">
        <v>59911</v>
      </c>
      <c r="C6246" s="8">
        <f>DATE(2012,12,31)-379</f>
        <v>40895</v>
      </c>
      <c r="D6246" s="8" t="str">
        <f t="shared" si="115"/>
        <v>2011-12 (декабрь 2011)</v>
      </c>
      <c r="E6246" s="9" t="s">
        <v>45</v>
      </c>
      <c r="F6246" s="7">
        <v>1</v>
      </c>
      <c r="G6246" s="7">
        <v>10.59</v>
      </c>
      <c r="H6246" s="7">
        <v>0.1</v>
      </c>
      <c r="I6246" s="9" t="s">
        <v>22</v>
      </c>
      <c r="J6246" s="10">
        <v>-4.3099999999999996</v>
      </c>
      <c r="K6246" s="11">
        <v>9.11</v>
      </c>
      <c r="L6246" s="11">
        <v>2.15</v>
      </c>
      <c r="M6246" s="9" t="s">
        <v>1989</v>
      </c>
      <c r="N6246" s="6" t="s">
        <v>1905</v>
      </c>
      <c r="O6246" s="6" t="s">
        <v>673</v>
      </c>
      <c r="P6246" s="9" t="s">
        <v>41</v>
      </c>
      <c r="Q6246" s="9" t="s">
        <v>26</v>
      </c>
      <c r="R6246" s="9" t="s">
        <v>61</v>
      </c>
      <c r="S6246" s="7" t="s">
        <v>1402</v>
      </c>
      <c r="T6246" s="9" t="s">
        <v>68</v>
      </c>
      <c r="U6246" s="7">
        <v>0.4</v>
      </c>
      <c r="V6246" s="12">
        <f>C6246+1</f>
        <v>40896</v>
      </c>
      <c r="W6246">
        <f>IF(D6246=' Pivot Tables'!$A$4,1,0)</f>
        <v>0</v>
      </c>
      <c r="X6246">
        <f>IF(AND(LEFT(D6246,4)+1=LEFT(' Pivot Tables'!$A$4,4)+0,RIGHT(LEFT(D6246,7),2)=RIGHT(LEFT(' Pivot Tables'!$A$4,7),2)),1,0)</f>
        <v>0</v>
      </c>
      <c r="Y6246" s="6">
        <f>1/COUNTIF(Таблица1[Order ID],Таблица1[[#This Row],[Order ID]])</f>
        <v>1</v>
      </c>
      <c r="Z6246" s="9">
        <f>1/COUNTIFS(Таблица1[Customer Name],Таблица1[[#This Row],[Customer Name]],Таблица1[Order-Year-Month],Таблица1[[#This Row],[Order-Year-Month]])</f>
        <v>1</v>
      </c>
    </row>
    <row r="6247" spans="1:26" x14ac:dyDescent="0.2">
      <c r="A6247" s="6">
        <v>147</v>
      </c>
      <c r="B6247" s="7">
        <v>930</v>
      </c>
      <c r="C6247" s="8">
        <f>DATE(2012,12,31)-1111</f>
        <v>40163</v>
      </c>
      <c r="D6247" s="8" t="str">
        <f t="shared" si="115"/>
        <v>2009-12 (декабрь 2009)</v>
      </c>
      <c r="E6247" s="9" t="s">
        <v>78</v>
      </c>
      <c r="F6247" s="7">
        <v>22</v>
      </c>
      <c r="G6247" s="7">
        <v>922.39</v>
      </c>
      <c r="H6247" s="7">
        <v>0.03</v>
      </c>
      <c r="I6247" s="9" t="s">
        <v>56</v>
      </c>
      <c r="J6247" s="10">
        <v>-41.64</v>
      </c>
      <c r="K6247" s="11">
        <v>41.32</v>
      </c>
      <c r="L6247" s="11">
        <v>58.66</v>
      </c>
      <c r="M6247" s="9" t="s">
        <v>1998</v>
      </c>
      <c r="N6247" s="6" t="s">
        <v>1813</v>
      </c>
      <c r="O6247" s="6" t="s">
        <v>512</v>
      </c>
      <c r="P6247" s="9" t="s">
        <v>25</v>
      </c>
      <c r="Q6247" s="9" t="s">
        <v>49</v>
      </c>
      <c r="R6247" s="9" t="s">
        <v>50</v>
      </c>
      <c r="S6247" s="7" t="s">
        <v>639</v>
      </c>
      <c r="T6247" s="9" t="s">
        <v>48</v>
      </c>
      <c r="U6247" s="7">
        <v>0.76</v>
      </c>
      <c r="V6247" s="12">
        <f>C6247+1</f>
        <v>40164</v>
      </c>
      <c r="W6247">
        <f>IF(D6247=' Pivot Tables'!$A$4,1,0)</f>
        <v>0</v>
      </c>
      <c r="X6247">
        <f>IF(AND(LEFT(D6247,4)+1=LEFT(' Pivot Tables'!$A$4,4)+0,RIGHT(LEFT(D6247,7),2)=RIGHT(LEFT(' Pivot Tables'!$A$4,7),2)),1,0)</f>
        <v>0</v>
      </c>
      <c r="Y6247" s="6">
        <f>1/COUNTIF(Таблица1[Order ID],Таблица1[[#This Row],[Order ID]])</f>
        <v>0.5</v>
      </c>
      <c r="Z6247" s="9">
        <f>1/COUNTIFS(Таблица1[Customer Name],Таблица1[[#This Row],[Customer Name]],Таблица1[Order-Year-Month],Таблица1[[#This Row],[Order-Year-Month]])</f>
        <v>0.5</v>
      </c>
    </row>
    <row r="6248" spans="1:26" x14ac:dyDescent="0.2">
      <c r="A6248" s="6">
        <v>148</v>
      </c>
      <c r="B6248" s="7">
        <v>930</v>
      </c>
      <c r="C6248" s="8">
        <f>DATE(2012,12,31)-1111</f>
        <v>40163</v>
      </c>
      <c r="D6248" s="8" t="str">
        <f t="shared" si="115"/>
        <v>2009-12 (декабрь 2009)</v>
      </c>
      <c r="E6248" s="9" t="s">
        <v>78</v>
      </c>
      <c r="F6248" s="7">
        <v>11</v>
      </c>
      <c r="G6248" s="7">
        <v>79.19</v>
      </c>
      <c r="H6248" s="7">
        <v>0</v>
      </c>
      <c r="I6248" s="9" t="s">
        <v>22</v>
      </c>
      <c r="J6248" s="10">
        <v>13.91</v>
      </c>
      <c r="K6248" s="11">
        <v>6.88</v>
      </c>
      <c r="L6248" s="11">
        <v>2</v>
      </c>
      <c r="M6248" s="9" t="s">
        <v>1998</v>
      </c>
      <c r="N6248" s="6" t="s">
        <v>1813</v>
      </c>
      <c r="O6248" s="6" t="s">
        <v>512</v>
      </c>
      <c r="P6248" s="9" t="s">
        <v>25</v>
      </c>
      <c r="Q6248" s="9" t="s">
        <v>26</v>
      </c>
      <c r="R6248" s="9" t="s">
        <v>61</v>
      </c>
      <c r="S6248" s="7" t="s">
        <v>1063</v>
      </c>
      <c r="T6248" s="9" t="s">
        <v>68</v>
      </c>
      <c r="U6248" s="7">
        <v>0.39</v>
      </c>
      <c r="V6248" s="12">
        <f>C6248+0</f>
        <v>40163</v>
      </c>
      <c r="W6248">
        <f>IF(D6248=' Pivot Tables'!$A$4,1,0)</f>
        <v>0</v>
      </c>
      <c r="X6248">
        <f>IF(AND(LEFT(D6248,4)+1=LEFT(' Pivot Tables'!$A$4,4)+0,RIGHT(LEFT(D6248,7),2)=RIGHT(LEFT(' Pivot Tables'!$A$4,7),2)),1,0)</f>
        <v>0</v>
      </c>
      <c r="Y6248" s="6">
        <f>1/COUNTIF(Таблица1[Order ID],Таблица1[[#This Row],[Order ID]])</f>
        <v>0.5</v>
      </c>
      <c r="Z6248" s="9">
        <f>1/COUNTIFS(Таблица1[Customer Name],Таблица1[[#This Row],[Customer Name]],Таблица1[Order-Year-Month],Таблица1[[#This Row],[Order-Year-Month]])</f>
        <v>0.5</v>
      </c>
    </row>
    <row r="6249" spans="1:26" x14ac:dyDescent="0.2">
      <c r="A6249" s="6">
        <v>168</v>
      </c>
      <c r="B6249" s="7">
        <v>1058</v>
      </c>
      <c r="C6249" s="8">
        <f>DATE(2012,12,31)-981</f>
        <v>40293</v>
      </c>
      <c r="D6249" s="8" t="str">
        <f t="shared" si="115"/>
        <v>2010-04 (апрель 2010)</v>
      </c>
      <c r="E6249" s="9" t="s">
        <v>63</v>
      </c>
      <c r="F6249" s="7">
        <v>3</v>
      </c>
      <c r="G6249" s="7">
        <v>469.43799999999999</v>
      </c>
      <c r="H6249" s="7">
        <v>7.0000000000000007E-2</v>
      </c>
      <c r="I6249" s="9" t="s">
        <v>22</v>
      </c>
      <c r="J6249" s="10">
        <v>-888.16199999999992</v>
      </c>
      <c r="K6249" s="11">
        <v>195.99</v>
      </c>
      <c r="L6249" s="11">
        <v>8.99</v>
      </c>
      <c r="M6249" s="9" t="s">
        <v>1999</v>
      </c>
      <c r="N6249" s="6" t="s">
        <v>1813</v>
      </c>
      <c r="O6249" s="6" t="s">
        <v>512</v>
      </c>
      <c r="P6249" s="9" t="s">
        <v>25</v>
      </c>
      <c r="Q6249" s="9" t="s">
        <v>42</v>
      </c>
      <c r="R6249" s="9" t="s">
        <v>43</v>
      </c>
      <c r="S6249" s="7" t="s">
        <v>670</v>
      </c>
      <c r="T6249" s="9" t="s">
        <v>39</v>
      </c>
      <c r="U6249" s="7">
        <v>0.6</v>
      </c>
      <c r="V6249" s="12">
        <f>C6249+1</f>
        <v>40294</v>
      </c>
      <c r="W6249">
        <f>IF(D6249=' Pivot Tables'!$A$4,1,0)</f>
        <v>0</v>
      </c>
      <c r="X6249">
        <f>IF(AND(LEFT(D6249,4)+1=LEFT(' Pivot Tables'!$A$4,4)+0,RIGHT(LEFT(D6249,7),2)=RIGHT(LEFT(' Pivot Tables'!$A$4,7),2)),1,0)</f>
        <v>0</v>
      </c>
      <c r="Y6249" s="6">
        <f>1/COUNTIF(Таблица1[Order ID],Таблица1[[#This Row],[Order ID]])</f>
        <v>1</v>
      </c>
      <c r="Z6249" s="9">
        <f>1/COUNTIFS(Таблица1[Customer Name],Таблица1[[#This Row],[Customer Name]],Таблица1[Order-Year-Month],Таблица1[[#This Row],[Order-Year-Month]])</f>
        <v>1</v>
      </c>
    </row>
    <row r="6250" spans="1:26" x14ac:dyDescent="0.2">
      <c r="A6250" s="6">
        <v>172</v>
      </c>
      <c r="B6250" s="7">
        <v>1088</v>
      </c>
      <c r="C6250" s="8">
        <f>DATE(2012,12,31)-225</f>
        <v>41049</v>
      </c>
      <c r="D6250" s="8" t="str">
        <f t="shared" si="115"/>
        <v>2012-05 (май 2012)</v>
      </c>
      <c r="E6250" s="9" t="s">
        <v>21</v>
      </c>
      <c r="F6250" s="7">
        <v>13</v>
      </c>
      <c r="G6250" s="7">
        <v>269.02</v>
      </c>
      <c r="H6250" s="7">
        <v>0.1</v>
      </c>
      <c r="I6250" s="9" t="s">
        <v>22</v>
      </c>
      <c r="J6250" s="10">
        <v>-112</v>
      </c>
      <c r="K6250" s="11">
        <v>20.97</v>
      </c>
      <c r="L6250" s="11">
        <v>6.5</v>
      </c>
      <c r="M6250" s="9" t="s">
        <v>1500</v>
      </c>
      <c r="N6250" s="6" t="s">
        <v>1813</v>
      </c>
      <c r="O6250" s="6" t="s">
        <v>512</v>
      </c>
      <c r="P6250" s="9" t="s">
        <v>33</v>
      </c>
      <c r="Q6250" s="9" t="s">
        <v>42</v>
      </c>
      <c r="R6250" s="9" t="s">
        <v>70</v>
      </c>
      <c r="S6250" s="7" t="s">
        <v>262</v>
      </c>
      <c r="T6250" s="9" t="s">
        <v>39</v>
      </c>
      <c r="U6250" s="7">
        <v>0.78</v>
      </c>
      <c r="V6250" s="12">
        <f>C6250+7</f>
        <v>41056</v>
      </c>
      <c r="W6250">
        <f>IF(D6250=' Pivot Tables'!$A$4,1,0)</f>
        <v>0</v>
      </c>
      <c r="X6250">
        <f>IF(AND(LEFT(D6250,4)+1=LEFT(' Pivot Tables'!$A$4,4)+0,RIGHT(LEFT(D6250,7),2)=RIGHT(LEFT(' Pivot Tables'!$A$4,7),2)),1,0)</f>
        <v>0</v>
      </c>
      <c r="Y6250" s="6">
        <f>1/COUNTIF(Таблица1[Order ID],Таблица1[[#This Row],[Order ID]])</f>
        <v>1</v>
      </c>
      <c r="Z6250" s="9">
        <f>1/COUNTIFS(Таблица1[Customer Name],Таблица1[[#This Row],[Customer Name]],Таблица1[Order-Year-Month],Таблица1[[#This Row],[Order-Year-Month]])</f>
        <v>1</v>
      </c>
    </row>
    <row r="6251" spans="1:26" x14ac:dyDescent="0.2">
      <c r="A6251" s="6">
        <v>225</v>
      </c>
      <c r="B6251" s="7">
        <v>1504</v>
      </c>
      <c r="C6251" s="8">
        <f>DATE(2012,12,31)-126</f>
        <v>41148</v>
      </c>
      <c r="D6251" s="8" t="str">
        <f t="shared" si="115"/>
        <v>2012-08 (август 2012)</v>
      </c>
      <c r="E6251" s="9" t="s">
        <v>63</v>
      </c>
      <c r="F6251" s="7">
        <v>31</v>
      </c>
      <c r="G6251" s="7">
        <v>293.18</v>
      </c>
      <c r="H6251" s="7">
        <v>0.08</v>
      </c>
      <c r="I6251" s="9" t="s">
        <v>22</v>
      </c>
      <c r="J6251" s="10">
        <v>64.22</v>
      </c>
      <c r="K6251" s="11">
        <v>10.01</v>
      </c>
      <c r="L6251" s="11">
        <v>1.99</v>
      </c>
      <c r="M6251" s="9" t="s">
        <v>1897</v>
      </c>
      <c r="N6251" s="6" t="s">
        <v>1813</v>
      </c>
      <c r="O6251" s="6" t="s">
        <v>512</v>
      </c>
      <c r="P6251" s="9" t="s">
        <v>41</v>
      </c>
      <c r="Q6251" s="9" t="s">
        <v>42</v>
      </c>
      <c r="R6251" s="9" t="s">
        <v>70</v>
      </c>
      <c r="S6251" s="7" t="s">
        <v>444</v>
      </c>
      <c r="T6251" s="9" t="s">
        <v>52</v>
      </c>
      <c r="U6251" s="7">
        <v>0.41</v>
      </c>
      <c r="V6251" s="12">
        <f>C6251+1</f>
        <v>41149</v>
      </c>
      <c r="W6251">
        <f>IF(D6251=' Pivot Tables'!$A$4,1,0)</f>
        <v>0</v>
      </c>
      <c r="X6251">
        <f>IF(AND(LEFT(D6251,4)+1=LEFT(' Pivot Tables'!$A$4,4)+0,RIGHT(LEFT(D6251,7),2)=RIGHT(LEFT(' Pivot Tables'!$A$4,7),2)),1,0)</f>
        <v>0</v>
      </c>
      <c r="Y6251" s="6">
        <f>1/COUNTIF(Таблица1[Order ID],Таблица1[[#This Row],[Order ID]])</f>
        <v>1</v>
      </c>
      <c r="Z6251" s="9">
        <f>1/COUNTIFS(Таблица1[Customer Name],Таблица1[[#This Row],[Customer Name]],Таблица1[Order-Year-Month],Таблица1[[#This Row],[Order-Year-Month]])</f>
        <v>1</v>
      </c>
    </row>
    <row r="6252" spans="1:26" x14ac:dyDescent="0.2">
      <c r="A6252" s="6">
        <v>258</v>
      </c>
      <c r="B6252" s="7">
        <v>1796</v>
      </c>
      <c r="C6252" s="8">
        <f>DATE(2012,12,31)-41</f>
        <v>41233</v>
      </c>
      <c r="D6252" s="8" t="str">
        <f t="shared" si="115"/>
        <v>2012-11 (ноябрь 2012)</v>
      </c>
      <c r="E6252" s="9" t="s">
        <v>30</v>
      </c>
      <c r="F6252" s="7">
        <v>43</v>
      </c>
      <c r="G6252" s="7">
        <v>183.41</v>
      </c>
      <c r="H6252" s="7">
        <v>7.0000000000000007E-2</v>
      </c>
      <c r="I6252" s="9" t="s">
        <v>22</v>
      </c>
      <c r="J6252" s="10">
        <v>-125.4075</v>
      </c>
      <c r="K6252" s="11">
        <v>4.13</v>
      </c>
      <c r="L6252" s="11">
        <v>5.04</v>
      </c>
      <c r="M6252" s="9" t="s">
        <v>1533</v>
      </c>
      <c r="N6252" s="6" t="s">
        <v>1813</v>
      </c>
      <c r="O6252" s="6" t="s">
        <v>512</v>
      </c>
      <c r="P6252" s="9" t="s">
        <v>41</v>
      </c>
      <c r="Q6252" s="9" t="s">
        <v>26</v>
      </c>
      <c r="R6252" s="9" t="s">
        <v>37</v>
      </c>
      <c r="S6252" s="7" t="s">
        <v>434</v>
      </c>
      <c r="T6252" s="9" t="s">
        <v>39</v>
      </c>
      <c r="U6252" s="7">
        <v>0.38</v>
      </c>
      <c r="V6252" s="12">
        <f>C6252+0</f>
        <v>41233</v>
      </c>
      <c r="W6252">
        <f>IF(D6252=' Pivot Tables'!$A$4,1,0)</f>
        <v>0</v>
      </c>
      <c r="X6252">
        <f>IF(AND(LEFT(D6252,4)+1=LEFT(' Pivot Tables'!$A$4,4)+0,RIGHT(LEFT(D6252,7),2)=RIGHT(LEFT(' Pivot Tables'!$A$4,7),2)),1,0)</f>
        <v>0</v>
      </c>
      <c r="Y6252" s="6">
        <f>1/COUNTIF(Таблица1[Order ID],Таблица1[[#This Row],[Order ID]])</f>
        <v>1</v>
      </c>
      <c r="Z6252" s="9">
        <f>1/COUNTIFS(Таблица1[Customer Name],Таблица1[[#This Row],[Customer Name]],Таблица1[Order-Year-Month],Таблица1[[#This Row],[Order-Year-Month]])</f>
        <v>0.33333333333333331</v>
      </c>
    </row>
    <row r="6253" spans="1:26" x14ac:dyDescent="0.2">
      <c r="A6253" s="6">
        <v>292</v>
      </c>
      <c r="B6253" s="7">
        <v>2048</v>
      </c>
      <c r="C6253" s="8">
        <f>DATE(2012,12,31)-778</f>
        <v>40496</v>
      </c>
      <c r="D6253" s="8" t="str">
        <f t="shared" si="115"/>
        <v>2010-11 (ноябрь 2010)</v>
      </c>
      <c r="E6253" s="9" t="s">
        <v>78</v>
      </c>
      <c r="F6253" s="7">
        <v>12</v>
      </c>
      <c r="G6253" s="7">
        <v>3752.61</v>
      </c>
      <c r="H6253" s="7">
        <v>0.01</v>
      </c>
      <c r="I6253" s="9" t="s">
        <v>31</v>
      </c>
      <c r="J6253" s="10">
        <v>637.92999999999995</v>
      </c>
      <c r="K6253" s="11">
        <v>294.62</v>
      </c>
      <c r="L6253" s="11">
        <v>42.52</v>
      </c>
      <c r="M6253" s="9" t="s">
        <v>1533</v>
      </c>
      <c r="N6253" s="6" t="s">
        <v>1813</v>
      </c>
      <c r="O6253" s="6" t="s">
        <v>512</v>
      </c>
      <c r="P6253" s="9" t="s">
        <v>41</v>
      </c>
      <c r="Q6253" s="9" t="s">
        <v>26</v>
      </c>
      <c r="R6253" s="9" t="s">
        <v>34</v>
      </c>
      <c r="S6253" s="7" t="s">
        <v>1013</v>
      </c>
      <c r="T6253" s="9" t="s">
        <v>36</v>
      </c>
      <c r="U6253" s="7">
        <v>0.56999999999999995</v>
      </c>
      <c r="V6253" s="12">
        <f>C6253+1</f>
        <v>40497</v>
      </c>
      <c r="W6253">
        <f>IF(D6253=' Pivot Tables'!$A$4,1,0)</f>
        <v>0</v>
      </c>
      <c r="X6253">
        <f>IF(AND(LEFT(D6253,4)+1=LEFT(' Pivot Tables'!$A$4,4)+0,RIGHT(LEFT(D6253,7),2)=RIGHT(LEFT(' Pivot Tables'!$A$4,7),2)),1,0)</f>
        <v>0</v>
      </c>
      <c r="Y6253" s="6">
        <f>1/COUNTIF(Таблица1[Order ID],Таблица1[[#This Row],[Order ID]])</f>
        <v>0.5</v>
      </c>
      <c r="Z6253" s="9">
        <f>1/COUNTIFS(Таблица1[Customer Name],Таблица1[[#This Row],[Customer Name]],Таблица1[Order-Year-Month],Таблица1[[#This Row],[Order-Year-Month]])</f>
        <v>0.5</v>
      </c>
    </row>
    <row r="6254" spans="1:26" x14ac:dyDescent="0.2">
      <c r="A6254" s="6">
        <v>293</v>
      </c>
      <c r="B6254" s="7">
        <v>2048</v>
      </c>
      <c r="C6254" s="8">
        <f>DATE(2012,12,31)-778</f>
        <v>40496</v>
      </c>
      <c r="D6254" s="8" t="str">
        <f t="shared" si="115"/>
        <v>2010-11 (ноябрь 2010)</v>
      </c>
      <c r="E6254" s="9" t="s">
        <v>78</v>
      </c>
      <c r="F6254" s="7">
        <v>9</v>
      </c>
      <c r="G6254" s="7">
        <v>548.36</v>
      </c>
      <c r="H6254" s="7">
        <v>0.1</v>
      </c>
      <c r="I6254" s="9" t="s">
        <v>56</v>
      </c>
      <c r="J6254" s="10">
        <v>78.63</v>
      </c>
      <c r="K6254" s="11">
        <v>60.97</v>
      </c>
      <c r="L6254" s="11">
        <v>4.5</v>
      </c>
      <c r="M6254" s="9" t="s">
        <v>1533</v>
      </c>
      <c r="N6254" s="6" t="s">
        <v>1813</v>
      </c>
      <c r="O6254" s="6" t="s">
        <v>512</v>
      </c>
      <c r="P6254" s="9" t="s">
        <v>41</v>
      </c>
      <c r="Q6254" s="9" t="s">
        <v>26</v>
      </c>
      <c r="R6254" s="9" t="s">
        <v>34</v>
      </c>
      <c r="S6254" s="7" t="s">
        <v>1574</v>
      </c>
      <c r="T6254" s="9" t="s">
        <v>39</v>
      </c>
      <c r="U6254" s="7">
        <v>0.56000000000000005</v>
      </c>
      <c r="V6254" s="12">
        <f>C6254+1</f>
        <v>40497</v>
      </c>
      <c r="W6254">
        <f>IF(D6254=' Pivot Tables'!$A$4,1,0)</f>
        <v>0</v>
      </c>
      <c r="X6254">
        <f>IF(AND(LEFT(D6254,4)+1=LEFT(' Pivot Tables'!$A$4,4)+0,RIGHT(LEFT(D6254,7),2)=RIGHT(LEFT(' Pivot Tables'!$A$4,7),2)),1,0)</f>
        <v>0</v>
      </c>
      <c r="Y6254" s="6">
        <f>1/COUNTIF(Таблица1[Order ID],Таблица1[[#This Row],[Order ID]])</f>
        <v>0.5</v>
      </c>
      <c r="Z6254" s="9">
        <f>1/COUNTIFS(Таблица1[Customer Name],Таблица1[[#This Row],[Customer Name]],Таблица1[Order-Year-Month],Таблица1[[#This Row],[Order-Year-Month]])</f>
        <v>0.5</v>
      </c>
    </row>
    <row r="6255" spans="1:26" x14ac:dyDescent="0.2">
      <c r="A6255" s="6">
        <v>294</v>
      </c>
      <c r="B6255" s="7">
        <v>2050</v>
      </c>
      <c r="C6255" s="8">
        <f>DATE(2012,12,31)-1309</f>
        <v>39965</v>
      </c>
      <c r="D6255" s="8" t="str">
        <f t="shared" si="115"/>
        <v>2009-06 (июнь 2009)</v>
      </c>
      <c r="E6255" s="9" t="s">
        <v>45</v>
      </c>
      <c r="F6255" s="7">
        <v>16</v>
      </c>
      <c r="G6255" s="7">
        <v>44.46</v>
      </c>
      <c r="H6255" s="7">
        <v>0.06</v>
      </c>
      <c r="I6255" s="9" t="s">
        <v>22</v>
      </c>
      <c r="J6255" s="10">
        <v>5.27</v>
      </c>
      <c r="K6255" s="11">
        <v>2.89</v>
      </c>
      <c r="L6255" s="11">
        <v>0.99</v>
      </c>
      <c r="M6255" s="9" t="s">
        <v>2000</v>
      </c>
      <c r="N6255" s="6" t="s">
        <v>1813</v>
      </c>
      <c r="O6255" s="6" t="s">
        <v>512</v>
      </c>
      <c r="P6255" s="9" t="s">
        <v>33</v>
      </c>
      <c r="Q6255" s="9" t="s">
        <v>26</v>
      </c>
      <c r="R6255" s="9" t="s">
        <v>88</v>
      </c>
      <c r="S6255" s="7" t="s">
        <v>2001</v>
      </c>
      <c r="T6255" s="9" t="s">
        <v>39</v>
      </c>
      <c r="U6255" s="7">
        <v>0.38</v>
      </c>
      <c r="V6255" s="12">
        <f>C6255+2</f>
        <v>39967</v>
      </c>
      <c r="W6255">
        <f>IF(D6255=' Pivot Tables'!$A$4,1,0)</f>
        <v>0</v>
      </c>
      <c r="X6255">
        <f>IF(AND(LEFT(D6255,4)+1=LEFT(' Pivot Tables'!$A$4,4)+0,RIGHT(LEFT(D6255,7),2)=RIGHT(LEFT(' Pivot Tables'!$A$4,7),2)),1,0)</f>
        <v>0</v>
      </c>
      <c r="Y6255" s="6">
        <f>1/COUNTIF(Таблица1[Order ID],Таблица1[[#This Row],[Order ID]])</f>
        <v>0.5</v>
      </c>
      <c r="Z6255" s="9">
        <f>1/COUNTIFS(Таблица1[Customer Name],Таблица1[[#This Row],[Customer Name]],Таблица1[Order-Year-Month],Таблица1[[#This Row],[Order-Year-Month]])</f>
        <v>0.5</v>
      </c>
    </row>
    <row r="6256" spans="1:26" x14ac:dyDescent="0.2">
      <c r="A6256" s="6">
        <v>295</v>
      </c>
      <c r="B6256" s="7">
        <v>2050</v>
      </c>
      <c r="C6256" s="8">
        <f>DATE(2012,12,31)-1309</f>
        <v>39965</v>
      </c>
      <c r="D6256" s="8" t="str">
        <f t="shared" si="115"/>
        <v>2009-06 (июнь 2009)</v>
      </c>
      <c r="E6256" s="9" t="s">
        <v>45</v>
      </c>
      <c r="F6256" s="7">
        <v>25</v>
      </c>
      <c r="G6256" s="7">
        <v>542.11</v>
      </c>
      <c r="H6256" s="7">
        <v>0.08</v>
      </c>
      <c r="I6256" s="9" t="s">
        <v>22</v>
      </c>
      <c r="J6256" s="10">
        <v>-14.76</v>
      </c>
      <c r="K6256" s="11">
        <v>22.84</v>
      </c>
      <c r="L6256" s="11">
        <v>11.54</v>
      </c>
      <c r="M6256" s="9" t="s">
        <v>2000</v>
      </c>
      <c r="N6256" s="6" t="s">
        <v>1813</v>
      </c>
      <c r="O6256" s="6" t="s">
        <v>512</v>
      </c>
      <c r="P6256" s="9" t="s">
        <v>33</v>
      </c>
      <c r="Q6256" s="9" t="s">
        <v>26</v>
      </c>
      <c r="R6256" s="9" t="s">
        <v>61</v>
      </c>
      <c r="S6256" s="7" t="s">
        <v>1505</v>
      </c>
      <c r="T6256" s="9" t="s">
        <v>39</v>
      </c>
      <c r="U6256" s="7">
        <v>0.39</v>
      </c>
      <c r="V6256" s="12">
        <f>C6256+2</f>
        <v>39967</v>
      </c>
      <c r="W6256">
        <f>IF(D6256=' Pivot Tables'!$A$4,1,0)</f>
        <v>0</v>
      </c>
      <c r="X6256">
        <f>IF(AND(LEFT(D6256,4)+1=LEFT(' Pivot Tables'!$A$4,4)+0,RIGHT(LEFT(D6256,7),2)=RIGHT(LEFT(' Pivot Tables'!$A$4,7),2)),1,0)</f>
        <v>0</v>
      </c>
      <c r="Y6256" s="6">
        <f>1/COUNTIF(Таблица1[Order ID],Таблица1[[#This Row],[Order ID]])</f>
        <v>0.5</v>
      </c>
      <c r="Z6256" s="9">
        <f>1/COUNTIFS(Таблица1[Customer Name],Таблица1[[#This Row],[Customer Name]],Таблица1[Order-Year-Month],Таблица1[[#This Row],[Order-Year-Month]])</f>
        <v>0.5</v>
      </c>
    </row>
    <row r="6257" spans="1:26" x14ac:dyDescent="0.2">
      <c r="A6257" s="6">
        <v>299</v>
      </c>
      <c r="B6257" s="7">
        <v>2054</v>
      </c>
      <c r="C6257" s="8">
        <f>DATE(2012,12,31)-207</f>
        <v>41067</v>
      </c>
      <c r="D6257" s="8" t="str">
        <f t="shared" si="115"/>
        <v>2012-06 (июнь 2012)</v>
      </c>
      <c r="E6257" s="9" t="s">
        <v>45</v>
      </c>
      <c r="F6257" s="7">
        <v>1</v>
      </c>
      <c r="G6257" s="7">
        <v>343.78</v>
      </c>
      <c r="H6257" s="7">
        <v>0.09</v>
      </c>
      <c r="I6257" s="9" t="s">
        <v>22</v>
      </c>
      <c r="J6257" s="10">
        <v>-246.51</v>
      </c>
      <c r="K6257" s="11">
        <v>363.25</v>
      </c>
      <c r="L6257" s="11">
        <v>19.989999999999998</v>
      </c>
      <c r="M6257" s="9" t="s">
        <v>1540</v>
      </c>
      <c r="N6257" s="6" t="s">
        <v>1813</v>
      </c>
      <c r="O6257" s="6" t="s">
        <v>512</v>
      </c>
      <c r="P6257" s="9" t="s">
        <v>33</v>
      </c>
      <c r="Q6257" s="9" t="s">
        <v>26</v>
      </c>
      <c r="R6257" s="9" t="s">
        <v>34</v>
      </c>
      <c r="S6257" s="7" t="s">
        <v>589</v>
      </c>
      <c r="T6257" s="9" t="s">
        <v>39</v>
      </c>
      <c r="U6257" s="7">
        <v>0.56999999999999995</v>
      </c>
      <c r="V6257" s="12">
        <f>C6257+3</f>
        <v>41070</v>
      </c>
      <c r="W6257">
        <f>IF(D6257=' Pivot Tables'!$A$4,1,0)</f>
        <v>0</v>
      </c>
      <c r="X6257">
        <f>IF(AND(LEFT(D6257,4)+1=LEFT(' Pivot Tables'!$A$4,4)+0,RIGHT(LEFT(D6257,7),2)=RIGHT(LEFT(' Pivot Tables'!$A$4,7),2)),1,0)</f>
        <v>0</v>
      </c>
      <c r="Y6257" s="6">
        <f>1/COUNTIF(Таблица1[Order ID],Таблица1[[#This Row],[Order ID]])</f>
        <v>0.5</v>
      </c>
      <c r="Z6257" s="9">
        <f>1/COUNTIFS(Таблица1[Customer Name],Таблица1[[#This Row],[Customer Name]],Таблица1[Order-Year-Month],Таблица1[[#This Row],[Order-Year-Month]])</f>
        <v>0.5</v>
      </c>
    </row>
    <row r="6258" spans="1:26" x14ac:dyDescent="0.2">
      <c r="A6258" s="6">
        <v>300</v>
      </c>
      <c r="B6258" s="7">
        <v>2054</v>
      </c>
      <c r="C6258" s="8">
        <f>DATE(2012,12,31)-207</f>
        <v>41067</v>
      </c>
      <c r="D6258" s="8" t="str">
        <f t="shared" si="115"/>
        <v>2012-06 (июнь 2012)</v>
      </c>
      <c r="E6258" s="9" t="s">
        <v>45</v>
      </c>
      <c r="F6258" s="7">
        <v>34</v>
      </c>
      <c r="G6258" s="7">
        <v>826.09</v>
      </c>
      <c r="H6258" s="7">
        <v>0.03</v>
      </c>
      <c r="I6258" s="9" t="s">
        <v>22</v>
      </c>
      <c r="J6258" s="10">
        <v>215.86</v>
      </c>
      <c r="K6258" s="11">
        <v>22.98</v>
      </c>
      <c r="L6258" s="11">
        <v>7.58</v>
      </c>
      <c r="M6258" s="9" t="s">
        <v>1540</v>
      </c>
      <c r="N6258" s="6" t="s">
        <v>1813</v>
      </c>
      <c r="O6258" s="6" t="s">
        <v>512</v>
      </c>
      <c r="P6258" s="9" t="s">
        <v>33</v>
      </c>
      <c r="Q6258" s="9" t="s">
        <v>49</v>
      </c>
      <c r="R6258" s="9" t="s">
        <v>50</v>
      </c>
      <c r="S6258" s="7" t="s">
        <v>789</v>
      </c>
      <c r="T6258" s="9" t="s">
        <v>39</v>
      </c>
      <c r="U6258" s="7">
        <v>0.51</v>
      </c>
      <c r="V6258" s="12">
        <f>C6258+2</f>
        <v>41069</v>
      </c>
      <c r="W6258">
        <f>IF(D6258=' Pivot Tables'!$A$4,1,0)</f>
        <v>0</v>
      </c>
      <c r="X6258">
        <f>IF(AND(LEFT(D6258,4)+1=LEFT(' Pivot Tables'!$A$4,4)+0,RIGHT(LEFT(D6258,7),2)=RIGHT(LEFT(' Pivot Tables'!$A$4,7),2)),1,0)</f>
        <v>0</v>
      </c>
      <c r="Y6258" s="6">
        <f>1/COUNTIF(Таблица1[Order ID],Таблица1[[#This Row],[Order ID]])</f>
        <v>0.5</v>
      </c>
      <c r="Z6258" s="9">
        <f>1/COUNTIFS(Таблица1[Customer Name],Таблица1[[#This Row],[Customer Name]],Таблица1[Order-Year-Month],Таблица1[[#This Row],[Order-Year-Month]])</f>
        <v>0.5</v>
      </c>
    </row>
    <row r="6259" spans="1:26" x14ac:dyDescent="0.2">
      <c r="A6259" s="6">
        <v>432</v>
      </c>
      <c r="B6259" s="7">
        <v>2885</v>
      </c>
      <c r="C6259" s="8">
        <f>DATE(2012,12,31)-104</f>
        <v>41170</v>
      </c>
      <c r="D6259" s="8" t="str">
        <f t="shared" si="115"/>
        <v>2012-09 (сентябрь 2012)</v>
      </c>
      <c r="E6259" s="9" t="s">
        <v>45</v>
      </c>
      <c r="F6259" s="7">
        <v>29</v>
      </c>
      <c r="G6259" s="7">
        <v>197.41</v>
      </c>
      <c r="H6259" s="7">
        <v>0.06</v>
      </c>
      <c r="I6259" s="9" t="s">
        <v>22</v>
      </c>
      <c r="J6259" s="10">
        <v>-128.68</v>
      </c>
      <c r="K6259" s="11">
        <v>6.48</v>
      </c>
      <c r="L6259" s="11">
        <v>8.4</v>
      </c>
      <c r="M6259" s="9" t="s">
        <v>1713</v>
      </c>
      <c r="N6259" s="6" t="s">
        <v>1813</v>
      </c>
      <c r="O6259" s="6" t="s">
        <v>512</v>
      </c>
      <c r="P6259" s="9" t="s">
        <v>60</v>
      </c>
      <c r="Q6259" s="9" t="s">
        <v>26</v>
      </c>
      <c r="R6259" s="9" t="s">
        <v>61</v>
      </c>
      <c r="S6259" s="7" t="s">
        <v>1097</v>
      </c>
      <c r="T6259" s="9" t="s">
        <v>39</v>
      </c>
      <c r="U6259" s="7">
        <v>0.37</v>
      </c>
      <c r="V6259" s="12">
        <f>C6259+0</f>
        <v>41170</v>
      </c>
      <c r="W6259">
        <f>IF(D6259=' Pivot Tables'!$A$4,1,0)</f>
        <v>0</v>
      </c>
      <c r="X6259">
        <f>IF(AND(LEFT(D6259,4)+1=LEFT(' Pivot Tables'!$A$4,4)+0,RIGHT(LEFT(D6259,7),2)=RIGHT(LEFT(' Pivot Tables'!$A$4,7),2)),1,0)</f>
        <v>0</v>
      </c>
      <c r="Y6259" s="6">
        <f>1/COUNTIF(Таблица1[Order ID],Таблица1[[#This Row],[Order ID]])</f>
        <v>0.5</v>
      </c>
      <c r="Z6259" s="9">
        <f>1/COUNTIFS(Таблица1[Customer Name],Таблица1[[#This Row],[Customer Name]],Таблица1[Order-Year-Month],Таблица1[[#This Row],[Order-Year-Month]])</f>
        <v>0.25</v>
      </c>
    </row>
    <row r="6260" spans="1:26" x14ac:dyDescent="0.2">
      <c r="A6260" s="6">
        <v>433</v>
      </c>
      <c r="B6260" s="7">
        <v>2885</v>
      </c>
      <c r="C6260" s="8">
        <f>DATE(2012,12,31)-104</f>
        <v>41170</v>
      </c>
      <c r="D6260" s="8" t="str">
        <f t="shared" si="115"/>
        <v>2012-09 (сентябрь 2012)</v>
      </c>
      <c r="E6260" s="9" t="s">
        <v>45</v>
      </c>
      <c r="F6260" s="7">
        <v>46</v>
      </c>
      <c r="G6260" s="7">
        <v>712.18</v>
      </c>
      <c r="H6260" s="7">
        <v>0.06</v>
      </c>
      <c r="I6260" s="9" t="s">
        <v>22</v>
      </c>
      <c r="J6260" s="10">
        <v>13.98</v>
      </c>
      <c r="K6260" s="11">
        <v>15.42</v>
      </c>
      <c r="L6260" s="11">
        <v>5.41</v>
      </c>
      <c r="M6260" s="9" t="s">
        <v>1713</v>
      </c>
      <c r="N6260" s="6" t="s">
        <v>1813</v>
      </c>
      <c r="O6260" s="6" t="s">
        <v>512</v>
      </c>
      <c r="P6260" s="9" t="s">
        <v>60</v>
      </c>
      <c r="Q6260" s="9" t="s">
        <v>26</v>
      </c>
      <c r="R6260" s="9" t="s">
        <v>27</v>
      </c>
      <c r="S6260" s="7" t="s">
        <v>1405</v>
      </c>
      <c r="T6260" s="9" t="s">
        <v>39</v>
      </c>
      <c r="U6260" s="7">
        <v>0.59</v>
      </c>
      <c r="V6260" s="12">
        <f>C6260+2</f>
        <v>41172</v>
      </c>
      <c r="W6260">
        <f>IF(D6260=' Pivot Tables'!$A$4,1,0)</f>
        <v>0</v>
      </c>
      <c r="X6260">
        <f>IF(AND(LEFT(D6260,4)+1=LEFT(' Pivot Tables'!$A$4,4)+0,RIGHT(LEFT(D6260,7),2)=RIGHT(LEFT(' Pivot Tables'!$A$4,7),2)),1,0)</f>
        <v>0</v>
      </c>
      <c r="Y6260" s="6">
        <f>1/COUNTIF(Таблица1[Order ID],Таблица1[[#This Row],[Order ID]])</f>
        <v>0.5</v>
      </c>
      <c r="Z6260" s="9">
        <f>1/COUNTIFS(Таблица1[Customer Name],Таблица1[[#This Row],[Customer Name]],Таблица1[Order-Year-Month],Таблица1[[#This Row],[Order-Year-Month]])</f>
        <v>0.25</v>
      </c>
    </row>
    <row r="6261" spans="1:26" x14ac:dyDescent="0.2">
      <c r="A6261" s="6">
        <v>497</v>
      </c>
      <c r="B6261" s="7">
        <v>3458</v>
      </c>
      <c r="C6261" s="8">
        <f>DATE(2012,12,31)-1106</f>
        <v>40168</v>
      </c>
      <c r="D6261" s="8" t="str">
        <f t="shared" si="115"/>
        <v>2009-12 (декабрь 2009)</v>
      </c>
      <c r="E6261" s="9" t="s">
        <v>30</v>
      </c>
      <c r="F6261" s="7">
        <v>41</v>
      </c>
      <c r="G6261" s="7">
        <v>627.91</v>
      </c>
      <c r="H6261" s="7">
        <v>0.03</v>
      </c>
      <c r="I6261" s="9" t="s">
        <v>22</v>
      </c>
      <c r="J6261" s="10">
        <v>222.08</v>
      </c>
      <c r="K6261" s="11">
        <v>15.28</v>
      </c>
      <c r="L6261" s="11">
        <v>1.99</v>
      </c>
      <c r="M6261" s="9" t="s">
        <v>833</v>
      </c>
      <c r="N6261" s="6" t="s">
        <v>1813</v>
      </c>
      <c r="O6261" s="6" t="s">
        <v>512</v>
      </c>
      <c r="P6261" s="9" t="s">
        <v>41</v>
      </c>
      <c r="Q6261" s="9" t="s">
        <v>42</v>
      </c>
      <c r="R6261" s="9" t="s">
        <v>70</v>
      </c>
      <c r="S6261" s="7" t="s">
        <v>785</v>
      </c>
      <c r="T6261" s="9" t="s">
        <v>52</v>
      </c>
      <c r="U6261" s="7">
        <v>0.42</v>
      </c>
      <c r="V6261" s="12">
        <f>C6261+2</f>
        <v>40170</v>
      </c>
      <c r="W6261">
        <f>IF(D6261=' Pivot Tables'!$A$4,1,0)</f>
        <v>0</v>
      </c>
      <c r="X6261">
        <f>IF(AND(LEFT(D6261,4)+1=LEFT(' Pivot Tables'!$A$4,4)+0,RIGHT(LEFT(D6261,7),2)=RIGHT(LEFT(' Pivot Tables'!$A$4,7),2)),1,0)</f>
        <v>0</v>
      </c>
      <c r="Y6261" s="6">
        <f>1/COUNTIF(Таблица1[Order ID],Таблица1[[#This Row],[Order ID]])</f>
        <v>0.5</v>
      </c>
      <c r="Z6261" s="9">
        <f>1/COUNTIFS(Таблица1[Customer Name],Таблица1[[#This Row],[Customer Name]],Таблица1[Order-Year-Month],Таблица1[[#This Row],[Order-Year-Month]])</f>
        <v>0.16666666666666666</v>
      </c>
    </row>
    <row r="6262" spans="1:26" x14ac:dyDescent="0.2">
      <c r="A6262" s="6">
        <v>498</v>
      </c>
      <c r="B6262" s="7">
        <v>3458</v>
      </c>
      <c r="C6262" s="8">
        <f>DATE(2012,12,31)-1106</f>
        <v>40168</v>
      </c>
      <c r="D6262" s="8" t="str">
        <f t="shared" si="115"/>
        <v>2009-12 (декабрь 2009)</v>
      </c>
      <c r="E6262" s="9" t="s">
        <v>30</v>
      </c>
      <c r="F6262" s="7">
        <v>28</v>
      </c>
      <c r="G6262" s="7">
        <v>46.89</v>
      </c>
      <c r="H6262" s="7">
        <v>0.09</v>
      </c>
      <c r="I6262" s="9" t="s">
        <v>22</v>
      </c>
      <c r="J6262" s="10">
        <v>-3.83</v>
      </c>
      <c r="K6262" s="11">
        <v>1.76</v>
      </c>
      <c r="L6262" s="11">
        <v>0.7</v>
      </c>
      <c r="M6262" s="9" t="s">
        <v>833</v>
      </c>
      <c r="N6262" s="6" t="s">
        <v>1813</v>
      </c>
      <c r="O6262" s="6" t="s">
        <v>512</v>
      </c>
      <c r="P6262" s="9" t="s">
        <v>41</v>
      </c>
      <c r="Q6262" s="9" t="s">
        <v>26</v>
      </c>
      <c r="R6262" s="9" t="s">
        <v>95</v>
      </c>
      <c r="S6262" s="7" t="s">
        <v>193</v>
      </c>
      <c r="T6262" s="9" t="s">
        <v>68</v>
      </c>
      <c r="U6262" s="7">
        <v>0.56000000000000005</v>
      </c>
      <c r="V6262" s="12">
        <f>C6262+3</f>
        <v>40171</v>
      </c>
      <c r="W6262">
        <f>IF(D6262=' Pivot Tables'!$A$4,1,0)</f>
        <v>0</v>
      </c>
      <c r="X6262">
        <f>IF(AND(LEFT(D6262,4)+1=LEFT(' Pivot Tables'!$A$4,4)+0,RIGHT(LEFT(D6262,7),2)=RIGHT(LEFT(' Pivot Tables'!$A$4,7),2)),1,0)</f>
        <v>0</v>
      </c>
      <c r="Y6262" s="6">
        <f>1/COUNTIF(Таблица1[Order ID],Таблица1[[#This Row],[Order ID]])</f>
        <v>0.5</v>
      </c>
      <c r="Z6262" s="9">
        <f>1/COUNTIFS(Таблица1[Customer Name],Таблица1[[#This Row],[Customer Name]],Таблица1[Order-Year-Month],Таблица1[[#This Row],[Order-Year-Month]])</f>
        <v>0.16666666666666666</v>
      </c>
    </row>
    <row r="6263" spans="1:26" x14ac:dyDescent="0.2">
      <c r="A6263" s="6">
        <v>511</v>
      </c>
      <c r="B6263" s="7">
        <v>3522</v>
      </c>
      <c r="C6263" s="8">
        <f>DATE(2012,12,31)-1193</f>
        <v>40081</v>
      </c>
      <c r="D6263" s="8" t="str">
        <f t="shared" si="115"/>
        <v>2009-09 (сентябрь 2009)</v>
      </c>
      <c r="E6263" s="9" t="s">
        <v>21</v>
      </c>
      <c r="F6263" s="7">
        <v>33</v>
      </c>
      <c r="G6263" s="7">
        <v>1935.17</v>
      </c>
      <c r="H6263" s="7">
        <v>0.09</v>
      </c>
      <c r="I6263" s="9" t="s">
        <v>22</v>
      </c>
      <c r="J6263" s="10">
        <v>-991.07</v>
      </c>
      <c r="K6263" s="11">
        <v>60.98</v>
      </c>
      <c r="L6263" s="11">
        <v>49</v>
      </c>
      <c r="M6263" s="9" t="s">
        <v>2000</v>
      </c>
      <c r="N6263" s="6" t="s">
        <v>1813</v>
      </c>
      <c r="O6263" s="6" t="s">
        <v>512</v>
      </c>
      <c r="P6263" s="9" t="s">
        <v>33</v>
      </c>
      <c r="Q6263" s="9" t="s">
        <v>26</v>
      </c>
      <c r="R6263" s="9" t="s">
        <v>34</v>
      </c>
      <c r="S6263" s="7" t="s">
        <v>472</v>
      </c>
      <c r="T6263" s="9" t="s">
        <v>29</v>
      </c>
      <c r="U6263" s="7">
        <v>0.59</v>
      </c>
      <c r="V6263" s="12">
        <f>C6263+7</f>
        <v>40088</v>
      </c>
      <c r="W6263">
        <f>IF(D6263=' Pivot Tables'!$A$4,1,0)</f>
        <v>0</v>
      </c>
      <c r="X6263">
        <f>IF(AND(LEFT(D6263,4)+1=LEFT(' Pivot Tables'!$A$4,4)+0,RIGHT(LEFT(D6263,7),2)=RIGHT(LEFT(' Pivot Tables'!$A$4,7),2)),1,0)</f>
        <v>0</v>
      </c>
      <c r="Y6263" s="6">
        <f>1/COUNTIF(Таблица1[Order ID],Таблица1[[#This Row],[Order ID]])</f>
        <v>0.5</v>
      </c>
      <c r="Z6263" s="9">
        <f>1/COUNTIFS(Таблица1[Customer Name],Таблица1[[#This Row],[Customer Name]],Таблица1[Order-Year-Month],Таблица1[[#This Row],[Order-Year-Month]])</f>
        <v>0.5</v>
      </c>
    </row>
    <row r="6264" spans="1:26" x14ac:dyDescent="0.2">
      <c r="A6264" s="6">
        <v>512</v>
      </c>
      <c r="B6264" s="7">
        <v>3522</v>
      </c>
      <c r="C6264" s="8">
        <f>DATE(2012,12,31)-1193</f>
        <v>40081</v>
      </c>
      <c r="D6264" s="8" t="str">
        <f t="shared" si="115"/>
        <v>2009-09 (сентябрь 2009)</v>
      </c>
      <c r="E6264" s="9" t="s">
        <v>21</v>
      </c>
      <c r="F6264" s="7">
        <v>27</v>
      </c>
      <c r="G6264" s="7">
        <v>812.68</v>
      </c>
      <c r="H6264" s="7">
        <v>0.05</v>
      </c>
      <c r="I6264" s="9" t="s">
        <v>22</v>
      </c>
      <c r="J6264" s="10">
        <v>235.88</v>
      </c>
      <c r="K6264" s="11">
        <v>29.89</v>
      </c>
      <c r="L6264" s="11">
        <v>1.99</v>
      </c>
      <c r="M6264" s="9" t="s">
        <v>2000</v>
      </c>
      <c r="N6264" s="6" t="s">
        <v>1813</v>
      </c>
      <c r="O6264" s="6" t="s">
        <v>512</v>
      </c>
      <c r="P6264" s="9" t="s">
        <v>33</v>
      </c>
      <c r="Q6264" s="9" t="s">
        <v>42</v>
      </c>
      <c r="R6264" s="9" t="s">
        <v>70</v>
      </c>
      <c r="S6264" s="7" t="s">
        <v>547</v>
      </c>
      <c r="T6264" s="9" t="s">
        <v>52</v>
      </c>
      <c r="U6264" s="7">
        <v>0.5</v>
      </c>
      <c r="V6264" s="12">
        <f>C6264+2</f>
        <v>40083</v>
      </c>
      <c r="W6264">
        <f>IF(D6264=' Pivot Tables'!$A$4,1,0)</f>
        <v>0</v>
      </c>
      <c r="X6264">
        <f>IF(AND(LEFT(D6264,4)+1=LEFT(' Pivot Tables'!$A$4,4)+0,RIGHT(LEFT(D6264,7),2)=RIGHT(LEFT(' Pivot Tables'!$A$4,7),2)),1,0)</f>
        <v>0</v>
      </c>
      <c r="Y6264" s="6">
        <f>1/COUNTIF(Таблица1[Order ID],Таблица1[[#This Row],[Order ID]])</f>
        <v>0.5</v>
      </c>
      <c r="Z6264" s="9">
        <f>1/COUNTIFS(Таблица1[Customer Name],Таблица1[[#This Row],[Customer Name]],Таблица1[Order-Year-Month],Таблица1[[#This Row],[Order-Year-Month]])</f>
        <v>0.5</v>
      </c>
    </row>
    <row r="6265" spans="1:26" x14ac:dyDescent="0.2">
      <c r="A6265" s="6">
        <v>540</v>
      </c>
      <c r="B6265" s="7">
        <v>3653</v>
      </c>
      <c r="C6265" s="8">
        <f>DATE(2012,12,31)-1376</f>
        <v>39898</v>
      </c>
      <c r="D6265" s="8" t="str">
        <f t="shared" si="115"/>
        <v>2009-03 (март 2009)</v>
      </c>
      <c r="E6265" s="9" t="s">
        <v>78</v>
      </c>
      <c r="F6265" s="7">
        <v>41</v>
      </c>
      <c r="G6265" s="7">
        <v>271.11</v>
      </c>
      <c r="H6265" s="7">
        <v>0.08</v>
      </c>
      <c r="I6265" s="9" t="s">
        <v>22</v>
      </c>
      <c r="J6265" s="10">
        <v>64.790000000000006</v>
      </c>
      <c r="K6265" s="11">
        <v>6.68</v>
      </c>
      <c r="L6265" s="11">
        <v>1.5</v>
      </c>
      <c r="M6265" s="9" t="s">
        <v>2002</v>
      </c>
      <c r="N6265" s="6" t="s">
        <v>1813</v>
      </c>
      <c r="O6265" s="6" t="s">
        <v>512</v>
      </c>
      <c r="P6265" s="9" t="s">
        <v>41</v>
      </c>
      <c r="Q6265" s="9" t="s">
        <v>26</v>
      </c>
      <c r="R6265" s="9" t="s">
        <v>95</v>
      </c>
      <c r="S6265" s="7" t="s">
        <v>609</v>
      </c>
      <c r="T6265" s="9" t="s">
        <v>68</v>
      </c>
      <c r="U6265" s="7">
        <v>0.48</v>
      </c>
      <c r="V6265" s="12">
        <f>C6265+2</f>
        <v>39900</v>
      </c>
      <c r="W6265">
        <f>IF(D6265=' Pivot Tables'!$A$4,1,0)</f>
        <v>0</v>
      </c>
      <c r="X6265">
        <f>IF(AND(LEFT(D6265,4)+1=LEFT(' Pivot Tables'!$A$4,4)+0,RIGHT(LEFT(D6265,7),2)=RIGHT(LEFT(' Pivot Tables'!$A$4,7),2)),1,0)</f>
        <v>0</v>
      </c>
      <c r="Y6265" s="6">
        <f>1/COUNTIF(Таблица1[Order ID],Таблица1[[#This Row],[Order ID]])</f>
        <v>1</v>
      </c>
      <c r="Z6265" s="9">
        <f>1/COUNTIFS(Таблица1[Customer Name],Таблица1[[#This Row],[Customer Name]],Таблица1[Order-Year-Month],Таблица1[[#This Row],[Order-Year-Month]])</f>
        <v>1</v>
      </c>
    </row>
    <row r="6266" spans="1:26" x14ac:dyDescent="0.2">
      <c r="A6266" s="6">
        <v>562</v>
      </c>
      <c r="B6266" s="7">
        <v>3808</v>
      </c>
      <c r="C6266" s="8">
        <f>DATE(2012,12,31)-1348</f>
        <v>39926</v>
      </c>
      <c r="D6266" s="8" t="str">
        <f t="shared" si="115"/>
        <v>2009-04 (апрель 2009)</v>
      </c>
      <c r="E6266" s="9" t="s">
        <v>78</v>
      </c>
      <c r="F6266" s="7">
        <v>2</v>
      </c>
      <c r="G6266" s="7">
        <v>6.13</v>
      </c>
      <c r="H6266" s="7">
        <v>0.08</v>
      </c>
      <c r="I6266" s="9" t="s">
        <v>22</v>
      </c>
      <c r="J6266" s="10">
        <v>-2.83</v>
      </c>
      <c r="K6266" s="11">
        <v>2.89</v>
      </c>
      <c r="L6266" s="11">
        <v>0.49</v>
      </c>
      <c r="M6266" s="9" t="s">
        <v>2002</v>
      </c>
      <c r="N6266" s="6" t="s">
        <v>1813</v>
      </c>
      <c r="O6266" s="6" t="s">
        <v>512</v>
      </c>
      <c r="P6266" s="9" t="s">
        <v>41</v>
      </c>
      <c r="Q6266" s="9" t="s">
        <v>26</v>
      </c>
      <c r="R6266" s="9" t="s">
        <v>88</v>
      </c>
      <c r="S6266" s="7" t="s">
        <v>638</v>
      </c>
      <c r="T6266" s="9" t="s">
        <v>39</v>
      </c>
      <c r="U6266" s="7">
        <v>0.38</v>
      </c>
      <c r="V6266" s="12">
        <f>C6266+0</f>
        <v>39926</v>
      </c>
      <c r="W6266">
        <f>IF(D6266=' Pivot Tables'!$A$4,1,0)</f>
        <v>0</v>
      </c>
      <c r="X6266">
        <f>IF(AND(LEFT(D6266,4)+1=LEFT(' Pivot Tables'!$A$4,4)+0,RIGHT(LEFT(D6266,7),2)=RIGHT(LEFT(' Pivot Tables'!$A$4,7),2)),1,0)</f>
        <v>0</v>
      </c>
      <c r="Y6266" s="6">
        <f>1/COUNTIF(Таблица1[Order ID],Таблица1[[#This Row],[Order ID]])</f>
        <v>1</v>
      </c>
      <c r="Z6266" s="9">
        <f>1/COUNTIFS(Таблица1[Customer Name],Таблица1[[#This Row],[Customer Name]],Таблица1[Order-Year-Month],Таблица1[[#This Row],[Order-Year-Month]])</f>
        <v>1</v>
      </c>
    </row>
    <row r="6267" spans="1:26" x14ac:dyDescent="0.2">
      <c r="A6267" s="6">
        <v>581</v>
      </c>
      <c r="B6267" s="7">
        <v>3970</v>
      </c>
      <c r="C6267" s="8">
        <f>DATE(2012,12,31)-280</f>
        <v>40994</v>
      </c>
      <c r="D6267" s="8" t="str">
        <f t="shared" si="115"/>
        <v>2012-03 (март 2012)</v>
      </c>
      <c r="E6267" s="9" t="s">
        <v>63</v>
      </c>
      <c r="F6267" s="7">
        <v>39</v>
      </c>
      <c r="G6267" s="7">
        <v>1032.97</v>
      </c>
      <c r="H6267" s="7">
        <v>7.0000000000000007E-2</v>
      </c>
      <c r="I6267" s="9" t="s">
        <v>22</v>
      </c>
      <c r="J6267" s="10">
        <v>397.15</v>
      </c>
      <c r="K6267" s="11">
        <v>28.48</v>
      </c>
      <c r="L6267" s="11">
        <v>1.99</v>
      </c>
      <c r="M6267" s="9" t="s">
        <v>780</v>
      </c>
      <c r="N6267" s="6" t="s">
        <v>1813</v>
      </c>
      <c r="O6267" s="6" t="s">
        <v>512</v>
      </c>
      <c r="P6267" s="9" t="s">
        <v>60</v>
      </c>
      <c r="Q6267" s="9" t="s">
        <v>42</v>
      </c>
      <c r="R6267" s="9" t="s">
        <v>70</v>
      </c>
      <c r="S6267" s="7" t="s">
        <v>523</v>
      </c>
      <c r="T6267" s="9" t="s">
        <v>52</v>
      </c>
      <c r="U6267" s="7">
        <v>0.4</v>
      </c>
      <c r="V6267" s="12">
        <f>C6267+2</f>
        <v>40996</v>
      </c>
      <c r="W6267">
        <f>IF(D6267=' Pivot Tables'!$A$4,1,0)</f>
        <v>0</v>
      </c>
      <c r="X6267">
        <f>IF(AND(LEFT(D6267,4)+1=LEFT(' Pivot Tables'!$A$4,4)+0,RIGHT(LEFT(D6267,7),2)=RIGHT(LEFT(' Pivot Tables'!$A$4,7),2)),1,0)</f>
        <v>0</v>
      </c>
      <c r="Y6267" s="6">
        <f>1/COUNTIF(Таблица1[Order ID],Таблица1[[#This Row],[Order ID]])</f>
        <v>0.5</v>
      </c>
      <c r="Z6267" s="9">
        <f>1/COUNTIFS(Таблица1[Customer Name],Таблица1[[#This Row],[Customer Name]],Таблица1[Order-Year-Month],Таблица1[[#This Row],[Order-Year-Month]])</f>
        <v>0.5</v>
      </c>
    </row>
    <row r="6268" spans="1:26" x14ac:dyDescent="0.2">
      <c r="A6268" s="6">
        <v>582</v>
      </c>
      <c r="B6268" s="7">
        <v>3970</v>
      </c>
      <c r="C6268" s="8">
        <f>DATE(2012,12,31)-280</f>
        <v>40994</v>
      </c>
      <c r="D6268" s="8" t="str">
        <f t="shared" si="115"/>
        <v>2012-03 (март 2012)</v>
      </c>
      <c r="E6268" s="9" t="s">
        <v>63</v>
      </c>
      <c r="F6268" s="7">
        <v>13</v>
      </c>
      <c r="G6268" s="7">
        <v>324.83</v>
      </c>
      <c r="H6268" s="7">
        <v>0.05</v>
      </c>
      <c r="I6268" s="9" t="s">
        <v>31</v>
      </c>
      <c r="J6268" s="10">
        <v>-426.54</v>
      </c>
      <c r="K6268" s="11">
        <v>20.98</v>
      </c>
      <c r="L6268" s="11">
        <v>45</v>
      </c>
      <c r="M6268" s="9" t="s">
        <v>780</v>
      </c>
      <c r="N6268" s="6" t="s">
        <v>1813</v>
      </c>
      <c r="O6268" s="6" t="s">
        <v>512</v>
      </c>
      <c r="P6268" s="9" t="s">
        <v>60</v>
      </c>
      <c r="Q6268" s="9" t="s">
        <v>26</v>
      </c>
      <c r="R6268" s="9" t="s">
        <v>27</v>
      </c>
      <c r="S6268" s="7" t="s">
        <v>578</v>
      </c>
      <c r="T6268" s="9" t="s">
        <v>36</v>
      </c>
      <c r="U6268" s="7">
        <v>0.61</v>
      </c>
      <c r="V6268" s="12">
        <f>C6268+1</f>
        <v>40995</v>
      </c>
      <c r="W6268">
        <f>IF(D6268=' Pivot Tables'!$A$4,1,0)</f>
        <v>0</v>
      </c>
      <c r="X6268">
        <f>IF(AND(LEFT(D6268,4)+1=LEFT(' Pivot Tables'!$A$4,4)+0,RIGHT(LEFT(D6268,7),2)=RIGHT(LEFT(' Pivot Tables'!$A$4,7),2)),1,0)</f>
        <v>0</v>
      </c>
      <c r="Y6268" s="6">
        <f>1/COUNTIF(Таблица1[Order ID],Таблица1[[#This Row],[Order ID]])</f>
        <v>0.5</v>
      </c>
      <c r="Z6268" s="9">
        <f>1/COUNTIFS(Таблица1[Customer Name],Таблица1[[#This Row],[Customer Name]],Таблица1[Order-Year-Month],Таблица1[[#This Row],[Order-Year-Month]])</f>
        <v>0.5</v>
      </c>
    </row>
    <row r="6269" spans="1:26" x14ac:dyDescent="0.2">
      <c r="A6269" s="6">
        <v>678</v>
      </c>
      <c r="B6269" s="7">
        <v>4739</v>
      </c>
      <c r="C6269" s="8">
        <f>DATE(2012,12,31)-1045</f>
        <v>40229</v>
      </c>
      <c r="D6269" s="8" t="str">
        <f t="shared" si="115"/>
        <v>2010-02 (февраль 2010)</v>
      </c>
      <c r="E6269" s="9" t="s">
        <v>21</v>
      </c>
      <c r="F6269" s="7">
        <v>16</v>
      </c>
      <c r="G6269" s="7">
        <v>48.57</v>
      </c>
      <c r="H6269" s="7">
        <v>0.04</v>
      </c>
      <c r="I6269" s="9" t="s">
        <v>22</v>
      </c>
      <c r="J6269" s="10">
        <v>4.21</v>
      </c>
      <c r="K6269" s="11">
        <v>2.94</v>
      </c>
      <c r="L6269" s="11">
        <v>0.7</v>
      </c>
      <c r="M6269" s="9" t="s">
        <v>2002</v>
      </c>
      <c r="N6269" s="6" t="s">
        <v>1813</v>
      </c>
      <c r="O6269" s="6" t="s">
        <v>512</v>
      </c>
      <c r="P6269" s="9" t="s">
        <v>41</v>
      </c>
      <c r="Q6269" s="9" t="s">
        <v>26</v>
      </c>
      <c r="R6269" s="9" t="s">
        <v>95</v>
      </c>
      <c r="S6269" s="7" t="s">
        <v>1192</v>
      </c>
      <c r="T6269" s="9" t="s">
        <v>68</v>
      </c>
      <c r="U6269" s="7">
        <v>0.57999999999999996</v>
      </c>
      <c r="V6269" s="12">
        <f>C6269+4</f>
        <v>40233</v>
      </c>
      <c r="W6269">
        <f>IF(D6269=' Pivot Tables'!$A$4,1,0)</f>
        <v>0</v>
      </c>
      <c r="X6269">
        <f>IF(AND(LEFT(D6269,4)+1=LEFT(' Pivot Tables'!$A$4,4)+0,RIGHT(LEFT(D6269,7),2)=RIGHT(LEFT(' Pivot Tables'!$A$4,7),2)),1,0)</f>
        <v>0</v>
      </c>
      <c r="Y6269" s="6">
        <f>1/COUNTIF(Таблица1[Order ID],Таблица1[[#This Row],[Order ID]])</f>
        <v>1</v>
      </c>
      <c r="Z6269" s="9">
        <f>1/COUNTIFS(Таблица1[Customer Name],Таблица1[[#This Row],[Customer Name]],Таблица1[Order-Year-Month],Таблица1[[#This Row],[Order-Year-Month]])</f>
        <v>1</v>
      </c>
    </row>
    <row r="6270" spans="1:26" x14ac:dyDescent="0.2">
      <c r="A6270" s="6">
        <v>749</v>
      </c>
      <c r="B6270" s="7">
        <v>5378</v>
      </c>
      <c r="C6270" s="8">
        <f>DATE(2012,12,31)-68</f>
        <v>41206</v>
      </c>
      <c r="D6270" s="8" t="str">
        <f t="shared" si="115"/>
        <v>2012-10 (октябрь 2012)</v>
      </c>
      <c r="E6270" s="9" t="s">
        <v>78</v>
      </c>
      <c r="F6270" s="7">
        <v>6</v>
      </c>
      <c r="G6270" s="7">
        <v>54.28</v>
      </c>
      <c r="H6270" s="7">
        <v>0.01</v>
      </c>
      <c r="I6270" s="9" t="s">
        <v>56</v>
      </c>
      <c r="J6270" s="10">
        <v>-11.98</v>
      </c>
      <c r="K6270" s="11">
        <v>6.24</v>
      </c>
      <c r="L6270" s="11">
        <v>5.22</v>
      </c>
      <c r="M6270" s="9" t="s">
        <v>2003</v>
      </c>
      <c r="N6270" s="6" t="s">
        <v>1813</v>
      </c>
      <c r="O6270" s="6" t="s">
        <v>512</v>
      </c>
      <c r="P6270" s="9" t="s">
        <v>41</v>
      </c>
      <c r="Q6270" s="9" t="s">
        <v>49</v>
      </c>
      <c r="R6270" s="9" t="s">
        <v>50</v>
      </c>
      <c r="S6270" s="7" t="s">
        <v>1140</v>
      </c>
      <c r="T6270" s="9" t="s">
        <v>39</v>
      </c>
      <c r="U6270" s="7">
        <v>0.6</v>
      </c>
      <c r="V6270" s="12">
        <f>C6270+2</f>
        <v>41208</v>
      </c>
      <c r="W6270">
        <f>IF(D6270=' Pivot Tables'!$A$4,1,0)</f>
        <v>0</v>
      </c>
      <c r="X6270">
        <f>IF(AND(LEFT(D6270,4)+1=LEFT(' Pivot Tables'!$A$4,4)+0,RIGHT(LEFT(D6270,7),2)=RIGHT(LEFT(' Pivot Tables'!$A$4,7),2)),1,0)</f>
        <v>0</v>
      </c>
      <c r="Y6270" s="6">
        <f>1/COUNTIF(Таблица1[Order ID],Таблица1[[#This Row],[Order ID]])</f>
        <v>1</v>
      </c>
      <c r="Z6270" s="9">
        <f>1/COUNTIFS(Таблица1[Customer Name],Таблица1[[#This Row],[Customer Name]],Таблица1[Order-Year-Month],Таблица1[[#This Row],[Order-Year-Month]])</f>
        <v>1</v>
      </c>
    </row>
    <row r="6271" spans="1:26" x14ac:dyDescent="0.2">
      <c r="A6271" s="6">
        <v>808</v>
      </c>
      <c r="B6271" s="7">
        <v>5828</v>
      </c>
      <c r="C6271" s="8">
        <f>DATE(2012,12,31)-1397</f>
        <v>39877</v>
      </c>
      <c r="D6271" s="8" t="str">
        <f t="shared" si="115"/>
        <v>2009-03 (март 2009)</v>
      </c>
      <c r="E6271" s="9" t="s">
        <v>21</v>
      </c>
      <c r="F6271" s="7">
        <v>21</v>
      </c>
      <c r="G6271" s="7">
        <v>6005.21</v>
      </c>
      <c r="H6271" s="7">
        <v>0.08</v>
      </c>
      <c r="I6271" s="9" t="s">
        <v>31</v>
      </c>
      <c r="J6271" s="10">
        <v>-450.7</v>
      </c>
      <c r="K6271" s="11">
        <v>296.18</v>
      </c>
      <c r="L6271" s="11">
        <v>54.12</v>
      </c>
      <c r="M6271" s="9" t="s">
        <v>780</v>
      </c>
      <c r="N6271" s="6" t="s">
        <v>1813</v>
      </c>
      <c r="O6271" s="6" t="s">
        <v>512</v>
      </c>
      <c r="P6271" s="9" t="s">
        <v>60</v>
      </c>
      <c r="Q6271" s="9" t="s">
        <v>49</v>
      </c>
      <c r="R6271" s="9" t="s">
        <v>83</v>
      </c>
      <c r="S6271" s="7" t="s">
        <v>425</v>
      </c>
      <c r="T6271" s="9" t="s">
        <v>82</v>
      </c>
      <c r="U6271" s="7">
        <v>0.76</v>
      </c>
      <c r="V6271" s="12">
        <f>C6271+7</f>
        <v>39884</v>
      </c>
      <c r="W6271">
        <f>IF(D6271=' Pivot Tables'!$A$4,1,0)</f>
        <v>0</v>
      </c>
      <c r="X6271">
        <f>IF(AND(LEFT(D6271,4)+1=LEFT(' Pivot Tables'!$A$4,4)+0,RIGHT(LEFT(D6271,7),2)=RIGHT(LEFT(' Pivot Tables'!$A$4,7),2)),1,0)</f>
        <v>0</v>
      </c>
      <c r="Y6271" s="6">
        <f>1/COUNTIF(Таблица1[Order ID],Таблица1[[#This Row],[Order ID]])</f>
        <v>1</v>
      </c>
      <c r="Z6271" s="9">
        <f>1/COUNTIFS(Таблица1[Customer Name],Таблица1[[#This Row],[Customer Name]],Таблица1[Order-Year-Month],Таблица1[[#This Row],[Order-Year-Month]])</f>
        <v>1</v>
      </c>
    </row>
    <row r="6272" spans="1:26" x14ac:dyDescent="0.2">
      <c r="A6272" s="6">
        <v>876</v>
      </c>
      <c r="B6272" s="7">
        <v>6279</v>
      </c>
      <c r="C6272" s="8">
        <f>DATE(2012,12,31)-1067</f>
        <v>40207</v>
      </c>
      <c r="D6272" s="8" t="str">
        <f t="shared" si="115"/>
        <v>2010-01 (январь 2010)</v>
      </c>
      <c r="E6272" s="9" t="s">
        <v>78</v>
      </c>
      <c r="F6272" s="7">
        <v>49</v>
      </c>
      <c r="G6272" s="7">
        <v>3283.74</v>
      </c>
      <c r="H6272" s="7">
        <v>0.01</v>
      </c>
      <c r="I6272" s="9" t="s">
        <v>22</v>
      </c>
      <c r="J6272" s="10">
        <v>723.33300000000008</v>
      </c>
      <c r="K6272" s="11">
        <v>67.28</v>
      </c>
      <c r="L6272" s="11">
        <v>19.989999999999998</v>
      </c>
      <c r="M6272" s="9" t="s">
        <v>1540</v>
      </c>
      <c r="N6272" s="6" t="s">
        <v>1813</v>
      </c>
      <c r="O6272" s="6" t="s">
        <v>512</v>
      </c>
      <c r="P6272" s="9" t="s">
        <v>33</v>
      </c>
      <c r="Q6272" s="9" t="s">
        <v>26</v>
      </c>
      <c r="R6272" s="9" t="s">
        <v>37</v>
      </c>
      <c r="S6272" s="7" t="s">
        <v>637</v>
      </c>
      <c r="T6272" s="9" t="s">
        <v>39</v>
      </c>
      <c r="U6272" s="7">
        <v>0.4</v>
      </c>
      <c r="V6272" s="12">
        <f>C6272+2</f>
        <v>40209</v>
      </c>
      <c r="W6272">
        <f>IF(D6272=' Pivot Tables'!$A$4,1,0)</f>
        <v>1</v>
      </c>
      <c r="X6272">
        <f>IF(AND(LEFT(D6272,4)+1=LEFT(' Pivot Tables'!$A$4,4)+0,RIGHT(LEFT(D6272,7),2)=RIGHT(LEFT(' Pivot Tables'!$A$4,7),2)),1,0)</f>
        <v>0</v>
      </c>
      <c r="Y6272" s="6">
        <f>1/COUNTIF(Таблица1[Order ID],Таблица1[[#This Row],[Order ID]])</f>
        <v>1</v>
      </c>
      <c r="Z6272" s="9">
        <f>1/COUNTIFS(Таблица1[Customer Name],Таблица1[[#This Row],[Customer Name]],Таблица1[Order-Year-Month],Таблица1[[#This Row],[Order-Year-Month]])</f>
        <v>1</v>
      </c>
    </row>
    <row r="6273" spans="1:26" x14ac:dyDescent="0.2">
      <c r="A6273" s="6">
        <v>1000</v>
      </c>
      <c r="B6273" s="7">
        <v>7267</v>
      </c>
      <c r="C6273" s="8">
        <f>DATE(2012,12,31)-125</f>
        <v>41149</v>
      </c>
      <c r="D6273" s="8" t="str">
        <f t="shared" si="115"/>
        <v>2012-08 (август 2012)</v>
      </c>
      <c r="E6273" s="9" t="s">
        <v>30</v>
      </c>
      <c r="F6273" s="7">
        <v>19</v>
      </c>
      <c r="G6273" s="7">
        <v>262.32</v>
      </c>
      <c r="H6273" s="7">
        <v>7.0000000000000007E-2</v>
      </c>
      <c r="I6273" s="9" t="s">
        <v>22</v>
      </c>
      <c r="J6273" s="10">
        <v>5.1595000000000004</v>
      </c>
      <c r="K6273" s="11">
        <v>14.48</v>
      </c>
      <c r="L6273" s="11">
        <v>6.46</v>
      </c>
      <c r="M6273" s="9" t="s">
        <v>1500</v>
      </c>
      <c r="N6273" s="6" t="s">
        <v>1813</v>
      </c>
      <c r="O6273" s="6" t="s">
        <v>512</v>
      </c>
      <c r="P6273" s="9" t="s">
        <v>33</v>
      </c>
      <c r="Q6273" s="9" t="s">
        <v>26</v>
      </c>
      <c r="R6273" s="9" t="s">
        <v>37</v>
      </c>
      <c r="S6273" s="7" t="s">
        <v>816</v>
      </c>
      <c r="T6273" s="9" t="s">
        <v>39</v>
      </c>
      <c r="U6273" s="7">
        <v>0.38</v>
      </c>
      <c r="V6273" s="12">
        <f>C6273+0</f>
        <v>41149</v>
      </c>
      <c r="W6273">
        <f>IF(D6273=' Pivot Tables'!$A$4,1,0)</f>
        <v>0</v>
      </c>
      <c r="X6273">
        <f>IF(AND(LEFT(D6273,4)+1=LEFT(' Pivot Tables'!$A$4,4)+0,RIGHT(LEFT(D6273,7),2)=RIGHT(LEFT(' Pivot Tables'!$A$4,7),2)),1,0)</f>
        <v>0</v>
      </c>
      <c r="Y6273" s="6">
        <f>1/COUNTIF(Таблица1[Order ID],Таблица1[[#This Row],[Order ID]])</f>
        <v>1</v>
      </c>
      <c r="Z6273" s="9">
        <f>1/COUNTIFS(Таблица1[Customer Name],Таблица1[[#This Row],[Customer Name]],Таблица1[Order-Year-Month],Таблица1[[#This Row],[Order-Year-Month]])</f>
        <v>1</v>
      </c>
    </row>
    <row r="6274" spans="1:26" x14ac:dyDescent="0.2">
      <c r="A6274" s="6">
        <v>1001</v>
      </c>
      <c r="B6274" s="7">
        <v>7269</v>
      </c>
      <c r="C6274" s="8">
        <f>DATE(2012,12,31)-1204</f>
        <v>40070</v>
      </c>
      <c r="D6274" s="8" t="str">
        <f t="shared" si="115"/>
        <v>2009-09 (сентябрь 2009)</v>
      </c>
      <c r="E6274" s="9" t="s">
        <v>63</v>
      </c>
      <c r="F6274" s="7">
        <v>29</v>
      </c>
      <c r="G6274" s="7">
        <v>1707.99</v>
      </c>
      <c r="H6274" s="7">
        <v>0</v>
      </c>
      <c r="I6274" s="9" t="s">
        <v>22</v>
      </c>
      <c r="J6274" s="10">
        <v>391.185</v>
      </c>
      <c r="K6274" s="11">
        <v>65.989999999999995</v>
      </c>
      <c r="L6274" s="11">
        <v>3.99</v>
      </c>
      <c r="M6274" s="9" t="s">
        <v>1500</v>
      </c>
      <c r="N6274" s="6" t="s">
        <v>1813</v>
      </c>
      <c r="O6274" s="6" t="s">
        <v>512</v>
      </c>
      <c r="P6274" s="9" t="s">
        <v>33</v>
      </c>
      <c r="Q6274" s="9" t="s">
        <v>42</v>
      </c>
      <c r="R6274" s="9" t="s">
        <v>43</v>
      </c>
      <c r="S6274" s="7" t="s">
        <v>582</v>
      </c>
      <c r="T6274" s="9" t="s">
        <v>39</v>
      </c>
      <c r="U6274" s="7">
        <v>0.59</v>
      </c>
      <c r="V6274" s="12">
        <f>C6274+1</f>
        <v>40071</v>
      </c>
      <c r="W6274">
        <f>IF(D6274=' Pivot Tables'!$A$4,1,0)</f>
        <v>0</v>
      </c>
      <c r="X6274">
        <f>IF(AND(LEFT(D6274,4)+1=LEFT(' Pivot Tables'!$A$4,4)+0,RIGHT(LEFT(D6274,7),2)=RIGHT(LEFT(' Pivot Tables'!$A$4,7),2)),1,0)</f>
        <v>0</v>
      </c>
      <c r="Y6274" s="6">
        <f>1/COUNTIF(Таблица1[Order ID],Таблица1[[#This Row],[Order ID]])</f>
        <v>1</v>
      </c>
      <c r="Z6274" s="9">
        <f>1/COUNTIFS(Таблица1[Customer Name],Таблица1[[#This Row],[Customer Name]],Таблица1[Order-Year-Month],Таблица1[[#This Row],[Order-Year-Month]])</f>
        <v>1</v>
      </c>
    </row>
    <row r="6275" spans="1:26" x14ac:dyDescent="0.2">
      <c r="A6275" s="6">
        <v>1031</v>
      </c>
      <c r="B6275" s="7">
        <v>7527</v>
      </c>
      <c r="C6275" s="8">
        <f>DATE(2012,12,31)-1116</f>
        <v>40158</v>
      </c>
      <c r="D6275" s="8" t="str">
        <f t="shared" ref="D6275:D6338" si="116">TEXT(C6275,"гггг-ММ (ММММ гггг)")</f>
        <v>2009-12 (декабрь 2009)</v>
      </c>
      <c r="E6275" s="9" t="s">
        <v>63</v>
      </c>
      <c r="F6275" s="7">
        <v>37</v>
      </c>
      <c r="G6275" s="7">
        <v>560.39</v>
      </c>
      <c r="H6275" s="7">
        <v>0.05</v>
      </c>
      <c r="I6275" s="9" t="s">
        <v>22</v>
      </c>
      <c r="J6275" s="10">
        <v>186.87</v>
      </c>
      <c r="K6275" s="11">
        <v>15.68</v>
      </c>
      <c r="L6275" s="11">
        <v>3.73</v>
      </c>
      <c r="M6275" s="9" t="s">
        <v>1713</v>
      </c>
      <c r="N6275" s="6" t="s">
        <v>1813</v>
      </c>
      <c r="O6275" s="6" t="s">
        <v>512</v>
      </c>
      <c r="P6275" s="9" t="s">
        <v>25</v>
      </c>
      <c r="Q6275" s="9" t="s">
        <v>49</v>
      </c>
      <c r="R6275" s="9" t="s">
        <v>50</v>
      </c>
      <c r="S6275" s="7" t="s">
        <v>1044</v>
      </c>
      <c r="T6275" s="9" t="s">
        <v>52</v>
      </c>
      <c r="U6275" s="7">
        <v>0.46</v>
      </c>
      <c r="V6275" s="12">
        <f>C6275+1</f>
        <v>40159</v>
      </c>
      <c r="W6275">
        <f>IF(D6275=' Pivot Tables'!$A$4,1,0)</f>
        <v>0</v>
      </c>
      <c r="X6275">
        <f>IF(AND(LEFT(D6275,4)+1=LEFT(' Pivot Tables'!$A$4,4)+0,RIGHT(LEFT(D6275,7),2)=RIGHT(LEFT(' Pivot Tables'!$A$4,7),2)),1,0)</f>
        <v>0</v>
      </c>
      <c r="Y6275" s="6">
        <f>1/COUNTIF(Таблица1[Order ID],Таблица1[[#This Row],[Order ID]])</f>
        <v>0.5</v>
      </c>
      <c r="Z6275" s="9">
        <f>1/COUNTIFS(Таблица1[Customer Name],Таблица1[[#This Row],[Customer Name]],Таблица1[Order-Year-Month],Таблица1[[#This Row],[Order-Year-Month]])</f>
        <v>0.5</v>
      </c>
    </row>
    <row r="6276" spans="1:26" x14ac:dyDescent="0.2">
      <c r="A6276" s="6">
        <v>1032</v>
      </c>
      <c r="B6276" s="7">
        <v>7527</v>
      </c>
      <c r="C6276" s="8">
        <f>DATE(2012,12,31)-1116</f>
        <v>40158</v>
      </c>
      <c r="D6276" s="8" t="str">
        <f t="shared" si="116"/>
        <v>2009-12 (декабрь 2009)</v>
      </c>
      <c r="E6276" s="9" t="s">
        <v>63</v>
      </c>
      <c r="F6276" s="7">
        <v>42</v>
      </c>
      <c r="G6276" s="7">
        <v>7062.6159999999991</v>
      </c>
      <c r="H6276" s="7">
        <v>0.02</v>
      </c>
      <c r="I6276" s="9" t="s">
        <v>22</v>
      </c>
      <c r="J6276" s="10">
        <v>2288.6369999999997</v>
      </c>
      <c r="K6276" s="11">
        <v>195.99</v>
      </c>
      <c r="L6276" s="11">
        <v>4.2</v>
      </c>
      <c r="M6276" s="9" t="s">
        <v>1713</v>
      </c>
      <c r="N6276" s="6" t="s">
        <v>1813</v>
      </c>
      <c r="O6276" s="6" t="s">
        <v>512</v>
      </c>
      <c r="P6276" s="9" t="s">
        <v>25</v>
      </c>
      <c r="Q6276" s="9" t="s">
        <v>42</v>
      </c>
      <c r="R6276" s="9" t="s">
        <v>43</v>
      </c>
      <c r="S6276" s="7" t="s">
        <v>1017</v>
      </c>
      <c r="T6276" s="9" t="s">
        <v>39</v>
      </c>
      <c r="U6276" s="7">
        <v>0.56000000000000005</v>
      </c>
      <c r="V6276" s="12">
        <f>C6276+1</f>
        <v>40159</v>
      </c>
      <c r="W6276">
        <f>IF(D6276=' Pivot Tables'!$A$4,1,0)</f>
        <v>0</v>
      </c>
      <c r="X6276">
        <f>IF(AND(LEFT(D6276,4)+1=LEFT(' Pivot Tables'!$A$4,4)+0,RIGHT(LEFT(D6276,7),2)=RIGHT(LEFT(' Pivot Tables'!$A$4,7),2)),1,0)</f>
        <v>0</v>
      </c>
      <c r="Y6276" s="6">
        <f>1/COUNTIF(Таблица1[Order ID],Таблица1[[#This Row],[Order ID]])</f>
        <v>0.5</v>
      </c>
      <c r="Z6276" s="9">
        <f>1/COUNTIFS(Таблица1[Customer Name],Таблица1[[#This Row],[Customer Name]],Таблица1[Order-Year-Month],Таблица1[[#This Row],[Order-Year-Month]])</f>
        <v>0.5</v>
      </c>
    </row>
    <row r="6277" spans="1:26" x14ac:dyDescent="0.2">
      <c r="A6277" s="6">
        <v>1170</v>
      </c>
      <c r="B6277" s="7">
        <v>8546</v>
      </c>
      <c r="C6277" s="8">
        <f>DATE(2012,12,31)-274</f>
        <v>41000</v>
      </c>
      <c r="D6277" s="8" t="str">
        <f t="shared" si="116"/>
        <v>2012-04 (апрель 2012)</v>
      </c>
      <c r="E6277" s="9" t="s">
        <v>30</v>
      </c>
      <c r="F6277" s="7">
        <v>4</v>
      </c>
      <c r="G6277" s="7">
        <v>51.94</v>
      </c>
      <c r="H6277" s="7">
        <v>0.03</v>
      </c>
      <c r="I6277" s="9" t="s">
        <v>56</v>
      </c>
      <c r="J6277" s="10">
        <v>-12.48</v>
      </c>
      <c r="K6277" s="11">
        <v>10.01</v>
      </c>
      <c r="L6277" s="11">
        <v>1.99</v>
      </c>
      <c r="M6277" s="9" t="s">
        <v>1713</v>
      </c>
      <c r="N6277" s="6" t="s">
        <v>1813</v>
      </c>
      <c r="O6277" s="6" t="s">
        <v>512</v>
      </c>
      <c r="P6277" s="9" t="s">
        <v>25</v>
      </c>
      <c r="Q6277" s="9" t="s">
        <v>42</v>
      </c>
      <c r="R6277" s="9" t="s">
        <v>70</v>
      </c>
      <c r="S6277" s="7" t="s">
        <v>444</v>
      </c>
      <c r="T6277" s="9" t="s">
        <v>52</v>
      </c>
      <c r="U6277" s="7">
        <v>0.41</v>
      </c>
      <c r="V6277" s="12">
        <f>C6277+2</f>
        <v>41002</v>
      </c>
      <c r="W6277">
        <f>IF(D6277=' Pivot Tables'!$A$4,1,0)</f>
        <v>0</v>
      </c>
      <c r="X6277">
        <f>IF(AND(LEFT(D6277,4)+1=LEFT(' Pivot Tables'!$A$4,4)+0,RIGHT(LEFT(D6277,7),2)=RIGHT(LEFT(' Pivot Tables'!$A$4,7),2)),1,0)</f>
        <v>0</v>
      </c>
      <c r="Y6277" s="6">
        <f>1/COUNTIF(Таблица1[Order ID],Таблица1[[#This Row],[Order ID]])</f>
        <v>1</v>
      </c>
      <c r="Z6277" s="9">
        <f>1/COUNTIFS(Таблица1[Customer Name],Таблица1[[#This Row],[Customer Name]],Таблица1[Order-Year-Month],Таблица1[[#This Row],[Order-Year-Month]])</f>
        <v>1</v>
      </c>
    </row>
    <row r="6278" spans="1:26" x14ac:dyDescent="0.2">
      <c r="A6278" s="6">
        <v>1174</v>
      </c>
      <c r="B6278" s="7">
        <v>8578</v>
      </c>
      <c r="C6278" s="8">
        <f>DATE(2012,12,31)-486</f>
        <v>40788</v>
      </c>
      <c r="D6278" s="8" t="str">
        <f t="shared" si="116"/>
        <v>2011-09 (сентябрь 2011)</v>
      </c>
      <c r="E6278" s="9" t="s">
        <v>30</v>
      </c>
      <c r="F6278" s="7">
        <v>40</v>
      </c>
      <c r="G6278" s="7">
        <v>366.87</v>
      </c>
      <c r="H6278" s="7">
        <v>0.1</v>
      </c>
      <c r="I6278" s="9" t="s">
        <v>22</v>
      </c>
      <c r="J6278" s="10">
        <v>-1.79</v>
      </c>
      <c r="K6278" s="11">
        <v>9.74</v>
      </c>
      <c r="L6278" s="11">
        <v>5.71</v>
      </c>
      <c r="M6278" s="9" t="s">
        <v>833</v>
      </c>
      <c r="N6278" s="6" t="s">
        <v>1813</v>
      </c>
      <c r="O6278" s="6" t="s">
        <v>512</v>
      </c>
      <c r="P6278" s="9" t="s">
        <v>41</v>
      </c>
      <c r="Q6278" s="9" t="s">
        <v>49</v>
      </c>
      <c r="R6278" s="9" t="s">
        <v>50</v>
      </c>
      <c r="S6278" s="7" t="s">
        <v>1795</v>
      </c>
      <c r="T6278" s="9" t="s">
        <v>39</v>
      </c>
      <c r="U6278" s="7">
        <v>0.41</v>
      </c>
      <c r="V6278" s="12">
        <f>C6278+1</f>
        <v>40789</v>
      </c>
      <c r="W6278">
        <f>IF(D6278=' Pivot Tables'!$A$4,1,0)</f>
        <v>0</v>
      </c>
      <c r="X6278">
        <f>IF(AND(LEFT(D6278,4)+1=LEFT(' Pivot Tables'!$A$4,4)+0,RIGHT(LEFT(D6278,7),2)=RIGHT(LEFT(' Pivot Tables'!$A$4,7),2)),1,0)</f>
        <v>0</v>
      </c>
      <c r="Y6278" s="6">
        <f>1/COUNTIF(Таблица1[Order ID],Таблица1[[#This Row],[Order ID]])</f>
        <v>1</v>
      </c>
      <c r="Z6278" s="9">
        <f>1/COUNTIFS(Таблица1[Customer Name],Таблица1[[#This Row],[Customer Name]],Таблица1[Order-Year-Month],Таблица1[[#This Row],[Order-Year-Month]])</f>
        <v>0.2</v>
      </c>
    </row>
    <row r="6279" spans="1:26" x14ac:dyDescent="0.2">
      <c r="A6279" s="6">
        <v>1326</v>
      </c>
      <c r="B6279" s="7">
        <v>9669</v>
      </c>
      <c r="C6279" s="8">
        <f>DATE(2012,12,31)-1349</f>
        <v>39925</v>
      </c>
      <c r="D6279" s="8" t="str">
        <f t="shared" si="116"/>
        <v>2009-04 (апрель 2009)</v>
      </c>
      <c r="E6279" s="9" t="s">
        <v>63</v>
      </c>
      <c r="F6279" s="7">
        <v>18</v>
      </c>
      <c r="G6279" s="7">
        <v>292.11</v>
      </c>
      <c r="H6279" s="7">
        <v>0.04</v>
      </c>
      <c r="I6279" s="9" t="s">
        <v>56</v>
      </c>
      <c r="J6279" s="10">
        <v>-91.95</v>
      </c>
      <c r="K6279" s="11">
        <v>15.42</v>
      </c>
      <c r="L6279" s="11">
        <v>10.68</v>
      </c>
      <c r="M6279" s="9" t="s">
        <v>2003</v>
      </c>
      <c r="N6279" s="6" t="s">
        <v>1813</v>
      </c>
      <c r="O6279" s="6" t="s">
        <v>512</v>
      </c>
      <c r="P6279" s="9" t="s">
        <v>41</v>
      </c>
      <c r="Q6279" s="9" t="s">
        <v>26</v>
      </c>
      <c r="R6279" s="9" t="s">
        <v>27</v>
      </c>
      <c r="S6279" s="7" t="s">
        <v>1645</v>
      </c>
      <c r="T6279" s="9" t="s">
        <v>39</v>
      </c>
      <c r="U6279" s="7">
        <v>0.57999999999999996</v>
      </c>
      <c r="V6279" s="12">
        <f>C6279+1</f>
        <v>39926</v>
      </c>
      <c r="W6279">
        <f>IF(D6279=' Pivot Tables'!$A$4,1,0)</f>
        <v>0</v>
      </c>
      <c r="X6279">
        <f>IF(AND(LEFT(D6279,4)+1=LEFT(' Pivot Tables'!$A$4,4)+0,RIGHT(LEFT(D6279,7),2)=RIGHT(LEFT(' Pivot Tables'!$A$4,7),2)),1,0)</f>
        <v>0</v>
      </c>
      <c r="Y6279" s="6">
        <f>1/COUNTIF(Таблица1[Order ID],Таблица1[[#This Row],[Order ID]])</f>
        <v>1</v>
      </c>
      <c r="Z6279" s="9">
        <f>1/COUNTIFS(Таблица1[Customer Name],Таблица1[[#This Row],[Customer Name]],Таблица1[Order-Year-Month],Таблица1[[#This Row],[Order-Year-Month]])</f>
        <v>1</v>
      </c>
    </row>
    <row r="6280" spans="1:26" x14ac:dyDescent="0.2">
      <c r="A6280" s="6">
        <v>1373</v>
      </c>
      <c r="B6280" s="7">
        <v>9952</v>
      </c>
      <c r="C6280" s="8">
        <f>DATE(2012,12,31)-244</f>
        <v>41030</v>
      </c>
      <c r="D6280" s="8" t="str">
        <f t="shared" si="116"/>
        <v>2012-05 (май 2012)</v>
      </c>
      <c r="E6280" s="9" t="s">
        <v>30</v>
      </c>
      <c r="F6280" s="7">
        <v>47</v>
      </c>
      <c r="G6280" s="7">
        <v>7890.89</v>
      </c>
      <c r="H6280" s="7">
        <v>0.01</v>
      </c>
      <c r="I6280" s="9" t="s">
        <v>56</v>
      </c>
      <c r="J6280" s="10">
        <v>-771.09</v>
      </c>
      <c r="K6280" s="11">
        <v>167.27</v>
      </c>
      <c r="L6280" s="11">
        <v>35</v>
      </c>
      <c r="M6280" s="9" t="s">
        <v>1644</v>
      </c>
      <c r="N6280" s="6" t="s">
        <v>1813</v>
      </c>
      <c r="O6280" s="6" t="s">
        <v>512</v>
      </c>
      <c r="P6280" s="9" t="s">
        <v>60</v>
      </c>
      <c r="Q6280" s="9" t="s">
        <v>26</v>
      </c>
      <c r="R6280" s="9" t="s">
        <v>27</v>
      </c>
      <c r="S6280" s="7" t="s">
        <v>978</v>
      </c>
      <c r="T6280" s="9" t="s">
        <v>29</v>
      </c>
      <c r="U6280" s="7">
        <v>0.85</v>
      </c>
      <c r="V6280" s="12">
        <f>C6280+2</f>
        <v>41032</v>
      </c>
      <c r="W6280">
        <f>IF(D6280=' Pivot Tables'!$A$4,1,0)</f>
        <v>0</v>
      </c>
      <c r="X6280">
        <f>IF(AND(LEFT(D6280,4)+1=LEFT(' Pivot Tables'!$A$4,4)+0,RIGHT(LEFT(D6280,7),2)=RIGHT(LEFT(' Pivot Tables'!$A$4,7),2)),1,0)</f>
        <v>0</v>
      </c>
      <c r="Y6280" s="6">
        <f>1/COUNTIF(Таблица1[Order ID],Таблица1[[#This Row],[Order ID]])</f>
        <v>1</v>
      </c>
      <c r="Z6280" s="9">
        <f>1/COUNTIFS(Таблица1[Customer Name],Таблица1[[#This Row],[Customer Name]],Таблица1[Order-Year-Month],Таблица1[[#This Row],[Order-Year-Month]])</f>
        <v>1</v>
      </c>
    </row>
    <row r="6281" spans="1:26" x14ac:dyDescent="0.2">
      <c r="A6281" s="6">
        <v>1474</v>
      </c>
      <c r="B6281" s="7">
        <v>10630</v>
      </c>
      <c r="C6281" s="8">
        <f>DATE(2012,12,31)-1061</f>
        <v>40213</v>
      </c>
      <c r="D6281" s="8" t="str">
        <f t="shared" si="116"/>
        <v>2010-02 (февраль 2010)</v>
      </c>
      <c r="E6281" s="9" t="s">
        <v>63</v>
      </c>
      <c r="F6281" s="7">
        <v>44</v>
      </c>
      <c r="G6281" s="7">
        <v>2773.84</v>
      </c>
      <c r="H6281" s="7">
        <v>0</v>
      </c>
      <c r="I6281" s="9" t="s">
        <v>31</v>
      </c>
      <c r="J6281" s="10">
        <v>-513.76</v>
      </c>
      <c r="K6281" s="11">
        <v>58.14</v>
      </c>
      <c r="L6281" s="11">
        <v>36.61</v>
      </c>
      <c r="M6281" s="9" t="s">
        <v>2004</v>
      </c>
      <c r="N6281" s="6" t="s">
        <v>1813</v>
      </c>
      <c r="O6281" s="6" t="s">
        <v>512</v>
      </c>
      <c r="P6281" s="9" t="s">
        <v>41</v>
      </c>
      <c r="Q6281" s="9" t="s">
        <v>49</v>
      </c>
      <c r="R6281" s="9" t="s">
        <v>80</v>
      </c>
      <c r="S6281" s="7" t="s">
        <v>233</v>
      </c>
      <c r="T6281" s="9" t="s">
        <v>82</v>
      </c>
      <c r="U6281" s="7">
        <v>0.61</v>
      </c>
      <c r="V6281" s="12">
        <f>C6281+2</f>
        <v>40215</v>
      </c>
      <c r="W6281">
        <f>IF(D6281=' Pivot Tables'!$A$4,1,0)</f>
        <v>0</v>
      </c>
      <c r="X6281">
        <f>IF(AND(LEFT(D6281,4)+1=LEFT(' Pivot Tables'!$A$4,4)+0,RIGHT(LEFT(D6281,7),2)=RIGHT(LEFT(' Pivot Tables'!$A$4,7),2)),1,0)</f>
        <v>0</v>
      </c>
      <c r="Y6281" s="6">
        <f>1/COUNTIF(Таблица1[Order ID],Таблица1[[#This Row],[Order ID]])</f>
        <v>1</v>
      </c>
      <c r="Z6281" s="9">
        <f>1/COUNTIFS(Таблица1[Customer Name],Таблица1[[#This Row],[Customer Name]],Таблица1[Order-Year-Month],Таблица1[[#This Row],[Order-Year-Month]])</f>
        <v>0.2</v>
      </c>
    </row>
    <row r="6282" spans="1:26" x14ac:dyDescent="0.2">
      <c r="A6282" s="6">
        <v>1475</v>
      </c>
      <c r="B6282" s="7">
        <v>10657</v>
      </c>
      <c r="C6282" s="8">
        <f>DATE(2012,12,31)-828</f>
        <v>40446</v>
      </c>
      <c r="D6282" s="8" t="str">
        <f t="shared" si="116"/>
        <v>2010-09 (сентябрь 2010)</v>
      </c>
      <c r="E6282" s="9" t="s">
        <v>63</v>
      </c>
      <c r="F6282" s="7">
        <v>44</v>
      </c>
      <c r="G6282" s="7">
        <v>289.94</v>
      </c>
      <c r="H6282" s="7">
        <v>7.0000000000000007E-2</v>
      </c>
      <c r="I6282" s="9" t="s">
        <v>22</v>
      </c>
      <c r="J6282" s="10">
        <v>-102.19</v>
      </c>
      <c r="K6282" s="11">
        <v>6.48</v>
      </c>
      <c r="L6282" s="11">
        <v>6.22</v>
      </c>
      <c r="M6282" s="9" t="s">
        <v>2000</v>
      </c>
      <c r="N6282" s="6" t="s">
        <v>1813</v>
      </c>
      <c r="O6282" s="6" t="s">
        <v>512</v>
      </c>
      <c r="P6282" s="9" t="s">
        <v>33</v>
      </c>
      <c r="Q6282" s="9" t="s">
        <v>26</v>
      </c>
      <c r="R6282" s="9" t="s">
        <v>61</v>
      </c>
      <c r="S6282" s="7" t="s">
        <v>943</v>
      </c>
      <c r="T6282" s="9" t="s">
        <v>39</v>
      </c>
      <c r="U6282" s="7">
        <v>0.37</v>
      </c>
      <c r="V6282" s="12">
        <f>C6282+2</f>
        <v>40448</v>
      </c>
      <c r="W6282">
        <f>IF(D6282=' Pivot Tables'!$A$4,1,0)</f>
        <v>0</v>
      </c>
      <c r="X6282">
        <f>IF(AND(LEFT(D6282,4)+1=LEFT(' Pivot Tables'!$A$4,4)+0,RIGHT(LEFT(D6282,7),2)=RIGHT(LEFT(' Pivot Tables'!$A$4,7),2)),1,0)</f>
        <v>0</v>
      </c>
      <c r="Y6282" s="6">
        <f>1/COUNTIF(Таблица1[Order ID],Таблица1[[#This Row],[Order ID]])</f>
        <v>0.5</v>
      </c>
      <c r="Z6282" s="9">
        <f>1/COUNTIFS(Таблица1[Customer Name],Таблица1[[#This Row],[Customer Name]],Таблица1[Order-Year-Month],Таблица1[[#This Row],[Order-Year-Month]])</f>
        <v>0.5</v>
      </c>
    </row>
    <row r="6283" spans="1:26" x14ac:dyDescent="0.2">
      <c r="A6283" s="6">
        <v>1476</v>
      </c>
      <c r="B6283" s="7">
        <v>10657</v>
      </c>
      <c r="C6283" s="8">
        <f>DATE(2012,12,31)-828</f>
        <v>40446</v>
      </c>
      <c r="D6283" s="8" t="str">
        <f t="shared" si="116"/>
        <v>2010-09 (сентябрь 2010)</v>
      </c>
      <c r="E6283" s="9" t="s">
        <v>63</v>
      </c>
      <c r="F6283" s="7">
        <v>8</v>
      </c>
      <c r="G6283" s="7">
        <v>1848.52</v>
      </c>
      <c r="H6283" s="7">
        <v>0.05</v>
      </c>
      <c r="I6283" s="9" t="s">
        <v>31</v>
      </c>
      <c r="J6283" s="10">
        <v>-493.6</v>
      </c>
      <c r="K6283" s="11">
        <v>218.75</v>
      </c>
      <c r="L6283" s="11">
        <v>69.64</v>
      </c>
      <c r="M6283" s="9" t="s">
        <v>2000</v>
      </c>
      <c r="N6283" s="6" t="s">
        <v>1813</v>
      </c>
      <c r="O6283" s="6" t="s">
        <v>512</v>
      </c>
      <c r="P6283" s="9" t="s">
        <v>33</v>
      </c>
      <c r="Q6283" s="9" t="s">
        <v>49</v>
      </c>
      <c r="R6283" s="9" t="s">
        <v>83</v>
      </c>
      <c r="S6283" s="7" t="s">
        <v>254</v>
      </c>
      <c r="T6283" s="9" t="s">
        <v>82</v>
      </c>
      <c r="U6283" s="7">
        <v>0.77</v>
      </c>
      <c r="V6283" s="12">
        <f>C6283+1</f>
        <v>40447</v>
      </c>
      <c r="W6283">
        <f>IF(D6283=' Pivot Tables'!$A$4,1,0)</f>
        <v>0</v>
      </c>
      <c r="X6283">
        <f>IF(AND(LEFT(D6283,4)+1=LEFT(' Pivot Tables'!$A$4,4)+0,RIGHT(LEFT(D6283,7),2)=RIGHT(LEFT(' Pivot Tables'!$A$4,7),2)),1,0)</f>
        <v>0</v>
      </c>
      <c r="Y6283" s="6">
        <f>1/COUNTIF(Таблица1[Order ID],Таблица1[[#This Row],[Order ID]])</f>
        <v>0.5</v>
      </c>
      <c r="Z6283" s="9">
        <f>1/COUNTIFS(Таблица1[Customer Name],Таблица1[[#This Row],[Customer Name]],Таблица1[Order-Year-Month],Таблица1[[#This Row],[Order-Year-Month]])</f>
        <v>0.5</v>
      </c>
    </row>
    <row r="6284" spans="1:26" x14ac:dyDescent="0.2">
      <c r="A6284" s="6">
        <v>1482</v>
      </c>
      <c r="B6284" s="7">
        <v>10661</v>
      </c>
      <c r="C6284" s="8">
        <f>DATE(2012,12,31)-1438</f>
        <v>39836</v>
      </c>
      <c r="D6284" s="8" t="str">
        <f t="shared" si="116"/>
        <v>2009-01 (январь 2009)</v>
      </c>
      <c r="E6284" s="9" t="s">
        <v>45</v>
      </c>
      <c r="F6284" s="7">
        <v>42</v>
      </c>
      <c r="G6284" s="7">
        <v>1312.65</v>
      </c>
      <c r="H6284" s="7">
        <v>7.0000000000000007E-2</v>
      </c>
      <c r="I6284" s="9" t="s">
        <v>22</v>
      </c>
      <c r="J6284" s="10">
        <v>488.31</v>
      </c>
      <c r="K6284" s="11">
        <v>30.98</v>
      </c>
      <c r="L6284" s="11">
        <v>5.76</v>
      </c>
      <c r="M6284" s="9" t="s">
        <v>812</v>
      </c>
      <c r="N6284" s="6" t="s">
        <v>1813</v>
      </c>
      <c r="O6284" s="6" t="s">
        <v>512</v>
      </c>
      <c r="P6284" s="9" t="s">
        <v>33</v>
      </c>
      <c r="Q6284" s="9" t="s">
        <v>26</v>
      </c>
      <c r="R6284" s="9" t="s">
        <v>61</v>
      </c>
      <c r="S6284" s="7" t="s">
        <v>117</v>
      </c>
      <c r="T6284" s="9" t="s">
        <v>39</v>
      </c>
      <c r="U6284" s="7">
        <v>0.4</v>
      </c>
      <c r="V6284" s="12">
        <f>C6284+2</f>
        <v>39838</v>
      </c>
      <c r="W6284">
        <f>IF(D6284=' Pivot Tables'!$A$4,1,0)</f>
        <v>0</v>
      </c>
      <c r="X6284">
        <f>IF(AND(LEFT(D6284,4)+1=LEFT(' Pivot Tables'!$A$4,4)+0,RIGHT(LEFT(D6284,7),2)=RIGHT(LEFT(' Pivot Tables'!$A$4,7),2)),1,0)</f>
        <v>1</v>
      </c>
      <c r="Y6284" s="6">
        <f>1/COUNTIF(Таблица1[Order ID],Таблица1[[#This Row],[Order ID]])</f>
        <v>0.5</v>
      </c>
      <c r="Z6284" s="9">
        <f>1/COUNTIFS(Таблица1[Customer Name],Таблица1[[#This Row],[Customer Name]],Таблица1[Order-Year-Month],Таблица1[[#This Row],[Order-Year-Month]])</f>
        <v>0.5</v>
      </c>
    </row>
    <row r="6285" spans="1:26" x14ac:dyDescent="0.2">
      <c r="A6285" s="6">
        <v>1582</v>
      </c>
      <c r="B6285" s="7">
        <v>11427</v>
      </c>
      <c r="C6285" s="8">
        <f>DATE(2012,12,31)-768</f>
        <v>40506</v>
      </c>
      <c r="D6285" s="8" t="str">
        <f t="shared" si="116"/>
        <v>2010-11 (ноябрь 2010)</v>
      </c>
      <c r="E6285" s="9" t="s">
        <v>63</v>
      </c>
      <c r="F6285" s="7">
        <v>27</v>
      </c>
      <c r="G6285" s="7">
        <v>58.64</v>
      </c>
      <c r="H6285" s="7">
        <v>0.08</v>
      </c>
      <c r="I6285" s="9" t="s">
        <v>22</v>
      </c>
      <c r="J6285" s="10">
        <v>4.55</v>
      </c>
      <c r="K6285" s="11">
        <v>2.21</v>
      </c>
      <c r="L6285" s="11">
        <v>1</v>
      </c>
      <c r="M6285" s="9" t="s">
        <v>1713</v>
      </c>
      <c r="N6285" s="6" t="s">
        <v>1813</v>
      </c>
      <c r="O6285" s="6" t="s">
        <v>512</v>
      </c>
      <c r="P6285" s="9" t="s">
        <v>25</v>
      </c>
      <c r="Q6285" s="9" t="s">
        <v>26</v>
      </c>
      <c r="R6285" s="9" t="s">
        <v>95</v>
      </c>
      <c r="S6285" s="7" t="s">
        <v>1737</v>
      </c>
      <c r="T6285" s="9" t="s">
        <v>68</v>
      </c>
      <c r="U6285" s="7">
        <v>0.38</v>
      </c>
      <c r="V6285" s="12">
        <f>C6285+1</f>
        <v>40507</v>
      </c>
      <c r="W6285">
        <f>IF(D6285=' Pivot Tables'!$A$4,1,0)</f>
        <v>0</v>
      </c>
      <c r="X6285">
        <f>IF(AND(LEFT(D6285,4)+1=LEFT(' Pivot Tables'!$A$4,4)+0,RIGHT(LEFT(D6285,7),2)=RIGHT(LEFT(' Pivot Tables'!$A$4,7),2)),1,0)</f>
        <v>0</v>
      </c>
      <c r="Y6285" s="6">
        <f>1/COUNTIF(Таблица1[Order ID],Таблица1[[#This Row],[Order ID]])</f>
        <v>0.5</v>
      </c>
      <c r="Z6285" s="9">
        <f>1/COUNTIFS(Таблица1[Customer Name],Таблица1[[#This Row],[Customer Name]],Таблица1[Order-Year-Month],Таблица1[[#This Row],[Order-Year-Month]])</f>
        <v>0.5</v>
      </c>
    </row>
    <row r="6286" spans="1:26" x14ac:dyDescent="0.2">
      <c r="A6286" s="6">
        <v>1583</v>
      </c>
      <c r="B6286" s="7">
        <v>11427</v>
      </c>
      <c r="C6286" s="8">
        <f>DATE(2012,12,31)-768</f>
        <v>40506</v>
      </c>
      <c r="D6286" s="8" t="str">
        <f t="shared" si="116"/>
        <v>2010-11 (ноябрь 2010)</v>
      </c>
      <c r="E6286" s="9" t="s">
        <v>63</v>
      </c>
      <c r="F6286" s="7">
        <v>20</v>
      </c>
      <c r="G6286" s="7">
        <v>136.06</v>
      </c>
      <c r="H6286" s="7">
        <v>0.04</v>
      </c>
      <c r="I6286" s="9" t="s">
        <v>22</v>
      </c>
      <c r="J6286" s="10">
        <v>-33.223500000000001</v>
      </c>
      <c r="K6286" s="11">
        <v>6.37</v>
      </c>
      <c r="L6286" s="11">
        <v>5.19</v>
      </c>
      <c r="M6286" s="9" t="s">
        <v>1713</v>
      </c>
      <c r="N6286" s="6" t="s">
        <v>1813</v>
      </c>
      <c r="O6286" s="6" t="s">
        <v>512</v>
      </c>
      <c r="P6286" s="9" t="s">
        <v>25</v>
      </c>
      <c r="Q6286" s="9" t="s">
        <v>26</v>
      </c>
      <c r="R6286" s="9" t="s">
        <v>37</v>
      </c>
      <c r="S6286" s="7" t="s">
        <v>1379</v>
      </c>
      <c r="T6286" s="9" t="s">
        <v>39</v>
      </c>
      <c r="U6286" s="7">
        <v>0.38</v>
      </c>
      <c r="V6286" s="12">
        <f>C6286+2</f>
        <v>40508</v>
      </c>
      <c r="W6286">
        <f>IF(D6286=' Pivot Tables'!$A$4,1,0)</f>
        <v>0</v>
      </c>
      <c r="X6286">
        <f>IF(AND(LEFT(D6286,4)+1=LEFT(' Pivot Tables'!$A$4,4)+0,RIGHT(LEFT(D6286,7),2)=RIGHT(LEFT(' Pivot Tables'!$A$4,7),2)),1,0)</f>
        <v>0</v>
      </c>
      <c r="Y6286" s="6">
        <f>1/COUNTIF(Таблица1[Order ID],Таблица1[[#This Row],[Order ID]])</f>
        <v>0.5</v>
      </c>
      <c r="Z6286" s="9">
        <f>1/COUNTIFS(Таблица1[Customer Name],Таблица1[[#This Row],[Customer Name]],Таблица1[Order-Year-Month],Таблица1[[#This Row],[Order-Year-Month]])</f>
        <v>0.5</v>
      </c>
    </row>
    <row r="6287" spans="1:26" x14ac:dyDescent="0.2">
      <c r="A6287" s="6">
        <v>1667</v>
      </c>
      <c r="B6287" s="7">
        <v>12037</v>
      </c>
      <c r="C6287" s="8">
        <f>DATE(2012,12,31)-550</f>
        <v>40724</v>
      </c>
      <c r="D6287" s="8" t="str">
        <f t="shared" si="116"/>
        <v>2011-06 (июнь 2011)</v>
      </c>
      <c r="E6287" s="9" t="s">
        <v>21</v>
      </c>
      <c r="F6287" s="7">
        <v>14</v>
      </c>
      <c r="G6287" s="7">
        <v>135.21</v>
      </c>
      <c r="H6287" s="7">
        <v>0.04</v>
      </c>
      <c r="I6287" s="9" t="s">
        <v>22</v>
      </c>
      <c r="J6287" s="10">
        <v>5.89</v>
      </c>
      <c r="K6287" s="11">
        <v>9.27</v>
      </c>
      <c r="L6287" s="11">
        <v>4.3899999999999997</v>
      </c>
      <c r="M6287" s="9" t="s">
        <v>1500</v>
      </c>
      <c r="N6287" s="6" t="s">
        <v>1813</v>
      </c>
      <c r="O6287" s="6" t="s">
        <v>512</v>
      </c>
      <c r="P6287" s="9" t="s">
        <v>33</v>
      </c>
      <c r="Q6287" s="9" t="s">
        <v>26</v>
      </c>
      <c r="R6287" s="9" t="s">
        <v>61</v>
      </c>
      <c r="S6287" s="7" t="s">
        <v>400</v>
      </c>
      <c r="T6287" s="9" t="s">
        <v>68</v>
      </c>
      <c r="U6287" s="7">
        <v>0.38</v>
      </c>
      <c r="V6287" s="12">
        <f>C6287+5</f>
        <v>40729</v>
      </c>
      <c r="W6287">
        <f>IF(D6287=' Pivot Tables'!$A$4,1,0)</f>
        <v>0</v>
      </c>
      <c r="X6287">
        <f>IF(AND(LEFT(D6287,4)+1=LEFT(' Pivot Tables'!$A$4,4)+0,RIGHT(LEFT(D6287,7),2)=RIGHT(LEFT(' Pivot Tables'!$A$4,7),2)),1,0)</f>
        <v>0</v>
      </c>
      <c r="Y6287" s="6">
        <f>1/COUNTIF(Таблица1[Order ID],Таблица1[[#This Row],[Order ID]])</f>
        <v>1</v>
      </c>
      <c r="Z6287" s="9">
        <f>1/COUNTIFS(Таблица1[Customer Name],Таблица1[[#This Row],[Customer Name]],Таблица1[Order-Year-Month],Таблица1[[#This Row],[Order-Year-Month]])</f>
        <v>1</v>
      </c>
    </row>
    <row r="6288" spans="1:26" x14ac:dyDescent="0.2">
      <c r="A6288" s="6">
        <v>1701</v>
      </c>
      <c r="B6288" s="7">
        <v>12259</v>
      </c>
      <c r="C6288" s="8">
        <f>DATE(2012,12,31)-1051</f>
        <v>40223</v>
      </c>
      <c r="D6288" s="8" t="str">
        <f t="shared" si="116"/>
        <v>2010-02 (февраль 2010)</v>
      </c>
      <c r="E6288" s="9" t="s">
        <v>30</v>
      </c>
      <c r="F6288" s="7">
        <v>45</v>
      </c>
      <c r="G6288" s="7">
        <v>5007.6899999999996</v>
      </c>
      <c r="H6288" s="7">
        <v>7.0000000000000007E-2</v>
      </c>
      <c r="I6288" s="9" t="s">
        <v>31</v>
      </c>
      <c r="J6288" s="10">
        <v>-899.34</v>
      </c>
      <c r="K6288" s="11">
        <v>114.98</v>
      </c>
      <c r="L6288" s="11">
        <v>51.42</v>
      </c>
      <c r="M6288" s="9" t="s">
        <v>1500</v>
      </c>
      <c r="N6288" s="6" t="s">
        <v>1813</v>
      </c>
      <c r="O6288" s="6" t="s">
        <v>512</v>
      </c>
      <c r="P6288" s="9" t="s">
        <v>33</v>
      </c>
      <c r="Q6288" s="9" t="s">
        <v>49</v>
      </c>
      <c r="R6288" s="9" t="s">
        <v>80</v>
      </c>
      <c r="S6288" s="7" t="s">
        <v>1463</v>
      </c>
      <c r="T6288" s="9" t="s">
        <v>82</v>
      </c>
      <c r="U6288" s="7">
        <v>0.65</v>
      </c>
      <c r="V6288" s="12">
        <f>C6288+2</f>
        <v>40225</v>
      </c>
      <c r="W6288">
        <f>IF(D6288=' Pivot Tables'!$A$4,1,0)</f>
        <v>0</v>
      </c>
      <c r="X6288">
        <f>IF(AND(LEFT(D6288,4)+1=LEFT(' Pivot Tables'!$A$4,4)+0,RIGHT(LEFT(D6288,7),2)=RIGHT(LEFT(' Pivot Tables'!$A$4,7),2)),1,0)</f>
        <v>0</v>
      </c>
      <c r="Y6288" s="6">
        <f>1/COUNTIF(Таблица1[Order ID],Таблица1[[#This Row],[Order ID]])</f>
        <v>0.5</v>
      </c>
      <c r="Z6288" s="9">
        <f>1/COUNTIFS(Таблица1[Customer Name],Таблица1[[#This Row],[Customer Name]],Таблица1[Order-Year-Month],Таблица1[[#This Row],[Order-Year-Month]])</f>
        <v>0.5</v>
      </c>
    </row>
    <row r="6289" spans="1:26" x14ac:dyDescent="0.2">
      <c r="A6289" s="6">
        <v>1702</v>
      </c>
      <c r="B6289" s="7">
        <v>12259</v>
      </c>
      <c r="C6289" s="8">
        <f>DATE(2012,12,31)-1051</f>
        <v>40223</v>
      </c>
      <c r="D6289" s="8" t="str">
        <f t="shared" si="116"/>
        <v>2010-02 (февраль 2010)</v>
      </c>
      <c r="E6289" s="9" t="s">
        <v>30</v>
      </c>
      <c r="F6289" s="7">
        <v>45</v>
      </c>
      <c r="G6289" s="7">
        <v>1379.62</v>
      </c>
      <c r="H6289" s="7">
        <v>0.1</v>
      </c>
      <c r="I6289" s="9" t="s">
        <v>22</v>
      </c>
      <c r="J6289" s="10">
        <v>-66.069999999999993</v>
      </c>
      <c r="K6289" s="11">
        <v>31.98</v>
      </c>
      <c r="L6289" s="11">
        <v>6.72</v>
      </c>
      <c r="M6289" s="9" t="s">
        <v>1500</v>
      </c>
      <c r="N6289" s="6" t="s">
        <v>1813</v>
      </c>
      <c r="O6289" s="6" t="s">
        <v>512</v>
      </c>
      <c r="P6289" s="9" t="s">
        <v>33</v>
      </c>
      <c r="Q6289" s="9" t="s">
        <v>26</v>
      </c>
      <c r="R6289" s="9" t="s">
        <v>27</v>
      </c>
      <c r="S6289" s="7" t="s">
        <v>1822</v>
      </c>
      <c r="T6289" s="9" t="s">
        <v>39</v>
      </c>
      <c r="U6289" s="7">
        <v>0.75</v>
      </c>
      <c r="V6289" s="12">
        <f>C6289+1</f>
        <v>40224</v>
      </c>
      <c r="W6289">
        <f>IF(D6289=' Pivot Tables'!$A$4,1,0)</f>
        <v>0</v>
      </c>
      <c r="X6289">
        <f>IF(AND(LEFT(D6289,4)+1=LEFT(' Pivot Tables'!$A$4,4)+0,RIGHT(LEFT(D6289,7),2)=RIGHT(LEFT(' Pivot Tables'!$A$4,7),2)),1,0)</f>
        <v>0</v>
      </c>
      <c r="Y6289" s="6">
        <f>1/COUNTIF(Таблица1[Order ID],Таблица1[[#This Row],[Order ID]])</f>
        <v>0.5</v>
      </c>
      <c r="Z6289" s="9">
        <f>1/COUNTIFS(Таблица1[Customer Name],Таблица1[[#This Row],[Customer Name]],Таблица1[Order-Year-Month],Таблица1[[#This Row],[Order-Year-Month]])</f>
        <v>0.5</v>
      </c>
    </row>
    <row r="6290" spans="1:26" x14ac:dyDescent="0.2">
      <c r="A6290" s="6">
        <v>1801</v>
      </c>
      <c r="B6290" s="7">
        <v>12900</v>
      </c>
      <c r="C6290" s="8">
        <f>DATE(2012,12,31)-973</f>
        <v>40301</v>
      </c>
      <c r="D6290" s="8" t="str">
        <f t="shared" si="116"/>
        <v>2010-05 (май 2010)</v>
      </c>
      <c r="E6290" s="9" t="s">
        <v>30</v>
      </c>
      <c r="F6290" s="7">
        <v>50</v>
      </c>
      <c r="G6290" s="7">
        <v>627.12</v>
      </c>
      <c r="H6290" s="7">
        <v>0.08</v>
      </c>
      <c r="I6290" s="9" t="s">
        <v>22</v>
      </c>
      <c r="J6290" s="10">
        <v>100.04</v>
      </c>
      <c r="K6290" s="11">
        <v>12.64</v>
      </c>
      <c r="L6290" s="11">
        <v>4.9800000000000004</v>
      </c>
      <c r="M6290" s="9" t="s">
        <v>1692</v>
      </c>
      <c r="N6290" s="6" t="s">
        <v>1813</v>
      </c>
      <c r="O6290" s="6" t="s">
        <v>512</v>
      </c>
      <c r="P6290" s="9" t="s">
        <v>41</v>
      </c>
      <c r="Q6290" s="9" t="s">
        <v>49</v>
      </c>
      <c r="R6290" s="9" t="s">
        <v>50</v>
      </c>
      <c r="S6290" s="7" t="s">
        <v>997</v>
      </c>
      <c r="T6290" s="9" t="s">
        <v>52</v>
      </c>
      <c r="U6290" s="7">
        <v>0.48</v>
      </c>
      <c r="V6290" s="12">
        <f>C6290+1</f>
        <v>40302</v>
      </c>
      <c r="W6290">
        <f>IF(D6290=' Pivot Tables'!$A$4,1,0)</f>
        <v>0</v>
      </c>
      <c r="X6290">
        <f>IF(AND(LEFT(D6290,4)+1=LEFT(' Pivot Tables'!$A$4,4)+0,RIGHT(LEFT(D6290,7),2)=RIGHT(LEFT(' Pivot Tables'!$A$4,7),2)),1,0)</f>
        <v>0</v>
      </c>
      <c r="Y6290" s="6">
        <f>1/COUNTIF(Таблица1[Order ID],Таблица1[[#This Row],[Order ID]])</f>
        <v>0.5</v>
      </c>
      <c r="Z6290" s="9">
        <f>1/COUNTIFS(Таблица1[Customer Name],Таблица1[[#This Row],[Customer Name]],Таблица1[Order-Year-Month],Таблица1[[#This Row],[Order-Year-Month]])</f>
        <v>0.5</v>
      </c>
    </row>
    <row r="6291" spans="1:26" x14ac:dyDescent="0.2">
      <c r="A6291" s="6">
        <v>1802</v>
      </c>
      <c r="B6291" s="7">
        <v>12900</v>
      </c>
      <c r="C6291" s="8">
        <f>DATE(2012,12,31)-973</f>
        <v>40301</v>
      </c>
      <c r="D6291" s="8" t="str">
        <f t="shared" si="116"/>
        <v>2010-05 (май 2010)</v>
      </c>
      <c r="E6291" s="9" t="s">
        <v>30</v>
      </c>
      <c r="F6291" s="7">
        <v>18</v>
      </c>
      <c r="G6291" s="7">
        <v>4096.21</v>
      </c>
      <c r="H6291" s="7">
        <v>0.08</v>
      </c>
      <c r="I6291" s="9" t="s">
        <v>31</v>
      </c>
      <c r="J6291" s="10">
        <v>308.22000000000003</v>
      </c>
      <c r="K6291" s="11">
        <v>306.14</v>
      </c>
      <c r="L6291" s="11">
        <v>26.53</v>
      </c>
      <c r="M6291" s="9" t="s">
        <v>1692</v>
      </c>
      <c r="N6291" s="6" t="s">
        <v>1813</v>
      </c>
      <c r="O6291" s="6" t="s">
        <v>512</v>
      </c>
      <c r="P6291" s="9" t="s">
        <v>41</v>
      </c>
      <c r="Q6291" s="9" t="s">
        <v>42</v>
      </c>
      <c r="R6291" s="9" t="s">
        <v>210</v>
      </c>
      <c r="S6291" s="7" t="s">
        <v>1085</v>
      </c>
      <c r="T6291" s="9" t="s">
        <v>36</v>
      </c>
      <c r="U6291" s="7">
        <v>0.56000000000000005</v>
      </c>
      <c r="V6291" s="12">
        <f>C6291+2</f>
        <v>40303</v>
      </c>
      <c r="W6291">
        <f>IF(D6291=' Pivot Tables'!$A$4,1,0)</f>
        <v>0</v>
      </c>
      <c r="X6291">
        <f>IF(AND(LEFT(D6291,4)+1=LEFT(' Pivot Tables'!$A$4,4)+0,RIGHT(LEFT(D6291,7),2)=RIGHT(LEFT(' Pivot Tables'!$A$4,7),2)),1,0)</f>
        <v>0</v>
      </c>
      <c r="Y6291" s="6">
        <f>1/COUNTIF(Таблица1[Order ID],Таблица1[[#This Row],[Order ID]])</f>
        <v>0.5</v>
      </c>
      <c r="Z6291" s="9">
        <f>1/COUNTIFS(Таблица1[Customer Name],Таблица1[[#This Row],[Customer Name]],Таблица1[Order-Year-Month],Таблица1[[#This Row],[Order-Year-Month]])</f>
        <v>0.5</v>
      </c>
    </row>
    <row r="6292" spans="1:26" x14ac:dyDescent="0.2">
      <c r="A6292" s="6">
        <v>1814</v>
      </c>
      <c r="B6292" s="7">
        <v>12999</v>
      </c>
      <c r="C6292" s="8">
        <f>DATE(2012,12,31)-1003</f>
        <v>40271</v>
      </c>
      <c r="D6292" s="8" t="str">
        <f t="shared" si="116"/>
        <v>2010-04 (апрель 2010)</v>
      </c>
      <c r="E6292" s="9" t="s">
        <v>30</v>
      </c>
      <c r="F6292" s="7">
        <v>31</v>
      </c>
      <c r="G6292" s="7">
        <v>2712.07</v>
      </c>
      <c r="H6292" s="7">
        <v>0.09</v>
      </c>
      <c r="I6292" s="9" t="s">
        <v>22</v>
      </c>
      <c r="J6292" s="10">
        <v>-435.56</v>
      </c>
      <c r="K6292" s="11">
        <v>95.43</v>
      </c>
      <c r="L6292" s="11">
        <v>19.989999999999998</v>
      </c>
      <c r="M6292" s="9" t="s">
        <v>2005</v>
      </c>
      <c r="N6292" s="6" t="s">
        <v>1813</v>
      </c>
      <c r="O6292" s="6" t="s">
        <v>512</v>
      </c>
      <c r="P6292" s="9" t="s">
        <v>33</v>
      </c>
      <c r="Q6292" s="9" t="s">
        <v>26</v>
      </c>
      <c r="R6292" s="9" t="s">
        <v>27</v>
      </c>
      <c r="S6292" s="7" t="s">
        <v>377</v>
      </c>
      <c r="T6292" s="9" t="s">
        <v>39</v>
      </c>
      <c r="U6292" s="7">
        <v>0.79</v>
      </c>
      <c r="V6292" s="12">
        <f>C6292+1</f>
        <v>40272</v>
      </c>
      <c r="W6292">
        <f>IF(D6292=' Pivot Tables'!$A$4,1,0)</f>
        <v>0</v>
      </c>
      <c r="X6292">
        <f>IF(AND(LEFT(D6292,4)+1=LEFT(' Pivot Tables'!$A$4,4)+0,RIGHT(LEFT(D6292,7),2)=RIGHT(LEFT(' Pivot Tables'!$A$4,7),2)),1,0)</f>
        <v>0</v>
      </c>
      <c r="Y6292" s="6">
        <f>1/COUNTIF(Таблица1[Order ID],Таблица1[[#This Row],[Order ID]])</f>
        <v>1</v>
      </c>
      <c r="Z6292" s="9">
        <f>1/COUNTIFS(Таблица1[Customer Name],Таблица1[[#This Row],[Customer Name]],Таблица1[Order-Year-Month],Таблица1[[#This Row],[Order-Year-Month]])</f>
        <v>1</v>
      </c>
    </row>
    <row r="6293" spans="1:26" x14ac:dyDescent="0.2">
      <c r="A6293" s="6">
        <v>1902</v>
      </c>
      <c r="B6293" s="7">
        <v>13632</v>
      </c>
      <c r="C6293" s="8">
        <f>DATE(2012,12,31)-1392</f>
        <v>39882</v>
      </c>
      <c r="D6293" s="8" t="str">
        <f t="shared" si="116"/>
        <v>2009-03 (март 2009)</v>
      </c>
      <c r="E6293" s="9" t="s">
        <v>63</v>
      </c>
      <c r="F6293" s="7">
        <v>6</v>
      </c>
      <c r="G6293" s="7">
        <v>608.92999999999995</v>
      </c>
      <c r="H6293" s="7">
        <v>0.01</v>
      </c>
      <c r="I6293" s="9" t="s">
        <v>56</v>
      </c>
      <c r="J6293" s="10">
        <v>-193.95779999999999</v>
      </c>
      <c r="K6293" s="11">
        <v>99.99</v>
      </c>
      <c r="L6293" s="11">
        <v>19.989999999999998</v>
      </c>
      <c r="M6293" s="9" t="s">
        <v>1713</v>
      </c>
      <c r="N6293" s="6" t="s">
        <v>1813</v>
      </c>
      <c r="O6293" s="6" t="s">
        <v>512</v>
      </c>
      <c r="P6293" s="9" t="s">
        <v>60</v>
      </c>
      <c r="Q6293" s="9" t="s">
        <v>42</v>
      </c>
      <c r="R6293" s="9" t="s">
        <v>210</v>
      </c>
      <c r="S6293" s="7" t="s">
        <v>409</v>
      </c>
      <c r="T6293" s="9" t="s">
        <v>39</v>
      </c>
      <c r="U6293" s="7">
        <v>0.52</v>
      </c>
      <c r="V6293" s="12">
        <f>C6293+2</f>
        <v>39884</v>
      </c>
      <c r="W6293">
        <f>IF(D6293=' Pivot Tables'!$A$4,1,0)</f>
        <v>0</v>
      </c>
      <c r="X6293">
        <f>IF(AND(LEFT(D6293,4)+1=LEFT(' Pivot Tables'!$A$4,4)+0,RIGHT(LEFT(D6293,7),2)=RIGHT(LEFT(' Pivot Tables'!$A$4,7),2)),1,0)</f>
        <v>0</v>
      </c>
      <c r="Y6293" s="6">
        <f>1/COUNTIF(Таблица1[Order ID],Таблица1[[#This Row],[Order ID]])</f>
        <v>1</v>
      </c>
      <c r="Z6293" s="9">
        <f>1/COUNTIFS(Таблица1[Customer Name],Таблица1[[#This Row],[Customer Name]],Таблица1[Order-Year-Month],Таблица1[[#This Row],[Order-Year-Month]])</f>
        <v>1</v>
      </c>
    </row>
    <row r="6294" spans="1:26" x14ac:dyDescent="0.2">
      <c r="A6294" s="6">
        <v>1941</v>
      </c>
      <c r="B6294" s="7">
        <v>13920</v>
      </c>
      <c r="C6294" s="8">
        <f>DATE(2012,12,31)-1179</f>
        <v>40095</v>
      </c>
      <c r="D6294" s="8" t="str">
        <f t="shared" si="116"/>
        <v>2009-10 (октябрь 2009)</v>
      </c>
      <c r="E6294" s="9" t="s">
        <v>78</v>
      </c>
      <c r="F6294" s="7">
        <v>25</v>
      </c>
      <c r="G6294" s="7">
        <v>901.32</v>
      </c>
      <c r="H6294" s="7">
        <v>0.1</v>
      </c>
      <c r="I6294" s="9" t="s">
        <v>56</v>
      </c>
      <c r="J6294" s="10">
        <v>338.01</v>
      </c>
      <c r="K6294" s="11">
        <v>37.94</v>
      </c>
      <c r="L6294" s="11">
        <v>5.08</v>
      </c>
      <c r="M6294" s="9" t="s">
        <v>2006</v>
      </c>
      <c r="N6294" s="6" t="s">
        <v>1813</v>
      </c>
      <c r="O6294" s="6" t="s">
        <v>512</v>
      </c>
      <c r="P6294" s="9" t="s">
        <v>60</v>
      </c>
      <c r="Q6294" s="9" t="s">
        <v>26</v>
      </c>
      <c r="R6294" s="9" t="s">
        <v>61</v>
      </c>
      <c r="S6294" s="7" t="s">
        <v>684</v>
      </c>
      <c r="T6294" s="9" t="s">
        <v>68</v>
      </c>
      <c r="U6294" s="7">
        <v>0.38</v>
      </c>
      <c r="V6294" s="12">
        <f>C6294+2</f>
        <v>40097</v>
      </c>
      <c r="W6294">
        <f>IF(D6294=' Pivot Tables'!$A$4,1,0)</f>
        <v>0</v>
      </c>
      <c r="X6294">
        <f>IF(AND(LEFT(D6294,4)+1=LEFT(' Pivot Tables'!$A$4,4)+0,RIGHT(LEFT(D6294,7),2)=RIGHT(LEFT(' Pivot Tables'!$A$4,7),2)),1,0)</f>
        <v>0</v>
      </c>
      <c r="Y6294" s="6">
        <f>1/COUNTIF(Таблица1[Order ID],Таблица1[[#This Row],[Order ID]])</f>
        <v>0.5</v>
      </c>
      <c r="Z6294" s="9">
        <f>1/COUNTIFS(Таблица1[Customer Name],Таблица1[[#This Row],[Customer Name]],Таблица1[Order-Year-Month],Таблица1[[#This Row],[Order-Year-Month]])</f>
        <v>0.5</v>
      </c>
    </row>
    <row r="6295" spans="1:26" x14ac:dyDescent="0.2">
      <c r="A6295" s="6">
        <v>1942</v>
      </c>
      <c r="B6295" s="7">
        <v>13920</v>
      </c>
      <c r="C6295" s="8">
        <f>DATE(2012,12,31)-1179</f>
        <v>40095</v>
      </c>
      <c r="D6295" s="8" t="str">
        <f t="shared" si="116"/>
        <v>2009-10 (октябрь 2009)</v>
      </c>
      <c r="E6295" s="9" t="s">
        <v>78</v>
      </c>
      <c r="F6295" s="7">
        <v>24</v>
      </c>
      <c r="G6295" s="7">
        <v>207.21</v>
      </c>
      <c r="H6295" s="7">
        <v>0.06</v>
      </c>
      <c r="I6295" s="9" t="s">
        <v>22</v>
      </c>
      <c r="J6295" s="10">
        <v>-78.64</v>
      </c>
      <c r="K6295" s="11">
        <v>8.57</v>
      </c>
      <c r="L6295" s="11">
        <v>6.14</v>
      </c>
      <c r="M6295" s="9" t="s">
        <v>2006</v>
      </c>
      <c r="N6295" s="6" t="s">
        <v>1813</v>
      </c>
      <c r="O6295" s="6" t="s">
        <v>512</v>
      </c>
      <c r="P6295" s="9" t="s">
        <v>60</v>
      </c>
      <c r="Q6295" s="9" t="s">
        <v>26</v>
      </c>
      <c r="R6295" s="9" t="s">
        <v>150</v>
      </c>
      <c r="S6295" s="7" t="s">
        <v>1388</v>
      </c>
      <c r="T6295" s="9" t="s">
        <v>52</v>
      </c>
      <c r="U6295" s="7">
        <v>0.59</v>
      </c>
      <c r="V6295" s="12">
        <f>C6295+1</f>
        <v>40096</v>
      </c>
      <c r="W6295">
        <f>IF(D6295=' Pivot Tables'!$A$4,1,0)</f>
        <v>0</v>
      </c>
      <c r="X6295">
        <f>IF(AND(LEFT(D6295,4)+1=LEFT(' Pivot Tables'!$A$4,4)+0,RIGHT(LEFT(D6295,7),2)=RIGHT(LEFT(' Pivot Tables'!$A$4,7),2)),1,0)</f>
        <v>0</v>
      </c>
      <c r="Y6295" s="6">
        <f>1/COUNTIF(Таблица1[Order ID],Таблица1[[#This Row],[Order ID]])</f>
        <v>0.5</v>
      </c>
      <c r="Z6295" s="9">
        <f>1/COUNTIFS(Таблица1[Customer Name],Таблица1[[#This Row],[Customer Name]],Таблица1[Order-Year-Month],Таблица1[[#This Row],[Order-Year-Month]])</f>
        <v>0.5</v>
      </c>
    </row>
    <row r="6296" spans="1:26" x14ac:dyDescent="0.2">
      <c r="A6296" s="6">
        <v>2173</v>
      </c>
      <c r="B6296" s="7">
        <v>15651</v>
      </c>
      <c r="C6296" s="8">
        <f>DATE(2012,12,31)-88</f>
        <v>41186</v>
      </c>
      <c r="D6296" s="8" t="str">
        <f t="shared" si="116"/>
        <v>2012-10 (октябрь 2012)</v>
      </c>
      <c r="E6296" s="9" t="s">
        <v>78</v>
      </c>
      <c r="F6296" s="7">
        <v>40</v>
      </c>
      <c r="G6296" s="7">
        <v>2182.91</v>
      </c>
      <c r="H6296" s="7">
        <v>0.1</v>
      </c>
      <c r="I6296" s="9" t="s">
        <v>56</v>
      </c>
      <c r="J6296" s="10">
        <v>549.45000000000005</v>
      </c>
      <c r="K6296" s="11">
        <v>60.22</v>
      </c>
      <c r="L6296" s="11">
        <v>3.5</v>
      </c>
      <c r="M6296" s="9" t="s">
        <v>1380</v>
      </c>
      <c r="N6296" s="6" t="s">
        <v>1813</v>
      </c>
      <c r="O6296" s="6" t="s">
        <v>512</v>
      </c>
      <c r="P6296" s="9" t="s">
        <v>25</v>
      </c>
      <c r="Q6296" s="9" t="s">
        <v>26</v>
      </c>
      <c r="R6296" s="9" t="s">
        <v>34</v>
      </c>
      <c r="S6296" s="7" t="s">
        <v>624</v>
      </c>
      <c r="T6296" s="9" t="s">
        <v>39</v>
      </c>
      <c r="U6296" s="7">
        <v>0.56999999999999995</v>
      </c>
      <c r="V6296" s="12">
        <f>C6296+3</f>
        <v>41189</v>
      </c>
      <c r="W6296">
        <f>IF(D6296=' Pivot Tables'!$A$4,1,0)</f>
        <v>0</v>
      </c>
      <c r="X6296">
        <f>IF(AND(LEFT(D6296,4)+1=LEFT(' Pivot Tables'!$A$4,4)+0,RIGHT(LEFT(D6296,7),2)=RIGHT(LEFT(' Pivot Tables'!$A$4,7),2)),1,0)</f>
        <v>0</v>
      </c>
      <c r="Y6296" s="6">
        <f>1/COUNTIF(Таблица1[Order ID],Таблица1[[#This Row],[Order ID]])</f>
        <v>0.33333333333333331</v>
      </c>
      <c r="Z6296" s="9">
        <f>1/COUNTIFS(Таблица1[Customer Name],Таблица1[[#This Row],[Customer Name]],Таблица1[Order-Year-Month],Таблица1[[#This Row],[Order-Year-Month]])</f>
        <v>0.33333333333333331</v>
      </c>
    </row>
    <row r="6297" spans="1:26" x14ac:dyDescent="0.2">
      <c r="A6297" s="6">
        <v>2174</v>
      </c>
      <c r="B6297" s="7">
        <v>15651</v>
      </c>
      <c r="C6297" s="8">
        <f>DATE(2012,12,31)-88</f>
        <v>41186</v>
      </c>
      <c r="D6297" s="8" t="str">
        <f t="shared" si="116"/>
        <v>2012-10 (октябрь 2012)</v>
      </c>
      <c r="E6297" s="9" t="s">
        <v>78</v>
      </c>
      <c r="F6297" s="7">
        <v>14</v>
      </c>
      <c r="G6297" s="7">
        <v>1144.3499999999999</v>
      </c>
      <c r="H6297" s="7">
        <v>0.05</v>
      </c>
      <c r="I6297" s="9" t="s">
        <v>22</v>
      </c>
      <c r="J6297" s="10">
        <v>-448.6</v>
      </c>
      <c r="K6297" s="11">
        <v>80.98</v>
      </c>
      <c r="L6297" s="11">
        <v>35</v>
      </c>
      <c r="M6297" s="9" t="s">
        <v>1380</v>
      </c>
      <c r="N6297" s="6" t="s">
        <v>1813</v>
      </c>
      <c r="O6297" s="6" t="s">
        <v>512</v>
      </c>
      <c r="P6297" s="9" t="s">
        <v>25</v>
      </c>
      <c r="Q6297" s="9" t="s">
        <v>26</v>
      </c>
      <c r="R6297" s="9" t="s">
        <v>27</v>
      </c>
      <c r="S6297" s="7" t="s">
        <v>1045</v>
      </c>
      <c r="T6297" s="9" t="s">
        <v>29</v>
      </c>
      <c r="U6297" s="7">
        <v>0.83</v>
      </c>
      <c r="V6297" s="12">
        <f>C6297+2</f>
        <v>41188</v>
      </c>
      <c r="W6297">
        <f>IF(D6297=' Pivot Tables'!$A$4,1,0)</f>
        <v>0</v>
      </c>
      <c r="X6297">
        <f>IF(AND(LEFT(D6297,4)+1=LEFT(' Pivot Tables'!$A$4,4)+0,RIGHT(LEFT(D6297,7),2)=RIGHT(LEFT(' Pivot Tables'!$A$4,7),2)),1,0)</f>
        <v>0</v>
      </c>
      <c r="Y6297" s="6">
        <f>1/COUNTIF(Таблица1[Order ID],Таблица1[[#This Row],[Order ID]])</f>
        <v>0.33333333333333331</v>
      </c>
      <c r="Z6297" s="9">
        <f>1/COUNTIFS(Таблица1[Customer Name],Таблица1[[#This Row],[Customer Name]],Таблица1[Order-Year-Month],Таблица1[[#This Row],[Order-Year-Month]])</f>
        <v>0.33333333333333331</v>
      </c>
    </row>
    <row r="6298" spans="1:26" x14ac:dyDescent="0.2">
      <c r="A6298" s="6">
        <v>2175</v>
      </c>
      <c r="B6298" s="7">
        <v>15651</v>
      </c>
      <c r="C6298" s="8">
        <f>DATE(2012,12,31)-88</f>
        <v>41186</v>
      </c>
      <c r="D6298" s="8" t="str">
        <f t="shared" si="116"/>
        <v>2012-10 (октябрь 2012)</v>
      </c>
      <c r="E6298" s="9" t="s">
        <v>78</v>
      </c>
      <c r="F6298" s="7">
        <v>8</v>
      </c>
      <c r="G6298" s="7">
        <v>1496.83</v>
      </c>
      <c r="H6298" s="7">
        <v>7.0000000000000007E-2</v>
      </c>
      <c r="I6298" s="9" t="s">
        <v>31</v>
      </c>
      <c r="J6298" s="10">
        <v>-329.72</v>
      </c>
      <c r="K6298" s="11">
        <v>179.29</v>
      </c>
      <c r="L6298" s="11">
        <v>56.2</v>
      </c>
      <c r="M6298" s="9" t="s">
        <v>1380</v>
      </c>
      <c r="N6298" s="6" t="s">
        <v>1813</v>
      </c>
      <c r="O6298" s="6" t="s">
        <v>512</v>
      </c>
      <c r="P6298" s="9" t="s">
        <v>25</v>
      </c>
      <c r="Q6298" s="9" t="s">
        <v>49</v>
      </c>
      <c r="R6298" s="9" t="s">
        <v>83</v>
      </c>
      <c r="S6298" s="7" t="s">
        <v>790</v>
      </c>
      <c r="T6298" s="9" t="s">
        <v>82</v>
      </c>
      <c r="U6298" s="7">
        <v>0.71</v>
      </c>
      <c r="V6298" s="12">
        <f>C6298+2</f>
        <v>41188</v>
      </c>
      <c r="W6298">
        <f>IF(D6298=' Pivot Tables'!$A$4,1,0)</f>
        <v>0</v>
      </c>
      <c r="X6298">
        <f>IF(AND(LEFT(D6298,4)+1=LEFT(' Pivot Tables'!$A$4,4)+0,RIGHT(LEFT(D6298,7),2)=RIGHT(LEFT(' Pivot Tables'!$A$4,7),2)),1,0)</f>
        <v>0</v>
      </c>
      <c r="Y6298" s="6">
        <f>1/COUNTIF(Таблица1[Order ID],Таблица1[[#This Row],[Order ID]])</f>
        <v>0.33333333333333331</v>
      </c>
      <c r="Z6298" s="9">
        <f>1/COUNTIFS(Таблица1[Customer Name],Таблица1[[#This Row],[Customer Name]],Таблица1[Order-Year-Month],Таблица1[[#This Row],[Order-Year-Month]])</f>
        <v>0.33333333333333331</v>
      </c>
    </row>
    <row r="6299" spans="1:26" x14ac:dyDescent="0.2">
      <c r="A6299" s="6">
        <v>2251</v>
      </c>
      <c r="B6299" s="7">
        <v>16197</v>
      </c>
      <c r="C6299" s="8">
        <f>DATE(2012,12,31)-66</f>
        <v>41208</v>
      </c>
      <c r="D6299" s="8" t="str">
        <f t="shared" si="116"/>
        <v>2012-10 (октябрь 2012)</v>
      </c>
      <c r="E6299" s="9" t="s">
        <v>78</v>
      </c>
      <c r="F6299" s="7">
        <v>23</v>
      </c>
      <c r="G6299" s="7">
        <v>218.71</v>
      </c>
      <c r="H6299" s="7">
        <v>0</v>
      </c>
      <c r="I6299" s="9" t="s">
        <v>56</v>
      </c>
      <c r="J6299" s="10">
        <v>67.23</v>
      </c>
      <c r="K6299" s="11">
        <v>9.11</v>
      </c>
      <c r="L6299" s="11">
        <v>2.15</v>
      </c>
      <c r="M6299" s="9" t="s">
        <v>2007</v>
      </c>
      <c r="N6299" s="6" t="s">
        <v>1813</v>
      </c>
      <c r="O6299" s="6" t="s">
        <v>512</v>
      </c>
      <c r="P6299" s="9" t="s">
        <v>33</v>
      </c>
      <c r="Q6299" s="9" t="s">
        <v>26</v>
      </c>
      <c r="R6299" s="9" t="s">
        <v>61</v>
      </c>
      <c r="S6299" s="7" t="s">
        <v>1402</v>
      </c>
      <c r="T6299" s="9" t="s">
        <v>68</v>
      </c>
      <c r="U6299" s="7">
        <v>0.4</v>
      </c>
      <c r="V6299" s="12">
        <f>C6299+0</f>
        <v>41208</v>
      </c>
      <c r="W6299">
        <f>IF(D6299=' Pivot Tables'!$A$4,1,0)</f>
        <v>0</v>
      </c>
      <c r="X6299">
        <f>IF(AND(LEFT(D6299,4)+1=LEFT(' Pivot Tables'!$A$4,4)+0,RIGHT(LEFT(D6299,7),2)=RIGHT(LEFT(' Pivot Tables'!$A$4,7),2)),1,0)</f>
        <v>0</v>
      </c>
      <c r="Y6299" s="6">
        <f>1/COUNTIF(Таблица1[Order ID],Таблица1[[#This Row],[Order ID]])</f>
        <v>0.5</v>
      </c>
      <c r="Z6299" s="9">
        <f>1/COUNTIFS(Таблица1[Customer Name],Таблица1[[#This Row],[Customer Name]],Таблица1[Order-Year-Month],Таблица1[[#This Row],[Order-Year-Month]])</f>
        <v>0.5</v>
      </c>
    </row>
    <row r="6300" spans="1:26" x14ac:dyDescent="0.2">
      <c r="A6300" s="6">
        <v>2252</v>
      </c>
      <c r="B6300" s="7">
        <v>16197</v>
      </c>
      <c r="C6300" s="8">
        <f>DATE(2012,12,31)-66</f>
        <v>41208</v>
      </c>
      <c r="D6300" s="8" t="str">
        <f t="shared" si="116"/>
        <v>2012-10 (октябрь 2012)</v>
      </c>
      <c r="E6300" s="9" t="s">
        <v>78</v>
      </c>
      <c r="F6300" s="7">
        <v>19</v>
      </c>
      <c r="G6300" s="7">
        <v>103.68</v>
      </c>
      <c r="H6300" s="7">
        <v>0.08</v>
      </c>
      <c r="I6300" s="9" t="s">
        <v>22</v>
      </c>
      <c r="J6300" s="10">
        <v>-58.16</v>
      </c>
      <c r="K6300" s="11">
        <v>5.28</v>
      </c>
      <c r="L6300" s="11">
        <v>5.85</v>
      </c>
      <c r="M6300" s="9" t="s">
        <v>2007</v>
      </c>
      <c r="N6300" s="6" t="s">
        <v>1813</v>
      </c>
      <c r="O6300" s="6" t="s">
        <v>512</v>
      </c>
      <c r="P6300" s="9" t="s">
        <v>33</v>
      </c>
      <c r="Q6300" s="9" t="s">
        <v>26</v>
      </c>
      <c r="R6300" s="9" t="s">
        <v>61</v>
      </c>
      <c r="S6300" s="7" t="s">
        <v>2008</v>
      </c>
      <c r="T6300" s="9" t="s">
        <v>39</v>
      </c>
      <c r="U6300" s="7">
        <v>0.4</v>
      </c>
      <c r="V6300" s="12">
        <f>C6300+1</f>
        <v>41209</v>
      </c>
      <c r="W6300">
        <f>IF(D6300=' Pivot Tables'!$A$4,1,0)</f>
        <v>0</v>
      </c>
      <c r="X6300">
        <f>IF(AND(LEFT(D6300,4)+1=LEFT(' Pivot Tables'!$A$4,4)+0,RIGHT(LEFT(D6300,7),2)=RIGHT(LEFT(' Pivot Tables'!$A$4,7),2)),1,0)</f>
        <v>0</v>
      </c>
      <c r="Y6300" s="6">
        <f>1/COUNTIF(Таблица1[Order ID],Таблица1[[#This Row],[Order ID]])</f>
        <v>0.5</v>
      </c>
      <c r="Z6300" s="9">
        <f>1/COUNTIFS(Таблица1[Customer Name],Таблица1[[#This Row],[Customer Name]],Таблица1[Order-Year-Month],Таблица1[[#This Row],[Order-Year-Month]])</f>
        <v>0.5</v>
      </c>
    </row>
    <row r="6301" spans="1:26" x14ac:dyDescent="0.2">
      <c r="A6301" s="6">
        <v>2325</v>
      </c>
      <c r="B6301" s="7">
        <v>16770</v>
      </c>
      <c r="C6301" s="8">
        <f>DATE(2012,12,31)-1455</f>
        <v>39819</v>
      </c>
      <c r="D6301" s="8" t="str">
        <f t="shared" si="116"/>
        <v>2009-01 (январь 2009)</v>
      </c>
      <c r="E6301" s="9" t="s">
        <v>78</v>
      </c>
      <c r="F6301" s="7">
        <v>17</v>
      </c>
      <c r="G6301" s="7">
        <v>37.06</v>
      </c>
      <c r="H6301" s="7">
        <v>0.03</v>
      </c>
      <c r="I6301" s="9" t="s">
        <v>22</v>
      </c>
      <c r="J6301" s="10">
        <v>0.60999999999999943</v>
      </c>
      <c r="K6301" s="11">
        <v>2.1</v>
      </c>
      <c r="L6301" s="11">
        <v>0.7</v>
      </c>
      <c r="M6301" s="9" t="s">
        <v>1500</v>
      </c>
      <c r="N6301" s="6" t="s">
        <v>1813</v>
      </c>
      <c r="O6301" s="6" t="s">
        <v>512</v>
      </c>
      <c r="P6301" s="9" t="s">
        <v>33</v>
      </c>
      <c r="Q6301" s="9" t="s">
        <v>26</v>
      </c>
      <c r="R6301" s="9" t="s">
        <v>95</v>
      </c>
      <c r="S6301" s="7" t="s">
        <v>1703</v>
      </c>
      <c r="T6301" s="9" t="s">
        <v>68</v>
      </c>
      <c r="U6301" s="7">
        <v>0.56999999999999995</v>
      </c>
      <c r="V6301" s="12">
        <f>C6301+1</f>
        <v>39820</v>
      </c>
      <c r="W6301">
        <f>IF(D6301=' Pivot Tables'!$A$4,1,0)</f>
        <v>0</v>
      </c>
      <c r="X6301">
        <f>IF(AND(LEFT(D6301,4)+1=LEFT(' Pivot Tables'!$A$4,4)+0,RIGHT(LEFT(D6301,7),2)=RIGHT(LEFT(' Pivot Tables'!$A$4,7),2)),1,0)</f>
        <v>1</v>
      </c>
      <c r="Y6301" s="6">
        <f>1/COUNTIF(Таблица1[Order ID],Таблица1[[#This Row],[Order ID]])</f>
        <v>1</v>
      </c>
      <c r="Z6301" s="9">
        <f>1/COUNTIFS(Таблица1[Customer Name],Таблица1[[#This Row],[Customer Name]],Таблица1[Order-Year-Month],Таблица1[[#This Row],[Order-Year-Month]])</f>
        <v>1</v>
      </c>
    </row>
    <row r="6302" spans="1:26" x14ac:dyDescent="0.2">
      <c r="A6302" s="6">
        <v>2329</v>
      </c>
      <c r="B6302" s="7">
        <v>16802</v>
      </c>
      <c r="C6302" s="8">
        <f>DATE(2012,12,31)-621</f>
        <v>40653</v>
      </c>
      <c r="D6302" s="8" t="str">
        <f t="shared" si="116"/>
        <v>2011-04 (апрель 2011)</v>
      </c>
      <c r="E6302" s="9" t="s">
        <v>63</v>
      </c>
      <c r="F6302" s="7">
        <v>44</v>
      </c>
      <c r="G6302" s="7">
        <v>302.58999999999997</v>
      </c>
      <c r="H6302" s="7">
        <v>0.05</v>
      </c>
      <c r="I6302" s="9" t="s">
        <v>56</v>
      </c>
      <c r="J6302" s="10">
        <v>-124.44</v>
      </c>
      <c r="K6302" s="11">
        <v>6.68</v>
      </c>
      <c r="L6302" s="11">
        <v>6.93</v>
      </c>
      <c r="M6302" s="9" t="s">
        <v>1713</v>
      </c>
      <c r="N6302" s="6" t="s">
        <v>1813</v>
      </c>
      <c r="O6302" s="6" t="s">
        <v>512</v>
      </c>
      <c r="P6302" s="9" t="s">
        <v>60</v>
      </c>
      <c r="Q6302" s="9" t="s">
        <v>26</v>
      </c>
      <c r="R6302" s="9" t="s">
        <v>61</v>
      </c>
      <c r="S6302" s="7" t="s">
        <v>385</v>
      </c>
      <c r="T6302" s="9" t="s">
        <v>39</v>
      </c>
      <c r="U6302" s="7">
        <v>0.37</v>
      </c>
      <c r="V6302" s="12">
        <f>C6302+1</f>
        <v>40654</v>
      </c>
      <c r="W6302">
        <f>IF(D6302=' Pivot Tables'!$A$4,1,0)</f>
        <v>0</v>
      </c>
      <c r="X6302">
        <f>IF(AND(LEFT(D6302,4)+1=LEFT(' Pivot Tables'!$A$4,4)+0,RIGHT(LEFT(D6302,7),2)=RIGHT(LEFT(' Pivot Tables'!$A$4,7),2)),1,0)</f>
        <v>0</v>
      </c>
      <c r="Y6302" s="6">
        <f>1/COUNTIF(Таблица1[Order ID],Таблица1[[#This Row],[Order ID]])</f>
        <v>0.5</v>
      </c>
      <c r="Z6302" s="9">
        <f>1/COUNTIFS(Таблица1[Customer Name],Таблица1[[#This Row],[Customer Name]],Таблица1[Order-Year-Month],Таблица1[[#This Row],[Order-Year-Month]])</f>
        <v>0.5</v>
      </c>
    </row>
    <row r="6303" spans="1:26" x14ac:dyDescent="0.2">
      <c r="A6303" s="6">
        <v>2330</v>
      </c>
      <c r="B6303" s="7">
        <v>16802</v>
      </c>
      <c r="C6303" s="8">
        <f>DATE(2012,12,31)-621</f>
        <v>40653</v>
      </c>
      <c r="D6303" s="8" t="str">
        <f t="shared" si="116"/>
        <v>2011-04 (апрель 2011)</v>
      </c>
      <c r="E6303" s="9" t="s">
        <v>63</v>
      </c>
      <c r="F6303" s="7">
        <v>26</v>
      </c>
      <c r="G6303" s="7">
        <v>2703.45</v>
      </c>
      <c r="H6303" s="7">
        <v>0.01</v>
      </c>
      <c r="I6303" s="9" t="s">
        <v>22</v>
      </c>
      <c r="J6303" s="10">
        <v>-445.04</v>
      </c>
      <c r="K6303" s="11">
        <v>95.99</v>
      </c>
      <c r="L6303" s="11">
        <v>35</v>
      </c>
      <c r="M6303" s="9" t="s">
        <v>1713</v>
      </c>
      <c r="N6303" s="6" t="s">
        <v>1813</v>
      </c>
      <c r="O6303" s="6" t="s">
        <v>512</v>
      </c>
      <c r="P6303" s="9" t="s">
        <v>60</v>
      </c>
      <c r="Q6303" s="9" t="s">
        <v>26</v>
      </c>
      <c r="R6303" s="9" t="s">
        <v>27</v>
      </c>
      <c r="S6303" s="7" t="s">
        <v>1411</v>
      </c>
      <c r="T6303" s="9" t="s">
        <v>29</v>
      </c>
      <c r="U6303" s="7"/>
      <c r="V6303" s="12">
        <f>C6303+2</f>
        <v>40655</v>
      </c>
      <c r="W6303">
        <f>IF(D6303=' Pivot Tables'!$A$4,1,0)</f>
        <v>0</v>
      </c>
      <c r="X6303">
        <f>IF(AND(LEFT(D6303,4)+1=LEFT(' Pivot Tables'!$A$4,4)+0,RIGHT(LEFT(D6303,7),2)=RIGHT(LEFT(' Pivot Tables'!$A$4,7),2)),1,0)</f>
        <v>0</v>
      </c>
      <c r="Y6303" s="6">
        <f>1/COUNTIF(Таблица1[Order ID],Таблица1[[#This Row],[Order ID]])</f>
        <v>0.5</v>
      </c>
      <c r="Z6303" s="9">
        <f>1/COUNTIFS(Таблица1[Customer Name],Таблица1[[#This Row],[Customer Name]],Таблица1[Order-Year-Month],Таблица1[[#This Row],[Order-Year-Month]])</f>
        <v>0.5</v>
      </c>
    </row>
    <row r="6304" spans="1:26" x14ac:dyDescent="0.2">
      <c r="A6304" s="6">
        <v>2350</v>
      </c>
      <c r="B6304" s="7">
        <v>16961</v>
      </c>
      <c r="C6304" s="8">
        <f>DATE(2012,12,31)-1455</f>
        <v>39819</v>
      </c>
      <c r="D6304" s="8" t="str">
        <f t="shared" si="116"/>
        <v>2009-01 (январь 2009)</v>
      </c>
      <c r="E6304" s="9" t="s">
        <v>45</v>
      </c>
      <c r="F6304" s="7">
        <v>27</v>
      </c>
      <c r="G6304" s="7">
        <v>46.86</v>
      </c>
      <c r="H6304" s="7">
        <v>0.06</v>
      </c>
      <c r="I6304" s="9" t="s">
        <v>22</v>
      </c>
      <c r="J6304" s="10">
        <v>-37.08</v>
      </c>
      <c r="K6304" s="11">
        <v>1.7</v>
      </c>
      <c r="L6304" s="11">
        <v>1.99</v>
      </c>
      <c r="M6304" s="9" t="s">
        <v>1879</v>
      </c>
      <c r="N6304" s="6" t="s">
        <v>1813</v>
      </c>
      <c r="O6304" s="6" t="s">
        <v>512</v>
      </c>
      <c r="P6304" s="9" t="s">
        <v>33</v>
      </c>
      <c r="Q6304" s="9" t="s">
        <v>42</v>
      </c>
      <c r="R6304" s="9" t="s">
        <v>70</v>
      </c>
      <c r="S6304" s="7" t="s">
        <v>945</v>
      </c>
      <c r="T6304" s="9" t="s">
        <v>52</v>
      </c>
      <c r="U6304" s="7">
        <v>0.51</v>
      </c>
      <c r="V6304" s="12">
        <f>C6304+1</f>
        <v>39820</v>
      </c>
      <c r="W6304">
        <f>IF(D6304=' Pivot Tables'!$A$4,1,0)</f>
        <v>0</v>
      </c>
      <c r="X6304">
        <f>IF(AND(LEFT(D6304,4)+1=LEFT(' Pivot Tables'!$A$4,4)+0,RIGHT(LEFT(D6304,7),2)=RIGHT(LEFT(' Pivot Tables'!$A$4,7),2)),1,0)</f>
        <v>1</v>
      </c>
      <c r="Y6304" s="6">
        <f>1/COUNTIF(Таблица1[Order ID],Таблица1[[#This Row],[Order ID]])</f>
        <v>0.5</v>
      </c>
      <c r="Z6304" s="9">
        <f>1/COUNTIFS(Таблица1[Customer Name],Таблица1[[#This Row],[Customer Name]],Таблица1[Order-Year-Month],Таблица1[[#This Row],[Order-Year-Month]])</f>
        <v>0.5</v>
      </c>
    </row>
    <row r="6305" spans="1:26" x14ac:dyDescent="0.2">
      <c r="A6305" s="6">
        <v>2351</v>
      </c>
      <c r="B6305" s="7">
        <v>16961</v>
      </c>
      <c r="C6305" s="8">
        <f>DATE(2012,12,31)-1455</f>
        <v>39819</v>
      </c>
      <c r="D6305" s="8" t="str">
        <f t="shared" si="116"/>
        <v>2009-01 (январь 2009)</v>
      </c>
      <c r="E6305" s="9" t="s">
        <v>45</v>
      </c>
      <c r="F6305" s="7">
        <v>34</v>
      </c>
      <c r="G6305" s="7">
        <v>1089.5899999999999</v>
      </c>
      <c r="H6305" s="7">
        <v>0.01</v>
      </c>
      <c r="I6305" s="9" t="s">
        <v>22</v>
      </c>
      <c r="J6305" s="10">
        <v>433.24</v>
      </c>
      <c r="K6305" s="11">
        <v>30.98</v>
      </c>
      <c r="L6305" s="11">
        <v>5.09</v>
      </c>
      <c r="M6305" s="9" t="s">
        <v>1879</v>
      </c>
      <c r="N6305" s="6" t="s">
        <v>1813</v>
      </c>
      <c r="O6305" s="6" t="s">
        <v>512</v>
      </c>
      <c r="P6305" s="9" t="s">
        <v>33</v>
      </c>
      <c r="Q6305" s="9" t="s">
        <v>26</v>
      </c>
      <c r="R6305" s="9" t="s">
        <v>61</v>
      </c>
      <c r="S6305" s="7" t="s">
        <v>1684</v>
      </c>
      <c r="T6305" s="9" t="s">
        <v>39</v>
      </c>
      <c r="U6305" s="7">
        <v>0.4</v>
      </c>
      <c r="V6305" s="12">
        <f>C6305+2</f>
        <v>39821</v>
      </c>
      <c r="W6305">
        <f>IF(D6305=' Pivot Tables'!$A$4,1,0)</f>
        <v>0</v>
      </c>
      <c r="X6305">
        <f>IF(AND(LEFT(D6305,4)+1=LEFT(' Pivot Tables'!$A$4,4)+0,RIGHT(LEFT(D6305,7),2)=RIGHT(LEFT(' Pivot Tables'!$A$4,7),2)),1,0)</f>
        <v>1</v>
      </c>
      <c r="Y6305" s="6">
        <f>1/COUNTIF(Таблица1[Order ID],Таблица1[[#This Row],[Order ID]])</f>
        <v>0.5</v>
      </c>
      <c r="Z6305" s="9">
        <f>1/COUNTIFS(Таблица1[Customer Name],Таблица1[[#This Row],[Customer Name]],Таблица1[Order-Year-Month],Таблица1[[#This Row],[Order-Year-Month]])</f>
        <v>0.5</v>
      </c>
    </row>
    <row r="6306" spans="1:26" x14ac:dyDescent="0.2">
      <c r="A6306" s="6">
        <v>2418</v>
      </c>
      <c r="B6306" s="7">
        <v>17543</v>
      </c>
      <c r="C6306" s="8">
        <f>DATE(2012,12,31)-220</f>
        <v>41054</v>
      </c>
      <c r="D6306" s="8" t="str">
        <f t="shared" si="116"/>
        <v>2012-05 (май 2012)</v>
      </c>
      <c r="E6306" s="9" t="s">
        <v>78</v>
      </c>
      <c r="F6306" s="7">
        <v>1</v>
      </c>
      <c r="G6306" s="7">
        <v>15.73</v>
      </c>
      <c r="H6306" s="7">
        <v>0.09</v>
      </c>
      <c r="I6306" s="9" t="s">
        <v>22</v>
      </c>
      <c r="J6306" s="10">
        <v>-9.17</v>
      </c>
      <c r="K6306" s="11">
        <v>6.48</v>
      </c>
      <c r="L6306" s="11">
        <v>9.5399999999999991</v>
      </c>
      <c r="M6306" s="9" t="s">
        <v>1879</v>
      </c>
      <c r="N6306" s="6" t="s">
        <v>1813</v>
      </c>
      <c r="O6306" s="6" t="s">
        <v>512</v>
      </c>
      <c r="P6306" s="9" t="s">
        <v>33</v>
      </c>
      <c r="Q6306" s="9" t="s">
        <v>26</v>
      </c>
      <c r="R6306" s="9" t="s">
        <v>61</v>
      </c>
      <c r="S6306" s="7" t="s">
        <v>518</v>
      </c>
      <c r="T6306" s="9" t="s">
        <v>39</v>
      </c>
      <c r="U6306" s="7">
        <v>0.37</v>
      </c>
      <c r="V6306" s="12">
        <f>C6306+0</f>
        <v>41054</v>
      </c>
      <c r="W6306">
        <f>IF(D6306=' Pivot Tables'!$A$4,1,0)</f>
        <v>0</v>
      </c>
      <c r="X6306">
        <f>IF(AND(LEFT(D6306,4)+1=LEFT(' Pivot Tables'!$A$4,4)+0,RIGHT(LEFT(D6306,7),2)=RIGHT(LEFT(' Pivot Tables'!$A$4,7),2)),1,0)</f>
        <v>0</v>
      </c>
      <c r="Y6306" s="6">
        <f>1/COUNTIF(Таблица1[Order ID],Таблица1[[#This Row],[Order ID]])</f>
        <v>0.33333333333333331</v>
      </c>
      <c r="Z6306" s="9">
        <f>1/COUNTIFS(Таблица1[Customer Name],Таблица1[[#This Row],[Customer Name]],Таблица1[Order-Year-Month],Таблица1[[#This Row],[Order-Year-Month]])</f>
        <v>0.33333333333333331</v>
      </c>
    </row>
    <row r="6307" spans="1:26" x14ac:dyDescent="0.2">
      <c r="A6307" s="6">
        <v>2419</v>
      </c>
      <c r="B6307" s="7">
        <v>17543</v>
      </c>
      <c r="C6307" s="8">
        <f>DATE(2012,12,31)-220</f>
        <v>41054</v>
      </c>
      <c r="D6307" s="8" t="str">
        <f t="shared" si="116"/>
        <v>2012-05 (май 2012)</v>
      </c>
      <c r="E6307" s="9" t="s">
        <v>78</v>
      </c>
      <c r="F6307" s="7">
        <v>35</v>
      </c>
      <c r="G6307" s="7">
        <v>1041.74</v>
      </c>
      <c r="H6307" s="7">
        <v>0.1</v>
      </c>
      <c r="I6307" s="9" t="s">
        <v>22</v>
      </c>
      <c r="J6307" s="10">
        <v>-51.74</v>
      </c>
      <c r="K6307" s="11">
        <v>30.98</v>
      </c>
      <c r="L6307" s="11">
        <v>17.079999999999998</v>
      </c>
      <c r="M6307" s="9" t="s">
        <v>1879</v>
      </c>
      <c r="N6307" s="6" t="s">
        <v>1813</v>
      </c>
      <c r="O6307" s="6" t="s">
        <v>512</v>
      </c>
      <c r="P6307" s="9" t="s">
        <v>33</v>
      </c>
      <c r="Q6307" s="9" t="s">
        <v>26</v>
      </c>
      <c r="R6307" s="9" t="s">
        <v>61</v>
      </c>
      <c r="S6307" s="7" t="s">
        <v>513</v>
      </c>
      <c r="T6307" s="9" t="s">
        <v>39</v>
      </c>
      <c r="U6307" s="7">
        <v>0.4</v>
      </c>
      <c r="V6307" s="12">
        <f>C6307+2</f>
        <v>41056</v>
      </c>
      <c r="W6307">
        <f>IF(D6307=' Pivot Tables'!$A$4,1,0)</f>
        <v>0</v>
      </c>
      <c r="X6307">
        <f>IF(AND(LEFT(D6307,4)+1=LEFT(' Pivot Tables'!$A$4,4)+0,RIGHT(LEFT(D6307,7),2)=RIGHT(LEFT(' Pivot Tables'!$A$4,7),2)),1,0)</f>
        <v>0</v>
      </c>
      <c r="Y6307" s="6">
        <f>1/COUNTIF(Таблица1[Order ID],Таблица1[[#This Row],[Order ID]])</f>
        <v>0.33333333333333331</v>
      </c>
      <c r="Z6307" s="9">
        <f>1/COUNTIFS(Таблица1[Customer Name],Таблица1[[#This Row],[Customer Name]],Таблица1[Order-Year-Month],Таблица1[[#This Row],[Order-Year-Month]])</f>
        <v>0.33333333333333331</v>
      </c>
    </row>
    <row r="6308" spans="1:26" x14ac:dyDescent="0.2">
      <c r="A6308" s="6">
        <v>2420</v>
      </c>
      <c r="B6308" s="7">
        <v>17543</v>
      </c>
      <c r="C6308" s="8">
        <f>DATE(2012,12,31)-220</f>
        <v>41054</v>
      </c>
      <c r="D6308" s="8" t="str">
        <f t="shared" si="116"/>
        <v>2012-05 (май 2012)</v>
      </c>
      <c r="E6308" s="9" t="s">
        <v>78</v>
      </c>
      <c r="F6308" s="7">
        <v>26</v>
      </c>
      <c r="G6308" s="7">
        <v>4300.6260000000002</v>
      </c>
      <c r="H6308" s="7">
        <v>0.06</v>
      </c>
      <c r="I6308" s="9" t="s">
        <v>22</v>
      </c>
      <c r="J6308" s="10">
        <v>685.20600000000002</v>
      </c>
      <c r="K6308" s="11">
        <v>200.99</v>
      </c>
      <c r="L6308" s="11">
        <v>8.08</v>
      </c>
      <c r="M6308" s="9" t="s">
        <v>1879</v>
      </c>
      <c r="N6308" s="6" t="s">
        <v>1813</v>
      </c>
      <c r="O6308" s="6" t="s">
        <v>512</v>
      </c>
      <c r="P6308" s="9" t="s">
        <v>33</v>
      </c>
      <c r="Q6308" s="9" t="s">
        <v>42</v>
      </c>
      <c r="R6308" s="9" t="s">
        <v>43</v>
      </c>
      <c r="S6308" s="7" t="s">
        <v>208</v>
      </c>
      <c r="T6308" s="9" t="s">
        <v>39</v>
      </c>
      <c r="U6308" s="7">
        <v>0.59</v>
      </c>
      <c r="V6308" s="12">
        <f>C6308+2</f>
        <v>41056</v>
      </c>
      <c r="W6308">
        <f>IF(D6308=' Pivot Tables'!$A$4,1,0)</f>
        <v>0</v>
      </c>
      <c r="X6308">
        <f>IF(AND(LEFT(D6308,4)+1=LEFT(' Pivot Tables'!$A$4,4)+0,RIGHT(LEFT(D6308,7),2)=RIGHT(LEFT(' Pivot Tables'!$A$4,7),2)),1,0)</f>
        <v>0</v>
      </c>
      <c r="Y6308" s="6">
        <f>1/COUNTIF(Таблица1[Order ID],Таблица1[[#This Row],[Order ID]])</f>
        <v>0.33333333333333331</v>
      </c>
      <c r="Z6308" s="9">
        <f>1/COUNTIFS(Таблица1[Customer Name],Таблица1[[#This Row],[Customer Name]],Таблица1[Order-Year-Month],Таблица1[[#This Row],[Order-Year-Month]])</f>
        <v>0.33333333333333331</v>
      </c>
    </row>
    <row r="6309" spans="1:26" x14ac:dyDescent="0.2">
      <c r="A6309" s="6">
        <v>2482</v>
      </c>
      <c r="B6309" s="7">
        <v>18055</v>
      </c>
      <c r="C6309" s="8">
        <f>DATE(2012,12,31)-1061</f>
        <v>40213</v>
      </c>
      <c r="D6309" s="8" t="str">
        <f t="shared" si="116"/>
        <v>2010-02 (февраль 2010)</v>
      </c>
      <c r="E6309" s="9" t="s">
        <v>78</v>
      </c>
      <c r="F6309" s="7">
        <v>3</v>
      </c>
      <c r="G6309" s="7">
        <v>19.98</v>
      </c>
      <c r="H6309" s="7">
        <v>0.02</v>
      </c>
      <c r="I6309" s="9" t="s">
        <v>22</v>
      </c>
      <c r="J6309" s="10">
        <v>-9.61</v>
      </c>
      <c r="K6309" s="11">
        <v>4.9800000000000004</v>
      </c>
      <c r="L6309" s="11">
        <v>4.75</v>
      </c>
      <c r="M6309" s="9" t="s">
        <v>1897</v>
      </c>
      <c r="N6309" s="6" t="s">
        <v>1813</v>
      </c>
      <c r="O6309" s="6" t="s">
        <v>512</v>
      </c>
      <c r="P6309" s="9" t="s">
        <v>41</v>
      </c>
      <c r="Q6309" s="9" t="s">
        <v>26</v>
      </c>
      <c r="R6309" s="9" t="s">
        <v>61</v>
      </c>
      <c r="S6309" s="7" t="s">
        <v>156</v>
      </c>
      <c r="T6309" s="9" t="s">
        <v>39</v>
      </c>
      <c r="U6309" s="7">
        <v>0.36</v>
      </c>
      <c r="V6309" s="12">
        <f>C6309+2</f>
        <v>40215</v>
      </c>
      <c r="W6309">
        <f>IF(D6309=' Pivot Tables'!$A$4,1,0)</f>
        <v>0</v>
      </c>
      <c r="X6309">
        <f>IF(AND(LEFT(D6309,4)+1=LEFT(' Pivot Tables'!$A$4,4)+0,RIGHT(LEFT(D6309,7),2)=RIGHT(LEFT(' Pivot Tables'!$A$4,7),2)),1,0)</f>
        <v>0</v>
      </c>
      <c r="Y6309" s="6">
        <f>1/COUNTIF(Таблица1[Order ID],Таблица1[[#This Row],[Order ID]])</f>
        <v>1</v>
      </c>
      <c r="Z6309" s="9">
        <f>1/COUNTIFS(Таблица1[Customer Name],Таблица1[[#This Row],[Customer Name]],Таблица1[Order-Year-Month],Таблица1[[#This Row],[Order-Year-Month]])</f>
        <v>1</v>
      </c>
    </row>
    <row r="6310" spans="1:26" x14ac:dyDescent="0.2">
      <c r="A6310" s="6">
        <v>2840</v>
      </c>
      <c r="B6310" s="7">
        <v>20480</v>
      </c>
      <c r="C6310" s="8">
        <f>DATE(2012,12,31)-1432</f>
        <v>39842</v>
      </c>
      <c r="D6310" s="8" t="str">
        <f t="shared" si="116"/>
        <v>2009-01 (январь 2009)</v>
      </c>
      <c r="E6310" s="9" t="s">
        <v>63</v>
      </c>
      <c r="F6310" s="7">
        <v>38</v>
      </c>
      <c r="G6310" s="7">
        <v>16147.61</v>
      </c>
      <c r="H6310" s="7">
        <v>0.02</v>
      </c>
      <c r="I6310" s="9" t="s">
        <v>22</v>
      </c>
      <c r="J6310" s="10">
        <v>7604.95</v>
      </c>
      <c r="K6310" s="11">
        <v>420.98</v>
      </c>
      <c r="L6310" s="11">
        <v>19.989999999999998</v>
      </c>
      <c r="M6310" s="9" t="s">
        <v>1158</v>
      </c>
      <c r="N6310" s="6" t="s">
        <v>1813</v>
      </c>
      <c r="O6310" s="6" t="s">
        <v>512</v>
      </c>
      <c r="P6310" s="9" t="s">
        <v>41</v>
      </c>
      <c r="Q6310" s="9" t="s">
        <v>26</v>
      </c>
      <c r="R6310" s="9" t="s">
        <v>37</v>
      </c>
      <c r="S6310" s="7" t="s">
        <v>607</v>
      </c>
      <c r="T6310" s="9" t="s">
        <v>39</v>
      </c>
      <c r="U6310" s="7">
        <v>0.35</v>
      </c>
      <c r="V6310" s="12">
        <f>C6310+3</f>
        <v>39845</v>
      </c>
      <c r="W6310">
        <f>IF(D6310=' Pivot Tables'!$A$4,1,0)</f>
        <v>0</v>
      </c>
      <c r="X6310">
        <f>IF(AND(LEFT(D6310,4)+1=LEFT(' Pivot Tables'!$A$4,4)+0,RIGHT(LEFT(D6310,7),2)=RIGHT(LEFT(' Pivot Tables'!$A$4,7),2)),1,0)</f>
        <v>1</v>
      </c>
      <c r="Y6310" s="6">
        <f>1/COUNTIF(Таблица1[Order ID],Таблица1[[#This Row],[Order ID]])</f>
        <v>0.5</v>
      </c>
      <c r="Z6310" s="9">
        <f>1/COUNTIFS(Таблица1[Customer Name],Таблица1[[#This Row],[Customer Name]],Таблица1[Order-Year-Month],Таблица1[[#This Row],[Order-Year-Month]])</f>
        <v>0.5</v>
      </c>
    </row>
    <row r="6311" spans="1:26" x14ac:dyDescent="0.2">
      <c r="A6311" s="6">
        <v>2844</v>
      </c>
      <c r="B6311" s="7">
        <v>20484</v>
      </c>
      <c r="C6311" s="8">
        <f>DATE(2012,12,31)-1432</f>
        <v>39842</v>
      </c>
      <c r="D6311" s="8" t="str">
        <f t="shared" si="116"/>
        <v>2009-01 (январь 2009)</v>
      </c>
      <c r="E6311" s="9" t="s">
        <v>78</v>
      </c>
      <c r="F6311" s="7">
        <v>14</v>
      </c>
      <c r="G6311" s="7">
        <v>1122.6375</v>
      </c>
      <c r="H6311" s="7">
        <v>0.09</v>
      </c>
      <c r="I6311" s="9" t="s">
        <v>22</v>
      </c>
      <c r="J6311" s="10">
        <v>17.676000000000002</v>
      </c>
      <c r="K6311" s="11">
        <v>95.99</v>
      </c>
      <c r="L6311" s="11">
        <v>4.9000000000000004</v>
      </c>
      <c r="M6311" s="9" t="s">
        <v>2007</v>
      </c>
      <c r="N6311" s="6" t="s">
        <v>1813</v>
      </c>
      <c r="O6311" s="6" t="s">
        <v>512</v>
      </c>
      <c r="P6311" s="9" t="s">
        <v>33</v>
      </c>
      <c r="Q6311" s="9" t="s">
        <v>42</v>
      </c>
      <c r="R6311" s="9" t="s">
        <v>43</v>
      </c>
      <c r="S6311" s="7" t="s">
        <v>1254</v>
      </c>
      <c r="T6311" s="9" t="s">
        <v>39</v>
      </c>
      <c r="U6311" s="7">
        <v>0.56000000000000005</v>
      </c>
      <c r="V6311" s="12">
        <f>C6311+2</f>
        <v>39844</v>
      </c>
      <c r="W6311">
        <f>IF(D6311=' Pivot Tables'!$A$4,1,0)</f>
        <v>0</v>
      </c>
      <c r="X6311">
        <f>IF(AND(LEFT(D6311,4)+1=LEFT(' Pivot Tables'!$A$4,4)+0,RIGHT(LEFT(D6311,7),2)=RIGHT(LEFT(' Pivot Tables'!$A$4,7),2)),1,0)</f>
        <v>1</v>
      </c>
      <c r="Y6311" s="6">
        <f>1/COUNTIF(Таблица1[Order ID],Таблица1[[#This Row],[Order ID]])</f>
        <v>1</v>
      </c>
      <c r="Z6311" s="9">
        <f>1/COUNTIFS(Таблица1[Customer Name],Таблица1[[#This Row],[Customer Name]],Таблица1[Order-Year-Month],Таблица1[[#This Row],[Order-Year-Month]])</f>
        <v>1</v>
      </c>
    </row>
    <row r="6312" spans="1:26" x14ac:dyDescent="0.2">
      <c r="A6312" s="6">
        <v>2857</v>
      </c>
      <c r="B6312" s="7">
        <v>20579</v>
      </c>
      <c r="C6312" s="8">
        <f>DATE(2012,12,31)-91</f>
        <v>41183</v>
      </c>
      <c r="D6312" s="8" t="str">
        <f t="shared" si="116"/>
        <v>2012-10 (октябрь 2012)</v>
      </c>
      <c r="E6312" s="9" t="s">
        <v>63</v>
      </c>
      <c r="F6312" s="7">
        <v>16</v>
      </c>
      <c r="G6312" s="7">
        <v>1434.086</v>
      </c>
      <c r="H6312" s="7">
        <v>0.1</v>
      </c>
      <c r="I6312" s="9" t="s">
        <v>22</v>
      </c>
      <c r="J6312" s="10">
        <v>-26.245999999999999</v>
      </c>
      <c r="K6312" s="11">
        <v>110.99</v>
      </c>
      <c r="L6312" s="11">
        <v>8.99</v>
      </c>
      <c r="M6312" s="9" t="s">
        <v>1999</v>
      </c>
      <c r="N6312" s="6" t="s">
        <v>1813</v>
      </c>
      <c r="O6312" s="6" t="s">
        <v>512</v>
      </c>
      <c r="P6312" s="9" t="s">
        <v>25</v>
      </c>
      <c r="Q6312" s="9" t="s">
        <v>42</v>
      </c>
      <c r="R6312" s="9" t="s">
        <v>43</v>
      </c>
      <c r="S6312" s="7" t="s">
        <v>565</v>
      </c>
      <c r="T6312" s="9" t="s">
        <v>39</v>
      </c>
      <c r="U6312" s="7">
        <v>0.56999999999999995</v>
      </c>
      <c r="V6312" s="12">
        <f>C6312+3</f>
        <v>41186</v>
      </c>
      <c r="W6312">
        <f>IF(D6312=' Pivot Tables'!$A$4,1,0)</f>
        <v>0</v>
      </c>
      <c r="X6312">
        <f>IF(AND(LEFT(D6312,4)+1=LEFT(' Pivot Tables'!$A$4,4)+0,RIGHT(LEFT(D6312,7),2)=RIGHT(LEFT(' Pivot Tables'!$A$4,7),2)),1,0)</f>
        <v>0</v>
      </c>
      <c r="Y6312" s="6">
        <f>1/COUNTIF(Таблица1[Order ID],Таблица1[[#This Row],[Order ID]])</f>
        <v>1</v>
      </c>
      <c r="Z6312" s="9">
        <f>1/COUNTIFS(Таблица1[Customer Name],Таблица1[[#This Row],[Customer Name]],Таблица1[Order-Year-Month],Таблица1[[#This Row],[Order-Year-Month]])</f>
        <v>1</v>
      </c>
    </row>
    <row r="6313" spans="1:26" x14ac:dyDescent="0.2">
      <c r="A6313" s="6">
        <v>2899</v>
      </c>
      <c r="B6313" s="7">
        <v>20933</v>
      </c>
      <c r="C6313" s="8">
        <f>DATE(2012,12,31)-127</f>
        <v>41147</v>
      </c>
      <c r="D6313" s="8" t="str">
        <f t="shared" si="116"/>
        <v>2012-08 (август 2012)</v>
      </c>
      <c r="E6313" s="9" t="s">
        <v>30</v>
      </c>
      <c r="F6313" s="7">
        <v>45</v>
      </c>
      <c r="G6313" s="7">
        <v>2079.4740000000002</v>
      </c>
      <c r="H6313" s="7">
        <v>0.05</v>
      </c>
      <c r="I6313" s="9" t="s">
        <v>22</v>
      </c>
      <c r="J6313" s="10">
        <v>-81.564999999999998</v>
      </c>
      <c r="K6313" s="11">
        <v>55.99</v>
      </c>
      <c r="L6313" s="11">
        <v>5</v>
      </c>
      <c r="M6313" s="9" t="s">
        <v>1257</v>
      </c>
      <c r="N6313" s="6" t="s">
        <v>1813</v>
      </c>
      <c r="O6313" s="6" t="s">
        <v>512</v>
      </c>
      <c r="P6313" s="9" t="s">
        <v>41</v>
      </c>
      <c r="Q6313" s="9" t="s">
        <v>42</v>
      </c>
      <c r="R6313" s="9" t="s">
        <v>43</v>
      </c>
      <c r="S6313" s="7" t="s">
        <v>268</v>
      </c>
      <c r="T6313" s="9" t="s">
        <v>52</v>
      </c>
      <c r="U6313" s="7">
        <v>0.8</v>
      </c>
      <c r="V6313" s="12">
        <f>C6313+2</f>
        <v>41149</v>
      </c>
      <c r="W6313">
        <f>IF(D6313=' Pivot Tables'!$A$4,1,0)</f>
        <v>0</v>
      </c>
      <c r="X6313">
        <f>IF(AND(LEFT(D6313,4)+1=LEFT(' Pivot Tables'!$A$4,4)+0,RIGHT(LEFT(D6313,7),2)=RIGHT(LEFT(' Pivot Tables'!$A$4,7),2)),1,0)</f>
        <v>0</v>
      </c>
      <c r="Y6313" s="6">
        <f>1/COUNTIF(Таблица1[Order ID],Таблица1[[#This Row],[Order ID]])</f>
        <v>1</v>
      </c>
      <c r="Z6313" s="9">
        <f>1/COUNTIFS(Таблица1[Customer Name],Таблица1[[#This Row],[Customer Name]],Таблица1[Order-Year-Month],Таблица1[[#This Row],[Order-Year-Month]])</f>
        <v>1</v>
      </c>
    </row>
    <row r="6314" spans="1:26" x14ac:dyDescent="0.2">
      <c r="A6314" s="6">
        <v>2922</v>
      </c>
      <c r="B6314" s="7">
        <v>21155</v>
      </c>
      <c r="C6314" s="8">
        <f>DATE(2012,12,31)-695</f>
        <v>40579</v>
      </c>
      <c r="D6314" s="8" t="str">
        <f t="shared" si="116"/>
        <v>2011-02 (февраль 2011)</v>
      </c>
      <c r="E6314" s="9" t="s">
        <v>30</v>
      </c>
      <c r="F6314" s="7">
        <v>4</v>
      </c>
      <c r="G6314" s="7">
        <v>81.78</v>
      </c>
      <c r="H6314" s="7">
        <v>7.0000000000000007E-2</v>
      </c>
      <c r="I6314" s="9" t="s">
        <v>22</v>
      </c>
      <c r="J6314" s="10">
        <v>-12.43</v>
      </c>
      <c r="K6314" s="11">
        <v>19.98</v>
      </c>
      <c r="L6314" s="11">
        <v>5.97</v>
      </c>
      <c r="M6314" s="9" t="s">
        <v>1500</v>
      </c>
      <c r="N6314" s="6" t="s">
        <v>1813</v>
      </c>
      <c r="O6314" s="6" t="s">
        <v>512</v>
      </c>
      <c r="P6314" s="9" t="s">
        <v>33</v>
      </c>
      <c r="Q6314" s="9" t="s">
        <v>26</v>
      </c>
      <c r="R6314" s="9" t="s">
        <v>61</v>
      </c>
      <c r="S6314" s="7" t="s">
        <v>169</v>
      </c>
      <c r="T6314" s="9" t="s">
        <v>39</v>
      </c>
      <c r="U6314" s="7">
        <v>0.38</v>
      </c>
      <c r="V6314" s="12">
        <f>C6314+1</f>
        <v>40580</v>
      </c>
      <c r="W6314">
        <f>IF(D6314=' Pivot Tables'!$A$4,1,0)</f>
        <v>0</v>
      </c>
      <c r="X6314">
        <f>IF(AND(LEFT(D6314,4)+1=LEFT(' Pivot Tables'!$A$4,4)+0,RIGHT(LEFT(D6314,7),2)=RIGHT(LEFT(' Pivot Tables'!$A$4,7),2)),1,0)</f>
        <v>0</v>
      </c>
      <c r="Y6314" s="6">
        <f>1/COUNTIF(Таблица1[Order ID],Таблица1[[#This Row],[Order ID]])</f>
        <v>1</v>
      </c>
      <c r="Z6314" s="9">
        <f>1/COUNTIFS(Таблица1[Customer Name],Таблица1[[#This Row],[Customer Name]],Таблица1[Order-Year-Month],Таблица1[[#This Row],[Order-Year-Month]])</f>
        <v>1</v>
      </c>
    </row>
    <row r="6315" spans="1:26" x14ac:dyDescent="0.2">
      <c r="A6315" s="6">
        <v>3017</v>
      </c>
      <c r="B6315" s="7">
        <v>21703</v>
      </c>
      <c r="C6315" s="8">
        <f>DATE(2012,12,31)-1400</f>
        <v>39874</v>
      </c>
      <c r="D6315" s="8" t="str">
        <f t="shared" si="116"/>
        <v>2009-03 (март 2009)</v>
      </c>
      <c r="E6315" s="9" t="s">
        <v>45</v>
      </c>
      <c r="F6315" s="7">
        <v>3</v>
      </c>
      <c r="G6315" s="7">
        <v>12.01</v>
      </c>
      <c r="H6315" s="7">
        <v>0</v>
      </c>
      <c r="I6315" s="9" t="s">
        <v>22</v>
      </c>
      <c r="J6315" s="10">
        <v>-1.08</v>
      </c>
      <c r="K6315" s="11">
        <v>3.69</v>
      </c>
      <c r="L6315" s="11">
        <v>0.5</v>
      </c>
      <c r="M6315" s="9" t="s">
        <v>1257</v>
      </c>
      <c r="N6315" s="6" t="s">
        <v>1813</v>
      </c>
      <c r="O6315" s="6" t="s">
        <v>512</v>
      </c>
      <c r="P6315" s="9" t="s">
        <v>25</v>
      </c>
      <c r="Q6315" s="9" t="s">
        <v>26</v>
      </c>
      <c r="R6315" s="9" t="s">
        <v>88</v>
      </c>
      <c r="S6315" s="7" t="s">
        <v>1445</v>
      </c>
      <c r="T6315" s="9" t="s">
        <v>39</v>
      </c>
      <c r="U6315" s="7">
        <v>0.38</v>
      </c>
      <c r="V6315" s="12">
        <f>C6315+2</f>
        <v>39876</v>
      </c>
      <c r="W6315">
        <f>IF(D6315=' Pivot Tables'!$A$4,1,0)</f>
        <v>0</v>
      </c>
      <c r="X6315">
        <f>IF(AND(LEFT(D6315,4)+1=LEFT(' Pivot Tables'!$A$4,4)+0,RIGHT(LEFT(D6315,7),2)=RIGHT(LEFT(' Pivot Tables'!$A$4,7),2)),1,0)</f>
        <v>0</v>
      </c>
      <c r="Y6315" s="6">
        <f>1/COUNTIF(Таблица1[Order ID],Таблица1[[#This Row],[Order ID]])</f>
        <v>0.33333333333333331</v>
      </c>
      <c r="Z6315" s="9">
        <f>1/COUNTIFS(Таблица1[Customer Name],Таблица1[[#This Row],[Customer Name]],Таблица1[Order-Year-Month],Таблица1[[#This Row],[Order-Year-Month]])</f>
        <v>0.33333333333333331</v>
      </c>
    </row>
    <row r="6316" spans="1:26" x14ac:dyDescent="0.2">
      <c r="A6316" s="6">
        <v>3018</v>
      </c>
      <c r="B6316" s="7">
        <v>21703</v>
      </c>
      <c r="C6316" s="8">
        <f>DATE(2012,12,31)-1400</f>
        <v>39874</v>
      </c>
      <c r="D6316" s="8" t="str">
        <f t="shared" si="116"/>
        <v>2009-03 (март 2009)</v>
      </c>
      <c r="E6316" s="9" t="s">
        <v>45</v>
      </c>
      <c r="F6316" s="7">
        <v>20</v>
      </c>
      <c r="G6316" s="7">
        <v>1846.76</v>
      </c>
      <c r="H6316" s="7">
        <v>0.03</v>
      </c>
      <c r="I6316" s="9" t="s">
        <v>22</v>
      </c>
      <c r="J6316" s="10">
        <v>3.1400000000000432</v>
      </c>
      <c r="K6316" s="11">
        <v>92.23</v>
      </c>
      <c r="L6316" s="11">
        <v>39.61</v>
      </c>
      <c r="M6316" s="9" t="s">
        <v>1257</v>
      </c>
      <c r="N6316" s="6" t="s">
        <v>1813</v>
      </c>
      <c r="O6316" s="6" t="s">
        <v>512</v>
      </c>
      <c r="P6316" s="9" t="s">
        <v>25</v>
      </c>
      <c r="Q6316" s="9" t="s">
        <v>49</v>
      </c>
      <c r="R6316" s="9" t="s">
        <v>50</v>
      </c>
      <c r="S6316" s="7" t="s">
        <v>145</v>
      </c>
      <c r="T6316" s="9" t="s">
        <v>48</v>
      </c>
      <c r="U6316" s="7">
        <v>0.67</v>
      </c>
      <c r="V6316" s="12">
        <f>C6316+2</f>
        <v>39876</v>
      </c>
      <c r="W6316">
        <f>IF(D6316=' Pivot Tables'!$A$4,1,0)</f>
        <v>0</v>
      </c>
      <c r="X6316">
        <f>IF(AND(LEFT(D6316,4)+1=LEFT(' Pivot Tables'!$A$4,4)+0,RIGHT(LEFT(D6316,7),2)=RIGHT(LEFT(' Pivot Tables'!$A$4,7),2)),1,0)</f>
        <v>0</v>
      </c>
      <c r="Y6316" s="6">
        <f>1/COUNTIF(Таблица1[Order ID],Таблица1[[#This Row],[Order ID]])</f>
        <v>0.33333333333333331</v>
      </c>
      <c r="Z6316" s="9">
        <f>1/COUNTIFS(Таблица1[Customer Name],Таблица1[[#This Row],[Customer Name]],Таблица1[Order-Year-Month],Таблица1[[#This Row],[Order-Year-Month]])</f>
        <v>0.33333333333333331</v>
      </c>
    </row>
    <row r="6317" spans="1:26" x14ac:dyDescent="0.2">
      <c r="A6317" s="6">
        <v>3019</v>
      </c>
      <c r="B6317" s="7">
        <v>21703</v>
      </c>
      <c r="C6317" s="8">
        <f>DATE(2012,12,31)-1400</f>
        <v>39874</v>
      </c>
      <c r="D6317" s="8" t="str">
        <f t="shared" si="116"/>
        <v>2009-03 (март 2009)</v>
      </c>
      <c r="E6317" s="9" t="s">
        <v>45</v>
      </c>
      <c r="F6317" s="7">
        <v>15</v>
      </c>
      <c r="G6317" s="7">
        <v>2211.7339999999999</v>
      </c>
      <c r="H6317" s="7">
        <v>0.02</v>
      </c>
      <c r="I6317" s="9" t="s">
        <v>56</v>
      </c>
      <c r="J6317" s="10">
        <v>80.757000000000005</v>
      </c>
      <c r="K6317" s="11">
        <v>175.99</v>
      </c>
      <c r="L6317" s="11">
        <v>4.99</v>
      </c>
      <c r="M6317" s="9" t="s">
        <v>1257</v>
      </c>
      <c r="N6317" s="6" t="s">
        <v>1813</v>
      </c>
      <c r="O6317" s="6" t="s">
        <v>512</v>
      </c>
      <c r="P6317" s="9" t="s">
        <v>25</v>
      </c>
      <c r="Q6317" s="9" t="s">
        <v>42</v>
      </c>
      <c r="R6317" s="9" t="s">
        <v>43</v>
      </c>
      <c r="S6317" s="7" t="s">
        <v>771</v>
      </c>
      <c r="T6317" s="9" t="s">
        <v>39</v>
      </c>
      <c r="U6317" s="7">
        <v>0.59</v>
      </c>
      <c r="V6317" s="12">
        <f>C6317+0</f>
        <v>39874</v>
      </c>
      <c r="W6317">
        <f>IF(D6317=' Pivot Tables'!$A$4,1,0)</f>
        <v>0</v>
      </c>
      <c r="X6317">
        <f>IF(AND(LEFT(D6317,4)+1=LEFT(' Pivot Tables'!$A$4,4)+0,RIGHT(LEFT(D6317,7),2)=RIGHT(LEFT(' Pivot Tables'!$A$4,7),2)),1,0)</f>
        <v>0</v>
      </c>
      <c r="Y6317" s="6">
        <f>1/COUNTIF(Таблица1[Order ID],Таблица1[[#This Row],[Order ID]])</f>
        <v>0.33333333333333331</v>
      </c>
      <c r="Z6317" s="9">
        <f>1/COUNTIFS(Таблица1[Customer Name],Таблица1[[#This Row],[Customer Name]],Таблица1[Order-Year-Month],Таблица1[[#This Row],[Order-Year-Month]])</f>
        <v>0.33333333333333331</v>
      </c>
    </row>
    <row r="6318" spans="1:26" x14ac:dyDescent="0.2">
      <c r="A6318" s="6">
        <v>3022</v>
      </c>
      <c r="B6318" s="7">
        <v>21731</v>
      </c>
      <c r="C6318" s="8">
        <f>DATE(2012,12,31)-401</f>
        <v>40873</v>
      </c>
      <c r="D6318" s="8" t="str">
        <f t="shared" si="116"/>
        <v>2011-11 (ноябрь 2011)</v>
      </c>
      <c r="E6318" s="9" t="s">
        <v>21</v>
      </c>
      <c r="F6318" s="7">
        <v>26</v>
      </c>
      <c r="G6318" s="7">
        <v>1580.57</v>
      </c>
      <c r="H6318" s="7">
        <v>0.08</v>
      </c>
      <c r="I6318" s="9" t="s">
        <v>22</v>
      </c>
      <c r="J6318" s="10">
        <v>-750.82</v>
      </c>
      <c r="K6318" s="11">
        <v>60.98</v>
      </c>
      <c r="L6318" s="11">
        <v>49</v>
      </c>
      <c r="M6318" s="9" t="s">
        <v>1158</v>
      </c>
      <c r="N6318" s="6" t="s">
        <v>1813</v>
      </c>
      <c r="O6318" s="6" t="s">
        <v>512</v>
      </c>
      <c r="P6318" s="9" t="s">
        <v>41</v>
      </c>
      <c r="Q6318" s="9" t="s">
        <v>26</v>
      </c>
      <c r="R6318" s="9" t="s">
        <v>34</v>
      </c>
      <c r="S6318" s="7" t="s">
        <v>472</v>
      </c>
      <c r="T6318" s="9" t="s">
        <v>29</v>
      </c>
      <c r="U6318" s="7">
        <v>0.59</v>
      </c>
      <c r="V6318" s="12">
        <f>C6318+0</f>
        <v>40873</v>
      </c>
      <c r="W6318">
        <f>IF(D6318=' Pivot Tables'!$A$4,1,0)</f>
        <v>0</v>
      </c>
      <c r="X6318">
        <f>IF(AND(LEFT(D6318,4)+1=LEFT(' Pivot Tables'!$A$4,4)+0,RIGHT(LEFT(D6318,7),2)=RIGHT(LEFT(' Pivot Tables'!$A$4,7),2)),1,0)</f>
        <v>0</v>
      </c>
      <c r="Y6318" s="6">
        <f>1/COUNTIF(Таблица1[Order ID],Таблица1[[#This Row],[Order ID]])</f>
        <v>1</v>
      </c>
      <c r="Z6318" s="9">
        <f>1/COUNTIFS(Таблица1[Customer Name],Таблица1[[#This Row],[Customer Name]],Таблица1[Order-Year-Month],Таблица1[[#This Row],[Order-Year-Month]])</f>
        <v>1</v>
      </c>
    </row>
    <row r="6319" spans="1:26" x14ac:dyDescent="0.2">
      <c r="A6319" s="6">
        <v>3036</v>
      </c>
      <c r="B6319" s="7">
        <v>21799</v>
      </c>
      <c r="C6319" s="8">
        <f>DATE(2012,12,31)-622</f>
        <v>40652</v>
      </c>
      <c r="D6319" s="8" t="str">
        <f t="shared" si="116"/>
        <v>2011-04 (апрель 2011)</v>
      </c>
      <c r="E6319" s="9" t="s">
        <v>45</v>
      </c>
      <c r="F6319" s="7">
        <v>42</v>
      </c>
      <c r="G6319" s="7">
        <v>115.99</v>
      </c>
      <c r="H6319" s="7">
        <v>0.05</v>
      </c>
      <c r="I6319" s="9" t="s">
        <v>56</v>
      </c>
      <c r="J6319" s="10">
        <v>-53.35</v>
      </c>
      <c r="K6319" s="11">
        <v>2.6</v>
      </c>
      <c r="L6319" s="11">
        <v>2.4</v>
      </c>
      <c r="M6319" s="9" t="s">
        <v>2002</v>
      </c>
      <c r="N6319" s="6" t="s">
        <v>1813</v>
      </c>
      <c r="O6319" s="6" t="s">
        <v>512</v>
      </c>
      <c r="P6319" s="9" t="s">
        <v>41</v>
      </c>
      <c r="Q6319" s="9" t="s">
        <v>26</v>
      </c>
      <c r="R6319" s="9" t="s">
        <v>95</v>
      </c>
      <c r="S6319" s="7" t="s">
        <v>393</v>
      </c>
      <c r="T6319" s="9" t="s">
        <v>68</v>
      </c>
      <c r="U6319" s="7">
        <v>0.57999999999999996</v>
      </c>
      <c r="V6319" s="12">
        <f>C6319+1</f>
        <v>40653</v>
      </c>
      <c r="W6319">
        <f>IF(D6319=' Pivot Tables'!$A$4,1,0)</f>
        <v>0</v>
      </c>
      <c r="X6319">
        <f>IF(AND(LEFT(D6319,4)+1=LEFT(' Pivot Tables'!$A$4,4)+0,RIGHT(LEFT(D6319,7),2)=RIGHT(LEFT(' Pivot Tables'!$A$4,7),2)),1,0)</f>
        <v>0</v>
      </c>
      <c r="Y6319" s="6">
        <f>1/COUNTIF(Таблица1[Order ID],Таблица1[[#This Row],[Order ID]])</f>
        <v>1</v>
      </c>
      <c r="Z6319" s="9">
        <f>1/COUNTIFS(Таблица1[Customer Name],Таблица1[[#This Row],[Customer Name]],Таблица1[Order-Year-Month],Таблица1[[#This Row],[Order-Year-Month]])</f>
        <v>0.33333333333333331</v>
      </c>
    </row>
    <row r="6320" spans="1:26" x14ac:dyDescent="0.2">
      <c r="A6320" s="6">
        <v>3066</v>
      </c>
      <c r="B6320" s="7">
        <v>21985</v>
      </c>
      <c r="C6320" s="8">
        <f>DATE(2012,12,31)-1223</f>
        <v>40051</v>
      </c>
      <c r="D6320" s="8" t="str">
        <f t="shared" si="116"/>
        <v>2009-08 (август 2009)</v>
      </c>
      <c r="E6320" s="9" t="s">
        <v>78</v>
      </c>
      <c r="F6320" s="7">
        <v>1</v>
      </c>
      <c r="G6320" s="7">
        <v>255.83</v>
      </c>
      <c r="H6320" s="7">
        <v>7.0000000000000007E-2</v>
      </c>
      <c r="I6320" s="9" t="s">
        <v>31</v>
      </c>
      <c r="J6320" s="10">
        <v>-132.74</v>
      </c>
      <c r="K6320" s="11">
        <v>226.67</v>
      </c>
      <c r="L6320" s="11">
        <v>28.16</v>
      </c>
      <c r="M6320" s="9" t="s">
        <v>2002</v>
      </c>
      <c r="N6320" s="6" t="s">
        <v>1813</v>
      </c>
      <c r="O6320" s="6" t="s">
        <v>512</v>
      </c>
      <c r="P6320" s="9" t="s">
        <v>41</v>
      </c>
      <c r="Q6320" s="9" t="s">
        <v>49</v>
      </c>
      <c r="R6320" s="9" t="s">
        <v>112</v>
      </c>
      <c r="S6320" s="7" t="s">
        <v>215</v>
      </c>
      <c r="T6320" s="9" t="s">
        <v>36</v>
      </c>
      <c r="U6320" s="7">
        <v>0.59</v>
      </c>
      <c r="V6320" s="12">
        <f>C6320+1</f>
        <v>40052</v>
      </c>
      <c r="W6320">
        <f>IF(D6320=' Pivot Tables'!$A$4,1,0)</f>
        <v>0</v>
      </c>
      <c r="X6320">
        <f>IF(AND(LEFT(D6320,4)+1=LEFT(' Pivot Tables'!$A$4,4)+0,RIGHT(LEFT(D6320,7),2)=RIGHT(LEFT(' Pivot Tables'!$A$4,7),2)),1,0)</f>
        <v>0</v>
      </c>
      <c r="Y6320" s="6">
        <f>1/COUNTIF(Таблица1[Order ID],Таблица1[[#This Row],[Order ID]])</f>
        <v>0.5</v>
      </c>
      <c r="Z6320" s="9">
        <f>1/COUNTIFS(Таблица1[Customer Name],Таблица1[[#This Row],[Customer Name]],Таблица1[Order-Year-Month],Таблица1[[#This Row],[Order-Year-Month]])</f>
        <v>0.5</v>
      </c>
    </row>
    <row r="6321" spans="1:26" x14ac:dyDescent="0.2">
      <c r="A6321" s="6">
        <v>3067</v>
      </c>
      <c r="B6321" s="7">
        <v>21985</v>
      </c>
      <c r="C6321" s="8">
        <f>DATE(2012,12,31)-1223</f>
        <v>40051</v>
      </c>
      <c r="D6321" s="8" t="str">
        <f t="shared" si="116"/>
        <v>2009-08 (август 2009)</v>
      </c>
      <c r="E6321" s="9" t="s">
        <v>78</v>
      </c>
      <c r="F6321" s="7">
        <v>45</v>
      </c>
      <c r="G6321" s="7">
        <v>947.66</v>
      </c>
      <c r="H6321" s="7">
        <v>0.08</v>
      </c>
      <c r="I6321" s="9" t="s">
        <v>31</v>
      </c>
      <c r="J6321" s="10">
        <v>-2175.09</v>
      </c>
      <c r="K6321" s="11">
        <v>20.98</v>
      </c>
      <c r="L6321" s="11">
        <v>53.03</v>
      </c>
      <c r="M6321" s="9" t="s">
        <v>2002</v>
      </c>
      <c r="N6321" s="6" t="s">
        <v>1813</v>
      </c>
      <c r="O6321" s="6" t="s">
        <v>512</v>
      </c>
      <c r="P6321" s="9" t="s">
        <v>41</v>
      </c>
      <c r="Q6321" s="9" t="s">
        <v>26</v>
      </c>
      <c r="R6321" s="9" t="s">
        <v>27</v>
      </c>
      <c r="S6321" s="7" t="s">
        <v>218</v>
      </c>
      <c r="T6321" s="9" t="s">
        <v>36</v>
      </c>
      <c r="U6321" s="7">
        <v>0.78</v>
      </c>
      <c r="V6321" s="12">
        <f>C6321+2</f>
        <v>40053</v>
      </c>
      <c r="W6321">
        <f>IF(D6321=' Pivot Tables'!$A$4,1,0)</f>
        <v>0</v>
      </c>
      <c r="X6321">
        <f>IF(AND(LEFT(D6321,4)+1=LEFT(' Pivot Tables'!$A$4,4)+0,RIGHT(LEFT(D6321,7),2)=RIGHT(LEFT(' Pivot Tables'!$A$4,7),2)),1,0)</f>
        <v>0</v>
      </c>
      <c r="Y6321" s="6">
        <f>1/COUNTIF(Таблица1[Order ID],Таблица1[[#This Row],[Order ID]])</f>
        <v>0.5</v>
      </c>
      <c r="Z6321" s="9">
        <f>1/COUNTIFS(Таблица1[Customer Name],Таблица1[[#This Row],[Customer Name]],Таблица1[Order-Year-Month],Таблица1[[#This Row],[Order-Year-Month]])</f>
        <v>0.5</v>
      </c>
    </row>
    <row r="6322" spans="1:26" x14ac:dyDescent="0.2">
      <c r="A6322" s="6">
        <v>3098</v>
      </c>
      <c r="B6322" s="7">
        <v>22210</v>
      </c>
      <c r="C6322" s="8">
        <f>DATE(2012,12,31)-469</f>
        <v>40805</v>
      </c>
      <c r="D6322" s="8" t="str">
        <f t="shared" si="116"/>
        <v>2011-09 (сентябрь 2011)</v>
      </c>
      <c r="E6322" s="9" t="s">
        <v>78</v>
      </c>
      <c r="F6322" s="7">
        <v>37</v>
      </c>
      <c r="G6322" s="7">
        <v>1033.44</v>
      </c>
      <c r="H6322" s="7">
        <v>0.1</v>
      </c>
      <c r="I6322" s="9" t="s">
        <v>22</v>
      </c>
      <c r="J6322" s="10">
        <v>385.63</v>
      </c>
      <c r="K6322" s="11">
        <v>29.14</v>
      </c>
      <c r="L6322" s="11">
        <v>4.8600000000000003</v>
      </c>
      <c r="M6322" s="9" t="s">
        <v>1879</v>
      </c>
      <c r="N6322" s="6" t="s">
        <v>1813</v>
      </c>
      <c r="O6322" s="6" t="s">
        <v>512</v>
      </c>
      <c r="P6322" s="9" t="s">
        <v>41</v>
      </c>
      <c r="Q6322" s="9" t="s">
        <v>26</v>
      </c>
      <c r="R6322" s="9" t="s">
        <v>61</v>
      </c>
      <c r="S6322" s="7" t="s">
        <v>397</v>
      </c>
      <c r="T6322" s="9" t="s">
        <v>68</v>
      </c>
      <c r="U6322" s="7">
        <v>0.38</v>
      </c>
      <c r="V6322" s="12">
        <f>C6322+2</f>
        <v>40807</v>
      </c>
      <c r="W6322">
        <f>IF(D6322=' Pivot Tables'!$A$4,1,0)</f>
        <v>0</v>
      </c>
      <c r="X6322">
        <f>IF(AND(LEFT(D6322,4)+1=LEFT(' Pivot Tables'!$A$4,4)+0,RIGHT(LEFT(D6322,7),2)=RIGHT(LEFT(' Pivot Tables'!$A$4,7),2)),1,0)</f>
        <v>0</v>
      </c>
      <c r="Y6322" s="6">
        <f>1/COUNTIF(Таблица1[Order ID],Таблица1[[#This Row],[Order ID]])</f>
        <v>1</v>
      </c>
      <c r="Z6322" s="9">
        <f>1/COUNTIFS(Таблица1[Customer Name],Таблица1[[#This Row],[Customer Name]],Таблица1[Order-Year-Month],Таблица1[[#This Row],[Order-Year-Month]])</f>
        <v>1</v>
      </c>
    </row>
    <row r="6323" spans="1:26" x14ac:dyDescent="0.2">
      <c r="A6323" s="6">
        <v>3153</v>
      </c>
      <c r="B6323" s="7">
        <v>22628</v>
      </c>
      <c r="C6323" s="8">
        <f>DATE(2012,12,31)-1159</f>
        <v>40115</v>
      </c>
      <c r="D6323" s="8" t="str">
        <f t="shared" si="116"/>
        <v>2009-10 (октябрь 2009)</v>
      </c>
      <c r="E6323" s="9" t="s">
        <v>63</v>
      </c>
      <c r="F6323" s="7">
        <v>30</v>
      </c>
      <c r="G6323" s="7">
        <v>2951.7</v>
      </c>
      <c r="H6323" s="7">
        <v>0.02</v>
      </c>
      <c r="I6323" s="9" t="s">
        <v>31</v>
      </c>
      <c r="J6323" s="10">
        <v>-1111.45</v>
      </c>
      <c r="K6323" s="11">
        <v>95.95</v>
      </c>
      <c r="L6323" s="11">
        <v>74.349999999999994</v>
      </c>
      <c r="M6323" s="9" t="s">
        <v>2002</v>
      </c>
      <c r="N6323" s="6" t="s">
        <v>1813</v>
      </c>
      <c r="O6323" s="6" t="s">
        <v>512</v>
      </c>
      <c r="P6323" s="9" t="s">
        <v>41</v>
      </c>
      <c r="Q6323" s="9" t="s">
        <v>49</v>
      </c>
      <c r="R6323" s="9" t="s">
        <v>112</v>
      </c>
      <c r="S6323" s="7" t="s">
        <v>113</v>
      </c>
      <c r="T6323" s="9" t="s">
        <v>36</v>
      </c>
      <c r="U6323" s="7">
        <v>0.56999999999999995</v>
      </c>
      <c r="V6323" s="12">
        <f>C6323+3</f>
        <v>40118</v>
      </c>
      <c r="W6323">
        <f>IF(D6323=' Pivot Tables'!$A$4,1,0)</f>
        <v>0</v>
      </c>
      <c r="X6323">
        <f>IF(AND(LEFT(D6323,4)+1=LEFT(' Pivot Tables'!$A$4,4)+0,RIGHT(LEFT(D6323,7),2)=RIGHT(LEFT(' Pivot Tables'!$A$4,7),2)),1,0)</f>
        <v>0</v>
      </c>
      <c r="Y6323" s="6">
        <f>1/COUNTIF(Таблица1[Order ID],Таблица1[[#This Row],[Order ID]])</f>
        <v>1</v>
      </c>
      <c r="Z6323" s="9">
        <f>1/COUNTIFS(Таблица1[Customer Name],Таблица1[[#This Row],[Customer Name]],Таблица1[Order-Year-Month],Таблица1[[#This Row],[Order-Year-Month]])</f>
        <v>1</v>
      </c>
    </row>
    <row r="6324" spans="1:26" x14ac:dyDescent="0.2">
      <c r="A6324" s="6">
        <v>3220</v>
      </c>
      <c r="B6324" s="7">
        <v>23106</v>
      </c>
      <c r="C6324" s="8">
        <f>DATE(2012,12,31)-803</f>
        <v>40471</v>
      </c>
      <c r="D6324" s="8" t="str">
        <f t="shared" si="116"/>
        <v>2010-10 (октябрь 2010)</v>
      </c>
      <c r="E6324" s="9" t="s">
        <v>63</v>
      </c>
      <c r="F6324" s="7">
        <v>35</v>
      </c>
      <c r="G6324" s="7">
        <v>25313.34</v>
      </c>
      <c r="H6324" s="7">
        <v>0.05</v>
      </c>
      <c r="I6324" s="9" t="s">
        <v>31</v>
      </c>
      <c r="J6324" s="10">
        <v>8612.11</v>
      </c>
      <c r="K6324" s="11">
        <v>810.98</v>
      </c>
      <c r="L6324" s="11">
        <v>16.059999999999999</v>
      </c>
      <c r="M6324" s="9" t="s">
        <v>1158</v>
      </c>
      <c r="N6324" s="6" t="s">
        <v>1813</v>
      </c>
      <c r="O6324" s="6" t="s">
        <v>512</v>
      </c>
      <c r="P6324" s="9" t="s">
        <v>41</v>
      </c>
      <c r="Q6324" s="9" t="s">
        <v>42</v>
      </c>
      <c r="R6324" s="9" t="s">
        <v>210</v>
      </c>
      <c r="S6324" s="7" t="s">
        <v>1315</v>
      </c>
      <c r="T6324" s="9" t="s">
        <v>36</v>
      </c>
      <c r="U6324" s="7">
        <v>0.56000000000000005</v>
      </c>
      <c r="V6324" s="12">
        <f>C6324+2</f>
        <v>40473</v>
      </c>
      <c r="W6324">
        <f>IF(D6324=' Pivot Tables'!$A$4,1,0)</f>
        <v>0</v>
      </c>
      <c r="X6324">
        <f>IF(AND(LEFT(D6324,4)+1=LEFT(' Pivot Tables'!$A$4,4)+0,RIGHT(LEFT(D6324,7),2)=RIGHT(LEFT(' Pivot Tables'!$A$4,7),2)),1,0)</f>
        <v>0</v>
      </c>
      <c r="Y6324" s="6">
        <f>1/COUNTIF(Таблица1[Order ID],Таблица1[[#This Row],[Order ID]])</f>
        <v>1</v>
      </c>
      <c r="Z6324" s="9">
        <f>1/COUNTIFS(Таблица1[Customer Name],Таблица1[[#This Row],[Customer Name]],Таблица1[Order-Year-Month],Таблица1[[#This Row],[Order-Year-Month]])</f>
        <v>1</v>
      </c>
    </row>
    <row r="6325" spans="1:26" x14ac:dyDescent="0.2">
      <c r="A6325" s="6">
        <v>3262</v>
      </c>
      <c r="B6325" s="7">
        <v>23360</v>
      </c>
      <c r="C6325" s="8">
        <f>DATE(2012,12,31)-1330</f>
        <v>39944</v>
      </c>
      <c r="D6325" s="8" t="str">
        <f t="shared" si="116"/>
        <v>2009-05 (май 2009)</v>
      </c>
      <c r="E6325" s="9" t="s">
        <v>21</v>
      </c>
      <c r="F6325" s="7">
        <v>30</v>
      </c>
      <c r="G6325" s="7">
        <v>512.97</v>
      </c>
      <c r="H6325" s="7">
        <v>0.01</v>
      </c>
      <c r="I6325" s="9" t="s">
        <v>56</v>
      </c>
      <c r="J6325" s="10">
        <v>261.29000000000002</v>
      </c>
      <c r="K6325" s="11">
        <v>15.67</v>
      </c>
      <c r="L6325" s="11">
        <v>1.39</v>
      </c>
      <c r="M6325" s="9" t="s">
        <v>812</v>
      </c>
      <c r="N6325" s="6" t="s">
        <v>1813</v>
      </c>
      <c r="O6325" s="6" t="s">
        <v>512</v>
      </c>
      <c r="P6325" s="9" t="s">
        <v>33</v>
      </c>
      <c r="Q6325" s="9" t="s">
        <v>26</v>
      </c>
      <c r="R6325" s="9" t="s">
        <v>76</v>
      </c>
      <c r="S6325" s="7" t="s">
        <v>165</v>
      </c>
      <c r="T6325" s="9" t="s">
        <v>39</v>
      </c>
      <c r="U6325" s="7">
        <v>0.38</v>
      </c>
      <c r="V6325" s="12">
        <f>C6325+0</f>
        <v>39944</v>
      </c>
      <c r="W6325">
        <f>IF(D6325=' Pivot Tables'!$A$4,1,0)</f>
        <v>0</v>
      </c>
      <c r="X6325">
        <f>IF(AND(LEFT(D6325,4)+1=LEFT(' Pivot Tables'!$A$4,4)+0,RIGHT(LEFT(D6325,7),2)=RIGHT(LEFT(' Pivot Tables'!$A$4,7),2)),1,0)</f>
        <v>0</v>
      </c>
      <c r="Y6325" s="6">
        <f>1/COUNTIF(Таблица1[Order ID],Таблица1[[#This Row],[Order ID]])</f>
        <v>1</v>
      </c>
      <c r="Z6325" s="9">
        <f>1/COUNTIFS(Таблица1[Customer Name],Таблица1[[#This Row],[Customer Name]],Таблица1[Order-Year-Month],Таблица1[[#This Row],[Order-Year-Month]])</f>
        <v>1</v>
      </c>
    </row>
    <row r="6326" spans="1:26" x14ac:dyDescent="0.2">
      <c r="A6326" s="6">
        <v>3331</v>
      </c>
      <c r="B6326" s="7">
        <v>23809</v>
      </c>
      <c r="C6326" s="8">
        <f>DATE(2012,12,31)-210</f>
        <v>41064</v>
      </c>
      <c r="D6326" s="8" t="str">
        <f t="shared" si="116"/>
        <v>2012-06 (июнь 2012)</v>
      </c>
      <c r="E6326" s="9" t="s">
        <v>45</v>
      </c>
      <c r="F6326" s="7">
        <v>7</v>
      </c>
      <c r="G6326" s="7">
        <v>86.61</v>
      </c>
      <c r="H6326" s="7">
        <v>0.1</v>
      </c>
      <c r="I6326" s="9" t="s">
        <v>22</v>
      </c>
      <c r="J6326" s="10">
        <v>15.691000000000001</v>
      </c>
      <c r="K6326" s="11">
        <v>12.97</v>
      </c>
      <c r="L6326" s="11">
        <v>1.49</v>
      </c>
      <c r="M6326" s="9" t="s">
        <v>1713</v>
      </c>
      <c r="N6326" s="6" t="s">
        <v>1813</v>
      </c>
      <c r="O6326" s="6" t="s">
        <v>512</v>
      </c>
      <c r="P6326" s="9" t="s">
        <v>60</v>
      </c>
      <c r="Q6326" s="9" t="s">
        <v>26</v>
      </c>
      <c r="R6326" s="9" t="s">
        <v>37</v>
      </c>
      <c r="S6326" s="7" t="s">
        <v>1269</v>
      </c>
      <c r="T6326" s="9" t="s">
        <v>39</v>
      </c>
      <c r="U6326" s="7">
        <v>0.35</v>
      </c>
      <c r="V6326" s="12">
        <f>C6326+2</f>
        <v>41066</v>
      </c>
      <c r="W6326">
        <f>IF(D6326=' Pivot Tables'!$A$4,1,0)</f>
        <v>0</v>
      </c>
      <c r="X6326">
        <f>IF(AND(LEFT(D6326,4)+1=LEFT(' Pivot Tables'!$A$4,4)+0,RIGHT(LEFT(D6326,7),2)=RIGHT(LEFT(' Pivot Tables'!$A$4,7),2)),1,0)</f>
        <v>0</v>
      </c>
      <c r="Y6326" s="6">
        <f>1/COUNTIF(Таблица1[Order ID],Таблица1[[#This Row],[Order ID]])</f>
        <v>1</v>
      </c>
      <c r="Z6326" s="9">
        <f>1/COUNTIFS(Таблица1[Customer Name],Таблица1[[#This Row],[Customer Name]],Таблица1[Order-Year-Month],Таблица1[[#This Row],[Order-Year-Month]])</f>
        <v>1</v>
      </c>
    </row>
    <row r="6327" spans="1:26" x14ac:dyDescent="0.2">
      <c r="A6327" s="6">
        <v>3491</v>
      </c>
      <c r="B6327" s="7">
        <v>24870</v>
      </c>
      <c r="C6327" s="8">
        <f>DATE(2012,12,31)-1347</f>
        <v>39927</v>
      </c>
      <c r="D6327" s="8" t="str">
        <f t="shared" si="116"/>
        <v>2009-04 (апрель 2009)</v>
      </c>
      <c r="E6327" s="9" t="s">
        <v>21</v>
      </c>
      <c r="F6327" s="7">
        <v>38</v>
      </c>
      <c r="G6327" s="7">
        <v>1396.58</v>
      </c>
      <c r="H6327" s="7">
        <v>0.03</v>
      </c>
      <c r="I6327" s="9" t="s">
        <v>22</v>
      </c>
      <c r="J6327" s="10">
        <v>600.72</v>
      </c>
      <c r="K6327" s="11">
        <v>35.409999999999997</v>
      </c>
      <c r="L6327" s="11">
        <v>1.99</v>
      </c>
      <c r="M6327" s="9" t="s">
        <v>1999</v>
      </c>
      <c r="N6327" s="6" t="s">
        <v>1813</v>
      </c>
      <c r="O6327" s="6" t="s">
        <v>512</v>
      </c>
      <c r="P6327" s="9" t="s">
        <v>25</v>
      </c>
      <c r="Q6327" s="9" t="s">
        <v>42</v>
      </c>
      <c r="R6327" s="9" t="s">
        <v>70</v>
      </c>
      <c r="S6327" s="7" t="s">
        <v>971</v>
      </c>
      <c r="T6327" s="9" t="s">
        <v>52</v>
      </c>
      <c r="U6327" s="7">
        <v>0.43</v>
      </c>
      <c r="V6327" s="12">
        <f>C6327+2</f>
        <v>39929</v>
      </c>
      <c r="W6327">
        <f>IF(D6327=' Pivot Tables'!$A$4,1,0)</f>
        <v>0</v>
      </c>
      <c r="X6327">
        <f>IF(AND(LEFT(D6327,4)+1=LEFT(' Pivot Tables'!$A$4,4)+0,RIGHT(LEFT(D6327,7),2)=RIGHT(LEFT(' Pivot Tables'!$A$4,7),2)),1,0)</f>
        <v>0</v>
      </c>
      <c r="Y6327" s="6">
        <f>1/COUNTIF(Таблица1[Order ID],Таблица1[[#This Row],[Order ID]])</f>
        <v>0.5</v>
      </c>
      <c r="Z6327" s="9">
        <f>1/COUNTIFS(Таблица1[Customer Name],Таблица1[[#This Row],[Customer Name]],Таблица1[Order-Year-Month],Таблица1[[#This Row],[Order-Year-Month]])</f>
        <v>0.5</v>
      </c>
    </row>
    <row r="6328" spans="1:26" x14ac:dyDescent="0.2">
      <c r="A6328" s="6">
        <v>3492</v>
      </c>
      <c r="B6328" s="7">
        <v>24870</v>
      </c>
      <c r="C6328" s="8">
        <f>DATE(2012,12,31)-1347</f>
        <v>39927</v>
      </c>
      <c r="D6328" s="8" t="str">
        <f t="shared" si="116"/>
        <v>2009-04 (апрель 2009)</v>
      </c>
      <c r="E6328" s="9" t="s">
        <v>21</v>
      </c>
      <c r="F6328" s="7">
        <v>45</v>
      </c>
      <c r="G6328" s="7">
        <v>6448.69</v>
      </c>
      <c r="H6328" s="7">
        <v>0</v>
      </c>
      <c r="I6328" s="9" t="s">
        <v>22</v>
      </c>
      <c r="J6328" s="10">
        <v>1663.35</v>
      </c>
      <c r="K6328" s="11">
        <v>142.86000000000001</v>
      </c>
      <c r="L6328" s="11">
        <v>19.989999999999998</v>
      </c>
      <c r="M6328" s="9" t="s">
        <v>1999</v>
      </c>
      <c r="N6328" s="6" t="s">
        <v>1813</v>
      </c>
      <c r="O6328" s="6" t="s">
        <v>512</v>
      </c>
      <c r="P6328" s="9" t="s">
        <v>25</v>
      </c>
      <c r="Q6328" s="9" t="s">
        <v>26</v>
      </c>
      <c r="R6328" s="9" t="s">
        <v>27</v>
      </c>
      <c r="S6328" s="7" t="s">
        <v>887</v>
      </c>
      <c r="T6328" s="9" t="s">
        <v>39</v>
      </c>
      <c r="U6328" s="7">
        <v>0.56000000000000005</v>
      </c>
      <c r="V6328" s="12">
        <f>C6328+9</f>
        <v>39936</v>
      </c>
      <c r="W6328">
        <f>IF(D6328=' Pivot Tables'!$A$4,1,0)</f>
        <v>0</v>
      </c>
      <c r="X6328">
        <f>IF(AND(LEFT(D6328,4)+1=LEFT(' Pivot Tables'!$A$4,4)+0,RIGHT(LEFT(D6328,7),2)=RIGHT(LEFT(' Pivot Tables'!$A$4,7),2)),1,0)</f>
        <v>0</v>
      </c>
      <c r="Y6328" s="6">
        <f>1/COUNTIF(Таблица1[Order ID],Таблица1[[#This Row],[Order ID]])</f>
        <v>0.5</v>
      </c>
      <c r="Z6328" s="9">
        <f>1/COUNTIFS(Таблица1[Customer Name],Таблица1[[#This Row],[Customer Name]],Таблица1[Order-Year-Month],Таблица1[[#This Row],[Order-Year-Month]])</f>
        <v>0.5</v>
      </c>
    </row>
    <row r="6329" spans="1:26" x14ac:dyDescent="0.2">
      <c r="A6329" s="6">
        <v>3606</v>
      </c>
      <c r="B6329" s="7">
        <v>25793</v>
      </c>
      <c r="C6329" s="8">
        <f>DATE(2012,12,31)-268</f>
        <v>41006</v>
      </c>
      <c r="D6329" s="8" t="str">
        <f t="shared" si="116"/>
        <v>2012-04 (апрель 2012)</v>
      </c>
      <c r="E6329" s="9" t="s">
        <v>21</v>
      </c>
      <c r="F6329" s="7">
        <v>27</v>
      </c>
      <c r="G6329" s="7">
        <v>3436.7710000000002</v>
      </c>
      <c r="H6329" s="7">
        <v>0.04</v>
      </c>
      <c r="I6329" s="9" t="s">
        <v>22</v>
      </c>
      <c r="J6329" s="10">
        <v>520.00199999999995</v>
      </c>
      <c r="K6329" s="11">
        <v>155.99</v>
      </c>
      <c r="L6329" s="11">
        <v>8.99</v>
      </c>
      <c r="M6329" s="9" t="s">
        <v>2000</v>
      </c>
      <c r="N6329" s="6" t="s">
        <v>1813</v>
      </c>
      <c r="O6329" s="6" t="s">
        <v>512</v>
      </c>
      <c r="P6329" s="9" t="s">
        <v>33</v>
      </c>
      <c r="Q6329" s="9" t="s">
        <v>42</v>
      </c>
      <c r="R6329" s="9" t="s">
        <v>43</v>
      </c>
      <c r="S6329" s="7" t="s">
        <v>87</v>
      </c>
      <c r="T6329" s="9" t="s">
        <v>39</v>
      </c>
      <c r="U6329" s="7">
        <v>0.57999999999999996</v>
      </c>
      <c r="V6329" s="12">
        <f>C6329+2</f>
        <v>41008</v>
      </c>
      <c r="W6329">
        <f>IF(D6329=' Pivot Tables'!$A$4,1,0)</f>
        <v>0</v>
      </c>
      <c r="X6329">
        <f>IF(AND(LEFT(D6329,4)+1=LEFT(' Pivot Tables'!$A$4,4)+0,RIGHT(LEFT(D6329,7),2)=RIGHT(LEFT(' Pivot Tables'!$A$4,7),2)),1,0)</f>
        <v>0</v>
      </c>
      <c r="Y6329" s="6">
        <f>1/COUNTIF(Таблица1[Order ID],Таблица1[[#This Row],[Order ID]])</f>
        <v>1</v>
      </c>
      <c r="Z6329" s="9">
        <f>1/COUNTIFS(Таблица1[Customer Name],Таблица1[[#This Row],[Customer Name]],Таблица1[Order-Year-Month],Таблица1[[#This Row],[Order-Year-Month]])</f>
        <v>1</v>
      </c>
    </row>
    <row r="6330" spans="1:26" x14ac:dyDescent="0.2">
      <c r="A6330" s="6">
        <v>3724</v>
      </c>
      <c r="B6330" s="7">
        <v>26629</v>
      </c>
      <c r="C6330" s="8">
        <f>DATE(2012,12,31)-1270</f>
        <v>40004</v>
      </c>
      <c r="D6330" s="8" t="str">
        <f t="shared" si="116"/>
        <v>2009-07 (июль 2009)</v>
      </c>
      <c r="E6330" s="9" t="s">
        <v>30</v>
      </c>
      <c r="F6330" s="7">
        <v>38</v>
      </c>
      <c r="G6330" s="7">
        <v>21956.03</v>
      </c>
      <c r="H6330" s="7">
        <v>0.1</v>
      </c>
      <c r="I6330" s="9" t="s">
        <v>22</v>
      </c>
      <c r="J6330" s="10">
        <v>5903.0860000000002</v>
      </c>
      <c r="K6330" s="11">
        <v>599.99</v>
      </c>
      <c r="L6330" s="11">
        <v>24.49</v>
      </c>
      <c r="M6330" s="9" t="s">
        <v>1500</v>
      </c>
      <c r="N6330" s="6" t="s">
        <v>1813</v>
      </c>
      <c r="O6330" s="6" t="s">
        <v>512</v>
      </c>
      <c r="P6330" s="9" t="s">
        <v>33</v>
      </c>
      <c r="Q6330" s="9" t="s">
        <v>42</v>
      </c>
      <c r="R6330" s="9" t="s">
        <v>99</v>
      </c>
      <c r="S6330" s="7" t="s">
        <v>1349</v>
      </c>
      <c r="T6330" s="9" t="s">
        <v>29</v>
      </c>
      <c r="U6330" s="7">
        <v>0.5</v>
      </c>
      <c r="V6330" s="12">
        <f>C6330+1</f>
        <v>40005</v>
      </c>
      <c r="W6330">
        <f>IF(D6330=' Pivot Tables'!$A$4,1,0)</f>
        <v>0</v>
      </c>
      <c r="X6330">
        <f>IF(AND(LEFT(D6330,4)+1=LEFT(' Pivot Tables'!$A$4,4)+0,RIGHT(LEFT(D6330,7),2)=RIGHT(LEFT(' Pivot Tables'!$A$4,7),2)),1,0)</f>
        <v>0</v>
      </c>
      <c r="Y6330" s="6">
        <f>1/COUNTIF(Таблица1[Order ID],Таблица1[[#This Row],[Order ID]])</f>
        <v>0.5</v>
      </c>
      <c r="Z6330" s="9">
        <f>1/COUNTIFS(Таблица1[Customer Name],Таблица1[[#This Row],[Customer Name]],Таблица1[Order-Year-Month],Таблица1[[#This Row],[Order-Year-Month]])</f>
        <v>0.5</v>
      </c>
    </row>
    <row r="6331" spans="1:26" x14ac:dyDescent="0.2">
      <c r="A6331" s="6">
        <v>3725</v>
      </c>
      <c r="B6331" s="7">
        <v>26629</v>
      </c>
      <c r="C6331" s="8">
        <f>DATE(2012,12,31)-1270</f>
        <v>40004</v>
      </c>
      <c r="D6331" s="8" t="str">
        <f t="shared" si="116"/>
        <v>2009-07 (июль 2009)</v>
      </c>
      <c r="E6331" s="9" t="s">
        <v>30</v>
      </c>
      <c r="F6331" s="7">
        <v>32</v>
      </c>
      <c r="G6331" s="7">
        <v>89.89</v>
      </c>
      <c r="H6331" s="7">
        <v>0.06</v>
      </c>
      <c r="I6331" s="9" t="s">
        <v>22</v>
      </c>
      <c r="J6331" s="10">
        <v>-8.16</v>
      </c>
      <c r="K6331" s="11">
        <v>2.78</v>
      </c>
      <c r="L6331" s="11">
        <v>1.25</v>
      </c>
      <c r="M6331" s="9" t="s">
        <v>1500</v>
      </c>
      <c r="N6331" s="6" t="s">
        <v>1813</v>
      </c>
      <c r="O6331" s="6" t="s">
        <v>512</v>
      </c>
      <c r="P6331" s="9" t="s">
        <v>33</v>
      </c>
      <c r="Q6331" s="9" t="s">
        <v>26</v>
      </c>
      <c r="R6331" s="9" t="s">
        <v>95</v>
      </c>
      <c r="S6331" s="7" t="s">
        <v>490</v>
      </c>
      <c r="T6331" s="9" t="s">
        <v>68</v>
      </c>
      <c r="U6331" s="7">
        <v>0.59</v>
      </c>
      <c r="V6331" s="12">
        <f>C6331+2</f>
        <v>40006</v>
      </c>
      <c r="W6331">
        <f>IF(D6331=' Pivot Tables'!$A$4,1,0)</f>
        <v>0</v>
      </c>
      <c r="X6331">
        <f>IF(AND(LEFT(D6331,4)+1=LEFT(' Pivot Tables'!$A$4,4)+0,RIGHT(LEFT(D6331,7),2)=RIGHT(LEFT(' Pivot Tables'!$A$4,7),2)),1,0)</f>
        <v>0</v>
      </c>
      <c r="Y6331" s="6">
        <f>1/COUNTIF(Таблица1[Order ID],Таблица1[[#This Row],[Order ID]])</f>
        <v>0.5</v>
      </c>
      <c r="Z6331" s="9">
        <f>1/COUNTIFS(Таблица1[Customer Name],Таблица1[[#This Row],[Customer Name]],Таблица1[Order-Year-Month],Таблица1[[#This Row],[Order-Year-Month]])</f>
        <v>0.5</v>
      </c>
    </row>
    <row r="6332" spans="1:26" x14ac:dyDescent="0.2">
      <c r="A6332" s="6">
        <v>3909</v>
      </c>
      <c r="B6332" s="7">
        <v>27875</v>
      </c>
      <c r="C6332" s="8">
        <f>DATE(2012,12,31)-1011</f>
        <v>40263</v>
      </c>
      <c r="D6332" s="8" t="str">
        <f t="shared" si="116"/>
        <v>2010-03 (март 2010)</v>
      </c>
      <c r="E6332" s="9" t="s">
        <v>21</v>
      </c>
      <c r="F6332" s="7">
        <v>5</v>
      </c>
      <c r="G6332" s="7">
        <v>64.97</v>
      </c>
      <c r="H6332" s="7">
        <v>0.1</v>
      </c>
      <c r="I6332" s="9" t="s">
        <v>22</v>
      </c>
      <c r="J6332" s="10">
        <v>-190.3</v>
      </c>
      <c r="K6332" s="11">
        <v>3.48</v>
      </c>
      <c r="L6332" s="11">
        <v>49</v>
      </c>
      <c r="M6332" s="9" t="s">
        <v>1500</v>
      </c>
      <c r="N6332" s="6" t="s">
        <v>1813</v>
      </c>
      <c r="O6332" s="6" t="s">
        <v>512</v>
      </c>
      <c r="P6332" s="9" t="s">
        <v>33</v>
      </c>
      <c r="Q6332" s="9" t="s">
        <v>26</v>
      </c>
      <c r="R6332" s="9" t="s">
        <v>34</v>
      </c>
      <c r="S6332" s="7" t="s">
        <v>646</v>
      </c>
      <c r="T6332" s="9" t="s">
        <v>29</v>
      </c>
      <c r="U6332" s="7">
        <v>0.59</v>
      </c>
      <c r="V6332" s="12">
        <f>C6332+5</f>
        <v>40268</v>
      </c>
      <c r="W6332">
        <f>IF(D6332=' Pivot Tables'!$A$4,1,0)</f>
        <v>0</v>
      </c>
      <c r="X6332">
        <f>IF(AND(LEFT(D6332,4)+1=LEFT(' Pivot Tables'!$A$4,4)+0,RIGHT(LEFT(D6332,7),2)=RIGHT(LEFT(' Pivot Tables'!$A$4,7),2)),1,0)</f>
        <v>0</v>
      </c>
      <c r="Y6332" s="6">
        <f>1/COUNTIF(Таблица1[Order ID],Таблица1[[#This Row],[Order ID]])</f>
        <v>1</v>
      </c>
      <c r="Z6332" s="9">
        <f>1/COUNTIFS(Таблица1[Customer Name],Таблица1[[#This Row],[Customer Name]],Таблица1[Order-Year-Month],Таблица1[[#This Row],[Order-Year-Month]])</f>
        <v>0.5</v>
      </c>
    </row>
    <row r="6333" spans="1:26" x14ac:dyDescent="0.2">
      <c r="A6333" s="6">
        <v>3911</v>
      </c>
      <c r="B6333" s="7">
        <v>27879</v>
      </c>
      <c r="C6333" s="8">
        <f>DATE(2012,12,31)-1039</f>
        <v>40235</v>
      </c>
      <c r="D6333" s="8" t="str">
        <f t="shared" si="116"/>
        <v>2010-02 (февраль 2010)</v>
      </c>
      <c r="E6333" s="9" t="s">
        <v>63</v>
      </c>
      <c r="F6333" s="7">
        <v>44</v>
      </c>
      <c r="G6333" s="7">
        <v>669.01</v>
      </c>
      <c r="H6333" s="7">
        <v>0.08</v>
      </c>
      <c r="I6333" s="9" t="s">
        <v>22</v>
      </c>
      <c r="J6333" s="10">
        <v>299.35000000000002</v>
      </c>
      <c r="K6333" s="11">
        <v>15.74</v>
      </c>
      <c r="L6333" s="11">
        <v>1.39</v>
      </c>
      <c r="M6333" s="9" t="s">
        <v>1380</v>
      </c>
      <c r="N6333" s="6" t="s">
        <v>1813</v>
      </c>
      <c r="O6333" s="6" t="s">
        <v>512</v>
      </c>
      <c r="P6333" s="9" t="s">
        <v>25</v>
      </c>
      <c r="Q6333" s="9" t="s">
        <v>26</v>
      </c>
      <c r="R6333" s="9" t="s">
        <v>76</v>
      </c>
      <c r="S6333" s="7" t="s">
        <v>77</v>
      </c>
      <c r="T6333" s="9" t="s">
        <v>39</v>
      </c>
      <c r="U6333" s="7">
        <v>0.4</v>
      </c>
      <c r="V6333" s="12">
        <f>C6333+1</f>
        <v>40236</v>
      </c>
      <c r="W6333">
        <f>IF(D6333=' Pivot Tables'!$A$4,1,0)</f>
        <v>0</v>
      </c>
      <c r="X6333">
        <f>IF(AND(LEFT(D6333,4)+1=LEFT(' Pivot Tables'!$A$4,4)+0,RIGHT(LEFT(D6333,7),2)=RIGHT(LEFT(' Pivot Tables'!$A$4,7),2)),1,0)</f>
        <v>0</v>
      </c>
      <c r="Y6333" s="6">
        <f>1/COUNTIF(Таблица1[Order ID],Таблица1[[#This Row],[Order ID]])</f>
        <v>0.5</v>
      </c>
      <c r="Z6333" s="9">
        <f>1/COUNTIFS(Таблица1[Customer Name],Таблица1[[#This Row],[Customer Name]],Таблица1[Order-Year-Month],Таблица1[[#This Row],[Order-Year-Month]])</f>
        <v>0.5</v>
      </c>
    </row>
    <row r="6334" spans="1:26" x14ac:dyDescent="0.2">
      <c r="A6334" s="6">
        <v>3912</v>
      </c>
      <c r="B6334" s="7">
        <v>27879</v>
      </c>
      <c r="C6334" s="8">
        <f>DATE(2012,12,31)-1039</f>
        <v>40235</v>
      </c>
      <c r="D6334" s="8" t="str">
        <f t="shared" si="116"/>
        <v>2010-02 (февраль 2010)</v>
      </c>
      <c r="E6334" s="9" t="s">
        <v>63</v>
      </c>
      <c r="F6334" s="7">
        <v>30</v>
      </c>
      <c r="G6334" s="7">
        <v>301.60000000000002</v>
      </c>
      <c r="H6334" s="7">
        <v>0.01</v>
      </c>
      <c r="I6334" s="9" t="s">
        <v>56</v>
      </c>
      <c r="J6334" s="10">
        <v>-24.93</v>
      </c>
      <c r="K6334" s="11">
        <v>9.65</v>
      </c>
      <c r="L6334" s="11">
        <v>6.22</v>
      </c>
      <c r="M6334" s="9" t="s">
        <v>1380</v>
      </c>
      <c r="N6334" s="6" t="s">
        <v>1813</v>
      </c>
      <c r="O6334" s="6" t="s">
        <v>512</v>
      </c>
      <c r="P6334" s="9" t="s">
        <v>25</v>
      </c>
      <c r="Q6334" s="9" t="s">
        <v>49</v>
      </c>
      <c r="R6334" s="9" t="s">
        <v>50</v>
      </c>
      <c r="S6334" s="7" t="s">
        <v>138</v>
      </c>
      <c r="T6334" s="9" t="s">
        <v>39</v>
      </c>
      <c r="U6334" s="7">
        <v>0.55000000000000004</v>
      </c>
      <c r="V6334" s="12">
        <f>C6334+2</f>
        <v>40237</v>
      </c>
      <c r="W6334">
        <f>IF(D6334=' Pivot Tables'!$A$4,1,0)</f>
        <v>0</v>
      </c>
      <c r="X6334">
        <f>IF(AND(LEFT(D6334,4)+1=LEFT(' Pivot Tables'!$A$4,4)+0,RIGHT(LEFT(D6334,7),2)=RIGHT(LEFT(' Pivot Tables'!$A$4,7),2)),1,0)</f>
        <v>0</v>
      </c>
      <c r="Y6334" s="6">
        <f>1/COUNTIF(Таблица1[Order ID],Таблица1[[#This Row],[Order ID]])</f>
        <v>0.5</v>
      </c>
      <c r="Z6334" s="9">
        <f>1/COUNTIFS(Таблица1[Customer Name],Таблица1[[#This Row],[Customer Name]],Таблица1[Order-Year-Month],Таблица1[[#This Row],[Order-Year-Month]])</f>
        <v>0.5</v>
      </c>
    </row>
    <row r="6335" spans="1:26" x14ac:dyDescent="0.2">
      <c r="A6335" s="6">
        <v>3953</v>
      </c>
      <c r="B6335" s="7">
        <v>28198</v>
      </c>
      <c r="C6335" s="8">
        <f>DATE(2012,12,31)-327</f>
        <v>40947</v>
      </c>
      <c r="D6335" s="8" t="str">
        <f t="shared" si="116"/>
        <v>2012-02 (февраль 2012)</v>
      </c>
      <c r="E6335" s="9" t="s">
        <v>63</v>
      </c>
      <c r="F6335" s="7">
        <v>50</v>
      </c>
      <c r="G6335" s="7">
        <v>7703.9664999999995</v>
      </c>
      <c r="H6335" s="7">
        <v>0</v>
      </c>
      <c r="I6335" s="9" t="s">
        <v>22</v>
      </c>
      <c r="J6335" s="10">
        <v>2446.4969999999998</v>
      </c>
      <c r="K6335" s="11">
        <v>175.99</v>
      </c>
      <c r="L6335" s="11">
        <v>8.99</v>
      </c>
      <c r="M6335" s="9" t="s">
        <v>2005</v>
      </c>
      <c r="N6335" s="6" t="s">
        <v>1813</v>
      </c>
      <c r="O6335" s="6" t="s">
        <v>512</v>
      </c>
      <c r="P6335" s="9" t="s">
        <v>33</v>
      </c>
      <c r="Q6335" s="9" t="s">
        <v>42</v>
      </c>
      <c r="R6335" s="9" t="s">
        <v>43</v>
      </c>
      <c r="S6335" s="7" t="s">
        <v>631</v>
      </c>
      <c r="T6335" s="9" t="s">
        <v>39</v>
      </c>
      <c r="U6335" s="7">
        <v>0.56999999999999995</v>
      </c>
      <c r="V6335" s="12">
        <f>C6335+1</f>
        <v>40948</v>
      </c>
      <c r="W6335">
        <f>IF(D6335=' Pivot Tables'!$A$4,1,0)</f>
        <v>0</v>
      </c>
      <c r="X6335">
        <f>IF(AND(LEFT(D6335,4)+1=LEFT(' Pivot Tables'!$A$4,4)+0,RIGHT(LEFT(D6335,7),2)=RIGHT(LEFT(' Pivot Tables'!$A$4,7),2)),1,0)</f>
        <v>0</v>
      </c>
      <c r="Y6335" s="6">
        <f>1/COUNTIF(Таблица1[Order ID],Таблица1[[#This Row],[Order ID]])</f>
        <v>1</v>
      </c>
      <c r="Z6335" s="9">
        <f>1/COUNTIFS(Таблица1[Customer Name],Таблица1[[#This Row],[Customer Name]],Таблица1[Order-Year-Month],Таблица1[[#This Row],[Order-Year-Month]])</f>
        <v>1</v>
      </c>
    </row>
    <row r="6336" spans="1:26" x14ac:dyDescent="0.2">
      <c r="A6336" s="6">
        <v>4007</v>
      </c>
      <c r="B6336" s="7">
        <v>28583</v>
      </c>
      <c r="C6336" s="8">
        <f>DATE(2012,12,31)-1145</f>
        <v>40129</v>
      </c>
      <c r="D6336" s="8" t="str">
        <f t="shared" si="116"/>
        <v>2009-11 (ноябрь 2009)</v>
      </c>
      <c r="E6336" s="9" t="s">
        <v>78</v>
      </c>
      <c r="F6336" s="7">
        <v>25</v>
      </c>
      <c r="G6336" s="7">
        <v>5811.72</v>
      </c>
      <c r="H6336" s="7">
        <v>0.03</v>
      </c>
      <c r="I6336" s="9" t="s">
        <v>22</v>
      </c>
      <c r="J6336" s="10">
        <v>2431.5949999999998</v>
      </c>
      <c r="K6336" s="11">
        <v>223.98</v>
      </c>
      <c r="L6336" s="11">
        <v>15.01</v>
      </c>
      <c r="M6336" s="9" t="s">
        <v>1999</v>
      </c>
      <c r="N6336" s="6" t="s">
        <v>1813</v>
      </c>
      <c r="O6336" s="6" t="s">
        <v>512</v>
      </c>
      <c r="P6336" s="9" t="s">
        <v>25</v>
      </c>
      <c r="Q6336" s="9" t="s">
        <v>26</v>
      </c>
      <c r="R6336" s="9" t="s">
        <v>37</v>
      </c>
      <c r="S6336" s="7" t="s">
        <v>348</v>
      </c>
      <c r="T6336" s="9" t="s">
        <v>39</v>
      </c>
      <c r="U6336" s="7">
        <v>0.38</v>
      </c>
      <c r="V6336" s="12">
        <f>C6336+1</f>
        <v>40130</v>
      </c>
      <c r="W6336">
        <f>IF(D6336=' Pivot Tables'!$A$4,1,0)</f>
        <v>0</v>
      </c>
      <c r="X6336">
        <f>IF(AND(LEFT(D6336,4)+1=LEFT(' Pivot Tables'!$A$4,4)+0,RIGHT(LEFT(D6336,7),2)=RIGHT(LEFT(' Pivot Tables'!$A$4,7),2)),1,0)</f>
        <v>0</v>
      </c>
      <c r="Y6336" s="6">
        <f>1/COUNTIF(Таблица1[Order ID],Таблица1[[#This Row],[Order ID]])</f>
        <v>1</v>
      </c>
      <c r="Z6336" s="9">
        <f>1/COUNTIFS(Таблица1[Customer Name],Таблица1[[#This Row],[Customer Name]],Таблица1[Order-Year-Month],Таблица1[[#This Row],[Order-Year-Month]])</f>
        <v>1</v>
      </c>
    </row>
    <row r="6337" spans="1:26" x14ac:dyDescent="0.2">
      <c r="A6337" s="6">
        <v>4021</v>
      </c>
      <c r="B6337" s="7">
        <v>28738</v>
      </c>
      <c r="C6337" s="8">
        <f>DATE(2012,12,31)-143</f>
        <v>41131</v>
      </c>
      <c r="D6337" s="8" t="str">
        <f t="shared" si="116"/>
        <v>2012-08 (август 2012)</v>
      </c>
      <c r="E6337" s="9" t="s">
        <v>63</v>
      </c>
      <c r="F6337" s="7">
        <v>2</v>
      </c>
      <c r="G6337" s="7">
        <v>23.54</v>
      </c>
      <c r="H6337" s="7">
        <v>0.03</v>
      </c>
      <c r="I6337" s="9" t="s">
        <v>22</v>
      </c>
      <c r="J6337" s="10">
        <v>-14.467000000000001</v>
      </c>
      <c r="K6337" s="11">
        <v>8.6</v>
      </c>
      <c r="L6337" s="11">
        <v>6.19</v>
      </c>
      <c r="M6337" s="9" t="s">
        <v>1713</v>
      </c>
      <c r="N6337" s="6" t="s">
        <v>1813</v>
      </c>
      <c r="O6337" s="6" t="s">
        <v>512</v>
      </c>
      <c r="P6337" s="9" t="s">
        <v>25</v>
      </c>
      <c r="Q6337" s="9" t="s">
        <v>26</v>
      </c>
      <c r="R6337" s="9" t="s">
        <v>37</v>
      </c>
      <c r="S6337" s="7" t="s">
        <v>872</v>
      </c>
      <c r="T6337" s="9" t="s">
        <v>39</v>
      </c>
      <c r="U6337" s="7">
        <v>0.38</v>
      </c>
      <c r="V6337" s="12">
        <f>C6337+2</f>
        <v>41133</v>
      </c>
      <c r="W6337">
        <f>IF(D6337=' Pivot Tables'!$A$4,1,0)</f>
        <v>0</v>
      </c>
      <c r="X6337">
        <f>IF(AND(LEFT(D6337,4)+1=LEFT(' Pivot Tables'!$A$4,4)+0,RIGHT(LEFT(D6337,7),2)=RIGHT(LEFT(' Pivot Tables'!$A$4,7),2)),1,0)</f>
        <v>0</v>
      </c>
      <c r="Y6337" s="6">
        <f>1/COUNTIF(Таблица1[Order ID],Таблица1[[#This Row],[Order ID]])</f>
        <v>0.5</v>
      </c>
      <c r="Z6337" s="9">
        <f>1/COUNTIFS(Таблица1[Customer Name],Таблица1[[#This Row],[Customer Name]],Таблица1[Order-Year-Month],Таблица1[[#This Row],[Order-Year-Month]])</f>
        <v>0.5</v>
      </c>
    </row>
    <row r="6338" spans="1:26" x14ac:dyDescent="0.2">
      <c r="A6338" s="6">
        <v>4022</v>
      </c>
      <c r="B6338" s="7">
        <v>28738</v>
      </c>
      <c r="C6338" s="8">
        <f>DATE(2012,12,31)-143</f>
        <v>41131</v>
      </c>
      <c r="D6338" s="8" t="str">
        <f t="shared" si="116"/>
        <v>2012-08 (август 2012)</v>
      </c>
      <c r="E6338" s="9" t="s">
        <v>63</v>
      </c>
      <c r="F6338" s="7">
        <v>10</v>
      </c>
      <c r="G6338" s="7">
        <v>1539.83</v>
      </c>
      <c r="H6338" s="7">
        <v>0.08</v>
      </c>
      <c r="I6338" s="9" t="s">
        <v>22</v>
      </c>
      <c r="J6338" s="10">
        <v>34.85</v>
      </c>
      <c r="K6338" s="11">
        <v>165.2</v>
      </c>
      <c r="L6338" s="11">
        <v>19.989999999999998</v>
      </c>
      <c r="M6338" s="9" t="s">
        <v>1713</v>
      </c>
      <c r="N6338" s="6" t="s">
        <v>1813</v>
      </c>
      <c r="O6338" s="6" t="s">
        <v>512</v>
      </c>
      <c r="P6338" s="9" t="s">
        <v>25</v>
      </c>
      <c r="Q6338" s="9" t="s">
        <v>26</v>
      </c>
      <c r="R6338" s="9" t="s">
        <v>27</v>
      </c>
      <c r="S6338" s="7" t="s">
        <v>1773</v>
      </c>
      <c r="T6338" s="9" t="s">
        <v>39</v>
      </c>
      <c r="U6338" s="7">
        <v>0.59</v>
      </c>
      <c r="V6338" s="12">
        <f>C6338+1</f>
        <v>41132</v>
      </c>
      <c r="W6338">
        <f>IF(D6338=' Pivot Tables'!$A$4,1,0)</f>
        <v>0</v>
      </c>
      <c r="X6338">
        <f>IF(AND(LEFT(D6338,4)+1=LEFT(' Pivot Tables'!$A$4,4)+0,RIGHT(LEFT(D6338,7),2)=RIGHT(LEFT(' Pivot Tables'!$A$4,7),2)),1,0)</f>
        <v>0</v>
      </c>
      <c r="Y6338" s="6">
        <f>1/COUNTIF(Таблица1[Order ID],Таблица1[[#This Row],[Order ID]])</f>
        <v>0.5</v>
      </c>
      <c r="Z6338" s="9">
        <f>1/COUNTIFS(Таблица1[Customer Name],Таблица1[[#This Row],[Customer Name]],Таблица1[Order-Year-Month],Таблица1[[#This Row],[Order-Year-Month]])</f>
        <v>0.5</v>
      </c>
    </row>
    <row r="6339" spans="1:26" x14ac:dyDescent="0.2">
      <c r="A6339" s="6">
        <v>4083</v>
      </c>
      <c r="B6339" s="7">
        <v>29120</v>
      </c>
      <c r="C6339" s="8">
        <f>DATE(2012,12,31)-964</f>
        <v>40310</v>
      </c>
      <c r="D6339" s="8" t="str">
        <f t="shared" ref="D6339:D6402" si="117">TEXT(C6339,"гггг-ММ (ММММ гггг)")</f>
        <v>2010-05 (май 2010)</v>
      </c>
      <c r="E6339" s="9" t="s">
        <v>21</v>
      </c>
      <c r="F6339" s="7">
        <v>43</v>
      </c>
      <c r="G6339" s="7">
        <v>1677.27</v>
      </c>
      <c r="H6339" s="7">
        <v>0.08</v>
      </c>
      <c r="I6339" s="9" t="s">
        <v>22</v>
      </c>
      <c r="J6339" s="10">
        <v>528.79349999999999</v>
      </c>
      <c r="K6339" s="11">
        <v>40.98</v>
      </c>
      <c r="L6339" s="11">
        <v>7.47</v>
      </c>
      <c r="M6339" s="9" t="s">
        <v>2000</v>
      </c>
      <c r="N6339" s="6" t="s">
        <v>1813</v>
      </c>
      <c r="O6339" s="6" t="s">
        <v>512</v>
      </c>
      <c r="P6339" s="9" t="s">
        <v>33</v>
      </c>
      <c r="Q6339" s="9" t="s">
        <v>26</v>
      </c>
      <c r="R6339" s="9" t="s">
        <v>37</v>
      </c>
      <c r="S6339" s="7" t="s">
        <v>591</v>
      </c>
      <c r="T6339" s="9" t="s">
        <v>39</v>
      </c>
      <c r="U6339" s="7">
        <v>0.37</v>
      </c>
      <c r="V6339" s="12">
        <f>C6339+2</f>
        <v>40312</v>
      </c>
      <c r="W6339">
        <f>IF(D6339=' Pivot Tables'!$A$4,1,0)</f>
        <v>0</v>
      </c>
      <c r="X6339">
        <f>IF(AND(LEFT(D6339,4)+1=LEFT(' Pivot Tables'!$A$4,4)+0,RIGHT(LEFT(D6339,7),2)=RIGHT(LEFT(' Pivot Tables'!$A$4,7),2)),1,0)</f>
        <v>0</v>
      </c>
      <c r="Y6339" s="6">
        <f>1/COUNTIF(Таблица1[Order ID],Таблица1[[#This Row],[Order ID]])</f>
        <v>0.5</v>
      </c>
      <c r="Z6339" s="9">
        <f>1/COUNTIFS(Таблица1[Customer Name],Таблица1[[#This Row],[Customer Name]],Таблица1[Order-Year-Month],Таблица1[[#This Row],[Order-Year-Month]])</f>
        <v>0.33333333333333331</v>
      </c>
    </row>
    <row r="6340" spans="1:26" x14ac:dyDescent="0.2">
      <c r="A6340" s="6">
        <v>4084</v>
      </c>
      <c r="B6340" s="7">
        <v>29120</v>
      </c>
      <c r="C6340" s="8">
        <f>DATE(2012,12,31)-964</f>
        <v>40310</v>
      </c>
      <c r="D6340" s="8" t="str">
        <f t="shared" si="117"/>
        <v>2010-05 (май 2010)</v>
      </c>
      <c r="E6340" s="9" t="s">
        <v>21</v>
      </c>
      <c r="F6340" s="7">
        <v>21</v>
      </c>
      <c r="G6340" s="7">
        <v>1556.08</v>
      </c>
      <c r="H6340" s="7">
        <v>0.05</v>
      </c>
      <c r="I6340" s="9" t="s">
        <v>31</v>
      </c>
      <c r="J6340" s="10">
        <v>-41.77</v>
      </c>
      <c r="K6340" s="11">
        <v>70.98</v>
      </c>
      <c r="L6340" s="11">
        <v>26.74</v>
      </c>
      <c r="M6340" s="9" t="s">
        <v>2000</v>
      </c>
      <c r="N6340" s="6" t="s">
        <v>1813</v>
      </c>
      <c r="O6340" s="6" t="s">
        <v>512</v>
      </c>
      <c r="P6340" s="9" t="s">
        <v>33</v>
      </c>
      <c r="Q6340" s="9" t="s">
        <v>49</v>
      </c>
      <c r="R6340" s="9" t="s">
        <v>80</v>
      </c>
      <c r="S6340" s="7" t="s">
        <v>675</v>
      </c>
      <c r="T6340" s="9" t="s">
        <v>82</v>
      </c>
      <c r="U6340" s="7">
        <v>0.6</v>
      </c>
      <c r="V6340" s="12">
        <f>C6340+5</f>
        <v>40315</v>
      </c>
      <c r="W6340">
        <f>IF(D6340=' Pivot Tables'!$A$4,1,0)</f>
        <v>0</v>
      </c>
      <c r="X6340">
        <f>IF(AND(LEFT(D6340,4)+1=LEFT(' Pivot Tables'!$A$4,4)+0,RIGHT(LEFT(D6340,7),2)=RIGHT(LEFT(' Pivot Tables'!$A$4,7),2)),1,0)</f>
        <v>0</v>
      </c>
      <c r="Y6340" s="6">
        <f>1/COUNTIF(Таблица1[Order ID],Таблица1[[#This Row],[Order ID]])</f>
        <v>0.5</v>
      </c>
      <c r="Z6340" s="9">
        <f>1/COUNTIFS(Таблица1[Customer Name],Таблица1[[#This Row],[Customer Name]],Таблица1[Order-Year-Month],Таблица1[[#This Row],[Order-Year-Month]])</f>
        <v>0.33333333333333331</v>
      </c>
    </row>
    <row r="6341" spans="1:26" x14ac:dyDescent="0.2">
      <c r="A6341" s="6">
        <v>4157</v>
      </c>
      <c r="B6341" s="7">
        <v>29504</v>
      </c>
      <c r="C6341" s="8">
        <f>DATE(2012,12,31)-830</f>
        <v>40444</v>
      </c>
      <c r="D6341" s="8" t="str">
        <f t="shared" si="117"/>
        <v>2010-09 (сентябрь 2010)</v>
      </c>
      <c r="E6341" s="9" t="s">
        <v>45</v>
      </c>
      <c r="F6341" s="7">
        <v>20</v>
      </c>
      <c r="G6341" s="7">
        <v>1485.06</v>
      </c>
      <c r="H6341" s="7">
        <v>0.04</v>
      </c>
      <c r="I6341" s="9" t="s">
        <v>31</v>
      </c>
      <c r="J6341" s="10">
        <v>25.32</v>
      </c>
      <c r="K6341" s="11">
        <v>70.98</v>
      </c>
      <c r="L6341" s="11">
        <v>26.85</v>
      </c>
      <c r="M6341" s="9" t="s">
        <v>1982</v>
      </c>
      <c r="N6341" s="6" t="s">
        <v>1813</v>
      </c>
      <c r="O6341" s="6" t="s">
        <v>512</v>
      </c>
      <c r="P6341" s="9" t="s">
        <v>25</v>
      </c>
      <c r="Q6341" s="9" t="s">
        <v>49</v>
      </c>
      <c r="R6341" s="9" t="s">
        <v>80</v>
      </c>
      <c r="S6341" s="7" t="s">
        <v>1642</v>
      </c>
      <c r="T6341" s="9" t="s">
        <v>82</v>
      </c>
      <c r="U6341" s="7"/>
      <c r="V6341" s="12">
        <f>C6341+2</f>
        <v>40446</v>
      </c>
      <c r="W6341">
        <f>IF(D6341=' Pivot Tables'!$A$4,1,0)</f>
        <v>0</v>
      </c>
      <c r="X6341">
        <f>IF(AND(LEFT(D6341,4)+1=LEFT(' Pivot Tables'!$A$4,4)+0,RIGHT(LEFT(D6341,7),2)=RIGHT(LEFT(' Pivot Tables'!$A$4,7),2)),1,0)</f>
        <v>0</v>
      </c>
      <c r="Y6341" s="6">
        <f>1/COUNTIF(Таблица1[Order ID],Таблица1[[#This Row],[Order ID]])</f>
        <v>0.5</v>
      </c>
      <c r="Z6341" s="9">
        <f>1/COUNTIFS(Таблица1[Customer Name],Таблица1[[#This Row],[Customer Name]],Таблица1[Order-Year-Month],Таблица1[[#This Row],[Order-Year-Month]])</f>
        <v>0.5</v>
      </c>
    </row>
    <row r="6342" spans="1:26" x14ac:dyDescent="0.2">
      <c r="A6342" s="6">
        <v>4158</v>
      </c>
      <c r="B6342" s="7">
        <v>29504</v>
      </c>
      <c r="C6342" s="8">
        <f>DATE(2012,12,31)-830</f>
        <v>40444</v>
      </c>
      <c r="D6342" s="8" t="str">
        <f t="shared" si="117"/>
        <v>2010-09 (сентябрь 2010)</v>
      </c>
      <c r="E6342" s="9" t="s">
        <v>45</v>
      </c>
      <c r="F6342" s="7">
        <v>34</v>
      </c>
      <c r="G6342" s="7">
        <v>1211.18</v>
      </c>
      <c r="H6342" s="7">
        <v>0.1</v>
      </c>
      <c r="I6342" s="9" t="s">
        <v>22</v>
      </c>
      <c r="J6342" s="10">
        <v>208.4</v>
      </c>
      <c r="K6342" s="11">
        <v>38.76</v>
      </c>
      <c r="L6342" s="11">
        <v>13.26</v>
      </c>
      <c r="M6342" s="9" t="s">
        <v>1982</v>
      </c>
      <c r="N6342" s="6" t="s">
        <v>1813</v>
      </c>
      <c r="O6342" s="6" t="s">
        <v>512</v>
      </c>
      <c r="P6342" s="9" t="s">
        <v>25</v>
      </c>
      <c r="Q6342" s="9" t="s">
        <v>26</v>
      </c>
      <c r="R6342" s="9" t="s">
        <v>61</v>
      </c>
      <c r="S6342" s="7" t="s">
        <v>320</v>
      </c>
      <c r="T6342" s="9" t="s">
        <v>39</v>
      </c>
      <c r="U6342" s="7">
        <v>0.36</v>
      </c>
      <c r="V6342" s="12">
        <f>C6342+0</f>
        <v>40444</v>
      </c>
      <c r="W6342">
        <f>IF(D6342=' Pivot Tables'!$A$4,1,0)</f>
        <v>0</v>
      </c>
      <c r="X6342">
        <f>IF(AND(LEFT(D6342,4)+1=LEFT(' Pivot Tables'!$A$4,4)+0,RIGHT(LEFT(D6342,7),2)=RIGHT(LEFT(' Pivot Tables'!$A$4,7),2)),1,0)</f>
        <v>0</v>
      </c>
      <c r="Y6342" s="6">
        <f>1/COUNTIF(Таблица1[Order ID],Таблица1[[#This Row],[Order ID]])</f>
        <v>0.5</v>
      </c>
      <c r="Z6342" s="9">
        <f>1/COUNTIFS(Таблица1[Customer Name],Таблица1[[#This Row],[Customer Name]],Таблица1[Order-Year-Month],Таблица1[[#This Row],[Order-Year-Month]])</f>
        <v>0.5</v>
      </c>
    </row>
    <row r="6343" spans="1:26" x14ac:dyDescent="0.2">
      <c r="A6343" s="6">
        <v>4300</v>
      </c>
      <c r="B6343" s="7">
        <v>30625</v>
      </c>
      <c r="C6343" s="8">
        <f>DATE(2012,12,31)-1057</f>
        <v>40217</v>
      </c>
      <c r="D6343" s="8" t="str">
        <f t="shared" si="117"/>
        <v>2010-02 (февраль 2010)</v>
      </c>
      <c r="E6343" s="9" t="s">
        <v>78</v>
      </c>
      <c r="F6343" s="7">
        <v>37</v>
      </c>
      <c r="G6343" s="7">
        <v>478.94</v>
      </c>
      <c r="H6343" s="7">
        <v>0.04</v>
      </c>
      <c r="I6343" s="9" t="s">
        <v>22</v>
      </c>
      <c r="J6343" s="10">
        <v>10.557</v>
      </c>
      <c r="K6343" s="11">
        <v>12.53</v>
      </c>
      <c r="L6343" s="11">
        <v>7.17</v>
      </c>
      <c r="M6343" s="9" t="s">
        <v>2004</v>
      </c>
      <c r="N6343" s="6" t="s">
        <v>1813</v>
      </c>
      <c r="O6343" s="6" t="s">
        <v>512</v>
      </c>
      <c r="P6343" s="9" t="s">
        <v>41</v>
      </c>
      <c r="Q6343" s="9" t="s">
        <v>26</v>
      </c>
      <c r="R6343" s="9" t="s">
        <v>37</v>
      </c>
      <c r="S6343" s="7" t="s">
        <v>1414</v>
      </c>
      <c r="T6343" s="9" t="s">
        <v>39</v>
      </c>
      <c r="U6343" s="7">
        <v>0.38</v>
      </c>
      <c r="V6343" s="12">
        <f>C6343+0</f>
        <v>40217</v>
      </c>
      <c r="W6343">
        <f>IF(D6343=' Pivot Tables'!$A$4,1,0)</f>
        <v>0</v>
      </c>
      <c r="X6343">
        <f>IF(AND(LEFT(D6343,4)+1=LEFT(' Pivot Tables'!$A$4,4)+0,RIGHT(LEFT(D6343,7),2)=RIGHT(LEFT(' Pivot Tables'!$A$4,7),2)),1,0)</f>
        <v>0</v>
      </c>
      <c r="Y6343" s="6">
        <f>1/COUNTIF(Таблица1[Order ID],Таблица1[[#This Row],[Order ID]])</f>
        <v>0.5</v>
      </c>
      <c r="Z6343" s="9">
        <f>1/COUNTIFS(Таблица1[Customer Name],Таблица1[[#This Row],[Customer Name]],Таблица1[Order-Year-Month],Таблица1[[#This Row],[Order-Year-Month]])</f>
        <v>0.2</v>
      </c>
    </row>
    <row r="6344" spans="1:26" x14ac:dyDescent="0.2">
      <c r="A6344" s="6">
        <v>4301</v>
      </c>
      <c r="B6344" s="7">
        <v>30625</v>
      </c>
      <c r="C6344" s="8">
        <f>DATE(2012,12,31)-1057</f>
        <v>40217</v>
      </c>
      <c r="D6344" s="8" t="str">
        <f t="shared" si="117"/>
        <v>2010-02 (февраль 2010)</v>
      </c>
      <c r="E6344" s="9" t="s">
        <v>78</v>
      </c>
      <c r="F6344" s="7">
        <v>24</v>
      </c>
      <c r="G6344" s="7">
        <v>2429.09</v>
      </c>
      <c r="H6344" s="7">
        <v>0.06</v>
      </c>
      <c r="I6344" s="9" t="s">
        <v>56</v>
      </c>
      <c r="J6344" s="10">
        <v>-20.67</v>
      </c>
      <c r="K6344" s="11">
        <v>105.29</v>
      </c>
      <c r="L6344" s="11">
        <v>10.119999999999999</v>
      </c>
      <c r="M6344" s="9" t="s">
        <v>2004</v>
      </c>
      <c r="N6344" s="6" t="s">
        <v>1813</v>
      </c>
      <c r="O6344" s="6" t="s">
        <v>512</v>
      </c>
      <c r="P6344" s="9" t="s">
        <v>41</v>
      </c>
      <c r="Q6344" s="9" t="s">
        <v>49</v>
      </c>
      <c r="R6344" s="9" t="s">
        <v>50</v>
      </c>
      <c r="S6344" s="7" t="s">
        <v>1510</v>
      </c>
      <c r="T6344" s="9" t="s">
        <v>29</v>
      </c>
      <c r="U6344" s="7">
        <v>0.79</v>
      </c>
      <c r="V6344" s="12">
        <f>C6344+2</f>
        <v>40219</v>
      </c>
      <c r="W6344">
        <f>IF(D6344=' Pivot Tables'!$A$4,1,0)</f>
        <v>0</v>
      </c>
      <c r="X6344">
        <f>IF(AND(LEFT(D6344,4)+1=LEFT(' Pivot Tables'!$A$4,4)+0,RIGHT(LEFT(D6344,7),2)=RIGHT(LEFT(' Pivot Tables'!$A$4,7),2)),1,0)</f>
        <v>0</v>
      </c>
      <c r="Y6344" s="6">
        <f>1/COUNTIF(Таблица1[Order ID],Таблица1[[#This Row],[Order ID]])</f>
        <v>0.5</v>
      </c>
      <c r="Z6344" s="9">
        <f>1/COUNTIFS(Таблица1[Customer Name],Таблица1[[#This Row],[Customer Name]],Таблица1[Order-Year-Month],Таблица1[[#This Row],[Order-Year-Month]])</f>
        <v>0.2</v>
      </c>
    </row>
    <row r="6345" spans="1:26" x14ac:dyDescent="0.2">
      <c r="A6345" s="6">
        <v>4376</v>
      </c>
      <c r="B6345" s="7">
        <v>31174</v>
      </c>
      <c r="C6345" s="8">
        <f>DATE(2012,12,31)-1376</f>
        <v>39898</v>
      </c>
      <c r="D6345" s="8" t="str">
        <f t="shared" si="117"/>
        <v>2009-03 (март 2009)</v>
      </c>
      <c r="E6345" s="9" t="s">
        <v>45</v>
      </c>
      <c r="F6345" s="7">
        <v>20</v>
      </c>
      <c r="G6345" s="7">
        <v>4520.6000000000004</v>
      </c>
      <c r="H6345" s="7">
        <v>7.0000000000000007E-2</v>
      </c>
      <c r="I6345" s="9" t="s">
        <v>22</v>
      </c>
      <c r="J6345" s="10">
        <v>1944.38</v>
      </c>
      <c r="K6345" s="11">
        <v>225.04</v>
      </c>
      <c r="L6345" s="11">
        <v>11.79</v>
      </c>
      <c r="M6345" s="9" t="s">
        <v>1500</v>
      </c>
      <c r="N6345" s="6" t="s">
        <v>1813</v>
      </c>
      <c r="O6345" s="6" t="s">
        <v>512</v>
      </c>
      <c r="P6345" s="9" t="s">
        <v>33</v>
      </c>
      <c r="Q6345" s="9" t="s">
        <v>26</v>
      </c>
      <c r="R6345" s="9" t="s">
        <v>34</v>
      </c>
      <c r="S6345" s="7" t="s">
        <v>610</v>
      </c>
      <c r="T6345" s="9" t="s">
        <v>48</v>
      </c>
      <c r="U6345" s="7">
        <v>0.42</v>
      </c>
      <c r="V6345" s="12">
        <f>C6345+0</f>
        <v>39898</v>
      </c>
      <c r="W6345">
        <f>IF(D6345=' Pivot Tables'!$A$4,1,0)</f>
        <v>0</v>
      </c>
      <c r="X6345">
        <f>IF(AND(LEFT(D6345,4)+1=LEFT(' Pivot Tables'!$A$4,4)+0,RIGHT(LEFT(D6345,7),2)=RIGHT(LEFT(' Pivot Tables'!$A$4,7),2)),1,0)</f>
        <v>0</v>
      </c>
      <c r="Y6345" s="6">
        <f>1/COUNTIF(Таблица1[Order ID],Таблица1[[#This Row],[Order ID]])</f>
        <v>0.5</v>
      </c>
      <c r="Z6345" s="9">
        <f>1/COUNTIFS(Таблица1[Customer Name],Таблица1[[#This Row],[Customer Name]],Таблица1[Order-Year-Month],Таблица1[[#This Row],[Order-Year-Month]])</f>
        <v>0.5</v>
      </c>
    </row>
    <row r="6346" spans="1:26" x14ac:dyDescent="0.2">
      <c r="A6346" s="6">
        <v>4377</v>
      </c>
      <c r="B6346" s="7">
        <v>31174</v>
      </c>
      <c r="C6346" s="8">
        <f>DATE(2012,12,31)-1376</f>
        <v>39898</v>
      </c>
      <c r="D6346" s="8" t="str">
        <f t="shared" si="117"/>
        <v>2009-03 (март 2009)</v>
      </c>
      <c r="E6346" s="9" t="s">
        <v>45</v>
      </c>
      <c r="F6346" s="7">
        <v>29</v>
      </c>
      <c r="G6346" s="7">
        <v>225.25</v>
      </c>
      <c r="H6346" s="7">
        <v>0.03</v>
      </c>
      <c r="I6346" s="9" t="s">
        <v>22</v>
      </c>
      <c r="J6346" s="10">
        <v>-7.59</v>
      </c>
      <c r="K6346" s="11">
        <v>7.84</v>
      </c>
      <c r="L6346" s="11">
        <v>4.71</v>
      </c>
      <c r="M6346" s="9" t="s">
        <v>1500</v>
      </c>
      <c r="N6346" s="6" t="s">
        <v>1813</v>
      </c>
      <c r="O6346" s="6" t="s">
        <v>512</v>
      </c>
      <c r="P6346" s="9" t="s">
        <v>33</v>
      </c>
      <c r="Q6346" s="9" t="s">
        <v>26</v>
      </c>
      <c r="R6346" s="9" t="s">
        <v>37</v>
      </c>
      <c r="S6346" s="7" t="s">
        <v>121</v>
      </c>
      <c r="T6346" s="9" t="s">
        <v>39</v>
      </c>
      <c r="U6346" s="7">
        <v>0.35</v>
      </c>
      <c r="V6346" s="12">
        <f>C6346+3</f>
        <v>39901</v>
      </c>
      <c r="W6346">
        <f>IF(D6346=' Pivot Tables'!$A$4,1,0)</f>
        <v>0</v>
      </c>
      <c r="X6346">
        <f>IF(AND(LEFT(D6346,4)+1=LEFT(' Pivot Tables'!$A$4,4)+0,RIGHT(LEFT(D6346,7),2)=RIGHT(LEFT(' Pivot Tables'!$A$4,7),2)),1,0)</f>
        <v>0</v>
      </c>
      <c r="Y6346" s="6">
        <f>1/COUNTIF(Таблица1[Order ID],Таблица1[[#This Row],[Order ID]])</f>
        <v>0.5</v>
      </c>
      <c r="Z6346" s="9">
        <f>1/COUNTIFS(Таблица1[Customer Name],Таблица1[[#This Row],[Customer Name]],Таблица1[Order-Year-Month],Таблица1[[#This Row],[Order-Year-Month]])</f>
        <v>0.5</v>
      </c>
    </row>
    <row r="6347" spans="1:26" x14ac:dyDescent="0.2">
      <c r="A6347" s="6">
        <v>4397</v>
      </c>
      <c r="B6347" s="7">
        <v>31302</v>
      </c>
      <c r="C6347" s="8">
        <f>DATE(2012,12,31)-152</f>
        <v>41122</v>
      </c>
      <c r="D6347" s="8" t="str">
        <f t="shared" si="117"/>
        <v>2012-08 (август 2012)</v>
      </c>
      <c r="E6347" s="9" t="s">
        <v>30</v>
      </c>
      <c r="F6347" s="7">
        <v>41</v>
      </c>
      <c r="G6347" s="7">
        <v>4648.6400000000003</v>
      </c>
      <c r="H6347" s="7">
        <v>0.04</v>
      </c>
      <c r="I6347" s="9" t="s">
        <v>22</v>
      </c>
      <c r="J6347" s="10">
        <v>1777.67</v>
      </c>
      <c r="K6347" s="11">
        <v>115.79</v>
      </c>
      <c r="L6347" s="11">
        <v>1.99</v>
      </c>
      <c r="M6347" s="9" t="s">
        <v>1999</v>
      </c>
      <c r="N6347" s="6" t="s">
        <v>1813</v>
      </c>
      <c r="O6347" s="6" t="s">
        <v>512</v>
      </c>
      <c r="P6347" s="9" t="s">
        <v>25</v>
      </c>
      <c r="Q6347" s="9" t="s">
        <v>42</v>
      </c>
      <c r="R6347" s="9" t="s">
        <v>70</v>
      </c>
      <c r="S6347" s="7" t="s">
        <v>1047</v>
      </c>
      <c r="T6347" s="9" t="s">
        <v>52</v>
      </c>
      <c r="U6347" s="7">
        <v>0.49</v>
      </c>
      <c r="V6347" s="12">
        <f>C6347+2</f>
        <v>41124</v>
      </c>
      <c r="W6347">
        <f>IF(D6347=' Pivot Tables'!$A$4,1,0)</f>
        <v>0</v>
      </c>
      <c r="X6347">
        <f>IF(AND(LEFT(D6347,4)+1=LEFT(' Pivot Tables'!$A$4,4)+0,RIGHT(LEFT(D6347,7),2)=RIGHT(LEFT(' Pivot Tables'!$A$4,7),2)),1,0)</f>
        <v>0</v>
      </c>
      <c r="Y6347" s="6">
        <f>1/COUNTIF(Таблица1[Order ID],Таблица1[[#This Row],[Order ID]])</f>
        <v>1</v>
      </c>
      <c r="Z6347" s="9">
        <f>1/COUNTIFS(Таблица1[Customer Name],Таблица1[[#This Row],[Customer Name]],Таблица1[Order-Year-Month],Таблица1[[#This Row],[Order-Year-Month]])</f>
        <v>1</v>
      </c>
    </row>
    <row r="6348" spans="1:26" x14ac:dyDescent="0.2">
      <c r="A6348" s="6">
        <v>4490</v>
      </c>
      <c r="B6348" s="7">
        <v>31973</v>
      </c>
      <c r="C6348" s="8">
        <f>DATE(2012,12,31)-599</f>
        <v>40675</v>
      </c>
      <c r="D6348" s="8" t="str">
        <f t="shared" si="117"/>
        <v>2011-05 (май 2011)</v>
      </c>
      <c r="E6348" s="9" t="s">
        <v>45</v>
      </c>
      <c r="F6348" s="7">
        <v>15</v>
      </c>
      <c r="G6348" s="7">
        <v>404.54</v>
      </c>
      <c r="H6348" s="7">
        <v>0.03</v>
      </c>
      <c r="I6348" s="9" t="s">
        <v>22</v>
      </c>
      <c r="J6348" s="10">
        <v>43.99</v>
      </c>
      <c r="K6348" s="11">
        <v>26.64</v>
      </c>
      <c r="L6348" s="11">
        <v>5.3</v>
      </c>
      <c r="M6348" s="9" t="s">
        <v>1982</v>
      </c>
      <c r="N6348" s="6" t="s">
        <v>1813</v>
      </c>
      <c r="O6348" s="6" t="s">
        <v>512</v>
      </c>
      <c r="P6348" s="9" t="s">
        <v>25</v>
      </c>
      <c r="Q6348" s="9" t="s">
        <v>49</v>
      </c>
      <c r="R6348" s="9" t="s">
        <v>112</v>
      </c>
      <c r="S6348" s="7" t="s">
        <v>1377</v>
      </c>
      <c r="T6348" s="9" t="s">
        <v>48</v>
      </c>
      <c r="U6348" s="7"/>
      <c r="V6348" s="12">
        <f>C6348+1</f>
        <v>40676</v>
      </c>
      <c r="W6348">
        <f>IF(D6348=' Pivot Tables'!$A$4,1,0)</f>
        <v>0</v>
      </c>
      <c r="X6348">
        <f>IF(AND(LEFT(D6348,4)+1=LEFT(' Pivot Tables'!$A$4,4)+0,RIGHT(LEFT(D6348,7),2)=RIGHT(LEFT(' Pivot Tables'!$A$4,7),2)),1,0)</f>
        <v>0</v>
      </c>
      <c r="Y6348" s="6">
        <f>1/COUNTIF(Таблица1[Order ID],Таблица1[[#This Row],[Order ID]])</f>
        <v>0.5</v>
      </c>
      <c r="Z6348" s="9">
        <f>1/COUNTIFS(Таблица1[Customer Name],Таблица1[[#This Row],[Customer Name]],Таблица1[Order-Year-Month],Таблица1[[#This Row],[Order-Year-Month]])</f>
        <v>0.5</v>
      </c>
    </row>
    <row r="6349" spans="1:26" x14ac:dyDescent="0.2">
      <c r="A6349" s="6">
        <v>4491</v>
      </c>
      <c r="B6349" s="7">
        <v>31973</v>
      </c>
      <c r="C6349" s="8">
        <f>DATE(2012,12,31)-599</f>
        <v>40675</v>
      </c>
      <c r="D6349" s="8" t="str">
        <f t="shared" si="117"/>
        <v>2011-05 (май 2011)</v>
      </c>
      <c r="E6349" s="9" t="s">
        <v>45</v>
      </c>
      <c r="F6349" s="7">
        <v>16</v>
      </c>
      <c r="G6349" s="7">
        <v>124.89</v>
      </c>
      <c r="H6349" s="7">
        <v>7.0000000000000007E-2</v>
      </c>
      <c r="I6349" s="9" t="s">
        <v>22</v>
      </c>
      <c r="J6349" s="10">
        <v>-111.17</v>
      </c>
      <c r="K6349" s="11">
        <v>7.28</v>
      </c>
      <c r="L6349" s="11">
        <v>11.15</v>
      </c>
      <c r="M6349" s="9" t="s">
        <v>1982</v>
      </c>
      <c r="N6349" s="6" t="s">
        <v>1813</v>
      </c>
      <c r="O6349" s="6" t="s">
        <v>512</v>
      </c>
      <c r="P6349" s="9" t="s">
        <v>25</v>
      </c>
      <c r="Q6349" s="9" t="s">
        <v>26</v>
      </c>
      <c r="R6349" s="9" t="s">
        <v>61</v>
      </c>
      <c r="S6349" s="7" t="s">
        <v>666</v>
      </c>
      <c r="T6349" s="9" t="s">
        <v>39</v>
      </c>
      <c r="U6349" s="7">
        <v>0.37</v>
      </c>
      <c r="V6349" s="12">
        <f>C6349+2</f>
        <v>40677</v>
      </c>
      <c r="W6349">
        <f>IF(D6349=' Pivot Tables'!$A$4,1,0)</f>
        <v>0</v>
      </c>
      <c r="X6349">
        <f>IF(AND(LEFT(D6349,4)+1=LEFT(' Pivot Tables'!$A$4,4)+0,RIGHT(LEFT(D6349,7),2)=RIGHT(LEFT(' Pivot Tables'!$A$4,7),2)),1,0)</f>
        <v>0</v>
      </c>
      <c r="Y6349" s="6">
        <f>1/COUNTIF(Таблица1[Order ID],Таблица1[[#This Row],[Order ID]])</f>
        <v>0.5</v>
      </c>
      <c r="Z6349" s="9">
        <f>1/COUNTIFS(Таблица1[Customer Name],Таблица1[[#This Row],[Customer Name]],Таблица1[Order-Year-Month],Таблица1[[#This Row],[Order-Year-Month]])</f>
        <v>0.5</v>
      </c>
    </row>
    <row r="6350" spans="1:26" x14ac:dyDescent="0.2">
      <c r="A6350" s="6">
        <v>4511</v>
      </c>
      <c r="B6350" s="7">
        <v>32101</v>
      </c>
      <c r="C6350" s="8">
        <f>DATE(2012,12,31)-1101</f>
        <v>40173</v>
      </c>
      <c r="D6350" s="8" t="str">
        <f t="shared" si="117"/>
        <v>2009-12 (декабрь 2009)</v>
      </c>
      <c r="E6350" s="9" t="s">
        <v>21</v>
      </c>
      <c r="F6350" s="7">
        <v>48</v>
      </c>
      <c r="G6350" s="7">
        <v>14567.15</v>
      </c>
      <c r="H6350" s="7">
        <v>0.04</v>
      </c>
      <c r="I6350" s="9" t="s">
        <v>31</v>
      </c>
      <c r="J6350" s="10">
        <v>3799.59</v>
      </c>
      <c r="K6350" s="11">
        <v>291.73</v>
      </c>
      <c r="L6350" s="11">
        <v>48.8</v>
      </c>
      <c r="M6350" s="9" t="s">
        <v>1158</v>
      </c>
      <c r="N6350" s="6" t="s">
        <v>1813</v>
      </c>
      <c r="O6350" s="6" t="s">
        <v>512</v>
      </c>
      <c r="P6350" s="9" t="s">
        <v>41</v>
      </c>
      <c r="Q6350" s="9" t="s">
        <v>49</v>
      </c>
      <c r="R6350" s="9" t="s">
        <v>112</v>
      </c>
      <c r="S6350" s="7" t="s">
        <v>373</v>
      </c>
      <c r="T6350" s="9" t="s">
        <v>36</v>
      </c>
      <c r="U6350" s="7">
        <v>0.56000000000000005</v>
      </c>
      <c r="V6350" s="12">
        <f>C6350+4</f>
        <v>40177</v>
      </c>
      <c r="W6350">
        <f>IF(D6350=' Pivot Tables'!$A$4,1,0)</f>
        <v>0</v>
      </c>
      <c r="X6350">
        <f>IF(AND(LEFT(D6350,4)+1=LEFT(' Pivot Tables'!$A$4,4)+0,RIGHT(LEFT(D6350,7),2)=RIGHT(LEFT(' Pivot Tables'!$A$4,7),2)),1,0)</f>
        <v>0</v>
      </c>
      <c r="Y6350" s="6">
        <f>1/COUNTIF(Таблица1[Order ID],Таблица1[[#This Row],[Order ID]])</f>
        <v>1</v>
      </c>
      <c r="Z6350" s="9">
        <f>1/COUNTIFS(Таблица1[Customer Name],Таблица1[[#This Row],[Customer Name]],Таблица1[Order-Year-Month],Таблица1[[#This Row],[Order-Year-Month]])</f>
        <v>1</v>
      </c>
    </row>
    <row r="6351" spans="1:26" x14ac:dyDescent="0.2">
      <c r="A6351" s="6">
        <v>4625</v>
      </c>
      <c r="B6351" s="7">
        <v>32929</v>
      </c>
      <c r="C6351" s="8">
        <f>DATE(2012,12,31)-609</f>
        <v>40665</v>
      </c>
      <c r="D6351" s="8" t="str">
        <f t="shared" si="117"/>
        <v>2011-05 (май 2011)</v>
      </c>
      <c r="E6351" s="9" t="s">
        <v>21</v>
      </c>
      <c r="F6351" s="7">
        <v>8</v>
      </c>
      <c r="G6351" s="7">
        <v>44.56</v>
      </c>
      <c r="H6351" s="7">
        <v>0.05</v>
      </c>
      <c r="I6351" s="9" t="s">
        <v>22</v>
      </c>
      <c r="J6351" s="10">
        <v>4.8099999999999996</v>
      </c>
      <c r="K6351" s="11">
        <v>5.68</v>
      </c>
      <c r="L6351" s="11">
        <v>1.39</v>
      </c>
      <c r="M6351" s="9" t="s">
        <v>1158</v>
      </c>
      <c r="N6351" s="6" t="s">
        <v>1813</v>
      </c>
      <c r="O6351" s="6" t="s">
        <v>512</v>
      </c>
      <c r="P6351" s="9" t="s">
        <v>41</v>
      </c>
      <c r="Q6351" s="9" t="s">
        <v>26</v>
      </c>
      <c r="R6351" s="9" t="s">
        <v>76</v>
      </c>
      <c r="S6351" s="7" t="s">
        <v>620</v>
      </c>
      <c r="T6351" s="9" t="s">
        <v>39</v>
      </c>
      <c r="U6351" s="7">
        <v>0.38</v>
      </c>
      <c r="V6351" s="12">
        <f>C6351+4</f>
        <v>40669</v>
      </c>
      <c r="W6351">
        <f>IF(D6351=' Pivot Tables'!$A$4,1,0)</f>
        <v>0</v>
      </c>
      <c r="X6351">
        <f>IF(AND(LEFT(D6351,4)+1=LEFT(' Pivot Tables'!$A$4,4)+0,RIGHT(LEFT(D6351,7),2)=RIGHT(LEFT(' Pivot Tables'!$A$4,7),2)),1,0)</f>
        <v>0</v>
      </c>
      <c r="Y6351" s="6">
        <f>1/COUNTIF(Таблица1[Order ID],Таблица1[[#This Row],[Order ID]])</f>
        <v>0.5</v>
      </c>
      <c r="Z6351" s="9">
        <f>1/COUNTIFS(Таблица1[Customer Name],Таблица1[[#This Row],[Customer Name]],Таблица1[Order-Year-Month],Таблица1[[#This Row],[Order-Year-Month]])</f>
        <v>0.5</v>
      </c>
    </row>
    <row r="6352" spans="1:26" x14ac:dyDescent="0.2">
      <c r="A6352" s="6">
        <v>4626</v>
      </c>
      <c r="B6352" s="7">
        <v>32929</v>
      </c>
      <c r="C6352" s="8">
        <f>DATE(2012,12,31)-609</f>
        <v>40665</v>
      </c>
      <c r="D6352" s="8" t="str">
        <f t="shared" si="117"/>
        <v>2011-05 (май 2011)</v>
      </c>
      <c r="E6352" s="9" t="s">
        <v>21</v>
      </c>
      <c r="F6352" s="7">
        <v>13</v>
      </c>
      <c r="G6352" s="7">
        <v>152.13999999999999</v>
      </c>
      <c r="H6352" s="7">
        <v>0.09</v>
      </c>
      <c r="I6352" s="9" t="s">
        <v>22</v>
      </c>
      <c r="J6352" s="10">
        <v>-26.87</v>
      </c>
      <c r="K6352" s="11">
        <v>12.21</v>
      </c>
      <c r="L6352" s="11">
        <v>4.8099999999999996</v>
      </c>
      <c r="M6352" s="9" t="s">
        <v>1158</v>
      </c>
      <c r="N6352" s="6" t="s">
        <v>1813</v>
      </c>
      <c r="O6352" s="6" t="s">
        <v>512</v>
      </c>
      <c r="P6352" s="9" t="s">
        <v>41</v>
      </c>
      <c r="Q6352" s="9" t="s">
        <v>26</v>
      </c>
      <c r="R6352" s="9" t="s">
        <v>27</v>
      </c>
      <c r="S6352" s="7" t="s">
        <v>396</v>
      </c>
      <c r="T6352" s="9" t="s">
        <v>39</v>
      </c>
      <c r="U6352" s="7">
        <v>0.57999999999999996</v>
      </c>
      <c r="V6352" s="12">
        <f>C6352+5</f>
        <v>40670</v>
      </c>
      <c r="W6352">
        <f>IF(D6352=' Pivot Tables'!$A$4,1,0)</f>
        <v>0</v>
      </c>
      <c r="X6352">
        <f>IF(AND(LEFT(D6352,4)+1=LEFT(' Pivot Tables'!$A$4,4)+0,RIGHT(LEFT(D6352,7),2)=RIGHT(LEFT(' Pivot Tables'!$A$4,7),2)),1,0)</f>
        <v>0</v>
      </c>
      <c r="Y6352" s="6">
        <f>1/COUNTIF(Таблица1[Order ID],Таблица1[[#This Row],[Order ID]])</f>
        <v>0.5</v>
      </c>
      <c r="Z6352" s="9">
        <f>1/COUNTIFS(Таблица1[Customer Name],Таблица1[[#This Row],[Customer Name]],Таблица1[Order-Year-Month],Таблица1[[#This Row],[Order-Year-Month]])</f>
        <v>0.5</v>
      </c>
    </row>
    <row r="6353" spans="1:26" x14ac:dyDescent="0.2">
      <c r="A6353" s="6">
        <v>4690</v>
      </c>
      <c r="B6353" s="7">
        <v>33414</v>
      </c>
      <c r="C6353" s="8">
        <f>DATE(2012,12,31)-325</f>
        <v>40949</v>
      </c>
      <c r="D6353" s="8" t="str">
        <f t="shared" si="117"/>
        <v>2012-02 (февраль 2012)</v>
      </c>
      <c r="E6353" s="9" t="s">
        <v>45</v>
      </c>
      <c r="F6353" s="7">
        <v>9</v>
      </c>
      <c r="G6353" s="7">
        <v>37.22</v>
      </c>
      <c r="H6353" s="7">
        <v>0.03</v>
      </c>
      <c r="I6353" s="9" t="s">
        <v>22</v>
      </c>
      <c r="J6353" s="10">
        <v>-2.76</v>
      </c>
      <c r="K6353" s="11">
        <v>4.13</v>
      </c>
      <c r="L6353" s="11">
        <v>1.17</v>
      </c>
      <c r="M6353" s="9" t="s">
        <v>1998</v>
      </c>
      <c r="N6353" s="6" t="s">
        <v>1813</v>
      </c>
      <c r="O6353" s="6" t="s">
        <v>512</v>
      </c>
      <c r="P6353" s="9" t="s">
        <v>25</v>
      </c>
      <c r="Q6353" s="9" t="s">
        <v>26</v>
      </c>
      <c r="R6353" s="9" t="s">
        <v>95</v>
      </c>
      <c r="S6353" s="7" t="s">
        <v>1437</v>
      </c>
      <c r="T6353" s="9" t="s">
        <v>68</v>
      </c>
      <c r="U6353" s="7">
        <v>0.56999999999999995</v>
      </c>
      <c r="V6353" s="12">
        <f>C6353+0</f>
        <v>40949</v>
      </c>
      <c r="W6353">
        <f>IF(D6353=' Pivot Tables'!$A$4,1,0)</f>
        <v>0</v>
      </c>
      <c r="X6353">
        <f>IF(AND(LEFT(D6353,4)+1=LEFT(' Pivot Tables'!$A$4,4)+0,RIGHT(LEFT(D6353,7),2)=RIGHT(LEFT(' Pivot Tables'!$A$4,7),2)),1,0)</f>
        <v>0</v>
      </c>
      <c r="Y6353" s="6">
        <f>1/COUNTIF(Таблица1[Order ID],Таблица1[[#This Row],[Order ID]])</f>
        <v>1</v>
      </c>
      <c r="Z6353" s="9">
        <f>1/COUNTIFS(Таблица1[Customer Name],Таблица1[[#This Row],[Customer Name]],Таблица1[Order-Year-Month],Таблица1[[#This Row],[Order-Year-Month]])</f>
        <v>0.5</v>
      </c>
    </row>
    <row r="6354" spans="1:26" x14ac:dyDescent="0.2">
      <c r="A6354" s="6">
        <v>4860</v>
      </c>
      <c r="B6354" s="7">
        <v>34596</v>
      </c>
      <c r="C6354" s="8">
        <f>DATE(2012,12,31)-488</f>
        <v>40786</v>
      </c>
      <c r="D6354" s="8" t="str">
        <f t="shared" si="117"/>
        <v>2011-08 (август 2011)</v>
      </c>
      <c r="E6354" s="9" t="s">
        <v>78</v>
      </c>
      <c r="F6354" s="7">
        <v>39</v>
      </c>
      <c r="G6354" s="7">
        <v>302.08999999999997</v>
      </c>
      <c r="H6354" s="7">
        <v>0.05</v>
      </c>
      <c r="I6354" s="9" t="s">
        <v>22</v>
      </c>
      <c r="J6354" s="10">
        <v>-67.091000000000008</v>
      </c>
      <c r="K6354" s="11">
        <v>7.68</v>
      </c>
      <c r="L6354" s="11">
        <v>6.16</v>
      </c>
      <c r="M6354" s="9" t="s">
        <v>2000</v>
      </c>
      <c r="N6354" s="6" t="s">
        <v>1813</v>
      </c>
      <c r="O6354" s="6" t="s">
        <v>512</v>
      </c>
      <c r="P6354" s="9" t="s">
        <v>33</v>
      </c>
      <c r="Q6354" s="9" t="s">
        <v>26</v>
      </c>
      <c r="R6354" s="9" t="s">
        <v>37</v>
      </c>
      <c r="S6354" s="7" t="s">
        <v>854</v>
      </c>
      <c r="T6354" s="9" t="s">
        <v>39</v>
      </c>
      <c r="U6354" s="7">
        <v>0.35</v>
      </c>
      <c r="V6354" s="12">
        <f>C6354+1</f>
        <v>40787</v>
      </c>
      <c r="W6354">
        <f>IF(D6354=' Pivot Tables'!$A$4,1,0)</f>
        <v>0</v>
      </c>
      <c r="X6354">
        <f>IF(AND(LEFT(D6354,4)+1=LEFT(' Pivot Tables'!$A$4,4)+0,RIGHT(LEFT(D6354,7),2)=RIGHT(LEFT(' Pivot Tables'!$A$4,7),2)),1,0)</f>
        <v>0</v>
      </c>
      <c r="Y6354" s="6">
        <f>1/COUNTIF(Таблица1[Order ID],Таблица1[[#This Row],[Order ID]])</f>
        <v>1</v>
      </c>
      <c r="Z6354" s="9">
        <f>1/COUNTIFS(Таблица1[Customer Name],Таблица1[[#This Row],[Customer Name]],Таблица1[Order-Year-Month],Таблица1[[#This Row],[Order-Year-Month]])</f>
        <v>1</v>
      </c>
    </row>
    <row r="6355" spans="1:26" x14ac:dyDescent="0.2">
      <c r="A6355" s="6">
        <v>4984</v>
      </c>
      <c r="B6355" s="7">
        <v>35457</v>
      </c>
      <c r="C6355" s="8">
        <f>DATE(2012,12,31)-1120</f>
        <v>40154</v>
      </c>
      <c r="D6355" s="8" t="str">
        <f t="shared" si="117"/>
        <v>2009-12 (декабрь 2009)</v>
      </c>
      <c r="E6355" s="9" t="s">
        <v>21</v>
      </c>
      <c r="F6355" s="7">
        <v>45</v>
      </c>
      <c r="G6355" s="7">
        <v>3286.27</v>
      </c>
      <c r="H6355" s="7">
        <v>0.02</v>
      </c>
      <c r="I6355" s="9" t="s">
        <v>22</v>
      </c>
      <c r="J6355" s="10">
        <v>1102.58</v>
      </c>
      <c r="K6355" s="11">
        <v>70.97</v>
      </c>
      <c r="L6355" s="11">
        <v>3.5</v>
      </c>
      <c r="M6355" s="9" t="s">
        <v>2005</v>
      </c>
      <c r="N6355" s="6" t="s">
        <v>1813</v>
      </c>
      <c r="O6355" s="6" t="s">
        <v>512</v>
      </c>
      <c r="P6355" s="9" t="s">
        <v>33</v>
      </c>
      <c r="Q6355" s="9" t="s">
        <v>26</v>
      </c>
      <c r="R6355" s="9" t="s">
        <v>34</v>
      </c>
      <c r="S6355" s="7" t="s">
        <v>1401</v>
      </c>
      <c r="T6355" s="9" t="s">
        <v>39</v>
      </c>
      <c r="U6355" s="7">
        <v>0.59</v>
      </c>
      <c r="V6355" s="12">
        <f>C6355+7</f>
        <v>40161</v>
      </c>
      <c r="W6355">
        <f>IF(D6355=' Pivot Tables'!$A$4,1,0)</f>
        <v>0</v>
      </c>
      <c r="X6355">
        <f>IF(AND(LEFT(D6355,4)+1=LEFT(' Pivot Tables'!$A$4,4)+0,RIGHT(LEFT(D6355,7),2)=RIGHT(LEFT(' Pivot Tables'!$A$4,7),2)),1,0)</f>
        <v>0</v>
      </c>
      <c r="Y6355" s="6">
        <f>1/COUNTIF(Таблица1[Order ID],Таблица1[[#This Row],[Order ID]])</f>
        <v>1</v>
      </c>
      <c r="Z6355" s="9">
        <f>1/COUNTIFS(Таблица1[Customer Name],Таблица1[[#This Row],[Customer Name]],Таблица1[Order-Year-Month],Таблица1[[#This Row],[Order-Year-Month]])</f>
        <v>1</v>
      </c>
    </row>
    <row r="6356" spans="1:26" x14ac:dyDescent="0.2">
      <c r="A6356" s="6">
        <v>5046</v>
      </c>
      <c r="B6356" s="7">
        <v>35940</v>
      </c>
      <c r="C6356" s="8">
        <f>DATE(2012,12,31)-949</f>
        <v>40325</v>
      </c>
      <c r="D6356" s="8" t="str">
        <f t="shared" si="117"/>
        <v>2010-05 (май 2010)</v>
      </c>
      <c r="E6356" s="9" t="s">
        <v>78</v>
      </c>
      <c r="F6356" s="7">
        <v>47</v>
      </c>
      <c r="G6356" s="7">
        <v>136.63</v>
      </c>
      <c r="H6356" s="7">
        <v>0.03</v>
      </c>
      <c r="I6356" s="9" t="s">
        <v>22</v>
      </c>
      <c r="J6356" s="10">
        <v>-162.61000000000001</v>
      </c>
      <c r="K6356" s="11">
        <v>2.88</v>
      </c>
      <c r="L6356" s="11">
        <v>5.33</v>
      </c>
      <c r="M6356" s="9" t="s">
        <v>2000</v>
      </c>
      <c r="N6356" s="6" t="s">
        <v>1813</v>
      </c>
      <c r="O6356" s="6" t="s">
        <v>512</v>
      </c>
      <c r="P6356" s="9" t="s">
        <v>33</v>
      </c>
      <c r="Q6356" s="9" t="s">
        <v>26</v>
      </c>
      <c r="R6356" s="9" t="s">
        <v>88</v>
      </c>
      <c r="S6356" s="7" t="s">
        <v>1589</v>
      </c>
      <c r="T6356" s="9" t="s">
        <v>39</v>
      </c>
      <c r="U6356" s="7">
        <v>0.36</v>
      </c>
      <c r="V6356" s="12">
        <f>C6356+3</f>
        <v>40328</v>
      </c>
      <c r="W6356">
        <f>IF(D6356=' Pivot Tables'!$A$4,1,0)</f>
        <v>0</v>
      </c>
      <c r="X6356">
        <f>IF(AND(LEFT(D6356,4)+1=LEFT(' Pivot Tables'!$A$4,4)+0,RIGHT(LEFT(D6356,7),2)=RIGHT(LEFT(' Pivot Tables'!$A$4,7),2)),1,0)</f>
        <v>0</v>
      </c>
      <c r="Y6356" s="6">
        <f>1/COUNTIF(Таблица1[Order ID],Таблица1[[#This Row],[Order ID]])</f>
        <v>1</v>
      </c>
      <c r="Z6356" s="9">
        <f>1/COUNTIFS(Таблица1[Customer Name],Таблица1[[#This Row],[Customer Name]],Таблица1[Order-Year-Month],Таблица1[[#This Row],[Order-Year-Month]])</f>
        <v>0.33333333333333331</v>
      </c>
    </row>
    <row r="6357" spans="1:26" x14ac:dyDescent="0.2">
      <c r="A6357" s="6">
        <v>5115</v>
      </c>
      <c r="B6357" s="7">
        <v>36449</v>
      </c>
      <c r="C6357" s="8">
        <f>DATE(2012,12,31)-848</f>
        <v>40426</v>
      </c>
      <c r="D6357" s="8" t="str">
        <f t="shared" si="117"/>
        <v>2010-09 (сентябрь 2010)</v>
      </c>
      <c r="E6357" s="9" t="s">
        <v>45</v>
      </c>
      <c r="F6357" s="7">
        <v>43</v>
      </c>
      <c r="G6357" s="7">
        <v>927.82</v>
      </c>
      <c r="H6357" s="7">
        <v>0.02</v>
      </c>
      <c r="I6357" s="9" t="s">
        <v>22</v>
      </c>
      <c r="J6357" s="10">
        <v>255.03</v>
      </c>
      <c r="K6357" s="11">
        <v>20.239999999999998</v>
      </c>
      <c r="L6357" s="11">
        <v>6.67</v>
      </c>
      <c r="M6357" s="9" t="s">
        <v>1099</v>
      </c>
      <c r="N6357" s="6" t="s">
        <v>1813</v>
      </c>
      <c r="O6357" s="6" t="s">
        <v>512</v>
      </c>
      <c r="P6357" s="9" t="s">
        <v>41</v>
      </c>
      <c r="Q6357" s="9" t="s">
        <v>49</v>
      </c>
      <c r="R6357" s="9" t="s">
        <v>50</v>
      </c>
      <c r="S6357" s="7" t="s">
        <v>427</v>
      </c>
      <c r="T6357" s="9" t="s">
        <v>52</v>
      </c>
      <c r="U6357" s="7">
        <v>0.49</v>
      </c>
      <c r="V6357" s="12">
        <f>C6357+2</f>
        <v>40428</v>
      </c>
      <c r="W6357">
        <f>IF(D6357=' Pivot Tables'!$A$4,1,0)</f>
        <v>0</v>
      </c>
      <c r="X6357">
        <f>IF(AND(LEFT(D6357,4)+1=LEFT(' Pivot Tables'!$A$4,4)+0,RIGHT(LEFT(D6357,7),2)=RIGHT(LEFT(' Pivot Tables'!$A$4,7),2)),1,0)</f>
        <v>0</v>
      </c>
      <c r="Y6357" s="6">
        <f>1/COUNTIF(Таблица1[Order ID],Таблица1[[#This Row],[Order ID]])</f>
        <v>0.33333333333333331</v>
      </c>
      <c r="Z6357" s="9">
        <f>1/COUNTIFS(Таблица1[Customer Name],Таблица1[[#This Row],[Customer Name]],Таблица1[Order-Year-Month],Таблица1[[#This Row],[Order-Year-Month]])</f>
        <v>0.33333333333333331</v>
      </c>
    </row>
    <row r="6358" spans="1:26" x14ac:dyDescent="0.2">
      <c r="A6358" s="6">
        <v>5116</v>
      </c>
      <c r="B6358" s="7">
        <v>36449</v>
      </c>
      <c r="C6358" s="8">
        <f>DATE(2012,12,31)-848</f>
        <v>40426</v>
      </c>
      <c r="D6358" s="8" t="str">
        <f t="shared" si="117"/>
        <v>2010-09 (сентябрь 2010)</v>
      </c>
      <c r="E6358" s="9" t="s">
        <v>45</v>
      </c>
      <c r="F6358" s="7">
        <v>27</v>
      </c>
      <c r="G6358" s="7">
        <v>123.37</v>
      </c>
      <c r="H6358" s="7">
        <v>0.09</v>
      </c>
      <c r="I6358" s="9" t="s">
        <v>22</v>
      </c>
      <c r="J6358" s="10">
        <v>-6.69</v>
      </c>
      <c r="K6358" s="11">
        <v>4.71</v>
      </c>
      <c r="L6358" s="11">
        <v>0.7</v>
      </c>
      <c r="M6358" s="9" t="s">
        <v>1099</v>
      </c>
      <c r="N6358" s="6" t="s">
        <v>1813</v>
      </c>
      <c r="O6358" s="6" t="s">
        <v>512</v>
      </c>
      <c r="P6358" s="9" t="s">
        <v>41</v>
      </c>
      <c r="Q6358" s="9" t="s">
        <v>26</v>
      </c>
      <c r="R6358" s="9" t="s">
        <v>66</v>
      </c>
      <c r="S6358" s="7" t="s">
        <v>90</v>
      </c>
      <c r="T6358" s="9" t="s">
        <v>68</v>
      </c>
      <c r="U6358" s="7">
        <v>0.8</v>
      </c>
      <c r="V6358" s="12">
        <f>C6358+3</f>
        <v>40429</v>
      </c>
      <c r="W6358">
        <f>IF(D6358=' Pivot Tables'!$A$4,1,0)</f>
        <v>0</v>
      </c>
      <c r="X6358">
        <f>IF(AND(LEFT(D6358,4)+1=LEFT(' Pivot Tables'!$A$4,4)+0,RIGHT(LEFT(D6358,7),2)=RIGHT(LEFT(' Pivot Tables'!$A$4,7),2)),1,0)</f>
        <v>0</v>
      </c>
      <c r="Y6358" s="6">
        <f>1/COUNTIF(Таблица1[Order ID],Таблица1[[#This Row],[Order ID]])</f>
        <v>0.33333333333333331</v>
      </c>
      <c r="Z6358" s="9">
        <f>1/COUNTIFS(Таблица1[Customer Name],Таблица1[[#This Row],[Customer Name]],Таблица1[Order-Year-Month],Таблица1[[#This Row],[Order-Year-Month]])</f>
        <v>0.33333333333333331</v>
      </c>
    </row>
    <row r="6359" spans="1:26" x14ac:dyDescent="0.2">
      <c r="A6359" s="6">
        <v>5242</v>
      </c>
      <c r="B6359" s="7">
        <v>37313</v>
      </c>
      <c r="C6359" s="8">
        <f>DATE(2012,12,31)-182</f>
        <v>41092</v>
      </c>
      <c r="D6359" s="8" t="str">
        <f t="shared" si="117"/>
        <v>2012-07 (июль 2012)</v>
      </c>
      <c r="E6359" s="9" t="s">
        <v>45</v>
      </c>
      <c r="F6359" s="7">
        <v>44</v>
      </c>
      <c r="G6359" s="7">
        <v>3304.38</v>
      </c>
      <c r="H6359" s="7">
        <v>0</v>
      </c>
      <c r="I6359" s="9" t="s">
        <v>22</v>
      </c>
      <c r="J6359" s="10">
        <v>-634.49</v>
      </c>
      <c r="K6359" s="11">
        <v>70.709999999999994</v>
      </c>
      <c r="L6359" s="11">
        <v>37.58</v>
      </c>
      <c r="M6359" s="9" t="s">
        <v>1158</v>
      </c>
      <c r="N6359" s="6" t="s">
        <v>1813</v>
      </c>
      <c r="O6359" s="6" t="s">
        <v>512</v>
      </c>
      <c r="P6359" s="9" t="s">
        <v>41</v>
      </c>
      <c r="Q6359" s="9" t="s">
        <v>49</v>
      </c>
      <c r="R6359" s="9" t="s">
        <v>50</v>
      </c>
      <c r="S6359" s="7" t="s">
        <v>724</v>
      </c>
      <c r="T6359" s="9" t="s">
        <v>68</v>
      </c>
      <c r="U6359" s="7">
        <v>0.78</v>
      </c>
      <c r="V6359" s="12">
        <f>C6359+1</f>
        <v>41093</v>
      </c>
      <c r="W6359">
        <f>IF(D6359=' Pivot Tables'!$A$4,1,0)</f>
        <v>0</v>
      </c>
      <c r="X6359">
        <f>IF(AND(LEFT(D6359,4)+1=LEFT(' Pivot Tables'!$A$4,4)+0,RIGHT(LEFT(D6359,7),2)=RIGHT(LEFT(' Pivot Tables'!$A$4,7),2)),1,0)</f>
        <v>0</v>
      </c>
      <c r="Y6359" s="6">
        <f>1/COUNTIF(Таблица1[Order ID],Таблица1[[#This Row],[Order ID]])</f>
        <v>0.5</v>
      </c>
      <c r="Z6359" s="9">
        <f>1/COUNTIFS(Таблица1[Customer Name],Таблица1[[#This Row],[Customer Name]],Таблица1[Order-Year-Month],Таблица1[[#This Row],[Order-Year-Month]])</f>
        <v>0.5</v>
      </c>
    </row>
    <row r="6360" spans="1:26" x14ac:dyDescent="0.2">
      <c r="A6360" s="6">
        <v>5243</v>
      </c>
      <c r="B6360" s="7">
        <v>37313</v>
      </c>
      <c r="C6360" s="8">
        <f>DATE(2012,12,31)-182</f>
        <v>41092</v>
      </c>
      <c r="D6360" s="8" t="str">
        <f t="shared" si="117"/>
        <v>2012-07 (июль 2012)</v>
      </c>
      <c r="E6360" s="9" t="s">
        <v>45</v>
      </c>
      <c r="F6360" s="7">
        <v>17</v>
      </c>
      <c r="G6360" s="7">
        <v>908.41200000000003</v>
      </c>
      <c r="H6360" s="7">
        <v>7.0000000000000007E-2</v>
      </c>
      <c r="I6360" s="9" t="s">
        <v>56</v>
      </c>
      <c r="J6360" s="10">
        <v>-71.191999999999993</v>
      </c>
      <c r="K6360" s="11">
        <v>65.989999999999995</v>
      </c>
      <c r="L6360" s="11">
        <v>8.99</v>
      </c>
      <c r="M6360" s="9" t="s">
        <v>1158</v>
      </c>
      <c r="N6360" s="6" t="s">
        <v>1813</v>
      </c>
      <c r="O6360" s="6" t="s">
        <v>512</v>
      </c>
      <c r="P6360" s="9" t="s">
        <v>41</v>
      </c>
      <c r="Q6360" s="9" t="s">
        <v>42</v>
      </c>
      <c r="R6360" s="9" t="s">
        <v>43</v>
      </c>
      <c r="S6360" s="7" t="s">
        <v>596</v>
      </c>
      <c r="T6360" s="9" t="s">
        <v>39</v>
      </c>
      <c r="U6360" s="7">
        <v>0.57999999999999996</v>
      </c>
      <c r="V6360" s="12">
        <f>C6360+2</f>
        <v>41094</v>
      </c>
      <c r="W6360">
        <f>IF(D6360=' Pivot Tables'!$A$4,1,0)</f>
        <v>0</v>
      </c>
      <c r="X6360">
        <f>IF(AND(LEFT(D6360,4)+1=LEFT(' Pivot Tables'!$A$4,4)+0,RIGHT(LEFT(D6360,7),2)=RIGHT(LEFT(' Pivot Tables'!$A$4,7),2)),1,0)</f>
        <v>0</v>
      </c>
      <c r="Y6360" s="6">
        <f>1/COUNTIF(Таблица1[Order ID],Таблица1[[#This Row],[Order ID]])</f>
        <v>0.5</v>
      </c>
      <c r="Z6360" s="9">
        <f>1/COUNTIFS(Таблица1[Customer Name],Таблица1[[#This Row],[Customer Name]],Таблица1[Order-Year-Month],Таблица1[[#This Row],[Order-Year-Month]])</f>
        <v>0.5</v>
      </c>
    </row>
    <row r="6361" spans="1:26" x14ac:dyDescent="0.2">
      <c r="A6361" s="6">
        <v>5249</v>
      </c>
      <c r="B6361" s="7">
        <v>37348</v>
      </c>
      <c r="C6361" s="8">
        <f>DATE(2012,12,31)-1297</f>
        <v>39977</v>
      </c>
      <c r="D6361" s="8" t="str">
        <f t="shared" si="117"/>
        <v>2009-06 (июнь 2009)</v>
      </c>
      <c r="E6361" s="9" t="s">
        <v>30</v>
      </c>
      <c r="F6361" s="7">
        <v>33</v>
      </c>
      <c r="G6361" s="7">
        <v>551.66999999999996</v>
      </c>
      <c r="H6361" s="7">
        <v>0.08</v>
      </c>
      <c r="I6361" s="9" t="s">
        <v>22</v>
      </c>
      <c r="J6361" s="10">
        <v>25.44</v>
      </c>
      <c r="K6361" s="11">
        <v>17.149999999999999</v>
      </c>
      <c r="L6361" s="11">
        <v>4.96</v>
      </c>
      <c r="M6361" s="9" t="s">
        <v>1644</v>
      </c>
      <c r="N6361" s="6" t="s">
        <v>1813</v>
      </c>
      <c r="O6361" s="6" t="s">
        <v>512</v>
      </c>
      <c r="P6361" s="9" t="s">
        <v>60</v>
      </c>
      <c r="Q6361" s="9" t="s">
        <v>26</v>
      </c>
      <c r="R6361" s="9" t="s">
        <v>27</v>
      </c>
      <c r="S6361" s="7" t="s">
        <v>1643</v>
      </c>
      <c r="T6361" s="9" t="s">
        <v>39</v>
      </c>
      <c r="U6361" s="7">
        <v>0.57999999999999996</v>
      </c>
      <c r="V6361" s="12">
        <f>C6361+3</f>
        <v>39980</v>
      </c>
      <c r="W6361">
        <f>IF(D6361=' Pivot Tables'!$A$4,1,0)</f>
        <v>0</v>
      </c>
      <c r="X6361">
        <f>IF(AND(LEFT(D6361,4)+1=LEFT(' Pivot Tables'!$A$4,4)+0,RIGHT(LEFT(D6361,7),2)=RIGHT(LEFT(' Pivot Tables'!$A$4,7),2)),1,0)</f>
        <v>0</v>
      </c>
      <c r="Y6361" s="6">
        <f>1/COUNTIF(Таблица1[Order ID],Таблица1[[#This Row],[Order ID]])</f>
        <v>1</v>
      </c>
      <c r="Z6361" s="9">
        <f>1/COUNTIFS(Таблица1[Customer Name],Таблица1[[#This Row],[Customer Name]],Таблица1[Order-Year-Month],Таблица1[[#This Row],[Order-Year-Month]])</f>
        <v>1</v>
      </c>
    </row>
    <row r="6362" spans="1:26" x14ac:dyDescent="0.2">
      <c r="A6362" s="6">
        <v>5271</v>
      </c>
      <c r="B6362" s="7">
        <v>37510</v>
      </c>
      <c r="C6362" s="8">
        <f>DATE(2012,12,31)-1394</f>
        <v>39880</v>
      </c>
      <c r="D6362" s="8" t="str">
        <f t="shared" si="117"/>
        <v>2009-03 (март 2009)</v>
      </c>
      <c r="E6362" s="9" t="s">
        <v>78</v>
      </c>
      <c r="F6362" s="7">
        <v>15</v>
      </c>
      <c r="G6362" s="7">
        <v>2466.02</v>
      </c>
      <c r="H6362" s="7">
        <v>0.02</v>
      </c>
      <c r="I6362" s="9" t="s">
        <v>22</v>
      </c>
      <c r="J6362" s="10">
        <v>243.73</v>
      </c>
      <c r="K6362" s="11">
        <v>161.55000000000001</v>
      </c>
      <c r="L6362" s="11">
        <v>19.989999999999998</v>
      </c>
      <c r="M6362" s="9" t="s">
        <v>1982</v>
      </c>
      <c r="N6362" s="6" t="s">
        <v>1813</v>
      </c>
      <c r="O6362" s="6" t="s">
        <v>512</v>
      </c>
      <c r="P6362" s="9" t="s">
        <v>25</v>
      </c>
      <c r="Q6362" s="9" t="s">
        <v>26</v>
      </c>
      <c r="R6362" s="9" t="s">
        <v>27</v>
      </c>
      <c r="S6362" s="7" t="s">
        <v>685</v>
      </c>
      <c r="T6362" s="9" t="s">
        <v>39</v>
      </c>
      <c r="U6362" s="7">
        <v>0.66</v>
      </c>
      <c r="V6362" s="12">
        <f>C6362+0</f>
        <v>39880</v>
      </c>
      <c r="W6362">
        <f>IF(D6362=' Pivot Tables'!$A$4,1,0)</f>
        <v>0</v>
      </c>
      <c r="X6362">
        <f>IF(AND(LEFT(D6362,4)+1=LEFT(' Pivot Tables'!$A$4,4)+0,RIGHT(LEFT(D6362,7),2)=RIGHT(LEFT(' Pivot Tables'!$A$4,7),2)),1,0)</f>
        <v>0</v>
      </c>
      <c r="Y6362" s="6">
        <f>1/COUNTIF(Таблица1[Order ID],Таблица1[[#This Row],[Order ID]])</f>
        <v>1</v>
      </c>
      <c r="Z6362" s="9">
        <f>1/COUNTIFS(Таблица1[Customer Name],Таблица1[[#This Row],[Customer Name]],Таблица1[Order-Year-Month],Таблица1[[#This Row],[Order-Year-Month]])</f>
        <v>1</v>
      </c>
    </row>
    <row r="6363" spans="1:26" x14ac:dyDescent="0.2">
      <c r="A6363" s="6">
        <v>5304</v>
      </c>
      <c r="B6363" s="7">
        <v>37762</v>
      </c>
      <c r="C6363" s="8">
        <f>DATE(2012,12,31)-208</f>
        <v>41066</v>
      </c>
      <c r="D6363" s="8" t="str">
        <f t="shared" si="117"/>
        <v>2012-06 (июнь 2012)</v>
      </c>
      <c r="E6363" s="9" t="s">
        <v>63</v>
      </c>
      <c r="F6363" s="7">
        <v>20</v>
      </c>
      <c r="G6363" s="7">
        <v>135.02000000000001</v>
      </c>
      <c r="H6363" s="7">
        <v>0.02</v>
      </c>
      <c r="I6363" s="9" t="s">
        <v>22</v>
      </c>
      <c r="J6363" s="10">
        <v>-60.69</v>
      </c>
      <c r="K6363" s="11">
        <v>6.48</v>
      </c>
      <c r="L6363" s="11">
        <v>6.74</v>
      </c>
      <c r="M6363" s="9" t="s">
        <v>1380</v>
      </c>
      <c r="N6363" s="6" t="s">
        <v>1813</v>
      </c>
      <c r="O6363" s="6" t="s">
        <v>512</v>
      </c>
      <c r="P6363" s="9" t="s">
        <v>25</v>
      </c>
      <c r="Q6363" s="9" t="s">
        <v>26</v>
      </c>
      <c r="R6363" s="9" t="s">
        <v>61</v>
      </c>
      <c r="S6363" s="7" t="s">
        <v>1761</v>
      </c>
      <c r="T6363" s="9" t="s">
        <v>39</v>
      </c>
      <c r="U6363" s="7">
        <v>0.37</v>
      </c>
      <c r="V6363" s="12">
        <f>C6363+1</f>
        <v>41067</v>
      </c>
      <c r="W6363">
        <f>IF(D6363=' Pivot Tables'!$A$4,1,0)</f>
        <v>0</v>
      </c>
      <c r="X6363">
        <f>IF(AND(LEFT(D6363,4)+1=LEFT(' Pivot Tables'!$A$4,4)+0,RIGHT(LEFT(D6363,7),2)=RIGHT(LEFT(' Pivot Tables'!$A$4,7),2)),1,0)</f>
        <v>0</v>
      </c>
      <c r="Y6363" s="6">
        <f>1/COUNTIF(Таблица1[Order ID],Таблица1[[#This Row],[Order ID]])</f>
        <v>1</v>
      </c>
      <c r="Z6363" s="9">
        <f>1/COUNTIFS(Таблица1[Customer Name],Таблица1[[#This Row],[Customer Name]],Таблица1[Order-Year-Month],Таблица1[[#This Row],[Order-Year-Month]])</f>
        <v>1</v>
      </c>
    </row>
    <row r="6364" spans="1:26" x14ac:dyDescent="0.2">
      <c r="A6364" s="6">
        <v>5439</v>
      </c>
      <c r="B6364" s="7">
        <v>38628</v>
      </c>
      <c r="C6364" s="8">
        <f>DATE(2012,12,31)-429</f>
        <v>40845</v>
      </c>
      <c r="D6364" s="8" t="str">
        <f t="shared" si="117"/>
        <v>2011-10 (октябрь 2011)</v>
      </c>
      <c r="E6364" s="9" t="s">
        <v>21</v>
      </c>
      <c r="F6364" s="7">
        <v>23</v>
      </c>
      <c r="G6364" s="7">
        <v>667.99799999999993</v>
      </c>
      <c r="H6364" s="7">
        <v>0.06</v>
      </c>
      <c r="I6364" s="9" t="s">
        <v>22</v>
      </c>
      <c r="J6364" s="10">
        <v>251.262</v>
      </c>
      <c r="K6364" s="11">
        <v>35.99</v>
      </c>
      <c r="L6364" s="11">
        <v>1.25</v>
      </c>
      <c r="M6364" s="9" t="s">
        <v>1713</v>
      </c>
      <c r="N6364" s="6" t="s">
        <v>1813</v>
      </c>
      <c r="O6364" s="6" t="s">
        <v>512</v>
      </c>
      <c r="P6364" s="9" t="s">
        <v>25</v>
      </c>
      <c r="Q6364" s="9" t="s">
        <v>42</v>
      </c>
      <c r="R6364" s="9" t="s">
        <v>43</v>
      </c>
      <c r="S6364" s="7" t="s">
        <v>1218</v>
      </c>
      <c r="T6364" s="9" t="s">
        <v>52</v>
      </c>
      <c r="U6364" s="7">
        <v>0.36</v>
      </c>
      <c r="V6364" s="12">
        <f>C6364+5</f>
        <v>40850</v>
      </c>
      <c r="W6364">
        <f>IF(D6364=' Pivot Tables'!$A$4,1,0)</f>
        <v>0</v>
      </c>
      <c r="X6364">
        <f>IF(AND(LEFT(D6364,4)+1=LEFT(' Pivot Tables'!$A$4,4)+0,RIGHT(LEFT(D6364,7),2)=RIGHT(LEFT(' Pivot Tables'!$A$4,7),2)),1,0)</f>
        <v>0</v>
      </c>
      <c r="Y6364" s="6">
        <f>1/COUNTIF(Таблица1[Order ID],Таблица1[[#This Row],[Order ID]])</f>
        <v>1</v>
      </c>
      <c r="Z6364" s="9">
        <f>1/COUNTIFS(Таблица1[Customer Name],Таблица1[[#This Row],[Customer Name]],Таблица1[Order-Year-Month],Таблица1[[#This Row],[Order-Year-Month]])</f>
        <v>0.25</v>
      </c>
    </row>
    <row r="6365" spans="1:26" x14ac:dyDescent="0.2">
      <c r="A6365" s="6">
        <v>5465</v>
      </c>
      <c r="B6365" s="7">
        <v>38848</v>
      </c>
      <c r="C6365" s="8">
        <f>DATE(2012,12,31)-15</f>
        <v>41259</v>
      </c>
      <c r="D6365" s="8" t="str">
        <f t="shared" si="117"/>
        <v>2012-12 (декабрь 2012)</v>
      </c>
      <c r="E6365" s="9" t="s">
        <v>30</v>
      </c>
      <c r="F6365" s="7">
        <v>6</v>
      </c>
      <c r="G6365" s="7">
        <v>259.52</v>
      </c>
      <c r="H6365" s="7">
        <v>0.06</v>
      </c>
      <c r="I6365" s="9" t="s">
        <v>22</v>
      </c>
      <c r="J6365" s="10">
        <v>45.203000000000003</v>
      </c>
      <c r="K6365" s="11">
        <v>43.41</v>
      </c>
      <c r="L6365" s="11">
        <v>2.99</v>
      </c>
      <c r="M6365" s="9" t="s">
        <v>1713</v>
      </c>
      <c r="N6365" s="6" t="s">
        <v>1813</v>
      </c>
      <c r="O6365" s="6" t="s">
        <v>512</v>
      </c>
      <c r="P6365" s="9" t="s">
        <v>60</v>
      </c>
      <c r="Q6365" s="9" t="s">
        <v>26</v>
      </c>
      <c r="R6365" s="9" t="s">
        <v>37</v>
      </c>
      <c r="S6365" s="7" t="s">
        <v>200</v>
      </c>
      <c r="T6365" s="9" t="s">
        <v>39</v>
      </c>
      <c r="U6365" s="7">
        <v>0.39</v>
      </c>
      <c r="V6365" s="12">
        <f>C6365+1</f>
        <v>41260</v>
      </c>
      <c r="W6365">
        <f>IF(D6365=' Pivot Tables'!$A$4,1,0)</f>
        <v>0</v>
      </c>
      <c r="X6365">
        <f>IF(AND(LEFT(D6365,4)+1=LEFT(' Pivot Tables'!$A$4,4)+0,RIGHT(LEFT(D6365,7),2)=RIGHT(LEFT(' Pivot Tables'!$A$4,7),2)),1,0)</f>
        <v>0</v>
      </c>
      <c r="Y6365" s="6">
        <f>1/COUNTIF(Таблица1[Order ID],Таблица1[[#This Row],[Order ID]])</f>
        <v>1</v>
      </c>
      <c r="Z6365" s="9">
        <f>1/COUNTIFS(Таблица1[Customer Name],Таблица1[[#This Row],[Customer Name]],Таблица1[Order-Year-Month],Таблица1[[#This Row],[Order-Year-Month]])</f>
        <v>1</v>
      </c>
    </row>
    <row r="6366" spans="1:26" x14ac:dyDescent="0.2">
      <c r="A6366" s="6">
        <v>5490</v>
      </c>
      <c r="B6366" s="7">
        <v>38950</v>
      </c>
      <c r="C6366" s="8">
        <f>DATE(2012,12,31)-548</f>
        <v>40726</v>
      </c>
      <c r="D6366" s="8" t="str">
        <f t="shared" si="117"/>
        <v>2011-07 (июль 2011)</v>
      </c>
      <c r="E6366" s="9" t="s">
        <v>45</v>
      </c>
      <c r="F6366" s="7">
        <v>24</v>
      </c>
      <c r="G6366" s="7">
        <v>109.23</v>
      </c>
      <c r="H6366" s="7">
        <v>0.02</v>
      </c>
      <c r="I6366" s="9" t="s">
        <v>22</v>
      </c>
      <c r="J6366" s="10">
        <v>-100.57899999999999</v>
      </c>
      <c r="K6366" s="11">
        <v>4.38</v>
      </c>
      <c r="L6366" s="11">
        <v>6.21</v>
      </c>
      <c r="M6366" s="9" t="s">
        <v>1713</v>
      </c>
      <c r="N6366" s="6" t="s">
        <v>1813</v>
      </c>
      <c r="O6366" s="6" t="s">
        <v>512</v>
      </c>
      <c r="P6366" s="9" t="s">
        <v>25</v>
      </c>
      <c r="Q6366" s="9" t="s">
        <v>26</v>
      </c>
      <c r="R6366" s="9" t="s">
        <v>37</v>
      </c>
      <c r="S6366" s="7" t="s">
        <v>1898</v>
      </c>
      <c r="T6366" s="9" t="s">
        <v>39</v>
      </c>
      <c r="U6366" s="7">
        <v>0.37</v>
      </c>
      <c r="V6366" s="12">
        <f>C6366+1</f>
        <v>40727</v>
      </c>
      <c r="W6366">
        <f>IF(D6366=' Pivot Tables'!$A$4,1,0)</f>
        <v>0</v>
      </c>
      <c r="X6366">
        <f>IF(AND(LEFT(D6366,4)+1=LEFT(' Pivot Tables'!$A$4,4)+0,RIGHT(LEFT(D6366,7),2)=RIGHT(LEFT(' Pivot Tables'!$A$4,7),2)),1,0)</f>
        <v>0</v>
      </c>
      <c r="Y6366" s="6">
        <f>1/COUNTIF(Таблица1[Order ID],Таблица1[[#This Row],[Order ID]])</f>
        <v>0.33333333333333331</v>
      </c>
      <c r="Z6366" s="9">
        <f>1/COUNTIFS(Таблица1[Customer Name],Таблица1[[#This Row],[Customer Name]],Таблица1[Order-Year-Month],Таблица1[[#This Row],[Order-Year-Month]])</f>
        <v>0.33333333333333331</v>
      </c>
    </row>
    <row r="6367" spans="1:26" x14ac:dyDescent="0.2">
      <c r="A6367" s="6">
        <v>5491</v>
      </c>
      <c r="B6367" s="7">
        <v>38950</v>
      </c>
      <c r="C6367" s="8">
        <f>DATE(2012,12,31)-548</f>
        <v>40726</v>
      </c>
      <c r="D6367" s="8" t="str">
        <f t="shared" si="117"/>
        <v>2011-07 (июль 2011)</v>
      </c>
      <c r="E6367" s="9" t="s">
        <v>45</v>
      </c>
      <c r="F6367" s="7">
        <v>39</v>
      </c>
      <c r="G6367" s="7">
        <v>74</v>
      </c>
      <c r="H6367" s="7">
        <v>0.08</v>
      </c>
      <c r="I6367" s="9" t="s">
        <v>22</v>
      </c>
      <c r="J6367" s="10">
        <v>-20.6</v>
      </c>
      <c r="K6367" s="11">
        <v>1.89</v>
      </c>
      <c r="L6367" s="11">
        <v>0.76</v>
      </c>
      <c r="M6367" s="9" t="s">
        <v>1713</v>
      </c>
      <c r="N6367" s="6" t="s">
        <v>1813</v>
      </c>
      <c r="O6367" s="6" t="s">
        <v>512</v>
      </c>
      <c r="P6367" s="9" t="s">
        <v>25</v>
      </c>
      <c r="Q6367" s="9" t="s">
        <v>26</v>
      </c>
      <c r="R6367" s="9" t="s">
        <v>66</v>
      </c>
      <c r="S6367" s="7" t="s">
        <v>177</v>
      </c>
      <c r="T6367" s="9" t="s">
        <v>68</v>
      </c>
      <c r="U6367" s="7">
        <v>0.83</v>
      </c>
      <c r="V6367" s="12">
        <f>C6367+1</f>
        <v>40727</v>
      </c>
      <c r="W6367">
        <f>IF(D6367=' Pivot Tables'!$A$4,1,0)</f>
        <v>0</v>
      </c>
      <c r="X6367">
        <f>IF(AND(LEFT(D6367,4)+1=LEFT(' Pivot Tables'!$A$4,4)+0,RIGHT(LEFT(D6367,7),2)=RIGHT(LEFT(' Pivot Tables'!$A$4,7),2)),1,0)</f>
        <v>0</v>
      </c>
      <c r="Y6367" s="6">
        <f>1/COUNTIF(Таблица1[Order ID],Таблица1[[#This Row],[Order ID]])</f>
        <v>0.33333333333333331</v>
      </c>
      <c r="Z6367" s="9">
        <f>1/COUNTIFS(Таблица1[Customer Name],Таблица1[[#This Row],[Customer Name]],Таблица1[Order-Year-Month],Таблица1[[#This Row],[Order-Year-Month]])</f>
        <v>0.33333333333333331</v>
      </c>
    </row>
    <row r="6368" spans="1:26" x14ac:dyDescent="0.2">
      <c r="A6368" s="6">
        <v>5492</v>
      </c>
      <c r="B6368" s="7">
        <v>38950</v>
      </c>
      <c r="C6368" s="8">
        <f>DATE(2012,12,31)-548</f>
        <v>40726</v>
      </c>
      <c r="D6368" s="8" t="str">
        <f t="shared" si="117"/>
        <v>2011-07 (июль 2011)</v>
      </c>
      <c r="E6368" s="9" t="s">
        <v>45</v>
      </c>
      <c r="F6368" s="7">
        <v>30</v>
      </c>
      <c r="G6368" s="7">
        <v>288.45</v>
      </c>
      <c r="H6368" s="7">
        <v>0.03</v>
      </c>
      <c r="I6368" s="9" t="s">
        <v>22</v>
      </c>
      <c r="J6368" s="10">
        <v>-5.98</v>
      </c>
      <c r="K6368" s="11">
        <v>9.31</v>
      </c>
      <c r="L6368" s="11">
        <v>3.98</v>
      </c>
      <c r="M6368" s="9" t="s">
        <v>1713</v>
      </c>
      <c r="N6368" s="6" t="s">
        <v>1813</v>
      </c>
      <c r="O6368" s="6" t="s">
        <v>512</v>
      </c>
      <c r="P6368" s="9" t="s">
        <v>25</v>
      </c>
      <c r="Q6368" s="9" t="s">
        <v>26</v>
      </c>
      <c r="R6368" s="9" t="s">
        <v>150</v>
      </c>
      <c r="S6368" s="7" t="s">
        <v>1249</v>
      </c>
      <c r="T6368" s="9" t="s">
        <v>52</v>
      </c>
      <c r="U6368" s="7">
        <v>0.56000000000000005</v>
      </c>
      <c r="V6368" s="12">
        <f>C6368+3</f>
        <v>40729</v>
      </c>
      <c r="W6368">
        <f>IF(D6368=' Pivot Tables'!$A$4,1,0)</f>
        <v>0</v>
      </c>
      <c r="X6368">
        <f>IF(AND(LEFT(D6368,4)+1=LEFT(' Pivot Tables'!$A$4,4)+0,RIGHT(LEFT(D6368,7),2)=RIGHT(LEFT(' Pivot Tables'!$A$4,7),2)),1,0)</f>
        <v>0</v>
      </c>
      <c r="Y6368" s="6">
        <f>1/COUNTIF(Таблица1[Order ID],Таблица1[[#This Row],[Order ID]])</f>
        <v>0.33333333333333331</v>
      </c>
      <c r="Z6368" s="9">
        <f>1/COUNTIFS(Таблица1[Customer Name],Таблица1[[#This Row],[Customer Name]],Таблица1[Order-Year-Month],Таблица1[[#This Row],[Order-Year-Month]])</f>
        <v>0.33333333333333331</v>
      </c>
    </row>
    <row r="6369" spans="1:26" x14ac:dyDescent="0.2">
      <c r="A6369" s="6">
        <v>5578</v>
      </c>
      <c r="B6369" s="7">
        <v>39521</v>
      </c>
      <c r="C6369" s="8">
        <f>DATE(2012,12,31)-1240</f>
        <v>40034</v>
      </c>
      <c r="D6369" s="8" t="str">
        <f t="shared" si="117"/>
        <v>2009-08 (август 2009)</v>
      </c>
      <c r="E6369" s="9" t="s">
        <v>21</v>
      </c>
      <c r="F6369" s="7">
        <v>28</v>
      </c>
      <c r="G6369" s="7">
        <v>112.35</v>
      </c>
      <c r="H6369" s="7">
        <v>0.1</v>
      </c>
      <c r="I6369" s="9" t="s">
        <v>22</v>
      </c>
      <c r="J6369" s="10">
        <v>31.27</v>
      </c>
      <c r="K6369" s="11">
        <v>4.13</v>
      </c>
      <c r="L6369" s="11">
        <v>0.99</v>
      </c>
      <c r="M6369" s="9" t="s">
        <v>1999</v>
      </c>
      <c r="N6369" s="6" t="s">
        <v>1813</v>
      </c>
      <c r="O6369" s="6" t="s">
        <v>512</v>
      </c>
      <c r="P6369" s="9" t="s">
        <v>25</v>
      </c>
      <c r="Q6369" s="9" t="s">
        <v>26</v>
      </c>
      <c r="R6369" s="9" t="s">
        <v>88</v>
      </c>
      <c r="S6369" s="7" t="s">
        <v>492</v>
      </c>
      <c r="T6369" s="9" t="s">
        <v>39</v>
      </c>
      <c r="U6369" s="7">
        <v>0.39</v>
      </c>
      <c r="V6369" s="12">
        <f>C6369+4</f>
        <v>40038</v>
      </c>
      <c r="W6369">
        <f>IF(D6369=' Pivot Tables'!$A$4,1,0)</f>
        <v>0</v>
      </c>
      <c r="X6369">
        <f>IF(AND(LEFT(D6369,4)+1=LEFT(' Pivot Tables'!$A$4,4)+0,RIGHT(LEFT(D6369,7),2)=RIGHT(LEFT(' Pivot Tables'!$A$4,7),2)),1,0)</f>
        <v>0</v>
      </c>
      <c r="Y6369" s="6">
        <f>1/COUNTIF(Таблица1[Order ID],Таблица1[[#This Row],[Order ID]])</f>
        <v>1</v>
      </c>
      <c r="Z6369" s="9">
        <f>1/COUNTIFS(Таблица1[Customer Name],Таблица1[[#This Row],[Customer Name]],Таблица1[Order-Year-Month],Таблица1[[#This Row],[Order-Year-Month]])</f>
        <v>0.5</v>
      </c>
    </row>
    <row r="6370" spans="1:26" x14ac:dyDescent="0.2">
      <c r="A6370" s="6">
        <v>5698</v>
      </c>
      <c r="B6370" s="7">
        <v>40289</v>
      </c>
      <c r="C6370" s="8">
        <f>DATE(2012,12,31)-35</f>
        <v>41239</v>
      </c>
      <c r="D6370" s="8" t="str">
        <f t="shared" si="117"/>
        <v>2012-11 (ноябрь 2012)</v>
      </c>
      <c r="E6370" s="9" t="s">
        <v>45</v>
      </c>
      <c r="F6370" s="7">
        <v>26</v>
      </c>
      <c r="G6370" s="7">
        <v>78.09</v>
      </c>
      <c r="H6370" s="7">
        <v>0.01</v>
      </c>
      <c r="I6370" s="9" t="s">
        <v>22</v>
      </c>
      <c r="J6370" s="10">
        <v>19.63</v>
      </c>
      <c r="K6370" s="11">
        <v>2.88</v>
      </c>
      <c r="L6370" s="11">
        <v>0.99</v>
      </c>
      <c r="M6370" s="9" t="s">
        <v>1500</v>
      </c>
      <c r="N6370" s="6" t="s">
        <v>1813</v>
      </c>
      <c r="O6370" s="6" t="s">
        <v>512</v>
      </c>
      <c r="P6370" s="9" t="s">
        <v>33</v>
      </c>
      <c r="Q6370" s="9" t="s">
        <v>26</v>
      </c>
      <c r="R6370" s="9" t="s">
        <v>88</v>
      </c>
      <c r="S6370" s="7" t="s">
        <v>300</v>
      </c>
      <c r="T6370" s="9" t="s">
        <v>39</v>
      </c>
      <c r="U6370" s="7">
        <v>0.36</v>
      </c>
      <c r="V6370" s="12">
        <f>C6370+1</f>
        <v>41240</v>
      </c>
      <c r="W6370">
        <f>IF(D6370=' Pivot Tables'!$A$4,1,0)</f>
        <v>0</v>
      </c>
      <c r="X6370">
        <f>IF(AND(LEFT(D6370,4)+1=LEFT(' Pivot Tables'!$A$4,4)+0,RIGHT(LEFT(D6370,7),2)=RIGHT(LEFT(' Pivot Tables'!$A$4,7),2)),1,0)</f>
        <v>0</v>
      </c>
      <c r="Y6370" s="6">
        <f>1/COUNTIF(Таблица1[Order ID],Таблица1[[#This Row],[Order ID]])</f>
        <v>0.5</v>
      </c>
      <c r="Z6370" s="9">
        <f>1/COUNTIFS(Таблица1[Customer Name],Таблица1[[#This Row],[Customer Name]],Таблица1[Order-Year-Month],Таблица1[[#This Row],[Order-Year-Month]])</f>
        <v>0.25</v>
      </c>
    </row>
    <row r="6371" spans="1:26" x14ac:dyDescent="0.2">
      <c r="A6371" s="6">
        <v>5699</v>
      </c>
      <c r="B6371" s="7">
        <v>40289</v>
      </c>
      <c r="C6371" s="8">
        <f>DATE(2012,12,31)-35</f>
        <v>41239</v>
      </c>
      <c r="D6371" s="8" t="str">
        <f t="shared" si="117"/>
        <v>2012-11 (ноябрь 2012)</v>
      </c>
      <c r="E6371" s="9" t="s">
        <v>45</v>
      </c>
      <c r="F6371" s="7">
        <v>4</v>
      </c>
      <c r="G6371" s="7">
        <v>42.77</v>
      </c>
      <c r="H6371" s="7">
        <v>0.04</v>
      </c>
      <c r="I6371" s="9" t="s">
        <v>22</v>
      </c>
      <c r="J6371" s="10">
        <v>-1.19</v>
      </c>
      <c r="K6371" s="11">
        <v>10.14</v>
      </c>
      <c r="L6371" s="11">
        <v>2.27</v>
      </c>
      <c r="M6371" s="9" t="s">
        <v>1500</v>
      </c>
      <c r="N6371" s="6" t="s">
        <v>1813</v>
      </c>
      <c r="O6371" s="6" t="s">
        <v>512</v>
      </c>
      <c r="P6371" s="9" t="s">
        <v>33</v>
      </c>
      <c r="Q6371" s="9" t="s">
        <v>26</v>
      </c>
      <c r="R6371" s="9" t="s">
        <v>61</v>
      </c>
      <c r="S6371" s="7" t="s">
        <v>189</v>
      </c>
      <c r="T6371" s="9" t="s">
        <v>68</v>
      </c>
      <c r="U6371" s="7">
        <v>0.36</v>
      </c>
      <c r="V6371" s="12">
        <f>C6371+1</f>
        <v>41240</v>
      </c>
      <c r="W6371">
        <f>IF(D6371=' Pivot Tables'!$A$4,1,0)</f>
        <v>0</v>
      </c>
      <c r="X6371">
        <f>IF(AND(LEFT(D6371,4)+1=LEFT(' Pivot Tables'!$A$4,4)+0,RIGHT(LEFT(D6371,7),2)=RIGHT(LEFT(' Pivot Tables'!$A$4,7),2)),1,0)</f>
        <v>0</v>
      </c>
      <c r="Y6371" s="6">
        <f>1/COUNTIF(Таблица1[Order ID],Таблица1[[#This Row],[Order ID]])</f>
        <v>0.5</v>
      </c>
      <c r="Z6371" s="9">
        <f>1/COUNTIFS(Таблица1[Customer Name],Таблица1[[#This Row],[Customer Name]],Таблица1[Order-Year-Month],Таблица1[[#This Row],[Order-Year-Month]])</f>
        <v>0.25</v>
      </c>
    </row>
    <row r="6372" spans="1:26" x14ac:dyDescent="0.2">
      <c r="A6372" s="6">
        <v>5739</v>
      </c>
      <c r="B6372" s="7">
        <v>40775</v>
      </c>
      <c r="C6372" s="8">
        <f>DATE(2012,12,31)-775</f>
        <v>40499</v>
      </c>
      <c r="D6372" s="8" t="str">
        <f t="shared" si="117"/>
        <v>2010-11 (ноябрь 2010)</v>
      </c>
      <c r="E6372" s="9" t="s">
        <v>21</v>
      </c>
      <c r="F6372" s="7">
        <v>23</v>
      </c>
      <c r="G6372" s="7">
        <v>279.63</v>
      </c>
      <c r="H6372" s="7">
        <v>7.0000000000000007E-2</v>
      </c>
      <c r="I6372" s="9" t="s">
        <v>22</v>
      </c>
      <c r="J6372" s="10">
        <v>61.69</v>
      </c>
      <c r="K6372" s="11">
        <v>12.58</v>
      </c>
      <c r="L6372" s="11">
        <v>5.16</v>
      </c>
      <c r="M6372" s="9" t="s">
        <v>1158</v>
      </c>
      <c r="N6372" s="6" t="s">
        <v>1813</v>
      </c>
      <c r="O6372" s="6" t="s">
        <v>512</v>
      </c>
      <c r="P6372" s="9" t="s">
        <v>41</v>
      </c>
      <c r="Q6372" s="9" t="s">
        <v>49</v>
      </c>
      <c r="R6372" s="9" t="s">
        <v>50</v>
      </c>
      <c r="S6372" s="7" t="s">
        <v>239</v>
      </c>
      <c r="T6372" s="9" t="s">
        <v>39</v>
      </c>
      <c r="U6372" s="7">
        <v>0.43</v>
      </c>
      <c r="V6372" s="12">
        <f>C6372+5</f>
        <v>40504</v>
      </c>
      <c r="W6372">
        <f>IF(D6372=' Pivot Tables'!$A$4,1,0)</f>
        <v>0</v>
      </c>
      <c r="X6372">
        <f>IF(AND(LEFT(D6372,4)+1=LEFT(' Pivot Tables'!$A$4,4)+0,RIGHT(LEFT(D6372,7),2)=RIGHT(LEFT(' Pivot Tables'!$A$4,7),2)),1,0)</f>
        <v>0</v>
      </c>
      <c r="Y6372" s="6">
        <f>1/COUNTIF(Таблица1[Order ID],Таблица1[[#This Row],[Order ID]])</f>
        <v>1</v>
      </c>
      <c r="Z6372" s="9">
        <f>1/COUNTIFS(Таблица1[Customer Name],Таблица1[[#This Row],[Customer Name]],Таблица1[Order-Year-Month],Таблица1[[#This Row],[Order-Year-Month]])</f>
        <v>1</v>
      </c>
    </row>
    <row r="6373" spans="1:26" x14ac:dyDescent="0.2">
      <c r="A6373" s="6">
        <v>5794</v>
      </c>
      <c r="B6373" s="7">
        <v>41094</v>
      </c>
      <c r="C6373" s="8">
        <f>DATE(2012,12,31)-1455</f>
        <v>39819</v>
      </c>
      <c r="D6373" s="8" t="str">
        <f t="shared" si="117"/>
        <v>2009-01 (январь 2009)</v>
      </c>
      <c r="E6373" s="9" t="s">
        <v>21</v>
      </c>
      <c r="F6373" s="7">
        <v>46</v>
      </c>
      <c r="G6373" s="7">
        <v>298.97000000000003</v>
      </c>
      <c r="H6373" s="7">
        <v>0.09</v>
      </c>
      <c r="I6373" s="9" t="s">
        <v>22</v>
      </c>
      <c r="J6373" s="10">
        <v>-225.86</v>
      </c>
      <c r="K6373" s="11">
        <v>6.48</v>
      </c>
      <c r="L6373" s="11">
        <v>8.73</v>
      </c>
      <c r="M6373" s="9" t="s">
        <v>1897</v>
      </c>
      <c r="N6373" s="6" t="s">
        <v>1813</v>
      </c>
      <c r="O6373" s="6" t="s">
        <v>512</v>
      </c>
      <c r="P6373" s="9" t="s">
        <v>41</v>
      </c>
      <c r="Q6373" s="9" t="s">
        <v>26</v>
      </c>
      <c r="R6373" s="9" t="s">
        <v>61</v>
      </c>
      <c r="S6373" s="7" t="s">
        <v>828</v>
      </c>
      <c r="T6373" s="9" t="s">
        <v>39</v>
      </c>
      <c r="U6373" s="7">
        <v>0.37</v>
      </c>
      <c r="V6373" s="12">
        <f>C6373+2</f>
        <v>39821</v>
      </c>
      <c r="W6373">
        <f>IF(D6373=' Pivot Tables'!$A$4,1,0)</f>
        <v>0</v>
      </c>
      <c r="X6373">
        <f>IF(AND(LEFT(D6373,4)+1=LEFT(' Pivot Tables'!$A$4,4)+0,RIGHT(LEFT(D6373,7),2)=RIGHT(LEFT(' Pivot Tables'!$A$4,7),2)),1,0)</f>
        <v>1</v>
      </c>
      <c r="Y6373" s="6">
        <f>1/COUNTIF(Таблица1[Order ID],Таблица1[[#This Row],[Order ID]])</f>
        <v>0.5</v>
      </c>
      <c r="Z6373" s="9">
        <f>1/COUNTIFS(Таблица1[Customer Name],Таблица1[[#This Row],[Customer Name]],Таблица1[Order-Year-Month],Таблица1[[#This Row],[Order-Year-Month]])</f>
        <v>0.5</v>
      </c>
    </row>
    <row r="6374" spans="1:26" x14ac:dyDescent="0.2">
      <c r="A6374" s="6">
        <v>5795</v>
      </c>
      <c r="B6374" s="7">
        <v>41094</v>
      </c>
      <c r="C6374" s="8">
        <f>DATE(2012,12,31)-1455</f>
        <v>39819</v>
      </c>
      <c r="D6374" s="8" t="str">
        <f t="shared" si="117"/>
        <v>2009-01 (январь 2009)</v>
      </c>
      <c r="E6374" s="9" t="s">
        <v>21</v>
      </c>
      <c r="F6374" s="7">
        <v>6</v>
      </c>
      <c r="G6374" s="7">
        <v>159.05000000000001</v>
      </c>
      <c r="H6374" s="7">
        <v>0.05</v>
      </c>
      <c r="I6374" s="9" t="s">
        <v>22</v>
      </c>
      <c r="J6374" s="10">
        <v>-153.46</v>
      </c>
      <c r="K6374" s="11">
        <v>20.34</v>
      </c>
      <c r="L6374" s="11">
        <v>35</v>
      </c>
      <c r="M6374" s="9" t="s">
        <v>1897</v>
      </c>
      <c r="N6374" s="6" t="s">
        <v>1813</v>
      </c>
      <c r="O6374" s="6" t="s">
        <v>512</v>
      </c>
      <c r="P6374" s="9" t="s">
        <v>41</v>
      </c>
      <c r="Q6374" s="9" t="s">
        <v>26</v>
      </c>
      <c r="R6374" s="9" t="s">
        <v>27</v>
      </c>
      <c r="S6374" s="7" t="s">
        <v>693</v>
      </c>
      <c r="T6374" s="9" t="s">
        <v>29</v>
      </c>
      <c r="U6374" s="7">
        <v>0.84</v>
      </c>
      <c r="V6374" s="12">
        <f>C6374+4</f>
        <v>39823</v>
      </c>
      <c r="W6374">
        <f>IF(D6374=' Pivot Tables'!$A$4,1,0)</f>
        <v>0</v>
      </c>
      <c r="X6374">
        <f>IF(AND(LEFT(D6374,4)+1=LEFT(' Pivot Tables'!$A$4,4)+0,RIGHT(LEFT(D6374,7),2)=RIGHT(LEFT(' Pivot Tables'!$A$4,7),2)),1,0)</f>
        <v>1</v>
      </c>
      <c r="Y6374" s="6">
        <f>1/COUNTIF(Таблица1[Order ID],Таблица1[[#This Row],[Order ID]])</f>
        <v>0.5</v>
      </c>
      <c r="Z6374" s="9">
        <f>1/COUNTIFS(Таблица1[Customer Name],Таблица1[[#This Row],[Customer Name]],Таблица1[Order-Year-Month],Таблица1[[#This Row],[Order-Year-Month]])</f>
        <v>0.5</v>
      </c>
    </row>
    <row r="6375" spans="1:26" x14ac:dyDescent="0.2">
      <c r="A6375" s="6">
        <v>5808</v>
      </c>
      <c r="B6375" s="7">
        <v>41186</v>
      </c>
      <c r="C6375" s="8">
        <f>DATE(2012,12,31)-770</f>
        <v>40504</v>
      </c>
      <c r="D6375" s="8" t="str">
        <f t="shared" si="117"/>
        <v>2010-11 (ноябрь 2010)</v>
      </c>
      <c r="E6375" s="9" t="s">
        <v>30</v>
      </c>
      <c r="F6375" s="7">
        <v>13</v>
      </c>
      <c r="G6375" s="7">
        <v>142.12</v>
      </c>
      <c r="H6375" s="7">
        <v>0.01</v>
      </c>
      <c r="I6375" s="9" t="s">
        <v>56</v>
      </c>
      <c r="J6375" s="10">
        <v>54.91</v>
      </c>
      <c r="K6375" s="11">
        <v>9.7799999999999994</v>
      </c>
      <c r="L6375" s="11">
        <v>1.39</v>
      </c>
      <c r="M6375" s="9" t="s">
        <v>1948</v>
      </c>
      <c r="N6375" s="6" t="s">
        <v>1813</v>
      </c>
      <c r="O6375" s="6" t="s">
        <v>512</v>
      </c>
      <c r="P6375" s="9" t="s">
        <v>41</v>
      </c>
      <c r="Q6375" s="9" t="s">
        <v>26</v>
      </c>
      <c r="R6375" s="9" t="s">
        <v>76</v>
      </c>
      <c r="S6375" s="7" t="s">
        <v>571</v>
      </c>
      <c r="T6375" s="9" t="s">
        <v>39</v>
      </c>
      <c r="U6375" s="7">
        <v>0.39</v>
      </c>
      <c r="V6375" s="12">
        <f>C6375+2</f>
        <v>40506</v>
      </c>
      <c r="W6375">
        <f>IF(D6375=' Pivot Tables'!$A$4,1,0)</f>
        <v>0</v>
      </c>
      <c r="X6375">
        <f>IF(AND(LEFT(D6375,4)+1=LEFT(' Pivot Tables'!$A$4,4)+0,RIGHT(LEFT(D6375,7),2)=RIGHT(LEFT(' Pivot Tables'!$A$4,7),2)),1,0)</f>
        <v>0</v>
      </c>
      <c r="Y6375" s="6">
        <f>1/COUNTIF(Таблица1[Order ID],Таблица1[[#This Row],[Order ID]])</f>
        <v>0.5</v>
      </c>
      <c r="Z6375" s="9">
        <f>1/COUNTIFS(Таблица1[Customer Name],Таблица1[[#This Row],[Customer Name]],Таблица1[Order-Year-Month],Таблица1[[#This Row],[Order-Year-Month]])</f>
        <v>0.5</v>
      </c>
    </row>
    <row r="6376" spans="1:26" x14ac:dyDescent="0.2">
      <c r="A6376" s="6">
        <v>5830</v>
      </c>
      <c r="B6376" s="7">
        <v>41351</v>
      </c>
      <c r="C6376" s="8">
        <f>DATE(2012,12,31)-830</f>
        <v>40444</v>
      </c>
      <c r="D6376" s="8" t="str">
        <f t="shared" si="117"/>
        <v>2010-09 (сентябрь 2010)</v>
      </c>
      <c r="E6376" s="9" t="s">
        <v>45</v>
      </c>
      <c r="F6376" s="7">
        <v>48</v>
      </c>
      <c r="G6376" s="7">
        <v>8273.2795000000006</v>
      </c>
      <c r="H6376" s="7">
        <v>0.08</v>
      </c>
      <c r="I6376" s="9" t="s">
        <v>22</v>
      </c>
      <c r="J6376" s="10">
        <v>2461.3110000000001</v>
      </c>
      <c r="K6376" s="11">
        <v>205.99</v>
      </c>
      <c r="L6376" s="11">
        <v>8.99</v>
      </c>
      <c r="M6376" s="9" t="s">
        <v>2007</v>
      </c>
      <c r="N6376" s="6" t="s">
        <v>1813</v>
      </c>
      <c r="O6376" s="6" t="s">
        <v>512</v>
      </c>
      <c r="P6376" s="9" t="s">
        <v>33</v>
      </c>
      <c r="Q6376" s="9" t="s">
        <v>42</v>
      </c>
      <c r="R6376" s="9" t="s">
        <v>43</v>
      </c>
      <c r="S6376" s="7" t="s">
        <v>1444</v>
      </c>
      <c r="T6376" s="9" t="s">
        <v>39</v>
      </c>
      <c r="U6376" s="7">
        <v>0.56000000000000005</v>
      </c>
      <c r="V6376" s="12">
        <f>C6376+1</f>
        <v>40445</v>
      </c>
      <c r="W6376">
        <f>IF(D6376=' Pivot Tables'!$A$4,1,0)</f>
        <v>0</v>
      </c>
      <c r="X6376">
        <f>IF(AND(LEFT(D6376,4)+1=LEFT(' Pivot Tables'!$A$4,4)+0,RIGHT(LEFT(D6376,7),2)=RIGHT(LEFT(' Pivot Tables'!$A$4,7),2)),1,0)</f>
        <v>0</v>
      </c>
      <c r="Y6376" s="6">
        <f>1/COUNTIF(Таблица1[Order ID],Таблица1[[#This Row],[Order ID]])</f>
        <v>1</v>
      </c>
      <c r="Z6376" s="9">
        <f>1/COUNTIFS(Таблица1[Customer Name],Таблица1[[#This Row],[Customer Name]],Таблица1[Order-Year-Month],Таблица1[[#This Row],[Order-Year-Month]])</f>
        <v>1</v>
      </c>
    </row>
    <row r="6377" spans="1:26" x14ac:dyDescent="0.2">
      <c r="A6377" s="6">
        <v>5861</v>
      </c>
      <c r="B6377" s="7">
        <v>41605</v>
      </c>
      <c r="C6377" s="8">
        <f>DATE(2012,12,31)-737</f>
        <v>40537</v>
      </c>
      <c r="D6377" s="8" t="str">
        <f t="shared" si="117"/>
        <v>2010-12 (декабрь 2010)</v>
      </c>
      <c r="E6377" s="9" t="s">
        <v>63</v>
      </c>
      <c r="F6377" s="7">
        <v>4</v>
      </c>
      <c r="G6377" s="7">
        <v>114.57</v>
      </c>
      <c r="H6377" s="7">
        <v>0.02</v>
      </c>
      <c r="I6377" s="9" t="s">
        <v>22</v>
      </c>
      <c r="J6377" s="10">
        <v>-29.980499999999999</v>
      </c>
      <c r="K6377" s="11">
        <v>24.92</v>
      </c>
      <c r="L6377" s="11">
        <v>12.98</v>
      </c>
      <c r="M6377" s="9" t="s">
        <v>1713</v>
      </c>
      <c r="N6377" s="6" t="s">
        <v>1813</v>
      </c>
      <c r="O6377" s="6" t="s">
        <v>512</v>
      </c>
      <c r="P6377" s="9" t="s">
        <v>25</v>
      </c>
      <c r="Q6377" s="9" t="s">
        <v>26</v>
      </c>
      <c r="R6377" s="9" t="s">
        <v>37</v>
      </c>
      <c r="S6377" s="7" t="s">
        <v>319</v>
      </c>
      <c r="T6377" s="9" t="s">
        <v>39</v>
      </c>
      <c r="U6377" s="7">
        <v>0.39</v>
      </c>
      <c r="V6377" s="12">
        <f>C6377+1</f>
        <v>40538</v>
      </c>
      <c r="W6377">
        <f>IF(D6377=' Pivot Tables'!$A$4,1,0)</f>
        <v>0</v>
      </c>
      <c r="X6377">
        <f>IF(AND(LEFT(D6377,4)+1=LEFT(' Pivot Tables'!$A$4,4)+0,RIGHT(LEFT(D6377,7),2)=RIGHT(LEFT(' Pivot Tables'!$A$4,7),2)),1,0)</f>
        <v>0</v>
      </c>
      <c r="Y6377" s="6">
        <f>1/COUNTIF(Таблица1[Order ID],Таблица1[[#This Row],[Order ID]])</f>
        <v>1</v>
      </c>
      <c r="Z6377" s="9">
        <f>1/COUNTIFS(Таблица1[Customer Name],Таблица1[[#This Row],[Customer Name]],Таблица1[Order-Year-Month],Таблица1[[#This Row],[Order-Year-Month]])</f>
        <v>1</v>
      </c>
    </row>
    <row r="6378" spans="1:26" x14ac:dyDescent="0.2">
      <c r="A6378" s="6">
        <v>5875</v>
      </c>
      <c r="B6378" s="7">
        <v>41667</v>
      </c>
      <c r="C6378" s="8">
        <f>DATE(2012,12,31)-194</f>
        <v>41080</v>
      </c>
      <c r="D6378" s="8" t="str">
        <f t="shared" si="117"/>
        <v>2012-06 (июнь 2012)</v>
      </c>
      <c r="E6378" s="9" t="s">
        <v>30</v>
      </c>
      <c r="F6378" s="7">
        <v>18</v>
      </c>
      <c r="G6378" s="7">
        <v>1062.2194999999999</v>
      </c>
      <c r="H6378" s="7">
        <v>0.03</v>
      </c>
      <c r="I6378" s="9" t="s">
        <v>22</v>
      </c>
      <c r="J6378" s="10">
        <v>132.37200000000001</v>
      </c>
      <c r="K6378" s="11">
        <v>65.989999999999995</v>
      </c>
      <c r="L6378" s="11">
        <v>5.31</v>
      </c>
      <c r="M6378" s="9" t="s">
        <v>1982</v>
      </c>
      <c r="N6378" s="6" t="s">
        <v>1813</v>
      </c>
      <c r="O6378" s="6" t="s">
        <v>512</v>
      </c>
      <c r="P6378" s="9" t="s">
        <v>25</v>
      </c>
      <c r="Q6378" s="9" t="s">
        <v>42</v>
      </c>
      <c r="R6378" s="9" t="s">
        <v>43</v>
      </c>
      <c r="S6378" s="7" t="s">
        <v>430</v>
      </c>
      <c r="T6378" s="9" t="s">
        <v>39</v>
      </c>
      <c r="U6378" s="7">
        <v>0.56999999999999995</v>
      </c>
      <c r="V6378" s="12">
        <f>C6378+3</f>
        <v>41083</v>
      </c>
      <c r="W6378">
        <f>IF(D6378=' Pivot Tables'!$A$4,1,0)</f>
        <v>0</v>
      </c>
      <c r="X6378">
        <f>IF(AND(LEFT(D6378,4)+1=LEFT(' Pivot Tables'!$A$4,4)+0,RIGHT(LEFT(D6378,7),2)=RIGHT(LEFT(' Pivot Tables'!$A$4,7),2)),1,0)</f>
        <v>0</v>
      </c>
      <c r="Y6378" s="6">
        <f>1/COUNTIF(Таблица1[Order ID],Таблица1[[#This Row],[Order ID]])</f>
        <v>1</v>
      </c>
      <c r="Z6378" s="9">
        <f>1/COUNTIFS(Таблица1[Customer Name],Таблица1[[#This Row],[Customer Name]],Таблица1[Order-Year-Month],Таблица1[[#This Row],[Order-Year-Month]])</f>
        <v>1</v>
      </c>
    </row>
    <row r="6379" spans="1:26" x14ac:dyDescent="0.2">
      <c r="A6379" s="6">
        <v>6068</v>
      </c>
      <c r="B6379" s="7">
        <v>42982</v>
      </c>
      <c r="C6379" s="8">
        <f>DATE(2012,12,31)-157</f>
        <v>41117</v>
      </c>
      <c r="D6379" s="8" t="str">
        <f t="shared" si="117"/>
        <v>2012-07 (июль 2012)</v>
      </c>
      <c r="E6379" s="9" t="s">
        <v>21</v>
      </c>
      <c r="F6379" s="7">
        <v>12</v>
      </c>
      <c r="G6379" s="7">
        <v>1318.34</v>
      </c>
      <c r="H6379" s="7">
        <v>0.02</v>
      </c>
      <c r="I6379" s="9" t="s">
        <v>56</v>
      </c>
      <c r="J6379" s="10">
        <v>464.05</v>
      </c>
      <c r="K6379" s="11">
        <v>105.34</v>
      </c>
      <c r="L6379" s="11">
        <v>24.49</v>
      </c>
      <c r="M6379" s="9" t="s">
        <v>2009</v>
      </c>
      <c r="N6379" s="6" t="s">
        <v>1813</v>
      </c>
      <c r="O6379" s="6" t="s">
        <v>512</v>
      </c>
      <c r="P6379" s="9" t="s">
        <v>33</v>
      </c>
      <c r="Q6379" s="9" t="s">
        <v>49</v>
      </c>
      <c r="R6379" s="9" t="s">
        <v>50</v>
      </c>
      <c r="S6379" s="7" t="s">
        <v>201</v>
      </c>
      <c r="T6379" s="9" t="s">
        <v>29</v>
      </c>
      <c r="U6379" s="7">
        <v>0.61</v>
      </c>
      <c r="V6379" s="12">
        <f>C6379+9</f>
        <v>41126</v>
      </c>
      <c r="W6379">
        <f>IF(D6379=' Pivot Tables'!$A$4,1,0)</f>
        <v>0</v>
      </c>
      <c r="X6379">
        <f>IF(AND(LEFT(D6379,4)+1=LEFT(' Pivot Tables'!$A$4,4)+0,RIGHT(LEFT(D6379,7),2)=RIGHT(LEFT(' Pivot Tables'!$A$4,7),2)),1,0)</f>
        <v>0</v>
      </c>
      <c r="Y6379" s="6">
        <f>1/COUNTIF(Таблица1[Order ID],Таблица1[[#This Row],[Order ID]])</f>
        <v>0.5</v>
      </c>
      <c r="Z6379" s="9">
        <f>1/COUNTIFS(Таблица1[Customer Name],Таблица1[[#This Row],[Customer Name]],Таблица1[Order-Year-Month],Таблица1[[#This Row],[Order-Year-Month]])</f>
        <v>0.5</v>
      </c>
    </row>
    <row r="6380" spans="1:26" x14ac:dyDescent="0.2">
      <c r="A6380" s="6">
        <v>6172</v>
      </c>
      <c r="B6380" s="7">
        <v>43745</v>
      </c>
      <c r="C6380" s="8">
        <f>DATE(2012,12,31)-791</f>
        <v>40483</v>
      </c>
      <c r="D6380" s="8" t="str">
        <f t="shared" si="117"/>
        <v>2010-11 (ноябрь 2010)</v>
      </c>
      <c r="E6380" s="9" t="s">
        <v>21</v>
      </c>
      <c r="F6380" s="7">
        <v>5</v>
      </c>
      <c r="G6380" s="7">
        <v>128.59</v>
      </c>
      <c r="H6380" s="7">
        <v>7.0000000000000007E-2</v>
      </c>
      <c r="I6380" s="9" t="s">
        <v>22</v>
      </c>
      <c r="J6380" s="10">
        <v>-15.17</v>
      </c>
      <c r="K6380" s="11">
        <v>25.98</v>
      </c>
      <c r="L6380" s="11">
        <v>5.37</v>
      </c>
      <c r="M6380" s="9" t="s">
        <v>1692</v>
      </c>
      <c r="N6380" s="6" t="s">
        <v>1813</v>
      </c>
      <c r="O6380" s="6" t="s">
        <v>512</v>
      </c>
      <c r="P6380" s="9" t="s">
        <v>41</v>
      </c>
      <c r="Q6380" s="9" t="s">
        <v>26</v>
      </c>
      <c r="R6380" s="9" t="s">
        <v>34</v>
      </c>
      <c r="S6380" s="7" t="s">
        <v>167</v>
      </c>
      <c r="T6380" s="9" t="s">
        <v>48</v>
      </c>
      <c r="U6380" s="7">
        <v>0.5</v>
      </c>
      <c r="V6380" s="12">
        <f>C6380+7</f>
        <v>40490</v>
      </c>
      <c r="W6380">
        <f>IF(D6380=' Pivot Tables'!$A$4,1,0)</f>
        <v>0</v>
      </c>
      <c r="X6380">
        <f>IF(AND(LEFT(D6380,4)+1=LEFT(' Pivot Tables'!$A$4,4)+0,RIGHT(LEFT(D6380,7),2)=RIGHT(LEFT(' Pivot Tables'!$A$4,7),2)),1,0)</f>
        <v>0</v>
      </c>
      <c r="Y6380" s="6">
        <f>1/COUNTIF(Таблица1[Order ID],Таблица1[[#This Row],[Order ID]])</f>
        <v>0.16666666666666666</v>
      </c>
      <c r="Z6380" s="9">
        <f>1/COUNTIFS(Таблица1[Customer Name],Таблица1[[#This Row],[Customer Name]],Таблица1[Order-Year-Month],Таблица1[[#This Row],[Order-Year-Month]])</f>
        <v>0.16666666666666666</v>
      </c>
    </row>
    <row r="6381" spans="1:26" x14ac:dyDescent="0.2">
      <c r="A6381" s="6">
        <v>6173</v>
      </c>
      <c r="B6381" s="7">
        <v>43745</v>
      </c>
      <c r="C6381" s="8">
        <f>DATE(2012,12,31)-791</f>
        <v>40483</v>
      </c>
      <c r="D6381" s="8" t="str">
        <f t="shared" si="117"/>
        <v>2010-11 (ноябрь 2010)</v>
      </c>
      <c r="E6381" s="9" t="s">
        <v>21</v>
      </c>
      <c r="F6381" s="7">
        <v>1</v>
      </c>
      <c r="G6381" s="7">
        <v>4.97</v>
      </c>
      <c r="H6381" s="7">
        <v>0.04</v>
      </c>
      <c r="I6381" s="9" t="s">
        <v>22</v>
      </c>
      <c r="J6381" s="10">
        <v>-4.91</v>
      </c>
      <c r="K6381" s="11">
        <v>3.55</v>
      </c>
      <c r="L6381" s="11">
        <v>1.43</v>
      </c>
      <c r="M6381" s="9" t="s">
        <v>1692</v>
      </c>
      <c r="N6381" s="6" t="s">
        <v>1813</v>
      </c>
      <c r="O6381" s="6" t="s">
        <v>512</v>
      </c>
      <c r="P6381" s="9" t="s">
        <v>41</v>
      </c>
      <c r="Q6381" s="9" t="s">
        <v>26</v>
      </c>
      <c r="R6381" s="9" t="s">
        <v>66</v>
      </c>
      <c r="S6381" s="7" t="s">
        <v>2010</v>
      </c>
      <c r="T6381" s="9" t="s">
        <v>68</v>
      </c>
      <c r="U6381" s="7">
        <v>0.38</v>
      </c>
      <c r="V6381" s="12">
        <f>C6381+4</f>
        <v>40487</v>
      </c>
      <c r="W6381">
        <f>IF(D6381=' Pivot Tables'!$A$4,1,0)</f>
        <v>0</v>
      </c>
      <c r="X6381">
        <f>IF(AND(LEFT(D6381,4)+1=LEFT(' Pivot Tables'!$A$4,4)+0,RIGHT(LEFT(D6381,7),2)=RIGHT(LEFT(' Pivot Tables'!$A$4,7),2)),1,0)</f>
        <v>0</v>
      </c>
      <c r="Y6381" s="6">
        <f>1/COUNTIF(Таблица1[Order ID],Таблица1[[#This Row],[Order ID]])</f>
        <v>0.16666666666666666</v>
      </c>
      <c r="Z6381" s="9">
        <f>1/COUNTIFS(Таблица1[Customer Name],Таблица1[[#This Row],[Customer Name]],Таблица1[Order-Year-Month],Таблица1[[#This Row],[Order-Year-Month]])</f>
        <v>0.16666666666666666</v>
      </c>
    </row>
    <row r="6382" spans="1:26" x14ac:dyDescent="0.2">
      <c r="A6382" s="6">
        <v>6234</v>
      </c>
      <c r="B6382" s="7">
        <v>44167</v>
      </c>
      <c r="C6382" s="8">
        <f>DATE(2012,12,31)-336</f>
        <v>40938</v>
      </c>
      <c r="D6382" s="8" t="str">
        <f t="shared" si="117"/>
        <v>2012-01 (январь 2012)</v>
      </c>
      <c r="E6382" s="9" t="s">
        <v>78</v>
      </c>
      <c r="F6382" s="7">
        <v>23</v>
      </c>
      <c r="G6382" s="7">
        <v>3194.05</v>
      </c>
      <c r="H6382" s="7">
        <v>0.08</v>
      </c>
      <c r="I6382" s="9" t="s">
        <v>22</v>
      </c>
      <c r="J6382" s="10">
        <v>608.52</v>
      </c>
      <c r="K6382" s="11">
        <v>142.86000000000001</v>
      </c>
      <c r="L6382" s="11">
        <v>19.989999999999998</v>
      </c>
      <c r="M6382" s="9" t="s">
        <v>1999</v>
      </c>
      <c r="N6382" s="6" t="s">
        <v>1813</v>
      </c>
      <c r="O6382" s="6" t="s">
        <v>512</v>
      </c>
      <c r="P6382" s="9" t="s">
        <v>25</v>
      </c>
      <c r="Q6382" s="9" t="s">
        <v>26</v>
      </c>
      <c r="R6382" s="9" t="s">
        <v>27</v>
      </c>
      <c r="S6382" s="7" t="s">
        <v>887</v>
      </c>
      <c r="T6382" s="9" t="s">
        <v>39</v>
      </c>
      <c r="U6382" s="7">
        <v>0.56000000000000005</v>
      </c>
      <c r="V6382" s="12">
        <f>C6382+1</f>
        <v>40939</v>
      </c>
      <c r="W6382">
        <f>IF(D6382=' Pivot Tables'!$A$4,1,0)</f>
        <v>0</v>
      </c>
      <c r="X6382">
        <f>IF(AND(LEFT(D6382,4)+1=LEFT(' Pivot Tables'!$A$4,4)+0,RIGHT(LEFT(D6382,7),2)=RIGHT(LEFT(' Pivot Tables'!$A$4,7),2)),1,0)</f>
        <v>0</v>
      </c>
      <c r="Y6382" s="6">
        <f>1/COUNTIF(Таблица1[Order ID],Таблица1[[#This Row],[Order ID]])</f>
        <v>1</v>
      </c>
      <c r="Z6382" s="9">
        <f>1/COUNTIFS(Таблица1[Customer Name],Таблица1[[#This Row],[Customer Name]],Таблица1[Order-Year-Month],Таблица1[[#This Row],[Order-Year-Month]])</f>
        <v>1</v>
      </c>
    </row>
    <row r="6383" spans="1:26" x14ac:dyDescent="0.2">
      <c r="A6383" s="6">
        <v>6349</v>
      </c>
      <c r="B6383" s="7">
        <v>44997</v>
      </c>
      <c r="C6383" s="8">
        <f>DATE(2012,12,31)-460</f>
        <v>40814</v>
      </c>
      <c r="D6383" s="8" t="str">
        <f t="shared" si="117"/>
        <v>2011-09 (сентябрь 2011)</v>
      </c>
      <c r="E6383" s="9" t="s">
        <v>21</v>
      </c>
      <c r="F6383" s="7">
        <v>46</v>
      </c>
      <c r="G6383" s="7">
        <v>88.1</v>
      </c>
      <c r="H6383" s="7">
        <v>0.03</v>
      </c>
      <c r="I6383" s="9" t="s">
        <v>22</v>
      </c>
      <c r="J6383" s="10">
        <v>-161.61000000000001</v>
      </c>
      <c r="K6383" s="11">
        <v>1.76</v>
      </c>
      <c r="L6383" s="11">
        <v>4.8600000000000003</v>
      </c>
      <c r="M6383" s="9" t="s">
        <v>2007</v>
      </c>
      <c r="N6383" s="6" t="s">
        <v>1813</v>
      </c>
      <c r="O6383" s="6" t="s">
        <v>512</v>
      </c>
      <c r="P6383" s="9" t="s">
        <v>33</v>
      </c>
      <c r="Q6383" s="9" t="s">
        <v>49</v>
      </c>
      <c r="R6383" s="9" t="s">
        <v>50</v>
      </c>
      <c r="S6383" s="7" t="s">
        <v>1607</v>
      </c>
      <c r="T6383" s="9" t="s">
        <v>39</v>
      </c>
      <c r="U6383" s="7">
        <v>0.41</v>
      </c>
      <c r="V6383" s="12">
        <f>C6383+4</f>
        <v>40818</v>
      </c>
      <c r="W6383">
        <f>IF(D6383=' Pivot Tables'!$A$4,1,0)</f>
        <v>0</v>
      </c>
      <c r="X6383">
        <f>IF(AND(LEFT(D6383,4)+1=LEFT(' Pivot Tables'!$A$4,4)+0,RIGHT(LEFT(D6383,7),2)=RIGHT(LEFT(' Pivot Tables'!$A$4,7),2)),1,0)</f>
        <v>0</v>
      </c>
      <c r="Y6383" s="6">
        <f>1/COUNTIF(Таблица1[Order ID],Таблица1[[#This Row],[Order ID]])</f>
        <v>1</v>
      </c>
      <c r="Z6383" s="9">
        <f>1/COUNTIFS(Таблица1[Customer Name],Таблица1[[#This Row],[Customer Name]],Таблица1[Order-Year-Month],Таблица1[[#This Row],[Order-Year-Month]])</f>
        <v>1</v>
      </c>
    </row>
    <row r="6384" spans="1:26" x14ac:dyDescent="0.2">
      <c r="A6384" s="6">
        <v>6392</v>
      </c>
      <c r="B6384" s="7">
        <v>45408</v>
      </c>
      <c r="C6384" s="8">
        <f>DATE(2012,12,31)-736</f>
        <v>40538</v>
      </c>
      <c r="D6384" s="8" t="str">
        <f t="shared" si="117"/>
        <v>2010-12 (декабрь 2010)</v>
      </c>
      <c r="E6384" s="9" t="s">
        <v>21</v>
      </c>
      <c r="F6384" s="7">
        <v>25</v>
      </c>
      <c r="G6384" s="7">
        <v>716.99</v>
      </c>
      <c r="H6384" s="7">
        <v>0.05</v>
      </c>
      <c r="I6384" s="9" t="s">
        <v>22</v>
      </c>
      <c r="J6384" s="10">
        <v>174.06</v>
      </c>
      <c r="K6384" s="11">
        <v>29.89</v>
      </c>
      <c r="L6384" s="11">
        <v>1.99</v>
      </c>
      <c r="M6384" s="9" t="s">
        <v>1644</v>
      </c>
      <c r="N6384" s="6" t="s">
        <v>1813</v>
      </c>
      <c r="O6384" s="6" t="s">
        <v>512</v>
      </c>
      <c r="P6384" s="9" t="s">
        <v>60</v>
      </c>
      <c r="Q6384" s="9" t="s">
        <v>42</v>
      </c>
      <c r="R6384" s="9" t="s">
        <v>70</v>
      </c>
      <c r="S6384" s="7" t="s">
        <v>547</v>
      </c>
      <c r="T6384" s="9" t="s">
        <v>52</v>
      </c>
      <c r="U6384" s="7">
        <v>0.5</v>
      </c>
      <c r="V6384" s="12">
        <f>C6384+22</f>
        <v>40560</v>
      </c>
      <c r="W6384">
        <f>IF(D6384=' Pivot Tables'!$A$4,1,0)</f>
        <v>0</v>
      </c>
      <c r="X6384">
        <f>IF(AND(LEFT(D6384,4)+1=LEFT(' Pivot Tables'!$A$4,4)+0,RIGHT(LEFT(D6384,7),2)=RIGHT(LEFT(' Pivot Tables'!$A$4,7),2)),1,0)</f>
        <v>0</v>
      </c>
      <c r="Y6384" s="6">
        <f>1/COUNTIF(Таблица1[Order ID],Таблица1[[#This Row],[Order ID]])</f>
        <v>1</v>
      </c>
      <c r="Z6384" s="9">
        <f>1/COUNTIFS(Таблица1[Customer Name],Таблица1[[#This Row],[Customer Name]],Таблица1[Order-Year-Month],Таблица1[[#This Row],[Order-Year-Month]])</f>
        <v>1</v>
      </c>
    </row>
    <row r="6385" spans="1:26" x14ac:dyDescent="0.2">
      <c r="A6385" s="6">
        <v>6449</v>
      </c>
      <c r="B6385" s="7">
        <v>45924</v>
      </c>
      <c r="C6385" s="8">
        <f>DATE(2012,12,31)-741</f>
        <v>40533</v>
      </c>
      <c r="D6385" s="8" t="str">
        <f t="shared" si="117"/>
        <v>2010-12 (декабрь 2010)</v>
      </c>
      <c r="E6385" s="9" t="s">
        <v>21</v>
      </c>
      <c r="F6385" s="7">
        <v>1</v>
      </c>
      <c r="G6385" s="7">
        <v>27.44</v>
      </c>
      <c r="H6385" s="7">
        <v>0.02</v>
      </c>
      <c r="I6385" s="9" t="s">
        <v>22</v>
      </c>
      <c r="J6385" s="10">
        <v>-11.7645</v>
      </c>
      <c r="K6385" s="11">
        <v>24.95</v>
      </c>
      <c r="L6385" s="11">
        <v>2.99</v>
      </c>
      <c r="M6385" s="9" t="s">
        <v>1692</v>
      </c>
      <c r="N6385" s="6" t="s">
        <v>1813</v>
      </c>
      <c r="O6385" s="6" t="s">
        <v>512</v>
      </c>
      <c r="P6385" s="9" t="s">
        <v>41</v>
      </c>
      <c r="Q6385" s="9" t="s">
        <v>26</v>
      </c>
      <c r="R6385" s="9" t="s">
        <v>37</v>
      </c>
      <c r="S6385" s="7" t="s">
        <v>1390</v>
      </c>
      <c r="T6385" s="9" t="s">
        <v>39</v>
      </c>
      <c r="U6385" s="7">
        <v>0.39</v>
      </c>
      <c r="V6385" s="12">
        <f>C6385+5</f>
        <v>40538</v>
      </c>
      <c r="W6385">
        <f>IF(D6385=' Pivot Tables'!$A$4,1,0)</f>
        <v>0</v>
      </c>
      <c r="X6385">
        <f>IF(AND(LEFT(D6385,4)+1=LEFT(' Pivot Tables'!$A$4,4)+0,RIGHT(LEFT(D6385,7),2)=RIGHT(LEFT(' Pivot Tables'!$A$4,7),2)),1,0)</f>
        <v>0</v>
      </c>
      <c r="Y6385" s="6">
        <f>1/COUNTIF(Таблица1[Order ID],Таблица1[[#This Row],[Order ID]])</f>
        <v>1</v>
      </c>
      <c r="Z6385" s="9">
        <f>1/COUNTIFS(Таблица1[Customer Name],Таблица1[[#This Row],[Customer Name]],Таблица1[Order-Year-Month],Таблица1[[#This Row],[Order-Year-Month]])</f>
        <v>1</v>
      </c>
    </row>
    <row r="6386" spans="1:26" x14ac:dyDescent="0.2">
      <c r="A6386" s="6">
        <v>6548</v>
      </c>
      <c r="B6386" s="7">
        <v>46565</v>
      </c>
      <c r="C6386" s="8">
        <f>DATE(2012,12,31)-558</f>
        <v>40716</v>
      </c>
      <c r="D6386" s="8" t="str">
        <f t="shared" si="117"/>
        <v>2011-06 (июнь 2011)</v>
      </c>
      <c r="E6386" s="9" t="s">
        <v>45</v>
      </c>
      <c r="F6386" s="7">
        <v>16</v>
      </c>
      <c r="G6386" s="7">
        <v>4691.2700000000004</v>
      </c>
      <c r="H6386" s="7">
        <v>0.05</v>
      </c>
      <c r="I6386" s="9" t="s">
        <v>56</v>
      </c>
      <c r="J6386" s="10">
        <v>1196.72</v>
      </c>
      <c r="K6386" s="11">
        <v>300.64999999999998</v>
      </c>
      <c r="L6386" s="11">
        <v>24.49</v>
      </c>
      <c r="M6386" s="9" t="s">
        <v>1692</v>
      </c>
      <c r="N6386" s="6" t="s">
        <v>1813</v>
      </c>
      <c r="O6386" s="6" t="s">
        <v>512</v>
      </c>
      <c r="P6386" s="9" t="s">
        <v>60</v>
      </c>
      <c r="Q6386" s="9" t="s">
        <v>26</v>
      </c>
      <c r="R6386" s="9" t="s">
        <v>34</v>
      </c>
      <c r="S6386" s="7" t="s">
        <v>378</v>
      </c>
      <c r="T6386" s="9" t="s">
        <v>29</v>
      </c>
      <c r="U6386" s="7">
        <v>0.52</v>
      </c>
      <c r="V6386" s="12">
        <f>C6386+0</f>
        <v>40716</v>
      </c>
      <c r="W6386">
        <f>IF(D6386=' Pivot Tables'!$A$4,1,0)</f>
        <v>0</v>
      </c>
      <c r="X6386">
        <f>IF(AND(LEFT(D6386,4)+1=LEFT(' Pivot Tables'!$A$4,4)+0,RIGHT(LEFT(D6386,7),2)=RIGHT(LEFT(' Pivot Tables'!$A$4,7),2)),1,0)</f>
        <v>0</v>
      </c>
      <c r="Y6386" s="6">
        <f>1/COUNTIF(Таблица1[Order ID],Таблица1[[#This Row],[Order ID]])</f>
        <v>0.33333333333333331</v>
      </c>
      <c r="Z6386" s="9">
        <f>1/COUNTIFS(Таблица1[Customer Name],Таблица1[[#This Row],[Customer Name]],Таблица1[Order-Year-Month],Таблица1[[#This Row],[Order-Year-Month]])</f>
        <v>0.33333333333333331</v>
      </c>
    </row>
    <row r="6387" spans="1:26" x14ac:dyDescent="0.2">
      <c r="A6387" s="6">
        <v>6549</v>
      </c>
      <c r="B6387" s="7">
        <v>46565</v>
      </c>
      <c r="C6387" s="8">
        <f>DATE(2012,12,31)-558</f>
        <v>40716</v>
      </c>
      <c r="D6387" s="8" t="str">
        <f t="shared" si="117"/>
        <v>2011-06 (июнь 2011)</v>
      </c>
      <c r="E6387" s="9" t="s">
        <v>45</v>
      </c>
      <c r="F6387" s="7">
        <v>50</v>
      </c>
      <c r="G6387" s="7">
        <v>804.14</v>
      </c>
      <c r="H6387" s="7">
        <v>0.1</v>
      </c>
      <c r="I6387" s="9" t="s">
        <v>22</v>
      </c>
      <c r="J6387" s="10">
        <v>-25.27</v>
      </c>
      <c r="K6387" s="11">
        <v>17.670000000000002</v>
      </c>
      <c r="L6387" s="11">
        <v>8.99</v>
      </c>
      <c r="M6387" s="9" t="s">
        <v>1692</v>
      </c>
      <c r="N6387" s="6" t="s">
        <v>1813</v>
      </c>
      <c r="O6387" s="6" t="s">
        <v>512</v>
      </c>
      <c r="P6387" s="9" t="s">
        <v>60</v>
      </c>
      <c r="Q6387" s="9" t="s">
        <v>49</v>
      </c>
      <c r="R6387" s="9" t="s">
        <v>50</v>
      </c>
      <c r="S6387" s="7" t="s">
        <v>763</v>
      </c>
      <c r="T6387" s="9" t="s">
        <v>52</v>
      </c>
      <c r="U6387" s="7">
        <v>0.47</v>
      </c>
      <c r="V6387" s="12">
        <f>C6387+1</f>
        <v>40717</v>
      </c>
      <c r="W6387">
        <f>IF(D6387=' Pivot Tables'!$A$4,1,0)</f>
        <v>0</v>
      </c>
      <c r="X6387">
        <f>IF(AND(LEFT(D6387,4)+1=LEFT(' Pivot Tables'!$A$4,4)+0,RIGHT(LEFT(D6387,7),2)=RIGHT(LEFT(' Pivot Tables'!$A$4,7),2)),1,0)</f>
        <v>0</v>
      </c>
      <c r="Y6387" s="6">
        <f>1/COUNTIF(Таблица1[Order ID],Таблица1[[#This Row],[Order ID]])</f>
        <v>0.33333333333333331</v>
      </c>
      <c r="Z6387" s="9">
        <f>1/COUNTIFS(Таблица1[Customer Name],Таблица1[[#This Row],[Customer Name]],Таблица1[Order-Year-Month],Таблица1[[#This Row],[Order-Year-Month]])</f>
        <v>0.33333333333333331</v>
      </c>
    </row>
    <row r="6388" spans="1:26" x14ac:dyDescent="0.2">
      <c r="A6388" s="6">
        <v>6550</v>
      </c>
      <c r="B6388" s="7">
        <v>46565</v>
      </c>
      <c r="C6388" s="8">
        <f>DATE(2012,12,31)-558</f>
        <v>40716</v>
      </c>
      <c r="D6388" s="8" t="str">
        <f t="shared" si="117"/>
        <v>2011-06 (июнь 2011)</v>
      </c>
      <c r="E6388" s="9" t="s">
        <v>45</v>
      </c>
      <c r="F6388" s="7">
        <v>8</v>
      </c>
      <c r="G6388" s="7">
        <v>567.51</v>
      </c>
      <c r="H6388" s="7">
        <v>0.01</v>
      </c>
      <c r="I6388" s="9" t="s">
        <v>22</v>
      </c>
      <c r="J6388" s="10">
        <v>-255.55</v>
      </c>
      <c r="K6388" s="11">
        <v>64.650000000000006</v>
      </c>
      <c r="L6388" s="11">
        <v>35</v>
      </c>
      <c r="M6388" s="9" t="s">
        <v>1692</v>
      </c>
      <c r="N6388" s="6" t="s">
        <v>1813</v>
      </c>
      <c r="O6388" s="6" t="s">
        <v>512</v>
      </c>
      <c r="P6388" s="9" t="s">
        <v>60</v>
      </c>
      <c r="Q6388" s="9" t="s">
        <v>26</v>
      </c>
      <c r="R6388" s="9" t="s">
        <v>27</v>
      </c>
      <c r="S6388" s="7" t="s">
        <v>1060</v>
      </c>
      <c r="T6388" s="9" t="s">
        <v>29</v>
      </c>
      <c r="U6388" s="7">
        <v>0.8</v>
      </c>
      <c r="V6388" s="12">
        <f>C6388+2</f>
        <v>40718</v>
      </c>
      <c r="W6388">
        <f>IF(D6388=' Pivot Tables'!$A$4,1,0)</f>
        <v>0</v>
      </c>
      <c r="X6388">
        <f>IF(AND(LEFT(D6388,4)+1=LEFT(' Pivot Tables'!$A$4,4)+0,RIGHT(LEFT(D6388,7),2)=RIGHT(LEFT(' Pivot Tables'!$A$4,7),2)),1,0)</f>
        <v>0</v>
      </c>
      <c r="Y6388" s="6">
        <f>1/COUNTIF(Таблица1[Order ID],Таблица1[[#This Row],[Order ID]])</f>
        <v>0.33333333333333331</v>
      </c>
      <c r="Z6388" s="9">
        <f>1/COUNTIFS(Таблица1[Customer Name],Таблица1[[#This Row],[Customer Name]],Таблица1[Order-Year-Month],Таблица1[[#This Row],[Order-Year-Month]])</f>
        <v>0.33333333333333331</v>
      </c>
    </row>
    <row r="6389" spans="1:26" x14ac:dyDescent="0.2">
      <c r="A6389" s="6">
        <v>6593</v>
      </c>
      <c r="B6389" s="7">
        <v>46916</v>
      </c>
      <c r="C6389" s="8">
        <f>DATE(2012,12,31)-455</f>
        <v>40819</v>
      </c>
      <c r="D6389" s="8" t="str">
        <f t="shared" si="117"/>
        <v>2011-10 (октябрь 2011)</v>
      </c>
      <c r="E6389" s="9" t="s">
        <v>30</v>
      </c>
      <c r="F6389" s="7">
        <v>40</v>
      </c>
      <c r="G6389" s="7">
        <v>103.79</v>
      </c>
      <c r="H6389" s="7">
        <v>0.03</v>
      </c>
      <c r="I6389" s="9" t="s">
        <v>22</v>
      </c>
      <c r="J6389" s="10">
        <v>37.85</v>
      </c>
      <c r="K6389" s="11">
        <v>2.61</v>
      </c>
      <c r="L6389" s="11">
        <v>0.5</v>
      </c>
      <c r="M6389" s="9" t="s">
        <v>1713</v>
      </c>
      <c r="N6389" s="6" t="s">
        <v>1813</v>
      </c>
      <c r="O6389" s="6" t="s">
        <v>512</v>
      </c>
      <c r="P6389" s="9" t="s">
        <v>60</v>
      </c>
      <c r="Q6389" s="9" t="s">
        <v>26</v>
      </c>
      <c r="R6389" s="9" t="s">
        <v>88</v>
      </c>
      <c r="S6389" s="7" t="s">
        <v>528</v>
      </c>
      <c r="T6389" s="9" t="s">
        <v>39</v>
      </c>
      <c r="U6389" s="7">
        <v>0.39</v>
      </c>
      <c r="V6389" s="12">
        <f>C6389+2</f>
        <v>40821</v>
      </c>
      <c r="W6389">
        <f>IF(D6389=' Pivot Tables'!$A$4,1,0)</f>
        <v>0</v>
      </c>
      <c r="X6389">
        <f>IF(AND(LEFT(D6389,4)+1=LEFT(' Pivot Tables'!$A$4,4)+0,RIGHT(LEFT(D6389,7),2)=RIGHT(LEFT(' Pivot Tables'!$A$4,7),2)),1,0)</f>
        <v>0</v>
      </c>
      <c r="Y6389" s="6">
        <f>1/COUNTIF(Таблица1[Order ID],Таблица1[[#This Row],[Order ID]])</f>
        <v>0.33333333333333331</v>
      </c>
      <c r="Z6389" s="9">
        <f>1/COUNTIFS(Таблица1[Customer Name],Таблица1[[#This Row],[Customer Name]],Таблица1[Order-Year-Month],Таблица1[[#This Row],[Order-Year-Month]])</f>
        <v>0.25</v>
      </c>
    </row>
    <row r="6390" spans="1:26" x14ac:dyDescent="0.2">
      <c r="A6390" s="6">
        <v>6594</v>
      </c>
      <c r="B6390" s="7">
        <v>46916</v>
      </c>
      <c r="C6390" s="8">
        <f>DATE(2012,12,31)-455</f>
        <v>40819</v>
      </c>
      <c r="D6390" s="8" t="str">
        <f t="shared" si="117"/>
        <v>2011-10 (октябрь 2011)</v>
      </c>
      <c r="E6390" s="9" t="s">
        <v>30</v>
      </c>
      <c r="F6390" s="7">
        <v>40</v>
      </c>
      <c r="G6390" s="7">
        <v>2108.21</v>
      </c>
      <c r="H6390" s="7">
        <v>0.03</v>
      </c>
      <c r="I6390" s="9" t="s">
        <v>22</v>
      </c>
      <c r="J6390" s="10">
        <v>273.61</v>
      </c>
      <c r="K6390" s="11">
        <v>51.75</v>
      </c>
      <c r="L6390" s="11">
        <v>19.989999999999998</v>
      </c>
      <c r="M6390" s="9" t="s">
        <v>1713</v>
      </c>
      <c r="N6390" s="6" t="s">
        <v>1813</v>
      </c>
      <c r="O6390" s="6" t="s">
        <v>512</v>
      </c>
      <c r="P6390" s="9" t="s">
        <v>60</v>
      </c>
      <c r="Q6390" s="9" t="s">
        <v>49</v>
      </c>
      <c r="R6390" s="9" t="s">
        <v>50</v>
      </c>
      <c r="S6390" s="7" t="s">
        <v>293</v>
      </c>
      <c r="T6390" s="9" t="s">
        <v>39</v>
      </c>
      <c r="U6390" s="7">
        <v>0.55000000000000004</v>
      </c>
      <c r="V6390" s="12">
        <f>C6390+2</f>
        <v>40821</v>
      </c>
      <c r="W6390">
        <f>IF(D6390=' Pivot Tables'!$A$4,1,0)</f>
        <v>0</v>
      </c>
      <c r="X6390">
        <f>IF(AND(LEFT(D6390,4)+1=LEFT(' Pivot Tables'!$A$4,4)+0,RIGHT(LEFT(D6390,7),2)=RIGHT(LEFT(' Pivot Tables'!$A$4,7),2)),1,0)</f>
        <v>0</v>
      </c>
      <c r="Y6390" s="6">
        <f>1/COUNTIF(Таблица1[Order ID],Таблица1[[#This Row],[Order ID]])</f>
        <v>0.33333333333333331</v>
      </c>
      <c r="Z6390" s="9">
        <f>1/COUNTIFS(Таблица1[Customer Name],Таблица1[[#This Row],[Customer Name]],Таблица1[Order-Year-Month],Таблица1[[#This Row],[Order-Year-Month]])</f>
        <v>0.25</v>
      </c>
    </row>
    <row r="6391" spans="1:26" x14ac:dyDescent="0.2">
      <c r="A6391" s="6">
        <v>6634</v>
      </c>
      <c r="B6391" s="7">
        <v>47173</v>
      </c>
      <c r="C6391" s="8">
        <f>DATE(2012,12,31)-1217</f>
        <v>40057</v>
      </c>
      <c r="D6391" s="8" t="str">
        <f t="shared" si="117"/>
        <v>2009-09 (сентябрь 2009)</v>
      </c>
      <c r="E6391" s="9" t="s">
        <v>45</v>
      </c>
      <c r="F6391" s="7">
        <v>41</v>
      </c>
      <c r="G6391" s="7">
        <v>277.0745</v>
      </c>
      <c r="H6391" s="7">
        <v>0.03</v>
      </c>
      <c r="I6391" s="9" t="s">
        <v>22</v>
      </c>
      <c r="J6391" s="10">
        <v>-128.43600000000001</v>
      </c>
      <c r="K6391" s="11">
        <v>7.99</v>
      </c>
      <c r="L6391" s="11">
        <v>5.03</v>
      </c>
      <c r="M6391" s="9" t="s">
        <v>1948</v>
      </c>
      <c r="N6391" s="6" t="s">
        <v>1813</v>
      </c>
      <c r="O6391" s="6" t="s">
        <v>512</v>
      </c>
      <c r="P6391" s="9" t="s">
        <v>41</v>
      </c>
      <c r="Q6391" s="9" t="s">
        <v>42</v>
      </c>
      <c r="R6391" s="9" t="s">
        <v>43</v>
      </c>
      <c r="S6391" s="7" t="s">
        <v>140</v>
      </c>
      <c r="T6391" s="9" t="s">
        <v>48</v>
      </c>
      <c r="U6391" s="7">
        <v>0.6</v>
      </c>
      <c r="V6391" s="12">
        <f>C6391+2</f>
        <v>40059</v>
      </c>
      <c r="W6391">
        <f>IF(D6391=' Pivot Tables'!$A$4,1,0)</f>
        <v>0</v>
      </c>
      <c r="X6391">
        <f>IF(AND(LEFT(D6391,4)+1=LEFT(' Pivot Tables'!$A$4,4)+0,RIGHT(LEFT(D6391,7),2)=RIGHT(LEFT(' Pivot Tables'!$A$4,7),2)),1,0)</f>
        <v>0</v>
      </c>
      <c r="Y6391" s="6">
        <f>1/COUNTIF(Таблица1[Order ID],Таблица1[[#This Row],[Order ID]])</f>
        <v>1</v>
      </c>
      <c r="Z6391" s="9">
        <f>1/COUNTIFS(Таблица1[Customer Name],Таблица1[[#This Row],[Customer Name]],Таблица1[Order-Year-Month],Таблица1[[#This Row],[Order-Year-Month]])</f>
        <v>0.5</v>
      </c>
    </row>
    <row r="6392" spans="1:26" x14ac:dyDescent="0.2">
      <c r="A6392" s="6">
        <v>6649</v>
      </c>
      <c r="B6392" s="7">
        <v>47271</v>
      </c>
      <c r="C6392" s="8">
        <f>DATE(2012,12,31)-522</f>
        <v>40752</v>
      </c>
      <c r="D6392" s="8" t="str">
        <f t="shared" si="117"/>
        <v>2011-07 (июль 2011)</v>
      </c>
      <c r="E6392" s="9" t="s">
        <v>63</v>
      </c>
      <c r="F6392" s="7">
        <v>44</v>
      </c>
      <c r="G6392" s="7">
        <v>221.42</v>
      </c>
      <c r="H6392" s="7">
        <v>0.03</v>
      </c>
      <c r="I6392" s="9" t="s">
        <v>22</v>
      </c>
      <c r="J6392" s="10">
        <v>-142.02000000000001</v>
      </c>
      <c r="K6392" s="11">
        <v>4.9800000000000004</v>
      </c>
      <c r="L6392" s="11">
        <v>4.62</v>
      </c>
      <c r="M6392" s="9" t="s">
        <v>1158</v>
      </c>
      <c r="N6392" s="6" t="s">
        <v>1813</v>
      </c>
      <c r="O6392" s="6" t="s">
        <v>512</v>
      </c>
      <c r="P6392" s="9" t="s">
        <v>41</v>
      </c>
      <c r="Q6392" s="9" t="s">
        <v>42</v>
      </c>
      <c r="R6392" s="9" t="s">
        <v>70</v>
      </c>
      <c r="S6392" s="7" t="s">
        <v>402</v>
      </c>
      <c r="T6392" s="9" t="s">
        <v>52</v>
      </c>
      <c r="U6392" s="7">
        <v>0.64</v>
      </c>
      <c r="V6392" s="12">
        <f>C6392+1</f>
        <v>40753</v>
      </c>
      <c r="W6392">
        <f>IF(D6392=' Pivot Tables'!$A$4,1,0)</f>
        <v>0</v>
      </c>
      <c r="X6392">
        <f>IF(AND(LEFT(D6392,4)+1=LEFT(' Pivot Tables'!$A$4,4)+0,RIGHT(LEFT(D6392,7),2)=RIGHT(LEFT(' Pivot Tables'!$A$4,7),2)),1,0)</f>
        <v>0</v>
      </c>
      <c r="Y6392" s="6">
        <f>1/COUNTIF(Таблица1[Order ID],Таблица1[[#This Row],[Order ID]])</f>
        <v>1</v>
      </c>
      <c r="Z6392" s="9">
        <f>1/COUNTIFS(Таблица1[Customer Name],Таблица1[[#This Row],[Customer Name]],Таблица1[Order-Year-Month],Таблица1[[#This Row],[Order-Year-Month]])</f>
        <v>1</v>
      </c>
    </row>
    <row r="6393" spans="1:26" x14ac:dyDescent="0.2">
      <c r="A6393" s="6">
        <v>6712</v>
      </c>
      <c r="B6393" s="7">
        <v>47815</v>
      </c>
      <c r="C6393" s="8">
        <f>DATE(2012,12,31)-1</f>
        <v>41273</v>
      </c>
      <c r="D6393" s="8" t="str">
        <f t="shared" si="117"/>
        <v>2012-12 (декабрь 2012)</v>
      </c>
      <c r="E6393" s="9" t="s">
        <v>45</v>
      </c>
      <c r="F6393" s="7">
        <v>45</v>
      </c>
      <c r="G6393" s="7">
        <v>580.96</v>
      </c>
      <c r="H6393" s="7">
        <v>0.08</v>
      </c>
      <c r="I6393" s="9" t="s">
        <v>22</v>
      </c>
      <c r="J6393" s="10">
        <v>-33.47</v>
      </c>
      <c r="K6393" s="11">
        <v>13.73</v>
      </c>
      <c r="L6393" s="11">
        <v>6.85</v>
      </c>
      <c r="M6393" s="9" t="s">
        <v>1999</v>
      </c>
      <c r="N6393" s="6" t="s">
        <v>1813</v>
      </c>
      <c r="O6393" s="6" t="s">
        <v>512</v>
      </c>
      <c r="P6393" s="9" t="s">
        <v>25</v>
      </c>
      <c r="Q6393" s="9" t="s">
        <v>49</v>
      </c>
      <c r="R6393" s="9" t="s">
        <v>50</v>
      </c>
      <c r="S6393" s="7" t="s">
        <v>1058</v>
      </c>
      <c r="T6393" s="9" t="s">
        <v>68</v>
      </c>
      <c r="U6393" s="7">
        <v>0.54</v>
      </c>
      <c r="V6393" s="12">
        <f>C6393+0</f>
        <v>41273</v>
      </c>
      <c r="W6393">
        <f>IF(D6393=' Pivot Tables'!$A$4,1,0)</f>
        <v>0</v>
      </c>
      <c r="X6393">
        <f>IF(AND(LEFT(D6393,4)+1=LEFT(' Pivot Tables'!$A$4,4)+0,RIGHT(LEFT(D6393,7),2)=RIGHT(LEFT(' Pivot Tables'!$A$4,7),2)),1,0)</f>
        <v>0</v>
      </c>
      <c r="Y6393" s="6">
        <f>1/COUNTIF(Таблица1[Order ID],Таблица1[[#This Row],[Order ID]])</f>
        <v>1</v>
      </c>
      <c r="Z6393" s="9">
        <f>1/COUNTIFS(Таблица1[Customer Name],Таблица1[[#This Row],[Customer Name]],Таблица1[Order-Year-Month],Таблица1[[#This Row],[Order-Year-Month]])</f>
        <v>1</v>
      </c>
    </row>
    <row r="6394" spans="1:26" x14ac:dyDescent="0.2">
      <c r="A6394" s="6">
        <v>6727</v>
      </c>
      <c r="B6394" s="7">
        <v>47909</v>
      </c>
      <c r="C6394" s="8">
        <f>DATE(2012,12,31)-1028</f>
        <v>40246</v>
      </c>
      <c r="D6394" s="8" t="str">
        <f t="shared" si="117"/>
        <v>2010-03 (март 2010)</v>
      </c>
      <c r="E6394" s="9" t="s">
        <v>63</v>
      </c>
      <c r="F6394" s="7">
        <v>38</v>
      </c>
      <c r="G6394" s="7">
        <v>185.19</v>
      </c>
      <c r="H6394" s="7">
        <v>7.0000000000000007E-2</v>
      </c>
      <c r="I6394" s="9" t="s">
        <v>22</v>
      </c>
      <c r="J6394" s="10">
        <v>-175.62</v>
      </c>
      <c r="K6394" s="11">
        <v>4.9800000000000004</v>
      </c>
      <c r="L6394" s="11">
        <v>7.44</v>
      </c>
      <c r="M6394" s="9" t="s">
        <v>1493</v>
      </c>
      <c r="N6394" s="6" t="s">
        <v>1813</v>
      </c>
      <c r="O6394" s="6" t="s">
        <v>512</v>
      </c>
      <c r="P6394" s="9" t="s">
        <v>60</v>
      </c>
      <c r="Q6394" s="9" t="s">
        <v>26</v>
      </c>
      <c r="R6394" s="9" t="s">
        <v>61</v>
      </c>
      <c r="S6394" s="7" t="s">
        <v>1159</v>
      </c>
      <c r="T6394" s="9" t="s">
        <v>39</v>
      </c>
      <c r="U6394" s="7">
        <v>0.36</v>
      </c>
      <c r="V6394" s="12">
        <f>C6394+0</f>
        <v>40246</v>
      </c>
      <c r="W6394">
        <f>IF(D6394=' Pivot Tables'!$A$4,1,0)</f>
        <v>0</v>
      </c>
      <c r="X6394">
        <f>IF(AND(LEFT(D6394,4)+1=LEFT(' Pivot Tables'!$A$4,4)+0,RIGHT(LEFT(D6394,7),2)=RIGHT(LEFT(' Pivot Tables'!$A$4,7),2)),1,0)</f>
        <v>0</v>
      </c>
      <c r="Y6394" s="6">
        <f>1/COUNTIF(Таблица1[Order ID],Таблица1[[#This Row],[Order ID]])</f>
        <v>0.33333333333333331</v>
      </c>
      <c r="Z6394" s="9">
        <f>1/COUNTIFS(Таблица1[Customer Name],Таблица1[[#This Row],[Customer Name]],Таблица1[Order-Year-Month],Таблица1[[#This Row],[Order-Year-Month]])</f>
        <v>0.33333333333333331</v>
      </c>
    </row>
    <row r="6395" spans="1:26" x14ac:dyDescent="0.2">
      <c r="A6395" s="6">
        <v>6728</v>
      </c>
      <c r="B6395" s="7">
        <v>47909</v>
      </c>
      <c r="C6395" s="8">
        <f>DATE(2012,12,31)-1028</f>
        <v>40246</v>
      </c>
      <c r="D6395" s="8" t="str">
        <f t="shared" si="117"/>
        <v>2010-03 (март 2010)</v>
      </c>
      <c r="E6395" s="9" t="s">
        <v>63</v>
      </c>
      <c r="F6395" s="7">
        <v>22</v>
      </c>
      <c r="G6395" s="7">
        <v>220.26</v>
      </c>
      <c r="H6395" s="7">
        <v>7.0000000000000007E-2</v>
      </c>
      <c r="I6395" s="9" t="s">
        <v>22</v>
      </c>
      <c r="J6395" s="10">
        <v>-35.950000000000003</v>
      </c>
      <c r="K6395" s="11">
        <v>10.23</v>
      </c>
      <c r="L6395" s="11">
        <v>4.68</v>
      </c>
      <c r="M6395" s="9" t="s">
        <v>1493</v>
      </c>
      <c r="N6395" s="6" t="s">
        <v>1813</v>
      </c>
      <c r="O6395" s="6" t="s">
        <v>512</v>
      </c>
      <c r="P6395" s="9" t="s">
        <v>60</v>
      </c>
      <c r="Q6395" s="9" t="s">
        <v>26</v>
      </c>
      <c r="R6395" s="9" t="s">
        <v>150</v>
      </c>
      <c r="S6395" s="7" t="s">
        <v>1054</v>
      </c>
      <c r="T6395" s="9" t="s">
        <v>52</v>
      </c>
      <c r="U6395" s="7">
        <v>0.59</v>
      </c>
      <c r="V6395" s="12">
        <f>C6395+1</f>
        <v>40247</v>
      </c>
      <c r="W6395">
        <f>IF(D6395=' Pivot Tables'!$A$4,1,0)</f>
        <v>0</v>
      </c>
      <c r="X6395">
        <f>IF(AND(LEFT(D6395,4)+1=LEFT(' Pivot Tables'!$A$4,4)+0,RIGHT(LEFT(D6395,7),2)=RIGHT(LEFT(' Pivot Tables'!$A$4,7),2)),1,0)</f>
        <v>0</v>
      </c>
      <c r="Y6395" s="6">
        <f>1/COUNTIF(Таблица1[Order ID],Таблица1[[#This Row],[Order ID]])</f>
        <v>0.33333333333333331</v>
      </c>
      <c r="Z6395" s="9">
        <f>1/COUNTIFS(Таблица1[Customer Name],Таблица1[[#This Row],[Customer Name]],Таблица1[Order-Year-Month],Таблица1[[#This Row],[Order-Year-Month]])</f>
        <v>0.33333333333333331</v>
      </c>
    </row>
    <row r="6396" spans="1:26" x14ac:dyDescent="0.2">
      <c r="A6396" s="6">
        <v>6729</v>
      </c>
      <c r="B6396" s="7">
        <v>47909</v>
      </c>
      <c r="C6396" s="8">
        <f>DATE(2012,12,31)-1028</f>
        <v>40246</v>
      </c>
      <c r="D6396" s="8" t="str">
        <f t="shared" si="117"/>
        <v>2010-03 (март 2010)</v>
      </c>
      <c r="E6396" s="9" t="s">
        <v>63</v>
      </c>
      <c r="F6396" s="7">
        <v>48</v>
      </c>
      <c r="G6396" s="7">
        <v>843.03</v>
      </c>
      <c r="H6396" s="7">
        <v>0.08</v>
      </c>
      <c r="I6396" s="9" t="s">
        <v>22</v>
      </c>
      <c r="J6396" s="10">
        <v>419.89499999999998</v>
      </c>
      <c r="K6396" s="11">
        <v>20.99</v>
      </c>
      <c r="L6396" s="11">
        <v>0.99</v>
      </c>
      <c r="M6396" s="9" t="s">
        <v>1493</v>
      </c>
      <c r="N6396" s="6" t="s">
        <v>1813</v>
      </c>
      <c r="O6396" s="6" t="s">
        <v>512</v>
      </c>
      <c r="P6396" s="9" t="s">
        <v>60</v>
      </c>
      <c r="Q6396" s="9" t="s">
        <v>42</v>
      </c>
      <c r="R6396" s="9" t="s">
        <v>43</v>
      </c>
      <c r="S6396" s="7" t="s">
        <v>272</v>
      </c>
      <c r="T6396" s="9" t="s">
        <v>68</v>
      </c>
      <c r="U6396" s="7">
        <v>0.37</v>
      </c>
      <c r="V6396" s="12">
        <f>C6396+2</f>
        <v>40248</v>
      </c>
      <c r="W6396">
        <f>IF(D6396=' Pivot Tables'!$A$4,1,0)</f>
        <v>0</v>
      </c>
      <c r="X6396">
        <f>IF(AND(LEFT(D6396,4)+1=LEFT(' Pivot Tables'!$A$4,4)+0,RIGHT(LEFT(D6396,7),2)=RIGHT(LEFT(' Pivot Tables'!$A$4,7),2)),1,0)</f>
        <v>0</v>
      </c>
      <c r="Y6396" s="6">
        <f>1/COUNTIF(Таблица1[Order ID],Таблица1[[#This Row],[Order ID]])</f>
        <v>0.33333333333333331</v>
      </c>
      <c r="Z6396" s="9">
        <f>1/COUNTIFS(Таблица1[Customer Name],Таблица1[[#This Row],[Customer Name]],Таблица1[Order-Year-Month],Таблица1[[#This Row],[Order-Year-Month]])</f>
        <v>0.33333333333333331</v>
      </c>
    </row>
    <row r="6397" spans="1:26" x14ac:dyDescent="0.2">
      <c r="A6397" s="6">
        <v>6823</v>
      </c>
      <c r="B6397" s="7">
        <v>48609</v>
      </c>
      <c r="C6397" s="8">
        <f>DATE(2012,12,31)-1041</f>
        <v>40233</v>
      </c>
      <c r="D6397" s="8" t="str">
        <f t="shared" si="117"/>
        <v>2010-02 (февраль 2010)</v>
      </c>
      <c r="E6397" s="9" t="s">
        <v>30</v>
      </c>
      <c r="F6397" s="7">
        <v>26</v>
      </c>
      <c r="G6397" s="7">
        <v>176.34</v>
      </c>
      <c r="H6397" s="7">
        <v>0</v>
      </c>
      <c r="I6397" s="9" t="s">
        <v>22</v>
      </c>
      <c r="J6397" s="10">
        <v>-103.32</v>
      </c>
      <c r="K6397" s="11">
        <v>6.48</v>
      </c>
      <c r="L6397" s="11">
        <v>7.86</v>
      </c>
      <c r="M6397" s="9" t="s">
        <v>2004</v>
      </c>
      <c r="N6397" s="6" t="s">
        <v>1813</v>
      </c>
      <c r="O6397" s="6" t="s">
        <v>512</v>
      </c>
      <c r="P6397" s="9" t="s">
        <v>41</v>
      </c>
      <c r="Q6397" s="9" t="s">
        <v>26</v>
      </c>
      <c r="R6397" s="9" t="s">
        <v>61</v>
      </c>
      <c r="S6397" s="7" t="s">
        <v>153</v>
      </c>
      <c r="T6397" s="9" t="s">
        <v>39</v>
      </c>
      <c r="U6397" s="7">
        <v>0.37</v>
      </c>
      <c r="V6397" s="12">
        <f>C6397+1</f>
        <v>40234</v>
      </c>
      <c r="W6397">
        <f>IF(D6397=' Pivot Tables'!$A$4,1,0)</f>
        <v>0</v>
      </c>
      <c r="X6397">
        <f>IF(AND(LEFT(D6397,4)+1=LEFT(' Pivot Tables'!$A$4,4)+0,RIGHT(LEFT(D6397,7),2)=RIGHT(LEFT(' Pivot Tables'!$A$4,7),2)),1,0)</f>
        <v>0</v>
      </c>
      <c r="Y6397" s="6">
        <f>1/COUNTIF(Таблица1[Order ID],Таблица1[[#This Row],[Order ID]])</f>
        <v>0.5</v>
      </c>
      <c r="Z6397" s="9">
        <f>1/COUNTIFS(Таблица1[Customer Name],Таблица1[[#This Row],[Customer Name]],Таблица1[Order-Year-Month],Таблица1[[#This Row],[Order-Year-Month]])</f>
        <v>0.2</v>
      </c>
    </row>
    <row r="6398" spans="1:26" x14ac:dyDescent="0.2">
      <c r="A6398" s="6">
        <v>6824</v>
      </c>
      <c r="B6398" s="7">
        <v>48609</v>
      </c>
      <c r="C6398" s="8">
        <f>DATE(2012,12,31)-1041</f>
        <v>40233</v>
      </c>
      <c r="D6398" s="8" t="str">
        <f t="shared" si="117"/>
        <v>2010-02 (февраль 2010)</v>
      </c>
      <c r="E6398" s="9" t="s">
        <v>30</v>
      </c>
      <c r="F6398" s="7">
        <v>5</v>
      </c>
      <c r="G6398" s="7">
        <v>186.5</v>
      </c>
      <c r="H6398" s="7">
        <v>0.04</v>
      </c>
      <c r="I6398" s="9" t="s">
        <v>56</v>
      </c>
      <c r="J6398" s="10">
        <v>4.1600000000000108</v>
      </c>
      <c r="K6398" s="11">
        <v>37.44</v>
      </c>
      <c r="L6398" s="11">
        <v>4.2699999999999996</v>
      </c>
      <c r="M6398" s="9" t="s">
        <v>2004</v>
      </c>
      <c r="N6398" s="6" t="s">
        <v>1813</v>
      </c>
      <c r="O6398" s="6" t="s">
        <v>512</v>
      </c>
      <c r="P6398" s="9" t="s">
        <v>41</v>
      </c>
      <c r="Q6398" s="9" t="s">
        <v>26</v>
      </c>
      <c r="R6398" s="9" t="s">
        <v>95</v>
      </c>
      <c r="S6398" s="7" t="s">
        <v>1811</v>
      </c>
      <c r="T6398" s="9" t="s">
        <v>68</v>
      </c>
      <c r="U6398" s="7">
        <v>0.46</v>
      </c>
      <c r="V6398" s="12">
        <f>C6398+1</f>
        <v>40234</v>
      </c>
      <c r="W6398">
        <f>IF(D6398=' Pivot Tables'!$A$4,1,0)</f>
        <v>0</v>
      </c>
      <c r="X6398">
        <f>IF(AND(LEFT(D6398,4)+1=LEFT(' Pivot Tables'!$A$4,4)+0,RIGHT(LEFT(D6398,7),2)=RIGHT(LEFT(' Pivot Tables'!$A$4,7),2)),1,0)</f>
        <v>0</v>
      </c>
      <c r="Y6398" s="6">
        <f>1/COUNTIF(Таблица1[Order ID],Таблица1[[#This Row],[Order ID]])</f>
        <v>0.5</v>
      </c>
      <c r="Z6398" s="9">
        <f>1/COUNTIFS(Таблица1[Customer Name],Таблица1[[#This Row],[Customer Name]],Таблица1[Order-Year-Month],Таблица1[[#This Row],[Order-Year-Month]])</f>
        <v>0.2</v>
      </c>
    </row>
    <row r="6399" spans="1:26" x14ac:dyDescent="0.2">
      <c r="A6399" s="6">
        <v>6833</v>
      </c>
      <c r="B6399" s="7">
        <v>48643</v>
      </c>
      <c r="C6399" s="8">
        <f>DATE(2012,12,31)-74</f>
        <v>41200</v>
      </c>
      <c r="D6399" s="8" t="str">
        <f t="shared" si="117"/>
        <v>2012-10 (октябрь 2012)</v>
      </c>
      <c r="E6399" s="9" t="s">
        <v>63</v>
      </c>
      <c r="F6399" s="7">
        <v>14</v>
      </c>
      <c r="G6399" s="7">
        <v>9171.7099999999991</v>
      </c>
      <c r="H6399" s="7">
        <v>0.06</v>
      </c>
      <c r="I6399" s="9" t="s">
        <v>31</v>
      </c>
      <c r="J6399" s="10">
        <v>2636.01</v>
      </c>
      <c r="K6399" s="11">
        <v>808.49</v>
      </c>
      <c r="L6399" s="11">
        <v>55.3</v>
      </c>
      <c r="M6399" s="9" t="s">
        <v>1692</v>
      </c>
      <c r="N6399" s="6" t="s">
        <v>1813</v>
      </c>
      <c r="O6399" s="6" t="s">
        <v>512</v>
      </c>
      <c r="P6399" s="9" t="s">
        <v>60</v>
      </c>
      <c r="Q6399" s="9" t="s">
        <v>42</v>
      </c>
      <c r="R6399" s="9" t="s">
        <v>210</v>
      </c>
      <c r="S6399" s="7" t="s">
        <v>1537</v>
      </c>
      <c r="T6399" s="9" t="s">
        <v>36</v>
      </c>
      <c r="U6399" s="7">
        <v>0.4</v>
      </c>
      <c r="V6399" s="12">
        <f>C6399+2</f>
        <v>41202</v>
      </c>
      <c r="W6399">
        <f>IF(D6399=' Pivot Tables'!$A$4,1,0)</f>
        <v>0</v>
      </c>
      <c r="X6399">
        <f>IF(AND(LEFT(D6399,4)+1=LEFT(' Pivot Tables'!$A$4,4)+0,RIGHT(LEFT(D6399,7),2)=RIGHT(LEFT(' Pivot Tables'!$A$4,7),2)),1,0)</f>
        <v>0</v>
      </c>
      <c r="Y6399" s="6">
        <f>1/COUNTIF(Таблица1[Order ID],Таблица1[[#This Row],[Order ID]])</f>
        <v>0.33333333333333331</v>
      </c>
      <c r="Z6399" s="9">
        <f>1/COUNTIFS(Таблица1[Customer Name],Таблица1[[#This Row],[Customer Name]],Таблица1[Order-Year-Month],Таблица1[[#This Row],[Order-Year-Month]])</f>
        <v>0.33333333333333331</v>
      </c>
    </row>
    <row r="6400" spans="1:26" x14ac:dyDescent="0.2">
      <c r="A6400" s="6">
        <v>6834</v>
      </c>
      <c r="B6400" s="7">
        <v>48643</v>
      </c>
      <c r="C6400" s="8">
        <f>DATE(2012,12,31)-74</f>
        <v>41200</v>
      </c>
      <c r="D6400" s="8" t="str">
        <f t="shared" si="117"/>
        <v>2012-10 (октябрь 2012)</v>
      </c>
      <c r="E6400" s="9" t="s">
        <v>63</v>
      </c>
      <c r="F6400" s="7">
        <v>6</v>
      </c>
      <c r="G6400" s="7">
        <v>18.05</v>
      </c>
      <c r="H6400" s="7">
        <v>0.06</v>
      </c>
      <c r="I6400" s="9" t="s">
        <v>22</v>
      </c>
      <c r="J6400" s="10">
        <v>0.13</v>
      </c>
      <c r="K6400" s="11">
        <v>2.88</v>
      </c>
      <c r="L6400" s="11">
        <v>0.99</v>
      </c>
      <c r="M6400" s="9" t="s">
        <v>1692</v>
      </c>
      <c r="N6400" s="6" t="s">
        <v>1813</v>
      </c>
      <c r="O6400" s="6" t="s">
        <v>512</v>
      </c>
      <c r="P6400" s="9" t="s">
        <v>60</v>
      </c>
      <c r="Q6400" s="9" t="s">
        <v>26</v>
      </c>
      <c r="R6400" s="9" t="s">
        <v>88</v>
      </c>
      <c r="S6400" s="7" t="s">
        <v>300</v>
      </c>
      <c r="T6400" s="9" t="s">
        <v>39</v>
      </c>
      <c r="U6400" s="7">
        <v>0.36</v>
      </c>
      <c r="V6400" s="12">
        <f>C6400+2</f>
        <v>41202</v>
      </c>
      <c r="W6400">
        <f>IF(D6400=' Pivot Tables'!$A$4,1,0)</f>
        <v>0</v>
      </c>
      <c r="X6400">
        <f>IF(AND(LEFT(D6400,4)+1=LEFT(' Pivot Tables'!$A$4,4)+0,RIGHT(LEFT(D6400,7),2)=RIGHT(LEFT(' Pivot Tables'!$A$4,7),2)),1,0)</f>
        <v>0</v>
      </c>
      <c r="Y6400" s="6">
        <f>1/COUNTIF(Таблица1[Order ID],Таблица1[[#This Row],[Order ID]])</f>
        <v>0.33333333333333331</v>
      </c>
      <c r="Z6400" s="9">
        <f>1/COUNTIFS(Таблица1[Customer Name],Таблица1[[#This Row],[Customer Name]],Таблица1[Order-Year-Month],Таблица1[[#This Row],[Order-Year-Month]])</f>
        <v>0.33333333333333331</v>
      </c>
    </row>
    <row r="6401" spans="1:26" x14ac:dyDescent="0.2">
      <c r="A6401" s="6">
        <v>6835</v>
      </c>
      <c r="B6401" s="7">
        <v>48643</v>
      </c>
      <c r="C6401" s="8">
        <f>DATE(2012,12,31)-74</f>
        <v>41200</v>
      </c>
      <c r="D6401" s="8" t="str">
        <f t="shared" si="117"/>
        <v>2012-10 (октябрь 2012)</v>
      </c>
      <c r="E6401" s="9" t="s">
        <v>63</v>
      </c>
      <c r="F6401" s="7">
        <v>50</v>
      </c>
      <c r="G6401" s="7">
        <v>2896.3579999999997</v>
      </c>
      <c r="H6401" s="7">
        <v>0</v>
      </c>
      <c r="I6401" s="9" t="s">
        <v>22</v>
      </c>
      <c r="J6401" s="10">
        <v>583.49700000000007</v>
      </c>
      <c r="K6401" s="11">
        <v>65.989999999999995</v>
      </c>
      <c r="L6401" s="11">
        <v>8.99</v>
      </c>
      <c r="M6401" s="9" t="s">
        <v>1692</v>
      </c>
      <c r="N6401" s="6" t="s">
        <v>1813</v>
      </c>
      <c r="O6401" s="6" t="s">
        <v>512</v>
      </c>
      <c r="P6401" s="9" t="s">
        <v>60</v>
      </c>
      <c r="Q6401" s="9" t="s">
        <v>42</v>
      </c>
      <c r="R6401" s="9" t="s">
        <v>43</v>
      </c>
      <c r="S6401" s="7" t="s">
        <v>1068</v>
      </c>
      <c r="T6401" s="9" t="s">
        <v>39</v>
      </c>
      <c r="U6401" s="7">
        <v>0.6</v>
      </c>
      <c r="V6401" s="12">
        <f>C6401+2</f>
        <v>41202</v>
      </c>
      <c r="W6401">
        <f>IF(D6401=' Pivot Tables'!$A$4,1,0)</f>
        <v>0</v>
      </c>
      <c r="X6401">
        <f>IF(AND(LEFT(D6401,4)+1=LEFT(' Pivot Tables'!$A$4,4)+0,RIGHT(LEFT(D6401,7),2)=RIGHT(LEFT(' Pivot Tables'!$A$4,7),2)),1,0)</f>
        <v>0</v>
      </c>
      <c r="Y6401" s="6">
        <f>1/COUNTIF(Таблица1[Order ID],Таблица1[[#This Row],[Order ID]])</f>
        <v>0.33333333333333331</v>
      </c>
      <c r="Z6401" s="9">
        <f>1/COUNTIFS(Таблица1[Customer Name],Таблица1[[#This Row],[Customer Name]],Таблица1[Order-Year-Month],Таблица1[[#This Row],[Order-Year-Month]])</f>
        <v>0.33333333333333331</v>
      </c>
    </row>
    <row r="6402" spans="1:26" x14ac:dyDescent="0.2">
      <c r="A6402" s="6">
        <v>6923</v>
      </c>
      <c r="B6402" s="7">
        <v>49380</v>
      </c>
      <c r="C6402" s="8">
        <f>DATE(2012,12,31)-241</f>
        <v>41033</v>
      </c>
      <c r="D6402" s="8" t="str">
        <f t="shared" si="117"/>
        <v>2012-05 (май 2012)</v>
      </c>
      <c r="E6402" s="9" t="s">
        <v>63</v>
      </c>
      <c r="F6402" s="7">
        <v>11</v>
      </c>
      <c r="G6402" s="7">
        <v>22145.37</v>
      </c>
      <c r="H6402" s="7">
        <v>0.02</v>
      </c>
      <c r="I6402" s="9" t="s">
        <v>22</v>
      </c>
      <c r="J6402" s="10">
        <v>6138.48</v>
      </c>
      <c r="K6402" s="11">
        <v>1938.02</v>
      </c>
      <c r="L6402" s="11">
        <v>13.99</v>
      </c>
      <c r="M6402" s="9" t="s">
        <v>812</v>
      </c>
      <c r="N6402" s="6" t="s">
        <v>1813</v>
      </c>
      <c r="O6402" s="6" t="s">
        <v>512</v>
      </c>
      <c r="P6402" s="9" t="s">
        <v>33</v>
      </c>
      <c r="Q6402" s="9" t="s">
        <v>42</v>
      </c>
      <c r="R6402" s="9" t="s">
        <v>210</v>
      </c>
      <c r="S6402" s="7" t="s">
        <v>214</v>
      </c>
      <c r="T6402" s="9" t="s">
        <v>48</v>
      </c>
      <c r="U6402" s="7">
        <v>0.38</v>
      </c>
      <c r="V6402" s="12">
        <f>C6402+2</f>
        <v>41035</v>
      </c>
      <c r="W6402">
        <f>IF(D6402=' Pivot Tables'!$A$4,1,0)</f>
        <v>0</v>
      </c>
      <c r="X6402">
        <f>IF(AND(LEFT(D6402,4)+1=LEFT(' Pivot Tables'!$A$4,4)+0,RIGHT(LEFT(D6402,7),2)=RIGHT(LEFT(' Pivot Tables'!$A$4,7),2)),1,0)</f>
        <v>0</v>
      </c>
      <c r="Y6402" s="6">
        <f>1/COUNTIF(Таблица1[Order ID],Таблица1[[#This Row],[Order ID]])</f>
        <v>1</v>
      </c>
      <c r="Z6402" s="9">
        <f>1/COUNTIFS(Таблица1[Customer Name],Таблица1[[#This Row],[Customer Name]],Таблица1[Order-Year-Month],Таблица1[[#This Row],[Order-Year-Month]])</f>
        <v>1</v>
      </c>
    </row>
    <row r="6403" spans="1:26" x14ac:dyDescent="0.2">
      <c r="A6403" s="6">
        <v>6946</v>
      </c>
      <c r="B6403" s="7">
        <v>49607</v>
      </c>
      <c r="C6403" s="8">
        <f>DATE(2012,12,31)-1337</f>
        <v>39937</v>
      </c>
      <c r="D6403" s="8" t="str">
        <f t="shared" ref="D6403:D6466" si="118">TEXT(C6403,"гггг-ММ (ММММ гггг)")</f>
        <v>2009-05 (май 2009)</v>
      </c>
      <c r="E6403" s="9" t="s">
        <v>63</v>
      </c>
      <c r="F6403" s="7">
        <v>6</v>
      </c>
      <c r="G6403" s="7">
        <v>1056.6434999999999</v>
      </c>
      <c r="H6403" s="7">
        <v>0.06</v>
      </c>
      <c r="I6403" s="9" t="s">
        <v>22</v>
      </c>
      <c r="J6403" s="10">
        <v>-586.20100000000002</v>
      </c>
      <c r="K6403" s="11">
        <v>205.99</v>
      </c>
      <c r="L6403" s="11">
        <v>8.99</v>
      </c>
      <c r="M6403" s="9" t="s">
        <v>2005</v>
      </c>
      <c r="N6403" s="6" t="s">
        <v>1813</v>
      </c>
      <c r="O6403" s="6" t="s">
        <v>512</v>
      </c>
      <c r="P6403" s="9" t="s">
        <v>33</v>
      </c>
      <c r="Q6403" s="9" t="s">
        <v>42</v>
      </c>
      <c r="R6403" s="9" t="s">
        <v>43</v>
      </c>
      <c r="S6403" s="7" t="s">
        <v>1444</v>
      </c>
      <c r="T6403" s="9" t="s">
        <v>39</v>
      </c>
      <c r="U6403" s="7">
        <v>0.56000000000000005</v>
      </c>
      <c r="V6403" s="12">
        <f>C6403+1</f>
        <v>39938</v>
      </c>
      <c r="W6403">
        <f>IF(D6403=' Pivot Tables'!$A$4,1,0)</f>
        <v>0</v>
      </c>
      <c r="X6403">
        <f>IF(AND(LEFT(D6403,4)+1=LEFT(' Pivot Tables'!$A$4,4)+0,RIGHT(LEFT(D6403,7),2)=RIGHT(LEFT(' Pivot Tables'!$A$4,7),2)),1,0)</f>
        <v>0</v>
      </c>
      <c r="Y6403" s="6">
        <f>1/COUNTIF(Таблица1[Order ID],Таблица1[[#This Row],[Order ID]])</f>
        <v>1</v>
      </c>
      <c r="Z6403" s="9">
        <f>1/COUNTIFS(Таблица1[Customer Name],Таблица1[[#This Row],[Customer Name]],Таблица1[Order-Year-Month],Таблица1[[#This Row],[Order-Year-Month]])</f>
        <v>0.5</v>
      </c>
    </row>
    <row r="6404" spans="1:26" x14ac:dyDescent="0.2">
      <c r="A6404" s="6">
        <v>6977</v>
      </c>
      <c r="B6404" s="7">
        <v>49862</v>
      </c>
      <c r="C6404" s="8">
        <f>DATE(2012,12,31)-110</f>
        <v>41164</v>
      </c>
      <c r="D6404" s="8" t="str">
        <f t="shared" si="118"/>
        <v>2012-09 (сентябрь 2012)</v>
      </c>
      <c r="E6404" s="9" t="s">
        <v>45</v>
      </c>
      <c r="F6404" s="7">
        <v>24</v>
      </c>
      <c r="G6404" s="7">
        <v>75.73</v>
      </c>
      <c r="H6404" s="7">
        <v>7.0000000000000007E-2</v>
      </c>
      <c r="I6404" s="9" t="s">
        <v>22</v>
      </c>
      <c r="J6404" s="10">
        <v>29.46</v>
      </c>
      <c r="K6404" s="11">
        <v>3.15</v>
      </c>
      <c r="L6404" s="11">
        <v>0.5</v>
      </c>
      <c r="M6404" s="9" t="s">
        <v>1713</v>
      </c>
      <c r="N6404" s="6" t="s">
        <v>1813</v>
      </c>
      <c r="O6404" s="6" t="s">
        <v>512</v>
      </c>
      <c r="P6404" s="9" t="s">
        <v>25</v>
      </c>
      <c r="Q6404" s="9" t="s">
        <v>26</v>
      </c>
      <c r="R6404" s="9" t="s">
        <v>88</v>
      </c>
      <c r="S6404" s="7" t="s">
        <v>774</v>
      </c>
      <c r="T6404" s="9" t="s">
        <v>39</v>
      </c>
      <c r="U6404" s="7">
        <v>0.37</v>
      </c>
      <c r="V6404" s="12">
        <f>C6404+2</f>
        <v>41166</v>
      </c>
      <c r="W6404">
        <f>IF(D6404=' Pivot Tables'!$A$4,1,0)</f>
        <v>0</v>
      </c>
      <c r="X6404">
        <f>IF(AND(LEFT(D6404,4)+1=LEFT(' Pivot Tables'!$A$4,4)+0,RIGHT(LEFT(D6404,7),2)=RIGHT(LEFT(' Pivot Tables'!$A$4,7),2)),1,0)</f>
        <v>0</v>
      </c>
      <c r="Y6404" s="6">
        <f>1/COUNTIF(Таблица1[Order ID],Таблица1[[#This Row],[Order ID]])</f>
        <v>1</v>
      </c>
      <c r="Z6404" s="9">
        <f>1/COUNTIFS(Таблица1[Customer Name],Таблица1[[#This Row],[Customer Name]],Таблица1[Order-Year-Month],Таблица1[[#This Row],[Order-Year-Month]])</f>
        <v>0.25</v>
      </c>
    </row>
    <row r="6405" spans="1:26" x14ac:dyDescent="0.2">
      <c r="A6405" s="6">
        <v>7033</v>
      </c>
      <c r="B6405" s="7">
        <v>50209</v>
      </c>
      <c r="C6405" s="8">
        <f>DATE(2012,12,31)-843</f>
        <v>40431</v>
      </c>
      <c r="D6405" s="8" t="str">
        <f t="shared" si="118"/>
        <v>2010-09 (сентябрь 2010)</v>
      </c>
      <c r="E6405" s="9" t="s">
        <v>30</v>
      </c>
      <c r="F6405" s="7">
        <v>34</v>
      </c>
      <c r="G6405" s="7">
        <v>1863.02</v>
      </c>
      <c r="H6405" s="7">
        <v>0.03</v>
      </c>
      <c r="I6405" s="9" t="s">
        <v>56</v>
      </c>
      <c r="J6405" s="10">
        <v>823.26</v>
      </c>
      <c r="K6405" s="11">
        <v>55.48</v>
      </c>
      <c r="L6405" s="11">
        <v>6.79</v>
      </c>
      <c r="M6405" s="9" t="s">
        <v>2009</v>
      </c>
      <c r="N6405" s="6" t="s">
        <v>1813</v>
      </c>
      <c r="O6405" s="6" t="s">
        <v>512</v>
      </c>
      <c r="P6405" s="9" t="s">
        <v>33</v>
      </c>
      <c r="Q6405" s="9" t="s">
        <v>26</v>
      </c>
      <c r="R6405" s="9" t="s">
        <v>61</v>
      </c>
      <c r="S6405" s="7" t="s">
        <v>1065</v>
      </c>
      <c r="T6405" s="9" t="s">
        <v>39</v>
      </c>
      <c r="U6405" s="7">
        <v>0.37</v>
      </c>
      <c r="V6405" s="12">
        <f>C6405+2</f>
        <v>40433</v>
      </c>
      <c r="W6405">
        <f>IF(D6405=' Pivot Tables'!$A$4,1,0)</f>
        <v>0</v>
      </c>
      <c r="X6405">
        <f>IF(AND(LEFT(D6405,4)+1=LEFT(' Pivot Tables'!$A$4,4)+0,RIGHT(LEFT(D6405,7),2)=RIGHT(LEFT(' Pivot Tables'!$A$4,7),2)),1,0)</f>
        <v>0</v>
      </c>
      <c r="Y6405" s="6">
        <f>1/COUNTIF(Таблица1[Order ID],Таблица1[[#This Row],[Order ID]])</f>
        <v>0.5</v>
      </c>
      <c r="Z6405" s="9">
        <f>1/COUNTIFS(Таблица1[Customer Name],Таблица1[[#This Row],[Customer Name]],Таблица1[Order-Year-Month],Таблица1[[#This Row],[Order-Year-Month]])</f>
        <v>0.5</v>
      </c>
    </row>
    <row r="6406" spans="1:26" x14ac:dyDescent="0.2">
      <c r="A6406" s="6">
        <v>7034</v>
      </c>
      <c r="B6406" s="7">
        <v>50209</v>
      </c>
      <c r="C6406" s="8">
        <f>DATE(2012,12,31)-843</f>
        <v>40431</v>
      </c>
      <c r="D6406" s="8" t="str">
        <f t="shared" si="118"/>
        <v>2010-09 (сентябрь 2010)</v>
      </c>
      <c r="E6406" s="9" t="s">
        <v>30</v>
      </c>
      <c r="F6406" s="7">
        <v>2</v>
      </c>
      <c r="G6406" s="7">
        <v>53.3</v>
      </c>
      <c r="H6406" s="7">
        <v>0</v>
      </c>
      <c r="I6406" s="9" t="s">
        <v>22</v>
      </c>
      <c r="J6406" s="10">
        <v>-46.2</v>
      </c>
      <c r="K6406" s="11">
        <v>20.89</v>
      </c>
      <c r="L6406" s="11">
        <v>11.52</v>
      </c>
      <c r="M6406" s="9" t="s">
        <v>2009</v>
      </c>
      <c r="N6406" s="6" t="s">
        <v>1813</v>
      </c>
      <c r="O6406" s="6" t="s">
        <v>512</v>
      </c>
      <c r="P6406" s="9" t="s">
        <v>33</v>
      </c>
      <c r="Q6406" s="9" t="s">
        <v>26</v>
      </c>
      <c r="R6406" s="9" t="s">
        <v>27</v>
      </c>
      <c r="S6406" s="7" t="s">
        <v>1041</v>
      </c>
      <c r="T6406" s="9" t="s">
        <v>39</v>
      </c>
      <c r="U6406" s="7">
        <v>0.83</v>
      </c>
      <c r="V6406" s="12">
        <f>C6406+1</f>
        <v>40432</v>
      </c>
      <c r="W6406">
        <f>IF(D6406=' Pivot Tables'!$A$4,1,0)</f>
        <v>0</v>
      </c>
      <c r="X6406">
        <f>IF(AND(LEFT(D6406,4)+1=LEFT(' Pivot Tables'!$A$4,4)+0,RIGHT(LEFT(D6406,7),2)=RIGHT(LEFT(' Pivot Tables'!$A$4,7),2)),1,0)</f>
        <v>0</v>
      </c>
      <c r="Y6406" s="6">
        <f>1/COUNTIF(Таблица1[Order ID],Таблица1[[#This Row],[Order ID]])</f>
        <v>0.5</v>
      </c>
      <c r="Z6406" s="9">
        <f>1/COUNTIFS(Таблица1[Customer Name],Таблица1[[#This Row],[Customer Name]],Таблица1[Order-Year-Month],Таблица1[[#This Row],[Order-Year-Month]])</f>
        <v>0.5</v>
      </c>
    </row>
    <row r="6407" spans="1:26" x14ac:dyDescent="0.2">
      <c r="A6407" s="6">
        <v>7066</v>
      </c>
      <c r="B6407" s="7">
        <v>50432</v>
      </c>
      <c r="C6407" s="8">
        <f>DATE(2012,12,31)-1303</f>
        <v>39971</v>
      </c>
      <c r="D6407" s="8" t="str">
        <f t="shared" si="118"/>
        <v>2009-06 (июнь 2009)</v>
      </c>
      <c r="E6407" s="9" t="s">
        <v>21</v>
      </c>
      <c r="F6407" s="7">
        <v>7</v>
      </c>
      <c r="G6407" s="7">
        <v>2161.36</v>
      </c>
      <c r="H6407" s="7">
        <v>0.02</v>
      </c>
      <c r="I6407" s="9" t="s">
        <v>31</v>
      </c>
      <c r="J6407" s="10">
        <v>-92.370000000000061</v>
      </c>
      <c r="K6407" s="11">
        <v>284.98</v>
      </c>
      <c r="L6407" s="11">
        <v>69.55</v>
      </c>
      <c r="M6407" s="9" t="s">
        <v>1999</v>
      </c>
      <c r="N6407" s="6" t="s">
        <v>1813</v>
      </c>
      <c r="O6407" s="6" t="s">
        <v>512</v>
      </c>
      <c r="P6407" s="9" t="s">
        <v>25</v>
      </c>
      <c r="Q6407" s="9" t="s">
        <v>49</v>
      </c>
      <c r="R6407" s="9" t="s">
        <v>112</v>
      </c>
      <c r="S6407" s="7" t="s">
        <v>834</v>
      </c>
      <c r="T6407" s="9" t="s">
        <v>36</v>
      </c>
      <c r="U6407" s="7">
        <v>0.6</v>
      </c>
      <c r="V6407" s="12">
        <f>C6407+5</f>
        <v>39976</v>
      </c>
      <c r="W6407">
        <f>IF(D6407=' Pivot Tables'!$A$4,1,0)</f>
        <v>0</v>
      </c>
      <c r="X6407">
        <f>IF(AND(LEFT(D6407,4)+1=LEFT(' Pivot Tables'!$A$4,4)+0,RIGHT(LEFT(D6407,7),2)=RIGHT(LEFT(' Pivot Tables'!$A$4,7),2)),1,0)</f>
        <v>0</v>
      </c>
      <c r="Y6407" s="6">
        <f>1/COUNTIF(Таблица1[Order ID],Таблица1[[#This Row],[Order ID]])</f>
        <v>0.5</v>
      </c>
      <c r="Z6407" s="9">
        <f>1/COUNTIFS(Таблица1[Customer Name],Таблица1[[#This Row],[Customer Name]],Таблица1[Order-Year-Month],Таблица1[[#This Row],[Order-Year-Month]])</f>
        <v>0.5</v>
      </c>
    </row>
    <row r="6408" spans="1:26" x14ac:dyDescent="0.2">
      <c r="A6408" s="6">
        <v>7067</v>
      </c>
      <c r="B6408" s="7">
        <v>50432</v>
      </c>
      <c r="C6408" s="8">
        <f>DATE(2012,12,31)-1303</f>
        <v>39971</v>
      </c>
      <c r="D6408" s="8" t="str">
        <f t="shared" si="118"/>
        <v>2009-06 (июнь 2009)</v>
      </c>
      <c r="E6408" s="9" t="s">
        <v>21</v>
      </c>
      <c r="F6408" s="7">
        <v>45</v>
      </c>
      <c r="G6408" s="7">
        <v>2494.92</v>
      </c>
      <c r="H6408" s="7">
        <v>0.08</v>
      </c>
      <c r="I6408" s="9" t="s">
        <v>22</v>
      </c>
      <c r="J6408" s="10">
        <v>816.72</v>
      </c>
      <c r="K6408" s="11">
        <v>55.48</v>
      </c>
      <c r="L6408" s="11">
        <v>14.3</v>
      </c>
      <c r="M6408" s="9" t="s">
        <v>1999</v>
      </c>
      <c r="N6408" s="6" t="s">
        <v>1813</v>
      </c>
      <c r="O6408" s="6" t="s">
        <v>512</v>
      </c>
      <c r="P6408" s="9" t="s">
        <v>25</v>
      </c>
      <c r="Q6408" s="9" t="s">
        <v>26</v>
      </c>
      <c r="R6408" s="9" t="s">
        <v>61</v>
      </c>
      <c r="S6408" s="7" t="s">
        <v>507</v>
      </c>
      <c r="T6408" s="9" t="s">
        <v>39</v>
      </c>
      <c r="U6408" s="7">
        <v>0.37</v>
      </c>
      <c r="V6408" s="12">
        <f>C6408+2</f>
        <v>39973</v>
      </c>
      <c r="W6408">
        <f>IF(D6408=' Pivot Tables'!$A$4,1,0)</f>
        <v>0</v>
      </c>
      <c r="X6408">
        <f>IF(AND(LEFT(D6408,4)+1=LEFT(' Pivot Tables'!$A$4,4)+0,RIGHT(LEFT(D6408,7),2)=RIGHT(LEFT(' Pivot Tables'!$A$4,7),2)),1,0)</f>
        <v>0</v>
      </c>
      <c r="Y6408" s="6">
        <f>1/COUNTIF(Таблица1[Order ID],Таблица1[[#This Row],[Order ID]])</f>
        <v>0.5</v>
      </c>
      <c r="Z6408" s="9">
        <f>1/COUNTIFS(Таблица1[Customer Name],Таблица1[[#This Row],[Customer Name]],Таблица1[Order-Year-Month],Таблица1[[#This Row],[Order-Year-Month]])</f>
        <v>0.5</v>
      </c>
    </row>
    <row r="6409" spans="1:26" x14ac:dyDescent="0.2">
      <c r="A6409" s="6">
        <v>7076</v>
      </c>
      <c r="B6409" s="7">
        <v>50500</v>
      </c>
      <c r="C6409" s="8">
        <f>DATE(2012,12,31)-482</f>
        <v>40792</v>
      </c>
      <c r="D6409" s="8" t="str">
        <f t="shared" si="118"/>
        <v>2011-09 (сентябрь 2011)</v>
      </c>
      <c r="E6409" s="9" t="s">
        <v>21</v>
      </c>
      <c r="F6409" s="7">
        <v>11</v>
      </c>
      <c r="G6409" s="7">
        <v>64.86</v>
      </c>
      <c r="H6409" s="7">
        <v>0</v>
      </c>
      <c r="I6409" s="9" t="s">
        <v>22</v>
      </c>
      <c r="J6409" s="10">
        <v>22.05</v>
      </c>
      <c r="K6409" s="11">
        <v>5.43</v>
      </c>
      <c r="L6409" s="11">
        <v>0.95</v>
      </c>
      <c r="M6409" s="9" t="s">
        <v>833</v>
      </c>
      <c r="N6409" s="6" t="s">
        <v>1813</v>
      </c>
      <c r="O6409" s="6" t="s">
        <v>512</v>
      </c>
      <c r="P6409" s="9" t="s">
        <v>33</v>
      </c>
      <c r="Q6409" s="9" t="s">
        <v>26</v>
      </c>
      <c r="R6409" s="9" t="s">
        <v>61</v>
      </c>
      <c r="S6409" s="7" t="s">
        <v>588</v>
      </c>
      <c r="T6409" s="9" t="s">
        <v>68</v>
      </c>
      <c r="U6409" s="7">
        <v>0.36</v>
      </c>
      <c r="V6409" s="12">
        <f>C6409+4</f>
        <v>40796</v>
      </c>
      <c r="W6409">
        <f>IF(D6409=' Pivot Tables'!$A$4,1,0)</f>
        <v>0</v>
      </c>
      <c r="X6409">
        <f>IF(AND(LEFT(D6409,4)+1=LEFT(' Pivot Tables'!$A$4,4)+0,RIGHT(LEFT(D6409,7),2)=RIGHT(LEFT(' Pivot Tables'!$A$4,7),2)),1,0)</f>
        <v>0</v>
      </c>
      <c r="Y6409" s="6">
        <f>1/COUNTIF(Таблица1[Order ID],Таблица1[[#This Row],[Order ID]])</f>
        <v>0.5</v>
      </c>
      <c r="Z6409" s="9">
        <f>1/COUNTIFS(Таблица1[Customer Name],Таблица1[[#This Row],[Customer Name]],Таблица1[Order-Year-Month],Таблица1[[#This Row],[Order-Year-Month]])</f>
        <v>0.2</v>
      </c>
    </row>
    <row r="6410" spans="1:26" x14ac:dyDescent="0.2">
      <c r="A6410" s="6">
        <v>7077</v>
      </c>
      <c r="B6410" s="7">
        <v>50500</v>
      </c>
      <c r="C6410" s="8">
        <f>DATE(2012,12,31)-482</f>
        <v>40792</v>
      </c>
      <c r="D6410" s="8" t="str">
        <f t="shared" si="118"/>
        <v>2011-09 (сентябрь 2011)</v>
      </c>
      <c r="E6410" s="9" t="s">
        <v>21</v>
      </c>
      <c r="F6410" s="7">
        <v>45</v>
      </c>
      <c r="G6410" s="7">
        <v>109.39</v>
      </c>
      <c r="H6410" s="7">
        <v>7.0000000000000007E-2</v>
      </c>
      <c r="I6410" s="9" t="s">
        <v>56</v>
      </c>
      <c r="J6410" s="10">
        <v>16.309999999999999</v>
      </c>
      <c r="K6410" s="11">
        <v>2.4700000000000002</v>
      </c>
      <c r="L6410" s="11">
        <v>1.02</v>
      </c>
      <c r="M6410" s="9" t="s">
        <v>833</v>
      </c>
      <c r="N6410" s="6" t="s">
        <v>1813</v>
      </c>
      <c r="O6410" s="6" t="s">
        <v>512</v>
      </c>
      <c r="P6410" s="9" t="s">
        <v>33</v>
      </c>
      <c r="Q6410" s="9" t="s">
        <v>26</v>
      </c>
      <c r="R6410" s="9" t="s">
        <v>66</v>
      </c>
      <c r="S6410" s="7" t="s">
        <v>322</v>
      </c>
      <c r="T6410" s="9" t="s">
        <v>68</v>
      </c>
      <c r="U6410" s="7">
        <v>0.38</v>
      </c>
      <c r="V6410" s="12">
        <f>C6410+0</f>
        <v>40792</v>
      </c>
      <c r="W6410">
        <f>IF(D6410=' Pivot Tables'!$A$4,1,0)</f>
        <v>0</v>
      </c>
      <c r="X6410">
        <f>IF(AND(LEFT(D6410,4)+1=LEFT(' Pivot Tables'!$A$4,4)+0,RIGHT(LEFT(D6410,7),2)=RIGHT(LEFT(' Pivot Tables'!$A$4,7),2)),1,0)</f>
        <v>0</v>
      </c>
      <c r="Y6410" s="6">
        <f>1/COUNTIF(Таблица1[Order ID],Таблица1[[#This Row],[Order ID]])</f>
        <v>0.5</v>
      </c>
      <c r="Z6410" s="9">
        <f>1/COUNTIFS(Таблица1[Customer Name],Таблица1[[#This Row],[Customer Name]],Таблица1[Order-Year-Month],Таблица1[[#This Row],[Order-Year-Month]])</f>
        <v>0.2</v>
      </c>
    </row>
    <row r="6411" spans="1:26" x14ac:dyDescent="0.2">
      <c r="A6411" s="6">
        <v>7093</v>
      </c>
      <c r="B6411" s="7">
        <v>50626</v>
      </c>
      <c r="C6411" s="8">
        <f>DATE(2012,12,31)-1168</f>
        <v>40106</v>
      </c>
      <c r="D6411" s="8" t="str">
        <f t="shared" si="118"/>
        <v>2009-10 (октябрь 2009)</v>
      </c>
      <c r="E6411" s="9" t="s">
        <v>63</v>
      </c>
      <c r="F6411" s="7">
        <v>18</v>
      </c>
      <c r="G6411" s="7">
        <v>3267.41</v>
      </c>
      <c r="H6411" s="7">
        <v>0</v>
      </c>
      <c r="I6411" s="9" t="s">
        <v>31</v>
      </c>
      <c r="J6411" s="10">
        <v>248.19</v>
      </c>
      <c r="K6411" s="11">
        <v>170.98</v>
      </c>
      <c r="L6411" s="11">
        <v>35.89</v>
      </c>
      <c r="M6411" s="9" t="s">
        <v>1493</v>
      </c>
      <c r="N6411" s="6" t="s">
        <v>1813</v>
      </c>
      <c r="O6411" s="6" t="s">
        <v>512</v>
      </c>
      <c r="P6411" s="9" t="s">
        <v>33</v>
      </c>
      <c r="Q6411" s="9" t="s">
        <v>49</v>
      </c>
      <c r="R6411" s="9" t="s">
        <v>80</v>
      </c>
      <c r="S6411" s="7" t="s">
        <v>964</v>
      </c>
      <c r="T6411" s="9" t="s">
        <v>82</v>
      </c>
      <c r="U6411" s="7">
        <v>0.66</v>
      </c>
      <c r="V6411" s="12">
        <f>C6411+1</f>
        <v>40107</v>
      </c>
      <c r="W6411">
        <f>IF(D6411=' Pivot Tables'!$A$4,1,0)</f>
        <v>0</v>
      </c>
      <c r="X6411">
        <f>IF(AND(LEFT(D6411,4)+1=LEFT(' Pivot Tables'!$A$4,4)+0,RIGHT(LEFT(D6411,7),2)=RIGHT(LEFT(' Pivot Tables'!$A$4,7),2)),1,0)</f>
        <v>0</v>
      </c>
      <c r="Y6411" s="6">
        <f>1/COUNTIF(Таблица1[Order ID],Таблица1[[#This Row],[Order ID]])</f>
        <v>0.5</v>
      </c>
      <c r="Z6411" s="9">
        <f>1/COUNTIFS(Таблица1[Customer Name],Таблица1[[#This Row],[Customer Name]],Таблица1[Order-Year-Month],Таблица1[[#This Row],[Order-Year-Month]])</f>
        <v>0.5</v>
      </c>
    </row>
    <row r="6412" spans="1:26" x14ac:dyDescent="0.2">
      <c r="A6412" s="6">
        <v>7094</v>
      </c>
      <c r="B6412" s="7">
        <v>50626</v>
      </c>
      <c r="C6412" s="8">
        <f>DATE(2012,12,31)-1168</f>
        <v>40106</v>
      </c>
      <c r="D6412" s="8" t="str">
        <f t="shared" si="118"/>
        <v>2009-10 (октябрь 2009)</v>
      </c>
      <c r="E6412" s="9" t="s">
        <v>63</v>
      </c>
      <c r="F6412" s="7">
        <v>42</v>
      </c>
      <c r="G6412" s="7">
        <v>26126.92</v>
      </c>
      <c r="H6412" s="7">
        <v>0.04</v>
      </c>
      <c r="I6412" s="9" t="s">
        <v>22</v>
      </c>
      <c r="J6412" s="10">
        <v>9498.6</v>
      </c>
      <c r="K6412" s="11">
        <v>599.99</v>
      </c>
      <c r="L6412" s="11">
        <v>24.49</v>
      </c>
      <c r="M6412" s="9" t="s">
        <v>1493</v>
      </c>
      <c r="N6412" s="6" t="s">
        <v>1813</v>
      </c>
      <c r="O6412" s="6" t="s">
        <v>512</v>
      </c>
      <c r="P6412" s="9" t="s">
        <v>33</v>
      </c>
      <c r="Q6412" s="9" t="s">
        <v>42</v>
      </c>
      <c r="R6412" s="9" t="s">
        <v>99</v>
      </c>
      <c r="S6412" s="7" t="s">
        <v>1349</v>
      </c>
      <c r="T6412" s="9" t="s">
        <v>29</v>
      </c>
      <c r="U6412" s="7">
        <v>0.5</v>
      </c>
      <c r="V6412" s="12">
        <f>C6412+2</f>
        <v>40108</v>
      </c>
      <c r="W6412">
        <f>IF(D6412=' Pivot Tables'!$A$4,1,0)</f>
        <v>0</v>
      </c>
      <c r="X6412">
        <f>IF(AND(LEFT(D6412,4)+1=LEFT(' Pivot Tables'!$A$4,4)+0,RIGHT(LEFT(D6412,7),2)=RIGHT(LEFT(' Pivot Tables'!$A$4,7),2)),1,0)</f>
        <v>0</v>
      </c>
      <c r="Y6412" s="6">
        <f>1/COUNTIF(Таблица1[Order ID],Таблица1[[#This Row],[Order ID]])</f>
        <v>0.5</v>
      </c>
      <c r="Z6412" s="9">
        <f>1/COUNTIFS(Таблица1[Customer Name],Таблица1[[#This Row],[Customer Name]],Таблица1[Order-Year-Month],Таблица1[[#This Row],[Order-Year-Month]])</f>
        <v>0.5</v>
      </c>
    </row>
    <row r="6413" spans="1:26" x14ac:dyDescent="0.2">
      <c r="A6413" s="6">
        <v>7099</v>
      </c>
      <c r="B6413" s="7">
        <v>50657</v>
      </c>
      <c r="C6413" s="8">
        <f>DATE(2012,12,31)-379</f>
        <v>40895</v>
      </c>
      <c r="D6413" s="8" t="str">
        <f t="shared" si="118"/>
        <v>2011-12 (декабрь 2011)</v>
      </c>
      <c r="E6413" s="9" t="s">
        <v>30</v>
      </c>
      <c r="F6413" s="7">
        <v>40</v>
      </c>
      <c r="G6413" s="7">
        <v>315.45</v>
      </c>
      <c r="H6413" s="7">
        <v>0.01</v>
      </c>
      <c r="I6413" s="9" t="s">
        <v>22</v>
      </c>
      <c r="J6413" s="10">
        <v>-305.87700000000001</v>
      </c>
      <c r="K6413" s="11">
        <v>7.38</v>
      </c>
      <c r="L6413" s="11">
        <v>11.51</v>
      </c>
      <c r="M6413" s="9" t="s">
        <v>1948</v>
      </c>
      <c r="N6413" s="6" t="s">
        <v>1813</v>
      </c>
      <c r="O6413" s="6" t="s">
        <v>512</v>
      </c>
      <c r="P6413" s="9" t="s">
        <v>41</v>
      </c>
      <c r="Q6413" s="9" t="s">
        <v>26</v>
      </c>
      <c r="R6413" s="9" t="s">
        <v>37</v>
      </c>
      <c r="S6413" s="7" t="s">
        <v>1685</v>
      </c>
      <c r="T6413" s="9" t="s">
        <v>39</v>
      </c>
      <c r="U6413" s="7">
        <v>0.36</v>
      </c>
      <c r="V6413" s="12">
        <f>C6413+1</f>
        <v>40896</v>
      </c>
      <c r="W6413">
        <f>IF(D6413=' Pivot Tables'!$A$4,1,0)</f>
        <v>0</v>
      </c>
      <c r="X6413">
        <f>IF(AND(LEFT(D6413,4)+1=LEFT(' Pivot Tables'!$A$4,4)+0,RIGHT(LEFT(D6413,7),2)=RIGHT(LEFT(' Pivot Tables'!$A$4,7),2)),1,0)</f>
        <v>0</v>
      </c>
      <c r="Y6413" s="6">
        <f>1/COUNTIF(Таблица1[Order ID],Таблица1[[#This Row],[Order ID]])</f>
        <v>0.33333333333333331</v>
      </c>
      <c r="Z6413" s="9">
        <f>1/COUNTIFS(Таблица1[Customer Name],Таблица1[[#This Row],[Customer Name]],Таблица1[Order-Year-Month],Таблица1[[#This Row],[Order-Year-Month]])</f>
        <v>0.33333333333333331</v>
      </c>
    </row>
    <row r="6414" spans="1:26" x14ac:dyDescent="0.2">
      <c r="A6414" s="6">
        <v>7100</v>
      </c>
      <c r="B6414" s="7">
        <v>50657</v>
      </c>
      <c r="C6414" s="8">
        <f>DATE(2012,12,31)-379</f>
        <v>40895</v>
      </c>
      <c r="D6414" s="8" t="str">
        <f t="shared" si="118"/>
        <v>2011-12 (декабрь 2011)</v>
      </c>
      <c r="E6414" s="9" t="s">
        <v>30</v>
      </c>
      <c r="F6414" s="7">
        <v>16</v>
      </c>
      <c r="G6414" s="7">
        <v>60.02</v>
      </c>
      <c r="H6414" s="7">
        <v>0.1</v>
      </c>
      <c r="I6414" s="9" t="s">
        <v>56</v>
      </c>
      <c r="J6414" s="10">
        <v>0.9399999999999995</v>
      </c>
      <c r="K6414" s="11">
        <v>3.71</v>
      </c>
      <c r="L6414" s="11">
        <v>1.93</v>
      </c>
      <c r="M6414" s="9" t="s">
        <v>1948</v>
      </c>
      <c r="N6414" s="6" t="s">
        <v>1813</v>
      </c>
      <c r="O6414" s="6" t="s">
        <v>512</v>
      </c>
      <c r="P6414" s="9" t="s">
        <v>41</v>
      </c>
      <c r="Q6414" s="9" t="s">
        <v>26</v>
      </c>
      <c r="R6414" s="9" t="s">
        <v>61</v>
      </c>
      <c r="S6414" s="7" t="s">
        <v>1170</v>
      </c>
      <c r="T6414" s="9" t="s">
        <v>68</v>
      </c>
      <c r="U6414" s="7">
        <v>0.35</v>
      </c>
      <c r="V6414" s="12">
        <f>C6414+2</f>
        <v>40897</v>
      </c>
      <c r="W6414">
        <f>IF(D6414=' Pivot Tables'!$A$4,1,0)</f>
        <v>0</v>
      </c>
      <c r="X6414">
        <f>IF(AND(LEFT(D6414,4)+1=LEFT(' Pivot Tables'!$A$4,4)+0,RIGHT(LEFT(D6414,7),2)=RIGHT(LEFT(' Pivot Tables'!$A$4,7),2)),1,0)</f>
        <v>0</v>
      </c>
      <c r="Y6414" s="6">
        <f>1/COUNTIF(Таблица1[Order ID],Таблица1[[#This Row],[Order ID]])</f>
        <v>0.33333333333333331</v>
      </c>
      <c r="Z6414" s="9">
        <f>1/COUNTIFS(Таблица1[Customer Name],Таблица1[[#This Row],[Customer Name]],Таблица1[Order-Year-Month],Таблица1[[#This Row],[Order-Year-Month]])</f>
        <v>0.33333333333333331</v>
      </c>
    </row>
    <row r="6415" spans="1:26" x14ac:dyDescent="0.2">
      <c r="A6415" s="6">
        <v>7101</v>
      </c>
      <c r="B6415" s="7">
        <v>50657</v>
      </c>
      <c r="C6415" s="8">
        <f>DATE(2012,12,31)-379</f>
        <v>40895</v>
      </c>
      <c r="D6415" s="8" t="str">
        <f t="shared" si="118"/>
        <v>2011-12 (декабрь 2011)</v>
      </c>
      <c r="E6415" s="9" t="s">
        <v>30</v>
      </c>
      <c r="F6415" s="7">
        <v>49</v>
      </c>
      <c r="G6415" s="7">
        <v>7413.29</v>
      </c>
      <c r="H6415" s="7">
        <v>0.01</v>
      </c>
      <c r="I6415" s="9" t="s">
        <v>31</v>
      </c>
      <c r="J6415" s="10">
        <v>1148.23</v>
      </c>
      <c r="K6415" s="11">
        <v>150.97999999999999</v>
      </c>
      <c r="L6415" s="11">
        <v>16.010000000000002</v>
      </c>
      <c r="M6415" s="9" t="s">
        <v>1948</v>
      </c>
      <c r="N6415" s="6" t="s">
        <v>1813</v>
      </c>
      <c r="O6415" s="6" t="s">
        <v>512</v>
      </c>
      <c r="P6415" s="9" t="s">
        <v>41</v>
      </c>
      <c r="Q6415" s="9" t="s">
        <v>49</v>
      </c>
      <c r="R6415" s="9" t="s">
        <v>83</v>
      </c>
      <c r="S6415" s="7" t="s">
        <v>1404</v>
      </c>
      <c r="T6415" s="9" t="s">
        <v>82</v>
      </c>
      <c r="U6415" s="7">
        <v>0.7</v>
      </c>
      <c r="V6415" s="12">
        <f>C6415+2</f>
        <v>40897</v>
      </c>
      <c r="W6415">
        <f>IF(D6415=' Pivot Tables'!$A$4,1,0)</f>
        <v>0</v>
      </c>
      <c r="X6415">
        <f>IF(AND(LEFT(D6415,4)+1=LEFT(' Pivot Tables'!$A$4,4)+0,RIGHT(LEFT(D6415,7),2)=RIGHT(LEFT(' Pivot Tables'!$A$4,7),2)),1,0)</f>
        <v>0</v>
      </c>
      <c r="Y6415" s="6">
        <f>1/COUNTIF(Таблица1[Order ID],Таблица1[[#This Row],[Order ID]])</f>
        <v>0.33333333333333331</v>
      </c>
      <c r="Z6415" s="9">
        <f>1/COUNTIFS(Таблица1[Customer Name],Таблица1[[#This Row],[Customer Name]],Таблица1[Order-Year-Month],Таблица1[[#This Row],[Order-Year-Month]])</f>
        <v>0.33333333333333331</v>
      </c>
    </row>
    <row r="6416" spans="1:26" x14ac:dyDescent="0.2">
      <c r="A6416" s="6">
        <v>7108</v>
      </c>
      <c r="B6416" s="7">
        <v>50725</v>
      </c>
      <c r="C6416" s="8">
        <f>DATE(2012,12,31)-769</f>
        <v>40505</v>
      </c>
      <c r="D6416" s="8" t="str">
        <f t="shared" si="118"/>
        <v>2010-11 (ноябрь 2010)</v>
      </c>
      <c r="E6416" s="9" t="s">
        <v>63</v>
      </c>
      <c r="F6416" s="7">
        <v>19</v>
      </c>
      <c r="G6416" s="7">
        <v>2441.1405</v>
      </c>
      <c r="H6416" s="7">
        <v>0.05</v>
      </c>
      <c r="I6416" s="9" t="s">
        <v>22</v>
      </c>
      <c r="J6416" s="10">
        <v>261.96299999999997</v>
      </c>
      <c r="K6416" s="11">
        <v>155.99</v>
      </c>
      <c r="L6416" s="11">
        <v>8.99</v>
      </c>
      <c r="M6416" s="9" t="s">
        <v>1500</v>
      </c>
      <c r="N6416" s="6" t="s">
        <v>1813</v>
      </c>
      <c r="O6416" s="6" t="s">
        <v>512</v>
      </c>
      <c r="P6416" s="9" t="s">
        <v>33</v>
      </c>
      <c r="Q6416" s="9" t="s">
        <v>42</v>
      </c>
      <c r="R6416" s="9" t="s">
        <v>43</v>
      </c>
      <c r="S6416" s="7" t="s">
        <v>416</v>
      </c>
      <c r="T6416" s="9" t="s">
        <v>39</v>
      </c>
      <c r="U6416" s="7">
        <v>0.55000000000000004</v>
      </c>
      <c r="V6416" s="12">
        <f>C6416+2</f>
        <v>40507</v>
      </c>
      <c r="W6416">
        <f>IF(D6416=' Pivot Tables'!$A$4,1,0)</f>
        <v>0</v>
      </c>
      <c r="X6416">
        <f>IF(AND(LEFT(D6416,4)+1=LEFT(' Pivot Tables'!$A$4,4)+0,RIGHT(LEFT(D6416,7),2)=RIGHT(LEFT(' Pivot Tables'!$A$4,7),2)),1,0)</f>
        <v>0</v>
      </c>
      <c r="Y6416" s="6">
        <f>1/COUNTIF(Таблица1[Order ID],Таблица1[[#This Row],[Order ID]])</f>
        <v>0.5</v>
      </c>
      <c r="Z6416" s="9">
        <f>1/COUNTIFS(Таблица1[Customer Name],Таблица1[[#This Row],[Customer Name]],Таблица1[Order-Year-Month],Таблица1[[#This Row],[Order-Year-Month]])</f>
        <v>0.5</v>
      </c>
    </row>
    <row r="6417" spans="1:26" x14ac:dyDescent="0.2">
      <c r="A6417" s="6">
        <v>7170</v>
      </c>
      <c r="B6417" s="7">
        <v>51175</v>
      </c>
      <c r="C6417" s="8">
        <f>DATE(2012,12,31)-139</f>
        <v>41135</v>
      </c>
      <c r="D6417" s="8" t="str">
        <f t="shared" si="118"/>
        <v>2012-08 (август 2012)</v>
      </c>
      <c r="E6417" s="9" t="s">
        <v>30</v>
      </c>
      <c r="F6417" s="7">
        <v>28</v>
      </c>
      <c r="G6417" s="7">
        <v>1135.24</v>
      </c>
      <c r="H6417" s="7">
        <v>0.06</v>
      </c>
      <c r="I6417" s="9" t="s">
        <v>22</v>
      </c>
      <c r="J6417" s="10">
        <v>271.81</v>
      </c>
      <c r="K6417" s="11">
        <v>41.71</v>
      </c>
      <c r="L6417" s="11">
        <v>4.5</v>
      </c>
      <c r="M6417" s="9" t="s">
        <v>2007</v>
      </c>
      <c r="N6417" s="6" t="s">
        <v>1813</v>
      </c>
      <c r="O6417" s="6" t="s">
        <v>512</v>
      </c>
      <c r="P6417" s="9" t="s">
        <v>33</v>
      </c>
      <c r="Q6417" s="9" t="s">
        <v>26</v>
      </c>
      <c r="R6417" s="9" t="s">
        <v>34</v>
      </c>
      <c r="S6417" s="7" t="s">
        <v>768</v>
      </c>
      <c r="T6417" s="9" t="s">
        <v>39</v>
      </c>
      <c r="U6417" s="7">
        <v>0.56000000000000005</v>
      </c>
      <c r="V6417" s="12">
        <f>C6417+0</f>
        <v>41135</v>
      </c>
      <c r="W6417">
        <f>IF(D6417=' Pivot Tables'!$A$4,1,0)</f>
        <v>0</v>
      </c>
      <c r="X6417">
        <f>IF(AND(LEFT(D6417,4)+1=LEFT(' Pivot Tables'!$A$4,4)+0,RIGHT(LEFT(D6417,7),2)=RIGHT(LEFT(' Pivot Tables'!$A$4,7),2)),1,0)</f>
        <v>0</v>
      </c>
      <c r="Y6417" s="6">
        <f>1/COUNTIF(Таблица1[Order ID],Таблица1[[#This Row],[Order ID]])</f>
        <v>0.5</v>
      </c>
      <c r="Z6417" s="9">
        <f>1/COUNTIFS(Таблица1[Customer Name],Таблица1[[#This Row],[Customer Name]],Таблица1[Order-Year-Month],Таблица1[[#This Row],[Order-Year-Month]])</f>
        <v>0.5</v>
      </c>
    </row>
    <row r="6418" spans="1:26" x14ac:dyDescent="0.2">
      <c r="A6418" s="6">
        <v>7171</v>
      </c>
      <c r="B6418" s="7">
        <v>51175</v>
      </c>
      <c r="C6418" s="8">
        <f>DATE(2012,12,31)-139</f>
        <v>41135</v>
      </c>
      <c r="D6418" s="8" t="str">
        <f t="shared" si="118"/>
        <v>2012-08 (август 2012)</v>
      </c>
      <c r="E6418" s="9" t="s">
        <v>30</v>
      </c>
      <c r="F6418" s="7">
        <v>3</v>
      </c>
      <c r="G6418" s="7">
        <v>2136.9299999999998</v>
      </c>
      <c r="H6418" s="7">
        <v>0.04</v>
      </c>
      <c r="I6418" s="9" t="s">
        <v>22</v>
      </c>
      <c r="J6418" s="10">
        <v>-2297.48</v>
      </c>
      <c r="K6418" s="11">
        <v>699.99</v>
      </c>
      <c r="L6418" s="11">
        <v>24.49</v>
      </c>
      <c r="M6418" s="9" t="s">
        <v>2007</v>
      </c>
      <c r="N6418" s="6" t="s">
        <v>1813</v>
      </c>
      <c r="O6418" s="6" t="s">
        <v>512</v>
      </c>
      <c r="P6418" s="9" t="s">
        <v>33</v>
      </c>
      <c r="Q6418" s="9" t="s">
        <v>42</v>
      </c>
      <c r="R6418" s="9" t="s">
        <v>99</v>
      </c>
      <c r="S6418" s="7" t="s">
        <v>411</v>
      </c>
      <c r="T6418" s="9" t="s">
        <v>29</v>
      </c>
      <c r="U6418" s="7">
        <v>0.41</v>
      </c>
      <c r="V6418" s="12">
        <f>C6418+1</f>
        <v>41136</v>
      </c>
      <c r="W6418">
        <f>IF(D6418=' Pivot Tables'!$A$4,1,0)</f>
        <v>0</v>
      </c>
      <c r="X6418">
        <f>IF(AND(LEFT(D6418,4)+1=LEFT(' Pivot Tables'!$A$4,4)+0,RIGHT(LEFT(D6418,7),2)=RIGHT(LEFT(' Pivot Tables'!$A$4,7),2)),1,0)</f>
        <v>0</v>
      </c>
      <c r="Y6418" s="6">
        <f>1/COUNTIF(Таблица1[Order ID],Таблица1[[#This Row],[Order ID]])</f>
        <v>0.5</v>
      </c>
      <c r="Z6418" s="9">
        <f>1/COUNTIFS(Таблица1[Customer Name],Таблица1[[#This Row],[Customer Name]],Таблица1[Order-Year-Month],Таблица1[[#This Row],[Order-Year-Month]])</f>
        <v>0.5</v>
      </c>
    </row>
    <row r="6419" spans="1:26" x14ac:dyDescent="0.2">
      <c r="A6419" s="6">
        <v>7174</v>
      </c>
      <c r="B6419" s="7">
        <v>51202</v>
      </c>
      <c r="C6419" s="8">
        <f>DATE(2012,12,31)-262</f>
        <v>41012</v>
      </c>
      <c r="D6419" s="8" t="str">
        <f t="shared" si="118"/>
        <v>2012-04 (апрель 2012)</v>
      </c>
      <c r="E6419" s="9" t="s">
        <v>30</v>
      </c>
      <c r="F6419" s="7">
        <v>4</v>
      </c>
      <c r="G6419" s="7">
        <v>30.89</v>
      </c>
      <c r="H6419" s="7">
        <v>0.06</v>
      </c>
      <c r="I6419" s="9" t="s">
        <v>22</v>
      </c>
      <c r="J6419" s="10">
        <v>-19.55</v>
      </c>
      <c r="K6419" s="11">
        <v>5.78</v>
      </c>
      <c r="L6419" s="11">
        <v>7.64</v>
      </c>
      <c r="M6419" s="9" t="s">
        <v>1999</v>
      </c>
      <c r="N6419" s="6" t="s">
        <v>1813</v>
      </c>
      <c r="O6419" s="6" t="s">
        <v>512</v>
      </c>
      <c r="P6419" s="9" t="s">
        <v>25</v>
      </c>
      <c r="Q6419" s="9" t="s">
        <v>26</v>
      </c>
      <c r="R6419" s="9" t="s">
        <v>61</v>
      </c>
      <c r="S6419" s="7" t="s">
        <v>804</v>
      </c>
      <c r="T6419" s="9" t="s">
        <v>39</v>
      </c>
      <c r="U6419" s="7">
        <v>0.36</v>
      </c>
      <c r="V6419" s="12">
        <f>C6419+2</f>
        <v>41014</v>
      </c>
      <c r="W6419">
        <f>IF(D6419=' Pivot Tables'!$A$4,1,0)</f>
        <v>0</v>
      </c>
      <c r="X6419">
        <f>IF(AND(LEFT(D6419,4)+1=LEFT(' Pivot Tables'!$A$4,4)+0,RIGHT(LEFT(D6419,7),2)=RIGHT(LEFT(' Pivot Tables'!$A$4,7),2)),1,0)</f>
        <v>0</v>
      </c>
      <c r="Y6419" s="6">
        <f>1/COUNTIF(Таблица1[Order ID],Таблица1[[#This Row],[Order ID]])</f>
        <v>0.5</v>
      </c>
      <c r="Z6419" s="9">
        <f>1/COUNTIFS(Таблица1[Customer Name],Таблица1[[#This Row],[Customer Name]],Таблица1[Order-Year-Month],Таблица1[[#This Row],[Order-Year-Month]])</f>
        <v>0.5</v>
      </c>
    </row>
    <row r="6420" spans="1:26" x14ac:dyDescent="0.2">
      <c r="A6420" s="6">
        <v>7175</v>
      </c>
      <c r="B6420" s="7">
        <v>51202</v>
      </c>
      <c r="C6420" s="8">
        <f>DATE(2012,12,31)-262</f>
        <v>41012</v>
      </c>
      <c r="D6420" s="8" t="str">
        <f t="shared" si="118"/>
        <v>2012-04 (апрель 2012)</v>
      </c>
      <c r="E6420" s="9" t="s">
        <v>30</v>
      </c>
      <c r="F6420" s="7">
        <v>34</v>
      </c>
      <c r="G6420" s="7">
        <v>170.46</v>
      </c>
      <c r="H6420" s="7">
        <v>0.1</v>
      </c>
      <c r="I6420" s="9" t="s">
        <v>22</v>
      </c>
      <c r="J6420" s="10">
        <v>-104.35</v>
      </c>
      <c r="K6420" s="11">
        <v>5.28</v>
      </c>
      <c r="L6420" s="11">
        <v>5.66</v>
      </c>
      <c r="M6420" s="9" t="s">
        <v>1999</v>
      </c>
      <c r="N6420" s="6" t="s">
        <v>1813</v>
      </c>
      <c r="O6420" s="6" t="s">
        <v>512</v>
      </c>
      <c r="P6420" s="9" t="s">
        <v>25</v>
      </c>
      <c r="Q6420" s="9" t="s">
        <v>26</v>
      </c>
      <c r="R6420" s="9" t="s">
        <v>61</v>
      </c>
      <c r="S6420" s="7" t="s">
        <v>424</v>
      </c>
      <c r="T6420" s="9" t="s">
        <v>39</v>
      </c>
      <c r="U6420" s="7">
        <v>0.4</v>
      </c>
      <c r="V6420" s="12">
        <f>C6420+1</f>
        <v>41013</v>
      </c>
      <c r="W6420">
        <f>IF(D6420=' Pivot Tables'!$A$4,1,0)</f>
        <v>0</v>
      </c>
      <c r="X6420">
        <f>IF(AND(LEFT(D6420,4)+1=LEFT(' Pivot Tables'!$A$4,4)+0,RIGHT(LEFT(D6420,7),2)=RIGHT(LEFT(' Pivot Tables'!$A$4,7),2)),1,0)</f>
        <v>0</v>
      </c>
      <c r="Y6420" s="6">
        <f>1/COUNTIF(Таблица1[Order ID],Таблица1[[#This Row],[Order ID]])</f>
        <v>0.5</v>
      </c>
      <c r="Z6420" s="9">
        <f>1/COUNTIFS(Таблица1[Customer Name],Таблица1[[#This Row],[Customer Name]],Таблица1[Order-Year-Month],Таблица1[[#This Row],[Order-Year-Month]])</f>
        <v>0.5</v>
      </c>
    </row>
    <row r="6421" spans="1:26" x14ac:dyDescent="0.2">
      <c r="A6421" s="6">
        <v>7213</v>
      </c>
      <c r="B6421" s="7">
        <v>51488</v>
      </c>
      <c r="C6421" s="8">
        <f>DATE(2012,12,31)-974</f>
        <v>40300</v>
      </c>
      <c r="D6421" s="8" t="str">
        <f t="shared" si="118"/>
        <v>2010-05 (май 2010)</v>
      </c>
      <c r="E6421" s="9" t="s">
        <v>30</v>
      </c>
      <c r="F6421" s="7">
        <v>31</v>
      </c>
      <c r="G6421" s="7">
        <v>1561.96</v>
      </c>
      <c r="H6421" s="7">
        <v>0.03</v>
      </c>
      <c r="I6421" s="9" t="s">
        <v>22</v>
      </c>
      <c r="J6421" s="10">
        <v>119.92</v>
      </c>
      <c r="K6421" s="11">
        <v>50.98</v>
      </c>
      <c r="L6421" s="11">
        <v>13.66</v>
      </c>
      <c r="M6421" s="9" t="s">
        <v>1158</v>
      </c>
      <c r="N6421" s="6" t="s">
        <v>1813</v>
      </c>
      <c r="O6421" s="6" t="s">
        <v>512</v>
      </c>
      <c r="P6421" s="9" t="s">
        <v>41</v>
      </c>
      <c r="Q6421" s="9" t="s">
        <v>26</v>
      </c>
      <c r="R6421" s="9" t="s">
        <v>34</v>
      </c>
      <c r="S6421" s="7" t="s">
        <v>517</v>
      </c>
      <c r="T6421" s="9" t="s">
        <v>39</v>
      </c>
      <c r="U6421" s="7">
        <v>0.57999999999999996</v>
      </c>
      <c r="V6421" s="12">
        <f>C6421+1</f>
        <v>40301</v>
      </c>
      <c r="W6421">
        <f>IF(D6421=' Pivot Tables'!$A$4,1,0)</f>
        <v>0</v>
      </c>
      <c r="X6421">
        <f>IF(AND(LEFT(D6421,4)+1=LEFT(' Pivot Tables'!$A$4,4)+0,RIGHT(LEFT(D6421,7),2)=RIGHT(LEFT(' Pivot Tables'!$A$4,7),2)),1,0)</f>
        <v>0</v>
      </c>
      <c r="Y6421" s="6">
        <f>1/COUNTIF(Таблица1[Order ID],Таблица1[[#This Row],[Order ID]])</f>
        <v>1</v>
      </c>
      <c r="Z6421" s="9">
        <f>1/COUNTIFS(Таблица1[Customer Name],Таблица1[[#This Row],[Customer Name]],Таблица1[Order-Year-Month],Таблица1[[#This Row],[Order-Year-Month]])</f>
        <v>1</v>
      </c>
    </row>
    <row r="6422" spans="1:26" x14ac:dyDescent="0.2">
      <c r="A6422" s="6">
        <v>7271</v>
      </c>
      <c r="B6422" s="7">
        <v>51873</v>
      </c>
      <c r="C6422" s="8">
        <f>DATE(2012,12,31)-1335</f>
        <v>39939</v>
      </c>
      <c r="D6422" s="8" t="str">
        <f t="shared" si="118"/>
        <v>2009-05 (май 2009)</v>
      </c>
      <c r="E6422" s="9" t="s">
        <v>30</v>
      </c>
      <c r="F6422" s="7">
        <v>29</v>
      </c>
      <c r="G6422" s="7">
        <v>265.92</v>
      </c>
      <c r="H6422" s="7">
        <v>0.04</v>
      </c>
      <c r="I6422" s="9" t="s">
        <v>22</v>
      </c>
      <c r="J6422" s="10">
        <v>79.67</v>
      </c>
      <c r="K6422" s="11">
        <v>9.11</v>
      </c>
      <c r="L6422" s="11">
        <v>2.15</v>
      </c>
      <c r="M6422" s="9" t="s">
        <v>1500</v>
      </c>
      <c r="N6422" s="6" t="s">
        <v>1813</v>
      </c>
      <c r="O6422" s="6" t="s">
        <v>512</v>
      </c>
      <c r="P6422" s="9" t="s">
        <v>33</v>
      </c>
      <c r="Q6422" s="9" t="s">
        <v>26</v>
      </c>
      <c r="R6422" s="9" t="s">
        <v>61</v>
      </c>
      <c r="S6422" s="7" t="s">
        <v>1402</v>
      </c>
      <c r="T6422" s="9" t="s">
        <v>68</v>
      </c>
      <c r="U6422" s="7">
        <v>0.4</v>
      </c>
      <c r="V6422" s="12">
        <f>C6422+0</f>
        <v>39939</v>
      </c>
      <c r="W6422">
        <f>IF(D6422=' Pivot Tables'!$A$4,1,0)</f>
        <v>0</v>
      </c>
      <c r="X6422">
        <f>IF(AND(LEFT(D6422,4)+1=LEFT(' Pivot Tables'!$A$4,4)+0,RIGHT(LEFT(D6422,7),2)=RIGHT(LEFT(' Pivot Tables'!$A$4,7),2)),1,0)</f>
        <v>0</v>
      </c>
      <c r="Y6422" s="6">
        <f>1/COUNTIF(Таблица1[Order ID],Таблица1[[#This Row],[Order ID]])</f>
        <v>1</v>
      </c>
      <c r="Z6422" s="9">
        <f>1/COUNTIFS(Таблица1[Customer Name],Таблица1[[#This Row],[Customer Name]],Таблица1[Order-Year-Month],Таблица1[[#This Row],[Order-Year-Month]])</f>
        <v>1</v>
      </c>
    </row>
    <row r="6423" spans="1:26" x14ac:dyDescent="0.2">
      <c r="A6423" s="6">
        <v>7397</v>
      </c>
      <c r="B6423" s="7">
        <v>52711</v>
      </c>
      <c r="C6423" s="8">
        <f>DATE(2012,12,31)-465</f>
        <v>40809</v>
      </c>
      <c r="D6423" s="8" t="str">
        <f t="shared" si="118"/>
        <v>2011-09 (сентябрь 2011)</v>
      </c>
      <c r="E6423" s="9" t="s">
        <v>45</v>
      </c>
      <c r="F6423" s="7">
        <v>7</v>
      </c>
      <c r="G6423" s="7">
        <v>220.79</v>
      </c>
      <c r="H6423" s="7">
        <v>0</v>
      </c>
      <c r="I6423" s="9" t="s">
        <v>22</v>
      </c>
      <c r="J6423" s="10">
        <v>-91.51</v>
      </c>
      <c r="K6423" s="11">
        <v>30.97</v>
      </c>
      <c r="L6423" s="11">
        <v>4</v>
      </c>
      <c r="M6423" s="9" t="s">
        <v>1376</v>
      </c>
      <c r="N6423" s="6" t="s">
        <v>1813</v>
      </c>
      <c r="O6423" s="6" t="s">
        <v>512</v>
      </c>
      <c r="P6423" s="9" t="s">
        <v>60</v>
      </c>
      <c r="Q6423" s="9" t="s">
        <v>42</v>
      </c>
      <c r="R6423" s="9" t="s">
        <v>70</v>
      </c>
      <c r="S6423" s="7" t="s">
        <v>942</v>
      </c>
      <c r="T6423" s="9" t="s">
        <v>39</v>
      </c>
      <c r="U6423" s="7">
        <v>0.74</v>
      </c>
      <c r="V6423" s="12">
        <f>C6423+2</f>
        <v>40811</v>
      </c>
      <c r="W6423">
        <f>IF(D6423=' Pivot Tables'!$A$4,1,0)</f>
        <v>0</v>
      </c>
      <c r="X6423">
        <f>IF(AND(LEFT(D6423,4)+1=LEFT(' Pivot Tables'!$A$4,4)+0,RIGHT(LEFT(D6423,7),2)=RIGHT(LEFT(' Pivot Tables'!$A$4,7),2)),1,0)</f>
        <v>0</v>
      </c>
      <c r="Y6423" s="6">
        <f>1/COUNTIF(Таблица1[Order ID],Таблица1[[#This Row],[Order ID]])</f>
        <v>0.33333333333333331</v>
      </c>
      <c r="Z6423" s="9">
        <f>1/COUNTIFS(Таблица1[Customer Name],Таблица1[[#This Row],[Customer Name]],Таблица1[Order-Year-Month],Таблица1[[#This Row],[Order-Year-Month]])</f>
        <v>0.33333333333333331</v>
      </c>
    </row>
    <row r="6424" spans="1:26" x14ac:dyDescent="0.2">
      <c r="A6424" s="6">
        <v>7398</v>
      </c>
      <c r="B6424" s="7">
        <v>52711</v>
      </c>
      <c r="C6424" s="8">
        <f>DATE(2012,12,31)-465</f>
        <v>40809</v>
      </c>
      <c r="D6424" s="8" t="str">
        <f t="shared" si="118"/>
        <v>2011-09 (сентябрь 2011)</v>
      </c>
      <c r="E6424" s="9" t="s">
        <v>45</v>
      </c>
      <c r="F6424" s="7">
        <v>41</v>
      </c>
      <c r="G6424" s="7">
        <v>755.19</v>
      </c>
      <c r="H6424" s="7">
        <v>0</v>
      </c>
      <c r="I6424" s="9" t="s">
        <v>22</v>
      </c>
      <c r="J6424" s="10">
        <v>81.44</v>
      </c>
      <c r="K6424" s="11">
        <v>17.670000000000002</v>
      </c>
      <c r="L6424" s="11">
        <v>8.99</v>
      </c>
      <c r="M6424" s="9" t="s">
        <v>1376</v>
      </c>
      <c r="N6424" s="6" t="s">
        <v>1813</v>
      </c>
      <c r="O6424" s="6" t="s">
        <v>512</v>
      </c>
      <c r="P6424" s="9" t="s">
        <v>60</v>
      </c>
      <c r="Q6424" s="9" t="s">
        <v>49</v>
      </c>
      <c r="R6424" s="9" t="s">
        <v>50</v>
      </c>
      <c r="S6424" s="7" t="s">
        <v>763</v>
      </c>
      <c r="T6424" s="9" t="s">
        <v>52</v>
      </c>
      <c r="U6424" s="7">
        <v>0.47</v>
      </c>
      <c r="V6424" s="12">
        <f>C6424+2</f>
        <v>40811</v>
      </c>
      <c r="W6424">
        <f>IF(D6424=' Pivot Tables'!$A$4,1,0)</f>
        <v>0</v>
      </c>
      <c r="X6424">
        <f>IF(AND(LEFT(D6424,4)+1=LEFT(' Pivot Tables'!$A$4,4)+0,RIGHT(LEFT(D6424,7),2)=RIGHT(LEFT(' Pivot Tables'!$A$4,7),2)),1,0)</f>
        <v>0</v>
      </c>
      <c r="Y6424" s="6">
        <f>1/COUNTIF(Таблица1[Order ID],Таблица1[[#This Row],[Order ID]])</f>
        <v>0.33333333333333331</v>
      </c>
      <c r="Z6424" s="9">
        <f>1/COUNTIFS(Таблица1[Customer Name],Таблица1[[#This Row],[Customer Name]],Таблица1[Order-Year-Month],Таблица1[[#This Row],[Order-Year-Month]])</f>
        <v>0.33333333333333331</v>
      </c>
    </row>
    <row r="6425" spans="1:26" x14ac:dyDescent="0.2">
      <c r="A6425" s="6">
        <v>7460</v>
      </c>
      <c r="B6425" s="7">
        <v>53222</v>
      </c>
      <c r="C6425" s="8">
        <f>DATE(2012,12,31)-1169</f>
        <v>40105</v>
      </c>
      <c r="D6425" s="8" t="str">
        <f t="shared" si="118"/>
        <v>2009-10 (октябрь 2009)</v>
      </c>
      <c r="E6425" s="9" t="s">
        <v>21</v>
      </c>
      <c r="F6425" s="7">
        <v>2</v>
      </c>
      <c r="G6425" s="7">
        <v>21.71</v>
      </c>
      <c r="H6425" s="7">
        <v>7.0000000000000007E-2</v>
      </c>
      <c r="I6425" s="9" t="s">
        <v>22</v>
      </c>
      <c r="J6425" s="10">
        <v>-15.13</v>
      </c>
      <c r="K6425" s="11">
        <v>6.48</v>
      </c>
      <c r="L6425" s="11">
        <v>9.5399999999999991</v>
      </c>
      <c r="M6425" s="9" t="s">
        <v>1713</v>
      </c>
      <c r="N6425" s="6" t="s">
        <v>1813</v>
      </c>
      <c r="O6425" s="6" t="s">
        <v>512</v>
      </c>
      <c r="P6425" s="9" t="s">
        <v>25</v>
      </c>
      <c r="Q6425" s="9" t="s">
        <v>26</v>
      </c>
      <c r="R6425" s="9" t="s">
        <v>61</v>
      </c>
      <c r="S6425" s="7" t="s">
        <v>518</v>
      </c>
      <c r="T6425" s="9" t="s">
        <v>39</v>
      </c>
      <c r="U6425" s="7">
        <v>0.37</v>
      </c>
      <c r="V6425" s="12">
        <f>C6425+0</f>
        <v>40105</v>
      </c>
      <c r="W6425">
        <f>IF(D6425=' Pivot Tables'!$A$4,1,0)</f>
        <v>0</v>
      </c>
      <c r="X6425">
        <f>IF(AND(LEFT(D6425,4)+1=LEFT(' Pivot Tables'!$A$4,4)+0,RIGHT(LEFT(D6425,7),2)=RIGHT(LEFT(' Pivot Tables'!$A$4,7),2)),1,0)</f>
        <v>0</v>
      </c>
      <c r="Y6425" s="6">
        <f>1/COUNTIF(Таблица1[Order ID],Таблица1[[#This Row],[Order ID]])</f>
        <v>1</v>
      </c>
      <c r="Z6425" s="9">
        <f>1/COUNTIFS(Таблица1[Customer Name],Таблица1[[#This Row],[Customer Name]],Таблица1[Order-Year-Month],Таблица1[[#This Row],[Order-Year-Month]])</f>
        <v>1</v>
      </c>
    </row>
    <row r="6426" spans="1:26" x14ac:dyDescent="0.2">
      <c r="A6426" s="6">
        <v>7568</v>
      </c>
      <c r="B6426" s="7">
        <v>54146</v>
      </c>
      <c r="C6426" s="8">
        <f>DATE(2012,12,31)-805</f>
        <v>40469</v>
      </c>
      <c r="D6426" s="8" t="str">
        <f t="shared" si="118"/>
        <v>2010-10 (октябрь 2010)</v>
      </c>
      <c r="E6426" s="9" t="s">
        <v>21</v>
      </c>
      <c r="F6426" s="7">
        <v>3</v>
      </c>
      <c r="G6426" s="7">
        <v>124.75</v>
      </c>
      <c r="H6426" s="7">
        <v>0.06</v>
      </c>
      <c r="I6426" s="9" t="s">
        <v>22</v>
      </c>
      <c r="J6426" s="10">
        <v>-112.64</v>
      </c>
      <c r="K6426" s="11">
        <v>40.96</v>
      </c>
      <c r="L6426" s="11">
        <v>1.99</v>
      </c>
      <c r="M6426" s="9" t="s">
        <v>1692</v>
      </c>
      <c r="N6426" s="6" t="s">
        <v>1813</v>
      </c>
      <c r="O6426" s="6" t="s">
        <v>512</v>
      </c>
      <c r="P6426" s="9" t="s">
        <v>41</v>
      </c>
      <c r="Q6426" s="9" t="s">
        <v>42</v>
      </c>
      <c r="R6426" s="9" t="s">
        <v>70</v>
      </c>
      <c r="S6426" s="7" t="s">
        <v>110</v>
      </c>
      <c r="T6426" s="9" t="s">
        <v>52</v>
      </c>
      <c r="U6426" s="7">
        <v>0.55000000000000004</v>
      </c>
      <c r="V6426" s="12">
        <f>C6426+5</f>
        <v>40474</v>
      </c>
      <c r="W6426">
        <f>IF(D6426=' Pivot Tables'!$A$4,1,0)</f>
        <v>0</v>
      </c>
      <c r="X6426">
        <f>IF(AND(LEFT(D6426,4)+1=LEFT(' Pivot Tables'!$A$4,4)+0,RIGHT(LEFT(D6426,7),2)=RIGHT(LEFT(' Pivot Tables'!$A$4,7),2)),1,0)</f>
        <v>0</v>
      </c>
      <c r="Y6426" s="6">
        <f>1/COUNTIF(Таблица1[Order ID],Таблица1[[#This Row],[Order ID]])</f>
        <v>1</v>
      </c>
      <c r="Z6426" s="9">
        <f>1/COUNTIFS(Таблица1[Customer Name],Таблица1[[#This Row],[Customer Name]],Таблица1[Order-Year-Month],Таблица1[[#This Row],[Order-Year-Month]])</f>
        <v>1</v>
      </c>
    </row>
    <row r="6427" spans="1:26" x14ac:dyDescent="0.2">
      <c r="A6427" s="6">
        <v>7646</v>
      </c>
      <c r="B6427" s="7">
        <v>54791</v>
      </c>
      <c r="C6427" s="8">
        <f>DATE(2012,12,31)-11</f>
        <v>41263</v>
      </c>
      <c r="D6427" s="8" t="str">
        <f t="shared" si="118"/>
        <v>2012-12 (декабрь 2012)</v>
      </c>
      <c r="E6427" s="9" t="s">
        <v>30</v>
      </c>
      <c r="F6427" s="7">
        <v>27</v>
      </c>
      <c r="G6427" s="7">
        <v>1087.58</v>
      </c>
      <c r="H6427" s="7">
        <v>0.01</v>
      </c>
      <c r="I6427" s="9" t="s">
        <v>22</v>
      </c>
      <c r="J6427" s="10">
        <v>514.45000000000005</v>
      </c>
      <c r="K6427" s="11">
        <v>39.89</v>
      </c>
      <c r="L6427" s="11">
        <v>3.04</v>
      </c>
      <c r="M6427" s="9" t="s">
        <v>833</v>
      </c>
      <c r="N6427" s="6" t="s">
        <v>1813</v>
      </c>
      <c r="O6427" s="6" t="s">
        <v>512</v>
      </c>
      <c r="P6427" s="9" t="s">
        <v>41</v>
      </c>
      <c r="Q6427" s="9" t="s">
        <v>49</v>
      </c>
      <c r="R6427" s="9" t="s">
        <v>50</v>
      </c>
      <c r="S6427" s="7" t="s">
        <v>74</v>
      </c>
      <c r="T6427" s="9" t="s">
        <v>68</v>
      </c>
      <c r="U6427" s="7">
        <v>0.53</v>
      </c>
      <c r="V6427" s="12">
        <f>C6427+1</f>
        <v>41264</v>
      </c>
      <c r="W6427">
        <f>IF(D6427=' Pivot Tables'!$A$4,1,0)</f>
        <v>0</v>
      </c>
      <c r="X6427">
        <f>IF(AND(LEFT(D6427,4)+1=LEFT(' Pivot Tables'!$A$4,4)+0,RIGHT(LEFT(D6427,7),2)=RIGHT(LEFT(' Pivot Tables'!$A$4,7),2)),1,0)</f>
        <v>0</v>
      </c>
      <c r="Y6427" s="6">
        <f>1/COUNTIF(Таблица1[Order ID],Таблица1[[#This Row],[Order ID]])</f>
        <v>0.33333333333333331</v>
      </c>
      <c r="Z6427" s="9">
        <f>1/COUNTIFS(Таблица1[Customer Name],Таблица1[[#This Row],[Customer Name]],Таблица1[Order-Year-Month],Таблица1[[#This Row],[Order-Year-Month]])</f>
        <v>0.33333333333333331</v>
      </c>
    </row>
    <row r="6428" spans="1:26" x14ac:dyDescent="0.2">
      <c r="A6428" s="6">
        <v>7647</v>
      </c>
      <c r="B6428" s="7">
        <v>54791</v>
      </c>
      <c r="C6428" s="8">
        <f>DATE(2012,12,31)-11</f>
        <v>41263</v>
      </c>
      <c r="D6428" s="8" t="str">
        <f t="shared" si="118"/>
        <v>2012-12 (декабрь 2012)</v>
      </c>
      <c r="E6428" s="9" t="s">
        <v>30</v>
      </c>
      <c r="F6428" s="7">
        <v>42</v>
      </c>
      <c r="G6428" s="7">
        <v>4273.3500000000004</v>
      </c>
      <c r="H6428" s="7">
        <v>7.0000000000000007E-2</v>
      </c>
      <c r="I6428" s="9" t="s">
        <v>22</v>
      </c>
      <c r="J6428" s="10">
        <v>-892.03</v>
      </c>
      <c r="K6428" s="11">
        <v>101.41</v>
      </c>
      <c r="L6428" s="11">
        <v>35</v>
      </c>
      <c r="M6428" s="9" t="s">
        <v>833</v>
      </c>
      <c r="N6428" s="6" t="s">
        <v>1813</v>
      </c>
      <c r="O6428" s="6" t="s">
        <v>512</v>
      </c>
      <c r="P6428" s="9" t="s">
        <v>41</v>
      </c>
      <c r="Q6428" s="9" t="s">
        <v>26</v>
      </c>
      <c r="R6428" s="9" t="s">
        <v>27</v>
      </c>
      <c r="S6428" s="7" t="s">
        <v>1231</v>
      </c>
      <c r="T6428" s="9" t="s">
        <v>29</v>
      </c>
      <c r="U6428" s="7">
        <v>0.82</v>
      </c>
      <c r="V6428" s="12">
        <f>C6428+2</f>
        <v>41265</v>
      </c>
      <c r="W6428">
        <f>IF(D6428=' Pivot Tables'!$A$4,1,0)</f>
        <v>0</v>
      </c>
      <c r="X6428">
        <f>IF(AND(LEFT(D6428,4)+1=LEFT(' Pivot Tables'!$A$4,4)+0,RIGHT(LEFT(D6428,7),2)=RIGHT(LEFT(' Pivot Tables'!$A$4,7),2)),1,0)</f>
        <v>0</v>
      </c>
      <c r="Y6428" s="6">
        <f>1/COUNTIF(Таблица1[Order ID],Таблица1[[#This Row],[Order ID]])</f>
        <v>0.33333333333333331</v>
      </c>
      <c r="Z6428" s="9">
        <f>1/COUNTIFS(Таблица1[Customer Name],Таблица1[[#This Row],[Customer Name]],Таблица1[Order-Year-Month],Таблица1[[#This Row],[Order-Year-Month]])</f>
        <v>0.33333333333333331</v>
      </c>
    </row>
    <row r="6429" spans="1:26" x14ac:dyDescent="0.2">
      <c r="A6429" s="6">
        <v>7723</v>
      </c>
      <c r="B6429" s="7">
        <v>55335</v>
      </c>
      <c r="C6429" s="8">
        <f>DATE(2012,12,31)-107</f>
        <v>41167</v>
      </c>
      <c r="D6429" s="8" t="str">
        <f t="shared" si="118"/>
        <v>2012-09 (сентябрь 2012)</v>
      </c>
      <c r="E6429" s="9" t="s">
        <v>45</v>
      </c>
      <c r="F6429" s="7">
        <v>30</v>
      </c>
      <c r="G6429" s="7">
        <v>8684.23</v>
      </c>
      <c r="H6429" s="7">
        <v>0.05</v>
      </c>
      <c r="I6429" s="9" t="s">
        <v>31</v>
      </c>
      <c r="J6429" s="10">
        <v>1488.77</v>
      </c>
      <c r="K6429" s="11">
        <v>280.98</v>
      </c>
      <c r="L6429" s="11">
        <v>35.67</v>
      </c>
      <c r="M6429" s="9" t="s">
        <v>1500</v>
      </c>
      <c r="N6429" s="6" t="s">
        <v>1813</v>
      </c>
      <c r="O6429" s="6" t="s">
        <v>512</v>
      </c>
      <c r="P6429" s="9" t="s">
        <v>33</v>
      </c>
      <c r="Q6429" s="9" t="s">
        <v>49</v>
      </c>
      <c r="R6429" s="9" t="s">
        <v>83</v>
      </c>
      <c r="S6429" s="7" t="s">
        <v>526</v>
      </c>
      <c r="T6429" s="9" t="s">
        <v>82</v>
      </c>
      <c r="U6429" s="7">
        <v>0.66</v>
      </c>
      <c r="V6429" s="12">
        <f>C6429+2</f>
        <v>41169</v>
      </c>
      <c r="W6429">
        <f>IF(D6429=' Pivot Tables'!$A$4,1,0)</f>
        <v>0</v>
      </c>
      <c r="X6429">
        <f>IF(AND(LEFT(D6429,4)+1=LEFT(' Pivot Tables'!$A$4,4)+0,RIGHT(LEFT(D6429,7),2)=RIGHT(LEFT(' Pivot Tables'!$A$4,7),2)),1,0)</f>
        <v>0</v>
      </c>
      <c r="Y6429" s="6">
        <f>1/COUNTIF(Таблица1[Order ID],Таблица1[[#This Row],[Order ID]])</f>
        <v>1</v>
      </c>
      <c r="Z6429" s="9">
        <f>1/COUNTIFS(Таблица1[Customer Name],Таблица1[[#This Row],[Customer Name]],Таблица1[Order-Year-Month],Таблица1[[#This Row],[Order-Year-Month]])</f>
        <v>1</v>
      </c>
    </row>
    <row r="6430" spans="1:26" x14ac:dyDescent="0.2">
      <c r="A6430" s="6">
        <v>7759</v>
      </c>
      <c r="B6430" s="7">
        <v>55525</v>
      </c>
      <c r="C6430" s="8">
        <f>DATE(2012,12,31)-1333</f>
        <v>39941</v>
      </c>
      <c r="D6430" s="8" t="str">
        <f t="shared" si="118"/>
        <v>2009-05 (май 2009)</v>
      </c>
      <c r="E6430" s="9" t="s">
        <v>21</v>
      </c>
      <c r="F6430" s="7">
        <v>1</v>
      </c>
      <c r="G6430" s="7">
        <v>291.39999999999998</v>
      </c>
      <c r="H6430" s="7">
        <v>0.06</v>
      </c>
      <c r="I6430" s="9" t="s">
        <v>22</v>
      </c>
      <c r="J6430" s="10">
        <v>-763.16</v>
      </c>
      <c r="K6430" s="11">
        <v>300.97000000000003</v>
      </c>
      <c r="L6430" s="11">
        <v>7.18</v>
      </c>
      <c r="M6430" s="9" t="s">
        <v>1158</v>
      </c>
      <c r="N6430" s="6" t="s">
        <v>1813</v>
      </c>
      <c r="O6430" s="6" t="s">
        <v>512</v>
      </c>
      <c r="P6430" s="9" t="s">
        <v>41</v>
      </c>
      <c r="Q6430" s="9" t="s">
        <v>42</v>
      </c>
      <c r="R6430" s="9" t="s">
        <v>70</v>
      </c>
      <c r="S6430" s="7" t="s">
        <v>1658</v>
      </c>
      <c r="T6430" s="9" t="s">
        <v>39</v>
      </c>
      <c r="U6430" s="7">
        <v>0.48</v>
      </c>
      <c r="V6430" s="12">
        <f>C6430+0</f>
        <v>39941</v>
      </c>
      <c r="W6430">
        <f>IF(D6430=' Pivot Tables'!$A$4,1,0)</f>
        <v>0</v>
      </c>
      <c r="X6430">
        <f>IF(AND(LEFT(D6430,4)+1=LEFT(' Pivot Tables'!$A$4,4)+0,RIGHT(LEFT(D6430,7),2)=RIGHT(LEFT(' Pivot Tables'!$A$4,7),2)),1,0)</f>
        <v>0</v>
      </c>
      <c r="Y6430" s="6">
        <f>1/COUNTIF(Таблица1[Order ID],Таблица1[[#This Row],[Order ID]])</f>
        <v>1</v>
      </c>
      <c r="Z6430" s="9">
        <f>1/COUNTIFS(Таблица1[Customer Name],Таблица1[[#This Row],[Customer Name]],Таблица1[Order-Year-Month],Таблица1[[#This Row],[Order-Year-Month]])</f>
        <v>1</v>
      </c>
    </row>
    <row r="6431" spans="1:26" x14ac:dyDescent="0.2">
      <c r="A6431" s="6">
        <v>7790</v>
      </c>
      <c r="B6431" s="7">
        <v>55746</v>
      </c>
      <c r="C6431" s="8">
        <f>DATE(2012,12,31)-1280</f>
        <v>39994</v>
      </c>
      <c r="D6431" s="8" t="str">
        <f t="shared" si="118"/>
        <v>2009-06 (июнь 2009)</v>
      </c>
      <c r="E6431" s="9" t="s">
        <v>45</v>
      </c>
      <c r="F6431" s="7">
        <v>29</v>
      </c>
      <c r="G6431" s="7">
        <v>324.75</v>
      </c>
      <c r="H6431" s="7">
        <v>7.0000000000000007E-2</v>
      </c>
      <c r="I6431" s="9" t="s">
        <v>22</v>
      </c>
      <c r="J6431" s="10">
        <v>-36.869999999999997</v>
      </c>
      <c r="K6431" s="11">
        <v>11.29</v>
      </c>
      <c r="L6431" s="11">
        <v>5.03</v>
      </c>
      <c r="M6431" s="9" t="s">
        <v>2005</v>
      </c>
      <c r="N6431" s="6" t="s">
        <v>1813</v>
      </c>
      <c r="O6431" s="6" t="s">
        <v>512</v>
      </c>
      <c r="P6431" s="9" t="s">
        <v>33</v>
      </c>
      <c r="Q6431" s="9" t="s">
        <v>26</v>
      </c>
      <c r="R6431" s="9" t="s">
        <v>27</v>
      </c>
      <c r="S6431" s="7" t="s">
        <v>614</v>
      </c>
      <c r="T6431" s="9" t="s">
        <v>39</v>
      </c>
      <c r="U6431" s="7">
        <v>0.59</v>
      </c>
      <c r="V6431" s="12">
        <f>C6431+2</f>
        <v>39996</v>
      </c>
      <c r="W6431">
        <f>IF(D6431=' Pivot Tables'!$A$4,1,0)</f>
        <v>0</v>
      </c>
      <c r="X6431">
        <f>IF(AND(LEFT(D6431,4)+1=LEFT(' Pivot Tables'!$A$4,4)+0,RIGHT(LEFT(D6431,7),2)=RIGHT(LEFT(' Pivot Tables'!$A$4,7),2)),1,0)</f>
        <v>0</v>
      </c>
      <c r="Y6431" s="6">
        <f>1/COUNTIF(Таблица1[Order ID],Таблица1[[#This Row],[Order ID]])</f>
        <v>1</v>
      </c>
      <c r="Z6431" s="9">
        <f>1/COUNTIFS(Таблица1[Customer Name],Таблица1[[#This Row],[Customer Name]],Таблица1[Order-Year-Month],Таблица1[[#This Row],[Order-Year-Month]])</f>
        <v>1</v>
      </c>
    </row>
    <row r="6432" spans="1:26" x14ac:dyDescent="0.2">
      <c r="A6432" s="6">
        <v>7967</v>
      </c>
      <c r="B6432" s="7">
        <v>56960</v>
      </c>
      <c r="C6432" s="8">
        <f>DATE(2012,12,31)-1243</f>
        <v>40031</v>
      </c>
      <c r="D6432" s="8" t="str">
        <f t="shared" si="118"/>
        <v>2009-08 (август 2009)</v>
      </c>
      <c r="E6432" s="9" t="s">
        <v>30</v>
      </c>
      <c r="F6432" s="7">
        <v>48</v>
      </c>
      <c r="G6432" s="7">
        <v>2784.8294999999998</v>
      </c>
      <c r="H6432" s="7">
        <v>0.01</v>
      </c>
      <c r="I6432" s="9" t="s">
        <v>56</v>
      </c>
      <c r="J6432" s="10">
        <v>788.29200000000003</v>
      </c>
      <c r="K6432" s="11">
        <v>65.989999999999995</v>
      </c>
      <c r="L6432" s="11">
        <v>4.2</v>
      </c>
      <c r="M6432" s="9" t="s">
        <v>1999</v>
      </c>
      <c r="N6432" s="6" t="s">
        <v>1813</v>
      </c>
      <c r="O6432" s="6" t="s">
        <v>512</v>
      </c>
      <c r="P6432" s="9" t="s">
        <v>25</v>
      </c>
      <c r="Q6432" s="9" t="s">
        <v>42</v>
      </c>
      <c r="R6432" s="9" t="s">
        <v>43</v>
      </c>
      <c r="S6432" s="7" t="s">
        <v>1399</v>
      </c>
      <c r="T6432" s="9" t="s">
        <v>39</v>
      </c>
      <c r="U6432" s="7">
        <v>0.59</v>
      </c>
      <c r="V6432" s="12">
        <f>C6432+2</f>
        <v>40033</v>
      </c>
      <c r="W6432">
        <f>IF(D6432=' Pivot Tables'!$A$4,1,0)</f>
        <v>0</v>
      </c>
      <c r="X6432">
        <f>IF(AND(LEFT(D6432,4)+1=LEFT(' Pivot Tables'!$A$4,4)+0,RIGHT(LEFT(D6432,7),2)=RIGHT(LEFT(' Pivot Tables'!$A$4,7),2)),1,0)</f>
        <v>0</v>
      </c>
      <c r="Y6432" s="6">
        <f>1/COUNTIF(Таблица1[Order ID],Таблица1[[#This Row],[Order ID]])</f>
        <v>1</v>
      </c>
      <c r="Z6432" s="9">
        <f>1/COUNTIFS(Таблица1[Customer Name],Таблица1[[#This Row],[Customer Name]],Таблица1[Order-Year-Month],Таблица1[[#This Row],[Order-Year-Month]])</f>
        <v>0.5</v>
      </c>
    </row>
    <row r="6433" spans="1:26" x14ac:dyDescent="0.2">
      <c r="A6433" s="6">
        <v>7977</v>
      </c>
      <c r="B6433" s="7">
        <v>57059</v>
      </c>
      <c r="C6433" s="8">
        <f>DATE(2012,12,31)-579</f>
        <v>40695</v>
      </c>
      <c r="D6433" s="8" t="str">
        <f t="shared" si="118"/>
        <v>2011-06 (июнь 2011)</v>
      </c>
      <c r="E6433" s="9" t="s">
        <v>63</v>
      </c>
      <c r="F6433" s="7">
        <v>50</v>
      </c>
      <c r="G6433" s="7">
        <v>212.12</v>
      </c>
      <c r="H6433" s="7">
        <v>0.01</v>
      </c>
      <c r="I6433" s="9" t="s">
        <v>22</v>
      </c>
      <c r="J6433" s="10">
        <v>-154.62900000000002</v>
      </c>
      <c r="K6433" s="11">
        <v>3.98</v>
      </c>
      <c r="L6433" s="11">
        <v>5.26</v>
      </c>
      <c r="M6433" s="9" t="s">
        <v>1158</v>
      </c>
      <c r="N6433" s="6" t="s">
        <v>1813</v>
      </c>
      <c r="O6433" s="6" t="s">
        <v>512</v>
      </c>
      <c r="P6433" s="9" t="s">
        <v>41</v>
      </c>
      <c r="Q6433" s="9" t="s">
        <v>26</v>
      </c>
      <c r="R6433" s="9" t="s">
        <v>37</v>
      </c>
      <c r="S6433" s="7" t="s">
        <v>1348</v>
      </c>
      <c r="T6433" s="9" t="s">
        <v>39</v>
      </c>
      <c r="U6433" s="7">
        <v>0.38</v>
      </c>
      <c r="V6433" s="12">
        <f>C6433+2</f>
        <v>40697</v>
      </c>
      <c r="W6433">
        <f>IF(D6433=' Pivot Tables'!$A$4,1,0)</f>
        <v>0</v>
      </c>
      <c r="X6433">
        <f>IF(AND(LEFT(D6433,4)+1=LEFT(' Pivot Tables'!$A$4,4)+0,RIGHT(LEFT(D6433,7),2)=RIGHT(LEFT(' Pivot Tables'!$A$4,7),2)),1,0)</f>
        <v>0</v>
      </c>
      <c r="Y6433" s="6">
        <f>1/COUNTIF(Таблица1[Order ID],Таблица1[[#This Row],[Order ID]])</f>
        <v>0.5</v>
      </c>
      <c r="Z6433" s="9">
        <f>1/COUNTIFS(Таблица1[Customer Name],Таблица1[[#This Row],[Customer Name]],Таблица1[Order-Year-Month],Таблица1[[#This Row],[Order-Year-Month]])</f>
        <v>0.5</v>
      </c>
    </row>
    <row r="6434" spans="1:26" x14ac:dyDescent="0.2">
      <c r="A6434" s="6">
        <v>7978</v>
      </c>
      <c r="B6434" s="7">
        <v>57059</v>
      </c>
      <c r="C6434" s="8">
        <f>DATE(2012,12,31)-579</f>
        <v>40695</v>
      </c>
      <c r="D6434" s="8" t="str">
        <f t="shared" si="118"/>
        <v>2011-06 (июнь 2011)</v>
      </c>
      <c r="E6434" s="9" t="s">
        <v>63</v>
      </c>
      <c r="F6434" s="7">
        <v>25</v>
      </c>
      <c r="G6434" s="7">
        <v>2455.54</v>
      </c>
      <c r="H6434" s="7">
        <v>0.03</v>
      </c>
      <c r="I6434" s="9" t="s">
        <v>22</v>
      </c>
      <c r="J6434" s="10">
        <v>1361.88</v>
      </c>
      <c r="K6434" s="11">
        <v>98.31</v>
      </c>
      <c r="L6434" s="11">
        <v>0.49</v>
      </c>
      <c r="M6434" s="9" t="s">
        <v>1158</v>
      </c>
      <c r="N6434" s="6" t="s">
        <v>1813</v>
      </c>
      <c r="O6434" s="6" t="s">
        <v>512</v>
      </c>
      <c r="P6434" s="9" t="s">
        <v>41</v>
      </c>
      <c r="Q6434" s="9" t="s">
        <v>26</v>
      </c>
      <c r="R6434" s="9" t="s">
        <v>88</v>
      </c>
      <c r="S6434" s="7" t="s">
        <v>471</v>
      </c>
      <c r="T6434" s="9" t="s">
        <v>39</v>
      </c>
      <c r="U6434" s="7">
        <v>0.36</v>
      </c>
      <c r="V6434" s="12">
        <f>C6434+2</f>
        <v>40697</v>
      </c>
      <c r="W6434">
        <f>IF(D6434=' Pivot Tables'!$A$4,1,0)</f>
        <v>0</v>
      </c>
      <c r="X6434">
        <f>IF(AND(LEFT(D6434,4)+1=LEFT(' Pivot Tables'!$A$4,4)+0,RIGHT(LEFT(D6434,7),2)=RIGHT(LEFT(' Pivot Tables'!$A$4,7),2)),1,0)</f>
        <v>0</v>
      </c>
      <c r="Y6434" s="6">
        <f>1/COUNTIF(Таблица1[Order ID],Таблица1[[#This Row],[Order ID]])</f>
        <v>0.5</v>
      </c>
      <c r="Z6434" s="9">
        <f>1/COUNTIFS(Таблица1[Customer Name],Таблица1[[#This Row],[Customer Name]],Таблица1[Order-Year-Month],Таблица1[[#This Row],[Order-Year-Month]])</f>
        <v>0.5</v>
      </c>
    </row>
    <row r="6435" spans="1:26" x14ac:dyDescent="0.2">
      <c r="A6435" s="6">
        <v>8067</v>
      </c>
      <c r="B6435" s="7">
        <v>57568</v>
      </c>
      <c r="C6435" s="8">
        <f>DATE(2012,12,31)-928</f>
        <v>40346</v>
      </c>
      <c r="D6435" s="8" t="str">
        <f t="shared" si="118"/>
        <v>2010-06 (июнь 2010)</v>
      </c>
      <c r="E6435" s="9" t="s">
        <v>45</v>
      </c>
      <c r="F6435" s="7">
        <v>38</v>
      </c>
      <c r="G6435" s="7">
        <v>592.54</v>
      </c>
      <c r="H6435" s="7">
        <v>7.0000000000000007E-2</v>
      </c>
      <c r="I6435" s="9" t="s">
        <v>22</v>
      </c>
      <c r="J6435" s="10">
        <v>282.11</v>
      </c>
      <c r="K6435" s="11">
        <v>15.67</v>
      </c>
      <c r="L6435" s="11">
        <v>1.39</v>
      </c>
      <c r="M6435" s="9" t="s">
        <v>1999</v>
      </c>
      <c r="N6435" s="6" t="s">
        <v>1813</v>
      </c>
      <c r="O6435" s="6" t="s">
        <v>512</v>
      </c>
      <c r="P6435" s="9" t="s">
        <v>25</v>
      </c>
      <c r="Q6435" s="9" t="s">
        <v>26</v>
      </c>
      <c r="R6435" s="9" t="s">
        <v>76</v>
      </c>
      <c r="S6435" s="7" t="s">
        <v>165</v>
      </c>
      <c r="T6435" s="9" t="s">
        <v>39</v>
      </c>
      <c r="U6435" s="7">
        <v>0.38</v>
      </c>
      <c r="V6435" s="12">
        <f>C6435+2</f>
        <v>40348</v>
      </c>
      <c r="W6435">
        <f>IF(D6435=' Pivot Tables'!$A$4,1,0)</f>
        <v>0</v>
      </c>
      <c r="X6435">
        <f>IF(AND(LEFT(D6435,4)+1=LEFT(' Pivot Tables'!$A$4,4)+0,RIGHT(LEFT(D6435,7),2)=RIGHT(LEFT(' Pivot Tables'!$A$4,7),2)),1,0)</f>
        <v>0</v>
      </c>
      <c r="Y6435" s="6">
        <f>1/COUNTIF(Таблица1[Order ID],Таблица1[[#This Row],[Order ID]])</f>
        <v>1</v>
      </c>
      <c r="Z6435" s="9">
        <f>1/COUNTIFS(Таблица1[Customer Name],Таблица1[[#This Row],[Customer Name]],Таблица1[Order-Year-Month],Таблица1[[#This Row],[Order-Year-Month]])</f>
        <v>1</v>
      </c>
    </row>
    <row r="6436" spans="1:26" x14ac:dyDescent="0.2">
      <c r="A6436" s="6">
        <v>8100</v>
      </c>
      <c r="B6436" s="7">
        <v>57798</v>
      </c>
      <c r="C6436" s="8">
        <f>DATE(2012,12,31)-107</f>
        <v>41167</v>
      </c>
      <c r="D6436" s="8" t="str">
        <f t="shared" si="118"/>
        <v>2012-09 (сентябрь 2012)</v>
      </c>
      <c r="E6436" s="9" t="s">
        <v>30</v>
      </c>
      <c r="F6436" s="7">
        <v>20</v>
      </c>
      <c r="G6436" s="7">
        <v>3050.81</v>
      </c>
      <c r="H6436" s="7">
        <v>0.01</v>
      </c>
      <c r="I6436" s="9" t="s">
        <v>31</v>
      </c>
      <c r="J6436" s="10">
        <v>-124.04</v>
      </c>
      <c r="K6436" s="11">
        <v>140.97999999999999</v>
      </c>
      <c r="L6436" s="11">
        <v>36.090000000000003</v>
      </c>
      <c r="M6436" s="9" t="s">
        <v>1713</v>
      </c>
      <c r="N6436" s="6" t="s">
        <v>1813</v>
      </c>
      <c r="O6436" s="6" t="s">
        <v>512</v>
      </c>
      <c r="P6436" s="9" t="s">
        <v>25</v>
      </c>
      <c r="Q6436" s="9" t="s">
        <v>49</v>
      </c>
      <c r="R6436" s="9" t="s">
        <v>80</v>
      </c>
      <c r="S6436" s="7" t="s">
        <v>349</v>
      </c>
      <c r="T6436" s="9" t="s">
        <v>82</v>
      </c>
      <c r="U6436" s="7">
        <v>0.77</v>
      </c>
      <c r="V6436" s="12">
        <f>C6436+1</f>
        <v>41168</v>
      </c>
      <c r="W6436">
        <f>IF(D6436=' Pivot Tables'!$A$4,1,0)</f>
        <v>0</v>
      </c>
      <c r="X6436">
        <f>IF(AND(LEFT(D6436,4)+1=LEFT(' Pivot Tables'!$A$4,4)+0,RIGHT(LEFT(D6436,7),2)=RIGHT(LEFT(' Pivot Tables'!$A$4,7),2)),1,0)</f>
        <v>0</v>
      </c>
      <c r="Y6436" s="6">
        <f>1/COUNTIF(Таблица1[Order ID],Таблица1[[#This Row],[Order ID]])</f>
        <v>1</v>
      </c>
      <c r="Z6436" s="9">
        <f>1/COUNTIFS(Таблица1[Customer Name],Таблица1[[#This Row],[Customer Name]],Таблица1[Order-Year-Month],Таблица1[[#This Row],[Order-Year-Month]])</f>
        <v>0.25</v>
      </c>
    </row>
    <row r="6437" spans="1:26" x14ac:dyDescent="0.2">
      <c r="A6437" s="6">
        <v>8147</v>
      </c>
      <c r="B6437" s="7">
        <v>58273</v>
      </c>
      <c r="C6437" s="8">
        <f>DATE(2012,12,31)-925</f>
        <v>40349</v>
      </c>
      <c r="D6437" s="8" t="str">
        <f t="shared" si="118"/>
        <v>2010-06 (июнь 2010)</v>
      </c>
      <c r="E6437" s="9" t="s">
        <v>30</v>
      </c>
      <c r="F6437" s="7">
        <v>31</v>
      </c>
      <c r="G6437" s="7">
        <v>244.9</v>
      </c>
      <c r="H6437" s="7">
        <v>0.08</v>
      </c>
      <c r="I6437" s="9" t="s">
        <v>22</v>
      </c>
      <c r="J6437" s="10">
        <v>-61.14</v>
      </c>
      <c r="K6437" s="11">
        <v>8.4600000000000009</v>
      </c>
      <c r="L6437" s="11">
        <v>3.62</v>
      </c>
      <c r="M6437" s="9" t="s">
        <v>1158</v>
      </c>
      <c r="N6437" s="6" t="s">
        <v>1813</v>
      </c>
      <c r="O6437" s="6" t="s">
        <v>512</v>
      </c>
      <c r="P6437" s="9" t="s">
        <v>41</v>
      </c>
      <c r="Q6437" s="9" t="s">
        <v>42</v>
      </c>
      <c r="R6437" s="9" t="s">
        <v>70</v>
      </c>
      <c r="S6437" s="7" t="s">
        <v>1221</v>
      </c>
      <c r="T6437" s="9" t="s">
        <v>52</v>
      </c>
      <c r="U6437" s="7">
        <v>0.61</v>
      </c>
      <c r="V6437" s="12">
        <f>C6437+0</f>
        <v>40349</v>
      </c>
      <c r="W6437">
        <f>IF(D6437=' Pivot Tables'!$A$4,1,0)</f>
        <v>0</v>
      </c>
      <c r="X6437">
        <f>IF(AND(LEFT(D6437,4)+1=LEFT(' Pivot Tables'!$A$4,4)+0,RIGHT(LEFT(D6437,7),2)=RIGHT(LEFT(' Pivot Tables'!$A$4,7),2)),1,0)</f>
        <v>0</v>
      </c>
      <c r="Y6437" s="6">
        <f>1/COUNTIF(Таблица1[Order ID],Таблица1[[#This Row],[Order ID]])</f>
        <v>1</v>
      </c>
      <c r="Z6437" s="9">
        <f>1/COUNTIFS(Таблица1[Customer Name],Таблица1[[#This Row],[Customer Name]],Таблица1[Order-Year-Month],Таблица1[[#This Row],[Order-Year-Month]])</f>
        <v>1</v>
      </c>
    </row>
    <row r="6438" spans="1:26" x14ac:dyDescent="0.2">
      <c r="A6438" s="6">
        <v>8210</v>
      </c>
      <c r="B6438" s="7">
        <v>58693</v>
      </c>
      <c r="C6438" s="8">
        <f>DATE(2012,12,31)-1167</f>
        <v>40107</v>
      </c>
      <c r="D6438" s="8" t="str">
        <f t="shared" si="118"/>
        <v>2009-10 (октябрь 2009)</v>
      </c>
      <c r="E6438" s="9" t="s">
        <v>21</v>
      </c>
      <c r="F6438" s="7">
        <v>50</v>
      </c>
      <c r="G6438" s="7">
        <v>876.64</v>
      </c>
      <c r="H6438" s="7">
        <v>0</v>
      </c>
      <c r="I6438" s="9" t="s">
        <v>22</v>
      </c>
      <c r="J6438" s="10">
        <v>-126.684</v>
      </c>
      <c r="K6438" s="11">
        <v>15.99</v>
      </c>
      <c r="L6438" s="11">
        <v>13.18</v>
      </c>
      <c r="M6438" s="9" t="s">
        <v>1099</v>
      </c>
      <c r="N6438" s="6" t="s">
        <v>1813</v>
      </c>
      <c r="O6438" s="6" t="s">
        <v>512</v>
      </c>
      <c r="P6438" s="9" t="s">
        <v>41</v>
      </c>
      <c r="Q6438" s="9" t="s">
        <v>26</v>
      </c>
      <c r="R6438" s="9" t="s">
        <v>37</v>
      </c>
      <c r="S6438" s="7" t="s">
        <v>92</v>
      </c>
      <c r="T6438" s="9" t="s">
        <v>39</v>
      </c>
      <c r="U6438" s="7">
        <v>0.37</v>
      </c>
      <c r="V6438" s="12">
        <f>C6438+4</f>
        <v>40111</v>
      </c>
      <c r="W6438">
        <f>IF(D6438=' Pivot Tables'!$A$4,1,0)</f>
        <v>0</v>
      </c>
      <c r="X6438">
        <f>IF(AND(LEFT(D6438,4)+1=LEFT(' Pivot Tables'!$A$4,4)+0,RIGHT(LEFT(D6438,7),2)=RIGHT(LEFT(' Pivot Tables'!$A$4,7),2)),1,0)</f>
        <v>0</v>
      </c>
      <c r="Y6438" s="6">
        <f>1/COUNTIF(Таблица1[Order ID],Таблица1[[#This Row],[Order ID]])</f>
        <v>1</v>
      </c>
      <c r="Z6438" s="9">
        <f>1/COUNTIFS(Таблица1[Customer Name],Таблица1[[#This Row],[Customer Name]],Таблица1[Order-Year-Month],Таблица1[[#This Row],[Order-Year-Month]])</f>
        <v>1</v>
      </c>
    </row>
    <row r="6439" spans="1:26" x14ac:dyDescent="0.2">
      <c r="A6439" s="6">
        <v>8228</v>
      </c>
      <c r="B6439" s="7">
        <v>58818</v>
      </c>
      <c r="C6439" s="8">
        <f>DATE(2012,12,31)-1356</f>
        <v>39918</v>
      </c>
      <c r="D6439" s="8" t="str">
        <f t="shared" si="118"/>
        <v>2009-04 (апрель 2009)</v>
      </c>
      <c r="E6439" s="9" t="s">
        <v>78</v>
      </c>
      <c r="F6439" s="7">
        <v>41</v>
      </c>
      <c r="G6439" s="7">
        <v>998.05</v>
      </c>
      <c r="H6439" s="7">
        <v>0.01</v>
      </c>
      <c r="I6439" s="9" t="s">
        <v>22</v>
      </c>
      <c r="J6439" s="10">
        <v>391.14</v>
      </c>
      <c r="K6439" s="11">
        <v>22.98</v>
      </c>
      <c r="L6439" s="11">
        <v>1.99</v>
      </c>
      <c r="M6439" s="9" t="s">
        <v>2000</v>
      </c>
      <c r="N6439" s="6" t="s">
        <v>1813</v>
      </c>
      <c r="O6439" s="6" t="s">
        <v>512</v>
      </c>
      <c r="P6439" s="9" t="s">
        <v>33</v>
      </c>
      <c r="Q6439" s="9" t="s">
        <v>42</v>
      </c>
      <c r="R6439" s="9" t="s">
        <v>70</v>
      </c>
      <c r="S6439" s="7" t="s">
        <v>501</v>
      </c>
      <c r="T6439" s="9" t="s">
        <v>52</v>
      </c>
      <c r="U6439" s="7">
        <v>0.46</v>
      </c>
      <c r="V6439" s="12">
        <f>C6439+1</f>
        <v>39919</v>
      </c>
      <c r="W6439">
        <f>IF(D6439=' Pivot Tables'!$A$4,1,0)</f>
        <v>0</v>
      </c>
      <c r="X6439">
        <f>IF(AND(LEFT(D6439,4)+1=LEFT(' Pivot Tables'!$A$4,4)+0,RIGHT(LEFT(D6439,7),2)=RIGHT(LEFT(' Pivot Tables'!$A$4,7),2)),1,0)</f>
        <v>0</v>
      </c>
      <c r="Y6439" s="6">
        <f>1/COUNTIF(Таблица1[Order ID],Таблица1[[#This Row],[Order ID]])</f>
        <v>0.5</v>
      </c>
      <c r="Z6439" s="9">
        <f>1/COUNTIFS(Таблица1[Customer Name],Таблица1[[#This Row],[Customer Name]],Таблица1[Order-Year-Month],Таблица1[[#This Row],[Order-Year-Month]])</f>
        <v>0.5</v>
      </c>
    </row>
    <row r="6440" spans="1:26" x14ac:dyDescent="0.2">
      <c r="A6440" s="6">
        <v>8229</v>
      </c>
      <c r="B6440" s="7">
        <v>58818</v>
      </c>
      <c r="C6440" s="8">
        <f>DATE(2012,12,31)-1356</f>
        <v>39918</v>
      </c>
      <c r="D6440" s="8" t="str">
        <f t="shared" si="118"/>
        <v>2009-04 (апрель 2009)</v>
      </c>
      <c r="E6440" s="9" t="s">
        <v>78</v>
      </c>
      <c r="F6440" s="7">
        <v>20</v>
      </c>
      <c r="G6440" s="7">
        <v>4353.0200000000004</v>
      </c>
      <c r="H6440" s="7">
        <v>0.1</v>
      </c>
      <c r="I6440" s="9" t="s">
        <v>31</v>
      </c>
      <c r="J6440" s="10">
        <v>661.77</v>
      </c>
      <c r="K6440" s="11">
        <v>226.67</v>
      </c>
      <c r="L6440" s="11">
        <v>28.16</v>
      </c>
      <c r="M6440" s="9" t="s">
        <v>2000</v>
      </c>
      <c r="N6440" s="6" t="s">
        <v>1813</v>
      </c>
      <c r="O6440" s="6" t="s">
        <v>512</v>
      </c>
      <c r="P6440" s="9" t="s">
        <v>33</v>
      </c>
      <c r="Q6440" s="9" t="s">
        <v>49</v>
      </c>
      <c r="R6440" s="9" t="s">
        <v>112</v>
      </c>
      <c r="S6440" s="7" t="s">
        <v>215</v>
      </c>
      <c r="T6440" s="9" t="s">
        <v>36</v>
      </c>
      <c r="U6440" s="7">
        <v>0.59</v>
      </c>
      <c r="V6440" s="12">
        <f>C6440+2</f>
        <v>39920</v>
      </c>
      <c r="W6440">
        <f>IF(D6440=' Pivot Tables'!$A$4,1,0)</f>
        <v>0</v>
      </c>
      <c r="X6440">
        <f>IF(AND(LEFT(D6440,4)+1=LEFT(' Pivot Tables'!$A$4,4)+0,RIGHT(LEFT(D6440,7),2)=RIGHT(LEFT(' Pivot Tables'!$A$4,7),2)),1,0)</f>
        <v>0</v>
      </c>
      <c r="Y6440" s="6">
        <f>1/COUNTIF(Таблица1[Order ID],Таблица1[[#This Row],[Order ID]])</f>
        <v>0.5</v>
      </c>
      <c r="Z6440" s="9">
        <f>1/COUNTIFS(Таблица1[Customer Name],Таблица1[[#This Row],[Customer Name]],Таблица1[Order-Year-Month],Таблица1[[#This Row],[Order-Year-Month]])</f>
        <v>0.5</v>
      </c>
    </row>
    <row r="6441" spans="1:26" x14ac:dyDescent="0.2">
      <c r="A6441" s="6">
        <v>8277</v>
      </c>
      <c r="B6441" s="7">
        <v>59171</v>
      </c>
      <c r="C6441" s="8">
        <f>DATE(2012,12,31)-476</f>
        <v>40798</v>
      </c>
      <c r="D6441" s="8" t="str">
        <f t="shared" si="118"/>
        <v>2011-09 (сентябрь 2011)</v>
      </c>
      <c r="E6441" s="9" t="s">
        <v>63</v>
      </c>
      <c r="F6441" s="7">
        <v>39</v>
      </c>
      <c r="G6441" s="7">
        <v>105.07</v>
      </c>
      <c r="H6441" s="7">
        <v>0.08</v>
      </c>
      <c r="I6441" s="9" t="s">
        <v>22</v>
      </c>
      <c r="J6441" s="10">
        <v>9.11</v>
      </c>
      <c r="K6441" s="11">
        <v>2.88</v>
      </c>
      <c r="L6441" s="11">
        <v>0.7</v>
      </c>
      <c r="M6441" s="9" t="s">
        <v>1421</v>
      </c>
      <c r="N6441" s="6" t="s">
        <v>1813</v>
      </c>
      <c r="O6441" s="6" t="s">
        <v>512</v>
      </c>
      <c r="P6441" s="9" t="s">
        <v>41</v>
      </c>
      <c r="Q6441" s="9" t="s">
        <v>26</v>
      </c>
      <c r="R6441" s="9" t="s">
        <v>95</v>
      </c>
      <c r="S6441" s="7" t="s">
        <v>1059</v>
      </c>
      <c r="T6441" s="9" t="s">
        <v>68</v>
      </c>
      <c r="U6441" s="7">
        <v>0.56000000000000005</v>
      </c>
      <c r="V6441" s="12">
        <f>C6441+1</f>
        <v>40799</v>
      </c>
      <c r="W6441">
        <f>IF(D6441=' Pivot Tables'!$A$4,1,0)</f>
        <v>0</v>
      </c>
      <c r="X6441">
        <f>IF(AND(LEFT(D6441,4)+1=LEFT(' Pivot Tables'!$A$4,4)+0,RIGHT(LEFT(D6441,7),2)=RIGHT(LEFT(' Pivot Tables'!$A$4,7),2)),1,0)</f>
        <v>0</v>
      </c>
      <c r="Y6441" s="6">
        <f>1/COUNTIF(Таблица1[Order ID],Таблица1[[#This Row],[Order ID]])</f>
        <v>1</v>
      </c>
      <c r="Z6441" s="9">
        <f>1/COUNTIFS(Таблица1[Customer Name],Таблица1[[#This Row],[Customer Name]],Таблица1[Order-Year-Month],Таблица1[[#This Row],[Order-Year-Month]])</f>
        <v>1</v>
      </c>
    </row>
    <row r="6442" spans="1:26" x14ac:dyDescent="0.2">
      <c r="A6442" s="6">
        <v>8301</v>
      </c>
      <c r="B6442" s="7">
        <v>59271</v>
      </c>
      <c r="C6442" s="8">
        <f>DATE(2012,12,31)-616</f>
        <v>40658</v>
      </c>
      <c r="D6442" s="8" t="str">
        <f t="shared" si="118"/>
        <v>2011-04 (апрель 2011)</v>
      </c>
      <c r="E6442" s="9" t="s">
        <v>45</v>
      </c>
      <c r="F6442" s="7">
        <v>40</v>
      </c>
      <c r="G6442" s="7">
        <v>630.38</v>
      </c>
      <c r="H6442" s="7">
        <v>0.02</v>
      </c>
      <c r="I6442" s="9" t="s">
        <v>56</v>
      </c>
      <c r="J6442" s="10">
        <v>-186.77</v>
      </c>
      <c r="K6442" s="11">
        <v>14.81</v>
      </c>
      <c r="L6442" s="11">
        <v>13.32</v>
      </c>
      <c r="M6442" s="9" t="s">
        <v>2002</v>
      </c>
      <c r="N6442" s="6" t="s">
        <v>1813</v>
      </c>
      <c r="O6442" s="6" t="s">
        <v>512</v>
      </c>
      <c r="P6442" s="9" t="s">
        <v>41</v>
      </c>
      <c r="Q6442" s="9" t="s">
        <v>26</v>
      </c>
      <c r="R6442" s="9" t="s">
        <v>34</v>
      </c>
      <c r="S6442" s="7" t="s">
        <v>683</v>
      </c>
      <c r="T6442" s="9" t="s">
        <v>39</v>
      </c>
      <c r="U6442" s="7">
        <v>0.43</v>
      </c>
      <c r="V6442" s="12">
        <f>C6442+1</f>
        <v>40659</v>
      </c>
      <c r="W6442">
        <f>IF(D6442=' Pivot Tables'!$A$4,1,0)</f>
        <v>0</v>
      </c>
      <c r="X6442">
        <f>IF(AND(LEFT(D6442,4)+1=LEFT(' Pivot Tables'!$A$4,4)+0,RIGHT(LEFT(D6442,7),2)=RIGHT(LEFT(' Pivot Tables'!$A$4,7),2)),1,0)</f>
        <v>0</v>
      </c>
      <c r="Y6442" s="6">
        <f>1/COUNTIF(Таблица1[Order ID],Таблица1[[#This Row],[Order ID]])</f>
        <v>0.5</v>
      </c>
      <c r="Z6442" s="9">
        <f>1/COUNTIFS(Таблица1[Customer Name],Таблица1[[#This Row],[Customer Name]],Таблица1[Order-Year-Month],Таблица1[[#This Row],[Order-Year-Month]])</f>
        <v>0.33333333333333331</v>
      </c>
    </row>
    <row r="6443" spans="1:26" x14ac:dyDescent="0.2">
      <c r="A6443" s="6">
        <v>8302</v>
      </c>
      <c r="B6443" s="7">
        <v>59271</v>
      </c>
      <c r="C6443" s="8">
        <f>DATE(2012,12,31)-616</f>
        <v>40658</v>
      </c>
      <c r="D6443" s="8" t="str">
        <f t="shared" si="118"/>
        <v>2011-04 (апрель 2011)</v>
      </c>
      <c r="E6443" s="9" t="s">
        <v>45</v>
      </c>
      <c r="F6443" s="7">
        <v>23</v>
      </c>
      <c r="G6443" s="7">
        <v>144.03</v>
      </c>
      <c r="H6443" s="7">
        <v>0.02</v>
      </c>
      <c r="I6443" s="9" t="s">
        <v>22</v>
      </c>
      <c r="J6443" s="10">
        <v>-37.04</v>
      </c>
      <c r="K6443" s="11">
        <v>5.98</v>
      </c>
      <c r="L6443" s="11">
        <v>5.2</v>
      </c>
      <c r="M6443" s="9" t="s">
        <v>2002</v>
      </c>
      <c r="N6443" s="6" t="s">
        <v>1813</v>
      </c>
      <c r="O6443" s="6" t="s">
        <v>512</v>
      </c>
      <c r="P6443" s="9" t="s">
        <v>41</v>
      </c>
      <c r="Q6443" s="9" t="s">
        <v>26</v>
      </c>
      <c r="R6443" s="9" t="s">
        <v>61</v>
      </c>
      <c r="S6443" s="7" t="s">
        <v>594</v>
      </c>
      <c r="T6443" s="9" t="s">
        <v>39</v>
      </c>
      <c r="U6443" s="7">
        <v>0.36</v>
      </c>
      <c r="V6443" s="12">
        <f>C6443+2</f>
        <v>40660</v>
      </c>
      <c r="W6443">
        <f>IF(D6443=' Pivot Tables'!$A$4,1,0)</f>
        <v>0</v>
      </c>
      <c r="X6443">
        <f>IF(AND(LEFT(D6443,4)+1=LEFT(' Pivot Tables'!$A$4,4)+0,RIGHT(LEFT(D6443,7),2)=RIGHT(LEFT(' Pivot Tables'!$A$4,7),2)),1,0)</f>
        <v>0</v>
      </c>
      <c r="Y6443" s="6">
        <f>1/COUNTIF(Таблица1[Order ID],Таблица1[[#This Row],[Order ID]])</f>
        <v>0.5</v>
      </c>
      <c r="Z6443" s="9">
        <f>1/COUNTIFS(Таблица1[Customer Name],Таблица1[[#This Row],[Customer Name]],Таблица1[Order-Year-Month],Таблица1[[#This Row],[Order-Year-Month]])</f>
        <v>0.33333333333333331</v>
      </c>
    </row>
    <row r="6444" spans="1:26" x14ac:dyDescent="0.2">
      <c r="A6444" s="6">
        <v>8347</v>
      </c>
      <c r="B6444" s="7">
        <v>59680</v>
      </c>
      <c r="C6444" s="8">
        <f>DATE(2012,12,31)-196</f>
        <v>41078</v>
      </c>
      <c r="D6444" s="8" t="str">
        <f t="shared" si="118"/>
        <v>2012-06 (июнь 2012)</v>
      </c>
      <c r="E6444" s="9" t="s">
        <v>78</v>
      </c>
      <c r="F6444" s="7">
        <v>15</v>
      </c>
      <c r="G6444" s="7">
        <v>17.77</v>
      </c>
      <c r="H6444" s="7">
        <v>0.05</v>
      </c>
      <c r="I6444" s="9" t="s">
        <v>22</v>
      </c>
      <c r="J6444" s="10">
        <v>-37.67</v>
      </c>
      <c r="K6444" s="11">
        <v>0.99</v>
      </c>
      <c r="L6444" s="11">
        <v>2.96</v>
      </c>
      <c r="M6444" s="9" t="s">
        <v>2007</v>
      </c>
      <c r="N6444" s="6" t="s">
        <v>1813</v>
      </c>
      <c r="O6444" s="6" t="s">
        <v>512</v>
      </c>
      <c r="P6444" s="9" t="s">
        <v>33</v>
      </c>
      <c r="Q6444" s="9" t="s">
        <v>42</v>
      </c>
      <c r="R6444" s="9" t="s">
        <v>70</v>
      </c>
      <c r="S6444" s="7" t="s">
        <v>2011</v>
      </c>
      <c r="T6444" s="9" t="s">
        <v>52</v>
      </c>
      <c r="U6444" s="7">
        <v>0.61</v>
      </c>
      <c r="V6444" s="12">
        <f>C6444+1</f>
        <v>41079</v>
      </c>
      <c r="W6444">
        <f>IF(D6444=' Pivot Tables'!$A$4,1,0)</f>
        <v>0</v>
      </c>
      <c r="X6444">
        <f>IF(AND(LEFT(D6444,4)+1=LEFT(' Pivot Tables'!$A$4,4)+0,RIGHT(LEFT(D6444,7),2)=RIGHT(LEFT(' Pivot Tables'!$A$4,7),2)),1,0)</f>
        <v>0</v>
      </c>
      <c r="Y6444" s="6">
        <f>1/COUNTIF(Таблица1[Order ID],Таблица1[[#This Row],[Order ID]])</f>
        <v>1</v>
      </c>
      <c r="Z6444" s="9">
        <f>1/COUNTIFS(Таблица1[Customer Name],Таблица1[[#This Row],[Customer Name]],Таблица1[Order-Year-Month],Таблица1[[#This Row],[Order-Year-Month]])</f>
        <v>1</v>
      </c>
    </row>
    <row r="6445" spans="1:26" x14ac:dyDescent="0.2">
      <c r="A6445" s="6">
        <v>17</v>
      </c>
      <c r="B6445" s="7">
        <v>97</v>
      </c>
      <c r="C6445" s="8">
        <f>DATE(2012,12,31)-1068</f>
        <v>40206</v>
      </c>
      <c r="D6445" s="8" t="str">
        <f t="shared" si="118"/>
        <v>2010-01 (январь 2010)</v>
      </c>
      <c r="E6445" s="9" t="s">
        <v>63</v>
      </c>
      <c r="F6445" s="7">
        <v>26</v>
      </c>
      <c r="G6445" s="7">
        <v>75.569999999999993</v>
      </c>
      <c r="H6445" s="7">
        <v>0.03</v>
      </c>
      <c r="I6445" s="9" t="s">
        <v>22</v>
      </c>
      <c r="J6445" s="10">
        <v>28.24</v>
      </c>
      <c r="K6445" s="11">
        <v>2.89</v>
      </c>
      <c r="L6445" s="11">
        <v>0.5</v>
      </c>
      <c r="M6445" s="9" t="s">
        <v>1465</v>
      </c>
      <c r="N6445" s="6" t="s">
        <v>2012</v>
      </c>
      <c r="O6445" s="6" t="s">
        <v>2012</v>
      </c>
      <c r="P6445" s="9" t="s">
        <v>33</v>
      </c>
      <c r="Q6445" s="9" t="s">
        <v>26</v>
      </c>
      <c r="R6445" s="9" t="s">
        <v>88</v>
      </c>
      <c r="S6445" s="7" t="s">
        <v>474</v>
      </c>
      <c r="T6445" s="9" t="s">
        <v>39</v>
      </c>
      <c r="U6445" s="7">
        <v>0.38</v>
      </c>
      <c r="V6445" s="12">
        <f>C6445+1</f>
        <v>40207</v>
      </c>
      <c r="W6445">
        <f>IF(D6445=' Pivot Tables'!$A$4,1,0)</f>
        <v>1</v>
      </c>
      <c r="X6445">
        <f>IF(AND(LEFT(D6445,4)+1=LEFT(' Pivot Tables'!$A$4,4)+0,RIGHT(LEFT(D6445,7),2)=RIGHT(LEFT(' Pivot Tables'!$A$4,7),2)),1,0)</f>
        <v>0</v>
      </c>
      <c r="Y6445" s="6">
        <f>1/COUNTIF(Таблица1[Order ID],Таблица1[[#This Row],[Order ID]])</f>
        <v>1</v>
      </c>
      <c r="Z6445" s="9">
        <f>1/COUNTIFS(Таблица1[Customer Name],Таблица1[[#This Row],[Customer Name]],Таблица1[Order-Year-Month],Таблица1[[#This Row],[Order-Year-Month]])</f>
        <v>1</v>
      </c>
    </row>
    <row r="6446" spans="1:26" x14ac:dyDescent="0.2">
      <c r="A6446" s="6">
        <v>54</v>
      </c>
      <c r="B6446" s="7">
        <v>323</v>
      </c>
      <c r="C6446" s="8">
        <f>DATE(2012,12,31)-1377</f>
        <v>39897</v>
      </c>
      <c r="D6446" s="8" t="str">
        <f t="shared" si="118"/>
        <v>2009-03 (март 2009)</v>
      </c>
      <c r="E6446" s="9" t="s">
        <v>78</v>
      </c>
      <c r="F6446" s="7">
        <v>20</v>
      </c>
      <c r="G6446" s="7">
        <v>108.09</v>
      </c>
      <c r="H6446" s="7">
        <v>7.0000000000000007E-2</v>
      </c>
      <c r="I6446" s="9" t="s">
        <v>22</v>
      </c>
      <c r="J6446" s="10">
        <v>25.76</v>
      </c>
      <c r="K6446" s="11">
        <v>5.68</v>
      </c>
      <c r="L6446" s="11">
        <v>1.39</v>
      </c>
      <c r="M6446" s="9" t="s">
        <v>2013</v>
      </c>
      <c r="N6446" s="6" t="s">
        <v>2012</v>
      </c>
      <c r="O6446" s="6" t="s">
        <v>2012</v>
      </c>
      <c r="P6446" s="9" t="s">
        <v>25</v>
      </c>
      <c r="Q6446" s="9" t="s">
        <v>26</v>
      </c>
      <c r="R6446" s="9" t="s">
        <v>76</v>
      </c>
      <c r="S6446" s="7" t="s">
        <v>620</v>
      </c>
      <c r="T6446" s="9" t="s">
        <v>39</v>
      </c>
      <c r="U6446" s="7">
        <v>0.38</v>
      </c>
      <c r="V6446" s="12">
        <f>C6446+2</f>
        <v>39899</v>
      </c>
      <c r="W6446">
        <f>IF(D6446=' Pivot Tables'!$A$4,1,0)</f>
        <v>0</v>
      </c>
      <c r="X6446">
        <f>IF(AND(LEFT(D6446,4)+1=LEFT(' Pivot Tables'!$A$4,4)+0,RIGHT(LEFT(D6446,7),2)=RIGHT(LEFT(' Pivot Tables'!$A$4,7),2)),1,0)</f>
        <v>0</v>
      </c>
      <c r="Y6446" s="6">
        <f>1/COUNTIF(Таблица1[Order ID],Таблица1[[#This Row],[Order ID]])</f>
        <v>0.5</v>
      </c>
      <c r="Z6446" s="9">
        <f>1/COUNTIFS(Таблица1[Customer Name],Таблица1[[#This Row],[Customer Name]],Таблица1[Order-Year-Month],Таблица1[[#This Row],[Order-Year-Month]])</f>
        <v>0.5</v>
      </c>
    </row>
    <row r="6447" spans="1:26" x14ac:dyDescent="0.2">
      <c r="A6447" s="6">
        <v>55</v>
      </c>
      <c r="B6447" s="7">
        <v>323</v>
      </c>
      <c r="C6447" s="8">
        <f>DATE(2012,12,31)-1377</f>
        <v>39897</v>
      </c>
      <c r="D6447" s="8" t="str">
        <f t="shared" si="118"/>
        <v>2009-03 (март 2009)</v>
      </c>
      <c r="E6447" s="9" t="s">
        <v>78</v>
      </c>
      <c r="F6447" s="7">
        <v>2</v>
      </c>
      <c r="G6447" s="7">
        <v>55.34</v>
      </c>
      <c r="H6447" s="7">
        <v>0.06</v>
      </c>
      <c r="I6447" s="9" t="s">
        <v>22</v>
      </c>
      <c r="J6447" s="10">
        <v>-31.24</v>
      </c>
      <c r="K6447" s="11">
        <v>22.84</v>
      </c>
      <c r="L6447" s="11">
        <v>11.54</v>
      </c>
      <c r="M6447" s="9" t="s">
        <v>2013</v>
      </c>
      <c r="N6447" s="6" t="s">
        <v>2012</v>
      </c>
      <c r="O6447" s="6" t="s">
        <v>2012</v>
      </c>
      <c r="P6447" s="9" t="s">
        <v>25</v>
      </c>
      <c r="Q6447" s="9" t="s">
        <v>26</v>
      </c>
      <c r="R6447" s="9" t="s">
        <v>61</v>
      </c>
      <c r="S6447" s="7" t="s">
        <v>1505</v>
      </c>
      <c r="T6447" s="9" t="s">
        <v>39</v>
      </c>
      <c r="U6447" s="7">
        <v>0.39</v>
      </c>
      <c r="V6447" s="12">
        <f>C6447+2</f>
        <v>39899</v>
      </c>
      <c r="W6447">
        <f>IF(D6447=' Pivot Tables'!$A$4,1,0)</f>
        <v>0</v>
      </c>
      <c r="X6447">
        <f>IF(AND(LEFT(D6447,4)+1=LEFT(' Pivot Tables'!$A$4,4)+0,RIGHT(LEFT(D6447,7),2)=RIGHT(LEFT(' Pivot Tables'!$A$4,7),2)),1,0)</f>
        <v>0</v>
      </c>
      <c r="Y6447" s="6">
        <f>1/COUNTIF(Таблица1[Order ID],Таблица1[[#This Row],[Order ID]])</f>
        <v>0.5</v>
      </c>
      <c r="Z6447" s="9">
        <f>1/COUNTIFS(Таблица1[Customer Name],Таблица1[[#This Row],[Customer Name]],Таблица1[Order-Year-Month],Таблица1[[#This Row],[Order-Year-Month]])</f>
        <v>0.5</v>
      </c>
    </row>
    <row r="6448" spans="1:26" x14ac:dyDescent="0.2">
      <c r="A6448" s="6">
        <v>173</v>
      </c>
      <c r="B6448" s="7">
        <v>1095</v>
      </c>
      <c r="C6448" s="8">
        <f>DATE(2012,12,31)-498</f>
        <v>40776</v>
      </c>
      <c r="D6448" s="8" t="str">
        <f t="shared" si="118"/>
        <v>2011-08 (август 2011)</v>
      </c>
      <c r="E6448" s="9" t="s">
        <v>63</v>
      </c>
      <c r="F6448" s="7">
        <v>28</v>
      </c>
      <c r="G6448" s="7">
        <v>142.18</v>
      </c>
      <c r="H6448" s="7">
        <v>7.0000000000000007E-2</v>
      </c>
      <c r="I6448" s="9" t="s">
        <v>22</v>
      </c>
      <c r="J6448" s="10">
        <v>-50.14</v>
      </c>
      <c r="K6448" s="11">
        <v>4.9800000000000004</v>
      </c>
      <c r="L6448" s="11">
        <v>4.72</v>
      </c>
      <c r="M6448" s="9" t="s">
        <v>1841</v>
      </c>
      <c r="N6448" s="6" t="s">
        <v>2012</v>
      </c>
      <c r="O6448" s="6" t="s">
        <v>2012</v>
      </c>
      <c r="P6448" s="9" t="s">
        <v>33</v>
      </c>
      <c r="Q6448" s="9" t="s">
        <v>26</v>
      </c>
      <c r="R6448" s="9" t="s">
        <v>61</v>
      </c>
      <c r="S6448" s="7" t="s">
        <v>968</v>
      </c>
      <c r="T6448" s="9" t="s">
        <v>39</v>
      </c>
      <c r="U6448" s="7">
        <v>0.36</v>
      </c>
      <c r="V6448" s="12">
        <f>C6448+2</f>
        <v>40778</v>
      </c>
      <c r="W6448">
        <f>IF(D6448=' Pivot Tables'!$A$4,1,0)</f>
        <v>0</v>
      </c>
      <c r="X6448">
        <f>IF(AND(LEFT(D6448,4)+1=LEFT(' Pivot Tables'!$A$4,4)+0,RIGHT(LEFT(D6448,7),2)=RIGHT(LEFT(' Pivot Tables'!$A$4,7),2)),1,0)</f>
        <v>0</v>
      </c>
      <c r="Y6448" s="6">
        <f>1/COUNTIF(Таблица1[Order ID],Таблица1[[#This Row],[Order ID]])</f>
        <v>1</v>
      </c>
      <c r="Z6448" s="9">
        <f>1/COUNTIFS(Таблица1[Customer Name],Таблица1[[#This Row],[Customer Name]],Таблица1[Order-Year-Month],Таблица1[[#This Row],[Order-Year-Month]])</f>
        <v>0.5</v>
      </c>
    </row>
    <row r="6449" spans="1:26" x14ac:dyDescent="0.2">
      <c r="A6449" s="6">
        <v>367</v>
      </c>
      <c r="B6449" s="7">
        <v>2562</v>
      </c>
      <c r="C6449" s="8">
        <f>DATE(2012,12,31)-153</f>
        <v>41121</v>
      </c>
      <c r="D6449" s="8" t="str">
        <f t="shared" si="118"/>
        <v>2012-07 (июль 2012)</v>
      </c>
      <c r="E6449" s="9" t="s">
        <v>78</v>
      </c>
      <c r="F6449" s="7">
        <v>28</v>
      </c>
      <c r="G6449" s="7">
        <v>64.819999999999993</v>
      </c>
      <c r="H6449" s="7">
        <v>0.02</v>
      </c>
      <c r="I6449" s="9" t="s">
        <v>22</v>
      </c>
      <c r="J6449" s="10">
        <v>-32.03</v>
      </c>
      <c r="K6449" s="11">
        <v>2.12</v>
      </c>
      <c r="L6449" s="11">
        <v>1.99</v>
      </c>
      <c r="M6449" s="9" t="s">
        <v>2014</v>
      </c>
      <c r="N6449" s="6" t="s">
        <v>2012</v>
      </c>
      <c r="O6449" s="6" t="s">
        <v>2012</v>
      </c>
      <c r="P6449" s="9" t="s">
        <v>33</v>
      </c>
      <c r="Q6449" s="9" t="s">
        <v>42</v>
      </c>
      <c r="R6449" s="9" t="s">
        <v>70</v>
      </c>
      <c r="S6449" s="7" t="s">
        <v>1232</v>
      </c>
      <c r="T6449" s="9" t="s">
        <v>52</v>
      </c>
      <c r="U6449" s="7">
        <v>0.55000000000000004</v>
      </c>
      <c r="V6449" s="12">
        <f>C6449+3</f>
        <v>41124</v>
      </c>
      <c r="W6449">
        <f>IF(D6449=' Pivot Tables'!$A$4,1,0)</f>
        <v>0</v>
      </c>
      <c r="X6449">
        <f>IF(AND(LEFT(D6449,4)+1=LEFT(' Pivot Tables'!$A$4,4)+0,RIGHT(LEFT(D6449,7),2)=RIGHT(LEFT(' Pivot Tables'!$A$4,7),2)),1,0)</f>
        <v>0</v>
      </c>
      <c r="Y6449" s="6">
        <f>1/COUNTIF(Таблица1[Order ID],Таблица1[[#This Row],[Order ID]])</f>
        <v>0.33333333333333331</v>
      </c>
      <c r="Z6449" s="9">
        <f>1/COUNTIFS(Таблица1[Customer Name],Таблица1[[#This Row],[Customer Name]],Таблица1[Order-Year-Month],Таблица1[[#This Row],[Order-Year-Month]])</f>
        <v>0.33333333333333331</v>
      </c>
    </row>
    <row r="6450" spans="1:26" x14ac:dyDescent="0.2">
      <c r="A6450" s="6">
        <v>368</v>
      </c>
      <c r="B6450" s="7">
        <v>2562</v>
      </c>
      <c r="C6450" s="8">
        <f>DATE(2012,12,31)-153</f>
        <v>41121</v>
      </c>
      <c r="D6450" s="8" t="str">
        <f t="shared" si="118"/>
        <v>2012-07 (июль 2012)</v>
      </c>
      <c r="E6450" s="9" t="s">
        <v>78</v>
      </c>
      <c r="F6450" s="7">
        <v>6</v>
      </c>
      <c r="G6450" s="7">
        <v>77.599999999999994</v>
      </c>
      <c r="H6450" s="7">
        <v>0.08</v>
      </c>
      <c r="I6450" s="9" t="s">
        <v>22</v>
      </c>
      <c r="J6450" s="10">
        <v>-37.07</v>
      </c>
      <c r="K6450" s="11">
        <v>11.34</v>
      </c>
      <c r="L6450" s="11">
        <v>11.25</v>
      </c>
      <c r="M6450" s="9" t="s">
        <v>2014</v>
      </c>
      <c r="N6450" s="6" t="s">
        <v>2012</v>
      </c>
      <c r="O6450" s="6" t="s">
        <v>2012</v>
      </c>
      <c r="P6450" s="9" t="s">
        <v>33</v>
      </c>
      <c r="Q6450" s="9" t="s">
        <v>26</v>
      </c>
      <c r="R6450" s="9" t="s">
        <v>61</v>
      </c>
      <c r="S6450" s="7" t="s">
        <v>1281</v>
      </c>
      <c r="T6450" s="9" t="s">
        <v>39</v>
      </c>
      <c r="U6450" s="7">
        <v>0.36</v>
      </c>
      <c r="V6450" s="12">
        <f>C6450+2</f>
        <v>41123</v>
      </c>
      <c r="W6450">
        <f>IF(D6450=' Pivot Tables'!$A$4,1,0)</f>
        <v>0</v>
      </c>
      <c r="X6450">
        <f>IF(AND(LEFT(D6450,4)+1=LEFT(' Pivot Tables'!$A$4,4)+0,RIGHT(LEFT(D6450,7),2)=RIGHT(LEFT(' Pivot Tables'!$A$4,7),2)),1,0)</f>
        <v>0</v>
      </c>
      <c r="Y6450" s="6">
        <f>1/COUNTIF(Таблица1[Order ID],Таблица1[[#This Row],[Order ID]])</f>
        <v>0.33333333333333331</v>
      </c>
      <c r="Z6450" s="9">
        <f>1/COUNTIFS(Таблица1[Customer Name],Таблица1[[#This Row],[Customer Name]],Таблица1[Order-Year-Month],Таблица1[[#This Row],[Order-Year-Month]])</f>
        <v>0.33333333333333331</v>
      </c>
    </row>
    <row r="6451" spans="1:26" x14ac:dyDescent="0.2">
      <c r="A6451" s="6">
        <v>369</v>
      </c>
      <c r="B6451" s="7">
        <v>2562</v>
      </c>
      <c r="C6451" s="8">
        <f>DATE(2012,12,31)-153</f>
        <v>41121</v>
      </c>
      <c r="D6451" s="8" t="str">
        <f t="shared" si="118"/>
        <v>2012-07 (июль 2012)</v>
      </c>
      <c r="E6451" s="9" t="s">
        <v>78</v>
      </c>
      <c r="F6451" s="7">
        <v>17</v>
      </c>
      <c r="G6451" s="7">
        <v>821.18</v>
      </c>
      <c r="H6451" s="7">
        <v>0.04</v>
      </c>
      <c r="I6451" s="9" t="s">
        <v>56</v>
      </c>
      <c r="J6451" s="10">
        <v>308.63</v>
      </c>
      <c r="K6451" s="11">
        <v>48.91</v>
      </c>
      <c r="L6451" s="11">
        <v>5.81</v>
      </c>
      <c r="M6451" s="9" t="s">
        <v>2014</v>
      </c>
      <c r="N6451" s="6" t="s">
        <v>2012</v>
      </c>
      <c r="O6451" s="6" t="s">
        <v>2012</v>
      </c>
      <c r="P6451" s="9" t="s">
        <v>33</v>
      </c>
      <c r="Q6451" s="9" t="s">
        <v>26</v>
      </c>
      <c r="R6451" s="9" t="s">
        <v>61</v>
      </c>
      <c r="S6451" s="7" t="s">
        <v>183</v>
      </c>
      <c r="T6451" s="9" t="s">
        <v>39</v>
      </c>
      <c r="U6451" s="7">
        <v>0.38</v>
      </c>
      <c r="V6451" s="12">
        <f>C6451+1</f>
        <v>41122</v>
      </c>
      <c r="W6451">
        <f>IF(D6451=' Pivot Tables'!$A$4,1,0)</f>
        <v>0</v>
      </c>
      <c r="X6451">
        <f>IF(AND(LEFT(D6451,4)+1=LEFT(' Pivot Tables'!$A$4,4)+0,RIGHT(LEFT(D6451,7),2)=RIGHT(LEFT(' Pivot Tables'!$A$4,7),2)),1,0)</f>
        <v>0</v>
      </c>
      <c r="Y6451" s="6">
        <f>1/COUNTIF(Таблица1[Order ID],Таблица1[[#This Row],[Order ID]])</f>
        <v>0.33333333333333331</v>
      </c>
      <c r="Z6451" s="9">
        <f>1/COUNTIFS(Таблица1[Customer Name],Таблица1[[#This Row],[Customer Name]],Таблица1[Order-Year-Month],Таблица1[[#This Row],[Order-Year-Month]])</f>
        <v>0.33333333333333331</v>
      </c>
    </row>
    <row r="6452" spans="1:26" x14ac:dyDescent="0.2">
      <c r="A6452" s="6">
        <v>600</v>
      </c>
      <c r="B6452" s="7">
        <v>4099</v>
      </c>
      <c r="C6452" s="8">
        <f>DATE(2012,12,31)-133</f>
        <v>41141</v>
      </c>
      <c r="D6452" s="8" t="str">
        <f t="shared" si="118"/>
        <v>2012-08 (август 2012)</v>
      </c>
      <c r="E6452" s="9" t="s">
        <v>78</v>
      </c>
      <c r="F6452" s="7">
        <v>42</v>
      </c>
      <c r="G6452" s="7">
        <v>1691.51</v>
      </c>
      <c r="H6452" s="7">
        <v>0.08</v>
      </c>
      <c r="I6452" s="9" t="s">
        <v>22</v>
      </c>
      <c r="J6452" s="10">
        <v>285.16000000000003</v>
      </c>
      <c r="K6452" s="11">
        <v>42.76</v>
      </c>
      <c r="L6452" s="11">
        <v>6.22</v>
      </c>
      <c r="M6452" s="9" t="s">
        <v>1841</v>
      </c>
      <c r="N6452" s="6" t="s">
        <v>2012</v>
      </c>
      <c r="O6452" s="6" t="s">
        <v>2012</v>
      </c>
      <c r="P6452" s="9" t="s">
        <v>33</v>
      </c>
      <c r="Q6452" s="9" t="s">
        <v>26</v>
      </c>
      <c r="R6452" s="9" t="s">
        <v>27</v>
      </c>
      <c r="S6452" s="7" t="s">
        <v>55</v>
      </c>
      <c r="T6452" s="9" t="s">
        <v>39</v>
      </c>
      <c r="U6452" s="7"/>
      <c r="V6452" s="12">
        <f>C6452+1</f>
        <v>41142</v>
      </c>
      <c r="W6452">
        <f>IF(D6452=' Pivot Tables'!$A$4,1,0)</f>
        <v>0</v>
      </c>
      <c r="X6452">
        <f>IF(AND(LEFT(D6452,4)+1=LEFT(' Pivot Tables'!$A$4,4)+0,RIGHT(LEFT(D6452,7),2)=RIGHT(LEFT(' Pivot Tables'!$A$4,7),2)),1,0)</f>
        <v>0</v>
      </c>
      <c r="Y6452" s="6">
        <f>1/COUNTIF(Таблица1[Order ID],Таблица1[[#This Row],[Order ID]])</f>
        <v>0.25</v>
      </c>
      <c r="Z6452" s="9">
        <f>1/COUNTIFS(Таблица1[Customer Name],Таблица1[[#This Row],[Customer Name]],Таблица1[Order-Year-Month],Таблица1[[#This Row],[Order-Year-Month]])</f>
        <v>0.25</v>
      </c>
    </row>
    <row r="6453" spans="1:26" x14ac:dyDescent="0.2">
      <c r="A6453" s="6">
        <v>601</v>
      </c>
      <c r="B6453" s="7">
        <v>4099</v>
      </c>
      <c r="C6453" s="8">
        <f>DATE(2012,12,31)-133</f>
        <v>41141</v>
      </c>
      <c r="D6453" s="8" t="str">
        <f t="shared" si="118"/>
        <v>2012-08 (август 2012)</v>
      </c>
      <c r="E6453" s="9" t="s">
        <v>78</v>
      </c>
      <c r="F6453" s="7">
        <v>12</v>
      </c>
      <c r="G6453" s="7">
        <v>122.93</v>
      </c>
      <c r="H6453" s="7">
        <v>0.04</v>
      </c>
      <c r="I6453" s="9" t="s">
        <v>22</v>
      </c>
      <c r="J6453" s="10">
        <v>-6.83</v>
      </c>
      <c r="K6453" s="11">
        <v>9.7799999999999994</v>
      </c>
      <c r="L6453" s="11">
        <v>5.76</v>
      </c>
      <c r="M6453" s="9" t="s">
        <v>1841</v>
      </c>
      <c r="N6453" s="6" t="s">
        <v>2012</v>
      </c>
      <c r="O6453" s="6" t="s">
        <v>2012</v>
      </c>
      <c r="P6453" s="9" t="s">
        <v>33</v>
      </c>
      <c r="Q6453" s="9" t="s">
        <v>26</v>
      </c>
      <c r="R6453" s="9" t="s">
        <v>76</v>
      </c>
      <c r="S6453" s="7" t="s">
        <v>571</v>
      </c>
      <c r="T6453" s="9" t="s">
        <v>39</v>
      </c>
      <c r="U6453" s="7">
        <v>0.35</v>
      </c>
      <c r="V6453" s="12">
        <f>C6453+3</f>
        <v>41144</v>
      </c>
      <c r="W6453">
        <f>IF(D6453=' Pivot Tables'!$A$4,1,0)</f>
        <v>0</v>
      </c>
      <c r="X6453">
        <f>IF(AND(LEFT(D6453,4)+1=LEFT(' Pivot Tables'!$A$4,4)+0,RIGHT(LEFT(D6453,7),2)=RIGHT(LEFT(' Pivot Tables'!$A$4,7),2)),1,0)</f>
        <v>0</v>
      </c>
      <c r="Y6453" s="6">
        <f>1/COUNTIF(Таблица1[Order ID],Таблица1[[#This Row],[Order ID]])</f>
        <v>0.25</v>
      </c>
      <c r="Z6453" s="9">
        <f>1/COUNTIFS(Таблица1[Customer Name],Таблица1[[#This Row],[Customer Name]],Таблица1[Order-Year-Month],Таблица1[[#This Row],[Order-Year-Month]])</f>
        <v>0.25</v>
      </c>
    </row>
    <row r="6454" spans="1:26" x14ac:dyDescent="0.2">
      <c r="A6454" s="6">
        <v>602</v>
      </c>
      <c r="B6454" s="7">
        <v>4099</v>
      </c>
      <c r="C6454" s="8">
        <f>DATE(2012,12,31)-133</f>
        <v>41141</v>
      </c>
      <c r="D6454" s="8" t="str">
        <f t="shared" si="118"/>
        <v>2012-08 (август 2012)</v>
      </c>
      <c r="E6454" s="9" t="s">
        <v>78</v>
      </c>
      <c r="F6454" s="7">
        <v>4</v>
      </c>
      <c r="G6454" s="7">
        <v>47.86</v>
      </c>
      <c r="H6454" s="7">
        <v>0</v>
      </c>
      <c r="I6454" s="9" t="s">
        <v>22</v>
      </c>
      <c r="J6454" s="10">
        <v>-17.32</v>
      </c>
      <c r="K6454" s="11">
        <v>9.48</v>
      </c>
      <c r="L6454" s="11">
        <v>7.29</v>
      </c>
      <c r="M6454" s="9" t="s">
        <v>1841</v>
      </c>
      <c r="N6454" s="6" t="s">
        <v>2012</v>
      </c>
      <c r="O6454" s="6" t="s">
        <v>2012</v>
      </c>
      <c r="P6454" s="9" t="s">
        <v>33</v>
      </c>
      <c r="Q6454" s="9" t="s">
        <v>49</v>
      </c>
      <c r="R6454" s="9" t="s">
        <v>50</v>
      </c>
      <c r="S6454" s="7" t="s">
        <v>934</v>
      </c>
      <c r="T6454" s="9" t="s">
        <v>52</v>
      </c>
      <c r="U6454" s="7">
        <v>0.45</v>
      </c>
      <c r="V6454" s="12">
        <f>C6454+1</f>
        <v>41142</v>
      </c>
      <c r="W6454">
        <f>IF(D6454=' Pivot Tables'!$A$4,1,0)</f>
        <v>0</v>
      </c>
      <c r="X6454">
        <f>IF(AND(LEFT(D6454,4)+1=LEFT(' Pivot Tables'!$A$4,4)+0,RIGHT(LEFT(D6454,7),2)=RIGHT(LEFT(' Pivot Tables'!$A$4,7),2)),1,0)</f>
        <v>0</v>
      </c>
      <c r="Y6454" s="6">
        <f>1/COUNTIF(Таблица1[Order ID],Таблица1[[#This Row],[Order ID]])</f>
        <v>0.25</v>
      </c>
      <c r="Z6454" s="9">
        <f>1/COUNTIFS(Таблица1[Customer Name],Таблица1[[#This Row],[Customer Name]],Таблица1[Order-Year-Month],Таблица1[[#This Row],[Order-Year-Month]])</f>
        <v>0.25</v>
      </c>
    </row>
    <row r="6455" spans="1:26" x14ac:dyDescent="0.2">
      <c r="A6455" s="6">
        <v>603</v>
      </c>
      <c r="B6455" s="7">
        <v>4099</v>
      </c>
      <c r="C6455" s="8">
        <f>DATE(2012,12,31)-133</f>
        <v>41141</v>
      </c>
      <c r="D6455" s="8" t="str">
        <f t="shared" si="118"/>
        <v>2012-08 (август 2012)</v>
      </c>
      <c r="E6455" s="9" t="s">
        <v>78</v>
      </c>
      <c r="F6455" s="7">
        <v>39</v>
      </c>
      <c r="G6455" s="7">
        <v>3607.8504999999996</v>
      </c>
      <c r="H6455" s="7">
        <v>0.05</v>
      </c>
      <c r="I6455" s="9" t="s">
        <v>22</v>
      </c>
      <c r="J6455" s="10">
        <v>784.49399999999991</v>
      </c>
      <c r="K6455" s="11">
        <v>110.99</v>
      </c>
      <c r="L6455" s="11">
        <v>8.99</v>
      </c>
      <c r="M6455" s="9" t="s">
        <v>1841</v>
      </c>
      <c r="N6455" s="6" t="s">
        <v>2012</v>
      </c>
      <c r="O6455" s="6" t="s">
        <v>2012</v>
      </c>
      <c r="P6455" s="9" t="s">
        <v>33</v>
      </c>
      <c r="Q6455" s="9" t="s">
        <v>42</v>
      </c>
      <c r="R6455" s="9" t="s">
        <v>43</v>
      </c>
      <c r="S6455" s="7" t="s">
        <v>565</v>
      </c>
      <c r="T6455" s="9" t="s">
        <v>39</v>
      </c>
      <c r="U6455" s="7">
        <v>0.56999999999999995</v>
      </c>
      <c r="V6455" s="12">
        <f>C6455+2</f>
        <v>41143</v>
      </c>
      <c r="W6455">
        <f>IF(D6455=' Pivot Tables'!$A$4,1,0)</f>
        <v>0</v>
      </c>
      <c r="X6455">
        <f>IF(AND(LEFT(D6455,4)+1=LEFT(' Pivot Tables'!$A$4,4)+0,RIGHT(LEFT(D6455,7),2)=RIGHT(LEFT(' Pivot Tables'!$A$4,7),2)),1,0)</f>
        <v>0</v>
      </c>
      <c r="Y6455" s="6">
        <f>1/COUNTIF(Таблица1[Order ID],Таблица1[[#This Row],[Order ID]])</f>
        <v>0.25</v>
      </c>
      <c r="Z6455" s="9">
        <f>1/COUNTIFS(Таблица1[Customer Name],Таблица1[[#This Row],[Customer Name]],Таблица1[Order-Year-Month],Таблица1[[#This Row],[Order-Year-Month]])</f>
        <v>0.25</v>
      </c>
    </row>
    <row r="6456" spans="1:26" x14ac:dyDescent="0.2">
      <c r="A6456" s="6">
        <v>770</v>
      </c>
      <c r="B6456" s="7">
        <v>5509</v>
      </c>
      <c r="C6456" s="8">
        <f>DATE(2012,12,31)-1364</f>
        <v>39910</v>
      </c>
      <c r="D6456" s="8" t="str">
        <f t="shared" si="118"/>
        <v>2009-04 (апрель 2009)</v>
      </c>
      <c r="E6456" s="9" t="s">
        <v>21</v>
      </c>
      <c r="F6456" s="7">
        <v>11</v>
      </c>
      <c r="G6456" s="7">
        <v>68.459999999999994</v>
      </c>
      <c r="H6456" s="7">
        <v>0.02</v>
      </c>
      <c r="I6456" s="9" t="s">
        <v>22</v>
      </c>
      <c r="J6456" s="10">
        <v>-22.48</v>
      </c>
      <c r="K6456" s="11">
        <v>5.58</v>
      </c>
      <c r="L6456" s="11">
        <v>5.3</v>
      </c>
      <c r="M6456" s="9" t="s">
        <v>1917</v>
      </c>
      <c r="N6456" s="6" t="s">
        <v>2012</v>
      </c>
      <c r="O6456" s="6" t="s">
        <v>2012</v>
      </c>
      <c r="P6456" s="9" t="s">
        <v>60</v>
      </c>
      <c r="Q6456" s="9" t="s">
        <v>26</v>
      </c>
      <c r="R6456" s="9" t="s">
        <v>76</v>
      </c>
      <c r="S6456" s="7" t="s">
        <v>881</v>
      </c>
      <c r="T6456" s="9" t="s">
        <v>39</v>
      </c>
      <c r="U6456" s="7">
        <v>0.35</v>
      </c>
      <c r="V6456" s="12">
        <f>C6456+5</f>
        <v>39915</v>
      </c>
      <c r="W6456">
        <f>IF(D6456=' Pivot Tables'!$A$4,1,0)</f>
        <v>0</v>
      </c>
      <c r="X6456">
        <f>IF(AND(LEFT(D6456,4)+1=LEFT(' Pivot Tables'!$A$4,4)+0,RIGHT(LEFT(D6456,7),2)=RIGHT(LEFT(' Pivot Tables'!$A$4,7),2)),1,0)</f>
        <v>0</v>
      </c>
      <c r="Y6456" s="6">
        <f>1/COUNTIF(Таблица1[Order ID],Таблица1[[#This Row],[Order ID]])</f>
        <v>0.5</v>
      </c>
      <c r="Z6456" s="9">
        <f>1/COUNTIFS(Таблица1[Customer Name],Таблица1[[#This Row],[Customer Name]],Таблица1[Order-Year-Month],Таблица1[[#This Row],[Order-Year-Month]])</f>
        <v>0.5</v>
      </c>
    </row>
    <row r="6457" spans="1:26" x14ac:dyDescent="0.2">
      <c r="A6457" s="6">
        <v>771</v>
      </c>
      <c r="B6457" s="7">
        <v>5509</v>
      </c>
      <c r="C6457" s="8">
        <f>DATE(2012,12,31)-1364</f>
        <v>39910</v>
      </c>
      <c r="D6457" s="8" t="str">
        <f t="shared" si="118"/>
        <v>2009-04 (апрель 2009)</v>
      </c>
      <c r="E6457" s="9" t="s">
        <v>21</v>
      </c>
      <c r="F6457" s="7">
        <v>21</v>
      </c>
      <c r="G6457" s="7">
        <v>885.23</v>
      </c>
      <c r="H6457" s="7">
        <v>0.03</v>
      </c>
      <c r="I6457" s="9" t="s">
        <v>22</v>
      </c>
      <c r="J6457" s="10">
        <v>78.98</v>
      </c>
      <c r="K6457" s="11">
        <v>40.89</v>
      </c>
      <c r="L6457" s="11">
        <v>18.98</v>
      </c>
      <c r="M6457" s="9" t="s">
        <v>1917</v>
      </c>
      <c r="N6457" s="6" t="s">
        <v>2012</v>
      </c>
      <c r="O6457" s="6" t="s">
        <v>2012</v>
      </c>
      <c r="P6457" s="9" t="s">
        <v>60</v>
      </c>
      <c r="Q6457" s="9" t="s">
        <v>49</v>
      </c>
      <c r="R6457" s="9" t="s">
        <v>50</v>
      </c>
      <c r="S6457" s="7" t="s">
        <v>681</v>
      </c>
      <c r="T6457" s="9" t="s">
        <v>39</v>
      </c>
      <c r="U6457" s="7">
        <v>0.56999999999999995</v>
      </c>
      <c r="V6457" s="12">
        <f>C6457+7</f>
        <v>39917</v>
      </c>
      <c r="W6457">
        <f>IF(D6457=' Pivot Tables'!$A$4,1,0)</f>
        <v>0</v>
      </c>
      <c r="X6457">
        <f>IF(AND(LEFT(D6457,4)+1=LEFT(' Pivot Tables'!$A$4,4)+0,RIGHT(LEFT(D6457,7),2)=RIGHT(LEFT(' Pivot Tables'!$A$4,7),2)),1,0)</f>
        <v>0</v>
      </c>
      <c r="Y6457" s="6">
        <f>1/COUNTIF(Таблица1[Order ID],Таблица1[[#This Row],[Order ID]])</f>
        <v>0.5</v>
      </c>
      <c r="Z6457" s="9">
        <f>1/COUNTIFS(Таблица1[Customer Name],Таблица1[[#This Row],[Customer Name]],Таблица1[Order-Year-Month],Таблица1[[#This Row],[Order-Year-Month]])</f>
        <v>0.5</v>
      </c>
    </row>
    <row r="6458" spans="1:26" x14ac:dyDescent="0.2">
      <c r="A6458" s="6">
        <v>1107</v>
      </c>
      <c r="B6458" s="7">
        <v>8132</v>
      </c>
      <c r="C6458" s="8">
        <f>DATE(2012,12,31)-1327</f>
        <v>39947</v>
      </c>
      <c r="D6458" s="8" t="str">
        <f t="shared" si="118"/>
        <v>2009-05 (май 2009)</v>
      </c>
      <c r="E6458" s="9" t="s">
        <v>21</v>
      </c>
      <c r="F6458" s="7">
        <v>46</v>
      </c>
      <c r="G6458" s="7">
        <v>229.35</v>
      </c>
      <c r="H6458" s="7">
        <v>0.08</v>
      </c>
      <c r="I6458" s="9" t="s">
        <v>56</v>
      </c>
      <c r="J6458" s="10">
        <v>-165.45</v>
      </c>
      <c r="K6458" s="11">
        <v>4.8899999999999997</v>
      </c>
      <c r="L6458" s="11">
        <v>4.93</v>
      </c>
      <c r="M6458" s="9" t="s">
        <v>2015</v>
      </c>
      <c r="N6458" s="6" t="s">
        <v>2012</v>
      </c>
      <c r="O6458" s="6" t="s">
        <v>2012</v>
      </c>
      <c r="P6458" s="9" t="s">
        <v>60</v>
      </c>
      <c r="Q6458" s="9" t="s">
        <v>42</v>
      </c>
      <c r="R6458" s="9" t="s">
        <v>70</v>
      </c>
      <c r="S6458" s="7" t="s">
        <v>93</v>
      </c>
      <c r="T6458" s="9" t="s">
        <v>52</v>
      </c>
      <c r="U6458" s="7">
        <v>0.66</v>
      </c>
      <c r="V6458" s="12">
        <f>C6458+0</f>
        <v>39947</v>
      </c>
      <c r="W6458">
        <f>IF(D6458=' Pivot Tables'!$A$4,1,0)</f>
        <v>0</v>
      </c>
      <c r="X6458">
        <f>IF(AND(LEFT(D6458,4)+1=LEFT(' Pivot Tables'!$A$4,4)+0,RIGHT(LEFT(D6458,7),2)=RIGHT(LEFT(' Pivot Tables'!$A$4,7),2)),1,0)</f>
        <v>0</v>
      </c>
      <c r="Y6458" s="6">
        <f>1/COUNTIF(Таблица1[Order ID],Таблица1[[#This Row],[Order ID]])</f>
        <v>0.5</v>
      </c>
      <c r="Z6458" s="9">
        <f>1/COUNTIFS(Таблица1[Customer Name],Таблица1[[#This Row],[Customer Name]],Таблица1[Order-Year-Month],Таблица1[[#This Row],[Order-Year-Month]])</f>
        <v>0.5</v>
      </c>
    </row>
    <row r="6459" spans="1:26" x14ac:dyDescent="0.2">
      <c r="A6459" s="6">
        <v>1108</v>
      </c>
      <c r="B6459" s="7">
        <v>8132</v>
      </c>
      <c r="C6459" s="8">
        <f>DATE(2012,12,31)-1327</f>
        <v>39947</v>
      </c>
      <c r="D6459" s="8" t="str">
        <f t="shared" si="118"/>
        <v>2009-05 (май 2009)</v>
      </c>
      <c r="E6459" s="9" t="s">
        <v>21</v>
      </c>
      <c r="F6459" s="7">
        <v>45</v>
      </c>
      <c r="G6459" s="7">
        <v>294.86</v>
      </c>
      <c r="H6459" s="7">
        <v>7.0000000000000007E-2</v>
      </c>
      <c r="I6459" s="9" t="s">
        <v>22</v>
      </c>
      <c r="J6459" s="10">
        <v>-141.12</v>
      </c>
      <c r="K6459" s="11">
        <v>6.68</v>
      </c>
      <c r="L6459" s="11">
        <v>6.92</v>
      </c>
      <c r="M6459" s="9" t="s">
        <v>2015</v>
      </c>
      <c r="N6459" s="6" t="s">
        <v>2012</v>
      </c>
      <c r="O6459" s="6" t="s">
        <v>2012</v>
      </c>
      <c r="P6459" s="9" t="s">
        <v>60</v>
      </c>
      <c r="Q6459" s="9" t="s">
        <v>26</v>
      </c>
      <c r="R6459" s="9" t="s">
        <v>61</v>
      </c>
      <c r="S6459" s="7" t="s">
        <v>678</v>
      </c>
      <c r="T6459" s="9" t="s">
        <v>39</v>
      </c>
      <c r="U6459" s="7">
        <v>0.37</v>
      </c>
      <c r="V6459" s="12">
        <f>C6459+7</f>
        <v>39954</v>
      </c>
      <c r="W6459">
        <f>IF(D6459=' Pivot Tables'!$A$4,1,0)</f>
        <v>0</v>
      </c>
      <c r="X6459">
        <f>IF(AND(LEFT(D6459,4)+1=LEFT(' Pivot Tables'!$A$4,4)+0,RIGHT(LEFT(D6459,7),2)=RIGHT(LEFT(' Pivot Tables'!$A$4,7),2)),1,0)</f>
        <v>0</v>
      </c>
      <c r="Y6459" s="6">
        <f>1/COUNTIF(Таблица1[Order ID],Таблица1[[#This Row],[Order ID]])</f>
        <v>0.5</v>
      </c>
      <c r="Z6459" s="9">
        <f>1/COUNTIFS(Таблица1[Customer Name],Таблица1[[#This Row],[Customer Name]],Таблица1[Order-Year-Month],Таблица1[[#This Row],[Order-Year-Month]])</f>
        <v>0.5</v>
      </c>
    </row>
    <row r="6460" spans="1:26" x14ac:dyDescent="0.2">
      <c r="A6460" s="6">
        <v>1209</v>
      </c>
      <c r="B6460" s="7">
        <v>8868</v>
      </c>
      <c r="C6460" s="8">
        <f>DATE(2012,12,31)-1433</f>
        <v>39841</v>
      </c>
      <c r="D6460" s="8" t="str">
        <f t="shared" si="118"/>
        <v>2009-01 (январь 2009)</v>
      </c>
      <c r="E6460" s="9" t="s">
        <v>21</v>
      </c>
      <c r="F6460" s="7">
        <v>3</v>
      </c>
      <c r="G6460" s="7">
        <v>190.45</v>
      </c>
      <c r="H6460" s="7">
        <v>0.02</v>
      </c>
      <c r="I6460" s="9" t="s">
        <v>22</v>
      </c>
      <c r="J6460" s="10">
        <v>-44.05</v>
      </c>
      <c r="K6460" s="11">
        <v>59.98</v>
      </c>
      <c r="L6460" s="11">
        <v>3.99</v>
      </c>
      <c r="M6460" s="9" t="s">
        <v>2014</v>
      </c>
      <c r="N6460" s="6" t="s">
        <v>2012</v>
      </c>
      <c r="O6460" s="6" t="s">
        <v>2012</v>
      </c>
      <c r="P6460" s="9" t="s">
        <v>41</v>
      </c>
      <c r="Q6460" s="9" t="s">
        <v>26</v>
      </c>
      <c r="R6460" s="9" t="s">
        <v>34</v>
      </c>
      <c r="S6460" s="7" t="s">
        <v>448</v>
      </c>
      <c r="T6460" s="9" t="s">
        <v>39</v>
      </c>
      <c r="U6460" s="7">
        <v>0.56999999999999995</v>
      </c>
      <c r="V6460" s="12">
        <f>C6460+9</f>
        <v>39850</v>
      </c>
      <c r="W6460">
        <f>IF(D6460=' Pivot Tables'!$A$4,1,0)</f>
        <v>0</v>
      </c>
      <c r="X6460">
        <f>IF(AND(LEFT(D6460,4)+1=LEFT(' Pivot Tables'!$A$4,4)+0,RIGHT(LEFT(D6460,7),2)=RIGHT(LEFT(' Pivot Tables'!$A$4,7),2)),1,0)</f>
        <v>1</v>
      </c>
      <c r="Y6460" s="6">
        <f>1/COUNTIF(Таблица1[Order ID],Таблица1[[#This Row],[Order ID]])</f>
        <v>0.5</v>
      </c>
      <c r="Z6460" s="9">
        <f>1/COUNTIFS(Таблица1[Customer Name],Таблица1[[#This Row],[Customer Name]],Таблица1[Order-Year-Month],Таблица1[[#This Row],[Order-Year-Month]])</f>
        <v>0.5</v>
      </c>
    </row>
    <row r="6461" spans="1:26" x14ac:dyDescent="0.2">
      <c r="A6461" s="6">
        <v>1210</v>
      </c>
      <c r="B6461" s="7">
        <v>8868</v>
      </c>
      <c r="C6461" s="8">
        <f>DATE(2012,12,31)-1433</f>
        <v>39841</v>
      </c>
      <c r="D6461" s="8" t="str">
        <f t="shared" si="118"/>
        <v>2009-01 (январь 2009)</v>
      </c>
      <c r="E6461" s="9" t="s">
        <v>21</v>
      </c>
      <c r="F6461" s="7">
        <v>34</v>
      </c>
      <c r="G6461" s="7">
        <v>179.99</v>
      </c>
      <c r="H6461" s="7">
        <v>0.03</v>
      </c>
      <c r="I6461" s="9" t="s">
        <v>22</v>
      </c>
      <c r="J6461" s="10">
        <v>-102.26950000000001</v>
      </c>
      <c r="K6461" s="11">
        <v>5.18</v>
      </c>
      <c r="L6461" s="11">
        <v>5.74</v>
      </c>
      <c r="M6461" s="9" t="s">
        <v>2014</v>
      </c>
      <c r="N6461" s="6" t="s">
        <v>2012</v>
      </c>
      <c r="O6461" s="6" t="s">
        <v>2012</v>
      </c>
      <c r="P6461" s="9" t="s">
        <v>41</v>
      </c>
      <c r="Q6461" s="9" t="s">
        <v>26</v>
      </c>
      <c r="R6461" s="9" t="s">
        <v>37</v>
      </c>
      <c r="S6461" s="7" t="s">
        <v>606</v>
      </c>
      <c r="T6461" s="9" t="s">
        <v>39</v>
      </c>
      <c r="U6461" s="7">
        <v>0.36</v>
      </c>
      <c r="V6461" s="12">
        <f>C6461+4</f>
        <v>39845</v>
      </c>
      <c r="W6461">
        <f>IF(D6461=' Pivot Tables'!$A$4,1,0)</f>
        <v>0</v>
      </c>
      <c r="X6461">
        <f>IF(AND(LEFT(D6461,4)+1=LEFT(' Pivot Tables'!$A$4,4)+0,RIGHT(LEFT(D6461,7),2)=RIGHT(LEFT(' Pivot Tables'!$A$4,7),2)),1,0)</f>
        <v>1</v>
      </c>
      <c r="Y6461" s="6">
        <f>1/COUNTIF(Таблица1[Order ID],Таблица1[[#This Row],[Order ID]])</f>
        <v>0.5</v>
      </c>
      <c r="Z6461" s="9">
        <f>1/COUNTIFS(Таблица1[Customer Name],Таблица1[[#This Row],[Customer Name]],Таблица1[Order-Year-Month],Таблица1[[#This Row],[Order-Year-Month]])</f>
        <v>0.5</v>
      </c>
    </row>
    <row r="6462" spans="1:26" x14ac:dyDescent="0.2">
      <c r="A6462" s="6">
        <v>1351</v>
      </c>
      <c r="B6462" s="7">
        <v>9857</v>
      </c>
      <c r="C6462" s="8">
        <f>DATE(2012,12,31)-965</f>
        <v>40309</v>
      </c>
      <c r="D6462" s="8" t="str">
        <f t="shared" si="118"/>
        <v>2010-05 (май 2010)</v>
      </c>
      <c r="E6462" s="9" t="s">
        <v>30</v>
      </c>
      <c r="F6462" s="7">
        <v>50</v>
      </c>
      <c r="G6462" s="7">
        <v>3615.8405000000002</v>
      </c>
      <c r="H6462" s="7">
        <v>0.03</v>
      </c>
      <c r="I6462" s="9" t="s">
        <v>22</v>
      </c>
      <c r="J6462" s="10">
        <v>1861.3530000000001</v>
      </c>
      <c r="K6462" s="11">
        <v>85.99</v>
      </c>
      <c r="L6462" s="11">
        <v>3.3</v>
      </c>
      <c r="M6462" s="9" t="s">
        <v>1787</v>
      </c>
      <c r="N6462" s="6" t="s">
        <v>2012</v>
      </c>
      <c r="O6462" s="6" t="s">
        <v>2012</v>
      </c>
      <c r="P6462" s="9" t="s">
        <v>60</v>
      </c>
      <c r="Q6462" s="9" t="s">
        <v>42</v>
      </c>
      <c r="R6462" s="9" t="s">
        <v>43</v>
      </c>
      <c r="S6462" s="7" t="s">
        <v>770</v>
      </c>
      <c r="T6462" s="9" t="s">
        <v>52</v>
      </c>
      <c r="U6462" s="7">
        <v>0.37</v>
      </c>
      <c r="V6462" s="12">
        <f>C6462+2</f>
        <v>40311</v>
      </c>
      <c r="W6462">
        <f>IF(D6462=' Pivot Tables'!$A$4,1,0)</f>
        <v>0</v>
      </c>
      <c r="X6462">
        <f>IF(AND(LEFT(D6462,4)+1=LEFT(' Pivot Tables'!$A$4,4)+0,RIGHT(LEFT(D6462,7),2)=RIGHT(LEFT(' Pivot Tables'!$A$4,7),2)),1,0)</f>
        <v>0</v>
      </c>
      <c r="Y6462" s="6">
        <f>1/COUNTIF(Таблица1[Order ID],Таблица1[[#This Row],[Order ID]])</f>
        <v>0.25</v>
      </c>
      <c r="Z6462" s="9">
        <f>1/COUNTIFS(Таблица1[Customer Name],Таблица1[[#This Row],[Customer Name]],Таблица1[Order-Year-Month],Таблица1[[#This Row],[Order-Year-Month]])</f>
        <v>0.25</v>
      </c>
    </row>
    <row r="6463" spans="1:26" x14ac:dyDescent="0.2">
      <c r="A6463" s="6">
        <v>1407</v>
      </c>
      <c r="B6463" s="7">
        <v>10213</v>
      </c>
      <c r="C6463" s="8">
        <f>DATE(2012,12,31)-683</f>
        <v>40591</v>
      </c>
      <c r="D6463" s="8" t="str">
        <f t="shared" si="118"/>
        <v>2011-02 (февраль 2011)</v>
      </c>
      <c r="E6463" s="9" t="s">
        <v>30</v>
      </c>
      <c r="F6463" s="7">
        <v>12</v>
      </c>
      <c r="G6463" s="7">
        <v>464.57</v>
      </c>
      <c r="H6463" s="7">
        <v>0.04</v>
      </c>
      <c r="I6463" s="9" t="s">
        <v>22</v>
      </c>
      <c r="J6463" s="10">
        <v>-79.180000000000007</v>
      </c>
      <c r="K6463" s="11">
        <v>39.979999999999997</v>
      </c>
      <c r="L6463" s="11">
        <v>4</v>
      </c>
      <c r="M6463" s="9" t="s">
        <v>2016</v>
      </c>
      <c r="N6463" s="6" t="s">
        <v>2012</v>
      </c>
      <c r="O6463" s="6" t="s">
        <v>2012</v>
      </c>
      <c r="P6463" s="9" t="s">
        <v>41</v>
      </c>
      <c r="Q6463" s="9" t="s">
        <v>42</v>
      </c>
      <c r="R6463" s="9" t="s">
        <v>70</v>
      </c>
      <c r="S6463" s="7" t="s">
        <v>906</v>
      </c>
      <c r="T6463" s="9" t="s">
        <v>39</v>
      </c>
      <c r="U6463" s="7">
        <v>0.7</v>
      </c>
      <c r="V6463" s="12">
        <f>C6463+2</f>
        <v>40593</v>
      </c>
      <c r="W6463">
        <f>IF(D6463=' Pivot Tables'!$A$4,1,0)</f>
        <v>0</v>
      </c>
      <c r="X6463">
        <f>IF(AND(LEFT(D6463,4)+1=LEFT(' Pivot Tables'!$A$4,4)+0,RIGHT(LEFT(D6463,7),2)=RIGHT(LEFT(' Pivot Tables'!$A$4,7),2)),1,0)</f>
        <v>0</v>
      </c>
      <c r="Y6463" s="6">
        <f>1/COUNTIF(Таблица1[Order ID],Таблица1[[#This Row],[Order ID]])</f>
        <v>1</v>
      </c>
      <c r="Z6463" s="9">
        <f>1/COUNTIFS(Таблица1[Customer Name],Таблица1[[#This Row],[Customer Name]],Таблица1[Order-Year-Month],Таблица1[[#This Row],[Order-Year-Month]])</f>
        <v>1</v>
      </c>
    </row>
    <row r="6464" spans="1:26" x14ac:dyDescent="0.2">
      <c r="A6464" s="6">
        <v>1505</v>
      </c>
      <c r="B6464" s="7">
        <v>10884</v>
      </c>
      <c r="C6464" s="8">
        <f>DATE(2012,12,31)-1132</f>
        <v>40142</v>
      </c>
      <c r="D6464" s="8" t="str">
        <f t="shared" si="118"/>
        <v>2009-11 (ноябрь 2009)</v>
      </c>
      <c r="E6464" s="9" t="s">
        <v>21</v>
      </c>
      <c r="F6464" s="7">
        <v>24</v>
      </c>
      <c r="G6464" s="7">
        <v>2525.9874999999997</v>
      </c>
      <c r="H6464" s="7">
        <v>0.09</v>
      </c>
      <c r="I6464" s="9" t="s">
        <v>22</v>
      </c>
      <c r="J6464" s="10">
        <v>416.673</v>
      </c>
      <c r="K6464" s="11">
        <v>125.99</v>
      </c>
      <c r="L6464" s="11">
        <v>8.99</v>
      </c>
      <c r="M6464" s="9" t="s">
        <v>2014</v>
      </c>
      <c r="N6464" s="6" t="s">
        <v>2012</v>
      </c>
      <c r="O6464" s="6" t="s">
        <v>2012</v>
      </c>
      <c r="P6464" s="9" t="s">
        <v>33</v>
      </c>
      <c r="Q6464" s="9" t="s">
        <v>42</v>
      </c>
      <c r="R6464" s="9" t="s">
        <v>43</v>
      </c>
      <c r="S6464" s="7" t="s">
        <v>802</v>
      </c>
      <c r="T6464" s="9" t="s">
        <v>39</v>
      </c>
      <c r="U6464" s="7">
        <v>0.55000000000000004</v>
      </c>
      <c r="V6464" s="12">
        <f>C6464+7</f>
        <v>40149</v>
      </c>
      <c r="W6464">
        <f>IF(D6464=' Pivot Tables'!$A$4,1,0)</f>
        <v>0</v>
      </c>
      <c r="X6464">
        <f>IF(AND(LEFT(D6464,4)+1=LEFT(' Pivot Tables'!$A$4,4)+0,RIGHT(LEFT(D6464,7),2)=RIGHT(LEFT(' Pivot Tables'!$A$4,7),2)),1,0)</f>
        <v>0</v>
      </c>
      <c r="Y6464" s="6">
        <f>1/COUNTIF(Таблица1[Order ID],Таблица1[[#This Row],[Order ID]])</f>
        <v>1</v>
      </c>
      <c r="Z6464" s="9">
        <f>1/COUNTIFS(Таблица1[Customer Name],Таблица1[[#This Row],[Customer Name]],Таблица1[Order-Year-Month],Таблица1[[#This Row],[Order-Year-Month]])</f>
        <v>1</v>
      </c>
    </row>
    <row r="6465" spans="1:26" x14ac:dyDescent="0.2">
      <c r="A6465" s="6">
        <v>1638</v>
      </c>
      <c r="B6465" s="7">
        <v>11843</v>
      </c>
      <c r="C6465" s="8">
        <f>DATE(2012,12,31)-1263</f>
        <v>40011</v>
      </c>
      <c r="D6465" s="8" t="str">
        <f t="shared" si="118"/>
        <v>2009-07 (июль 2009)</v>
      </c>
      <c r="E6465" s="9" t="s">
        <v>63</v>
      </c>
      <c r="F6465" s="7">
        <v>42</v>
      </c>
      <c r="G6465" s="7">
        <v>4993.42</v>
      </c>
      <c r="H6465" s="7">
        <v>0.03</v>
      </c>
      <c r="I6465" s="9" t="s">
        <v>31</v>
      </c>
      <c r="J6465" s="10">
        <v>190.14</v>
      </c>
      <c r="K6465" s="11">
        <v>119.99</v>
      </c>
      <c r="L6465" s="11">
        <v>56.14</v>
      </c>
      <c r="M6465" s="9" t="s">
        <v>2014</v>
      </c>
      <c r="N6465" s="6" t="s">
        <v>2012</v>
      </c>
      <c r="O6465" s="6" t="s">
        <v>2012</v>
      </c>
      <c r="P6465" s="9" t="s">
        <v>33</v>
      </c>
      <c r="Q6465" s="9" t="s">
        <v>42</v>
      </c>
      <c r="R6465" s="9" t="s">
        <v>210</v>
      </c>
      <c r="S6465" s="7" t="s">
        <v>950</v>
      </c>
      <c r="T6465" s="9" t="s">
        <v>82</v>
      </c>
      <c r="U6465" s="7">
        <v>0.39</v>
      </c>
      <c r="V6465" s="12">
        <f>C6465+2</f>
        <v>40013</v>
      </c>
      <c r="W6465">
        <f>IF(D6465=' Pivot Tables'!$A$4,1,0)</f>
        <v>0</v>
      </c>
      <c r="X6465">
        <f>IF(AND(LEFT(D6465,4)+1=LEFT(' Pivot Tables'!$A$4,4)+0,RIGHT(LEFT(D6465,7),2)=RIGHT(LEFT(' Pivot Tables'!$A$4,7),2)),1,0)</f>
        <v>0</v>
      </c>
      <c r="Y6465" s="6">
        <f>1/COUNTIF(Таблица1[Order ID],Таблица1[[#This Row],[Order ID]])</f>
        <v>0.5</v>
      </c>
      <c r="Z6465" s="9">
        <f>1/COUNTIFS(Таблица1[Customer Name],Таблица1[[#This Row],[Customer Name]],Таблица1[Order-Year-Month],Таблица1[[#This Row],[Order-Year-Month]])</f>
        <v>0.5</v>
      </c>
    </row>
    <row r="6466" spans="1:26" x14ac:dyDescent="0.2">
      <c r="A6466" s="6">
        <v>1639</v>
      </c>
      <c r="B6466" s="7">
        <v>11843</v>
      </c>
      <c r="C6466" s="8">
        <f>DATE(2012,12,31)-1263</f>
        <v>40011</v>
      </c>
      <c r="D6466" s="8" t="str">
        <f t="shared" si="118"/>
        <v>2009-07 (июль 2009)</v>
      </c>
      <c r="E6466" s="9" t="s">
        <v>63</v>
      </c>
      <c r="F6466" s="7">
        <v>9</v>
      </c>
      <c r="G6466" s="7">
        <v>1059.3</v>
      </c>
      <c r="H6466" s="7">
        <v>0.05</v>
      </c>
      <c r="I6466" s="9" t="s">
        <v>22</v>
      </c>
      <c r="J6466" s="10">
        <v>67.599999999999923</v>
      </c>
      <c r="K6466" s="11">
        <v>115.79</v>
      </c>
      <c r="L6466" s="11">
        <v>1.99</v>
      </c>
      <c r="M6466" s="9" t="s">
        <v>2014</v>
      </c>
      <c r="N6466" s="6" t="s">
        <v>2012</v>
      </c>
      <c r="O6466" s="6" t="s">
        <v>2012</v>
      </c>
      <c r="P6466" s="9" t="s">
        <v>33</v>
      </c>
      <c r="Q6466" s="9" t="s">
        <v>42</v>
      </c>
      <c r="R6466" s="9" t="s">
        <v>70</v>
      </c>
      <c r="S6466" s="7" t="s">
        <v>1047</v>
      </c>
      <c r="T6466" s="9" t="s">
        <v>52</v>
      </c>
      <c r="U6466" s="7">
        <v>0.49</v>
      </c>
      <c r="V6466" s="12">
        <f>C6466+2</f>
        <v>40013</v>
      </c>
      <c r="W6466">
        <f>IF(D6466=' Pivot Tables'!$A$4,1,0)</f>
        <v>0</v>
      </c>
      <c r="X6466">
        <f>IF(AND(LEFT(D6466,4)+1=LEFT(' Pivot Tables'!$A$4,4)+0,RIGHT(LEFT(D6466,7),2)=RIGHT(LEFT(' Pivot Tables'!$A$4,7),2)),1,0)</f>
        <v>0</v>
      </c>
      <c r="Y6466" s="6">
        <f>1/COUNTIF(Таблица1[Order ID],Таблица1[[#This Row],[Order ID]])</f>
        <v>0.5</v>
      </c>
      <c r="Z6466" s="9">
        <f>1/COUNTIFS(Таблица1[Customer Name],Таблица1[[#This Row],[Customer Name]],Таблица1[Order-Year-Month],Таблица1[[#This Row],[Order-Year-Month]])</f>
        <v>0.5</v>
      </c>
    </row>
    <row r="6467" spans="1:26" x14ac:dyDescent="0.2">
      <c r="A6467" s="6">
        <v>1679</v>
      </c>
      <c r="B6467" s="7">
        <v>12099</v>
      </c>
      <c r="C6467" s="8">
        <f>DATE(2012,12,31)-1207</f>
        <v>40067</v>
      </c>
      <c r="D6467" s="8" t="str">
        <f t="shared" ref="D6467:D6530" si="119">TEXT(C6467,"гггг-ММ (ММММ гггг)")</f>
        <v>2009-09 (сентябрь 2009)</v>
      </c>
      <c r="E6467" s="9" t="s">
        <v>78</v>
      </c>
      <c r="F6467" s="7">
        <v>1</v>
      </c>
      <c r="G6467" s="7">
        <v>17.59</v>
      </c>
      <c r="H6467" s="7">
        <v>0.06</v>
      </c>
      <c r="I6467" s="9" t="s">
        <v>56</v>
      </c>
      <c r="J6467" s="10">
        <v>10.85</v>
      </c>
      <c r="K6467" s="11">
        <v>2.61</v>
      </c>
      <c r="L6467" s="11">
        <v>0.5</v>
      </c>
      <c r="M6467" s="9" t="s">
        <v>2017</v>
      </c>
      <c r="N6467" s="6" t="s">
        <v>2012</v>
      </c>
      <c r="O6467" s="6" t="s">
        <v>2012</v>
      </c>
      <c r="P6467" s="9" t="s">
        <v>41</v>
      </c>
      <c r="Q6467" s="9" t="s">
        <v>26</v>
      </c>
      <c r="R6467" s="9" t="s">
        <v>88</v>
      </c>
      <c r="S6467" s="7" t="s">
        <v>528</v>
      </c>
      <c r="T6467" s="9" t="s">
        <v>39</v>
      </c>
      <c r="U6467" s="7">
        <v>0.39</v>
      </c>
      <c r="V6467" s="12">
        <f>C6467+0</f>
        <v>40067</v>
      </c>
      <c r="W6467">
        <f>IF(D6467=' Pivot Tables'!$A$4,1,0)</f>
        <v>0</v>
      </c>
      <c r="X6467">
        <f>IF(AND(LEFT(D6467,4)+1=LEFT(' Pivot Tables'!$A$4,4)+0,RIGHT(LEFT(D6467,7),2)=RIGHT(LEFT(' Pivot Tables'!$A$4,7),2)),1,0)</f>
        <v>0</v>
      </c>
      <c r="Y6467" s="6">
        <f>1/COUNTIF(Таблица1[Order ID],Таблица1[[#This Row],[Order ID]])</f>
        <v>0.5</v>
      </c>
      <c r="Z6467" s="9">
        <f>1/COUNTIFS(Таблица1[Customer Name],Таблица1[[#This Row],[Customer Name]],Таблица1[Order-Year-Month],Таблица1[[#This Row],[Order-Year-Month]])</f>
        <v>0.5</v>
      </c>
    </row>
    <row r="6468" spans="1:26" x14ac:dyDescent="0.2">
      <c r="A6468" s="6">
        <v>1680</v>
      </c>
      <c r="B6468" s="7">
        <v>12099</v>
      </c>
      <c r="C6468" s="8">
        <f>DATE(2012,12,31)-1207</f>
        <v>40067</v>
      </c>
      <c r="D6468" s="8" t="str">
        <f t="shared" si="119"/>
        <v>2009-09 (сентябрь 2009)</v>
      </c>
      <c r="E6468" s="9" t="s">
        <v>78</v>
      </c>
      <c r="F6468" s="7">
        <v>48</v>
      </c>
      <c r="G6468" s="7">
        <v>308.81</v>
      </c>
      <c r="H6468" s="7">
        <v>0.01</v>
      </c>
      <c r="I6468" s="9" t="s">
        <v>22</v>
      </c>
      <c r="J6468" s="10">
        <v>128.28</v>
      </c>
      <c r="K6468" s="11">
        <v>6.35</v>
      </c>
      <c r="L6468" s="11">
        <v>1.02</v>
      </c>
      <c r="M6468" s="9" t="s">
        <v>2017</v>
      </c>
      <c r="N6468" s="6" t="s">
        <v>2012</v>
      </c>
      <c r="O6468" s="6" t="s">
        <v>2012</v>
      </c>
      <c r="P6468" s="9" t="s">
        <v>41</v>
      </c>
      <c r="Q6468" s="9" t="s">
        <v>26</v>
      </c>
      <c r="R6468" s="9" t="s">
        <v>61</v>
      </c>
      <c r="S6468" s="7" t="s">
        <v>157</v>
      </c>
      <c r="T6468" s="9" t="s">
        <v>68</v>
      </c>
      <c r="U6468" s="7">
        <v>0.39</v>
      </c>
      <c r="V6468" s="12">
        <f>C6468+2</f>
        <v>40069</v>
      </c>
      <c r="W6468">
        <f>IF(D6468=' Pivot Tables'!$A$4,1,0)</f>
        <v>0</v>
      </c>
      <c r="X6468">
        <f>IF(AND(LEFT(D6468,4)+1=LEFT(' Pivot Tables'!$A$4,4)+0,RIGHT(LEFT(D6468,7),2)=RIGHT(LEFT(' Pivot Tables'!$A$4,7),2)),1,0)</f>
        <v>0</v>
      </c>
      <c r="Y6468" s="6">
        <f>1/COUNTIF(Таблица1[Order ID],Таблица1[[#This Row],[Order ID]])</f>
        <v>0.5</v>
      </c>
      <c r="Z6468" s="9">
        <f>1/COUNTIFS(Таблица1[Customer Name],Таблица1[[#This Row],[Customer Name]],Таблица1[Order-Year-Month],Таблица1[[#This Row],[Order-Year-Month]])</f>
        <v>0.5</v>
      </c>
    </row>
    <row r="6469" spans="1:26" x14ac:dyDescent="0.2">
      <c r="A6469" s="6">
        <v>1726</v>
      </c>
      <c r="B6469" s="7">
        <v>12418</v>
      </c>
      <c r="C6469" s="8">
        <f>DATE(2012,12,31)-317</f>
        <v>40957</v>
      </c>
      <c r="D6469" s="8" t="str">
        <f t="shared" si="119"/>
        <v>2012-02 (февраль 2012)</v>
      </c>
      <c r="E6469" s="9" t="s">
        <v>45</v>
      </c>
      <c r="F6469" s="7">
        <v>38</v>
      </c>
      <c r="G6469" s="7">
        <v>299.01</v>
      </c>
      <c r="H6469" s="7">
        <v>0.09</v>
      </c>
      <c r="I6469" s="9" t="s">
        <v>22</v>
      </c>
      <c r="J6469" s="10">
        <v>-142.86000000000001</v>
      </c>
      <c r="K6469" s="11">
        <v>7.98</v>
      </c>
      <c r="L6469" s="11">
        <v>6.5</v>
      </c>
      <c r="M6469" s="9" t="s">
        <v>1841</v>
      </c>
      <c r="N6469" s="6" t="s">
        <v>2012</v>
      </c>
      <c r="O6469" s="6" t="s">
        <v>2012</v>
      </c>
      <c r="P6469" s="9" t="s">
        <v>60</v>
      </c>
      <c r="Q6469" s="9" t="s">
        <v>26</v>
      </c>
      <c r="R6469" s="9" t="s">
        <v>27</v>
      </c>
      <c r="S6469" s="7" t="s">
        <v>1549</v>
      </c>
      <c r="T6469" s="9" t="s">
        <v>48</v>
      </c>
      <c r="U6469" s="7">
        <v>0.59</v>
      </c>
      <c r="V6469" s="12">
        <f>C6469+2</f>
        <v>40959</v>
      </c>
      <c r="W6469">
        <f>IF(D6469=' Pivot Tables'!$A$4,1,0)</f>
        <v>0</v>
      </c>
      <c r="X6469">
        <f>IF(AND(LEFT(D6469,4)+1=LEFT(' Pivot Tables'!$A$4,4)+0,RIGHT(LEFT(D6469,7),2)=RIGHT(LEFT(' Pivot Tables'!$A$4,7),2)),1,0)</f>
        <v>0</v>
      </c>
      <c r="Y6469" s="6">
        <f>1/COUNTIF(Таблица1[Order ID],Таблица1[[#This Row],[Order ID]])</f>
        <v>1</v>
      </c>
      <c r="Z6469" s="9">
        <f>1/COUNTIFS(Таблица1[Customer Name],Таблица1[[#This Row],[Customer Name]],Таблица1[Order-Year-Month],Таблица1[[#This Row],[Order-Year-Month]])</f>
        <v>0.33333333333333331</v>
      </c>
    </row>
    <row r="6470" spans="1:26" x14ac:dyDescent="0.2">
      <c r="A6470" s="6">
        <v>1944</v>
      </c>
      <c r="B6470" s="7">
        <v>13923</v>
      </c>
      <c r="C6470" s="8">
        <f>DATE(2012,12,31)-176</f>
        <v>41098</v>
      </c>
      <c r="D6470" s="8" t="str">
        <f t="shared" si="119"/>
        <v>2012-07 (июль 2012)</v>
      </c>
      <c r="E6470" s="9" t="s">
        <v>30</v>
      </c>
      <c r="F6470" s="7">
        <v>39</v>
      </c>
      <c r="G6470" s="7">
        <v>220.09</v>
      </c>
      <c r="H6470" s="7">
        <v>0.04</v>
      </c>
      <c r="I6470" s="9" t="s">
        <v>22</v>
      </c>
      <c r="J6470" s="10">
        <v>-1795.74</v>
      </c>
      <c r="K6470" s="11">
        <v>4.4800000000000004</v>
      </c>
      <c r="L6470" s="11">
        <v>49</v>
      </c>
      <c r="M6470" s="9" t="s">
        <v>1841</v>
      </c>
      <c r="N6470" s="6" t="s">
        <v>2012</v>
      </c>
      <c r="O6470" s="6" t="s">
        <v>2012</v>
      </c>
      <c r="P6470" s="9" t="s">
        <v>60</v>
      </c>
      <c r="Q6470" s="9" t="s">
        <v>26</v>
      </c>
      <c r="R6470" s="9" t="s">
        <v>34</v>
      </c>
      <c r="S6470" s="7" t="s">
        <v>128</v>
      </c>
      <c r="T6470" s="9" t="s">
        <v>29</v>
      </c>
      <c r="U6470" s="7">
        <v>0.6</v>
      </c>
      <c r="V6470" s="12">
        <f>C6470+2</f>
        <v>41100</v>
      </c>
      <c r="W6470">
        <f>IF(D6470=' Pivot Tables'!$A$4,1,0)</f>
        <v>0</v>
      </c>
      <c r="X6470">
        <f>IF(AND(LEFT(D6470,4)+1=LEFT(' Pivot Tables'!$A$4,4)+0,RIGHT(LEFT(D6470,7),2)=RIGHT(LEFT(' Pivot Tables'!$A$4,7),2)),1,0)</f>
        <v>0</v>
      </c>
      <c r="Y6470" s="6">
        <f>1/COUNTIF(Таблица1[Order ID],Таблица1[[#This Row],[Order ID]])</f>
        <v>0.25</v>
      </c>
      <c r="Z6470" s="9">
        <f>1/COUNTIFS(Таблица1[Customer Name],Таблица1[[#This Row],[Customer Name]],Таблица1[Order-Year-Month],Таблица1[[#This Row],[Order-Year-Month]])</f>
        <v>0.25</v>
      </c>
    </row>
    <row r="6471" spans="1:26" x14ac:dyDescent="0.2">
      <c r="A6471" s="6">
        <v>1945</v>
      </c>
      <c r="B6471" s="7">
        <v>13923</v>
      </c>
      <c r="C6471" s="8">
        <f>DATE(2012,12,31)-176</f>
        <v>41098</v>
      </c>
      <c r="D6471" s="8" t="str">
        <f t="shared" si="119"/>
        <v>2012-07 (июль 2012)</v>
      </c>
      <c r="E6471" s="9" t="s">
        <v>30</v>
      </c>
      <c r="F6471" s="7">
        <v>49</v>
      </c>
      <c r="G6471" s="7">
        <v>1220.23</v>
      </c>
      <c r="H6471" s="7">
        <v>0</v>
      </c>
      <c r="I6471" s="9" t="s">
        <v>22</v>
      </c>
      <c r="J6471" s="10">
        <v>172.62</v>
      </c>
      <c r="K6471" s="11">
        <v>22.84</v>
      </c>
      <c r="L6471" s="11">
        <v>11.54</v>
      </c>
      <c r="M6471" s="9" t="s">
        <v>1841</v>
      </c>
      <c r="N6471" s="6" t="s">
        <v>2012</v>
      </c>
      <c r="O6471" s="6" t="s">
        <v>2012</v>
      </c>
      <c r="P6471" s="9" t="s">
        <v>60</v>
      </c>
      <c r="Q6471" s="9" t="s">
        <v>26</v>
      </c>
      <c r="R6471" s="9" t="s">
        <v>61</v>
      </c>
      <c r="S6471" s="7" t="s">
        <v>1505</v>
      </c>
      <c r="T6471" s="9" t="s">
        <v>39</v>
      </c>
      <c r="U6471" s="7">
        <v>0.39</v>
      </c>
      <c r="V6471" s="12">
        <f>C6471+1</f>
        <v>41099</v>
      </c>
      <c r="W6471">
        <f>IF(D6471=' Pivot Tables'!$A$4,1,0)</f>
        <v>0</v>
      </c>
      <c r="X6471">
        <f>IF(AND(LEFT(D6471,4)+1=LEFT(' Pivot Tables'!$A$4,4)+0,RIGHT(LEFT(D6471,7),2)=RIGHT(LEFT(' Pivot Tables'!$A$4,7),2)),1,0)</f>
        <v>0</v>
      </c>
      <c r="Y6471" s="6">
        <f>1/COUNTIF(Таблица1[Order ID],Таблица1[[#This Row],[Order ID]])</f>
        <v>0.25</v>
      </c>
      <c r="Z6471" s="9">
        <f>1/COUNTIFS(Таблица1[Customer Name],Таблица1[[#This Row],[Customer Name]],Таблица1[Order-Year-Month],Таблица1[[#This Row],[Order-Year-Month]])</f>
        <v>0.25</v>
      </c>
    </row>
    <row r="6472" spans="1:26" x14ac:dyDescent="0.2">
      <c r="A6472" s="6">
        <v>1946</v>
      </c>
      <c r="B6472" s="7">
        <v>13923</v>
      </c>
      <c r="C6472" s="8">
        <f>DATE(2012,12,31)-176</f>
        <v>41098</v>
      </c>
      <c r="D6472" s="8" t="str">
        <f t="shared" si="119"/>
        <v>2012-07 (июль 2012)</v>
      </c>
      <c r="E6472" s="9" t="s">
        <v>30</v>
      </c>
      <c r="F6472" s="7">
        <v>27</v>
      </c>
      <c r="G6472" s="7">
        <v>6152.8</v>
      </c>
      <c r="H6472" s="7">
        <v>0.04</v>
      </c>
      <c r="I6472" s="9" t="s">
        <v>31</v>
      </c>
      <c r="J6472" s="10">
        <v>554.54999999999995</v>
      </c>
      <c r="K6472" s="11">
        <v>225.02</v>
      </c>
      <c r="L6472" s="11">
        <v>28.66</v>
      </c>
      <c r="M6472" s="9" t="s">
        <v>1841</v>
      </c>
      <c r="N6472" s="6" t="s">
        <v>2012</v>
      </c>
      <c r="O6472" s="6" t="s">
        <v>2012</v>
      </c>
      <c r="P6472" s="9" t="s">
        <v>60</v>
      </c>
      <c r="Q6472" s="9" t="s">
        <v>26</v>
      </c>
      <c r="R6472" s="9" t="s">
        <v>27</v>
      </c>
      <c r="S6472" s="7" t="s">
        <v>399</v>
      </c>
      <c r="T6472" s="9" t="s">
        <v>36</v>
      </c>
      <c r="U6472" s="7">
        <v>0.72</v>
      </c>
      <c r="V6472" s="12">
        <f>C6472+2</f>
        <v>41100</v>
      </c>
      <c r="W6472">
        <f>IF(D6472=' Pivot Tables'!$A$4,1,0)</f>
        <v>0</v>
      </c>
      <c r="X6472">
        <f>IF(AND(LEFT(D6472,4)+1=LEFT(' Pivot Tables'!$A$4,4)+0,RIGHT(LEFT(D6472,7),2)=RIGHT(LEFT(' Pivot Tables'!$A$4,7),2)),1,0)</f>
        <v>0</v>
      </c>
      <c r="Y6472" s="6">
        <f>1/COUNTIF(Таблица1[Order ID],Таблица1[[#This Row],[Order ID]])</f>
        <v>0.25</v>
      </c>
      <c r="Z6472" s="9">
        <f>1/COUNTIFS(Таблица1[Customer Name],Таблица1[[#This Row],[Customer Name]],Таблица1[Order-Year-Month],Таблица1[[#This Row],[Order-Year-Month]])</f>
        <v>0.25</v>
      </c>
    </row>
    <row r="6473" spans="1:26" x14ac:dyDescent="0.2">
      <c r="A6473" s="6">
        <v>2028</v>
      </c>
      <c r="B6473" s="7">
        <v>14439</v>
      </c>
      <c r="C6473" s="8">
        <f>DATE(2012,12,31)-123</f>
        <v>41151</v>
      </c>
      <c r="D6473" s="8" t="str">
        <f t="shared" si="119"/>
        <v>2012-08 (август 2012)</v>
      </c>
      <c r="E6473" s="9" t="s">
        <v>30</v>
      </c>
      <c r="F6473" s="7">
        <v>27</v>
      </c>
      <c r="G6473" s="7">
        <v>1428.64</v>
      </c>
      <c r="H6473" s="7">
        <v>0.09</v>
      </c>
      <c r="I6473" s="9" t="s">
        <v>22</v>
      </c>
      <c r="J6473" s="10">
        <v>494.26</v>
      </c>
      <c r="K6473" s="11">
        <v>54.96</v>
      </c>
      <c r="L6473" s="11">
        <v>10.75</v>
      </c>
      <c r="M6473" s="9" t="s">
        <v>2017</v>
      </c>
      <c r="N6473" s="6" t="s">
        <v>2012</v>
      </c>
      <c r="O6473" s="6" t="s">
        <v>2012</v>
      </c>
      <c r="P6473" s="9" t="s">
        <v>41</v>
      </c>
      <c r="Q6473" s="9" t="s">
        <v>26</v>
      </c>
      <c r="R6473" s="9" t="s">
        <v>61</v>
      </c>
      <c r="S6473" s="7" t="s">
        <v>350</v>
      </c>
      <c r="T6473" s="9" t="s">
        <v>39</v>
      </c>
      <c r="U6473" s="7">
        <v>0.36</v>
      </c>
      <c r="V6473" s="12">
        <f>C6473+1</f>
        <v>41152</v>
      </c>
      <c r="W6473">
        <f>IF(D6473=' Pivot Tables'!$A$4,1,0)</f>
        <v>0</v>
      </c>
      <c r="X6473">
        <f>IF(AND(LEFT(D6473,4)+1=LEFT(' Pivot Tables'!$A$4,4)+0,RIGHT(LEFT(D6473,7),2)=RIGHT(LEFT(' Pivot Tables'!$A$4,7),2)),1,0)</f>
        <v>0</v>
      </c>
      <c r="Y6473" s="6">
        <f>1/COUNTIF(Таблица1[Order ID],Таблица1[[#This Row],[Order ID]])</f>
        <v>1</v>
      </c>
      <c r="Z6473" s="9">
        <f>1/COUNTIFS(Таблица1[Customer Name],Таблица1[[#This Row],[Customer Name]],Таблица1[Order-Year-Month],Таблица1[[#This Row],[Order-Year-Month]])</f>
        <v>1</v>
      </c>
    </row>
    <row r="6474" spans="1:26" x14ac:dyDescent="0.2">
      <c r="A6474" s="6">
        <v>2310</v>
      </c>
      <c r="B6474" s="7">
        <v>16643</v>
      </c>
      <c r="C6474" s="8">
        <f>DATE(2012,12,31)-995</f>
        <v>40279</v>
      </c>
      <c r="D6474" s="8" t="str">
        <f t="shared" si="119"/>
        <v>2010-04 (апрель 2010)</v>
      </c>
      <c r="E6474" s="9" t="s">
        <v>21</v>
      </c>
      <c r="F6474" s="7">
        <v>40</v>
      </c>
      <c r="G6474" s="7">
        <v>312.63</v>
      </c>
      <c r="H6474" s="7">
        <v>0.01</v>
      </c>
      <c r="I6474" s="9" t="s">
        <v>22</v>
      </c>
      <c r="J6474" s="10">
        <v>167.3</v>
      </c>
      <c r="K6474" s="11">
        <v>7.31</v>
      </c>
      <c r="L6474" s="11">
        <v>0.49</v>
      </c>
      <c r="M6474" s="9" t="s">
        <v>1815</v>
      </c>
      <c r="N6474" s="6" t="s">
        <v>2012</v>
      </c>
      <c r="O6474" s="6" t="s">
        <v>2012</v>
      </c>
      <c r="P6474" s="9" t="s">
        <v>60</v>
      </c>
      <c r="Q6474" s="9" t="s">
        <v>26</v>
      </c>
      <c r="R6474" s="9" t="s">
        <v>88</v>
      </c>
      <c r="S6474" s="7" t="s">
        <v>107</v>
      </c>
      <c r="T6474" s="9" t="s">
        <v>39</v>
      </c>
      <c r="U6474" s="7">
        <v>0.38</v>
      </c>
      <c r="V6474" s="12">
        <f>C6474+4</f>
        <v>40283</v>
      </c>
      <c r="W6474">
        <f>IF(D6474=' Pivot Tables'!$A$4,1,0)</f>
        <v>0</v>
      </c>
      <c r="X6474">
        <f>IF(AND(LEFT(D6474,4)+1=LEFT(' Pivot Tables'!$A$4,4)+0,RIGHT(LEFT(D6474,7),2)=RIGHT(LEFT(' Pivot Tables'!$A$4,7),2)),1,0)</f>
        <v>0</v>
      </c>
      <c r="Y6474" s="6">
        <f>1/COUNTIF(Таблица1[Order ID],Таблица1[[#This Row],[Order ID]])</f>
        <v>0.5</v>
      </c>
      <c r="Z6474" s="9">
        <f>1/COUNTIFS(Таблица1[Customer Name],Таблица1[[#This Row],[Customer Name]],Таблица1[Order-Year-Month],Таблица1[[#This Row],[Order-Year-Month]])</f>
        <v>0.5</v>
      </c>
    </row>
    <row r="6475" spans="1:26" x14ac:dyDescent="0.2">
      <c r="A6475" s="6">
        <v>2311</v>
      </c>
      <c r="B6475" s="7">
        <v>16643</v>
      </c>
      <c r="C6475" s="8">
        <f>DATE(2012,12,31)-995</f>
        <v>40279</v>
      </c>
      <c r="D6475" s="8" t="str">
        <f t="shared" si="119"/>
        <v>2010-04 (апрель 2010)</v>
      </c>
      <c r="E6475" s="9" t="s">
        <v>21</v>
      </c>
      <c r="F6475" s="7">
        <v>46</v>
      </c>
      <c r="G6475" s="7">
        <v>441.4</v>
      </c>
      <c r="H6475" s="7">
        <v>0.06</v>
      </c>
      <c r="I6475" s="9" t="s">
        <v>22</v>
      </c>
      <c r="J6475" s="10">
        <v>146.04</v>
      </c>
      <c r="K6475" s="11">
        <v>10.06</v>
      </c>
      <c r="L6475" s="11">
        <v>2.06</v>
      </c>
      <c r="M6475" s="9" t="s">
        <v>1815</v>
      </c>
      <c r="N6475" s="6" t="s">
        <v>2012</v>
      </c>
      <c r="O6475" s="6" t="s">
        <v>2012</v>
      </c>
      <c r="P6475" s="9" t="s">
        <v>60</v>
      </c>
      <c r="Q6475" s="9" t="s">
        <v>26</v>
      </c>
      <c r="R6475" s="9" t="s">
        <v>61</v>
      </c>
      <c r="S6475" s="7" t="s">
        <v>602</v>
      </c>
      <c r="T6475" s="9" t="s">
        <v>68</v>
      </c>
      <c r="U6475" s="7">
        <v>0.39</v>
      </c>
      <c r="V6475" s="12">
        <f>C6475+4</f>
        <v>40283</v>
      </c>
      <c r="W6475">
        <f>IF(D6475=' Pivot Tables'!$A$4,1,0)</f>
        <v>0</v>
      </c>
      <c r="X6475">
        <f>IF(AND(LEFT(D6475,4)+1=LEFT(' Pivot Tables'!$A$4,4)+0,RIGHT(LEFT(D6475,7),2)=RIGHT(LEFT(' Pivot Tables'!$A$4,7),2)),1,0)</f>
        <v>0</v>
      </c>
      <c r="Y6475" s="6">
        <f>1/COUNTIF(Таблица1[Order ID],Таблица1[[#This Row],[Order ID]])</f>
        <v>0.5</v>
      </c>
      <c r="Z6475" s="9">
        <f>1/COUNTIFS(Таблица1[Customer Name],Таблица1[[#This Row],[Customer Name]],Таблица1[Order-Year-Month],Таблица1[[#This Row],[Order-Year-Month]])</f>
        <v>0.5</v>
      </c>
    </row>
    <row r="6476" spans="1:26" x14ac:dyDescent="0.2">
      <c r="A6476" s="6">
        <v>2337</v>
      </c>
      <c r="B6476" s="7">
        <v>16807</v>
      </c>
      <c r="C6476" s="8">
        <f>DATE(2012,12,31)-351</f>
        <v>40923</v>
      </c>
      <c r="D6476" s="8" t="str">
        <f t="shared" si="119"/>
        <v>2012-01 (январь 2012)</v>
      </c>
      <c r="E6476" s="9" t="s">
        <v>63</v>
      </c>
      <c r="F6476" s="7">
        <v>48</v>
      </c>
      <c r="G6476" s="7">
        <v>1585.6</v>
      </c>
      <c r="H6476" s="7">
        <v>0.08</v>
      </c>
      <c r="I6476" s="9" t="s">
        <v>22</v>
      </c>
      <c r="J6476" s="10">
        <v>632.13</v>
      </c>
      <c r="K6476" s="11">
        <v>35.44</v>
      </c>
      <c r="L6476" s="11">
        <v>4.92</v>
      </c>
      <c r="M6476" s="9" t="s">
        <v>1815</v>
      </c>
      <c r="N6476" s="6" t="s">
        <v>2012</v>
      </c>
      <c r="O6476" s="6" t="s">
        <v>2012</v>
      </c>
      <c r="P6476" s="9" t="s">
        <v>25</v>
      </c>
      <c r="Q6476" s="9" t="s">
        <v>26</v>
      </c>
      <c r="R6476" s="9" t="s">
        <v>61</v>
      </c>
      <c r="S6476" s="7" t="s">
        <v>496</v>
      </c>
      <c r="T6476" s="9" t="s">
        <v>39</v>
      </c>
      <c r="U6476" s="7">
        <v>0.38</v>
      </c>
      <c r="V6476" s="12">
        <f>C6476+1</f>
        <v>40924</v>
      </c>
      <c r="W6476">
        <f>IF(D6476=' Pivot Tables'!$A$4,1,0)</f>
        <v>0</v>
      </c>
      <c r="X6476">
        <f>IF(AND(LEFT(D6476,4)+1=LEFT(' Pivot Tables'!$A$4,4)+0,RIGHT(LEFT(D6476,7),2)=RIGHT(LEFT(' Pivot Tables'!$A$4,7),2)),1,0)</f>
        <v>0</v>
      </c>
      <c r="Y6476" s="6">
        <f>1/COUNTIF(Таблица1[Order ID],Таблица1[[#This Row],[Order ID]])</f>
        <v>0.5</v>
      </c>
      <c r="Z6476" s="9">
        <f>1/COUNTIFS(Таблица1[Customer Name],Таблица1[[#This Row],[Customer Name]],Таблица1[Order-Year-Month],Таблица1[[#This Row],[Order-Year-Month]])</f>
        <v>0.5</v>
      </c>
    </row>
    <row r="6477" spans="1:26" x14ac:dyDescent="0.2">
      <c r="A6477" s="6">
        <v>2338</v>
      </c>
      <c r="B6477" s="7">
        <v>16807</v>
      </c>
      <c r="C6477" s="8">
        <f>DATE(2012,12,31)-351</f>
        <v>40923</v>
      </c>
      <c r="D6477" s="8" t="str">
        <f t="shared" si="119"/>
        <v>2012-01 (январь 2012)</v>
      </c>
      <c r="E6477" s="9" t="s">
        <v>63</v>
      </c>
      <c r="F6477" s="7">
        <v>30</v>
      </c>
      <c r="G6477" s="7">
        <v>215.85</v>
      </c>
      <c r="H6477" s="7">
        <v>0.09</v>
      </c>
      <c r="I6477" s="9" t="s">
        <v>22</v>
      </c>
      <c r="J6477" s="10">
        <v>60.95</v>
      </c>
      <c r="K6477" s="11">
        <v>7.4</v>
      </c>
      <c r="L6477" s="11">
        <v>1.71</v>
      </c>
      <c r="M6477" s="9" t="s">
        <v>1815</v>
      </c>
      <c r="N6477" s="6" t="s">
        <v>2012</v>
      </c>
      <c r="O6477" s="6" t="s">
        <v>2012</v>
      </c>
      <c r="P6477" s="9" t="s">
        <v>25</v>
      </c>
      <c r="Q6477" s="9" t="s">
        <v>26</v>
      </c>
      <c r="R6477" s="9" t="s">
        <v>61</v>
      </c>
      <c r="S6477" s="7" t="s">
        <v>864</v>
      </c>
      <c r="T6477" s="9" t="s">
        <v>68</v>
      </c>
      <c r="U6477" s="7">
        <v>0.4</v>
      </c>
      <c r="V6477" s="12">
        <f>C6477+2</f>
        <v>40925</v>
      </c>
      <c r="W6477">
        <f>IF(D6477=' Pivot Tables'!$A$4,1,0)</f>
        <v>0</v>
      </c>
      <c r="X6477">
        <f>IF(AND(LEFT(D6477,4)+1=LEFT(' Pivot Tables'!$A$4,4)+0,RIGHT(LEFT(D6477,7),2)=RIGHT(LEFT(' Pivot Tables'!$A$4,7),2)),1,0)</f>
        <v>0</v>
      </c>
      <c r="Y6477" s="6">
        <f>1/COUNTIF(Таблица1[Order ID],Таблица1[[#This Row],[Order ID]])</f>
        <v>0.5</v>
      </c>
      <c r="Z6477" s="9">
        <f>1/COUNTIFS(Таблица1[Customer Name],Таблица1[[#This Row],[Customer Name]],Таблица1[Order-Year-Month],Таблица1[[#This Row],[Order-Year-Month]])</f>
        <v>0.5</v>
      </c>
    </row>
    <row r="6478" spans="1:26" x14ac:dyDescent="0.2">
      <c r="A6478" s="6">
        <v>2342</v>
      </c>
      <c r="B6478" s="7">
        <v>16864</v>
      </c>
      <c r="C6478" s="8">
        <f>DATE(2012,12,31)-63</f>
        <v>41211</v>
      </c>
      <c r="D6478" s="8" t="str">
        <f t="shared" si="119"/>
        <v>2012-10 (октябрь 2012)</v>
      </c>
      <c r="E6478" s="9" t="s">
        <v>45</v>
      </c>
      <c r="F6478" s="7">
        <v>42</v>
      </c>
      <c r="G6478" s="7">
        <v>12837.11</v>
      </c>
      <c r="H6478" s="7">
        <v>0.05</v>
      </c>
      <c r="I6478" s="9" t="s">
        <v>31</v>
      </c>
      <c r="J6478" s="10">
        <v>1881.76</v>
      </c>
      <c r="K6478" s="11">
        <v>320.64</v>
      </c>
      <c r="L6478" s="11">
        <v>43.57</v>
      </c>
      <c r="M6478" s="9" t="s">
        <v>2014</v>
      </c>
      <c r="N6478" s="6" t="s">
        <v>2012</v>
      </c>
      <c r="O6478" s="6" t="s">
        <v>2012</v>
      </c>
      <c r="P6478" s="9" t="s">
        <v>33</v>
      </c>
      <c r="Q6478" s="9" t="s">
        <v>49</v>
      </c>
      <c r="R6478" s="9" t="s">
        <v>83</v>
      </c>
      <c r="S6478" s="7" t="s">
        <v>1619</v>
      </c>
      <c r="T6478" s="9" t="s">
        <v>82</v>
      </c>
      <c r="U6478" s="7">
        <v>0.63</v>
      </c>
      <c r="V6478" s="12">
        <f>C6478+0</f>
        <v>41211</v>
      </c>
      <c r="W6478">
        <f>IF(D6478=' Pivot Tables'!$A$4,1,0)</f>
        <v>0</v>
      </c>
      <c r="X6478">
        <f>IF(AND(LEFT(D6478,4)+1=LEFT(' Pivot Tables'!$A$4,4)+0,RIGHT(LEFT(D6478,7),2)=RIGHT(LEFT(' Pivot Tables'!$A$4,7),2)),1,0)</f>
        <v>0</v>
      </c>
      <c r="Y6478" s="6">
        <f>1/COUNTIF(Таблица1[Order ID],Таблица1[[#This Row],[Order ID]])</f>
        <v>1</v>
      </c>
      <c r="Z6478" s="9">
        <f>1/COUNTIFS(Таблица1[Customer Name],Таблица1[[#This Row],[Customer Name]],Таблица1[Order-Year-Month],Таблица1[[#This Row],[Order-Year-Month]])</f>
        <v>1</v>
      </c>
    </row>
    <row r="6479" spans="1:26" x14ac:dyDescent="0.2">
      <c r="A6479" s="6">
        <v>2494</v>
      </c>
      <c r="B6479" s="7">
        <v>18147</v>
      </c>
      <c r="C6479" s="8">
        <f>DATE(2012,12,31)-1263</f>
        <v>40011</v>
      </c>
      <c r="D6479" s="8" t="str">
        <f t="shared" si="119"/>
        <v>2009-07 (июль 2009)</v>
      </c>
      <c r="E6479" s="9" t="s">
        <v>45</v>
      </c>
      <c r="F6479" s="7">
        <v>42</v>
      </c>
      <c r="G6479" s="7">
        <v>82.03</v>
      </c>
      <c r="H6479" s="7">
        <v>0</v>
      </c>
      <c r="I6479" s="9" t="s">
        <v>22</v>
      </c>
      <c r="J6479" s="10">
        <v>-15.5595</v>
      </c>
      <c r="K6479" s="11">
        <v>1.88</v>
      </c>
      <c r="L6479" s="11">
        <v>1.49</v>
      </c>
      <c r="M6479" s="9" t="s">
        <v>1787</v>
      </c>
      <c r="N6479" s="6" t="s">
        <v>2012</v>
      </c>
      <c r="O6479" s="6" t="s">
        <v>2012</v>
      </c>
      <c r="P6479" s="9" t="s">
        <v>60</v>
      </c>
      <c r="Q6479" s="9" t="s">
        <v>26</v>
      </c>
      <c r="R6479" s="9" t="s">
        <v>37</v>
      </c>
      <c r="S6479" s="7" t="s">
        <v>172</v>
      </c>
      <c r="T6479" s="9" t="s">
        <v>39</v>
      </c>
      <c r="U6479" s="7">
        <v>0.37</v>
      </c>
      <c r="V6479" s="12">
        <f>C6479+1</f>
        <v>40012</v>
      </c>
      <c r="W6479">
        <f>IF(D6479=' Pivot Tables'!$A$4,1,0)</f>
        <v>0</v>
      </c>
      <c r="X6479">
        <f>IF(AND(LEFT(D6479,4)+1=LEFT(' Pivot Tables'!$A$4,4)+0,RIGHT(LEFT(D6479,7),2)=RIGHT(LEFT(' Pivot Tables'!$A$4,7),2)),1,0)</f>
        <v>0</v>
      </c>
      <c r="Y6479" s="6">
        <f>1/COUNTIF(Таблица1[Order ID],Таблица1[[#This Row],[Order ID]])</f>
        <v>0.5</v>
      </c>
      <c r="Z6479" s="9">
        <f>1/COUNTIFS(Таблица1[Customer Name],Таблица1[[#This Row],[Customer Name]],Таблица1[Order-Year-Month],Таблица1[[#This Row],[Order-Year-Month]])</f>
        <v>0.5</v>
      </c>
    </row>
    <row r="6480" spans="1:26" x14ac:dyDescent="0.2">
      <c r="A6480" s="6">
        <v>2495</v>
      </c>
      <c r="B6480" s="7">
        <v>18147</v>
      </c>
      <c r="C6480" s="8">
        <f>DATE(2012,12,31)-1263</f>
        <v>40011</v>
      </c>
      <c r="D6480" s="8" t="str">
        <f t="shared" si="119"/>
        <v>2009-07 (июль 2009)</v>
      </c>
      <c r="E6480" s="9" t="s">
        <v>45</v>
      </c>
      <c r="F6480" s="7">
        <v>50</v>
      </c>
      <c r="G6480" s="7">
        <v>290.91000000000003</v>
      </c>
      <c r="H6480" s="7">
        <v>0.06</v>
      </c>
      <c r="I6480" s="9" t="s">
        <v>22</v>
      </c>
      <c r="J6480" s="10">
        <v>-108.19</v>
      </c>
      <c r="K6480" s="11">
        <v>5.78</v>
      </c>
      <c r="L6480" s="11">
        <v>5.67</v>
      </c>
      <c r="M6480" s="9" t="s">
        <v>1787</v>
      </c>
      <c r="N6480" s="6" t="s">
        <v>2012</v>
      </c>
      <c r="O6480" s="6" t="s">
        <v>2012</v>
      </c>
      <c r="P6480" s="9" t="s">
        <v>60</v>
      </c>
      <c r="Q6480" s="9" t="s">
        <v>26</v>
      </c>
      <c r="R6480" s="9" t="s">
        <v>61</v>
      </c>
      <c r="S6480" s="7" t="s">
        <v>587</v>
      </c>
      <c r="T6480" s="9" t="s">
        <v>39</v>
      </c>
      <c r="U6480" s="7">
        <v>0.36</v>
      </c>
      <c r="V6480" s="12">
        <f>C6480+1</f>
        <v>40012</v>
      </c>
      <c r="W6480">
        <f>IF(D6480=' Pivot Tables'!$A$4,1,0)</f>
        <v>0</v>
      </c>
      <c r="X6480">
        <f>IF(AND(LEFT(D6480,4)+1=LEFT(' Pivot Tables'!$A$4,4)+0,RIGHT(LEFT(D6480,7),2)=RIGHT(LEFT(' Pivot Tables'!$A$4,7),2)),1,0)</f>
        <v>0</v>
      </c>
      <c r="Y6480" s="6">
        <f>1/COUNTIF(Таблица1[Order ID],Таблица1[[#This Row],[Order ID]])</f>
        <v>0.5</v>
      </c>
      <c r="Z6480" s="9">
        <f>1/COUNTIFS(Таблица1[Customer Name],Таблица1[[#This Row],[Customer Name]],Таблица1[Order-Year-Month],Таблица1[[#This Row],[Order-Year-Month]])</f>
        <v>0.5</v>
      </c>
    </row>
    <row r="6481" spans="1:26" x14ac:dyDescent="0.2">
      <c r="A6481" s="6">
        <v>2617</v>
      </c>
      <c r="B6481" s="7">
        <v>18918</v>
      </c>
      <c r="C6481" s="8">
        <f>DATE(2012,12,31)-65</f>
        <v>41209</v>
      </c>
      <c r="D6481" s="8" t="str">
        <f t="shared" si="119"/>
        <v>2012-10 (октябрь 2012)</v>
      </c>
      <c r="E6481" s="9" t="s">
        <v>45</v>
      </c>
      <c r="F6481" s="7">
        <v>7</v>
      </c>
      <c r="G6481" s="7">
        <v>6362.94</v>
      </c>
      <c r="H6481" s="7">
        <v>0.1</v>
      </c>
      <c r="I6481" s="9" t="s">
        <v>22</v>
      </c>
      <c r="J6481" s="10">
        <v>-221.78039999999999</v>
      </c>
      <c r="K6481" s="11">
        <v>999.99</v>
      </c>
      <c r="L6481" s="11">
        <v>13.99</v>
      </c>
      <c r="M6481" s="9" t="s">
        <v>1815</v>
      </c>
      <c r="N6481" s="6" t="s">
        <v>2012</v>
      </c>
      <c r="O6481" s="6" t="s">
        <v>2012</v>
      </c>
      <c r="P6481" s="9" t="s">
        <v>41</v>
      </c>
      <c r="Q6481" s="9" t="s">
        <v>42</v>
      </c>
      <c r="R6481" s="9" t="s">
        <v>210</v>
      </c>
      <c r="S6481" s="7" t="s">
        <v>1426</v>
      </c>
      <c r="T6481" s="9" t="s">
        <v>48</v>
      </c>
      <c r="U6481" s="7">
        <v>0.36</v>
      </c>
      <c r="V6481" s="12">
        <f>C6481+1</f>
        <v>41210</v>
      </c>
      <c r="W6481">
        <f>IF(D6481=' Pivot Tables'!$A$4,1,0)</f>
        <v>0</v>
      </c>
      <c r="X6481">
        <f>IF(AND(LEFT(D6481,4)+1=LEFT(' Pivot Tables'!$A$4,4)+0,RIGHT(LEFT(D6481,7),2)=RIGHT(LEFT(' Pivot Tables'!$A$4,7),2)),1,0)</f>
        <v>0</v>
      </c>
      <c r="Y6481" s="6">
        <f>1/COUNTIF(Таблица1[Order ID],Таблица1[[#This Row],[Order ID]])</f>
        <v>1</v>
      </c>
      <c r="Z6481" s="9">
        <f>1/COUNTIFS(Таблица1[Customer Name],Таблица1[[#This Row],[Customer Name]],Таблица1[Order-Year-Month],Таблица1[[#This Row],[Order-Year-Month]])</f>
        <v>1</v>
      </c>
    </row>
    <row r="6482" spans="1:26" x14ac:dyDescent="0.2">
      <c r="A6482" s="6">
        <v>2618</v>
      </c>
      <c r="B6482" s="7">
        <v>18919</v>
      </c>
      <c r="C6482" s="8">
        <f>DATE(2012,12,31)-1282</f>
        <v>39992</v>
      </c>
      <c r="D6482" s="8" t="str">
        <f t="shared" si="119"/>
        <v>2009-06 (июнь 2009)</v>
      </c>
      <c r="E6482" s="9" t="s">
        <v>21</v>
      </c>
      <c r="F6482" s="7">
        <v>39</v>
      </c>
      <c r="G6482" s="7">
        <v>739.28</v>
      </c>
      <c r="H6482" s="7">
        <v>0</v>
      </c>
      <c r="I6482" s="9" t="s">
        <v>22</v>
      </c>
      <c r="J6482" s="10">
        <v>43.97</v>
      </c>
      <c r="K6482" s="11">
        <v>17.52</v>
      </c>
      <c r="L6482" s="11">
        <v>8.17</v>
      </c>
      <c r="M6482" s="9" t="s">
        <v>2018</v>
      </c>
      <c r="N6482" s="6" t="s">
        <v>2012</v>
      </c>
      <c r="O6482" s="6" t="s">
        <v>2012</v>
      </c>
      <c r="P6482" s="9" t="s">
        <v>60</v>
      </c>
      <c r="Q6482" s="9" t="s">
        <v>26</v>
      </c>
      <c r="R6482" s="9" t="s">
        <v>34</v>
      </c>
      <c r="S6482" s="7" t="s">
        <v>1663</v>
      </c>
      <c r="T6482" s="9" t="s">
        <v>48</v>
      </c>
      <c r="U6482" s="7">
        <v>0.5</v>
      </c>
      <c r="V6482" s="12">
        <f>C6482+5</f>
        <v>39997</v>
      </c>
      <c r="W6482">
        <f>IF(D6482=' Pivot Tables'!$A$4,1,0)</f>
        <v>0</v>
      </c>
      <c r="X6482">
        <f>IF(AND(LEFT(D6482,4)+1=LEFT(' Pivot Tables'!$A$4,4)+0,RIGHT(LEFT(D6482,7),2)=RIGHT(LEFT(' Pivot Tables'!$A$4,7),2)),1,0)</f>
        <v>0</v>
      </c>
      <c r="Y6482" s="6">
        <f>1/COUNTIF(Таблица1[Order ID],Таблица1[[#This Row],[Order ID]])</f>
        <v>1</v>
      </c>
      <c r="Z6482" s="9">
        <f>1/COUNTIFS(Таблица1[Customer Name],Таблица1[[#This Row],[Customer Name]],Таблица1[Order-Year-Month],Таблица1[[#This Row],[Order-Year-Month]])</f>
        <v>1</v>
      </c>
    </row>
    <row r="6483" spans="1:26" x14ac:dyDescent="0.2">
      <c r="A6483" s="6">
        <v>2638</v>
      </c>
      <c r="B6483" s="7">
        <v>19104</v>
      </c>
      <c r="C6483" s="8">
        <f>DATE(2012,12,31)-874</f>
        <v>40400</v>
      </c>
      <c r="D6483" s="8" t="str">
        <f t="shared" si="119"/>
        <v>2010-08 (август 2010)</v>
      </c>
      <c r="E6483" s="9" t="s">
        <v>30</v>
      </c>
      <c r="F6483" s="7">
        <v>48</v>
      </c>
      <c r="G6483" s="7">
        <v>5085.9070000000002</v>
      </c>
      <c r="H6483" s="7">
        <v>0.03</v>
      </c>
      <c r="I6483" s="9" t="s">
        <v>22</v>
      </c>
      <c r="J6483" s="10">
        <v>1366.6859999999999</v>
      </c>
      <c r="K6483" s="11">
        <v>125.99</v>
      </c>
      <c r="L6483" s="11">
        <v>8.08</v>
      </c>
      <c r="M6483" s="9" t="s">
        <v>1815</v>
      </c>
      <c r="N6483" s="6" t="s">
        <v>2012</v>
      </c>
      <c r="O6483" s="6" t="s">
        <v>2012</v>
      </c>
      <c r="P6483" s="9" t="s">
        <v>25</v>
      </c>
      <c r="Q6483" s="9" t="s">
        <v>42</v>
      </c>
      <c r="R6483" s="9" t="s">
        <v>43</v>
      </c>
      <c r="S6483" s="7" t="s">
        <v>271</v>
      </c>
      <c r="T6483" s="9" t="s">
        <v>39</v>
      </c>
      <c r="U6483" s="7">
        <v>0.56999999999999995</v>
      </c>
      <c r="V6483" s="12">
        <f>C6483+2</f>
        <v>40402</v>
      </c>
      <c r="W6483">
        <f>IF(D6483=' Pivot Tables'!$A$4,1,0)</f>
        <v>0</v>
      </c>
      <c r="X6483">
        <f>IF(AND(LEFT(D6483,4)+1=LEFT(' Pivot Tables'!$A$4,4)+0,RIGHT(LEFT(D6483,7),2)=RIGHT(LEFT(' Pivot Tables'!$A$4,7),2)),1,0)</f>
        <v>0</v>
      </c>
      <c r="Y6483" s="6">
        <f>1/COUNTIF(Таблица1[Order ID],Таблица1[[#This Row],[Order ID]])</f>
        <v>1</v>
      </c>
      <c r="Z6483" s="9">
        <f>1/COUNTIFS(Таблица1[Customer Name],Таблица1[[#This Row],[Customer Name]],Таблица1[Order-Year-Month],Таблица1[[#This Row],[Order-Year-Month]])</f>
        <v>1</v>
      </c>
    </row>
    <row r="6484" spans="1:26" x14ac:dyDescent="0.2">
      <c r="A6484" s="6">
        <v>2659</v>
      </c>
      <c r="B6484" s="7">
        <v>19207</v>
      </c>
      <c r="C6484" s="8">
        <f>DATE(2012,12,31)-291</f>
        <v>40983</v>
      </c>
      <c r="D6484" s="8" t="str">
        <f t="shared" si="119"/>
        <v>2012-03 (март 2012)</v>
      </c>
      <c r="E6484" s="9" t="s">
        <v>45</v>
      </c>
      <c r="F6484" s="7">
        <v>23</v>
      </c>
      <c r="G6484" s="7">
        <v>66.02</v>
      </c>
      <c r="H6484" s="7">
        <v>0.1</v>
      </c>
      <c r="I6484" s="9" t="s">
        <v>22</v>
      </c>
      <c r="J6484" s="10">
        <v>10.88</v>
      </c>
      <c r="K6484" s="11">
        <v>3.08</v>
      </c>
      <c r="L6484" s="11">
        <v>0.99</v>
      </c>
      <c r="M6484" s="9" t="s">
        <v>2014</v>
      </c>
      <c r="N6484" s="6" t="s">
        <v>2012</v>
      </c>
      <c r="O6484" s="6" t="s">
        <v>2012</v>
      </c>
      <c r="P6484" s="9" t="s">
        <v>41</v>
      </c>
      <c r="Q6484" s="9" t="s">
        <v>26</v>
      </c>
      <c r="R6484" s="9" t="s">
        <v>88</v>
      </c>
      <c r="S6484" s="7" t="s">
        <v>1760</v>
      </c>
      <c r="T6484" s="9" t="s">
        <v>39</v>
      </c>
      <c r="U6484" s="7">
        <v>0.37</v>
      </c>
      <c r="V6484" s="12">
        <f>C6484+2</f>
        <v>40985</v>
      </c>
      <c r="W6484">
        <f>IF(D6484=' Pivot Tables'!$A$4,1,0)</f>
        <v>0</v>
      </c>
      <c r="X6484">
        <f>IF(AND(LEFT(D6484,4)+1=LEFT(' Pivot Tables'!$A$4,4)+0,RIGHT(LEFT(D6484,7),2)=RIGHT(LEFT(' Pivot Tables'!$A$4,7),2)),1,0)</f>
        <v>0</v>
      </c>
      <c r="Y6484" s="6">
        <f>1/COUNTIF(Таблица1[Order ID],Таблица1[[#This Row],[Order ID]])</f>
        <v>0.5</v>
      </c>
      <c r="Z6484" s="9">
        <f>1/COUNTIFS(Таблица1[Customer Name],Таблица1[[#This Row],[Customer Name]],Таблица1[Order-Year-Month],Таблица1[[#This Row],[Order-Year-Month]])</f>
        <v>0.5</v>
      </c>
    </row>
    <row r="6485" spans="1:26" x14ac:dyDescent="0.2">
      <c r="A6485" s="6">
        <v>2660</v>
      </c>
      <c r="B6485" s="7">
        <v>19207</v>
      </c>
      <c r="C6485" s="8">
        <f>DATE(2012,12,31)-291</f>
        <v>40983</v>
      </c>
      <c r="D6485" s="8" t="str">
        <f t="shared" si="119"/>
        <v>2012-03 (март 2012)</v>
      </c>
      <c r="E6485" s="9" t="s">
        <v>45</v>
      </c>
      <c r="F6485" s="7">
        <v>11</v>
      </c>
      <c r="G6485" s="7">
        <v>15.53</v>
      </c>
      <c r="H6485" s="7">
        <v>0</v>
      </c>
      <c r="I6485" s="9" t="s">
        <v>22</v>
      </c>
      <c r="J6485" s="10">
        <v>-5.92</v>
      </c>
      <c r="K6485" s="11">
        <v>1.26</v>
      </c>
      <c r="L6485" s="11">
        <v>0.7</v>
      </c>
      <c r="M6485" s="9" t="s">
        <v>2014</v>
      </c>
      <c r="N6485" s="6" t="s">
        <v>2012</v>
      </c>
      <c r="O6485" s="6" t="s">
        <v>2012</v>
      </c>
      <c r="P6485" s="9" t="s">
        <v>41</v>
      </c>
      <c r="Q6485" s="9" t="s">
        <v>26</v>
      </c>
      <c r="R6485" s="9" t="s">
        <v>66</v>
      </c>
      <c r="S6485" s="7" t="s">
        <v>351</v>
      </c>
      <c r="T6485" s="9" t="s">
        <v>68</v>
      </c>
      <c r="U6485" s="7">
        <v>0.81</v>
      </c>
      <c r="V6485" s="12">
        <f>C6485+1</f>
        <v>40984</v>
      </c>
      <c r="W6485">
        <f>IF(D6485=' Pivot Tables'!$A$4,1,0)</f>
        <v>0</v>
      </c>
      <c r="X6485">
        <f>IF(AND(LEFT(D6485,4)+1=LEFT(' Pivot Tables'!$A$4,4)+0,RIGHT(LEFT(D6485,7),2)=RIGHT(LEFT(' Pivot Tables'!$A$4,7),2)),1,0)</f>
        <v>0</v>
      </c>
      <c r="Y6485" s="6">
        <f>1/COUNTIF(Таблица1[Order ID],Таблица1[[#This Row],[Order ID]])</f>
        <v>0.5</v>
      </c>
      <c r="Z6485" s="9">
        <f>1/COUNTIFS(Таблица1[Customer Name],Таблица1[[#This Row],[Customer Name]],Таблица1[Order-Year-Month],Таблица1[[#This Row],[Order-Year-Month]])</f>
        <v>0.5</v>
      </c>
    </row>
    <row r="6486" spans="1:26" x14ac:dyDescent="0.2">
      <c r="A6486" s="6">
        <v>2747</v>
      </c>
      <c r="B6486" s="7">
        <v>19840</v>
      </c>
      <c r="C6486" s="8">
        <f>DATE(2012,12,31)-952</f>
        <v>40322</v>
      </c>
      <c r="D6486" s="8" t="str">
        <f t="shared" si="119"/>
        <v>2010-05 (май 2010)</v>
      </c>
      <c r="E6486" s="9" t="s">
        <v>78</v>
      </c>
      <c r="F6486" s="7">
        <v>25</v>
      </c>
      <c r="G6486" s="7">
        <v>8270.57</v>
      </c>
      <c r="H6486" s="7">
        <v>0.08</v>
      </c>
      <c r="I6486" s="9" t="s">
        <v>31</v>
      </c>
      <c r="J6486" s="10">
        <v>2851.46</v>
      </c>
      <c r="K6486" s="11">
        <v>400.97</v>
      </c>
      <c r="L6486" s="11">
        <v>48.26</v>
      </c>
      <c r="M6486" s="9" t="s">
        <v>2016</v>
      </c>
      <c r="N6486" s="6" t="s">
        <v>2012</v>
      </c>
      <c r="O6486" s="6" t="s">
        <v>2012</v>
      </c>
      <c r="P6486" s="9" t="s">
        <v>41</v>
      </c>
      <c r="Q6486" s="9" t="s">
        <v>42</v>
      </c>
      <c r="R6486" s="9" t="s">
        <v>210</v>
      </c>
      <c r="S6486" s="7" t="s">
        <v>966</v>
      </c>
      <c r="T6486" s="9" t="s">
        <v>82</v>
      </c>
      <c r="U6486" s="7">
        <v>0.36</v>
      </c>
      <c r="V6486" s="12">
        <f>C6486+3</f>
        <v>40325</v>
      </c>
      <c r="W6486">
        <f>IF(D6486=' Pivot Tables'!$A$4,1,0)</f>
        <v>0</v>
      </c>
      <c r="X6486">
        <f>IF(AND(LEFT(D6486,4)+1=LEFT(' Pivot Tables'!$A$4,4)+0,RIGHT(LEFT(D6486,7),2)=RIGHT(LEFT(' Pivot Tables'!$A$4,7),2)),1,0)</f>
        <v>0</v>
      </c>
      <c r="Y6486" s="6">
        <f>1/COUNTIF(Таблица1[Order ID],Таблица1[[#This Row],[Order ID]])</f>
        <v>1</v>
      </c>
      <c r="Z6486" s="9">
        <f>1/COUNTIFS(Таблица1[Customer Name],Таблица1[[#This Row],[Customer Name]],Таблица1[Order-Year-Month],Таблица1[[#This Row],[Order-Year-Month]])</f>
        <v>1</v>
      </c>
    </row>
    <row r="6487" spans="1:26" x14ac:dyDescent="0.2">
      <c r="A6487" s="6">
        <v>2760</v>
      </c>
      <c r="B6487" s="7">
        <v>19943</v>
      </c>
      <c r="C6487" s="8">
        <f>DATE(2012,12,31)-1133</f>
        <v>40141</v>
      </c>
      <c r="D6487" s="8" t="str">
        <f t="shared" si="119"/>
        <v>2009-11 (ноябрь 2009)</v>
      </c>
      <c r="E6487" s="9" t="s">
        <v>78</v>
      </c>
      <c r="F6487" s="7">
        <v>16</v>
      </c>
      <c r="G6487" s="7">
        <v>1959.92</v>
      </c>
      <c r="H6487" s="7">
        <v>7.0000000000000007E-2</v>
      </c>
      <c r="I6487" s="9" t="s">
        <v>31</v>
      </c>
      <c r="J6487" s="10">
        <v>-374.96</v>
      </c>
      <c r="K6487" s="11">
        <v>124.49</v>
      </c>
      <c r="L6487" s="11">
        <v>51.94</v>
      </c>
      <c r="M6487" s="9" t="s">
        <v>1796</v>
      </c>
      <c r="N6487" s="6" t="s">
        <v>2012</v>
      </c>
      <c r="O6487" s="6" t="s">
        <v>2012</v>
      </c>
      <c r="P6487" s="9" t="s">
        <v>41</v>
      </c>
      <c r="Q6487" s="9" t="s">
        <v>49</v>
      </c>
      <c r="R6487" s="9" t="s">
        <v>83</v>
      </c>
      <c r="S6487" s="7" t="s">
        <v>432</v>
      </c>
      <c r="T6487" s="9" t="s">
        <v>82</v>
      </c>
      <c r="U6487" s="7">
        <v>0.63</v>
      </c>
      <c r="V6487" s="12">
        <f>C6487+1</f>
        <v>40142</v>
      </c>
      <c r="W6487">
        <f>IF(D6487=' Pivot Tables'!$A$4,1,0)</f>
        <v>0</v>
      </c>
      <c r="X6487">
        <f>IF(AND(LEFT(D6487,4)+1=LEFT(' Pivot Tables'!$A$4,4)+0,RIGHT(LEFT(D6487,7),2)=RIGHT(LEFT(' Pivot Tables'!$A$4,7),2)),1,0)</f>
        <v>0</v>
      </c>
      <c r="Y6487" s="6">
        <f>1/COUNTIF(Таблица1[Order ID],Таблица1[[#This Row],[Order ID]])</f>
        <v>1</v>
      </c>
      <c r="Z6487" s="9">
        <f>1/COUNTIFS(Таблица1[Customer Name],Таблица1[[#This Row],[Customer Name]],Таблица1[Order-Year-Month],Таблица1[[#This Row],[Order-Year-Month]])</f>
        <v>1</v>
      </c>
    </row>
    <row r="6488" spans="1:26" x14ac:dyDescent="0.2">
      <c r="A6488" s="6">
        <v>2765</v>
      </c>
      <c r="B6488" s="7">
        <v>20002</v>
      </c>
      <c r="C6488" s="8">
        <f>DATE(2012,12,31)-141</f>
        <v>41133</v>
      </c>
      <c r="D6488" s="8" t="str">
        <f t="shared" si="119"/>
        <v>2012-08 (август 2012)</v>
      </c>
      <c r="E6488" s="9" t="s">
        <v>63</v>
      </c>
      <c r="F6488" s="7">
        <v>9</v>
      </c>
      <c r="G6488" s="7">
        <v>41.03</v>
      </c>
      <c r="H6488" s="7">
        <v>0.1</v>
      </c>
      <c r="I6488" s="9" t="s">
        <v>22</v>
      </c>
      <c r="J6488" s="10">
        <v>-30.47</v>
      </c>
      <c r="K6488" s="11">
        <v>4.7699999999999996</v>
      </c>
      <c r="L6488" s="11">
        <v>2.39</v>
      </c>
      <c r="M6488" s="9" t="s">
        <v>2016</v>
      </c>
      <c r="N6488" s="6" t="s">
        <v>2012</v>
      </c>
      <c r="O6488" s="6" t="s">
        <v>2012</v>
      </c>
      <c r="P6488" s="9" t="s">
        <v>41</v>
      </c>
      <c r="Q6488" s="9" t="s">
        <v>42</v>
      </c>
      <c r="R6488" s="9" t="s">
        <v>70</v>
      </c>
      <c r="S6488" s="7" t="s">
        <v>732</v>
      </c>
      <c r="T6488" s="9" t="s">
        <v>52</v>
      </c>
      <c r="U6488" s="7">
        <v>0.72</v>
      </c>
      <c r="V6488" s="12">
        <f>C6488+1</f>
        <v>41134</v>
      </c>
      <c r="W6488">
        <f>IF(D6488=' Pivot Tables'!$A$4,1,0)</f>
        <v>0</v>
      </c>
      <c r="X6488">
        <f>IF(AND(LEFT(D6488,4)+1=LEFT(' Pivot Tables'!$A$4,4)+0,RIGHT(LEFT(D6488,7),2)=RIGHT(LEFT(' Pivot Tables'!$A$4,7),2)),1,0)</f>
        <v>0</v>
      </c>
      <c r="Y6488" s="6">
        <f>1/COUNTIF(Таблица1[Order ID],Таблица1[[#This Row],[Order ID]])</f>
        <v>1</v>
      </c>
      <c r="Z6488" s="9">
        <f>1/COUNTIFS(Таблица1[Customer Name],Таблица1[[#This Row],[Customer Name]],Таблица1[Order-Year-Month],Таблица1[[#This Row],[Order-Year-Month]])</f>
        <v>1</v>
      </c>
    </row>
    <row r="6489" spans="1:26" x14ac:dyDescent="0.2">
      <c r="A6489" s="6">
        <v>2778</v>
      </c>
      <c r="B6489" s="7">
        <v>20066</v>
      </c>
      <c r="C6489" s="8">
        <f>DATE(2012,12,31)-120</f>
        <v>41154</v>
      </c>
      <c r="D6489" s="8" t="str">
        <f t="shared" si="119"/>
        <v>2012-09 (сентябрь 2012)</v>
      </c>
      <c r="E6489" s="9" t="s">
        <v>78</v>
      </c>
      <c r="F6489" s="7">
        <v>3</v>
      </c>
      <c r="G6489" s="7">
        <v>40.79</v>
      </c>
      <c r="H6489" s="7">
        <v>0.02</v>
      </c>
      <c r="I6489" s="9" t="s">
        <v>22</v>
      </c>
      <c r="J6489" s="10">
        <v>-11.69</v>
      </c>
      <c r="K6489" s="11">
        <v>11.58</v>
      </c>
      <c r="L6489" s="11">
        <v>5.72</v>
      </c>
      <c r="M6489" s="9" t="s">
        <v>2019</v>
      </c>
      <c r="N6489" s="6" t="s">
        <v>2012</v>
      </c>
      <c r="O6489" s="6" t="s">
        <v>2012</v>
      </c>
      <c r="P6489" s="9" t="s">
        <v>60</v>
      </c>
      <c r="Q6489" s="9" t="s">
        <v>26</v>
      </c>
      <c r="R6489" s="9" t="s">
        <v>76</v>
      </c>
      <c r="S6489" s="7" t="s">
        <v>304</v>
      </c>
      <c r="T6489" s="9" t="s">
        <v>39</v>
      </c>
      <c r="U6489" s="7">
        <v>0.35</v>
      </c>
      <c r="V6489" s="12">
        <f>C6489+1</f>
        <v>41155</v>
      </c>
      <c r="W6489">
        <f>IF(D6489=' Pivot Tables'!$A$4,1,0)</f>
        <v>0</v>
      </c>
      <c r="X6489">
        <f>IF(AND(LEFT(D6489,4)+1=LEFT(' Pivot Tables'!$A$4,4)+0,RIGHT(LEFT(D6489,7),2)=RIGHT(LEFT(' Pivot Tables'!$A$4,7),2)),1,0)</f>
        <v>0</v>
      </c>
      <c r="Y6489" s="6">
        <f>1/COUNTIF(Таблица1[Order ID],Таблица1[[#This Row],[Order ID]])</f>
        <v>0.5</v>
      </c>
      <c r="Z6489" s="9">
        <f>1/COUNTIFS(Таблица1[Customer Name],Таблица1[[#This Row],[Customer Name]],Таблица1[Order-Year-Month],Таблица1[[#This Row],[Order-Year-Month]])</f>
        <v>0.5</v>
      </c>
    </row>
    <row r="6490" spans="1:26" x14ac:dyDescent="0.2">
      <c r="A6490" s="6">
        <v>2779</v>
      </c>
      <c r="B6490" s="7">
        <v>20066</v>
      </c>
      <c r="C6490" s="8">
        <f>DATE(2012,12,31)-120</f>
        <v>41154</v>
      </c>
      <c r="D6490" s="8" t="str">
        <f t="shared" si="119"/>
        <v>2012-09 (сентябрь 2012)</v>
      </c>
      <c r="E6490" s="9" t="s">
        <v>78</v>
      </c>
      <c r="F6490" s="7">
        <v>16</v>
      </c>
      <c r="G6490" s="7">
        <v>524.25</v>
      </c>
      <c r="H6490" s="7">
        <v>0</v>
      </c>
      <c r="I6490" s="9" t="s">
        <v>22</v>
      </c>
      <c r="J6490" s="10">
        <v>124.18</v>
      </c>
      <c r="K6490" s="11">
        <v>30.98</v>
      </c>
      <c r="L6490" s="11">
        <v>8.74</v>
      </c>
      <c r="M6490" s="9" t="s">
        <v>2019</v>
      </c>
      <c r="N6490" s="6" t="s">
        <v>2012</v>
      </c>
      <c r="O6490" s="6" t="s">
        <v>2012</v>
      </c>
      <c r="P6490" s="9" t="s">
        <v>60</v>
      </c>
      <c r="Q6490" s="9" t="s">
        <v>26</v>
      </c>
      <c r="R6490" s="9" t="s">
        <v>61</v>
      </c>
      <c r="S6490" s="7" t="s">
        <v>932</v>
      </c>
      <c r="T6490" s="9" t="s">
        <v>39</v>
      </c>
      <c r="U6490" s="7">
        <v>0.4</v>
      </c>
      <c r="V6490" s="12">
        <f>C6490+2</f>
        <v>41156</v>
      </c>
      <c r="W6490">
        <f>IF(D6490=' Pivot Tables'!$A$4,1,0)</f>
        <v>0</v>
      </c>
      <c r="X6490">
        <f>IF(AND(LEFT(D6490,4)+1=LEFT(' Pivot Tables'!$A$4,4)+0,RIGHT(LEFT(D6490,7),2)=RIGHT(LEFT(' Pivot Tables'!$A$4,7),2)),1,0)</f>
        <v>0</v>
      </c>
      <c r="Y6490" s="6">
        <f>1/COUNTIF(Таблица1[Order ID],Таблица1[[#This Row],[Order ID]])</f>
        <v>0.5</v>
      </c>
      <c r="Z6490" s="9">
        <f>1/COUNTIFS(Таблица1[Customer Name],Таблица1[[#This Row],[Customer Name]],Таблица1[Order-Year-Month],Таблица1[[#This Row],[Order-Year-Month]])</f>
        <v>0.5</v>
      </c>
    </row>
    <row r="6491" spans="1:26" x14ac:dyDescent="0.2">
      <c r="A6491" s="6">
        <v>2859</v>
      </c>
      <c r="B6491" s="7">
        <v>20615</v>
      </c>
      <c r="C6491" s="8">
        <f>DATE(2012,12,31)-260</f>
        <v>41014</v>
      </c>
      <c r="D6491" s="8" t="str">
        <f t="shared" si="119"/>
        <v>2012-04 (апрель 2012)</v>
      </c>
      <c r="E6491" s="9" t="s">
        <v>63</v>
      </c>
      <c r="F6491" s="7">
        <v>29</v>
      </c>
      <c r="G6491" s="7">
        <v>151.09</v>
      </c>
      <c r="H6491" s="7">
        <v>0.02</v>
      </c>
      <c r="I6491" s="9" t="s">
        <v>56</v>
      </c>
      <c r="J6491" s="10">
        <v>4.59</v>
      </c>
      <c r="K6491" s="11">
        <v>4.76</v>
      </c>
      <c r="L6491" s="11">
        <v>3.01</v>
      </c>
      <c r="M6491" s="9" t="s">
        <v>2015</v>
      </c>
      <c r="N6491" s="6" t="s">
        <v>2012</v>
      </c>
      <c r="O6491" s="6" t="s">
        <v>2012</v>
      </c>
      <c r="P6491" s="9" t="s">
        <v>60</v>
      </c>
      <c r="Q6491" s="9" t="s">
        <v>26</v>
      </c>
      <c r="R6491" s="9" t="s">
        <v>61</v>
      </c>
      <c r="S6491" s="7" t="s">
        <v>899</v>
      </c>
      <c r="T6491" s="9" t="s">
        <v>68</v>
      </c>
      <c r="U6491" s="7">
        <v>0.36</v>
      </c>
      <c r="V6491" s="12">
        <f>C6491+1</f>
        <v>41015</v>
      </c>
      <c r="W6491">
        <f>IF(D6491=' Pivot Tables'!$A$4,1,0)</f>
        <v>0</v>
      </c>
      <c r="X6491">
        <f>IF(AND(LEFT(D6491,4)+1=LEFT(' Pivot Tables'!$A$4,4)+0,RIGHT(LEFT(D6491,7),2)=RIGHT(LEFT(' Pivot Tables'!$A$4,7),2)),1,0)</f>
        <v>0</v>
      </c>
      <c r="Y6491" s="6">
        <f>1/COUNTIF(Таблица1[Order ID],Таблица1[[#This Row],[Order ID]])</f>
        <v>1</v>
      </c>
      <c r="Z6491" s="9">
        <f>1/COUNTIFS(Таблица1[Customer Name],Таблица1[[#This Row],[Customer Name]],Таблица1[Order-Year-Month],Таблица1[[#This Row],[Order-Year-Month]])</f>
        <v>1</v>
      </c>
    </row>
    <row r="6492" spans="1:26" x14ac:dyDescent="0.2">
      <c r="A6492" s="6">
        <v>2892</v>
      </c>
      <c r="B6492" s="7">
        <v>20864</v>
      </c>
      <c r="C6492" s="8">
        <f>DATE(2012,12,31)-391</f>
        <v>40883</v>
      </c>
      <c r="D6492" s="8" t="str">
        <f t="shared" si="119"/>
        <v>2011-12 (декабрь 2011)</v>
      </c>
      <c r="E6492" s="9" t="s">
        <v>30</v>
      </c>
      <c r="F6492" s="7">
        <v>19</v>
      </c>
      <c r="G6492" s="7">
        <v>251.45</v>
      </c>
      <c r="H6492" s="7">
        <v>0.06</v>
      </c>
      <c r="I6492" s="9" t="s">
        <v>22</v>
      </c>
      <c r="J6492" s="10">
        <v>90</v>
      </c>
      <c r="K6492" s="11">
        <v>13.4</v>
      </c>
      <c r="L6492" s="11">
        <v>4.95</v>
      </c>
      <c r="M6492" s="9" t="s">
        <v>2016</v>
      </c>
      <c r="N6492" s="6" t="s">
        <v>2012</v>
      </c>
      <c r="O6492" s="6" t="s">
        <v>2012</v>
      </c>
      <c r="P6492" s="9" t="s">
        <v>41</v>
      </c>
      <c r="Q6492" s="9" t="s">
        <v>49</v>
      </c>
      <c r="R6492" s="9" t="s">
        <v>50</v>
      </c>
      <c r="S6492" s="7" t="s">
        <v>1709</v>
      </c>
      <c r="T6492" s="9" t="s">
        <v>52</v>
      </c>
      <c r="U6492" s="7">
        <v>0.37</v>
      </c>
      <c r="V6492" s="12">
        <f>C6492+2</f>
        <v>40885</v>
      </c>
      <c r="W6492">
        <f>IF(D6492=' Pivot Tables'!$A$4,1,0)</f>
        <v>0</v>
      </c>
      <c r="X6492">
        <f>IF(AND(LEFT(D6492,4)+1=LEFT(' Pivot Tables'!$A$4,4)+0,RIGHT(LEFT(D6492,7),2)=RIGHT(LEFT(' Pivot Tables'!$A$4,7),2)),1,0)</f>
        <v>0</v>
      </c>
      <c r="Y6492" s="6">
        <f>1/COUNTIF(Таблица1[Order ID],Таблица1[[#This Row],[Order ID]])</f>
        <v>1</v>
      </c>
      <c r="Z6492" s="9">
        <f>1/COUNTIFS(Таблица1[Customer Name],Таблица1[[#This Row],[Customer Name]],Таблица1[Order-Year-Month],Таблица1[[#This Row],[Order-Year-Month]])</f>
        <v>1</v>
      </c>
    </row>
    <row r="6493" spans="1:26" x14ac:dyDescent="0.2">
      <c r="A6493" s="6">
        <v>2893</v>
      </c>
      <c r="B6493" s="7">
        <v>20868</v>
      </c>
      <c r="C6493" s="8">
        <f>DATE(2012,12,31)-814</f>
        <v>40460</v>
      </c>
      <c r="D6493" s="8" t="str">
        <f t="shared" si="119"/>
        <v>2010-10 (октябрь 2010)</v>
      </c>
      <c r="E6493" s="9" t="s">
        <v>21</v>
      </c>
      <c r="F6493" s="7">
        <v>9</v>
      </c>
      <c r="G6493" s="7">
        <v>1609.19</v>
      </c>
      <c r="H6493" s="7">
        <v>0.03</v>
      </c>
      <c r="I6493" s="9" t="s">
        <v>22</v>
      </c>
      <c r="J6493" s="10">
        <v>188.91</v>
      </c>
      <c r="K6493" s="11">
        <v>178.47</v>
      </c>
      <c r="L6493" s="11">
        <v>19.989999999999998</v>
      </c>
      <c r="M6493" s="9" t="s">
        <v>2018</v>
      </c>
      <c r="N6493" s="6" t="s">
        <v>2012</v>
      </c>
      <c r="O6493" s="6" t="s">
        <v>2012</v>
      </c>
      <c r="P6493" s="9" t="s">
        <v>60</v>
      </c>
      <c r="Q6493" s="9" t="s">
        <v>26</v>
      </c>
      <c r="R6493" s="9" t="s">
        <v>27</v>
      </c>
      <c r="S6493" s="7" t="s">
        <v>1195</v>
      </c>
      <c r="T6493" s="9" t="s">
        <v>39</v>
      </c>
      <c r="U6493" s="7">
        <v>0.55000000000000004</v>
      </c>
      <c r="V6493" s="12">
        <f>C6493+7</f>
        <v>40467</v>
      </c>
      <c r="W6493">
        <f>IF(D6493=' Pivot Tables'!$A$4,1,0)</f>
        <v>0</v>
      </c>
      <c r="X6493">
        <f>IF(AND(LEFT(D6493,4)+1=LEFT(' Pivot Tables'!$A$4,4)+0,RIGHT(LEFT(D6493,7),2)=RIGHT(LEFT(' Pivot Tables'!$A$4,7),2)),1,0)</f>
        <v>0</v>
      </c>
      <c r="Y6493" s="6">
        <f>1/COUNTIF(Таблица1[Order ID],Таблица1[[#This Row],[Order ID]])</f>
        <v>1</v>
      </c>
      <c r="Z6493" s="9">
        <f>1/COUNTIFS(Таблица1[Customer Name],Таблица1[[#This Row],[Customer Name]],Таблица1[Order-Year-Month],Таблица1[[#This Row],[Order-Year-Month]])</f>
        <v>1</v>
      </c>
    </row>
    <row r="6494" spans="1:26" x14ac:dyDescent="0.2">
      <c r="A6494" s="6">
        <v>2983</v>
      </c>
      <c r="B6494" s="7">
        <v>21541</v>
      </c>
      <c r="C6494" s="8">
        <f>DATE(2012,12,31)-1180</f>
        <v>40094</v>
      </c>
      <c r="D6494" s="8" t="str">
        <f t="shared" si="119"/>
        <v>2009-10 (октябрь 2009)</v>
      </c>
      <c r="E6494" s="9" t="s">
        <v>45</v>
      </c>
      <c r="F6494" s="7">
        <v>43</v>
      </c>
      <c r="G6494" s="7">
        <v>3044.7</v>
      </c>
      <c r="H6494" s="7">
        <v>0.04</v>
      </c>
      <c r="I6494" s="9" t="s">
        <v>31</v>
      </c>
      <c r="J6494" s="10">
        <v>-78.36</v>
      </c>
      <c r="K6494" s="11">
        <v>70.98</v>
      </c>
      <c r="L6494" s="11">
        <v>26.74</v>
      </c>
      <c r="M6494" s="9" t="s">
        <v>1815</v>
      </c>
      <c r="N6494" s="6" t="s">
        <v>2012</v>
      </c>
      <c r="O6494" s="6" t="s">
        <v>2012</v>
      </c>
      <c r="P6494" s="9" t="s">
        <v>41</v>
      </c>
      <c r="Q6494" s="9" t="s">
        <v>49</v>
      </c>
      <c r="R6494" s="9" t="s">
        <v>80</v>
      </c>
      <c r="S6494" s="7" t="s">
        <v>675</v>
      </c>
      <c r="T6494" s="9" t="s">
        <v>82</v>
      </c>
      <c r="U6494" s="7">
        <v>0.6</v>
      </c>
      <c r="V6494" s="12">
        <f>C6494+2</f>
        <v>40096</v>
      </c>
      <c r="W6494">
        <f>IF(D6494=' Pivot Tables'!$A$4,1,0)</f>
        <v>0</v>
      </c>
      <c r="X6494">
        <f>IF(AND(LEFT(D6494,4)+1=LEFT(' Pivot Tables'!$A$4,4)+0,RIGHT(LEFT(D6494,7),2)=RIGHT(LEFT(' Pivot Tables'!$A$4,7),2)),1,0)</f>
        <v>0</v>
      </c>
      <c r="Y6494" s="6">
        <f>1/COUNTIF(Таблица1[Order ID],Таблица1[[#This Row],[Order ID]])</f>
        <v>1</v>
      </c>
      <c r="Z6494" s="9">
        <f>1/COUNTIFS(Таблица1[Customer Name],Таблица1[[#This Row],[Customer Name]],Таблица1[Order-Year-Month],Таблица1[[#This Row],[Order-Year-Month]])</f>
        <v>1</v>
      </c>
    </row>
    <row r="6495" spans="1:26" x14ac:dyDescent="0.2">
      <c r="A6495" s="6">
        <v>3158</v>
      </c>
      <c r="B6495" s="7">
        <v>22661</v>
      </c>
      <c r="C6495" s="8">
        <f>DATE(2012,12,31)-827</f>
        <v>40447</v>
      </c>
      <c r="D6495" s="8" t="str">
        <f t="shared" si="119"/>
        <v>2010-09 (сентябрь 2010)</v>
      </c>
      <c r="E6495" s="9" t="s">
        <v>45</v>
      </c>
      <c r="F6495" s="7">
        <v>11</v>
      </c>
      <c r="G6495" s="7">
        <v>18.260000000000002</v>
      </c>
      <c r="H6495" s="7">
        <v>0.05</v>
      </c>
      <c r="I6495" s="9" t="s">
        <v>22</v>
      </c>
      <c r="J6495" s="10">
        <v>-3.89</v>
      </c>
      <c r="K6495" s="11">
        <v>1.68</v>
      </c>
      <c r="L6495" s="11">
        <v>0.7</v>
      </c>
      <c r="M6495" s="9" t="s">
        <v>2016</v>
      </c>
      <c r="N6495" s="6" t="s">
        <v>2012</v>
      </c>
      <c r="O6495" s="6" t="s">
        <v>2012</v>
      </c>
      <c r="P6495" s="9" t="s">
        <v>41</v>
      </c>
      <c r="Q6495" s="9" t="s">
        <v>26</v>
      </c>
      <c r="R6495" s="9" t="s">
        <v>95</v>
      </c>
      <c r="S6495" s="7" t="s">
        <v>1926</v>
      </c>
      <c r="T6495" s="9" t="s">
        <v>68</v>
      </c>
      <c r="U6495" s="7">
        <v>0.6</v>
      </c>
      <c r="V6495" s="12">
        <f>C6495+3</f>
        <v>40450</v>
      </c>
      <c r="W6495">
        <f>IF(D6495=' Pivot Tables'!$A$4,1,0)</f>
        <v>0</v>
      </c>
      <c r="X6495">
        <f>IF(AND(LEFT(D6495,4)+1=LEFT(' Pivot Tables'!$A$4,4)+0,RIGHT(LEFT(D6495,7),2)=RIGHT(LEFT(' Pivot Tables'!$A$4,7),2)),1,0)</f>
        <v>0</v>
      </c>
      <c r="Y6495" s="6">
        <f>1/COUNTIF(Таблица1[Order ID],Таблица1[[#This Row],[Order ID]])</f>
        <v>1</v>
      </c>
      <c r="Z6495" s="9">
        <f>1/COUNTIFS(Таблица1[Customer Name],Таблица1[[#This Row],[Customer Name]],Таблица1[Order-Year-Month],Таблица1[[#This Row],[Order-Year-Month]])</f>
        <v>1</v>
      </c>
    </row>
    <row r="6496" spans="1:26" x14ac:dyDescent="0.2">
      <c r="A6496" s="6">
        <v>3162</v>
      </c>
      <c r="B6496" s="7">
        <v>22689</v>
      </c>
      <c r="C6496" s="8">
        <f>DATE(2012,12,31)-449</f>
        <v>40825</v>
      </c>
      <c r="D6496" s="8" t="str">
        <f t="shared" si="119"/>
        <v>2011-10 (октябрь 2011)</v>
      </c>
      <c r="E6496" s="9" t="s">
        <v>21</v>
      </c>
      <c r="F6496" s="7">
        <v>39</v>
      </c>
      <c r="G6496" s="7">
        <v>2405</v>
      </c>
      <c r="H6496" s="7">
        <v>0.1</v>
      </c>
      <c r="I6496" s="9" t="s">
        <v>22</v>
      </c>
      <c r="J6496" s="10">
        <v>696.17</v>
      </c>
      <c r="K6496" s="11">
        <v>67.84</v>
      </c>
      <c r="L6496" s="11">
        <v>0.99</v>
      </c>
      <c r="M6496" s="9" t="s">
        <v>2015</v>
      </c>
      <c r="N6496" s="6" t="s">
        <v>2012</v>
      </c>
      <c r="O6496" s="6" t="s">
        <v>2012</v>
      </c>
      <c r="P6496" s="9" t="s">
        <v>60</v>
      </c>
      <c r="Q6496" s="9" t="s">
        <v>26</v>
      </c>
      <c r="R6496" s="9" t="s">
        <v>34</v>
      </c>
      <c r="S6496" s="7" t="s">
        <v>439</v>
      </c>
      <c r="T6496" s="9" t="s">
        <v>39</v>
      </c>
      <c r="U6496" s="7">
        <v>0.57999999999999996</v>
      </c>
      <c r="V6496" s="12">
        <f>C6496+2</f>
        <v>40827</v>
      </c>
      <c r="W6496">
        <f>IF(D6496=' Pivot Tables'!$A$4,1,0)</f>
        <v>0</v>
      </c>
      <c r="X6496">
        <f>IF(AND(LEFT(D6496,4)+1=LEFT(' Pivot Tables'!$A$4,4)+0,RIGHT(LEFT(D6496,7),2)=RIGHT(LEFT(' Pivot Tables'!$A$4,7),2)),1,0)</f>
        <v>0</v>
      </c>
      <c r="Y6496" s="6">
        <f>1/COUNTIF(Таблица1[Order ID],Таблица1[[#This Row],[Order ID]])</f>
        <v>1</v>
      </c>
      <c r="Z6496" s="9">
        <f>1/COUNTIFS(Таблица1[Customer Name],Таблица1[[#This Row],[Customer Name]],Таблица1[Order-Year-Month],Таблица1[[#This Row],[Order-Year-Month]])</f>
        <v>1</v>
      </c>
    </row>
    <row r="6497" spans="1:26" x14ac:dyDescent="0.2">
      <c r="A6497" s="6">
        <v>3263</v>
      </c>
      <c r="B6497" s="7">
        <v>23361</v>
      </c>
      <c r="C6497" s="8">
        <f>DATE(2012,12,31)-912</f>
        <v>40362</v>
      </c>
      <c r="D6497" s="8" t="str">
        <f t="shared" si="119"/>
        <v>2010-07 (июль 2010)</v>
      </c>
      <c r="E6497" s="9" t="s">
        <v>78</v>
      </c>
      <c r="F6497" s="7">
        <v>2</v>
      </c>
      <c r="G6497" s="7">
        <v>3.23</v>
      </c>
      <c r="H6497" s="7">
        <v>0.06</v>
      </c>
      <c r="I6497" s="9" t="s">
        <v>22</v>
      </c>
      <c r="J6497" s="10">
        <v>-2.73</v>
      </c>
      <c r="K6497" s="11">
        <v>1.26</v>
      </c>
      <c r="L6497" s="11">
        <v>0.7</v>
      </c>
      <c r="M6497" s="9" t="s">
        <v>1796</v>
      </c>
      <c r="N6497" s="6" t="s">
        <v>2012</v>
      </c>
      <c r="O6497" s="6" t="s">
        <v>2012</v>
      </c>
      <c r="P6497" s="9" t="s">
        <v>41</v>
      </c>
      <c r="Q6497" s="9" t="s">
        <v>26</v>
      </c>
      <c r="R6497" s="9" t="s">
        <v>66</v>
      </c>
      <c r="S6497" s="7" t="s">
        <v>351</v>
      </c>
      <c r="T6497" s="9" t="s">
        <v>68</v>
      </c>
      <c r="U6497" s="7">
        <v>0.81</v>
      </c>
      <c r="V6497" s="12">
        <f>C6497+1</f>
        <v>40363</v>
      </c>
      <c r="W6497">
        <f>IF(D6497=' Pivot Tables'!$A$4,1,0)</f>
        <v>0</v>
      </c>
      <c r="X6497">
        <f>IF(AND(LEFT(D6497,4)+1=LEFT(' Pivot Tables'!$A$4,4)+0,RIGHT(LEFT(D6497,7),2)=RIGHT(LEFT(' Pivot Tables'!$A$4,7),2)),1,0)</f>
        <v>0</v>
      </c>
      <c r="Y6497" s="6">
        <f>1/COUNTIF(Таблица1[Order ID],Таблица1[[#This Row],[Order ID]])</f>
        <v>0.33333333333333331</v>
      </c>
      <c r="Z6497" s="9">
        <f>1/COUNTIFS(Таблица1[Customer Name],Таблица1[[#This Row],[Customer Name]],Таблица1[Order-Year-Month],Таблица1[[#This Row],[Order-Year-Month]])</f>
        <v>0.33333333333333331</v>
      </c>
    </row>
    <row r="6498" spans="1:26" x14ac:dyDescent="0.2">
      <c r="A6498" s="6">
        <v>3264</v>
      </c>
      <c r="B6498" s="7">
        <v>23361</v>
      </c>
      <c r="C6498" s="8">
        <f>DATE(2012,12,31)-912</f>
        <v>40362</v>
      </c>
      <c r="D6498" s="8" t="str">
        <f t="shared" si="119"/>
        <v>2010-07 (июль 2010)</v>
      </c>
      <c r="E6498" s="9" t="s">
        <v>78</v>
      </c>
      <c r="F6498" s="7">
        <v>36</v>
      </c>
      <c r="G6498" s="7">
        <v>2861.66</v>
      </c>
      <c r="H6498" s="7">
        <v>0.04</v>
      </c>
      <c r="I6498" s="9" t="s">
        <v>22</v>
      </c>
      <c r="J6498" s="10">
        <v>-921.68</v>
      </c>
      <c r="K6498" s="11">
        <v>80.98</v>
      </c>
      <c r="L6498" s="11">
        <v>35</v>
      </c>
      <c r="M6498" s="9" t="s">
        <v>1796</v>
      </c>
      <c r="N6498" s="6" t="s">
        <v>2012</v>
      </c>
      <c r="O6498" s="6" t="s">
        <v>2012</v>
      </c>
      <c r="P6498" s="9" t="s">
        <v>41</v>
      </c>
      <c r="Q6498" s="9" t="s">
        <v>26</v>
      </c>
      <c r="R6498" s="9" t="s">
        <v>27</v>
      </c>
      <c r="S6498" s="7" t="s">
        <v>171</v>
      </c>
      <c r="T6498" s="9" t="s">
        <v>29</v>
      </c>
      <c r="U6498" s="7">
        <v>0.81</v>
      </c>
      <c r="V6498" s="12">
        <f>C6498+1</f>
        <v>40363</v>
      </c>
      <c r="W6498">
        <f>IF(D6498=' Pivot Tables'!$A$4,1,0)</f>
        <v>0</v>
      </c>
      <c r="X6498">
        <f>IF(AND(LEFT(D6498,4)+1=LEFT(' Pivot Tables'!$A$4,4)+0,RIGHT(LEFT(D6498,7),2)=RIGHT(LEFT(' Pivot Tables'!$A$4,7),2)),1,0)</f>
        <v>0</v>
      </c>
      <c r="Y6498" s="6">
        <f>1/COUNTIF(Таблица1[Order ID],Таблица1[[#This Row],[Order ID]])</f>
        <v>0.33333333333333331</v>
      </c>
      <c r="Z6498" s="9">
        <f>1/COUNTIFS(Таблица1[Customer Name],Таблица1[[#This Row],[Customer Name]],Таблица1[Order-Year-Month],Таблица1[[#This Row],[Order-Year-Month]])</f>
        <v>0.33333333333333331</v>
      </c>
    </row>
    <row r="6499" spans="1:26" x14ac:dyDescent="0.2">
      <c r="A6499" s="6">
        <v>3265</v>
      </c>
      <c r="B6499" s="7">
        <v>23361</v>
      </c>
      <c r="C6499" s="8">
        <f>DATE(2012,12,31)-912</f>
        <v>40362</v>
      </c>
      <c r="D6499" s="8" t="str">
        <f t="shared" si="119"/>
        <v>2010-07 (июль 2010)</v>
      </c>
      <c r="E6499" s="9" t="s">
        <v>78</v>
      </c>
      <c r="F6499" s="7">
        <v>7</v>
      </c>
      <c r="G6499" s="7">
        <v>373.27749999999997</v>
      </c>
      <c r="H6499" s="7">
        <v>7.0000000000000007E-2</v>
      </c>
      <c r="I6499" s="9" t="s">
        <v>22</v>
      </c>
      <c r="J6499" s="10">
        <v>-204.93</v>
      </c>
      <c r="K6499" s="11">
        <v>65.989999999999995</v>
      </c>
      <c r="L6499" s="11">
        <v>5.26</v>
      </c>
      <c r="M6499" s="9" t="s">
        <v>1796</v>
      </c>
      <c r="N6499" s="6" t="s">
        <v>2012</v>
      </c>
      <c r="O6499" s="6" t="s">
        <v>2012</v>
      </c>
      <c r="P6499" s="9" t="s">
        <v>41</v>
      </c>
      <c r="Q6499" s="9" t="s">
        <v>42</v>
      </c>
      <c r="R6499" s="9" t="s">
        <v>43</v>
      </c>
      <c r="S6499" s="7" t="s">
        <v>390</v>
      </c>
      <c r="T6499" s="9" t="s">
        <v>39</v>
      </c>
      <c r="U6499" s="7">
        <v>0.56000000000000005</v>
      </c>
      <c r="V6499" s="12">
        <f>C6499+0</f>
        <v>40362</v>
      </c>
      <c r="W6499">
        <f>IF(D6499=' Pivot Tables'!$A$4,1,0)</f>
        <v>0</v>
      </c>
      <c r="X6499">
        <f>IF(AND(LEFT(D6499,4)+1=LEFT(' Pivot Tables'!$A$4,4)+0,RIGHT(LEFT(D6499,7),2)=RIGHT(LEFT(' Pivot Tables'!$A$4,7),2)),1,0)</f>
        <v>0</v>
      </c>
      <c r="Y6499" s="6">
        <f>1/COUNTIF(Таблица1[Order ID],Таблица1[[#This Row],[Order ID]])</f>
        <v>0.33333333333333331</v>
      </c>
      <c r="Z6499" s="9">
        <f>1/COUNTIFS(Таблица1[Customer Name],Таблица1[[#This Row],[Customer Name]],Таблица1[Order-Year-Month],Таблица1[[#This Row],[Order-Year-Month]])</f>
        <v>0.33333333333333331</v>
      </c>
    </row>
    <row r="6500" spans="1:26" x14ac:dyDescent="0.2">
      <c r="A6500" s="6">
        <v>3273</v>
      </c>
      <c r="B6500" s="7">
        <v>23396</v>
      </c>
      <c r="C6500" s="8">
        <f>DATE(2012,12,31)-927</f>
        <v>40347</v>
      </c>
      <c r="D6500" s="8" t="str">
        <f t="shared" si="119"/>
        <v>2010-06 (июнь 2010)</v>
      </c>
      <c r="E6500" s="9" t="s">
        <v>21</v>
      </c>
      <c r="F6500" s="7">
        <v>30</v>
      </c>
      <c r="G6500" s="7">
        <v>11481.03</v>
      </c>
      <c r="H6500" s="7">
        <v>0.08</v>
      </c>
      <c r="I6500" s="9" t="s">
        <v>31</v>
      </c>
      <c r="J6500" s="10">
        <v>2799.65</v>
      </c>
      <c r="K6500" s="11">
        <v>399.98</v>
      </c>
      <c r="L6500" s="11">
        <v>12.06</v>
      </c>
      <c r="M6500" s="9" t="s">
        <v>1815</v>
      </c>
      <c r="N6500" s="6" t="s">
        <v>2012</v>
      </c>
      <c r="O6500" s="6" t="s">
        <v>2012</v>
      </c>
      <c r="P6500" s="9" t="s">
        <v>60</v>
      </c>
      <c r="Q6500" s="9" t="s">
        <v>42</v>
      </c>
      <c r="R6500" s="9" t="s">
        <v>210</v>
      </c>
      <c r="S6500" s="7" t="s">
        <v>1051</v>
      </c>
      <c r="T6500" s="9" t="s">
        <v>82</v>
      </c>
      <c r="U6500" s="7">
        <v>0.56000000000000005</v>
      </c>
      <c r="V6500" s="12">
        <f>C6500+2</f>
        <v>40349</v>
      </c>
      <c r="W6500">
        <f>IF(D6500=' Pivot Tables'!$A$4,1,0)</f>
        <v>0</v>
      </c>
      <c r="X6500">
        <f>IF(AND(LEFT(D6500,4)+1=LEFT(' Pivot Tables'!$A$4,4)+0,RIGHT(LEFT(D6500,7),2)=RIGHT(LEFT(' Pivot Tables'!$A$4,7),2)),1,0)</f>
        <v>0</v>
      </c>
      <c r="Y6500" s="6">
        <f>1/COUNTIF(Таблица1[Order ID],Таблица1[[#This Row],[Order ID]])</f>
        <v>1</v>
      </c>
      <c r="Z6500" s="9">
        <f>1/COUNTIFS(Таблица1[Customer Name],Таблица1[[#This Row],[Customer Name]],Таблица1[Order-Year-Month],Таблица1[[#This Row],[Order-Year-Month]])</f>
        <v>1</v>
      </c>
    </row>
    <row r="6501" spans="1:26" x14ac:dyDescent="0.2">
      <c r="A6501" s="6">
        <v>3278</v>
      </c>
      <c r="B6501" s="7">
        <v>23427</v>
      </c>
      <c r="C6501" s="8">
        <f>DATE(2012,12,31)-511</f>
        <v>40763</v>
      </c>
      <c r="D6501" s="8" t="str">
        <f t="shared" si="119"/>
        <v>2011-08 (август 2011)</v>
      </c>
      <c r="E6501" s="9" t="s">
        <v>21</v>
      </c>
      <c r="F6501" s="7">
        <v>30</v>
      </c>
      <c r="G6501" s="7">
        <v>442.76</v>
      </c>
      <c r="H6501" s="7">
        <v>0.09</v>
      </c>
      <c r="I6501" s="9" t="s">
        <v>22</v>
      </c>
      <c r="J6501" s="10">
        <v>-17.112000000000002</v>
      </c>
      <c r="K6501" s="11">
        <v>15.01</v>
      </c>
      <c r="L6501" s="11">
        <v>8.4</v>
      </c>
      <c r="M6501" s="9" t="s">
        <v>2014</v>
      </c>
      <c r="N6501" s="6" t="s">
        <v>2012</v>
      </c>
      <c r="O6501" s="6" t="s">
        <v>2012</v>
      </c>
      <c r="P6501" s="9" t="s">
        <v>41</v>
      </c>
      <c r="Q6501" s="9" t="s">
        <v>26</v>
      </c>
      <c r="R6501" s="9" t="s">
        <v>37</v>
      </c>
      <c r="S6501" s="7" t="s">
        <v>443</v>
      </c>
      <c r="T6501" s="9" t="s">
        <v>39</v>
      </c>
      <c r="U6501" s="7">
        <v>0.39</v>
      </c>
      <c r="V6501" s="12">
        <f>C6501+7</f>
        <v>40770</v>
      </c>
      <c r="W6501">
        <f>IF(D6501=' Pivot Tables'!$A$4,1,0)</f>
        <v>0</v>
      </c>
      <c r="X6501">
        <f>IF(AND(LEFT(D6501,4)+1=LEFT(' Pivot Tables'!$A$4,4)+0,RIGHT(LEFT(D6501,7),2)=RIGHT(LEFT(' Pivot Tables'!$A$4,7),2)),1,0)</f>
        <v>0</v>
      </c>
      <c r="Y6501" s="6">
        <f>1/COUNTIF(Таблица1[Order ID],Таблица1[[#This Row],[Order ID]])</f>
        <v>0.5</v>
      </c>
      <c r="Z6501" s="9">
        <f>1/COUNTIFS(Таблица1[Customer Name],Таблица1[[#This Row],[Customer Name]],Таблица1[Order-Year-Month],Таблица1[[#This Row],[Order-Year-Month]])</f>
        <v>0.5</v>
      </c>
    </row>
    <row r="6502" spans="1:26" x14ac:dyDescent="0.2">
      <c r="A6502" s="6">
        <v>3279</v>
      </c>
      <c r="B6502" s="7">
        <v>23427</v>
      </c>
      <c r="C6502" s="8">
        <f>DATE(2012,12,31)-511</f>
        <v>40763</v>
      </c>
      <c r="D6502" s="8" t="str">
        <f t="shared" si="119"/>
        <v>2011-08 (август 2011)</v>
      </c>
      <c r="E6502" s="9" t="s">
        <v>21</v>
      </c>
      <c r="F6502" s="7">
        <v>22</v>
      </c>
      <c r="G6502" s="7">
        <v>2684.98</v>
      </c>
      <c r="H6502" s="7">
        <v>0.03</v>
      </c>
      <c r="I6502" s="9" t="s">
        <v>22</v>
      </c>
      <c r="J6502" s="10">
        <v>1115.1405</v>
      </c>
      <c r="K6502" s="11">
        <v>120.98</v>
      </c>
      <c r="L6502" s="11">
        <v>9.07</v>
      </c>
      <c r="M6502" s="9" t="s">
        <v>2014</v>
      </c>
      <c r="N6502" s="6" t="s">
        <v>2012</v>
      </c>
      <c r="O6502" s="6" t="s">
        <v>2012</v>
      </c>
      <c r="P6502" s="9" t="s">
        <v>41</v>
      </c>
      <c r="Q6502" s="9" t="s">
        <v>26</v>
      </c>
      <c r="R6502" s="9" t="s">
        <v>37</v>
      </c>
      <c r="S6502" s="7" t="s">
        <v>477</v>
      </c>
      <c r="T6502" s="9" t="s">
        <v>39</v>
      </c>
      <c r="U6502" s="7">
        <v>0.35</v>
      </c>
      <c r="V6502" s="12">
        <f>C6502+9</f>
        <v>40772</v>
      </c>
      <c r="W6502">
        <f>IF(D6502=' Pivot Tables'!$A$4,1,0)</f>
        <v>0</v>
      </c>
      <c r="X6502">
        <f>IF(AND(LEFT(D6502,4)+1=LEFT(' Pivot Tables'!$A$4,4)+0,RIGHT(LEFT(D6502,7),2)=RIGHT(LEFT(' Pivot Tables'!$A$4,7),2)),1,0)</f>
        <v>0</v>
      </c>
      <c r="Y6502" s="6">
        <f>1/COUNTIF(Таблица1[Order ID],Таблица1[[#This Row],[Order ID]])</f>
        <v>0.5</v>
      </c>
      <c r="Z6502" s="9">
        <f>1/COUNTIFS(Таблица1[Customer Name],Таблица1[[#This Row],[Customer Name]],Таблица1[Order-Year-Month],Таблица1[[#This Row],[Order-Year-Month]])</f>
        <v>0.5</v>
      </c>
    </row>
    <row r="6503" spans="1:26" x14ac:dyDescent="0.2">
      <c r="A6503" s="6">
        <v>3323</v>
      </c>
      <c r="B6503" s="7">
        <v>23751</v>
      </c>
      <c r="C6503" s="8">
        <f>DATE(2012,12,31)-1384</f>
        <v>39890</v>
      </c>
      <c r="D6503" s="8" t="str">
        <f t="shared" si="119"/>
        <v>2009-03 (март 2009)</v>
      </c>
      <c r="E6503" s="9" t="s">
        <v>63</v>
      </c>
      <c r="F6503" s="7">
        <v>44</v>
      </c>
      <c r="G6503" s="7">
        <v>10364.36</v>
      </c>
      <c r="H6503" s="7">
        <v>0.01</v>
      </c>
      <c r="I6503" s="9" t="s">
        <v>31</v>
      </c>
      <c r="J6503" s="10">
        <v>1049.03</v>
      </c>
      <c r="K6503" s="11">
        <v>220.98</v>
      </c>
      <c r="L6503" s="11">
        <v>64.66</v>
      </c>
      <c r="M6503" s="9" t="s">
        <v>2020</v>
      </c>
      <c r="N6503" s="6" t="s">
        <v>2012</v>
      </c>
      <c r="O6503" s="6" t="s">
        <v>2012</v>
      </c>
      <c r="P6503" s="9" t="s">
        <v>41</v>
      </c>
      <c r="Q6503" s="9" t="s">
        <v>49</v>
      </c>
      <c r="R6503" s="9" t="s">
        <v>80</v>
      </c>
      <c r="S6503" s="7" t="s">
        <v>1012</v>
      </c>
      <c r="T6503" s="9" t="s">
        <v>82</v>
      </c>
      <c r="U6503" s="7">
        <v>0.62</v>
      </c>
      <c r="V6503" s="12">
        <f>C6503+1</f>
        <v>39891</v>
      </c>
      <c r="W6503">
        <f>IF(D6503=' Pivot Tables'!$A$4,1,0)</f>
        <v>0</v>
      </c>
      <c r="X6503">
        <f>IF(AND(LEFT(D6503,4)+1=LEFT(' Pivot Tables'!$A$4,4)+0,RIGHT(LEFT(D6503,7),2)=RIGHT(LEFT(' Pivot Tables'!$A$4,7),2)),1,0)</f>
        <v>0</v>
      </c>
      <c r="Y6503" s="6">
        <f>1/COUNTIF(Таблица1[Order ID],Таблица1[[#This Row],[Order ID]])</f>
        <v>1</v>
      </c>
      <c r="Z6503" s="9">
        <f>1/COUNTIFS(Таблица1[Customer Name],Таблица1[[#This Row],[Customer Name]],Таблица1[Order-Year-Month],Таблица1[[#This Row],[Order-Year-Month]])</f>
        <v>1</v>
      </c>
    </row>
    <row r="6504" spans="1:26" x14ac:dyDescent="0.2">
      <c r="A6504" s="6">
        <v>3348</v>
      </c>
      <c r="B6504" s="7">
        <v>23943</v>
      </c>
      <c r="C6504" s="8">
        <f>DATE(2012,12,31)-557</f>
        <v>40717</v>
      </c>
      <c r="D6504" s="8" t="str">
        <f t="shared" si="119"/>
        <v>2011-06 (июнь 2011)</v>
      </c>
      <c r="E6504" s="9" t="s">
        <v>78</v>
      </c>
      <c r="F6504" s="7">
        <v>24</v>
      </c>
      <c r="G6504" s="7">
        <v>376.53</v>
      </c>
      <c r="H6504" s="7">
        <v>0.03</v>
      </c>
      <c r="I6504" s="9" t="s">
        <v>22</v>
      </c>
      <c r="J6504" s="10">
        <v>3.44</v>
      </c>
      <c r="K6504" s="11">
        <v>15.94</v>
      </c>
      <c r="L6504" s="11">
        <v>5.45</v>
      </c>
      <c r="M6504" s="9" t="s">
        <v>2017</v>
      </c>
      <c r="N6504" s="6" t="s">
        <v>2012</v>
      </c>
      <c r="O6504" s="6" t="s">
        <v>2012</v>
      </c>
      <c r="P6504" s="9" t="s">
        <v>41</v>
      </c>
      <c r="Q6504" s="9" t="s">
        <v>26</v>
      </c>
      <c r="R6504" s="9" t="s">
        <v>95</v>
      </c>
      <c r="S6504" s="7" t="s">
        <v>469</v>
      </c>
      <c r="T6504" s="9" t="s">
        <v>52</v>
      </c>
      <c r="U6504" s="7">
        <v>0.55000000000000004</v>
      </c>
      <c r="V6504" s="12">
        <f>C6504+2</f>
        <v>40719</v>
      </c>
      <c r="W6504">
        <f>IF(D6504=' Pivot Tables'!$A$4,1,0)</f>
        <v>0</v>
      </c>
      <c r="X6504">
        <f>IF(AND(LEFT(D6504,4)+1=LEFT(' Pivot Tables'!$A$4,4)+0,RIGHT(LEFT(D6504,7),2)=RIGHT(LEFT(' Pivot Tables'!$A$4,7),2)),1,0)</f>
        <v>0</v>
      </c>
      <c r="Y6504" s="6">
        <f>1/COUNTIF(Таблица1[Order ID],Таблица1[[#This Row],[Order ID]])</f>
        <v>1</v>
      </c>
      <c r="Z6504" s="9">
        <f>1/COUNTIFS(Таблица1[Customer Name],Таблица1[[#This Row],[Customer Name]],Таблица1[Order-Year-Month],Таблица1[[#This Row],[Order-Year-Month]])</f>
        <v>1</v>
      </c>
    </row>
    <row r="6505" spans="1:26" x14ac:dyDescent="0.2">
      <c r="A6505" s="6">
        <v>3450</v>
      </c>
      <c r="B6505" s="7">
        <v>24608</v>
      </c>
      <c r="C6505" s="8">
        <f>DATE(2012,12,31)-139</f>
        <v>41135</v>
      </c>
      <c r="D6505" s="8" t="str">
        <f t="shared" si="119"/>
        <v>2012-08 (август 2012)</v>
      </c>
      <c r="E6505" s="9" t="s">
        <v>63</v>
      </c>
      <c r="F6505" s="7">
        <v>50</v>
      </c>
      <c r="G6505" s="7">
        <v>197.36</v>
      </c>
      <c r="H6505" s="7">
        <v>7.0000000000000007E-2</v>
      </c>
      <c r="I6505" s="9" t="s">
        <v>22</v>
      </c>
      <c r="J6505" s="10">
        <v>-43.5045</v>
      </c>
      <c r="K6505" s="11">
        <v>4.18</v>
      </c>
      <c r="L6505" s="11">
        <v>2.99</v>
      </c>
      <c r="M6505" s="9" t="s">
        <v>1815</v>
      </c>
      <c r="N6505" s="6" t="s">
        <v>2012</v>
      </c>
      <c r="O6505" s="6" t="s">
        <v>2012</v>
      </c>
      <c r="P6505" s="9" t="s">
        <v>60</v>
      </c>
      <c r="Q6505" s="9" t="s">
        <v>26</v>
      </c>
      <c r="R6505" s="9" t="s">
        <v>37</v>
      </c>
      <c r="S6505" s="7" t="s">
        <v>1107</v>
      </c>
      <c r="T6505" s="9" t="s">
        <v>39</v>
      </c>
      <c r="U6505" s="7">
        <v>0.37</v>
      </c>
      <c r="V6505" s="12">
        <f>C6505+1</f>
        <v>41136</v>
      </c>
      <c r="W6505">
        <f>IF(D6505=' Pivot Tables'!$A$4,1,0)</f>
        <v>0</v>
      </c>
      <c r="X6505">
        <f>IF(AND(LEFT(D6505,4)+1=LEFT(' Pivot Tables'!$A$4,4)+0,RIGHT(LEFT(D6505,7),2)=RIGHT(LEFT(' Pivot Tables'!$A$4,7),2)),1,0)</f>
        <v>0</v>
      </c>
      <c r="Y6505" s="6">
        <f>1/COUNTIF(Таблица1[Order ID],Таблица1[[#This Row],[Order ID]])</f>
        <v>1</v>
      </c>
      <c r="Z6505" s="9">
        <f>1/COUNTIFS(Таблица1[Customer Name],Таблица1[[#This Row],[Customer Name]],Таблица1[Order-Year-Month],Таблица1[[#This Row],[Order-Year-Month]])</f>
        <v>1</v>
      </c>
    </row>
    <row r="6506" spans="1:26" x14ac:dyDescent="0.2">
      <c r="A6506" s="6">
        <v>3579</v>
      </c>
      <c r="B6506" s="7">
        <v>25507</v>
      </c>
      <c r="C6506" s="8">
        <f>DATE(2012,12,31)-1244</f>
        <v>40030</v>
      </c>
      <c r="D6506" s="8" t="str">
        <f t="shared" si="119"/>
        <v>2009-08 (август 2009)</v>
      </c>
      <c r="E6506" s="9" t="s">
        <v>45</v>
      </c>
      <c r="F6506" s="7">
        <v>8</v>
      </c>
      <c r="G6506" s="7">
        <v>555.20000000000005</v>
      </c>
      <c r="H6506" s="7">
        <v>0.06</v>
      </c>
      <c r="I6506" s="9" t="s">
        <v>22</v>
      </c>
      <c r="J6506" s="10">
        <v>-267.86</v>
      </c>
      <c r="K6506" s="11">
        <v>64.650000000000006</v>
      </c>
      <c r="L6506" s="11">
        <v>35</v>
      </c>
      <c r="M6506" s="9" t="s">
        <v>1841</v>
      </c>
      <c r="N6506" s="6" t="s">
        <v>2012</v>
      </c>
      <c r="O6506" s="6" t="s">
        <v>2012</v>
      </c>
      <c r="P6506" s="9" t="s">
        <v>60</v>
      </c>
      <c r="Q6506" s="9" t="s">
        <v>26</v>
      </c>
      <c r="R6506" s="9" t="s">
        <v>27</v>
      </c>
      <c r="S6506" s="7" t="s">
        <v>1060</v>
      </c>
      <c r="T6506" s="9" t="s">
        <v>29</v>
      </c>
      <c r="U6506" s="7">
        <v>0.8</v>
      </c>
      <c r="V6506" s="12">
        <f>C6506+1</f>
        <v>40031</v>
      </c>
      <c r="W6506">
        <f>IF(D6506=' Pivot Tables'!$A$4,1,0)</f>
        <v>0</v>
      </c>
      <c r="X6506">
        <f>IF(AND(LEFT(D6506,4)+1=LEFT(' Pivot Tables'!$A$4,4)+0,RIGHT(LEFT(D6506,7),2)=RIGHT(LEFT(' Pivot Tables'!$A$4,7),2)),1,0)</f>
        <v>0</v>
      </c>
      <c r="Y6506" s="6">
        <f>1/COUNTIF(Таблица1[Order ID],Таблица1[[#This Row],[Order ID]])</f>
        <v>1</v>
      </c>
      <c r="Z6506" s="9">
        <f>1/COUNTIFS(Таблица1[Customer Name],Таблица1[[#This Row],[Customer Name]],Таблица1[Order-Year-Month],Таблица1[[#This Row],[Order-Year-Month]])</f>
        <v>1</v>
      </c>
    </row>
    <row r="6507" spans="1:26" x14ac:dyDescent="0.2">
      <c r="A6507" s="6">
        <v>3580</v>
      </c>
      <c r="B6507" s="7">
        <v>25509</v>
      </c>
      <c r="C6507" s="8">
        <f>DATE(2012,12,31)-1319</f>
        <v>39955</v>
      </c>
      <c r="D6507" s="8" t="str">
        <f t="shared" si="119"/>
        <v>2009-05 (май 2009)</v>
      </c>
      <c r="E6507" s="9" t="s">
        <v>78</v>
      </c>
      <c r="F6507" s="7">
        <v>43</v>
      </c>
      <c r="G6507" s="7">
        <v>212.28</v>
      </c>
      <c r="H6507" s="7">
        <v>0.06</v>
      </c>
      <c r="I6507" s="9" t="s">
        <v>22</v>
      </c>
      <c r="J6507" s="10">
        <v>-103.224</v>
      </c>
      <c r="K6507" s="11">
        <v>4.9800000000000004</v>
      </c>
      <c r="L6507" s="11">
        <v>4.95</v>
      </c>
      <c r="M6507" s="9" t="s">
        <v>1815</v>
      </c>
      <c r="N6507" s="6" t="s">
        <v>2012</v>
      </c>
      <c r="O6507" s="6" t="s">
        <v>2012</v>
      </c>
      <c r="P6507" s="9" t="s">
        <v>41</v>
      </c>
      <c r="Q6507" s="9" t="s">
        <v>26</v>
      </c>
      <c r="R6507" s="9" t="s">
        <v>37</v>
      </c>
      <c r="S6507" s="7" t="s">
        <v>691</v>
      </c>
      <c r="T6507" s="9" t="s">
        <v>39</v>
      </c>
      <c r="U6507" s="7">
        <v>0.37</v>
      </c>
      <c r="V6507" s="12">
        <f>C6507+2</f>
        <v>39957</v>
      </c>
      <c r="W6507">
        <f>IF(D6507=' Pivot Tables'!$A$4,1,0)</f>
        <v>0</v>
      </c>
      <c r="X6507">
        <f>IF(AND(LEFT(D6507,4)+1=LEFT(' Pivot Tables'!$A$4,4)+0,RIGHT(LEFT(D6507,7),2)=RIGHT(LEFT(' Pivot Tables'!$A$4,7),2)),1,0)</f>
        <v>0</v>
      </c>
      <c r="Y6507" s="6">
        <f>1/COUNTIF(Таблица1[Order ID],Таблица1[[#This Row],[Order ID]])</f>
        <v>1</v>
      </c>
      <c r="Z6507" s="9">
        <f>1/COUNTIFS(Таблица1[Customer Name],Таблица1[[#This Row],[Customer Name]],Таблица1[Order-Year-Month],Таблица1[[#This Row],[Order-Year-Month]])</f>
        <v>1</v>
      </c>
    </row>
    <row r="6508" spans="1:26" x14ac:dyDescent="0.2">
      <c r="A6508" s="6">
        <v>3631</v>
      </c>
      <c r="B6508" s="7">
        <v>25952</v>
      </c>
      <c r="C6508" s="8">
        <f>DATE(2012,12,31)-849</f>
        <v>40425</v>
      </c>
      <c r="D6508" s="8" t="str">
        <f t="shared" si="119"/>
        <v>2010-09 (сентябрь 2010)</v>
      </c>
      <c r="E6508" s="9" t="s">
        <v>30</v>
      </c>
      <c r="F6508" s="7">
        <v>50</v>
      </c>
      <c r="G6508" s="7">
        <v>2864.1005</v>
      </c>
      <c r="H6508" s="7">
        <v>0.03</v>
      </c>
      <c r="I6508" s="9" t="s">
        <v>22</v>
      </c>
      <c r="J6508" s="10">
        <v>697.82400000000007</v>
      </c>
      <c r="K6508" s="11">
        <v>65.989999999999995</v>
      </c>
      <c r="L6508" s="11">
        <v>8.99</v>
      </c>
      <c r="M6508" s="9" t="s">
        <v>1841</v>
      </c>
      <c r="N6508" s="6" t="s">
        <v>2012</v>
      </c>
      <c r="O6508" s="6" t="s">
        <v>2012</v>
      </c>
      <c r="P6508" s="9" t="s">
        <v>60</v>
      </c>
      <c r="Q6508" s="9" t="s">
        <v>42</v>
      </c>
      <c r="R6508" s="9" t="s">
        <v>43</v>
      </c>
      <c r="S6508" s="7" t="s">
        <v>1843</v>
      </c>
      <c r="T6508" s="9" t="s">
        <v>39</v>
      </c>
      <c r="U6508" s="7">
        <v>0.55000000000000004</v>
      </c>
      <c r="V6508" s="12">
        <f>C6508+1</f>
        <v>40426</v>
      </c>
      <c r="W6508">
        <f>IF(D6508=' Pivot Tables'!$A$4,1,0)</f>
        <v>0</v>
      </c>
      <c r="X6508">
        <f>IF(AND(LEFT(D6508,4)+1=LEFT(' Pivot Tables'!$A$4,4)+0,RIGHT(LEFT(D6508,7),2)=RIGHT(LEFT(' Pivot Tables'!$A$4,7),2)),1,0)</f>
        <v>0</v>
      </c>
      <c r="Y6508" s="6">
        <f>1/COUNTIF(Таблица1[Order ID],Таблица1[[#This Row],[Order ID]])</f>
        <v>1</v>
      </c>
      <c r="Z6508" s="9">
        <f>1/COUNTIFS(Таблица1[Customer Name],Таблица1[[#This Row],[Customer Name]],Таблица1[Order-Year-Month],Таблица1[[#This Row],[Order-Year-Month]])</f>
        <v>0.33333333333333331</v>
      </c>
    </row>
    <row r="6509" spans="1:26" x14ac:dyDescent="0.2">
      <c r="A6509" s="6">
        <v>3680</v>
      </c>
      <c r="B6509" s="7">
        <v>26336</v>
      </c>
      <c r="C6509" s="8">
        <f>DATE(2012,12,31)-219</f>
        <v>41055</v>
      </c>
      <c r="D6509" s="8" t="str">
        <f t="shared" si="119"/>
        <v>2012-05 (май 2012)</v>
      </c>
      <c r="E6509" s="9" t="s">
        <v>30</v>
      </c>
      <c r="F6509" s="7">
        <v>39</v>
      </c>
      <c r="G6509" s="7">
        <v>1516.82</v>
      </c>
      <c r="H6509" s="7">
        <v>0.1</v>
      </c>
      <c r="I6509" s="9" t="s">
        <v>22</v>
      </c>
      <c r="J6509" s="10">
        <v>-83.28</v>
      </c>
      <c r="K6509" s="11">
        <v>40.98</v>
      </c>
      <c r="L6509" s="11">
        <v>6.5</v>
      </c>
      <c r="M6509" s="9" t="s">
        <v>2015</v>
      </c>
      <c r="N6509" s="6" t="s">
        <v>2012</v>
      </c>
      <c r="O6509" s="6" t="s">
        <v>2012</v>
      </c>
      <c r="P6509" s="9" t="s">
        <v>60</v>
      </c>
      <c r="Q6509" s="9" t="s">
        <v>42</v>
      </c>
      <c r="R6509" s="9" t="s">
        <v>70</v>
      </c>
      <c r="S6509" s="7" t="s">
        <v>1120</v>
      </c>
      <c r="T6509" s="9" t="s">
        <v>39</v>
      </c>
      <c r="U6509" s="7">
        <v>0.74</v>
      </c>
      <c r="V6509" s="12">
        <f>C6509+2</f>
        <v>41057</v>
      </c>
      <c r="W6509">
        <f>IF(D6509=' Pivot Tables'!$A$4,1,0)</f>
        <v>0</v>
      </c>
      <c r="X6509">
        <f>IF(AND(LEFT(D6509,4)+1=LEFT(' Pivot Tables'!$A$4,4)+0,RIGHT(LEFT(D6509,7),2)=RIGHT(LEFT(' Pivot Tables'!$A$4,7),2)),1,0)</f>
        <v>0</v>
      </c>
      <c r="Y6509" s="6">
        <f>1/COUNTIF(Таблица1[Order ID],Таблица1[[#This Row],[Order ID]])</f>
        <v>0.5</v>
      </c>
      <c r="Z6509" s="9">
        <f>1/COUNTIFS(Таблица1[Customer Name],Таблица1[[#This Row],[Customer Name]],Таблица1[Order-Year-Month],Таблица1[[#This Row],[Order-Year-Month]])</f>
        <v>0.5</v>
      </c>
    </row>
    <row r="6510" spans="1:26" x14ac:dyDescent="0.2">
      <c r="A6510" s="6">
        <v>3681</v>
      </c>
      <c r="B6510" s="7">
        <v>26336</v>
      </c>
      <c r="C6510" s="8">
        <f>DATE(2012,12,31)-219</f>
        <v>41055</v>
      </c>
      <c r="D6510" s="8" t="str">
        <f t="shared" si="119"/>
        <v>2012-05 (май 2012)</v>
      </c>
      <c r="E6510" s="9" t="s">
        <v>30</v>
      </c>
      <c r="F6510" s="7">
        <v>45</v>
      </c>
      <c r="G6510" s="7">
        <v>2752.68</v>
      </c>
      <c r="H6510" s="7">
        <v>0.04</v>
      </c>
      <c r="I6510" s="9" t="s">
        <v>22</v>
      </c>
      <c r="J6510" s="10">
        <v>430.32</v>
      </c>
      <c r="K6510" s="11">
        <v>62.18</v>
      </c>
      <c r="L6510" s="11">
        <v>12.78</v>
      </c>
      <c r="M6510" s="9" t="s">
        <v>2015</v>
      </c>
      <c r="N6510" s="6" t="s">
        <v>2012</v>
      </c>
      <c r="O6510" s="6" t="s">
        <v>2012</v>
      </c>
      <c r="P6510" s="9" t="s">
        <v>60</v>
      </c>
      <c r="Q6510" s="9" t="s">
        <v>26</v>
      </c>
      <c r="R6510" s="9" t="s">
        <v>27</v>
      </c>
      <c r="S6510" s="7" t="s">
        <v>2021</v>
      </c>
      <c r="T6510" s="9" t="s">
        <v>39</v>
      </c>
      <c r="U6510" s="7">
        <v>0.57999999999999996</v>
      </c>
      <c r="V6510" s="12">
        <f>C6510+1</f>
        <v>41056</v>
      </c>
      <c r="W6510">
        <f>IF(D6510=' Pivot Tables'!$A$4,1,0)</f>
        <v>0</v>
      </c>
      <c r="X6510">
        <f>IF(AND(LEFT(D6510,4)+1=LEFT(' Pivot Tables'!$A$4,4)+0,RIGHT(LEFT(D6510,7),2)=RIGHT(LEFT(' Pivot Tables'!$A$4,7),2)),1,0)</f>
        <v>0</v>
      </c>
      <c r="Y6510" s="6">
        <f>1/COUNTIF(Таблица1[Order ID],Таблица1[[#This Row],[Order ID]])</f>
        <v>0.5</v>
      </c>
      <c r="Z6510" s="9">
        <f>1/COUNTIFS(Таблица1[Customer Name],Таблица1[[#This Row],[Customer Name]],Таблица1[Order-Year-Month],Таблица1[[#This Row],[Order-Year-Month]])</f>
        <v>0.5</v>
      </c>
    </row>
    <row r="6511" spans="1:26" x14ac:dyDescent="0.2">
      <c r="A6511" s="6">
        <v>3865</v>
      </c>
      <c r="B6511" s="7">
        <v>27558</v>
      </c>
      <c r="C6511" s="8">
        <f>DATE(2012,12,31)-543</f>
        <v>40731</v>
      </c>
      <c r="D6511" s="8" t="str">
        <f t="shared" si="119"/>
        <v>2011-07 (июль 2011)</v>
      </c>
      <c r="E6511" s="9" t="s">
        <v>45</v>
      </c>
      <c r="F6511" s="7">
        <v>21</v>
      </c>
      <c r="G6511" s="7">
        <v>423.24</v>
      </c>
      <c r="H6511" s="7">
        <v>0.1</v>
      </c>
      <c r="I6511" s="9" t="s">
        <v>22</v>
      </c>
      <c r="J6511" s="10">
        <v>128.83449999999999</v>
      </c>
      <c r="K6511" s="11">
        <v>21.38</v>
      </c>
      <c r="L6511" s="11">
        <v>2.99</v>
      </c>
      <c r="M6511" s="9" t="s">
        <v>2014</v>
      </c>
      <c r="N6511" s="6" t="s">
        <v>2012</v>
      </c>
      <c r="O6511" s="6" t="s">
        <v>2012</v>
      </c>
      <c r="P6511" s="9" t="s">
        <v>33</v>
      </c>
      <c r="Q6511" s="9" t="s">
        <v>26</v>
      </c>
      <c r="R6511" s="9" t="s">
        <v>37</v>
      </c>
      <c r="S6511" s="7" t="s">
        <v>1541</v>
      </c>
      <c r="T6511" s="9" t="s">
        <v>39</v>
      </c>
      <c r="U6511" s="7">
        <v>0.37</v>
      </c>
      <c r="V6511" s="12">
        <f>C6511+1</f>
        <v>40732</v>
      </c>
      <c r="W6511">
        <f>IF(D6511=' Pivot Tables'!$A$4,1,0)</f>
        <v>0</v>
      </c>
      <c r="X6511">
        <f>IF(AND(LEFT(D6511,4)+1=LEFT(' Pivot Tables'!$A$4,4)+0,RIGHT(LEFT(D6511,7),2)=RIGHT(LEFT(' Pivot Tables'!$A$4,7),2)),1,0)</f>
        <v>0</v>
      </c>
      <c r="Y6511" s="6">
        <f>1/COUNTIF(Таблица1[Order ID],Таблица1[[#This Row],[Order ID]])</f>
        <v>1</v>
      </c>
      <c r="Z6511" s="9">
        <f>1/COUNTIFS(Таблица1[Customer Name],Таблица1[[#This Row],[Customer Name]],Таблица1[Order-Year-Month],Таблица1[[#This Row],[Order-Year-Month]])</f>
        <v>1</v>
      </c>
    </row>
    <row r="6512" spans="1:26" x14ac:dyDescent="0.2">
      <c r="A6512" s="6">
        <v>3920</v>
      </c>
      <c r="B6512" s="7">
        <v>27969</v>
      </c>
      <c r="C6512" s="8">
        <f>DATE(2012,12,31)-937</f>
        <v>40337</v>
      </c>
      <c r="D6512" s="8" t="str">
        <f t="shared" si="119"/>
        <v>2010-06 (июнь 2010)</v>
      </c>
      <c r="E6512" s="9" t="s">
        <v>21</v>
      </c>
      <c r="F6512" s="7">
        <v>43</v>
      </c>
      <c r="G6512" s="7">
        <v>5677.87</v>
      </c>
      <c r="H6512" s="7">
        <v>0.04</v>
      </c>
      <c r="I6512" s="9" t="s">
        <v>31</v>
      </c>
      <c r="J6512" s="10">
        <v>-824.09</v>
      </c>
      <c r="K6512" s="11">
        <v>130.97999999999999</v>
      </c>
      <c r="L6512" s="11">
        <v>54.74</v>
      </c>
      <c r="M6512" s="9" t="s">
        <v>1841</v>
      </c>
      <c r="N6512" s="6" t="s">
        <v>2012</v>
      </c>
      <c r="O6512" s="6" t="s">
        <v>2012</v>
      </c>
      <c r="P6512" s="9" t="s">
        <v>60</v>
      </c>
      <c r="Q6512" s="9" t="s">
        <v>49</v>
      </c>
      <c r="R6512" s="9" t="s">
        <v>80</v>
      </c>
      <c r="S6512" s="7" t="s">
        <v>807</v>
      </c>
      <c r="T6512" s="9" t="s">
        <v>82</v>
      </c>
      <c r="U6512" s="7">
        <v>0.69</v>
      </c>
      <c r="V6512" s="12">
        <f>C6512+7</f>
        <v>40344</v>
      </c>
      <c r="W6512">
        <f>IF(D6512=' Pivot Tables'!$A$4,1,0)</f>
        <v>0</v>
      </c>
      <c r="X6512">
        <f>IF(AND(LEFT(D6512,4)+1=LEFT(' Pivot Tables'!$A$4,4)+0,RIGHT(LEFT(D6512,7),2)=RIGHT(LEFT(' Pivot Tables'!$A$4,7),2)),1,0)</f>
        <v>0</v>
      </c>
      <c r="Y6512" s="6">
        <f>1/COUNTIF(Таблица1[Order ID],Таблица1[[#This Row],[Order ID]])</f>
        <v>0.33333333333333331</v>
      </c>
      <c r="Z6512" s="9">
        <f>1/COUNTIFS(Таблица1[Customer Name],Таблица1[[#This Row],[Customer Name]],Таблица1[Order-Year-Month],Таблица1[[#This Row],[Order-Year-Month]])</f>
        <v>0.33333333333333331</v>
      </c>
    </row>
    <row r="6513" spans="1:26" x14ac:dyDescent="0.2">
      <c r="A6513" s="6">
        <v>3921</v>
      </c>
      <c r="B6513" s="7">
        <v>27969</v>
      </c>
      <c r="C6513" s="8">
        <f>DATE(2012,12,31)-937</f>
        <v>40337</v>
      </c>
      <c r="D6513" s="8" t="str">
        <f t="shared" si="119"/>
        <v>2010-06 (июнь 2010)</v>
      </c>
      <c r="E6513" s="9" t="s">
        <v>21</v>
      </c>
      <c r="F6513" s="7">
        <v>9</v>
      </c>
      <c r="G6513" s="7">
        <v>732.72</v>
      </c>
      <c r="H6513" s="7">
        <v>0.03</v>
      </c>
      <c r="I6513" s="9" t="s">
        <v>22</v>
      </c>
      <c r="J6513" s="10">
        <v>8.5999999999999943</v>
      </c>
      <c r="K6513" s="11">
        <v>83.1</v>
      </c>
      <c r="L6513" s="11">
        <v>6.13</v>
      </c>
      <c r="M6513" s="9" t="s">
        <v>1841</v>
      </c>
      <c r="N6513" s="6" t="s">
        <v>2012</v>
      </c>
      <c r="O6513" s="6" t="s">
        <v>2012</v>
      </c>
      <c r="P6513" s="9" t="s">
        <v>60</v>
      </c>
      <c r="Q6513" s="9" t="s">
        <v>42</v>
      </c>
      <c r="R6513" s="9" t="s">
        <v>70</v>
      </c>
      <c r="S6513" s="7" t="s">
        <v>573</v>
      </c>
      <c r="T6513" s="9" t="s">
        <v>39</v>
      </c>
      <c r="U6513" s="7">
        <v>0.45</v>
      </c>
      <c r="V6513" s="12">
        <f>C6513+4</f>
        <v>40341</v>
      </c>
      <c r="W6513">
        <f>IF(D6513=' Pivot Tables'!$A$4,1,0)</f>
        <v>0</v>
      </c>
      <c r="X6513">
        <f>IF(AND(LEFT(D6513,4)+1=LEFT(' Pivot Tables'!$A$4,4)+0,RIGHT(LEFT(D6513,7),2)=RIGHT(LEFT(' Pivot Tables'!$A$4,7),2)),1,0)</f>
        <v>0</v>
      </c>
      <c r="Y6513" s="6">
        <f>1/COUNTIF(Таблица1[Order ID],Таблица1[[#This Row],[Order ID]])</f>
        <v>0.33333333333333331</v>
      </c>
      <c r="Z6513" s="9">
        <f>1/COUNTIFS(Таблица1[Customer Name],Таблица1[[#This Row],[Customer Name]],Таблица1[Order-Year-Month],Таблица1[[#This Row],[Order-Year-Month]])</f>
        <v>0.33333333333333331</v>
      </c>
    </row>
    <row r="6514" spans="1:26" x14ac:dyDescent="0.2">
      <c r="A6514" s="6">
        <v>3922</v>
      </c>
      <c r="B6514" s="7">
        <v>27969</v>
      </c>
      <c r="C6514" s="8">
        <f>DATE(2012,12,31)-937</f>
        <v>40337</v>
      </c>
      <c r="D6514" s="8" t="str">
        <f t="shared" si="119"/>
        <v>2010-06 (июнь 2010)</v>
      </c>
      <c r="E6514" s="9" t="s">
        <v>21</v>
      </c>
      <c r="F6514" s="7">
        <v>32</v>
      </c>
      <c r="G6514" s="7">
        <v>687.47</v>
      </c>
      <c r="H6514" s="7">
        <v>0.1</v>
      </c>
      <c r="I6514" s="9" t="s">
        <v>31</v>
      </c>
      <c r="J6514" s="10">
        <v>-1533.15</v>
      </c>
      <c r="K6514" s="11">
        <v>20.98</v>
      </c>
      <c r="L6514" s="11">
        <v>53.03</v>
      </c>
      <c r="M6514" s="9" t="s">
        <v>1841</v>
      </c>
      <c r="N6514" s="6" t="s">
        <v>2012</v>
      </c>
      <c r="O6514" s="6" t="s">
        <v>2012</v>
      </c>
      <c r="P6514" s="9" t="s">
        <v>60</v>
      </c>
      <c r="Q6514" s="9" t="s">
        <v>26</v>
      </c>
      <c r="R6514" s="9" t="s">
        <v>27</v>
      </c>
      <c r="S6514" s="7" t="s">
        <v>218</v>
      </c>
      <c r="T6514" s="9" t="s">
        <v>36</v>
      </c>
      <c r="U6514" s="7">
        <v>0.78</v>
      </c>
      <c r="V6514" s="12">
        <f>C6514+5</f>
        <v>40342</v>
      </c>
      <c r="W6514">
        <f>IF(D6514=' Pivot Tables'!$A$4,1,0)</f>
        <v>0</v>
      </c>
      <c r="X6514">
        <f>IF(AND(LEFT(D6514,4)+1=LEFT(' Pivot Tables'!$A$4,4)+0,RIGHT(LEFT(D6514,7),2)=RIGHT(LEFT(' Pivot Tables'!$A$4,7),2)),1,0)</f>
        <v>0</v>
      </c>
      <c r="Y6514" s="6">
        <f>1/COUNTIF(Таблица1[Order ID],Таблица1[[#This Row],[Order ID]])</f>
        <v>0.33333333333333331</v>
      </c>
      <c r="Z6514" s="9">
        <f>1/COUNTIFS(Таблица1[Customer Name],Таблица1[[#This Row],[Customer Name]],Таблица1[Order-Year-Month],Таблица1[[#This Row],[Order-Year-Month]])</f>
        <v>0.33333333333333331</v>
      </c>
    </row>
    <row r="6515" spans="1:26" x14ac:dyDescent="0.2">
      <c r="A6515" s="6">
        <v>4176</v>
      </c>
      <c r="B6515" s="7">
        <v>29637</v>
      </c>
      <c r="C6515" s="8">
        <f>DATE(2012,12,31)-1316</f>
        <v>39958</v>
      </c>
      <c r="D6515" s="8" t="str">
        <f t="shared" si="119"/>
        <v>2009-05 (май 2009)</v>
      </c>
      <c r="E6515" s="9" t="s">
        <v>30</v>
      </c>
      <c r="F6515" s="7">
        <v>34</v>
      </c>
      <c r="G6515" s="7">
        <v>598.19000000000005</v>
      </c>
      <c r="H6515" s="7">
        <v>0.09</v>
      </c>
      <c r="I6515" s="9" t="s">
        <v>22</v>
      </c>
      <c r="J6515" s="10">
        <v>-6.6120000000000108</v>
      </c>
      <c r="K6515" s="11">
        <v>17.98</v>
      </c>
      <c r="L6515" s="11">
        <v>8.51</v>
      </c>
      <c r="M6515" s="9" t="s">
        <v>1787</v>
      </c>
      <c r="N6515" s="6" t="s">
        <v>2012</v>
      </c>
      <c r="O6515" s="6" t="s">
        <v>2012</v>
      </c>
      <c r="P6515" s="9" t="s">
        <v>60</v>
      </c>
      <c r="Q6515" s="9" t="s">
        <v>42</v>
      </c>
      <c r="R6515" s="9" t="s">
        <v>210</v>
      </c>
      <c r="S6515" s="7" t="s">
        <v>277</v>
      </c>
      <c r="T6515" s="9" t="s">
        <v>48</v>
      </c>
      <c r="U6515" s="7">
        <v>0.4</v>
      </c>
      <c r="V6515" s="12">
        <f>C6515+2</f>
        <v>39960</v>
      </c>
      <c r="W6515">
        <f>IF(D6515=' Pivot Tables'!$A$4,1,0)</f>
        <v>0</v>
      </c>
      <c r="X6515">
        <f>IF(AND(LEFT(D6515,4)+1=LEFT(' Pivot Tables'!$A$4,4)+0,RIGHT(LEFT(D6515,7),2)=RIGHT(LEFT(' Pivot Tables'!$A$4,7),2)),1,0)</f>
        <v>0</v>
      </c>
      <c r="Y6515" s="6">
        <f>1/COUNTIF(Таблица1[Order ID],Таблица1[[#This Row],[Order ID]])</f>
        <v>1</v>
      </c>
      <c r="Z6515" s="9">
        <f>1/COUNTIFS(Таблица1[Customer Name],Таблица1[[#This Row],[Customer Name]],Таблица1[Order-Year-Month],Таблица1[[#This Row],[Order-Year-Month]])</f>
        <v>1</v>
      </c>
    </row>
    <row r="6516" spans="1:26" x14ac:dyDescent="0.2">
      <c r="A6516" s="6">
        <v>4279</v>
      </c>
      <c r="B6516" s="7">
        <v>30469</v>
      </c>
      <c r="C6516" s="8">
        <f>DATE(2012,12,31)-6</f>
        <v>41268</v>
      </c>
      <c r="D6516" s="8" t="str">
        <f t="shared" si="119"/>
        <v>2012-12 (декабрь 2012)</v>
      </c>
      <c r="E6516" s="9" t="s">
        <v>45</v>
      </c>
      <c r="F6516" s="7">
        <v>46</v>
      </c>
      <c r="G6516" s="7">
        <v>304.26</v>
      </c>
      <c r="H6516" s="7">
        <v>0.1</v>
      </c>
      <c r="I6516" s="9" t="s">
        <v>22</v>
      </c>
      <c r="J6516" s="10">
        <v>28.93</v>
      </c>
      <c r="K6516" s="11">
        <v>7.08</v>
      </c>
      <c r="L6516" s="11">
        <v>2.35</v>
      </c>
      <c r="M6516" s="9" t="s">
        <v>2014</v>
      </c>
      <c r="N6516" s="6" t="s">
        <v>2012</v>
      </c>
      <c r="O6516" s="6" t="s">
        <v>2012</v>
      </c>
      <c r="P6516" s="9" t="s">
        <v>41</v>
      </c>
      <c r="Q6516" s="9" t="s">
        <v>26</v>
      </c>
      <c r="R6516" s="9" t="s">
        <v>95</v>
      </c>
      <c r="S6516" s="7" t="s">
        <v>286</v>
      </c>
      <c r="T6516" s="9" t="s">
        <v>68</v>
      </c>
      <c r="U6516" s="7">
        <v>0.47</v>
      </c>
      <c r="V6516" s="12">
        <f>C6516+2</f>
        <v>41270</v>
      </c>
      <c r="W6516">
        <f>IF(D6516=' Pivot Tables'!$A$4,1,0)</f>
        <v>0</v>
      </c>
      <c r="X6516">
        <f>IF(AND(LEFT(D6516,4)+1=LEFT(' Pivot Tables'!$A$4,4)+0,RIGHT(LEFT(D6516,7),2)=RIGHT(LEFT(' Pivot Tables'!$A$4,7),2)),1,0)</f>
        <v>0</v>
      </c>
      <c r="Y6516" s="6">
        <f>1/COUNTIF(Таблица1[Order ID],Таблица1[[#This Row],[Order ID]])</f>
        <v>1</v>
      </c>
      <c r="Z6516" s="9">
        <f>1/COUNTIFS(Таблица1[Customer Name],Таблица1[[#This Row],[Customer Name]],Таблица1[Order-Year-Month],Таблица1[[#This Row],[Order-Year-Month]])</f>
        <v>1</v>
      </c>
    </row>
    <row r="6517" spans="1:26" x14ac:dyDescent="0.2">
      <c r="A6517" s="6">
        <v>4409</v>
      </c>
      <c r="B6517" s="7">
        <v>31460</v>
      </c>
      <c r="C6517" s="8">
        <f>DATE(2012,12,31)-127</f>
        <v>41147</v>
      </c>
      <c r="D6517" s="8" t="str">
        <f t="shared" si="119"/>
        <v>2012-08 (август 2012)</v>
      </c>
      <c r="E6517" s="9" t="s">
        <v>30</v>
      </c>
      <c r="F6517" s="7">
        <v>9</v>
      </c>
      <c r="G6517" s="7">
        <v>990.67</v>
      </c>
      <c r="H6517" s="7">
        <v>0.08</v>
      </c>
      <c r="I6517" s="9" t="s">
        <v>22</v>
      </c>
      <c r="J6517" s="10">
        <v>-365.32</v>
      </c>
      <c r="K6517" s="11">
        <v>110.98</v>
      </c>
      <c r="L6517" s="11">
        <v>35</v>
      </c>
      <c r="M6517" s="9" t="s">
        <v>1796</v>
      </c>
      <c r="N6517" s="6" t="s">
        <v>2012</v>
      </c>
      <c r="O6517" s="6" t="s">
        <v>2012</v>
      </c>
      <c r="P6517" s="9" t="s">
        <v>41</v>
      </c>
      <c r="Q6517" s="9" t="s">
        <v>26</v>
      </c>
      <c r="R6517" s="9" t="s">
        <v>27</v>
      </c>
      <c r="S6517" s="7" t="s">
        <v>1026</v>
      </c>
      <c r="T6517" s="9" t="s">
        <v>29</v>
      </c>
      <c r="U6517" s="7">
        <v>0.82</v>
      </c>
      <c r="V6517" s="12">
        <f>C6517+2</f>
        <v>41149</v>
      </c>
      <c r="W6517">
        <f>IF(D6517=' Pivot Tables'!$A$4,1,0)</f>
        <v>0</v>
      </c>
      <c r="X6517">
        <f>IF(AND(LEFT(D6517,4)+1=LEFT(' Pivot Tables'!$A$4,4)+0,RIGHT(LEFT(D6517,7),2)=RIGHT(LEFT(' Pivot Tables'!$A$4,7),2)),1,0)</f>
        <v>0</v>
      </c>
      <c r="Y6517" s="6">
        <f>1/COUNTIF(Таблица1[Order ID],Таблица1[[#This Row],[Order ID]])</f>
        <v>1</v>
      </c>
      <c r="Z6517" s="9">
        <f>1/COUNTIFS(Таблица1[Customer Name],Таблица1[[#This Row],[Customer Name]],Таблица1[Order-Year-Month],Таблица1[[#This Row],[Order-Year-Month]])</f>
        <v>1</v>
      </c>
    </row>
    <row r="6518" spans="1:26" x14ac:dyDescent="0.2">
      <c r="A6518" s="6">
        <v>4487</v>
      </c>
      <c r="B6518" s="7">
        <v>31939</v>
      </c>
      <c r="C6518" s="8">
        <f>DATE(2012,12,31)-555</f>
        <v>40719</v>
      </c>
      <c r="D6518" s="8" t="str">
        <f t="shared" si="119"/>
        <v>2011-06 (июнь 2011)</v>
      </c>
      <c r="E6518" s="9" t="s">
        <v>30</v>
      </c>
      <c r="F6518" s="7">
        <v>13</v>
      </c>
      <c r="G6518" s="7">
        <v>1506.8374999999999</v>
      </c>
      <c r="H6518" s="7">
        <v>7.0000000000000007E-2</v>
      </c>
      <c r="I6518" s="9" t="s">
        <v>22</v>
      </c>
      <c r="J6518" s="10">
        <v>-75.009</v>
      </c>
      <c r="K6518" s="11">
        <v>140.99</v>
      </c>
      <c r="L6518" s="11">
        <v>4.2</v>
      </c>
      <c r="M6518" s="9" t="s">
        <v>1917</v>
      </c>
      <c r="N6518" s="6" t="s">
        <v>2012</v>
      </c>
      <c r="O6518" s="6" t="s">
        <v>2012</v>
      </c>
      <c r="P6518" s="9" t="s">
        <v>25</v>
      </c>
      <c r="Q6518" s="9" t="s">
        <v>42</v>
      </c>
      <c r="R6518" s="9" t="s">
        <v>43</v>
      </c>
      <c r="S6518" s="7" t="s">
        <v>796</v>
      </c>
      <c r="T6518" s="9" t="s">
        <v>39</v>
      </c>
      <c r="U6518" s="7">
        <v>0.59</v>
      </c>
      <c r="V6518" s="12">
        <f>C6518+2</f>
        <v>40721</v>
      </c>
      <c r="W6518">
        <f>IF(D6518=' Pivot Tables'!$A$4,1,0)</f>
        <v>0</v>
      </c>
      <c r="X6518">
        <f>IF(AND(LEFT(D6518,4)+1=LEFT(' Pivot Tables'!$A$4,4)+0,RIGHT(LEFT(D6518,7),2)=RIGHT(LEFT(' Pivot Tables'!$A$4,7),2)),1,0)</f>
        <v>0</v>
      </c>
      <c r="Y6518" s="6">
        <f>1/COUNTIF(Таблица1[Order ID],Таблица1[[#This Row],[Order ID]])</f>
        <v>1</v>
      </c>
      <c r="Z6518" s="9">
        <f>1/COUNTIFS(Таблица1[Customer Name],Таблица1[[#This Row],[Customer Name]],Таблица1[Order-Year-Month],Таблица1[[#This Row],[Order-Year-Month]])</f>
        <v>1</v>
      </c>
    </row>
    <row r="6519" spans="1:26" x14ac:dyDescent="0.2">
      <c r="A6519" s="6">
        <v>4760</v>
      </c>
      <c r="B6519" s="7">
        <v>33826</v>
      </c>
      <c r="C6519" s="8">
        <f>DATE(2012,12,31)-743</f>
        <v>40531</v>
      </c>
      <c r="D6519" s="8" t="str">
        <f t="shared" si="119"/>
        <v>2010-12 (декабрь 2010)</v>
      </c>
      <c r="E6519" s="9" t="s">
        <v>21</v>
      </c>
      <c r="F6519" s="7">
        <v>13</v>
      </c>
      <c r="G6519" s="7">
        <v>185.83</v>
      </c>
      <c r="H6519" s="7">
        <v>0.03</v>
      </c>
      <c r="I6519" s="9" t="s">
        <v>22</v>
      </c>
      <c r="J6519" s="10">
        <v>58.16</v>
      </c>
      <c r="K6519" s="11">
        <v>14.34</v>
      </c>
      <c r="L6519" s="11">
        <v>5</v>
      </c>
      <c r="M6519" s="9" t="s">
        <v>1917</v>
      </c>
      <c r="N6519" s="6" t="s">
        <v>2012</v>
      </c>
      <c r="O6519" s="6" t="s">
        <v>2012</v>
      </c>
      <c r="P6519" s="9" t="s">
        <v>25</v>
      </c>
      <c r="Q6519" s="9" t="s">
        <v>49</v>
      </c>
      <c r="R6519" s="9" t="s">
        <v>50</v>
      </c>
      <c r="S6519" s="7" t="s">
        <v>706</v>
      </c>
      <c r="T6519" s="9" t="s">
        <v>52</v>
      </c>
      <c r="U6519" s="7">
        <v>0.49</v>
      </c>
      <c r="V6519" s="12">
        <f>C6519+4</f>
        <v>40535</v>
      </c>
      <c r="W6519">
        <f>IF(D6519=' Pivot Tables'!$A$4,1,0)</f>
        <v>0</v>
      </c>
      <c r="X6519">
        <f>IF(AND(LEFT(D6519,4)+1=LEFT(' Pivot Tables'!$A$4,4)+0,RIGHT(LEFT(D6519,7),2)=RIGHT(LEFT(' Pivot Tables'!$A$4,7),2)),1,0)</f>
        <v>0</v>
      </c>
      <c r="Y6519" s="6">
        <f>1/COUNTIF(Таблица1[Order ID],Таблица1[[#This Row],[Order ID]])</f>
        <v>1</v>
      </c>
      <c r="Z6519" s="9">
        <f>1/COUNTIFS(Таблица1[Customer Name],Таблица1[[#This Row],[Customer Name]],Таблица1[Order-Year-Month],Таблица1[[#This Row],[Order-Year-Month]])</f>
        <v>1</v>
      </c>
    </row>
    <row r="6520" spans="1:26" x14ac:dyDescent="0.2">
      <c r="A6520" s="6">
        <v>4802</v>
      </c>
      <c r="B6520" s="7">
        <v>34151</v>
      </c>
      <c r="C6520" s="8">
        <f>DATE(2012,12,31)-479</f>
        <v>40795</v>
      </c>
      <c r="D6520" s="8" t="str">
        <f t="shared" si="119"/>
        <v>2011-09 (сентябрь 2011)</v>
      </c>
      <c r="E6520" s="9" t="s">
        <v>45</v>
      </c>
      <c r="F6520" s="7">
        <v>26</v>
      </c>
      <c r="G6520" s="7">
        <v>4097.1445000000003</v>
      </c>
      <c r="H6520" s="7">
        <v>0.1</v>
      </c>
      <c r="I6520" s="9" t="s">
        <v>22</v>
      </c>
      <c r="J6520" s="10">
        <v>501.54300000000001</v>
      </c>
      <c r="K6520" s="11">
        <v>205.99</v>
      </c>
      <c r="L6520" s="11">
        <v>8.99</v>
      </c>
      <c r="M6520" s="9" t="s">
        <v>1465</v>
      </c>
      <c r="N6520" s="6" t="s">
        <v>2012</v>
      </c>
      <c r="O6520" s="6" t="s">
        <v>2012</v>
      </c>
      <c r="P6520" s="9" t="s">
        <v>41</v>
      </c>
      <c r="Q6520" s="9" t="s">
        <v>42</v>
      </c>
      <c r="R6520" s="9" t="s">
        <v>43</v>
      </c>
      <c r="S6520" s="7" t="s">
        <v>1444</v>
      </c>
      <c r="T6520" s="9" t="s">
        <v>39</v>
      </c>
      <c r="U6520" s="7">
        <v>0.56000000000000005</v>
      </c>
      <c r="V6520" s="12">
        <f>C6520+1</f>
        <v>40796</v>
      </c>
      <c r="W6520">
        <f>IF(D6520=' Pivot Tables'!$A$4,1,0)</f>
        <v>0</v>
      </c>
      <c r="X6520">
        <f>IF(AND(LEFT(D6520,4)+1=LEFT(' Pivot Tables'!$A$4,4)+0,RIGHT(LEFT(D6520,7),2)=RIGHT(LEFT(' Pivot Tables'!$A$4,7),2)),1,0)</f>
        <v>0</v>
      </c>
      <c r="Y6520" s="6">
        <f>1/COUNTIF(Таблица1[Order ID],Таблица1[[#This Row],[Order ID]])</f>
        <v>1</v>
      </c>
      <c r="Z6520" s="9">
        <f>1/COUNTIFS(Таблица1[Customer Name],Таблица1[[#This Row],[Customer Name]],Таблица1[Order-Year-Month],Таблица1[[#This Row],[Order-Year-Month]])</f>
        <v>0.5</v>
      </c>
    </row>
    <row r="6521" spans="1:26" x14ac:dyDescent="0.2">
      <c r="A6521" s="6">
        <v>4868</v>
      </c>
      <c r="B6521" s="7">
        <v>34659</v>
      </c>
      <c r="C6521" s="8">
        <f>DATE(2012,12,31)-42</f>
        <v>41232</v>
      </c>
      <c r="D6521" s="8" t="str">
        <f t="shared" si="119"/>
        <v>2012-11 (ноябрь 2012)</v>
      </c>
      <c r="E6521" s="9" t="s">
        <v>30</v>
      </c>
      <c r="F6521" s="7">
        <v>42</v>
      </c>
      <c r="G6521" s="7">
        <v>259.43</v>
      </c>
      <c r="H6521" s="7">
        <v>0</v>
      </c>
      <c r="I6521" s="9" t="s">
        <v>22</v>
      </c>
      <c r="J6521" s="10">
        <v>-52.520499999999998</v>
      </c>
      <c r="K6521" s="11">
        <v>5.77</v>
      </c>
      <c r="L6521" s="11">
        <v>4.97</v>
      </c>
      <c r="M6521" s="9" t="s">
        <v>2014</v>
      </c>
      <c r="N6521" s="6" t="s">
        <v>2012</v>
      </c>
      <c r="O6521" s="6" t="s">
        <v>2012</v>
      </c>
      <c r="P6521" s="9" t="s">
        <v>33</v>
      </c>
      <c r="Q6521" s="9" t="s">
        <v>26</v>
      </c>
      <c r="R6521" s="9" t="s">
        <v>37</v>
      </c>
      <c r="S6521" s="7" t="s">
        <v>1151</v>
      </c>
      <c r="T6521" s="9" t="s">
        <v>39</v>
      </c>
      <c r="U6521" s="7">
        <v>0.35</v>
      </c>
      <c r="V6521" s="12">
        <f>C6521+2</f>
        <v>41234</v>
      </c>
      <c r="W6521">
        <f>IF(D6521=' Pivot Tables'!$A$4,1,0)</f>
        <v>0</v>
      </c>
      <c r="X6521">
        <f>IF(AND(LEFT(D6521,4)+1=LEFT(' Pivot Tables'!$A$4,4)+0,RIGHT(LEFT(D6521,7),2)=RIGHT(LEFT(' Pivot Tables'!$A$4,7),2)),1,0)</f>
        <v>0</v>
      </c>
      <c r="Y6521" s="6">
        <f>1/COUNTIF(Таблица1[Order ID],Таблица1[[#This Row],[Order ID]])</f>
        <v>1</v>
      </c>
      <c r="Z6521" s="9">
        <f>1/COUNTIFS(Таблица1[Customer Name],Таблица1[[#This Row],[Customer Name]],Таблица1[Order-Year-Month],Таблица1[[#This Row],[Order-Year-Month]])</f>
        <v>0.5</v>
      </c>
    </row>
    <row r="6522" spans="1:26" x14ac:dyDescent="0.2">
      <c r="A6522" s="6">
        <v>4949</v>
      </c>
      <c r="B6522" s="7">
        <v>35200</v>
      </c>
      <c r="C6522" s="8">
        <f>DATE(2012,12,31)-1425</f>
        <v>39849</v>
      </c>
      <c r="D6522" s="8" t="str">
        <f t="shared" si="119"/>
        <v>2009-02 (февраль 2009)</v>
      </c>
      <c r="E6522" s="9" t="s">
        <v>63</v>
      </c>
      <c r="F6522" s="7">
        <v>15</v>
      </c>
      <c r="G6522" s="7">
        <v>150.24</v>
      </c>
      <c r="H6522" s="7">
        <v>0.08</v>
      </c>
      <c r="I6522" s="9" t="s">
        <v>22</v>
      </c>
      <c r="J6522" s="10">
        <v>-102.93</v>
      </c>
      <c r="K6522" s="11">
        <v>9.98</v>
      </c>
      <c r="L6522" s="11">
        <v>12.52</v>
      </c>
      <c r="M6522" s="9" t="s">
        <v>2020</v>
      </c>
      <c r="N6522" s="6" t="s">
        <v>2012</v>
      </c>
      <c r="O6522" s="6" t="s">
        <v>2012</v>
      </c>
      <c r="P6522" s="9" t="s">
        <v>41</v>
      </c>
      <c r="Q6522" s="9" t="s">
        <v>49</v>
      </c>
      <c r="R6522" s="9" t="s">
        <v>50</v>
      </c>
      <c r="S6522" s="7" t="s">
        <v>1346</v>
      </c>
      <c r="T6522" s="9" t="s">
        <v>39</v>
      </c>
      <c r="U6522" s="7">
        <v>0.56999999999999995</v>
      </c>
      <c r="V6522" s="12">
        <f>C6522+2</f>
        <v>39851</v>
      </c>
      <c r="W6522">
        <f>IF(D6522=' Pivot Tables'!$A$4,1,0)</f>
        <v>0</v>
      </c>
      <c r="X6522">
        <f>IF(AND(LEFT(D6522,4)+1=LEFT(' Pivot Tables'!$A$4,4)+0,RIGHT(LEFT(D6522,7),2)=RIGHT(LEFT(' Pivot Tables'!$A$4,7),2)),1,0)</f>
        <v>0</v>
      </c>
      <c r="Y6522" s="6">
        <f>1/COUNTIF(Таблица1[Order ID],Таблица1[[#This Row],[Order ID]])</f>
        <v>1</v>
      </c>
      <c r="Z6522" s="9">
        <f>1/COUNTIFS(Таблица1[Customer Name],Таблица1[[#This Row],[Customer Name]],Таблица1[Order-Year-Month],Таблица1[[#This Row],[Order-Year-Month]])</f>
        <v>1</v>
      </c>
    </row>
    <row r="6523" spans="1:26" x14ac:dyDescent="0.2">
      <c r="A6523" s="6">
        <v>4983</v>
      </c>
      <c r="B6523" s="7">
        <v>35456</v>
      </c>
      <c r="C6523" s="8">
        <f>DATE(2012,12,31)-60</f>
        <v>41214</v>
      </c>
      <c r="D6523" s="8" t="str">
        <f t="shared" si="119"/>
        <v>2012-11 (ноябрь 2012)</v>
      </c>
      <c r="E6523" s="9" t="s">
        <v>78</v>
      </c>
      <c r="F6523" s="7">
        <v>37</v>
      </c>
      <c r="G6523" s="7">
        <v>46.37</v>
      </c>
      <c r="H6523" s="7">
        <v>0.03</v>
      </c>
      <c r="I6523" s="9" t="s">
        <v>22</v>
      </c>
      <c r="J6523" s="10">
        <v>-19.809999999999999</v>
      </c>
      <c r="K6523" s="11">
        <v>1.26</v>
      </c>
      <c r="L6523" s="11">
        <v>0.7</v>
      </c>
      <c r="M6523" s="9" t="s">
        <v>2014</v>
      </c>
      <c r="N6523" s="6" t="s">
        <v>2012</v>
      </c>
      <c r="O6523" s="6" t="s">
        <v>2012</v>
      </c>
      <c r="P6523" s="9" t="s">
        <v>41</v>
      </c>
      <c r="Q6523" s="9" t="s">
        <v>26</v>
      </c>
      <c r="R6523" s="9" t="s">
        <v>66</v>
      </c>
      <c r="S6523" s="7" t="s">
        <v>351</v>
      </c>
      <c r="T6523" s="9" t="s">
        <v>68</v>
      </c>
      <c r="U6523" s="7">
        <v>0.81</v>
      </c>
      <c r="V6523" s="12">
        <f>C6523+2</f>
        <v>41216</v>
      </c>
      <c r="W6523">
        <f>IF(D6523=' Pivot Tables'!$A$4,1,0)</f>
        <v>0</v>
      </c>
      <c r="X6523">
        <f>IF(AND(LEFT(D6523,4)+1=LEFT(' Pivot Tables'!$A$4,4)+0,RIGHT(LEFT(D6523,7),2)=RIGHT(LEFT(' Pivot Tables'!$A$4,7),2)),1,0)</f>
        <v>0</v>
      </c>
      <c r="Y6523" s="6">
        <f>1/COUNTIF(Таблица1[Order ID],Таблица1[[#This Row],[Order ID]])</f>
        <v>1</v>
      </c>
      <c r="Z6523" s="9">
        <f>1/COUNTIFS(Таблица1[Customer Name],Таблица1[[#This Row],[Customer Name]],Таблица1[Order-Year-Month],Таблица1[[#This Row],[Order-Year-Month]])</f>
        <v>0.5</v>
      </c>
    </row>
    <row r="6524" spans="1:26" x14ac:dyDescent="0.2">
      <c r="A6524" s="6">
        <v>5025</v>
      </c>
      <c r="B6524" s="7">
        <v>35840</v>
      </c>
      <c r="C6524" s="8">
        <f>DATE(2012,12,31)-947</f>
        <v>40327</v>
      </c>
      <c r="D6524" s="8" t="str">
        <f t="shared" si="119"/>
        <v>2010-05 (май 2010)</v>
      </c>
      <c r="E6524" s="9" t="s">
        <v>30</v>
      </c>
      <c r="F6524" s="7">
        <v>36</v>
      </c>
      <c r="G6524" s="7">
        <v>173.08</v>
      </c>
      <c r="H6524" s="7">
        <v>0.04</v>
      </c>
      <c r="I6524" s="9" t="s">
        <v>22</v>
      </c>
      <c r="J6524" s="10">
        <v>81.63</v>
      </c>
      <c r="K6524" s="11">
        <v>4.91</v>
      </c>
      <c r="L6524" s="11">
        <v>0.5</v>
      </c>
      <c r="M6524" s="9" t="s">
        <v>1917</v>
      </c>
      <c r="N6524" s="6" t="s">
        <v>2012</v>
      </c>
      <c r="O6524" s="6" t="s">
        <v>2012</v>
      </c>
      <c r="P6524" s="9" t="s">
        <v>60</v>
      </c>
      <c r="Q6524" s="9" t="s">
        <v>26</v>
      </c>
      <c r="R6524" s="9" t="s">
        <v>88</v>
      </c>
      <c r="S6524" s="7" t="s">
        <v>1370</v>
      </c>
      <c r="T6524" s="9" t="s">
        <v>39</v>
      </c>
      <c r="U6524" s="7">
        <v>0.36</v>
      </c>
      <c r="V6524" s="12">
        <f>C6524+1</f>
        <v>40328</v>
      </c>
      <c r="W6524">
        <f>IF(D6524=' Pivot Tables'!$A$4,1,0)</f>
        <v>0</v>
      </c>
      <c r="X6524">
        <f>IF(AND(LEFT(D6524,4)+1=LEFT(' Pivot Tables'!$A$4,4)+0,RIGHT(LEFT(D6524,7),2)=RIGHT(LEFT(' Pivot Tables'!$A$4,7),2)),1,0)</f>
        <v>0</v>
      </c>
      <c r="Y6524" s="6">
        <f>1/COUNTIF(Таблица1[Order ID],Таблица1[[#This Row],[Order ID]])</f>
        <v>0.5</v>
      </c>
      <c r="Z6524" s="9">
        <f>1/COUNTIFS(Таблица1[Customer Name],Таблица1[[#This Row],[Customer Name]],Таблица1[Order-Year-Month],Таблица1[[#This Row],[Order-Year-Month]])</f>
        <v>0.5</v>
      </c>
    </row>
    <row r="6525" spans="1:26" x14ac:dyDescent="0.2">
      <c r="A6525" s="6">
        <v>5026</v>
      </c>
      <c r="B6525" s="7">
        <v>35840</v>
      </c>
      <c r="C6525" s="8">
        <f>DATE(2012,12,31)-947</f>
        <v>40327</v>
      </c>
      <c r="D6525" s="8" t="str">
        <f t="shared" si="119"/>
        <v>2010-05 (май 2010)</v>
      </c>
      <c r="E6525" s="9" t="s">
        <v>30</v>
      </c>
      <c r="F6525" s="7">
        <v>49</v>
      </c>
      <c r="G6525" s="7">
        <v>3492.6585</v>
      </c>
      <c r="H6525" s="7">
        <v>0.08</v>
      </c>
      <c r="I6525" s="9" t="s">
        <v>22</v>
      </c>
      <c r="J6525" s="10">
        <v>1181.808</v>
      </c>
      <c r="K6525" s="11">
        <v>85.99</v>
      </c>
      <c r="L6525" s="11">
        <v>0.99</v>
      </c>
      <c r="M6525" s="9" t="s">
        <v>1917</v>
      </c>
      <c r="N6525" s="6" t="s">
        <v>2012</v>
      </c>
      <c r="O6525" s="6" t="s">
        <v>2012</v>
      </c>
      <c r="P6525" s="9" t="s">
        <v>60</v>
      </c>
      <c r="Q6525" s="9" t="s">
        <v>42</v>
      </c>
      <c r="R6525" s="9" t="s">
        <v>43</v>
      </c>
      <c r="S6525" s="7" t="s">
        <v>741</v>
      </c>
      <c r="T6525" s="9" t="s">
        <v>68</v>
      </c>
      <c r="U6525" s="7">
        <v>0.55000000000000004</v>
      </c>
      <c r="V6525" s="12">
        <f>C6525+2</f>
        <v>40329</v>
      </c>
      <c r="W6525">
        <f>IF(D6525=' Pivot Tables'!$A$4,1,0)</f>
        <v>0</v>
      </c>
      <c r="X6525">
        <f>IF(AND(LEFT(D6525,4)+1=LEFT(' Pivot Tables'!$A$4,4)+0,RIGHT(LEFT(D6525,7),2)=RIGHT(LEFT(' Pivot Tables'!$A$4,7),2)),1,0)</f>
        <v>0</v>
      </c>
      <c r="Y6525" s="6">
        <f>1/COUNTIF(Таблица1[Order ID],Таблица1[[#This Row],[Order ID]])</f>
        <v>0.5</v>
      </c>
      <c r="Z6525" s="9">
        <f>1/COUNTIFS(Таблица1[Customer Name],Таблица1[[#This Row],[Customer Name]],Таблица1[Order-Year-Month],Таблица1[[#This Row],[Order-Year-Month]])</f>
        <v>0.5</v>
      </c>
    </row>
    <row r="6526" spans="1:26" x14ac:dyDescent="0.2">
      <c r="A6526" s="6">
        <v>5059</v>
      </c>
      <c r="B6526" s="7">
        <v>36069</v>
      </c>
      <c r="C6526" s="8">
        <f>DATE(2012,12,31)-1122</f>
        <v>40152</v>
      </c>
      <c r="D6526" s="8" t="str">
        <f t="shared" si="119"/>
        <v>2009-12 (декабрь 2009)</v>
      </c>
      <c r="E6526" s="9" t="s">
        <v>21</v>
      </c>
      <c r="F6526" s="7">
        <v>13</v>
      </c>
      <c r="G6526" s="7">
        <v>453.09</v>
      </c>
      <c r="H6526" s="7">
        <v>0.09</v>
      </c>
      <c r="I6526" s="9" t="s">
        <v>22</v>
      </c>
      <c r="J6526" s="10">
        <v>107.74</v>
      </c>
      <c r="K6526" s="11">
        <v>35.94</v>
      </c>
      <c r="L6526" s="11">
        <v>6.66</v>
      </c>
      <c r="M6526" s="9" t="s">
        <v>1917</v>
      </c>
      <c r="N6526" s="6" t="s">
        <v>2012</v>
      </c>
      <c r="O6526" s="6" t="s">
        <v>2012</v>
      </c>
      <c r="P6526" s="9" t="s">
        <v>60</v>
      </c>
      <c r="Q6526" s="9" t="s">
        <v>26</v>
      </c>
      <c r="R6526" s="9" t="s">
        <v>76</v>
      </c>
      <c r="S6526" s="7" t="s">
        <v>1434</v>
      </c>
      <c r="T6526" s="9" t="s">
        <v>39</v>
      </c>
      <c r="U6526" s="7">
        <v>0.4</v>
      </c>
      <c r="V6526" s="12">
        <f>C6526+5</f>
        <v>40157</v>
      </c>
      <c r="W6526">
        <f>IF(D6526=' Pivot Tables'!$A$4,1,0)</f>
        <v>0</v>
      </c>
      <c r="X6526">
        <f>IF(AND(LEFT(D6526,4)+1=LEFT(' Pivot Tables'!$A$4,4)+0,RIGHT(LEFT(D6526,7),2)=RIGHT(LEFT(' Pivot Tables'!$A$4,7),2)),1,0)</f>
        <v>0</v>
      </c>
      <c r="Y6526" s="6">
        <f>1/COUNTIF(Таблица1[Order ID],Таблица1[[#This Row],[Order ID]])</f>
        <v>0.33333333333333331</v>
      </c>
      <c r="Z6526" s="9">
        <f>1/COUNTIFS(Таблица1[Customer Name],Таблица1[[#This Row],[Customer Name]],Таблица1[Order-Year-Month],Таблица1[[#This Row],[Order-Year-Month]])</f>
        <v>0.33333333333333331</v>
      </c>
    </row>
    <row r="6527" spans="1:26" x14ac:dyDescent="0.2">
      <c r="A6527" s="6">
        <v>5060</v>
      </c>
      <c r="B6527" s="7">
        <v>36069</v>
      </c>
      <c r="C6527" s="8">
        <f>DATE(2012,12,31)-1122</f>
        <v>40152</v>
      </c>
      <c r="D6527" s="8" t="str">
        <f t="shared" si="119"/>
        <v>2009-12 (декабрь 2009)</v>
      </c>
      <c r="E6527" s="9" t="s">
        <v>21</v>
      </c>
      <c r="F6527" s="7">
        <v>15</v>
      </c>
      <c r="G6527" s="7">
        <v>2758.22</v>
      </c>
      <c r="H6527" s="7">
        <v>0</v>
      </c>
      <c r="I6527" s="9" t="s">
        <v>22</v>
      </c>
      <c r="J6527" s="10">
        <v>966.81</v>
      </c>
      <c r="K6527" s="11">
        <v>170.98</v>
      </c>
      <c r="L6527" s="11">
        <v>13.99</v>
      </c>
      <c r="M6527" s="9" t="s">
        <v>1917</v>
      </c>
      <c r="N6527" s="6" t="s">
        <v>2012</v>
      </c>
      <c r="O6527" s="6" t="s">
        <v>2012</v>
      </c>
      <c r="P6527" s="9" t="s">
        <v>60</v>
      </c>
      <c r="Q6527" s="9" t="s">
        <v>49</v>
      </c>
      <c r="R6527" s="9" t="s">
        <v>50</v>
      </c>
      <c r="S6527" s="7" t="s">
        <v>1542</v>
      </c>
      <c r="T6527" s="9" t="s">
        <v>48</v>
      </c>
      <c r="U6527" s="7">
        <v>0.75</v>
      </c>
      <c r="V6527" s="12">
        <f>C6527+7</f>
        <v>40159</v>
      </c>
      <c r="W6527">
        <f>IF(D6527=' Pivot Tables'!$A$4,1,0)</f>
        <v>0</v>
      </c>
      <c r="X6527">
        <f>IF(AND(LEFT(D6527,4)+1=LEFT(' Pivot Tables'!$A$4,4)+0,RIGHT(LEFT(D6527,7),2)=RIGHT(LEFT(' Pivot Tables'!$A$4,7),2)),1,0)</f>
        <v>0</v>
      </c>
      <c r="Y6527" s="6">
        <f>1/COUNTIF(Таблица1[Order ID],Таблица1[[#This Row],[Order ID]])</f>
        <v>0.33333333333333331</v>
      </c>
      <c r="Z6527" s="9">
        <f>1/COUNTIFS(Таблица1[Customer Name],Таблица1[[#This Row],[Customer Name]],Таблица1[Order-Year-Month],Таблица1[[#This Row],[Order-Year-Month]])</f>
        <v>0.33333333333333331</v>
      </c>
    </row>
    <row r="6528" spans="1:26" x14ac:dyDescent="0.2">
      <c r="A6528" s="6">
        <v>5061</v>
      </c>
      <c r="B6528" s="7">
        <v>36069</v>
      </c>
      <c r="C6528" s="8">
        <f>DATE(2012,12,31)-1122</f>
        <v>40152</v>
      </c>
      <c r="D6528" s="8" t="str">
        <f t="shared" si="119"/>
        <v>2009-12 (декабрь 2009)</v>
      </c>
      <c r="E6528" s="9" t="s">
        <v>21</v>
      </c>
      <c r="F6528" s="7">
        <v>20</v>
      </c>
      <c r="G6528" s="7">
        <v>102.61</v>
      </c>
      <c r="H6528" s="7">
        <v>0.09</v>
      </c>
      <c r="I6528" s="9" t="s">
        <v>22</v>
      </c>
      <c r="J6528" s="10">
        <v>-92.01</v>
      </c>
      <c r="K6528" s="11">
        <v>4.9800000000000004</v>
      </c>
      <c r="L6528" s="11">
        <v>7.44</v>
      </c>
      <c r="M6528" s="9" t="s">
        <v>1917</v>
      </c>
      <c r="N6528" s="6" t="s">
        <v>2012</v>
      </c>
      <c r="O6528" s="6" t="s">
        <v>2012</v>
      </c>
      <c r="P6528" s="9" t="s">
        <v>60</v>
      </c>
      <c r="Q6528" s="9" t="s">
        <v>26</v>
      </c>
      <c r="R6528" s="9" t="s">
        <v>61</v>
      </c>
      <c r="S6528" s="7" t="s">
        <v>1159</v>
      </c>
      <c r="T6528" s="9" t="s">
        <v>39</v>
      </c>
      <c r="U6528" s="7">
        <v>0.36</v>
      </c>
      <c r="V6528" s="12">
        <f>C6528+2</f>
        <v>40154</v>
      </c>
      <c r="W6528">
        <f>IF(D6528=' Pivot Tables'!$A$4,1,0)</f>
        <v>0</v>
      </c>
      <c r="X6528">
        <f>IF(AND(LEFT(D6528,4)+1=LEFT(' Pivot Tables'!$A$4,4)+0,RIGHT(LEFT(D6528,7),2)=RIGHT(LEFT(' Pivot Tables'!$A$4,7),2)),1,0)</f>
        <v>0</v>
      </c>
      <c r="Y6528" s="6">
        <f>1/COUNTIF(Таблица1[Order ID],Таблица1[[#This Row],[Order ID]])</f>
        <v>0.33333333333333331</v>
      </c>
      <c r="Z6528" s="9">
        <f>1/COUNTIFS(Таблица1[Customer Name],Таблица1[[#This Row],[Customer Name]],Таблица1[Order-Year-Month],Таблица1[[#This Row],[Order-Year-Month]])</f>
        <v>0.33333333333333331</v>
      </c>
    </row>
    <row r="6529" spans="1:26" x14ac:dyDescent="0.2">
      <c r="A6529" s="6">
        <v>5135</v>
      </c>
      <c r="B6529" s="7">
        <v>36640</v>
      </c>
      <c r="C6529" s="8">
        <f>DATE(2012,12,31)-409</f>
        <v>40865</v>
      </c>
      <c r="D6529" s="8" t="str">
        <f t="shared" si="119"/>
        <v>2011-11 (ноябрь 2011)</v>
      </c>
      <c r="E6529" s="9" t="s">
        <v>45</v>
      </c>
      <c r="F6529" s="7">
        <v>18</v>
      </c>
      <c r="G6529" s="7">
        <v>416.39</v>
      </c>
      <c r="H6529" s="7">
        <v>0.06</v>
      </c>
      <c r="I6529" s="9" t="s">
        <v>56</v>
      </c>
      <c r="J6529" s="10">
        <v>119.47</v>
      </c>
      <c r="K6529" s="11">
        <v>22.24</v>
      </c>
      <c r="L6529" s="11">
        <v>1.99</v>
      </c>
      <c r="M6529" s="9" t="s">
        <v>1796</v>
      </c>
      <c r="N6529" s="6" t="s">
        <v>2012</v>
      </c>
      <c r="O6529" s="6" t="s">
        <v>2012</v>
      </c>
      <c r="P6529" s="9" t="s">
        <v>41</v>
      </c>
      <c r="Q6529" s="9" t="s">
        <v>42</v>
      </c>
      <c r="R6529" s="9" t="s">
        <v>70</v>
      </c>
      <c r="S6529" s="7" t="s">
        <v>1116</v>
      </c>
      <c r="T6529" s="9" t="s">
        <v>52</v>
      </c>
      <c r="U6529" s="7">
        <v>0.43</v>
      </c>
      <c r="V6529" s="12">
        <f>C6529+2</f>
        <v>40867</v>
      </c>
      <c r="W6529">
        <f>IF(D6529=' Pivot Tables'!$A$4,1,0)</f>
        <v>0</v>
      </c>
      <c r="X6529">
        <f>IF(AND(LEFT(D6529,4)+1=LEFT(' Pivot Tables'!$A$4,4)+0,RIGHT(LEFT(D6529,7),2)=RIGHT(LEFT(' Pivot Tables'!$A$4,7),2)),1,0)</f>
        <v>0</v>
      </c>
      <c r="Y6529" s="6">
        <f>1/COUNTIF(Таблица1[Order ID],Таблица1[[#This Row],[Order ID]])</f>
        <v>1</v>
      </c>
      <c r="Z6529" s="9">
        <f>1/COUNTIFS(Таблица1[Customer Name],Таблица1[[#This Row],[Customer Name]],Таблица1[Order-Year-Month],Таблица1[[#This Row],[Order-Year-Month]])</f>
        <v>1</v>
      </c>
    </row>
    <row r="6530" spans="1:26" x14ac:dyDescent="0.2">
      <c r="A6530" s="6">
        <v>5197</v>
      </c>
      <c r="B6530" s="7">
        <v>36931</v>
      </c>
      <c r="C6530" s="8">
        <f>DATE(2012,12,31)-712</f>
        <v>40562</v>
      </c>
      <c r="D6530" s="8" t="str">
        <f t="shared" si="119"/>
        <v>2011-01 (январь 2011)</v>
      </c>
      <c r="E6530" s="9" t="s">
        <v>45</v>
      </c>
      <c r="F6530" s="7">
        <v>46</v>
      </c>
      <c r="G6530" s="7">
        <v>180.56</v>
      </c>
      <c r="H6530" s="7">
        <v>0.1</v>
      </c>
      <c r="I6530" s="9" t="s">
        <v>22</v>
      </c>
      <c r="J6530" s="10">
        <v>-15.79</v>
      </c>
      <c r="K6530" s="11">
        <v>4.28</v>
      </c>
      <c r="L6530" s="11">
        <v>1.6</v>
      </c>
      <c r="M6530" s="9" t="s">
        <v>1917</v>
      </c>
      <c r="N6530" s="6" t="s">
        <v>2012</v>
      </c>
      <c r="O6530" s="6" t="s">
        <v>2012</v>
      </c>
      <c r="P6530" s="9" t="s">
        <v>60</v>
      </c>
      <c r="Q6530" s="9" t="s">
        <v>26</v>
      </c>
      <c r="R6530" s="9" t="s">
        <v>95</v>
      </c>
      <c r="S6530" s="7" t="s">
        <v>1023</v>
      </c>
      <c r="T6530" s="9" t="s">
        <v>68</v>
      </c>
      <c r="U6530" s="7">
        <v>0.57999999999999996</v>
      </c>
      <c r="V6530" s="12">
        <f>C6530+0</f>
        <v>40562</v>
      </c>
      <c r="W6530">
        <f>IF(D6530=' Pivot Tables'!$A$4,1,0)</f>
        <v>0</v>
      </c>
      <c r="X6530">
        <f>IF(AND(LEFT(D6530,4)+1=LEFT(' Pivot Tables'!$A$4,4)+0,RIGHT(LEFT(D6530,7),2)=RIGHT(LEFT(' Pivot Tables'!$A$4,7),2)),1,0)</f>
        <v>0</v>
      </c>
      <c r="Y6530" s="6">
        <f>1/COUNTIF(Таблица1[Order ID],Таблица1[[#This Row],[Order ID]])</f>
        <v>1</v>
      </c>
      <c r="Z6530" s="9">
        <f>1/COUNTIFS(Таблица1[Customer Name],Таблица1[[#This Row],[Customer Name]],Таблица1[Order-Year-Month],Таблица1[[#This Row],[Order-Year-Month]])</f>
        <v>1</v>
      </c>
    </row>
    <row r="6531" spans="1:26" x14ac:dyDescent="0.2">
      <c r="A6531" s="6">
        <v>5279</v>
      </c>
      <c r="B6531" s="7">
        <v>37543</v>
      </c>
      <c r="C6531" s="8">
        <f>DATE(2012,12,31)-366</f>
        <v>40908</v>
      </c>
      <c r="D6531" s="8" t="str">
        <f t="shared" ref="D6531:D6594" si="120">TEXT(C6531,"гггг-ММ (ММММ гггг)")</f>
        <v>2011-12 (декабрь 2011)</v>
      </c>
      <c r="E6531" s="9" t="s">
        <v>63</v>
      </c>
      <c r="F6531" s="7">
        <v>6</v>
      </c>
      <c r="G6531" s="7">
        <v>241.85</v>
      </c>
      <c r="H6531" s="7">
        <v>0.01</v>
      </c>
      <c r="I6531" s="9" t="s">
        <v>22</v>
      </c>
      <c r="J6531" s="10">
        <v>-4.5</v>
      </c>
      <c r="K6531" s="11">
        <v>36.549999999999997</v>
      </c>
      <c r="L6531" s="11">
        <v>13.89</v>
      </c>
      <c r="M6531" s="9" t="s">
        <v>1841</v>
      </c>
      <c r="N6531" s="6" t="s">
        <v>2012</v>
      </c>
      <c r="O6531" s="6" t="s">
        <v>2012</v>
      </c>
      <c r="P6531" s="9" t="s">
        <v>60</v>
      </c>
      <c r="Q6531" s="9" t="s">
        <v>26</v>
      </c>
      <c r="R6531" s="9" t="s">
        <v>95</v>
      </c>
      <c r="S6531" s="7" t="s">
        <v>290</v>
      </c>
      <c r="T6531" s="9" t="s">
        <v>68</v>
      </c>
      <c r="U6531" s="7">
        <v>0.41</v>
      </c>
      <c r="V6531" s="12">
        <f>C6531+1</f>
        <v>40909</v>
      </c>
      <c r="W6531">
        <f>IF(D6531=' Pivot Tables'!$A$4,1,0)</f>
        <v>0</v>
      </c>
      <c r="X6531">
        <f>IF(AND(LEFT(D6531,4)+1=LEFT(' Pivot Tables'!$A$4,4)+0,RIGHT(LEFT(D6531,7),2)=RIGHT(LEFT(' Pivot Tables'!$A$4,7),2)),1,0)</f>
        <v>0</v>
      </c>
      <c r="Y6531" s="6">
        <f>1/COUNTIF(Таблица1[Order ID],Таблица1[[#This Row],[Order ID]])</f>
        <v>1</v>
      </c>
      <c r="Z6531" s="9">
        <f>1/COUNTIFS(Таблица1[Customer Name],Таблица1[[#This Row],[Customer Name]],Таблица1[Order-Year-Month],Таблица1[[#This Row],[Order-Year-Month]])</f>
        <v>0.5</v>
      </c>
    </row>
    <row r="6532" spans="1:26" x14ac:dyDescent="0.2">
      <c r="A6532" s="6">
        <v>5517</v>
      </c>
      <c r="B6532" s="7">
        <v>39111</v>
      </c>
      <c r="C6532" s="8">
        <f>DATE(2012,12,31)-525</f>
        <v>40749</v>
      </c>
      <c r="D6532" s="8" t="str">
        <f t="shared" si="120"/>
        <v>2011-07 (июль 2011)</v>
      </c>
      <c r="E6532" s="9" t="s">
        <v>63</v>
      </c>
      <c r="F6532" s="7">
        <v>1</v>
      </c>
      <c r="G6532" s="7">
        <v>182.4</v>
      </c>
      <c r="H6532" s="7">
        <v>0.09</v>
      </c>
      <c r="I6532" s="9" t="s">
        <v>22</v>
      </c>
      <c r="J6532" s="10">
        <v>-114.22</v>
      </c>
      <c r="K6532" s="11">
        <v>178.47</v>
      </c>
      <c r="L6532" s="11">
        <v>19.989999999999998</v>
      </c>
      <c r="M6532" s="9" t="s">
        <v>2017</v>
      </c>
      <c r="N6532" s="6" t="s">
        <v>2012</v>
      </c>
      <c r="O6532" s="6" t="s">
        <v>2012</v>
      </c>
      <c r="P6532" s="9" t="s">
        <v>41</v>
      </c>
      <c r="Q6532" s="9" t="s">
        <v>26</v>
      </c>
      <c r="R6532" s="9" t="s">
        <v>27</v>
      </c>
      <c r="S6532" s="7" t="s">
        <v>1195</v>
      </c>
      <c r="T6532" s="9" t="s">
        <v>39</v>
      </c>
      <c r="U6532" s="7">
        <v>0.55000000000000004</v>
      </c>
      <c r="V6532" s="12">
        <f>C6532+3</f>
        <v>40752</v>
      </c>
      <c r="W6532">
        <f>IF(D6532=' Pivot Tables'!$A$4,1,0)</f>
        <v>0</v>
      </c>
      <c r="X6532">
        <f>IF(AND(LEFT(D6532,4)+1=LEFT(' Pivot Tables'!$A$4,4)+0,RIGHT(LEFT(D6532,7),2)=RIGHT(LEFT(' Pivot Tables'!$A$4,7),2)),1,0)</f>
        <v>0</v>
      </c>
      <c r="Y6532" s="6">
        <f>1/COUNTIF(Таблица1[Order ID],Таблица1[[#This Row],[Order ID]])</f>
        <v>0.5</v>
      </c>
      <c r="Z6532" s="9">
        <f>1/COUNTIFS(Таблица1[Customer Name],Таблица1[[#This Row],[Customer Name]],Таблица1[Order-Year-Month],Таблица1[[#This Row],[Order-Year-Month]])</f>
        <v>0.5</v>
      </c>
    </row>
    <row r="6533" spans="1:26" x14ac:dyDescent="0.2">
      <c r="A6533" s="6">
        <v>5518</v>
      </c>
      <c r="B6533" s="7">
        <v>39111</v>
      </c>
      <c r="C6533" s="8">
        <f>DATE(2012,12,31)-525</f>
        <v>40749</v>
      </c>
      <c r="D6533" s="8" t="str">
        <f t="shared" si="120"/>
        <v>2011-07 (июль 2011)</v>
      </c>
      <c r="E6533" s="9" t="s">
        <v>63</v>
      </c>
      <c r="F6533" s="7">
        <v>20</v>
      </c>
      <c r="G6533" s="7">
        <v>6004.35</v>
      </c>
      <c r="H6533" s="7">
        <v>0.05</v>
      </c>
      <c r="I6533" s="9" t="s">
        <v>22</v>
      </c>
      <c r="J6533" s="10">
        <v>1767.56</v>
      </c>
      <c r="K6533" s="11">
        <v>300.97000000000003</v>
      </c>
      <c r="L6533" s="11">
        <v>7.18</v>
      </c>
      <c r="M6533" s="9" t="s">
        <v>2017</v>
      </c>
      <c r="N6533" s="6" t="s">
        <v>2012</v>
      </c>
      <c r="O6533" s="6" t="s">
        <v>2012</v>
      </c>
      <c r="P6533" s="9" t="s">
        <v>41</v>
      </c>
      <c r="Q6533" s="9" t="s">
        <v>42</v>
      </c>
      <c r="R6533" s="9" t="s">
        <v>70</v>
      </c>
      <c r="S6533" s="7" t="s">
        <v>1658</v>
      </c>
      <c r="T6533" s="9" t="s">
        <v>39</v>
      </c>
      <c r="U6533" s="7">
        <v>0.48</v>
      </c>
      <c r="V6533" s="12">
        <f>C6533+2</f>
        <v>40751</v>
      </c>
      <c r="W6533">
        <f>IF(D6533=' Pivot Tables'!$A$4,1,0)</f>
        <v>0</v>
      </c>
      <c r="X6533">
        <f>IF(AND(LEFT(D6533,4)+1=LEFT(' Pivot Tables'!$A$4,4)+0,RIGHT(LEFT(D6533,7),2)=RIGHT(LEFT(' Pivot Tables'!$A$4,7),2)),1,0)</f>
        <v>0</v>
      </c>
      <c r="Y6533" s="6">
        <f>1/COUNTIF(Таблица1[Order ID],Таблица1[[#This Row],[Order ID]])</f>
        <v>0.5</v>
      </c>
      <c r="Z6533" s="9">
        <f>1/COUNTIFS(Таблица1[Customer Name],Таблица1[[#This Row],[Customer Name]],Таблица1[Order-Year-Month],Таблица1[[#This Row],[Order-Year-Month]])</f>
        <v>0.5</v>
      </c>
    </row>
    <row r="6534" spans="1:26" x14ac:dyDescent="0.2">
      <c r="A6534" s="6">
        <v>5520</v>
      </c>
      <c r="B6534" s="7">
        <v>39139</v>
      </c>
      <c r="C6534" s="8">
        <f>DATE(2012,12,31)-779</f>
        <v>40495</v>
      </c>
      <c r="D6534" s="8" t="str">
        <f t="shared" si="120"/>
        <v>2010-11 (ноябрь 2010)</v>
      </c>
      <c r="E6534" s="9" t="s">
        <v>45</v>
      </c>
      <c r="F6534" s="7">
        <v>6</v>
      </c>
      <c r="G6534" s="7">
        <v>627.45299999999997</v>
      </c>
      <c r="H6534" s="7">
        <v>7.0000000000000007E-2</v>
      </c>
      <c r="I6534" s="9" t="s">
        <v>22</v>
      </c>
      <c r="J6534" s="10">
        <v>-408.25399999999996</v>
      </c>
      <c r="K6534" s="11">
        <v>125.99</v>
      </c>
      <c r="L6534" s="11">
        <v>8.08</v>
      </c>
      <c r="M6534" s="9" t="s">
        <v>1841</v>
      </c>
      <c r="N6534" s="6" t="s">
        <v>2012</v>
      </c>
      <c r="O6534" s="6" t="s">
        <v>2012</v>
      </c>
      <c r="P6534" s="9" t="s">
        <v>60</v>
      </c>
      <c r="Q6534" s="9" t="s">
        <v>42</v>
      </c>
      <c r="R6534" s="9" t="s">
        <v>43</v>
      </c>
      <c r="S6534" s="7" t="s">
        <v>586</v>
      </c>
      <c r="T6534" s="9" t="s">
        <v>39</v>
      </c>
      <c r="U6534" s="7">
        <v>0.56999999999999995</v>
      </c>
      <c r="V6534" s="12">
        <f>C6534+0</f>
        <v>40495</v>
      </c>
      <c r="W6534">
        <f>IF(D6534=' Pivot Tables'!$A$4,1,0)</f>
        <v>0</v>
      </c>
      <c r="X6534">
        <f>IF(AND(LEFT(D6534,4)+1=LEFT(' Pivot Tables'!$A$4,4)+0,RIGHT(LEFT(D6534,7),2)=RIGHT(LEFT(' Pivot Tables'!$A$4,7),2)),1,0)</f>
        <v>0</v>
      </c>
      <c r="Y6534" s="6">
        <f>1/COUNTIF(Таблица1[Order ID],Таблица1[[#This Row],[Order ID]])</f>
        <v>0.33333333333333331</v>
      </c>
      <c r="Z6534" s="9">
        <f>1/COUNTIFS(Таблица1[Customer Name],Таблица1[[#This Row],[Customer Name]],Таблица1[Order-Year-Month],Таблица1[[#This Row],[Order-Year-Month]])</f>
        <v>0.33333333333333331</v>
      </c>
    </row>
    <row r="6535" spans="1:26" x14ac:dyDescent="0.2">
      <c r="A6535" s="6">
        <v>5521</v>
      </c>
      <c r="B6535" s="7">
        <v>39139</v>
      </c>
      <c r="C6535" s="8">
        <f>DATE(2012,12,31)-779</f>
        <v>40495</v>
      </c>
      <c r="D6535" s="8" t="str">
        <f t="shared" si="120"/>
        <v>2010-11 (ноябрь 2010)</v>
      </c>
      <c r="E6535" s="9" t="s">
        <v>45</v>
      </c>
      <c r="F6535" s="7">
        <v>50</v>
      </c>
      <c r="G6535" s="7">
        <v>3000.88</v>
      </c>
      <c r="H6535" s="7">
        <v>0.01</v>
      </c>
      <c r="I6535" s="9" t="s">
        <v>31</v>
      </c>
      <c r="J6535" s="10">
        <v>-719.17</v>
      </c>
      <c r="K6535" s="11">
        <v>58.14</v>
      </c>
      <c r="L6535" s="11">
        <v>36.61</v>
      </c>
      <c r="M6535" s="9" t="s">
        <v>1841</v>
      </c>
      <c r="N6535" s="6" t="s">
        <v>2012</v>
      </c>
      <c r="O6535" s="6" t="s">
        <v>2012</v>
      </c>
      <c r="P6535" s="9" t="s">
        <v>60</v>
      </c>
      <c r="Q6535" s="9" t="s">
        <v>49</v>
      </c>
      <c r="R6535" s="9" t="s">
        <v>80</v>
      </c>
      <c r="S6535" s="7" t="s">
        <v>233</v>
      </c>
      <c r="T6535" s="9" t="s">
        <v>82</v>
      </c>
      <c r="U6535" s="7">
        <v>0.61</v>
      </c>
      <c r="V6535" s="12">
        <f>C6535+2</f>
        <v>40497</v>
      </c>
      <c r="W6535">
        <f>IF(D6535=' Pivot Tables'!$A$4,1,0)</f>
        <v>0</v>
      </c>
      <c r="X6535">
        <f>IF(AND(LEFT(D6535,4)+1=LEFT(' Pivot Tables'!$A$4,4)+0,RIGHT(LEFT(D6535,7),2)=RIGHT(LEFT(' Pivot Tables'!$A$4,7),2)),1,0)</f>
        <v>0</v>
      </c>
      <c r="Y6535" s="6">
        <f>1/COUNTIF(Таблица1[Order ID],Таблица1[[#This Row],[Order ID]])</f>
        <v>0.33333333333333331</v>
      </c>
      <c r="Z6535" s="9">
        <f>1/COUNTIFS(Таблица1[Customer Name],Таблица1[[#This Row],[Customer Name]],Таблица1[Order-Year-Month],Таблица1[[#This Row],[Order-Year-Month]])</f>
        <v>0.33333333333333331</v>
      </c>
    </row>
    <row r="6536" spans="1:26" x14ac:dyDescent="0.2">
      <c r="A6536" s="6">
        <v>5522</v>
      </c>
      <c r="B6536" s="7">
        <v>39139</v>
      </c>
      <c r="C6536" s="8">
        <f>DATE(2012,12,31)-779</f>
        <v>40495</v>
      </c>
      <c r="D6536" s="8" t="str">
        <f t="shared" si="120"/>
        <v>2010-11 (ноябрь 2010)</v>
      </c>
      <c r="E6536" s="9" t="s">
        <v>45</v>
      </c>
      <c r="F6536" s="7">
        <v>31</v>
      </c>
      <c r="G6536" s="7">
        <v>6118.38</v>
      </c>
      <c r="H6536" s="7">
        <v>0.09</v>
      </c>
      <c r="I6536" s="9" t="s">
        <v>22</v>
      </c>
      <c r="J6536" s="10">
        <v>2042.58</v>
      </c>
      <c r="K6536" s="11">
        <v>209.84</v>
      </c>
      <c r="L6536" s="11">
        <v>21.21</v>
      </c>
      <c r="M6536" s="9" t="s">
        <v>1841</v>
      </c>
      <c r="N6536" s="6" t="s">
        <v>2012</v>
      </c>
      <c r="O6536" s="6" t="s">
        <v>2012</v>
      </c>
      <c r="P6536" s="9" t="s">
        <v>60</v>
      </c>
      <c r="Q6536" s="9" t="s">
        <v>49</v>
      </c>
      <c r="R6536" s="9" t="s">
        <v>50</v>
      </c>
      <c r="S6536" s="7" t="s">
        <v>1225</v>
      </c>
      <c r="T6536" s="9" t="s">
        <v>29</v>
      </c>
      <c r="U6536" s="7">
        <v>0.59</v>
      </c>
      <c r="V6536" s="12">
        <f>C6536+2</f>
        <v>40497</v>
      </c>
      <c r="W6536">
        <f>IF(D6536=' Pivot Tables'!$A$4,1,0)</f>
        <v>0</v>
      </c>
      <c r="X6536">
        <f>IF(AND(LEFT(D6536,4)+1=LEFT(' Pivot Tables'!$A$4,4)+0,RIGHT(LEFT(D6536,7),2)=RIGHT(LEFT(' Pivot Tables'!$A$4,7),2)),1,0)</f>
        <v>0</v>
      </c>
      <c r="Y6536" s="6">
        <f>1/COUNTIF(Таблица1[Order ID],Таблица1[[#This Row],[Order ID]])</f>
        <v>0.33333333333333331</v>
      </c>
      <c r="Z6536" s="9">
        <f>1/COUNTIFS(Таблица1[Customer Name],Таблица1[[#This Row],[Customer Name]],Таблица1[Order-Year-Month],Таблица1[[#This Row],[Order-Year-Month]])</f>
        <v>0.33333333333333331</v>
      </c>
    </row>
    <row r="6537" spans="1:26" x14ac:dyDescent="0.2">
      <c r="A6537" s="6">
        <v>5573</v>
      </c>
      <c r="B6537" s="7">
        <v>39490</v>
      </c>
      <c r="C6537" s="8">
        <f>DATE(2012,12,31)-141</f>
        <v>41133</v>
      </c>
      <c r="D6537" s="8" t="str">
        <f t="shared" si="120"/>
        <v>2012-08 (август 2012)</v>
      </c>
      <c r="E6537" s="9" t="s">
        <v>21</v>
      </c>
      <c r="F6537" s="7">
        <v>38</v>
      </c>
      <c r="G6537" s="7">
        <v>456.03</v>
      </c>
      <c r="H6537" s="7">
        <v>0.02</v>
      </c>
      <c r="I6537" s="9" t="s">
        <v>22</v>
      </c>
      <c r="J6537" s="10">
        <v>-61.61</v>
      </c>
      <c r="K6537" s="11">
        <v>11.97</v>
      </c>
      <c r="L6537" s="11">
        <v>5.81</v>
      </c>
      <c r="M6537" s="9" t="s">
        <v>1917</v>
      </c>
      <c r="N6537" s="6" t="s">
        <v>2012</v>
      </c>
      <c r="O6537" s="6" t="s">
        <v>2012</v>
      </c>
      <c r="P6537" s="9" t="s">
        <v>25</v>
      </c>
      <c r="Q6537" s="9" t="s">
        <v>26</v>
      </c>
      <c r="R6537" s="9" t="s">
        <v>95</v>
      </c>
      <c r="S6537" s="7" t="s">
        <v>521</v>
      </c>
      <c r="T6537" s="9" t="s">
        <v>52</v>
      </c>
      <c r="U6537" s="7">
        <v>0.6</v>
      </c>
      <c r="V6537" s="12">
        <f>C6537+0</f>
        <v>41133</v>
      </c>
      <c r="W6537">
        <f>IF(D6537=' Pivot Tables'!$A$4,1,0)</f>
        <v>0</v>
      </c>
      <c r="X6537">
        <f>IF(AND(LEFT(D6537,4)+1=LEFT(' Pivot Tables'!$A$4,4)+0,RIGHT(LEFT(D6537,7),2)=RIGHT(LEFT(' Pivot Tables'!$A$4,7),2)),1,0)</f>
        <v>0</v>
      </c>
      <c r="Y6537" s="6">
        <f>1/COUNTIF(Таблица1[Order ID],Таблица1[[#This Row],[Order ID]])</f>
        <v>0.5</v>
      </c>
      <c r="Z6537" s="9">
        <f>1/COUNTIFS(Таблица1[Customer Name],Таблица1[[#This Row],[Customer Name]],Таблица1[Order-Year-Month],Таблица1[[#This Row],[Order-Year-Month]])</f>
        <v>0.5</v>
      </c>
    </row>
    <row r="6538" spans="1:26" x14ac:dyDescent="0.2">
      <c r="A6538" s="6">
        <v>5574</v>
      </c>
      <c r="B6538" s="7">
        <v>39490</v>
      </c>
      <c r="C6538" s="8">
        <f>DATE(2012,12,31)-141</f>
        <v>41133</v>
      </c>
      <c r="D6538" s="8" t="str">
        <f t="shared" si="120"/>
        <v>2012-08 (август 2012)</v>
      </c>
      <c r="E6538" s="9" t="s">
        <v>21</v>
      </c>
      <c r="F6538" s="7">
        <v>17</v>
      </c>
      <c r="G6538" s="7">
        <v>2844.64</v>
      </c>
      <c r="H6538" s="7">
        <v>0.03</v>
      </c>
      <c r="I6538" s="9" t="s">
        <v>31</v>
      </c>
      <c r="J6538" s="10">
        <v>16.47</v>
      </c>
      <c r="K6538" s="11">
        <v>159.31</v>
      </c>
      <c r="L6538" s="11">
        <v>60</v>
      </c>
      <c r="M6538" s="9" t="s">
        <v>1917</v>
      </c>
      <c r="N6538" s="6" t="s">
        <v>2012</v>
      </c>
      <c r="O6538" s="6" t="s">
        <v>2012</v>
      </c>
      <c r="P6538" s="9" t="s">
        <v>25</v>
      </c>
      <c r="Q6538" s="9" t="s">
        <v>49</v>
      </c>
      <c r="R6538" s="9" t="s">
        <v>83</v>
      </c>
      <c r="S6538" s="7" t="s">
        <v>956</v>
      </c>
      <c r="T6538" s="9" t="s">
        <v>36</v>
      </c>
      <c r="U6538" s="7">
        <v>0.55000000000000004</v>
      </c>
      <c r="V6538" s="12">
        <f>C6538+4</f>
        <v>41137</v>
      </c>
      <c r="W6538">
        <f>IF(D6538=' Pivot Tables'!$A$4,1,0)</f>
        <v>0</v>
      </c>
      <c r="X6538">
        <f>IF(AND(LEFT(D6538,4)+1=LEFT(' Pivot Tables'!$A$4,4)+0,RIGHT(LEFT(D6538,7),2)=RIGHT(LEFT(' Pivot Tables'!$A$4,7),2)),1,0)</f>
        <v>0</v>
      </c>
      <c r="Y6538" s="6">
        <f>1/COUNTIF(Таблица1[Order ID],Таблица1[[#This Row],[Order ID]])</f>
        <v>0.5</v>
      </c>
      <c r="Z6538" s="9">
        <f>1/COUNTIFS(Таблица1[Customer Name],Таблица1[[#This Row],[Customer Name]],Таблица1[Order-Year-Month],Таблица1[[#This Row],[Order-Year-Month]])</f>
        <v>0.5</v>
      </c>
    </row>
    <row r="6539" spans="1:26" x14ac:dyDescent="0.2">
      <c r="A6539" s="6">
        <v>5645</v>
      </c>
      <c r="B6539" s="7">
        <v>39938</v>
      </c>
      <c r="C6539" s="8">
        <f>DATE(2012,12,31)-204</f>
        <v>41070</v>
      </c>
      <c r="D6539" s="8" t="str">
        <f t="shared" si="120"/>
        <v>2012-06 (июнь 2012)</v>
      </c>
      <c r="E6539" s="9" t="s">
        <v>30</v>
      </c>
      <c r="F6539" s="7">
        <v>5</v>
      </c>
      <c r="G6539" s="7">
        <v>169.27</v>
      </c>
      <c r="H6539" s="7">
        <v>0.1</v>
      </c>
      <c r="I6539" s="9" t="s">
        <v>22</v>
      </c>
      <c r="J6539" s="10">
        <v>-41.66</v>
      </c>
      <c r="K6539" s="11">
        <v>34.58</v>
      </c>
      <c r="L6539" s="11">
        <v>8.99</v>
      </c>
      <c r="M6539" s="9" t="s">
        <v>2014</v>
      </c>
      <c r="N6539" s="6" t="s">
        <v>2012</v>
      </c>
      <c r="O6539" s="6" t="s">
        <v>2012</v>
      </c>
      <c r="P6539" s="9" t="s">
        <v>41</v>
      </c>
      <c r="Q6539" s="9" t="s">
        <v>26</v>
      </c>
      <c r="R6539" s="9" t="s">
        <v>95</v>
      </c>
      <c r="S6539" s="7" t="s">
        <v>713</v>
      </c>
      <c r="T6539" s="9" t="s">
        <v>52</v>
      </c>
      <c r="U6539" s="7">
        <v>0.56000000000000005</v>
      </c>
      <c r="V6539" s="12">
        <f>C6539+1</f>
        <v>41071</v>
      </c>
      <c r="W6539">
        <f>IF(D6539=' Pivot Tables'!$A$4,1,0)</f>
        <v>0</v>
      </c>
      <c r="X6539">
        <f>IF(AND(LEFT(D6539,4)+1=LEFT(' Pivot Tables'!$A$4,4)+0,RIGHT(LEFT(D6539,7),2)=RIGHT(LEFT(' Pivot Tables'!$A$4,7),2)),1,0)</f>
        <v>0</v>
      </c>
      <c r="Y6539" s="6">
        <f>1/COUNTIF(Таблица1[Order ID],Таблица1[[#This Row],[Order ID]])</f>
        <v>1</v>
      </c>
      <c r="Z6539" s="9">
        <f>1/COUNTIFS(Таблица1[Customer Name],Таблица1[[#This Row],[Customer Name]],Таблица1[Order-Year-Month],Таблица1[[#This Row],[Order-Year-Month]])</f>
        <v>1</v>
      </c>
    </row>
    <row r="6540" spans="1:26" x14ac:dyDescent="0.2">
      <c r="A6540" s="6">
        <v>5667</v>
      </c>
      <c r="B6540" s="7">
        <v>40098</v>
      </c>
      <c r="C6540" s="8">
        <f>DATE(2012,12,31)-330</f>
        <v>40944</v>
      </c>
      <c r="D6540" s="8" t="str">
        <f t="shared" si="120"/>
        <v>2012-02 (февраль 2012)</v>
      </c>
      <c r="E6540" s="9" t="s">
        <v>21</v>
      </c>
      <c r="F6540" s="7">
        <v>46</v>
      </c>
      <c r="G6540" s="7">
        <v>557.35</v>
      </c>
      <c r="H6540" s="7">
        <v>0</v>
      </c>
      <c r="I6540" s="9" t="s">
        <v>22</v>
      </c>
      <c r="J6540" s="10">
        <v>-9.1884999999999994</v>
      </c>
      <c r="K6540" s="11">
        <v>11.5</v>
      </c>
      <c r="L6540" s="11">
        <v>7.19</v>
      </c>
      <c r="M6540" s="9" t="s">
        <v>2016</v>
      </c>
      <c r="N6540" s="6" t="s">
        <v>2012</v>
      </c>
      <c r="O6540" s="6" t="s">
        <v>2012</v>
      </c>
      <c r="P6540" s="9" t="s">
        <v>41</v>
      </c>
      <c r="Q6540" s="9" t="s">
        <v>26</v>
      </c>
      <c r="R6540" s="9" t="s">
        <v>37</v>
      </c>
      <c r="S6540" s="7" t="s">
        <v>398</v>
      </c>
      <c r="T6540" s="9" t="s">
        <v>39</v>
      </c>
      <c r="U6540" s="7">
        <v>0.4</v>
      </c>
      <c r="V6540" s="12">
        <f>C6540+2</f>
        <v>40946</v>
      </c>
      <c r="W6540">
        <f>IF(D6540=' Pivot Tables'!$A$4,1,0)</f>
        <v>0</v>
      </c>
      <c r="X6540">
        <f>IF(AND(LEFT(D6540,4)+1=LEFT(' Pivot Tables'!$A$4,4)+0,RIGHT(LEFT(D6540,7),2)=RIGHT(LEFT(' Pivot Tables'!$A$4,7),2)),1,0)</f>
        <v>0</v>
      </c>
      <c r="Y6540" s="6">
        <f>1/COUNTIF(Таблица1[Order ID],Таблица1[[#This Row],[Order ID]])</f>
        <v>0.5</v>
      </c>
      <c r="Z6540" s="9">
        <f>1/COUNTIFS(Таблица1[Customer Name],Таблица1[[#This Row],[Customer Name]],Таблица1[Order-Year-Month],Таблица1[[#This Row],[Order-Year-Month]])</f>
        <v>0.5</v>
      </c>
    </row>
    <row r="6541" spans="1:26" x14ac:dyDescent="0.2">
      <c r="A6541" s="6">
        <v>5668</v>
      </c>
      <c r="B6541" s="7">
        <v>40098</v>
      </c>
      <c r="C6541" s="8">
        <f>DATE(2012,12,31)-330</f>
        <v>40944</v>
      </c>
      <c r="D6541" s="8" t="str">
        <f t="shared" si="120"/>
        <v>2012-02 (февраль 2012)</v>
      </c>
      <c r="E6541" s="9" t="s">
        <v>21</v>
      </c>
      <c r="F6541" s="7">
        <v>50</v>
      </c>
      <c r="G6541" s="7">
        <v>490.87</v>
      </c>
      <c r="H6541" s="7">
        <v>0</v>
      </c>
      <c r="I6541" s="9" t="s">
        <v>22</v>
      </c>
      <c r="J6541" s="10">
        <v>190.93</v>
      </c>
      <c r="K6541" s="11">
        <v>9.68</v>
      </c>
      <c r="L6541" s="11">
        <v>2.0299999999999998</v>
      </c>
      <c r="M6541" s="9" t="s">
        <v>2016</v>
      </c>
      <c r="N6541" s="6" t="s">
        <v>2012</v>
      </c>
      <c r="O6541" s="6" t="s">
        <v>2012</v>
      </c>
      <c r="P6541" s="9" t="s">
        <v>41</v>
      </c>
      <c r="Q6541" s="9" t="s">
        <v>26</v>
      </c>
      <c r="R6541" s="9" t="s">
        <v>61</v>
      </c>
      <c r="S6541" s="7" t="s">
        <v>1119</v>
      </c>
      <c r="T6541" s="9" t="s">
        <v>68</v>
      </c>
      <c r="U6541" s="7">
        <v>0.37</v>
      </c>
      <c r="V6541" s="12">
        <f>C6541+4</f>
        <v>40948</v>
      </c>
      <c r="W6541">
        <f>IF(D6541=' Pivot Tables'!$A$4,1,0)</f>
        <v>0</v>
      </c>
      <c r="X6541">
        <f>IF(AND(LEFT(D6541,4)+1=LEFT(' Pivot Tables'!$A$4,4)+0,RIGHT(LEFT(D6541,7),2)=RIGHT(LEFT(' Pivot Tables'!$A$4,7),2)),1,0)</f>
        <v>0</v>
      </c>
      <c r="Y6541" s="6">
        <f>1/COUNTIF(Таблица1[Order ID],Таблица1[[#This Row],[Order ID]])</f>
        <v>0.5</v>
      </c>
      <c r="Z6541" s="9">
        <f>1/COUNTIFS(Таблица1[Customer Name],Таблица1[[#This Row],[Customer Name]],Таблица1[Order-Year-Month],Таблица1[[#This Row],[Order-Year-Month]])</f>
        <v>0.5</v>
      </c>
    </row>
    <row r="6542" spans="1:26" x14ac:dyDescent="0.2">
      <c r="A6542" s="6">
        <v>5785</v>
      </c>
      <c r="B6542" s="7">
        <v>41056</v>
      </c>
      <c r="C6542" s="8">
        <f>DATE(2012,12,31)-280</f>
        <v>40994</v>
      </c>
      <c r="D6542" s="8" t="str">
        <f t="shared" si="120"/>
        <v>2012-03 (март 2012)</v>
      </c>
      <c r="E6542" s="9" t="s">
        <v>78</v>
      </c>
      <c r="F6542" s="7">
        <v>4</v>
      </c>
      <c r="G6542" s="7">
        <v>137.54</v>
      </c>
      <c r="H6542" s="7">
        <v>0.08</v>
      </c>
      <c r="I6542" s="9" t="s">
        <v>22</v>
      </c>
      <c r="J6542" s="10">
        <v>-138.84</v>
      </c>
      <c r="K6542" s="11">
        <v>34.979999999999997</v>
      </c>
      <c r="L6542" s="11">
        <v>7.53</v>
      </c>
      <c r="M6542" s="9" t="s">
        <v>2013</v>
      </c>
      <c r="N6542" s="6" t="s">
        <v>2012</v>
      </c>
      <c r="O6542" s="6" t="s">
        <v>2012</v>
      </c>
      <c r="P6542" s="9" t="s">
        <v>25</v>
      </c>
      <c r="Q6542" s="9" t="s">
        <v>42</v>
      </c>
      <c r="R6542" s="9" t="s">
        <v>70</v>
      </c>
      <c r="S6542" s="7" t="s">
        <v>1153</v>
      </c>
      <c r="T6542" s="9" t="s">
        <v>39</v>
      </c>
      <c r="U6542" s="7">
        <v>0.76</v>
      </c>
      <c r="V6542" s="12">
        <f>C6542+3</f>
        <v>40997</v>
      </c>
      <c r="W6542">
        <f>IF(D6542=' Pivot Tables'!$A$4,1,0)</f>
        <v>0</v>
      </c>
      <c r="X6542">
        <f>IF(AND(LEFT(D6542,4)+1=LEFT(' Pivot Tables'!$A$4,4)+0,RIGHT(LEFT(D6542,7),2)=RIGHT(LEFT(' Pivot Tables'!$A$4,7),2)),1,0)</f>
        <v>0</v>
      </c>
      <c r="Y6542" s="6">
        <f>1/COUNTIF(Таблица1[Order ID],Таблица1[[#This Row],[Order ID]])</f>
        <v>1</v>
      </c>
      <c r="Z6542" s="9">
        <f>1/COUNTIFS(Таблица1[Customer Name],Таблица1[[#This Row],[Customer Name]],Таблица1[Order-Year-Month],Таблица1[[#This Row],[Order-Year-Month]])</f>
        <v>1</v>
      </c>
    </row>
    <row r="6543" spans="1:26" x14ac:dyDescent="0.2">
      <c r="A6543" s="6">
        <v>5937</v>
      </c>
      <c r="B6543" s="7">
        <v>42115</v>
      </c>
      <c r="C6543" s="8">
        <f>DATE(2012,12,31)-317</f>
        <v>40957</v>
      </c>
      <c r="D6543" s="8" t="str">
        <f t="shared" si="120"/>
        <v>2012-02 (февраль 2012)</v>
      </c>
      <c r="E6543" s="9" t="s">
        <v>78</v>
      </c>
      <c r="F6543" s="7">
        <v>21</v>
      </c>
      <c r="G6543" s="7">
        <v>673.92</v>
      </c>
      <c r="H6543" s="7">
        <v>0.01</v>
      </c>
      <c r="I6543" s="9" t="s">
        <v>22</v>
      </c>
      <c r="J6543" s="10">
        <v>224.71</v>
      </c>
      <c r="K6543" s="11">
        <v>31.78</v>
      </c>
      <c r="L6543" s="11">
        <v>1.99</v>
      </c>
      <c r="M6543" s="9" t="s">
        <v>1841</v>
      </c>
      <c r="N6543" s="6" t="s">
        <v>2012</v>
      </c>
      <c r="O6543" s="6" t="s">
        <v>2012</v>
      </c>
      <c r="P6543" s="9" t="s">
        <v>60</v>
      </c>
      <c r="Q6543" s="9" t="s">
        <v>42</v>
      </c>
      <c r="R6543" s="9" t="s">
        <v>70</v>
      </c>
      <c r="S6543" s="7" t="s">
        <v>132</v>
      </c>
      <c r="T6543" s="9" t="s">
        <v>52</v>
      </c>
      <c r="U6543" s="7">
        <v>0.42</v>
      </c>
      <c r="V6543" s="12">
        <f>C6543+0</f>
        <v>40957</v>
      </c>
      <c r="W6543">
        <f>IF(D6543=' Pivot Tables'!$A$4,1,0)</f>
        <v>0</v>
      </c>
      <c r="X6543">
        <f>IF(AND(LEFT(D6543,4)+1=LEFT(' Pivot Tables'!$A$4,4)+0,RIGHT(LEFT(D6543,7),2)=RIGHT(LEFT(' Pivot Tables'!$A$4,7),2)),1,0)</f>
        <v>0</v>
      </c>
      <c r="Y6543" s="6">
        <f>1/COUNTIF(Таблица1[Order ID],Таблица1[[#This Row],[Order ID]])</f>
        <v>0.5</v>
      </c>
      <c r="Z6543" s="9">
        <f>1/COUNTIFS(Таблица1[Customer Name],Таблица1[[#This Row],[Customer Name]],Таблица1[Order-Year-Month],Таблица1[[#This Row],[Order-Year-Month]])</f>
        <v>0.33333333333333331</v>
      </c>
    </row>
    <row r="6544" spans="1:26" x14ac:dyDescent="0.2">
      <c r="A6544" s="6">
        <v>5938</v>
      </c>
      <c r="B6544" s="7">
        <v>42115</v>
      </c>
      <c r="C6544" s="8">
        <f>DATE(2012,12,31)-317</f>
        <v>40957</v>
      </c>
      <c r="D6544" s="8" t="str">
        <f t="shared" si="120"/>
        <v>2012-02 (февраль 2012)</v>
      </c>
      <c r="E6544" s="9" t="s">
        <v>78</v>
      </c>
      <c r="F6544" s="7">
        <v>19</v>
      </c>
      <c r="G6544" s="7">
        <v>540.55999999999995</v>
      </c>
      <c r="H6544" s="7">
        <v>0.02</v>
      </c>
      <c r="I6544" s="9" t="s">
        <v>22</v>
      </c>
      <c r="J6544" s="10">
        <v>-93.46</v>
      </c>
      <c r="K6544" s="11">
        <v>28.28</v>
      </c>
      <c r="L6544" s="11">
        <v>13.99</v>
      </c>
      <c r="M6544" s="9" t="s">
        <v>1841</v>
      </c>
      <c r="N6544" s="6" t="s">
        <v>2012</v>
      </c>
      <c r="O6544" s="6" t="s">
        <v>2012</v>
      </c>
      <c r="P6544" s="9" t="s">
        <v>60</v>
      </c>
      <c r="Q6544" s="9" t="s">
        <v>26</v>
      </c>
      <c r="R6544" s="9" t="s">
        <v>27</v>
      </c>
      <c r="S6544" s="7" t="s">
        <v>267</v>
      </c>
      <c r="T6544" s="9" t="s">
        <v>48</v>
      </c>
      <c r="U6544" s="7">
        <v>0.57999999999999996</v>
      </c>
      <c r="V6544" s="12">
        <f>C6544+1</f>
        <v>40958</v>
      </c>
      <c r="W6544">
        <f>IF(D6544=' Pivot Tables'!$A$4,1,0)</f>
        <v>0</v>
      </c>
      <c r="X6544">
        <f>IF(AND(LEFT(D6544,4)+1=LEFT(' Pivot Tables'!$A$4,4)+0,RIGHT(LEFT(D6544,7),2)=RIGHT(LEFT(' Pivot Tables'!$A$4,7),2)),1,0)</f>
        <v>0</v>
      </c>
      <c r="Y6544" s="6">
        <f>1/COUNTIF(Таблица1[Order ID],Таблица1[[#This Row],[Order ID]])</f>
        <v>0.5</v>
      </c>
      <c r="Z6544" s="9">
        <f>1/COUNTIFS(Таблица1[Customer Name],Таблица1[[#This Row],[Customer Name]],Таблица1[Order-Year-Month],Таблица1[[#This Row],[Order-Year-Month]])</f>
        <v>0.33333333333333331</v>
      </c>
    </row>
    <row r="6545" spans="1:26" x14ac:dyDescent="0.2">
      <c r="A6545" s="6">
        <v>6136</v>
      </c>
      <c r="B6545" s="7">
        <v>43459</v>
      </c>
      <c r="C6545" s="8">
        <f>DATE(2012,12,31)-420</f>
        <v>40854</v>
      </c>
      <c r="D6545" s="8" t="str">
        <f t="shared" si="120"/>
        <v>2011-11 (ноябрь 2011)</v>
      </c>
      <c r="E6545" s="9" t="s">
        <v>78</v>
      </c>
      <c r="F6545" s="7">
        <v>26</v>
      </c>
      <c r="G6545" s="7">
        <v>13905.88</v>
      </c>
      <c r="H6545" s="7">
        <v>0.05</v>
      </c>
      <c r="I6545" s="9" t="s">
        <v>22</v>
      </c>
      <c r="J6545" s="10">
        <v>6441.18</v>
      </c>
      <c r="K6545" s="11">
        <v>574.74</v>
      </c>
      <c r="L6545" s="11">
        <v>24.49</v>
      </c>
      <c r="M6545" s="9" t="s">
        <v>1841</v>
      </c>
      <c r="N6545" s="6" t="s">
        <v>2012</v>
      </c>
      <c r="O6545" s="6" t="s">
        <v>2012</v>
      </c>
      <c r="P6545" s="9" t="s">
        <v>33</v>
      </c>
      <c r="Q6545" s="9" t="s">
        <v>42</v>
      </c>
      <c r="R6545" s="9" t="s">
        <v>210</v>
      </c>
      <c r="S6545" s="7" t="s">
        <v>288</v>
      </c>
      <c r="T6545" s="9" t="s">
        <v>29</v>
      </c>
      <c r="U6545" s="7">
        <v>0.37</v>
      </c>
      <c r="V6545" s="12">
        <f>C6545+1</f>
        <v>40855</v>
      </c>
      <c r="W6545">
        <f>IF(D6545=' Pivot Tables'!$A$4,1,0)</f>
        <v>0</v>
      </c>
      <c r="X6545">
        <f>IF(AND(LEFT(D6545,4)+1=LEFT(' Pivot Tables'!$A$4,4)+0,RIGHT(LEFT(D6545,7),2)=RIGHT(LEFT(' Pivot Tables'!$A$4,7),2)),1,0)</f>
        <v>0</v>
      </c>
      <c r="Y6545" s="6">
        <f>1/COUNTIF(Таблица1[Order ID],Таблица1[[#This Row],[Order ID]])</f>
        <v>1</v>
      </c>
      <c r="Z6545" s="9">
        <f>1/COUNTIFS(Таблица1[Customer Name],Таблица1[[#This Row],[Customer Name]],Таблица1[Order-Year-Month],Таблица1[[#This Row],[Order-Year-Month]])</f>
        <v>1</v>
      </c>
    </row>
    <row r="6546" spans="1:26" x14ac:dyDescent="0.2">
      <c r="A6546" s="6">
        <v>6403</v>
      </c>
      <c r="B6546" s="7">
        <v>45476</v>
      </c>
      <c r="C6546" s="8">
        <f>DATE(2012,12,31)-257</f>
        <v>41017</v>
      </c>
      <c r="D6546" s="8" t="str">
        <f t="shared" si="120"/>
        <v>2012-04 (апрель 2012)</v>
      </c>
      <c r="E6546" s="9" t="s">
        <v>78</v>
      </c>
      <c r="F6546" s="7">
        <v>48</v>
      </c>
      <c r="G6546" s="7">
        <v>1055.98</v>
      </c>
      <c r="H6546" s="7">
        <v>7.0000000000000007E-2</v>
      </c>
      <c r="I6546" s="9" t="s">
        <v>22</v>
      </c>
      <c r="J6546" s="10">
        <v>204.58</v>
      </c>
      <c r="K6546" s="11">
        <v>21.78</v>
      </c>
      <c r="L6546" s="11">
        <v>5.94</v>
      </c>
      <c r="M6546" s="9" t="s">
        <v>1917</v>
      </c>
      <c r="N6546" s="6" t="s">
        <v>2012</v>
      </c>
      <c r="O6546" s="6" t="s">
        <v>2012</v>
      </c>
      <c r="P6546" s="9" t="s">
        <v>60</v>
      </c>
      <c r="Q6546" s="9" t="s">
        <v>26</v>
      </c>
      <c r="R6546" s="9" t="s">
        <v>34</v>
      </c>
      <c r="S6546" s="7" t="s">
        <v>47</v>
      </c>
      <c r="T6546" s="9" t="s">
        <v>48</v>
      </c>
      <c r="U6546" s="7">
        <v>0.5</v>
      </c>
      <c r="V6546" s="12">
        <f>C6546+0</f>
        <v>41017</v>
      </c>
      <c r="W6546">
        <f>IF(D6546=' Pivot Tables'!$A$4,1,0)</f>
        <v>0</v>
      </c>
      <c r="X6546">
        <f>IF(AND(LEFT(D6546,4)+1=LEFT(' Pivot Tables'!$A$4,4)+0,RIGHT(LEFT(D6546,7),2)=RIGHT(LEFT(' Pivot Tables'!$A$4,7),2)),1,0)</f>
        <v>0</v>
      </c>
      <c r="Y6546" s="6">
        <f>1/COUNTIF(Таблица1[Order ID],Таблица1[[#This Row],[Order ID]])</f>
        <v>1</v>
      </c>
      <c r="Z6546" s="9">
        <f>1/COUNTIFS(Таблица1[Customer Name],Таблица1[[#This Row],[Customer Name]],Таблица1[Order-Year-Month],Таблица1[[#This Row],[Order-Year-Month]])</f>
        <v>1</v>
      </c>
    </row>
    <row r="6547" spans="1:26" x14ac:dyDescent="0.2">
      <c r="A6547" s="6">
        <v>6452</v>
      </c>
      <c r="B6547" s="7">
        <v>45958</v>
      </c>
      <c r="C6547" s="8">
        <f>DATE(2012,12,31)-586</f>
        <v>40688</v>
      </c>
      <c r="D6547" s="8" t="str">
        <f t="shared" si="120"/>
        <v>2011-05 (май 2011)</v>
      </c>
      <c r="E6547" s="9" t="s">
        <v>63</v>
      </c>
      <c r="F6547" s="7">
        <v>28</v>
      </c>
      <c r="G6547" s="7">
        <v>17599.39</v>
      </c>
      <c r="H6547" s="7">
        <v>0.03</v>
      </c>
      <c r="I6547" s="9" t="s">
        <v>22</v>
      </c>
      <c r="J6547" s="10">
        <v>5513.86</v>
      </c>
      <c r="K6547" s="11">
        <v>599.99</v>
      </c>
      <c r="L6547" s="11">
        <v>24.49</v>
      </c>
      <c r="M6547" s="9" t="s">
        <v>2013</v>
      </c>
      <c r="N6547" s="6" t="s">
        <v>2012</v>
      </c>
      <c r="O6547" s="6" t="s">
        <v>2012</v>
      </c>
      <c r="P6547" s="9" t="s">
        <v>25</v>
      </c>
      <c r="Q6547" s="9" t="s">
        <v>42</v>
      </c>
      <c r="R6547" s="9" t="s">
        <v>99</v>
      </c>
      <c r="S6547" s="7" t="s">
        <v>1349</v>
      </c>
      <c r="T6547" s="9" t="s">
        <v>29</v>
      </c>
      <c r="U6547" s="7">
        <v>0.5</v>
      </c>
      <c r="V6547" s="12">
        <f>C6547+1</f>
        <v>40689</v>
      </c>
      <c r="W6547">
        <f>IF(D6547=' Pivot Tables'!$A$4,1,0)</f>
        <v>0</v>
      </c>
      <c r="X6547">
        <f>IF(AND(LEFT(D6547,4)+1=LEFT(' Pivot Tables'!$A$4,4)+0,RIGHT(LEFT(D6547,7),2)=RIGHT(LEFT(' Pivot Tables'!$A$4,7),2)),1,0)</f>
        <v>0</v>
      </c>
      <c r="Y6547" s="6">
        <f>1/COUNTIF(Таблица1[Order ID],Таблица1[[#This Row],[Order ID]])</f>
        <v>0.5</v>
      </c>
      <c r="Z6547" s="9">
        <f>1/COUNTIFS(Таблица1[Customer Name],Таблица1[[#This Row],[Customer Name]],Таблица1[Order-Year-Month],Таблица1[[#This Row],[Order-Year-Month]])</f>
        <v>0.33333333333333331</v>
      </c>
    </row>
    <row r="6548" spans="1:26" x14ac:dyDescent="0.2">
      <c r="A6548" s="6">
        <v>6453</v>
      </c>
      <c r="B6548" s="7">
        <v>45958</v>
      </c>
      <c r="C6548" s="8">
        <f>DATE(2012,12,31)-586</f>
        <v>40688</v>
      </c>
      <c r="D6548" s="8" t="str">
        <f t="shared" si="120"/>
        <v>2011-05 (май 2011)</v>
      </c>
      <c r="E6548" s="9" t="s">
        <v>63</v>
      </c>
      <c r="F6548" s="7">
        <v>16</v>
      </c>
      <c r="G6548" s="7">
        <v>115.34</v>
      </c>
      <c r="H6548" s="7">
        <v>0.02</v>
      </c>
      <c r="I6548" s="9" t="s">
        <v>22</v>
      </c>
      <c r="J6548" s="10">
        <v>13.83</v>
      </c>
      <c r="K6548" s="11">
        <v>6.69</v>
      </c>
      <c r="L6548" s="11">
        <v>3.1</v>
      </c>
      <c r="M6548" s="9" t="s">
        <v>2013</v>
      </c>
      <c r="N6548" s="6" t="s">
        <v>2012</v>
      </c>
      <c r="O6548" s="6" t="s">
        <v>2012</v>
      </c>
      <c r="P6548" s="9" t="s">
        <v>25</v>
      </c>
      <c r="Q6548" s="9" t="s">
        <v>26</v>
      </c>
      <c r="R6548" s="9" t="s">
        <v>61</v>
      </c>
      <c r="S6548" s="7" t="s">
        <v>1188</v>
      </c>
      <c r="T6548" s="9" t="s">
        <v>68</v>
      </c>
      <c r="U6548" s="7">
        <v>0.36</v>
      </c>
      <c r="V6548" s="12">
        <f>C6548+2</f>
        <v>40690</v>
      </c>
      <c r="W6548">
        <f>IF(D6548=' Pivot Tables'!$A$4,1,0)</f>
        <v>0</v>
      </c>
      <c r="X6548">
        <f>IF(AND(LEFT(D6548,4)+1=LEFT(' Pivot Tables'!$A$4,4)+0,RIGHT(LEFT(D6548,7),2)=RIGHT(LEFT(' Pivot Tables'!$A$4,7),2)),1,0)</f>
        <v>0</v>
      </c>
      <c r="Y6548" s="6">
        <f>1/COUNTIF(Таблица1[Order ID],Таблица1[[#This Row],[Order ID]])</f>
        <v>0.5</v>
      </c>
      <c r="Z6548" s="9">
        <f>1/COUNTIFS(Таблица1[Customer Name],Таблица1[[#This Row],[Customer Name]],Таблица1[Order-Year-Month],Таблица1[[#This Row],[Order-Year-Month]])</f>
        <v>0.33333333333333331</v>
      </c>
    </row>
    <row r="6549" spans="1:26" x14ac:dyDescent="0.2">
      <c r="A6549" s="6">
        <v>6690</v>
      </c>
      <c r="B6549" s="7">
        <v>47591</v>
      </c>
      <c r="C6549" s="8">
        <f>DATE(2012,12,31)-364</f>
        <v>40910</v>
      </c>
      <c r="D6549" s="8" t="str">
        <f t="shared" si="120"/>
        <v>2012-01 (январь 2012)</v>
      </c>
      <c r="E6549" s="9" t="s">
        <v>78</v>
      </c>
      <c r="F6549" s="7">
        <v>27</v>
      </c>
      <c r="G6549" s="7">
        <v>279.39999999999998</v>
      </c>
      <c r="H6549" s="7">
        <v>0.1</v>
      </c>
      <c r="I6549" s="9" t="s">
        <v>22</v>
      </c>
      <c r="J6549" s="10">
        <v>-92.25</v>
      </c>
      <c r="K6549" s="11">
        <v>10.48</v>
      </c>
      <c r="L6549" s="11">
        <v>6.91</v>
      </c>
      <c r="M6549" s="9" t="s">
        <v>2013</v>
      </c>
      <c r="N6549" s="6" t="s">
        <v>2012</v>
      </c>
      <c r="O6549" s="6" t="s">
        <v>2012</v>
      </c>
      <c r="P6549" s="9" t="s">
        <v>25</v>
      </c>
      <c r="Q6549" s="9" t="s">
        <v>26</v>
      </c>
      <c r="R6549" s="9" t="s">
        <v>27</v>
      </c>
      <c r="S6549" s="7" t="s">
        <v>2022</v>
      </c>
      <c r="T6549" s="9" t="s">
        <v>39</v>
      </c>
      <c r="U6549" s="7">
        <v>0.57999999999999996</v>
      </c>
      <c r="V6549" s="12">
        <f>C6549+1</f>
        <v>40911</v>
      </c>
      <c r="W6549">
        <f>IF(D6549=' Pivot Tables'!$A$4,1,0)</f>
        <v>0</v>
      </c>
      <c r="X6549">
        <f>IF(AND(LEFT(D6549,4)+1=LEFT(' Pivot Tables'!$A$4,4)+0,RIGHT(LEFT(D6549,7),2)=RIGHT(LEFT(' Pivot Tables'!$A$4,7),2)),1,0)</f>
        <v>0</v>
      </c>
      <c r="Y6549" s="6">
        <f>1/COUNTIF(Таблица1[Order ID],Таблица1[[#This Row],[Order ID]])</f>
        <v>1</v>
      </c>
      <c r="Z6549" s="9">
        <f>1/COUNTIFS(Таблица1[Customer Name],Таблица1[[#This Row],[Customer Name]],Таблица1[Order-Year-Month],Таблица1[[#This Row],[Order-Year-Month]])</f>
        <v>1</v>
      </c>
    </row>
    <row r="6550" spans="1:26" x14ac:dyDescent="0.2">
      <c r="A6550" s="6">
        <v>6962</v>
      </c>
      <c r="B6550" s="7">
        <v>49764</v>
      </c>
      <c r="C6550" s="8">
        <f>DATE(2012,12,31)-820</f>
        <v>40454</v>
      </c>
      <c r="D6550" s="8" t="str">
        <f t="shared" si="120"/>
        <v>2010-10 (октябрь 2010)</v>
      </c>
      <c r="E6550" s="9" t="s">
        <v>21</v>
      </c>
      <c r="F6550" s="7">
        <v>37</v>
      </c>
      <c r="G6550" s="7">
        <v>395.37</v>
      </c>
      <c r="H6550" s="7">
        <v>7.0000000000000007E-2</v>
      </c>
      <c r="I6550" s="9" t="s">
        <v>56</v>
      </c>
      <c r="J6550" s="10">
        <v>17.149999999999999</v>
      </c>
      <c r="K6550" s="11">
        <v>10.98</v>
      </c>
      <c r="L6550" s="11">
        <v>3.37</v>
      </c>
      <c r="M6550" s="9" t="s">
        <v>2015</v>
      </c>
      <c r="N6550" s="6" t="s">
        <v>2012</v>
      </c>
      <c r="O6550" s="6" t="s">
        <v>2012</v>
      </c>
      <c r="P6550" s="9" t="s">
        <v>60</v>
      </c>
      <c r="Q6550" s="9" t="s">
        <v>26</v>
      </c>
      <c r="R6550" s="9" t="s">
        <v>150</v>
      </c>
      <c r="S6550" s="7" t="s">
        <v>465</v>
      </c>
      <c r="T6550" s="9" t="s">
        <v>52</v>
      </c>
      <c r="U6550" s="7">
        <v>0.56999999999999995</v>
      </c>
      <c r="V6550" s="12">
        <f>C6550+4</f>
        <v>40458</v>
      </c>
      <c r="W6550">
        <f>IF(D6550=' Pivot Tables'!$A$4,1,0)</f>
        <v>0</v>
      </c>
      <c r="X6550">
        <f>IF(AND(LEFT(D6550,4)+1=LEFT(' Pivot Tables'!$A$4,4)+0,RIGHT(LEFT(D6550,7),2)=RIGHT(LEFT(' Pivot Tables'!$A$4,7),2)),1,0)</f>
        <v>0</v>
      </c>
      <c r="Y6550" s="6">
        <f>1/COUNTIF(Таблица1[Order ID],Таблица1[[#This Row],[Order ID]])</f>
        <v>1</v>
      </c>
      <c r="Z6550" s="9">
        <f>1/COUNTIFS(Таблица1[Customer Name],Таблица1[[#This Row],[Customer Name]],Таблица1[Order-Year-Month],Таблица1[[#This Row],[Order-Year-Month]])</f>
        <v>1</v>
      </c>
    </row>
    <row r="6551" spans="1:26" x14ac:dyDescent="0.2">
      <c r="A6551" s="6">
        <v>7022</v>
      </c>
      <c r="B6551" s="7">
        <v>50118</v>
      </c>
      <c r="C6551" s="8">
        <f>DATE(2012,12,31)-1019</f>
        <v>40255</v>
      </c>
      <c r="D6551" s="8" t="str">
        <f t="shared" si="120"/>
        <v>2010-03 (март 2010)</v>
      </c>
      <c r="E6551" s="9" t="s">
        <v>45</v>
      </c>
      <c r="F6551" s="7">
        <v>19</v>
      </c>
      <c r="G6551" s="7">
        <v>337.38</v>
      </c>
      <c r="H6551" s="7">
        <v>0</v>
      </c>
      <c r="I6551" s="9" t="s">
        <v>31</v>
      </c>
      <c r="J6551" s="10">
        <v>-409.79</v>
      </c>
      <c r="K6551" s="11">
        <v>15.23</v>
      </c>
      <c r="L6551" s="11">
        <v>27.75</v>
      </c>
      <c r="M6551" s="9" t="s">
        <v>2016</v>
      </c>
      <c r="N6551" s="6" t="s">
        <v>2012</v>
      </c>
      <c r="O6551" s="6" t="s">
        <v>2012</v>
      </c>
      <c r="P6551" s="9" t="s">
        <v>41</v>
      </c>
      <c r="Q6551" s="9" t="s">
        <v>49</v>
      </c>
      <c r="R6551" s="9" t="s">
        <v>83</v>
      </c>
      <c r="S6551" s="7" t="s">
        <v>1186</v>
      </c>
      <c r="T6551" s="9" t="s">
        <v>82</v>
      </c>
      <c r="U6551" s="7">
        <v>0.76</v>
      </c>
      <c r="V6551" s="12">
        <f>C6551+1</f>
        <v>40256</v>
      </c>
      <c r="W6551">
        <f>IF(D6551=' Pivot Tables'!$A$4,1,0)</f>
        <v>0</v>
      </c>
      <c r="X6551">
        <f>IF(AND(LEFT(D6551,4)+1=LEFT(' Pivot Tables'!$A$4,4)+0,RIGHT(LEFT(D6551,7),2)=RIGHT(LEFT(' Pivot Tables'!$A$4,7),2)),1,0)</f>
        <v>0</v>
      </c>
      <c r="Y6551" s="6">
        <f>1/COUNTIF(Таблица1[Order ID],Таблица1[[#This Row],[Order ID]])</f>
        <v>1</v>
      </c>
      <c r="Z6551" s="9">
        <f>1/COUNTIFS(Таблица1[Customer Name],Таблица1[[#This Row],[Customer Name]],Таблица1[Order-Year-Month],Таблица1[[#This Row],[Order-Year-Month]])</f>
        <v>1</v>
      </c>
    </row>
    <row r="6552" spans="1:26" x14ac:dyDescent="0.2">
      <c r="A6552" s="6">
        <v>7031</v>
      </c>
      <c r="B6552" s="7">
        <v>50183</v>
      </c>
      <c r="C6552" s="8">
        <f>DATE(2012,12,31)-952</f>
        <v>40322</v>
      </c>
      <c r="D6552" s="8" t="str">
        <f t="shared" si="120"/>
        <v>2010-05 (май 2010)</v>
      </c>
      <c r="E6552" s="9" t="s">
        <v>30</v>
      </c>
      <c r="F6552" s="7">
        <v>20</v>
      </c>
      <c r="G6552" s="7">
        <v>116.55</v>
      </c>
      <c r="H6552" s="7">
        <v>0.09</v>
      </c>
      <c r="I6552" s="9" t="s">
        <v>56</v>
      </c>
      <c r="J6552" s="10">
        <v>-39.67</v>
      </c>
      <c r="K6552" s="11">
        <v>5.58</v>
      </c>
      <c r="L6552" s="11">
        <v>5.3</v>
      </c>
      <c r="M6552" s="9" t="s">
        <v>2013</v>
      </c>
      <c r="N6552" s="6" t="s">
        <v>2012</v>
      </c>
      <c r="O6552" s="6" t="s">
        <v>2012</v>
      </c>
      <c r="P6552" s="9" t="s">
        <v>25</v>
      </c>
      <c r="Q6552" s="9" t="s">
        <v>26</v>
      </c>
      <c r="R6552" s="9" t="s">
        <v>76</v>
      </c>
      <c r="S6552" s="7" t="s">
        <v>881</v>
      </c>
      <c r="T6552" s="9" t="s">
        <v>39</v>
      </c>
      <c r="U6552" s="7">
        <v>0.35</v>
      </c>
      <c r="V6552" s="12">
        <f>C6552+1</f>
        <v>40323</v>
      </c>
      <c r="W6552">
        <f>IF(D6552=' Pivot Tables'!$A$4,1,0)</f>
        <v>0</v>
      </c>
      <c r="X6552">
        <f>IF(AND(LEFT(D6552,4)+1=LEFT(' Pivot Tables'!$A$4,4)+0,RIGHT(LEFT(D6552,7),2)=RIGHT(LEFT(' Pivot Tables'!$A$4,7),2)),1,0)</f>
        <v>0</v>
      </c>
      <c r="Y6552" s="6">
        <f>1/COUNTIF(Таблица1[Order ID],Таблица1[[#This Row],[Order ID]])</f>
        <v>1</v>
      </c>
      <c r="Z6552" s="9">
        <f>1/COUNTIFS(Таблица1[Customer Name],Таблица1[[#This Row],[Customer Name]],Таблица1[Order-Year-Month],Таблица1[[#This Row],[Order-Year-Month]])</f>
        <v>1</v>
      </c>
    </row>
    <row r="6553" spans="1:26" x14ac:dyDescent="0.2">
      <c r="A6553" s="6">
        <v>7117</v>
      </c>
      <c r="B6553" s="7">
        <v>50786</v>
      </c>
      <c r="C6553" s="8">
        <f>DATE(2012,12,31)-1176</f>
        <v>40098</v>
      </c>
      <c r="D6553" s="8" t="str">
        <f t="shared" si="120"/>
        <v>2009-10 (октябрь 2009)</v>
      </c>
      <c r="E6553" s="9" t="s">
        <v>21</v>
      </c>
      <c r="F6553" s="7">
        <v>4</v>
      </c>
      <c r="G6553" s="7">
        <v>487.72</v>
      </c>
      <c r="H6553" s="7">
        <v>0.06</v>
      </c>
      <c r="I6553" s="9" t="s">
        <v>31</v>
      </c>
      <c r="J6553" s="10">
        <v>-192.2961</v>
      </c>
      <c r="K6553" s="11">
        <v>119.99</v>
      </c>
      <c r="L6553" s="11">
        <v>14</v>
      </c>
      <c r="M6553" s="9" t="s">
        <v>2017</v>
      </c>
      <c r="N6553" s="6" t="s">
        <v>2012</v>
      </c>
      <c r="O6553" s="6" t="s">
        <v>2012</v>
      </c>
      <c r="P6553" s="9" t="s">
        <v>33</v>
      </c>
      <c r="Q6553" s="9" t="s">
        <v>42</v>
      </c>
      <c r="R6553" s="9" t="s">
        <v>210</v>
      </c>
      <c r="S6553" s="7" t="s">
        <v>1095</v>
      </c>
      <c r="T6553" s="9" t="s">
        <v>36</v>
      </c>
      <c r="U6553" s="7">
        <v>0.36</v>
      </c>
      <c r="V6553" s="12">
        <f>C6553+7</f>
        <v>40105</v>
      </c>
      <c r="W6553">
        <f>IF(D6553=' Pivot Tables'!$A$4,1,0)</f>
        <v>0</v>
      </c>
      <c r="X6553">
        <f>IF(AND(LEFT(D6553,4)+1=LEFT(' Pivot Tables'!$A$4,4)+0,RIGHT(LEFT(D6553,7),2)=RIGHT(LEFT(' Pivot Tables'!$A$4,7),2)),1,0)</f>
        <v>0</v>
      </c>
      <c r="Y6553" s="6">
        <f>1/COUNTIF(Таблица1[Order ID],Таблица1[[#This Row],[Order ID]])</f>
        <v>1</v>
      </c>
      <c r="Z6553" s="9">
        <f>1/COUNTIFS(Таблица1[Customer Name],Таблица1[[#This Row],[Customer Name]],Таблица1[Order-Year-Month],Таблица1[[#This Row],[Order-Year-Month]])</f>
        <v>1</v>
      </c>
    </row>
    <row r="6554" spans="1:26" x14ac:dyDescent="0.2">
      <c r="A6554" s="6">
        <v>7144</v>
      </c>
      <c r="B6554" s="7">
        <v>50978</v>
      </c>
      <c r="C6554" s="8">
        <f>DATE(2012,12,31)-275</f>
        <v>40999</v>
      </c>
      <c r="D6554" s="8" t="str">
        <f t="shared" si="120"/>
        <v>2012-03 (март 2012)</v>
      </c>
      <c r="E6554" s="9" t="s">
        <v>30</v>
      </c>
      <c r="F6554" s="7">
        <v>4</v>
      </c>
      <c r="G6554" s="7">
        <v>816.09</v>
      </c>
      <c r="H6554" s="7">
        <v>0.05</v>
      </c>
      <c r="I6554" s="9" t="s">
        <v>22</v>
      </c>
      <c r="J6554" s="10">
        <v>-150.29</v>
      </c>
      <c r="K6554" s="11">
        <v>210.55</v>
      </c>
      <c r="L6554" s="11">
        <v>9.99</v>
      </c>
      <c r="M6554" s="9" t="s">
        <v>2017</v>
      </c>
      <c r="N6554" s="6" t="s">
        <v>2012</v>
      </c>
      <c r="O6554" s="6" t="s">
        <v>2012</v>
      </c>
      <c r="P6554" s="9" t="s">
        <v>41</v>
      </c>
      <c r="Q6554" s="9" t="s">
        <v>26</v>
      </c>
      <c r="R6554" s="9" t="s">
        <v>27</v>
      </c>
      <c r="S6554" s="7" t="s">
        <v>676</v>
      </c>
      <c r="T6554" s="9" t="s">
        <v>39</v>
      </c>
      <c r="U6554" s="7">
        <v>0.6</v>
      </c>
      <c r="V6554" s="12">
        <f>C6554+2</f>
        <v>41001</v>
      </c>
      <c r="W6554">
        <f>IF(D6554=' Pivot Tables'!$A$4,1,0)</f>
        <v>0</v>
      </c>
      <c r="X6554">
        <f>IF(AND(LEFT(D6554,4)+1=LEFT(' Pivot Tables'!$A$4,4)+0,RIGHT(LEFT(D6554,7),2)=RIGHT(LEFT(' Pivot Tables'!$A$4,7),2)),1,0)</f>
        <v>0</v>
      </c>
      <c r="Y6554" s="6">
        <f>1/COUNTIF(Таблица1[Order ID],Таблица1[[#This Row],[Order ID]])</f>
        <v>1</v>
      </c>
      <c r="Z6554" s="9">
        <f>1/COUNTIFS(Таблица1[Customer Name],Таблица1[[#This Row],[Customer Name]],Таблица1[Order-Year-Month],Таблица1[[#This Row],[Order-Year-Month]])</f>
        <v>1</v>
      </c>
    </row>
    <row r="6555" spans="1:26" x14ac:dyDescent="0.2">
      <c r="A6555" s="6">
        <v>7147</v>
      </c>
      <c r="B6555" s="7">
        <v>50983</v>
      </c>
      <c r="C6555" s="8">
        <f>DATE(2012,12,31)-552</f>
        <v>40722</v>
      </c>
      <c r="D6555" s="8" t="str">
        <f t="shared" si="120"/>
        <v>2011-06 (июнь 2011)</v>
      </c>
      <c r="E6555" s="9" t="s">
        <v>78</v>
      </c>
      <c r="F6555" s="7">
        <v>39</v>
      </c>
      <c r="G6555" s="7">
        <v>3063.1</v>
      </c>
      <c r="H6555" s="7">
        <v>0.06</v>
      </c>
      <c r="I6555" s="9" t="s">
        <v>22</v>
      </c>
      <c r="J6555" s="10">
        <v>-1022.02</v>
      </c>
      <c r="K6555" s="11">
        <v>80.98</v>
      </c>
      <c r="L6555" s="11">
        <v>35</v>
      </c>
      <c r="M6555" s="9" t="s">
        <v>1787</v>
      </c>
      <c r="N6555" s="6" t="s">
        <v>2012</v>
      </c>
      <c r="O6555" s="6" t="s">
        <v>2012</v>
      </c>
      <c r="P6555" s="9" t="s">
        <v>60</v>
      </c>
      <c r="Q6555" s="9" t="s">
        <v>26</v>
      </c>
      <c r="R6555" s="9" t="s">
        <v>27</v>
      </c>
      <c r="S6555" s="7" t="s">
        <v>171</v>
      </c>
      <c r="T6555" s="9" t="s">
        <v>29</v>
      </c>
      <c r="U6555" s="7">
        <v>0.81</v>
      </c>
      <c r="V6555" s="12">
        <f>C6555+1</f>
        <v>40723</v>
      </c>
      <c r="W6555">
        <f>IF(D6555=' Pivot Tables'!$A$4,1,0)</f>
        <v>0</v>
      </c>
      <c r="X6555">
        <f>IF(AND(LEFT(D6555,4)+1=LEFT(' Pivot Tables'!$A$4,4)+0,RIGHT(LEFT(D6555,7),2)=RIGHT(LEFT(' Pivot Tables'!$A$4,7),2)),1,0)</f>
        <v>0</v>
      </c>
      <c r="Y6555" s="6">
        <f>1/COUNTIF(Таблица1[Order ID],Таблица1[[#This Row],[Order ID]])</f>
        <v>0.5</v>
      </c>
      <c r="Z6555" s="9">
        <f>1/COUNTIFS(Таблица1[Customer Name],Таблица1[[#This Row],[Customer Name]],Таблица1[Order-Year-Month],Таблица1[[#This Row],[Order-Year-Month]])</f>
        <v>0.5</v>
      </c>
    </row>
    <row r="6556" spans="1:26" x14ac:dyDescent="0.2">
      <c r="A6556" s="6">
        <v>7148</v>
      </c>
      <c r="B6556" s="7">
        <v>50983</v>
      </c>
      <c r="C6556" s="8">
        <f>DATE(2012,12,31)-552</f>
        <v>40722</v>
      </c>
      <c r="D6556" s="8" t="str">
        <f t="shared" si="120"/>
        <v>2011-06 (июнь 2011)</v>
      </c>
      <c r="E6556" s="9" t="s">
        <v>78</v>
      </c>
      <c r="F6556" s="7">
        <v>15</v>
      </c>
      <c r="G6556" s="7">
        <v>229.03</v>
      </c>
      <c r="H6556" s="7">
        <v>0.05</v>
      </c>
      <c r="I6556" s="9" t="s">
        <v>22</v>
      </c>
      <c r="J6556" s="10">
        <v>-28.58</v>
      </c>
      <c r="K6556" s="11">
        <v>15.51</v>
      </c>
      <c r="L6556" s="11">
        <v>5.8</v>
      </c>
      <c r="M6556" s="9" t="s">
        <v>1787</v>
      </c>
      <c r="N6556" s="6" t="s">
        <v>2012</v>
      </c>
      <c r="O6556" s="6" t="s">
        <v>2012</v>
      </c>
      <c r="P6556" s="9" t="s">
        <v>60</v>
      </c>
      <c r="Q6556" s="9" t="s">
        <v>26</v>
      </c>
      <c r="R6556" s="9" t="s">
        <v>27</v>
      </c>
      <c r="S6556" s="7" t="s">
        <v>1803</v>
      </c>
      <c r="T6556" s="9" t="s">
        <v>39</v>
      </c>
      <c r="U6556" s="7">
        <v>0.6</v>
      </c>
      <c r="V6556" s="12">
        <f>C6556+2</f>
        <v>40724</v>
      </c>
      <c r="W6556">
        <f>IF(D6556=' Pivot Tables'!$A$4,1,0)</f>
        <v>0</v>
      </c>
      <c r="X6556">
        <f>IF(AND(LEFT(D6556,4)+1=LEFT(' Pivot Tables'!$A$4,4)+0,RIGHT(LEFT(D6556,7),2)=RIGHT(LEFT(' Pivot Tables'!$A$4,7),2)),1,0)</f>
        <v>0</v>
      </c>
      <c r="Y6556" s="6">
        <f>1/COUNTIF(Таблица1[Order ID],Таблица1[[#This Row],[Order ID]])</f>
        <v>0.5</v>
      </c>
      <c r="Z6556" s="9">
        <f>1/COUNTIFS(Таблица1[Customer Name],Таблица1[[#This Row],[Customer Name]],Таблица1[Order-Year-Month],Таблица1[[#This Row],[Order-Year-Month]])</f>
        <v>0.5</v>
      </c>
    </row>
    <row r="6557" spans="1:26" x14ac:dyDescent="0.2">
      <c r="A6557" s="6">
        <v>7291</v>
      </c>
      <c r="B6557" s="7">
        <v>52002</v>
      </c>
      <c r="C6557" s="8">
        <f>DATE(2012,12,31)-1306</f>
        <v>39968</v>
      </c>
      <c r="D6557" s="8" t="str">
        <f t="shared" si="120"/>
        <v>2009-06 (июнь 2009)</v>
      </c>
      <c r="E6557" s="9" t="s">
        <v>30</v>
      </c>
      <c r="F6557" s="7">
        <v>11</v>
      </c>
      <c r="G6557" s="7">
        <v>2489.85</v>
      </c>
      <c r="H6557" s="7">
        <v>0.06</v>
      </c>
      <c r="I6557" s="9" t="s">
        <v>31</v>
      </c>
      <c r="J6557" s="10">
        <v>-566.5</v>
      </c>
      <c r="K6557" s="11">
        <v>218.75</v>
      </c>
      <c r="L6557" s="11">
        <v>69.64</v>
      </c>
      <c r="M6557" s="9" t="s">
        <v>2017</v>
      </c>
      <c r="N6557" s="6" t="s">
        <v>2012</v>
      </c>
      <c r="O6557" s="6" t="s">
        <v>2012</v>
      </c>
      <c r="P6557" s="9" t="s">
        <v>41</v>
      </c>
      <c r="Q6557" s="9" t="s">
        <v>49</v>
      </c>
      <c r="R6557" s="9" t="s">
        <v>83</v>
      </c>
      <c r="S6557" s="7" t="s">
        <v>254</v>
      </c>
      <c r="T6557" s="9" t="s">
        <v>82</v>
      </c>
      <c r="U6557" s="7">
        <v>0.77</v>
      </c>
      <c r="V6557" s="12">
        <f>C6557+1</f>
        <v>39969</v>
      </c>
      <c r="W6557">
        <f>IF(D6557=' Pivot Tables'!$A$4,1,0)</f>
        <v>0</v>
      </c>
      <c r="X6557">
        <f>IF(AND(LEFT(D6557,4)+1=LEFT(' Pivot Tables'!$A$4,4)+0,RIGHT(LEFT(D6557,7),2)=RIGHT(LEFT(' Pivot Tables'!$A$4,7),2)),1,0)</f>
        <v>0</v>
      </c>
      <c r="Y6557" s="6">
        <f>1/COUNTIF(Таблица1[Order ID],Таблица1[[#This Row],[Order ID]])</f>
        <v>1</v>
      </c>
      <c r="Z6557" s="9">
        <f>1/COUNTIFS(Таблица1[Customer Name],Таблица1[[#This Row],[Customer Name]],Таблица1[Order-Year-Month],Таблица1[[#This Row],[Order-Year-Month]])</f>
        <v>1</v>
      </c>
    </row>
    <row r="6558" spans="1:26" x14ac:dyDescent="0.2">
      <c r="A6558" s="6">
        <v>7330</v>
      </c>
      <c r="B6558" s="7">
        <v>52227</v>
      </c>
      <c r="C6558" s="8">
        <f>DATE(2012,12,31)-1418</f>
        <v>39856</v>
      </c>
      <c r="D6558" s="8" t="str">
        <f t="shared" si="120"/>
        <v>2009-02 (февраль 2009)</v>
      </c>
      <c r="E6558" s="9" t="s">
        <v>63</v>
      </c>
      <c r="F6558" s="7">
        <v>37</v>
      </c>
      <c r="G6558" s="7">
        <v>240.52</v>
      </c>
      <c r="H6558" s="7">
        <v>0.05</v>
      </c>
      <c r="I6558" s="9" t="s">
        <v>22</v>
      </c>
      <c r="J6558" s="10">
        <v>-164.18</v>
      </c>
      <c r="K6558" s="11">
        <v>6.48</v>
      </c>
      <c r="L6558" s="11">
        <v>8.19</v>
      </c>
      <c r="M6558" s="9" t="s">
        <v>2023</v>
      </c>
      <c r="N6558" s="6" t="s">
        <v>2012</v>
      </c>
      <c r="O6558" s="6" t="s">
        <v>2012</v>
      </c>
      <c r="P6558" s="9" t="s">
        <v>33</v>
      </c>
      <c r="Q6558" s="9" t="s">
        <v>26</v>
      </c>
      <c r="R6558" s="9" t="s">
        <v>61</v>
      </c>
      <c r="S6558" s="7" t="s">
        <v>176</v>
      </c>
      <c r="T6558" s="9" t="s">
        <v>39</v>
      </c>
      <c r="U6558" s="7">
        <v>0.37</v>
      </c>
      <c r="V6558" s="12">
        <f>C6558+3</f>
        <v>39859</v>
      </c>
      <c r="W6558">
        <f>IF(D6558=' Pivot Tables'!$A$4,1,0)</f>
        <v>0</v>
      </c>
      <c r="X6558">
        <f>IF(AND(LEFT(D6558,4)+1=LEFT(' Pivot Tables'!$A$4,4)+0,RIGHT(LEFT(D6558,7),2)=RIGHT(LEFT(' Pivot Tables'!$A$4,7),2)),1,0)</f>
        <v>0</v>
      </c>
      <c r="Y6558" s="6">
        <f>1/COUNTIF(Таблица1[Order ID],Таблица1[[#This Row],[Order ID]])</f>
        <v>1</v>
      </c>
      <c r="Z6558" s="9">
        <f>1/COUNTIFS(Таблица1[Customer Name],Таблица1[[#This Row],[Customer Name]],Таблица1[Order-Year-Month],Таблица1[[#This Row],[Order-Year-Month]])</f>
        <v>1</v>
      </c>
    </row>
    <row r="6559" spans="1:26" x14ac:dyDescent="0.2">
      <c r="A6559" s="6">
        <v>7334</v>
      </c>
      <c r="B6559" s="7">
        <v>52261</v>
      </c>
      <c r="C6559" s="8">
        <f>DATE(2012,12,31)-620</f>
        <v>40654</v>
      </c>
      <c r="D6559" s="8" t="str">
        <f t="shared" si="120"/>
        <v>2011-04 (апрель 2011)</v>
      </c>
      <c r="E6559" s="9" t="s">
        <v>45</v>
      </c>
      <c r="F6559" s="7">
        <v>49</v>
      </c>
      <c r="G6559" s="7">
        <v>10261.25</v>
      </c>
      <c r="H6559" s="7">
        <v>0.02</v>
      </c>
      <c r="I6559" s="9" t="s">
        <v>31</v>
      </c>
      <c r="J6559" s="10">
        <v>611.11</v>
      </c>
      <c r="K6559" s="11">
        <v>212.6</v>
      </c>
      <c r="L6559" s="11">
        <v>52.2</v>
      </c>
      <c r="M6559" s="9" t="s">
        <v>1787</v>
      </c>
      <c r="N6559" s="6" t="s">
        <v>2012</v>
      </c>
      <c r="O6559" s="6" t="s">
        <v>2012</v>
      </c>
      <c r="P6559" s="9" t="s">
        <v>60</v>
      </c>
      <c r="Q6559" s="9" t="s">
        <v>49</v>
      </c>
      <c r="R6559" s="9" t="s">
        <v>83</v>
      </c>
      <c r="S6559" s="7" t="s">
        <v>984</v>
      </c>
      <c r="T6559" s="9" t="s">
        <v>82</v>
      </c>
      <c r="U6559" s="7">
        <v>0.64</v>
      </c>
      <c r="V6559" s="12">
        <f>C6559+1</f>
        <v>40655</v>
      </c>
      <c r="W6559">
        <f>IF(D6559=' Pivot Tables'!$A$4,1,0)</f>
        <v>0</v>
      </c>
      <c r="X6559">
        <f>IF(AND(LEFT(D6559,4)+1=LEFT(' Pivot Tables'!$A$4,4)+0,RIGHT(LEFT(D6559,7),2)=RIGHT(LEFT(' Pivot Tables'!$A$4,7),2)),1,0)</f>
        <v>0</v>
      </c>
      <c r="Y6559" s="6">
        <f>1/COUNTIF(Таблица1[Order ID],Таблица1[[#This Row],[Order ID]])</f>
        <v>1</v>
      </c>
      <c r="Z6559" s="9">
        <f>1/COUNTIFS(Таблица1[Customer Name],Таблица1[[#This Row],[Customer Name]],Таблица1[Order-Year-Month],Таблица1[[#This Row],[Order-Year-Month]])</f>
        <v>1</v>
      </c>
    </row>
    <row r="6560" spans="1:26" x14ac:dyDescent="0.2">
      <c r="A6560" s="6">
        <v>7401</v>
      </c>
      <c r="B6560" s="7">
        <v>52743</v>
      </c>
      <c r="C6560" s="8">
        <f>DATE(2012,12,31)-911</f>
        <v>40363</v>
      </c>
      <c r="D6560" s="8" t="str">
        <f t="shared" si="120"/>
        <v>2010-07 (июль 2010)</v>
      </c>
      <c r="E6560" s="9" t="s">
        <v>30</v>
      </c>
      <c r="F6560" s="7">
        <v>46</v>
      </c>
      <c r="G6560" s="7">
        <v>5699.22</v>
      </c>
      <c r="H6560" s="7">
        <v>0.09</v>
      </c>
      <c r="I6560" s="9" t="s">
        <v>22</v>
      </c>
      <c r="J6560" s="10">
        <v>2812.63</v>
      </c>
      <c r="K6560" s="11">
        <v>150.97999999999999</v>
      </c>
      <c r="L6560" s="11">
        <v>13.99</v>
      </c>
      <c r="M6560" s="9" t="s">
        <v>1917</v>
      </c>
      <c r="N6560" s="6" t="s">
        <v>2012</v>
      </c>
      <c r="O6560" s="6" t="s">
        <v>2012</v>
      </c>
      <c r="P6560" s="9" t="s">
        <v>25</v>
      </c>
      <c r="Q6560" s="9" t="s">
        <v>42</v>
      </c>
      <c r="R6560" s="9" t="s">
        <v>210</v>
      </c>
      <c r="S6560" s="7" t="s">
        <v>341</v>
      </c>
      <c r="T6560" s="9" t="s">
        <v>48</v>
      </c>
      <c r="U6560" s="7">
        <v>0.38</v>
      </c>
      <c r="V6560" s="12">
        <f>C6560+0</f>
        <v>40363</v>
      </c>
      <c r="W6560">
        <f>IF(D6560=' Pivot Tables'!$A$4,1,0)</f>
        <v>0</v>
      </c>
      <c r="X6560">
        <f>IF(AND(LEFT(D6560,4)+1=LEFT(' Pivot Tables'!$A$4,4)+0,RIGHT(LEFT(D6560,7),2)=RIGHT(LEFT(' Pivot Tables'!$A$4,7),2)),1,0)</f>
        <v>0</v>
      </c>
      <c r="Y6560" s="6">
        <f>1/COUNTIF(Таблица1[Order ID],Таблица1[[#This Row],[Order ID]])</f>
        <v>1</v>
      </c>
      <c r="Z6560" s="9">
        <f>1/COUNTIFS(Таблица1[Customer Name],Таблица1[[#This Row],[Customer Name]],Таблица1[Order-Year-Month],Таблица1[[#This Row],[Order-Year-Month]])</f>
        <v>1</v>
      </c>
    </row>
    <row r="6561" spans="1:26" x14ac:dyDescent="0.2">
      <c r="A6561" s="6">
        <v>7444</v>
      </c>
      <c r="B6561" s="7">
        <v>53120</v>
      </c>
      <c r="C6561" s="8">
        <f>DATE(2012,12,31)-228</f>
        <v>41046</v>
      </c>
      <c r="D6561" s="8" t="str">
        <f t="shared" si="120"/>
        <v>2012-05 (май 2012)</v>
      </c>
      <c r="E6561" s="9" t="s">
        <v>45</v>
      </c>
      <c r="F6561" s="7">
        <v>5</v>
      </c>
      <c r="G6561" s="7">
        <v>22.75</v>
      </c>
      <c r="H6561" s="7">
        <v>0.09</v>
      </c>
      <c r="I6561" s="9" t="s">
        <v>22</v>
      </c>
      <c r="J6561" s="10">
        <v>-0.44999999999999929</v>
      </c>
      <c r="K6561" s="11">
        <v>4.76</v>
      </c>
      <c r="L6561" s="11">
        <v>0.88</v>
      </c>
      <c r="M6561" s="9" t="s">
        <v>2014</v>
      </c>
      <c r="N6561" s="6" t="s">
        <v>2012</v>
      </c>
      <c r="O6561" s="6" t="s">
        <v>2012</v>
      </c>
      <c r="P6561" s="9" t="s">
        <v>41</v>
      </c>
      <c r="Q6561" s="9" t="s">
        <v>26</v>
      </c>
      <c r="R6561" s="9" t="s">
        <v>61</v>
      </c>
      <c r="S6561" s="7" t="s">
        <v>726</v>
      </c>
      <c r="T6561" s="9" t="s">
        <v>68</v>
      </c>
      <c r="U6561" s="7">
        <v>0.39</v>
      </c>
      <c r="V6561" s="12">
        <f>C6561+2</f>
        <v>41048</v>
      </c>
      <c r="W6561">
        <f>IF(D6561=' Pivot Tables'!$A$4,1,0)</f>
        <v>0</v>
      </c>
      <c r="X6561">
        <f>IF(AND(LEFT(D6561,4)+1=LEFT(' Pivot Tables'!$A$4,4)+0,RIGHT(LEFT(D6561,7),2)=RIGHT(LEFT(' Pivot Tables'!$A$4,7),2)),1,0)</f>
        <v>0</v>
      </c>
      <c r="Y6561" s="6">
        <f>1/COUNTIF(Таблица1[Order ID],Таблица1[[#This Row],[Order ID]])</f>
        <v>1</v>
      </c>
      <c r="Z6561" s="9">
        <f>1/COUNTIFS(Таблица1[Customer Name],Таблица1[[#This Row],[Customer Name]],Таблица1[Order-Year-Month],Таблица1[[#This Row],[Order-Year-Month]])</f>
        <v>1</v>
      </c>
    </row>
    <row r="6562" spans="1:26" x14ac:dyDescent="0.2">
      <c r="A6562" s="6">
        <v>7543</v>
      </c>
      <c r="B6562" s="7">
        <v>53920</v>
      </c>
      <c r="C6562" s="8">
        <f>DATE(2012,12,31)-1384</f>
        <v>39890</v>
      </c>
      <c r="D6562" s="8" t="str">
        <f t="shared" si="120"/>
        <v>2009-03 (март 2009)</v>
      </c>
      <c r="E6562" s="9" t="s">
        <v>78</v>
      </c>
      <c r="F6562" s="7">
        <v>18</v>
      </c>
      <c r="G6562" s="7">
        <v>433.31</v>
      </c>
      <c r="H6562" s="7">
        <v>0.05</v>
      </c>
      <c r="I6562" s="9" t="s">
        <v>31</v>
      </c>
      <c r="J6562" s="10">
        <v>-815.79</v>
      </c>
      <c r="K6562" s="11">
        <v>20.98</v>
      </c>
      <c r="L6562" s="11">
        <v>53.03</v>
      </c>
      <c r="M6562" s="9" t="s">
        <v>2019</v>
      </c>
      <c r="N6562" s="6" t="s">
        <v>2012</v>
      </c>
      <c r="O6562" s="6" t="s">
        <v>2012</v>
      </c>
      <c r="P6562" s="9" t="s">
        <v>60</v>
      </c>
      <c r="Q6562" s="9" t="s">
        <v>26</v>
      </c>
      <c r="R6562" s="9" t="s">
        <v>27</v>
      </c>
      <c r="S6562" s="7" t="s">
        <v>218</v>
      </c>
      <c r="T6562" s="9" t="s">
        <v>36</v>
      </c>
      <c r="U6562" s="7">
        <v>0.78</v>
      </c>
      <c r="V6562" s="12">
        <f>C6562+2</f>
        <v>39892</v>
      </c>
      <c r="W6562">
        <f>IF(D6562=' Pivot Tables'!$A$4,1,0)</f>
        <v>0</v>
      </c>
      <c r="X6562">
        <f>IF(AND(LEFT(D6562,4)+1=LEFT(' Pivot Tables'!$A$4,4)+0,RIGHT(LEFT(D6562,7),2)=RIGHT(LEFT(' Pivot Tables'!$A$4,7),2)),1,0)</f>
        <v>0</v>
      </c>
      <c r="Y6562" s="6">
        <f>1/COUNTIF(Таблица1[Order ID],Таблица1[[#This Row],[Order ID]])</f>
        <v>1</v>
      </c>
      <c r="Z6562" s="9">
        <f>1/COUNTIFS(Таблица1[Customer Name],Таблица1[[#This Row],[Customer Name]],Таблица1[Order-Year-Month],Таблица1[[#This Row],[Order-Year-Month]])</f>
        <v>1</v>
      </c>
    </row>
    <row r="6563" spans="1:26" x14ac:dyDescent="0.2">
      <c r="A6563" s="6">
        <v>7634</v>
      </c>
      <c r="B6563" s="7">
        <v>54630</v>
      </c>
      <c r="C6563" s="8">
        <f>DATE(2012,12,31)-143</f>
        <v>41131</v>
      </c>
      <c r="D6563" s="8" t="str">
        <f t="shared" si="120"/>
        <v>2012-08 (август 2012)</v>
      </c>
      <c r="E6563" s="9" t="s">
        <v>21</v>
      </c>
      <c r="F6563" s="7">
        <v>11</v>
      </c>
      <c r="G6563" s="7">
        <v>73.22</v>
      </c>
      <c r="H6563" s="7">
        <v>0.06</v>
      </c>
      <c r="I6563" s="9" t="s">
        <v>22</v>
      </c>
      <c r="J6563" s="10">
        <v>-34.53</v>
      </c>
      <c r="K6563" s="11">
        <v>6.48</v>
      </c>
      <c r="L6563" s="11">
        <v>6.22</v>
      </c>
      <c r="M6563" s="9" t="s">
        <v>2018</v>
      </c>
      <c r="N6563" s="6" t="s">
        <v>2012</v>
      </c>
      <c r="O6563" s="6" t="s">
        <v>2012</v>
      </c>
      <c r="P6563" s="9" t="s">
        <v>60</v>
      </c>
      <c r="Q6563" s="9" t="s">
        <v>26</v>
      </c>
      <c r="R6563" s="9" t="s">
        <v>61</v>
      </c>
      <c r="S6563" s="7" t="s">
        <v>943</v>
      </c>
      <c r="T6563" s="9" t="s">
        <v>39</v>
      </c>
      <c r="U6563" s="7">
        <v>0.37</v>
      </c>
      <c r="V6563" s="12">
        <f>C6563+4</f>
        <v>41135</v>
      </c>
      <c r="W6563">
        <f>IF(D6563=' Pivot Tables'!$A$4,1,0)</f>
        <v>0</v>
      </c>
      <c r="X6563">
        <f>IF(AND(LEFT(D6563,4)+1=LEFT(' Pivot Tables'!$A$4,4)+0,RIGHT(LEFT(D6563,7),2)=RIGHT(LEFT(' Pivot Tables'!$A$4,7),2)),1,0)</f>
        <v>0</v>
      </c>
      <c r="Y6563" s="6">
        <f>1/COUNTIF(Таблица1[Order ID],Таблица1[[#This Row],[Order ID]])</f>
        <v>1</v>
      </c>
      <c r="Z6563" s="9">
        <f>1/COUNTIFS(Таблица1[Customer Name],Таблица1[[#This Row],[Customer Name]],Таблица1[Order-Year-Month],Таблица1[[#This Row],[Order-Year-Month]])</f>
        <v>1</v>
      </c>
    </row>
    <row r="6564" spans="1:26" x14ac:dyDescent="0.2">
      <c r="A6564" s="6">
        <v>7717</v>
      </c>
      <c r="B6564" s="7">
        <v>55299</v>
      </c>
      <c r="C6564" s="8">
        <f>DATE(2012,12,31)-276</f>
        <v>40998</v>
      </c>
      <c r="D6564" s="8" t="str">
        <f t="shared" si="120"/>
        <v>2012-03 (март 2012)</v>
      </c>
      <c r="E6564" s="9" t="s">
        <v>21</v>
      </c>
      <c r="F6564" s="7">
        <v>20</v>
      </c>
      <c r="G6564" s="7">
        <v>22.28</v>
      </c>
      <c r="H6564" s="7">
        <v>0.09</v>
      </c>
      <c r="I6564" s="9" t="s">
        <v>22</v>
      </c>
      <c r="J6564" s="10">
        <v>-2.66</v>
      </c>
      <c r="K6564" s="11">
        <v>1.1399999999999999</v>
      </c>
      <c r="L6564" s="11">
        <v>0.7</v>
      </c>
      <c r="M6564" s="9" t="s">
        <v>1815</v>
      </c>
      <c r="N6564" s="6" t="s">
        <v>2012</v>
      </c>
      <c r="O6564" s="6" t="s">
        <v>2012</v>
      </c>
      <c r="P6564" s="9" t="s">
        <v>41</v>
      </c>
      <c r="Q6564" s="9" t="s">
        <v>26</v>
      </c>
      <c r="R6564" s="9" t="s">
        <v>66</v>
      </c>
      <c r="S6564" s="7" t="s">
        <v>1657</v>
      </c>
      <c r="T6564" s="9" t="s">
        <v>68</v>
      </c>
      <c r="U6564" s="7">
        <v>0.38</v>
      </c>
      <c r="V6564" s="12">
        <f>C6564+0</f>
        <v>40998</v>
      </c>
      <c r="W6564">
        <f>IF(D6564=' Pivot Tables'!$A$4,1,0)</f>
        <v>0</v>
      </c>
      <c r="X6564">
        <f>IF(AND(LEFT(D6564,4)+1=LEFT(' Pivot Tables'!$A$4,4)+0,RIGHT(LEFT(D6564,7),2)=RIGHT(LEFT(' Pivot Tables'!$A$4,7),2)),1,0)</f>
        <v>0</v>
      </c>
      <c r="Y6564" s="6">
        <f>1/COUNTIF(Таблица1[Order ID],Таблица1[[#This Row],[Order ID]])</f>
        <v>1</v>
      </c>
      <c r="Z6564" s="9">
        <f>1/COUNTIFS(Таблица1[Customer Name],Таблица1[[#This Row],[Customer Name]],Таблица1[Order-Year-Month],Таблица1[[#This Row],[Order-Year-Month]])</f>
        <v>1</v>
      </c>
    </row>
    <row r="6565" spans="1:26" x14ac:dyDescent="0.2">
      <c r="A6565" s="6">
        <v>7758</v>
      </c>
      <c r="B6565" s="7">
        <v>55520</v>
      </c>
      <c r="C6565" s="8">
        <f>DATE(2012,12,31)-604</f>
        <v>40670</v>
      </c>
      <c r="D6565" s="8" t="str">
        <f t="shared" si="120"/>
        <v>2011-05 (май 2011)</v>
      </c>
      <c r="E6565" s="9" t="s">
        <v>78</v>
      </c>
      <c r="F6565" s="7">
        <v>43</v>
      </c>
      <c r="G6565" s="7">
        <v>525.77</v>
      </c>
      <c r="H6565" s="7">
        <v>0.08</v>
      </c>
      <c r="I6565" s="9" t="s">
        <v>56</v>
      </c>
      <c r="J6565" s="10">
        <v>34.630000000000003</v>
      </c>
      <c r="K6565" s="11">
        <v>11.99</v>
      </c>
      <c r="L6565" s="11">
        <v>5.99</v>
      </c>
      <c r="M6565" s="9" t="s">
        <v>2013</v>
      </c>
      <c r="N6565" s="6" t="s">
        <v>2012</v>
      </c>
      <c r="O6565" s="6" t="s">
        <v>2012</v>
      </c>
      <c r="P6565" s="9" t="s">
        <v>25</v>
      </c>
      <c r="Q6565" s="9" t="s">
        <v>42</v>
      </c>
      <c r="R6565" s="9" t="s">
        <v>210</v>
      </c>
      <c r="S6565" s="7" t="s">
        <v>986</v>
      </c>
      <c r="T6565" s="9" t="s">
        <v>48</v>
      </c>
      <c r="U6565" s="7">
        <v>0.36</v>
      </c>
      <c r="V6565" s="12">
        <f>C6565+1</f>
        <v>40671</v>
      </c>
      <c r="W6565">
        <f>IF(D6565=' Pivot Tables'!$A$4,1,0)</f>
        <v>0</v>
      </c>
      <c r="X6565">
        <f>IF(AND(LEFT(D6565,4)+1=LEFT(' Pivot Tables'!$A$4,4)+0,RIGHT(LEFT(D6565,7),2)=RIGHT(LEFT(' Pivot Tables'!$A$4,7),2)),1,0)</f>
        <v>0</v>
      </c>
      <c r="Y6565" s="6">
        <f>1/COUNTIF(Таблица1[Order ID],Таблица1[[#This Row],[Order ID]])</f>
        <v>1</v>
      </c>
      <c r="Z6565" s="9">
        <f>1/COUNTIFS(Таблица1[Customer Name],Таблица1[[#This Row],[Customer Name]],Таблица1[Order-Year-Month],Таблица1[[#This Row],[Order-Year-Month]])</f>
        <v>0.33333333333333331</v>
      </c>
    </row>
    <row r="6566" spans="1:26" x14ac:dyDescent="0.2">
      <c r="A6566" s="6">
        <v>7778</v>
      </c>
      <c r="B6566" s="7">
        <v>55653</v>
      </c>
      <c r="C6566" s="8">
        <f>DATE(2012,12,31)-766</f>
        <v>40508</v>
      </c>
      <c r="D6566" s="8" t="str">
        <f t="shared" si="120"/>
        <v>2010-11 (ноябрь 2010)</v>
      </c>
      <c r="E6566" s="9" t="s">
        <v>63</v>
      </c>
      <c r="F6566" s="7">
        <v>34</v>
      </c>
      <c r="G6566" s="7">
        <v>15152.55</v>
      </c>
      <c r="H6566" s="7">
        <v>0.05</v>
      </c>
      <c r="I6566" s="9" t="s">
        <v>31</v>
      </c>
      <c r="J6566" s="10">
        <v>7719.21</v>
      </c>
      <c r="K6566" s="11">
        <v>500.98</v>
      </c>
      <c r="L6566" s="11">
        <v>28.14</v>
      </c>
      <c r="M6566" s="9" t="s">
        <v>2015</v>
      </c>
      <c r="N6566" s="6" t="s">
        <v>2012</v>
      </c>
      <c r="O6566" s="6" t="s">
        <v>2012</v>
      </c>
      <c r="P6566" s="9" t="s">
        <v>60</v>
      </c>
      <c r="Q6566" s="9" t="s">
        <v>42</v>
      </c>
      <c r="R6566" s="9" t="s">
        <v>210</v>
      </c>
      <c r="S6566" s="7" t="s">
        <v>1016</v>
      </c>
      <c r="T6566" s="9" t="s">
        <v>36</v>
      </c>
      <c r="U6566" s="7">
        <v>0.38</v>
      </c>
      <c r="V6566" s="12">
        <f>C6566+1</f>
        <v>40509</v>
      </c>
      <c r="W6566">
        <f>IF(D6566=' Pivot Tables'!$A$4,1,0)</f>
        <v>0</v>
      </c>
      <c r="X6566">
        <f>IF(AND(LEFT(D6566,4)+1=LEFT(' Pivot Tables'!$A$4,4)+0,RIGHT(LEFT(D6566,7),2)=RIGHT(LEFT(' Pivot Tables'!$A$4,7),2)),1,0)</f>
        <v>0</v>
      </c>
      <c r="Y6566" s="6">
        <f>1/COUNTIF(Таблица1[Order ID],Таблица1[[#This Row],[Order ID]])</f>
        <v>1</v>
      </c>
      <c r="Z6566" s="9">
        <f>1/COUNTIFS(Таблица1[Customer Name],Таблица1[[#This Row],[Customer Name]],Таблица1[Order-Year-Month],Таблица1[[#This Row],[Order-Year-Month]])</f>
        <v>1</v>
      </c>
    </row>
    <row r="6567" spans="1:26" x14ac:dyDescent="0.2">
      <c r="A6567" s="6">
        <v>7909</v>
      </c>
      <c r="B6567" s="7">
        <v>56577</v>
      </c>
      <c r="C6567" s="8">
        <f>DATE(2012,12,31)-425</f>
        <v>40849</v>
      </c>
      <c r="D6567" s="8" t="str">
        <f t="shared" si="120"/>
        <v>2011-11 (ноябрь 2011)</v>
      </c>
      <c r="E6567" s="9" t="s">
        <v>78</v>
      </c>
      <c r="F6567" s="7">
        <v>30</v>
      </c>
      <c r="G6567" s="7">
        <v>7497.08</v>
      </c>
      <c r="H6567" s="7">
        <v>0.02</v>
      </c>
      <c r="I6567" s="9" t="s">
        <v>31</v>
      </c>
      <c r="J6567" s="10">
        <v>698.67</v>
      </c>
      <c r="K6567" s="11">
        <v>296.18</v>
      </c>
      <c r="L6567" s="11">
        <v>54.12</v>
      </c>
      <c r="M6567" s="9" t="s">
        <v>1815</v>
      </c>
      <c r="N6567" s="6" t="s">
        <v>2012</v>
      </c>
      <c r="O6567" s="6" t="s">
        <v>2012</v>
      </c>
      <c r="P6567" s="9" t="s">
        <v>25</v>
      </c>
      <c r="Q6567" s="9" t="s">
        <v>49</v>
      </c>
      <c r="R6567" s="9" t="s">
        <v>83</v>
      </c>
      <c r="S6567" s="7" t="s">
        <v>425</v>
      </c>
      <c r="T6567" s="9" t="s">
        <v>82</v>
      </c>
      <c r="U6567" s="7">
        <v>0.76</v>
      </c>
      <c r="V6567" s="12">
        <f>C6567+1</f>
        <v>40850</v>
      </c>
      <c r="W6567">
        <f>IF(D6567=' Pivot Tables'!$A$4,1,0)</f>
        <v>0</v>
      </c>
      <c r="X6567">
        <f>IF(AND(LEFT(D6567,4)+1=LEFT(' Pivot Tables'!$A$4,4)+0,RIGHT(LEFT(D6567,7),2)=RIGHT(LEFT(' Pivot Tables'!$A$4,7),2)),1,0)</f>
        <v>0</v>
      </c>
      <c r="Y6567" s="6">
        <f>1/COUNTIF(Таблица1[Order ID],Таблица1[[#This Row],[Order ID]])</f>
        <v>0.5</v>
      </c>
      <c r="Z6567" s="9">
        <f>1/COUNTIFS(Таблица1[Customer Name],Таблица1[[#This Row],[Customer Name]],Таблица1[Order-Year-Month],Таблица1[[#This Row],[Order-Year-Month]])</f>
        <v>0.5</v>
      </c>
    </row>
    <row r="6568" spans="1:26" x14ac:dyDescent="0.2">
      <c r="A6568" s="6">
        <v>7940</v>
      </c>
      <c r="B6568" s="7">
        <v>56711</v>
      </c>
      <c r="C6568" s="8">
        <f>DATE(2012,12,31)-694</f>
        <v>40580</v>
      </c>
      <c r="D6568" s="8" t="str">
        <f t="shared" si="120"/>
        <v>2011-02 (февраль 2011)</v>
      </c>
      <c r="E6568" s="9" t="s">
        <v>21</v>
      </c>
      <c r="F6568" s="7">
        <v>25</v>
      </c>
      <c r="G6568" s="7">
        <v>1279.45</v>
      </c>
      <c r="H6568" s="7">
        <v>0.01</v>
      </c>
      <c r="I6568" s="9" t="s">
        <v>22</v>
      </c>
      <c r="J6568" s="10">
        <v>558.25</v>
      </c>
      <c r="K6568" s="11">
        <v>48.04</v>
      </c>
      <c r="L6568" s="11">
        <v>7.23</v>
      </c>
      <c r="M6568" s="9" t="s">
        <v>2023</v>
      </c>
      <c r="N6568" s="6" t="s">
        <v>2012</v>
      </c>
      <c r="O6568" s="6" t="s">
        <v>2012</v>
      </c>
      <c r="P6568" s="9" t="s">
        <v>33</v>
      </c>
      <c r="Q6568" s="9" t="s">
        <v>26</v>
      </c>
      <c r="R6568" s="9" t="s">
        <v>61</v>
      </c>
      <c r="S6568" s="7" t="s">
        <v>527</v>
      </c>
      <c r="T6568" s="9" t="s">
        <v>39</v>
      </c>
      <c r="U6568" s="7">
        <v>0.37</v>
      </c>
      <c r="V6568" s="12">
        <f>C6568+5</f>
        <v>40585</v>
      </c>
      <c r="W6568">
        <f>IF(D6568=' Pivot Tables'!$A$4,1,0)</f>
        <v>0</v>
      </c>
      <c r="X6568">
        <f>IF(AND(LEFT(D6568,4)+1=LEFT(' Pivot Tables'!$A$4,4)+0,RIGHT(LEFT(D6568,7),2)=RIGHT(LEFT(' Pivot Tables'!$A$4,7),2)),1,0)</f>
        <v>0</v>
      </c>
      <c r="Y6568" s="6">
        <f>1/COUNTIF(Таблица1[Order ID],Таблица1[[#This Row],[Order ID]])</f>
        <v>1</v>
      </c>
      <c r="Z6568" s="9">
        <f>1/COUNTIFS(Таблица1[Customer Name],Таблица1[[#This Row],[Customer Name]],Таблица1[Order-Year-Month],Таблица1[[#This Row],[Order-Year-Month]])</f>
        <v>1</v>
      </c>
    </row>
    <row r="6569" spans="1:26" x14ac:dyDescent="0.2">
      <c r="A6569" s="6">
        <v>7947</v>
      </c>
      <c r="B6569" s="7">
        <v>56769</v>
      </c>
      <c r="C6569" s="8">
        <f>DATE(2012,12,31)-763</f>
        <v>40511</v>
      </c>
      <c r="D6569" s="8" t="str">
        <f t="shared" si="120"/>
        <v>2010-11 (ноябрь 2010)</v>
      </c>
      <c r="E6569" s="9" t="s">
        <v>63</v>
      </c>
      <c r="F6569" s="7">
        <v>11</v>
      </c>
      <c r="G6569" s="7">
        <v>455.59</v>
      </c>
      <c r="H6569" s="7">
        <v>0.02</v>
      </c>
      <c r="I6569" s="9" t="s">
        <v>22</v>
      </c>
      <c r="J6569" s="10">
        <v>98.02</v>
      </c>
      <c r="K6569" s="11">
        <v>37.93</v>
      </c>
      <c r="L6569" s="11">
        <v>13.99</v>
      </c>
      <c r="M6569" s="9" t="s">
        <v>2017</v>
      </c>
      <c r="N6569" s="6" t="s">
        <v>2012</v>
      </c>
      <c r="O6569" s="6" t="s">
        <v>2012</v>
      </c>
      <c r="P6569" s="9" t="s">
        <v>33</v>
      </c>
      <c r="Q6569" s="9" t="s">
        <v>49</v>
      </c>
      <c r="R6569" s="9" t="s">
        <v>50</v>
      </c>
      <c r="S6569" s="7" t="s">
        <v>1391</v>
      </c>
      <c r="T6569" s="9" t="s">
        <v>68</v>
      </c>
      <c r="U6569" s="7">
        <v>0.67</v>
      </c>
      <c r="V6569" s="12">
        <f>C6569+2</f>
        <v>40513</v>
      </c>
      <c r="W6569">
        <f>IF(D6569=' Pivot Tables'!$A$4,1,0)</f>
        <v>0</v>
      </c>
      <c r="X6569">
        <f>IF(AND(LEFT(D6569,4)+1=LEFT(' Pivot Tables'!$A$4,4)+0,RIGHT(LEFT(D6569,7),2)=RIGHT(LEFT(' Pivot Tables'!$A$4,7),2)),1,0)</f>
        <v>0</v>
      </c>
      <c r="Y6569" s="6">
        <f>1/COUNTIF(Таблица1[Order ID],Таблица1[[#This Row],[Order ID]])</f>
        <v>1</v>
      </c>
      <c r="Z6569" s="9">
        <f>1/COUNTIFS(Таблица1[Customer Name],Таблица1[[#This Row],[Customer Name]],Таблица1[Order-Year-Month],Таблица1[[#This Row],[Order-Year-Month]])</f>
        <v>1</v>
      </c>
    </row>
    <row r="6570" spans="1:26" x14ac:dyDescent="0.2">
      <c r="A6570" s="6">
        <v>8040</v>
      </c>
      <c r="B6570" s="7">
        <v>57440</v>
      </c>
      <c r="C6570" s="8">
        <f>DATE(2012,12,31)-892</f>
        <v>40382</v>
      </c>
      <c r="D6570" s="8" t="str">
        <f t="shared" si="120"/>
        <v>2010-07 (июль 2010)</v>
      </c>
      <c r="E6570" s="9" t="s">
        <v>21</v>
      </c>
      <c r="F6570" s="7">
        <v>12</v>
      </c>
      <c r="G6570" s="7">
        <v>1171.232</v>
      </c>
      <c r="H6570" s="7">
        <v>0.04</v>
      </c>
      <c r="I6570" s="9" t="s">
        <v>56</v>
      </c>
      <c r="J6570" s="10">
        <v>-43.252000000000002</v>
      </c>
      <c r="K6570" s="11">
        <v>115.99</v>
      </c>
      <c r="L6570" s="11">
        <v>2.5</v>
      </c>
      <c r="M6570" s="9" t="s">
        <v>2018</v>
      </c>
      <c r="N6570" s="6" t="s">
        <v>2012</v>
      </c>
      <c r="O6570" s="6" t="s">
        <v>2012</v>
      </c>
      <c r="P6570" s="9" t="s">
        <v>60</v>
      </c>
      <c r="Q6570" s="9" t="s">
        <v>42</v>
      </c>
      <c r="R6570" s="9" t="s">
        <v>43</v>
      </c>
      <c r="S6570" s="7" t="s">
        <v>1079</v>
      </c>
      <c r="T6570" s="9" t="s">
        <v>39</v>
      </c>
      <c r="U6570" s="7">
        <v>0.57999999999999996</v>
      </c>
      <c r="V6570" s="12">
        <f>C6570+7</f>
        <v>40389</v>
      </c>
      <c r="W6570">
        <f>IF(D6570=' Pivot Tables'!$A$4,1,0)</f>
        <v>0</v>
      </c>
      <c r="X6570">
        <f>IF(AND(LEFT(D6570,4)+1=LEFT(' Pivot Tables'!$A$4,4)+0,RIGHT(LEFT(D6570,7),2)=RIGHT(LEFT(' Pivot Tables'!$A$4,7),2)),1,0)</f>
        <v>0</v>
      </c>
      <c r="Y6570" s="6">
        <f>1/COUNTIF(Таблица1[Order ID],Таблица1[[#This Row],[Order ID]])</f>
        <v>1</v>
      </c>
      <c r="Z6570" s="9">
        <f>1/COUNTIFS(Таблица1[Customer Name],Таблица1[[#This Row],[Customer Name]],Таблица1[Order-Year-Month],Таблица1[[#This Row],[Order-Year-Month]])</f>
        <v>1</v>
      </c>
    </row>
    <row r="6571" spans="1:26" x14ac:dyDescent="0.2">
      <c r="A6571" s="6">
        <v>8108</v>
      </c>
      <c r="B6571" s="7">
        <v>57889</v>
      </c>
      <c r="C6571" s="8">
        <f>DATE(2012,12,31)-999</f>
        <v>40275</v>
      </c>
      <c r="D6571" s="8" t="str">
        <f t="shared" si="120"/>
        <v>2010-04 (апрель 2010)</v>
      </c>
      <c r="E6571" s="9" t="s">
        <v>21</v>
      </c>
      <c r="F6571" s="7">
        <v>39</v>
      </c>
      <c r="G6571" s="7">
        <v>723.3075</v>
      </c>
      <c r="H6571" s="7">
        <v>0.01</v>
      </c>
      <c r="I6571" s="9" t="s">
        <v>22</v>
      </c>
      <c r="J6571" s="10">
        <v>216.702</v>
      </c>
      <c r="K6571" s="11">
        <v>20.99</v>
      </c>
      <c r="L6571" s="11">
        <v>0.99</v>
      </c>
      <c r="M6571" s="9" t="s">
        <v>2023</v>
      </c>
      <c r="N6571" s="6" t="s">
        <v>2012</v>
      </c>
      <c r="O6571" s="6" t="s">
        <v>2012</v>
      </c>
      <c r="P6571" s="9" t="s">
        <v>33</v>
      </c>
      <c r="Q6571" s="9" t="s">
        <v>42</v>
      </c>
      <c r="R6571" s="9" t="s">
        <v>43</v>
      </c>
      <c r="S6571" s="7" t="s">
        <v>837</v>
      </c>
      <c r="T6571" s="9" t="s">
        <v>68</v>
      </c>
      <c r="U6571" s="7">
        <v>0.56999999999999995</v>
      </c>
      <c r="V6571" s="12">
        <f>C6571+4</f>
        <v>40279</v>
      </c>
      <c r="W6571">
        <f>IF(D6571=' Pivot Tables'!$A$4,1,0)</f>
        <v>0</v>
      </c>
      <c r="X6571">
        <f>IF(AND(LEFT(D6571,4)+1=LEFT(' Pivot Tables'!$A$4,4)+0,RIGHT(LEFT(D6571,7),2)=RIGHT(LEFT(' Pivot Tables'!$A$4,7),2)),1,0)</f>
        <v>0</v>
      </c>
      <c r="Y6571" s="6">
        <f>1/COUNTIF(Таблица1[Order ID],Таблица1[[#This Row],[Order ID]])</f>
        <v>1</v>
      </c>
      <c r="Z6571" s="9">
        <f>1/COUNTIFS(Таблица1[Customer Name],Таблица1[[#This Row],[Customer Name]],Таблица1[Order-Year-Month],Таблица1[[#This Row],[Order-Year-Month]])</f>
        <v>1</v>
      </c>
    </row>
    <row r="6572" spans="1:26" x14ac:dyDescent="0.2">
      <c r="A6572" s="6">
        <v>8188</v>
      </c>
      <c r="B6572" s="7">
        <v>58564</v>
      </c>
      <c r="C6572" s="8">
        <f>DATE(2012,12,31)-49</f>
        <v>41225</v>
      </c>
      <c r="D6572" s="8" t="str">
        <f t="shared" si="120"/>
        <v>2012-11 (ноябрь 2012)</v>
      </c>
      <c r="E6572" s="9" t="s">
        <v>78</v>
      </c>
      <c r="F6572" s="7">
        <v>49</v>
      </c>
      <c r="G6572" s="7">
        <v>103.03</v>
      </c>
      <c r="H6572" s="7">
        <v>7.0000000000000007E-2</v>
      </c>
      <c r="I6572" s="9" t="s">
        <v>22</v>
      </c>
      <c r="J6572" s="10">
        <v>-82.63</v>
      </c>
      <c r="K6572" s="11">
        <v>2.08</v>
      </c>
      <c r="L6572" s="11">
        <v>2.56</v>
      </c>
      <c r="M6572" s="9" t="s">
        <v>2015</v>
      </c>
      <c r="N6572" s="6" t="s">
        <v>2012</v>
      </c>
      <c r="O6572" s="6" t="s">
        <v>2012</v>
      </c>
      <c r="P6572" s="9" t="s">
        <v>60</v>
      </c>
      <c r="Q6572" s="9" t="s">
        <v>26</v>
      </c>
      <c r="R6572" s="9" t="s">
        <v>150</v>
      </c>
      <c r="S6572" s="7" t="s">
        <v>750</v>
      </c>
      <c r="T6572" s="9" t="s">
        <v>52</v>
      </c>
      <c r="U6572" s="7">
        <v>0.55000000000000004</v>
      </c>
      <c r="V6572" s="12">
        <f>C6572+1</f>
        <v>41226</v>
      </c>
      <c r="W6572">
        <f>IF(D6572=' Pivot Tables'!$A$4,1,0)</f>
        <v>0</v>
      </c>
      <c r="X6572">
        <f>IF(AND(LEFT(D6572,4)+1=LEFT(' Pivot Tables'!$A$4,4)+0,RIGHT(LEFT(D6572,7),2)=RIGHT(LEFT(' Pivot Tables'!$A$4,7),2)),1,0)</f>
        <v>0</v>
      </c>
      <c r="Y6572" s="6">
        <f>1/COUNTIF(Таблица1[Order ID],Таблица1[[#This Row],[Order ID]])</f>
        <v>1</v>
      </c>
      <c r="Z6572" s="9">
        <f>1/COUNTIFS(Таблица1[Customer Name],Таблица1[[#This Row],[Customer Name]],Таблица1[Order-Year-Month],Таблица1[[#This Row],[Order-Year-Month]])</f>
        <v>1</v>
      </c>
    </row>
    <row r="6573" spans="1:26" x14ac:dyDescent="0.2">
      <c r="A6573" s="6">
        <v>8259</v>
      </c>
      <c r="B6573" s="7">
        <v>59072</v>
      </c>
      <c r="C6573" s="8">
        <f>DATE(2012,12,31)-1316</f>
        <v>39958</v>
      </c>
      <c r="D6573" s="8" t="str">
        <f t="shared" si="120"/>
        <v>2009-05 (май 2009)</v>
      </c>
      <c r="E6573" s="9" t="s">
        <v>45</v>
      </c>
      <c r="F6573" s="7">
        <v>12</v>
      </c>
      <c r="G6573" s="7">
        <v>78.94</v>
      </c>
      <c r="H6573" s="7">
        <v>0.03</v>
      </c>
      <c r="I6573" s="9" t="s">
        <v>56</v>
      </c>
      <c r="J6573" s="10">
        <v>-51.704000000000001</v>
      </c>
      <c r="K6573" s="11">
        <v>5.44</v>
      </c>
      <c r="L6573" s="11">
        <v>7.46</v>
      </c>
      <c r="M6573" s="9" t="s">
        <v>2016</v>
      </c>
      <c r="N6573" s="6" t="s">
        <v>2012</v>
      </c>
      <c r="O6573" s="6" t="s">
        <v>2012</v>
      </c>
      <c r="P6573" s="9" t="s">
        <v>41</v>
      </c>
      <c r="Q6573" s="9" t="s">
        <v>26</v>
      </c>
      <c r="R6573" s="9" t="s">
        <v>37</v>
      </c>
      <c r="S6573" s="7" t="s">
        <v>1911</v>
      </c>
      <c r="T6573" s="9" t="s">
        <v>39</v>
      </c>
      <c r="U6573" s="7">
        <v>0.36</v>
      </c>
      <c r="V6573" s="12">
        <f>C6573+2</f>
        <v>39960</v>
      </c>
      <c r="W6573">
        <f>IF(D6573=' Pivot Tables'!$A$4,1,0)</f>
        <v>0</v>
      </c>
      <c r="X6573">
        <f>IF(AND(LEFT(D6573,4)+1=LEFT(' Pivot Tables'!$A$4,4)+0,RIGHT(LEFT(D6573,7),2)=RIGHT(LEFT(' Pivot Tables'!$A$4,7),2)),1,0)</f>
        <v>0</v>
      </c>
      <c r="Y6573" s="6">
        <f>1/COUNTIF(Таблица1[Order ID],Таблица1[[#This Row],[Order ID]])</f>
        <v>0.25</v>
      </c>
      <c r="Z6573" s="9">
        <f>1/COUNTIFS(Таблица1[Customer Name],Таблица1[[#This Row],[Customer Name]],Таблица1[Order-Year-Month],Таблица1[[#This Row],[Order-Year-Month]])</f>
        <v>0.25</v>
      </c>
    </row>
    <row r="6574" spans="1:26" x14ac:dyDescent="0.2">
      <c r="A6574" s="6">
        <v>8260</v>
      </c>
      <c r="B6574" s="7">
        <v>59072</v>
      </c>
      <c r="C6574" s="8">
        <f>DATE(2012,12,31)-1316</f>
        <v>39958</v>
      </c>
      <c r="D6574" s="8" t="str">
        <f t="shared" si="120"/>
        <v>2009-05 (май 2009)</v>
      </c>
      <c r="E6574" s="9" t="s">
        <v>45</v>
      </c>
      <c r="F6574" s="7">
        <v>22</v>
      </c>
      <c r="G6574" s="7">
        <v>576.89</v>
      </c>
      <c r="H6574" s="7">
        <v>0.08</v>
      </c>
      <c r="I6574" s="9" t="s">
        <v>22</v>
      </c>
      <c r="J6574" s="10">
        <v>175.03</v>
      </c>
      <c r="K6574" s="11">
        <v>26.38</v>
      </c>
      <c r="L6574" s="11">
        <v>5.58</v>
      </c>
      <c r="M6574" s="9" t="s">
        <v>2016</v>
      </c>
      <c r="N6574" s="6" t="s">
        <v>2012</v>
      </c>
      <c r="O6574" s="6" t="s">
        <v>2012</v>
      </c>
      <c r="P6574" s="9" t="s">
        <v>41</v>
      </c>
      <c r="Q6574" s="9" t="s">
        <v>26</v>
      </c>
      <c r="R6574" s="9" t="s">
        <v>61</v>
      </c>
      <c r="S6574" s="7" t="s">
        <v>2024</v>
      </c>
      <c r="T6574" s="9" t="s">
        <v>39</v>
      </c>
      <c r="U6574" s="7">
        <v>0.39</v>
      </c>
      <c r="V6574" s="12">
        <f>C6574+1</f>
        <v>39959</v>
      </c>
      <c r="W6574">
        <f>IF(D6574=' Pivot Tables'!$A$4,1,0)</f>
        <v>0</v>
      </c>
      <c r="X6574">
        <f>IF(AND(LEFT(D6574,4)+1=LEFT(' Pivot Tables'!$A$4,4)+0,RIGHT(LEFT(D6574,7),2)=RIGHT(LEFT(' Pivot Tables'!$A$4,7),2)),1,0)</f>
        <v>0</v>
      </c>
      <c r="Y6574" s="6">
        <f>1/COUNTIF(Таблица1[Order ID],Таблица1[[#This Row],[Order ID]])</f>
        <v>0.25</v>
      </c>
      <c r="Z6574" s="9">
        <f>1/COUNTIFS(Таблица1[Customer Name],Таблица1[[#This Row],[Customer Name]],Таблица1[Order-Year-Month],Таблица1[[#This Row],[Order-Year-Month]])</f>
        <v>0.25</v>
      </c>
    </row>
    <row r="6575" spans="1:26" x14ac:dyDescent="0.2">
      <c r="A6575" s="6">
        <v>8261</v>
      </c>
      <c r="B6575" s="7">
        <v>59072</v>
      </c>
      <c r="C6575" s="8">
        <f>DATE(2012,12,31)-1316</f>
        <v>39958</v>
      </c>
      <c r="D6575" s="8" t="str">
        <f t="shared" si="120"/>
        <v>2009-05 (май 2009)</v>
      </c>
      <c r="E6575" s="9" t="s">
        <v>45</v>
      </c>
      <c r="F6575" s="7">
        <v>2</v>
      </c>
      <c r="G6575" s="7">
        <v>35.665999999999997</v>
      </c>
      <c r="H6575" s="7">
        <v>0.06</v>
      </c>
      <c r="I6575" s="9" t="s">
        <v>22</v>
      </c>
      <c r="J6575" s="10">
        <v>-112.18899999999999</v>
      </c>
      <c r="K6575" s="11">
        <v>20.99</v>
      </c>
      <c r="L6575" s="11">
        <v>2.5</v>
      </c>
      <c r="M6575" s="9" t="s">
        <v>2016</v>
      </c>
      <c r="N6575" s="6" t="s">
        <v>2012</v>
      </c>
      <c r="O6575" s="6" t="s">
        <v>2012</v>
      </c>
      <c r="P6575" s="9" t="s">
        <v>41</v>
      </c>
      <c r="Q6575" s="9" t="s">
        <v>42</v>
      </c>
      <c r="R6575" s="9" t="s">
        <v>43</v>
      </c>
      <c r="S6575" s="7" t="s">
        <v>108</v>
      </c>
      <c r="T6575" s="9" t="s">
        <v>68</v>
      </c>
      <c r="U6575" s="7">
        <v>0.81</v>
      </c>
      <c r="V6575" s="12">
        <f>C6575+2</f>
        <v>39960</v>
      </c>
      <c r="W6575">
        <f>IF(D6575=' Pivot Tables'!$A$4,1,0)</f>
        <v>0</v>
      </c>
      <c r="X6575">
        <f>IF(AND(LEFT(D6575,4)+1=LEFT(' Pivot Tables'!$A$4,4)+0,RIGHT(LEFT(D6575,7),2)=RIGHT(LEFT(' Pivot Tables'!$A$4,7),2)),1,0)</f>
        <v>0</v>
      </c>
      <c r="Y6575" s="6">
        <f>1/COUNTIF(Таблица1[Order ID],Таблица1[[#This Row],[Order ID]])</f>
        <v>0.25</v>
      </c>
      <c r="Z6575" s="9">
        <f>1/COUNTIFS(Таблица1[Customer Name],Таблица1[[#This Row],[Customer Name]],Таблица1[Order-Year-Month],Таблица1[[#This Row],[Order-Year-Month]])</f>
        <v>0.25</v>
      </c>
    </row>
    <row r="6576" spans="1:26" x14ac:dyDescent="0.2">
      <c r="A6576" s="6">
        <v>8262</v>
      </c>
      <c r="B6576" s="7">
        <v>59072</v>
      </c>
      <c r="C6576" s="8">
        <f>DATE(2012,12,31)-1316</f>
        <v>39958</v>
      </c>
      <c r="D6576" s="8" t="str">
        <f t="shared" si="120"/>
        <v>2009-05 (май 2009)</v>
      </c>
      <c r="E6576" s="9" t="s">
        <v>45</v>
      </c>
      <c r="F6576" s="7">
        <v>38</v>
      </c>
      <c r="G6576" s="7">
        <v>4191.5625</v>
      </c>
      <c r="H6576" s="7">
        <v>0</v>
      </c>
      <c r="I6576" s="9" t="s">
        <v>22</v>
      </c>
      <c r="J6576" s="10">
        <v>1286.5319999999999</v>
      </c>
      <c r="K6576" s="11">
        <v>125.99</v>
      </c>
      <c r="L6576" s="11">
        <v>2.5</v>
      </c>
      <c r="M6576" s="9" t="s">
        <v>2016</v>
      </c>
      <c r="N6576" s="6" t="s">
        <v>2012</v>
      </c>
      <c r="O6576" s="6" t="s">
        <v>2012</v>
      </c>
      <c r="P6576" s="9" t="s">
        <v>41</v>
      </c>
      <c r="Q6576" s="9" t="s">
        <v>42</v>
      </c>
      <c r="R6576" s="9" t="s">
        <v>43</v>
      </c>
      <c r="S6576" s="7" t="s">
        <v>1836</v>
      </c>
      <c r="T6576" s="9" t="s">
        <v>39</v>
      </c>
      <c r="U6576" s="7">
        <v>0.57999999999999996</v>
      </c>
      <c r="V6576" s="12">
        <f>C6576+2</f>
        <v>39960</v>
      </c>
      <c r="W6576">
        <f>IF(D6576=' Pivot Tables'!$A$4,1,0)</f>
        <v>0</v>
      </c>
      <c r="X6576">
        <f>IF(AND(LEFT(D6576,4)+1=LEFT(' Pivot Tables'!$A$4,4)+0,RIGHT(LEFT(D6576,7),2)=RIGHT(LEFT(' Pivot Tables'!$A$4,7),2)),1,0)</f>
        <v>0</v>
      </c>
      <c r="Y6576" s="6">
        <f>1/COUNTIF(Таблица1[Order ID],Таблица1[[#This Row],[Order ID]])</f>
        <v>0.25</v>
      </c>
      <c r="Z6576" s="9">
        <f>1/COUNTIFS(Таблица1[Customer Name],Таблица1[[#This Row],[Customer Name]],Таблица1[Order-Year-Month],Таблица1[[#This Row],[Order-Year-Month]])</f>
        <v>0.25</v>
      </c>
    </row>
    <row r="6577" spans="1:26" x14ac:dyDescent="0.2">
      <c r="A6577" s="6">
        <v>8346</v>
      </c>
      <c r="B6577" s="7">
        <v>59652</v>
      </c>
      <c r="C6577" s="8">
        <f>DATE(2012,12,31)-704</f>
        <v>40570</v>
      </c>
      <c r="D6577" s="8" t="str">
        <f t="shared" si="120"/>
        <v>2011-01 (январь 2011)</v>
      </c>
      <c r="E6577" s="9" t="s">
        <v>63</v>
      </c>
      <c r="F6577" s="7">
        <v>17</v>
      </c>
      <c r="G6577" s="7">
        <v>312.03500000000003</v>
      </c>
      <c r="H6577" s="7">
        <v>0.05</v>
      </c>
      <c r="I6577" s="9" t="s">
        <v>22</v>
      </c>
      <c r="J6577" s="10">
        <v>-55.935000000000002</v>
      </c>
      <c r="K6577" s="11">
        <v>20.99</v>
      </c>
      <c r="L6577" s="11">
        <v>0.99</v>
      </c>
      <c r="M6577" s="9" t="s">
        <v>2019</v>
      </c>
      <c r="N6577" s="6" t="s">
        <v>2012</v>
      </c>
      <c r="O6577" s="6" t="s">
        <v>2012</v>
      </c>
      <c r="P6577" s="9" t="s">
        <v>60</v>
      </c>
      <c r="Q6577" s="9" t="s">
        <v>42</v>
      </c>
      <c r="R6577" s="9" t="s">
        <v>43</v>
      </c>
      <c r="S6577" s="7" t="s">
        <v>1230</v>
      </c>
      <c r="T6577" s="9" t="s">
        <v>52</v>
      </c>
      <c r="U6577" s="7">
        <v>0.83</v>
      </c>
      <c r="V6577" s="12">
        <f>C6577+2</f>
        <v>40572</v>
      </c>
      <c r="W6577">
        <f>IF(D6577=' Pivot Tables'!$A$4,1,0)</f>
        <v>0</v>
      </c>
      <c r="X6577">
        <f>IF(AND(LEFT(D6577,4)+1=LEFT(' Pivot Tables'!$A$4,4)+0,RIGHT(LEFT(D6577,7),2)=RIGHT(LEFT(' Pivot Tables'!$A$4,7),2)),1,0)</f>
        <v>0</v>
      </c>
      <c r="Y6577" s="6">
        <f>1/COUNTIF(Таблица1[Order ID],Таблица1[[#This Row],[Order ID]])</f>
        <v>1</v>
      </c>
      <c r="Z6577" s="9">
        <f>1/COUNTIFS(Таблица1[Customer Name],Таблица1[[#This Row],[Customer Name]],Таблица1[Order-Year-Month],Таблица1[[#This Row],[Order-Year-Month]])</f>
        <v>1</v>
      </c>
    </row>
    <row r="6578" spans="1:26" x14ac:dyDescent="0.2">
      <c r="A6578" s="6">
        <v>8371</v>
      </c>
      <c r="B6578" s="7">
        <v>59783</v>
      </c>
      <c r="C6578" s="8">
        <f>DATE(2012,12,31)-865</f>
        <v>40409</v>
      </c>
      <c r="D6578" s="8" t="str">
        <f t="shared" si="120"/>
        <v>2010-08 (август 2010)</v>
      </c>
      <c r="E6578" s="9" t="s">
        <v>21</v>
      </c>
      <c r="F6578" s="7">
        <v>36</v>
      </c>
      <c r="G6578" s="7">
        <v>77.430000000000007</v>
      </c>
      <c r="H6578" s="7">
        <v>0.01</v>
      </c>
      <c r="I6578" s="9" t="s">
        <v>22</v>
      </c>
      <c r="J6578" s="10">
        <v>-60.07</v>
      </c>
      <c r="K6578" s="11">
        <v>2.08</v>
      </c>
      <c r="L6578" s="11">
        <v>2.56</v>
      </c>
      <c r="M6578" s="9" t="s">
        <v>2014</v>
      </c>
      <c r="N6578" s="6" t="s">
        <v>2012</v>
      </c>
      <c r="O6578" s="6" t="s">
        <v>2012</v>
      </c>
      <c r="P6578" s="9" t="s">
        <v>41</v>
      </c>
      <c r="Q6578" s="9" t="s">
        <v>26</v>
      </c>
      <c r="R6578" s="9" t="s">
        <v>150</v>
      </c>
      <c r="S6578" s="7" t="s">
        <v>750</v>
      </c>
      <c r="T6578" s="9" t="s">
        <v>52</v>
      </c>
      <c r="U6578" s="7">
        <v>0.55000000000000004</v>
      </c>
      <c r="V6578" s="12">
        <f>C6578+5</f>
        <v>40414</v>
      </c>
      <c r="W6578">
        <f>IF(D6578=' Pivot Tables'!$A$4,1,0)</f>
        <v>0</v>
      </c>
      <c r="X6578">
        <f>IF(AND(LEFT(D6578,4)+1=LEFT(' Pivot Tables'!$A$4,4)+0,RIGHT(LEFT(D6578,7),2)=RIGHT(LEFT(' Pivot Tables'!$A$4,7),2)),1,0)</f>
        <v>0</v>
      </c>
      <c r="Y6578" s="6">
        <f>1/COUNTIF(Таблица1[Order ID],Таблица1[[#This Row],[Order ID]])</f>
        <v>1</v>
      </c>
      <c r="Z6578" s="9">
        <f>1/COUNTIFS(Таблица1[Customer Name],Таблица1[[#This Row],[Customer Name]],Таблица1[Order-Year-Month],Таблица1[[#This Row],[Order-Year-Month]])</f>
        <v>1</v>
      </c>
    </row>
    <row r="6579" spans="1:26" x14ac:dyDescent="0.2">
      <c r="A6579" s="6">
        <v>30</v>
      </c>
      <c r="B6579" s="7">
        <v>195</v>
      </c>
      <c r="C6579" s="8">
        <f>DATE(2012,12,31)-735</f>
        <v>40539</v>
      </c>
      <c r="D6579" s="8" t="str">
        <f t="shared" si="120"/>
        <v>2010-12 (декабрь 2010)</v>
      </c>
      <c r="E6579" s="9" t="s">
        <v>63</v>
      </c>
      <c r="F6579" s="7">
        <v>34</v>
      </c>
      <c r="G6579" s="7">
        <v>1315.74</v>
      </c>
      <c r="H6579" s="7">
        <v>0.03</v>
      </c>
      <c r="I6579" s="9" t="s">
        <v>22</v>
      </c>
      <c r="J6579" s="10">
        <v>260.87</v>
      </c>
      <c r="K6579" s="11">
        <v>36.549999999999997</v>
      </c>
      <c r="L6579" s="11">
        <v>13.89</v>
      </c>
      <c r="M6579" s="9" t="s">
        <v>1491</v>
      </c>
      <c r="N6579" s="6" t="s">
        <v>2012</v>
      </c>
      <c r="O6579" s="6" t="s">
        <v>2012</v>
      </c>
      <c r="P6579" s="9" t="s">
        <v>60</v>
      </c>
      <c r="Q6579" s="9" t="s">
        <v>26</v>
      </c>
      <c r="R6579" s="9" t="s">
        <v>95</v>
      </c>
      <c r="S6579" s="7" t="s">
        <v>290</v>
      </c>
      <c r="T6579" s="9" t="s">
        <v>68</v>
      </c>
      <c r="U6579" s="7">
        <v>0.41</v>
      </c>
      <c r="V6579" s="12">
        <f>C6579+2</f>
        <v>40541</v>
      </c>
      <c r="W6579">
        <f>IF(D6579=' Pivot Tables'!$A$4,1,0)</f>
        <v>0</v>
      </c>
      <c r="X6579">
        <f>IF(AND(LEFT(D6579,4)+1=LEFT(' Pivot Tables'!$A$4,4)+0,RIGHT(LEFT(D6579,7),2)=RIGHT(LEFT(' Pivot Tables'!$A$4,7),2)),1,0)</f>
        <v>0</v>
      </c>
      <c r="Y6579" s="6">
        <f>1/COUNTIF(Таблица1[Order ID],Таблица1[[#This Row],[Order ID]])</f>
        <v>1</v>
      </c>
      <c r="Z6579" s="9">
        <f>1/COUNTIFS(Таблица1[Customer Name],Таблица1[[#This Row],[Customer Name]],Таблица1[Order-Year-Month],Таблица1[[#This Row],[Order-Year-Month]])</f>
        <v>0.5</v>
      </c>
    </row>
    <row r="6580" spans="1:26" x14ac:dyDescent="0.2">
      <c r="A6580" s="6">
        <v>32</v>
      </c>
      <c r="B6580" s="7">
        <v>224</v>
      </c>
      <c r="C6580" s="8">
        <f>DATE(2012,12,31)-1293</f>
        <v>39981</v>
      </c>
      <c r="D6580" s="8" t="str">
        <f t="shared" si="120"/>
        <v>2009-06 (июнь 2009)</v>
      </c>
      <c r="E6580" s="9" t="s">
        <v>45</v>
      </c>
      <c r="F6580" s="7">
        <v>25</v>
      </c>
      <c r="G6580" s="7">
        <v>184.86</v>
      </c>
      <c r="H6580" s="7">
        <v>0.09</v>
      </c>
      <c r="I6580" s="9" t="s">
        <v>22</v>
      </c>
      <c r="J6580" s="10">
        <v>-33.950000000000003</v>
      </c>
      <c r="K6580" s="11">
        <v>7.38</v>
      </c>
      <c r="L6580" s="11">
        <v>5.21</v>
      </c>
      <c r="M6580" s="9" t="s">
        <v>1653</v>
      </c>
      <c r="N6580" s="6" t="s">
        <v>2012</v>
      </c>
      <c r="O6580" s="6" t="s">
        <v>2012</v>
      </c>
      <c r="P6580" s="9" t="s">
        <v>41</v>
      </c>
      <c r="Q6580" s="9" t="s">
        <v>49</v>
      </c>
      <c r="R6580" s="9" t="s">
        <v>50</v>
      </c>
      <c r="S6580" s="7" t="s">
        <v>514</v>
      </c>
      <c r="T6580" s="9" t="s">
        <v>39</v>
      </c>
      <c r="U6580" s="7">
        <v>0.56000000000000005</v>
      </c>
      <c r="V6580" s="12">
        <f>C6580+1</f>
        <v>39982</v>
      </c>
      <c r="W6580">
        <f>IF(D6580=' Pivot Tables'!$A$4,1,0)</f>
        <v>0</v>
      </c>
      <c r="X6580">
        <f>IF(AND(LEFT(D6580,4)+1=LEFT(' Pivot Tables'!$A$4,4)+0,RIGHT(LEFT(D6580,7),2)=RIGHT(LEFT(' Pivot Tables'!$A$4,7),2)),1,0)</f>
        <v>0</v>
      </c>
      <c r="Y6580" s="6">
        <f>1/COUNTIF(Таблица1[Order ID],Таблица1[[#This Row],[Order ID]])</f>
        <v>0.33333333333333331</v>
      </c>
      <c r="Z6580" s="9">
        <f>1/COUNTIFS(Таблица1[Customer Name],Таблица1[[#This Row],[Customer Name]],Таблица1[Order-Year-Month],Таблица1[[#This Row],[Order-Year-Month]])</f>
        <v>0.33333333333333331</v>
      </c>
    </row>
    <row r="6581" spans="1:26" x14ac:dyDescent="0.2">
      <c r="A6581" s="6">
        <v>33</v>
      </c>
      <c r="B6581" s="7">
        <v>224</v>
      </c>
      <c r="C6581" s="8">
        <f>DATE(2012,12,31)-1293</f>
        <v>39981</v>
      </c>
      <c r="D6581" s="8" t="str">
        <f t="shared" si="120"/>
        <v>2009-06 (июнь 2009)</v>
      </c>
      <c r="E6581" s="9" t="s">
        <v>45</v>
      </c>
      <c r="F6581" s="7">
        <v>44</v>
      </c>
      <c r="G6581" s="7">
        <v>267.85000000000002</v>
      </c>
      <c r="H6581" s="7">
        <v>0.04</v>
      </c>
      <c r="I6581" s="9" t="s">
        <v>22</v>
      </c>
      <c r="J6581" s="10">
        <v>-65.430000000000007</v>
      </c>
      <c r="K6581" s="11">
        <v>5.98</v>
      </c>
      <c r="L6581" s="11">
        <v>5.15</v>
      </c>
      <c r="M6581" s="9" t="s">
        <v>1653</v>
      </c>
      <c r="N6581" s="6" t="s">
        <v>2012</v>
      </c>
      <c r="O6581" s="6" t="s">
        <v>2012</v>
      </c>
      <c r="P6581" s="9" t="s">
        <v>41</v>
      </c>
      <c r="Q6581" s="9" t="s">
        <v>26</v>
      </c>
      <c r="R6581" s="9" t="s">
        <v>61</v>
      </c>
      <c r="S6581" s="7" t="s">
        <v>995</v>
      </c>
      <c r="T6581" s="9" t="s">
        <v>39</v>
      </c>
      <c r="U6581" s="7">
        <v>0.36</v>
      </c>
      <c r="V6581" s="12">
        <f>C6581+1</f>
        <v>39982</v>
      </c>
      <c r="W6581">
        <f>IF(D6581=' Pivot Tables'!$A$4,1,0)</f>
        <v>0</v>
      </c>
      <c r="X6581">
        <f>IF(AND(LEFT(D6581,4)+1=LEFT(' Pivot Tables'!$A$4,4)+0,RIGHT(LEFT(D6581,7),2)=RIGHT(LEFT(' Pivot Tables'!$A$4,7),2)),1,0)</f>
        <v>0</v>
      </c>
      <c r="Y6581" s="6">
        <f>1/COUNTIF(Таблица1[Order ID],Таблица1[[#This Row],[Order ID]])</f>
        <v>0.33333333333333331</v>
      </c>
      <c r="Z6581" s="9">
        <f>1/COUNTIFS(Таблица1[Customer Name],Таблица1[[#This Row],[Customer Name]],Таблица1[Order-Year-Month],Таблица1[[#This Row],[Order-Year-Month]])</f>
        <v>0.33333333333333331</v>
      </c>
    </row>
    <row r="6582" spans="1:26" x14ac:dyDescent="0.2">
      <c r="A6582" s="6">
        <v>34</v>
      </c>
      <c r="B6582" s="7">
        <v>224</v>
      </c>
      <c r="C6582" s="8">
        <f>DATE(2012,12,31)-1293</f>
        <v>39981</v>
      </c>
      <c r="D6582" s="8" t="str">
        <f t="shared" si="120"/>
        <v>2009-06 (июнь 2009)</v>
      </c>
      <c r="E6582" s="9" t="s">
        <v>45</v>
      </c>
      <c r="F6582" s="7">
        <v>33</v>
      </c>
      <c r="G6582" s="7">
        <v>528.5</v>
      </c>
      <c r="H6582" s="7">
        <v>0.04</v>
      </c>
      <c r="I6582" s="9" t="s">
        <v>22</v>
      </c>
      <c r="J6582" s="10">
        <v>-149.91999999999999</v>
      </c>
      <c r="K6582" s="11">
        <v>15.42</v>
      </c>
      <c r="L6582" s="11">
        <v>10.68</v>
      </c>
      <c r="M6582" s="9" t="s">
        <v>1653</v>
      </c>
      <c r="N6582" s="6" t="s">
        <v>2012</v>
      </c>
      <c r="O6582" s="6" t="s">
        <v>2012</v>
      </c>
      <c r="P6582" s="9" t="s">
        <v>41</v>
      </c>
      <c r="Q6582" s="9" t="s">
        <v>26</v>
      </c>
      <c r="R6582" s="9" t="s">
        <v>27</v>
      </c>
      <c r="S6582" s="7" t="s">
        <v>1645</v>
      </c>
      <c r="T6582" s="9" t="s">
        <v>39</v>
      </c>
      <c r="U6582" s="7">
        <v>0.57999999999999996</v>
      </c>
      <c r="V6582" s="12">
        <f>C6582+1</f>
        <v>39982</v>
      </c>
      <c r="W6582">
        <f>IF(D6582=' Pivot Tables'!$A$4,1,0)</f>
        <v>0</v>
      </c>
      <c r="X6582">
        <f>IF(AND(LEFT(D6582,4)+1=LEFT(' Pivot Tables'!$A$4,4)+0,RIGHT(LEFT(D6582,7),2)=RIGHT(LEFT(' Pivot Tables'!$A$4,7),2)),1,0)</f>
        <v>0</v>
      </c>
      <c r="Y6582" s="6">
        <f>1/COUNTIF(Таблица1[Order ID],Таблица1[[#This Row],[Order ID]])</f>
        <v>0.33333333333333331</v>
      </c>
      <c r="Z6582" s="9">
        <f>1/COUNTIFS(Таблица1[Customer Name],Таблица1[[#This Row],[Customer Name]],Таблица1[Order-Year-Month],Таблица1[[#This Row],[Order-Year-Month]])</f>
        <v>0.33333333333333331</v>
      </c>
    </row>
    <row r="6583" spans="1:26" x14ac:dyDescent="0.2">
      <c r="A6583" s="6">
        <v>46</v>
      </c>
      <c r="B6583" s="7">
        <v>263</v>
      </c>
      <c r="C6583" s="8">
        <f>DATE(2012,12,31)-1325</f>
        <v>39949</v>
      </c>
      <c r="D6583" s="8" t="str">
        <f t="shared" si="120"/>
        <v>2009-05 (май 2009)</v>
      </c>
      <c r="E6583" s="9" t="s">
        <v>30</v>
      </c>
      <c r="F6583" s="7">
        <v>25</v>
      </c>
      <c r="G6583" s="7">
        <v>136.77000000000001</v>
      </c>
      <c r="H6583" s="7">
        <v>0.09</v>
      </c>
      <c r="I6583" s="9" t="s">
        <v>22</v>
      </c>
      <c r="J6583" s="10">
        <v>-136.25200000000001</v>
      </c>
      <c r="K6583" s="11">
        <v>5.4</v>
      </c>
      <c r="L6583" s="11">
        <v>7.78</v>
      </c>
      <c r="M6583" s="9" t="s">
        <v>1520</v>
      </c>
      <c r="N6583" s="6" t="s">
        <v>2012</v>
      </c>
      <c r="O6583" s="6" t="s">
        <v>2012</v>
      </c>
      <c r="P6583" s="9" t="s">
        <v>41</v>
      </c>
      <c r="Q6583" s="9" t="s">
        <v>26</v>
      </c>
      <c r="R6583" s="9" t="s">
        <v>37</v>
      </c>
      <c r="S6583" s="7" t="s">
        <v>330</v>
      </c>
      <c r="T6583" s="9" t="s">
        <v>39</v>
      </c>
      <c r="U6583" s="7">
        <v>0.37</v>
      </c>
      <c r="V6583" s="12">
        <f>C6583+1</f>
        <v>39950</v>
      </c>
      <c r="W6583">
        <f>IF(D6583=' Pivot Tables'!$A$4,1,0)</f>
        <v>0</v>
      </c>
      <c r="X6583">
        <f>IF(AND(LEFT(D6583,4)+1=LEFT(' Pivot Tables'!$A$4,4)+0,RIGHT(LEFT(D6583,7),2)=RIGHT(LEFT(' Pivot Tables'!$A$4,7),2)),1,0)</f>
        <v>0</v>
      </c>
      <c r="Y6583" s="6">
        <f>1/COUNTIF(Таблица1[Order ID],Таблица1[[#This Row],[Order ID]])</f>
        <v>1</v>
      </c>
      <c r="Z6583" s="9">
        <f>1/COUNTIFS(Таблица1[Customer Name],Таблица1[[#This Row],[Customer Name]],Таблица1[Order-Year-Month],Таблица1[[#This Row],[Order-Year-Month]])</f>
        <v>1</v>
      </c>
    </row>
    <row r="6584" spans="1:26" x14ac:dyDescent="0.2">
      <c r="A6584" s="6">
        <v>60</v>
      </c>
      <c r="B6584" s="7">
        <v>353</v>
      </c>
      <c r="C6584" s="8">
        <f>DATE(2012,12,31)-732</f>
        <v>40542</v>
      </c>
      <c r="D6584" s="8" t="str">
        <f t="shared" si="120"/>
        <v>2010-12 (декабрь 2010)</v>
      </c>
      <c r="E6584" s="9" t="s">
        <v>21</v>
      </c>
      <c r="F6584" s="7">
        <v>21</v>
      </c>
      <c r="G6584" s="7">
        <v>46.94</v>
      </c>
      <c r="H6584" s="7">
        <v>0.02</v>
      </c>
      <c r="I6584" s="9" t="s">
        <v>22</v>
      </c>
      <c r="J6584" s="10">
        <v>3.88</v>
      </c>
      <c r="K6584" s="11">
        <v>2.21</v>
      </c>
      <c r="L6584" s="11">
        <v>1</v>
      </c>
      <c r="M6584" s="9" t="s">
        <v>1493</v>
      </c>
      <c r="N6584" s="6" t="s">
        <v>2012</v>
      </c>
      <c r="O6584" s="6" t="s">
        <v>2012</v>
      </c>
      <c r="P6584" s="9" t="s">
        <v>60</v>
      </c>
      <c r="Q6584" s="9" t="s">
        <v>26</v>
      </c>
      <c r="R6584" s="9" t="s">
        <v>95</v>
      </c>
      <c r="S6584" s="7" t="s">
        <v>1737</v>
      </c>
      <c r="T6584" s="9" t="s">
        <v>68</v>
      </c>
      <c r="U6584" s="7">
        <v>0.38</v>
      </c>
      <c r="V6584" s="12">
        <f>C6584+92</f>
        <v>40634</v>
      </c>
      <c r="W6584">
        <f>IF(D6584=' Pivot Tables'!$A$4,1,0)</f>
        <v>0</v>
      </c>
      <c r="X6584">
        <f>IF(AND(LEFT(D6584,4)+1=LEFT(' Pivot Tables'!$A$4,4)+0,RIGHT(LEFT(D6584,7),2)=RIGHT(LEFT(' Pivot Tables'!$A$4,7),2)),1,0)</f>
        <v>0</v>
      </c>
      <c r="Y6584" s="6">
        <f>1/COUNTIF(Таблица1[Order ID],Таблица1[[#This Row],[Order ID]])</f>
        <v>1</v>
      </c>
      <c r="Z6584" s="9">
        <f>1/COUNTIFS(Таблица1[Customer Name],Таблица1[[#This Row],[Customer Name]],Таблица1[Order-Year-Month],Таблица1[[#This Row],[Order-Year-Month]])</f>
        <v>1</v>
      </c>
    </row>
    <row r="6585" spans="1:26" x14ac:dyDescent="0.2">
      <c r="A6585" s="6">
        <v>70</v>
      </c>
      <c r="B6585" s="7">
        <v>417</v>
      </c>
      <c r="C6585" s="8">
        <f>DATE(2012,12,31)-1425</f>
        <v>39849</v>
      </c>
      <c r="D6585" s="8" t="str">
        <f t="shared" si="120"/>
        <v>2009-02 (февраль 2009)</v>
      </c>
      <c r="E6585" s="9" t="s">
        <v>63</v>
      </c>
      <c r="F6585" s="7">
        <v>39</v>
      </c>
      <c r="G6585" s="7">
        <v>15260.78</v>
      </c>
      <c r="H6585" s="7">
        <v>7.0000000000000007E-2</v>
      </c>
      <c r="I6585" s="9" t="s">
        <v>31</v>
      </c>
      <c r="J6585" s="10">
        <v>8734.8799999999992</v>
      </c>
      <c r="K6585" s="11">
        <v>500.98</v>
      </c>
      <c r="L6585" s="11">
        <v>28.14</v>
      </c>
      <c r="M6585" s="9" t="s">
        <v>1555</v>
      </c>
      <c r="N6585" s="6" t="s">
        <v>2012</v>
      </c>
      <c r="O6585" s="6" t="s">
        <v>2012</v>
      </c>
      <c r="P6585" s="9" t="s">
        <v>25</v>
      </c>
      <c r="Q6585" s="9" t="s">
        <v>42</v>
      </c>
      <c r="R6585" s="9" t="s">
        <v>210</v>
      </c>
      <c r="S6585" s="7" t="s">
        <v>1016</v>
      </c>
      <c r="T6585" s="9" t="s">
        <v>36</v>
      </c>
      <c r="U6585" s="7">
        <v>0.38</v>
      </c>
      <c r="V6585" s="12">
        <f>C6585+1</f>
        <v>39850</v>
      </c>
      <c r="W6585">
        <f>IF(D6585=' Pivot Tables'!$A$4,1,0)</f>
        <v>0</v>
      </c>
      <c r="X6585">
        <f>IF(AND(LEFT(D6585,4)+1=LEFT(' Pivot Tables'!$A$4,4)+0,RIGHT(LEFT(D6585,7),2)=RIGHT(LEFT(' Pivot Tables'!$A$4,7),2)),1,0)</f>
        <v>0</v>
      </c>
      <c r="Y6585" s="6">
        <f>1/COUNTIF(Таблица1[Order ID],Таблица1[[#This Row],[Order ID]])</f>
        <v>0.5</v>
      </c>
      <c r="Z6585" s="9">
        <f>1/COUNTIFS(Таблица1[Customer Name],Таблица1[[#This Row],[Customer Name]],Таблица1[Order-Year-Month],Таблица1[[#This Row],[Order-Year-Month]])</f>
        <v>0.5</v>
      </c>
    </row>
    <row r="6586" spans="1:26" x14ac:dyDescent="0.2">
      <c r="A6586" s="6">
        <v>71</v>
      </c>
      <c r="B6586" s="7">
        <v>417</v>
      </c>
      <c r="C6586" s="8">
        <f>DATE(2012,12,31)-1425</f>
        <v>39849</v>
      </c>
      <c r="D6586" s="8" t="str">
        <f t="shared" si="120"/>
        <v>2009-02 (февраль 2009)</v>
      </c>
      <c r="E6586" s="9" t="s">
        <v>63</v>
      </c>
      <c r="F6586" s="7">
        <v>3</v>
      </c>
      <c r="G6586" s="7">
        <v>540.41</v>
      </c>
      <c r="H6586" s="7">
        <v>0.1</v>
      </c>
      <c r="I6586" s="9" t="s">
        <v>22</v>
      </c>
      <c r="J6586" s="10">
        <v>-170.98</v>
      </c>
      <c r="K6586" s="11">
        <v>178.47</v>
      </c>
      <c r="L6586" s="11">
        <v>19.989999999999998</v>
      </c>
      <c r="M6586" s="9" t="s">
        <v>1555</v>
      </c>
      <c r="N6586" s="6" t="s">
        <v>2012</v>
      </c>
      <c r="O6586" s="6" t="s">
        <v>2012</v>
      </c>
      <c r="P6586" s="9" t="s">
        <v>25</v>
      </c>
      <c r="Q6586" s="9" t="s">
        <v>26</v>
      </c>
      <c r="R6586" s="9" t="s">
        <v>27</v>
      </c>
      <c r="S6586" s="7" t="s">
        <v>1195</v>
      </c>
      <c r="T6586" s="9" t="s">
        <v>39</v>
      </c>
      <c r="U6586" s="7">
        <v>0.55000000000000004</v>
      </c>
      <c r="V6586" s="12">
        <f>C6586+2</f>
        <v>39851</v>
      </c>
      <c r="W6586">
        <f>IF(D6586=' Pivot Tables'!$A$4,1,0)</f>
        <v>0</v>
      </c>
      <c r="X6586">
        <f>IF(AND(LEFT(D6586,4)+1=LEFT(' Pivot Tables'!$A$4,4)+0,RIGHT(LEFT(D6586,7),2)=RIGHT(LEFT(' Pivot Tables'!$A$4,7),2)),1,0)</f>
        <v>0</v>
      </c>
      <c r="Y6586" s="6">
        <f>1/COUNTIF(Таблица1[Order ID],Таблица1[[#This Row],[Order ID]])</f>
        <v>0.5</v>
      </c>
      <c r="Z6586" s="9">
        <f>1/COUNTIFS(Таблица1[Customer Name],Таблица1[[#This Row],[Customer Name]],Таблица1[Order-Year-Month],Таблица1[[#This Row],[Order-Year-Month]])</f>
        <v>0.5</v>
      </c>
    </row>
    <row r="6587" spans="1:26" x14ac:dyDescent="0.2">
      <c r="A6587" s="6">
        <v>74</v>
      </c>
      <c r="B6587" s="7">
        <v>448</v>
      </c>
      <c r="C6587" s="8">
        <f>DATE(2012,12,31)-499</f>
        <v>40775</v>
      </c>
      <c r="D6587" s="8" t="str">
        <f t="shared" si="120"/>
        <v>2011-08 (август 2011)</v>
      </c>
      <c r="E6587" s="9" t="s">
        <v>63</v>
      </c>
      <c r="F6587" s="7">
        <v>22</v>
      </c>
      <c r="G6587" s="7">
        <v>1162.4005</v>
      </c>
      <c r="H6587" s="7">
        <v>0.09</v>
      </c>
      <c r="I6587" s="9" t="s">
        <v>22</v>
      </c>
      <c r="J6587" s="10">
        <v>-284.625</v>
      </c>
      <c r="K6587" s="11">
        <v>65.989999999999995</v>
      </c>
      <c r="L6587" s="11">
        <v>19.989999999999998</v>
      </c>
      <c r="M6587" s="9" t="s">
        <v>1491</v>
      </c>
      <c r="N6587" s="6" t="s">
        <v>2012</v>
      </c>
      <c r="O6587" s="6" t="s">
        <v>2012</v>
      </c>
      <c r="P6587" s="9" t="s">
        <v>41</v>
      </c>
      <c r="Q6587" s="9" t="s">
        <v>42</v>
      </c>
      <c r="R6587" s="9" t="s">
        <v>43</v>
      </c>
      <c r="S6587" s="7" t="s">
        <v>922</v>
      </c>
      <c r="T6587" s="9" t="s">
        <v>39</v>
      </c>
      <c r="U6587" s="7">
        <v>0.59</v>
      </c>
      <c r="V6587" s="12">
        <f>C6587+2</f>
        <v>40777</v>
      </c>
      <c r="W6587">
        <f>IF(D6587=' Pivot Tables'!$A$4,1,0)</f>
        <v>0</v>
      </c>
      <c r="X6587">
        <f>IF(AND(LEFT(D6587,4)+1=LEFT(' Pivot Tables'!$A$4,4)+0,RIGHT(LEFT(D6587,7),2)=RIGHT(LEFT(' Pivot Tables'!$A$4,7),2)),1,0)</f>
        <v>0</v>
      </c>
      <c r="Y6587" s="6">
        <f>1/COUNTIF(Таблица1[Order ID],Таблица1[[#This Row],[Order ID]])</f>
        <v>1</v>
      </c>
      <c r="Z6587" s="9">
        <f>1/COUNTIFS(Таблица1[Customer Name],Таблица1[[#This Row],[Customer Name]],Таблица1[Order-Year-Month],Таблица1[[#This Row],[Order-Year-Month]])</f>
        <v>1</v>
      </c>
    </row>
    <row r="6588" spans="1:26" x14ac:dyDescent="0.2">
      <c r="A6588" s="6">
        <v>137</v>
      </c>
      <c r="B6588" s="7">
        <v>871</v>
      </c>
      <c r="C6588" s="8">
        <f>DATE(2012,12,31)-413</f>
        <v>40861</v>
      </c>
      <c r="D6588" s="8" t="str">
        <f t="shared" si="120"/>
        <v>2011-11 (ноябрь 2011)</v>
      </c>
      <c r="E6588" s="9" t="s">
        <v>21</v>
      </c>
      <c r="F6588" s="7">
        <v>17</v>
      </c>
      <c r="G6588" s="7">
        <v>104.94</v>
      </c>
      <c r="H6588" s="7">
        <v>0.06</v>
      </c>
      <c r="I6588" s="9" t="s">
        <v>22</v>
      </c>
      <c r="J6588" s="10">
        <v>-34.97</v>
      </c>
      <c r="K6588" s="11">
        <v>6.24</v>
      </c>
      <c r="L6588" s="11">
        <v>5.22</v>
      </c>
      <c r="M6588" s="9" t="s">
        <v>1590</v>
      </c>
      <c r="N6588" s="6" t="s">
        <v>2012</v>
      </c>
      <c r="O6588" s="6" t="s">
        <v>2012</v>
      </c>
      <c r="P6588" s="9" t="s">
        <v>60</v>
      </c>
      <c r="Q6588" s="9" t="s">
        <v>49</v>
      </c>
      <c r="R6588" s="9" t="s">
        <v>50</v>
      </c>
      <c r="S6588" s="7" t="s">
        <v>1140</v>
      </c>
      <c r="T6588" s="9" t="s">
        <v>39</v>
      </c>
      <c r="U6588" s="7">
        <v>0.6</v>
      </c>
      <c r="V6588" s="12">
        <f>C6588+0</f>
        <v>40861</v>
      </c>
      <c r="W6588">
        <f>IF(D6588=' Pivot Tables'!$A$4,1,0)</f>
        <v>0</v>
      </c>
      <c r="X6588">
        <f>IF(AND(LEFT(D6588,4)+1=LEFT(' Pivot Tables'!$A$4,4)+0,RIGHT(LEFT(D6588,7),2)=RIGHT(LEFT(' Pivot Tables'!$A$4,7),2)),1,0)</f>
        <v>0</v>
      </c>
      <c r="Y6588" s="6">
        <f>1/COUNTIF(Таблица1[Order ID],Таблица1[[#This Row],[Order ID]])</f>
        <v>1</v>
      </c>
      <c r="Z6588" s="9">
        <f>1/COUNTIFS(Таблица1[Customer Name],Таблица1[[#This Row],[Customer Name]],Таблица1[Order-Year-Month],Таблица1[[#This Row],[Order-Year-Month]])</f>
        <v>1</v>
      </c>
    </row>
    <row r="6589" spans="1:26" x14ac:dyDescent="0.2">
      <c r="A6589" s="6">
        <v>145</v>
      </c>
      <c r="B6589" s="7">
        <v>929</v>
      </c>
      <c r="C6589" s="8">
        <f>DATE(2012,12,31)-91</f>
        <v>41183</v>
      </c>
      <c r="D6589" s="8" t="str">
        <f t="shared" si="120"/>
        <v>2012-10 (октябрь 2012)</v>
      </c>
      <c r="E6589" s="9" t="s">
        <v>30</v>
      </c>
      <c r="F6589" s="7">
        <v>21</v>
      </c>
      <c r="G6589" s="7">
        <v>227.66</v>
      </c>
      <c r="H6589" s="7">
        <v>0.04</v>
      </c>
      <c r="I6589" s="9" t="s">
        <v>22</v>
      </c>
      <c r="J6589" s="10">
        <v>-100.16</v>
      </c>
      <c r="K6589" s="11">
        <v>10.97</v>
      </c>
      <c r="L6589" s="11">
        <v>6.5</v>
      </c>
      <c r="M6589" s="9" t="s">
        <v>1592</v>
      </c>
      <c r="N6589" s="6" t="s">
        <v>2012</v>
      </c>
      <c r="O6589" s="6" t="s">
        <v>2012</v>
      </c>
      <c r="P6589" s="9" t="s">
        <v>41</v>
      </c>
      <c r="Q6589" s="9" t="s">
        <v>42</v>
      </c>
      <c r="R6589" s="9" t="s">
        <v>70</v>
      </c>
      <c r="S6589" s="7" t="s">
        <v>336</v>
      </c>
      <c r="T6589" s="9" t="s">
        <v>39</v>
      </c>
      <c r="U6589" s="7">
        <v>0.64</v>
      </c>
      <c r="V6589" s="12">
        <f>C6589+3</f>
        <v>41186</v>
      </c>
      <c r="W6589">
        <f>IF(D6589=' Pivot Tables'!$A$4,1,0)</f>
        <v>0</v>
      </c>
      <c r="X6589">
        <f>IF(AND(LEFT(D6589,4)+1=LEFT(' Pivot Tables'!$A$4,4)+0,RIGHT(LEFT(D6589,7),2)=RIGHT(LEFT(' Pivot Tables'!$A$4,7),2)),1,0)</f>
        <v>0</v>
      </c>
      <c r="Y6589" s="6">
        <f>1/COUNTIF(Таблица1[Order ID],Таблица1[[#This Row],[Order ID]])</f>
        <v>0.5</v>
      </c>
      <c r="Z6589" s="9">
        <f>1/COUNTIFS(Таблица1[Customer Name],Таблица1[[#This Row],[Customer Name]],Таблица1[Order-Year-Month],Таблица1[[#This Row],[Order-Year-Month]])</f>
        <v>0.5</v>
      </c>
    </row>
    <row r="6590" spans="1:26" x14ac:dyDescent="0.2">
      <c r="A6590" s="6">
        <v>146</v>
      </c>
      <c r="B6590" s="7">
        <v>929</v>
      </c>
      <c r="C6590" s="8">
        <f>DATE(2012,12,31)-91</f>
        <v>41183</v>
      </c>
      <c r="D6590" s="8" t="str">
        <f t="shared" si="120"/>
        <v>2012-10 (октябрь 2012)</v>
      </c>
      <c r="E6590" s="9" t="s">
        <v>30</v>
      </c>
      <c r="F6590" s="7">
        <v>39</v>
      </c>
      <c r="G6590" s="7">
        <v>84.33</v>
      </c>
      <c r="H6590" s="7">
        <v>0.04</v>
      </c>
      <c r="I6590" s="9" t="s">
        <v>22</v>
      </c>
      <c r="J6590" s="10">
        <v>-64.290000000000006</v>
      </c>
      <c r="K6590" s="11">
        <v>2.08</v>
      </c>
      <c r="L6590" s="11">
        <v>2.56</v>
      </c>
      <c r="M6590" s="9" t="s">
        <v>1592</v>
      </c>
      <c r="N6590" s="6" t="s">
        <v>2012</v>
      </c>
      <c r="O6590" s="6" t="s">
        <v>2012</v>
      </c>
      <c r="P6590" s="9" t="s">
        <v>41</v>
      </c>
      <c r="Q6590" s="9" t="s">
        <v>26</v>
      </c>
      <c r="R6590" s="9" t="s">
        <v>150</v>
      </c>
      <c r="S6590" s="7" t="s">
        <v>750</v>
      </c>
      <c r="T6590" s="9" t="s">
        <v>52</v>
      </c>
      <c r="U6590" s="7">
        <v>0.55000000000000004</v>
      </c>
      <c r="V6590" s="12">
        <f>C6590+2</f>
        <v>41185</v>
      </c>
      <c r="W6590">
        <f>IF(D6590=' Pivot Tables'!$A$4,1,0)</f>
        <v>0</v>
      </c>
      <c r="X6590">
        <f>IF(AND(LEFT(D6590,4)+1=LEFT(' Pivot Tables'!$A$4,4)+0,RIGHT(LEFT(D6590,7),2)=RIGHT(LEFT(' Pivot Tables'!$A$4,7),2)),1,0)</f>
        <v>0</v>
      </c>
      <c r="Y6590" s="6">
        <f>1/COUNTIF(Таблица1[Order ID],Таблица1[[#This Row],[Order ID]])</f>
        <v>0.5</v>
      </c>
      <c r="Z6590" s="9">
        <f>1/COUNTIFS(Таблица1[Customer Name],Таблица1[[#This Row],[Customer Name]],Таблица1[Order-Year-Month],Таблица1[[#This Row],[Order-Year-Month]])</f>
        <v>0.5</v>
      </c>
    </row>
    <row r="6591" spans="1:26" x14ac:dyDescent="0.2">
      <c r="A6591" s="6">
        <v>156</v>
      </c>
      <c r="B6591" s="7">
        <v>967</v>
      </c>
      <c r="C6591" s="8">
        <f>DATE(2012,12,31)-194</f>
        <v>41080</v>
      </c>
      <c r="D6591" s="8" t="str">
        <f t="shared" si="120"/>
        <v>2012-06 (июнь 2012)</v>
      </c>
      <c r="E6591" s="9" t="s">
        <v>63</v>
      </c>
      <c r="F6591" s="7">
        <v>6</v>
      </c>
      <c r="G6591" s="7">
        <v>90.56</v>
      </c>
      <c r="H6591" s="7">
        <v>0.03</v>
      </c>
      <c r="I6591" s="9" t="s">
        <v>22</v>
      </c>
      <c r="J6591" s="10">
        <v>-37.584000000000003</v>
      </c>
      <c r="K6591" s="11">
        <v>13.99</v>
      </c>
      <c r="L6591" s="11">
        <v>7.51</v>
      </c>
      <c r="M6591" s="9" t="s">
        <v>1498</v>
      </c>
      <c r="N6591" s="6" t="s">
        <v>2012</v>
      </c>
      <c r="O6591" s="6" t="s">
        <v>2012</v>
      </c>
      <c r="P6591" s="9" t="s">
        <v>33</v>
      </c>
      <c r="Q6591" s="9" t="s">
        <v>42</v>
      </c>
      <c r="R6591" s="9" t="s">
        <v>210</v>
      </c>
      <c r="S6591" s="7" t="s">
        <v>687</v>
      </c>
      <c r="T6591" s="9" t="s">
        <v>48</v>
      </c>
      <c r="U6591" s="7">
        <v>0.39</v>
      </c>
      <c r="V6591" s="12">
        <f>C6591+2</f>
        <v>41082</v>
      </c>
      <c r="W6591">
        <f>IF(D6591=' Pivot Tables'!$A$4,1,0)</f>
        <v>0</v>
      </c>
      <c r="X6591">
        <f>IF(AND(LEFT(D6591,4)+1=LEFT(' Pivot Tables'!$A$4,4)+0,RIGHT(LEFT(D6591,7),2)=RIGHT(LEFT(' Pivot Tables'!$A$4,7),2)),1,0)</f>
        <v>0</v>
      </c>
      <c r="Y6591" s="6">
        <f>1/COUNTIF(Таблица1[Order ID],Таблица1[[#This Row],[Order ID]])</f>
        <v>0.33333333333333331</v>
      </c>
      <c r="Z6591" s="9">
        <f>1/COUNTIFS(Таблица1[Customer Name],Таблица1[[#This Row],[Customer Name]],Таблица1[Order-Year-Month],Таблица1[[#This Row],[Order-Year-Month]])</f>
        <v>0.2</v>
      </c>
    </row>
    <row r="6592" spans="1:26" x14ac:dyDescent="0.2">
      <c r="A6592" s="6">
        <v>157</v>
      </c>
      <c r="B6592" s="7">
        <v>967</v>
      </c>
      <c r="C6592" s="8">
        <f>DATE(2012,12,31)-194</f>
        <v>41080</v>
      </c>
      <c r="D6592" s="8" t="str">
        <f t="shared" si="120"/>
        <v>2012-06 (июнь 2012)</v>
      </c>
      <c r="E6592" s="9" t="s">
        <v>63</v>
      </c>
      <c r="F6592" s="7">
        <v>42</v>
      </c>
      <c r="G6592" s="7">
        <v>1634.9</v>
      </c>
      <c r="H6592" s="7">
        <v>0.01</v>
      </c>
      <c r="I6592" s="9" t="s">
        <v>22</v>
      </c>
      <c r="J6592" s="10">
        <v>502.42</v>
      </c>
      <c r="K6592" s="11">
        <v>37.74</v>
      </c>
      <c r="L6592" s="11">
        <v>2.9</v>
      </c>
      <c r="M6592" s="9" t="s">
        <v>1498</v>
      </c>
      <c r="N6592" s="6" t="s">
        <v>2012</v>
      </c>
      <c r="O6592" s="6" t="s">
        <v>2012</v>
      </c>
      <c r="P6592" s="9" t="s">
        <v>33</v>
      </c>
      <c r="Q6592" s="9" t="s">
        <v>26</v>
      </c>
      <c r="R6592" s="9" t="s">
        <v>95</v>
      </c>
      <c r="S6592" s="7" t="s">
        <v>975</v>
      </c>
      <c r="T6592" s="9" t="s">
        <v>52</v>
      </c>
      <c r="U6592" s="7">
        <v>0.59</v>
      </c>
      <c r="V6592" s="12">
        <f>C6592+1</f>
        <v>41081</v>
      </c>
      <c r="W6592">
        <f>IF(D6592=' Pivot Tables'!$A$4,1,0)</f>
        <v>0</v>
      </c>
      <c r="X6592">
        <f>IF(AND(LEFT(D6592,4)+1=LEFT(' Pivot Tables'!$A$4,4)+0,RIGHT(LEFT(D6592,7),2)=RIGHT(LEFT(' Pivot Tables'!$A$4,7),2)),1,0)</f>
        <v>0</v>
      </c>
      <c r="Y6592" s="6">
        <f>1/COUNTIF(Таблица1[Order ID],Таблица1[[#This Row],[Order ID]])</f>
        <v>0.33333333333333331</v>
      </c>
      <c r="Z6592" s="9">
        <f>1/COUNTIFS(Таблица1[Customer Name],Таблица1[[#This Row],[Customer Name]],Таблица1[Order-Year-Month],Таблица1[[#This Row],[Order-Year-Month]])</f>
        <v>0.2</v>
      </c>
    </row>
    <row r="6593" spans="1:26" x14ac:dyDescent="0.2">
      <c r="A6593" s="6">
        <v>158</v>
      </c>
      <c r="B6593" s="7">
        <v>967</v>
      </c>
      <c r="C6593" s="8">
        <f>DATE(2012,12,31)-194</f>
        <v>41080</v>
      </c>
      <c r="D6593" s="8" t="str">
        <f t="shared" si="120"/>
        <v>2012-06 (июнь 2012)</v>
      </c>
      <c r="E6593" s="9" t="s">
        <v>63</v>
      </c>
      <c r="F6593" s="7">
        <v>48</v>
      </c>
      <c r="G6593" s="7">
        <v>11278.18</v>
      </c>
      <c r="H6593" s="7">
        <v>0.01</v>
      </c>
      <c r="I6593" s="9" t="s">
        <v>31</v>
      </c>
      <c r="J6593" s="10">
        <v>1836.81</v>
      </c>
      <c r="K6593" s="11">
        <v>227.55</v>
      </c>
      <c r="L6593" s="11">
        <v>32.479999999999997</v>
      </c>
      <c r="M6593" s="9" t="s">
        <v>1498</v>
      </c>
      <c r="N6593" s="6" t="s">
        <v>2012</v>
      </c>
      <c r="O6593" s="6" t="s">
        <v>2012</v>
      </c>
      <c r="P6593" s="9" t="s">
        <v>33</v>
      </c>
      <c r="Q6593" s="9" t="s">
        <v>49</v>
      </c>
      <c r="R6593" s="9" t="s">
        <v>83</v>
      </c>
      <c r="S6593" s="7" t="s">
        <v>1632</v>
      </c>
      <c r="T6593" s="9" t="s">
        <v>82</v>
      </c>
      <c r="U6593" s="7">
        <v>0.68</v>
      </c>
      <c r="V6593" s="12">
        <f>C6593+3</f>
        <v>41083</v>
      </c>
      <c r="W6593">
        <f>IF(D6593=' Pivot Tables'!$A$4,1,0)</f>
        <v>0</v>
      </c>
      <c r="X6593">
        <f>IF(AND(LEFT(D6593,4)+1=LEFT(' Pivot Tables'!$A$4,4)+0,RIGHT(LEFT(D6593,7),2)=RIGHT(LEFT(' Pivot Tables'!$A$4,7),2)),1,0)</f>
        <v>0</v>
      </c>
      <c r="Y6593" s="6">
        <f>1/COUNTIF(Таблица1[Order ID],Таблица1[[#This Row],[Order ID]])</f>
        <v>0.33333333333333331</v>
      </c>
      <c r="Z6593" s="9">
        <f>1/COUNTIFS(Таблица1[Customer Name],Таблица1[[#This Row],[Customer Name]],Таблица1[Order-Year-Month],Таблица1[[#This Row],[Order-Year-Month]])</f>
        <v>0.2</v>
      </c>
    </row>
    <row r="6594" spans="1:26" x14ac:dyDescent="0.2">
      <c r="A6594" s="6">
        <v>212</v>
      </c>
      <c r="B6594" s="7">
        <v>1411</v>
      </c>
      <c r="C6594" s="8">
        <f>DATE(2012,12,31)-1107</f>
        <v>40167</v>
      </c>
      <c r="D6594" s="8" t="str">
        <f t="shared" si="120"/>
        <v>2009-12 (декабрь 2009)</v>
      </c>
      <c r="E6594" s="9" t="s">
        <v>30</v>
      </c>
      <c r="F6594" s="7">
        <v>47</v>
      </c>
      <c r="G6594" s="7">
        <v>6717.9324999999999</v>
      </c>
      <c r="H6594" s="7">
        <v>0.09</v>
      </c>
      <c r="I6594" s="9" t="s">
        <v>22</v>
      </c>
      <c r="J6594" s="10">
        <v>1717.893</v>
      </c>
      <c r="K6594" s="11">
        <v>175.99</v>
      </c>
      <c r="L6594" s="11">
        <v>4.99</v>
      </c>
      <c r="M6594" s="9" t="s">
        <v>1455</v>
      </c>
      <c r="N6594" s="6" t="s">
        <v>2012</v>
      </c>
      <c r="O6594" s="6" t="s">
        <v>2012</v>
      </c>
      <c r="P6594" s="9" t="s">
        <v>25</v>
      </c>
      <c r="Q6594" s="9" t="s">
        <v>42</v>
      </c>
      <c r="R6594" s="9" t="s">
        <v>43</v>
      </c>
      <c r="S6594" s="7" t="s">
        <v>771</v>
      </c>
      <c r="T6594" s="9" t="s">
        <v>39</v>
      </c>
      <c r="U6594" s="7">
        <v>0.59</v>
      </c>
      <c r="V6594" s="12">
        <f>C6594+2</f>
        <v>40169</v>
      </c>
      <c r="W6594">
        <f>IF(D6594=' Pivot Tables'!$A$4,1,0)</f>
        <v>0</v>
      </c>
      <c r="X6594">
        <f>IF(AND(LEFT(D6594,4)+1=LEFT(' Pivot Tables'!$A$4,4)+0,RIGHT(LEFT(D6594,7),2)=RIGHT(LEFT(' Pivot Tables'!$A$4,7),2)),1,0)</f>
        <v>0</v>
      </c>
      <c r="Y6594" s="6">
        <f>1/COUNTIF(Таблица1[Order ID],Таблица1[[#This Row],[Order ID]])</f>
        <v>0.5</v>
      </c>
      <c r="Z6594" s="9">
        <f>1/COUNTIFS(Таблица1[Customer Name],Таблица1[[#This Row],[Customer Name]],Таблица1[Order-Year-Month],Таблица1[[#This Row],[Order-Year-Month]])</f>
        <v>0.5</v>
      </c>
    </row>
    <row r="6595" spans="1:26" x14ac:dyDescent="0.2">
      <c r="A6595" s="6">
        <v>235</v>
      </c>
      <c r="B6595" s="7">
        <v>1575</v>
      </c>
      <c r="C6595" s="8">
        <f>DATE(2012,12,31)-476</f>
        <v>40798</v>
      </c>
      <c r="D6595" s="8" t="str">
        <f t="shared" ref="D6595:D6658" si="121">TEXT(C6595,"гггг-ММ (ММММ гггг)")</f>
        <v>2011-09 (сентябрь 2011)</v>
      </c>
      <c r="E6595" s="9" t="s">
        <v>63</v>
      </c>
      <c r="F6595" s="7">
        <v>26</v>
      </c>
      <c r="G6595" s="7">
        <v>133.65</v>
      </c>
      <c r="H6595" s="7">
        <v>0.05</v>
      </c>
      <c r="I6595" s="9" t="s">
        <v>22</v>
      </c>
      <c r="J6595" s="10">
        <v>56.28</v>
      </c>
      <c r="K6595" s="11">
        <v>4.9800000000000004</v>
      </c>
      <c r="L6595" s="11">
        <v>0.8</v>
      </c>
      <c r="M6595" s="9" t="s">
        <v>1545</v>
      </c>
      <c r="N6595" s="6" t="s">
        <v>2012</v>
      </c>
      <c r="O6595" s="6" t="s">
        <v>2012</v>
      </c>
      <c r="P6595" s="9" t="s">
        <v>25</v>
      </c>
      <c r="Q6595" s="9" t="s">
        <v>26</v>
      </c>
      <c r="R6595" s="9" t="s">
        <v>61</v>
      </c>
      <c r="S6595" s="7" t="s">
        <v>842</v>
      </c>
      <c r="T6595" s="9" t="s">
        <v>68</v>
      </c>
      <c r="U6595" s="7">
        <v>0.36</v>
      </c>
      <c r="V6595" s="12">
        <f>C6595+2</f>
        <v>40800</v>
      </c>
      <c r="W6595">
        <f>IF(D6595=' Pivot Tables'!$A$4,1,0)</f>
        <v>0</v>
      </c>
      <c r="X6595">
        <f>IF(AND(LEFT(D6595,4)+1=LEFT(' Pivot Tables'!$A$4,4)+0,RIGHT(LEFT(D6595,7),2)=RIGHT(LEFT(' Pivot Tables'!$A$4,7),2)),1,0)</f>
        <v>0</v>
      </c>
      <c r="Y6595" s="6">
        <f>1/COUNTIF(Таблица1[Order ID],Таблица1[[#This Row],[Order ID]])</f>
        <v>0.5</v>
      </c>
      <c r="Z6595" s="9">
        <f>1/COUNTIFS(Таблица1[Customer Name],Таблица1[[#This Row],[Customer Name]],Таблица1[Order-Year-Month],Таблица1[[#This Row],[Order-Year-Month]])</f>
        <v>0.5</v>
      </c>
    </row>
    <row r="6596" spans="1:26" x14ac:dyDescent="0.2">
      <c r="A6596" s="6">
        <v>236</v>
      </c>
      <c r="B6596" s="7">
        <v>1575</v>
      </c>
      <c r="C6596" s="8">
        <f>DATE(2012,12,31)-476</f>
        <v>40798</v>
      </c>
      <c r="D6596" s="8" t="str">
        <f t="shared" si="121"/>
        <v>2011-09 (сентябрь 2011)</v>
      </c>
      <c r="E6596" s="9" t="s">
        <v>63</v>
      </c>
      <c r="F6596" s="7">
        <v>10</v>
      </c>
      <c r="G6596" s="7">
        <v>525.67399999999998</v>
      </c>
      <c r="H6596" s="7">
        <v>0.08</v>
      </c>
      <c r="I6596" s="9" t="s">
        <v>22</v>
      </c>
      <c r="J6596" s="10">
        <v>-147.01499999999999</v>
      </c>
      <c r="K6596" s="11">
        <v>65.989999999999995</v>
      </c>
      <c r="L6596" s="11">
        <v>5.26</v>
      </c>
      <c r="M6596" s="9" t="s">
        <v>1545</v>
      </c>
      <c r="N6596" s="6" t="s">
        <v>2012</v>
      </c>
      <c r="O6596" s="6" t="s">
        <v>2012</v>
      </c>
      <c r="P6596" s="9" t="s">
        <v>25</v>
      </c>
      <c r="Q6596" s="9" t="s">
        <v>42</v>
      </c>
      <c r="R6596" s="9" t="s">
        <v>43</v>
      </c>
      <c r="S6596" s="7" t="s">
        <v>390</v>
      </c>
      <c r="T6596" s="9" t="s">
        <v>39</v>
      </c>
      <c r="U6596" s="7">
        <v>0.56000000000000005</v>
      </c>
      <c r="V6596" s="12">
        <f>C6596+2</f>
        <v>40800</v>
      </c>
      <c r="W6596">
        <f>IF(D6596=' Pivot Tables'!$A$4,1,0)</f>
        <v>0</v>
      </c>
      <c r="X6596">
        <f>IF(AND(LEFT(D6596,4)+1=LEFT(' Pivot Tables'!$A$4,4)+0,RIGHT(LEFT(D6596,7),2)=RIGHT(LEFT(' Pivot Tables'!$A$4,7),2)),1,0)</f>
        <v>0</v>
      </c>
      <c r="Y6596" s="6">
        <f>1/COUNTIF(Таблица1[Order ID],Таблица1[[#This Row],[Order ID]])</f>
        <v>0.5</v>
      </c>
      <c r="Z6596" s="9">
        <f>1/COUNTIFS(Таблица1[Customer Name],Таблица1[[#This Row],[Customer Name]],Таблица1[Order-Year-Month],Таблица1[[#This Row],[Order-Year-Month]])</f>
        <v>0.5</v>
      </c>
    </row>
    <row r="6597" spans="1:26" x14ac:dyDescent="0.2">
      <c r="A6597" s="6">
        <v>240</v>
      </c>
      <c r="B6597" s="7">
        <v>1637</v>
      </c>
      <c r="C6597" s="8">
        <f>DATE(2012,12,31)-693</f>
        <v>40581</v>
      </c>
      <c r="D6597" s="8" t="str">
        <f t="shared" si="121"/>
        <v>2011-02 (февраль 2011)</v>
      </c>
      <c r="E6597" s="9" t="s">
        <v>45</v>
      </c>
      <c r="F6597" s="7">
        <v>36</v>
      </c>
      <c r="G6597" s="7">
        <v>1225.52</v>
      </c>
      <c r="H6597" s="7">
        <v>0.1</v>
      </c>
      <c r="I6597" s="9" t="s">
        <v>56</v>
      </c>
      <c r="J6597" s="10">
        <v>-1191.1300000000001</v>
      </c>
      <c r="K6597" s="11">
        <v>35.479999999999997</v>
      </c>
      <c r="L6597" s="11">
        <v>35</v>
      </c>
      <c r="M6597" s="9" t="s">
        <v>1948</v>
      </c>
      <c r="N6597" s="6" t="s">
        <v>2012</v>
      </c>
      <c r="O6597" s="6" t="s">
        <v>2012</v>
      </c>
      <c r="P6597" s="9" t="s">
        <v>41</v>
      </c>
      <c r="Q6597" s="9" t="s">
        <v>26</v>
      </c>
      <c r="R6597" s="9" t="s">
        <v>27</v>
      </c>
      <c r="S6597" s="7" t="s">
        <v>2025</v>
      </c>
      <c r="T6597" s="9" t="s">
        <v>29</v>
      </c>
      <c r="U6597" s="7">
        <v>0.85</v>
      </c>
      <c r="V6597" s="12">
        <f>C6597+0</f>
        <v>40581</v>
      </c>
      <c r="W6597">
        <f>IF(D6597=' Pivot Tables'!$A$4,1,0)</f>
        <v>0</v>
      </c>
      <c r="X6597">
        <f>IF(AND(LEFT(D6597,4)+1=LEFT(' Pivot Tables'!$A$4,4)+0,RIGHT(LEFT(D6597,7),2)=RIGHT(LEFT(' Pivot Tables'!$A$4,7),2)),1,0)</f>
        <v>0</v>
      </c>
      <c r="Y6597" s="6">
        <f>1/COUNTIF(Таблица1[Order ID],Таблица1[[#This Row],[Order ID]])</f>
        <v>0.33333333333333331</v>
      </c>
      <c r="Z6597" s="9">
        <f>1/COUNTIFS(Таблица1[Customer Name],Таблица1[[#This Row],[Customer Name]],Таблица1[Order-Year-Month],Таблица1[[#This Row],[Order-Year-Month]])</f>
        <v>0.33333333333333331</v>
      </c>
    </row>
    <row r="6598" spans="1:26" x14ac:dyDescent="0.2">
      <c r="A6598" s="6">
        <v>241</v>
      </c>
      <c r="B6598" s="7">
        <v>1637</v>
      </c>
      <c r="C6598" s="8">
        <f>DATE(2012,12,31)-693</f>
        <v>40581</v>
      </c>
      <c r="D6598" s="8" t="str">
        <f t="shared" si="121"/>
        <v>2011-02 (февраль 2011)</v>
      </c>
      <c r="E6598" s="9" t="s">
        <v>45</v>
      </c>
      <c r="F6598" s="7">
        <v>10</v>
      </c>
      <c r="G6598" s="7">
        <v>1024.29</v>
      </c>
      <c r="H6598" s="7">
        <v>7.0000000000000007E-2</v>
      </c>
      <c r="I6598" s="9" t="s">
        <v>22</v>
      </c>
      <c r="J6598" s="10">
        <v>-95.52</v>
      </c>
      <c r="K6598" s="11">
        <v>99.99</v>
      </c>
      <c r="L6598" s="11">
        <v>19.989999999999998</v>
      </c>
      <c r="M6598" s="9" t="s">
        <v>1948</v>
      </c>
      <c r="N6598" s="6" t="s">
        <v>2012</v>
      </c>
      <c r="O6598" s="6" t="s">
        <v>2012</v>
      </c>
      <c r="P6598" s="9" t="s">
        <v>41</v>
      </c>
      <c r="Q6598" s="9" t="s">
        <v>42</v>
      </c>
      <c r="R6598" s="9" t="s">
        <v>70</v>
      </c>
      <c r="S6598" s="7" t="s">
        <v>337</v>
      </c>
      <c r="T6598" s="9" t="s">
        <v>39</v>
      </c>
      <c r="U6598" s="7">
        <v>0.52</v>
      </c>
      <c r="V6598" s="12">
        <f>C6598+0</f>
        <v>40581</v>
      </c>
      <c r="W6598">
        <f>IF(D6598=' Pivot Tables'!$A$4,1,0)</f>
        <v>0</v>
      </c>
      <c r="X6598">
        <f>IF(AND(LEFT(D6598,4)+1=LEFT(' Pivot Tables'!$A$4,4)+0,RIGHT(LEFT(D6598,7),2)=RIGHT(LEFT(' Pivot Tables'!$A$4,7),2)),1,0)</f>
        <v>0</v>
      </c>
      <c r="Y6598" s="6">
        <f>1/COUNTIF(Таблица1[Order ID],Таблица1[[#This Row],[Order ID]])</f>
        <v>0.33333333333333331</v>
      </c>
      <c r="Z6598" s="9">
        <f>1/COUNTIFS(Таблица1[Customer Name],Таблица1[[#This Row],[Customer Name]],Таблица1[Order-Year-Month],Таблица1[[#This Row],[Order-Year-Month]])</f>
        <v>0.33333333333333331</v>
      </c>
    </row>
    <row r="6599" spans="1:26" x14ac:dyDescent="0.2">
      <c r="A6599" s="6">
        <v>242</v>
      </c>
      <c r="B6599" s="7">
        <v>1637</v>
      </c>
      <c r="C6599" s="8">
        <f>DATE(2012,12,31)-693</f>
        <v>40581</v>
      </c>
      <c r="D6599" s="8" t="str">
        <f t="shared" si="121"/>
        <v>2011-02 (февраль 2011)</v>
      </c>
      <c r="E6599" s="9" t="s">
        <v>45</v>
      </c>
      <c r="F6599" s="7">
        <v>47</v>
      </c>
      <c r="G6599" s="7">
        <v>1348.57</v>
      </c>
      <c r="H6599" s="7">
        <v>0.08</v>
      </c>
      <c r="I6599" s="9" t="s">
        <v>22</v>
      </c>
      <c r="J6599" s="10">
        <v>19.57</v>
      </c>
      <c r="K6599" s="11">
        <v>30.98</v>
      </c>
      <c r="L6599" s="11">
        <v>8.99</v>
      </c>
      <c r="M6599" s="9" t="s">
        <v>1948</v>
      </c>
      <c r="N6599" s="6" t="s">
        <v>2012</v>
      </c>
      <c r="O6599" s="6" t="s">
        <v>2012</v>
      </c>
      <c r="P6599" s="9" t="s">
        <v>41</v>
      </c>
      <c r="Q6599" s="9" t="s">
        <v>26</v>
      </c>
      <c r="R6599" s="9" t="s">
        <v>95</v>
      </c>
      <c r="S6599" s="7" t="s">
        <v>1055</v>
      </c>
      <c r="T6599" s="9" t="s">
        <v>52</v>
      </c>
      <c r="U6599" s="7">
        <v>0.57999999999999996</v>
      </c>
      <c r="V6599" s="12">
        <f>C6599+2</f>
        <v>40583</v>
      </c>
      <c r="W6599">
        <f>IF(D6599=' Pivot Tables'!$A$4,1,0)</f>
        <v>0</v>
      </c>
      <c r="X6599">
        <f>IF(AND(LEFT(D6599,4)+1=LEFT(' Pivot Tables'!$A$4,4)+0,RIGHT(LEFT(D6599,7),2)=RIGHT(LEFT(' Pivot Tables'!$A$4,7),2)),1,0)</f>
        <v>0</v>
      </c>
      <c r="Y6599" s="6">
        <f>1/COUNTIF(Таблица1[Order ID],Таблица1[[#This Row],[Order ID]])</f>
        <v>0.33333333333333331</v>
      </c>
      <c r="Z6599" s="9">
        <f>1/COUNTIFS(Таблица1[Customer Name],Таблица1[[#This Row],[Customer Name]],Таблица1[Order-Year-Month],Таблица1[[#This Row],[Order-Year-Month]])</f>
        <v>0.33333333333333331</v>
      </c>
    </row>
    <row r="6600" spans="1:26" x14ac:dyDescent="0.2">
      <c r="A6600" s="6">
        <v>272</v>
      </c>
      <c r="B6600" s="7">
        <v>1888</v>
      </c>
      <c r="C6600" s="8">
        <f>DATE(2012,12,31)-793</f>
        <v>40481</v>
      </c>
      <c r="D6600" s="8" t="str">
        <f t="shared" si="121"/>
        <v>2010-10 (октябрь 2010)</v>
      </c>
      <c r="E6600" s="9" t="s">
        <v>45</v>
      </c>
      <c r="F6600" s="7">
        <v>38</v>
      </c>
      <c r="G6600" s="7">
        <v>1264.46</v>
      </c>
      <c r="H6600" s="7">
        <v>0</v>
      </c>
      <c r="I6600" s="9" t="s">
        <v>31</v>
      </c>
      <c r="J6600" s="10">
        <v>-1249.3900000000001</v>
      </c>
      <c r="K6600" s="11">
        <v>31.76</v>
      </c>
      <c r="L6600" s="11">
        <v>45.51</v>
      </c>
      <c r="M6600" s="9" t="s">
        <v>1805</v>
      </c>
      <c r="N6600" s="6" t="s">
        <v>2012</v>
      </c>
      <c r="O6600" s="6" t="s">
        <v>2012</v>
      </c>
      <c r="P6600" s="9" t="s">
        <v>41</v>
      </c>
      <c r="Q6600" s="9" t="s">
        <v>49</v>
      </c>
      <c r="R6600" s="9" t="s">
        <v>83</v>
      </c>
      <c r="S6600" s="7" t="s">
        <v>611</v>
      </c>
      <c r="T6600" s="9" t="s">
        <v>82</v>
      </c>
      <c r="U6600" s="7">
        <v>0.65</v>
      </c>
      <c r="V6600" s="12">
        <f>C6600+0</f>
        <v>40481</v>
      </c>
      <c r="W6600">
        <f>IF(D6600=' Pivot Tables'!$A$4,1,0)</f>
        <v>0</v>
      </c>
      <c r="X6600">
        <f>IF(AND(LEFT(D6600,4)+1=LEFT(' Pivot Tables'!$A$4,4)+0,RIGHT(LEFT(D6600,7),2)=RIGHT(LEFT(' Pivot Tables'!$A$4,7),2)),1,0)</f>
        <v>0</v>
      </c>
      <c r="Y6600" s="6">
        <f>1/COUNTIF(Таблица1[Order ID],Таблица1[[#This Row],[Order ID]])</f>
        <v>0.5</v>
      </c>
      <c r="Z6600" s="9">
        <f>1/COUNTIFS(Таблица1[Customer Name],Таблица1[[#This Row],[Customer Name]],Таблица1[Order-Year-Month],Таблица1[[#This Row],[Order-Year-Month]])</f>
        <v>0.5</v>
      </c>
    </row>
    <row r="6601" spans="1:26" x14ac:dyDescent="0.2">
      <c r="A6601" s="6">
        <v>273</v>
      </c>
      <c r="B6601" s="7">
        <v>1888</v>
      </c>
      <c r="C6601" s="8">
        <f>DATE(2012,12,31)-793</f>
        <v>40481</v>
      </c>
      <c r="D6601" s="8" t="str">
        <f t="shared" si="121"/>
        <v>2010-10 (октябрь 2010)</v>
      </c>
      <c r="E6601" s="9" t="s">
        <v>45</v>
      </c>
      <c r="F6601" s="7">
        <v>35</v>
      </c>
      <c r="G6601" s="7">
        <v>158.25</v>
      </c>
      <c r="H6601" s="7">
        <v>0.09</v>
      </c>
      <c r="I6601" s="9" t="s">
        <v>22</v>
      </c>
      <c r="J6601" s="10">
        <v>-114.7355</v>
      </c>
      <c r="K6601" s="11">
        <v>4.57</v>
      </c>
      <c r="L6601" s="11">
        <v>5.42</v>
      </c>
      <c r="M6601" s="9" t="s">
        <v>1805</v>
      </c>
      <c r="N6601" s="6" t="s">
        <v>2012</v>
      </c>
      <c r="O6601" s="6" t="s">
        <v>2012</v>
      </c>
      <c r="P6601" s="9" t="s">
        <v>41</v>
      </c>
      <c r="Q6601" s="9" t="s">
        <v>26</v>
      </c>
      <c r="R6601" s="9" t="s">
        <v>37</v>
      </c>
      <c r="S6601" s="7" t="s">
        <v>453</v>
      </c>
      <c r="T6601" s="9" t="s">
        <v>39</v>
      </c>
      <c r="U6601" s="7">
        <v>0.37</v>
      </c>
      <c r="V6601" s="12">
        <f>C6601+1</f>
        <v>40482</v>
      </c>
      <c r="W6601">
        <f>IF(D6601=' Pivot Tables'!$A$4,1,0)</f>
        <v>0</v>
      </c>
      <c r="X6601">
        <f>IF(AND(LEFT(D6601,4)+1=LEFT(' Pivot Tables'!$A$4,4)+0,RIGHT(LEFT(D6601,7),2)=RIGHT(LEFT(' Pivot Tables'!$A$4,7),2)),1,0)</f>
        <v>0</v>
      </c>
      <c r="Y6601" s="6">
        <f>1/COUNTIF(Таблица1[Order ID],Таблица1[[#This Row],[Order ID]])</f>
        <v>0.5</v>
      </c>
      <c r="Z6601" s="9">
        <f>1/COUNTIFS(Таблица1[Customer Name],Таблица1[[#This Row],[Customer Name]],Таблица1[Order-Year-Month],Таблица1[[#This Row],[Order-Year-Month]])</f>
        <v>0.5</v>
      </c>
    </row>
    <row r="6602" spans="1:26" x14ac:dyDescent="0.2">
      <c r="A6602" s="6">
        <v>296</v>
      </c>
      <c r="B6602" s="7">
        <v>2052</v>
      </c>
      <c r="C6602" s="8">
        <f>DATE(2012,12,31)-263</f>
        <v>41011</v>
      </c>
      <c r="D6602" s="8" t="str">
        <f t="shared" si="121"/>
        <v>2012-04 (апрель 2012)</v>
      </c>
      <c r="E6602" s="9" t="s">
        <v>30</v>
      </c>
      <c r="F6602" s="7">
        <v>23</v>
      </c>
      <c r="G6602" s="7">
        <v>107.93</v>
      </c>
      <c r="H6602" s="7">
        <v>0</v>
      </c>
      <c r="I6602" s="9" t="s">
        <v>22</v>
      </c>
      <c r="J6602" s="10">
        <v>-68.137500000000003</v>
      </c>
      <c r="K6602" s="11">
        <v>4.13</v>
      </c>
      <c r="L6602" s="11">
        <v>5.34</v>
      </c>
      <c r="M6602" s="9" t="s">
        <v>2026</v>
      </c>
      <c r="N6602" s="6" t="s">
        <v>2012</v>
      </c>
      <c r="O6602" s="6" t="s">
        <v>2012</v>
      </c>
      <c r="P6602" s="9" t="s">
        <v>25</v>
      </c>
      <c r="Q6602" s="9" t="s">
        <v>26</v>
      </c>
      <c r="R6602" s="9" t="s">
        <v>37</v>
      </c>
      <c r="S6602" s="7" t="s">
        <v>680</v>
      </c>
      <c r="T6602" s="9" t="s">
        <v>39</v>
      </c>
      <c r="U6602" s="7">
        <v>0.38</v>
      </c>
      <c r="V6602" s="12">
        <f>C6602+2</f>
        <v>41013</v>
      </c>
      <c r="W6602">
        <f>IF(D6602=' Pivot Tables'!$A$4,1,0)</f>
        <v>0</v>
      </c>
      <c r="X6602">
        <f>IF(AND(LEFT(D6602,4)+1=LEFT(' Pivot Tables'!$A$4,4)+0,RIGHT(LEFT(D6602,7),2)=RIGHT(LEFT(' Pivot Tables'!$A$4,7),2)),1,0)</f>
        <v>0</v>
      </c>
      <c r="Y6602" s="6">
        <f>1/COUNTIF(Таблица1[Order ID],Таблица1[[#This Row],[Order ID]])</f>
        <v>1</v>
      </c>
      <c r="Z6602" s="9">
        <f>1/COUNTIFS(Таблица1[Customer Name],Таблица1[[#This Row],[Customer Name]],Таблица1[Order-Year-Month],Таблица1[[#This Row],[Order-Year-Month]])</f>
        <v>1</v>
      </c>
    </row>
    <row r="6603" spans="1:26" x14ac:dyDescent="0.2">
      <c r="A6603" s="6">
        <v>301</v>
      </c>
      <c r="B6603" s="7">
        <v>2055</v>
      </c>
      <c r="C6603" s="8">
        <f>DATE(2012,12,31)-850</f>
        <v>40424</v>
      </c>
      <c r="D6603" s="8" t="str">
        <f t="shared" si="121"/>
        <v>2010-09 (сентябрь 2010)</v>
      </c>
      <c r="E6603" s="9" t="s">
        <v>78</v>
      </c>
      <c r="F6603" s="7">
        <v>7</v>
      </c>
      <c r="G6603" s="7">
        <v>66.41</v>
      </c>
      <c r="H6603" s="7">
        <v>0.05</v>
      </c>
      <c r="I6603" s="9" t="s">
        <v>22</v>
      </c>
      <c r="J6603" s="10">
        <v>-32.35</v>
      </c>
      <c r="K6603" s="11">
        <v>8.74</v>
      </c>
      <c r="L6603" s="11">
        <v>8.2899999999999991</v>
      </c>
      <c r="M6603" s="9" t="s">
        <v>1472</v>
      </c>
      <c r="N6603" s="6" t="s">
        <v>2012</v>
      </c>
      <c r="O6603" s="6" t="s">
        <v>2012</v>
      </c>
      <c r="P6603" s="9" t="s">
        <v>25</v>
      </c>
      <c r="Q6603" s="9" t="s">
        <v>26</v>
      </c>
      <c r="R6603" s="9" t="s">
        <v>76</v>
      </c>
      <c r="S6603" s="7" t="s">
        <v>567</v>
      </c>
      <c r="T6603" s="9" t="s">
        <v>39</v>
      </c>
      <c r="U6603" s="7">
        <v>0.38</v>
      </c>
      <c r="V6603" s="12">
        <f>C6603+2</f>
        <v>40426</v>
      </c>
      <c r="W6603">
        <f>IF(D6603=' Pivot Tables'!$A$4,1,0)</f>
        <v>0</v>
      </c>
      <c r="X6603">
        <f>IF(AND(LEFT(D6603,4)+1=LEFT(' Pivot Tables'!$A$4,4)+0,RIGHT(LEFT(D6603,7),2)=RIGHT(LEFT(' Pivot Tables'!$A$4,7),2)),1,0)</f>
        <v>0</v>
      </c>
      <c r="Y6603" s="6">
        <f>1/COUNTIF(Таблица1[Order ID],Таблица1[[#This Row],[Order ID]])</f>
        <v>1</v>
      </c>
      <c r="Z6603" s="9">
        <f>1/COUNTIFS(Таблица1[Customer Name],Таблица1[[#This Row],[Customer Name]],Таблица1[Order-Year-Month],Таблица1[[#This Row],[Order-Year-Month]])</f>
        <v>1</v>
      </c>
    </row>
    <row r="6604" spans="1:26" x14ac:dyDescent="0.2">
      <c r="A6604" s="6">
        <v>340</v>
      </c>
      <c r="B6604" s="7">
        <v>2309</v>
      </c>
      <c r="C6604" s="8">
        <f>DATE(2012,12,31)-485</f>
        <v>40789</v>
      </c>
      <c r="D6604" s="8" t="str">
        <f t="shared" si="121"/>
        <v>2011-09 (сентябрь 2011)</v>
      </c>
      <c r="E6604" s="9" t="s">
        <v>21</v>
      </c>
      <c r="F6604" s="7">
        <v>7</v>
      </c>
      <c r="G6604" s="7">
        <v>27.01</v>
      </c>
      <c r="H6604" s="7">
        <v>0.05</v>
      </c>
      <c r="I6604" s="9" t="s">
        <v>22</v>
      </c>
      <c r="J6604" s="10">
        <v>-1.2994999999999999</v>
      </c>
      <c r="K6604" s="11">
        <v>3.8</v>
      </c>
      <c r="L6604" s="11">
        <v>1.49</v>
      </c>
      <c r="M6604" s="9" t="s">
        <v>1462</v>
      </c>
      <c r="N6604" s="6" t="s">
        <v>2012</v>
      </c>
      <c r="O6604" s="6" t="s">
        <v>2012</v>
      </c>
      <c r="P6604" s="9" t="s">
        <v>33</v>
      </c>
      <c r="Q6604" s="9" t="s">
        <v>26</v>
      </c>
      <c r="R6604" s="9" t="s">
        <v>37</v>
      </c>
      <c r="S6604" s="7" t="s">
        <v>269</v>
      </c>
      <c r="T6604" s="9" t="s">
        <v>39</v>
      </c>
      <c r="U6604" s="7">
        <v>0.38</v>
      </c>
      <c r="V6604" s="12">
        <f>C6604+2</f>
        <v>40791</v>
      </c>
      <c r="W6604">
        <f>IF(D6604=' Pivot Tables'!$A$4,1,0)</f>
        <v>0</v>
      </c>
      <c r="X6604">
        <f>IF(AND(LEFT(D6604,4)+1=LEFT(' Pivot Tables'!$A$4,4)+0,RIGHT(LEFT(D6604,7),2)=RIGHT(LEFT(' Pivot Tables'!$A$4,7),2)),1,0)</f>
        <v>0</v>
      </c>
      <c r="Y6604" s="6">
        <f>1/COUNTIF(Таблица1[Order ID],Таблица1[[#This Row],[Order ID]])</f>
        <v>1</v>
      </c>
      <c r="Z6604" s="9">
        <f>1/COUNTIFS(Таблица1[Customer Name],Таблица1[[#This Row],[Customer Name]],Таблица1[Order-Year-Month],Таблица1[[#This Row],[Order-Year-Month]])</f>
        <v>1</v>
      </c>
    </row>
    <row r="6605" spans="1:26" x14ac:dyDescent="0.2">
      <c r="A6605" s="6">
        <v>343</v>
      </c>
      <c r="B6605" s="7">
        <v>2341</v>
      </c>
      <c r="C6605" s="8">
        <f>DATE(2012,12,31)-947</f>
        <v>40327</v>
      </c>
      <c r="D6605" s="8" t="str">
        <f t="shared" si="121"/>
        <v>2010-05 (май 2010)</v>
      </c>
      <c r="E6605" s="9" t="s">
        <v>21</v>
      </c>
      <c r="F6605" s="7">
        <v>29</v>
      </c>
      <c r="G6605" s="7">
        <v>157.49</v>
      </c>
      <c r="H6605" s="7">
        <v>0.09</v>
      </c>
      <c r="I6605" s="9" t="s">
        <v>22</v>
      </c>
      <c r="J6605" s="10">
        <v>-58.25</v>
      </c>
      <c r="K6605" s="11">
        <v>5.78</v>
      </c>
      <c r="L6605" s="11">
        <v>4.96</v>
      </c>
      <c r="M6605" s="9" t="s">
        <v>1506</v>
      </c>
      <c r="N6605" s="6" t="s">
        <v>2012</v>
      </c>
      <c r="O6605" s="6" t="s">
        <v>2012</v>
      </c>
      <c r="P6605" s="9" t="s">
        <v>25</v>
      </c>
      <c r="Q6605" s="9" t="s">
        <v>26</v>
      </c>
      <c r="R6605" s="9" t="s">
        <v>61</v>
      </c>
      <c r="S6605" s="7" t="s">
        <v>737</v>
      </c>
      <c r="T6605" s="9" t="s">
        <v>39</v>
      </c>
      <c r="U6605" s="7">
        <v>0.36</v>
      </c>
      <c r="V6605" s="12">
        <f>C6605+7</f>
        <v>40334</v>
      </c>
      <c r="W6605">
        <f>IF(D6605=' Pivot Tables'!$A$4,1,0)</f>
        <v>0</v>
      </c>
      <c r="X6605">
        <f>IF(AND(LEFT(D6605,4)+1=LEFT(' Pivot Tables'!$A$4,4)+0,RIGHT(LEFT(D6605,7),2)=RIGHT(LEFT(' Pivot Tables'!$A$4,7),2)),1,0)</f>
        <v>0</v>
      </c>
      <c r="Y6605" s="6">
        <f>1/COUNTIF(Таблица1[Order ID],Таблица1[[#This Row],[Order ID]])</f>
        <v>1</v>
      </c>
      <c r="Z6605" s="9">
        <f>1/COUNTIFS(Таблица1[Customer Name],Таблица1[[#This Row],[Customer Name]],Таблица1[Order-Year-Month],Таблица1[[#This Row],[Order-Year-Month]])</f>
        <v>1</v>
      </c>
    </row>
    <row r="6606" spans="1:26" x14ac:dyDescent="0.2">
      <c r="A6606" s="6">
        <v>350</v>
      </c>
      <c r="B6606" s="7">
        <v>2436</v>
      </c>
      <c r="C6606" s="8">
        <f>DATE(2012,12,31)-478</f>
        <v>40796</v>
      </c>
      <c r="D6606" s="8" t="str">
        <f t="shared" si="121"/>
        <v>2011-09 (сентябрь 2011)</v>
      </c>
      <c r="E6606" s="9" t="s">
        <v>45</v>
      </c>
      <c r="F6606" s="7">
        <v>14</v>
      </c>
      <c r="G6606" s="7">
        <v>330.21</v>
      </c>
      <c r="H6606" s="7">
        <v>7.0000000000000007E-2</v>
      </c>
      <c r="I6606" s="9" t="s">
        <v>56</v>
      </c>
      <c r="J6606" s="10">
        <v>83.24</v>
      </c>
      <c r="K6606" s="11">
        <v>22.84</v>
      </c>
      <c r="L6606" s="11">
        <v>5.47</v>
      </c>
      <c r="M6606" s="9" t="s">
        <v>2027</v>
      </c>
      <c r="N6606" s="6" t="s">
        <v>2012</v>
      </c>
      <c r="O6606" s="6" t="s">
        <v>2012</v>
      </c>
      <c r="P6606" s="9" t="s">
        <v>41</v>
      </c>
      <c r="Q6606" s="9" t="s">
        <v>26</v>
      </c>
      <c r="R6606" s="9" t="s">
        <v>61</v>
      </c>
      <c r="S6606" s="7" t="s">
        <v>326</v>
      </c>
      <c r="T6606" s="9" t="s">
        <v>39</v>
      </c>
      <c r="U6606" s="7">
        <v>0.39</v>
      </c>
      <c r="V6606" s="12">
        <f>C6606+3</f>
        <v>40799</v>
      </c>
      <c r="W6606">
        <f>IF(D6606=' Pivot Tables'!$A$4,1,0)</f>
        <v>0</v>
      </c>
      <c r="X6606">
        <f>IF(AND(LEFT(D6606,4)+1=LEFT(' Pivot Tables'!$A$4,4)+0,RIGHT(LEFT(D6606,7),2)=RIGHT(LEFT(' Pivot Tables'!$A$4,7),2)),1,0)</f>
        <v>0</v>
      </c>
      <c r="Y6606" s="6">
        <f>1/COUNTIF(Таблица1[Order ID],Таблица1[[#This Row],[Order ID]])</f>
        <v>1</v>
      </c>
      <c r="Z6606" s="9">
        <f>1/COUNTIFS(Таблица1[Customer Name],Таблица1[[#This Row],[Customer Name]],Таблица1[Order-Year-Month],Таблица1[[#This Row],[Order-Year-Month]])</f>
        <v>1</v>
      </c>
    </row>
    <row r="6607" spans="1:26" x14ac:dyDescent="0.2">
      <c r="A6607" s="6">
        <v>357</v>
      </c>
      <c r="B6607" s="7">
        <v>2500</v>
      </c>
      <c r="C6607" s="8">
        <f>DATE(2012,12,31)-139</f>
        <v>41135</v>
      </c>
      <c r="D6607" s="8" t="str">
        <f t="shared" si="121"/>
        <v>2012-08 (август 2012)</v>
      </c>
      <c r="E6607" s="9" t="s">
        <v>30</v>
      </c>
      <c r="F6607" s="7">
        <v>5</v>
      </c>
      <c r="G6607" s="7">
        <v>22.56</v>
      </c>
      <c r="H6607" s="7">
        <v>0.04</v>
      </c>
      <c r="I6607" s="9" t="s">
        <v>22</v>
      </c>
      <c r="J6607" s="10">
        <v>-25.564499999999999</v>
      </c>
      <c r="K6607" s="11">
        <v>3.36</v>
      </c>
      <c r="L6607" s="11">
        <v>6.27</v>
      </c>
      <c r="M6607" s="9" t="s">
        <v>1560</v>
      </c>
      <c r="N6607" s="6" t="s">
        <v>2012</v>
      </c>
      <c r="O6607" s="6" t="s">
        <v>2012</v>
      </c>
      <c r="P6607" s="9" t="s">
        <v>25</v>
      </c>
      <c r="Q6607" s="9" t="s">
        <v>26</v>
      </c>
      <c r="R6607" s="9" t="s">
        <v>37</v>
      </c>
      <c r="S6607" s="7" t="s">
        <v>410</v>
      </c>
      <c r="T6607" s="9" t="s">
        <v>39</v>
      </c>
      <c r="U6607" s="7">
        <v>0.4</v>
      </c>
      <c r="V6607" s="12">
        <f>C6607+2</f>
        <v>41137</v>
      </c>
      <c r="W6607">
        <f>IF(D6607=' Pivot Tables'!$A$4,1,0)</f>
        <v>0</v>
      </c>
      <c r="X6607">
        <f>IF(AND(LEFT(D6607,4)+1=LEFT(' Pivot Tables'!$A$4,4)+0,RIGHT(LEFT(D6607,7),2)=RIGHT(LEFT(' Pivot Tables'!$A$4,7),2)),1,0)</f>
        <v>0</v>
      </c>
      <c r="Y6607" s="6">
        <f>1/COUNTIF(Таблица1[Order ID],Таблица1[[#This Row],[Order ID]])</f>
        <v>1</v>
      </c>
      <c r="Z6607" s="9">
        <f>1/COUNTIFS(Таблица1[Customer Name],Таблица1[[#This Row],[Customer Name]],Таблица1[Order-Year-Month],Таблица1[[#This Row],[Order-Year-Month]])</f>
        <v>1</v>
      </c>
    </row>
    <row r="6608" spans="1:26" x14ac:dyDescent="0.2">
      <c r="A6608" s="6">
        <v>364</v>
      </c>
      <c r="B6608" s="7">
        <v>2535</v>
      </c>
      <c r="C6608" s="8">
        <f>DATE(2012,12,31)-952</f>
        <v>40322</v>
      </c>
      <c r="D6608" s="8" t="str">
        <f t="shared" si="121"/>
        <v>2010-05 (май 2010)</v>
      </c>
      <c r="E6608" s="9" t="s">
        <v>21</v>
      </c>
      <c r="F6608" s="7">
        <v>6</v>
      </c>
      <c r="G6608" s="7">
        <v>82.72</v>
      </c>
      <c r="H6608" s="7">
        <v>0.08</v>
      </c>
      <c r="I6608" s="9" t="s">
        <v>22</v>
      </c>
      <c r="J6608" s="10">
        <v>-29.71</v>
      </c>
      <c r="K6608" s="11">
        <v>14.48</v>
      </c>
      <c r="L6608" s="11">
        <v>1.99</v>
      </c>
      <c r="M6608" s="9" t="s">
        <v>2028</v>
      </c>
      <c r="N6608" s="6" t="s">
        <v>2012</v>
      </c>
      <c r="O6608" s="6" t="s">
        <v>2012</v>
      </c>
      <c r="P6608" s="9" t="s">
        <v>41</v>
      </c>
      <c r="Q6608" s="9" t="s">
        <v>42</v>
      </c>
      <c r="R6608" s="9" t="s">
        <v>70</v>
      </c>
      <c r="S6608" s="7" t="s">
        <v>305</v>
      </c>
      <c r="T6608" s="9" t="s">
        <v>52</v>
      </c>
      <c r="U6608" s="7">
        <v>0.49</v>
      </c>
      <c r="V6608" s="12">
        <f>C6608+2</f>
        <v>40324</v>
      </c>
      <c r="W6608">
        <f>IF(D6608=' Pivot Tables'!$A$4,1,0)</f>
        <v>0</v>
      </c>
      <c r="X6608">
        <f>IF(AND(LEFT(D6608,4)+1=LEFT(' Pivot Tables'!$A$4,4)+0,RIGHT(LEFT(D6608,7),2)=RIGHT(LEFT(' Pivot Tables'!$A$4,7),2)),1,0)</f>
        <v>0</v>
      </c>
      <c r="Y6608" s="6">
        <f>1/COUNTIF(Таблица1[Order ID],Таблица1[[#This Row],[Order ID]])</f>
        <v>1</v>
      </c>
      <c r="Z6608" s="9">
        <f>1/COUNTIFS(Таблица1[Customer Name],Таблица1[[#This Row],[Customer Name]],Таблица1[Order-Year-Month],Таблица1[[#This Row],[Order-Year-Month]])</f>
        <v>1</v>
      </c>
    </row>
    <row r="6609" spans="1:26" x14ac:dyDescent="0.2">
      <c r="A6609" s="6">
        <v>386</v>
      </c>
      <c r="B6609" s="7">
        <v>2658</v>
      </c>
      <c r="C6609" s="8">
        <f>DATE(2012,12,31)-466</f>
        <v>40808</v>
      </c>
      <c r="D6609" s="8" t="str">
        <f t="shared" si="121"/>
        <v>2011-09 (сентябрь 2011)</v>
      </c>
      <c r="E6609" s="9" t="s">
        <v>63</v>
      </c>
      <c r="F6609" s="7">
        <v>34</v>
      </c>
      <c r="G6609" s="7">
        <v>229.51</v>
      </c>
      <c r="H6609" s="7">
        <v>0.04</v>
      </c>
      <c r="I6609" s="9" t="s">
        <v>22</v>
      </c>
      <c r="J6609" s="10">
        <v>-189.33</v>
      </c>
      <c r="K6609" s="11">
        <v>6.48</v>
      </c>
      <c r="L6609" s="11">
        <v>9.5399999999999991</v>
      </c>
      <c r="M6609" s="9" t="s">
        <v>1581</v>
      </c>
      <c r="N6609" s="6" t="s">
        <v>2012</v>
      </c>
      <c r="O6609" s="6" t="s">
        <v>2012</v>
      </c>
      <c r="P6609" s="9" t="s">
        <v>25</v>
      </c>
      <c r="Q6609" s="9" t="s">
        <v>26</v>
      </c>
      <c r="R6609" s="9" t="s">
        <v>61</v>
      </c>
      <c r="S6609" s="7" t="s">
        <v>518</v>
      </c>
      <c r="T6609" s="9" t="s">
        <v>39</v>
      </c>
      <c r="U6609" s="7">
        <v>0.37</v>
      </c>
      <c r="V6609" s="12">
        <f>C6609+1</f>
        <v>40809</v>
      </c>
      <c r="W6609">
        <f>IF(D6609=' Pivot Tables'!$A$4,1,0)</f>
        <v>0</v>
      </c>
      <c r="X6609">
        <f>IF(AND(LEFT(D6609,4)+1=LEFT(' Pivot Tables'!$A$4,4)+0,RIGHT(LEFT(D6609,7),2)=RIGHT(LEFT(' Pivot Tables'!$A$4,7),2)),1,0)</f>
        <v>0</v>
      </c>
      <c r="Y6609" s="6">
        <f>1/COUNTIF(Таблица1[Order ID],Таблица1[[#This Row],[Order ID]])</f>
        <v>0.5</v>
      </c>
      <c r="Z6609" s="9">
        <f>1/COUNTIFS(Таблица1[Customer Name],Таблица1[[#This Row],[Customer Name]],Таблица1[Order-Year-Month],Таблица1[[#This Row],[Order-Year-Month]])</f>
        <v>0.5</v>
      </c>
    </row>
    <row r="6610" spans="1:26" x14ac:dyDescent="0.2">
      <c r="A6610" s="6">
        <v>387</v>
      </c>
      <c r="B6610" s="7">
        <v>2658</v>
      </c>
      <c r="C6610" s="8">
        <f>DATE(2012,12,31)-466</f>
        <v>40808</v>
      </c>
      <c r="D6610" s="8" t="str">
        <f t="shared" si="121"/>
        <v>2011-09 (сентябрь 2011)</v>
      </c>
      <c r="E6610" s="9" t="s">
        <v>63</v>
      </c>
      <c r="F6610" s="7">
        <v>32</v>
      </c>
      <c r="G6610" s="7">
        <v>473</v>
      </c>
      <c r="H6610" s="7">
        <v>0.09</v>
      </c>
      <c r="I6610" s="9" t="s">
        <v>56</v>
      </c>
      <c r="J6610" s="10">
        <v>-185.8</v>
      </c>
      <c r="K6610" s="11">
        <v>15.42</v>
      </c>
      <c r="L6610" s="11">
        <v>10.68</v>
      </c>
      <c r="M6610" s="9" t="s">
        <v>1581</v>
      </c>
      <c r="N6610" s="6" t="s">
        <v>2012</v>
      </c>
      <c r="O6610" s="6" t="s">
        <v>2012</v>
      </c>
      <c r="P6610" s="9" t="s">
        <v>25</v>
      </c>
      <c r="Q6610" s="9" t="s">
        <v>26</v>
      </c>
      <c r="R6610" s="9" t="s">
        <v>27</v>
      </c>
      <c r="S6610" s="7" t="s">
        <v>1645</v>
      </c>
      <c r="T6610" s="9" t="s">
        <v>39</v>
      </c>
      <c r="U6610" s="7">
        <v>0.57999999999999996</v>
      </c>
      <c r="V6610" s="12">
        <f>C6610+0</f>
        <v>40808</v>
      </c>
      <c r="W6610">
        <f>IF(D6610=' Pivot Tables'!$A$4,1,0)</f>
        <v>0</v>
      </c>
      <c r="X6610">
        <f>IF(AND(LEFT(D6610,4)+1=LEFT(' Pivot Tables'!$A$4,4)+0,RIGHT(LEFT(D6610,7),2)=RIGHT(LEFT(' Pivot Tables'!$A$4,7),2)),1,0)</f>
        <v>0</v>
      </c>
      <c r="Y6610" s="6">
        <f>1/COUNTIF(Таблица1[Order ID],Таблица1[[#This Row],[Order ID]])</f>
        <v>0.5</v>
      </c>
      <c r="Z6610" s="9">
        <f>1/COUNTIFS(Таблица1[Customer Name],Таблица1[[#This Row],[Customer Name]],Таблица1[Order-Year-Month],Таблица1[[#This Row],[Order-Year-Month]])</f>
        <v>0.5</v>
      </c>
    </row>
    <row r="6611" spans="1:26" x14ac:dyDescent="0.2">
      <c r="A6611" s="6">
        <v>395</v>
      </c>
      <c r="B6611" s="7">
        <v>2725</v>
      </c>
      <c r="C6611" s="8">
        <f>DATE(2012,12,31)-1321</f>
        <v>39953</v>
      </c>
      <c r="D6611" s="8" t="str">
        <f t="shared" si="121"/>
        <v>2009-05 (май 2009)</v>
      </c>
      <c r="E6611" s="9" t="s">
        <v>45</v>
      </c>
      <c r="F6611" s="7">
        <v>39</v>
      </c>
      <c r="G6611" s="7">
        <v>2178.431</v>
      </c>
      <c r="H6611" s="7">
        <v>0.01</v>
      </c>
      <c r="I6611" s="9" t="s">
        <v>56</v>
      </c>
      <c r="J6611" s="10">
        <v>396.97199999999998</v>
      </c>
      <c r="K6611" s="11">
        <v>65.989999999999995</v>
      </c>
      <c r="L6611" s="11">
        <v>8.99</v>
      </c>
      <c r="M6611" s="9" t="s">
        <v>1545</v>
      </c>
      <c r="N6611" s="6" t="s">
        <v>2012</v>
      </c>
      <c r="O6611" s="6" t="s">
        <v>2012</v>
      </c>
      <c r="P6611" s="9" t="s">
        <v>25</v>
      </c>
      <c r="Q6611" s="9" t="s">
        <v>42</v>
      </c>
      <c r="R6611" s="9" t="s">
        <v>43</v>
      </c>
      <c r="S6611" s="7" t="s">
        <v>1181</v>
      </c>
      <c r="T6611" s="9" t="s">
        <v>39</v>
      </c>
      <c r="U6611" s="7">
        <v>0.56000000000000005</v>
      </c>
      <c r="V6611" s="12">
        <f>C6611+1</f>
        <v>39954</v>
      </c>
      <c r="W6611">
        <f>IF(D6611=' Pivot Tables'!$A$4,1,0)</f>
        <v>0</v>
      </c>
      <c r="X6611">
        <f>IF(AND(LEFT(D6611,4)+1=LEFT(' Pivot Tables'!$A$4,4)+0,RIGHT(LEFT(D6611,7),2)=RIGHT(LEFT(' Pivot Tables'!$A$4,7),2)),1,0)</f>
        <v>0</v>
      </c>
      <c r="Y6611" s="6">
        <f>1/COUNTIF(Таблица1[Order ID],Таблица1[[#This Row],[Order ID]])</f>
        <v>1</v>
      </c>
      <c r="Z6611" s="9">
        <f>1/COUNTIFS(Таблица1[Customer Name],Таблица1[[#This Row],[Customer Name]],Таблица1[Order-Year-Month],Таблица1[[#This Row],[Order-Year-Month]])</f>
        <v>1</v>
      </c>
    </row>
    <row r="6612" spans="1:26" x14ac:dyDescent="0.2">
      <c r="A6612" s="6">
        <v>404</v>
      </c>
      <c r="B6612" s="7">
        <v>2756</v>
      </c>
      <c r="C6612" s="8">
        <f>DATE(2012,12,31)-1354</f>
        <v>39920</v>
      </c>
      <c r="D6612" s="8" t="str">
        <f t="shared" si="121"/>
        <v>2009-04 (апрель 2009)</v>
      </c>
      <c r="E6612" s="9" t="s">
        <v>78</v>
      </c>
      <c r="F6612" s="7">
        <v>25</v>
      </c>
      <c r="G6612" s="7">
        <v>1344.88</v>
      </c>
      <c r="H6612" s="7">
        <v>0.06</v>
      </c>
      <c r="I6612" s="9" t="s">
        <v>22</v>
      </c>
      <c r="J6612" s="10">
        <v>-13.77</v>
      </c>
      <c r="K6612" s="11">
        <v>55.94</v>
      </c>
      <c r="L6612" s="11">
        <v>4</v>
      </c>
      <c r="M6612" s="9" t="s">
        <v>2029</v>
      </c>
      <c r="N6612" s="6" t="s">
        <v>2012</v>
      </c>
      <c r="O6612" s="6" t="s">
        <v>2012</v>
      </c>
      <c r="P6612" s="9" t="s">
        <v>25</v>
      </c>
      <c r="Q6612" s="9" t="s">
        <v>42</v>
      </c>
      <c r="R6612" s="9" t="s">
        <v>70</v>
      </c>
      <c r="S6612" s="7" t="s">
        <v>503</v>
      </c>
      <c r="T6612" s="9" t="s">
        <v>39</v>
      </c>
      <c r="U6612" s="7">
        <v>0.74</v>
      </c>
      <c r="V6612" s="12">
        <f>C6612+1</f>
        <v>39921</v>
      </c>
      <c r="W6612">
        <f>IF(D6612=' Pivot Tables'!$A$4,1,0)</f>
        <v>0</v>
      </c>
      <c r="X6612">
        <f>IF(AND(LEFT(D6612,4)+1=LEFT(' Pivot Tables'!$A$4,4)+0,RIGHT(LEFT(D6612,7),2)=RIGHT(LEFT(' Pivot Tables'!$A$4,7),2)),1,0)</f>
        <v>0</v>
      </c>
      <c r="Y6612" s="6">
        <f>1/COUNTIF(Таблица1[Order ID],Таблица1[[#This Row],[Order ID]])</f>
        <v>0.5</v>
      </c>
      <c r="Z6612" s="9">
        <f>1/COUNTIFS(Таблица1[Customer Name],Таблица1[[#This Row],[Customer Name]],Таблица1[Order-Year-Month],Таблица1[[#This Row],[Order-Year-Month]])</f>
        <v>0.5</v>
      </c>
    </row>
    <row r="6613" spans="1:26" x14ac:dyDescent="0.2">
      <c r="A6613" s="6">
        <v>405</v>
      </c>
      <c r="B6613" s="7">
        <v>2756</v>
      </c>
      <c r="C6613" s="8">
        <f>DATE(2012,12,31)-1354</f>
        <v>39920</v>
      </c>
      <c r="D6613" s="8" t="str">
        <f t="shared" si="121"/>
        <v>2009-04 (апрель 2009)</v>
      </c>
      <c r="E6613" s="9" t="s">
        <v>78</v>
      </c>
      <c r="F6613" s="7">
        <v>42</v>
      </c>
      <c r="G6613" s="7">
        <v>248.54</v>
      </c>
      <c r="H6613" s="7">
        <v>7.0000000000000007E-2</v>
      </c>
      <c r="I6613" s="9" t="s">
        <v>22</v>
      </c>
      <c r="J6613" s="10">
        <v>111.75</v>
      </c>
      <c r="K6613" s="11">
        <v>6.3</v>
      </c>
      <c r="L6613" s="11">
        <v>0.5</v>
      </c>
      <c r="M6613" s="9" t="s">
        <v>2029</v>
      </c>
      <c r="N6613" s="6" t="s">
        <v>2012</v>
      </c>
      <c r="O6613" s="6" t="s">
        <v>2012</v>
      </c>
      <c r="P6613" s="9" t="s">
        <v>25</v>
      </c>
      <c r="Q6613" s="9" t="s">
        <v>26</v>
      </c>
      <c r="R6613" s="9" t="s">
        <v>88</v>
      </c>
      <c r="S6613" s="7" t="s">
        <v>900</v>
      </c>
      <c r="T6613" s="9" t="s">
        <v>39</v>
      </c>
      <c r="U6613" s="7">
        <v>0.39</v>
      </c>
      <c r="V6613" s="12">
        <f>C6613+0</f>
        <v>39920</v>
      </c>
      <c r="W6613">
        <f>IF(D6613=' Pivot Tables'!$A$4,1,0)</f>
        <v>0</v>
      </c>
      <c r="X6613">
        <f>IF(AND(LEFT(D6613,4)+1=LEFT(' Pivot Tables'!$A$4,4)+0,RIGHT(LEFT(D6613,7),2)=RIGHT(LEFT(' Pivot Tables'!$A$4,7),2)),1,0)</f>
        <v>0</v>
      </c>
      <c r="Y6613" s="6">
        <f>1/COUNTIF(Таблица1[Order ID],Таблица1[[#This Row],[Order ID]])</f>
        <v>0.5</v>
      </c>
      <c r="Z6613" s="9">
        <f>1/COUNTIFS(Таблица1[Customer Name],Таблица1[[#This Row],[Customer Name]],Таблица1[Order-Year-Month],Таблица1[[#This Row],[Order-Year-Month]])</f>
        <v>0.5</v>
      </c>
    </row>
    <row r="6614" spans="1:26" x14ac:dyDescent="0.2">
      <c r="A6614" s="6">
        <v>428</v>
      </c>
      <c r="B6614" s="7">
        <v>2853</v>
      </c>
      <c r="C6614" s="8">
        <f>DATE(2012,12,31)-1337</f>
        <v>39937</v>
      </c>
      <c r="D6614" s="8" t="str">
        <f t="shared" si="121"/>
        <v>2009-05 (май 2009)</v>
      </c>
      <c r="E6614" s="9" t="s">
        <v>30</v>
      </c>
      <c r="F6614" s="7">
        <v>25</v>
      </c>
      <c r="G6614" s="7">
        <v>4253.6499999999996</v>
      </c>
      <c r="H6614" s="7">
        <v>0.05</v>
      </c>
      <c r="I6614" s="9" t="s">
        <v>56</v>
      </c>
      <c r="J6614" s="10">
        <v>943</v>
      </c>
      <c r="K6614" s="11">
        <v>178.47</v>
      </c>
      <c r="L6614" s="11">
        <v>19.989999999999998</v>
      </c>
      <c r="M6614" s="9" t="s">
        <v>1571</v>
      </c>
      <c r="N6614" s="6" t="s">
        <v>2012</v>
      </c>
      <c r="O6614" s="6" t="s">
        <v>2012</v>
      </c>
      <c r="P6614" s="9" t="s">
        <v>33</v>
      </c>
      <c r="Q6614" s="9" t="s">
        <v>26</v>
      </c>
      <c r="R6614" s="9" t="s">
        <v>27</v>
      </c>
      <c r="S6614" s="7" t="s">
        <v>1195</v>
      </c>
      <c r="T6614" s="9" t="s">
        <v>39</v>
      </c>
      <c r="U6614" s="7">
        <v>0.55000000000000004</v>
      </c>
      <c r="V6614" s="12">
        <f>C6614+3</f>
        <v>39940</v>
      </c>
      <c r="W6614">
        <f>IF(D6614=' Pivot Tables'!$A$4,1,0)</f>
        <v>0</v>
      </c>
      <c r="X6614">
        <f>IF(AND(LEFT(D6614,4)+1=LEFT(' Pivot Tables'!$A$4,4)+0,RIGHT(LEFT(D6614,7),2)=RIGHT(LEFT(' Pivot Tables'!$A$4,7),2)),1,0)</f>
        <v>0</v>
      </c>
      <c r="Y6614" s="6">
        <f>1/COUNTIF(Таблица1[Order ID],Таблица1[[#This Row],[Order ID]])</f>
        <v>1</v>
      </c>
      <c r="Z6614" s="9">
        <f>1/COUNTIFS(Таблица1[Customer Name],Таблица1[[#This Row],[Customer Name]],Таблица1[Order-Year-Month],Таблица1[[#This Row],[Order-Year-Month]])</f>
        <v>1</v>
      </c>
    </row>
    <row r="6615" spans="1:26" x14ac:dyDescent="0.2">
      <c r="A6615" s="6">
        <v>436</v>
      </c>
      <c r="B6615" s="7">
        <v>2914</v>
      </c>
      <c r="C6615" s="8">
        <f>DATE(2012,12,31)-1035</f>
        <v>40239</v>
      </c>
      <c r="D6615" s="8" t="str">
        <f t="shared" si="121"/>
        <v>2010-03 (март 2010)</v>
      </c>
      <c r="E6615" s="9" t="s">
        <v>63</v>
      </c>
      <c r="F6615" s="7">
        <v>3</v>
      </c>
      <c r="G6615" s="7">
        <v>62.88</v>
      </c>
      <c r="H6615" s="7">
        <v>0.09</v>
      </c>
      <c r="I6615" s="9" t="s">
        <v>22</v>
      </c>
      <c r="J6615" s="10">
        <v>-24.74</v>
      </c>
      <c r="K6615" s="11">
        <v>18.97</v>
      </c>
      <c r="L6615" s="11">
        <v>9.5399999999999991</v>
      </c>
      <c r="M6615" s="9" t="s">
        <v>1498</v>
      </c>
      <c r="N6615" s="6" t="s">
        <v>2012</v>
      </c>
      <c r="O6615" s="6" t="s">
        <v>2012</v>
      </c>
      <c r="P6615" s="9" t="s">
        <v>33</v>
      </c>
      <c r="Q6615" s="9" t="s">
        <v>26</v>
      </c>
      <c r="R6615" s="9" t="s">
        <v>61</v>
      </c>
      <c r="S6615" s="7" t="s">
        <v>581</v>
      </c>
      <c r="T6615" s="9" t="s">
        <v>39</v>
      </c>
      <c r="U6615" s="7">
        <v>0.37</v>
      </c>
      <c r="V6615" s="12">
        <f>C6615+1</f>
        <v>40240</v>
      </c>
      <c r="W6615">
        <f>IF(D6615=' Pivot Tables'!$A$4,1,0)</f>
        <v>0</v>
      </c>
      <c r="X6615">
        <f>IF(AND(LEFT(D6615,4)+1=LEFT(' Pivot Tables'!$A$4,4)+0,RIGHT(LEFT(D6615,7),2)=RIGHT(LEFT(' Pivot Tables'!$A$4,7),2)),1,0)</f>
        <v>0</v>
      </c>
      <c r="Y6615" s="6">
        <f>1/COUNTIF(Таблица1[Order ID],Таблица1[[#This Row],[Order ID]])</f>
        <v>1</v>
      </c>
      <c r="Z6615" s="9">
        <f>1/COUNTIFS(Таблица1[Customer Name],Таблица1[[#This Row],[Customer Name]],Таблица1[Order-Year-Month],Таблица1[[#This Row],[Order-Year-Month]])</f>
        <v>0.33333333333333331</v>
      </c>
    </row>
    <row r="6616" spans="1:26" x14ac:dyDescent="0.2">
      <c r="A6616" s="6">
        <v>441</v>
      </c>
      <c r="B6616" s="7">
        <v>2978</v>
      </c>
      <c r="C6616" s="8">
        <f>DATE(2012,12,31)-609</f>
        <v>40665</v>
      </c>
      <c r="D6616" s="8" t="str">
        <f t="shared" si="121"/>
        <v>2011-05 (май 2011)</v>
      </c>
      <c r="E6616" s="9" t="s">
        <v>78</v>
      </c>
      <c r="F6616" s="7">
        <v>34</v>
      </c>
      <c r="G6616" s="7">
        <v>6264.1854999999996</v>
      </c>
      <c r="H6616" s="7">
        <v>0.01</v>
      </c>
      <c r="I6616" s="9" t="s">
        <v>22</v>
      </c>
      <c r="J6616" s="10">
        <v>1312.038</v>
      </c>
      <c r="K6616" s="11">
        <v>205.99</v>
      </c>
      <c r="L6616" s="11">
        <v>19.989999999999998</v>
      </c>
      <c r="M6616" s="9" t="s">
        <v>1800</v>
      </c>
      <c r="N6616" s="6" t="s">
        <v>2012</v>
      </c>
      <c r="O6616" s="6" t="s">
        <v>2012</v>
      </c>
      <c r="P6616" s="9" t="s">
        <v>41</v>
      </c>
      <c r="Q6616" s="9" t="s">
        <v>42</v>
      </c>
      <c r="R6616" s="9" t="s">
        <v>43</v>
      </c>
      <c r="S6616" s="7" t="s">
        <v>2030</v>
      </c>
      <c r="T6616" s="9" t="s">
        <v>39</v>
      </c>
      <c r="U6616" s="7">
        <v>0.6</v>
      </c>
      <c r="V6616" s="12">
        <f>C6616+1</f>
        <v>40666</v>
      </c>
      <c r="W6616">
        <f>IF(D6616=' Pivot Tables'!$A$4,1,0)</f>
        <v>0</v>
      </c>
      <c r="X6616">
        <f>IF(AND(LEFT(D6616,4)+1=LEFT(' Pivot Tables'!$A$4,4)+0,RIGHT(LEFT(D6616,7),2)=RIGHT(LEFT(' Pivot Tables'!$A$4,7),2)),1,0)</f>
        <v>0</v>
      </c>
      <c r="Y6616" s="6">
        <f>1/COUNTIF(Таблица1[Order ID],Таблица1[[#This Row],[Order ID]])</f>
        <v>0.33333333333333331</v>
      </c>
      <c r="Z6616" s="9">
        <f>1/COUNTIFS(Таблица1[Customer Name],Таблица1[[#This Row],[Customer Name]],Таблица1[Order-Year-Month],Таблица1[[#This Row],[Order-Year-Month]])</f>
        <v>0.33333333333333331</v>
      </c>
    </row>
    <row r="6617" spans="1:26" x14ac:dyDescent="0.2">
      <c r="A6617" s="6">
        <v>442</v>
      </c>
      <c r="B6617" s="7">
        <v>2978</v>
      </c>
      <c r="C6617" s="8">
        <f>DATE(2012,12,31)-609</f>
        <v>40665</v>
      </c>
      <c r="D6617" s="8" t="str">
        <f t="shared" si="121"/>
        <v>2011-05 (май 2011)</v>
      </c>
      <c r="E6617" s="9" t="s">
        <v>78</v>
      </c>
      <c r="F6617" s="7">
        <v>36</v>
      </c>
      <c r="G6617" s="7">
        <v>5410.95</v>
      </c>
      <c r="H6617" s="7">
        <v>0.09</v>
      </c>
      <c r="I6617" s="9" t="s">
        <v>22</v>
      </c>
      <c r="J6617" s="10">
        <v>2077.91</v>
      </c>
      <c r="K6617" s="11">
        <v>162.93</v>
      </c>
      <c r="L6617" s="11">
        <v>19.989999999999998</v>
      </c>
      <c r="M6617" s="9" t="s">
        <v>1800</v>
      </c>
      <c r="N6617" s="6" t="s">
        <v>2012</v>
      </c>
      <c r="O6617" s="6" t="s">
        <v>2012</v>
      </c>
      <c r="P6617" s="9" t="s">
        <v>41</v>
      </c>
      <c r="Q6617" s="9" t="s">
        <v>26</v>
      </c>
      <c r="R6617" s="9" t="s">
        <v>76</v>
      </c>
      <c r="S6617" s="7" t="s">
        <v>449</v>
      </c>
      <c r="T6617" s="9" t="s">
        <v>39</v>
      </c>
      <c r="U6617" s="7">
        <v>0.39</v>
      </c>
      <c r="V6617" s="12">
        <f>C6617+2</f>
        <v>40667</v>
      </c>
      <c r="W6617">
        <f>IF(D6617=' Pivot Tables'!$A$4,1,0)</f>
        <v>0</v>
      </c>
      <c r="X6617">
        <f>IF(AND(LEFT(D6617,4)+1=LEFT(' Pivot Tables'!$A$4,4)+0,RIGHT(LEFT(D6617,7),2)=RIGHT(LEFT(' Pivot Tables'!$A$4,7),2)),1,0)</f>
        <v>0</v>
      </c>
      <c r="Y6617" s="6">
        <f>1/COUNTIF(Таблица1[Order ID],Таблица1[[#This Row],[Order ID]])</f>
        <v>0.33333333333333331</v>
      </c>
      <c r="Z6617" s="9">
        <f>1/COUNTIFS(Таблица1[Customer Name],Таблица1[[#This Row],[Customer Name]],Таблица1[Order-Year-Month],Таблица1[[#This Row],[Order-Year-Month]])</f>
        <v>0.33333333333333331</v>
      </c>
    </row>
    <row r="6618" spans="1:26" x14ac:dyDescent="0.2">
      <c r="A6618" s="6">
        <v>444</v>
      </c>
      <c r="B6618" s="7">
        <v>3008</v>
      </c>
      <c r="C6618" s="8">
        <f>DATE(2012,12,31)-420</f>
        <v>40854</v>
      </c>
      <c r="D6618" s="8" t="str">
        <f t="shared" si="121"/>
        <v>2011-11 (ноябрь 2011)</v>
      </c>
      <c r="E6618" s="9" t="s">
        <v>63</v>
      </c>
      <c r="F6618" s="7">
        <v>41</v>
      </c>
      <c r="G6618" s="7">
        <v>6831.72</v>
      </c>
      <c r="H6618" s="7">
        <v>0.01</v>
      </c>
      <c r="I6618" s="9" t="s">
        <v>22</v>
      </c>
      <c r="J6618" s="10">
        <v>3081.02</v>
      </c>
      <c r="K6618" s="11">
        <v>162.93</v>
      </c>
      <c r="L6618" s="11">
        <v>19.989999999999998</v>
      </c>
      <c r="M6618" s="9" t="s">
        <v>2031</v>
      </c>
      <c r="N6618" s="6" t="s">
        <v>2012</v>
      </c>
      <c r="O6618" s="6" t="s">
        <v>2012</v>
      </c>
      <c r="P6618" s="9" t="s">
        <v>33</v>
      </c>
      <c r="Q6618" s="9" t="s">
        <v>26</v>
      </c>
      <c r="R6618" s="9" t="s">
        <v>76</v>
      </c>
      <c r="S6618" s="7" t="s">
        <v>449</v>
      </c>
      <c r="T6618" s="9" t="s">
        <v>39</v>
      </c>
      <c r="U6618" s="7">
        <v>0.39</v>
      </c>
      <c r="V6618" s="12">
        <f>C6618+1</f>
        <v>40855</v>
      </c>
      <c r="W6618">
        <f>IF(D6618=' Pivot Tables'!$A$4,1,0)</f>
        <v>0</v>
      </c>
      <c r="X6618">
        <f>IF(AND(LEFT(D6618,4)+1=LEFT(' Pivot Tables'!$A$4,4)+0,RIGHT(LEFT(D6618,7),2)=RIGHT(LEFT(' Pivot Tables'!$A$4,7),2)),1,0)</f>
        <v>0</v>
      </c>
      <c r="Y6618" s="6">
        <f>1/COUNTIF(Таблица1[Order ID],Таблица1[[#This Row],[Order ID]])</f>
        <v>1</v>
      </c>
      <c r="Z6618" s="9">
        <f>1/COUNTIFS(Таблица1[Customer Name],Таблица1[[#This Row],[Customer Name]],Таблица1[Order-Year-Month],Таблица1[[#This Row],[Order-Year-Month]])</f>
        <v>1</v>
      </c>
    </row>
    <row r="6619" spans="1:26" x14ac:dyDescent="0.2">
      <c r="A6619" s="6">
        <v>448</v>
      </c>
      <c r="B6619" s="7">
        <v>3042</v>
      </c>
      <c r="C6619" s="8">
        <f>DATE(2012,12,31)-1137</f>
        <v>40137</v>
      </c>
      <c r="D6619" s="8" t="str">
        <f t="shared" si="121"/>
        <v>2009-11 (ноябрь 2009)</v>
      </c>
      <c r="E6619" s="9" t="s">
        <v>63</v>
      </c>
      <c r="F6619" s="7">
        <v>26</v>
      </c>
      <c r="G6619" s="7">
        <v>103.87</v>
      </c>
      <c r="H6619" s="7">
        <v>0.1</v>
      </c>
      <c r="I6619" s="9" t="s">
        <v>22</v>
      </c>
      <c r="J6619" s="10">
        <v>15.42</v>
      </c>
      <c r="K6619" s="11">
        <v>4.26</v>
      </c>
      <c r="L6619" s="11">
        <v>1.2</v>
      </c>
      <c r="M6619" s="9" t="s">
        <v>1488</v>
      </c>
      <c r="N6619" s="6" t="s">
        <v>2012</v>
      </c>
      <c r="O6619" s="6" t="s">
        <v>2012</v>
      </c>
      <c r="P6619" s="9" t="s">
        <v>33</v>
      </c>
      <c r="Q6619" s="9" t="s">
        <v>26</v>
      </c>
      <c r="R6619" s="9" t="s">
        <v>95</v>
      </c>
      <c r="S6619" s="7" t="s">
        <v>865</v>
      </c>
      <c r="T6619" s="9" t="s">
        <v>68</v>
      </c>
      <c r="U6619" s="7">
        <v>0.44</v>
      </c>
      <c r="V6619" s="12">
        <f>C6619+1</f>
        <v>40138</v>
      </c>
      <c r="W6619">
        <f>IF(D6619=' Pivot Tables'!$A$4,1,0)</f>
        <v>0</v>
      </c>
      <c r="X6619">
        <f>IF(AND(LEFT(D6619,4)+1=LEFT(' Pivot Tables'!$A$4,4)+0,RIGHT(LEFT(D6619,7),2)=RIGHT(LEFT(' Pivot Tables'!$A$4,7),2)),1,0)</f>
        <v>0</v>
      </c>
      <c r="Y6619" s="6">
        <f>1/COUNTIF(Таблица1[Order ID],Таблица1[[#This Row],[Order ID]])</f>
        <v>1</v>
      </c>
      <c r="Z6619" s="9">
        <f>1/COUNTIFS(Таблица1[Customer Name],Таблица1[[#This Row],[Customer Name]],Таблица1[Order-Year-Month],Таблица1[[#This Row],[Order-Year-Month]])</f>
        <v>1</v>
      </c>
    </row>
    <row r="6620" spans="1:26" x14ac:dyDescent="0.2">
      <c r="A6620" s="6">
        <v>453</v>
      </c>
      <c r="B6620" s="7">
        <v>3078</v>
      </c>
      <c r="C6620" s="8">
        <f>DATE(2012,12,31)-1054</f>
        <v>40220</v>
      </c>
      <c r="D6620" s="8" t="str">
        <f t="shared" si="121"/>
        <v>2010-02 (февраль 2010)</v>
      </c>
      <c r="E6620" s="9" t="s">
        <v>30</v>
      </c>
      <c r="F6620" s="7">
        <v>12</v>
      </c>
      <c r="G6620" s="7">
        <v>33.86</v>
      </c>
      <c r="H6620" s="7">
        <v>0.05</v>
      </c>
      <c r="I6620" s="9" t="s">
        <v>22</v>
      </c>
      <c r="J6620" s="10">
        <v>0.35000000000000053</v>
      </c>
      <c r="K6620" s="11">
        <v>2.88</v>
      </c>
      <c r="L6620" s="11">
        <v>0.7</v>
      </c>
      <c r="M6620" s="9" t="s">
        <v>1520</v>
      </c>
      <c r="N6620" s="6" t="s">
        <v>2012</v>
      </c>
      <c r="O6620" s="6" t="s">
        <v>2012</v>
      </c>
      <c r="P6620" s="9" t="s">
        <v>41</v>
      </c>
      <c r="Q6620" s="9" t="s">
        <v>26</v>
      </c>
      <c r="R6620" s="9" t="s">
        <v>95</v>
      </c>
      <c r="S6620" s="7" t="s">
        <v>1059</v>
      </c>
      <c r="T6620" s="9" t="s">
        <v>68</v>
      </c>
      <c r="U6620" s="7">
        <v>0.56000000000000005</v>
      </c>
      <c r="V6620" s="12">
        <f>C6620+1</f>
        <v>40221</v>
      </c>
      <c r="W6620">
        <f>IF(D6620=' Pivot Tables'!$A$4,1,0)</f>
        <v>0</v>
      </c>
      <c r="X6620">
        <f>IF(AND(LEFT(D6620,4)+1=LEFT(' Pivot Tables'!$A$4,4)+0,RIGHT(LEFT(D6620,7),2)=RIGHT(LEFT(' Pivot Tables'!$A$4,7),2)),1,0)</f>
        <v>0</v>
      </c>
      <c r="Y6620" s="6">
        <f>1/COUNTIF(Таблица1[Order ID],Таблица1[[#This Row],[Order ID]])</f>
        <v>0.5</v>
      </c>
      <c r="Z6620" s="9">
        <f>1/COUNTIFS(Таблица1[Customer Name],Таблица1[[#This Row],[Customer Name]],Таблица1[Order-Year-Month],Таблица1[[#This Row],[Order-Year-Month]])</f>
        <v>0.5</v>
      </c>
    </row>
    <row r="6621" spans="1:26" x14ac:dyDescent="0.2">
      <c r="A6621" s="6">
        <v>467</v>
      </c>
      <c r="B6621" s="7">
        <v>3175</v>
      </c>
      <c r="C6621" s="8">
        <f>DATE(2012,12,31)-1266</f>
        <v>40008</v>
      </c>
      <c r="D6621" s="8" t="str">
        <f t="shared" si="121"/>
        <v>2009-07 (июль 2009)</v>
      </c>
      <c r="E6621" s="9" t="s">
        <v>21</v>
      </c>
      <c r="F6621" s="7">
        <v>23</v>
      </c>
      <c r="G6621" s="7">
        <v>3553.62</v>
      </c>
      <c r="H6621" s="7">
        <v>7.0000000000000007E-2</v>
      </c>
      <c r="I6621" s="9" t="s">
        <v>22</v>
      </c>
      <c r="J6621" s="10">
        <v>521.69000000000005</v>
      </c>
      <c r="K6621" s="11">
        <v>165.2</v>
      </c>
      <c r="L6621" s="11">
        <v>19.989999999999998</v>
      </c>
      <c r="M6621" s="9" t="s">
        <v>1546</v>
      </c>
      <c r="N6621" s="6" t="s">
        <v>2012</v>
      </c>
      <c r="O6621" s="6" t="s">
        <v>2012</v>
      </c>
      <c r="P6621" s="9" t="s">
        <v>25</v>
      </c>
      <c r="Q6621" s="9" t="s">
        <v>26</v>
      </c>
      <c r="R6621" s="9" t="s">
        <v>27</v>
      </c>
      <c r="S6621" s="7" t="s">
        <v>1773</v>
      </c>
      <c r="T6621" s="9" t="s">
        <v>39</v>
      </c>
      <c r="U6621" s="7">
        <v>0.59</v>
      </c>
      <c r="V6621" s="12">
        <f>C6621+2</f>
        <v>40010</v>
      </c>
      <c r="W6621">
        <f>IF(D6621=' Pivot Tables'!$A$4,1,0)</f>
        <v>0</v>
      </c>
      <c r="X6621">
        <f>IF(AND(LEFT(D6621,4)+1=LEFT(' Pivot Tables'!$A$4,4)+0,RIGHT(LEFT(D6621,7),2)=RIGHT(LEFT(' Pivot Tables'!$A$4,7),2)),1,0)</f>
        <v>0</v>
      </c>
      <c r="Y6621" s="6">
        <f>1/COUNTIF(Таблица1[Order ID],Таблица1[[#This Row],[Order ID]])</f>
        <v>1</v>
      </c>
      <c r="Z6621" s="9">
        <f>1/COUNTIFS(Таблица1[Customer Name],Таблица1[[#This Row],[Customer Name]],Таблица1[Order-Year-Month],Таблица1[[#This Row],[Order-Year-Month]])</f>
        <v>1</v>
      </c>
    </row>
    <row r="6622" spans="1:26" x14ac:dyDescent="0.2">
      <c r="A6622" s="6">
        <v>477</v>
      </c>
      <c r="B6622" s="7">
        <v>3300</v>
      </c>
      <c r="C6622" s="8">
        <f>DATE(2012,12,31)-536</f>
        <v>40738</v>
      </c>
      <c r="D6622" s="8" t="str">
        <f t="shared" si="121"/>
        <v>2011-07 (июль 2011)</v>
      </c>
      <c r="E6622" s="9" t="s">
        <v>21</v>
      </c>
      <c r="F6622" s="7">
        <v>6</v>
      </c>
      <c r="G6622" s="7">
        <v>92.02</v>
      </c>
      <c r="H6622" s="7">
        <v>0.1</v>
      </c>
      <c r="I6622" s="9" t="s">
        <v>22</v>
      </c>
      <c r="J6622" s="10">
        <v>-47.36</v>
      </c>
      <c r="K6622" s="11">
        <v>15.98</v>
      </c>
      <c r="L6622" s="11">
        <v>4</v>
      </c>
      <c r="M6622" s="9" t="s">
        <v>2032</v>
      </c>
      <c r="N6622" s="6" t="s">
        <v>2012</v>
      </c>
      <c r="O6622" s="6" t="s">
        <v>2012</v>
      </c>
      <c r="P6622" s="9" t="s">
        <v>60</v>
      </c>
      <c r="Q6622" s="9" t="s">
        <v>42</v>
      </c>
      <c r="R6622" s="9" t="s">
        <v>70</v>
      </c>
      <c r="S6622" s="7" t="s">
        <v>536</v>
      </c>
      <c r="T6622" s="9" t="s">
        <v>39</v>
      </c>
      <c r="U6622" s="7">
        <v>0.37</v>
      </c>
      <c r="V6622" s="12">
        <f>C6622+5</f>
        <v>40743</v>
      </c>
      <c r="W6622">
        <f>IF(D6622=' Pivot Tables'!$A$4,1,0)</f>
        <v>0</v>
      </c>
      <c r="X6622">
        <f>IF(AND(LEFT(D6622,4)+1=LEFT(' Pivot Tables'!$A$4,4)+0,RIGHT(LEFT(D6622,7),2)=RIGHT(LEFT(' Pivot Tables'!$A$4,7),2)),1,0)</f>
        <v>0</v>
      </c>
      <c r="Y6622" s="6">
        <f>1/COUNTIF(Таблица1[Order ID],Таблица1[[#This Row],[Order ID]])</f>
        <v>1</v>
      </c>
      <c r="Z6622" s="9">
        <f>1/COUNTIFS(Таблица1[Customer Name],Таблица1[[#This Row],[Customer Name]],Таблица1[Order-Year-Month],Таблица1[[#This Row],[Order-Year-Month]])</f>
        <v>1</v>
      </c>
    </row>
    <row r="6623" spans="1:26" x14ac:dyDescent="0.2">
      <c r="A6623" s="6">
        <v>478</v>
      </c>
      <c r="B6623" s="7">
        <v>3328</v>
      </c>
      <c r="C6623" s="8">
        <f>DATE(2012,12,31)-43</f>
        <v>41231</v>
      </c>
      <c r="D6623" s="8" t="str">
        <f t="shared" si="121"/>
        <v>2012-11 (ноябрь 2012)</v>
      </c>
      <c r="E6623" s="9" t="s">
        <v>21</v>
      </c>
      <c r="F6623" s="7">
        <v>12</v>
      </c>
      <c r="G6623" s="7">
        <v>1736.41</v>
      </c>
      <c r="H6623" s="7">
        <v>0.1</v>
      </c>
      <c r="I6623" s="9" t="s">
        <v>31</v>
      </c>
      <c r="J6623" s="10">
        <v>-762.44</v>
      </c>
      <c r="K6623" s="11">
        <v>146.05000000000001</v>
      </c>
      <c r="L6623" s="11">
        <v>80.2</v>
      </c>
      <c r="M6623" s="9" t="s">
        <v>2027</v>
      </c>
      <c r="N6623" s="6" t="s">
        <v>2012</v>
      </c>
      <c r="O6623" s="6" t="s">
        <v>2012</v>
      </c>
      <c r="P6623" s="9" t="s">
        <v>41</v>
      </c>
      <c r="Q6623" s="9" t="s">
        <v>49</v>
      </c>
      <c r="R6623" s="9" t="s">
        <v>83</v>
      </c>
      <c r="S6623" s="7" t="s">
        <v>1101</v>
      </c>
      <c r="T6623" s="9" t="s">
        <v>82</v>
      </c>
      <c r="U6623" s="7">
        <v>0.71</v>
      </c>
      <c r="V6623" s="12">
        <f>C6623+7</f>
        <v>41238</v>
      </c>
      <c r="W6623">
        <f>IF(D6623=' Pivot Tables'!$A$4,1,0)</f>
        <v>0</v>
      </c>
      <c r="X6623">
        <f>IF(AND(LEFT(D6623,4)+1=LEFT(' Pivot Tables'!$A$4,4)+0,RIGHT(LEFT(D6623,7),2)=RIGHT(LEFT(' Pivot Tables'!$A$4,7),2)),1,0)</f>
        <v>0</v>
      </c>
      <c r="Y6623" s="6">
        <f>1/COUNTIF(Таблица1[Order ID],Таблица1[[#This Row],[Order ID]])</f>
        <v>1</v>
      </c>
      <c r="Z6623" s="9">
        <f>1/COUNTIFS(Таблица1[Customer Name],Таблица1[[#This Row],[Customer Name]],Таблица1[Order-Year-Month],Таблица1[[#This Row],[Order-Year-Month]])</f>
        <v>1</v>
      </c>
    </row>
    <row r="6624" spans="1:26" x14ac:dyDescent="0.2">
      <c r="A6624" s="6">
        <v>514</v>
      </c>
      <c r="B6624" s="7">
        <v>3525</v>
      </c>
      <c r="C6624" s="8">
        <f>DATE(2012,12,31)-376</f>
        <v>40898</v>
      </c>
      <c r="D6624" s="8" t="str">
        <f t="shared" si="121"/>
        <v>2011-12 (декабрь 2011)</v>
      </c>
      <c r="E6624" s="9" t="s">
        <v>45</v>
      </c>
      <c r="F6624" s="7">
        <v>38</v>
      </c>
      <c r="G6624" s="7">
        <v>115.43</v>
      </c>
      <c r="H6624" s="7">
        <v>0</v>
      </c>
      <c r="I6624" s="9" t="s">
        <v>22</v>
      </c>
      <c r="J6624" s="10">
        <v>11.41</v>
      </c>
      <c r="K6624" s="11">
        <v>2.78</v>
      </c>
      <c r="L6624" s="11">
        <v>1.34</v>
      </c>
      <c r="M6624" s="9" t="s">
        <v>2032</v>
      </c>
      <c r="N6624" s="6" t="s">
        <v>2012</v>
      </c>
      <c r="O6624" s="6" t="s">
        <v>2012</v>
      </c>
      <c r="P6624" s="9" t="s">
        <v>60</v>
      </c>
      <c r="Q6624" s="9" t="s">
        <v>26</v>
      </c>
      <c r="R6624" s="9" t="s">
        <v>95</v>
      </c>
      <c r="S6624" s="7" t="s">
        <v>256</v>
      </c>
      <c r="T6624" s="9" t="s">
        <v>68</v>
      </c>
      <c r="U6624" s="7">
        <v>0.45</v>
      </c>
      <c r="V6624" s="12">
        <f>C6624+2</f>
        <v>40900</v>
      </c>
      <c r="W6624">
        <f>IF(D6624=' Pivot Tables'!$A$4,1,0)</f>
        <v>0</v>
      </c>
      <c r="X6624">
        <f>IF(AND(LEFT(D6624,4)+1=LEFT(' Pivot Tables'!$A$4,4)+0,RIGHT(LEFT(D6624,7),2)=RIGHT(LEFT(' Pivot Tables'!$A$4,7),2)),1,0)</f>
        <v>0</v>
      </c>
      <c r="Y6624" s="6">
        <f>1/COUNTIF(Таблица1[Order ID],Таблица1[[#This Row],[Order ID]])</f>
        <v>1</v>
      </c>
      <c r="Z6624" s="9">
        <f>1/COUNTIFS(Таблица1[Customer Name],Таблица1[[#This Row],[Customer Name]],Таблица1[Order-Year-Month],Таблица1[[#This Row],[Order-Year-Month]])</f>
        <v>1</v>
      </c>
    </row>
    <row r="6625" spans="1:26" x14ac:dyDescent="0.2">
      <c r="A6625" s="6">
        <v>515</v>
      </c>
      <c r="B6625" s="7">
        <v>3526</v>
      </c>
      <c r="C6625" s="8">
        <f>DATE(2012,12,31)-657</f>
        <v>40617</v>
      </c>
      <c r="D6625" s="8" t="str">
        <f t="shared" si="121"/>
        <v>2011-03 (март 2011)</v>
      </c>
      <c r="E6625" s="9" t="s">
        <v>21</v>
      </c>
      <c r="F6625" s="7">
        <v>20</v>
      </c>
      <c r="G6625" s="7">
        <v>246.06</v>
      </c>
      <c r="H6625" s="7">
        <v>0.08</v>
      </c>
      <c r="I6625" s="9" t="s">
        <v>22</v>
      </c>
      <c r="J6625" s="10">
        <v>20.67</v>
      </c>
      <c r="K6625" s="11">
        <v>12.07</v>
      </c>
      <c r="L6625" s="11">
        <v>6.2</v>
      </c>
      <c r="M6625" s="9" t="s">
        <v>1489</v>
      </c>
      <c r="N6625" s="6" t="s">
        <v>2012</v>
      </c>
      <c r="O6625" s="6" t="s">
        <v>2012</v>
      </c>
      <c r="P6625" s="9" t="s">
        <v>25</v>
      </c>
      <c r="Q6625" s="9" t="s">
        <v>49</v>
      </c>
      <c r="R6625" s="9" t="s">
        <v>50</v>
      </c>
      <c r="S6625" s="7" t="s">
        <v>1790</v>
      </c>
      <c r="T6625" s="9" t="s">
        <v>68</v>
      </c>
      <c r="U6625" s="7">
        <v>0.52</v>
      </c>
      <c r="V6625" s="12">
        <f>C6625+2</f>
        <v>40619</v>
      </c>
      <c r="W6625">
        <f>IF(D6625=' Pivot Tables'!$A$4,1,0)</f>
        <v>0</v>
      </c>
      <c r="X6625">
        <f>IF(AND(LEFT(D6625,4)+1=LEFT(' Pivot Tables'!$A$4,4)+0,RIGHT(LEFT(D6625,7),2)=RIGHT(LEFT(' Pivot Tables'!$A$4,7),2)),1,0)</f>
        <v>0</v>
      </c>
      <c r="Y6625" s="6">
        <f>1/COUNTIF(Таблица1[Order ID],Таблица1[[#This Row],[Order ID]])</f>
        <v>1</v>
      </c>
      <c r="Z6625" s="9">
        <f>1/COUNTIFS(Таблица1[Customer Name],Таблица1[[#This Row],[Customer Name]],Таблица1[Order-Year-Month],Таблица1[[#This Row],[Order-Year-Month]])</f>
        <v>1</v>
      </c>
    </row>
    <row r="6626" spans="1:26" x14ac:dyDescent="0.2">
      <c r="A6626" s="6">
        <v>532</v>
      </c>
      <c r="B6626" s="7">
        <v>3621</v>
      </c>
      <c r="C6626" s="8">
        <f>DATE(2012,12,31)-971</f>
        <v>40303</v>
      </c>
      <c r="D6626" s="8" t="str">
        <f t="shared" si="121"/>
        <v>2010-05 (май 2010)</v>
      </c>
      <c r="E6626" s="9" t="s">
        <v>63</v>
      </c>
      <c r="F6626" s="7">
        <v>14</v>
      </c>
      <c r="G6626" s="7">
        <v>83.87</v>
      </c>
      <c r="H6626" s="7">
        <v>0.06</v>
      </c>
      <c r="I6626" s="9" t="s">
        <v>22</v>
      </c>
      <c r="J6626" s="10">
        <v>-28.83</v>
      </c>
      <c r="K6626" s="11">
        <v>5.58</v>
      </c>
      <c r="L6626" s="11">
        <v>5.3</v>
      </c>
      <c r="M6626" s="9" t="s">
        <v>1462</v>
      </c>
      <c r="N6626" s="6" t="s">
        <v>2012</v>
      </c>
      <c r="O6626" s="6" t="s">
        <v>2012</v>
      </c>
      <c r="P6626" s="9" t="s">
        <v>25</v>
      </c>
      <c r="Q6626" s="9" t="s">
        <v>26</v>
      </c>
      <c r="R6626" s="9" t="s">
        <v>76</v>
      </c>
      <c r="S6626" s="7" t="s">
        <v>881</v>
      </c>
      <c r="T6626" s="9" t="s">
        <v>39</v>
      </c>
      <c r="U6626" s="7">
        <v>0.35</v>
      </c>
      <c r="V6626" s="12">
        <f>C6626+1</f>
        <v>40304</v>
      </c>
      <c r="W6626">
        <f>IF(D6626=' Pivot Tables'!$A$4,1,0)</f>
        <v>0</v>
      </c>
      <c r="X6626">
        <f>IF(AND(LEFT(D6626,4)+1=LEFT(' Pivot Tables'!$A$4,4)+0,RIGHT(LEFT(D6626,7),2)=RIGHT(LEFT(' Pivot Tables'!$A$4,7),2)),1,0)</f>
        <v>0</v>
      </c>
      <c r="Y6626" s="6">
        <f>1/COUNTIF(Таблица1[Order ID],Таблица1[[#This Row],[Order ID]])</f>
        <v>1</v>
      </c>
      <c r="Z6626" s="9">
        <f>1/COUNTIFS(Таблица1[Customer Name],Таблица1[[#This Row],[Customer Name]],Таблица1[Order-Year-Month],Таблица1[[#This Row],[Order-Year-Month]])</f>
        <v>1</v>
      </c>
    </row>
    <row r="6627" spans="1:26" x14ac:dyDescent="0.2">
      <c r="A6627" s="6">
        <v>536</v>
      </c>
      <c r="B6627" s="7">
        <v>3649</v>
      </c>
      <c r="C6627" s="8">
        <f>DATE(2012,12,31)-1275</f>
        <v>39999</v>
      </c>
      <c r="D6627" s="8" t="str">
        <f t="shared" si="121"/>
        <v>2009-07 (июль 2009)</v>
      </c>
      <c r="E6627" s="9" t="s">
        <v>21</v>
      </c>
      <c r="F6627" s="7">
        <v>8</v>
      </c>
      <c r="G6627" s="7">
        <v>79.42</v>
      </c>
      <c r="H6627" s="7">
        <v>0.01</v>
      </c>
      <c r="I6627" s="9" t="s">
        <v>22</v>
      </c>
      <c r="J6627" s="10">
        <v>-15.456</v>
      </c>
      <c r="K6627" s="11">
        <v>8.8800000000000008</v>
      </c>
      <c r="L6627" s="11">
        <v>6.28</v>
      </c>
      <c r="M6627" s="9" t="s">
        <v>1491</v>
      </c>
      <c r="N6627" s="6" t="s">
        <v>2012</v>
      </c>
      <c r="O6627" s="6" t="s">
        <v>2012</v>
      </c>
      <c r="P6627" s="9" t="s">
        <v>60</v>
      </c>
      <c r="Q6627" s="9" t="s">
        <v>26</v>
      </c>
      <c r="R6627" s="9" t="s">
        <v>37</v>
      </c>
      <c r="S6627" s="7" t="s">
        <v>1173</v>
      </c>
      <c r="T6627" s="9" t="s">
        <v>39</v>
      </c>
      <c r="U6627" s="7">
        <v>0.35</v>
      </c>
      <c r="V6627" s="12">
        <f>C6627+5</f>
        <v>40004</v>
      </c>
      <c r="W6627">
        <f>IF(D6627=' Pivot Tables'!$A$4,1,0)</f>
        <v>0</v>
      </c>
      <c r="X6627">
        <f>IF(AND(LEFT(D6627,4)+1=LEFT(' Pivot Tables'!$A$4,4)+0,RIGHT(LEFT(D6627,7),2)=RIGHT(LEFT(' Pivot Tables'!$A$4,7),2)),1,0)</f>
        <v>0</v>
      </c>
      <c r="Y6627" s="6">
        <f>1/COUNTIF(Таблица1[Order ID],Таблица1[[#This Row],[Order ID]])</f>
        <v>0.5</v>
      </c>
      <c r="Z6627" s="9">
        <f>1/COUNTIFS(Таблица1[Customer Name],Таблица1[[#This Row],[Customer Name]],Таблица1[Order-Year-Month],Таблица1[[#This Row],[Order-Year-Month]])</f>
        <v>0.5</v>
      </c>
    </row>
    <row r="6628" spans="1:26" x14ac:dyDescent="0.2">
      <c r="A6628" s="6">
        <v>537</v>
      </c>
      <c r="B6628" s="7">
        <v>3649</v>
      </c>
      <c r="C6628" s="8">
        <f>DATE(2012,12,31)-1275</f>
        <v>39999</v>
      </c>
      <c r="D6628" s="8" t="str">
        <f t="shared" si="121"/>
        <v>2009-07 (июль 2009)</v>
      </c>
      <c r="E6628" s="9" t="s">
        <v>21</v>
      </c>
      <c r="F6628" s="7">
        <v>26</v>
      </c>
      <c r="G6628" s="7">
        <v>75.599999999999994</v>
      </c>
      <c r="H6628" s="7">
        <v>0.06</v>
      </c>
      <c r="I6628" s="9" t="s">
        <v>22</v>
      </c>
      <c r="J6628" s="10">
        <v>17.14</v>
      </c>
      <c r="K6628" s="11">
        <v>2.88</v>
      </c>
      <c r="L6628" s="11">
        <v>0.99</v>
      </c>
      <c r="M6628" s="9" t="s">
        <v>1491</v>
      </c>
      <c r="N6628" s="6" t="s">
        <v>2012</v>
      </c>
      <c r="O6628" s="6" t="s">
        <v>2012</v>
      </c>
      <c r="P6628" s="9" t="s">
        <v>60</v>
      </c>
      <c r="Q6628" s="9" t="s">
        <v>26</v>
      </c>
      <c r="R6628" s="9" t="s">
        <v>88</v>
      </c>
      <c r="S6628" s="7" t="s">
        <v>962</v>
      </c>
      <c r="T6628" s="9" t="s">
        <v>39</v>
      </c>
      <c r="U6628" s="7">
        <v>0.36</v>
      </c>
      <c r="V6628" s="12">
        <f>C6628+9</f>
        <v>40008</v>
      </c>
      <c r="W6628">
        <f>IF(D6628=' Pivot Tables'!$A$4,1,0)</f>
        <v>0</v>
      </c>
      <c r="X6628">
        <f>IF(AND(LEFT(D6628,4)+1=LEFT(' Pivot Tables'!$A$4,4)+0,RIGHT(LEFT(D6628,7),2)=RIGHT(LEFT(' Pivot Tables'!$A$4,7),2)),1,0)</f>
        <v>0</v>
      </c>
      <c r="Y6628" s="6">
        <f>1/COUNTIF(Таблица1[Order ID],Таблица1[[#This Row],[Order ID]])</f>
        <v>0.5</v>
      </c>
      <c r="Z6628" s="9">
        <f>1/COUNTIFS(Таблица1[Customer Name],Таблица1[[#This Row],[Customer Name]],Таблица1[Order-Year-Month],Таблица1[[#This Row],[Order-Year-Month]])</f>
        <v>0.5</v>
      </c>
    </row>
    <row r="6629" spans="1:26" x14ac:dyDescent="0.2">
      <c r="A6629" s="6">
        <v>541</v>
      </c>
      <c r="B6629" s="7">
        <v>3654</v>
      </c>
      <c r="C6629" s="8">
        <f>DATE(2012,12,31)-212</f>
        <v>41062</v>
      </c>
      <c r="D6629" s="8" t="str">
        <f t="shared" si="121"/>
        <v>2012-06 (июнь 2012)</v>
      </c>
      <c r="E6629" s="9" t="s">
        <v>21</v>
      </c>
      <c r="F6629" s="7">
        <v>41</v>
      </c>
      <c r="G6629" s="7">
        <v>95.73</v>
      </c>
      <c r="H6629" s="7">
        <v>0</v>
      </c>
      <c r="I6629" s="9" t="s">
        <v>22</v>
      </c>
      <c r="J6629" s="10">
        <v>-151.15</v>
      </c>
      <c r="K6629" s="11">
        <v>2.08</v>
      </c>
      <c r="L6629" s="11">
        <v>5.33</v>
      </c>
      <c r="M6629" s="9" t="s">
        <v>1459</v>
      </c>
      <c r="N6629" s="6" t="s">
        <v>2012</v>
      </c>
      <c r="O6629" s="6" t="s">
        <v>2012</v>
      </c>
      <c r="P6629" s="9" t="s">
        <v>41</v>
      </c>
      <c r="Q6629" s="9" t="s">
        <v>49</v>
      </c>
      <c r="R6629" s="9" t="s">
        <v>50</v>
      </c>
      <c r="S6629" s="7" t="s">
        <v>216</v>
      </c>
      <c r="T6629" s="9" t="s">
        <v>39</v>
      </c>
      <c r="U6629" s="7">
        <v>0.43</v>
      </c>
      <c r="V6629" s="12">
        <f>C6629+5</f>
        <v>41067</v>
      </c>
      <c r="W6629">
        <f>IF(D6629=' Pivot Tables'!$A$4,1,0)</f>
        <v>0</v>
      </c>
      <c r="X6629">
        <f>IF(AND(LEFT(D6629,4)+1=LEFT(' Pivot Tables'!$A$4,4)+0,RIGHT(LEFT(D6629,7),2)=RIGHT(LEFT(' Pivot Tables'!$A$4,7),2)),1,0)</f>
        <v>0</v>
      </c>
      <c r="Y6629" s="6">
        <f>1/COUNTIF(Таблица1[Order ID],Таблица1[[#This Row],[Order ID]])</f>
        <v>0.33333333333333331</v>
      </c>
      <c r="Z6629" s="9">
        <f>1/COUNTIFS(Таблица1[Customer Name],Таблица1[[#This Row],[Customer Name]],Таблица1[Order-Year-Month],Таблица1[[#This Row],[Order-Year-Month]])</f>
        <v>0.33333333333333331</v>
      </c>
    </row>
    <row r="6630" spans="1:26" x14ac:dyDescent="0.2">
      <c r="A6630" s="6">
        <v>565</v>
      </c>
      <c r="B6630" s="7">
        <v>3814</v>
      </c>
      <c r="C6630" s="8">
        <f>DATE(2012,12,31)-679</f>
        <v>40595</v>
      </c>
      <c r="D6630" s="8" t="str">
        <f t="shared" si="121"/>
        <v>2011-02 (февраль 2011)</v>
      </c>
      <c r="E6630" s="9" t="s">
        <v>21</v>
      </c>
      <c r="F6630" s="7">
        <v>43</v>
      </c>
      <c r="G6630" s="7">
        <v>1225.4100000000001</v>
      </c>
      <c r="H6630" s="7">
        <v>0.04</v>
      </c>
      <c r="I6630" s="9" t="s">
        <v>56</v>
      </c>
      <c r="J6630" s="10">
        <v>-138.02000000000001</v>
      </c>
      <c r="K6630" s="11">
        <v>28.28</v>
      </c>
      <c r="L6630" s="11">
        <v>13.99</v>
      </c>
      <c r="M6630" s="9" t="s">
        <v>2033</v>
      </c>
      <c r="N6630" s="6" t="s">
        <v>2012</v>
      </c>
      <c r="O6630" s="6" t="s">
        <v>2012</v>
      </c>
      <c r="P6630" s="9" t="s">
        <v>33</v>
      </c>
      <c r="Q6630" s="9" t="s">
        <v>26</v>
      </c>
      <c r="R6630" s="9" t="s">
        <v>27</v>
      </c>
      <c r="S6630" s="7" t="s">
        <v>267</v>
      </c>
      <c r="T6630" s="9" t="s">
        <v>48</v>
      </c>
      <c r="U6630" s="7">
        <v>0.57999999999999996</v>
      </c>
      <c r="V6630" s="12">
        <f>C6630+6</f>
        <v>40601</v>
      </c>
      <c r="W6630">
        <f>IF(D6630=' Pivot Tables'!$A$4,1,0)</f>
        <v>0</v>
      </c>
      <c r="X6630">
        <f>IF(AND(LEFT(D6630,4)+1=LEFT(' Pivot Tables'!$A$4,4)+0,RIGHT(LEFT(D6630,7),2)=RIGHT(LEFT(' Pivot Tables'!$A$4,7),2)),1,0)</f>
        <v>0</v>
      </c>
      <c r="Y6630" s="6">
        <f>1/COUNTIF(Таблица1[Order ID],Таблица1[[#This Row],[Order ID]])</f>
        <v>1</v>
      </c>
      <c r="Z6630" s="9">
        <f>1/COUNTIFS(Таблица1[Customer Name],Таблица1[[#This Row],[Customer Name]],Таблица1[Order-Year-Month],Таблица1[[#This Row],[Order-Year-Month]])</f>
        <v>1</v>
      </c>
    </row>
    <row r="6631" spans="1:26" x14ac:dyDescent="0.2">
      <c r="A6631" s="6">
        <v>578</v>
      </c>
      <c r="B6631" s="7">
        <v>3911</v>
      </c>
      <c r="C6631" s="8">
        <f>DATE(2012,12,31)-656</f>
        <v>40618</v>
      </c>
      <c r="D6631" s="8" t="str">
        <f t="shared" si="121"/>
        <v>2011-03 (март 2011)</v>
      </c>
      <c r="E6631" s="9" t="s">
        <v>45</v>
      </c>
      <c r="F6631" s="7">
        <v>24</v>
      </c>
      <c r="G6631" s="7">
        <v>370.72</v>
      </c>
      <c r="H6631" s="7">
        <v>0.1</v>
      </c>
      <c r="I6631" s="9" t="s">
        <v>22</v>
      </c>
      <c r="J6631" s="10">
        <v>-156.76</v>
      </c>
      <c r="K6631" s="11">
        <v>15.7</v>
      </c>
      <c r="L6631" s="11">
        <v>11.25</v>
      </c>
      <c r="M6631" s="9" t="s">
        <v>1560</v>
      </c>
      <c r="N6631" s="6" t="s">
        <v>2012</v>
      </c>
      <c r="O6631" s="6" t="s">
        <v>2012</v>
      </c>
      <c r="P6631" s="9" t="s">
        <v>25</v>
      </c>
      <c r="Q6631" s="9" t="s">
        <v>26</v>
      </c>
      <c r="R6631" s="9" t="s">
        <v>27</v>
      </c>
      <c r="S6631" s="7" t="s">
        <v>206</v>
      </c>
      <c r="T6631" s="9" t="s">
        <v>39</v>
      </c>
      <c r="U6631" s="7">
        <v>0.6</v>
      </c>
      <c r="V6631" s="12">
        <f>C6631+0</f>
        <v>40618</v>
      </c>
      <c r="W6631">
        <f>IF(D6631=' Pivot Tables'!$A$4,1,0)</f>
        <v>0</v>
      </c>
      <c r="X6631">
        <f>IF(AND(LEFT(D6631,4)+1=LEFT(' Pivot Tables'!$A$4,4)+0,RIGHT(LEFT(D6631,7),2)=RIGHT(LEFT(' Pivot Tables'!$A$4,7),2)),1,0)</f>
        <v>0</v>
      </c>
      <c r="Y6631" s="6">
        <f>1/COUNTIF(Таблица1[Order ID],Таблица1[[#This Row],[Order ID]])</f>
        <v>1</v>
      </c>
      <c r="Z6631" s="9">
        <f>1/COUNTIFS(Таблица1[Customer Name],Таблица1[[#This Row],[Customer Name]],Таблица1[Order-Year-Month],Таблица1[[#This Row],[Order-Year-Month]])</f>
        <v>1</v>
      </c>
    </row>
    <row r="6632" spans="1:26" x14ac:dyDescent="0.2">
      <c r="A6632" s="6">
        <v>607</v>
      </c>
      <c r="B6632" s="7">
        <v>4134</v>
      </c>
      <c r="C6632" s="8">
        <f>DATE(2012,12,31)-720</f>
        <v>40554</v>
      </c>
      <c r="D6632" s="8" t="str">
        <f t="shared" si="121"/>
        <v>2011-01 (январь 2011)</v>
      </c>
      <c r="E6632" s="9" t="s">
        <v>78</v>
      </c>
      <c r="F6632" s="7">
        <v>48</v>
      </c>
      <c r="G6632" s="7">
        <v>6403.39</v>
      </c>
      <c r="H6632" s="7">
        <v>0.01</v>
      </c>
      <c r="I6632" s="9" t="s">
        <v>31</v>
      </c>
      <c r="J6632" s="10">
        <v>-824.15</v>
      </c>
      <c r="K6632" s="11">
        <v>130.97999999999999</v>
      </c>
      <c r="L6632" s="11">
        <v>54.74</v>
      </c>
      <c r="M6632" s="9" t="s">
        <v>1543</v>
      </c>
      <c r="N6632" s="6" t="s">
        <v>2012</v>
      </c>
      <c r="O6632" s="6" t="s">
        <v>2012</v>
      </c>
      <c r="P6632" s="9" t="s">
        <v>25</v>
      </c>
      <c r="Q6632" s="9" t="s">
        <v>49</v>
      </c>
      <c r="R6632" s="9" t="s">
        <v>80</v>
      </c>
      <c r="S6632" s="7" t="s">
        <v>807</v>
      </c>
      <c r="T6632" s="9" t="s">
        <v>82</v>
      </c>
      <c r="U6632" s="7">
        <v>0.69</v>
      </c>
      <c r="V6632" s="12">
        <f>C6632+2</f>
        <v>40556</v>
      </c>
      <c r="W6632">
        <f>IF(D6632=' Pivot Tables'!$A$4,1,0)</f>
        <v>0</v>
      </c>
      <c r="X6632">
        <f>IF(AND(LEFT(D6632,4)+1=LEFT(' Pivot Tables'!$A$4,4)+0,RIGHT(LEFT(D6632,7),2)=RIGHT(LEFT(' Pivot Tables'!$A$4,7),2)),1,0)</f>
        <v>0</v>
      </c>
      <c r="Y6632" s="6">
        <f>1/COUNTIF(Таблица1[Order ID],Таблица1[[#This Row],[Order ID]])</f>
        <v>0.5</v>
      </c>
      <c r="Z6632" s="9">
        <f>1/COUNTIFS(Таблица1[Customer Name],Таблица1[[#This Row],[Customer Name]],Таблица1[Order-Year-Month],Таблица1[[#This Row],[Order-Year-Month]])</f>
        <v>0.25</v>
      </c>
    </row>
    <row r="6633" spans="1:26" x14ac:dyDescent="0.2">
      <c r="A6633" s="6">
        <v>608</v>
      </c>
      <c r="B6633" s="7">
        <v>4134</v>
      </c>
      <c r="C6633" s="8">
        <f>DATE(2012,12,31)-720</f>
        <v>40554</v>
      </c>
      <c r="D6633" s="8" t="str">
        <f t="shared" si="121"/>
        <v>2011-01 (январь 2011)</v>
      </c>
      <c r="E6633" s="9" t="s">
        <v>78</v>
      </c>
      <c r="F6633" s="7">
        <v>23</v>
      </c>
      <c r="G6633" s="7">
        <v>757.91</v>
      </c>
      <c r="H6633" s="7">
        <v>0.02</v>
      </c>
      <c r="I6633" s="9" t="s">
        <v>22</v>
      </c>
      <c r="J6633" s="10">
        <v>-16.05</v>
      </c>
      <c r="K6633" s="11">
        <v>30.97</v>
      </c>
      <c r="L6633" s="11">
        <v>4</v>
      </c>
      <c r="M6633" s="9" t="s">
        <v>1543</v>
      </c>
      <c r="N6633" s="6" t="s">
        <v>2012</v>
      </c>
      <c r="O6633" s="6" t="s">
        <v>2012</v>
      </c>
      <c r="P6633" s="9" t="s">
        <v>25</v>
      </c>
      <c r="Q6633" s="9" t="s">
        <v>42</v>
      </c>
      <c r="R6633" s="9" t="s">
        <v>70</v>
      </c>
      <c r="S6633" s="7" t="s">
        <v>942</v>
      </c>
      <c r="T6633" s="9" t="s">
        <v>39</v>
      </c>
      <c r="U6633" s="7">
        <v>0.74</v>
      </c>
      <c r="V6633" s="12">
        <f>C6633+0</f>
        <v>40554</v>
      </c>
      <c r="W6633">
        <f>IF(D6633=' Pivot Tables'!$A$4,1,0)</f>
        <v>0</v>
      </c>
      <c r="X6633">
        <f>IF(AND(LEFT(D6633,4)+1=LEFT(' Pivot Tables'!$A$4,4)+0,RIGHT(LEFT(D6633,7),2)=RIGHT(LEFT(' Pivot Tables'!$A$4,7),2)),1,0)</f>
        <v>0</v>
      </c>
      <c r="Y6633" s="6">
        <f>1/COUNTIF(Таблица1[Order ID],Таблица1[[#This Row],[Order ID]])</f>
        <v>0.5</v>
      </c>
      <c r="Z6633" s="9">
        <f>1/COUNTIFS(Таблица1[Customer Name],Таблица1[[#This Row],[Customer Name]],Таблица1[Order-Year-Month],Таблица1[[#This Row],[Order-Year-Month]])</f>
        <v>0.25</v>
      </c>
    </row>
    <row r="6634" spans="1:26" x14ac:dyDescent="0.2">
      <c r="A6634" s="6">
        <v>615</v>
      </c>
      <c r="B6634" s="7">
        <v>4230</v>
      </c>
      <c r="C6634" s="8">
        <f>DATE(2012,12,31)-303</f>
        <v>40971</v>
      </c>
      <c r="D6634" s="8" t="str">
        <f t="shared" si="121"/>
        <v>2012-03 (март 2012)</v>
      </c>
      <c r="E6634" s="9" t="s">
        <v>78</v>
      </c>
      <c r="F6634" s="7">
        <v>18</v>
      </c>
      <c r="G6634" s="7">
        <v>409.16</v>
      </c>
      <c r="H6634" s="7">
        <v>0.05</v>
      </c>
      <c r="I6634" s="9" t="s">
        <v>22</v>
      </c>
      <c r="J6634" s="10">
        <v>21.96</v>
      </c>
      <c r="K6634" s="11">
        <v>22.72</v>
      </c>
      <c r="L6634" s="11">
        <v>8.99</v>
      </c>
      <c r="M6634" s="9" t="s">
        <v>2034</v>
      </c>
      <c r="N6634" s="6" t="s">
        <v>2012</v>
      </c>
      <c r="O6634" s="6" t="s">
        <v>2012</v>
      </c>
      <c r="P6634" s="9" t="s">
        <v>41</v>
      </c>
      <c r="Q6634" s="9" t="s">
        <v>49</v>
      </c>
      <c r="R6634" s="9" t="s">
        <v>50</v>
      </c>
      <c r="S6634" s="7" t="s">
        <v>315</v>
      </c>
      <c r="T6634" s="9" t="s">
        <v>52</v>
      </c>
      <c r="U6634" s="7">
        <v>0.44</v>
      </c>
      <c r="V6634" s="12">
        <f>C6634+1</f>
        <v>40972</v>
      </c>
      <c r="W6634">
        <f>IF(D6634=' Pivot Tables'!$A$4,1,0)</f>
        <v>0</v>
      </c>
      <c r="X6634">
        <f>IF(AND(LEFT(D6634,4)+1=LEFT(' Pivot Tables'!$A$4,4)+0,RIGHT(LEFT(D6634,7),2)=RIGHT(LEFT(' Pivot Tables'!$A$4,7),2)),1,0)</f>
        <v>0</v>
      </c>
      <c r="Y6634" s="6">
        <f>1/COUNTIF(Таблица1[Order ID],Таблица1[[#This Row],[Order ID]])</f>
        <v>0.5</v>
      </c>
      <c r="Z6634" s="9">
        <f>1/COUNTIFS(Таблица1[Customer Name],Таблица1[[#This Row],[Customer Name]],Таблица1[Order-Year-Month],Таблица1[[#This Row],[Order-Year-Month]])</f>
        <v>0.25</v>
      </c>
    </row>
    <row r="6635" spans="1:26" x14ac:dyDescent="0.2">
      <c r="A6635" s="6">
        <v>616</v>
      </c>
      <c r="B6635" s="7">
        <v>4230</v>
      </c>
      <c r="C6635" s="8">
        <f>DATE(2012,12,31)-303</f>
        <v>40971</v>
      </c>
      <c r="D6635" s="8" t="str">
        <f t="shared" si="121"/>
        <v>2012-03 (март 2012)</v>
      </c>
      <c r="E6635" s="9" t="s">
        <v>78</v>
      </c>
      <c r="F6635" s="7">
        <v>46</v>
      </c>
      <c r="G6635" s="7">
        <v>2508.3159999999998</v>
      </c>
      <c r="H6635" s="7">
        <v>7.0000000000000007E-2</v>
      </c>
      <c r="I6635" s="9" t="s">
        <v>56</v>
      </c>
      <c r="J6635" s="10">
        <v>456.81299999999999</v>
      </c>
      <c r="K6635" s="11">
        <v>65.989999999999995</v>
      </c>
      <c r="L6635" s="11">
        <v>8.99</v>
      </c>
      <c r="M6635" s="9" t="s">
        <v>2034</v>
      </c>
      <c r="N6635" s="6" t="s">
        <v>2012</v>
      </c>
      <c r="O6635" s="6" t="s">
        <v>2012</v>
      </c>
      <c r="P6635" s="9" t="s">
        <v>41</v>
      </c>
      <c r="Q6635" s="9" t="s">
        <v>42</v>
      </c>
      <c r="R6635" s="9" t="s">
        <v>43</v>
      </c>
      <c r="S6635" s="7" t="s">
        <v>1181</v>
      </c>
      <c r="T6635" s="9" t="s">
        <v>39</v>
      </c>
      <c r="U6635" s="7">
        <v>0.56000000000000005</v>
      </c>
      <c r="V6635" s="12">
        <f>C6635+2</f>
        <v>40973</v>
      </c>
      <c r="W6635">
        <f>IF(D6635=' Pivot Tables'!$A$4,1,0)</f>
        <v>0</v>
      </c>
      <c r="X6635">
        <f>IF(AND(LEFT(D6635,4)+1=LEFT(' Pivot Tables'!$A$4,4)+0,RIGHT(LEFT(D6635,7),2)=RIGHT(LEFT(' Pivot Tables'!$A$4,7),2)),1,0)</f>
        <v>0</v>
      </c>
      <c r="Y6635" s="6">
        <f>1/COUNTIF(Таблица1[Order ID],Таблица1[[#This Row],[Order ID]])</f>
        <v>0.5</v>
      </c>
      <c r="Z6635" s="9">
        <f>1/COUNTIFS(Таблица1[Customer Name],Таблица1[[#This Row],[Customer Name]],Таблица1[Order-Year-Month],Таблица1[[#This Row],[Order-Year-Month]])</f>
        <v>0.25</v>
      </c>
    </row>
    <row r="6636" spans="1:26" x14ac:dyDescent="0.2">
      <c r="A6636" s="6">
        <v>624</v>
      </c>
      <c r="B6636" s="7">
        <v>4324</v>
      </c>
      <c r="C6636" s="8">
        <f>DATE(2012,12,31)-534</f>
        <v>40740</v>
      </c>
      <c r="D6636" s="8" t="str">
        <f t="shared" si="121"/>
        <v>2011-07 (июль 2011)</v>
      </c>
      <c r="E6636" s="9" t="s">
        <v>78</v>
      </c>
      <c r="F6636" s="7">
        <v>28</v>
      </c>
      <c r="G6636" s="7">
        <v>1165.33</v>
      </c>
      <c r="H6636" s="7">
        <v>0.04</v>
      </c>
      <c r="I6636" s="9" t="s">
        <v>22</v>
      </c>
      <c r="J6636" s="10">
        <v>154.85</v>
      </c>
      <c r="K6636" s="11">
        <v>40.97</v>
      </c>
      <c r="L6636" s="11">
        <v>8.99</v>
      </c>
      <c r="M6636" s="9" t="s">
        <v>1475</v>
      </c>
      <c r="N6636" s="6" t="s">
        <v>2012</v>
      </c>
      <c r="O6636" s="6" t="s">
        <v>2012</v>
      </c>
      <c r="P6636" s="9" t="s">
        <v>25</v>
      </c>
      <c r="Q6636" s="9" t="s">
        <v>26</v>
      </c>
      <c r="R6636" s="9" t="s">
        <v>95</v>
      </c>
      <c r="S6636" s="7" t="s">
        <v>777</v>
      </c>
      <c r="T6636" s="9" t="s">
        <v>52</v>
      </c>
      <c r="U6636" s="7">
        <v>0.59</v>
      </c>
      <c r="V6636" s="12">
        <f>C6636+2</f>
        <v>40742</v>
      </c>
      <c r="W6636">
        <f>IF(D6636=' Pivot Tables'!$A$4,1,0)</f>
        <v>0</v>
      </c>
      <c r="X6636">
        <f>IF(AND(LEFT(D6636,4)+1=LEFT(' Pivot Tables'!$A$4,4)+0,RIGHT(LEFT(D6636,7),2)=RIGHT(LEFT(' Pivot Tables'!$A$4,7),2)),1,0)</f>
        <v>0</v>
      </c>
      <c r="Y6636" s="6">
        <f>1/COUNTIF(Таблица1[Order ID],Таблица1[[#This Row],[Order ID]])</f>
        <v>1</v>
      </c>
      <c r="Z6636" s="9">
        <f>1/COUNTIFS(Таблица1[Customer Name],Таблица1[[#This Row],[Customer Name]],Таблица1[Order-Year-Month],Таблица1[[#This Row],[Order-Year-Month]])</f>
        <v>1</v>
      </c>
    </row>
    <row r="6637" spans="1:26" x14ac:dyDescent="0.2">
      <c r="A6637" s="6">
        <v>651</v>
      </c>
      <c r="B6637" s="7">
        <v>4581</v>
      </c>
      <c r="C6637" s="8">
        <f>DATE(2012,12,31)-119</f>
        <v>41155</v>
      </c>
      <c r="D6637" s="8" t="str">
        <f t="shared" si="121"/>
        <v>2012-09 (сентябрь 2012)</v>
      </c>
      <c r="E6637" s="9" t="s">
        <v>45</v>
      </c>
      <c r="F6637" s="7">
        <v>25</v>
      </c>
      <c r="G6637" s="7">
        <v>2325.42</v>
      </c>
      <c r="H6637" s="7">
        <v>0.02</v>
      </c>
      <c r="I6637" s="9" t="s">
        <v>22</v>
      </c>
      <c r="J6637" s="10">
        <v>739.91</v>
      </c>
      <c r="K6637" s="11">
        <v>90.48</v>
      </c>
      <c r="L6637" s="11">
        <v>19.989999999999998</v>
      </c>
      <c r="M6637" s="9" t="s">
        <v>1452</v>
      </c>
      <c r="N6637" s="6" t="s">
        <v>2012</v>
      </c>
      <c r="O6637" s="6" t="s">
        <v>2012</v>
      </c>
      <c r="P6637" s="9" t="s">
        <v>60</v>
      </c>
      <c r="Q6637" s="9" t="s">
        <v>26</v>
      </c>
      <c r="R6637" s="9" t="s">
        <v>76</v>
      </c>
      <c r="S6637" s="7" t="s">
        <v>1167</v>
      </c>
      <c r="T6637" s="9" t="s">
        <v>39</v>
      </c>
      <c r="U6637" s="7">
        <v>0.4</v>
      </c>
      <c r="V6637" s="12">
        <f>C6637+2</f>
        <v>41157</v>
      </c>
      <c r="W6637">
        <f>IF(D6637=' Pivot Tables'!$A$4,1,0)</f>
        <v>0</v>
      </c>
      <c r="X6637">
        <f>IF(AND(LEFT(D6637,4)+1=LEFT(' Pivot Tables'!$A$4,4)+0,RIGHT(LEFT(D6637,7),2)=RIGHT(LEFT(' Pivot Tables'!$A$4,7),2)),1,0)</f>
        <v>0</v>
      </c>
      <c r="Y6637" s="6">
        <f>1/COUNTIF(Таблица1[Order ID],Таблица1[[#This Row],[Order ID]])</f>
        <v>1</v>
      </c>
      <c r="Z6637" s="9">
        <f>1/COUNTIFS(Таблица1[Customer Name],Таблица1[[#This Row],[Customer Name]],Таблица1[Order-Year-Month],Таблица1[[#This Row],[Order-Year-Month]])</f>
        <v>1</v>
      </c>
    </row>
    <row r="6638" spans="1:26" x14ac:dyDescent="0.2">
      <c r="A6638" s="6">
        <v>674</v>
      </c>
      <c r="B6638" s="7">
        <v>4706</v>
      </c>
      <c r="C6638" s="8">
        <f>DATE(2012,12,31)-3</f>
        <v>41271</v>
      </c>
      <c r="D6638" s="8" t="str">
        <f t="shared" si="121"/>
        <v>2012-12 (декабрь 2012)</v>
      </c>
      <c r="E6638" s="9" t="s">
        <v>45</v>
      </c>
      <c r="F6638" s="7">
        <v>30</v>
      </c>
      <c r="G6638" s="7">
        <v>2116.6999999999998</v>
      </c>
      <c r="H6638" s="7">
        <v>0.02</v>
      </c>
      <c r="I6638" s="9" t="s">
        <v>22</v>
      </c>
      <c r="J6638" s="10">
        <v>488.81800000000004</v>
      </c>
      <c r="K6638" s="11">
        <v>67.28</v>
      </c>
      <c r="L6638" s="11">
        <v>19.989999999999998</v>
      </c>
      <c r="M6638" s="9" t="s">
        <v>1546</v>
      </c>
      <c r="N6638" s="6" t="s">
        <v>2012</v>
      </c>
      <c r="O6638" s="6" t="s">
        <v>2012</v>
      </c>
      <c r="P6638" s="9" t="s">
        <v>25</v>
      </c>
      <c r="Q6638" s="9" t="s">
        <v>26</v>
      </c>
      <c r="R6638" s="9" t="s">
        <v>37</v>
      </c>
      <c r="S6638" s="7" t="s">
        <v>637</v>
      </c>
      <c r="T6638" s="9" t="s">
        <v>39</v>
      </c>
      <c r="U6638" s="7">
        <v>0.4</v>
      </c>
      <c r="V6638" s="12">
        <f>C6638+2</f>
        <v>41273</v>
      </c>
      <c r="W6638">
        <f>IF(D6638=' Pivot Tables'!$A$4,1,0)</f>
        <v>0</v>
      </c>
      <c r="X6638">
        <f>IF(AND(LEFT(D6638,4)+1=LEFT(' Pivot Tables'!$A$4,4)+0,RIGHT(LEFT(D6638,7),2)=RIGHT(LEFT(' Pivot Tables'!$A$4,7),2)),1,0)</f>
        <v>0</v>
      </c>
      <c r="Y6638" s="6">
        <f>1/COUNTIF(Таблица1[Order ID],Таблица1[[#This Row],[Order ID]])</f>
        <v>1</v>
      </c>
      <c r="Z6638" s="9">
        <f>1/COUNTIFS(Таблица1[Customer Name],Таблица1[[#This Row],[Customer Name]],Таблица1[Order-Year-Month],Таблица1[[#This Row],[Order-Year-Month]])</f>
        <v>1</v>
      </c>
    </row>
    <row r="6639" spans="1:26" x14ac:dyDescent="0.2">
      <c r="A6639" s="6">
        <v>677</v>
      </c>
      <c r="B6639" s="7">
        <v>4738</v>
      </c>
      <c r="C6639" s="8">
        <f>DATE(2012,12,31)-268</f>
        <v>41006</v>
      </c>
      <c r="D6639" s="8" t="str">
        <f t="shared" si="121"/>
        <v>2012-04 (апрель 2012)</v>
      </c>
      <c r="E6639" s="9" t="s">
        <v>30</v>
      </c>
      <c r="F6639" s="7">
        <v>2</v>
      </c>
      <c r="G6639" s="7">
        <v>10.39</v>
      </c>
      <c r="H6639" s="7">
        <v>0.02</v>
      </c>
      <c r="I6639" s="9" t="s">
        <v>22</v>
      </c>
      <c r="J6639" s="10">
        <v>-7.97</v>
      </c>
      <c r="K6639" s="11">
        <v>4.71</v>
      </c>
      <c r="L6639" s="11">
        <v>0.7</v>
      </c>
      <c r="M6639" s="9" t="s">
        <v>1590</v>
      </c>
      <c r="N6639" s="6" t="s">
        <v>2012</v>
      </c>
      <c r="O6639" s="6" t="s">
        <v>2012</v>
      </c>
      <c r="P6639" s="9" t="s">
        <v>60</v>
      </c>
      <c r="Q6639" s="9" t="s">
        <v>26</v>
      </c>
      <c r="R6639" s="9" t="s">
        <v>66</v>
      </c>
      <c r="S6639" s="7" t="s">
        <v>90</v>
      </c>
      <c r="T6639" s="9" t="s">
        <v>68</v>
      </c>
      <c r="U6639" s="7">
        <v>0.8</v>
      </c>
      <c r="V6639" s="12">
        <f>C6639+1</f>
        <v>41007</v>
      </c>
      <c r="W6639">
        <f>IF(D6639=' Pivot Tables'!$A$4,1,0)</f>
        <v>0</v>
      </c>
      <c r="X6639">
        <f>IF(AND(LEFT(D6639,4)+1=LEFT(' Pivot Tables'!$A$4,4)+0,RIGHT(LEFT(D6639,7),2)=RIGHT(LEFT(' Pivot Tables'!$A$4,7),2)),1,0)</f>
        <v>0</v>
      </c>
      <c r="Y6639" s="6">
        <f>1/COUNTIF(Таблица1[Order ID],Таблица1[[#This Row],[Order ID]])</f>
        <v>1</v>
      </c>
      <c r="Z6639" s="9">
        <f>1/COUNTIFS(Таблица1[Customer Name],Таблица1[[#This Row],[Customer Name]],Таблица1[Order-Year-Month],Таблица1[[#This Row],[Order-Year-Month]])</f>
        <v>1</v>
      </c>
    </row>
    <row r="6640" spans="1:26" x14ac:dyDescent="0.2">
      <c r="A6640" s="6">
        <v>683</v>
      </c>
      <c r="B6640" s="7">
        <v>4771</v>
      </c>
      <c r="C6640" s="8">
        <f>DATE(2012,12,31)-18</f>
        <v>41256</v>
      </c>
      <c r="D6640" s="8" t="str">
        <f t="shared" si="121"/>
        <v>2012-12 (декабрь 2012)</v>
      </c>
      <c r="E6640" s="9" t="s">
        <v>78</v>
      </c>
      <c r="F6640" s="7">
        <v>4</v>
      </c>
      <c r="G6640" s="7">
        <v>135.928</v>
      </c>
      <c r="H6640" s="7">
        <v>0.04</v>
      </c>
      <c r="I6640" s="9" t="s">
        <v>31</v>
      </c>
      <c r="J6640" s="10">
        <v>-126.47</v>
      </c>
      <c r="K6640" s="11">
        <v>31.76</v>
      </c>
      <c r="L6640" s="11">
        <v>45.51</v>
      </c>
      <c r="M6640" s="9" t="s">
        <v>1488</v>
      </c>
      <c r="N6640" s="6" t="s">
        <v>2012</v>
      </c>
      <c r="O6640" s="6" t="s">
        <v>2012</v>
      </c>
      <c r="P6640" s="9" t="s">
        <v>33</v>
      </c>
      <c r="Q6640" s="9" t="s">
        <v>49</v>
      </c>
      <c r="R6640" s="9" t="s">
        <v>83</v>
      </c>
      <c r="S6640" s="7" t="s">
        <v>611</v>
      </c>
      <c r="T6640" s="9" t="s">
        <v>82</v>
      </c>
      <c r="U6640" s="7">
        <v>0.65</v>
      </c>
      <c r="V6640" s="12">
        <f>C6640+2</f>
        <v>41258</v>
      </c>
      <c r="W6640">
        <f>IF(D6640=' Pivot Tables'!$A$4,1,0)</f>
        <v>0</v>
      </c>
      <c r="X6640">
        <f>IF(AND(LEFT(D6640,4)+1=LEFT(' Pivot Tables'!$A$4,4)+0,RIGHT(LEFT(D6640,7),2)=RIGHT(LEFT(' Pivot Tables'!$A$4,7),2)),1,0)</f>
        <v>0</v>
      </c>
      <c r="Y6640" s="6">
        <f>1/COUNTIF(Таблица1[Order ID],Таблица1[[#This Row],[Order ID]])</f>
        <v>1</v>
      </c>
      <c r="Z6640" s="9">
        <f>1/COUNTIFS(Таблица1[Customer Name],Таблица1[[#This Row],[Customer Name]],Таблица1[Order-Year-Month],Таблица1[[#This Row],[Order-Year-Month]])</f>
        <v>1</v>
      </c>
    </row>
    <row r="6641" spans="1:26" x14ac:dyDescent="0.2">
      <c r="A6641" s="6">
        <v>691</v>
      </c>
      <c r="B6641" s="7">
        <v>4804</v>
      </c>
      <c r="C6641" s="8">
        <f>DATE(2012,12,31)-339</f>
        <v>40935</v>
      </c>
      <c r="D6641" s="8" t="str">
        <f t="shared" si="121"/>
        <v>2012-01 (январь 2012)</v>
      </c>
      <c r="E6641" s="9" t="s">
        <v>30</v>
      </c>
      <c r="F6641" s="7">
        <v>13</v>
      </c>
      <c r="G6641" s="7">
        <v>463.83</v>
      </c>
      <c r="H6641" s="7">
        <v>0</v>
      </c>
      <c r="I6641" s="9" t="s">
        <v>22</v>
      </c>
      <c r="J6641" s="10">
        <v>103.26</v>
      </c>
      <c r="K6641" s="11">
        <v>33.979999999999997</v>
      </c>
      <c r="L6641" s="11">
        <v>1.99</v>
      </c>
      <c r="M6641" s="9" t="s">
        <v>1805</v>
      </c>
      <c r="N6641" s="6" t="s">
        <v>2012</v>
      </c>
      <c r="O6641" s="6" t="s">
        <v>2012</v>
      </c>
      <c r="P6641" s="9" t="s">
        <v>41</v>
      </c>
      <c r="Q6641" s="9" t="s">
        <v>42</v>
      </c>
      <c r="R6641" s="9" t="s">
        <v>70</v>
      </c>
      <c r="S6641" s="7" t="s">
        <v>1534</v>
      </c>
      <c r="T6641" s="9" t="s">
        <v>52</v>
      </c>
      <c r="U6641" s="7">
        <v>0.45</v>
      </c>
      <c r="V6641" s="12">
        <f>C6641+1</f>
        <v>40936</v>
      </c>
      <c r="W6641">
        <f>IF(D6641=' Pivot Tables'!$A$4,1,0)</f>
        <v>0</v>
      </c>
      <c r="X6641">
        <f>IF(AND(LEFT(D6641,4)+1=LEFT(' Pivot Tables'!$A$4,4)+0,RIGHT(LEFT(D6641,7),2)=RIGHT(LEFT(' Pivot Tables'!$A$4,7),2)),1,0)</f>
        <v>0</v>
      </c>
      <c r="Y6641" s="6">
        <f>1/COUNTIF(Таблица1[Order ID],Таблица1[[#This Row],[Order ID]])</f>
        <v>1</v>
      </c>
      <c r="Z6641" s="9">
        <f>1/COUNTIFS(Таблица1[Customer Name],Таблица1[[#This Row],[Customer Name]],Таблица1[Order-Year-Month],Таблица1[[#This Row],[Order-Year-Month]])</f>
        <v>1</v>
      </c>
    </row>
    <row r="6642" spans="1:26" x14ac:dyDescent="0.2">
      <c r="A6642" s="6">
        <v>696</v>
      </c>
      <c r="B6642" s="7">
        <v>4870</v>
      </c>
      <c r="C6642" s="8">
        <f>DATE(2012,12,31)-1244</f>
        <v>40030</v>
      </c>
      <c r="D6642" s="8" t="str">
        <f t="shared" si="121"/>
        <v>2009-08 (август 2009)</v>
      </c>
      <c r="E6642" s="9" t="s">
        <v>63</v>
      </c>
      <c r="F6642" s="7">
        <v>44</v>
      </c>
      <c r="G6642" s="7">
        <v>17248.09</v>
      </c>
      <c r="H6642" s="7">
        <v>0.08</v>
      </c>
      <c r="I6642" s="9" t="s">
        <v>31</v>
      </c>
      <c r="J6642" s="10">
        <v>2048.63</v>
      </c>
      <c r="K6642" s="11">
        <v>400.98</v>
      </c>
      <c r="L6642" s="11">
        <v>42.52</v>
      </c>
      <c r="M6642" s="9" t="s">
        <v>1592</v>
      </c>
      <c r="N6642" s="6" t="s">
        <v>2012</v>
      </c>
      <c r="O6642" s="6" t="s">
        <v>2012</v>
      </c>
      <c r="P6642" s="9" t="s">
        <v>41</v>
      </c>
      <c r="Q6642" s="9" t="s">
        <v>49</v>
      </c>
      <c r="R6642" s="9" t="s">
        <v>83</v>
      </c>
      <c r="S6642" s="7" t="s">
        <v>1136</v>
      </c>
      <c r="T6642" s="9" t="s">
        <v>82</v>
      </c>
      <c r="U6642" s="7">
        <v>0.71</v>
      </c>
      <c r="V6642" s="12">
        <f>C6642+1</f>
        <v>40031</v>
      </c>
      <c r="W6642">
        <f>IF(D6642=' Pivot Tables'!$A$4,1,0)</f>
        <v>0</v>
      </c>
      <c r="X6642">
        <f>IF(AND(LEFT(D6642,4)+1=LEFT(' Pivot Tables'!$A$4,4)+0,RIGHT(LEFT(D6642,7),2)=RIGHT(LEFT(' Pivot Tables'!$A$4,7),2)),1,0)</f>
        <v>0</v>
      </c>
      <c r="Y6642" s="6">
        <f>1/COUNTIF(Таблица1[Order ID],Таблица1[[#This Row],[Order ID]])</f>
        <v>1</v>
      </c>
      <c r="Z6642" s="9">
        <f>1/COUNTIFS(Таблица1[Customer Name],Таблица1[[#This Row],[Customer Name]],Таблица1[Order-Year-Month],Таблица1[[#This Row],[Order-Year-Month]])</f>
        <v>1</v>
      </c>
    </row>
    <row r="6643" spans="1:26" x14ac:dyDescent="0.2">
      <c r="A6643" s="6">
        <v>702</v>
      </c>
      <c r="B6643" s="7">
        <v>4931</v>
      </c>
      <c r="C6643" s="8">
        <f>DATE(2012,12,31)-1141</f>
        <v>40133</v>
      </c>
      <c r="D6643" s="8" t="str">
        <f t="shared" si="121"/>
        <v>2009-11 (ноябрь 2009)</v>
      </c>
      <c r="E6643" s="9" t="s">
        <v>78</v>
      </c>
      <c r="F6643" s="7">
        <v>22</v>
      </c>
      <c r="G6643" s="7">
        <v>168.31</v>
      </c>
      <c r="H6643" s="7">
        <v>0.1</v>
      </c>
      <c r="I6643" s="9" t="s">
        <v>22</v>
      </c>
      <c r="J6643" s="10">
        <v>46.49</v>
      </c>
      <c r="K6643" s="11">
        <v>8.17</v>
      </c>
      <c r="L6643" s="11">
        <v>1.69</v>
      </c>
      <c r="M6643" s="9" t="s">
        <v>1482</v>
      </c>
      <c r="N6643" s="6" t="s">
        <v>2012</v>
      </c>
      <c r="O6643" s="6" t="s">
        <v>2012</v>
      </c>
      <c r="P6643" s="9" t="s">
        <v>41</v>
      </c>
      <c r="Q6643" s="9" t="s">
        <v>26</v>
      </c>
      <c r="R6643" s="9" t="s">
        <v>61</v>
      </c>
      <c r="S6643" s="7" t="s">
        <v>1335</v>
      </c>
      <c r="T6643" s="9" t="s">
        <v>68</v>
      </c>
      <c r="U6643" s="7">
        <v>0.38</v>
      </c>
      <c r="V6643" s="12">
        <f>C6643+0</f>
        <v>40133</v>
      </c>
      <c r="W6643">
        <f>IF(D6643=' Pivot Tables'!$A$4,1,0)</f>
        <v>0</v>
      </c>
      <c r="X6643">
        <f>IF(AND(LEFT(D6643,4)+1=LEFT(' Pivot Tables'!$A$4,4)+0,RIGHT(LEFT(D6643,7),2)=RIGHT(LEFT(' Pivot Tables'!$A$4,7),2)),1,0)</f>
        <v>0</v>
      </c>
      <c r="Y6643" s="6">
        <f>1/COUNTIF(Таблица1[Order ID],Таблица1[[#This Row],[Order ID]])</f>
        <v>0.5</v>
      </c>
      <c r="Z6643" s="9">
        <f>1/COUNTIFS(Таблица1[Customer Name],Таблица1[[#This Row],[Customer Name]],Таблица1[Order-Year-Month],Таблица1[[#This Row],[Order-Year-Month]])</f>
        <v>0.33333333333333331</v>
      </c>
    </row>
    <row r="6644" spans="1:26" x14ac:dyDescent="0.2">
      <c r="A6644" s="6">
        <v>703</v>
      </c>
      <c r="B6644" s="7">
        <v>4931</v>
      </c>
      <c r="C6644" s="8">
        <f>DATE(2012,12,31)-1141</f>
        <v>40133</v>
      </c>
      <c r="D6644" s="8" t="str">
        <f t="shared" si="121"/>
        <v>2009-11 (ноябрь 2009)</v>
      </c>
      <c r="E6644" s="9" t="s">
        <v>78</v>
      </c>
      <c r="F6644" s="7">
        <v>45</v>
      </c>
      <c r="G6644" s="7">
        <v>4282.7249999999995</v>
      </c>
      <c r="H6644" s="7">
        <v>0.03</v>
      </c>
      <c r="I6644" s="9" t="s">
        <v>22</v>
      </c>
      <c r="J6644" s="10">
        <v>1371.7440000000001</v>
      </c>
      <c r="K6644" s="11">
        <v>110.99</v>
      </c>
      <c r="L6644" s="11">
        <v>2.5</v>
      </c>
      <c r="M6644" s="9" t="s">
        <v>1482</v>
      </c>
      <c r="N6644" s="6" t="s">
        <v>2012</v>
      </c>
      <c r="O6644" s="6" t="s">
        <v>2012</v>
      </c>
      <c r="P6644" s="9" t="s">
        <v>41</v>
      </c>
      <c r="Q6644" s="9" t="s">
        <v>42</v>
      </c>
      <c r="R6644" s="9" t="s">
        <v>43</v>
      </c>
      <c r="S6644" s="7" t="s">
        <v>493</v>
      </c>
      <c r="T6644" s="9" t="s">
        <v>39</v>
      </c>
      <c r="U6644" s="7">
        <v>0.56999999999999995</v>
      </c>
      <c r="V6644" s="12">
        <f>C6644+2</f>
        <v>40135</v>
      </c>
      <c r="W6644">
        <f>IF(D6644=' Pivot Tables'!$A$4,1,0)</f>
        <v>0</v>
      </c>
      <c r="X6644">
        <f>IF(AND(LEFT(D6644,4)+1=LEFT(' Pivot Tables'!$A$4,4)+0,RIGHT(LEFT(D6644,7),2)=RIGHT(LEFT(' Pivot Tables'!$A$4,7),2)),1,0)</f>
        <v>0</v>
      </c>
      <c r="Y6644" s="6">
        <f>1/COUNTIF(Таблица1[Order ID],Таблица1[[#This Row],[Order ID]])</f>
        <v>0.5</v>
      </c>
      <c r="Z6644" s="9">
        <f>1/COUNTIFS(Таблица1[Customer Name],Таблица1[[#This Row],[Customer Name]],Таблица1[Order-Year-Month],Таблица1[[#This Row],[Order-Year-Month]])</f>
        <v>0.33333333333333331</v>
      </c>
    </row>
    <row r="6645" spans="1:26" x14ac:dyDescent="0.2">
      <c r="A6645" s="6">
        <v>716</v>
      </c>
      <c r="B6645" s="7">
        <v>5094</v>
      </c>
      <c r="C6645" s="8">
        <f>DATE(2012,12,31)-1009</f>
        <v>40265</v>
      </c>
      <c r="D6645" s="8" t="str">
        <f t="shared" si="121"/>
        <v>2010-03 (март 2010)</v>
      </c>
      <c r="E6645" s="9" t="s">
        <v>45</v>
      </c>
      <c r="F6645" s="7">
        <v>2</v>
      </c>
      <c r="G6645" s="7">
        <v>79.58</v>
      </c>
      <c r="H6645" s="7">
        <v>0.06</v>
      </c>
      <c r="I6645" s="9" t="s">
        <v>22</v>
      </c>
      <c r="J6645" s="10">
        <v>-38.28</v>
      </c>
      <c r="K6645" s="11">
        <v>37.44</v>
      </c>
      <c r="L6645" s="11">
        <v>4.2699999999999996</v>
      </c>
      <c r="M6645" s="9" t="s">
        <v>1547</v>
      </c>
      <c r="N6645" s="6" t="s">
        <v>2012</v>
      </c>
      <c r="O6645" s="6" t="s">
        <v>2012</v>
      </c>
      <c r="P6645" s="9" t="s">
        <v>25</v>
      </c>
      <c r="Q6645" s="9" t="s">
        <v>26</v>
      </c>
      <c r="R6645" s="9" t="s">
        <v>95</v>
      </c>
      <c r="S6645" s="7" t="s">
        <v>1811</v>
      </c>
      <c r="T6645" s="9" t="s">
        <v>68</v>
      </c>
      <c r="U6645" s="7">
        <v>0.46</v>
      </c>
      <c r="V6645" s="12">
        <f>C6645+2</f>
        <v>40267</v>
      </c>
      <c r="W6645">
        <f>IF(D6645=' Pivot Tables'!$A$4,1,0)</f>
        <v>0</v>
      </c>
      <c r="X6645">
        <f>IF(AND(LEFT(D6645,4)+1=LEFT(' Pivot Tables'!$A$4,4)+0,RIGHT(LEFT(D6645,7),2)=RIGHT(LEFT(' Pivot Tables'!$A$4,7),2)),1,0)</f>
        <v>0</v>
      </c>
      <c r="Y6645" s="6">
        <f>1/COUNTIF(Таблица1[Order ID],Таблица1[[#This Row],[Order ID]])</f>
        <v>1</v>
      </c>
      <c r="Z6645" s="9">
        <f>1/COUNTIFS(Таблица1[Customer Name],Таблица1[[#This Row],[Customer Name]],Таблица1[Order-Year-Month],Таблица1[[#This Row],[Order-Year-Month]])</f>
        <v>1</v>
      </c>
    </row>
    <row r="6646" spans="1:26" x14ac:dyDescent="0.2">
      <c r="A6646" s="6">
        <v>721</v>
      </c>
      <c r="B6646" s="7">
        <v>5188</v>
      </c>
      <c r="C6646" s="8">
        <f>DATE(2012,12,31)-671</f>
        <v>40603</v>
      </c>
      <c r="D6646" s="8" t="str">
        <f t="shared" si="121"/>
        <v>2011-03 (март 2011)</v>
      </c>
      <c r="E6646" s="9" t="s">
        <v>45</v>
      </c>
      <c r="F6646" s="7">
        <v>24</v>
      </c>
      <c r="G6646" s="7">
        <v>192.8</v>
      </c>
      <c r="H6646" s="7">
        <v>0.05</v>
      </c>
      <c r="I6646" s="9" t="s">
        <v>22</v>
      </c>
      <c r="J6646" s="10">
        <v>31</v>
      </c>
      <c r="K6646" s="11">
        <v>8.01</v>
      </c>
      <c r="L6646" s="11">
        <v>2.87</v>
      </c>
      <c r="M6646" s="9" t="s">
        <v>1546</v>
      </c>
      <c r="N6646" s="6" t="s">
        <v>2012</v>
      </c>
      <c r="O6646" s="6" t="s">
        <v>2012</v>
      </c>
      <c r="P6646" s="9" t="s">
        <v>25</v>
      </c>
      <c r="Q6646" s="9" t="s">
        <v>26</v>
      </c>
      <c r="R6646" s="9" t="s">
        <v>61</v>
      </c>
      <c r="S6646" s="7" t="s">
        <v>701</v>
      </c>
      <c r="T6646" s="9" t="s">
        <v>68</v>
      </c>
      <c r="U6646" s="7">
        <v>0.4</v>
      </c>
      <c r="V6646" s="12">
        <f>C6646+3</f>
        <v>40606</v>
      </c>
      <c r="W6646">
        <f>IF(D6646=' Pivot Tables'!$A$4,1,0)</f>
        <v>0</v>
      </c>
      <c r="X6646">
        <f>IF(AND(LEFT(D6646,4)+1=LEFT(' Pivot Tables'!$A$4,4)+0,RIGHT(LEFT(D6646,7),2)=RIGHT(LEFT(' Pivot Tables'!$A$4,7),2)),1,0)</f>
        <v>0</v>
      </c>
      <c r="Y6646" s="6">
        <f>1/COUNTIF(Таблица1[Order ID],Таблица1[[#This Row],[Order ID]])</f>
        <v>1</v>
      </c>
      <c r="Z6646" s="9">
        <f>1/COUNTIFS(Таблица1[Customer Name],Таблица1[[#This Row],[Customer Name]],Таблица1[Order-Year-Month],Таблица1[[#This Row],[Order-Year-Month]])</f>
        <v>1</v>
      </c>
    </row>
    <row r="6647" spans="1:26" x14ac:dyDescent="0.2">
      <c r="A6647" s="6">
        <v>722</v>
      </c>
      <c r="B6647" s="7">
        <v>5189</v>
      </c>
      <c r="C6647" s="8">
        <f>DATE(2012,12,31)-767</f>
        <v>40507</v>
      </c>
      <c r="D6647" s="8" t="str">
        <f t="shared" si="121"/>
        <v>2010-11 (ноябрь 2010)</v>
      </c>
      <c r="E6647" s="9" t="s">
        <v>21</v>
      </c>
      <c r="F6647" s="7">
        <v>12</v>
      </c>
      <c r="G6647" s="7">
        <v>900.06</v>
      </c>
      <c r="H6647" s="7">
        <v>0.05</v>
      </c>
      <c r="I6647" s="9" t="s">
        <v>22</v>
      </c>
      <c r="J6647" s="10">
        <v>-221.12</v>
      </c>
      <c r="K6647" s="11">
        <v>73.98</v>
      </c>
      <c r="L6647" s="11">
        <v>14.52</v>
      </c>
      <c r="M6647" s="9" t="s">
        <v>1521</v>
      </c>
      <c r="N6647" s="6" t="s">
        <v>2012</v>
      </c>
      <c r="O6647" s="6" t="s">
        <v>2012</v>
      </c>
      <c r="P6647" s="9" t="s">
        <v>41</v>
      </c>
      <c r="Q6647" s="9" t="s">
        <v>42</v>
      </c>
      <c r="R6647" s="9" t="s">
        <v>70</v>
      </c>
      <c r="S6647" s="7" t="s">
        <v>822</v>
      </c>
      <c r="T6647" s="9" t="s">
        <v>39</v>
      </c>
      <c r="U6647" s="7">
        <v>0.65</v>
      </c>
      <c r="V6647" s="12">
        <f>C6647+7</f>
        <v>40514</v>
      </c>
      <c r="W6647">
        <f>IF(D6647=' Pivot Tables'!$A$4,1,0)</f>
        <v>0</v>
      </c>
      <c r="X6647">
        <f>IF(AND(LEFT(D6647,4)+1=LEFT(' Pivot Tables'!$A$4,4)+0,RIGHT(LEFT(D6647,7),2)=RIGHT(LEFT(' Pivot Tables'!$A$4,7),2)),1,0)</f>
        <v>0</v>
      </c>
      <c r="Y6647" s="6">
        <f>1/COUNTIF(Таблица1[Order ID],Таблица1[[#This Row],[Order ID]])</f>
        <v>0.33333333333333331</v>
      </c>
      <c r="Z6647" s="9">
        <f>1/COUNTIFS(Таблица1[Customer Name],Таблица1[[#This Row],[Customer Name]],Таблица1[Order-Year-Month],Таблица1[[#This Row],[Order-Year-Month]])</f>
        <v>0.33333333333333331</v>
      </c>
    </row>
    <row r="6648" spans="1:26" x14ac:dyDescent="0.2">
      <c r="A6648" s="6">
        <v>753</v>
      </c>
      <c r="B6648" s="7">
        <v>5408</v>
      </c>
      <c r="C6648" s="8">
        <f>DATE(2012,12,31)-164</f>
        <v>41110</v>
      </c>
      <c r="D6648" s="8" t="str">
        <f t="shared" si="121"/>
        <v>2012-07 (июль 2012)</v>
      </c>
      <c r="E6648" s="9" t="s">
        <v>21</v>
      </c>
      <c r="F6648" s="7">
        <v>20</v>
      </c>
      <c r="G6648" s="7">
        <v>88.82</v>
      </c>
      <c r="H6648" s="7">
        <v>0.01</v>
      </c>
      <c r="I6648" s="9" t="s">
        <v>22</v>
      </c>
      <c r="J6648" s="10">
        <v>38.35</v>
      </c>
      <c r="K6648" s="11">
        <v>4.13</v>
      </c>
      <c r="L6648" s="11">
        <v>0.5</v>
      </c>
      <c r="M6648" s="9" t="s">
        <v>1560</v>
      </c>
      <c r="N6648" s="6" t="s">
        <v>2012</v>
      </c>
      <c r="O6648" s="6" t="s">
        <v>2012</v>
      </c>
      <c r="P6648" s="9" t="s">
        <v>25</v>
      </c>
      <c r="Q6648" s="9" t="s">
        <v>26</v>
      </c>
      <c r="R6648" s="9" t="s">
        <v>88</v>
      </c>
      <c r="S6648" s="7" t="s">
        <v>184</v>
      </c>
      <c r="T6648" s="9" t="s">
        <v>39</v>
      </c>
      <c r="U6648" s="7">
        <v>0.39</v>
      </c>
      <c r="V6648" s="12">
        <f>C6648+7</f>
        <v>41117</v>
      </c>
      <c r="W6648">
        <f>IF(D6648=' Pivot Tables'!$A$4,1,0)</f>
        <v>0</v>
      </c>
      <c r="X6648">
        <f>IF(AND(LEFT(D6648,4)+1=LEFT(' Pivot Tables'!$A$4,4)+0,RIGHT(LEFT(D6648,7),2)=RIGHT(LEFT(' Pivot Tables'!$A$4,7),2)),1,0)</f>
        <v>0</v>
      </c>
      <c r="Y6648" s="6">
        <f>1/COUNTIF(Таблица1[Order ID],Таблица1[[#This Row],[Order ID]])</f>
        <v>0.5</v>
      </c>
      <c r="Z6648" s="9">
        <f>1/COUNTIFS(Таблица1[Customer Name],Таблица1[[#This Row],[Customer Name]],Таблица1[Order-Year-Month],Таблица1[[#This Row],[Order-Year-Month]])</f>
        <v>0.5</v>
      </c>
    </row>
    <row r="6649" spans="1:26" x14ac:dyDescent="0.2">
      <c r="A6649" s="6">
        <v>754</v>
      </c>
      <c r="B6649" s="7">
        <v>5408</v>
      </c>
      <c r="C6649" s="8">
        <f>DATE(2012,12,31)-164</f>
        <v>41110</v>
      </c>
      <c r="D6649" s="8" t="str">
        <f t="shared" si="121"/>
        <v>2012-07 (июль 2012)</v>
      </c>
      <c r="E6649" s="9" t="s">
        <v>21</v>
      </c>
      <c r="F6649" s="7">
        <v>11</v>
      </c>
      <c r="G6649" s="7">
        <v>2392.23</v>
      </c>
      <c r="H6649" s="7">
        <v>0.04</v>
      </c>
      <c r="I6649" s="9" t="s">
        <v>22</v>
      </c>
      <c r="J6649" s="10">
        <v>1216.74</v>
      </c>
      <c r="K6649" s="11">
        <v>209.84</v>
      </c>
      <c r="L6649" s="11">
        <v>21.21</v>
      </c>
      <c r="M6649" s="9" t="s">
        <v>1560</v>
      </c>
      <c r="N6649" s="6" t="s">
        <v>2012</v>
      </c>
      <c r="O6649" s="6" t="s">
        <v>2012</v>
      </c>
      <c r="P6649" s="9" t="s">
        <v>25</v>
      </c>
      <c r="Q6649" s="9" t="s">
        <v>49</v>
      </c>
      <c r="R6649" s="9" t="s">
        <v>50</v>
      </c>
      <c r="S6649" s="7" t="s">
        <v>1225</v>
      </c>
      <c r="T6649" s="9" t="s">
        <v>29</v>
      </c>
      <c r="U6649" s="7">
        <v>0.59</v>
      </c>
      <c r="V6649" s="12">
        <f>C6649+9</f>
        <v>41119</v>
      </c>
      <c r="W6649">
        <f>IF(D6649=' Pivot Tables'!$A$4,1,0)</f>
        <v>0</v>
      </c>
      <c r="X6649">
        <f>IF(AND(LEFT(D6649,4)+1=LEFT(' Pivot Tables'!$A$4,4)+0,RIGHT(LEFT(D6649,7),2)=RIGHT(LEFT(' Pivot Tables'!$A$4,7),2)),1,0)</f>
        <v>0</v>
      </c>
      <c r="Y6649" s="6">
        <f>1/COUNTIF(Таблица1[Order ID],Таблица1[[#This Row],[Order ID]])</f>
        <v>0.5</v>
      </c>
      <c r="Z6649" s="9">
        <f>1/COUNTIFS(Таблица1[Customer Name],Таблица1[[#This Row],[Customer Name]],Таблица1[Order-Year-Month],Таблица1[[#This Row],[Order-Year-Month]])</f>
        <v>0.5</v>
      </c>
    </row>
    <row r="6650" spans="1:26" x14ac:dyDescent="0.2">
      <c r="A6650" s="6">
        <v>763</v>
      </c>
      <c r="B6650" s="7">
        <v>5472</v>
      </c>
      <c r="C6650" s="8">
        <f>DATE(2012,12,31)-996</f>
        <v>40278</v>
      </c>
      <c r="D6650" s="8" t="str">
        <f t="shared" si="121"/>
        <v>2010-04 (апрель 2010)</v>
      </c>
      <c r="E6650" s="9" t="s">
        <v>21</v>
      </c>
      <c r="F6650" s="7">
        <v>32</v>
      </c>
      <c r="G6650" s="7">
        <v>216.08</v>
      </c>
      <c r="H6650" s="7">
        <v>0</v>
      </c>
      <c r="I6650" s="9" t="s">
        <v>22</v>
      </c>
      <c r="J6650" s="10">
        <v>-84.33</v>
      </c>
      <c r="K6650" s="11">
        <v>6.48</v>
      </c>
      <c r="L6650" s="11">
        <v>6.65</v>
      </c>
      <c r="M6650" s="9" t="s">
        <v>1459</v>
      </c>
      <c r="N6650" s="6" t="s">
        <v>2012</v>
      </c>
      <c r="O6650" s="6" t="s">
        <v>2012</v>
      </c>
      <c r="P6650" s="9" t="s">
        <v>41</v>
      </c>
      <c r="Q6650" s="9" t="s">
        <v>26</v>
      </c>
      <c r="R6650" s="9" t="s">
        <v>61</v>
      </c>
      <c r="S6650" s="7" t="s">
        <v>152</v>
      </c>
      <c r="T6650" s="9" t="s">
        <v>39</v>
      </c>
      <c r="U6650" s="7">
        <v>0.36</v>
      </c>
      <c r="V6650" s="12">
        <f>C6650+2</f>
        <v>40280</v>
      </c>
      <c r="W6650">
        <f>IF(D6650=' Pivot Tables'!$A$4,1,0)</f>
        <v>0</v>
      </c>
      <c r="X6650">
        <f>IF(AND(LEFT(D6650,4)+1=LEFT(' Pivot Tables'!$A$4,4)+0,RIGHT(LEFT(D6650,7),2)=RIGHT(LEFT(' Pivot Tables'!$A$4,7),2)),1,0)</f>
        <v>0</v>
      </c>
      <c r="Y6650" s="6">
        <f>1/COUNTIF(Таблица1[Order ID],Таблица1[[#This Row],[Order ID]])</f>
        <v>0.33333333333333331</v>
      </c>
      <c r="Z6650" s="9">
        <f>1/COUNTIFS(Таблица1[Customer Name],Таблица1[[#This Row],[Customer Name]],Таблица1[Order-Year-Month],Таблица1[[#This Row],[Order-Year-Month]])</f>
        <v>0.33333333333333331</v>
      </c>
    </row>
    <row r="6651" spans="1:26" x14ac:dyDescent="0.2">
      <c r="A6651" s="6">
        <v>764</v>
      </c>
      <c r="B6651" s="7">
        <v>5472</v>
      </c>
      <c r="C6651" s="8">
        <f>DATE(2012,12,31)-996</f>
        <v>40278</v>
      </c>
      <c r="D6651" s="8" t="str">
        <f t="shared" si="121"/>
        <v>2010-04 (апрель 2010)</v>
      </c>
      <c r="E6651" s="9" t="s">
        <v>21</v>
      </c>
      <c r="F6651" s="7">
        <v>27</v>
      </c>
      <c r="G6651" s="7">
        <v>339.03</v>
      </c>
      <c r="H6651" s="7">
        <v>0.09</v>
      </c>
      <c r="I6651" s="9" t="s">
        <v>22</v>
      </c>
      <c r="J6651" s="10">
        <v>-24.44</v>
      </c>
      <c r="K6651" s="11">
        <v>13.48</v>
      </c>
      <c r="L6651" s="11">
        <v>4.51</v>
      </c>
      <c r="M6651" s="9" t="s">
        <v>1459</v>
      </c>
      <c r="N6651" s="6" t="s">
        <v>2012</v>
      </c>
      <c r="O6651" s="6" t="s">
        <v>2012</v>
      </c>
      <c r="P6651" s="9" t="s">
        <v>41</v>
      </c>
      <c r="Q6651" s="9" t="s">
        <v>26</v>
      </c>
      <c r="R6651" s="9" t="s">
        <v>27</v>
      </c>
      <c r="S6651" s="7" t="s">
        <v>101</v>
      </c>
      <c r="T6651" s="9" t="s">
        <v>39</v>
      </c>
      <c r="U6651" s="7">
        <v>0.59</v>
      </c>
      <c r="V6651" s="12">
        <f>C6651+4</f>
        <v>40282</v>
      </c>
      <c r="W6651">
        <f>IF(D6651=' Pivot Tables'!$A$4,1,0)</f>
        <v>0</v>
      </c>
      <c r="X6651">
        <f>IF(AND(LEFT(D6651,4)+1=LEFT(' Pivot Tables'!$A$4,4)+0,RIGHT(LEFT(D6651,7),2)=RIGHT(LEFT(' Pivot Tables'!$A$4,7),2)),1,0)</f>
        <v>0</v>
      </c>
      <c r="Y6651" s="6">
        <f>1/COUNTIF(Таблица1[Order ID],Таблица1[[#This Row],[Order ID]])</f>
        <v>0.33333333333333331</v>
      </c>
      <c r="Z6651" s="9">
        <f>1/COUNTIFS(Таблица1[Customer Name],Таблица1[[#This Row],[Customer Name]],Таблица1[Order-Year-Month],Таблица1[[#This Row],[Order-Year-Month]])</f>
        <v>0.33333333333333331</v>
      </c>
    </row>
    <row r="6652" spans="1:26" x14ac:dyDescent="0.2">
      <c r="A6652" s="6">
        <v>765</v>
      </c>
      <c r="B6652" s="7">
        <v>5472</v>
      </c>
      <c r="C6652" s="8">
        <f>DATE(2012,12,31)-996</f>
        <v>40278</v>
      </c>
      <c r="D6652" s="8" t="str">
        <f t="shared" si="121"/>
        <v>2010-04 (апрель 2010)</v>
      </c>
      <c r="E6652" s="9" t="s">
        <v>21</v>
      </c>
      <c r="F6652" s="7">
        <v>12</v>
      </c>
      <c r="G6652" s="7">
        <v>1098.1490000000001</v>
      </c>
      <c r="H6652" s="7">
        <v>0.09</v>
      </c>
      <c r="I6652" s="9" t="s">
        <v>22</v>
      </c>
      <c r="J6652" s="10">
        <v>-182.97399999999999</v>
      </c>
      <c r="K6652" s="11">
        <v>115.99</v>
      </c>
      <c r="L6652" s="11">
        <v>5.92</v>
      </c>
      <c r="M6652" s="9" t="s">
        <v>1459</v>
      </c>
      <c r="N6652" s="6" t="s">
        <v>2012</v>
      </c>
      <c r="O6652" s="6" t="s">
        <v>2012</v>
      </c>
      <c r="P6652" s="9" t="s">
        <v>41</v>
      </c>
      <c r="Q6652" s="9" t="s">
        <v>42</v>
      </c>
      <c r="R6652" s="9" t="s">
        <v>43</v>
      </c>
      <c r="S6652" s="7" t="s">
        <v>977</v>
      </c>
      <c r="T6652" s="9" t="s">
        <v>39</v>
      </c>
      <c r="U6652" s="7">
        <v>0.57999999999999996</v>
      </c>
      <c r="V6652" s="12">
        <f>C6652+2</f>
        <v>40280</v>
      </c>
      <c r="W6652">
        <f>IF(D6652=' Pivot Tables'!$A$4,1,0)</f>
        <v>0</v>
      </c>
      <c r="X6652">
        <f>IF(AND(LEFT(D6652,4)+1=LEFT(' Pivot Tables'!$A$4,4)+0,RIGHT(LEFT(D6652,7),2)=RIGHT(LEFT(' Pivot Tables'!$A$4,7),2)),1,0)</f>
        <v>0</v>
      </c>
      <c r="Y6652" s="6">
        <f>1/COUNTIF(Таблица1[Order ID],Таблица1[[#This Row],[Order ID]])</f>
        <v>0.33333333333333331</v>
      </c>
      <c r="Z6652" s="9">
        <f>1/COUNTIFS(Таблица1[Customer Name],Таблица1[[#This Row],[Customer Name]],Таблица1[Order-Year-Month],Таблица1[[#This Row],[Order-Year-Month]])</f>
        <v>0.33333333333333331</v>
      </c>
    </row>
    <row r="6653" spans="1:26" x14ac:dyDescent="0.2">
      <c r="A6653" s="6">
        <v>799</v>
      </c>
      <c r="B6653" s="7">
        <v>5702</v>
      </c>
      <c r="C6653" s="8">
        <f>DATE(2012,12,31)-847</f>
        <v>40427</v>
      </c>
      <c r="D6653" s="8" t="str">
        <f t="shared" si="121"/>
        <v>2010-09 (сентябрь 2010)</v>
      </c>
      <c r="E6653" s="9" t="s">
        <v>45</v>
      </c>
      <c r="F6653" s="7">
        <v>20</v>
      </c>
      <c r="G6653" s="7">
        <v>2039.39</v>
      </c>
      <c r="H6653" s="7">
        <v>0.01</v>
      </c>
      <c r="I6653" s="9" t="s">
        <v>22</v>
      </c>
      <c r="J6653" s="10">
        <v>199.73</v>
      </c>
      <c r="K6653" s="11">
        <v>99.99</v>
      </c>
      <c r="L6653" s="11">
        <v>19.989999999999998</v>
      </c>
      <c r="M6653" s="9" t="s">
        <v>1635</v>
      </c>
      <c r="N6653" s="6" t="s">
        <v>2012</v>
      </c>
      <c r="O6653" s="6" t="s">
        <v>2012</v>
      </c>
      <c r="P6653" s="9" t="s">
        <v>41</v>
      </c>
      <c r="Q6653" s="9" t="s">
        <v>42</v>
      </c>
      <c r="R6653" s="9" t="s">
        <v>70</v>
      </c>
      <c r="S6653" s="7" t="s">
        <v>337</v>
      </c>
      <c r="T6653" s="9" t="s">
        <v>39</v>
      </c>
      <c r="U6653" s="7">
        <v>0.52</v>
      </c>
      <c r="V6653" s="12">
        <f>C6653+2</f>
        <v>40429</v>
      </c>
      <c r="W6653">
        <f>IF(D6653=' Pivot Tables'!$A$4,1,0)</f>
        <v>0</v>
      </c>
      <c r="X6653">
        <f>IF(AND(LEFT(D6653,4)+1=LEFT(' Pivot Tables'!$A$4,4)+0,RIGHT(LEFT(D6653,7),2)=RIGHT(LEFT(' Pivot Tables'!$A$4,7),2)),1,0)</f>
        <v>0</v>
      </c>
      <c r="Y6653" s="6">
        <f>1/COUNTIF(Таблица1[Order ID],Таблица1[[#This Row],[Order ID]])</f>
        <v>1</v>
      </c>
      <c r="Z6653" s="9">
        <f>1/COUNTIFS(Таблица1[Customer Name],Таблица1[[#This Row],[Customer Name]],Таблица1[Order-Year-Month],Таблица1[[#This Row],[Order-Year-Month]])</f>
        <v>1</v>
      </c>
    </row>
    <row r="6654" spans="1:26" x14ac:dyDescent="0.2">
      <c r="A6654" s="6">
        <v>827</v>
      </c>
      <c r="B6654" s="7">
        <v>5958</v>
      </c>
      <c r="C6654" s="8">
        <f>DATE(2012,12,31)-473</f>
        <v>40801</v>
      </c>
      <c r="D6654" s="8" t="str">
        <f t="shared" si="121"/>
        <v>2011-09 (сентябрь 2011)</v>
      </c>
      <c r="E6654" s="9" t="s">
        <v>63</v>
      </c>
      <c r="F6654" s="7">
        <v>3</v>
      </c>
      <c r="G6654" s="7">
        <v>2036.97</v>
      </c>
      <c r="H6654" s="7">
        <v>0.03</v>
      </c>
      <c r="I6654" s="9" t="s">
        <v>22</v>
      </c>
      <c r="J6654" s="10">
        <v>-2397.44</v>
      </c>
      <c r="K6654" s="11">
        <v>699.99</v>
      </c>
      <c r="L6654" s="11">
        <v>24.49</v>
      </c>
      <c r="M6654" s="9" t="s">
        <v>1482</v>
      </c>
      <c r="N6654" s="6" t="s">
        <v>2012</v>
      </c>
      <c r="O6654" s="6" t="s">
        <v>2012</v>
      </c>
      <c r="P6654" s="9" t="s">
        <v>25</v>
      </c>
      <c r="Q6654" s="9" t="s">
        <v>42</v>
      </c>
      <c r="R6654" s="9" t="s">
        <v>99</v>
      </c>
      <c r="S6654" s="7" t="s">
        <v>411</v>
      </c>
      <c r="T6654" s="9" t="s">
        <v>29</v>
      </c>
      <c r="U6654" s="7">
        <v>0.41</v>
      </c>
      <c r="V6654" s="12">
        <f>C6654+2</f>
        <v>40803</v>
      </c>
      <c r="W6654">
        <f>IF(D6654=' Pivot Tables'!$A$4,1,0)</f>
        <v>0</v>
      </c>
      <c r="X6654">
        <f>IF(AND(LEFT(D6654,4)+1=LEFT(' Pivot Tables'!$A$4,4)+0,RIGHT(LEFT(D6654,7),2)=RIGHT(LEFT(' Pivot Tables'!$A$4,7),2)),1,0)</f>
        <v>0</v>
      </c>
      <c r="Y6654" s="6">
        <f>1/COUNTIF(Таблица1[Order ID],Таблица1[[#This Row],[Order ID]])</f>
        <v>0.5</v>
      </c>
      <c r="Z6654" s="9">
        <f>1/COUNTIFS(Таблица1[Customer Name],Таблица1[[#This Row],[Customer Name]],Таблица1[Order-Year-Month],Таблица1[[#This Row],[Order-Year-Month]])</f>
        <v>0.5</v>
      </c>
    </row>
    <row r="6655" spans="1:26" x14ac:dyDescent="0.2">
      <c r="A6655" s="6">
        <v>828</v>
      </c>
      <c r="B6655" s="7">
        <v>5958</v>
      </c>
      <c r="C6655" s="8">
        <f>DATE(2012,12,31)-473</f>
        <v>40801</v>
      </c>
      <c r="D6655" s="8" t="str">
        <f t="shared" si="121"/>
        <v>2011-09 (сентябрь 2011)</v>
      </c>
      <c r="E6655" s="9" t="s">
        <v>63</v>
      </c>
      <c r="F6655" s="7">
        <v>21</v>
      </c>
      <c r="G6655" s="7">
        <v>2629.6640000000002</v>
      </c>
      <c r="H6655" s="7">
        <v>0.09</v>
      </c>
      <c r="I6655" s="9" t="s">
        <v>31</v>
      </c>
      <c r="J6655" s="10">
        <v>27.74</v>
      </c>
      <c r="K6655" s="11">
        <v>159.31</v>
      </c>
      <c r="L6655" s="11">
        <v>60</v>
      </c>
      <c r="M6655" s="9" t="s">
        <v>1482</v>
      </c>
      <c r="N6655" s="6" t="s">
        <v>2012</v>
      </c>
      <c r="O6655" s="6" t="s">
        <v>2012</v>
      </c>
      <c r="P6655" s="9" t="s">
        <v>25</v>
      </c>
      <c r="Q6655" s="9" t="s">
        <v>49</v>
      </c>
      <c r="R6655" s="9" t="s">
        <v>83</v>
      </c>
      <c r="S6655" s="7" t="s">
        <v>956</v>
      </c>
      <c r="T6655" s="9" t="s">
        <v>36</v>
      </c>
      <c r="U6655" s="7">
        <v>0.55000000000000004</v>
      </c>
      <c r="V6655" s="12">
        <f>C6655+0</f>
        <v>40801</v>
      </c>
      <c r="W6655">
        <f>IF(D6655=' Pivot Tables'!$A$4,1,0)</f>
        <v>0</v>
      </c>
      <c r="X6655">
        <f>IF(AND(LEFT(D6655,4)+1=LEFT(' Pivot Tables'!$A$4,4)+0,RIGHT(LEFT(D6655,7),2)=RIGHT(LEFT(' Pivot Tables'!$A$4,7),2)),1,0)</f>
        <v>0</v>
      </c>
      <c r="Y6655" s="6">
        <f>1/COUNTIF(Таблица1[Order ID],Таблица1[[#This Row],[Order ID]])</f>
        <v>0.5</v>
      </c>
      <c r="Z6655" s="9">
        <f>1/COUNTIFS(Таблица1[Customer Name],Таблица1[[#This Row],[Customer Name]],Таблица1[Order-Year-Month],Таблица1[[#This Row],[Order-Year-Month]])</f>
        <v>0.5</v>
      </c>
    </row>
    <row r="6656" spans="1:26" x14ac:dyDescent="0.2">
      <c r="A6656" s="6">
        <v>829</v>
      </c>
      <c r="B6656" s="7">
        <v>5984</v>
      </c>
      <c r="C6656" s="8">
        <f>DATE(2012,12,31)-1293</f>
        <v>39981</v>
      </c>
      <c r="D6656" s="8" t="str">
        <f t="shared" si="121"/>
        <v>2009-06 (июнь 2009)</v>
      </c>
      <c r="E6656" s="9" t="s">
        <v>21</v>
      </c>
      <c r="F6656" s="7">
        <v>37</v>
      </c>
      <c r="G6656" s="7">
        <v>394.62</v>
      </c>
      <c r="H6656" s="7">
        <v>0.06</v>
      </c>
      <c r="I6656" s="9" t="s">
        <v>22</v>
      </c>
      <c r="J6656" s="10">
        <v>-31.39</v>
      </c>
      <c r="K6656" s="11">
        <v>10.89</v>
      </c>
      <c r="L6656" s="11">
        <v>4.5</v>
      </c>
      <c r="M6656" s="9" t="s">
        <v>1462</v>
      </c>
      <c r="N6656" s="6" t="s">
        <v>2012</v>
      </c>
      <c r="O6656" s="6" t="s">
        <v>2012</v>
      </c>
      <c r="P6656" s="9" t="s">
        <v>33</v>
      </c>
      <c r="Q6656" s="9" t="s">
        <v>26</v>
      </c>
      <c r="R6656" s="9" t="s">
        <v>34</v>
      </c>
      <c r="S6656" s="7" t="s">
        <v>345</v>
      </c>
      <c r="T6656" s="9" t="s">
        <v>39</v>
      </c>
      <c r="U6656" s="7">
        <v>0.59</v>
      </c>
      <c r="V6656" s="12">
        <f>C6656+5</f>
        <v>39986</v>
      </c>
      <c r="W6656">
        <f>IF(D6656=' Pivot Tables'!$A$4,1,0)</f>
        <v>0</v>
      </c>
      <c r="X6656">
        <f>IF(AND(LEFT(D6656,4)+1=LEFT(' Pivot Tables'!$A$4,4)+0,RIGHT(LEFT(D6656,7),2)=RIGHT(LEFT(' Pivot Tables'!$A$4,7),2)),1,0)</f>
        <v>0</v>
      </c>
      <c r="Y6656" s="6">
        <f>1/COUNTIF(Таблица1[Order ID],Таблица1[[#This Row],[Order ID]])</f>
        <v>0.33333333333333331</v>
      </c>
      <c r="Z6656" s="9">
        <f>1/COUNTIFS(Таблица1[Customer Name],Таблица1[[#This Row],[Customer Name]],Таблица1[Order-Year-Month],Таблица1[[#This Row],[Order-Year-Month]])</f>
        <v>0.33333333333333331</v>
      </c>
    </row>
    <row r="6657" spans="1:26" x14ac:dyDescent="0.2">
      <c r="A6657" s="6">
        <v>830</v>
      </c>
      <c r="B6657" s="7">
        <v>5984</v>
      </c>
      <c r="C6657" s="8">
        <f>DATE(2012,12,31)-1293</f>
        <v>39981</v>
      </c>
      <c r="D6657" s="8" t="str">
        <f t="shared" si="121"/>
        <v>2009-06 (июнь 2009)</v>
      </c>
      <c r="E6657" s="9" t="s">
        <v>21</v>
      </c>
      <c r="F6657" s="7">
        <v>42</v>
      </c>
      <c r="G6657" s="7">
        <v>464.64</v>
      </c>
      <c r="H6657" s="7">
        <v>0.03</v>
      </c>
      <c r="I6657" s="9" t="s">
        <v>22</v>
      </c>
      <c r="J6657" s="10">
        <v>14.48</v>
      </c>
      <c r="K6657" s="11">
        <v>10.64</v>
      </c>
      <c r="L6657" s="11">
        <v>5.16</v>
      </c>
      <c r="M6657" s="9" t="s">
        <v>1462</v>
      </c>
      <c r="N6657" s="6" t="s">
        <v>2012</v>
      </c>
      <c r="O6657" s="6" t="s">
        <v>2012</v>
      </c>
      <c r="P6657" s="9" t="s">
        <v>33</v>
      </c>
      <c r="Q6657" s="9" t="s">
        <v>49</v>
      </c>
      <c r="R6657" s="9" t="s">
        <v>50</v>
      </c>
      <c r="S6657" s="7" t="s">
        <v>593</v>
      </c>
      <c r="T6657" s="9" t="s">
        <v>39</v>
      </c>
      <c r="U6657" s="7">
        <v>0.56999999999999995</v>
      </c>
      <c r="V6657" s="12">
        <f>C6657+5</f>
        <v>39986</v>
      </c>
      <c r="W6657">
        <f>IF(D6657=' Pivot Tables'!$A$4,1,0)</f>
        <v>0</v>
      </c>
      <c r="X6657">
        <f>IF(AND(LEFT(D6657,4)+1=LEFT(' Pivot Tables'!$A$4,4)+0,RIGHT(LEFT(D6657,7),2)=RIGHT(LEFT(' Pivot Tables'!$A$4,7),2)),1,0)</f>
        <v>0</v>
      </c>
      <c r="Y6657" s="6">
        <f>1/COUNTIF(Таблица1[Order ID],Таблица1[[#This Row],[Order ID]])</f>
        <v>0.33333333333333331</v>
      </c>
      <c r="Z6657" s="9">
        <f>1/COUNTIFS(Таблица1[Customer Name],Таблица1[[#This Row],[Customer Name]],Таблица1[Order-Year-Month],Таблица1[[#This Row],[Order-Year-Month]])</f>
        <v>0.33333333333333331</v>
      </c>
    </row>
    <row r="6658" spans="1:26" x14ac:dyDescent="0.2">
      <c r="A6658" s="6">
        <v>831</v>
      </c>
      <c r="B6658" s="7">
        <v>5984</v>
      </c>
      <c r="C6658" s="8">
        <f>DATE(2012,12,31)-1293</f>
        <v>39981</v>
      </c>
      <c r="D6658" s="8" t="str">
        <f t="shared" si="121"/>
        <v>2009-06 (июнь 2009)</v>
      </c>
      <c r="E6658" s="9" t="s">
        <v>21</v>
      </c>
      <c r="F6658" s="7">
        <v>11</v>
      </c>
      <c r="G6658" s="7">
        <v>96.68</v>
      </c>
      <c r="H6658" s="7">
        <v>0.03</v>
      </c>
      <c r="I6658" s="9" t="s">
        <v>22</v>
      </c>
      <c r="J6658" s="10">
        <v>22.25</v>
      </c>
      <c r="K6658" s="11">
        <v>7.96</v>
      </c>
      <c r="L6658" s="11">
        <v>4.95</v>
      </c>
      <c r="M6658" s="9" t="s">
        <v>1462</v>
      </c>
      <c r="N6658" s="6" t="s">
        <v>2012</v>
      </c>
      <c r="O6658" s="6" t="s">
        <v>2012</v>
      </c>
      <c r="P6658" s="9" t="s">
        <v>33</v>
      </c>
      <c r="Q6658" s="9" t="s">
        <v>49</v>
      </c>
      <c r="R6658" s="9" t="s">
        <v>50</v>
      </c>
      <c r="S6658" s="7" t="s">
        <v>951</v>
      </c>
      <c r="T6658" s="9" t="s">
        <v>39</v>
      </c>
      <c r="U6658" s="7">
        <v>0.41</v>
      </c>
      <c r="V6658" s="12">
        <f>C6658+2</f>
        <v>39983</v>
      </c>
      <c r="W6658">
        <f>IF(D6658=' Pivot Tables'!$A$4,1,0)</f>
        <v>0</v>
      </c>
      <c r="X6658">
        <f>IF(AND(LEFT(D6658,4)+1=LEFT(' Pivot Tables'!$A$4,4)+0,RIGHT(LEFT(D6658,7),2)=RIGHT(LEFT(' Pivot Tables'!$A$4,7),2)),1,0)</f>
        <v>0</v>
      </c>
      <c r="Y6658" s="6">
        <f>1/COUNTIF(Таблица1[Order ID],Таблица1[[#This Row],[Order ID]])</f>
        <v>0.33333333333333331</v>
      </c>
      <c r="Z6658" s="9">
        <f>1/COUNTIFS(Таблица1[Customer Name],Таблица1[[#This Row],[Customer Name]],Таблица1[Order-Year-Month],Таблица1[[#This Row],[Order-Year-Month]])</f>
        <v>0.33333333333333331</v>
      </c>
    </row>
    <row r="6659" spans="1:26" x14ac:dyDescent="0.2">
      <c r="A6659" s="6">
        <v>836</v>
      </c>
      <c r="B6659" s="7">
        <v>5989</v>
      </c>
      <c r="C6659" s="8">
        <f>DATE(2012,12,31)-444</f>
        <v>40830</v>
      </c>
      <c r="D6659" s="8" t="str">
        <f t="shared" ref="D6659:D6722" si="122">TEXT(C6659,"гггг-ММ (ММММ гггг)")</f>
        <v>2011-10 (октябрь 2011)</v>
      </c>
      <c r="E6659" s="9" t="s">
        <v>63</v>
      </c>
      <c r="F6659" s="7">
        <v>6</v>
      </c>
      <c r="G6659" s="7">
        <v>155.47999999999999</v>
      </c>
      <c r="H6659" s="7">
        <v>0.1</v>
      </c>
      <c r="I6659" s="9" t="s">
        <v>22</v>
      </c>
      <c r="J6659" s="10">
        <v>-6.64</v>
      </c>
      <c r="K6659" s="11">
        <v>25.98</v>
      </c>
      <c r="L6659" s="11">
        <v>5.37</v>
      </c>
      <c r="M6659" s="9" t="s">
        <v>1639</v>
      </c>
      <c r="N6659" s="6" t="s">
        <v>2012</v>
      </c>
      <c r="O6659" s="6" t="s">
        <v>2012</v>
      </c>
      <c r="P6659" s="9" t="s">
        <v>41</v>
      </c>
      <c r="Q6659" s="9" t="s">
        <v>26</v>
      </c>
      <c r="R6659" s="9" t="s">
        <v>34</v>
      </c>
      <c r="S6659" s="7" t="s">
        <v>167</v>
      </c>
      <c r="T6659" s="9" t="s">
        <v>48</v>
      </c>
      <c r="U6659" s="7">
        <v>0.5</v>
      </c>
      <c r="V6659" s="12">
        <f>C6659+2</f>
        <v>40832</v>
      </c>
      <c r="W6659">
        <f>IF(D6659=' Pivot Tables'!$A$4,1,0)</f>
        <v>0</v>
      </c>
      <c r="X6659">
        <f>IF(AND(LEFT(D6659,4)+1=LEFT(' Pivot Tables'!$A$4,4)+0,RIGHT(LEFT(D6659,7),2)=RIGHT(LEFT(' Pivot Tables'!$A$4,7),2)),1,0)</f>
        <v>0</v>
      </c>
      <c r="Y6659" s="6">
        <f>1/COUNTIF(Таблица1[Order ID],Таблица1[[#This Row],[Order ID]])</f>
        <v>0.5</v>
      </c>
      <c r="Z6659" s="9">
        <f>1/COUNTIFS(Таблица1[Customer Name],Таблица1[[#This Row],[Customer Name]],Таблица1[Order-Year-Month],Таблица1[[#This Row],[Order-Year-Month]])</f>
        <v>0.5</v>
      </c>
    </row>
    <row r="6660" spans="1:26" x14ac:dyDescent="0.2">
      <c r="A6660" s="6">
        <v>837</v>
      </c>
      <c r="B6660" s="7">
        <v>5989</v>
      </c>
      <c r="C6660" s="8">
        <f>DATE(2012,12,31)-444</f>
        <v>40830</v>
      </c>
      <c r="D6660" s="8" t="str">
        <f t="shared" si="122"/>
        <v>2011-10 (октябрь 2011)</v>
      </c>
      <c r="E6660" s="9" t="s">
        <v>63</v>
      </c>
      <c r="F6660" s="7">
        <v>21</v>
      </c>
      <c r="G6660" s="7">
        <v>56.77</v>
      </c>
      <c r="H6660" s="7">
        <v>0.06</v>
      </c>
      <c r="I6660" s="9" t="s">
        <v>22</v>
      </c>
      <c r="J6660" s="10">
        <v>-3.2</v>
      </c>
      <c r="K6660" s="11">
        <v>2.78</v>
      </c>
      <c r="L6660" s="11">
        <v>1.34</v>
      </c>
      <c r="M6660" s="9" t="s">
        <v>1639</v>
      </c>
      <c r="N6660" s="6" t="s">
        <v>2012</v>
      </c>
      <c r="O6660" s="6" t="s">
        <v>2012</v>
      </c>
      <c r="P6660" s="9" t="s">
        <v>41</v>
      </c>
      <c r="Q6660" s="9" t="s">
        <v>26</v>
      </c>
      <c r="R6660" s="9" t="s">
        <v>95</v>
      </c>
      <c r="S6660" s="7" t="s">
        <v>256</v>
      </c>
      <c r="T6660" s="9" t="s">
        <v>68</v>
      </c>
      <c r="U6660" s="7">
        <v>0.45</v>
      </c>
      <c r="V6660" s="12">
        <f>C6660+1</f>
        <v>40831</v>
      </c>
      <c r="W6660">
        <f>IF(D6660=' Pivot Tables'!$A$4,1,0)</f>
        <v>0</v>
      </c>
      <c r="X6660">
        <f>IF(AND(LEFT(D6660,4)+1=LEFT(' Pivot Tables'!$A$4,4)+0,RIGHT(LEFT(D6660,7),2)=RIGHT(LEFT(' Pivot Tables'!$A$4,7),2)),1,0)</f>
        <v>0</v>
      </c>
      <c r="Y6660" s="6">
        <f>1/COUNTIF(Таблица1[Order ID],Таблица1[[#This Row],[Order ID]])</f>
        <v>0.5</v>
      </c>
      <c r="Z6660" s="9">
        <f>1/COUNTIFS(Таблица1[Customer Name],Таблица1[[#This Row],[Customer Name]],Таблица1[Order-Year-Month],Таблица1[[#This Row],[Order-Year-Month]])</f>
        <v>0.5</v>
      </c>
    </row>
    <row r="6661" spans="1:26" x14ac:dyDescent="0.2">
      <c r="A6661" s="6">
        <v>838</v>
      </c>
      <c r="B6661" s="7">
        <v>5990</v>
      </c>
      <c r="C6661" s="8">
        <f>DATE(2012,12,31)-999</f>
        <v>40275</v>
      </c>
      <c r="D6661" s="8" t="str">
        <f t="shared" si="122"/>
        <v>2010-04 (апрель 2010)</v>
      </c>
      <c r="E6661" s="9" t="s">
        <v>78</v>
      </c>
      <c r="F6661" s="7">
        <v>9</v>
      </c>
      <c r="G6661" s="7">
        <v>63.91</v>
      </c>
      <c r="H6661" s="7">
        <v>0.06</v>
      </c>
      <c r="I6661" s="9" t="s">
        <v>22</v>
      </c>
      <c r="J6661" s="10">
        <v>-27.78</v>
      </c>
      <c r="K6661" s="11">
        <v>6.48</v>
      </c>
      <c r="L6661" s="11">
        <v>6.35</v>
      </c>
      <c r="M6661" s="9" t="s">
        <v>1508</v>
      </c>
      <c r="N6661" s="6" t="s">
        <v>2012</v>
      </c>
      <c r="O6661" s="6" t="s">
        <v>2012</v>
      </c>
      <c r="P6661" s="9" t="s">
        <v>60</v>
      </c>
      <c r="Q6661" s="9" t="s">
        <v>26</v>
      </c>
      <c r="R6661" s="9" t="s">
        <v>61</v>
      </c>
      <c r="S6661" s="7" t="s">
        <v>1629</v>
      </c>
      <c r="T6661" s="9" t="s">
        <v>39</v>
      </c>
      <c r="U6661" s="7">
        <v>0.37</v>
      </c>
      <c r="V6661" s="12">
        <f>C6661+1</f>
        <v>40276</v>
      </c>
      <c r="W6661">
        <f>IF(D6661=' Pivot Tables'!$A$4,1,0)</f>
        <v>0</v>
      </c>
      <c r="X6661">
        <f>IF(AND(LEFT(D6661,4)+1=LEFT(' Pivot Tables'!$A$4,4)+0,RIGHT(LEFT(D6661,7),2)=RIGHT(LEFT(' Pivot Tables'!$A$4,7),2)),1,0)</f>
        <v>0</v>
      </c>
      <c r="Y6661" s="6">
        <f>1/COUNTIF(Таблица1[Order ID],Таблица1[[#This Row],[Order ID]])</f>
        <v>1</v>
      </c>
      <c r="Z6661" s="9">
        <f>1/COUNTIFS(Таблица1[Customer Name],Таблица1[[#This Row],[Customer Name]],Таблица1[Order-Year-Month],Таблица1[[#This Row],[Order-Year-Month]])</f>
        <v>0.5</v>
      </c>
    </row>
    <row r="6662" spans="1:26" x14ac:dyDescent="0.2">
      <c r="A6662" s="6">
        <v>846</v>
      </c>
      <c r="B6662" s="7">
        <v>6054</v>
      </c>
      <c r="C6662" s="8">
        <f>DATE(2012,12,31)-480</f>
        <v>40794</v>
      </c>
      <c r="D6662" s="8" t="str">
        <f t="shared" si="122"/>
        <v>2011-09 (сентябрь 2011)</v>
      </c>
      <c r="E6662" s="9" t="s">
        <v>21</v>
      </c>
      <c r="F6662" s="7">
        <v>6</v>
      </c>
      <c r="G6662" s="7">
        <v>27.32</v>
      </c>
      <c r="H6662" s="7">
        <v>0.05</v>
      </c>
      <c r="I6662" s="9" t="s">
        <v>56</v>
      </c>
      <c r="J6662" s="10">
        <v>-5.87</v>
      </c>
      <c r="K6662" s="11">
        <v>2.08</v>
      </c>
      <c r="L6662" s="11">
        <v>5.33</v>
      </c>
      <c r="M6662" s="9" t="s">
        <v>1948</v>
      </c>
      <c r="N6662" s="6" t="s">
        <v>2012</v>
      </c>
      <c r="O6662" s="6" t="s">
        <v>2012</v>
      </c>
      <c r="P6662" s="9" t="s">
        <v>41</v>
      </c>
      <c r="Q6662" s="9" t="s">
        <v>49</v>
      </c>
      <c r="R6662" s="9" t="s">
        <v>50</v>
      </c>
      <c r="S6662" s="7" t="s">
        <v>216</v>
      </c>
      <c r="T6662" s="9" t="s">
        <v>39</v>
      </c>
      <c r="U6662" s="7">
        <v>0.43</v>
      </c>
      <c r="V6662" s="12">
        <f>C6662+2</f>
        <v>40796</v>
      </c>
      <c r="W6662">
        <f>IF(D6662=' Pivot Tables'!$A$4,1,0)</f>
        <v>0</v>
      </c>
      <c r="X6662">
        <f>IF(AND(LEFT(D6662,4)+1=LEFT(' Pivot Tables'!$A$4,4)+0,RIGHT(LEFT(D6662,7),2)=RIGHT(LEFT(' Pivot Tables'!$A$4,7),2)),1,0)</f>
        <v>0</v>
      </c>
      <c r="Y6662" s="6">
        <f>1/COUNTIF(Таблица1[Order ID],Таблица1[[#This Row],[Order ID]])</f>
        <v>0.5</v>
      </c>
      <c r="Z6662" s="9">
        <f>1/COUNTIFS(Таблица1[Customer Name],Таблица1[[#This Row],[Customer Name]],Таблица1[Order-Year-Month],Таблица1[[#This Row],[Order-Year-Month]])</f>
        <v>0.5</v>
      </c>
    </row>
    <row r="6663" spans="1:26" x14ac:dyDescent="0.2">
      <c r="A6663" s="6">
        <v>847</v>
      </c>
      <c r="B6663" s="7">
        <v>6054</v>
      </c>
      <c r="C6663" s="8">
        <f>DATE(2012,12,31)-480</f>
        <v>40794</v>
      </c>
      <c r="D6663" s="8" t="str">
        <f t="shared" si="122"/>
        <v>2011-09 (сентябрь 2011)</v>
      </c>
      <c r="E6663" s="9" t="s">
        <v>21</v>
      </c>
      <c r="F6663" s="7">
        <v>43</v>
      </c>
      <c r="G6663" s="7">
        <v>643.30999999999995</v>
      </c>
      <c r="H6663" s="7">
        <v>0.08</v>
      </c>
      <c r="I6663" s="9" t="s">
        <v>56</v>
      </c>
      <c r="J6663" s="10">
        <v>-231.34</v>
      </c>
      <c r="K6663" s="11">
        <v>15.42</v>
      </c>
      <c r="L6663" s="11">
        <v>10.68</v>
      </c>
      <c r="M6663" s="9" t="s">
        <v>1948</v>
      </c>
      <c r="N6663" s="6" t="s">
        <v>2012</v>
      </c>
      <c r="O6663" s="6" t="s">
        <v>2012</v>
      </c>
      <c r="P6663" s="9" t="s">
        <v>41</v>
      </c>
      <c r="Q6663" s="9" t="s">
        <v>26</v>
      </c>
      <c r="R6663" s="9" t="s">
        <v>27</v>
      </c>
      <c r="S6663" s="7" t="s">
        <v>1645</v>
      </c>
      <c r="T6663" s="9" t="s">
        <v>39</v>
      </c>
      <c r="U6663" s="7">
        <v>0.57999999999999996</v>
      </c>
      <c r="V6663" s="12">
        <f>C6663+5</f>
        <v>40799</v>
      </c>
      <c r="W6663">
        <f>IF(D6663=' Pivot Tables'!$A$4,1,0)</f>
        <v>0</v>
      </c>
      <c r="X6663">
        <f>IF(AND(LEFT(D6663,4)+1=LEFT(' Pivot Tables'!$A$4,4)+0,RIGHT(LEFT(D6663,7),2)=RIGHT(LEFT(' Pivot Tables'!$A$4,7),2)),1,0)</f>
        <v>0</v>
      </c>
      <c r="Y6663" s="6">
        <f>1/COUNTIF(Таблица1[Order ID],Таблица1[[#This Row],[Order ID]])</f>
        <v>0.5</v>
      </c>
      <c r="Z6663" s="9">
        <f>1/COUNTIFS(Таблица1[Customer Name],Таблица1[[#This Row],[Customer Name]],Таблица1[Order-Year-Month],Таблица1[[#This Row],[Order-Year-Month]])</f>
        <v>0.5</v>
      </c>
    </row>
    <row r="6664" spans="1:26" x14ac:dyDescent="0.2">
      <c r="A6664" s="6">
        <v>909</v>
      </c>
      <c r="B6664" s="7">
        <v>6531</v>
      </c>
      <c r="C6664" s="8">
        <f>DATE(2012,12,31)-898</f>
        <v>40376</v>
      </c>
      <c r="D6664" s="8" t="str">
        <f t="shared" si="122"/>
        <v>2010-07 (июль 2010)</v>
      </c>
      <c r="E6664" s="9" t="s">
        <v>30</v>
      </c>
      <c r="F6664" s="7">
        <v>42</v>
      </c>
      <c r="G6664" s="7">
        <v>188.23</v>
      </c>
      <c r="H6664" s="7">
        <v>0.05</v>
      </c>
      <c r="I6664" s="9" t="s">
        <v>22</v>
      </c>
      <c r="J6664" s="10">
        <v>-145.1</v>
      </c>
      <c r="K6664" s="11">
        <v>4.37</v>
      </c>
      <c r="L6664" s="11">
        <v>5.15</v>
      </c>
      <c r="M6664" s="9" t="s">
        <v>1889</v>
      </c>
      <c r="N6664" s="6" t="s">
        <v>2012</v>
      </c>
      <c r="O6664" s="6" t="s">
        <v>2012</v>
      </c>
      <c r="P6664" s="9" t="s">
        <v>60</v>
      </c>
      <c r="Q6664" s="9" t="s">
        <v>26</v>
      </c>
      <c r="R6664" s="9" t="s">
        <v>34</v>
      </c>
      <c r="S6664" s="7" t="s">
        <v>690</v>
      </c>
      <c r="T6664" s="9" t="s">
        <v>39</v>
      </c>
      <c r="U6664" s="7">
        <v>0.59</v>
      </c>
      <c r="V6664" s="12">
        <f>C6664+2</f>
        <v>40378</v>
      </c>
      <c r="W6664">
        <f>IF(D6664=' Pivot Tables'!$A$4,1,0)</f>
        <v>0</v>
      </c>
      <c r="X6664">
        <f>IF(AND(LEFT(D6664,4)+1=LEFT(' Pivot Tables'!$A$4,4)+0,RIGHT(LEFT(D6664,7),2)=RIGHT(LEFT(' Pivot Tables'!$A$4,7),2)),1,0)</f>
        <v>0</v>
      </c>
      <c r="Y6664" s="6">
        <f>1/COUNTIF(Таблица1[Order ID],Таблица1[[#This Row],[Order ID]])</f>
        <v>0.5</v>
      </c>
      <c r="Z6664" s="9">
        <f>1/COUNTIFS(Таблица1[Customer Name],Таблица1[[#This Row],[Customer Name]],Таблица1[Order-Year-Month],Таблица1[[#This Row],[Order-Year-Month]])</f>
        <v>0.5</v>
      </c>
    </row>
    <row r="6665" spans="1:26" x14ac:dyDescent="0.2">
      <c r="A6665" s="6">
        <v>910</v>
      </c>
      <c r="B6665" s="7">
        <v>6531</v>
      </c>
      <c r="C6665" s="8">
        <f>DATE(2012,12,31)-898</f>
        <v>40376</v>
      </c>
      <c r="D6665" s="8" t="str">
        <f t="shared" si="122"/>
        <v>2010-07 (июль 2010)</v>
      </c>
      <c r="E6665" s="9" t="s">
        <v>30</v>
      </c>
      <c r="F6665" s="7">
        <v>28</v>
      </c>
      <c r="G6665" s="7">
        <v>541.95000000000005</v>
      </c>
      <c r="H6665" s="7">
        <v>0.06</v>
      </c>
      <c r="I6665" s="9" t="s">
        <v>22</v>
      </c>
      <c r="J6665" s="10">
        <v>143.04</v>
      </c>
      <c r="K6665" s="11">
        <v>19.84</v>
      </c>
      <c r="L6665" s="11">
        <v>4.0999999999999996</v>
      </c>
      <c r="M6665" s="9" t="s">
        <v>1889</v>
      </c>
      <c r="N6665" s="6" t="s">
        <v>2012</v>
      </c>
      <c r="O6665" s="6" t="s">
        <v>2012</v>
      </c>
      <c r="P6665" s="9" t="s">
        <v>60</v>
      </c>
      <c r="Q6665" s="9" t="s">
        <v>26</v>
      </c>
      <c r="R6665" s="9" t="s">
        <v>95</v>
      </c>
      <c r="S6665" s="7" t="s">
        <v>195</v>
      </c>
      <c r="T6665" s="9" t="s">
        <v>68</v>
      </c>
      <c r="U6665" s="7">
        <v>0.44</v>
      </c>
      <c r="V6665" s="12">
        <f>C6665+2</f>
        <v>40378</v>
      </c>
      <c r="W6665">
        <f>IF(D6665=' Pivot Tables'!$A$4,1,0)</f>
        <v>0</v>
      </c>
      <c r="X6665">
        <f>IF(AND(LEFT(D6665,4)+1=LEFT(' Pivot Tables'!$A$4,4)+0,RIGHT(LEFT(D6665,7),2)=RIGHT(LEFT(' Pivot Tables'!$A$4,7),2)),1,0)</f>
        <v>0</v>
      </c>
      <c r="Y6665" s="6">
        <f>1/COUNTIF(Таблица1[Order ID],Таблица1[[#This Row],[Order ID]])</f>
        <v>0.5</v>
      </c>
      <c r="Z6665" s="9">
        <f>1/COUNTIFS(Таблица1[Customer Name],Таблица1[[#This Row],[Customer Name]],Таблица1[Order-Year-Month],Таблица1[[#This Row],[Order-Year-Month]])</f>
        <v>0.5</v>
      </c>
    </row>
    <row r="6666" spans="1:26" x14ac:dyDescent="0.2">
      <c r="A6666" s="6">
        <v>915</v>
      </c>
      <c r="B6666" s="7">
        <v>6564</v>
      </c>
      <c r="C6666" s="8">
        <f>DATE(2012,12,31)-710</f>
        <v>40564</v>
      </c>
      <c r="D6666" s="8" t="str">
        <f t="shared" si="122"/>
        <v>2011-01 (январь 2011)</v>
      </c>
      <c r="E6666" s="9" t="s">
        <v>21</v>
      </c>
      <c r="F6666" s="7">
        <v>26</v>
      </c>
      <c r="G6666" s="7">
        <v>448.23</v>
      </c>
      <c r="H6666" s="7">
        <v>0.01</v>
      </c>
      <c r="I6666" s="9" t="s">
        <v>22</v>
      </c>
      <c r="J6666" s="10">
        <v>110.6</v>
      </c>
      <c r="K6666" s="11">
        <v>15.98</v>
      </c>
      <c r="L6666" s="11">
        <v>4</v>
      </c>
      <c r="M6666" s="9" t="s">
        <v>2035</v>
      </c>
      <c r="N6666" s="6" t="s">
        <v>2012</v>
      </c>
      <c r="O6666" s="6" t="s">
        <v>2012</v>
      </c>
      <c r="P6666" s="9" t="s">
        <v>33</v>
      </c>
      <c r="Q6666" s="9" t="s">
        <v>42</v>
      </c>
      <c r="R6666" s="9" t="s">
        <v>70</v>
      </c>
      <c r="S6666" s="7" t="s">
        <v>536</v>
      </c>
      <c r="T6666" s="9" t="s">
        <v>39</v>
      </c>
      <c r="U6666" s="7">
        <v>0.37</v>
      </c>
      <c r="V6666" s="12">
        <f>C6666+0</f>
        <v>40564</v>
      </c>
      <c r="W6666">
        <f>IF(D6666=' Pivot Tables'!$A$4,1,0)</f>
        <v>0</v>
      </c>
      <c r="X6666">
        <f>IF(AND(LEFT(D6666,4)+1=LEFT(' Pivot Tables'!$A$4,4)+0,RIGHT(LEFT(D6666,7),2)=RIGHT(LEFT(' Pivot Tables'!$A$4,7),2)),1,0)</f>
        <v>0</v>
      </c>
      <c r="Y6666" s="6">
        <f>1/COUNTIF(Таблица1[Order ID],Таблица1[[#This Row],[Order ID]])</f>
        <v>1</v>
      </c>
      <c r="Z6666" s="9">
        <f>1/COUNTIFS(Таблица1[Customer Name],Таблица1[[#This Row],[Customer Name]],Таблица1[Order-Year-Month],Таблица1[[#This Row],[Order-Year-Month]])</f>
        <v>1</v>
      </c>
    </row>
    <row r="6667" spans="1:26" x14ac:dyDescent="0.2">
      <c r="A6667" s="6">
        <v>916</v>
      </c>
      <c r="B6667" s="7">
        <v>6566</v>
      </c>
      <c r="C6667" s="8">
        <f>DATE(2012,12,31)-590</f>
        <v>40684</v>
      </c>
      <c r="D6667" s="8" t="str">
        <f t="shared" si="122"/>
        <v>2011-05 (май 2011)</v>
      </c>
      <c r="E6667" s="9" t="s">
        <v>78</v>
      </c>
      <c r="F6667" s="7">
        <v>21</v>
      </c>
      <c r="G6667" s="7">
        <v>748.83</v>
      </c>
      <c r="H6667" s="7">
        <v>0.01</v>
      </c>
      <c r="I6667" s="9" t="s">
        <v>22</v>
      </c>
      <c r="J6667" s="10">
        <v>250.01</v>
      </c>
      <c r="K6667" s="11">
        <v>33.979999999999997</v>
      </c>
      <c r="L6667" s="11">
        <v>1.99</v>
      </c>
      <c r="M6667" s="9" t="s">
        <v>1805</v>
      </c>
      <c r="N6667" s="6" t="s">
        <v>2012</v>
      </c>
      <c r="O6667" s="6" t="s">
        <v>2012</v>
      </c>
      <c r="P6667" s="9" t="s">
        <v>41</v>
      </c>
      <c r="Q6667" s="9" t="s">
        <v>42</v>
      </c>
      <c r="R6667" s="9" t="s">
        <v>70</v>
      </c>
      <c r="S6667" s="7" t="s">
        <v>1534</v>
      </c>
      <c r="T6667" s="9" t="s">
        <v>52</v>
      </c>
      <c r="U6667" s="7">
        <v>0.45</v>
      </c>
      <c r="V6667" s="12">
        <f>C6667+0</f>
        <v>40684</v>
      </c>
      <c r="W6667">
        <f>IF(D6667=' Pivot Tables'!$A$4,1,0)</f>
        <v>0</v>
      </c>
      <c r="X6667">
        <f>IF(AND(LEFT(D6667,4)+1=LEFT(' Pivot Tables'!$A$4,4)+0,RIGHT(LEFT(D6667,7),2)=RIGHT(LEFT(' Pivot Tables'!$A$4,7),2)),1,0)</f>
        <v>0</v>
      </c>
      <c r="Y6667" s="6">
        <f>1/COUNTIF(Таблица1[Order ID],Таблица1[[#This Row],[Order ID]])</f>
        <v>1</v>
      </c>
      <c r="Z6667" s="9">
        <f>1/COUNTIFS(Таблица1[Customer Name],Таблица1[[#This Row],[Customer Name]],Таблица1[Order-Year-Month],Таблица1[[#This Row],[Order-Year-Month]])</f>
        <v>1</v>
      </c>
    </row>
    <row r="6668" spans="1:26" x14ac:dyDescent="0.2">
      <c r="A6668" s="6">
        <v>925</v>
      </c>
      <c r="B6668" s="7">
        <v>6693</v>
      </c>
      <c r="C6668" s="8">
        <f>DATE(2012,12,31)-221</f>
        <v>41053</v>
      </c>
      <c r="D6668" s="8" t="str">
        <f t="shared" si="122"/>
        <v>2012-05 (май 2012)</v>
      </c>
      <c r="E6668" s="9" t="s">
        <v>78</v>
      </c>
      <c r="F6668" s="7">
        <v>16</v>
      </c>
      <c r="G6668" s="7">
        <v>40.85</v>
      </c>
      <c r="H6668" s="7">
        <v>0.09</v>
      </c>
      <c r="I6668" s="9" t="s">
        <v>22</v>
      </c>
      <c r="J6668" s="10">
        <v>6.46</v>
      </c>
      <c r="K6668" s="11">
        <v>2.62</v>
      </c>
      <c r="L6668" s="11">
        <v>0.8</v>
      </c>
      <c r="M6668" s="9" t="s">
        <v>1481</v>
      </c>
      <c r="N6668" s="6" t="s">
        <v>2012</v>
      </c>
      <c r="O6668" s="6" t="s">
        <v>2012</v>
      </c>
      <c r="P6668" s="9" t="s">
        <v>41</v>
      </c>
      <c r="Q6668" s="9" t="s">
        <v>26</v>
      </c>
      <c r="R6668" s="9" t="s">
        <v>66</v>
      </c>
      <c r="S6668" s="7" t="s">
        <v>861</v>
      </c>
      <c r="T6668" s="9" t="s">
        <v>68</v>
      </c>
      <c r="U6668" s="7">
        <v>0.39</v>
      </c>
      <c r="V6668" s="12">
        <f>C6668+2</f>
        <v>41055</v>
      </c>
      <c r="W6668">
        <f>IF(D6668=' Pivot Tables'!$A$4,1,0)</f>
        <v>0</v>
      </c>
      <c r="X6668">
        <f>IF(AND(LEFT(D6668,4)+1=LEFT(' Pivot Tables'!$A$4,4)+0,RIGHT(LEFT(D6668,7),2)=RIGHT(LEFT(' Pivot Tables'!$A$4,7),2)),1,0)</f>
        <v>0</v>
      </c>
      <c r="Y6668" s="6">
        <f>1/COUNTIF(Таблица1[Order ID],Таблица1[[#This Row],[Order ID]])</f>
        <v>1</v>
      </c>
      <c r="Z6668" s="9">
        <f>1/COUNTIFS(Таблица1[Customer Name],Таблица1[[#This Row],[Customer Name]],Таблица1[Order-Year-Month],Таблица1[[#This Row],[Order-Year-Month]])</f>
        <v>1</v>
      </c>
    </row>
    <row r="6669" spans="1:26" x14ac:dyDescent="0.2">
      <c r="A6669" s="6">
        <v>931</v>
      </c>
      <c r="B6669" s="7">
        <v>6753</v>
      </c>
      <c r="C6669" s="8">
        <f>DATE(2012,12,31)-827</f>
        <v>40447</v>
      </c>
      <c r="D6669" s="8" t="str">
        <f t="shared" si="122"/>
        <v>2010-09 (сентябрь 2010)</v>
      </c>
      <c r="E6669" s="9" t="s">
        <v>21</v>
      </c>
      <c r="F6669" s="7">
        <v>7</v>
      </c>
      <c r="G6669" s="7">
        <v>53.14</v>
      </c>
      <c r="H6669" s="7">
        <v>0.04</v>
      </c>
      <c r="I6669" s="9" t="s">
        <v>22</v>
      </c>
      <c r="J6669" s="10">
        <v>14.57</v>
      </c>
      <c r="K6669" s="11">
        <v>6.64</v>
      </c>
      <c r="L6669" s="11">
        <v>4.95</v>
      </c>
      <c r="M6669" s="9" t="s">
        <v>1555</v>
      </c>
      <c r="N6669" s="6" t="s">
        <v>2012</v>
      </c>
      <c r="O6669" s="6" t="s">
        <v>2012</v>
      </c>
      <c r="P6669" s="9" t="s">
        <v>25</v>
      </c>
      <c r="Q6669" s="9" t="s">
        <v>49</v>
      </c>
      <c r="R6669" s="9" t="s">
        <v>50</v>
      </c>
      <c r="S6669" s="7" t="s">
        <v>51</v>
      </c>
      <c r="T6669" s="9" t="s">
        <v>52</v>
      </c>
      <c r="U6669" s="7">
        <v>0.37</v>
      </c>
      <c r="V6669" s="12">
        <f>C6669+2</f>
        <v>40449</v>
      </c>
      <c r="W6669">
        <f>IF(D6669=' Pivot Tables'!$A$4,1,0)</f>
        <v>0</v>
      </c>
      <c r="X6669">
        <f>IF(AND(LEFT(D6669,4)+1=LEFT(' Pivot Tables'!$A$4,4)+0,RIGHT(LEFT(D6669,7),2)=RIGHT(LEFT(' Pivot Tables'!$A$4,7),2)),1,0)</f>
        <v>0</v>
      </c>
      <c r="Y6669" s="6">
        <f>1/COUNTIF(Таблица1[Order ID],Таблица1[[#This Row],[Order ID]])</f>
        <v>1</v>
      </c>
      <c r="Z6669" s="9">
        <f>1/COUNTIFS(Таблица1[Customer Name],Таблица1[[#This Row],[Customer Name]],Таблица1[Order-Year-Month],Таблица1[[#This Row],[Order-Year-Month]])</f>
        <v>1</v>
      </c>
    </row>
    <row r="6670" spans="1:26" x14ac:dyDescent="0.2">
      <c r="A6670" s="6">
        <v>937</v>
      </c>
      <c r="B6670" s="7">
        <v>6788</v>
      </c>
      <c r="C6670" s="8">
        <f>DATE(2012,12,31)-515</f>
        <v>40759</v>
      </c>
      <c r="D6670" s="8" t="str">
        <f t="shared" si="122"/>
        <v>2011-08 (август 2011)</v>
      </c>
      <c r="E6670" s="9" t="s">
        <v>45</v>
      </c>
      <c r="F6670" s="7">
        <v>41</v>
      </c>
      <c r="G6670" s="7">
        <v>127.84</v>
      </c>
      <c r="H6670" s="7">
        <v>0.02</v>
      </c>
      <c r="I6670" s="9" t="s">
        <v>56</v>
      </c>
      <c r="J6670" s="10">
        <v>12.69</v>
      </c>
      <c r="K6670" s="11">
        <v>2.94</v>
      </c>
      <c r="L6670" s="11">
        <v>0.96</v>
      </c>
      <c r="M6670" s="9" t="s">
        <v>1560</v>
      </c>
      <c r="N6670" s="6" t="s">
        <v>2012</v>
      </c>
      <c r="O6670" s="6" t="s">
        <v>2012</v>
      </c>
      <c r="P6670" s="9" t="s">
        <v>25</v>
      </c>
      <c r="Q6670" s="9" t="s">
        <v>26</v>
      </c>
      <c r="R6670" s="9" t="s">
        <v>95</v>
      </c>
      <c r="S6670" s="7" t="s">
        <v>486</v>
      </c>
      <c r="T6670" s="9" t="s">
        <v>68</v>
      </c>
      <c r="U6670" s="7">
        <v>0.57999999999999996</v>
      </c>
      <c r="V6670" s="12">
        <f>C6670+2</f>
        <v>40761</v>
      </c>
      <c r="W6670">
        <f>IF(D6670=' Pivot Tables'!$A$4,1,0)</f>
        <v>0</v>
      </c>
      <c r="X6670">
        <f>IF(AND(LEFT(D6670,4)+1=LEFT(' Pivot Tables'!$A$4,4)+0,RIGHT(LEFT(D6670,7),2)=RIGHT(LEFT(' Pivot Tables'!$A$4,7),2)),1,0)</f>
        <v>0</v>
      </c>
      <c r="Y6670" s="6">
        <f>1/COUNTIF(Таблица1[Order ID],Таблица1[[#This Row],[Order ID]])</f>
        <v>0.5</v>
      </c>
      <c r="Z6670" s="9">
        <f>1/COUNTIFS(Таблица1[Customer Name],Таблица1[[#This Row],[Customer Name]],Таблица1[Order-Year-Month],Таблица1[[#This Row],[Order-Year-Month]])</f>
        <v>0.25</v>
      </c>
    </row>
    <row r="6671" spans="1:26" x14ac:dyDescent="0.2">
      <c r="A6671" s="6">
        <v>938</v>
      </c>
      <c r="B6671" s="7">
        <v>6788</v>
      </c>
      <c r="C6671" s="8">
        <f>DATE(2012,12,31)-515</f>
        <v>40759</v>
      </c>
      <c r="D6671" s="8" t="str">
        <f t="shared" si="122"/>
        <v>2011-08 (август 2011)</v>
      </c>
      <c r="E6671" s="9" t="s">
        <v>45</v>
      </c>
      <c r="F6671" s="7">
        <v>6</v>
      </c>
      <c r="G6671" s="7">
        <v>11.15</v>
      </c>
      <c r="H6671" s="7">
        <v>7.0000000000000007E-2</v>
      </c>
      <c r="I6671" s="9" t="s">
        <v>22</v>
      </c>
      <c r="J6671" s="10">
        <v>-2.62</v>
      </c>
      <c r="K6671" s="11">
        <v>1.81</v>
      </c>
      <c r="L6671" s="11">
        <v>0.75</v>
      </c>
      <c r="M6671" s="9" t="s">
        <v>1560</v>
      </c>
      <c r="N6671" s="6" t="s">
        <v>2012</v>
      </c>
      <c r="O6671" s="6" t="s">
        <v>2012</v>
      </c>
      <c r="P6671" s="9" t="s">
        <v>25</v>
      </c>
      <c r="Q6671" s="9" t="s">
        <v>26</v>
      </c>
      <c r="R6671" s="9" t="s">
        <v>66</v>
      </c>
      <c r="S6671" s="7" t="s">
        <v>384</v>
      </c>
      <c r="T6671" s="9" t="s">
        <v>68</v>
      </c>
      <c r="U6671" s="7">
        <v>0.52</v>
      </c>
      <c r="V6671" s="12">
        <f>C6671+1</f>
        <v>40760</v>
      </c>
      <c r="W6671">
        <f>IF(D6671=' Pivot Tables'!$A$4,1,0)</f>
        <v>0</v>
      </c>
      <c r="X6671">
        <f>IF(AND(LEFT(D6671,4)+1=LEFT(' Pivot Tables'!$A$4,4)+0,RIGHT(LEFT(D6671,7),2)=RIGHT(LEFT(' Pivot Tables'!$A$4,7),2)),1,0)</f>
        <v>0</v>
      </c>
      <c r="Y6671" s="6">
        <f>1/COUNTIF(Таблица1[Order ID],Таблица1[[#This Row],[Order ID]])</f>
        <v>0.5</v>
      </c>
      <c r="Z6671" s="9">
        <f>1/COUNTIFS(Таблица1[Customer Name],Таблица1[[#This Row],[Customer Name]],Таблица1[Order-Year-Month],Таблица1[[#This Row],[Order-Year-Month]])</f>
        <v>0.25</v>
      </c>
    </row>
    <row r="6672" spans="1:26" x14ac:dyDescent="0.2">
      <c r="A6672" s="6">
        <v>949</v>
      </c>
      <c r="B6672" s="7">
        <v>6880</v>
      </c>
      <c r="C6672" s="8">
        <f>DATE(2012,12,31)-1316</f>
        <v>39958</v>
      </c>
      <c r="D6672" s="8" t="str">
        <f t="shared" si="122"/>
        <v>2009-05 (май 2009)</v>
      </c>
      <c r="E6672" s="9" t="s">
        <v>63</v>
      </c>
      <c r="F6672" s="7">
        <v>5</v>
      </c>
      <c r="G6672" s="7">
        <v>235.49</v>
      </c>
      <c r="H6672" s="7">
        <v>0.06</v>
      </c>
      <c r="I6672" s="9" t="s">
        <v>22</v>
      </c>
      <c r="J6672" s="10">
        <v>21.78</v>
      </c>
      <c r="K6672" s="11">
        <v>47.9</v>
      </c>
      <c r="L6672" s="11">
        <v>5.86</v>
      </c>
      <c r="M6672" s="9" t="s">
        <v>856</v>
      </c>
      <c r="N6672" s="6" t="s">
        <v>2012</v>
      </c>
      <c r="O6672" s="6" t="s">
        <v>2012</v>
      </c>
      <c r="P6672" s="9" t="s">
        <v>33</v>
      </c>
      <c r="Q6672" s="9" t="s">
        <v>26</v>
      </c>
      <c r="R6672" s="9" t="s">
        <v>61</v>
      </c>
      <c r="S6672" s="7" t="s">
        <v>841</v>
      </c>
      <c r="T6672" s="9" t="s">
        <v>39</v>
      </c>
      <c r="U6672" s="7">
        <v>0.37</v>
      </c>
      <c r="V6672" s="12">
        <f>C6672+2</f>
        <v>39960</v>
      </c>
      <c r="W6672">
        <f>IF(D6672=' Pivot Tables'!$A$4,1,0)</f>
        <v>0</v>
      </c>
      <c r="X6672">
        <f>IF(AND(LEFT(D6672,4)+1=LEFT(' Pivot Tables'!$A$4,4)+0,RIGHT(LEFT(D6672,7),2)=RIGHT(LEFT(' Pivot Tables'!$A$4,7),2)),1,0)</f>
        <v>0</v>
      </c>
      <c r="Y6672" s="6">
        <f>1/COUNTIF(Таблица1[Order ID],Таблица1[[#This Row],[Order ID]])</f>
        <v>1</v>
      </c>
      <c r="Z6672" s="9">
        <f>1/COUNTIFS(Таблица1[Customer Name],Таблица1[[#This Row],[Customer Name]],Таблица1[Order-Year-Month],Таблица1[[#This Row],[Order-Year-Month]])</f>
        <v>1</v>
      </c>
    </row>
    <row r="6673" spans="1:26" x14ac:dyDescent="0.2">
      <c r="A6673" s="6">
        <v>954</v>
      </c>
      <c r="B6673" s="7">
        <v>6886</v>
      </c>
      <c r="C6673" s="8">
        <f>DATE(2012,12,31)-347</f>
        <v>40927</v>
      </c>
      <c r="D6673" s="8" t="str">
        <f t="shared" si="122"/>
        <v>2012-01 (январь 2012)</v>
      </c>
      <c r="E6673" s="9" t="s">
        <v>30</v>
      </c>
      <c r="F6673" s="7">
        <v>46</v>
      </c>
      <c r="G6673" s="7">
        <v>8177.07</v>
      </c>
      <c r="H6673" s="7">
        <v>0.08</v>
      </c>
      <c r="I6673" s="9" t="s">
        <v>22</v>
      </c>
      <c r="J6673" s="10">
        <v>2385.3000000000002</v>
      </c>
      <c r="K6673" s="11">
        <v>178.47</v>
      </c>
      <c r="L6673" s="11">
        <v>19.989999999999998</v>
      </c>
      <c r="M6673" s="9" t="s">
        <v>1498</v>
      </c>
      <c r="N6673" s="6" t="s">
        <v>2012</v>
      </c>
      <c r="O6673" s="6" t="s">
        <v>2012</v>
      </c>
      <c r="P6673" s="9" t="s">
        <v>33</v>
      </c>
      <c r="Q6673" s="9" t="s">
        <v>26</v>
      </c>
      <c r="R6673" s="9" t="s">
        <v>27</v>
      </c>
      <c r="S6673" s="7" t="s">
        <v>1195</v>
      </c>
      <c r="T6673" s="9" t="s">
        <v>39</v>
      </c>
      <c r="U6673" s="7">
        <v>0.55000000000000004</v>
      </c>
      <c r="V6673" s="12">
        <f>C6673+1</f>
        <v>40928</v>
      </c>
      <c r="W6673">
        <f>IF(D6673=' Pivot Tables'!$A$4,1,0)</f>
        <v>0</v>
      </c>
      <c r="X6673">
        <f>IF(AND(LEFT(D6673,4)+1=LEFT(' Pivot Tables'!$A$4,4)+0,RIGHT(LEFT(D6673,7),2)=RIGHT(LEFT(' Pivot Tables'!$A$4,7),2)),1,0)</f>
        <v>0</v>
      </c>
      <c r="Y6673" s="6">
        <f>1/COUNTIF(Таблица1[Order ID],Таблица1[[#This Row],[Order ID]])</f>
        <v>1</v>
      </c>
      <c r="Z6673" s="9">
        <f>1/COUNTIFS(Таблица1[Customer Name],Таблица1[[#This Row],[Customer Name]],Таблица1[Order-Year-Month],Таблица1[[#This Row],[Order-Year-Month]])</f>
        <v>1</v>
      </c>
    </row>
    <row r="6674" spans="1:26" x14ac:dyDescent="0.2">
      <c r="A6674" s="6">
        <v>969</v>
      </c>
      <c r="B6674" s="7">
        <v>7042</v>
      </c>
      <c r="C6674" s="8">
        <f>DATE(2012,12,31)-358</f>
        <v>40916</v>
      </c>
      <c r="D6674" s="8" t="str">
        <f t="shared" si="122"/>
        <v>2012-01 (январь 2012)</v>
      </c>
      <c r="E6674" s="9" t="s">
        <v>63</v>
      </c>
      <c r="F6674" s="7">
        <v>4</v>
      </c>
      <c r="G6674" s="7">
        <v>1187.864</v>
      </c>
      <c r="H6674" s="7">
        <v>7.0000000000000007E-2</v>
      </c>
      <c r="I6674" s="9" t="s">
        <v>31</v>
      </c>
      <c r="J6674" s="10">
        <v>-347.16</v>
      </c>
      <c r="K6674" s="11">
        <v>376.13</v>
      </c>
      <c r="L6674" s="11">
        <v>85.63</v>
      </c>
      <c r="M6674" s="9" t="s">
        <v>2036</v>
      </c>
      <c r="N6674" s="6" t="s">
        <v>2012</v>
      </c>
      <c r="O6674" s="6" t="s">
        <v>2012</v>
      </c>
      <c r="P6674" s="9" t="s">
        <v>60</v>
      </c>
      <c r="Q6674" s="9" t="s">
        <v>49</v>
      </c>
      <c r="R6674" s="9" t="s">
        <v>83</v>
      </c>
      <c r="S6674" s="7" t="s">
        <v>725</v>
      </c>
      <c r="T6674" s="9" t="s">
        <v>82</v>
      </c>
      <c r="U6674" s="7">
        <v>0.74</v>
      </c>
      <c r="V6674" s="12">
        <f>C6674+2</f>
        <v>40918</v>
      </c>
      <c r="W6674">
        <f>IF(D6674=' Pivot Tables'!$A$4,1,0)</f>
        <v>0</v>
      </c>
      <c r="X6674">
        <f>IF(AND(LEFT(D6674,4)+1=LEFT(' Pivot Tables'!$A$4,4)+0,RIGHT(LEFT(D6674,7),2)=RIGHT(LEFT(' Pivot Tables'!$A$4,7),2)),1,0)</f>
        <v>0</v>
      </c>
      <c r="Y6674" s="6">
        <f>1/COUNTIF(Таблица1[Order ID],Таблица1[[#This Row],[Order ID]])</f>
        <v>1</v>
      </c>
      <c r="Z6674" s="9">
        <f>1/COUNTIFS(Таблица1[Customer Name],Таблица1[[#This Row],[Customer Name]],Таблица1[Order-Year-Month],Таблица1[[#This Row],[Order-Year-Month]])</f>
        <v>1</v>
      </c>
    </row>
    <row r="6675" spans="1:26" x14ac:dyDescent="0.2">
      <c r="A6675" s="6">
        <v>970</v>
      </c>
      <c r="B6675" s="7">
        <v>7043</v>
      </c>
      <c r="C6675" s="8">
        <f>DATE(2012,12,31)-1436</f>
        <v>39838</v>
      </c>
      <c r="D6675" s="8" t="str">
        <f t="shared" si="122"/>
        <v>2009-01 (январь 2009)</v>
      </c>
      <c r="E6675" s="9" t="s">
        <v>78</v>
      </c>
      <c r="F6675" s="7">
        <v>4</v>
      </c>
      <c r="G6675" s="7">
        <v>11.08</v>
      </c>
      <c r="H6675" s="7">
        <v>0.06</v>
      </c>
      <c r="I6675" s="9" t="s">
        <v>22</v>
      </c>
      <c r="J6675" s="10">
        <v>-8.93</v>
      </c>
      <c r="K6675" s="11">
        <v>1.74</v>
      </c>
      <c r="L6675" s="11">
        <v>4.08</v>
      </c>
      <c r="M6675" s="9" t="s">
        <v>1482</v>
      </c>
      <c r="N6675" s="6" t="s">
        <v>2012</v>
      </c>
      <c r="O6675" s="6" t="s">
        <v>2012</v>
      </c>
      <c r="P6675" s="9" t="s">
        <v>41</v>
      </c>
      <c r="Q6675" s="9" t="s">
        <v>49</v>
      </c>
      <c r="R6675" s="9" t="s">
        <v>50</v>
      </c>
      <c r="S6675" s="7" t="s">
        <v>456</v>
      </c>
      <c r="T6675" s="9" t="s">
        <v>52</v>
      </c>
      <c r="U6675" s="7">
        <v>0.53</v>
      </c>
      <c r="V6675" s="12">
        <f>C6675+1</f>
        <v>39839</v>
      </c>
      <c r="W6675">
        <f>IF(D6675=' Pivot Tables'!$A$4,1,0)</f>
        <v>0</v>
      </c>
      <c r="X6675">
        <f>IF(AND(LEFT(D6675,4)+1=LEFT(' Pivot Tables'!$A$4,4)+0,RIGHT(LEFT(D6675,7),2)=RIGHT(LEFT(' Pivot Tables'!$A$4,7),2)),1,0)</f>
        <v>1</v>
      </c>
      <c r="Y6675" s="6">
        <f>1/COUNTIF(Таблица1[Order ID],Таблица1[[#This Row],[Order ID]])</f>
        <v>1</v>
      </c>
      <c r="Z6675" s="9">
        <f>1/COUNTIFS(Таблица1[Customer Name],Таблица1[[#This Row],[Customer Name]],Таблица1[Order-Year-Month],Таблица1[[#This Row],[Order-Year-Month]])</f>
        <v>0.5</v>
      </c>
    </row>
    <row r="6676" spans="1:26" x14ac:dyDescent="0.2">
      <c r="A6676" s="6">
        <v>996</v>
      </c>
      <c r="B6676" s="7">
        <v>7174</v>
      </c>
      <c r="C6676" s="8">
        <f>DATE(2012,12,31)-296</f>
        <v>40978</v>
      </c>
      <c r="D6676" s="8" t="str">
        <f t="shared" si="122"/>
        <v>2012-03 (март 2012)</v>
      </c>
      <c r="E6676" s="9" t="s">
        <v>45</v>
      </c>
      <c r="F6676" s="7">
        <v>10</v>
      </c>
      <c r="G6676" s="7">
        <v>141.91999999999999</v>
      </c>
      <c r="H6676" s="7">
        <v>0.06</v>
      </c>
      <c r="I6676" s="9" t="s">
        <v>22</v>
      </c>
      <c r="J6676" s="10">
        <v>12.2</v>
      </c>
      <c r="K6676" s="11">
        <v>13.73</v>
      </c>
      <c r="L6676" s="11">
        <v>8.99</v>
      </c>
      <c r="M6676" s="9" t="s">
        <v>2033</v>
      </c>
      <c r="N6676" s="6" t="s">
        <v>2012</v>
      </c>
      <c r="O6676" s="6" t="s">
        <v>2012</v>
      </c>
      <c r="P6676" s="9" t="s">
        <v>33</v>
      </c>
      <c r="Q6676" s="9" t="s">
        <v>49</v>
      </c>
      <c r="R6676" s="9" t="s">
        <v>50</v>
      </c>
      <c r="S6676" s="7" t="s">
        <v>2037</v>
      </c>
      <c r="T6676" s="9" t="s">
        <v>52</v>
      </c>
      <c r="U6676" s="7">
        <v>0.49</v>
      </c>
      <c r="V6676" s="12">
        <f>C6676+2</f>
        <v>40980</v>
      </c>
      <c r="W6676">
        <f>IF(D6676=' Pivot Tables'!$A$4,1,0)</f>
        <v>0</v>
      </c>
      <c r="X6676">
        <f>IF(AND(LEFT(D6676,4)+1=LEFT(' Pivot Tables'!$A$4,4)+0,RIGHT(LEFT(D6676,7),2)=RIGHT(LEFT(' Pivot Tables'!$A$4,7),2)),1,0)</f>
        <v>0</v>
      </c>
      <c r="Y6676" s="6">
        <f>1/COUNTIF(Таблица1[Order ID],Таблица1[[#This Row],[Order ID]])</f>
        <v>1</v>
      </c>
      <c r="Z6676" s="9">
        <f>1/COUNTIFS(Таблица1[Customer Name],Таблица1[[#This Row],[Customer Name]],Таблица1[Order-Year-Month],Таблица1[[#This Row],[Order-Year-Month]])</f>
        <v>0.33333333333333331</v>
      </c>
    </row>
    <row r="6677" spans="1:26" x14ac:dyDescent="0.2">
      <c r="A6677" s="6">
        <v>1023</v>
      </c>
      <c r="B6677" s="7">
        <v>7458</v>
      </c>
      <c r="C6677" s="8">
        <f>DATE(2012,12,31)-271</f>
        <v>41003</v>
      </c>
      <c r="D6677" s="8" t="str">
        <f t="shared" si="122"/>
        <v>2012-04 (апрель 2012)</v>
      </c>
      <c r="E6677" s="9" t="s">
        <v>78</v>
      </c>
      <c r="F6677" s="7">
        <v>9</v>
      </c>
      <c r="G6677" s="7">
        <v>337.34</v>
      </c>
      <c r="H6677" s="7">
        <v>0.06</v>
      </c>
      <c r="I6677" s="9" t="s">
        <v>22</v>
      </c>
      <c r="J6677" s="10">
        <v>-69.84</v>
      </c>
      <c r="K6677" s="11">
        <v>39.479999999999997</v>
      </c>
      <c r="L6677" s="11">
        <v>1.99</v>
      </c>
      <c r="M6677" s="9" t="s">
        <v>1517</v>
      </c>
      <c r="N6677" s="6" t="s">
        <v>2012</v>
      </c>
      <c r="O6677" s="6" t="s">
        <v>2012</v>
      </c>
      <c r="P6677" s="9" t="s">
        <v>41</v>
      </c>
      <c r="Q6677" s="9" t="s">
        <v>42</v>
      </c>
      <c r="R6677" s="9" t="s">
        <v>70</v>
      </c>
      <c r="S6677" s="7" t="s">
        <v>161</v>
      </c>
      <c r="T6677" s="9" t="s">
        <v>52</v>
      </c>
      <c r="U6677" s="7">
        <v>0.54</v>
      </c>
      <c r="V6677" s="12">
        <f>C6677+2</f>
        <v>41005</v>
      </c>
      <c r="W6677">
        <f>IF(D6677=' Pivot Tables'!$A$4,1,0)</f>
        <v>0</v>
      </c>
      <c r="X6677">
        <f>IF(AND(LEFT(D6677,4)+1=LEFT(' Pivot Tables'!$A$4,4)+0,RIGHT(LEFT(D6677,7),2)=RIGHT(LEFT(' Pivot Tables'!$A$4,7),2)),1,0)</f>
        <v>0</v>
      </c>
      <c r="Y6677" s="6">
        <f>1/COUNTIF(Таблица1[Order ID],Таблица1[[#This Row],[Order ID]])</f>
        <v>0.33333333333333331</v>
      </c>
      <c r="Z6677" s="9">
        <f>1/COUNTIFS(Таблица1[Customer Name],Таблица1[[#This Row],[Customer Name]],Таблица1[Order-Year-Month],Таблица1[[#This Row],[Order-Year-Month]])</f>
        <v>0.33333333333333331</v>
      </c>
    </row>
    <row r="6678" spans="1:26" x14ac:dyDescent="0.2">
      <c r="A6678" s="6">
        <v>1056</v>
      </c>
      <c r="B6678" s="7">
        <v>7812</v>
      </c>
      <c r="C6678" s="8">
        <f>DATE(2012,12,31)-621</f>
        <v>40653</v>
      </c>
      <c r="D6678" s="8" t="str">
        <f t="shared" si="122"/>
        <v>2011-04 (апрель 2011)</v>
      </c>
      <c r="E6678" s="9" t="s">
        <v>21</v>
      </c>
      <c r="F6678" s="7">
        <v>17</v>
      </c>
      <c r="G6678" s="7">
        <v>475.9</v>
      </c>
      <c r="H6678" s="7">
        <v>0.04</v>
      </c>
      <c r="I6678" s="9" t="s">
        <v>22</v>
      </c>
      <c r="J6678" s="10">
        <v>-5.1799999999999926</v>
      </c>
      <c r="K6678" s="11">
        <v>27.42</v>
      </c>
      <c r="L6678" s="11">
        <v>19.46</v>
      </c>
      <c r="M6678" s="9" t="s">
        <v>1459</v>
      </c>
      <c r="N6678" s="6" t="s">
        <v>2012</v>
      </c>
      <c r="O6678" s="6" t="s">
        <v>2012</v>
      </c>
      <c r="P6678" s="9" t="s">
        <v>41</v>
      </c>
      <c r="Q6678" s="9" t="s">
        <v>49</v>
      </c>
      <c r="R6678" s="9" t="s">
        <v>50</v>
      </c>
      <c r="S6678" s="7" t="s">
        <v>1024</v>
      </c>
      <c r="T6678" s="9" t="s">
        <v>39</v>
      </c>
      <c r="U6678" s="7">
        <v>0.44</v>
      </c>
      <c r="V6678" s="12">
        <f>C6678+7</f>
        <v>40660</v>
      </c>
      <c r="W6678">
        <f>IF(D6678=' Pivot Tables'!$A$4,1,0)</f>
        <v>0</v>
      </c>
      <c r="X6678">
        <f>IF(AND(LEFT(D6678,4)+1=LEFT(' Pivot Tables'!$A$4,4)+0,RIGHT(LEFT(D6678,7),2)=RIGHT(LEFT(' Pivot Tables'!$A$4,7),2)),1,0)</f>
        <v>0</v>
      </c>
      <c r="Y6678" s="6">
        <f>1/COUNTIF(Таблица1[Order ID],Таблица1[[#This Row],[Order ID]])</f>
        <v>0.5</v>
      </c>
      <c r="Z6678" s="9">
        <f>1/COUNTIFS(Таблица1[Customer Name],Таблица1[[#This Row],[Customer Name]],Таблица1[Order-Year-Month],Таблица1[[#This Row],[Order-Year-Month]])</f>
        <v>0.5</v>
      </c>
    </row>
    <row r="6679" spans="1:26" x14ac:dyDescent="0.2">
      <c r="A6679" s="6">
        <v>1057</v>
      </c>
      <c r="B6679" s="7">
        <v>7812</v>
      </c>
      <c r="C6679" s="8">
        <f>DATE(2012,12,31)-621</f>
        <v>40653</v>
      </c>
      <c r="D6679" s="8" t="str">
        <f t="shared" si="122"/>
        <v>2011-04 (апрель 2011)</v>
      </c>
      <c r="E6679" s="9" t="s">
        <v>21</v>
      </c>
      <c r="F6679" s="7">
        <v>12</v>
      </c>
      <c r="G6679" s="7">
        <v>3635.63</v>
      </c>
      <c r="H6679" s="7">
        <v>0.09</v>
      </c>
      <c r="I6679" s="9" t="s">
        <v>31</v>
      </c>
      <c r="J6679" s="10">
        <v>104.48</v>
      </c>
      <c r="K6679" s="11">
        <v>320.64</v>
      </c>
      <c r="L6679" s="11">
        <v>29.2</v>
      </c>
      <c r="M6679" s="9" t="s">
        <v>1459</v>
      </c>
      <c r="N6679" s="6" t="s">
        <v>2012</v>
      </c>
      <c r="O6679" s="6" t="s">
        <v>2012</v>
      </c>
      <c r="P6679" s="9" t="s">
        <v>41</v>
      </c>
      <c r="Q6679" s="9" t="s">
        <v>49</v>
      </c>
      <c r="R6679" s="9" t="s">
        <v>83</v>
      </c>
      <c r="S6679" s="7" t="s">
        <v>1619</v>
      </c>
      <c r="T6679" s="9" t="s">
        <v>82</v>
      </c>
      <c r="U6679" s="7">
        <v>0.66</v>
      </c>
      <c r="V6679" s="12">
        <f>C6679+2</f>
        <v>40655</v>
      </c>
      <c r="W6679">
        <f>IF(D6679=' Pivot Tables'!$A$4,1,0)</f>
        <v>0</v>
      </c>
      <c r="X6679">
        <f>IF(AND(LEFT(D6679,4)+1=LEFT(' Pivot Tables'!$A$4,4)+0,RIGHT(LEFT(D6679,7),2)=RIGHT(LEFT(' Pivot Tables'!$A$4,7),2)),1,0)</f>
        <v>0</v>
      </c>
      <c r="Y6679" s="6">
        <f>1/COUNTIF(Таблица1[Order ID],Таблица1[[#This Row],[Order ID]])</f>
        <v>0.5</v>
      </c>
      <c r="Z6679" s="9">
        <f>1/COUNTIFS(Таблица1[Customer Name],Таблица1[[#This Row],[Customer Name]],Таблица1[Order-Year-Month],Таблица1[[#This Row],[Order-Year-Month]])</f>
        <v>0.5</v>
      </c>
    </row>
    <row r="6680" spans="1:26" x14ac:dyDescent="0.2">
      <c r="A6680" s="6">
        <v>1059</v>
      </c>
      <c r="B6680" s="7">
        <v>7840</v>
      </c>
      <c r="C6680" s="8">
        <f>DATE(2012,12,31)-723</f>
        <v>40551</v>
      </c>
      <c r="D6680" s="8" t="str">
        <f t="shared" si="122"/>
        <v>2011-01 (январь 2011)</v>
      </c>
      <c r="E6680" s="9" t="s">
        <v>21</v>
      </c>
      <c r="F6680" s="7">
        <v>34</v>
      </c>
      <c r="G6680" s="7">
        <v>157.56</v>
      </c>
      <c r="H6680" s="7">
        <v>0.1</v>
      </c>
      <c r="I6680" s="9" t="s">
        <v>22</v>
      </c>
      <c r="J6680" s="10">
        <v>-139.35</v>
      </c>
      <c r="K6680" s="11">
        <v>4.8899999999999997</v>
      </c>
      <c r="L6680" s="11">
        <v>4.93</v>
      </c>
      <c r="M6680" s="9" t="s">
        <v>856</v>
      </c>
      <c r="N6680" s="6" t="s">
        <v>2012</v>
      </c>
      <c r="O6680" s="6" t="s">
        <v>2012</v>
      </c>
      <c r="P6680" s="9" t="s">
        <v>33</v>
      </c>
      <c r="Q6680" s="9" t="s">
        <v>42</v>
      </c>
      <c r="R6680" s="9" t="s">
        <v>70</v>
      </c>
      <c r="S6680" s="7" t="s">
        <v>93</v>
      </c>
      <c r="T6680" s="9" t="s">
        <v>52</v>
      </c>
      <c r="U6680" s="7">
        <v>0.66</v>
      </c>
      <c r="V6680" s="12">
        <f>C6680+4</f>
        <v>40555</v>
      </c>
      <c r="W6680">
        <f>IF(D6680=' Pivot Tables'!$A$4,1,0)</f>
        <v>0</v>
      </c>
      <c r="X6680">
        <f>IF(AND(LEFT(D6680,4)+1=LEFT(' Pivot Tables'!$A$4,4)+0,RIGHT(LEFT(D6680,7),2)=RIGHT(LEFT(' Pivot Tables'!$A$4,7),2)),1,0)</f>
        <v>0</v>
      </c>
      <c r="Y6680" s="6">
        <f>1/COUNTIF(Таблица1[Order ID],Таблица1[[#This Row],[Order ID]])</f>
        <v>1</v>
      </c>
      <c r="Z6680" s="9">
        <f>1/COUNTIFS(Таблица1[Customer Name],Таблица1[[#This Row],[Customer Name]],Таблица1[Order-Year-Month],Таблица1[[#This Row],[Order-Year-Month]])</f>
        <v>1</v>
      </c>
    </row>
    <row r="6681" spans="1:26" x14ac:dyDescent="0.2">
      <c r="A6681" s="6">
        <v>1081</v>
      </c>
      <c r="B6681" s="7">
        <v>7938</v>
      </c>
      <c r="C6681" s="8">
        <f>DATE(2012,12,31)-1024</f>
        <v>40250</v>
      </c>
      <c r="D6681" s="8" t="str">
        <f t="shared" si="122"/>
        <v>2010-03 (март 2010)</v>
      </c>
      <c r="E6681" s="9" t="s">
        <v>63</v>
      </c>
      <c r="F6681" s="7">
        <v>16</v>
      </c>
      <c r="G6681" s="7">
        <v>2026.05</v>
      </c>
      <c r="H6681" s="7">
        <v>0.1</v>
      </c>
      <c r="I6681" s="9" t="s">
        <v>31</v>
      </c>
      <c r="J6681" s="10">
        <v>-357.65</v>
      </c>
      <c r="K6681" s="11">
        <v>135.99</v>
      </c>
      <c r="L6681" s="11">
        <v>28.63</v>
      </c>
      <c r="M6681" s="9" t="s">
        <v>1457</v>
      </c>
      <c r="N6681" s="6" t="s">
        <v>2012</v>
      </c>
      <c r="O6681" s="6" t="s">
        <v>2012</v>
      </c>
      <c r="P6681" s="9" t="s">
        <v>41</v>
      </c>
      <c r="Q6681" s="9" t="s">
        <v>49</v>
      </c>
      <c r="R6681" s="9" t="s">
        <v>112</v>
      </c>
      <c r="S6681" s="7" t="s">
        <v>458</v>
      </c>
      <c r="T6681" s="9" t="s">
        <v>36</v>
      </c>
      <c r="U6681" s="7">
        <v>0.76</v>
      </c>
      <c r="V6681" s="12">
        <f t="shared" ref="V6681:V6688" si="123">C6681+2</f>
        <v>40252</v>
      </c>
      <c r="W6681">
        <f>IF(D6681=' Pivot Tables'!$A$4,1,0)</f>
        <v>0</v>
      </c>
      <c r="X6681">
        <f>IF(AND(LEFT(D6681,4)+1=LEFT(' Pivot Tables'!$A$4,4)+0,RIGHT(LEFT(D6681,7),2)=RIGHT(LEFT(' Pivot Tables'!$A$4,7),2)),1,0)</f>
        <v>0</v>
      </c>
      <c r="Y6681" s="6">
        <f>1/COUNTIF(Таблица1[Order ID],Таблица1[[#This Row],[Order ID]])</f>
        <v>0.33333333333333331</v>
      </c>
      <c r="Z6681" s="9">
        <f>1/COUNTIFS(Таблица1[Customer Name],Таблица1[[#This Row],[Customer Name]],Таблица1[Order-Year-Month],Таблица1[[#This Row],[Order-Year-Month]])</f>
        <v>0.25</v>
      </c>
    </row>
    <row r="6682" spans="1:26" x14ac:dyDescent="0.2">
      <c r="A6682" s="6">
        <v>1086</v>
      </c>
      <c r="B6682" s="7">
        <v>8001</v>
      </c>
      <c r="C6682" s="8">
        <f>DATE(2012,12,31)-773</f>
        <v>40501</v>
      </c>
      <c r="D6682" s="8" t="str">
        <f t="shared" si="122"/>
        <v>2010-11 (ноябрь 2010)</v>
      </c>
      <c r="E6682" s="9" t="s">
        <v>30</v>
      </c>
      <c r="F6682" s="7">
        <v>15</v>
      </c>
      <c r="G6682" s="7">
        <v>37.700000000000003</v>
      </c>
      <c r="H6682" s="7">
        <v>0.1</v>
      </c>
      <c r="I6682" s="9" t="s">
        <v>22</v>
      </c>
      <c r="J6682" s="10">
        <v>-81.08</v>
      </c>
      <c r="K6682" s="11">
        <v>2.1800000000000002</v>
      </c>
      <c r="L6682" s="11">
        <v>7.09</v>
      </c>
      <c r="M6682" s="9" t="s">
        <v>2031</v>
      </c>
      <c r="N6682" s="6" t="s">
        <v>2012</v>
      </c>
      <c r="O6682" s="6" t="s">
        <v>2012</v>
      </c>
      <c r="P6682" s="9" t="s">
        <v>33</v>
      </c>
      <c r="Q6682" s="9" t="s">
        <v>26</v>
      </c>
      <c r="R6682" s="9" t="s">
        <v>61</v>
      </c>
      <c r="S6682" s="7" t="s">
        <v>1271</v>
      </c>
      <c r="T6682" s="9" t="s">
        <v>68</v>
      </c>
      <c r="U6682" s="7">
        <v>0.38</v>
      </c>
      <c r="V6682" s="12">
        <f t="shared" si="123"/>
        <v>40503</v>
      </c>
      <c r="W6682">
        <f>IF(D6682=' Pivot Tables'!$A$4,1,0)</f>
        <v>0</v>
      </c>
      <c r="X6682">
        <f>IF(AND(LEFT(D6682,4)+1=LEFT(' Pivot Tables'!$A$4,4)+0,RIGHT(LEFT(D6682,7),2)=RIGHT(LEFT(' Pivot Tables'!$A$4,7),2)),1,0)</f>
        <v>0</v>
      </c>
      <c r="Y6682" s="6">
        <f>1/COUNTIF(Таблица1[Order ID],Таблица1[[#This Row],[Order ID]])</f>
        <v>0.5</v>
      </c>
      <c r="Z6682" s="9">
        <f>1/COUNTIFS(Таблица1[Customer Name],Таблица1[[#This Row],[Customer Name]],Таблица1[Order-Year-Month],Таблица1[[#This Row],[Order-Year-Month]])</f>
        <v>0.5</v>
      </c>
    </row>
    <row r="6683" spans="1:26" x14ac:dyDescent="0.2">
      <c r="A6683" s="6">
        <v>1087</v>
      </c>
      <c r="B6683" s="7">
        <v>8001</v>
      </c>
      <c r="C6683" s="8">
        <f>DATE(2012,12,31)-773</f>
        <v>40501</v>
      </c>
      <c r="D6683" s="8" t="str">
        <f t="shared" si="122"/>
        <v>2010-11 (ноябрь 2010)</v>
      </c>
      <c r="E6683" s="9" t="s">
        <v>30</v>
      </c>
      <c r="F6683" s="7">
        <v>47</v>
      </c>
      <c r="G6683" s="7">
        <v>1059.72</v>
      </c>
      <c r="H6683" s="7">
        <v>0.01</v>
      </c>
      <c r="I6683" s="9" t="s">
        <v>22</v>
      </c>
      <c r="J6683" s="10">
        <v>112.22</v>
      </c>
      <c r="K6683" s="11">
        <v>20.98</v>
      </c>
      <c r="L6683" s="11">
        <v>5.42</v>
      </c>
      <c r="M6683" s="9" t="s">
        <v>2031</v>
      </c>
      <c r="N6683" s="6" t="s">
        <v>2012</v>
      </c>
      <c r="O6683" s="6" t="s">
        <v>2012</v>
      </c>
      <c r="P6683" s="9" t="s">
        <v>33</v>
      </c>
      <c r="Q6683" s="9" t="s">
        <v>26</v>
      </c>
      <c r="R6683" s="9" t="s">
        <v>27</v>
      </c>
      <c r="S6683" s="7" t="s">
        <v>718</v>
      </c>
      <c r="T6683" s="9" t="s">
        <v>39</v>
      </c>
      <c r="U6683" s="7">
        <v>0.66</v>
      </c>
      <c r="V6683" s="12">
        <f t="shared" si="123"/>
        <v>40503</v>
      </c>
      <c r="W6683">
        <f>IF(D6683=' Pivot Tables'!$A$4,1,0)</f>
        <v>0</v>
      </c>
      <c r="X6683">
        <f>IF(AND(LEFT(D6683,4)+1=LEFT(' Pivot Tables'!$A$4,4)+0,RIGHT(LEFT(D6683,7),2)=RIGHT(LEFT(' Pivot Tables'!$A$4,7),2)),1,0)</f>
        <v>0</v>
      </c>
      <c r="Y6683" s="6">
        <f>1/COUNTIF(Таблица1[Order ID],Таблица1[[#This Row],[Order ID]])</f>
        <v>0.5</v>
      </c>
      <c r="Z6683" s="9">
        <f>1/COUNTIFS(Таблица1[Customer Name],Таблица1[[#This Row],[Customer Name]],Таблица1[Order-Year-Month],Таблица1[[#This Row],[Order-Year-Month]])</f>
        <v>0.5</v>
      </c>
    </row>
    <row r="6684" spans="1:26" x14ac:dyDescent="0.2">
      <c r="A6684" s="6">
        <v>1102</v>
      </c>
      <c r="B6684" s="7">
        <v>8101</v>
      </c>
      <c r="C6684" s="8">
        <f>DATE(2012,12,31)-1033</f>
        <v>40241</v>
      </c>
      <c r="D6684" s="8" t="str">
        <f t="shared" si="122"/>
        <v>2010-03 (март 2010)</v>
      </c>
      <c r="E6684" s="9" t="s">
        <v>63</v>
      </c>
      <c r="F6684" s="7">
        <v>35</v>
      </c>
      <c r="G6684" s="7">
        <v>3491.71</v>
      </c>
      <c r="H6684" s="7">
        <v>0.04</v>
      </c>
      <c r="I6684" s="9" t="s">
        <v>31</v>
      </c>
      <c r="J6684" s="10">
        <v>-1216.6400000000001</v>
      </c>
      <c r="K6684" s="11">
        <v>95.95</v>
      </c>
      <c r="L6684" s="11">
        <v>74.349999999999994</v>
      </c>
      <c r="M6684" s="9" t="s">
        <v>1498</v>
      </c>
      <c r="N6684" s="6" t="s">
        <v>2012</v>
      </c>
      <c r="O6684" s="6" t="s">
        <v>2012</v>
      </c>
      <c r="P6684" s="9" t="s">
        <v>33</v>
      </c>
      <c r="Q6684" s="9" t="s">
        <v>49</v>
      </c>
      <c r="R6684" s="9" t="s">
        <v>112</v>
      </c>
      <c r="S6684" s="7" t="s">
        <v>113</v>
      </c>
      <c r="T6684" s="9" t="s">
        <v>36</v>
      </c>
      <c r="U6684" s="7">
        <v>0.56999999999999995</v>
      </c>
      <c r="V6684" s="12">
        <f t="shared" si="123"/>
        <v>40243</v>
      </c>
      <c r="W6684">
        <f>IF(D6684=' Pivot Tables'!$A$4,1,0)</f>
        <v>0</v>
      </c>
      <c r="X6684">
        <f>IF(AND(LEFT(D6684,4)+1=LEFT(' Pivot Tables'!$A$4,4)+0,RIGHT(LEFT(D6684,7),2)=RIGHT(LEFT(' Pivot Tables'!$A$4,7),2)),1,0)</f>
        <v>0</v>
      </c>
      <c r="Y6684" s="6">
        <f>1/COUNTIF(Таблица1[Order ID],Таблица1[[#This Row],[Order ID]])</f>
        <v>0.5</v>
      </c>
      <c r="Z6684" s="9">
        <f>1/COUNTIFS(Таблица1[Customer Name],Таблица1[[#This Row],[Customer Name]],Таблица1[Order-Year-Month],Таблица1[[#This Row],[Order-Year-Month]])</f>
        <v>0.33333333333333331</v>
      </c>
    </row>
    <row r="6685" spans="1:26" x14ac:dyDescent="0.2">
      <c r="A6685" s="6">
        <v>1103</v>
      </c>
      <c r="B6685" s="7">
        <v>8101</v>
      </c>
      <c r="C6685" s="8">
        <f>DATE(2012,12,31)-1033</f>
        <v>40241</v>
      </c>
      <c r="D6685" s="8" t="str">
        <f t="shared" si="122"/>
        <v>2010-03 (март 2010)</v>
      </c>
      <c r="E6685" s="9" t="s">
        <v>63</v>
      </c>
      <c r="F6685" s="7">
        <v>15</v>
      </c>
      <c r="G6685" s="7">
        <v>485.16</v>
      </c>
      <c r="H6685" s="7">
        <v>0.1</v>
      </c>
      <c r="I6685" s="9" t="s">
        <v>22</v>
      </c>
      <c r="J6685" s="10">
        <v>-9.3199999999999932</v>
      </c>
      <c r="K6685" s="11">
        <v>34.58</v>
      </c>
      <c r="L6685" s="11">
        <v>8.99</v>
      </c>
      <c r="M6685" s="9" t="s">
        <v>1498</v>
      </c>
      <c r="N6685" s="6" t="s">
        <v>2012</v>
      </c>
      <c r="O6685" s="6" t="s">
        <v>2012</v>
      </c>
      <c r="P6685" s="9" t="s">
        <v>33</v>
      </c>
      <c r="Q6685" s="9" t="s">
        <v>26</v>
      </c>
      <c r="R6685" s="9" t="s">
        <v>95</v>
      </c>
      <c r="S6685" s="7" t="s">
        <v>713</v>
      </c>
      <c r="T6685" s="9" t="s">
        <v>52</v>
      </c>
      <c r="U6685" s="7">
        <v>0.56000000000000005</v>
      </c>
      <c r="V6685" s="12">
        <f t="shared" si="123"/>
        <v>40243</v>
      </c>
      <c r="W6685">
        <f>IF(D6685=' Pivot Tables'!$A$4,1,0)</f>
        <v>0</v>
      </c>
      <c r="X6685">
        <f>IF(AND(LEFT(D6685,4)+1=LEFT(' Pivot Tables'!$A$4,4)+0,RIGHT(LEFT(D6685,7),2)=RIGHT(LEFT(' Pivot Tables'!$A$4,7),2)),1,0)</f>
        <v>0</v>
      </c>
      <c r="Y6685" s="6">
        <f>1/COUNTIF(Таблица1[Order ID],Таблица1[[#This Row],[Order ID]])</f>
        <v>0.5</v>
      </c>
      <c r="Z6685" s="9">
        <f>1/COUNTIFS(Таблица1[Customer Name],Таблица1[[#This Row],[Customer Name]],Таблица1[Order-Year-Month],Таблица1[[#This Row],[Order-Year-Month]])</f>
        <v>0.33333333333333331</v>
      </c>
    </row>
    <row r="6686" spans="1:26" x14ac:dyDescent="0.2">
      <c r="A6686" s="6">
        <v>1111</v>
      </c>
      <c r="B6686" s="7">
        <v>8161</v>
      </c>
      <c r="C6686" s="8">
        <f>DATE(2012,12,31)-1307</f>
        <v>39967</v>
      </c>
      <c r="D6686" s="8" t="str">
        <f t="shared" si="122"/>
        <v>2009-06 (июнь 2009)</v>
      </c>
      <c r="E6686" s="9" t="s">
        <v>30</v>
      </c>
      <c r="F6686" s="7">
        <v>45</v>
      </c>
      <c r="G6686" s="7">
        <v>112.72</v>
      </c>
      <c r="H6686" s="7">
        <v>0.09</v>
      </c>
      <c r="I6686" s="9" t="s">
        <v>22</v>
      </c>
      <c r="J6686" s="10">
        <v>39.19</v>
      </c>
      <c r="K6686" s="11">
        <v>2.61</v>
      </c>
      <c r="L6686" s="11">
        <v>0.5</v>
      </c>
      <c r="M6686" s="9" t="s">
        <v>1482</v>
      </c>
      <c r="N6686" s="6" t="s">
        <v>2012</v>
      </c>
      <c r="O6686" s="6" t="s">
        <v>2012</v>
      </c>
      <c r="P6686" s="9" t="s">
        <v>33</v>
      </c>
      <c r="Q6686" s="9" t="s">
        <v>26</v>
      </c>
      <c r="R6686" s="9" t="s">
        <v>88</v>
      </c>
      <c r="S6686" s="7" t="s">
        <v>406</v>
      </c>
      <c r="T6686" s="9" t="s">
        <v>39</v>
      </c>
      <c r="U6686" s="7">
        <v>0.39</v>
      </c>
      <c r="V6686" s="12">
        <f t="shared" si="123"/>
        <v>39969</v>
      </c>
      <c r="W6686">
        <f>IF(D6686=' Pivot Tables'!$A$4,1,0)</f>
        <v>0</v>
      </c>
      <c r="X6686">
        <f>IF(AND(LEFT(D6686,4)+1=LEFT(' Pivot Tables'!$A$4,4)+0,RIGHT(LEFT(D6686,7),2)=RIGHT(LEFT(' Pivot Tables'!$A$4,7),2)),1,0)</f>
        <v>0</v>
      </c>
      <c r="Y6686" s="6">
        <f>1/COUNTIF(Таблица1[Order ID],Таблица1[[#This Row],[Order ID]])</f>
        <v>1</v>
      </c>
      <c r="Z6686" s="9">
        <f>1/COUNTIFS(Таблица1[Customer Name],Таблица1[[#This Row],[Customer Name]],Таблица1[Order-Year-Month],Таблица1[[#This Row],[Order-Year-Month]])</f>
        <v>0.5</v>
      </c>
    </row>
    <row r="6687" spans="1:26" x14ac:dyDescent="0.2">
      <c r="A6687" s="6">
        <v>1141</v>
      </c>
      <c r="B6687" s="7">
        <v>8320</v>
      </c>
      <c r="C6687" s="8">
        <f>DATE(2012,12,31)-1199</f>
        <v>40075</v>
      </c>
      <c r="D6687" s="8" t="str">
        <f t="shared" si="122"/>
        <v>2009-09 (сентябрь 2009)</v>
      </c>
      <c r="E6687" s="9" t="s">
        <v>45</v>
      </c>
      <c r="F6687" s="7">
        <v>22</v>
      </c>
      <c r="G6687" s="7">
        <v>150.34</v>
      </c>
      <c r="H6687" s="7">
        <v>0.06</v>
      </c>
      <c r="I6687" s="9" t="s">
        <v>56</v>
      </c>
      <c r="J6687" s="10">
        <v>-28.45</v>
      </c>
      <c r="K6687" s="11">
        <v>6.48</v>
      </c>
      <c r="L6687" s="11">
        <v>5.14</v>
      </c>
      <c r="M6687" s="9" t="s">
        <v>1459</v>
      </c>
      <c r="N6687" s="6" t="s">
        <v>2012</v>
      </c>
      <c r="O6687" s="6" t="s">
        <v>2012</v>
      </c>
      <c r="P6687" s="9" t="s">
        <v>60</v>
      </c>
      <c r="Q6687" s="9" t="s">
        <v>26</v>
      </c>
      <c r="R6687" s="9" t="s">
        <v>61</v>
      </c>
      <c r="S6687" s="7" t="s">
        <v>1184</v>
      </c>
      <c r="T6687" s="9" t="s">
        <v>39</v>
      </c>
      <c r="U6687" s="7">
        <v>0.37</v>
      </c>
      <c r="V6687" s="12">
        <f t="shared" si="123"/>
        <v>40077</v>
      </c>
      <c r="W6687">
        <f>IF(D6687=' Pivot Tables'!$A$4,1,0)</f>
        <v>0</v>
      </c>
      <c r="X6687">
        <f>IF(AND(LEFT(D6687,4)+1=LEFT(' Pivot Tables'!$A$4,4)+0,RIGHT(LEFT(D6687,7),2)=RIGHT(LEFT(' Pivot Tables'!$A$4,7),2)),1,0)</f>
        <v>0</v>
      </c>
      <c r="Y6687" s="6">
        <f>1/COUNTIF(Таблица1[Order ID],Таблица1[[#This Row],[Order ID]])</f>
        <v>0.5</v>
      </c>
      <c r="Z6687" s="9">
        <f>1/COUNTIFS(Таблица1[Customer Name],Таблица1[[#This Row],[Customer Name]],Таблица1[Order-Year-Month],Таблица1[[#This Row],[Order-Year-Month]])</f>
        <v>0.5</v>
      </c>
    </row>
    <row r="6688" spans="1:26" x14ac:dyDescent="0.2">
      <c r="A6688" s="6">
        <v>1144</v>
      </c>
      <c r="B6688" s="7">
        <v>8325</v>
      </c>
      <c r="C6688" s="8">
        <f>DATE(2012,12,31)-1447</f>
        <v>39827</v>
      </c>
      <c r="D6688" s="8" t="str">
        <f t="shared" si="122"/>
        <v>2009-01 (январь 2009)</v>
      </c>
      <c r="E6688" s="9" t="s">
        <v>78</v>
      </c>
      <c r="F6688" s="7">
        <v>21</v>
      </c>
      <c r="G6688" s="7">
        <v>2364.29</v>
      </c>
      <c r="H6688" s="7">
        <v>0.08</v>
      </c>
      <c r="I6688" s="9" t="s">
        <v>31</v>
      </c>
      <c r="J6688" s="10">
        <v>-220.04910000000001</v>
      </c>
      <c r="K6688" s="11">
        <v>115.99</v>
      </c>
      <c r="L6688" s="11">
        <v>56.14</v>
      </c>
      <c r="M6688" s="9" t="s">
        <v>1512</v>
      </c>
      <c r="N6688" s="6" t="s">
        <v>2012</v>
      </c>
      <c r="O6688" s="6" t="s">
        <v>2012</v>
      </c>
      <c r="P6688" s="9" t="s">
        <v>60</v>
      </c>
      <c r="Q6688" s="9" t="s">
        <v>42</v>
      </c>
      <c r="R6688" s="9" t="s">
        <v>210</v>
      </c>
      <c r="S6688" s="7" t="s">
        <v>482</v>
      </c>
      <c r="T6688" s="9" t="s">
        <v>36</v>
      </c>
      <c r="U6688" s="7">
        <v>0.4</v>
      </c>
      <c r="V6688" s="12">
        <f t="shared" si="123"/>
        <v>39829</v>
      </c>
      <c r="W6688">
        <f>IF(D6688=' Pivot Tables'!$A$4,1,0)</f>
        <v>0</v>
      </c>
      <c r="X6688">
        <f>IF(AND(LEFT(D6688,4)+1=LEFT(' Pivot Tables'!$A$4,4)+0,RIGHT(LEFT(D6688,7),2)=RIGHT(LEFT(' Pivot Tables'!$A$4,7),2)),1,0)</f>
        <v>1</v>
      </c>
      <c r="Y6688" s="6">
        <f>1/COUNTIF(Таблица1[Order ID],Таблица1[[#This Row],[Order ID]])</f>
        <v>0.5</v>
      </c>
      <c r="Z6688" s="9">
        <f>1/COUNTIFS(Таблица1[Customer Name],Таблица1[[#This Row],[Customer Name]],Таблица1[Order-Year-Month],Таблица1[[#This Row],[Order-Year-Month]])</f>
        <v>0.5</v>
      </c>
    </row>
    <row r="6689" spans="1:26" x14ac:dyDescent="0.2">
      <c r="A6689" s="6">
        <v>1145</v>
      </c>
      <c r="B6689" s="7">
        <v>8325</v>
      </c>
      <c r="C6689" s="8">
        <f>DATE(2012,12,31)-1447</f>
        <v>39827</v>
      </c>
      <c r="D6689" s="8" t="str">
        <f t="shared" si="122"/>
        <v>2009-01 (январь 2009)</v>
      </c>
      <c r="E6689" s="9" t="s">
        <v>78</v>
      </c>
      <c r="F6689" s="7">
        <v>27</v>
      </c>
      <c r="G6689" s="7">
        <v>112.57</v>
      </c>
      <c r="H6689" s="7">
        <v>0.08</v>
      </c>
      <c r="I6689" s="9" t="s">
        <v>22</v>
      </c>
      <c r="J6689" s="10">
        <v>13.92</v>
      </c>
      <c r="K6689" s="11">
        <v>4.28</v>
      </c>
      <c r="L6689" s="11">
        <v>0.94</v>
      </c>
      <c r="M6689" s="9" t="s">
        <v>1512</v>
      </c>
      <c r="N6689" s="6" t="s">
        <v>2012</v>
      </c>
      <c r="O6689" s="6" t="s">
        <v>2012</v>
      </c>
      <c r="P6689" s="9" t="s">
        <v>60</v>
      </c>
      <c r="Q6689" s="9" t="s">
        <v>26</v>
      </c>
      <c r="R6689" s="9" t="s">
        <v>95</v>
      </c>
      <c r="S6689" s="7" t="s">
        <v>540</v>
      </c>
      <c r="T6689" s="9" t="s">
        <v>68</v>
      </c>
      <c r="U6689" s="7">
        <v>0.56000000000000005</v>
      </c>
      <c r="V6689" s="12">
        <f>C6689+3</f>
        <v>39830</v>
      </c>
      <c r="W6689">
        <f>IF(D6689=' Pivot Tables'!$A$4,1,0)</f>
        <v>0</v>
      </c>
      <c r="X6689">
        <f>IF(AND(LEFT(D6689,4)+1=LEFT(' Pivot Tables'!$A$4,4)+0,RIGHT(LEFT(D6689,7),2)=RIGHT(LEFT(' Pivot Tables'!$A$4,7),2)),1,0)</f>
        <v>1</v>
      </c>
      <c r="Y6689" s="6">
        <f>1/COUNTIF(Таблица1[Order ID],Таблица1[[#This Row],[Order ID]])</f>
        <v>0.5</v>
      </c>
      <c r="Z6689" s="9">
        <f>1/COUNTIFS(Таблица1[Customer Name],Таблица1[[#This Row],[Customer Name]],Таблица1[Order-Year-Month],Таблица1[[#This Row],[Order-Year-Month]])</f>
        <v>0.5</v>
      </c>
    </row>
    <row r="6690" spans="1:26" x14ac:dyDescent="0.2">
      <c r="A6690" s="6">
        <v>1173</v>
      </c>
      <c r="B6690" s="7">
        <v>8576</v>
      </c>
      <c r="C6690" s="8">
        <f>DATE(2012,12,31)-1452</f>
        <v>39822</v>
      </c>
      <c r="D6690" s="8" t="str">
        <f t="shared" si="122"/>
        <v>2009-01 (январь 2009)</v>
      </c>
      <c r="E6690" s="9" t="s">
        <v>30</v>
      </c>
      <c r="F6690" s="7">
        <v>43</v>
      </c>
      <c r="G6690" s="7">
        <v>541.45000000000005</v>
      </c>
      <c r="H6690" s="7">
        <v>0</v>
      </c>
      <c r="I6690" s="9" t="s">
        <v>56</v>
      </c>
      <c r="J6690" s="10">
        <v>-164.25</v>
      </c>
      <c r="K6690" s="11">
        <v>11.66</v>
      </c>
      <c r="L6690" s="11">
        <v>8.99</v>
      </c>
      <c r="M6690" s="9" t="s">
        <v>1492</v>
      </c>
      <c r="N6690" s="6" t="s">
        <v>2012</v>
      </c>
      <c r="O6690" s="6" t="s">
        <v>2012</v>
      </c>
      <c r="P6690" s="9" t="s">
        <v>41</v>
      </c>
      <c r="Q6690" s="9" t="s">
        <v>26</v>
      </c>
      <c r="R6690" s="9" t="s">
        <v>95</v>
      </c>
      <c r="S6690" s="7" t="s">
        <v>498</v>
      </c>
      <c r="T6690" s="9" t="s">
        <v>52</v>
      </c>
      <c r="U6690" s="7">
        <v>0.59</v>
      </c>
      <c r="V6690" s="12">
        <f>C6690+2</f>
        <v>39824</v>
      </c>
      <c r="W6690">
        <f>IF(D6690=' Pivot Tables'!$A$4,1,0)</f>
        <v>0</v>
      </c>
      <c r="X6690">
        <f>IF(AND(LEFT(D6690,4)+1=LEFT(' Pivot Tables'!$A$4,4)+0,RIGHT(LEFT(D6690,7),2)=RIGHT(LEFT(' Pivot Tables'!$A$4,7),2)),1,0)</f>
        <v>1</v>
      </c>
      <c r="Y6690" s="6">
        <f>1/COUNTIF(Таблица1[Order ID],Таблица1[[#This Row],[Order ID]])</f>
        <v>1</v>
      </c>
      <c r="Z6690" s="9">
        <f>1/COUNTIFS(Таблица1[Customer Name],Таблица1[[#This Row],[Customer Name]],Таблица1[Order-Year-Month],Таблица1[[#This Row],[Order-Year-Month]])</f>
        <v>1</v>
      </c>
    </row>
    <row r="6691" spans="1:26" x14ac:dyDescent="0.2">
      <c r="A6691" s="6">
        <v>1177</v>
      </c>
      <c r="B6691" s="7">
        <v>8582</v>
      </c>
      <c r="C6691" s="8">
        <f>DATE(2012,12,31)-772</f>
        <v>40502</v>
      </c>
      <c r="D6691" s="8" t="str">
        <f t="shared" si="122"/>
        <v>2010-11 (ноябрь 2010)</v>
      </c>
      <c r="E6691" s="9" t="s">
        <v>21</v>
      </c>
      <c r="F6691" s="7">
        <v>15</v>
      </c>
      <c r="G6691" s="7">
        <v>1556.55</v>
      </c>
      <c r="H6691" s="7">
        <v>0.04</v>
      </c>
      <c r="I6691" s="9" t="s">
        <v>22</v>
      </c>
      <c r="J6691" s="10">
        <v>436.02</v>
      </c>
      <c r="K6691" s="11">
        <v>105.34</v>
      </c>
      <c r="L6691" s="11">
        <v>24.49</v>
      </c>
      <c r="M6691" s="9" t="s">
        <v>1590</v>
      </c>
      <c r="N6691" s="6" t="s">
        <v>2012</v>
      </c>
      <c r="O6691" s="6" t="s">
        <v>2012</v>
      </c>
      <c r="P6691" s="9" t="s">
        <v>60</v>
      </c>
      <c r="Q6691" s="9" t="s">
        <v>49</v>
      </c>
      <c r="R6691" s="9" t="s">
        <v>50</v>
      </c>
      <c r="S6691" s="7" t="s">
        <v>201</v>
      </c>
      <c r="T6691" s="9" t="s">
        <v>29</v>
      </c>
      <c r="U6691" s="7">
        <v>0.61</v>
      </c>
      <c r="V6691" s="12">
        <f>C6691+0</f>
        <v>40502</v>
      </c>
      <c r="W6691">
        <f>IF(D6691=' Pivot Tables'!$A$4,1,0)</f>
        <v>0</v>
      </c>
      <c r="X6691">
        <f>IF(AND(LEFT(D6691,4)+1=LEFT(' Pivot Tables'!$A$4,4)+0,RIGHT(LEFT(D6691,7),2)=RIGHT(LEFT(' Pivot Tables'!$A$4,7),2)),1,0)</f>
        <v>0</v>
      </c>
      <c r="Y6691" s="6">
        <f>1/COUNTIF(Таблица1[Order ID],Таблица1[[#This Row],[Order ID]])</f>
        <v>1</v>
      </c>
      <c r="Z6691" s="9">
        <f>1/COUNTIFS(Таблица1[Customer Name],Таблица1[[#This Row],[Customer Name]],Таблица1[Order-Year-Month],Таблица1[[#This Row],[Order-Year-Month]])</f>
        <v>1</v>
      </c>
    </row>
    <row r="6692" spans="1:26" x14ac:dyDescent="0.2">
      <c r="A6692" s="6">
        <v>1204</v>
      </c>
      <c r="B6692" s="7">
        <v>8832</v>
      </c>
      <c r="C6692" s="8">
        <f>DATE(2012,12,31)-333</f>
        <v>40941</v>
      </c>
      <c r="D6692" s="8" t="str">
        <f t="shared" si="122"/>
        <v>2012-02 (февраль 2012)</v>
      </c>
      <c r="E6692" s="9" t="s">
        <v>21</v>
      </c>
      <c r="F6692" s="7">
        <v>39</v>
      </c>
      <c r="G6692" s="7">
        <v>647.80999999999995</v>
      </c>
      <c r="H6692" s="7">
        <v>0.1</v>
      </c>
      <c r="I6692" s="9" t="s">
        <v>22</v>
      </c>
      <c r="J6692" s="10">
        <v>8.6500000000000057</v>
      </c>
      <c r="K6692" s="11">
        <v>17.670000000000002</v>
      </c>
      <c r="L6692" s="11">
        <v>8.99</v>
      </c>
      <c r="M6692" s="9" t="s">
        <v>1482</v>
      </c>
      <c r="N6692" s="6" t="s">
        <v>2012</v>
      </c>
      <c r="O6692" s="6" t="s">
        <v>2012</v>
      </c>
      <c r="P6692" s="9" t="s">
        <v>25</v>
      </c>
      <c r="Q6692" s="9" t="s">
        <v>49</v>
      </c>
      <c r="R6692" s="9" t="s">
        <v>50</v>
      </c>
      <c r="S6692" s="7" t="s">
        <v>763</v>
      </c>
      <c r="T6692" s="9" t="s">
        <v>52</v>
      </c>
      <c r="U6692" s="7">
        <v>0.47</v>
      </c>
      <c r="V6692" s="12">
        <f>C6692+4</f>
        <v>40945</v>
      </c>
      <c r="W6692">
        <f>IF(D6692=' Pivot Tables'!$A$4,1,0)</f>
        <v>0</v>
      </c>
      <c r="X6692">
        <f>IF(AND(LEFT(D6692,4)+1=LEFT(' Pivot Tables'!$A$4,4)+0,RIGHT(LEFT(D6692,7),2)=RIGHT(LEFT(' Pivot Tables'!$A$4,7),2)),1,0)</f>
        <v>0</v>
      </c>
      <c r="Y6692" s="6">
        <f>1/COUNTIF(Таблица1[Order ID],Таблица1[[#This Row],[Order ID]])</f>
        <v>1</v>
      </c>
      <c r="Z6692" s="9">
        <f>1/COUNTIFS(Таблица1[Customer Name],Таблица1[[#This Row],[Customer Name]],Таблица1[Order-Year-Month],Таблица1[[#This Row],[Order-Year-Month]])</f>
        <v>1</v>
      </c>
    </row>
    <row r="6693" spans="1:26" x14ac:dyDescent="0.2">
      <c r="A6693" s="6">
        <v>1212</v>
      </c>
      <c r="B6693" s="7">
        <v>8901</v>
      </c>
      <c r="C6693" s="8">
        <f>DATE(2012,12,31)-499</f>
        <v>40775</v>
      </c>
      <c r="D6693" s="8" t="str">
        <f t="shared" si="122"/>
        <v>2011-08 (август 2011)</v>
      </c>
      <c r="E6693" s="9" t="s">
        <v>21</v>
      </c>
      <c r="F6693" s="7">
        <v>15</v>
      </c>
      <c r="G6693" s="7">
        <v>168.9</v>
      </c>
      <c r="H6693" s="7">
        <v>0.09</v>
      </c>
      <c r="I6693" s="9" t="s">
        <v>56</v>
      </c>
      <c r="J6693" s="10">
        <v>-16.1907</v>
      </c>
      <c r="K6693" s="11">
        <v>9.99</v>
      </c>
      <c r="L6693" s="11">
        <v>6.24</v>
      </c>
      <c r="M6693" s="9" t="s">
        <v>2038</v>
      </c>
      <c r="N6693" s="6" t="s">
        <v>2012</v>
      </c>
      <c r="O6693" s="6" t="s">
        <v>2012</v>
      </c>
      <c r="P6693" s="9" t="s">
        <v>33</v>
      </c>
      <c r="Q6693" s="9" t="s">
        <v>42</v>
      </c>
      <c r="R6693" s="9" t="s">
        <v>210</v>
      </c>
      <c r="S6693" s="7" t="s">
        <v>1804</v>
      </c>
      <c r="T6693" s="9" t="s">
        <v>48</v>
      </c>
      <c r="U6693" s="7">
        <v>0.36</v>
      </c>
      <c r="V6693" s="12">
        <f>C6693+7</f>
        <v>40782</v>
      </c>
      <c r="W6693">
        <f>IF(D6693=' Pivot Tables'!$A$4,1,0)</f>
        <v>0</v>
      </c>
      <c r="X6693">
        <f>IF(AND(LEFT(D6693,4)+1=LEFT(' Pivot Tables'!$A$4,4)+0,RIGHT(LEFT(D6693,7),2)=RIGHT(LEFT(' Pivot Tables'!$A$4,7),2)),1,0)</f>
        <v>0</v>
      </c>
      <c r="Y6693" s="6">
        <f>1/COUNTIF(Таблица1[Order ID],Таблица1[[#This Row],[Order ID]])</f>
        <v>1</v>
      </c>
      <c r="Z6693" s="9">
        <f>1/COUNTIFS(Таблица1[Customer Name],Таблица1[[#This Row],[Customer Name]],Таблица1[Order-Year-Month],Таблица1[[#This Row],[Order-Year-Month]])</f>
        <v>1</v>
      </c>
    </row>
    <row r="6694" spans="1:26" x14ac:dyDescent="0.2">
      <c r="A6694" s="6">
        <v>1214</v>
      </c>
      <c r="B6694" s="7">
        <v>8930</v>
      </c>
      <c r="C6694" s="8">
        <f>DATE(2012,12,31)-1322</f>
        <v>39952</v>
      </c>
      <c r="D6694" s="8" t="str">
        <f t="shared" si="122"/>
        <v>2009-05 (май 2009)</v>
      </c>
      <c r="E6694" s="9" t="s">
        <v>63</v>
      </c>
      <c r="F6694" s="7">
        <v>14</v>
      </c>
      <c r="G6694" s="7">
        <v>145.86000000000001</v>
      </c>
      <c r="H6694" s="7">
        <v>0.04</v>
      </c>
      <c r="I6694" s="9" t="s">
        <v>22</v>
      </c>
      <c r="J6694" s="10">
        <v>-92.32</v>
      </c>
      <c r="K6694" s="11">
        <v>9.99</v>
      </c>
      <c r="L6694" s="11">
        <v>11.59</v>
      </c>
      <c r="M6694" s="9" t="s">
        <v>1531</v>
      </c>
      <c r="N6694" s="6" t="s">
        <v>2012</v>
      </c>
      <c r="O6694" s="6" t="s">
        <v>2012</v>
      </c>
      <c r="P6694" s="9" t="s">
        <v>41</v>
      </c>
      <c r="Q6694" s="9" t="s">
        <v>26</v>
      </c>
      <c r="R6694" s="9" t="s">
        <v>61</v>
      </c>
      <c r="S6694" s="7" t="s">
        <v>698</v>
      </c>
      <c r="T6694" s="9" t="s">
        <v>39</v>
      </c>
      <c r="U6694" s="7">
        <v>0.4</v>
      </c>
      <c r="V6694" s="12">
        <f>C6694+2</f>
        <v>39954</v>
      </c>
      <c r="W6694">
        <f>IF(D6694=' Pivot Tables'!$A$4,1,0)</f>
        <v>0</v>
      </c>
      <c r="X6694">
        <f>IF(AND(LEFT(D6694,4)+1=LEFT(' Pivot Tables'!$A$4,4)+0,RIGHT(LEFT(D6694,7),2)=RIGHT(LEFT(' Pivot Tables'!$A$4,7),2)),1,0)</f>
        <v>0</v>
      </c>
      <c r="Y6694" s="6">
        <f>1/COUNTIF(Таблица1[Order ID],Таблица1[[#This Row],[Order ID]])</f>
        <v>1</v>
      </c>
      <c r="Z6694" s="9">
        <f>1/COUNTIFS(Таблица1[Customer Name],Таблица1[[#This Row],[Customer Name]],Таблица1[Order-Year-Month],Таблица1[[#This Row],[Order-Year-Month]])</f>
        <v>1</v>
      </c>
    </row>
    <row r="6695" spans="1:26" x14ac:dyDescent="0.2">
      <c r="A6695" s="6">
        <v>1237</v>
      </c>
      <c r="B6695" s="7">
        <v>8999</v>
      </c>
      <c r="C6695" s="8">
        <f>DATE(2012,12,31)-1298</f>
        <v>39976</v>
      </c>
      <c r="D6695" s="8" t="str">
        <f t="shared" si="122"/>
        <v>2009-06 (июнь 2009)</v>
      </c>
      <c r="E6695" s="9" t="s">
        <v>30</v>
      </c>
      <c r="F6695" s="7">
        <v>28</v>
      </c>
      <c r="G6695" s="7">
        <v>1676.48</v>
      </c>
      <c r="H6695" s="7">
        <v>0</v>
      </c>
      <c r="I6695" s="9" t="s">
        <v>22</v>
      </c>
      <c r="J6695" s="10">
        <v>590.35</v>
      </c>
      <c r="K6695" s="11">
        <v>55.48</v>
      </c>
      <c r="L6695" s="11">
        <v>14.3</v>
      </c>
      <c r="M6695" s="9" t="s">
        <v>1566</v>
      </c>
      <c r="N6695" s="6" t="s">
        <v>2012</v>
      </c>
      <c r="O6695" s="6" t="s">
        <v>2012</v>
      </c>
      <c r="P6695" s="9" t="s">
        <v>41</v>
      </c>
      <c r="Q6695" s="9" t="s">
        <v>26</v>
      </c>
      <c r="R6695" s="9" t="s">
        <v>61</v>
      </c>
      <c r="S6695" s="7" t="s">
        <v>507</v>
      </c>
      <c r="T6695" s="9" t="s">
        <v>39</v>
      </c>
      <c r="U6695" s="7">
        <v>0.37</v>
      </c>
      <c r="V6695" s="12">
        <f>C6695+2</f>
        <v>39978</v>
      </c>
      <c r="W6695">
        <f>IF(D6695=' Pivot Tables'!$A$4,1,0)</f>
        <v>0</v>
      </c>
      <c r="X6695">
        <f>IF(AND(LEFT(D6695,4)+1=LEFT(' Pivot Tables'!$A$4,4)+0,RIGHT(LEFT(D6695,7),2)=RIGHT(LEFT(' Pivot Tables'!$A$4,7),2)),1,0)</f>
        <v>0</v>
      </c>
      <c r="Y6695" s="6">
        <f>1/COUNTIF(Таблица1[Order ID],Таблица1[[#This Row],[Order ID]])</f>
        <v>1</v>
      </c>
      <c r="Z6695" s="9">
        <f>1/COUNTIFS(Таблица1[Customer Name],Таблица1[[#This Row],[Customer Name]],Таблица1[Order-Year-Month],Таблица1[[#This Row],[Order-Year-Month]])</f>
        <v>1</v>
      </c>
    </row>
    <row r="6696" spans="1:26" x14ac:dyDescent="0.2">
      <c r="A6696" s="6">
        <v>1249</v>
      </c>
      <c r="B6696" s="7">
        <v>9091</v>
      </c>
      <c r="C6696" s="8">
        <f>DATE(2012,12,31)-781</f>
        <v>40493</v>
      </c>
      <c r="D6696" s="8" t="str">
        <f t="shared" si="122"/>
        <v>2010-11 (ноябрь 2010)</v>
      </c>
      <c r="E6696" s="9" t="s">
        <v>30</v>
      </c>
      <c r="F6696" s="7">
        <v>42</v>
      </c>
      <c r="G6696" s="7">
        <v>605.77</v>
      </c>
      <c r="H6696" s="7">
        <v>0.05</v>
      </c>
      <c r="I6696" s="9" t="s">
        <v>22</v>
      </c>
      <c r="J6696" s="10">
        <v>129.33000000000001</v>
      </c>
      <c r="K6696" s="11">
        <v>14.34</v>
      </c>
      <c r="L6696" s="11">
        <v>5</v>
      </c>
      <c r="M6696" s="9" t="s">
        <v>2027</v>
      </c>
      <c r="N6696" s="6" t="s">
        <v>2012</v>
      </c>
      <c r="O6696" s="6" t="s">
        <v>2012</v>
      </c>
      <c r="P6696" s="9" t="s">
        <v>41</v>
      </c>
      <c r="Q6696" s="9" t="s">
        <v>49</v>
      </c>
      <c r="R6696" s="9" t="s">
        <v>50</v>
      </c>
      <c r="S6696" s="7" t="s">
        <v>706</v>
      </c>
      <c r="T6696" s="9" t="s">
        <v>52</v>
      </c>
      <c r="U6696" s="7">
        <v>0.49</v>
      </c>
      <c r="V6696" s="12">
        <f>C6696+1</f>
        <v>40494</v>
      </c>
      <c r="W6696">
        <f>IF(D6696=' Pivot Tables'!$A$4,1,0)</f>
        <v>0</v>
      </c>
      <c r="X6696">
        <f>IF(AND(LEFT(D6696,4)+1=LEFT(' Pivot Tables'!$A$4,4)+0,RIGHT(LEFT(D6696,7),2)=RIGHT(LEFT(' Pivot Tables'!$A$4,7),2)),1,0)</f>
        <v>0</v>
      </c>
      <c r="Y6696" s="6">
        <f>1/COUNTIF(Таблица1[Order ID],Таблица1[[#This Row],[Order ID]])</f>
        <v>0.5</v>
      </c>
      <c r="Z6696" s="9">
        <f>1/COUNTIFS(Таблица1[Customer Name],Таблица1[[#This Row],[Customer Name]],Таблица1[Order-Year-Month],Таблица1[[#This Row],[Order-Year-Month]])</f>
        <v>0.5</v>
      </c>
    </row>
    <row r="6697" spans="1:26" x14ac:dyDescent="0.2">
      <c r="A6697" s="6">
        <v>1250</v>
      </c>
      <c r="B6697" s="7">
        <v>9091</v>
      </c>
      <c r="C6697" s="8">
        <f>DATE(2012,12,31)-781</f>
        <v>40493</v>
      </c>
      <c r="D6697" s="8" t="str">
        <f t="shared" si="122"/>
        <v>2010-11 (ноябрь 2010)</v>
      </c>
      <c r="E6697" s="9" t="s">
        <v>30</v>
      </c>
      <c r="F6697" s="7">
        <v>44</v>
      </c>
      <c r="G6697" s="7">
        <v>1480.91</v>
      </c>
      <c r="H6697" s="7">
        <v>0</v>
      </c>
      <c r="I6697" s="9" t="s">
        <v>22</v>
      </c>
      <c r="J6697" s="10">
        <v>489.14</v>
      </c>
      <c r="K6697" s="11">
        <v>30.98</v>
      </c>
      <c r="L6697" s="11">
        <v>8.74</v>
      </c>
      <c r="M6697" s="9" t="s">
        <v>2027</v>
      </c>
      <c r="N6697" s="6" t="s">
        <v>2012</v>
      </c>
      <c r="O6697" s="6" t="s">
        <v>2012</v>
      </c>
      <c r="P6697" s="9" t="s">
        <v>41</v>
      </c>
      <c r="Q6697" s="9" t="s">
        <v>26</v>
      </c>
      <c r="R6697" s="9" t="s">
        <v>61</v>
      </c>
      <c r="S6697" s="7" t="s">
        <v>932</v>
      </c>
      <c r="T6697" s="9" t="s">
        <v>39</v>
      </c>
      <c r="U6697" s="7">
        <v>0.4</v>
      </c>
      <c r="V6697" s="12">
        <f>C6697+1</f>
        <v>40494</v>
      </c>
      <c r="W6697">
        <f>IF(D6697=' Pivot Tables'!$A$4,1,0)</f>
        <v>0</v>
      </c>
      <c r="X6697">
        <f>IF(AND(LEFT(D6697,4)+1=LEFT(' Pivot Tables'!$A$4,4)+0,RIGHT(LEFT(D6697,7),2)=RIGHT(LEFT(' Pivot Tables'!$A$4,7),2)),1,0)</f>
        <v>0</v>
      </c>
      <c r="Y6697" s="6">
        <f>1/COUNTIF(Таблица1[Order ID],Таблица1[[#This Row],[Order ID]])</f>
        <v>0.5</v>
      </c>
      <c r="Z6697" s="9">
        <f>1/COUNTIFS(Таблица1[Customer Name],Таблица1[[#This Row],[Customer Name]],Таблица1[Order-Year-Month],Таблица1[[#This Row],[Order-Year-Month]])</f>
        <v>0.5</v>
      </c>
    </row>
    <row r="6698" spans="1:26" x14ac:dyDescent="0.2">
      <c r="A6698" s="6">
        <v>1251</v>
      </c>
      <c r="B6698" s="7">
        <v>9092</v>
      </c>
      <c r="C6698" s="8">
        <f>DATE(2012,12,31)-1256</f>
        <v>40018</v>
      </c>
      <c r="D6698" s="8" t="str">
        <f t="shared" si="122"/>
        <v>2009-07 (июль 2009)</v>
      </c>
      <c r="E6698" s="9" t="s">
        <v>45</v>
      </c>
      <c r="F6698" s="7">
        <v>33</v>
      </c>
      <c r="G6698" s="7">
        <v>3644.24</v>
      </c>
      <c r="H6698" s="7">
        <v>0</v>
      </c>
      <c r="I6698" s="9" t="s">
        <v>56</v>
      </c>
      <c r="J6698" s="10">
        <v>-457.73</v>
      </c>
      <c r="K6698" s="11">
        <v>101.41</v>
      </c>
      <c r="L6698" s="11">
        <v>35</v>
      </c>
      <c r="M6698" s="9" t="s">
        <v>2039</v>
      </c>
      <c r="N6698" s="6" t="s">
        <v>2012</v>
      </c>
      <c r="O6698" s="6" t="s">
        <v>2012</v>
      </c>
      <c r="P6698" s="9" t="s">
        <v>41</v>
      </c>
      <c r="Q6698" s="9" t="s">
        <v>26</v>
      </c>
      <c r="R6698" s="9" t="s">
        <v>27</v>
      </c>
      <c r="S6698" s="7" t="s">
        <v>1231</v>
      </c>
      <c r="T6698" s="9" t="s">
        <v>29</v>
      </c>
      <c r="U6698" s="7">
        <v>0.82</v>
      </c>
      <c r="V6698" s="12">
        <f>C6698+1</f>
        <v>40019</v>
      </c>
      <c r="W6698">
        <f>IF(D6698=' Pivot Tables'!$A$4,1,0)</f>
        <v>0</v>
      </c>
      <c r="X6698">
        <f>IF(AND(LEFT(D6698,4)+1=LEFT(' Pivot Tables'!$A$4,4)+0,RIGHT(LEFT(D6698,7),2)=RIGHT(LEFT(' Pivot Tables'!$A$4,7),2)),1,0)</f>
        <v>0</v>
      </c>
      <c r="Y6698" s="6">
        <f>1/COUNTIF(Таблица1[Order ID],Таблица1[[#This Row],[Order ID]])</f>
        <v>0.5</v>
      </c>
      <c r="Z6698" s="9">
        <f>1/COUNTIFS(Таблица1[Customer Name],Таблица1[[#This Row],[Customer Name]],Таблица1[Order-Year-Month],Таблица1[[#This Row],[Order-Year-Month]])</f>
        <v>0.5</v>
      </c>
    </row>
    <row r="6699" spans="1:26" x14ac:dyDescent="0.2">
      <c r="A6699" s="6">
        <v>1252</v>
      </c>
      <c r="B6699" s="7">
        <v>9092</v>
      </c>
      <c r="C6699" s="8">
        <f>DATE(2012,12,31)-1256</f>
        <v>40018</v>
      </c>
      <c r="D6699" s="8" t="str">
        <f t="shared" si="122"/>
        <v>2009-07 (июль 2009)</v>
      </c>
      <c r="E6699" s="9" t="s">
        <v>45</v>
      </c>
      <c r="F6699" s="7">
        <v>8</v>
      </c>
      <c r="G6699" s="7">
        <v>599.20749999999998</v>
      </c>
      <c r="H6699" s="7">
        <v>0.1</v>
      </c>
      <c r="I6699" s="9" t="s">
        <v>22</v>
      </c>
      <c r="J6699" s="10">
        <v>-268.66399999999999</v>
      </c>
      <c r="K6699" s="11">
        <v>95.99</v>
      </c>
      <c r="L6699" s="11">
        <v>4.9000000000000004</v>
      </c>
      <c r="M6699" s="9" t="s">
        <v>2039</v>
      </c>
      <c r="N6699" s="6" t="s">
        <v>2012</v>
      </c>
      <c r="O6699" s="6" t="s">
        <v>2012</v>
      </c>
      <c r="P6699" s="9" t="s">
        <v>41</v>
      </c>
      <c r="Q6699" s="9" t="s">
        <v>42</v>
      </c>
      <c r="R6699" s="9" t="s">
        <v>43</v>
      </c>
      <c r="S6699" s="7" t="s">
        <v>1254</v>
      </c>
      <c r="T6699" s="9" t="s">
        <v>39</v>
      </c>
      <c r="U6699" s="7">
        <v>0.56000000000000005</v>
      </c>
      <c r="V6699" s="12">
        <f>C6699+1</f>
        <v>40019</v>
      </c>
      <c r="W6699">
        <f>IF(D6699=' Pivot Tables'!$A$4,1,0)</f>
        <v>0</v>
      </c>
      <c r="X6699">
        <f>IF(AND(LEFT(D6699,4)+1=LEFT(' Pivot Tables'!$A$4,4)+0,RIGHT(LEFT(D6699,7),2)=RIGHT(LEFT(' Pivot Tables'!$A$4,7),2)),1,0)</f>
        <v>0</v>
      </c>
      <c r="Y6699" s="6">
        <f>1/COUNTIF(Таблица1[Order ID],Таблица1[[#This Row],[Order ID]])</f>
        <v>0.5</v>
      </c>
      <c r="Z6699" s="9">
        <f>1/COUNTIFS(Таблица1[Customer Name],Таблица1[[#This Row],[Customer Name]],Таблица1[Order-Year-Month],Таблица1[[#This Row],[Order-Year-Month]])</f>
        <v>0.5</v>
      </c>
    </row>
    <row r="6700" spans="1:26" x14ac:dyDescent="0.2">
      <c r="A6700" s="6">
        <v>1253</v>
      </c>
      <c r="B6700" s="7">
        <v>9093</v>
      </c>
      <c r="C6700" s="8">
        <f>DATE(2012,12,31)-388</f>
        <v>40886</v>
      </c>
      <c r="D6700" s="8" t="str">
        <f t="shared" si="122"/>
        <v>2011-12 (декабрь 2011)</v>
      </c>
      <c r="E6700" s="9" t="s">
        <v>63</v>
      </c>
      <c r="F6700" s="7">
        <v>36</v>
      </c>
      <c r="G6700" s="7">
        <v>268.55</v>
      </c>
      <c r="H6700" s="7">
        <v>0.1</v>
      </c>
      <c r="I6700" s="9" t="s">
        <v>22</v>
      </c>
      <c r="J6700" s="10">
        <v>-99.02</v>
      </c>
      <c r="K6700" s="11">
        <v>8.1199999999999992</v>
      </c>
      <c r="L6700" s="11">
        <v>2.83</v>
      </c>
      <c r="M6700" s="9" t="s">
        <v>2040</v>
      </c>
      <c r="N6700" s="6" t="s">
        <v>2012</v>
      </c>
      <c r="O6700" s="6" t="s">
        <v>2012</v>
      </c>
      <c r="P6700" s="9" t="s">
        <v>33</v>
      </c>
      <c r="Q6700" s="9" t="s">
        <v>42</v>
      </c>
      <c r="R6700" s="9" t="s">
        <v>70</v>
      </c>
      <c r="S6700" s="7" t="s">
        <v>630</v>
      </c>
      <c r="T6700" s="9" t="s">
        <v>52</v>
      </c>
      <c r="U6700" s="7">
        <v>0.77</v>
      </c>
      <c r="V6700" s="12">
        <f>C6700+0</f>
        <v>40886</v>
      </c>
      <c r="W6700">
        <f>IF(D6700=' Pivot Tables'!$A$4,1,0)</f>
        <v>0</v>
      </c>
      <c r="X6700">
        <f>IF(AND(LEFT(D6700,4)+1=LEFT(' Pivot Tables'!$A$4,4)+0,RIGHT(LEFT(D6700,7),2)=RIGHT(LEFT(' Pivot Tables'!$A$4,7),2)),1,0)</f>
        <v>0</v>
      </c>
      <c r="Y6700" s="6">
        <f>1/COUNTIF(Таблица1[Order ID],Таблица1[[#This Row],[Order ID]])</f>
        <v>1</v>
      </c>
      <c r="Z6700" s="9">
        <f>1/COUNTIFS(Таблица1[Customer Name],Таблица1[[#This Row],[Customer Name]],Таблица1[Order-Year-Month],Таблица1[[#This Row],[Order-Year-Month]])</f>
        <v>1</v>
      </c>
    </row>
    <row r="6701" spans="1:26" x14ac:dyDescent="0.2">
      <c r="A6701" s="6">
        <v>1274</v>
      </c>
      <c r="B6701" s="7">
        <v>9251</v>
      </c>
      <c r="C6701" s="8">
        <f>DATE(2012,12,31)-855</f>
        <v>40419</v>
      </c>
      <c r="D6701" s="8" t="str">
        <f t="shared" si="122"/>
        <v>2010-08 (август 2010)</v>
      </c>
      <c r="E6701" s="9" t="s">
        <v>63</v>
      </c>
      <c r="F6701" s="7">
        <v>38</v>
      </c>
      <c r="G6701" s="7">
        <v>3632.6</v>
      </c>
      <c r="H6701" s="7">
        <v>0</v>
      </c>
      <c r="I6701" s="9" t="s">
        <v>31</v>
      </c>
      <c r="J6701" s="10">
        <v>-400.33</v>
      </c>
      <c r="K6701" s="11">
        <v>89.99</v>
      </c>
      <c r="L6701" s="11">
        <v>42</v>
      </c>
      <c r="M6701" s="9" t="s">
        <v>1482</v>
      </c>
      <c r="N6701" s="6" t="s">
        <v>2012</v>
      </c>
      <c r="O6701" s="6" t="s">
        <v>2012</v>
      </c>
      <c r="P6701" s="9" t="s">
        <v>41</v>
      </c>
      <c r="Q6701" s="9" t="s">
        <v>49</v>
      </c>
      <c r="R6701" s="9" t="s">
        <v>112</v>
      </c>
      <c r="S6701" s="7" t="s">
        <v>853</v>
      </c>
      <c r="T6701" s="9" t="s">
        <v>36</v>
      </c>
      <c r="U6701" s="7">
        <v>0.66</v>
      </c>
      <c r="V6701" s="12">
        <f>C6701+2</f>
        <v>40421</v>
      </c>
      <c r="W6701">
        <f>IF(D6701=' Pivot Tables'!$A$4,1,0)</f>
        <v>0</v>
      </c>
      <c r="X6701">
        <f>IF(AND(LEFT(D6701,4)+1=LEFT(' Pivot Tables'!$A$4,4)+0,RIGHT(LEFT(D6701,7),2)=RIGHT(LEFT(' Pivot Tables'!$A$4,7),2)),1,0)</f>
        <v>0</v>
      </c>
      <c r="Y6701" s="6">
        <f>1/COUNTIF(Таблица1[Order ID],Таблица1[[#This Row],[Order ID]])</f>
        <v>1</v>
      </c>
      <c r="Z6701" s="9">
        <f>1/COUNTIFS(Таблица1[Customer Name],Таблица1[[#This Row],[Customer Name]],Таблица1[Order-Year-Month],Таблица1[[#This Row],[Order-Year-Month]])</f>
        <v>1</v>
      </c>
    </row>
    <row r="6702" spans="1:26" x14ac:dyDescent="0.2">
      <c r="A6702" s="6">
        <v>1282</v>
      </c>
      <c r="B6702" s="7">
        <v>9344</v>
      </c>
      <c r="C6702" s="8">
        <f>DATE(2012,12,31)-391</f>
        <v>40883</v>
      </c>
      <c r="D6702" s="8" t="str">
        <f t="shared" si="122"/>
        <v>2011-12 (декабрь 2011)</v>
      </c>
      <c r="E6702" s="9" t="s">
        <v>21</v>
      </c>
      <c r="F6702" s="7">
        <v>18</v>
      </c>
      <c r="G6702" s="7">
        <v>1733.1</v>
      </c>
      <c r="H6702" s="7">
        <v>0.09</v>
      </c>
      <c r="I6702" s="9" t="s">
        <v>22</v>
      </c>
      <c r="J6702" s="10">
        <v>-505.69</v>
      </c>
      <c r="K6702" s="11">
        <v>95.99</v>
      </c>
      <c r="L6702" s="11">
        <v>35</v>
      </c>
      <c r="M6702" s="9" t="s">
        <v>1488</v>
      </c>
      <c r="N6702" s="6" t="s">
        <v>2012</v>
      </c>
      <c r="O6702" s="6" t="s">
        <v>2012</v>
      </c>
      <c r="P6702" s="9" t="s">
        <v>33</v>
      </c>
      <c r="Q6702" s="9" t="s">
        <v>26</v>
      </c>
      <c r="R6702" s="9" t="s">
        <v>27</v>
      </c>
      <c r="S6702" s="7" t="s">
        <v>1411</v>
      </c>
      <c r="T6702" s="9" t="s">
        <v>29</v>
      </c>
      <c r="U6702" s="7"/>
      <c r="V6702" s="12">
        <f>C6702+2</f>
        <v>40885</v>
      </c>
      <c r="W6702">
        <f>IF(D6702=' Pivot Tables'!$A$4,1,0)</f>
        <v>0</v>
      </c>
      <c r="X6702">
        <f>IF(AND(LEFT(D6702,4)+1=LEFT(' Pivot Tables'!$A$4,4)+0,RIGHT(LEFT(D6702,7),2)=RIGHT(LEFT(' Pivot Tables'!$A$4,7),2)),1,0)</f>
        <v>0</v>
      </c>
      <c r="Y6702" s="6">
        <f>1/COUNTIF(Таблица1[Order ID],Таблица1[[#This Row],[Order ID]])</f>
        <v>0.5</v>
      </c>
      <c r="Z6702" s="9">
        <f>1/COUNTIFS(Таблица1[Customer Name],Таблица1[[#This Row],[Customer Name]],Таблица1[Order-Year-Month],Таблица1[[#This Row],[Order-Year-Month]])</f>
        <v>0.25</v>
      </c>
    </row>
    <row r="6703" spans="1:26" x14ac:dyDescent="0.2">
      <c r="A6703" s="6">
        <v>1283</v>
      </c>
      <c r="B6703" s="7">
        <v>9344</v>
      </c>
      <c r="C6703" s="8">
        <f>DATE(2012,12,31)-391</f>
        <v>40883</v>
      </c>
      <c r="D6703" s="8" t="str">
        <f t="shared" si="122"/>
        <v>2011-12 (декабрь 2011)</v>
      </c>
      <c r="E6703" s="9" t="s">
        <v>21</v>
      </c>
      <c r="F6703" s="7">
        <v>31</v>
      </c>
      <c r="G6703" s="7">
        <v>3448.6455000000001</v>
      </c>
      <c r="H6703" s="7">
        <v>0.02</v>
      </c>
      <c r="I6703" s="9" t="s">
        <v>22</v>
      </c>
      <c r="J6703" s="10">
        <v>900.41399999999999</v>
      </c>
      <c r="K6703" s="11">
        <v>125.99</v>
      </c>
      <c r="L6703" s="11">
        <v>8.99</v>
      </c>
      <c r="M6703" s="9" t="s">
        <v>1488</v>
      </c>
      <c r="N6703" s="6" t="s">
        <v>2012</v>
      </c>
      <c r="O6703" s="6" t="s">
        <v>2012</v>
      </c>
      <c r="P6703" s="9" t="s">
        <v>33</v>
      </c>
      <c r="Q6703" s="9" t="s">
        <v>42</v>
      </c>
      <c r="R6703" s="9" t="s">
        <v>43</v>
      </c>
      <c r="S6703" s="7" t="s">
        <v>802</v>
      </c>
      <c r="T6703" s="9" t="s">
        <v>39</v>
      </c>
      <c r="U6703" s="7">
        <v>0.55000000000000004</v>
      </c>
      <c r="V6703" s="12">
        <f>C6703+0</f>
        <v>40883</v>
      </c>
      <c r="W6703">
        <f>IF(D6703=' Pivot Tables'!$A$4,1,0)</f>
        <v>0</v>
      </c>
      <c r="X6703">
        <f>IF(AND(LEFT(D6703,4)+1=LEFT(' Pivot Tables'!$A$4,4)+0,RIGHT(LEFT(D6703,7),2)=RIGHT(LEFT(' Pivot Tables'!$A$4,7),2)),1,0)</f>
        <v>0</v>
      </c>
      <c r="Y6703" s="6">
        <f>1/COUNTIF(Таблица1[Order ID],Таблица1[[#This Row],[Order ID]])</f>
        <v>0.5</v>
      </c>
      <c r="Z6703" s="9">
        <f>1/COUNTIFS(Таблица1[Customer Name],Таблица1[[#This Row],[Customer Name]],Таблица1[Order-Year-Month],Таблица1[[#This Row],[Order-Year-Month]])</f>
        <v>0.25</v>
      </c>
    </row>
    <row r="6704" spans="1:26" x14ac:dyDescent="0.2">
      <c r="A6704" s="6">
        <v>1342</v>
      </c>
      <c r="B6704" s="7">
        <v>9824</v>
      </c>
      <c r="C6704" s="8">
        <f>DATE(2012,12,31)-709</f>
        <v>40565</v>
      </c>
      <c r="D6704" s="8" t="str">
        <f t="shared" si="122"/>
        <v>2011-01 (январь 2011)</v>
      </c>
      <c r="E6704" s="9" t="s">
        <v>78</v>
      </c>
      <c r="F6704" s="7">
        <v>39</v>
      </c>
      <c r="G6704" s="7">
        <v>1939.66</v>
      </c>
      <c r="H6704" s="7">
        <v>0.03</v>
      </c>
      <c r="I6704" s="9" t="s">
        <v>56</v>
      </c>
      <c r="J6704" s="10">
        <v>540.66999999999996</v>
      </c>
      <c r="K6704" s="11">
        <v>48.92</v>
      </c>
      <c r="L6704" s="11">
        <v>4.5</v>
      </c>
      <c r="M6704" s="9" t="s">
        <v>2033</v>
      </c>
      <c r="N6704" s="6" t="s">
        <v>2012</v>
      </c>
      <c r="O6704" s="6" t="s">
        <v>2012</v>
      </c>
      <c r="P6704" s="9" t="s">
        <v>33</v>
      </c>
      <c r="Q6704" s="9" t="s">
        <v>26</v>
      </c>
      <c r="R6704" s="9" t="s">
        <v>34</v>
      </c>
      <c r="S6704" s="7" t="s">
        <v>775</v>
      </c>
      <c r="T6704" s="9" t="s">
        <v>39</v>
      </c>
      <c r="U6704" s="7">
        <v>0.59</v>
      </c>
      <c r="V6704" s="12">
        <f>C6704+2</f>
        <v>40567</v>
      </c>
      <c r="W6704">
        <f>IF(D6704=' Pivot Tables'!$A$4,1,0)</f>
        <v>0</v>
      </c>
      <c r="X6704">
        <f>IF(AND(LEFT(D6704,4)+1=LEFT(' Pivot Tables'!$A$4,4)+0,RIGHT(LEFT(D6704,7),2)=RIGHT(LEFT(' Pivot Tables'!$A$4,7),2)),1,0)</f>
        <v>0</v>
      </c>
      <c r="Y6704" s="6">
        <f>1/COUNTIF(Таблица1[Order ID],Таблица1[[#This Row],[Order ID]])</f>
        <v>0.33333333333333331</v>
      </c>
      <c r="Z6704" s="9">
        <f>1/COUNTIFS(Таблица1[Customer Name],Таблица1[[#This Row],[Customer Name]],Таблица1[Order-Year-Month],Таблица1[[#This Row],[Order-Year-Month]])</f>
        <v>0.33333333333333331</v>
      </c>
    </row>
    <row r="6705" spans="1:26" x14ac:dyDescent="0.2">
      <c r="A6705" s="6">
        <v>1343</v>
      </c>
      <c r="B6705" s="7">
        <v>9824</v>
      </c>
      <c r="C6705" s="8">
        <f>DATE(2012,12,31)-709</f>
        <v>40565</v>
      </c>
      <c r="D6705" s="8" t="str">
        <f t="shared" si="122"/>
        <v>2011-01 (январь 2011)</v>
      </c>
      <c r="E6705" s="9" t="s">
        <v>78</v>
      </c>
      <c r="F6705" s="7">
        <v>5</v>
      </c>
      <c r="G6705" s="7">
        <v>21.56</v>
      </c>
      <c r="H6705" s="7">
        <v>0</v>
      </c>
      <c r="I6705" s="9" t="s">
        <v>22</v>
      </c>
      <c r="J6705" s="10">
        <v>2.75</v>
      </c>
      <c r="K6705" s="11">
        <v>4.13</v>
      </c>
      <c r="L6705" s="11">
        <v>0.5</v>
      </c>
      <c r="M6705" s="9" t="s">
        <v>2033</v>
      </c>
      <c r="N6705" s="6" t="s">
        <v>2012</v>
      </c>
      <c r="O6705" s="6" t="s">
        <v>2012</v>
      </c>
      <c r="P6705" s="9" t="s">
        <v>33</v>
      </c>
      <c r="Q6705" s="9" t="s">
        <v>26</v>
      </c>
      <c r="R6705" s="9" t="s">
        <v>88</v>
      </c>
      <c r="S6705" s="7" t="s">
        <v>184</v>
      </c>
      <c r="T6705" s="9" t="s">
        <v>39</v>
      </c>
      <c r="U6705" s="7">
        <v>0.39</v>
      </c>
      <c r="V6705" s="12">
        <f>C6705+2</f>
        <v>40567</v>
      </c>
      <c r="W6705">
        <f>IF(D6705=' Pivot Tables'!$A$4,1,0)</f>
        <v>0</v>
      </c>
      <c r="X6705">
        <f>IF(AND(LEFT(D6705,4)+1=LEFT(' Pivot Tables'!$A$4,4)+0,RIGHT(LEFT(D6705,7),2)=RIGHT(LEFT(' Pivot Tables'!$A$4,7),2)),1,0)</f>
        <v>0</v>
      </c>
      <c r="Y6705" s="6">
        <f>1/COUNTIF(Таблица1[Order ID],Таблица1[[#This Row],[Order ID]])</f>
        <v>0.33333333333333331</v>
      </c>
      <c r="Z6705" s="9">
        <f>1/COUNTIFS(Таблица1[Customer Name],Таблица1[[#This Row],[Customer Name]],Таблица1[Order-Year-Month],Таблица1[[#This Row],[Order-Year-Month]])</f>
        <v>0.33333333333333331</v>
      </c>
    </row>
    <row r="6706" spans="1:26" x14ac:dyDescent="0.2">
      <c r="A6706" s="6">
        <v>1344</v>
      </c>
      <c r="B6706" s="7">
        <v>9824</v>
      </c>
      <c r="C6706" s="8">
        <f>DATE(2012,12,31)-709</f>
        <v>40565</v>
      </c>
      <c r="D6706" s="8" t="str">
        <f t="shared" si="122"/>
        <v>2011-01 (январь 2011)</v>
      </c>
      <c r="E6706" s="9" t="s">
        <v>78</v>
      </c>
      <c r="F6706" s="7">
        <v>43</v>
      </c>
      <c r="G6706" s="7">
        <v>115.81</v>
      </c>
      <c r="H6706" s="7">
        <v>0.1</v>
      </c>
      <c r="I6706" s="9" t="s">
        <v>22</v>
      </c>
      <c r="J6706" s="10">
        <v>-1.49</v>
      </c>
      <c r="K6706" s="11">
        <v>2.88</v>
      </c>
      <c r="L6706" s="11">
        <v>1.01</v>
      </c>
      <c r="M6706" s="9" t="s">
        <v>2033</v>
      </c>
      <c r="N6706" s="6" t="s">
        <v>2012</v>
      </c>
      <c r="O6706" s="6" t="s">
        <v>2012</v>
      </c>
      <c r="P6706" s="9" t="s">
        <v>33</v>
      </c>
      <c r="Q6706" s="9" t="s">
        <v>26</v>
      </c>
      <c r="R6706" s="9" t="s">
        <v>95</v>
      </c>
      <c r="S6706" s="7" t="s">
        <v>736</v>
      </c>
      <c r="T6706" s="9" t="s">
        <v>68</v>
      </c>
      <c r="U6706" s="7">
        <v>0.55000000000000004</v>
      </c>
      <c r="V6706" s="12">
        <f>C6706+2</f>
        <v>40567</v>
      </c>
      <c r="W6706">
        <f>IF(D6706=' Pivot Tables'!$A$4,1,0)</f>
        <v>0</v>
      </c>
      <c r="X6706">
        <f>IF(AND(LEFT(D6706,4)+1=LEFT(' Pivot Tables'!$A$4,4)+0,RIGHT(LEFT(D6706,7),2)=RIGHT(LEFT(' Pivot Tables'!$A$4,7),2)),1,0)</f>
        <v>0</v>
      </c>
      <c r="Y6706" s="6">
        <f>1/COUNTIF(Таблица1[Order ID],Таблица1[[#This Row],[Order ID]])</f>
        <v>0.33333333333333331</v>
      </c>
      <c r="Z6706" s="9">
        <f>1/COUNTIFS(Таблица1[Customer Name],Таблица1[[#This Row],[Customer Name]],Таблица1[Order-Year-Month],Таблица1[[#This Row],[Order-Year-Month]])</f>
        <v>0.33333333333333331</v>
      </c>
    </row>
    <row r="6707" spans="1:26" x14ac:dyDescent="0.2">
      <c r="A6707" s="6">
        <v>1383</v>
      </c>
      <c r="B6707" s="7">
        <v>10052</v>
      </c>
      <c r="C6707" s="8">
        <f>DATE(2012,12,31)-1211</f>
        <v>40063</v>
      </c>
      <c r="D6707" s="8" t="str">
        <f t="shared" si="122"/>
        <v>2009-09 (сентябрь 2009)</v>
      </c>
      <c r="E6707" s="9" t="s">
        <v>45</v>
      </c>
      <c r="F6707" s="7">
        <v>16</v>
      </c>
      <c r="G6707" s="7">
        <v>95.9</v>
      </c>
      <c r="H6707" s="7">
        <v>7.0000000000000007E-2</v>
      </c>
      <c r="I6707" s="9" t="s">
        <v>22</v>
      </c>
      <c r="J6707" s="10">
        <v>19.57</v>
      </c>
      <c r="K6707" s="11">
        <v>6.08</v>
      </c>
      <c r="L6707" s="11">
        <v>0.91</v>
      </c>
      <c r="M6707" s="9" t="s">
        <v>1475</v>
      </c>
      <c r="N6707" s="6" t="s">
        <v>2012</v>
      </c>
      <c r="O6707" s="6" t="s">
        <v>2012</v>
      </c>
      <c r="P6707" s="9" t="s">
        <v>41</v>
      </c>
      <c r="Q6707" s="9" t="s">
        <v>26</v>
      </c>
      <c r="R6707" s="9" t="s">
        <v>95</v>
      </c>
      <c r="S6707" s="7" t="s">
        <v>1366</v>
      </c>
      <c r="T6707" s="9" t="s">
        <v>68</v>
      </c>
      <c r="U6707" s="7">
        <v>0.51</v>
      </c>
      <c r="V6707" s="12">
        <f>C6707+1</f>
        <v>40064</v>
      </c>
      <c r="W6707">
        <f>IF(D6707=' Pivot Tables'!$A$4,1,0)</f>
        <v>0</v>
      </c>
      <c r="X6707">
        <f>IF(AND(LEFT(D6707,4)+1=LEFT(' Pivot Tables'!$A$4,4)+0,RIGHT(LEFT(D6707,7),2)=RIGHT(LEFT(' Pivot Tables'!$A$4,7),2)),1,0)</f>
        <v>0</v>
      </c>
      <c r="Y6707" s="6">
        <f>1/COUNTIF(Таблица1[Order ID],Таблица1[[#This Row],[Order ID]])</f>
        <v>0.33333333333333331</v>
      </c>
      <c r="Z6707" s="9">
        <f>1/COUNTIFS(Таблица1[Customer Name],Таблица1[[#This Row],[Customer Name]],Таблица1[Order-Year-Month],Таблица1[[#This Row],[Order-Year-Month]])</f>
        <v>0.2</v>
      </c>
    </row>
    <row r="6708" spans="1:26" x14ac:dyDescent="0.2">
      <c r="A6708" s="6">
        <v>1384</v>
      </c>
      <c r="B6708" s="7">
        <v>10052</v>
      </c>
      <c r="C6708" s="8">
        <f>DATE(2012,12,31)-1211</f>
        <v>40063</v>
      </c>
      <c r="D6708" s="8" t="str">
        <f t="shared" si="122"/>
        <v>2009-09 (сентябрь 2009)</v>
      </c>
      <c r="E6708" s="9" t="s">
        <v>45</v>
      </c>
      <c r="F6708" s="7">
        <v>28</v>
      </c>
      <c r="G6708" s="7">
        <v>517.91</v>
      </c>
      <c r="H6708" s="7">
        <v>0.08</v>
      </c>
      <c r="I6708" s="9" t="s">
        <v>22</v>
      </c>
      <c r="J6708" s="10">
        <v>107.11</v>
      </c>
      <c r="K6708" s="11">
        <v>19.899999999999999</v>
      </c>
      <c r="L6708" s="11">
        <v>5.29</v>
      </c>
      <c r="M6708" s="9" t="s">
        <v>1475</v>
      </c>
      <c r="N6708" s="6" t="s">
        <v>2012</v>
      </c>
      <c r="O6708" s="6" t="s">
        <v>2012</v>
      </c>
      <c r="P6708" s="9" t="s">
        <v>41</v>
      </c>
      <c r="Q6708" s="9" t="s">
        <v>26</v>
      </c>
      <c r="R6708" s="9" t="s">
        <v>34</v>
      </c>
      <c r="S6708" s="7" t="s">
        <v>2041</v>
      </c>
      <c r="T6708" s="9" t="s">
        <v>48</v>
      </c>
      <c r="U6708" s="7">
        <v>0.4</v>
      </c>
      <c r="V6708" s="12">
        <f>C6708+2</f>
        <v>40065</v>
      </c>
      <c r="W6708">
        <f>IF(D6708=' Pivot Tables'!$A$4,1,0)</f>
        <v>0</v>
      </c>
      <c r="X6708">
        <f>IF(AND(LEFT(D6708,4)+1=LEFT(' Pivot Tables'!$A$4,4)+0,RIGHT(LEFT(D6708,7),2)=RIGHT(LEFT(' Pivot Tables'!$A$4,7),2)),1,0)</f>
        <v>0</v>
      </c>
      <c r="Y6708" s="6">
        <f>1/COUNTIF(Таблица1[Order ID],Таблица1[[#This Row],[Order ID]])</f>
        <v>0.33333333333333331</v>
      </c>
      <c r="Z6708" s="9">
        <f>1/COUNTIFS(Таблица1[Customer Name],Таблица1[[#This Row],[Customer Name]],Таблица1[Order-Year-Month],Таблица1[[#This Row],[Order-Year-Month]])</f>
        <v>0.2</v>
      </c>
    </row>
    <row r="6709" spans="1:26" x14ac:dyDescent="0.2">
      <c r="A6709" s="6">
        <v>1385</v>
      </c>
      <c r="B6709" s="7">
        <v>10052</v>
      </c>
      <c r="C6709" s="8">
        <f>DATE(2012,12,31)-1211</f>
        <v>40063</v>
      </c>
      <c r="D6709" s="8" t="str">
        <f t="shared" si="122"/>
        <v>2009-09 (сентябрь 2009)</v>
      </c>
      <c r="E6709" s="9" t="s">
        <v>45</v>
      </c>
      <c r="F6709" s="7">
        <v>46</v>
      </c>
      <c r="G6709" s="7">
        <v>162.28</v>
      </c>
      <c r="H6709" s="7">
        <v>0.02</v>
      </c>
      <c r="I6709" s="9" t="s">
        <v>22</v>
      </c>
      <c r="J6709" s="10">
        <v>-216.154</v>
      </c>
      <c r="K6709" s="11">
        <v>3.36</v>
      </c>
      <c r="L6709" s="11">
        <v>6.27</v>
      </c>
      <c r="M6709" s="9" t="s">
        <v>1475</v>
      </c>
      <c r="N6709" s="6" t="s">
        <v>2012</v>
      </c>
      <c r="O6709" s="6" t="s">
        <v>2012</v>
      </c>
      <c r="P6709" s="9" t="s">
        <v>41</v>
      </c>
      <c r="Q6709" s="9" t="s">
        <v>26</v>
      </c>
      <c r="R6709" s="9" t="s">
        <v>37</v>
      </c>
      <c r="S6709" s="7" t="s">
        <v>410</v>
      </c>
      <c r="T6709" s="9" t="s">
        <v>39</v>
      </c>
      <c r="U6709" s="7">
        <v>0.4</v>
      </c>
      <c r="V6709" s="12">
        <f>C6709+2</f>
        <v>40065</v>
      </c>
      <c r="W6709">
        <f>IF(D6709=' Pivot Tables'!$A$4,1,0)</f>
        <v>0</v>
      </c>
      <c r="X6709">
        <f>IF(AND(LEFT(D6709,4)+1=LEFT(' Pivot Tables'!$A$4,4)+0,RIGHT(LEFT(D6709,7),2)=RIGHT(LEFT(' Pivot Tables'!$A$4,7),2)),1,0)</f>
        <v>0</v>
      </c>
      <c r="Y6709" s="6">
        <f>1/COUNTIF(Таблица1[Order ID],Таблица1[[#This Row],[Order ID]])</f>
        <v>0.33333333333333331</v>
      </c>
      <c r="Z6709" s="9">
        <f>1/COUNTIFS(Таблица1[Customer Name],Таблица1[[#This Row],[Customer Name]],Таблица1[Order-Year-Month],Таблица1[[#This Row],[Order-Year-Month]])</f>
        <v>0.2</v>
      </c>
    </row>
    <row r="6710" spans="1:26" x14ac:dyDescent="0.2">
      <c r="A6710" s="6">
        <v>1390</v>
      </c>
      <c r="B6710" s="7">
        <v>10080</v>
      </c>
      <c r="C6710" s="8">
        <f>DATE(2012,12,31)-1053</f>
        <v>40221</v>
      </c>
      <c r="D6710" s="8" t="str">
        <f t="shared" si="122"/>
        <v>2010-02 (февраль 2010)</v>
      </c>
      <c r="E6710" s="9" t="s">
        <v>21</v>
      </c>
      <c r="F6710" s="7">
        <v>20</v>
      </c>
      <c r="G6710" s="7">
        <v>637.04</v>
      </c>
      <c r="H6710" s="7">
        <v>0</v>
      </c>
      <c r="I6710" s="9" t="s">
        <v>22</v>
      </c>
      <c r="J6710" s="10">
        <v>-26.83</v>
      </c>
      <c r="K6710" s="11">
        <v>30.73</v>
      </c>
      <c r="L6710" s="11">
        <v>4</v>
      </c>
      <c r="M6710" s="9" t="s">
        <v>1635</v>
      </c>
      <c r="N6710" s="6" t="s">
        <v>2012</v>
      </c>
      <c r="O6710" s="6" t="s">
        <v>2012</v>
      </c>
      <c r="P6710" s="9" t="s">
        <v>41</v>
      </c>
      <c r="Q6710" s="9" t="s">
        <v>42</v>
      </c>
      <c r="R6710" s="9" t="s">
        <v>70</v>
      </c>
      <c r="S6710" s="7" t="s">
        <v>270</v>
      </c>
      <c r="T6710" s="9" t="s">
        <v>39</v>
      </c>
      <c r="U6710" s="7">
        <v>0.75</v>
      </c>
      <c r="V6710" s="12">
        <f>C6710+7</f>
        <v>40228</v>
      </c>
      <c r="W6710">
        <f>IF(D6710=' Pivot Tables'!$A$4,1,0)</f>
        <v>0</v>
      </c>
      <c r="X6710">
        <f>IF(AND(LEFT(D6710,4)+1=LEFT(' Pivot Tables'!$A$4,4)+0,RIGHT(LEFT(D6710,7),2)=RIGHT(LEFT(' Pivot Tables'!$A$4,7),2)),1,0)</f>
        <v>0</v>
      </c>
      <c r="Y6710" s="6">
        <f>1/COUNTIF(Таблица1[Order ID],Таблица1[[#This Row],[Order ID]])</f>
        <v>1</v>
      </c>
      <c r="Z6710" s="9">
        <f>1/COUNTIFS(Таблица1[Customer Name],Таблица1[[#This Row],[Customer Name]],Таблица1[Order-Year-Month],Таблица1[[#This Row],[Order-Year-Month]])</f>
        <v>1</v>
      </c>
    </row>
    <row r="6711" spans="1:26" x14ac:dyDescent="0.2">
      <c r="A6711" s="6">
        <v>1393</v>
      </c>
      <c r="B6711" s="7">
        <v>10117</v>
      </c>
      <c r="C6711" s="8">
        <f>DATE(2012,12,31)-776</f>
        <v>40498</v>
      </c>
      <c r="D6711" s="8" t="str">
        <f t="shared" si="122"/>
        <v>2010-11 (ноябрь 2010)</v>
      </c>
      <c r="E6711" s="9" t="s">
        <v>63</v>
      </c>
      <c r="F6711" s="7">
        <v>6</v>
      </c>
      <c r="G6711" s="7">
        <v>64.37</v>
      </c>
      <c r="H6711" s="7">
        <v>7.0000000000000007E-2</v>
      </c>
      <c r="I6711" s="9" t="s">
        <v>56</v>
      </c>
      <c r="J6711" s="10">
        <v>-6.9574999999999996</v>
      </c>
      <c r="K6711" s="11">
        <v>8.85</v>
      </c>
      <c r="L6711" s="11">
        <v>5.6</v>
      </c>
      <c r="M6711" s="9" t="s">
        <v>1341</v>
      </c>
      <c r="N6711" s="6" t="s">
        <v>2012</v>
      </c>
      <c r="O6711" s="6" t="s">
        <v>2012</v>
      </c>
      <c r="P6711" s="9" t="s">
        <v>33</v>
      </c>
      <c r="Q6711" s="9" t="s">
        <v>26</v>
      </c>
      <c r="R6711" s="9" t="s">
        <v>37</v>
      </c>
      <c r="S6711" s="7" t="s">
        <v>298</v>
      </c>
      <c r="T6711" s="9" t="s">
        <v>39</v>
      </c>
      <c r="U6711" s="7">
        <v>0.36</v>
      </c>
      <c r="V6711" s="12">
        <f>C6711+1</f>
        <v>40499</v>
      </c>
      <c r="W6711">
        <f>IF(D6711=' Pivot Tables'!$A$4,1,0)</f>
        <v>0</v>
      </c>
      <c r="X6711">
        <f>IF(AND(LEFT(D6711,4)+1=LEFT(' Pivot Tables'!$A$4,4)+0,RIGHT(LEFT(D6711,7),2)=RIGHT(LEFT(' Pivot Tables'!$A$4,7),2)),1,0)</f>
        <v>0</v>
      </c>
      <c r="Y6711" s="6">
        <f>1/COUNTIF(Таблица1[Order ID],Таблица1[[#This Row],[Order ID]])</f>
        <v>0.5</v>
      </c>
      <c r="Z6711" s="9">
        <f>1/COUNTIFS(Таблица1[Customer Name],Таблица1[[#This Row],[Customer Name]],Таблица1[Order-Year-Month],Таблица1[[#This Row],[Order-Year-Month]])</f>
        <v>0.5</v>
      </c>
    </row>
    <row r="6712" spans="1:26" x14ac:dyDescent="0.2">
      <c r="A6712" s="6">
        <v>1394</v>
      </c>
      <c r="B6712" s="7">
        <v>10117</v>
      </c>
      <c r="C6712" s="8">
        <f>DATE(2012,12,31)-776</f>
        <v>40498</v>
      </c>
      <c r="D6712" s="8" t="str">
        <f t="shared" si="122"/>
        <v>2010-11 (ноябрь 2010)</v>
      </c>
      <c r="E6712" s="9" t="s">
        <v>63</v>
      </c>
      <c r="F6712" s="7">
        <v>10</v>
      </c>
      <c r="G6712" s="7">
        <v>4588.55</v>
      </c>
      <c r="H6712" s="7">
        <v>0.01</v>
      </c>
      <c r="I6712" s="9" t="s">
        <v>22</v>
      </c>
      <c r="J6712" s="10">
        <v>-266.62400000000002</v>
      </c>
      <c r="K6712" s="11">
        <v>449.99</v>
      </c>
      <c r="L6712" s="11">
        <v>24.49</v>
      </c>
      <c r="M6712" s="9" t="s">
        <v>1341</v>
      </c>
      <c r="N6712" s="6" t="s">
        <v>2012</v>
      </c>
      <c r="O6712" s="6" t="s">
        <v>2012</v>
      </c>
      <c r="P6712" s="9" t="s">
        <v>33</v>
      </c>
      <c r="Q6712" s="9" t="s">
        <v>42</v>
      </c>
      <c r="R6712" s="9" t="s">
        <v>99</v>
      </c>
      <c r="S6712" s="7" t="s">
        <v>100</v>
      </c>
      <c r="T6712" s="9" t="s">
        <v>29</v>
      </c>
      <c r="U6712" s="7">
        <v>0.52</v>
      </c>
      <c r="V6712" s="12">
        <f>C6712+2</f>
        <v>40500</v>
      </c>
      <c r="W6712">
        <f>IF(D6712=' Pivot Tables'!$A$4,1,0)</f>
        <v>0</v>
      </c>
      <c r="X6712">
        <f>IF(AND(LEFT(D6712,4)+1=LEFT(' Pivot Tables'!$A$4,4)+0,RIGHT(LEFT(D6712,7),2)=RIGHT(LEFT(' Pivot Tables'!$A$4,7),2)),1,0)</f>
        <v>0</v>
      </c>
      <c r="Y6712" s="6">
        <f>1/COUNTIF(Таблица1[Order ID],Таблица1[[#This Row],[Order ID]])</f>
        <v>0.5</v>
      </c>
      <c r="Z6712" s="9">
        <f>1/COUNTIFS(Таблица1[Customer Name],Таблица1[[#This Row],[Customer Name]],Таблица1[Order-Year-Month],Таблица1[[#This Row],[Order-Year-Month]])</f>
        <v>0.5</v>
      </c>
    </row>
    <row r="6713" spans="1:26" x14ac:dyDescent="0.2">
      <c r="A6713" s="6">
        <v>1398</v>
      </c>
      <c r="B6713" s="7">
        <v>10146</v>
      </c>
      <c r="C6713" s="8">
        <f>DATE(2012,12,31)-1340</f>
        <v>39934</v>
      </c>
      <c r="D6713" s="8" t="str">
        <f t="shared" si="122"/>
        <v>2009-05 (май 2009)</v>
      </c>
      <c r="E6713" s="9" t="s">
        <v>21</v>
      </c>
      <c r="F6713" s="7">
        <v>19</v>
      </c>
      <c r="G6713" s="7">
        <v>596.21</v>
      </c>
      <c r="H6713" s="7">
        <v>0.1</v>
      </c>
      <c r="I6713" s="9" t="s">
        <v>22</v>
      </c>
      <c r="J6713" s="10">
        <v>211.59</v>
      </c>
      <c r="K6713" s="11">
        <v>34.229999999999997</v>
      </c>
      <c r="L6713" s="11">
        <v>5.0199999999999996</v>
      </c>
      <c r="M6713" s="9" t="s">
        <v>1521</v>
      </c>
      <c r="N6713" s="6" t="s">
        <v>2012</v>
      </c>
      <c r="O6713" s="6" t="s">
        <v>2012</v>
      </c>
      <c r="P6713" s="9" t="s">
        <v>41</v>
      </c>
      <c r="Q6713" s="9" t="s">
        <v>49</v>
      </c>
      <c r="R6713" s="9" t="s">
        <v>50</v>
      </c>
      <c r="S6713" s="7" t="s">
        <v>857</v>
      </c>
      <c r="T6713" s="9" t="s">
        <v>39</v>
      </c>
      <c r="U6713" s="7">
        <v>0.55000000000000004</v>
      </c>
      <c r="V6713" s="12">
        <f>C6713+5</f>
        <v>39939</v>
      </c>
      <c r="W6713">
        <f>IF(D6713=' Pivot Tables'!$A$4,1,0)</f>
        <v>0</v>
      </c>
      <c r="X6713">
        <f>IF(AND(LEFT(D6713,4)+1=LEFT(' Pivot Tables'!$A$4,4)+0,RIGHT(LEFT(D6713,7),2)=RIGHT(LEFT(' Pivot Tables'!$A$4,7),2)),1,0)</f>
        <v>0</v>
      </c>
      <c r="Y6713" s="6">
        <f>1/COUNTIF(Таблица1[Order ID],Таблица1[[#This Row],[Order ID]])</f>
        <v>1</v>
      </c>
      <c r="Z6713" s="9">
        <f>1/COUNTIFS(Таблица1[Customer Name],Таблица1[[#This Row],[Customer Name]],Таблица1[Order-Year-Month],Таблица1[[#This Row],[Order-Year-Month]])</f>
        <v>1</v>
      </c>
    </row>
    <row r="6714" spans="1:26" x14ac:dyDescent="0.2">
      <c r="A6714" s="6">
        <v>1410</v>
      </c>
      <c r="B6714" s="7">
        <v>10245</v>
      </c>
      <c r="C6714" s="8">
        <f>DATE(2012,12,31)-687</f>
        <v>40587</v>
      </c>
      <c r="D6714" s="8" t="str">
        <f t="shared" si="122"/>
        <v>2011-02 (февраль 2011)</v>
      </c>
      <c r="E6714" s="9" t="s">
        <v>63</v>
      </c>
      <c r="F6714" s="7">
        <v>27</v>
      </c>
      <c r="G6714" s="7">
        <v>2645.88</v>
      </c>
      <c r="H6714" s="7">
        <v>0.06</v>
      </c>
      <c r="I6714" s="9" t="s">
        <v>31</v>
      </c>
      <c r="J6714" s="10">
        <v>-1231.98</v>
      </c>
      <c r="K6714" s="11">
        <v>100.98</v>
      </c>
      <c r="L6714" s="11">
        <v>57.38</v>
      </c>
      <c r="M6714" s="9" t="s">
        <v>1481</v>
      </c>
      <c r="N6714" s="6" t="s">
        <v>2012</v>
      </c>
      <c r="O6714" s="6" t="s">
        <v>2012</v>
      </c>
      <c r="P6714" s="9" t="s">
        <v>41</v>
      </c>
      <c r="Q6714" s="9" t="s">
        <v>49</v>
      </c>
      <c r="R6714" s="9" t="s">
        <v>80</v>
      </c>
      <c r="S6714" s="7" t="s">
        <v>162</v>
      </c>
      <c r="T6714" s="9" t="s">
        <v>82</v>
      </c>
      <c r="U6714" s="7">
        <v>0.78</v>
      </c>
      <c r="V6714" s="12">
        <f>C6714+1</f>
        <v>40588</v>
      </c>
      <c r="W6714">
        <f>IF(D6714=' Pivot Tables'!$A$4,1,0)</f>
        <v>0</v>
      </c>
      <c r="X6714">
        <f>IF(AND(LEFT(D6714,4)+1=LEFT(' Pivot Tables'!$A$4,4)+0,RIGHT(LEFT(D6714,7),2)=RIGHT(LEFT(' Pivot Tables'!$A$4,7),2)),1,0)</f>
        <v>0</v>
      </c>
      <c r="Y6714" s="6">
        <f>1/COUNTIF(Таблица1[Order ID],Таблица1[[#This Row],[Order ID]])</f>
        <v>0.33333333333333331</v>
      </c>
      <c r="Z6714" s="9">
        <f>1/COUNTIFS(Таблица1[Customer Name],Таблица1[[#This Row],[Customer Name]],Таблица1[Order-Year-Month],Таблица1[[#This Row],[Order-Year-Month]])</f>
        <v>0.33333333333333331</v>
      </c>
    </row>
    <row r="6715" spans="1:26" x14ac:dyDescent="0.2">
      <c r="A6715" s="6">
        <v>1417</v>
      </c>
      <c r="B6715" s="7">
        <v>10277</v>
      </c>
      <c r="C6715" s="8">
        <f>DATE(2012,12,31)-1364</f>
        <v>39910</v>
      </c>
      <c r="D6715" s="8" t="str">
        <f t="shared" si="122"/>
        <v>2009-04 (апрель 2009)</v>
      </c>
      <c r="E6715" s="9" t="s">
        <v>63</v>
      </c>
      <c r="F6715" s="7">
        <v>36</v>
      </c>
      <c r="G6715" s="7">
        <v>2144.924</v>
      </c>
      <c r="H6715" s="7">
        <v>0</v>
      </c>
      <c r="I6715" s="9" t="s">
        <v>22</v>
      </c>
      <c r="J6715" s="10">
        <v>542.25</v>
      </c>
      <c r="K6715" s="11">
        <v>65.989999999999995</v>
      </c>
      <c r="L6715" s="11">
        <v>5.26</v>
      </c>
      <c r="M6715" s="9" t="s">
        <v>1635</v>
      </c>
      <c r="N6715" s="6" t="s">
        <v>2012</v>
      </c>
      <c r="O6715" s="6" t="s">
        <v>2012</v>
      </c>
      <c r="P6715" s="9" t="s">
        <v>41</v>
      </c>
      <c r="Q6715" s="9" t="s">
        <v>42</v>
      </c>
      <c r="R6715" s="9" t="s">
        <v>43</v>
      </c>
      <c r="S6715" s="7" t="s">
        <v>86</v>
      </c>
      <c r="T6715" s="9" t="s">
        <v>39</v>
      </c>
      <c r="U6715" s="7">
        <v>0.59</v>
      </c>
      <c r="V6715" s="12">
        <f>C6715+1</f>
        <v>39911</v>
      </c>
      <c r="W6715">
        <f>IF(D6715=' Pivot Tables'!$A$4,1,0)</f>
        <v>0</v>
      </c>
      <c r="X6715">
        <f>IF(AND(LEFT(D6715,4)+1=LEFT(' Pivot Tables'!$A$4,4)+0,RIGHT(LEFT(D6715,7),2)=RIGHT(LEFT(' Pivot Tables'!$A$4,7),2)),1,0)</f>
        <v>0</v>
      </c>
      <c r="Y6715" s="6">
        <f>1/COUNTIF(Таблица1[Order ID],Таблица1[[#This Row],[Order ID]])</f>
        <v>1</v>
      </c>
      <c r="Z6715" s="9">
        <f>1/COUNTIFS(Таблица1[Customer Name],Таблица1[[#This Row],[Customer Name]],Таблица1[Order-Year-Month],Таблица1[[#This Row],[Order-Year-Month]])</f>
        <v>1</v>
      </c>
    </row>
    <row r="6716" spans="1:26" x14ac:dyDescent="0.2">
      <c r="A6716" s="6">
        <v>1419</v>
      </c>
      <c r="B6716" s="7">
        <v>10305</v>
      </c>
      <c r="C6716" s="8">
        <f>DATE(2012,12,31)-1273</f>
        <v>40001</v>
      </c>
      <c r="D6716" s="8" t="str">
        <f t="shared" si="122"/>
        <v>2009-07 (июль 2009)</v>
      </c>
      <c r="E6716" s="9" t="s">
        <v>21</v>
      </c>
      <c r="F6716" s="7">
        <v>12</v>
      </c>
      <c r="G6716" s="7">
        <v>65.89</v>
      </c>
      <c r="H6716" s="7">
        <v>0.03</v>
      </c>
      <c r="I6716" s="9" t="s">
        <v>22</v>
      </c>
      <c r="J6716" s="10">
        <v>20.6</v>
      </c>
      <c r="K6716" s="11">
        <v>5.08</v>
      </c>
      <c r="L6716" s="11">
        <v>2.0299999999999998</v>
      </c>
      <c r="M6716" s="9" t="s">
        <v>1566</v>
      </c>
      <c r="N6716" s="6" t="s">
        <v>2012</v>
      </c>
      <c r="O6716" s="6" t="s">
        <v>2012</v>
      </c>
      <c r="P6716" s="9" t="s">
        <v>60</v>
      </c>
      <c r="Q6716" s="9" t="s">
        <v>49</v>
      </c>
      <c r="R6716" s="9" t="s">
        <v>50</v>
      </c>
      <c r="S6716" s="7" t="s">
        <v>918</v>
      </c>
      <c r="T6716" s="9" t="s">
        <v>68</v>
      </c>
      <c r="U6716" s="7">
        <v>0.51</v>
      </c>
      <c r="V6716" s="12">
        <f>C6716+5</f>
        <v>40006</v>
      </c>
      <c r="W6716">
        <f>IF(D6716=' Pivot Tables'!$A$4,1,0)</f>
        <v>0</v>
      </c>
      <c r="X6716">
        <f>IF(AND(LEFT(D6716,4)+1=LEFT(' Pivot Tables'!$A$4,4)+0,RIGHT(LEFT(D6716,7),2)=RIGHT(LEFT(' Pivot Tables'!$A$4,7),2)),1,0)</f>
        <v>0</v>
      </c>
      <c r="Y6716" s="6">
        <f>1/COUNTIF(Таблица1[Order ID],Таблица1[[#This Row],[Order ID]])</f>
        <v>1</v>
      </c>
      <c r="Z6716" s="9">
        <f>1/COUNTIFS(Таблица1[Customer Name],Таблица1[[#This Row],[Customer Name]],Таблица1[Order-Year-Month],Таблица1[[#This Row],[Order-Year-Month]])</f>
        <v>1</v>
      </c>
    </row>
    <row r="6717" spans="1:26" x14ac:dyDescent="0.2">
      <c r="A6717" s="6">
        <v>1427</v>
      </c>
      <c r="B6717" s="7">
        <v>10339</v>
      </c>
      <c r="C6717" s="8">
        <f>DATE(2012,12,31)-447</f>
        <v>40827</v>
      </c>
      <c r="D6717" s="8" t="str">
        <f t="shared" si="122"/>
        <v>2011-10 (октябрь 2011)</v>
      </c>
      <c r="E6717" s="9" t="s">
        <v>21</v>
      </c>
      <c r="F6717" s="7">
        <v>49</v>
      </c>
      <c r="G6717" s="7">
        <v>9752.25</v>
      </c>
      <c r="H6717" s="7">
        <v>0.09</v>
      </c>
      <c r="I6717" s="9" t="s">
        <v>22</v>
      </c>
      <c r="J6717" s="10">
        <v>3066.17</v>
      </c>
      <c r="K6717" s="11">
        <v>209.84</v>
      </c>
      <c r="L6717" s="11">
        <v>21.21</v>
      </c>
      <c r="M6717" s="9" t="s">
        <v>1546</v>
      </c>
      <c r="N6717" s="6" t="s">
        <v>2012</v>
      </c>
      <c r="O6717" s="6" t="s">
        <v>2012</v>
      </c>
      <c r="P6717" s="9" t="s">
        <v>25</v>
      </c>
      <c r="Q6717" s="9" t="s">
        <v>49</v>
      </c>
      <c r="R6717" s="9" t="s">
        <v>50</v>
      </c>
      <c r="S6717" s="7" t="s">
        <v>1225</v>
      </c>
      <c r="T6717" s="9" t="s">
        <v>29</v>
      </c>
      <c r="U6717" s="7">
        <v>0.59</v>
      </c>
      <c r="V6717" s="12">
        <f>C6717+4</f>
        <v>40831</v>
      </c>
      <c r="W6717">
        <f>IF(D6717=' Pivot Tables'!$A$4,1,0)</f>
        <v>0</v>
      </c>
      <c r="X6717">
        <f>IF(AND(LEFT(D6717,4)+1=LEFT(' Pivot Tables'!$A$4,4)+0,RIGHT(LEFT(D6717,7),2)=RIGHT(LEFT(' Pivot Tables'!$A$4,7),2)),1,0)</f>
        <v>0</v>
      </c>
      <c r="Y6717" s="6">
        <f>1/COUNTIF(Таблица1[Order ID],Таблица1[[#This Row],[Order ID]])</f>
        <v>1</v>
      </c>
      <c r="Z6717" s="9">
        <f>1/COUNTIFS(Таблица1[Customer Name],Таблица1[[#This Row],[Customer Name]],Таблица1[Order-Year-Month],Таблица1[[#This Row],[Order-Year-Month]])</f>
        <v>1</v>
      </c>
    </row>
    <row r="6718" spans="1:26" x14ac:dyDescent="0.2">
      <c r="A6718" s="6">
        <v>1451</v>
      </c>
      <c r="B6718" s="7">
        <v>10466</v>
      </c>
      <c r="C6718" s="8">
        <f>DATE(2012,12,31)-6</f>
        <v>41268</v>
      </c>
      <c r="D6718" s="8" t="str">
        <f t="shared" si="122"/>
        <v>2012-12 (декабрь 2012)</v>
      </c>
      <c r="E6718" s="9" t="s">
        <v>30</v>
      </c>
      <c r="F6718" s="7">
        <v>27</v>
      </c>
      <c r="G6718" s="7">
        <v>114.86</v>
      </c>
      <c r="H6718" s="7">
        <v>7.0000000000000007E-2</v>
      </c>
      <c r="I6718" s="9" t="s">
        <v>22</v>
      </c>
      <c r="J6718" s="10">
        <v>16.21</v>
      </c>
      <c r="K6718" s="11">
        <v>4.28</v>
      </c>
      <c r="L6718" s="11">
        <v>0.94</v>
      </c>
      <c r="M6718" s="9" t="s">
        <v>1521</v>
      </c>
      <c r="N6718" s="6" t="s">
        <v>2012</v>
      </c>
      <c r="O6718" s="6" t="s">
        <v>2012</v>
      </c>
      <c r="P6718" s="9" t="s">
        <v>41</v>
      </c>
      <c r="Q6718" s="9" t="s">
        <v>26</v>
      </c>
      <c r="R6718" s="9" t="s">
        <v>95</v>
      </c>
      <c r="S6718" s="7" t="s">
        <v>540</v>
      </c>
      <c r="T6718" s="9" t="s">
        <v>68</v>
      </c>
      <c r="U6718" s="7">
        <v>0.56000000000000005</v>
      </c>
      <c r="V6718" s="12">
        <f>C6718+1</f>
        <v>41269</v>
      </c>
      <c r="W6718">
        <f>IF(D6718=' Pivot Tables'!$A$4,1,0)</f>
        <v>0</v>
      </c>
      <c r="X6718">
        <f>IF(AND(LEFT(D6718,4)+1=LEFT(' Pivot Tables'!$A$4,4)+0,RIGHT(LEFT(D6718,7),2)=RIGHT(LEFT(' Pivot Tables'!$A$4,7),2)),1,0)</f>
        <v>0</v>
      </c>
      <c r="Y6718" s="6">
        <f>1/COUNTIF(Таблица1[Order ID],Таблица1[[#This Row],[Order ID]])</f>
        <v>1</v>
      </c>
      <c r="Z6718" s="9">
        <f>1/COUNTIFS(Таблица1[Customer Name],Таблица1[[#This Row],[Customer Name]],Таблица1[Order-Year-Month],Таблица1[[#This Row],[Order-Year-Month]])</f>
        <v>0.25</v>
      </c>
    </row>
    <row r="6719" spans="1:26" x14ac:dyDescent="0.2">
      <c r="A6719" s="6">
        <v>1464</v>
      </c>
      <c r="B6719" s="7">
        <v>10562</v>
      </c>
      <c r="C6719" s="8">
        <f>DATE(2012,12,31)-1146</f>
        <v>40128</v>
      </c>
      <c r="D6719" s="8" t="str">
        <f t="shared" si="122"/>
        <v>2009-11 (ноябрь 2009)</v>
      </c>
      <c r="E6719" s="9" t="s">
        <v>45</v>
      </c>
      <c r="F6719" s="7">
        <v>10</v>
      </c>
      <c r="G6719" s="7">
        <v>994.04</v>
      </c>
      <c r="H6719" s="7">
        <v>0.03</v>
      </c>
      <c r="I6719" s="9" t="s">
        <v>22</v>
      </c>
      <c r="J6719" s="10">
        <v>-335.06</v>
      </c>
      <c r="K6719" s="11">
        <v>95.99</v>
      </c>
      <c r="L6719" s="11">
        <v>35</v>
      </c>
      <c r="M6719" s="9" t="s">
        <v>1490</v>
      </c>
      <c r="N6719" s="6" t="s">
        <v>2012</v>
      </c>
      <c r="O6719" s="6" t="s">
        <v>2012</v>
      </c>
      <c r="P6719" s="9" t="s">
        <v>41</v>
      </c>
      <c r="Q6719" s="9" t="s">
        <v>26</v>
      </c>
      <c r="R6719" s="9" t="s">
        <v>27</v>
      </c>
      <c r="S6719" s="7" t="s">
        <v>1411</v>
      </c>
      <c r="T6719" s="9" t="s">
        <v>29</v>
      </c>
      <c r="U6719" s="7"/>
      <c r="V6719" s="12">
        <f>C6719+1</f>
        <v>40129</v>
      </c>
      <c r="W6719">
        <f>IF(D6719=' Pivot Tables'!$A$4,1,0)</f>
        <v>0</v>
      </c>
      <c r="X6719">
        <f>IF(AND(LEFT(D6719,4)+1=LEFT(' Pivot Tables'!$A$4,4)+0,RIGHT(LEFT(D6719,7),2)=RIGHT(LEFT(' Pivot Tables'!$A$4,7),2)),1,0)</f>
        <v>0</v>
      </c>
      <c r="Y6719" s="6">
        <f>1/COUNTIF(Таблица1[Order ID],Таблица1[[#This Row],[Order ID]])</f>
        <v>1</v>
      </c>
      <c r="Z6719" s="9">
        <f>1/COUNTIFS(Таблица1[Customer Name],Таблица1[[#This Row],[Customer Name]],Таблица1[Order-Year-Month],Таблица1[[#This Row],[Order-Year-Month]])</f>
        <v>1</v>
      </c>
    </row>
    <row r="6720" spans="1:26" x14ac:dyDescent="0.2">
      <c r="A6720" s="6">
        <v>1465</v>
      </c>
      <c r="B6720" s="7">
        <v>10563</v>
      </c>
      <c r="C6720" s="8">
        <f>DATE(2012,12,31)-824</f>
        <v>40450</v>
      </c>
      <c r="D6720" s="8" t="str">
        <f t="shared" si="122"/>
        <v>2010-09 (сентябрь 2010)</v>
      </c>
      <c r="E6720" s="9" t="s">
        <v>78</v>
      </c>
      <c r="F6720" s="7">
        <v>38</v>
      </c>
      <c r="G6720" s="7">
        <v>10223.19</v>
      </c>
      <c r="H6720" s="7">
        <v>0.08</v>
      </c>
      <c r="I6720" s="9" t="s">
        <v>22</v>
      </c>
      <c r="J6720" s="10">
        <v>2723.31</v>
      </c>
      <c r="K6720" s="11">
        <v>289.52999999999997</v>
      </c>
      <c r="L6720" s="11">
        <v>19.989999999999998</v>
      </c>
      <c r="M6720" s="9" t="s">
        <v>1566</v>
      </c>
      <c r="N6720" s="6" t="s">
        <v>2012</v>
      </c>
      <c r="O6720" s="6" t="s">
        <v>2012</v>
      </c>
      <c r="P6720" s="9" t="s">
        <v>41</v>
      </c>
      <c r="Q6720" s="9" t="s">
        <v>26</v>
      </c>
      <c r="R6720" s="9" t="s">
        <v>34</v>
      </c>
      <c r="S6720" s="7" t="s">
        <v>1143</v>
      </c>
      <c r="T6720" s="9" t="s">
        <v>39</v>
      </c>
      <c r="U6720" s="7">
        <v>0.56000000000000005</v>
      </c>
      <c r="V6720" s="12">
        <f>C6720+1</f>
        <v>40451</v>
      </c>
      <c r="W6720">
        <f>IF(D6720=' Pivot Tables'!$A$4,1,0)</f>
        <v>0</v>
      </c>
      <c r="X6720">
        <f>IF(AND(LEFT(D6720,4)+1=LEFT(' Pivot Tables'!$A$4,4)+0,RIGHT(LEFT(D6720,7),2)=RIGHT(LEFT(' Pivot Tables'!$A$4,7),2)),1,0)</f>
        <v>0</v>
      </c>
      <c r="Y6720" s="6">
        <f>1/COUNTIF(Таблица1[Order ID],Таблица1[[#This Row],[Order ID]])</f>
        <v>0.5</v>
      </c>
      <c r="Z6720" s="9">
        <f>1/COUNTIFS(Таблица1[Customer Name],Таблица1[[#This Row],[Customer Name]],Таблица1[Order-Year-Month],Таблица1[[#This Row],[Order-Year-Month]])</f>
        <v>0.5</v>
      </c>
    </row>
    <row r="6721" spans="1:26" x14ac:dyDescent="0.2">
      <c r="A6721" s="6">
        <v>1466</v>
      </c>
      <c r="B6721" s="7">
        <v>10563</v>
      </c>
      <c r="C6721" s="8">
        <f>DATE(2012,12,31)-824</f>
        <v>40450</v>
      </c>
      <c r="D6721" s="8" t="str">
        <f t="shared" si="122"/>
        <v>2010-09 (сентябрь 2010)</v>
      </c>
      <c r="E6721" s="9" t="s">
        <v>78</v>
      </c>
      <c r="F6721" s="7">
        <v>50</v>
      </c>
      <c r="G6721" s="7">
        <v>312.42</v>
      </c>
      <c r="H6721" s="7">
        <v>0.08</v>
      </c>
      <c r="I6721" s="9" t="s">
        <v>22</v>
      </c>
      <c r="J6721" s="10">
        <v>-90.42</v>
      </c>
      <c r="K6721" s="11">
        <v>6.48</v>
      </c>
      <c r="L6721" s="11">
        <v>5.4</v>
      </c>
      <c r="M6721" s="9" t="s">
        <v>1566</v>
      </c>
      <c r="N6721" s="6" t="s">
        <v>2012</v>
      </c>
      <c r="O6721" s="6" t="s">
        <v>2012</v>
      </c>
      <c r="P6721" s="9" t="s">
        <v>41</v>
      </c>
      <c r="Q6721" s="9" t="s">
        <v>26</v>
      </c>
      <c r="R6721" s="9" t="s">
        <v>61</v>
      </c>
      <c r="S6721" s="7" t="s">
        <v>1732</v>
      </c>
      <c r="T6721" s="9" t="s">
        <v>39</v>
      </c>
      <c r="U6721" s="7">
        <v>0.37</v>
      </c>
      <c r="V6721" s="12">
        <f>C6721+2</f>
        <v>40452</v>
      </c>
      <c r="W6721">
        <f>IF(D6721=' Pivot Tables'!$A$4,1,0)</f>
        <v>0</v>
      </c>
      <c r="X6721">
        <f>IF(AND(LEFT(D6721,4)+1=LEFT(' Pivot Tables'!$A$4,4)+0,RIGHT(LEFT(D6721,7),2)=RIGHT(LEFT(' Pivot Tables'!$A$4,7),2)),1,0)</f>
        <v>0</v>
      </c>
      <c r="Y6721" s="6">
        <f>1/COUNTIF(Таблица1[Order ID],Таблица1[[#This Row],[Order ID]])</f>
        <v>0.5</v>
      </c>
      <c r="Z6721" s="9">
        <f>1/COUNTIFS(Таблица1[Customer Name],Таблица1[[#This Row],[Customer Name]],Таблица1[Order-Year-Month],Таблица1[[#This Row],[Order-Year-Month]])</f>
        <v>0.5</v>
      </c>
    </row>
    <row r="6722" spans="1:26" x14ac:dyDescent="0.2">
      <c r="A6722" s="6">
        <v>1477</v>
      </c>
      <c r="B6722" s="7">
        <v>10658</v>
      </c>
      <c r="C6722" s="8">
        <f>DATE(2012,12,31)-1222</f>
        <v>40052</v>
      </c>
      <c r="D6722" s="8" t="str">
        <f t="shared" si="122"/>
        <v>2009-08 (август 2009)</v>
      </c>
      <c r="E6722" s="9" t="s">
        <v>21</v>
      </c>
      <c r="F6722" s="7">
        <v>31</v>
      </c>
      <c r="G6722" s="7">
        <v>262.54000000000002</v>
      </c>
      <c r="H6722" s="7">
        <v>0.04</v>
      </c>
      <c r="I6722" s="9" t="s">
        <v>22</v>
      </c>
      <c r="J6722" s="10">
        <v>29.24</v>
      </c>
      <c r="K6722" s="11">
        <v>8.5</v>
      </c>
      <c r="L6722" s="11">
        <v>1.99</v>
      </c>
      <c r="M6722" s="9" t="s">
        <v>1562</v>
      </c>
      <c r="N6722" s="6" t="s">
        <v>2012</v>
      </c>
      <c r="O6722" s="6" t="s">
        <v>2012</v>
      </c>
      <c r="P6722" s="9" t="s">
        <v>33</v>
      </c>
      <c r="Q6722" s="9" t="s">
        <v>42</v>
      </c>
      <c r="R6722" s="9" t="s">
        <v>70</v>
      </c>
      <c r="S6722" s="7" t="s">
        <v>863</v>
      </c>
      <c r="T6722" s="9" t="s">
        <v>52</v>
      </c>
      <c r="U6722" s="7">
        <v>0.49</v>
      </c>
      <c r="V6722" s="12">
        <f>C6722+4</f>
        <v>40056</v>
      </c>
      <c r="W6722">
        <f>IF(D6722=' Pivot Tables'!$A$4,1,0)</f>
        <v>0</v>
      </c>
      <c r="X6722">
        <f>IF(AND(LEFT(D6722,4)+1=LEFT(' Pivot Tables'!$A$4,4)+0,RIGHT(LEFT(D6722,7),2)=RIGHT(LEFT(' Pivot Tables'!$A$4,7),2)),1,0)</f>
        <v>0</v>
      </c>
      <c r="Y6722" s="6">
        <f>1/COUNTIF(Таблица1[Order ID],Таблица1[[#This Row],[Order ID]])</f>
        <v>0.33333333333333331</v>
      </c>
      <c r="Z6722" s="9">
        <f>1/COUNTIFS(Таблица1[Customer Name],Таблица1[[#This Row],[Customer Name]],Таблица1[Order-Year-Month],Таблица1[[#This Row],[Order-Year-Month]])</f>
        <v>0.33333333333333331</v>
      </c>
    </row>
    <row r="6723" spans="1:26" x14ac:dyDescent="0.2">
      <c r="A6723" s="6">
        <v>1478</v>
      </c>
      <c r="B6723" s="7">
        <v>10658</v>
      </c>
      <c r="C6723" s="8">
        <f>DATE(2012,12,31)-1222</f>
        <v>40052</v>
      </c>
      <c r="D6723" s="8" t="str">
        <f t="shared" ref="D6723:D6786" si="124">TEXT(C6723,"гггг-ММ (ММММ гггг)")</f>
        <v>2009-08 (август 2009)</v>
      </c>
      <c r="E6723" s="9" t="s">
        <v>21</v>
      </c>
      <c r="F6723" s="7">
        <v>12</v>
      </c>
      <c r="G6723" s="7">
        <v>190.73</v>
      </c>
      <c r="H6723" s="7">
        <v>0.1</v>
      </c>
      <c r="I6723" s="9" t="s">
        <v>22</v>
      </c>
      <c r="J6723" s="10">
        <v>-69.643500000000003</v>
      </c>
      <c r="K6723" s="11">
        <v>15.99</v>
      </c>
      <c r="L6723" s="11">
        <v>9.4</v>
      </c>
      <c r="M6723" s="9" t="s">
        <v>1562</v>
      </c>
      <c r="N6723" s="6" t="s">
        <v>2012</v>
      </c>
      <c r="O6723" s="6" t="s">
        <v>2012</v>
      </c>
      <c r="P6723" s="9" t="s">
        <v>33</v>
      </c>
      <c r="Q6723" s="9" t="s">
        <v>42</v>
      </c>
      <c r="R6723" s="9" t="s">
        <v>210</v>
      </c>
      <c r="S6723" s="7" t="s">
        <v>489</v>
      </c>
      <c r="T6723" s="9" t="s">
        <v>39</v>
      </c>
      <c r="U6723" s="7">
        <v>0.49</v>
      </c>
      <c r="V6723" s="12">
        <f>C6723+0</f>
        <v>40052</v>
      </c>
      <c r="W6723">
        <f>IF(D6723=' Pivot Tables'!$A$4,1,0)</f>
        <v>0</v>
      </c>
      <c r="X6723">
        <f>IF(AND(LEFT(D6723,4)+1=LEFT(' Pivot Tables'!$A$4,4)+0,RIGHT(LEFT(D6723,7),2)=RIGHT(LEFT(' Pivot Tables'!$A$4,7),2)),1,0)</f>
        <v>0</v>
      </c>
      <c r="Y6723" s="6">
        <f>1/COUNTIF(Таблица1[Order ID],Таблица1[[#This Row],[Order ID]])</f>
        <v>0.33333333333333331</v>
      </c>
      <c r="Z6723" s="9">
        <f>1/COUNTIFS(Таблица1[Customer Name],Таблица1[[#This Row],[Customer Name]],Таблица1[Order-Year-Month],Таблица1[[#This Row],[Order-Year-Month]])</f>
        <v>0.33333333333333331</v>
      </c>
    </row>
    <row r="6724" spans="1:26" x14ac:dyDescent="0.2">
      <c r="A6724" s="6">
        <v>1479</v>
      </c>
      <c r="B6724" s="7">
        <v>10658</v>
      </c>
      <c r="C6724" s="8">
        <f>DATE(2012,12,31)-1222</f>
        <v>40052</v>
      </c>
      <c r="D6724" s="8" t="str">
        <f t="shared" si="124"/>
        <v>2009-08 (август 2009)</v>
      </c>
      <c r="E6724" s="9" t="s">
        <v>21</v>
      </c>
      <c r="F6724" s="7">
        <v>17</v>
      </c>
      <c r="G6724" s="7">
        <v>1332.97</v>
      </c>
      <c r="H6724" s="7">
        <v>0.09</v>
      </c>
      <c r="I6724" s="9" t="s">
        <v>22</v>
      </c>
      <c r="J6724" s="10">
        <v>4.7520000000000007</v>
      </c>
      <c r="K6724" s="11">
        <v>95.99</v>
      </c>
      <c r="L6724" s="11">
        <v>8.99</v>
      </c>
      <c r="M6724" s="9" t="s">
        <v>1562</v>
      </c>
      <c r="N6724" s="6" t="s">
        <v>2012</v>
      </c>
      <c r="O6724" s="6" t="s">
        <v>2012</v>
      </c>
      <c r="P6724" s="9" t="s">
        <v>33</v>
      </c>
      <c r="Q6724" s="9" t="s">
        <v>42</v>
      </c>
      <c r="R6724" s="9" t="s">
        <v>43</v>
      </c>
      <c r="S6724" s="7" t="s">
        <v>198</v>
      </c>
      <c r="T6724" s="9" t="s">
        <v>39</v>
      </c>
      <c r="U6724" s="7">
        <v>0.56999999999999995</v>
      </c>
      <c r="V6724" s="12">
        <f>C6724+7</f>
        <v>40059</v>
      </c>
      <c r="W6724">
        <f>IF(D6724=' Pivot Tables'!$A$4,1,0)</f>
        <v>0</v>
      </c>
      <c r="X6724">
        <f>IF(AND(LEFT(D6724,4)+1=LEFT(' Pivot Tables'!$A$4,4)+0,RIGHT(LEFT(D6724,7),2)=RIGHT(LEFT(' Pivot Tables'!$A$4,7),2)),1,0)</f>
        <v>0</v>
      </c>
      <c r="Y6724" s="6">
        <f>1/COUNTIF(Таблица1[Order ID],Таблица1[[#This Row],[Order ID]])</f>
        <v>0.33333333333333331</v>
      </c>
      <c r="Z6724" s="9">
        <f>1/COUNTIFS(Таблица1[Customer Name],Таблица1[[#This Row],[Customer Name]],Таблица1[Order-Year-Month],Таблица1[[#This Row],[Order-Year-Month]])</f>
        <v>0.33333333333333331</v>
      </c>
    </row>
    <row r="6725" spans="1:26" x14ac:dyDescent="0.2">
      <c r="A6725" s="6">
        <v>1483</v>
      </c>
      <c r="B6725" s="7">
        <v>10662</v>
      </c>
      <c r="C6725" s="8">
        <f>DATE(2012,12,31)-599</f>
        <v>40675</v>
      </c>
      <c r="D6725" s="8" t="str">
        <f t="shared" si="124"/>
        <v>2011-05 (май 2011)</v>
      </c>
      <c r="E6725" s="9" t="s">
        <v>21</v>
      </c>
      <c r="F6725" s="7">
        <v>45</v>
      </c>
      <c r="G6725" s="7">
        <v>283.13</v>
      </c>
      <c r="H6725" s="7">
        <v>0.08</v>
      </c>
      <c r="I6725" s="9" t="s">
        <v>22</v>
      </c>
      <c r="J6725" s="10">
        <v>-141.26</v>
      </c>
      <c r="K6725" s="11">
        <v>6.48</v>
      </c>
      <c r="L6725" s="11">
        <v>6.81</v>
      </c>
      <c r="M6725" s="9" t="s">
        <v>1544</v>
      </c>
      <c r="N6725" s="6" t="s">
        <v>2012</v>
      </c>
      <c r="O6725" s="6" t="s">
        <v>2012</v>
      </c>
      <c r="P6725" s="9" t="s">
        <v>60</v>
      </c>
      <c r="Q6725" s="9" t="s">
        <v>26</v>
      </c>
      <c r="R6725" s="9" t="s">
        <v>61</v>
      </c>
      <c r="S6725" s="7" t="s">
        <v>299</v>
      </c>
      <c r="T6725" s="9" t="s">
        <v>39</v>
      </c>
      <c r="U6725" s="7">
        <v>0.36</v>
      </c>
      <c r="V6725" s="12">
        <f>C6725+9</f>
        <v>40684</v>
      </c>
      <c r="W6725">
        <f>IF(D6725=' Pivot Tables'!$A$4,1,0)</f>
        <v>0</v>
      </c>
      <c r="X6725">
        <f>IF(AND(LEFT(D6725,4)+1=LEFT(' Pivot Tables'!$A$4,4)+0,RIGHT(LEFT(D6725,7),2)=RIGHT(LEFT(' Pivot Tables'!$A$4,7),2)),1,0)</f>
        <v>0</v>
      </c>
      <c r="Y6725" s="6">
        <f>1/COUNTIF(Таблица1[Order ID],Таблица1[[#This Row],[Order ID]])</f>
        <v>1</v>
      </c>
      <c r="Z6725" s="9">
        <f>1/COUNTIFS(Таблица1[Customer Name],Таблица1[[#This Row],[Customer Name]],Таблица1[Order-Year-Month],Таблица1[[#This Row],[Order-Year-Month]])</f>
        <v>1</v>
      </c>
    </row>
    <row r="6726" spans="1:26" x14ac:dyDescent="0.2">
      <c r="A6726" s="6">
        <v>1514</v>
      </c>
      <c r="B6726" s="7">
        <v>10948</v>
      </c>
      <c r="C6726" s="8">
        <f>DATE(2012,12,31)-140</f>
        <v>41134</v>
      </c>
      <c r="D6726" s="8" t="str">
        <f t="shared" si="124"/>
        <v>2012-08 (август 2012)</v>
      </c>
      <c r="E6726" s="9" t="s">
        <v>63</v>
      </c>
      <c r="F6726" s="7">
        <v>50</v>
      </c>
      <c r="G6726" s="7">
        <v>193.11</v>
      </c>
      <c r="H6726" s="7">
        <v>0.08</v>
      </c>
      <c r="I6726" s="9" t="s">
        <v>22</v>
      </c>
      <c r="J6726" s="10">
        <v>-263.76400000000001</v>
      </c>
      <c r="K6726" s="11">
        <v>3.89</v>
      </c>
      <c r="L6726" s="11">
        <v>7.01</v>
      </c>
      <c r="M6726" s="9" t="s">
        <v>1475</v>
      </c>
      <c r="N6726" s="6" t="s">
        <v>2012</v>
      </c>
      <c r="O6726" s="6" t="s">
        <v>2012</v>
      </c>
      <c r="P6726" s="9" t="s">
        <v>41</v>
      </c>
      <c r="Q6726" s="9" t="s">
        <v>26</v>
      </c>
      <c r="R6726" s="9" t="s">
        <v>37</v>
      </c>
      <c r="S6726" s="7" t="s">
        <v>115</v>
      </c>
      <c r="T6726" s="9" t="s">
        <v>39</v>
      </c>
      <c r="U6726" s="7">
        <v>0.37</v>
      </c>
      <c r="V6726" s="12">
        <f>C6726+0</f>
        <v>41134</v>
      </c>
      <c r="W6726">
        <f>IF(D6726=' Pivot Tables'!$A$4,1,0)</f>
        <v>0</v>
      </c>
      <c r="X6726">
        <f>IF(AND(LEFT(D6726,4)+1=LEFT(' Pivot Tables'!$A$4,4)+0,RIGHT(LEFT(D6726,7),2)=RIGHT(LEFT(' Pivot Tables'!$A$4,7),2)),1,0)</f>
        <v>0</v>
      </c>
      <c r="Y6726" s="6">
        <f>1/COUNTIF(Таблица1[Order ID],Таблица1[[#This Row],[Order ID]])</f>
        <v>1</v>
      </c>
      <c r="Z6726" s="9">
        <f>1/COUNTIFS(Таблица1[Customer Name],Таблица1[[#This Row],[Customer Name]],Таблица1[Order-Year-Month],Таблица1[[#This Row],[Order-Year-Month]])</f>
        <v>0.25</v>
      </c>
    </row>
    <row r="6727" spans="1:26" x14ac:dyDescent="0.2">
      <c r="A6727" s="6">
        <v>1530</v>
      </c>
      <c r="B6727" s="7">
        <v>11014</v>
      </c>
      <c r="C6727" s="8">
        <f>DATE(2012,12,31)-846</f>
        <v>40428</v>
      </c>
      <c r="D6727" s="8" t="str">
        <f t="shared" si="124"/>
        <v>2010-09 (сентябрь 2010)</v>
      </c>
      <c r="E6727" s="9" t="s">
        <v>30</v>
      </c>
      <c r="F6727" s="7">
        <v>13</v>
      </c>
      <c r="G6727" s="7">
        <v>158.79</v>
      </c>
      <c r="H6727" s="7">
        <v>0.05</v>
      </c>
      <c r="I6727" s="9" t="s">
        <v>22</v>
      </c>
      <c r="J6727" s="10">
        <v>1.1560000000000001</v>
      </c>
      <c r="K6727" s="11">
        <v>11.7</v>
      </c>
      <c r="L6727" s="11">
        <v>5.63</v>
      </c>
      <c r="M6727" s="9" t="s">
        <v>2042</v>
      </c>
      <c r="N6727" s="6" t="s">
        <v>2012</v>
      </c>
      <c r="O6727" s="6" t="s">
        <v>2012</v>
      </c>
      <c r="P6727" s="9" t="s">
        <v>41</v>
      </c>
      <c r="Q6727" s="9" t="s">
        <v>26</v>
      </c>
      <c r="R6727" s="9" t="s">
        <v>37</v>
      </c>
      <c r="S6727" s="7" t="s">
        <v>1333</v>
      </c>
      <c r="T6727" s="9" t="s">
        <v>39</v>
      </c>
      <c r="U6727" s="7">
        <v>0.4</v>
      </c>
      <c r="V6727" s="12">
        <f>C6727+2</f>
        <v>40430</v>
      </c>
      <c r="W6727">
        <f>IF(D6727=' Pivot Tables'!$A$4,1,0)</f>
        <v>0</v>
      </c>
      <c r="X6727">
        <f>IF(AND(LEFT(D6727,4)+1=LEFT(' Pivot Tables'!$A$4,4)+0,RIGHT(LEFT(D6727,7),2)=RIGHT(LEFT(' Pivot Tables'!$A$4,7),2)),1,0)</f>
        <v>0</v>
      </c>
      <c r="Y6727" s="6">
        <f>1/COUNTIF(Таблица1[Order ID],Таблица1[[#This Row],[Order ID]])</f>
        <v>0.5</v>
      </c>
      <c r="Z6727" s="9">
        <f>1/COUNTIFS(Таблица1[Customer Name],Таблица1[[#This Row],[Customer Name]],Таблица1[Order-Year-Month],Таблица1[[#This Row],[Order-Year-Month]])</f>
        <v>0.5</v>
      </c>
    </row>
    <row r="6728" spans="1:26" x14ac:dyDescent="0.2">
      <c r="A6728" s="6">
        <v>1539</v>
      </c>
      <c r="B6728" s="7">
        <v>11077</v>
      </c>
      <c r="C6728" s="8">
        <f>DATE(2012,12,31)-1382</f>
        <v>39892</v>
      </c>
      <c r="D6728" s="8" t="str">
        <f t="shared" si="124"/>
        <v>2009-03 (март 2009)</v>
      </c>
      <c r="E6728" s="9" t="s">
        <v>21</v>
      </c>
      <c r="F6728" s="7">
        <v>30</v>
      </c>
      <c r="G6728" s="7">
        <v>4620.05</v>
      </c>
      <c r="H6728" s="7">
        <v>0.06</v>
      </c>
      <c r="I6728" s="9" t="s">
        <v>31</v>
      </c>
      <c r="J6728" s="10">
        <v>-229.68</v>
      </c>
      <c r="K6728" s="11">
        <v>160.97999999999999</v>
      </c>
      <c r="L6728" s="11">
        <v>35.020000000000003</v>
      </c>
      <c r="M6728" s="9" t="s">
        <v>2031</v>
      </c>
      <c r="N6728" s="6" t="s">
        <v>2012</v>
      </c>
      <c r="O6728" s="6" t="s">
        <v>2012</v>
      </c>
      <c r="P6728" s="9" t="s">
        <v>33</v>
      </c>
      <c r="Q6728" s="9" t="s">
        <v>49</v>
      </c>
      <c r="R6728" s="9" t="s">
        <v>80</v>
      </c>
      <c r="S6728" s="7" t="s">
        <v>367</v>
      </c>
      <c r="T6728" s="9" t="s">
        <v>82</v>
      </c>
      <c r="U6728" s="7">
        <v>0.72</v>
      </c>
      <c r="V6728" s="12">
        <f>C6728+4</f>
        <v>39896</v>
      </c>
      <c r="W6728">
        <f>IF(D6728=' Pivot Tables'!$A$4,1,0)</f>
        <v>0</v>
      </c>
      <c r="X6728">
        <f>IF(AND(LEFT(D6728,4)+1=LEFT(' Pivot Tables'!$A$4,4)+0,RIGHT(LEFT(D6728,7),2)=RIGHT(LEFT(' Pivot Tables'!$A$4,7),2)),1,0)</f>
        <v>0</v>
      </c>
      <c r="Y6728" s="6">
        <f>1/COUNTIF(Таблица1[Order ID],Таблица1[[#This Row],[Order ID]])</f>
        <v>1</v>
      </c>
      <c r="Z6728" s="9">
        <f>1/COUNTIFS(Таблица1[Customer Name],Таблица1[[#This Row],[Customer Name]],Таблица1[Order-Year-Month],Таблица1[[#This Row],[Order-Year-Month]])</f>
        <v>1</v>
      </c>
    </row>
    <row r="6729" spans="1:26" x14ac:dyDescent="0.2">
      <c r="A6729" s="6">
        <v>1550</v>
      </c>
      <c r="B6729" s="7">
        <v>11174</v>
      </c>
      <c r="C6729" s="8">
        <f>DATE(2012,12,31)-1362</f>
        <v>39912</v>
      </c>
      <c r="D6729" s="8" t="str">
        <f t="shared" si="124"/>
        <v>2009-04 (апрель 2009)</v>
      </c>
      <c r="E6729" s="9" t="s">
        <v>63</v>
      </c>
      <c r="F6729" s="7">
        <v>30</v>
      </c>
      <c r="G6729" s="7">
        <v>3197.0029999999997</v>
      </c>
      <c r="H6729" s="7">
        <v>7.0000000000000007E-2</v>
      </c>
      <c r="I6729" s="9" t="s">
        <v>22</v>
      </c>
      <c r="J6729" s="10">
        <v>603.45899999999995</v>
      </c>
      <c r="K6729" s="11">
        <v>125.99</v>
      </c>
      <c r="L6729" s="11">
        <v>7.69</v>
      </c>
      <c r="M6729" s="9" t="s">
        <v>1521</v>
      </c>
      <c r="N6729" s="6" t="s">
        <v>2012</v>
      </c>
      <c r="O6729" s="6" t="s">
        <v>2012</v>
      </c>
      <c r="P6729" s="9" t="s">
        <v>41</v>
      </c>
      <c r="Q6729" s="9" t="s">
        <v>42</v>
      </c>
      <c r="R6729" s="9" t="s">
        <v>43</v>
      </c>
      <c r="S6729" s="7" t="s">
        <v>843</v>
      </c>
      <c r="T6729" s="9" t="s">
        <v>39</v>
      </c>
      <c r="U6729" s="7">
        <v>0.59</v>
      </c>
      <c r="V6729" s="12">
        <f>C6729+1</f>
        <v>39913</v>
      </c>
      <c r="W6729">
        <f>IF(D6729=' Pivot Tables'!$A$4,1,0)</f>
        <v>0</v>
      </c>
      <c r="X6729">
        <f>IF(AND(LEFT(D6729,4)+1=LEFT(' Pivot Tables'!$A$4,4)+0,RIGHT(LEFT(D6729,7),2)=RIGHT(LEFT(' Pivot Tables'!$A$4,7),2)),1,0)</f>
        <v>0</v>
      </c>
      <c r="Y6729" s="6">
        <f>1/COUNTIF(Таблица1[Order ID],Таблица1[[#This Row],[Order ID]])</f>
        <v>1</v>
      </c>
      <c r="Z6729" s="9">
        <f>1/COUNTIFS(Таблица1[Customer Name],Таблица1[[#This Row],[Customer Name]],Таблица1[Order-Year-Month],Таблица1[[#This Row],[Order-Year-Month]])</f>
        <v>1</v>
      </c>
    </row>
    <row r="6730" spans="1:26" x14ac:dyDescent="0.2">
      <c r="A6730" s="6">
        <v>1555</v>
      </c>
      <c r="B6730" s="7">
        <v>11236</v>
      </c>
      <c r="C6730" s="8">
        <f>DATE(2012,12,31)-793</f>
        <v>40481</v>
      </c>
      <c r="D6730" s="8" t="str">
        <f t="shared" si="124"/>
        <v>2010-10 (октябрь 2010)</v>
      </c>
      <c r="E6730" s="9" t="s">
        <v>30</v>
      </c>
      <c r="F6730" s="7">
        <v>45</v>
      </c>
      <c r="G6730" s="7">
        <v>298.57</v>
      </c>
      <c r="H6730" s="7">
        <v>7.0000000000000007E-2</v>
      </c>
      <c r="I6730" s="9" t="s">
        <v>22</v>
      </c>
      <c r="J6730" s="10">
        <v>74.069999999999993</v>
      </c>
      <c r="K6730" s="11">
        <v>6.88</v>
      </c>
      <c r="L6730" s="11">
        <v>2</v>
      </c>
      <c r="M6730" s="9" t="s">
        <v>1555</v>
      </c>
      <c r="N6730" s="6" t="s">
        <v>2012</v>
      </c>
      <c r="O6730" s="6" t="s">
        <v>2012</v>
      </c>
      <c r="P6730" s="9" t="s">
        <v>25</v>
      </c>
      <c r="Q6730" s="9" t="s">
        <v>26</v>
      </c>
      <c r="R6730" s="9" t="s">
        <v>61</v>
      </c>
      <c r="S6730" s="7" t="s">
        <v>1063</v>
      </c>
      <c r="T6730" s="9" t="s">
        <v>68</v>
      </c>
      <c r="U6730" s="7">
        <v>0.39</v>
      </c>
      <c r="V6730" s="12">
        <f>C6730+0</f>
        <v>40481</v>
      </c>
      <c r="W6730">
        <f>IF(D6730=' Pivot Tables'!$A$4,1,0)</f>
        <v>0</v>
      </c>
      <c r="X6730">
        <f>IF(AND(LEFT(D6730,4)+1=LEFT(' Pivot Tables'!$A$4,4)+0,RIGHT(LEFT(D6730,7),2)=RIGHT(LEFT(' Pivot Tables'!$A$4,7),2)),1,0)</f>
        <v>0</v>
      </c>
      <c r="Y6730" s="6">
        <f>1/COUNTIF(Таблица1[Order ID],Таблица1[[#This Row],[Order ID]])</f>
        <v>0.25</v>
      </c>
      <c r="Z6730" s="9">
        <f>1/COUNTIFS(Таблица1[Customer Name],Таблица1[[#This Row],[Customer Name]],Таблица1[Order-Year-Month],Таблица1[[#This Row],[Order-Year-Month]])</f>
        <v>0.25</v>
      </c>
    </row>
    <row r="6731" spans="1:26" x14ac:dyDescent="0.2">
      <c r="A6731" s="6">
        <v>1556</v>
      </c>
      <c r="B6731" s="7">
        <v>11236</v>
      </c>
      <c r="C6731" s="8">
        <f>DATE(2012,12,31)-793</f>
        <v>40481</v>
      </c>
      <c r="D6731" s="8" t="str">
        <f t="shared" si="124"/>
        <v>2010-10 (октябрь 2010)</v>
      </c>
      <c r="E6731" s="9" t="s">
        <v>30</v>
      </c>
      <c r="F6731" s="7">
        <v>15</v>
      </c>
      <c r="G6731" s="7">
        <v>44.32</v>
      </c>
      <c r="H6731" s="7">
        <v>0.01</v>
      </c>
      <c r="I6731" s="9" t="s">
        <v>22</v>
      </c>
      <c r="J6731" s="10">
        <v>-41.55</v>
      </c>
      <c r="K6731" s="11">
        <v>2.52</v>
      </c>
      <c r="L6731" s="11">
        <v>4.28</v>
      </c>
      <c r="M6731" s="9" t="s">
        <v>1555</v>
      </c>
      <c r="N6731" s="6" t="s">
        <v>2012</v>
      </c>
      <c r="O6731" s="6" t="s">
        <v>2012</v>
      </c>
      <c r="P6731" s="9" t="s">
        <v>25</v>
      </c>
      <c r="Q6731" s="9" t="s">
        <v>26</v>
      </c>
      <c r="R6731" s="9" t="s">
        <v>95</v>
      </c>
      <c r="S6731" s="7" t="s">
        <v>1109</v>
      </c>
      <c r="T6731" s="9" t="s">
        <v>68</v>
      </c>
      <c r="U6731" s="7">
        <v>0.44</v>
      </c>
      <c r="V6731" s="12">
        <f>C6731+0</f>
        <v>40481</v>
      </c>
      <c r="W6731">
        <f>IF(D6731=' Pivot Tables'!$A$4,1,0)</f>
        <v>0</v>
      </c>
      <c r="X6731">
        <f>IF(AND(LEFT(D6731,4)+1=LEFT(' Pivot Tables'!$A$4,4)+0,RIGHT(LEFT(D6731,7),2)=RIGHT(LEFT(' Pivot Tables'!$A$4,7),2)),1,0)</f>
        <v>0</v>
      </c>
      <c r="Y6731" s="6">
        <f>1/COUNTIF(Таблица1[Order ID],Таблица1[[#This Row],[Order ID]])</f>
        <v>0.25</v>
      </c>
      <c r="Z6731" s="9">
        <f>1/COUNTIFS(Таблица1[Customer Name],Таблица1[[#This Row],[Customer Name]],Таблица1[Order-Year-Month],Таблица1[[#This Row],[Order-Year-Month]])</f>
        <v>0.25</v>
      </c>
    </row>
    <row r="6732" spans="1:26" x14ac:dyDescent="0.2">
      <c r="A6732" s="6">
        <v>1611</v>
      </c>
      <c r="B6732" s="7">
        <v>11680</v>
      </c>
      <c r="C6732" s="8">
        <f>DATE(2012,12,31)-1214</f>
        <v>40060</v>
      </c>
      <c r="D6732" s="8" t="str">
        <f t="shared" si="124"/>
        <v>2009-09 (сентябрь 2009)</v>
      </c>
      <c r="E6732" s="9" t="s">
        <v>63</v>
      </c>
      <c r="F6732" s="7">
        <v>50</v>
      </c>
      <c r="G6732" s="7">
        <v>7312.0314999999991</v>
      </c>
      <c r="H6732" s="7">
        <v>0.06</v>
      </c>
      <c r="I6732" s="9" t="s">
        <v>22</v>
      </c>
      <c r="J6732" s="10">
        <v>2031.5070000000001</v>
      </c>
      <c r="K6732" s="11">
        <v>175.99</v>
      </c>
      <c r="L6732" s="11">
        <v>8.99</v>
      </c>
      <c r="M6732" s="9" t="s">
        <v>1948</v>
      </c>
      <c r="N6732" s="6" t="s">
        <v>2012</v>
      </c>
      <c r="O6732" s="6" t="s">
        <v>2012</v>
      </c>
      <c r="P6732" s="9" t="s">
        <v>41</v>
      </c>
      <c r="Q6732" s="9" t="s">
        <v>42</v>
      </c>
      <c r="R6732" s="9" t="s">
        <v>43</v>
      </c>
      <c r="S6732" s="7" t="s">
        <v>631</v>
      </c>
      <c r="T6732" s="9" t="s">
        <v>39</v>
      </c>
      <c r="U6732" s="7">
        <v>0.56999999999999995</v>
      </c>
      <c r="V6732" s="12">
        <f>C6732+2</f>
        <v>40062</v>
      </c>
      <c r="W6732">
        <f>IF(D6732=' Pivot Tables'!$A$4,1,0)</f>
        <v>0</v>
      </c>
      <c r="X6732">
        <f>IF(AND(LEFT(D6732,4)+1=LEFT(' Pivot Tables'!$A$4,4)+0,RIGHT(LEFT(D6732,7),2)=RIGHT(LEFT(' Pivot Tables'!$A$4,7),2)),1,0)</f>
        <v>0</v>
      </c>
      <c r="Y6732" s="6">
        <f>1/COUNTIF(Таблица1[Order ID],Таблица1[[#This Row],[Order ID]])</f>
        <v>1</v>
      </c>
      <c r="Z6732" s="9">
        <f>1/COUNTIFS(Таблица1[Customer Name],Таблица1[[#This Row],[Customer Name]],Таблица1[Order-Year-Month],Таблица1[[#This Row],[Order-Year-Month]])</f>
        <v>0.5</v>
      </c>
    </row>
    <row r="6733" spans="1:26" x14ac:dyDescent="0.2">
      <c r="A6733" s="6">
        <v>1612</v>
      </c>
      <c r="B6733" s="7">
        <v>11682</v>
      </c>
      <c r="C6733" s="8">
        <f>DATE(2012,12,31)-911</f>
        <v>40363</v>
      </c>
      <c r="D6733" s="8" t="str">
        <f t="shared" si="124"/>
        <v>2010-07 (июль 2010)</v>
      </c>
      <c r="E6733" s="9" t="s">
        <v>21</v>
      </c>
      <c r="F6733" s="7">
        <v>5</v>
      </c>
      <c r="G6733" s="7">
        <v>102.18</v>
      </c>
      <c r="H6733" s="7">
        <v>0.09</v>
      </c>
      <c r="I6733" s="9" t="s">
        <v>22</v>
      </c>
      <c r="J6733" s="10">
        <v>-65.67</v>
      </c>
      <c r="K6733" s="11">
        <v>19.98</v>
      </c>
      <c r="L6733" s="11">
        <v>4</v>
      </c>
      <c r="M6733" s="9" t="s">
        <v>1491</v>
      </c>
      <c r="N6733" s="6" t="s">
        <v>2012</v>
      </c>
      <c r="O6733" s="6" t="s">
        <v>2012</v>
      </c>
      <c r="P6733" s="9" t="s">
        <v>60</v>
      </c>
      <c r="Q6733" s="9" t="s">
        <v>42</v>
      </c>
      <c r="R6733" s="9" t="s">
        <v>70</v>
      </c>
      <c r="S6733" s="7" t="s">
        <v>655</v>
      </c>
      <c r="T6733" s="9" t="s">
        <v>39</v>
      </c>
      <c r="U6733" s="7">
        <v>0.68</v>
      </c>
      <c r="V6733" s="12">
        <f>C6733+7</f>
        <v>40370</v>
      </c>
      <c r="W6733">
        <f>IF(D6733=' Pivot Tables'!$A$4,1,0)</f>
        <v>0</v>
      </c>
      <c r="X6733">
        <f>IF(AND(LEFT(D6733,4)+1=LEFT(' Pivot Tables'!$A$4,4)+0,RIGHT(LEFT(D6733,7),2)=RIGHT(LEFT(' Pivot Tables'!$A$4,7),2)),1,0)</f>
        <v>0</v>
      </c>
      <c r="Y6733" s="6">
        <f>1/COUNTIF(Таблица1[Order ID],Таблица1[[#This Row],[Order ID]])</f>
        <v>1</v>
      </c>
      <c r="Z6733" s="9">
        <f>1/COUNTIFS(Таблица1[Customer Name],Таблица1[[#This Row],[Customer Name]],Таблица1[Order-Year-Month],Таблица1[[#This Row],[Order-Year-Month]])</f>
        <v>0.5</v>
      </c>
    </row>
    <row r="6734" spans="1:26" x14ac:dyDescent="0.2">
      <c r="A6734" s="6">
        <v>1618</v>
      </c>
      <c r="B6734" s="7">
        <v>11714</v>
      </c>
      <c r="C6734" s="8">
        <f>DATE(2012,12,31)-1245</f>
        <v>40029</v>
      </c>
      <c r="D6734" s="8" t="str">
        <f t="shared" si="124"/>
        <v>2009-08 (август 2009)</v>
      </c>
      <c r="E6734" s="9" t="s">
        <v>78</v>
      </c>
      <c r="F6734" s="7">
        <v>1</v>
      </c>
      <c r="G6734" s="7">
        <v>3501.79</v>
      </c>
      <c r="H6734" s="7">
        <v>0.01</v>
      </c>
      <c r="I6734" s="9" t="s">
        <v>31</v>
      </c>
      <c r="J6734" s="10">
        <v>-7838.3346000000001</v>
      </c>
      <c r="K6734" s="11">
        <v>3502.14</v>
      </c>
      <c r="L6734" s="11">
        <v>8.73</v>
      </c>
      <c r="M6734" s="9" t="s">
        <v>2034</v>
      </c>
      <c r="N6734" s="6" t="s">
        <v>2012</v>
      </c>
      <c r="O6734" s="6" t="s">
        <v>2012</v>
      </c>
      <c r="P6734" s="9" t="s">
        <v>41</v>
      </c>
      <c r="Q6734" s="9" t="s">
        <v>42</v>
      </c>
      <c r="R6734" s="9" t="s">
        <v>210</v>
      </c>
      <c r="S6734" s="7" t="s">
        <v>2043</v>
      </c>
      <c r="T6734" s="9" t="s">
        <v>82</v>
      </c>
      <c r="U6734" s="7">
        <v>0.56999999999999995</v>
      </c>
      <c r="V6734" s="12">
        <f>C6734+1</f>
        <v>40030</v>
      </c>
      <c r="W6734">
        <f>IF(D6734=' Pivot Tables'!$A$4,1,0)</f>
        <v>0</v>
      </c>
      <c r="X6734">
        <f>IF(AND(LEFT(D6734,4)+1=LEFT(' Pivot Tables'!$A$4,4)+0,RIGHT(LEFT(D6734,7),2)=RIGHT(LEFT(' Pivot Tables'!$A$4,7),2)),1,0)</f>
        <v>0</v>
      </c>
      <c r="Y6734" s="6">
        <f>1/COUNTIF(Таблица1[Order ID],Таблица1[[#This Row],[Order ID]])</f>
        <v>0.5</v>
      </c>
      <c r="Z6734" s="9">
        <f>1/COUNTIFS(Таблица1[Customer Name],Таблица1[[#This Row],[Customer Name]],Таблица1[Order-Year-Month],Таблица1[[#This Row],[Order-Year-Month]])</f>
        <v>0.16666666666666666</v>
      </c>
    </row>
    <row r="6735" spans="1:26" x14ac:dyDescent="0.2">
      <c r="A6735" s="6">
        <v>1619</v>
      </c>
      <c r="B6735" s="7">
        <v>11714</v>
      </c>
      <c r="C6735" s="8">
        <f>DATE(2012,12,31)-1245</f>
        <v>40029</v>
      </c>
      <c r="D6735" s="8" t="str">
        <f t="shared" si="124"/>
        <v>2009-08 (август 2009)</v>
      </c>
      <c r="E6735" s="9" t="s">
        <v>78</v>
      </c>
      <c r="F6735" s="7">
        <v>9</v>
      </c>
      <c r="G6735" s="7">
        <v>141.83000000000001</v>
      </c>
      <c r="H6735" s="7">
        <v>0.06</v>
      </c>
      <c r="I6735" s="9" t="s">
        <v>22</v>
      </c>
      <c r="J6735" s="10">
        <v>-35.69</v>
      </c>
      <c r="K6735" s="11">
        <v>15.73</v>
      </c>
      <c r="L6735" s="11">
        <v>7.42</v>
      </c>
      <c r="M6735" s="9" t="s">
        <v>2034</v>
      </c>
      <c r="N6735" s="6" t="s">
        <v>2012</v>
      </c>
      <c r="O6735" s="6" t="s">
        <v>2012</v>
      </c>
      <c r="P6735" s="9" t="s">
        <v>41</v>
      </c>
      <c r="Q6735" s="9" t="s">
        <v>26</v>
      </c>
      <c r="R6735" s="9" t="s">
        <v>150</v>
      </c>
      <c r="S6735" s="7" t="s">
        <v>1287</v>
      </c>
      <c r="T6735" s="9" t="s">
        <v>52</v>
      </c>
      <c r="U6735" s="7">
        <v>0.56000000000000005</v>
      </c>
      <c r="V6735" s="12">
        <f>C6735+1</f>
        <v>40030</v>
      </c>
      <c r="W6735">
        <f>IF(D6735=' Pivot Tables'!$A$4,1,0)</f>
        <v>0</v>
      </c>
      <c r="X6735">
        <f>IF(AND(LEFT(D6735,4)+1=LEFT(' Pivot Tables'!$A$4,4)+0,RIGHT(LEFT(D6735,7),2)=RIGHT(LEFT(' Pivot Tables'!$A$4,7),2)),1,0)</f>
        <v>0</v>
      </c>
      <c r="Y6735" s="6">
        <f>1/COUNTIF(Таблица1[Order ID],Таблица1[[#This Row],[Order ID]])</f>
        <v>0.5</v>
      </c>
      <c r="Z6735" s="9">
        <f>1/COUNTIFS(Таблица1[Customer Name],Таблица1[[#This Row],[Customer Name]],Таблица1[Order-Year-Month],Таблица1[[#This Row],[Order-Year-Month]])</f>
        <v>0.16666666666666666</v>
      </c>
    </row>
    <row r="6736" spans="1:26" x14ac:dyDescent="0.2">
      <c r="A6736" s="6">
        <v>1625</v>
      </c>
      <c r="B6736" s="7">
        <v>11748</v>
      </c>
      <c r="C6736" s="8">
        <f>DATE(2012,12,31)-1307</f>
        <v>39967</v>
      </c>
      <c r="D6736" s="8" t="str">
        <f t="shared" si="124"/>
        <v>2009-06 (июнь 2009)</v>
      </c>
      <c r="E6736" s="9" t="s">
        <v>45</v>
      </c>
      <c r="F6736" s="7">
        <v>23</v>
      </c>
      <c r="G6736" s="7">
        <v>3503.12</v>
      </c>
      <c r="H6736" s="7">
        <v>0.01</v>
      </c>
      <c r="I6736" s="9" t="s">
        <v>31</v>
      </c>
      <c r="J6736" s="10">
        <v>-168.14</v>
      </c>
      <c r="K6736" s="11">
        <v>145.97999999999999</v>
      </c>
      <c r="L6736" s="11">
        <v>46.2</v>
      </c>
      <c r="M6736" s="9" t="s">
        <v>2034</v>
      </c>
      <c r="N6736" s="6" t="s">
        <v>2012</v>
      </c>
      <c r="O6736" s="6" t="s">
        <v>2012</v>
      </c>
      <c r="P6736" s="9" t="s">
        <v>41</v>
      </c>
      <c r="Q6736" s="9" t="s">
        <v>49</v>
      </c>
      <c r="R6736" s="9" t="s">
        <v>83</v>
      </c>
      <c r="S6736" s="7" t="s">
        <v>938</v>
      </c>
      <c r="T6736" s="9" t="s">
        <v>82</v>
      </c>
      <c r="U6736" s="7">
        <v>0.69</v>
      </c>
      <c r="V6736" s="12">
        <f>C6736+0</f>
        <v>39967</v>
      </c>
      <c r="W6736">
        <f>IF(D6736=' Pivot Tables'!$A$4,1,0)</f>
        <v>0</v>
      </c>
      <c r="X6736">
        <f>IF(AND(LEFT(D6736,4)+1=LEFT(' Pivot Tables'!$A$4,4)+0,RIGHT(LEFT(D6736,7),2)=RIGHT(LEFT(' Pivot Tables'!$A$4,7),2)),1,0)</f>
        <v>0</v>
      </c>
      <c r="Y6736" s="6">
        <f>1/COUNTIF(Таблица1[Order ID],Таблица1[[#This Row],[Order ID]])</f>
        <v>1</v>
      </c>
      <c r="Z6736" s="9">
        <f>1/COUNTIFS(Таблица1[Customer Name],Таблица1[[#This Row],[Customer Name]],Таблица1[Order-Year-Month],Таблица1[[#This Row],[Order-Year-Month]])</f>
        <v>1</v>
      </c>
    </row>
    <row r="6737" spans="1:26" x14ac:dyDescent="0.2">
      <c r="A6737" s="6">
        <v>1630</v>
      </c>
      <c r="B6737" s="7">
        <v>11780</v>
      </c>
      <c r="C6737" s="8">
        <f>DATE(2012,12,31)-832</f>
        <v>40442</v>
      </c>
      <c r="D6737" s="8" t="str">
        <f t="shared" si="124"/>
        <v>2010-09 (сентябрь 2010)</v>
      </c>
      <c r="E6737" s="9" t="s">
        <v>78</v>
      </c>
      <c r="F6737" s="7">
        <v>7</v>
      </c>
      <c r="G6737" s="7">
        <v>54.23</v>
      </c>
      <c r="H6737" s="7">
        <v>0.08</v>
      </c>
      <c r="I6737" s="9" t="s">
        <v>22</v>
      </c>
      <c r="J6737" s="10">
        <v>-16.46</v>
      </c>
      <c r="K6737" s="11">
        <v>7.28</v>
      </c>
      <c r="L6737" s="11">
        <v>5.47</v>
      </c>
      <c r="M6737" s="9" t="s">
        <v>1489</v>
      </c>
      <c r="N6737" s="6" t="s">
        <v>2012</v>
      </c>
      <c r="O6737" s="6" t="s">
        <v>2012</v>
      </c>
      <c r="P6737" s="9" t="s">
        <v>25</v>
      </c>
      <c r="Q6737" s="9" t="s">
        <v>26</v>
      </c>
      <c r="R6737" s="9" t="s">
        <v>61</v>
      </c>
      <c r="S6737" s="7" t="s">
        <v>1903</v>
      </c>
      <c r="T6737" s="9" t="s">
        <v>39</v>
      </c>
      <c r="U6737" s="7">
        <v>0.35</v>
      </c>
      <c r="V6737" s="12">
        <f>C6737+1</f>
        <v>40443</v>
      </c>
      <c r="W6737">
        <f>IF(D6737=' Pivot Tables'!$A$4,1,0)</f>
        <v>0</v>
      </c>
      <c r="X6737">
        <f>IF(AND(LEFT(D6737,4)+1=LEFT(' Pivot Tables'!$A$4,4)+0,RIGHT(LEFT(D6737,7),2)=RIGHT(LEFT(' Pivot Tables'!$A$4,7),2)),1,0)</f>
        <v>0</v>
      </c>
      <c r="Y6737" s="6">
        <f>1/COUNTIF(Таблица1[Order ID],Таблица1[[#This Row],[Order ID]])</f>
        <v>1</v>
      </c>
      <c r="Z6737" s="9">
        <f>1/COUNTIFS(Таблица1[Customer Name],Таблица1[[#This Row],[Customer Name]],Таблица1[Order-Year-Month],Таблица1[[#This Row],[Order-Year-Month]])</f>
        <v>1</v>
      </c>
    </row>
    <row r="6738" spans="1:26" x14ac:dyDescent="0.2">
      <c r="A6738" s="6">
        <v>1666</v>
      </c>
      <c r="B6738" s="7">
        <v>12007</v>
      </c>
      <c r="C6738" s="8">
        <f>DATE(2012,12,31)-1191</f>
        <v>40083</v>
      </c>
      <c r="D6738" s="8" t="str">
        <f t="shared" si="124"/>
        <v>2009-09 (сентябрь 2009)</v>
      </c>
      <c r="E6738" s="9" t="s">
        <v>45</v>
      </c>
      <c r="F6738" s="7">
        <v>42</v>
      </c>
      <c r="G6738" s="7">
        <v>152.26</v>
      </c>
      <c r="H6738" s="7">
        <v>0.04</v>
      </c>
      <c r="I6738" s="9" t="s">
        <v>22</v>
      </c>
      <c r="J6738" s="10">
        <v>64.989999999999995</v>
      </c>
      <c r="K6738" s="11">
        <v>3.69</v>
      </c>
      <c r="L6738" s="11">
        <v>0.5</v>
      </c>
      <c r="M6738" s="9" t="s">
        <v>2042</v>
      </c>
      <c r="N6738" s="6" t="s">
        <v>2012</v>
      </c>
      <c r="O6738" s="6" t="s">
        <v>2012</v>
      </c>
      <c r="P6738" s="9" t="s">
        <v>41</v>
      </c>
      <c r="Q6738" s="9" t="s">
        <v>26</v>
      </c>
      <c r="R6738" s="9" t="s">
        <v>88</v>
      </c>
      <c r="S6738" s="7" t="s">
        <v>202</v>
      </c>
      <c r="T6738" s="9" t="s">
        <v>39</v>
      </c>
      <c r="U6738" s="7">
        <v>0.38</v>
      </c>
      <c r="V6738" s="12">
        <f>C6738+2</f>
        <v>40085</v>
      </c>
      <c r="W6738">
        <f>IF(D6738=' Pivot Tables'!$A$4,1,0)</f>
        <v>0</v>
      </c>
      <c r="X6738">
        <f>IF(AND(LEFT(D6738,4)+1=LEFT(' Pivot Tables'!$A$4,4)+0,RIGHT(LEFT(D6738,7),2)=RIGHT(LEFT(' Pivot Tables'!$A$4,7),2)),1,0)</f>
        <v>0</v>
      </c>
      <c r="Y6738" s="6">
        <f>1/COUNTIF(Таблица1[Order ID],Таблица1[[#This Row],[Order ID]])</f>
        <v>1</v>
      </c>
      <c r="Z6738" s="9">
        <f>1/COUNTIFS(Таблица1[Customer Name],Таблица1[[#This Row],[Customer Name]],Таблица1[Order-Year-Month],Таблица1[[#This Row],[Order-Year-Month]])</f>
        <v>1</v>
      </c>
    </row>
    <row r="6739" spans="1:26" x14ac:dyDescent="0.2">
      <c r="A6739" s="6">
        <v>1668</v>
      </c>
      <c r="B6739" s="7">
        <v>12039</v>
      </c>
      <c r="C6739" s="8">
        <f>DATE(2012,12,31)-929</f>
        <v>40345</v>
      </c>
      <c r="D6739" s="8" t="str">
        <f t="shared" si="124"/>
        <v>2010-06 (июнь 2010)</v>
      </c>
      <c r="E6739" s="9" t="s">
        <v>30</v>
      </c>
      <c r="F6739" s="7">
        <v>13</v>
      </c>
      <c r="G6739" s="7">
        <v>2048.5679999999998</v>
      </c>
      <c r="H6739" s="7">
        <v>0.1</v>
      </c>
      <c r="I6739" s="9" t="s">
        <v>22</v>
      </c>
      <c r="J6739" s="10">
        <v>-259.98500000000001</v>
      </c>
      <c r="K6739" s="11">
        <v>205.99</v>
      </c>
      <c r="L6739" s="11">
        <v>8.99</v>
      </c>
      <c r="M6739" s="9" t="s">
        <v>1457</v>
      </c>
      <c r="N6739" s="6" t="s">
        <v>2012</v>
      </c>
      <c r="O6739" s="6" t="s">
        <v>2012</v>
      </c>
      <c r="P6739" s="9" t="s">
        <v>41</v>
      </c>
      <c r="Q6739" s="9" t="s">
        <v>42</v>
      </c>
      <c r="R6739" s="9" t="s">
        <v>43</v>
      </c>
      <c r="S6739" s="7" t="s">
        <v>1444</v>
      </c>
      <c r="T6739" s="9" t="s">
        <v>39</v>
      </c>
      <c r="U6739" s="7">
        <v>0.56000000000000005</v>
      </c>
      <c r="V6739" s="12">
        <f>C6739+2</f>
        <v>40347</v>
      </c>
      <c r="W6739">
        <f>IF(D6739=' Pivot Tables'!$A$4,1,0)</f>
        <v>0</v>
      </c>
      <c r="X6739">
        <f>IF(AND(LEFT(D6739,4)+1=LEFT(' Pivot Tables'!$A$4,4)+0,RIGHT(LEFT(D6739,7),2)=RIGHT(LEFT(' Pivot Tables'!$A$4,7),2)),1,0)</f>
        <v>0</v>
      </c>
      <c r="Y6739" s="6">
        <f>1/COUNTIF(Таблица1[Order ID],Таблица1[[#This Row],[Order ID]])</f>
        <v>1</v>
      </c>
      <c r="Z6739" s="9">
        <f>1/COUNTIFS(Таблица1[Customer Name],Таблица1[[#This Row],[Customer Name]],Таблица1[Order-Year-Month],Таблица1[[#This Row],[Order-Year-Month]])</f>
        <v>1</v>
      </c>
    </row>
    <row r="6740" spans="1:26" x14ac:dyDescent="0.2">
      <c r="A6740" s="6">
        <v>1669</v>
      </c>
      <c r="B6740" s="7">
        <v>12066</v>
      </c>
      <c r="C6740" s="8">
        <f>DATE(2012,12,31)-694</f>
        <v>40580</v>
      </c>
      <c r="D6740" s="8" t="str">
        <f t="shared" si="124"/>
        <v>2011-02 (февраль 2011)</v>
      </c>
      <c r="E6740" s="9" t="s">
        <v>63</v>
      </c>
      <c r="F6740" s="7">
        <v>27</v>
      </c>
      <c r="G6740" s="7">
        <v>4442.049</v>
      </c>
      <c r="H6740" s="7">
        <v>0.1</v>
      </c>
      <c r="I6740" s="9" t="s">
        <v>22</v>
      </c>
      <c r="J6740" s="10">
        <v>720.95399999999995</v>
      </c>
      <c r="K6740" s="11">
        <v>200.99</v>
      </c>
      <c r="L6740" s="11">
        <v>8.08</v>
      </c>
      <c r="M6740" s="9" t="s">
        <v>2029</v>
      </c>
      <c r="N6740" s="6" t="s">
        <v>2012</v>
      </c>
      <c r="O6740" s="6" t="s">
        <v>2012</v>
      </c>
      <c r="P6740" s="9" t="s">
        <v>25</v>
      </c>
      <c r="Q6740" s="9" t="s">
        <v>42</v>
      </c>
      <c r="R6740" s="9" t="s">
        <v>43</v>
      </c>
      <c r="S6740" s="7" t="s">
        <v>208</v>
      </c>
      <c r="T6740" s="9" t="s">
        <v>39</v>
      </c>
      <c r="U6740" s="7">
        <v>0.59</v>
      </c>
      <c r="V6740" s="12">
        <f>C6740+1</f>
        <v>40581</v>
      </c>
      <c r="W6740">
        <f>IF(D6740=' Pivot Tables'!$A$4,1,0)</f>
        <v>0</v>
      </c>
      <c r="X6740">
        <f>IF(AND(LEFT(D6740,4)+1=LEFT(' Pivot Tables'!$A$4,4)+0,RIGHT(LEFT(D6740,7),2)=RIGHT(LEFT(' Pivot Tables'!$A$4,7),2)),1,0)</f>
        <v>0</v>
      </c>
      <c r="Y6740" s="6">
        <f>1/COUNTIF(Таблица1[Order ID],Таблица1[[#This Row],[Order ID]])</f>
        <v>1</v>
      </c>
      <c r="Z6740" s="9">
        <f>1/COUNTIFS(Таблица1[Customer Name],Таблица1[[#This Row],[Customer Name]],Таблица1[Order-Year-Month],Таблица1[[#This Row],[Order-Year-Month]])</f>
        <v>1</v>
      </c>
    </row>
    <row r="6741" spans="1:26" x14ac:dyDescent="0.2">
      <c r="A6741" s="6">
        <v>1708</v>
      </c>
      <c r="B6741" s="7">
        <v>12262</v>
      </c>
      <c r="C6741" s="8">
        <f>DATE(2012,12,31)-387</f>
        <v>40887</v>
      </c>
      <c r="D6741" s="8" t="str">
        <f t="shared" si="124"/>
        <v>2011-12 (декабрь 2011)</v>
      </c>
      <c r="E6741" s="9" t="s">
        <v>21</v>
      </c>
      <c r="F6741" s="7">
        <v>45</v>
      </c>
      <c r="G6741" s="7">
        <v>1212.9280000000001</v>
      </c>
      <c r="H6741" s="7">
        <v>0.02</v>
      </c>
      <c r="I6741" s="9" t="s">
        <v>31</v>
      </c>
      <c r="J6741" s="10">
        <v>-1460.77</v>
      </c>
      <c r="K6741" s="11">
        <v>31.76</v>
      </c>
      <c r="L6741" s="11">
        <v>45.51</v>
      </c>
      <c r="M6741" s="9" t="s">
        <v>1566</v>
      </c>
      <c r="N6741" s="6" t="s">
        <v>2012</v>
      </c>
      <c r="O6741" s="6" t="s">
        <v>2012</v>
      </c>
      <c r="P6741" s="9" t="s">
        <v>60</v>
      </c>
      <c r="Q6741" s="9" t="s">
        <v>49</v>
      </c>
      <c r="R6741" s="9" t="s">
        <v>83</v>
      </c>
      <c r="S6741" s="7" t="s">
        <v>611</v>
      </c>
      <c r="T6741" s="9" t="s">
        <v>82</v>
      </c>
      <c r="U6741" s="7">
        <v>0.65</v>
      </c>
      <c r="V6741" s="12">
        <f>C6741+5</f>
        <v>40892</v>
      </c>
      <c r="W6741">
        <f>IF(D6741=' Pivot Tables'!$A$4,1,0)</f>
        <v>0</v>
      </c>
      <c r="X6741">
        <f>IF(AND(LEFT(D6741,4)+1=LEFT(' Pivot Tables'!$A$4,4)+0,RIGHT(LEFT(D6741,7),2)=RIGHT(LEFT(' Pivot Tables'!$A$4,7),2)),1,0)</f>
        <v>0</v>
      </c>
      <c r="Y6741" s="6">
        <f>1/COUNTIF(Таблица1[Order ID],Таблица1[[#This Row],[Order ID]])</f>
        <v>1</v>
      </c>
      <c r="Z6741" s="9">
        <f>1/COUNTIFS(Таблица1[Customer Name],Таблица1[[#This Row],[Customer Name]],Таблица1[Order-Year-Month],Таблица1[[#This Row],[Order-Year-Month]])</f>
        <v>1</v>
      </c>
    </row>
    <row r="6742" spans="1:26" x14ac:dyDescent="0.2">
      <c r="A6742" s="6">
        <v>1746</v>
      </c>
      <c r="B6742" s="7">
        <v>12486</v>
      </c>
      <c r="C6742" s="8">
        <f>DATE(2012,12,31)-680</f>
        <v>40594</v>
      </c>
      <c r="D6742" s="8" t="str">
        <f t="shared" si="124"/>
        <v>2011-02 (февраль 2011)</v>
      </c>
      <c r="E6742" s="9" t="s">
        <v>30</v>
      </c>
      <c r="F6742" s="7">
        <v>31</v>
      </c>
      <c r="G6742" s="7">
        <v>3081.33</v>
      </c>
      <c r="H6742" s="7">
        <v>0.08</v>
      </c>
      <c r="I6742" s="9" t="s">
        <v>31</v>
      </c>
      <c r="J6742" s="10">
        <v>-1341.11</v>
      </c>
      <c r="K6742" s="11">
        <v>100.98</v>
      </c>
      <c r="L6742" s="11">
        <v>57.38</v>
      </c>
      <c r="M6742" s="9" t="s">
        <v>2044</v>
      </c>
      <c r="N6742" s="6" t="s">
        <v>2012</v>
      </c>
      <c r="O6742" s="6" t="s">
        <v>2012</v>
      </c>
      <c r="P6742" s="9" t="s">
        <v>41</v>
      </c>
      <c r="Q6742" s="9" t="s">
        <v>49</v>
      </c>
      <c r="R6742" s="9" t="s">
        <v>80</v>
      </c>
      <c r="S6742" s="7" t="s">
        <v>162</v>
      </c>
      <c r="T6742" s="9" t="s">
        <v>82</v>
      </c>
      <c r="U6742" s="7">
        <v>0.78</v>
      </c>
      <c r="V6742" s="12">
        <f>C6742+1</f>
        <v>40595</v>
      </c>
      <c r="W6742">
        <f>IF(D6742=' Pivot Tables'!$A$4,1,0)</f>
        <v>0</v>
      </c>
      <c r="X6742">
        <f>IF(AND(LEFT(D6742,4)+1=LEFT(' Pivot Tables'!$A$4,4)+0,RIGHT(LEFT(D6742,7),2)=RIGHT(LEFT(' Pivot Tables'!$A$4,7),2)),1,0)</f>
        <v>0</v>
      </c>
      <c r="Y6742" s="6">
        <f>1/COUNTIF(Таблица1[Order ID],Таблица1[[#This Row],[Order ID]])</f>
        <v>0.5</v>
      </c>
      <c r="Z6742" s="9">
        <f>1/COUNTIFS(Таблица1[Customer Name],Таблица1[[#This Row],[Customer Name]],Таблица1[Order-Year-Month],Таблица1[[#This Row],[Order-Year-Month]])</f>
        <v>0.5</v>
      </c>
    </row>
    <row r="6743" spans="1:26" x14ac:dyDescent="0.2">
      <c r="A6743" s="6">
        <v>1747</v>
      </c>
      <c r="B6743" s="7">
        <v>12486</v>
      </c>
      <c r="C6743" s="8">
        <f>DATE(2012,12,31)-680</f>
        <v>40594</v>
      </c>
      <c r="D6743" s="8" t="str">
        <f t="shared" si="124"/>
        <v>2011-02 (февраль 2011)</v>
      </c>
      <c r="E6743" s="9" t="s">
        <v>30</v>
      </c>
      <c r="F6743" s="7">
        <v>42</v>
      </c>
      <c r="G6743" s="7">
        <v>1692.56</v>
      </c>
      <c r="H6743" s="7">
        <v>0.04</v>
      </c>
      <c r="I6743" s="9" t="s">
        <v>22</v>
      </c>
      <c r="J6743" s="10">
        <v>275.5</v>
      </c>
      <c r="K6743" s="11">
        <v>40.98</v>
      </c>
      <c r="L6743" s="11">
        <v>7.2</v>
      </c>
      <c r="M6743" s="9" t="s">
        <v>2044</v>
      </c>
      <c r="N6743" s="6" t="s">
        <v>2012</v>
      </c>
      <c r="O6743" s="6" t="s">
        <v>2012</v>
      </c>
      <c r="P6743" s="9" t="s">
        <v>41</v>
      </c>
      <c r="Q6743" s="9" t="s">
        <v>26</v>
      </c>
      <c r="R6743" s="9" t="s">
        <v>34</v>
      </c>
      <c r="S6743" s="7" t="s">
        <v>1755</v>
      </c>
      <c r="T6743" s="9" t="s">
        <v>39</v>
      </c>
      <c r="U6743" s="7">
        <v>0.6</v>
      </c>
      <c r="V6743" s="12">
        <f>C6743+1</f>
        <v>40595</v>
      </c>
      <c r="W6743">
        <f>IF(D6743=' Pivot Tables'!$A$4,1,0)</f>
        <v>0</v>
      </c>
      <c r="X6743">
        <f>IF(AND(LEFT(D6743,4)+1=LEFT(' Pivot Tables'!$A$4,4)+0,RIGHT(LEFT(D6743,7),2)=RIGHT(LEFT(' Pivot Tables'!$A$4,7),2)),1,0)</f>
        <v>0</v>
      </c>
      <c r="Y6743" s="6">
        <f>1/COUNTIF(Таблица1[Order ID],Таблица1[[#This Row],[Order ID]])</f>
        <v>0.5</v>
      </c>
      <c r="Z6743" s="9">
        <f>1/COUNTIFS(Таблица1[Customer Name],Таблица1[[#This Row],[Customer Name]],Таблица1[Order-Year-Month],Таблица1[[#This Row],[Order-Year-Month]])</f>
        <v>0.5</v>
      </c>
    </row>
    <row r="6744" spans="1:26" x14ac:dyDescent="0.2">
      <c r="A6744" s="6">
        <v>1755</v>
      </c>
      <c r="B6744" s="7">
        <v>12580</v>
      </c>
      <c r="C6744" s="8">
        <f>DATE(2012,12,31)-1083</f>
        <v>40191</v>
      </c>
      <c r="D6744" s="8" t="str">
        <f t="shared" si="124"/>
        <v>2010-01 (январь 2010)</v>
      </c>
      <c r="E6744" s="9" t="s">
        <v>21</v>
      </c>
      <c r="F6744" s="7">
        <v>50</v>
      </c>
      <c r="G6744" s="7">
        <v>8038.08</v>
      </c>
      <c r="H6744" s="7">
        <v>0.1</v>
      </c>
      <c r="I6744" s="9" t="s">
        <v>22</v>
      </c>
      <c r="J6744" s="10">
        <v>2821.4050000000002</v>
      </c>
      <c r="K6744" s="11">
        <v>172.99</v>
      </c>
      <c r="L6744" s="11">
        <v>19.989999999999998</v>
      </c>
      <c r="M6744" s="9" t="s">
        <v>1545</v>
      </c>
      <c r="N6744" s="6" t="s">
        <v>2012</v>
      </c>
      <c r="O6744" s="6" t="s">
        <v>2012</v>
      </c>
      <c r="P6744" s="9" t="s">
        <v>25</v>
      </c>
      <c r="Q6744" s="9" t="s">
        <v>26</v>
      </c>
      <c r="R6744" s="9" t="s">
        <v>37</v>
      </c>
      <c r="S6744" s="7" t="s">
        <v>616</v>
      </c>
      <c r="T6744" s="9" t="s">
        <v>39</v>
      </c>
      <c r="U6744" s="7">
        <v>0.39</v>
      </c>
      <c r="V6744" s="12">
        <f>C6744+2</f>
        <v>40193</v>
      </c>
      <c r="W6744">
        <f>IF(D6744=' Pivot Tables'!$A$4,1,0)</f>
        <v>1</v>
      </c>
      <c r="X6744">
        <f>IF(AND(LEFT(D6744,4)+1=LEFT(' Pivot Tables'!$A$4,4)+0,RIGHT(LEFT(D6744,7),2)=RIGHT(LEFT(' Pivot Tables'!$A$4,7),2)),1,0)</f>
        <v>0</v>
      </c>
      <c r="Y6744" s="6">
        <f>1/COUNTIF(Таблица1[Order ID],Таблица1[[#This Row],[Order ID]])</f>
        <v>0.5</v>
      </c>
      <c r="Z6744" s="9">
        <f>1/COUNTIFS(Таблица1[Customer Name],Таблица1[[#This Row],[Customer Name]],Таблица1[Order-Year-Month],Таблица1[[#This Row],[Order-Year-Month]])</f>
        <v>0.5</v>
      </c>
    </row>
    <row r="6745" spans="1:26" x14ac:dyDescent="0.2">
      <c r="A6745" s="6">
        <v>1758</v>
      </c>
      <c r="B6745" s="7">
        <v>12612</v>
      </c>
      <c r="C6745" s="8">
        <f>DATE(2012,12,31)-741</f>
        <v>40533</v>
      </c>
      <c r="D6745" s="8" t="str">
        <f t="shared" si="124"/>
        <v>2010-12 (декабрь 2010)</v>
      </c>
      <c r="E6745" s="9" t="s">
        <v>21</v>
      </c>
      <c r="F6745" s="7">
        <v>29</v>
      </c>
      <c r="G6745" s="7">
        <v>2360.98</v>
      </c>
      <c r="H6745" s="7">
        <v>0.02</v>
      </c>
      <c r="I6745" s="9" t="s">
        <v>22</v>
      </c>
      <c r="J6745" s="10">
        <v>611.92999999999995</v>
      </c>
      <c r="K6745" s="11">
        <v>78.650000000000006</v>
      </c>
      <c r="L6745" s="11">
        <v>13.99</v>
      </c>
      <c r="M6745" s="9" t="s">
        <v>1566</v>
      </c>
      <c r="N6745" s="6" t="s">
        <v>2012</v>
      </c>
      <c r="O6745" s="6" t="s">
        <v>2012</v>
      </c>
      <c r="P6745" s="9" t="s">
        <v>60</v>
      </c>
      <c r="Q6745" s="9" t="s">
        <v>26</v>
      </c>
      <c r="R6745" s="9" t="s">
        <v>34</v>
      </c>
      <c r="S6745" s="7" t="s">
        <v>495</v>
      </c>
      <c r="T6745" s="9" t="s">
        <v>48</v>
      </c>
      <c r="U6745" s="7">
        <v>0.52</v>
      </c>
      <c r="V6745" s="12">
        <f>C6745+0</f>
        <v>40533</v>
      </c>
      <c r="W6745">
        <f>IF(D6745=' Pivot Tables'!$A$4,1,0)</f>
        <v>0</v>
      </c>
      <c r="X6745">
        <f>IF(AND(LEFT(D6745,4)+1=LEFT(' Pivot Tables'!$A$4,4)+0,RIGHT(LEFT(D6745,7),2)=RIGHT(LEFT(' Pivot Tables'!$A$4,7),2)),1,0)</f>
        <v>0</v>
      </c>
      <c r="Y6745" s="6">
        <f>1/COUNTIF(Таблица1[Order ID],Таблица1[[#This Row],[Order ID]])</f>
        <v>0.5</v>
      </c>
      <c r="Z6745" s="9">
        <f>1/COUNTIFS(Таблица1[Customer Name],Таблица1[[#This Row],[Customer Name]],Таблица1[Order-Year-Month],Таблица1[[#This Row],[Order-Year-Month]])</f>
        <v>0.33333333333333331</v>
      </c>
    </row>
    <row r="6746" spans="1:26" x14ac:dyDescent="0.2">
      <c r="A6746" s="6">
        <v>1759</v>
      </c>
      <c r="B6746" s="7">
        <v>12612</v>
      </c>
      <c r="C6746" s="8">
        <f>DATE(2012,12,31)-741</f>
        <v>40533</v>
      </c>
      <c r="D6746" s="8" t="str">
        <f t="shared" si="124"/>
        <v>2010-12 (декабрь 2010)</v>
      </c>
      <c r="E6746" s="9" t="s">
        <v>21</v>
      </c>
      <c r="F6746" s="7">
        <v>49</v>
      </c>
      <c r="G6746" s="7">
        <v>182.2</v>
      </c>
      <c r="H6746" s="7">
        <v>0.09</v>
      </c>
      <c r="I6746" s="9" t="s">
        <v>56</v>
      </c>
      <c r="J6746" s="10">
        <v>82.21</v>
      </c>
      <c r="K6746" s="11">
        <v>3.75</v>
      </c>
      <c r="L6746" s="11">
        <v>0.5</v>
      </c>
      <c r="M6746" s="9" t="s">
        <v>1566</v>
      </c>
      <c r="N6746" s="6" t="s">
        <v>2012</v>
      </c>
      <c r="O6746" s="6" t="s">
        <v>2012</v>
      </c>
      <c r="P6746" s="9" t="s">
        <v>60</v>
      </c>
      <c r="Q6746" s="9" t="s">
        <v>26</v>
      </c>
      <c r="R6746" s="9" t="s">
        <v>88</v>
      </c>
      <c r="S6746" s="7" t="s">
        <v>959</v>
      </c>
      <c r="T6746" s="9" t="s">
        <v>39</v>
      </c>
      <c r="U6746" s="7">
        <v>0.37</v>
      </c>
      <c r="V6746" s="12">
        <f>C6746+5</f>
        <v>40538</v>
      </c>
      <c r="W6746">
        <f>IF(D6746=' Pivot Tables'!$A$4,1,0)</f>
        <v>0</v>
      </c>
      <c r="X6746">
        <f>IF(AND(LEFT(D6746,4)+1=LEFT(' Pivot Tables'!$A$4,4)+0,RIGHT(LEFT(D6746,7),2)=RIGHT(LEFT(' Pivot Tables'!$A$4,7),2)),1,0)</f>
        <v>0</v>
      </c>
      <c r="Y6746" s="6">
        <f>1/COUNTIF(Таблица1[Order ID],Таблица1[[#This Row],[Order ID]])</f>
        <v>0.5</v>
      </c>
      <c r="Z6746" s="9">
        <f>1/COUNTIFS(Таблица1[Customer Name],Таблица1[[#This Row],[Customer Name]],Таблица1[Order-Year-Month],Таблица1[[#This Row],[Order-Year-Month]])</f>
        <v>0.33333333333333331</v>
      </c>
    </row>
    <row r="6747" spans="1:26" x14ac:dyDescent="0.2">
      <c r="A6747" s="6">
        <v>1772</v>
      </c>
      <c r="B6747" s="7">
        <v>12706</v>
      </c>
      <c r="C6747" s="8">
        <f>DATE(2012,12,31)-1137</f>
        <v>40137</v>
      </c>
      <c r="D6747" s="8" t="str">
        <f t="shared" si="124"/>
        <v>2009-11 (ноябрь 2009)</v>
      </c>
      <c r="E6747" s="9" t="s">
        <v>78</v>
      </c>
      <c r="F6747" s="7">
        <v>46</v>
      </c>
      <c r="G6747" s="7">
        <v>2494.69</v>
      </c>
      <c r="H6747" s="7">
        <v>0.09</v>
      </c>
      <c r="I6747" s="9" t="s">
        <v>31</v>
      </c>
      <c r="J6747" s="10">
        <v>-937.06</v>
      </c>
      <c r="K6747" s="11">
        <v>58.14</v>
      </c>
      <c r="L6747" s="11">
        <v>36.61</v>
      </c>
      <c r="M6747" s="9" t="s">
        <v>2044</v>
      </c>
      <c r="N6747" s="6" t="s">
        <v>2012</v>
      </c>
      <c r="O6747" s="6" t="s">
        <v>2012</v>
      </c>
      <c r="P6747" s="9" t="s">
        <v>41</v>
      </c>
      <c r="Q6747" s="9" t="s">
        <v>49</v>
      </c>
      <c r="R6747" s="9" t="s">
        <v>80</v>
      </c>
      <c r="S6747" s="7" t="s">
        <v>233</v>
      </c>
      <c r="T6747" s="9" t="s">
        <v>82</v>
      </c>
      <c r="U6747" s="7">
        <v>0.61</v>
      </c>
      <c r="V6747" s="12">
        <f>C6747+1</f>
        <v>40138</v>
      </c>
      <c r="W6747">
        <f>IF(D6747=' Pivot Tables'!$A$4,1,0)</f>
        <v>0</v>
      </c>
      <c r="X6747">
        <f>IF(AND(LEFT(D6747,4)+1=LEFT(' Pivot Tables'!$A$4,4)+0,RIGHT(LEFT(D6747,7),2)=RIGHT(LEFT(' Pivot Tables'!$A$4,7),2)),1,0)</f>
        <v>0</v>
      </c>
      <c r="Y6747" s="6">
        <f>1/COUNTIF(Таблица1[Order ID],Таблица1[[#This Row],[Order ID]])</f>
        <v>1</v>
      </c>
      <c r="Z6747" s="9">
        <f>1/COUNTIFS(Таблица1[Customer Name],Таблица1[[#This Row],[Customer Name]],Таблица1[Order-Year-Month],Таблица1[[#This Row],[Order-Year-Month]])</f>
        <v>1</v>
      </c>
    </row>
    <row r="6748" spans="1:26" x14ac:dyDescent="0.2">
      <c r="A6748" s="6">
        <v>1774</v>
      </c>
      <c r="B6748" s="7">
        <v>12708</v>
      </c>
      <c r="C6748" s="8">
        <f>DATE(2012,12,31)-1089</f>
        <v>40185</v>
      </c>
      <c r="D6748" s="8" t="str">
        <f t="shared" si="124"/>
        <v>2010-01 (январь 2010)</v>
      </c>
      <c r="E6748" s="9" t="s">
        <v>21</v>
      </c>
      <c r="F6748" s="7">
        <v>44</v>
      </c>
      <c r="G6748" s="7">
        <v>159.41</v>
      </c>
      <c r="H6748" s="7">
        <v>0</v>
      </c>
      <c r="I6748" s="9" t="s">
        <v>56</v>
      </c>
      <c r="J6748" s="10">
        <v>34.68</v>
      </c>
      <c r="K6748" s="11">
        <v>3.28</v>
      </c>
      <c r="L6748" s="11">
        <v>0.98</v>
      </c>
      <c r="M6748" s="9" t="s">
        <v>1490</v>
      </c>
      <c r="N6748" s="6" t="s">
        <v>2012</v>
      </c>
      <c r="O6748" s="6" t="s">
        <v>2012</v>
      </c>
      <c r="P6748" s="9" t="s">
        <v>41</v>
      </c>
      <c r="Q6748" s="9" t="s">
        <v>26</v>
      </c>
      <c r="R6748" s="9" t="s">
        <v>95</v>
      </c>
      <c r="S6748" s="7" t="s">
        <v>1561</v>
      </c>
      <c r="T6748" s="9" t="s">
        <v>68</v>
      </c>
      <c r="U6748" s="7">
        <v>0.52</v>
      </c>
      <c r="V6748" s="12">
        <f>C6748+5</f>
        <v>40190</v>
      </c>
      <c r="W6748">
        <f>IF(D6748=' Pivot Tables'!$A$4,1,0)</f>
        <v>1</v>
      </c>
      <c r="X6748">
        <f>IF(AND(LEFT(D6748,4)+1=LEFT(' Pivot Tables'!$A$4,4)+0,RIGHT(LEFT(D6748,7),2)=RIGHT(LEFT(' Pivot Tables'!$A$4,7),2)),1,0)</f>
        <v>0</v>
      </c>
      <c r="Y6748" s="6">
        <f>1/COUNTIF(Таблица1[Order ID],Таблица1[[#This Row],[Order ID]])</f>
        <v>1</v>
      </c>
      <c r="Z6748" s="9">
        <f>1/COUNTIFS(Таблица1[Customer Name],Таблица1[[#This Row],[Customer Name]],Таблица1[Order-Year-Month],Таблица1[[#This Row],[Order-Year-Month]])</f>
        <v>1</v>
      </c>
    </row>
    <row r="6749" spans="1:26" x14ac:dyDescent="0.2">
      <c r="A6749" s="6">
        <v>1808</v>
      </c>
      <c r="B6749" s="7">
        <v>12930</v>
      </c>
      <c r="C6749" s="8">
        <f>DATE(2012,12,31)-403</f>
        <v>40871</v>
      </c>
      <c r="D6749" s="8" t="str">
        <f t="shared" si="124"/>
        <v>2011-11 (ноябрь 2011)</v>
      </c>
      <c r="E6749" s="9" t="s">
        <v>30</v>
      </c>
      <c r="F6749" s="7">
        <v>49</v>
      </c>
      <c r="G6749" s="7">
        <v>1147.6400000000001</v>
      </c>
      <c r="H6749" s="7">
        <v>0.06</v>
      </c>
      <c r="I6749" s="9" t="s">
        <v>22</v>
      </c>
      <c r="J6749" s="10">
        <v>261.87</v>
      </c>
      <c r="K6749" s="11">
        <v>22.98</v>
      </c>
      <c r="L6749" s="11">
        <v>4.5</v>
      </c>
      <c r="M6749" s="9" t="s">
        <v>1635</v>
      </c>
      <c r="N6749" s="6" t="s">
        <v>2012</v>
      </c>
      <c r="O6749" s="6" t="s">
        <v>2012</v>
      </c>
      <c r="P6749" s="9" t="s">
        <v>41</v>
      </c>
      <c r="Q6749" s="9" t="s">
        <v>26</v>
      </c>
      <c r="R6749" s="9" t="s">
        <v>34</v>
      </c>
      <c r="S6749" s="7" t="s">
        <v>1139</v>
      </c>
      <c r="T6749" s="9" t="s">
        <v>39</v>
      </c>
      <c r="U6749" s="7">
        <v>0.55000000000000004</v>
      </c>
      <c r="V6749" s="12">
        <f t="shared" ref="V6749:V6754" si="125">C6749+1</f>
        <v>40872</v>
      </c>
      <c r="W6749">
        <f>IF(D6749=' Pivot Tables'!$A$4,1,0)</f>
        <v>0</v>
      </c>
      <c r="X6749">
        <f>IF(AND(LEFT(D6749,4)+1=LEFT(' Pivot Tables'!$A$4,4)+0,RIGHT(LEFT(D6749,7),2)=RIGHT(LEFT(' Pivot Tables'!$A$4,7),2)),1,0)</f>
        <v>0</v>
      </c>
      <c r="Y6749" s="6">
        <f>1/COUNTIF(Таблица1[Order ID],Таблица1[[#This Row],[Order ID]])</f>
        <v>1</v>
      </c>
      <c r="Z6749" s="9">
        <f>1/COUNTIFS(Таблица1[Customer Name],Таблица1[[#This Row],[Customer Name]],Таблица1[Order-Year-Month],Таблица1[[#This Row],[Order-Year-Month]])</f>
        <v>1</v>
      </c>
    </row>
    <row r="6750" spans="1:26" x14ac:dyDescent="0.2">
      <c r="A6750" s="6">
        <v>1812</v>
      </c>
      <c r="B6750" s="7">
        <v>12965</v>
      </c>
      <c r="C6750" s="8">
        <f>DATE(2012,12,31)-920</f>
        <v>40354</v>
      </c>
      <c r="D6750" s="8" t="str">
        <f t="shared" si="124"/>
        <v>2010-06 (июнь 2010)</v>
      </c>
      <c r="E6750" s="9" t="s">
        <v>63</v>
      </c>
      <c r="F6750" s="7">
        <v>7</v>
      </c>
      <c r="G6750" s="7">
        <v>44.74</v>
      </c>
      <c r="H6750" s="7">
        <v>0.04</v>
      </c>
      <c r="I6750" s="9" t="s">
        <v>22</v>
      </c>
      <c r="J6750" s="10">
        <v>-20.102</v>
      </c>
      <c r="K6750" s="11">
        <v>5.74</v>
      </c>
      <c r="L6750" s="11">
        <v>5.01</v>
      </c>
      <c r="M6750" s="9" t="s">
        <v>1526</v>
      </c>
      <c r="N6750" s="6" t="s">
        <v>2012</v>
      </c>
      <c r="O6750" s="6" t="s">
        <v>2012</v>
      </c>
      <c r="P6750" s="9" t="s">
        <v>41</v>
      </c>
      <c r="Q6750" s="9" t="s">
        <v>26</v>
      </c>
      <c r="R6750" s="9" t="s">
        <v>37</v>
      </c>
      <c r="S6750" s="7" t="s">
        <v>363</v>
      </c>
      <c r="T6750" s="9" t="s">
        <v>39</v>
      </c>
      <c r="U6750" s="7">
        <v>0.39</v>
      </c>
      <c r="V6750" s="12">
        <f t="shared" si="125"/>
        <v>40355</v>
      </c>
      <c r="W6750">
        <f>IF(D6750=' Pivot Tables'!$A$4,1,0)</f>
        <v>0</v>
      </c>
      <c r="X6750">
        <f>IF(AND(LEFT(D6750,4)+1=LEFT(' Pivot Tables'!$A$4,4)+0,RIGHT(LEFT(D6750,7),2)=RIGHT(LEFT(' Pivot Tables'!$A$4,7),2)),1,0)</f>
        <v>0</v>
      </c>
      <c r="Y6750" s="6">
        <f>1/COUNTIF(Таблица1[Order ID],Таблица1[[#This Row],[Order ID]])</f>
        <v>0.5</v>
      </c>
      <c r="Z6750" s="9">
        <f>1/COUNTIFS(Таблица1[Customer Name],Таблица1[[#This Row],[Customer Name]],Таблица1[Order-Year-Month],Таблица1[[#This Row],[Order-Year-Month]])</f>
        <v>0.5</v>
      </c>
    </row>
    <row r="6751" spans="1:26" x14ac:dyDescent="0.2">
      <c r="A6751" s="6">
        <v>1813</v>
      </c>
      <c r="B6751" s="7">
        <v>12965</v>
      </c>
      <c r="C6751" s="8">
        <f>DATE(2012,12,31)-920</f>
        <v>40354</v>
      </c>
      <c r="D6751" s="8" t="str">
        <f t="shared" si="124"/>
        <v>2010-06 (июнь 2010)</v>
      </c>
      <c r="E6751" s="9" t="s">
        <v>63</v>
      </c>
      <c r="F6751" s="7">
        <v>21</v>
      </c>
      <c r="G6751" s="7">
        <v>90.78</v>
      </c>
      <c r="H6751" s="7">
        <v>0.06</v>
      </c>
      <c r="I6751" s="9" t="s">
        <v>22</v>
      </c>
      <c r="J6751" s="10">
        <v>-71.840499999999992</v>
      </c>
      <c r="K6751" s="11">
        <v>4.24</v>
      </c>
      <c r="L6751" s="11">
        <v>5.41</v>
      </c>
      <c r="M6751" s="9" t="s">
        <v>1526</v>
      </c>
      <c r="N6751" s="6" t="s">
        <v>2012</v>
      </c>
      <c r="O6751" s="6" t="s">
        <v>2012</v>
      </c>
      <c r="P6751" s="9" t="s">
        <v>41</v>
      </c>
      <c r="Q6751" s="9" t="s">
        <v>26</v>
      </c>
      <c r="R6751" s="9" t="s">
        <v>37</v>
      </c>
      <c r="S6751" s="7" t="s">
        <v>873</v>
      </c>
      <c r="T6751" s="9" t="s">
        <v>39</v>
      </c>
      <c r="U6751" s="7">
        <v>0.35</v>
      </c>
      <c r="V6751" s="12">
        <f t="shared" si="125"/>
        <v>40355</v>
      </c>
      <c r="W6751">
        <f>IF(D6751=' Pivot Tables'!$A$4,1,0)</f>
        <v>0</v>
      </c>
      <c r="X6751">
        <f>IF(AND(LEFT(D6751,4)+1=LEFT(' Pivot Tables'!$A$4,4)+0,RIGHT(LEFT(D6751,7),2)=RIGHT(LEFT(' Pivot Tables'!$A$4,7),2)),1,0)</f>
        <v>0</v>
      </c>
      <c r="Y6751" s="6">
        <f>1/COUNTIF(Таблица1[Order ID],Таблица1[[#This Row],[Order ID]])</f>
        <v>0.5</v>
      </c>
      <c r="Z6751" s="9">
        <f>1/COUNTIFS(Таблица1[Customer Name],Таблица1[[#This Row],[Customer Name]],Таблица1[Order-Year-Month],Таблица1[[#This Row],[Order-Year-Month]])</f>
        <v>0.5</v>
      </c>
    </row>
    <row r="6752" spans="1:26" x14ac:dyDescent="0.2">
      <c r="A6752" s="6">
        <v>1822</v>
      </c>
      <c r="B6752" s="7">
        <v>13090</v>
      </c>
      <c r="C6752" s="8">
        <f>DATE(2012,12,31)-889</f>
        <v>40385</v>
      </c>
      <c r="D6752" s="8" t="str">
        <f t="shared" si="124"/>
        <v>2010-07 (июль 2010)</v>
      </c>
      <c r="E6752" s="9" t="s">
        <v>45</v>
      </c>
      <c r="F6752" s="7">
        <v>15</v>
      </c>
      <c r="G6752" s="7">
        <v>150.19999999999999</v>
      </c>
      <c r="H6752" s="7">
        <v>0.02</v>
      </c>
      <c r="I6752" s="9" t="s">
        <v>22</v>
      </c>
      <c r="J6752" s="10">
        <v>12.97</v>
      </c>
      <c r="K6752" s="11">
        <v>9.27</v>
      </c>
      <c r="L6752" s="11">
        <v>4.3899999999999997</v>
      </c>
      <c r="M6752" s="9" t="s">
        <v>2045</v>
      </c>
      <c r="N6752" s="6" t="s">
        <v>2012</v>
      </c>
      <c r="O6752" s="6" t="s">
        <v>2012</v>
      </c>
      <c r="P6752" s="9" t="s">
        <v>41</v>
      </c>
      <c r="Q6752" s="9" t="s">
        <v>26</v>
      </c>
      <c r="R6752" s="9" t="s">
        <v>61</v>
      </c>
      <c r="S6752" s="7" t="s">
        <v>400</v>
      </c>
      <c r="T6752" s="9" t="s">
        <v>68</v>
      </c>
      <c r="U6752" s="7">
        <v>0.38</v>
      </c>
      <c r="V6752" s="12">
        <f t="shared" si="125"/>
        <v>40386</v>
      </c>
      <c r="W6752">
        <f>IF(D6752=' Pivot Tables'!$A$4,1,0)</f>
        <v>0</v>
      </c>
      <c r="X6752">
        <f>IF(AND(LEFT(D6752,4)+1=LEFT(' Pivot Tables'!$A$4,4)+0,RIGHT(LEFT(D6752,7),2)=RIGHT(LEFT(' Pivot Tables'!$A$4,7),2)),1,0)</f>
        <v>0</v>
      </c>
      <c r="Y6752" s="6">
        <f>1/COUNTIF(Таблица1[Order ID],Таблица1[[#This Row],[Order ID]])</f>
        <v>1</v>
      </c>
      <c r="Z6752" s="9">
        <f>1/COUNTIFS(Таблица1[Customer Name],Таблица1[[#This Row],[Customer Name]],Таблица1[Order-Year-Month],Таблица1[[#This Row],[Order-Year-Month]])</f>
        <v>1</v>
      </c>
    </row>
    <row r="6753" spans="1:26" x14ac:dyDescent="0.2">
      <c r="A6753" s="6">
        <v>1836</v>
      </c>
      <c r="B6753" s="7">
        <v>13157</v>
      </c>
      <c r="C6753" s="8">
        <f>DATE(2012,12,31)-324</f>
        <v>40950</v>
      </c>
      <c r="D6753" s="8" t="str">
        <f t="shared" si="124"/>
        <v>2012-02 (февраль 2012)</v>
      </c>
      <c r="E6753" s="9" t="s">
        <v>63</v>
      </c>
      <c r="F6753" s="7">
        <v>2</v>
      </c>
      <c r="G6753" s="7">
        <v>38.93</v>
      </c>
      <c r="H6753" s="7">
        <v>7.0000000000000007E-2</v>
      </c>
      <c r="I6753" s="9" t="s">
        <v>22</v>
      </c>
      <c r="J6753" s="10">
        <v>-102.432</v>
      </c>
      <c r="K6753" s="11">
        <v>20.99</v>
      </c>
      <c r="L6753" s="11">
        <v>4.8099999999999996</v>
      </c>
      <c r="M6753" s="9" t="s">
        <v>1533</v>
      </c>
      <c r="N6753" s="6" t="s">
        <v>2012</v>
      </c>
      <c r="O6753" s="6" t="s">
        <v>2012</v>
      </c>
      <c r="P6753" s="9" t="s">
        <v>41</v>
      </c>
      <c r="Q6753" s="9" t="s">
        <v>42</v>
      </c>
      <c r="R6753" s="9" t="s">
        <v>43</v>
      </c>
      <c r="S6753" s="7" t="s">
        <v>760</v>
      </c>
      <c r="T6753" s="9" t="s">
        <v>48</v>
      </c>
      <c r="U6753" s="7">
        <v>0.57999999999999996</v>
      </c>
      <c r="V6753" s="12">
        <f t="shared" si="125"/>
        <v>40951</v>
      </c>
      <c r="W6753">
        <f>IF(D6753=' Pivot Tables'!$A$4,1,0)</f>
        <v>0</v>
      </c>
      <c r="X6753">
        <f>IF(AND(LEFT(D6753,4)+1=LEFT(' Pivot Tables'!$A$4,4)+0,RIGHT(LEFT(D6753,7),2)=RIGHT(LEFT(' Pivot Tables'!$A$4,7),2)),1,0)</f>
        <v>0</v>
      </c>
      <c r="Y6753" s="6">
        <f>1/COUNTIF(Таблица1[Order ID],Таблица1[[#This Row],[Order ID]])</f>
        <v>1</v>
      </c>
      <c r="Z6753" s="9">
        <f>1/COUNTIFS(Таблица1[Customer Name],Таблица1[[#This Row],[Customer Name]],Таблица1[Order-Year-Month],Таблица1[[#This Row],[Order-Year-Month]])</f>
        <v>0.5</v>
      </c>
    </row>
    <row r="6754" spans="1:26" x14ac:dyDescent="0.2">
      <c r="A6754" s="6">
        <v>1838</v>
      </c>
      <c r="B6754" s="7">
        <v>13218</v>
      </c>
      <c r="C6754" s="8">
        <f>DATE(2012,12,31)-1325</f>
        <v>39949</v>
      </c>
      <c r="D6754" s="8" t="str">
        <f t="shared" si="124"/>
        <v>2009-05 (май 2009)</v>
      </c>
      <c r="E6754" s="9" t="s">
        <v>30</v>
      </c>
      <c r="F6754" s="7">
        <v>18</v>
      </c>
      <c r="G6754" s="7">
        <v>513.08000000000004</v>
      </c>
      <c r="H6754" s="7">
        <v>0.03</v>
      </c>
      <c r="I6754" s="9" t="s">
        <v>22</v>
      </c>
      <c r="J6754" s="10">
        <v>198.9425</v>
      </c>
      <c r="K6754" s="11">
        <v>28.53</v>
      </c>
      <c r="L6754" s="11">
        <v>1.49</v>
      </c>
      <c r="M6754" s="9" t="s">
        <v>2042</v>
      </c>
      <c r="N6754" s="6" t="s">
        <v>2012</v>
      </c>
      <c r="O6754" s="6" t="s">
        <v>2012</v>
      </c>
      <c r="P6754" s="9" t="s">
        <v>41</v>
      </c>
      <c r="Q6754" s="9" t="s">
        <v>26</v>
      </c>
      <c r="R6754" s="9" t="s">
        <v>37</v>
      </c>
      <c r="S6754" s="7" t="s">
        <v>380</v>
      </c>
      <c r="T6754" s="9" t="s">
        <v>39</v>
      </c>
      <c r="U6754" s="7">
        <v>0.38</v>
      </c>
      <c r="V6754" s="12">
        <f t="shared" si="125"/>
        <v>39950</v>
      </c>
      <c r="W6754">
        <f>IF(D6754=' Pivot Tables'!$A$4,1,0)</f>
        <v>0</v>
      </c>
      <c r="X6754">
        <f>IF(AND(LEFT(D6754,4)+1=LEFT(' Pivot Tables'!$A$4,4)+0,RIGHT(LEFT(D6754,7),2)=RIGHT(LEFT(' Pivot Tables'!$A$4,7),2)),1,0)</f>
        <v>0</v>
      </c>
      <c r="Y6754" s="6">
        <f>1/COUNTIF(Таблица1[Order ID],Таблица1[[#This Row],[Order ID]])</f>
        <v>0.5</v>
      </c>
      <c r="Z6754" s="9">
        <f>1/COUNTIFS(Таблица1[Customer Name],Таблица1[[#This Row],[Customer Name]],Таблица1[Order-Year-Month],Таблица1[[#This Row],[Order-Year-Month]])</f>
        <v>0.2</v>
      </c>
    </row>
    <row r="6755" spans="1:26" x14ac:dyDescent="0.2">
      <c r="A6755" s="6">
        <v>1839</v>
      </c>
      <c r="B6755" s="7">
        <v>13218</v>
      </c>
      <c r="C6755" s="8">
        <f>DATE(2012,12,31)-1325</f>
        <v>39949</v>
      </c>
      <c r="D6755" s="8" t="str">
        <f t="shared" si="124"/>
        <v>2009-05 (май 2009)</v>
      </c>
      <c r="E6755" s="9" t="s">
        <v>30</v>
      </c>
      <c r="F6755" s="7">
        <v>16</v>
      </c>
      <c r="G6755" s="7">
        <v>98.8</v>
      </c>
      <c r="H6755" s="7">
        <v>7.0000000000000007E-2</v>
      </c>
      <c r="I6755" s="9" t="s">
        <v>22</v>
      </c>
      <c r="J6755" s="10">
        <v>-62</v>
      </c>
      <c r="K6755" s="11">
        <v>5.98</v>
      </c>
      <c r="L6755" s="11">
        <v>7.15</v>
      </c>
      <c r="M6755" s="9" t="s">
        <v>2042</v>
      </c>
      <c r="N6755" s="6" t="s">
        <v>2012</v>
      </c>
      <c r="O6755" s="6" t="s">
        <v>2012</v>
      </c>
      <c r="P6755" s="9" t="s">
        <v>41</v>
      </c>
      <c r="Q6755" s="9" t="s">
        <v>26</v>
      </c>
      <c r="R6755" s="9" t="s">
        <v>61</v>
      </c>
      <c r="S6755" s="7" t="s">
        <v>1424</v>
      </c>
      <c r="T6755" s="9" t="s">
        <v>39</v>
      </c>
      <c r="U6755" s="7">
        <v>0.36</v>
      </c>
      <c r="V6755" s="12">
        <f>C6755+2</f>
        <v>39951</v>
      </c>
      <c r="W6755">
        <f>IF(D6755=' Pivot Tables'!$A$4,1,0)</f>
        <v>0</v>
      </c>
      <c r="X6755">
        <f>IF(AND(LEFT(D6755,4)+1=LEFT(' Pivot Tables'!$A$4,4)+0,RIGHT(LEFT(D6755,7),2)=RIGHT(LEFT(' Pivot Tables'!$A$4,7),2)),1,0)</f>
        <v>0</v>
      </c>
      <c r="Y6755" s="6">
        <f>1/COUNTIF(Таблица1[Order ID],Таблица1[[#This Row],[Order ID]])</f>
        <v>0.5</v>
      </c>
      <c r="Z6755" s="9">
        <f>1/COUNTIFS(Таблица1[Customer Name],Таблица1[[#This Row],[Customer Name]],Таблица1[Order-Year-Month],Таблица1[[#This Row],[Order-Year-Month]])</f>
        <v>0.2</v>
      </c>
    </row>
    <row r="6756" spans="1:26" x14ac:dyDescent="0.2">
      <c r="A6756" s="6">
        <v>1852</v>
      </c>
      <c r="B6756" s="7">
        <v>13314</v>
      </c>
      <c r="C6756" s="8">
        <f>DATE(2012,12,31)-1328</f>
        <v>39946</v>
      </c>
      <c r="D6756" s="8" t="str">
        <f t="shared" si="124"/>
        <v>2009-05 (май 2009)</v>
      </c>
      <c r="E6756" s="9" t="s">
        <v>30</v>
      </c>
      <c r="F6756" s="7">
        <v>34</v>
      </c>
      <c r="G6756" s="7">
        <v>89.4</v>
      </c>
      <c r="H6756" s="7">
        <v>0.08</v>
      </c>
      <c r="I6756" s="9" t="s">
        <v>56</v>
      </c>
      <c r="J6756" s="10">
        <v>22.22</v>
      </c>
      <c r="K6756" s="11">
        <v>2.62</v>
      </c>
      <c r="L6756" s="11">
        <v>0.8</v>
      </c>
      <c r="M6756" s="9" t="s">
        <v>1482</v>
      </c>
      <c r="N6756" s="6" t="s">
        <v>2012</v>
      </c>
      <c r="O6756" s="6" t="s">
        <v>2012</v>
      </c>
      <c r="P6756" s="9" t="s">
        <v>25</v>
      </c>
      <c r="Q6756" s="9" t="s">
        <v>26</v>
      </c>
      <c r="R6756" s="9" t="s">
        <v>66</v>
      </c>
      <c r="S6756" s="7" t="s">
        <v>861</v>
      </c>
      <c r="T6756" s="9" t="s">
        <v>68</v>
      </c>
      <c r="U6756" s="7">
        <v>0.39</v>
      </c>
      <c r="V6756" s="12">
        <f>C6756+2</f>
        <v>39948</v>
      </c>
      <c r="W6756">
        <f>IF(D6756=' Pivot Tables'!$A$4,1,0)</f>
        <v>0</v>
      </c>
      <c r="X6756">
        <f>IF(AND(LEFT(D6756,4)+1=LEFT(' Pivot Tables'!$A$4,4)+0,RIGHT(LEFT(D6756,7),2)=RIGHT(LEFT(' Pivot Tables'!$A$4,7),2)),1,0)</f>
        <v>0</v>
      </c>
      <c r="Y6756" s="6">
        <f>1/COUNTIF(Таблица1[Order ID],Таблица1[[#This Row],[Order ID]])</f>
        <v>1</v>
      </c>
      <c r="Z6756" s="9">
        <f>1/COUNTIFS(Таблица1[Customer Name],Таблица1[[#This Row],[Customer Name]],Таблица1[Order-Year-Month],Таблица1[[#This Row],[Order-Year-Month]])</f>
        <v>1</v>
      </c>
    </row>
    <row r="6757" spans="1:26" x14ac:dyDescent="0.2">
      <c r="A6757" s="6">
        <v>1877</v>
      </c>
      <c r="B6757" s="7">
        <v>13536</v>
      </c>
      <c r="C6757" s="8">
        <f>DATE(2012,12,31)-1231</f>
        <v>40043</v>
      </c>
      <c r="D6757" s="8" t="str">
        <f t="shared" si="124"/>
        <v>2009-08 (август 2009)</v>
      </c>
      <c r="E6757" s="9" t="s">
        <v>63</v>
      </c>
      <c r="F6757" s="7">
        <v>23</v>
      </c>
      <c r="G6757" s="7">
        <v>123.15</v>
      </c>
      <c r="H6757" s="7">
        <v>0.05</v>
      </c>
      <c r="I6757" s="9" t="s">
        <v>22</v>
      </c>
      <c r="J6757" s="10">
        <v>22.98</v>
      </c>
      <c r="K6757" s="11">
        <v>5.18</v>
      </c>
      <c r="L6757" s="11">
        <v>2.04</v>
      </c>
      <c r="M6757" s="9" t="s">
        <v>1948</v>
      </c>
      <c r="N6757" s="6" t="s">
        <v>2012</v>
      </c>
      <c r="O6757" s="6" t="s">
        <v>2012</v>
      </c>
      <c r="P6757" s="9" t="s">
        <v>60</v>
      </c>
      <c r="Q6757" s="9" t="s">
        <v>26</v>
      </c>
      <c r="R6757" s="9" t="s">
        <v>61</v>
      </c>
      <c r="S6757" s="7" t="s">
        <v>391</v>
      </c>
      <c r="T6757" s="9" t="s">
        <v>68</v>
      </c>
      <c r="U6757" s="7">
        <v>0.36</v>
      </c>
      <c r="V6757" s="12">
        <f>C6757+2</f>
        <v>40045</v>
      </c>
      <c r="W6757">
        <f>IF(D6757=' Pivot Tables'!$A$4,1,0)</f>
        <v>0</v>
      </c>
      <c r="X6757">
        <f>IF(AND(LEFT(D6757,4)+1=LEFT(' Pivot Tables'!$A$4,4)+0,RIGHT(LEFT(D6757,7),2)=RIGHT(LEFT(' Pivot Tables'!$A$4,7),2)),1,0)</f>
        <v>0</v>
      </c>
      <c r="Y6757" s="6">
        <f>1/COUNTIF(Таблица1[Order ID],Таблица1[[#This Row],[Order ID]])</f>
        <v>1</v>
      </c>
      <c r="Z6757" s="9">
        <f>1/COUNTIFS(Таблица1[Customer Name],Таблица1[[#This Row],[Customer Name]],Таблица1[Order-Year-Month],Таблица1[[#This Row],[Order-Year-Month]])</f>
        <v>1</v>
      </c>
    </row>
    <row r="6758" spans="1:26" x14ac:dyDescent="0.2">
      <c r="A6758" s="6">
        <v>1887</v>
      </c>
      <c r="B6758" s="7">
        <v>13569</v>
      </c>
      <c r="C6758" s="8">
        <f>DATE(2012,12,31)-631</f>
        <v>40643</v>
      </c>
      <c r="D6758" s="8" t="str">
        <f t="shared" si="124"/>
        <v>2011-04 (апрель 2011)</v>
      </c>
      <c r="E6758" s="9" t="s">
        <v>78</v>
      </c>
      <c r="F6758" s="7">
        <v>13</v>
      </c>
      <c r="G6758" s="7">
        <v>563.17999999999995</v>
      </c>
      <c r="H6758" s="7">
        <v>0.02</v>
      </c>
      <c r="I6758" s="9" t="s">
        <v>56</v>
      </c>
      <c r="J6758" s="10">
        <v>67.98</v>
      </c>
      <c r="K6758" s="11">
        <v>40.98</v>
      </c>
      <c r="L6758" s="11">
        <v>7.2</v>
      </c>
      <c r="M6758" s="9" t="s">
        <v>1457</v>
      </c>
      <c r="N6758" s="6" t="s">
        <v>2012</v>
      </c>
      <c r="O6758" s="6" t="s">
        <v>2012</v>
      </c>
      <c r="P6758" s="9" t="s">
        <v>41</v>
      </c>
      <c r="Q6758" s="9" t="s">
        <v>26</v>
      </c>
      <c r="R6758" s="9" t="s">
        <v>34</v>
      </c>
      <c r="S6758" s="7" t="s">
        <v>1755</v>
      </c>
      <c r="T6758" s="9" t="s">
        <v>39</v>
      </c>
      <c r="U6758" s="7">
        <v>0.6</v>
      </c>
      <c r="V6758" s="12">
        <f>C6758+2</f>
        <v>40645</v>
      </c>
      <c r="W6758">
        <f>IF(D6758=' Pivot Tables'!$A$4,1,0)</f>
        <v>0</v>
      </c>
      <c r="X6758">
        <f>IF(AND(LEFT(D6758,4)+1=LEFT(' Pivot Tables'!$A$4,4)+0,RIGHT(LEFT(D6758,7),2)=RIGHT(LEFT(' Pivot Tables'!$A$4,7),2)),1,0)</f>
        <v>0</v>
      </c>
      <c r="Y6758" s="6">
        <f>1/COUNTIF(Таблица1[Order ID],Таблица1[[#This Row],[Order ID]])</f>
        <v>0.5</v>
      </c>
      <c r="Z6758" s="9">
        <f>1/COUNTIFS(Таблица1[Customer Name],Таблица1[[#This Row],[Customer Name]],Таблица1[Order-Year-Month],Таблица1[[#This Row],[Order-Year-Month]])</f>
        <v>0.5</v>
      </c>
    </row>
    <row r="6759" spans="1:26" x14ac:dyDescent="0.2">
      <c r="A6759" s="6">
        <v>1888</v>
      </c>
      <c r="B6759" s="7">
        <v>13569</v>
      </c>
      <c r="C6759" s="8">
        <f>DATE(2012,12,31)-631</f>
        <v>40643</v>
      </c>
      <c r="D6759" s="8" t="str">
        <f t="shared" si="124"/>
        <v>2011-04 (апрель 2011)</v>
      </c>
      <c r="E6759" s="9" t="s">
        <v>78</v>
      </c>
      <c r="F6759" s="7">
        <v>16</v>
      </c>
      <c r="G6759" s="7">
        <v>47.45</v>
      </c>
      <c r="H6759" s="7">
        <v>0.05</v>
      </c>
      <c r="I6759" s="9" t="s">
        <v>22</v>
      </c>
      <c r="J6759" s="10">
        <v>1.071</v>
      </c>
      <c r="K6759" s="11">
        <v>2.88</v>
      </c>
      <c r="L6759" s="11">
        <v>1.49</v>
      </c>
      <c r="M6759" s="9" t="s">
        <v>1457</v>
      </c>
      <c r="N6759" s="6" t="s">
        <v>2012</v>
      </c>
      <c r="O6759" s="6" t="s">
        <v>2012</v>
      </c>
      <c r="P6759" s="9" t="s">
        <v>41</v>
      </c>
      <c r="Q6759" s="9" t="s">
        <v>26</v>
      </c>
      <c r="R6759" s="9" t="s">
        <v>37</v>
      </c>
      <c r="S6759" s="7" t="s">
        <v>782</v>
      </c>
      <c r="T6759" s="9" t="s">
        <v>39</v>
      </c>
      <c r="U6759" s="7">
        <v>0.36</v>
      </c>
      <c r="V6759" s="12">
        <f>C6759+1</f>
        <v>40644</v>
      </c>
      <c r="W6759">
        <f>IF(D6759=' Pivot Tables'!$A$4,1,0)</f>
        <v>0</v>
      </c>
      <c r="X6759">
        <f>IF(AND(LEFT(D6759,4)+1=LEFT(' Pivot Tables'!$A$4,4)+0,RIGHT(LEFT(D6759,7),2)=RIGHT(LEFT(' Pivot Tables'!$A$4,7),2)),1,0)</f>
        <v>0</v>
      </c>
      <c r="Y6759" s="6">
        <f>1/COUNTIF(Таблица1[Order ID],Таблица1[[#This Row],[Order ID]])</f>
        <v>0.5</v>
      </c>
      <c r="Z6759" s="9">
        <f>1/COUNTIFS(Таблица1[Customer Name],Таблица1[[#This Row],[Customer Name]],Таблица1[Order-Year-Month],Таблица1[[#This Row],[Order-Year-Month]])</f>
        <v>0.5</v>
      </c>
    </row>
    <row r="6760" spans="1:26" x14ac:dyDescent="0.2">
      <c r="A6760" s="6">
        <v>1889</v>
      </c>
      <c r="B6760" s="7">
        <v>13570</v>
      </c>
      <c r="C6760" s="8">
        <f>DATE(2012,12,31)-29</f>
        <v>41245</v>
      </c>
      <c r="D6760" s="8" t="str">
        <f t="shared" si="124"/>
        <v>2012-12 (декабрь 2012)</v>
      </c>
      <c r="E6760" s="9" t="s">
        <v>45</v>
      </c>
      <c r="F6760" s="7">
        <v>2</v>
      </c>
      <c r="G6760" s="7">
        <v>16.97</v>
      </c>
      <c r="H6760" s="7">
        <v>0.04</v>
      </c>
      <c r="I6760" s="9" t="s">
        <v>22</v>
      </c>
      <c r="J6760" s="10">
        <v>-8.8000000000000007</v>
      </c>
      <c r="K6760" s="11">
        <v>8.34</v>
      </c>
      <c r="L6760" s="11">
        <v>0.96</v>
      </c>
      <c r="M6760" s="9" t="s">
        <v>1635</v>
      </c>
      <c r="N6760" s="6" t="s">
        <v>2012</v>
      </c>
      <c r="O6760" s="6" t="s">
        <v>2012</v>
      </c>
      <c r="P6760" s="9" t="s">
        <v>41</v>
      </c>
      <c r="Q6760" s="9" t="s">
        <v>49</v>
      </c>
      <c r="R6760" s="9" t="s">
        <v>50</v>
      </c>
      <c r="S6760" s="7" t="s">
        <v>1306</v>
      </c>
      <c r="T6760" s="9" t="s">
        <v>68</v>
      </c>
      <c r="U6760" s="7">
        <v>0.43</v>
      </c>
      <c r="V6760" s="12">
        <f>C6760+1</f>
        <v>41246</v>
      </c>
      <c r="W6760">
        <f>IF(D6760=' Pivot Tables'!$A$4,1,0)</f>
        <v>0</v>
      </c>
      <c r="X6760">
        <f>IF(AND(LEFT(D6760,4)+1=LEFT(' Pivot Tables'!$A$4,4)+0,RIGHT(LEFT(D6760,7),2)=RIGHT(LEFT(' Pivot Tables'!$A$4,7),2)),1,0)</f>
        <v>0</v>
      </c>
      <c r="Y6760" s="6">
        <f>1/COUNTIF(Таблица1[Order ID],Таблица1[[#This Row],[Order ID]])</f>
        <v>0.5</v>
      </c>
      <c r="Z6760" s="9">
        <f>1/COUNTIFS(Таблица1[Customer Name],Таблица1[[#This Row],[Customer Name]],Таблица1[Order-Year-Month],Таблица1[[#This Row],[Order-Year-Month]])</f>
        <v>0.5</v>
      </c>
    </row>
    <row r="6761" spans="1:26" x14ac:dyDescent="0.2">
      <c r="A6761" s="6">
        <v>1890</v>
      </c>
      <c r="B6761" s="7">
        <v>13570</v>
      </c>
      <c r="C6761" s="8">
        <f>DATE(2012,12,31)-29</f>
        <v>41245</v>
      </c>
      <c r="D6761" s="8" t="str">
        <f t="shared" si="124"/>
        <v>2012-12 (декабрь 2012)</v>
      </c>
      <c r="E6761" s="9" t="s">
        <v>45</v>
      </c>
      <c r="F6761" s="7">
        <v>42</v>
      </c>
      <c r="G6761" s="7">
        <v>4077.7559999999994</v>
      </c>
      <c r="H6761" s="7">
        <v>0.04</v>
      </c>
      <c r="I6761" s="9" t="s">
        <v>22</v>
      </c>
      <c r="J6761" s="10">
        <v>1086.9570000000001</v>
      </c>
      <c r="K6761" s="11">
        <v>110.99</v>
      </c>
      <c r="L6761" s="11">
        <v>8.99</v>
      </c>
      <c r="M6761" s="9" t="s">
        <v>1635</v>
      </c>
      <c r="N6761" s="6" t="s">
        <v>2012</v>
      </c>
      <c r="O6761" s="6" t="s">
        <v>2012</v>
      </c>
      <c r="P6761" s="9" t="s">
        <v>41</v>
      </c>
      <c r="Q6761" s="9" t="s">
        <v>42</v>
      </c>
      <c r="R6761" s="9" t="s">
        <v>43</v>
      </c>
      <c r="S6761" s="7" t="s">
        <v>565</v>
      </c>
      <c r="T6761" s="9" t="s">
        <v>39</v>
      </c>
      <c r="U6761" s="7">
        <v>0.56999999999999995</v>
      </c>
      <c r="V6761" s="12">
        <f>C6761+0</f>
        <v>41245</v>
      </c>
      <c r="W6761">
        <f>IF(D6761=' Pivot Tables'!$A$4,1,0)</f>
        <v>0</v>
      </c>
      <c r="X6761">
        <f>IF(AND(LEFT(D6761,4)+1=LEFT(' Pivot Tables'!$A$4,4)+0,RIGHT(LEFT(D6761,7),2)=RIGHT(LEFT(' Pivot Tables'!$A$4,7),2)),1,0)</f>
        <v>0</v>
      </c>
      <c r="Y6761" s="6">
        <f>1/COUNTIF(Таблица1[Order ID],Таблица1[[#This Row],[Order ID]])</f>
        <v>0.5</v>
      </c>
      <c r="Z6761" s="9">
        <f>1/COUNTIFS(Таблица1[Customer Name],Таблица1[[#This Row],[Customer Name]],Таблица1[Order-Year-Month],Таблица1[[#This Row],[Order-Year-Month]])</f>
        <v>0.5</v>
      </c>
    </row>
    <row r="6762" spans="1:26" x14ac:dyDescent="0.2">
      <c r="A6762" s="6">
        <v>1894</v>
      </c>
      <c r="B6762" s="7">
        <v>13602</v>
      </c>
      <c r="C6762" s="8">
        <f>DATE(2012,12,31)-1448</f>
        <v>39826</v>
      </c>
      <c r="D6762" s="8" t="str">
        <f t="shared" si="124"/>
        <v>2009-01 (январь 2009)</v>
      </c>
      <c r="E6762" s="9" t="s">
        <v>21</v>
      </c>
      <c r="F6762" s="7">
        <v>3</v>
      </c>
      <c r="G6762" s="7">
        <v>445.34</v>
      </c>
      <c r="H6762" s="7">
        <v>0.03</v>
      </c>
      <c r="I6762" s="9" t="s">
        <v>31</v>
      </c>
      <c r="J6762" s="10">
        <v>-377.90190000000001</v>
      </c>
      <c r="K6762" s="11">
        <v>145.44999999999999</v>
      </c>
      <c r="L6762" s="11">
        <v>17.850000000000001</v>
      </c>
      <c r="M6762" s="9" t="s">
        <v>1341</v>
      </c>
      <c r="N6762" s="6" t="s">
        <v>2012</v>
      </c>
      <c r="O6762" s="6" t="s">
        <v>2012</v>
      </c>
      <c r="P6762" s="9" t="s">
        <v>41</v>
      </c>
      <c r="Q6762" s="9" t="s">
        <v>42</v>
      </c>
      <c r="R6762" s="9" t="s">
        <v>210</v>
      </c>
      <c r="S6762" s="7" t="s">
        <v>234</v>
      </c>
      <c r="T6762" s="9" t="s">
        <v>36</v>
      </c>
      <c r="U6762" s="7">
        <v>0.56000000000000005</v>
      </c>
      <c r="V6762" s="12">
        <f>C6762+5</f>
        <v>39831</v>
      </c>
      <c r="W6762">
        <f>IF(D6762=' Pivot Tables'!$A$4,1,0)</f>
        <v>0</v>
      </c>
      <c r="X6762">
        <f>IF(AND(LEFT(D6762,4)+1=LEFT(' Pivot Tables'!$A$4,4)+0,RIGHT(LEFT(D6762,7),2)=RIGHT(LEFT(' Pivot Tables'!$A$4,7),2)),1,0)</f>
        <v>1</v>
      </c>
      <c r="Y6762" s="6">
        <f>1/COUNTIF(Таблица1[Order ID],Таблица1[[#This Row],[Order ID]])</f>
        <v>0.5</v>
      </c>
      <c r="Z6762" s="9">
        <f>1/COUNTIFS(Таблица1[Customer Name],Таблица1[[#This Row],[Customer Name]],Таблица1[Order-Year-Month],Таблица1[[#This Row],[Order-Year-Month]])</f>
        <v>0.5</v>
      </c>
    </row>
    <row r="6763" spans="1:26" x14ac:dyDescent="0.2">
      <c r="A6763" s="6">
        <v>1895</v>
      </c>
      <c r="B6763" s="7">
        <v>13602</v>
      </c>
      <c r="C6763" s="8">
        <f>DATE(2012,12,31)-1448</f>
        <v>39826</v>
      </c>
      <c r="D6763" s="8" t="str">
        <f t="shared" si="124"/>
        <v>2009-01 (январь 2009)</v>
      </c>
      <c r="E6763" s="9" t="s">
        <v>21</v>
      </c>
      <c r="F6763" s="7">
        <v>13</v>
      </c>
      <c r="G6763" s="7">
        <v>660.99</v>
      </c>
      <c r="H6763" s="7">
        <v>0.02</v>
      </c>
      <c r="I6763" s="9" t="s">
        <v>22</v>
      </c>
      <c r="J6763" s="10">
        <v>267.67</v>
      </c>
      <c r="K6763" s="11">
        <v>48.04</v>
      </c>
      <c r="L6763" s="11">
        <v>5.09</v>
      </c>
      <c r="M6763" s="9" t="s">
        <v>1341</v>
      </c>
      <c r="N6763" s="6" t="s">
        <v>2012</v>
      </c>
      <c r="O6763" s="6" t="s">
        <v>2012</v>
      </c>
      <c r="P6763" s="9" t="s">
        <v>41</v>
      </c>
      <c r="Q6763" s="9" t="s">
        <v>26</v>
      </c>
      <c r="R6763" s="9" t="s">
        <v>61</v>
      </c>
      <c r="S6763" s="7" t="s">
        <v>1022</v>
      </c>
      <c r="T6763" s="9" t="s">
        <v>39</v>
      </c>
      <c r="U6763" s="7">
        <v>0.37</v>
      </c>
      <c r="V6763" s="12">
        <f>C6763+0</f>
        <v>39826</v>
      </c>
      <c r="W6763">
        <f>IF(D6763=' Pivot Tables'!$A$4,1,0)</f>
        <v>0</v>
      </c>
      <c r="X6763">
        <f>IF(AND(LEFT(D6763,4)+1=LEFT(' Pivot Tables'!$A$4,4)+0,RIGHT(LEFT(D6763,7),2)=RIGHT(LEFT(' Pivot Tables'!$A$4,7),2)),1,0)</f>
        <v>1</v>
      </c>
      <c r="Y6763" s="6">
        <f>1/COUNTIF(Таблица1[Order ID],Таблица1[[#This Row],[Order ID]])</f>
        <v>0.5</v>
      </c>
      <c r="Z6763" s="9">
        <f>1/COUNTIFS(Таблица1[Customer Name],Таблица1[[#This Row],[Customer Name]],Таблица1[Order-Year-Month],Таблица1[[#This Row],[Order-Year-Month]])</f>
        <v>0.5</v>
      </c>
    </row>
    <row r="6764" spans="1:26" x14ac:dyDescent="0.2">
      <c r="A6764" s="6">
        <v>1911</v>
      </c>
      <c r="B6764" s="7">
        <v>13668</v>
      </c>
      <c r="C6764" s="8">
        <f>DATE(2012,12,31)-311</f>
        <v>40963</v>
      </c>
      <c r="D6764" s="8" t="str">
        <f t="shared" si="124"/>
        <v>2012-02 (февраль 2012)</v>
      </c>
      <c r="E6764" s="9" t="s">
        <v>78</v>
      </c>
      <c r="F6764" s="7">
        <v>42</v>
      </c>
      <c r="G6764" s="7">
        <v>282.61</v>
      </c>
      <c r="H6764" s="7">
        <v>0.02</v>
      </c>
      <c r="I6764" s="9" t="s">
        <v>22</v>
      </c>
      <c r="J6764" s="10">
        <v>-106.36</v>
      </c>
      <c r="K6764" s="11">
        <v>6.24</v>
      </c>
      <c r="L6764" s="11">
        <v>5.22</v>
      </c>
      <c r="M6764" s="9" t="s">
        <v>1889</v>
      </c>
      <c r="N6764" s="6" t="s">
        <v>2012</v>
      </c>
      <c r="O6764" s="6" t="s">
        <v>2012</v>
      </c>
      <c r="P6764" s="9" t="s">
        <v>60</v>
      </c>
      <c r="Q6764" s="9" t="s">
        <v>49</v>
      </c>
      <c r="R6764" s="9" t="s">
        <v>50</v>
      </c>
      <c r="S6764" s="7" t="s">
        <v>1140</v>
      </c>
      <c r="T6764" s="9" t="s">
        <v>39</v>
      </c>
      <c r="U6764" s="7">
        <v>0.6</v>
      </c>
      <c r="V6764" s="12">
        <f>C6764+2</f>
        <v>40965</v>
      </c>
      <c r="W6764">
        <f>IF(D6764=' Pivot Tables'!$A$4,1,0)</f>
        <v>0</v>
      </c>
      <c r="X6764">
        <f>IF(AND(LEFT(D6764,4)+1=LEFT(' Pivot Tables'!$A$4,4)+0,RIGHT(LEFT(D6764,7),2)=RIGHT(LEFT(' Pivot Tables'!$A$4,7),2)),1,0)</f>
        <v>0</v>
      </c>
      <c r="Y6764" s="6">
        <f>1/COUNTIF(Таблица1[Order ID],Таблица1[[#This Row],[Order ID]])</f>
        <v>1</v>
      </c>
      <c r="Z6764" s="9">
        <f>1/COUNTIFS(Таблица1[Customer Name],Таблица1[[#This Row],[Customer Name]],Таблица1[Order-Year-Month],Таблица1[[#This Row],[Order-Year-Month]])</f>
        <v>1</v>
      </c>
    </row>
    <row r="6765" spans="1:26" x14ac:dyDescent="0.2">
      <c r="A6765" s="6">
        <v>1943</v>
      </c>
      <c r="B6765" s="7">
        <v>13923</v>
      </c>
      <c r="C6765" s="8">
        <f>DATE(2012,12,31)-176</f>
        <v>41098</v>
      </c>
      <c r="D6765" s="8" t="str">
        <f t="shared" si="124"/>
        <v>2012-07 (июль 2012)</v>
      </c>
      <c r="E6765" s="9" t="s">
        <v>30</v>
      </c>
      <c r="F6765" s="7">
        <v>28</v>
      </c>
      <c r="G6765" s="7">
        <v>4332.3</v>
      </c>
      <c r="H6765" s="7">
        <v>0.08</v>
      </c>
      <c r="I6765" s="9" t="s">
        <v>31</v>
      </c>
      <c r="J6765" s="10">
        <v>2066.12</v>
      </c>
      <c r="K6765" s="11">
        <v>200.97</v>
      </c>
      <c r="L6765" s="11">
        <v>15.59</v>
      </c>
      <c r="M6765" s="9" t="s">
        <v>1841</v>
      </c>
      <c r="N6765" s="6" t="s">
        <v>2012</v>
      </c>
      <c r="O6765" s="6" t="s">
        <v>2012</v>
      </c>
      <c r="P6765" s="9" t="s">
        <v>60</v>
      </c>
      <c r="Q6765" s="9" t="s">
        <v>42</v>
      </c>
      <c r="R6765" s="9" t="s">
        <v>210</v>
      </c>
      <c r="S6765" s="7" t="s">
        <v>302</v>
      </c>
      <c r="T6765" s="9" t="s">
        <v>36</v>
      </c>
      <c r="U6765" s="7">
        <v>0.36</v>
      </c>
      <c r="V6765" s="12">
        <f>C6765+2</f>
        <v>41100</v>
      </c>
      <c r="W6765">
        <f>IF(D6765=' Pivot Tables'!$A$4,1,0)</f>
        <v>0</v>
      </c>
      <c r="X6765">
        <f>IF(AND(LEFT(D6765,4)+1=LEFT(' Pivot Tables'!$A$4,4)+0,RIGHT(LEFT(D6765,7),2)=RIGHT(LEFT(' Pivot Tables'!$A$4,7),2)),1,0)</f>
        <v>0</v>
      </c>
      <c r="Y6765" s="6">
        <f>1/COUNTIF(Таблица1[Order ID],Таблица1[[#This Row],[Order ID]])</f>
        <v>0.25</v>
      </c>
      <c r="Z6765" s="9">
        <f>1/COUNTIFS(Таблица1[Customer Name],Таблица1[[#This Row],[Customer Name]],Таблица1[Order-Year-Month],Таблица1[[#This Row],[Order-Year-Month]])</f>
        <v>0.25</v>
      </c>
    </row>
    <row r="6766" spans="1:26" x14ac:dyDescent="0.2">
      <c r="A6766" s="6">
        <v>1949</v>
      </c>
      <c r="B6766" s="7">
        <v>13958</v>
      </c>
      <c r="C6766" s="8">
        <f>DATE(2012,12,31)-1073</f>
        <v>40201</v>
      </c>
      <c r="D6766" s="8" t="str">
        <f t="shared" si="124"/>
        <v>2010-01 (январь 2010)</v>
      </c>
      <c r="E6766" s="9" t="s">
        <v>21</v>
      </c>
      <c r="F6766" s="7">
        <v>11</v>
      </c>
      <c r="G6766" s="7">
        <v>808.673</v>
      </c>
      <c r="H6766" s="7">
        <v>0.06</v>
      </c>
      <c r="I6766" s="9" t="s">
        <v>22</v>
      </c>
      <c r="J6766" s="10">
        <v>-10.67</v>
      </c>
      <c r="K6766" s="11">
        <v>85.99</v>
      </c>
      <c r="L6766" s="11">
        <v>0.99</v>
      </c>
      <c r="M6766" s="9" t="s">
        <v>2046</v>
      </c>
      <c r="N6766" s="6" t="s">
        <v>2012</v>
      </c>
      <c r="O6766" s="6" t="s">
        <v>2012</v>
      </c>
      <c r="P6766" s="9" t="s">
        <v>33</v>
      </c>
      <c r="Q6766" s="9" t="s">
        <v>42</v>
      </c>
      <c r="R6766" s="9" t="s">
        <v>43</v>
      </c>
      <c r="S6766" s="7" t="s">
        <v>741</v>
      </c>
      <c r="T6766" s="9" t="s">
        <v>68</v>
      </c>
      <c r="U6766" s="7">
        <v>0.55000000000000004</v>
      </c>
      <c r="V6766" s="12">
        <f>C6766+9</f>
        <v>40210</v>
      </c>
      <c r="W6766">
        <f>IF(D6766=' Pivot Tables'!$A$4,1,0)</f>
        <v>1</v>
      </c>
      <c r="X6766">
        <f>IF(AND(LEFT(D6766,4)+1=LEFT(' Pivot Tables'!$A$4,4)+0,RIGHT(LEFT(D6766,7),2)=RIGHT(LEFT(' Pivot Tables'!$A$4,7),2)),1,0)</f>
        <v>0</v>
      </c>
      <c r="Y6766" s="6">
        <f>1/COUNTIF(Таблица1[Order ID],Таблица1[[#This Row],[Order ID]])</f>
        <v>1</v>
      </c>
      <c r="Z6766" s="9">
        <f>1/COUNTIFS(Таблица1[Customer Name],Таблица1[[#This Row],[Customer Name]],Таблица1[Order-Year-Month],Таблица1[[#This Row],[Order-Year-Month]])</f>
        <v>0.5</v>
      </c>
    </row>
    <row r="6767" spans="1:26" x14ac:dyDescent="0.2">
      <c r="A6767" s="6">
        <v>1957</v>
      </c>
      <c r="B6767" s="7">
        <v>13991</v>
      </c>
      <c r="C6767" s="8">
        <f>DATE(2012,12,31)-300</f>
        <v>40974</v>
      </c>
      <c r="D6767" s="8" t="str">
        <f t="shared" si="124"/>
        <v>2012-03 (март 2012)</v>
      </c>
      <c r="E6767" s="9" t="s">
        <v>30</v>
      </c>
      <c r="F6767" s="7">
        <v>24</v>
      </c>
      <c r="G6767" s="7">
        <v>170.7</v>
      </c>
      <c r="H6767" s="7">
        <v>0</v>
      </c>
      <c r="I6767" s="9" t="s">
        <v>22</v>
      </c>
      <c r="J6767" s="10">
        <v>-37.880000000000003</v>
      </c>
      <c r="K6767" s="11">
        <v>6.48</v>
      </c>
      <c r="L6767" s="11">
        <v>2.74</v>
      </c>
      <c r="M6767" s="9" t="s">
        <v>1492</v>
      </c>
      <c r="N6767" s="6" t="s">
        <v>2012</v>
      </c>
      <c r="O6767" s="6" t="s">
        <v>2012</v>
      </c>
      <c r="P6767" s="9" t="s">
        <v>41</v>
      </c>
      <c r="Q6767" s="9" t="s">
        <v>42</v>
      </c>
      <c r="R6767" s="9" t="s">
        <v>70</v>
      </c>
      <c r="S6767" s="7" t="s">
        <v>1141</v>
      </c>
      <c r="T6767" s="9" t="s">
        <v>52</v>
      </c>
      <c r="U6767" s="7">
        <v>0.71</v>
      </c>
      <c r="V6767" s="12">
        <f>C6767+2</f>
        <v>40976</v>
      </c>
      <c r="W6767">
        <f>IF(D6767=' Pivot Tables'!$A$4,1,0)</f>
        <v>0</v>
      </c>
      <c r="X6767">
        <f>IF(AND(LEFT(D6767,4)+1=LEFT(' Pivot Tables'!$A$4,4)+0,RIGHT(LEFT(D6767,7),2)=RIGHT(LEFT(' Pivot Tables'!$A$4,7),2)),1,0)</f>
        <v>0</v>
      </c>
      <c r="Y6767" s="6">
        <f>1/COUNTIF(Таблица1[Order ID],Таблица1[[#This Row],[Order ID]])</f>
        <v>0.5</v>
      </c>
      <c r="Z6767" s="9">
        <f>1/COUNTIFS(Таблица1[Customer Name],Таблица1[[#This Row],[Customer Name]],Таблица1[Order-Year-Month],Таблица1[[#This Row],[Order-Year-Month]])</f>
        <v>0.5</v>
      </c>
    </row>
    <row r="6768" spans="1:26" x14ac:dyDescent="0.2">
      <c r="A6768" s="6">
        <v>1958</v>
      </c>
      <c r="B6768" s="7">
        <v>13991</v>
      </c>
      <c r="C6768" s="8">
        <f>DATE(2012,12,31)-300</f>
        <v>40974</v>
      </c>
      <c r="D6768" s="8" t="str">
        <f t="shared" si="124"/>
        <v>2012-03 (март 2012)</v>
      </c>
      <c r="E6768" s="9" t="s">
        <v>30</v>
      </c>
      <c r="F6768" s="7">
        <v>21</v>
      </c>
      <c r="G6768" s="7">
        <v>1839.4480000000001</v>
      </c>
      <c r="H6768" s="7">
        <v>7.0000000000000007E-2</v>
      </c>
      <c r="I6768" s="9" t="s">
        <v>22</v>
      </c>
      <c r="J6768" s="10">
        <v>-742.88</v>
      </c>
      <c r="K6768" s="11">
        <v>111.96</v>
      </c>
      <c r="L6768" s="11">
        <v>69</v>
      </c>
      <c r="M6768" s="9" t="s">
        <v>1492</v>
      </c>
      <c r="N6768" s="6" t="s">
        <v>2012</v>
      </c>
      <c r="O6768" s="6" t="s">
        <v>2012</v>
      </c>
      <c r="P6768" s="9" t="s">
        <v>41</v>
      </c>
      <c r="Q6768" s="9" t="s">
        <v>49</v>
      </c>
      <c r="R6768" s="9" t="s">
        <v>83</v>
      </c>
      <c r="S6768" s="7" t="s">
        <v>1363</v>
      </c>
      <c r="T6768" s="9" t="s">
        <v>29</v>
      </c>
      <c r="U6768" s="7">
        <v>0.63</v>
      </c>
      <c r="V6768" s="12">
        <f>C6768+1</f>
        <v>40975</v>
      </c>
      <c r="W6768">
        <f>IF(D6768=' Pivot Tables'!$A$4,1,0)</f>
        <v>0</v>
      </c>
      <c r="X6768">
        <f>IF(AND(LEFT(D6768,4)+1=LEFT(' Pivot Tables'!$A$4,4)+0,RIGHT(LEFT(D6768,7),2)=RIGHT(LEFT(' Pivot Tables'!$A$4,7),2)),1,0)</f>
        <v>0</v>
      </c>
      <c r="Y6768" s="6">
        <f>1/COUNTIF(Таблица1[Order ID],Таблица1[[#This Row],[Order ID]])</f>
        <v>0.5</v>
      </c>
      <c r="Z6768" s="9">
        <f>1/COUNTIFS(Таблица1[Customer Name],Таблица1[[#This Row],[Customer Name]],Таблица1[Order-Year-Month],Таблица1[[#This Row],[Order-Year-Month]])</f>
        <v>0.5</v>
      </c>
    </row>
    <row r="6769" spans="1:26" x14ac:dyDescent="0.2">
      <c r="A6769" s="6">
        <v>1964</v>
      </c>
      <c r="B6769" s="7">
        <v>14048</v>
      </c>
      <c r="C6769" s="8">
        <f>DATE(2012,12,31)-959</f>
        <v>40315</v>
      </c>
      <c r="D6769" s="8" t="str">
        <f t="shared" si="124"/>
        <v>2010-05 (май 2010)</v>
      </c>
      <c r="E6769" s="9" t="s">
        <v>45</v>
      </c>
      <c r="F6769" s="7">
        <v>47</v>
      </c>
      <c r="G6769" s="7">
        <v>1837.15</v>
      </c>
      <c r="H6769" s="7">
        <v>0.06</v>
      </c>
      <c r="I6769" s="9" t="s">
        <v>22</v>
      </c>
      <c r="J6769" s="10">
        <v>196.58</v>
      </c>
      <c r="K6769" s="11">
        <v>40.97</v>
      </c>
      <c r="L6769" s="11">
        <v>8.99</v>
      </c>
      <c r="M6769" s="9" t="s">
        <v>1472</v>
      </c>
      <c r="N6769" s="6" t="s">
        <v>2012</v>
      </c>
      <c r="O6769" s="6" t="s">
        <v>2012</v>
      </c>
      <c r="P6769" s="9" t="s">
        <v>25</v>
      </c>
      <c r="Q6769" s="9" t="s">
        <v>26</v>
      </c>
      <c r="R6769" s="9" t="s">
        <v>95</v>
      </c>
      <c r="S6769" s="7" t="s">
        <v>777</v>
      </c>
      <c r="T6769" s="9" t="s">
        <v>52</v>
      </c>
      <c r="U6769" s="7">
        <v>0.59</v>
      </c>
      <c r="V6769" s="12">
        <f>C6769+0</f>
        <v>40315</v>
      </c>
      <c r="W6769">
        <f>IF(D6769=' Pivot Tables'!$A$4,1,0)</f>
        <v>0</v>
      </c>
      <c r="X6769">
        <f>IF(AND(LEFT(D6769,4)+1=LEFT(' Pivot Tables'!$A$4,4)+0,RIGHT(LEFT(D6769,7),2)=RIGHT(LEFT(' Pivot Tables'!$A$4,7),2)),1,0)</f>
        <v>0</v>
      </c>
      <c r="Y6769" s="6">
        <f>1/COUNTIF(Таблица1[Order ID],Таблица1[[#This Row],[Order ID]])</f>
        <v>0.33333333333333331</v>
      </c>
      <c r="Z6769" s="9">
        <f>1/COUNTIFS(Таблица1[Customer Name],Таблица1[[#This Row],[Customer Name]],Таблица1[Order-Year-Month],Таблица1[[#This Row],[Order-Year-Month]])</f>
        <v>0.33333333333333331</v>
      </c>
    </row>
    <row r="6770" spans="1:26" x14ac:dyDescent="0.2">
      <c r="A6770" s="6">
        <v>1965</v>
      </c>
      <c r="B6770" s="7">
        <v>14048</v>
      </c>
      <c r="C6770" s="8">
        <f>DATE(2012,12,31)-959</f>
        <v>40315</v>
      </c>
      <c r="D6770" s="8" t="str">
        <f t="shared" si="124"/>
        <v>2010-05 (май 2010)</v>
      </c>
      <c r="E6770" s="9" t="s">
        <v>45</v>
      </c>
      <c r="F6770" s="7">
        <v>5</v>
      </c>
      <c r="G6770" s="7">
        <v>540.22</v>
      </c>
      <c r="H6770" s="7">
        <v>0.06</v>
      </c>
      <c r="I6770" s="9" t="s">
        <v>22</v>
      </c>
      <c r="J6770" s="10">
        <v>-253.38</v>
      </c>
      <c r="K6770" s="11">
        <v>101.41</v>
      </c>
      <c r="L6770" s="11">
        <v>35</v>
      </c>
      <c r="M6770" s="9" t="s">
        <v>1472</v>
      </c>
      <c r="N6770" s="6" t="s">
        <v>2012</v>
      </c>
      <c r="O6770" s="6" t="s">
        <v>2012</v>
      </c>
      <c r="P6770" s="9" t="s">
        <v>25</v>
      </c>
      <c r="Q6770" s="9" t="s">
        <v>26</v>
      </c>
      <c r="R6770" s="9" t="s">
        <v>27</v>
      </c>
      <c r="S6770" s="7" t="s">
        <v>1231</v>
      </c>
      <c r="T6770" s="9" t="s">
        <v>29</v>
      </c>
      <c r="U6770" s="7">
        <v>0.82</v>
      </c>
      <c r="V6770" s="12">
        <f>C6770+2</f>
        <v>40317</v>
      </c>
      <c r="W6770">
        <f>IF(D6770=' Pivot Tables'!$A$4,1,0)</f>
        <v>0</v>
      </c>
      <c r="X6770">
        <f>IF(AND(LEFT(D6770,4)+1=LEFT(' Pivot Tables'!$A$4,4)+0,RIGHT(LEFT(D6770,7),2)=RIGHT(LEFT(' Pivot Tables'!$A$4,7),2)),1,0)</f>
        <v>0</v>
      </c>
      <c r="Y6770" s="6">
        <f>1/COUNTIF(Таблица1[Order ID],Таблица1[[#This Row],[Order ID]])</f>
        <v>0.33333333333333331</v>
      </c>
      <c r="Z6770" s="9">
        <f>1/COUNTIFS(Таблица1[Customer Name],Таблица1[[#This Row],[Customer Name]],Таблица1[Order-Year-Month],Таблица1[[#This Row],[Order-Year-Month]])</f>
        <v>0.33333333333333331</v>
      </c>
    </row>
    <row r="6771" spans="1:26" x14ac:dyDescent="0.2">
      <c r="A6771" s="6">
        <v>1966</v>
      </c>
      <c r="B6771" s="7">
        <v>14048</v>
      </c>
      <c r="C6771" s="8">
        <f>DATE(2012,12,31)-959</f>
        <v>40315</v>
      </c>
      <c r="D6771" s="8" t="str">
        <f t="shared" si="124"/>
        <v>2010-05 (май 2010)</v>
      </c>
      <c r="E6771" s="9" t="s">
        <v>45</v>
      </c>
      <c r="F6771" s="7">
        <v>40</v>
      </c>
      <c r="G6771" s="7">
        <v>2035.3929999999998</v>
      </c>
      <c r="H6771" s="7">
        <v>0.01</v>
      </c>
      <c r="I6771" s="9" t="s">
        <v>22</v>
      </c>
      <c r="J6771" s="10">
        <v>1152.693</v>
      </c>
      <c r="K6771" s="11">
        <v>55.99</v>
      </c>
      <c r="L6771" s="11">
        <v>1.25</v>
      </c>
      <c r="M6771" s="9" t="s">
        <v>1472</v>
      </c>
      <c r="N6771" s="6" t="s">
        <v>2012</v>
      </c>
      <c r="O6771" s="6" t="s">
        <v>2012</v>
      </c>
      <c r="P6771" s="9" t="s">
        <v>25</v>
      </c>
      <c r="Q6771" s="9" t="s">
        <v>42</v>
      </c>
      <c r="R6771" s="9" t="s">
        <v>43</v>
      </c>
      <c r="S6771" s="7" t="s">
        <v>946</v>
      </c>
      <c r="T6771" s="9" t="s">
        <v>52</v>
      </c>
      <c r="U6771" s="7">
        <v>0.35</v>
      </c>
      <c r="V6771" s="12">
        <f>C6771+2</f>
        <v>40317</v>
      </c>
      <c r="W6771">
        <f>IF(D6771=' Pivot Tables'!$A$4,1,0)</f>
        <v>0</v>
      </c>
      <c r="X6771">
        <f>IF(AND(LEFT(D6771,4)+1=LEFT(' Pivot Tables'!$A$4,4)+0,RIGHT(LEFT(D6771,7),2)=RIGHT(LEFT(' Pivot Tables'!$A$4,7),2)),1,0)</f>
        <v>0</v>
      </c>
      <c r="Y6771" s="6">
        <f>1/COUNTIF(Таблица1[Order ID],Таблица1[[#This Row],[Order ID]])</f>
        <v>0.33333333333333331</v>
      </c>
      <c r="Z6771" s="9">
        <f>1/COUNTIFS(Таблица1[Customer Name],Таблица1[[#This Row],[Customer Name]],Таблица1[Order-Year-Month],Таблица1[[#This Row],[Order-Year-Month]])</f>
        <v>0.33333333333333331</v>
      </c>
    </row>
    <row r="6772" spans="1:26" x14ac:dyDescent="0.2">
      <c r="A6772" s="6">
        <v>2007</v>
      </c>
      <c r="B6772" s="7">
        <v>14311</v>
      </c>
      <c r="C6772" s="8">
        <f>DATE(2012,12,31)-1248</f>
        <v>40026</v>
      </c>
      <c r="D6772" s="8" t="str">
        <f t="shared" si="124"/>
        <v>2009-08 (август 2009)</v>
      </c>
      <c r="E6772" s="9" t="s">
        <v>78</v>
      </c>
      <c r="F6772" s="7">
        <v>30</v>
      </c>
      <c r="G6772" s="7">
        <v>192.41</v>
      </c>
      <c r="H6772" s="7">
        <v>0.03</v>
      </c>
      <c r="I6772" s="9" t="s">
        <v>22</v>
      </c>
      <c r="J6772" s="10">
        <v>-55.947499999999998</v>
      </c>
      <c r="K6772" s="11">
        <v>6.37</v>
      </c>
      <c r="L6772" s="11">
        <v>5.19</v>
      </c>
      <c r="M6772" s="9" t="s">
        <v>1341</v>
      </c>
      <c r="N6772" s="6" t="s">
        <v>2012</v>
      </c>
      <c r="O6772" s="6" t="s">
        <v>2012</v>
      </c>
      <c r="P6772" s="9" t="s">
        <v>41</v>
      </c>
      <c r="Q6772" s="9" t="s">
        <v>26</v>
      </c>
      <c r="R6772" s="9" t="s">
        <v>37</v>
      </c>
      <c r="S6772" s="7" t="s">
        <v>1379</v>
      </c>
      <c r="T6772" s="9" t="s">
        <v>39</v>
      </c>
      <c r="U6772" s="7">
        <v>0.38</v>
      </c>
      <c r="V6772" s="12">
        <f>C6772+1</f>
        <v>40027</v>
      </c>
      <c r="W6772">
        <f>IF(D6772=' Pivot Tables'!$A$4,1,0)</f>
        <v>0</v>
      </c>
      <c r="X6772">
        <f>IF(AND(LEFT(D6772,4)+1=LEFT(' Pivot Tables'!$A$4,4)+0,RIGHT(LEFT(D6772,7),2)=RIGHT(LEFT(' Pivot Tables'!$A$4,7),2)),1,0)</f>
        <v>0</v>
      </c>
      <c r="Y6772" s="6">
        <f>1/COUNTIF(Таблица1[Order ID],Таблица1[[#This Row],[Order ID]])</f>
        <v>1</v>
      </c>
      <c r="Z6772" s="9">
        <f>1/COUNTIFS(Таблица1[Customer Name],Таблица1[[#This Row],[Customer Name]],Таблица1[Order-Year-Month],Таблица1[[#This Row],[Order-Year-Month]])</f>
        <v>1</v>
      </c>
    </row>
    <row r="6773" spans="1:26" x14ac:dyDescent="0.2">
      <c r="A6773" s="6">
        <v>2024</v>
      </c>
      <c r="B6773" s="7">
        <v>14434</v>
      </c>
      <c r="C6773" s="8">
        <f>DATE(2012,12,31)-685</f>
        <v>40589</v>
      </c>
      <c r="D6773" s="8" t="str">
        <f t="shared" si="124"/>
        <v>2011-02 (февраль 2011)</v>
      </c>
      <c r="E6773" s="9" t="s">
        <v>45</v>
      </c>
      <c r="F6773" s="7">
        <v>39</v>
      </c>
      <c r="G6773" s="7">
        <v>4733.88</v>
      </c>
      <c r="H6773" s="7">
        <v>0.02</v>
      </c>
      <c r="I6773" s="9" t="s">
        <v>31</v>
      </c>
      <c r="J6773" s="10">
        <v>239.41</v>
      </c>
      <c r="K6773" s="11">
        <v>119.99</v>
      </c>
      <c r="L6773" s="11">
        <v>56.14</v>
      </c>
      <c r="M6773" s="9" t="s">
        <v>2047</v>
      </c>
      <c r="N6773" s="6" t="s">
        <v>2012</v>
      </c>
      <c r="O6773" s="6" t="s">
        <v>2012</v>
      </c>
      <c r="P6773" s="9" t="s">
        <v>41</v>
      </c>
      <c r="Q6773" s="9" t="s">
        <v>42</v>
      </c>
      <c r="R6773" s="9" t="s">
        <v>210</v>
      </c>
      <c r="S6773" s="7" t="s">
        <v>950</v>
      </c>
      <c r="T6773" s="9" t="s">
        <v>82</v>
      </c>
      <c r="U6773" s="7">
        <v>0.39</v>
      </c>
      <c r="V6773" s="12">
        <f>C6773+2</f>
        <v>40591</v>
      </c>
      <c r="W6773">
        <f>IF(D6773=' Pivot Tables'!$A$4,1,0)</f>
        <v>0</v>
      </c>
      <c r="X6773">
        <f>IF(AND(LEFT(D6773,4)+1=LEFT(' Pivot Tables'!$A$4,4)+0,RIGHT(LEFT(D6773,7),2)=RIGHT(LEFT(' Pivot Tables'!$A$4,7),2)),1,0)</f>
        <v>0</v>
      </c>
      <c r="Y6773" s="6">
        <f>1/COUNTIF(Таблица1[Order ID],Таблица1[[#This Row],[Order ID]])</f>
        <v>1</v>
      </c>
      <c r="Z6773" s="9">
        <f>1/COUNTIFS(Таблица1[Customer Name],Таблица1[[#This Row],[Customer Name]],Таблица1[Order-Year-Month],Таблица1[[#This Row],[Order-Year-Month]])</f>
        <v>1</v>
      </c>
    </row>
    <row r="6774" spans="1:26" x14ac:dyDescent="0.2">
      <c r="A6774" s="6">
        <v>2050</v>
      </c>
      <c r="B6774" s="7">
        <v>14630</v>
      </c>
      <c r="C6774" s="8">
        <f>DATE(2012,12,31)-76</f>
        <v>41198</v>
      </c>
      <c r="D6774" s="8" t="str">
        <f t="shared" si="124"/>
        <v>2012-10 (октябрь 2012)</v>
      </c>
      <c r="E6774" s="9" t="s">
        <v>21</v>
      </c>
      <c r="F6774" s="7">
        <v>17</v>
      </c>
      <c r="G6774" s="7">
        <v>363.54</v>
      </c>
      <c r="H6774" s="7">
        <v>0.08</v>
      </c>
      <c r="I6774" s="9" t="s">
        <v>22</v>
      </c>
      <c r="J6774" s="10">
        <v>4.75</v>
      </c>
      <c r="K6774" s="11">
        <v>22.01</v>
      </c>
      <c r="L6774" s="11">
        <v>5.53</v>
      </c>
      <c r="M6774" s="9" t="s">
        <v>1467</v>
      </c>
      <c r="N6774" s="6" t="s">
        <v>2012</v>
      </c>
      <c r="O6774" s="6" t="s">
        <v>2012</v>
      </c>
      <c r="P6774" s="9" t="s">
        <v>41</v>
      </c>
      <c r="Q6774" s="9" t="s">
        <v>26</v>
      </c>
      <c r="R6774" s="9" t="s">
        <v>95</v>
      </c>
      <c r="S6774" s="7" t="s">
        <v>1147</v>
      </c>
      <c r="T6774" s="9" t="s">
        <v>52</v>
      </c>
      <c r="U6774" s="7">
        <v>0.59</v>
      </c>
      <c r="V6774" s="12">
        <f>C6774+0</f>
        <v>41198</v>
      </c>
      <c r="W6774">
        <f>IF(D6774=' Pivot Tables'!$A$4,1,0)</f>
        <v>0</v>
      </c>
      <c r="X6774">
        <f>IF(AND(LEFT(D6774,4)+1=LEFT(' Pivot Tables'!$A$4,4)+0,RIGHT(LEFT(D6774,7),2)=RIGHT(LEFT(' Pivot Tables'!$A$4,7),2)),1,0)</f>
        <v>0</v>
      </c>
      <c r="Y6774" s="6">
        <f>1/COUNTIF(Таблица1[Order ID],Таблица1[[#This Row],[Order ID]])</f>
        <v>1</v>
      </c>
      <c r="Z6774" s="9">
        <f>1/COUNTIFS(Таблица1[Customer Name],Таблица1[[#This Row],[Customer Name]],Таблица1[Order-Year-Month],Таблица1[[#This Row],[Order-Year-Month]])</f>
        <v>1</v>
      </c>
    </row>
    <row r="6775" spans="1:26" x14ac:dyDescent="0.2">
      <c r="A6775" s="6">
        <v>2075</v>
      </c>
      <c r="B6775" s="7">
        <v>14851</v>
      </c>
      <c r="C6775" s="8">
        <f>DATE(2012,12,31)-234</f>
        <v>41040</v>
      </c>
      <c r="D6775" s="8" t="str">
        <f t="shared" si="124"/>
        <v>2012-05 (май 2012)</v>
      </c>
      <c r="E6775" s="9" t="s">
        <v>45</v>
      </c>
      <c r="F6775" s="7">
        <v>6</v>
      </c>
      <c r="G6775" s="7">
        <v>3378.18</v>
      </c>
      <c r="H6775" s="7">
        <v>0.08</v>
      </c>
      <c r="I6775" s="9" t="s">
        <v>22</v>
      </c>
      <c r="J6775" s="10">
        <v>-1352.68</v>
      </c>
      <c r="K6775" s="11">
        <v>599.99</v>
      </c>
      <c r="L6775" s="11">
        <v>24.49</v>
      </c>
      <c r="M6775" s="9" t="s">
        <v>2048</v>
      </c>
      <c r="N6775" s="6" t="s">
        <v>2012</v>
      </c>
      <c r="O6775" s="6" t="s">
        <v>2012</v>
      </c>
      <c r="P6775" s="9" t="s">
        <v>41</v>
      </c>
      <c r="Q6775" s="9" t="s">
        <v>42</v>
      </c>
      <c r="R6775" s="9" t="s">
        <v>99</v>
      </c>
      <c r="S6775" s="7" t="s">
        <v>644</v>
      </c>
      <c r="T6775" s="9" t="s">
        <v>29</v>
      </c>
      <c r="U6775" s="7">
        <v>0.44</v>
      </c>
      <c r="V6775" s="12">
        <f>C6775+1</f>
        <v>41041</v>
      </c>
      <c r="W6775">
        <f>IF(D6775=' Pivot Tables'!$A$4,1,0)</f>
        <v>0</v>
      </c>
      <c r="X6775">
        <f>IF(AND(LEFT(D6775,4)+1=LEFT(' Pivot Tables'!$A$4,4)+0,RIGHT(LEFT(D6775,7),2)=RIGHT(LEFT(' Pivot Tables'!$A$4,7),2)),1,0)</f>
        <v>0</v>
      </c>
      <c r="Y6775" s="6">
        <f>1/COUNTIF(Таблица1[Order ID],Таблица1[[#This Row],[Order ID]])</f>
        <v>0.5</v>
      </c>
      <c r="Z6775" s="9">
        <f>1/COUNTIFS(Таблица1[Customer Name],Таблица1[[#This Row],[Customer Name]],Таблица1[Order-Year-Month],Таблица1[[#This Row],[Order-Year-Month]])</f>
        <v>0.5</v>
      </c>
    </row>
    <row r="6776" spans="1:26" x14ac:dyDescent="0.2">
      <c r="A6776" s="6">
        <v>2076</v>
      </c>
      <c r="B6776" s="7">
        <v>14851</v>
      </c>
      <c r="C6776" s="8">
        <f>DATE(2012,12,31)-234</f>
        <v>41040</v>
      </c>
      <c r="D6776" s="8" t="str">
        <f t="shared" si="124"/>
        <v>2012-05 (май 2012)</v>
      </c>
      <c r="E6776" s="9" t="s">
        <v>45</v>
      </c>
      <c r="F6776" s="7">
        <v>26</v>
      </c>
      <c r="G6776" s="7">
        <v>1443.2660000000001</v>
      </c>
      <c r="H6776" s="7">
        <v>0.08</v>
      </c>
      <c r="I6776" s="9" t="s">
        <v>22</v>
      </c>
      <c r="J6776" s="10">
        <v>156.114</v>
      </c>
      <c r="K6776" s="11">
        <v>65.989999999999995</v>
      </c>
      <c r="L6776" s="11">
        <v>8.99</v>
      </c>
      <c r="M6776" s="9" t="s">
        <v>2048</v>
      </c>
      <c r="N6776" s="6" t="s">
        <v>2012</v>
      </c>
      <c r="O6776" s="6" t="s">
        <v>2012</v>
      </c>
      <c r="P6776" s="9" t="s">
        <v>41</v>
      </c>
      <c r="Q6776" s="9" t="s">
        <v>42</v>
      </c>
      <c r="R6776" s="9" t="s">
        <v>43</v>
      </c>
      <c r="S6776" s="7" t="s">
        <v>534</v>
      </c>
      <c r="T6776" s="9" t="s">
        <v>39</v>
      </c>
      <c r="U6776" s="7">
        <v>0.56000000000000005</v>
      </c>
      <c r="V6776" s="12">
        <f>C6776+2</f>
        <v>41042</v>
      </c>
      <c r="W6776">
        <f>IF(D6776=' Pivot Tables'!$A$4,1,0)</f>
        <v>0</v>
      </c>
      <c r="X6776">
        <f>IF(AND(LEFT(D6776,4)+1=LEFT(' Pivot Tables'!$A$4,4)+0,RIGHT(LEFT(D6776,7),2)=RIGHT(LEFT(' Pivot Tables'!$A$4,7),2)),1,0)</f>
        <v>0</v>
      </c>
      <c r="Y6776" s="6">
        <f>1/COUNTIF(Таблица1[Order ID],Таблица1[[#This Row],[Order ID]])</f>
        <v>0.5</v>
      </c>
      <c r="Z6776" s="9">
        <f>1/COUNTIFS(Таблица1[Customer Name],Таблица1[[#This Row],[Customer Name]],Таблица1[Order-Year-Month],Таблица1[[#This Row],[Order-Year-Month]])</f>
        <v>0.5</v>
      </c>
    </row>
    <row r="6777" spans="1:26" x14ac:dyDescent="0.2">
      <c r="A6777" s="6">
        <v>2088</v>
      </c>
      <c r="B6777" s="7">
        <v>14950</v>
      </c>
      <c r="C6777" s="8">
        <f>DATE(2012,12,31)-827</f>
        <v>40447</v>
      </c>
      <c r="D6777" s="8" t="str">
        <f t="shared" si="124"/>
        <v>2010-09 (сентябрь 2010)</v>
      </c>
      <c r="E6777" s="9" t="s">
        <v>21</v>
      </c>
      <c r="F6777" s="7">
        <v>48</v>
      </c>
      <c r="G6777" s="7">
        <v>525</v>
      </c>
      <c r="H6777" s="7">
        <v>0.03</v>
      </c>
      <c r="I6777" s="9" t="s">
        <v>22</v>
      </c>
      <c r="J6777" s="10">
        <v>63.5</v>
      </c>
      <c r="K6777" s="11">
        <v>10.48</v>
      </c>
      <c r="L6777" s="11">
        <v>2.89</v>
      </c>
      <c r="M6777" s="9" t="s">
        <v>1482</v>
      </c>
      <c r="N6777" s="6" t="s">
        <v>2012</v>
      </c>
      <c r="O6777" s="6" t="s">
        <v>2012</v>
      </c>
      <c r="P6777" s="9" t="s">
        <v>25</v>
      </c>
      <c r="Q6777" s="9" t="s">
        <v>26</v>
      </c>
      <c r="R6777" s="9" t="s">
        <v>95</v>
      </c>
      <c r="S6777" s="7" t="s">
        <v>499</v>
      </c>
      <c r="T6777" s="9" t="s">
        <v>52</v>
      </c>
      <c r="U6777" s="7">
        <v>0.6</v>
      </c>
      <c r="V6777" s="12">
        <f>C6777+0</f>
        <v>40447</v>
      </c>
      <c r="W6777">
        <f>IF(D6777=' Pivot Tables'!$A$4,1,0)</f>
        <v>0</v>
      </c>
      <c r="X6777">
        <f>IF(AND(LEFT(D6777,4)+1=LEFT(' Pivot Tables'!$A$4,4)+0,RIGHT(LEFT(D6777,7),2)=RIGHT(LEFT(' Pivot Tables'!$A$4,7),2)),1,0)</f>
        <v>0</v>
      </c>
      <c r="Y6777" s="6">
        <f>1/COUNTIF(Таблица1[Order ID],Таблица1[[#This Row],[Order ID]])</f>
        <v>1</v>
      </c>
      <c r="Z6777" s="9">
        <f>1/COUNTIFS(Таблица1[Customer Name],Таблица1[[#This Row],[Customer Name]],Таблица1[Order-Year-Month],Таблица1[[#This Row],[Order-Year-Month]])</f>
        <v>1</v>
      </c>
    </row>
    <row r="6778" spans="1:26" x14ac:dyDescent="0.2">
      <c r="A6778" s="6">
        <v>2095</v>
      </c>
      <c r="B6778" s="7">
        <v>14981</v>
      </c>
      <c r="C6778" s="8">
        <f>DATE(2012,12,31)-797</f>
        <v>40477</v>
      </c>
      <c r="D6778" s="8" t="str">
        <f t="shared" si="124"/>
        <v>2010-10 (октябрь 2010)</v>
      </c>
      <c r="E6778" s="9" t="s">
        <v>63</v>
      </c>
      <c r="F6778" s="7">
        <v>8</v>
      </c>
      <c r="G6778" s="7">
        <v>279.77</v>
      </c>
      <c r="H6778" s="7">
        <v>7.0000000000000007E-2</v>
      </c>
      <c r="I6778" s="9" t="s">
        <v>22</v>
      </c>
      <c r="J6778" s="10">
        <v>-14.02</v>
      </c>
      <c r="K6778" s="11">
        <v>34.76</v>
      </c>
      <c r="L6778" s="11">
        <v>8.2200000000000006</v>
      </c>
      <c r="M6778" s="9" t="s">
        <v>1841</v>
      </c>
      <c r="N6778" s="6" t="s">
        <v>2012</v>
      </c>
      <c r="O6778" s="6" t="s">
        <v>2012</v>
      </c>
      <c r="P6778" s="9" t="s">
        <v>60</v>
      </c>
      <c r="Q6778" s="9" t="s">
        <v>26</v>
      </c>
      <c r="R6778" s="9" t="s">
        <v>27</v>
      </c>
      <c r="S6778" s="7" t="s">
        <v>247</v>
      </c>
      <c r="T6778" s="9" t="s">
        <v>39</v>
      </c>
      <c r="U6778" s="7">
        <v>0.56999999999999995</v>
      </c>
      <c r="V6778" s="12">
        <f>C6778+1</f>
        <v>40478</v>
      </c>
      <c r="W6778">
        <f>IF(D6778=' Pivot Tables'!$A$4,1,0)</f>
        <v>0</v>
      </c>
      <c r="X6778">
        <f>IF(AND(LEFT(D6778,4)+1=LEFT(' Pivot Tables'!$A$4,4)+0,RIGHT(LEFT(D6778,7),2)=RIGHT(LEFT(' Pivot Tables'!$A$4,7),2)),1,0)</f>
        <v>0</v>
      </c>
      <c r="Y6778" s="6">
        <f>1/COUNTIF(Таблица1[Order ID],Таблица1[[#This Row],[Order ID]])</f>
        <v>0.5</v>
      </c>
      <c r="Z6778" s="9">
        <f>1/COUNTIFS(Таблица1[Customer Name],Таблица1[[#This Row],[Customer Name]],Таблица1[Order-Year-Month],Таблица1[[#This Row],[Order-Year-Month]])</f>
        <v>0.5</v>
      </c>
    </row>
    <row r="6779" spans="1:26" x14ac:dyDescent="0.2">
      <c r="A6779" s="6">
        <v>2096</v>
      </c>
      <c r="B6779" s="7">
        <v>14981</v>
      </c>
      <c r="C6779" s="8">
        <f>DATE(2012,12,31)-797</f>
        <v>40477</v>
      </c>
      <c r="D6779" s="8" t="str">
        <f t="shared" si="124"/>
        <v>2010-10 (октябрь 2010)</v>
      </c>
      <c r="E6779" s="9" t="s">
        <v>63</v>
      </c>
      <c r="F6779" s="7">
        <v>8</v>
      </c>
      <c r="G6779" s="7">
        <v>154.21</v>
      </c>
      <c r="H6779" s="7">
        <v>0.03</v>
      </c>
      <c r="I6779" s="9" t="s">
        <v>31</v>
      </c>
      <c r="J6779" s="10">
        <v>-160.38999999999999</v>
      </c>
      <c r="K6779" s="11">
        <v>15.23</v>
      </c>
      <c r="L6779" s="11">
        <v>27.75</v>
      </c>
      <c r="M6779" s="9" t="s">
        <v>1841</v>
      </c>
      <c r="N6779" s="6" t="s">
        <v>2012</v>
      </c>
      <c r="O6779" s="6" t="s">
        <v>2012</v>
      </c>
      <c r="P6779" s="9" t="s">
        <v>60</v>
      </c>
      <c r="Q6779" s="9" t="s">
        <v>49</v>
      </c>
      <c r="R6779" s="9" t="s">
        <v>83</v>
      </c>
      <c r="S6779" s="7" t="s">
        <v>1186</v>
      </c>
      <c r="T6779" s="9" t="s">
        <v>82</v>
      </c>
      <c r="U6779" s="7">
        <v>0.76</v>
      </c>
      <c r="V6779" s="12">
        <f>C6779+2</f>
        <v>40479</v>
      </c>
      <c r="W6779">
        <f>IF(D6779=' Pivot Tables'!$A$4,1,0)</f>
        <v>0</v>
      </c>
      <c r="X6779">
        <f>IF(AND(LEFT(D6779,4)+1=LEFT(' Pivot Tables'!$A$4,4)+0,RIGHT(LEFT(D6779,7),2)=RIGHT(LEFT(' Pivot Tables'!$A$4,7),2)),1,0)</f>
        <v>0</v>
      </c>
      <c r="Y6779" s="6">
        <f>1/COUNTIF(Таблица1[Order ID],Таблица1[[#This Row],[Order ID]])</f>
        <v>0.5</v>
      </c>
      <c r="Z6779" s="9">
        <f>1/COUNTIFS(Таблица1[Customer Name],Таблица1[[#This Row],[Customer Name]],Таблица1[Order-Year-Month],Таблица1[[#This Row],[Order-Year-Month]])</f>
        <v>0.5</v>
      </c>
    </row>
    <row r="6780" spans="1:26" x14ac:dyDescent="0.2">
      <c r="A6780" s="6">
        <v>2113</v>
      </c>
      <c r="B6780" s="7">
        <v>15105</v>
      </c>
      <c r="C6780" s="8">
        <f>DATE(2012,12,31)-1154</f>
        <v>40120</v>
      </c>
      <c r="D6780" s="8" t="str">
        <f t="shared" si="124"/>
        <v>2009-11 (ноябрь 2009)</v>
      </c>
      <c r="E6780" s="9" t="s">
        <v>21</v>
      </c>
      <c r="F6780" s="7">
        <v>39</v>
      </c>
      <c r="G6780" s="7">
        <v>460.43</v>
      </c>
      <c r="H6780" s="7">
        <v>7.0000000000000007E-2</v>
      </c>
      <c r="I6780" s="9" t="s">
        <v>22</v>
      </c>
      <c r="J6780" s="10">
        <v>-76.180000000000007</v>
      </c>
      <c r="K6780" s="11">
        <v>12.28</v>
      </c>
      <c r="L6780" s="11">
        <v>6.13</v>
      </c>
      <c r="M6780" s="9" t="s">
        <v>1482</v>
      </c>
      <c r="N6780" s="6" t="s">
        <v>2012</v>
      </c>
      <c r="O6780" s="6" t="s">
        <v>2012</v>
      </c>
      <c r="P6780" s="9" t="s">
        <v>25</v>
      </c>
      <c r="Q6780" s="9" t="s">
        <v>26</v>
      </c>
      <c r="R6780" s="9" t="s">
        <v>27</v>
      </c>
      <c r="S6780" s="7" t="s">
        <v>275</v>
      </c>
      <c r="T6780" s="9" t="s">
        <v>39</v>
      </c>
      <c r="U6780" s="7">
        <v>0.56999999999999995</v>
      </c>
      <c r="V6780" s="12">
        <f>C6780+7</f>
        <v>40127</v>
      </c>
      <c r="W6780">
        <f>IF(D6780=' Pivot Tables'!$A$4,1,0)</f>
        <v>0</v>
      </c>
      <c r="X6780">
        <f>IF(AND(LEFT(D6780,4)+1=LEFT(' Pivot Tables'!$A$4,4)+0,RIGHT(LEFT(D6780,7),2)=RIGHT(LEFT(' Pivot Tables'!$A$4,7),2)),1,0)</f>
        <v>0</v>
      </c>
      <c r="Y6780" s="6">
        <f>1/COUNTIF(Таблица1[Order ID],Таблица1[[#This Row],[Order ID]])</f>
        <v>1</v>
      </c>
      <c r="Z6780" s="9">
        <f>1/COUNTIFS(Таблица1[Customer Name],Таблица1[[#This Row],[Customer Name]],Таблица1[Order-Year-Month],Таблица1[[#This Row],[Order-Year-Month]])</f>
        <v>0.33333333333333331</v>
      </c>
    </row>
    <row r="6781" spans="1:26" x14ac:dyDescent="0.2">
      <c r="A6781" s="6">
        <v>2123</v>
      </c>
      <c r="B6781" s="7">
        <v>15111</v>
      </c>
      <c r="C6781" s="8">
        <f>DATE(2012,12,31)-1110</f>
        <v>40164</v>
      </c>
      <c r="D6781" s="8" t="str">
        <f t="shared" si="124"/>
        <v>2009-12 (декабрь 2009)</v>
      </c>
      <c r="E6781" s="9" t="s">
        <v>45</v>
      </c>
      <c r="F6781" s="7">
        <v>13</v>
      </c>
      <c r="G6781" s="7">
        <v>970.47</v>
      </c>
      <c r="H6781" s="7">
        <v>0.1</v>
      </c>
      <c r="I6781" s="9" t="s">
        <v>22</v>
      </c>
      <c r="J6781" s="10">
        <v>192.38</v>
      </c>
      <c r="K6781" s="11">
        <v>81.319999999999993</v>
      </c>
      <c r="L6781" s="11">
        <v>0.99</v>
      </c>
      <c r="M6781" s="9" t="s">
        <v>2048</v>
      </c>
      <c r="N6781" s="6" t="s">
        <v>2012</v>
      </c>
      <c r="O6781" s="6" t="s">
        <v>2012</v>
      </c>
      <c r="P6781" s="9" t="s">
        <v>41</v>
      </c>
      <c r="Q6781" s="9" t="s">
        <v>26</v>
      </c>
      <c r="R6781" s="9" t="s">
        <v>34</v>
      </c>
      <c r="S6781" s="7" t="s">
        <v>1949</v>
      </c>
      <c r="T6781" s="9" t="s">
        <v>39</v>
      </c>
      <c r="U6781" s="7">
        <v>0.56999999999999995</v>
      </c>
      <c r="V6781" s="12">
        <f>C6781+2</f>
        <v>40166</v>
      </c>
      <c r="W6781">
        <f>IF(D6781=' Pivot Tables'!$A$4,1,0)</f>
        <v>0</v>
      </c>
      <c r="X6781">
        <f>IF(AND(LEFT(D6781,4)+1=LEFT(' Pivot Tables'!$A$4,4)+0,RIGHT(LEFT(D6781,7),2)=RIGHT(LEFT(' Pivot Tables'!$A$4,7),2)),1,0)</f>
        <v>0</v>
      </c>
      <c r="Y6781" s="6">
        <f>1/COUNTIF(Таблица1[Order ID],Таблица1[[#This Row],[Order ID]])</f>
        <v>1</v>
      </c>
      <c r="Z6781" s="9">
        <f>1/COUNTIFS(Таблица1[Customer Name],Таблица1[[#This Row],[Customer Name]],Таблица1[Order-Year-Month],Таблица1[[#This Row],[Order-Year-Month]])</f>
        <v>1</v>
      </c>
    </row>
    <row r="6782" spans="1:26" x14ac:dyDescent="0.2">
      <c r="A6782" s="6">
        <v>2128</v>
      </c>
      <c r="B6782" s="7">
        <v>15202</v>
      </c>
      <c r="C6782" s="8">
        <f>DATE(2012,12,31)-906</f>
        <v>40368</v>
      </c>
      <c r="D6782" s="8" t="str">
        <f t="shared" si="124"/>
        <v>2010-07 (июль 2010)</v>
      </c>
      <c r="E6782" s="9" t="s">
        <v>30</v>
      </c>
      <c r="F6782" s="7">
        <v>36</v>
      </c>
      <c r="G6782" s="7">
        <v>1340.93</v>
      </c>
      <c r="H6782" s="7">
        <v>0.09</v>
      </c>
      <c r="I6782" s="9" t="s">
        <v>56</v>
      </c>
      <c r="J6782" s="10">
        <v>154.16</v>
      </c>
      <c r="K6782" s="11">
        <v>39.979999999999997</v>
      </c>
      <c r="L6782" s="11">
        <v>9.1999999999999993</v>
      </c>
      <c r="M6782" s="9" t="s">
        <v>1556</v>
      </c>
      <c r="N6782" s="6" t="s">
        <v>2012</v>
      </c>
      <c r="O6782" s="6" t="s">
        <v>2012</v>
      </c>
      <c r="P6782" s="9" t="s">
        <v>33</v>
      </c>
      <c r="Q6782" s="9" t="s">
        <v>49</v>
      </c>
      <c r="R6782" s="9" t="s">
        <v>50</v>
      </c>
      <c r="S6782" s="7" t="s">
        <v>238</v>
      </c>
      <c r="T6782" s="9" t="s">
        <v>68</v>
      </c>
      <c r="U6782" s="7">
        <v>0.65</v>
      </c>
      <c r="V6782" s="12">
        <f>C6782+2</f>
        <v>40370</v>
      </c>
      <c r="W6782">
        <f>IF(D6782=' Pivot Tables'!$A$4,1,0)</f>
        <v>0</v>
      </c>
      <c r="X6782">
        <f>IF(AND(LEFT(D6782,4)+1=LEFT(' Pivot Tables'!$A$4,4)+0,RIGHT(LEFT(D6782,7),2)=RIGHT(LEFT(' Pivot Tables'!$A$4,7),2)),1,0)</f>
        <v>0</v>
      </c>
      <c r="Y6782" s="6">
        <f>1/COUNTIF(Таблица1[Order ID],Таблица1[[#This Row],[Order ID]])</f>
        <v>1</v>
      </c>
      <c r="Z6782" s="9">
        <f>1/COUNTIFS(Таблица1[Customer Name],Таблица1[[#This Row],[Customer Name]],Таблица1[Order-Year-Month],Таблица1[[#This Row],[Order-Year-Month]])</f>
        <v>1</v>
      </c>
    </row>
    <row r="6783" spans="1:26" x14ac:dyDescent="0.2">
      <c r="A6783" s="6">
        <v>2131</v>
      </c>
      <c r="B6783" s="7">
        <v>15206</v>
      </c>
      <c r="C6783" s="8">
        <f>DATE(2012,12,31)-788</f>
        <v>40486</v>
      </c>
      <c r="D6783" s="8" t="str">
        <f t="shared" si="124"/>
        <v>2010-11 (ноябрь 2010)</v>
      </c>
      <c r="E6783" s="9" t="s">
        <v>21</v>
      </c>
      <c r="F6783" s="7">
        <v>35</v>
      </c>
      <c r="G6783" s="7">
        <v>5287.16</v>
      </c>
      <c r="H6783" s="7">
        <v>0.05</v>
      </c>
      <c r="I6783" s="9" t="s">
        <v>31</v>
      </c>
      <c r="J6783" s="10">
        <v>-769.05</v>
      </c>
      <c r="K6783" s="11">
        <v>150.97999999999999</v>
      </c>
      <c r="L6783" s="11">
        <v>66.27</v>
      </c>
      <c r="M6783" s="9" t="s">
        <v>2026</v>
      </c>
      <c r="N6783" s="6" t="s">
        <v>2012</v>
      </c>
      <c r="O6783" s="6" t="s">
        <v>2012</v>
      </c>
      <c r="P6783" s="9" t="s">
        <v>25</v>
      </c>
      <c r="Q6783" s="9" t="s">
        <v>49</v>
      </c>
      <c r="R6783" s="9" t="s">
        <v>80</v>
      </c>
      <c r="S6783" s="7" t="s">
        <v>325</v>
      </c>
      <c r="T6783" s="9" t="s">
        <v>82</v>
      </c>
      <c r="U6783" s="7">
        <v>0.65</v>
      </c>
      <c r="V6783" s="12">
        <f>C6783+5</f>
        <v>40491</v>
      </c>
      <c r="W6783">
        <f>IF(D6783=' Pivot Tables'!$A$4,1,0)</f>
        <v>0</v>
      </c>
      <c r="X6783">
        <f>IF(AND(LEFT(D6783,4)+1=LEFT(' Pivot Tables'!$A$4,4)+0,RIGHT(LEFT(D6783,7),2)=RIGHT(LEFT(' Pivot Tables'!$A$4,7),2)),1,0)</f>
        <v>0</v>
      </c>
      <c r="Y6783" s="6">
        <f>1/COUNTIF(Таблица1[Order ID],Таблица1[[#This Row],[Order ID]])</f>
        <v>1</v>
      </c>
      <c r="Z6783" s="9">
        <f>1/COUNTIFS(Таблица1[Customer Name],Таблица1[[#This Row],[Customer Name]],Таблица1[Order-Year-Month],Таблица1[[#This Row],[Order-Year-Month]])</f>
        <v>1</v>
      </c>
    </row>
    <row r="6784" spans="1:26" x14ac:dyDescent="0.2">
      <c r="A6784" s="6">
        <v>2162</v>
      </c>
      <c r="B6784" s="7">
        <v>15616</v>
      </c>
      <c r="C6784" s="8">
        <f>DATE(2012,12,31)-283</f>
        <v>40991</v>
      </c>
      <c r="D6784" s="8" t="str">
        <f t="shared" si="124"/>
        <v>2012-03 (март 2012)</v>
      </c>
      <c r="E6784" s="9" t="s">
        <v>78</v>
      </c>
      <c r="F6784" s="7">
        <v>12</v>
      </c>
      <c r="G6784" s="7">
        <v>386.71</v>
      </c>
      <c r="H6784" s="7">
        <v>0.01</v>
      </c>
      <c r="I6784" s="9" t="s">
        <v>56</v>
      </c>
      <c r="J6784" s="10">
        <v>-84.12</v>
      </c>
      <c r="K6784" s="11">
        <v>30.98</v>
      </c>
      <c r="L6784" s="11">
        <v>6.5</v>
      </c>
      <c r="M6784" s="9" t="s">
        <v>1457</v>
      </c>
      <c r="N6784" s="6" t="s">
        <v>2012</v>
      </c>
      <c r="O6784" s="6" t="s">
        <v>2012</v>
      </c>
      <c r="P6784" s="9" t="s">
        <v>41</v>
      </c>
      <c r="Q6784" s="9" t="s">
        <v>42</v>
      </c>
      <c r="R6784" s="9" t="s">
        <v>70</v>
      </c>
      <c r="S6784" s="7" t="s">
        <v>601</v>
      </c>
      <c r="T6784" s="9" t="s">
        <v>39</v>
      </c>
      <c r="U6784" s="7">
        <v>0.64</v>
      </c>
      <c r="V6784" s="12">
        <f>C6784+1</f>
        <v>40992</v>
      </c>
      <c r="W6784">
        <f>IF(D6784=' Pivot Tables'!$A$4,1,0)</f>
        <v>0</v>
      </c>
      <c r="X6784">
        <f>IF(AND(LEFT(D6784,4)+1=LEFT(' Pivot Tables'!$A$4,4)+0,RIGHT(LEFT(D6784,7),2)=RIGHT(LEFT(' Pivot Tables'!$A$4,7),2)),1,0)</f>
        <v>0</v>
      </c>
      <c r="Y6784" s="6">
        <f>1/COUNTIF(Таблица1[Order ID],Таблица1[[#This Row],[Order ID]])</f>
        <v>0.5</v>
      </c>
      <c r="Z6784" s="9">
        <f>1/COUNTIFS(Таблица1[Customer Name],Таблица1[[#This Row],[Customer Name]],Таблица1[Order-Year-Month],Таблица1[[#This Row],[Order-Year-Month]])</f>
        <v>0.5</v>
      </c>
    </row>
    <row r="6785" spans="1:26" x14ac:dyDescent="0.2">
      <c r="A6785" s="6">
        <v>2163</v>
      </c>
      <c r="B6785" s="7">
        <v>15616</v>
      </c>
      <c r="C6785" s="8">
        <f>DATE(2012,12,31)-283</f>
        <v>40991</v>
      </c>
      <c r="D6785" s="8" t="str">
        <f t="shared" si="124"/>
        <v>2012-03 (март 2012)</v>
      </c>
      <c r="E6785" s="9" t="s">
        <v>78</v>
      </c>
      <c r="F6785" s="7">
        <v>34</v>
      </c>
      <c r="G6785" s="7">
        <v>134.06</v>
      </c>
      <c r="H6785" s="7">
        <v>0.09</v>
      </c>
      <c r="I6785" s="9" t="s">
        <v>22</v>
      </c>
      <c r="J6785" s="10">
        <v>5.98</v>
      </c>
      <c r="K6785" s="11">
        <v>4.13</v>
      </c>
      <c r="L6785" s="11">
        <v>1.17</v>
      </c>
      <c r="M6785" s="9" t="s">
        <v>1457</v>
      </c>
      <c r="N6785" s="6" t="s">
        <v>2012</v>
      </c>
      <c r="O6785" s="6" t="s">
        <v>2012</v>
      </c>
      <c r="P6785" s="9" t="s">
        <v>41</v>
      </c>
      <c r="Q6785" s="9" t="s">
        <v>26</v>
      </c>
      <c r="R6785" s="9" t="s">
        <v>95</v>
      </c>
      <c r="S6785" s="7" t="s">
        <v>1437</v>
      </c>
      <c r="T6785" s="9" t="s">
        <v>68</v>
      </c>
      <c r="U6785" s="7">
        <v>0.56999999999999995</v>
      </c>
      <c r="V6785" s="12">
        <f>C6785+2</f>
        <v>40993</v>
      </c>
      <c r="W6785">
        <f>IF(D6785=' Pivot Tables'!$A$4,1,0)</f>
        <v>0</v>
      </c>
      <c r="X6785">
        <f>IF(AND(LEFT(D6785,4)+1=LEFT(' Pivot Tables'!$A$4,4)+0,RIGHT(LEFT(D6785,7),2)=RIGHT(LEFT(' Pivot Tables'!$A$4,7),2)),1,0)</f>
        <v>0</v>
      </c>
      <c r="Y6785" s="6">
        <f>1/COUNTIF(Таблица1[Order ID],Таблица1[[#This Row],[Order ID]])</f>
        <v>0.5</v>
      </c>
      <c r="Z6785" s="9">
        <f>1/COUNTIFS(Таблица1[Customer Name],Таблица1[[#This Row],[Customer Name]],Таблица1[Order-Year-Month],Таблица1[[#This Row],[Order-Year-Month]])</f>
        <v>0.5</v>
      </c>
    </row>
    <row r="6786" spans="1:26" x14ac:dyDescent="0.2">
      <c r="A6786" s="6">
        <v>2176</v>
      </c>
      <c r="B6786" s="7">
        <v>15654</v>
      </c>
      <c r="C6786" s="8">
        <f>DATE(2012,12,31)-1186</f>
        <v>40088</v>
      </c>
      <c r="D6786" s="8" t="str">
        <f t="shared" si="124"/>
        <v>2009-10 (октябрь 2009)</v>
      </c>
      <c r="E6786" s="9" t="s">
        <v>45</v>
      </c>
      <c r="F6786" s="7">
        <v>27</v>
      </c>
      <c r="G6786" s="7">
        <v>7937.59</v>
      </c>
      <c r="H6786" s="7">
        <v>0.03</v>
      </c>
      <c r="I6786" s="9" t="s">
        <v>31</v>
      </c>
      <c r="J6786" s="10">
        <v>1383.24</v>
      </c>
      <c r="K6786" s="11">
        <v>300.98</v>
      </c>
      <c r="L6786" s="11">
        <v>54.92</v>
      </c>
      <c r="M6786" s="9" t="s">
        <v>2049</v>
      </c>
      <c r="N6786" s="6" t="s">
        <v>2012</v>
      </c>
      <c r="O6786" s="6" t="s">
        <v>2012</v>
      </c>
      <c r="P6786" s="9" t="s">
        <v>41</v>
      </c>
      <c r="Q6786" s="9" t="s">
        <v>49</v>
      </c>
      <c r="R6786" s="9" t="s">
        <v>80</v>
      </c>
      <c r="S6786" s="7" t="s">
        <v>559</v>
      </c>
      <c r="T6786" s="9" t="s">
        <v>82</v>
      </c>
      <c r="U6786" s="7">
        <v>0.55000000000000004</v>
      </c>
      <c r="V6786" s="12">
        <f>C6786+2</f>
        <v>40090</v>
      </c>
      <c r="W6786">
        <f>IF(D6786=' Pivot Tables'!$A$4,1,0)</f>
        <v>0</v>
      </c>
      <c r="X6786">
        <f>IF(AND(LEFT(D6786,4)+1=LEFT(' Pivot Tables'!$A$4,4)+0,RIGHT(LEFT(D6786,7),2)=RIGHT(LEFT(' Pivot Tables'!$A$4,7),2)),1,0)</f>
        <v>0</v>
      </c>
      <c r="Y6786" s="6">
        <f>1/COUNTIF(Таблица1[Order ID],Таблица1[[#This Row],[Order ID]])</f>
        <v>0.5</v>
      </c>
      <c r="Z6786" s="9">
        <f>1/COUNTIFS(Таблица1[Customer Name],Таблица1[[#This Row],[Customer Name]],Таблица1[Order-Year-Month],Таблица1[[#This Row],[Order-Year-Month]])</f>
        <v>0.25</v>
      </c>
    </row>
    <row r="6787" spans="1:26" x14ac:dyDescent="0.2">
      <c r="A6787" s="6">
        <v>2177</v>
      </c>
      <c r="B6787" s="7">
        <v>15654</v>
      </c>
      <c r="C6787" s="8">
        <f>DATE(2012,12,31)-1186</f>
        <v>40088</v>
      </c>
      <c r="D6787" s="8" t="str">
        <f t="shared" ref="D6787:D6850" si="126">TEXT(C6787,"гггг-ММ (ММММ гггг)")</f>
        <v>2009-10 (октябрь 2009)</v>
      </c>
      <c r="E6787" s="9" t="s">
        <v>45</v>
      </c>
      <c r="F6787" s="7">
        <v>4</v>
      </c>
      <c r="G6787" s="7">
        <v>9396.41</v>
      </c>
      <c r="H6787" s="7">
        <v>0.02</v>
      </c>
      <c r="I6787" s="9" t="s">
        <v>31</v>
      </c>
      <c r="J6787" s="10">
        <v>-4991.4249</v>
      </c>
      <c r="K6787" s="11">
        <v>2550.14</v>
      </c>
      <c r="L6787" s="11">
        <v>29.7</v>
      </c>
      <c r="M6787" s="9" t="s">
        <v>2049</v>
      </c>
      <c r="N6787" s="6" t="s">
        <v>2012</v>
      </c>
      <c r="O6787" s="6" t="s">
        <v>2012</v>
      </c>
      <c r="P6787" s="9" t="s">
        <v>41</v>
      </c>
      <c r="Q6787" s="9" t="s">
        <v>42</v>
      </c>
      <c r="R6787" s="9" t="s">
        <v>210</v>
      </c>
      <c r="S6787" s="7" t="s">
        <v>506</v>
      </c>
      <c r="T6787" s="9" t="s">
        <v>36</v>
      </c>
      <c r="U6787" s="7">
        <v>0.56999999999999995</v>
      </c>
      <c r="V6787" s="12">
        <f>C6787+2</f>
        <v>40090</v>
      </c>
      <c r="W6787">
        <f>IF(D6787=' Pivot Tables'!$A$4,1,0)</f>
        <v>0</v>
      </c>
      <c r="X6787">
        <f>IF(AND(LEFT(D6787,4)+1=LEFT(' Pivot Tables'!$A$4,4)+0,RIGHT(LEFT(D6787,7),2)=RIGHT(LEFT(' Pivot Tables'!$A$4,7),2)),1,0)</f>
        <v>0</v>
      </c>
      <c r="Y6787" s="6">
        <f>1/COUNTIF(Таблица1[Order ID],Таблица1[[#This Row],[Order ID]])</f>
        <v>0.5</v>
      </c>
      <c r="Z6787" s="9">
        <f>1/COUNTIFS(Таблица1[Customer Name],Таблица1[[#This Row],[Customer Name]],Таблица1[Order-Year-Month],Таблица1[[#This Row],[Order-Year-Month]])</f>
        <v>0.25</v>
      </c>
    </row>
    <row r="6788" spans="1:26" x14ac:dyDescent="0.2">
      <c r="A6788" s="6">
        <v>2228</v>
      </c>
      <c r="B6788" s="7">
        <v>16102</v>
      </c>
      <c r="C6788" s="8">
        <f>DATE(2012,12,31)-1114</f>
        <v>40160</v>
      </c>
      <c r="D6788" s="8" t="str">
        <f t="shared" si="126"/>
        <v>2009-12 (декабрь 2009)</v>
      </c>
      <c r="E6788" s="9" t="s">
        <v>45</v>
      </c>
      <c r="F6788" s="7">
        <v>25</v>
      </c>
      <c r="G6788" s="7">
        <v>13255.93</v>
      </c>
      <c r="H6788" s="7">
        <v>0.02</v>
      </c>
      <c r="I6788" s="9" t="s">
        <v>31</v>
      </c>
      <c r="J6788" s="10">
        <v>4089.27</v>
      </c>
      <c r="K6788" s="11">
        <v>500.98</v>
      </c>
      <c r="L6788" s="11">
        <v>26</v>
      </c>
      <c r="M6788" s="9" t="s">
        <v>1544</v>
      </c>
      <c r="N6788" s="6" t="s">
        <v>2012</v>
      </c>
      <c r="O6788" s="6" t="s">
        <v>2012</v>
      </c>
      <c r="P6788" s="9" t="s">
        <v>60</v>
      </c>
      <c r="Q6788" s="9" t="s">
        <v>49</v>
      </c>
      <c r="R6788" s="9" t="s">
        <v>112</v>
      </c>
      <c r="S6788" s="7" t="s">
        <v>119</v>
      </c>
      <c r="T6788" s="9" t="s">
        <v>36</v>
      </c>
      <c r="U6788" s="7">
        <v>0.6</v>
      </c>
      <c r="V6788" s="12">
        <f>C6788+2</f>
        <v>40162</v>
      </c>
      <c r="W6788">
        <f>IF(D6788=' Pivot Tables'!$A$4,1,0)</f>
        <v>0</v>
      </c>
      <c r="X6788">
        <f>IF(AND(LEFT(D6788,4)+1=LEFT(' Pivot Tables'!$A$4,4)+0,RIGHT(LEFT(D6788,7),2)=RIGHT(LEFT(' Pivot Tables'!$A$4,7),2)),1,0)</f>
        <v>0</v>
      </c>
      <c r="Y6788" s="6">
        <f>1/COUNTIF(Таблица1[Order ID],Таблица1[[#This Row],[Order ID]])</f>
        <v>1</v>
      </c>
      <c r="Z6788" s="9">
        <f>1/COUNTIFS(Таблица1[Customer Name],Таблица1[[#This Row],[Customer Name]],Таблица1[Order-Year-Month],Таблица1[[#This Row],[Order-Year-Month]])</f>
        <v>1</v>
      </c>
    </row>
    <row r="6789" spans="1:26" x14ac:dyDescent="0.2">
      <c r="A6789" s="6">
        <v>2254</v>
      </c>
      <c r="B6789" s="7">
        <v>16229</v>
      </c>
      <c r="C6789" s="8">
        <f>DATE(2012,12,31)-1373</f>
        <v>39901</v>
      </c>
      <c r="D6789" s="8" t="str">
        <f t="shared" si="126"/>
        <v>2009-03 (март 2009)</v>
      </c>
      <c r="E6789" s="9" t="s">
        <v>30</v>
      </c>
      <c r="F6789" s="7">
        <v>27</v>
      </c>
      <c r="G6789" s="7">
        <v>1068.7</v>
      </c>
      <c r="H6789" s="7">
        <v>0.04</v>
      </c>
      <c r="I6789" s="9" t="s">
        <v>22</v>
      </c>
      <c r="J6789" s="10">
        <v>-89.5</v>
      </c>
      <c r="K6789" s="11">
        <v>40.98</v>
      </c>
      <c r="L6789" s="11">
        <v>6.5</v>
      </c>
      <c r="M6789" s="9" t="s">
        <v>1472</v>
      </c>
      <c r="N6789" s="6" t="s">
        <v>2012</v>
      </c>
      <c r="O6789" s="6" t="s">
        <v>2012</v>
      </c>
      <c r="P6789" s="9" t="s">
        <v>25</v>
      </c>
      <c r="Q6789" s="9" t="s">
        <v>42</v>
      </c>
      <c r="R6789" s="9" t="s">
        <v>70</v>
      </c>
      <c r="S6789" s="7" t="s">
        <v>1120</v>
      </c>
      <c r="T6789" s="9" t="s">
        <v>39</v>
      </c>
      <c r="U6789" s="7">
        <v>0.74</v>
      </c>
      <c r="V6789" s="12">
        <f>C6789+1</f>
        <v>39902</v>
      </c>
      <c r="W6789">
        <f>IF(D6789=' Pivot Tables'!$A$4,1,0)</f>
        <v>0</v>
      </c>
      <c r="X6789">
        <f>IF(AND(LEFT(D6789,4)+1=LEFT(' Pivot Tables'!$A$4,4)+0,RIGHT(LEFT(D6789,7),2)=RIGHT(LEFT(' Pivot Tables'!$A$4,7),2)),1,0)</f>
        <v>0</v>
      </c>
      <c r="Y6789" s="6">
        <f>1/COUNTIF(Таблица1[Order ID],Таблица1[[#This Row],[Order ID]])</f>
        <v>0.5</v>
      </c>
      <c r="Z6789" s="9">
        <f>1/COUNTIFS(Таблица1[Customer Name],Таблица1[[#This Row],[Customer Name]],Таблица1[Order-Year-Month],Таблица1[[#This Row],[Order-Year-Month]])</f>
        <v>0.5</v>
      </c>
    </row>
    <row r="6790" spans="1:26" x14ac:dyDescent="0.2">
      <c r="A6790" s="6">
        <v>2274</v>
      </c>
      <c r="B6790" s="7">
        <v>16356</v>
      </c>
      <c r="C6790" s="8">
        <f>DATE(2012,12,31)-517</f>
        <v>40757</v>
      </c>
      <c r="D6790" s="8" t="str">
        <f t="shared" si="126"/>
        <v>2011-08 (август 2011)</v>
      </c>
      <c r="E6790" s="9" t="s">
        <v>78</v>
      </c>
      <c r="F6790" s="7">
        <v>6</v>
      </c>
      <c r="G6790" s="7">
        <v>157.94</v>
      </c>
      <c r="H6790" s="7">
        <v>0.04</v>
      </c>
      <c r="I6790" s="9" t="s">
        <v>56</v>
      </c>
      <c r="J6790" s="10">
        <v>9.15</v>
      </c>
      <c r="K6790" s="11">
        <v>22.98</v>
      </c>
      <c r="L6790" s="11">
        <v>4.5</v>
      </c>
      <c r="M6790" s="9" t="s">
        <v>2042</v>
      </c>
      <c r="N6790" s="6" t="s">
        <v>2012</v>
      </c>
      <c r="O6790" s="6" t="s">
        <v>2012</v>
      </c>
      <c r="P6790" s="9" t="s">
        <v>41</v>
      </c>
      <c r="Q6790" s="9" t="s">
        <v>26</v>
      </c>
      <c r="R6790" s="9" t="s">
        <v>34</v>
      </c>
      <c r="S6790" s="7" t="s">
        <v>1139</v>
      </c>
      <c r="T6790" s="9" t="s">
        <v>39</v>
      </c>
      <c r="U6790" s="7">
        <v>0.55000000000000004</v>
      </c>
      <c r="V6790" s="12">
        <f>C6790+1</f>
        <v>40758</v>
      </c>
      <c r="W6790">
        <f>IF(D6790=' Pivot Tables'!$A$4,1,0)</f>
        <v>0</v>
      </c>
      <c r="X6790">
        <f>IF(AND(LEFT(D6790,4)+1=LEFT(' Pivot Tables'!$A$4,4)+0,RIGHT(LEFT(D6790,7),2)=RIGHT(LEFT(' Pivot Tables'!$A$4,7),2)),1,0)</f>
        <v>0</v>
      </c>
      <c r="Y6790" s="6">
        <f>1/COUNTIF(Таблица1[Order ID],Таблица1[[#This Row],[Order ID]])</f>
        <v>1</v>
      </c>
      <c r="Z6790" s="9">
        <f>1/COUNTIFS(Таблица1[Customer Name],Таблица1[[#This Row],[Customer Name]],Таблица1[Order-Year-Month],Таблица1[[#This Row],[Order-Year-Month]])</f>
        <v>1</v>
      </c>
    </row>
    <row r="6791" spans="1:26" x14ac:dyDescent="0.2">
      <c r="A6791" s="6">
        <v>2287</v>
      </c>
      <c r="B6791" s="7">
        <v>16481</v>
      </c>
      <c r="C6791" s="8">
        <f>DATE(2012,12,31)-682</f>
        <v>40592</v>
      </c>
      <c r="D6791" s="8" t="str">
        <f t="shared" si="126"/>
        <v>2011-02 (февраль 2011)</v>
      </c>
      <c r="E6791" s="9" t="s">
        <v>21</v>
      </c>
      <c r="F6791" s="7">
        <v>50</v>
      </c>
      <c r="G6791" s="7">
        <v>3089.06</v>
      </c>
      <c r="H6791" s="7">
        <v>0</v>
      </c>
      <c r="I6791" s="9" t="s">
        <v>22</v>
      </c>
      <c r="J6791" s="10">
        <v>719.26</v>
      </c>
      <c r="K6791" s="11">
        <v>56.96</v>
      </c>
      <c r="L6791" s="11">
        <v>13.22</v>
      </c>
      <c r="M6791" s="9" t="s">
        <v>2050</v>
      </c>
      <c r="N6791" s="6" t="s">
        <v>2012</v>
      </c>
      <c r="O6791" s="6" t="s">
        <v>2012</v>
      </c>
      <c r="P6791" s="9" t="s">
        <v>41</v>
      </c>
      <c r="Q6791" s="9" t="s">
        <v>26</v>
      </c>
      <c r="R6791" s="9" t="s">
        <v>34</v>
      </c>
      <c r="S6791" s="7" t="s">
        <v>541</v>
      </c>
      <c r="T6791" s="9" t="s">
        <v>39</v>
      </c>
      <c r="U6791" s="7">
        <v>0.56000000000000005</v>
      </c>
      <c r="V6791" s="12">
        <f>C6791+5</f>
        <v>40597</v>
      </c>
      <c r="W6791">
        <f>IF(D6791=' Pivot Tables'!$A$4,1,0)</f>
        <v>0</v>
      </c>
      <c r="X6791">
        <f>IF(AND(LEFT(D6791,4)+1=LEFT(' Pivot Tables'!$A$4,4)+0,RIGHT(LEFT(D6791,7),2)=RIGHT(LEFT(' Pivot Tables'!$A$4,7),2)),1,0)</f>
        <v>0</v>
      </c>
      <c r="Y6791" s="6">
        <f>1/COUNTIF(Таблица1[Order ID],Таблица1[[#This Row],[Order ID]])</f>
        <v>0.5</v>
      </c>
      <c r="Z6791" s="9">
        <f>1/COUNTIFS(Таблица1[Customer Name],Таблица1[[#This Row],[Customer Name]],Таблица1[Order-Year-Month],Таблица1[[#This Row],[Order-Year-Month]])</f>
        <v>0.5</v>
      </c>
    </row>
    <row r="6792" spans="1:26" x14ac:dyDescent="0.2">
      <c r="A6792" s="6">
        <v>2288</v>
      </c>
      <c r="B6792" s="7">
        <v>16481</v>
      </c>
      <c r="C6792" s="8">
        <f>DATE(2012,12,31)-682</f>
        <v>40592</v>
      </c>
      <c r="D6792" s="8" t="str">
        <f t="shared" si="126"/>
        <v>2011-02 (февраль 2011)</v>
      </c>
      <c r="E6792" s="9" t="s">
        <v>21</v>
      </c>
      <c r="F6792" s="7">
        <v>47</v>
      </c>
      <c r="G6792" s="7">
        <v>20265.22</v>
      </c>
      <c r="H6792" s="7">
        <v>0.08</v>
      </c>
      <c r="I6792" s="9" t="s">
        <v>31</v>
      </c>
      <c r="J6792" s="10">
        <v>6168.64</v>
      </c>
      <c r="K6792" s="11">
        <v>442.14</v>
      </c>
      <c r="L6792" s="11">
        <v>14.7</v>
      </c>
      <c r="M6792" s="9" t="s">
        <v>2050</v>
      </c>
      <c r="N6792" s="6" t="s">
        <v>2012</v>
      </c>
      <c r="O6792" s="6" t="s">
        <v>2012</v>
      </c>
      <c r="P6792" s="9" t="s">
        <v>41</v>
      </c>
      <c r="Q6792" s="9" t="s">
        <v>42</v>
      </c>
      <c r="R6792" s="9" t="s">
        <v>210</v>
      </c>
      <c r="S6792" s="7" t="s">
        <v>455</v>
      </c>
      <c r="T6792" s="9" t="s">
        <v>36</v>
      </c>
      <c r="U6792" s="7">
        <v>0.56000000000000005</v>
      </c>
      <c r="V6792" s="12">
        <f>C6792+5</f>
        <v>40597</v>
      </c>
      <c r="W6792">
        <f>IF(D6792=' Pivot Tables'!$A$4,1,0)</f>
        <v>0</v>
      </c>
      <c r="X6792">
        <f>IF(AND(LEFT(D6792,4)+1=LEFT(' Pivot Tables'!$A$4,4)+0,RIGHT(LEFT(D6792,7),2)=RIGHT(LEFT(' Pivot Tables'!$A$4,7),2)),1,0)</f>
        <v>0</v>
      </c>
      <c r="Y6792" s="6">
        <f>1/COUNTIF(Таблица1[Order ID],Таблица1[[#This Row],[Order ID]])</f>
        <v>0.5</v>
      </c>
      <c r="Z6792" s="9">
        <f>1/COUNTIFS(Таблица1[Customer Name],Таблица1[[#This Row],[Customer Name]],Таблица1[Order-Year-Month],Таблица1[[#This Row],[Order-Year-Month]])</f>
        <v>0.5</v>
      </c>
    </row>
    <row r="6793" spans="1:26" x14ac:dyDescent="0.2">
      <c r="A6793" s="6">
        <v>2308</v>
      </c>
      <c r="B6793" s="7">
        <v>16641</v>
      </c>
      <c r="C6793" s="8">
        <f>DATE(2012,12,31)-966</f>
        <v>40308</v>
      </c>
      <c r="D6793" s="8" t="str">
        <f t="shared" si="126"/>
        <v>2010-05 (май 2010)</v>
      </c>
      <c r="E6793" s="9" t="s">
        <v>30</v>
      </c>
      <c r="F6793" s="7">
        <v>33</v>
      </c>
      <c r="G6793" s="7">
        <v>1209.1680000000001</v>
      </c>
      <c r="H6793" s="7">
        <v>0.03</v>
      </c>
      <c r="I6793" s="9" t="s">
        <v>31</v>
      </c>
      <c r="J6793" s="10">
        <v>-1052.79</v>
      </c>
      <c r="K6793" s="11">
        <v>44.43</v>
      </c>
      <c r="L6793" s="11">
        <v>46.59</v>
      </c>
      <c r="M6793" s="9" t="s">
        <v>2032</v>
      </c>
      <c r="N6793" s="6" t="s">
        <v>2012</v>
      </c>
      <c r="O6793" s="6" t="s">
        <v>2012</v>
      </c>
      <c r="P6793" s="9" t="s">
        <v>60</v>
      </c>
      <c r="Q6793" s="9" t="s">
        <v>49</v>
      </c>
      <c r="R6793" s="9" t="s">
        <v>83</v>
      </c>
      <c r="S6793" s="7" t="s">
        <v>1528</v>
      </c>
      <c r="T6793" s="9" t="s">
        <v>82</v>
      </c>
      <c r="U6793" s="7">
        <v>0.67</v>
      </c>
      <c r="V6793" s="12">
        <f>C6793+1</f>
        <v>40309</v>
      </c>
      <c r="W6793">
        <f>IF(D6793=' Pivot Tables'!$A$4,1,0)</f>
        <v>0</v>
      </c>
      <c r="X6793">
        <f>IF(AND(LEFT(D6793,4)+1=LEFT(' Pivot Tables'!$A$4,4)+0,RIGHT(LEFT(D6793,7),2)=RIGHT(LEFT(' Pivot Tables'!$A$4,7),2)),1,0)</f>
        <v>0</v>
      </c>
      <c r="Y6793" s="6">
        <f>1/COUNTIF(Таблица1[Order ID],Таблица1[[#This Row],[Order ID]])</f>
        <v>1</v>
      </c>
      <c r="Z6793" s="9">
        <f>1/COUNTIFS(Таблица1[Customer Name],Таблица1[[#This Row],[Customer Name]],Таблица1[Order-Year-Month],Таблица1[[#This Row],[Order-Year-Month]])</f>
        <v>1</v>
      </c>
    </row>
    <row r="6794" spans="1:26" x14ac:dyDescent="0.2">
      <c r="A6794" s="6">
        <v>2309</v>
      </c>
      <c r="B6794" s="7">
        <v>16642</v>
      </c>
      <c r="C6794" s="8">
        <f>DATE(2012,12,31)-670</f>
        <v>40604</v>
      </c>
      <c r="D6794" s="8" t="str">
        <f t="shared" si="126"/>
        <v>2011-03 (март 2011)</v>
      </c>
      <c r="E6794" s="9" t="s">
        <v>45</v>
      </c>
      <c r="F6794" s="7">
        <v>46</v>
      </c>
      <c r="G6794" s="7">
        <v>7640.2249999999995</v>
      </c>
      <c r="H6794" s="7">
        <v>7.0000000000000007E-2</v>
      </c>
      <c r="I6794" s="9" t="s">
        <v>22</v>
      </c>
      <c r="J6794" s="10">
        <v>2027.682</v>
      </c>
      <c r="K6794" s="11">
        <v>205.99</v>
      </c>
      <c r="L6794" s="11">
        <v>2.5</v>
      </c>
      <c r="M6794" s="9" t="s">
        <v>2027</v>
      </c>
      <c r="N6794" s="6" t="s">
        <v>2012</v>
      </c>
      <c r="O6794" s="6" t="s">
        <v>2012</v>
      </c>
      <c r="P6794" s="9" t="s">
        <v>41</v>
      </c>
      <c r="Q6794" s="9" t="s">
        <v>42</v>
      </c>
      <c r="R6794" s="9" t="s">
        <v>43</v>
      </c>
      <c r="S6794" s="7" t="s">
        <v>1431</v>
      </c>
      <c r="T6794" s="9" t="s">
        <v>39</v>
      </c>
      <c r="U6794" s="7">
        <v>0.59</v>
      </c>
      <c r="V6794" s="12">
        <f>C6794+2</f>
        <v>40606</v>
      </c>
      <c r="W6794">
        <f>IF(D6794=' Pivot Tables'!$A$4,1,0)</f>
        <v>0</v>
      </c>
      <c r="X6794">
        <f>IF(AND(LEFT(D6794,4)+1=LEFT(' Pivot Tables'!$A$4,4)+0,RIGHT(LEFT(D6794,7),2)=RIGHT(LEFT(' Pivot Tables'!$A$4,7),2)),1,0)</f>
        <v>0</v>
      </c>
      <c r="Y6794" s="6">
        <f>1/COUNTIF(Таблица1[Order ID],Таблица1[[#This Row],[Order ID]])</f>
        <v>1</v>
      </c>
      <c r="Z6794" s="9">
        <f>1/COUNTIFS(Таблица1[Customer Name],Таблица1[[#This Row],[Customer Name]],Таблица1[Order-Year-Month],Таблица1[[#This Row],[Order-Year-Month]])</f>
        <v>1</v>
      </c>
    </row>
    <row r="6795" spans="1:26" x14ac:dyDescent="0.2">
      <c r="A6795" s="6">
        <v>2319</v>
      </c>
      <c r="B6795" s="7">
        <v>16709</v>
      </c>
      <c r="C6795" s="8">
        <f>DATE(2012,12,31)-86</f>
        <v>41188</v>
      </c>
      <c r="D6795" s="8" t="str">
        <f t="shared" si="126"/>
        <v>2012-10 (октябрь 2012)</v>
      </c>
      <c r="E6795" s="9" t="s">
        <v>30</v>
      </c>
      <c r="F6795" s="7">
        <v>3</v>
      </c>
      <c r="G6795" s="7">
        <v>24.36</v>
      </c>
      <c r="H6795" s="7">
        <v>7.0000000000000007E-2</v>
      </c>
      <c r="I6795" s="9" t="s">
        <v>22</v>
      </c>
      <c r="J6795" s="10">
        <v>-13.01</v>
      </c>
      <c r="K6795" s="11">
        <v>6.48</v>
      </c>
      <c r="L6795" s="11">
        <v>5.74</v>
      </c>
      <c r="M6795" s="9" t="s">
        <v>1482</v>
      </c>
      <c r="N6795" s="6" t="s">
        <v>2012</v>
      </c>
      <c r="O6795" s="6" t="s">
        <v>2012</v>
      </c>
      <c r="P6795" s="9" t="s">
        <v>25</v>
      </c>
      <c r="Q6795" s="9" t="s">
        <v>26</v>
      </c>
      <c r="R6795" s="9" t="s">
        <v>61</v>
      </c>
      <c r="S6795" s="7" t="s">
        <v>707</v>
      </c>
      <c r="T6795" s="9" t="s">
        <v>39</v>
      </c>
      <c r="U6795" s="7">
        <v>0.37</v>
      </c>
      <c r="V6795" s="12">
        <f>C6795+2</f>
        <v>41190</v>
      </c>
      <c r="W6795">
        <f>IF(D6795=' Pivot Tables'!$A$4,1,0)</f>
        <v>0</v>
      </c>
      <c r="X6795">
        <f>IF(AND(LEFT(D6795,4)+1=LEFT(' Pivot Tables'!$A$4,4)+0,RIGHT(LEFT(D6795,7),2)=RIGHT(LEFT(' Pivot Tables'!$A$4,7),2)),1,0)</f>
        <v>0</v>
      </c>
      <c r="Y6795" s="6">
        <f>1/COUNTIF(Таблица1[Order ID],Таблица1[[#This Row],[Order ID]])</f>
        <v>1</v>
      </c>
      <c r="Z6795" s="9">
        <f>1/COUNTIFS(Таблица1[Customer Name],Таблица1[[#This Row],[Customer Name]],Таблица1[Order-Year-Month],Таблица1[[#This Row],[Order-Year-Month]])</f>
        <v>1</v>
      </c>
    </row>
    <row r="6796" spans="1:26" x14ac:dyDescent="0.2">
      <c r="A6796" s="6">
        <v>2354</v>
      </c>
      <c r="B6796" s="7">
        <v>16992</v>
      </c>
      <c r="C6796" s="8">
        <f>DATE(2012,12,31)-750</f>
        <v>40524</v>
      </c>
      <c r="D6796" s="8" t="str">
        <f t="shared" si="126"/>
        <v>2010-12 (декабрь 2010)</v>
      </c>
      <c r="E6796" s="9" t="s">
        <v>30</v>
      </c>
      <c r="F6796" s="7">
        <v>15</v>
      </c>
      <c r="G6796" s="7">
        <v>126.74</v>
      </c>
      <c r="H6796" s="7">
        <v>0.08</v>
      </c>
      <c r="I6796" s="9" t="s">
        <v>22</v>
      </c>
      <c r="J6796" s="10">
        <v>-18.53</v>
      </c>
      <c r="K6796" s="11">
        <v>8.67</v>
      </c>
      <c r="L6796" s="11">
        <v>3.5</v>
      </c>
      <c r="M6796" s="9" t="s">
        <v>1455</v>
      </c>
      <c r="N6796" s="6" t="s">
        <v>2012</v>
      </c>
      <c r="O6796" s="6" t="s">
        <v>2012</v>
      </c>
      <c r="P6796" s="9" t="s">
        <v>25</v>
      </c>
      <c r="Q6796" s="9" t="s">
        <v>26</v>
      </c>
      <c r="R6796" s="9" t="s">
        <v>34</v>
      </c>
      <c r="S6796" s="7" t="s">
        <v>1128</v>
      </c>
      <c r="T6796" s="9" t="s">
        <v>39</v>
      </c>
      <c r="U6796" s="7">
        <v>0.57999999999999996</v>
      </c>
      <c r="V6796" s="12">
        <f>C6796+1</f>
        <v>40525</v>
      </c>
      <c r="W6796">
        <f>IF(D6796=' Pivot Tables'!$A$4,1,0)</f>
        <v>0</v>
      </c>
      <c r="X6796">
        <f>IF(AND(LEFT(D6796,4)+1=LEFT(' Pivot Tables'!$A$4,4)+0,RIGHT(LEFT(D6796,7),2)=RIGHT(LEFT(' Pivot Tables'!$A$4,7),2)),1,0)</f>
        <v>0</v>
      </c>
      <c r="Y6796" s="6">
        <f>1/COUNTIF(Таблица1[Order ID],Таблица1[[#This Row],[Order ID]])</f>
        <v>1</v>
      </c>
      <c r="Z6796" s="9">
        <f>1/COUNTIFS(Таблица1[Customer Name],Таблица1[[#This Row],[Customer Name]],Таблица1[Order-Year-Month],Таблица1[[#This Row],[Order-Year-Month]])</f>
        <v>1</v>
      </c>
    </row>
    <row r="6797" spans="1:26" x14ac:dyDescent="0.2">
      <c r="A6797" s="6">
        <v>2356</v>
      </c>
      <c r="B6797" s="7">
        <v>16995</v>
      </c>
      <c r="C6797" s="8">
        <f>DATE(2012,12,31)-744</f>
        <v>40530</v>
      </c>
      <c r="D6797" s="8" t="str">
        <f t="shared" si="126"/>
        <v>2010-12 (декабрь 2010)</v>
      </c>
      <c r="E6797" s="9" t="s">
        <v>45</v>
      </c>
      <c r="F6797" s="7">
        <v>42</v>
      </c>
      <c r="G6797" s="7">
        <v>48.41</v>
      </c>
      <c r="H6797" s="7">
        <v>0.06</v>
      </c>
      <c r="I6797" s="9" t="s">
        <v>22</v>
      </c>
      <c r="J6797" s="10">
        <v>-1.46</v>
      </c>
      <c r="K6797" s="11">
        <v>1.1399999999999999</v>
      </c>
      <c r="L6797" s="11">
        <v>0.7</v>
      </c>
      <c r="M6797" s="9" t="s">
        <v>1556</v>
      </c>
      <c r="N6797" s="6" t="s">
        <v>2012</v>
      </c>
      <c r="O6797" s="6" t="s">
        <v>2012</v>
      </c>
      <c r="P6797" s="9" t="s">
        <v>33</v>
      </c>
      <c r="Q6797" s="9" t="s">
        <v>26</v>
      </c>
      <c r="R6797" s="9" t="s">
        <v>66</v>
      </c>
      <c r="S6797" s="7" t="s">
        <v>1657</v>
      </c>
      <c r="T6797" s="9" t="s">
        <v>68</v>
      </c>
      <c r="U6797" s="7">
        <v>0.38</v>
      </c>
      <c r="V6797" s="12">
        <f>C6797+2</f>
        <v>40532</v>
      </c>
      <c r="W6797">
        <f>IF(D6797=' Pivot Tables'!$A$4,1,0)</f>
        <v>0</v>
      </c>
      <c r="X6797">
        <f>IF(AND(LEFT(D6797,4)+1=LEFT(' Pivot Tables'!$A$4,4)+0,RIGHT(LEFT(D6797,7),2)=RIGHT(LEFT(' Pivot Tables'!$A$4,7),2)),1,0)</f>
        <v>0</v>
      </c>
      <c r="Y6797" s="6">
        <f>1/COUNTIF(Таблица1[Order ID],Таблица1[[#This Row],[Order ID]])</f>
        <v>1</v>
      </c>
      <c r="Z6797" s="9">
        <f>1/COUNTIFS(Таблица1[Customer Name],Таблица1[[#This Row],[Customer Name]],Таблица1[Order-Year-Month],Таблица1[[#This Row],[Order-Year-Month]])</f>
        <v>1</v>
      </c>
    </row>
    <row r="6798" spans="1:26" x14ac:dyDescent="0.2">
      <c r="A6798" s="6">
        <v>2365</v>
      </c>
      <c r="B6798" s="7">
        <v>17093</v>
      </c>
      <c r="C6798" s="8">
        <f>DATE(2012,12,31)-324</f>
        <v>40950</v>
      </c>
      <c r="D6798" s="8" t="str">
        <f t="shared" si="126"/>
        <v>2012-02 (февраль 2012)</v>
      </c>
      <c r="E6798" s="9" t="s">
        <v>45</v>
      </c>
      <c r="F6798" s="7">
        <v>50</v>
      </c>
      <c r="G6798" s="7">
        <v>4550.0600000000004</v>
      </c>
      <c r="H6798" s="7">
        <v>0.1</v>
      </c>
      <c r="I6798" s="9" t="s">
        <v>31</v>
      </c>
      <c r="J6798" s="10">
        <v>-1335.32</v>
      </c>
      <c r="K6798" s="11">
        <v>95.98</v>
      </c>
      <c r="L6798" s="11">
        <v>58.2</v>
      </c>
      <c r="M6798" s="9" t="s">
        <v>1406</v>
      </c>
      <c r="N6798" s="6" t="s">
        <v>2012</v>
      </c>
      <c r="O6798" s="6" t="s">
        <v>2012</v>
      </c>
      <c r="P6798" s="9" t="s">
        <v>41</v>
      </c>
      <c r="Q6798" s="9" t="s">
        <v>49</v>
      </c>
      <c r="R6798" s="9" t="s">
        <v>112</v>
      </c>
      <c r="S6798" s="7" t="s">
        <v>1321</v>
      </c>
      <c r="T6798" s="9" t="s">
        <v>36</v>
      </c>
      <c r="U6798" s="7">
        <v>0.57999999999999996</v>
      </c>
      <c r="V6798" s="12">
        <f>C6798+2</f>
        <v>40952</v>
      </c>
      <c r="W6798">
        <f>IF(D6798=' Pivot Tables'!$A$4,1,0)</f>
        <v>0</v>
      </c>
      <c r="X6798">
        <f>IF(AND(LEFT(D6798,4)+1=LEFT(' Pivot Tables'!$A$4,4)+0,RIGHT(LEFT(D6798,7),2)=RIGHT(LEFT(' Pivot Tables'!$A$4,7),2)),1,0)</f>
        <v>0</v>
      </c>
      <c r="Y6798" s="6">
        <f>1/COUNTIF(Таблица1[Order ID],Таблица1[[#This Row],[Order ID]])</f>
        <v>1</v>
      </c>
      <c r="Z6798" s="9">
        <f>1/COUNTIFS(Таблица1[Customer Name],Таблица1[[#This Row],[Customer Name]],Таблица1[Order-Year-Month],Таблица1[[#This Row],[Order-Year-Month]])</f>
        <v>0.5</v>
      </c>
    </row>
    <row r="6799" spans="1:26" x14ac:dyDescent="0.2">
      <c r="A6799" s="6">
        <v>2414</v>
      </c>
      <c r="B6799" s="7">
        <v>17510</v>
      </c>
      <c r="C6799" s="8">
        <f>DATE(2012,12,31)-62</f>
        <v>41212</v>
      </c>
      <c r="D6799" s="8" t="str">
        <f t="shared" si="126"/>
        <v>2012-10 (октябрь 2012)</v>
      </c>
      <c r="E6799" s="9" t="s">
        <v>78</v>
      </c>
      <c r="F6799" s="7">
        <v>28</v>
      </c>
      <c r="G6799" s="7">
        <v>462.12</v>
      </c>
      <c r="H6799" s="7">
        <v>0</v>
      </c>
      <c r="I6799" s="9" t="s">
        <v>22</v>
      </c>
      <c r="J6799" s="10">
        <v>226.4</v>
      </c>
      <c r="K6799" s="11">
        <v>15.57</v>
      </c>
      <c r="L6799" s="11">
        <v>1.39</v>
      </c>
      <c r="M6799" s="9" t="s">
        <v>2029</v>
      </c>
      <c r="N6799" s="6" t="s">
        <v>2012</v>
      </c>
      <c r="O6799" s="6" t="s">
        <v>2012</v>
      </c>
      <c r="P6799" s="9" t="s">
        <v>25</v>
      </c>
      <c r="Q6799" s="9" t="s">
        <v>26</v>
      </c>
      <c r="R6799" s="9" t="s">
        <v>76</v>
      </c>
      <c r="S6799" s="7" t="s">
        <v>1176</v>
      </c>
      <c r="T6799" s="9" t="s">
        <v>39</v>
      </c>
      <c r="U6799" s="7">
        <v>0.38</v>
      </c>
      <c r="V6799" s="12">
        <f>C6799+1</f>
        <v>41213</v>
      </c>
      <c r="W6799">
        <f>IF(D6799=' Pivot Tables'!$A$4,1,0)</f>
        <v>0</v>
      </c>
      <c r="X6799">
        <f>IF(AND(LEFT(D6799,4)+1=LEFT(' Pivot Tables'!$A$4,4)+0,RIGHT(LEFT(D6799,7),2)=RIGHT(LEFT(' Pivot Tables'!$A$4,7),2)),1,0)</f>
        <v>0</v>
      </c>
      <c r="Y6799" s="6">
        <f>1/COUNTIF(Таблица1[Order ID],Таблица1[[#This Row],[Order ID]])</f>
        <v>1</v>
      </c>
      <c r="Z6799" s="9">
        <f>1/COUNTIFS(Таблица1[Customer Name],Таблица1[[#This Row],[Customer Name]],Таблица1[Order-Year-Month],Таблица1[[#This Row],[Order-Year-Month]])</f>
        <v>1</v>
      </c>
    </row>
    <row r="6800" spans="1:26" x14ac:dyDescent="0.2">
      <c r="A6800" s="6">
        <v>2417</v>
      </c>
      <c r="B6800" s="7">
        <v>17542</v>
      </c>
      <c r="C6800" s="8">
        <f>DATE(2012,12,31)-853</f>
        <v>40421</v>
      </c>
      <c r="D6800" s="8" t="str">
        <f t="shared" si="126"/>
        <v>2010-08 (август 2010)</v>
      </c>
      <c r="E6800" s="9" t="s">
        <v>21</v>
      </c>
      <c r="F6800" s="7">
        <v>37</v>
      </c>
      <c r="G6800" s="7">
        <v>105.99</v>
      </c>
      <c r="H6800" s="7">
        <v>0.01</v>
      </c>
      <c r="I6800" s="9" t="s">
        <v>22</v>
      </c>
      <c r="J6800" s="10">
        <v>43.37</v>
      </c>
      <c r="K6800" s="11">
        <v>2.88</v>
      </c>
      <c r="L6800" s="11">
        <v>0.5</v>
      </c>
      <c r="M6800" s="9" t="s">
        <v>2031</v>
      </c>
      <c r="N6800" s="6" t="s">
        <v>2012</v>
      </c>
      <c r="O6800" s="6" t="s">
        <v>2012</v>
      </c>
      <c r="P6800" s="9" t="s">
        <v>33</v>
      </c>
      <c r="Q6800" s="9" t="s">
        <v>26</v>
      </c>
      <c r="R6800" s="9" t="s">
        <v>88</v>
      </c>
      <c r="S6800" s="7" t="s">
        <v>127</v>
      </c>
      <c r="T6800" s="9" t="s">
        <v>39</v>
      </c>
      <c r="U6800" s="7">
        <v>0.36</v>
      </c>
      <c r="V6800" s="12">
        <f>C6800+2</f>
        <v>40423</v>
      </c>
      <c r="W6800">
        <f>IF(D6800=' Pivot Tables'!$A$4,1,0)</f>
        <v>0</v>
      </c>
      <c r="X6800">
        <f>IF(AND(LEFT(D6800,4)+1=LEFT(' Pivot Tables'!$A$4,4)+0,RIGHT(LEFT(D6800,7),2)=RIGHT(LEFT(' Pivot Tables'!$A$4,7),2)),1,0)</f>
        <v>0</v>
      </c>
      <c r="Y6800" s="6">
        <f>1/COUNTIF(Таблица1[Order ID],Таблица1[[#This Row],[Order ID]])</f>
        <v>1</v>
      </c>
      <c r="Z6800" s="9">
        <f>1/COUNTIFS(Таблица1[Customer Name],Таблица1[[#This Row],[Customer Name]],Таблица1[Order-Year-Month],Таблица1[[#This Row],[Order-Year-Month]])</f>
        <v>1</v>
      </c>
    </row>
    <row r="6801" spans="1:26" x14ac:dyDescent="0.2">
      <c r="A6801" s="6">
        <v>2421</v>
      </c>
      <c r="B6801" s="7">
        <v>17568</v>
      </c>
      <c r="C6801" s="8">
        <f>DATE(2012,12,31)-815</f>
        <v>40459</v>
      </c>
      <c r="D6801" s="8" t="str">
        <f t="shared" si="126"/>
        <v>2010-10 (октябрь 2010)</v>
      </c>
      <c r="E6801" s="9" t="s">
        <v>45</v>
      </c>
      <c r="F6801" s="7">
        <v>31</v>
      </c>
      <c r="G6801" s="7">
        <v>512.87</v>
      </c>
      <c r="H6801" s="7">
        <v>0</v>
      </c>
      <c r="I6801" s="9" t="s">
        <v>22</v>
      </c>
      <c r="J6801" s="10">
        <v>170.69</v>
      </c>
      <c r="K6801" s="11">
        <v>16.48</v>
      </c>
      <c r="L6801" s="11">
        <v>1.99</v>
      </c>
      <c r="M6801" s="9" t="s">
        <v>1491</v>
      </c>
      <c r="N6801" s="6" t="s">
        <v>2012</v>
      </c>
      <c r="O6801" s="6" t="s">
        <v>2012</v>
      </c>
      <c r="P6801" s="9" t="s">
        <v>60</v>
      </c>
      <c r="Q6801" s="9" t="s">
        <v>42</v>
      </c>
      <c r="R6801" s="9" t="s">
        <v>70</v>
      </c>
      <c r="S6801" s="7" t="s">
        <v>848</v>
      </c>
      <c r="T6801" s="9" t="s">
        <v>52</v>
      </c>
      <c r="U6801" s="7">
        <v>0.42</v>
      </c>
      <c r="V6801" s="12">
        <f>C6801+1</f>
        <v>40460</v>
      </c>
      <c r="W6801">
        <f>IF(D6801=' Pivot Tables'!$A$4,1,0)</f>
        <v>0</v>
      </c>
      <c r="X6801">
        <f>IF(AND(LEFT(D6801,4)+1=LEFT(' Pivot Tables'!$A$4,4)+0,RIGHT(LEFT(D6801,7),2)=RIGHT(LEFT(' Pivot Tables'!$A$4,7),2)),1,0)</f>
        <v>0</v>
      </c>
      <c r="Y6801" s="6">
        <f>1/COUNTIF(Таблица1[Order ID],Таблица1[[#This Row],[Order ID]])</f>
        <v>1</v>
      </c>
      <c r="Z6801" s="9">
        <f>1/COUNTIFS(Таблица1[Customer Name],Таблица1[[#This Row],[Customer Name]],Таблица1[Order-Year-Month],Таблица1[[#This Row],[Order-Year-Month]])</f>
        <v>1</v>
      </c>
    </row>
    <row r="6802" spans="1:26" x14ac:dyDescent="0.2">
      <c r="A6802" s="6">
        <v>2422</v>
      </c>
      <c r="B6802" s="7">
        <v>17571</v>
      </c>
      <c r="C6802" s="8">
        <f>DATE(2012,12,31)-291</f>
        <v>40983</v>
      </c>
      <c r="D6802" s="8" t="str">
        <f t="shared" si="126"/>
        <v>2012-03 (март 2012)</v>
      </c>
      <c r="E6802" s="9" t="s">
        <v>45</v>
      </c>
      <c r="F6802" s="7">
        <v>32</v>
      </c>
      <c r="G6802" s="7">
        <v>102.59</v>
      </c>
      <c r="H6802" s="7">
        <v>0.01</v>
      </c>
      <c r="I6802" s="9" t="s">
        <v>22</v>
      </c>
      <c r="J6802" s="10">
        <v>8.8800000000000008</v>
      </c>
      <c r="K6802" s="11">
        <v>2.98</v>
      </c>
      <c r="L6802" s="11">
        <v>1.58</v>
      </c>
      <c r="M6802" s="9" t="s">
        <v>2033</v>
      </c>
      <c r="N6802" s="6" t="s">
        <v>2012</v>
      </c>
      <c r="O6802" s="6" t="s">
        <v>2012</v>
      </c>
      <c r="P6802" s="9" t="s">
        <v>33</v>
      </c>
      <c r="Q6802" s="9" t="s">
        <v>26</v>
      </c>
      <c r="R6802" s="9" t="s">
        <v>66</v>
      </c>
      <c r="S6802" s="7" t="s">
        <v>1310</v>
      </c>
      <c r="T6802" s="9" t="s">
        <v>68</v>
      </c>
      <c r="U6802" s="7">
        <v>0.39</v>
      </c>
      <c r="V6802" s="12">
        <f>C6802+1</f>
        <v>40984</v>
      </c>
      <c r="W6802">
        <f>IF(D6802=' Pivot Tables'!$A$4,1,0)</f>
        <v>0</v>
      </c>
      <c r="X6802">
        <f>IF(AND(LEFT(D6802,4)+1=LEFT(' Pivot Tables'!$A$4,4)+0,RIGHT(LEFT(D6802,7),2)=RIGHT(LEFT(' Pivot Tables'!$A$4,7),2)),1,0)</f>
        <v>0</v>
      </c>
      <c r="Y6802" s="6">
        <f>1/COUNTIF(Таблица1[Order ID],Таблица1[[#This Row],[Order ID]])</f>
        <v>0.5</v>
      </c>
      <c r="Z6802" s="9">
        <f>1/COUNTIFS(Таблица1[Customer Name],Таблица1[[#This Row],[Customer Name]],Таблица1[Order-Year-Month],Таблица1[[#This Row],[Order-Year-Month]])</f>
        <v>0.33333333333333331</v>
      </c>
    </row>
    <row r="6803" spans="1:26" x14ac:dyDescent="0.2">
      <c r="A6803" s="6">
        <v>2423</v>
      </c>
      <c r="B6803" s="7">
        <v>17571</v>
      </c>
      <c r="C6803" s="8">
        <f>DATE(2012,12,31)-291</f>
        <v>40983</v>
      </c>
      <c r="D6803" s="8" t="str">
        <f t="shared" si="126"/>
        <v>2012-03 (март 2012)</v>
      </c>
      <c r="E6803" s="9" t="s">
        <v>45</v>
      </c>
      <c r="F6803" s="7">
        <v>50</v>
      </c>
      <c r="G6803" s="7">
        <v>1695.65</v>
      </c>
      <c r="H6803" s="7">
        <v>0.02</v>
      </c>
      <c r="I6803" s="9" t="s">
        <v>56</v>
      </c>
      <c r="J6803" s="10">
        <v>51.98</v>
      </c>
      <c r="K6803" s="11">
        <v>32.979999999999997</v>
      </c>
      <c r="L6803" s="11">
        <v>5.5</v>
      </c>
      <c r="M6803" s="9" t="s">
        <v>2033</v>
      </c>
      <c r="N6803" s="6" t="s">
        <v>2012</v>
      </c>
      <c r="O6803" s="6" t="s">
        <v>2012</v>
      </c>
      <c r="P6803" s="9" t="s">
        <v>33</v>
      </c>
      <c r="Q6803" s="9" t="s">
        <v>42</v>
      </c>
      <c r="R6803" s="9" t="s">
        <v>70</v>
      </c>
      <c r="S6803" s="7" t="s">
        <v>403</v>
      </c>
      <c r="T6803" s="9" t="s">
        <v>39</v>
      </c>
      <c r="U6803" s="7">
        <v>0.75</v>
      </c>
      <c r="V6803" s="12">
        <f>C6803+2</f>
        <v>40985</v>
      </c>
      <c r="W6803">
        <f>IF(D6803=' Pivot Tables'!$A$4,1,0)</f>
        <v>0</v>
      </c>
      <c r="X6803">
        <f>IF(AND(LEFT(D6803,4)+1=LEFT(' Pivot Tables'!$A$4,4)+0,RIGHT(LEFT(D6803,7),2)=RIGHT(LEFT(' Pivot Tables'!$A$4,7),2)),1,0)</f>
        <v>0</v>
      </c>
      <c r="Y6803" s="6">
        <f>1/COUNTIF(Таблица1[Order ID],Таблица1[[#This Row],[Order ID]])</f>
        <v>0.5</v>
      </c>
      <c r="Z6803" s="9">
        <f>1/COUNTIFS(Таблица1[Customer Name],Таблица1[[#This Row],[Customer Name]],Таблица1[Order-Year-Month],Таблица1[[#This Row],[Order-Year-Month]])</f>
        <v>0.33333333333333331</v>
      </c>
    </row>
    <row r="6804" spans="1:26" x14ac:dyDescent="0.2">
      <c r="A6804" s="6">
        <v>2428</v>
      </c>
      <c r="B6804" s="7">
        <v>17636</v>
      </c>
      <c r="C6804" s="8">
        <f>DATE(2012,12,31)-1426</f>
        <v>39848</v>
      </c>
      <c r="D6804" s="8" t="str">
        <f t="shared" si="126"/>
        <v>2009-02 (февраль 2009)</v>
      </c>
      <c r="E6804" s="9" t="s">
        <v>21</v>
      </c>
      <c r="F6804" s="7">
        <v>2</v>
      </c>
      <c r="G6804" s="7">
        <v>7.01</v>
      </c>
      <c r="H6804" s="7">
        <v>0.03</v>
      </c>
      <c r="I6804" s="9" t="s">
        <v>22</v>
      </c>
      <c r="J6804" s="10">
        <v>-4.2</v>
      </c>
      <c r="K6804" s="11">
        <v>2.94</v>
      </c>
      <c r="L6804" s="11">
        <v>0.96</v>
      </c>
      <c r="M6804" s="9" t="s">
        <v>2036</v>
      </c>
      <c r="N6804" s="6" t="s">
        <v>2012</v>
      </c>
      <c r="O6804" s="6" t="s">
        <v>2012</v>
      </c>
      <c r="P6804" s="9" t="s">
        <v>60</v>
      </c>
      <c r="Q6804" s="9" t="s">
        <v>26</v>
      </c>
      <c r="R6804" s="9" t="s">
        <v>95</v>
      </c>
      <c r="S6804" s="7" t="s">
        <v>486</v>
      </c>
      <c r="T6804" s="9" t="s">
        <v>68</v>
      </c>
      <c r="U6804" s="7">
        <v>0.57999999999999996</v>
      </c>
      <c r="V6804" s="12">
        <f>C6804+4</f>
        <v>39852</v>
      </c>
      <c r="W6804">
        <f>IF(D6804=' Pivot Tables'!$A$4,1,0)</f>
        <v>0</v>
      </c>
      <c r="X6804">
        <f>IF(AND(LEFT(D6804,4)+1=LEFT(' Pivot Tables'!$A$4,4)+0,RIGHT(LEFT(D6804,7),2)=RIGHT(LEFT(' Pivot Tables'!$A$4,7),2)),1,0)</f>
        <v>0</v>
      </c>
      <c r="Y6804" s="6">
        <f>1/COUNTIF(Таблица1[Order ID],Таблица1[[#This Row],[Order ID]])</f>
        <v>1</v>
      </c>
      <c r="Z6804" s="9">
        <f>1/COUNTIFS(Таблица1[Customer Name],Таблица1[[#This Row],[Customer Name]],Таблица1[Order-Year-Month],Таблица1[[#This Row],[Order-Year-Month]])</f>
        <v>1</v>
      </c>
    </row>
    <row r="6805" spans="1:26" x14ac:dyDescent="0.2">
      <c r="A6805" s="6">
        <v>2434</v>
      </c>
      <c r="B6805" s="7">
        <v>17669</v>
      </c>
      <c r="C6805" s="8">
        <f>DATE(2012,12,31)-1342</f>
        <v>39932</v>
      </c>
      <c r="D6805" s="8" t="str">
        <f t="shared" si="126"/>
        <v>2009-04 (апрель 2009)</v>
      </c>
      <c r="E6805" s="9" t="s">
        <v>30</v>
      </c>
      <c r="F6805" s="7">
        <v>32</v>
      </c>
      <c r="G6805" s="7">
        <v>1116.03</v>
      </c>
      <c r="H6805" s="7">
        <v>0.04</v>
      </c>
      <c r="I6805" s="9" t="s">
        <v>22</v>
      </c>
      <c r="J6805" s="10">
        <v>203.44</v>
      </c>
      <c r="K6805" s="11">
        <v>34.76</v>
      </c>
      <c r="L6805" s="11">
        <v>5.49</v>
      </c>
      <c r="M6805" s="9" t="s">
        <v>1497</v>
      </c>
      <c r="N6805" s="6" t="s">
        <v>2012</v>
      </c>
      <c r="O6805" s="6" t="s">
        <v>2012</v>
      </c>
      <c r="P6805" s="9" t="s">
        <v>25</v>
      </c>
      <c r="Q6805" s="9" t="s">
        <v>26</v>
      </c>
      <c r="R6805" s="9" t="s">
        <v>27</v>
      </c>
      <c r="S6805" s="7" t="s">
        <v>327</v>
      </c>
      <c r="T6805" s="9" t="s">
        <v>39</v>
      </c>
      <c r="U6805" s="7">
        <v>0.6</v>
      </c>
      <c r="V6805" s="12">
        <f>C6805+1</f>
        <v>39933</v>
      </c>
      <c r="W6805">
        <f>IF(D6805=' Pivot Tables'!$A$4,1,0)</f>
        <v>0</v>
      </c>
      <c r="X6805">
        <f>IF(AND(LEFT(D6805,4)+1=LEFT(' Pivot Tables'!$A$4,4)+0,RIGHT(LEFT(D6805,7),2)=RIGHT(LEFT(' Pivot Tables'!$A$4,7),2)),1,0)</f>
        <v>0</v>
      </c>
      <c r="Y6805" s="6">
        <f>1/COUNTIF(Таблица1[Order ID],Таблица1[[#This Row],[Order ID]])</f>
        <v>1</v>
      </c>
      <c r="Z6805" s="9">
        <f>1/COUNTIFS(Таблица1[Customer Name],Таблица1[[#This Row],[Customer Name]],Таблица1[Order-Year-Month],Таблица1[[#This Row],[Order-Year-Month]])</f>
        <v>1</v>
      </c>
    </row>
    <row r="6806" spans="1:26" x14ac:dyDescent="0.2">
      <c r="A6806" s="6">
        <v>2439</v>
      </c>
      <c r="B6806" s="7">
        <v>17700</v>
      </c>
      <c r="C6806" s="8">
        <f>DATE(2012,12,31)-65</f>
        <v>41209</v>
      </c>
      <c r="D6806" s="8" t="str">
        <f t="shared" si="126"/>
        <v>2012-10 (октябрь 2012)</v>
      </c>
      <c r="E6806" s="9" t="s">
        <v>78</v>
      </c>
      <c r="F6806" s="7">
        <v>20</v>
      </c>
      <c r="G6806" s="7">
        <v>2305.75</v>
      </c>
      <c r="H6806" s="7">
        <v>0.03</v>
      </c>
      <c r="I6806" s="9" t="s">
        <v>22</v>
      </c>
      <c r="J6806" s="10">
        <v>-530.67999999999995</v>
      </c>
      <c r="K6806" s="11">
        <v>113.64</v>
      </c>
      <c r="L6806" s="11">
        <v>35</v>
      </c>
      <c r="M6806" s="9" t="s">
        <v>1278</v>
      </c>
      <c r="N6806" s="6" t="s">
        <v>2012</v>
      </c>
      <c r="O6806" s="6" t="s">
        <v>2012</v>
      </c>
      <c r="P6806" s="9" t="s">
        <v>60</v>
      </c>
      <c r="Q6806" s="9" t="s">
        <v>49</v>
      </c>
      <c r="R6806" s="9" t="s">
        <v>50</v>
      </c>
      <c r="S6806" s="7" t="s">
        <v>1140</v>
      </c>
      <c r="T6806" s="9" t="s">
        <v>39</v>
      </c>
      <c r="U6806" s="7">
        <v>0.6</v>
      </c>
      <c r="V6806" s="12">
        <f>C6806+1</f>
        <v>41210</v>
      </c>
      <c r="W6806">
        <f>IF(D6806=' Pivot Tables'!$A$4,1,0)</f>
        <v>0</v>
      </c>
      <c r="X6806">
        <f>IF(AND(LEFT(D6806,4)+1=LEFT(' Pivot Tables'!$A$4,4)+0,RIGHT(LEFT(D6806,7),2)=RIGHT(LEFT(' Pivot Tables'!$A$4,7),2)),1,0)</f>
        <v>0</v>
      </c>
      <c r="Y6806" s="6">
        <f>1/COUNTIF(Таблица1[Order ID],Таблица1[[#This Row],[Order ID]])</f>
        <v>1</v>
      </c>
      <c r="Z6806" s="9">
        <f>1/COUNTIFS(Таблица1[Customer Name],Таблица1[[#This Row],[Customer Name]],Таблица1[Order-Year-Month],Таблица1[[#This Row],[Order-Year-Month]])</f>
        <v>0.33333333333333331</v>
      </c>
    </row>
    <row r="6807" spans="1:26" x14ac:dyDescent="0.2">
      <c r="A6807" s="6">
        <v>2440</v>
      </c>
      <c r="B6807" s="7">
        <v>17701</v>
      </c>
      <c r="C6807" s="8">
        <f>DATE(2012,12,31)-224</f>
        <v>41050</v>
      </c>
      <c r="D6807" s="8" t="str">
        <f t="shared" si="126"/>
        <v>2012-05 (май 2012)</v>
      </c>
      <c r="E6807" s="9" t="s">
        <v>78</v>
      </c>
      <c r="F6807" s="7">
        <v>21</v>
      </c>
      <c r="G6807" s="7">
        <v>80.45</v>
      </c>
      <c r="H6807" s="7">
        <v>0.09</v>
      </c>
      <c r="I6807" s="9" t="s">
        <v>22</v>
      </c>
      <c r="J6807" s="10">
        <v>-60.961500000000001</v>
      </c>
      <c r="K6807" s="11">
        <v>3.74</v>
      </c>
      <c r="L6807" s="11">
        <v>4.6900000000000004</v>
      </c>
      <c r="M6807" s="9" t="s">
        <v>1491</v>
      </c>
      <c r="N6807" s="6" t="s">
        <v>2012</v>
      </c>
      <c r="O6807" s="6" t="s">
        <v>2012</v>
      </c>
      <c r="P6807" s="9" t="s">
        <v>60</v>
      </c>
      <c r="Q6807" s="9" t="s">
        <v>26</v>
      </c>
      <c r="R6807" s="9" t="s">
        <v>37</v>
      </c>
      <c r="S6807" s="7" t="s">
        <v>1587</v>
      </c>
      <c r="T6807" s="9" t="s">
        <v>39</v>
      </c>
      <c r="U6807" s="7">
        <v>0.35</v>
      </c>
      <c r="V6807" s="12">
        <f>C6807+1</f>
        <v>41051</v>
      </c>
      <c r="W6807">
        <f>IF(D6807=' Pivot Tables'!$A$4,1,0)</f>
        <v>0</v>
      </c>
      <c r="X6807">
        <f>IF(AND(LEFT(D6807,4)+1=LEFT(' Pivot Tables'!$A$4,4)+0,RIGHT(LEFT(D6807,7),2)=RIGHT(LEFT(' Pivot Tables'!$A$4,7),2)),1,0)</f>
        <v>0</v>
      </c>
      <c r="Y6807" s="6">
        <f>1/COUNTIF(Таблица1[Order ID],Таблица1[[#This Row],[Order ID]])</f>
        <v>1</v>
      </c>
      <c r="Z6807" s="9">
        <f>1/COUNTIFS(Таблица1[Customer Name],Таблица1[[#This Row],[Customer Name]],Таблица1[Order-Year-Month],Таблица1[[#This Row],[Order-Year-Month]])</f>
        <v>1</v>
      </c>
    </row>
    <row r="6808" spans="1:26" x14ac:dyDescent="0.2">
      <c r="A6808" s="6">
        <v>2450</v>
      </c>
      <c r="B6808" s="7">
        <v>17799</v>
      </c>
      <c r="C6808" s="8">
        <f>DATE(2012,12,31)-102</f>
        <v>41172</v>
      </c>
      <c r="D6808" s="8" t="str">
        <f t="shared" si="126"/>
        <v>2012-09 (сентябрь 2012)</v>
      </c>
      <c r="E6808" s="9" t="s">
        <v>63</v>
      </c>
      <c r="F6808" s="7">
        <v>8</v>
      </c>
      <c r="G6808" s="7">
        <v>149.51</v>
      </c>
      <c r="H6808" s="7">
        <v>0.02</v>
      </c>
      <c r="I6808" s="9" t="s">
        <v>22</v>
      </c>
      <c r="J6808" s="10">
        <v>-31.11</v>
      </c>
      <c r="K6808" s="11">
        <v>16.98</v>
      </c>
      <c r="L6808" s="11">
        <v>12.39</v>
      </c>
      <c r="M6808" s="9" t="s">
        <v>1278</v>
      </c>
      <c r="N6808" s="6" t="s">
        <v>2012</v>
      </c>
      <c r="O6808" s="6" t="s">
        <v>2012</v>
      </c>
      <c r="P6808" s="9" t="s">
        <v>33</v>
      </c>
      <c r="Q6808" s="9" t="s">
        <v>49</v>
      </c>
      <c r="R6808" s="9" t="s">
        <v>50</v>
      </c>
      <c r="S6808" s="7" t="s">
        <v>201</v>
      </c>
      <c r="T6808" s="9" t="s">
        <v>29</v>
      </c>
      <c r="U6808" s="7">
        <v>0.61</v>
      </c>
      <c r="V6808" s="12">
        <f>C6808+2</f>
        <v>41174</v>
      </c>
      <c r="W6808">
        <f>IF(D6808=' Pivot Tables'!$A$4,1,0)</f>
        <v>0</v>
      </c>
      <c r="X6808">
        <f>IF(AND(LEFT(D6808,4)+1=LEFT(' Pivot Tables'!$A$4,4)+0,RIGHT(LEFT(D6808,7),2)=RIGHT(LEFT(' Pivot Tables'!$A$4,7),2)),1,0)</f>
        <v>0</v>
      </c>
      <c r="Y6808" s="6">
        <f>1/COUNTIF(Таблица1[Order ID],Таблица1[[#This Row],[Order ID]])</f>
        <v>1</v>
      </c>
      <c r="Z6808" s="9">
        <f>1/COUNTIFS(Таблица1[Customer Name],Таблица1[[#This Row],[Customer Name]],Таблица1[Order-Year-Month],Таблица1[[#This Row],[Order-Year-Month]])</f>
        <v>0.5</v>
      </c>
    </row>
    <row r="6809" spans="1:26" x14ac:dyDescent="0.2">
      <c r="A6809" s="6">
        <v>2515</v>
      </c>
      <c r="B6809" s="7">
        <v>18275</v>
      </c>
      <c r="C6809" s="8">
        <f>DATE(2012,12,31)-356</f>
        <v>40918</v>
      </c>
      <c r="D6809" s="8" t="str">
        <f t="shared" si="126"/>
        <v>2012-01 (январь 2012)</v>
      </c>
      <c r="E6809" s="9" t="s">
        <v>21</v>
      </c>
      <c r="F6809" s="7">
        <v>25</v>
      </c>
      <c r="G6809" s="7">
        <v>322.73</v>
      </c>
      <c r="H6809" s="7">
        <v>7.0000000000000007E-2</v>
      </c>
      <c r="I6809" s="9" t="s">
        <v>22</v>
      </c>
      <c r="J6809" s="10">
        <v>101.83</v>
      </c>
      <c r="K6809" s="11">
        <v>13.4</v>
      </c>
      <c r="L6809" s="11">
        <v>4.95</v>
      </c>
      <c r="M6809" s="9" t="s">
        <v>1094</v>
      </c>
      <c r="N6809" s="6" t="s">
        <v>2012</v>
      </c>
      <c r="O6809" s="6" t="s">
        <v>2012</v>
      </c>
      <c r="P6809" s="9" t="s">
        <v>41</v>
      </c>
      <c r="Q6809" s="9" t="s">
        <v>49</v>
      </c>
      <c r="R6809" s="9" t="s">
        <v>50</v>
      </c>
      <c r="S6809" s="7" t="s">
        <v>1709</v>
      </c>
      <c r="T6809" s="9" t="s">
        <v>52</v>
      </c>
      <c r="U6809" s="7">
        <v>0.37</v>
      </c>
      <c r="V6809" s="12">
        <f>C6809+4</f>
        <v>40922</v>
      </c>
      <c r="W6809">
        <f>IF(D6809=' Pivot Tables'!$A$4,1,0)</f>
        <v>0</v>
      </c>
      <c r="X6809">
        <f>IF(AND(LEFT(D6809,4)+1=LEFT(' Pivot Tables'!$A$4,4)+0,RIGHT(LEFT(D6809,7),2)=RIGHT(LEFT(' Pivot Tables'!$A$4,7),2)),1,0)</f>
        <v>0</v>
      </c>
      <c r="Y6809" s="6">
        <f>1/COUNTIF(Таблица1[Order ID],Таблица1[[#This Row],[Order ID]])</f>
        <v>1</v>
      </c>
      <c r="Z6809" s="9">
        <f>1/COUNTIFS(Таблица1[Customer Name],Таблица1[[#This Row],[Customer Name]],Таблица1[Order-Year-Month],Таблица1[[#This Row],[Order-Year-Month]])</f>
        <v>1</v>
      </c>
    </row>
    <row r="6810" spans="1:26" x14ac:dyDescent="0.2">
      <c r="A6810" s="6">
        <v>2523</v>
      </c>
      <c r="B6810" s="7">
        <v>18336</v>
      </c>
      <c r="C6810" s="8">
        <f>DATE(2012,12,31)-1347</f>
        <v>39927</v>
      </c>
      <c r="D6810" s="8" t="str">
        <f t="shared" si="126"/>
        <v>2009-04 (апрель 2009)</v>
      </c>
      <c r="E6810" s="9" t="s">
        <v>45</v>
      </c>
      <c r="F6810" s="7">
        <v>1</v>
      </c>
      <c r="G6810" s="7">
        <v>7.96</v>
      </c>
      <c r="H6810" s="7">
        <v>0</v>
      </c>
      <c r="I6810" s="9" t="s">
        <v>56</v>
      </c>
      <c r="J6810" s="10">
        <v>-0.10999999999999943</v>
      </c>
      <c r="K6810" s="11">
        <v>2.88</v>
      </c>
      <c r="L6810" s="11">
        <v>0.7</v>
      </c>
      <c r="M6810" s="9" t="s">
        <v>1482</v>
      </c>
      <c r="N6810" s="6" t="s">
        <v>2012</v>
      </c>
      <c r="O6810" s="6" t="s">
        <v>2012</v>
      </c>
      <c r="P6810" s="9" t="s">
        <v>33</v>
      </c>
      <c r="Q6810" s="9" t="s">
        <v>26</v>
      </c>
      <c r="R6810" s="9" t="s">
        <v>95</v>
      </c>
      <c r="S6810" s="7" t="s">
        <v>1059</v>
      </c>
      <c r="T6810" s="9" t="s">
        <v>68</v>
      </c>
      <c r="U6810" s="7">
        <v>0.56000000000000005</v>
      </c>
      <c r="V6810" s="12">
        <f>C6810+0</f>
        <v>39927</v>
      </c>
      <c r="W6810">
        <f>IF(D6810=' Pivot Tables'!$A$4,1,0)</f>
        <v>0</v>
      </c>
      <c r="X6810">
        <f>IF(AND(LEFT(D6810,4)+1=LEFT(' Pivot Tables'!$A$4,4)+0,RIGHT(LEFT(D6810,7),2)=RIGHT(LEFT(' Pivot Tables'!$A$4,7),2)),1,0)</f>
        <v>0</v>
      </c>
      <c r="Y6810" s="6">
        <f>1/COUNTIF(Таблица1[Order ID],Таблица1[[#This Row],[Order ID]])</f>
        <v>1</v>
      </c>
      <c r="Z6810" s="9">
        <f>1/COUNTIFS(Таблица1[Customer Name],Таблица1[[#This Row],[Customer Name]],Таблица1[Order-Year-Month],Таблица1[[#This Row],[Order-Year-Month]])</f>
        <v>1</v>
      </c>
    </row>
    <row r="6811" spans="1:26" x14ac:dyDescent="0.2">
      <c r="A6811" s="6">
        <v>2536</v>
      </c>
      <c r="B6811" s="7">
        <v>18402</v>
      </c>
      <c r="C6811" s="8">
        <f>DATE(2012,12,31)-1220</f>
        <v>40054</v>
      </c>
      <c r="D6811" s="8" t="str">
        <f t="shared" si="126"/>
        <v>2009-08 (август 2009)</v>
      </c>
      <c r="E6811" s="9" t="s">
        <v>21</v>
      </c>
      <c r="F6811" s="7">
        <v>5</v>
      </c>
      <c r="G6811" s="7">
        <v>1548.45</v>
      </c>
      <c r="H6811" s="7">
        <v>0.03</v>
      </c>
      <c r="I6811" s="9" t="s">
        <v>31</v>
      </c>
      <c r="J6811" s="10">
        <v>-224.2</v>
      </c>
      <c r="K6811" s="11">
        <v>284.98</v>
      </c>
      <c r="L6811" s="11">
        <v>69.55</v>
      </c>
      <c r="M6811" s="9" t="s">
        <v>1533</v>
      </c>
      <c r="N6811" s="6" t="s">
        <v>2012</v>
      </c>
      <c r="O6811" s="6" t="s">
        <v>2012</v>
      </c>
      <c r="P6811" s="9" t="s">
        <v>41</v>
      </c>
      <c r="Q6811" s="9" t="s">
        <v>49</v>
      </c>
      <c r="R6811" s="9" t="s">
        <v>112</v>
      </c>
      <c r="S6811" s="7" t="s">
        <v>834</v>
      </c>
      <c r="T6811" s="9" t="s">
        <v>36</v>
      </c>
      <c r="U6811" s="7">
        <v>0.6</v>
      </c>
      <c r="V6811" s="12">
        <f>C6811+7</f>
        <v>40061</v>
      </c>
      <c r="W6811">
        <f>IF(D6811=' Pivot Tables'!$A$4,1,0)</f>
        <v>0</v>
      </c>
      <c r="X6811">
        <f>IF(AND(LEFT(D6811,4)+1=LEFT(' Pivot Tables'!$A$4,4)+0,RIGHT(LEFT(D6811,7),2)=RIGHT(LEFT(' Pivot Tables'!$A$4,7),2)),1,0)</f>
        <v>0</v>
      </c>
      <c r="Y6811" s="6">
        <f>1/COUNTIF(Таблица1[Order ID],Таблица1[[#This Row],[Order ID]])</f>
        <v>0.5</v>
      </c>
      <c r="Z6811" s="9">
        <f>1/COUNTIFS(Таблица1[Customer Name],Таблица1[[#This Row],[Customer Name]],Таблица1[Order-Year-Month],Таблица1[[#This Row],[Order-Year-Month]])</f>
        <v>0.33333333333333331</v>
      </c>
    </row>
    <row r="6812" spans="1:26" x14ac:dyDescent="0.2">
      <c r="A6812" s="6">
        <v>2537</v>
      </c>
      <c r="B6812" s="7">
        <v>18402</v>
      </c>
      <c r="C6812" s="8">
        <f>DATE(2012,12,31)-1220</f>
        <v>40054</v>
      </c>
      <c r="D6812" s="8" t="str">
        <f t="shared" si="126"/>
        <v>2009-08 (август 2009)</v>
      </c>
      <c r="E6812" s="9" t="s">
        <v>21</v>
      </c>
      <c r="F6812" s="7">
        <v>3</v>
      </c>
      <c r="G6812" s="7">
        <v>56.07</v>
      </c>
      <c r="H6812" s="7">
        <v>0</v>
      </c>
      <c r="I6812" s="9" t="s">
        <v>22</v>
      </c>
      <c r="J6812" s="10">
        <v>10.49</v>
      </c>
      <c r="K6812" s="11">
        <v>12.99</v>
      </c>
      <c r="L6812" s="11">
        <v>14.37</v>
      </c>
      <c r="M6812" s="9" t="s">
        <v>1533</v>
      </c>
      <c r="N6812" s="6" t="s">
        <v>2012</v>
      </c>
      <c r="O6812" s="6" t="s">
        <v>2012</v>
      </c>
      <c r="P6812" s="9" t="s">
        <v>41</v>
      </c>
      <c r="Q6812" s="9" t="s">
        <v>49</v>
      </c>
      <c r="R6812" s="9" t="s">
        <v>50</v>
      </c>
      <c r="S6812" s="7" t="s">
        <v>1129</v>
      </c>
      <c r="T6812" s="9" t="s">
        <v>29</v>
      </c>
      <c r="U6812" s="7">
        <v>0.73</v>
      </c>
      <c r="V6812" s="12">
        <f>C6812+0</f>
        <v>40054</v>
      </c>
      <c r="W6812">
        <f>IF(D6812=' Pivot Tables'!$A$4,1,0)</f>
        <v>0</v>
      </c>
      <c r="X6812">
        <f>IF(AND(LEFT(D6812,4)+1=LEFT(' Pivot Tables'!$A$4,4)+0,RIGHT(LEFT(D6812,7),2)=RIGHT(LEFT(' Pivot Tables'!$A$4,7),2)),1,0)</f>
        <v>0</v>
      </c>
      <c r="Y6812" s="6">
        <f>1/COUNTIF(Таблица1[Order ID],Таблица1[[#This Row],[Order ID]])</f>
        <v>0.5</v>
      </c>
      <c r="Z6812" s="9">
        <f>1/COUNTIFS(Таблица1[Customer Name],Таблица1[[#This Row],[Customer Name]],Таблица1[Order-Year-Month],Таблица1[[#This Row],[Order-Year-Month]])</f>
        <v>0.33333333333333331</v>
      </c>
    </row>
    <row r="6813" spans="1:26" x14ac:dyDescent="0.2">
      <c r="A6813" s="6">
        <v>2549</v>
      </c>
      <c r="B6813" s="7">
        <v>18466</v>
      </c>
      <c r="C6813" s="8">
        <f>DATE(2012,12,31)-224</f>
        <v>41050</v>
      </c>
      <c r="D6813" s="8" t="str">
        <f t="shared" si="126"/>
        <v>2012-05 (май 2012)</v>
      </c>
      <c r="E6813" s="9" t="s">
        <v>21</v>
      </c>
      <c r="F6813" s="7">
        <v>25</v>
      </c>
      <c r="G6813" s="7">
        <v>270.16000000000003</v>
      </c>
      <c r="H6813" s="7">
        <v>0.09</v>
      </c>
      <c r="I6813" s="9" t="s">
        <v>22</v>
      </c>
      <c r="J6813" s="10">
        <v>16.920000000000002</v>
      </c>
      <c r="K6813" s="11">
        <v>11.09</v>
      </c>
      <c r="L6813" s="11">
        <v>5.25</v>
      </c>
      <c r="M6813" s="9" t="s">
        <v>1533</v>
      </c>
      <c r="N6813" s="6" t="s">
        <v>2012</v>
      </c>
      <c r="O6813" s="6" t="s">
        <v>2012</v>
      </c>
      <c r="P6813" s="9" t="s">
        <v>41</v>
      </c>
      <c r="Q6813" s="9" t="s">
        <v>26</v>
      </c>
      <c r="R6813" s="9" t="s">
        <v>76</v>
      </c>
      <c r="S6813" s="7" t="s">
        <v>791</v>
      </c>
      <c r="T6813" s="9" t="s">
        <v>39</v>
      </c>
      <c r="U6813" s="7">
        <v>0.36</v>
      </c>
      <c r="V6813" s="12">
        <f>C6813+9</f>
        <v>41059</v>
      </c>
      <c r="W6813">
        <f>IF(D6813=' Pivot Tables'!$A$4,1,0)</f>
        <v>0</v>
      </c>
      <c r="X6813">
        <f>IF(AND(LEFT(D6813,4)+1=LEFT(' Pivot Tables'!$A$4,4)+0,RIGHT(LEFT(D6813,7),2)=RIGHT(LEFT(' Pivot Tables'!$A$4,7),2)),1,0)</f>
        <v>0</v>
      </c>
      <c r="Y6813" s="6">
        <f>1/COUNTIF(Таблица1[Order ID],Таблица1[[#This Row],[Order ID]])</f>
        <v>0.5</v>
      </c>
      <c r="Z6813" s="9">
        <f>1/COUNTIFS(Таблица1[Customer Name],Таблица1[[#This Row],[Customer Name]],Таблица1[Order-Year-Month],Таблица1[[#This Row],[Order-Year-Month]])</f>
        <v>0.5</v>
      </c>
    </row>
    <row r="6814" spans="1:26" x14ac:dyDescent="0.2">
      <c r="A6814" s="6">
        <v>2550</v>
      </c>
      <c r="B6814" s="7">
        <v>18466</v>
      </c>
      <c r="C6814" s="8">
        <f>DATE(2012,12,31)-224</f>
        <v>41050</v>
      </c>
      <c r="D6814" s="8" t="str">
        <f t="shared" si="126"/>
        <v>2012-05 (май 2012)</v>
      </c>
      <c r="E6814" s="9" t="s">
        <v>21</v>
      </c>
      <c r="F6814" s="7">
        <v>24</v>
      </c>
      <c r="G6814" s="7">
        <v>2694.01</v>
      </c>
      <c r="H6814" s="7">
        <v>0.08</v>
      </c>
      <c r="I6814" s="9" t="s">
        <v>56</v>
      </c>
      <c r="J6814" s="10">
        <v>994.31</v>
      </c>
      <c r="K6814" s="11">
        <v>120.97</v>
      </c>
      <c r="L6814" s="11">
        <v>7.11</v>
      </c>
      <c r="M6814" s="9" t="s">
        <v>1533</v>
      </c>
      <c r="N6814" s="6" t="s">
        <v>2012</v>
      </c>
      <c r="O6814" s="6" t="s">
        <v>2012</v>
      </c>
      <c r="P6814" s="9" t="s">
        <v>41</v>
      </c>
      <c r="Q6814" s="9" t="s">
        <v>42</v>
      </c>
      <c r="R6814" s="9" t="s">
        <v>210</v>
      </c>
      <c r="S6814" s="7" t="s">
        <v>211</v>
      </c>
      <c r="T6814" s="9" t="s">
        <v>48</v>
      </c>
      <c r="U6814" s="7">
        <v>0.36</v>
      </c>
      <c r="V6814" s="12">
        <f>C6814+0</f>
        <v>41050</v>
      </c>
      <c r="W6814">
        <f>IF(D6814=' Pivot Tables'!$A$4,1,0)</f>
        <v>0</v>
      </c>
      <c r="X6814">
        <f>IF(AND(LEFT(D6814,4)+1=LEFT(' Pivot Tables'!$A$4,4)+0,RIGHT(LEFT(D6814,7),2)=RIGHT(LEFT(' Pivot Tables'!$A$4,7),2)),1,0)</f>
        <v>0</v>
      </c>
      <c r="Y6814" s="6">
        <f>1/COUNTIF(Таблица1[Order ID],Таблица1[[#This Row],[Order ID]])</f>
        <v>0.5</v>
      </c>
      <c r="Z6814" s="9">
        <f>1/COUNTIFS(Таблица1[Customer Name],Таблица1[[#This Row],[Customer Name]],Таблица1[Order-Year-Month],Таблица1[[#This Row],[Order-Year-Month]])</f>
        <v>0.5</v>
      </c>
    </row>
    <row r="6815" spans="1:26" x14ac:dyDescent="0.2">
      <c r="A6815" s="6">
        <v>2563</v>
      </c>
      <c r="B6815" s="7">
        <v>18530</v>
      </c>
      <c r="C6815" s="8">
        <f>DATE(2012,12,31)-731</f>
        <v>40543</v>
      </c>
      <c r="D6815" s="8" t="str">
        <f t="shared" si="126"/>
        <v>2010-12 (декабрь 2010)</v>
      </c>
      <c r="E6815" s="9" t="s">
        <v>45</v>
      </c>
      <c r="F6815" s="7">
        <v>2</v>
      </c>
      <c r="G6815" s="7">
        <v>56.13</v>
      </c>
      <c r="H6815" s="7">
        <v>0.02</v>
      </c>
      <c r="I6815" s="9" t="s">
        <v>22</v>
      </c>
      <c r="J6815" s="10">
        <v>48.85</v>
      </c>
      <c r="K6815" s="11">
        <v>20.28</v>
      </c>
      <c r="L6815" s="11">
        <v>14.39</v>
      </c>
      <c r="M6815" s="9" t="s">
        <v>1635</v>
      </c>
      <c r="N6815" s="6" t="s">
        <v>2012</v>
      </c>
      <c r="O6815" s="6" t="s">
        <v>2012</v>
      </c>
      <c r="P6815" s="9" t="s">
        <v>41</v>
      </c>
      <c r="Q6815" s="9" t="s">
        <v>49</v>
      </c>
      <c r="R6815" s="9" t="s">
        <v>50</v>
      </c>
      <c r="S6815" s="7" t="s">
        <v>894</v>
      </c>
      <c r="T6815" s="9" t="s">
        <v>39</v>
      </c>
      <c r="U6815" s="7">
        <v>0.47</v>
      </c>
      <c r="V6815" s="12">
        <f>C6815+0</f>
        <v>40543</v>
      </c>
      <c r="W6815">
        <f>IF(D6815=' Pivot Tables'!$A$4,1,0)</f>
        <v>0</v>
      </c>
      <c r="X6815">
        <f>IF(AND(LEFT(D6815,4)+1=LEFT(' Pivot Tables'!$A$4,4)+0,RIGHT(LEFT(D6815,7),2)=RIGHT(LEFT(' Pivot Tables'!$A$4,7),2)),1,0)</f>
        <v>0</v>
      </c>
      <c r="Y6815" s="6">
        <f>1/COUNTIF(Таблица1[Order ID],Таблица1[[#This Row],[Order ID]])</f>
        <v>0.5</v>
      </c>
      <c r="Z6815" s="9">
        <f>1/COUNTIFS(Таблица1[Customer Name],Таблица1[[#This Row],[Customer Name]],Таблица1[Order-Year-Month],Таблица1[[#This Row],[Order-Year-Month]])</f>
        <v>0.5</v>
      </c>
    </row>
    <row r="6816" spans="1:26" x14ac:dyDescent="0.2">
      <c r="A6816" s="6">
        <v>2564</v>
      </c>
      <c r="B6816" s="7">
        <v>18530</v>
      </c>
      <c r="C6816" s="8">
        <f>DATE(2012,12,31)-731</f>
        <v>40543</v>
      </c>
      <c r="D6816" s="8" t="str">
        <f t="shared" si="126"/>
        <v>2010-12 (декабрь 2010)</v>
      </c>
      <c r="E6816" s="9" t="s">
        <v>45</v>
      </c>
      <c r="F6816" s="7">
        <v>25</v>
      </c>
      <c r="G6816" s="7">
        <v>1491.5205000000001</v>
      </c>
      <c r="H6816" s="7">
        <v>0</v>
      </c>
      <c r="I6816" s="9" t="s">
        <v>22</v>
      </c>
      <c r="J6816" s="10">
        <v>286.36200000000002</v>
      </c>
      <c r="K6816" s="11">
        <v>65.989999999999995</v>
      </c>
      <c r="L6816" s="11">
        <v>5.99</v>
      </c>
      <c r="M6816" s="9" t="s">
        <v>1635</v>
      </c>
      <c r="N6816" s="6" t="s">
        <v>2012</v>
      </c>
      <c r="O6816" s="6" t="s">
        <v>2012</v>
      </c>
      <c r="P6816" s="9" t="s">
        <v>41</v>
      </c>
      <c r="Q6816" s="9" t="s">
        <v>42</v>
      </c>
      <c r="R6816" s="9" t="s">
        <v>43</v>
      </c>
      <c r="S6816" s="7" t="s">
        <v>560</v>
      </c>
      <c r="T6816" s="9" t="s">
        <v>39</v>
      </c>
      <c r="U6816" s="7">
        <v>0.57999999999999996</v>
      </c>
      <c r="V6816" s="12">
        <f>C6816+2</f>
        <v>40545</v>
      </c>
      <c r="W6816">
        <f>IF(D6816=' Pivot Tables'!$A$4,1,0)</f>
        <v>0</v>
      </c>
      <c r="X6816">
        <f>IF(AND(LEFT(D6816,4)+1=LEFT(' Pivot Tables'!$A$4,4)+0,RIGHT(LEFT(D6816,7),2)=RIGHT(LEFT(' Pivot Tables'!$A$4,7),2)),1,0)</f>
        <v>0</v>
      </c>
      <c r="Y6816" s="6">
        <f>1/COUNTIF(Таблица1[Order ID],Таблица1[[#This Row],[Order ID]])</f>
        <v>0.5</v>
      </c>
      <c r="Z6816" s="9">
        <f>1/COUNTIFS(Таблица1[Customer Name],Таблица1[[#This Row],[Customer Name]],Таблица1[Order-Year-Month],Таблица1[[#This Row],[Order-Year-Month]])</f>
        <v>0.5</v>
      </c>
    </row>
    <row r="6817" spans="1:26" x14ac:dyDescent="0.2">
      <c r="A6817" s="6">
        <v>2602</v>
      </c>
      <c r="B6817" s="7">
        <v>18790</v>
      </c>
      <c r="C6817" s="8">
        <f>DATE(2012,12,31)-1419</f>
        <v>39855</v>
      </c>
      <c r="D6817" s="8" t="str">
        <f t="shared" si="126"/>
        <v>2009-02 (февраль 2009)</v>
      </c>
      <c r="E6817" s="9" t="s">
        <v>30</v>
      </c>
      <c r="F6817" s="7">
        <v>7</v>
      </c>
      <c r="G6817" s="7">
        <v>13253.93</v>
      </c>
      <c r="H6817" s="7">
        <v>0.01</v>
      </c>
      <c r="I6817" s="9" t="s">
        <v>31</v>
      </c>
      <c r="J6817" s="10">
        <v>-1596.7457999999999</v>
      </c>
      <c r="K6817" s="11">
        <v>2036.48</v>
      </c>
      <c r="L6817" s="11">
        <v>14.7</v>
      </c>
      <c r="M6817" s="9" t="s">
        <v>1511</v>
      </c>
      <c r="N6817" s="6" t="s">
        <v>2012</v>
      </c>
      <c r="O6817" s="6" t="s">
        <v>2012</v>
      </c>
      <c r="P6817" s="9" t="s">
        <v>33</v>
      </c>
      <c r="Q6817" s="9" t="s">
        <v>42</v>
      </c>
      <c r="R6817" s="9" t="s">
        <v>210</v>
      </c>
      <c r="S6817" s="7" t="s">
        <v>1996</v>
      </c>
      <c r="T6817" s="9" t="s">
        <v>36</v>
      </c>
      <c r="U6817" s="7">
        <v>0.55000000000000004</v>
      </c>
      <c r="V6817" s="12">
        <f>C6817+2</f>
        <v>39857</v>
      </c>
      <c r="W6817">
        <f>IF(D6817=' Pivot Tables'!$A$4,1,0)</f>
        <v>0</v>
      </c>
      <c r="X6817">
        <f>IF(AND(LEFT(D6817,4)+1=LEFT(' Pivot Tables'!$A$4,4)+0,RIGHT(LEFT(D6817,7),2)=RIGHT(LEFT(' Pivot Tables'!$A$4,7),2)),1,0)</f>
        <v>0</v>
      </c>
      <c r="Y6817" s="6">
        <f>1/COUNTIF(Таблица1[Order ID],Таблица1[[#This Row],[Order ID]])</f>
        <v>1</v>
      </c>
      <c r="Z6817" s="9">
        <f>1/COUNTIFS(Таблица1[Customer Name],Таблица1[[#This Row],[Customer Name]],Таблица1[Order-Year-Month],Таблица1[[#This Row],[Order-Year-Month]])</f>
        <v>0.5</v>
      </c>
    </row>
    <row r="6818" spans="1:26" x14ac:dyDescent="0.2">
      <c r="A6818" s="6">
        <v>2604</v>
      </c>
      <c r="B6818" s="7">
        <v>18819</v>
      </c>
      <c r="C6818" s="8">
        <f>DATE(2012,12,31)-1405</f>
        <v>39869</v>
      </c>
      <c r="D6818" s="8" t="str">
        <f t="shared" si="126"/>
        <v>2009-02 (февраль 2009)</v>
      </c>
      <c r="E6818" s="9" t="s">
        <v>21</v>
      </c>
      <c r="F6818" s="7">
        <v>22</v>
      </c>
      <c r="G6818" s="7">
        <v>1102.3</v>
      </c>
      <c r="H6818" s="7">
        <v>0.1</v>
      </c>
      <c r="I6818" s="9" t="s">
        <v>22</v>
      </c>
      <c r="J6818" s="10">
        <v>98.12</v>
      </c>
      <c r="K6818" s="11">
        <v>50.98</v>
      </c>
      <c r="L6818" s="11">
        <v>22.24</v>
      </c>
      <c r="M6818" s="9" t="s">
        <v>1475</v>
      </c>
      <c r="N6818" s="6" t="s">
        <v>2012</v>
      </c>
      <c r="O6818" s="6" t="s">
        <v>2012</v>
      </c>
      <c r="P6818" s="9" t="s">
        <v>41</v>
      </c>
      <c r="Q6818" s="9" t="s">
        <v>49</v>
      </c>
      <c r="R6818" s="9" t="s">
        <v>50</v>
      </c>
      <c r="S6818" s="7" t="s">
        <v>1292</v>
      </c>
      <c r="T6818" s="9" t="s">
        <v>29</v>
      </c>
      <c r="U6818" s="7">
        <v>0.55000000000000004</v>
      </c>
      <c r="V6818" s="12">
        <f>C6818+2</f>
        <v>39871</v>
      </c>
      <c r="W6818">
        <f>IF(D6818=' Pivot Tables'!$A$4,1,0)</f>
        <v>0</v>
      </c>
      <c r="X6818">
        <f>IF(AND(LEFT(D6818,4)+1=LEFT(' Pivot Tables'!$A$4,4)+0,RIGHT(LEFT(D6818,7),2)=RIGHT(LEFT(' Pivot Tables'!$A$4,7),2)),1,0)</f>
        <v>0</v>
      </c>
      <c r="Y6818" s="6">
        <f>1/COUNTIF(Таблица1[Order ID],Таблица1[[#This Row],[Order ID]])</f>
        <v>1</v>
      </c>
      <c r="Z6818" s="9">
        <f>1/COUNTIFS(Таблица1[Customer Name],Таблица1[[#This Row],[Customer Name]],Таблица1[Order-Year-Month],Таблица1[[#This Row],[Order-Year-Month]])</f>
        <v>1</v>
      </c>
    </row>
    <row r="6819" spans="1:26" x14ac:dyDescent="0.2">
      <c r="A6819" s="6">
        <v>2607</v>
      </c>
      <c r="B6819" s="7">
        <v>18849</v>
      </c>
      <c r="C6819" s="8">
        <f>DATE(2012,12,31)-148</f>
        <v>41126</v>
      </c>
      <c r="D6819" s="8" t="str">
        <f t="shared" si="126"/>
        <v>2012-08 (август 2012)</v>
      </c>
      <c r="E6819" s="9" t="s">
        <v>30</v>
      </c>
      <c r="F6819" s="7">
        <v>43</v>
      </c>
      <c r="G6819" s="7">
        <v>471.87</v>
      </c>
      <c r="H6819" s="7">
        <v>0.05</v>
      </c>
      <c r="I6819" s="9" t="s">
        <v>22</v>
      </c>
      <c r="J6819" s="10">
        <v>52.27</v>
      </c>
      <c r="K6819" s="11">
        <v>11.09</v>
      </c>
      <c r="L6819" s="11">
        <v>5.25</v>
      </c>
      <c r="M6819" s="9" t="s">
        <v>1533</v>
      </c>
      <c r="N6819" s="6" t="s">
        <v>2012</v>
      </c>
      <c r="O6819" s="6" t="s">
        <v>2012</v>
      </c>
      <c r="P6819" s="9" t="s">
        <v>41</v>
      </c>
      <c r="Q6819" s="9" t="s">
        <v>26</v>
      </c>
      <c r="R6819" s="9" t="s">
        <v>76</v>
      </c>
      <c r="S6819" s="7" t="s">
        <v>791</v>
      </c>
      <c r="T6819" s="9" t="s">
        <v>39</v>
      </c>
      <c r="U6819" s="7">
        <v>0.36</v>
      </c>
      <c r="V6819" s="12">
        <f>C6819+0</f>
        <v>41126</v>
      </c>
      <c r="W6819">
        <f>IF(D6819=' Pivot Tables'!$A$4,1,0)</f>
        <v>0</v>
      </c>
      <c r="X6819">
        <f>IF(AND(LEFT(D6819,4)+1=LEFT(' Pivot Tables'!$A$4,4)+0,RIGHT(LEFT(D6819,7),2)=RIGHT(LEFT(' Pivot Tables'!$A$4,7),2)),1,0)</f>
        <v>0</v>
      </c>
      <c r="Y6819" s="6">
        <f>1/COUNTIF(Таблица1[Order ID],Таблица1[[#This Row],[Order ID]])</f>
        <v>0.33333333333333331</v>
      </c>
      <c r="Z6819" s="9">
        <f>1/COUNTIFS(Таблица1[Customer Name],Таблица1[[#This Row],[Customer Name]],Таблица1[Order-Year-Month],Таблица1[[#This Row],[Order-Year-Month]])</f>
        <v>0.33333333333333331</v>
      </c>
    </row>
    <row r="6820" spans="1:26" x14ac:dyDescent="0.2">
      <c r="A6820" s="6">
        <v>2608</v>
      </c>
      <c r="B6820" s="7">
        <v>18849</v>
      </c>
      <c r="C6820" s="8">
        <f>DATE(2012,12,31)-148</f>
        <v>41126</v>
      </c>
      <c r="D6820" s="8" t="str">
        <f t="shared" si="126"/>
        <v>2012-08 (август 2012)</v>
      </c>
      <c r="E6820" s="9" t="s">
        <v>30</v>
      </c>
      <c r="F6820" s="7">
        <v>39</v>
      </c>
      <c r="G6820" s="7">
        <v>539.6</v>
      </c>
      <c r="H6820" s="7">
        <v>0.06</v>
      </c>
      <c r="I6820" s="9" t="s">
        <v>22</v>
      </c>
      <c r="J6820" s="10">
        <v>-6.5</v>
      </c>
      <c r="K6820" s="11">
        <v>13.79</v>
      </c>
      <c r="L6820" s="11">
        <v>8.7799999999999994</v>
      </c>
      <c r="M6820" s="9" t="s">
        <v>1533</v>
      </c>
      <c r="N6820" s="6" t="s">
        <v>2012</v>
      </c>
      <c r="O6820" s="6" t="s">
        <v>2012</v>
      </c>
      <c r="P6820" s="9" t="s">
        <v>41</v>
      </c>
      <c r="Q6820" s="9" t="s">
        <v>49</v>
      </c>
      <c r="R6820" s="9" t="s">
        <v>50</v>
      </c>
      <c r="S6820" s="7" t="s">
        <v>641</v>
      </c>
      <c r="T6820" s="9" t="s">
        <v>39</v>
      </c>
      <c r="U6820" s="7">
        <v>0.43</v>
      </c>
      <c r="V6820" s="12">
        <f>C6820+2</f>
        <v>41128</v>
      </c>
      <c r="W6820">
        <f>IF(D6820=' Pivot Tables'!$A$4,1,0)</f>
        <v>0</v>
      </c>
      <c r="X6820">
        <f>IF(AND(LEFT(D6820,4)+1=LEFT(' Pivot Tables'!$A$4,4)+0,RIGHT(LEFT(D6820,7),2)=RIGHT(LEFT(' Pivot Tables'!$A$4,7),2)),1,0)</f>
        <v>0</v>
      </c>
      <c r="Y6820" s="6">
        <f>1/COUNTIF(Таблица1[Order ID],Таблица1[[#This Row],[Order ID]])</f>
        <v>0.33333333333333331</v>
      </c>
      <c r="Z6820" s="9">
        <f>1/COUNTIFS(Таблица1[Customer Name],Таблица1[[#This Row],[Customer Name]],Таблица1[Order-Year-Month],Таблица1[[#This Row],[Order-Year-Month]])</f>
        <v>0.33333333333333331</v>
      </c>
    </row>
    <row r="6821" spans="1:26" x14ac:dyDescent="0.2">
      <c r="A6821" s="6">
        <v>2612</v>
      </c>
      <c r="B6821" s="7">
        <v>18855</v>
      </c>
      <c r="C6821" s="8">
        <f>DATE(2012,12,31)-1203</f>
        <v>40071</v>
      </c>
      <c r="D6821" s="8" t="str">
        <f t="shared" si="126"/>
        <v>2009-09 (сентябрь 2009)</v>
      </c>
      <c r="E6821" s="9" t="s">
        <v>30</v>
      </c>
      <c r="F6821" s="7">
        <v>31</v>
      </c>
      <c r="G6821" s="7">
        <v>229.43</v>
      </c>
      <c r="H6821" s="7">
        <v>0.03</v>
      </c>
      <c r="I6821" s="9" t="s">
        <v>22</v>
      </c>
      <c r="J6821" s="10">
        <v>-127.05200000000001</v>
      </c>
      <c r="K6821" s="11">
        <v>7.3</v>
      </c>
      <c r="L6821" s="11">
        <v>7.72</v>
      </c>
      <c r="M6821" s="9" t="s">
        <v>1455</v>
      </c>
      <c r="N6821" s="6" t="s">
        <v>2012</v>
      </c>
      <c r="O6821" s="6" t="s">
        <v>2012</v>
      </c>
      <c r="P6821" s="9" t="s">
        <v>25</v>
      </c>
      <c r="Q6821" s="9" t="s">
        <v>26</v>
      </c>
      <c r="R6821" s="9" t="s">
        <v>37</v>
      </c>
      <c r="S6821" s="7" t="s">
        <v>54</v>
      </c>
      <c r="T6821" s="9" t="s">
        <v>39</v>
      </c>
      <c r="U6821" s="7">
        <v>0.38</v>
      </c>
      <c r="V6821" s="12">
        <f>C6821+3</f>
        <v>40074</v>
      </c>
      <c r="W6821">
        <f>IF(D6821=' Pivot Tables'!$A$4,1,0)</f>
        <v>0</v>
      </c>
      <c r="X6821">
        <f>IF(AND(LEFT(D6821,4)+1=LEFT(' Pivot Tables'!$A$4,4)+0,RIGHT(LEFT(D6821,7),2)=RIGHT(LEFT(' Pivot Tables'!$A$4,7),2)),1,0)</f>
        <v>0</v>
      </c>
      <c r="Y6821" s="6">
        <f>1/COUNTIF(Таблица1[Order ID],Таблица1[[#This Row],[Order ID]])</f>
        <v>1</v>
      </c>
      <c r="Z6821" s="9">
        <f>1/COUNTIFS(Таблица1[Customer Name],Таблица1[[#This Row],[Customer Name]],Таблица1[Order-Year-Month],Таблица1[[#This Row],[Order-Year-Month]])</f>
        <v>1</v>
      </c>
    </row>
    <row r="6822" spans="1:26" x14ac:dyDescent="0.2">
      <c r="A6822" s="6">
        <v>2625</v>
      </c>
      <c r="B6822" s="7">
        <v>19040</v>
      </c>
      <c r="C6822" s="8">
        <f>DATE(2012,12,31)-378</f>
        <v>40896</v>
      </c>
      <c r="D6822" s="8" t="str">
        <f t="shared" si="126"/>
        <v>2011-12 (декабрь 2011)</v>
      </c>
      <c r="E6822" s="9" t="s">
        <v>30</v>
      </c>
      <c r="F6822" s="7">
        <v>10</v>
      </c>
      <c r="G6822" s="7">
        <v>211.97</v>
      </c>
      <c r="H6822" s="7">
        <v>0.06</v>
      </c>
      <c r="I6822" s="9" t="s">
        <v>22</v>
      </c>
      <c r="J6822" s="10">
        <v>-46.83</v>
      </c>
      <c r="K6822" s="11">
        <v>21.38</v>
      </c>
      <c r="L6822" s="11">
        <v>8.99</v>
      </c>
      <c r="M6822" s="9" t="s">
        <v>2027</v>
      </c>
      <c r="N6822" s="6" t="s">
        <v>2012</v>
      </c>
      <c r="O6822" s="6" t="s">
        <v>2012</v>
      </c>
      <c r="P6822" s="9" t="s">
        <v>41</v>
      </c>
      <c r="Q6822" s="9" t="s">
        <v>26</v>
      </c>
      <c r="R6822" s="9" t="s">
        <v>95</v>
      </c>
      <c r="S6822" s="7" t="s">
        <v>436</v>
      </c>
      <c r="T6822" s="9" t="s">
        <v>52</v>
      </c>
      <c r="U6822" s="7">
        <v>0.59</v>
      </c>
      <c r="V6822" s="12">
        <f>C6822+1</f>
        <v>40897</v>
      </c>
      <c r="W6822">
        <f>IF(D6822=' Pivot Tables'!$A$4,1,0)</f>
        <v>0</v>
      </c>
      <c r="X6822">
        <f>IF(AND(LEFT(D6822,4)+1=LEFT(' Pivot Tables'!$A$4,4)+0,RIGHT(LEFT(D6822,7),2)=RIGHT(LEFT(' Pivot Tables'!$A$4,7),2)),1,0)</f>
        <v>0</v>
      </c>
      <c r="Y6822" s="6">
        <f>1/COUNTIF(Таблица1[Order ID],Таблица1[[#This Row],[Order ID]])</f>
        <v>1</v>
      </c>
      <c r="Z6822" s="9">
        <f>1/COUNTIFS(Таблица1[Customer Name],Таблица1[[#This Row],[Customer Name]],Таблица1[Order-Year-Month],Таблица1[[#This Row],[Order-Year-Month]])</f>
        <v>1</v>
      </c>
    </row>
    <row r="6823" spans="1:26" x14ac:dyDescent="0.2">
      <c r="A6823" s="6">
        <v>2626</v>
      </c>
      <c r="B6823" s="7">
        <v>19041</v>
      </c>
      <c r="C6823" s="8">
        <f>DATE(2012,12,31)-524</f>
        <v>40750</v>
      </c>
      <c r="D6823" s="8" t="str">
        <f t="shared" si="126"/>
        <v>2011-07 (июль 2011)</v>
      </c>
      <c r="E6823" s="9" t="s">
        <v>21</v>
      </c>
      <c r="F6823" s="7">
        <v>3</v>
      </c>
      <c r="G6823" s="7">
        <v>36.06</v>
      </c>
      <c r="H6823" s="7">
        <v>0.08</v>
      </c>
      <c r="I6823" s="9" t="s">
        <v>22</v>
      </c>
      <c r="J6823" s="10">
        <v>-18.5</v>
      </c>
      <c r="K6823" s="11">
        <v>10.89</v>
      </c>
      <c r="L6823" s="11">
        <v>4.5</v>
      </c>
      <c r="M6823" s="9" t="s">
        <v>1635</v>
      </c>
      <c r="N6823" s="6" t="s">
        <v>2012</v>
      </c>
      <c r="O6823" s="6" t="s">
        <v>2012</v>
      </c>
      <c r="P6823" s="9" t="s">
        <v>41</v>
      </c>
      <c r="Q6823" s="9" t="s">
        <v>26</v>
      </c>
      <c r="R6823" s="9" t="s">
        <v>34</v>
      </c>
      <c r="S6823" s="7" t="s">
        <v>345</v>
      </c>
      <c r="T6823" s="9" t="s">
        <v>39</v>
      </c>
      <c r="U6823" s="7">
        <v>0.59</v>
      </c>
      <c r="V6823" s="12">
        <f>C6823+4</f>
        <v>40754</v>
      </c>
      <c r="W6823">
        <f>IF(D6823=' Pivot Tables'!$A$4,1,0)</f>
        <v>0</v>
      </c>
      <c r="X6823">
        <f>IF(AND(LEFT(D6823,4)+1=LEFT(' Pivot Tables'!$A$4,4)+0,RIGHT(LEFT(D6823,7),2)=RIGHT(LEFT(' Pivot Tables'!$A$4,7),2)),1,0)</f>
        <v>0</v>
      </c>
      <c r="Y6823" s="6">
        <f>1/COUNTIF(Таблица1[Order ID],Таблица1[[#This Row],[Order ID]])</f>
        <v>0.5</v>
      </c>
      <c r="Z6823" s="9">
        <f>1/COUNTIFS(Таблица1[Customer Name],Таблица1[[#This Row],[Customer Name]],Таблица1[Order-Year-Month],Таблица1[[#This Row],[Order-Year-Month]])</f>
        <v>0.5</v>
      </c>
    </row>
    <row r="6824" spans="1:26" x14ac:dyDescent="0.2">
      <c r="A6824" s="6">
        <v>2627</v>
      </c>
      <c r="B6824" s="7">
        <v>19041</v>
      </c>
      <c r="C6824" s="8">
        <f>DATE(2012,12,31)-524</f>
        <v>40750</v>
      </c>
      <c r="D6824" s="8" t="str">
        <f t="shared" si="126"/>
        <v>2011-07 (июль 2011)</v>
      </c>
      <c r="E6824" s="9" t="s">
        <v>21</v>
      </c>
      <c r="F6824" s="7">
        <v>43</v>
      </c>
      <c r="G6824" s="7">
        <v>1849.8</v>
      </c>
      <c r="H6824" s="7">
        <v>0.04</v>
      </c>
      <c r="I6824" s="9" t="s">
        <v>22</v>
      </c>
      <c r="J6824" s="10">
        <v>530.22</v>
      </c>
      <c r="K6824" s="11">
        <v>42.98</v>
      </c>
      <c r="L6824" s="11">
        <v>4.62</v>
      </c>
      <c r="M6824" s="9" t="s">
        <v>1635</v>
      </c>
      <c r="N6824" s="6" t="s">
        <v>2012</v>
      </c>
      <c r="O6824" s="6" t="s">
        <v>2012</v>
      </c>
      <c r="P6824" s="9" t="s">
        <v>41</v>
      </c>
      <c r="Q6824" s="9" t="s">
        <v>26</v>
      </c>
      <c r="R6824" s="9" t="s">
        <v>34</v>
      </c>
      <c r="S6824" s="7" t="s">
        <v>852</v>
      </c>
      <c r="T6824" s="9" t="s">
        <v>39</v>
      </c>
      <c r="U6824" s="7">
        <v>0.56000000000000005</v>
      </c>
      <c r="V6824" s="12">
        <f>C6824+9</f>
        <v>40759</v>
      </c>
      <c r="W6824">
        <f>IF(D6824=' Pivot Tables'!$A$4,1,0)</f>
        <v>0</v>
      </c>
      <c r="X6824">
        <f>IF(AND(LEFT(D6824,4)+1=LEFT(' Pivot Tables'!$A$4,4)+0,RIGHT(LEFT(D6824,7),2)=RIGHT(LEFT(' Pivot Tables'!$A$4,7),2)),1,0)</f>
        <v>0</v>
      </c>
      <c r="Y6824" s="6">
        <f>1/COUNTIF(Таблица1[Order ID],Таблица1[[#This Row],[Order ID]])</f>
        <v>0.5</v>
      </c>
      <c r="Z6824" s="9">
        <f>1/COUNTIFS(Таблица1[Customer Name],Таблица1[[#This Row],[Customer Name]],Таблица1[Order-Year-Month],Таблица1[[#This Row],[Order-Year-Month]])</f>
        <v>0.5</v>
      </c>
    </row>
    <row r="6825" spans="1:26" x14ac:dyDescent="0.2">
      <c r="A6825" s="6">
        <v>2631</v>
      </c>
      <c r="B6825" s="7">
        <v>19047</v>
      </c>
      <c r="C6825" s="8">
        <f>DATE(2012,12,31)-1433</f>
        <v>39841</v>
      </c>
      <c r="D6825" s="8" t="str">
        <f t="shared" si="126"/>
        <v>2009-01 (январь 2009)</v>
      </c>
      <c r="E6825" s="9" t="s">
        <v>30</v>
      </c>
      <c r="F6825" s="7">
        <v>1</v>
      </c>
      <c r="G6825" s="7">
        <v>67.489999999999995</v>
      </c>
      <c r="H6825" s="7">
        <v>0.06</v>
      </c>
      <c r="I6825" s="9" t="s">
        <v>22</v>
      </c>
      <c r="J6825" s="10">
        <v>-22.82</v>
      </c>
      <c r="K6825" s="11">
        <v>55.48</v>
      </c>
      <c r="L6825" s="11">
        <v>14.3</v>
      </c>
      <c r="M6825" s="9" t="s">
        <v>2027</v>
      </c>
      <c r="N6825" s="6" t="s">
        <v>2012</v>
      </c>
      <c r="O6825" s="6" t="s">
        <v>2012</v>
      </c>
      <c r="P6825" s="9" t="s">
        <v>41</v>
      </c>
      <c r="Q6825" s="9" t="s">
        <v>26</v>
      </c>
      <c r="R6825" s="9" t="s">
        <v>61</v>
      </c>
      <c r="S6825" s="7" t="s">
        <v>507</v>
      </c>
      <c r="T6825" s="9" t="s">
        <v>39</v>
      </c>
      <c r="U6825" s="7">
        <v>0.37</v>
      </c>
      <c r="V6825" s="12">
        <f>C6825+1</f>
        <v>39842</v>
      </c>
      <c r="W6825">
        <f>IF(D6825=' Pivot Tables'!$A$4,1,0)</f>
        <v>0</v>
      </c>
      <c r="X6825">
        <f>IF(AND(LEFT(D6825,4)+1=LEFT(' Pivot Tables'!$A$4,4)+0,RIGHT(LEFT(D6825,7),2)=RIGHT(LEFT(' Pivot Tables'!$A$4,7),2)),1,0)</f>
        <v>1</v>
      </c>
      <c r="Y6825" s="6">
        <f>1/COUNTIF(Таблица1[Order ID],Таблица1[[#This Row],[Order ID]])</f>
        <v>0.5</v>
      </c>
      <c r="Z6825" s="9">
        <f>1/COUNTIFS(Таблица1[Customer Name],Таблица1[[#This Row],[Customer Name]],Таблица1[Order-Year-Month],Таблица1[[#This Row],[Order-Year-Month]])</f>
        <v>0.5</v>
      </c>
    </row>
    <row r="6826" spans="1:26" x14ac:dyDescent="0.2">
      <c r="A6826" s="6">
        <v>2632</v>
      </c>
      <c r="B6826" s="7">
        <v>19047</v>
      </c>
      <c r="C6826" s="8">
        <f>DATE(2012,12,31)-1433</f>
        <v>39841</v>
      </c>
      <c r="D6826" s="8" t="str">
        <f t="shared" si="126"/>
        <v>2009-01 (январь 2009)</v>
      </c>
      <c r="E6826" s="9" t="s">
        <v>30</v>
      </c>
      <c r="F6826" s="7">
        <v>3</v>
      </c>
      <c r="G6826" s="7">
        <v>6.76</v>
      </c>
      <c r="H6826" s="7">
        <v>0.02</v>
      </c>
      <c r="I6826" s="9" t="s">
        <v>22</v>
      </c>
      <c r="J6826" s="10">
        <v>-4.28</v>
      </c>
      <c r="K6826" s="11">
        <v>1.68</v>
      </c>
      <c r="L6826" s="11">
        <v>1.57</v>
      </c>
      <c r="M6826" s="9" t="s">
        <v>2027</v>
      </c>
      <c r="N6826" s="6" t="s">
        <v>2012</v>
      </c>
      <c r="O6826" s="6" t="s">
        <v>2012</v>
      </c>
      <c r="P6826" s="9" t="s">
        <v>41</v>
      </c>
      <c r="Q6826" s="9" t="s">
        <v>26</v>
      </c>
      <c r="R6826" s="9" t="s">
        <v>95</v>
      </c>
      <c r="S6826" s="7" t="s">
        <v>220</v>
      </c>
      <c r="T6826" s="9" t="s">
        <v>68</v>
      </c>
      <c r="U6826" s="7">
        <v>0.59</v>
      </c>
      <c r="V6826" s="12">
        <f>C6826+2</f>
        <v>39843</v>
      </c>
      <c r="W6826">
        <f>IF(D6826=' Pivot Tables'!$A$4,1,0)</f>
        <v>0</v>
      </c>
      <c r="X6826">
        <f>IF(AND(LEFT(D6826,4)+1=LEFT(' Pivot Tables'!$A$4,4)+0,RIGHT(LEFT(D6826,7),2)=RIGHT(LEFT(' Pivot Tables'!$A$4,7),2)),1,0)</f>
        <v>1</v>
      </c>
      <c r="Y6826" s="6">
        <f>1/COUNTIF(Таблица1[Order ID],Таблица1[[#This Row],[Order ID]])</f>
        <v>0.5</v>
      </c>
      <c r="Z6826" s="9">
        <f>1/COUNTIFS(Таблица1[Customer Name],Таблица1[[#This Row],[Customer Name]],Таблица1[Order-Year-Month],Таблица1[[#This Row],[Order-Year-Month]])</f>
        <v>0.5</v>
      </c>
    </row>
    <row r="6827" spans="1:26" x14ac:dyDescent="0.2">
      <c r="A6827" s="6">
        <v>2647</v>
      </c>
      <c r="B6827" s="7">
        <v>19143</v>
      </c>
      <c r="C6827" s="8">
        <f>DATE(2012,12,31)-57</f>
        <v>41217</v>
      </c>
      <c r="D6827" s="8" t="str">
        <f t="shared" si="126"/>
        <v>2012-11 (ноябрь 2012)</v>
      </c>
      <c r="E6827" s="9" t="s">
        <v>30</v>
      </c>
      <c r="F6827" s="7">
        <v>3</v>
      </c>
      <c r="G6827" s="7">
        <v>2421.02</v>
      </c>
      <c r="H6827" s="7">
        <v>7.0000000000000007E-2</v>
      </c>
      <c r="I6827" s="9" t="s">
        <v>31</v>
      </c>
      <c r="J6827" s="10">
        <v>-1943.1711000000003</v>
      </c>
      <c r="K6827" s="11">
        <v>810.98</v>
      </c>
      <c r="L6827" s="11">
        <v>16.059999999999999</v>
      </c>
      <c r="M6827" s="9" t="s">
        <v>1841</v>
      </c>
      <c r="N6827" s="6" t="s">
        <v>2012</v>
      </c>
      <c r="O6827" s="6" t="s">
        <v>2012</v>
      </c>
      <c r="P6827" s="9" t="s">
        <v>60</v>
      </c>
      <c r="Q6827" s="9" t="s">
        <v>42</v>
      </c>
      <c r="R6827" s="9" t="s">
        <v>210</v>
      </c>
      <c r="S6827" s="7" t="s">
        <v>1315</v>
      </c>
      <c r="T6827" s="9" t="s">
        <v>36</v>
      </c>
      <c r="U6827" s="7">
        <v>0.56000000000000005</v>
      </c>
      <c r="V6827" s="12">
        <f>C6827+1</f>
        <v>41218</v>
      </c>
      <c r="W6827">
        <f>IF(D6827=' Pivot Tables'!$A$4,1,0)</f>
        <v>0</v>
      </c>
      <c r="X6827">
        <f>IF(AND(LEFT(D6827,4)+1=LEFT(' Pivot Tables'!$A$4,4)+0,RIGHT(LEFT(D6827,7),2)=RIGHT(LEFT(' Pivot Tables'!$A$4,7),2)),1,0)</f>
        <v>0</v>
      </c>
      <c r="Y6827" s="6">
        <f>1/COUNTIF(Таблица1[Order ID],Таблица1[[#This Row],[Order ID]])</f>
        <v>1</v>
      </c>
      <c r="Z6827" s="9">
        <f>1/COUNTIFS(Таблица1[Customer Name],Таблица1[[#This Row],[Customer Name]],Таблица1[Order-Year-Month],Таблица1[[#This Row],[Order-Year-Month]])</f>
        <v>1</v>
      </c>
    </row>
    <row r="6828" spans="1:26" x14ac:dyDescent="0.2">
      <c r="A6828" s="6">
        <v>2665</v>
      </c>
      <c r="B6828" s="7">
        <v>19264</v>
      </c>
      <c r="C6828" s="8">
        <f>DATE(2012,12,31)-459</f>
        <v>40815</v>
      </c>
      <c r="D6828" s="8" t="str">
        <f t="shared" si="126"/>
        <v>2011-09 (сентябрь 2011)</v>
      </c>
      <c r="E6828" s="9" t="s">
        <v>30</v>
      </c>
      <c r="F6828" s="7">
        <v>40</v>
      </c>
      <c r="G6828" s="7">
        <v>161.72</v>
      </c>
      <c r="H6828" s="7">
        <v>0.09</v>
      </c>
      <c r="I6828" s="9" t="s">
        <v>22</v>
      </c>
      <c r="J6828" s="10">
        <v>-134.71100000000001</v>
      </c>
      <c r="K6828" s="11">
        <v>3.98</v>
      </c>
      <c r="L6828" s="11">
        <v>5.26</v>
      </c>
      <c r="M6828" s="9" t="s">
        <v>1025</v>
      </c>
      <c r="N6828" s="6" t="s">
        <v>2012</v>
      </c>
      <c r="O6828" s="6" t="s">
        <v>2012</v>
      </c>
      <c r="P6828" s="9" t="s">
        <v>33</v>
      </c>
      <c r="Q6828" s="9" t="s">
        <v>26</v>
      </c>
      <c r="R6828" s="9" t="s">
        <v>37</v>
      </c>
      <c r="S6828" s="7" t="s">
        <v>1348</v>
      </c>
      <c r="T6828" s="9" t="s">
        <v>39</v>
      </c>
      <c r="U6828" s="7">
        <v>0.38</v>
      </c>
      <c r="V6828" s="12">
        <f>C6828+2</f>
        <v>40817</v>
      </c>
      <c r="W6828">
        <f>IF(D6828=' Pivot Tables'!$A$4,1,0)</f>
        <v>0</v>
      </c>
      <c r="X6828">
        <f>IF(AND(LEFT(D6828,4)+1=LEFT(' Pivot Tables'!$A$4,4)+0,RIGHT(LEFT(D6828,7),2)=RIGHT(LEFT(' Pivot Tables'!$A$4,7),2)),1,0)</f>
        <v>0</v>
      </c>
      <c r="Y6828" s="6">
        <f>1/COUNTIF(Таблица1[Order ID],Таблица1[[#This Row],[Order ID]])</f>
        <v>0.5</v>
      </c>
      <c r="Z6828" s="9">
        <f>1/COUNTIFS(Таблица1[Customer Name],Таблица1[[#This Row],[Customer Name]],Таблица1[Order-Year-Month],Таблица1[[#This Row],[Order-Year-Month]])</f>
        <v>0.25</v>
      </c>
    </row>
    <row r="6829" spans="1:26" x14ac:dyDescent="0.2">
      <c r="A6829" s="6">
        <v>2666</v>
      </c>
      <c r="B6829" s="7">
        <v>19264</v>
      </c>
      <c r="C6829" s="8">
        <f>DATE(2012,12,31)-459</f>
        <v>40815</v>
      </c>
      <c r="D6829" s="8" t="str">
        <f t="shared" si="126"/>
        <v>2011-09 (сентябрь 2011)</v>
      </c>
      <c r="E6829" s="9" t="s">
        <v>30</v>
      </c>
      <c r="F6829" s="7">
        <v>23</v>
      </c>
      <c r="G6829" s="7">
        <v>107.75</v>
      </c>
      <c r="H6829" s="7">
        <v>7.0000000000000007E-2</v>
      </c>
      <c r="I6829" s="9" t="s">
        <v>22</v>
      </c>
      <c r="J6829" s="10">
        <v>24.17</v>
      </c>
      <c r="K6829" s="11">
        <v>4.7300000000000004</v>
      </c>
      <c r="L6829" s="11">
        <v>1.52</v>
      </c>
      <c r="M6829" s="9" t="s">
        <v>1025</v>
      </c>
      <c r="N6829" s="6" t="s">
        <v>2012</v>
      </c>
      <c r="O6829" s="6" t="s">
        <v>2012</v>
      </c>
      <c r="P6829" s="9" t="s">
        <v>33</v>
      </c>
      <c r="Q6829" s="9" t="s">
        <v>26</v>
      </c>
      <c r="R6829" s="9" t="s">
        <v>61</v>
      </c>
      <c r="S6829" s="7" t="s">
        <v>1515</v>
      </c>
      <c r="T6829" s="9" t="s">
        <v>68</v>
      </c>
      <c r="U6829" s="7">
        <v>0.36</v>
      </c>
      <c r="V6829" s="12">
        <f>C6829+1</f>
        <v>40816</v>
      </c>
      <c r="W6829">
        <f>IF(D6829=' Pivot Tables'!$A$4,1,0)</f>
        <v>0</v>
      </c>
      <c r="X6829">
        <f>IF(AND(LEFT(D6829,4)+1=LEFT(' Pivot Tables'!$A$4,4)+0,RIGHT(LEFT(D6829,7),2)=RIGHT(LEFT(' Pivot Tables'!$A$4,7),2)),1,0)</f>
        <v>0</v>
      </c>
      <c r="Y6829" s="6">
        <f>1/COUNTIF(Таблица1[Order ID],Таблица1[[#This Row],[Order ID]])</f>
        <v>0.5</v>
      </c>
      <c r="Z6829" s="9">
        <f>1/COUNTIFS(Таблица1[Customer Name],Таблица1[[#This Row],[Customer Name]],Таблица1[Order-Year-Month],Таблица1[[#This Row],[Order-Year-Month]])</f>
        <v>0.25</v>
      </c>
    </row>
    <row r="6830" spans="1:26" x14ac:dyDescent="0.2">
      <c r="A6830" s="6">
        <v>2667</v>
      </c>
      <c r="B6830" s="7">
        <v>19296</v>
      </c>
      <c r="C6830" s="8">
        <f>DATE(2012,12,31)-996</f>
        <v>40278</v>
      </c>
      <c r="D6830" s="8" t="str">
        <f t="shared" si="126"/>
        <v>2010-04 (апрель 2010)</v>
      </c>
      <c r="E6830" s="9" t="s">
        <v>30</v>
      </c>
      <c r="F6830" s="7">
        <v>43</v>
      </c>
      <c r="G6830" s="7">
        <v>75.73</v>
      </c>
      <c r="H6830" s="7">
        <v>0.04</v>
      </c>
      <c r="I6830" s="9" t="s">
        <v>56</v>
      </c>
      <c r="J6830" s="10">
        <v>-37.76</v>
      </c>
      <c r="K6830" s="11">
        <v>1.68</v>
      </c>
      <c r="L6830" s="11">
        <v>1.57</v>
      </c>
      <c r="M6830" s="9" t="s">
        <v>1508</v>
      </c>
      <c r="N6830" s="6" t="s">
        <v>2012</v>
      </c>
      <c r="O6830" s="6" t="s">
        <v>2012</v>
      </c>
      <c r="P6830" s="9" t="s">
        <v>60</v>
      </c>
      <c r="Q6830" s="9" t="s">
        <v>26</v>
      </c>
      <c r="R6830" s="9" t="s">
        <v>95</v>
      </c>
      <c r="S6830" s="7" t="s">
        <v>220</v>
      </c>
      <c r="T6830" s="9" t="s">
        <v>68</v>
      </c>
      <c r="U6830" s="7">
        <v>0.59</v>
      </c>
      <c r="V6830" s="12">
        <f>C6830+2</f>
        <v>40280</v>
      </c>
      <c r="W6830">
        <f>IF(D6830=' Pivot Tables'!$A$4,1,0)</f>
        <v>0</v>
      </c>
      <c r="X6830">
        <f>IF(AND(LEFT(D6830,4)+1=LEFT(' Pivot Tables'!$A$4,4)+0,RIGHT(LEFT(D6830,7),2)=RIGHT(LEFT(' Pivot Tables'!$A$4,7),2)),1,0)</f>
        <v>0</v>
      </c>
      <c r="Y6830" s="6">
        <f>1/COUNTIF(Таблица1[Order ID],Таблица1[[#This Row],[Order ID]])</f>
        <v>1</v>
      </c>
      <c r="Z6830" s="9">
        <f>1/COUNTIFS(Таблица1[Customer Name],Таблица1[[#This Row],[Customer Name]],Таблица1[Order-Year-Month],Таблица1[[#This Row],[Order-Year-Month]])</f>
        <v>0.5</v>
      </c>
    </row>
    <row r="6831" spans="1:26" x14ac:dyDescent="0.2">
      <c r="A6831" s="6">
        <v>2668</v>
      </c>
      <c r="B6831" s="7">
        <v>19299</v>
      </c>
      <c r="C6831" s="8">
        <f>DATE(2012,12,31)-1384</f>
        <v>39890</v>
      </c>
      <c r="D6831" s="8" t="str">
        <f t="shared" si="126"/>
        <v>2009-03 (март 2009)</v>
      </c>
      <c r="E6831" s="9" t="s">
        <v>45</v>
      </c>
      <c r="F6831" s="7">
        <v>10</v>
      </c>
      <c r="G6831" s="7">
        <v>29.23</v>
      </c>
      <c r="H6831" s="7">
        <v>0.05</v>
      </c>
      <c r="I6831" s="9" t="s">
        <v>22</v>
      </c>
      <c r="J6831" s="10">
        <v>8.1</v>
      </c>
      <c r="K6831" s="11">
        <v>2.88</v>
      </c>
      <c r="L6831" s="11">
        <v>0.5</v>
      </c>
      <c r="M6831" s="9" t="s">
        <v>1550</v>
      </c>
      <c r="N6831" s="6" t="s">
        <v>2012</v>
      </c>
      <c r="O6831" s="6" t="s">
        <v>2012</v>
      </c>
      <c r="P6831" s="9" t="s">
        <v>41</v>
      </c>
      <c r="Q6831" s="9" t="s">
        <v>26</v>
      </c>
      <c r="R6831" s="9" t="s">
        <v>88</v>
      </c>
      <c r="S6831" s="7" t="s">
        <v>127</v>
      </c>
      <c r="T6831" s="9" t="s">
        <v>39</v>
      </c>
      <c r="U6831" s="7">
        <v>0.36</v>
      </c>
      <c r="V6831" s="12">
        <f>C6831+2</f>
        <v>39892</v>
      </c>
      <c r="W6831">
        <f>IF(D6831=' Pivot Tables'!$A$4,1,0)</f>
        <v>0</v>
      </c>
      <c r="X6831">
        <f>IF(AND(LEFT(D6831,4)+1=LEFT(' Pivot Tables'!$A$4,4)+0,RIGHT(LEFT(D6831,7),2)=RIGHT(LEFT(' Pivot Tables'!$A$4,7),2)),1,0)</f>
        <v>0</v>
      </c>
      <c r="Y6831" s="6">
        <f>1/COUNTIF(Таблица1[Order ID],Таблица1[[#This Row],[Order ID]])</f>
        <v>1</v>
      </c>
      <c r="Z6831" s="9">
        <f>1/COUNTIFS(Таблица1[Customer Name],Таблица1[[#This Row],[Customer Name]],Таблица1[Order-Year-Month],Таблица1[[#This Row],[Order-Year-Month]])</f>
        <v>1</v>
      </c>
    </row>
    <row r="6832" spans="1:26" x14ac:dyDescent="0.2">
      <c r="A6832" s="6">
        <v>2685</v>
      </c>
      <c r="B6832" s="7">
        <v>19429</v>
      </c>
      <c r="C6832" s="8">
        <f>DATE(2012,12,31)-1225</f>
        <v>40049</v>
      </c>
      <c r="D6832" s="8" t="str">
        <f t="shared" si="126"/>
        <v>2009-08 (август 2009)</v>
      </c>
      <c r="E6832" s="9" t="s">
        <v>45</v>
      </c>
      <c r="F6832" s="7">
        <v>2</v>
      </c>
      <c r="G6832" s="7">
        <v>240.24</v>
      </c>
      <c r="H6832" s="7">
        <v>0.05</v>
      </c>
      <c r="I6832" s="9" t="s">
        <v>31</v>
      </c>
      <c r="J6832" s="10">
        <v>-84.93</v>
      </c>
      <c r="K6832" s="11">
        <v>124.49</v>
      </c>
      <c r="L6832" s="11">
        <v>51.94</v>
      </c>
      <c r="M6832" s="9" t="s">
        <v>2036</v>
      </c>
      <c r="N6832" s="6" t="s">
        <v>2012</v>
      </c>
      <c r="O6832" s="6" t="s">
        <v>2012</v>
      </c>
      <c r="P6832" s="9" t="s">
        <v>60</v>
      </c>
      <c r="Q6832" s="9" t="s">
        <v>49</v>
      </c>
      <c r="R6832" s="9" t="s">
        <v>83</v>
      </c>
      <c r="S6832" s="7" t="s">
        <v>432</v>
      </c>
      <c r="T6832" s="9" t="s">
        <v>82</v>
      </c>
      <c r="U6832" s="7">
        <v>0.63</v>
      </c>
      <c r="V6832" s="12">
        <f>C6832+0</f>
        <v>40049</v>
      </c>
      <c r="W6832">
        <f>IF(D6832=' Pivot Tables'!$A$4,1,0)</f>
        <v>0</v>
      </c>
      <c r="X6832">
        <f>IF(AND(LEFT(D6832,4)+1=LEFT(' Pivot Tables'!$A$4,4)+0,RIGHT(LEFT(D6832,7),2)=RIGHT(LEFT(' Pivot Tables'!$A$4,7),2)),1,0)</f>
        <v>0</v>
      </c>
      <c r="Y6832" s="6">
        <f>1/COUNTIF(Таблица1[Order ID],Таблица1[[#This Row],[Order ID]])</f>
        <v>1</v>
      </c>
      <c r="Z6832" s="9">
        <f>1/COUNTIFS(Таблица1[Customer Name],Таблица1[[#This Row],[Customer Name]],Таблица1[Order-Year-Month],Таблица1[[#This Row],[Order-Year-Month]])</f>
        <v>1</v>
      </c>
    </row>
    <row r="6833" spans="1:26" x14ac:dyDescent="0.2">
      <c r="A6833" s="6">
        <v>2686</v>
      </c>
      <c r="B6833" s="7">
        <v>19430</v>
      </c>
      <c r="C6833" s="8">
        <f>DATE(2012,12,31)-779</f>
        <v>40495</v>
      </c>
      <c r="D6833" s="8" t="str">
        <f t="shared" si="126"/>
        <v>2010-11 (ноябрь 2010)</v>
      </c>
      <c r="E6833" s="9" t="s">
        <v>78</v>
      </c>
      <c r="F6833" s="7">
        <v>39</v>
      </c>
      <c r="G6833" s="7">
        <v>6742.49</v>
      </c>
      <c r="H6833" s="7">
        <v>0.03</v>
      </c>
      <c r="I6833" s="9" t="s">
        <v>22</v>
      </c>
      <c r="J6833" s="10">
        <v>-502.05</v>
      </c>
      <c r="K6833" s="11">
        <v>167.27</v>
      </c>
      <c r="L6833" s="11">
        <v>35</v>
      </c>
      <c r="M6833" s="9" t="s">
        <v>1094</v>
      </c>
      <c r="N6833" s="6" t="s">
        <v>2012</v>
      </c>
      <c r="O6833" s="6" t="s">
        <v>2012</v>
      </c>
      <c r="P6833" s="9" t="s">
        <v>41</v>
      </c>
      <c r="Q6833" s="9" t="s">
        <v>26</v>
      </c>
      <c r="R6833" s="9" t="s">
        <v>27</v>
      </c>
      <c r="S6833" s="7" t="s">
        <v>978</v>
      </c>
      <c r="T6833" s="9" t="s">
        <v>29</v>
      </c>
      <c r="U6833" s="7">
        <v>0.85</v>
      </c>
      <c r="V6833" s="12">
        <f>C6833+2</f>
        <v>40497</v>
      </c>
      <c r="W6833">
        <f>IF(D6833=' Pivot Tables'!$A$4,1,0)</f>
        <v>0</v>
      </c>
      <c r="X6833">
        <f>IF(AND(LEFT(D6833,4)+1=LEFT(' Pivot Tables'!$A$4,4)+0,RIGHT(LEFT(D6833,7),2)=RIGHT(LEFT(' Pivot Tables'!$A$4,7),2)),1,0)</f>
        <v>0</v>
      </c>
      <c r="Y6833" s="6">
        <f>1/COUNTIF(Таблица1[Order ID],Таблица1[[#This Row],[Order ID]])</f>
        <v>1</v>
      </c>
      <c r="Z6833" s="9">
        <f>1/COUNTIFS(Таблица1[Customer Name],Таблица1[[#This Row],[Customer Name]],Таблица1[Order-Year-Month],Таблица1[[#This Row],[Order-Year-Month]])</f>
        <v>1</v>
      </c>
    </row>
    <row r="6834" spans="1:26" x14ac:dyDescent="0.2">
      <c r="A6834" s="6">
        <v>2700</v>
      </c>
      <c r="B6834" s="7">
        <v>19524</v>
      </c>
      <c r="C6834" s="8">
        <f>DATE(2012,12,31)-1082</f>
        <v>40192</v>
      </c>
      <c r="D6834" s="8" t="str">
        <f t="shared" si="126"/>
        <v>2010-01 (январь 2010)</v>
      </c>
      <c r="E6834" s="9" t="s">
        <v>78</v>
      </c>
      <c r="F6834" s="7">
        <v>9</v>
      </c>
      <c r="G6834" s="7">
        <v>92.02</v>
      </c>
      <c r="H6834" s="7">
        <v>7.0000000000000007E-2</v>
      </c>
      <c r="I6834" s="9" t="s">
        <v>22</v>
      </c>
      <c r="J6834" s="10">
        <v>-24.88</v>
      </c>
      <c r="K6834" s="11">
        <v>10.23</v>
      </c>
      <c r="L6834" s="11">
        <v>4.68</v>
      </c>
      <c r="M6834" s="9" t="s">
        <v>1361</v>
      </c>
      <c r="N6834" s="6" t="s">
        <v>2012</v>
      </c>
      <c r="O6834" s="6" t="s">
        <v>2012</v>
      </c>
      <c r="P6834" s="9" t="s">
        <v>41</v>
      </c>
      <c r="Q6834" s="9" t="s">
        <v>26</v>
      </c>
      <c r="R6834" s="9" t="s">
        <v>150</v>
      </c>
      <c r="S6834" s="7" t="s">
        <v>1054</v>
      </c>
      <c r="T6834" s="9" t="s">
        <v>52</v>
      </c>
      <c r="U6834" s="7">
        <v>0.59</v>
      </c>
      <c r="V6834" s="12">
        <f>C6834+1</f>
        <v>40193</v>
      </c>
      <c r="W6834">
        <f>IF(D6834=' Pivot Tables'!$A$4,1,0)</f>
        <v>1</v>
      </c>
      <c r="X6834">
        <f>IF(AND(LEFT(D6834,4)+1=LEFT(' Pivot Tables'!$A$4,4)+0,RIGHT(LEFT(D6834,7),2)=RIGHT(LEFT(' Pivot Tables'!$A$4,7),2)),1,0)</f>
        <v>0</v>
      </c>
      <c r="Y6834" s="6">
        <f>1/COUNTIF(Таблица1[Order ID],Таблица1[[#This Row],[Order ID]])</f>
        <v>1</v>
      </c>
      <c r="Z6834" s="9">
        <f>1/COUNTIFS(Таблица1[Customer Name],Таблица1[[#This Row],[Customer Name]],Таблица1[Order-Year-Month],Таблица1[[#This Row],[Order-Year-Month]])</f>
        <v>1</v>
      </c>
    </row>
    <row r="6835" spans="1:26" x14ac:dyDescent="0.2">
      <c r="A6835" s="6">
        <v>2703</v>
      </c>
      <c r="B6835" s="7">
        <v>19556</v>
      </c>
      <c r="C6835" s="8">
        <f>DATE(2012,12,31)-732</f>
        <v>40542</v>
      </c>
      <c r="D6835" s="8" t="str">
        <f t="shared" si="126"/>
        <v>2010-12 (декабрь 2010)</v>
      </c>
      <c r="E6835" s="9" t="s">
        <v>45</v>
      </c>
      <c r="F6835" s="7">
        <v>45</v>
      </c>
      <c r="G6835" s="7">
        <v>5785.59</v>
      </c>
      <c r="H6835" s="7">
        <v>7.0000000000000007E-2</v>
      </c>
      <c r="I6835" s="9" t="s">
        <v>31</v>
      </c>
      <c r="J6835" s="10">
        <v>-423.77</v>
      </c>
      <c r="K6835" s="11">
        <v>130.97999999999999</v>
      </c>
      <c r="L6835" s="11">
        <v>30</v>
      </c>
      <c r="M6835" s="9" t="s">
        <v>2031</v>
      </c>
      <c r="N6835" s="6" t="s">
        <v>2012</v>
      </c>
      <c r="O6835" s="6" t="s">
        <v>2012</v>
      </c>
      <c r="P6835" s="9" t="s">
        <v>33</v>
      </c>
      <c r="Q6835" s="9" t="s">
        <v>49</v>
      </c>
      <c r="R6835" s="9" t="s">
        <v>112</v>
      </c>
      <c r="S6835" s="7" t="s">
        <v>265</v>
      </c>
      <c r="T6835" s="9" t="s">
        <v>36</v>
      </c>
      <c r="U6835" s="7">
        <v>0.78</v>
      </c>
      <c r="V6835" s="12">
        <f>C6835+17</f>
        <v>40559</v>
      </c>
      <c r="W6835">
        <f>IF(D6835=' Pivot Tables'!$A$4,1,0)</f>
        <v>0</v>
      </c>
      <c r="X6835">
        <f>IF(AND(LEFT(D6835,4)+1=LEFT(' Pivot Tables'!$A$4,4)+0,RIGHT(LEFT(D6835,7),2)=RIGHT(LEFT(' Pivot Tables'!$A$4,7),2)),1,0)</f>
        <v>0</v>
      </c>
      <c r="Y6835" s="6">
        <f>1/COUNTIF(Таблица1[Order ID],Таблица1[[#This Row],[Order ID]])</f>
        <v>0.33333333333333331</v>
      </c>
      <c r="Z6835" s="9">
        <f>1/COUNTIFS(Таблица1[Customer Name],Таблица1[[#This Row],[Customer Name]],Таблица1[Order-Year-Month],Таблица1[[#This Row],[Order-Year-Month]])</f>
        <v>0.33333333333333331</v>
      </c>
    </row>
    <row r="6836" spans="1:26" x14ac:dyDescent="0.2">
      <c r="A6836" s="6">
        <v>2704</v>
      </c>
      <c r="B6836" s="7">
        <v>19556</v>
      </c>
      <c r="C6836" s="8">
        <f>DATE(2012,12,31)-732</f>
        <v>40542</v>
      </c>
      <c r="D6836" s="8" t="str">
        <f t="shared" si="126"/>
        <v>2010-12 (декабрь 2010)</v>
      </c>
      <c r="E6836" s="9" t="s">
        <v>45</v>
      </c>
      <c r="F6836" s="7">
        <v>22</v>
      </c>
      <c r="G6836" s="7">
        <v>1131.93</v>
      </c>
      <c r="H6836" s="7">
        <v>0.09</v>
      </c>
      <c r="I6836" s="9" t="s">
        <v>22</v>
      </c>
      <c r="J6836" s="10">
        <v>469.69</v>
      </c>
      <c r="K6836" s="11">
        <v>55.98</v>
      </c>
      <c r="L6836" s="11">
        <v>4.8600000000000003</v>
      </c>
      <c r="M6836" s="9" t="s">
        <v>2031</v>
      </c>
      <c r="N6836" s="6" t="s">
        <v>2012</v>
      </c>
      <c r="O6836" s="6" t="s">
        <v>2012</v>
      </c>
      <c r="P6836" s="9" t="s">
        <v>33</v>
      </c>
      <c r="Q6836" s="9" t="s">
        <v>26</v>
      </c>
      <c r="R6836" s="9" t="s">
        <v>61</v>
      </c>
      <c r="S6836" s="7" t="s">
        <v>1260</v>
      </c>
      <c r="T6836" s="9" t="s">
        <v>39</v>
      </c>
      <c r="U6836" s="7">
        <v>0.36</v>
      </c>
      <c r="V6836" s="12">
        <f>C6836+11</f>
        <v>40553</v>
      </c>
      <c r="W6836">
        <f>IF(D6836=' Pivot Tables'!$A$4,1,0)</f>
        <v>0</v>
      </c>
      <c r="X6836">
        <f>IF(AND(LEFT(D6836,4)+1=LEFT(' Pivot Tables'!$A$4,4)+0,RIGHT(LEFT(D6836,7),2)=RIGHT(LEFT(' Pivot Tables'!$A$4,7),2)),1,0)</f>
        <v>0</v>
      </c>
      <c r="Y6836" s="6">
        <f>1/COUNTIF(Таблица1[Order ID],Таблица1[[#This Row],[Order ID]])</f>
        <v>0.33333333333333331</v>
      </c>
      <c r="Z6836" s="9">
        <f>1/COUNTIFS(Таблица1[Customer Name],Таблица1[[#This Row],[Customer Name]],Таблица1[Order-Year-Month],Таблица1[[#This Row],[Order-Year-Month]])</f>
        <v>0.33333333333333331</v>
      </c>
    </row>
    <row r="6837" spans="1:26" x14ac:dyDescent="0.2">
      <c r="A6837" s="6">
        <v>2705</v>
      </c>
      <c r="B6837" s="7">
        <v>19556</v>
      </c>
      <c r="C6837" s="8">
        <f>DATE(2012,12,31)-732</f>
        <v>40542</v>
      </c>
      <c r="D6837" s="8" t="str">
        <f t="shared" si="126"/>
        <v>2010-12 (декабрь 2010)</v>
      </c>
      <c r="E6837" s="9" t="s">
        <v>45</v>
      </c>
      <c r="F6837" s="7">
        <v>35</v>
      </c>
      <c r="G6837" s="7">
        <v>3238.143</v>
      </c>
      <c r="H6837" s="7">
        <v>0.08</v>
      </c>
      <c r="I6837" s="9" t="s">
        <v>22</v>
      </c>
      <c r="J6837" s="10">
        <v>727.36199999999997</v>
      </c>
      <c r="K6837" s="11">
        <v>115.99</v>
      </c>
      <c r="L6837" s="11">
        <v>4.2300000000000004</v>
      </c>
      <c r="M6837" s="9" t="s">
        <v>2031</v>
      </c>
      <c r="N6837" s="6" t="s">
        <v>2012</v>
      </c>
      <c r="O6837" s="6" t="s">
        <v>2012</v>
      </c>
      <c r="P6837" s="9" t="s">
        <v>33</v>
      </c>
      <c r="Q6837" s="9" t="s">
        <v>42</v>
      </c>
      <c r="R6837" s="9" t="s">
        <v>43</v>
      </c>
      <c r="S6837" s="7" t="s">
        <v>1569</v>
      </c>
      <c r="T6837" s="9" t="s">
        <v>39</v>
      </c>
      <c r="U6837" s="7">
        <v>0.56000000000000005</v>
      </c>
      <c r="V6837" s="12">
        <f>C6837+28</f>
        <v>40570</v>
      </c>
      <c r="W6837">
        <f>IF(D6837=' Pivot Tables'!$A$4,1,0)</f>
        <v>0</v>
      </c>
      <c r="X6837">
        <f>IF(AND(LEFT(D6837,4)+1=LEFT(' Pivot Tables'!$A$4,4)+0,RIGHT(LEFT(D6837,7),2)=RIGHT(LEFT(' Pivot Tables'!$A$4,7),2)),1,0)</f>
        <v>0</v>
      </c>
      <c r="Y6837" s="6">
        <f>1/COUNTIF(Таблица1[Order ID],Таблица1[[#This Row],[Order ID]])</f>
        <v>0.33333333333333331</v>
      </c>
      <c r="Z6837" s="9">
        <f>1/COUNTIFS(Таблица1[Customer Name],Таблица1[[#This Row],[Customer Name]],Таблица1[Order-Year-Month],Таблица1[[#This Row],[Order-Year-Month]])</f>
        <v>0.33333333333333331</v>
      </c>
    </row>
    <row r="6838" spans="1:26" x14ac:dyDescent="0.2">
      <c r="A6838" s="6">
        <v>2746</v>
      </c>
      <c r="B6838" s="7">
        <v>19815</v>
      </c>
      <c r="C6838" s="8">
        <f>DATE(2012,12,31)-1012</f>
        <v>40262</v>
      </c>
      <c r="D6838" s="8" t="str">
        <f t="shared" si="126"/>
        <v>2010-03 (март 2010)</v>
      </c>
      <c r="E6838" s="9" t="s">
        <v>45</v>
      </c>
      <c r="F6838" s="7">
        <v>33</v>
      </c>
      <c r="G6838" s="7">
        <v>167.07</v>
      </c>
      <c r="H6838" s="7">
        <v>0.03</v>
      </c>
      <c r="I6838" s="9" t="s">
        <v>22</v>
      </c>
      <c r="J6838" s="10">
        <v>-102.36</v>
      </c>
      <c r="K6838" s="11">
        <v>4.9800000000000004</v>
      </c>
      <c r="L6838" s="11">
        <v>6.07</v>
      </c>
      <c r="M6838" s="9" t="s">
        <v>1517</v>
      </c>
      <c r="N6838" s="6" t="s">
        <v>2012</v>
      </c>
      <c r="O6838" s="6" t="s">
        <v>2012</v>
      </c>
      <c r="P6838" s="9" t="s">
        <v>60</v>
      </c>
      <c r="Q6838" s="9" t="s">
        <v>26</v>
      </c>
      <c r="R6838" s="9" t="s">
        <v>61</v>
      </c>
      <c r="S6838" s="7" t="s">
        <v>352</v>
      </c>
      <c r="T6838" s="9" t="s">
        <v>39</v>
      </c>
      <c r="U6838" s="7">
        <v>0.36</v>
      </c>
      <c r="V6838" s="12">
        <f>C6838+3</f>
        <v>40265</v>
      </c>
      <c r="W6838">
        <f>IF(D6838=' Pivot Tables'!$A$4,1,0)</f>
        <v>0</v>
      </c>
      <c r="X6838">
        <f>IF(AND(LEFT(D6838,4)+1=LEFT(' Pivot Tables'!$A$4,4)+0,RIGHT(LEFT(D6838,7),2)=RIGHT(LEFT(' Pivot Tables'!$A$4,7),2)),1,0)</f>
        <v>0</v>
      </c>
      <c r="Y6838" s="6">
        <f>1/COUNTIF(Таблица1[Order ID],Таблица1[[#This Row],[Order ID]])</f>
        <v>1</v>
      </c>
      <c r="Z6838" s="9">
        <f>1/COUNTIFS(Таблица1[Customer Name],Таблица1[[#This Row],[Customer Name]],Таблица1[Order-Year-Month],Таблица1[[#This Row],[Order-Year-Month]])</f>
        <v>1</v>
      </c>
    </row>
    <row r="6839" spans="1:26" x14ac:dyDescent="0.2">
      <c r="A6839" s="6">
        <v>2783</v>
      </c>
      <c r="B6839" s="7">
        <v>20096</v>
      </c>
      <c r="C6839" s="8">
        <f>DATE(2012,12,31)-134</f>
        <v>41140</v>
      </c>
      <c r="D6839" s="8" t="str">
        <f t="shared" si="126"/>
        <v>2012-08 (август 2012)</v>
      </c>
      <c r="E6839" s="9" t="s">
        <v>21</v>
      </c>
      <c r="F6839" s="7">
        <v>35</v>
      </c>
      <c r="G6839" s="7">
        <v>6116.11</v>
      </c>
      <c r="H6839" s="7">
        <v>0.03</v>
      </c>
      <c r="I6839" s="9" t="s">
        <v>31</v>
      </c>
      <c r="J6839" s="10">
        <v>91.57</v>
      </c>
      <c r="K6839" s="11">
        <v>179.29</v>
      </c>
      <c r="L6839" s="11">
        <v>29.21</v>
      </c>
      <c r="M6839" s="9" t="s">
        <v>856</v>
      </c>
      <c r="N6839" s="6" t="s">
        <v>2012</v>
      </c>
      <c r="O6839" s="6" t="s">
        <v>2012</v>
      </c>
      <c r="P6839" s="9" t="s">
        <v>33</v>
      </c>
      <c r="Q6839" s="9" t="s">
        <v>49</v>
      </c>
      <c r="R6839" s="9" t="s">
        <v>83</v>
      </c>
      <c r="S6839" s="7" t="s">
        <v>207</v>
      </c>
      <c r="T6839" s="9" t="s">
        <v>82</v>
      </c>
      <c r="U6839" s="7">
        <v>0.74</v>
      </c>
      <c r="V6839" s="12">
        <f>C6839+5</f>
        <v>41145</v>
      </c>
      <c r="W6839">
        <f>IF(D6839=' Pivot Tables'!$A$4,1,0)</f>
        <v>0</v>
      </c>
      <c r="X6839">
        <f>IF(AND(LEFT(D6839,4)+1=LEFT(' Pivot Tables'!$A$4,4)+0,RIGHT(LEFT(D6839,7),2)=RIGHT(LEFT(' Pivot Tables'!$A$4,7),2)),1,0)</f>
        <v>0</v>
      </c>
      <c r="Y6839" s="6">
        <f>1/COUNTIF(Таблица1[Order ID],Таблица1[[#This Row],[Order ID]])</f>
        <v>1</v>
      </c>
      <c r="Z6839" s="9">
        <f>1/COUNTIFS(Таблица1[Customer Name],Таблица1[[#This Row],[Customer Name]],Таблица1[Order-Year-Month],Таблица1[[#This Row],[Order-Year-Month]])</f>
        <v>1</v>
      </c>
    </row>
    <row r="6840" spans="1:26" x14ac:dyDescent="0.2">
      <c r="A6840" s="6">
        <v>2791</v>
      </c>
      <c r="B6840" s="7">
        <v>20132</v>
      </c>
      <c r="C6840" s="8">
        <f>DATE(2012,12,31)-959</f>
        <v>40315</v>
      </c>
      <c r="D6840" s="8" t="str">
        <f t="shared" si="126"/>
        <v>2010-05 (май 2010)</v>
      </c>
      <c r="E6840" s="9" t="s">
        <v>21</v>
      </c>
      <c r="F6840" s="7">
        <v>30</v>
      </c>
      <c r="G6840" s="7">
        <v>8719.69</v>
      </c>
      <c r="H6840" s="7">
        <v>0.01</v>
      </c>
      <c r="I6840" s="9" t="s">
        <v>31</v>
      </c>
      <c r="J6840" s="10">
        <v>2241.71</v>
      </c>
      <c r="K6840" s="11">
        <v>270.97000000000003</v>
      </c>
      <c r="L6840" s="11">
        <v>28.06</v>
      </c>
      <c r="M6840" s="9" t="s">
        <v>1556</v>
      </c>
      <c r="N6840" s="6" t="s">
        <v>2012</v>
      </c>
      <c r="O6840" s="6" t="s">
        <v>2012</v>
      </c>
      <c r="P6840" s="9" t="s">
        <v>33</v>
      </c>
      <c r="Q6840" s="9" t="s">
        <v>42</v>
      </c>
      <c r="R6840" s="9" t="s">
        <v>210</v>
      </c>
      <c r="S6840" s="7" t="s">
        <v>364</v>
      </c>
      <c r="T6840" s="9" t="s">
        <v>36</v>
      </c>
      <c r="U6840" s="7">
        <v>0.56000000000000005</v>
      </c>
      <c r="V6840" s="12">
        <f>C6840+7</f>
        <v>40322</v>
      </c>
      <c r="W6840">
        <f>IF(D6840=' Pivot Tables'!$A$4,1,0)</f>
        <v>0</v>
      </c>
      <c r="X6840">
        <f>IF(AND(LEFT(D6840,4)+1=LEFT(' Pivot Tables'!$A$4,4)+0,RIGHT(LEFT(D6840,7),2)=RIGHT(LEFT(' Pivot Tables'!$A$4,7),2)),1,0)</f>
        <v>0</v>
      </c>
      <c r="Y6840" s="6">
        <f>1/COUNTIF(Таблица1[Order ID],Таблица1[[#This Row],[Order ID]])</f>
        <v>1</v>
      </c>
      <c r="Z6840" s="9">
        <f>1/COUNTIFS(Таблица1[Customer Name],Таблица1[[#This Row],[Customer Name]],Таблица1[Order-Year-Month],Таблица1[[#This Row],[Order-Year-Month]])</f>
        <v>1</v>
      </c>
    </row>
    <row r="6841" spans="1:26" x14ac:dyDescent="0.2">
      <c r="A6841" s="6">
        <v>2802</v>
      </c>
      <c r="B6841" s="7">
        <v>20225</v>
      </c>
      <c r="C6841" s="8">
        <f>DATE(2012,12,31)-889</f>
        <v>40385</v>
      </c>
      <c r="D6841" s="8" t="str">
        <f t="shared" si="126"/>
        <v>2010-07 (июль 2010)</v>
      </c>
      <c r="E6841" s="9" t="s">
        <v>21</v>
      </c>
      <c r="F6841" s="7">
        <v>33</v>
      </c>
      <c r="G6841" s="7">
        <v>124.78</v>
      </c>
      <c r="H6841" s="7">
        <v>0.09</v>
      </c>
      <c r="I6841" s="9" t="s">
        <v>22</v>
      </c>
      <c r="J6841" s="10">
        <v>-122.6705</v>
      </c>
      <c r="K6841" s="11">
        <v>3.98</v>
      </c>
      <c r="L6841" s="11">
        <v>5.26</v>
      </c>
      <c r="M6841" s="9" t="s">
        <v>1805</v>
      </c>
      <c r="N6841" s="6" t="s">
        <v>2012</v>
      </c>
      <c r="O6841" s="6" t="s">
        <v>2012</v>
      </c>
      <c r="P6841" s="9" t="s">
        <v>41</v>
      </c>
      <c r="Q6841" s="9" t="s">
        <v>26</v>
      </c>
      <c r="R6841" s="9" t="s">
        <v>37</v>
      </c>
      <c r="S6841" s="7" t="s">
        <v>1348</v>
      </c>
      <c r="T6841" s="9" t="s">
        <v>39</v>
      </c>
      <c r="U6841" s="7">
        <v>0.38</v>
      </c>
      <c r="V6841" s="12">
        <f>C6841+7</f>
        <v>40392</v>
      </c>
      <c r="W6841">
        <f>IF(D6841=' Pivot Tables'!$A$4,1,0)</f>
        <v>0</v>
      </c>
      <c r="X6841">
        <f>IF(AND(LEFT(D6841,4)+1=LEFT(' Pivot Tables'!$A$4,4)+0,RIGHT(LEFT(D6841,7),2)=RIGHT(LEFT(' Pivot Tables'!$A$4,7),2)),1,0)</f>
        <v>0</v>
      </c>
      <c r="Y6841" s="6">
        <f>1/COUNTIF(Таблица1[Order ID],Таблица1[[#This Row],[Order ID]])</f>
        <v>0.5</v>
      </c>
      <c r="Z6841" s="9">
        <f>1/COUNTIFS(Таблица1[Customer Name],Таблица1[[#This Row],[Customer Name]],Таблица1[Order-Year-Month],Таблица1[[#This Row],[Order-Year-Month]])</f>
        <v>0.5</v>
      </c>
    </row>
    <row r="6842" spans="1:26" x14ac:dyDescent="0.2">
      <c r="A6842" s="6">
        <v>2803</v>
      </c>
      <c r="B6842" s="7">
        <v>20225</v>
      </c>
      <c r="C6842" s="8">
        <f>DATE(2012,12,31)-889</f>
        <v>40385</v>
      </c>
      <c r="D6842" s="8" t="str">
        <f t="shared" si="126"/>
        <v>2010-07 (июль 2010)</v>
      </c>
      <c r="E6842" s="9" t="s">
        <v>21</v>
      </c>
      <c r="F6842" s="7">
        <v>22</v>
      </c>
      <c r="G6842" s="7">
        <v>123.4</v>
      </c>
      <c r="H6842" s="7">
        <v>0.1</v>
      </c>
      <c r="I6842" s="9" t="s">
        <v>22</v>
      </c>
      <c r="J6842" s="10">
        <v>30.5</v>
      </c>
      <c r="K6842" s="11">
        <v>5.84</v>
      </c>
      <c r="L6842" s="11">
        <v>0.83</v>
      </c>
      <c r="M6842" s="9" t="s">
        <v>1805</v>
      </c>
      <c r="N6842" s="6" t="s">
        <v>2012</v>
      </c>
      <c r="O6842" s="6" t="s">
        <v>2012</v>
      </c>
      <c r="P6842" s="9" t="s">
        <v>41</v>
      </c>
      <c r="Q6842" s="9" t="s">
        <v>26</v>
      </c>
      <c r="R6842" s="9" t="s">
        <v>95</v>
      </c>
      <c r="S6842" s="7" t="s">
        <v>1037</v>
      </c>
      <c r="T6842" s="9" t="s">
        <v>68</v>
      </c>
      <c r="U6842" s="7">
        <v>0.49</v>
      </c>
      <c r="V6842" s="12">
        <f>C6842+7</f>
        <v>40392</v>
      </c>
      <c r="W6842">
        <f>IF(D6842=' Pivot Tables'!$A$4,1,0)</f>
        <v>0</v>
      </c>
      <c r="X6842">
        <f>IF(AND(LEFT(D6842,4)+1=LEFT(' Pivot Tables'!$A$4,4)+0,RIGHT(LEFT(D6842,7),2)=RIGHT(LEFT(' Pivot Tables'!$A$4,7),2)),1,0)</f>
        <v>0</v>
      </c>
      <c r="Y6842" s="6">
        <f>1/COUNTIF(Таблица1[Order ID],Таблица1[[#This Row],[Order ID]])</f>
        <v>0.5</v>
      </c>
      <c r="Z6842" s="9">
        <f>1/COUNTIFS(Таблица1[Customer Name],Таблица1[[#This Row],[Customer Name]],Таблица1[Order-Year-Month],Таблица1[[#This Row],[Order-Year-Month]])</f>
        <v>0.5</v>
      </c>
    </row>
    <row r="6843" spans="1:26" x14ac:dyDescent="0.2">
      <c r="A6843" s="6">
        <v>2818</v>
      </c>
      <c r="B6843" s="7">
        <v>20325</v>
      </c>
      <c r="C6843" s="8">
        <f>DATE(2012,12,31)-912</f>
        <v>40362</v>
      </c>
      <c r="D6843" s="8" t="str">
        <f t="shared" si="126"/>
        <v>2010-07 (июль 2010)</v>
      </c>
      <c r="E6843" s="9" t="s">
        <v>78</v>
      </c>
      <c r="F6843" s="7">
        <v>35</v>
      </c>
      <c r="G6843" s="7">
        <v>4043.29</v>
      </c>
      <c r="H6843" s="7">
        <v>0.06</v>
      </c>
      <c r="I6843" s="9" t="s">
        <v>31</v>
      </c>
      <c r="J6843" s="10">
        <v>-34.304099999999998</v>
      </c>
      <c r="K6843" s="11">
        <v>119.99</v>
      </c>
      <c r="L6843" s="11">
        <v>56.14</v>
      </c>
      <c r="M6843" s="9" t="s">
        <v>1506</v>
      </c>
      <c r="N6843" s="6" t="s">
        <v>2012</v>
      </c>
      <c r="O6843" s="6" t="s">
        <v>2012</v>
      </c>
      <c r="P6843" s="9" t="s">
        <v>25</v>
      </c>
      <c r="Q6843" s="9" t="s">
        <v>42</v>
      </c>
      <c r="R6843" s="9" t="s">
        <v>210</v>
      </c>
      <c r="S6843" s="7" t="s">
        <v>950</v>
      </c>
      <c r="T6843" s="9" t="s">
        <v>82</v>
      </c>
      <c r="U6843" s="7">
        <v>0.39</v>
      </c>
      <c r="V6843" s="12">
        <f>C6843+2</f>
        <v>40364</v>
      </c>
      <c r="W6843">
        <f>IF(D6843=' Pivot Tables'!$A$4,1,0)</f>
        <v>0</v>
      </c>
      <c r="X6843">
        <f>IF(AND(LEFT(D6843,4)+1=LEFT(' Pivot Tables'!$A$4,4)+0,RIGHT(LEFT(D6843,7),2)=RIGHT(LEFT(' Pivot Tables'!$A$4,7),2)),1,0)</f>
        <v>0</v>
      </c>
      <c r="Y6843" s="6">
        <f>1/COUNTIF(Таблица1[Order ID],Таблица1[[#This Row],[Order ID]])</f>
        <v>0.5</v>
      </c>
      <c r="Z6843" s="9">
        <f>1/COUNTIFS(Таблица1[Customer Name],Таблица1[[#This Row],[Customer Name]],Таблица1[Order-Year-Month],Таблица1[[#This Row],[Order-Year-Month]])</f>
        <v>0.25</v>
      </c>
    </row>
    <row r="6844" spans="1:26" x14ac:dyDescent="0.2">
      <c r="A6844" s="6">
        <v>2819</v>
      </c>
      <c r="B6844" s="7">
        <v>20325</v>
      </c>
      <c r="C6844" s="8">
        <f>DATE(2012,12,31)-912</f>
        <v>40362</v>
      </c>
      <c r="D6844" s="8" t="str">
        <f t="shared" si="126"/>
        <v>2010-07 (июль 2010)</v>
      </c>
      <c r="E6844" s="9" t="s">
        <v>78</v>
      </c>
      <c r="F6844" s="7">
        <v>24</v>
      </c>
      <c r="G6844" s="7">
        <v>870.48</v>
      </c>
      <c r="H6844" s="7">
        <v>7.0000000000000007E-2</v>
      </c>
      <c r="I6844" s="9" t="s">
        <v>22</v>
      </c>
      <c r="J6844" s="10">
        <v>104.37</v>
      </c>
      <c r="K6844" s="11">
        <v>36.549999999999997</v>
      </c>
      <c r="L6844" s="11">
        <v>13.89</v>
      </c>
      <c r="M6844" s="9" t="s">
        <v>1506</v>
      </c>
      <c r="N6844" s="6" t="s">
        <v>2012</v>
      </c>
      <c r="O6844" s="6" t="s">
        <v>2012</v>
      </c>
      <c r="P6844" s="9" t="s">
        <v>25</v>
      </c>
      <c r="Q6844" s="9" t="s">
        <v>26</v>
      </c>
      <c r="R6844" s="9" t="s">
        <v>95</v>
      </c>
      <c r="S6844" s="7" t="s">
        <v>290</v>
      </c>
      <c r="T6844" s="9" t="s">
        <v>68</v>
      </c>
      <c r="U6844" s="7">
        <v>0.41</v>
      </c>
      <c r="V6844" s="12">
        <f>C6844+3</f>
        <v>40365</v>
      </c>
      <c r="W6844">
        <f>IF(D6844=' Pivot Tables'!$A$4,1,0)</f>
        <v>0</v>
      </c>
      <c r="X6844">
        <f>IF(AND(LEFT(D6844,4)+1=LEFT(' Pivot Tables'!$A$4,4)+0,RIGHT(LEFT(D6844,7),2)=RIGHT(LEFT(' Pivot Tables'!$A$4,7),2)),1,0)</f>
        <v>0</v>
      </c>
      <c r="Y6844" s="6">
        <f>1/COUNTIF(Таблица1[Order ID],Таблица1[[#This Row],[Order ID]])</f>
        <v>0.5</v>
      </c>
      <c r="Z6844" s="9">
        <f>1/COUNTIFS(Таблица1[Customer Name],Таблица1[[#This Row],[Customer Name]],Таблица1[Order-Year-Month],Таблица1[[#This Row],[Order-Year-Month]])</f>
        <v>0.25</v>
      </c>
    </row>
    <row r="6845" spans="1:26" x14ac:dyDescent="0.2">
      <c r="A6845" s="6">
        <v>2833</v>
      </c>
      <c r="B6845" s="7">
        <v>20450</v>
      </c>
      <c r="C6845" s="8">
        <f>DATE(2012,12,31)-24</f>
        <v>41250</v>
      </c>
      <c r="D6845" s="8" t="str">
        <f t="shared" si="126"/>
        <v>2012-12 (декабрь 2012)</v>
      </c>
      <c r="E6845" s="9" t="s">
        <v>78</v>
      </c>
      <c r="F6845" s="7">
        <v>26</v>
      </c>
      <c r="G6845" s="7">
        <v>6878.55</v>
      </c>
      <c r="H6845" s="7">
        <v>0.03</v>
      </c>
      <c r="I6845" s="9" t="s">
        <v>31</v>
      </c>
      <c r="J6845" s="10">
        <v>506.71</v>
      </c>
      <c r="K6845" s="11">
        <v>259.70999999999998</v>
      </c>
      <c r="L6845" s="11">
        <v>66.67</v>
      </c>
      <c r="M6845" s="9" t="s">
        <v>1841</v>
      </c>
      <c r="N6845" s="6" t="s">
        <v>2012</v>
      </c>
      <c r="O6845" s="6" t="s">
        <v>2012</v>
      </c>
      <c r="P6845" s="9" t="s">
        <v>60</v>
      </c>
      <c r="Q6845" s="9" t="s">
        <v>49</v>
      </c>
      <c r="R6845" s="9" t="s">
        <v>83</v>
      </c>
      <c r="S6845" s="7" t="s">
        <v>510</v>
      </c>
      <c r="T6845" s="9" t="s">
        <v>82</v>
      </c>
      <c r="U6845" s="7">
        <v>0.61</v>
      </c>
      <c r="V6845" s="12">
        <f>C6845+3</f>
        <v>41253</v>
      </c>
      <c r="W6845">
        <f>IF(D6845=' Pivot Tables'!$A$4,1,0)</f>
        <v>0</v>
      </c>
      <c r="X6845">
        <f>IF(AND(LEFT(D6845,4)+1=LEFT(' Pivot Tables'!$A$4,4)+0,RIGHT(LEFT(D6845,7),2)=RIGHT(LEFT(' Pivot Tables'!$A$4,7),2)),1,0)</f>
        <v>0</v>
      </c>
      <c r="Y6845" s="6">
        <f>1/COUNTIF(Таблица1[Order ID],Таблица1[[#This Row],[Order ID]])</f>
        <v>1</v>
      </c>
      <c r="Z6845" s="9">
        <f>1/COUNTIFS(Таблица1[Customer Name],Таблица1[[#This Row],[Customer Name]],Таблица1[Order-Year-Month],Таблица1[[#This Row],[Order-Year-Month]])</f>
        <v>1</v>
      </c>
    </row>
    <row r="6846" spans="1:26" x14ac:dyDescent="0.2">
      <c r="A6846" s="6">
        <v>2851</v>
      </c>
      <c r="B6846" s="7">
        <v>20519</v>
      </c>
      <c r="C6846" s="8">
        <f>DATE(2012,12,31)-1361</f>
        <v>39913</v>
      </c>
      <c r="D6846" s="8" t="str">
        <f t="shared" si="126"/>
        <v>2009-04 (апрель 2009)</v>
      </c>
      <c r="E6846" s="9" t="s">
        <v>30</v>
      </c>
      <c r="F6846" s="7">
        <v>7</v>
      </c>
      <c r="G6846" s="7">
        <v>124.19</v>
      </c>
      <c r="H6846" s="7">
        <v>0.03</v>
      </c>
      <c r="I6846" s="9" t="s">
        <v>22</v>
      </c>
      <c r="J6846" s="10">
        <v>-53.296199999999999</v>
      </c>
      <c r="K6846" s="11">
        <v>15.99</v>
      </c>
      <c r="L6846" s="11">
        <v>11.28</v>
      </c>
      <c r="M6846" s="9" t="s">
        <v>1491</v>
      </c>
      <c r="N6846" s="6" t="s">
        <v>2012</v>
      </c>
      <c r="O6846" s="6" t="s">
        <v>2012</v>
      </c>
      <c r="P6846" s="9" t="s">
        <v>60</v>
      </c>
      <c r="Q6846" s="9" t="s">
        <v>42</v>
      </c>
      <c r="R6846" s="9" t="s">
        <v>210</v>
      </c>
      <c r="S6846" s="7" t="s">
        <v>1966</v>
      </c>
      <c r="T6846" s="9" t="s">
        <v>48</v>
      </c>
      <c r="U6846" s="7">
        <v>0.38</v>
      </c>
      <c r="V6846" s="12">
        <f>C6846+1</f>
        <v>39914</v>
      </c>
      <c r="W6846">
        <f>IF(D6846=' Pivot Tables'!$A$4,1,0)</f>
        <v>0</v>
      </c>
      <c r="X6846">
        <f>IF(AND(LEFT(D6846,4)+1=LEFT(' Pivot Tables'!$A$4,4)+0,RIGHT(LEFT(D6846,7),2)=RIGHT(LEFT(' Pivot Tables'!$A$4,7),2)),1,0)</f>
        <v>0</v>
      </c>
      <c r="Y6846" s="6">
        <f>1/COUNTIF(Таблица1[Order ID],Таблица1[[#This Row],[Order ID]])</f>
        <v>1</v>
      </c>
      <c r="Z6846" s="9">
        <f>1/COUNTIFS(Таблица1[Customer Name],Таблица1[[#This Row],[Customer Name]],Таблица1[Order-Year-Month],Таблица1[[#This Row],[Order-Year-Month]])</f>
        <v>1</v>
      </c>
    </row>
    <row r="6847" spans="1:26" x14ac:dyDescent="0.2">
      <c r="A6847" s="6">
        <v>2865</v>
      </c>
      <c r="B6847" s="7">
        <v>20679</v>
      </c>
      <c r="C6847" s="8">
        <f>DATE(2012,12,31)-870</f>
        <v>40404</v>
      </c>
      <c r="D6847" s="8" t="str">
        <f t="shared" si="126"/>
        <v>2010-08 (август 2010)</v>
      </c>
      <c r="E6847" s="9" t="s">
        <v>63</v>
      </c>
      <c r="F6847" s="7">
        <v>32</v>
      </c>
      <c r="G6847" s="7">
        <v>4976.6000000000004</v>
      </c>
      <c r="H6847" s="7">
        <v>0.06</v>
      </c>
      <c r="I6847" s="9" t="s">
        <v>22</v>
      </c>
      <c r="J6847" s="10">
        <v>601.88</v>
      </c>
      <c r="K6847" s="11">
        <v>161.55000000000001</v>
      </c>
      <c r="L6847" s="11">
        <v>19.989999999999998</v>
      </c>
      <c r="M6847" s="9" t="s">
        <v>1972</v>
      </c>
      <c r="N6847" s="6" t="s">
        <v>2012</v>
      </c>
      <c r="O6847" s="6" t="s">
        <v>2012</v>
      </c>
      <c r="P6847" s="9" t="s">
        <v>25</v>
      </c>
      <c r="Q6847" s="9" t="s">
        <v>26</v>
      </c>
      <c r="R6847" s="9" t="s">
        <v>27</v>
      </c>
      <c r="S6847" s="7" t="s">
        <v>685</v>
      </c>
      <c r="T6847" s="9" t="s">
        <v>39</v>
      </c>
      <c r="U6847" s="7">
        <v>0.66</v>
      </c>
      <c r="V6847" s="12">
        <f>C6847+0</f>
        <v>40404</v>
      </c>
      <c r="W6847">
        <f>IF(D6847=' Pivot Tables'!$A$4,1,0)</f>
        <v>0</v>
      </c>
      <c r="X6847">
        <f>IF(AND(LEFT(D6847,4)+1=LEFT(' Pivot Tables'!$A$4,4)+0,RIGHT(LEFT(D6847,7),2)=RIGHT(LEFT(' Pivot Tables'!$A$4,7),2)),1,0)</f>
        <v>0</v>
      </c>
      <c r="Y6847" s="6">
        <f>1/COUNTIF(Таблица1[Order ID],Таблица1[[#This Row],[Order ID]])</f>
        <v>1</v>
      </c>
      <c r="Z6847" s="9">
        <f>1/COUNTIFS(Таблица1[Customer Name],Таблица1[[#This Row],[Customer Name]],Таблица1[Order-Year-Month],Таблица1[[#This Row],[Order-Year-Month]])</f>
        <v>1</v>
      </c>
    </row>
    <row r="6848" spans="1:26" x14ac:dyDescent="0.2">
      <c r="A6848" s="6">
        <v>2869</v>
      </c>
      <c r="B6848" s="7">
        <v>20706</v>
      </c>
      <c r="C6848" s="8">
        <f>DATE(2012,12,31)-1268</f>
        <v>40006</v>
      </c>
      <c r="D6848" s="8" t="str">
        <f t="shared" si="126"/>
        <v>2009-07 (июль 2009)</v>
      </c>
      <c r="E6848" s="9" t="s">
        <v>30</v>
      </c>
      <c r="F6848" s="7">
        <v>41</v>
      </c>
      <c r="G6848" s="7">
        <v>5583.27</v>
      </c>
      <c r="H6848" s="7">
        <v>0.04</v>
      </c>
      <c r="I6848" s="9" t="s">
        <v>56</v>
      </c>
      <c r="J6848" s="10">
        <v>1539.59</v>
      </c>
      <c r="K6848" s="11">
        <v>136.97999999999999</v>
      </c>
      <c r="L6848" s="11">
        <v>24.49</v>
      </c>
      <c r="M6848" s="9" t="s">
        <v>1512</v>
      </c>
      <c r="N6848" s="6" t="s">
        <v>2012</v>
      </c>
      <c r="O6848" s="6" t="s">
        <v>2012</v>
      </c>
      <c r="P6848" s="9" t="s">
        <v>60</v>
      </c>
      <c r="Q6848" s="9" t="s">
        <v>49</v>
      </c>
      <c r="R6848" s="9" t="s">
        <v>50</v>
      </c>
      <c r="S6848" s="7" t="s">
        <v>480</v>
      </c>
      <c r="T6848" s="9" t="s">
        <v>29</v>
      </c>
      <c r="U6848" s="7">
        <v>0.59</v>
      </c>
      <c r="V6848" s="12">
        <f>C6848+2</f>
        <v>40008</v>
      </c>
      <c r="W6848">
        <f>IF(D6848=' Pivot Tables'!$A$4,1,0)</f>
        <v>0</v>
      </c>
      <c r="X6848">
        <f>IF(AND(LEFT(D6848,4)+1=LEFT(' Pivot Tables'!$A$4,4)+0,RIGHT(LEFT(D6848,7),2)=RIGHT(LEFT(' Pivot Tables'!$A$4,7),2)),1,0)</f>
        <v>0</v>
      </c>
      <c r="Y6848" s="6">
        <f>1/COUNTIF(Таблица1[Order ID],Таблица1[[#This Row],[Order ID]])</f>
        <v>1</v>
      </c>
      <c r="Z6848" s="9">
        <f>1/COUNTIFS(Таблица1[Customer Name],Таблица1[[#This Row],[Customer Name]],Таблица1[Order-Year-Month],Таблица1[[#This Row],[Order-Year-Month]])</f>
        <v>1</v>
      </c>
    </row>
    <row r="6849" spans="1:26" x14ac:dyDescent="0.2">
      <c r="A6849" s="6">
        <v>2894</v>
      </c>
      <c r="B6849" s="7">
        <v>20898</v>
      </c>
      <c r="C6849" s="8">
        <f>DATE(2012,12,31)-428</f>
        <v>40846</v>
      </c>
      <c r="D6849" s="8" t="str">
        <f t="shared" si="126"/>
        <v>2011-10 (октябрь 2011)</v>
      </c>
      <c r="E6849" s="9" t="s">
        <v>63</v>
      </c>
      <c r="F6849" s="7">
        <v>33</v>
      </c>
      <c r="G6849" s="7">
        <v>1756.5929999999998</v>
      </c>
      <c r="H6849" s="7">
        <v>0.09</v>
      </c>
      <c r="I6849" s="9" t="s">
        <v>22</v>
      </c>
      <c r="J6849" s="10">
        <v>298.20599999999996</v>
      </c>
      <c r="K6849" s="11">
        <v>65.989999999999995</v>
      </c>
      <c r="L6849" s="11">
        <v>5.63</v>
      </c>
      <c r="M6849" s="9" t="s">
        <v>2044</v>
      </c>
      <c r="N6849" s="6" t="s">
        <v>2012</v>
      </c>
      <c r="O6849" s="6" t="s">
        <v>2012</v>
      </c>
      <c r="P6849" s="9" t="s">
        <v>33</v>
      </c>
      <c r="Q6849" s="9" t="s">
        <v>42</v>
      </c>
      <c r="R6849" s="9" t="s">
        <v>43</v>
      </c>
      <c r="S6849" s="7" t="s">
        <v>1419</v>
      </c>
      <c r="T6849" s="9" t="s">
        <v>39</v>
      </c>
      <c r="U6849" s="7">
        <v>0.56000000000000005</v>
      </c>
      <c r="V6849" s="12">
        <f>C6849+2</f>
        <v>40848</v>
      </c>
      <c r="W6849">
        <f>IF(D6849=' Pivot Tables'!$A$4,1,0)</f>
        <v>0</v>
      </c>
      <c r="X6849">
        <f>IF(AND(LEFT(D6849,4)+1=LEFT(' Pivot Tables'!$A$4,4)+0,RIGHT(LEFT(D6849,7),2)=RIGHT(LEFT(' Pivot Tables'!$A$4,7),2)),1,0)</f>
        <v>0</v>
      </c>
      <c r="Y6849" s="6">
        <f>1/COUNTIF(Таблица1[Order ID],Таблица1[[#This Row],[Order ID]])</f>
        <v>1</v>
      </c>
      <c r="Z6849" s="9">
        <f>1/COUNTIFS(Таблица1[Customer Name],Таблица1[[#This Row],[Customer Name]],Таблица1[Order-Year-Month],Таблица1[[#This Row],[Order-Year-Month]])</f>
        <v>1</v>
      </c>
    </row>
    <row r="6850" spans="1:26" x14ac:dyDescent="0.2">
      <c r="A6850" s="6">
        <v>2911</v>
      </c>
      <c r="B6850" s="7">
        <v>20995</v>
      </c>
      <c r="C6850" s="8">
        <f>DATE(2012,12,31)-279</f>
        <v>40995</v>
      </c>
      <c r="D6850" s="8" t="str">
        <f t="shared" si="126"/>
        <v>2012-03 (март 2012)</v>
      </c>
      <c r="E6850" s="9" t="s">
        <v>63</v>
      </c>
      <c r="F6850" s="7">
        <v>37</v>
      </c>
      <c r="G6850" s="7">
        <v>5817.88</v>
      </c>
      <c r="H6850" s="7">
        <v>0.01</v>
      </c>
      <c r="I6850" s="9" t="s">
        <v>31</v>
      </c>
      <c r="J6850" s="10">
        <v>-567.14</v>
      </c>
      <c r="K6850" s="11">
        <v>150.97999999999999</v>
      </c>
      <c r="L6850" s="11">
        <v>66.27</v>
      </c>
      <c r="M6850" s="9" t="s">
        <v>2046</v>
      </c>
      <c r="N6850" s="6" t="s">
        <v>2012</v>
      </c>
      <c r="O6850" s="6" t="s">
        <v>2012</v>
      </c>
      <c r="P6850" s="9" t="s">
        <v>33</v>
      </c>
      <c r="Q6850" s="9" t="s">
        <v>49</v>
      </c>
      <c r="R6850" s="9" t="s">
        <v>80</v>
      </c>
      <c r="S6850" s="7" t="s">
        <v>325</v>
      </c>
      <c r="T6850" s="9" t="s">
        <v>82</v>
      </c>
      <c r="U6850" s="7">
        <v>0.65</v>
      </c>
      <c r="V6850" s="12">
        <f>C6850+1</f>
        <v>40996</v>
      </c>
      <c r="W6850">
        <f>IF(D6850=' Pivot Tables'!$A$4,1,0)</f>
        <v>0</v>
      </c>
      <c r="X6850">
        <f>IF(AND(LEFT(D6850,4)+1=LEFT(' Pivot Tables'!$A$4,4)+0,RIGHT(LEFT(D6850,7),2)=RIGHT(LEFT(' Pivot Tables'!$A$4,7),2)),1,0)</f>
        <v>0</v>
      </c>
      <c r="Y6850" s="6">
        <f>1/COUNTIF(Таблица1[Order ID],Таблица1[[#This Row],[Order ID]])</f>
        <v>1</v>
      </c>
      <c r="Z6850" s="9">
        <f>1/COUNTIFS(Таблица1[Customer Name],Таблица1[[#This Row],[Customer Name]],Таблица1[Order-Year-Month],Таблица1[[#This Row],[Order-Year-Month]])</f>
        <v>1</v>
      </c>
    </row>
    <row r="6851" spans="1:26" x14ac:dyDescent="0.2">
      <c r="A6851" s="6">
        <v>2923</v>
      </c>
      <c r="B6851" s="7">
        <v>21159</v>
      </c>
      <c r="C6851" s="8">
        <f>DATE(2012,12,31)-573</f>
        <v>40701</v>
      </c>
      <c r="D6851" s="8" t="str">
        <f t="shared" ref="D6851:D6914" si="127">TEXT(C6851,"гггг-ММ (ММММ гггг)")</f>
        <v>2011-06 (июнь 2011)</v>
      </c>
      <c r="E6851" s="9" t="s">
        <v>21</v>
      </c>
      <c r="F6851" s="7">
        <v>5</v>
      </c>
      <c r="G6851" s="7">
        <v>20.28</v>
      </c>
      <c r="H6851" s="7">
        <v>0.05</v>
      </c>
      <c r="I6851" s="9" t="s">
        <v>56</v>
      </c>
      <c r="J6851" s="10">
        <v>-4.32</v>
      </c>
      <c r="K6851" s="11">
        <v>2.98</v>
      </c>
      <c r="L6851" s="11">
        <v>2.0299999999999998</v>
      </c>
      <c r="M6851" s="9" t="s">
        <v>1562</v>
      </c>
      <c r="N6851" s="6" t="s">
        <v>2012</v>
      </c>
      <c r="O6851" s="6" t="s">
        <v>2012</v>
      </c>
      <c r="P6851" s="9" t="s">
        <v>33</v>
      </c>
      <c r="Q6851" s="9" t="s">
        <v>26</v>
      </c>
      <c r="R6851" s="9" t="s">
        <v>95</v>
      </c>
      <c r="S6851" s="7" t="s">
        <v>1764</v>
      </c>
      <c r="T6851" s="9" t="s">
        <v>68</v>
      </c>
      <c r="U6851" s="7">
        <v>0.56999999999999995</v>
      </c>
      <c r="V6851" s="12">
        <f>C6851+4</f>
        <v>40705</v>
      </c>
      <c r="W6851">
        <f>IF(D6851=' Pivot Tables'!$A$4,1,0)</f>
        <v>0</v>
      </c>
      <c r="X6851">
        <f>IF(AND(LEFT(D6851,4)+1=LEFT(' Pivot Tables'!$A$4,4)+0,RIGHT(LEFT(D6851,7),2)=RIGHT(LEFT(' Pivot Tables'!$A$4,7),2)),1,0)</f>
        <v>0</v>
      </c>
      <c r="Y6851" s="6">
        <f>1/COUNTIF(Таблица1[Order ID],Таблица1[[#This Row],[Order ID]])</f>
        <v>1</v>
      </c>
      <c r="Z6851" s="9">
        <f>1/COUNTIFS(Таблица1[Customer Name],Таблица1[[#This Row],[Customer Name]],Таблица1[Order-Year-Month],Таблица1[[#This Row],[Order-Year-Month]])</f>
        <v>0.5</v>
      </c>
    </row>
    <row r="6852" spans="1:26" x14ac:dyDescent="0.2">
      <c r="A6852" s="6">
        <v>2926</v>
      </c>
      <c r="B6852" s="7">
        <v>21191</v>
      </c>
      <c r="C6852" s="8">
        <f>DATE(2012,12,31)-47</f>
        <v>41227</v>
      </c>
      <c r="D6852" s="8" t="str">
        <f t="shared" si="127"/>
        <v>2012-11 (ноябрь 2012)</v>
      </c>
      <c r="E6852" s="9" t="s">
        <v>30</v>
      </c>
      <c r="F6852" s="7">
        <v>48</v>
      </c>
      <c r="G6852" s="7">
        <v>7235.83</v>
      </c>
      <c r="H6852" s="7">
        <v>0.01</v>
      </c>
      <c r="I6852" s="9" t="s">
        <v>22</v>
      </c>
      <c r="J6852" s="10">
        <v>3496.37</v>
      </c>
      <c r="K6852" s="11">
        <v>140.99</v>
      </c>
      <c r="L6852" s="11">
        <v>13.99</v>
      </c>
      <c r="M6852" s="9" t="s">
        <v>1278</v>
      </c>
      <c r="N6852" s="6" t="s">
        <v>2012</v>
      </c>
      <c r="O6852" s="6" t="s">
        <v>2012</v>
      </c>
      <c r="P6852" s="9" t="s">
        <v>60</v>
      </c>
      <c r="Q6852" s="9" t="s">
        <v>42</v>
      </c>
      <c r="R6852" s="9" t="s">
        <v>210</v>
      </c>
      <c r="S6852" s="7" t="s">
        <v>459</v>
      </c>
      <c r="T6852" s="9" t="s">
        <v>48</v>
      </c>
      <c r="U6852" s="7">
        <v>0.37</v>
      </c>
      <c r="V6852" s="12">
        <f>C6852+0</f>
        <v>41227</v>
      </c>
      <c r="W6852">
        <f>IF(D6852=' Pivot Tables'!$A$4,1,0)</f>
        <v>0</v>
      </c>
      <c r="X6852">
        <f>IF(AND(LEFT(D6852,4)+1=LEFT(' Pivot Tables'!$A$4,4)+0,RIGHT(LEFT(D6852,7),2)=RIGHT(LEFT(' Pivot Tables'!$A$4,7),2)),1,0)</f>
        <v>0</v>
      </c>
      <c r="Y6852" s="6">
        <f>1/COUNTIF(Таблица1[Order ID],Таблица1[[#This Row],[Order ID]])</f>
        <v>1</v>
      </c>
      <c r="Z6852" s="9">
        <f>1/COUNTIFS(Таблица1[Customer Name],Таблица1[[#This Row],[Customer Name]],Таблица1[Order-Year-Month],Таблица1[[#This Row],[Order-Year-Month]])</f>
        <v>0.5</v>
      </c>
    </row>
    <row r="6853" spans="1:26" x14ac:dyDescent="0.2">
      <c r="A6853" s="6">
        <v>2937</v>
      </c>
      <c r="B6853" s="7">
        <v>21286</v>
      </c>
      <c r="C6853" s="8">
        <f>DATE(2012,12,31)-1325</f>
        <v>39949</v>
      </c>
      <c r="D6853" s="8" t="str">
        <f t="shared" si="127"/>
        <v>2009-05 (май 2009)</v>
      </c>
      <c r="E6853" s="9" t="s">
        <v>78</v>
      </c>
      <c r="F6853" s="7">
        <v>17</v>
      </c>
      <c r="G6853" s="7">
        <v>280.39</v>
      </c>
      <c r="H6853" s="7">
        <v>0</v>
      </c>
      <c r="I6853" s="9" t="s">
        <v>56</v>
      </c>
      <c r="J6853" s="10">
        <v>9.33</v>
      </c>
      <c r="K6853" s="11">
        <v>14.42</v>
      </c>
      <c r="L6853" s="11">
        <v>6.75</v>
      </c>
      <c r="M6853" s="9" t="s">
        <v>2029</v>
      </c>
      <c r="N6853" s="6" t="s">
        <v>2012</v>
      </c>
      <c r="O6853" s="6" t="s">
        <v>2012</v>
      </c>
      <c r="P6853" s="9" t="s">
        <v>25</v>
      </c>
      <c r="Q6853" s="9" t="s">
        <v>26</v>
      </c>
      <c r="R6853" s="9" t="s">
        <v>34</v>
      </c>
      <c r="S6853" s="7" t="s">
        <v>1036</v>
      </c>
      <c r="T6853" s="9" t="s">
        <v>48</v>
      </c>
      <c r="U6853" s="7">
        <v>0.52</v>
      </c>
      <c r="V6853" s="12">
        <f>C6853+1</f>
        <v>39950</v>
      </c>
      <c r="W6853">
        <f>IF(D6853=' Pivot Tables'!$A$4,1,0)</f>
        <v>0</v>
      </c>
      <c r="X6853">
        <f>IF(AND(LEFT(D6853,4)+1=LEFT(' Pivot Tables'!$A$4,4)+0,RIGHT(LEFT(D6853,7),2)=RIGHT(LEFT(' Pivot Tables'!$A$4,7),2)),1,0)</f>
        <v>0</v>
      </c>
      <c r="Y6853" s="6">
        <f>1/COUNTIF(Таблица1[Order ID],Таблица1[[#This Row],[Order ID]])</f>
        <v>1</v>
      </c>
      <c r="Z6853" s="9">
        <f>1/COUNTIFS(Таблица1[Customer Name],Таблица1[[#This Row],[Customer Name]],Таблица1[Order-Year-Month],Таблица1[[#This Row],[Order-Year-Month]])</f>
        <v>1</v>
      </c>
    </row>
    <row r="6854" spans="1:26" x14ac:dyDescent="0.2">
      <c r="A6854" s="6">
        <v>2948</v>
      </c>
      <c r="B6854" s="7">
        <v>21346</v>
      </c>
      <c r="C6854" s="8">
        <f>DATE(2012,12,31)-573</f>
        <v>40701</v>
      </c>
      <c r="D6854" s="8" t="str">
        <f t="shared" si="127"/>
        <v>2011-06 (июнь 2011)</v>
      </c>
      <c r="E6854" s="9" t="s">
        <v>30</v>
      </c>
      <c r="F6854" s="7">
        <v>46</v>
      </c>
      <c r="G6854" s="7">
        <v>400.49</v>
      </c>
      <c r="H6854" s="7">
        <v>0.09</v>
      </c>
      <c r="I6854" s="9" t="s">
        <v>22</v>
      </c>
      <c r="J6854" s="10">
        <v>-237.89</v>
      </c>
      <c r="K6854" s="11">
        <v>9.06</v>
      </c>
      <c r="L6854" s="11">
        <v>9.86</v>
      </c>
      <c r="M6854" s="9" t="s">
        <v>1562</v>
      </c>
      <c r="N6854" s="6" t="s">
        <v>2012</v>
      </c>
      <c r="O6854" s="6" t="s">
        <v>2012</v>
      </c>
      <c r="P6854" s="9" t="s">
        <v>33</v>
      </c>
      <c r="Q6854" s="9" t="s">
        <v>26</v>
      </c>
      <c r="R6854" s="9" t="s">
        <v>61</v>
      </c>
      <c r="S6854" s="7" t="s">
        <v>930</v>
      </c>
      <c r="T6854" s="9" t="s">
        <v>39</v>
      </c>
      <c r="U6854" s="7">
        <v>0.4</v>
      </c>
      <c r="V6854" s="12">
        <f>C6854+0</f>
        <v>40701</v>
      </c>
      <c r="W6854">
        <f>IF(D6854=' Pivot Tables'!$A$4,1,0)</f>
        <v>0</v>
      </c>
      <c r="X6854">
        <f>IF(AND(LEFT(D6854,4)+1=LEFT(' Pivot Tables'!$A$4,4)+0,RIGHT(LEFT(D6854,7),2)=RIGHT(LEFT(' Pivot Tables'!$A$4,7),2)),1,0)</f>
        <v>0</v>
      </c>
      <c r="Y6854" s="6">
        <f>1/COUNTIF(Таблица1[Order ID],Таблица1[[#This Row],[Order ID]])</f>
        <v>1</v>
      </c>
      <c r="Z6854" s="9">
        <f>1/COUNTIFS(Таблица1[Customer Name],Таблица1[[#This Row],[Customer Name]],Таблица1[Order-Year-Month],Таблица1[[#This Row],[Order-Year-Month]])</f>
        <v>0.5</v>
      </c>
    </row>
    <row r="6855" spans="1:26" x14ac:dyDescent="0.2">
      <c r="A6855" s="6">
        <v>2970</v>
      </c>
      <c r="B6855" s="7">
        <v>21475</v>
      </c>
      <c r="C6855" s="8">
        <f>DATE(2012,12,31)-680</f>
        <v>40594</v>
      </c>
      <c r="D6855" s="8" t="str">
        <f t="shared" si="127"/>
        <v>2011-02 (февраль 2011)</v>
      </c>
      <c r="E6855" s="9" t="s">
        <v>78</v>
      </c>
      <c r="F6855" s="7">
        <v>39</v>
      </c>
      <c r="G6855" s="7">
        <v>538.14</v>
      </c>
      <c r="H6855" s="7">
        <v>0.06</v>
      </c>
      <c r="I6855" s="9" t="s">
        <v>22</v>
      </c>
      <c r="J6855" s="10">
        <v>111.42</v>
      </c>
      <c r="K6855" s="11">
        <v>14.48</v>
      </c>
      <c r="L6855" s="11">
        <v>1.99</v>
      </c>
      <c r="M6855" s="9" t="s">
        <v>1482</v>
      </c>
      <c r="N6855" s="6" t="s">
        <v>2012</v>
      </c>
      <c r="O6855" s="6" t="s">
        <v>2012</v>
      </c>
      <c r="P6855" s="9" t="s">
        <v>33</v>
      </c>
      <c r="Q6855" s="9" t="s">
        <v>42</v>
      </c>
      <c r="R6855" s="9" t="s">
        <v>70</v>
      </c>
      <c r="S6855" s="7" t="s">
        <v>305</v>
      </c>
      <c r="T6855" s="9" t="s">
        <v>52</v>
      </c>
      <c r="U6855" s="7">
        <v>0.49</v>
      </c>
      <c r="V6855" s="12">
        <f>C6855+2</f>
        <v>40596</v>
      </c>
      <c r="W6855">
        <f>IF(D6855=' Pivot Tables'!$A$4,1,0)</f>
        <v>0</v>
      </c>
      <c r="X6855">
        <f>IF(AND(LEFT(D6855,4)+1=LEFT(' Pivot Tables'!$A$4,4)+0,RIGHT(LEFT(D6855,7),2)=RIGHT(LEFT(' Pivot Tables'!$A$4,7),2)),1,0)</f>
        <v>0</v>
      </c>
      <c r="Y6855" s="6">
        <f>1/COUNTIF(Таблица1[Order ID],Таблица1[[#This Row],[Order ID]])</f>
        <v>0.5</v>
      </c>
      <c r="Z6855" s="9">
        <f>1/COUNTIFS(Таблица1[Customer Name],Таблица1[[#This Row],[Customer Name]],Таблица1[Order-Year-Month],Таблица1[[#This Row],[Order-Year-Month]])</f>
        <v>0.5</v>
      </c>
    </row>
    <row r="6856" spans="1:26" x14ac:dyDescent="0.2">
      <c r="A6856" s="6">
        <v>2971</v>
      </c>
      <c r="B6856" s="7">
        <v>21475</v>
      </c>
      <c r="C6856" s="8">
        <f>DATE(2012,12,31)-680</f>
        <v>40594</v>
      </c>
      <c r="D6856" s="8" t="str">
        <f t="shared" si="127"/>
        <v>2011-02 (февраль 2011)</v>
      </c>
      <c r="E6856" s="9" t="s">
        <v>78</v>
      </c>
      <c r="F6856" s="7">
        <v>15</v>
      </c>
      <c r="G6856" s="7">
        <v>4956.7839999999997</v>
      </c>
      <c r="H6856" s="7">
        <v>0.06</v>
      </c>
      <c r="I6856" s="9" t="s">
        <v>31</v>
      </c>
      <c r="J6856" s="10">
        <v>-296.06</v>
      </c>
      <c r="K6856" s="11">
        <v>417.4</v>
      </c>
      <c r="L6856" s="11">
        <v>75.23</v>
      </c>
      <c r="M6856" s="9" t="s">
        <v>1482</v>
      </c>
      <c r="N6856" s="6" t="s">
        <v>2012</v>
      </c>
      <c r="O6856" s="6" t="s">
        <v>2012</v>
      </c>
      <c r="P6856" s="9" t="s">
        <v>33</v>
      </c>
      <c r="Q6856" s="9" t="s">
        <v>49</v>
      </c>
      <c r="R6856" s="9" t="s">
        <v>83</v>
      </c>
      <c r="S6856" s="7" t="s">
        <v>665</v>
      </c>
      <c r="T6856" s="9" t="s">
        <v>82</v>
      </c>
      <c r="U6856" s="7">
        <v>0.79</v>
      </c>
      <c r="V6856" s="12">
        <f>C6856+1</f>
        <v>40595</v>
      </c>
      <c r="W6856">
        <f>IF(D6856=' Pivot Tables'!$A$4,1,0)</f>
        <v>0</v>
      </c>
      <c r="X6856">
        <f>IF(AND(LEFT(D6856,4)+1=LEFT(' Pivot Tables'!$A$4,4)+0,RIGHT(LEFT(D6856,7),2)=RIGHT(LEFT(' Pivot Tables'!$A$4,7),2)),1,0)</f>
        <v>0</v>
      </c>
      <c r="Y6856" s="6">
        <f>1/COUNTIF(Таблица1[Order ID],Таблица1[[#This Row],[Order ID]])</f>
        <v>0.5</v>
      </c>
      <c r="Z6856" s="9">
        <f>1/COUNTIFS(Таблица1[Customer Name],Таблица1[[#This Row],[Customer Name]],Таблица1[Order-Year-Month],Таблица1[[#This Row],[Order-Year-Month]])</f>
        <v>0.5</v>
      </c>
    </row>
    <row r="6857" spans="1:26" x14ac:dyDescent="0.2">
      <c r="A6857" s="6">
        <v>2981</v>
      </c>
      <c r="B6857" s="7">
        <v>21539</v>
      </c>
      <c r="C6857" s="8">
        <f>DATE(2012,12,31)-906</f>
        <v>40368</v>
      </c>
      <c r="D6857" s="8" t="str">
        <f t="shared" si="127"/>
        <v>2010-07 (июль 2010)</v>
      </c>
      <c r="E6857" s="9" t="s">
        <v>63</v>
      </c>
      <c r="F6857" s="7">
        <v>18</v>
      </c>
      <c r="G6857" s="7">
        <v>388.13</v>
      </c>
      <c r="H6857" s="7">
        <v>0.04</v>
      </c>
      <c r="I6857" s="9" t="s">
        <v>22</v>
      </c>
      <c r="J6857" s="10">
        <v>40.11</v>
      </c>
      <c r="K6857" s="11">
        <v>21.98</v>
      </c>
      <c r="L6857" s="11">
        <v>8.32</v>
      </c>
      <c r="M6857" s="9" t="s">
        <v>1488</v>
      </c>
      <c r="N6857" s="6" t="s">
        <v>2012</v>
      </c>
      <c r="O6857" s="6" t="s">
        <v>2012</v>
      </c>
      <c r="P6857" s="9" t="s">
        <v>33</v>
      </c>
      <c r="Q6857" s="9" t="s">
        <v>26</v>
      </c>
      <c r="R6857" s="9" t="s">
        <v>61</v>
      </c>
      <c r="S6857" s="7" t="s">
        <v>308</v>
      </c>
      <c r="T6857" s="9" t="s">
        <v>68</v>
      </c>
      <c r="U6857" s="7">
        <v>0.39</v>
      </c>
      <c r="V6857" s="12">
        <f>C6857+1</f>
        <v>40369</v>
      </c>
      <c r="W6857">
        <f>IF(D6857=' Pivot Tables'!$A$4,1,0)</f>
        <v>0</v>
      </c>
      <c r="X6857">
        <f>IF(AND(LEFT(D6857,4)+1=LEFT(' Pivot Tables'!$A$4,4)+0,RIGHT(LEFT(D6857,7),2)=RIGHT(LEFT(' Pivot Tables'!$A$4,7),2)),1,0)</f>
        <v>0</v>
      </c>
      <c r="Y6857" s="6">
        <f>1/COUNTIF(Таблица1[Order ID],Таблица1[[#This Row],[Order ID]])</f>
        <v>0.5</v>
      </c>
      <c r="Z6857" s="9">
        <f>1/COUNTIFS(Таблица1[Customer Name],Таблица1[[#This Row],[Customer Name]],Таблица1[Order-Year-Month],Таблица1[[#This Row],[Order-Year-Month]])</f>
        <v>0.25</v>
      </c>
    </row>
    <row r="6858" spans="1:26" x14ac:dyDescent="0.2">
      <c r="A6858" s="6">
        <v>2982</v>
      </c>
      <c r="B6858" s="7">
        <v>21539</v>
      </c>
      <c r="C6858" s="8">
        <f>DATE(2012,12,31)-906</f>
        <v>40368</v>
      </c>
      <c r="D6858" s="8" t="str">
        <f t="shared" si="127"/>
        <v>2010-07 (июль 2010)</v>
      </c>
      <c r="E6858" s="9" t="s">
        <v>63</v>
      </c>
      <c r="F6858" s="7">
        <v>39</v>
      </c>
      <c r="G6858" s="7">
        <v>2339.84</v>
      </c>
      <c r="H6858" s="7">
        <v>0.05</v>
      </c>
      <c r="I6858" s="9" t="s">
        <v>22</v>
      </c>
      <c r="J6858" s="10">
        <v>-1730.3</v>
      </c>
      <c r="K6858" s="11">
        <v>71.37</v>
      </c>
      <c r="L6858" s="11">
        <v>69</v>
      </c>
      <c r="M6858" s="9" t="s">
        <v>1488</v>
      </c>
      <c r="N6858" s="6" t="s">
        <v>2012</v>
      </c>
      <c r="O6858" s="6" t="s">
        <v>2012</v>
      </c>
      <c r="P6858" s="9" t="s">
        <v>33</v>
      </c>
      <c r="Q6858" s="9" t="s">
        <v>49</v>
      </c>
      <c r="R6858" s="9" t="s">
        <v>83</v>
      </c>
      <c r="S6858" s="7" t="s">
        <v>84</v>
      </c>
      <c r="T6858" s="9" t="s">
        <v>29</v>
      </c>
      <c r="U6858" s="7">
        <v>0.68</v>
      </c>
      <c r="V6858" s="12">
        <f>C6858+0</f>
        <v>40368</v>
      </c>
      <c r="W6858">
        <f>IF(D6858=' Pivot Tables'!$A$4,1,0)</f>
        <v>0</v>
      </c>
      <c r="X6858">
        <f>IF(AND(LEFT(D6858,4)+1=LEFT(' Pivot Tables'!$A$4,4)+0,RIGHT(LEFT(D6858,7),2)=RIGHT(LEFT(' Pivot Tables'!$A$4,7),2)),1,0)</f>
        <v>0</v>
      </c>
      <c r="Y6858" s="6">
        <f>1/COUNTIF(Таблица1[Order ID],Таблица1[[#This Row],[Order ID]])</f>
        <v>0.5</v>
      </c>
      <c r="Z6858" s="9">
        <f>1/COUNTIFS(Таблица1[Customer Name],Таблица1[[#This Row],[Customer Name]],Таблица1[Order-Year-Month],Таблица1[[#This Row],[Order-Year-Month]])</f>
        <v>0.25</v>
      </c>
    </row>
    <row r="6859" spans="1:26" x14ac:dyDescent="0.2">
      <c r="A6859" s="6">
        <v>3008</v>
      </c>
      <c r="B6859" s="7">
        <v>21639</v>
      </c>
      <c r="C6859" s="8">
        <f>DATE(2012,12,31)-698</f>
        <v>40576</v>
      </c>
      <c r="D6859" s="8" t="str">
        <f t="shared" si="127"/>
        <v>2011-02 (февраль 2011)</v>
      </c>
      <c r="E6859" s="9" t="s">
        <v>45</v>
      </c>
      <c r="F6859" s="7">
        <v>24</v>
      </c>
      <c r="G6859" s="7">
        <v>145.15</v>
      </c>
      <c r="H6859" s="7">
        <v>7.0000000000000007E-2</v>
      </c>
      <c r="I6859" s="9" t="s">
        <v>22</v>
      </c>
      <c r="J6859" s="10">
        <v>-169.16499999999999</v>
      </c>
      <c r="K6859" s="11">
        <v>5.94</v>
      </c>
      <c r="L6859" s="11">
        <v>9.92</v>
      </c>
      <c r="M6859" s="9" t="s">
        <v>2051</v>
      </c>
      <c r="N6859" s="6" t="s">
        <v>2012</v>
      </c>
      <c r="O6859" s="6" t="s">
        <v>2012</v>
      </c>
      <c r="P6859" s="9" t="s">
        <v>60</v>
      </c>
      <c r="Q6859" s="9" t="s">
        <v>26</v>
      </c>
      <c r="R6859" s="9" t="s">
        <v>37</v>
      </c>
      <c r="S6859" s="7" t="s">
        <v>1436</v>
      </c>
      <c r="T6859" s="9" t="s">
        <v>39</v>
      </c>
      <c r="U6859" s="7">
        <v>0.38</v>
      </c>
      <c r="V6859" s="12">
        <f>C6859+2</f>
        <v>40578</v>
      </c>
      <c r="W6859">
        <f>IF(D6859=' Pivot Tables'!$A$4,1,0)</f>
        <v>0</v>
      </c>
      <c r="X6859">
        <f>IF(AND(LEFT(D6859,4)+1=LEFT(' Pivot Tables'!$A$4,4)+0,RIGHT(LEFT(D6859,7),2)=RIGHT(LEFT(' Pivot Tables'!$A$4,7),2)),1,0)</f>
        <v>0</v>
      </c>
      <c r="Y6859" s="6">
        <f>1/COUNTIF(Таблица1[Order ID],Таблица1[[#This Row],[Order ID]])</f>
        <v>0.25</v>
      </c>
      <c r="Z6859" s="9">
        <f>1/COUNTIFS(Таблица1[Customer Name],Таблица1[[#This Row],[Customer Name]],Таблица1[Order-Year-Month],Таблица1[[#This Row],[Order-Year-Month]])</f>
        <v>0.14285714285714285</v>
      </c>
    </row>
    <row r="6860" spans="1:26" x14ac:dyDescent="0.2">
      <c r="A6860" s="6">
        <v>3009</v>
      </c>
      <c r="B6860" s="7">
        <v>21639</v>
      </c>
      <c r="C6860" s="8">
        <f>DATE(2012,12,31)-698</f>
        <v>40576</v>
      </c>
      <c r="D6860" s="8" t="str">
        <f t="shared" si="127"/>
        <v>2011-02 (февраль 2011)</v>
      </c>
      <c r="E6860" s="9" t="s">
        <v>45</v>
      </c>
      <c r="F6860" s="7">
        <v>3</v>
      </c>
      <c r="G6860" s="7">
        <v>131.5</v>
      </c>
      <c r="H6860" s="7">
        <v>0.01</v>
      </c>
      <c r="I6860" s="9" t="s">
        <v>22</v>
      </c>
      <c r="J6860" s="10">
        <v>105.9</v>
      </c>
      <c r="K6860" s="11">
        <v>39.979999999999997</v>
      </c>
      <c r="L6860" s="11">
        <v>9.1999999999999993</v>
      </c>
      <c r="M6860" s="9" t="s">
        <v>2051</v>
      </c>
      <c r="N6860" s="6" t="s">
        <v>2012</v>
      </c>
      <c r="O6860" s="6" t="s">
        <v>2012</v>
      </c>
      <c r="P6860" s="9" t="s">
        <v>60</v>
      </c>
      <c r="Q6860" s="9" t="s">
        <v>49</v>
      </c>
      <c r="R6860" s="9" t="s">
        <v>50</v>
      </c>
      <c r="S6860" s="7" t="s">
        <v>238</v>
      </c>
      <c r="T6860" s="9" t="s">
        <v>68</v>
      </c>
      <c r="U6860" s="7">
        <v>0.65</v>
      </c>
      <c r="V6860" s="12">
        <f>C6860+1</f>
        <v>40577</v>
      </c>
      <c r="W6860">
        <f>IF(D6860=' Pivot Tables'!$A$4,1,0)</f>
        <v>0</v>
      </c>
      <c r="X6860">
        <f>IF(AND(LEFT(D6860,4)+1=LEFT(' Pivot Tables'!$A$4,4)+0,RIGHT(LEFT(D6860,7),2)=RIGHT(LEFT(' Pivot Tables'!$A$4,7),2)),1,0)</f>
        <v>0</v>
      </c>
      <c r="Y6860" s="6">
        <f>1/COUNTIF(Таблица1[Order ID],Таблица1[[#This Row],[Order ID]])</f>
        <v>0.25</v>
      </c>
      <c r="Z6860" s="9">
        <f>1/COUNTIFS(Таблица1[Customer Name],Таблица1[[#This Row],[Customer Name]],Таблица1[Order-Year-Month],Таблица1[[#This Row],[Order-Year-Month]])</f>
        <v>0.14285714285714285</v>
      </c>
    </row>
    <row r="6861" spans="1:26" x14ac:dyDescent="0.2">
      <c r="A6861" s="6">
        <v>3010</v>
      </c>
      <c r="B6861" s="7">
        <v>21639</v>
      </c>
      <c r="C6861" s="8">
        <f>DATE(2012,12,31)-698</f>
        <v>40576</v>
      </c>
      <c r="D6861" s="8" t="str">
        <f t="shared" si="127"/>
        <v>2011-02 (февраль 2011)</v>
      </c>
      <c r="E6861" s="9" t="s">
        <v>45</v>
      </c>
      <c r="F6861" s="7">
        <v>38</v>
      </c>
      <c r="G6861" s="7">
        <v>7814.59</v>
      </c>
      <c r="H6861" s="7">
        <v>0.02</v>
      </c>
      <c r="I6861" s="9" t="s">
        <v>22</v>
      </c>
      <c r="J6861" s="10">
        <v>3408.46</v>
      </c>
      <c r="K6861" s="11">
        <v>194.3</v>
      </c>
      <c r="L6861" s="11">
        <v>11.54</v>
      </c>
      <c r="M6861" s="9" t="s">
        <v>2051</v>
      </c>
      <c r="N6861" s="6" t="s">
        <v>2012</v>
      </c>
      <c r="O6861" s="6" t="s">
        <v>2012</v>
      </c>
      <c r="P6861" s="9" t="s">
        <v>60</v>
      </c>
      <c r="Q6861" s="9" t="s">
        <v>49</v>
      </c>
      <c r="R6861" s="9" t="s">
        <v>50</v>
      </c>
      <c r="S6861" s="7" t="s">
        <v>209</v>
      </c>
      <c r="T6861" s="9" t="s">
        <v>29</v>
      </c>
      <c r="U6861" s="7">
        <v>0.59</v>
      </c>
      <c r="V6861" s="12">
        <f>C6861+0</f>
        <v>40576</v>
      </c>
      <c r="W6861">
        <f>IF(D6861=' Pivot Tables'!$A$4,1,0)</f>
        <v>0</v>
      </c>
      <c r="X6861">
        <f>IF(AND(LEFT(D6861,4)+1=LEFT(' Pivot Tables'!$A$4,4)+0,RIGHT(LEFT(D6861,7),2)=RIGHT(LEFT(' Pivot Tables'!$A$4,7),2)),1,0)</f>
        <v>0</v>
      </c>
      <c r="Y6861" s="6">
        <f>1/COUNTIF(Таблица1[Order ID],Таблица1[[#This Row],[Order ID]])</f>
        <v>0.25</v>
      </c>
      <c r="Z6861" s="9">
        <f>1/COUNTIFS(Таблица1[Customer Name],Таблица1[[#This Row],[Customer Name]],Таблица1[Order-Year-Month],Таблица1[[#This Row],[Order-Year-Month]])</f>
        <v>0.14285714285714285</v>
      </c>
    </row>
    <row r="6862" spans="1:26" x14ac:dyDescent="0.2">
      <c r="A6862" s="6">
        <v>3011</v>
      </c>
      <c r="B6862" s="7">
        <v>21639</v>
      </c>
      <c r="C6862" s="8">
        <f>DATE(2012,12,31)-698</f>
        <v>40576</v>
      </c>
      <c r="D6862" s="8" t="str">
        <f t="shared" si="127"/>
        <v>2011-02 (февраль 2011)</v>
      </c>
      <c r="E6862" s="9" t="s">
        <v>45</v>
      </c>
      <c r="F6862" s="7">
        <v>23</v>
      </c>
      <c r="G6862" s="7">
        <v>158.99</v>
      </c>
      <c r="H6862" s="7">
        <v>7.0000000000000007E-2</v>
      </c>
      <c r="I6862" s="9" t="s">
        <v>22</v>
      </c>
      <c r="J6862" s="10">
        <v>-197.13</v>
      </c>
      <c r="K6862" s="11">
        <v>6.98</v>
      </c>
      <c r="L6862" s="11">
        <v>9.69</v>
      </c>
      <c r="M6862" s="9" t="s">
        <v>2051</v>
      </c>
      <c r="N6862" s="6" t="s">
        <v>2012</v>
      </c>
      <c r="O6862" s="6" t="s">
        <v>2012</v>
      </c>
      <c r="P6862" s="9" t="s">
        <v>60</v>
      </c>
      <c r="Q6862" s="9" t="s">
        <v>26</v>
      </c>
      <c r="R6862" s="9" t="s">
        <v>27</v>
      </c>
      <c r="S6862" s="7" t="s">
        <v>1314</v>
      </c>
      <c r="T6862" s="9" t="s">
        <v>39</v>
      </c>
      <c r="U6862" s="7">
        <v>0.83</v>
      </c>
      <c r="V6862" s="12">
        <f>C6862+0</f>
        <v>40576</v>
      </c>
      <c r="W6862">
        <f>IF(D6862=' Pivot Tables'!$A$4,1,0)</f>
        <v>0</v>
      </c>
      <c r="X6862">
        <f>IF(AND(LEFT(D6862,4)+1=LEFT(' Pivot Tables'!$A$4,4)+0,RIGHT(LEFT(D6862,7),2)=RIGHT(LEFT(' Pivot Tables'!$A$4,7),2)),1,0)</f>
        <v>0</v>
      </c>
      <c r="Y6862" s="6">
        <f>1/COUNTIF(Таблица1[Order ID],Таблица1[[#This Row],[Order ID]])</f>
        <v>0.25</v>
      </c>
      <c r="Z6862" s="9">
        <f>1/COUNTIFS(Таблица1[Customer Name],Таблица1[[#This Row],[Customer Name]],Таблица1[Order-Year-Month],Таблица1[[#This Row],[Order-Year-Month]])</f>
        <v>0.14285714285714285</v>
      </c>
    </row>
    <row r="6863" spans="1:26" x14ac:dyDescent="0.2">
      <c r="A6863" s="6">
        <v>3025</v>
      </c>
      <c r="B6863" s="7">
        <v>21760</v>
      </c>
      <c r="C6863" s="8">
        <f>DATE(2012,12,31)-701</f>
        <v>40573</v>
      </c>
      <c r="D6863" s="8" t="str">
        <f t="shared" si="127"/>
        <v>2011-01 (январь 2011)</v>
      </c>
      <c r="E6863" s="9" t="s">
        <v>45</v>
      </c>
      <c r="F6863" s="7">
        <v>9</v>
      </c>
      <c r="G6863" s="7">
        <v>71.2</v>
      </c>
      <c r="H6863" s="7">
        <v>0.08</v>
      </c>
      <c r="I6863" s="9" t="s">
        <v>22</v>
      </c>
      <c r="J6863" s="10">
        <v>1.87</v>
      </c>
      <c r="K6863" s="11">
        <v>7.38</v>
      </c>
      <c r="L6863" s="11">
        <v>5.21</v>
      </c>
      <c r="M6863" s="9" t="s">
        <v>1511</v>
      </c>
      <c r="N6863" s="6" t="s">
        <v>2012</v>
      </c>
      <c r="O6863" s="6" t="s">
        <v>2012</v>
      </c>
      <c r="P6863" s="9" t="s">
        <v>60</v>
      </c>
      <c r="Q6863" s="9" t="s">
        <v>49</v>
      </c>
      <c r="R6863" s="9" t="s">
        <v>50</v>
      </c>
      <c r="S6863" s="7" t="s">
        <v>514</v>
      </c>
      <c r="T6863" s="9" t="s">
        <v>39</v>
      </c>
      <c r="U6863" s="7">
        <v>0.56000000000000005</v>
      </c>
      <c r="V6863" s="12">
        <f>C6863+1</f>
        <v>40574</v>
      </c>
      <c r="W6863">
        <f>IF(D6863=' Pivot Tables'!$A$4,1,0)</f>
        <v>0</v>
      </c>
      <c r="X6863">
        <f>IF(AND(LEFT(D6863,4)+1=LEFT(' Pivot Tables'!$A$4,4)+0,RIGHT(LEFT(D6863,7),2)=RIGHT(LEFT(' Pivot Tables'!$A$4,7),2)),1,0)</f>
        <v>0</v>
      </c>
      <c r="Y6863" s="6">
        <f>1/COUNTIF(Таблица1[Order ID],Таблица1[[#This Row],[Order ID]])</f>
        <v>1</v>
      </c>
      <c r="Z6863" s="9">
        <f>1/COUNTIFS(Таблица1[Customer Name],Таблица1[[#This Row],[Customer Name]],Таблица1[Order-Year-Month],Таблица1[[#This Row],[Order-Year-Month]])</f>
        <v>0.5</v>
      </c>
    </row>
    <row r="6864" spans="1:26" x14ac:dyDescent="0.2">
      <c r="A6864" s="6">
        <v>3038</v>
      </c>
      <c r="B6864" s="7">
        <v>21827</v>
      </c>
      <c r="C6864" s="8">
        <f>DATE(2012,12,31)-52</f>
        <v>41222</v>
      </c>
      <c r="D6864" s="8" t="str">
        <f t="shared" si="127"/>
        <v>2012-11 (ноябрь 2012)</v>
      </c>
      <c r="E6864" s="9" t="s">
        <v>45</v>
      </c>
      <c r="F6864" s="7">
        <v>25</v>
      </c>
      <c r="G6864" s="7">
        <v>1351.78</v>
      </c>
      <c r="H6864" s="7">
        <v>0.06</v>
      </c>
      <c r="I6864" s="9" t="s">
        <v>22</v>
      </c>
      <c r="J6864" s="10">
        <v>109.92</v>
      </c>
      <c r="K6864" s="11">
        <v>56.96</v>
      </c>
      <c r="L6864" s="11">
        <v>13.22</v>
      </c>
      <c r="M6864" s="9" t="s">
        <v>1533</v>
      </c>
      <c r="N6864" s="6" t="s">
        <v>2012</v>
      </c>
      <c r="O6864" s="6" t="s">
        <v>2012</v>
      </c>
      <c r="P6864" s="9" t="s">
        <v>41</v>
      </c>
      <c r="Q6864" s="9" t="s">
        <v>26</v>
      </c>
      <c r="R6864" s="9" t="s">
        <v>34</v>
      </c>
      <c r="S6864" s="7" t="s">
        <v>541</v>
      </c>
      <c r="T6864" s="9" t="s">
        <v>39</v>
      </c>
      <c r="U6864" s="7">
        <v>0.56000000000000005</v>
      </c>
      <c r="V6864" s="12">
        <f>C6864+2</f>
        <v>41224</v>
      </c>
      <c r="W6864">
        <f>IF(D6864=' Pivot Tables'!$A$4,1,0)</f>
        <v>0</v>
      </c>
      <c r="X6864">
        <f>IF(AND(LEFT(D6864,4)+1=LEFT(' Pivot Tables'!$A$4,4)+0,RIGHT(LEFT(D6864,7),2)=RIGHT(LEFT(' Pivot Tables'!$A$4,7),2)),1,0)</f>
        <v>0</v>
      </c>
      <c r="Y6864" s="6">
        <f>1/COUNTIF(Таблица1[Order ID],Таблица1[[#This Row],[Order ID]])</f>
        <v>0.5</v>
      </c>
      <c r="Z6864" s="9">
        <f>1/COUNTIFS(Таблица1[Customer Name],Таблица1[[#This Row],[Customer Name]],Таблица1[Order-Year-Month],Таблица1[[#This Row],[Order-Year-Month]])</f>
        <v>0.33333333333333331</v>
      </c>
    </row>
    <row r="6865" spans="1:26" x14ac:dyDescent="0.2">
      <c r="A6865" s="6">
        <v>3039</v>
      </c>
      <c r="B6865" s="7">
        <v>21827</v>
      </c>
      <c r="C6865" s="8">
        <f>DATE(2012,12,31)-52</f>
        <v>41222</v>
      </c>
      <c r="D6865" s="8" t="str">
        <f t="shared" si="127"/>
        <v>2012-11 (ноябрь 2012)</v>
      </c>
      <c r="E6865" s="9" t="s">
        <v>45</v>
      </c>
      <c r="F6865" s="7">
        <v>21</v>
      </c>
      <c r="G6865" s="7">
        <v>1560.96</v>
      </c>
      <c r="H6865" s="7">
        <v>7.0000000000000007E-2</v>
      </c>
      <c r="I6865" s="9" t="s">
        <v>56</v>
      </c>
      <c r="J6865" s="10">
        <v>-120.27</v>
      </c>
      <c r="K6865" s="11">
        <v>73.98</v>
      </c>
      <c r="L6865" s="11">
        <v>4</v>
      </c>
      <c r="M6865" s="9" t="s">
        <v>1533</v>
      </c>
      <c r="N6865" s="6" t="s">
        <v>2012</v>
      </c>
      <c r="O6865" s="6" t="s">
        <v>2012</v>
      </c>
      <c r="P6865" s="9" t="s">
        <v>41</v>
      </c>
      <c r="Q6865" s="9" t="s">
        <v>42</v>
      </c>
      <c r="R6865" s="9" t="s">
        <v>70</v>
      </c>
      <c r="S6865" s="7" t="s">
        <v>822</v>
      </c>
      <c r="T6865" s="9" t="s">
        <v>39</v>
      </c>
      <c r="U6865" s="7">
        <v>0.79</v>
      </c>
      <c r="V6865" s="12">
        <f>C6865+1</f>
        <v>41223</v>
      </c>
      <c r="W6865">
        <f>IF(D6865=' Pivot Tables'!$A$4,1,0)</f>
        <v>0</v>
      </c>
      <c r="X6865">
        <f>IF(AND(LEFT(D6865,4)+1=LEFT(' Pivot Tables'!$A$4,4)+0,RIGHT(LEFT(D6865,7),2)=RIGHT(LEFT(' Pivot Tables'!$A$4,7),2)),1,0)</f>
        <v>0</v>
      </c>
      <c r="Y6865" s="6">
        <f>1/COUNTIF(Таблица1[Order ID],Таблица1[[#This Row],[Order ID]])</f>
        <v>0.5</v>
      </c>
      <c r="Z6865" s="9">
        <f>1/COUNTIFS(Таблица1[Customer Name],Таблица1[[#This Row],[Customer Name]],Таблица1[Order-Year-Month],Таблица1[[#This Row],[Order-Year-Month]])</f>
        <v>0.33333333333333331</v>
      </c>
    </row>
    <row r="6866" spans="1:26" x14ac:dyDescent="0.2">
      <c r="A6866" s="6">
        <v>3055</v>
      </c>
      <c r="B6866" s="7">
        <v>21890</v>
      </c>
      <c r="C6866" s="8">
        <f>DATE(2012,12,31)-707</f>
        <v>40567</v>
      </c>
      <c r="D6866" s="8" t="str">
        <f t="shared" si="127"/>
        <v>2011-01 (январь 2011)</v>
      </c>
      <c r="E6866" s="9" t="s">
        <v>45</v>
      </c>
      <c r="F6866" s="7">
        <v>44</v>
      </c>
      <c r="G6866" s="7">
        <v>495.5</v>
      </c>
      <c r="H6866" s="7">
        <v>0.06</v>
      </c>
      <c r="I6866" s="9" t="s">
        <v>22</v>
      </c>
      <c r="J6866" s="10">
        <v>-12.67</v>
      </c>
      <c r="K6866" s="11">
        <v>11.58</v>
      </c>
      <c r="L6866" s="11">
        <v>6.97</v>
      </c>
      <c r="M6866" s="9" t="s">
        <v>1361</v>
      </c>
      <c r="N6866" s="6" t="s">
        <v>2012</v>
      </c>
      <c r="O6866" s="6" t="s">
        <v>2012</v>
      </c>
      <c r="P6866" s="9" t="s">
        <v>25</v>
      </c>
      <c r="Q6866" s="9" t="s">
        <v>26</v>
      </c>
      <c r="R6866" s="9" t="s">
        <v>76</v>
      </c>
      <c r="S6866" s="7" t="s">
        <v>304</v>
      </c>
      <c r="T6866" s="9" t="s">
        <v>39</v>
      </c>
      <c r="U6866" s="7">
        <v>0.35</v>
      </c>
      <c r="V6866" s="12">
        <f>C6866+2</f>
        <v>40569</v>
      </c>
      <c r="W6866">
        <f>IF(D6866=' Pivot Tables'!$A$4,1,0)</f>
        <v>0</v>
      </c>
      <c r="X6866">
        <f>IF(AND(LEFT(D6866,4)+1=LEFT(' Pivot Tables'!$A$4,4)+0,RIGHT(LEFT(D6866,7),2)=RIGHT(LEFT(' Pivot Tables'!$A$4,7),2)),1,0)</f>
        <v>0</v>
      </c>
      <c r="Y6866" s="6">
        <f>1/COUNTIF(Таблица1[Order ID],Таблица1[[#This Row],[Order ID]])</f>
        <v>0.5</v>
      </c>
      <c r="Z6866" s="9">
        <f>1/COUNTIFS(Таблица1[Customer Name],Таблица1[[#This Row],[Customer Name]],Таблица1[Order-Year-Month],Таблица1[[#This Row],[Order-Year-Month]])</f>
        <v>0.5</v>
      </c>
    </row>
    <row r="6867" spans="1:26" x14ac:dyDescent="0.2">
      <c r="A6867" s="6">
        <v>3063</v>
      </c>
      <c r="B6867" s="7">
        <v>21927</v>
      </c>
      <c r="C6867" s="8">
        <f>DATE(2012,12,31)-387</f>
        <v>40887</v>
      </c>
      <c r="D6867" s="8" t="str">
        <f t="shared" si="127"/>
        <v>2011-12 (декабрь 2011)</v>
      </c>
      <c r="E6867" s="9" t="s">
        <v>30</v>
      </c>
      <c r="F6867" s="7">
        <v>23</v>
      </c>
      <c r="G6867" s="7">
        <v>8225.24</v>
      </c>
      <c r="H6867" s="7">
        <v>0.06</v>
      </c>
      <c r="I6867" s="9" t="s">
        <v>31</v>
      </c>
      <c r="J6867" s="10">
        <v>1909.03</v>
      </c>
      <c r="K6867" s="11">
        <v>350.98</v>
      </c>
      <c r="L6867" s="11">
        <v>30</v>
      </c>
      <c r="M6867" s="9" t="s">
        <v>1517</v>
      </c>
      <c r="N6867" s="6" t="s">
        <v>2012</v>
      </c>
      <c r="O6867" s="6" t="s">
        <v>2012</v>
      </c>
      <c r="P6867" s="9" t="s">
        <v>60</v>
      </c>
      <c r="Q6867" s="9" t="s">
        <v>49</v>
      </c>
      <c r="R6867" s="9" t="s">
        <v>112</v>
      </c>
      <c r="S6867" s="7" t="s">
        <v>1397</v>
      </c>
      <c r="T6867" s="9" t="s">
        <v>36</v>
      </c>
      <c r="U6867" s="7">
        <v>0.61</v>
      </c>
      <c r="V6867" s="12">
        <f>C6867+1</f>
        <v>40888</v>
      </c>
      <c r="W6867">
        <f>IF(D6867=' Pivot Tables'!$A$4,1,0)</f>
        <v>0</v>
      </c>
      <c r="X6867">
        <f>IF(AND(LEFT(D6867,4)+1=LEFT(' Pivot Tables'!$A$4,4)+0,RIGHT(LEFT(D6867,7),2)=RIGHT(LEFT(' Pivot Tables'!$A$4,7),2)),1,0)</f>
        <v>0</v>
      </c>
      <c r="Y6867" s="6">
        <f>1/COUNTIF(Таблица1[Order ID],Таблица1[[#This Row],[Order ID]])</f>
        <v>1</v>
      </c>
      <c r="Z6867" s="9">
        <f>1/COUNTIFS(Таблица1[Customer Name],Таблица1[[#This Row],[Customer Name]],Таблица1[Order-Year-Month],Таблица1[[#This Row],[Order-Year-Month]])</f>
        <v>1</v>
      </c>
    </row>
    <row r="6868" spans="1:26" x14ac:dyDescent="0.2">
      <c r="A6868" s="6">
        <v>3068</v>
      </c>
      <c r="B6868" s="7">
        <v>21988</v>
      </c>
      <c r="C6868" s="8">
        <f>DATE(2012,12,31)-1009</f>
        <v>40265</v>
      </c>
      <c r="D6868" s="8" t="str">
        <f t="shared" si="127"/>
        <v>2010-03 (март 2010)</v>
      </c>
      <c r="E6868" s="9" t="s">
        <v>63</v>
      </c>
      <c r="F6868" s="7">
        <v>4</v>
      </c>
      <c r="G6868" s="7">
        <v>1337.19</v>
      </c>
      <c r="H6868" s="7">
        <v>0.06</v>
      </c>
      <c r="I6868" s="9" t="s">
        <v>31</v>
      </c>
      <c r="J6868" s="10">
        <v>-431.45</v>
      </c>
      <c r="K6868" s="11">
        <v>328.14</v>
      </c>
      <c r="L6868" s="11">
        <v>91.05</v>
      </c>
      <c r="M6868" s="9" t="s">
        <v>2039</v>
      </c>
      <c r="N6868" s="6" t="s">
        <v>2012</v>
      </c>
      <c r="O6868" s="6" t="s">
        <v>2012</v>
      </c>
      <c r="P6868" s="9" t="s">
        <v>41</v>
      </c>
      <c r="Q6868" s="9" t="s">
        <v>26</v>
      </c>
      <c r="R6868" s="9" t="s">
        <v>34</v>
      </c>
      <c r="S6868" s="7" t="s">
        <v>1175</v>
      </c>
      <c r="T6868" s="9" t="s">
        <v>36</v>
      </c>
      <c r="U6868" s="7">
        <v>0.56999999999999995</v>
      </c>
      <c r="V6868" s="12">
        <f>C6868+2</f>
        <v>40267</v>
      </c>
      <c r="W6868">
        <f>IF(D6868=' Pivot Tables'!$A$4,1,0)</f>
        <v>0</v>
      </c>
      <c r="X6868">
        <f>IF(AND(LEFT(D6868,4)+1=LEFT(' Pivot Tables'!$A$4,4)+0,RIGHT(LEFT(D6868,7),2)=RIGHT(LEFT(' Pivot Tables'!$A$4,7),2)),1,0)</f>
        <v>0</v>
      </c>
      <c r="Y6868" s="6">
        <f>1/COUNTIF(Таблица1[Order ID],Таблица1[[#This Row],[Order ID]])</f>
        <v>1</v>
      </c>
      <c r="Z6868" s="9">
        <f>1/COUNTIFS(Таблица1[Customer Name],Таблица1[[#This Row],[Customer Name]],Таблица1[Order-Year-Month],Таблица1[[#This Row],[Order-Year-Month]])</f>
        <v>1</v>
      </c>
    </row>
    <row r="6869" spans="1:26" x14ac:dyDescent="0.2">
      <c r="A6869" s="6">
        <v>3077</v>
      </c>
      <c r="B6869" s="7">
        <v>22083</v>
      </c>
      <c r="C6869" s="8">
        <f>DATE(2012,12,31)-1413</f>
        <v>39861</v>
      </c>
      <c r="D6869" s="8" t="str">
        <f t="shared" si="127"/>
        <v>2009-02 (февраль 2009)</v>
      </c>
      <c r="E6869" s="9" t="s">
        <v>78</v>
      </c>
      <c r="F6869" s="7">
        <v>2</v>
      </c>
      <c r="G6869" s="7">
        <v>16.809999999999999</v>
      </c>
      <c r="H6869" s="7">
        <v>0.05</v>
      </c>
      <c r="I6869" s="9" t="s">
        <v>56</v>
      </c>
      <c r="J6869" s="10">
        <v>-4.1399999999999997</v>
      </c>
      <c r="K6869" s="11">
        <v>6.04</v>
      </c>
      <c r="L6869" s="11">
        <v>2.14</v>
      </c>
      <c r="M6869" s="9" t="s">
        <v>2045</v>
      </c>
      <c r="N6869" s="6" t="s">
        <v>2012</v>
      </c>
      <c r="O6869" s="6" t="s">
        <v>2012</v>
      </c>
      <c r="P6869" s="9" t="s">
        <v>41</v>
      </c>
      <c r="Q6869" s="9" t="s">
        <v>26</v>
      </c>
      <c r="R6869" s="9" t="s">
        <v>61</v>
      </c>
      <c r="S6869" s="7" t="s">
        <v>1824</v>
      </c>
      <c r="T6869" s="9" t="s">
        <v>68</v>
      </c>
      <c r="U6869" s="7">
        <v>0.38</v>
      </c>
      <c r="V6869" s="12">
        <f>C6869+2</f>
        <v>39863</v>
      </c>
      <c r="W6869">
        <f>IF(D6869=' Pivot Tables'!$A$4,1,0)</f>
        <v>0</v>
      </c>
      <c r="X6869">
        <f>IF(AND(LEFT(D6869,4)+1=LEFT(' Pivot Tables'!$A$4,4)+0,RIGHT(LEFT(D6869,7),2)=RIGHT(LEFT(' Pivot Tables'!$A$4,7),2)),1,0)</f>
        <v>0</v>
      </c>
      <c r="Y6869" s="6">
        <f>1/COUNTIF(Таблица1[Order ID],Таблица1[[#This Row],[Order ID]])</f>
        <v>1</v>
      </c>
      <c r="Z6869" s="9">
        <f>1/COUNTIFS(Таблица1[Customer Name],Таблица1[[#This Row],[Customer Name]],Таблица1[Order-Year-Month],Таблица1[[#This Row],[Order-Year-Month]])</f>
        <v>1</v>
      </c>
    </row>
    <row r="6870" spans="1:26" x14ac:dyDescent="0.2">
      <c r="A6870" s="6">
        <v>3117</v>
      </c>
      <c r="B6870" s="7">
        <v>22402</v>
      </c>
      <c r="C6870" s="8">
        <f>DATE(2012,12,31)-1314</f>
        <v>39960</v>
      </c>
      <c r="D6870" s="8" t="str">
        <f t="shared" si="127"/>
        <v>2009-05 (май 2009)</v>
      </c>
      <c r="E6870" s="9" t="s">
        <v>78</v>
      </c>
      <c r="F6870" s="7">
        <v>33</v>
      </c>
      <c r="G6870" s="7">
        <v>1194.3399999999999</v>
      </c>
      <c r="H6870" s="7">
        <v>0.04</v>
      </c>
      <c r="I6870" s="9" t="s">
        <v>22</v>
      </c>
      <c r="J6870" s="10">
        <v>497.11400000000003</v>
      </c>
      <c r="K6870" s="11">
        <v>37.700000000000003</v>
      </c>
      <c r="L6870" s="11">
        <v>2.99</v>
      </c>
      <c r="M6870" s="9" t="s">
        <v>1491</v>
      </c>
      <c r="N6870" s="6" t="s">
        <v>2012</v>
      </c>
      <c r="O6870" s="6" t="s">
        <v>2012</v>
      </c>
      <c r="P6870" s="9" t="s">
        <v>60</v>
      </c>
      <c r="Q6870" s="9" t="s">
        <v>26</v>
      </c>
      <c r="R6870" s="9" t="s">
        <v>37</v>
      </c>
      <c r="S6870" s="7" t="s">
        <v>952</v>
      </c>
      <c r="T6870" s="9" t="s">
        <v>39</v>
      </c>
      <c r="U6870" s="7">
        <v>0.35</v>
      </c>
      <c r="V6870" s="12">
        <f>C6870+1</f>
        <v>39961</v>
      </c>
      <c r="W6870">
        <f>IF(D6870=' Pivot Tables'!$A$4,1,0)</f>
        <v>0</v>
      </c>
      <c r="X6870">
        <f>IF(AND(LEFT(D6870,4)+1=LEFT(' Pivot Tables'!$A$4,4)+0,RIGHT(LEFT(D6870,7),2)=RIGHT(LEFT(' Pivot Tables'!$A$4,7),2)),1,0)</f>
        <v>0</v>
      </c>
      <c r="Y6870" s="6">
        <f>1/COUNTIF(Таблица1[Order ID],Таблица1[[#This Row],[Order ID]])</f>
        <v>0.5</v>
      </c>
      <c r="Z6870" s="9">
        <f>1/COUNTIFS(Таблица1[Customer Name],Таблица1[[#This Row],[Customer Name]],Таблица1[Order-Year-Month],Таблица1[[#This Row],[Order-Year-Month]])</f>
        <v>0.25</v>
      </c>
    </row>
    <row r="6871" spans="1:26" x14ac:dyDescent="0.2">
      <c r="A6871" s="6">
        <v>3118</v>
      </c>
      <c r="B6871" s="7">
        <v>22402</v>
      </c>
      <c r="C6871" s="8">
        <f>DATE(2012,12,31)-1314</f>
        <v>39960</v>
      </c>
      <c r="D6871" s="8" t="str">
        <f t="shared" si="127"/>
        <v>2009-05 (май 2009)</v>
      </c>
      <c r="E6871" s="9" t="s">
        <v>78</v>
      </c>
      <c r="F6871" s="7">
        <v>1</v>
      </c>
      <c r="G6871" s="7">
        <v>51.832999999999998</v>
      </c>
      <c r="H6871" s="7">
        <v>0.01</v>
      </c>
      <c r="I6871" s="9" t="s">
        <v>22</v>
      </c>
      <c r="J6871" s="10">
        <v>-235.89500000000001</v>
      </c>
      <c r="K6871" s="11">
        <v>55.99</v>
      </c>
      <c r="L6871" s="11">
        <v>5</v>
      </c>
      <c r="M6871" s="9" t="s">
        <v>1491</v>
      </c>
      <c r="N6871" s="6" t="s">
        <v>2012</v>
      </c>
      <c r="O6871" s="6" t="s">
        <v>2012</v>
      </c>
      <c r="P6871" s="9" t="s">
        <v>60</v>
      </c>
      <c r="Q6871" s="9" t="s">
        <v>42</v>
      </c>
      <c r="R6871" s="9" t="s">
        <v>43</v>
      </c>
      <c r="S6871" s="7" t="s">
        <v>248</v>
      </c>
      <c r="T6871" s="9" t="s">
        <v>52</v>
      </c>
      <c r="U6871" s="7">
        <v>0.83</v>
      </c>
      <c r="V6871" s="12">
        <f>C6871+1</f>
        <v>39961</v>
      </c>
      <c r="W6871">
        <f>IF(D6871=' Pivot Tables'!$A$4,1,0)</f>
        <v>0</v>
      </c>
      <c r="X6871">
        <f>IF(AND(LEFT(D6871,4)+1=LEFT(' Pivot Tables'!$A$4,4)+0,RIGHT(LEFT(D6871,7),2)=RIGHT(LEFT(' Pivot Tables'!$A$4,7),2)),1,0)</f>
        <v>0</v>
      </c>
      <c r="Y6871" s="6">
        <f>1/COUNTIF(Таблица1[Order ID],Таблица1[[#This Row],[Order ID]])</f>
        <v>0.5</v>
      </c>
      <c r="Z6871" s="9">
        <f>1/COUNTIFS(Таблица1[Customer Name],Таблица1[[#This Row],[Customer Name]],Таблица1[Order-Year-Month],Таблица1[[#This Row],[Order-Year-Month]])</f>
        <v>0.25</v>
      </c>
    </row>
    <row r="6872" spans="1:26" x14ac:dyDescent="0.2">
      <c r="A6872" s="6">
        <v>3124</v>
      </c>
      <c r="B6872" s="7">
        <v>22433</v>
      </c>
      <c r="C6872" s="8">
        <f>DATE(2012,12,31)-669</f>
        <v>40605</v>
      </c>
      <c r="D6872" s="8" t="str">
        <f t="shared" si="127"/>
        <v>2011-03 (март 2011)</v>
      </c>
      <c r="E6872" s="9" t="s">
        <v>78</v>
      </c>
      <c r="F6872" s="7">
        <v>44</v>
      </c>
      <c r="G6872" s="7">
        <v>797.98</v>
      </c>
      <c r="H6872" s="7">
        <v>0.05</v>
      </c>
      <c r="I6872" s="9" t="s">
        <v>22</v>
      </c>
      <c r="J6872" s="10">
        <v>237.47400000000002</v>
      </c>
      <c r="K6872" s="11">
        <v>20.99</v>
      </c>
      <c r="L6872" s="11">
        <v>0.99</v>
      </c>
      <c r="M6872" s="9" t="s">
        <v>2032</v>
      </c>
      <c r="N6872" s="6" t="s">
        <v>2012</v>
      </c>
      <c r="O6872" s="6" t="s">
        <v>2012</v>
      </c>
      <c r="P6872" s="9" t="s">
        <v>60</v>
      </c>
      <c r="Q6872" s="9" t="s">
        <v>42</v>
      </c>
      <c r="R6872" s="9" t="s">
        <v>43</v>
      </c>
      <c r="S6872" s="7" t="s">
        <v>837</v>
      </c>
      <c r="T6872" s="9" t="s">
        <v>68</v>
      </c>
      <c r="U6872" s="7">
        <v>0.56999999999999995</v>
      </c>
      <c r="V6872" s="12">
        <f>C6872+2</f>
        <v>40607</v>
      </c>
      <c r="W6872">
        <f>IF(D6872=' Pivot Tables'!$A$4,1,0)</f>
        <v>0</v>
      </c>
      <c r="X6872">
        <f>IF(AND(LEFT(D6872,4)+1=LEFT(' Pivot Tables'!$A$4,4)+0,RIGHT(LEFT(D6872,7),2)=RIGHT(LEFT(' Pivot Tables'!$A$4,7),2)),1,0)</f>
        <v>0</v>
      </c>
      <c r="Y6872" s="6">
        <f>1/COUNTIF(Таблица1[Order ID],Таблица1[[#This Row],[Order ID]])</f>
        <v>1</v>
      </c>
      <c r="Z6872" s="9">
        <f>1/COUNTIFS(Таблица1[Customer Name],Таблица1[[#This Row],[Customer Name]],Таблица1[Order-Year-Month],Таблица1[[#This Row],[Order-Year-Month]])</f>
        <v>1</v>
      </c>
    </row>
    <row r="6873" spans="1:26" x14ac:dyDescent="0.2">
      <c r="A6873" s="6">
        <v>3127</v>
      </c>
      <c r="B6873" s="7">
        <v>22465</v>
      </c>
      <c r="C6873" s="8">
        <f>DATE(2012,12,31)-163</f>
        <v>41111</v>
      </c>
      <c r="D6873" s="8" t="str">
        <f t="shared" si="127"/>
        <v>2012-07 (июль 2012)</v>
      </c>
      <c r="E6873" s="9" t="s">
        <v>45</v>
      </c>
      <c r="F6873" s="7">
        <v>4</v>
      </c>
      <c r="G6873" s="7">
        <v>1121.78</v>
      </c>
      <c r="H6873" s="7">
        <v>0.04</v>
      </c>
      <c r="I6873" s="9" t="s">
        <v>31</v>
      </c>
      <c r="J6873" s="10">
        <v>-454.8</v>
      </c>
      <c r="K6873" s="11">
        <v>270.98</v>
      </c>
      <c r="L6873" s="11">
        <v>50</v>
      </c>
      <c r="M6873" s="9" t="s">
        <v>1452</v>
      </c>
      <c r="N6873" s="6" t="s">
        <v>2012</v>
      </c>
      <c r="O6873" s="6" t="s">
        <v>2012</v>
      </c>
      <c r="P6873" s="9" t="s">
        <v>60</v>
      </c>
      <c r="Q6873" s="9" t="s">
        <v>49</v>
      </c>
      <c r="R6873" s="9" t="s">
        <v>112</v>
      </c>
      <c r="S6873" s="7" t="s">
        <v>221</v>
      </c>
      <c r="T6873" s="9" t="s">
        <v>36</v>
      </c>
      <c r="U6873" s="7">
        <v>0.77</v>
      </c>
      <c r="V6873" s="12">
        <f>C6873+1</f>
        <v>41112</v>
      </c>
      <c r="W6873">
        <f>IF(D6873=' Pivot Tables'!$A$4,1,0)</f>
        <v>0</v>
      </c>
      <c r="X6873">
        <f>IF(AND(LEFT(D6873,4)+1=LEFT(' Pivot Tables'!$A$4,4)+0,RIGHT(LEFT(D6873,7),2)=RIGHT(LEFT(' Pivot Tables'!$A$4,7),2)),1,0)</f>
        <v>0</v>
      </c>
      <c r="Y6873" s="6">
        <f>1/COUNTIF(Таблица1[Order ID],Таблица1[[#This Row],[Order ID]])</f>
        <v>1</v>
      </c>
      <c r="Z6873" s="9">
        <f>1/COUNTIFS(Таблица1[Customer Name],Таблица1[[#This Row],[Customer Name]],Таблица1[Order-Year-Month],Таблица1[[#This Row],[Order-Year-Month]])</f>
        <v>1</v>
      </c>
    </row>
    <row r="6874" spans="1:26" x14ac:dyDescent="0.2">
      <c r="A6874" s="6">
        <v>3128</v>
      </c>
      <c r="B6874" s="7">
        <v>22466</v>
      </c>
      <c r="C6874" s="8">
        <f>DATE(2012,12,31)-278</f>
        <v>40996</v>
      </c>
      <c r="D6874" s="8" t="str">
        <f t="shared" si="127"/>
        <v>2012-03 (март 2012)</v>
      </c>
      <c r="E6874" s="9" t="s">
        <v>21</v>
      </c>
      <c r="F6874" s="7">
        <v>31</v>
      </c>
      <c r="G6874" s="7">
        <v>5404.18</v>
      </c>
      <c r="H6874" s="7">
        <v>7.0000000000000007E-2</v>
      </c>
      <c r="I6874" s="9" t="s">
        <v>31</v>
      </c>
      <c r="J6874" s="10">
        <v>241.06</v>
      </c>
      <c r="K6874" s="11">
        <v>180.98</v>
      </c>
      <c r="L6874" s="11">
        <v>30</v>
      </c>
      <c r="M6874" s="9" t="s">
        <v>2034</v>
      </c>
      <c r="N6874" s="6" t="s">
        <v>2012</v>
      </c>
      <c r="O6874" s="6" t="s">
        <v>2012</v>
      </c>
      <c r="P6874" s="9" t="s">
        <v>41</v>
      </c>
      <c r="Q6874" s="9" t="s">
        <v>49</v>
      </c>
      <c r="R6874" s="9" t="s">
        <v>112</v>
      </c>
      <c r="S6874" s="7" t="s">
        <v>957</v>
      </c>
      <c r="T6874" s="9" t="s">
        <v>36</v>
      </c>
      <c r="U6874" s="7">
        <v>0.69</v>
      </c>
      <c r="V6874" s="12">
        <f>C6874+7</f>
        <v>41003</v>
      </c>
      <c r="W6874">
        <f>IF(D6874=' Pivot Tables'!$A$4,1,0)</f>
        <v>0</v>
      </c>
      <c r="X6874">
        <f>IF(AND(LEFT(D6874,4)+1=LEFT(' Pivot Tables'!$A$4,4)+0,RIGHT(LEFT(D6874,7),2)=RIGHT(LEFT(' Pivot Tables'!$A$4,7),2)),1,0)</f>
        <v>0</v>
      </c>
      <c r="Y6874" s="6">
        <f>1/COUNTIF(Таблица1[Order ID],Таблица1[[#This Row],[Order ID]])</f>
        <v>0.5</v>
      </c>
      <c r="Z6874" s="9">
        <f>1/COUNTIFS(Таблица1[Customer Name],Таблица1[[#This Row],[Customer Name]],Таблица1[Order-Year-Month],Таблица1[[#This Row],[Order-Year-Month]])</f>
        <v>0.25</v>
      </c>
    </row>
    <row r="6875" spans="1:26" x14ac:dyDescent="0.2">
      <c r="A6875" s="6">
        <v>3129</v>
      </c>
      <c r="B6875" s="7">
        <v>22466</v>
      </c>
      <c r="C6875" s="8">
        <f>DATE(2012,12,31)-278</f>
        <v>40996</v>
      </c>
      <c r="D6875" s="8" t="str">
        <f t="shared" si="127"/>
        <v>2012-03 (март 2012)</v>
      </c>
      <c r="E6875" s="9" t="s">
        <v>21</v>
      </c>
      <c r="F6875" s="7">
        <v>40</v>
      </c>
      <c r="G6875" s="7">
        <v>430.19</v>
      </c>
      <c r="H6875" s="7">
        <v>0.02</v>
      </c>
      <c r="I6875" s="9" t="s">
        <v>22</v>
      </c>
      <c r="J6875" s="10">
        <v>181.26</v>
      </c>
      <c r="K6875" s="11">
        <v>10.31</v>
      </c>
      <c r="L6875" s="11">
        <v>1.79</v>
      </c>
      <c r="M6875" s="9" t="s">
        <v>2034</v>
      </c>
      <c r="N6875" s="6" t="s">
        <v>2012</v>
      </c>
      <c r="O6875" s="6" t="s">
        <v>2012</v>
      </c>
      <c r="P6875" s="9" t="s">
        <v>41</v>
      </c>
      <c r="Q6875" s="9" t="s">
        <v>26</v>
      </c>
      <c r="R6875" s="9" t="s">
        <v>61</v>
      </c>
      <c r="S6875" s="7" t="s">
        <v>282</v>
      </c>
      <c r="T6875" s="9" t="s">
        <v>68</v>
      </c>
      <c r="U6875" s="7">
        <v>0.38</v>
      </c>
      <c r="V6875" s="12">
        <f>C6875+7</f>
        <v>41003</v>
      </c>
      <c r="W6875">
        <f>IF(D6875=' Pivot Tables'!$A$4,1,0)</f>
        <v>0</v>
      </c>
      <c r="X6875">
        <f>IF(AND(LEFT(D6875,4)+1=LEFT(' Pivot Tables'!$A$4,4)+0,RIGHT(LEFT(D6875,7),2)=RIGHT(LEFT(' Pivot Tables'!$A$4,7),2)),1,0)</f>
        <v>0</v>
      </c>
      <c r="Y6875" s="6">
        <f>1/COUNTIF(Таблица1[Order ID],Таблица1[[#This Row],[Order ID]])</f>
        <v>0.5</v>
      </c>
      <c r="Z6875" s="9">
        <f>1/COUNTIFS(Таблица1[Customer Name],Таблица1[[#This Row],[Customer Name]],Таблица1[Order-Year-Month],Таблица1[[#This Row],[Order-Year-Month]])</f>
        <v>0.25</v>
      </c>
    </row>
    <row r="6876" spans="1:26" x14ac:dyDescent="0.2">
      <c r="A6876" s="6">
        <v>3136</v>
      </c>
      <c r="B6876" s="7">
        <v>22497</v>
      </c>
      <c r="C6876" s="8">
        <f>DATE(2012,12,31)-247</f>
        <v>41027</v>
      </c>
      <c r="D6876" s="8" t="str">
        <f t="shared" si="127"/>
        <v>2012-04 (апрель 2012)</v>
      </c>
      <c r="E6876" s="9" t="s">
        <v>63</v>
      </c>
      <c r="F6876" s="7">
        <v>37</v>
      </c>
      <c r="G6876" s="7">
        <v>3259.25</v>
      </c>
      <c r="H6876" s="7">
        <v>0.04</v>
      </c>
      <c r="I6876" s="9" t="s">
        <v>31</v>
      </c>
      <c r="J6876" s="10">
        <v>580.33000000000004</v>
      </c>
      <c r="K6876" s="11">
        <v>90.97</v>
      </c>
      <c r="L6876" s="11">
        <v>28</v>
      </c>
      <c r="M6876" s="9" t="s">
        <v>1550</v>
      </c>
      <c r="N6876" s="6" t="s">
        <v>2012</v>
      </c>
      <c r="O6876" s="6" t="s">
        <v>2012</v>
      </c>
      <c r="P6876" s="9" t="s">
        <v>41</v>
      </c>
      <c r="Q6876" s="9" t="s">
        <v>42</v>
      </c>
      <c r="R6876" s="9" t="s">
        <v>210</v>
      </c>
      <c r="S6876" s="7" t="s">
        <v>621</v>
      </c>
      <c r="T6876" s="9" t="s">
        <v>36</v>
      </c>
      <c r="U6876" s="7">
        <v>0.38</v>
      </c>
      <c r="V6876" s="12">
        <f>C6876+1</f>
        <v>41028</v>
      </c>
      <c r="W6876">
        <f>IF(D6876=' Pivot Tables'!$A$4,1,0)</f>
        <v>0</v>
      </c>
      <c r="X6876">
        <f>IF(AND(LEFT(D6876,4)+1=LEFT(' Pivot Tables'!$A$4,4)+0,RIGHT(LEFT(D6876,7),2)=RIGHT(LEFT(' Pivot Tables'!$A$4,7),2)),1,0)</f>
        <v>0</v>
      </c>
      <c r="Y6876" s="6">
        <f>1/COUNTIF(Таблица1[Order ID],Таблица1[[#This Row],[Order ID]])</f>
        <v>1</v>
      </c>
      <c r="Z6876" s="9">
        <f>1/COUNTIFS(Таблица1[Customer Name],Таблица1[[#This Row],[Customer Name]],Таблица1[Order-Year-Month],Таблица1[[#This Row],[Order-Year-Month]])</f>
        <v>1</v>
      </c>
    </row>
    <row r="6877" spans="1:26" x14ac:dyDescent="0.2">
      <c r="A6877" s="6">
        <v>3152</v>
      </c>
      <c r="B6877" s="7">
        <v>22627</v>
      </c>
      <c r="C6877" s="8">
        <f>DATE(2012,12,31)-1003</f>
        <v>40271</v>
      </c>
      <c r="D6877" s="8" t="str">
        <f t="shared" si="127"/>
        <v>2010-04 (апрель 2010)</v>
      </c>
      <c r="E6877" s="9" t="s">
        <v>21</v>
      </c>
      <c r="F6877" s="7">
        <v>46</v>
      </c>
      <c r="G6877" s="7">
        <v>6803</v>
      </c>
      <c r="H6877" s="7">
        <v>0.03</v>
      </c>
      <c r="I6877" s="9" t="s">
        <v>31</v>
      </c>
      <c r="J6877" s="10">
        <v>-1061.68</v>
      </c>
      <c r="K6877" s="11">
        <v>150.97999999999999</v>
      </c>
      <c r="L6877" s="11">
        <v>66.27</v>
      </c>
      <c r="M6877" s="9" t="s">
        <v>1581</v>
      </c>
      <c r="N6877" s="6" t="s">
        <v>2012</v>
      </c>
      <c r="O6877" s="6" t="s">
        <v>2012</v>
      </c>
      <c r="P6877" s="9" t="s">
        <v>25</v>
      </c>
      <c r="Q6877" s="9" t="s">
        <v>49</v>
      </c>
      <c r="R6877" s="9" t="s">
        <v>80</v>
      </c>
      <c r="S6877" s="7" t="s">
        <v>325</v>
      </c>
      <c r="T6877" s="9" t="s">
        <v>82</v>
      </c>
      <c r="U6877" s="7">
        <v>0.65</v>
      </c>
      <c r="V6877" s="12">
        <f>C6877+0</f>
        <v>40271</v>
      </c>
      <c r="W6877">
        <f>IF(D6877=' Pivot Tables'!$A$4,1,0)</f>
        <v>0</v>
      </c>
      <c r="X6877">
        <f>IF(AND(LEFT(D6877,4)+1=LEFT(' Pivot Tables'!$A$4,4)+0,RIGHT(LEFT(D6877,7),2)=RIGHT(LEFT(' Pivot Tables'!$A$4,7),2)),1,0)</f>
        <v>0</v>
      </c>
      <c r="Y6877" s="6">
        <f>1/COUNTIF(Таблица1[Order ID],Таблица1[[#This Row],[Order ID]])</f>
        <v>0.5</v>
      </c>
      <c r="Z6877" s="9">
        <f>1/COUNTIFS(Таблица1[Customer Name],Таблица1[[#This Row],[Customer Name]],Таблица1[Order-Year-Month],Таблица1[[#This Row],[Order-Year-Month]])</f>
        <v>0.5</v>
      </c>
    </row>
    <row r="6878" spans="1:26" x14ac:dyDescent="0.2">
      <c r="A6878" s="6">
        <v>3165</v>
      </c>
      <c r="B6878" s="7">
        <v>22752</v>
      </c>
      <c r="C6878" s="8">
        <f>DATE(2012,12,31)-24</f>
        <v>41250</v>
      </c>
      <c r="D6878" s="8" t="str">
        <f t="shared" si="127"/>
        <v>2012-12 (декабрь 2012)</v>
      </c>
      <c r="E6878" s="9" t="s">
        <v>21</v>
      </c>
      <c r="F6878" s="7">
        <v>2</v>
      </c>
      <c r="G6878" s="7">
        <v>238.76</v>
      </c>
      <c r="H6878" s="7">
        <v>0.1</v>
      </c>
      <c r="I6878" s="9" t="s">
        <v>22</v>
      </c>
      <c r="J6878" s="10">
        <v>-235.21</v>
      </c>
      <c r="K6878" s="11">
        <v>110.98</v>
      </c>
      <c r="L6878" s="11">
        <v>35</v>
      </c>
      <c r="M6878" s="9" t="s">
        <v>149</v>
      </c>
      <c r="N6878" s="6" t="s">
        <v>2012</v>
      </c>
      <c r="O6878" s="6" t="s">
        <v>2012</v>
      </c>
      <c r="P6878" s="9" t="s">
        <v>41</v>
      </c>
      <c r="Q6878" s="9" t="s">
        <v>26</v>
      </c>
      <c r="R6878" s="9" t="s">
        <v>27</v>
      </c>
      <c r="S6878" s="7" t="s">
        <v>1026</v>
      </c>
      <c r="T6878" s="9" t="s">
        <v>29</v>
      </c>
      <c r="U6878" s="7">
        <v>0.82</v>
      </c>
      <c r="V6878" s="12">
        <f>C6878+5</f>
        <v>41255</v>
      </c>
      <c r="W6878">
        <f>IF(D6878=' Pivot Tables'!$A$4,1,0)</f>
        <v>0</v>
      </c>
      <c r="X6878">
        <f>IF(AND(LEFT(D6878,4)+1=LEFT(' Pivot Tables'!$A$4,4)+0,RIGHT(LEFT(D6878,7),2)=RIGHT(LEFT(' Pivot Tables'!$A$4,7),2)),1,0)</f>
        <v>0</v>
      </c>
      <c r="Y6878" s="6">
        <f>1/COUNTIF(Таблица1[Order ID],Таблица1[[#This Row],[Order ID]])</f>
        <v>1</v>
      </c>
      <c r="Z6878" s="9">
        <f>1/COUNTIFS(Таблица1[Customer Name],Таблица1[[#This Row],[Customer Name]],Таблица1[Order-Year-Month],Таблица1[[#This Row],[Order-Year-Month]])</f>
        <v>1</v>
      </c>
    </row>
    <row r="6879" spans="1:26" x14ac:dyDescent="0.2">
      <c r="A6879" s="6">
        <v>3176</v>
      </c>
      <c r="B6879" s="7">
        <v>22848</v>
      </c>
      <c r="C6879" s="8">
        <f>DATE(2012,12,31)-387</f>
        <v>40887</v>
      </c>
      <c r="D6879" s="8" t="str">
        <f t="shared" si="127"/>
        <v>2011-12 (декабрь 2011)</v>
      </c>
      <c r="E6879" s="9" t="s">
        <v>45</v>
      </c>
      <c r="F6879" s="7">
        <v>20</v>
      </c>
      <c r="G6879" s="7">
        <v>140.37</v>
      </c>
      <c r="H6879" s="7">
        <v>0.01</v>
      </c>
      <c r="I6879" s="9" t="s">
        <v>22</v>
      </c>
      <c r="J6879" s="10">
        <v>-893.39</v>
      </c>
      <c r="K6879" s="11">
        <v>4.4800000000000004</v>
      </c>
      <c r="L6879" s="11">
        <v>49</v>
      </c>
      <c r="M6879" s="9" t="s">
        <v>1511</v>
      </c>
      <c r="N6879" s="6" t="s">
        <v>2012</v>
      </c>
      <c r="O6879" s="6" t="s">
        <v>2012</v>
      </c>
      <c r="P6879" s="9" t="s">
        <v>60</v>
      </c>
      <c r="Q6879" s="9" t="s">
        <v>26</v>
      </c>
      <c r="R6879" s="9" t="s">
        <v>34</v>
      </c>
      <c r="S6879" s="7" t="s">
        <v>128</v>
      </c>
      <c r="T6879" s="9" t="s">
        <v>29</v>
      </c>
      <c r="U6879" s="7">
        <v>0.6</v>
      </c>
      <c r="V6879" s="12">
        <f>C6879+1</f>
        <v>40888</v>
      </c>
      <c r="W6879">
        <f>IF(D6879=' Pivot Tables'!$A$4,1,0)</f>
        <v>0</v>
      </c>
      <c r="X6879">
        <f>IF(AND(LEFT(D6879,4)+1=LEFT(' Pivot Tables'!$A$4,4)+0,RIGHT(LEFT(D6879,7),2)=RIGHT(LEFT(' Pivot Tables'!$A$4,7),2)),1,0)</f>
        <v>0</v>
      </c>
      <c r="Y6879" s="6">
        <f>1/COUNTIF(Таблица1[Order ID],Таблица1[[#This Row],[Order ID]])</f>
        <v>0.33333333333333331</v>
      </c>
      <c r="Z6879" s="9">
        <f>1/COUNTIFS(Таблица1[Customer Name],Таблица1[[#This Row],[Customer Name]],Таблица1[Order-Year-Month],Таблица1[[#This Row],[Order-Year-Month]])</f>
        <v>0.33333333333333331</v>
      </c>
    </row>
    <row r="6880" spans="1:26" x14ac:dyDescent="0.2">
      <c r="A6880" s="6">
        <v>3177</v>
      </c>
      <c r="B6880" s="7">
        <v>22848</v>
      </c>
      <c r="C6880" s="8">
        <f>DATE(2012,12,31)-387</f>
        <v>40887</v>
      </c>
      <c r="D6880" s="8" t="str">
        <f t="shared" si="127"/>
        <v>2011-12 (декабрь 2011)</v>
      </c>
      <c r="E6880" s="9" t="s">
        <v>45</v>
      </c>
      <c r="F6880" s="7">
        <v>45</v>
      </c>
      <c r="G6880" s="7">
        <v>5921.74</v>
      </c>
      <c r="H6880" s="7">
        <v>0.02</v>
      </c>
      <c r="I6880" s="9" t="s">
        <v>31</v>
      </c>
      <c r="J6880" s="10">
        <v>-287.62</v>
      </c>
      <c r="K6880" s="11">
        <v>130.97999999999999</v>
      </c>
      <c r="L6880" s="11">
        <v>30</v>
      </c>
      <c r="M6880" s="9" t="s">
        <v>1511</v>
      </c>
      <c r="N6880" s="6" t="s">
        <v>2012</v>
      </c>
      <c r="O6880" s="6" t="s">
        <v>2012</v>
      </c>
      <c r="P6880" s="9" t="s">
        <v>60</v>
      </c>
      <c r="Q6880" s="9" t="s">
        <v>49</v>
      </c>
      <c r="R6880" s="9" t="s">
        <v>112</v>
      </c>
      <c r="S6880" s="7" t="s">
        <v>265</v>
      </c>
      <c r="T6880" s="9" t="s">
        <v>36</v>
      </c>
      <c r="U6880" s="7">
        <v>0.78</v>
      </c>
      <c r="V6880" s="12">
        <f>C6880+2</f>
        <v>40889</v>
      </c>
      <c r="W6880">
        <f>IF(D6880=' Pivot Tables'!$A$4,1,0)</f>
        <v>0</v>
      </c>
      <c r="X6880">
        <f>IF(AND(LEFT(D6880,4)+1=LEFT(' Pivot Tables'!$A$4,4)+0,RIGHT(LEFT(D6880,7),2)=RIGHT(LEFT(' Pivot Tables'!$A$4,7),2)),1,0)</f>
        <v>0</v>
      </c>
      <c r="Y6880" s="6">
        <f>1/COUNTIF(Таблица1[Order ID],Таблица1[[#This Row],[Order ID]])</f>
        <v>0.33333333333333331</v>
      </c>
      <c r="Z6880" s="9">
        <f>1/COUNTIFS(Таблица1[Customer Name],Таблица1[[#This Row],[Customer Name]],Таблица1[Order-Year-Month],Таблица1[[#This Row],[Order-Year-Month]])</f>
        <v>0.33333333333333331</v>
      </c>
    </row>
    <row r="6881" spans="1:26" x14ac:dyDescent="0.2">
      <c r="A6881" s="6">
        <v>3178</v>
      </c>
      <c r="B6881" s="7">
        <v>22848</v>
      </c>
      <c r="C6881" s="8">
        <f>DATE(2012,12,31)-387</f>
        <v>40887</v>
      </c>
      <c r="D6881" s="8" t="str">
        <f t="shared" si="127"/>
        <v>2011-12 (декабрь 2011)</v>
      </c>
      <c r="E6881" s="9" t="s">
        <v>45</v>
      </c>
      <c r="F6881" s="7">
        <v>4</v>
      </c>
      <c r="G6881" s="7">
        <v>68.16</v>
      </c>
      <c r="H6881" s="7">
        <v>0.09</v>
      </c>
      <c r="I6881" s="9" t="s">
        <v>22</v>
      </c>
      <c r="J6881" s="10">
        <v>-52.44</v>
      </c>
      <c r="K6881" s="11">
        <v>15.98</v>
      </c>
      <c r="L6881" s="11">
        <v>6.5</v>
      </c>
      <c r="M6881" s="9" t="s">
        <v>1511</v>
      </c>
      <c r="N6881" s="6" t="s">
        <v>2012</v>
      </c>
      <c r="O6881" s="6" t="s">
        <v>2012</v>
      </c>
      <c r="P6881" s="9" t="s">
        <v>60</v>
      </c>
      <c r="Q6881" s="9" t="s">
        <v>42</v>
      </c>
      <c r="R6881" s="9" t="s">
        <v>70</v>
      </c>
      <c r="S6881" s="7" t="s">
        <v>536</v>
      </c>
      <c r="T6881" s="9" t="s">
        <v>39</v>
      </c>
      <c r="U6881" s="7">
        <v>0.48</v>
      </c>
      <c r="V6881" s="12">
        <f>C6881+2</f>
        <v>40889</v>
      </c>
      <c r="W6881">
        <f>IF(D6881=' Pivot Tables'!$A$4,1,0)</f>
        <v>0</v>
      </c>
      <c r="X6881">
        <f>IF(AND(LEFT(D6881,4)+1=LEFT(' Pivot Tables'!$A$4,4)+0,RIGHT(LEFT(D6881,7),2)=RIGHT(LEFT(' Pivot Tables'!$A$4,7),2)),1,0)</f>
        <v>0</v>
      </c>
      <c r="Y6881" s="6">
        <f>1/COUNTIF(Таблица1[Order ID],Таблица1[[#This Row],[Order ID]])</f>
        <v>0.33333333333333331</v>
      </c>
      <c r="Z6881" s="9">
        <f>1/COUNTIFS(Таблица1[Customer Name],Таблица1[[#This Row],[Customer Name]],Таблица1[Order-Year-Month],Таблица1[[#This Row],[Order-Year-Month]])</f>
        <v>0.33333333333333331</v>
      </c>
    </row>
    <row r="6882" spans="1:26" x14ac:dyDescent="0.2">
      <c r="A6882" s="6">
        <v>3183</v>
      </c>
      <c r="B6882" s="7">
        <v>22850</v>
      </c>
      <c r="C6882" s="8">
        <f>DATE(2012,12,31)-611</f>
        <v>40663</v>
      </c>
      <c r="D6882" s="8" t="str">
        <f t="shared" si="127"/>
        <v>2011-04 (апрель 2011)</v>
      </c>
      <c r="E6882" s="9" t="s">
        <v>63</v>
      </c>
      <c r="F6882" s="7">
        <v>4</v>
      </c>
      <c r="G6882" s="7">
        <v>105.13</v>
      </c>
      <c r="H6882" s="7">
        <v>0.08</v>
      </c>
      <c r="I6882" s="9" t="s">
        <v>22</v>
      </c>
      <c r="J6882" s="10">
        <v>-103.23</v>
      </c>
      <c r="K6882" s="11">
        <v>27.48</v>
      </c>
      <c r="L6882" s="11">
        <v>4</v>
      </c>
      <c r="M6882" s="9" t="s">
        <v>2006</v>
      </c>
      <c r="N6882" s="6" t="s">
        <v>2012</v>
      </c>
      <c r="O6882" s="6" t="s">
        <v>2012</v>
      </c>
      <c r="P6882" s="9" t="s">
        <v>60</v>
      </c>
      <c r="Q6882" s="9" t="s">
        <v>42</v>
      </c>
      <c r="R6882" s="9" t="s">
        <v>70</v>
      </c>
      <c r="S6882" s="7" t="s">
        <v>762</v>
      </c>
      <c r="T6882" s="9" t="s">
        <v>39</v>
      </c>
      <c r="U6882" s="7">
        <v>0.75</v>
      </c>
      <c r="V6882" s="12">
        <f>C6882+1</f>
        <v>40664</v>
      </c>
      <c r="W6882">
        <f>IF(D6882=' Pivot Tables'!$A$4,1,0)</f>
        <v>0</v>
      </c>
      <c r="X6882">
        <f>IF(AND(LEFT(D6882,4)+1=LEFT(' Pivot Tables'!$A$4,4)+0,RIGHT(LEFT(D6882,7),2)=RIGHT(LEFT(' Pivot Tables'!$A$4,7),2)),1,0)</f>
        <v>0</v>
      </c>
      <c r="Y6882" s="6">
        <f>1/COUNTIF(Таблица1[Order ID],Таблица1[[#This Row],[Order ID]])</f>
        <v>1</v>
      </c>
      <c r="Z6882" s="9">
        <f>1/COUNTIFS(Таблица1[Customer Name],Таблица1[[#This Row],[Customer Name]],Таблица1[Order-Year-Month],Таблица1[[#This Row],[Order-Year-Month]])</f>
        <v>0.33333333333333331</v>
      </c>
    </row>
    <row r="6883" spans="1:26" x14ac:dyDescent="0.2">
      <c r="A6883" s="6">
        <v>3192</v>
      </c>
      <c r="B6883" s="7">
        <v>22912</v>
      </c>
      <c r="C6883" s="8">
        <f>DATE(2012,12,31)-807</f>
        <v>40467</v>
      </c>
      <c r="D6883" s="8" t="str">
        <f t="shared" si="127"/>
        <v>2010-10 (октябрь 2010)</v>
      </c>
      <c r="E6883" s="9" t="s">
        <v>21</v>
      </c>
      <c r="F6883" s="7">
        <v>33</v>
      </c>
      <c r="G6883" s="7">
        <v>10168.23</v>
      </c>
      <c r="H6883" s="7">
        <v>0.03</v>
      </c>
      <c r="I6883" s="9" t="s">
        <v>56</v>
      </c>
      <c r="J6883" s="10">
        <v>4141.8035</v>
      </c>
      <c r="K6883" s="11">
        <v>304.99</v>
      </c>
      <c r="L6883" s="11">
        <v>19.989999999999998</v>
      </c>
      <c r="M6883" s="9" t="s">
        <v>2048</v>
      </c>
      <c r="N6883" s="6" t="s">
        <v>2012</v>
      </c>
      <c r="O6883" s="6" t="s">
        <v>2012</v>
      </c>
      <c r="P6883" s="9" t="s">
        <v>41</v>
      </c>
      <c r="Q6883" s="9" t="s">
        <v>26</v>
      </c>
      <c r="R6883" s="9" t="s">
        <v>37</v>
      </c>
      <c r="S6883" s="7" t="s">
        <v>1165</v>
      </c>
      <c r="T6883" s="9" t="s">
        <v>39</v>
      </c>
      <c r="U6883" s="7">
        <v>0.4</v>
      </c>
      <c r="V6883" s="12">
        <f>C6883+4</f>
        <v>40471</v>
      </c>
      <c r="W6883">
        <f>IF(D6883=' Pivot Tables'!$A$4,1,0)</f>
        <v>0</v>
      </c>
      <c r="X6883">
        <f>IF(AND(LEFT(D6883,4)+1=LEFT(' Pivot Tables'!$A$4,4)+0,RIGHT(LEFT(D6883,7),2)=RIGHT(LEFT(' Pivot Tables'!$A$4,7),2)),1,0)</f>
        <v>0</v>
      </c>
      <c r="Y6883" s="6">
        <f>1/COUNTIF(Таблица1[Order ID],Таблица1[[#This Row],[Order ID]])</f>
        <v>1</v>
      </c>
      <c r="Z6883" s="9">
        <f>1/COUNTIFS(Таблица1[Customer Name],Таблица1[[#This Row],[Customer Name]],Таблица1[Order-Year-Month],Таблица1[[#This Row],[Order-Year-Month]])</f>
        <v>1</v>
      </c>
    </row>
    <row r="6884" spans="1:26" x14ac:dyDescent="0.2">
      <c r="A6884" s="6">
        <v>3193</v>
      </c>
      <c r="B6884" s="7">
        <v>22913</v>
      </c>
      <c r="C6884" s="8">
        <f>DATE(2012,12,31)-920</f>
        <v>40354</v>
      </c>
      <c r="D6884" s="8" t="str">
        <f t="shared" si="127"/>
        <v>2010-06 (июнь 2010)</v>
      </c>
      <c r="E6884" s="9" t="s">
        <v>78</v>
      </c>
      <c r="F6884" s="7">
        <v>32</v>
      </c>
      <c r="G6884" s="7">
        <v>176.77</v>
      </c>
      <c r="H6884" s="7">
        <v>0.06</v>
      </c>
      <c r="I6884" s="9" t="s">
        <v>56</v>
      </c>
      <c r="J6884" s="10">
        <v>-41.6</v>
      </c>
      <c r="K6884" s="11">
        <v>4.9800000000000004</v>
      </c>
      <c r="L6884" s="11">
        <v>4.72</v>
      </c>
      <c r="M6884" s="9" t="s">
        <v>1482</v>
      </c>
      <c r="N6884" s="6" t="s">
        <v>2012</v>
      </c>
      <c r="O6884" s="6" t="s">
        <v>2012</v>
      </c>
      <c r="P6884" s="9" t="s">
        <v>41</v>
      </c>
      <c r="Q6884" s="9" t="s">
        <v>26</v>
      </c>
      <c r="R6884" s="9" t="s">
        <v>61</v>
      </c>
      <c r="S6884" s="7" t="s">
        <v>968</v>
      </c>
      <c r="T6884" s="9" t="s">
        <v>39</v>
      </c>
      <c r="U6884" s="7">
        <v>0.36</v>
      </c>
      <c r="V6884" s="12">
        <f>C6884+1</f>
        <v>40355</v>
      </c>
      <c r="W6884">
        <f>IF(D6884=' Pivot Tables'!$A$4,1,0)</f>
        <v>0</v>
      </c>
      <c r="X6884">
        <f>IF(AND(LEFT(D6884,4)+1=LEFT(' Pivot Tables'!$A$4,4)+0,RIGHT(LEFT(D6884,7),2)=RIGHT(LEFT(' Pivot Tables'!$A$4,7),2)),1,0)</f>
        <v>0</v>
      </c>
      <c r="Y6884" s="6">
        <f>1/COUNTIF(Таблица1[Order ID],Таблица1[[#This Row],[Order ID]])</f>
        <v>0.33333333333333331</v>
      </c>
      <c r="Z6884" s="9">
        <f>1/COUNTIFS(Таблица1[Customer Name],Таблица1[[#This Row],[Customer Name]],Таблица1[Order-Year-Month],Таблица1[[#This Row],[Order-Year-Month]])</f>
        <v>0.33333333333333331</v>
      </c>
    </row>
    <row r="6885" spans="1:26" x14ac:dyDescent="0.2">
      <c r="A6885" s="6">
        <v>3194</v>
      </c>
      <c r="B6885" s="7">
        <v>22913</v>
      </c>
      <c r="C6885" s="8">
        <f>DATE(2012,12,31)-920</f>
        <v>40354</v>
      </c>
      <c r="D6885" s="8" t="str">
        <f t="shared" si="127"/>
        <v>2010-06 (июнь 2010)</v>
      </c>
      <c r="E6885" s="9" t="s">
        <v>78</v>
      </c>
      <c r="F6885" s="7">
        <v>24</v>
      </c>
      <c r="G6885" s="7">
        <v>6568.0240000000013</v>
      </c>
      <c r="H6885" s="7">
        <v>0.06</v>
      </c>
      <c r="I6885" s="9" t="s">
        <v>31</v>
      </c>
      <c r="J6885" s="10">
        <v>1715.9</v>
      </c>
      <c r="K6885" s="11">
        <v>348.21</v>
      </c>
      <c r="L6885" s="11">
        <v>40.19</v>
      </c>
      <c r="M6885" s="9" t="s">
        <v>1482</v>
      </c>
      <c r="N6885" s="6" t="s">
        <v>2012</v>
      </c>
      <c r="O6885" s="6" t="s">
        <v>2012</v>
      </c>
      <c r="P6885" s="9" t="s">
        <v>41</v>
      </c>
      <c r="Q6885" s="9" t="s">
        <v>49</v>
      </c>
      <c r="R6885" s="9" t="s">
        <v>83</v>
      </c>
      <c r="S6885" s="7" t="s">
        <v>599</v>
      </c>
      <c r="T6885" s="9" t="s">
        <v>82</v>
      </c>
      <c r="U6885" s="7">
        <v>0.62</v>
      </c>
      <c r="V6885" s="12">
        <f>C6885+3</f>
        <v>40357</v>
      </c>
      <c r="W6885">
        <f>IF(D6885=' Pivot Tables'!$A$4,1,0)</f>
        <v>0</v>
      </c>
      <c r="X6885">
        <f>IF(AND(LEFT(D6885,4)+1=LEFT(' Pivot Tables'!$A$4,4)+0,RIGHT(LEFT(D6885,7),2)=RIGHT(LEFT(' Pivot Tables'!$A$4,7),2)),1,0)</f>
        <v>0</v>
      </c>
      <c r="Y6885" s="6">
        <f>1/COUNTIF(Таблица1[Order ID],Таблица1[[#This Row],[Order ID]])</f>
        <v>0.33333333333333331</v>
      </c>
      <c r="Z6885" s="9">
        <f>1/COUNTIFS(Таблица1[Customer Name],Таблица1[[#This Row],[Customer Name]],Таблица1[Order-Year-Month],Таблица1[[#This Row],[Order-Year-Month]])</f>
        <v>0.33333333333333331</v>
      </c>
    </row>
    <row r="6886" spans="1:26" x14ac:dyDescent="0.2">
      <c r="A6886" s="6">
        <v>3195</v>
      </c>
      <c r="B6886" s="7">
        <v>22913</v>
      </c>
      <c r="C6886" s="8">
        <f>DATE(2012,12,31)-920</f>
        <v>40354</v>
      </c>
      <c r="D6886" s="8" t="str">
        <f t="shared" si="127"/>
        <v>2010-06 (июнь 2010)</v>
      </c>
      <c r="E6886" s="9" t="s">
        <v>78</v>
      </c>
      <c r="F6886" s="7">
        <v>50</v>
      </c>
      <c r="G6886" s="7">
        <v>1579.028</v>
      </c>
      <c r="H6886" s="7">
        <v>0.02</v>
      </c>
      <c r="I6886" s="9" t="s">
        <v>22</v>
      </c>
      <c r="J6886" s="10">
        <v>624.97799999999995</v>
      </c>
      <c r="K6886" s="11">
        <v>35.99</v>
      </c>
      <c r="L6886" s="11">
        <v>5.99</v>
      </c>
      <c r="M6886" s="9" t="s">
        <v>1482</v>
      </c>
      <c r="N6886" s="6" t="s">
        <v>2012</v>
      </c>
      <c r="O6886" s="6" t="s">
        <v>2012</v>
      </c>
      <c r="P6886" s="9" t="s">
        <v>41</v>
      </c>
      <c r="Q6886" s="9" t="s">
        <v>42</v>
      </c>
      <c r="R6886" s="9" t="s">
        <v>43</v>
      </c>
      <c r="S6886" s="7" t="s">
        <v>907</v>
      </c>
      <c r="T6886" s="9" t="s">
        <v>68</v>
      </c>
      <c r="U6886" s="7">
        <v>0.38</v>
      </c>
      <c r="V6886" s="12">
        <f>C6886+1</f>
        <v>40355</v>
      </c>
      <c r="W6886">
        <f>IF(D6886=' Pivot Tables'!$A$4,1,0)</f>
        <v>0</v>
      </c>
      <c r="X6886">
        <f>IF(AND(LEFT(D6886,4)+1=LEFT(' Pivot Tables'!$A$4,4)+0,RIGHT(LEFT(D6886,7),2)=RIGHT(LEFT(' Pivot Tables'!$A$4,7),2)),1,0)</f>
        <v>0</v>
      </c>
      <c r="Y6886" s="6">
        <f>1/COUNTIF(Таблица1[Order ID],Таблица1[[#This Row],[Order ID]])</f>
        <v>0.33333333333333331</v>
      </c>
      <c r="Z6886" s="9">
        <f>1/COUNTIFS(Таблица1[Customer Name],Таблица1[[#This Row],[Customer Name]],Таблица1[Order-Year-Month],Таблица1[[#This Row],[Order-Year-Month]])</f>
        <v>0.33333333333333331</v>
      </c>
    </row>
    <row r="6887" spans="1:26" x14ac:dyDescent="0.2">
      <c r="A6887" s="6">
        <v>3196</v>
      </c>
      <c r="B6887" s="7">
        <v>22914</v>
      </c>
      <c r="C6887" s="8">
        <f>DATE(2012,12,31)-353</f>
        <v>40921</v>
      </c>
      <c r="D6887" s="8" t="str">
        <f t="shared" si="127"/>
        <v>2012-01 (январь 2012)</v>
      </c>
      <c r="E6887" s="9" t="s">
        <v>78</v>
      </c>
      <c r="F6887" s="7">
        <v>30</v>
      </c>
      <c r="G6887" s="7">
        <v>336.65</v>
      </c>
      <c r="H6887" s="7">
        <v>7.0000000000000007E-2</v>
      </c>
      <c r="I6887" s="9" t="s">
        <v>22</v>
      </c>
      <c r="J6887" s="10">
        <v>-71.05</v>
      </c>
      <c r="K6887" s="11">
        <v>11.7</v>
      </c>
      <c r="L6887" s="11">
        <v>6.96</v>
      </c>
      <c r="M6887" s="9" t="s">
        <v>2027</v>
      </c>
      <c r="N6887" s="6" t="s">
        <v>2012</v>
      </c>
      <c r="O6887" s="6" t="s">
        <v>2012</v>
      </c>
      <c r="P6887" s="9" t="s">
        <v>41</v>
      </c>
      <c r="Q6887" s="9" t="s">
        <v>26</v>
      </c>
      <c r="R6887" s="9" t="s">
        <v>34</v>
      </c>
      <c r="S6887" s="7" t="s">
        <v>1202</v>
      </c>
      <c r="T6887" s="9" t="s">
        <v>48</v>
      </c>
      <c r="U6887" s="7">
        <v>0.5</v>
      </c>
      <c r="V6887" s="12">
        <f>C6887+1</f>
        <v>40922</v>
      </c>
      <c r="W6887">
        <f>IF(D6887=' Pivot Tables'!$A$4,1,0)</f>
        <v>0</v>
      </c>
      <c r="X6887">
        <f>IF(AND(LEFT(D6887,4)+1=LEFT(' Pivot Tables'!$A$4,4)+0,RIGHT(LEFT(D6887,7),2)=RIGHT(LEFT(' Pivot Tables'!$A$4,7),2)),1,0)</f>
        <v>0</v>
      </c>
      <c r="Y6887" s="6">
        <f>1/COUNTIF(Таблица1[Order ID],Таблица1[[#This Row],[Order ID]])</f>
        <v>1</v>
      </c>
      <c r="Z6887" s="9">
        <f>1/COUNTIFS(Таблица1[Customer Name],Таблица1[[#This Row],[Customer Name]],Таблица1[Order-Year-Month],Таблица1[[#This Row],[Order-Year-Month]])</f>
        <v>1</v>
      </c>
    </row>
    <row r="6888" spans="1:26" x14ac:dyDescent="0.2">
      <c r="A6888" s="6">
        <v>3212</v>
      </c>
      <c r="B6888" s="7">
        <v>23042</v>
      </c>
      <c r="C6888" s="8">
        <f>DATE(2012,12,31)-1345</f>
        <v>39929</v>
      </c>
      <c r="D6888" s="8" t="str">
        <f t="shared" si="127"/>
        <v>2009-04 (апрель 2009)</v>
      </c>
      <c r="E6888" s="9" t="s">
        <v>63</v>
      </c>
      <c r="F6888" s="7">
        <v>20</v>
      </c>
      <c r="G6888" s="7">
        <v>8048.45</v>
      </c>
      <c r="H6888" s="7">
        <v>0.04</v>
      </c>
      <c r="I6888" s="9" t="s">
        <v>22</v>
      </c>
      <c r="J6888" s="10">
        <v>1947.67</v>
      </c>
      <c r="K6888" s="11">
        <v>419.19</v>
      </c>
      <c r="L6888" s="11">
        <v>19.989999999999998</v>
      </c>
      <c r="M6888" s="9" t="s">
        <v>1511</v>
      </c>
      <c r="N6888" s="6" t="s">
        <v>2012</v>
      </c>
      <c r="O6888" s="6" t="s">
        <v>2012</v>
      </c>
      <c r="P6888" s="9" t="s">
        <v>60</v>
      </c>
      <c r="Q6888" s="9" t="s">
        <v>26</v>
      </c>
      <c r="R6888" s="9" t="s">
        <v>27</v>
      </c>
      <c r="S6888" s="7" t="s">
        <v>1655</v>
      </c>
      <c r="T6888" s="9" t="s">
        <v>39</v>
      </c>
      <c r="U6888" s="7">
        <v>0.57999999999999996</v>
      </c>
      <c r="V6888" s="12">
        <f>C6888+1</f>
        <v>39930</v>
      </c>
      <c r="W6888">
        <f>IF(D6888=' Pivot Tables'!$A$4,1,0)</f>
        <v>0</v>
      </c>
      <c r="X6888">
        <f>IF(AND(LEFT(D6888,4)+1=LEFT(' Pivot Tables'!$A$4,4)+0,RIGHT(LEFT(D6888,7),2)=RIGHT(LEFT(' Pivot Tables'!$A$4,7),2)),1,0)</f>
        <v>0</v>
      </c>
      <c r="Y6888" s="6">
        <f>1/COUNTIF(Таблица1[Order ID],Таблица1[[#This Row],[Order ID]])</f>
        <v>1</v>
      </c>
      <c r="Z6888" s="9">
        <f>1/COUNTIFS(Таблица1[Customer Name],Таблица1[[#This Row],[Customer Name]],Таблица1[Order-Year-Month],Таблица1[[#This Row],[Order-Year-Month]])</f>
        <v>0.5</v>
      </c>
    </row>
    <row r="6889" spans="1:26" x14ac:dyDescent="0.2">
      <c r="A6889" s="6">
        <v>3226</v>
      </c>
      <c r="B6889" s="7">
        <v>23168</v>
      </c>
      <c r="C6889" s="8">
        <f>DATE(2012,12,31)-838</f>
        <v>40436</v>
      </c>
      <c r="D6889" s="8" t="str">
        <f t="shared" si="127"/>
        <v>2010-09 (сентябрь 2010)</v>
      </c>
      <c r="E6889" s="9" t="s">
        <v>21</v>
      </c>
      <c r="F6889" s="7">
        <v>46</v>
      </c>
      <c r="G6889" s="7">
        <v>23949.51</v>
      </c>
      <c r="H6889" s="7">
        <v>0</v>
      </c>
      <c r="I6889" s="9" t="s">
        <v>56</v>
      </c>
      <c r="J6889" s="10">
        <v>-1312.84</v>
      </c>
      <c r="K6889" s="11">
        <v>499.99</v>
      </c>
      <c r="L6889" s="11">
        <v>24.49</v>
      </c>
      <c r="M6889" s="9" t="s">
        <v>1278</v>
      </c>
      <c r="N6889" s="6" t="s">
        <v>2012</v>
      </c>
      <c r="O6889" s="6" t="s">
        <v>2012</v>
      </c>
      <c r="P6889" s="9" t="s">
        <v>60</v>
      </c>
      <c r="Q6889" s="9" t="s">
        <v>42</v>
      </c>
      <c r="R6889" s="9" t="s">
        <v>99</v>
      </c>
      <c r="S6889" s="7" t="s">
        <v>217</v>
      </c>
      <c r="T6889" s="9" t="s">
        <v>29</v>
      </c>
      <c r="U6889" s="7">
        <v>0.36</v>
      </c>
      <c r="V6889" s="12">
        <f>C6889+7</f>
        <v>40443</v>
      </c>
      <c r="W6889">
        <f>IF(D6889=' Pivot Tables'!$A$4,1,0)</f>
        <v>0</v>
      </c>
      <c r="X6889">
        <f>IF(AND(LEFT(D6889,4)+1=LEFT(' Pivot Tables'!$A$4,4)+0,RIGHT(LEFT(D6889,7),2)=RIGHT(LEFT(' Pivot Tables'!$A$4,7),2)),1,0)</f>
        <v>0</v>
      </c>
      <c r="Y6889" s="6">
        <f>1/COUNTIF(Таблица1[Order ID],Таблица1[[#This Row],[Order ID]])</f>
        <v>1</v>
      </c>
      <c r="Z6889" s="9">
        <f>1/COUNTIFS(Таблица1[Customer Name],Таблица1[[#This Row],[Customer Name]],Таблица1[Order-Year-Month],Таблица1[[#This Row],[Order-Year-Month]])</f>
        <v>1</v>
      </c>
    </row>
    <row r="6890" spans="1:26" x14ac:dyDescent="0.2">
      <c r="A6890" s="6">
        <v>3242</v>
      </c>
      <c r="B6890" s="7">
        <v>23235</v>
      </c>
      <c r="C6890" s="8">
        <f>DATE(2012,12,31)-545</f>
        <v>40729</v>
      </c>
      <c r="D6890" s="8" t="str">
        <f t="shared" si="127"/>
        <v>2011-07 (июль 2011)</v>
      </c>
      <c r="E6890" s="9" t="s">
        <v>30</v>
      </c>
      <c r="F6890" s="7">
        <v>6</v>
      </c>
      <c r="G6890" s="7">
        <v>17.43</v>
      </c>
      <c r="H6890" s="7">
        <v>0.02</v>
      </c>
      <c r="I6890" s="9" t="s">
        <v>22</v>
      </c>
      <c r="J6890" s="10">
        <v>2.4500000000000002</v>
      </c>
      <c r="K6890" s="11">
        <v>2.88</v>
      </c>
      <c r="L6890" s="11">
        <v>0.5</v>
      </c>
      <c r="M6890" s="9" t="s">
        <v>1278</v>
      </c>
      <c r="N6890" s="6" t="s">
        <v>2012</v>
      </c>
      <c r="O6890" s="6" t="s">
        <v>2012</v>
      </c>
      <c r="P6890" s="9" t="s">
        <v>60</v>
      </c>
      <c r="Q6890" s="9" t="s">
        <v>49</v>
      </c>
      <c r="R6890" s="9" t="s">
        <v>83</v>
      </c>
      <c r="S6890" s="7" t="s">
        <v>1136</v>
      </c>
      <c r="T6890" s="9" t="s">
        <v>82</v>
      </c>
      <c r="U6890" s="7">
        <v>0.71</v>
      </c>
      <c r="V6890" s="12">
        <f t="shared" ref="V6890:V6895" si="128">C6890+2</f>
        <v>40731</v>
      </c>
      <c r="W6890">
        <f>IF(D6890=' Pivot Tables'!$A$4,1,0)</f>
        <v>0</v>
      </c>
      <c r="X6890">
        <f>IF(AND(LEFT(D6890,4)+1=LEFT(' Pivot Tables'!$A$4,4)+0,RIGHT(LEFT(D6890,7),2)=RIGHT(LEFT(' Pivot Tables'!$A$4,7),2)),1,0)</f>
        <v>0</v>
      </c>
      <c r="Y6890" s="6">
        <f>1/COUNTIF(Таблица1[Order ID],Таблица1[[#This Row],[Order ID]])</f>
        <v>1</v>
      </c>
      <c r="Z6890" s="9">
        <f>1/COUNTIFS(Таблица1[Customer Name],Таблица1[[#This Row],[Customer Name]],Таблица1[Order-Year-Month],Таблица1[[#This Row],[Order-Year-Month]])</f>
        <v>1</v>
      </c>
    </row>
    <row r="6891" spans="1:26" x14ac:dyDescent="0.2">
      <c r="A6891" s="6">
        <v>3243</v>
      </c>
      <c r="B6891" s="7">
        <v>23238</v>
      </c>
      <c r="C6891" s="8">
        <f>DATE(2012,12,31)-1006</f>
        <v>40268</v>
      </c>
      <c r="D6891" s="8" t="str">
        <f t="shared" si="127"/>
        <v>2010-03 (март 2010)</v>
      </c>
      <c r="E6891" s="9" t="s">
        <v>45</v>
      </c>
      <c r="F6891" s="7">
        <v>25</v>
      </c>
      <c r="G6891" s="7">
        <v>2976.19</v>
      </c>
      <c r="H6891" s="7">
        <v>0.05</v>
      </c>
      <c r="I6891" s="9" t="s">
        <v>31</v>
      </c>
      <c r="J6891" s="10">
        <v>-44.517900000000004</v>
      </c>
      <c r="K6891" s="11">
        <v>115.99</v>
      </c>
      <c r="L6891" s="11">
        <v>56.14</v>
      </c>
      <c r="M6891" s="9" t="s">
        <v>1546</v>
      </c>
      <c r="N6891" s="6" t="s">
        <v>2012</v>
      </c>
      <c r="O6891" s="6" t="s">
        <v>2012</v>
      </c>
      <c r="P6891" s="9" t="s">
        <v>25</v>
      </c>
      <c r="Q6891" s="9" t="s">
        <v>42</v>
      </c>
      <c r="R6891" s="9" t="s">
        <v>210</v>
      </c>
      <c r="S6891" s="7" t="s">
        <v>482</v>
      </c>
      <c r="T6891" s="9" t="s">
        <v>36</v>
      </c>
      <c r="U6891" s="7">
        <v>0.4</v>
      </c>
      <c r="V6891" s="12">
        <f t="shared" si="128"/>
        <v>40270</v>
      </c>
      <c r="W6891">
        <f>IF(D6891=' Pivot Tables'!$A$4,1,0)</f>
        <v>0</v>
      </c>
      <c r="X6891">
        <f>IF(AND(LEFT(D6891,4)+1=LEFT(' Pivot Tables'!$A$4,4)+0,RIGHT(LEFT(D6891,7),2)=RIGHT(LEFT(' Pivot Tables'!$A$4,7),2)),1,0)</f>
        <v>0</v>
      </c>
      <c r="Y6891" s="6">
        <f>1/COUNTIF(Таблица1[Order ID],Таблица1[[#This Row],[Order ID]])</f>
        <v>1</v>
      </c>
      <c r="Z6891" s="9">
        <f>1/COUNTIFS(Таблица1[Customer Name],Таблица1[[#This Row],[Customer Name]],Таблица1[Order-Year-Month],Таблица1[[#This Row],[Order-Year-Month]])</f>
        <v>1</v>
      </c>
    </row>
    <row r="6892" spans="1:26" x14ac:dyDescent="0.2">
      <c r="A6892" s="6">
        <v>3251</v>
      </c>
      <c r="B6892" s="7">
        <v>23297</v>
      </c>
      <c r="C6892" s="8">
        <f>DATE(2012,12,31)-182</f>
        <v>41092</v>
      </c>
      <c r="D6892" s="8" t="str">
        <f t="shared" si="127"/>
        <v>2012-07 (июль 2012)</v>
      </c>
      <c r="E6892" s="9" t="s">
        <v>78</v>
      </c>
      <c r="F6892" s="7">
        <v>20</v>
      </c>
      <c r="G6892" s="7">
        <v>498.68</v>
      </c>
      <c r="H6892" s="7">
        <v>0.06</v>
      </c>
      <c r="I6892" s="9" t="s">
        <v>22</v>
      </c>
      <c r="J6892" s="10">
        <v>79.52</v>
      </c>
      <c r="K6892" s="11">
        <v>25.98</v>
      </c>
      <c r="L6892" s="11">
        <v>5.37</v>
      </c>
      <c r="M6892" s="9" t="s">
        <v>2027</v>
      </c>
      <c r="N6892" s="6" t="s">
        <v>2012</v>
      </c>
      <c r="O6892" s="6" t="s">
        <v>2012</v>
      </c>
      <c r="P6892" s="9" t="s">
        <v>41</v>
      </c>
      <c r="Q6892" s="9" t="s">
        <v>26</v>
      </c>
      <c r="R6892" s="9" t="s">
        <v>34</v>
      </c>
      <c r="S6892" s="7" t="s">
        <v>167</v>
      </c>
      <c r="T6892" s="9" t="s">
        <v>48</v>
      </c>
      <c r="U6892" s="7">
        <v>0.5</v>
      </c>
      <c r="V6892" s="12">
        <f t="shared" si="128"/>
        <v>41094</v>
      </c>
      <c r="W6892">
        <f>IF(D6892=' Pivot Tables'!$A$4,1,0)</f>
        <v>0</v>
      </c>
      <c r="X6892">
        <f>IF(AND(LEFT(D6892,4)+1=LEFT(' Pivot Tables'!$A$4,4)+0,RIGHT(LEFT(D6892,7),2)=RIGHT(LEFT(' Pivot Tables'!$A$4,7),2)),1,0)</f>
        <v>0</v>
      </c>
      <c r="Y6892" s="6">
        <f>1/COUNTIF(Таблица1[Order ID],Таблица1[[#This Row],[Order ID]])</f>
        <v>0.5</v>
      </c>
      <c r="Z6892" s="9">
        <f>1/COUNTIFS(Таблица1[Customer Name],Таблица1[[#This Row],[Customer Name]],Таблица1[Order-Year-Month],Таблица1[[#This Row],[Order-Year-Month]])</f>
        <v>0.5</v>
      </c>
    </row>
    <row r="6893" spans="1:26" x14ac:dyDescent="0.2">
      <c r="A6893" s="6">
        <v>3252</v>
      </c>
      <c r="B6893" s="7">
        <v>23297</v>
      </c>
      <c r="C6893" s="8">
        <f>DATE(2012,12,31)-182</f>
        <v>41092</v>
      </c>
      <c r="D6893" s="8" t="str">
        <f t="shared" si="127"/>
        <v>2012-07 (июль 2012)</v>
      </c>
      <c r="E6893" s="9" t="s">
        <v>78</v>
      </c>
      <c r="F6893" s="7">
        <v>34</v>
      </c>
      <c r="G6893" s="7">
        <v>5208.78</v>
      </c>
      <c r="H6893" s="7">
        <v>0.05</v>
      </c>
      <c r="I6893" s="9" t="s">
        <v>22</v>
      </c>
      <c r="J6893" s="10">
        <v>1547.78</v>
      </c>
      <c r="K6893" s="11">
        <v>155.06</v>
      </c>
      <c r="L6893" s="11">
        <v>7.07</v>
      </c>
      <c r="M6893" s="9" t="s">
        <v>2027</v>
      </c>
      <c r="N6893" s="6" t="s">
        <v>2012</v>
      </c>
      <c r="O6893" s="6" t="s">
        <v>2012</v>
      </c>
      <c r="P6893" s="9" t="s">
        <v>41</v>
      </c>
      <c r="Q6893" s="9" t="s">
        <v>26</v>
      </c>
      <c r="R6893" s="9" t="s">
        <v>27</v>
      </c>
      <c r="S6893" s="7" t="s">
        <v>502</v>
      </c>
      <c r="T6893" s="9" t="s">
        <v>39</v>
      </c>
      <c r="U6893" s="7">
        <v>0.59</v>
      </c>
      <c r="V6893" s="12">
        <f t="shared" si="128"/>
        <v>41094</v>
      </c>
      <c r="W6893">
        <f>IF(D6893=' Pivot Tables'!$A$4,1,0)</f>
        <v>0</v>
      </c>
      <c r="X6893">
        <f>IF(AND(LEFT(D6893,4)+1=LEFT(' Pivot Tables'!$A$4,4)+0,RIGHT(LEFT(D6893,7),2)=RIGHT(LEFT(' Pivot Tables'!$A$4,7),2)),1,0)</f>
        <v>0</v>
      </c>
      <c r="Y6893" s="6">
        <f>1/COUNTIF(Таблица1[Order ID],Таблица1[[#This Row],[Order ID]])</f>
        <v>0.5</v>
      </c>
      <c r="Z6893" s="9">
        <f>1/COUNTIFS(Таблица1[Customer Name],Таблица1[[#This Row],[Customer Name]],Таблица1[Order-Year-Month],Таблица1[[#This Row],[Order-Year-Month]])</f>
        <v>0.5</v>
      </c>
    </row>
    <row r="6894" spans="1:26" x14ac:dyDescent="0.2">
      <c r="A6894" s="6">
        <v>3253</v>
      </c>
      <c r="B6894" s="7">
        <v>23301</v>
      </c>
      <c r="C6894" s="8">
        <f>DATE(2012,12,31)-623</f>
        <v>40651</v>
      </c>
      <c r="D6894" s="8" t="str">
        <f t="shared" si="127"/>
        <v>2011-04 (апрель 2011)</v>
      </c>
      <c r="E6894" s="9" t="s">
        <v>30</v>
      </c>
      <c r="F6894" s="7">
        <v>4</v>
      </c>
      <c r="G6894" s="7">
        <v>28.46</v>
      </c>
      <c r="H6894" s="7">
        <v>0.02</v>
      </c>
      <c r="I6894" s="9" t="s">
        <v>22</v>
      </c>
      <c r="J6894" s="10">
        <v>-27.13</v>
      </c>
      <c r="K6894" s="11">
        <v>5.98</v>
      </c>
      <c r="L6894" s="11">
        <v>3.85</v>
      </c>
      <c r="M6894" s="9" t="s">
        <v>2027</v>
      </c>
      <c r="N6894" s="6" t="s">
        <v>2012</v>
      </c>
      <c r="O6894" s="6" t="s">
        <v>2012</v>
      </c>
      <c r="P6894" s="9" t="s">
        <v>41</v>
      </c>
      <c r="Q6894" s="9" t="s">
        <v>42</v>
      </c>
      <c r="R6894" s="9" t="s">
        <v>70</v>
      </c>
      <c r="S6894" s="7" t="s">
        <v>1697</v>
      </c>
      <c r="T6894" s="9" t="s">
        <v>52</v>
      </c>
      <c r="U6894" s="7">
        <v>0.68</v>
      </c>
      <c r="V6894" s="12">
        <f t="shared" si="128"/>
        <v>40653</v>
      </c>
      <c r="W6894">
        <f>IF(D6894=' Pivot Tables'!$A$4,1,0)</f>
        <v>0</v>
      </c>
      <c r="X6894">
        <f>IF(AND(LEFT(D6894,4)+1=LEFT(' Pivot Tables'!$A$4,4)+0,RIGHT(LEFT(D6894,7),2)=RIGHT(LEFT(' Pivot Tables'!$A$4,7),2)),1,0)</f>
        <v>0</v>
      </c>
      <c r="Y6894" s="6">
        <f>1/COUNTIF(Таблица1[Order ID],Таблица1[[#This Row],[Order ID]])</f>
        <v>0.5</v>
      </c>
      <c r="Z6894" s="9">
        <f>1/COUNTIFS(Таблица1[Customer Name],Таблица1[[#This Row],[Customer Name]],Таблица1[Order-Year-Month],Таблица1[[#This Row],[Order-Year-Month]])</f>
        <v>0.5</v>
      </c>
    </row>
    <row r="6895" spans="1:26" x14ac:dyDescent="0.2">
      <c r="A6895" s="6">
        <v>3254</v>
      </c>
      <c r="B6895" s="7">
        <v>23301</v>
      </c>
      <c r="C6895" s="8">
        <f>DATE(2012,12,31)-623</f>
        <v>40651</v>
      </c>
      <c r="D6895" s="8" t="str">
        <f t="shared" si="127"/>
        <v>2011-04 (апрель 2011)</v>
      </c>
      <c r="E6895" s="9" t="s">
        <v>30</v>
      </c>
      <c r="F6895" s="7">
        <v>3</v>
      </c>
      <c r="G6895" s="7">
        <v>23.44</v>
      </c>
      <c r="H6895" s="7">
        <v>0.05</v>
      </c>
      <c r="I6895" s="9" t="s">
        <v>22</v>
      </c>
      <c r="J6895" s="10">
        <v>-10.58</v>
      </c>
      <c r="K6895" s="11">
        <v>5.98</v>
      </c>
      <c r="L6895" s="11">
        <v>5.2</v>
      </c>
      <c r="M6895" s="9" t="s">
        <v>2027</v>
      </c>
      <c r="N6895" s="6" t="s">
        <v>2012</v>
      </c>
      <c r="O6895" s="6" t="s">
        <v>2012</v>
      </c>
      <c r="P6895" s="9" t="s">
        <v>41</v>
      </c>
      <c r="Q6895" s="9" t="s">
        <v>26</v>
      </c>
      <c r="R6895" s="9" t="s">
        <v>61</v>
      </c>
      <c r="S6895" s="7" t="s">
        <v>594</v>
      </c>
      <c r="T6895" s="9" t="s">
        <v>39</v>
      </c>
      <c r="U6895" s="7">
        <v>0.36</v>
      </c>
      <c r="V6895" s="12">
        <f t="shared" si="128"/>
        <v>40653</v>
      </c>
      <c r="W6895">
        <f>IF(D6895=' Pivot Tables'!$A$4,1,0)</f>
        <v>0</v>
      </c>
      <c r="X6895">
        <f>IF(AND(LEFT(D6895,4)+1=LEFT(' Pivot Tables'!$A$4,4)+0,RIGHT(LEFT(D6895,7),2)=RIGHT(LEFT(' Pivot Tables'!$A$4,7),2)),1,0)</f>
        <v>0</v>
      </c>
      <c r="Y6895" s="6">
        <f>1/COUNTIF(Таблица1[Order ID],Таблица1[[#This Row],[Order ID]])</f>
        <v>0.5</v>
      </c>
      <c r="Z6895" s="9">
        <f>1/COUNTIFS(Таблица1[Customer Name],Таблица1[[#This Row],[Customer Name]],Таблица1[Order-Year-Month],Таблица1[[#This Row],[Order-Year-Month]])</f>
        <v>0.5</v>
      </c>
    </row>
    <row r="6896" spans="1:26" x14ac:dyDescent="0.2">
      <c r="A6896" s="6">
        <v>3257</v>
      </c>
      <c r="B6896" s="7">
        <v>23329</v>
      </c>
      <c r="C6896" s="8">
        <f>DATE(2012,12,31)-736</f>
        <v>40538</v>
      </c>
      <c r="D6896" s="8" t="str">
        <f t="shared" si="127"/>
        <v>2010-12 (декабрь 2010)</v>
      </c>
      <c r="E6896" s="9" t="s">
        <v>21</v>
      </c>
      <c r="F6896" s="7">
        <v>4</v>
      </c>
      <c r="G6896" s="7">
        <v>31.118499999999997</v>
      </c>
      <c r="H6896" s="7">
        <v>0.05</v>
      </c>
      <c r="I6896" s="9" t="s">
        <v>22</v>
      </c>
      <c r="J6896" s="10">
        <v>-46.904000000000003</v>
      </c>
      <c r="K6896" s="11">
        <v>7.99</v>
      </c>
      <c r="L6896" s="11">
        <v>5.03</v>
      </c>
      <c r="M6896" s="9" t="s">
        <v>2052</v>
      </c>
      <c r="N6896" s="6" t="s">
        <v>2012</v>
      </c>
      <c r="O6896" s="6" t="s">
        <v>2012</v>
      </c>
      <c r="P6896" s="9" t="s">
        <v>60</v>
      </c>
      <c r="Q6896" s="9" t="s">
        <v>42</v>
      </c>
      <c r="R6896" s="9" t="s">
        <v>43</v>
      </c>
      <c r="S6896" s="7" t="s">
        <v>140</v>
      </c>
      <c r="T6896" s="9" t="s">
        <v>48</v>
      </c>
      <c r="U6896" s="7">
        <v>0.6</v>
      </c>
      <c r="V6896" s="12">
        <f>C6896+24</f>
        <v>40562</v>
      </c>
      <c r="W6896">
        <f>IF(D6896=' Pivot Tables'!$A$4,1,0)</f>
        <v>0</v>
      </c>
      <c r="X6896">
        <f>IF(AND(LEFT(D6896,4)+1=LEFT(' Pivot Tables'!$A$4,4)+0,RIGHT(LEFT(D6896,7),2)=RIGHT(LEFT(' Pivot Tables'!$A$4,7),2)),1,0)</f>
        <v>0</v>
      </c>
      <c r="Y6896" s="6">
        <f>1/COUNTIF(Таблица1[Order ID],Таблица1[[#This Row],[Order ID]])</f>
        <v>0.5</v>
      </c>
      <c r="Z6896" s="9">
        <f>1/COUNTIFS(Таблица1[Customer Name],Таблица1[[#This Row],[Customer Name]],Таблица1[Order-Year-Month],Таблица1[[#This Row],[Order-Year-Month]])</f>
        <v>0.5</v>
      </c>
    </row>
    <row r="6897" spans="1:26" x14ac:dyDescent="0.2">
      <c r="A6897" s="6">
        <v>3258</v>
      </c>
      <c r="B6897" s="7">
        <v>23329</v>
      </c>
      <c r="C6897" s="8">
        <f>DATE(2012,12,31)-736</f>
        <v>40538</v>
      </c>
      <c r="D6897" s="8" t="str">
        <f t="shared" si="127"/>
        <v>2010-12 (декабрь 2010)</v>
      </c>
      <c r="E6897" s="9" t="s">
        <v>21</v>
      </c>
      <c r="F6897" s="7">
        <v>47</v>
      </c>
      <c r="G6897" s="7">
        <v>4829.4534999999996</v>
      </c>
      <c r="H6897" s="7">
        <v>0.05</v>
      </c>
      <c r="I6897" s="9" t="s">
        <v>22</v>
      </c>
      <c r="J6897" s="10">
        <v>1235.1510000000001</v>
      </c>
      <c r="K6897" s="11">
        <v>125.99</v>
      </c>
      <c r="L6897" s="11">
        <v>8.99</v>
      </c>
      <c r="M6897" s="9" t="s">
        <v>2052</v>
      </c>
      <c r="N6897" s="6" t="s">
        <v>2012</v>
      </c>
      <c r="O6897" s="6" t="s">
        <v>2012</v>
      </c>
      <c r="P6897" s="9" t="s">
        <v>60</v>
      </c>
      <c r="Q6897" s="9" t="s">
        <v>42</v>
      </c>
      <c r="R6897" s="9" t="s">
        <v>43</v>
      </c>
      <c r="S6897" s="7" t="s">
        <v>802</v>
      </c>
      <c r="T6897" s="9" t="s">
        <v>39</v>
      </c>
      <c r="U6897" s="7">
        <v>0.55000000000000004</v>
      </c>
      <c r="V6897" s="12">
        <f>C6897+4</f>
        <v>40542</v>
      </c>
      <c r="W6897">
        <f>IF(D6897=' Pivot Tables'!$A$4,1,0)</f>
        <v>0</v>
      </c>
      <c r="X6897">
        <f>IF(AND(LEFT(D6897,4)+1=LEFT(' Pivot Tables'!$A$4,4)+0,RIGHT(LEFT(D6897,7),2)=RIGHT(LEFT(' Pivot Tables'!$A$4,7),2)),1,0)</f>
        <v>0</v>
      </c>
      <c r="Y6897" s="6">
        <f>1/COUNTIF(Таблица1[Order ID],Таблица1[[#This Row],[Order ID]])</f>
        <v>0.5</v>
      </c>
      <c r="Z6897" s="9">
        <f>1/COUNTIFS(Таблица1[Customer Name],Таблица1[[#This Row],[Customer Name]],Таблица1[Order-Year-Month],Таблица1[[#This Row],[Order-Year-Month]])</f>
        <v>0.5</v>
      </c>
    </row>
    <row r="6898" spans="1:26" x14ac:dyDescent="0.2">
      <c r="A6898" s="6">
        <v>3268</v>
      </c>
      <c r="B6898" s="7">
        <v>23366</v>
      </c>
      <c r="C6898" s="8">
        <f>DATE(2012,12,31)-773</f>
        <v>40501</v>
      </c>
      <c r="D6898" s="8" t="str">
        <f t="shared" si="127"/>
        <v>2010-11 (ноябрь 2010)</v>
      </c>
      <c r="E6898" s="9" t="s">
        <v>45</v>
      </c>
      <c r="F6898" s="7">
        <v>12</v>
      </c>
      <c r="G6898" s="7">
        <v>136.1</v>
      </c>
      <c r="H6898" s="7">
        <v>0.06</v>
      </c>
      <c r="I6898" s="9" t="s">
        <v>22</v>
      </c>
      <c r="J6898" s="10">
        <v>-3.78</v>
      </c>
      <c r="K6898" s="11">
        <v>10.52</v>
      </c>
      <c r="L6898" s="11">
        <v>7.94</v>
      </c>
      <c r="M6898" s="9" t="s">
        <v>2047</v>
      </c>
      <c r="N6898" s="6" t="s">
        <v>2012</v>
      </c>
      <c r="O6898" s="6" t="s">
        <v>2012</v>
      </c>
      <c r="P6898" s="9" t="s">
        <v>41</v>
      </c>
      <c r="Q6898" s="9" t="s">
        <v>49</v>
      </c>
      <c r="R6898" s="9" t="s">
        <v>50</v>
      </c>
      <c r="S6898" s="7" t="s">
        <v>928</v>
      </c>
      <c r="T6898" s="9" t="s">
        <v>52</v>
      </c>
      <c r="U6898" s="7">
        <v>0.52</v>
      </c>
      <c r="V6898" s="12">
        <f>C6898+2</f>
        <v>40503</v>
      </c>
      <c r="W6898">
        <f>IF(D6898=' Pivot Tables'!$A$4,1,0)</f>
        <v>0</v>
      </c>
      <c r="X6898">
        <f>IF(AND(LEFT(D6898,4)+1=LEFT(' Pivot Tables'!$A$4,4)+0,RIGHT(LEFT(D6898,7),2)=RIGHT(LEFT(' Pivot Tables'!$A$4,7),2)),1,0)</f>
        <v>0</v>
      </c>
      <c r="Y6898" s="6">
        <f>1/COUNTIF(Таблица1[Order ID],Таблица1[[#This Row],[Order ID]])</f>
        <v>0.5</v>
      </c>
      <c r="Z6898" s="9">
        <f>1/COUNTIFS(Таблица1[Customer Name],Таблица1[[#This Row],[Customer Name]],Таблица1[Order-Year-Month],Таблица1[[#This Row],[Order-Year-Month]])</f>
        <v>0.5</v>
      </c>
    </row>
    <row r="6899" spans="1:26" x14ac:dyDescent="0.2">
      <c r="A6899" s="6">
        <v>3269</v>
      </c>
      <c r="B6899" s="7">
        <v>23366</v>
      </c>
      <c r="C6899" s="8">
        <f>DATE(2012,12,31)-773</f>
        <v>40501</v>
      </c>
      <c r="D6899" s="8" t="str">
        <f t="shared" si="127"/>
        <v>2010-11 (ноябрь 2010)</v>
      </c>
      <c r="E6899" s="9" t="s">
        <v>45</v>
      </c>
      <c r="F6899" s="7">
        <v>5</v>
      </c>
      <c r="G6899" s="7">
        <v>297.85000000000002</v>
      </c>
      <c r="H6899" s="7">
        <v>0.04</v>
      </c>
      <c r="I6899" s="9" t="s">
        <v>22</v>
      </c>
      <c r="J6899" s="10">
        <v>-69.89</v>
      </c>
      <c r="K6899" s="11">
        <v>54.1</v>
      </c>
      <c r="L6899" s="11">
        <v>19.989999999999998</v>
      </c>
      <c r="M6899" s="9" t="s">
        <v>2047</v>
      </c>
      <c r="N6899" s="6" t="s">
        <v>2012</v>
      </c>
      <c r="O6899" s="6" t="s">
        <v>2012</v>
      </c>
      <c r="P6899" s="9" t="s">
        <v>41</v>
      </c>
      <c r="Q6899" s="9" t="s">
        <v>26</v>
      </c>
      <c r="R6899" s="9" t="s">
        <v>27</v>
      </c>
      <c r="S6899" s="7" t="s">
        <v>1981</v>
      </c>
      <c r="T6899" s="9" t="s">
        <v>39</v>
      </c>
      <c r="U6899" s="7">
        <v>0.59</v>
      </c>
      <c r="V6899" s="12">
        <f>C6899+0</f>
        <v>40501</v>
      </c>
      <c r="W6899">
        <f>IF(D6899=' Pivot Tables'!$A$4,1,0)</f>
        <v>0</v>
      </c>
      <c r="X6899">
        <f>IF(AND(LEFT(D6899,4)+1=LEFT(' Pivot Tables'!$A$4,4)+0,RIGHT(LEFT(D6899,7),2)=RIGHT(LEFT(' Pivot Tables'!$A$4,7),2)),1,0)</f>
        <v>0</v>
      </c>
      <c r="Y6899" s="6">
        <f>1/COUNTIF(Таблица1[Order ID],Таблица1[[#This Row],[Order ID]])</f>
        <v>0.5</v>
      </c>
      <c r="Z6899" s="9">
        <f>1/COUNTIFS(Таблица1[Customer Name],Таблица1[[#This Row],[Customer Name]],Таблица1[Order-Year-Month],Таблица1[[#This Row],[Order-Year-Month]])</f>
        <v>0.5</v>
      </c>
    </row>
    <row r="6900" spans="1:26" x14ac:dyDescent="0.2">
      <c r="A6900" s="6">
        <v>3272</v>
      </c>
      <c r="B6900" s="7">
        <v>23395</v>
      </c>
      <c r="C6900" s="8">
        <f>DATE(2012,12,31)-65</f>
        <v>41209</v>
      </c>
      <c r="D6900" s="8" t="str">
        <f t="shared" si="127"/>
        <v>2012-10 (октябрь 2012)</v>
      </c>
      <c r="E6900" s="9" t="s">
        <v>63</v>
      </c>
      <c r="F6900" s="7">
        <v>31</v>
      </c>
      <c r="G6900" s="7">
        <v>1296.46</v>
      </c>
      <c r="H6900" s="7">
        <v>0.01</v>
      </c>
      <c r="I6900" s="9" t="s">
        <v>22</v>
      </c>
      <c r="J6900" s="10">
        <v>376.47</v>
      </c>
      <c r="K6900" s="11">
        <v>39.479999999999997</v>
      </c>
      <c r="L6900" s="11">
        <v>1.99</v>
      </c>
      <c r="M6900" s="9" t="s">
        <v>1406</v>
      </c>
      <c r="N6900" s="6" t="s">
        <v>2012</v>
      </c>
      <c r="O6900" s="6" t="s">
        <v>2012</v>
      </c>
      <c r="P6900" s="9" t="s">
        <v>41</v>
      </c>
      <c r="Q6900" s="9" t="s">
        <v>42</v>
      </c>
      <c r="R6900" s="9" t="s">
        <v>70</v>
      </c>
      <c r="S6900" s="7" t="s">
        <v>161</v>
      </c>
      <c r="T6900" s="9" t="s">
        <v>52</v>
      </c>
      <c r="U6900" s="7">
        <v>0.54</v>
      </c>
      <c r="V6900" s="12">
        <f>C6900+2</f>
        <v>41211</v>
      </c>
      <c r="W6900">
        <f>IF(D6900=' Pivot Tables'!$A$4,1,0)</f>
        <v>0</v>
      </c>
      <c r="X6900">
        <f>IF(AND(LEFT(D6900,4)+1=LEFT(' Pivot Tables'!$A$4,4)+0,RIGHT(LEFT(D6900,7),2)=RIGHT(LEFT(' Pivot Tables'!$A$4,7),2)),1,0)</f>
        <v>0</v>
      </c>
      <c r="Y6900" s="6">
        <f>1/COUNTIF(Таблица1[Order ID],Таблица1[[#This Row],[Order ID]])</f>
        <v>1</v>
      </c>
      <c r="Z6900" s="9">
        <f>1/COUNTIFS(Таблица1[Customer Name],Таблица1[[#This Row],[Customer Name]],Таблица1[Order-Year-Month],Таблица1[[#This Row],[Order-Year-Month]])</f>
        <v>1</v>
      </c>
    </row>
    <row r="6901" spans="1:26" x14ac:dyDescent="0.2">
      <c r="A6901" s="6">
        <v>3283</v>
      </c>
      <c r="B6901" s="7">
        <v>23488</v>
      </c>
      <c r="C6901" s="8">
        <f>DATE(2012,12,31)-1455</f>
        <v>39819</v>
      </c>
      <c r="D6901" s="8" t="str">
        <f t="shared" si="127"/>
        <v>2009-01 (январь 2009)</v>
      </c>
      <c r="E6901" s="9" t="s">
        <v>30</v>
      </c>
      <c r="F6901" s="7">
        <v>29</v>
      </c>
      <c r="G6901" s="7">
        <v>101.77</v>
      </c>
      <c r="H6901" s="7">
        <v>0.03</v>
      </c>
      <c r="I6901" s="9" t="s">
        <v>22</v>
      </c>
      <c r="J6901" s="10">
        <v>-73.19</v>
      </c>
      <c r="K6901" s="11">
        <v>3.28</v>
      </c>
      <c r="L6901" s="11">
        <v>3.97</v>
      </c>
      <c r="M6901" s="9" t="s">
        <v>1566</v>
      </c>
      <c r="N6901" s="6" t="s">
        <v>2012</v>
      </c>
      <c r="O6901" s="6" t="s">
        <v>2012</v>
      </c>
      <c r="P6901" s="9" t="s">
        <v>60</v>
      </c>
      <c r="Q6901" s="9" t="s">
        <v>26</v>
      </c>
      <c r="R6901" s="9" t="s">
        <v>95</v>
      </c>
      <c r="S6901" s="7" t="s">
        <v>570</v>
      </c>
      <c r="T6901" s="9" t="s">
        <v>68</v>
      </c>
      <c r="U6901" s="7">
        <v>0.56000000000000005</v>
      </c>
      <c r="V6901" s="12">
        <f>C6901+2</f>
        <v>39821</v>
      </c>
      <c r="W6901">
        <f>IF(D6901=' Pivot Tables'!$A$4,1,0)</f>
        <v>0</v>
      </c>
      <c r="X6901">
        <f>IF(AND(LEFT(D6901,4)+1=LEFT(' Pivot Tables'!$A$4,4)+0,RIGHT(LEFT(D6901,7),2)=RIGHT(LEFT(' Pivot Tables'!$A$4,7),2)),1,0)</f>
        <v>1</v>
      </c>
      <c r="Y6901" s="6">
        <f>1/COUNTIF(Таблица1[Order ID],Таблица1[[#This Row],[Order ID]])</f>
        <v>0.5</v>
      </c>
      <c r="Z6901" s="9">
        <f>1/COUNTIFS(Таблица1[Customer Name],Таблица1[[#This Row],[Customer Name]],Таблица1[Order-Year-Month],Таблица1[[#This Row],[Order-Year-Month]])</f>
        <v>1</v>
      </c>
    </row>
    <row r="6902" spans="1:26" x14ac:dyDescent="0.2">
      <c r="A6902" s="6">
        <v>3292</v>
      </c>
      <c r="B6902" s="7">
        <v>23555</v>
      </c>
      <c r="C6902" s="8">
        <f>DATE(2012,12,31)-20</f>
        <v>41254</v>
      </c>
      <c r="D6902" s="8" t="str">
        <f t="shared" si="127"/>
        <v>2012-12 (декабрь 2012)</v>
      </c>
      <c r="E6902" s="9" t="s">
        <v>30</v>
      </c>
      <c r="F6902" s="7">
        <v>29</v>
      </c>
      <c r="G6902" s="7">
        <v>104.7</v>
      </c>
      <c r="H6902" s="7">
        <v>0.09</v>
      </c>
      <c r="I6902" s="9" t="s">
        <v>22</v>
      </c>
      <c r="J6902" s="10">
        <v>42.16</v>
      </c>
      <c r="K6902" s="11">
        <v>3.69</v>
      </c>
      <c r="L6902" s="11">
        <v>0.5</v>
      </c>
      <c r="M6902" s="9" t="s">
        <v>2027</v>
      </c>
      <c r="N6902" s="6" t="s">
        <v>2012</v>
      </c>
      <c r="O6902" s="6" t="s">
        <v>2012</v>
      </c>
      <c r="P6902" s="9" t="s">
        <v>41</v>
      </c>
      <c r="Q6902" s="9" t="s">
        <v>26</v>
      </c>
      <c r="R6902" s="9" t="s">
        <v>88</v>
      </c>
      <c r="S6902" s="7" t="s">
        <v>89</v>
      </c>
      <c r="T6902" s="9" t="s">
        <v>39</v>
      </c>
      <c r="U6902" s="7">
        <v>0.38</v>
      </c>
      <c r="V6902" s="12">
        <f>C6902+1</f>
        <v>41255</v>
      </c>
      <c r="W6902">
        <f>IF(D6902=' Pivot Tables'!$A$4,1,0)</f>
        <v>0</v>
      </c>
      <c r="X6902">
        <f>IF(AND(LEFT(D6902,4)+1=LEFT(' Pivot Tables'!$A$4,4)+0,RIGHT(LEFT(D6902,7),2)=RIGHT(LEFT(' Pivot Tables'!$A$4,7),2)),1,0)</f>
        <v>0</v>
      </c>
      <c r="Y6902" s="6">
        <f>1/COUNTIF(Таблица1[Order ID],Таблица1[[#This Row],[Order ID]])</f>
        <v>0.5</v>
      </c>
      <c r="Z6902" s="9">
        <f>1/COUNTIFS(Таблица1[Customer Name],Таблица1[[#This Row],[Customer Name]],Таблица1[Order-Year-Month],Таблица1[[#This Row],[Order-Year-Month]])</f>
        <v>0.5</v>
      </c>
    </row>
    <row r="6903" spans="1:26" x14ac:dyDescent="0.2">
      <c r="A6903" s="6">
        <v>3293</v>
      </c>
      <c r="B6903" s="7">
        <v>23555</v>
      </c>
      <c r="C6903" s="8">
        <f>DATE(2012,12,31)-20</f>
        <v>41254</v>
      </c>
      <c r="D6903" s="8" t="str">
        <f t="shared" si="127"/>
        <v>2012-12 (декабрь 2012)</v>
      </c>
      <c r="E6903" s="9" t="s">
        <v>30</v>
      </c>
      <c r="F6903" s="7">
        <v>5</v>
      </c>
      <c r="G6903" s="7">
        <v>284.45249999999999</v>
      </c>
      <c r="H6903" s="7">
        <v>0.06</v>
      </c>
      <c r="I6903" s="9" t="s">
        <v>22</v>
      </c>
      <c r="J6903" s="10">
        <v>-254.78200000000001</v>
      </c>
      <c r="K6903" s="11">
        <v>65.989999999999995</v>
      </c>
      <c r="L6903" s="11">
        <v>8.99</v>
      </c>
      <c r="M6903" s="9" t="s">
        <v>2027</v>
      </c>
      <c r="N6903" s="6" t="s">
        <v>2012</v>
      </c>
      <c r="O6903" s="6" t="s">
        <v>2012</v>
      </c>
      <c r="P6903" s="9" t="s">
        <v>41</v>
      </c>
      <c r="Q6903" s="9" t="s">
        <v>42</v>
      </c>
      <c r="R6903" s="9" t="s">
        <v>43</v>
      </c>
      <c r="S6903" s="7" t="s">
        <v>596</v>
      </c>
      <c r="T6903" s="9" t="s">
        <v>39</v>
      </c>
      <c r="U6903" s="7">
        <v>0.57999999999999996</v>
      </c>
      <c r="V6903" s="12">
        <f>C6903+1</f>
        <v>41255</v>
      </c>
      <c r="W6903">
        <f>IF(D6903=' Pivot Tables'!$A$4,1,0)</f>
        <v>0</v>
      </c>
      <c r="X6903">
        <f>IF(AND(LEFT(D6903,4)+1=LEFT(' Pivot Tables'!$A$4,4)+0,RIGHT(LEFT(D6903,7),2)=RIGHT(LEFT(' Pivot Tables'!$A$4,7),2)),1,0)</f>
        <v>0</v>
      </c>
      <c r="Y6903" s="6">
        <f>1/COUNTIF(Таблица1[Order ID],Таблица1[[#This Row],[Order ID]])</f>
        <v>0.5</v>
      </c>
      <c r="Z6903" s="9">
        <f>1/COUNTIFS(Таблица1[Customer Name],Таблица1[[#This Row],[Customer Name]],Таблица1[Order-Year-Month],Таблица1[[#This Row],[Order-Year-Month]])</f>
        <v>0.5</v>
      </c>
    </row>
    <row r="6904" spans="1:26" x14ac:dyDescent="0.2">
      <c r="A6904" s="6">
        <v>3304</v>
      </c>
      <c r="B6904" s="7">
        <v>23617</v>
      </c>
      <c r="C6904" s="8">
        <f>DATE(2012,12,31)-606</f>
        <v>40668</v>
      </c>
      <c r="D6904" s="8" t="str">
        <f t="shared" si="127"/>
        <v>2011-05 (май 2011)</v>
      </c>
      <c r="E6904" s="9" t="s">
        <v>45</v>
      </c>
      <c r="F6904" s="7">
        <v>6</v>
      </c>
      <c r="G6904" s="7">
        <v>247.34</v>
      </c>
      <c r="H6904" s="7">
        <v>0.04</v>
      </c>
      <c r="I6904" s="9" t="s">
        <v>56</v>
      </c>
      <c r="J6904" s="10">
        <v>63.605499999999999</v>
      </c>
      <c r="K6904" s="11">
        <v>37.700000000000003</v>
      </c>
      <c r="L6904" s="11">
        <v>2.99</v>
      </c>
      <c r="M6904" s="9" t="s">
        <v>1488</v>
      </c>
      <c r="N6904" s="6" t="s">
        <v>2012</v>
      </c>
      <c r="O6904" s="6" t="s">
        <v>2012</v>
      </c>
      <c r="P6904" s="9" t="s">
        <v>33</v>
      </c>
      <c r="Q6904" s="9" t="s">
        <v>26</v>
      </c>
      <c r="R6904" s="9" t="s">
        <v>37</v>
      </c>
      <c r="S6904" s="7" t="s">
        <v>952</v>
      </c>
      <c r="T6904" s="9" t="s">
        <v>39</v>
      </c>
      <c r="U6904" s="7">
        <v>0.35</v>
      </c>
      <c r="V6904" s="12">
        <f>C6904+2</f>
        <v>40670</v>
      </c>
      <c r="W6904">
        <f>IF(D6904=' Pivot Tables'!$A$4,1,0)</f>
        <v>0</v>
      </c>
      <c r="X6904">
        <f>IF(AND(LEFT(D6904,4)+1=LEFT(' Pivot Tables'!$A$4,4)+0,RIGHT(LEFT(D6904,7),2)=RIGHT(LEFT(' Pivot Tables'!$A$4,7),2)),1,0)</f>
        <v>0</v>
      </c>
      <c r="Y6904" s="6">
        <f>1/COUNTIF(Таблица1[Order ID],Таблица1[[#This Row],[Order ID]])</f>
        <v>1</v>
      </c>
      <c r="Z6904" s="9">
        <f>1/COUNTIFS(Таблица1[Customer Name],Таблица1[[#This Row],[Customer Name]],Таблица1[Order-Year-Month],Таблица1[[#This Row],[Order-Year-Month]])</f>
        <v>1</v>
      </c>
    </row>
    <row r="6905" spans="1:26" x14ac:dyDescent="0.2">
      <c r="A6905" s="6">
        <v>3313</v>
      </c>
      <c r="B6905" s="7">
        <v>23652</v>
      </c>
      <c r="C6905" s="8">
        <f>DATE(2012,12,31)-1219</f>
        <v>40055</v>
      </c>
      <c r="D6905" s="8" t="str">
        <f t="shared" si="127"/>
        <v>2009-08 (август 2009)</v>
      </c>
      <c r="E6905" s="9" t="s">
        <v>45</v>
      </c>
      <c r="F6905" s="7">
        <v>27</v>
      </c>
      <c r="G6905" s="7">
        <v>305.48</v>
      </c>
      <c r="H6905" s="7">
        <v>0.1</v>
      </c>
      <c r="I6905" s="9" t="s">
        <v>22</v>
      </c>
      <c r="J6905" s="10">
        <v>47.14</v>
      </c>
      <c r="K6905" s="11">
        <v>11.55</v>
      </c>
      <c r="L6905" s="11">
        <v>2.36</v>
      </c>
      <c r="M6905" s="9" t="s">
        <v>1506</v>
      </c>
      <c r="N6905" s="6" t="s">
        <v>2012</v>
      </c>
      <c r="O6905" s="6" t="s">
        <v>2012</v>
      </c>
      <c r="P6905" s="9" t="s">
        <v>25</v>
      </c>
      <c r="Q6905" s="9" t="s">
        <v>26</v>
      </c>
      <c r="R6905" s="9" t="s">
        <v>95</v>
      </c>
      <c r="S6905" s="7" t="s">
        <v>990</v>
      </c>
      <c r="T6905" s="9" t="s">
        <v>68</v>
      </c>
      <c r="U6905" s="7">
        <v>0.55000000000000004</v>
      </c>
      <c r="V6905" s="12">
        <f>C6905+0</f>
        <v>40055</v>
      </c>
      <c r="W6905">
        <f>IF(D6905=' Pivot Tables'!$A$4,1,0)</f>
        <v>0</v>
      </c>
      <c r="X6905">
        <f>IF(AND(LEFT(D6905,4)+1=LEFT(' Pivot Tables'!$A$4,4)+0,RIGHT(LEFT(D6905,7),2)=RIGHT(LEFT(' Pivot Tables'!$A$4,7),2)),1,0)</f>
        <v>0</v>
      </c>
      <c r="Y6905" s="6">
        <f>1/COUNTIF(Таблица1[Order ID],Таблица1[[#This Row],[Order ID]])</f>
        <v>1</v>
      </c>
      <c r="Z6905" s="9">
        <f>1/COUNTIFS(Таблица1[Customer Name],Таблица1[[#This Row],[Customer Name]],Таблица1[Order-Year-Month],Таблица1[[#This Row],[Order-Year-Month]])</f>
        <v>1</v>
      </c>
    </row>
    <row r="6906" spans="1:26" x14ac:dyDescent="0.2">
      <c r="A6906" s="6">
        <v>3314</v>
      </c>
      <c r="B6906" s="7">
        <v>23680</v>
      </c>
      <c r="C6906" s="8">
        <f>DATE(2012,12,31)-786</f>
        <v>40488</v>
      </c>
      <c r="D6906" s="8" t="str">
        <f t="shared" si="127"/>
        <v>2010-11 (ноябрь 2010)</v>
      </c>
      <c r="E6906" s="9" t="s">
        <v>45</v>
      </c>
      <c r="F6906" s="7">
        <v>8</v>
      </c>
      <c r="G6906" s="7">
        <v>2029.4960000000001</v>
      </c>
      <c r="H6906" s="7">
        <v>0.1</v>
      </c>
      <c r="I6906" s="9" t="s">
        <v>31</v>
      </c>
      <c r="J6906" s="10">
        <v>251.64</v>
      </c>
      <c r="K6906" s="11">
        <v>320.64</v>
      </c>
      <c r="L6906" s="11">
        <v>43.57</v>
      </c>
      <c r="M6906" s="9" t="s">
        <v>1025</v>
      </c>
      <c r="N6906" s="6" t="s">
        <v>2012</v>
      </c>
      <c r="O6906" s="6" t="s">
        <v>2012</v>
      </c>
      <c r="P6906" s="9" t="s">
        <v>33</v>
      </c>
      <c r="Q6906" s="9" t="s">
        <v>49</v>
      </c>
      <c r="R6906" s="9" t="s">
        <v>83</v>
      </c>
      <c r="S6906" s="7" t="s">
        <v>1619</v>
      </c>
      <c r="T6906" s="9" t="s">
        <v>82</v>
      </c>
      <c r="U6906" s="7">
        <v>0.63</v>
      </c>
      <c r="V6906" s="12">
        <f>C6906+1</f>
        <v>40489</v>
      </c>
      <c r="W6906">
        <f>IF(D6906=' Pivot Tables'!$A$4,1,0)</f>
        <v>0</v>
      </c>
      <c r="X6906">
        <f>IF(AND(LEFT(D6906,4)+1=LEFT(' Pivot Tables'!$A$4,4)+0,RIGHT(LEFT(D6906,7),2)=RIGHT(LEFT(' Pivot Tables'!$A$4,7),2)),1,0)</f>
        <v>0</v>
      </c>
      <c r="Y6906" s="6">
        <f>1/COUNTIF(Таблица1[Order ID],Таблица1[[#This Row],[Order ID]])</f>
        <v>1</v>
      </c>
      <c r="Z6906" s="9">
        <f>1/COUNTIFS(Таблица1[Customer Name],Таблица1[[#This Row],[Customer Name]],Таблица1[Order-Year-Month],Таблица1[[#This Row],[Order-Year-Month]])</f>
        <v>1</v>
      </c>
    </row>
    <row r="6907" spans="1:26" x14ac:dyDescent="0.2">
      <c r="A6907" s="6">
        <v>3318</v>
      </c>
      <c r="B6907" s="7">
        <v>23719</v>
      </c>
      <c r="C6907" s="8">
        <f>DATE(2012,12,31)-890</f>
        <v>40384</v>
      </c>
      <c r="D6907" s="8" t="str">
        <f t="shared" si="127"/>
        <v>2010-07 (июль 2010)</v>
      </c>
      <c r="E6907" s="9" t="s">
        <v>78</v>
      </c>
      <c r="F6907" s="7">
        <v>17</v>
      </c>
      <c r="G6907" s="7">
        <v>122.74</v>
      </c>
      <c r="H6907" s="7">
        <v>0.08</v>
      </c>
      <c r="I6907" s="9" t="s">
        <v>22</v>
      </c>
      <c r="J6907" s="10">
        <v>-28.13</v>
      </c>
      <c r="K6907" s="11">
        <v>7.28</v>
      </c>
      <c r="L6907" s="11">
        <v>5.47</v>
      </c>
      <c r="M6907" s="9" t="s">
        <v>1341</v>
      </c>
      <c r="N6907" s="6" t="s">
        <v>2012</v>
      </c>
      <c r="O6907" s="6" t="s">
        <v>2012</v>
      </c>
      <c r="P6907" s="9" t="s">
        <v>33</v>
      </c>
      <c r="Q6907" s="9" t="s">
        <v>26</v>
      </c>
      <c r="R6907" s="9" t="s">
        <v>61</v>
      </c>
      <c r="S6907" s="7" t="s">
        <v>1903</v>
      </c>
      <c r="T6907" s="9" t="s">
        <v>39</v>
      </c>
      <c r="U6907" s="7">
        <v>0.35</v>
      </c>
      <c r="V6907" s="12">
        <f>C6907+2</f>
        <v>40386</v>
      </c>
      <c r="W6907">
        <f>IF(D6907=' Pivot Tables'!$A$4,1,0)</f>
        <v>0</v>
      </c>
      <c r="X6907">
        <f>IF(AND(LEFT(D6907,4)+1=LEFT(' Pivot Tables'!$A$4,4)+0,RIGHT(LEFT(D6907,7),2)=RIGHT(LEFT(' Pivot Tables'!$A$4,7),2)),1,0)</f>
        <v>0</v>
      </c>
      <c r="Y6907" s="6">
        <f>1/COUNTIF(Таблица1[Order ID],Таблица1[[#This Row],[Order ID]])</f>
        <v>1</v>
      </c>
      <c r="Z6907" s="9">
        <f>1/COUNTIFS(Таблица1[Customer Name],Таблица1[[#This Row],[Customer Name]],Таблица1[Order-Year-Month],Таблица1[[#This Row],[Order-Year-Month]])</f>
        <v>1</v>
      </c>
    </row>
    <row r="6908" spans="1:26" x14ac:dyDescent="0.2">
      <c r="A6908" s="6">
        <v>3325</v>
      </c>
      <c r="B6908" s="7">
        <v>23778</v>
      </c>
      <c r="C6908" s="8">
        <f>DATE(2012,12,31)-1267</f>
        <v>40007</v>
      </c>
      <c r="D6908" s="8" t="str">
        <f t="shared" si="127"/>
        <v>2009-07 (июль 2009)</v>
      </c>
      <c r="E6908" s="9" t="s">
        <v>21</v>
      </c>
      <c r="F6908" s="7">
        <v>13</v>
      </c>
      <c r="G6908" s="7">
        <v>105.94</v>
      </c>
      <c r="H6908" s="7">
        <v>0.06</v>
      </c>
      <c r="I6908" s="9" t="s">
        <v>22</v>
      </c>
      <c r="J6908" s="10">
        <v>-566</v>
      </c>
      <c r="K6908" s="11">
        <v>4.4800000000000004</v>
      </c>
      <c r="L6908" s="11">
        <v>49</v>
      </c>
      <c r="M6908" s="9" t="s">
        <v>1457</v>
      </c>
      <c r="N6908" s="6" t="s">
        <v>2012</v>
      </c>
      <c r="O6908" s="6" t="s">
        <v>2012</v>
      </c>
      <c r="P6908" s="9" t="s">
        <v>41</v>
      </c>
      <c r="Q6908" s="9" t="s">
        <v>26</v>
      </c>
      <c r="R6908" s="9" t="s">
        <v>34</v>
      </c>
      <c r="S6908" s="7" t="s">
        <v>128</v>
      </c>
      <c r="T6908" s="9" t="s">
        <v>29</v>
      </c>
      <c r="U6908" s="7">
        <v>0.6</v>
      </c>
      <c r="V6908" s="12">
        <f>C6908+4</f>
        <v>40011</v>
      </c>
      <c r="W6908">
        <f>IF(D6908=' Pivot Tables'!$A$4,1,0)</f>
        <v>0</v>
      </c>
      <c r="X6908">
        <f>IF(AND(LEFT(D6908,4)+1=LEFT(' Pivot Tables'!$A$4,4)+0,RIGHT(LEFT(D6908,7),2)=RIGHT(LEFT(' Pivot Tables'!$A$4,7),2)),1,0)</f>
        <v>0</v>
      </c>
      <c r="Y6908" s="6">
        <f>1/COUNTIF(Таблица1[Order ID],Таблица1[[#This Row],[Order ID]])</f>
        <v>1</v>
      </c>
      <c r="Z6908" s="9">
        <f>1/COUNTIFS(Таблица1[Customer Name],Таблица1[[#This Row],[Customer Name]],Таблица1[Order-Year-Month],Таблица1[[#This Row],[Order-Year-Month]])</f>
        <v>0.5</v>
      </c>
    </row>
    <row r="6909" spans="1:26" x14ac:dyDescent="0.2">
      <c r="A6909" s="6">
        <v>3329</v>
      </c>
      <c r="B6909" s="7">
        <v>23808</v>
      </c>
      <c r="C6909" s="8">
        <f>DATE(2012,12,31)-1423</f>
        <v>39851</v>
      </c>
      <c r="D6909" s="8" t="str">
        <f t="shared" si="127"/>
        <v>2009-02 (февраль 2009)</v>
      </c>
      <c r="E6909" s="9" t="s">
        <v>21</v>
      </c>
      <c r="F6909" s="7">
        <v>30</v>
      </c>
      <c r="G6909" s="7">
        <v>630.14</v>
      </c>
      <c r="H6909" s="7">
        <v>0.04</v>
      </c>
      <c r="I6909" s="9" t="s">
        <v>22</v>
      </c>
      <c r="J6909" s="10">
        <v>108</v>
      </c>
      <c r="K6909" s="11">
        <v>19.98</v>
      </c>
      <c r="L6909" s="11">
        <v>8.68</v>
      </c>
      <c r="M6909" s="9" t="s">
        <v>1841</v>
      </c>
      <c r="N6909" s="6" t="s">
        <v>2012</v>
      </c>
      <c r="O6909" s="6" t="s">
        <v>2012</v>
      </c>
      <c r="P6909" s="9" t="s">
        <v>33</v>
      </c>
      <c r="Q6909" s="9" t="s">
        <v>26</v>
      </c>
      <c r="R6909" s="9" t="s">
        <v>61</v>
      </c>
      <c r="S6909" s="7" t="s">
        <v>617</v>
      </c>
      <c r="T6909" s="9" t="s">
        <v>39</v>
      </c>
      <c r="U6909" s="7">
        <v>0.37</v>
      </c>
      <c r="V6909" s="12">
        <f>C6909+7</f>
        <v>39858</v>
      </c>
      <c r="W6909">
        <f>IF(D6909=' Pivot Tables'!$A$4,1,0)</f>
        <v>0</v>
      </c>
      <c r="X6909">
        <f>IF(AND(LEFT(D6909,4)+1=LEFT(' Pivot Tables'!$A$4,4)+0,RIGHT(LEFT(D6909,7),2)=RIGHT(LEFT(' Pivot Tables'!$A$4,7),2)),1,0)</f>
        <v>0</v>
      </c>
      <c r="Y6909" s="6">
        <f>1/COUNTIF(Таблица1[Order ID],Таблица1[[#This Row],[Order ID]])</f>
        <v>0.5</v>
      </c>
      <c r="Z6909" s="9">
        <f>1/COUNTIFS(Таблица1[Customer Name],Таблица1[[#This Row],[Customer Name]],Таблица1[Order-Year-Month],Таблица1[[#This Row],[Order-Year-Month]])</f>
        <v>0.5</v>
      </c>
    </row>
    <row r="6910" spans="1:26" x14ac:dyDescent="0.2">
      <c r="A6910" s="6">
        <v>3330</v>
      </c>
      <c r="B6910" s="7">
        <v>23808</v>
      </c>
      <c r="C6910" s="8">
        <f>DATE(2012,12,31)-1423</f>
        <v>39851</v>
      </c>
      <c r="D6910" s="8" t="str">
        <f t="shared" si="127"/>
        <v>2009-02 (февраль 2009)</v>
      </c>
      <c r="E6910" s="9" t="s">
        <v>21</v>
      </c>
      <c r="F6910" s="7">
        <v>28</v>
      </c>
      <c r="G6910" s="7">
        <v>2813.8484999999996</v>
      </c>
      <c r="H6910" s="7">
        <v>0.08</v>
      </c>
      <c r="I6910" s="9" t="s">
        <v>22</v>
      </c>
      <c r="J6910" s="10">
        <v>377.154</v>
      </c>
      <c r="K6910" s="11">
        <v>125.99</v>
      </c>
      <c r="L6910" s="11">
        <v>7.69</v>
      </c>
      <c r="M6910" s="9" t="s">
        <v>1841</v>
      </c>
      <c r="N6910" s="6" t="s">
        <v>2012</v>
      </c>
      <c r="O6910" s="6" t="s">
        <v>2012</v>
      </c>
      <c r="P6910" s="9" t="s">
        <v>33</v>
      </c>
      <c r="Q6910" s="9" t="s">
        <v>42</v>
      </c>
      <c r="R6910" s="9" t="s">
        <v>43</v>
      </c>
      <c r="S6910" s="7" t="s">
        <v>129</v>
      </c>
      <c r="T6910" s="9" t="s">
        <v>39</v>
      </c>
      <c r="U6910" s="7">
        <v>0.57999999999999996</v>
      </c>
      <c r="V6910" s="12">
        <f>C6910+2</f>
        <v>39853</v>
      </c>
      <c r="W6910">
        <f>IF(D6910=' Pivot Tables'!$A$4,1,0)</f>
        <v>0</v>
      </c>
      <c r="X6910">
        <f>IF(AND(LEFT(D6910,4)+1=LEFT(' Pivot Tables'!$A$4,4)+0,RIGHT(LEFT(D6910,7),2)=RIGHT(LEFT(' Pivot Tables'!$A$4,7),2)),1,0)</f>
        <v>0</v>
      </c>
      <c r="Y6910" s="6">
        <f>1/COUNTIF(Таблица1[Order ID],Таблица1[[#This Row],[Order ID]])</f>
        <v>0.5</v>
      </c>
      <c r="Z6910" s="9">
        <f>1/COUNTIFS(Таблица1[Customer Name],Таблица1[[#This Row],[Customer Name]],Таблица1[Order-Year-Month],Таблица1[[#This Row],[Order-Year-Month]])</f>
        <v>0.5</v>
      </c>
    </row>
    <row r="6911" spans="1:26" x14ac:dyDescent="0.2">
      <c r="A6911" s="6">
        <v>3338</v>
      </c>
      <c r="B6911" s="7">
        <v>23877</v>
      </c>
      <c r="C6911" s="8">
        <f>DATE(2012,12,31)-1268</f>
        <v>40006</v>
      </c>
      <c r="D6911" s="8" t="str">
        <f t="shared" si="127"/>
        <v>2009-07 (июль 2009)</v>
      </c>
      <c r="E6911" s="9" t="s">
        <v>45</v>
      </c>
      <c r="F6911" s="7">
        <v>31</v>
      </c>
      <c r="G6911" s="7">
        <v>1624.5964999999999</v>
      </c>
      <c r="H6911" s="7">
        <v>7.0000000000000007E-2</v>
      </c>
      <c r="I6911" s="9" t="s">
        <v>22</v>
      </c>
      <c r="J6911" s="10">
        <v>109.83600000000001</v>
      </c>
      <c r="K6911" s="11">
        <v>65.989999999999995</v>
      </c>
      <c r="L6911" s="11">
        <v>8.8000000000000007</v>
      </c>
      <c r="M6911" s="9" t="s">
        <v>1511</v>
      </c>
      <c r="N6911" s="6" t="s">
        <v>2012</v>
      </c>
      <c r="O6911" s="6" t="s">
        <v>2012</v>
      </c>
      <c r="P6911" s="9" t="s">
        <v>60</v>
      </c>
      <c r="Q6911" s="9" t="s">
        <v>42</v>
      </c>
      <c r="R6911" s="9" t="s">
        <v>43</v>
      </c>
      <c r="S6911" s="7" t="s">
        <v>1132</v>
      </c>
      <c r="T6911" s="9" t="s">
        <v>39</v>
      </c>
      <c r="U6911" s="7">
        <v>0.57999999999999996</v>
      </c>
      <c r="V6911" s="12">
        <f>C6911+0</f>
        <v>40006</v>
      </c>
      <c r="W6911">
        <f>IF(D6911=' Pivot Tables'!$A$4,1,0)</f>
        <v>0</v>
      </c>
      <c r="X6911">
        <f>IF(AND(LEFT(D6911,4)+1=LEFT(' Pivot Tables'!$A$4,4)+0,RIGHT(LEFT(D6911,7),2)=RIGHT(LEFT(' Pivot Tables'!$A$4,7),2)),1,0)</f>
        <v>0</v>
      </c>
      <c r="Y6911" s="6">
        <f>1/COUNTIF(Таблица1[Order ID],Таблица1[[#This Row],[Order ID]])</f>
        <v>0.5</v>
      </c>
      <c r="Z6911" s="9">
        <f>1/COUNTIFS(Таблица1[Customer Name],Таблица1[[#This Row],[Customer Name]],Таблица1[Order-Year-Month],Таблица1[[#This Row],[Order-Year-Month]])</f>
        <v>0.5</v>
      </c>
    </row>
    <row r="6912" spans="1:26" x14ac:dyDescent="0.2">
      <c r="A6912" s="6">
        <v>3339</v>
      </c>
      <c r="B6912" s="7">
        <v>23877</v>
      </c>
      <c r="C6912" s="8">
        <f>DATE(2012,12,31)-1268</f>
        <v>40006</v>
      </c>
      <c r="D6912" s="8" t="str">
        <f t="shared" si="127"/>
        <v>2009-07 (июль 2009)</v>
      </c>
      <c r="E6912" s="9" t="s">
        <v>45</v>
      </c>
      <c r="F6912" s="7">
        <v>35</v>
      </c>
      <c r="G6912" s="7">
        <v>381.36</v>
      </c>
      <c r="H6912" s="7">
        <v>0</v>
      </c>
      <c r="I6912" s="9" t="s">
        <v>56</v>
      </c>
      <c r="J6912" s="10">
        <v>128.03</v>
      </c>
      <c r="K6912" s="11">
        <v>10.01</v>
      </c>
      <c r="L6912" s="11">
        <v>1.99</v>
      </c>
      <c r="M6912" s="9" t="s">
        <v>1511</v>
      </c>
      <c r="N6912" s="6" t="s">
        <v>2012</v>
      </c>
      <c r="O6912" s="6" t="s">
        <v>2012</v>
      </c>
      <c r="P6912" s="9" t="s">
        <v>60</v>
      </c>
      <c r="Q6912" s="9" t="s">
        <v>42</v>
      </c>
      <c r="R6912" s="9" t="s">
        <v>70</v>
      </c>
      <c r="S6912" s="7" t="s">
        <v>444</v>
      </c>
      <c r="T6912" s="9" t="s">
        <v>52</v>
      </c>
      <c r="U6912" s="7">
        <v>0.41</v>
      </c>
      <c r="V6912" s="12">
        <f>C6912+2</f>
        <v>40008</v>
      </c>
      <c r="W6912">
        <f>IF(D6912=' Pivot Tables'!$A$4,1,0)</f>
        <v>0</v>
      </c>
      <c r="X6912">
        <f>IF(AND(LEFT(D6912,4)+1=LEFT(' Pivot Tables'!$A$4,4)+0,RIGHT(LEFT(D6912,7),2)=RIGHT(LEFT(' Pivot Tables'!$A$4,7),2)),1,0)</f>
        <v>0</v>
      </c>
      <c r="Y6912" s="6">
        <f>1/COUNTIF(Таблица1[Order ID],Таблица1[[#This Row],[Order ID]])</f>
        <v>0.5</v>
      </c>
      <c r="Z6912" s="9">
        <f>1/COUNTIFS(Таблица1[Customer Name],Таблица1[[#This Row],[Customer Name]],Таблица1[Order-Year-Month],Таблица1[[#This Row],[Order-Year-Month]])</f>
        <v>0.5</v>
      </c>
    </row>
    <row r="6913" spans="1:26" x14ac:dyDescent="0.2">
      <c r="A6913" s="6">
        <v>3353</v>
      </c>
      <c r="B6913" s="7">
        <v>24003</v>
      </c>
      <c r="C6913" s="8">
        <f>DATE(2012,12,31)-1157</f>
        <v>40117</v>
      </c>
      <c r="D6913" s="8" t="str">
        <f t="shared" si="127"/>
        <v>2009-10 (октябрь 2009)</v>
      </c>
      <c r="E6913" s="9" t="s">
        <v>78</v>
      </c>
      <c r="F6913" s="7">
        <v>9</v>
      </c>
      <c r="G6913" s="7">
        <v>11.89</v>
      </c>
      <c r="H6913" s="7">
        <v>0.06</v>
      </c>
      <c r="I6913" s="9" t="s">
        <v>22</v>
      </c>
      <c r="J6913" s="10">
        <v>-6.12</v>
      </c>
      <c r="K6913" s="11">
        <v>1.26</v>
      </c>
      <c r="L6913" s="11">
        <v>0.7</v>
      </c>
      <c r="M6913" s="9" t="s">
        <v>1475</v>
      </c>
      <c r="N6913" s="6" t="s">
        <v>2012</v>
      </c>
      <c r="O6913" s="6" t="s">
        <v>2012</v>
      </c>
      <c r="P6913" s="9" t="s">
        <v>41</v>
      </c>
      <c r="Q6913" s="9" t="s">
        <v>26</v>
      </c>
      <c r="R6913" s="9" t="s">
        <v>66</v>
      </c>
      <c r="S6913" s="7" t="s">
        <v>351</v>
      </c>
      <c r="T6913" s="9" t="s">
        <v>68</v>
      </c>
      <c r="U6913" s="7">
        <v>0.81</v>
      </c>
      <c r="V6913" s="12">
        <f>C6913+0</f>
        <v>40117</v>
      </c>
      <c r="W6913">
        <f>IF(D6913=' Pivot Tables'!$A$4,1,0)</f>
        <v>0</v>
      </c>
      <c r="X6913">
        <f>IF(AND(LEFT(D6913,4)+1=LEFT(' Pivot Tables'!$A$4,4)+0,RIGHT(LEFT(D6913,7),2)=RIGHT(LEFT(' Pivot Tables'!$A$4,7),2)),1,0)</f>
        <v>0</v>
      </c>
      <c r="Y6913" s="6">
        <f>1/COUNTIF(Таблица1[Order ID],Таблица1[[#This Row],[Order ID]])</f>
        <v>0.25</v>
      </c>
      <c r="Z6913" s="9">
        <f>1/COUNTIFS(Таблица1[Customer Name],Таблица1[[#This Row],[Customer Name]],Таблица1[Order-Year-Month],Таблица1[[#This Row],[Order-Year-Month]])</f>
        <v>0.25</v>
      </c>
    </row>
    <row r="6914" spans="1:26" x14ac:dyDescent="0.2">
      <c r="A6914" s="6">
        <v>3440</v>
      </c>
      <c r="B6914" s="7">
        <v>24548</v>
      </c>
      <c r="C6914" s="8">
        <f>DATE(2012,12,31)-658</f>
        <v>40616</v>
      </c>
      <c r="D6914" s="8" t="str">
        <f t="shared" si="127"/>
        <v>2011-03 (март 2011)</v>
      </c>
      <c r="E6914" s="9" t="s">
        <v>30</v>
      </c>
      <c r="F6914" s="7">
        <v>32</v>
      </c>
      <c r="G6914" s="7">
        <v>269.3</v>
      </c>
      <c r="H6914" s="7">
        <v>0.04</v>
      </c>
      <c r="I6914" s="9" t="s">
        <v>56</v>
      </c>
      <c r="J6914" s="10">
        <v>22.38</v>
      </c>
      <c r="K6914" s="11">
        <v>7.96</v>
      </c>
      <c r="L6914" s="11">
        <v>4.95</v>
      </c>
      <c r="M6914" s="9" t="s">
        <v>1533</v>
      </c>
      <c r="N6914" s="6" t="s">
        <v>2012</v>
      </c>
      <c r="O6914" s="6" t="s">
        <v>2012</v>
      </c>
      <c r="P6914" s="9" t="s">
        <v>41</v>
      </c>
      <c r="Q6914" s="9" t="s">
        <v>49</v>
      </c>
      <c r="R6914" s="9" t="s">
        <v>50</v>
      </c>
      <c r="S6914" s="7" t="s">
        <v>951</v>
      </c>
      <c r="T6914" s="9" t="s">
        <v>39</v>
      </c>
      <c r="U6914" s="7">
        <v>0.41</v>
      </c>
      <c r="V6914" s="12">
        <f>C6914+1</f>
        <v>40617</v>
      </c>
      <c r="W6914">
        <f>IF(D6914=' Pivot Tables'!$A$4,1,0)</f>
        <v>0</v>
      </c>
      <c r="X6914">
        <f>IF(AND(LEFT(D6914,4)+1=LEFT(' Pivot Tables'!$A$4,4)+0,RIGHT(LEFT(D6914,7),2)=RIGHT(LEFT(' Pivot Tables'!$A$4,7),2)),1,0)</f>
        <v>0</v>
      </c>
      <c r="Y6914" s="6">
        <f>1/COUNTIF(Таблица1[Order ID],Таблица1[[#This Row],[Order ID]])</f>
        <v>1</v>
      </c>
      <c r="Z6914" s="9">
        <f>1/COUNTIFS(Таблица1[Customer Name],Таблица1[[#This Row],[Customer Name]],Таблица1[Order-Year-Month],Таблица1[[#This Row],[Order-Year-Month]])</f>
        <v>1</v>
      </c>
    </row>
    <row r="6915" spans="1:26" x14ac:dyDescent="0.2">
      <c r="A6915" s="6">
        <v>3451</v>
      </c>
      <c r="B6915" s="7">
        <v>24610</v>
      </c>
      <c r="C6915" s="8">
        <f>DATE(2012,12,31)-1078</f>
        <v>40196</v>
      </c>
      <c r="D6915" s="8" t="str">
        <f t="shared" ref="D6915:D6978" si="129">TEXT(C6915,"гггг-ММ (ММММ гггг)")</f>
        <v>2010-01 (январь 2010)</v>
      </c>
      <c r="E6915" s="9" t="s">
        <v>45</v>
      </c>
      <c r="F6915" s="7">
        <v>4</v>
      </c>
      <c r="G6915" s="7">
        <v>883.31</v>
      </c>
      <c r="H6915" s="7">
        <v>0.01</v>
      </c>
      <c r="I6915" s="9" t="s">
        <v>31</v>
      </c>
      <c r="J6915" s="10">
        <v>-79.959999999999994</v>
      </c>
      <c r="K6915" s="11">
        <v>200.98</v>
      </c>
      <c r="L6915" s="11">
        <v>23.76</v>
      </c>
      <c r="M6915" s="9" t="s">
        <v>2036</v>
      </c>
      <c r="N6915" s="6" t="s">
        <v>2012</v>
      </c>
      <c r="O6915" s="6" t="s">
        <v>2012</v>
      </c>
      <c r="P6915" s="9" t="s">
        <v>60</v>
      </c>
      <c r="Q6915" s="9" t="s">
        <v>49</v>
      </c>
      <c r="R6915" s="9" t="s">
        <v>112</v>
      </c>
      <c r="S6915" s="7" t="s">
        <v>441</v>
      </c>
      <c r="T6915" s="9" t="s">
        <v>36</v>
      </c>
      <c r="U6915" s="7">
        <v>0.57999999999999996</v>
      </c>
      <c r="V6915" s="12">
        <f t="shared" ref="V6915:V6921" si="130">C6915+2</f>
        <v>40198</v>
      </c>
      <c r="W6915">
        <f>IF(D6915=' Pivot Tables'!$A$4,1,0)</f>
        <v>1</v>
      </c>
      <c r="X6915">
        <f>IF(AND(LEFT(D6915,4)+1=LEFT(' Pivot Tables'!$A$4,4)+0,RIGHT(LEFT(D6915,7),2)=RIGHT(LEFT(' Pivot Tables'!$A$4,7),2)),1,0)</f>
        <v>0</v>
      </c>
      <c r="Y6915" s="6">
        <f>1/COUNTIF(Таблица1[Order ID],Таблица1[[#This Row],[Order ID]])</f>
        <v>1</v>
      </c>
      <c r="Z6915" s="9">
        <f>1/COUNTIFS(Таблица1[Customer Name],Таблица1[[#This Row],[Customer Name]],Таблица1[Order-Year-Month],Таблица1[[#This Row],[Order-Year-Month]])</f>
        <v>1</v>
      </c>
    </row>
    <row r="6916" spans="1:26" x14ac:dyDescent="0.2">
      <c r="A6916" s="6">
        <v>3467</v>
      </c>
      <c r="B6916" s="7">
        <v>24677</v>
      </c>
      <c r="C6916" s="8">
        <f>DATE(2012,12,31)-301</f>
        <v>40973</v>
      </c>
      <c r="D6916" s="8" t="str">
        <f t="shared" si="129"/>
        <v>2012-03 (март 2012)</v>
      </c>
      <c r="E6916" s="9" t="s">
        <v>21</v>
      </c>
      <c r="F6916" s="7">
        <v>44</v>
      </c>
      <c r="G6916" s="7">
        <v>364.4</v>
      </c>
      <c r="H6916" s="7">
        <v>0.05</v>
      </c>
      <c r="I6916" s="9" t="s">
        <v>22</v>
      </c>
      <c r="J6916" s="10">
        <v>51.08</v>
      </c>
      <c r="K6916" s="11">
        <v>8.5</v>
      </c>
      <c r="L6916" s="11">
        <v>1.99</v>
      </c>
      <c r="M6916" s="9" t="s">
        <v>1562</v>
      </c>
      <c r="N6916" s="6" t="s">
        <v>2012</v>
      </c>
      <c r="O6916" s="6" t="s">
        <v>2012</v>
      </c>
      <c r="P6916" s="9" t="s">
        <v>33</v>
      </c>
      <c r="Q6916" s="9" t="s">
        <v>42</v>
      </c>
      <c r="R6916" s="9" t="s">
        <v>70</v>
      </c>
      <c r="S6916" s="7" t="s">
        <v>863</v>
      </c>
      <c r="T6916" s="9" t="s">
        <v>52</v>
      </c>
      <c r="U6916" s="7">
        <v>0.49</v>
      </c>
      <c r="V6916" s="12">
        <f t="shared" si="130"/>
        <v>40975</v>
      </c>
      <c r="W6916">
        <f>IF(D6916=' Pivot Tables'!$A$4,1,0)</f>
        <v>0</v>
      </c>
      <c r="X6916">
        <f>IF(AND(LEFT(D6916,4)+1=LEFT(' Pivot Tables'!$A$4,4)+0,RIGHT(LEFT(D6916,7),2)=RIGHT(LEFT(' Pivot Tables'!$A$4,7),2)),1,0)</f>
        <v>0</v>
      </c>
      <c r="Y6916" s="6">
        <f>1/COUNTIF(Таблица1[Order ID],Таблица1[[#This Row],[Order ID]])</f>
        <v>1</v>
      </c>
      <c r="Z6916" s="9">
        <f>1/COUNTIFS(Таблица1[Customer Name],Таблица1[[#This Row],[Customer Name]],Таблица1[Order-Year-Month],Таблица1[[#This Row],[Order-Year-Month]])</f>
        <v>0.5</v>
      </c>
    </row>
    <row r="6917" spans="1:26" x14ac:dyDescent="0.2">
      <c r="A6917" s="6">
        <v>3511</v>
      </c>
      <c r="B6917" s="7">
        <v>25027</v>
      </c>
      <c r="C6917" s="8">
        <f>DATE(2012,12,31)-1111</f>
        <v>40163</v>
      </c>
      <c r="D6917" s="8" t="str">
        <f t="shared" si="129"/>
        <v>2009-12 (декабрь 2009)</v>
      </c>
      <c r="E6917" s="9" t="s">
        <v>63</v>
      </c>
      <c r="F6917" s="7">
        <v>25</v>
      </c>
      <c r="G6917" s="7">
        <v>3585.91</v>
      </c>
      <c r="H6917" s="7">
        <v>0.06</v>
      </c>
      <c r="I6917" s="9" t="s">
        <v>31</v>
      </c>
      <c r="J6917" s="10">
        <v>-178.54</v>
      </c>
      <c r="K6917" s="11">
        <v>146.34</v>
      </c>
      <c r="L6917" s="11">
        <v>43.75</v>
      </c>
      <c r="M6917" s="9" t="s">
        <v>2053</v>
      </c>
      <c r="N6917" s="6" t="s">
        <v>2012</v>
      </c>
      <c r="O6917" s="6" t="s">
        <v>2012</v>
      </c>
      <c r="P6917" s="9" t="s">
        <v>33</v>
      </c>
      <c r="Q6917" s="9" t="s">
        <v>49</v>
      </c>
      <c r="R6917" s="9" t="s">
        <v>83</v>
      </c>
      <c r="S6917" s="7" t="s">
        <v>204</v>
      </c>
      <c r="T6917" s="9" t="s">
        <v>82</v>
      </c>
      <c r="U6917" s="7">
        <v>0.65</v>
      </c>
      <c r="V6917" s="12">
        <f t="shared" si="130"/>
        <v>40165</v>
      </c>
      <c r="W6917">
        <f>IF(D6917=' Pivot Tables'!$A$4,1,0)</f>
        <v>0</v>
      </c>
      <c r="X6917">
        <f>IF(AND(LEFT(D6917,4)+1=LEFT(' Pivot Tables'!$A$4,4)+0,RIGHT(LEFT(D6917,7),2)=RIGHT(LEFT(' Pivot Tables'!$A$4,7),2)),1,0)</f>
        <v>0</v>
      </c>
      <c r="Y6917" s="6">
        <f>1/COUNTIF(Таблица1[Order ID],Таблица1[[#This Row],[Order ID]])</f>
        <v>1</v>
      </c>
      <c r="Z6917" s="9">
        <f>1/COUNTIFS(Таблица1[Customer Name],Таблица1[[#This Row],[Customer Name]],Таблица1[Order-Year-Month],Таблица1[[#This Row],[Order-Year-Month]])</f>
        <v>1</v>
      </c>
    </row>
    <row r="6918" spans="1:26" x14ac:dyDescent="0.2">
      <c r="A6918" s="6">
        <v>3537</v>
      </c>
      <c r="B6918" s="7">
        <v>25157</v>
      </c>
      <c r="C6918" s="8">
        <f>DATE(2012,12,31)-951</f>
        <v>40323</v>
      </c>
      <c r="D6918" s="8" t="str">
        <f t="shared" si="129"/>
        <v>2010-05 (май 2010)</v>
      </c>
      <c r="E6918" s="9" t="s">
        <v>45</v>
      </c>
      <c r="F6918" s="7">
        <v>24</v>
      </c>
      <c r="G6918" s="7">
        <v>545.38</v>
      </c>
      <c r="H6918" s="7">
        <v>0.02</v>
      </c>
      <c r="I6918" s="9" t="s">
        <v>22</v>
      </c>
      <c r="J6918" s="10">
        <v>89.6</v>
      </c>
      <c r="K6918" s="11">
        <v>22.84</v>
      </c>
      <c r="L6918" s="11">
        <v>8.18</v>
      </c>
      <c r="M6918" s="9" t="s">
        <v>1531</v>
      </c>
      <c r="N6918" s="6" t="s">
        <v>2012</v>
      </c>
      <c r="O6918" s="6" t="s">
        <v>2012</v>
      </c>
      <c r="P6918" s="9" t="s">
        <v>41</v>
      </c>
      <c r="Q6918" s="9" t="s">
        <v>26</v>
      </c>
      <c r="R6918" s="9" t="s">
        <v>61</v>
      </c>
      <c r="S6918" s="7" t="s">
        <v>1539</v>
      </c>
      <c r="T6918" s="9" t="s">
        <v>39</v>
      </c>
      <c r="U6918" s="7">
        <v>0.39</v>
      </c>
      <c r="V6918" s="12">
        <f t="shared" si="130"/>
        <v>40325</v>
      </c>
      <c r="W6918">
        <f>IF(D6918=' Pivot Tables'!$A$4,1,0)</f>
        <v>0</v>
      </c>
      <c r="X6918">
        <f>IF(AND(LEFT(D6918,4)+1=LEFT(' Pivot Tables'!$A$4,4)+0,RIGHT(LEFT(D6918,7),2)=RIGHT(LEFT(' Pivot Tables'!$A$4,7),2)),1,0)</f>
        <v>0</v>
      </c>
      <c r="Y6918" s="6">
        <f>1/COUNTIF(Таблица1[Order ID],Таблица1[[#This Row],[Order ID]])</f>
        <v>0.5</v>
      </c>
      <c r="Z6918" s="9">
        <f>1/COUNTIFS(Таблица1[Customer Name],Таблица1[[#This Row],[Customer Name]],Таблица1[Order-Year-Month],Таблица1[[#This Row],[Order-Year-Month]])</f>
        <v>0.5</v>
      </c>
    </row>
    <row r="6919" spans="1:26" x14ac:dyDescent="0.2">
      <c r="A6919" s="6">
        <v>3561</v>
      </c>
      <c r="B6919" s="7">
        <v>25378</v>
      </c>
      <c r="C6919" s="8">
        <f>DATE(2012,12,31)-379</f>
        <v>40895</v>
      </c>
      <c r="D6919" s="8" t="str">
        <f t="shared" si="129"/>
        <v>2011-12 (декабрь 2011)</v>
      </c>
      <c r="E6919" s="9" t="s">
        <v>45</v>
      </c>
      <c r="F6919" s="7">
        <v>48</v>
      </c>
      <c r="G6919" s="7">
        <v>3713.0124999999998</v>
      </c>
      <c r="H6919" s="7">
        <v>0.09</v>
      </c>
      <c r="I6919" s="9" t="s">
        <v>22</v>
      </c>
      <c r="J6919" s="10">
        <v>803.601</v>
      </c>
      <c r="K6919" s="11">
        <v>95.99</v>
      </c>
      <c r="L6919" s="11">
        <v>7.69</v>
      </c>
      <c r="M6919" s="9" t="s">
        <v>2047</v>
      </c>
      <c r="N6919" s="6" t="s">
        <v>2012</v>
      </c>
      <c r="O6919" s="6" t="s">
        <v>2012</v>
      </c>
      <c r="P6919" s="9" t="s">
        <v>41</v>
      </c>
      <c r="Q6919" s="9" t="s">
        <v>42</v>
      </c>
      <c r="R6919" s="9" t="s">
        <v>43</v>
      </c>
      <c r="S6919" s="7" t="s">
        <v>2054</v>
      </c>
      <c r="T6919" s="9" t="s">
        <v>39</v>
      </c>
      <c r="U6919" s="7">
        <v>0.56999999999999995</v>
      </c>
      <c r="V6919" s="12">
        <f t="shared" si="130"/>
        <v>40897</v>
      </c>
      <c r="W6919">
        <f>IF(D6919=' Pivot Tables'!$A$4,1,0)</f>
        <v>0</v>
      </c>
      <c r="X6919">
        <f>IF(AND(LEFT(D6919,4)+1=LEFT(' Pivot Tables'!$A$4,4)+0,RIGHT(LEFT(D6919,7),2)=RIGHT(LEFT(' Pivot Tables'!$A$4,7),2)),1,0)</f>
        <v>0</v>
      </c>
      <c r="Y6919" s="6">
        <f>1/COUNTIF(Таблица1[Order ID],Таблица1[[#This Row],[Order ID]])</f>
        <v>1</v>
      </c>
      <c r="Z6919" s="9">
        <f>1/COUNTIFS(Таблица1[Customer Name],Таблица1[[#This Row],[Customer Name]],Таблица1[Order-Year-Month],Таблица1[[#This Row],[Order-Year-Month]])</f>
        <v>1</v>
      </c>
    </row>
    <row r="6920" spans="1:26" x14ac:dyDescent="0.2">
      <c r="A6920" s="6">
        <v>3567</v>
      </c>
      <c r="B6920" s="7">
        <v>25445</v>
      </c>
      <c r="C6920" s="8">
        <f>DATE(2012,12,31)-1316</f>
        <v>39958</v>
      </c>
      <c r="D6920" s="8" t="str">
        <f t="shared" si="129"/>
        <v>2009-05 (май 2009)</v>
      </c>
      <c r="E6920" s="9" t="s">
        <v>21</v>
      </c>
      <c r="F6920" s="7">
        <v>48</v>
      </c>
      <c r="G6920" s="7">
        <v>1444</v>
      </c>
      <c r="H6920" s="7">
        <v>0.08</v>
      </c>
      <c r="I6920" s="9" t="s">
        <v>22</v>
      </c>
      <c r="J6920" s="10">
        <v>617.0575</v>
      </c>
      <c r="K6920" s="11">
        <v>30.56</v>
      </c>
      <c r="L6920" s="11">
        <v>2.99</v>
      </c>
      <c r="M6920" s="9" t="s">
        <v>1972</v>
      </c>
      <c r="N6920" s="6" t="s">
        <v>2012</v>
      </c>
      <c r="O6920" s="6" t="s">
        <v>2012</v>
      </c>
      <c r="P6920" s="9" t="s">
        <v>25</v>
      </c>
      <c r="Q6920" s="9" t="s">
        <v>26</v>
      </c>
      <c r="R6920" s="9" t="s">
        <v>37</v>
      </c>
      <c r="S6920" s="7" t="s">
        <v>250</v>
      </c>
      <c r="T6920" s="9" t="s">
        <v>39</v>
      </c>
      <c r="U6920" s="7">
        <v>0.35</v>
      </c>
      <c r="V6920" s="12">
        <f t="shared" si="130"/>
        <v>39960</v>
      </c>
      <c r="W6920">
        <f>IF(D6920=' Pivot Tables'!$A$4,1,0)</f>
        <v>0</v>
      </c>
      <c r="X6920">
        <f>IF(AND(LEFT(D6920,4)+1=LEFT(' Pivot Tables'!$A$4,4)+0,RIGHT(LEFT(D6920,7),2)=RIGHT(LEFT(' Pivot Tables'!$A$4,7),2)),1,0)</f>
        <v>0</v>
      </c>
      <c r="Y6920" s="6">
        <f>1/COUNTIF(Таблица1[Order ID],Таблица1[[#This Row],[Order ID]])</f>
        <v>1</v>
      </c>
      <c r="Z6920" s="9">
        <f>1/COUNTIFS(Таблица1[Customer Name],Таблица1[[#This Row],[Customer Name]],Таблица1[Order-Year-Month],Таблица1[[#This Row],[Order-Year-Month]])</f>
        <v>1</v>
      </c>
    </row>
    <row r="6921" spans="1:26" x14ac:dyDescent="0.2">
      <c r="A6921" s="6">
        <v>3574</v>
      </c>
      <c r="B6921" s="7">
        <v>25476</v>
      </c>
      <c r="C6921" s="8">
        <f>DATE(2012,12,31)-90</f>
        <v>41184</v>
      </c>
      <c r="D6921" s="8" t="str">
        <f t="shared" si="129"/>
        <v>2012-10 (октябрь 2012)</v>
      </c>
      <c r="E6921" s="9" t="s">
        <v>45</v>
      </c>
      <c r="F6921" s="7">
        <v>21</v>
      </c>
      <c r="G6921" s="7">
        <v>676.69</v>
      </c>
      <c r="H6921" s="7">
        <v>0.09</v>
      </c>
      <c r="I6921" s="9" t="s">
        <v>22</v>
      </c>
      <c r="J6921" s="10">
        <v>138.1</v>
      </c>
      <c r="K6921" s="11">
        <v>35.409999999999997</v>
      </c>
      <c r="L6921" s="11">
        <v>1.99</v>
      </c>
      <c r="M6921" s="9" t="s">
        <v>2040</v>
      </c>
      <c r="N6921" s="6" t="s">
        <v>2012</v>
      </c>
      <c r="O6921" s="6" t="s">
        <v>2012</v>
      </c>
      <c r="P6921" s="9" t="s">
        <v>33</v>
      </c>
      <c r="Q6921" s="9" t="s">
        <v>42</v>
      </c>
      <c r="R6921" s="9" t="s">
        <v>70</v>
      </c>
      <c r="S6921" s="7" t="s">
        <v>971</v>
      </c>
      <c r="T6921" s="9" t="s">
        <v>52</v>
      </c>
      <c r="U6921" s="7">
        <v>0.43</v>
      </c>
      <c r="V6921" s="12">
        <f t="shared" si="130"/>
        <v>41186</v>
      </c>
      <c r="W6921">
        <f>IF(D6921=' Pivot Tables'!$A$4,1,0)</f>
        <v>0</v>
      </c>
      <c r="X6921">
        <f>IF(AND(LEFT(D6921,4)+1=LEFT(' Pivot Tables'!$A$4,4)+0,RIGHT(LEFT(D6921,7),2)=RIGHT(LEFT(' Pivot Tables'!$A$4,7),2)),1,0)</f>
        <v>0</v>
      </c>
      <c r="Y6921" s="6">
        <f>1/COUNTIF(Таблица1[Order ID],Таблица1[[#This Row],[Order ID]])</f>
        <v>0.5</v>
      </c>
      <c r="Z6921" s="9">
        <f>1/COUNTIFS(Таблица1[Customer Name],Таблица1[[#This Row],[Customer Name]],Таблица1[Order-Year-Month],Таблица1[[#This Row],[Order-Year-Month]])</f>
        <v>0.5</v>
      </c>
    </row>
    <row r="6922" spans="1:26" x14ac:dyDescent="0.2">
      <c r="A6922" s="6">
        <v>3575</v>
      </c>
      <c r="B6922" s="7">
        <v>25476</v>
      </c>
      <c r="C6922" s="8">
        <f>DATE(2012,12,31)-90</f>
        <v>41184</v>
      </c>
      <c r="D6922" s="8" t="str">
        <f t="shared" si="129"/>
        <v>2012-10 (октябрь 2012)</v>
      </c>
      <c r="E6922" s="9" t="s">
        <v>45</v>
      </c>
      <c r="F6922" s="7">
        <v>4</v>
      </c>
      <c r="G6922" s="7">
        <v>13698.96</v>
      </c>
      <c r="H6922" s="7">
        <v>0.05</v>
      </c>
      <c r="I6922" s="9" t="s">
        <v>22</v>
      </c>
      <c r="J6922" s="10">
        <v>-9078.94</v>
      </c>
      <c r="K6922" s="11">
        <v>3499.99</v>
      </c>
      <c r="L6922" s="11">
        <v>24.49</v>
      </c>
      <c r="M6922" s="9" t="s">
        <v>2040</v>
      </c>
      <c r="N6922" s="6" t="s">
        <v>2012</v>
      </c>
      <c r="O6922" s="6" t="s">
        <v>2012</v>
      </c>
      <c r="P6922" s="9" t="s">
        <v>33</v>
      </c>
      <c r="Q6922" s="9" t="s">
        <v>42</v>
      </c>
      <c r="R6922" s="9" t="s">
        <v>99</v>
      </c>
      <c r="S6922" s="7" t="s">
        <v>627</v>
      </c>
      <c r="T6922" s="9" t="s">
        <v>29</v>
      </c>
      <c r="U6922" s="7">
        <v>0.37</v>
      </c>
      <c r="V6922" s="12">
        <f>C6922+1</f>
        <v>41185</v>
      </c>
      <c r="W6922">
        <f>IF(D6922=' Pivot Tables'!$A$4,1,0)</f>
        <v>0</v>
      </c>
      <c r="X6922">
        <f>IF(AND(LEFT(D6922,4)+1=LEFT(' Pivot Tables'!$A$4,4)+0,RIGHT(LEFT(D6922,7),2)=RIGHT(LEFT(' Pivot Tables'!$A$4,7),2)),1,0)</f>
        <v>0</v>
      </c>
      <c r="Y6922" s="6">
        <f>1/COUNTIF(Таблица1[Order ID],Таблица1[[#This Row],[Order ID]])</f>
        <v>0.5</v>
      </c>
      <c r="Z6922" s="9">
        <f>1/COUNTIFS(Таблица1[Customer Name],Таблица1[[#This Row],[Customer Name]],Таблица1[Order-Year-Month],Таблица1[[#This Row],[Order-Year-Month]])</f>
        <v>0.5</v>
      </c>
    </row>
    <row r="6923" spans="1:26" x14ac:dyDescent="0.2">
      <c r="A6923" s="6">
        <v>3607</v>
      </c>
      <c r="B6923" s="7">
        <v>25797</v>
      </c>
      <c r="C6923" s="8">
        <f>DATE(2012,12,31)-121</f>
        <v>41153</v>
      </c>
      <c r="D6923" s="8" t="str">
        <f t="shared" si="129"/>
        <v>2012-09 (сентябрь 2012)</v>
      </c>
      <c r="E6923" s="9" t="s">
        <v>45</v>
      </c>
      <c r="F6923" s="7">
        <v>28</v>
      </c>
      <c r="G6923" s="7">
        <v>925.43</v>
      </c>
      <c r="H6923" s="7">
        <v>0</v>
      </c>
      <c r="I6923" s="9" t="s">
        <v>22</v>
      </c>
      <c r="J6923" s="10">
        <v>368.86</v>
      </c>
      <c r="K6923" s="11">
        <v>31.78</v>
      </c>
      <c r="L6923" s="11">
        <v>1.99</v>
      </c>
      <c r="M6923" s="9" t="s">
        <v>2028</v>
      </c>
      <c r="N6923" s="6" t="s">
        <v>2012</v>
      </c>
      <c r="O6923" s="6" t="s">
        <v>2012</v>
      </c>
      <c r="P6923" s="9" t="s">
        <v>41</v>
      </c>
      <c r="Q6923" s="9" t="s">
        <v>42</v>
      </c>
      <c r="R6923" s="9" t="s">
        <v>70</v>
      </c>
      <c r="S6923" s="7" t="s">
        <v>132</v>
      </c>
      <c r="T6923" s="9" t="s">
        <v>52</v>
      </c>
      <c r="U6923" s="7">
        <v>0.42</v>
      </c>
      <c r="V6923" s="12">
        <f>C6923+2</f>
        <v>41155</v>
      </c>
      <c r="W6923">
        <f>IF(D6923=' Pivot Tables'!$A$4,1,0)</f>
        <v>0</v>
      </c>
      <c r="X6923">
        <f>IF(AND(LEFT(D6923,4)+1=LEFT(' Pivot Tables'!$A$4,4)+0,RIGHT(LEFT(D6923,7),2)=RIGHT(LEFT(' Pivot Tables'!$A$4,7),2)),1,0)</f>
        <v>0</v>
      </c>
      <c r="Y6923" s="6">
        <f>1/COUNTIF(Таблица1[Order ID],Таблица1[[#This Row],[Order ID]])</f>
        <v>1</v>
      </c>
      <c r="Z6923" s="9">
        <f>1/COUNTIFS(Таблица1[Customer Name],Таблица1[[#This Row],[Customer Name]],Таблица1[Order-Year-Month],Таблица1[[#This Row],[Order-Year-Month]])</f>
        <v>1</v>
      </c>
    </row>
    <row r="6924" spans="1:26" x14ac:dyDescent="0.2">
      <c r="A6924" s="6">
        <v>3625</v>
      </c>
      <c r="B6924" s="7">
        <v>25889</v>
      </c>
      <c r="C6924" s="8">
        <f>DATE(2012,12,31)-937</f>
        <v>40337</v>
      </c>
      <c r="D6924" s="8" t="str">
        <f t="shared" si="129"/>
        <v>2010-06 (июнь 2010)</v>
      </c>
      <c r="E6924" s="9" t="s">
        <v>21</v>
      </c>
      <c r="F6924" s="7">
        <v>23</v>
      </c>
      <c r="G6924" s="7">
        <v>321.63</v>
      </c>
      <c r="H6924" s="7">
        <v>0.04</v>
      </c>
      <c r="I6924" s="9" t="s">
        <v>22</v>
      </c>
      <c r="J6924" s="10">
        <v>73.7</v>
      </c>
      <c r="K6924" s="11">
        <v>14.34</v>
      </c>
      <c r="L6924" s="11">
        <v>5</v>
      </c>
      <c r="M6924" s="9" t="s">
        <v>2055</v>
      </c>
      <c r="N6924" s="6" t="s">
        <v>2012</v>
      </c>
      <c r="O6924" s="6" t="s">
        <v>2012</v>
      </c>
      <c r="P6924" s="9" t="s">
        <v>33</v>
      </c>
      <c r="Q6924" s="9" t="s">
        <v>49</v>
      </c>
      <c r="R6924" s="9" t="s">
        <v>50</v>
      </c>
      <c r="S6924" s="7" t="s">
        <v>706</v>
      </c>
      <c r="T6924" s="9" t="s">
        <v>52</v>
      </c>
      <c r="U6924" s="7">
        <v>0.49</v>
      </c>
      <c r="V6924" s="12">
        <f>C6924+2</f>
        <v>40339</v>
      </c>
      <c r="W6924">
        <f>IF(D6924=' Pivot Tables'!$A$4,1,0)</f>
        <v>0</v>
      </c>
      <c r="X6924">
        <f>IF(AND(LEFT(D6924,4)+1=LEFT(' Pivot Tables'!$A$4,4)+0,RIGHT(LEFT(D6924,7),2)=RIGHT(LEFT(' Pivot Tables'!$A$4,7),2)),1,0)</f>
        <v>0</v>
      </c>
      <c r="Y6924" s="6">
        <f>1/COUNTIF(Таблица1[Order ID],Таблица1[[#This Row],[Order ID]])</f>
        <v>1</v>
      </c>
      <c r="Z6924" s="9">
        <f>1/COUNTIFS(Таблица1[Customer Name],Таблица1[[#This Row],[Customer Name]],Таблица1[Order-Year-Month],Таблица1[[#This Row],[Order-Year-Month]])</f>
        <v>1</v>
      </c>
    </row>
    <row r="6925" spans="1:26" x14ac:dyDescent="0.2">
      <c r="A6925" s="6">
        <v>3637</v>
      </c>
      <c r="B6925" s="7">
        <v>25986</v>
      </c>
      <c r="C6925" s="8">
        <f>DATE(2012,12,31)-192</f>
        <v>41082</v>
      </c>
      <c r="D6925" s="8" t="str">
        <f t="shared" si="129"/>
        <v>2012-06 (июнь 2012)</v>
      </c>
      <c r="E6925" s="9" t="s">
        <v>63</v>
      </c>
      <c r="F6925" s="7">
        <v>48</v>
      </c>
      <c r="G6925" s="7">
        <v>278.07</v>
      </c>
      <c r="H6925" s="7">
        <v>0.08</v>
      </c>
      <c r="I6925" s="9" t="s">
        <v>22</v>
      </c>
      <c r="J6925" s="10">
        <v>-71.45</v>
      </c>
      <c r="K6925" s="11">
        <v>5.78</v>
      </c>
      <c r="L6925" s="11">
        <v>4.96</v>
      </c>
      <c r="M6925" s="9" t="s">
        <v>2038</v>
      </c>
      <c r="N6925" s="6" t="s">
        <v>2012</v>
      </c>
      <c r="O6925" s="6" t="s">
        <v>2012</v>
      </c>
      <c r="P6925" s="9" t="s">
        <v>33</v>
      </c>
      <c r="Q6925" s="9" t="s">
        <v>26</v>
      </c>
      <c r="R6925" s="9" t="s">
        <v>61</v>
      </c>
      <c r="S6925" s="7" t="s">
        <v>737</v>
      </c>
      <c r="T6925" s="9" t="s">
        <v>39</v>
      </c>
      <c r="U6925" s="7">
        <v>0.36</v>
      </c>
      <c r="V6925" s="12">
        <f>C6925+1</f>
        <v>41083</v>
      </c>
      <c r="W6925">
        <f>IF(D6925=' Pivot Tables'!$A$4,1,0)</f>
        <v>0</v>
      </c>
      <c r="X6925">
        <f>IF(AND(LEFT(D6925,4)+1=LEFT(' Pivot Tables'!$A$4,4)+0,RIGHT(LEFT(D6925,7),2)=RIGHT(LEFT(' Pivot Tables'!$A$4,7),2)),1,0)</f>
        <v>0</v>
      </c>
      <c r="Y6925" s="6">
        <f>1/COUNTIF(Таблица1[Order ID],Таблица1[[#This Row],[Order ID]])</f>
        <v>1</v>
      </c>
      <c r="Z6925" s="9">
        <f>1/COUNTIFS(Таблица1[Customer Name],Таблица1[[#This Row],[Customer Name]],Таблица1[Order-Year-Month],Таблица1[[#This Row],[Order-Year-Month]])</f>
        <v>1</v>
      </c>
    </row>
    <row r="6926" spans="1:26" x14ac:dyDescent="0.2">
      <c r="A6926" s="6">
        <v>3640</v>
      </c>
      <c r="B6926" s="7">
        <v>26021</v>
      </c>
      <c r="C6926" s="8">
        <f>DATE(2012,12,31)-108</f>
        <v>41166</v>
      </c>
      <c r="D6926" s="8" t="str">
        <f t="shared" si="129"/>
        <v>2012-09 (сентябрь 2012)</v>
      </c>
      <c r="E6926" s="9" t="s">
        <v>78</v>
      </c>
      <c r="F6926" s="7">
        <v>17</v>
      </c>
      <c r="G6926" s="7">
        <v>328.62700000000001</v>
      </c>
      <c r="H6926" s="7">
        <v>0</v>
      </c>
      <c r="I6926" s="9" t="s">
        <v>22</v>
      </c>
      <c r="J6926" s="10">
        <v>-7.766</v>
      </c>
      <c r="K6926" s="11">
        <v>20.99</v>
      </c>
      <c r="L6926" s="11">
        <v>4.8099999999999996</v>
      </c>
      <c r="M6926" s="9" t="s">
        <v>1511</v>
      </c>
      <c r="N6926" s="6" t="s">
        <v>2012</v>
      </c>
      <c r="O6926" s="6" t="s">
        <v>2012</v>
      </c>
      <c r="P6926" s="9" t="s">
        <v>33</v>
      </c>
      <c r="Q6926" s="9" t="s">
        <v>42</v>
      </c>
      <c r="R6926" s="9" t="s">
        <v>43</v>
      </c>
      <c r="S6926" s="7" t="s">
        <v>760</v>
      </c>
      <c r="T6926" s="9" t="s">
        <v>48</v>
      </c>
      <c r="U6926" s="7">
        <v>0.57999999999999996</v>
      </c>
      <c r="V6926" s="12">
        <f>C6926+2</f>
        <v>41168</v>
      </c>
      <c r="W6926">
        <f>IF(D6926=' Pivot Tables'!$A$4,1,0)</f>
        <v>0</v>
      </c>
      <c r="X6926">
        <f>IF(AND(LEFT(D6926,4)+1=LEFT(' Pivot Tables'!$A$4,4)+0,RIGHT(LEFT(D6926,7),2)=RIGHT(LEFT(' Pivot Tables'!$A$4,7),2)),1,0)</f>
        <v>0</v>
      </c>
      <c r="Y6926" s="6">
        <f>1/COUNTIF(Таблица1[Order ID],Таблица1[[#This Row],[Order ID]])</f>
        <v>1</v>
      </c>
      <c r="Z6926" s="9">
        <f>1/COUNTIFS(Таблица1[Customer Name],Таблица1[[#This Row],[Customer Name]],Таблица1[Order-Year-Month],Таблица1[[#This Row],[Order-Year-Month]])</f>
        <v>1</v>
      </c>
    </row>
    <row r="6927" spans="1:26" x14ac:dyDescent="0.2">
      <c r="A6927" s="6">
        <v>3647</v>
      </c>
      <c r="B6927" s="7">
        <v>26055</v>
      </c>
      <c r="C6927" s="8">
        <f>DATE(2012,12,31)-36</f>
        <v>41238</v>
      </c>
      <c r="D6927" s="8" t="str">
        <f t="shared" si="129"/>
        <v>2012-11 (ноябрь 2012)</v>
      </c>
      <c r="E6927" s="9" t="s">
        <v>45</v>
      </c>
      <c r="F6927" s="7">
        <v>46</v>
      </c>
      <c r="G6927" s="7">
        <v>6733.52</v>
      </c>
      <c r="H6927" s="7">
        <v>0.04</v>
      </c>
      <c r="I6927" s="9" t="s">
        <v>22</v>
      </c>
      <c r="J6927" s="10">
        <v>246</v>
      </c>
      <c r="K6927" s="11">
        <v>152.47999999999999</v>
      </c>
      <c r="L6927" s="11">
        <v>4</v>
      </c>
      <c r="M6927" s="9" t="s">
        <v>1566</v>
      </c>
      <c r="N6927" s="6" t="s">
        <v>2012</v>
      </c>
      <c r="O6927" s="6" t="s">
        <v>2012</v>
      </c>
      <c r="P6927" s="9" t="s">
        <v>60</v>
      </c>
      <c r="Q6927" s="9" t="s">
        <v>42</v>
      </c>
      <c r="R6927" s="9" t="s">
        <v>70</v>
      </c>
      <c r="S6927" s="7" t="s">
        <v>844</v>
      </c>
      <c r="T6927" s="9" t="s">
        <v>39</v>
      </c>
      <c r="U6927" s="7">
        <v>0.79</v>
      </c>
      <c r="V6927" s="12">
        <f>C6927+1</f>
        <v>41239</v>
      </c>
      <c r="W6927">
        <f>IF(D6927=' Pivot Tables'!$A$4,1,0)</f>
        <v>0</v>
      </c>
      <c r="X6927">
        <f>IF(AND(LEFT(D6927,4)+1=LEFT(' Pivot Tables'!$A$4,4)+0,RIGHT(LEFT(D6927,7),2)=RIGHT(LEFT(' Pivot Tables'!$A$4,7),2)),1,0)</f>
        <v>0</v>
      </c>
      <c r="Y6927" s="6">
        <f>1/COUNTIF(Таблица1[Order ID],Таблица1[[#This Row],[Order ID]])</f>
        <v>1</v>
      </c>
      <c r="Z6927" s="9">
        <f>1/COUNTIFS(Таблица1[Customer Name],Таблица1[[#This Row],[Customer Name]],Таблица1[Order-Year-Month],Таблица1[[#This Row],[Order-Year-Month]])</f>
        <v>1</v>
      </c>
    </row>
    <row r="6928" spans="1:26" x14ac:dyDescent="0.2">
      <c r="A6928" s="6">
        <v>3667</v>
      </c>
      <c r="B6928" s="7">
        <v>26274</v>
      </c>
      <c r="C6928" s="8">
        <f>DATE(2012,12,31)-202</f>
        <v>41072</v>
      </c>
      <c r="D6928" s="8" t="str">
        <f t="shared" si="129"/>
        <v>2012-06 (июнь 2012)</v>
      </c>
      <c r="E6928" s="9" t="s">
        <v>45</v>
      </c>
      <c r="F6928" s="7">
        <v>41</v>
      </c>
      <c r="G6928" s="7">
        <v>377.83</v>
      </c>
      <c r="H6928" s="7">
        <v>0.06</v>
      </c>
      <c r="I6928" s="9" t="s">
        <v>22</v>
      </c>
      <c r="J6928" s="10">
        <v>122.06</v>
      </c>
      <c r="K6928" s="11">
        <v>9.11</v>
      </c>
      <c r="L6928" s="11">
        <v>2.15</v>
      </c>
      <c r="M6928" s="9" t="s">
        <v>1800</v>
      </c>
      <c r="N6928" s="6" t="s">
        <v>2012</v>
      </c>
      <c r="O6928" s="6" t="s">
        <v>2012</v>
      </c>
      <c r="P6928" s="9" t="s">
        <v>41</v>
      </c>
      <c r="Q6928" s="9" t="s">
        <v>26</v>
      </c>
      <c r="R6928" s="9" t="s">
        <v>61</v>
      </c>
      <c r="S6928" s="7" t="s">
        <v>1402</v>
      </c>
      <c r="T6928" s="9" t="s">
        <v>68</v>
      </c>
      <c r="U6928" s="7">
        <v>0.4</v>
      </c>
      <c r="V6928" s="12">
        <f>C6928+1</f>
        <v>41073</v>
      </c>
      <c r="W6928">
        <f>IF(D6928=' Pivot Tables'!$A$4,1,0)</f>
        <v>0</v>
      </c>
      <c r="X6928">
        <f>IF(AND(LEFT(D6928,4)+1=LEFT(' Pivot Tables'!$A$4,4)+0,RIGHT(LEFT(D6928,7),2)=RIGHT(LEFT(' Pivot Tables'!$A$4,7),2)),1,0)</f>
        <v>0</v>
      </c>
      <c r="Y6928" s="6">
        <f>1/COUNTIF(Таблица1[Order ID],Таблица1[[#This Row],[Order ID]])</f>
        <v>1</v>
      </c>
      <c r="Z6928" s="9">
        <f>1/COUNTIFS(Таблица1[Customer Name],Таблица1[[#This Row],[Customer Name]],Таблица1[Order-Year-Month],Таблица1[[#This Row],[Order-Year-Month]])</f>
        <v>1</v>
      </c>
    </row>
    <row r="6929" spans="1:26" x14ac:dyDescent="0.2">
      <c r="A6929" s="6">
        <v>3675</v>
      </c>
      <c r="B6929" s="7">
        <v>26306</v>
      </c>
      <c r="C6929" s="8">
        <f>DATE(2012,12,31)-62</f>
        <v>41212</v>
      </c>
      <c r="D6929" s="8" t="str">
        <f t="shared" si="129"/>
        <v>2012-10 (октябрь 2012)</v>
      </c>
      <c r="E6929" s="9" t="s">
        <v>21</v>
      </c>
      <c r="F6929" s="7">
        <v>39</v>
      </c>
      <c r="G6929" s="7">
        <v>7725.66</v>
      </c>
      <c r="H6929" s="7">
        <v>0.05</v>
      </c>
      <c r="I6929" s="9" t="s">
        <v>31</v>
      </c>
      <c r="J6929" s="10">
        <v>-737.41</v>
      </c>
      <c r="K6929" s="11">
        <v>200.98</v>
      </c>
      <c r="L6929" s="11">
        <v>55.96</v>
      </c>
      <c r="M6929" s="9" t="s">
        <v>1550</v>
      </c>
      <c r="N6929" s="6" t="s">
        <v>2012</v>
      </c>
      <c r="O6929" s="6" t="s">
        <v>2012</v>
      </c>
      <c r="P6929" s="9" t="s">
        <v>41</v>
      </c>
      <c r="Q6929" s="9" t="s">
        <v>49</v>
      </c>
      <c r="R6929" s="9" t="s">
        <v>80</v>
      </c>
      <c r="S6929" s="7" t="s">
        <v>1182</v>
      </c>
      <c r="T6929" s="9" t="s">
        <v>82</v>
      </c>
      <c r="U6929" s="7">
        <v>0.75</v>
      </c>
      <c r="V6929" s="12">
        <f>C6929+4</f>
        <v>41216</v>
      </c>
      <c r="W6929">
        <f>IF(D6929=' Pivot Tables'!$A$4,1,0)</f>
        <v>0</v>
      </c>
      <c r="X6929">
        <f>IF(AND(LEFT(D6929,4)+1=LEFT(' Pivot Tables'!$A$4,4)+0,RIGHT(LEFT(D6929,7),2)=RIGHT(LEFT(' Pivot Tables'!$A$4,7),2)),1,0)</f>
        <v>0</v>
      </c>
      <c r="Y6929" s="6">
        <f>1/COUNTIF(Таблица1[Order ID],Таблица1[[#This Row],[Order ID]])</f>
        <v>0.5</v>
      </c>
      <c r="Z6929" s="9">
        <f>1/COUNTIFS(Таблица1[Customer Name],Таблица1[[#This Row],[Customer Name]],Таблица1[Order-Year-Month],Таблица1[[#This Row],[Order-Year-Month]])</f>
        <v>0.5</v>
      </c>
    </row>
    <row r="6930" spans="1:26" x14ac:dyDescent="0.2">
      <c r="A6930" s="6">
        <v>3700</v>
      </c>
      <c r="B6930" s="7">
        <v>26437</v>
      </c>
      <c r="C6930" s="8">
        <f>DATE(2012,12,31)-399</f>
        <v>40875</v>
      </c>
      <c r="D6930" s="8" t="str">
        <f t="shared" si="129"/>
        <v>2011-11 (ноябрь 2011)</v>
      </c>
      <c r="E6930" s="9" t="s">
        <v>78</v>
      </c>
      <c r="F6930" s="7">
        <v>4</v>
      </c>
      <c r="G6930" s="7">
        <v>52.43</v>
      </c>
      <c r="H6930" s="7">
        <v>0.03</v>
      </c>
      <c r="I6930" s="9" t="s">
        <v>56</v>
      </c>
      <c r="J6930" s="10">
        <v>-12.98</v>
      </c>
      <c r="K6930" s="11">
        <v>9.65</v>
      </c>
      <c r="L6930" s="11">
        <v>6.22</v>
      </c>
      <c r="M6930" s="9" t="s">
        <v>1506</v>
      </c>
      <c r="N6930" s="6" t="s">
        <v>2012</v>
      </c>
      <c r="O6930" s="6" t="s">
        <v>2012</v>
      </c>
      <c r="P6930" s="9" t="s">
        <v>41</v>
      </c>
      <c r="Q6930" s="9" t="s">
        <v>49</v>
      </c>
      <c r="R6930" s="9" t="s">
        <v>50</v>
      </c>
      <c r="S6930" s="7" t="s">
        <v>138</v>
      </c>
      <c r="T6930" s="9" t="s">
        <v>39</v>
      </c>
      <c r="U6930" s="7">
        <v>0.55000000000000004</v>
      </c>
      <c r="V6930" s="12">
        <f>C6930+1</f>
        <v>40876</v>
      </c>
      <c r="W6930">
        <f>IF(D6930=' Pivot Tables'!$A$4,1,0)</f>
        <v>0</v>
      </c>
      <c r="X6930">
        <f>IF(AND(LEFT(D6930,4)+1=LEFT(' Pivot Tables'!$A$4,4)+0,RIGHT(LEFT(D6930,7),2)=RIGHT(LEFT(' Pivot Tables'!$A$4,7),2)),1,0)</f>
        <v>0</v>
      </c>
      <c r="Y6930" s="6">
        <f>1/COUNTIF(Таблица1[Order ID],Таблица1[[#This Row],[Order ID]])</f>
        <v>0.5</v>
      </c>
      <c r="Z6930" s="9">
        <f>1/COUNTIFS(Таблица1[Customer Name],Таблица1[[#This Row],[Customer Name]],Таблица1[Order-Year-Month],Таблица1[[#This Row],[Order-Year-Month]])</f>
        <v>0.5</v>
      </c>
    </row>
    <row r="6931" spans="1:26" x14ac:dyDescent="0.2">
      <c r="A6931" s="6">
        <v>3701</v>
      </c>
      <c r="B6931" s="7">
        <v>26437</v>
      </c>
      <c r="C6931" s="8">
        <f>DATE(2012,12,31)-399</f>
        <v>40875</v>
      </c>
      <c r="D6931" s="8" t="str">
        <f t="shared" si="129"/>
        <v>2011-11 (ноябрь 2011)</v>
      </c>
      <c r="E6931" s="9" t="s">
        <v>78</v>
      </c>
      <c r="F6931" s="7">
        <v>48</v>
      </c>
      <c r="G6931" s="7">
        <v>254.51</v>
      </c>
      <c r="H6931" s="7">
        <v>0.08</v>
      </c>
      <c r="I6931" s="9" t="s">
        <v>22</v>
      </c>
      <c r="J6931" s="10">
        <v>49.05</v>
      </c>
      <c r="K6931" s="11">
        <v>5.58</v>
      </c>
      <c r="L6931" s="11">
        <v>0.7</v>
      </c>
      <c r="M6931" s="9" t="s">
        <v>1506</v>
      </c>
      <c r="N6931" s="6" t="s">
        <v>2012</v>
      </c>
      <c r="O6931" s="6" t="s">
        <v>2012</v>
      </c>
      <c r="P6931" s="9" t="s">
        <v>41</v>
      </c>
      <c r="Q6931" s="9" t="s">
        <v>26</v>
      </c>
      <c r="R6931" s="9" t="s">
        <v>95</v>
      </c>
      <c r="S6931" s="7" t="s">
        <v>823</v>
      </c>
      <c r="T6931" s="9" t="s">
        <v>68</v>
      </c>
      <c r="U6931" s="7">
        <v>0.6</v>
      </c>
      <c r="V6931" s="12">
        <f>C6931+2</f>
        <v>40877</v>
      </c>
      <c r="W6931">
        <f>IF(D6931=' Pivot Tables'!$A$4,1,0)</f>
        <v>0</v>
      </c>
      <c r="X6931">
        <f>IF(AND(LEFT(D6931,4)+1=LEFT(' Pivot Tables'!$A$4,4)+0,RIGHT(LEFT(D6931,7),2)=RIGHT(LEFT(' Pivot Tables'!$A$4,7),2)),1,0)</f>
        <v>0</v>
      </c>
      <c r="Y6931" s="6">
        <f>1/COUNTIF(Таблица1[Order ID],Таблица1[[#This Row],[Order ID]])</f>
        <v>0.5</v>
      </c>
      <c r="Z6931" s="9">
        <f>1/COUNTIFS(Таблица1[Customer Name],Таблица1[[#This Row],[Customer Name]],Таблица1[Order-Year-Month],Таблица1[[#This Row],[Order-Year-Month]])</f>
        <v>0.5</v>
      </c>
    </row>
    <row r="6932" spans="1:26" x14ac:dyDescent="0.2">
      <c r="A6932" s="6">
        <v>3705</v>
      </c>
      <c r="B6932" s="7">
        <v>26464</v>
      </c>
      <c r="C6932" s="8">
        <f>DATE(2012,12,31)-386</f>
        <v>40888</v>
      </c>
      <c r="D6932" s="8" t="str">
        <f t="shared" si="129"/>
        <v>2011-12 (декабрь 2011)</v>
      </c>
      <c r="E6932" s="9" t="s">
        <v>30</v>
      </c>
      <c r="F6932" s="7">
        <v>25</v>
      </c>
      <c r="G6932" s="7">
        <v>268.58</v>
      </c>
      <c r="H6932" s="7">
        <v>0.03</v>
      </c>
      <c r="I6932" s="9" t="s">
        <v>22</v>
      </c>
      <c r="J6932" s="10">
        <v>-26.33</v>
      </c>
      <c r="K6932" s="11">
        <v>10.89</v>
      </c>
      <c r="L6932" s="11">
        <v>4.5</v>
      </c>
      <c r="M6932" s="9" t="s">
        <v>2034</v>
      </c>
      <c r="N6932" s="6" t="s">
        <v>2012</v>
      </c>
      <c r="O6932" s="6" t="s">
        <v>2012</v>
      </c>
      <c r="P6932" s="9" t="s">
        <v>41</v>
      </c>
      <c r="Q6932" s="9" t="s">
        <v>26</v>
      </c>
      <c r="R6932" s="9" t="s">
        <v>34</v>
      </c>
      <c r="S6932" s="7" t="s">
        <v>345</v>
      </c>
      <c r="T6932" s="9" t="s">
        <v>39</v>
      </c>
      <c r="U6932" s="7">
        <v>0.59</v>
      </c>
      <c r="V6932" s="12">
        <f>C6932+0</f>
        <v>40888</v>
      </c>
      <c r="W6932">
        <f>IF(D6932=' Pivot Tables'!$A$4,1,0)</f>
        <v>0</v>
      </c>
      <c r="X6932">
        <f>IF(AND(LEFT(D6932,4)+1=LEFT(' Pivot Tables'!$A$4,4)+0,RIGHT(LEFT(D6932,7),2)=RIGHT(LEFT(' Pivot Tables'!$A$4,7),2)),1,0)</f>
        <v>0</v>
      </c>
      <c r="Y6932" s="6">
        <f>1/COUNTIF(Таблица1[Order ID],Таблица1[[#This Row],[Order ID]])</f>
        <v>0.5</v>
      </c>
      <c r="Z6932" s="9">
        <f>1/COUNTIFS(Таблица1[Customer Name],Таблица1[[#This Row],[Customer Name]],Таблица1[Order-Year-Month],Таблица1[[#This Row],[Order-Year-Month]])</f>
        <v>0.5</v>
      </c>
    </row>
    <row r="6933" spans="1:26" x14ac:dyDescent="0.2">
      <c r="A6933" s="6">
        <v>3706</v>
      </c>
      <c r="B6933" s="7">
        <v>26464</v>
      </c>
      <c r="C6933" s="8">
        <f>DATE(2012,12,31)-386</f>
        <v>40888</v>
      </c>
      <c r="D6933" s="8" t="str">
        <f t="shared" si="129"/>
        <v>2011-12 (декабрь 2011)</v>
      </c>
      <c r="E6933" s="9" t="s">
        <v>30</v>
      </c>
      <c r="F6933" s="7">
        <v>26</v>
      </c>
      <c r="G6933" s="7">
        <v>1280.6500000000001</v>
      </c>
      <c r="H6933" s="7">
        <v>0.06</v>
      </c>
      <c r="I6933" s="9" t="s">
        <v>22</v>
      </c>
      <c r="J6933" s="10">
        <v>75.36</v>
      </c>
      <c r="K6933" s="11">
        <v>50.98</v>
      </c>
      <c r="L6933" s="11">
        <v>22.24</v>
      </c>
      <c r="M6933" s="9" t="s">
        <v>2034</v>
      </c>
      <c r="N6933" s="6" t="s">
        <v>2012</v>
      </c>
      <c r="O6933" s="6" t="s">
        <v>2012</v>
      </c>
      <c r="P6933" s="9" t="s">
        <v>41</v>
      </c>
      <c r="Q6933" s="9" t="s">
        <v>49</v>
      </c>
      <c r="R6933" s="9" t="s">
        <v>50</v>
      </c>
      <c r="S6933" s="7" t="s">
        <v>1292</v>
      </c>
      <c r="T6933" s="9" t="s">
        <v>29</v>
      </c>
      <c r="U6933" s="7">
        <v>0.55000000000000004</v>
      </c>
      <c r="V6933" s="12">
        <f>C6933+1</f>
        <v>40889</v>
      </c>
      <c r="W6933">
        <f>IF(D6933=' Pivot Tables'!$A$4,1,0)</f>
        <v>0</v>
      </c>
      <c r="X6933">
        <f>IF(AND(LEFT(D6933,4)+1=LEFT(' Pivot Tables'!$A$4,4)+0,RIGHT(LEFT(D6933,7),2)=RIGHT(LEFT(' Pivot Tables'!$A$4,7),2)),1,0)</f>
        <v>0</v>
      </c>
      <c r="Y6933" s="6">
        <f>1/COUNTIF(Таблица1[Order ID],Таблица1[[#This Row],[Order ID]])</f>
        <v>0.5</v>
      </c>
      <c r="Z6933" s="9">
        <f>1/COUNTIFS(Таблица1[Customer Name],Таблица1[[#This Row],[Customer Name]],Таблица1[Order-Year-Month],Таблица1[[#This Row],[Order-Year-Month]])</f>
        <v>0.5</v>
      </c>
    </row>
    <row r="6934" spans="1:26" x14ac:dyDescent="0.2">
      <c r="A6934" s="6">
        <v>3727</v>
      </c>
      <c r="B6934" s="7">
        <v>26631</v>
      </c>
      <c r="C6934" s="8">
        <f>DATE(2012,12,31)-791</f>
        <v>40483</v>
      </c>
      <c r="D6934" s="8" t="str">
        <f t="shared" si="129"/>
        <v>2010-11 (ноябрь 2010)</v>
      </c>
      <c r="E6934" s="9" t="s">
        <v>78</v>
      </c>
      <c r="F6934" s="7">
        <v>37</v>
      </c>
      <c r="G6934" s="7">
        <v>231.65</v>
      </c>
      <c r="H6934" s="7">
        <v>0</v>
      </c>
      <c r="I6934" s="9" t="s">
        <v>22</v>
      </c>
      <c r="J6934" s="10">
        <v>-241.28</v>
      </c>
      <c r="K6934" s="11">
        <v>5.98</v>
      </c>
      <c r="L6934" s="11">
        <v>10.39</v>
      </c>
      <c r="M6934" s="9" t="s">
        <v>2039</v>
      </c>
      <c r="N6934" s="6" t="s">
        <v>2012</v>
      </c>
      <c r="O6934" s="6" t="s">
        <v>2012</v>
      </c>
      <c r="P6934" s="9" t="s">
        <v>41</v>
      </c>
      <c r="Q6934" s="9" t="s">
        <v>26</v>
      </c>
      <c r="R6934" s="9" t="s">
        <v>61</v>
      </c>
      <c r="S6934" s="7" t="s">
        <v>1430</v>
      </c>
      <c r="T6934" s="9" t="s">
        <v>39</v>
      </c>
      <c r="U6934" s="7">
        <v>0.4</v>
      </c>
      <c r="V6934" s="12">
        <f>C6934+0</f>
        <v>40483</v>
      </c>
      <c r="W6934">
        <f>IF(D6934=' Pivot Tables'!$A$4,1,0)</f>
        <v>0</v>
      </c>
      <c r="X6934">
        <f>IF(AND(LEFT(D6934,4)+1=LEFT(' Pivot Tables'!$A$4,4)+0,RIGHT(LEFT(D6934,7),2)=RIGHT(LEFT(' Pivot Tables'!$A$4,7),2)),1,0)</f>
        <v>0</v>
      </c>
      <c r="Y6934" s="6">
        <f>1/COUNTIF(Таблица1[Order ID],Таблица1[[#This Row],[Order ID]])</f>
        <v>1</v>
      </c>
      <c r="Z6934" s="9">
        <f>1/COUNTIFS(Таблица1[Customer Name],Таблица1[[#This Row],[Customer Name]],Таблица1[Order-Year-Month],Таблица1[[#This Row],[Order-Year-Month]])</f>
        <v>1</v>
      </c>
    </row>
    <row r="6935" spans="1:26" x14ac:dyDescent="0.2">
      <c r="A6935" s="6">
        <v>3734</v>
      </c>
      <c r="B6935" s="7">
        <v>26689</v>
      </c>
      <c r="C6935" s="8">
        <f>DATE(2012,12,31)-1189</f>
        <v>40085</v>
      </c>
      <c r="D6935" s="8" t="str">
        <f t="shared" si="129"/>
        <v>2009-09 (сентябрь 2009)</v>
      </c>
      <c r="E6935" s="9" t="s">
        <v>30</v>
      </c>
      <c r="F6935" s="7">
        <v>2</v>
      </c>
      <c r="G6935" s="7">
        <v>198.44</v>
      </c>
      <c r="H6935" s="7">
        <v>0.01</v>
      </c>
      <c r="I6935" s="9" t="s">
        <v>22</v>
      </c>
      <c r="J6935" s="10">
        <v>-87.46</v>
      </c>
      <c r="K6935" s="11">
        <v>99.23</v>
      </c>
      <c r="L6935" s="11">
        <v>8.99</v>
      </c>
      <c r="M6935" s="9" t="s">
        <v>2034</v>
      </c>
      <c r="N6935" s="6" t="s">
        <v>2012</v>
      </c>
      <c r="O6935" s="6" t="s">
        <v>2012</v>
      </c>
      <c r="P6935" s="9" t="s">
        <v>41</v>
      </c>
      <c r="Q6935" s="9" t="s">
        <v>49</v>
      </c>
      <c r="R6935" s="9" t="s">
        <v>50</v>
      </c>
      <c r="S6935" s="7" t="s">
        <v>700</v>
      </c>
      <c r="T6935" s="9" t="s">
        <v>52</v>
      </c>
      <c r="U6935" s="7">
        <v>0.35</v>
      </c>
      <c r="V6935" s="12">
        <f>C6935+3</f>
        <v>40088</v>
      </c>
      <c r="W6935">
        <f>IF(D6935=' Pivot Tables'!$A$4,1,0)</f>
        <v>0</v>
      </c>
      <c r="X6935">
        <f>IF(AND(LEFT(D6935,4)+1=LEFT(' Pivot Tables'!$A$4,4)+0,RIGHT(LEFT(D6935,7),2)=RIGHT(LEFT(' Pivot Tables'!$A$4,7),2)),1,0)</f>
        <v>0</v>
      </c>
      <c r="Y6935" s="6">
        <f>1/COUNTIF(Таблица1[Order ID],Таблица1[[#This Row],[Order ID]])</f>
        <v>1</v>
      </c>
      <c r="Z6935" s="9">
        <f>1/COUNTIFS(Таблица1[Customer Name],Таблица1[[#This Row],[Customer Name]],Таблица1[Order-Year-Month],Таблица1[[#This Row],[Order-Year-Month]])</f>
        <v>0.5</v>
      </c>
    </row>
    <row r="6936" spans="1:26" x14ac:dyDescent="0.2">
      <c r="A6936" s="6">
        <v>3751</v>
      </c>
      <c r="B6936" s="7">
        <v>26786</v>
      </c>
      <c r="C6936" s="8">
        <f>DATE(2012,12,31)-999</f>
        <v>40275</v>
      </c>
      <c r="D6936" s="8" t="str">
        <f t="shared" si="129"/>
        <v>2010-04 (апрель 2010)</v>
      </c>
      <c r="E6936" s="9" t="s">
        <v>63</v>
      </c>
      <c r="F6936" s="7">
        <v>29</v>
      </c>
      <c r="G6936" s="7">
        <v>296.94</v>
      </c>
      <c r="H6936" s="7">
        <v>0.08</v>
      </c>
      <c r="I6936" s="9" t="s">
        <v>22</v>
      </c>
      <c r="J6936" s="10">
        <v>-25.41</v>
      </c>
      <c r="K6936" s="11">
        <v>10.98</v>
      </c>
      <c r="L6936" s="11">
        <v>3.99</v>
      </c>
      <c r="M6936" s="9" t="s">
        <v>1521</v>
      </c>
      <c r="N6936" s="6" t="s">
        <v>2012</v>
      </c>
      <c r="O6936" s="6" t="s">
        <v>2012</v>
      </c>
      <c r="P6936" s="9" t="s">
        <v>41</v>
      </c>
      <c r="Q6936" s="9" t="s">
        <v>26</v>
      </c>
      <c r="R6936" s="9" t="s">
        <v>34</v>
      </c>
      <c r="S6936" s="7" t="s">
        <v>1752</v>
      </c>
      <c r="T6936" s="9" t="s">
        <v>39</v>
      </c>
      <c r="U6936" s="7">
        <v>0.57999999999999996</v>
      </c>
      <c r="V6936" s="12">
        <f>C6936+1</f>
        <v>40276</v>
      </c>
      <c r="W6936">
        <f>IF(D6936=' Pivot Tables'!$A$4,1,0)</f>
        <v>0</v>
      </c>
      <c r="X6936">
        <f>IF(AND(LEFT(D6936,4)+1=LEFT(' Pivot Tables'!$A$4,4)+0,RIGHT(LEFT(D6936,7),2)=RIGHT(LEFT(' Pivot Tables'!$A$4,7),2)),1,0)</f>
        <v>0</v>
      </c>
      <c r="Y6936" s="6">
        <f>1/COUNTIF(Таблица1[Order ID],Таблица1[[#This Row],[Order ID]])</f>
        <v>1</v>
      </c>
      <c r="Z6936" s="9">
        <f>1/COUNTIFS(Таблица1[Customer Name],Таблица1[[#This Row],[Customer Name]],Таблица1[Order-Year-Month],Таблица1[[#This Row],[Order-Year-Month]])</f>
        <v>1</v>
      </c>
    </row>
    <row r="6937" spans="1:26" x14ac:dyDescent="0.2">
      <c r="A6937" s="6">
        <v>3778</v>
      </c>
      <c r="B6937" s="7">
        <v>26976</v>
      </c>
      <c r="C6937" s="8">
        <f>DATE(2012,12,31)-591</f>
        <v>40683</v>
      </c>
      <c r="D6937" s="8" t="str">
        <f t="shared" si="129"/>
        <v>2011-05 (май 2011)</v>
      </c>
      <c r="E6937" s="9" t="s">
        <v>45</v>
      </c>
      <c r="F6937" s="7">
        <v>44</v>
      </c>
      <c r="G6937" s="7">
        <v>729.75</v>
      </c>
      <c r="H6937" s="7">
        <v>0.02</v>
      </c>
      <c r="I6937" s="9" t="s">
        <v>22</v>
      </c>
      <c r="J6937" s="10">
        <v>375.25</v>
      </c>
      <c r="K6937" s="11">
        <v>15.67</v>
      </c>
      <c r="L6937" s="11">
        <v>1.39</v>
      </c>
      <c r="M6937" s="9" t="s">
        <v>1452</v>
      </c>
      <c r="N6937" s="6" t="s">
        <v>2012</v>
      </c>
      <c r="O6937" s="6" t="s">
        <v>2012</v>
      </c>
      <c r="P6937" s="9" t="s">
        <v>60</v>
      </c>
      <c r="Q6937" s="9" t="s">
        <v>26</v>
      </c>
      <c r="R6937" s="9" t="s">
        <v>76</v>
      </c>
      <c r="S6937" s="7" t="s">
        <v>165</v>
      </c>
      <c r="T6937" s="9" t="s">
        <v>39</v>
      </c>
      <c r="U6937" s="7">
        <v>0.38</v>
      </c>
      <c r="V6937" s="12">
        <f>C6937+1</f>
        <v>40684</v>
      </c>
      <c r="W6937">
        <f>IF(D6937=' Pivot Tables'!$A$4,1,0)</f>
        <v>0</v>
      </c>
      <c r="X6937">
        <f>IF(AND(LEFT(D6937,4)+1=LEFT(' Pivot Tables'!$A$4,4)+0,RIGHT(LEFT(D6937,7),2)=RIGHT(LEFT(' Pivot Tables'!$A$4,7),2)),1,0)</f>
        <v>0</v>
      </c>
      <c r="Y6937" s="6">
        <f>1/COUNTIF(Таблица1[Order ID],Таблица1[[#This Row],[Order ID]])</f>
        <v>0.33333333333333331</v>
      </c>
      <c r="Z6937" s="9">
        <f>1/COUNTIFS(Таблица1[Customer Name],Таблица1[[#This Row],[Customer Name]],Таблица1[Order-Year-Month],Таблица1[[#This Row],[Order-Year-Month]])</f>
        <v>0.33333333333333331</v>
      </c>
    </row>
    <row r="6938" spans="1:26" x14ac:dyDescent="0.2">
      <c r="A6938" s="6">
        <v>3779</v>
      </c>
      <c r="B6938" s="7">
        <v>26976</v>
      </c>
      <c r="C6938" s="8">
        <f>DATE(2012,12,31)-591</f>
        <v>40683</v>
      </c>
      <c r="D6938" s="8" t="str">
        <f t="shared" si="129"/>
        <v>2011-05 (май 2011)</v>
      </c>
      <c r="E6938" s="9" t="s">
        <v>45</v>
      </c>
      <c r="F6938" s="7">
        <v>28</v>
      </c>
      <c r="G6938" s="7">
        <v>1417.21</v>
      </c>
      <c r="H6938" s="7">
        <v>7.0000000000000007E-2</v>
      </c>
      <c r="I6938" s="9" t="s">
        <v>22</v>
      </c>
      <c r="J6938" s="10">
        <v>63.88</v>
      </c>
      <c r="K6938" s="11">
        <v>51.65</v>
      </c>
      <c r="L6938" s="11">
        <v>18.45</v>
      </c>
      <c r="M6938" s="9" t="s">
        <v>1452</v>
      </c>
      <c r="N6938" s="6" t="s">
        <v>2012</v>
      </c>
      <c r="O6938" s="6" t="s">
        <v>2012</v>
      </c>
      <c r="P6938" s="9" t="s">
        <v>60</v>
      </c>
      <c r="Q6938" s="9" t="s">
        <v>49</v>
      </c>
      <c r="R6938" s="9" t="s">
        <v>50</v>
      </c>
      <c r="S6938" s="7" t="s">
        <v>597</v>
      </c>
      <c r="T6938" s="9" t="s">
        <v>48</v>
      </c>
      <c r="U6938" s="7">
        <v>0.65</v>
      </c>
      <c r="V6938" s="12">
        <f>C6938+2</f>
        <v>40685</v>
      </c>
      <c r="W6938">
        <f>IF(D6938=' Pivot Tables'!$A$4,1,0)</f>
        <v>0</v>
      </c>
      <c r="X6938">
        <f>IF(AND(LEFT(D6938,4)+1=LEFT(' Pivot Tables'!$A$4,4)+0,RIGHT(LEFT(D6938,7),2)=RIGHT(LEFT(' Pivot Tables'!$A$4,7),2)),1,0)</f>
        <v>0</v>
      </c>
      <c r="Y6938" s="6">
        <f>1/COUNTIF(Таблица1[Order ID],Таблица1[[#This Row],[Order ID]])</f>
        <v>0.33333333333333331</v>
      </c>
      <c r="Z6938" s="9">
        <f>1/COUNTIFS(Таблица1[Customer Name],Таблица1[[#This Row],[Customer Name]],Таблица1[Order-Year-Month],Таблица1[[#This Row],[Order-Year-Month]])</f>
        <v>0.33333333333333331</v>
      </c>
    </row>
    <row r="6939" spans="1:26" x14ac:dyDescent="0.2">
      <c r="A6939" s="6">
        <v>3780</v>
      </c>
      <c r="B6939" s="7">
        <v>26976</v>
      </c>
      <c r="C6939" s="8">
        <f>DATE(2012,12,31)-591</f>
        <v>40683</v>
      </c>
      <c r="D6939" s="8" t="str">
        <f t="shared" si="129"/>
        <v>2011-05 (май 2011)</v>
      </c>
      <c r="E6939" s="9" t="s">
        <v>45</v>
      </c>
      <c r="F6939" s="7">
        <v>11</v>
      </c>
      <c r="G6939" s="7">
        <v>1154.9375</v>
      </c>
      <c r="H6939" s="7">
        <v>0.04</v>
      </c>
      <c r="I6939" s="9" t="s">
        <v>56</v>
      </c>
      <c r="J6939" s="10">
        <v>-176.05500000000001</v>
      </c>
      <c r="K6939" s="11">
        <v>125.99</v>
      </c>
      <c r="L6939" s="11">
        <v>8.99</v>
      </c>
      <c r="M6939" s="9" t="s">
        <v>1452</v>
      </c>
      <c r="N6939" s="6" t="s">
        <v>2012</v>
      </c>
      <c r="O6939" s="6" t="s">
        <v>2012</v>
      </c>
      <c r="P6939" s="9" t="s">
        <v>60</v>
      </c>
      <c r="Q6939" s="9" t="s">
        <v>42</v>
      </c>
      <c r="R6939" s="9" t="s">
        <v>43</v>
      </c>
      <c r="S6939" s="7" t="s">
        <v>1977</v>
      </c>
      <c r="T6939" s="9" t="s">
        <v>39</v>
      </c>
      <c r="U6939" s="7">
        <v>0.56999999999999995</v>
      </c>
      <c r="V6939" s="12">
        <f>C6939+1</f>
        <v>40684</v>
      </c>
      <c r="W6939">
        <f>IF(D6939=' Pivot Tables'!$A$4,1,0)</f>
        <v>0</v>
      </c>
      <c r="X6939">
        <f>IF(AND(LEFT(D6939,4)+1=LEFT(' Pivot Tables'!$A$4,4)+0,RIGHT(LEFT(D6939,7),2)=RIGHT(LEFT(' Pivot Tables'!$A$4,7),2)),1,0)</f>
        <v>0</v>
      </c>
      <c r="Y6939" s="6">
        <f>1/COUNTIF(Таблица1[Order ID],Таблица1[[#This Row],[Order ID]])</f>
        <v>0.33333333333333331</v>
      </c>
      <c r="Z6939" s="9">
        <f>1/COUNTIFS(Таблица1[Customer Name],Таблица1[[#This Row],[Customer Name]],Таблица1[Order-Year-Month],Таблица1[[#This Row],[Order-Year-Month]])</f>
        <v>0.33333333333333331</v>
      </c>
    </row>
    <row r="6940" spans="1:26" x14ac:dyDescent="0.2">
      <c r="A6940" s="6">
        <v>3814</v>
      </c>
      <c r="B6940" s="7">
        <v>27169</v>
      </c>
      <c r="C6940" s="8">
        <f>DATE(2012,12,31)-477</f>
        <v>40797</v>
      </c>
      <c r="D6940" s="8" t="str">
        <f t="shared" si="129"/>
        <v>2011-09 (сентябрь 2011)</v>
      </c>
      <c r="E6940" s="9" t="s">
        <v>45</v>
      </c>
      <c r="F6940" s="7">
        <v>16</v>
      </c>
      <c r="G6940" s="7">
        <v>109.9</v>
      </c>
      <c r="H6940" s="7">
        <v>0.01</v>
      </c>
      <c r="I6940" s="9" t="s">
        <v>22</v>
      </c>
      <c r="J6940" s="10">
        <v>-28.945500000000003</v>
      </c>
      <c r="K6940" s="11">
        <v>6.54</v>
      </c>
      <c r="L6940" s="11">
        <v>5.27</v>
      </c>
      <c r="M6940" s="9" t="s">
        <v>1094</v>
      </c>
      <c r="N6940" s="6" t="s">
        <v>2012</v>
      </c>
      <c r="O6940" s="6" t="s">
        <v>2012</v>
      </c>
      <c r="P6940" s="9" t="s">
        <v>41</v>
      </c>
      <c r="Q6940" s="9" t="s">
        <v>26</v>
      </c>
      <c r="R6940" s="9" t="s">
        <v>37</v>
      </c>
      <c r="S6940" s="7" t="s">
        <v>744</v>
      </c>
      <c r="T6940" s="9" t="s">
        <v>39</v>
      </c>
      <c r="U6940" s="7">
        <v>0.36</v>
      </c>
      <c r="V6940" s="12">
        <f>C6940+1</f>
        <v>40798</v>
      </c>
      <c r="W6940">
        <f>IF(D6940=' Pivot Tables'!$A$4,1,0)</f>
        <v>0</v>
      </c>
      <c r="X6940">
        <f>IF(AND(LEFT(D6940,4)+1=LEFT(' Pivot Tables'!$A$4,4)+0,RIGHT(LEFT(D6940,7),2)=RIGHT(LEFT(' Pivot Tables'!$A$4,7),2)),1,0)</f>
        <v>0</v>
      </c>
      <c r="Y6940" s="6">
        <f>1/COUNTIF(Таблица1[Order ID],Таблица1[[#This Row],[Order ID]])</f>
        <v>1</v>
      </c>
      <c r="Z6940" s="9">
        <f>1/COUNTIFS(Таблица1[Customer Name],Таблица1[[#This Row],[Customer Name]],Таблица1[Order-Year-Month],Таблица1[[#This Row],[Order-Year-Month]])</f>
        <v>1</v>
      </c>
    </row>
    <row r="6941" spans="1:26" x14ac:dyDescent="0.2">
      <c r="A6941" s="6">
        <v>3837</v>
      </c>
      <c r="B6941" s="7">
        <v>27363</v>
      </c>
      <c r="C6941" s="8">
        <f>DATE(2012,12,31)-440</f>
        <v>40834</v>
      </c>
      <c r="D6941" s="8" t="str">
        <f t="shared" si="129"/>
        <v>2011-10 (октябрь 2011)</v>
      </c>
      <c r="E6941" s="9" t="s">
        <v>63</v>
      </c>
      <c r="F6941" s="7">
        <v>6</v>
      </c>
      <c r="G6941" s="7">
        <v>646.14</v>
      </c>
      <c r="H6941" s="7">
        <v>7.0000000000000007E-2</v>
      </c>
      <c r="I6941" s="9" t="s">
        <v>22</v>
      </c>
      <c r="J6941" s="10">
        <v>-265.62</v>
      </c>
      <c r="K6941" s="11">
        <v>101.41</v>
      </c>
      <c r="L6941" s="11">
        <v>35</v>
      </c>
      <c r="M6941" s="9" t="s">
        <v>1553</v>
      </c>
      <c r="N6941" s="6" t="s">
        <v>2012</v>
      </c>
      <c r="O6941" s="6" t="s">
        <v>2012</v>
      </c>
      <c r="P6941" s="9" t="s">
        <v>25</v>
      </c>
      <c r="Q6941" s="9" t="s">
        <v>26</v>
      </c>
      <c r="R6941" s="9" t="s">
        <v>27</v>
      </c>
      <c r="S6941" s="7" t="s">
        <v>1231</v>
      </c>
      <c r="T6941" s="9" t="s">
        <v>29</v>
      </c>
      <c r="U6941" s="7">
        <v>0.82</v>
      </c>
      <c r="V6941" s="12">
        <f>C6941+2</f>
        <v>40836</v>
      </c>
      <c r="W6941">
        <f>IF(D6941=' Pivot Tables'!$A$4,1,0)</f>
        <v>0</v>
      </c>
      <c r="X6941">
        <f>IF(AND(LEFT(D6941,4)+1=LEFT(' Pivot Tables'!$A$4,4)+0,RIGHT(LEFT(D6941,7),2)=RIGHT(LEFT(' Pivot Tables'!$A$4,7),2)),1,0)</f>
        <v>0</v>
      </c>
      <c r="Y6941" s="6">
        <f>1/COUNTIF(Таблица1[Order ID],Таблица1[[#This Row],[Order ID]])</f>
        <v>0.5</v>
      </c>
      <c r="Z6941" s="9">
        <f>1/COUNTIFS(Таблица1[Customer Name],Таблица1[[#This Row],[Customer Name]],Таблица1[Order-Year-Month],Таблица1[[#This Row],[Order-Year-Month]])</f>
        <v>0.5</v>
      </c>
    </row>
    <row r="6942" spans="1:26" x14ac:dyDescent="0.2">
      <c r="A6942" s="6">
        <v>3858</v>
      </c>
      <c r="B6942" s="7">
        <v>27524</v>
      </c>
      <c r="C6942" s="8">
        <f>DATE(2012,12,31)-1064</f>
        <v>40210</v>
      </c>
      <c r="D6942" s="8" t="str">
        <f t="shared" si="129"/>
        <v>2010-02 (февраль 2010)</v>
      </c>
      <c r="E6942" s="9" t="s">
        <v>45</v>
      </c>
      <c r="F6942" s="7">
        <v>50</v>
      </c>
      <c r="G6942" s="7">
        <v>343.94</v>
      </c>
      <c r="H6942" s="7">
        <v>0.02</v>
      </c>
      <c r="I6942" s="9" t="s">
        <v>22</v>
      </c>
      <c r="J6942" s="10">
        <v>-157.4</v>
      </c>
      <c r="K6942" s="11">
        <v>6.48</v>
      </c>
      <c r="L6942" s="11">
        <v>7.37</v>
      </c>
      <c r="M6942" s="9" t="s">
        <v>1474</v>
      </c>
      <c r="N6942" s="6" t="s">
        <v>2012</v>
      </c>
      <c r="O6942" s="6" t="s">
        <v>2012</v>
      </c>
      <c r="P6942" s="9" t="s">
        <v>33</v>
      </c>
      <c r="Q6942" s="9" t="s">
        <v>26</v>
      </c>
      <c r="R6942" s="9" t="s">
        <v>61</v>
      </c>
      <c r="S6942" s="7" t="s">
        <v>859</v>
      </c>
      <c r="T6942" s="9" t="s">
        <v>39</v>
      </c>
      <c r="U6942" s="7">
        <v>0.37</v>
      </c>
      <c r="V6942" s="12">
        <f>C6942+2</f>
        <v>40212</v>
      </c>
      <c r="W6942">
        <f>IF(D6942=' Pivot Tables'!$A$4,1,0)</f>
        <v>0</v>
      </c>
      <c r="X6942">
        <f>IF(AND(LEFT(D6942,4)+1=LEFT(' Pivot Tables'!$A$4,4)+0,RIGHT(LEFT(D6942,7),2)=RIGHT(LEFT(' Pivot Tables'!$A$4,7),2)),1,0)</f>
        <v>0</v>
      </c>
      <c r="Y6942" s="6">
        <f>1/COUNTIF(Таблица1[Order ID],Таблица1[[#This Row],[Order ID]])</f>
        <v>1</v>
      </c>
      <c r="Z6942" s="9">
        <f>1/COUNTIFS(Таблица1[Customer Name],Таблица1[[#This Row],[Customer Name]],Таблица1[Order-Year-Month],Таблица1[[#This Row],[Order-Year-Month]])</f>
        <v>1</v>
      </c>
    </row>
    <row r="6943" spans="1:26" x14ac:dyDescent="0.2">
      <c r="A6943" s="6">
        <v>3862</v>
      </c>
      <c r="B6943" s="7">
        <v>27554</v>
      </c>
      <c r="C6943" s="8">
        <f>DATE(2012,12,31)-662</f>
        <v>40612</v>
      </c>
      <c r="D6943" s="8" t="str">
        <f t="shared" si="129"/>
        <v>2011-03 (март 2011)</v>
      </c>
      <c r="E6943" s="9" t="s">
        <v>78</v>
      </c>
      <c r="F6943" s="7">
        <v>45</v>
      </c>
      <c r="G6943" s="7">
        <v>12685.544000000002</v>
      </c>
      <c r="H6943" s="7">
        <v>0.02</v>
      </c>
      <c r="I6943" s="9" t="s">
        <v>31</v>
      </c>
      <c r="J6943" s="10">
        <v>3985.11</v>
      </c>
      <c r="K6943" s="11">
        <v>348.21</v>
      </c>
      <c r="L6943" s="11">
        <v>40.19</v>
      </c>
      <c r="M6943" s="9" t="s">
        <v>1578</v>
      </c>
      <c r="N6943" s="6" t="s">
        <v>2012</v>
      </c>
      <c r="O6943" s="6" t="s">
        <v>2012</v>
      </c>
      <c r="P6943" s="9" t="s">
        <v>25</v>
      </c>
      <c r="Q6943" s="9" t="s">
        <v>49</v>
      </c>
      <c r="R6943" s="9" t="s">
        <v>83</v>
      </c>
      <c r="S6943" s="7" t="s">
        <v>599</v>
      </c>
      <c r="T6943" s="9" t="s">
        <v>82</v>
      </c>
      <c r="U6943" s="7">
        <v>0.62</v>
      </c>
      <c r="V6943" s="12">
        <f>C6943+2</f>
        <v>40614</v>
      </c>
      <c r="W6943">
        <f>IF(D6943=' Pivot Tables'!$A$4,1,0)</f>
        <v>0</v>
      </c>
      <c r="X6943">
        <f>IF(AND(LEFT(D6943,4)+1=LEFT(' Pivot Tables'!$A$4,4)+0,RIGHT(LEFT(D6943,7),2)=RIGHT(LEFT(' Pivot Tables'!$A$4,7),2)),1,0)</f>
        <v>0</v>
      </c>
      <c r="Y6943" s="6">
        <f>1/COUNTIF(Таблица1[Order ID],Таблица1[[#This Row],[Order ID]])</f>
        <v>1</v>
      </c>
      <c r="Z6943" s="9">
        <f>1/COUNTIFS(Таблица1[Customer Name],Таблица1[[#This Row],[Customer Name]],Таблица1[Order-Year-Month],Таблица1[[#This Row],[Order-Year-Month]])</f>
        <v>1</v>
      </c>
    </row>
    <row r="6944" spans="1:26" x14ac:dyDescent="0.2">
      <c r="A6944" s="6">
        <v>3879</v>
      </c>
      <c r="B6944" s="7">
        <v>27712</v>
      </c>
      <c r="C6944" s="8">
        <f>DATE(2012,12,31)-1033</f>
        <v>40241</v>
      </c>
      <c r="D6944" s="8" t="str">
        <f t="shared" si="129"/>
        <v>2010-03 (март 2010)</v>
      </c>
      <c r="E6944" s="9" t="s">
        <v>21</v>
      </c>
      <c r="F6944" s="7">
        <v>20</v>
      </c>
      <c r="G6944" s="7">
        <v>246.63</v>
      </c>
      <c r="H6944" s="7">
        <v>0.08</v>
      </c>
      <c r="I6944" s="9" t="s">
        <v>22</v>
      </c>
      <c r="J6944" s="10">
        <v>31.54</v>
      </c>
      <c r="K6944" s="11">
        <v>12.28</v>
      </c>
      <c r="L6944" s="11">
        <v>4.8600000000000003</v>
      </c>
      <c r="M6944" s="9" t="s">
        <v>1637</v>
      </c>
      <c r="N6944" s="6" t="s">
        <v>2012</v>
      </c>
      <c r="O6944" s="6" t="s">
        <v>2012</v>
      </c>
      <c r="P6944" s="9" t="s">
        <v>41</v>
      </c>
      <c r="Q6944" s="9" t="s">
        <v>26</v>
      </c>
      <c r="R6944" s="9" t="s">
        <v>61</v>
      </c>
      <c r="S6944" s="7" t="s">
        <v>1226</v>
      </c>
      <c r="T6944" s="9" t="s">
        <v>39</v>
      </c>
      <c r="U6944" s="7">
        <v>0.38</v>
      </c>
      <c r="V6944" s="12">
        <f>C6944+7</f>
        <v>40248</v>
      </c>
      <c r="W6944">
        <f>IF(D6944=' Pivot Tables'!$A$4,1,0)</f>
        <v>0</v>
      </c>
      <c r="X6944">
        <f>IF(AND(LEFT(D6944,4)+1=LEFT(' Pivot Tables'!$A$4,4)+0,RIGHT(LEFT(D6944,7),2)=RIGHT(LEFT(' Pivot Tables'!$A$4,7),2)),1,0)</f>
        <v>0</v>
      </c>
      <c r="Y6944" s="6">
        <f>1/COUNTIF(Таблица1[Order ID],Таблица1[[#This Row],[Order ID]])</f>
        <v>1</v>
      </c>
      <c r="Z6944" s="9">
        <f>1/COUNTIFS(Таблица1[Customer Name],Таблица1[[#This Row],[Customer Name]],Таблица1[Order-Year-Month],Таблица1[[#This Row],[Order-Year-Month]])</f>
        <v>1</v>
      </c>
    </row>
    <row r="6945" spans="1:26" x14ac:dyDescent="0.2">
      <c r="A6945" s="6">
        <v>3880</v>
      </c>
      <c r="B6945" s="7">
        <v>27715</v>
      </c>
      <c r="C6945" s="8">
        <f>DATE(2012,12,31)-469</f>
        <v>40805</v>
      </c>
      <c r="D6945" s="8" t="str">
        <f t="shared" si="129"/>
        <v>2011-09 (сентябрь 2011)</v>
      </c>
      <c r="E6945" s="9" t="s">
        <v>30</v>
      </c>
      <c r="F6945" s="7">
        <v>12</v>
      </c>
      <c r="G6945" s="7">
        <v>94.52</v>
      </c>
      <c r="H6945" s="7">
        <v>0.06</v>
      </c>
      <c r="I6945" s="9" t="s">
        <v>22</v>
      </c>
      <c r="J6945" s="10">
        <v>-36.225000000000001</v>
      </c>
      <c r="K6945" s="11">
        <v>7.45</v>
      </c>
      <c r="L6945" s="11">
        <v>6.28</v>
      </c>
      <c r="M6945" s="9" t="s">
        <v>1556</v>
      </c>
      <c r="N6945" s="6" t="s">
        <v>2012</v>
      </c>
      <c r="O6945" s="6" t="s">
        <v>2012</v>
      </c>
      <c r="P6945" s="9" t="s">
        <v>33</v>
      </c>
      <c r="Q6945" s="9" t="s">
        <v>26</v>
      </c>
      <c r="R6945" s="9" t="s">
        <v>37</v>
      </c>
      <c r="S6945" s="7" t="s">
        <v>1092</v>
      </c>
      <c r="T6945" s="9" t="s">
        <v>39</v>
      </c>
      <c r="U6945" s="7">
        <v>0.4</v>
      </c>
      <c r="V6945" s="12">
        <f>C6945+2</f>
        <v>40807</v>
      </c>
      <c r="W6945">
        <f>IF(D6945=' Pivot Tables'!$A$4,1,0)</f>
        <v>0</v>
      </c>
      <c r="X6945">
        <f>IF(AND(LEFT(D6945,4)+1=LEFT(' Pivot Tables'!$A$4,4)+0,RIGHT(LEFT(D6945,7),2)=RIGHT(LEFT(' Pivot Tables'!$A$4,7),2)),1,0)</f>
        <v>0</v>
      </c>
      <c r="Y6945" s="6">
        <f>1/COUNTIF(Таблица1[Order ID],Таблица1[[#This Row],[Order ID]])</f>
        <v>1</v>
      </c>
      <c r="Z6945" s="9">
        <f>1/COUNTIFS(Таблица1[Customer Name],Таблица1[[#This Row],[Customer Name]],Таблица1[Order-Year-Month],Таблица1[[#This Row],[Order-Year-Month]])</f>
        <v>1</v>
      </c>
    </row>
    <row r="6946" spans="1:26" x14ac:dyDescent="0.2">
      <c r="A6946" s="6">
        <v>3882</v>
      </c>
      <c r="B6946" s="7">
        <v>27744</v>
      </c>
      <c r="C6946" s="8">
        <f>DATE(2012,12,31)-881</f>
        <v>40393</v>
      </c>
      <c r="D6946" s="8" t="str">
        <f t="shared" si="129"/>
        <v>2010-08 (август 2010)</v>
      </c>
      <c r="E6946" s="9" t="s">
        <v>78</v>
      </c>
      <c r="F6946" s="7">
        <v>22</v>
      </c>
      <c r="G6946" s="7">
        <v>106.69</v>
      </c>
      <c r="H6946" s="7">
        <v>0.01</v>
      </c>
      <c r="I6946" s="9" t="s">
        <v>22</v>
      </c>
      <c r="J6946" s="10">
        <v>-76.601500000000001</v>
      </c>
      <c r="K6946" s="11">
        <v>4.54</v>
      </c>
      <c r="L6946" s="11">
        <v>5.83</v>
      </c>
      <c r="M6946" s="9" t="s">
        <v>2056</v>
      </c>
      <c r="N6946" s="6" t="s">
        <v>2012</v>
      </c>
      <c r="O6946" s="6" t="s">
        <v>2012</v>
      </c>
      <c r="P6946" s="9" t="s">
        <v>41</v>
      </c>
      <c r="Q6946" s="9" t="s">
        <v>26</v>
      </c>
      <c r="R6946" s="9" t="s">
        <v>37</v>
      </c>
      <c r="S6946" s="7" t="s">
        <v>1332</v>
      </c>
      <c r="T6946" s="9" t="s">
        <v>39</v>
      </c>
      <c r="U6946" s="7">
        <v>0.36</v>
      </c>
      <c r="V6946" s="12">
        <f>C6946+1</f>
        <v>40394</v>
      </c>
      <c r="W6946">
        <f>IF(D6946=' Pivot Tables'!$A$4,1,0)</f>
        <v>0</v>
      </c>
      <c r="X6946">
        <f>IF(AND(LEFT(D6946,4)+1=LEFT(' Pivot Tables'!$A$4,4)+0,RIGHT(LEFT(D6946,7),2)=RIGHT(LEFT(' Pivot Tables'!$A$4,7),2)),1,0)</f>
        <v>0</v>
      </c>
      <c r="Y6946" s="6">
        <f>1/COUNTIF(Таблица1[Order ID],Таблица1[[#This Row],[Order ID]])</f>
        <v>1</v>
      </c>
      <c r="Z6946" s="9">
        <f>1/COUNTIFS(Таблица1[Customer Name],Таблица1[[#This Row],[Customer Name]],Таблица1[Order-Year-Month],Таблица1[[#This Row],[Order-Year-Month]])</f>
        <v>1</v>
      </c>
    </row>
    <row r="6947" spans="1:26" x14ac:dyDescent="0.2">
      <c r="A6947" s="6">
        <v>3883</v>
      </c>
      <c r="B6947" s="7">
        <v>27745</v>
      </c>
      <c r="C6947" s="8">
        <f>DATE(2012,12,31)-833</f>
        <v>40441</v>
      </c>
      <c r="D6947" s="8" t="str">
        <f t="shared" si="129"/>
        <v>2010-09 (сентябрь 2010)</v>
      </c>
      <c r="E6947" s="9" t="s">
        <v>21</v>
      </c>
      <c r="F6947" s="7">
        <v>41</v>
      </c>
      <c r="G6947" s="7">
        <v>6126.93</v>
      </c>
      <c r="H6947" s="7">
        <v>0.01</v>
      </c>
      <c r="I6947" s="9" t="s">
        <v>31</v>
      </c>
      <c r="J6947" s="10">
        <v>-1704.89</v>
      </c>
      <c r="K6947" s="11">
        <v>146.05000000000001</v>
      </c>
      <c r="L6947" s="11">
        <v>80.2</v>
      </c>
      <c r="M6947" s="9" t="s">
        <v>1491</v>
      </c>
      <c r="N6947" s="6" t="s">
        <v>2012</v>
      </c>
      <c r="O6947" s="6" t="s">
        <v>2012</v>
      </c>
      <c r="P6947" s="9" t="s">
        <v>60</v>
      </c>
      <c r="Q6947" s="9" t="s">
        <v>49</v>
      </c>
      <c r="R6947" s="9" t="s">
        <v>83</v>
      </c>
      <c r="S6947" s="7" t="s">
        <v>1101</v>
      </c>
      <c r="T6947" s="9" t="s">
        <v>82</v>
      </c>
      <c r="U6947" s="7">
        <v>0.71</v>
      </c>
      <c r="V6947" s="12">
        <f>C6947+4</f>
        <v>40445</v>
      </c>
      <c r="W6947">
        <f>IF(D6947=' Pivot Tables'!$A$4,1,0)</f>
        <v>0</v>
      </c>
      <c r="X6947">
        <f>IF(AND(LEFT(D6947,4)+1=LEFT(' Pivot Tables'!$A$4,4)+0,RIGHT(LEFT(D6947,7),2)=RIGHT(LEFT(' Pivot Tables'!$A$4,7),2)),1,0)</f>
        <v>0</v>
      </c>
      <c r="Y6947" s="6">
        <f>1/COUNTIF(Таблица1[Order ID],Таблица1[[#This Row],[Order ID]])</f>
        <v>1</v>
      </c>
      <c r="Z6947" s="9">
        <f>1/COUNTIFS(Таблица1[Customer Name],Таблица1[[#This Row],[Customer Name]],Таблица1[Order-Year-Month],Таблица1[[#This Row],[Order-Year-Month]])</f>
        <v>1</v>
      </c>
    </row>
    <row r="6948" spans="1:26" x14ac:dyDescent="0.2">
      <c r="A6948" s="6">
        <v>3917</v>
      </c>
      <c r="B6948" s="7">
        <v>27936</v>
      </c>
      <c r="C6948" s="8">
        <f>DATE(2012,12,31)-543</f>
        <v>40731</v>
      </c>
      <c r="D6948" s="8" t="str">
        <f t="shared" si="129"/>
        <v>2011-07 (июль 2011)</v>
      </c>
      <c r="E6948" s="9" t="s">
        <v>30</v>
      </c>
      <c r="F6948" s="7">
        <v>3</v>
      </c>
      <c r="G6948" s="7">
        <v>9172.32</v>
      </c>
      <c r="H6948" s="7">
        <v>0.06</v>
      </c>
      <c r="I6948" s="9" t="s">
        <v>31</v>
      </c>
      <c r="J6948" s="10">
        <v>-8570.4483</v>
      </c>
      <c r="K6948" s="11">
        <v>3502.14</v>
      </c>
      <c r="L6948" s="11">
        <v>8.73</v>
      </c>
      <c r="M6948" s="9" t="s">
        <v>1858</v>
      </c>
      <c r="N6948" s="6" t="s">
        <v>2012</v>
      </c>
      <c r="O6948" s="6" t="s">
        <v>2012</v>
      </c>
      <c r="P6948" s="9" t="s">
        <v>33</v>
      </c>
      <c r="Q6948" s="9" t="s">
        <v>42</v>
      </c>
      <c r="R6948" s="9" t="s">
        <v>210</v>
      </c>
      <c r="S6948" s="7" t="s">
        <v>2043</v>
      </c>
      <c r="T6948" s="9" t="s">
        <v>82</v>
      </c>
      <c r="U6948" s="7">
        <v>0.56999999999999995</v>
      </c>
      <c r="V6948" s="12">
        <f>C6948+2</f>
        <v>40733</v>
      </c>
      <c r="W6948">
        <f>IF(D6948=' Pivot Tables'!$A$4,1,0)</f>
        <v>0</v>
      </c>
      <c r="X6948">
        <f>IF(AND(LEFT(D6948,4)+1=LEFT(' Pivot Tables'!$A$4,4)+0,RIGHT(LEFT(D6948,7),2)=RIGHT(LEFT(' Pivot Tables'!$A$4,7),2)),1,0)</f>
        <v>0</v>
      </c>
      <c r="Y6948" s="6">
        <f>1/COUNTIF(Таблица1[Order ID],Таблица1[[#This Row],[Order ID]])</f>
        <v>0.5</v>
      </c>
      <c r="Z6948" s="9">
        <f>1/COUNTIFS(Таблица1[Customer Name],Таблица1[[#This Row],[Customer Name]],Таблица1[Order-Year-Month],Таблица1[[#This Row],[Order-Year-Month]])</f>
        <v>0.5</v>
      </c>
    </row>
    <row r="6949" spans="1:26" x14ac:dyDescent="0.2">
      <c r="A6949" s="6">
        <v>3930</v>
      </c>
      <c r="B6949" s="7">
        <v>28007</v>
      </c>
      <c r="C6949" s="8">
        <f>DATE(2012,12,31)-998</f>
        <v>40276</v>
      </c>
      <c r="D6949" s="8" t="str">
        <f t="shared" si="129"/>
        <v>2010-04 (апрель 2010)</v>
      </c>
      <c r="E6949" s="9" t="s">
        <v>45</v>
      </c>
      <c r="F6949" s="7">
        <v>23</v>
      </c>
      <c r="G6949" s="7">
        <v>128.97</v>
      </c>
      <c r="H6949" s="7">
        <v>0.03</v>
      </c>
      <c r="I6949" s="9" t="s">
        <v>22</v>
      </c>
      <c r="J6949" s="10">
        <v>-1045.25</v>
      </c>
      <c r="K6949" s="11">
        <v>3.48</v>
      </c>
      <c r="L6949" s="11">
        <v>49</v>
      </c>
      <c r="M6949" s="9" t="s">
        <v>1553</v>
      </c>
      <c r="N6949" s="6" t="s">
        <v>2012</v>
      </c>
      <c r="O6949" s="6" t="s">
        <v>2012</v>
      </c>
      <c r="P6949" s="9" t="s">
        <v>25</v>
      </c>
      <c r="Q6949" s="9" t="s">
        <v>26</v>
      </c>
      <c r="R6949" s="9" t="s">
        <v>34</v>
      </c>
      <c r="S6949" s="7" t="s">
        <v>646</v>
      </c>
      <c r="T6949" s="9" t="s">
        <v>29</v>
      </c>
      <c r="U6949" s="7">
        <v>0.59</v>
      </c>
      <c r="V6949" s="12">
        <f>C6949+1</f>
        <v>40277</v>
      </c>
      <c r="W6949">
        <f>IF(D6949=' Pivot Tables'!$A$4,1,0)</f>
        <v>0</v>
      </c>
      <c r="X6949">
        <f>IF(AND(LEFT(D6949,4)+1=LEFT(' Pivot Tables'!$A$4,4)+0,RIGHT(LEFT(D6949,7),2)=RIGHT(LEFT(' Pivot Tables'!$A$4,7),2)),1,0)</f>
        <v>0</v>
      </c>
      <c r="Y6949" s="6">
        <f>1/COUNTIF(Таблица1[Order ID],Таблица1[[#This Row],[Order ID]])</f>
        <v>0.33333333333333331</v>
      </c>
      <c r="Z6949" s="9">
        <f>1/COUNTIFS(Таблица1[Customer Name],Таблица1[[#This Row],[Customer Name]],Таблица1[Order-Year-Month],Таблица1[[#This Row],[Order-Year-Month]])</f>
        <v>0.33333333333333331</v>
      </c>
    </row>
    <row r="6950" spans="1:26" x14ac:dyDescent="0.2">
      <c r="A6950" s="6">
        <v>3931</v>
      </c>
      <c r="B6950" s="7">
        <v>28007</v>
      </c>
      <c r="C6950" s="8">
        <f>DATE(2012,12,31)-998</f>
        <v>40276</v>
      </c>
      <c r="D6950" s="8" t="str">
        <f t="shared" si="129"/>
        <v>2010-04 (апрель 2010)</v>
      </c>
      <c r="E6950" s="9" t="s">
        <v>45</v>
      </c>
      <c r="F6950" s="7">
        <v>20</v>
      </c>
      <c r="G6950" s="7">
        <v>238.77</v>
      </c>
      <c r="H6950" s="7">
        <v>0.02</v>
      </c>
      <c r="I6950" s="9" t="s">
        <v>22</v>
      </c>
      <c r="J6950" s="10">
        <v>-78.81</v>
      </c>
      <c r="K6950" s="11">
        <v>11.66</v>
      </c>
      <c r="L6950" s="11">
        <v>7.95</v>
      </c>
      <c r="M6950" s="9" t="s">
        <v>1553</v>
      </c>
      <c r="N6950" s="6" t="s">
        <v>2012</v>
      </c>
      <c r="O6950" s="6" t="s">
        <v>2012</v>
      </c>
      <c r="P6950" s="9" t="s">
        <v>25</v>
      </c>
      <c r="Q6950" s="9" t="s">
        <v>26</v>
      </c>
      <c r="R6950" s="9" t="s">
        <v>95</v>
      </c>
      <c r="S6950" s="7" t="s">
        <v>555</v>
      </c>
      <c r="T6950" s="9" t="s">
        <v>52</v>
      </c>
      <c r="U6950" s="7">
        <v>0.57999999999999996</v>
      </c>
      <c r="V6950" s="12">
        <f>C6950+1</f>
        <v>40277</v>
      </c>
      <c r="W6950">
        <f>IF(D6950=' Pivot Tables'!$A$4,1,0)</f>
        <v>0</v>
      </c>
      <c r="X6950">
        <f>IF(AND(LEFT(D6950,4)+1=LEFT(' Pivot Tables'!$A$4,4)+0,RIGHT(LEFT(D6950,7),2)=RIGHT(LEFT(' Pivot Tables'!$A$4,7),2)),1,0)</f>
        <v>0</v>
      </c>
      <c r="Y6950" s="6">
        <f>1/COUNTIF(Таблица1[Order ID],Таблица1[[#This Row],[Order ID]])</f>
        <v>0.33333333333333331</v>
      </c>
      <c r="Z6950" s="9">
        <f>1/COUNTIFS(Таблица1[Customer Name],Таблица1[[#This Row],[Customer Name]],Таблица1[Order-Year-Month],Таблица1[[#This Row],[Order-Year-Month]])</f>
        <v>0.33333333333333331</v>
      </c>
    </row>
    <row r="6951" spans="1:26" x14ac:dyDescent="0.2">
      <c r="A6951" s="6">
        <v>3932</v>
      </c>
      <c r="B6951" s="7">
        <v>28007</v>
      </c>
      <c r="C6951" s="8">
        <f>DATE(2012,12,31)-998</f>
        <v>40276</v>
      </c>
      <c r="D6951" s="8" t="str">
        <f t="shared" si="129"/>
        <v>2010-04 (апрель 2010)</v>
      </c>
      <c r="E6951" s="9" t="s">
        <v>45</v>
      </c>
      <c r="F6951" s="7">
        <v>20</v>
      </c>
      <c r="G6951" s="7">
        <v>257.33999999999997</v>
      </c>
      <c r="H6951" s="7">
        <v>0.04</v>
      </c>
      <c r="I6951" s="9" t="s">
        <v>22</v>
      </c>
      <c r="J6951" s="10">
        <v>12.82</v>
      </c>
      <c r="K6951" s="11">
        <v>12.98</v>
      </c>
      <c r="L6951" s="11">
        <v>3.14</v>
      </c>
      <c r="M6951" s="9" t="s">
        <v>1553</v>
      </c>
      <c r="N6951" s="6" t="s">
        <v>2012</v>
      </c>
      <c r="O6951" s="6" t="s">
        <v>2012</v>
      </c>
      <c r="P6951" s="9" t="s">
        <v>25</v>
      </c>
      <c r="Q6951" s="9" t="s">
        <v>26</v>
      </c>
      <c r="R6951" s="9" t="s">
        <v>150</v>
      </c>
      <c r="S6951" s="7" t="s">
        <v>356</v>
      </c>
      <c r="T6951" s="9" t="s">
        <v>52</v>
      </c>
      <c r="U6951" s="7">
        <v>0.6</v>
      </c>
      <c r="V6951" s="12">
        <f>C6951+1</f>
        <v>40277</v>
      </c>
      <c r="W6951">
        <f>IF(D6951=' Pivot Tables'!$A$4,1,0)</f>
        <v>0</v>
      </c>
      <c r="X6951">
        <f>IF(AND(LEFT(D6951,4)+1=LEFT(' Pivot Tables'!$A$4,4)+0,RIGHT(LEFT(D6951,7),2)=RIGHT(LEFT(' Pivot Tables'!$A$4,7),2)),1,0)</f>
        <v>0</v>
      </c>
      <c r="Y6951" s="6">
        <f>1/COUNTIF(Таблица1[Order ID],Таблица1[[#This Row],[Order ID]])</f>
        <v>0.33333333333333331</v>
      </c>
      <c r="Z6951" s="9">
        <f>1/COUNTIFS(Таблица1[Customer Name],Таблица1[[#This Row],[Customer Name]],Таблица1[Order-Year-Month],Таблица1[[#This Row],[Order-Year-Month]])</f>
        <v>0.33333333333333331</v>
      </c>
    </row>
    <row r="6952" spans="1:26" x14ac:dyDescent="0.2">
      <c r="A6952" s="6">
        <v>3944</v>
      </c>
      <c r="B6952" s="7">
        <v>28129</v>
      </c>
      <c r="C6952" s="8">
        <f>DATE(2012,12,31)-340</f>
        <v>40934</v>
      </c>
      <c r="D6952" s="8" t="str">
        <f t="shared" si="129"/>
        <v>2012-01 (январь 2012)</v>
      </c>
      <c r="E6952" s="9" t="s">
        <v>63</v>
      </c>
      <c r="F6952" s="7">
        <v>5</v>
      </c>
      <c r="G6952" s="7">
        <v>107.41</v>
      </c>
      <c r="H6952" s="7">
        <v>0.05</v>
      </c>
      <c r="I6952" s="9" t="s">
        <v>22</v>
      </c>
      <c r="J6952" s="10">
        <v>0.18999999999999773</v>
      </c>
      <c r="K6952" s="11">
        <v>19.98</v>
      </c>
      <c r="L6952" s="11">
        <v>5.86</v>
      </c>
      <c r="M6952" s="9" t="s">
        <v>1472</v>
      </c>
      <c r="N6952" s="6" t="s">
        <v>2012</v>
      </c>
      <c r="O6952" s="6" t="s">
        <v>2012</v>
      </c>
      <c r="P6952" s="9" t="s">
        <v>25</v>
      </c>
      <c r="Q6952" s="9" t="s">
        <v>26</v>
      </c>
      <c r="R6952" s="9" t="s">
        <v>61</v>
      </c>
      <c r="S6952" s="7" t="s">
        <v>1350</v>
      </c>
      <c r="T6952" s="9" t="s">
        <v>39</v>
      </c>
      <c r="U6952" s="7">
        <v>0.38</v>
      </c>
      <c r="V6952" s="12">
        <f>C6952+1</f>
        <v>40935</v>
      </c>
      <c r="W6952">
        <f>IF(D6952=' Pivot Tables'!$A$4,1,0)</f>
        <v>0</v>
      </c>
      <c r="X6952">
        <f>IF(AND(LEFT(D6952,4)+1=LEFT(' Pivot Tables'!$A$4,4)+0,RIGHT(LEFT(D6952,7),2)=RIGHT(LEFT(' Pivot Tables'!$A$4,7),2)),1,0)</f>
        <v>0</v>
      </c>
      <c r="Y6952" s="6">
        <f>1/COUNTIF(Таблица1[Order ID],Таблица1[[#This Row],[Order ID]])</f>
        <v>1</v>
      </c>
      <c r="Z6952" s="9">
        <f>1/COUNTIFS(Таблица1[Customer Name],Таблица1[[#This Row],[Customer Name]],Таблица1[Order-Year-Month],Таблица1[[#This Row],[Order-Year-Month]])</f>
        <v>1</v>
      </c>
    </row>
    <row r="6953" spans="1:26" x14ac:dyDescent="0.2">
      <c r="A6953" s="6">
        <v>3954</v>
      </c>
      <c r="B6953" s="7">
        <v>28224</v>
      </c>
      <c r="C6953" s="8">
        <f>DATE(2012,12,31)-12</f>
        <v>41262</v>
      </c>
      <c r="D6953" s="8" t="str">
        <f t="shared" si="129"/>
        <v>2012-12 (декабрь 2012)</v>
      </c>
      <c r="E6953" s="9" t="s">
        <v>78</v>
      </c>
      <c r="F6953" s="7">
        <v>25</v>
      </c>
      <c r="G6953" s="7">
        <v>163.41</v>
      </c>
      <c r="H6953" s="7">
        <v>7.0000000000000007E-2</v>
      </c>
      <c r="I6953" s="9" t="s">
        <v>22</v>
      </c>
      <c r="J6953" s="10">
        <v>-91.275500000000008</v>
      </c>
      <c r="K6953" s="11">
        <v>6.23</v>
      </c>
      <c r="L6953" s="11">
        <v>6.97</v>
      </c>
      <c r="M6953" s="9" t="s">
        <v>1805</v>
      </c>
      <c r="N6953" s="6" t="s">
        <v>2012</v>
      </c>
      <c r="O6953" s="6" t="s">
        <v>2012</v>
      </c>
      <c r="P6953" s="9" t="s">
        <v>41</v>
      </c>
      <c r="Q6953" s="9" t="s">
        <v>26</v>
      </c>
      <c r="R6953" s="9" t="s">
        <v>37</v>
      </c>
      <c r="S6953" s="7" t="s">
        <v>985</v>
      </c>
      <c r="T6953" s="9" t="s">
        <v>39</v>
      </c>
      <c r="U6953" s="7">
        <v>0.36</v>
      </c>
      <c r="V6953" s="12">
        <f>C6953+1</f>
        <v>41263</v>
      </c>
      <c r="W6953">
        <f>IF(D6953=' Pivot Tables'!$A$4,1,0)</f>
        <v>0</v>
      </c>
      <c r="X6953">
        <f>IF(AND(LEFT(D6953,4)+1=LEFT(' Pivot Tables'!$A$4,4)+0,RIGHT(LEFT(D6953,7),2)=RIGHT(LEFT(' Pivot Tables'!$A$4,7),2)),1,0)</f>
        <v>0</v>
      </c>
      <c r="Y6953" s="6">
        <f>1/COUNTIF(Таблица1[Order ID],Таблица1[[#This Row],[Order ID]])</f>
        <v>1</v>
      </c>
      <c r="Z6953" s="9">
        <f>1/COUNTIFS(Таблица1[Customer Name],Таблица1[[#This Row],[Customer Name]],Таблица1[Order-Year-Month],Таблица1[[#This Row],[Order-Year-Month]])</f>
        <v>1</v>
      </c>
    </row>
    <row r="6954" spans="1:26" x14ac:dyDescent="0.2">
      <c r="A6954" s="6">
        <v>3970</v>
      </c>
      <c r="B6954" s="7">
        <v>28354</v>
      </c>
      <c r="C6954" s="8">
        <f>DATE(2012,12,31)-1375</f>
        <v>39899</v>
      </c>
      <c r="D6954" s="8" t="str">
        <f t="shared" si="129"/>
        <v>2009-03 (март 2009)</v>
      </c>
      <c r="E6954" s="9" t="s">
        <v>21</v>
      </c>
      <c r="F6954" s="7">
        <v>34</v>
      </c>
      <c r="G6954" s="7">
        <v>507.66</v>
      </c>
      <c r="H6954" s="7">
        <v>0.1</v>
      </c>
      <c r="I6954" s="9" t="s">
        <v>22</v>
      </c>
      <c r="J6954" s="10">
        <v>106.71</v>
      </c>
      <c r="K6954" s="11">
        <v>15.98</v>
      </c>
      <c r="L6954" s="11">
        <v>4</v>
      </c>
      <c r="M6954" s="9" t="s">
        <v>2044</v>
      </c>
      <c r="N6954" s="6" t="s">
        <v>2012</v>
      </c>
      <c r="O6954" s="6" t="s">
        <v>2012</v>
      </c>
      <c r="P6954" s="9" t="s">
        <v>41</v>
      </c>
      <c r="Q6954" s="9" t="s">
        <v>42</v>
      </c>
      <c r="R6954" s="9" t="s">
        <v>70</v>
      </c>
      <c r="S6954" s="7" t="s">
        <v>536</v>
      </c>
      <c r="T6954" s="9" t="s">
        <v>39</v>
      </c>
      <c r="U6954" s="7">
        <v>0.37</v>
      </c>
      <c r="V6954" s="12">
        <f>C6954+5</f>
        <v>39904</v>
      </c>
      <c r="W6954">
        <f>IF(D6954=' Pivot Tables'!$A$4,1,0)</f>
        <v>0</v>
      </c>
      <c r="X6954">
        <f>IF(AND(LEFT(D6954,4)+1=LEFT(' Pivot Tables'!$A$4,4)+0,RIGHT(LEFT(D6954,7),2)=RIGHT(LEFT(' Pivot Tables'!$A$4,7),2)),1,0)</f>
        <v>0</v>
      </c>
      <c r="Y6954" s="6">
        <f>1/COUNTIF(Таблица1[Order ID],Таблица1[[#This Row],[Order ID]])</f>
        <v>1</v>
      </c>
      <c r="Z6954" s="9">
        <f>1/COUNTIFS(Таблица1[Customer Name],Таблица1[[#This Row],[Customer Name]],Таблица1[Order-Year-Month],Таблица1[[#This Row],[Order-Year-Month]])</f>
        <v>1</v>
      </c>
    </row>
    <row r="6955" spans="1:26" x14ac:dyDescent="0.2">
      <c r="A6955" s="6">
        <v>3973</v>
      </c>
      <c r="B6955" s="7">
        <v>28387</v>
      </c>
      <c r="C6955" s="8">
        <f>DATE(2012,12,31)-185</f>
        <v>41089</v>
      </c>
      <c r="D6955" s="8" t="str">
        <f t="shared" si="129"/>
        <v>2012-06 (июнь 2012)</v>
      </c>
      <c r="E6955" s="9" t="s">
        <v>45</v>
      </c>
      <c r="F6955" s="7">
        <v>37</v>
      </c>
      <c r="G6955" s="7">
        <v>3212.97</v>
      </c>
      <c r="H6955" s="7">
        <v>0.03</v>
      </c>
      <c r="I6955" s="9" t="s">
        <v>22</v>
      </c>
      <c r="J6955" s="10">
        <v>1125.42</v>
      </c>
      <c r="K6955" s="11">
        <v>83.93</v>
      </c>
      <c r="L6955" s="11">
        <v>19.989999999999998</v>
      </c>
      <c r="M6955" s="9" t="s">
        <v>1498</v>
      </c>
      <c r="N6955" s="6" t="s">
        <v>2012</v>
      </c>
      <c r="O6955" s="6" t="s">
        <v>2012</v>
      </c>
      <c r="P6955" s="9" t="s">
        <v>33</v>
      </c>
      <c r="Q6955" s="9" t="s">
        <v>26</v>
      </c>
      <c r="R6955" s="9" t="s">
        <v>76</v>
      </c>
      <c r="S6955" s="7" t="s">
        <v>821</v>
      </c>
      <c r="T6955" s="9" t="s">
        <v>39</v>
      </c>
      <c r="U6955" s="7">
        <v>0.38</v>
      </c>
      <c r="V6955" s="12">
        <f>C6955+1</f>
        <v>41090</v>
      </c>
      <c r="W6955">
        <f>IF(D6955=' Pivot Tables'!$A$4,1,0)</f>
        <v>0</v>
      </c>
      <c r="X6955">
        <f>IF(AND(LEFT(D6955,4)+1=LEFT(' Pivot Tables'!$A$4,4)+0,RIGHT(LEFT(D6955,7),2)=RIGHT(LEFT(' Pivot Tables'!$A$4,7),2)),1,0)</f>
        <v>0</v>
      </c>
      <c r="Y6955" s="6">
        <f>1/COUNTIF(Таблица1[Order ID],Таблица1[[#This Row],[Order ID]])</f>
        <v>0.5</v>
      </c>
      <c r="Z6955" s="9">
        <f>1/COUNTIFS(Таблица1[Customer Name],Таблица1[[#This Row],[Customer Name]],Таблица1[Order-Year-Month],Таблица1[[#This Row],[Order-Year-Month]])</f>
        <v>0.2</v>
      </c>
    </row>
    <row r="6956" spans="1:26" x14ac:dyDescent="0.2">
      <c r="A6956" s="6">
        <v>3974</v>
      </c>
      <c r="B6956" s="7">
        <v>28387</v>
      </c>
      <c r="C6956" s="8">
        <f>DATE(2012,12,31)-185</f>
        <v>41089</v>
      </c>
      <c r="D6956" s="8" t="str">
        <f t="shared" si="129"/>
        <v>2012-06 (июнь 2012)</v>
      </c>
      <c r="E6956" s="9" t="s">
        <v>45</v>
      </c>
      <c r="F6956" s="7">
        <v>13</v>
      </c>
      <c r="G6956" s="7">
        <v>292.95</v>
      </c>
      <c r="H6956" s="7">
        <v>0.06</v>
      </c>
      <c r="I6956" s="9" t="s">
        <v>22</v>
      </c>
      <c r="J6956" s="10">
        <v>60.36</v>
      </c>
      <c r="K6956" s="11">
        <v>22.84</v>
      </c>
      <c r="L6956" s="11">
        <v>5.47</v>
      </c>
      <c r="M6956" s="9" t="s">
        <v>1498</v>
      </c>
      <c r="N6956" s="6" t="s">
        <v>2012</v>
      </c>
      <c r="O6956" s="6" t="s">
        <v>2012</v>
      </c>
      <c r="P6956" s="9" t="s">
        <v>33</v>
      </c>
      <c r="Q6956" s="9" t="s">
        <v>26</v>
      </c>
      <c r="R6956" s="9" t="s">
        <v>61</v>
      </c>
      <c r="S6956" s="7" t="s">
        <v>326</v>
      </c>
      <c r="T6956" s="9" t="s">
        <v>39</v>
      </c>
      <c r="U6956" s="7">
        <v>0.39</v>
      </c>
      <c r="V6956" s="12">
        <f>C6956+1</f>
        <v>41090</v>
      </c>
      <c r="W6956">
        <f>IF(D6956=' Pivot Tables'!$A$4,1,0)</f>
        <v>0</v>
      </c>
      <c r="X6956">
        <f>IF(AND(LEFT(D6956,4)+1=LEFT(' Pivot Tables'!$A$4,4)+0,RIGHT(LEFT(D6956,7),2)=RIGHT(LEFT(' Pivot Tables'!$A$4,7),2)),1,0)</f>
        <v>0</v>
      </c>
      <c r="Y6956" s="6">
        <f>1/COUNTIF(Таблица1[Order ID],Таблица1[[#This Row],[Order ID]])</f>
        <v>0.5</v>
      </c>
      <c r="Z6956" s="9">
        <f>1/COUNTIFS(Таблица1[Customer Name],Таблица1[[#This Row],[Customer Name]],Таблица1[Order-Year-Month],Таблица1[[#This Row],[Order-Year-Month]])</f>
        <v>0.2</v>
      </c>
    </row>
    <row r="6957" spans="1:26" x14ac:dyDescent="0.2">
      <c r="A6957" s="6">
        <v>3991</v>
      </c>
      <c r="B6957" s="7">
        <v>28485</v>
      </c>
      <c r="C6957" s="8">
        <f>DATE(2012,12,31)-354</f>
        <v>40920</v>
      </c>
      <c r="D6957" s="8" t="str">
        <f t="shared" si="129"/>
        <v>2012-01 (январь 2012)</v>
      </c>
      <c r="E6957" s="9" t="s">
        <v>30</v>
      </c>
      <c r="F6957" s="7">
        <v>12</v>
      </c>
      <c r="G6957" s="7">
        <v>49.18</v>
      </c>
      <c r="H6957" s="7">
        <v>7.0000000000000007E-2</v>
      </c>
      <c r="I6957" s="9" t="s">
        <v>22</v>
      </c>
      <c r="J6957" s="10">
        <v>0.57999999999999996</v>
      </c>
      <c r="K6957" s="11">
        <v>4.28</v>
      </c>
      <c r="L6957" s="11">
        <v>0.94</v>
      </c>
      <c r="M6957" s="9" t="s">
        <v>1482</v>
      </c>
      <c r="N6957" s="6" t="s">
        <v>2012</v>
      </c>
      <c r="O6957" s="6" t="s">
        <v>2012</v>
      </c>
      <c r="P6957" s="9" t="s">
        <v>33</v>
      </c>
      <c r="Q6957" s="9" t="s">
        <v>26</v>
      </c>
      <c r="R6957" s="9" t="s">
        <v>95</v>
      </c>
      <c r="S6957" s="7" t="s">
        <v>540</v>
      </c>
      <c r="T6957" s="9" t="s">
        <v>68</v>
      </c>
      <c r="U6957" s="7">
        <v>0.56000000000000005</v>
      </c>
      <c r="V6957" s="12">
        <f>C6957+0</f>
        <v>40920</v>
      </c>
      <c r="W6957">
        <f>IF(D6957=' Pivot Tables'!$A$4,1,0)</f>
        <v>0</v>
      </c>
      <c r="X6957">
        <f>IF(AND(LEFT(D6957,4)+1=LEFT(' Pivot Tables'!$A$4,4)+0,RIGHT(LEFT(D6957,7),2)=RIGHT(LEFT(' Pivot Tables'!$A$4,7),2)),1,0)</f>
        <v>0</v>
      </c>
      <c r="Y6957" s="6">
        <f>1/COUNTIF(Таблица1[Order ID],Таблица1[[#This Row],[Order ID]])</f>
        <v>1</v>
      </c>
      <c r="Z6957" s="9">
        <f>1/COUNTIFS(Таблица1[Customer Name],Таблица1[[#This Row],[Customer Name]],Таблица1[Order-Year-Month],Таблица1[[#This Row],[Order-Year-Month]])</f>
        <v>1</v>
      </c>
    </row>
    <row r="6958" spans="1:26" x14ac:dyDescent="0.2">
      <c r="A6958" s="6">
        <v>4014</v>
      </c>
      <c r="B6958" s="7">
        <v>28643</v>
      </c>
      <c r="C6958" s="8">
        <f>DATE(2012,12,31)-979</f>
        <v>40295</v>
      </c>
      <c r="D6958" s="8" t="str">
        <f t="shared" si="129"/>
        <v>2010-04 (апрель 2010)</v>
      </c>
      <c r="E6958" s="9" t="s">
        <v>45</v>
      </c>
      <c r="F6958" s="7">
        <v>16</v>
      </c>
      <c r="G6958" s="7">
        <v>659.5</v>
      </c>
      <c r="H6958" s="7">
        <v>0.09</v>
      </c>
      <c r="I6958" s="9" t="s">
        <v>22</v>
      </c>
      <c r="J6958" s="10">
        <v>248.98200000000003</v>
      </c>
      <c r="K6958" s="11">
        <v>41.94</v>
      </c>
      <c r="L6958" s="11">
        <v>2.99</v>
      </c>
      <c r="M6958" s="9" t="s">
        <v>2033</v>
      </c>
      <c r="N6958" s="6" t="s">
        <v>2012</v>
      </c>
      <c r="O6958" s="6" t="s">
        <v>2012</v>
      </c>
      <c r="P6958" s="9" t="s">
        <v>33</v>
      </c>
      <c r="Q6958" s="9" t="s">
        <v>26</v>
      </c>
      <c r="R6958" s="9" t="s">
        <v>37</v>
      </c>
      <c r="S6958" s="7" t="s">
        <v>369</v>
      </c>
      <c r="T6958" s="9" t="s">
        <v>39</v>
      </c>
      <c r="U6958" s="7">
        <v>0.35</v>
      </c>
      <c r="V6958" s="12">
        <f>C6958+1</f>
        <v>40296</v>
      </c>
      <c r="W6958">
        <f>IF(D6958=' Pivot Tables'!$A$4,1,0)</f>
        <v>0</v>
      </c>
      <c r="X6958">
        <f>IF(AND(LEFT(D6958,4)+1=LEFT(' Pivot Tables'!$A$4,4)+0,RIGHT(LEFT(D6958,7),2)=RIGHT(LEFT(' Pivot Tables'!$A$4,7),2)),1,0)</f>
        <v>0</v>
      </c>
      <c r="Y6958" s="6">
        <f>1/COUNTIF(Таблица1[Order ID],Таблица1[[#This Row],[Order ID]])</f>
        <v>1</v>
      </c>
      <c r="Z6958" s="9">
        <f>1/COUNTIFS(Таблица1[Customer Name],Таблица1[[#This Row],[Customer Name]],Таблица1[Order-Year-Month],Таблица1[[#This Row],[Order-Year-Month]])</f>
        <v>1</v>
      </c>
    </row>
    <row r="6959" spans="1:26" x14ac:dyDescent="0.2">
      <c r="A6959" s="6">
        <v>4019</v>
      </c>
      <c r="B6959" s="7">
        <v>28737</v>
      </c>
      <c r="C6959" s="8">
        <f>DATE(2012,12,31)-455</f>
        <v>40819</v>
      </c>
      <c r="D6959" s="8" t="str">
        <f t="shared" si="129"/>
        <v>2011-10 (октябрь 2011)</v>
      </c>
      <c r="E6959" s="9" t="s">
        <v>78</v>
      </c>
      <c r="F6959" s="7">
        <v>50</v>
      </c>
      <c r="G6959" s="7">
        <v>413.37</v>
      </c>
      <c r="H6959" s="7">
        <v>0.04</v>
      </c>
      <c r="I6959" s="9" t="s">
        <v>22</v>
      </c>
      <c r="J6959" s="10">
        <v>-224.41</v>
      </c>
      <c r="K6959" s="11">
        <v>8.4499999999999993</v>
      </c>
      <c r="L6959" s="11">
        <v>7.77</v>
      </c>
      <c r="M6959" s="9" t="s">
        <v>1491</v>
      </c>
      <c r="N6959" s="6" t="s">
        <v>2012</v>
      </c>
      <c r="O6959" s="6" t="s">
        <v>2012</v>
      </c>
      <c r="P6959" s="9" t="s">
        <v>60</v>
      </c>
      <c r="Q6959" s="9" t="s">
        <v>26</v>
      </c>
      <c r="R6959" s="9" t="s">
        <v>150</v>
      </c>
      <c r="S6959" s="7" t="s">
        <v>466</v>
      </c>
      <c r="T6959" s="9" t="s">
        <v>52</v>
      </c>
      <c r="U6959" s="7">
        <v>0.55000000000000004</v>
      </c>
      <c r="V6959" s="12">
        <f>C6959+2</f>
        <v>40821</v>
      </c>
      <c r="W6959">
        <f>IF(D6959=' Pivot Tables'!$A$4,1,0)</f>
        <v>0</v>
      </c>
      <c r="X6959">
        <f>IF(AND(LEFT(D6959,4)+1=LEFT(' Pivot Tables'!$A$4,4)+0,RIGHT(LEFT(D6959,7),2)=RIGHT(LEFT(' Pivot Tables'!$A$4,7),2)),1,0)</f>
        <v>0</v>
      </c>
      <c r="Y6959" s="6">
        <f>1/COUNTIF(Таблица1[Order ID],Таблица1[[#This Row],[Order ID]])</f>
        <v>0.5</v>
      </c>
      <c r="Z6959" s="9">
        <f>1/COUNTIFS(Таблица1[Customer Name],Таблица1[[#This Row],[Customer Name]],Таблица1[Order-Year-Month],Таблица1[[#This Row],[Order-Year-Month]])</f>
        <v>0.5</v>
      </c>
    </row>
    <row r="6960" spans="1:26" x14ac:dyDescent="0.2">
      <c r="A6960" s="6">
        <v>4020</v>
      </c>
      <c r="B6960" s="7">
        <v>28737</v>
      </c>
      <c r="C6960" s="8">
        <f>DATE(2012,12,31)-455</f>
        <v>40819</v>
      </c>
      <c r="D6960" s="8" t="str">
        <f t="shared" si="129"/>
        <v>2011-10 (октябрь 2011)</v>
      </c>
      <c r="E6960" s="9" t="s">
        <v>78</v>
      </c>
      <c r="F6960" s="7">
        <v>17</v>
      </c>
      <c r="G6960" s="7">
        <v>1721.6410000000001</v>
      </c>
      <c r="H6960" s="7">
        <v>0.04</v>
      </c>
      <c r="I6960" s="9" t="s">
        <v>22</v>
      </c>
      <c r="J6960" s="10">
        <v>242.44200000000001</v>
      </c>
      <c r="K6960" s="11">
        <v>115.99</v>
      </c>
      <c r="L6960" s="11">
        <v>4.2300000000000004</v>
      </c>
      <c r="M6960" s="9" t="s">
        <v>1491</v>
      </c>
      <c r="N6960" s="6" t="s">
        <v>2012</v>
      </c>
      <c r="O6960" s="6" t="s">
        <v>2012</v>
      </c>
      <c r="P6960" s="9" t="s">
        <v>60</v>
      </c>
      <c r="Q6960" s="9" t="s">
        <v>42</v>
      </c>
      <c r="R6960" s="9" t="s">
        <v>43</v>
      </c>
      <c r="S6960" s="7" t="s">
        <v>1569</v>
      </c>
      <c r="T6960" s="9" t="s">
        <v>39</v>
      </c>
      <c r="U6960" s="7">
        <v>0.56000000000000005</v>
      </c>
      <c r="V6960" s="12">
        <f>C6960+2</f>
        <v>40821</v>
      </c>
      <c r="W6960">
        <f>IF(D6960=' Pivot Tables'!$A$4,1,0)</f>
        <v>0</v>
      </c>
      <c r="X6960">
        <f>IF(AND(LEFT(D6960,4)+1=LEFT(' Pivot Tables'!$A$4,4)+0,RIGHT(LEFT(D6960,7),2)=RIGHT(LEFT(' Pivot Tables'!$A$4,7),2)),1,0)</f>
        <v>0</v>
      </c>
      <c r="Y6960" s="6">
        <f>1/COUNTIF(Таблица1[Order ID],Таблица1[[#This Row],[Order ID]])</f>
        <v>0.5</v>
      </c>
      <c r="Z6960" s="9">
        <f>1/COUNTIFS(Таблица1[Customer Name],Таблица1[[#This Row],[Customer Name]],Таблица1[Order-Year-Month],Таблица1[[#This Row],[Order-Year-Month]])</f>
        <v>0.5</v>
      </c>
    </row>
    <row r="6961" spans="1:26" x14ac:dyDescent="0.2">
      <c r="A6961" s="6">
        <v>4038</v>
      </c>
      <c r="B6961" s="7">
        <v>28807</v>
      </c>
      <c r="C6961" s="8">
        <f>DATE(2012,12,31)-641</f>
        <v>40633</v>
      </c>
      <c r="D6961" s="8" t="str">
        <f t="shared" si="129"/>
        <v>2011-03 (март 2011)</v>
      </c>
      <c r="E6961" s="9" t="s">
        <v>30</v>
      </c>
      <c r="F6961" s="7">
        <v>9</v>
      </c>
      <c r="G6961" s="7">
        <v>59.35</v>
      </c>
      <c r="H6961" s="7">
        <v>0.02</v>
      </c>
      <c r="I6961" s="9" t="s">
        <v>56</v>
      </c>
      <c r="J6961" s="10">
        <v>-42.61</v>
      </c>
      <c r="K6961" s="11">
        <v>4.9800000000000004</v>
      </c>
      <c r="L6961" s="11">
        <v>8.33</v>
      </c>
      <c r="M6961" s="9" t="s">
        <v>1290</v>
      </c>
      <c r="N6961" s="6" t="s">
        <v>2012</v>
      </c>
      <c r="O6961" s="6" t="s">
        <v>2012</v>
      </c>
      <c r="P6961" s="9" t="s">
        <v>33</v>
      </c>
      <c r="Q6961" s="9" t="s">
        <v>26</v>
      </c>
      <c r="R6961" s="9" t="s">
        <v>61</v>
      </c>
      <c r="S6961" s="7" t="s">
        <v>62</v>
      </c>
      <c r="T6961" s="9" t="s">
        <v>39</v>
      </c>
      <c r="U6961" s="7">
        <v>0.38</v>
      </c>
      <c r="V6961" s="12">
        <f>C6961+1</f>
        <v>40634</v>
      </c>
      <c r="W6961">
        <f>IF(D6961=' Pivot Tables'!$A$4,1,0)</f>
        <v>0</v>
      </c>
      <c r="X6961">
        <f>IF(AND(LEFT(D6961,4)+1=LEFT(' Pivot Tables'!$A$4,4)+0,RIGHT(LEFT(D6961,7),2)=RIGHT(LEFT(' Pivot Tables'!$A$4,7),2)),1,0)</f>
        <v>0</v>
      </c>
      <c r="Y6961" s="6">
        <f>1/COUNTIF(Таблица1[Order ID],Таблица1[[#This Row],[Order ID]])</f>
        <v>1</v>
      </c>
      <c r="Z6961" s="9">
        <f>1/COUNTIFS(Таблица1[Customer Name],Таблица1[[#This Row],[Customer Name]],Таблица1[Order-Year-Month],Таблица1[[#This Row],[Order-Year-Month]])</f>
        <v>1</v>
      </c>
    </row>
    <row r="6962" spans="1:26" x14ac:dyDescent="0.2">
      <c r="A6962" s="6">
        <v>4039</v>
      </c>
      <c r="B6962" s="7">
        <v>28832</v>
      </c>
      <c r="C6962" s="8">
        <f>DATE(2012,12,31)-829</f>
        <v>40445</v>
      </c>
      <c r="D6962" s="8" t="str">
        <f t="shared" si="129"/>
        <v>2010-09 (сентябрь 2010)</v>
      </c>
      <c r="E6962" s="9" t="s">
        <v>63</v>
      </c>
      <c r="F6962" s="7">
        <v>46</v>
      </c>
      <c r="G6962" s="7">
        <v>1500.84</v>
      </c>
      <c r="H6962" s="7">
        <v>0.1</v>
      </c>
      <c r="I6962" s="9" t="s">
        <v>56</v>
      </c>
      <c r="J6962" s="10">
        <v>91.56</v>
      </c>
      <c r="K6962" s="11">
        <v>35.89</v>
      </c>
      <c r="L6962" s="11">
        <v>14.72</v>
      </c>
      <c r="M6962" s="9" t="s">
        <v>2044</v>
      </c>
      <c r="N6962" s="6" t="s">
        <v>2012</v>
      </c>
      <c r="O6962" s="6" t="s">
        <v>2012</v>
      </c>
      <c r="P6962" s="9" t="s">
        <v>41</v>
      </c>
      <c r="Q6962" s="9" t="s">
        <v>26</v>
      </c>
      <c r="R6962" s="9" t="s">
        <v>76</v>
      </c>
      <c r="S6962" s="7" t="s">
        <v>813</v>
      </c>
      <c r="T6962" s="9" t="s">
        <v>39</v>
      </c>
      <c r="U6962" s="7">
        <v>0.4</v>
      </c>
      <c r="V6962" s="12">
        <f>C6962+1</f>
        <v>40446</v>
      </c>
      <c r="W6962">
        <f>IF(D6962=' Pivot Tables'!$A$4,1,0)</f>
        <v>0</v>
      </c>
      <c r="X6962">
        <f>IF(AND(LEFT(D6962,4)+1=LEFT(' Pivot Tables'!$A$4,4)+0,RIGHT(LEFT(D6962,7),2)=RIGHT(LEFT(' Pivot Tables'!$A$4,7),2)),1,0)</f>
        <v>0</v>
      </c>
      <c r="Y6962" s="6">
        <f>1/COUNTIF(Таблица1[Order ID],Таблица1[[#This Row],[Order ID]])</f>
        <v>0.5</v>
      </c>
      <c r="Z6962" s="9">
        <f>1/COUNTIFS(Таблица1[Customer Name],Таблица1[[#This Row],[Customer Name]],Таблица1[Order-Year-Month],Таблица1[[#This Row],[Order-Year-Month]])</f>
        <v>0.5</v>
      </c>
    </row>
    <row r="6963" spans="1:26" x14ac:dyDescent="0.2">
      <c r="A6963" s="6">
        <v>4040</v>
      </c>
      <c r="B6963" s="7">
        <v>28832</v>
      </c>
      <c r="C6963" s="8">
        <f>DATE(2012,12,31)-829</f>
        <v>40445</v>
      </c>
      <c r="D6963" s="8" t="str">
        <f t="shared" si="129"/>
        <v>2010-09 (сентябрь 2010)</v>
      </c>
      <c r="E6963" s="9" t="s">
        <v>63</v>
      </c>
      <c r="F6963" s="7">
        <v>45</v>
      </c>
      <c r="G6963" s="7">
        <v>98.64</v>
      </c>
      <c r="H6963" s="7">
        <v>0.03</v>
      </c>
      <c r="I6963" s="9" t="s">
        <v>22</v>
      </c>
      <c r="J6963" s="10">
        <v>-9.3610000000000007</v>
      </c>
      <c r="K6963" s="11">
        <v>2.08</v>
      </c>
      <c r="L6963" s="11">
        <v>1.49</v>
      </c>
      <c r="M6963" s="9" t="s">
        <v>2044</v>
      </c>
      <c r="N6963" s="6" t="s">
        <v>2012</v>
      </c>
      <c r="O6963" s="6" t="s">
        <v>2012</v>
      </c>
      <c r="P6963" s="9" t="s">
        <v>41</v>
      </c>
      <c r="Q6963" s="9" t="s">
        <v>26</v>
      </c>
      <c r="R6963" s="9" t="s">
        <v>37</v>
      </c>
      <c r="S6963" s="7" t="s">
        <v>779</v>
      </c>
      <c r="T6963" s="9" t="s">
        <v>39</v>
      </c>
      <c r="U6963" s="7">
        <v>0.38</v>
      </c>
      <c r="V6963" s="12">
        <f>C6963+2</f>
        <v>40447</v>
      </c>
      <c r="W6963">
        <f>IF(D6963=' Pivot Tables'!$A$4,1,0)</f>
        <v>0</v>
      </c>
      <c r="X6963">
        <f>IF(AND(LEFT(D6963,4)+1=LEFT(' Pivot Tables'!$A$4,4)+0,RIGHT(LEFT(D6963,7),2)=RIGHT(LEFT(' Pivot Tables'!$A$4,7),2)),1,0)</f>
        <v>0</v>
      </c>
      <c r="Y6963" s="6">
        <f>1/COUNTIF(Таблица1[Order ID],Таблица1[[#This Row],[Order ID]])</f>
        <v>0.5</v>
      </c>
      <c r="Z6963" s="9">
        <f>1/COUNTIFS(Таблица1[Customer Name],Таблица1[[#This Row],[Customer Name]],Таблица1[Order-Year-Month],Таблица1[[#This Row],[Order-Year-Month]])</f>
        <v>0.5</v>
      </c>
    </row>
    <row r="6964" spans="1:26" x14ac:dyDescent="0.2">
      <c r="A6964" s="6">
        <v>4064</v>
      </c>
      <c r="B6964" s="7">
        <v>28933</v>
      </c>
      <c r="C6964" s="8">
        <f>DATE(2012,12,31)-1271</f>
        <v>40003</v>
      </c>
      <c r="D6964" s="8" t="str">
        <f t="shared" si="129"/>
        <v>2009-07 (июль 2009)</v>
      </c>
      <c r="E6964" s="9" t="s">
        <v>78</v>
      </c>
      <c r="F6964" s="7">
        <v>1</v>
      </c>
      <c r="G6964" s="7">
        <v>11.16</v>
      </c>
      <c r="H6964" s="7">
        <v>0.01</v>
      </c>
      <c r="I6964" s="9" t="s">
        <v>22</v>
      </c>
      <c r="J6964" s="10">
        <v>-7.25</v>
      </c>
      <c r="K6964" s="11">
        <v>5.58</v>
      </c>
      <c r="L6964" s="11">
        <v>5.3</v>
      </c>
      <c r="M6964" s="9" t="s">
        <v>1526</v>
      </c>
      <c r="N6964" s="6" t="s">
        <v>2012</v>
      </c>
      <c r="O6964" s="6" t="s">
        <v>2012</v>
      </c>
      <c r="P6964" s="9" t="s">
        <v>41</v>
      </c>
      <c r="Q6964" s="9" t="s">
        <v>26</v>
      </c>
      <c r="R6964" s="9" t="s">
        <v>76</v>
      </c>
      <c r="S6964" s="7" t="s">
        <v>881</v>
      </c>
      <c r="T6964" s="9" t="s">
        <v>39</v>
      </c>
      <c r="U6964" s="7">
        <v>0.35</v>
      </c>
      <c r="V6964" s="12">
        <f>C6964+1</f>
        <v>40004</v>
      </c>
      <c r="W6964">
        <f>IF(D6964=' Pivot Tables'!$A$4,1,0)</f>
        <v>0</v>
      </c>
      <c r="X6964">
        <f>IF(AND(LEFT(D6964,4)+1=LEFT(' Pivot Tables'!$A$4,4)+0,RIGHT(LEFT(D6964,7),2)=RIGHT(LEFT(' Pivot Tables'!$A$4,7),2)),1,0)</f>
        <v>0</v>
      </c>
      <c r="Y6964" s="6">
        <f>1/COUNTIF(Таблица1[Order ID],Таблица1[[#This Row],[Order ID]])</f>
        <v>0.5</v>
      </c>
      <c r="Z6964" s="9">
        <f>1/COUNTIFS(Таблица1[Customer Name],Таблица1[[#This Row],[Customer Name]],Таблица1[Order-Year-Month],Таблица1[[#This Row],[Order-Year-Month]])</f>
        <v>0.5</v>
      </c>
    </row>
    <row r="6965" spans="1:26" x14ac:dyDescent="0.2">
      <c r="A6965" s="6">
        <v>4065</v>
      </c>
      <c r="B6965" s="7">
        <v>28933</v>
      </c>
      <c r="C6965" s="8">
        <f>DATE(2012,12,31)-1271</f>
        <v>40003</v>
      </c>
      <c r="D6965" s="8" t="str">
        <f t="shared" si="129"/>
        <v>2009-07 (июль 2009)</v>
      </c>
      <c r="E6965" s="9" t="s">
        <v>78</v>
      </c>
      <c r="F6965" s="7">
        <v>38</v>
      </c>
      <c r="G6965" s="7">
        <v>156.19999999999999</v>
      </c>
      <c r="H6965" s="7">
        <v>0.03</v>
      </c>
      <c r="I6965" s="9" t="s">
        <v>22</v>
      </c>
      <c r="J6965" s="10">
        <v>43</v>
      </c>
      <c r="K6965" s="11">
        <v>3.98</v>
      </c>
      <c r="L6965" s="11">
        <v>0.7</v>
      </c>
      <c r="M6965" s="9" t="s">
        <v>1526</v>
      </c>
      <c r="N6965" s="6" t="s">
        <v>2012</v>
      </c>
      <c r="O6965" s="6" t="s">
        <v>2012</v>
      </c>
      <c r="P6965" s="9" t="s">
        <v>41</v>
      </c>
      <c r="Q6965" s="9" t="s">
        <v>26</v>
      </c>
      <c r="R6965" s="9" t="s">
        <v>95</v>
      </c>
      <c r="S6965" s="7" t="s">
        <v>1565</v>
      </c>
      <c r="T6965" s="9" t="s">
        <v>68</v>
      </c>
      <c r="U6965" s="7">
        <v>0.52</v>
      </c>
      <c r="V6965" s="12">
        <f>C6965+1</f>
        <v>40004</v>
      </c>
      <c r="W6965">
        <f>IF(D6965=' Pivot Tables'!$A$4,1,0)</f>
        <v>0</v>
      </c>
      <c r="X6965">
        <f>IF(AND(LEFT(D6965,4)+1=LEFT(' Pivot Tables'!$A$4,4)+0,RIGHT(LEFT(D6965,7),2)=RIGHT(LEFT(' Pivot Tables'!$A$4,7),2)),1,0)</f>
        <v>0</v>
      </c>
      <c r="Y6965" s="6">
        <f>1/COUNTIF(Таблица1[Order ID],Таблица1[[#This Row],[Order ID]])</f>
        <v>0.5</v>
      </c>
      <c r="Z6965" s="9">
        <f>1/COUNTIFS(Таблица1[Customer Name],Таблица1[[#This Row],[Customer Name]],Таблица1[Order-Year-Month],Таблица1[[#This Row],[Order-Year-Month]])</f>
        <v>0.5</v>
      </c>
    </row>
    <row r="6966" spans="1:26" x14ac:dyDescent="0.2">
      <c r="A6966" s="6">
        <v>4080</v>
      </c>
      <c r="B6966" s="7">
        <v>29090</v>
      </c>
      <c r="C6966" s="8">
        <f>DATE(2012,12,31)-350</f>
        <v>40924</v>
      </c>
      <c r="D6966" s="8" t="str">
        <f t="shared" si="129"/>
        <v>2012-01 (январь 2012)</v>
      </c>
      <c r="E6966" s="9" t="s">
        <v>63</v>
      </c>
      <c r="F6966" s="7">
        <v>24</v>
      </c>
      <c r="G6966" s="7">
        <v>99.1</v>
      </c>
      <c r="H6966" s="7">
        <v>0.02</v>
      </c>
      <c r="I6966" s="9" t="s">
        <v>22</v>
      </c>
      <c r="J6966" s="10">
        <v>28.42</v>
      </c>
      <c r="K6966" s="11">
        <v>4.13</v>
      </c>
      <c r="L6966" s="11">
        <v>0.99</v>
      </c>
      <c r="M6966" s="9" t="s">
        <v>1467</v>
      </c>
      <c r="N6966" s="6" t="s">
        <v>2012</v>
      </c>
      <c r="O6966" s="6" t="s">
        <v>2012</v>
      </c>
      <c r="P6966" s="9" t="s">
        <v>33</v>
      </c>
      <c r="Q6966" s="9" t="s">
        <v>26</v>
      </c>
      <c r="R6966" s="9" t="s">
        <v>88</v>
      </c>
      <c r="S6966" s="7" t="s">
        <v>492</v>
      </c>
      <c r="T6966" s="9" t="s">
        <v>39</v>
      </c>
      <c r="U6966" s="7">
        <v>0.39</v>
      </c>
      <c r="V6966" s="12">
        <f>C6966+1</f>
        <v>40925</v>
      </c>
      <c r="W6966">
        <f>IF(D6966=' Pivot Tables'!$A$4,1,0)</f>
        <v>0</v>
      </c>
      <c r="X6966">
        <f>IF(AND(LEFT(D6966,4)+1=LEFT(' Pivot Tables'!$A$4,4)+0,RIGHT(LEFT(D6966,7),2)=RIGHT(LEFT(' Pivot Tables'!$A$4,7),2)),1,0)</f>
        <v>0</v>
      </c>
      <c r="Y6966" s="6">
        <f>1/COUNTIF(Таблица1[Order ID],Таблица1[[#This Row],[Order ID]])</f>
        <v>0.5</v>
      </c>
      <c r="Z6966" s="9">
        <f>1/COUNTIFS(Таблица1[Customer Name],Таблица1[[#This Row],[Customer Name]],Таблица1[Order-Year-Month],Таблица1[[#This Row],[Order-Year-Month]])</f>
        <v>0.5</v>
      </c>
    </row>
    <row r="6967" spans="1:26" x14ac:dyDescent="0.2">
      <c r="A6967" s="6">
        <v>4081</v>
      </c>
      <c r="B6967" s="7">
        <v>29090</v>
      </c>
      <c r="C6967" s="8">
        <f>DATE(2012,12,31)-350</f>
        <v>40924</v>
      </c>
      <c r="D6967" s="8" t="str">
        <f t="shared" si="129"/>
        <v>2012-01 (январь 2012)</v>
      </c>
      <c r="E6967" s="9" t="s">
        <v>63</v>
      </c>
      <c r="F6967" s="7">
        <v>36</v>
      </c>
      <c r="G6967" s="7">
        <v>380.34</v>
      </c>
      <c r="H6967" s="7">
        <v>0.02</v>
      </c>
      <c r="I6967" s="9" t="s">
        <v>22</v>
      </c>
      <c r="J6967" s="10">
        <v>-108.2</v>
      </c>
      <c r="K6967" s="11">
        <v>10.48</v>
      </c>
      <c r="L6967" s="11">
        <v>6.91</v>
      </c>
      <c r="M6967" s="9" t="s">
        <v>1467</v>
      </c>
      <c r="N6967" s="6" t="s">
        <v>2012</v>
      </c>
      <c r="O6967" s="6" t="s">
        <v>2012</v>
      </c>
      <c r="P6967" s="9" t="s">
        <v>33</v>
      </c>
      <c r="Q6967" s="9" t="s">
        <v>26</v>
      </c>
      <c r="R6967" s="9" t="s">
        <v>27</v>
      </c>
      <c r="S6967" s="7" t="s">
        <v>2022</v>
      </c>
      <c r="T6967" s="9" t="s">
        <v>39</v>
      </c>
      <c r="U6967" s="7">
        <v>0.57999999999999996</v>
      </c>
      <c r="V6967" s="12">
        <f>C6967+0</f>
        <v>40924</v>
      </c>
      <c r="W6967">
        <f>IF(D6967=' Pivot Tables'!$A$4,1,0)</f>
        <v>0</v>
      </c>
      <c r="X6967">
        <f>IF(AND(LEFT(D6967,4)+1=LEFT(' Pivot Tables'!$A$4,4)+0,RIGHT(LEFT(D6967,7),2)=RIGHT(LEFT(' Pivot Tables'!$A$4,7),2)),1,0)</f>
        <v>0</v>
      </c>
      <c r="Y6967" s="6">
        <f>1/COUNTIF(Таблица1[Order ID],Таблица1[[#This Row],[Order ID]])</f>
        <v>0.5</v>
      </c>
      <c r="Z6967" s="9">
        <f>1/COUNTIFS(Таблица1[Customer Name],Таблица1[[#This Row],[Customer Name]],Таблица1[Order-Year-Month],Таблица1[[#This Row],[Order-Year-Month]])</f>
        <v>0.5</v>
      </c>
    </row>
    <row r="6968" spans="1:26" x14ac:dyDescent="0.2">
      <c r="A6968" s="6">
        <v>4107</v>
      </c>
      <c r="B6968" s="7">
        <v>29221</v>
      </c>
      <c r="C6968" s="8">
        <f>DATE(2012,12,31)-216</f>
        <v>41058</v>
      </c>
      <c r="D6968" s="8" t="str">
        <f t="shared" si="129"/>
        <v>2012-05 (май 2012)</v>
      </c>
      <c r="E6968" s="9" t="s">
        <v>30</v>
      </c>
      <c r="F6968" s="7">
        <v>41</v>
      </c>
      <c r="G6968" s="7">
        <v>325.33</v>
      </c>
      <c r="H6968" s="7">
        <v>0</v>
      </c>
      <c r="I6968" s="9" t="s">
        <v>22</v>
      </c>
      <c r="J6968" s="10">
        <v>-41.75</v>
      </c>
      <c r="K6968" s="11">
        <v>7.64</v>
      </c>
      <c r="L6968" s="11">
        <v>5.83</v>
      </c>
      <c r="M6968" s="9" t="s">
        <v>1474</v>
      </c>
      <c r="N6968" s="6" t="s">
        <v>2012</v>
      </c>
      <c r="O6968" s="6" t="s">
        <v>2012</v>
      </c>
      <c r="P6968" s="9" t="s">
        <v>33</v>
      </c>
      <c r="Q6968" s="9" t="s">
        <v>26</v>
      </c>
      <c r="R6968" s="9" t="s">
        <v>61</v>
      </c>
      <c r="S6968" s="7" t="s">
        <v>371</v>
      </c>
      <c r="T6968" s="9" t="s">
        <v>68</v>
      </c>
      <c r="U6968" s="7">
        <v>0.36</v>
      </c>
      <c r="V6968" s="12">
        <f>C6968+3</f>
        <v>41061</v>
      </c>
      <c r="W6968">
        <f>IF(D6968=' Pivot Tables'!$A$4,1,0)</f>
        <v>0</v>
      </c>
      <c r="X6968">
        <f>IF(AND(LEFT(D6968,4)+1=LEFT(' Pivot Tables'!$A$4,4)+0,RIGHT(LEFT(D6968,7),2)=RIGHT(LEFT(' Pivot Tables'!$A$4,7),2)),1,0)</f>
        <v>0</v>
      </c>
      <c r="Y6968" s="6">
        <f>1/COUNTIF(Таблица1[Order ID],Таблица1[[#This Row],[Order ID]])</f>
        <v>1</v>
      </c>
      <c r="Z6968" s="9">
        <f>1/COUNTIFS(Таблица1[Customer Name],Таблица1[[#This Row],[Customer Name]],Таблица1[Order-Year-Month],Таблица1[[#This Row],[Order-Year-Month]])</f>
        <v>1</v>
      </c>
    </row>
    <row r="6969" spans="1:26" x14ac:dyDescent="0.2">
      <c r="A6969" s="6">
        <v>4116</v>
      </c>
      <c r="B6969" s="7">
        <v>29284</v>
      </c>
      <c r="C6969" s="8">
        <f>DATE(2012,12,31)-1361</f>
        <v>39913</v>
      </c>
      <c r="D6969" s="8" t="str">
        <f t="shared" si="129"/>
        <v>2009-04 (апрель 2009)</v>
      </c>
      <c r="E6969" s="9" t="s">
        <v>63</v>
      </c>
      <c r="F6969" s="7">
        <v>20</v>
      </c>
      <c r="G6969" s="7">
        <v>6449.0560000000005</v>
      </c>
      <c r="H6969" s="7">
        <v>0.01</v>
      </c>
      <c r="I6969" s="9" t="s">
        <v>31</v>
      </c>
      <c r="J6969" s="10">
        <v>1116.02</v>
      </c>
      <c r="K6969" s="11">
        <v>400.98</v>
      </c>
      <c r="L6969" s="11">
        <v>42.52</v>
      </c>
      <c r="M6969" s="9" t="s">
        <v>1590</v>
      </c>
      <c r="N6969" s="6" t="s">
        <v>2012</v>
      </c>
      <c r="O6969" s="6" t="s">
        <v>2012</v>
      </c>
      <c r="P6969" s="9" t="s">
        <v>60</v>
      </c>
      <c r="Q6969" s="9" t="s">
        <v>49</v>
      </c>
      <c r="R6969" s="9" t="s">
        <v>83</v>
      </c>
      <c r="S6969" s="7" t="s">
        <v>1136</v>
      </c>
      <c r="T6969" s="9" t="s">
        <v>82</v>
      </c>
      <c r="U6969" s="7">
        <v>0.71</v>
      </c>
      <c r="V6969" s="12">
        <f>C6969+2</f>
        <v>39915</v>
      </c>
      <c r="W6969">
        <f>IF(D6969=' Pivot Tables'!$A$4,1,0)</f>
        <v>0</v>
      </c>
      <c r="X6969">
        <f>IF(AND(LEFT(D6969,4)+1=LEFT(' Pivot Tables'!$A$4,4)+0,RIGHT(LEFT(D6969,7),2)=RIGHT(LEFT(' Pivot Tables'!$A$4,7),2)),1,0)</f>
        <v>0</v>
      </c>
      <c r="Y6969" s="6">
        <f>1/COUNTIF(Таблица1[Order ID],Таблица1[[#This Row],[Order ID]])</f>
        <v>1</v>
      </c>
      <c r="Z6969" s="9">
        <f>1/COUNTIFS(Таблица1[Customer Name],Таблица1[[#This Row],[Customer Name]],Таблица1[Order-Year-Month],Таблица1[[#This Row],[Order-Year-Month]])</f>
        <v>1</v>
      </c>
    </row>
    <row r="6970" spans="1:26" x14ac:dyDescent="0.2">
      <c r="A6970" s="6">
        <v>4159</v>
      </c>
      <c r="B6970" s="7">
        <v>29505</v>
      </c>
      <c r="C6970" s="8">
        <f>DATE(2012,12,31)-4</f>
        <v>41270</v>
      </c>
      <c r="D6970" s="8" t="str">
        <f t="shared" si="129"/>
        <v>2012-12 (декабрь 2012)</v>
      </c>
      <c r="E6970" s="9" t="s">
        <v>63</v>
      </c>
      <c r="F6970" s="7">
        <v>22</v>
      </c>
      <c r="G6970" s="7">
        <v>45.21</v>
      </c>
      <c r="H6970" s="7">
        <v>0.02</v>
      </c>
      <c r="I6970" s="9" t="s">
        <v>56</v>
      </c>
      <c r="J6970" s="10">
        <v>4.6100000000000003</v>
      </c>
      <c r="K6970" s="11">
        <v>1.76</v>
      </c>
      <c r="L6970" s="11">
        <v>0.7</v>
      </c>
      <c r="M6970" s="9" t="s">
        <v>1491</v>
      </c>
      <c r="N6970" s="6" t="s">
        <v>2012</v>
      </c>
      <c r="O6970" s="6" t="s">
        <v>2012</v>
      </c>
      <c r="P6970" s="9" t="s">
        <v>60</v>
      </c>
      <c r="Q6970" s="9" t="s">
        <v>26</v>
      </c>
      <c r="R6970" s="9" t="s">
        <v>95</v>
      </c>
      <c r="S6970" s="7" t="s">
        <v>193</v>
      </c>
      <c r="T6970" s="9" t="s">
        <v>68</v>
      </c>
      <c r="U6970" s="7">
        <v>0.56000000000000005</v>
      </c>
      <c r="V6970" s="12">
        <f>C6970+1</f>
        <v>41271</v>
      </c>
      <c r="W6970">
        <f>IF(D6970=' Pivot Tables'!$A$4,1,0)</f>
        <v>0</v>
      </c>
      <c r="X6970">
        <f>IF(AND(LEFT(D6970,4)+1=LEFT(' Pivot Tables'!$A$4,4)+0,RIGHT(LEFT(D6970,7),2)=RIGHT(LEFT(' Pivot Tables'!$A$4,7),2)),1,0)</f>
        <v>0</v>
      </c>
      <c r="Y6970" s="6">
        <f>1/COUNTIF(Таблица1[Order ID],Таблица1[[#This Row],[Order ID]])</f>
        <v>1</v>
      </c>
      <c r="Z6970" s="9">
        <f>1/COUNTIFS(Таблица1[Customer Name],Таблица1[[#This Row],[Customer Name]],Таблица1[Order-Year-Month],Таблица1[[#This Row],[Order-Year-Month]])</f>
        <v>1</v>
      </c>
    </row>
    <row r="6971" spans="1:26" x14ac:dyDescent="0.2">
      <c r="A6971" s="6">
        <v>4198</v>
      </c>
      <c r="B6971" s="7">
        <v>29831</v>
      </c>
      <c r="C6971" s="8">
        <f>DATE(2012,12,31)-277</f>
        <v>40997</v>
      </c>
      <c r="D6971" s="8" t="str">
        <f t="shared" si="129"/>
        <v>2012-03 (март 2012)</v>
      </c>
      <c r="E6971" s="9" t="s">
        <v>78</v>
      </c>
      <c r="F6971" s="7">
        <v>29</v>
      </c>
      <c r="G6971" s="7">
        <v>2175.2199999999998</v>
      </c>
      <c r="H6971" s="7">
        <v>0</v>
      </c>
      <c r="I6971" s="9" t="s">
        <v>31</v>
      </c>
      <c r="J6971" s="10">
        <v>-520.54999999999995</v>
      </c>
      <c r="K6971" s="11">
        <v>68.81</v>
      </c>
      <c r="L6971" s="11">
        <v>60</v>
      </c>
      <c r="M6971" s="9" t="s">
        <v>1506</v>
      </c>
      <c r="N6971" s="6" t="s">
        <v>2012</v>
      </c>
      <c r="O6971" s="6" t="s">
        <v>2012</v>
      </c>
      <c r="P6971" s="9" t="s">
        <v>25</v>
      </c>
      <c r="Q6971" s="9" t="s">
        <v>26</v>
      </c>
      <c r="R6971" s="9" t="s">
        <v>34</v>
      </c>
      <c r="S6971" s="7" t="s">
        <v>605</v>
      </c>
      <c r="T6971" s="9" t="s">
        <v>36</v>
      </c>
      <c r="U6971" s="7">
        <v>0.41</v>
      </c>
      <c r="V6971" s="12">
        <f>C6971+1</f>
        <v>40998</v>
      </c>
      <c r="W6971">
        <f>IF(D6971=' Pivot Tables'!$A$4,1,0)</f>
        <v>0</v>
      </c>
      <c r="X6971">
        <f>IF(AND(LEFT(D6971,4)+1=LEFT(' Pivot Tables'!$A$4,4)+0,RIGHT(LEFT(D6971,7),2)=RIGHT(LEFT(' Pivot Tables'!$A$4,7),2)),1,0)</f>
        <v>0</v>
      </c>
      <c r="Y6971" s="6">
        <f>1/COUNTIF(Таблица1[Order ID],Таблица1[[#This Row],[Order ID]])</f>
        <v>1</v>
      </c>
      <c r="Z6971" s="9">
        <f>1/COUNTIFS(Таблица1[Customer Name],Таблица1[[#This Row],[Customer Name]],Таблица1[Order-Year-Month],Таблица1[[#This Row],[Order-Year-Month]])</f>
        <v>1</v>
      </c>
    </row>
    <row r="6972" spans="1:26" x14ac:dyDescent="0.2">
      <c r="A6972" s="6">
        <v>4309</v>
      </c>
      <c r="B6972" s="7">
        <v>30720</v>
      </c>
      <c r="C6972" s="8">
        <f>DATE(2012,12,31)-95</f>
        <v>41179</v>
      </c>
      <c r="D6972" s="8" t="str">
        <f t="shared" si="129"/>
        <v>2012-09 (сентябрь 2012)</v>
      </c>
      <c r="E6972" s="9" t="s">
        <v>21</v>
      </c>
      <c r="F6972" s="7">
        <v>5</v>
      </c>
      <c r="G6972" s="7">
        <v>32.770000000000003</v>
      </c>
      <c r="H6972" s="7">
        <v>7.0000000000000007E-2</v>
      </c>
      <c r="I6972" s="9" t="s">
        <v>22</v>
      </c>
      <c r="J6972" s="10">
        <v>-17.192499999999999</v>
      </c>
      <c r="K6972" s="11">
        <v>5.74</v>
      </c>
      <c r="L6972" s="11">
        <v>5.01</v>
      </c>
      <c r="M6972" s="9" t="s">
        <v>1581</v>
      </c>
      <c r="N6972" s="6" t="s">
        <v>2012</v>
      </c>
      <c r="O6972" s="6" t="s">
        <v>2012</v>
      </c>
      <c r="P6972" s="9" t="s">
        <v>25</v>
      </c>
      <c r="Q6972" s="9" t="s">
        <v>26</v>
      </c>
      <c r="R6972" s="9" t="s">
        <v>37</v>
      </c>
      <c r="S6972" s="7" t="s">
        <v>363</v>
      </c>
      <c r="T6972" s="9" t="s">
        <v>39</v>
      </c>
      <c r="U6972" s="7">
        <v>0.39</v>
      </c>
      <c r="V6972" s="12">
        <f>C6972+7</f>
        <v>41186</v>
      </c>
      <c r="W6972">
        <f>IF(D6972=' Pivot Tables'!$A$4,1,0)</f>
        <v>0</v>
      </c>
      <c r="X6972">
        <f>IF(AND(LEFT(D6972,4)+1=LEFT(' Pivot Tables'!$A$4,4)+0,RIGHT(LEFT(D6972,7),2)=RIGHT(LEFT(' Pivot Tables'!$A$4,7),2)),1,0)</f>
        <v>0</v>
      </c>
      <c r="Y6972" s="6">
        <f>1/COUNTIF(Таблица1[Order ID],Таблица1[[#This Row],[Order ID]])</f>
        <v>0.33333333333333331</v>
      </c>
      <c r="Z6972" s="9">
        <f>1/COUNTIFS(Таблица1[Customer Name],Таблица1[[#This Row],[Customer Name]],Таблица1[Order-Year-Month],Таблица1[[#This Row],[Order-Year-Month]])</f>
        <v>0.33333333333333331</v>
      </c>
    </row>
    <row r="6973" spans="1:26" x14ac:dyDescent="0.2">
      <c r="A6973" s="6">
        <v>4310</v>
      </c>
      <c r="B6973" s="7">
        <v>30720</v>
      </c>
      <c r="C6973" s="8">
        <f>DATE(2012,12,31)-95</f>
        <v>41179</v>
      </c>
      <c r="D6973" s="8" t="str">
        <f t="shared" si="129"/>
        <v>2012-09 (сентябрь 2012)</v>
      </c>
      <c r="E6973" s="9" t="s">
        <v>21</v>
      </c>
      <c r="F6973" s="7">
        <v>37</v>
      </c>
      <c r="G6973" s="7">
        <v>1701.53</v>
      </c>
      <c r="H6973" s="7">
        <v>0.01</v>
      </c>
      <c r="I6973" s="9" t="s">
        <v>56</v>
      </c>
      <c r="J6973" s="10">
        <v>735.99</v>
      </c>
      <c r="K6973" s="11">
        <v>43.98</v>
      </c>
      <c r="L6973" s="11">
        <v>1.99</v>
      </c>
      <c r="M6973" s="9" t="s">
        <v>1581</v>
      </c>
      <c r="N6973" s="6" t="s">
        <v>2012</v>
      </c>
      <c r="O6973" s="6" t="s">
        <v>2012</v>
      </c>
      <c r="P6973" s="9" t="s">
        <v>25</v>
      </c>
      <c r="Q6973" s="9" t="s">
        <v>42</v>
      </c>
      <c r="R6973" s="9" t="s">
        <v>70</v>
      </c>
      <c r="S6973" s="7" t="s">
        <v>246</v>
      </c>
      <c r="T6973" s="9" t="s">
        <v>52</v>
      </c>
      <c r="U6973" s="7">
        <v>0.44</v>
      </c>
      <c r="V6973" s="12">
        <f>C6973+7</f>
        <v>41186</v>
      </c>
      <c r="W6973">
        <f>IF(D6973=' Pivot Tables'!$A$4,1,0)</f>
        <v>0</v>
      </c>
      <c r="X6973">
        <f>IF(AND(LEFT(D6973,4)+1=LEFT(' Pivot Tables'!$A$4,4)+0,RIGHT(LEFT(D6973,7),2)=RIGHT(LEFT(' Pivot Tables'!$A$4,7),2)),1,0)</f>
        <v>0</v>
      </c>
      <c r="Y6973" s="6">
        <f>1/COUNTIF(Таблица1[Order ID],Таблица1[[#This Row],[Order ID]])</f>
        <v>0.33333333333333331</v>
      </c>
      <c r="Z6973" s="9">
        <f>1/COUNTIFS(Таблица1[Customer Name],Таблица1[[#This Row],[Customer Name]],Таблица1[Order-Year-Month],Таблица1[[#This Row],[Order-Year-Month]])</f>
        <v>0.33333333333333331</v>
      </c>
    </row>
    <row r="6974" spans="1:26" x14ac:dyDescent="0.2">
      <c r="A6974" s="6">
        <v>4318</v>
      </c>
      <c r="B6974" s="7">
        <v>30759</v>
      </c>
      <c r="C6974" s="8">
        <f>DATE(2012,12,31)-1333</f>
        <v>39941</v>
      </c>
      <c r="D6974" s="8" t="str">
        <f t="shared" si="129"/>
        <v>2009-05 (май 2009)</v>
      </c>
      <c r="E6974" s="9" t="s">
        <v>45</v>
      </c>
      <c r="F6974" s="7">
        <v>2</v>
      </c>
      <c r="G6974" s="7">
        <v>64.790000000000006</v>
      </c>
      <c r="H6974" s="7">
        <v>0.03</v>
      </c>
      <c r="I6974" s="9" t="s">
        <v>22</v>
      </c>
      <c r="J6974" s="10">
        <v>-41.32</v>
      </c>
      <c r="K6974" s="11">
        <v>29.34</v>
      </c>
      <c r="L6974" s="11">
        <v>7.87</v>
      </c>
      <c r="M6974" s="9" t="s">
        <v>1491</v>
      </c>
      <c r="N6974" s="6" t="s">
        <v>2012</v>
      </c>
      <c r="O6974" s="6" t="s">
        <v>2012</v>
      </c>
      <c r="P6974" s="9" t="s">
        <v>41</v>
      </c>
      <c r="Q6974" s="9" t="s">
        <v>49</v>
      </c>
      <c r="R6974" s="9" t="s">
        <v>50</v>
      </c>
      <c r="S6974" s="7" t="s">
        <v>1347</v>
      </c>
      <c r="T6974" s="9" t="s">
        <v>39</v>
      </c>
      <c r="U6974" s="7">
        <v>0.54</v>
      </c>
      <c r="V6974" s="12">
        <f>C6974+2</f>
        <v>39943</v>
      </c>
      <c r="W6974">
        <f>IF(D6974=' Pivot Tables'!$A$4,1,0)</f>
        <v>0</v>
      </c>
      <c r="X6974">
        <f>IF(AND(LEFT(D6974,4)+1=LEFT(' Pivot Tables'!$A$4,4)+0,RIGHT(LEFT(D6974,7),2)=RIGHT(LEFT(' Pivot Tables'!$A$4,7),2)),1,0)</f>
        <v>0</v>
      </c>
      <c r="Y6974" s="6">
        <f>1/COUNTIF(Таблица1[Order ID],Таблица1[[#This Row],[Order ID]])</f>
        <v>1</v>
      </c>
      <c r="Z6974" s="9">
        <f>1/COUNTIFS(Таблица1[Customer Name],Таблица1[[#This Row],[Customer Name]],Таблица1[Order-Year-Month],Таблица1[[#This Row],[Order-Year-Month]])</f>
        <v>0.25</v>
      </c>
    </row>
    <row r="6975" spans="1:26" x14ac:dyDescent="0.2">
      <c r="A6975" s="6">
        <v>4327</v>
      </c>
      <c r="B6975" s="7">
        <v>30848</v>
      </c>
      <c r="C6975" s="8">
        <f>DATE(2012,12,31)-610</f>
        <v>40664</v>
      </c>
      <c r="D6975" s="8" t="str">
        <f t="shared" si="129"/>
        <v>2011-05 (май 2011)</v>
      </c>
      <c r="E6975" s="9" t="s">
        <v>63</v>
      </c>
      <c r="F6975" s="7">
        <v>13</v>
      </c>
      <c r="G6975" s="7">
        <v>4324.29</v>
      </c>
      <c r="H6975" s="7">
        <v>0.09</v>
      </c>
      <c r="I6975" s="9" t="s">
        <v>31</v>
      </c>
      <c r="J6975" s="10">
        <v>298.83</v>
      </c>
      <c r="K6975" s="11">
        <v>348.21</v>
      </c>
      <c r="L6975" s="11">
        <v>40.19</v>
      </c>
      <c r="M6975" s="9" t="s">
        <v>1637</v>
      </c>
      <c r="N6975" s="6" t="s">
        <v>2012</v>
      </c>
      <c r="O6975" s="6" t="s">
        <v>2012</v>
      </c>
      <c r="P6975" s="9" t="s">
        <v>41</v>
      </c>
      <c r="Q6975" s="9" t="s">
        <v>49</v>
      </c>
      <c r="R6975" s="9" t="s">
        <v>83</v>
      </c>
      <c r="S6975" s="7" t="s">
        <v>599</v>
      </c>
      <c r="T6975" s="9" t="s">
        <v>82</v>
      </c>
      <c r="U6975" s="7">
        <v>0.62</v>
      </c>
      <c r="V6975" s="12">
        <f>C6975+2</f>
        <v>40666</v>
      </c>
      <c r="W6975">
        <f>IF(D6975=' Pivot Tables'!$A$4,1,0)</f>
        <v>0</v>
      </c>
      <c r="X6975">
        <f>IF(AND(LEFT(D6975,4)+1=LEFT(' Pivot Tables'!$A$4,4)+0,RIGHT(LEFT(D6975,7),2)=RIGHT(LEFT(' Pivot Tables'!$A$4,7),2)),1,0)</f>
        <v>0</v>
      </c>
      <c r="Y6975" s="6">
        <f>1/COUNTIF(Таблица1[Order ID],Таблица1[[#This Row],[Order ID]])</f>
        <v>1</v>
      </c>
      <c r="Z6975" s="9">
        <f>1/COUNTIFS(Таблица1[Customer Name],Таблица1[[#This Row],[Customer Name]],Таблица1[Order-Year-Month],Таблица1[[#This Row],[Order-Year-Month]])</f>
        <v>1</v>
      </c>
    </row>
    <row r="6976" spans="1:26" x14ac:dyDescent="0.2">
      <c r="A6976" s="6">
        <v>4334</v>
      </c>
      <c r="B6976" s="7">
        <v>30885</v>
      </c>
      <c r="C6976" s="8">
        <f>DATE(2012,12,31)-924</f>
        <v>40350</v>
      </c>
      <c r="D6976" s="8" t="str">
        <f t="shared" si="129"/>
        <v>2010-06 (июнь 2010)</v>
      </c>
      <c r="E6976" s="9" t="s">
        <v>30</v>
      </c>
      <c r="F6976" s="7">
        <v>24</v>
      </c>
      <c r="G6976" s="7">
        <v>234.24</v>
      </c>
      <c r="H6976" s="7">
        <v>0.09</v>
      </c>
      <c r="I6976" s="9" t="s">
        <v>22</v>
      </c>
      <c r="J6976" s="10">
        <v>-151.80000000000001</v>
      </c>
      <c r="K6976" s="11">
        <v>9.7100000000000009</v>
      </c>
      <c r="L6976" s="11">
        <v>9.4499999999999993</v>
      </c>
      <c r="M6976" s="9" t="s">
        <v>2042</v>
      </c>
      <c r="N6976" s="6" t="s">
        <v>2012</v>
      </c>
      <c r="O6976" s="6" t="s">
        <v>2012</v>
      </c>
      <c r="P6976" s="9" t="s">
        <v>41</v>
      </c>
      <c r="Q6976" s="9" t="s">
        <v>26</v>
      </c>
      <c r="R6976" s="9" t="s">
        <v>27</v>
      </c>
      <c r="S6976" s="7" t="s">
        <v>927</v>
      </c>
      <c r="T6976" s="9" t="s">
        <v>39</v>
      </c>
      <c r="U6976" s="7">
        <v>0.6</v>
      </c>
      <c r="V6976" s="12">
        <f>C6976+1</f>
        <v>40351</v>
      </c>
      <c r="W6976">
        <f>IF(D6976=' Pivot Tables'!$A$4,1,0)</f>
        <v>0</v>
      </c>
      <c r="X6976">
        <f>IF(AND(LEFT(D6976,4)+1=LEFT(' Pivot Tables'!$A$4,4)+0,RIGHT(LEFT(D6976,7),2)=RIGHT(LEFT(' Pivot Tables'!$A$4,7),2)),1,0)</f>
        <v>0</v>
      </c>
      <c r="Y6976" s="6">
        <f>1/COUNTIF(Таблица1[Order ID],Таблица1[[#This Row],[Order ID]])</f>
        <v>1</v>
      </c>
      <c r="Z6976" s="9">
        <f>1/COUNTIFS(Таблица1[Customer Name],Таблица1[[#This Row],[Customer Name]],Таблица1[Order-Year-Month],Таблица1[[#This Row],[Order-Year-Month]])</f>
        <v>1</v>
      </c>
    </row>
    <row r="6977" spans="1:26" x14ac:dyDescent="0.2">
      <c r="A6977" s="6">
        <v>4336</v>
      </c>
      <c r="B6977" s="7">
        <v>30887</v>
      </c>
      <c r="C6977" s="8">
        <f>DATE(2012,12,31)-908</f>
        <v>40366</v>
      </c>
      <c r="D6977" s="8" t="str">
        <f t="shared" si="129"/>
        <v>2010-07 (июль 2010)</v>
      </c>
      <c r="E6977" s="9" t="s">
        <v>78</v>
      </c>
      <c r="F6977" s="7">
        <v>44</v>
      </c>
      <c r="G6977" s="7">
        <v>4357.1170000000002</v>
      </c>
      <c r="H6977" s="7">
        <v>7.0000000000000007E-2</v>
      </c>
      <c r="I6977" s="9" t="s">
        <v>22</v>
      </c>
      <c r="J6977" s="10">
        <v>1192.9769999999999</v>
      </c>
      <c r="K6977" s="11">
        <v>115.99</v>
      </c>
      <c r="L6977" s="11">
        <v>5.92</v>
      </c>
      <c r="M6977" s="9" t="s">
        <v>1491</v>
      </c>
      <c r="N6977" s="6" t="s">
        <v>2012</v>
      </c>
      <c r="O6977" s="6" t="s">
        <v>2012</v>
      </c>
      <c r="P6977" s="9" t="s">
        <v>60</v>
      </c>
      <c r="Q6977" s="9" t="s">
        <v>42</v>
      </c>
      <c r="R6977" s="9" t="s">
        <v>43</v>
      </c>
      <c r="S6977" s="7" t="s">
        <v>977</v>
      </c>
      <c r="T6977" s="9" t="s">
        <v>39</v>
      </c>
      <c r="U6977" s="7">
        <v>0.57999999999999996</v>
      </c>
      <c r="V6977" s="12">
        <f>C6977+0</f>
        <v>40366</v>
      </c>
      <c r="W6977">
        <f>IF(D6977=' Pivot Tables'!$A$4,1,0)</f>
        <v>0</v>
      </c>
      <c r="X6977">
        <f>IF(AND(LEFT(D6977,4)+1=LEFT(' Pivot Tables'!$A$4,4)+0,RIGHT(LEFT(D6977,7),2)=RIGHT(LEFT(' Pivot Tables'!$A$4,7),2)),1,0)</f>
        <v>0</v>
      </c>
      <c r="Y6977" s="6">
        <f>1/COUNTIF(Таблица1[Order ID],Таблица1[[#This Row],[Order ID]])</f>
        <v>1</v>
      </c>
      <c r="Z6977" s="9">
        <f>1/COUNTIFS(Таблица1[Customer Name],Таблица1[[#This Row],[Customer Name]],Таблица1[Order-Year-Month],Таблица1[[#This Row],[Order-Year-Month]])</f>
        <v>0.5</v>
      </c>
    </row>
    <row r="6978" spans="1:26" x14ac:dyDescent="0.2">
      <c r="A6978" s="6">
        <v>4382</v>
      </c>
      <c r="B6978" s="7">
        <v>31233</v>
      </c>
      <c r="C6978" s="8">
        <f>DATE(2012,12,31)-464</f>
        <v>40810</v>
      </c>
      <c r="D6978" s="8" t="str">
        <f t="shared" si="129"/>
        <v>2011-09 (сентябрь 2011)</v>
      </c>
      <c r="E6978" s="9" t="s">
        <v>21</v>
      </c>
      <c r="F6978" s="7">
        <v>41</v>
      </c>
      <c r="G6978" s="7">
        <v>1298.29</v>
      </c>
      <c r="H6978" s="7">
        <v>0.06</v>
      </c>
      <c r="I6978" s="9" t="s">
        <v>22</v>
      </c>
      <c r="J6978" s="10">
        <v>542.33000000000004</v>
      </c>
      <c r="K6978" s="11">
        <v>31.78</v>
      </c>
      <c r="L6978" s="11">
        <v>1.99</v>
      </c>
      <c r="M6978" s="9" t="s">
        <v>1491</v>
      </c>
      <c r="N6978" s="6" t="s">
        <v>2012</v>
      </c>
      <c r="O6978" s="6" t="s">
        <v>2012</v>
      </c>
      <c r="P6978" s="9" t="s">
        <v>60</v>
      </c>
      <c r="Q6978" s="9" t="s">
        <v>42</v>
      </c>
      <c r="R6978" s="9" t="s">
        <v>70</v>
      </c>
      <c r="S6978" s="7" t="s">
        <v>132</v>
      </c>
      <c r="T6978" s="9" t="s">
        <v>52</v>
      </c>
      <c r="U6978" s="7">
        <v>0.42</v>
      </c>
      <c r="V6978" s="12">
        <f>C6978+4</f>
        <v>40814</v>
      </c>
      <c r="W6978">
        <f>IF(D6978=' Pivot Tables'!$A$4,1,0)</f>
        <v>0</v>
      </c>
      <c r="X6978">
        <f>IF(AND(LEFT(D6978,4)+1=LEFT(' Pivot Tables'!$A$4,4)+0,RIGHT(LEFT(D6978,7),2)=RIGHT(LEFT(' Pivot Tables'!$A$4,7),2)),1,0)</f>
        <v>0</v>
      </c>
      <c r="Y6978" s="6">
        <f>1/COUNTIF(Таблица1[Order ID],Таблица1[[#This Row],[Order ID]])</f>
        <v>0.25</v>
      </c>
      <c r="Z6978" s="9">
        <f>1/COUNTIFS(Таблица1[Customer Name],Таблица1[[#This Row],[Customer Name]],Таблица1[Order-Year-Month],Таблица1[[#This Row],[Order-Year-Month]])</f>
        <v>0.25</v>
      </c>
    </row>
    <row r="6979" spans="1:26" x14ac:dyDescent="0.2">
      <c r="A6979" s="6">
        <v>4383</v>
      </c>
      <c r="B6979" s="7">
        <v>31233</v>
      </c>
      <c r="C6979" s="8">
        <f>DATE(2012,12,31)-464</f>
        <v>40810</v>
      </c>
      <c r="D6979" s="8" t="str">
        <f t="shared" ref="D6979:D7042" si="131">TEXT(C6979,"гггг-ММ (ММММ гггг)")</f>
        <v>2011-09 (сентябрь 2011)</v>
      </c>
      <c r="E6979" s="9" t="s">
        <v>21</v>
      </c>
      <c r="F6979" s="7">
        <v>3</v>
      </c>
      <c r="G6979" s="7">
        <v>19.34</v>
      </c>
      <c r="H6979" s="7">
        <v>0.06</v>
      </c>
      <c r="I6979" s="9" t="s">
        <v>22</v>
      </c>
      <c r="J6979" s="10">
        <v>-11.36</v>
      </c>
      <c r="K6979" s="11">
        <v>4.9800000000000004</v>
      </c>
      <c r="L6979" s="11">
        <v>5.0199999999999996</v>
      </c>
      <c r="M6979" s="9" t="s">
        <v>1491</v>
      </c>
      <c r="N6979" s="6" t="s">
        <v>2012</v>
      </c>
      <c r="O6979" s="6" t="s">
        <v>2012</v>
      </c>
      <c r="P6979" s="9" t="s">
        <v>60</v>
      </c>
      <c r="Q6979" s="9" t="s">
        <v>26</v>
      </c>
      <c r="R6979" s="9" t="s">
        <v>61</v>
      </c>
      <c r="S6979" s="7" t="s">
        <v>702</v>
      </c>
      <c r="T6979" s="9" t="s">
        <v>39</v>
      </c>
      <c r="U6979" s="7">
        <v>0.38</v>
      </c>
      <c r="V6979" s="12">
        <f>C6979+2</f>
        <v>40812</v>
      </c>
      <c r="W6979">
        <f>IF(D6979=' Pivot Tables'!$A$4,1,0)</f>
        <v>0</v>
      </c>
      <c r="X6979">
        <f>IF(AND(LEFT(D6979,4)+1=LEFT(' Pivot Tables'!$A$4,4)+0,RIGHT(LEFT(D6979,7),2)=RIGHT(LEFT(' Pivot Tables'!$A$4,7),2)),1,0)</f>
        <v>0</v>
      </c>
      <c r="Y6979" s="6">
        <f>1/COUNTIF(Таблица1[Order ID],Таблица1[[#This Row],[Order ID]])</f>
        <v>0.25</v>
      </c>
      <c r="Z6979" s="9">
        <f>1/COUNTIFS(Таблица1[Customer Name],Таблица1[[#This Row],[Customer Name]],Таблица1[Order-Year-Month],Таблица1[[#This Row],[Order-Year-Month]])</f>
        <v>0.25</v>
      </c>
    </row>
    <row r="6980" spans="1:26" x14ac:dyDescent="0.2">
      <c r="A6980" s="6">
        <v>4384</v>
      </c>
      <c r="B6980" s="7">
        <v>31233</v>
      </c>
      <c r="C6980" s="8">
        <f>DATE(2012,12,31)-464</f>
        <v>40810</v>
      </c>
      <c r="D6980" s="8" t="str">
        <f t="shared" si="131"/>
        <v>2011-09 (сентябрь 2011)</v>
      </c>
      <c r="E6980" s="9" t="s">
        <v>21</v>
      </c>
      <c r="F6980" s="7">
        <v>35</v>
      </c>
      <c r="G6980" s="7">
        <v>590.32000000000005</v>
      </c>
      <c r="H6980" s="7">
        <v>0.06</v>
      </c>
      <c r="I6980" s="9" t="s">
        <v>22</v>
      </c>
      <c r="J6980" s="10">
        <v>-91.31</v>
      </c>
      <c r="K6980" s="11">
        <v>16.989999999999998</v>
      </c>
      <c r="L6980" s="11">
        <v>8.99</v>
      </c>
      <c r="M6980" s="9" t="s">
        <v>1491</v>
      </c>
      <c r="N6980" s="6" t="s">
        <v>2012</v>
      </c>
      <c r="O6980" s="6" t="s">
        <v>2012</v>
      </c>
      <c r="P6980" s="9" t="s">
        <v>60</v>
      </c>
      <c r="Q6980" s="9" t="s">
        <v>26</v>
      </c>
      <c r="R6980" s="9" t="s">
        <v>95</v>
      </c>
      <c r="S6980" s="7" t="s">
        <v>827</v>
      </c>
      <c r="T6980" s="9" t="s">
        <v>52</v>
      </c>
      <c r="U6980" s="7">
        <v>0.56000000000000005</v>
      </c>
      <c r="V6980" s="12">
        <f>C6980+4</f>
        <v>40814</v>
      </c>
      <c r="W6980">
        <f>IF(D6980=' Pivot Tables'!$A$4,1,0)</f>
        <v>0</v>
      </c>
      <c r="X6980">
        <f>IF(AND(LEFT(D6980,4)+1=LEFT(' Pivot Tables'!$A$4,4)+0,RIGHT(LEFT(D6980,7),2)=RIGHT(LEFT(' Pivot Tables'!$A$4,7),2)),1,0)</f>
        <v>0</v>
      </c>
      <c r="Y6980" s="6">
        <f>1/COUNTIF(Таблица1[Order ID],Таблица1[[#This Row],[Order ID]])</f>
        <v>0.25</v>
      </c>
      <c r="Z6980" s="9">
        <f>1/COUNTIFS(Таблица1[Customer Name],Таблица1[[#This Row],[Customer Name]],Таблица1[Order-Year-Month],Таблица1[[#This Row],[Order-Year-Month]])</f>
        <v>0.25</v>
      </c>
    </row>
    <row r="6981" spans="1:26" x14ac:dyDescent="0.2">
      <c r="A6981" s="6">
        <v>4385</v>
      </c>
      <c r="B6981" s="7">
        <v>31233</v>
      </c>
      <c r="C6981" s="8">
        <f>DATE(2012,12,31)-464</f>
        <v>40810</v>
      </c>
      <c r="D6981" s="8" t="str">
        <f t="shared" si="131"/>
        <v>2011-09 (сентябрь 2011)</v>
      </c>
      <c r="E6981" s="9" t="s">
        <v>21</v>
      </c>
      <c r="F6981" s="7">
        <v>19</v>
      </c>
      <c r="G6981" s="7">
        <v>4245.93</v>
      </c>
      <c r="H6981" s="7">
        <v>0</v>
      </c>
      <c r="I6981" s="9" t="s">
        <v>22</v>
      </c>
      <c r="J6981" s="10">
        <v>-626.45000000000005</v>
      </c>
      <c r="K6981" s="11">
        <v>209.37</v>
      </c>
      <c r="L6981" s="11">
        <v>69</v>
      </c>
      <c r="M6981" s="9" t="s">
        <v>1491</v>
      </c>
      <c r="N6981" s="6" t="s">
        <v>2012</v>
      </c>
      <c r="O6981" s="6" t="s">
        <v>2012</v>
      </c>
      <c r="P6981" s="9" t="s">
        <v>60</v>
      </c>
      <c r="Q6981" s="9" t="s">
        <v>49</v>
      </c>
      <c r="R6981" s="9" t="s">
        <v>83</v>
      </c>
      <c r="S6981" s="7" t="s">
        <v>936</v>
      </c>
      <c r="T6981" s="9" t="s">
        <v>29</v>
      </c>
      <c r="U6981" s="7">
        <v>0.79</v>
      </c>
      <c r="V6981" s="12">
        <f>C6981+9</f>
        <v>40819</v>
      </c>
      <c r="W6981">
        <f>IF(D6981=' Pivot Tables'!$A$4,1,0)</f>
        <v>0</v>
      </c>
      <c r="X6981">
        <f>IF(AND(LEFT(D6981,4)+1=LEFT(' Pivot Tables'!$A$4,4)+0,RIGHT(LEFT(D6981,7),2)=RIGHT(LEFT(' Pivot Tables'!$A$4,7),2)),1,0)</f>
        <v>0</v>
      </c>
      <c r="Y6981" s="6">
        <f>1/COUNTIF(Таблица1[Order ID],Таблица1[[#This Row],[Order ID]])</f>
        <v>0.25</v>
      </c>
      <c r="Z6981" s="9">
        <f>1/COUNTIFS(Таблица1[Customer Name],Таблица1[[#This Row],[Customer Name]],Таблица1[Order-Year-Month],Таблица1[[#This Row],[Order-Year-Month]])</f>
        <v>0.25</v>
      </c>
    </row>
    <row r="6982" spans="1:26" x14ac:dyDescent="0.2">
      <c r="A6982" s="6">
        <v>4410</v>
      </c>
      <c r="B6982" s="7">
        <v>31461</v>
      </c>
      <c r="C6982" s="8">
        <f>DATE(2012,12,31)-553</f>
        <v>40721</v>
      </c>
      <c r="D6982" s="8" t="str">
        <f t="shared" si="131"/>
        <v>2011-06 (июнь 2011)</v>
      </c>
      <c r="E6982" s="9" t="s">
        <v>63</v>
      </c>
      <c r="F6982" s="7">
        <v>26</v>
      </c>
      <c r="G6982" s="7">
        <v>1463.42</v>
      </c>
      <c r="H6982" s="7">
        <v>0.08</v>
      </c>
      <c r="I6982" s="9" t="s">
        <v>22</v>
      </c>
      <c r="J6982" s="10">
        <v>350.82</v>
      </c>
      <c r="K6982" s="11">
        <v>59.98</v>
      </c>
      <c r="L6982" s="11">
        <v>3.99</v>
      </c>
      <c r="M6982" s="9" t="s">
        <v>2027</v>
      </c>
      <c r="N6982" s="6" t="s">
        <v>2012</v>
      </c>
      <c r="O6982" s="6" t="s">
        <v>2012</v>
      </c>
      <c r="P6982" s="9" t="s">
        <v>41</v>
      </c>
      <c r="Q6982" s="9" t="s">
        <v>26</v>
      </c>
      <c r="R6982" s="9" t="s">
        <v>34</v>
      </c>
      <c r="S6982" s="7" t="s">
        <v>448</v>
      </c>
      <c r="T6982" s="9" t="s">
        <v>39</v>
      </c>
      <c r="U6982" s="7">
        <v>0.56999999999999995</v>
      </c>
      <c r="V6982" s="12">
        <f>C6982+2</f>
        <v>40723</v>
      </c>
      <c r="W6982">
        <f>IF(D6982=' Pivot Tables'!$A$4,1,0)</f>
        <v>0</v>
      </c>
      <c r="X6982">
        <f>IF(AND(LEFT(D6982,4)+1=LEFT(' Pivot Tables'!$A$4,4)+0,RIGHT(LEFT(D6982,7),2)=RIGHT(LEFT(' Pivot Tables'!$A$4,7),2)),1,0)</f>
        <v>0</v>
      </c>
      <c r="Y6982" s="6">
        <f>1/COUNTIF(Таблица1[Order ID],Таблица1[[#This Row],[Order ID]])</f>
        <v>1</v>
      </c>
      <c r="Z6982" s="9">
        <f>1/COUNTIFS(Таблица1[Customer Name],Таблица1[[#This Row],[Customer Name]],Таблица1[Order-Year-Month],Таблица1[[#This Row],[Order-Year-Month]])</f>
        <v>1</v>
      </c>
    </row>
    <row r="6983" spans="1:26" x14ac:dyDescent="0.2">
      <c r="A6983" s="6">
        <v>4422</v>
      </c>
      <c r="B6983" s="7">
        <v>31524</v>
      </c>
      <c r="C6983" s="8">
        <f>DATE(2012,12,31)-554</f>
        <v>40720</v>
      </c>
      <c r="D6983" s="8" t="str">
        <f t="shared" si="131"/>
        <v>2011-06 (июнь 2011)</v>
      </c>
      <c r="E6983" s="9" t="s">
        <v>21</v>
      </c>
      <c r="F6983" s="7">
        <v>10</v>
      </c>
      <c r="G6983" s="7">
        <v>1025.8800000000001</v>
      </c>
      <c r="H6983" s="7">
        <v>0.08</v>
      </c>
      <c r="I6983" s="9" t="s">
        <v>31</v>
      </c>
      <c r="J6983" s="10">
        <v>-211.33</v>
      </c>
      <c r="K6983" s="11">
        <v>100.89</v>
      </c>
      <c r="L6983" s="11">
        <v>42</v>
      </c>
      <c r="M6983" s="9" t="s">
        <v>1455</v>
      </c>
      <c r="N6983" s="6" t="s">
        <v>2012</v>
      </c>
      <c r="O6983" s="6" t="s">
        <v>2012</v>
      </c>
      <c r="P6983" s="9" t="s">
        <v>25</v>
      </c>
      <c r="Q6983" s="9" t="s">
        <v>49</v>
      </c>
      <c r="R6983" s="9" t="s">
        <v>112</v>
      </c>
      <c r="S6983" s="7" t="s">
        <v>694</v>
      </c>
      <c r="T6983" s="9" t="s">
        <v>36</v>
      </c>
      <c r="U6983" s="7">
        <v>0.61</v>
      </c>
      <c r="V6983" s="12">
        <f>C6983+2</f>
        <v>40722</v>
      </c>
      <c r="W6983">
        <f>IF(D6983=' Pivot Tables'!$A$4,1,0)</f>
        <v>0</v>
      </c>
      <c r="X6983">
        <f>IF(AND(LEFT(D6983,4)+1=LEFT(' Pivot Tables'!$A$4,4)+0,RIGHT(LEFT(D6983,7),2)=RIGHT(LEFT(' Pivot Tables'!$A$4,7),2)),1,0)</f>
        <v>0</v>
      </c>
      <c r="Y6983" s="6">
        <f>1/COUNTIF(Таблица1[Order ID],Таблица1[[#This Row],[Order ID]])</f>
        <v>1</v>
      </c>
      <c r="Z6983" s="9">
        <f>1/COUNTIFS(Таблица1[Customer Name],Таблица1[[#This Row],[Customer Name]],Таблица1[Order-Year-Month],Таблица1[[#This Row],[Order-Year-Month]])</f>
        <v>1</v>
      </c>
    </row>
    <row r="6984" spans="1:26" x14ac:dyDescent="0.2">
      <c r="A6984" s="6">
        <v>4433</v>
      </c>
      <c r="B6984" s="7">
        <v>31590</v>
      </c>
      <c r="C6984" s="8">
        <f>DATE(2012,12,31)-940</f>
        <v>40334</v>
      </c>
      <c r="D6984" s="8" t="str">
        <f t="shared" si="131"/>
        <v>2010-06 (июнь 2010)</v>
      </c>
      <c r="E6984" s="9" t="s">
        <v>78</v>
      </c>
      <c r="F6984" s="7">
        <v>5</v>
      </c>
      <c r="G6984" s="7">
        <v>43.49</v>
      </c>
      <c r="H6984" s="7">
        <v>0.06</v>
      </c>
      <c r="I6984" s="9" t="s">
        <v>22</v>
      </c>
      <c r="J6984" s="10">
        <v>-21.44</v>
      </c>
      <c r="K6984" s="11">
        <v>8.33</v>
      </c>
      <c r="L6984" s="11">
        <v>1.99</v>
      </c>
      <c r="M6984" s="9" t="s">
        <v>1592</v>
      </c>
      <c r="N6984" s="6" t="s">
        <v>2012</v>
      </c>
      <c r="O6984" s="6" t="s">
        <v>2012</v>
      </c>
      <c r="P6984" s="9" t="s">
        <v>41</v>
      </c>
      <c r="Q6984" s="9" t="s">
        <v>42</v>
      </c>
      <c r="R6984" s="9" t="s">
        <v>70</v>
      </c>
      <c r="S6984" s="7" t="s">
        <v>324</v>
      </c>
      <c r="T6984" s="9" t="s">
        <v>52</v>
      </c>
      <c r="U6984" s="7">
        <v>0.52</v>
      </c>
      <c r="V6984" s="12">
        <f>C6984+1</f>
        <v>40335</v>
      </c>
      <c r="W6984">
        <f>IF(D6984=' Pivot Tables'!$A$4,1,0)</f>
        <v>0</v>
      </c>
      <c r="X6984">
        <f>IF(AND(LEFT(D6984,4)+1=LEFT(' Pivot Tables'!$A$4,4)+0,RIGHT(LEFT(D6984,7),2)=RIGHT(LEFT(' Pivot Tables'!$A$4,7),2)),1,0)</f>
        <v>0</v>
      </c>
      <c r="Y6984" s="6">
        <f>1/COUNTIF(Таблица1[Order ID],Таблица1[[#This Row],[Order ID]])</f>
        <v>0.5</v>
      </c>
      <c r="Z6984" s="9">
        <f>1/COUNTIFS(Таблица1[Customer Name],Таблица1[[#This Row],[Customer Name]],Таблица1[Order-Year-Month],Таблица1[[#This Row],[Order-Year-Month]])</f>
        <v>0.5</v>
      </c>
    </row>
    <row r="6985" spans="1:26" x14ac:dyDescent="0.2">
      <c r="A6985" s="6">
        <v>4434</v>
      </c>
      <c r="B6985" s="7">
        <v>31590</v>
      </c>
      <c r="C6985" s="8">
        <f>DATE(2012,12,31)-940</f>
        <v>40334</v>
      </c>
      <c r="D6985" s="8" t="str">
        <f t="shared" si="131"/>
        <v>2010-06 (июнь 2010)</v>
      </c>
      <c r="E6985" s="9" t="s">
        <v>78</v>
      </c>
      <c r="F6985" s="7">
        <v>27</v>
      </c>
      <c r="G6985" s="7">
        <v>2854.76</v>
      </c>
      <c r="H6985" s="7">
        <v>0.06</v>
      </c>
      <c r="I6985" s="9" t="s">
        <v>22</v>
      </c>
      <c r="J6985" s="10">
        <v>61.13</v>
      </c>
      <c r="K6985" s="11">
        <v>111.03</v>
      </c>
      <c r="L6985" s="11">
        <v>8.64</v>
      </c>
      <c r="M6985" s="9" t="s">
        <v>1592</v>
      </c>
      <c r="N6985" s="6" t="s">
        <v>2012</v>
      </c>
      <c r="O6985" s="6" t="s">
        <v>2012</v>
      </c>
      <c r="P6985" s="9" t="s">
        <v>41</v>
      </c>
      <c r="Q6985" s="9" t="s">
        <v>26</v>
      </c>
      <c r="R6985" s="9" t="s">
        <v>27</v>
      </c>
      <c r="S6985" s="7" t="s">
        <v>199</v>
      </c>
      <c r="T6985" s="9" t="s">
        <v>39</v>
      </c>
      <c r="U6985" s="7">
        <v>0.78</v>
      </c>
      <c r="V6985" s="12">
        <f>C6985+2</f>
        <v>40336</v>
      </c>
      <c r="W6985">
        <f>IF(D6985=' Pivot Tables'!$A$4,1,0)</f>
        <v>0</v>
      </c>
      <c r="X6985">
        <f>IF(AND(LEFT(D6985,4)+1=LEFT(' Pivot Tables'!$A$4,4)+0,RIGHT(LEFT(D6985,7),2)=RIGHT(LEFT(' Pivot Tables'!$A$4,7),2)),1,0)</f>
        <v>0</v>
      </c>
      <c r="Y6985" s="6">
        <f>1/COUNTIF(Таблица1[Order ID],Таблица1[[#This Row],[Order ID]])</f>
        <v>0.5</v>
      </c>
      <c r="Z6985" s="9">
        <f>1/COUNTIFS(Таблица1[Customer Name],Таблица1[[#This Row],[Customer Name]],Таблица1[Order-Year-Month],Таблица1[[#This Row],[Order-Year-Month]])</f>
        <v>0.5</v>
      </c>
    </row>
    <row r="6986" spans="1:26" x14ac:dyDescent="0.2">
      <c r="A6986" s="6">
        <v>4438</v>
      </c>
      <c r="B6986" s="7">
        <v>31619</v>
      </c>
      <c r="C6986" s="8">
        <f>DATE(2012,12,31)-1201</f>
        <v>40073</v>
      </c>
      <c r="D6986" s="8" t="str">
        <f t="shared" si="131"/>
        <v>2009-09 (сентябрь 2009)</v>
      </c>
      <c r="E6986" s="9" t="s">
        <v>21</v>
      </c>
      <c r="F6986" s="7">
        <v>11</v>
      </c>
      <c r="G6986" s="7">
        <v>114.87</v>
      </c>
      <c r="H6986" s="7">
        <v>0.1</v>
      </c>
      <c r="I6986" s="9" t="s">
        <v>22</v>
      </c>
      <c r="J6986" s="10">
        <v>-21.03</v>
      </c>
      <c r="K6986" s="11">
        <v>10.98</v>
      </c>
      <c r="L6986" s="11">
        <v>3.99</v>
      </c>
      <c r="M6986" s="9" t="s">
        <v>2056</v>
      </c>
      <c r="N6986" s="6" t="s">
        <v>2012</v>
      </c>
      <c r="O6986" s="6" t="s">
        <v>2012</v>
      </c>
      <c r="P6986" s="9" t="s">
        <v>41</v>
      </c>
      <c r="Q6986" s="9" t="s">
        <v>26</v>
      </c>
      <c r="R6986" s="9" t="s">
        <v>34</v>
      </c>
      <c r="S6986" s="7" t="s">
        <v>1752</v>
      </c>
      <c r="T6986" s="9" t="s">
        <v>39</v>
      </c>
      <c r="U6986" s="7">
        <v>0.57999999999999996</v>
      </c>
      <c r="V6986" s="12">
        <f>C6986+7</f>
        <v>40080</v>
      </c>
      <c r="W6986">
        <f>IF(D6986=' Pivot Tables'!$A$4,1,0)</f>
        <v>0</v>
      </c>
      <c r="X6986">
        <f>IF(AND(LEFT(D6986,4)+1=LEFT(' Pivot Tables'!$A$4,4)+0,RIGHT(LEFT(D6986,7),2)=RIGHT(LEFT(' Pivot Tables'!$A$4,7),2)),1,0)</f>
        <v>0</v>
      </c>
      <c r="Y6986" s="6">
        <f>1/COUNTIF(Таблица1[Order ID],Таблица1[[#This Row],[Order ID]])</f>
        <v>0.5</v>
      </c>
      <c r="Z6986" s="9">
        <f>1/COUNTIFS(Таблица1[Customer Name],Таблица1[[#This Row],[Customer Name]],Таблица1[Order-Year-Month],Таблица1[[#This Row],[Order-Year-Month]])</f>
        <v>0.5</v>
      </c>
    </row>
    <row r="6987" spans="1:26" x14ac:dyDescent="0.2">
      <c r="A6987" s="6">
        <v>4439</v>
      </c>
      <c r="B6987" s="7">
        <v>31619</v>
      </c>
      <c r="C6987" s="8">
        <f>DATE(2012,12,31)-1201</f>
        <v>40073</v>
      </c>
      <c r="D6987" s="8" t="str">
        <f t="shared" si="131"/>
        <v>2009-09 (сентябрь 2009)</v>
      </c>
      <c r="E6987" s="9" t="s">
        <v>21</v>
      </c>
      <c r="F6987" s="7">
        <v>9</v>
      </c>
      <c r="G6987" s="7">
        <v>383.23</v>
      </c>
      <c r="H6987" s="7">
        <v>0.01</v>
      </c>
      <c r="I6987" s="9" t="s">
        <v>22</v>
      </c>
      <c r="J6987" s="10">
        <v>146.51</v>
      </c>
      <c r="K6987" s="11">
        <v>39.979999999999997</v>
      </c>
      <c r="L6987" s="11">
        <v>9.1999999999999993</v>
      </c>
      <c r="M6987" s="9" t="s">
        <v>2056</v>
      </c>
      <c r="N6987" s="6" t="s">
        <v>703</v>
      </c>
      <c r="O6987" s="6" t="s">
        <v>704</v>
      </c>
      <c r="P6987" s="9" t="s">
        <v>41</v>
      </c>
      <c r="Q6987" s="9" t="s">
        <v>49</v>
      </c>
      <c r="R6987" s="9" t="s">
        <v>50</v>
      </c>
      <c r="S6987" s="7" t="s">
        <v>238</v>
      </c>
      <c r="T6987" s="9" t="s">
        <v>68</v>
      </c>
      <c r="U6987" s="7">
        <v>0.65</v>
      </c>
      <c r="V6987" s="12">
        <f>C6987+2</f>
        <v>40075</v>
      </c>
      <c r="W6987">
        <f>IF(D6987=' Pivot Tables'!$A$4,1,0)</f>
        <v>0</v>
      </c>
      <c r="X6987">
        <f>IF(AND(LEFT(D6987,4)+1=LEFT(' Pivot Tables'!$A$4,4)+0,RIGHT(LEFT(D6987,7),2)=RIGHT(LEFT(' Pivot Tables'!$A$4,7),2)),1,0)</f>
        <v>0</v>
      </c>
      <c r="Y6987" s="6">
        <f>1/COUNTIF(Таблица1[Order ID],Таблица1[[#This Row],[Order ID]])</f>
        <v>0.5</v>
      </c>
      <c r="Z6987" s="9">
        <f>1/COUNTIFS(Таблица1[Customer Name],Таблица1[[#This Row],[Customer Name]],Таблица1[Order-Year-Month],Таблица1[[#This Row],[Order-Year-Month]])</f>
        <v>0.5</v>
      </c>
    </row>
    <row r="6988" spans="1:26" x14ac:dyDescent="0.2">
      <c r="A6988" s="6">
        <v>4450</v>
      </c>
      <c r="B6988" s="7">
        <v>31715</v>
      </c>
      <c r="C6988" s="8">
        <f>DATE(2012,12,31)-1452</f>
        <v>39822</v>
      </c>
      <c r="D6988" s="8" t="str">
        <f t="shared" si="131"/>
        <v>2009-01 (январь 2009)</v>
      </c>
      <c r="E6988" s="9" t="s">
        <v>45</v>
      </c>
      <c r="F6988" s="7">
        <v>11</v>
      </c>
      <c r="G6988" s="7">
        <v>68.5</v>
      </c>
      <c r="H6988" s="7">
        <v>0.01</v>
      </c>
      <c r="I6988" s="9" t="s">
        <v>22</v>
      </c>
      <c r="J6988" s="10">
        <v>-53.854500000000002</v>
      </c>
      <c r="K6988" s="11">
        <v>5.38</v>
      </c>
      <c r="L6988" s="11">
        <v>7.57</v>
      </c>
      <c r="M6988" s="9" t="s">
        <v>1547</v>
      </c>
      <c r="N6988" s="6" t="s">
        <v>703</v>
      </c>
      <c r="O6988" s="6" t="s">
        <v>704</v>
      </c>
      <c r="P6988" s="9" t="s">
        <v>25</v>
      </c>
      <c r="Q6988" s="9" t="s">
        <v>26</v>
      </c>
      <c r="R6988" s="9" t="s">
        <v>37</v>
      </c>
      <c r="S6988" s="7" t="s">
        <v>1633</v>
      </c>
      <c r="T6988" s="9" t="s">
        <v>39</v>
      </c>
      <c r="U6988" s="7">
        <v>0.36</v>
      </c>
      <c r="V6988" s="12">
        <f>C6988+1</f>
        <v>39823</v>
      </c>
      <c r="W6988">
        <f>IF(D6988=' Pivot Tables'!$A$4,1,0)</f>
        <v>0</v>
      </c>
      <c r="X6988">
        <f>IF(AND(LEFT(D6988,4)+1=LEFT(' Pivot Tables'!$A$4,4)+0,RIGHT(LEFT(D6988,7),2)=RIGHT(LEFT(' Pivot Tables'!$A$4,7),2)),1,0)</f>
        <v>1</v>
      </c>
      <c r="Y6988" s="6">
        <f>1/COUNTIF(Таблица1[Order ID],Таблица1[[#This Row],[Order ID]])</f>
        <v>0.33333333333333331</v>
      </c>
      <c r="Z6988" s="9">
        <f>1/COUNTIFS(Таблица1[Customer Name],Таблица1[[#This Row],[Customer Name]],Таблица1[Order-Year-Month],Таблица1[[#This Row],[Order-Year-Month]])</f>
        <v>0.33333333333333331</v>
      </c>
    </row>
    <row r="6989" spans="1:26" x14ac:dyDescent="0.2">
      <c r="A6989" s="6">
        <v>4451</v>
      </c>
      <c r="B6989" s="7">
        <v>31715</v>
      </c>
      <c r="C6989" s="8">
        <f>DATE(2012,12,31)-1452</f>
        <v>39822</v>
      </c>
      <c r="D6989" s="8" t="str">
        <f t="shared" si="131"/>
        <v>2009-01 (январь 2009)</v>
      </c>
      <c r="E6989" s="9" t="s">
        <v>45</v>
      </c>
      <c r="F6989" s="7">
        <v>44</v>
      </c>
      <c r="G6989" s="7">
        <v>145.19</v>
      </c>
      <c r="H6989" s="7">
        <v>0.05</v>
      </c>
      <c r="I6989" s="9" t="s">
        <v>22</v>
      </c>
      <c r="J6989" s="10">
        <v>-116.87</v>
      </c>
      <c r="K6989" s="11">
        <v>3.28</v>
      </c>
      <c r="L6989" s="11">
        <v>3.97</v>
      </c>
      <c r="M6989" s="9" t="s">
        <v>1547</v>
      </c>
      <c r="N6989" s="6" t="s">
        <v>703</v>
      </c>
      <c r="O6989" s="6" t="s">
        <v>704</v>
      </c>
      <c r="P6989" s="9" t="s">
        <v>25</v>
      </c>
      <c r="Q6989" s="9" t="s">
        <v>26</v>
      </c>
      <c r="R6989" s="9" t="s">
        <v>95</v>
      </c>
      <c r="S6989" s="7" t="s">
        <v>572</v>
      </c>
      <c r="T6989" s="9" t="s">
        <v>68</v>
      </c>
      <c r="U6989" s="7">
        <v>0.56000000000000005</v>
      </c>
      <c r="V6989" s="12">
        <f>C6989+0</f>
        <v>39822</v>
      </c>
      <c r="W6989">
        <f>IF(D6989=' Pivot Tables'!$A$4,1,0)</f>
        <v>0</v>
      </c>
      <c r="X6989">
        <f>IF(AND(LEFT(D6989,4)+1=LEFT(' Pivot Tables'!$A$4,4)+0,RIGHT(LEFT(D6989,7),2)=RIGHT(LEFT(' Pivot Tables'!$A$4,7),2)),1,0)</f>
        <v>1</v>
      </c>
      <c r="Y6989" s="6">
        <f>1/COUNTIF(Таблица1[Order ID],Таблица1[[#This Row],[Order ID]])</f>
        <v>0.33333333333333331</v>
      </c>
      <c r="Z6989" s="9">
        <f>1/COUNTIFS(Таблица1[Customer Name],Таблица1[[#This Row],[Customer Name]],Таблица1[Order-Year-Month],Таблица1[[#This Row],[Order-Year-Month]])</f>
        <v>0.33333333333333331</v>
      </c>
    </row>
    <row r="6990" spans="1:26" x14ac:dyDescent="0.2">
      <c r="A6990" s="6">
        <v>4509</v>
      </c>
      <c r="B6990" s="7">
        <v>32099</v>
      </c>
      <c r="C6990" s="8">
        <f>DATE(2012,12,31)-971</f>
        <v>40303</v>
      </c>
      <c r="D6990" s="8" t="str">
        <f t="shared" si="131"/>
        <v>2010-05 (май 2010)</v>
      </c>
      <c r="E6990" s="9" t="s">
        <v>45</v>
      </c>
      <c r="F6990" s="7">
        <v>41</v>
      </c>
      <c r="G6990" s="7">
        <v>506.73</v>
      </c>
      <c r="H6990" s="7">
        <v>0.08</v>
      </c>
      <c r="I6990" s="9" t="s">
        <v>22</v>
      </c>
      <c r="J6990" s="10">
        <v>25.58</v>
      </c>
      <c r="K6990" s="11">
        <v>12.28</v>
      </c>
      <c r="L6990" s="11">
        <v>6.47</v>
      </c>
      <c r="M6990" s="9" t="s">
        <v>1551</v>
      </c>
      <c r="N6990" s="6" t="s">
        <v>703</v>
      </c>
      <c r="O6990" s="6" t="s">
        <v>704</v>
      </c>
      <c r="P6990" s="9" t="s">
        <v>60</v>
      </c>
      <c r="Q6990" s="9" t="s">
        <v>26</v>
      </c>
      <c r="R6990" s="9" t="s">
        <v>61</v>
      </c>
      <c r="S6990" s="7" t="s">
        <v>131</v>
      </c>
      <c r="T6990" s="9" t="s">
        <v>39</v>
      </c>
      <c r="U6990" s="7">
        <v>0.38</v>
      </c>
      <c r="V6990" s="12">
        <f>C6990+0</f>
        <v>40303</v>
      </c>
      <c r="W6990">
        <f>IF(D6990=' Pivot Tables'!$A$4,1,0)</f>
        <v>0</v>
      </c>
      <c r="X6990">
        <f>IF(AND(LEFT(D6990,4)+1=LEFT(' Pivot Tables'!$A$4,4)+0,RIGHT(LEFT(D6990,7),2)=RIGHT(LEFT(' Pivot Tables'!$A$4,7),2)),1,0)</f>
        <v>0</v>
      </c>
      <c r="Y6990" s="6">
        <f>1/COUNTIF(Таблица1[Order ID],Таблица1[[#This Row],[Order ID]])</f>
        <v>1</v>
      </c>
      <c r="Z6990" s="9">
        <f>1/COUNTIFS(Таблица1[Customer Name],Таблица1[[#This Row],[Customer Name]],Таблица1[Order-Year-Month],Таблица1[[#This Row],[Order-Year-Month]])</f>
        <v>1</v>
      </c>
    </row>
    <row r="6991" spans="1:26" x14ac:dyDescent="0.2">
      <c r="A6991" s="6">
        <v>4513</v>
      </c>
      <c r="B6991" s="7">
        <v>32129</v>
      </c>
      <c r="C6991" s="8">
        <f>DATE(2012,12,31)-548</f>
        <v>40726</v>
      </c>
      <c r="D6991" s="8" t="str">
        <f t="shared" si="131"/>
        <v>2011-07 (июль 2011)</v>
      </c>
      <c r="E6991" s="9" t="s">
        <v>78</v>
      </c>
      <c r="F6991" s="7">
        <v>20</v>
      </c>
      <c r="G6991" s="7">
        <v>129.27000000000001</v>
      </c>
      <c r="H6991" s="7">
        <v>7.0000000000000007E-2</v>
      </c>
      <c r="I6991" s="9" t="s">
        <v>22</v>
      </c>
      <c r="J6991" s="10">
        <v>-105.15</v>
      </c>
      <c r="K6991" s="11">
        <v>6.48</v>
      </c>
      <c r="L6991" s="11">
        <v>8.74</v>
      </c>
      <c r="M6991" s="9" t="s">
        <v>2044</v>
      </c>
      <c r="N6991" s="6" t="s">
        <v>703</v>
      </c>
      <c r="O6991" s="6" t="s">
        <v>704</v>
      </c>
      <c r="P6991" s="9" t="s">
        <v>33</v>
      </c>
      <c r="Q6991" s="9" t="s">
        <v>26</v>
      </c>
      <c r="R6991" s="9" t="s">
        <v>61</v>
      </c>
      <c r="S6991" s="7" t="s">
        <v>1210</v>
      </c>
      <c r="T6991" s="9" t="s">
        <v>39</v>
      </c>
      <c r="U6991" s="7">
        <v>0.36</v>
      </c>
      <c r="V6991" s="12">
        <f>C6991+1</f>
        <v>40727</v>
      </c>
      <c r="W6991">
        <f>IF(D6991=' Pivot Tables'!$A$4,1,0)</f>
        <v>0</v>
      </c>
      <c r="X6991">
        <f>IF(AND(LEFT(D6991,4)+1=LEFT(' Pivot Tables'!$A$4,4)+0,RIGHT(LEFT(D6991,7),2)=RIGHT(LEFT(' Pivot Tables'!$A$4,7),2)),1,0)</f>
        <v>0</v>
      </c>
      <c r="Y6991" s="6">
        <f>1/COUNTIF(Таблица1[Order ID],Таблица1[[#This Row],[Order ID]])</f>
        <v>0.5</v>
      </c>
      <c r="Z6991" s="9">
        <f>1/COUNTIFS(Таблица1[Customer Name],Таблица1[[#This Row],[Customer Name]],Таблица1[Order-Year-Month],Таблица1[[#This Row],[Order-Year-Month]])</f>
        <v>0.5</v>
      </c>
    </row>
    <row r="6992" spans="1:26" x14ac:dyDescent="0.2">
      <c r="A6992" s="6">
        <v>4514</v>
      </c>
      <c r="B6992" s="7">
        <v>32129</v>
      </c>
      <c r="C6992" s="8">
        <f>DATE(2012,12,31)-548</f>
        <v>40726</v>
      </c>
      <c r="D6992" s="8" t="str">
        <f t="shared" si="131"/>
        <v>2011-07 (июль 2011)</v>
      </c>
      <c r="E6992" s="9" t="s">
        <v>78</v>
      </c>
      <c r="F6992" s="7">
        <v>4</v>
      </c>
      <c r="G6992" s="7">
        <v>8467.68</v>
      </c>
      <c r="H6992" s="7">
        <v>0.01</v>
      </c>
      <c r="I6992" s="9" t="s">
        <v>31</v>
      </c>
      <c r="J6992" s="10">
        <v>-3669.0509999999999</v>
      </c>
      <c r="K6992" s="11">
        <v>2036.48</v>
      </c>
      <c r="L6992" s="11">
        <v>14.7</v>
      </c>
      <c r="M6992" s="9" t="s">
        <v>2044</v>
      </c>
      <c r="N6992" s="6" t="s">
        <v>703</v>
      </c>
      <c r="O6992" s="6" t="s">
        <v>704</v>
      </c>
      <c r="P6992" s="9" t="s">
        <v>33</v>
      </c>
      <c r="Q6992" s="9" t="s">
        <v>42</v>
      </c>
      <c r="R6992" s="9" t="s">
        <v>210</v>
      </c>
      <c r="S6992" s="7" t="s">
        <v>1996</v>
      </c>
      <c r="T6992" s="9" t="s">
        <v>36</v>
      </c>
      <c r="U6992" s="7">
        <v>0.55000000000000004</v>
      </c>
      <c r="V6992" s="12">
        <f>C6992+2</f>
        <v>40728</v>
      </c>
      <c r="W6992">
        <f>IF(D6992=' Pivot Tables'!$A$4,1,0)</f>
        <v>0</v>
      </c>
      <c r="X6992">
        <f>IF(AND(LEFT(D6992,4)+1=LEFT(' Pivot Tables'!$A$4,4)+0,RIGHT(LEFT(D6992,7),2)=RIGHT(LEFT(' Pivot Tables'!$A$4,7),2)),1,0)</f>
        <v>0</v>
      </c>
      <c r="Y6992" s="6">
        <f>1/COUNTIF(Таблица1[Order ID],Таблица1[[#This Row],[Order ID]])</f>
        <v>0.5</v>
      </c>
      <c r="Z6992" s="9">
        <f>1/COUNTIFS(Таблица1[Customer Name],Таблица1[[#This Row],[Customer Name]],Таблица1[Order-Year-Month],Таблица1[[#This Row],[Order-Year-Month]])</f>
        <v>0.5</v>
      </c>
    </row>
    <row r="6993" spans="1:26" x14ac:dyDescent="0.2">
      <c r="A6993" s="6">
        <v>4536</v>
      </c>
      <c r="B6993" s="7">
        <v>32291</v>
      </c>
      <c r="C6993" s="8">
        <f>DATE(2012,12,31)-1152</f>
        <v>40122</v>
      </c>
      <c r="D6993" s="8" t="str">
        <f t="shared" si="131"/>
        <v>2009-11 (ноябрь 2009)</v>
      </c>
      <c r="E6993" s="9" t="s">
        <v>63</v>
      </c>
      <c r="F6993" s="7">
        <v>13</v>
      </c>
      <c r="G6993" s="7">
        <v>183.22</v>
      </c>
      <c r="H6993" s="7">
        <v>0.01</v>
      </c>
      <c r="I6993" s="9" t="s">
        <v>22</v>
      </c>
      <c r="J6993" s="10">
        <v>-100.89</v>
      </c>
      <c r="K6993" s="11">
        <v>12.99</v>
      </c>
      <c r="L6993" s="11">
        <v>14.37</v>
      </c>
      <c r="M6993" s="9" t="s">
        <v>1156</v>
      </c>
      <c r="N6993" s="6" t="s">
        <v>703</v>
      </c>
      <c r="O6993" s="6" t="s">
        <v>704</v>
      </c>
      <c r="P6993" s="9" t="s">
        <v>25</v>
      </c>
      <c r="Q6993" s="9" t="s">
        <v>49</v>
      </c>
      <c r="R6993" s="9" t="s">
        <v>50</v>
      </c>
      <c r="S6993" s="7" t="s">
        <v>1129</v>
      </c>
      <c r="T6993" s="9" t="s">
        <v>29</v>
      </c>
      <c r="U6993" s="7">
        <v>0.73</v>
      </c>
      <c r="V6993" s="12">
        <f>C6993+0</f>
        <v>40122</v>
      </c>
      <c r="W6993">
        <f>IF(D6993=' Pivot Tables'!$A$4,1,0)</f>
        <v>0</v>
      </c>
      <c r="X6993">
        <f>IF(AND(LEFT(D6993,4)+1=LEFT(' Pivot Tables'!$A$4,4)+0,RIGHT(LEFT(D6993,7),2)=RIGHT(LEFT(' Pivot Tables'!$A$4,7),2)),1,0)</f>
        <v>0</v>
      </c>
      <c r="Y6993" s="6">
        <f>1/COUNTIF(Таблица1[Order ID],Таблица1[[#This Row],[Order ID]])</f>
        <v>0.5</v>
      </c>
      <c r="Z6993" s="9">
        <f>1/COUNTIFS(Таблица1[Customer Name],Таблица1[[#This Row],[Customer Name]],Таблица1[Order-Year-Month],Таблица1[[#This Row],[Order-Year-Month]])</f>
        <v>0.5</v>
      </c>
    </row>
    <row r="6994" spans="1:26" x14ac:dyDescent="0.2">
      <c r="A6994" s="6">
        <v>4537</v>
      </c>
      <c r="B6994" s="7">
        <v>32291</v>
      </c>
      <c r="C6994" s="8">
        <f>DATE(2012,12,31)-1152</f>
        <v>40122</v>
      </c>
      <c r="D6994" s="8" t="str">
        <f t="shared" si="131"/>
        <v>2009-11 (ноябрь 2009)</v>
      </c>
      <c r="E6994" s="9" t="s">
        <v>63</v>
      </c>
      <c r="F6994" s="7">
        <v>4</v>
      </c>
      <c r="G6994" s="7">
        <v>68.03</v>
      </c>
      <c r="H6994" s="7">
        <v>0.02</v>
      </c>
      <c r="I6994" s="9" t="s">
        <v>22</v>
      </c>
      <c r="J6994" s="10">
        <v>-29.42</v>
      </c>
      <c r="K6994" s="11">
        <v>15.14</v>
      </c>
      <c r="L6994" s="11">
        <v>4.53</v>
      </c>
      <c r="M6994" s="9" t="s">
        <v>1156</v>
      </c>
      <c r="N6994" s="6" t="s">
        <v>703</v>
      </c>
      <c r="O6994" s="6" t="s">
        <v>704</v>
      </c>
      <c r="P6994" s="9" t="s">
        <v>25</v>
      </c>
      <c r="Q6994" s="9" t="s">
        <v>26</v>
      </c>
      <c r="R6994" s="9" t="s">
        <v>27</v>
      </c>
      <c r="S6994" s="7" t="s">
        <v>721</v>
      </c>
      <c r="T6994" s="9" t="s">
        <v>39</v>
      </c>
      <c r="U6994" s="7">
        <v>0.81</v>
      </c>
      <c r="V6994" s="12">
        <f>C6994+1</f>
        <v>40123</v>
      </c>
      <c r="W6994">
        <f>IF(D6994=' Pivot Tables'!$A$4,1,0)</f>
        <v>0</v>
      </c>
      <c r="X6994">
        <f>IF(AND(LEFT(D6994,4)+1=LEFT(' Pivot Tables'!$A$4,4)+0,RIGHT(LEFT(D6994,7),2)=RIGHT(LEFT(' Pivot Tables'!$A$4,7),2)),1,0)</f>
        <v>0</v>
      </c>
      <c r="Y6994" s="6">
        <f>1/COUNTIF(Таблица1[Order ID],Таблица1[[#This Row],[Order ID]])</f>
        <v>0.5</v>
      </c>
      <c r="Z6994" s="9">
        <f>1/COUNTIFS(Таблица1[Customer Name],Таблица1[[#This Row],[Customer Name]],Таблица1[Order-Year-Month],Таблица1[[#This Row],[Order-Year-Month]])</f>
        <v>0.5</v>
      </c>
    </row>
    <row r="6995" spans="1:26" x14ac:dyDescent="0.2">
      <c r="A6995" s="6">
        <v>4622</v>
      </c>
      <c r="B6995" s="7">
        <v>32902</v>
      </c>
      <c r="C6995" s="8">
        <f>DATE(2012,12,31)-303</f>
        <v>40971</v>
      </c>
      <c r="D6995" s="8" t="str">
        <f t="shared" si="131"/>
        <v>2012-03 (март 2012)</v>
      </c>
      <c r="E6995" s="9" t="s">
        <v>30</v>
      </c>
      <c r="F6995" s="7">
        <v>23</v>
      </c>
      <c r="G6995" s="7">
        <v>1638.67</v>
      </c>
      <c r="H6995" s="7">
        <v>0.05</v>
      </c>
      <c r="I6995" s="9" t="s">
        <v>31</v>
      </c>
      <c r="J6995" s="10">
        <v>-527.83000000000004</v>
      </c>
      <c r="K6995" s="11">
        <v>68.81</v>
      </c>
      <c r="L6995" s="11">
        <v>60</v>
      </c>
      <c r="M6995" s="9" t="s">
        <v>1651</v>
      </c>
      <c r="N6995" s="6" t="s">
        <v>703</v>
      </c>
      <c r="O6995" s="6" t="s">
        <v>704</v>
      </c>
      <c r="P6995" s="9" t="s">
        <v>60</v>
      </c>
      <c r="Q6995" s="9" t="s">
        <v>26</v>
      </c>
      <c r="R6995" s="9" t="s">
        <v>34</v>
      </c>
      <c r="S6995" s="7" t="s">
        <v>605</v>
      </c>
      <c r="T6995" s="9" t="s">
        <v>36</v>
      </c>
      <c r="U6995" s="7">
        <v>0.41</v>
      </c>
      <c r="V6995" s="12">
        <f>C6995+2</f>
        <v>40973</v>
      </c>
      <c r="W6995">
        <f>IF(D6995=' Pivot Tables'!$A$4,1,0)</f>
        <v>0</v>
      </c>
      <c r="X6995">
        <f>IF(AND(LEFT(D6995,4)+1=LEFT(' Pivot Tables'!$A$4,4)+0,RIGHT(LEFT(D6995,7),2)=RIGHT(LEFT(' Pivot Tables'!$A$4,7),2)),1,0)</f>
        <v>0</v>
      </c>
      <c r="Y6995" s="6">
        <f>1/COUNTIF(Таблица1[Order ID],Таблица1[[#This Row],[Order ID]])</f>
        <v>0.33333333333333331</v>
      </c>
      <c r="Z6995" s="9">
        <f>1/COUNTIFS(Таблица1[Customer Name],Таблица1[[#This Row],[Customer Name]],Таблица1[Order-Year-Month],Таблица1[[#This Row],[Order-Year-Month]])</f>
        <v>0.33333333333333331</v>
      </c>
    </row>
    <row r="6996" spans="1:26" x14ac:dyDescent="0.2">
      <c r="A6996" s="6">
        <v>4623</v>
      </c>
      <c r="B6996" s="7">
        <v>32902</v>
      </c>
      <c r="C6996" s="8">
        <f>DATE(2012,12,31)-303</f>
        <v>40971</v>
      </c>
      <c r="D6996" s="8" t="str">
        <f t="shared" si="131"/>
        <v>2012-03 (март 2012)</v>
      </c>
      <c r="E6996" s="9" t="s">
        <v>30</v>
      </c>
      <c r="F6996" s="7">
        <v>8</v>
      </c>
      <c r="G6996" s="7">
        <v>64.099999999999994</v>
      </c>
      <c r="H6996" s="7">
        <v>0.03</v>
      </c>
      <c r="I6996" s="9" t="s">
        <v>22</v>
      </c>
      <c r="J6996" s="10">
        <v>-48.28</v>
      </c>
      <c r="K6996" s="11">
        <v>6.84</v>
      </c>
      <c r="L6996" s="11">
        <v>8.3699999999999992</v>
      </c>
      <c r="M6996" s="9" t="s">
        <v>1651</v>
      </c>
      <c r="N6996" s="6" t="s">
        <v>703</v>
      </c>
      <c r="O6996" s="6" t="s">
        <v>704</v>
      </c>
      <c r="P6996" s="9" t="s">
        <v>60</v>
      </c>
      <c r="Q6996" s="9" t="s">
        <v>26</v>
      </c>
      <c r="R6996" s="9" t="s">
        <v>150</v>
      </c>
      <c r="S6996" s="7" t="s">
        <v>401</v>
      </c>
      <c r="T6996" s="9" t="s">
        <v>52</v>
      </c>
      <c r="U6996" s="7">
        <v>0.57999999999999996</v>
      </c>
      <c r="V6996" s="12">
        <f>C6996+2</f>
        <v>40973</v>
      </c>
      <c r="W6996">
        <f>IF(D6996=' Pivot Tables'!$A$4,1,0)</f>
        <v>0</v>
      </c>
      <c r="X6996">
        <f>IF(AND(LEFT(D6996,4)+1=LEFT(' Pivot Tables'!$A$4,4)+0,RIGHT(LEFT(D6996,7),2)=RIGHT(LEFT(' Pivot Tables'!$A$4,7),2)),1,0)</f>
        <v>0</v>
      </c>
      <c r="Y6996" s="6">
        <f>1/COUNTIF(Таблица1[Order ID],Таблица1[[#This Row],[Order ID]])</f>
        <v>0.33333333333333331</v>
      </c>
      <c r="Z6996" s="9">
        <f>1/COUNTIFS(Таблица1[Customer Name],Таблица1[[#This Row],[Customer Name]],Таблица1[Order-Year-Month],Таблица1[[#This Row],[Order-Year-Month]])</f>
        <v>0.33333333333333331</v>
      </c>
    </row>
    <row r="6997" spans="1:26" x14ac:dyDescent="0.2">
      <c r="A6997" s="6">
        <v>4629</v>
      </c>
      <c r="B6997" s="7">
        <v>32932</v>
      </c>
      <c r="C6997" s="8">
        <f>DATE(2012,12,31)-1087</f>
        <v>40187</v>
      </c>
      <c r="D6997" s="8" t="str">
        <f t="shared" si="131"/>
        <v>2010-01 (январь 2010)</v>
      </c>
      <c r="E6997" s="9" t="s">
        <v>21</v>
      </c>
      <c r="F6997" s="7">
        <v>49</v>
      </c>
      <c r="G6997" s="7">
        <v>29884.6</v>
      </c>
      <c r="H6997" s="7">
        <v>0.05</v>
      </c>
      <c r="I6997" s="9" t="s">
        <v>22</v>
      </c>
      <c r="J6997" s="10">
        <v>12748.86</v>
      </c>
      <c r="K6997" s="11">
        <v>599.99</v>
      </c>
      <c r="L6997" s="11">
        <v>24.49</v>
      </c>
      <c r="M6997" s="9" t="s">
        <v>1517</v>
      </c>
      <c r="N6997" s="6" t="s">
        <v>703</v>
      </c>
      <c r="O6997" s="6" t="s">
        <v>704</v>
      </c>
      <c r="P6997" s="9" t="s">
        <v>41</v>
      </c>
      <c r="Q6997" s="9" t="s">
        <v>42</v>
      </c>
      <c r="R6997" s="9" t="s">
        <v>99</v>
      </c>
      <c r="S6997" s="7" t="s">
        <v>644</v>
      </c>
      <c r="T6997" s="9" t="s">
        <v>29</v>
      </c>
      <c r="U6997" s="7">
        <v>0.44</v>
      </c>
      <c r="V6997" s="12">
        <f>C6997+4</f>
        <v>40191</v>
      </c>
      <c r="W6997">
        <f>IF(D6997=' Pivot Tables'!$A$4,1,0)</f>
        <v>1</v>
      </c>
      <c r="X6997">
        <f>IF(AND(LEFT(D6997,4)+1=LEFT(' Pivot Tables'!$A$4,4)+0,RIGHT(LEFT(D6997,7),2)=RIGHT(LEFT(' Pivot Tables'!$A$4,7),2)),1,0)</f>
        <v>0</v>
      </c>
      <c r="Y6997" s="6">
        <f>1/COUNTIF(Таблица1[Order ID],Таблица1[[#This Row],[Order ID]])</f>
        <v>1</v>
      </c>
      <c r="Z6997" s="9">
        <f>1/COUNTIFS(Таблица1[Customer Name],Таблица1[[#This Row],[Customer Name]],Таблица1[Order-Year-Month],Таблица1[[#This Row],[Order-Year-Month]])</f>
        <v>1</v>
      </c>
    </row>
    <row r="6998" spans="1:26" x14ac:dyDescent="0.2">
      <c r="A6998" s="6">
        <v>4648</v>
      </c>
      <c r="B6998" s="7">
        <v>33095</v>
      </c>
      <c r="C6998" s="8">
        <f>DATE(2012,12,31)-1415</f>
        <v>39859</v>
      </c>
      <c r="D6998" s="8" t="str">
        <f t="shared" si="131"/>
        <v>2009-02 (февраль 2009)</v>
      </c>
      <c r="E6998" s="9" t="s">
        <v>45</v>
      </c>
      <c r="F6998" s="7">
        <v>30</v>
      </c>
      <c r="G6998" s="7">
        <v>4846.74</v>
      </c>
      <c r="H6998" s="7">
        <v>0.01</v>
      </c>
      <c r="I6998" s="9" t="s">
        <v>22</v>
      </c>
      <c r="J6998" s="10">
        <v>1689.93</v>
      </c>
      <c r="K6998" s="11">
        <v>159.99</v>
      </c>
      <c r="L6998" s="11">
        <v>5.5</v>
      </c>
      <c r="M6998" s="9" t="s">
        <v>2053</v>
      </c>
      <c r="N6998" s="6" t="s">
        <v>703</v>
      </c>
      <c r="O6998" s="6" t="s">
        <v>704</v>
      </c>
      <c r="P6998" s="9" t="s">
        <v>33</v>
      </c>
      <c r="Q6998" s="9" t="s">
        <v>42</v>
      </c>
      <c r="R6998" s="9" t="s">
        <v>70</v>
      </c>
      <c r="S6998" s="7" t="s">
        <v>1019</v>
      </c>
      <c r="T6998" s="9" t="s">
        <v>39</v>
      </c>
      <c r="U6998" s="7">
        <v>0.49</v>
      </c>
      <c r="V6998" s="12">
        <f>C6998+2</f>
        <v>39861</v>
      </c>
      <c r="W6998">
        <f>IF(D6998=' Pivot Tables'!$A$4,1,0)</f>
        <v>0</v>
      </c>
      <c r="X6998">
        <f>IF(AND(LEFT(D6998,4)+1=LEFT(' Pivot Tables'!$A$4,4)+0,RIGHT(LEFT(D6998,7),2)=RIGHT(LEFT(' Pivot Tables'!$A$4,7),2)),1,0)</f>
        <v>0</v>
      </c>
      <c r="Y6998" s="6">
        <f>1/COUNTIF(Таблица1[Order ID],Таблица1[[#This Row],[Order ID]])</f>
        <v>0.5</v>
      </c>
      <c r="Z6998" s="9">
        <f>1/COUNTIFS(Таблица1[Customer Name],Таблица1[[#This Row],[Customer Name]],Таблица1[Order-Year-Month],Таблица1[[#This Row],[Order-Year-Month]])</f>
        <v>0.5</v>
      </c>
    </row>
    <row r="6999" spans="1:26" x14ac:dyDescent="0.2">
      <c r="A6999" s="6">
        <v>4649</v>
      </c>
      <c r="B6999" s="7">
        <v>33095</v>
      </c>
      <c r="C6999" s="8">
        <f>DATE(2012,12,31)-1415</f>
        <v>39859</v>
      </c>
      <c r="D6999" s="8" t="str">
        <f t="shared" si="131"/>
        <v>2009-02 (февраль 2009)</v>
      </c>
      <c r="E6999" s="9" t="s">
        <v>45</v>
      </c>
      <c r="F6999" s="7">
        <v>34</v>
      </c>
      <c r="G6999" s="7">
        <v>2548.3000000000002</v>
      </c>
      <c r="H6999" s="7">
        <v>0.1</v>
      </c>
      <c r="I6999" s="9" t="s">
        <v>22</v>
      </c>
      <c r="J6999" s="10">
        <v>875.57</v>
      </c>
      <c r="K6999" s="11">
        <v>78.69</v>
      </c>
      <c r="L6999" s="11">
        <v>19.989999999999998</v>
      </c>
      <c r="M6999" s="9" t="s">
        <v>2053</v>
      </c>
      <c r="N6999" s="6" t="s">
        <v>703</v>
      </c>
      <c r="O6999" s="6" t="s">
        <v>704</v>
      </c>
      <c r="P6999" s="9" t="s">
        <v>33</v>
      </c>
      <c r="Q6999" s="9" t="s">
        <v>49</v>
      </c>
      <c r="R6999" s="9" t="s">
        <v>50</v>
      </c>
      <c r="S6999" s="7" t="s">
        <v>788</v>
      </c>
      <c r="T6999" s="9" t="s">
        <v>39</v>
      </c>
      <c r="U6999" s="7">
        <v>0.43</v>
      </c>
      <c r="V6999" s="12">
        <f>C6999+1</f>
        <v>39860</v>
      </c>
      <c r="W6999">
        <f>IF(D6999=' Pivot Tables'!$A$4,1,0)</f>
        <v>0</v>
      </c>
      <c r="X6999">
        <f>IF(AND(LEFT(D6999,4)+1=LEFT(' Pivot Tables'!$A$4,4)+0,RIGHT(LEFT(D6999,7),2)=RIGHT(LEFT(' Pivot Tables'!$A$4,7),2)),1,0)</f>
        <v>0</v>
      </c>
      <c r="Y6999" s="6">
        <f>1/COUNTIF(Таблица1[Order ID],Таблица1[[#This Row],[Order ID]])</f>
        <v>0.5</v>
      </c>
      <c r="Z6999" s="9">
        <f>1/COUNTIFS(Таблица1[Customer Name],Таблица1[[#This Row],[Customer Name]],Таблица1[Order-Year-Month],Таблица1[[#This Row],[Order-Year-Month]])</f>
        <v>0.5</v>
      </c>
    </row>
    <row r="7000" spans="1:26" x14ac:dyDescent="0.2">
      <c r="A7000" s="6">
        <v>4652</v>
      </c>
      <c r="B7000" s="7">
        <v>33126</v>
      </c>
      <c r="C7000" s="8">
        <f>DATE(2012,12,31)-415</f>
        <v>40859</v>
      </c>
      <c r="D7000" s="8" t="str">
        <f t="shared" si="131"/>
        <v>2011-11 (ноябрь 2011)</v>
      </c>
      <c r="E7000" s="9" t="s">
        <v>78</v>
      </c>
      <c r="F7000" s="7">
        <v>46</v>
      </c>
      <c r="G7000" s="7">
        <v>5979.84</v>
      </c>
      <c r="H7000" s="7">
        <v>0.01</v>
      </c>
      <c r="I7000" s="9" t="s">
        <v>56</v>
      </c>
      <c r="J7000" s="10">
        <v>1779.01</v>
      </c>
      <c r="K7000" s="11">
        <v>128.24</v>
      </c>
      <c r="L7000" s="11">
        <v>12.65</v>
      </c>
      <c r="M7000" s="9" t="s">
        <v>1553</v>
      </c>
      <c r="N7000" s="6" t="s">
        <v>703</v>
      </c>
      <c r="O7000" s="6" t="s">
        <v>704</v>
      </c>
      <c r="P7000" s="9" t="s">
        <v>25</v>
      </c>
      <c r="Q7000" s="9" t="s">
        <v>49</v>
      </c>
      <c r="R7000" s="9" t="s">
        <v>112</v>
      </c>
      <c r="S7000" s="7" t="s">
        <v>545</v>
      </c>
      <c r="T7000" s="9" t="s">
        <v>48</v>
      </c>
      <c r="U7000" s="7"/>
      <c r="V7000" s="12">
        <f>C7000+1</f>
        <v>40860</v>
      </c>
      <c r="W7000">
        <f>IF(D7000=' Pivot Tables'!$A$4,1,0)</f>
        <v>0</v>
      </c>
      <c r="X7000">
        <f>IF(AND(LEFT(D7000,4)+1=LEFT(' Pivot Tables'!$A$4,4)+0,RIGHT(LEFT(D7000,7),2)=RIGHT(LEFT(' Pivot Tables'!$A$4,7),2)),1,0)</f>
        <v>0</v>
      </c>
      <c r="Y7000" s="6">
        <f>1/COUNTIF(Таблица1[Order ID],Таблица1[[#This Row],[Order ID]])</f>
        <v>0.5</v>
      </c>
      <c r="Z7000" s="9">
        <f>1/COUNTIFS(Таблица1[Customer Name],Таблица1[[#This Row],[Customer Name]],Таблица1[Order-Year-Month],Таблица1[[#This Row],[Order-Year-Month]])</f>
        <v>0.5</v>
      </c>
    </row>
    <row r="7001" spans="1:26" x14ac:dyDescent="0.2">
      <c r="A7001" s="6">
        <v>4653</v>
      </c>
      <c r="B7001" s="7">
        <v>33126</v>
      </c>
      <c r="C7001" s="8">
        <f>DATE(2012,12,31)-415</f>
        <v>40859</v>
      </c>
      <c r="D7001" s="8" t="str">
        <f t="shared" si="131"/>
        <v>2011-11 (ноябрь 2011)</v>
      </c>
      <c r="E7001" s="9" t="s">
        <v>78</v>
      </c>
      <c r="F7001" s="7">
        <v>28</v>
      </c>
      <c r="G7001" s="7">
        <v>175.76</v>
      </c>
      <c r="H7001" s="7">
        <v>0.06</v>
      </c>
      <c r="I7001" s="9" t="s">
        <v>22</v>
      </c>
      <c r="J7001" s="10">
        <v>80.36</v>
      </c>
      <c r="K7001" s="11">
        <v>6.3</v>
      </c>
      <c r="L7001" s="11">
        <v>0.5</v>
      </c>
      <c r="M7001" s="9" t="s">
        <v>1553</v>
      </c>
      <c r="N7001" s="6" t="s">
        <v>703</v>
      </c>
      <c r="O7001" s="6" t="s">
        <v>704</v>
      </c>
      <c r="P7001" s="9" t="s">
        <v>25</v>
      </c>
      <c r="Q7001" s="9" t="s">
        <v>26</v>
      </c>
      <c r="R7001" s="9" t="s">
        <v>88</v>
      </c>
      <c r="S7001" s="7" t="s">
        <v>461</v>
      </c>
      <c r="T7001" s="9" t="s">
        <v>39</v>
      </c>
      <c r="U7001" s="7">
        <v>0.39</v>
      </c>
      <c r="V7001" s="12">
        <f>C7001+2</f>
        <v>40861</v>
      </c>
      <c r="W7001">
        <f>IF(D7001=' Pivot Tables'!$A$4,1,0)</f>
        <v>0</v>
      </c>
      <c r="X7001">
        <f>IF(AND(LEFT(D7001,4)+1=LEFT(' Pivot Tables'!$A$4,4)+0,RIGHT(LEFT(D7001,7),2)=RIGHT(LEFT(' Pivot Tables'!$A$4,7),2)),1,0)</f>
        <v>0</v>
      </c>
      <c r="Y7001" s="6">
        <f>1/COUNTIF(Таблица1[Order ID],Таблица1[[#This Row],[Order ID]])</f>
        <v>0.5</v>
      </c>
      <c r="Z7001" s="9">
        <f>1/COUNTIFS(Таблица1[Customer Name],Таблица1[[#This Row],[Customer Name]],Таблица1[Order-Year-Month],Таблица1[[#This Row],[Order-Year-Month]])</f>
        <v>0.5</v>
      </c>
    </row>
    <row r="7002" spans="1:26" x14ac:dyDescent="0.2">
      <c r="A7002" s="6">
        <v>4669</v>
      </c>
      <c r="B7002" s="7">
        <v>33222</v>
      </c>
      <c r="C7002" s="8">
        <f>DATE(2012,12,31)-195</f>
        <v>41079</v>
      </c>
      <c r="D7002" s="8" t="str">
        <f t="shared" si="131"/>
        <v>2012-06 (июнь 2012)</v>
      </c>
      <c r="E7002" s="9" t="s">
        <v>63</v>
      </c>
      <c r="F7002" s="7">
        <v>18</v>
      </c>
      <c r="G7002" s="7">
        <v>420.76</v>
      </c>
      <c r="H7002" s="7">
        <v>0.05</v>
      </c>
      <c r="I7002" s="9" t="s">
        <v>22</v>
      </c>
      <c r="J7002" s="10">
        <v>-56.212000000000003</v>
      </c>
      <c r="K7002" s="11">
        <v>22.38</v>
      </c>
      <c r="L7002" s="11">
        <v>15.1</v>
      </c>
      <c r="M7002" s="9" t="s">
        <v>1511</v>
      </c>
      <c r="N7002" s="6" t="s">
        <v>703</v>
      </c>
      <c r="O7002" s="6" t="s">
        <v>704</v>
      </c>
      <c r="P7002" s="9" t="s">
        <v>60</v>
      </c>
      <c r="Q7002" s="9" t="s">
        <v>26</v>
      </c>
      <c r="R7002" s="9" t="s">
        <v>37</v>
      </c>
      <c r="S7002" s="7" t="s">
        <v>415</v>
      </c>
      <c r="T7002" s="9" t="s">
        <v>39</v>
      </c>
      <c r="U7002" s="7">
        <v>0.38</v>
      </c>
      <c r="V7002" s="12">
        <f>C7002+2</f>
        <v>41081</v>
      </c>
      <c r="W7002">
        <f>IF(D7002=' Pivot Tables'!$A$4,1,0)</f>
        <v>0</v>
      </c>
      <c r="X7002">
        <f>IF(AND(LEFT(D7002,4)+1=LEFT(' Pivot Tables'!$A$4,4)+0,RIGHT(LEFT(D7002,7),2)=RIGHT(LEFT(' Pivot Tables'!$A$4,7),2)),1,0)</f>
        <v>0</v>
      </c>
      <c r="Y7002" s="6">
        <f>1/COUNTIF(Таблица1[Order ID],Таблица1[[#This Row],[Order ID]])</f>
        <v>0.33333333333333331</v>
      </c>
      <c r="Z7002" s="9">
        <f>1/COUNTIFS(Таблица1[Customer Name],Таблица1[[#This Row],[Customer Name]],Таблица1[Order-Year-Month],Таблица1[[#This Row],[Order-Year-Month]])</f>
        <v>0.33333333333333331</v>
      </c>
    </row>
    <row r="7003" spans="1:26" x14ac:dyDescent="0.2">
      <c r="A7003" s="6">
        <v>4670</v>
      </c>
      <c r="B7003" s="7">
        <v>33222</v>
      </c>
      <c r="C7003" s="8">
        <f>DATE(2012,12,31)-195</f>
        <v>41079</v>
      </c>
      <c r="D7003" s="8" t="str">
        <f t="shared" si="131"/>
        <v>2012-06 (июнь 2012)</v>
      </c>
      <c r="E7003" s="9" t="s">
        <v>63</v>
      </c>
      <c r="F7003" s="7">
        <v>30</v>
      </c>
      <c r="G7003" s="7">
        <v>1676.46</v>
      </c>
      <c r="H7003" s="7">
        <v>0.1</v>
      </c>
      <c r="I7003" s="9" t="s">
        <v>31</v>
      </c>
      <c r="J7003" s="10">
        <v>-626.08000000000004</v>
      </c>
      <c r="K7003" s="11">
        <v>60.98</v>
      </c>
      <c r="L7003" s="11">
        <v>30</v>
      </c>
      <c r="M7003" s="9" t="s">
        <v>1511</v>
      </c>
      <c r="N7003" s="6" t="s">
        <v>703</v>
      </c>
      <c r="O7003" s="6" t="s">
        <v>704</v>
      </c>
      <c r="P7003" s="9" t="s">
        <v>60</v>
      </c>
      <c r="Q7003" s="9" t="s">
        <v>49</v>
      </c>
      <c r="R7003" s="9" t="s">
        <v>112</v>
      </c>
      <c r="S7003" s="7" t="s">
        <v>979</v>
      </c>
      <c r="T7003" s="9" t="s">
        <v>36</v>
      </c>
      <c r="U7003" s="7">
        <v>0.7</v>
      </c>
      <c r="V7003" s="12">
        <f>C7003+1</f>
        <v>41080</v>
      </c>
      <c r="W7003">
        <f>IF(D7003=' Pivot Tables'!$A$4,1,0)</f>
        <v>0</v>
      </c>
      <c r="X7003">
        <f>IF(AND(LEFT(D7003,4)+1=LEFT(' Pivot Tables'!$A$4,4)+0,RIGHT(LEFT(D7003,7),2)=RIGHT(LEFT(' Pivot Tables'!$A$4,7),2)),1,0)</f>
        <v>0</v>
      </c>
      <c r="Y7003" s="6">
        <f>1/COUNTIF(Таблица1[Order ID],Таблица1[[#This Row],[Order ID]])</f>
        <v>0.33333333333333331</v>
      </c>
      <c r="Z7003" s="9">
        <f>1/COUNTIFS(Таблица1[Customer Name],Таблица1[[#This Row],[Customer Name]],Таблица1[Order-Year-Month],Таблица1[[#This Row],[Order-Year-Month]])</f>
        <v>0.33333333333333331</v>
      </c>
    </row>
    <row r="7004" spans="1:26" x14ac:dyDescent="0.2">
      <c r="A7004" s="6">
        <v>4671</v>
      </c>
      <c r="B7004" s="7">
        <v>33222</v>
      </c>
      <c r="C7004" s="8">
        <f>DATE(2012,12,31)-195</f>
        <v>41079</v>
      </c>
      <c r="D7004" s="8" t="str">
        <f t="shared" si="131"/>
        <v>2012-06 (июнь 2012)</v>
      </c>
      <c r="E7004" s="9" t="s">
        <v>63</v>
      </c>
      <c r="F7004" s="7">
        <v>48</v>
      </c>
      <c r="G7004" s="7">
        <v>145.66</v>
      </c>
      <c r="H7004" s="7">
        <v>0.02</v>
      </c>
      <c r="I7004" s="9" t="s">
        <v>22</v>
      </c>
      <c r="J7004" s="10">
        <v>28.89</v>
      </c>
      <c r="K7004" s="11">
        <v>2.88</v>
      </c>
      <c r="L7004" s="11">
        <v>0.7</v>
      </c>
      <c r="M7004" s="9" t="s">
        <v>1511</v>
      </c>
      <c r="N7004" s="6" t="s">
        <v>703</v>
      </c>
      <c r="O7004" s="6" t="s">
        <v>704</v>
      </c>
      <c r="P7004" s="9" t="s">
        <v>60</v>
      </c>
      <c r="Q7004" s="9" t="s">
        <v>26</v>
      </c>
      <c r="R7004" s="9" t="s">
        <v>95</v>
      </c>
      <c r="S7004" s="7" t="s">
        <v>96</v>
      </c>
      <c r="T7004" s="9" t="s">
        <v>68</v>
      </c>
      <c r="U7004" s="7">
        <v>0.56000000000000005</v>
      </c>
      <c r="V7004" s="12">
        <f>C7004+2</f>
        <v>41081</v>
      </c>
      <c r="W7004">
        <f>IF(D7004=' Pivot Tables'!$A$4,1,0)</f>
        <v>0</v>
      </c>
      <c r="X7004">
        <f>IF(AND(LEFT(D7004,4)+1=LEFT(' Pivot Tables'!$A$4,4)+0,RIGHT(LEFT(D7004,7),2)=RIGHT(LEFT(' Pivot Tables'!$A$4,7),2)),1,0)</f>
        <v>0</v>
      </c>
      <c r="Y7004" s="6">
        <f>1/COUNTIF(Таблица1[Order ID],Таблица1[[#This Row],[Order ID]])</f>
        <v>0.33333333333333331</v>
      </c>
      <c r="Z7004" s="9">
        <f>1/COUNTIFS(Таблица1[Customer Name],Таблица1[[#This Row],[Customer Name]],Таблица1[Order-Year-Month],Таблица1[[#This Row],[Order-Year-Month]])</f>
        <v>0.33333333333333331</v>
      </c>
    </row>
    <row r="7005" spans="1:26" x14ac:dyDescent="0.2">
      <c r="A7005" s="6">
        <v>4681</v>
      </c>
      <c r="B7005" s="7">
        <v>33317</v>
      </c>
      <c r="C7005" s="8">
        <f>DATE(2012,12,31)-1330</f>
        <v>39944</v>
      </c>
      <c r="D7005" s="8" t="str">
        <f t="shared" si="131"/>
        <v>2009-05 (май 2009)</v>
      </c>
      <c r="E7005" s="9" t="s">
        <v>30</v>
      </c>
      <c r="F7005" s="7">
        <v>35</v>
      </c>
      <c r="G7005" s="7">
        <v>203.35</v>
      </c>
      <c r="H7005" s="7">
        <v>0.08</v>
      </c>
      <c r="I7005" s="9" t="s">
        <v>22</v>
      </c>
      <c r="J7005" s="10">
        <v>-1605.73</v>
      </c>
      <c r="K7005" s="11">
        <v>4.4800000000000004</v>
      </c>
      <c r="L7005" s="11">
        <v>49</v>
      </c>
      <c r="M7005" s="9" t="s">
        <v>1474</v>
      </c>
      <c r="N7005" s="6" t="s">
        <v>703</v>
      </c>
      <c r="O7005" s="6" t="s">
        <v>704</v>
      </c>
      <c r="P7005" s="9" t="s">
        <v>33</v>
      </c>
      <c r="Q7005" s="9" t="s">
        <v>26</v>
      </c>
      <c r="R7005" s="9" t="s">
        <v>34</v>
      </c>
      <c r="S7005" s="7" t="s">
        <v>128</v>
      </c>
      <c r="T7005" s="9" t="s">
        <v>29</v>
      </c>
      <c r="U7005" s="7">
        <v>0.6</v>
      </c>
      <c r="V7005" s="12">
        <f>C7005+2</f>
        <v>39946</v>
      </c>
      <c r="W7005">
        <f>IF(D7005=' Pivot Tables'!$A$4,1,0)</f>
        <v>0</v>
      </c>
      <c r="X7005">
        <f>IF(AND(LEFT(D7005,4)+1=LEFT(' Pivot Tables'!$A$4,4)+0,RIGHT(LEFT(D7005,7),2)=RIGHT(LEFT(' Pivot Tables'!$A$4,7),2)),1,0)</f>
        <v>0</v>
      </c>
      <c r="Y7005" s="6">
        <f>1/COUNTIF(Таблица1[Order ID],Таблица1[[#This Row],[Order ID]])</f>
        <v>0.25</v>
      </c>
      <c r="Z7005" s="9">
        <f>1/COUNTIFS(Таблица1[Customer Name],Таблица1[[#This Row],[Customer Name]],Таблица1[Order-Year-Month],Таблица1[[#This Row],[Order-Year-Month]])</f>
        <v>0.25</v>
      </c>
    </row>
    <row r="7006" spans="1:26" x14ac:dyDescent="0.2">
      <c r="A7006" s="6">
        <v>4682</v>
      </c>
      <c r="B7006" s="7">
        <v>33317</v>
      </c>
      <c r="C7006" s="8">
        <f>DATE(2012,12,31)-1330</f>
        <v>39944</v>
      </c>
      <c r="D7006" s="8" t="str">
        <f t="shared" si="131"/>
        <v>2009-05 (май 2009)</v>
      </c>
      <c r="E7006" s="9" t="s">
        <v>30</v>
      </c>
      <c r="F7006" s="7">
        <v>18</v>
      </c>
      <c r="G7006" s="7">
        <v>44.52</v>
      </c>
      <c r="H7006" s="7">
        <v>0.03</v>
      </c>
      <c r="I7006" s="9" t="s">
        <v>22</v>
      </c>
      <c r="J7006" s="10">
        <v>-90.585499999999996</v>
      </c>
      <c r="K7006" s="11">
        <v>2.16</v>
      </c>
      <c r="L7006" s="11">
        <v>6.05</v>
      </c>
      <c r="M7006" s="9" t="s">
        <v>1474</v>
      </c>
      <c r="N7006" s="6" t="s">
        <v>703</v>
      </c>
      <c r="O7006" s="6" t="s">
        <v>704</v>
      </c>
      <c r="P7006" s="9" t="s">
        <v>33</v>
      </c>
      <c r="Q7006" s="9" t="s">
        <v>26</v>
      </c>
      <c r="R7006" s="9" t="s">
        <v>37</v>
      </c>
      <c r="S7006" s="7" t="s">
        <v>516</v>
      </c>
      <c r="T7006" s="9" t="s">
        <v>39</v>
      </c>
      <c r="U7006" s="7">
        <v>0.37</v>
      </c>
      <c r="V7006" s="12">
        <f>C7006+1</f>
        <v>39945</v>
      </c>
      <c r="W7006">
        <f>IF(D7006=' Pivot Tables'!$A$4,1,0)</f>
        <v>0</v>
      </c>
      <c r="X7006">
        <f>IF(AND(LEFT(D7006,4)+1=LEFT(' Pivot Tables'!$A$4,4)+0,RIGHT(LEFT(D7006,7),2)=RIGHT(LEFT(' Pivot Tables'!$A$4,7),2)),1,0)</f>
        <v>0</v>
      </c>
      <c r="Y7006" s="6">
        <f>1/COUNTIF(Таблица1[Order ID],Таблица1[[#This Row],[Order ID]])</f>
        <v>0.25</v>
      </c>
      <c r="Z7006" s="9">
        <f>1/COUNTIFS(Таблица1[Customer Name],Таблица1[[#This Row],[Customer Name]],Таблица1[Order-Year-Month],Таблица1[[#This Row],[Order-Year-Month]])</f>
        <v>0.25</v>
      </c>
    </row>
    <row r="7007" spans="1:26" x14ac:dyDescent="0.2">
      <c r="A7007" s="6">
        <v>4683</v>
      </c>
      <c r="B7007" s="7">
        <v>33317</v>
      </c>
      <c r="C7007" s="8">
        <f>DATE(2012,12,31)-1330</f>
        <v>39944</v>
      </c>
      <c r="D7007" s="8" t="str">
        <f t="shared" si="131"/>
        <v>2009-05 (май 2009)</v>
      </c>
      <c r="E7007" s="9" t="s">
        <v>30</v>
      </c>
      <c r="F7007" s="7">
        <v>5</v>
      </c>
      <c r="G7007" s="7">
        <v>58.9</v>
      </c>
      <c r="H7007" s="7">
        <v>0.03</v>
      </c>
      <c r="I7007" s="9" t="s">
        <v>22</v>
      </c>
      <c r="J7007" s="10">
        <v>-36.9</v>
      </c>
      <c r="K7007" s="11">
        <v>9.7100000000000009</v>
      </c>
      <c r="L7007" s="11">
        <v>9.4499999999999993</v>
      </c>
      <c r="M7007" s="9" t="s">
        <v>1474</v>
      </c>
      <c r="N7007" s="6" t="s">
        <v>703</v>
      </c>
      <c r="O7007" s="6" t="s">
        <v>704</v>
      </c>
      <c r="P7007" s="9" t="s">
        <v>33</v>
      </c>
      <c r="Q7007" s="9" t="s">
        <v>26</v>
      </c>
      <c r="R7007" s="9" t="s">
        <v>27</v>
      </c>
      <c r="S7007" s="7" t="s">
        <v>927</v>
      </c>
      <c r="T7007" s="9" t="s">
        <v>39</v>
      </c>
      <c r="U7007" s="7">
        <v>0.6</v>
      </c>
      <c r="V7007" s="12">
        <f>C7007+0</f>
        <v>39944</v>
      </c>
      <c r="W7007">
        <f>IF(D7007=' Pivot Tables'!$A$4,1,0)</f>
        <v>0</v>
      </c>
      <c r="X7007">
        <f>IF(AND(LEFT(D7007,4)+1=LEFT(' Pivot Tables'!$A$4,4)+0,RIGHT(LEFT(D7007,7),2)=RIGHT(LEFT(' Pivot Tables'!$A$4,7),2)),1,0)</f>
        <v>0</v>
      </c>
      <c r="Y7007" s="6">
        <f>1/COUNTIF(Таблица1[Order ID],Таблица1[[#This Row],[Order ID]])</f>
        <v>0.25</v>
      </c>
      <c r="Z7007" s="9">
        <f>1/COUNTIFS(Таблица1[Customer Name],Таблица1[[#This Row],[Customer Name]],Таблица1[Order-Year-Month],Таблица1[[#This Row],[Order-Year-Month]])</f>
        <v>0.25</v>
      </c>
    </row>
    <row r="7008" spans="1:26" x14ac:dyDescent="0.2">
      <c r="A7008" s="6">
        <v>4684</v>
      </c>
      <c r="B7008" s="7">
        <v>33317</v>
      </c>
      <c r="C7008" s="8">
        <f>DATE(2012,12,31)-1330</f>
        <v>39944</v>
      </c>
      <c r="D7008" s="8" t="str">
        <f t="shared" si="131"/>
        <v>2009-05 (май 2009)</v>
      </c>
      <c r="E7008" s="9" t="s">
        <v>30</v>
      </c>
      <c r="F7008" s="7">
        <v>13</v>
      </c>
      <c r="G7008" s="7">
        <v>602.42049999999995</v>
      </c>
      <c r="H7008" s="7">
        <v>0.09</v>
      </c>
      <c r="I7008" s="9" t="s">
        <v>22</v>
      </c>
      <c r="J7008" s="10">
        <v>10.979999999999945</v>
      </c>
      <c r="K7008" s="11">
        <v>55.99</v>
      </c>
      <c r="L7008" s="11">
        <v>1.25</v>
      </c>
      <c r="M7008" s="9" t="s">
        <v>1474</v>
      </c>
      <c r="N7008" s="6" t="s">
        <v>703</v>
      </c>
      <c r="O7008" s="6" t="s">
        <v>704</v>
      </c>
      <c r="P7008" s="9" t="s">
        <v>33</v>
      </c>
      <c r="Q7008" s="9" t="s">
        <v>42</v>
      </c>
      <c r="R7008" s="9" t="s">
        <v>43</v>
      </c>
      <c r="S7008" s="7" t="s">
        <v>661</v>
      </c>
      <c r="T7008" s="9" t="s">
        <v>52</v>
      </c>
      <c r="U7008" s="7">
        <v>0.55000000000000004</v>
      </c>
      <c r="V7008" s="12">
        <f>C7008+2</f>
        <v>39946</v>
      </c>
      <c r="W7008">
        <f>IF(D7008=' Pivot Tables'!$A$4,1,0)</f>
        <v>0</v>
      </c>
      <c r="X7008">
        <f>IF(AND(LEFT(D7008,4)+1=LEFT(' Pivot Tables'!$A$4,4)+0,RIGHT(LEFT(D7008,7),2)=RIGHT(LEFT(' Pivot Tables'!$A$4,7),2)),1,0)</f>
        <v>0</v>
      </c>
      <c r="Y7008" s="6">
        <f>1/COUNTIF(Таблица1[Order ID],Таблица1[[#This Row],[Order ID]])</f>
        <v>0.25</v>
      </c>
      <c r="Z7008" s="9">
        <f>1/COUNTIFS(Таблица1[Customer Name],Таблица1[[#This Row],[Customer Name]],Таблица1[Order-Year-Month],Таблица1[[#This Row],[Order-Year-Month]])</f>
        <v>0.25</v>
      </c>
    </row>
    <row r="7009" spans="1:26" x14ac:dyDescent="0.2">
      <c r="A7009" s="6">
        <v>4693</v>
      </c>
      <c r="B7009" s="7">
        <v>33445</v>
      </c>
      <c r="C7009" s="8">
        <f>DATE(2012,12,31)-151</f>
        <v>41123</v>
      </c>
      <c r="D7009" s="8" t="str">
        <f t="shared" si="131"/>
        <v>2012-08 (август 2012)</v>
      </c>
      <c r="E7009" s="9" t="s">
        <v>21</v>
      </c>
      <c r="F7009" s="7">
        <v>18</v>
      </c>
      <c r="G7009" s="7">
        <v>1776.96</v>
      </c>
      <c r="H7009" s="7">
        <v>7.0000000000000007E-2</v>
      </c>
      <c r="I7009" s="9" t="s">
        <v>31</v>
      </c>
      <c r="J7009" s="10">
        <v>-197.06</v>
      </c>
      <c r="K7009" s="11">
        <v>100.98</v>
      </c>
      <c r="L7009" s="11">
        <v>35.840000000000003</v>
      </c>
      <c r="M7009" s="9" t="s">
        <v>2048</v>
      </c>
      <c r="N7009" s="6" t="s">
        <v>703</v>
      </c>
      <c r="O7009" s="6" t="s">
        <v>704</v>
      </c>
      <c r="P7009" s="9" t="s">
        <v>25</v>
      </c>
      <c r="Q7009" s="9" t="s">
        <v>49</v>
      </c>
      <c r="R7009" s="9" t="s">
        <v>80</v>
      </c>
      <c r="S7009" s="7" t="s">
        <v>705</v>
      </c>
      <c r="T7009" s="9" t="s">
        <v>82</v>
      </c>
      <c r="U7009" s="7">
        <v>0.62</v>
      </c>
      <c r="V7009" s="12">
        <f>C7009+5</f>
        <v>41128</v>
      </c>
      <c r="W7009">
        <f>IF(D7009=' Pivot Tables'!$A$4,1,0)</f>
        <v>0</v>
      </c>
      <c r="X7009">
        <f>IF(AND(LEFT(D7009,4)+1=LEFT(' Pivot Tables'!$A$4,4)+0,RIGHT(LEFT(D7009,7),2)=RIGHT(LEFT(' Pivot Tables'!$A$4,7),2)),1,0)</f>
        <v>0</v>
      </c>
      <c r="Y7009" s="6">
        <f>1/COUNTIF(Таблица1[Order ID],Таблица1[[#This Row],[Order ID]])</f>
        <v>0.33333333333333331</v>
      </c>
      <c r="Z7009" s="9">
        <f>1/COUNTIFS(Таблица1[Customer Name],Таблица1[[#This Row],[Customer Name]],Таблица1[Order-Year-Month],Таблица1[[#This Row],[Order-Year-Month]])</f>
        <v>0.33333333333333331</v>
      </c>
    </row>
    <row r="7010" spans="1:26" x14ac:dyDescent="0.2">
      <c r="A7010" s="6">
        <v>4694</v>
      </c>
      <c r="B7010" s="7">
        <v>33445</v>
      </c>
      <c r="C7010" s="8">
        <f>DATE(2012,12,31)-151</f>
        <v>41123</v>
      </c>
      <c r="D7010" s="8" t="str">
        <f t="shared" si="131"/>
        <v>2012-08 (август 2012)</v>
      </c>
      <c r="E7010" s="9" t="s">
        <v>21</v>
      </c>
      <c r="F7010" s="7">
        <v>49</v>
      </c>
      <c r="G7010" s="7">
        <v>3642.14</v>
      </c>
      <c r="H7010" s="7">
        <v>0.01</v>
      </c>
      <c r="I7010" s="9" t="s">
        <v>31</v>
      </c>
      <c r="J7010" s="10">
        <v>103.11</v>
      </c>
      <c r="K7010" s="11">
        <v>70.98</v>
      </c>
      <c r="L7010" s="11">
        <v>26.74</v>
      </c>
      <c r="M7010" s="9" t="s">
        <v>2048</v>
      </c>
      <c r="N7010" s="6" t="s">
        <v>703</v>
      </c>
      <c r="O7010" s="6" t="s">
        <v>704</v>
      </c>
      <c r="P7010" s="9" t="s">
        <v>25</v>
      </c>
      <c r="Q7010" s="9" t="s">
        <v>49</v>
      </c>
      <c r="R7010" s="9" t="s">
        <v>80</v>
      </c>
      <c r="S7010" s="7" t="s">
        <v>675</v>
      </c>
      <c r="T7010" s="9" t="s">
        <v>82</v>
      </c>
      <c r="U7010" s="7">
        <v>0.6</v>
      </c>
      <c r="V7010" s="12">
        <f>C7010+5</f>
        <v>41128</v>
      </c>
      <c r="W7010">
        <f>IF(D7010=' Pivot Tables'!$A$4,1,0)</f>
        <v>0</v>
      </c>
      <c r="X7010">
        <f>IF(AND(LEFT(D7010,4)+1=LEFT(' Pivot Tables'!$A$4,4)+0,RIGHT(LEFT(D7010,7),2)=RIGHT(LEFT(' Pivot Tables'!$A$4,7),2)),1,0)</f>
        <v>0</v>
      </c>
      <c r="Y7010" s="6">
        <f>1/COUNTIF(Таблица1[Order ID],Таблица1[[#This Row],[Order ID]])</f>
        <v>0.33333333333333331</v>
      </c>
      <c r="Z7010" s="9">
        <f>1/COUNTIFS(Таблица1[Customer Name],Таблица1[[#This Row],[Customer Name]],Таблица1[Order-Year-Month],Таблица1[[#This Row],[Order-Year-Month]])</f>
        <v>0.33333333333333331</v>
      </c>
    </row>
    <row r="7011" spans="1:26" x14ac:dyDescent="0.2">
      <c r="A7011" s="6">
        <v>4695</v>
      </c>
      <c r="B7011" s="7">
        <v>33445</v>
      </c>
      <c r="C7011" s="8">
        <f>DATE(2012,12,31)-151</f>
        <v>41123</v>
      </c>
      <c r="D7011" s="8" t="str">
        <f t="shared" si="131"/>
        <v>2012-08 (август 2012)</v>
      </c>
      <c r="E7011" s="9" t="s">
        <v>21</v>
      </c>
      <c r="F7011" s="7">
        <v>16</v>
      </c>
      <c r="G7011" s="7">
        <v>2982.5</v>
      </c>
      <c r="H7011" s="7">
        <v>0.05</v>
      </c>
      <c r="I7011" s="9" t="s">
        <v>22</v>
      </c>
      <c r="J7011" s="10">
        <v>-589.58000000000004</v>
      </c>
      <c r="K7011" s="11">
        <v>182.55</v>
      </c>
      <c r="L7011" s="11">
        <v>69</v>
      </c>
      <c r="M7011" s="9" t="s">
        <v>2048</v>
      </c>
      <c r="N7011" s="6" t="s">
        <v>703</v>
      </c>
      <c r="O7011" s="6" t="s">
        <v>704</v>
      </c>
      <c r="P7011" s="9" t="s">
        <v>25</v>
      </c>
      <c r="Q7011" s="9" t="s">
        <v>49</v>
      </c>
      <c r="R7011" s="9" t="s">
        <v>83</v>
      </c>
      <c r="S7011" s="7" t="s">
        <v>484</v>
      </c>
      <c r="T7011" s="9" t="s">
        <v>29</v>
      </c>
      <c r="U7011" s="7">
        <v>0.72</v>
      </c>
      <c r="V7011" s="12">
        <f>C7011+2</f>
        <v>41125</v>
      </c>
      <c r="W7011">
        <f>IF(D7011=' Pivot Tables'!$A$4,1,0)</f>
        <v>0</v>
      </c>
      <c r="X7011">
        <f>IF(AND(LEFT(D7011,4)+1=LEFT(' Pivot Tables'!$A$4,4)+0,RIGHT(LEFT(D7011,7),2)=RIGHT(LEFT(' Pivot Tables'!$A$4,7),2)),1,0)</f>
        <v>0</v>
      </c>
      <c r="Y7011" s="6">
        <f>1/COUNTIF(Таблица1[Order ID],Таблица1[[#This Row],[Order ID]])</f>
        <v>0.33333333333333331</v>
      </c>
      <c r="Z7011" s="9">
        <f>1/COUNTIFS(Таблица1[Customer Name],Таблица1[[#This Row],[Customer Name]],Таблица1[Order-Year-Month],Таблица1[[#This Row],[Order-Year-Month]])</f>
        <v>0.33333333333333331</v>
      </c>
    </row>
    <row r="7012" spans="1:26" x14ac:dyDescent="0.2">
      <c r="A7012" s="6">
        <v>4719</v>
      </c>
      <c r="B7012" s="7">
        <v>33604</v>
      </c>
      <c r="C7012" s="8">
        <f>DATE(2012,12,31)-501</f>
        <v>40773</v>
      </c>
      <c r="D7012" s="8" t="str">
        <f t="shared" si="131"/>
        <v>2011-08 (август 2011)</v>
      </c>
      <c r="E7012" s="9" t="s">
        <v>30</v>
      </c>
      <c r="F7012" s="7">
        <v>10</v>
      </c>
      <c r="G7012" s="7">
        <v>59.62</v>
      </c>
      <c r="H7012" s="7">
        <v>0.04</v>
      </c>
      <c r="I7012" s="9" t="s">
        <v>22</v>
      </c>
      <c r="J7012" s="10">
        <v>-56.304000000000002</v>
      </c>
      <c r="K7012" s="11">
        <v>5.4</v>
      </c>
      <c r="L7012" s="11">
        <v>7.78</v>
      </c>
      <c r="M7012" s="9" t="s">
        <v>1490</v>
      </c>
      <c r="N7012" s="6" t="s">
        <v>703</v>
      </c>
      <c r="O7012" s="6" t="s">
        <v>704</v>
      </c>
      <c r="P7012" s="9" t="s">
        <v>41</v>
      </c>
      <c r="Q7012" s="9" t="s">
        <v>26</v>
      </c>
      <c r="R7012" s="9" t="s">
        <v>37</v>
      </c>
      <c r="S7012" s="7" t="s">
        <v>330</v>
      </c>
      <c r="T7012" s="9" t="s">
        <v>39</v>
      </c>
      <c r="U7012" s="7">
        <v>0.37</v>
      </c>
      <c r="V7012" s="12">
        <f>C7012+2</f>
        <v>40775</v>
      </c>
      <c r="W7012">
        <f>IF(D7012=' Pivot Tables'!$A$4,1,0)</f>
        <v>0</v>
      </c>
      <c r="X7012">
        <f>IF(AND(LEFT(D7012,4)+1=LEFT(' Pivot Tables'!$A$4,4)+0,RIGHT(LEFT(D7012,7),2)=RIGHT(LEFT(' Pivot Tables'!$A$4,7),2)),1,0)</f>
        <v>0</v>
      </c>
      <c r="Y7012" s="6">
        <f>1/COUNTIF(Таблица1[Order ID],Таблица1[[#This Row],[Order ID]])</f>
        <v>1</v>
      </c>
      <c r="Z7012" s="9">
        <f>1/COUNTIFS(Таблица1[Customer Name],Таблица1[[#This Row],[Customer Name]],Таблица1[Order-Year-Month],Таблица1[[#This Row],[Order-Year-Month]])</f>
        <v>1</v>
      </c>
    </row>
    <row r="7013" spans="1:26" x14ac:dyDescent="0.2">
      <c r="A7013" s="6">
        <v>4731</v>
      </c>
      <c r="B7013" s="7">
        <v>33696</v>
      </c>
      <c r="C7013" s="8">
        <f>DATE(2012,12,31)-1334</f>
        <v>39940</v>
      </c>
      <c r="D7013" s="8" t="str">
        <f t="shared" si="131"/>
        <v>2009-05 (май 2009)</v>
      </c>
      <c r="E7013" s="9" t="s">
        <v>30</v>
      </c>
      <c r="F7013" s="7">
        <v>2</v>
      </c>
      <c r="G7013" s="7">
        <v>57.73</v>
      </c>
      <c r="H7013" s="7">
        <v>0.06</v>
      </c>
      <c r="I7013" s="9" t="s">
        <v>22</v>
      </c>
      <c r="J7013" s="10">
        <v>-101.41</v>
      </c>
      <c r="K7013" s="11">
        <v>27.48</v>
      </c>
      <c r="L7013" s="11">
        <v>4</v>
      </c>
      <c r="M7013" s="9" t="s">
        <v>1546</v>
      </c>
      <c r="N7013" s="6" t="s">
        <v>703</v>
      </c>
      <c r="O7013" s="6" t="s">
        <v>704</v>
      </c>
      <c r="P7013" s="9" t="s">
        <v>25</v>
      </c>
      <c r="Q7013" s="9" t="s">
        <v>42</v>
      </c>
      <c r="R7013" s="9" t="s">
        <v>70</v>
      </c>
      <c r="S7013" s="7" t="s">
        <v>762</v>
      </c>
      <c r="T7013" s="9" t="s">
        <v>39</v>
      </c>
      <c r="U7013" s="7">
        <v>0.75</v>
      </c>
      <c r="V7013" s="12">
        <f>C7013+2</f>
        <v>39942</v>
      </c>
      <c r="W7013">
        <f>IF(D7013=' Pivot Tables'!$A$4,1,0)</f>
        <v>0</v>
      </c>
      <c r="X7013">
        <f>IF(AND(LEFT(D7013,4)+1=LEFT(' Pivot Tables'!$A$4,4)+0,RIGHT(LEFT(D7013,7),2)=RIGHT(LEFT(' Pivot Tables'!$A$4,7),2)),1,0)</f>
        <v>0</v>
      </c>
      <c r="Y7013" s="6">
        <f>1/COUNTIF(Таблица1[Order ID],Таблица1[[#This Row],[Order ID]])</f>
        <v>1</v>
      </c>
      <c r="Z7013" s="9">
        <f>1/COUNTIFS(Таблица1[Customer Name],Таблица1[[#This Row],[Customer Name]],Таблица1[Order-Year-Month],Таблица1[[#This Row],[Order-Year-Month]])</f>
        <v>1</v>
      </c>
    </row>
    <row r="7014" spans="1:26" x14ac:dyDescent="0.2">
      <c r="A7014" s="6">
        <v>4737</v>
      </c>
      <c r="B7014" s="7">
        <v>33702</v>
      </c>
      <c r="C7014" s="8">
        <f>DATE(2012,12,31)-120</f>
        <v>41154</v>
      </c>
      <c r="D7014" s="8" t="str">
        <f t="shared" si="131"/>
        <v>2012-09 (сентябрь 2012)</v>
      </c>
      <c r="E7014" s="9" t="s">
        <v>45</v>
      </c>
      <c r="F7014" s="7">
        <v>14</v>
      </c>
      <c r="G7014" s="7">
        <v>56.26</v>
      </c>
      <c r="H7014" s="7">
        <v>0</v>
      </c>
      <c r="I7014" s="9" t="s">
        <v>56</v>
      </c>
      <c r="J7014" s="10">
        <v>28.11</v>
      </c>
      <c r="K7014" s="11">
        <v>2.89</v>
      </c>
      <c r="L7014" s="11">
        <v>0.5</v>
      </c>
      <c r="M7014" s="9" t="s">
        <v>2027</v>
      </c>
      <c r="N7014" s="6" t="s">
        <v>703</v>
      </c>
      <c r="O7014" s="6" t="s">
        <v>704</v>
      </c>
      <c r="P7014" s="9" t="s">
        <v>41</v>
      </c>
      <c r="Q7014" s="9" t="s">
        <v>26</v>
      </c>
      <c r="R7014" s="9" t="s">
        <v>88</v>
      </c>
      <c r="S7014" s="7" t="s">
        <v>474</v>
      </c>
      <c r="T7014" s="9" t="s">
        <v>39</v>
      </c>
      <c r="U7014" s="7">
        <v>0.38</v>
      </c>
      <c r="V7014" s="12">
        <f>C7014+1</f>
        <v>41155</v>
      </c>
      <c r="W7014">
        <f>IF(D7014=' Pivot Tables'!$A$4,1,0)</f>
        <v>0</v>
      </c>
      <c r="X7014">
        <f>IF(AND(LEFT(D7014,4)+1=LEFT(' Pivot Tables'!$A$4,4)+0,RIGHT(LEFT(D7014,7),2)=RIGHT(LEFT(' Pivot Tables'!$A$4,7),2)),1,0)</f>
        <v>0</v>
      </c>
      <c r="Y7014" s="6">
        <f>1/COUNTIF(Таблица1[Order ID],Таблица1[[#This Row],[Order ID]])</f>
        <v>1</v>
      </c>
      <c r="Z7014" s="9">
        <f>1/COUNTIFS(Таблица1[Customer Name],Таблица1[[#This Row],[Customer Name]],Таблица1[Order-Year-Month],Таблица1[[#This Row],[Order-Year-Month]])</f>
        <v>1</v>
      </c>
    </row>
    <row r="7015" spans="1:26" x14ac:dyDescent="0.2">
      <c r="A7015" s="6">
        <v>4778</v>
      </c>
      <c r="B7015" s="7">
        <v>33923</v>
      </c>
      <c r="C7015" s="8">
        <f>DATE(2012,12,31)-1454</f>
        <v>39820</v>
      </c>
      <c r="D7015" s="8" t="str">
        <f t="shared" si="131"/>
        <v>2009-01 (январь 2009)</v>
      </c>
      <c r="E7015" s="9" t="s">
        <v>21</v>
      </c>
      <c r="F7015" s="7">
        <v>34</v>
      </c>
      <c r="G7015" s="7">
        <v>1961.7914999999998</v>
      </c>
      <c r="H7015" s="7">
        <v>0.05</v>
      </c>
      <c r="I7015" s="9" t="s">
        <v>22</v>
      </c>
      <c r="J7015" s="10">
        <v>425.75400000000002</v>
      </c>
      <c r="K7015" s="11">
        <v>65.989999999999995</v>
      </c>
      <c r="L7015" s="11">
        <v>5.99</v>
      </c>
      <c r="M7015" s="9" t="s">
        <v>1578</v>
      </c>
      <c r="N7015" s="6" t="s">
        <v>703</v>
      </c>
      <c r="O7015" s="6" t="s">
        <v>704</v>
      </c>
      <c r="P7015" s="9" t="s">
        <v>25</v>
      </c>
      <c r="Q7015" s="9" t="s">
        <v>42</v>
      </c>
      <c r="R7015" s="9" t="s">
        <v>43</v>
      </c>
      <c r="S7015" s="7" t="s">
        <v>560</v>
      </c>
      <c r="T7015" s="9" t="s">
        <v>39</v>
      </c>
      <c r="U7015" s="7">
        <v>0.57999999999999996</v>
      </c>
      <c r="V7015" s="12">
        <f>C7015+4</f>
        <v>39824</v>
      </c>
      <c r="W7015">
        <f>IF(D7015=' Pivot Tables'!$A$4,1,0)</f>
        <v>0</v>
      </c>
      <c r="X7015">
        <f>IF(AND(LEFT(D7015,4)+1=LEFT(' Pivot Tables'!$A$4,4)+0,RIGHT(LEFT(D7015,7),2)=RIGHT(LEFT(' Pivot Tables'!$A$4,7),2)),1,0)</f>
        <v>1</v>
      </c>
      <c r="Y7015" s="6">
        <f>1/COUNTIF(Таблица1[Order ID],Таблица1[[#This Row],[Order ID]])</f>
        <v>1</v>
      </c>
      <c r="Z7015" s="9">
        <f>1/COUNTIFS(Таблица1[Customer Name],Таблица1[[#This Row],[Customer Name]],Таблица1[Order-Year-Month],Таблица1[[#This Row],[Order-Year-Month]])</f>
        <v>0.5</v>
      </c>
    </row>
    <row r="7016" spans="1:26" x14ac:dyDescent="0.2">
      <c r="A7016" s="6">
        <v>4779</v>
      </c>
      <c r="B7016" s="7">
        <v>33924</v>
      </c>
      <c r="C7016" s="8">
        <f>DATE(2012,12,31)-74</f>
        <v>41200</v>
      </c>
      <c r="D7016" s="8" t="str">
        <f t="shared" si="131"/>
        <v>2012-10 (октябрь 2012)</v>
      </c>
      <c r="E7016" s="9" t="s">
        <v>45</v>
      </c>
      <c r="F7016" s="7">
        <v>12</v>
      </c>
      <c r="G7016" s="7">
        <v>6168.07</v>
      </c>
      <c r="H7016" s="7">
        <v>0.05</v>
      </c>
      <c r="I7016" s="9" t="s">
        <v>31</v>
      </c>
      <c r="J7016" s="10">
        <v>1542</v>
      </c>
      <c r="K7016" s="11">
        <v>500.98</v>
      </c>
      <c r="L7016" s="11">
        <v>28.14</v>
      </c>
      <c r="M7016" s="9" t="s">
        <v>1025</v>
      </c>
      <c r="N7016" s="6" t="s">
        <v>703</v>
      </c>
      <c r="O7016" s="6" t="s">
        <v>704</v>
      </c>
      <c r="P7016" s="9" t="s">
        <v>33</v>
      </c>
      <c r="Q7016" s="9" t="s">
        <v>42</v>
      </c>
      <c r="R7016" s="9" t="s">
        <v>210</v>
      </c>
      <c r="S7016" s="7" t="s">
        <v>1016</v>
      </c>
      <c r="T7016" s="9" t="s">
        <v>36</v>
      </c>
      <c r="U7016" s="7">
        <v>0.38</v>
      </c>
      <c r="V7016" s="12">
        <f>C7016+2</f>
        <v>41202</v>
      </c>
      <c r="W7016">
        <f>IF(D7016=' Pivot Tables'!$A$4,1,0)</f>
        <v>0</v>
      </c>
      <c r="X7016">
        <f>IF(AND(LEFT(D7016,4)+1=LEFT(' Pivot Tables'!$A$4,4)+0,RIGHT(LEFT(D7016,7),2)=RIGHT(LEFT(' Pivot Tables'!$A$4,7),2)),1,0)</f>
        <v>0</v>
      </c>
      <c r="Y7016" s="6">
        <f>1/COUNTIF(Таблица1[Order ID],Таблица1[[#This Row],[Order ID]])</f>
        <v>1</v>
      </c>
      <c r="Z7016" s="9">
        <f>1/COUNTIFS(Таблица1[Customer Name],Таблица1[[#This Row],[Customer Name]],Таблица1[Order-Year-Month],Таблица1[[#This Row],[Order-Year-Month]])</f>
        <v>0.5</v>
      </c>
    </row>
    <row r="7017" spans="1:26" x14ac:dyDescent="0.2">
      <c r="A7017" s="6">
        <v>4786</v>
      </c>
      <c r="B7017" s="7">
        <v>33987</v>
      </c>
      <c r="C7017" s="8">
        <f>DATE(2012,12,31)-433</f>
        <v>40841</v>
      </c>
      <c r="D7017" s="8" t="str">
        <f t="shared" si="131"/>
        <v>2011-10 (октябрь 2011)</v>
      </c>
      <c r="E7017" s="9" t="s">
        <v>30</v>
      </c>
      <c r="F7017" s="7">
        <v>27</v>
      </c>
      <c r="G7017" s="7">
        <v>1521.1344999999999</v>
      </c>
      <c r="H7017" s="7">
        <v>7.0000000000000007E-2</v>
      </c>
      <c r="I7017" s="9" t="s">
        <v>22</v>
      </c>
      <c r="J7017" s="10">
        <v>270.60300000000001</v>
      </c>
      <c r="K7017" s="11">
        <v>65.989999999999995</v>
      </c>
      <c r="L7017" s="11">
        <v>3.99</v>
      </c>
      <c r="M7017" s="9" t="s">
        <v>1506</v>
      </c>
      <c r="N7017" s="6" t="s">
        <v>703</v>
      </c>
      <c r="O7017" s="6" t="s">
        <v>704</v>
      </c>
      <c r="P7017" s="9" t="s">
        <v>25</v>
      </c>
      <c r="Q7017" s="9" t="s">
        <v>42</v>
      </c>
      <c r="R7017" s="9" t="s">
        <v>43</v>
      </c>
      <c r="S7017" s="7" t="s">
        <v>582</v>
      </c>
      <c r="T7017" s="9" t="s">
        <v>39</v>
      </c>
      <c r="U7017" s="7">
        <v>0.59</v>
      </c>
      <c r="V7017" s="12">
        <f>C7017+1</f>
        <v>40842</v>
      </c>
      <c r="W7017">
        <f>IF(D7017=' Pivot Tables'!$A$4,1,0)</f>
        <v>0</v>
      </c>
      <c r="X7017">
        <f>IF(AND(LEFT(D7017,4)+1=LEFT(' Pivot Tables'!$A$4,4)+0,RIGHT(LEFT(D7017,7),2)=RIGHT(LEFT(' Pivot Tables'!$A$4,7),2)),1,0)</f>
        <v>0</v>
      </c>
      <c r="Y7017" s="6">
        <f>1/COUNTIF(Таблица1[Order ID],Таблица1[[#This Row],[Order ID]])</f>
        <v>0.5</v>
      </c>
      <c r="Z7017" s="9">
        <f>1/COUNTIFS(Таблица1[Customer Name],Таблица1[[#This Row],[Customer Name]],Таблица1[Order-Year-Month],Таблица1[[#This Row],[Order-Year-Month]])</f>
        <v>0.5</v>
      </c>
    </row>
    <row r="7018" spans="1:26" x14ac:dyDescent="0.2">
      <c r="A7018" s="6">
        <v>4814</v>
      </c>
      <c r="B7018" s="7">
        <v>34243</v>
      </c>
      <c r="C7018" s="8">
        <f>DATE(2012,12,31)-689</f>
        <v>40585</v>
      </c>
      <c r="D7018" s="8" t="str">
        <f t="shared" si="131"/>
        <v>2011-02 (февраль 2011)</v>
      </c>
      <c r="E7018" s="9" t="s">
        <v>30</v>
      </c>
      <c r="F7018" s="7">
        <v>10</v>
      </c>
      <c r="G7018" s="7">
        <v>89.04</v>
      </c>
      <c r="H7018" s="7">
        <v>0.08</v>
      </c>
      <c r="I7018" s="9" t="s">
        <v>22</v>
      </c>
      <c r="J7018" s="10">
        <v>-16.489999999999998</v>
      </c>
      <c r="K7018" s="11">
        <v>8.75</v>
      </c>
      <c r="L7018" s="11">
        <v>8.5399999999999991</v>
      </c>
      <c r="M7018" s="9" t="s">
        <v>2051</v>
      </c>
      <c r="N7018" s="6" t="s">
        <v>703</v>
      </c>
      <c r="O7018" s="6" t="s">
        <v>704</v>
      </c>
      <c r="P7018" s="9" t="s">
        <v>60</v>
      </c>
      <c r="Q7018" s="9" t="s">
        <v>49</v>
      </c>
      <c r="R7018" s="9" t="s">
        <v>50</v>
      </c>
      <c r="S7018" s="7" t="s">
        <v>663</v>
      </c>
      <c r="T7018" s="9" t="s">
        <v>52</v>
      </c>
      <c r="U7018" s="7">
        <v>0.43</v>
      </c>
      <c r="V7018" s="12">
        <f>C7018+2</f>
        <v>40587</v>
      </c>
      <c r="W7018">
        <f>IF(D7018=' Pivot Tables'!$A$4,1,0)</f>
        <v>0</v>
      </c>
      <c r="X7018">
        <f>IF(AND(LEFT(D7018,4)+1=LEFT(' Pivot Tables'!$A$4,4)+0,RIGHT(LEFT(D7018,7),2)=RIGHT(LEFT(' Pivot Tables'!$A$4,7),2)),1,0)</f>
        <v>0</v>
      </c>
      <c r="Y7018" s="6">
        <f>1/COUNTIF(Таблица1[Order ID],Таблица1[[#This Row],[Order ID]])</f>
        <v>0.33333333333333331</v>
      </c>
      <c r="Z7018" s="9">
        <f>1/COUNTIFS(Таблица1[Customer Name],Таблица1[[#This Row],[Customer Name]],Таблица1[Order-Year-Month],Таблица1[[#This Row],[Order-Year-Month]])</f>
        <v>0.14285714285714285</v>
      </c>
    </row>
    <row r="7019" spans="1:26" x14ac:dyDescent="0.2">
      <c r="A7019" s="6">
        <v>4815</v>
      </c>
      <c r="B7019" s="7">
        <v>34243</v>
      </c>
      <c r="C7019" s="8">
        <f>DATE(2012,12,31)-689</f>
        <v>40585</v>
      </c>
      <c r="D7019" s="8" t="str">
        <f t="shared" si="131"/>
        <v>2011-02 (февраль 2011)</v>
      </c>
      <c r="E7019" s="9" t="s">
        <v>30</v>
      </c>
      <c r="F7019" s="7">
        <v>40</v>
      </c>
      <c r="G7019" s="7">
        <v>297.33999999999997</v>
      </c>
      <c r="H7019" s="7">
        <v>0.04</v>
      </c>
      <c r="I7019" s="9" t="s">
        <v>56</v>
      </c>
      <c r="J7019" s="10">
        <v>-270.95999999999998</v>
      </c>
      <c r="K7019" s="11">
        <v>7.28</v>
      </c>
      <c r="L7019" s="11">
        <v>11.15</v>
      </c>
      <c r="M7019" s="9" t="s">
        <v>2051</v>
      </c>
      <c r="N7019" s="6" t="s">
        <v>703</v>
      </c>
      <c r="O7019" s="6" t="s">
        <v>704</v>
      </c>
      <c r="P7019" s="9" t="s">
        <v>60</v>
      </c>
      <c r="Q7019" s="9" t="s">
        <v>26</v>
      </c>
      <c r="R7019" s="9" t="s">
        <v>61</v>
      </c>
      <c r="S7019" s="7" t="s">
        <v>666</v>
      </c>
      <c r="T7019" s="9" t="s">
        <v>39</v>
      </c>
      <c r="U7019" s="7">
        <v>0.37</v>
      </c>
      <c r="V7019" s="12">
        <f>C7019+1</f>
        <v>40586</v>
      </c>
      <c r="W7019">
        <f>IF(D7019=' Pivot Tables'!$A$4,1,0)</f>
        <v>0</v>
      </c>
      <c r="X7019">
        <f>IF(AND(LEFT(D7019,4)+1=LEFT(' Pivot Tables'!$A$4,4)+0,RIGHT(LEFT(D7019,7),2)=RIGHT(LEFT(' Pivot Tables'!$A$4,7),2)),1,0)</f>
        <v>0</v>
      </c>
      <c r="Y7019" s="6">
        <f>1/COUNTIF(Таблица1[Order ID],Таблица1[[#This Row],[Order ID]])</f>
        <v>0.33333333333333331</v>
      </c>
      <c r="Z7019" s="9">
        <f>1/COUNTIFS(Таблица1[Customer Name],Таблица1[[#This Row],[Customer Name]],Таблица1[Order-Year-Month],Таблица1[[#This Row],[Order-Year-Month]])</f>
        <v>0.14285714285714285</v>
      </c>
    </row>
    <row r="7020" spans="1:26" x14ac:dyDescent="0.2">
      <c r="A7020" s="6">
        <v>4816</v>
      </c>
      <c r="B7020" s="7">
        <v>34243</v>
      </c>
      <c r="C7020" s="8">
        <f>DATE(2012,12,31)-689</f>
        <v>40585</v>
      </c>
      <c r="D7020" s="8" t="str">
        <f t="shared" si="131"/>
        <v>2011-02 (февраль 2011)</v>
      </c>
      <c r="E7020" s="9" t="s">
        <v>30</v>
      </c>
      <c r="F7020" s="7">
        <v>35</v>
      </c>
      <c r="G7020" s="7">
        <v>1264.1300000000001</v>
      </c>
      <c r="H7020" s="7">
        <v>0.02</v>
      </c>
      <c r="I7020" s="9" t="s">
        <v>22</v>
      </c>
      <c r="J7020" s="10">
        <v>-1087.3599999999999</v>
      </c>
      <c r="K7020" s="11">
        <v>35.479999999999997</v>
      </c>
      <c r="L7020" s="11">
        <v>35</v>
      </c>
      <c r="M7020" s="9" t="s">
        <v>2051</v>
      </c>
      <c r="N7020" s="6" t="s">
        <v>703</v>
      </c>
      <c r="O7020" s="6" t="s">
        <v>704</v>
      </c>
      <c r="P7020" s="9" t="s">
        <v>60</v>
      </c>
      <c r="Q7020" s="9" t="s">
        <v>26</v>
      </c>
      <c r="R7020" s="9" t="s">
        <v>27</v>
      </c>
      <c r="S7020" s="7" t="s">
        <v>2025</v>
      </c>
      <c r="T7020" s="9" t="s">
        <v>29</v>
      </c>
      <c r="U7020" s="7">
        <v>0.85</v>
      </c>
      <c r="V7020" s="12">
        <f>C7020+2</f>
        <v>40587</v>
      </c>
      <c r="W7020">
        <f>IF(D7020=' Pivot Tables'!$A$4,1,0)</f>
        <v>0</v>
      </c>
      <c r="X7020">
        <f>IF(AND(LEFT(D7020,4)+1=LEFT(' Pivot Tables'!$A$4,4)+0,RIGHT(LEFT(D7020,7),2)=RIGHT(LEFT(' Pivot Tables'!$A$4,7),2)),1,0)</f>
        <v>0</v>
      </c>
      <c r="Y7020" s="6">
        <f>1/COUNTIF(Таблица1[Order ID],Таблица1[[#This Row],[Order ID]])</f>
        <v>0.33333333333333331</v>
      </c>
      <c r="Z7020" s="9">
        <f>1/COUNTIFS(Таблица1[Customer Name],Таблица1[[#This Row],[Customer Name]],Таблица1[Order-Year-Month],Таблица1[[#This Row],[Order-Year-Month]])</f>
        <v>0.14285714285714285</v>
      </c>
    </row>
    <row r="7021" spans="1:26" x14ac:dyDescent="0.2">
      <c r="A7021" s="6">
        <v>4825</v>
      </c>
      <c r="B7021" s="7">
        <v>34279</v>
      </c>
      <c r="C7021" s="8">
        <f>DATE(2012,12,31)-278</f>
        <v>40996</v>
      </c>
      <c r="D7021" s="8" t="str">
        <f t="shared" si="131"/>
        <v>2012-03 (март 2012)</v>
      </c>
      <c r="E7021" s="9" t="s">
        <v>45</v>
      </c>
      <c r="F7021" s="7">
        <v>3</v>
      </c>
      <c r="G7021" s="7">
        <v>840.55200000000013</v>
      </c>
      <c r="H7021" s="7">
        <v>0.1</v>
      </c>
      <c r="I7021" s="9" t="s">
        <v>31</v>
      </c>
      <c r="J7021" s="10">
        <v>7.5500000000000114</v>
      </c>
      <c r="K7021" s="11">
        <v>349.45</v>
      </c>
      <c r="L7021" s="11">
        <v>60</v>
      </c>
      <c r="M7021" s="9" t="s">
        <v>1562</v>
      </c>
      <c r="N7021" s="6" t="s">
        <v>703</v>
      </c>
      <c r="O7021" s="6" t="s">
        <v>704</v>
      </c>
      <c r="P7021" s="9" t="s">
        <v>33</v>
      </c>
      <c r="Q7021" s="9" t="s">
        <v>49</v>
      </c>
      <c r="R7021" s="9" t="s">
        <v>83</v>
      </c>
      <c r="S7021" s="7" t="s">
        <v>311</v>
      </c>
      <c r="T7021" s="9" t="s">
        <v>36</v>
      </c>
      <c r="U7021" s="7"/>
      <c r="V7021" s="12">
        <f>C7021+2</f>
        <v>40998</v>
      </c>
      <c r="W7021">
        <f>IF(D7021=' Pivot Tables'!$A$4,1,0)</f>
        <v>0</v>
      </c>
      <c r="X7021">
        <f>IF(AND(LEFT(D7021,4)+1=LEFT(' Pivot Tables'!$A$4,4)+0,RIGHT(LEFT(D7021,7),2)=RIGHT(LEFT(' Pivot Tables'!$A$4,7),2)),1,0)</f>
        <v>0</v>
      </c>
      <c r="Y7021" s="6">
        <f>1/COUNTIF(Таблица1[Order ID],Таблица1[[#This Row],[Order ID]])</f>
        <v>1</v>
      </c>
      <c r="Z7021" s="9">
        <f>1/COUNTIFS(Таблица1[Customer Name],Таблица1[[#This Row],[Customer Name]],Таблица1[Order-Year-Month],Таблица1[[#This Row],[Order-Year-Month]])</f>
        <v>0.5</v>
      </c>
    </row>
    <row r="7022" spans="1:26" x14ac:dyDescent="0.2">
      <c r="A7022" s="6">
        <v>4837</v>
      </c>
      <c r="B7022" s="7">
        <v>34406</v>
      </c>
      <c r="C7022" s="8">
        <f>DATE(2012,12,31)-94</f>
        <v>41180</v>
      </c>
      <c r="D7022" s="8" t="str">
        <f t="shared" si="131"/>
        <v>2012-09 (сентябрь 2012)</v>
      </c>
      <c r="E7022" s="9" t="s">
        <v>63</v>
      </c>
      <c r="F7022" s="7">
        <v>29</v>
      </c>
      <c r="G7022" s="7">
        <v>142.59</v>
      </c>
      <c r="H7022" s="7">
        <v>0.02</v>
      </c>
      <c r="I7022" s="9" t="s">
        <v>22</v>
      </c>
      <c r="J7022" s="10">
        <v>-3.23</v>
      </c>
      <c r="K7022" s="11">
        <v>4.71</v>
      </c>
      <c r="L7022" s="11">
        <v>0.7</v>
      </c>
      <c r="M7022" s="9" t="s">
        <v>1508</v>
      </c>
      <c r="N7022" s="6" t="s">
        <v>703</v>
      </c>
      <c r="O7022" s="6" t="s">
        <v>704</v>
      </c>
      <c r="P7022" s="9" t="s">
        <v>60</v>
      </c>
      <c r="Q7022" s="9" t="s">
        <v>26</v>
      </c>
      <c r="R7022" s="9" t="s">
        <v>66</v>
      </c>
      <c r="S7022" s="7" t="s">
        <v>412</v>
      </c>
      <c r="T7022" s="9" t="s">
        <v>68</v>
      </c>
      <c r="U7022" s="7">
        <v>0.85</v>
      </c>
      <c r="V7022" s="12">
        <f>C7022+1</f>
        <v>41181</v>
      </c>
      <c r="W7022">
        <f>IF(D7022=' Pivot Tables'!$A$4,1,0)</f>
        <v>0</v>
      </c>
      <c r="X7022">
        <f>IF(AND(LEFT(D7022,4)+1=LEFT(' Pivot Tables'!$A$4,4)+0,RIGHT(LEFT(D7022,7),2)=RIGHT(LEFT(' Pivot Tables'!$A$4,7),2)),1,0)</f>
        <v>0</v>
      </c>
      <c r="Y7022" s="6">
        <f>1/COUNTIF(Таблица1[Order ID],Таблица1[[#This Row],[Order ID]])</f>
        <v>1</v>
      </c>
      <c r="Z7022" s="9">
        <f>1/COUNTIFS(Таблица1[Customer Name],Таблица1[[#This Row],[Customer Name]],Таблица1[Order-Year-Month],Таблица1[[#This Row],[Order-Year-Month]])</f>
        <v>1</v>
      </c>
    </row>
    <row r="7023" spans="1:26" x14ac:dyDescent="0.2">
      <c r="A7023" s="6">
        <v>4861</v>
      </c>
      <c r="B7023" s="7">
        <v>34597</v>
      </c>
      <c r="C7023" s="8">
        <f>DATE(2012,12,31)-746</f>
        <v>40528</v>
      </c>
      <c r="D7023" s="8" t="str">
        <f t="shared" si="131"/>
        <v>2010-12 (декабрь 2010)</v>
      </c>
      <c r="E7023" s="9" t="s">
        <v>63</v>
      </c>
      <c r="F7023" s="7">
        <v>8</v>
      </c>
      <c r="G7023" s="7">
        <v>849.33699999999999</v>
      </c>
      <c r="H7023" s="7">
        <v>7.0000000000000007E-2</v>
      </c>
      <c r="I7023" s="9" t="s">
        <v>56</v>
      </c>
      <c r="J7023" s="10">
        <v>-258.85199999999998</v>
      </c>
      <c r="K7023" s="11">
        <v>125.99</v>
      </c>
      <c r="L7023" s="11">
        <v>2.5</v>
      </c>
      <c r="M7023" s="9" t="s">
        <v>1491</v>
      </c>
      <c r="N7023" s="6" t="s">
        <v>703</v>
      </c>
      <c r="O7023" s="6" t="s">
        <v>704</v>
      </c>
      <c r="P7023" s="9" t="s">
        <v>60</v>
      </c>
      <c r="Q7023" s="9" t="s">
        <v>42</v>
      </c>
      <c r="R7023" s="9" t="s">
        <v>43</v>
      </c>
      <c r="S7023" s="7" t="s">
        <v>1836</v>
      </c>
      <c r="T7023" s="9" t="s">
        <v>39</v>
      </c>
      <c r="U7023" s="7">
        <v>0.57999999999999996</v>
      </c>
      <c r="V7023" s="12">
        <f>C7023+2</f>
        <v>40530</v>
      </c>
      <c r="W7023">
        <f>IF(D7023=' Pivot Tables'!$A$4,1,0)</f>
        <v>0</v>
      </c>
      <c r="X7023">
        <f>IF(AND(LEFT(D7023,4)+1=LEFT(' Pivot Tables'!$A$4,4)+0,RIGHT(LEFT(D7023,7),2)=RIGHT(LEFT(' Pivot Tables'!$A$4,7),2)),1,0)</f>
        <v>0</v>
      </c>
      <c r="Y7023" s="6">
        <f>1/COUNTIF(Таблица1[Order ID],Таблица1[[#This Row],[Order ID]])</f>
        <v>1</v>
      </c>
      <c r="Z7023" s="9">
        <f>1/COUNTIFS(Таблица1[Customer Name],Таблица1[[#This Row],[Customer Name]],Таблица1[Order-Year-Month],Таблица1[[#This Row],[Order-Year-Month]])</f>
        <v>0.5</v>
      </c>
    </row>
    <row r="7024" spans="1:26" x14ac:dyDescent="0.2">
      <c r="A7024" s="6">
        <v>4914</v>
      </c>
      <c r="B7024" s="7">
        <v>34980</v>
      </c>
      <c r="C7024" s="8">
        <f>DATE(2012,12,31)-882</f>
        <v>40392</v>
      </c>
      <c r="D7024" s="8" t="str">
        <f t="shared" si="131"/>
        <v>2010-08 (август 2010)</v>
      </c>
      <c r="E7024" s="9" t="s">
        <v>45</v>
      </c>
      <c r="F7024" s="7">
        <v>7</v>
      </c>
      <c r="G7024" s="7">
        <v>140.77000000000001</v>
      </c>
      <c r="H7024" s="7">
        <v>0.01</v>
      </c>
      <c r="I7024" s="9" t="s">
        <v>22</v>
      </c>
      <c r="J7024" s="10">
        <v>100.77</v>
      </c>
      <c r="K7024" s="11">
        <v>18.649999999999999</v>
      </c>
      <c r="L7024" s="11">
        <v>3.77</v>
      </c>
      <c r="M7024" s="9" t="s">
        <v>2042</v>
      </c>
      <c r="N7024" s="6" t="s">
        <v>703</v>
      </c>
      <c r="O7024" s="6" t="s">
        <v>704</v>
      </c>
      <c r="P7024" s="9" t="s">
        <v>41</v>
      </c>
      <c r="Q7024" s="9" t="s">
        <v>49</v>
      </c>
      <c r="R7024" s="9" t="s">
        <v>50</v>
      </c>
      <c r="S7024" s="7" t="s">
        <v>916</v>
      </c>
      <c r="T7024" s="9" t="s">
        <v>52</v>
      </c>
      <c r="U7024" s="7">
        <v>0.39</v>
      </c>
      <c r="V7024" s="12">
        <f>C7024+2</f>
        <v>40394</v>
      </c>
      <c r="W7024">
        <f>IF(D7024=' Pivot Tables'!$A$4,1,0)</f>
        <v>0</v>
      </c>
      <c r="X7024">
        <f>IF(AND(LEFT(D7024,4)+1=LEFT(' Pivot Tables'!$A$4,4)+0,RIGHT(LEFT(D7024,7),2)=RIGHT(LEFT(' Pivot Tables'!$A$4,7),2)),1,0)</f>
        <v>0</v>
      </c>
      <c r="Y7024" s="6">
        <f>1/COUNTIF(Таблица1[Order ID],Таблица1[[#This Row],[Order ID]])</f>
        <v>0.33333333333333331</v>
      </c>
      <c r="Z7024" s="9">
        <f>1/COUNTIFS(Таблица1[Customer Name],Таблица1[[#This Row],[Customer Name]],Таблица1[Order-Year-Month],Таблица1[[#This Row],[Order-Year-Month]])</f>
        <v>0.33333333333333331</v>
      </c>
    </row>
    <row r="7025" spans="1:26" x14ac:dyDescent="0.2">
      <c r="A7025" s="6">
        <v>4915</v>
      </c>
      <c r="B7025" s="7">
        <v>34980</v>
      </c>
      <c r="C7025" s="8">
        <f>DATE(2012,12,31)-882</f>
        <v>40392</v>
      </c>
      <c r="D7025" s="8" t="str">
        <f t="shared" si="131"/>
        <v>2010-08 (август 2010)</v>
      </c>
      <c r="E7025" s="9" t="s">
        <v>45</v>
      </c>
      <c r="F7025" s="7">
        <v>25</v>
      </c>
      <c r="G7025" s="7">
        <v>848.19</v>
      </c>
      <c r="H7025" s="7">
        <v>0.06</v>
      </c>
      <c r="I7025" s="9" t="s">
        <v>56</v>
      </c>
      <c r="J7025" s="10">
        <v>120.02</v>
      </c>
      <c r="K7025" s="11">
        <v>34.76</v>
      </c>
      <c r="L7025" s="11">
        <v>5.49</v>
      </c>
      <c r="M7025" s="9" t="s">
        <v>2042</v>
      </c>
      <c r="N7025" s="6" t="s">
        <v>703</v>
      </c>
      <c r="O7025" s="6" t="s">
        <v>704</v>
      </c>
      <c r="P7025" s="9" t="s">
        <v>41</v>
      </c>
      <c r="Q7025" s="9" t="s">
        <v>26</v>
      </c>
      <c r="R7025" s="9" t="s">
        <v>27</v>
      </c>
      <c r="S7025" s="7" t="s">
        <v>327</v>
      </c>
      <c r="T7025" s="9" t="s">
        <v>39</v>
      </c>
      <c r="U7025" s="7">
        <v>0.6</v>
      </c>
      <c r="V7025" s="12">
        <f>C7025+2</f>
        <v>40394</v>
      </c>
      <c r="W7025">
        <f>IF(D7025=' Pivot Tables'!$A$4,1,0)</f>
        <v>0</v>
      </c>
      <c r="X7025">
        <f>IF(AND(LEFT(D7025,4)+1=LEFT(' Pivot Tables'!$A$4,4)+0,RIGHT(LEFT(D7025,7),2)=RIGHT(LEFT(' Pivot Tables'!$A$4,7),2)),1,0)</f>
        <v>0</v>
      </c>
      <c r="Y7025" s="6">
        <f>1/COUNTIF(Таблица1[Order ID],Таблица1[[#This Row],[Order ID]])</f>
        <v>0.33333333333333331</v>
      </c>
      <c r="Z7025" s="9">
        <f>1/COUNTIFS(Таблица1[Customer Name],Таблица1[[#This Row],[Customer Name]],Таблица1[Order-Year-Month],Таблица1[[#This Row],[Order-Year-Month]])</f>
        <v>0.33333333333333331</v>
      </c>
    </row>
    <row r="7026" spans="1:26" x14ac:dyDescent="0.2">
      <c r="A7026" s="6">
        <v>4916</v>
      </c>
      <c r="B7026" s="7">
        <v>34980</v>
      </c>
      <c r="C7026" s="8">
        <f>DATE(2012,12,31)-882</f>
        <v>40392</v>
      </c>
      <c r="D7026" s="8" t="str">
        <f t="shared" si="131"/>
        <v>2010-08 (август 2010)</v>
      </c>
      <c r="E7026" s="9" t="s">
        <v>45</v>
      </c>
      <c r="F7026" s="7">
        <v>12</v>
      </c>
      <c r="G7026" s="7">
        <v>562.15</v>
      </c>
      <c r="H7026" s="7">
        <v>0.01</v>
      </c>
      <c r="I7026" s="9" t="s">
        <v>22</v>
      </c>
      <c r="J7026" s="10">
        <v>148.34</v>
      </c>
      <c r="K7026" s="11">
        <v>46.89</v>
      </c>
      <c r="L7026" s="11">
        <v>5.0999999999999996</v>
      </c>
      <c r="M7026" s="9" t="s">
        <v>2042</v>
      </c>
      <c r="N7026" s="6" t="s">
        <v>703</v>
      </c>
      <c r="O7026" s="6" t="s">
        <v>704</v>
      </c>
      <c r="P7026" s="9" t="s">
        <v>41</v>
      </c>
      <c r="Q7026" s="9" t="s">
        <v>26</v>
      </c>
      <c r="R7026" s="9" t="s">
        <v>34</v>
      </c>
      <c r="S7026" s="7" t="s">
        <v>355</v>
      </c>
      <c r="T7026" s="9" t="s">
        <v>48</v>
      </c>
      <c r="U7026" s="7">
        <v>0.46</v>
      </c>
      <c r="V7026" s="12">
        <f>C7026+2</f>
        <v>40394</v>
      </c>
      <c r="W7026">
        <f>IF(D7026=' Pivot Tables'!$A$4,1,0)</f>
        <v>0</v>
      </c>
      <c r="X7026">
        <f>IF(AND(LEFT(D7026,4)+1=LEFT(' Pivot Tables'!$A$4,4)+0,RIGHT(LEFT(D7026,7),2)=RIGHT(LEFT(' Pivot Tables'!$A$4,7),2)),1,0)</f>
        <v>0</v>
      </c>
      <c r="Y7026" s="6">
        <f>1/COUNTIF(Таблица1[Order ID],Таблица1[[#This Row],[Order ID]])</f>
        <v>0.33333333333333331</v>
      </c>
      <c r="Z7026" s="9">
        <f>1/COUNTIFS(Таблица1[Customer Name],Таблица1[[#This Row],[Customer Name]],Таблица1[Order-Year-Month],Таблица1[[#This Row],[Order-Year-Month]])</f>
        <v>0.33333333333333331</v>
      </c>
    </row>
    <row r="7027" spans="1:26" x14ac:dyDescent="0.2">
      <c r="A7027" s="6">
        <v>4968</v>
      </c>
      <c r="B7027" s="7">
        <v>35361</v>
      </c>
      <c r="C7027" s="8">
        <f>DATE(2012,12,31)-1365</f>
        <v>39909</v>
      </c>
      <c r="D7027" s="8" t="str">
        <f t="shared" si="131"/>
        <v>2009-04 (апрель 2009)</v>
      </c>
      <c r="E7027" s="9" t="s">
        <v>63</v>
      </c>
      <c r="F7027" s="7">
        <v>40</v>
      </c>
      <c r="G7027" s="7">
        <v>746.93</v>
      </c>
      <c r="H7027" s="7">
        <v>0.09</v>
      </c>
      <c r="I7027" s="9" t="s">
        <v>56</v>
      </c>
      <c r="J7027" s="10">
        <v>67.03</v>
      </c>
      <c r="K7027" s="11">
        <v>18.97</v>
      </c>
      <c r="L7027" s="11">
        <v>9.0299999999999994</v>
      </c>
      <c r="M7027" s="9" t="s">
        <v>1651</v>
      </c>
      <c r="N7027" s="6" t="s">
        <v>703</v>
      </c>
      <c r="O7027" s="6" t="s">
        <v>704</v>
      </c>
      <c r="P7027" s="9" t="s">
        <v>60</v>
      </c>
      <c r="Q7027" s="9" t="s">
        <v>26</v>
      </c>
      <c r="R7027" s="9" t="s">
        <v>61</v>
      </c>
      <c r="S7027" s="7" t="s">
        <v>123</v>
      </c>
      <c r="T7027" s="9" t="s">
        <v>39</v>
      </c>
      <c r="U7027" s="7">
        <v>0.37</v>
      </c>
      <c r="V7027" s="12">
        <f>C7027+1</f>
        <v>39910</v>
      </c>
      <c r="W7027">
        <f>IF(D7027=' Pivot Tables'!$A$4,1,0)</f>
        <v>0</v>
      </c>
      <c r="X7027">
        <f>IF(AND(LEFT(D7027,4)+1=LEFT(' Pivot Tables'!$A$4,4)+0,RIGHT(LEFT(D7027,7),2)=RIGHT(LEFT(' Pivot Tables'!$A$4,7),2)),1,0)</f>
        <v>0</v>
      </c>
      <c r="Y7027" s="6">
        <f>1/COUNTIF(Таблица1[Order ID],Таблица1[[#This Row],[Order ID]])</f>
        <v>0.5</v>
      </c>
      <c r="Z7027" s="9">
        <f>1/COUNTIFS(Таблица1[Customer Name],Таблица1[[#This Row],[Customer Name]],Таблица1[Order-Year-Month],Таблица1[[#This Row],[Order-Year-Month]])</f>
        <v>0.5</v>
      </c>
    </row>
    <row r="7028" spans="1:26" x14ac:dyDescent="0.2">
      <c r="A7028" s="6">
        <v>4969</v>
      </c>
      <c r="B7028" s="7">
        <v>35361</v>
      </c>
      <c r="C7028" s="8">
        <f>DATE(2012,12,31)-1365</f>
        <v>39909</v>
      </c>
      <c r="D7028" s="8" t="str">
        <f t="shared" si="131"/>
        <v>2009-04 (апрель 2009)</v>
      </c>
      <c r="E7028" s="9" t="s">
        <v>63</v>
      </c>
      <c r="F7028" s="7">
        <v>37</v>
      </c>
      <c r="G7028" s="7">
        <v>313.39999999999998</v>
      </c>
      <c r="H7028" s="7">
        <v>0</v>
      </c>
      <c r="I7028" s="9" t="s">
        <v>22</v>
      </c>
      <c r="J7028" s="10">
        <v>-5.05</v>
      </c>
      <c r="K7028" s="11">
        <v>8.34</v>
      </c>
      <c r="L7028" s="11">
        <v>4.82</v>
      </c>
      <c r="M7028" s="9" t="s">
        <v>1651</v>
      </c>
      <c r="N7028" s="6" t="s">
        <v>703</v>
      </c>
      <c r="O7028" s="6" t="s">
        <v>704</v>
      </c>
      <c r="P7028" s="9" t="s">
        <v>60</v>
      </c>
      <c r="Q7028" s="9" t="s">
        <v>26</v>
      </c>
      <c r="R7028" s="9" t="s">
        <v>61</v>
      </c>
      <c r="S7028" s="7" t="s">
        <v>662</v>
      </c>
      <c r="T7028" s="9" t="s">
        <v>39</v>
      </c>
      <c r="U7028" s="7">
        <v>0.4</v>
      </c>
      <c r="V7028" s="12">
        <f>C7028+1</f>
        <v>39910</v>
      </c>
      <c r="W7028">
        <f>IF(D7028=' Pivot Tables'!$A$4,1,0)</f>
        <v>0</v>
      </c>
      <c r="X7028">
        <f>IF(AND(LEFT(D7028,4)+1=LEFT(' Pivot Tables'!$A$4,4)+0,RIGHT(LEFT(D7028,7),2)=RIGHT(LEFT(' Pivot Tables'!$A$4,7),2)),1,0)</f>
        <v>0</v>
      </c>
      <c r="Y7028" s="6">
        <f>1/COUNTIF(Таблица1[Order ID],Таблица1[[#This Row],[Order ID]])</f>
        <v>0.5</v>
      </c>
      <c r="Z7028" s="9">
        <f>1/COUNTIFS(Таблица1[Customer Name],Таблица1[[#This Row],[Customer Name]],Таблица1[Order-Year-Month],Таблица1[[#This Row],[Order-Year-Month]])</f>
        <v>0.5</v>
      </c>
    </row>
    <row r="7029" spans="1:26" x14ac:dyDescent="0.2">
      <c r="A7029" s="6">
        <v>4998</v>
      </c>
      <c r="B7029" s="7">
        <v>35587</v>
      </c>
      <c r="C7029" s="8">
        <f>DATE(2012,12,31)-417</f>
        <v>40857</v>
      </c>
      <c r="D7029" s="8" t="str">
        <f t="shared" si="131"/>
        <v>2011-11 (ноябрь 2011)</v>
      </c>
      <c r="E7029" s="9" t="s">
        <v>78</v>
      </c>
      <c r="F7029" s="7">
        <v>43</v>
      </c>
      <c r="G7029" s="7">
        <v>208.77</v>
      </c>
      <c r="H7029" s="7">
        <v>0.03</v>
      </c>
      <c r="I7029" s="9" t="s">
        <v>22</v>
      </c>
      <c r="J7029" s="10">
        <v>-144.24</v>
      </c>
      <c r="K7029" s="11">
        <v>4.82</v>
      </c>
      <c r="L7029" s="11">
        <v>5.72</v>
      </c>
      <c r="M7029" s="9" t="s">
        <v>2038</v>
      </c>
      <c r="N7029" s="6" t="s">
        <v>703</v>
      </c>
      <c r="O7029" s="6" t="s">
        <v>704</v>
      </c>
      <c r="P7029" s="9" t="s">
        <v>33</v>
      </c>
      <c r="Q7029" s="9" t="s">
        <v>49</v>
      </c>
      <c r="R7029" s="9" t="s">
        <v>50</v>
      </c>
      <c r="S7029" s="7" t="s">
        <v>584</v>
      </c>
      <c r="T7029" s="9" t="s">
        <v>52</v>
      </c>
      <c r="U7029" s="7">
        <v>0.47</v>
      </c>
      <c r="V7029" s="12">
        <f>C7029+1</f>
        <v>40858</v>
      </c>
      <c r="W7029">
        <f>IF(D7029=' Pivot Tables'!$A$4,1,0)</f>
        <v>0</v>
      </c>
      <c r="X7029">
        <f>IF(AND(LEFT(D7029,4)+1=LEFT(' Pivot Tables'!$A$4,4)+0,RIGHT(LEFT(D7029,7),2)=RIGHT(LEFT(' Pivot Tables'!$A$4,7),2)),1,0)</f>
        <v>0</v>
      </c>
      <c r="Y7029" s="6">
        <f>1/COUNTIF(Таблица1[Order ID],Таблица1[[#This Row],[Order ID]])</f>
        <v>1</v>
      </c>
      <c r="Z7029" s="9">
        <f>1/COUNTIFS(Таблица1[Customer Name],Таблица1[[#This Row],[Customer Name]],Таблица1[Order-Year-Month],Таблица1[[#This Row],[Order-Year-Month]])</f>
        <v>1</v>
      </c>
    </row>
    <row r="7030" spans="1:26" x14ac:dyDescent="0.2">
      <c r="A7030" s="6">
        <v>5014</v>
      </c>
      <c r="B7030" s="7">
        <v>35780</v>
      </c>
      <c r="C7030" s="8">
        <f>DATE(2012,12,31)-714</f>
        <v>40560</v>
      </c>
      <c r="D7030" s="8" t="str">
        <f t="shared" si="131"/>
        <v>2011-01 (январь 2011)</v>
      </c>
      <c r="E7030" s="9" t="s">
        <v>63</v>
      </c>
      <c r="F7030" s="7">
        <v>6</v>
      </c>
      <c r="G7030" s="7">
        <v>28.55</v>
      </c>
      <c r="H7030" s="7">
        <v>0.01</v>
      </c>
      <c r="I7030" s="9" t="s">
        <v>22</v>
      </c>
      <c r="J7030" s="10">
        <v>-4.5</v>
      </c>
      <c r="K7030" s="11">
        <v>4.28</v>
      </c>
      <c r="L7030" s="11">
        <v>1.6</v>
      </c>
      <c r="M7030" s="9" t="s">
        <v>2055</v>
      </c>
      <c r="N7030" s="6" t="s">
        <v>703</v>
      </c>
      <c r="O7030" s="6" t="s">
        <v>704</v>
      </c>
      <c r="P7030" s="9" t="s">
        <v>33</v>
      </c>
      <c r="Q7030" s="9" t="s">
        <v>26</v>
      </c>
      <c r="R7030" s="9" t="s">
        <v>95</v>
      </c>
      <c r="S7030" s="7" t="s">
        <v>1023</v>
      </c>
      <c r="T7030" s="9" t="s">
        <v>68</v>
      </c>
      <c r="U7030" s="7">
        <v>0.57999999999999996</v>
      </c>
      <c r="V7030" s="12">
        <f>C7030+2</f>
        <v>40562</v>
      </c>
      <c r="W7030">
        <f>IF(D7030=' Pivot Tables'!$A$4,1,0)</f>
        <v>0</v>
      </c>
      <c r="X7030">
        <f>IF(AND(LEFT(D7030,4)+1=LEFT(' Pivot Tables'!$A$4,4)+0,RIGHT(LEFT(D7030,7),2)=RIGHT(LEFT(' Pivot Tables'!$A$4,7),2)),1,0)</f>
        <v>0</v>
      </c>
      <c r="Y7030" s="6">
        <f>1/COUNTIF(Таблица1[Order ID],Таблица1[[#This Row],[Order ID]])</f>
        <v>1</v>
      </c>
      <c r="Z7030" s="9">
        <f>1/COUNTIFS(Таблица1[Customer Name],Таблица1[[#This Row],[Customer Name]],Таблица1[Order-Year-Month],Таблица1[[#This Row],[Order-Year-Month]])</f>
        <v>1</v>
      </c>
    </row>
    <row r="7031" spans="1:26" x14ac:dyDescent="0.2">
      <c r="A7031" s="6">
        <v>5024</v>
      </c>
      <c r="B7031" s="7">
        <v>35814</v>
      </c>
      <c r="C7031" s="8">
        <f>DATE(2012,12,31)-279</f>
        <v>40995</v>
      </c>
      <c r="D7031" s="8" t="str">
        <f t="shared" si="131"/>
        <v>2012-03 (март 2012)</v>
      </c>
      <c r="E7031" s="9" t="s">
        <v>30</v>
      </c>
      <c r="F7031" s="7">
        <v>11</v>
      </c>
      <c r="G7031" s="7">
        <v>324.52</v>
      </c>
      <c r="H7031" s="7">
        <v>0.08</v>
      </c>
      <c r="I7031" s="9" t="s">
        <v>22</v>
      </c>
      <c r="J7031" s="10">
        <v>154.02000000000001</v>
      </c>
      <c r="K7031" s="11">
        <v>29.18</v>
      </c>
      <c r="L7031" s="11">
        <v>8.5500000000000007</v>
      </c>
      <c r="M7031" s="9" t="s">
        <v>1517</v>
      </c>
      <c r="N7031" s="6" t="s">
        <v>703</v>
      </c>
      <c r="O7031" s="6" t="s">
        <v>704</v>
      </c>
      <c r="P7031" s="9" t="s">
        <v>60</v>
      </c>
      <c r="Q7031" s="9" t="s">
        <v>49</v>
      </c>
      <c r="R7031" s="9" t="s">
        <v>50</v>
      </c>
      <c r="S7031" s="7" t="s">
        <v>608</v>
      </c>
      <c r="T7031" s="9" t="s">
        <v>39</v>
      </c>
      <c r="U7031" s="7">
        <v>0.42</v>
      </c>
      <c r="V7031" s="12">
        <f>C7031+1</f>
        <v>40996</v>
      </c>
      <c r="W7031">
        <f>IF(D7031=' Pivot Tables'!$A$4,1,0)</f>
        <v>0</v>
      </c>
      <c r="X7031">
        <f>IF(AND(LEFT(D7031,4)+1=LEFT(' Pivot Tables'!$A$4,4)+0,RIGHT(LEFT(D7031,7),2)=RIGHT(LEFT(' Pivot Tables'!$A$4,7),2)),1,0)</f>
        <v>0</v>
      </c>
      <c r="Y7031" s="6">
        <f>1/COUNTIF(Таблица1[Order ID],Таблица1[[#This Row],[Order ID]])</f>
        <v>1</v>
      </c>
      <c r="Z7031" s="9">
        <f>1/COUNTIFS(Таблица1[Customer Name],Таблица1[[#This Row],[Customer Name]],Таблица1[Order-Year-Month],Таблица1[[#This Row],[Order-Year-Month]])</f>
        <v>1</v>
      </c>
    </row>
    <row r="7032" spans="1:26" x14ac:dyDescent="0.2">
      <c r="A7032" s="6">
        <v>5044</v>
      </c>
      <c r="B7032" s="7">
        <v>35938</v>
      </c>
      <c r="C7032" s="8">
        <f>DATE(2012,12,31)-44</f>
        <v>41230</v>
      </c>
      <c r="D7032" s="8" t="str">
        <f t="shared" si="131"/>
        <v>2012-11 (ноябрь 2012)</v>
      </c>
      <c r="E7032" s="9" t="s">
        <v>45</v>
      </c>
      <c r="F7032" s="7">
        <v>6</v>
      </c>
      <c r="G7032" s="7">
        <v>1770.7</v>
      </c>
      <c r="H7032" s="7">
        <v>0.05</v>
      </c>
      <c r="I7032" s="9" t="s">
        <v>31</v>
      </c>
      <c r="J7032" s="10">
        <v>-448.25</v>
      </c>
      <c r="K7032" s="11">
        <v>280.98</v>
      </c>
      <c r="L7032" s="11">
        <v>57</v>
      </c>
      <c r="M7032" s="9" t="s">
        <v>1653</v>
      </c>
      <c r="N7032" s="6" t="s">
        <v>703</v>
      </c>
      <c r="O7032" s="6" t="s">
        <v>704</v>
      </c>
      <c r="P7032" s="9" t="s">
        <v>41</v>
      </c>
      <c r="Q7032" s="9" t="s">
        <v>49</v>
      </c>
      <c r="R7032" s="9" t="s">
        <v>112</v>
      </c>
      <c r="S7032" s="7" t="s">
        <v>697</v>
      </c>
      <c r="T7032" s="9" t="s">
        <v>36</v>
      </c>
      <c r="U7032" s="7">
        <v>0.78</v>
      </c>
      <c r="V7032" s="12">
        <f>C7032+2</f>
        <v>41232</v>
      </c>
      <c r="W7032">
        <f>IF(D7032=' Pivot Tables'!$A$4,1,0)</f>
        <v>0</v>
      </c>
      <c r="X7032">
        <f>IF(AND(LEFT(D7032,4)+1=LEFT(' Pivot Tables'!$A$4,4)+0,RIGHT(LEFT(D7032,7),2)=RIGHT(LEFT(' Pivot Tables'!$A$4,7),2)),1,0)</f>
        <v>0</v>
      </c>
      <c r="Y7032" s="6">
        <f>1/COUNTIF(Таблица1[Order ID],Таблица1[[#This Row],[Order ID]])</f>
        <v>0.5</v>
      </c>
      <c r="Z7032" s="9">
        <f>1/COUNTIFS(Таблица1[Customer Name],Таблица1[[#This Row],[Customer Name]],Таблица1[Order-Year-Month],Таблица1[[#This Row],[Order-Year-Month]])</f>
        <v>0.5</v>
      </c>
    </row>
    <row r="7033" spans="1:26" x14ac:dyDescent="0.2">
      <c r="A7033" s="6">
        <v>5045</v>
      </c>
      <c r="B7033" s="7">
        <v>35938</v>
      </c>
      <c r="C7033" s="8">
        <f>DATE(2012,12,31)-44</f>
        <v>41230</v>
      </c>
      <c r="D7033" s="8" t="str">
        <f t="shared" si="131"/>
        <v>2012-11 (ноябрь 2012)</v>
      </c>
      <c r="E7033" s="9" t="s">
        <v>45</v>
      </c>
      <c r="F7033" s="7">
        <v>48</v>
      </c>
      <c r="G7033" s="7">
        <v>628.33000000000004</v>
      </c>
      <c r="H7033" s="7">
        <v>0.09</v>
      </c>
      <c r="I7033" s="9" t="s">
        <v>22</v>
      </c>
      <c r="J7033" s="10">
        <v>-226.62</v>
      </c>
      <c r="K7033" s="11">
        <v>14.03</v>
      </c>
      <c r="L7033" s="11">
        <v>9.3699999999999992</v>
      </c>
      <c r="M7033" s="9" t="s">
        <v>1653</v>
      </c>
      <c r="N7033" s="6" t="s">
        <v>703</v>
      </c>
      <c r="O7033" s="6" t="s">
        <v>704</v>
      </c>
      <c r="P7033" s="9" t="s">
        <v>41</v>
      </c>
      <c r="Q7033" s="9" t="s">
        <v>26</v>
      </c>
      <c r="R7033" s="9" t="s">
        <v>27</v>
      </c>
      <c r="S7033" s="7" t="s">
        <v>733</v>
      </c>
      <c r="T7033" s="9" t="s">
        <v>39</v>
      </c>
      <c r="U7033" s="7">
        <v>0.56000000000000005</v>
      </c>
      <c r="V7033" s="12">
        <f>C7033+1</f>
        <v>41231</v>
      </c>
      <c r="W7033">
        <f>IF(D7033=' Pivot Tables'!$A$4,1,0)</f>
        <v>0</v>
      </c>
      <c r="X7033">
        <f>IF(AND(LEFT(D7033,4)+1=LEFT(' Pivot Tables'!$A$4,4)+0,RIGHT(LEFT(D7033,7),2)=RIGHT(LEFT(' Pivot Tables'!$A$4,7),2)),1,0)</f>
        <v>0</v>
      </c>
      <c r="Y7033" s="6">
        <f>1/COUNTIF(Таблица1[Order ID],Таблица1[[#This Row],[Order ID]])</f>
        <v>0.5</v>
      </c>
      <c r="Z7033" s="9">
        <f>1/COUNTIFS(Таблица1[Customer Name],Таблица1[[#This Row],[Customer Name]],Таблица1[Order-Year-Month],Таблица1[[#This Row],[Order-Year-Month]])</f>
        <v>0.5</v>
      </c>
    </row>
    <row r="7034" spans="1:26" x14ac:dyDescent="0.2">
      <c r="A7034" s="6">
        <v>5047</v>
      </c>
      <c r="B7034" s="7">
        <v>35968</v>
      </c>
      <c r="C7034" s="8">
        <f>DATE(2012,12,31)-303</f>
        <v>40971</v>
      </c>
      <c r="D7034" s="8" t="str">
        <f t="shared" si="131"/>
        <v>2012-03 (март 2012)</v>
      </c>
      <c r="E7034" s="9" t="s">
        <v>45</v>
      </c>
      <c r="F7034" s="7">
        <v>21</v>
      </c>
      <c r="G7034" s="7">
        <v>141.19999999999999</v>
      </c>
      <c r="H7034" s="7">
        <v>0.05</v>
      </c>
      <c r="I7034" s="9" t="s">
        <v>22</v>
      </c>
      <c r="J7034" s="10">
        <v>-74.43950000000001</v>
      </c>
      <c r="K7034" s="11">
        <v>6.23</v>
      </c>
      <c r="L7034" s="11">
        <v>6.97</v>
      </c>
      <c r="M7034" s="9" t="s">
        <v>149</v>
      </c>
      <c r="N7034" s="6" t="s">
        <v>703</v>
      </c>
      <c r="O7034" s="6" t="s">
        <v>704</v>
      </c>
      <c r="P7034" s="9" t="s">
        <v>41</v>
      </c>
      <c r="Q7034" s="9" t="s">
        <v>26</v>
      </c>
      <c r="R7034" s="9" t="s">
        <v>37</v>
      </c>
      <c r="S7034" s="7" t="s">
        <v>985</v>
      </c>
      <c r="T7034" s="9" t="s">
        <v>39</v>
      </c>
      <c r="U7034" s="7">
        <v>0.36</v>
      </c>
      <c r="V7034" s="12">
        <f>C7034+2</f>
        <v>40973</v>
      </c>
      <c r="W7034">
        <f>IF(D7034=' Pivot Tables'!$A$4,1,0)</f>
        <v>0</v>
      </c>
      <c r="X7034">
        <f>IF(AND(LEFT(D7034,4)+1=LEFT(' Pivot Tables'!$A$4,4)+0,RIGHT(LEFT(D7034,7),2)=RIGHT(LEFT(' Pivot Tables'!$A$4,7),2)),1,0)</f>
        <v>0</v>
      </c>
      <c r="Y7034" s="6">
        <f>1/COUNTIF(Таблица1[Order ID],Таблица1[[#This Row],[Order ID]])</f>
        <v>1</v>
      </c>
      <c r="Z7034" s="9">
        <f>1/COUNTIFS(Таблица1[Customer Name],Таблица1[[#This Row],[Customer Name]],Таблица1[Order-Year-Month],Таблица1[[#This Row],[Order-Year-Month]])</f>
        <v>0.5</v>
      </c>
    </row>
    <row r="7035" spans="1:26" x14ac:dyDescent="0.2">
      <c r="A7035" s="6">
        <v>5053</v>
      </c>
      <c r="B7035" s="7">
        <v>36033</v>
      </c>
      <c r="C7035" s="8">
        <f>DATE(2012,12,31)-1108</f>
        <v>40166</v>
      </c>
      <c r="D7035" s="8" t="str">
        <f t="shared" si="131"/>
        <v>2009-12 (декабрь 2009)</v>
      </c>
      <c r="E7035" s="9" t="s">
        <v>45</v>
      </c>
      <c r="F7035" s="7">
        <v>15</v>
      </c>
      <c r="G7035" s="7">
        <v>83.02</v>
      </c>
      <c r="H7035" s="7">
        <v>0.06</v>
      </c>
      <c r="I7035" s="9" t="s">
        <v>56</v>
      </c>
      <c r="J7035" s="10">
        <v>-54.01</v>
      </c>
      <c r="K7035" s="11">
        <v>4.9800000000000004</v>
      </c>
      <c r="L7035" s="11">
        <v>4.62</v>
      </c>
      <c r="M7035" s="9" t="s">
        <v>1524</v>
      </c>
      <c r="N7035" s="6" t="s">
        <v>703</v>
      </c>
      <c r="O7035" s="6" t="s">
        <v>704</v>
      </c>
      <c r="P7035" s="9" t="s">
        <v>25</v>
      </c>
      <c r="Q7035" s="9" t="s">
        <v>42</v>
      </c>
      <c r="R7035" s="9" t="s">
        <v>70</v>
      </c>
      <c r="S7035" s="7" t="s">
        <v>402</v>
      </c>
      <c r="T7035" s="9" t="s">
        <v>52</v>
      </c>
      <c r="U7035" s="7">
        <v>0.64</v>
      </c>
      <c r="V7035" s="12">
        <f>C7035+0</f>
        <v>40166</v>
      </c>
      <c r="W7035">
        <f>IF(D7035=' Pivot Tables'!$A$4,1,0)</f>
        <v>0</v>
      </c>
      <c r="X7035">
        <f>IF(AND(LEFT(D7035,4)+1=LEFT(' Pivot Tables'!$A$4,4)+0,RIGHT(LEFT(D7035,7),2)=RIGHT(LEFT(' Pivot Tables'!$A$4,7),2)),1,0)</f>
        <v>0</v>
      </c>
      <c r="Y7035" s="6">
        <f>1/COUNTIF(Таблица1[Order ID],Таблица1[[#This Row],[Order ID]])</f>
        <v>1</v>
      </c>
      <c r="Z7035" s="9">
        <f>1/COUNTIFS(Таблица1[Customer Name],Таблица1[[#This Row],[Customer Name]],Таблица1[Order-Year-Month],Таблица1[[#This Row],[Order-Year-Month]])</f>
        <v>1</v>
      </c>
    </row>
    <row r="7036" spans="1:26" x14ac:dyDescent="0.2">
      <c r="A7036" s="6">
        <v>5057</v>
      </c>
      <c r="B7036" s="7">
        <v>36067</v>
      </c>
      <c r="C7036" s="8">
        <f>DATE(2012,12,31)-1276</f>
        <v>39998</v>
      </c>
      <c r="D7036" s="8" t="str">
        <f t="shared" si="131"/>
        <v>2009-07 (июль 2009)</v>
      </c>
      <c r="E7036" s="9" t="s">
        <v>30</v>
      </c>
      <c r="F7036" s="7">
        <v>37</v>
      </c>
      <c r="G7036" s="7">
        <v>6176.29</v>
      </c>
      <c r="H7036" s="7">
        <v>0.04</v>
      </c>
      <c r="I7036" s="9" t="s">
        <v>56</v>
      </c>
      <c r="J7036" s="10">
        <v>1499.94</v>
      </c>
      <c r="K7036" s="11">
        <v>165.2</v>
      </c>
      <c r="L7036" s="11">
        <v>19.989999999999998</v>
      </c>
      <c r="M7036" s="9" t="s">
        <v>1545</v>
      </c>
      <c r="N7036" s="6" t="s">
        <v>703</v>
      </c>
      <c r="O7036" s="6" t="s">
        <v>704</v>
      </c>
      <c r="P7036" s="9" t="s">
        <v>25</v>
      </c>
      <c r="Q7036" s="9" t="s">
        <v>26</v>
      </c>
      <c r="R7036" s="9" t="s">
        <v>27</v>
      </c>
      <c r="S7036" s="7" t="s">
        <v>1773</v>
      </c>
      <c r="T7036" s="9" t="s">
        <v>39</v>
      </c>
      <c r="U7036" s="7">
        <v>0.59</v>
      </c>
      <c r="V7036" s="12">
        <f>C7036+2</f>
        <v>40000</v>
      </c>
      <c r="W7036">
        <f>IF(D7036=' Pivot Tables'!$A$4,1,0)</f>
        <v>0</v>
      </c>
      <c r="X7036">
        <f>IF(AND(LEFT(D7036,4)+1=LEFT(' Pivot Tables'!$A$4,4)+0,RIGHT(LEFT(D7036,7),2)=RIGHT(LEFT(' Pivot Tables'!$A$4,7),2)),1,0)</f>
        <v>0</v>
      </c>
      <c r="Y7036" s="6">
        <f>1/COUNTIF(Таблица1[Order ID],Таблица1[[#This Row],[Order ID]])</f>
        <v>1</v>
      </c>
      <c r="Z7036" s="9">
        <f>1/COUNTIFS(Таблица1[Customer Name],Таблица1[[#This Row],[Customer Name]],Таблица1[Order-Year-Month],Таблица1[[#This Row],[Order-Year-Month]])</f>
        <v>1</v>
      </c>
    </row>
    <row r="7037" spans="1:26" x14ac:dyDescent="0.2">
      <c r="A7037" s="6">
        <v>5071</v>
      </c>
      <c r="B7037" s="7">
        <v>36131</v>
      </c>
      <c r="C7037" s="8">
        <f>DATE(2012,12,31)-1324</f>
        <v>39950</v>
      </c>
      <c r="D7037" s="8" t="str">
        <f t="shared" si="131"/>
        <v>2009-05 (май 2009)</v>
      </c>
      <c r="E7037" s="9" t="s">
        <v>30</v>
      </c>
      <c r="F7037" s="7">
        <v>26</v>
      </c>
      <c r="G7037" s="7">
        <v>493.43</v>
      </c>
      <c r="H7037" s="7">
        <v>7.0000000000000007E-2</v>
      </c>
      <c r="I7037" s="9" t="s">
        <v>22</v>
      </c>
      <c r="J7037" s="10">
        <v>120.18</v>
      </c>
      <c r="K7037" s="11">
        <v>19.84</v>
      </c>
      <c r="L7037" s="11">
        <v>4.0999999999999996</v>
      </c>
      <c r="M7037" s="9" t="s">
        <v>1948</v>
      </c>
      <c r="N7037" s="6" t="s">
        <v>703</v>
      </c>
      <c r="O7037" s="6" t="s">
        <v>704</v>
      </c>
      <c r="P7037" s="9" t="s">
        <v>60</v>
      </c>
      <c r="Q7037" s="9" t="s">
        <v>26</v>
      </c>
      <c r="R7037" s="9" t="s">
        <v>95</v>
      </c>
      <c r="S7037" s="7" t="s">
        <v>195</v>
      </c>
      <c r="T7037" s="9" t="s">
        <v>68</v>
      </c>
      <c r="U7037" s="7">
        <v>0.44</v>
      </c>
      <c r="V7037" s="12">
        <f>C7037+1</f>
        <v>39951</v>
      </c>
      <c r="W7037">
        <f>IF(D7037=' Pivot Tables'!$A$4,1,0)</f>
        <v>0</v>
      </c>
      <c r="X7037">
        <f>IF(AND(LEFT(D7037,4)+1=LEFT(' Pivot Tables'!$A$4,4)+0,RIGHT(LEFT(D7037,7),2)=RIGHT(LEFT(' Pivot Tables'!$A$4,7),2)),1,0)</f>
        <v>0</v>
      </c>
      <c r="Y7037" s="6">
        <f>1/COUNTIF(Таблица1[Order ID],Таблица1[[#This Row],[Order ID]])</f>
        <v>0.33333333333333331</v>
      </c>
      <c r="Z7037" s="9">
        <f>1/COUNTIFS(Таблица1[Customer Name],Таблица1[[#This Row],[Customer Name]],Таблица1[Order-Year-Month],Таблица1[[#This Row],[Order-Year-Month]])</f>
        <v>0.33333333333333331</v>
      </c>
    </row>
    <row r="7038" spans="1:26" x14ac:dyDescent="0.2">
      <c r="A7038" s="6">
        <v>5076</v>
      </c>
      <c r="B7038" s="7">
        <v>36160</v>
      </c>
      <c r="C7038" s="8">
        <f>DATE(2012,12,31)-39</f>
        <v>41235</v>
      </c>
      <c r="D7038" s="8" t="str">
        <f t="shared" si="131"/>
        <v>2012-11 (ноябрь 2012)</v>
      </c>
      <c r="E7038" s="9" t="s">
        <v>21</v>
      </c>
      <c r="F7038" s="7">
        <v>12</v>
      </c>
      <c r="G7038" s="7">
        <v>2218.8910000000001</v>
      </c>
      <c r="H7038" s="7">
        <v>0</v>
      </c>
      <c r="I7038" s="9" t="s">
        <v>56</v>
      </c>
      <c r="J7038" s="10">
        <v>79.542000000000002</v>
      </c>
      <c r="K7038" s="11">
        <v>205.99</v>
      </c>
      <c r="L7038" s="11">
        <v>8.99</v>
      </c>
      <c r="M7038" s="9" t="s">
        <v>2032</v>
      </c>
      <c r="N7038" s="6" t="s">
        <v>703</v>
      </c>
      <c r="O7038" s="6" t="s">
        <v>704</v>
      </c>
      <c r="P7038" s="9" t="s">
        <v>60</v>
      </c>
      <c r="Q7038" s="9" t="s">
        <v>42</v>
      </c>
      <c r="R7038" s="9" t="s">
        <v>43</v>
      </c>
      <c r="S7038" s="7" t="s">
        <v>1444</v>
      </c>
      <c r="T7038" s="9" t="s">
        <v>39</v>
      </c>
      <c r="U7038" s="7">
        <v>0.56000000000000005</v>
      </c>
      <c r="V7038" s="12">
        <f>C7038+7</f>
        <v>41242</v>
      </c>
      <c r="W7038">
        <f>IF(D7038=' Pivot Tables'!$A$4,1,0)</f>
        <v>0</v>
      </c>
      <c r="X7038">
        <f>IF(AND(LEFT(D7038,4)+1=LEFT(' Pivot Tables'!$A$4,4)+0,RIGHT(LEFT(D7038,7),2)=RIGHT(LEFT(' Pivot Tables'!$A$4,7),2)),1,0)</f>
        <v>0</v>
      </c>
      <c r="Y7038" s="6">
        <f>1/COUNTIF(Таблица1[Order ID],Таблица1[[#This Row],[Order ID]])</f>
        <v>1</v>
      </c>
      <c r="Z7038" s="9">
        <f>1/COUNTIFS(Таблица1[Customer Name],Таблица1[[#This Row],[Customer Name]],Таблица1[Order-Year-Month],Таблица1[[#This Row],[Order-Year-Month]])</f>
        <v>1</v>
      </c>
    </row>
    <row r="7039" spans="1:26" x14ac:dyDescent="0.2">
      <c r="A7039" s="6">
        <v>5079</v>
      </c>
      <c r="B7039" s="7">
        <v>36196</v>
      </c>
      <c r="C7039" s="8">
        <f>DATE(2012,12,31)-513</f>
        <v>40761</v>
      </c>
      <c r="D7039" s="8" t="str">
        <f t="shared" si="131"/>
        <v>2011-08 (август 2011)</v>
      </c>
      <c r="E7039" s="9" t="s">
        <v>45</v>
      </c>
      <c r="F7039" s="7">
        <v>7</v>
      </c>
      <c r="G7039" s="7">
        <v>39.01</v>
      </c>
      <c r="H7039" s="7">
        <v>7.0000000000000007E-2</v>
      </c>
      <c r="I7039" s="9" t="s">
        <v>22</v>
      </c>
      <c r="J7039" s="10">
        <v>-38.44</v>
      </c>
      <c r="K7039" s="11">
        <v>4.9800000000000004</v>
      </c>
      <c r="L7039" s="11">
        <v>4.32</v>
      </c>
      <c r="M7039" s="9" t="s">
        <v>1488</v>
      </c>
      <c r="N7039" s="6" t="s">
        <v>703</v>
      </c>
      <c r="O7039" s="6" t="s">
        <v>704</v>
      </c>
      <c r="P7039" s="9" t="s">
        <v>33</v>
      </c>
      <c r="Q7039" s="9" t="s">
        <v>42</v>
      </c>
      <c r="R7039" s="9" t="s">
        <v>70</v>
      </c>
      <c r="S7039" s="7" t="s">
        <v>1064</v>
      </c>
      <c r="T7039" s="9" t="s">
        <v>52</v>
      </c>
      <c r="U7039" s="7">
        <v>0.64</v>
      </c>
      <c r="V7039" s="12">
        <f>C7039+2</f>
        <v>40763</v>
      </c>
      <c r="W7039">
        <f>IF(D7039=' Pivot Tables'!$A$4,1,0)</f>
        <v>0</v>
      </c>
      <c r="X7039">
        <f>IF(AND(LEFT(D7039,4)+1=LEFT(' Pivot Tables'!$A$4,4)+0,RIGHT(LEFT(D7039,7),2)=RIGHT(LEFT(' Pivot Tables'!$A$4,7),2)),1,0)</f>
        <v>0</v>
      </c>
      <c r="Y7039" s="6">
        <f>1/COUNTIF(Таблица1[Order ID],Таблица1[[#This Row],[Order ID]])</f>
        <v>0.5</v>
      </c>
      <c r="Z7039" s="9">
        <f>1/COUNTIFS(Таблица1[Customer Name],Таблица1[[#This Row],[Customer Name]],Таблица1[Order-Year-Month],Таблица1[[#This Row],[Order-Year-Month]])</f>
        <v>0.5</v>
      </c>
    </row>
    <row r="7040" spans="1:26" x14ac:dyDescent="0.2">
      <c r="A7040" s="6">
        <v>5101</v>
      </c>
      <c r="B7040" s="7">
        <v>36356</v>
      </c>
      <c r="C7040" s="8">
        <f>DATE(2012,12,31)-372</f>
        <v>40902</v>
      </c>
      <c r="D7040" s="8" t="str">
        <f t="shared" si="131"/>
        <v>2011-12 (декабрь 2011)</v>
      </c>
      <c r="E7040" s="9" t="s">
        <v>63</v>
      </c>
      <c r="F7040" s="7">
        <v>45</v>
      </c>
      <c r="G7040" s="7">
        <v>4768.59</v>
      </c>
      <c r="H7040" s="7">
        <v>0.01</v>
      </c>
      <c r="I7040" s="9" t="s">
        <v>31</v>
      </c>
      <c r="J7040" s="10">
        <v>-593.79999999999995</v>
      </c>
      <c r="K7040" s="11">
        <v>100.98</v>
      </c>
      <c r="L7040" s="11">
        <v>45</v>
      </c>
      <c r="M7040" s="9" t="s">
        <v>1488</v>
      </c>
      <c r="N7040" s="6" t="s">
        <v>703</v>
      </c>
      <c r="O7040" s="6" t="s">
        <v>704</v>
      </c>
      <c r="P7040" s="9" t="s">
        <v>33</v>
      </c>
      <c r="Q7040" s="9" t="s">
        <v>49</v>
      </c>
      <c r="R7040" s="9" t="s">
        <v>112</v>
      </c>
      <c r="S7040" s="7" t="s">
        <v>1451</v>
      </c>
      <c r="T7040" s="9" t="s">
        <v>36</v>
      </c>
      <c r="U7040" s="7">
        <v>0.69</v>
      </c>
      <c r="V7040" s="12">
        <f>C7040+2</f>
        <v>40904</v>
      </c>
      <c r="W7040">
        <f>IF(D7040=' Pivot Tables'!$A$4,1,0)</f>
        <v>0</v>
      </c>
      <c r="X7040">
        <f>IF(AND(LEFT(D7040,4)+1=LEFT(' Pivot Tables'!$A$4,4)+0,RIGHT(LEFT(D7040,7),2)=RIGHT(LEFT(' Pivot Tables'!$A$4,7),2)),1,0)</f>
        <v>0</v>
      </c>
      <c r="Y7040" s="6">
        <f>1/COUNTIF(Таблица1[Order ID],Таблица1[[#This Row],[Order ID]])</f>
        <v>0.5</v>
      </c>
      <c r="Z7040" s="9">
        <f>1/COUNTIFS(Таблица1[Customer Name],Таблица1[[#This Row],[Customer Name]],Таблица1[Order-Year-Month],Таблица1[[#This Row],[Order-Year-Month]])</f>
        <v>0.25</v>
      </c>
    </row>
    <row r="7041" spans="1:26" x14ac:dyDescent="0.2">
      <c r="A7041" s="6">
        <v>5102</v>
      </c>
      <c r="B7041" s="7">
        <v>36356</v>
      </c>
      <c r="C7041" s="8">
        <f>DATE(2012,12,31)-372</f>
        <v>40902</v>
      </c>
      <c r="D7041" s="8" t="str">
        <f t="shared" si="131"/>
        <v>2011-12 (декабрь 2011)</v>
      </c>
      <c r="E7041" s="9" t="s">
        <v>63</v>
      </c>
      <c r="F7041" s="7">
        <v>33</v>
      </c>
      <c r="G7041" s="7">
        <v>117.77</v>
      </c>
      <c r="H7041" s="7">
        <v>0.08</v>
      </c>
      <c r="I7041" s="9" t="s">
        <v>22</v>
      </c>
      <c r="J7041" s="10">
        <v>47.98</v>
      </c>
      <c r="K7041" s="11">
        <v>3.75</v>
      </c>
      <c r="L7041" s="11">
        <v>0.5</v>
      </c>
      <c r="M7041" s="9" t="s">
        <v>1488</v>
      </c>
      <c r="N7041" s="6" t="s">
        <v>703</v>
      </c>
      <c r="O7041" s="6" t="s">
        <v>704</v>
      </c>
      <c r="P7041" s="9" t="s">
        <v>33</v>
      </c>
      <c r="Q7041" s="9" t="s">
        <v>26</v>
      </c>
      <c r="R7041" s="9" t="s">
        <v>88</v>
      </c>
      <c r="S7041" s="7" t="s">
        <v>130</v>
      </c>
      <c r="T7041" s="9" t="s">
        <v>39</v>
      </c>
      <c r="U7041" s="7">
        <v>0.37</v>
      </c>
      <c r="V7041" s="12">
        <f>C7041+2</f>
        <v>40904</v>
      </c>
      <c r="W7041">
        <f>IF(D7041=' Pivot Tables'!$A$4,1,0)</f>
        <v>0</v>
      </c>
      <c r="X7041">
        <f>IF(AND(LEFT(D7041,4)+1=LEFT(' Pivot Tables'!$A$4,4)+0,RIGHT(LEFT(D7041,7),2)=RIGHT(LEFT(' Pivot Tables'!$A$4,7),2)),1,0)</f>
        <v>0</v>
      </c>
      <c r="Y7041" s="6">
        <f>1/COUNTIF(Таблица1[Order ID],Таблица1[[#This Row],[Order ID]])</f>
        <v>0.5</v>
      </c>
      <c r="Z7041" s="9">
        <f>1/COUNTIFS(Таблица1[Customer Name],Таблица1[[#This Row],[Customer Name]],Таблица1[Order-Year-Month],Таблица1[[#This Row],[Order-Year-Month]])</f>
        <v>0.25</v>
      </c>
    </row>
    <row r="7042" spans="1:26" x14ac:dyDescent="0.2">
      <c r="A7042" s="6">
        <v>5140</v>
      </c>
      <c r="B7042" s="7">
        <v>36647</v>
      </c>
      <c r="C7042" s="8">
        <f>DATE(2012,12,31)-1280</f>
        <v>39994</v>
      </c>
      <c r="D7042" s="8" t="str">
        <f t="shared" si="131"/>
        <v>2009-06 (июнь 2009)</v>
      </c>
      <c r="E7042" s="9" t="s">
        <v>30</v>
      </c>
      <c r="F7042" s="7">
        <v>21</v>
      </c>
      <c r="G7042" s="7">
        <v>179.98</v>
      </c>
      <c r="H7042" s="7">
        <v>0.01</v>
      </c>
      <c r="I7042" s="9" t="s">
        <v>22</v>
      </c>
      <c r="J7042" s="10">
        <v>38.700000000000003</v>
      </c>
      <c r="K7042" s="11">
        <v>7.89</v>
      </c>
      <c r="L7042" s="11">
        <v>2.82</v>
      </c>
      <c r="M7042" s="9" t="s">
        <v>1488</v>
      </c>
      <c r="N7042" s="6" t="s">
        <v>703</v>
      </c>
      <c r="O7042" s="6" t="s">
        <v>704</v>
      </c>
      <c r="P7042" s="9" t="s">
        <v>33</v>
      </c>
      <c r="Q7042" s="9" t="s">
        <v>26</v>
      </c>
      <c r="R7042" s="9" t="s">
        <v>66</v>
      </c>
      <c r="S7042" s="7" t="s">
        <v>793</v>
      </c>
      <c r="T7042" s="9" t="s">
        <v>68</v>
      </c>
      <c r="U7042" s="7">
        <v>0.4</v>
      </c>
      <c r="V7042" s="12">
        <f>C7042+1</f>
        <v>39995</v>
      </c>
      <c r="W7042">
        <f>IF(D7042=' Pivot Tables'!$A$4,1,0)</f>
        <v>0</v>
      </c>
      <c r="X7042">
        <f>IF(AND(LEFT(D7042,4)+1=LEFT(' Pivot Tables'!$A$4,4)+0,RIGHT(LEFT(D7042,7),2)=RIGHT(LEFT(' Pivot Tables'!$A$4,7),2)),1,0)</f>
        <v>0</v>
      </c>
      <c r="Y7042" s="6">
        <f>1/COUNTIF(Таблица1[Order ID],Таблица1[[#This Row],[Order ID]])</f>
        <v>0.33333333333333331</v>
      </c>
      <c r="Z7042" s="9">
        <f>1/COUNTIFS(Таблица1[Customer Name],Таблица1[[#This Row],[Customer Name]],Таблица1[Order-Year-Month],Таблица1[[#This Row],[Order-Year-Month]])</f>
        <v>0.2</v>
      </c>
    </row>
    <row r="7043" spans="1:26" x14ac:dyDescent="0.2">
      <c r="A7043" s="6">
        <v>5141</v>
      </c>
      <c r="B7043" s="7">
        <v>36647</v>
      </c>
      <c r="C7043" s="8">
        <f>DATE(2012,12,31)-1280</f>
        <v>39994</v>
      </c>
      <c r="D7043" s="8" t="str">
        <f t="shared" ref="D7043:D7106" si="132">TEXT(C7043,"гггг-ММ (ММММ гггг)")</f>
        <v>2009-06 (июнь 2009)</v>
      </c>
      <c r="E7043" s="9" t="s">
        <v>30</v>
      </c>
      <c r="F7043" s="7">
        <v>16</v>
      </c>
      <c r="G7043" s="7">
        <v>55.44</v>
      </c>
      <c r="H7043" s="7">
        <v>0.09</v>
      </c>
      <c r="I7043" s="9" t="s">
        <v>22</v>
      </c>
      <c r="J7043" s="10">
        <v>-21.91</v>
      </c>
      <c r="K7043" s="11">
        <v>3.68</v>
      </c>
      <c r="L7043" s="11">
        <v>1.32</v>
      </c>
      <c r="M7043" s="9" t="s">
        <v>1488</v>
      </c>
      <c r="N7043" s="6" t="s">
        <v>703</v>
      </c>
      <c r="O7043" s="6" t="s">
        <v>704</v>
      </c>
      <c r="P7043" s="9" t="s">
        <v>33</v>
      </c>
      <c r="Q7043" s="9" t="s">
        <v>26</v>
      </c>
      <c r="R7043" s="9" t="s">
        <v>150</v>
      </c>
      <c r="S7043" s="7" t="s">
        <v>252</v>
      </c>
      <c r="T7043" s="9" t="s">
        <v>68</v>
      </c>
      <c r="U7043" s="7">
        <v>0.83</v>
      </c>
      <c r="V7043" s="12">
        <f>C7043+1</f>
        <v>39995</v>
      </c>
      <c r="W7043">
        <f>IF(D7043=' Pivot Tables'!$A$4,1,0)</f>
        <v>0</v>
      </c>
      <c r="X7043">
        <f>IF(AND(LEFT(D7043,4)+1=LEFT(' Pivot Tables'!$A$4,4)+0,RIGHT(LEFT(D7043,7),2)=RIGHT(LEFT(' Pivot Tables'!$A$4,7),2)),1,0)</f>
        <v>0</v>
      </c>
      <c r="Y7043" s="6">
        <f>1/COUNTIF(Таблица1[Order ID],Таблица1[[#This Row],[Order ID]])</f>
        <v>0.33333333333333331</v>
      </c>
      <c r="Z7043" s="9">
        <f>1/COUNTIFS(Таблица1[Customer Name],Таблица1[[#This Row],[Customer Name]],Таблица1[Order-Year-Month],Таблица1[[#This Row],[Order-Year-Month]])</f>
        <v>0.2</v>
      </c>
    </row>
    <row r="7044" spans="1:26" x14ac:dyDescent="0.2">
      <c r="A7044" s="6">
        <v>5142</v>
      </c>
      <c r="B7044" s="7">
        <v>36647</v>
      </c>
      <c r="C7044" s="8">
        <f>DATE(2012,12,31)-1280</f>
        <v>39994</v>
      </c>
      <c r="D7044" s="8" t="str">
        <f t="shared" si="132"/>
        <v>2009-06 (июнь 2009)</v>
      </c>
      <c r="E7044" s="9" t="s">
        <v>30</v>
      </c>
      <c r="F7044" s="7">
        <v>18</v>
      </c>
      <c r="G7044" s="7">
        <v>174.62</v>
      </c>
      <c r="H7044" s="7">
        <v>0.1</v>
      </c>
      <c r="I7044" s="9" t="s">
        <v>22</v>
      </c>
      <c r="J7044" s="10">
        <v>-119.77</v>
      </c>
      <c r="K7044" s="11">
        <v>9.7100000000000009</v>
      </c>
      <c r="L7044" s="11">
        <v>9.4499999999999993</v>
      </c>
      <c r="M7044" s="9" t="s">
        <v>1488</v>
      </c>
      <c r="N7044" s="6" t="s">
        <v>703</v>
      </c>
      <c r="O7044" s="6" t="s">
        <v>704</v>
      </c>
      <c r="P7044" s="9" t="s">
        <v>33</v>
      </c>
      <c r="Q7044" s="9" t="s">
        <v>26</v>
      </c>
      <c r="R7044" s="9" t="s">
        <v>27</v>
      </c>
      <c r="S7044" s="7" t="s">
        <v>927</v>
      </c>
      <c r="T7044" s="9" t="s">
        <v>39</v>
      </c>
      <c r="U7044" s="7">
        <v>0.6</v>
      </c>
      <c r="V7044" s="12">
        <f>C7044+3</f>
        <v>39997</v>
      </c>
      <c r="W7044">
        <f>IF(D7044=' Pivot Tables'!$A$4,1,0)</f>
        <v>0</v>
      </c>
      <c r="X7044">
        <f>IF(AND(LEFT(D7044,4)+1=LEFT(' Pivot Tables'!$A$4,4)+0,RIGHT(LEFT(D7044,7),2)=RIGHT(LEFT(' Pivot Tables'!$A$4,7),2)),1,0)</f>
        <v>0</v>
      </c>
      <c r="Y7044" s="6">
        <f>1/COUNTIF(Таблица1[Order ID],Таблица1[[#This Row],[Order ID]])</f>
        <v>0.33333333333333331</v>
      </c>
      <c r="Z7044" s="9">
        <f>1/COUNTIFS(Таблица1[Customer Name],Таблица1[[#This Row],[Customer Name]],Таблица1[Order-Year-Month],Таблица1[[#This Row],[Order-Year-Month]])</f>
        <v>0.2</v>
      </c>
    </row>
    <row r="7045" spans="1:26" x14ac:dyDescent="0.2">
      <c r="A7045" s="6">
        <v>5159</v>
      </c>
      <c r="B7045" s="7">
        <v>36737</v>
      </c>
      <c r="C7045" s="8">
        <f>DATE(2012,12,31)-1022</f>
        <v>40252</v>
      </c>
      <c r="D7045" s="8" t="str">
        <f t="shared" si="132"/>
        <v>2010-03 (март 2010)</v>
      </c>
      <c r="E7045" s="9" t="s">
        <v>45</v>
      </c>
      <c r="F7045" s="7">
        <v>10</v>
      </c>
      <c r="G7045" s="7">
        <v>999.89</v>
      </c>
      <c r="H7045" s="7">
        <v>0.02</v>
      </c>
      <c r="I7045" s="9" t="s">
        <v>22</v>
      </c>
      <c r="J7045" s="10">
        <v>-119.92</v>
      </c>
      <c r="K7045" s="11">
        <v>99.99</v>
      </c>
      <c r="L7045" s="11">
        <v>19.989999999999998</v>
      </c>
      <c r="M7045" s="9" t="s">
        <v>1473</v>
      </c>
      <c r="N7045" s="6" t="s">
        <v>703</v>
      </c>
      <c r="O7045" s="6" t="s">
        <v>704</v>
      </c>
      <c r="P7045" s="9" t="s">
        <v>33</v>
      </c>
      <c r="Q7045" s="9" t="s">
        <v>42</v>
      </c>
      <c r="R7045" s="9" t="s">
        <v>70</v>
      </c>
      <c r="S7045" s="7" t="s">
        <v>337</v>
      </c>
      <c r="T7045" s="9" t="s">
        <v>39</v>
      </c>
      <c r="U7045" s="7">
        <v>0.52</v>
      </c>
      <c r="V7045" s="12">
        <f>C7045+1</f>
        <v>40253</v>
      </c>
      <c r="W7045">
        <f>IF(D7045=' Pivot Tables'!$A$4,1,0)</f>
        <v>0</v>
      </c>
      <c r="X7045">
        <f>IF(AND(LEFT(D7045,4)+1=LEFT(' Pivot Tables'!$A$4,4)+0,RIGHT(LEFT(D7045,7),2)=RIGHT(LEFT(' Pivot Tables'!$A$4,7),2)),1,0)</f>
        <v>0</v>
      </c>
      <c r="Y7045" s="6">
        <f>1/COUNTIF(Таблица1[Order ID],Таблица1[[#This Row],[Order ID]])</f>
        <v>0.33333333333333331</v>
      </c>
      <c r="Z7045" s="9">
        <f>1/COUNTIFS(Таблица1[Customer Name],Таблица1[[#This Row],[Customer Name]],Таблица1[Order-Year-Month],Таблица1[[#This Row],[Order-Year-Month]])</f>
        <v>0.33333333333333331</v>
      </c>
    </row>
    <row r="7046" spans="1:26" x14ac:dyDescent="0.2">
      <c r="A7046" s="6">
        <v>5160</v>
      </c>
      <c r="B7046" s="7">
        <v>36737</v>
      </c>
      <c r="C7046" s="8">
        <f>DATE(2012,12,31)-1022</f>
        <v>40252</v>
      </c>
      <c r="D7046" s="8" t="str">
        <f t="shared" si="132"/>
        <v>2010-03 (март 2010)</v>
      </c>
      <c r="E7046" s="9" t="s">
        <v>45</v>
      </c>
      <c r="F7046" s="7">
        <v>10</v>
      </c>
      <c r="G7046" s="7">
        <v>35.69</v>
      </c>
      <c r="H7046" s="7">
        <v>0.04</v>
      </c>
      <c r="I7046" s="9" t="s">
        <v>22</v>
      </c>
      <c r="J7046" s="10">
        <v>-31.24</v>
      </c>
      <c r="K7046" s="11">
        <v>3.28</v>
      </c>
      <c r="L7046" s="11">
        <v>4.2</v>
      </c>
      <c r="M7046" s="9" t="s">
        <v>1473</v>
      </c>
      <c r="N7046" s="6" t="s">
        <v>703</v>
      </c>
      <c r="O7046" s="6" t="s">
        <v>704</v>
      </c>
      <c r="P7046" s="9" t="s">
        <v>33</v>
      </c>
      <c r="Q7046" s="9" t="s">
        <v>26</v>
      </c>
      <c r="R7046" s="9" t="s">
        <v>95</v>
      </c>
      <c r="S7046" s="7" t="s">
        <v>1074</v>
      </c>
      <c r="T7046" s="9" t="s">
        <v>68</v>
      </c>
      <c r="U7046" s="7">
        <v>0.56000000000000005</v>
      </c>
      <c r="V7046" s="12">
        <f>C7046+1</f>
        <v>40253</v>
      </c>
      <c r="W7046">
        <f>IF(D7046=' Pivot Tables'!$A$4,1,0)</f>
        <v>0</v>
      </c>
      <c r="X7046">
        <f>IF(AND(LEFT(D7046,4)+1=LEFT(' Pivot Tables'!$A$4,4)+0,RIGHT(LEFT(D7046,7),2)=RIGHT(LEFT(' Pivot Tables'!$A$4,7),2)),1,0)</f>
        <v>0</v>
      </c>
      <c r="Y7046" s="6">
        <f>1/COUNTIF(Таблица1[Order ID],Таблица1[[#This Row],[Order ID]])</f>
        <v>0.33333333333333331</v>
      </c>
      <c r="Z7046" s="9">
        <f>1/COUNTIFS(Таблица1[Customer Name],Таблица1[[#This Row],[Customer Name]],Таблица1[Order-Year-Month],Таблица1[[#This Row],[Order-Year-Month]])</f>
        <v>0.33333333333333331</v>
      </c>
    </row>
    <row r="7047" spans="1:26" x14ac:dyDescent="0.2">
      <c r="A7047" s="6">
        <v>5177</v>
      </c>
      <c r="B7047" s="7">
        <v>36832</v>
      </c>
      <c r="C7047" s="8">
        <f>DATE(2012,12,31)-213</f>
        <v>41061</v>
      </c>
      <c r="D7047" s="8" t="str">
        <f t="shared" si="132"/>
        <v>2012-06 (июнь 2012)</v>
      </c>
      <c r="E7047" s="9" t="s">
        <v>21</v>
      </c>
      <c r="F7047" s="7">
        <v>43</v>
      </c>
      <c r="G7047" s="7">
        <v>532.89</v>
      </c>
      <c r="H7047" s="7">
        <v>0.09</v>
      </c>
      <c r="I7047" s="9" t="s">
        <v>22</v>
      </c>
      <c r="J7047" s="10">
        <v>210.52800000000002</v>
      </c>
      <c r="K7047" s="11">
        <v>12.97</v>
      </c>
      <c r="L7047" s="11">
        <v>1.49</v>
      </c>
      <c r="M7047" s="9" t="s">
        <v>1469</v>
      </c>
      <c r="N7047" s="6" t="s">
        <v>703</v>
      </c>
      <c r="O7047" s="6" t="s">
        <v>704</v>
      </c>
      <c r="P7047" s="9" t="s">
        <v>25</v>
      </c>
      <c r="Q7047" s="9" t="s">
        <v>26</v>
      </c>
      <c r="R7047" s="9" t="s">
        <v>37</v>
      </c>
      <c r="S7047" s="7" t="s">
        <v>1269</v>
      </c>
      <c r="T7047" s="9" t="s">
        <v>39</v>
      </c>
      <c r="U7047" s="7">
        <v>0.35</v>
      </c>
      <c r="V7047" s="12">
        <f>C7047+7</f>
        <v>41068</v>
      </c>
      <c r="W7047">
        <f>IF(D7047=' Pivot Tables'!$A$4,1,0)</f>
        <v>0</v>
      </c>
      <c r="X7047">
        <f>IF(AND(LEFT(D7047,4)+1=LEFT(' Pivot Tables'!$A$4,4)+0,RIGHT(LEFT(D7047,7),2)=RIGHT(LEFT(' Pivot Tables'!$A$4,7),2)),1,0)</f>
        <v>0</v>
      </c>
      <c r="Y7047" s="6">
        <f>1/COUNTIF(Таблица1[Order ID],Таблица1[[#This Row],[Order ID]])</f>
        <v>0.5</v>
      </c>
      <c r="Z7047" s="9">
        <f>1/COUNTIFS(Таблица1[Customer Name],Таблица1[[#This Row],[Customer Name]],Таблица1[Order-Year-Month],Таблица1[[#This Row],[Order-Year-Month]])</f>
        <v>0.5</v>
      </c>
    </row>
    <row r="7048" spans="1:26" x14ac:dyDescent="0.2">
      <c r="A7048" s="6">
        <v>5178</v>
      </c>
      <c r="B7048" s="7">
        <v>36832</v>
      </c>
      <c r="C7048" s="8">
        <f>DATE(2012,12,31)-213</f>
        <v>41061</v>
      </c>
      <c r="D7048" s="8" t="str">
        <f t="shared" si="132"/>
        <v>2012-06 (июнь 2012)</v>
      </c>
      <c r="E7048" s="9" t="s">
        <v>21</v>
      </c>
      <c r="F7048" s="7">
        <v>24</v>
      </c>
      <c r="G7048" s="7">
        <v>60.69</v>
      </c>
      <c r="H7048" s="7">
        <v>0.06</v>
      </c>
      <c r="I7048" s="9" t="s">
        <v>56</v>
      </c>
      <c r="J7048" s="10">
        <v>-25.65</v>
      </c>
      <c r="K7048" s="11">
        <v>2.12</v>
      </c>
      <c r="L7048" s="11">
        <v>1.99</v>
      </c>
      <c r="M7048" s="9" t="s">
        <v>1469</v>
      </c>
      <c r="N7048" s="6" t="s">
        <v>703</v>
      </c>
      <c r="O7048" s="6" t="s">
        <v>704</v>
      </c>
      <c r="P7048" s="9" t="s">
        <v>25</v>
      </c>
      <c r="Q7048" s="9" t="s">
        <v>42</v>
      </c>
      <c r="R7048" s="9" t="s">
        <v>70</v>
      </c>
      <c r="S7048" s="7" t="s">
        <v>1232</v>
      </c>
      <c r="T7048" s="9" t="s">
        <v>52</v>
      </c>
      <c r="U7048" s="7">
        <v>0.55000000000000004</v>
      </c>
      <c r="V7048" s="12">
        <f>C7048+5</f>
        <v>41066</v>
      </c>
      <c r="W7048">
        <f>IF(D7048=' Pivot Tables'!$A$4,1,0)</f>
        <v>0</v>
      </c>
      <c r="X7048">
        <f>IF(AND(LEFT(D7048,4)+1=LEFT(' Pivot Tables'!$A$4,4)+0,RIGHT(LEFT(D7048,7),2)=RIGHT(LEFT(' Pivot Tables'!$A$4,7),2)),1,0)</f>
        <v>0</v>
      </c>
      <c r="Y7048" s="6">
        <f>1/COUNTIF(Таблица1[Order ID],Таблица1[[#This Row],[Order ID]])</f>
        <v>0.5</v>
      </c>
      <c r="Z7048" s="9">
        <f>1/COUNTIFS(Таблица1[Customer Name],Таблица1[[#This Row],[Customer Name]],Таблица1[Order-Year-Month],Таблица1[[#This Row],[Order-Year-Month]])</f>
        <v>0.5</v>
      </c>
    </row>
    <row r="7049" spans="1:26" x14ac:dyDescent="0.2">
      <c r="A7049" s="6">
        <v>5184</v>
      </c>
      <c r="B7049" s="7">
        <v>36836</v>
      </c>
      <c r="C7049" s="8">
        <f>DATE(2012,12,31)-1039</f>
        <v>40235</v>
      </c>
      <c r="D7049" s="8" t="str">
        <f t="shared" si="132"/>
        <v>2010-02 (февраль 2010)</v>
      </c>
      <c r="E7049" s="9" t="s">
        <v>63</v>
      </c>
      <c r="F7049" s="7">
        <v>43</v>
      </c>
      <c r="G7049" s="7">
        <v>16116.33</v>
      </c>
      <c r="H7049" s="7">
        <v>0.08</v>
      </c>
      <c r="I7049" s="9" t="s">
        <v>22</v>
      </c>
      <c r="J7049" s="10">
        <v>6919.8670000000002</v>
      </c>
      <c r="K7049" s="11">
        <v>387.99</v>
      </c>
      <c r="L7049" s="11">
        <v>19.989999999999998</v>
      </c>
      <c r="M7049" s="9" t="s">
        <v>1517</v>
      </c>
      <c r="N7049" s="6" t="s">
        <v>703</v>
      </c>
      <c r="O7049" s="6" t="s">
        <v>704</v>
      </c>
      <c r="P7049" s="9" t="s">
        <v>41</v>
      </c>
      <c r="Q7049" s="9" t="s">
        <v>26</v>
      </c>
      <c r="R7049" s="9" t="s">
        <v>37</v>
      </c>
      <c r="S7049" s="7" t="s">
        <v>366</v>
      </c>
      <c r="T7049" s="9" t="s">
        <v>39</v>
      </c>
      <c r="U7049" s="7">
        <v>0.38</v>
      </c>
      <c r="V7049" s="12">
        <f>C7049+3</f>
        <v>40238</v>
      </c>
      <c r="W7049">
        <f>IF(D7049=' Pivot Tables'!$A$4,1,0)</f>
        <v>0</v>
      </c>
      <c r="X7049">
        <f>IF(AND(LEFT(D7049,4)+1=LEFT(' Pivot Tables'!$A$4,4)+0,RIGHT(LEFT(D7049,7),2)=RIGHT(LEFT(' Pivot Tables'!$A$4,7),2)),1,0)</f>
        <v>0</v>
      </c>
      <c r="Y7049" s="6">
        <f>1/COUNTIF(Таблица1[Order ID],Таблица1[[#This Row],[Order ID]])</f>
        <v>1</v>
      </c>
      <c r="Z7049" s="9">
        <f>1/COUNTIFS(Таблица1[Customer Name],Таблица1[[#This Row],[Customer Name]],Таблица1[Order-Year-Month],Таблица1[[#This Row],[Order-Year-Month]])</f>
        <v>1</v>
      </c>
    </row>
    <row r="7050" spans="1:26" x14ac:dyDescent="0.2">
      <c r="A7050" s="6">
        <v>5188</v>
      </c>
      <c r="B7050" s="7">
        <v>36867</v>
      </c>
      <c r="C7050" s="8">
        <f>DATE(2012,12,31)-1213</f>
        <v>40061</v>
      </c>
      <c r="D7050" s="8" t="str">
        <f t="shared" si="132"/>
        <v>2009-09 (сентябрь 2009)</v>
      </c>
      <c r="E7050" s="9" t="s">
        <v>30</v>
      </c>
      <c r="F7050" s="7">
        <v>21</v>
      </c>
      <c r="G7050" s="7">
        <v>5482.18</v>
      </c>
      <c r="H7050" s="7">
        <v>0.06</v>
      </c>
      <c r="I7050" s="9" t="s">
        <v>56</v>
      </c>
      <c r="J7050" s="10">
        <v>1167.3800000000001</v>
      </c>
      <c r="K7050" s="11">
        <v>276.2</v>
      </c>
      <c r="L7050" s="11">
        <v>24.49</v>
      </c>
      <c r="M7050" s="9" t="s">
        <v>1637</v>
      </c>
      <c r="N7050" s="6" t="s">
        <v>703</v>
      </c>
      <c r="O7050" s="6" t="s">
        <v>704</v>
      </c>
      <c r="P7050" s="9" t="s">
        <v>41</v>
      </c>
      <c r="Q7050" s="9" t="s">
        <v>49</v>
      </c>
      <c r="R7050" s="9" t="s">
        <v>112</v>
      </c>
      <c r="S7050" s="7" t="s">
        <v>164</v>
      </c>
      <c r="T7050" s="9" t="s">
        <v>29</v>
      </c>
      <c r="U7050" s="7"/>
      <c r="V7050" s="12">
        <f>C7050+2</f>
        <v>40063</v>
      </c>
      <c r="W7050">
        <f>IF(D7050=' Pivot Tables'!$A$4,1,0)</f>
        <v>0</v>
      </c>
      <c r="X7050">
        <f>IF(AND(LEFT(D7050,4)+1=LEFT(' Pivot Tables'!$A$4,4)+0,RIGHT(LEFT(D7050,7),2)=RIGHT(LEFT(' Pivot Tables'!$A$4,7),2)),1,0)</f>
        <v>0</v>
      </c>
      <c r="Y7050" s="6">
        <f>1/COUNTIF(Таблица1[Order ID],Таблица1[[#This Row],[Order ID]])</f>
        <v>0.5</v>
      </c>
      <c r="Z7050" s="9">
        <f>1/COUNTIFS(Таблица1[Customer Name],Таблица1[[#This Row],[Customer Name]],Таблица1[Order-Year-Month],Таблица1[[#This Row],[Order-Year-Month]])</f>
        <v>0.5</v>
      </c>
    </row>
    <row r="7051" spans="1:26" x14ac:dyDescent="0.2">
      <c r="A7051" s="6">
        <v>5189</v>
      </c>
      <c r="B7051" s="7">
        <v>36867</v>
      </c>
      <c r="C7051" s="8">
        <f>DATE(2012,12,31)-1213</f>
        <v>40061</v>
      </c>
      <c r="D7051" s="8" t="str">
        <f t="shared" si="132"/>
        <v>2009-09 (сентябрь 2009)</v>
      </c>
      <c r="E7051" s="9" t="s">
        <v>30</v>
      </c>
      <c r="F7051" s="7">
        <v>16</v>
      </c>
      <c r="G7051" s="7">
        <v>45.57</v>
      </c>
      <c r="H7051" s="7">
        <v>0.09</v>
      </c>
      <c r="I7051" s="9" t="s">
        <v>22</v>
      </c>
      <c r="J7051" s="10">
        <v>2.81</v>
      </c>
      <c r="K7051" s="11">
        <v>2.88</v>
      </c>
      <c r="L7051" s="11">
        <v>0.7</v>
      </c>
      <c r="M7051" s="9" t="s">
        <v>1637</v>
      </c>
      <c r="N7051" s="6" t="s">
        <v>703</v>
      </c>
      <c r="O7051" s="6" t="s">
        <v>704</v>
      </c>
      <c r="P7051" s="9" t="s">
        <v>41</v>
      </c>
      <c r="Q7051" s="9" t="s">
        <v>26</v>
      </c>
      <c r="R7051" s="9" t="s">
        <v>95</v>
      </c>
      <c r="S7051" s="7" t="s">
        <v>913</v>
      </c>
      <c r="T7051" s="9" t="s">
        <v>68</v>
      </c>
      <c r="U7051" s="7">
        <v>0.56000000000000005</v>
      </c>
      <c r="V7051" s="12">
        <f>C7051+2</f>
        <v>40063</v>
      </c>
      <c r="W7051">
        <f>IF(D7051=' Pivot Tables'!$A$4,1,0)</f>
        <v>0</v>
      </c>
      <c r="X7051">
        <f>IF(AND(LEFT(D7051,4)+1=LEFT(' Pivot Tables'!$A$4,4)+0,RIGHT(LEFT(D7051,7),2)=RIGHT(LEFT(' Pivot Tables'!$A$4,7),2)),1,0)</f>
        <v>0</v>
      </c>
      <c r="Y7051" s="6">
        <f>1/COUNTIF(Таблица1[Order ID],Таблица1[[#This Row],[Order ID]])</f>
        <v>0.5</v>
      </c>
      <c r="Z7051" s="9">
        <f>1/COUNTIFS(Таблица1[Customer Name],Таблица1[[#This Row],[Customer Name]],Таблица1[Order-Year-Month],Таблица1[[#This Row],[Order-Year-Month]])</f>
        <v>0.5</v>
      </c>
    </row>
    <row r="7052" spans="1:26" x14ac:dyDescent="0.2">
      <c r="A7052" s="6">
        <v>5231</v>
      </c>
      <c r="B7052" s="7">
        <v>37250</v>
      </c>
      <c r="C7052" s="8">
        <f>DATE(2012,12,31)-1082</f>
        <v>40192</v>
      </c>
      <c r="D7052" s="8" t="str">
        <f t="shared" si="132"/>
        <v>2010-01 (январь 2010)</v>
      </c>
      <c r="E7052" s="9" t="s">
        <v>30</v>
      </c>
      <c r="F7052" s="7">
        <v>13</v>
      </c>
      <c r="G7052" s="7">
        <v>473.46</v>
      </c>
      <c r="H7052" s="7">
        <v>0.03</v>
      </c>
      <c r="I7052" s="9" t="s">
        <v>22</v>
      </c>
      <c r="J7052" s="10">
        <v>128.11000000000001</v>
      </c>
      <c r="K7052" s="11">
        <v>35.94</v>
      </c>
      <c r="L7052" s="11">
        <v>6.66</v>
      </c>
      <c r="M7052" s="9" t="s">
        <v>1635</v>
      </c>
      <c r="N7052" s="6" t="s">
        <v>703</v>
      </c>
      <c r="O7052" s="6" t="s">
        <v>704</v>
      </c>
      <c r="P7052" s="9" t="s">
        <v>41</v>
      </c>
      <c r="Q7052" s="9" t="s">
        <v>26</v>
      </c>
      <c r="R7052" s="9" t="s">
        <v>76</v>
      </c>
      <c r="S7052" s="7" t="s">
        <v>1434</v>
      </c>
      <c r="T7052" s="9" t="s">
        <v>39</v>
      </c>
      <c r="U7052" s="7">
        <v>0.4</v>
      </c>
      <c r="V7052" s="12">
        <f>C7052+1</f>
        <v>40193</v>
      </c>
      <c r="W7052">
        <f>IF(D7052=' Pivot Tables'!$A$4,1,0)</f>
        <v>1</v>
      </c>
      <c r="X7052">
        <f>IF(AND(LEFT(D7052,4)+1=LEFT(' Pivot Tables'!$A$4,4)+0,RIGHT(LEFT(D7052,7),2)=RIGHT(LEFT(' Pivot Tables'!$A$4,7),2)),1,0)</f>
        <v>0</v>
      </c>
      <c r="Y7052" s="6">
        <f>1/COUNTIF(Таблица1[Order ID],Таблица1[[#This Row],[Order ID]])</f>
        <v>1</v>
      </c>
      <c r="Z7052" s="9">
        <f>1/COUNTIFS(Таблица1[Customer Name],Таблица1[[#This Row],[Customer Name]],Таблица1[Order-Year-Month],Таблица1[[#This Row],[Order-Year-Month]])</f>
        <v>1</v>
      </c>
    </row>
    <row r="7053" spans="1:26" x14ac:dyDescent="0.2">
      <c r="A7053" s="6">
        <v>5266</v>
      </c>
      <c r="B7053" s="7">
        <v>37473</v>
      </c>
      <c r="C7053" s="8">
        <f>DATE(2012,12,31)-1187</f>
        <v>40087</v>
      </c>
      <c r="D7053" s="8" t="str">
        <f t="shared" si="132"/>
        <v>2009-10 (октябрь 2009)</v>
      </c>
      <c r="E7053" s="9" t="s">
        <v>21</v>
      </c>
      <c r="F7053" s="7">
        <v>42</v>
      </c>
      <c r="G7053" s="7">
        <v>88.23</v>
      </c>
      <c r="H7053" s="7">
        <v>0.1</v>
      </c>
      <c r="I7053" s="9" t="s">
        <v>22</v>
      </c>
      <c r="J7053" s="10">
        <v>-195.93</v>
      </c>
      <c r="K7053" s="11">
        <v>2.1800000000000002</v>
      </c>
      <c r="L7053" s="11">
        <v>5</v>
      </c>
      <c r="M7053" s="9" t="s">
        <v>1489</v>
      </c>
      <c r="N7053" s="6" t="s">
        <v>703</v>
      </c>
      <c r="O7053" s="6" t="s">
        <v>704</v>
      </c>
      <c r="P7053" s="9" t="s">
        <v>25</v>
      </c>
      <c r="Q7053" s="9" t="s">
        <v>26</v>
      </c>
      <c r="R7053" s="9" t="s">
        <v>150</v>
      </c>
      <c r="S7053" s="7" t="s">
        <v>564</v>
      </c>
      <c r="T7053" s="9" t="s">
        <v>68</v>
      </c>
      <c r="U7053" s="7">
        <v>0.81</v>
      </c>
      <c r="V7053" s="12">
        <f>C7053+4</f>
        <v>40091</v>
      </c>
      <c r="W7053">
        <f>IF(D7053=' Pivot Tables'!$A$4,1,0)</f>
        <v>0</v>
      </c>
      <c r="X7053">
        <f>IF(AND(LEFT(D7053,4)+1=LEFT(' Pivot Tables'!$A$4,4)+0,RIGHT(LEFT(D7053,7),2)=RIGHT(LEFT(' Pivot Tables'!$A$4,7),2)),1,0)</f>
        <v>0</v>
      </c>
      <c r="Y7053" s="6">
        <f>1/COUNTIF(Таблица1[Order ID],Таблица1[[#This Row],[Order ID]])</f>
        <v>0.5</v>
      </c>
      <c r="Z7053" s="9">
        <f>1/COUNTIFS(Таблица1[Customer Name],Таблица1[[#This Row],[Customer Name]],Таблица1[Order-Year-Month],Таблица1[[#This Row],[Order-Year-Month]])</f>
        <v>0.5</v>
      </c>
    </row>
    <row r="7054" spans="1:26" x14ac:dyDescent="0.2">
      <c r="A7054" s="6">
        <v>5268</v>
      </c>
      <c r="B7054" s="7">
        <v>37505</v>
      </c>
      <c r="C7054" s="8">
        <f>DATE(2012,12,31)-577</f>
        <v>40697</v>
      </c>
      <c r="D7054" s="8" t="str">
        <f t="shared" si="132"/>
        <v>2011-06 (июнь 2011)</v>
      </c>
      <c r="E7054" s="9" t="s">
        <v>21</v>
      </c>
      <c r="F7054" s="7">
        <v>1</v>
      </c>
      <c r="G7054" s="7">
        <v>29.19</v>
      </c>
      <c r="H7054" s="7">
        <v>0.03</v>
      </c>
      <c r="I7054" s="9" t="s">
        <v>22</v>
      </c>
      <c r="J7054" s="10">
        <v>-23.1</v>
      </c>
      <c r="K7054" s="11">
        <v>16.98</v>
      </c>
      <c r="L7054" s="11">
        <v>12.39</v>
      </c>
      <c r="M7054" s="9" t="s">
        <v>2032</v>
      </c>
      <c r="N7054" s="6" t="s">
        <v>703</v>
      </c>
      <c r="O7054" s="6" t="s">
        <v>704</v>
      </c>
      <c r="P7054" s="9" t="s">
        <v>60</v>
      </c>
      <c r="Q7054" s="9" t="s">
        <v>26</v>
      </c>
      <c r="R7054" s="9" t="s">
        <v>76</v>
      </c>
      <c r="S7054" s="7" t="s">
        <v>478</v>
      </c>
      <c r="T7054" s="9" t="s">
        <v>39</v>
      </c>
      <c r="U7054" s="7">
        <v>0.35</v>
      </c>
      <c r="V7054" s="12">
        <f>C7054+2</f>
        <v>40699</v>
      </c>
      <c r="W7054">
        <f>IF(D7054=' Pivot Tables'!$A$4,1,0)</f>
        <v>0</v>
      </c>
      <c r="X7054">
        <f>IF(AND(LEFT(D7054,4)+1=LEFT(' Pivot Tables'!$A$4,4)+0,RIGHT(LEFT(D7054,7),2)=RIGHT(LEFT(' Pivot Tables'!$A$4,7),2)),1,0)</f>
        <v>0</v>
      </c>
      <c r="Y7054" s="6">
        <f>1/COUNTIF(Таблица1[Order ID],Таблица1[[#This Row],[Order ID]])</f>
        <v>0.33333333333333331</v>
      </c>
      <c r="Z7054" s="9">
        <f>1/COUNTIFS(Таблица1[Customer Name],Таблица1[[#This Row],[Customer Name]],Таблица1[Order-Year-Month],Таблица1[[#This Row],[Order-Year-Month]])</f>
        <v>0.33333333333333331</v>
      </c>
    </row>
    <row r="7055" spans="1:26" x14ac:dyDescent="0.2">
      <c r="A7055" s="6">
        <v>5269</v>
      </c>
      <c r="B7055" s="7">
        <v>37505</v>
      </c>
      <c r="C7055" s="8">
        <f>DATE(2012,12,31)-577</f>
        <v>40697</v>
      </c>
      <c r="D7055" s="8" t="str">
        <f t="shared" si="132"/>
        <v>2011-06 (июнь 2011)</v>
      </c>
      <c r="E7055" s="9" t="s">
        <v>21</v>
      </c>
      <c r="F7055" s="7">
        <v>9</v>
      </c>
      <c r="G7055" s="7">
        <v>2007.24</v>
      </c>
      <c r="H7055" s="7">
        <v>0.03</v>
      </c>
      <c r="I7055" s="9" t="s">
        <v>56</v>
      </c>
      <c r="J7055" s="10">
        <v>600.4</v>
      </c>
      <c r="K7055" s="11">
        <v>225.04</v>
      </c>
      <c r="L7055" s="11">
        <v>11.79</v>
      </c>
      <c r="M7055" s="9" t="s">
        <v>2032</v>
      </c>
      <c r="N7055" s="6" t="s">
        <v>703</v>
      </c>
      <c r="O7055" s="6" t="s">
        <v>704</v>
      </c>
      <c r="P7055" s="9" t="s">
        <v>60</v>
      </c>
      <c r="Q7055" s="9" t="s">
        <v>26</v>
      </c>
      <c r="R7055" s="9" t="s">
        <v>34</v>
      </c>
      <c r="S7055" s="7" t="s">
        <v>610</v>
      </c>
      <c r="T7055" s="9" t="s">
        <v>48</v>
      </c>
      <c r="U7055" s="7">
        <v>0.42</v>
      </c>
      <c r="V7055" s="12">
        <f>C7055+2</f>
        <v>40699</v>
      </c>
      <c r="W7055">
        <f>IF(D7055=' Pivot Tables'!$A$4,1,0)</f>
        <v>0</v>
      </c>
      <c r="X7055">
        <f>IF(AND(LEFT(D7055,4)+1=LEFT(' Pivot Tables'!$A$4,4)+0,RIGHT(LEFT(D7055,7),2)=RIGHT(LEFT(' Pivot Tables'!$A$4,7),2)),1,0)</f>
        <v>0</v>
      </c>
      <c r="Y7055" s="6">
        <f>1/COUNTIF(Таблица1[Order ID],Таблица1[[#This Row],[Order ID]])</f>
        <v>0.33333333333333331</v>
      </c>
      <c r="Z7055" s="9">
        <f>1/COUNTIFS(Таблица1[Customer Name],Таблица1[[#This Row],[Customer Name]],Таблица1[Order-Year-Month],Таблица1[[#This Row],[Order-Year-Month]])</f>
        <v>0.33333333333333331</v>
      </c>
    </row>
    <row r="7056" spans="1:26" x14ac:dyDescent="0.2">
      <c r="A7056" s="6">
        <v>5270</v>
      </c>
      <c r="B7056" s="7">
        <v>37505</v>
      </c>
      <c r="C7056" s="8">
        <f>DATE(2012,12,31)-577</f>
        <v>40697</v>
      </c>
      <c r="D7056" s="8" t="str">
        <f t="shared" si="132"/>
        <v>2011-06 (июнь 2011)</v>
      </c>
      <c r="E7056" s="9" t="s">
        <v>21</v>
      </c>
      <c r="F7056" s="7">
        <v>42</v>
      </c>
      <c r="G7056" s="7">
        <v>384.41</v>
      </c>
      <c r="H7056" s="7">
        <v>0.05</v>
      </c>
      <c r="I7056" s="9" t="s">
        <v>22</v>
      </c>
      <c r="J7056" s="10">
        <v>-44.300400000000003</v>
      </c>
      <c r="K7056" s="11">
        <v>9.49</v>
      </c>
      <c r="L7056" s="11">
        <v>5.76</v>
      </c>
      <c r="M7056" s="9" t="s">
        <v>2032</v>
      </c>
      <c r="N7056" s="6" t="s">
        <v>703</v>
      </c>
      <c r="O7056" s="6" t="s">
        <v>704</v>
      </c>
      <c r="P7056" s="9" t="s">
        <v>60</v>
      </c>
      <c r="Q7056" s="9" t="s">
        <v>42</v>
      </c>
      <c r="R7056" s="9" t="s">
        <v>210</v>
      </c>
      <c r="S7056" s="7" t="s">
        <v>659</v>
      </c>
      <c r="T7056" s="9" t="s">
        <v>48</v>
      </c>
      <c r="U7056" s="7">
        <v>0.39</v>
      </c>
      <c r="V7056" s="12">
        <f>C7056+5</f>
        <v>40702</v>
      </c>
      <c r="W7056">
        <f>IF(D7056=' Pivot Tables'!$A$4,1,0)</f>
        <v>0</v>
      </c>
      <c r="X7056">
        <f>IF(AND(LEFT(D7056,4)+1=LEFT(' Pivot Tables'!$A$4,4)+0,RIGHT(LEFT(D7056,7),2)=RIGHT(LEFT(' Pivot Tables'!$A$4,7),2)),1,0)</f>
        <v>0</v>
      </c>
      <c r="Y7056" s="6">
        <f>1/COUNTIF(Таблица1[Order ID],Таблица1[[#This Row],[Order ID]])</f>
        <v>0.33333333333333331</v>
      </c>
      <c r="Z7056" s="9">
        <f>1/COUNTIFS(Таблица1[Customer Name],Таблица1[[#This Row],[Customer Name]],Таблица1[Order-Year-Month],Таблица1[[#This Row],[Order-Year-Month]])</f>
        <v>0.33333333333333331</v>
      </c>
    </row>
    <row r="7057" spans="1:26" x14ac:dyDescent="0.2">
      <c r="A7057" s="6">
        <v>5272</v>
      </c>
      <c r="B7057" s="7">
        <v>37537</v>
      </c>
      <c r="C7057" s="8">
        <f>DATE(2012,12,31)-1459</f>
        <v>39815</v>
      </c>
      <c r="D7057" s="8" t="str">
        <f t="shared" si="132"/>
        <v>2009-01 (январь 2009)</v>
      </c>
      <c r="E7057" s="9" t="s">
        <v>21</v>
      </c>
      <c r="F7057" s="7">
        <v>4</v>
      </c>
      <c r="G7057" s="7">
        <v>1239.06</v>
      </c>
      <c r="H7057" s="7">
        <v>0</v>
      </c>
      <c r="I7057" s="9" t="s">
        <v>31</v>
      </c>
      <c r="J7057" s="10">
        <v>-193.08</v>
      </c>
      <c r="K7057" s="11">
        <v>291.73</v>
      </c>
      <c r="L7057" s="11">
        <v>48.8</v>
      </c>
      <c r="M7057" s="9" t="s">
        <v>1800</v>
      </c>
      <c r="N7057" s="6" t="s">
        <v>703</v>
      </c>
      <c r="O7057" s="6" t="s">
        <v>704</v>
      </c>
      <c r="P7057" s="9" t="s">
        <v>41</v>
      </c>
      <c r="Q7057" s="9" t="s">
        <v>49</v>
      </c>
      <c r="R7057" s="9" t="s">
        <v>112</v>
      </c>
      <c r="S7057" s="7" t="s">
        <v>373</v>
      </c>
      <c r="T7057" s="9" t="s">
        <v>36</v>
      </c>
      <c r="U7057" s="7">
        <v>0.56000000000000005</v>
      </c>
      <c r="V7057" s="12">
        <f>C7057+0</f>
        <v>39815</v>
      </c>
      <c r="W7057">
        <f>IF(D7057=' Pivot Tables'!$A$4,1,0)</f>
        <v>0</v>
      </c>
      <c r="X7057">
        <f>IF(AND(LEFT(D7057,4)+1=LEFT(' Pivot Tables'!$A$4,4)+0,RIGHT(LEFT(D7057,7),2)=RIGHT(LEFT(' Pivot Tables'!$A$4,7),2)),1,0)</f>
        <v>1</v>
      </c>
      <c r="Y7057" s="6">
        <f>1/COUNTIF(Таблица1[Order ID],Таблица1[[#This Row],[Order ID]])</f>
        <v>0.33333333333333331</v>
      </c>
      <c r="Z7057" s="9">
        <f>1/COUNTIFS(Таблица1[Customer Name],Таблица1[[#This Row],[Customer Name]],Таблица1[Order-Year-Month],Таблица1[[#This Row],[Order-Year-Month]])</f>
        <v>0.33333333333333331</v>
      </c>
    </row>
    <row r="7058" spans="1:26" x14ac:dyDescent="0.2">
      <c r="A7058" s="6">
        <v>5273</v>
      </c>
      <c r="B7058" s="7">
        <v>37537</v>
      </c>
      <c r="C7058" s="8">
        <f>DATE(2012,12,31)-1459</f>
        <v>39815</v>
      </c>
      <c r="D7058" s="8" t="str">
        <f t="shared" si="132"/>
        <v>2009-01 (январь 2009)</v>
      </c>
      <c r="E7058" s="9" t="s">
        <v>21</v>
      </c>
      <c r="F7058" s="7">
        <v>43</v>
      </c>
      <c r="G7058" s="7">
        <v>4083.19</v>
      </c>
      <c r="H7058" s="7">
        <v>7.0000000000000007E-2</v>
      </c>
      <c r="I7058" s="9" t="s">
        <v>31</v>
      </c>
      <c r="J7058" s="10">
        <v>-1049.8499999999999</v>
      </c>
      <c r="K7058" s="11">
        <v>100.98</v>
      </c>
      <c r="L7058" s="11">
        <v>45</v>
      </c>
      <c r="M7058" s="9" t="s">
        <v>1800</v>
      </c>
      <c r="N7058" s="6" t="s">
        <v>703</v>
      </c>
      <c r="O7058" s="6" t="s">
        <v>704</v>
      </c>
      <c r="P7058" s="9" t="s">
        <v>41</v>
      </c>
      <c r="Q7058" s="9" t="s">
        <v>49</v>
      </c>
      <c r="R7058" s="9" t="s">
        <v>112</v>
      </c>
      <c r="S7058" s="7" t="s">
        <v>1451</v>
      </c>
      <c r="T7058" s="9" t="s">
        <v>36</v>
      </c>
      <c r="U7058" s="7">
        <v>0.69</v>
      </c>
      <c r="V7058" s="12">
        <f>C7058+2</f>
        <v>39817</v>
      </c>
      <c r="W7058">
        <f>IF(D7058=' Pivot Tables'!$A$4,1,0)</f>
        <v>0</v>
      </c>
      <c r="X7058">
        <f>IF(AND(LEFT(D7058,4)+1=LEFT(' Pivot Tables'!$A$4,4)+0,RIGHT(LEFT(D7058,7),2)=RIGHT(LEFT(' Pivot Tables'!$A$4,7),2)),1,0)</f>
        <v>1</v>
      </c>
      <c r="Y7058" s="6">
        <f>1/COUNTIF(Таблица1[Order ID],Таблица1[[#This Row],[Order ID]])</f>
        <v>0.33333333333333331</v>
      </c>
      <c r="Z7058" s="9">
        <f>1/COUNTIFS(Таблица1[Customer Name],Таблица1[[#This Row],[Customer Name]],Таблица1[Order-Year-Month],Таблица1[[#This Row],[Order-Year-Month]])</f>
        <v>0.33333333333333331</v>
      </c>
    </row>
    <row r="7059" spans="1:26" x14ac:dyDescent="0.2">
      <c r="A7059" s="6">
        <v>5274</v>
      </c>
      <c r="B7059" s="7">
        <v>37537</v>
      </c>
      <c r="C7059" s="8">
        <f>DATE(2012,12,31)-1459</f>
        <v>39815</v>
      </c>
      <c r="D7059" s="8" t="str">
        <f t="shared" si="132"/>
        <v>2009-01 (январь 2009)</v>
      </c>
      <c r="E7059" s="9" t="s">
        <v>21</v>
      </c>
      <c r="F7059" s="7">
        <v>32</v>
      </c>
      <c r="G7059" s="7">
        <v>4902.38</v>
      </c>
      <c r="H7059" s="7">
        <v>0.05</v>
      </c>
      <c r="I7059" s="9" t="s">
        <v>22</v>
      </c>
      <c r="J7059" s="10">
        <v>1438.49</v>
      </c>
      <c r="K7059" s="11">
        <v>155.06</v>
      </c>
      <c r="L7059" s="11">
        <v>7.07</v>
      </c>
      <c r="M7059" s="9" t="s">
        <v>1800</v>
      </c>
      <c r="N7059" s="6" t="s">
        <v>703</v>
      </c>
      <c r="O7059" s="6" t="s">
        <v>704</v>
      </c>
      <c r="P7059" s="9" t="s">
        <v>41</v>
      </c>
      <c r="Q7059" s="9" t="s">
        <v>26</v>
      </c>
      <c r="R7059" s="9" t="s">
        <v>27</v>
      </c>
      <c r="S7059" s="7" t="s">
        <v>502</v>
      </c>
      <c r="T7059" s="9" t="s">
        <v>39</v>
      </c>
      <c r="U7059" s="7">
        <v>0.59</v>
      </c>
      <c r="V7059" s="12">
        <f>C7059+7</f>
        <v>39822</v>
      </c>
      <c r="W7059">
        <f>IF(D7059=' Pivot Tables'!$A$4,1,0)</f>
        <v>0</v>
      </c>
      <c r="X7059">
        <f>IF(AND(LEFT(D7059,4)+1=LEFT(' Pivot Tables'!$A$4,4)+0,RIGHT(LEFT(D7059,7),2)=RIGHT(LEFT(' Pivot Tables'!$A$4,7),2)),1,0)</f>
        <v>1</v>
      </c>
      <c r="Y7059" s="6">
        <f>1/COUNTIF(Таблица1[Order ID],Таблица1[[#This Row],[Order ID]])</f>
        <v>0.33333333333333331</v>
      </c>
      <c r="Z7059" s="9">
        <f>1/COUNTIFS(Таблица1[Customer Name],Таблица1[[#This Row],[Customer Name]],Таблица1[Order-Year-Month],Таблица1[[#This Row],[Order-Year-Month]])</f>
        <v>0.33333333333333331</v>
      </c>
    </row>
    <row r="7060" spans="1:26" x14ac:dyDescent="0.2">
      <c r="A7060" s="6">
        <v>5283</v>
      </c>
      <c r="B7060" s="7">
        <v>37606</v>
      </c>
      <c r="C7060" s="8">
        <f>DATE(2012,12,31)-1043</f>
        <v>40231</v>
      </c>
      <c r="D7060" s="8" t="str">
        <f t="shared" si="132"/>
        <v>2010-02 (февраль 2010)</v>
      </c>
      <c r="E7060" s="9" t="s">
        <v>78</v>
      </c>
      <c r="F7060" s="7">
        <v>1</v>
      </c>
      <c r="G7060" s="7">
        <v>19.96</v>
      </c>
      <c r="H7060" s="7">
        <v>0.05</v>
      </c>
      <c r="I7060" s="9" t="s">
        <v>56</v>
      </c>
      <c r="J7060" s="10">
        <v>3.25</v>
      </c>
      <c r="K7060" s="11">
        <v>4.9800000000000004</v>
      </c>
      <c r="L7060" s="11">
        <v>4.8600000000000003</v>
      </c>
      <c r="M7060" s="9" t="s">
        <v>1290</v>
      </c>
      <c r="N7060" s="6" t="s">
        <v>703</v>
      </c>
      <c r="O7060" s="6" t="s">
        <v>704</v>
      </c>
      <c r="P7060" s="9" t="s">
        <v>33</v>
      </c>
      <c r="Q7060" s="9" t="s">
        <v>26</v>
      </c>
      <c r="R7060" s="9" t="s">
        <v>61</v>
      </c>
      <c r="S7060" s="7" t="s">
        <v>307</v>
      </c>
      <c r="T7060" s="9" t="s">
        <v>39</v>
      </c>
      <c r="U7060" s="7">
        <v>0.38</v>
      </c>
      <c r="V7060" s="12">
        <f>C7060+1</f>
        <v>40232</v>
      </c>
      <c r="W7060">
        <f>IF(D7060=' Pivot Tables'!$A$4,1,0)</f>
        <v>0</v>
      </c>
      <c r="X7060">
        <f>IF(AND(LEFT(D7060,4)+1=LEFT(' Pivot Tables'!$A$4,4)+0,RIGHT(LEFT(D7060,7),2)=RIGHT(LEFT(' Pivot Tables'!$A$4,7),2)),1,0)</f>
        <v>0</v>
      </c>
      <c r="Y7060" s="6">
        <f>1/COUNTIF(Таблица1[Order ID],Таблица1[[#This Row],[Order ID]])</f>
        <v>0.33333333333333331</v>
      </c>
      <c r="Z7060" s="9">
        <f>1/COUNTIFS(Таблица1[Customer Name],Таблица1[[#This Row],[Customer Name]],Таблица1[Order-Year-Month],Таблица1[[#This Row],[Order-Year-Month]])</f>
        <v>0.33333333333333331</v>
      </c>
    </row>
    <row r="7061" spans="1:26" x14ac:dyDescent="0.2">
      <c r="A7061" s="6">
        <v>5284</v>
      </c>
      <c r="B7061" s="7">
        <v>37606</v>
      </c>
      <c r="C7061" s="8">
        <f>DATE(2012,12,31)-1043</f>
        <v>40231</v>
      </c>
      <c r="D7061" s="8" t="str">
        <f t="shared" si="132"/>
        <v>2010-02 (февраль 2010)</v>
      </c>
      <c r="E7061" s="9" t="s">
        <v>78</v>
      </c>
      <c r="F7061" s="7">
        <v>41</v>
      </c>
      <c r="G7061" s="7">
        <v>148.99</v>
      </c>
      <c r="H7061" s="7">
        <v>0.03</v>
      </c>
      <c r="I7061" s="9" t="s">
        <v>22</v>
      </c>
      <c r="J7061" s="10">
        <v>-115.48</v>
      </c>
      <c r="K7061" s="11">
        <v>3.57</v>
      </c>
      <c r="L7061" s="11">
        <v>4.17</v>
      </c>
      <c r="M7061" s="9" t="s">
        <v>1290</v>
      </c>
      <c r="N7061" s="6" t="s">
        <v>703</v>
      </c>
      <c r="O7061" s="6" t="s">
        <v>704</v>
      </c>
      <c r="P7061" s="9" t="s">
        <v>33</v>
      </c>
      <c r="Q7061" s="9" t="s">
        <v>26</v>
      </c>
      <c r="R7061" s="9" t="s">
        <v>95</v>
      </c>
      <c r="S7061" s="7" t="s">
        <v>739</v>
      </c>
      <c r="T7061" s="9" t="s">
        <v>52</v>
      </c>
      <c r="U7061" s="7">
        <v>0.59</v>
      </c>
      <c r="V7061" s="12">
        <f>C7061+2</f>
        <v>40233</v>
      </c>
      <c r="W7061">
        <f>IF(D7061=' Pivot Tables'!$A$4,1,0)</f>
        <v>0</v>
      </c>
      <c r="X7061">
        <f>IF(AND(LEFT(D7061,4)+1=LEFT(' Pivot Tables'!$A$4,4)+0,RIGHT(LEFT(D7061,7),2)=RIGHT(LEFT(' Pivot Tables'!$A$4,7),2)),1,0)</f>
        <v>0</v>
      </c>
      <c r="Y7061" s="6">
        <f>1/COUNTIF(Таблица1[Order ID],Таблица1[[#This Row],[Order ID]])</f>
        <v>0.33333333333333331</v>
      </c>
      <c r="Z7061" s="9">
        <f>1/COUNTIFS(Таблица1[Customer Name],Таблица1[[#This Row],[Customer Name]],Таблица1[Order-Year-Month],Таблица1[[#This Row],[Order-Year-Month]])</f>
        <v>0.33333333333333331</v>
      </c>
    </row>
    <row r="7062" spans="1:26" x14ac:dyDescent="0.2">
      <c r="A7062" s="6">
        <v>5285</v>
      </c>
      <c r="B7062" s="7">
        <v>37606</v>
      </c>
      <c r="C7062" s="8">
        <f>DATE(2012,12,31)-1043</f>
        <v>40231</v>
      </c>
      <c r="D7062" s="8" t="str">
        <f t="shared" si="132"/>
        <v>2010-02 (февраль 2010)</v>
      </c>
      <c r="E7062" s="9" t="s">
        <v>78</v>
      </c>
      <c r="F7062" s="7">
        <v>21</v>
      </c>
      <c r="G7062" s="7">
        <v>70.66</v>
      </c>
      <c r="H7062" s="7">
        <v>0.06</v>
      </c>
      <c r="I7062" s="9" t="s">
        <v>22</v>
      </c>
      <c r="J7062" s="10">
        <v>-57.84</v>
      </c>
      <c r="K7062" s="11">
        <v>3.28</v>
      </c>
      <c r="L7062" s="11">
        <v>3.97</v>
      </c>
      <c r="M7062" s="9" t="s">
        <v>1290</v>
      </c>
      <c r="N7062" s="6" t="s">
        <v>703</v>
      </c>
      <c r="O7062" s="6" t="s">
        <v>704</v>
      </c>
      <c r="P7062" s="9" t="s">
        <v>33</v>
      </c>
      <c r="Q7062" s="9" t="s">
        <v>26</v>
      </c>
      <c r="R7062" s="9" t="s">
        <v>95</v>
      </c>
      <c r="S7062" s="7" t="s">
        <v>570</v>
      </c>
      <c r="T7062" s="9" t="s">
        <v>68</v>
      </c>
      <c r="U7062" s="7">
        <v>0.56000000000000005</v>
      </c>
      <c r="V7062" s="12">
        <f>C7062+2</f>
        <v>40233</v>
      </c>
      <c r="W7062">
        <f>IF(D7062=' Pivot Tables'!$A$4,1,0)</f>
        <v>0</v>
      </c>
      <c r="X7062">
        <f>IF(AND(LEFT(D7062,4)+1=LEFT(' Pivot Tables'!$A$4,4)+0,RIGHT(LEFT(D7062,7),2)=RIGHT(LEFT(' Pivot Tables'!$A$4,7),2)),1,0)</f>
        <v>0</v>
      </c>
      <c r="Y7062" s="6">
        <f>1/COUNTIF(Таблица1[Order ID],Таблица1[[#This Row],[Order ID]])</f>
        <v>0.33333333333333331</v>
      </c>
      <c r="Z7062" s="9">
        <f>1/COUNTIFS(Таблица1[Customer Name],Таблица1[[#This Row],[Customer Name]],Таблица1[Order-Year-Month],Таблица1[[#This Row],[Order-Year-Month]])</f>
        <v>0.33333333333333331</v>
      </c>
    </row>
    <row r="7063" spans="1:26" x14ac:dyDescent="0.2">
      <c r="A7063" s="6">
        <v>5289</v>
      </c>
      <c r="B7063" s="7">
        <v>37668</v>
      </c>
      <c r="C7063" s="8">
        <f>DATE(2012,12,31)-1088</f>
        <v>40186</v>
      </c>
      <c r="D7063" s="8" t="str">
        <f t="shared" si="132"/>
        <v>2010-01 (январь 2010)</v>
      </c>
      <c r="E7063" s="9" t="s">
        <v>21</v>
      </c>
      <c r="F7063" s="7">
        <v>33</v>
      </c>
      <c r="G7063" s="7">
        <v>478.27</v>
      </c>
      <c r="H7063" s="7">
        <v>0.01</v>
      </c>
      <c r="I7063" s="9" t="s">
        <v>22</v>
      </c>
      <c r="J7063" s="10">
        <v>-4.8459000000000003</v>
      </c>
      <c r="K7063" s="11">
        <v>13.99</v>
      </c>
      <c r="L7063" s="11">
        <v>7.51</v>
      </c>
      <c r="M7063" s="9" t="s">
        <v>2042</v>
      </c>
      <c r="N7063" s="6" t="s">
        <v>703</v>
      </c>
      <c r="O7063" s="6" t="s">
        <v>704</v>
      </c>
      <c r="P7063" s="9" t="s">
        <v>41</v>
      </c>
      <c r="Q7063" s="9" t="s">
        <v>42</v>
      </c>
      <c r="R7063" s="9" t="s">
        <v>210</v>
      </c>
      <c r="S7063" s="7" t="s">
        <v>687</v>
      </c>
      <c r="T7063" s="9" t="s">
        <v>48</v>
      </c>
      <c r="U7063" s="7">
        <v>0.39</v>
      </c>
      <c r="V7063" s="12">
        <f>C7063+0</f>
        <v>40186</v>
      </c>
      <c r="W7063">
        <f>IF(D7063=' Pivot Tables'!$A$4,1,0)</f>
        <v>1</v>
      </c>
      <c r="X7063">
        <f>IF(AND(LEFT(D7063,4)+1=LEFT(' Pivot Tables'!$A$4,4)+0,RIGHT(LEFT(D7063,7),2)=RIGHT(LEFT(' Pivot Tables'!$A$4,7),2)),1,0)</f>
        <v>0</v>
      </c>
      <c r="Y7063" s="6">
        <f>1/COUNTIF(Таблица1[Order ID],Таблица1[[#This Row],[Order ID]])</f>
        <v>1</v>
      </c>
      <c r="Z7063" s="9">
        <f>1/COUNTIFS(Таблица1[Customer Name],Таблица1[[#This Row],[Customer Name]],Таблица1[Order-Year-Month],Таблица1[[#This Row],[Order-Year-Month]])</f>
        <v>1</v>
      </c>
    </row>
    <row r="7064" spans="1:26" x14ac:dyDescent="0.2">
      <c r="A7064" s="6">
        <v>5322</v>
      </c>
      <c r="B7064" s="7">
        <v>37830</v>
      </c>
      <c r="C7064" s="8">
        <f>DATE(2012,12,31)-1233</f>
        <v>40041</v>
      </c>
      <c r="D7064" s="8" t="str">
        <f t="shared" si="132"/>
        <v>2009-08 (август 2009)</v>
      </c>
      <c r="E7064" s="9" t="s">
        <v>45</v>
      </c>
      <c r="F7064" s="7">
        <v>39</v>
      </c>
      <c r="G7064" s="7">
        <v>977.92</v>
      </c>
      <c r="H7064" s="7">
        <v>0.05</v>
      </c>
      <c r="I7064" s="9" t="s">
        <v>56</v>
      </c>
      <c r="J7064" s="10">
        <v>148.88999999999999</v>
      </c>
      <c r="K7064" s="11">
        <v>25.99</v>
      </c>
      <c r="L7064" s="11">
        <v>5.37</v>
      </c>
      <c r="M7064" s="9" t="s">
        <v>2034</v>
      </c>
      <c r="N7064" s="6" t="s">
        <v>703</v>
      </c>
      <c r="O7064" s="6" t="s">
        <v>704</v>
      </c>
      <c r="P7064" s="9" t="s">
        <v>41</v>
      </c>
      <c r="Q7064" s="9" t="s">
        <v>26</v>
      </c>
      <c r="R7064" s="9" t="s">
        <v>95</v>
      </c>
      <c r="S7064" s="7" t="s">
        <v>1548</v>
      </c>
      <c r="T7064" s="9" t="s">
        <v>39</v>
      </c>
      <c r="U7064" s="7">
        <v>0.56000000000000005</v>
      </c>
      <c r="V7064" s="12">
        <f>C7064+2</f>
        <v>40043</v>
      </c>
      <c r="W7064">
        <f>IF(D7064=' Pivot Tables'!$A$4,1,0)</f>
        <v>0</v>
      </c>
      <c r="X7064">
        <f>IF(AND(LEFT(D7064,4)+1=LEFT(' Pivot Tables'!$A$4,4)+0,RIGHT(LEFT(D7064,7),2)=RIGHT(LEFT(' Pivot Tables'!$A$4,7),2)),1,0)</f>
        <v>0</v>
      </c>
      <c r="Y7064" s="6">
        <f>1/COUNTIF(Таблица1[Order ID],Таблица1[[#This Row],[Order ID]])</f>
        <v>1</v>
      </c>
      <c r="Z7064" s="9">
        <f>1/COUNTIFS(Таблица1[Customer Name],Таблица1[[#This Row],[Customer Name]],Таблица1[Order-Year-Month],Таблица1[[#This Row],[Order-Year-Month]])</f>
        <v>0.16666666666666666</v>
      </c>
    </row>
    <row r="7065" spans="1:26" x14ac:dyDescent="0.2">
      <c r="A7065" s="6">
        <v>5343</v>
      </c>
      <c r="B7065" s="7">
        <v>37957</v>
      </c>
      <c r="C7065" s="8">
        <f>DATE(2012,12,31)-787</f>
        <v>40487</v>
      </c>
      <c r="D7065" s="8" t="str">
        <f t="shared" si="132"/>
        <v>2010-11 (ноябрь 2010)</v>
      </c>
      <c r="E7065" s="9" t="s">
        <v>45</v>
      </c>
      <c r="F7065" s="7">
        <v>31</v>
      </c>
      <c r="G7065" s="7">
        <v>229.26</v>
      </c>
      <c r="H7065" s="7">
        <v>0</v>
      </c>
      <c r="I7065" s="9" t="s">
        <v>22</v>
      </c>
      <c r="J7065" s="10">
        <v>-37.202500000000001</v>
      </c>
      <c r="K7065" s="11">
        <v>6.81</v>
      </c>
      <c r="L7065" s="11">
        <v>5.48</v>
      </c>
      <c r="M7065" s="9" t="s">
        <v>1469</v>
      </c>
      <c r="N7065" s="6" t="s">
        <v>703</v>
      </c>
      <c r="O7065" s="6" t="s">
        <v>704</v>
      </c>
      <c r="P7065" s="9" t="s">
        <v>25</v>
      </c>
      <c r="Q7065" s="9" t="s">
        <v>26</v>
      </c>
      <c r="R7065" s="9" t="s">
        <v>37</v>
      </c>
      <c r="S7065" s="7" t="s">
        <v>1319</v>
      </c>
      <c r="T7065" s="9" t="s">
        <v>39</v>
      </c>
      <c r="U7065" s="7">
        <v>0.37</v>
      </c>
      <c r="V7065" s="12">
        <f>C7065+1</f>
        <v>40488</v>
      </c>
      <c r="W7065">
        <f>IF(D7065=' Pivot Tables'!$A$4,1,0)</f>
        <v>0</v>
      </c>
      <c r="X7065">
        <f>IF(AND(LEFT(D7065,4)+1=LEFT(' Pivot Tables'!$A$4,4)+0,RIGHT(LEFT(D7065,7),2)=RIGHT(LEFT(' Pivot Tables'!$A$4,7),2)),1,0)</f>
        <v>0</v>
      </c>
      <c r="Y7065" s="6">
        <f>1/COUNTIF(Таблица1[Order ID],Таблица1[[#This Row],[Order ID]])</f>
        <v>1</v>
      </c>
      <c r="Z7065" s="9">
        <f>1/COUNTIFS(Таблица1[Customer Name],Таблица1[[#This Row],[Customer Name]],Таблица1[Order-Year-Month],Таблица1[[#This Row],[Order-Year-Month]])</f>
        <v>1</v>
      </c>
    </row>
    <row r="7066" spans="1:26" x14ac:dyDescent="0.2">
      <c r="A7066" s="6">
        <v>5404</v>
      </c>
      <c r="B7066" s="7">
        <v>38406</v>
      </c>
      <c r="C7066" s="8">
        <f>DATE(2012,12,31)-760</f>
        <v>40514</v>
      </c>
      <c r="D7066" s="8" t="str">
        <f t="shared" si="132"/>
        <v>2010-12 (декабрь 2010)</v>
      </c>
      <c r="E7066" s="9" t="s">
        <v>63</v>
      </c>
      <c r="F7066" s="7">
        <v>12</v>
      </c>
      <c r="G7066" s="7">
        <v>754.94</v>
      </c>
      <c r="H7066" s="7">
        <v>0.01</v>
      </c>
      <c r="I7066" s="9" t="s">
        <v>31</v>
      </c>
      <c r="J7066" s="10">
        <v>-226.24</v>
      </c>
      <c r="K7066" s="11">
        <v>58.14</v>
      </c>
      <c r="L7066" s="11">
        <v>36.61</v>
      </c>
      <c r="M7066" s="9" t="s">
        <v>2029</v>
      </c>
      <c r="N7066" s="6" t="s">
        <v>703</v>
      </c>
      <c r="O7066" s="6" t="s">
        <v>704</v>
      </c>
      <c r="P7066" s="9" t="s">
        <v>25</v>
      </c>
      <c r="Q7066" s="9" t="s">
        <v>49</v>
      </c>
      <c r="R7066" s="9" t="s">
        <v>80</v>
      </c>
      <c r="S7066" s="7" t="s">
        <v>233</v>
      </c>
      <c r="T7066" s="9" t="s">
        <v>82</v>
      </c>
      <c r="U7066" s="7">
        <v>0.61</v>
      </c>
      <c r="V7066" s="12">
        <f>C7066+1</f>
        <v>40515</v>
      </c>
      <c r="W7066">
        <f>IF(D7066=' Pivot Tables'!$A$4,1,0)</f>
        <v>0</v>
      </c>
      <c r="X7066">
        <f>IF(AND(LEFT(D7066,4)+1=LEFT(' Pivot Tables'!$A$4,4)+0,RIGHT(LEFT(D7066,7),2)=RIGHT(LEFT(' Pivot Tables'!$A$4,7),2)),1,0)</f>
        <v>0</v>
      </c>
      <c r="Y7066" s="6">
        <f>1/COUNTIF(Таблица1[Order ID],Таблица1[[#This Row],[Order ID]])</f>
        <v>1</v>
      </c>
      <c r="Z7066" s="9">
        <f>1/COUNTIFS(Таблица1[Customer Name],Таблица1[[#This Row],[Customer Name]],Таблица1[Order-Year-Month],Таблица1[[#This Row],[Order-Year-Month]])</f>
        <v>1</v>
      </c>
    </row>
    <row r="7067" spans="1:26" x14ac:dyDescent="0.2">
      <c r="A7067" s="6">
        <v>5431</v>
      </c>
      <c r="B7067" s="7">
        <v>38594</v>
      </c>
      <c r="C7067" s="8">
        <f>DATE(2012,12,31)-1126</f>
        <v>40148</v>
      </c>
      <c r="D7067" s="8" t="str">
        <f t="shared" si="132"/>
        <v>2009-12 (декабрь 2009)</v>
      </c>
      <c r="E7067" s="9" t="s">
        <v>63</v>
      </c>
      <c r="F7067" s="7">
        <v>26</v>
      </c>
      <c r="G7067" s="7">
        <v>1011.9</v>
      </c>
      <c r="H7067" s="7">
        <v>7.0000000000000007E-2</v>
      </c>
      <c r="I7067" s="9" t="s">
        <v>22</v>
      </c>
      <c r="J7067" s="10">
        <v>247.94</v>
      </c>
      <c r="K7067" s="11">
        <v>39.479999999999997</v>
      </c>
      <c r="L7067" s="11">
        <v>1.99</v>
      </c>
      <c r="M7067" s="9" t="s">
        <v>2028</v>
      </c>
      <c r="N7067" s="6" t="s">
        <v>703</v>
      </c>
      <c r="O7067" s="6" t="s">
        <v>704</v>
      </c>
      <c r="P7067" s="9" t="s">
        <v>41</v>
      </c>
      <c r="Q7067" s="9" t="s">
        <v>42</v>
      </c>
      <c r="R7067" s="9" t="s">
        <v>70</v>
      </c>
      <c r="S7067" s="7" t="s">
        <v>161</v>
      </c>
      <c r="T7067" s="9" t="s">
        <v>52</v>
      </c>
      <c r="U7067" s="7">
        <v>0.54</v>
      </c>
      <c r="V7067" s="12">
        <f>C7067+1</f>
        <v>40149</v>
      </c>
      <c r="W7067">
        <f>IF(D7067=' Pivot Tables'!$A$4,1,0)</f>
        <v>0</v>
      </c>
      <c r="X7067">
        <f>IF(AND(LEFT(D7067,4)+1=LEFT(' Pivot Tables'!$A$4,4)+0,RIGHT(LEFT(D7067,7),2)=RIGHT(LEFT(' Pivot Tables'!$A$4,7),2)),1,0)</f>
        <v>0</v>
      </c>
      <c r="Y7067" s="6">
        <f>1/COUNTIF(Таблица1[Order ID],Таблица1[[#This Row],[Order ID]])</f>
        <v>1</v>
      </c>
      <c r="Z7067" s="9">
        <f>1/COUNTIFS(Таблица1[Customer Name],Таблица1[[#This Row],[Customer Name]],Таблица1[Order-Year-Month],Таблица1[[#This Row],[Order-Year-Month]])</f>
        <v>1</v>
      </c>
    </row>
    <row r="7068" spans="1:26" x14ac:dyDescent="0.2">
      <c r="A7068" s="6">
        <v>5444</v>
      </c>
      <c r="B7068" s="7">
        <v>38657</v>
      </c>
      <c r="C7068" s="8">
        <f>DATE(2012,12,31)-948</f>
        <v>40326</v>
      </c>
      <c r="D7068" s="8" t="str">
        <f t="shared" si="132"/>
        <v>2010-05 (май 2010)</v>
      </c>
      <c r="E7068" s="9" t="s">
        <v>45</v>
      </c>
      <c r="F7068" s="7">
        <v>38</v>
      </c>
      <c r="G7068" s="7">
        <v>1279.25</v>
      </c>
      <c r="H7068" s="7">
        <v>0.01</v>
      </c>
      <c r="I7068" s="9" t="s">
        <v>22</v>
      </c>
      <c r="J7068" s="10">
        <v>569.29999999999995</v>
      </c>
      <c r="K7068" s="11">
        <v>31.78</v>
      </c>
      <c r="L7068" s="11">
        <v>1.99</v>
      </c>
      <c r="M7068" s="9" t="s">
        <v>1532</v>
      </c>
      <c r="N7068" s="6" t="s">
        <v>703</v>
      </c>
      <c r="O7068" s="6" t="s">
        <v>704</v>
      </c>
      <c r="P7068" s="9" t="s">
        <v>33</v>
      </c>
      <c r="Q7068" s="9" t="s">
        <v>42</v>
      </c>
      <c r="R7068" s="9" t="s">
        <v>70</v>
      </c>
      <c r="S7068" s="7" t="s">
        <v>132</v>
      </c>
      <c r="T7068" s="9" t="s">
        <v>52</v>
      </c>
      <c r="U7068" s="7">
        <v>0.42</v>
      </c>
      <c r="V7068" s="12">
        <f>C7068+1</f>
        <v>40327</v>
      </c>
      <c r="W7068">
        <f>IF(D7068=' Pivot Tables'!$A$4,1,0)</f>
        <v>0</v>
      </c>
      <c r="X7068">
        <f>IF(AND(LEFT(D7068,4)+1=LEFT(' Pivot Tables'!$A$4,4)+0,RIGHT(LEFT(D7068,7),2)=RIGHT(LEFT(' Pivot Tables'!$A$4,7),2)),1,0)</f>
        <v>0</v>
      </c>
      <c r="Y7068" s="6">
        <f>1/COUNTIF(Таблица1[Order ID],Таблица1[[#This Row],[Order ID]])</f>
        <v>1</v>
      </c>
      <c r="Z7068" s="9">
        <f>1/COUNTIFS(Таблица1[Customer Name],Таблица1[[#This Row],[Customer Name]],Таблица1[Order-Year-Month],Таблица1[[#This Row],[Order-Year-Month]])</f>
        <v>1</v>
      </c>
    </row>
    <row r="7069" spans="1:26" x14ac:dyDescent="0.2">
      <c r="A7069" s="6">
        <v>5466</v>
      </c>
      <c r="B7069" s="7">
        <v>38850</v>
      </c>
      <c r="C7069" s="8">
        <f>DATE(2012,12,31)-977</f>
        <v>40297</v>
      </c>
      <c r="D7069" s="8" t="str">
        <f t="shared" si="132"/>
        <v>2010-04 (апрель 2010)</v>
      </c>
      <c r="E7069" s="9" t="s">
        <v>63</v>
      </c>
      <c r="F7069" s="7">
        <v>34</v>
      </c>
      <c r="G7069" s="7">
        <v>12570.74</v>
      </c>
      <c r="H7069" s="7">
        <v>0.02</v>
      </c>
      <c r="I7069" s="9" t="s">
        <v>31</v>
      </c>
      <c r="J7069" s="10">
        <v>-4560.43</v>
      </c>
      <c r="K7069" s="11">
        <v>348.21</v>
      </c>
      <c r="L7069" s="11">
        <v>40.19</v>
      </c>
      <c r="M7069" s="9" t="s">
        <v>1651</v>
      </c>
      <c r="N7069" s="6" t="s">
        <v>703</v>
      </c>
      <c r="O7069" s="6" t="s">
        <v>704</v>
      </c>
      <c r="P7069" s="9" t="s">
        <v>60</v>
      </c>
      <c r="Q7069" s="9" t="s">
        <v>49</v>
      </c>
      <c r="R7069" s="9" t="s">
        <v>83</v>
      </c>
      <c r="S7069" s="7" t="s">
        <v>599</v>
      </c>
      <c r="T7069" s="9" t="s">
        <v>82</v>
      </c>
      <c r="U7069" s="7">
        <v>0.62</v>
      </c>
      <c r="V7069" s="12">
        <f>C7069+2</f>
        <v>40299</v>
      </c>
      <c r="W7069">
        <f>IF(D7069=' Pivot Tables'!$A$4,1,0)</f>
        <v>0</v>
      </c>
      <c r="X7069">
        <f>IF(AND(LEFT(D7069,4)+1=LEFT(' Pivot Tables'!$A$4,4)+0,RIGHT(LEFT(D7069,7),2)=RIGHT(LEFT(' Pivot Tables'!$A$4,7),2)),1,0)</f>
        <v>0</v>
      </c>
      <c r="Y7069" s="6">
        <f>1/COUNTIF(Таблица1[Order ID],Таблица1[[#This Row],[Order ID]])</f>
        <v>1</v>
      </c>
      <c r="Z7069" s="9">
        <f>1/COUNTIFS(Таблица1[Customer Name],Таблица1[[#This Row],[Customer Name]],Таблица1[Order-Year-Month],Таблица1[[#This Row],[Order-Year-Month]])</f>
        <v>1</v>
      </c>
    </row>
    <row r="7070" spans="1:26" x14ac:dyDescent="0.2">
      <c r="A7070" s="6">
        <v>5479</v>
      </c>
      <c r="B7070" s="7">
        <v>38913</v>
      </c>
      <c r="C7070" s="8">
        <f>DATE(2012,12,31)-1212</f>
        <v>40062</v>
      </c>
      <c r="D7070" s="8" t="str">
        <f t="shared" si="132"/>
        <v>2009-09 (сентябрь 2009)</v>
      </c>
      <c r="E7070" s="9" t="s">
        <v>45</v>
      </c>
      <c r="F7070" s="7">
        <v>7</v>
      </c>
      <c r="G7070" s="7">
        <v>230.29</v>
      </c>
      <c r="H7070" s="7">
        <v>0.03</v>
      </c>
      <c r="I7070" s="9" t="s">
        <v>22</v>
      </c>
      <c r="J7070" s="10">
        <v>-4.3009999999999939</v>
      </c>
      <c r="K7070" s="11">
        <v>31.74</v>
      </c>
      <c r="L7070" s="11">
        <v>12.62</v>
      </c>
      <c r="M7070" s="9" t="s">
        <v>1590</v>
      </c>
      <c r="N7070" s="6" t="s">
        <v>703</v>
      </c>
      <c r="O7070" s="6" t="s">
        <v>704</v>
      </c>
      <c r="P7070" s="9" t="s">
        <v>60</v>
      </c>
      <c r="Q7070" s="9" t="s">
        <v>26</v>
      </c>
      <c r="R7070" s="9" t="s">
        <v>37</v>
      </c>
      <c r="S7070" s="7" t="s">
        <v>1223</v>
      </c>
      <c r="T7070" s="9" t="s">
        <v>39</v>
      </c>
      <c r="U7070" s="7">
        <v>0.37</v>
      </c>
      <c r="V7070" s="12">
        <f>C7070+0</f>
        <v>40062</v>
      </c>
      <c r="W7070">
        <f>IF(D7070=' Pivot Tables'!$A$4,1,0)</f>
        <v>0</v>
      </c>
      <c r="X7070">
        <f>IF(AND(LEFT(D7070,4)+1=LEFT(' Pivot Tables'!$A$4,4)+0,RIGHT(LEFT(D7070,7),2)=RIGHT(LEFT(' Pivot Tables'!$A$4,7),2)),1,0)</f>
        <v>0</v>
      </c>
      <c r="Y7070" s="6">
        <f>1/COUNTIF(Таблица1[Order ID],Таблица1[[#This Row],[Order ID]])</f>
        <v>1</v>
      </c>
      <c r="Z7070" s="9">
        <f>1/COUNTIFS(Таблица1[Customer Name],Таблица1[[#This Row],[Customer Name]],Таблица1[Order-Year-Month],Таблица1[[#This Row],[Order-Year-Month]])</f>
        <v>0.5</v>
      </c>
    </row>
    <row r="7071" spans="1:26" x14ac:dyDescent="0.2">
      <c r="A7071" s="6">
        <v>5488</v>
      </c>
      <c r="B7071" s="7">
        <v>38948</v>
      </c>
      <c r="C7071" s="8">
        <f>DATE(2012,12,31)-575</f>
        <v>40699</v>
      </c>
      <c r="D7071" s="8" t="str">
        <f t="shared" si="132"/>
        <v>2011-06 (июнь 2011)</v>
      </c>
      <c r="E7071" s="9" t="s">
        <v>45</v>
      </c>
      <c r="F7071" s="7">
        <v>9</v>
      </c>
      <c r="G7071" s="7">
        <v>1394.28</v>
      </c>
      <c r="H7071" s="7">
        <v>0.03</v>
      </c>
      <c r="I7071" s="9" t="s">
        <v>22</v>
      </c>
      <c r="J7071" s="10">
        <v>197.16</v>
      </c>
      <c r="K7071" s="11">
        <v>155.06</v>
      </c>
      <c r="L7071" s="11">
        <v>7.07</v>
      </c>
      <c r="M7071" s="9" t="s">
        <v>1566</v>
      </c>
      <c r="N7071" s="6" t="s">
        <v>703</v>
      </c>
      <c r="O7071" s="6" t="s">
        <v>704</v>
      </c>
      <c r="P7071" s="9" t="s">
        <v>60</v>
      </c>
      <c r="Q7071" s="9" t="s">
        <v>26</v>
      </c>
      <c r="R7071" s="9" t="s">
        <v>27</v>
      </c>
      <c r="S7071" s="7" t="s">
        <v>502</v>
      </c>
      <c r="T7071" s="9" t="s">
        <v>39</v>
      </c>
      <c r="U7071" s="7">
        <v>0.59</v>
      </c>
      <c r="V7071" s="12">
        <f>C7071+1</f>
        <v>40700</v>
      </c>
      <c r="W7071">
        <f>IF(D7071=' Pivot Tables'!$A$4,1,0)</f>
        <v>0</v>
      </c>
      <c r="X7071">
        <f>IF(AND(LEFT(D7071,4)+1=LEFT(' Pivot Tables'!$A$4,4)+0,RIGHT(LEFT(D7071,7),2)=RIGHT(LEFT(' Pivot Tables'!$A$4,7),2)),1,0)</f>
        <v>0</v>
      </c>
      <c r="Y7071" s="6">
        <f>1/COUNTIF(Таблица1[Order ID],Таблица1[[#This Row],[Order ID]])</f>
        <v>0.5</v>
      </c>
      <c r="Z7071" s="9">
        <f>1/COUNTIFS(Таблица1[Customer Name],Таблица1[[#This Row],[Customer Name]],Таблица1[Order-Year-Month],Таблица1[[#This Row],[Order-Year-Month]])</f>
        <v>0.5</v>
      </c>
    </row>
    <row r="7072" spans="1:26" x14ac:dyDescent="0.2">
      <c r="A7072" s="6">
        <v>5489</v>
      </c>
      <c r="B7072" s="7">
        <v>38948</v>
      </c>
      <c r="C7072" s="8">
        <f>DATE(2012,12,31)-575</f>
        <v>40699</v>
      </c>
      <c r="D7072" s="8" t="str">
        <f t="shared" si="132"/>
        <v>2011-06 (июнь 2011)</v>
      </c>
      <c r="E7072" s="9" t="s">
        <v>45</v>
      </c>
      <c r="F7072" s="7">
        <v>44</v>
      </c>
      <c r="G7072" s="7">
        <v>6862.2370000000001</v>
      </c>
      <c r="H7072" s="7">
        <v>0.05</v>
      </c>
      <c r="I7072" s="9" t="s">
        <v>56</v>
      </c>
      <c r="J7072" s="10">
        <v>1839.204</v>
      </c>
      <c r="K7072" s="11">
        <v>179.99</v>
      </c>
      <c r="L7072" s="11">
        <v>13.99</v>
      </c>
      <c r="M7072" s="9" t="s">
        <v>1566</v>
      </c>
      <c r="N7072" s="6" t="s">
        <v>703</v>
      </c>
      <c r="O7072" s="6" t="s">
        <v>704</v>
      </c>
      <c r="P7072" s="9" t="s">
        <v>60</v>
      </c>
      <c r="Q7072" s="9" t="s">
        <v>42</v>
      </c>
      <c r="R7072" s="9" t="s">
        <v>43</v>
      </c>
      <c r="S7072" s="7" t="s">
        <v>343</v>
      </c>
      <c r="T7072" s="9" t="s">
        <v>48</v>
      </c>
      <c r="U7072" s="7">
        <v>0.56999999999999995</v>
      </c>
      <c r="V7072" s="12">
        <f>C7072+1</f>
        <v>40700</v>
      </c>
      <c r="W7072">
        <f>IF(D7072=' Pivot Tables'!$A$4,1,0)</f>
        <v>0</v>
      </c>
      <c r="X7072">
        <f>IF(AND(LEFT(D7072,4)+1=LEFT(' Pivot Tables'!$A$4,4)+0,RIGHT(LEFT(D7072,7),2)=RIGHT(LEFT(' Pivot Tables'!$A$4,7),2)),1,0)</f>
        <v>0</v>
      </c>
      <c r="Y7072" s="6">
        <f>1/COUNTIF(Таблица1[Order ID],Таблица1[[#This Row],[Order ID]])</f>
        <v>0.5</v>
      </c>
      <c r="Z7072" s="9">
        <f>1/COUNTIFS(Таблица1[Customer Name],Таблица1[[#This Row],[Customer Name]],Таблица1[Order-Year-Month],Таблица1[[#This Row],[Order-Year-Month]])</f>
        <v>0.5</v>
      </c>
    </row>
    <row r="7073" spans="1:26" x14ac:dyDescent="0.2">
      <c r="A7073" s="6">
        <v>5505</v>
      </c>
      <c r="B7073" s="7">
        <v>39041</v>
      </c>
      <c r="C7073" s="8">
        <f>DATE(2012,12,31)-432</f>
        <v>40842</v>
      </c>
      <c r="D7073" s="8" t="str">
        <f t="shared" si="132"/>
        <v>2011-10 (октябрь 2011)</v>
      </c>
      <c r="E7073" s="9" t="s">
        <v>78</v>
      </c>
      <c r="F7073" s="7">
        <v>47</v>
      </c>
      <c r="G7073" s="7">
        <v>418.03</v>
      </c>
      <c r="H7073" s="7">
        <v>0</v>
      </c>
      <c r="I7073" s="9" t="s">
        <v>56</v>
      </c>
      <c r="J7073" s="10">
        <v>-158.58000000000001</v>
      </c>
      <c r="K7073" s="11">
        <v>8.09</v>
      </c>
      <c r="L7073" s="11">
        <v>7.96</v>
      </c>
      <c r="M7073" s="9" t="s">
        <v>2027</v>
      </c>
      <c r="N7073" s="6" t="s">
        <v>703</v>
      </c>
      <c r="O7073" s="6" t="s">
        <v>704</v>
      </c>
      <c r="P7073" s="9" t="s">
        <v>41</v>
      </c>
      <c r="Q7073" s="9" t="s">
        <v>49</v>
      </c>
      <c r="R7073" s="9" t="s">
        <v>50</v>
      </c>
      <c r="S7073" s="7" t="s">
        <v>1769</v>
      </c>
      <c r="T7073" s="9" t="s">
        <v>39</v>
      </c>
      <c r="U7073" s="7">
        <v>0.49</v>
      </c>
      <c r="V7073" s="12">
        <f>C7073+0</f>
        <v>40842</v>
      </c>
      <c r="W7073">
        <f>IF(D7073=' Pivot Tables'!$A$4,1,0)</f>
        <v>0</v>
      </c>
      <c r="X7073">
        <f>IF(AND(LEFT(D7073,4)+1=LEFT(' Pivot Tables'!$A$4,4)+0,RIGHT(LEFT(D7073,7),2)=RIGHT(LEFT(' Pivot Tables'!$A$4,7),2)),1,0)</f>
        <v>0</v>
      </c>
      <c r="Y7073" s="6">
        <f>1/COUNTIF(Таблица1[Order ID],Таблица1[[#This Row],[Order ID]])</f>
        <v>0.5</v>
      </c>
      <c r="Z7073" s="9">
        <f>1/COUNTIFS(Таблица1[Customer Name],Таблица1[[#This Row],[Customer Name]],Таблица1[Order-Year-Month],Таблица1[[#This Row],[Order-Year-Month]])</f>
        <v>0.5</v>
      </c>
    </row>
    <row r="7074" spans="1:26" x14ac:dyDescent="0.2">
      <c r="A7074" s="6">
        <v>5506</v>
      </c>
      <c r="B7074" s="7">
        <v>39041</v>
      </c>
      <c r="C7074" s="8">
        <f>DATE(2012,12,31)-432</f>
        <v>40842</v>
      </c>
      <c r="D7074" s="8" t="str">
        <f t="shared" si="132"/>
        <v>2011-10 (октябрь 2011)</v>
      </c>
      <c r="E7074" s="9" t="s">
        <v>78</v>
      </c>
      <c r="F7074" s="7">
        <v>23</v>
      </c>
      <c r="G7074" s="7">
        <v>336.86</v>
      </c>
      <c r="H7074" s="7">
        <v>0.06</v>
      </c>
      <c r="I7074" s="9" t="s">
        <v>22</v>
      </c>
      <c r="J7074" s="10">
        <v>36.32</v>
      </c>
      <c r="K7074" s="11">
        <v>14.2</v>
      </c>
      <c r="L7074" s="11">
        <v>5.3</v>
      </c>
      <c r="M7074" s="9" t="s">
        <v>2027</v>
      </c>
      <c r="N7074" s="6" t="s">
        <v>703</v>
      </c>
      <c r="O7074" s="6" t="s">
        <v>704</v>
      </c>
      <c r="P7074" s="9" t="s">
        <v>41</v>
      </c>
      <c r="Q7074" s="9" t="s">
        <v>49</v>
      </c>
      <c r="R7074" s="9" t="s">
        <v>50</v>
      </c>
      <c r="S7074" s="7" t="s">
        <v>603</v>
      </c>
      <c r="T7074" s="9" t="s">
        <v>68</v>
      </c>
      <c r="U7074" s="7">
        <v>0.46</v>
      </c>
      <c r="V7074" s="12">
        <f>C7074+2</f>
        <v>40844</v>
      </c>
      <c r="W7074">
        <f>IF(D7074=' Pivot Tables'!$A$4,1,0)</f>
        <v>0</v>
      </c>
      <c r="X7074">
        <f>IF(AND(LEFT(D7074,4)+1=LEFT(' Pivot Tables'!$A$4,4)+0,RIGHT(LEFT(D7074,7),2)=RIGHT(LEFT(' Pivot Tables'!$A$4,7),2)),1,0)</f>
        <v>0</v>
      </c>
      <c r="Y7074" s="6">
        <f>1/COUNTIF(Таблица1[Order ID],Таблица1[[#This Row],[Order ID]])</f>
        <v>0.5</v>
      </c>
      <c r="Z7074" s="9">
        <f>1/COUNTIFS(Таблица1[Customer Name],Таблица1[[#This Row],[Customer Name]],Таблица1[Order-Year-Month],Таблица1[[#This Row],[Order-Year-Month]])</f>
        <v>0.5</v>
      </c>
    </row>
    <row r="7075" spans="1:26" x14ac:dyDescent="0.2">
      <c r="A7075" s="6">
        <v>5519</v>
      </c>
      <c r="B7075" s="7">
        <v>39136</v>
      </c>
      <c r="C7075" s="8">
        <f>DATE(2012,12,31)-1286</f>
        <v>39988</v>
      </c>
      <c r="D7075" s="8" t="str">
        <f t="shared" si="132"/>
        <v>2009-06 (июнь 2009)</v>
      </c>
      <c r="E7075" s="9" t="s">
        <v>30</v>
      </c>
      <c r="F7075" s="7">
        <v>49</v>
      </c>
      <c r="G7075" s="7">
        <v>2693.5140000000001</v>
      </c>
      <c r="H7075" s="7">
        <v>0.02</v>
      </c>
      <c r="I7075" s="9" t="s">
        <v>22</v>
      </c>
      <c r="J7075" s="10">
        <v>662.04899999999998</v>
      </c>
      <c r="K7075" s="11">
        <v>65.989999999999995</v>
      </c>
      <c r="L7075" s="11">
        <v>3.99</v>
      </c>
      <c r="M7075" s="9" t="s">
        <v>1526</v>
      </c>
      <c r="N7075" s="6" t="s">
        <v>703</v>
      </c>
      <c r="O7075" s="6" t="s">
        <v>704</v>
      </c>
      <c r="P7075" s="9" t="s">
        <v>41</v>
      </c>
      <c r="Q7075" s="9" t="s">
        <v>42</v>
      </c>
      <c r="R7075" s="9" t="s">
        <v>43</v>
      </c>
      <c r="S7075" s="7" t="s">
        <v>582</v>
      </c>
      <c r="T7075" s="9" t="s">
        <v>39</v>
      </c>
      <c r="U7075" s="7">
        <v>0.59</v>
      </c>
      <c r="V7075" s="12">
        <f>C7075+2</f>
        <v>39990</v>
      </c>
      <c r="W7075">
        <f>IF(D7075=' Pivot Tables'!$A$4,1,0)</f>
        <v>0</v>
      </c>
      <c r="X7075">
        <f>IF(AND(LEFT(D7075,4)+1=LEFT(' Pivot Tables'!$A$4,4)+0,RIGHT(LEFT(D7075,7),2)=RIGHT(LEFT(' Pivot Tables'!$A$4,7),2)),1,0)</f>
        <v>0</v>
      </c>
      <c r="Y7075" s="6">
        <f>1/COUNTIF(Таблица1[Order ID],Таблица1[[#This Row],[Order ID]])</f>
        <v>1</v>
      </c>
      <c r="Z7075" s="9">
        <f>1/COUNTIFS(Таблица1[Customer Name],Таблица1[[#This Row],[Customer Name]],Таблица1[Order-Year-Month],Таблица1[[#This Row],[Order-Year-Month]])</f>
        <v>1</v>
      </c>
    </row>
    <row r="7076" spans="1:26" x14ac:dyDescent="0.2">
      <c r="A7076" s="6">
        <v>5535</v>
      </c>
      <c r="B7076" s="7">
        <v>39232</v>
      </c>
      <c r="C7076" s="8">
        <f>DATE(2012,12,31)-538</f>
        <v>40736</v>
      </c>
      <c r="D7076" s="8" t="str">
        <f t="shared" si="132"/>
        <v>2011-07 (июль 2011)</v>
      </c>
      <c r="E7076" s="9" t="s">
        <v>21</v>
      </c>
      <c r="F7076" s="7">
        <v>11</v>
      </c>
      <c r="G7076" s="7">
        <v>391.9</v>
      </c>
      <c r="H7076" s="7">
        <v>0.1</v>
      </c>
      <c r="I7076" s="9" t="s">
        <v>22</v>
      </c>
      <c r="J7076" s="10">
        <v>-47.01</v>
      </c>
      <c r="K7076" s="11">
        <v>35.44</v>
      </c>
      <c r="L7076" s="11">
        <v>19.989999999999998</v>
      </c>
      <c r="M7076" s="9" t="s">
        <v>2027</v>
      </c>
      <c r="N7076" s="6" t="s">
        <v>703</v>
      </c>
      <c r="O7076" s="6" t="s">
        <v>704</v>
      </c>
      <c r="P7076" s="9" t="s">
        <v>41</v>
      </c>
      <c r="Q7076" s="9" t="s">
        <v>26</v>
      </c>
      <c r="R7076" s="9" t="s">
        <v>61</v>
      </c>
      <c r="S7076" s="7" t="s">
        <v>1507</v>
      </c>
      <c r="T7076" s="9" t="s">
        <v>39</v>
      </c>
      <c r="U7076" s="7">
        <v>0.38</v>
      </c>
      <c r="V7076" s="12">
        <f>C7076+2</f>
        <v>40738</v>
      </c>
      <c r="W7076">
        <f>IF(D7076=' Pivot Tables'!$A$4,1,0)</f>
        <v>0</v>
      </c>
      <c r="X7076">
        <f>IF(AND(LEFT(D7076,4)+1=LEFT(' Pivot Tables'!$A$4,4)+0,RIGHT(LEFT(D7076,7),2)=RIGHT(LEFT(' Pivot Tables'!$A$4,7),2)),1,0)</f>
        <v>0</v>
      </c>
      <c r="Y7076" s="6">
        <f>1/COUNTIF(Таблица1[Order ID],Таблица1[[#This Row],[Order ID]])</f>
        <v>0.5</v>
      </c>
      <c r="Z7076" s="9">
        <f>1/COUNTIFS(Таблица1[Customer Name],Таблица1[[#This Row],[Customer Name]],Таблица1[Order-Year-Month],Таблица1[[#This Row],[Order-Year-Month]])</f>
        <v>0.5</v>
      </c>
    </row>
    <row r="7077" spans="1:26" x14ac:dyDescent="0.2">
      <c r="A7077" s="6">
        <v>5536</v>
      </c>
      <c r="B7077" s="7">
        <v>39232</v>
      </c>
      <c r="C7077" s="8">
        <f>DATE(2012,12,31)-538</f>
        <v>40736</v>
      </c>
      <c r="D7077" s="8" t="str">
        <f t="shared" si="132"/>
        <v>2011-07 (июль 2011)</v>
      </c>
      <c r="E7077" s="9" t="s">
        <v>21</v>
      </c>
      <c r="F7077" s="7">
        <v>26</v>
      </c>
      <c r="G7077" s="7">
        <v>1451.59</v>
      </c>
      <c r="H7077" s="7">
        <v>0.06</v>
      </c>
      <c r="I7077" s="9" t="s">
        <v>22</v>
      </c>
      <c r="J7077" s="10">
        <v>435.11</v>
      </c>
      <c r="K7077" s="11">
        <v>55.48</v>
      </c>
      <c r="L7077" s="11">
        <v>14.3</v>
      </c>
      <c r="M7077" s="9" t="s">
        <v>2027</v>
      </c>
      <c r="N7077" s="6" t="s">
        <v>703</v>
      </c>
      <c r="O7077" s="6" t="s">
        <v>704</v>
      </c>
      <c r="P7077" s="9" t="s">
        <v>41</v>
      </c>
      <c r="Q7077" s="9" t="s">
        <v>26</v>
      </c>
      <c r="R7077" s="9" t="s">
        <v>61</v>
      </c>
      <c r="S7077" s="7" t="s">
        <v>507</v>
      </c>
      <c r="T7077" s="9" t="s">
        <v>39</v>
      </c>
      <c r="U7077" s="7">
        <v>0.37</v>
      </c>
      <c r="V7077" s="12">
        <f>C7077+5</f>
        <v>40741</v>
      </c>
      <c r="W7077">
        <f>IF(D7077=' Pivot Tables'!$A$4,1,0)</f>
        <v>0</v>
      </c>
      <c r="X7077">
        <f>IF(AND(LEFT(D7077,4)+1=LEFT(' Pivot Tables'!$A$4,4)+0,RIGHT(LEFT(D7077,7),2)=RIGHT(LEFT(' Pivot Tables'!$A$4,7),2)),1,0)</f>
        <v>0</v>
      </c>
      <c r="Y7077" s="6">
        <f>1/COUNTIF(Таблица1[Order ID],Таблица1[[#This Row],[Order ID]])</f>
        <v>0.5</v>
      </c>
      <c r="Z7077" s="9">
        <f>1/COUNTIFS(Таблица1[Customer Name],Таблица1[[#This Row],[Customer Name]],Таблица1[Order-Year-Month],Таблица1[[#This Row],[Order-Year-Month]])</f>
        <v>0.5</v>
      </c>
    </row>
    <row r="7078" spans="1:26" x14ac:dyDescent="0.2">
      <c r="A7078" s="6">
        <v>5586</v>
      </c>
      <c r="B7078" s="7">
        <v>39617</v>
      </c>
      <c r="C7078" s="8">
        <f>DATE(2012,12,31)-380</f>
        <v>40894</v>
      </c>
      <c r="D7078" s="8" t="str">
        <f t="shared" si="132"/>
        <v>2011-12 (декабрь 2011)</v>
      </c>
      <c r="E7078" s="9" t="s">
        <v>45</v>
      </c>
      <c r="F7078" s="7">
        <v>33</v>
      </c>
      <c r="G7078" s="7">
        <v>1283.68</v>
      </c>
      <c r="H7078" s="7">
        <v>0.08</v>
      </c>
      <c r="I7078" s="9" t="s">
        <v>22</v>
      </c>
      <c r="J7078" s="10">
        <v>202.47</v>
      </c>
      <c r="K7078" s="11">
        <v>39.979999999999997</v>
      </c>
      <c r="L7078" s="11">
        <v>9.1999999999999993</v>
      </c>
      <c r="M7078" s="9" t="s">
        <v>1546</v>
      </c>
      <c r="N7078" s="6" t="s">
        <v>703</v>
      </c>
      <c r="O7078" s="6" t="s">
        <v>704</v>
      </c>
      <c r="P7078" s="9" t="s">
        <v>25</v>
      </c>
      <c r="Q7078" s="9" t="s">
        <v>49</v>
      </c>
      <c r="R7078" s="9" t="s">
        <v>50</v>
      </c>
      <c r="S7078" s="7" t="s">
        <v>238</v>
      </c>
      <c r="T7078" s="9" t="s">
        <v>68</v>
      </c>
      <c r="U7078" s="7">
        <v>0.65</v>
      </c>
      <c r="V7078" s="12">
        <f>C7078+2</f>
        <v>40896</v>
      </c>
      <c r="W7078">
        <f>IF(D7078=' Pivot Tables'!$A$4,1,0)</f>
        <v>0</v>
      </c>
      <c r="X7078">
        <f>IF(AND(LEFT(D7078,4)+1=LEFT(' Pivot Tables'!$A$4,4)+0,RIGHT(LEFT(D7078,7),2)=RIGHT(LEFT(' Pivot Tables'!$A$4,7),2)),1,0)</f>
        <v>0</v>
      </c>
      <c r="Y7078" s="6">
        <f>1/COUNTIF(Таблица1[Order ID],Таблица1[[#This Row],[Order ID]])</f>
        <v>0.5</v>
      </c>
      <c r="Z7078" s="9">
        <f>1/COUNTIFS(Таблица1[Customer Name],Таблица1[[#This Row],[Customer Name]],Таблица1[Order-Year-Month],Таблица1[[#This Row],[Order-Year-Month]])</f>
        <v>0.5</v>
      </c>
    </row>
    <row r="7079" spans="1:26" x14ac:dyDescent="0.2">
      <c r="A7079" s="6">
        <v>5587</v>
      </c>
      <c r="B7079" s="7">
        <v>39617</v>
      </c>
      <c r="C7079" s="8">
        <f>DATE(2012,12,31)-380</f>
        <v>40894</v>
      </c>
      <c r="D7079" s="8" t="str">
        <f t="shared" si="132"/>
        <v>2011-12 (декабрь 2011)</v>
      </c>
      <c r="E7079" s="9" t="s">
        <v>45</v>
      </c>
      <c r="F7079" s="7">
        <v>28</v>
      </c>
      <c r="G7079" s="7">
        <v>169.46</v>
      </c>
      <c r="H7079" s="7">
        <v>0.02</v>
      </c>
      <c r="I7079" s="9" t="s">
        <v>22</v>
      </c>
      <c r="J7079" s="10">
        <v>34.24</v>
      </c>
      <c r="K7079" s="11">
        <v>5.84</v>
      </c>
      <c r="L7079" s="11">
        <v>1.2</v>
      </c>
      <c r="M7079" s="9" t="s">
        <v>1546</v>
      </c>
      <c r="N7079" s="6" t="s">
        <v>703</v>
      </c>
      <c r="O7079" s="6" t="s">
        <v>704</v>
      </c>
      <c r="P7079" s="9" t="s">
        <v>25</v>
      </c>
      <c r="Q7079" s="9" t="s">
        <v>26</v>
      </c>
      <c r="R7079" s="9" t="s">
        <v>95</v>
      </c>
      <c r="S7079" s="7" t="s">
        <v>413</v>
      </c>
      <c r="T7079" s="9" t="s">
        <v>68</v>
      </c>
      <c r="U7079" s="7">
        <v>0.55000000000000004</v>
      </c>
      <c r="V7079" s="12">
        <f>C7079+2</f>
        <v>40896</v>
      </c>
      <c r="W7079">
        <f>IF(D7079=' Pivot Tables'!$A$4,1,0)</f>
        <v>0</v>
      </c>
      <c r="X7079">
        <f>IF(AND(LEFT(D7079,4)+1=LEFT(' Pivot Tables'!$A$4,4)+0,RIGHT(LEFT(D7079,7),2)=RIGHT(LEFT(' Pivot Tables'!$A$4,7),2)),1,0)</f>
        <v>0</v>
      </c>
      <c r="Y7079" s="6">
        <f>1/COUNTIF(Таблица1[Order ID],Таблица1[[#This Row],[Order ID]])</f>
        <v>0.5</v>
      </c>
      <c r="Z7079" s="9">
        <f>1/COUNTIFS(Таблица1[Customer Name],Таблица1[[#This Row],[Customer Name]],Таблица1[Order-Year-Month],Таблица1[[#This Row],[Order-Year-Month]])</f>
        <v>0.5</v>
      </c>
    </row>
    <row r="7080" spans="1:26" x14ac:dyDescent="0.2">
      <c r="A7080" s="6">
        <v>5589</v>
      </c>
      <c r="B7080" s="7">
        <v>39649</v>
      </c>
      <c r="C7080" s="8">
        <f>DATE(2012,12,31)-1169</f>
        <v>40105</v>
      </c>
      <c r="D7080" s="8" t="str">
        <f t="shared" si="132"/>
        <v>2009-10 (октябрь 2009)</v>
      </c>
      <c r="E7080" s="9" t="s">
        <v>30</v>
      </c>
      <c r="F7080" s="7">
        <v>10</v>
      </c>
      <c r="G7080" s="7">
        <v>1351.653</v>
      </c>
      <c r="H7080" s="7">
        <v>0.01</v>
      </c>
      <c r="I7080" s="9" t="s">
        <v>56</v>
      </c>
      <c r="J7080" s="10">
        <v>-202.851</v>
      </c>
      <c r="K7080" s="11">
        <v>155.99</v>
      </c>
      <c r="L7080" s="11">
        <v>8.99</v>
      </c>
      <c r="M7080" s="9" t="s">
        <v>1517</v>
      </c>
      <c r="N7080" s="6" t="s">
        <v>703</v>
      </c>
      <c r="O7080" s="6" t="s">
        <v>704</v>
      </c>
      <c r="P7080" s="9" t="s">
        <v>41</v>
      </c>
      <c r="Q7080" s="9" t="s">
        <v>42</v>
      </c>
      <c r="R7080" s="9" t="s">
        <v>43</v>
      </c>
      <c r="S7080" s="7" t="s">
        <v>710</v>
      </c>
      <c r="T7080" s="9" t="s">
        <v>39</v>
      </c>
      <c r="U7080" s="7">
        <v>0.57999999999999996</v>
      </c>
      <c r="V7080" s="12">
        <f>C7080+1</f>
        <v>40106</v>
      </c>
      <c r="W7080">
        <f>IF(D7080=' Pivot Tables'!$A$4,1,0)</f>
        <v>0</v>
      </c>
      <c r="X7080">
        <f>IF(AND(LEFT(D7080,4)+1=LEFT(' Pivot Tables'!$A$4,4)+0,RIGHT(LEFT(D7080,7),2)=RIGHT(LEFT(' Pivot Tables'!$A$4,7),2)),1,0)</f>
        <v>0</v>
      </c>
      <c r="Y7080" s="6">
        <f>1/COUNTIF(Таблица1[Order ID],Таблица1[[#This Row],[Order ID]])</f>
        <v>0.5</v>
      </c>
      <c r="Z7080" s="9">
        <f>1/COUNTIFS(Таблица1[Customer Name],Таблица1[[#This Row],[Customer Name]],Таблица1[Order-Year-Month],Таблица1[[#This Row],[Order-Year-Month]])</f>
        <v>0.5</v>
      </c>
    </row>
    <row r="7081" spans="1:26" x14ac:dyDescent="0.2">
      <c r="A7081" s="6">
        <v>5590</v>
      </c>
      <c r="B7081" s="7">
        <v>39649</v>
      </c>
      <c r="C7081" s="8">
        <f>DATE(2012,12,31)-1169</f>
        <v>40105</v>
      </c>
      <c r="D7081" s="8" t="str">
        <f t="shared" si="132"/>
        <v>2009-10 (октябрь 2009)</v>
      </c>
      <c r="E7081" s="9" t="s">
        <v>30</v>
      </c>
      <c r="F7081" s="7">
        <v>9</v>
      </c>
      <c r="G7081" s="7">
        <v>63</v>
      </c>
      <c r="H7081" s="7">
        <v>0.01</v>
      </c>
      <c r="I7081" s="9" t="s">
        <v>22</v>
      </c>
      <c r="J7081" s="10">
        <v>-17.48</v>
      </c>
      <c r="K7081" s="11">
        <v>5.98</v>
      </c>
      <c r="L7081" s="11">
        <v>5.46</v>
      </c>
      <c r="M7081" s="9" t="s">
        <v>1517</v>
      </c>
      <c r="N7081" s="6" t="s">
        <v>703</v>
      </c>
      <c r="O7081" s="6" t="s">
        <v>704</v>
      </c>
      <c r="P7081" s="9" t="s">
        <v>41</v>
      </c>
      <c r="Q7081" s="9" t="s">
        <v>26</v>
      </c>
      <c r="R7081" s="9" t="s">
        <v>61</v>
      </c>
      <c r="S7081" s="7" t="s">
        <v>751</v>
      </c>
      <c r="T7081" s="9" t="s">
        <v>39</v>
      </c>
      <c r="U7081" s="7">
        <v>0.36</v>
      </c>
      <c r="V7081" s="12">
        <f>C7081+2</f>
        <v>40107</v>
      </c>
      <c r="W7081">
        <f>IF(D7081=' Pivot Tables'!$A$4,1,0)</f>
        <v>0</v>
      </c>
      <c r="X7081">
        <f>IF(AND(LEFT(D7081,4)+1=LEFT(' Pivot Tables'!$A$4,4)+0,RIGHT(LEFT(D7081,7),2)=RIGHT(LEFT(' Pivot Tables'!$A$4,7),2)),1,0)</f>
        <v>0</v>
      </c>
      <c r="Y7081" s="6">
        <f>1/COUNTIF(Таблица1[Order ID],Таблица1[[#This Row],[Order ID]])</f>
        <v>0.5</v>
      </c>
      <c r="Z7081" s="9">
        <f>1/COUNTIFS(Таблица1[Customer Name],Таблица1[[#This Row],[Customer Name]],Таблица1[Order-Year-Month],Таблица1[[#This Row],[Order-Year-Month]])</f>
        <v>0.5</v>
      </c>
    </row>
    <row r="7082" spans="1:26" x14ac:dyDescent="0.2">
      <c r="A7082" s="6">
        <v>5595</v>
      </c>
      <c r="B7082" s="7">
        <v>39654</v>
      </c>
      <c r="C7082" s="8">
        <f>DATE(2012,12,31)-92</f>
        <v>41182</v>
      </c>
      <c r="D7082" s="8" t="str">
        <f t="shared" si="132"/>
        <v>2012-09 (сентябрь 2012)</v>
      </c>
      <c r="E7082" s="9" t="s">
        <v>63</v>
      </c>
      <c r="F7082" s="7">
        <v>39</v>
      </c>
      <c r="G7082" s="7">
        <v>856.15</v>
      </c>
      <c r="H7082" s="7">
        <v>0.03</v>
      </c>
      <c r="I7082" s="9" t="s">
        <v>56</v>
      </c>
      <c r="J7082" s="10">
        <v>330.02949999999998</v>
      </c>
      <c r="K7082" s="11">
        <v>21.38</v>
      </c>
      <c r="L7082" s="11">
        <v>2.99</v>
      </c>
      <c r="M7082" s="9" t="s">
        <v>1635</v>
      </c>
      <c r="N7082" s="6" t="s">
        <v>703</v>
      </c>
      <c r="O7082" s="6" t="s">
        <v>704</v>
      </c>
      <c r="P7082" s="9" t="s">
        <v>41</v>
      </c>
      <c r="Q7082" s="9" t="s">
        <v>26</v>
      </c>
      <c r="R7082" s="9" t="s">
        <v>37</v>
      </c>
      <c r="S7082" s="7" t="s">
        <v>1541</v>
      </c>
      <c r="T7082" s="9" t="s">
        <v>39</v>
      </c>
      <c r="U7082" s="7">
        <v>0.37</v>
      </c>
      <c r="V7082" s="12">
        <f>C7082+1</f>
        <v>41183</v>
      </c>
      <c r="W7082">
        <f>IF(D7082=' Pivot Tables'!$A$4,1,0)</f>
        <v>0</v>
      </c>
      <c r="X7082">
        <f>IF(AND(LEFT(D7082,4)+1=LEFT(' Pivot Tables'!$A$4,4)+0,RIGHT(LEFT(D7082,7),2)=RIGHT(LEFT(' Pivot Tables'!$A$4,7),2)),1,0)</f>
        <v>0</v>
      </c>
      <c r="Y7082" s="6">
        <f>1/COUNTIF(Таблица1[Order ID],Таблица1[[#This Row],[Order ID]])</f>
        <v>1</v>
      </c>
      <c r="Z7082" s="9">
        <f>1/COUNTIFS(Таблица1[Customer Name],Таблица1[[#This Row],[Customer Name]],Таблица1[Order-Year-Month],Таблица1[[#This Row],[Order-Year-Month]])</f>
        <v>1</v>
      </c>
    </row>
    <row r="7083" spans="1:26" x14ac:dyDescent="0.2">
      <c r="A7083" s="6">
        <v>5618</v>
      </c>
      <c r="B7083" s="7">
        <v>39808</v>
      </c>
      <c r="C7083" s="8">
        <f>DATE(2012,12,31)-120</f>
        <v>41154</v>
      </c>
      <c r="D7083" s="8" t="str">
        <f t="shared" si="132"/>
        <v>2012-09 (сентябрь 2012)</v>
      </c>
      <c r="E7083" s="9" t="s">
        <v>21</v>
      </c>
      <c r="F7083" s="7">
        <v>50</v>
      </c>
      <c r="G7083" s="7">
        <v>2026.42</v>
      </c>
      <c r="H7083" s="7">
        <v>0.03</v>
      </c>
      <c r="I7083" s="9" t="s">
        <v>22</v>
      </c>
      <c r="J7083" s="10">
        <v>655.36</v>
      </c>
      <c r="K7083" s="11">
        <v>39.979999999999997</v>
      </c>
      <c r="L7083" s="11">
        <v>9.83</v>
      </c>
      <c r="M7083" s="9" t="s">
        <v>1550</v>
      </c>
      <c r="N7083" s="6" t="s">
        <v>703</v>
      </c>
      <c r="O7083" s="6" t="s">
        <v>704</v>
      </c>
      <c r="P7083" s="9" t="s">
        <v>41</v>
      </c>
      <c r="Q7083" s="9" t="s">
        <v>26</v>
      </c>
      <c r="R7083" s="9" t="s">
        <v>76</v>
      </c>
      <c r="S7083" s="7" t="s">
        <v>1127</v>
      </c>
      <c r="T7083" s="9" t="s">
        <v>39</v>
      </c>
      <c r="U7083" s="7">
        <v>0.4</v>
      </c>
      <c r="V7083" s="12">
        <f>C7083+7</f>
        <v>41161</v>
      </c>
      <c r="W7083">
        <f>IF(D7083=' Pivot Tables'!$A$4,1,0)</f>
        <v>0</v>
      </c>
      <c r="X7083">
        <f>IF(AND(LEFT(D7083,4)+1=LEFT(' Pivot Tables'!$A$4,4)+0,RIGHT(LEFT(D7083,7),2)=RIGHT(LEFT(' Pivot Tables'!$A$4,7),2)),1,0)</f>
        <v>0</v>
      </c>
      <c r="Y7083" s="6">
        <f>1/COUNTIF(Таблица1[Order ID],Таблица1[[#This Row],[Order ID]])</f>
        <v>0.5</v>
      </c>
      <c r="Z7083" s="9">
        <f>1/COUNTIFS(Таблица1[Customer Name],Таблица1[[#This Row],[Customer Name]],Таблица1[Order-Year-Month],Таблица1[[#This Row],[Order-Year-Month]])</f>
        <v>0.5</v>
      </c>
    </row>
    <row r="7084" spans="1:26" x14ac:dyDescent="0.2">
      <c r="A7084" s="6">
        <v>5619</v>
      </c>
      <c r="B7084" s="7">
        <v>39808</v>
      </c>
      <c r="C7084" s="8">
        <f>DATE(2012,12,31)-120</f>
        <v>41154</v>
      </c>
      <c r="D7084" s="8" t="str">
        <f t="shared" si="132"/>
        <v>2012-09 (сентябрь 2012)</v>
      </c>
      <c r="E7084" s="9" t="s">
        <v>21</v>
      </c>
      <c r="F7084" s="7">
        <v>31</v>
      </c>
      <c r="G7084" s="7">
        <v>3413.4555</v>
      </c>
      <c r="H7084" s="7">
        <v>0.03</v>
      </c>
      <c r="I7084" s="9" t="s">
        <v>22</v>
      </c>
      <c r="J7084" s="10">
        <v>868.47299999999996</v>
      </c>
      <c r="K7084" s="11">
        <v>125.99</v>
      </c>
      <c r="L7084" s="11">
        <v>2.5</v>
      </c>
      <c r="M7084" s="9" t="s">
        <v>1550</v>
      </c>
      <c r="N7084" s="6" t="s">
        <v>703</v>
      </c>
      <c r="O7084" s="6" t="s">
        <v>704</v>
      </c>
      <c r="P7084" s="9" t="s">
        <v>41</v>
      </c>
      <c r="Q7084" s="9" t="s">
        <v>42</v>
      </c>
      <c r="R7084" s="9" t="s">
        <v>43</v>
      </c>
      <c r="S7084" s="7" t="s">
        <v>954</v>
      </c>
      <c r="T7084" s="9" t="s">
        <v>39</v>
      </c>
      <c r="U7084" s="7">
        <v>0.6</v>
      </c>
      <c r="V7084" s="12">
        <f>C7084+4</f>
        <v>41158</v>
      </c>
      <c r="W7084">
        <f>IF(D7084=' Pivot Tables'!$A$4,1,0)</f>
        <v>0</v>
      </c>
      <c r="X7084">
        <f>IF(AND(LEFT(D7084,4)+1=LEFT(' Pivot Tables'!$A$4,4)+0,RIGHT(LEFT(D7084,7),2)=RIGHT(LEFT(' Pivot Tables'!$A$4,7),2)),1,0)</f>
        <v>0</v>
      </c>
      <c r="Y7084" s="6">
        <f>1/COUNTIF(Таблица1[Order ID],Таблица1[[#This Row],[Order ID]])</f>
        <v>0.5</v>
      </c>
      <c r="Z7084" s="9">
        <f>1/COUNTIFS(Таблица1[Customer Name],Таблица1[[#This Row],[Customer Name]],Таблица1[Order-Year-Month],Таблица1[[#This Row],[Order-Year-Month]])</f>
        <v>0.5</v>
      </c>
    </row>
    <row r="7085" spans="1:26" x14ac:dyDescent="0.2">
      <c r="A7085" s="6">
        <v>5623</v>
      </c>
      <c r="B7085" s="7">
        <v>39841</v>
      </c>
      <c r="C7085" s="8">
        <f>DATE(2012,12,31)-1095</f>
        <v>40179</v>
      </c>
      <c r="D7085" s="8" t="str">
        <f t="shared" si="132"/>
        <v>2010-01 (январь 2010)</v>
      </c>
      <c r="E7085" s="9" t="s">
        <v>63</v>
      </c>
      <c r="F7085" s="7">
        <v>43</v>
      </c>
      <c r="G7085" s="7">
        <v>294.13</v>
      </c>
      <c r="H7085" s="7">
        <v>0.01</v>
      </c>
      <c r="I7085" s="9" t="s">
        <v>22</v>
      </c>
      <c r="J7085" s="10">
        <v>-123.07</v>
      </c>
      <c r="K7085" s="11">
        <v>6.68</v>
      </c>
      <c r="L7085" s="11">
        <v>6.92</v>
      </c>
      <c r="M7085" s="9" t="s">
        <v>1578</v>
      </c>
      <c r="N7085" s="6" t="s">
        <v>703</v>
      </c>
      <c r="O7085" s="6" t="s">
        <v>704</v>
      </c>
      <c r="P7085" s="9" t="s">
        <v>25</v>
      </c>
      <c r="Q7085" s="9" t="s">
        <v>26</v>
      </c>
      <c r="R7085" s="9" t="s">
        <v>61</v>
      </c>
      <c r="S7085" s="7" t="s">
        <v>678</v>
      </c>
      <c r="T7085" s="9" t="s">
        <v>39</v>
      </c>
      <c r="U7085" s="7">
        <v>0.37</v>
      </c>
      <c r="V7085" s="12">
        <f>C7085+2</f>
        <v>40181</v>
      </c>
      <c r="W7085">
        <f>IF(D7085=' Pivot Tables'!$A$4,1,0)</f>
        <v>1</v>
      </c>
      <c r="X7085">
        <f>IF(AND(LEFT(D7085,4)+1=LEFT(' Pivot Tables'!$A$4,4)+0,RIGHT(LEFT(D7085,7),2)=RIGHT(LEFT(' Pivot Tables'!$A$4,7),2)),1,0)</f>
        <v>0</v>
      </c>
      <c r="Y7085" s="6">
        <f>1/COUNTIF(Таблица1[Order ID],Таблица1[[#This Row],[Order ID]])</f>
        <v>1</v>
      </c>
      <c r="Z7085" s="9">
        <f>1/COUNTIFS(Таблица1[Customer Name],Таблица1[[#This Row],[Customer Name]],Таблица1[Order-Year-Month],Таблица1[[#This Row],[Order-Year-Month]])</f>
        <v>1</v>
      </c>
    </row>
    <row r="7086" spans="1:26" x14ac:dyDescent="0.2">
      <c r="A7086" s="6">
        <v>5630</v>
      </c>
      <c r="B7086" s="7">
        <v>39847</v>
      </c>
      <c r="C7086" s="8">
        <f>DATE(2012,12,31)-1002</f>
        <v>40272</v>
      </c>
      <c r="D7086" s="8" t="str">
        <f t="shared" si="132"/>
        <v>2010-04 (апрель 2010)</v>
      </c>
      <c r="E7086" s="9" t="s">
        <v>45</v>
      </c>
      <c r="F7086" s="7">
        <v>29</v>
      </c>
      <c r="G7086" s="7">
        <v>125.41</v>
      </c>
      <c r="H7086" s="7">
        <v>0.08</v>
      </c>
      <c r="I7086" s="9" t="s">
        <v>22</v>
      </c>
      <c r="J7086" s="10">
        <v>-127.006</v>
      </c>
      <c r="K7086" s="11">
        <v>4.38</v>
      </c>
      <c r="L7086" s="11">
        <v>6.21</v>
      </c>
      <c r="M7086" s="9" t="s">
        <v>1512</v>
      </c>
      <c r="N7086" s="6" t="s">
        <v>703</v>
      </c>
      <c r="O7086" s="6" t="s">
        <v>704</v>
      </c>
      <c r="P7086" s="9" t="s">
        <v>60</v>
      </c>
      <c r="Q7086" s="9" t="s">
        <v>26</v>
      </c>
      <c r="R7086" s="9" t="s">
        <v>37</v>
      </c>
      <c r="S7086" s="7" t="s">
        <v>1898</v>
      </c>
      <c r="T7086" s="9" t="s">
        <v>39</v>
      </c>
      <c r="U7086" s="7">
        <v>0.37</v>
      </c>
      <c r="V7086" s="12">
        <f>C7086+1</f>
        <v>40273</v>
      </c>
      <c r="W7086">
        <f>IF(D7086=' Pivot Tables'!$A$4,1,0)</f>
        <v>0</v>
      </c>
      <c r="X7086">
        <f>IF(AND(LEFT(D7086,4)+1=LEFT(' Pivot Tables'!$A$4,4)+0,RIGHT(LEFT(D7086,7),2)=RIGHT(LEFT(' Pivot Tables'!$A$4,7),2)),1,0)</f>
        <v>0</v>
      </c>
      <c r="Y7086" s="6">
        <f>1/COUNTIF(Таблица1[Order ID],Таблица1[[#This Row],[Order ID]])</f>
        <v>0.33333333333333331</v>
      </c>
      <c r="Z7086" s="9">
        <f>1/COUNTIFS(Таблица1[Customer Name],Таблица1[[#This Row],[Customer Name]],Таблица1[Order-Year-Month],Таблица1[[#This Row],[Order-Year-Month]])</f>
        <v>0.16666666666666666</v>
      </c>
    </row>
    <row r="7087" spans="1:26" x14ac:dyDescent="0.2">
      <c r="A7087" s="6">
        <v>5631</v>
      </c>
      <c r="B7087" s="7">
        <v>39847</v>
      </c>
      <c r="C7087" s="8">
        <f>DATE(2012,12,31)-1002</f>
        <v>40272</v>
      </c>
      <c r="D7087" s="8" t="str">
        <f t="shared" si="132"/>
        <v>2010-04 (апрель 2010)</v>
      </c>
      <c r="E7087" s="9" t="s">
        <v>45</v>
      </c>
      <c r="F7087" s="7">
        <v>49</v>
      </c>
      <c r="G7087" s="7">
        <v>3170.52</v>
      </c>
      <c r="H7087" s="7">
        <v>0.08</v>
      </c>
      <c r="I7087" s="9" t="s">
        <v>22</v>
      </c>
      <c r="J7087" s="10">
        <v>379.11</v>
      </c>
      <c r="K7087" s="11">
        <v>64.98</v>
      </c>
      <c r="L7087" s="11">
        <v>6.88</v>
      </c>
      <c r="M7087" s="9" t="s">
        <v>1512</v>
      </c>
      <c r="N7087" s="6" t="s">
        <v>703</v>
      </c>
      <c r="O7087" s="6" t="s">
        <v>704</v>
      </c>
      <c r="P7087" s="9" t="s">
        <v>60</v>
      </c>
      <c r="Q7087" s="9" t="s">
        <v>26</v>
      </c>
      <c r="R7087" s="9" t="s">
        <v>27</v>
      </c>
      <c r="S7087" s="7" t="s">
        <v>519</v>
      </c>
      <c r="T7087" s="9" t="s">
        <v>39</v>
      </c>
      <c r="U7087" s="7">
        <v>0.73</v>
      </c>
      <c r="V7087" s="12">
        <f>C7087+1</f>
        <v>40273</v>
      </c>
      <c r="W7087">
        <f>IF(D7087=' Pivot Tables'!$A$4,1,0)</f>
        <v>0</v>
      </c>
      <c r="X7087">
        <f>IF(AND(LEFT(D7087,4)+1=LEFT(' Pivot Tables'!$A$4,4)+0,RIGHT(LEFT(D7087,7),2)=RIGHT(LEFT(' Pivot Tables'!$A$4,7),2)),1,0)</f>
        <v>0</v>
      </c>
      <c r="Y7087" s="6">
        <f>1/COUNTIF(Таблица1[Order ID],Таблица1[[#This Row],[Order ID]])</f>
        <v>0.33333333333333331</v>
      </c>
      <c r="Z7087" s="9">
        <f>1/COUNTIFS(Таблица1[Customer Name],Таблица1[[#This Row],[Customer Name]],Таблица1[Order-Year-Month],Таблица1[[#This Row],[Order-Year-Month]])</f>
        <v>0.16666666666666666</v>
      </c>
    </row>
    <row r="7088" spans="1:26" x14ac:dyDescent="0.2">
      <c r="A7088" s="6">
        <v>5632</v>
      </c>
      <c r="B7088" s="7">
        <v>39847</v>
      </c>
      <c r="C7088" s="8">
        <f>DATE(2012,12,31)-1002</f>
        <v>40272</v>
      </c>
      <c r="D7088" s="8" t="str">
        <f t="shared" si="132"/>
        <v>2010-04 (апрель 2010)</v>
      </c>
      <c r="E7088" s="9" t="s">
        <v>45</v>
      </c>
      <c r="F7088" s="7">
        <v>20</v>
      </c>
      <c r="G7088" s="7">
        <v>2488.4769999999999</v>
      </c>
      <c r="H7088" s="7">
        <v>0.08</v>
      </c>
      <c r="I7088" s="9" t="s">
        <v>22</v>
      </c>
      <c r="J7088" s="10">
        <v>142.55099999999999</v>
      </c>
      <c r="K7088" s="11">
        <v>155.99</v>
      </c>
      <c r="L7088" s="11">
        <v>8.99</v>
      </c>
      <c r="M7088" s="9" t="s">
        <v>1512</v>
      </c>
      <c r="N7088" s="6" t="s">
        <v>703</v>
      </c>
      <c r="O7088" s="6" t="s">
        <v>704</v>
      </c>
      <c r="P7088" s="9" t="s">
        <v>60</v>
      </c>
      <c r="Q7088" s="9" t="s">
        <v>42</v>
      </c>
      <c r="R7088" s="9" t="s">
        <v>43</v>
      </c>
      <c r="S7088" s="7" t="s">
        <v>710</v>
      </c>
      <c r="T7088" s="9" t="s">
        <v>39</v>
      </c>
      <c r="U7088" s="7">
        <v>0.57999999999999996</v>
      </c>
      <c r="V7088" s="12">
        <f>C7088+2</f>
        <v>40274</v>
      </c>
      <c r="W7088">
        <f>IF(D7088=' Pivot Tables'!$A$4,1,0)</f>
        <v>0</v>
      </c>
      <c r="X7088">
        <f>IF(AND(LEFT(D7088,4)+1=LEFT(' Pivot Tables'!$A$4,4)+0,RIGHT(LEFT(D7088,7),2)=RIGHT(LEFT(' Pivot Tables'!$A$4,7),2)),1,0)</f>
        <v>0</v>
      </c>
      <c r="Y7088" s="6">
        <f>1/COUNTIF(Таблица1[Order ID],Таблица1[[#This Row],[Order ID]])</f>
        <v>0.33333333333333331</v>
      </c>
      <c r="Z7088" s="9">
        <f>1/COUNTIFS(Таблица1[Customer Name],Таблица1[[#This Row],[Customer Name]],Таблица1[Order-Year-Month],Таблица1[[#This Row],[Order-Year-Month]])</f>
        <v>0.16666666666666666</v>
      </c>
    </row>
    <row r="7089" spans="1:26" x14ac:dyDescent="0.2">
      <c r="A7089" s="6">
        <v>5641</v>
      </c>
      <c r="B7089" s="7">
        <v>39907</v>
      </c>
      <c r="C7089" s="8">
        <f>DATE(2012,12,31)-855</f>
        <v>40419</v>
      </c>
      <c r="D7089" s="8" t="str">
        <f t="shared" si="132"/>
        <v>2010-08 (август 2010)</v>
      </c>
      <c r="E7089" s="9" t="s">
        <v>21</v>
      </c>
      <c r="F7089" s="7">
        <v>12</v>
      </c>
      <c r="G7089" s="7">
        <v>378.84</v>
      </c>
      <c r="H7089" s="7">
        <v>0.05</v>
      </c>
      <c r="I7089" s="9" t="s">
        <v>22</v>
      </c>
      <c r="J7089" s="10">
        <v>-99.38</v>
      </c>
      <c r="K7089" s="11">
        <v>30.73</v>
      </c>
      <c r="L7089" s="11">
        <v>4</v>
      </c>
      <c r="M7089" s="9" t="s">
        <v>1512</v>
      </c>
      <c r="N7089" s="6" t="s">
        <v>703</v>
      </c>
      <c r="O7089" s="6" t="s">
        <v>704</v>
      </c>
      <c r="P7089" s="9" t="s">
        <v>60</v>
      </c>
      <c r="Q7089" s="9" t="s">
        <v>42</v>
      </c>
      <c r="R7089" s="9" t="s">
        <v>70</v>
      </c>
      <c r="S7089" s="7" t="s">
        <v>270</v>
      </c>
      <c r="T7089" s="9" t="s">
        <v>39</v>
      </c>
      <c r="U7089" s="7">
        <v>0.75</v>
      </c>
      <c r="V7089" s="12">
        <f>C7089+9</f>
        <v>40428</v>
      </c>
      <c r="W7089">
        <f>IF(D7089=' Pivot Tables'!$A$4,1,0)</f>
        <v>0</v>
      </c>
      <c r="X7089">
        <f>IF(AND(LEFT(D7089,4)+1=LEFT(' Pivot Tables'!$A$4,4)+0,RIGHT(LEFT(D7089,7),2)=RIGHT(LEFT(' Pivot Tables'!$A$4,7),2)),1,0)</f>
        <v>0</v>
      </c>
      <c r="Y7089" s="6">
        <f>1/COUNTIF(Таблица1[Order ID],Таблица1[[#This Row],[Order ID]])</f>
        <v>1</v>
      </c>
      <c r="Z7089" s="9">
        <f>1/COUNTIFS(Таблица1[Customer Name],Таблица1[[#This Row],[Customer Name]],Таблица1[Order-Year-Month],Таблица1[[#This Row],[Order-Year-Month]])</f>
        <v>1</v>
      </c>
    </row>
    <row r="7090" spans="1:26" x14ac:dyDescent="0.2">
      <c r="A7090" s="6">
        <v>5663</v>
      </c>
      <c r="B7090" s="7">
        <v>40068</v>
      </c>
      <c r="C7090" s="8">
        <f>DATE(2012,12,31)-986</f>
        <v>40288</v>
      </c>
      <c r="D7090" s="8" t="str">
        <f t="shared" si="132"/>
        <v>2010-04 (апрель 2010)</v>
      </c>
      <c r="E7090" s="9" t="s">
        <v>21</v>
      </c>
      <c r="F7090" s="7">
        <v>1</v>
      </c>
      <c r="G7090" s="7">
        <v>200.38</v>
      </c>
      <c r="H7090" s="7">
        <v>0.02</v>
      </c>
      <c r="I7090" s="9" t="s">
        <v>31</v>
      </c>
      <c r="J7090" s="10">
        <v>-90.41</v>
      </c>
      <c r="K7090" s="11">
        <v>160.97999999999999</v>
      </c>
      <c r="L7090" s="11">
        <v>30</v>
      </c>
      <c r="M7090" s="9" t="s">
        <v>1512</v>
      </c>
      <c r="N7090" s="6" t="s">
        <v>703</v>
      </c>
      <c r="O7090" s="6" t="s">
        <v>704</v>
      </c>
      <c r="P7090" s="9" t="s">
        <v>60</v>
      </c>
      <c r="Q7090" s="9" t="s">
        <v>49</v>
      </c>
      <c r="R7090" s="9" t="s">
        <v>112</v>
      </c>
      <c r="S7090" s="7" t="s">
        <v>746</v>
      </c>
      <c r="T7090" s="9" t="s">
        <v>36</v>
      </c>
      <c r="U7090" s="7">
        <v>0.62</v>
      </c>
      <c r="V7090" s="12">
        <f>C7090+2</f>
        <v>40290</v>
      </c>
      <c r="W7090">
        <f>IF(D7090=' Pivot Tables'!$A$4,1,0)</f>
        <v>0</v>
      </c>
      <c r="X7090">
        <f>IF(AND(LEFT(D7090,4)+1=LEFT(' Pivot Tables'!$A$4,4)+0,RIGHT(LEFT(D7090,7),2)=RIGHT(LEFT(' Pivot Tables'!$A$4,7),2)),1,0)</f>
        <v>0</v>
      </c>
      <c r="Y7090" s="6">
        <f>1/COUNTIF(Таблица1[Order ID],Таблица1[[#This Row],[Order ID]])</f>
        <v>0.33333333333333331</v>
      </c>
      <c r="Z7090" s="9">
        <f>1/COUNTIFS(Таблица1[Customer Name],Таблица1[[#This Row],[Customer Name]],Таблица1[Order-Year-Month],Таблица1[[#This Row],[Order-Year-Month]])</f>
        <v>0.16666666666666666</v>
      </c>
    </row>
    <row r="7091" spans="1:26" x14ac:dyDescent="0.2">
      <c r="A7091" s="6">
        <v>5664</v>
      </c>
      <c r="B7091" s="7">
        <v>40068</v>
      </c>
      <c r="C7091" s="8">
        <f>DATE(2012,12,31)-986</f>
        <v>40288</v>
      </c>
      <c r="D7091" s="8" t="str">
        <f t="shared" si="132"/>
        <v>2010-04 (апрель 2010)</v>
      </c>
      <c r="E7091" s="9" t="s">
        <v>21</v>
      </c>
      <c r="F7091" s="7">
        <v>2</v>
      </c>
      <c r="G7091" s="7">
        <v>128.52000000000001</v>
      </c>
      <c r="H7091" s="7">
        <v>0.1</v>
      </c>
      <c r="I7091" s="9" t="s">
        <v>22</v>
      </c>
      <c r="J7091" s="10">
        <v>-110.07</v>
      </c>
      <c r="K7091" s="11">
        <v>64.98</v>
      </c>
      <c r="L7091" s="11">
        <v>6.88</v>
      </c>
      <c r="M7091" s="9" t="s">
        <v>1512</v>
      </c>
      <c r="N7091" s="6" t="s">
        <v>703</v>
      </c>
      <c r="O7091" s="6" t="s">
        <v>704</v>
      </c>
      <c r="P7091" s="9" t="s">
        <v>60</v>
      </c>
      <c r="Q7091" s="9" t="s">
        <v>26</v>
      </c>
      <c r="R7091" s="9" t="s">
        <v>27</v>
      </c>
      <c r="S7091" s="7" t="s">
        <v>519</v>
      </c>
      <c r="T7091" s="9" t="s">
        <v>39</v>
      </c>
      <c r="U7091" s="7">
        <v>0.73</v>
      </c>
      <c r="V7091" s="12">
        <f>C7091+4</f>
        <v>40292</v>
      </c>
      <c r="W7091">
        <f>IF(D7091=' Pivot Tables'!$A$4,1,0)</f>
        <v>0</v>
      </c>
      <c r="X7091">
        <f>IF(AND(LEFT(D7091,4)+1=LEFT(' Pivot Tables'!$A$4,4)+0,RIGHT(LEFT(D7091,7),2)=RIGHT(LEFT(' Pivot Tables'!$A$4,7),2)),1,0)</f>
        <v>0</v>
      </c>
      <c r="Y7091" s="6">
        <f>1/COUNTIF(Таблица1[Order ID],Таблица1[[#This Row],[Order ID]])</f>
        <v>0.33333333333333331</v>
      </c>
      <c r="Z7091" s="9">
        <f>1/COUNTIFS(Таблица1[Customer Name],Таблица1[[#This Row],[Customer Name]],Таблица1[Order-Year-Month],Таблица1[[#This Row],[Order-Year-Month]])</f>
        <v>0.16666666666666666</v>
      </c>
    </row>
    <row r="7092" spans="1:26" x14ac:dyDescent="0.2">
      <c r="A7092" s="6">
        <v>5665</v>
      </c>
      <c r="B7092" s="7">
        <v>40068</v>
      </c>
      <c r="C7092" s="8">
        <f>DATE(2012,12,31)-986</f>
        <v>40288</v>
      </c>
      <c r="D7092" s="8" t="str">
        <f t="shared" si="132"/>
        <v>2010-04 (апрель 2010)</v>
      </c>
      <c r="E7092" s="9" t="s">
        <v>21</v>
      </c>
      <c r="F7092" s="7">
        <v>24</v>
      </c>
      <c r="G7092" s="7">
        <v>6717.7839999999997</v>
      </c>
      <c r="H7092" s="7">
        <v>0</v>
      </c>
      <c r="I7092" s="9" t="s">
        <v>31</v>
      </c>
      <c r="J7092" s="10">
        <v>1903.1</v>
      </c>
      <c r="K7092" s="11">
        <v>348.21</v>
      </c>
      <c r="L7092" s="11">
        <v>40.19</v>
      </c>
      <c r="M7092" s="9" t="s">
        <v>1512</v>
      </c>
      <c r="N7092" s="6" t="s">
        <v>703</v>
      </c>
      <c r="O7092" s="6" t="s">
        <v>704</v>
      </c>
      <c r="P7092" s="9" t="s">
        <v>60</v>
      </c>
      <c r="Q7092" s="9" t="s">
        <v>49</v>
      </c>
      <c r="R7092" s="9" t="s">
        <v>83</v>
      </c>
      <c r="S7092" s="7" t="s">
        <v>599</v>
      </c>
      <c r="T7092" s="9" t="s">
        <v>82</v>
      </c>
      <c r="U7092" s="7">
        <v>0.62</v>
      </c>
      <c r="V7092" s="12">
        <f>C7092+0</f>
        <v>40288</v>
      </c>
      <c r="W7092">
        <f>IF(D7092=' Pivot Tables'!$A$4,1,0)</f>
        <v>0</v>
      </c>
      <c r="X7092">
        <f>IF(AND(LEFT(D7092,4)+1=LEFT(' Pivot Tables'!$A$4,4)+0,RIGHT(LEFT(D7092,7),2)=RIGHT(LEFT(' Pivot Tables'!$A$4,7),2)),1,0)</f>
        <v>0</v>
      </c>
      <c r="Y7092" s="6">
        <f>1/COUNTIF(Таблица1[Order ID],Таблица1[[#This Row],[Order ID]])</f>
        <v>0.33333333333333331</v>
      </c>
      <c r="Z7092" s="9">
        <f>1/COUNTIFS(Таблица1[Customer Name],Таблица1[[#This Row],[Customer Name]],Таблица1[Order-Year-Month],Таблица1[[#This Row],[Order-Year-Month]])</f>
        <v>0.16666666666666666</v>
      </c>
    </row>
    <row r="7093" spans="1:26" x14ac:dyDescent="0.2">
      <c r="A7093" s="6">
        <v>5710</v>
      </c>
      <c r="B7093" s="7">
        <v>40420</v>
      </c>
      <c r="C7093" s="8">
        <f>DATE(2012,12,31)-721</f>
        <v>40553</v>
      </c>
      <c r="D7093" s="8" t="str">
        <f t="shared" si="132"/>
        <v>2011-01 (январь 2011)</v>
      </c>
      <c r="E7093" s="9" t="s">
        <v>30</v>
      </c>
      <c r="F7093" s="7">
        <v>22</v>
      </c>
      <c r="G7093" s="7">
        <v>59.08</v>
      </c>
      <c r="H7093" s="7">
        <v>0.1</v>
      </c>
      <c r="I7093" s="9" t="s">
        <v>22</v>
      </c>
      <c r="J7093" s="10">
        <v>-2.6105</v>
      </c>
      <c r="K7093" s="11">
        <v>2.88</v>
      </c>
      <c r="L7093" s="11">
        <v>1.49</v>
      </c>
      <c r="M7093" s="9" t="s">
        <v>2039</v>
      </c>
      <c r="N7093" s="6" t="s">
        <v>703</v>
      </c>
      <c r="O7093" s="6" t="s">
        <v>704</v>
      </c>
      <c r="P7093" s="9" t="s">
        <v>41</v>
      </c>
      <c r="Q7093" s="9" t="s">
        <v>26</v>
      </c>
      <c r="R7093" s="9" t="s">
        <v>37</v>
      </c>
      <c r="S7093" s="7" t="s">
        <v>782</v>
      </c>
      <c r="T7093" s="9" t="s">
        <v>39</v>
      </c>
      <c r="U7093" s="7">
        <v>0.36</v>
      </c>
      <c r="V7093" s="12">
        <f>C7093+2</f>
        <v>40555</v>
      </c>
      <c r="W7093">
        <f>IF(D7093=' Pivot Tables'!$A$4,1,0)</f>
        <v>0</v>
      </c>
      <c r="X7093">
        <f>IF(AND(LEFT(D7093,4)+1=LEFT(' Pivot Tables'!$A$4,4)+0,RIGHT(LEFT(D7093,7),2)=RIGHT(LEFT(' Pivot Tables'!$A$4,7),2)),1,0)</f>
        <v>0</v>
      </c>
      <c r="Y7093" s="6">
        <f>1/COUNTIF(Таблица1[Order ID],Таблица1[[#This Row],[Order ID]])</f>
        <v>0.5</v>
      </c>
      <c r="Z7093" s="9">
        <f>1/COUNTIFS(Таблица1[Customer Name],Таблица1[[#This Row],[Customer Name]],Таблица1[Order-Year-Month],Таблица1[[#This Row],[Order-Year-Month]])</f>
        <v>0.5</v>
      </c>
    </row>
    <row r="7094" spans="1:26" x14ac:dyDescent="0.2">
      <c r="A7094" s="6">
        <v>5711</v>
      </c>
      <c r="B7094" s="7">
        <v>40420</v>
      </c>
      <c r="C7094" s="8">
        <f>DATE(2012,12,31)-721</f>
        <v>40553</v>
      </c>
      <c r="D7094" s="8" t="str">
        <f t="shared" si="132"/>
        <v>2011-01 (январь 2011)</v>
      </c>
      <c r="E7094" s="9" t="s">
        <v>30</v>
      </c>
      <c r="F7094" s="7">
        <v>50</v>
      </c>
      <c r="G7094" s="7">
        <v>886.36299999999994</v>
      </c>
      <c r="H7094" s="7">
        <v>0.08</v>
      </c>
      <c r="I7094" s="9" t="s">
        <v>22</v>
      </c>
      <c r="J7094" s="10">
        <v>450.01799999999997</v>
      </c>
      <c r="K7094" s="11">
        <v>20.99</v>
      </c>
      <c r="L7094" s="11">
        <v>0.99</v>
      </c>
      <c r="M7094" s="9" t="s">
        <v>2039</v>
      </c>
      <c r="N7094" s="6" t="s">
        <v>703</v>
      </c>
      <c r="O7094" s="6" t="s">
        <v>704</v>
      </c>
      <c r="P7094" s="9" t="s">
        <v>41</v>
      </c>
      <c r="Q7094" s="9" t="s">
        <v>42</v>
      </c>
      <c r="R7094" s="9" t="s">
        <v>43</v>
      </c>
      <c r="S7094" s="7" t="s">
        <v>272</v>
      </c>
      <c r="T7094" s="9" t="s">
        <v>68</v>
      </c>
      <c r="U7094" s="7">
        <v>0.37</v>
      </c>
      <c r="V7094" s="12">
        <f>C7094+2</f>
        <v>40555</v>
      </c>
      <c r="W7094">
        <f>IF(D7094=' Pivot Tables'!$A$4,1,0)</f>
        <v>0</v>
      </c>
      <c r="X7094">
        <f>IF(AND(LEFT(D7094,4)+1=LEFT(' Pivot Tables'!$A$4,4)+0,RIGHT(LEFT(D7094,7),2)=RIGHT(LEFT(' Pivot Tables'!$A$4,7),2)),1,0)</f>
        <v>0</v>
      </c>
      <c r="Y7094" s="6">
        <f>1/COUNTIF(Таблица1[Order ID],Таблица1[[#This Row],[Order ID]])</f>
        <v>0.5</v>
      </c>
      <c r="Z7094" s="9">
        <f>1/COUNTIFS(Таблица1[Customer Name],Таблица1[[#This Row],[Customer Name]],Таблица1[Order-Year-Month],Таблица1[[#This Row],[Order-Year-Month]])</f>
        <v>0.5</v>
      </c>
    </row>
    <row r="7095" spans="1:26" x14ac:dyDescent="0.2">
      <c r="A7095" s="6">
        <v>5716</v>
      </c>
      <c r="B7095" s="7">
        <v>40485</v>
      </c>
      <c r="C7095" s="8">
        <f>DATE(2012,12,31)-1100</f>
        <v>40174</v>
      </c>
      <c r="D7095" s="8" t="str">
        <f t="shared" si="132"/>
        <v>2009-12 (декабрь 2009)</v>
      </c>
      <c r="E7095" s="9" t="s">
        <v>45</v>
      </c>
      <c r="F7095" s="7">
        <v>36</v>
      </c>
      <c r="G7095" s="7">
        <v>222.25</v>
      </c>
      <c r="H7095" s="7">
        <v>0.05</v>
      </c>
      <c r="I7095" s="9" t="s">
        <v>22</v>
      </c>
      <c r="J7095" s="10">
        <v>-63.77</v>
      </c>
      <c r="K7095" s="11">
        <v>5.98</v>
      </c>
      <c r="L7095" s="11">
        <v>5.46</v>
      </c>
      <c r="M7095" s="9" t="s">
        <v>2045</v>
      </c>
      <c r="N7095" s="6" t="s">
        <v>703</v>
      </c>
      <c r="O7095" s="6" t="s">
        <v>704</v>
      </c>
      <c r="P7095" s="9" t="s">
        <v>41</v>
      </c>
      <c r="Q7095" s="9" t="s">
        <v>26</v>
      </c>
      <c r="R7095" s="9" t="s">
        <v>61</v>
      </c>
      <c r="S7095" s="7" t="s">
        <v>751</v>
      </c>
      <c r="T7095" s="9" t="s">
        <v>39</v>
      </c>
      <c r="U7095" s="7">
        <v>0.36</v>
      </c>
      <c r="V7095" s="12">
        <f>C7095+0</f>
        <v>40174</v>
      </c>
      <c r="W7095">
        <f>IF(D7095=' Pivot Tables'!$A$4,1,0)</f>
        <v>0</v>
      </c>
      <c r="X7095">
        <f>IF(AND(LEFT(D7095,4)+1=LEFT(' Pivot Tables'!$A$4,4)+0,RIGHT(LEFT(D7095,7),2)=RIGHT(LEFT(' Pivot Tables'!$A$4,7),2)),1,0)</f>
        <v>0</v>
      </c>
      <c r="Y7095" s="6">
        <f>1/COUNTIF(Таблица1[Order ID],Таблица1[[#This Row],[Order ID]])</f>
        <v>0.5</v>
      </c>
      <c r="Z7095" s="9">
        <f>1/COUNTIFS(Таблица1[Customer Name],Таблица1[[#This Row],[Customer Name]],Таблица1[Order-Year-Month],Таблица1[[#This Row],[Order-Year-Month]])</f>
        <v>0.5</v>
      </c>
    </row>
    <row r="7096" spans="1:26" x14ac:dyDescent="0.2">
      <c r="A7096" s="6">
        <v>5717</v>
      </c>
      <c r="B7096" s="7">
        <v>40485</v>
      </c>
      <c r="C7096" s="8">
        <f>DATE(2012,12,31)-1100</f>
        <v>40174</v>
      </c>
      <c r="D7096" s="8" t="str">
        <f t="shared" si="132"/>
        <v>2009-12 (декабрь 2009)</v>
      </c>
      <c r="E7096" s="9" t="s">
        <v>45</v>
      </c>
      <c r="F7096" s="7">
        <v>7</v>
      </c>
      <c r="G7096" s="7">
        <v>388.71350000000001</v>
      </c>
      <c r="H7096" s="7">
        <v>0.01</v>
      </c>
      <c r="I7096" s="9" t="s">
        <v>22</v>
      </c>
      <c r="J7096" s="10">
        <v>-190.42100000000002</v>
      </c>
      <c r="K7096" s="11">
        <v>65.989999999999995</v>
      </c>
      <c r="L7096" s="11">
        <v>3.99</v>
      </c>
      <c r="M7096" s="9" t="s">
        <v>2045</v>
      </c>
      <c r="N7096" s="6" t="s">
        <v>703</v>
      </c>
      <c r="O7096" s="6" t="s">
        <v>704</v>
      </c>
      <c r="P7096" s="9" t="s">
        <v>41</v>
      </c>
      <c r="Q7096" s="9" t="s">
        <v>42</v>
      </c>
      <c r="R7096" s="9" t="s">
        <v>43</v>
      </c>
      <c r="S7096" s="7" t="s">
        <v>582</v>
      </c>
      <c r="T7096" s="9" t="s">
        <v>39</v>
      </c>
      <c r="U7096" s="7">
        <v>0.59</v>
      </c>
      <c r="V7096" s="12">
        <f>C7096+1</f>
        <v>40175</v>
      </c>
      <c r="W7096">
        <f>IF(D7096=' Pivot Tables'!$A$4,1,0)</f>
        <v>0</v>
      </c>
      <c r="X7096">
        <f>IF(AND(LEFT(D7096,4)+1=LEFT(' Pivot Tables'!$A$4,4)+0,RIGHT(LEFT(D7096,7),2)=RIGHT(LEFT(' Pivot Tables'!$A$4,7),2)),1,0)</f>
        <v>0</v>
      </c>
      <c r="Y7096" s="6">
        <f>1/COUNTIF(Таблица1[Order ID],Таблица1[[#This Row],[Order ID]])</f>
        <v>0.5</v>
      </c>
      <c r="Z7096" s="9">
        <f>1/COUNTIFS(Таблица1[Customer Name],Таблица1[[#This Row],[Customer Name]],Таблица1[Order-Year-Month],Таблица1[[#This Row],[Order-Year-Month]])</f>
        <v>0.5</v>
      </c>
    </row>
    <row r="7097" spans="1:26" x14ac:dyDescent="0.2">
      <c r="A7097" s="6">
        <v>5781</v>
      </c>
      <c r="B7097" s="7">
        <v>40998</v>
      </c>
      <c r="C7097" s="8">
        <f>DATE(2012,12,31)-1339</f>
        <v>39935</v>
      </c>
      <c r="D7097" s="8" t="str">
        <f t="shared" si="132"/>
        <v>2009-05 (май 2009)</v>
      </c>
      <c r="E7097" s="9" t="s">
        <v>63</v>
      </c>
      <c r="F7097" s="7">
        <v>43</v>
      </c>
      <c r="G7097" s="7">
        <v>1233.22</v>
      </c>
      <c r="H7097" s="7">
        <v>0.05</v>
      </c>
      <c r="I7097" s="9" t="s">
        <v>22</v>
      </c>
      <c r="J7097" s="10">
        <v>385.46</v>
      </c>
      <c r="K7097" s="11">
        <v>29.89</v>
      </c>
      <c r="L7097" s="11">
        <v>1.99</v>
      </c>
      <c r="M7097" s="9" t="s">
        <v>1472</v>
      </c>
      <c r="N7097" s="6" t="s">
        <v>703</v>
      </c>
      <c r="O7097" s="6" t="s">
        <v>704</v>
      </c>
      <c r="P7097" s="9" t="s">
        <v>25</v>
      </c>
      <c r="Q7097" s="9" t="s">
        <v>42</v>
      </c>
      <c r="R7097" s="9" t="s">
        <v>70</v>
      </c>
      <c r="S7097" s="7" t="s">
        <v>547</v>
      </c>
      <c r="T7097" s="9" t="s">
        <v>52</v>
      </c>
      <c r="U7097" s="7">
        <v>0.5</v>
      </c>
      <c r="V7097" s="12">
        <f>C7097+1</f>
        <v>39936</v>
      </c>
      <c r="W7097">
        <f>IF(D7097=' Pivot Tables'!$A$4,1,0)</f>
        <v>0</v>
      </c>
      <c r="X7097">
        <f>IF(AND(LEFT(D7097,4)+1=LEFT(' Pivot Tables'!$A$4,4)+0,RIGHT(LEFT(D7097,7),2)=RIGHT(LEFT(' Pivot Tables'!$A$4,7),2)),1,0)</f>
        <v>0</v>
      </c>
      <c r="Y7097" s="6">
        <f>1/COUNTIF(Таблица1[Order ID],Таблица1[[#This Row],[Order ID]])</f>
        <v>0.5</v>
      </c>
      <c r="Z7097" s="9">
        <f>1/COUNTIFS(Таблица1[Customer Name],Таблица1[[#This Row],[Customer Name]],Таблица1[Order-Year-Month],Таблица1[[#This Row],[Order-Year-Month]])</f>
        <v>0.5</v>
      </c>
    </row>
    <row r="7098" spans="1:26" x14ac:dyDescent="0.2">
      <c r="A7098" s="6">
        <v>5782</v>
      </c>
      <c r="B7098" s="7">
        <v>40998</v>
      </c>
      <c r="C7098" s="8">
        <f>DATE(2012,12,31)-1339</f>
        <v>39935</v>
      </c>
      <c r="D7098" s="8" t="str">
        <f t="shared" si="132"/>
        <v>2009-05 (май 2009)</v>
      </c>
      <c r="E7098" s="9" t="s">
        <v>63</v>
      </c>
      <c r="F7098" s="7">
        <v>39</v>
      </c>
      <c r="G7098" s="7">
        <v>144.82</v>
      </c>
      <c r="H7098" s="7">
        <v>0.08</v>
      </c>
      <c r="I7098" s="9" t="s">
        <v>22</v>
      </c>
      <c r="J7098" s="10">
        <v>28.4</v>
      </c>
      <c r="K7098" s="11">
        <v>4</v>
      </c>
      <c r="L7098" s="11">
        <v>1.3</v>
      </c>
      <c r="M7098" s="9" t="s">
        <v>1472</v>
      </c>
      <c r="N7098" s="6" t="s">
        <v>703</v>
      </c>
      <c r="O7098" s="6" t="s">
        <v>704</v>
      </c>
      <c r="P7098" s="9" t="s">
        <v>25</v>
      </c>
      <c r="Q7098" s="9" t="s">
        <v>26</v>
      </c>
      <c r="R7098" s="9" t="s">
        <v>61</v>
      </c>
      <c r="S7098" s="7" t="s">
        <v>1209</v>
      </c>
      <c r="T7098" s="9" t="s">
        <v>68</v>
      </c>
      <c r="U7098" s="7">
        <v>0.37</v>
      </c>
      <c r="V7098" s="12">
        <f>C7098+2</f>
        <v>39937</v>
      </c>
      <c r="W7098">
        <f>IF(D7098=' Pivot Tables'!$A$4,1,0)</f>
        <v>0</v>
      </c>
      <c r="X7098">
        <f>IF(AND(LEFT(D7098,4)+1=LEFT(' Pivot Tables'!$A$4,4)+0,RIGHT(LEFT(D7098,7),2)=RIGHT(LEFT(' Pivot Tables'!$A$4,7),2)),1,0)</f>
        <v>0</v>
      </c>
      <c r="Y7098" s="6">
        <f>1/COUNTIF(Таблица1[Order ID],Таблица1[[#This Row],[Order ID]])</f>
        <v>0.5</v>
      </c>
      <c r="Z7098" s="9">
        <f>1/COUNTIFS(Таблица1[Customer Name],Таблица1[[#This Row],[Customer Name]],Таблица1[Order-Year-Month],Таблица1[[#This Row],[Order-Year-Month]])</f>
        <v>0.5</v>
      </c>
    </row>
    <row r="7099" spans="1:26" x14ac:dyDescent="0.2">
      <c r="A7099" s="6">
        <v>5793</v>
      </c>
      <c r="B7099" s="7">
        <v>41091</v>
      </c>
      <c r="C7099" s="8">
        <f>DATE(2012,12,31)-1317</f>
        <v>39957</v>
      </c>
      <c r="D7099" s="8" t="str">
        <f t="shared" si="132"/>
        <v>2009-05 (май 2009)</v>
      </c>
      <c r="E7099" s="9" t="s">
        <v>63</v>
      </c>
      <c r="F7099" s="7">
        <v>32</v>
      </c>
      <c r="G7099" s="7">
        <v>6310.69</v>
      </c>
      <c r="H7099" s="7">
        <v>0.1</v>
      </c>
      <c r="I7099" s="9" t="s">
        <v>56</v>
      </c>
      <c r="J7099" s="10">
        <v>1318.83</v>
      </c>
      <c r="K7099" s="11">
        <v>218.08</v>
      </c>
      <c r="L7099" s="11">
        <v>18.059999999999999</v>
      </c>
      <c r="M7099" s="9" t="s">
        <v>1473</v>
      </c>
      <c r="N7099" s="6" t="s">
        <v>703</v>
      </c>
      <c r="O7099" s="6" t="s">
        <v>704</v>
      </c>
      <c r="P7099" s="9" t="s">
        <v>33</v>
      </c>
      <c r="Q7099" s="9" t="s">
        <v>49</v>
      </c>
      <c r="R7099" s="9" t="s">
        <v>112</v>
      </c>
      <c r="S7099" s="7" t="s">
        <v>186</v>
      </c>
      <c r="T7099" s="9" t="s">
        <v>29</v>
      </c>
      <c r="U7099" s="7">
        <v>0.56999999999999995</v>
      </c>
      <c r="V7099" s="12">
        <f>C7099+1</f>
        <v>39958</v>
      </c>
      <c r="W7099">
        <f>IF(D7099=' Pivot Tables'!$A$4,1,0)</f>
        <v>0</v>
      </c>
      <c r="X7099">
        <f>IF(AND(LEFT(D7099,4)+1=LEFT(' Pivot Tables'!$A$4,4)+0,RIGHT(LEFT(D7099,7),2)=RIGHT(LEFT(' Pivot Tables'!$A$4,7),2)),1,0)</f>
        <v>0</v>
      </c>
      <c r="Y7099" s="6">
        <f>1/COUNTIF(Таблица1[Order ID],Таблица1[[#This Row],[Order ID]])</f>
        <v>1</v>
      </c>
      <c r="Z7099" s="9">
        <f>1/COUNTIFS(Таблица1[Customer Name],Таблица1[[#This Row],[Customer Name]],Таблица1[Order-Year-Month],Таблица1[[#This Row],[Order-Year-Month]])</f>
        <v>1</v>
      </c>
    </row>
    <row r="7100" spans="1:26" x14ac:dyDescent="0.2">
      <c r="A7100" s="6">
        <v>5800</v>
      </c>
      <c r="B7100" s="7">
        <v>41152</v>
      </c>
      <c r="C7100" s="8">
        <f>DATE(2012,12,31)-485</f>
        <v>40789</v>
      </c>
      <c r="D7100" s="8" t="str">
        <f t="shared" si="132"/>
        <v>2011-09 (сентябрь 2011)</v>
      </c>
      <c r="E7100" s="9" t="s">
        <v>30</v>
      </c>
      <c r="F7100" s="7">
        <v>49</v>
      </c>
      <c r="G7100" s="7">
        <v>3702.92</v>
      </c>
      <c r="H7100" s="7">
        <v>0.03</v>
      </c>
      <c r="I7100" s="9" t="s">
        <v>22</v>
      </c>
      <c r="J7100" s="10">
        <v>541.91999999999996</v>
      </c>
      <c r="K7100" s="11">
        <v>76.72</v>
      </c>
      <c r="L7100" s="11">
        <v>19.95</v>
      </c>
      <c r="M7100" s="9" t="s">
        <v>1469</v>
      </c>
      <c r="N7100" s="6" t="s">
        <v>703</v>
      </c>
      <c r="O7100" s="6" t="s">
        <v>704</v>
      </c>
      <c r="P7100" s="9" t="s">
        <v>41</v>
      </c>
      <c r="Q7100" s="9" t="s">
        <v>26</v>
      </c>
      <c r="R7100" s="9" t="s">
        <v>34</v>
      </c>
      <c r="S7100" s="7" t="s">
        <v>447</v>
      </c>
      <c r="T7100" s="9" t="s">
        <v>29</v>
      </c>
      <c r="U7100" s="7">
        <v>0.54</v>
      </c>
      <c r="V7100" s="12">
        <f>C7100+1</f>
        <v>40790</v>
      </c>
      <c r="W7100">
        <f>IF(D7100=' Pivot Tables'!$A$4,1,0)</f>
        <v>0</v>
      </c>
      <c r="X7100">
        <f>IF(AND(LEFT(D7100,4)+1=LEFT(' Pivot Tables'!$A$4,4)+0,RIGHT(LEFT(D7100,7),2)=RIGHT(LEFT(' Pivot Tables'!$A$4,7),2)),1,0)</f>
        <v>0</v>
      </c>
      <c r="Y7100" s="6">
        <f>1/COUNTIF(Таблица1[Order ID],Таблица1[[#This Row],[Order ID]])</f>
        <v>0.5</v>
      </c>
      <c r="Z7100" s="9">
        <f>1/COUNTIFS(Таблица1[Customer Name],Таблица1[[#This Row],[Customer Name]],Таблица1[Order-Year-Month],Таблица1[[#This Row],[Order-Year-Month]])</f>
        <v>0.25</v>
      </c>
    </row>
    <row r="7101" spans="1:26" x14ac:dyDescent="0.2">
      <c r="A7101" s="6">
        <v>5801</v>
      </c>
      <c r="B7101" s="7">
        <v>41152</v>
      </c>
      <c r="C7101" s="8">
        <f>DATE(2012,12,31)-485</f>
        <v>40789</v>
      </c>
      <c r="D7101" s="8" t="str">
        <f t="shared" si="132"/>
        <v>2011-09 (сентябрь 2011)</v>
      </c>
      <c r="E7101" s="9" t="s">
        <v>30</v>
      </c>
      <c r="F7101" s="7">
        <v>29</v>
      </c>
      <c r="G7101" s="7">
        <v>53.99</v>
      </c>
      <c r="H7101" s="7">
        <v>0.1</v>
      </c>
      <c r="I7101" s="9" t="s">
        <v>22</v>
      </c>
      <c r="J7101" s="10">
        <v>-15.1225</v>
      </c>
      <c r="K7101" s="11">
        <v>1.88</v>
      </c>
      <c r="L7101" s="11">
        <v>1.49</v>
      </c>
      <c r="M7101" s="9" t="s">
        <v>1469</v>
      </c>
      <c r="N7101" s="6" t="s">
        <v>703</v>
      </c>
      <c r="O7101" s="6" t="s">
        <v>704</v>
      </c>
      <c r="P7101" s="9" t="s">
        <v>41</v>
      </c>
      <c r="Q7101" s="9" t="s">
        <v>26</v>
      </c>
      <c r="R7101" s="9" t="s">
        <v>37</v>
      </c>
      <c r="S7101" s="7" t="s">
        <v>172</v>
      </c>
      <c r="T7101" s="9" t="s">
        <v>39</v>
      </c>
      <c r="U7101" s="7">
        <v>0.37</v>
      </c>
      <c r="V7101" s="12">
        <f>C7101+2</f>
        <v>40791</v>
      </c>
      <c r="W7101">
        <f>IF(D7101=' Pivot Tables'!$A$4,1,0)</f>
        <v>0</v>
      </c>
      <c r="X7101">
        <f>IF(AND(LEFT(D7101,4)+1=LEFT(' Pivot Tables'!$A$4,4)+0,RIGHT(LEFT(D7101,7),2)=RIGHT(LEFT(' Pivot Tables'!$A$4,7),2)),1,0)</f>
        <v>0</v>
      </c>
      <c r="Y7101" s="6">
        <f>1/COUNTIF(Таблица1[Order ID],Таблица1[[#This Row],[Order ID]])</f>
        <v>0.5</v>
      </c>
      <c r="Z7101" s="9">
        <f>1/COUNTIFS(Таблица1[Customer Name],Таблица1[[#This Row],[Customer Name]],Таблица1[Order-Year-Month],Таблица1[[#This Row],[Order-Year-Month]])</f>
        <v>0.25</v>
      </c>
    </row>
    <row r="7102" spans="1:26" x14ac:dyDescent="0.2">
      <c r="A7102" s="6">
        <v>5804</v>
      </c>
      <c r="B7102" s="7">
        <v>41157</v>
      </c>
      <c r="C7102" s="8">
        <f>DATE(2012,12,31)-625</f>
        <v>40649</v>
      </c>
      <c r="D7102" s="8" t="str">
        <f t="shared" si="132"/>
        <v>2011-04 (апрель 2011)</v>
      </c>
      <c r="E7102" s="9" t="s">
        <v>63</v>
      </c>
      <c r="F7102" s="7">
        <v>39</v>
      </c>
      <c r="G7102" s="7">
        <v>3854.4</v>
      </c>
      <c r="H7102" s="7">
        <v>0.09</v>
      </c>
      <c r="I7102" s="9" t="s">
        <v>22</v>
      </c>
      <c r="J7102" s="10">
        <v>1116.98</v>
      </c>
      <c r="K7102" s="11">
        <v>107.53</v>
      </c>
      <c r="L7102" s="11">
        <v>5.81</v>
      </c>
      <c r="M7102" s="9" t="s">
        <v>1511</v>
      </c>
      <c r="N7102" s="6" t="s">
        <v>703</v>
      </c>
      <c r="O7102" s="6" t="s">
        <v>704</v>
      </c>
      <c r="P7102" s="9" t="s">
        <v>60</v>
      </c>
      <c r="Q7102" s="9" t="s">
        <v>49</v>
      </c>
      <c r="R7102" s="9" t="s">
        <v>50</v>
      </c>
      <c r="S7102" s="7" t="s">
        <v>473</v>
      </c>
      <c r="T7102" s="9" t="s">
        <v>48</v>
      </c>
      <c r="U7102" s="7">
        <v>0.65</v>
      </c>
      <c r="V7102" s="12">
        <f>C7102+2</f>
        <v>40651</v>
      </c>
      <c r="W7102">
        <f>IF(D7102=' Pivot Tables'!$A$4,1,0)</f>
        <v>0</v>
      </c>
      <c r="X7102">
        <f>IF(AND(LEFT(D7102,4)+1=LEFT(' Pivot Tables'!$A$4,4)+0,RIGHT(LEFT(D7102,7),2)=RIGHT(LEFT(' Pivot Tables'!$A$4,7),2)),1,0)</f>
        <v>0</v>
      </c>
      <c r="Y7102" s="6">
        <f>1/COUNTIF(Таблица1[Order ID],Таблица1[[#This Row],[Order ID]])</f>
        <v>1</v>
      </c>
      <c r="Z7102" s="9">
        <f>1/COUNTIFS(Таблица1[Customer Name],Таблица1[[#This Row],[Customer Name]],Таблица1[Order-Year-Month],Таблица1[[#This Row],[Order-Year-Month]])</f>
        <v>1</v>
      </c>
    </row>
    <row r="7103" spans="1:26" x14ac:dyDescent="0.2">
      <c r="A7103" s="6">
        <v>5826</v>
      </c>
      <c r="B7103" s="7">
        <v>41349</v>
      </c>
      <c r="C7103" s="8">
        <f>DATE(2012,12,31)-380</f>
        <v>40894</v>
      </c>
      <c r="D7103" s="8" t="str">
        <f t="shared" si="132"/>
        <v>2011-12 (декабрь 2011)</v>
      </c>
      <c r="E7103" s="9" t="s">
        <v>78</v>
      </c>
      <c r="F7103" s="7">
        <v>44</v>
      </c>
      <c r="G7103" s="7">
        <v>346.2</v>
      </c>
      <c r="H7103" s="7">
        <v>0</v>
      </c>
      <c r="I7103" s="9" t="s">
        <v>56</v>
      </c>
      <c r="J7103" s="10">
        <v>-335.685</v>
      </c>
      <c r="K7103" s="11">
        <v>7.38</v>
      </c>
      <c r="L7103" s="11">
        <v>11.51</v>
      </c>
      <c r="M7103" s="9" t="s">
        <v>1512</v>
      </c>
      <c r="N7103" s="6" t="s">
        <v>703</v>
      </c>
      <c r="O7103" s="6" t="s">
        <v>704</v>
      </c>
      <c r="P7103" s="9" t="s">
        <v>60</v>
      </c>
      <c r="Q7103" s="9" t="s">
        <v>26</v>
      </c>
      <c r="R7103" s="9" t="s">
        <v>37</v>
      </c>
      <c r="S7103" s="7" t="s">
        <v>1685</v>
      </c>
      <c r="T7103" s="9" t="s">
        <v>39</v>
      </c>
      <c r="U7103" s="7">
        <v>0.36</v>
      </c>
      <c r="V7103" s="12">
        <f>C7103+1</f>
        <v>40895</v>
      </c>
      <c r="W7103">
        <f>IF(D7103=' Pivot Tables'!$A$4,1,0)</f>
        <v>0</v>
      </c>
      <c r="X7103">
        <f>IF(AND(LEFT(D7103,4)+1=LEFT(' Pivot Tables'!$A$4,4)+0,RIGHT(LEFT(D7103,7),2)=RIGHT(LEFT(' Pivot Tables'!$A$4,7),2)),1,0)</f>
        <v>0</v>
      </c>
      <c r="Y7103" s="6">
        <f>1/COUNTIF(Таблица1[Order ID],Таблица1[[#This Row],[Order ID]])</f>
        <v>0.33333333333333331</v>
      </c>
      <c r="Z7103" s="9">
        <f>1/COUNTIFS(Таблица1[Customer Name],Таблица1[[#This Row],[Customer Name]],Таблица1[Order-Year-Month],Таблица1[[#This Row],[Order-Year-Month]])</f>
        <v>0.33333333333333331</v>
      </c>
    </row>
    <row r="7104" spans="1:26" x14ac:dyDescent="0.2">
      <c r="A7104" s="6">
        <v>5827</v>
      </c>
      <c r="B7104" s="7">
        <v>41349</v>
      </c>
      <c r="C7104" s="8">
        <f>DATE(2012,12,31)-380</f>
        <v>40894</v>
      </c>
      <c r="D7104" s="8" t="str">
        <f t="shared" si="132"/>
        <v>2011-12 (декабрь 2011)</v>
      </c>
      <c r="E7104" s="9" t="s">
        <v>78</v>
      </c>
      <c r="F7104" s="7">
        <v>4</v>
      </c>
      <c r="G7104" s="7">
        <v>85.96</v>
      </c>
      <c r="H7104" s="7">
        <v>0.08</v>
      </c>
      <c r="I7104" s="9" t="s">
        <v>56</v>
      </c>
      <c r="J7104" s="10">
        <v>-7.48</v>
      </c>
      <c r="K7104" s="11">
        <v>20.239999999999998</v>
      </c>
      <c r="L7104" s="11">
        <v>8.99</v>
      </c>
      <c r="M7104" s="9" t="s">
        <v>1512</v>
      </c>
      <c r="N7104" s="6" t="s">
        <v>703</v>
      </c>
      <c r="O7104" s="6" t="s">
        <v>704</v>
      </c>
      <c r="P7104" s="9" t="s">
        <v>60</v>
      </c>
      <c r="Q7104" s="9" t="s">
        <v>49</v>
      </c>
      <c r="R7104" s="9" t="s">
        <v>50</v>
      </c>
      <c r="S7104" s="7" t="s">
        <v>389</v>
      </c>
      <c r="T7104" s="9" t="s">
        <v>52</v>
      </c>
      <c r="U7104" s="7">
        <v>0.46</v>
      </c>
      <c r="V7104" s="12">
        <f>C7104+2</f>
        <v>40896</v>
      </c>
      <c r="W7104">
        <f>IF(D7104=' Pivot Tables'!$A$4,1,0)</f>
        <v>0</v>
      </c>
      <c r="X7104">
        <f>IF(AND(LEFT(D7104,4)+1=LEFT(' Pivot Tables'!$A$4,4)+0,RIGHT(LEFT(D7104,7),2)=RIGHT(LEFT(' Pivot Tables'!$A$4,7),2)),1,0)</f>
        <v>0</v>
      </c>
      <c r="Y7104" s="6">
        <f>1/COUNTIF(Таблица1[Order ID],Таблица1[[#This Row],[Order ID]])</f>
        <v>0.33333333333333331</v>
      </c>
      <c r="Z7104" s="9">
        <f>1/COUNTIFS(Таблица1[Customer Name],Таблица1[[#This Row],[Customer Name]],Таблица1[Order-Year-Month],Таблица1[[#This Row],[Order-Year-Month]])</f>
        <v>0.33333333333333331</v>
      </c>
    </row>
    <row r="7105" spans="1:26" x14ac:dyDescent="0.2">
      <c r="A7105" s="6">
        <v>5828</v>
      </c>
      <c r="B7105" s="7">
        <v>41349</v>
      </c>
      <c r="C7105" s="8">
        <f>DATE(2012,12,31)-380</f>
        <v>40894</v>
      </c>
      <c r="D7105" s="8" t="str">
        <f t="shared" si="132"/>
        <v>2011-12 (декабрь 2011)</v>
      </c>
      <c r="E7105" s="9" t="s">
        <v>78</v>
      </c>
      <c r="F7105" s="7">
        <v>39</v>
      </c>
      <c r="G7105" s="7">
        <v>475.52</v>
      </c>
      <c r="H7105" s="7">
        <v>7.0000000000000007E-2</v>
      </c>
      <c r="I7105" s="9" t="s">
        <v>22</v>
      </c>
      <c r="J7105" s="10">
        <v>-70.430000000000007</v>
      </c>
      <c r="K7105" s="11">
        <v>12.44</v>
      </c>
      <c r="L7105" s="11">
        <v>6.27</v>
      </c>
      <c r="M7105" s="9" t="s">
        <v>1512</v>
      </c>
      <c r="N7105" s="6" t="s">
        <v>703</v>
      </c>
      <c r="O7105" s="6" t="s">
        <v>704</v>
      </c>
      <c r="P7105" s="9" t="s">
        <v>60</v>
      </c>
      <c r="Q7105" s="9" t="s">
        <v>26</v>
      </c>
      <c r="R7105" s="9" t="s">
        <v>27</v>
      </c>
      <c r="S7105" s="7" t="s">
        <v>756</v>
      </c>
      <c r="T7105" s="9" t="s">
        <v>48</v>
      </c>
      <c r="U7105" s="7">
        <v>0.56999999999999995</v>
      </c>
      <c r="V7105" s="12">
        <f>C7105+2</f>
        <v>40896</v>
      </c>
      <c r="W7105">
        <f>IF(D7105=' Pivot Tables'!$A$4,1,0)</f>
        <v>0</v>
      </c>
      <c r="X7105">
        <f>IF(AND(LEFT(D7105,4)+1=LEFT(' Pivot Tables'!$A$4,4)+0,RIGHT(LEFT(D7105,7),2)=RIGHT(LEFT(' Pivot Tables'!$A$4,7),2)),1,0)</f>
        <v>0</v>
      </c>
      <c r="Y7105" s="6">
        <f>1/COUNTIF(Таблица1[Order ID],Таблица1[[#This Row],[Order ID]])</f>
        <v>0.33333333333333331</v>
      </c>
      <c r="Z7105" s="9">
        <f>1/COUNTIFS(Таблица1[Customer Name],Таблица1[[#This Row],[Customer Name]],Таблица1[Order-Year-Month],Таблица1[[#This Row],[Order-Year-Month]])</f>
        <v>0.33333333333333331</v>
      </c>
    </row>
    <row r="7106" spans="1:26" x14ac:dyDescent="0.2">
      <c r="A7106" s="6">
        <v>5841</v>
      </c>
      <c r="B7106" s="7">
        <v>41440</v>
      </c>
      <c r="C7106" s="8">
        <f>DATE(2012,12,31)-1196</f>
        <v>40078</v>
      </c>
      <c r="D7106" s="8" t="str">
        <f t="shared" si="132"/>
        <v>2009-09 (сентябрь 2009)</v>
      </c>
      <c r="E7106" s="9" t="s">
        <v>30</v>
      </c>
      <c r="F7106" s="7">
        <v>20</v>
      </c>
      <c r="G7106" s="7">
        <v>92.94</v>
      </c>
      <c r="H7106" s="7">
        <v>0.09</v>
      </c>
      <c r="I7106" s="9" t="s">
        <v>22</v>
      </c>
      <c r="J7106" s="10">
        <v>37.770000000000003</v>
      </c>
      <c r="K7106" s="11">
        <v>4.91</v>
      </c>
      <c r="L7106" s="11">
        <v>0.5</v>
      </c>
      <c r="M7106" s="9" t="s">
        <v>1802</v>
      </c>
      <c r="N7106" s="6" t="s">
        <v>703</v>
      </c>
      <c r="O7106" s="6" t="s">
        <v>704</v>
      </c>
      <c r="P7106" s="9" t="s">
        <v>41</v>
      </c>
      <c r="Q7106" s="9" t="s">
        <v>26</v>
      </c>
      <c r="R7106" s="9" t="s">
        <v>88</v>
      </c>
      <c r="S7106" s="7" t="s">
        <v>509</v>
      </c>
      <c r="T7106" s="9" t="s">
        <v>39</v>
      </c>
      <c r="U7106" s="7">
        <v>0.36</v>
      </c>
      <c r="V7106" s="12">
        <f>C7106+1</f>
        <v>40079</v>
      </c>
      <c r="W7106">
        <f>IF(D7106=' Pivot Tables'!$A$4,1,0)</f>
        <v>0</v>
      </c>
      <c r="X7106">
        <f>IF(AND(LEFT(D7106,4)+1=LEFT(' Pivot Tables'!$A$4,4)+0,RIGHT(LEFT(D7106,7),2)=RIGHT(LEFT(' Pivot Tables'!$A$4,7),2)),1,0)</f>
        <v>0</v>
      </c>
      <c r="Y7106" s="6">
        <f>1/COUNTIF(Таблица1[Order ID],Таблица1[[#This Row],[Order ID]])</f>
        <v>0.5</v>
      </c>
      <c r="Z7106" s="9">
        <f>1/COUNTIFS(Таблица1[Customer Name],Таблица1[[#This Row],[Customer Name]],Таблица1[Order-Year-Month],Таблица1[[#This Row],[Order-Year-Month]])</f>
        <v>0.5</v>
      </c>
    </row>
    <row r="7107" spans="1:26" x14ac:dyDescent="0.2">
      <c r="A7107" s="6">
        <v>5842</v>
      </c>
      <c r="B7107" s="7">
        <v>41440</v>
      </c>
      <c r="C7107" s="8">
        <f>DATE(2012,12,31)-1196</f>
        <v>40078</v>
      </c>
      <c r="D7107" s="8" t="str">
        <f t="shared" ref="D7107:D7170" si="133">TEXT(C7107,"гггг-ММ (ММММ гггг)")</f>
        <v>2009-09 (сентябрь 2009)</v>
      </c>
      <c r="E7107" s="9" t="s">
        <v>30</v>
      </c>
      <c r="F7107" s="7">
        <v>19</v>
      </c>
      <c r="G7107" s="7">
        <v>6070.96</v>
      </c>
      <c r="H7107" s="7">
        <v>0.01</v>
      </c>
      <c r="I7107" s="9" t="s">
        <v>31</v>
      </c>
      <c r="J7107" s="10">
        <v>173.48</v>
      </c>
      <c r="K7107" s="11">
        <v>296.18</v>
      </c>
      <c r="L7107" s="11">
        <v>54.12</v>
      </c>
      <c r="M7107" s="9" t="s">
        <v>1802</v>
      </c>
      <c r="N7107" s="6" t="s">
        <v>703</v>
      </c>
      <c r="O7107" s="6" t="s">
        <v>704</v>
      </c>
      <c r="P7107" s="9" t="s">
        <v>41</v>
      </c>
      <c r="Q7107" s="9" t="s">
        <v>49</v>
      </c>
      <c r="R7107" s="9" t="s">
        <v>83</v>
      </c>
      <c r="S7107" s="7" t="s">
        <v>425</v>
      </c>
      <c r="T7107" s="9" t="s">
        <v>82</v>
      </c>
      <c r="U7107" s="7">
        <v>0.76</v>
      </c>
      <c r="V7107" s="12">
        <f>C7107+3</f>
        <v>40081</v>
      </c>
      <c r="W7107">
        <f>IF(D7107=' Pivot Tables'!$A$4,1,0)</f>
        <v>0</v>
      </c>
      <c r="X7107">
        <f>IF(AND(LEFT(D7107,4)+1=LEFT(' Pivot Tables'!$A$4,4)+0,RIGHT(LEFT(D7107,7),2)=RIGHT(LEFT(' Pivot Tables'!$A$4,7),2)),1,0)</f>
        <v>0</v>
      </c>
      <c r="Y7107" s="6">
        <f>1/COUNTIF(Таблица1[Order ID],Таблица1[[#This Row],[Order ID]])</f>
        <v>0.5</v>
      </c>
      <c r="Z7107" s="9">
        <f>1/COUNTIFS(Таблица1[Customer Name],Таблица1[[#This Row],[Customer Name]],Таблица1[Order-Year-Month],Таблица1[[#This Row],[Order-Year-Month]])</f>
        <v>0.5</v>
      </c>
    </row>
    <row r="7108" spans="1:26" x14ac:dyDescent="0.2">
      <c r="A7108" s="6">
        <v>5850</v>
      </c>
      <c r="B7108" s="7">
        <v>41539</v>
      </c>
      <c r="C7108" s="8">
        <f>DATE(2012,12,31)-608</f>
        <v>40666</v>
      </c>
      <c r="D7108" s="8" t="str">
        <f t="shared" si="133"/>
        <v>2011-05 (май 2011)</v>
      </c>
      <c r="E7108" s="9" t="s">
        <v>30</v>
      </c>
      <c r="F7108" s="7">
        <v>24</v>
      </c>
      <c r="G7108" s="7">
        <v>41.85</v>
      </c>
      <c r="H7108" s="7">
        <v>0.04</v>
      </c>
      <c r="I7108" s="9" t="s">
        <v>56</v>
      </c>
      <c r="J7108" s="10">
        <v>-8.44</v>
      </c>
      <c r="K7108" s="11">
        <v>1.6</v>
      </c>
      <c r="L7108" s="11">
        <v>1.29</v>
      </c>
      <c r="M7108" s="9" t="s">
        <v>2031</v>
      </c>
      <c r="N7108" s="6" t="s">
        <v>703</v>
      </c>
      <c r="O7108" s="6" t="s">
        <v>704</v>
      </c>
      <c r="P7108" s="9" t="s">
        <v>33</v>
      </c>
      <c r="Q7108" s="9" t="s">
        <v>26</v>
      </c>
      <c r="R7108" s="9" t="s">
        <v>95</v>
      </c>
      <c r="S7108" s="7" t="s">
        <v>1892</v>
      </c>
      <c r="T7108" s="9" t="s">
        <v>68</v>
      </c>
      <c r="U7108" s="7">
        <v>0.42</v>
      </c>
      <c r="V7108" s="12">
        <f>C7108+2</f>
        <v>40668</v>
      </c>
      <c r="W7108">
        <f>IF(D7108=' Pivot Tables'!$A$4,1,0)</f>
        <v>0</v>
      </c>
      <c r="X7108">
        <f>IF(AND(LEFT(D7108,4)+1=LEFT(' Pivot Tables'!$A$4,4)+0,RIGHT(LEFT(D7108,7),2)=RIGHT(LEFT(' Pivot Tables'!$A$4,7),2)),1,0)</f>
        <v>0</v>
      </c>
      <c r="Y7108" s="6">
        <f>1/COUNTIF(Таблица1[Order ID],Таблица1[[#This Row],[Order ID]])</f>
        <v>0.5</v>
      </c>
      <c r="Z7108" s="9">
        <f>1/COUNTIFS(Таблица1[Customer Name],Таблица1[[#This Row],[Customer Name]],Таблица1[Order-Year-Month],Таблица1[[#This Row],[Order-Year-Month]])</f>
        <v>0.5</v>
      </c>
    </row>
    <row r="7109" spans="1:26" x14ac:dyDescent="0.2">
      <c r="A7109" s="6">
        <v>5851</v>
      </c>
      <c r="B7109" s="7">
        <v>41539</v>
      </c>
      <c r="C7109" s="8">
        <f>DATE(2012,12,31)-608</f>
        <v>40666</v>
      </c>
      <c r="D7109" s="8" t="str">
        <f t="shared" si="133"/>
        <v>2011-05 (май 2011)</v>
      </c>
      <c r="E7109" s="9" t="s">
        <v>30</v>
      </c>
      <c r="F7109" s="7">
        <v>41</v>
      </c>
      <c r="G7109" s="7">
        <v>2303.7125000000001</v>
      </c>
      <c r="H7109" s="7">
        <v>0.04</v>
      </c>
      <c r="I7109" s="9" t="s">
        <v>22</v>
      </c>
      <c r="J7109" s="10">
        <v>398.22300000000001</v>
      </c>
      <c r="K7109" s="11">
        <v>65.989999999999995</v>
      </c>
      <c r="L7109" s="11">
        <v>8.99</v>
      </c>
      <c r="M7109" s="9" t="s">
        <v>2031</v>
      </c>
      <c r="N7109" s="6" t="s">
        <v>703</v>
      </c>
      <c r="O7109" s="6" t="s">
        <v>704</v>
      </c>
      <c r="P7109" s="9" t="s">
        <v>33</v>
      </c>
      <c r="Q7109" s="9" t="s">
        <v>42</v>
      </c>
      <c r="R7109" s="9" t="s">
        <v>43</v>
      </c>
      <c r="S7109" s="7" t="s">
        <v>596</v>
      </c>
      <c r="T7109" s="9" t="s">
        <v>39</v>
      </c>
      <c r="U7109" s="7">
        <v>0.57999999999999996</v>
      </c>
      <c r="V7109" s="12">
        <f>C7109+1</f>
        <v>40667</v>
      </c>
      <c r="W7109">
        <f>IF(D7109=' Pivot Tables'!$A$4,1,0)</f>
        <v>0</v>
      </c>
      <c r="X7109">
        <f>IF(AND(LEFT(D7109,4)+1=LEFT(' Pivot Tables'!$A$4,4)+0,RIGHT(LEFT(D7109,7),2)=RIGHT(LEFT(' Pivot Tables'!$A$4,7),2)),1,0)</f>
        <v>0</v>
      </c>
      <c r="Y7109" s="6">
        <f>1/COUNTIF(Таблица1[Order ID],Таблица1[[#This Row],[Order ID]])</f>
        <v>0.5</v>
      </c>
      <c r="Z7109" s="9">
        <f>1/COUNTIFS(Таблица1[Customer Name],Таблица1[[#This Row],[Customer Name]],Таблица1[Order-Year-Month],Таблица1[[#This Row],[Order-Year-Month]])</f>
        <v>0.5</v>
      </c>
    </row>
    <row r="7110" spans="1:26" x14ac:dyDescent="0.2">
      <c r="A7110" s="6">
        <v>5859</v>
      </c>
      <c r="B7110" s="7">
        <v>41574</v>
      </c>
      <c r="C7110" s="8">
        <f>DATE(2012,12,31)-833</f>
        <v>40441</v>
      </c>
      <c r="D7110" s="8" t="str">
        <f t="shared" si="133"/>
        <v>2010-09 (сентябрь 2010)</v>
      </c>
      <c r="E7110" s="9" t="s">
        <v>30</v>
      </c>
      <c r="F7110" s="7">
        <v>23</v>
      </c>
      <c r="G7110" s="7">
        <v>283.82</v>
      </c>
      <c r="H7110" s="7">
        <v>0.01</v>
      </c>
      <c r="I7110" s="9" t="s">
        <v>22</v>
      </c>
      <c r="J7110" s="10">
        <v>-38.94</v>
      </c>
      <c r="K7110" s="11">
        <v>11.97</v>
      </c>
      <c r="L7110" s="11">
        <v>5.81</v>
      </c>
      <c r="M7110" s="9" t="s">
        <v>1550</v>
      </c>
      <c r="N7110" s="6" t="s">
        <v>703</v>
      </c>
      <c r="O7110" s="6" t="s">
        <v>704</v>
      </c>
      <c r="P7110" s="9" t="s">
        <v>41</v>
      </c>
      <c r="Q7110" s="9" t="s">
        <v>26</v>
      </c>
      <c r="R7110" s="9" t="s">
        <v>95</v>
      </c>
      <c r="S7110" s="7" t="s">
        <v>521</v>
      </c>
      <c r="T7110" s="9" t="s">
        <v>52</v>
      </c>
      <c r="U7110" s="7">
        <v>0.6</v>
      </c>
      <c r="V7110" s="12">
        <f>C7110+2</f>
        <v>40443</v>
      </c>
      <c r="W7110">
        <f>IF(D7110=' Pivot Tables'!$A$4,1,0)</f>
        <v>0</v>
      </c>
      <c r="X7110">
        <f>IF(AND(LEFT(D7110,4)+1=LEFT(' Pivot Tables'!$A$4,4)+0,RIGHT(LEFT(D7110,7),2)=RIGHT(LEFT(' Pivot Tables'!$A$4,7),2)),1,0)</f>
        <v>0</v>
      </c>
      <c r="Y7110" s="6">
        <f>1/COUNTIF(Таблица1[Order ID],Таблица1[[#This Row],[Order ID]])</f>
        <v>1</v>
      </c>
      <c r="Z7110" s="9">
        <f>1/COUNTIFS(Таблица1[Customer Name],Таблица1[[#This Row],[Customer Name]],Таблица1[Order-Year-Month],Таблица1[[#This Row],[Order-Year-Month]])</f>
        <v>1</v>
      </c>
    </row>
    <row r="7111" spans="1:26" x14ac:dyDescent="0.2">
      <c r="A7111" s="6">
        <v>5902</v>
      </c>
      <c r="B7111" s="7">
        <v>41831</v>
      </c>
      <c r="C7111" s="8">
        <f>DATE(2012,12,31)-163</f>
        <v>41111</v>
      </c>
      <c r="D7111" s="8" t="str">
        <f t="shared" si="133"/>
        <v>2012-07 (июль 2012)</v>
      </c>
      <c r="E7111" s="9" t="s">
        <v>45</v>
      </c>
      <c r="F7111" s="7">
        <v>43</v>
      </c>
      <c r="G7111" s="7">
        <v>3441.09</v>
      </c>
      <c r="H7111" s="7">
        <v>0.03</v>
      </c>
      <c r="I7111" s="9" t="s">
        <v>31</v>
      </c>
      <c r="J7111" s="10">
        <v>431.95</v>
      </c>
      <c r="K7111" s="11">
        <v>80.97</v>
      </c>
      <c r="L7111" s="11">
        <v>30.06</v>
      </c>
      <c r="M7111" s="9" t="s">
        <v>1467</v>
      </c>
      <c r="N7111" s="6" t="s">
        <v>703</v>
      </c>
      <c r="O7111" s="6" t="s">
        <v>704</v>
      </c>
      <c r="P7111" s="9" t="s">
        <v>41</v>
      </c>
      <c r="Q7111" s="9" t="s">
        <v>42</v>
      </c>
      <c r="R7111" s="9" t="s">
        <v>210</v>
      </c>
      <c r="S7111" s="7" t="s">
        <v>1035</v>
      </c>
      <c r="T7111" s="9" t="s">
        <v>82</v>
      </c>
      <c r="U7111" s="7">
        <v>0.4</v>
      </c>
      <c r="V7111" s="12">
        <f>C7111+2</f>
        <v>41113</v>
      </c>
      <c r="W7111">
        <f>IF(D7111=' Pivot Tables'!$A$4,1,0)</f>
        <v>0</v>
      </c>
      <c r="X7111">
        <f>IF(AND(LEFT(D7111,4)+1=LEFT(' Pivot Tables'!$A$4,4)+0,RIGHT(LEFT(D7111,7),2)=RIGHT(LEFT(' Pivot Tables'!$A$4,7),2)),1,0)</f>
        <v>0</v>
      </c>
      <c r="Y7111" s="6">
        <f>1/COUNTIF(Таблица1[Order ID],Таблица1[[#This Row],[Order ID]])</f>
        <v>0.5</v>
      </c>
      <c r="Z7111" s="9">
        <f>1/COUNTIFS(Таблица1[Customer Name],Таблица1[[#This Row],[Customer Name]],Таблица1[Order-Year-Month],Таблица1[[#This Row],[Order-Year-Month]])</f>
        <v>0.5</v>
      </c>
    </row>
    <row r="7112" spans="1:26" x14ac:dyDescent="0.2">
      <c r="A7112" s="6">
        <v>5903</v>
      </c>
      <c r="B7112" s="7">
        <v>41831</v>
      </c>
      <c r="C7112" s="8">
        <f>DATE(2012,12,31)-163</f>
        <v>41111</v>
      </c>
      <c r="D7112" s="8" t="str">
        <f t="shared" si="133"/>
        <v>2012-07 (июль 2012)</v>
      </c>
      <c r="E7112" s="9" t="s">
        <v>45</v>
      </c>
      <c r="F7112" s="7">
        <v>38</v>
      </c>
      <c r="G7112" s="7">
        <v>209.61</v>
      </c>
      <c r="H7112" s="7">
        <v>0.05</v>
      </c>
      <c r="I7112" s="9" t="s">
        <v>22</v>
      </c>
      <c r="J7112" s="10">
        <v>-96.29</v>
      </c>
      <c r="K7112" s="11">
        <v>5.28</v>
      </c>
      <c r="L7112" s="11">
        <v>5.66</v>
      </c>
      <c r="M7112" s="9" t="s">
        <v>1467</v>
      </c>
      <c r="N7112" s="6" t="s">
        <v>703</v>
      </c>
      <c r="O7112" s="6" t="s">
        <v>704</v>
      </c>
      <c r="P7112" s="9" t="s">
        <v>41</v>
      </c>
      <c r="Q7112" s="9" t="s">
        <v>26</v>
      </c>
      <c r="R7112" s="9" t="s">
        <v>61</v>
      </c>
      <c r="S7112" s="7" t="s">
        <v>424</v>
      </c>
      <c r="T7112" s="9" t="s">
        <v>39</v>
      </c>
      <c r="U7112" s="7">
        <v>0.4</v>
      </c>
      <c r="V7112" s="12">
        <f>C7112+1</f>
        <v>41112</v>
      </c>
      <c r="W7112">
        <f>IF(D7112=' Pivot Tables'!$A$4,1,0)</f>
        <v>0</v>
      </c>
      <c r="X7112">
        <f>IF(AND(LEFT(D7112,4)+1=LEFT(' Pivot Tables'!$A$4,4)+0,RIGHT(LEFT(D7112,7),2)=RIGHT(LEFT(' Pivot Tables'!$A$4,7),2)),1,0)</f>
        <v>0</v>
      </c>
      <c r="Y7112" s="6">
        <f>1/COUNTIF(Таблица1[Order ID],Таблица1[[#This Row],[Order ID]])</f>
        <v>0.5</v>
      </c>
      <c r="Z7112" s="9">
        <f>1/COUNTIFS(Таблица1[Customer Name],Таблица1[[#This Row],[Customer Name]],Таблица1[Order-Year-Month],Таблица1[[#This Row],[Order-Year-Month]])</f>
        <v>0.5</v>
      </c>
    </row>
    <row r="7113" spans="1:26" x14ac:dyDescent="0.2">
      <c r="A7113" s="6">
        <v>5906</v>
      </c>
      <c r="B7113" s="7">
        <v>41888</v>
      </c>
      <c r="C7113" s="8">
        <f>DATE(2012,12,31)-1402</f>
        <v>39872</v>
      </c>
      <c r="D7113" s="8" t="str">
        <f t="shared" si="133"/>
        <v>2009-02 (февраль 2009)</v>
      </c>
      <c r="E7113" s="9" t="s">
        <v>21</v>
      </c>
      <c r="F7113" s="7">
        <v>18</v>
      </c>
      <c r="G7113" s="7">
        <v>1979.47</v>
      </c>
      <c r="H7113" s="7">
        <v>0.1</v>
      </c>
      <c r="I7113" s="9" t="s">
        <v>22</v>
      </c>
      <c r="J7113" s="10">
        <v>690.26800000000003</v>
      </c>
      <c r="K7113" s="11">
        <v>120.98</v>
      </c>
      <c r="L7113" s="11">
        <v>9.07</v>
      </c>
      <c r="M7113" s="9" t="s">
        <v>2042</v>
      </c>
      <c r="N7113" s="6" t="s">
        <v>703</v>
      </c>
      <c r="O7113" s="6" t="s">
        <v>704</v>
      </c>
      <c r="P7113" s="9" t="s">
        <v>41</v>
      </c>
      <c r="Q7113" s="9" t="s">
        <v>26</v>
      </c>
      <c r="R7113" s="9" t="s">
        <v>37</v>
      </c>
      <c r="S7113" s="7" t="s">
        <v>477</v>
      </c>
      <c r="T7113" s="9" t="s">
        <v>39</v>
      </c>
      <c r="U7113" s="7">
        <v>0.35</v>
      </c>
      <c r="V7113" s="12">
        <f>C7113+9</f>
        <v>39881</v>
      </c>
      <c r="W7113">
        <f>IF(D7113=' Pivot Tables'!$A$4,1,0)</f>
        <v>0</v>
      </c>
      <c r="X7113">
        <f>IF(AND(LEFT(D7113,4)+1=LEFT(' Pivot Tables'!$A$4,4)+0,RIGHT(LEFT(D7113,7),2)=RIGHT(LEFT(' Pivot Tables'!$A$4,7),2)),1,0)</f>
        <v>0</v>
      </c>
      <c r="Y7113" s="6">
        <f>1/COUNTIF(Таблица1[Order ID],Таблица1[[#This Row],[Order ID]])</f>
        <v>0.33333333333333331</v>
      </c>
      <c r="Z7113" s="9">
        <f>1/COUNTIFS(Таблица1[Customer Name],Таблица1[[#This Row],[Customer Name]],Таблица1[Order-Year-Month],Таблица1[[#This Row],[Order-Year-Month]])</f>
        <v>0.33333333333333331</v>
      </c>
    </row>
    <row r="7114" spans="1:26" x14ac:dyDescent="0.2">
      <c r="A7114" s="6">
        <v>5907</v>
      </c>
      <c r="B7114" s="7">
        <v>41888</v>
      </c>
      <c r="C7114" s="8">
        <f>DATE(2012,12,31)-1402</f>
        <v>39872</v>
      </c>
      <c r="D7114" s="8" t="str">
        <f t="shared" si="133"/>
        <v>2009-02 (февраль 2009)</v>
      </c>
      <c r="E7114" s="9" t="s">
        <v>21</v>
      </c>
      <c r="F7114" s="7">
        <v>23</v>
      </c>
      <c r="G7114" s="7">
        <v>187.8</v>
      </c>
      <c r="H7114" s="7">
        <v>0.08</v>
      </c>
      <c r="I7114" s="9" t="s">
        <v>56</v>
      </c>
      <c r="J7114" s="10">
        <v>-41.83</v>
      </c>
      <c r="K7114" s="11">
        <v>8.32</v>
      </c>
      <c r="L7114" s="11">
        <v>2.38</v>
      </c>
      <c r="M7114" s="9" t="s">
        <v>2042</v>
      </c>
      <c r="N7114" s="6" t="s">
        <v>703</v>
      </c>
      <c r="O7114" s="6" t="s">
        <v>704</v>
      </c>
      <c r="P7114" s="9" t="s">
        <v>41</v>
      </c>
      <c r="Q7114" s="9" t="s">
        <v>42</v>
      </c>
      <c r="R7114" s="9" t="s">
        <v>70</v>
      </c>
      <c r="S7114" s="7" t="s">
        <v>1584</v>
      </c>
      <c r="T7114" s="9" t="s">
        <v>52</v>
      </c>
      <c r="U7114" s="7">
        <v>0.74</v>
      </c>
      <c r="V7114" s="12">
        <f>C7114+4</f>
        <v>39876</v>
      </c>
      <c r="W7114">
        <f>IF(D7114=' Pivot Tables'!$A$4,1,0)</f>
        <v>0</v>
      </c>
      <c r="X7114">
        <f>IF(AND(LEFT(D7114,4)+1=LEFT(' Pivot Tables'!$A$4,4)+0,RIGHT(LEFT(D7114,7),2)=RIGHT(LEFT(' Pivot Tables'!$A$4,7),2)),1,0)</f>
        <v>0</v>
      </c>
      <c r="Y7114" s="6">
        <f>1/COUNTIF(Таблица1[Order ID],Таблица1[[#This Row],[Order ID]])</f>
        <v>0.33333333333333331</v>
      </c>
      <c r="Z7114" s="9">
        <f>1/COUNTIFS(Таблица1[Customer Name],Таблица1[[#This Row],[Customer Name]],Таблица1[Order-Year-Month],Таблица1[[#This Row],[Order-Year-Month]])</f>
        <v>0.33333333333333331</v>
      </c>
    </row>
    <row r="7115" spans="1:26" x14ac:dyDescent="0.2">
      <c r="A7115" s="6">
        <v>5908</v>
      </c>
      <c r="B7115" s="7">
        <v>41888</v>
      </c>
      <c r="C7115" s="8">
        <f>DATE(2012,12,31)-1402</f>
        <v>39872</v>
      </c>
      <c r="D7115" s="8" t="str">
        <f t="shared" si="133"/>
        <v>2009-02 (февраль 2009)</v>
      </c>
      <c r="E7115" s="9" t="s">
        <v>21</v>
      </c>
      <c r="F7115" s="7">
        <v>29</v>
      </c>
      <c r="G7115" s="7">
        <v>2823.0369999999998</v>
      </c>
      <c r="H7115" s="7">
        <v>0.1</v>
      </c>
      <c r="I7115" s="9" t="s">
        <v>22</v>
      </c>
      <c r="J7115" s="10">
        <v>372.40199999999999</v>
      </c>
      <c r="K7115" s="11">
        <v>125.99</v>
      </c>
      <c r="L7115" s="11">
        <v>4.2</v>
      </c>
      <c r="M7115" s="9" t="s">
        <v>2042</v>
      </c>
      <c r="N7115" s="6" t="s">
        <v>703</v>
      </c>
      <c r="O7115" s="6" t="s">
        <v>704</v>
      </c>
      <c r="P7115" s="9" t="s">
        <v>41</v>
      </c>
      <c r="Q7115" s="9" t="s">
        <v>42</v>
      </c>
      <c r="R7115" s="9" t="s">
        <v>43</v>
      </c>
      <c r="S7115" s="7" t="s">
        <v>1579</v>
      </c>
      <c r="T7115" s="9" t="s">
        <v>39</v>
      </c>
      <c r="U7115" s="7">
        <v>0.59</v>
      </c>
      <c r="V7115" s="12">
        <f>C7115+0</f>
        <v>39872</v>
      </c>
      <c r="W7115">
        <f>IF(D7115=' Pivot Tables'!$A$4,1,0)</f>
        <v>0</v>
      </c>
      <c r="X7115">
        <f>IF(AND(LEFT(D7115,4)+1=LEFT(' Pivot Tables'!$A$4,4)+0,RIGHT(LEFT(D7115,7),2)=RIGHT(LEFT(' Pivot Tables'!$A$4,7),2)),1,0)</f>
        <v>0</v>
      </c>
      <c r="Y7115" s="6">
        <f>1/COUNTIF(Таблица1[Order ID],Таблица1[[#This Row],[Order ID]])</f>
        <v>0.33333333333333331</v>
      </c>
      <c r="Z7115" s="9">
        <f>1/COUNTIFS(Таблица1[Customer Name],Таблица1[[#This Row],[Customer Name]],Таблица1[Order-Year-Month],Таблица1[[#This Row],[Order-Year-Month]])</f>
        <v>0.33333333333333331</v>
      </c>
    </row>
    <row r="7116" spans="1:26" x14ac:dyDescent="0.2">
      <c r="A7116" s="6">
        <v>5927</v>
      </c>
      <c r="B7116" s="7">
        <v>42054</v>
      </c>
      <c r="C7116" s="8">
        <f>DATE(2012,12,31)-108</f>
        <v>41166</v>
      </c>
      <c r="D7116" s="8" t="str">
        <f t="shared" si="133"/>
        <v>2012-09 (сентябрь 2012)</v>
      </c>
      <c r="E7116" s="9" t="s">
        <v>63</v>
      </c>
      <c r="F7116" s="7">
        <v>32</v>
      </c>
      <c r="G7116" s="7">
        <v>94.55</v>
      </c>
      <c r="H7116" s="7">
        <v>0.01</v>
      </c>
      <c r="I7116" s="9" t="s">
        <v>22</v>
      </c>
      <c r="J7116" s="10">
        <v>6.7404999999999999</v>
      </c>
      <c r="K7116" s="11">
        <v>2.88</v>
      </c>
      <c r="L7116" s="11">
        <v>1.49</v>
      </c>
      <c r="M7116" s="9" t="s">
        <v>1290</v>
      </c>
      <c r="N7116" s="6" t="s">
        <v>703</v>
      </c>
      <c r="O7116" s="6" t="s">
        <v>704</v>
      </c>
      <c r="P7116" s="9" t="s">
        <v>33</v>
      </c>
      <c r="Q7116" s="9" t="s">
        <v>26</v>
      </c>
      <c r="R7116" s="9" t="s">
        <v>37</v>
      </c>
      <c r="S7116" s="7" t="s">
        <v>782</v>
      </c>
      <c r="T7116" s="9" t="s">
        <v>39</v>
      </c>
      <c r="U7116" s="7">
        <v>0.36</v>
      </c>
      <c r="V7116" s="12">
        <f>C7116+2</f>
        <v>41168</v>
      </c>
      <c r="W7116">
        <f>IF(D7116=' Pivot Tables'!$A$4,1,0)</f>
        <v>0</v>
      </c>
      <c r="X7116">
        <f>IF(AND(LEFT(D7116,4)+1=LEFT(' Pivot Tables'!$A$4,4)+0,RIGHT(LEFT(D7116,7),2)=RIGHT(LEFT(' Pivot Tables'!$A$4,7),2)),1,0)</f>
        <v>0</v>
      </c>
      <c r="Y7116" s="6">
        <f>1/COUNTIF(Таблица1[Order ID],Таблица1[[#This Row],[Order ID]])</f>
        <v>1</v>
      </c>
      <c r="Z7116" s="9">
        <f>1/COUNTIFS(Таблица1[Customer Name],Таблица1[[#This Row],[Customer Name]],Таблица1[Order-Year-Month],Таблица1[[#This Row],[Order-Year-Month]])</f>
        <v>1</v>
      </c>
    </row>
    <row r="7117" spans="1:26" x14ac:dyDescent="0.2">
      <c r="A7117" s="6">
        <v>5940</v>
      </c>
      <c r="B7117" s="7">
        <v>42148</v>
      </c>
      <c r="C7117" s="8">
        <f>DATE(2012,12,31)-438</f>
        <v>40836</v>
      </c>
      <c r="D7117" s="8" t="str">
        <f t="shared" si="133"/>
        <v>2011-10 (октябрь 2011)</v>
      </c>
      <c r="E7117" s="9" t="s">
        <v>78</v>
      </c>
      <c r="F7117" s="7">
        <v>11</v>
      </c>
      <c r="G7117" s="7">
        <v>45.31</v>
      </c>
      <c r="H7117" s="7">
        <v>7.0000000000000007E-2</v>
      </c>
      <c r="I7117" s="9" t="s">
        <v>22</v>
      </c>
      <c r="J7117" s="10">
        <v>-10.64</v>
      </c>
      <c r="K7117" s="11">
        <v>3.98</v>
      </c>
      <c r="L7117" s="11">
        <v>2.97</v>
      </c>
      <c r="M7117" s="9" t="s">
        <v>2039</v>
      </c>
      <c r="N7117" s="6" t="s">
        <v>703</v>
      </c>
      <c r="O7117" s="6" t="s">
        <v>704</v>
      </c>
      <c r="P7117" s="9" t="s">
        <v>41</v>
      </c>
      <c r="Q7117" s="9" t="s">
        <v>26</v>
      </c>
      <c r="R7117" s="9" t="s">
        <v>61</v>
      </c>
      <c r="S7117" s="7" t="s">
        <v>134</v>
      </c>
      <c r="T7117" s="9" t="s">
        <v>68</v>
      </c>
      <c r="U7117" s="7">
        <v>0.35</v>
      </c>
      <c r="V7117" s="12">
        <f>C7117+3</f>
        <v>40839</v>
      </c>
      <c r="W7117">
        <f>IF(D7117=' Pivot Tables'!$A$4,1,0)</f>
        <v>0</v>
      </c>
      <c r="X7117">
        <f>IF(AND(LEFT(D7117,4)+1=LEFT(' Pivot Tables'!$A$4,4)+0,RIGHT(LEFT(D7117,7),2)=RIGHT(LEFT(' Pivot Tables'!$A$4,7),2)),1,0)</f>
        <v>0</v>
      </c>
      <c r="Y7117" s="6">
        <f>1/COUNTIF(Таблица1[Order ID],Таблица1[[#This Row],[Order ID]])</f>
        <v>1</v>
      </c>
      <c r="Z7117" s="9">
        <f>1/COUNTIFS(Таблица1[Customer Name],Таблица1[[#This Row],[Customer Name]],Таблица1[Order-Year-Month],Таблица1[[#This Row],[Order-Year-Month]])</f>
        <v>1</v>
      </c>
    </row>
    <row r="7118" spans="1:26" x14ac:dyDescent="0.2">
      <c r="A7118" s="6">
        <v>5959</v>
      </c>
      <c r="B7118" s="7">
        <v>42306</v>
      </c>
      <c r="C7118" s="8">
        <f>DATE(2012,12,31)-108</f>
        <v>41166</v>
      </c>
      <c r="D7118" s="8" t="str">
        <f t="shared" si="133"/>
        <v>2012-09 (сентябрь 2012)</v>
      </c>
      <c r="E7118" s="9" t="s">
        <v>30</v>
      </c>
      <c r="F7118" s="7">
        <v>4</v>
      </c>
      <c r="G7118" s="7">
        <v>36.46</v>
      </c>
      <c r="H7118" s="7">
        <v>0.1</v>
      </c>
      <c r="I7118" s="9" t="s">
        <v>22</v>
      </c>
      <c r="J7118" s="10">
        <v>-7.4060000000000006</v>
      </c>
      <c r="K7118" s="11">
        <v>8.69</v>
      </c>
      <c r="L7118" s="11">
        <v>2.99</v>
      </c>
      <c r="M7118" s="9" t="s">
        <v>1498</v>
      </c>
      <c r="N7118" s="6" t="s">
        <v>703</v>
      </c>
      <c r="O7118" s="6" t="s">
        <v>704</v>
      </c>
      <c r="P7118" s="9" t="s">
        <v>33</v>
      </c>
      <c r="Q7118" s="9" t="s">
        <v>26</v>
      </c>
      <c r="R7118" s="9" t="s">
        <v>37</v>
      </c>
      <c r="S7118" s="7" t="s">
        <v>38</v>
      </c>
      <c r="T7118" s="9" t="s">
        <v>39</v>
      </c>
      <c r="U7118" s="7">
        <v>0.39</v>
      </c>
      <c r="V7118" s="12">
        <f>C7118+2</f>
        <v>41168</v>
      </c>
      <c r="W7118">
        <f>IF(D7118=' Pivot Tables'!$A$4,1,0)</f>
        <v>0</v>
      </c>
      <c r="X7118">
        <f>IF(AND(LEFT(D7118,4)+1=LEFT(' Pivot Tables'!$A$4,4)+0,RIGHT(LEFT(D7118,7),2)=RIGHT(LEFT(' Pivot Tables'!$A$4,7),2)),1,0)</f>
        <v>0</v>
      </c>
      <c r="Y7118" s="6">
        <f>1/COUNTIF(Таблица1[Order ID],Таблица1[[#This Row],[Order ID]])</f>
        <v>0.33333333333333331</v>
      </c>
      <c r="Z7118" s="9">
        <f>1/COUNTIFS(Таблица1[Customer Name],Таблица1[[#This Row],[Customer Name]],Таблица1[Order-Year-Month],Таблица1[[#This Row],[Order-Year-Month]])</f>
        <v>0.33333333333333331</v>
      </c>
    </row>
    <row r="7119" spans="1:26" x14ac:dyDescent="0.2">
      <c r="A7119" s="6">
        <v>5967</v>
      </c>
      <c r="B7119" s="7">
        <v>42338</v>
      </c>
      <c r="C7119" s="8">
        <f>DATE(2012,12,31)-1155</f>
        <v>40119</v>
      </c>
      <c r="D7119" s="8" t="str">
        <f t="shared" si="133"/>
        <v>2009-11 (ноябрь 2009)</v>
      </c>
      <c r="E7119" s="9" t="s">
        <v>45</v>
      </c>
      <c r="F7119" s="7">
        <v>14</v>
      </c>
      <c r="G7119" s="7">
        <v>63.91</v>
      </c>
      <c r="H7119" s="7">
        <v>0.04</v>
      </c>
      <c r="I7119" s="9" t="s">
        <v>22</v>
      </c>
      <c r="J7119" s="10">
        <v>-44.47</v>
      </c>
      <c r="K7119" s="11">
        <v>4.1399999999999997</v>
      </c>
      <c r="L7119" s="11">
        <v>6.6</v>
      </c>
      <c r="M7119" s="9" t="s">
        <v>2027</v>
      </c>
      <c r="N7119" s="6" t="s">
        <v>703</v>
      </c>
      <c r="O7119" s="6" t="s">
        <v>704</v>
      </c>
      <c r="P7119" s="9" t="s">
        <v>41</v>
      </c>
      <c r="Q7119" s="9" t="s">
        <v>49</v>
      </c>
      <c r="R7119" s="9" t="s">
        <v>50</v>
      </c>
      <c r="S7119" s="7" t="s">
        <v>524</v>
      </c>
      <c r="T7119" s="9" t="s">
        <v>39</v>
      </c>
      <c r="U7119" s="7">
        <v>0.49</v>
      </c>
      <c r="V7119" s="12">
        <f>C7119+2</f>
        <v>40121</v>
      </c>
      <c r="W7119">
        <f>IF(D7119=' Pivot Tables'!$A$4,1,0)</f>
        <v>0</v>
      </c>
      <c r="X7119">
        <f>IF(AND(LEFT(D7119,4)+1=LEFT(' Pivot Tables'!$A$4,4)+0,RIGHT(LEFT(D7119,7),2)=RIGHT(LEFT(' Pivot Tables'!$A$4,7),2)),1,0)</f>
        <v>0</v>
      </c>
      <c r="Y7119" s="6">
        <f>1/COUNTIF(Таблица1[Order ID],Таблица1[[#This Row],[Order ID]])</f>
        <v>0.5</v>
      </c>
      <c r="Z7119" s="9">
        <f>1/COUNTIFS(Таблица1[Customer Name],Таблица1[[#This Row],[Customer Name]],Таблица1[Order-Year-Month],Таблица1[[#This Row],[Order-Year-Month]])</f>
        <v>0.5</v>
      </c>
    </row>
    <row r="7120" spans="1:26" x14ac:dyDescent="0.2">
      <c r="A7120" s="6">
        <v>5968</v>
      </c>
      <c r="B7120" s="7">
        <v>42338</v>
      </c>
      <c r="C7120" s="8">
        <f>DATE(2012,12,31)-1155</f>
        <v>40119</v>
      </c>
      <c r="D7120" s="8" t="str">
        <f t="shared" si="133"/>
        <v>2009-11 (ноябрь 2009)</v>
      </c>
      <c r="E7120" s="9" t="s">
        <v>45</v>
      </c>
      <c r="F7120" s="7">
        <v>32</v>
      </c>
      <c r="G7120" s="7">
        <v>1909.0064999999997</v>
      </c>
      <c r="H7120" s="7">
        <v>0.01</v>
      </c>
      <c r="I7120" s="9" t="s">
        <v>22</v>
      </c>
      <c r="J7120" s="10">
        <v>344.13299999999998</v>
      </c>
      <c r="K7120" s="11">
        <v>65.989999999999995</v>
      </c>
      <c r="L7120" s="11">
        <v>8.99</v>
      </c>
      <c r="M7120" s="9" t="s">
        <v>2027</v>
      </c>
      <c r="N7120" s="6" t="s">
        <v>703</v>
      </c>
      <c r="O7120" s="6" t="s">
        <v>704</v>
      </c>
      <c r="P7120" s="9" t="s">
        <v>41</v>
      </c>
      <c r="Q7120" s="9" t="s">
        <v>42</v>
      </c>
      <c r="R7120" s="9" t="s">
        <v>43</v>
      </c>
      <c r="S7120" s="7" t="s">
        <v>1599</v>
      </c>
      <c r="T7120" s="9" t="s">
        <v>39</v>
      </c>
      <c r="U7120" s="7">
        <v>0.59</v>
      </c>
      <c r="V7120" s="12">
        <f>C7120+2</f>
        <v>40121</v>
      </c>
      <c r="W7120">
        <f>IF(D7120=' Pivot Tables'!$A$4,1,0)</f>
        <v>0</v>
      </c>
      <c r="X7120">
        <f>IF(AND(LEFT(D7120,4)+1=LEFT(' Pivot Tables'!$A$4,4)+0,RIGHT(LEFT(D7120,7),2)=RIGHT(LEFT(' Pivot Tables'!$A$4,7),2)),1,0)</f>
        <v>0</v>
      </c>
      <c r="Y7120" s="6">
        <f>1/COUNTIF(Таблица1[Order ID],Таблица1[[#This Row],[Order ID]])</f>
        <v>0.5</v>
      </c>
      <c r="Z7120" s="9">
        <f>1/COUNTIFS(Таблица1[Customer Name],Таблица1[[#This Row],[Customer Name]],Таблица1[Order-Year-Month],Таблица1[[#This Row],[Order-Year-Month]])</f>
        <v>0.5</v>
      </c>
    </row>
    <row r="7121" spans="1:26" x14ac:dyDescent="0.2">
      <c r="A7121" s="6">
        <v>5972</v>
      </c>
      <c r="B7121" s="7">
        <v>42343</v>
      </c>
      <c r="C7121" s="8">
        <f>DATE(2012,12,31)-1235</f>
        <v>40039</v>
      </c>
      <c r="D7121" s="8" t="str">
        <f t="shared" si="133"/>
        <v>2009-08 (август 2009)</v>
      </c>
      <c r="E7121" s="9" t="s">
        <v>78</v>
      </c>
      <c r="F7121" s="7">
        <v>46</v>
      </c>
      <c r="G7121" s="7">
        <v>3412.08</v>
      </c>
      <c r="H7121" s="7">
        <v>0.04</v>
      </c>
      <c r="I7121" s="9" t="s">
        <v>31</v>
      </c>
      <c r="J7121" s="10">
        <v>239.23</v>
      </c>
      <c r="K7121" s="11">
        <v>70.98</v>
      </c>
      <c r="L7121" s="11">
        <v>26.85</v>
      </c>
      <c r="M7121" s="9" t="s">
        <v>1529</v>
      </c>
      <c r="N7121" s="6" t="s">
        <v>703</v>
      </c>
      <c r="O7121" s="6" t="s">
        <v>704</v>
      </c>
      <c r="P7121" s="9" t="s">
        <v>41</v>
      </c>
      <c r="Q7121" s="9" t="s">
        <v>49</v>
      </c>
      <c r="R7121" s="9" t="s">
        <v>80</v>
      </c>
      <c r="S7121" s="7" t="s">
        <v>1642</v>
      </c>
      <c r="T7121" s="9" t="s">
        <v>82</v>
      </c>
      <c r="U7121" s="7"/>
      <c r="V7121" s="12">
        <f>C7121+2</f>
        <v>40041</v>
      </c>
      <c r="W7121">
        <f>IF(D7121=' Pivot Tables'!$A$4,1,0)</f>
        <v>0</v>
      </c>
      <c r="X7121">
        <f>IF(AND(LEFT(D7121,4)+1=LEFT(' Pivot Tables'!$A$4,4)+0,RIGHT(LEFT(D7121,7),2)=RIGHT(LEFT(' Pivot Tables'!$A$4,7),2)),1,0)</f>
        <v>0</v>
      </c>
      <c r="Y7121" s="6">
        <f>1/COUNTIF(Таблица1[Order ID],Таблица1[[#This Row],[Order ID]])</f>
        <v>0.5</v>
      </c>
      <c r="Z7121" s="9">
        <f>1/COUNTIFS(Таблица1[Customer Name],Таблица1[[#This Row],[Customer Name]],Таблица1[Order-Year-Month],Таблица1[[#This Row],[Order-Year-Month]])</f>
        <v>0.5</v>
      </c>
    </row>
    <row r="7122" spans="1:26" x14ac:dyDescent="0.2">
      <c r="A7122" s="6">
        <v>5973</v>
      </c>
      <c r="B7122" s="7">
        <v>42343</v>
      </c>
      <c r="C7122" s="8">
        <f>DATE(2012,12,31)-1235</f>
        <v>40039</v>
      </c>
      <c r="D7122" s="8" t="str">
        <f t="shared" si="133"/>
        <v>2009-08 (август 2009)</v>
      </c>
      <c r="E7122" s="9" t="s">
        <v>78</v>
      </c>
      <c r="F7122" s="7">
        <v>31</v>
      </c>
      <c r="G7122" s="7">
        <v>1311.68</v>
      </c>
      <c r="H7122" s="7">
        <v>0.03</v>
      </c>
      <c r="I7122" s="9" t="s">
        <v>22</v>
      </c>
      <c r="J7122" s="10">
        <v>230.37</v>
      </c>
      <c r="K7122" s="11">
        <v>40.99</v>
      </c>
      <c r="L7122" s="11">
        <v>17.48</v>
      </c>
      <c r="M7122" s="9" t="s">
        <v>1529</v>
      </c>
      <c r="N7122" s="6" t="s">
        <v>703</v>
      </c>
      <c r="O7122" s="6" t="s">
        <v>704</v>
      </c>
      <c r="P7122" s="9" t="s">
        <v>41</v>
      </c>
      <c r="Q7122" s="9" t="s">
        <v>26</v>
      </c>
      <c r="R7122" s="9" t="s">
        <v>61</v>
      </c>
      <c r="S7122" s="7" t="s">
        <v>236</v>
      </c>
      <c r="T7122" s="9" t="s">
        <v>39</v>
      </c>
      <c r="U7122" s="7">
        <v>0.36</v>
      </c>
      <c r="V7122" s="12">
        <f>C7122+1</f>
        <v>40040</v>
      </c>
      <c r="W7122">
        <f>IF(D7122=' Pivot Tables'!$A$4,1,0)</f>
        <v>0</v>
      </c>
      <c r="X7122">
        <f>IF(AND(LEFT(D7122,4)+1=LEFT(' Pivot Tables'!$A$4,4)+0,RIGHT(LEFT(D7122,7),2)=RIGHT(LEFT(' Pivot Tables'!$A$4,7),2)),1,0)</f>
        <v>0</v>
      </c>
      <c r="Y7122" s="6">
        <f>1/COUNTIF(Таблица1[Order ID],Таблица1[[#This Row],[Order ID]])</f>
        <v>0.5</v>
      </c>
      <c r="Z7122" s="9">
        <f>1/COUNTIFS(Таблица1[Customer Name],Таблица1[[#This Row],[Customer Name]],Таблица1[Order-Year-Month],Таблица1[[#This Row],[Order-Year-Month]])</f>
        <v>0.5</v>
      </c>
    </row>
    <row r="7123" spans="1:26" x14ac:dyDescent="0.2">
      <c r="A7123" s="6">
        <v>5991</v>
      </c>
      <c r="B7123" s="7">
        <v>42467</v>
      </c>
      <c r="C7123" s="8">
        <f>DATE(2012,12,31)-809</f>
        <v>40465</v>
      </c>
      <c r="D7123" s="8" t="str">
        <f t="shared" si="133"/>
        <v>2010-10 (октябрь 2010)</v>
      </c>
      <c r="E7123" s="9" t="s">
        <v>30</v>
      </c>
      <c r="F7123" s="7">
        <v>10</v>
      </c>
      <c r="G7123" s="7">
        <v>238.88</v>
      </c>
      <c r="H7123" s="7">
        <v>0.01</v>
      </c>
      <c r="I7123" s="9" t="s">
        <v>22</v>
      </c>
      <c r="J7123" s="10">
        <v>-48.207999999999998</v>
      </c>
      <c r="K7123" s="11">
        <v>22.38</v>
      </c>
      <c r="L7123" s="11">
        <v>15.1</v>
      </c>
      <c r="M7123" s="9" t="s">
        <v>1566</v>
      </c>
      <c r="N7123" s="6" t="s">
        <v>703</v>
      </c>
      <c r="O7123" s="6" t="s">
        <v>704</v>
      </c>
      <c r="P7123" s="9" t="s">
        <v>60</v>
      </c>
      <c r="Q7123" s="9" t="s">
        <v>26</v>
      </c>
      <c r="R7123" s="9" t="s">
        <v>37</v>
      </c>
      <c r="S7123" s="7" t="s">
        <v>415</v>
      </c>
      <c r="T7123" s="9" t="s">
        <v>39</v>
      </c>
      <c r="U7123" s="7">
        <v>0.38</v>
      </c>
      <c r="V7123" s="12">
        <f>C7123+0</f>
        <v>40465</v>
      </c>
      <c r="W7123">
        <f>IF(D7123=' Pivot Tables'!$A$4,1,0)</f>
        <v>0</v>
      </c>
      <c r="X7123">
        <f>IF(AND(LEFT(D7123,4)+1=LEFT(' Pivot Tables'!$A$4,4)+0,RIGHT(LEFT(D7123,7),2)=RIGHT(LEFT(' Pivot Tables'!$A$4,7),2)),1,0)</f>
        <v>0</v>
      </c>
      <c r="Y7123" s="6">
        <f>1/COUNTIF(Таблица1[Order ID],Таблица1[[#This Row],[Order ID]])</f>
        <v>0.33333333333333331</v>
      </c>
      <c r="Z7123" s="9">
        <f>1/COUNTIFS(Таблица1[Customer Name],Таблица1[[#This Row],[Customer Name]],Таблица1[Order-Year-Month],Таблица1[[#This Row],[Order-Year-Month]])</f>
        <v>0.33333333333333331</v>
      </c>
    </row>
    <row r="7124" spans="1:26" x14ac:dyDescent="0.2">
      <c r="A7124" s="6">
        <v>5992</v>
      </c>
      <c r="B7124" s="7">
        <v>42467</v>
      </c>
      <c r="C7124" s="8">
        <f>DATE(2012,12,31)-809</f>
        <v>40465</v>
      </c>
      <c r="D7124" s="8" t="str">
        <f t="shared" si="133"/>
        <v>2010-10 (октябрь 2010)</v>
      </c>
      <c r="E7124" s="9" t="s">
        <v>30</v>
      </c>
      <c r="F7124" s="7">
        <v>39</v>
      </c>
      <c r="G7124" s="7">
        <v>1235.29</v>
      </c>
      <c r="H7124" s="7">
        <v>0</v>
      </c>
      <c r="I7124" s="9" t="s">
        <v>56</v>
      </c>
      <c r="J7124" s="10">
        <v>53.63</v>
      </c>
      <c r="K7124" s="11">
        <v>30.98</v>
      </c>
      <c r="L7124" s="11">
        <v>6.5</v>
      </c>
      <c r="M7124" s="9" t="s">
        <v>1566</v>
      </c>
      <c r="N7124" s="6" t="s">
        <v>703</v>
      </c>
      <c r="O7124" s="6" t="s">
        <v>704</v>
      </c>
      <c r="P7124" s="9" t="s">
        <v>60</v>
      </c>
      <c r="Q7124" s="9" t="s">
        <v>42</v>
      </c>
      <c r="R7124" s="9" t="s">
        <v>70</v>
      </c>
      <c r="S7124" s="7" t="s">
        <v>601</v>
      </c>
      <c r="T7124" s="9" t="s">
        <v>39</v>
      </c>
      <c r="U7124" s="7">
        <v>0.64</v>
      </c>
      <c r="V7124" s="12">
        <f>C7124+2</f>
        <v>40467</v>
      </c>
      <c r="W7124">
        <f>IF(D7124=' Pivot Tables'!$A$4,1,0)</f>
        <v>0</v>
      </c>
      <c r="X7124">
        <f>IF(AND(LEFT(D7124,4)+1=LEFT(' Pivot Tables'!$A$4,4)+0,RIGHT(LEFT(D7124,7),2)=RIGHT(LEFT(' Pivot Tables'!$A$4,7),2)),1,0)</f>
        <v>0</v>
      </c>
      <c r="Y7124" s="6">
        <f>1/COUNTIF(Таблица1[Order ID],Таблица1[[#This Row],[Order ID]])</f>
        <v>0.33333333333333331</v>
      </c>
      <c r="Z7124" s="9">
        <f>1/COUNTIFS(Таблица1[Customer Name],Таблица1[[#This Row],[Customer Name]],Таблица1[Order-Year-Month],Таблица1[[#This Row],[Order-Year-Month]])</f>
        <v>0.33333333333333331</v>
      </c>
    </row>
    <row r="7125" spans="1:26" x14ac:dyDescent="0.2">
      <c r="A7125" s="6">
        <v>5993</v>
      </c>
      <c r="B7125" s="7">
        <v>42467</v>
      </c>
      <c r="C7125" s="8">
        <f>DATE(2012,12,31)-809</f>
        <v>40465</v>
      </c>
      <c r="D7125" s="8" t="str">
        <f t="shared" si="133"/>
        <v>2010-10 (октябрь 2010)</v>
      </c>
      <c r="E7125" s="9" t="s">
        <v>30</v>
      </c>
      <c r="F7125" s="7">
        <v>12</v>
      </c>
      <c r="G7125" s="7">
        <v>1928.3269999999998</v>
      </c>
      <c r="H7125" s="7">
        <v>0.09</v>
      </c>
      <c r="I7125" s="9" t="s">
        <v>22</v>
      </c>
      <c r="J7125" s="10">
        <v>-253.374</v>
      </c>
      <c r="K7125" s="11">
        <v>195.99</v>
      </c>
      <c r="L7125" s="11">
        <v>8.99</v>
      </c>
      <c r="M7125" s="9" t="s">
        <v>1566</v>
      </c>
      <c r="N7125" s="6" t="s">
        <v>703</v>
      </c>
      <c r="O7125" s="6" t="s">
        <v>704</v>
      </c>
      <c r="P7125" s="9" t="s">
        <v>60</v>
      </c>
      <c r="Q7125" s="9" t="s">
        <v>42</v>
      </c>
      <c r="R7125" s="9" t="s">
        <v>43</v>
      </c>
      <c r="S7125" s="7" t="s">
        <v>670</v>
      </c>
      <c r="T7125" s="9" t="s">
        <v>39</v>
      </c>
      <c r="U7125" s="7">
        <v>0.6</v>
      </c>
      <c r="V7125" s="12">
        <f>C7125+2</f>
        <v>40467</v>
      </c>
      <c r="W7125">
        <f>IF(D7125=' Pivot Tables'!$A$4,1,0)</f>
        <v>0</v>
      </c>
      <c r="X7125">
        <f>IF(AND(LEFT(D7125,4)+1=LEFT(' Pivot Tables'!$A$4,4)+0,RIGHT(LEFT(D7125,7),2)=RIGHT(LEFT(' Pivot Tables'!$A$4,7),2)),1,0)</f>
        <v>0</v>
      </c>
      <c r="Y7125" s="6">
        <f>1/COUNTIF(Таблица1[Order ID],Таблица1[[#This Row],[Order ID]])</f>
        <v>0.33333333333333331</v>
      </c>
      <c r="Z7125" s="9">
        <f>1/COUNTIFS(Таблица1[Customer Name],Таблица1[[#This Row],[Customer Name]],Таблица1[Order-Year-Month],Таблица1[[#This Row],[Order-Year-Month]])</f>
        <v>0.33333333333333331</v>
      </c>
    </row>
    <row r="7126" spans="1:26" x14ac:dyDescent="0.2">
      <c r="A7126" s="6">
        <v>6005</v>
      </c>
      <c r="B7126" s="7">
        <v>42529</v>
      </c>
      <c r="C7126" s="8">
        <f>DATE(2012,12,31)-813</f>
        <v>40461</v>
      </c>
      <c r="D7126" s="8" t="str">
        <f t="shared" si="133"/>
        <v>2010-10 (октябрь 2010)</v>
      </c>
      <c r="E7126" s="9" t="s">
        <v>21</v>
      </c>
      <c r="F7126" s="7">
        <v>8</v>
      </c>
      <c r="G7126" s="7">
        <v>57.15</v>
      </c>
      <c r="H7126" s="7">
        <v>0.03</v>
      </c>
      <c r="I7126" s="9" t="s">
        <v>22</v>
      </c>
      <c r="J7126" s="10">
        <v>-33.950000000000003</v>
      </c>
      <c r="K7126" s="11">
        <v>5.98</v>
      </c>
      <c r="L7126" s="11">
        <v>7.5</v>
      </c>
      <c r="M7126" s="9" t="s">
        <v>1560</v>
      </c>
      <c r="N7126" s="6" t="s">
        <v>703</v>
      </c>
      <c r="O7126" s="6" t="s">
        <v>704</v>
      </c>
      <c r="P7126" s="9" t="s">
        <v>25</v>
      </c>
      <c r="Q7126" s="9" t="s">
        <v>26</v>
      </c>
      <c r="R7126" s="9" t="s">
        <v>61</v>
      </c>
      <c r="S7126" s="7" t="s">
        <v>579</v>
      </c>
      <c r="T7126" s="9" t="s">
        <v>39</v>
      </c>
      <c r="U7126" s="7">
        <v>0.4</v>
      </c>
      <c r="V7126" s="12">
        <f>C7126+5</f>
        <v>40466</v>
      </c>
      <c r="W7126">
        <f>IF(D7126=' Pivot Tables'!$A$4,1,0)</f>
        <v>0</v>
      </c>
      <c r="X7126">
        <f>IF(AND(LEFT(D7126,4)+1=LEFT(' Pivot Tables'!$A$4,4)+0,RIGHT(LEFT(D7126,7),2)=RIGHT(LEFT(' Pivot Tables'!$A$4,7),2)),1,0)</f>
        <v>0</v>
      </c>
      <c r="Y7126" s="6">
        <f>1/COUNTIF(Таблица1[Order ID],Таблица1[[#This Row],[Order ID]])</f>
        <v>0.33333333333333331</v>
      </c>
      <c r="Z7126" s="9">
        <f>1/COUNTIFS(Таблица1[Customer Name],Таблица1[[#This Row],[Customer Name]],Таблица1[Order-Year-Month],Таблица1[[#This Row],[Order-Year-Month]])</f>
        <v>0.33333333333333331</v>
      </c>
    </row>
    <row r="7127" spans="1:26" x14ac:dyDescent="0.2">
      <c r="A7127" s="6">
        <v>6008</v>
      </c>
      <c r="B7127" s="7">
        <v>42563</v>
      </c>
      <c r="C7127" s="8">
        <f>DATE(2012,12,31)-872</f>
        <v>40402</v>
      </c>
      <c r="D7127" s="8" t="str">
        <f t="shared" si="133"/>
        <v>2010-08 (август 2010)</v>
      </c>
      <c r="E7127" s="9" t="s">
        <v>63</v>
      </c>
      <c r="F7127" s="7">
        <v>7</v>
      </c>
      <c r="G7127" s="7">
        <v>44.25</v>
      </c>
      <c r="H7127" s="7">
        <v>7.0000000000000007E-2</v>
      </c>
      <c r="I7127" s="9" t="s">
        <v>56</v>
      </c>
      <c r="J7127" s="10">
        <v>-14.3635</v>
      </c>
      <c r="K7127" s="11">
        <v>4.24</v>
      </c>
      <c r="L7127" s="11">
        <v>5.41</v>
      </c>
      <c r="M7127" s="9" t="s">
        <v>2039</v>
      </c>
      <c r="N7127" s="6" t="s">
        <v>703</v>
      </c>
      <c r="O7127" s="6" t="s">
        <v>704</v>
      </c>
      <c r="P7127" s="9" t="s">
        <v>41</v>
      </c>
      <c r="Q7127" s="9" t="s">
        <v>26</v>
      </c>
      <c r="R7127" s="9" t="s">
        <v>37</v>
      </c>
      <c r="S7127" s="7" t="s">
        <v>873</v>
      </c>
      <c r="T7127" s="9" t="s">
        <v>39</v>
      </c>
      <c r="U7127" s="7">
        <v>0.35</v>
      </c>
      <c r="V7127" s="12">
        <f>C7127+0</f>
        <v>40402</v>
      </c>
      <c r="W7127">
        <f>IF(D7127=' Pivot Tables'!$A$4,1,0)</f>
        <v>0</v>
      </c>
      <c r="X7127">
        <f>IF(AND(LEFT(D7127,4)+1=LEFT(' Pivot Tables'!$A$4,4)+0,RIGHT(LEFT(D7127,7),2)=RIGHT(LEFT(' Pivot Tables'!$A$4,7),2)),1,0)</f>
        <v>0</v>
      </c>
      <c r="Y7127" s="6">
        <f>1/COUNTIF(Таблица1[Order ID],Таблица1[[#This Row],[Order ID]])</f>
        <v>1</v>
      </c>
      <c r="Z7127" s="9">
        <f>1/COUNTIFS(Таблица1[Customer Name],Таблица1[[#This Row],[Customer Name]],Таблица1[Order-Year-Month],Таблица1[[#This Row],[Order-Year-Month]])</f>
        <v>1</v>
      </c>
    </row>
    <row r="7128" spans="1:26" x14ac:dyDescent="0.2">
      <c r="A7128" s="6">
        <v>6011</v>
      </c>
      <c r="B7128" s="7">
        <v>42567</v>
      </c>
      <c r="C7128" s="8">
        <f>DATE(2012,12,31)-1085</f>
        <v>40189</v>
      </c>
      <c r="D7128" s="8" t="str">
        <f t="shared" si="133"/>
        <v>2010-01 (январь 2010)</v>
      </c>
      <c r="E7128" s="9" t="s">
        <v>78</v>
      </c>
      <c r="F7128" s="7">
        <v>12</v>
      </c>
      <c r="G7128" s="7">
        <v>1940.32</v>
      </c>
      <c r="H7128" s="7">
        <v>0</v>
      </c>
      <c r="I7128" s="9" t="s">
        <v>31</v>
      </c>
      <c r="J7128" s="10">
        <v>-18.809999999999999</v>
      </c>
      <c r="K7128" s="11">
        <v>146.34</v>
      </c>
      <c r="L7128" s="11">
        <v>43.75</v>
      </c>
      <c r="M7128" s="9" t="s">
        <v>1489</v>
      </c>
      <c r="N7128" s="6" t="s">
        <v>703</v>
      </c>
      <c r="O7128" s="6" t="s">
        <v>704</v>
      </c>
      <c r="P7128" s="9" t="s">
        <v>25</v>
      </c>
      <c r="Q7128" s="9" t="s">
        <v>49</v>
      </c>
      <c r="R7128" s="9" t="s">
        <v>83</v>
      </c>
      <c r="S7128" s="7" t="s">
        <v>204</v>
      </c>
      <c r="T7128" s="9" t="s">
        <v>82</v>
      </c>
      <c r="U7128" s="7">
        <v>0.65</v>
      </c>
      <c r="V7128" s="12">
        <f>C7128+2</f>
        <v>40191</v>
      </c>
      <c r="W7128">
        <f>IF(D7128=' Pivot Tables'!$A$4,1,0)</f>
        <v>1</v>
      </c>
      <c r="X7128">
        <f>IF(AND(LEFT(D7128,4)+1=LEFT(' Pivot Tables'!$A$4,4)+0,RIGHT(LEFT(D7128,7),2)=RIGHT(LEFT(' Pivot Tables'!$A$4,7),2)),1,0)</f>
        <v>0</v>
      </c>
      <c r="Y7128" s="6">
        <f>1/COUNTIF(Таблица1[Order ID],Таблица1[[#This Row],[Order ID]])</f>
        <v>1</v>
      </c>
      <c r="Z7128" s="9">
        <f>1/COUNTIFS(Таблица1[Customer Name],Таблица1[[#This Row],[Customer Name]],Таблица1[Order-Year-Month],Таблица1[[#This Row],[Order-Year-Month]])</f>
        <v>1</v>
      </c>
    </row>
    <row r="7129" spans="1:26" x14ac:dyDescent="0.2">
      <c r="A7129" s="6">
        <v>6024</v>
      </c>
      <c r="B7129" s="7">
        <v>42691</v>
      </c>
      <c r="C7129" s="8">
        <f>DATE(2012,12,31)-952</f>
        <v>40322</v>
      </c>
      <c r="D7129" s="8" t="str">
        <f t="shared" si="133"/>
        <v>2010-05 (май 2010)</v>
      </c>
      <c r="E7129" s="9" t="s">
        <v>21</v>
      </c>
      <c r="F7129" s="7">
        <v>50</v>
      </c>
      <c r="G7129" s="7">
        <v>2447.65</v>
      </c>
      <c r="H7129" s="7">
        <v>0</v>
      </c>
      <c r="I7129" s="9" t="s">
        <v>22</v>
      </c>
      <c r="J7129" s="10">
        <v>1170.3499999999999</v>
      </c>
      <c r="K7129" s="11">
        <v>46.94</v>
      </c>
      <c r="L7129" s="11">
        <v>6.77</v>
      </c>
      <c r="M7129" s="9" t="s">
        <v>1383</v>
      </c>
      <c r="N7129" s="6" t="s">
        <v>703</v>
      </c>
      <c r="O7129" s="6" t="s">
        <v>704</v>
      </c>
      <c r="P7129" s="9" t="s">
        <v>60</v>
      </c>
      <c r="Q7129" s="9" t="s">
        <v>49</v>
      </c>
      <c r="R7129" s="9" t="s">
        <v>50</v>
      </c>
      <c r="S7129" s="7" t="s">
        <v>1124</v>
      </c>
      <c r="T7129" s="9" t="s">
        <v>39</v>
      </c>
      <c r="U7129" s="7">
        <v>0.44</v>
      </c>
      <c r="V7129" s="12">
        <f>C7129+9</f>
        <v>40331</v>
      </c>
      <c r="W7129">
        <f>IF(D7129=' Pivot Tables'!$A$4,1,0)</f>
        <v>0</v>
      </c>
      <c r="X7129">
        <f>IF(AND(LEFT(D7129,4)+1=LEFT(' Pivot Tables'!$A$4,4)+0,RIGHT(LEFT(D7129,7),2)=RIGHT(LEFT(' Pivot Tables'!$A$4,7),2)),1,0)</f>
        <v>0</v>
      </c>
      <c r="Y7129" s="6">
        <f>1/COUNTIF(Таблица1[Order ID],Таблица1[[#This Row],[Order ID]])</f>
        <v>0.5</v>
      </c>
      <c r="Z7129" s="9">
        <f>1/COUNTIFS(Таблица1[Customer Name],Таблица1[[#This Row],[Customer Name]],Таблица1[Order-Year-Month],Таблица1[[#This Row],[Order-Year-Month]])</f>
        <v>0.5</v>
      </c>
    </row>
    <row r="7130" spans="1:26" x14ac:dyDescent="0.2">
      <c r="A7130" s="6">
        <v>6025</v>
      </c>
      <c r="B7130" s="7">
        <v>42691</v>
      </c>
      <c r="C7130" s="8">
        <f>DATE(2012,12,31)-952</f>
        <v>40322</v>
      </c>
      <c r="D7130" s="8" t="str">
        <f t="shared" si="133"/>
        <v>2010-05 (май 2010)</v>
      </c>
      <c r="E7130" s="9" t="s">
        <v>21</v>
      </c>
      <c r="F7130" s="7">
        <v>7</v>
      </c>
      <c r="G7130" s="7">
        <v>1069.6400000000001</v>
      </c>
      <c r="H7130" s="7">
        <v>0.09</v>
      </c>
      <c r="I7130" s="9" t="s">
        <v>22</v>
      </c>
      <c r="J7130" s="10">
        <v>-139.75</v>
      </c>
      <c r="K7130" s="11">
        <v>161.55000000000001</v>
      </c>
      <c r="L7130" s="11">
        <v>19.989999999999998</v>
      </c>
      <c r="M7130" s="9" t="s">
        <v>1383</v>
      </c>
      <c r="N7130" s="6" t="s">
        <v>703</v>
      </c>
      <c r="O7130" s="6" t="s">
        <v>704</v>
      </c>
      <c r="P7130" s="9" t="s">
        <v>60</v>
      </c>
      <c r="Q7130" s="9" t="s">
        <v>26</v>
      </c>
      <c r="R7130" s="9" t="s">
        <v>27</v>
      </c>
      <c r="S7130" s="7" t="s">
        <v>685</v>
      </c>
      <c r="T7130" s="9" t="s">
        <v>39</v>
      </c>
      <c r="U7130" s="7">
        <v>0.66</v>
      </c>
      <c r="V7130" s="12">
        <f>C7130+4</f>
        <v>40326</v>
      </c>
      <c r="W7130">
        <f>IF(D7130=' Pivot Tables'!$A$4,1,0)</f>
        <v>0</v>
      </c>
      <c r="X7130">
        <f>IF(AND(LEFT(D7130,4)+1=LEFT(' Pivot Tables'!$A$4,4)+0,RIGHT(LEFT(D7130,7),2)=RIGHT(LEFT(' Pivot Tables'!$A$4,7),2)),1,0)</f>
        <v>0</v>
      </c>
      <c r="Y7130" s="6">
        <f>1/COUNTIF(Таблица1[Order ID],Таблица1[[#This Row],[Order ID]])</f>
        <v>0.5</v>
      </c>
      <c r="Z7130" s="9">
        <f>1/COUNTIFS(Таблица1[Customer Name],Таблица1[[#This Row],[Customer Name]],Таблица1[Order-Year-Month],Таблица1[[#This Row],[Order-Year-Month]])</f>
        <v>0.5</v>
      </c>
    </row>
    <row r="7131" spans="1:26" x14ac:dyDescent="0.2">
      <c r="A7131" s="6">
        <v>6058</v>
      </c>
      <c r="B7131" s="7">
        <v>42919</v>
      </c>
      <c r="C7131" s="8">
        <f>DATE(2012,12,31)-452</f>
        <v>40822</v>
      </c>
      <c r="D7131" s="8" t="str">
        <f t="shared" si="133"/>
        <v>2011-10 (октябрь 2011)</v>
      </c>
      <c r="E7131" s="9" t="s">
        <v>63</v>
      </c>
      <c r="F7131" s="7">
        <v>7</v>
      </c>
      <c r="G7131" s="7">
        <v>1143.4285</v>
      </c>
      <c r="H7131" s="7">
        <v>0.04</v>
      </c>
      <c r="I7131" s="9" t="s">
        <v>56</v>
      </c>
      <c r="J7131" s="10">
        <v>-475.66200000000003</v>
      </c>
      <c r="K7131" s="11">
        <v>195.99</v>
      </c>
      <c r="L7131" s="11">
        <v>4.2</v>
      </c>
      <c r="M7131" s="9" t="s">
        <v>2045</v>
      </c>
      <c r="N7131" s="6" t="s">
        <v>703</v>
      </c>
      <c r="O7131" s="6" t="s">
        <v>704</v>
      </c>
      <c r="P7131" s="9" t="s">
        <v>41</v>
      </c>
      <c r="Q7131" s="9" t="s">
        <v>42</v>
      </c>
      <c r="R7131" s="9" t="s">
        <v>43</v>
      </c>
      <c r="S7131" s="7" t="s">
        <v>1017</v>
      </c>
      <c r="T7131" s="9" t="s">
        <v>39</v>
      </c>
      <c r="U7131" s="7">
        <v>0.56000000000000005</v>
      </c>
      <c r="V7131" s="12">
        <f>C7131+1</f>
        <v>40823</v>
      </c>
      <c r="W7131">
        <f>IF(D7131=' Pivot Tables'!$A$4,1,0)</f>
        <v>0</v>
      </c>
      <c r="X7131">
        <f>IF(AND(LEFT(D7131,4)+1=LEFT(' Pivot Tables'!$A$4,4)+0,RIGHT(LEFT(D7131,7),2)=RIGHT(LEFT(' Pivot Tables'!$A$4,7),2)),1,0)</f>
        <v>0</v>
      </c>
      <c r="Y7131" s="6">
        <f>1/COUNTIF(Таблица1[Order ID],Таблица1[[#This Row],[Order ID]])</f>
        <v>1</v>
      </c>
      <c r="Z7131" s="9">
        <f>1/COUNTIFS(Таблица1[Customer Name],Таблица1[[#This Row],[Customer Name]],Таблица1[Order-Year-Month],Таблица1[[#This Row],[Order-Year-Month]])</f>
        <v>1</v>
      </c>
    </row>
    <row r="7132" spans="1:26" x14ac:dyDescent="0.2">
      <c r="A7132" s="6">
        <v>6070</v>
      </c>
      <c r="B7132" s="7">
        <v>43010</v>
      </c>
      <c r="C7132" s="8">
        <f>DATE(2012,12,31)-83</f>
        <v>41191</v>
      </c>
      <c r="D7132" s="8" t="str">
        <f t="shared" si="133"/>
        <v>2012-10 (октябрь 2012)</v>
      </c>
      <c r="E7132" s="9" t="s">
        <v>78</v>
      </c>
      <c r="F7132" s="7">
        <v>40</v>
      </c>
      <c r="G7132" s="7">
        <v>233.2</v>
      </c>
      <c r="H7132" s="7">
        <v>0</v>
      </c>
      <c r="I7132" s="9" t="s">
        <v>22</v>
      </c>
      <c r="J7132" s="10">
        <v>74.83</v>
      </c>
      <c r="K7132" s="11">
        <v>5.68</v>
      </c>
      <c r="L7132" s="11">
        <v>1.46</v>
      </c>
      <c r="M7132" s="9" t="s">
        <v>2032</v>
      </c>
      <c r="N7132" s="6" t="s">
        <v>703</v>
      </c>
      <c r="O7132" s="6" t="s">
        <v>704</v>
      </c>
      <c r="P7132" s="9" t="s">
        <v>60</v>
      </c>
      <c r="Q7132" s="9" t="s">
        <v>26</v>
      </c>
      <c r="R7132" s="9" t="s">
        <v>61</v>
      </c>
      <c r="S7132" s="7" t="s">
        <v>382</v>
      </c>
      <c r="T7132" s="9" t="s">
        <v>68</v>
      </c>
      <c r="U7132" s="7">
        <v>0.39</v>
      </c>
      <c r="V7132" s="12">
        <f>C7132+0</f>
        <v>41191</v>
      </c>
      <c r="W7132">
        <f>IF(D7132=' Pivot Tables'!$A$4,1,0)</f>
        <v>0</v>
      </c>
      <c r="X7132">
        <f>IF(AND(LEFT(D7132,4)+1=LEFT(' Pivot Tables'!$A$4,4)+0,RIGHT(LEFT(D7132,7),2)=RIGHT(LEFT(' Pivot Tables'!$A$4,7),2)),1,0)</f>
        <v>0</v>
      </c>
      <c r="Y7132" s="6">
        <f>1/COUNTIF(Таблица1[Order ID],Таблица1[[#This Row],[Order ID]])</f>
        <v>0.5</v>
      </c>
      <c r="Z7132" s="9">
        <f>1/COUNTIFS(Таблица1[Customer Name],Таблица1[[#This Row],[Customer Name]],Таблица1[Order-Year-Month],Таблица1[[#This Row],[Order-Year-Month]])</f>
        <v>0.5</v>
      </c>
    </row>
    <row r="7133" spans="1:26" x14ac:dyDescent="0.2">
      <c r="A7133" s="6">
        <v>6071</v>
      </c>
      <c r="B7133" s="7">
        <v>43010</v>
      </c>
      <c r="C7133" s="8">
        <f>DATE(2012,12,31)-83</f>
        <v>41191</v>
      </c>
      <c r="D7133" s="8" t="str">
        <f t="shared" si="133"/>
        <v>2012-10 (октябрь 2012)</v>
      </c>
      <c r="E7133" s="9" t="s">
        <v>78</v>
      </c>
      <c r="F7133" s="7">
        <v>24</v>
      </c>
      <c r="G7133" s="7">
        <v>245.53</v>
      </c>
      <c r="H7133" s="7">
        <v>0.02</v>
      </c>
      <c r="I7133" s="9" t="s">
        <v>22</v>
      </c>
      <c r="J7133" s="10">
        <v>83.16</v>
      </c>
      <c r="K7133" s="11">
        <v>10.14</v>
      </c>
      <c r="L7133" s="11">
        <v>2.27</v>
      </c>
      <c r="M7133" s="9" t="s">
        <v>2032</v>
      </c>
      <c r="N7133" s="6" t="s">
        <v>703</v>
      </c>
      <c r="O7133" s="6" t="s">
        <v>704</v>
      </c>
      <c r="P7133" s="9" t="s">
        <v>60</v>
      </c>
      <c r="Q7133" s="9" t="s">
        <v>26</v>
      </c>
      <c r="R7133" s="9" t="s">
        <v>61</v>
      </c>
      <c r="S7133" s="7" t="s">
        <v>189</v>
      </c>
      <c r="T7133" s="9" t="s">
        <v>68</v>
      </c>
      <c r="U7133" s="7">
        <v>0.36</v>
      </c>
      <c r="V7133" s="12">
        <f>C7133+2</f>
        <v>41193</v>
      </c>
      <c r="W7133">
        <f>IF(D7133=' Pivot Tables'!$A$4,1,0)</f>
        <v>0</v>
      </c>
      <c r="X7133">
        <f>IF(AND(LEFT(D7133,4)+1=LEFT(' Pivot Tables'!$A$4,4)+0,RIGHT(LEFT(D7133,7),2)=RIGHT(LEFT(' Pivot Tables'!$A$4,7),2)),1,0)</f>
        <v>0</v>
      </c>
      <c r="Y7133" s="6">
        <f>1/COUNTIF(Таблица1[Order ID],Таблица1[[#This Row],[Order ID]])</f>
        <v>0.5</v>
      </c>
      <c r="Z7133" s="9">
        <f>1/COUNTIFS(Таблица1[Customer Name],Таблица1[[#This Row],[Customer Name]],Таблица1[Order-Year-Month],Таблица1[[#This Row],[Order-Year-Month]])</f>
        <v>0.5</v>
      </c>
    </row>
    <row r="7134" spans="1:26" x14ac:dyDescent="0.2">
      <c r="A7134" s="6">
        <v>6074</v>
      </c>
      <c r="B7134" s="7">
        <v>43043</v>
      </c>
      <c r="C7134" s="8">
        <f>DATE(2012,12,31)-261</f>
        <v>41013</v>
      </c>
      <c r="D7134" s="8" t="str">
        <f t="shared" si="133"/>
        <v>2012-04 (апрель 2012)</v>
      </c>
      <c r="E7134" s="9" t="s">
        <v>78</v>
      </c>
      <c r="F7134" s="7">
        <v>4</v>
      </c>
      <c r="G7134" s="7">
        <v>904.12</v>
      </c>
      <c r="H7134" s="7">
        <v>7.0000000000000007E-2</v>
      </c>
      <c r="I7134" s="9" t="s">
        <v>22</v>
      </c>
      <c r="J7134" s="10">
        <v>28.81</v>
      </c>
      <c r="K7134" s="11">
        <v>225.04</v>
      </c>
      <c r="L7134" s="11">
        <v>11.79</v>
      </c>
      <c r="M7134" s="9" t="s">
        <v>2027</v>
      </c>
      <c r="N7134" s="6" t="s">
        <v>703</v>
      </c>
      <c r="O7134" s="6" t="s">
        <v>704</v>
      </c>
      <c r="P7134" s="9" t="s">
        <v>41</v>
      </c>
      <c r="Q7134" s="9" t="s">
        <v>26</v>
      </c>
      <c r="R7134" s="9" t="s">
        <v>34</v>
      </c>
      <c r="S7134" s="7" t="s">
        <v>610</v>
      </c>
      <c r="T7134" s="9" t="s">
        <v>48</v>
      </c>
      <c r="U7134" s="7">
        <v>0.42</v>
      </c>
      <c r="V7134" s="12">
        <f>C7134+2</f>
        <v>41015</v>
      </c>
      <c r="W7134">
        <f>IF(D7134=' Pivot Tables'!$A$4,1,0)</f>
        <v>0</v>
      </c>
      <c r="X7134">
        <f>IF(AND(LEFT(D7134,4)+1=LEFT(' Pivot Tables'!$A$4,4)+0,RIGHT(LEFT(D7134,7),2)=RIGHT(LEFT(' Pivot Tables'!$A$4,7),2)),1,0)</f>
        <v>0</v>
      </c>
      <c r="Y7134" s="6">
        <f>1/COUNTIF(Таблица1[Order ID],Таблица1[[#This Row],[Order ID]])</f>
        <v>1</v>
      </c>
      <c r="Z7134" s="9">
        <f>1/COUNTIFS(Таблица1[Customer Name],Таблица1[[#This Row],[Customer Name]],Таблица1[Order-Year-Month],Таблица1[[#This Row],[Order-Year-Month]])</f>
        <v>1</v>
      </c>
    </row>
    <row r="7135" spans="1:26" x14ac:dyDescent="0.2">
      <c r="A7135" s="6">
        <v>6092</v>
      </c>
      <c r="B7135" s="7">
        <v>43170</v>
      </c>
      <c r="C7135" s="8">
        <f>DATE(2012,12,31)-963</f>
        <v>40311</v>
      </c>
      <c r="D7135" s="8" t="str">
        <f t="shared" si="133"/>
        <v>2010-05 (май 2010)</v>
      </c>
      <c r="E7135" s="9" t="s">
        <v>21</v>
      </c>
      <c r="F7135" s="7">
        <v>25</v>
      </c>
      <c r="G7135" s="7">
        <v>7667.78</v>
      </c>
      <c r="H7135" s="7">
        <v>0.04</v>
      </c>
      <c r="I7135" s="9" t="s">
        <v>31</v>
      </c>
      <c r="J7135" s="10">
        <v>1494.01</v>
      </c>
      <c r="K7135" s="11">
        <v>306.14</v>
      </c>
      <c r="L7135" s="11">
        <v>26.53</v>
      </c>
      <c r="M7135" s="9" t="s">
        <v>1560</v>
      </c>
      <c r="N7135" s="6" t="s">
        <v>703</v>
      </c>
      <c r="O7135" s="6" t="s">
        <v>704</v>
      </c>
      <c r="P7135" s="9" t="s">
        <v>25</v>
      </c>
      <c r="Q7135" s="9" t="s">
        <v>42</v>
      </c>
      <c r="R7135" s="9" t="s">
        <v>210</v>
      </c>
      <c r="S7135" s="7" t="s">
        <v>1085</v>
      </c>
      <c r="T7135" s="9" t="s">
        <v>36</v>
      </c>
      <c r="U7135" s="7">
        <v>0.56000000000000005</v>
      </c>
      <c r="V7135" s="12">
        <f>C7135+7</f>
        <v>40318</v>
      </c>
      <c r="W7135">
        <f>IF(D7135=' Pivot Tables'!$A$4,1,0)</f>
        <v>0</v>
      </c>
      <c r="X7135">
        <f>IF(AND(LEFT(D7135,4)+1=LEFT(' Pivot Tables'!$A$4,4)+0,RIGHT(LEFT(D7135,7),2)=RIGHT(LEFT(' Pivot Tables'!$A$4,7),2)),1,0)</f>
        <v>0</v>
      </c>
      <c r="Y7135" s="6">
        <f>1/COUNTIF(Таблица1[Order ID],Таблица1[[#This Row],[Order ID]])</f>
        <v>0.5</v>
      </c>
      <c r="Z7135" s="9">
        <f>1/COUNTIFS(Таблица1[Customer Name],Таблица1[[#This Row],[Customer Name]],Таблица1[Order-Year-Month],Таблица1[[#This Row],[Order-Year-Month]])</f>
        <v>0.5</v>
      </c>
    </row>
    <row r="7136" spans="1:26" x14ac:dyDescent="0.2">
      <c r="A7136" s="6">
        <v>6093</v>
      </c>
      <c r="B7136" s="7">
        <v>43170</v>
      </c>
      <c r="C7136" s="8">
        <f>DATE(2012,12,31)-963</f>
        <v>40311</v>
      </c>
      <c r="D7136" s="8" t="str">
        <f t="shared" si="133"/>
        <v>2010-05 (май 2010)</v>
      </c>
      <c r="E7136" s="9" t="s">
        <v>21</v>
      </c>
      <c r="F7136" s="7">
        <v>40</v>
      </c>
      <c r="G7136" s="7">
        <v>1305.8499999999999</v>
      </c>
      <c r="H7136" s="7">
        <v>0</v>
      </c>
      <c r="I7136" s="9" t="s">
        <v>22</v>
      </c>
      <c r="J7136" s="10">
        <v>65.010000000000005</v>
      </c>
      <c r="K7136" s="11">
        <v>30.98</v>
      </c>
      <c r="L7136" s="11">
        <v>17.079999999999998</v>
      </c>
      <c r="M7136" s="9" t="s">
        <v>1560</v>
      </c>
      <c r="N7136" s="6" t="s">
        <v>703</v>
      </c>
      <c r="O7136" s="6" t="s">
        <v>704</v>
      </c>
      <c r="P7136" s="9" t="s">
        <v>25</v>
      </c>
      <c r="Q7136" s="9" t="s">
        <v>26</v>
      </c>
      <c r="R7136" s="9" t="s">
        <v>61</v>
      </c>
      <c r="S7136" s="7" t="s">
        <v>513</v>
      </c>
      <c r="T7136" s="9" t="s">
        <v>39</v>
      </c>
      <c r="U7136" s="7">
        <v>0.4</v>
      </c>
      <c r="V7136" s="12">
        <f>C7136+4</f>
        <v>40315</v>
      </c>
      <c r="W7136">
        <f>IF(D7136=' Pivot Tables'!$A$4,1,0)</f>
        <v>0</v>
      </c>
      <c r="X7136">
        <f>IF(AND(LEFT(D7136,4)+1=LEFT(' Pivot Tables'!$A$4,4)+0,RIGHT(LEFT(D7136,7),2)=RIGHT(LEFT(' Pivot Tables'!$A$4,7),2)),1,0)</f>
        <v>0</v>
      </c>
      <c r="Y7136" s="6">
        <f>1/COUNTIF(Таблица1[Order ID],Таблица1[[#This Row],[Order ID]])</f>
        <v>0.5</v>
      </c>
      <c r="Z7136" s="9">
        <f>1/COUNTIFS(Таблица1[Customer Name],Таблица1[[#This Row],[Customer Name]],Таблица1[Order-Year-Month],Таблица1[[#This Row],[Order-Year-Month]])</f>
        <v>0.5</v>
      </c>
    </row>
    <row r="7137" spans="1:26" x14ac:dyDescent="0.2">
      <c r="A7137" s="6">
        <v>6130</v>
      </c>
      <c r="B7137" s="7">
        <v>43397</v>
      </c>
      <c r="C7137" s="8">
        <f>DATE(2012,12,31)-599</f>
        <v>40675</v>
      </c>
      <c r="D7137" s="8" t="str">
        <f t="shared" si="133"/>
        <v>2011-05 (май 2011)</v>
      </c>
      <c r="E7137" s="9" t="s">
        <v>78</v>
      </c>
      <c r="F7137" s="7">
        <v>35</v>
      </c>
      <c r="G7137" s="7">
        <v>2130.31</v>
      </c>
      <c r="H7137" s="7">
        <v>0.08</v>
      </c>
      <c r="I7137" s="9" t="s">
        <v>31</v>
      </c>
      <c r="J7137" s="10">
        <v>-319.26</v>
      </c>
      <c r="K7137" s="11">
        <v>60.89</v>
      </c>
      <c r="L7137" s="11">
        <v>32.409999999999997</v>
      </c>
      <c r="M7137" s="9" t="s">
        <v>1484</v>
      </c>
      <c r="N7137" s="6" t="s">
        <v>703</v>
      </c>
      <c r="O7137" s="6" t="s">
        <v>704</v>
      </c>
      <c r="P7137" s="9" t="s">
        <v>41</v>
      </c>
      <c r="Q7137" s="9" t="s">
        <v>49</v>
      </c>
      <c r="R7137" s="9" t="s">
        <v>112</v>
      </c>
      <c r="S7137" s="7" t="s">
        <v>1416</v>
      </c>
      <c r="T7137" s="9" t="s">
        <v>36</v>
      </c>
      <c r="U7137" s="7">
        <v>0.56000000000000005</v>
      </c>
      <c r="V7137" s="12">
        <f>C7137+1</f>
        <v>40676</v>
      </c>
      <c r="W7137">
        <f>IF(D7137=' Pivot Tables'!$A$4,1,0)</f>
        <v>0</v>
      </c>
      <c r="X7137">
        <f>IF(AND(LEFT(D7137,4)+1=LEFT(' Pivot Tables'!$A$4,4)+0,RIGHT(LEFT(D7137,7),2)=RIGHT(LEFT(' Pivot Tables'!$A$4,7),2)),1,0)</f>
        <v>0</v>
      </c>
      <c r="Y7137" s="6">
        <f>1/COUNTIF(Таблица1[Order ID],Таблица1[[#This Row],[Order ID]])</f>
        <v>1</v>
      </c>
      <c r="Z7137" s="9">
        <f>1/COUNTIFS(Таблица1[Customer Name],Таблица1[[#This Row],[Customer Name]],Таблица1[Order-Year-Month],Таблица1[[#This Row],[Order-Year-Month]])</f>
        <v>1</v>
      </c>
    </row>
    <row r="7138" spans="1:26" x14ac:dyDescent="0.2">
      <c r="A7138" s="6">
        <v>6146</v>
      </c>
      <c r="B7138" s="7">
        <v>43494</v>
      </c>
      <c r="C7138" s="8">
        <f>DATE(2012,12,31)-363</f>
        <v>40911</v>
      </c>
      <c r="D7138" s="8" t="str">
        <f t="shared" si="133"/>
        <v>2012-01 (январь 2012)</v>
      </c>
      <c r="E7138" s="9" t="s">
        <v>63</v>
      </c>
      <c r="F7138" s="7">
        <v>2</v>
      </c>
      <c r="G7138" s="7">
        <v>3668.28</v>
      </c>
      <c r="H7138" s="7">
        <v>0.09</v>
      </c>
      <c r="I7138" s="9" t="s">
        <v>22</v>
      </c>
      <c r="J7138" s="10">
        <v>-4858.6716000000006</v>
      </c>
      <c r="K7138" s="11">
        <v>1938.02</v>
      </c>
      <c r="L7138" s="11">
        <v>13.99</v>
      </c>
      <c r="M7138" s="9" t="s">
        <v>2046</v>
      </c>
      <c r="N7138" s="6" t="s">
        <v>703</v>
      </c>
      <c r="O7138" s="6" t="s">
        <v>704</v>
      </c>
      <c r="P7138" s="9" t="s">
        <v>33</v>
      </c>
      <c r="Q7138" s="9" t="s">
        <v>42</v>
      </c>
      <c r="R7138" s="9" t="s">
        <v>210</v>
      </c>
      <c r="S7138" s="7" t="s">
        <v>214</v>
      </c>
      <c r="T7138" s="9" t="s">
        <v>48</v>
      </c>
      <c r="U7138" s="7">
        <v>0.38</v>
      </c>
      <c r="V7138" s="12">
        <f>C7138+1</f>
        <v>40912</v>
      </c>
      <c r="W7138">
        <f>IF(D7138=' Pivot Tables'!$A$4,1,0)</f>
        <v>0</v>
      </c>
      <c r="X7138">
        <f>IF(AND(LEFT(D7138,4)+1=LEFT(' Pivot Tables'!$A$4,4)+0,RIGHT(LEFT(D7138,7),2)=RIGHT(LEFT(' Pivot Tables'!$A$4,7),2)),1,0)</f>
        <v>0</v>
      </c>
      <c r="Y7138" s="6">
        <f>1/COUNTIF(Таблица1[Order ID],Таблица1[[#This Row],[Order ID]])</f>
        <v>1</v>
      </c>
      <c r="Z7138" s="9">
        <f>1/COUNTIFS(Таблица1[Customer Name],Таблица1[[#This Row],[Customer Name]],Таблица1[Order-Year-Month],Таблица1[[#This Row],[Order-Year-Month]])</f>
        <v>1</v>
      </c>
    </row>
    <row r="7139" spans="1:26" x14ac:dyDescent="0.2">
      <c r="A7139" s="6">
        <v>6165</v>
      </c>
      <c r="B7139" s="7">
        <v>43682</v>
      </c>
      <c r="C7139" s="8">
        <f>DATE(2012,12,31)-126</f>
        <v>41148</v>
      </c>
      <c r="D7139" s="8" t="str">
        <f t="shared" si="133"/>
        <v>2012-08 (август 2012)</v>
      </c>
      <c r="E7139" s="9" t="s">
        <v>63</v>
      </c>
      <c r="F7139" s="7">
        <v>14</v>
      </c>
      <c r="G7139" s="7">
        <v>1849.6</v>
      </c>
      <c r="H7139" s="7">
        <v>0.06</v>
      </c>
      <c r="I7139" s="9" t="s">
        <v>22</v>
      </c>
      <c r="J7139" s="10">
        <v>62.162999999999997</v>
      </c>
      <c r="K7139" s="11">
        <v>155.99</v>
      </c>
      <c r="L7139" s="11">
        <v>8.99</v>
      </c>
      <c r="M7139" s="9" t="s">
        <v>2047</v>
      </c>
      <c r="N7139" s="6" t="s">
        <v>703</v>
      </c>
      <c r="O7139" s="6" t="s">
        <v>704</v>
      </c>
      <c r="P7139" s="9" t="s">
        <v>41</v>
      </c>
      <c r="Q7139" s="9" t="s">
        <v>42</v>
      </c>
      <c r="R7139" s="9" t="s">
        <v>43</v>
      </c>
      <c r="S7139" s="7" t="s">
        <v>416</v>
      </c>
      <c r="T7139" s="9" t="s">
        <v>39</v>
      </c>
      <c r="U7139" s="7">
        <v>0.55000000000000004</v>
      </c>
      <c r="V7139" s="12">
        <f>C7139+2</f>
        <v>41150</v>
      </c>
      <c r="W7139">
        <f>IF(D7139=' Pivot Tables'!$A$4,1,0)</f>
        <v>0</v>
      </c>
      <c r="X7139">
        <f>IF(AND(LEFT(D7139,4)+1=LEFT(' Pivot Tables'!$A$4,4)+0,RIGHT(LEFT(D7139,7),2)=RIGHT(LEFT(' Pivot Tables'!$A$4,7),2)),1,0)</f>
        <v>0</v>
      </c>
      <c r="Y7139" s="6">
        <f>1/COUNTIF(Таблица1[Order ID],Таблица1[[#This Row],[Order ID]])</f>
        <v>1</v>
      </c>
      <c r="Z7139" s="9">
        <f>1/COUNTIFS(Таблица1[Customer Name],Таблица1[[#This Row],[Customer Name]],Таблица1[Order-Year-Month],Таблица1[[#This Row],[Order-Year-Month]])</f>
        <v>1</v>
      </c>
    </row>
    <row r="7140" spans="1:26" x14ac:dyDescent="0.2">
      <c r="A7140" s="6">
        <v>6181</v>
      </c>
      <c r="B7140" s="7">
        <v>43814</v>
      </c>
      <c r="C7140" s="8">
        <f>DATE(2012,12,31)-722</f>
        <v>40552</v>
      </c>
      <c r="D7140" s="8" t="str">
        <f t="shared" si="133"/>
        <v>2011-01 (январь 2011)</v>
      </c>
      <c r="E7140" s="9" t="s">
        <v>63</v>
      </c>
      <c r="F7140" s="7">
        <v>40</v>
      </c>
      <c r="G7140" s="7">
        <v>197.1</v>
      </c>
      <c r="H7140" s="7">
        <v>0.09</v>
      </c>
      <c r="I7140" s="9" t="s">
        <v>22</v>
      </c>
      <c r="J7140" s="10">
        <v>-12.88</v>
      </c>
      <c r="K7140" s="11">
        <v>5.28</v>
      </c>
      <c r="L7140" s="11">
        <v>2.99</v>
      </c>
      <c r="M7140" s="9" t="s">
        <v>1635</v>
      </c>
      <c r="N7140" s="6" t="s">
        <v>703</v>
      </c>
      <c r="O7140" s="6" t="s">
        <v>704</v>
      </c>
      <c r="P7140" s="9" t="s">
        <v>41</v>
      </c>
      <c r="Q7140" s="9" t="s">
        <v>26</v>
      </c>
      <c r="R7140" s="9" t="s">
        <v>37</v>
      </c>
      <c r="S7140" s="7" t="s">
        <v>73</v>
      </c>
      <c r="T7140" s="9" t="s">
        <v>39</v>
      </c>
      <c r="U7140" s="7">
        <v>0.37</v>
      </c>
      <c r="V7140" s="12">
        <f>C7140+1</f>
        <v>40553</v>
      </c>
      <c r="W7140">
        <f>IF(D7140=' Pivot Tables'!$A$4,1,0)</f>
        <v>0</v>
      </c>
      <c r="X7140">
        <f>IF(AND(LEFT(D7140,4)+1=LEFT(' Pivot Tables'!$A$4,4)+0,RIGHT(LEFT(D7140,7),2)=RIGHT(LEFT(' Pivot Tables'!$A$4,7),2)),1,0)</f>
        <v>0</v>
      </c>
      <c r="Y7140" s="6">
        <f>1/COUNTIF(Таблица1[Order ID],Таблица1[[#This Row],[Order ID]])</f>
        <v>0.5</v>
      </c>
      <c r="Z7140" s="9">
        <f>1/COUNTIFS(Таблица1[Customer Name],Таблица1[[#This Row],[Customer Name]],Таблица1[Order-Year-Month],Таблица1[[#This Row],[Order-Year-Month]])</f>
        <v>0.5</v>
      </c>
    </row>
    <row r="7141" spans="1:26" x14ac:dyDescent="0.2">
      <c r="A7141" s="6">
        <v>6182</v>
      </c>
      <c r="B7141" s="7">
        <v>43814</v>
      </c>
      <c r="C7141" s="8">
        <f>DATE(2012,12,31)-722</f>
        <v>40552</v>
      </c>
      <c r="D7141" s="8" t="str">
        <f t="shared" si="133"/>
        <v>2011-01 (январь 2011)</v>
      </c>
      <c r="E7141" s="9" t="s">
        <v>63</v>
      </c>
      <c r="F7141" s="7">
        <v>47</v>
      </c>
      <c r="G7141" s="7">
        <v>199.48</v>
      </c>
      <c r="H7141" s="7">
        <v>0.03</v>
      </c>
      <c r="I7141" s="9" t="s">
        <v>22</v>
      </c>
      <c r="J7141" s="10">
        <v>13.8</v>
      </c>
      <c r="K7141" s="11">
        <v>4.2</v>
      </c>
      <c r="L7141" s="11">
        <v>2.2599999999999998</v>
      </c>
      <c r="M7141" s="9" t="s">
        <v>1635</v>
      </c>
      <c r="N7141" s="6" t="s">
        <v>703</v>
      </c>
      <c r="O7141" s="6" t="s">
        <v>704</v>
      </c>
      <c r="P7141" s="9" t="s">
        <v>41</v>
      </c>
      <c r="Q7141" s="9" t="s">
        <v>26</v>
      </c>
      <c r="R7141" s="9" t="s">
        <v>61</v>
      </c>
      <c r="S7141" s="7" t="s">
        <v>1409</v>
      </c>
      <c r="T7141" s="9" t="s">
        <v>68</v>
      </c>
      <c r="U7141" s="7">
        <v>0.36</v>
      </c>
      <c r="V7141" s="12">
        <f>C7141+1</f>
        <v>40553</v>
      </c>
      <c r="W7141">
        <f>IF(D7141=' Pivot Tables'!$A$4,1,0)</f>
        <v>0</v>
      </c>
      <c r="X7141">
        <f>IF(AND(LEFT(D7141,4)+1=LEFT(' Pivot Tables'!$A$4,4)+0,RIGHT(LEFT(D7141,7),2)=RIGHT(LEFT(' Pivot Tables'!$A$4,7),2)),1,0)</f>
        <v>0</v>
      </c>
      <c r="Y7141" s="6">
        <f>1/COUNTIF(Таблица1[Order ID],Таблица1[[#This Row],[Order ID]])</f>
        <v>0.5</v>
      </c>
      <c r="Z7141" s="9">
        <f>1/COUNTIFS(Таблица1[Customer Name],Таблица1[[#This Row],[Customer Name]],Таблица1[Order-Year-Month],Таблица1[[#This Row],[Order-Year-Month]])</f>
        <v>0.5</v>
      </c>
    </row>
    <row r="7142" spans="1:26" x14ac:dyDescent="0.2">
      <c r="A7142" s="6">
        <v>6183</v>
      </c>
      <c r="B7142" s="7">
        <v>43815</v>
      </c>
      <c r="C7142" s="8">
        <f>DATE(2012,12,31)-201</f>
        <v>41073</v>
      </c>
      <c r="D7142" s="8" t="str">
        <f t="shared" si="133"/>
        <v>2012-06 (июнь 2012)</v>
      </c>
      <c r="E7142" s="9" t="s">
        <v>45</v>
      </c>
      <c r="F7142" s="7">
        <v>40</v>
      </c>
      <c r="G7142" s="7">
        <v>635.59</v>
      </c>
      <c r="H7142" s="7">
        <v>7.0000000000000007E-2</v>
      </c>
      <c r="I7142" s="9" t="s">
        <v>22</v>
      </c>
      <c r="J7142" s="10">
        <v>202.827</v>
      </c>
      <c r="K7142" s="11">
        <v>16.510000000000002</v>
      </c>
      <c r="L7142" s="11">
        <v>2.99</v>
      </c>
      <c r="M7142" s="9" t="s">
        <v>1454</v>
      </c>
      <c r="N7142" s="6" t="s">
        <v>703</v>
      </c>
      <c r="O7142" s="6" t="s">
        <v>704</v>
      </c>
      <c r="P7142" s="9" t="s">
        <v>60</v>
      </c>
      <c r="Q7142" s="9" t="s">
        <v>26</v>
      </c>
      <c r="R7142" s="9" t="s">
        <v>37</v>
      </c>
      <c r="S7142" s="7" t="s">
        <v>1860</v>
      </c>
      <c r="T7142" s="9" t="s">
        <v>39</v>
      </c>
      <c r="U7142" s="7">
        <v>0.37</v>
      </c>
      <c r="V7142" s="12">
        <f>C7142+1</f>
        <v>41074</v>
      </c>
      <c r="W7142">
        <f>IF(D7142=' Pivot Tables'!$A$4,1,0)</f>
        <v>0</v>
      </c>
      <c r="X7142">
        <f>IF(AND(LEFT(D7142,4)+1=LEFT(' Pivot Tables'!$A$4,4)+0,RIGHT(LEFT(D7142,7),2)=RIGHT(LEFT(' Pivot Tables'!$A$4,7),2)),1,0)</f>
        <v>0</v>
      </c>
      <c r="Y7142" s="6">
        <f>1/COUNTIF(Таблица1[Order ID],Таблица1[[#This Row],[Order ID]])</f>
        <v>0.33333333333333331</v>
      </c>
      <c r="Z7142" s="9">
        <f>1/COUNTIFS(Таблица1[Customer Name],Таблица1[[#This Row],[Customer Name]],Таблица1[Order-Year-Month],Таблица1[[#This Row],[Order-Year-Month]])</f>
        <v>0.33333333333333331</v>
      </c>
    </row>
    <row r="7143" spans="1:26" x14ac:dyDescent="0.2">
      <c r="A7143" s="6">
        <v>6184</v>
      </c>
      <c r="B7143" s="7">
        <v>43815</v>
      </c>
      <c r="C7143" s="8">
        <f>DATE(2012,12,31)-201</f>
        <v>41073</v>
      </c>
      <c r="D7143" s="8" t="str">
        <f t="shared" si="133"/>
        <v>2012-06 (июнь 2012)</v>
      </c>
      <c r="E7143" s="9" t="s">
        <v>45</v>
      </c>
      <c r="F7143" s="7">
        <v>22</v>
      </c>
      <c r="G7143" s="7">
        <v>1251.4000000000001</v>
      </c>
      <c r="H7143" s="7">
        <v>0.01</v>
      </c>
      <c r="I7143" s="9" t="s">
        <v>22</v>
      </c>
      <c r="J7143" s="10">
        <v>539.45000000000005</v>
      </c>
      <c r="K7143" s="11">
        <v>55.48</v>
      </c>
      <c r="L7143" s="11">
        <v>6.79</v>
      </c>
      <c r="M7143" s="9" t="s">
        <v>1454</v>
      </c>
      <c r="N7143" s="6" t="s">
        <v>703</v>
      </c>
      <c r="O7143" s="6" t="s">
        <v>704</v>
      </c>
      <c r="P7143" s="9" t="s">
        <v>60</v>
      </c>
      <c r="Q7143" s="9" t="s">
        <v>26</v>
      </c>
      <c r="R7143" s="9" t="s">
        <v>61</v>
      </c>
      <c r="S7143" s="7" t="s">
        <v>1065</v>
      </c>
      <c r="T7143" s="9" t="s">
        <v>39</v>
      </c>
      <c r="U7143" s="7">
        <v>0.37</v>
      </c>
      <c r="V7143" s="12">
        <f>C7143+1</f>
        <v>41074</v>
      </c>
      <c r="W7143">
        <f>IF(D7143=' Pivot Tables'!$A$4,1,0)</f>
        <v>0</v>
      </c>
      <c r="X7143">
        <f>IF(AND(LEFT(D7143,4)+1=LEFT(' Pivot Tables'!$A$4,4)+0,RIGHT(LEFT(D7143,7),2)=RIGHT(LEFT(' Pivot Tables'!$A$4,7),2)),1,0)</f>
        <v>0</v>
      </c>
      <c r="Y7143" s="6">
        <f>1/COUNTIF(Таблица1[Order ID],Таблица1[[#This Row],[Order ID]])</f>
        <v>0.33333333333333331</v>
      </c>
      <c r="Z7143" s="9">
        <f>1/COUNTIFS(Таблица1[Customer Name],Таблица1[[#This Row],[Customer Name]],Таблица1[Order-Year-Month],Таблица1[[#This Row],[Order-Year-Month]])</f>
        <v>0.33333333333333331</v>
      </c>
    </row>
    <row r="7144" spans="1:26" x14ac:dyDescent="0.2">
      <c r="A7144" s="6">
        <v>6185</v>
      </c>
      <c r="B7144" s="7">
        <v>43815</v>
      </c>
      <c r="C7144" s="8">
        <f>DATE(2012,12,31)-201</f>
        <v>41073</v>
      </c>
      <c r="D7144" s="8" t="str">
        <f t="shared" si="133"/>
        <v>2012-06 (июнь 2012)</v>
      </c>
      <c r="E7144" s="9" t="s">
        <v>45</v>
      </c>
      <c r="F7144" s="7">
        <v>45</v>
      </c>
      <c r="G7144" s="7">
        <v>3577.81</v>
      </c>
      <c r="H7144" s="7">
        <v>0.03</v>
      </c>
      <c r="I7144" s="9" t="s">
        <v>22</v>
      </c>
      <c r="J7144" s="10">
        <v>-1097.97</v>
      </c>
      <c r="K7144" s="11">
        <v>78.8</v>
      </c>
      <c r="L7144" s="11">
        <v>35</v>
      </c>
      <c r="M7144" s="9" t="s">
        <v>1454</v>
      </c>
      <c r="N7144" s="6" t="s">
        <v>703</v>
      </c>
      <c r="O7144" s="6" t="s">
        <v>704</v>
      </c>
      <c r="P7144" s="9" t="s">
        <v>60</v>
      </c>
      <c r="Q7144" s="9" t="s">
        <v>26</v>
      </c>
      <c r="R7144" s="9" t="s">
        <v>27</v>
      </c>
      <c r="S7144" s="7" t="s">
        <v>1749</v>
      </c>
      <c r="T7144" s="9" t="s">
        <v>29</v>
      </c>
      <c r="U7144" s="7">
        <v>0.83</v>
      </c>
      <c r="V7144" s="12">
        <f>C7144+1</f>
        <v>41074</v>
      </c>
      <c r="W7144">
        <f>IF(D7144=' Pivot Tables'!$A$4,1,0)</f>
        <v>0</v>
      </c>
      <c r="X7144">
        <f>IF(AND(LEFT(D7144,4)+1=LEFT(' Pivot Tables'!$A$4,4)+0,RIGHT(LEFT(D7144,7),2)=RIGHT(LEFT(' Pivot Tables'!$A$4,7),2)),1,0)</f>
        <v>0</v>
      </c>
      <c r="Y7144" s="6">
        <f>1/COUNTIF(Таблица1[Order ID],Таблица1[[#This Row],[Order ID]])</f>
        <v>0.33333333333333331</v>
      </c>
      <c r="Z7144" s="9">
        <f>1/COUNTIFS(Таблица1[Customer Name],Таблица1[[#This Row],[Customer Name]],Таблица1[Order-Year-Month],Таблица1[[#This Row],[Order-Year-Month]])</f>
        <v>0.33333333333333331</v>
      </c>
    </row>
    <row r="7145" spans="1:26" x14ac:dyDescent="0.2">
      <c r="A7145" s="6">
        <v>6186</v>
      </c>
      <c r="B7145" s="7">
        <v>43844</v>
      </c>
      <c r="C7145" s="8">
        <f>DATE(2012,12,31)-792</f>
        <v>40482</v>
      </c>
      <c r="D7145" s="8" t="str">
        <f t="shared" si="133"/>
        <v>2010-10 (октябрь 2010)</v>
      </c>
      <c r="E7145" s="9" t="s">
        <v>30</v>
      </c>
      <c r="F7145" s="7">
        <v>25</v>
      </c>
      <c r="G7145" s="7">
        <v>1009.8679999999999</v>
      </c>
      <c r="H7145" s="7">
        <v>0.02</v>
      </c>
      <c r="I7145" s="9" t="s">
        <v>22</v>
      </c>
      <c r="J7145" s="10">
        <v>170.56800000000001</v>
      </c>
      <c r="K7145" s="11">
        <v>45.99</v>
      </c>
      <c r="L7145" s="11">
        <v>4.99</v>
      </c>
      <c r="M7145" s="9" t="s">
        <v>1553</v>
      </c>
      <c r="N7145" s="6" t="s">
        <v>703</v>
      </c>
      <c r="O7145" s="6" t="s">
        <v>704</v>
      </c>
      <c r="P7145" s="9" t="s">
        <v>25</v>
      </c>
      <c r="Q7145" s="9" t="s">
        <v>42</v>
      </c>
      <c r="R7145" s="9" t="s">
        <v>43</v>
      </c>
      <c r="S7145" s="7" t="s">
        <v>629</v>
      </c>
      <c r="T7145" s="9" t="s">
        <v>39</v>
      </c>
      <c r="U7145" s="7">
        <v>0.56000000000000005</v>
      </c>
      <c r="V7145" s="12">
        <f>C7145+0</f>
        <v>40482</v>
      </c>
      <c r="W7145">
        <f>IF(D7145=' Pivot Tables'!$A$4,1,0)</f>
        <v>0</v>
      </c>
      <c r="X7145">
        <f>IF(AND(LEFT(D7145,4)+1=LEFT(' Pivot Tables'!$A$4,4)+0,RIGHT(LEFT(D7145,7),2)=RIGHT(LEFT(' Pivot Tables'!$A$4,7),2)),1,0)</f>
        <v>0</v>
      </c>
      <c r="Y7145" s="6">
        <f>1/COUNTIF(Таблица1[Order ID],Таблица1[[#This Row],[Order ID]])</f>
        <v>1</v>
      </c>
      <c r="Z7145" s="9">
        <f>1/COUNTIFS(Таблица1[Customer Name],Таблица1[[#This Row],[Customer Name]],Таблица1[Order-Year-Month],Таблица1[[#This Row],[Order-Year-Month]])</f>
        <v>1</v>
      </c>
    </row>
    <row r="7146" spans="1:26" x14ac:dyDescent="0.2">
      <c r="A7146" s="6">
        <v>6187</v>
      </c>
      <c r="B7146" s="7">
        <v>43846</v>
      </c>
      <c r="C7146" s="8">
        <f>DATE(2012,12,31)-1404</f>
        <v>39870</v>
      </c>
      <c r="D7146" s="8" t="str">
        <f t="shared" si="133"/>
        <v>2009-02 (февраль 2009)</v>
      </c>
      <c r="E7146" s="9" t="s">
        <v>30</v>
      </c>
      <c r="F7146" s="7">
        <v>9</v>
      </c>
      <c r="G7146" s="7">
        <v>31.36</v>
      </c>
      <c r="H7146" s="7">
        <v>0.1</v>
      </c>
      <c r="I7146" s="9" t="s">
        <v>22</v>
      </c>
      <c r="J7146" s="10">
        <v>-8.2799999999999994</v>
      </c>
      <c r="K7146" s="11">
        <v>3.6</v>
      </c>
      <c r="L7146" s="11">
        <v>2.2000000000000002</v>
      </c>
      <c r="M7146" s="9" t="s">
        <v>2046</v>
      </c>
      <c r="N7146" s="6" t="s">
        <v>703</v>
      </c>
      <c r="O7146" s="6" t="s">
        <v>704</v>
      </c>
      <c r="P7146" s="9" t="s">
        <v>33</v>
      </c>
      <c r="Q7146" s="9" t="s">
        <v>26</v>
      </c>
      <c r="R7146" s="9" t="s">
        <v>61</v>
      </c>
      <c r="S7146" s="7" t="s">
        <v>1365</v>
      </c>
      <c r="T7146" s="9" t="s">
        <v>68</v>
      </c>
      <c r="U7146" s="7">
        <v>0.39</v>
      </c>
      <c r="V7146" s="12">
        <f>C7146+1</f>
        <v>39871</v>
      </c>
      <c r="W7146">
        <f>IF(D7146=' Pivot Tables'!$A$4,1,0)</f>
        <v>0</v>
      </c>
      <c r="X7146">
        <f>IF(AND(LEFT(D7146,4)+1=LEFT(' Pivot Tables'!$A$4,4)+0,RIGHT(LEFT(D7146,7),2)=RIGHT(LEFT(' Pivot Tables'!$A$4,7),2)),1,0)</f>
        <v>0</v>
      </c>
      <c r="Y7146" s="6">
        <f>1/COUNTIF(Таблица1[Order ID],Таблица1[[#This Row],[Order ID]])</f>
        <v>1</v>
      </c>
      <c r="Z7146" s="9">
        <f>1/COUNTIFS(Таблица1[Customer Name],Таблица1[[#This Row],[Customer Name]],Таблица1[Order-Year-Month],Таблица1[[#This Row],[Order-Year-Month]])</f>
        <v>1</v>
      </c>
    </row>
    <row r="7147" spans="1:26" x14ac:dyDescent="0.2">
      <c r="A7147" s="6">
        <v>6207</v>
      </c>
      <c r="B7147" s="7">
        <v>43974</v>
      </c>
      <c r="C7147" s="8">
        <f>DATE(2012,12,31)-1202</f>
        <v>40072</v>
      </c>
      <c r="D7147" s="8" t="str">
        <f t="shared" si="133"/>
        <v>2009-09 (сентябрь 2009)</v>
      </c>
      <c r="E7147" s="9" t="s">
        <v>45</v>
      </c>
      <c r="F7147" s="7">
        <v>8</v>
      </c>
      <c r="G7147" s="7">
        <v>64.23</v>
      </c>
      <c r="H7147" s="7">
        <v>0.03</v>
      </c>
      <c r="I7147" s="9" t="s">
        <v>22</v>
      </c>
      <c r="J7147" s="10">
        <v>15.83</v>
      </c>
      <c r="K7147" s="11">
        <v>7.64</v>
      </c>
      <c r="L7147" s="11">
        <v>1.39</v>
      </c>
      <c r="M7147" s="9" t="s">
        <v>1473</v>
      </c>
      <c r="N7147" s="6" t="s">
        <v>703</v>
      </c>
      <c r="O7147" s="6" t="s">
        <v>704</v>
      </c>
      <c r="P7147" s="9" t="s">
        <v>41</v>
      </c>
      <c r="Q7147" s="9" t="s">
        <v>26</v>
      </c>
      <c r="R7147" s="9" t="s">
        <v>76</v>
      </c>
      <c r="S7147" s="7" t="s">
        <v>297</v>
      </c>
      <c r="T7147" s="9" t="s">
        <v>39</v>
      </c>
      <c r="U7147" s="7">
        <v>0.36</v>
      </c>
      <c r="V7147" s="12">
        <f>C7147+1</f>
        <v>40073</v>
      </c>
      <c r="W7147">
        <f>IF(D7147=' Pivot Tables'!$A$4,1,0)</f>
        <v>0</v>
      </c>
      <c r="X7147">
        <f>IF(AND(LEFT(D7147,4)+1=LEFT(' Pivot Tables'!$A$4,4)+0,RIGHT(LEFT(D7147,7),2)=RIGHT(LEFT(' Pivot Tables'!$A$4,7),2)),1,0)</f>
        <v>0</v>
      </c>
      <c r="Y7147" s="6">
        <f>1/COUNTIF(Таблица1[Order ID],Таблица1[[#This Row],[Order ID]])</f>
        <v>1</v>
      </c>
      <c r="Z7147" s="9">
        <f>1/COUNTIFS(Таблица1[Customer Name],Таблица1[[#This Row],[Customer Name]],Таблица1[Order-Year-Month],Таблица1[[#This Row],[Order-Year-Month]])</f>
        <v>1</v>
      </c>
    </row>
    <row r="7148" spans="1:26" x14ac:dyDescent="0.2">
      <c r="A7148" s="6">
        <v>6209</v>
      </c>
      <c r="B7148" s="7">
        <v>44000</v>
      </c>
      <c r="C7148" s="8">
        <f>DATE(2012,12,31)-88</f>
        <v>41186</v>
      </c>
      <c r="D7148" s="8" t="str">
        <f t="shared" si="133"/>
        <v>2012-10 (октябрь 2012)</v>
      </c>
      <c r="E7148" s="9" t="s">
        <v>45</v>
      </c>
      <c r="F7148" s="7">
        <v>17</v>
      </c>
      <c r="G7148" s="7">
        <v>119.51</v>
      </c>
      <c r="H7148" s="7">
        <v>0.06</v>
      </c>
      <c r="I7148" s="9" t="s">
        <v>22</v>
      </c>
      <c r="J7148" s="10">
        <v>-51.301499999999997</v>
      </c>
      <c r="K7148" s="11">
        <v>7.1</v>
      </c>
      <c r="L7148" s="11">
        <v>6.05</v>
      </c>
      <c r="M7148" s="9" t="s">
        <v>1475</v>
      </c>
      <c r="N7148" s="6" t="s">
        <v>703</v>
      </c>
      <c r="O7148" s="6" t="s">
        <v>704</v>
      </c>
      <c r="P7148" s="9" t="s">
        <v>25</v>
      </c>
      <c r="Q7148" s="9" t="s">
        <v>26</v>
      </c>
      <c r="R7148" s="9" t="s">
        <v>37</v>
      </c>
      <c r="S7148" s="7" t="s">
        <v>435</v>
      </c>
      <c r="T7148" s="9" t="s">
        <v>39</v>
      </c>
      <c r="U7148" s="7">
        <v>0.39</v>
      </c>
      <c r="V7148" s="12">
        <f>C7148+0</f>
        <v>41186</v>
      </c>
      <c r="W7148">
        <f>IF(D7148=' Pivot Tables'!$A$4,1,0)</f>
        <v>0</v>
      </c>
      <c r="X7148">
        <f>IF(AND(LEFT(D7148,4)+1=LEFT(' Pivot Tables'!$A$4,4)+0,RIGHT(LEFT(D7148,7),2)=RIGHT(LEFT(' Pivot Tables'!$A$4,7),2)),1,0)</f>
        <v>0</v>
      </c>
      <c r="Y7148" s="6">
        <f>1/COUNTIF(Таблица1[Order ID],Таблица1[[#This Row],[Order ID]])</f>
        <v>0.25</v>
      </c>
      <c r="Z7148" s="9">
        <f>1/COUNTIFS(Таблица1[Customer Name],Таблица1[[#This Row],[Customer Name]],Таблица1[Order-Year-Month],Таблица1[[#This Row],[Order-Year-Month]])</f>
        <v>0.25</v>
      </c>
    </row>
    <row r="7149" spans="1:26" x14ac:dyDescent="0.2">
      <c r="A7149" s="6">
        <v>6210</v>
      </c>
      <c r="B7149" s="7">
        <v>44000</v>
      </c>
      <c r="C7149" s="8">
        <f>DATE(2012,12,31)-88</f>
        <v>41186</v>
      </c>
      <c r="D7149" s="8" t="str">
        <f t="shared" si="133"/>
        <v>2012-10 (октябрь 2012)</v>
      </c>
      <c r="E7149" s="9" t="s">
        <v>45</v>
      </c>
      <c r="F7149" s="7">
        <v>19</v>
      </c>
      <c r="G7149" s="7">
        <v>332.38</v>
      </c>
      <c r="H7149" s="7">
        <v>0.05</v>
      </c>
      <c r="I7149" s="9" t="s">
        <v>22</v>
      </c>
      <c r="J7149" s="10">
        <v>89.95</v>
      </c>
      <c r="K7149" s="11">
        <v>17.78</v>
      </c>
      <c r="L7149" s="11">
        <v>5.03</v>
      </c>
      <c r="M7149" s="9" t="s">
        <v>1475</v>
      </c>
      <c r="N7149" s="6" t="s">
        <v>703</v>
      </c>
      <c r="O7149" s="6" t="s">
        <v>704</v>
      </c>
      <c r="P7149" s="9" t="s">
        <v>25</v>
      </c>
      <c r="Q7149" s="9" t="s">
        <v>49</v>
      </c>
      <c r="R7149" s="9" t="s">
        <v>50</v>
      </c>
      <c r="S7149" s="7" t="s">
        <v>723</v>
      </c>
      <c r="T7149" s="9" t="s">
        <v>39</v>
      </c>
      <c r="U7149" s="7">
        <v>0.54</v>
      </c>
      <c r="V7149" s="12">
        <f>C7149+1</f>
        <v>41187</v>
      </c>
      <c r="W7149">
        <f>IF(D7149=' Pivot Tables'!$A$4,1,0)</f>
        <v>0</v>
      </c>
      <c r="X7149">
        <f>IF(AND(LEFT(D7149,4)+1=LEFT(' Pivot Tables'!$A$4,4)+0,RIGHT(LEFT(D7149,7),2)=RIGHT(LEFT(' Pivot Tables'!$A$4,7),2)),1,0)</f>
        <v>0</v>
      </c>
      <c r="Y7149" s="6">
        <f>1/COUNTIF(Таблица1[Order ID],Таблица1[[#This Row],[Order ID]])</f>
        <v>0.25</v>
      </c>
      <c r="Z7149" s="9">
        <f>1/COUNTIFS(Таблица1[Customer Name],Таблица1[[#This Row],[Customer Name]],Таблица1[Order-Year-Month],Таблица1[[#This Row],[Order-Year-Month]])</f>
        <v>0.25</v>
      </c>
    </row>
    <row r="7150" spans="1:26" x14ac:dyDescent="0.2">
      <c r="A7150" s="6">
        <v>6214</v>
      </c>
      <c r="B7150" s="7">
        <v>44003</v>
      </c>
      <c r="C7150" s="8">
        <f>DATE(2012,12,31)-410</f>
        <v>40864</v>
      </c>
      <c r="D7150" s="8" t="str">
        <f t="shared" si="133"/>
        <v>2011-11 (ноябрь 2011)</v>
      </c>
      <c r="E7150" s="9" t="s">
        <v>21</v>
      </c>
      <c r="F7150" s="7">
        <v>38</v>
      </c>
      <c r="G7150" s="7">
        <v>202.42</v>
      </c>
      <c r="H7150" s="7">
        <v>0.09</v>
      </c>
      <c r="I7150" s="9" t="s">
        <v>22</v>
      </c>
      <c r="J7150" s="10">
        <v>0.85850000000000004</v>
      </c>
      <c r="K7150" s="11">
        <v>5.34</v>
      </c>
      <c r="L7150" s="11">
        <v>2.99</v>
      </c>
      <c r="M7150" s="9" t="s">
        <v>2052</v>
      </c>
      <c r="N7150" s="6" t="s">
        <v>703</v>
      </c>
      <c r="O7150" s="6" t="s">
        <v>704</v>
      </c>
      <c r="P7150" s="9" t="s">
        <v>60</v>
      </c>
      <c r="Q7150" s="9" t="s">
        <v>26</v>
      </c>
      <c r="R7150" s="9" t="s">
        <v>37</v>
      </c>
      <c r="S7150" s="7" t="s">
        <v>407</v>
      </c>
      <c r="T7150" s="9" t="s">
        <v>39</v>
      </c>
      <c r="U7150" s="7">
        <v>0.38</v>
      </c>
      <c r="V7150" s="12">
        <f>C7150+4</f>
        <v>40868</v>
      </c>
      <c r="W7150">
        <f>IF(D7150=' Pivot Tables'!$A$4,1,0)</f>
        <v>0</v>
      </c>
      <c r="X7150">
        <f>IF(AND(LEFT(D7150,4)+1=LEFT(' Pivot Tables'!$A$4,4)+0,RIGHT(LEFT(D7150,7),2)=RIGHT(LEFT(' Pivot Tables'!$A$4,7),2)),1,0)</f>
        <v>0</v>
      </c>
      <c r="Y7150" s="6">
        <f>1/COUNTIF(Таблица1[Order ID],Таблица1[[#This Row],[Order ID]])</f>
        <v>1</v>
      </c>
      <c r="Z7150" s="9">
        <f>1/COUNTIFS(Таблица1[Customer Name],Таблица1[[#This Row],[Customer Name]],Таблица1[Order-Year-Month],Таблица1[[#This Row],[Order-Year-Month]])</f>
        <v>1</v>
      </c>
    </row>
    <row r="7151" spans="1:26" x14ac:dyDescent="0.2">
      <c r="A7151" s="6">
        <v>6224</v>
      </c>
      <c r="B7151" s="7">
        <v>44069</v>
      </c>
      <c r="C7151" s="8">
        <f>DATE(2012,12,31)-1459</f>
        <v>39815</v>
      </c>
      <c r="D7151" s="8" t="str">
        <f t="shared" si="133"/>
        <v>2009-01 (январь 2009)</v>
      </c>
      <c r="E7151" s="9" t="s">
        <v>78</v>
      </c>
      <c r="F7151" s="7">
        <v>16</v>
      </c>
      <c r="G7151" s="7">
        <v>137.63</v>
      </c>
      <c r="H7151" s="7">
        <v>0.09</v>
      </c>
      <c r="I7151" s="9" t="s">
        <v>56</v>
      </c>
      <c r="J7151" s="10">
        <v>26.71</v>
      </c>
      <c r="K7151" s="11">
        <v>9.11</v>
      </c>
      <c r="L7151" s="11">
        <v>2.15</v>
      </c>
      <c r="M7151" s="9" t="s">
        <v>1532</v>
      </c>
      <c r="N7151" s="6" t="s">
        <v>703</v>
      </c>
      <c r="O7151" s="6" t="s">
        <v>704</v>
      </c>
      <c r="P7151" s="9" t="s">
        <v>33</v>
      </c>
      <c r="Q7151" s="9" t="s">
        <v>26</v>
      </c>
      <c r="R7151" s="9" t="s">
        <v>61</v>
      </c>
      <c r="S7151" s="7" t="s">
        <v>1402</v>
      </c>
      <c r="T7151" s="9" t="s">
        <v>68</v>
      </c>
      <c r="U7151" s="7">
        <v>0.4</v>
      </c>
      <c r="V7151" s="12">
        <f>C7151+2</f>
        <v>39817</v>
      </c>
      <c r="W7151">
        <f>IF(D7151=' Pivot Tables'!$A$4,1,0)</f>
        <v>0</v>
      </c>
      <c r="X7151">
        <f>IF(AND(LEFT(D7151,4)+1=LEFT(' Pivot Tables'!$A$4,4)+0,RIGHT(LEFT(D7151,7),2)=RIGHT(LEFT(' Pivot Tables'!$A$4,7),2)),1,0)</f>
        <v>1</v>
      </c>
      <c r="Y7151" s="6">
        <f>1/COUNTIF(Таблица1[Order ID],Таблица1[[#This Row],[Order ID]])</f>
        <v>0.5</v>
      </c>
      <c r="Z7151" s="9">
        <f>1/COUNTIFS(Таблица1[Customer Name],Таблица1[[#This Row],[Customer Name]],Таблица1[Order-Year-Month],Таблица1[[#This Row],[Order-Year-Month]])</f>
        <v>0.5</v>
      </c>
    </row>
    <row r="7152" spans="1:26" x14ac:dyDescent="0.2">
      <c r="A7152" s="6">
        <v>6225</v>
      </c>
      <c r="B7152" s="7">
        <v>44069</v>
      </c>
      <c r="C7152" s="8">
        <f>DATE(2012,12,31)-1459</f>
        <v>39815</v>
      </c>
      <c r="D7152" s="8" t="str">
        <f t="shared" si="133"/>
        <v>2009-01 (январь 2009)</v>
      </c>
      <c r="E7152" s="9" t="s">
        <v>78</v>
      </c>
      <c r="F7152" s="7">
        <v>43</v>
      </c>
      <c r="G7152" s="7">
        <v>614.79999999999995</v>
      </c>
      <c r="H7152" s="7">
        <v>0.08</v>
      </c>
      <c r="I7152" s="9" t="s">
        <v>22</v>
      </c>
      <c r="J7152" s="10">
        <v>247.79</v>
      </c>
      <c r="K7152" s="11">
        <v>15.04</v>
      </c>
      <c r="L7152" s="11">
        <v>1.97</v>
      </c>
      <c r="M7152" s="9" t="s">
        <v>1532</v>
      </c>
      <c r="N7152" s="6" t="s">
        <v>703</v>
      </c>
      <c r="O7152" s="6" t="s">
        <v>704</v>
      </c>
      <c r="P7152" s="9" t="s">
        <v>33</v>
      </c>
      <c r="Q7152" s="9" t="s">
        <v>26</v>
      </c>
      <c r="R7152" s="9" t="s">
        <v>61</v>
      </c>
      <c r="S7152" s="7" t="s">
        <v>688</v>
      </c>
      <c r="T7152" s="9" t="s">
        <v>68</v>
      </c>
      <c r="U7152" s="7">
        <v>0.39</v>
      </c>
      <c r="V7152" s="12">
        <f>C7152+0</f>
        <v>39815</v>
      </c>
      <c r="W7152">
        <f>IF(D7152=' Pivot Tables'!$A$4,1,0)</f>
        <v>0</v>
      </c>
      <c r="X7152">
        <f>IF(AND(LEFT(D7152,4)+1=LEFT(' Pivot Tables'!$A$4,4)+0,RIGHT(LEFT(D7152,7),2)=RIGHT(LEFT(' Pivot Tables'!$A$4,7),2)),1,0)</f>
        <v>1</v>
      </c>
      <c r="Y7152" s="6">
        <f>1/COUNTIF(Таблица1[Order ID],Таблица1[[#This Row],[Order ID]])</f>
        <v>0.5</v>
      </c>
      <c r="Z7152" s="9">
        <f>1/COUNTIFS(Таблица1[Customer Name],Таблица1[[#This Row],[Customer Name]],Таблица1[Order-Year-Month],Таблица1[[#This Row],[Order-Year-Month]])</f>
        <v>0.5</v>
      </c>
    </row>
    <row r="7153" spans="1:26" x14ac:dyDescent="0.2">
      <c r="A7153" s="6">
        <v>6229</v>
      </c>
      <c r="B7153" s="7">
        <v>44099</v>
      </c>
      <c r="C7153" s="8">
        <f>DATE(2012,12,31)-294</f>
        <v>40980</v>
      </c>
      <c r="D7153" s="8" t="str">
        <f t="shared" si="133"/>
        <v>2012-03 (март 2012)</v>
      </c>
      <c r="E7153" s="9" t="s">
        <v>63</v>
      </c>
      <c r="F7153" s="7">
        <v>34</v>
      </c>
      <c r="G7153" s="7">
        <v>11823.52</v>
      </c>
      <c r="H7153" s="7">
        <v>0.1</v>
      </c>
      <c r="I7153" s="9" t="s">
        <v>22</v>
      </c>
      <c r="J7153" s="10">
        <v>4592.7370000000001</v>
      </c>
      <c r="K7153" s="11">
        <v>367.99</v>
      </c>
      <c r="L7153" s="11">
        <v>19.989999999999998</v>
      </c>
      <c r="M7153" s="9" t="s">
        <v>1800</v>
      </c>
      <c r="N7153" s="6" t="s">
        <v>703</v>
      </c>
      <c r="O7153" s="6" t="s">
        <v>704</v>
      </c>
      <c r="P7153" s="9" t="s">
        <v>41</v>
      </c>
      <c r="Q7153" s="9" t="s">
        <v>26</v>
      </c>
      <c r="R7153" s="9" t="s">
        <v>37</v>
      </c>
      <c r="S7153" s="7" t="s">
        <v>1706</v>
      </c>
      <c r="T7153" s="9" t="s">
        <v>39</v>
      </c>
      <c r="U7153" s="7">
        <v>0.4</v>
      </c>
      <c r="V7153" s="12">
        <f>C7153+2</f>
        <v>40982</v>
      </c>
      <c r="W7153">
        <f>IF(D7153=' Pivot Tables'!$A$4,1,0)</f>
        <v>0</v>
      </c>
      <c r="X7153">
        <f>IF(AND(LEFT(D7153,4)+1=LEFT(' Pivot Tables'!$A$4,4)+0,RIGHT(LEFT(D7153,7),2)=RIGHT(LEFT(' Pivot Tables'!$A$4,7),2)),1,0)</f>
        <v>0</v>
      </c>
      <c r="Y7153" s="6">
        <f>1/COUNTIF(Таблица1[Order ID],Таблица1[[#This Row],[Order ID]])</f>
        <v>0.5</v>
      </c>
      <c r="Z7153" s="9">
        <f>1/COUNTIFS(Таблица1[Customer Name],Таблица1[[#This Row],[Customer Name]],Таблица1[Order-Year-Month],Таблица1[[#This Row],[Order-Year-Month]])</f>
        <v>0.5</v>
      </c>
    </row>
    <row r="7154" spans="1:26" x14ac:dyDescent="0.2">
      <c r="A7154" s="6">
        <v>6230</v>
      </c>
      <c r="B7154" s="7">
        <v>44099</v>
      </c>
      <c r="C7154" s="8">
        <f>DATE(2012,12,31)-294</f>
        <v>40980</v>
      </c>
      <c r="D7154" s="8" t="str">
        <f t="shared" si="133"/>
        <v>2012-03 (март 2012)</v>
      </c>
      <c r="E7154" s="9" t="s">
        <v>63</v>
      </c>
      <c r="F7154" s="7">
        <v>19</v>
      </c>
      <c r="G7154" s="7">
        <v>80.81</v>
      </c>
      <c r="H7154" s="7">
        <v>0.1</v>
      </c>
      <c r="I7154" s="9" t="s">
        <v>22</v>
      </c>
      <c r="J7154" s="10">
        <v>-67.459000000000003</v>
      </c>
      <c r="K7154" s="11">
        <v>4.24</v>
      </c>
      <c r="L7154" s="11">
        <v>5.41</v>
      </c>
      <c r="M7154" s="9" t="s">
        <v>1800</v>
      </c>
      <c r="N7154" s="6" t="s">
        <v>703</v>
      </c>
      <c r="O7154" s="6" t="s">
        <v>704</v>
      </c>
      <c r="P7154" s="9" t="s">
        <v>41</v>
      </c>
      <c r="Q7154" s="9" t="s">
        <v>26</v>
      </c>
      <c r="R7154" s="9" t="s">
        <v>37</v>
      </c>
      <c r="S7154" s="7" t="s">
        <v>873</v>
      </c>
      <c r="T7154" s="9" t="s">
        <v>39</v>
      </c>
      <c r="U7154" s="7">
        <v>0.35</v>
      </c>
      <c r="V7154" s="12">
        <f>C7154+2</f>
        <v>40982</v>
      </c>
      <c r="W7154">
        <f>IF(D7154=' Pivot Tables'!$A$4,1,0)</f>
        <v>0</v>
      </c>
      <c r="X7154">
        <f>IF(AND(LEFT(D7154,4)+1=LEFT(' Pivot Tables'!$A$4,4)+0,RIGHT(LEFT(D7154,7),2)=RIGHT(LEFT(' Pivot Tables'!$A$4,7),2)),1,0)</f>
        <v>0</v>
      </c>
      <c r="Y7154" s="6">
        <f>1/COUNTIF(Таблица1[Order ID],Таблица1[[#This Row],[Order ID]])</f>
        <v>0.5</v>
      </c>
      <c r="Z7154" s="9">
        <f>1/COUNTIFS(Таблица1[Customer Name],Таблица1[[#This Row],[Customer Name]],Таблица1[Order-Year-Month],Таблица1[[#This Row],[Order-Year-Month]])</f>
        <v>0.5</v>
      </c>
    </row>
    <row r="7155" spans="1:26" x14ac:dyDescent="0.2">
      <c r="A7155" s="6">
        <v>6231</v>
      </c>
      <c r="B7155" s="7">
        <v>44133</v>
      </c>
      <c r="C7155" s="8">
        <f>DATE(2012,12,31)-1090</f>
        <v>40184</v>
      </c>
      <c r="D7155" s="8" t="str">
        <f t="shared" si="133"/>
        <v>2010-01 (январь 2010)</v>
      </c>
      <c r="E7155" s="9" t="s">
        <v>30</v>
      </c>
      <c r="F7155" s="7">
        <v>35</v>
      </c>
      <c r="G7155" s="7">
        <v>181.15</v>
      </c>
      <c r="H7155" s="7">
        <v>0.06</v>
      </c>
      <c r="I7155" s="9" t="s">
        <v>22</v>
      </c>
      <c r="J7155" s="10">
        <v>-46.68</v>
      </c>
      <c r="K7155" s="11">
        <v>5.28</v>
      </c>
      <c r="L7155" s="11">
        <v>3.96</v>
      </c>
      <c r="M7155" s="9" t="s">
        <v>1536</v>
      </c>
      <c r="N7155" s="6" t="s">
        <v>703</v>
      </c>
      <c r="O7155" s="6" t="s">
        <v>704</v>
      </c>
      <c r="P7155" s="9" t="s">
        <v>25</v>
      </c>
      <c r="Q7155" s="9" t="s">
        <v>49</v>
      </c>
      <c r="R7155" s="9" t="s">
        <v>50</v>
      </c>
      <c r="S7155" s="7" t="s">
        <v>1669</v>
      </c>
      <c r="T7155" s="9" t="s">
        <v>68</v>
      </c>
      <c r="U7155" s="7">
        <v>0.54</v>
      </c>
      <c r="V7155" s="12">
        <f>C7155+1</f>
        <v>40185</v>
      </c>
      <c r="W7155">
        <f>IF(D7155=' Pivot Tables'!$A$4,1,0)</f>
        <v>1</v>
      </c>
      <c r="X7155">
        <f>IF(AND(LEFT(D7155,4)+1=LEFT(' Pivot Tables'!$A$4,4)+0,RIGHT(LEFT(D7155,7),2)=RIGHT(LEFT(' Pivot Tables'!$A$4,7),2)),1,0)</f>
        <v>0</v>
      </c>
      <c r="Y7155" s="6">
        <f>1/COUNTIF(Таблица1[Order ID],Таблица1[[#This Row],[Order ID]])</f>
        <v>1</v>
      </c>
      <c r="Z7155" s="9">
        <f>1/COUNTIFS(Таблица1[Customer Name],Таблица1[[#This Row],[Customer Name]],Таблица1[Order-Year-Month],Таблица1[[#This Row],[Order-Year-Month]])</f>
        <v>1</v>
      </c>
    </row>
    <row r="7156" spans="1:26" x14ac:dyDescent="0.2">
      <c r="A7156" s="6">
        <v>6249</v>
      </c>
      <c r="B7156" s="7">
        <v>44261</v>
      </c>
      <c r="C7156" s="8">
        <f>DATE(2012,12,31)-283</f>
        <v>40991</v>
      </c>
      <c r="D7156" s="8" t="str">
        <f t="shared" si="133"/>
        <v>2012-03 (март 2012)</v>
      </c>
      <c r="E7156" s="9" t="s">
        <v>30</v>
      </c>
      <c r="F7156" s="7">
        <v>31</v>
      </c>
      <c r="G7156" s="7">
        <v>13064.06</v>
      </c>
      <c r="H7156" s="7">
        <v>0.01</v>
      </c>
      <c r="I7156" s="9" t="s">
        <v>56</v>
      </c>
      <c r="J7156" s="10">
        <v>5979.5630000000001</v>
      </c>
      <c r="K7156" s="11">
        <v>420.98</v>
      </c>
      <c r="L7156" s="11">
        <v>19.989999999999998</v>
      </c>
      <c r="M7156" s="9" t="s">
        <v>2048</v>
      </c>
      <c r="N7156" s="6" t="s">
        <v>703</v>
      </c>
      <c r="O7156" s="6" t="s">
        <v>704</v>
      </c>
      <c r="P7156" s="9" t="s">
        <v>41</v>
      </c>
      <c r="Q7156" s="9" t="s">
        <v>26</v>
      </c>
      <c r="R7156" s="9" t="s">
        <v>37</v>
      </c>
      <c r="S7156" s="7" t="s">
        <v>607</v>
      </c>
      <c r="T7156" s="9" t="s">
        <v>39</v>
      </c>
      <c r="U7156" s="7">
        <v>0.35</v>
      </c>
      <c r="V7156" s="12">
        <f>C7156+2</f>
        <v>40993</v>
      </c>
      <c r="W7156">
        <f>IF(D7156=' Pivot Tables'!$A$4,1,0)</f>
        <v>0</v>
      </c>
      <c r="X7156">
        <f>IF(AND(LEFT(D7156,4)+1=LEFT(' Pivot Tables'!$A$4,4)+0,RIGHT(LEFT(D7156,7),2)=RIGHT(LEFT(' Pivot Tables'!$A$4,7),2)),1,0)</f>
        <v>0</v>
      </c>
      <c r="Y7156" s="6">
        <f>1/COUNTIF(Таблица1[Order ID],Таблица1[[#This Row],[Order ID]])</f>
        <v>0.25</v>
      </c>
      <c r="Z7156" s="9">
        <f>1/COUNTIFS(Таблица1[Customer Name],Таблица1[[#This Row],[Customer Name]],Таблица1[Order-Year-Month],Таблица1[[#This Row],[Order-Year-Month]])</f>
        <v>0.25</v>
      </c>
    </row>
    <row r="7157" spans="1:26" x14ac:dyDescent="0.2">
      <c r="A7157" s="6">
        <v>6250</v>
      </c>
      <c r="B7157" s="7">
        <v>44261</v>
      </c>
      <c r="C7157" s="8">
        <f>DATE(2012,12,31)-283</f>
        <v>40991</v>
      </c>
      <c r="D7157" s="8" t="str">
        <f t="shared" si="133"/>
        <v>2012-03 (март 2012)</v>
      </c>
      <c r="E7157" s="9" t="s">
        <v>30</v>
      </c>
      <c r="F7157" s="7">
        <v>34</v>
      </c>
      <c r="G7157" s="7">
        <v>4771.8900000000003</v>
      </c>
      <c r="H7157" s="7">
        <v>0.05</v>
      </c>
      <c r="I7157" s="9" t="s">
        <v>31</v>
      </c>
      <c r="J7157" s="10">
        <v>-427.99</v>
      </c>
      <c r="K7157" s="11">
        <v>140.97999999999999</v>
      </c>
      <c r="L7157" s="11">
        <v>36.090000000000003</v>
      </c>
      <c r="M7157" s="9" t="s">
        <v>2048</v>
      </c>
      <c r="N7157" s="6" t="s">
        <v>703</v>
      </c>
      <c r="O7157" s="6" t="s">
        <v>704</v>
      </c>
      <c r="P7157" s="9" t="s">
        <v>41</v>
      </c>
      <c r="Q7157" s="9" t="s">
        <v>49</v>
      </c>
      <c r="R7157" s="9" t="s">
        <v>80</v>
      </c>
      <c r="S7157" s="7" t="s">
        <v>349</v>
      </c>
      <c r="T7157" s="9" t="s">
        <v>82</v>
      </c>
      <c r="U7157" s="7">
        <v>0.77</v>
      </c>
      <c r="V7157" s="12">
        <f>C7157+2</f>
        <v>40993</v>
      </c>
      <c r="W7157">
        <f>IF(D7157=' Pivot Tables'!$A$4,1,0)</f>
        <v>0</v>
      </c>
      <c r="X7157">
        <f>IF(AND(LEFT(D7157,4)+1=LEFT(' Pivot Tables'!$A$4,4)+0,RIGHT(LEFT(D7157,7),2)=RIGHT(LEFT(' Pivot Tables'!$A$4,7),2)),1,0)</f>
        <v>0</v>
      </c>
      <c r="Y7157" s="6">
        <f>1/COUNTIF(Таблица1[Order ID],Таблица1[[#This Row],[Order ID]])</f>
        <v>0.25</v>
      </c>
      <c r="Z7157" s="9">
        <f>1/COUNTIFS(Таблица1[Customer Name],Таблица1[[#This Row],[Customer Name]],Таблица1[Order-Year-Month],Таблица1[[#This Row],[Order-Year-Month]])</f>
        <v>0.25</v>
      </c>
    </row>
    <row r="7158" spans="1:26" x14ac:dyDescent="0.2">
      <c r="A7158" s="6">
        <v>6251</v>
      </c>
      <c r="B7158" s="7">
        <v>44261</v>
      </c>
      <c r="C7158" s="8">
        <f>DATE(2012,12,31)-283</f>
        <v>40991</v>
      </c>
      <c r="D7158" s="8" t="str">
        <f t="shared" si="133"/>
        <v>2012-03 (март 2012)</v>
      </c>
      <c r="E7158" s="9" t="s">
        <v>30</v>
      </c>
      <c r="F7158" s="7">
        <v>1</v>
      </c>
      <c r="G7158" s="7">
        <v>3360.3</v>
      </c>
      <c r="H7158" s="7">
        <v>0.05</v>
      </c>
      <c r="I7158" s="9" t="s">
        <v>31</v>
      </c>
      <c r="J7158" s="10">
        <v>-7961.4308999999994</v>
      </c>
      <c r="K7158" s="11">
        <v>3502.14</v>
      </c>
      <c r="L7158" s="11">
        <v>8.73</v>
      </c>
      <c r="M7158" s="9" t="s">
        <v>2048</v>
      </c>
      <c r="N7158" s="6" t="s">
        <v>703</v>
      </c>
      <c r="O7158" s="6" t="s">
        <v>704</v>
      </c>
      <c r="P7158" s="9" t="s">
        <v>41</v>
      </c>
      <c r="Q7158" s="9" t="s">
        <v>42</v>
      </c>
      <c r="R7158" s="9" t="s">
        <v>210</v>
      </c>
      <c r="S7158" s="7" t="s">
        <v>2043</v>
      </c>
      <c r="T7158" s="9" t="s">
        <v>82</v>
      </c>
      <c r="U7158" s="7">
        <v>0.56999999999999995</v>
      </c>
      <c r="V7158" s="12">
        <f>C7158+1</f>
        <v>40992</v>
      </c>
      <c r="W7158">
        <f>IF(D7158=' Pivot Tables'!$A$4,1,0)</f>
        <v>0</v>
      </c>
      <c r="X7158">
        <f>IF(AND(LEFT(D7158,4)+1=LEFT(' Pivot Tables'!$A$4,4)+0,RIGHT(LEFT(D7158,7),2)=RIGHT(LEFT(' Pivot Tables'!$A$4,7),2)),1,0)</f>
        <v>0</v>
      </c>
      <c r="Y7158" s="6">
        <f>1/COUNTIF(Таблица1[Order ID],Таблица1[[#This Row],[Order ID]])</f>
        <v>0.25</v>
      </c>
      <c r="Z7158" s="9">
        <f>1/COUNTIFS(Таблица1[Customer Name],Таблица1[[#This Row],[Customer Name]],Таблица1[Order-Year-Month],Таблица1[[#This Row],[Order-Year-Month]])</f>
        <v>0.25</v>
      </c>
    </row>
    <row r="7159" spans="1:26" x14ac:dyDescent="0.2">
      <c r="A7159" s="6">
        <v>6252</v>
      </c>
      <c r="B7159" s="7">
        <v>44261</v>
      </c>
      <c r="C7159" s="8">
        <f>DATE(2012,12,31)-283</f>
        <v>40991</v>
      </c>
      <c r="D7159" s="8" t="str">
        <f t="shared" si="133"/>
        <v>2012-03 (март 2012)</v>
      </c>
      <c r="E7159" s="9" t="s">
        <v>30</v>
      </c>
      <c r="F7159" s="7">
        <v>10</v>
      </c>
      <c r="G7159" s="7">
        <v>306.66299999999995</v>
      </c>
      <c r="H7159" s="7">
        <v>7.0000000000000007E-2</v>
      </c>
      <c r="I7159" s="9" t="s">
        <v>22</v>
      </c>
      <c r="J7159" s="10">
        <v>-17.413</v>
      </c>
      <c r="K7159" s="11">
        <v>35.99</v>
      </c>
      <c r="L7159" s="11">
        <v>5.99</v>
      </c>
      <c r="M7159" s="9" t="s">
        <v>2048</v>
      </c>
      <c r="N7159" s="6" t="s">
        <v>703</v>
      </c>
      <c r="O7159" s="6" t="s">
        <v>704</v>
      </c>
      <c r="P7159" s="9" t="s">
        <v>41</v>
      </c>
      <c r="Q7159" s="9" t="s">
        <v>42</v>
      </c>
      <c r="R7159" s="9" t="s">
        <v>43</v>
      </c>
      <c r="S7159" s="7" t="s">
        <v>907</v>
      </c>
      <c r="T7159" s="9" t="s">
        <v>68</v>
      </c>
      <c r="U7159" s="7">
        <v>0.38</v>
      </c>
      <c r="V7159" s="12">
        <f>C7159+3</f>
        <v>40994</v>
      </c>
      <c r="W7159">
        <f>IF(D7159=' Pivot Tables'!$A$4,1,0)</f>
        <v>0</v>
      </c>
      <c r="X7159">
        <f>IF(AND(LEFT(D7159,4)+1=LEFT(' Pivot Tables'!$A$4,4)+0,RIGHT(LEFT(D7159,7),2)=RIGHT(LEFT(' Pivot Tables'!$A$4,7),2)),1,0)</f>
        <v>0</v>
      </c>
      <c r="Y7159" s="6">
        <f>1/COUNTIF(Таблица1[Order ID],Таблица1[[#This Row],[Order ID]])</f>
        <v>0.25</v>
      </c>
      <c r="Z7159" s="9">
        <f>1/COUNTIFS(Таблица1[Customer Name],Таблица1[[#This Row],[Customer Name]],Таблица1[Order-Year-Month],Таблица1[[#This Row],[Order-Year-Month]])</f>
        <v>0.25</v>
      </c>
    </row>
    <row r="7160" spans="1:26" x14ac:dyDescent="0.2">
      <c r="A7160" s="6">
        <v>6263</v>
      </c>
      <c r="B7160" s="7">
        <v>44323</v>
      </c>
      <c r="C7160" s="8">
        <f>DATE(2012,12,31)-146</f>
        <v>41128</v>
      </c>
      <c r="D7160" s="8" t="str">
        <f t="shared" si="133"/>
        <v>2012-08 (август 2012)</v>
      </c>
      <c r="E7160" s="9" t="s">
        <v>63</v>
      </c>
      <c r="F7160" s="7">
        <v>27</v>
      </c>
      <c r="G7160" s="7">
        <v>21320.58</v>
      </c>
      <c r="H7160" s="7">
        <v>0.09</v>
      </c>
      <c r="I7160" s="9" t="s">
        <v>31</v>
      </c>
      <c r="J7160" s="10">
        <v>5381.02</v>
      </c>
      <c r="K7160" s="11">
        <v>810.98</v>
      </c>
      <c r="L7160" s="11">
        <v>16.059999999999999</v>
      </c>
      <c r="M7160" s="9" t="s">
        <v>149</v>
      </c>
      <c r="N7160" s="6" t="s">
        <v>703</v>
      </c>
      <c r="O7160" s="6" t="s">
        <v>704</v>
      </c>
      <c r="P7160" s="9" t="s">
        <v>41</v>
      </c>
      <c r="Q7160" s="9" t="s">
        <v>42</v>
      </c>
      <c r="R7160" s="9" t="s">
        <v>210</v>
      </c>
      <c r="S7160" s="7" t="s">
        <v>1315</v>
      </c>
      <c r="T7160" s="9" t="s">
        <v>36</v>
      </c>
      <c r="U7160" s="7">
        <v>0.56000000000000005</v>
      </c>
      <c r="V7160" s="12">
        <f>C7160+2</f>
        <v>41130</v>
      </c>
      <c r="W7160">
        <f>IF(D7160=' Pivot Tables'!$A$4,1,0)</f>
        <v>0</v>
      </c>
      <c r="X7160">
        <f>IF(AND(LEFT(D7160,4)+1=LEFT(' Pivot Tables'!$A$4,4)+0,RIGHT(LEFT(D7160,7),2)=RIGHT(LEFT(' Pivot Tables'!$A$4,7),2)),1,0)</f>
        <v>0</v>
      </c>
      <c r="Y7160" s="6">
        <f>1/COUNTIF(Таблица1[Order ID],Таблица1[[#This Row],[Order ID]])</f>
        <v>1</v>
      </c>
      <c r="Z7160" s="9">
        <f>1/COUNTIFS(Таблица1[Customer Name],Таблица1[[#This Row],[Customer Name]],Таблица1[Order-Year-Month],Таблица1[[#This Row],[Order-Year-Month]])</f>
        <v>1</v>
      </c>
    </row>
    <row r="7161" spans="1:26" x14ac:dyDescent="0.2">
      <c r="A7161" s="6">
        <v>6289</v>
      </c>
      <c r="B7161" s="7">
        <v>44517</v>
      </c>
      <c r="C7161" s="8">
        <f>DATE(2012,12,31)-1348</f>
        <v>39926</v>
      </c>
      <c r="D7161" s="8" t="str">
        <f t="shared" si="133"/>
        <v>2009-04 (апрель 2009)</v>
      </c>
      <c r="E7161" s="9" t="s">
        <v>63</v>
      </c>
      <c r="F7161" s="7">
        <v>5</v>
      </c>
      <c r="G7161" s="7">
        <v>32.5</v>
      </c>
      <c r="H7161" s="7">
        <v>0.03</v>
      </c>
      <c r="I7161" s="9" t="s">
        <v>22</v>
      </c>
      <c r="J7161" s="10">
        <v>-16.670000000000002</v>
      </c>
      <c r="K7161" s="11">
        <v>5.28</v>
      </c>
      <c r="L7161" s="11">
        <v>5.61</v>
      </c>
      <c r="M7161" s="9" t="s">
        <v>1488</v>
      </c>
      <c r="N7161" s="6" t="s">
        <v>703</v>
      </c>
      <c r="O7161" s="6" t="s">
        <v>704</v>
      </c>
      <c r="P7161" s="9" t="s">
        <v>33</v>
      </c>
      <c r="Q7161" s="9" t="s">
        <v>26</v>
      </c>
      <c r="R7161" s="9" t="s">
        <v>61</v>
      </c>
      <c r="S7161" s="7" t="s">
        <v>1834</v>
      </c>
      <c r="T7161" s="9" t="s">
        <v>39</v>
      </c>
      <c r="U7161" s="7">
        <v>0.4</v>
      </c>
      <c r="V7161" s="12">
        <f>C7161+1</f>
        <v>39927</v>
      </c>
      <c r="W7161">
        <f>IF(D7161=' Pivot Tables'!$A$4,1,0)</f>
        <v>0</v>
      </c>
      <c r="X7161">
        <f>IF(AND(LEFT(D7161,4)+1=LEFT(' Pivot Tables'!$A$4,4)+0,RIGHT(LEFT(D7161,7),2)=RIGHT(LEFT(' Pivot Tables'!$A$4,7),2)),1,0)</f>
        <v>0</v>
      </c>
      <c r="Y7161" s="6">
        <f>1/COUNTIF(Таблица1[Order ID],Таблица1[[#This Row],[Order ID]])</f>
        <v>1</v>
      </c>
      <c r="Z7161" s="9">
        <f>1/COUNTIFS(Таблица1[Customer Name],Таблица1[[#This Row],[Customer Name]],Таблица1[Order-Year-Month],Таблица1[[#This Row],[Order-Year-Month]])</f>
        <v>1</v>
      </c>
    </row>
    <row r="7162" spans="1:26" x14ac:dyDescent="0.2">
      <c r="A7162" s="6">
        <v>6294</v>
      </c>
      <c r="B7162" s="7">
        <v>44549</v>
      </c>
      <c r="C7162" s="8">
        <f>DATE(2012,12,31)-344</f>
        <v>40930</v>
      </c>
      <c r="D7162" s="8" t="str">
        <f t="shared" si="133"/>
        <v>2012-01 (январь 2012)</v>
      </c>
      <c r="E7162" s="9" t="s">
        <v>63</v>
      </c>
      <c r="F7162" s="7">
        <v>5</v>
      </c>
      <c r="G7162" s="7">
        <v>11.25</v>
      </c>
      <c r="H7162" s="7">
        <v>0.08</v>
      </c>
      <c r="I7162" s="9" t="s">
        <v>22</v>
      </c>
      <c r="J7162" s="10">
        <v>-4.9564999999999992</v>
      </c>
      <c r="K7162" s="11">
        <v>2.08</v>
      </c>
      <c r="L7162" s="11">
        <v>1.49</v>
      </c>
      <c r="M7162" s="9" t="s">
        <v>1581</v>
      </c>
      <c r="N7162" s="6" t="s">
        <v>703</v>
      </c>
      <c r="O7162" s="6" t="s">
        <v>704</v>
      </c>
      <c r="P7162" s="9" t="s">
        <v>25</v>
      </c>
      <c r="Q7162" s="9" t="s">
        <v>26</v>
      </c>
      <c r="R7162" s="9" t="s">
        <v>37</v>
      </c>
      <c r="S7162" s="7" t="s">
        <v>779</v>
      </c>
      <c r="T7162" s="9" t="s">
        <v>39</v>
      </c>
      <c r="U7162" s="7">
        <v>0.38</v>
      </c>
      <c r="V7162" s="12">
        <f>C7162+1</f>
        <v>40931</v>
      </c>
      <c r="W7162">
        <f>IF(D7162=' Pivot Tables'!$A$4,1,0)</f>
        <v>0</v>
      </c>
      <c r="X7162">
        <f>IF(AND(LEFT(D7162,4)+1=LEFT(' Pivot Tables'!$A$4,4)+0,RIGHT(LEFT(D7162,7),2)=RIGHT(LEFT(' Pivot Tables'!$A$4,7),2)),1,0)</f>
        <v>0</v>
      </c>
      <c r="Y7162" s="6">
        <f>1/COUNTIF(Таблица1[Order ID],Таблица1[[#This Row],[Order ID]])</f>
        <v>1</v>
      </c>
      <c r="Z7162" s="9">
        <f>1/COUNTIFS(Таблица1[Customer Name],Таблица1[[#This Row],[Customer Name]],Таблица1[Order-Year-Month],Таблица1[[#This Row],[Order-Year-Month]])</f>
        <v>1</v>
      </c>
    </row>
    <row r="7163" spans="1:26" x14ac:dyDescent="0.2">
      <c r="A7163" s="6">
        <v>6315</v>
      </c>
      <c r="B7163" s="7">
        <v>44679</v>
      </c>
      <c r="C7163" s="8">
        <f>DATE(2012,12,31)-211</f>
        <v>41063</v>
      </c>
      <c r="D7163" s="8" t="str">
        <f t="shared" si="133"/>
        <v>2012-06 (июнь 2012)</v>
      </c>
      <c r="E7163" s="9" t="s">
        <v>63</v>
      </c>
      <c r="F7163" s="7">
        <v>22</v>
      </c>
      <c r="G7163" s="7">
        <v>127.51</v>
      </c>
      <c r="H7163" s="7">
        <v>7.0000000000000007E-2</v>
      </c>
      <c r="I7163" s="9" t="s">
        <v>22</v>
      </c>
      <c r="J7163" s="10">
        <v>26.741</v>
      </c>
      <c r="K7163" s="11">
        <v>5.98</v>
      </c>
      <c r="L7163" s="11">
        <v>1.49</v>
      </c>
      <c r="M7163" s="9" t="s">
        <v>1575</v>
      </c>
      <c r="N7163" s="6" t="s">
        <v>703</v>
      </c>
      <c r="O7163" s="6" t="s">
        <v>704</v>
      </c>
      <c r="P7163" s="9" t="s">
        <v>25</v>
      </c>
      <c r="Q7163" s="9" t="s">
        <v>26</v>
      </c>
      <c r="R7163" s="9" t="s">
        <v>37</v>
      </c>
      <c r="S7163" s="7" t="s">
        <v>1351</v>
      </c>
      <c r="T7163" s="9" t="s">
        <v>39</v>
      </c>
      <c r="U7163" s="7">
        <v>0.39</v>
      </c>
      <c r="V7163" s="12">
        <f>C7163+1</f>
        <v>41064</v>
      </c>
      <c r="W7163">
        <f>IF(D7163=' Pivot Tables'!$A$4,1,0)</f>
        <v>0</v>
      </c>
      <c r="X7163">
        <f>IF(AND(LEFT(D7163,4)+1=LEFT(' Pivot Tables'!$A$4,4)+0,RIGHT(LEFT(D7163,7),2)=RIGHT(LEFT(' Pivot Tables'!$A$4,7),2)),1,0)</f>
        <v>0</v>
      </c>
      <c r="Y7163" s="6">
        <f>1/COUNTIF(Таблица1[Order ID],Таблица1[[#This Row],[Order ID]])</f>
        <v>0.5</v>
      </c>
      <c r="Z7163" s="9">
        <f>1/COUNTIFS(Таблица1[Customer Name],Таблица1[[#This Row],[Customer Name]],Таблица1[Order-Year-Month],Таблица1[[#This Row],[Order-Year-Month]])</f>
        <v>0.33333333333333331</v>
      </c>
    </row>
    <row r="7164" spans="1:26" x14ac:dyDescent="0.2">
      <c r="A7164" s="6">
        <v>6316</v>
      </c>
      <c r="B7164" s="7">
        <v>44679</v>
      </c>
      <c r="C7164" s="8">
        <f>DATE(2012,12,31)-211</f>
        <v>41063</v>
      </c>
      <c r="D7164" s="8" t="str">
        <f t="shared" si="133"/>
        <v>2012-06 (июнь 2012)</v>
      </c>
      <c r="E7164" s="9" t="s">
        <v>63</v>
      </c>
      <c r="F7164" s="7">
        <v>35</v>
      </c>
      <c r="G7164" s="7">
        <v>2004.22</v>
      </c>
      <c r="H7164" s="7">
        <v>0.08</v>
      </c>
      <c r="I7164" s="9" t="s">
        <v>22</v>
      </c>
      <c r="J7164" s="10">
        <v>338.91</v>
      </c>
      <c r="K7164" s="11">
        <v>60.65</v>
      </c>
      <c r="L7164" s="11">
        <v>12.23</v>
      </c>
      <c r="M7164" s="9" t="s">
        <v>1575</v>
      </c>
      <c r="N7164" s="6" t="s">
        <v>703</v>
      </c>
      <c r="O7164" s="6" t="s">
        <v>704</v>
      </c>
      <c r="P7164" s="9" t="s">
        <v>25</v>
      </c>
      <c r="Q7164" s="9" t="s">
        <v>49</v>
      </c>
      <c r="R7164" s="9" t="s">
        <v>50</v>
      </c>
      <c r="S7164" s="7" t="s">
        <v>1217</v>
      </c>
      <c r="T7164" s="9" t="s">
        <v>48</v>
      </c>
      <c r="U7164" s="7">
        <v>0.64</v>
      </c>
      <c r="V7164" s="12">
        <f>C7164+2</f>
        <v>41065</v>
      </c>
      <c r="W7164">
        <f>IF(D7164=' Pivot Tables'!$A$4,1,0)</f>
        <v>0</v>
      </c>
      <c r="X7164">
        <f>IF(AND(LEFT(D7164,4)+1=LEFT(' Pivot Tables'!$A$4,4)+0,RIGHT(LEFT(D7164,7),2)=RIGHT(LEFT(' Pivot Tables'!$A$4,7),2)),1,0)</f>
        <v>0</v>
      </c>
      <c r="Y7164" s="6">
        <f>1/COUNTIF(Таблица1[Order ID],Таблица1[[#This Row],[Order ID]])</f>
        <v>0.5</v>
      </c>
      <c r="Z7164" s="9">
        <f>1/COUNTIFS(Таблица1[Customer Name],Таблица1[[#This Row],[Customer Name]],Таблица1[Order-Year-Month],Таблица1[[#This Row],[Order-Year-Month]])</f>
        <v>0.33333333333333331</v>
      </c>
    </row>
    <row r="7165" spans="1:26" x14ac:dyDescent="0.2">
      <c r="A7165" s="6">
        <v>6329</v>
      </c>
      <c r="B7165" s="7">
        <v>44836</v>
      </c>
      <c r="C7165" s="8">
        <f>DATE(2012,12,31)-1207</f>
        <v>40067</v>
      </c>
      <c r="D7165" s="8" t="str">
        <f t="shared" si="133"/>
        <v>2009-09 (сентябрь 2009)</v>
      </c>
      <c r="E7165" s="9" t="s">
        <v>63</v>
      </c>
      <c r="F7165" s="7">
        <v>21</v>
      </c>
      <c r="G7165" s="7">
        <v>125.79</v>
      </c>
      <c r="H7165" s="7">
        <v>0.02</v>
      </c>
      <c r="I7165" s="9" t="s">
        <v>22</v>
      </c>
      <c r="J7165" s="10">
        <v>28.526000000000003</v>
      </c>
      <c r="K7165" s="11">
        <v>5.98</v>
      </c>
      <c r="L7165" s="11">
        <v>1.49</v>
      </c>
      <c r="M7165" s="9" t="s">
        <v>2034</v>
      </c>
      <c r="N7165" s="6" t="s">
        <v>703</v>
      </c>
      <c r="O7165" s="6" t="s">
        <v>704</v>
      </c>
      <c r="P7165" s="9" t="s">
        <v>41</v>
      </c>
      <c r="Q7165" s="9" t="s">
        <v>26</v>
      </c>
      <c r="R7165" s="9" t="s">
        <v>37</v>
      </c>
      <c r="S7165" s="7" t="s">
        <v>1351</v>
      </c>
      <c r="T7165" s="9" t="s">
        <v>39</v>
      </c>
      <c r="U7165" s="7">
        <v>0.39</v>
      </c>
      <c r="V7165" s="12">
        <f>C7165+1</f>
        <v>40068</v>
      </c>
      <c r="W7165">
        <f>IF(D7165=' Pivot Tables'!$A$4,1,0)</f>
        <v>0</v>
      </c>
      <c r="X7165">
        <f>IF(AND(LEFT(D7165,4)+1=LEFT(' Pivot Tables'!$A$4,4)+0,RIGHT(LEFT(D7165,7),2)=RIGHT(LEFT(' Pivot Tables'!$A$4,7),2)),1,0)</f>
        <v>0</v>
      </c>
      <c r="Y7165" s="6">
        <f>1/COUNTIF(Таблица1[Order ID],Таблица1[[#This Row],[Order ID]])</f>
        <v>1</v>
      </c>
      <c r="Z7165" s="9">
        <f>1/COUNTIFS(Таблица1[Customer Name],Таблица1[[#This Row],[Customer Name]],Таблица1[Order-Year-Month],Таблица1[[#This Row],[Order-Year-Month]])</f>
        <v>0.5</v>
      </c>
    </row>
    <row r="7166" spans="1:26" x14ac:dyDescent="0.2">
      <c r="A7166" s="6">
        <v>6358</v>
      </c>
      <c r="B7166" s="7">
        <v>45120</v>
      </c>
      <c r="C7166" s="8">
        <f>DATE(2012,12,31)-1362</f>
        <v>39912</v>
      </c>
      <c r="D7166" s="8" t="str">
        <f t="shared" si="133"/>
        <v>2009-04 (апрель 2009)</v>
      </c>
      <c r="E7166" s="9" t="s">
        <v>78</v>
      </c>
      <c r="F7166" s="7">
        <v>39</v>
      </c>
      <c r="G7166" s="7">
        <v>14591.44</v>
      </c>
      <c r="H7166" s="7">
        <v>7.0000000000000007E-2</v>
      </c>
      <c r="I7166" s="9" t="s">
        <v>31</v>
      </c>
      <c r="J7166" s="10">
        <v>5475.8</v>
      </c>
      <c r="K7166" s="11">
        <v>400.97</v>
      </c>
      <c r="L7166" s="11">
        <v>48.26</v>
      </c>
      <c r="M7166" s="9" t="s">
        <v>1567</v>
      </c>
      <c r="N7166" s="6" t="s">
        <v>703</v>
      </c>
      <c r="O7166" s="6" t="s">
        <v>704</v>
      </c>
      <c r="P7166" s="9" t="s">
        <v>33</v>
      </c>
      <c r="Q7166" s="9" t="s">
        <v>42</v>
      </c>
      <c r="R7166" s="9" t="s">
        <v>210</v>
      </c>
      <c r="S7166" s="7" t="s">
        <v>966</v>
      </c>
      <c r="T7166" s="9" t="s">
        <v>82</v>
      </c>
      <c r="U7166" s="7">
        <v>0.36</v>
      </c>
      <c r="V7166" s="12">
        <f>C7166+1</f>
        <v>39913</v>
      </c>
      <c r="W7166">
        <f>IF(D7166=' Pivot Tables'!$A$4,1,0)</f>
        <v>0</v>
      </c>
      <c r="X7166">
        <f>IF(AND(LEFT(D7166,4)+1=LEFT(' Pivot Tables'!$A$4,4)+0,RIGHT(LEFT(D7166,7),2)=RIGHT(LEFT(' Pivot Tables'!$A$4,7),2)),1,0)</f>
        <v>0</v>
      </c>
      <c r="Y7166" s="6">
        <f>1/COUNTIF(Таблица1[Order ID],Таблица1[[#This Row],[Order ID]])</f>
        <v>1</v>
      </c>
      <c r="Z7166" s="9">
        <f>1/COUNTIFS(Таблица1[Customer Name],Таблица1[[#This Row],[Customer Name]],Таблица1[Order-Year-Month],Таблица1[[#This Row],[Order-Year-Month]])</f>
        <v>0.33333333333333331</v>
      </c>
    </row>
    <row r="7167" spans="1:26" x14ac:dyDescent="0.2">
      <c r="A7167" s="6">
        <v>6367</v>
      </c>
      <c r="B7167" s="7">
        <v>45158</v>
      </c>
      <c r="C7167" s="8">
        <f>DATE(2012,12,31)-996</f>
        <v>40278</v>
      </c>
      <c r="D7167" s="8" t="str">
        <f t="shared" si="133"/>
        <v>2010-04 (апрель 2010)</v>
      </c>
      <c r="E7167" s="9" t="s">
        <v>21</v>
      </c>
      <c r="F7167" s="7">
        <v>40</v>
      </c>
      <c r="G7167" s="7">
        <v>375.52</v>
      </c>
      <c r="H7167" s="7">
        <v>0.09</v>
      </c>
      <c r="I7167" s="9" t="s">
        <v>22</v>
      </c>
      <c r="J7167" s="10">
        <v>131.69999999999999</v>
      </c>
      <c r="K7167" s="11">
        <v>9.68</v>
      </c>
      <c r="L7167" s="11">
        <v>2.0299999999999998</v>
      </c>
      <c r="M7167" s="9" t="s">
        <v>2048</v>
      </c>
      <c r="N7167" s="6" t="s">
        <v>703</v>
      </c>
      <c r="O7167" s="6" t="s">
        <v>704</v>
      </c>
      <c r="P7167" s="9" t="s">
        <v>41</v>
      </c>
      <c r="Q7167" s="9" t="s">
        <v>26</v>
      </c>
      <c r="R7167" s="9" t="s">
        <v>61</v>
      </c>
      <c r="S7167" s="7" t="s">
        <v>1119</v>
      </c>
      <c r="T7167" s="9" t="s">
        <v>68</v>
      </c>
      <c r="U7167" s="7">
        <v>0.37</v>
      </c>
      <c r="V7167" s="12">
        <f>C7167+2</f>
        <v>40280</v>
      </c>
      <c r="W7167">
        <f>IF(D7167=' Pivot Tables'!$A$4,1,0)</f>
        <v>0</v>
      </c>
      <c r="X7167">
        <f>IF(AND(LEFT(D7167,4)+1=LEFT(' Pivot Tables'!$A$4,4)+0,RIGHT(LEFT(D7167,7),2)=RIGHT(LEFT(' Pivot Tables'!$A$4,7),2)),1,0)</f>
        <v>0</v>
      </c>
      <c r="Y7167" s="6">
        <f>1/COUNTIF(Таблица1[Order ID],Таблица1[[#This Row],[Order ID]])</f>
        <v>0.5</v>
      </c>
      <c r="Z7167" s="9">
        <f>1/COUNTIFS(Таблица1[Customer Name],Таблица1[[#This Row],[Customer Name]],Таблица1[Order-Year-Month],Таблица1[[#This Row],[Order-Year-Month]])</f>
        <v>0.5</v>
      </c>
    </row>
    <row r="7168" spans="1:26" x14ac:dyDescent="0.2">
      <c r="A7168" s="6">
        <v>6368</v>
      </c>
      <c r="B7168" s="7">
        <v>45158</v>
      </c>
      <c r="C7168" s="8">
        <f>DATE(2012,12,31)-996</f>
        <v>40278</v>
      </c>
      <c r="D7168" s="8" t="str">
        <f t="shared" si="133"/>
        <v>2010-04 (апрель 2010)</v>
      </c>
      <c r="E7168" s="9" t="s">
        <v>21</v>
      </c>
      <c r="F7168" s="7">
        <v>15</v>
      </c>
      <c r="G7168" s="7">
        <v>63.84</v>
      </c>
      <c r="H7168" s="7">
        <v>0.03</v>
      </c>
      <c r="I7168" s="9" t="s">
        <v>56</v>
      </c>
      <c r="J7168" s="10">
        <v>23.52</v>
      </c>
      <c r="K7168" s="11">
        <v>3.78</v>
      </c>
      <c r="L7168" s="11">
        <v>0.71</v>
      </c>
      <c r="M7168" s="9" t="s">
        <v>2048</v>
      </c>
      <c r="N7168" s="6" t="s">
        <v>703</v>
      </c>
      <c r="O7168" s="6" t="s">
        <v>704</v>
      </c>
      <c r="P7168" s="9" t="s">
        <v>41</v>
      </c>
      <c r="Q7168" s="9" t="s">
        <v>26</v>
      </c>
      <c r="R7168" s="9" t="s">
        <v>66</v>
      </c>
      <c r="S7168" s="7" t="s">
        <v>419</v>
      </c>
      <c r="T7168" s="9" t="s">
        <v>68</v>
      </c>
      <c r="U7168" s="7">
        <v>0.39</v>
      </c>
      <c r="V7168" s="12">
        <f>C7168+5</f>
        <v>40283</v>
      </c>
      <c r="W7168">
        <f>IF(D7168=' Pivot Tables'!$A$4,1,0)</f>
        <v>0</v>
      </c>
      <c r="X7168">
        <f>IF(AND(LEFT(D7168,4)+1=LEFT(' Pivot Tables'!$A$4,4)+0,RIGHT(LEFT(D7168,7),2)=RIGHT(LEFT(' Pivot Tables'!$A$4,7),2)),1,0)</f>
        <v>0</v>
      </c>
      <c r="Y7168" s="6">
        <f>1/COUNTIF(Таблица1[Order ID],Таблица1[[#This Row],[Order ID]])</f>
        <v>0.5</v>
      </c>
      <c r="Z7168" s="9">
        <f>1/COUNTIFS(Таблица1[Customer Name],Таблица1[[#This Row],[Customer Name]],Таблица1[Order-Year-Month],Таблица1[[#This Row],[Order-Year-Month]])</f>
        <v>0.5</v>
      </c>
    </row>
    <row r="7169" spans="1:26" x14ac:dyDescent="0.2">
      <c r="A7169" s="6">
        <v>6377</v>
      </c>
      <c r="B7169" s="7">
        <v>45254</v>
      </c>
      <c r="C7169" s="8">
        <f>DATE(2012,12,31)-889</f>
        <v>40385</v>
      </c>
      <c r="D7169" s="8" t="str">
        <f t="shared" si="133"/>
        <v>2010-07 (июль 2010)</v>
      </c>
      <c r="E7169" s="9" t="s">
        <v>30</v>
      </c>
      <c r="F7169" s="7">
        <v>45</v>
      </c>
      <c r="G7169" s="7">
        <v>3327.84</v>
      </c>
      <c r="H7169" s="7">
        <v>0.06</v>
      </c>
      <c r="I7169" s="9" t="s">
        <v>31</v>
      </c>
      <c r="J7169" s="10">
        <v>-3033.57</v>
      </c>
      <c r="K7169" s="11">
        <v>70.89</v>
      </c>
      <c r="L7169" s="11">
        <v>89.3</v>
      </c>
      <c r="M7169" s="9" t="s">
        <v>1651</v>
      </c>
      <c r="N7169" s="6" t="s">
        <v>703</v>
      </c>
      <c r="O7169" s="6" t="s">
        <v>704</v>
      </c>
      <c r="P7169" s="9" t="s">
        <v>60</v>
      </c>
      <c r="Q7169" s="9" t="s">
        <v>49</v>
      </c>
      <c r="R7169" s="9" t="s">
        <v>83</v>
      </c>
      <c r="S7169" s="7" t="s">
        <v>1071</v>
      </c>
      <c r="T7169" s="9" t="s">
        <v>82</v>
      </c>
      <c r="U7169" s="7">
        <v>0.69</v>
      </c>
      <c r="V7169" s="12">
        <f>C7169+1</f>
        <v>40386</v>
      </c>
      <c r="W7169">
        <f>IF(D7169=' Pivot Tables'!$A$4,1,0)</f>
        <v>0</v>
      </c>
      <c r="X7169">
        <f>IF(AND(LEFT(D7169,4)+1=LEFT(' Pivot Tables'!$A$4,4)+0,RIGHT(LEFT(D7169,7),2)=RIGHT(LEFT(' Pivot Tables'!$A$4,7),2)),1,0)</f>
        <v>0</v>
      </c>
      <c r="Y7169" s="6">
        <f>1/COUNTIF(Таблица1[Order ID],Таблица1[[#This Row],[Order ID]])</f>
        <v>1</v>
      </c>
      <c r="Z7169" s="9">
        <f>1/COUNTIFS(Таблица1[Customer Name],Таблица1[[#This Row],[Customer Name]],Таблица1[Order-Year-Month],Таблица1[[#This Row],[Order-Year-Month]])</f>
        <v>1</v>
      </c>
    </row>
    <row r="7170" spans="1:26" x14ac:dyDescent="0.2">
      <c r="A7170" s="6">
        <v>6379</v>
      </c>
      <c r="B7170" s="7">
        <v>45315</v>
      </c>
      <c r="C7170" s="8">
        <f>DATE(2012,12,31)-255</f>
        <v>41019</v>
      </c>
      <c r="D7170" s="8" t="str">
        <f t="shared" si="133"/>
        <v>2012-04 (апрель 2012)</v>
      </c>
      <c r="E7170" s="9" t="s">
        <v>63</v>
      </c>
      <c r="F7170" s="7">
        <v>32</v>
      </c>
      <c r="G7170" s="7">
        <v>1141.9000000000001</v>
      </c>
      <c r="H7170" s="7">
        <v>0.02</v>
      </c>
      <c r="I7170" s="9" t="s">
        <v>22</v>
      </c>
      <c r="J7170" s="10">
        <v>175.32</v>
      </c>
      <c r="K7170" s="11">
        <v>34.76</v>
      </c>
      <c r="L7170" s="11">
        <v>8.2200000000000006</v>
      </c>
      <c r="M7170" s="9" t="s">
        <v>856</v>
      </c>
      <c r="N7170" s="6" t="s">
        <v>703</v>
      </c>
      <c r="O7170" s="6" t="s">
        <v>704</v>
      </c>
      <c r="P7170" s="9" t="s">
        <v>33</v>
      </c>
      <c r="Q7170" s="9" t="s">
        <v>26</v>
      </c>
      <c r="R7170" s="9" t="s">
        <v>27</v>
      </c>
      <c r="S7170" s="7" t="s">
        <v>247</v>
      </c>
      <c r="T7170" s="9" t="s">
        <v>39</v>
      </c>
      <c r="U7170" s="7">
        <v>0.56999999999999995</v>
      </c>
      <c r="V7170" s="12">
        <f>C7170+1</f>
        <v>41020</v>
      </c>
      <c r="W7170">
        <f>IF(D7170=' Pivot Tables'!$A$4,1,0)</f>
        <v>0</v>
      </c>
      <c r="X7170">
        <f>IF(AND(LEFT(D7170,4)+1=LEFT(' Pivot Tables'!$A$4,4)+0,RIGHT(LEFT(D7170,7),2)=RIGHT(LEFT(' Pivot Tables'!$A$4,7),2)),1,0)</f>
        <v>0</v>
      </c>
      <c r="Y7170" s="6">
        <f>1/COUNTIF(Таблица1[Order ID],Таблица1[[#This Row],[Order ID]])</f>
        <v>1</v>
      </c>
      <c r="Z7170" s="9">
        <f>1/COUNTIFS(Таблица1[Customer Name],Таблица1[[#This Row],[Customer Name]],Таблица1[Order-Year-Month],Таблица1[[#This Row],[Order-Year-Month]])</f>
        <v>1</v>
      </c>
    </row>
    <row r="7171" spans="1:26" x14ac:dyDescent="0.2">
      <c r="A7171" s="6">
        <v>6387</v>
      </c>
      <c r="B7171" s="7">
        <v>45380</v>
      </c>
      <c r="C7171" s="8">
        <f>DATE(2012,12,31)-1341</f>
        <v>39933</v>
      </c>
      <c r="D7171" s="8" t="str">
        <f t="shared" ref="D7171:D7234" si="134">TEXT(C7171,"гггг-ММ (ММММ гггг)")</f>
        <v>2009-04 (апрель 2009)</v>
      </c>
      <c r="E7171" s="9" t="s">
        <v>78</v>
      </c>
      <c r="F7171" s="7">
        <v>34</v>
      </c>
      <c r="G7171" s="7">
        <v>1912.9845</v>
      </c>
      <c r="H7171" s="7">
        <v>0.06</v>
      </c>
      <c r="I7171" s="9" t="s">
        <v>56</v>
      </c>
      <c r="J7171" s="10">
        <v>288.08999999999997</v>
      </c>
      <c r="K7171" s="11">
        <v>65.989999999999995</v>
      </c>
      <c r="L7171" s="11">
        <v>8.8000000000000007</v>
      </c>
      <c r="M7171" s="9" t="s">
        <v>2031</v>
      </c>
      <c r="N7171" s="6" t="s">
        <v>703</v>
      </c>
      <c r="O7171" s="6" t="s">
        <v>704</v>
      </c>
      <c r="P7171" s="9" t="s">
        <v>33</v>
      </c>
      <c r="Q7171" s="9" t="s">
        <v>42</v>
      </c>
      <c r="R7171" s="9" t="s">
        <v>43</v>
      </c>
      <c r="S7171" s="7" t="s">
        <v>1132</v>
      </c>
      <c r="T7171" s="9" t="s">
        <v>39</v>
      </c>
      <c r="U7171" s="7">
        <v>0.57999999999999996</v>
      </c>
      <c r="V7171" s="12">
        <f>C7171+1</f>
        <v>39934</v>
      </c>
      <c r="W7171">
        <f>IF(D7171=' Pivot Tables'!$A$4,1,0)</f>
        <v>0</v>
      </c>
      <c r="X7171">
        <f>IF(AND(LEFT(D7171,4)+1=LEFT(' Pivot Tables'!$A$4,4)+0,RIGHT(LEFT(D7171,7),2)=RIGHT(LEFT(' Pivot Tables'!$A$4,7),2)),1,0)</f>
        <v>0</v>
      </c>
      <c r="Y7171" s="6">
        <f>1/COUNTIF(Таблица1[Order ID],Таблица1[[#This Row],[Order ID]])</f>
        <v>0.5</v>
      </c>
      <c r="Z7171" s="9">
        <f>1/COUNTIFS(Таблица1[Customer Name],Таблица1[[#This Row],[Customer Name]],Таблица1[Order-Year-Month],Таблица1[[#This Row],[Order-Year-Month]])</f>
        <v>0.5</v>
      </c>
    </row>
    <row r="7172" spans="1:26" x14ac:dyDescent="0.2">
      <c r="A7172" s="6">
        <v>6388</v>
      </c>
      <c r="B7172" s="7">
        <v>45380</v>
      </c>
      <c r="C7172" s="8">
        <f>DATE(2012,12,31)-1341</f>
        <v>39933</v>
      </c>
      <c r="D7172" s="8" t="str">
        <f t="shared" si="134"/>
        <v>2009-04 (апрель 2009)</v>
      </c>
      <c r="E7172" s="9" t="s">
        <v>78</v>
      </c>
      <c r="F7172" s="7">
        <v>24</v>
      </c>
      <c r="G7172" s="7">
        <v>4170.8649999999998</v>
      </c>
      <c r="H7172" s="7">
        <v>0</v>
      </c>
      <c r="I7172" s="9" t="s">
        <v>56</v>
      </c>
      <c r="J7172" s="10">
        <v>1030.509</v>
      </c>
      <c r="K7172" s="11">
        <v>195.99</v>
      </c>
      <c r="L7172" s="11">
        <v>4.2</v>
      </c>
      <c r="M7172" s="9" t="s">
        <v>2031</v>
      </c>
      <c r="N7172" s="6" t="s">
        <v>703</v>
      </c>
      <c r="O7172" s="6" t="s">
        <v>704</v>
      </c>
      <c r="P7172" s="9" t="s">
        <v>33</v>
      </c>
      <c r="Q7172" s="9" t="s">
        <v>42</v>
      </c>
      <c r="R7172" s="9" t="s">
        <v>43</v>
      </c>
      <c r="S7172" s="7" t="s">
        <v>1235</v>
      </c>
      <c r="T7172" s="9" t="s">
        <v>39</v>
      </c>
      <c r="U7172" s="7">
        <v>0.56999999999999995</v>
      </c>
      <c r="V7172" s="12">
        <f>C7172+2</f>
        <v>39935</v>
      </c>
      <c r="W7172">
        <f>IF(D7172=' Pivot Tables'!$A$4,1,0)</f>
        <v>0</v>
      </c>
      <c r="X7172">
        <f>IF(AND(LEFT(D7172,4)+1=LEFT(' Pivot Tables'!$A$4,4)+0,RIGHT(LEFT(D7172,7),2)=RIGHT(LEFT(' Pivot Tables'!$A$4,7),2)),1,0)</f>
        <v>0</v>
      </c>
      <c r="Y7172" s="6">
        <f>1/COUNTIF(Таблица1[Order ID],Таблица1[[#This Row],[Order ID]])</f>
        <v>0.5</v>
      </c>
      <c r="Z7172" s="9">
        <f>1/COUNTIFS(Таблица1[Customer Name],Таблица1[[#This Row],[Customer Name]],Таблица1[Order-Year-Month],Таблица1[[#This Row],[Order-Year-Month]])</f>
        <v>0.5</v>
      </c>
    </row>
    <row r="7173" spans="1:26" x14ac:dyDescent="0.2">
      <c r="A7173" s="6">
        <v>6393</v>
      </c>
      <c r="B7173" s="7">
        <v>45409</v>
      </c>
      <c r="C7173" s="8">
        <f>DATE(2012,12,31)-994</f>
        <v>40280</v>
      </c>
      <c r="D7173" s="8" t="str">
        <f t="shared" si="134"/>
        <v>2010-04 (апрель 2010)</v>
      </c>
      <c r="E7173" s="9" t="s">
        <v>78</v>
      </c>
      <c r="F7173" s="7">
        <v>11</v>
      </c>
      <c r="G7173" s="7">
        <v>3427.31</v>
      </c>
      <c r="H7173" s="7">
        <v>0.1</v>
      </c>
      <c r="I7173" s="9" t="s">
        <v>31</v>
      </c>
      <c r="J7173" s="10">
        <v>124.36</v>
      </c>
      <c r="K7173" s="11">
        <v>320.98</v>
      </c>
      <c r="L7173" s="11">
        <v>58.95</v>
      </c>
      <c r="M7173" s="9" t="s">
        <v>1484</v>
      </c>
      <c r="N7173" s="6" t="s">
        <v>703</v>
      </c>
      <c r="O7173" s="6" t="s">
        <v>704</v>
      </c>
      <c r="P7173" s="9" t="s">
        <v>41</v>
      </c>
      <c r="Q7173" s="9" t="s">
        <v>49</v>
      </c>
      <c r="R7173" s="9" t="s">
        <v>112</v>
      </c>
      <c r="S7173" s="7" t="s">
        <v>181</v>
      </c>
      <c r="T7173" s="9" t="s">
        <v>36</v>
      </c>
      <c r="U7173" s="7">
        <v>0.56999999999999995</v>
      </c>
      <c r="V7173" s="12">
        <f>C7173+3</f>
        <v>40283</v>
      </c>
      <c r="W7173">
        <f>IF(D7173=' Pivot Tables'!$A$4,1,0)</f>
        <v>0</v>
      </c>
      <c r="X7173">
        <f>IF(AND(LEFT(D7173,4)+1=LEFT(' Pivot Tables'!$A$4,4)+0,RIGHT(LEFT(D7173,7),2)=RIGHT(LEFT(' Pivot Tables'!$A$4,7),2)),1,0)</f>
        <v>0</v>
      </c>
      <c r="Y7173" s="6">
        <f>1/COUNTIF(Таблица1[Order ID],Таблица1[[#This Row],[Order ID]])</f>
        <v>0.33333333333333331</v>
      </c>
      <c r="Z7173" s="9">
        <f>1/COUNTIFS(Таблица1[Customer Name],Таблица1[[#This Row],[Customer Name]],Таблица1[Order-Year-Month],Таблица1[[#This Row],[Order-Year-Month]])</f>
        <v>0.33333333333333331</v>
      </c>
    </row>
    <row r="7174" spans="1:26" x14ac:dyDescent="0.2">
      <c r="A7174" s="6">
        <v>6394</v>
      </c>
      <c r="B7174" s="7">
        <v>45409</v>
      </c>
      <c r="C7174" s="8">
        <f>DATE(2012,12,31)-994</f>
        <v>40280</v>
      </c>
      <c r="D7174" s="8" t="str">
        <f t="shared" si="134"/>
        <v>2010-04 (апрель 2010)</v>
      </c>
      <c r="E7174" s="9" t="s">
        <v>78</v>
      </c>
      <c r="F7174" s="7">
        <v>10</v>
      </c>
      <c r="G7174" s="7">
        <v>36.26</v>
      </c>
      <c r="H7174" s="7">
        <v>0.08</v>
      </c>
      <c r="I7174" s="9" t="s">
        <v>22</v>
      </c>
      <c r="J7174" s="10">
        <v>-28.37</v>
      </c>
      <c r="K7174" s="11">
        <v>3.28</v>
      </c>
      <c r="L7174" s="11">
        <v>3.97</v>
      </c>
      <c r="M7174" s="9" t="s">
        <v>1484</v>
      </c>
      <c r="N7174" s="6" t="s">
        <v>703</v>
      </c>
      <c r="O7174" s="6" t="s">
        <v>704</v>
      </c>
      <c r="P7174" s="9" t="s">
        <v>41</v>
      </c>
      <c r="Q7174" s="9" t="s">
        <v>26</v>
      </c>
      <c r="R7174" s="9" t="s">
        <v>95</v>
      </c>
      <c r="S7174" s="7" t="s">
        <v>572</v>
      </c>
      <c r="T7174" s="9" t="s">
        <v>68</v>
      </c>
      <c r="U7174" s="7">
        <v>0.56000000000000005</v>
      </c>
      <c r="V7174" s="12">
        <f>C7174+1</f>
        <v>40281</v>
      </c>
      <c r="W7174">
        <f>IF(D7174=' Pivot Tables'!$A$4,1,0)</f>
        <v>0</v>
      </c>
      <c r="X7174">
        <f>IF(AND(LEFT(D7174,4)+1=LEFT(' Pivot Tables'!$A$4,4)+0,RIGHT(LEFT(D7174,7),2)=RIGHT(LEFT(' Pivot Tables'!$A$4,7),2)),1,0)</f>
        <v>0</v>
      </c>
      <c r="Y7174" s="6">
        <f>1/COUNTIF(Таблица1[Order ID],Таблица1[[#This Row],[Order ID]])</f>
        <v>0.33333333333333331</v>
      </c>
      <c r="Z7174" s="9">
        <f>1/COUNTIFS(Таблица1[Customer Name],Таблица1[[#This Row],[Customer Name]],Таблица1[Order-Year-Month],Таблица1[[#This Row],[Order-Year-Month]])</f>
        <v>0.33333333333333331</v>
      </c>
    </row>
    <row r="7175" spans="1:26" x14ac:dyDescent="0.2">
      <c r="A7175" s="6">
        <v>6395</v>
      </c>
      <c r="B7175" s="7">
        <v>45409</v>
      </c>
      <c r="C7175" s="8">
        <f>DATE(2012,12,31)-994</f>
        <v>40280</v>
      </c>
      <c r="D7175" s="8" t="str">
        <f t="shared" si="134"/>
        <v>2010-04 (апрель 2010)</v>
      </c>
      <c r="E7175" s="9" t="s">
        <v>78</v>
      </c>
      <c r="F7175" s="7">
        <v>50</v>
      </c>
      <c r="G7175" s="7">
        <v>893.13750000000005</v>
      </c>
      <c r="H7175" s="7">
        <v>0</v>
      </c>
      <c r="I7175" s="9" t="s">
        <v>22</v>
      </c>
      <c r="J7175" s="10">
        <v>10.998000000000001</v>
      </c>
      <c r="K7175" s="11">
        <v>20.99</v>
      </c>
      <c r="L7175" s="11">
        <v>1.25</v>
      </c>
      <c r="M7175" s="9" t="s">
        <v>1484</v>
      </c>
      <c r="N7175" s="6" t="s">
        <v>703</v>
      </c>
      <c r="O7175" s="6" t="s">
        <v>704</v>
      </c>
      <c r="P7175" s="9" t="s">
        <v>41</v>
      </c>
      <c r="Q7175" s="9" t="s">
        <v>42</v>
      </c>
      <c r="R7175" s="9" t="s">
        <v>43</v>
      </c>
      <c r="S7175" s="7" t="s">
        <v>285</v>
      </c>
      <c r="T7175" s="9" t="s">
        <v>52</v>
      </c>
      <c r="U7175" s="7">
        <v>0.83</v>
      </c>
      <c r="V7175" s="12">
        <f>C7175+3</f>
        <v>40283</v>
      </c>
      <c r="W7175">
        <f>IF(D7175=' Pivot Tables'!$A$4,1,0)</f>
        <v>0</v>
      </c>
      <c r="X7175">
        <f>IF(AND(LEFT(D7175,4)+1=LEFT(' Pivot Tables'!$A$4,4)+0,RIGHT(LEFT(D7175,7),2)=RIGHT(LEFT(' Pivot Tables'!$A$4,7),2)),1,0)</f>
        <v>0</v>
      </c>
      <c r="Y7175" s="6">
        <f>1/COUNTIF(Таблица1[Order ID],Таблица1[[#This Row],[Order ID]])</f>
        <v>0.33333333333333331</v>
      </c>
      <c r="Z7175" s="9">
        <f>1/COUNTIFS(Таблица1[Customer Name],Таблица1[[#This Row],[Customer Name]],Таблица1[Order-Year-Month],Таблица1[[#This Row],[Order-Year-Month]])</f>
        <v>0.33333333333333331</v>
      </c>
    </row>
    <row r="7176" spans="1:26" x14ac:dyDescent="0.2">
      <c r="A7176" s="6">
        <v>6406</v>
      </c>
      <c r="B7176" s="7">
        <v>45539</v>
      </c>
      <c r="C7176" s="8">
        <f>DATE(2012,12,31)-1247</f>
        <v>40027</v>
      </c>
      <c r="D7176" s="8" t="str">
        <f t="shared" si="134"/>
        <v>2009-08 (август 2009)</v>
      </c>
      <c r="E7176" s="9" t="s">
        <v>45</v>
      </c>
      <c r="F7176" s="7">
        <v>15</v>
      </c>
      <c r="G7176" s="7">
        <v>269.2</v>
      </c>
      <c r="H7176" s="7">
        <v>0.02</v>
      </c>
      <c r="I7176" s="9" t="s">
        <v>56</v>
      </c>
      <c r="J7176" s="10">
        <v>69.61</v>
      </c>
      <c r="K7176" s="11">
        <v>16.48</v>
      </c>
      <c r="L7176" s="11">
        <v>1.99</v>
      </c>
      <c r="M7176" s="9" t="s">
        <v>1635</v>
      </c>
      <c r="N7176" s="6" t="s">
        <v>703</v>
      </c>
      <c r="O7176" s="6" t="s">
        <v>704</v>
      </c>
      <c r="P7176" s="9" t="s">
        <v>41</v>
      </c>
      <c r="Q7176" s="9" t="s">
        <v>42</v>
      </c>
      <c r="R7176" s="9" t="s">
        <v>70</v>
      </c>
      <c r="S7176" s="7" t="s">
        <v>848</v>
      </c>
      <c r="T7176" s="9" t="s">
        <v>52</v>
      </c>
      <c r="U7176" s="7">
        <v>0.42</v>
      </c>
      <c r="V7176" s="12">
        <f>C7176+2</f>
        <v>40029</v>
      </c>
      <c r="W7176">
        <f>IF(D7176=' Pivot Tables'!$A$4,1,0)</f>
        <v>0</v>
      </c>
      <c r="X7176">
        <f>IF(AND(LEFT(D7176,4)+1=LEFT(' Pivot Tables'!$A$4,4)+0,RIGHT(LEFT(D7176,7),2)=RIGHT(LEFT(' Pivot Tables'!$A$4,7),2)),1,0)</f>
        <v>0</v>
      </c>
      <c r="Y7176" s="6">
        <f>1/COUNTIF(Таблица1[Order ID],Таблица1[[#This Row],[Order ID]])</f>
        <v>0.5</v>
      </c>
      <c r="Z7176" s="9">
        <f>1/COUNTIFS(Таблица1[Customer Name],Таблица1[[#This Row],[Customer Name]],Таблица1[Order-Year-Month],Таблица1[[#This Row],[Order-Year-Month]])</f>
        <v>0.5</v>
      </c>
    </row>
    <row r="7177" spans="1:26" x14ac:dyDescent="0.2">
      <c r="A7177" s="6">
        <v>6407</v>
      </c>
      <c r="B7177" s="7">
        <v>45539</v>
      </c>
      <c r="C7177" s="8">
        <f>DATE(2012,12,31)-1247</f>
        <v>40027</v>
      </c>
      <c r="D7177" s="8" t="str">
        <f t="shared" si="134"/>
        <v>2009-08 (август 2009)</v>
      </c>
      <c r="E7177" s="9" t="s">
        <v>45</v>
      </c>
      <c r="F7177" s="7">
        <v>27</v>
      </c>
      <c r="G7177" s="7">
        <v>87.33</v>
      </c>
      <c r="H7177" s="7">
        <v>0.08</v>
      </c>
      <c r="I7177" s="9" t="s">
        <v>22</v>
      </c>
      <c r="J7177" s="10">
        <v>13.82</v>
      </c>
      <c r="K7177" s="11">
        <v>3.38</v>
      </c>
      <c r="L7177" s="11">
        <v>0.85</v>
      </c>
      <c r="M7177" s="9" t="s">
        <v>1635</v>
      </c>
      <c r="N7177" s="6" t="s">
        <v>703</v>
      </c>
      <c r="O7177" s="6" t="s">
        <v>704</v>
      </c>
      <c r="P7177" s="9" t="s">
        <v>41</v>
      </c>
      <c r="Q7177" s="9" t="s">
        <v>26</v>
      </c>
      <c r="R7177" s="9" t="s">
        <v>95</v>
      </c>
      <c r="S7177" s="7" t="s">
        <v>566</v>
      </c>
      <c r="T7177" s="9" t="s">
        <v>68</v>
      </c>
      <c r="U7177" s="7">
        <v>0.48</v>
      </c>
      <c r="V7177" s="12">
        <f>C7177+2</f>
        <v>40029</v>
      </c>
      <c r="W7177">
        <f>IF(D7177=' Pivot Tables'!$A$4,1,0)</f>
        <v>0</v>
      </c>
      <c r="X7177">
        <f>IF(AND(LEFT(D7177,4)+1=LEFT(' Pivot Tables'!$A$4,4)+0,RIGHT(LEFT(D7177,7),2)=RIGHT(LEFT(' Pivot Tables'!$A$4,7),2)),1,0)</f>
        <v>0</v>
      </c>
      <c r="Y7177" s="6">
        <f>1/COUNTIF(Таблица1[Order ID],Таблица1[[#This Row],[Order ID]])</f>
        <v>0.5</v>
      </c>
      <c r="Z7177" s="9">
        <f>1/COUNTIFS(Таблица1[Customer Name],Таблица1[[#This Row],[Customer Name]],Таблица1[Order-Year-Month],Таблица1[[#This Row],[Order-Year-Month]])</f>
        <v>0.5</v>
      </c>
    </row>
    <row r="7178" spans="1:26" x14ac:dyDescent="0.2">
      <c r="A7178" s="6">
        <v>6418</v>
      </c>
      <c r="B7178" s="7">
        <v>45605</v>
      </c>
      <c r="C7178" s="8">
        <f>DATE(2012,12,31)-996</f>
        <v>40278</v>
      </c>
      <c r="D7178" s="8" t="str">
        <f t="shared" si="134"/>
        <v>2010-04 (апрель 2010)</v>
      </c>
      <c r="E7178" s="9" t="s">
        <v>63</v>
      </c>
      <c r="F7178" s="7">
        <v>7</v>
      </c>
      <c r="G7178" s="7">
        <v>1494.27</v>
      </c>
      <c r="H7178" s="7">
        <v>0.05</v>
      </c>
      <c r="I7178" s="9" t="s">
        <v>31</v>
      </c>
      <c r="J7178" s="10">
        <v>-248.78</v>
      </c>
      <c r="K7178" s="11">
        <v>212.6</v>
      </c>
      <c r="L7178" s="11">
        <v>52.2</v>
      </c>
      <c r="M7178" s="9" t="s">
        <v>1472</v>
      </c>
      <c r="N7178" s="6" t="s">
        <v>703</v>
      </c>
      <c r="O7178" s="6" t="s">
        <v>704</v>
      </c>
      <c r="P7178" s="9" t="s">
        <v>25</v>
      </c>
      <c r="Q7178" s="9" t="s">
        <v>49</v>
      </c>
      <c r="R7178" s="9" t="s">
        <v>83</v>
      </c>
      <c r="S7178" s="7" t="s">
        <v>984</v>
      </c>
      <c r="T7178" s="9" t="s">
        <v>82</v>
      </c>
      <c r="U7178" s="7">
        <v>0.64</v>
      </c>
      <c r="V7178" s="12">
        <f>C7178+2</f>
        <v>40280</v>
      </c>
      <c r="W7178">
        <f>IF(D7178=' Pivot Tables'!$A$4,1,0)</f>
        <v>0</v>
      </c>
      <c r="X7178">
        <f>IF(AND(LEFT(D7178,4)+1=LEFT(' Pivot Tables'!$A$4,4)+0,RIGHT(LEFT(D7178,7),2)=RIGHT(LEFT(' Pivot Tables'!$A$4,7),2)),1,0)</f>
        <v>0</v>
      </c>
      <c r="Y7178" s="6">
        <f>1/COUNTIF(Таблица1[Order ID],Таблица1[[#This Row],[Order ID]])</f>
        <v>1</v>
      </c>
      <c r="Z7178" s="9">
        <f>1/COUNTIFS(Таблица1[Customer Name],Таблица1[[#This Row],[Customer Name]],Таблица1[Order-Year-Month],Таблица1[[#This Row],[Order-Year-Month]])</f>
        <v>1</v>
      </c>
    </row>
    <row r="7179" spans="1:26" x14ac:dyDescent="0.2">
      <c r="A7179" s="6">
        <v>6423</v>
      </c>
      <c r="B7179" s="7">
        <v>45664</v>
      </c>
      <c r="C7179" s="8">
        <f>DATE(2012,12,31)-205</f>
        <v>41069</v>
      </c>
      <c r="D7179" s="8" t="str">
        <f t="shared" si="134"/>
        <v>2012-06 (июнь 2012)</v>
      </c>
      <c r="E7179" s="9" t="s">
        <v>45</v>
      </c>
      <c r="F7179" s="7">
        <v>24</v>
      </c>
      <c r="G7179" s="7">
        <v>473.03</v>
      </c>
      <c r="H7179" s="7">
        <v>0.09</v>
      </c>
      <c r="I7179" s="9" t="s">
        <v>22</v>
      </c>
      <c r="J7179" s="10">
        <v>26.27</v>
      </c>
      <c r="K7179" s="11">
        <v>19.98</v>
      </c>
      <c r="L7179" s="11">
        <v>10.49</v>
      </c>
      <c r="M7179" s="9" t="s">
        <v>1517</v>
      </c>
      <c r="N7179" s="6" t="s">
        <v>703</v>
      </c>
      <c r="O7179" s="6" t="s">
        <v>704</v>
      </c>
      <c r="P7179" s="9" t="s">
        <v>60</v>
      </c>
      <c r="Q7179" s="9" t="s">
        <v>49</v>
      </c>
      <c r="R7179" s="9" t="s">
        <v>50</v>
      </c>
      <c r="S7179" s="7" t="s">
        <v>163</v>
      </c>
      <c r="T7179" s="9" t="s">
        <v>39</v>
      </c>
      <c r="U7179" s="7">
        <v>0.49</v>
      </c>
      <c r="V7179" s="12">
        <f>C7179+1</f>
        <v>41070</v>
      </c>
      <c r="W7179">
        <f>IF(D7179=' Pivot Tables'!$A$4,1,0)</f>
        <v>0</v>
      </c>
      <c r="X7179">
        <f>IF(AND(LEFT(D7179,4)+1=LEFT(' Pivot Tables'!$A$4,4)+0,RIGHT(LEFT(D7179,7),2)=RIGHT(LEFT(' Pivot Tables'!$A$4,7),2)),1,0)</f>
        <v>0</v>
      </c>
      <c r="Y7179" s="6">
        <f>1/COUNTIF(Таблица1[Order ID],Таблица1[[#This Row],[Order ID]])</f>
        <v>1</v>
      </c>
      <c r="Z7179" s="9">
        <f>1/COUNTIFS(Таблица1[Customer Name],Таблица1[[#This Row],[Customer Name]],Таблица1[Order-Year-Month],Таблица1[[#This Row],[Order-Year-Month]])</f>
        <v>1</v>
      </c>
    </row>
    <row r="7180" spans="1:26" x14ac:dyDescent="0.2">
      <c r="A7180" s="6">
        <v>6426</v>
      </c>
      <c r="B7180" s="7">
        <v>45671</v>
      </c>
      <c r="C7180" s="8">
        <f>DATE(2012,12,31)-568</f>
        <v>40706</v>
      </c>
      <c r="D7180" s="8" t="str">
        <f t="shared" si="134"/>
        <v>2011-06 (июнь 2011)</v>
      </c>
      <c r="E7180" s="9" t="s">
        <v>21</v>
      </c>
      <c r="F7180" s="7">
        <v>13</v>
      </c>
      <c r="G7180" s="7">
        <v>126.68</v>
      </c>
      <c r="H7180" s="7">
        <v>0.05</v>
      </c>
      <c r="I7180" s="9" t="s">
        <v>22</v>
      </c>
      <c r="J7180" s="10">
        <v>7</v>
      </c>
      <c r="K7180" s="11">
        <v>9.77</v>
      </c>
      <c r="L7180" s="11">
        <v>6.02</v>
      </c>
      <c r="M7180" s="9" t="s">
        <v>2031</v>
      </c>
      <c r="N7180" s="6" t="s">
        <v>703</v>
      </c>
      <c r="O7180" s="6" t="s">
        <v>704</v>
      </c>
      <c r="P7180" s="9" t="s">
        <v>33</v>
      </c>
      <c r="Q7180" s="9" t="s">
        <v>49</v>
      </c>
      <c r="R7180" s="9" t="s">
        <v>50</v>
      </c>
      <c r="S7180" s="7" t="s">
        <v>446</v>
      </c>
      <c r="T7180" s="9" t="s">
        <v>48</v>
      </c>
      <c r="U7180" s="7">
        <v>0.48</v>
      </c>
      <c r="V7180" s="12">
        <f>C7180+7</f>
        <v>40713</v>
      </c>
      <c r="W7180">
        <f>IF(D7180=' Pivot Tables'!$A$4,1,0)</f>
        <v>0</v>
      </c>
      <c r="X7180">
        <f>IF(AND(LEFT(D7180,4)+1=LEFT(' Pivot Tables'!$A$4,4)+0,RIGHT(LEFT(D7180,7),2)=RIGHT(LEFT(' Pivot Tables'!$A$4,7),2)),1,0)</f>
        <v>0</v>
      </c>
      <c r="Y7180" s="6">
        <f>1/COUNTIF(Таблица1[Order ID],Таблица1[[#This Row],[Order ID]])</f>
        <v>1</v>
      </c>
      <c r="Z7180" s="9">
        <f>1/COUNTIFS(Таблица1[Customer Name],Таблица1[[#This Row],[Customer Name]],Таблица1[Order-Year-Month],Таблица1[[#This Row],[Order-Year-Month]])</f>
        <v>1</v>
      </c>
    </row>
    <row r="7181" spans="1:26" x14ac:dyDescent="0.2">
      <c r="A7181" s="6">
        <v>6430</v>
      </c>
      <c r="B7181" s="7">
        <v>45728</v>
      </c>
      <c r="C7181" s="8">
        <f>DATE(2012,12,31)-924</f>
        <v>40350</v>
      </c>
      <c r="D7181" s="8" t="str">
        <f t="shared" si="134"/>
        <v>2010-06 (июнь 2010)</v>
      </c>
      <c r="E7181" s="9" t="s">
        <v>30</v>
      </c>
      <c r="F7181" s="7">
        <v>49</v>
      </c>
      <c r="G7181" s="7">
        <v>1711.79</v>
      </c>
      <c r="H7181" s="7">
        <v>0.01</v>
      </c>
      <c r="I7181" s="9" t="s">
        <v>22</v>
      </c>
      <c r="J7181" s="10">
        <v>812.32</v>
      </c>
      <c r="K7181" s="11">
        <v>33.29</v>
      </c>
      <c r="L7181" s="11">
        <v>1.99</v>
      </c>
      <c r="M7181" s="9" t="s">
        <v>1456</v>
      </c>
      <c r="N7181" s="6" t="s">
        <v>703</v>
      </c>
      <c r="O7181" s="6" t="s">
        <v>704</v>
      </c>
      <c r="P7181" s="9" t="s">
        <v>25</v>
      </c>
      <c r="Q7181" s="9" t="s">
        <v>42</v>
      </c>
      <c r="R7181" s="9" t="s">
        <v>70</v>
      </c>
      <c r="S7181" s="7" t="s">
        <v>1615</v>
      </c>
      <c r="T7181" s="9" t="s">
        <v>52</v>
      </c>
      <c r="U7181" s="7">
        <v>0.41</v>
      </c>
      <c r="V7181" s="12">
        <f>C7181+1</f>
        <v>40351</v>
      </c>
      <c r="W7181">
        <f>IF(D7181=' Pivot Tables'!$A$4,1,0)</f>
        <v>0</v>
      </c>
      <c r="X7181">
        <f>IF(AND(LEFT(D7181,4)+1=LEFT(' Pivot Tables'!$A$4,4)+0,RIGHT(LEFT(D7181,7),2)=RIGHT(LEFT(' Pivot Tables'!$A$4,7),2)),1,0)</f>
        <v>0</v>
      </c>
      <c r="Y7181" s="6">
        <f>1/COUNTIF(Таблица1[Order ID],Таблица1[[#This Row],[Order ID]])</f>
        <v>0.5</v>
      </c>
      <c r="Z7181" s="9">
        <f>1/COUNTIFS(Таблица1[Customer Name],Таблица1[[#This Row],[Customer Name]],Таблица1[Order-Year-Month],Таблица1[[#This Row],[Order-Year-Month]])</f>
        <v>0.25</v>
      </c>
    </row>
    <row r="7182" spans="1:26" x14ac:dyDescent="0.2">
      <c r="A7182" s="6">
        <v>6437</v>
      </c>
      <c r="B7182" s="7">
        <v>45762</v>
      </c>
      <c r="C7182" s="8">
        <f>DATE(2012,12,31)-894</f>
        <v>40380</v>
      </c>
      <c r="D7182" s="8" t="str">
        <f t="shared" si="134"/>
        <v>2010-07 (июль 2010)</v>
      </c>
      <c r="E7182" s="9" t="s">
        <v>21</v>
      </c>
      <c r="F7182" s="7">
        <v>21</v>
      </c>
      <c r="G7182" s="7">
        <v>793.85</v>
      </c>
      <c r="H7182" s="7">
        <v>0.01</v>
      </c>
      <c r="I7182" s="9" t="s">
        <v>22</v>
      </c>
      <c r="J7182" s="10">
        <v>308.52999999999997</v>
      </c>
      <c r="K7182" s="11">
        <v>37.94</v>
      </c>
      <c r="L7182" s="11">
        <v>5.08</v>
      </c>
      <c r="M7182" s="9" t="s">
        <v>149</v>
      </c>
      <c r="N7182" s="6" t="s">
        <v>703</v>
      </c>
      <c r="O7182" s="6" t="s">
        <v>704</v>
      </c>
      <c r="P7182" s="9" t="s">
        <v>41</v>
      </c>
      <c r="Q7182" s="9" t="s">
        <v>26</v>
      </c>
      <c r="R7182" s="9" t="s">
        <v>61</v>
      </c>
      <c r="S7182" s="7" t="s">
        <v>684</v>
      </c>
      <c r="T7182" s="9" t="s">
        <v>68</v>
      </c>
      <c r="U7182" s="7">
        <v>0.38</v>
      </c>
      <c r="V7182" s="12">
        <f>C7182+5</f>
        <v>40385</v>
      </c>
      <c r="W7182">
        <f>IF(D7182=' Pivot Tables'!$A$4,1,0)</f>
        <v>0</v>
      </c>
      <c r="X7182">
        <f>IF(AND(LEFT(D7182,4)+1=LEFT(' Pivot Tables'!$A$4,4)+0,RIGHT(LEFT(D7182,7),2)=RIGHT(LEFT(' Pivot Tables'!$A$4,7),2)),1,0)</f>
        <v>0</v>
      </c>
      <c r="Y7182" s="6">
        <f>1/COUNTIF(Таблица1[Order ID],Таблица1[[#This Row],[Order ID]])</f>
        <v>1</v>
      </c>
      <c r="Z7182" s="9">
        <f>1/COUNTIFS(Таблица1[Customer Name],Таблица1[[#This Row],[Customer Name]],Таблица1[Order-Year-Month],Таблица1[[#This Row],[Order-Year-Month]])</f>
        <v>1</v>
      </c>
    </row>
    <row r="7183" spans="1:26" x14ac:dyDescent="0.2">
      <c r="A7183" s="6">
        <v>6486</v>
      </c>
      <c r="B7183" s="7">
        <v>46151</v>
      </c>
      <c r="C7183" s="8">
        <f>DATE(2012,12,31)-1149</f>
        <v>40125</v>
      </c>
      <c r="D7183" s="8" t="str">
        <f t="shared" si="134"/>
        <v>2009-11 (ноябрь 2009)</v>
      </c>
      <c r="E7183" s="9" t="s">
        <v>78</v>
      </c>
      <c r="F7183" s="7">
        <v>23</v>
      </c>
      <c r="G7183" s="7">
        <v>203.91</v>
      </c>
      <c r="H7183" s="7">
        <v>0.02</v>
      </c>
      <c r="I7183" s="9" t="s">
        <v>22</v>
      </c>
      <c r="J7183" s="10">
        <v>-35.442999999999998</v>
      </c>
      <c r="K7183" s="11">
        <v>8.6</v>
      </c>
      <c r="L7183" s="11">
        <v>6.19</v>
      </c>
      <c r="M7183" s="9" t="s">
        <v>1531</v>
      </c>
      <c r="N7183" s="6" t="s">
        <v>703</v>
      </c>
      <c r="O7183" s="6" t="s">
        <v>704</v>
      </c>
      <c r="P7183" s="9" t="s">
        <v>41</v>
      </c>
      <c r="Q7183" s="9" t="s">
        <v>26</v>
      </c>
      <c r="R7183" s="9" t="s">
        <v>37</v>
      </c>
      <c r="S7183" s="7" t="s">
        <v>872</v>
      </c>
      <c r="T7183" s="9" t="s">
        <v>39</v>
      </c>
      <c r="U7183" s="7">
        <v>0.38</v>
      </c>
      <c r="V7183" s="12">
        <f>C7183+2</f>
        <v>40127</v>
      </c>
      <c r="W7183">
        <f>IF(D7183=' Pivot Tables'!$A$4,1,0)</f>
        <v>0</v>
      </c>
      <c r="X7183">
        <f>IF(AND(LEFT(D7183,4)+1=LEFT(' Pivot Tables'!$A$4,4)+0,RIGHT(LEFT(D7183,7),2)=RIGHT(LEFT(' Pivot Tables'!$A$4,7),2)),1,0)</f>
        <v>0</v>
      </c>
      <c r="Y7183" s="6">
        <f>1/COUNTIF(Таблица1[Order ID],Таблица1[[#This Row],[Order ID]])</f>
        <v>1</v>
      </c>
      <c r="Z7183" s="9">
        <f>1/COUNTIFS(Таблица1[Customer Name],Таблица1[[#This Row],[Customer Name]],Таблица1[Order-Year-Month],Таблица1[[#This Row],[Order-Year-Month]])</f>
        <v>1</v>
      </c>
    </row>
    <row r="7184" spans="1:26" x14ac:dyDescent="0.2">
      <c r="A7184" s="6">
        <v>6523</v>
      </c>
      <c r="B7184" s="7">
        <v>46407</v>
      </c>
      <c r="C7184" s="8">
        <f>DATE(2012,12,31)-1376</f>
        <v>39898</v>
      </c>
      <c r="D7184" s="8" t="str">
        <f t="shared" si="134"/>
        <v>2009-03 (март 2009)</v>
      </c>
      <c r="E7184" s="9" t="s">
        <v>45</v>
      </c>
      <c r="F7184" s="7">
        <v>7</v>
      </c>
      <c r="G7184" s="7">
        <v>38.369999999999997</v>
      </c>
      <c r="H7184" s="7">
        <v>0.1</v>
      </c>
      <c r="I7184" s="9" t="s">
        <v>22</v>
      </c>
      <c r="J7184" s="10">
        <v>-29.003</v>
      </c>
      <c r="K7184" s="11">
        <v>5.18</v>
      </c>
      <c r="L7184" s="11">
        <v>5.74</v>
      </c>
      <c r="M7184" s="9" t="s">
        <v>2057</v>
      </c>
      <c r="N7184" s="6" t="s">
        <v>703</v>
      </c>
      <c r="O7184" s="6" t="s">
        <v>704</v>
      </c>
      <c r="P7184" s="9" t="s">
        <v>41</v>
      </c>
      <c r="Q7184" s="9" t="s">
        <v>26</v>
      </c>
      <c r="R7184" s="9" t="s">
        <v>37</v>
      </c>
      <c r="S7184" s="7" t="s">
        <v>606</v>
      </c>
      <c r="T7184" s="9" t="s">
        <v>39</v>
      </c>
      <c r="U7184" s="7">
        <v>0.36</v>
      </c>
      <c r="V7184" s="12">
        <f>C7184+2</f>
        <v>39900</v>
      </c>
      <c r="W7184">
        <f>IF(D7184=' Pivot Tables'!$A$4,1,0)</f>
        <v>0</v>
      </c>
      <c r="X7184">
        <f>IF(AND(LEFT(D7184,4)+1=LEFT(' Pivot Tables'!$A$4,4)+0,RIGHT(LEFT(D7184,7),2)=RIGHT(LEFT(' Pivot Tables'!$A$4,7),2)),1,0)</f>
        <v>0</v>
      </c>
      <c r="Y7184" s="6">
        <f>1/COUNTIF(Таблица1[Order ID],Таблица1[[#This Row],[Order ID]])</f>
        <v>1</v>
      </c>
      <c r="Z7184" s="9">
        <f>1/COUNTIFS(Таблица1[Customer Name],Таблица1[[#This Row],[Customer Name]],Таблица1[Order-Year-Month],Таблица1[[#This Row],[Order-Year-Month]])</f>
        <v>1</v>
      </c>
    </row>
    <row r="7185" spans="1:26" x14ac:dyDescent="0.2">
      <c r="A7185" s="6">
        <v>6534</v>
      </c>
      <c r="B7185" s="7">
        <v>46499</v>
      </c>
      <c r="C7185" s="8">
        <f>DATE(2012,12,31)-1303</f>
        <v>39971</v>
      </c>
      <c r="D7185" s="8" t="str">
        <f t="shared" si="134"/>
        <v>2009-06 (июнь 2009)</v>
      </c>
      <c r="E7185" s="9" t="s">
        <v>78</v>
      </c>
      <c r="F7185" s="7">
        <v>1</v>
      </c>
      <c r="G7185" s="7">
        <v>46.94</v>
      </c>
      <c r="H7185" s="7">
        <v>0.06</v>
      </c>
      <c r="I7185" s="9" t="s">
        <v>22</v>
      </c>
      <c r="J7185" s="10">
        <v>-26.54</v>
      </c>
      <c r="K7185" s="11">
        <v>44.01</v>
      </c>
      <c r="L7185" s="11">
        <v>3.5</v>
      </c>
      <c r="M7185" s="9" t="s">
        <v>1477</v>
      </c>
      <c r="N7185" s="6" t="s">
        <v>703</v>
      </c>
      <c r="O7185" s="6" t="s">
        <v>704</v>
      </c>
      <c r="P7185" s="9" t="s">
        <v>60</v>
      </c>
      <c r="Q7185" s="9" t="s">
        <v>26</v>
      </c>
      <c r="R7185" s="9" t="s">
        <v>34</v>
      </c>
      <c r="S7185" s="7" t="s">
        <v>1648</v>
      </c>
      <c r="T7185" s="9" t="s">
        <v>39</v>
      </c>
      <c r="U7185" s="7">
        <v>0.59</v>
      </c>
      <c r="V7185" s="12">
        <f>C7185+1</f>
        <v>39972</v>
      </c>
      <c r="W7185">
        <f>IF(D7185=' Pivot Tables'!$A$4,1,0)</f>
        <v>0</v>
      </c>
      <c r="X7185">
        <f>IF(AND(LEFT(D7185,4)+1=LEFT(' Pivot Tables'!$A$4,4)+0,RIGHT(LEFT(D7185,7),2)=RIGHT(LEFT(' Pivot Tables'!$A$4,7),2)),1,0)</f>
        <v>0</v>
      </c>
      <c r="Y7185" s="6">
        <f>1/COUNTIF(Таблица1[Order ID],Таблица1[[#This Row],[Order ID]])</f>
        <v>0.33333333333333331</v>
      </c>
      <c r="Z7185" s="9">
        <f>1/COUNTIFS(Таблица1[Customer Name],Таблица1[[#This Row],[Customer Name]],Таблица1[Order-Year-Month],Таблица1[[#This Row],[Order-Year-Month]])</f>
        <v>0.33333333333333331</v>
      </c>
    </row>
    <row r="7186" spans="1:26" x14ac:dyDescent="0.2">
      <c r="A7186" s="6">
        <v>6535</v>
      </c>
      <c r="B7186" s="7">
        <v>46499</v>
      </c>
      <c r="C7186" s="8">
        <f>DATE(2012,12,31)-1303</f>
        <v>39971</v>
      </c>
      <c r="D7186" s="8" t="str">
        <f t="shared" si="134"/>
        <v>2009-06 (июнь 2009)</v>
      </c>
      <c r="E7186" s="9" t="s">
        <v>78</v>
      </c>
      <c r="F7186" s="7">
        <v>22</v>
      </c>
      <c r="G7186" s="7">
        <v>89.96</v>
      </c>
      <c r="H7186" s="7">
        <v>7.0000000000000007E-2</v>
      </c>
      <c r="I7186" s="9" t="s">
        <v>22</v>
      </c>
      <c r="J7186" s="10">
        <v>-115.21</v>
      </c>
      <c r="K7186" s="11">
        <v>4.0599999999999996</v>
      </c>
      <c r="L7186" s="11">
        <v>6.89</v>
      </c>
      <c r="M7186" s="9" t="s">
        <v>1477</v>
      </c>
      <c r="N7186" s="6" t="s">
        <v>703</v>
      </c>
      <c r="O7186" s="6" t="s">
        <v>704</v>
      </c>
      <c r="P7186" s="9" t="s">
        <v>60</v>
      </c>
      <c r="Q7186" s="9" t="s">
        <v>26</v>
      </c>
      <c r="R7186" s="9" t="s">
        <v>34</v>
      </c>
      <c r="S7186" s="7" t="s">
        <v>408</v>
      </c>
      <c r="T7186" s="9" t="s">
        <v>39</v>
      </c>
      <c r="U7186" s="7">
        <v>0.6</v>
      </c>
      <c r="V7186" s="12">
        <f>C7186+2</f>
        <v>39973</v>
      </c>
      <c r="W7186">
        <f>IF(D7186=' Pivot Tables'!$A$4,1,0)</f>
        <v>0</v>
      </c>
      <c r="X7186">
        <f>IF(AND(LEFT(D7186,4)+1=LEFT(' Pivot Tables'!$A$4,4)+0,RIGHT(LEFT(D7186,7),2)=RIGHT(LEFT(' Pivot Tables'!$A$4,7),2)),1,0)</f>
        <v>0</v>
      </c>
      <c r="Y7186" s="6">
        <f>1/COUNTIF(Таблица1[Order ID],Таблица1[[#This Row],[Order ID]])</f>
        <v>0.33333333333333331</v>
      </c>
      <c r="Z7186" s="9">
        <f>1/COUNTIFS(Таблица1[Customer Name],Таблица1[[#This Row],[Customer Name]],Таблица1[Order-Year-Month],Таблица1[[#This Row],[Order-Year-Month]])</f>
        <v>0.33333333333333331</v>
      </c>
    </row>
    <row r="7187" spans="1:26" x14ac:dyDescent="0.2">
      <c r="A7187" s="6">
        <v>6536</v>
      </c>
      <c r="B7187" s="7">
        <v>46499</v>
      </c>
      <c r="C7187" s="8">
        <f>DATE(2012,12,31)-1303</f>
        <v>39971</v>
      </c>
      <c r="D7187" s="8" t="str">
        <f t="shared" si="134"/>
        <v>2009-06 (июнь 2009)</v>
      </c>
      <c r="E7187" s="9" t="s">
        <v>78</v>
      </c>
      <c r="F7187" s="7">
        <v>10</v>
      </c>
      <c r="G7187" s="7">
        <v>12.95</v>
      </c>
      <c r="H7187" s="7">
        <v>0.1</v>
      </c>
      <c r="I7187" s="9" t="s">
        <v>22</v>
      </c>
      <c r="J7187" s="10">
        <v>-6.78</v>
      </c>
      <c r="K7187" s="11">
        <v>1.26</v>
      </c>
      <c r="L7187" s="11">
        <v>0.7</v>
      </c>
      <c r="M7187" s="9" t="s">
        <v>1477</v>
      </c>
      <c r="N7187" s="6" t="s">
        <v>703</v>
      </c>
      <c r="O7187" s="6" t="s">
        <v>704</v>
      </c>
      <c r="P7187" s="9" t="s">
        <v>60</v>
      </c>
      <c r="Q7187" s="9" t="s">
        <v>26</v>
      </c>
      <c r="R7187" s="9" t="s">
        <v>66</v>
      </c>
      <c r="S7187" s="7" t="s">
        <v>351</v>
      </c>
      <c r="T7187" s="9" t="s">
        <v>68</v>
      </c>
      <c r="U7187" s="7">
        <v>0.81</v>
      </c>
      <c r="V7187" s="12">
        <f>C7187+1</f>
        <v>39972</v>
      </c>
      <c r="W7187">
        <f>IF(D7187=' Pivot Tables'!$A$4,1,0)</f>
        <v>0</v>
      </c>
      <c r="X7187">
        <f>IF(AND(LEFT(D7187,4)+1=LEFT(' Pivot Tables'!$A$4,4)+0,RIGHT(LEFT(D7187,7),2)=RIGHT(LEFT(' Pivot Tables'!$A$4,7),2)),1,0)</f>
        <v>0</v>
      </c>
      <c r="Y7187" s="6">
        <f>1/COUNTIF(Таблица1[Order ID],Таблица1[[#This Row],[Order ID]])</f>
        <v>0.33333333333333331</v>
      </c>
      <c r="Z7187" s="9">
        <f>1/COUNTIFS(Таблица1[Customer Name],Таблица1[[#This Row],[Customer Name]],Таблица1[Order-Year-Month],Таблица1[[#This Row],[Order-Year-Month]])</f>
        <v>0.33333333333333331</v>
      </c>
    </row>
    <row r="7188" spans="1:26" x14ac:dyDescent="0.2">
      <c r="A7188" s="6">
        <v>6561</v>
      </c>
      <c r="B7188" s="7">
        <v>46631</v>
      </c>
      <c r="C7188" s="8">
        <f>DATE(2012,12,31)-295</f>
        <v>40979</v>
      </c>
      <c r="D7188" s="8" t="str">
        <f t="shared" si="134"/>
        <v>2012-03 (март 2012)</v>
      </c>
      <c r="E7188" s="9" t="s">
        <v>45</v>
      </c>
      <c r="F7188" s="7">
        <v>39</v>
      </c>
      <c r="G7188" s="7">
        <v>930.84</v>
      </c>
      <c r="H7188" s="7">
        <v>0.05</v>
      </c>
      <c r="I7188" s="9" t="s">
        <v>22</v>
      </c>
      <c r="J7188" s="10">
        <v>-122.12</v>
      </c>
      <c r="K7188" s="11">
        <v>22.84</v>
      </c>
      <c r="L7188" s="11">
        <v>16.920000000000002</v>
      </c>
      <c r="M7188" s="9" t="s">
        <v>1473</v>
      </c>
      <c r="N7188" s="6" t="s">
        <v>703</v>
      </c>
      <c r="O7188" s="6" t="s">
        <v>704</v>
      </c>
      <c r="P7188" s="9" t="s">
        <v>41</v>
      </c>
      <c r="Q7188" s="9" t="s">
        <v>26</v>
      </c>
      <c r="R7188" s="9" t="s">
        <v>61</v>
      </c>
      <c r="S7188" s="7" t="s">
        <v>1000</v>
      </c>
      <c r="T7188" s="9" t="s">
        <v>39</v>
      </c>
      <c r="U7188" s="7">
        <v>0.39</v>
      </c>
      <c r="V7188" s="12">
        <f t="shared" ref="V7188:V7194" si="135">C7188+2</f>
        <v>40981</v>
      </c>
      <c r="W7188">
        <f>IF(D7188=' Pivot Tables'!$A$4,1,0)</f>
        <v>0</v>
      </c>
      <c r="X7188">
        <f>IF(AND(LEFT(D7188,4)+1=LEFT(' Pivot Tables'!$A$4,4)+0,RIGHT(LEFT(D7188,7),2)=RIGHT(LEFT(' Pivot Tables'!$A$4,7),2)),1,0)</f>
        <v>0</v>
      </c>
      <c r="Y7188" s="6">
        <f>1/COUNTIF(Таблица1[Order ID],Таблица1[[#This Row],[Order ID]])</f>
        <v>1</v>
      </c>
      <c r="Z7188" s="9">
        <f>1/COUNTIFS(Таблица1[Customer Name],Таблица1[[#This Row],[Customer Name]],Таблица1[Order-Year-Month],Таблица1[[#This Row],[Order-Year-Month]])</f>
        <v>1</v>
      </c>
    </row>
    <row r="7189" spans="1:26" x14ac:dyDescent="0.2">
      <c r="A7189" s="6">
        <v>6563</v>
      </c>
      <c r="B7189" s="7">
        <v>46662</v>
      </c>
      <c r="C7189" s="8">
        <f>DATE(2012,12,31)-368</f>
        <v>40906</v>
      </c>
      <c r="D7189" s="8" t="str">
        <f t="shared" si="134"/>
        <v>2011-12 (декабрь 2011)</v>
      </c>
      <c r="E7189" s="9" t="s">
        <v>78</v>
      </c>
      <c r="F7189" s="7">
        <v>8</v>
      </c>
      <c r="G7189" s="7">
        <v>57.22</v>
      </c>
      <c r="H7189" s="7">
        <v>7.0000000000000007E-2</v>
      </c>
      <c r="I7189" s="9" t="s">
        <v>22</v>
      </c>
      <c r="J7189" s="10">
        <v>-27.72</v>
      </c>
      <c r="K7189" s="11">
        <v>6.48</v>
      </c>
      <c r="L7189" s="11">
        <v>6.6</v>
      </c>
      <c r="M7189" s="9" t="s">
        <v>1544</v>
      </c>
      <c r="N7189" s="6" t="s">
        <v>703</v>
      </c>
      <c r="O7189" s="6" t="s">
        <v>704</v>
      </c>
      <c r="P7189" s="9" t="s">
        <v>60</v>
      </c>
      <c r="Q7189" s="9" t="s">
        <v>26</v>
      </c>
      <c r="R7189" s="9" t="s">
        <v>61</v>
      </c>
      <c r="S7189" s="7" t="s">
        <v>346</v>
      </c>
      <c r="T7189" s="9" t="s">
        <v>39</v>
      </c>
      <c r="U7189" s="7">
        <v>0.37</v>
      </c>
      <c r="V7189" s="12">
        <f t="shared" si="135"/>
        <v>40908</v>
      </c>
      <c r="W7189">
        <f>IF(D7189=' Pivot Tables'!$A$4,1,0)</f>
        <v>0</v>
      </c>
      <c r="X7189">
        <f>IF(AND(LEFT(D7189,4)+1=LEFT(' Pivot Tables'!$A$4,4)+0,RIGHT(LEFT(D7189,7),2)=RIGHT(LEFT(' Pivot Tables'!$A$4,7),2)),1,0)</f>
        <v>0</v>
      </c>
      <c r="Y7189" s="6">
        <f>1/COUNTIF(Таблица1[Order ID],Таблица1[[#This Row],[Order ID]])</f>
        <v>0.33333333333333331</v>
      </c>
      <c r="Z7189" s="9">
        <f>1/COUNTIFS(Таблица1[Customer Name],Таблица1[[#This Row],[Customer Name]],Таблица1[Order-Year-Month],Таблица1[[#This Row],[Order-Year-Month]])</f>
        <v>0.2</v>
      </c>
    </row>
    <row r="7190" spans="1:26" x14ac:dyDescent="0.2">
      <c r="A7190" s="6">
        <v>6564</v>
      </c>
      <c r="B7190" s="7">
        <v>46662</v>
      </c>
      <c r="C7190" s="8">
        <f>DATE(2012,12,31)-368</f>
        <v>40906</v>
      </c>
      <c r="D7190" s="8" t="str">
        <f t="shared" si="134"/>
        <v>2011-12 (декабрь 2011)</v>
      </c>
      <c r="E7190" s="9" t="s">
        <v>78</v>
      </c>
      <c r="F7190" s="7">
        <v>33</v>
      </c>
      <c r="G7190" s="7">
        <v>162</v>
      </c>
      <c r="H7190" s="7">
        <v>0.01</v>
      </c>
      <c r="I7190" s="9" t="s">
        <v>22</v>
      </c>
      <c r="J7190" s="10">
        <v>45.84</v>
      </c>
      <c r="K7190" s="11">
        <v>4.84</v>
      </c>
      <c r="L7190" s="11">
        <v>0.71</v>
      </c>
      <c r="M7190" s="9" t="s">
        <v>1544</v>
      </c>
      <c r="N7190" s="6" t="s">
        <v>703</v>
      </c>
      <c r="O7190" s="6" t="s">
        <v>704</v>
      </c>
      <c r="P7190" s="9" t="s">
        <v>60</v>
      </c>
      <c r="Q7190" s="9" t="s">
        <v>26</v>
      </c>
      <c r="R7190" s="9" t="s">
        <v>95</v>
      </c>
      <c r="S7190" s="7" t="s">
        <v>633</v>
      </c>
      <c r="T7190" s="9" t="s">
        <v>68</v>
      </c>
      <c r="U7190" s="7">
        <v>0.52</v>
      </c>
      <c r="V7190" s="12">
        <f t="shared" si="135"/>
        <v>40908</v>
      </c>
      <c r="W7190">
        <f>IF(D7190=' Pivot Tables'!$A$4,1,0)</f>
        <v>0</v>
      </c>
      <c r="X7190">
        <f>IF(AND(LEFT(D7190,4)+1=LEFT(' Pivot Tables'!$A$4,4)+0,RIGHT(LEFT(D7190,7),2)=RIGHT(LEFT(' Pivot Tables'!$A$4,7),2)),1,0)</f>
        <v>0</v>
      </c>
      <c r="Y7190" s="6">
        <f>1/COUNTIF(Таблица1[Order ID],Таблица1[[#This Row],[Order ID]])</f>
        <v>0.33333333333333331</v>
      </c>
      <c r="Z7190" s="9">
        <f>1/COUNTIFS(Таблица1[Customer Name],Таблица1[[#This Row],[Customer Name]],Таблица1[Order-Year-Month],Таблица1[[#This Row],[Order-Year-Month]])</f>
        <v>0.2</v>
      </c>
    </row>
    <row r="7191" spans="1:26" x14ac:dyDescent="0.2">
      <c r="A7191" s="6">
        <v>6565</v>
      </c>
      <c r="B7191" s="7">
        <v>46662</v>
      </c>
      <c r="C7191" s="8">
        <f>DATE(2012,12,31)-368</f>
        <v>40906</v>
      </c>
      <c r="D7191" s="8" t="str">
        <f t="shared" si="134"/>
        <v>2011-12 (декабрь 2011)</v>
      </c>
      <c r="E7191" s="9" t="s">
        <v>78</v>
      </c>
      <c r="F7191" s="7">
        <v>48</v>
      </c>
      <c r="G7191" s="7">
        <v>3410.1574999999998</v>
      </c>
      <c r="H7191" s="7">
        <v>0.1</v>
      </c>
      <c r="I7191" s="9" t="s">
        <v>22</v>
      </c>
      <c r="J7191" s="10">
        <v>1137.9059999999999</v>
      </c>
      <c r="K7191" s="11">
        <v>85.99</v>
      </c>
      <c r="L7191" s="11">
        <v>0.99</v>
      </c>
      <c r="M7191" s="9" t="s">
        <v>1544</v>
      </c>
      <c r="N7191" s="6" t="s">
        <v>703</v>
      </c>
      <c r="O7191" s="6" t="s">
        <v>704</v>
      </c>
      <c r="P7191" s="9" t="s">
        <v>60</v>
      </c>
      <c r="Q7191" s="9" t="s">
        <v>42</v>
      </c>
      <c r="R7191" s="9" t="s">
        <v>43</v>
      </c>
      <c r="S7191" s="7" t="s">
        <v>741</v>
      </c>
      <c r="T7191" s="9" t="s">
        <v>68</v>
      </c>
      <c r="U7191" s="7">
        <v>0.55000000000000004</v>
      </c>
      <c r="V7191" s="12">
        <f t="shared" si="135"/>
        <v>40908</v>
      </c>
      <c r="W7191">
        <f>IF(D7191=' Pivot Tables'!$A$4,1,0)</f>
        <v>0</v>
      </c>
      <c r="X7191">
        <f>IF(AND(LEFT(D7191,4)+1=LEFT(' Pivot Tables'!$A$4,4)+0,RIGHT(LEFT(D7191,7),2)=RIGHT(LEFT(' Pivot Tables'!$A$4,7),2)),1,0)</f>
        <v>0</v>
      </c>
      <c r="Y7191" s="6">
        <f>1/COUNTIF(Таблица1[Order ID],Таблица1[[#This Row],[Order ID]])</f>
        <v>0.33333333333333331</v>
      </c>
      <c r="Z7191" s="9">
        <f>1/COUNTIFS(Таблица1[Customer Name],Таблица1[[#This Row],[Customer Name]],Таблица1[Order-Year-Month],Таблица1[[#This Row],[Order-Year-Month]])</f>
        <v>0.2</v>
      </c>
    </row>
    <row r="7192" spans="1:26" x14ac:dyDescent="0.2">
      <c r="A7192" s="6">
        <v>6566</v>
      </c>
      <c r="B7192" s="7">
        <v>46691</v>
      </c>
      <c r="C7192" s="8">
        <f>DATE(2012,12,31)-190</f>
        <v>41084</v>
      </c>
      <c r="D7192" s="8" t="str">
        <f t="shared" si="134"/>
        <v>2012-06 (июнь 2012)</v>
      </c>
      <c r="E7192" s="9" t="s">
        <v>78</v>
      </c>
      <c r="F7192" s="7">
        <v>47</v>
      </c>
      <c r="G7192" s="7">
        <v>1676.25</v>
      </c>
      <c r="H7192" s="7">
        <v>0.04</v>
      </c>
      <c r="I7192" s="9" t="s">
        <v>22</v>
      </c>
      <c r="J7192" s="10">
        <v>-458.33</v>
      </c>
      <c r="K7192" s="11">
        <v>36.65</v>
      </c>
      <c r="L7192" s="11">
        <v>22.6</v>
      </c>
      <c r="M7192" s="9" t="s">
        <v>1575</v>
      </c>
      <c r="N7192" s="6" t="s">
        <v>703</v>
      </c>
      <c r="O7192" s="6" t="s">
        <v>704</v>
      </c>
      <c r="P7192" s="9" t="s">
        <v>25</v>
      </c>
      <c r="Q7192" s="9" t="s">
        <v>49</v>
      </c>
      <c r="R7192" s="9" t="s">
        <v>50</v>
      </c>
      <c r="S7192" s="7" t="s">
        <v>2058</v>
      </c>
      <c r="T7192" s="9" t="s">
        <v>29</v>
      </c>
      <c r="U7192" s="7">
        <v>0.57999999999999996</v>
      </c>
      <c r="V7192" s="12">
        <f t="shared" si="135"/>
        <v>41086</v>
      </c>
      <c r="W7192">
        <f>IF(D7192=' Pivot Tables'!$A$4,1,0)</f>
        <v>0</v>
      </c>
      <c r="X7192">
        <f>IF(AND(LEFT(D7192,4)+1=LEFT(' Pivot Tables'!$A$4,4)+0,RIGHT(LEFT(D7192,7),2)=RIGHT(LEFT(' Pivot Tables'!$A$4,7),2)),1,0)</f>
        <v>0</v>
      </c>
      <c r="Y7192" s="6">
        <f>1/COUNTIF(Таблица1[Order ID],Таблица1[[#This Row],[Order ID]])</f>
        <v>1</v>
      </c>
      <c r="Z7192" s="9">
        <f>1/COUNTIFS(Таблица1[Customer Name],Таблица1[[#This Row],[Customer Name]],Таблица1[Order-Year-Month],Таблица1[[#This Row],[Order-Year-Month]])</f>
        <v>0.33333333333333331</v>
      </c>
    </row>
    <row r="7193" spans="1:26" x14ac:dyDescent="0.2">
      <c r="A7193" s="6">
        <v>6583</v>
      </c>
      <c r="B7193" s="7">
        <v>46880</v>
      </c>
      <c r="C7193" s="8">
        <f>DATE(2012,12,31)-912</f>
        <v>40362</v>
      </c>
      <c r="D7193" s="8" t="str">
        <f t="shared" si="134"/>
        <v>2010-07 (июль 2010)</v>
      </c>
      <c r="E7193" s="9" t="s">
        <v>78</v>
      </c>
      <c r="F7193" s="7">
        <v>1</v>
      </c>
      <c r="G7193" s="7">
        <v>29.99</v>
      </c>
      <c r="H7193" s="7">
        <v>7.0000000000000007E-2</v>
      </c>
      <c r="I7193" s="9" t="s">
        <v>22</v>
      </c>
      <c r="J7193" s="10">
        <v>-8.8800000000000008</v>
      </c>
      <c r="K7193" s="11">
        <v>21.98</v>
      </c>
      <c r="L7193" s="11">
        <v>8.32</v>
      </c>
      <c r="M7193" s="9" t="s">
        <v>1517</v>
      </c>
      <c r="N7193" s="6" t="s">
        <v>703</v>
      </c>
      <c r="O7193" s="6" t="s">
        <v>704</v>
      </c>
      <c r="P7193" s="9" t="s">
        <v>41</v>
      </c>
      <c r="Q7193" s="9" t="s">
        <v>26</v>
      </c>
      <c r="R7193" s="9" t="s">
        <v>61</v>
      </c>
      <c r="S7193" s="7" t="s">
        <v>308</v>
      </c>
      <c r="T7193" s="9" t="s">
        <v>68</v>
      </c>
      <c r="U7193" s="7">
        <v>0.39</v>
      </c>
      <c r="V7193" s="12">
        <f t="shared" si="135"/>
        <v>40364</v>
      </c>
      <c r="W7193">
        <f>IF(D7193=' Pivot Tables'!$A$4,1,0)</f>
        <v>0</v>
      </c>
      <c r="X7193">
        <f>IF(AND(LEFT(D7193,4)+1=LEFT(' Pivot Tables'!$A$4,4)+0,RIGHT(LEFT(D7193,7),2)=RIGHT(LEFT(' Pivot Tables'!$A$4,7),2)),1,0)</f>
        <v>0</v>
      </c>
      <c r="Y7193" s="6">
        <f>1/COUNTIF(Таблица1[Order ID],Таблица1[[#This Row],[Order ID]])</f>
        <v>1</v>
      </c>
      <c r="Z7193" s="9">
        <f>1/COUNTIFS(Таблица1[Customer Name],Таблица1[[#This Row],[Customer Name]],Таблица1[Order-Year-Month],Таблица1[[#This Row],[Order-Year-Month]])</f>
        <v>1</v>
      </c>
    </row>
    <row r="7194" spans="1:26" x14ac:dyDescent="0.2">
      <c r="A7194" s="6">
        <v>6607</v>
      </c>
      <c r="B7194" s="7">
        <v>47011</v>
      </c>
      <c r="C7194" s="8">
        <f>DATE(2012,12,31)-1411</f>
        <v>39863</v>
      </c>
      <c r="D7194" s="8" t="str">
        <f t="shared" si="134"/>
        <v>2009-02 (февраль 2009)</v>
      </c>
      <c r="E7194" s="9" t="s">
        <v>30</v>
      </c>
      <c r="F7194" s="7">
        <v>33</v>
      </c>
      <c r="G7194" s="7">
        <v>373.13</v>
      </c>
      <c r="H7194" s="7">
        <v>0.05</v>
      </c>
      <c r="I7194" s="9" t="s">
        <v>22</v>
      </c>
      <c r="J7194" s="10">
        <v>-35.26</v>
      </c>
      <c r="K7194" s="11">
        <v>11.29</v>
      </c>
      <c r="L7194" s="11">
        <v>5.03</v>
      </c>
      <c r="M7194" s="9" t="s">
        <v>2028</v>
      </c>
      <c r="N7194" s="6" t="s">
        <v>703</v>
      </c>
      <c r="O7194" s="6" t="s">
        <v>704</v>
      </c>
      <c r="P7194" s="9" t="s">
        <v>41</v>
      </c>
      <c r="Q7194" s="9" t="s">
        <v>26</v>
      </c>
      <c r="R7194" s="9" t="s">
        <v>27</v>
      </c>
      <c r="S7194" s="7" t="s">
        <v>614</v>
      </c>
      <c r="T7194" s="9" t="s">
        <v>39</v>
      </c>
      <c r="U7194" s="7">
        <v>0.59</v>
      </c>
      <c r="V7194" s="12">
        <f t="shared" si="135"/>
        <v>39865</v>
      </c>
      <c r="W7194">
        <f>IF(D7194=' Pivot Tables'!$A$4,1,0)</f>
        <v>0</v>
      </c>
      <c r="X7194">
        <f>IF(AND(LEFT(D7194,4)+1=LEFT(' Pivot Tables'!$A$4,4)+0,RIGHT(LEFT(D7194,7),2)=RIGHT(LEFT(' Pivot Tables'!$A$4,7),2)),1,0)</f>
        <v>0</v>
      </c>
      <c r="Y7194" s="6">
        <f>1/COUNTIF(Таблица1[Order ID],Таблица1[[#This Row],[Order ID]])</f>
        <v>1</v>
      </c>
      <c r="Z7194" s="9">
        <f>1/COUNTIFS(Таблица1[Customer Name],Таблица1[[#This Row],[Customer Name]],Таблица1[Order-Year-Month],Таблица1[[#This Row],[Order-Year-Month]])</f>
        <v>1</v>
      </c>
    </row>
    <row r="7195" spans="1:26" x14ac:dyDescent="0.2">
      <c r="A7195" s="6">
        <v>6637</v>
      </c>
      <c r="B7195" s="7">
        <v>47201</v>
      </c>
      <c r="C7195" s="8">
        <f>DATE(2012,12,31)-1099</f>
        <v>40175</v>
      </c>
      <c r="D7195" s="8" t="str">
        <f t="shared" si="134"/>
        <v>2009-12 (декабрь 2009)</v>
      </c>
      <c r="E7195" s="9" t="s">
        <v>78</v>
      </c>
      <c r="F7195" s="7">
        <v>18</v>
      </c>
      <c r="G7195" s="7">
        <v>99.55</v>
      </c>
      <c r="H7195" s="7">
        <v>0.03</v>
      </c>
      <c r="I7195" s="9" t="s">
        <v>56</v>
      </c>
      <c r="J7195" s="10">
        <v>-60.9</v>
      </c>
      <c r="K7195" s="11">
        <v>4.9800000000000004</v>
      </c>
      <c r="L7195" s="11">
        <v>4.62</v>
      </c>
      <c r="M7195" s="9" t="s">
        <v>2047</v>
      </c>
      <c r="N7195" s="6" t="s">
        <v>703</v>
      </c>
      <c r="O7195" s="6" t="s">
        <v>704</v>
      </c>
      <c r="P7195" s="9" t="s">
        <v>41</v>
      </c>
      <c r="Q7195" s="9" t="s">
        <v>42</v>
      </c>
      <c r="R7195" s="9" t="s">
        <v>70</v>
      </c>
      <c r="S7195" s="7" t="s">
        <v>402</v>
      </c>
      <c r="T7195" s="9" t="s">
        <v>52</v>
      </c>
      <c r="U7195" s="7">
        <v>0.64</v>
      </c>
      <c r="V7195" s="12">
        <f>C7195+1</f>
        <v>40176</v>
      </c>
      <c r="W7195">
        <f>IF(D7195=' Pivot Tables'!$A$4,1,0)</f>
        <v>0</v>
      </c>
      <c r="X7195">
        <f>IF(AND(LEFT(D7195,4)+1=LEFT(' Pivot Tables'!$A$4,4)+0,RIGHT(LEFT(D7195,7),2)=RIGHT(LEFT(' Pivot Tables'!$A$4,7),2)),1,0)</f>
        <v>0</v>
      </c>
      <c r="Y7195" s="6">
        <f>1/COUNTIF(Таблица1[Order ID],Таблица1[[#This Row],[Order ID]])</f>
        <v>1</v>
      </c>
      <c r="Z7195" s="9">
        <f>1/COUNTIFS(Таблица1[Customer Name],Таблица1[[#This Row],[Customer Name]],Таблица1[Order-Year-Month],Таблица1[[#This Row],[Order-Year-Month]])</f>
        <v>1</v>
      </c>
    </row>
    <row r="7196" spans="1:26" x14ac:dyDescent="0.2">
      <c r="A7196" s="6">
        <v>6663</v>
      </c>
      <c r="B7196" s="7">
        <v>47457</v>
      </c>
      <c r="C7196" s="8">
        <f>DATE(2012,12,31)-1307</f>
        <v>39967</v>
      </c>
      <c r="D7196" s="8" t="str">
        <f t="shared" si="134"/>
        <v>2009-06 (июнь 2009)</v>
      </c>
      <c r="E7196" s="9" t="s">
        <v>21</v>
      </c>
      <c r="F7196" s="7">
        <v>50</v>
      </c>
      <c r="G7196" s="7">
        <v>8230.77</v>
      </c>
      <c r="H7196" s="7">
        <v>0.05</v>
      </c>
      <c r="I7196" s="9" t="s">
        <v>22</v>
      </c>
      <c r="J7196" s="10">
        <v>1577.02</v>
      </c>
      <c r="K7196" s="11">
        <v>161.55000000000001</v>
      </c>
      <c r="L7196" s="11">
        <v>19.989999999999998</v>
      </c>
      <c r="M7196" s="9" t="s">
        <v>1802</v>
      </c>
      <c r="N7196" s="6" t="s">
        <v>703</v>
      </c>
      <c r="O7196" s="6" t="s">
        <v>704</v>
      </c>
      <c r="P7196" s="9" t="s">
        <v>41</v>
      </c>
      <c r="Q7196" s="9" t="s">
        <v>26</v>
      </c>
      <c r="R7196" s="9" t="s">
        <v>27</v>
      </c>
      <c r="S7196" s="7" t="s">
        <v>685</v>
      </c>
      <c r="T7196" s="9" t="s">
        <v>39</v>
      </c>
      <c r="U7196" s="7">
        <v>0.66</v>
      </c>
      <c r="V7196" s="12">
        <f>C7196+5</f>
        <v>39972</v>
      </c>
      <c r="W7196">
        <f>IF(D7196=' Pivot Tables'!$A$4,1,0)</f>
        <v>0</v>
      </c>
      <c r="X7196">
        <f>IF(AND(LEFT(D7196,4)+1=LEFT(' Pivot Tables'!$A$4,4)+0,RIGHT(LEFT(D7196,7),2)=RIGHT(LEFT(' Pivot Tables'!$A$4,7),2)),1,0)</f>
        <v>0</v>
      </c>
      <c r="Y7196" s="6">
        <f>1/COUNTIF(Таблица1[Order ID],Таблица1[[#This Row],[Order ID]])</f>
        <v>1</v>
      </c>
      <c r="Z7196" s="9">
        <f>1/COUNTIFS(Таблица1[Customer Name],Таблица1[[#This Row],[Customer Name]],Таблица1[Order-Year-Month],Таблица1[[#This Row],[Order-Year-Month]])</f>
        <v>1</v>
      </c>
    </row>
    <row r="7197" spans="1:26" x14ac:dyDescent="0.2">
      <c r="A7197" s="6">
        <v>6679</v>
      </c>
      <c r="B7197" s="7">
        <v>47522</v>
      </c>
      <c r="C7197" s="8">
        <f>DATE(2012,12,31)-69</f>
        <v>41205</v>
      </c>
      <c r="D7197" s="8" t="str">
        <f t="shared" si="134"/>
        <v>2012-10 (октябрь 2012)</v>
      </c>
      <c r="E7197" s="9" t="s">
        <v>30</v>
      </c>
      <c r="F7197" s="7">
        <v>5</v>
      </c>
      <c r="G7197" s="7">
        <v>80.56</v>
      </c>
      <c r="H7197" s="7">
        <v>0.03</v>
      </c>
      <c r="I7197" s="9" t="s">
        <v>22</v>
      </c>
      <c r="J7197" s="10">
        <v>12.5</v>
      </c>
      <c r="K7197" s="11">
        <v>15.67</v>
      </c>
      <c r="L7197" s="11">
        <v>1.39</v>
      </c>
      <c r="M7197" s="9" t="s">
        <v>2048</v>
      </c>
      <c r="N7197" s="6" t="s">
        <v>703</v>
      </c>
      <c r="O7197" s="6" t="s">
        <v>704</v>
      </c>
      <c r="P7197" s="9" t="s">
        <v>41</v>
      </c>
      <c r="Q7197" s="9" t="s">
        <v>26</v>
      </c>
      <c r="R7197" s="9" t="s">
        <v>76</v>
      </c>
      <c r="S7197" s="7" t="s">
        <v>165</v>
      </c>
      <c r="T7197" s="9" t="s">
        <v>39</v>
      </c>
      <c r="U7197" s="7">
        <v>0.38</v>
      </c>
      <c r="V7197" s="12">
        <f>C7197+1</f>
        <v>41206</v>
      </c>
      <c r="W7197">
        <f>IF(D7197=' Pivot Tables'!$A$4,1,0)</f>
        <v>0</v>
      </c>
      <c r="X7197">
        <f>IF(AND(LEFT(D7197,4)+1=LEFT(' Pivot Tables'!$A$4,4)+0,RIGHT(LEFT(D7197,7),2)=RIGHT(LEFT(' Pivot Tables'!$A$4,7),2)),1,0)</f>
        <v>0</v>
      </c>
      <c r="Y7197" s="6">
        <f>1/COUNTIF(Таблица1[Order ID],Таблица1[[#This Row],[Order ID]])</f>
        <v>1</v>
      </c>
      <c r="Z7197" s="9">
        <f>1/COUNTIFS(Таблица1[Customer Name],Таблица1[[#This Row],[Customer Name]],Таблица1[Order-Year-Month],Таблица1[[#This Row],[Order-Year-Month]])</f>
        <v>1</v>
      </c>
    </row>
    <row r="7198" spans="1:26" x14ac:dyDescent="0.2">
      <c r="A7198" s="6">
        <v>6684</v>
      </c>
      <c r="B7198" s="7">
        <v>47553</v>
      </c>
      <c r="C7198" s="8">
        <f>DATE(2012,12,31)-589</f>
        <v>40685</v>
      </c>
      <c r="D7198" s="8" t="str">
        <f t="shared" si="134"/>
        <v>2011-05 (май 2011)</v>
      </c>
      <c r="E7198" s="9" t="s">
        <v>63</v>
      </c>
      <c r="F7198" s="7">
        <v>49</v>
      </c>
      <c r="G7198" s="7">
        <v>20701.928</v>
      </c>
      <c r="H7198" s="7">
        <v>0.08</v>
      </c>
      <c r="I7198" s="9" t="s">
        <v>31</v>
      </c>
      <c r="J7198" s="10">
        <v>3918.54</v>
      </c>
      <c r="K7198" s="11">
        <v>550.98</v>
      </c>
      <c r="L7198" s="11">
        <v>45.7</v>
      </c>
      <c r="M7198" s="9" t="s">
        <v>1475</v>
      </c>
      <c r="N7198" s="6" t="s">
        <v>703</v>
      </c>
      <c r="O7198" s="6" t="s">
        <v>704</v>
      </c>
      <c r="P7198" s="9" t="s">
        <v>41</v>
      </c>
      <c r="Q7198" s="9" t="s">
        <v>49</v>
      </c>
      <c r="R7198" s="9" t="s">
        <v>83</v>
      </c>
      <c r="S7198" s="7" t="s">
        <v>1557</v>
      </c>
      <c r="T7198" s="9" t="s">
        <v>82</v>
      </c>
      <c r="U7198" s="7">
        <v>0.71</v>
      </c>
      <c r="V7198" s="12">
        <f>C7198+1</f>
        <v>40686</v>
      </c>
      <c r="W7198">
        <f>IF(D7198=' Pivot Tables'!$A$4,1,0)</f>
        <v>0</v>
      </c>
      <c r="X7198">
        <f>IF(AND(LEFT(D7198,4)+1=LEFT(' Pivot Tables'!$A$4,4)+0,RIGHT(LEFT(D7198,7),2)=RIGHT(LEFT(' Pivot Tables'!$A$4,7),2)),1,0)</f>
        <v>0</v>
      </c>
      <c r="Y7198" s="6">
        <f>1/COUNTIF(Таблица1[Order ID],Таблица1[[#This Row],[Order ID]])</f>
        <v>1</v>
      </c>
      <c r="Z7198" s="9">
        <f>1/COUNTIFS(Таблица1[Customer Name],Таблица1[[#This Row],[Customer Name]],Таблица1[Order-Year-Month],Таблица1[[#This Row],[Order-Year-Month]])</f>
        <v>1</v>
      </c>
    </row>
    <row r="7199" spans="1:26" x14ac:dyDescent="0.2">
      <c r="A7199" s="6">
        <v>6688</v>
      </c>
      <c r="B7199" s="7">
        <v>47584</v>
      </c>
      <c r="C7199" s="8">
        <f>DATE(2012,12,31)-888</f>
        <v>40386</v>
      </c>
      <c r="D7199" s="8" t="str">
        <f t="shared" si="134"/>
        <v>2010-07 (июль 2010)</v>
      </c>
      <c r="E7199" s="9" t="s">
        <v>78</v>
      </c>
      <c r="F7199" s="7">
        <v>4</v>
      </c>
      <c r="G7199" s="7">
        <v>20.190000000000001</v>
      </c>
      <c r="H7199" s="7">
        <v>0.03</v>
      </c>
      <c r="I7199" s="9" t="s">
        <v>22</v>
      </c>
      <c r="J7199" s="10">
        <v>1.3</v>
      </c>
      <c r="K7199" s="11">
        <v>4.91</v>
      </c>
      <c r="L7199" s="11">
        <v>0.5</v>
      </c>
      <c r="M7199" s="9" t="s">
        <v>2032</v>
      </c>
      <c r="N7199" s="6" t="s">
        <v>703</v>
      </c>
      <c r="O7199" s="6" t="s">
        <v>704</v>
      </c>
      <c r="P7199" s="9" t="s">
        <v>60</v>
      </c>
      <c r="Q7199" s="9" t="s">
        <v>26</v>
      </c>
      <c r="R7199" s="9" t="s">
        <v>88</v>
      </c>
      <c r="S7199" s="7" t="s">
        <v>1370</v>
      </c>
      <c r="T7199" s="9" t="s">
        <v>39</v>
      </c>
      <c r="U7199" s="7">
        <v>0.36</v>
      </c>
      <c r="V7199" s="12">
        <f>C7199+2</f>
        <v>40388</v>
      </c>
      <c r="W7199">
        <f>IF(D7199=' Pivot Tables'!$A$4,1,0)</f>
        <v>0</v>
      </c>
      <c r="X7199">
        <f>IF(AND(LEFT(D7199,4)+1=LEFT(' Pivot Tables'!$A$4,4)+0,RIGHT(LEFT(D7199,7),2)=RIGHT(LEFT(' Pivot Tables'!$A$4,7),2)),1,0)</f>
        <v>0</v>
      </c>
      <c r="Y7199" s="6">
        <f>1/COUNTIF(Таблица1[Order ID],Таблица1[[#This Row],[Order ID]])</f>
        <v>0.5</v>
      </c>
      <c r="Z7199" s="9">
        <f>1/COUNTIFS(Таблица1[Customer Name],Таблица1[[#This Row],[Customer Name]],Таблица1[Order-Year-Month],Таблица1[[#This Row],[Order-Year-Month]])</f>
        <v>0.5</v>
      </c>
    </row>
    <row r="7200" spans="1:26" x14ac:dyDescent="0.2">
      <c r="A7200" s="6">
        <v>6689</v>
      </c>
      <c r="B7200" s="7">
        <v>47584</v>
      </c>
      <c r="C7200" s="8">
        <f>DATE(2012,12,31)-888</f>
        <v>40386</v>
      </c>
      <c r="D7200" s="8" t="str">
        <f t="shared" si="134"/>
        <v>2010-07 (июль 2010)</v>
      </c>
      <c r="E7200" s="9" t="s">
        <v>78</v>
      </c>
      <c r="F7200" s="7">
        <v>43</v>
      </c>
      <c r="G7200" s="7">
        <v>74.989999999999995</v>
      </c>
      <c r="H7200" s="7">
        <v>0.08</v>
      </c>
      <c r="I7200" s="9" t="s">
        <v>22</v>
      </c>
      <c r="J7200" s="10">
        <v>-8.9499999999999993</v>
      </c>
      <c r="K7200" s="11">
        <v>1.82</v>
      </c>
      <c r="L7200" s="11">
        <v>0.83</v>
      </c>
      <c r="M7200" s="9" t="s">
        <v>2032</v>
      </c>
      <c r="N7200" s="6" t="s">
        <v>703</v>
      </c>
      <c r="O7200" s="6" t="s">
        <v>704</v>
      </c>
      <c r="P7200" s="9" t="s">
        <v>60</v>
      </c>
      <c r="Q7200" s="9" t="s">
        <v>26</v>
      </c>
      <c r="R7200" s="9" t="s">
        <v>95</v>
      </c>
      <c r="S7200" s="7" t="s">
        <v>1031</v>
      </c>
      <c r="T7200" s="9" t="s">
        <v>68</v>
      </c>
      <c r="U7200" s="7">
        <v>0.56999999999999995</v>
      </c>
      <c r="V7200" s="12">
        <f>C7200+1</f>
        <v>40387</v>
      </c>
      <c r="W7200">
        <f>IF(D7200=' Pivot Tables'!$A$4,1,0)</f>
        <v>0</v>
      </c>
      <c r="X7200">
        <f>IF(AND(LEFT(D7200,4)+1=LEFT(' Pivot Tables'!$A$4,4)+0,RIGHT(LEFT(D7200,7),2)=RIGHT(LEFT(' Pivot Tables'!$A$4,7),2)),1,0)</f>
        <v>0</v>
      </c>
      <c r="Y7200" s="6">
        <f>1/COUNTIF(Таблица1[Order ID],Таблица1[[#This Row],[Order ID]])</f>
        <v>0.5</v>
      </c>
      <c r="Z7200" s="9">
        <f>1/COUNTIFS(Таблица1[Customer Name],Таблица1[[#This Row],[Customer Name]],Таблица1[Order-Year-Month],Таблица1[[#This Row],[Order-Year-Month]])</f>
        <v>0.5</v>
      </c>
    </row>
    <row r="7201" spans="1:26" x14ac:dyDescent="0.2">
      <c r="A7201" s="6">
        <v>6696</v>
      </c>
      <c r="B7201" s="7">
        <v>47683</v>
      </c>
      <c r="C7201" s="8">
        <f>DATE(2012,12,31)-852</f>
        <v>40422</v>
      </c>
      <c r="D7201" s="8" t="str">
        <f t="shared" si="134"/>
        <v>2010-09 (сентябрь 2010)</v>
      </c>
      <c r="E7201" s="9" t="s">
        <v>21</v>
      </c>
      <c r="F7201" s="7">
        <v>38</v>
      </c>
      <c r="G7201" s="7">
        <v>81.97</v>
      </c>
      <c r="H7201" s="7">
        <v>0.05</v>
      </c>
      <c r="I7201" s="9" t="s">
        <v>22</v>
      </c>
      <c r="J7201" s="10">
        <v>-148.79849999999999</v>
      </c>
      <c r="K7201" s="11">
        <v>1.98</v>
      </c>
      <c r="L7201" s="11">
        <v>4.7699999999999996</v>
      </c>
      <c r="M7201" s="9" t="s">
        <v>1473</v>
      </c>
      <c r="N7201" s="6" t="s">
        <v>703</v>
      </c>
      <c r="O7201" s="6" t="s">
        <v>704</v>
      </c>
      <c r="P7201" s="9" t="s">
        <v>41</v>
      </c>
      <c r="Q7201" s="9" t="s">
        <v>26</v>
      </c>
      <c r="R7201" s="9" t="s">
        <v>37</v>
      </c>
      <c r="S7201" s="7" t="s">
        <v>1667</v>
      </c>
      <c r="T7201" s="9" t="s">
        <v>39</v>
      </c>
      <c r="U7201" s="7">
        <v>0.4</v>
      </c>
      <c r="V7201" s="12">
        <f>C7201+7</f>
        <v>40429</v>
      </c>
      <c r="W7201">
        <f>IF(D7201=' Pivot Tables'!$A$4,1,0)</f>
        <v>0</v>
      </c>
      <c r="X7201">
        <f>IF(AND(LEFT(D7201,4)+1=LEFT(' Pivot Tables'!$A$4,4)+0,RIGHT(LEFT(D7201,7),2)=RIGHT(LEFT(' Pivot Tables'!$A$4,7),2)),1,0)</f>
        <v>0</v>
      </c>
      <c r="Y7201" s="6">
        <f>1/COUNTIF(Таблица1[Order ID],Таблица1[[#This Row],[Order ID]])</f>
        <v>1</v>
      </c>
      <c r="Z7201" s="9">
        <f>1/COUNTIFS(Таблица1[Customer Name],Таблица1[[#This Row],[Customer Name]],Таблица1[Order-Year-Month],Таблица1[[#This Row],[Order-Year-Month]])</f>
        <v>1</v>
      </c>
    </row>
    <row r="7202" spans="1:26" x14ac:dyDescent="0.2">
      <c r="A7202" s="6">
        <v>6719</v>
      </c>
      <c r="B7202" s="7">
        <v>47872</v>
      </c>
      <c r="C7202" s="8">
        <f>DATE(2012,12,31)-1298</f>
        <v>39976</v>
      </c>
      <c r="D7202" s="8" t="str">
        <f t="shared" si="134"/>
        <v>2009-06 (июнь 2009)</v>
      </c>
      <c r="E7202" s="9" t="s">
        <v>78</v>
      </c>
      <c r="F7202" s="7">
        <v>38</v>
      </c>
      <c r="G7202" s="7">
        <v>1756.27</v>
      </c>
      <c r="H7202" s="7">
        <v>0.09</v>
      </c>
      <c r="I7202" s="9" t="s">
        <v>22</v>
      </c>
      <c r="J7202" s="10">
        <v>649.04999999999995</v>
      </c>
      <c r="K7202" s="11">
        <v>46.89</v>
      </c>
      <c r="L7202" s="11">
        <v>5.0999999999999996</v>
      </c>
      <c r="M7202" s="9" t="s">
        <v>1491</v>
      </c>
      <c r="N7202" s="6" t="s">
        <v>703</v>
      </c>
      <c r="O7202" s="6" t="s">
        <v>704</v>
      </c>
      <c r="P7202" s="9" t="s">
        <v>60</v>
      </c>
      <c r="Q7202" s="9" t="s">
        <v>26</v>
      </c>
      <c r="R7202" s="9" t="s">
        <v>34</v>
      </c>
      <c r="S7202" s="7" t="s">
        <v>355</v>
      </c>
      <c r="T7202" s="9" t="s">
        <v>48</v>
      </c>
      <c r="U7202" s="7">
        <v>0.46</v>
      </c>
      <c r="V7202" s="12">
        <f>C7202+2</f>
        <v>39978</v>
      </c>
      <c r="W7202">
        <f>IF(D7202=' Pivot Tables'!$A$4,1,0)</f>
        <v>0</v>
      </c>
      <c r="X7202">
        <f>IF(AND(LEFT(D7202,4)+1=LEFT(' Pivot Tables'!$A$4,4)+0,RIGHT(LEFT(D7202,7),2)=RIGHT(LEFT(' Pivot Tables'!$A$4,7),2)),1,0)</f>
        <v>0</v>
      </c>
      <c r="Y7202" s="6">
        <f>1/COUNTIF(Таблица1[Order ID],Таблица1[[#This Row],[Order ID]])</f>
        <v>0.5</v>
      </c>
      <c r="Z7202" s="9">
        <f>1/COUNTIFS(Таблица1[Customer Name],Таблица1[[#This Row],[Customer Name]],Таблица1[Order-Year-Month],Таблица1[[#This Row],[Order-Year-Month]])</f>
        <v>0.5</v>
      </c>
    </row>
    <row r="7203" spans="1:26" x14ac:dyDescent="0.2">
      <c r="A7203" s="6">
        <v>6720</v>
      </c>
      <c r="B7203" s="7">
        <v>47872</v>
      </c>
      <c r="C7203" s="8">
        <f>DATE(2012,12,31)-1298</f>
        <v>39976</v>
      </c>
      <c r="D7203" s="8" t="str">
        <f t="shared" si="134"/>
        <v>2009-06 (июнь 2009)</v>
      </c>
      <c r="E7203" s="9" t="s">
        <v>78</v>
      </c>
      <c r="F7203" s="7">
        <v>50</v>
      </c>
      <c r="G7203" s="7">
        <v>345.58</v>
      </c>
      <c r="H7203" s="7">
        <v>0.05</v>
      </c>
      <c r="I7203" s="9" t="s">
        <v>22</v>
      </c>
      <c r="J7203" s="10">
        <v>-38.04</v>
      </c>
      <c r="K7203" s="11">
        <v>6.64</v>
      </c>
      <c r="L7203" s="11">
        <v>4.95</v>
      </c>
      <c r="M7203" s="9" t="s">
        <v>1491</v>
      </c>
      <c r="N7203" s="6" t="s">
        <v>703</v>
      </c>
      <c r="O7203" s="6" t="s">
        <v>704</v>
      </c>
      <c r="P7203" s="9" t="s">
        <v>60</v>
      </c>
      <c r="Q7203" s="9" t="s">
        <v>49</v>
      </c>
      <c r="R7203" s="9" t="s">
        <v>50</v>
      </c>
      <c r="S7203" s="7" t="s">
        <v>51</v>
      </c>
      <c r="T7203" s="9" t="s">
        <v>52</v>
      </c>
      <c r="U7203" s="7">
        <v>0.37</v>
      </c>
      <c r="V7203" s="12">
        <f>C7203+1</f>
        <v>39977</v>
      </c>
      <c r="W7203">
        <f>IF(D7203=' Pivot Tables'!$A$4,1,0)</f>
        <v>0</v>
      </c>
      <c r="X7203">
        <f>IF(AND(LEFT(D7203,4)+1=LEFT(' Pivot Tables'!$A$4,4)+0,RIGHT(LEFT(D7203,7),2)=RIGHT(LEFT(' Pivot Tables'!$A$4,7),2)),1,0)</f>
        <v>0</v>
      </c>
      <c r="Y7203" s="6">
        <f>1/COUNTIF(Таблица1[Order ID],Таблица1[[#This Row],[Order ID]])</f>
        <v>0.5</v>
      </c>
      <c r="Z7203" s="9">
        <f>1/COUNTIFS(Таблица1[Customer Name],Таблица1[[#This Row],[Customer Name]],Таблица1[Order-Year-Month],Таблица1[[#This Row],[Order-Year-Month]])</f>
        <v>0.5</v>
      </c>
    </row>
    <row r="7204" spans="1:26" x14ac:dyDescent="0.2">
      <c r="A7204" s="6">
        <v>6723</v>
      </c>
      <c r="B7204" s="7">
        <v>47877</v>
      </c>
      <c r="C7204" s="8">
        <f>DATE(2012,12,31)-1221</f>
        <v>40053</v>
      </c>
      <c r="D7204" s="8" t="str">
        <f t="shared" si="134"/>
        <v>2009-08 (август 2009)</v>
      </c>
      <c r="E7204" s="9" t="s">
        <v>63</v>
      </c>
      <c r="F7204" s="7">
        <v>16</v>
      </c>
      <c r="G7204" s="7">
        <v>273.36</v>
      </c>
      <c r="H7204" s="7">
        <v>0.04</v>
      </c>
      <c r="I7204" s="9" t="s">
        <v>22</v>
      </c>
      <c r="J7204" s="10">
        <v>32.25</v>
      </c>
      <c r="K7204" s="11">
        <v>17.239999999999998</v>
      </c>
      <c r="L7204" s="11">
        <v>3.26</v>
      </c>
      <c r="M7204" s="9" t="s">
        <v>2034</v>
      </c>
      <c r="N7204" s="6" t="s">
        <v>703</v>
      </c>
      <c r="O7204" s="6" t="s">
        <v>704</v>
      </c>
      <c r="P7204" s="9" t="s">
        <v>60</v>
      </c>
      <c r="Q7204" s="9" t="s">
        <v>26</v>
      </c>
      <c r="R7204" s="9" t="s">
        <v>150</v>
      </c>
      <c r="S7204" s="7" t="s">
        <v>392</v>
      </c>
      <c r="T7204" s="9" t="s">
        <v>52</v>
      </c>
      <c r="U7204" s="7">
        <v>0.56000000000000005</v>
      </c>
      <c r="V7204" s="12">
        <f>C7204+3</f>
        <v>40056</v>
      </c>
      <c r="W7204">
        <f>IF(D7204=' Pivot Tables'!$A$4,1,0)</f>
        <v>0</v>
      </c>
      <c r="X7204">
        <f>IF(AND(LEFT(D7204,4)+1=LEFT(' Pivot Tables'!$A$4,4)+0,RIGHT(LEFT(D7204,7),2)=RIGHT(LEFT(' Pivot Tables'!$A$4,7),2)),1,0)</f>
        <v>0</v>
      </c>
      <c r="Y7204" s="6">
        <f>1/COUNTIF(Таблица1[Order ID],Таблица1[[#This Row],[Order ID]])</f>
        <v>0.33333333333333331</v>
      </c>
      <c r="Z7204" s="9">
        <f>1/COUNTIFS(Таблица1[Customer Name],Таблица1[[#This Row],[Customer Name]],Таблица1[Order-Year-Month],Таблица1[[#This Row],[Order-Year-Month]])</f>
        <v>0.16666666666666666</v>
      </c>
    </row>
    <row r="7205" spans="1:26" x14ac:dyDescent="0.2">
      <c r="A7205" s="6">
        <v>6724</v>
      </c>
      <c r="B7205" s="7">
        <v>47877</v>
      </c>
      <c r="C7205" s="8">
        <f>DATE(2012,12,31)-1221</f>
        <v>40053</v>
      </c>
      <c r="D7205" s="8" t="str">
        <f t="shared" si="134"/>
        <v>2009-08 (август 2009)</v>
      </c>
      <c r="E7205" s="9" t="s">
        <v>63</v>
      </c>
      <c r="F7205" s="7">
        <v>19</v>
      </c>
      <c r="G7205" s="7">
        <v>3240.7280000000001</v>
      </c>
      <c r="H7205" s="7">
        <v>7.0000000000000007E-2</v>
      </c>
      <c r="I7205" s="9" t="s">
        <v>31</v>
      </c>
      <c r="J7205" s="10">
        <v>-691.31</v>
      </c>
      <c r="K7205" s="11">
        <v>218.75</v>
      </c>
      <c r="L7205" s="11">
        <v>69.64</v>
      </c>
      <c r="M7205" s="9" t="s">
        <v>2034</v>
      </c>
      <c r="N7205" s="6" t="s">
        <v>703</v>
      </c>
      <c r="O7205" s="6" t="s">
        <v>704</v>
      </c>
      <c r="P7205" s="9" t="s">
        <v>60</v>
      </c>
      <c r="Q7205" s="9" t="s">
        <v>49</v>
      </c>
      <c r="R7205" s="9" t="s">
        <v>83</v>
      </c>
      <c r="S7205" s="7" t="s">
        <v>254</v>
      </c>
      <c r="T7205" s="9" t="s">
        <v>82</v>
      </c>
      <c r="U7205" s="7">
        <v>0.77</v>
      </c>
      <c r="V7205" s="12">
        <f>C7205+2</f>
        <v>40055</v>
      </c>
      <c r="W7205">
        <f>IF(D7205=' Pivot Tables'!$A$4,1,0)</f>
        <v>0</v>
      </c>
      <c r="X7205">
        <f>IF(AND(LEFT(D7205,4)+1=LEFT(' Pivot Tables'!$A$4,4)+0,RIGHT(LEFT(D7205,7),2)=RIGHT(LEFT(' Pivot Tables'!$A$4,7),2)),1,0)</f>
        <v>0</v>
      </c>
      <c r="Y7205" s="6">
        <f>1/COUNTIF(Таблица1[Order ID],Таблица1[[#This Row],[Order ID]])</f>
        <v>0.33333333333333331</v>
      </c>
      <c r="Z7205" s="9">
        <f>1/COUNTIFS(Таблица1[Customer Name],Таблица1[[#This Row],[Customer Name]],Таблица1[Order-Year-Month],Таблица1[[#This Row],[Order-Year-Month]])</f>
        <v>0.16666666666666666</v>
      </c>
    </row>
    <row r="7206" spans="1:26" x14ac:dyDescent="0.2">
      <c r="A7206" s="6">
        <v>6725</v>
      </c>
      <c r="B7206" s="7">
        <v>47877</v>
      </c>
      <c r="C7206" s="8">
        <f>DATE(2012,12,31)-1221</f>
        <v>40053</v>
      </c>
      <c r="D7206" s="8" t="str">
        <f t="shared" si="134"/>
        <v>2009-08 (август 2009)</v>
      </c>
      <c r="E7206" s="9" t="s">
        <v>63</v>
      </c>
      <c r="F7206" s="7">
        <v>49</v>
      </c>
      <c r="G7206" s="7">
        <v>8058.96</v>
      </c>
      <c r="H7206" s="7">
        <v>0.08</v>
      </c>
      <c r="I7206" s="9" t="s">
        <v>22</v>
      </c>
      <c r="J7206" s="10">
        <v>-1621.38</v>
      </c>
      <c r="K7206" s="11">
        <v>209.37</v>
      </c>
      <c r="L7206" s="11">
        <v>69</v>
      </c>
      <c r="M7206" s="9" t="s">
        <v>2034</v>
      </c>
      <c r="N7206" s="6" t="s">
        <v>703</v>
      </c>
      <c r="O7206" s="6" t="s">
        <v>704</v>
      </c>
      <c r="P7206" s="9" t="s">
        <v>60</v>
      </c>
      <c r="Q7206" s="9" t="s">
        <v>49</v>
      </c>
      <c r="R7206" s="9" t="s">
        <v>83</v>
      </c>
      <c r="S7206" s="7" t="s">
        <v>936</v>
      </c>
      <c r="T7206" s="9" t="s">
        <v>29</v>
      </c>
      <c r="U7206" s="7">
        <v>0.79</v>
      </c>
      <c r="V7206" s="12">
        <f>C7206+2</f>
        <v>40055</v>
      </c>
      <c r="W7206">
        <f>IF(D7206=' Pivot Tables'!$A$4,1,0)</f>
        <v>0</v>
      </c>
      <c r="X7206">
        <f>IF(AND(LEFT(D7206,4)+1=LEFT(' Pivot Tables'!$A$4,4)+0,RIGHT(LEFT(D7206,7),2)=RIGHT(LEFT(' Pivot Tables'!$A$4,7),2)),1,0)</f>
        <v>0</v>
      </c>
      <c r="Y7206" s="6">
        <f>1/COUNTIF(Таблица1[Order ID],Таблица1[[#This Row],[Order ID]])</f>
        <v>0.33333333333333331</v>
      </c>
      <c r="Z7206" s="9">
        <f>1/COUNTIFS(Таблица1[Customer Name],Таблица1[[#This Row],[Customer Name]],Таблица1[Order-Year-Month],Таблица1[[#This Row],[Order-Year-Month]])</f>
        <v>0.16666666666666666</v>
      </c>
    </row>
    <row r="7207" spans="1:26" x14ac:dyDescent="0.2">
      <c r="A7207" s="6">
        <v>6726</v>
      </c>
      <c r="B7207" s="7">
        <v>47879</v>
      </c>
      <c r="C7207" s="8">
        <f>DATE(2012,12,31)-355</f>
        <v>40919</v>
      </c>
      <c r="D7207" s="8" t="str">
        <f t="shared" si="134"/>
        <v>2012-01 (январь 2012)</v>
      </c>
      <c r="E7207" s="9" t="s">
        <v>78</v>
      </c>
      <c r="F7207" s="7">
        <v>19</v>
      </c>
      <c r="G7207" s="7">
        <v>172.54</v>
      </c>
      <c r="H7207" s="7">
        <v>0.08</v>
      </c>
      <c r="I7207" s="9" t="s">
        <v>22</v>
      </c>
      <c r="J7207" s="10">
        <v>44.23</v>
      </c>
      <c r="K7207" s="11">
        <v>9.11</v>
      </c>
      <c r="L7207" s="11">
        <v>2.15</v>
      </c>
      <c r="M7207" s="9" t="s">
        <v>2034</v>
      </c>
      <c r="N7207" s="6" t="s">
        <v>703</v>
      </c>
      <c r="O7207" s="6" t="s">
        <v>704</v>
      </c>
      <c r="P7207" s="9" t="s">
        <v>41</v>
      </c>
      <c r="Q7207" s="9" t="s">
        <v>26</v>
      </c>
      <c r="R7207" s="9" t="s">
        <v>61</v>
      </c>
      <c r="S7207" s="7" t="s">
        <v>1402</v>
      </c>
      <c r="T7207" s="9" t="s">
        <v>68</v>
      </c>
      <c r="U7207" s="7">
        <v>0.4</v>
      </c>
      <c r="V7207" s="12">
        <f>C7207+1</f>
        <v>40920</v>
      </c>
      <c r="W7207">
        <f>IF(D7207=' Pivot Tables'!$A$4,1,0)</f>
        <v>0</v>
      </c>
      <c r="X7207">
        <f>IF(AND(LEFT(D7207,4)+1=LEFT(' Pivot Tables'!$A$4,4)+0,RIGHT(LEFT(D7207,7),2)=RIGHT(LEFT(' Pivot Tables'!$A$4,7),2)),1,0)</f>
        <v>0</v>
      </c>
      <c r="Y7207" s="6">
        <f>1/COUNTIF(Таблица1[Order ID],Таблица1[[#This Row],[Order ID]])</f>
        <v>1</v>
      </c>
      <c r="Z7207" s="9">
        <f>1/COUNTIFS(Таблица1[Customer Name],Таблица1[[#This Row],[Customer Name]],Таблица1[Order-Year-Month],Таблица1[[#This Row],[Order-Year-Month]])</f>
        <v>1</v>
      </c>
    </row>
    <row r="7208" spans="1:26" x14ac:dyDescent="0.2">
      <c r="A7208" s="6">
        <v>6730</v>
      </c>
      <c r="B7208" s="7">
        <v>47910</v>
      </c>
      <c r="C7208" s="8">
        <f>DATE(2012,12,31)-1234</f>
        <v>40040</v>
      </c>
      <c r="D7208" s="8" t="str">
        <f t="shared" si="134"/>
        <v>2009-08 (август 2009)</v>
      </c>
      <c r="E7208" s="9" t="s">
        <v>30</v>
      </c>
      <c r="F7208" s="7">
        <v>30</v>
      </c>
      <c r="G7208" s="7">
        <v>5290.57</v>
      </c>
      <c r="H7208" s="7">
        <v>0.08</v>
      </c>
      <c r="I7208" s="9" t="s">
        <v>22</v>
      </c>
      <c r="J7208" s="10">
        <v>1389.18</v>
      </c>
      <c r="K7208" s="11">
        <v>178.47</v>
      </c>
      <c r="L7208" s="11">
        <v>19.989999999999998</v>
      </c>
      <c r="M7208" s="9" t="s">
        <v>1491</v>
      </c>
      <c r="N7208" s="6" t="s">
        <v>703</v>
      </c>
      <c r="O7208" s="6" t="s">
        <v>704</v>
      </c>
      <c r="P7208" s="9" t="s">
        <v>60</v>
      </c>
      <c r="Q7208" s="9" t="s">
        <v>26</v>
      </c>
      <c r="R7208" s="9" t="s">
        <v>27</v>
      </c>
      <c r="S7208" s="7" t="s">
        <v>1195</v>
      </c>
      <c r="T7208" s="9" t="s">
        <v>39</v>
      </c>
      <c r="U7208" s="7">
        <v>0.55000000000000004</v>
      </c>
      <c r="V7208" s="12">
        <f>C7208+1</f>
        <v>40041</v>
      </c>
      <c r="W7208">
        <f>IF(D7208=' Pivot Tables'!$A$4,1,0)</f>
        <v>0</v>
      </c>
      <c r="X7208">
        <f>IF(AND(LEFT(D7208,4)+1=LEFT(' Pivot Tables'!$A$4,4)+0,RIGHT(LEFT(D7208,7),2)=RIGHT(LEFT(' Pivot Tables'!$A$4,7),2)),1,0)</f>
        <v>0</v>
      </c>
      <c r="Y7208" s="6">
        <f>1/COUNTIF(Таблица1[Order ID],Таблица1[[#This Row],[Order ID]])</f>
        <v>1</v>
      </c>
      <c r="Z7208" s="9">
        <f>1/COUNTIFS(Таблица1[Customer Name],Таблица1[[#This Row],[Customer Name]],Таблица1[Order-Year-Month],Таблица1[[#This Row],[Order-Year-Month]])</f>
        <v>0.5</v>
      </c>
    </row>
    <row r="7209" spans="1:26" x14ac:dyDescent="0.2">
      <c r="A7209" s="6">
        <v>6739</v>
      </c>
      <c r="B7209" s="7">
        <v>47972</v>
      </c>
      <c r="C7209" s="8">
        <f>DATE(2012,12,31)-812</f>
        <v>40462</v>
      </c>
      <c r="D7209" s="8" t="str">
        <f t="shared" si="134"/>
        <v>2010-10 (октябрь 2010)</v>
      </c>
      <c r="E7209" s="9" t="s">
        <v>63</v>
      </c>
      <c r="F7209" s="7">
        <v>46</v>
      </c>
      <c r="G7209" s="7">
        <v>7685.62</v>
      </c>
      <c r="H7209" s="7">
        <v>0.02</v>
      </c>
      <c r="I7209" s="9" t="s">
        <v>56</v>
      </c>
      <c r="J7209" s="10">
        <v>1952.15</v>
      </c>
      <c r="K7209" s="11">
        <v>165.2</v>
      </c>
      <c r="L7209" s="11">
        <v>19.989999999999998</v>
      </c>
      <c r="M7209" s="9" t="s">
        <v>1550</v>
      </c>
      <c r="N7209" s="6" t="s">
        <v>703</v>
      </c>
      <c r="O7209" s="6" t="s">
        <v>704</v>
      </c>
      <c r="P7209" s="9" t="s">
        <v>41</v>
      </c>
      <c r="Q7209" s="9" t="s">
        <v>26</v>
      </c>
      <c r="R7209" s="9" t="s">
        <v>27</v>
      </c>
      <c r="S7209" s="7" t="s">
        <v>1773</v>
      </c>
      <c r="T7209" s="9" t="s">
        <v>39</v>
      </c>
      <c r="U7209" s="7">
        <v>0.59</v>
      </c>
      <c r="V7209" s="12">
        <f>C7209+2</f>
        <v>40464</v>
      </c>
      <c r="W7209">
        <f>IF(D7209=' Pivot Tables'!$A$4,1,0)</f>
        <v>0</v>
      </c>
      <c r="X7209">
        <f>IF(AND(LEFT(D7209,4)+1=LEFT(' Pivot Tables'!$A$4,4)+0,RIGHT(LEFT(D7209,7),2)=RIGHT(LEFT(' Pivot Tables'!$A$4,7),2)),1,0)</f>
        <v>0</v>
      </c>
      <c r="Y7209" s="6">
        <f>1/COUNTIF(Таблица1[Order ID],Таблица1[[#This Row],[Order ID]])</f>
        <v>1</v>
      </c>
      <c r="Z7209" s="9">
        <f>1/COUNTIFS(Таблица1[Customer Name],Таблица1[[#This Row],[Customer Name]],Таблица1[Order-Year-Month],Таблица1[[#This Row],[Order-Year-Month]])</f>
        <v>1</v>
      </c>
    </row>
    <row r="7210" spans="1:26" x14ac:dyDescent="0.2">
      <c r="A7210" s="6">
        <v>6765</v>
      </c>
      <c r="B7210" s="7">
        <v>48192</v>
      </c>
      <c r="C7210" s="8">
        <f>DATE(2012,12,31)-1111</f>
        <v>40163</v>
      </c>
      <c r="D7210" s="8" t="str">
        <f t="shared" si="134"/>
        <v>2009-12 (декабрь 2009)</v>
      </c>
      <c r="E7210" s="9" t="s">
        <v>78</v>
      </c>
      <c r="F7210" s="7">
        <v>15</v>
      </c>
      <c r="G7210" s="7">
        <v>2277.67</v>
      </c>
      <c r="H7210" s="7">
        <v>0</v>
      </c>
      <c r="I7210" s="9" t="s">
        <v>31</v>
      </c>
      <c r="J7210" s="10">
        <v>-173.96</v>
      </c>
      <c r="K7210" s="11">
        <v>140.97999999999999</v>
      </c>
      <c r="L7210" s="11">
        <v>36.090000000000003</v>
      </c>
      <c r="M7210" s="9" t="s">
        <v>2046</v>
      </c>
      <c r="N7210" s="6" t="s">
        <v>703</v>
      </c>
      <c r="O7210" s="6" t="s">
        <v>704</v>
      </c>
      <c r="P7210" s="9" t="s">
        <v>33</v>
      </c>
      <c r="Q7210" s="9" t="s">
        <v>49</v>
      </c>
      <c r="R7210" s="9" t="s">
        <v>80</v>
      </c>
      <c r="S7210" s="7" t="s">
        <v>349</v>
      </c>
      <c r="T7210" s="9" t="s">
        <v>82</v>
      </c>
      <c r="U7210" s="7">
        <v>0.77</v>
      </c>
      <c r="V7210" s="12">
        <f>C7210+1</f>
        <v>40164</v>
      </c>
      <c r="W7210">
        <f>IF(D7210=' Pivot Tables'!$A$4,1,0)</f>
        <v>0</v>
      </c>
      <c r="X7210">
        <f>IF(AND(LEFT(D7210,4)+1=LEFT(' Pivot Tables'!$A$4,4)+0,RIGHT(LEFT(D7210,7),2)=RIGHT(LEFT(' Pivot Tables'!$A$4,7),2)),1,0)</f>
        <v>0</v>
      </c>
      <c r="Y7210" s="6">
        <f>1/COUNTIF(Таблица1[Order ID],Таблица1[[#This Row],[Order ID]])</f>
        <v>1</v>
      </c>
      <c r="Z7210" s="9">
        <f>1/COUNTIFS(Таблица1[Customer Name],Таблица1[[#This Row],[Customer Name]],Таблица1[Order-Year-Month],Таблица1[[#This Row],[Order-Year-Month]])</f>
        <v>1</v>
      </c>
    </row>
    <row r="7211" spans="1:26" x14ac:dyDescent="0.2">
      <c r="A7211" s="6">
        <v>6780</v>
      </c>
      <c r="B7211" s="7">
        <v>48288</v>
      </c>
      <c r="C7211" s="8">
        <f>DATE(2012,12,31)-528</f>
        <v>40746</v>
      </c>
      <c r="D7211" s="8" t="str">
        <f t="shared" si="134"/>
        <v>2011-07 (июль 2011)</v>
      </c>
      <c r="E7211" s="9" t="s">
        <v>63</v>
      </c>
      <c r="F7211" s="7">
        <v>25</v>
      </c>
      <c r="G7211" s="7">
        <v>3308.28</v>
      </c>
      <c r="H7211" s="7">
        <v>0.08</v>
      </c>
      <c r="I7211" s="9" t="s">
        <v>31</v>
      </c>
      <c r="J7211" s="10">
        <v>-581.59</v>
      </c>
      <c r="K7211" s="11">
        <v>130.97999999999999</v>
      </c>
      <c r="L7211" s="11">
        <v>54.74</v>
      </c>
      <c r="M7211" s="9" t="s">
        <v>1511</v>
      </c>
      <c r="N7211" s="6" t="s">
        <v>703</v>
      </c>
      <c r="O7211" s="6" t="s">
        <v>704</v>
      </c>
      <c r="P7211" s="9" t="s">
        <v>33</v>
      </c>
      <c r="Q7211" s="9" t="s">
        <v>49</v>
      </c>
      <c r="R7211" s="9" t="s">
        <v>80</v>
      </c>
      <c r="S7211" s="7" t="s">
        <v>807</v>
      </c>
      <c r="T7211" s="9" t="s">
        <v>82</v>
      </c>
      <c r="U7211" s="7">
        <v>0.69</v>
      </c>
      <c r="V7211" s="12">
        <f>C7211+2</f>
        <v>40748</v>
      </c>
      <c r="W7211">
        <f>IF(D7211=' Pivot Tables'!$A$4,1,0)</f>
        <v>0</v>
      </c>
      <c r="X7211">
        <f>IF(AND(LEFT(D7211,4)+1=LEFT(' Pivot Tables'!$A$4,4)+0,RIGHT(LEFT(D7211,7),2)=RIGHT(LEFT(' Pivot Tables'!$A$4,7),2)),1,0)</f>
        <v>0</v>
      </c>
      <c r="Y7211" s="6">
        <f>1/COUNTIF(Таблица1[Order ID],Таблица1[[#This Row],[Order ID]])</f>
        <v>1</v>
      </c>
      <c r="Z7211" s="9">
        <f>1/COUNTIFS(Таблица1[Customer Name],Таблица1[[#This Row],[Customer Name]],Таблица1[Order-Year-Month],Таблица1[[#This Row],[Order-Year-Month]])</f>
        <v>1</v>
      </c>
    </row>
    <row r="7212" spans="1:26" x14ac:dyDescent="0.2">
      <c r="A7212" s="6">
        <v>6781</v>
      </c>
      <c r="B7212" s="7">
        <v>48293</v>
      </c>
      <c r="C7212" s="8">
        <f>DATE(2012,12,31)-266</f>
        <v>41008</v>
      </c>
      <c r="D7212" s="8" t="str">
        <f t="shared" si="134"/>
        <v>2012-04 (апрель 2012)</v>
      </c>
      <c r="E7212" s="9" t="s">
        <v>78</v>
      </c>
      <c r="F7212" s="7">
        <v>47</v>
      </c>
      <c r="G7212" s="7">
        <v>370.6</v>
      </c>
      <c r="H7212" s="7">
        <v>0.03</v>
      </c>
      <c r="I7212" s="9" t="s">
        <v>22</v>
      </c>
      <c r="J7212" s="10">
        <v>160.72</v>
      </c>
      <c r="K7212" s="11">
        <v>7.64</v>
      </c>
      <c r="L7212" s="11">
        <v>1.39</v>
      </c>
      <c r="M7212" s="9" t="s">
        <v>2042</v>
      </c>
      <c r="N7212" s="6" t="s">
        <v>703</v>
      </c>
      <c r="O7212" s="6" t="s">
        <v>704</v>
      </c>
      <c r="P7212" s="9" t="s">
        <v>41</v>
      </c>
      <c r="Q7212" s="9" t="s">
        <v>26</v>
      </c>
      <c r="R7212" s="9" t="s">
        <v>76</v>
      </c>
      <c r="S7212" s="7" t="s">
        <v>297</v>
      </c>
      <c r="T7212" s="9" t="s">
        <v>39</v>
      </c>
      <c r="U7212" s="7">
        <v>0.36</v>
      </c>
      <c r="V7212" s="12">
        <f>C7212+1</f>
        <v>41009</v>
      </c>
      <c r="W7212">
        <f>IF(D7212=' Pivot Tables'!$A$4,1,0)</f>
        <v>0</v>
      </c>
      <c r="X7212">
        <f>IF(AND(LEFT(D7212,4)+1=LEFT(' Pivot Tables'!$A$4,4)+0,RIGHT(LEFT(D7212,7),2)=RIGHT(LEFT(' Pivot Tables'!$A$4,7),2)),1,0)</f>
        <v>0</v>
      </c>
      <c r="Y7212" s="6">
        <f>1/COUNTIF(Таблица1[Order ID],Таблица1[[#This Row],[Order ID]])</f>
        <v>1</v>
      </c>
      <c r="Z7212" s="9">
        <f>1/COUNTIFS(Таблица1[Customer Name],Таблица1[[#This Row],[Customer Name]],Таблица1[Order-Year-Month],Таблица1[[#This Row],[Order-Year-Month]])</f>
        <v>1</v>
      </c>
    </row>
    <row r="7213" spans="1:26" x14ac:dyDescent="0.2">
      <c r="A7213" s="6">
        <v>6782</v>
      </c>
      <c r="B7213" s="7">
        <v>48294</v>
      </c>
      <c r="C7213" s="8">
        <f>DATE(2012,12,31)-950</f>
        <v>40324</v>
      </c>
      <c r="D7213" s="8" t="str">
        <f t="shared" si="134"/>
        <v>2010-05 (май 2010)</v>
      </c>
      <c r="E7213" s="9" t="s">
        <v>30</v>
      </c>
      <c r="F7213" s="7">
        <v>43</v>
      </c>
      <c r="G7213" s="7">
        <v>4072.01</v>
      </c>
      <c r="H7213" s="7">
        <v>0.01</v>
      </c>
      <c r="I7213" s="9" t="s">
        <v>22</v>
      </c>
      <c r="J7213" s="10">
        <v>1675.98</v>
      </c>
      <c r="K7213" s="11">
        <v>90.24</v>
      </c>
      <c r="L7213" s="11">
        <v>0.99</v>
      </c>
      <c r="M7213" s="9" t="s">
        <v>1544</v>
      </c>
      <c r="N7213" s="6" t="s">
        <v>703</v>
      </c>
      <c r="O7213" s="6" t="s">
        <v>704</v>
      </c>
      <c r="P7213" s="9" t="s">
        <v>60</v>
      </c>
      <c r="Q7213" s="9" t="s">
        <v>26</v>
      </c>
      <c r="R7213" s="9" t="s">
        <v>34</v>
      </c>
      <c r="S7213" s="7" t="s">
        <v>1729</v>
      </c>
      <c r="T7213" s="9" t="s">
        <v>39</v>
      </c>
      <c r="U7213" s="7">
        <v>0.56000000000000005</v>
      </c>
      <c r="V7213" s="12">
        <f>C7213+0</f>
        <v>40324</v>
      </c>
      <c r="W7213">
        <f>IF(D7213=' Pivot Tables'!$A$4,1,0)</f>
        <v>0</v>
      </c>
      <c r="X7213">
        <f>IF(AND(LEFT(D7213,4)+1=LEFT(' Pivot Tables'!$A$4,4)+0,RIGHT(LEFT(D7213,7),2)=RIGHT(LEFT(' Pivot Tables'!$A$4,7),2)),1,0)</f>
        <v>0</v>
      </c>
      <c r="Y7213" s="6">
        <f>1/COUNTIF(Таблица1[Order ID],Таблица1[[#This Row],[Order ID]])</f>
        <v>1</v>
      </c>
      <c r="Z7213" s="9">
        <f>1/COUNTIFS(Таблица1[Customer Name],Таблица1[[#This Row],[Customer Name]],Таблица1[Order-Year-Month],Таблица1[[#This Row],[Order-Year-Month]])</f>
        <v>1</v>
      </c>
    </row>
    <row r="7214" spans="1:26" x14ac:dyDescent="0.2">
      <c r="A7214" s="6">
        <v>6785</v>
      </c>
      <c r="B7214" s="7">
        <v>48322</v>
      </c>
      <c r="C7214" s="8">
        <f>DATE(2012,12,31)-302</f>
        <v>40972</v>
      </c>
      <c r="D7214" s="8" t="str">
        <f t="shared" si="134"/>
        <v>2012-03 (март 2012)</v>
      </c>
      <c r="E7214" s="9" t="s">
        <v>63</v>
      </c>
      <c r="F7214" s="7">
        <v>14</v>
      </c>
      <c r="G7214" s="7">
        <v>41.37</v>
      </c>
      <c r="H7214" s="7">
        <v>0.05</v>
      </c>
      <c r="I7214" s="9" t="s">
        <v>22</v>
      </c>
      <c r="J7214" s="10">
        <v>1.82</v>
      </c>
      <c r="K7214" s="11">
        <v>2.94</v>
      </c>
      <c r="L7214" s="11">
        <v>0.7</v>
      </c>
      <c r="M7214" s="9" t="s">
        <v>2050</v>
      </c>
      <c r="N7214" s="6" t="s">
        <v>703</v>
      </c>
      <c r="O7214" s="6" t="s">
        <v>704</v>
      </c>
      <c r="P7214" s="9" t="s">
        <v>33</v>
      </c>
      <c r="Q7214" s="9" t="s">
        <v>26</v>
      </c>
      <c r="R7214" s="9" t="s">
        <v>95</v>
      </c>
      <c r="S7214" s="7" t="s">
        <v>1192</v>
      </c>
      <c r="T7214" s="9" t="s">
        <v>68</v>
      </c>
      <c r="U7214" s="7">
        <v>0.57999999999999996</v>
      </c>
      <c r="V7214" s="12">
        <f>C7214+1</f>
        <v>40973</v>
      </c>
      <c r="W7214">
        <f>IF(D7214=' Pivot Tables'!$A$4,1,0)</f>
        <v>0</v>
      </c>
      <c r="X7214">
        <f>IF(AND(LEFT(D7214,4)+1=LEFT(' Pivot Tables'!$A$4,4)+0,RIGHT(LEFT(D7214,7),2)=RIGHT(LEFT(' Pivot Tables'!$A$4,7),2)),1,0)</f>
        <v>0</v>
      </c>
      <c r="Y7214" s="6">
        <f>1/COUNTIF(Таблица1[Order ID],Таблица1[[#This Row],[Order ID]])</f>
        <v>1</v>
      </c>
      <c r="Z7214" s="9">
        <f>1/COUNTIFS(Таблица1[Customer Name],Таблица1[[#This Row],[Customer Name]],Таблица1[Order-Year-Month],Таблица1[[#This Row],[Order-Year-Month]])</f>
        <v>1</v>
      </c>
    </row>
    <row r="7215" spans="1:26" x14ac:dyDescent="0.2">
      <c r="A7215" s="6">
        <v>6787</v>
      </c>
      <c r="B7215" s="7">
        <v>48353</v>
      </c>
      <c r="C7215" s="8">
        <f>DATE(2012,12,31)-16</f>
        <v>41258</v>
      </c>
      <c r="D7215" s="8" t="str">
        <f t="shared" si="134"/>
        <v>2012-12 (декабрь 2012)</v>
      </c>
      <c r="E7215" s="9" t="s">
        <v>45</v>
      </c>
      <c r="F7215" s="7">
        <v>18</v>
      </c>
      <c r="G7215" s="7">
        <v>71.22</v>
      </c>
      <c r="H7215" s="7">
        <v>0.04</v>
      </c>
      <c r="I7215" s="9" t="s">
        <v>22</v>
      </c>
      <c r="J7215" s="10">
        <v>20.43</v>
      </c>
      <c r="K7215" s="11">
        <v>3.85</v>
      </c>
      <c r="L7215" s="11">
        <v>0.7</v>
      </c>
      <c r="M7215" s="9" t="s">
        <v>2039</v>
      </c>
      <c r="N7215" s="6" t="s">
        <v>703</v>
      </c>
      <c r="O7215" s="6" t="s">
        <v>704</v>
      </c>
      <c r="P7215" s="9" t="s">
        <v>41</v>
      </c>
      <c r="Q7215" s="9" t="s">
        <v>26</v>
      </c>
      <c r="R7215" s="9" t="s">
        <v>95</v>
      </c>
      <c r="S7215" s="7" t="s">
        <v>1194</v>
      </c>
      <c r="T7215" s="9" t="s">
        <v>68</v>
      </c>
      <c r="U7215" s="7">
        <v>0.44</v>
      </c>
      <c r="V7215" s="12">
        <f>C7215+2</f>
        <v>41260</v>
      </c>
      <c r="W7215">
        <f>IF(D7215=' Pivot Tables'!$A$4,1,0)</f>
        <v>0</v>
      </c>
      <c r="X7215">
        <f>IF(AND(LEFT(D7215,4)+1=LEFT(' Pivot Tables'!$A$4,4)+0,RIGHT(LEFT(D7215,7),2)=RIGHT(LEFT(' Pivot Tables'!$A$4,7),2)),1,0)</f>
        <v>0</v>
      </c>
      <c r="Y7215" s="6">
        <f>1/COUNTIF(Таблица1[Order ID],Таблица1[[#This Row],[Order ID]])</f>
        <v>1</v>
      </c>
      <c r="Z7215" s="9">
        <f>1/COUNTIFS(Таблица1[Customer Name],Таблица1[[#This Row],[Customer Name]],Таблица1[Order-Year-Month],Таблица1[[#This Row],[Order-Year-Month]])</f>
        <v>1</v>
      </c>
    </row>
    <row r="7216" spans="1:26" x14ac:dyDescent="0.2">
      <c r="A7216" s="6">
        <v>6794</v>
      </c>
      <c r="B7216" s="7">
        <v>48420</v>
      </c>
      <c r="C7216" s="8">
        <f>DATE(2012,12,31)-1177</f>
        <v>40097</v>
      </c>
      <c r="D7216" s="8" t="str">
        <f t="shared" si="134"/>
        <v>2009-10 (октябрь 2009)</v>
      </c>
      <c r="E7216" s="9" t="s">
        <v>21</v>
      </c>
      <c r="F7216" s="7">
        <v>46</v>
      </c>
      <c r="G7216" s="7">
        <v>863.26</v>
      </c>
      <c r="H7216" s="7">
        <v>0.09</v>
      </c>
      <c r="I7216" s="9" t="s">
        <v>56</v>
      </c>
      <c r="J7216" s="10">
        <v>229.6</v>
      </c>
      <c r="K7216" s="11">
        <v>19.23</v>
      </c>
      <c r="L7216" s="11">
        <v>6.15</v>
      </c>
      <c r="M7216" s="9" t="s">
        <v>1529</v>
      </c>
      <c r="N7216" s="6" t="s">
        <v>703</v>
      </c>
      <c r="O7216" s="6" t="s">
        <v>704</v>
      </c>
      <c r="P7216" s="9" t="s">
        <v>41</v>
      </c>
      <c r="Q7216" s="9" t="s">
        <v>49</v>
      </c>
      <c r="R7216" s="9" t="s">
        <v>50</v>
      </c>
      <c r="S7216" s="7" t="s">
        <v>520</v>
      </c>
      <c r="T7216" s="9" t="s">
        <v>52</v>
      </c>
      <c r="U7216" s="7">
        <v>0.44</v>
      </c>
      <c r="V7216" s="12">
        <f>C7216+2</f>
        <v>40099</v>
      </c>
      <c r="W7216">
        <f>IF(D7216=' Pivot Tables'!$A$4,1,0)</f>
        <v>0</v>
      </c>
      <c r="X7216">
        <f>IF(AND(LEFT(D7216,4)+1=LEFT(' Pivot Tables'!$A$4,4)+0,RIGHT(LEFT(D7216,7),2)=RIGHT(LEFT(' Pivot Tables'!$A$4,7),2)),1,0)</f>
        <v>0</v>
      </c>
      <c r="Y7216" s="6">
        <f>1/COUNTIF(Таблица1[Order ID],Таблица1[[#This Row],[Order ID]])</f>
        <v>1</v>
      </c>
      <c r="Z7216" s="9">
        <f>1/COUNTIFS(Таблица1[Customer Name],Таблица1[[#This Row],[Customer Name]],Таблица1[Order-Year-Month],Таблица1[[#This Row],[Order-Year-Month]])</f>
        <v>1</v>
      </c>
    </row>
    <row r="7217" spans="1:26" x14ac:dyDescent="0.2">
      <c r="A7217" s="6">
        <v>6814</v>
      </c>
      <c r="B7217" s="7">
        <v>48512</v>
      </c>
      <c r="C7217" s="8">
        <f>DATE(2012,12,31)-516</f>
        <v>40758</v>
      </c>
      <c r="D7217" s="8" t="str">
        <f t="shared" si="134"/>
        <v>2011-08 (август 2011)</v>
      </c>
      <c r="E7217" s="9" t="s">
        <v>45</v>
      </c>
      <c r="F7217" s="7">
        <v>48</v>
      </c>
      <c r="G7217" s="7">
        <v>238.79</v>
      </c>
      <c r="H7217" s="7">
        <v>0.04</v>
      </c>
      <c r="I7217" s="9" t="s">
        <v>22</v>
      </c>
      <c r="J7217" s="10">
        <v>-83.78</v>
      </c>
      <c r="K7217" s="11">
        <v>4.9800000000000004</v>
      </c>
      <c r="L7217" s="11">
        <v>4.72</v>
      </c>
      <c r="M7217" s="9" t="s">
        <v>2040</v>
      </c>
      <c r="N7217" s="6" t="s">
        <v>703</v>
      </c>
      <c r="O7217" s="6" t="s">
        <v>704</v>
      </c>
      <c r="P7217" s="9" t="s">
        <v>33</v>
      </c>
      <c r="Q7217" s="9" t="s">
        <v>26</v>
      </c>
      <c r="R7217" s="9" t="s">
        <v>61</v>
      </c>
      <c r="S7217" s="7" t="s">
        <v>968</v>
      </c>
      <c r="T7217" s="9" t="s">
        <v>39</v>
      </c>
      <c r="U7217" s="7">
        <v>0.36</v>
      </c>
      <c r="V7217" s="12">
        <f>C7217+1</f>
        <v>40759</v>
      </c>
      <c r="W7217">
        <f>IF(D7217=' Pivot Tables'!$A$4,1,0)</f>
        <v>0</v>
      </c>
      <c r="X7217">
        <f>IF(AND(LEFT(D7217,4)+1=LEFT(' Pivot Tables'!$A$4,4)+0,RIGHT(LEFT(D7217,7),2)=RIGHT(LEFT(' Pivot Tables'!$A$4,7),2)),1,0)</f>
        <v>0</v>
      </c>
      <c r="Y7217" s="6">
        <f>1/COUNTIF(Таблица1[Order ID],Таблица1[[#This Row],[Order ID]])</f>
        <v>0.5</v>
      </c>
      <c r="Z7217" s="9">
        <f>1/COUNTIFS(Таблица1[Customer Name],Таблица1[[#This Row],[Customer Name]],Таблица1[Order-Year-Month],Таблица1[[#This Row],[Order-Year-Month]])</f>
        <v>0.5</v>
      </c>
    </row>
    <row r="7218" spans="1:26" x14ac:dyDescent="0.2">
      <c r="A7218" s="6">
        <v>6815</v>
      </c>
      <c r="B7218" s="7">
        <v>48512</v>
      </c>
      <c r="C7218" s="8">
        <f>DATE(2012,12,31)-516</f>
        <v>40758</v>
      </c>
      <c r="D7218" s="8" t="str">
        <f t="shared" si="134"/>
        <v>2011-08 (август 2011)</v>
      </c>
      <c r="E7218" s="9" t="s">
        <v>45</v>
      </c>
      <c r="F7218" s="7">
        <v>47</v>
      </c>
      <c r="G7218" s="7">
        <v>148.26</v>
      </c>
      <c r="H7218" s="7">
        <v>0.04</v>
      </c>
      <c r="I7218" s="9" t="s">
        <v>56</v>
      </c>
      <c r="J7218" s="10">
        <v>49.04</v>
      </c>
      <c r="K7218" s="11">
        <v>2.94</v>
      </c>
      <c r="L7218" s="11">
        <v>0.81</v>
      </c>
      <c r="M7218" s="9" t="s">
        <v>2040</v>
      </c>
      <c r="N7218" s="6" t="s">
        <v>703</v>
      </c>
      <c r="O7218" s="6" t="s">
        <v>704</v>
      </c>
      <c r="P7218" s="9" t="s">
        <v>33</v>
      </c>
      <c r="Q7218" s="9" t="s">
        <v>26</v>
      </c>
      <c r="R7218" s="9" t="s">
        <v>95</v>
      </c>
      <c r="S7218" s="7" t="s">
        <v>1130</v>
      </c>
      <c r="T7218" s="9" t="s">
        <v>68</v>
      </c>
      <c r="U7218" s="7">
        <v>0.4</v>
      </c>
      <c r="V7218" s="12">
        <f>C7218+0</f>
        <v>40758</v>
      </c>
      <c r="W7218">
        <f>IF(D7218=' Pivot Tables'!$A$4,1,0)</f>
        <v>0</v>
      </c>
      <c r="X7218">
        <f>IF(AND(LEFT(D7218,4)+1=LEFT(' Pivot Tables'!$A$4,4)+0,RIGHT(LEFT(D7218,7),2)=RIGHT(LEFT(' Pivot Tables'!$A$4,7),2)),1,0)</f>
        <v>0</v>
      </c>
      <c r="Y7218" s="6">
        <f>1/COUNTIF(Таблица1[Order ID],Таблица1[[#This Row],[Order ID]])</f>
        <v>0.5</v>
      </c>
      <c r="Z7218" s="9">
        <f>1/COUNTIFS(Таблица1[Customer Name],Таблица1[[#This Row],[Customer Name]],Таблица1[Order-Year-Month],Таблица1[[#This Row],[Order-Year-Month]])</f>
        <v>0.5</v>
      </c>
    </row>
    <row r="7219" spans="1:26" x14ac:dyDescent="0.2">
      <c r="A7219" s="6">
        <v>6828</v>
      </c>
      <c r="B7219" s="7">
        <v>48641</v>
      </c>
      <c r="C7219" s="8">
        <f>DATE(2012,12,31)-392</f>
        <v>40882</v>
      </c>
      <c r="D7219" s="8" t="str">
        <f t="shared" si="134"/>
        <v>2011-12 (декабрь 2011)</v>
      </c>
      <c r="E7219" s="9" t="s">
        <v>30</v>
      </c>
      <c r="F7219" s="7">
        <v>13</v>
      </c>
      <c r="G7219" s="7">
        <v>66.83</v>
      </c>
      <c r="H7219" s="7">
        <v>0</v>
      </c>
      <c r="I7219" s="9" t="s">
        <v>22</v>
      </c>
      <c r="J7219" s="10">
        <v>23.16</v>
      </c>
      <c r="K7219" s="11">
        <v>4.9800000000000004</v>
      </c>
      <c r="L7219" s="11">
        <v>0.8</v>
      </c>
      <c r="M7219" s="9" t="s">
        <v>1578</v>
      </c>
      <c r="N7219" s="6" t="s">
        <v>703</v>
      </c>
      <c r="O7219" s="6" t="s">
        <v>704</v>
      </c>
      <c r="P7219" s="9" t="s">
        <v>25</v>
      </c>
      <c r="Q7219" s="9" t="s">
        <v>26</v>
      </c>
      <c r="R7219" s="9" t="s">
        <v>61</v>
      </c>
      <c r="S7219" s="7" t="s">
        <v>842</v>
      </c>
      <c r="T7219" s="9" t="s">
        <v>68</v>
      </c>
      <c r="U7219" s="7">
        <v>0.36</v>
      </c>
      <c r="V7219" s="12">
        <f>C7219+1</f>
        <v>40883</v>
      </c>
      <c r="W7219">
        <f>IF(D7219=' Pivot Tables'!$A$4,1,0)</f>
        <v>0</v>
      </c>
      <c r="X7219">
        <f>IF(AND(LEFT(D7219,4)+1=LEFT(' Pivot Tables'!$A$4,4)+0,RIGHT(LEFT(D7219,7),2)=RIGHT(LEFT(' Pivot Tables'!$A$4,7),2)),1,0)</f>
        <v>0</v>
      </c>
      <c r="Y7219" s="6">
        <f>1/COUNTIF(Таблица1[Order ID],Таблица1[[#This Row],[Order ID]])</f>
        <v>1</v>
      </c>
      <c r="Z7219" s="9">
        <f>1/COUNTIFS(Таблица1[Customer Name],Таблица1[[#This Row],[Customer Name]],Таблица1[Order-Year-Month],Таблица1[[#This Row],[Order-Year-Month]])</f>
        <v>1</v>
      </c>
    </row>
    <row r="7220" spans="1:26" x14ac:dyDescent="0.2">
      <c r="A7220" s="6">
        <v>6836</v>
      </c>
      <c r="B7220" s="7">
        <v>48672</v>
      </c>
      <c r="C7220" s="8">
        <f>DATE(2012,12,31)-5</f>
        <v>41269</v>
      </c>
      <c r="D7220" s="8" t="str">
        <f t="shared" si="134"/>
        <v>2012-12 (декабрь 2012)</v>
      </c>
      <c r="E7220" s="9" t="s">
        <v>30</v>
      </c>
      <c r="F7220" s="7">
        <v>43</v>
      </c>
      <c r="G7220" s="7">
        <v>255.7</v>
      </c>
      <c r="H7220" s="7">
        <v>0</v>
      </c>
      <c r="I7220" s="9" t="s">
        <v>22</v>
      </c>
      <c r="J7220" s="10">
        <v>-35.74</v>
      </c>
      <c r="K7220" s="11">
        <v>5.81</v>
      </c>
      <c r="L7220" s="11">
        <v>3.37</v>
      </c>
      <c r="M7220" s="9" t="s">
        <v>1472</v>
      </c>
      <c r="N7220" s="6" t="s">
        <v>703</v>
      </c>
      <c r="O7220" s="6" t="s">
        <v>704</v>
      </c>
      <c r="P7220" s="9" t="s">
        <v>25</v>
      </c>
      <c r="Q7220" s="9" t="s">
        <v>26</v>
      </c>
      <c r="R7220" s="9" t="s">
        <v>66</v>
      </c>
      <c r="S7220" s="7" t="s">
        <v>792</v>
      </c>
      <c r="T7220" s="9" t="s">
        <v>68</v>
      </c>
      <c r="U7220" s="7">
        <v>0.54</v>
      </c>
      <c r="V7220" s="12">
        <f>C7220+0</f>
        <v>41269</v>
      </c>
      <c r="W7220">
        <f>IF(D7220=' Pivot Tables'!$A$4,1,0)</f>
        <v>0</v>
      </c>
      <c r="X7220">
        <f>IF(AND(LEFT(D7220,4)+1=LEFT(' Pivot Tables'!$A$4,4)+0,RIGHT(LEFT(D7220,7),2)=RIGHT(LEFT(' Pivot Tables'!$A$4,7),2)),1,0)</f>
        <v>0</v>
      </c>
      <c r="Y7220" s="6">
        <f>1/COUNTIF(Таблица1[Order ID],Таблица1[[#This Row],[Order ID]])</f>
        <v>1</v>
      </c>
      <c r="Z7220" s="9">
        <f>1/COUNTIFS(Таблица1[Customer Name],Таблица1[[#This Row],[Customer Name]],Таблица1[Order-Year-Month],Таблица1[[#This Row],[Order-Year-Month]])</f>
        <v>0.25</v>
      </c>
    </row>
    <row r="7221" spans="1:26" x14ac:dyDescent="0.2">
      <c r="A7221" s="6">
        <v>6841</v>
      </c>
      <c r="B7221" s="7">
        <v>48709</v>
      </c>
      <c r="C7221" s="8">
        <f>DATE(2012,12,31)-491</f>
        <v>40783</v>
      </c>
      <c r="D7221" s="8" t="str">
        <f t="shared" si="134"/>
        <v>2011-08 (август 2011)</v>
      </c>
      <c r="E7221" s="9" t="s">
        <v>30</v>
      </c>
      <c r="F7221" s="7">
        <v>17</v>
      </c>
      <c r="G7221" s="7">
        <v>47.12</v>
      </c>
      <c r="H7221" s="7">
        <v>0.01</v>
      </c>
      <c r="I7221" s="9" t="s">
        <v>22</v>
      </c>
      <c r="J7221" s="10">
        <v>-47.01</v>
      </c>
      <c r="K7221" s="11">
        <v>2.52</v>
      </c>
      <c r="L7221" s="11">
        <v>4.28</v>
      </c>
      <c r="M7221" s="9" t="s">
        <v>1094</v>
      </c>
      <c r="N7221" s="6" t="s">
        <v>703</v>
      </c>
      <c r="O7221" s="6" t="s">
        <v>704</v>
      </c>
      <c r="P7221" s="9" t="s">
        <v>41</v>
      </c>
      <c r="Q7221" s="9" t="s">
        <v>26</v>
      </c>
      <c r="R7221" s="9" t="s">
        <v>95</v>
      </c>
      <c r="S7221" s="7" t="s">
        <v>1109</v>
      </c>
      <c r="T7221" s="9" t="s">
        <v>68</v>
      </c>
      <c r="U7221" s="7">
        <v>0.44</v>
      </c>
      <c r="V7221" s="12">
        <f>C7221+2</f>
        <v>40785</v>
      </c>
      <c r="W7221">
        <f>IF(D7221=' Pivot Tables'!$A$4,1,0)</f>
        <v>0</v>
      </c>
      <c r="X7221">
        <f>IF(AND(LEFT(D7221,4)+1=LEFT(' Pivot Tables'!$A$4,4)+0,RIGHT(LEFT(D7221,7),2)=RIGHT(LEFT(' Pivot Tables'!$A$4,7),2)),1,0)</f>
        <v>0</v>
      </c>
      <c r="Y7221" s="6">
        <f>1/COUNTIF(Таблица1[Order ID],Таблица1[[#This Row],[Order ID]])</f>
        <v>1</v>
      </c>
      <c r="Z7221" s="9">
        <f>1/COUNTIFS(Таблица1[Customer Name],Таблица1[[#This Row],[Customer Name]],Таблица1[Order-Year-Month],Таблица1[[#This Row],[Order-Year-Month]])</f>
        <v>1</v>
      </c>
    </row>
    <row r="7222" spans="1:26" x14ac:dyDescent="0.2">
      <c r="A7222" s="6">
        <v>6855</v>
      </c>
      <c r="B7222" s="7">
        <v>48832</v>
      </c>
      <c r="C7222" s="8">
        <f>DATE(2012,12,31)-971</f>
        <v>40303</v>
      </c>
      <c r="D7222" s="8" t="str">
        <f t="shared" si="134"/>
        <v>2010-05 (май 2010)</v>
      </c>
      <c r="E7222" s="9" t="s">
        <v>30</v>
      </c>
      <c r="F7222" s="7">
        <v>48</v>
      </c>
      <c r="G7222" s="7">
        <v>4480.8900000000003</v>
      </c>
      <c r="H7222" s="7">
        <v>0.02</v>
      </c>
      <c r="I7222" s="9" t="s">
        <v>31</v>
      </c>
      <c r="J7222" s="10">
        <v>195.04</v>
      </c>
      <c r="K7222" s="11">
        <v>90.98</v>
      </c>
      <c r="L7222" s="11">
        <v>30</v>
      </c>
      <c r="M7222" s="9" t="s">
        <v>1469</v>
      </c>
      <c r="N7222" s="6" t="s">
        <v>703</v>
      </c>
      <c r="O7222" s="6" t="s">
        <v>704</v>
      </c>
      <c r="P7222" s="9" t="s">
        <v>25</v>
      </c>
      <c r="Q7222" s="9" t="s">
        <v>49</v>
      </c>
      <c r="R7222" s="9" t="s">
        <v>112</v>
      </c>
      <c r="S7222" s="7" t="s">
        <v>717</v>
      </c>
      <c r="T7222" s="9" t="s">
        <v>36</v>
      </c>
      <c r="U7222" s="7">
        <v>0.61</v>
      </c>
      <c r="V7222" s="12">
        <f>C7222+0</f>
        <v>40303</v>
      </c>
      <c r="W7222">
        <f>IF(D7222=' Pivot Tables'!$A$4,1,0)</f>
        <v>0</v>
      </c>
      <c r="X7222">
        <f>IF(AND(LEFT(D7222,4)+1=LEFT(' Pivot Tables'!$A$4,4)+0,RIGHT(LEFT(D7222,7),2)=RIGHT(LEFT(' Pivot Tables'!$A$4,7),2)),1,0)</f>
        <v>0</v>
      </c>
      <c r="Y7222" s="6">
        <f>1/COUNTIF(Таблица1[Order ID],Таблица1[[#This Row],[Order ID]])</f>
        <v>1</v>
      </c>
      <c r="Z7222" s="9">
        <f>1/COUNTIFS(Таблица1[Customer Name],Таблица1[[#This Row],[Customer Name]],Таблица1[Order-Year-Month],Таблица1[[#This Row],[Order-Year-Month]])</f>
        <v>1</v>
      </c>
    </row>
    <row r="7223" spans="1:26" x14ac:dyDescent="0.2">
      <c r="A7223" s="6">
        <v>6856</v>
      </c>
      <c r="B7223" s="7">
        <v>48836</v>
      </c>
      <c r="C7223" s="8">
        <f>DATE(2012,12,31)-1416</f>
        <v>39858</v>
      </c>
      <c r="D7223" s="8" t="str">
        <f t="shared" si="134"/>
        <v>2009-02 (февраль 2009)</v>
      </c>
      <c r="E7223" s="9" t="s">
        <v>78</v>
      </c>
      <c r="F7223" s="7">
        <v>8</v>
      </c>
      <c r="G7223" s="7">
        <v>2651.21</v>
      </c>
      <c r="H7223" s="7">
        <v>0.09</v>
      </c>
      <c r="I7223" s="9" t="s">
        <v>31</v>
      </c>
      <c r="J7223" s="10">
        <v>-93.849999999999909</v>
      </c>
      <c r="K7223" s="11">
        <v>348.21</v>
      </c>
      <c r="L7223" s="11">
        <v>40.19</v>
      </c>
      <c r="M7223" s="9" t="s">
        <v>1511</v>
      </c>
      <c r="N7223" s="6" t="s">
        <v>703</v>
      </c>
      <c r="O7223" s="6" t="s">
        <v>704</v>
      </c>
      <c r="P7223" s="9" t="s">
        <v>60</v>
      </c>
      <c r="Q7223" s="9" t="s">
        <v>49</v>
      </c>
      <c r="R7223" s="9" t="s">
        <v>83</v>
      </c>
      <c r="S7223" s="7" t="s">
        <v>599</v>
      </c>
      <c r="T7223" s="9" t="s">
        <v>82</v>
      </c>
      <c r="U7223" s="7">
        <v>0.62</v>
      </c>
      <c r="V7223" s="12">
        <f>C7223+2</f>
        <v>39860</v>
      </c>
      <c r="W7223">
        <f>IF(D7223=' Pivot Tables'!$A$4,1,0)</f>
        <v>0</v>
      </c>
      <c r="X7223">
        <f>IF(AND(LEFT(D7223,4)+1=LEFT(' Pivot Tables'!$A$4,4)+0,RIGHT(LEFT(D7223,7),2)=RIGHT(LEFT(' Pivot Tables'!$A$4,7),2)),1,0)</f>
        <v>0</v>
      </c>
      <c r="Y7223" s="6">
        <f>1/COUNTIF(Таблица1[Order ID],Таблица1[[#This Row],[Order ID]])</f>
        <v>1</v>
      </c>
      <c r="Z7223" s="9">
        <f>1/COUNTIFS(Таблица1[Customer Name],Таблица1[[#This Row],[Customer Name]],Таблица1[Order-Year-Month],Таблица1[[#This Row],[Order-Year-Month]])</f>
        <v>0.5</v>
      </c>
    </row>
    <row r="7224" spans="1:26" x14ac:dyDescent="0.2">
      <c r="A7224" s="6">
        <v>6870</v>
      </c>
      <c r="B7224" s="7">
        <v>48935</v>
      </c>
      <c r="C7224" s="8">
        <f>DATE(2012,12,31)-1089</f>
        <v>40185</v>
      </c>
      <c r="D7224" s="8" t="str">
        <f t="shared" si="134"/>
        <v>2010-01 (январь 2010)</v>
      </c>
      <c r="E7224" s="9" t="s">
        <v>21</v>
      </c>
      <c r="F7224" s="7">
        <v>21</v>
      </c>
      <c r="G7224" s="7">
        <v>106.2</v>
      </c>
      <c r="H7224" s="7">
        <v>0</v>
      </c>
      <c r="I7224" s="9" t="s">
        <v>22</v>
      </c>
      <c r="J7224" s="10">
        <v>48.76</v>
      </c>
      <c r="K7224" s="11">
        <v>4.91</v>
      </c>
      <c r="L7224" s="11">
        <v>0.5</v>
      </c>
      <c r="M7224" s="9" t="s">
        <v>2046</v>
      </c>
      <c r="N7224" s="6" t="s">
        <v>703</v>
      </c>
      <c r="O7224" s="6" t="s">
        <v>704</v>
      </c>
      <c r="P7224" s="9" t="s">
        <v>33</v>
      </c>
      <c r="Q7224" s="9" t="s">
        <v>26</v>
      </c>
      <c r="R7224" s="9" t="s">
        <v>88</v>
      </c>
      <c r="S7224" s="7" t="s">
        <v>1370</v>
      </c>
      <c r="T7224" s="9" t="s">
        <v>39</v>
      </c>
      <c r="U7224" s="7">
        <v>0.36</v>
      </c>
      <c r="V7224" s="12">
        <f>C7224+2</f>
        <v>40187</v>
      </c>
      <c r="W7224">
        <f>IF(D7224=' Pivot Tables'!$A$4,1,0)</f>
        <v>1</v>
      </c>
      <c r="X7224">
        <f>IF(AND(LEFT(D7224,4)+1=LEFT(' Pivot Tables'!$A$4,4)+0,RIGHT(LEFT(D7224,7),2)=RIGHT(LEFT(' Pivot Tables'!$A$4,7),2)),1,0)</f>
        <v>0</v>
      </c>
      <c r="Y7224" s="6">
        <f>1/COUNTIF(Таблица1[Order ID],Таблица1[[#This Row],[Order ID]])</f>
        <v>1</v>
      </c>
      <c r="Z7224" s="9">
        <f>1/COUNTIFS(Таблица1[Customer Name],Таблица1[[#This Row],[Customer Name]],Таблица1[Order-Year-Month],Таблица1[[#This Row],[Order-Year-Month]])</f>
        <v>0.5</v>
      </c>
    </row>
    <row r="7225" spans="1:26" x14ac:dyDescent="0.2">
      <c r="A7225" s="6">
        <v>6877</v>
      </c>
      <c r="B7225" s="7">
        <v>49026</v>
      </c>
      <c r="C7225" s="8">
        <f>DATE(2012,12,31)-665</f>
        <v>40609</v>
      </c>
      <c r="D7225" s="8" t="str">
        <f t="shared" si="134"/>
        <v>2011-03 (март 2011)</v>
      </c>
      <c r="E7225" s="9" t="s">
        <v>21</v>
      </c>
      <c r="F7225" s="7">
        <v>36</v>
      </c>
      <c r="G7225" s="7">
        <v>411.75</v>
      </c>
      <c r="H7225" s="7">
        <v>0.05</v>
      </c>
      <c r="I7225" s="9" t="s">
        <v>22</v>
      </c>
      <c r="J7225" s="10">
        <v>-182.87</v>
      </c>
      <c r="K7225" s="11">
        <v>11.66</v>
      </c>
      <c r="L7225" s="11">
        <v>8.99</v>
      </c>
      <c r="M7225" s="9" t="s">
        <v>2028</v>
      </c>
      <c r="N7225" s="6" t="s">
        <v>703</v>
      </c>
      <c r="O7225" s="6" t="s">
        <v>704</v>
      </c>
      <c r="P7225" s="9" t="s">
        <v>41</v>
      </c>
      <c r="Q7225" s="9" t="s">
        <v>26</v>
      </c>
      <c r="R7225" s="9" t="s">
        <v>95</v>
      </c>
      <c r="S7225" s="7" t="s">
        <v>498</v>
      </c>
      <c r="T7225" s="9" t="s">
        <v>52</v>
      </c>
      <c r="U7225" s="7">
        <v>0.59</v>
      </c>
      <c r="V7225" s="12">
        <f>C7225+5</f>
        <v>40614</v>
      </c>
      <c r="W7225">
        <f>IF(D7225=' Pivot Tables'!$A$4,1,0)</f>
        <v>0</v>
      </c>
      <c r="X7225">
        <f>IF(AND(LEFT(D7225,4)+1=LEFT(' Pivot Tables'!$A$4,4)+0,RIGHT(LEFT(D7225,7),2)=RIGHT(LEFT(' Pivot Tables'!$A$4,7),2)),1,0)</f>
        <v>0</v>
      </c>
      <c r="Y7225" s="6">
        <f>1/COUNTIF(Таблица1[Order ID],Таблица1[[#This Row],[Order ID]])</f>
        <v>1</v>
      </c>
      <c r="Z7225" s="9">
        <f>1/COUNTIFS(Таблица1[Customer Name],Таблица1[[#This Row],[Customer Name]],Таблица1[Order-Year-Month],Таблица1[[#This Row],[Order-Year-Month]])</f>
        <v>1</v>
      </c>
    </row>
    <row r="7226" spans="1:26" x14ac:dyDescent="0.2">
      <c r="A7226" s="6">
        <v>6987</v>
      </c>
      <c r="B7226" s="7">
        <v>49925</v>
      </c>
      <c r="C7226" s="8">
        <f>DATE(2012,12,31)-1074</f>
        <v>40200</v>
      </c>
      <c r="D7226" s="8" t="str">
        <f t="shared" si="134"/>
        <v>2010-01 (январь 2010)</v>
      </c>
      <c r="E7226" s="9" t="s">
        <v>30</v>
      </c>
      <c r="F7226" s="7">
        <v>1</v>
      </c>
      <c r="G7226" s="7">
        <v>3.41</v>
      </c>
      <c r="H7226" s="7">
        <v>0.06</v>
      </c>
      <c r="I7226" s="9" t="s">
        <v>22</v>
      </c>
      <c r="J7226" s="10">
        <v>-1.78</v>
      </c>
      <c r="K7226" s="11">
        <v>2.88</v>
      </c>
      <c r="L7226" s="11">
        <v>0.7</v>
      </c>
      <c r="M7226" s="9" t="s">
        <v>2027</v>
      </c>
      <c r="N7226" s="6" t="s">
        <v>703</v>
      </c>
      <c r="O7226" s="6" t="s">
        <v>704</v>
      </c>
      <c r="P7226" s="9" t="s">
        <v>41</v>
      </c>
      <c r="Q7226" s="9" t="s">
        <v>26</v>
      </c>
      <c r="R7226" s="9" t="s">
        <v>95</v>
      </c>
      <c r="S7226" s="7" t="s">
        <v>913</v>
      </c>
      <c r="T7226" s="9" t="s">
        <v>68</v>
      </c>
      <c r="U7226" s="7">
        <v>0.56000000000000005</v>
      </c>
      <c r="V7226" s="12">
        <f>C7226+1</f>
        <v>40201</v>
      </c>
      <c r="W7226">
        <f>IF(D7226=' Pivot Tables'!$A$4,1,0)</f>
        <v>1</v>
      </c>
      <c r="X7226">
        <f>IF(AND(LEFT(D7226,4)+1=LEFT(' Pivot Tables'!$A$4,4)+0,RIGHT(LEFT(D7226,7),2)=RIGHT(LEFT(' Pivot Tables'!$A$4,7),2)),1,0)</f>
        <v>0</v>
      </c>
      <c r="Y7226" s="6">
        <f>1/COUNTIF(Таблица1[Order ID],Таблица1[[#This Row],[Order ID]])</f>
        <v>1</v>
      </c>
      <c r="Z7226" s="9">
        <f>1/COUNTIFS(Таблица1[Customer Name],Таблица1[[#This Row],[Customer Name]],Таблица1[Order-Year-Month],Таблица1[[#This Row],[Order-Year-Month]])</f>
        <v>0.33333333333333331</v>
      </c>
    </row>
    <row r="7227" spans="1:26" x14ac:dyDescent="0.2">
      <c r="A7227" s="6">
        <v>7055</v>
      </c>
      <c r="B7227" s="7">
        <v>50337</v>
      </c>
      <c r="C7227" s="8">
        <f>DATE(2012,12,31)-1355</f>
        <v>39919</v>
      </c>
      <c r="D7227" s="8" t="str">
        <f t="shared" si="134"/>
        <v>2009-04 (апрель 2009)</v>
      </c>
      <c r="E7227" s="9" t="s">
        <v>45</v>
      </c>
      <c r="F7227" s="7">
        <v>37</v>
      </c>
      <c r="G7227" s="7">
        <v>122.99</v>
      </c>
      <c r="H7227" s="7">
        <v>0</v>
      </c>
      <c r="I7227" s="9" t="s">
        <v>56</v>
      </c>
      <c r="J7227" s="10">
        <v>21.479500000000002</v>
      </c>
      <c r="K7227" s="11">
        <v>2.78</v>
      </c>
      <c r="L7227" s="11">
        <v>1.49</v>
      </c>
      <c r="M7227" s="9" t="s">
        <v>1503</v>
      </c>
      <c r="N7227" s="6" t="s">
        <v>703</v>
      </c>
      <c r="O7227" s="6" t="s">
        <v>704</v>
      </c>
      <c r="P7227" s="9" t="s">
        <v>33</v>
      </c>
      <c r="Q7227" s="9" t="s">
        <v>26</v>
      </c>
      <c r="R7227" s="9" t="s">
        <v>37</v>
      </c>
      <c r="S7227" s="7" t="s">
        <v>1938</v>
      </c>
      <c r="T7227" s="9" t="s">
        <v>39</v>
      </c>
      <c r="U7227" s="7">
        <v>0.36</v>
      </c>
      <c r="V7227" s="12">
        <f>C7227+1</f>
        <v>39920</v>
      </c>
      <c r="W7227">
        <f>IF(D7227=' Pivot Tables'!$A$4,1,0)</f>
        <v>0</v>
      </c>
      <c r="X7227">
        <f>IF(AND(LEFT(D7227,4)+1=LEFT(' Pivot Tables'!$A$4,4)+0,RIGHT(LEFT(D7227,7),2)=RIGHT(LEFT(' Pivot Tables'!$A$4,7),2)),1,0)</f>
        <v>0</v>
      </c>
      <c r="Y7227" s="6">
        <f>1/COUNTIF(Таблица1[Order ID],Таблица1[[#This Row],[Order ID]])</f>
        <v>0.5</v>
      </c>
      <c r="Z7227" s="9">
        <f>1/COUNTIFS(Таблица1[Customer Name],Таблица1[[#This Row],[Customer Name]],Таблица1[Order-Year-Month],Таблица1[[#This Row],[Order-Year-Month]])</f>
        <v>0.5</v>
      </c>
    </row>
    <row r="7228" spans="1:26" x14ac:dyDescent="0.2">
      <c r="A7228" s="6">
        <v>7056</v>
      </c>
      <c r="B7228" s="7">
        <v>50337</v>
      </c>
      <c r="C7228" s="8">
        <f>DATE(2012,12,31)-1355</f>
        <v>39919</v>
      </c>
      <c r="D7228" s="8" t="str">
        <f t="shared" si="134"/>
        <v>2009-04 (апрель 2009)</v>
      </c>
      <c r="E7228" s="9" t="s">
        <v>45</v>
      </c>
      <c r="F7228" s="7">
        <v>6</v>
      </c>
      <c r="G7228" s="7">
        <v>14734.71</v>
      </c>
      <c r="H7228" s="7">
        <v>0.1</v>
      </c>
      <c r="I7228" s="9" t="s">
        <v>31</v>
      </c>
      <c r="J7228" s="10">
        <v>-3798.0110999999997</v>
      </c>
      <c r="K7228" s="11">
        <v>2550.14</v>
      </c>
      <c r="L7228" s="11">
        <v>29.7</v>
      </c>
      <c r="M7228" s="9" t="s">
        <v>1503</v>
      </c>
      <c r="N7228" s="6" t="s">
        <v>703</v>
      </c>
      <c r="O7228" s="6" t="s">
        <v>704</v>
      </c>
      <c r="P7228" s="9" t="s">
        <v>33</v>
      </c>
      <c r="Q7228" s="9" t="s">
        <v>42</v>
      </c>
      <c r="R7228" s="9" t="s">
        <v>210</v>
      </c>
      <c r="S7228" s="7" t="s">
        <v>506</v>
      </c>
      <c r="T7228" s="9" t="s">
        <v>36</v>
      </c>
      <c r="U7228" s="7">
        <v>0.56999999999999995</v>
      </c>
      <c r="V7228" s="12">
        <f>C7228+2</f>
        <v>39921</v>
      </c>
      <c r="W7228">
        <f>IF(D7228=' Pivot Tables'!$A$4,1,0)</f>
        <v>0</v>
      </c>
      <c r="X7228">
        <f>IF(AND(LEFT(D7228,4)+1=LEFT(' Pivot Tables'!$A$4,4)+0,RIGHT(LEFT(D7228,7),2)=RIGHT(LEFT(' Pivot Tables'!$A$4,7),2)),1,0)</f>
        <v>0</v>
      </c>
      <c r="Y7228" s="6">
        <f>1/COUNTIF(Таблица1[Order ID],Таблица1[[#This Row],[Order ID]])</f>
        <v>0.5</v>
      </c>
      <c r="Z7228" s="9">
        <f>1/COUNTIFS(Таблица1[Customer Name],Таблица1[[#This Row],[Customer Name]],Таблица1[Order-Year-Month],Таблица1[[#This Row],[Order-Year-Month]])</f>
        <v>0.5</v>
      </c>
    </row>
    <row r="7229" spans="1:26" x14ac:dyDescent="0.2">
      <c r="A7229" s="6">
        <v>7062</v>
      </c>
      <c r="B7229" s="7">
        <v>50403</v>
      </c>
      <c r="C7229" s="8">
        <f>DATE(2012,12,31)-233</f>
        <v>41041</v>
      </c>
      <c r="D7229" s="8" t="str">
        <f t="shared" si="134"/>
        <v>2012-05 (май 2012)</v>
      </c>
      <c r="E7229" s="9" t="s">
        <v>45</v>
      </c>
      <c r="F7229" s="7">
        <v>38</v>
      </c>
      <c r="G7229" s="7">
        <v>264.92</v>
      </c>
      <c r="H7229" s="7">
        <v>0.05</v>
      </c>
      <c r="I7229" s="9" t="s">
        <v>22</v>
      </c>
      <c r="J7229" s="10">
        <v>-97.06</v>
      </c>
      <c r="K7229" s="11">
        <v>7.1</v>
      </c>
      <c r="L7229" s="11">
        <v>6.05</v>
      </c>
      <c r="M7229" s="9" t="s">
        <v>1875</v>
      </c>
      <c r="N7229" s="6" t="s">
        <v>703</v>
      </c>
      <c r="O7229" s="6" t="s">
        <v>704</v>
      </c>
      <c r="P7229" s="9" t="s">
        <v>41</v>
      </c>
      <c r="Q7229" s="9" t="s">
        <v>26</v>
      </c>
      <c r="R7229" s="9" t="s">
        <v>37</v>
      </c>
      <c r="S7229" s="7" t="s">
        <v>435</v>
      </c>
      <c r="T7229" s="9" t="s">
        <v>39</v>
      </c>
      <c r="U7229" s="7">
        <v>0.39</v>
      </c>
      <c r="V7229" s="12">
        <f>C7229+2</f>
        <v>41043</v>
      </c>
      <c r="W7229">
        <f>IF(D7229=' Pivot Tables'!$A$4,1,0)</f>
        <v>0</v>
      </c>
      <c r="X7229">
        <f>IF(AND(LEFT(D7229,4)+1=LEFT(' Pivot Tables'!$A$4,4)+0,RIGHT(LEFT(D7229,7),2)=RIGHT(LEFT(' Pivot Tables'!$A$4,7),2)),1,0)</f>
        <v>0</v>
      </c>
      <c r="Y7229" s="6">
        <f>1/COUNTIF(Таблица1[Order ID],Таблица1[[#This Row],[Order ID]])</f>
        <v>0.5</v>
      </c>
      <c r="Z7229" s="9">
        <f>1/COUNTIFS(Таблица1[Customer Name],Таблица1[[#This Row],[Customer Name]],Таблица1[Order-Year-Month],Таблица1[[#This Row],[Order-Year-Month]])</f>
        <v>0.5</v>
      </c>
    </row>
    <row r="7230" spans="1:26" x14ac:dyDescent="0.2">
      <c r="A7230" s="6">
        <v>7095</v>
      </c>
      <c r="B7230" s="7">
        <v>50656</v>
      </c>
      <c r="C7230" s="8">
        <f>DATE(2012,12,31)-1163</f>
        <v>40111</v>
      </c>
      <c r="D7230" s="8" t="str">
        <f t="shared" si="134"/>
        <v>2009-10 (октябрь 2009)</v>
      </c>
      <c r="E7230" s="9" t="s">
        <v>78</v>
      </c>
      <c r="F7230" s="7">
        <v>42</v>
      </c>
      <c r="G7230" s="7">
        <v>194.2</v>
      </c>
      <c r="H7230" s="7">
        <v>0</v>
      </c>
      <c r="I7230" s="9" t="s">
        <v>22</v>
      </c>
      <c r="J7230" s="10">
        <v>-139.13</v>
      </c>
      <c r="K7230" s="11">
        <v>4.37</v>
      </c>
      <c r="L7230" s="11">
        <v>5.15</v>
      </c>
      <c r="M7230" s="9" t="s">
        <v>1290</v>
      </c>
      <c r="N7230" s="6" t="s">
        <v>703</v>
      </c>
      <c r="O7230" s="6" t="s">
        <v>704</v>
      </c>
      <c r="P7230" s="9" t="s">
        <v>33</v>
      </c>
      <c r="Q7230" s="9" t="s">
        <v>26</v>
      </c>
      <c r="R7230" s="9" t="s">
        <v>34</v>
      </c>
      <c r="S7230" s="7" t="s">
        <v>690</v>
      </c>
      <c r="T7230" s="9" t="s">
        <v>39</v>
      </c>
      <c r="U7230" s="7">
        <v>0.59</v>
      </c>
      <c r="V7230" s="12">
        <f>C7230+2</f>
        <v>40113</v>
      </c>
      <c r="W7230">
        <f>IF(D7230=' Pivot Tables'!$A$4,1,0)</f>
        <v>0</v>
      </c>
      <c r="X7230">
        <f>IF(AND(LEFT(D7230,4)+1=LEFT(' Pivot Tables'!$A$4,4)+0,RIGHT(LEFT(D7230,7),2)=RIGHT(LEFT(' Pivot Tables'!$A$4,7),2)),1,0)</f>
        <v>0</v>
      </c>
      <c r="Y7230" s="6">
        <f>1/COUNTIF(Таблица1[Order ID],Таблица1[[#This Row],[Order ID]])</f>
        <v>0.25</v>
      </c>
      <c r="Z7230" s="9">
        <f>1/COUNTIFS(Таблица1[Customer Name],Таблица1[[#This Row],[Customer Name]],Таблица1[Order-Year-Month],Таблица1[[#This Row],[Order-Year-Month]])</f>
        <v>0.25</v>
      </c>
    </row>
    <row r="7231" spans="1:26" x14ac:dyDescent="0.2">
      <c r="A7231" s="6">
        <v>7096</v>
      </c>
      <c r="B7231" s="7">
        <v>50656</v>
      </c>
      <c r="C7231" s="8">
        <f>DATE(2012,12,31)-1163</f>
        <v>40111</v>
      </c>
      <c r="D7231" s="8" t="str">
        <f t="shared" si="134"/>
        <v>2009-10 (октябрь 2009)</v>
      </c>
      <c r="E7231" s="9" t="s">
        <v>78</v>
      </c>
      <c r="F7231" s="7">
        <v>31</v>
      </c>
      <c r="G7231" s="7">
        <v>16451.330000000002</v>
      </c>
      <c r="H7231" s="7">
        <v>0.01</v>
      </c>
      <c r="I7231" s="9" t="s">
        <v>31</v>
      </c>
      <c r="J7231" s="10">
        <v>5325.14</v>
      </c>
      <c r="K7231" s="11">
        <v>500.98</v>
      </c>
      <c r="L7231" s="11">
        <v>56</v>
      </c>
      <c r="M7231" s="9" t="s">
        <v>1290</v>
      </c>
      <c r="N7231" s="6" t="s">
        <v>703</v>
      </c>
      <c r="O7231" s="6" t="s">
        <v>704</v>
      </c>
      <c r="P7231" s="9" t="s">
        <v>33</v>
      </c>
      <c r="Q7231" s="9" t="s">
        <v>49</v>
      </c>
      <c r="R7231" s="9" t="s">
        <v>112</v>
      </c>
      <c r="S7231" s="7" t="s">
        <v>119</v>
      </c>
      <c r="T7231" s="9" t="s">
        <v>36</v>
      </c>
      <c r="U7231" s="7">
        <v>0.6</v>
      </c>
      <c r="V7231" s="12">
        <f>C7231+1</f>
        <v>40112</v>
      </c>
      <c r="W7231">
        <f>IF(D7231=' Pivot Tables'!$A$4,1,0)</f>
        <v>0</v>
      </c>
      <c r="X7231">
        <f>IF(AND(LEFT(D7231,4)+1=LEFT(' Pivot Tables'!$A$4,4)+0,RIGHT(LEFT(D7231,7),2)=RIGHT(LEFT(' Pivot Tables'!$A$4,7),2)),1,0)</f>
        <v>0</v>
      </c>
      <c r="Y7231" s="6">
        <f>1/COUNTIF(Таблица1[Order ID],Таблица1[[#This Row],[Order ID]])</f>
        <v>0.25</v>
      </c>
      <c r="Z7231" s="9">
        <f>1/COUNTIFS(Таблица1[Customer Name],Таблица1[[#This Row],[Customer Name]],Таблица1[Order-Year-Month],Таблица1[[#This Row],[Order-Year-Month]])</f>
        <v>0.25</v>
      </c>
    </row>
    <row r="7232" spans="1:26" x14ac:dyDescent="0.2">
      <c r="A7232" s="6">
        <v>7097</v>
      </c>
      <c r="B7232" s="7">
        <v>50656</v>
      </c>
      <c r="C7232" s="8">
        <f>DATE(2012,12,31)-1163</f>
        <v>40111</v>
      </c>
      <c r="D7232" s="8" t="str">
        <f t="shared" si="134"/>
        <v>2009-10 (октябрь 2009)</v>
      </c>
      <c r="E7232" s="9" t="s">
        <v>78</v>
      </c>
      <c r="F7232" s="7">
        <v>39</v>
      </c>
      <c r="G7232" s="7">
        <v>485.97</v>
      </c>
      <c r="H7232" s="7">
        <v>0.02</v>
      </c>
      <c r="I7232" s="9" t="s">
        <v>22</v>
      </c>
      <c r="J7232" s="10">
        <v>48.6</v>
      </c>
      <c r="K7232" s="11">
        <v>12.58</v>
      </c>
      <c r="L7232" s="11">
        <v>5.16</v>
      </c>
      <c r="M7232" s="9" t="s">
        <v>1290</v>
      </c>
      <c r="N7232" s="6" t="s">
        <v>703</v>
      </c>
      <c r="O7232" s="6" t="s">
        <v>704</v>
      </c>
      <c r="P7232" s="9" t="s">
        <v>33</v>
      </c>
      <c r="Q7232" s="9" t="s">
        <v>49</v>
      </c>
      <c r="R7232" s="9" t="s">
        <v>50</v>
      </c>
      <c r="S7232" s="7" t="s">
        <v>239</v>
      </c>
      <c r="T7232" s="9" t="s">
        <v>39</v>
      </c>
      <c r="U7232" s="7">
        <v>0.43</v>
      </c>
      <c r="V7232" s="12">
        <f>C7232+0</f>
        <v>40111</v>
      </c>
      <c r="W7232">
        <f>IF(D7232=' Pivot Tables'!$A$4,1,0)</f>
        <v>0</v>
      </c>
      <c r="X7232">
        <f>IF(AND(LEFT(D7232,4)+1=LEFT(' Pivot Tables'!$A$4,4)+0,RIGHT(LEFT(D7232,7),2)=RIGHT(LEFT(' Pivot Tables'!$A$4,7),2)),1,0)</f>
        <v>0</v>
      </c>
      <c r="Y7232" s="6">
        <f>1/COUNTIF(Таблица1[Order ID],Таблица1[[#This Row],[Order ID]])</f>
        <v>0.25</v>
      </c>
      <c r="Z7232" s="9">
        <f>1/COUNTIFS(Таблица1[Customer Name],Таблица1[[#This Row],[Customer Name]],Таблица1[Order-Year-Month],Таблица1[[#This Row],[Order-Year-Month]])</f>
        <v>0.25</v>
      </c>
    </row>
    <row r="7233" spans="1:26" x14ac:dyDescent="0.2">
      <c r="A7233" s="6">
        <v>7098</v>
      </c>
      <c r="B7233" s="7">
        <v>50656</v>
      </c>
      <c r="C7233" s="8">
        <f>DATE(2012,12,31)-1163</f>
        <v>40111</v>
      </c>
      <c r="D7233" s="8" t="str">
        <f t="shared" si="134"/>
        <v>2009-10 (октябрь 2009)</v>
      </c>
      <c r="E7233" s="9" t="s">
        <v>78</v>
      </c>
      <c r="F7233" s="7">
        <v>15</v>
      </c>
      <c r="G7233" s="7">
        <v>109.71</v>
      </c>
      <c r="H7233" s="7">
        <v>0.1</v>
      </c>
      <c r="I7233" s="9" t="s">
        <v>22</v>
      </c>
      <c r="J7233" s="10">
        <v>-20.95</v>
      </c>
      <c r="K7233" s="11">
        <v>7.7</v>
      </c>
      <c r="L7233" s="11">
        <v>3.68</v>
      </c>
      <c r="M7233" s="9" t="s">
        <v>1290</v>
      </c>
      <c r="N7233" s="6" t="s">
        <v>703</v>
      </c>
      <c r="O7233" s="6" t="s">
        <v>704</v>
      </c>
      <c r="P7233" s="9" t="s">
        <v>33</v>
      </c>
      <c r="Q7233" s="9" t="s">
        <v>49</v>
      </c>
      <c r="R7233" s="9" t="s">
        <v>50</v>
      </c>
      <c r="S7233" s="7" t="s">
        <v>1052</v>
      </c>
      <c r="T7233" s="9" t="s">
        <v>68</v>
      </c>
      <c r="U7233" s="7">
        <v>0.52</v>
      </c>
      <c r="V7233" s="12">
        <f>C7233+1</f>
        <v>40112</v>
      </c>
      <c r="W7233">
        <f>IF(D7233=' Pivot Tables'!$A$4,1,0)</f>
        <v>0</v>
      </c>
      <c r="X7233">
        <f>IF(AND(LEFT(D7233,4)+1=LEFT(' Pivot Tables'!$A$4,4)+0,RIGHT(LEFT(D7233,7),2)=RIGHT(LEFT(' Pivot Tables'!$A$4,7),2)),1,0)</f>
        <v>0</v>
      </c>
      <c r="Y7233" s="6">
        <f>1/COUNTIF(Таблица1[Order ID],Таблица1[[#This Row],[Order ID]])</f>
        <v>0.25</v>
      </c>
      <c r="Z7233" s="9">
        <f>1/COUNTIFS(Таблица1[Customer Name],Таблица1[[#This Row],[Customer Name]],Таблица1[Order-Year-Month],Таблица1[[#This Row],[Order-Year-Month]])</f>
        <v>0.25</v>
      </c>
    </row>
    <row r="7234" spans="1:26" x14ac:dyDescent="0.2">
      <c r="A7234" s="6">
        <v>7141</v>
      </c>
      <c r="B7234" s="7">
        <v>50950</v>
      </c>
      <c r="C7234" s="8">
        <f>DATE(2012,12,31)-1</f>
        <v>41273</v>
      </c>
      <c r="D7234" s="8" t="str">
        <f t="shared" si="134"/>
        <v>2012-12 (декабрь 2012)</v>
      </c>
      <c r="E7234" s="9" t="s">
        <v>45</v>
      </c>
      <c r="F7234" s="7">
        <v>6</v>
      </c>
      <c r="G7234" s="7">
        <v>391.12</v>
      </c>
      <c r="H7234" s="7">
        <v>0.06</v>
      </c>
      <c r="I7234" s="9" t="s">
        <v>31</v>
      </c>
      <c r="J7234" s="10">
        <v>-166.96</v>
      </c>
      <c r="K7234" s="11">
        <v>60.98</v>
      </c>
      <c r="L7234" s="11">
        <v>30</v>
      </c>
      <c r="M7234" s="9" t="s">
        <v>1531</v>
      </c>
      <c r="N7234" s="6" t="s">
        <v>703</v>
      </c>
      <c r="O7234" s="6" t="s">
        <v>704</v>
      </c>
      <c r="P7234" s="9" t="s">
        <v>41</v>
      </c>
      <c r="Q7234" s="9" t="s">
        <v>49</v>
      </c>
      <c r="R7234" s="9" t="s">
        <v>112</v>
      </c>
      <c r="S7234" s="7" t="s">
        <v>979</v>
      </c>
      <c r="T7234" s="9" t="s">
        <v>36</v>
      </c>
      <c r="U7234" s="7">
        <v>0.7</v>
      </c>
      <c r="V7234" s="12">
        <f>C7234+0</f>
        <v>41273</v>
      </c>
      <c r="W7234">
        <f>IF(D7234=' Pivot Tables'!$A$4,1,0)</f>
        <v>0</v>
      </c>
      <c r="X7234">
        <f>IF(AND(LEFT(D7234,4)+1=LEFT(' Pivot Tables'!$A$4,4)+0,RIGHT(LEFT(D7234,7),2)=RIGHT(LEFT(' Pivot Tables'!$A$4,7),2)),1,0)</f>
        <v>0</v>
      </c>
      <c r="Y7234" s="6">
        <f>1/COUNTIF(Таблица1[Order ID],Таблица1[[#This Row],[Order ID]])</f>
        <v>0.5</v>
      </c>
      <c r="Z7234" s="9">
        <f>1/COUNTIFS(Таблица1[Customer Name],Таблица1[[#This Row],[Customer Name]],Таблица1[Order-Year-Month],Таблица1[[#This Row],[Order-Year-Month]])</f>
        <v>0.5</v>
      </c>
    </row>
    <row r="7235" spans="1:26" x14ac:dyDescent="0.2">
      <c r="A7235" s="6">
        <v>7142</v>
      </c>
      <c r="B7235" s="7">
        <v>50950</v>
      </c>
      <c r="C7235" s="8">
        <f>DATE(2012,12,31)-1</f>
        <v>41273</v>
      </c>
      <c r="D7235" s="8" t="str">
        <f t="shared" ref="D7235:D7298" si="136">TEXT(C7235,"гггг-ММ (ММММ гггг)")</f>
        <v>2012-12 (декабрь 2012)</v>
      </c>
      <c r="E7235" s="9" t="s">
        <v>45</v>
      </c>
      <c r="F7235" s="7">
        <v>35</v>
      </c>
      <c r="G7235" s="7">
        <v>448.1</v>
      </c>
      <c r="H7235" s="7">
        <v>0.1</v>
      </c>
      <c r="I7235" s="9" t="s">
        <v>56</v>
      </c>
      <c r="J7235" s="10">
        <v>-15.07</v>
      </c>
      <c r="K7235" s="11">
        <v>13.48</v>
      </c>
      <c r="L7235" s="11">
        <v>4.51</v>
      </c>
      <c r="M7235" s="9" t="s">
        <v>1531</v>
      </c>
      <c r="N7235" s="6" t="s">
        <v>703</v>
      </c>
      <c r="O7235" s="6" t="s">
        <v>704</v>
      </c>
      <c r="P7235" s="9" t="s">
        <v>41</v>
      </c>
      <c r="Q7235" s="9" t="s">
        <v>26</v>
      </c>
      <c r="R7235" s="9" t="s">
        <v>27</v>
      </c>
      <c r="S7235" s="7" t="s">
        <v>101</v>
      </c>
      <c r="T7235" s="9" t="s">
        <v>39</v>
      </c>
      <c r="U7235" s="7">
        <v>0.59</v>
      </c>
      <c r="V7235" s="12">
        <f>C7235+0</f>
        <v>41273</v>
      </c>
      <c r="W7235">
        <f>IF(D7235=' Pivot Tables'!$A$4,1,0)</f>
        <v>0</v>
      </c>
      <c r="X7235">
        <f>IF(AND(LEFT(D7235,4)+1=LEFT(' Pivot Tables'!$A$4,4)+0,RIGHT(LEFT(D7235,7),2)=RIGHT(LEFT(' Pivot Tables'!$A$4,7),2)),1,0)</f>
        <v>0</v>
      </c>
      <c r="Y7235" s="6">
        <f>1/COUNTIF(Таблица1[Order ID],Таблица1[[#This Row],[Order ID]])</f>
        <v>0.5</v>
      </c>
      <c r="Z7235" s="9">
        <f>1/COUNTIFS(Таблица1[Customer Name],Таблица1[[#This Row],[Customer Name]],Таблица1[Order-Year-Month],Таблица1[[#This Row],[Order-Year-Month]])</f>
        <v>0.5</v>
      </c>
    </row>
    <row r="7236" spans="1:26" x14ac:dyDescent="0.2">
      <c r="A7236" s="6">
        <v>7143</v>
      </c>
      <c r="B7236" s="7">
        <v>50977</v>
      </c>
      <c r="C7236" s="8">
        <f>DATE(2012,12,31)-203</f>
        <v>41071</v>
      </c>
      <c r="D7236" s="8" t="str">
        <f t="shared" si="136"/>
        <v>2012-06 (июнь 2012)</v>
      </c>
      <c r="E7236" s="9" t="s">
        <v>21</v>
      </c>
      <c r="F7236" s="7">
        <v>1</v>
      </c>
      <c r="G7236" s="7">
        <v>34.090000000000003</v>
      </c>
      <c r="H7236" s="7">
        <v>0.05</v>
      </c>
      <c r="I7236" s="9" t="s">
        <v>56</v>
      </c>
      <c r="J7236" s="10">
        <v>-19.899999999999999</v>
      </c>
      <c r="K7236" s="11">
        <v>18.97</v>
      </c>
      <c r="L7236" s="11">
        <v>9.0299999999999994</v>
      </c>
      <c r="M7236" s="9" t="s">
        <v>2033</v>
      </c>
      <c r="N7236" s="6" t="s">
        <v>703</v>
      </c>
      <c r="O7236" s="6" t="s">
        <v>704</v>
      </c>
      <c r="P7236" s="9" t="s">
        <v>33</v>
      </c>
      <c r="Q7236" s="9" t="s">
        <v>26</v>
      </c>
      <c r="R7236" s="9" t="s">
        <v>61</v>
      </c>
      <c r="S7236" s="7" t="s">
        <v>123</v>
      </c>
      <c r="T7236" s="9" t="s">
        <v>39</v>
      </c>
      <c r="U7236" s="7">
        <v>0.37</v>
      </c>
      <c r="V7236" s="12">
        <f>C7236+0</f>
        <v>41071</v>
      </c>
      <c r="W7236">
        <f>IF(D7236=' Pivot Tables'!$A$4,1,0)</f>
        <v>0</v>
      </c>
      <c r="X7236">
        <f>IF(AND(LEFT(D7236,4)+1=LEFT(' Pivot Tables'!$A$4,4)+0,RIGHT(LEFT(D7236,7),2)=RIGHT(LEFT(' Pivot Tables'!$A$4,7),2)),1,0)</f>
        <v>0</v>
      </c>
      <c r="Y7236" s="6">
        <f>1/COUNTIF(Таблица1[Order ID],Таблица1[[#This Row],[Order ID]])</f>
        <v>1</v>
      </c>
      <c r="Z7236" s="9">
        <f>1/COUNTIFS(Таблица1[Customer Name],Таблица1[[#This Row],[Customer Name]],Таблица1[Order-Year-Month],Таблица1[[#This Row],[Order-Year-Month]])</f>
        <v>1</v>
      </c>
    </row>
    <row r="7237" spans="1:26" x14ac:dyDescent="0.2">
      <c r="A7237" s="6">
        <v>7151</v>
      </c>
      <c r="B7237" s="7">
        <v>51011</v>
      </c>
      <c r="C7237" s="8">
        <f>DATE(2012,12,31)-939</f>
        <v>40335</v>
      </c>
      <c r="D7237" s="8" t="str">
        <f t="shared" si="136"/>
        <v>2010-06 (июнь 2010)</v>
      </c>
      <c r="E7237" s="9" t="s">
        <v>21</v>
      </c>
      <c r="F7237" s="7">
        <v>41</v>
      </c>
      <c r="G7237" s="7">
        <v>5144.8715000000002</v>
      </c>
      <c r="H7237" s="7">
        <v>0.09</v>
      </c>
      <c r="I7237" s="9" t="s">
        <v>22</v>
      </c>
      <c r="J7237" s="10">
        <v>1435.8329999999999</v>
      </c>
      <c r="K7237" s="11">
        <v>155.99</v>
      </c>
      <c r="L7237" s="11">
        <v>3.9</v>
      </c>
      <c r="M7237" s="9" t="s">
        <v>2033</v>
      </c>
      <c r="N7237" s="6" t="s">
        <v>703</v>
      </c>
      <c r="O7237" s="6" t="s">
        <v>704</v>
      </c>
      <c r="P7237" s="9" t="s">
        <v>33</v>
      </c>
      <c r="Q7237" s="9" t="s">
        <v>42</v>
      </c>
      <c r="R7237" s="9" t="s">
        <v>43</v>
      </c>
      <c r="S7237" s="7" t="s">
        <v>257</v>
      </c>
      <c r="T7237" s="9" t="s">
        <v>39</v>
      </c>
      <c r="U7237" s="7">
        <v>0.55000000000000004</v>
      </c>
      <c r="V7237" s="12">
        <f>C7237+2</f>
        <v>40337</v>
      </c>
      <c r="W7237">
        <f>IF(D7237=' Pivot Tables'!$A$4,1,0)</f>
        <v>0</v>
      </c>
      <c r="X7237">
        <f>IF(AND(LEFT(D7237,4)+1=LEFT(' Pivot Tables'!$A$4,4)+0,RIGHT(LEFT(D7237,7),2)=RIGHT(LEFT(' Pivot Tables'!$A$4,7),2)),1,0)</f>
        <v>0</v>
      </c>
      <c r="Y7237" s="6">
        <f>1/COUNTIF(Таблица1[Order ID],Таблица1[[#This Row],[Order ID]])</f>
        <v>1</v>
      </c>
      <c r="Z7237" s="9">
        <f>1/COUNTIFS(Таблица1[Customer Name],Таблица1[[#This Row],[Customer Name]],Таблица1[Order-Year-Month],Таблица1[[#This Row],[Order-Year-Month]])</f>
        <v>1</v>
      </c>
    </row>
    <row r="7238" spans="1:26" x14ac:dyDescent="0.2">
      <c r="A7238" s="6">
        <v>7169</v>
      </c>
      <c r="B7238" s="7">
        <v>51171</v>
      </c>
      <c r="C7238" s="8">
        <f>DATE(2012,12,31)-924</f>
        <v>40350</v>
      </c>
      <c r="D7238" s="8" t="str">
        <f t="shared" si="136"/>
        <v>2010-06 (июнь 2010)</v>
      </c>
      <c r="E7238" s="9" t="s">
        <v>30</v>
      </c>
      <c r="F7238" s="7">
        <v>34</v>
      </c>
      <c r="G7238" s="7">
        <v>783.48</v>
      </c>
      <c r="H7238" s="7">
        <v>0.01</v>
      </c>
      <c r="I7238" s="9" t="s">
        <v>22</v>
      </c>
      <c r="J7238" s="10">
        <v>-73.404499999999999</v>
      </c>
      <c r="K7238" s="11">
        <v>22.38</v>
      </c>
      <c r="L7238" s="11">
        <v>15.1</v>
      </c>
      <c r="M7238" s="9" t="s">
        <v>1536</v>
      </c>
      <c r="N7238" s="6" t="s">
        <v>703</v>
      </c>
      <c r="O7238" s="6" t="s">
        <v>704</v>
      </c>
      <c r="P7238" s="9" t="s">
        <v>25</v>
      </c>
      <c r="Q7238" s="9" t="s">
        <v>26</v>
      </c>
      <c r="R7238" s="9" t="s">
        <v>37</v>
      </c>
      <c r="S7238" s="7" t="s">
        <v>415</v>
      </c>
      <c r="T7238" s="9" t="s">
        <v>39</v>
      </c>
      <c r="U7238" s="7">
        <v>0.38</v>
      </c>
      <c r="V7238" s="12">
        <f>C7238+2</f>
        <v>40352</v>
      </c>
      <c r="W7238">
        <f>IF(D7238=' Pivot Tables'!$A$4,1,0)</f>
        <v>0</v>
      </c>
      <c r="X7238">
        <f>IF(AND(LEFT(D7238,4)+1=LEFT(' Pivot Tables'!$A$4,4)+0,RIGHT(LEFT(D7238,7),2)=RIGHT(LEFT(' Pivot Tables'!$A$4,7),2)),1,0)</f>
        <v>0</v>
      </c>
      <c r="Y7238" s="6">
        <f>1/COUNTIF(Таблица1[Order ID],Таблица1[[#This Row],[Order ID]])</f>
        <v>1</v>
      </c>
      <c r="Z7238" s="9">
        <f>1/COUNTIFS(Таблица1[Customer Name],Таблица1[[#This Row],[Customer Name]],Таблица1[Order-Year-Month],Таблица1[[#This Row],[Order-Year-Month]])</f>
        <v>0.5</v>
      </c>
    </row>
    <row r="7239" spans="1:26" x14ac:dyDescent="0.2">
      <c r="A7239" s="6">
        <v>7186</v>
      </c>
      <c r="B7239" s="7">
        <v>51267</v>
      </c>
      <c r="C7239" s="8">
        <f>DATE(2012,12,31)-242</f>
        <v>41032</v>
      </c>
      <c r="D7239" s="8" t="str">
        <f t="shared" si="136"/>
        <v>2012-05 (май 2012)</v>
      </c>
      <c r="E7239" s="9" t="s">
        <v>21</v>
      </c>
      <c r="F7239" s="7">
        <v>46</v>
      </c>
      <c r="G7239" s="7">
        <v>4394.78</v>
      </c>
      <c r="H7239" s="7">
        <v>0.08</v>
      </c>
      <c r="I7239" s="9" t="s">
        <v>31</v>
      </c>
      <c r="J7239" s="10">
        <v>-335.77</v>
      </c>
      <c r="K7239" s="11">
        <v>100.98</v>
      </c>
      <c r="L7239" s="11">
        <v>35.840000000000003</v>
      </c>
      <c r="M7239" s="9" t="s">
        <v>1651</v>
      </c>
      <c r="N7239" s="6" t="s">
        <v>703</v>
      </c>
      <c r="O7239" s="6" t="s">
        <v>704</v>
      </c>
      <c r="P7239" s="9" t="s">
        <v>60</v>
      </c>
      <c r="Q7239" s="9" t="s">
        <v>49</v>
      </c>
      <c r="R7239" s="9" t="s">
        <v>80</v>
      </c>
      <c r="S7239" s="7" t="s">
        <v>705</v>
      </c>
      <c r="T7239" s="9" t="s">
        <v>82</v>
      </c>
      <c r="U7239" s="7">
        <v>0.62</v>
      </c>
      <c r="V7239" s="12">
        <f>C7239+5</f>
        <v>41037</v>
      </c>
      <c r="W7239">
        <f>IF(D7239=' Pivot Tables'!$A$4,1,0)</f>
        <v>0</v>
      </c>
      <c r="X7239">
        <f>IF(AND(LEFT(D7239,4)+1=LEFT(' Pivot Tables'!$A$4,4)+0,RIGHT(LEFT(D7239,7),2)=RIGHT(LEFT(' Pivot Tables'!$A$4,7),2)),1,0)</f>
        <v>0</v>
      </c>
      <c r="Y7239" s="6">
        <f>1/COUNTIF(Таблица1[Order ID],Таблица1[[#This Row],[Order ID]])</f>
        <v>1</v>
      </c>
      <c r="Z7239" s="9">
        <f>1/COUNTIFS(Таблица1[Customer Name],Таблица1[[#This Row],[Customer Name]],Таблица1[Order-Year-Month],Таблица1[[#This Row],[Order-Year-Month]])</f>
        <v>1</v>
      </c>
    </row>
    <row r="7240" spans="1:26" x14ac:dyDescent="0.2">
      <c r="A7240" s="6">
        <v>7200</v>
      </c>
      <c r="B7240" s="7">
        <v>51362</v>
      </c>
      <c r="C7240" s="8">
        <f>DATE(2012,12,31)-1043</f>
        <v>40231</v>
      </c>
      <c r="D7240" s="8" t="str">
        <f t="shared" si="136"/>
        <v>2010-02 (февраль 2010)</v>
      </c>
      <c r="E7240" s="9" t="s">
        <v>63</v>
      </c>
      <c r="F7240" s="7">
        <v>47</v>
      </c>
      <c r="G7240" s="7">
        <v>1501.8</v>
      </c>
      <c r="H7240" s="7">
        <v>0.02</v>
      </c>
      <c r="I7240" s="9" t="s">
        <v>22</v>
      </c>
      <c r="J7240" s="10">
        <v>112.78</v>
      </c>
      <c r="K7240" s="11">
        <v>30.97</v>
      </c>
      <c r="L7240" s="11">
        <v>4</v>
      </c>
      <c r="M7240" s="9" t="s">
        <v>2047</v>
      </c>
      <c r="N7240" s="6" t="s">
        <v>703</v>
      </c>
      <c r="O7240" s="6" t="s">
        <v>704</v>
      </c>
      <c r="P7240" s="9" t="s">
        <v>41</v>
      </c>
      <c r="Q7240" s="9" t="s">
        <v>42</v>
      </c>
      <c r="R7240" s="9" t="s">
        <v>70</v>
      </c>
      <c r="S7240" s="7" t="s">
        <v>942</v>
      </c>
      <c r="T7240" s="9" t="s">
        <v>39</v>
      </c>
      <c r="U7240" s="7">
        <v>0.74</v>
      </c>
      <c r="V7240" s="12">
        <f>C7240+2</f>
        <v>40233</v>
      </c>
      <c r="W7240">
        <f>IF(D7240=' Pivot Tables'!$A$4,1,0)</f>
        <v>0</v>
      </c>
      <c r="X7240">
        <f>IF(AND(LEFT(D7240,4)+1=LEFT(' Pivot Tables'!$A$4,4)+0,RIGHT(LEFT(D7240,7),2)=RIGHT(LEFT(' Pivot Tables'!$A$4,7),2)),1,0)</f>
        <v>0</v>
      </c>
      <c r="Y7240" s="6">
        <f>1/COUNTIF(Таблица1[Order ID],Таблица1[[#This Row],[Order ID]])</f>
        <v>1</v>
      </c>
      <c r="Z7240" s="9">
        <f>1/COUNTIFS(Таблица1[Customer Name],Таблица1[[#This Row],[Customer Name]],Таблица1[Order-Year-Month],Таблица1[[#This Row],[Order-Year-Month]])</f>
        <v>1</v>
      </c>
    </row>
    <row r="7241" spans="1:26" x14ac:dyDescent="0.2">
      <c r="A7241" s="6">
        <v>7214</v>
      </c>
      <c r="B7241" s="7">
        <v>51489</v>
      </c>
      <c r="C7241" s="8">
        <f>DATE(2012,12,31)-303</f>
        <v>40971</v>
      </c>
      <c r="D7241" s="8" t="str">
        <f t="shared" si="136"/>
        <v>2012-03 (март 2012)</v>
      </c>
      <c r="E7241" s="9" t="s">
        <v>78</v>
      </c>
      <c r="F7241" s="7">
        <v>42</v>
      </c>
      <c r="G7241" s="7">
        <v>4846.68</v>
      </c>
      <c r="H7241" s="7">
        <v>0.04</v>
      </c>
      <c r="I7241" s="9" t="s">
        <v>22</v>
      </c>
      <c r="J7241" s="10">
        <v>820.94</v>
      </c>
      <c r="K7241" s="11">
        <v>110.98</v>
      </c>
      <c r="L7241" s="11">
        <v>13.99</v>
      </c>
      <c r="M7241" s="9" t="s">
        <v>1529</v>
      </c>
      <c r="N7241" s="6" t="s">
        <v>703</v>
      </c>
      <c r="O7241" s="6" t="s">
        <v>704</v>
      </c>
      <c r="P7241" s="9" t="s">
        <v>41</v>
      </c>
      <c r="Q7241" s="9" t="s">
        <v>49</v>
      </c>
      <c r="R7241" s="9" t="s">
        <v>50</v>
      </c>
      <c r="S7241" s="7" t="s">
        <v>563</v>
      </c>
      <c r="T7241" s="9" t="s">
        <v>48</v>
      </c>
      <c r="U7241" s="7">
        <v>0.69</v>
      </c>
      <c r="V7241" s="12">
        <f>C7241+2</f>
        <v>40973</v>
      </c>
      <c r="W7241">
        <f>IF(D7241=' Pivot Tables'!$A$4,1,0)</f>
        <v>0</v>
      </c>
      <c r="X7241">
        <f>IF(AND(LEFT(D7241,4)+1=LEFT(' Pivot Tables'!$A$4,4)+0,RIGHT(LEFT(D7241,7),2)=RIGHT(LEFT(' Pivot Tables'!$A$4,7),2)),1,0)</f>
        <v>0</v>
      </c>
      <c r="Y7241" s="6">
        <f>1/COUNTIF(Таблица1[Order ID],Таблица1[[#This Row],[Order ID]])</f>
        <v>0.33333333333333331</v>
      </c>
      <c r="Z7241" s="9">
        <f>1/COUNTIFS(Таблица1[Customer Name],Таблица1[[#This Row],[Customer Name]],Таблица1[Order-Year-Month],Таблица1[[#This Row],[Order-Year-Month]])</f>
        <v>0.33333333333333331</v>
      </c>
    </row>
    <row r="7242" spans="1:26" x14ac:dyDescent="0.2">
      <c r="A7242" s="6">
        <v>7215</v>
      </c>
      <c r="B7242" s="7">
        <v>51489</v>
      </c>
      <c r="C7242" s="8">
        <f>DATE(2012,12,31)-303</f>
        <v>40971</v>
      </c>
      <c r="D7242" s="8" t="str">
        <f t="shared" si="136"/>
        <v>2012-03 (март 2012)</v>
      </c>
      <c r="E7242" s="9" t="s">
        <v>78</v>
      </c>
      <c r="F7242" s="7">
        <v>5</v>
      </c>
      <c r="G7242" s="7">
        <v>32.69</v>
      </c>
      <c r="H7242" s="7">
        <v>0</v>
      </c>
      <c r="I7242" s="9" t="s">
        <v>22</v>
      </c>
      <c r="J7242" s="10">
        <v>-24.43</v>
      </c>
      <c r="K7242" s="11">
        <v>4.9800000000000004</v>
      </c>
      <c r="L7242" s="11">
        <v>7.54</v>
      </c>
      <c r="M7242" s="9" t="s">
        <v>1529</v>
      </c>
      <c r="N7242" s="6" t="s">
        <v>703</v>
      </c>
      <c r="O7242" s="6" t="s">
        <v>704</v>
      </c>
      <c r="P7242" s="9" t="s">
        <v>41</v>
      </c>
      <c r="Q7242" s="9" t="s">
        <v>26</v>
      </c>
      <c r="R7242" s="9" t="s">
        <v>61</v>
      </c>
      <c r="S7242" s="7" t="s">
        <v>1554</v>
      </c>
      <c r="T7242" s="9" t="s">
        <v>39</v>
      </c>
      <c r="U7242" s="7">
        <v>0.38</v>
      </c>
      <c r="V7242" s="12">
        <f>C7242+2</f>
        <v>40973</v>
      </c>
      <c r="W7242">
        <f>IF(D7242=' Pivot Tables'!$A$4,1,0)</f>
        <v>0</v>
      </c>
      <c r="X7242">
        <f>IF(AND(LEFT(D7242,4)+1=LEFT(' Pivot Tables'!$A$4,4)+0,RIGHT(LEFT(D7242,7),2)=RIGHT(LEFT(' Pivot Tables'!$A$4,7),2)),1,0)</f>
        <v>0</v>
      </c>
      <c r="Y7242" s="6">
        <f>1/COUNTIF(Таблица1[Order ID],Таблица1[[#This Row],[Order ID]])</f>
        <v>0.33333333333333331</v>
      </c>
      <c r="Z7242" s="9">
        <f>1/COUNTIFS(Таблица1[Customer Name],Таблица1[[#This Row],[Customer Name]],Таблица1[Order-Year-Month],Таблица1[[#This Row],[Order-Year-Month]])</f>
        <v>0.33333333333333331</v>
      </c>
    </row>
    <row r="7243" spans="1:26" x14ac:dyDescent="0.2">
      <c r="A7243" s="6">
        <v>7216</v>
      </c>
      <c r="B7243" s="7">
        <v>51489</v>
      </c>
      <c r="C7243" s="8">
        <f>DATE(2012,12,31)-303</f>
        <v>40971</v>
      </c>
      <c r="D7243" s="8" t="str">
        <f t="shared" si="136"/>
        <v>2012-03 (март 2012)</v>
      </c>
      <c r="E7243" s="9" t="s">
        <v>78</v>
      </c>
      <c r="F7243" s="7">
        <v>22</v>
      </c>
      <c r="G7243" s="7">
        <v>38.880000000000003</v>
      </c>
      <c r="H7243" s="7">
        <v>0.09</v>
      </c>
      <c r="I7243" s="9" t="s">
        <v>22</v>
      </c>
      <c r="J7243" s="10">
        <v>-18.57</v>
      </c>
      <c r="K7243" s="11">
        <v>1.81</v>
      </c>
      <c r="L7243" s="11">
        <v>1.56</v>
      </c>
      <c r="M7243" s="9" t="s">
        <v>1529</v>
      </c>
      <c r="N7243" s="6" t="s">
        <v>703</v>
      </c>
      <c r="O7243" s="6" t="s">
        <v>704</v>
      </c>
      <c r="P7243" s="9" t="s">
        <v>41</v>
      </c>
      <c r="Q7243" s="9" t="s">
        <v>26</v>
      </c>
      <c r="R7243" s="9" t="s">
        <v>66</v>
      </c>
      <c r="S7243" s="7" t="s">
        <v>1070</v>
      </c>
      <c r="T7243" s="9" t="s">
        <v>68</v>
      </c>
      <c r="U7243" s="7">
        <v>0.49</v>
      </c>
      <c r="V7243" s="12">
        <f>C7243+0</f>
        <v>40971</v>
      </c>
      <c r="W7243">
        <f>IF(D7243=' Pivot Tables'!$A$4,1,0)</f>
        <v>0</v>
      </c>
      <c r="X7243">
        <f>IF(AND(LEFT(D7243,4)+1=LEFT(' Pivot Tables'!$A$4,4)+0,RIGHT(LEFT(D7243,7),2)=RIGHT(LEFT(' Pivot Tables'!$A$4,7),2)),1,0)</f>
        <v>0</v>
      </c>
      <c r="Y7243" s="6">
        <f>1/COUNTIF(Таблица1[Order ID],Таблица1[[#This Row],[Order ID]])</f>
        <v>0.33333333333333331</v>
      </c>
      <c r="Z7243" s="9">
        <f>1/COUNTIFS(Таблица1[Customer Name],Таблица1[[#This Row],[Customer Name]],Таблица1[Order-Year-Month],Таблица1[[#This Row],[Order-Year-Month]])</f>
        <v>0.33333333333333331</v>
      </c>
    </row>
    <row r="7244" spans="1:26" x14ac:dyDescent="0.2">
      <c r="A7244" s="6">
        <v>7217</v>
      </c>
      <c r="B7244" s="7">
        <v>51493</v>
      </c>
      <c r="C7244" s="8">
        <f>DATE(2012,12,31)-544</f>
        <v>40730</v>
      </c>
      <c r="D7244" s="8" t="str">
        <f t="shared" si="136"/>
        <v>2011-07 (июль 2011)</v>
      </c>
      <c r="E7244" s="9" t="s">
        <v>21</v>
      </c>
      <c r="F7244" s="7">
        <v>31</v>
      </c>
      <c r="G7244" s="7">
        <v>286.26</v>
      </c>
      <c r="H7244" s="7">
        <v>0.01</v>
      </c>
      <c r="I7244" s="9" t="s">
        <v>22</v>
      </c>
      <c r="J7244" s="10">
        <v>8.34</v>
      </c>
      <c r="K7244" s="11">
        <v>8.56</v>
      </c>
      <c r="L7244" s="11">
        <v>5.16</v>
      </c>
      <c r="M7244" s="9" t="s">
        <v>1094</v>
      </c>
      <c r="N7244" s="6" t="s">
        <v>703</v>
      </c>
      <c r="O7244" s="6" t="s">
        <v>704</v>
      </c>
      <c r="P7244" s="9" t="s">
        <v>41</v>
      </c>
      <c r="Q7244" s="9" t="s">
        <v>26</v>
      </c>
      <c r="R7244" s="9" t="s">
        <v>61</v>
      </c>
      <c r="S7244" s="7" t="s">
        <v>1883</v>
      </c>
      <c r="T7244" s="9" t="s">
        <v>68</v>
      </c>
      <c r="U7244" s="7">
        <v>0.38</v>
      </c>
      <c r="V7244" s="12">
        <f>C7244+2</f>
        <v>40732</v>
      </c>
      <c r="W7244">
        <f>IF(D7244=' Pivot Tables'!$A$4,1,0)</f>
        <v>0</v>
      </c>
      <c r="X7244">
        <f>IF(AND(LEFT(D7244,4)+1=LEFT(' Pivot Tables'!$A$4,4)+0,RIGHT(LEFT(D7244,7),2)=RIGHT(LEFT(' Pivot Tables'!$A$4,7),2)),1,0)</f>
        <v>0</v>
      </c>
      <c r="Y7244" s="6">
        <f>1/COUNTIF(Таблица1[Order ID],Таблица1[[#This Row],[Order ID]])</f>
        <v>1</v>
      </c>
      <c r="Z7244" s="9">
        <f>1/COUNTIFS(Таблица1[Customer Name],Таблица1[[#This Row],[Customer Name]],Таблица1[Order-Year-Month],Таблица1[[#This Row],[Order-Year-Month]])</f>
        <v>1</v>
      </c>
    </row>
    <row r="7245" spans="1:26" x14ac:dyDescent="0.2">
      <c r="A7245" s="6">
        <v>7283</v>
      </c>
      <c r="B7245" s="7">
        <v>51969</v>
      </c>
      <c r="C7245" s="8">
        <f>DATE(2012,12,31)-484</f>
        <v>40790</v>
      </c>
      <c r="D7245" s="8" t="str">
        <f t="shared" si="136"/>
        <v>2011-09 (сентябрь 2011)</v>
      </c>
      <c r="E7245" s="9" t="s">
        <v>30</v>
      </c>
      <c r="F7245" s="7">
        <v>16</v>
      </c>
      <c r="G7245" s="7">
        <v>196.98</v>
      </c>
      <c r="H7245" s="7">
        <v>0.04</v>
      </c>
      <c r="I7245" s="9" t="s">
        <v>22</v>
      </c>
      <c r="J7245" s="10">
        <v>-5.76</v>
      </c>
      <c r="K7245" s="11">
        <v>12.28</v>
      </c>
      <c r="L7245" s="11">
        <v>6.47</v>
      </c>
      <c r="M7245" s="9" t="s">
        <v>1858</v>
      </c>
      <c r="N7245" s="6" t="s">
        <v>703</v>
      </c>
      <c r="O7245" s="6" t="s">
        <v>704</v>
      </c>
      <c r="P7245" s="9" t="s">
        <v>33</v>
      </c>
      <c r="Q7245" s="9" t="s">
        <v>26</v>
      </c>
      <c r="R7245" s="9" t="s">
        <v>61</v>
      </c>
      <c r="S7245" s="7" t="s">
        <v>131</v>
      </c>
      <c r="T7245" s="9" t="s">
        <v>39</v>
      </c>
      <c r="U7245" s="7">
        <v>0.38</v>
      </c>
      <c r="V7245" s="12">
        <f>C7245+0</f>
        <v>40790</v>
      </c>
      <c r="W7245">
        <f>IF(D7245=' Pivot Tables'!$A$4,1,0)</f>
        <v>0</v>
      </c>
      <c r="X7245">
        <f>IF(AND(LEFT(D7245,4)+1=LEFT(' Pivot Tables'!$A$4,4)+0,RIGHT(LEFT(D7245,7),2)=RIGHT(LEFT(' Pivot Tables'!$A$4,7),2)),1,0)</f>
        <v>0</v>
      </c>
      <c r="Y7245" s="6">
        <f>1/COUNTIF(Таблица1[Order ID],Таблица1[[#This Row],[Order ID]])</f>
        <v>0.5</v>
      </c>
      <c r="Z7245" s="9">
        <f>1/COUNTIFS(Таблица1[Customer Name],Таблица1[[#This Row],[Customer Name]],Таблица1[Order-Year-Month],Таблица1[[#This Row],[Order-Year-Month]])</f>
        <v>0.5</v>
      </c>
    </row>
    <row r="7246" spans="1:26" x14ac:dyDescent="0.2">
      <c r="A7246" s="6">
        <v>7284</v>
      </c>
      <c r="B7246" s="7">
        <v>51969</v>
      </c>
      <c r="C7246" s="8">
        <f>DATE(2012,12,31)-484</f>
        <v>40790</v>
      </c>
      <c r="D7246" s="8" t="str">
        <f t="shared" si="136"/>
        <v>2011-09 (сентябрь 2011)</v>
      </c>
      <c r="E7246" s="9" t="s">
        <v>30</v>
      </c>
      <c r="F7246" s="7">
        <v>33</v>
      </c>
      <c r="G7246" s="7">
        <v>1756.6949999999999</v>
      </c>
      <c r="H7246" s="7">
        <v>0.1</v>
      </c>
      <c r="I7246" s="9" t="s">
        <v>22</v>
      </c>
      <c r="J7246" s="10">
        <v>164.97</v>
      </c>
      <c r="K7246" s="11">
        <v>65.989999999999995</v>
      </c>
      <c r="L7246" s="11">
        <v>8.8000000000000007</v>
      </c>
      <c r="M7246" s="9" t="s">
        <v>1858</v>
      </c>
      <c r="N7246" s="6" t="s">
        <v>703</v>
      </c>
      <c r="O7246" s="6" t="s">
        <v>704</v>
      </c>
      <c r="P7246" s="9" t="s">
        <v>33</v>
      </c>
      <c r="Q7246" s="9" t="s">
        <v>42</v>
      </c>
      <c r="R7246" s="9" t="s">
        <v>43</v>
      </c>
      <c r="S7246" s="7" t="s">
        <v>1132</v>
      </c>
      <c r="T7246" s="9" t="s">
        <v>39</v>
      </c>
      <c r="U7246" s="7">
        <v>0.57999999999999996</v>
      </c>
      <c r="V7246" s="12">
        <f>C7246+3</f>
        <v>40793</v>
      </c>
      <c r="W7246">
        <f>IF(D7246=' Pivot Tables'!$A$4,1,0)</f>
        <v>0</v>
      </c>
      <c r="X7246">
        <f>IF(AND(LEFT(D7246,4)+1=LEFT(' Pivot Tables'!$A$4,4)+0,RIGHT(LEFT(D7246,7),2)=RIGHT(LEFT(' Pivot Tables'!$A$4,7),2)),1,0)</f>
        <v>0</v>
      </c>
      <c r="Y7246" s="6">
        <f>1/COUNTIF(Таблица1[Order ID],Таблица1[[#This Row],[Order ID]])</f>
        <v>0.5</v>
      </c>
      <c r="Z7246" s="9">
        <f>1/COUNTIFS(Таблица1[Customer Name],Таблица1[[#This Row],[Customer Name]],Таблица1[Order-Year-Month],Таблица1[[#This Row],[Order-Year-Month]])</f>
        <v>0.5</v>
      </c>
    </row>
    <row r="7247" spans="1:26" x14ac:dyDescent="0.2">
      <c r="A7247" s="6">
        <v>7292</v>
      </c>
      <c r="B7247" s="7">
        <v>52003</v>
      </c>
      <c r="C7247" s="8">
        <f>DATE(2012,12,31)-317</f>
        <v>40957</v>
      </c>
      <c r="D7247" s="8" t="str">
        <f t="shared" si="136"/>
        <v>2012-02 (февраль 2012)</v>
      </c>
      <c r="E7247" s="9" t="s">
        <v>21</v>
      </c>
      <c r="F7247" s="7">
        <v>11</v>
      </c>
      <c r="G7247" s="7">
        <v>1884.2080000000003</v>
      </c>
      <c r="H7247" s="7">
        <v>0.04</v>
      </c>
      <c r="I7247" s="9" t="s">
        <v>31</v>
      </c>
      <c r="J7247" s="10">
        <v>-776.72</v>
      </c>
      <c r="K7247" s="11">
        <v>212.6</v>
      </c>
      <c r="L7247" s="11">
        <v>110.2</v>
      </c>
      <c r="M7247" s="9" t="s">
        <v>2031</v>
      </c>
      <c r="N7247" s="6" t="s">
        <v>703</v>
      </c>
      <c r="O7247" s="6" t="s">
        <v>704</v>
      </c>
      <c r="P7247" s="9" t="s">
        <v>33</v>
      </c>
      <c r="Q7247" s="9" t="s">
        <v>49</v>
      </c>
      <c r="R7247" s="9" t="s">
        <v>83</v>
      </c>
      <c r="S7247" s="7" t="s">
        <v>984</v>
      </c>
      <c r="T7247" s="9" t="s">
        <v>82</v>
      </c>
      <c r="U7247" s="7">
        <v>0.73</v>
      </c>
      <c r="V7247" s="12">
        <f>C7247+7</f>
        <v>40964</v>
      </c>
      <c r="W7247">
        <f>IF(D7247=' Pivot Tables'!$A$4,1,0)</f>
        <v>0</v>
      </c>
      <c r="X7247">
        <f>IF(AND(LEFT(D7247,4)+1=LEFT(' Pivot Tables'!$A$4,4)+0,RIGHT(LEFT(D7247,7),2)=RIGHT(LEFT(' Pivot Tables'!$A$4,7),2)),1,0)</f>
        <v>0</v>
      </c>
      <c r="Y7247" s="6">
        <f>1/COUNTIF(Таблица1[Order ID],Таблица1[[#This Row],[Order ID]])</f>
        <v>0.5</v>
      </c>
      <c r="Z7247" s="9">
        <f>1/COUNTIFS(Таблица1[Customer Name],Таблица1[[#This Row],[Customer Name]],Таблица1[Order-Year-Month],Таблица1[[#This Row],[Order-Year-Month]])</f>
        <v>0.5</v>
      </c>
    </row>
    <row r="7248" spans="1:26" x14ac:dyDescent="0.2">
      <c r="A7248" s="6">
        <v>7293</v>
      </c>
      <c r="B7248" s="7">
        <v>52003</v>
      </c>
      <c r="C7248" s="8">
        <f>DATE(2012,12,31)-317</f>
        <v>40957</v>
      </c>
      <c r="D7248" s="8" t="str">
        <f t="shared" si="136"/>
        <v>2012-02 (февраль 2012)</v>
      </c>
      <c r="E7248" s="9" t="s">
        <v>21</v>
      </c>
      <c r="F7248" s="7">
        <v>2</v>
      </c>
      <c r="G7248" s="7">
        <v>93.338499999999996</v>
      </c>
      <c r="H7248" s="7">
        <v>0.1</v>
      </c>
      <c r="I7248" s="9" t="s">
        <v>22</v>
      </c>
      <c r="J7248" s="10">
        <v>-300.38799999999998</v>
      </c>
      <c r="K7248" s="11">
        <v>55.99</v>
      </c>
      <c r="L7248" s="11">
        <v>5</v>
      </c>
      <c r="M7248" s="9" t="s">
        <v>2031</v>
      </c>
      <c r="N7248" s="6" t="s">
        <v>703</v>
      </c>
      <c r="O7248" s="6" t="s">
        <v>704</v>
      </c>
      <c r="P7248" s="9" t="s">
        <v>33</v>
      </c>
      <c r="Q7248" s="9" t="s">
        <v>42</v>
      </c>
      <c r="R7248" s="9" t="s">
        <v>43</v>
      </c>
      <c r="S7248" s="7" t="s">
        <v>248</v>
      </c>
      <c r="T7248" s="9" t="s">
        <v>52</v>
      </c>
      <c r="U7248" s="7">
        <v>0.83</v>
      </c>
      <c r="V7248" s="12">
        <f>C7248+0</f>
        <v>40957</v>
      </c>
      <c r="W7248">
        <f>IF(D7248=' Pivot Tables'!$A$4,1,0)</f>
        <v>0</v>
      </c>
      <c r="X7248">
        <f>IF(AND(LEFT(D7248,4)+1=LEFT(' Pivot Tables'!$A$4,4)+0,RIGHT(LEFT(D7248,7),2)=RIGHT(LEFT(' Pivot Tables'!$A$4,7),2)),1,0)</f>
        <v>0</v>
      </c>
      <c r="Y7248" s="6">
        <f>1/COUNTIF(Таблица1[Order ID],Таблица1[[#This Row],[Order ID]])</f>
        <v>0.5</v>
      </c>
      <c r="Z7248" s="9">
        <f>1/COUNTIFS(Таблица1[Customer Name],Таблица1[[#This Row],[Customer Name]],Таблица1[Order-Year-Month],Таблица1[[#This Row],[Order-Year-Month]])</f>
        <v>0.5</v>
      </c>
    </row>
    <row r="7249" spans="1:26" x14ac:dyDescent="0.2">
      <c r="A7249" s="6">
        <v>7323</v>
      </c>
      <c r="B7249" s="7">
        <v>52196</v>
      </c>
      <c r="C7249" s="8">
        <f>DATE(2012,12,31)-1066</f>
        <v>40208</v>
      </c>
      <c r="D7249" s="8" t="str">
        <f t="shared" si="136"/>
        <v>2010-01 (январь 2010)</v>
      </c>
      <c r="E7249" s="9" t="s">
        <v>45</v>
      </c>
      <c r="F7249" s="7">
        <v>1</v>
      </c>
      <c r="G7249" s="7">
        <v>3.85</v>
      </c>
      <c r="H7249" s="7">
        <v>0.08</v>
      </c>
      <c r="I7249" s="9" t="s">
        <v>22</v>
      </c>
      <c r="J7249" s="10">
        <v>-1.36</v>
      </c>
      <c r="K7249" s="11">
        <v>3.08</v>
      </c>
      <c r="L7249" s="11">
        <v>0.99</v>
      </c>
      <c r="M7249" s="9" t="s">
        <v>2027</v>
      </c>
      <c r="N7249" s="6" t="s">
        <v>703</v>
      </c>
      <c r="O7249" s="6" t="s">
        <v>704</v>
      </c>
      <c r="P7249" s="9" t="s">
        <v>41</v>
      </c>
      <c r="Q7249" s="9" t="s">
        <v>26</v>
      </c>
      <c r="R7249" s="9" t="s">
        <v>88</v>
      </c>
      <c r="S7249" s="7" t="s">
        <v>368</v>
      </c>
      <c r="T7249" s="9" t="s">
        <v>39</v>
      </c>
      <c r="U7249" s="7">
        <v>0.37</v>
      </c>
      <c r="V7249" s="12">
        <f>C7249+1</f>
        <v>40209</v>
      </c>
      <c r="W7249">
        <f>IF(D7249=' Pivot Tables'!$A$4,1,0)</f>
        <v>1</v>
      </c>
      <c r="X7249">
        <f>IF(AND(LEFT(D7249,4)+1=LEFT(' Pivot Tables'!$A$4,4)+0,RIGHT(LEFT(D7249,7),2)=RIGHT(LEFT(' Pivot Tables'!$A$4,7),2)),1,0)</f>
        <v>0</v>
      </c>
      <c r="Y7249" s="6">
        <f>1/COUNTIF(Таблица1[Order ID],Таблица1[[#This Row],[Order ID]])</f>
        <v>0.5</v>
      </c>
      <c r="Z7249" s="9">
        <f>1/COUNTIFS(Таблица1[Customer Name],Таблица1[[#This Row],[Customer Name]],Таблица1[Order-Year-Month],Таблица1[[#This Row],[Order-Year-Month]])</f>
        <v>0.33333333333333331</v>
      </c>
    </row>
    <row r="7250" spans="1:26" x14ac:dyDescent="0.2">
      <c r="A7250" s="6">
        <v>7324</v>
      </c>
      <c r="B7250" s="7">
        <v>52196</v>
      </c>
      <c r="C7250" s="8">
        <f>DATE(2012,12,31)-1066</f>
        <v>40208</v>
      </c>
      <c r="D7250" s="8" t="str">
        <f t="shared" si="136"/>
        <v>2010-01 (январь 2010)</v>
      </c>
      <c r="E7250" s="9" t="s">
        <v>45</v>
      </c>
      <c r="F7250" s="7">
        <v>10</v>
      </c>
      <c r="G7250" s="7">
        <v>547.00049999999999</v>
      </c>
      <c r="H7250" s="7">
        <v>0.08</v>
      </c>
      <c r="I7250" s="9" t="s">
        <v>22</v>
      </c>
      <c r="J7250" s="10">
        <v>-97.195999999999998</v>
      </c>
      <c r="K7250" s="11">
        <v>65.989999999999995</v>
      </c>
      <c r="L7250" s="11">
        <v>3.9</v>
      </c>
      <c r="M7250" s="9" t="s">
        <v>2027</v>
      </c>
      <c r="N7250" s="6" t="s">
        <v>703</v>
      </c>
      <c r="O7250" s="6" t="s">
        <v>704</v>
      </c>
      <c r="P7250" s="9" t="s">
        <v>41</v>
      </c>
      <c r="Q7250" s="9" t="s">
        <v>42</v>
      </c>
      <c r="R7250" s="9" t="s">
        <v>43</v>
      </c>
      <c r="S7250" s="7" t="s">
        <v>370</v>
      </c>
      <c r="T7250" s="9" t="s">
        <v>39</v>
      </c>
      <c r="U7250" s="7">
        <v>0.55000000000000004</v>
      </c>
      <c r="V7250" s="12">
        <f>C7250+2</f>
        <v>40210</v>
      </c>
      <c r="W7250">
        <f>IF(D7250=' Pivot Tables'!$A$4,1,0)</f>
        <v>1</v>
      </c>
      <c r="X7250">
        <f>IF(AND(LEFT(D7250,4)+1=LEFT(' Pivot Tables'!$A$4,4)+0,RIGHT(LEFT(D7250,7),2)=RIGHT(LEFT(' Pivot Tables'!$A$4,7),2)),1,0)</f>
        <v>0</v>
      </c>
      <c r="Y7250" s="6">
        <f>1/COUNTIF(Таблица1[Order ID],Таблица1[[#This Row],[Order ID]])</f>
        <v>0.5</v>
      </c>
      <c r="Z7250" s="9">
        <f>1/COUNTIFS(Таблица1[Customer Name],Таблица1[[#This Row],[Customer Name]],Таблица1[Order-Year-Month],Таблица1[[#This Row],[Order-Year-Month]])</f>
        <v>0.33333333333333331</v>
      </c>
    </row>
    <row r="7251" spans="1:26" x14ac:dyDescent="0.2">
      <c r="A7251" s="6">
        <v>7340</v>
      </c>
      <c r="B7251" s="7">
        <v>52292</v>
      </c>
      <c r="C7251" s="8">
        <f>DATE(2012,12,31)-820</f>
        <v>40454</v>
      </c>
      <c r="D7251" s="8" t="str">
        <f t="shared" si="136"/>
        <v>2010-10 (октябрь 2010)</v>
      </c>
      <c r="E7251" s="9" t="s">
        <v>45</v>
      </c>
      <c r="F7251" s="7">
        <v>18</v>
      </c>
      <c r="G7251" s="7">
        <v>2379.15</v>
      </c>
      <c r="H7251" s="7">
        <v>0.06</v>
      </c>
      <c r="I7251" s="9" t="s">
        <v>31</v>
      </c>
      <c r="J7251" s="10">
        <v>-261.77</v>
      </c>
      <c r="K7251" s="11">
        <v>130.97999999999999</v>
      </c>
      <c r="L7251" s="11">
        <v>30</v>
      </c>
      <c r="M7251" s="9" t="s">
        <v>1454</v>
      </c>
      <c r="N7251" s="6" t="s">
        <v>703</v>
      </c>
      <c r="O7251" s="6" t="s">
        <v>704</v>
      </c>
      <c r="P7251" s="9" t="s">
        <v>60</v>
      </c>
      <c r="Q7251" s="9" t="s">
        <v>49</v>
      </c>
      <c r="R7251" s="9" t="s">
        <v>112</v>
      </c>
      <c r="S7251" s="7" t="s">
        <v>265</v>
      </c>
      <c r="T7251" s="9" t="s">
        <v>36</v>
      </c>
      <c r="U7251" s="7">
        <v>0.78</v>
      </c>
      <c r="V7251" s="12">
        <f>C7251+1</f>
        <v>40455</v>
      </c>
      <c r="W7251">
        <f>IF(D7251=' Pivot Tables'!$A$4,1,0)</f>
        <v>0</v>
      </c>
      <c r="X7251">
        <f>IF(AND(LEFT(D7251,4)+1=LEFT(' Pivot Tables'!$A$4,4)+0,RIGHT(LEFT(D7251,7),2)=RIGHT(LEFT(' Pivot Tables'!$A$4,7),2)),1,0)</f>
        <v>0</v>
      </c>
      <c r="Y7251" s="6">
        <f>1/COUNTIF(Таблица1[Order ID],Таблица1[[#This Row],[Order ID]])</f>
        <v>1</v>
      </c>
      <c r="Z7251" s="9">
        <f>1/COUNTIFS(Таблица1[Customer Name],Таблица1[[#This Row],[Customer Name]],Таблица1[Order-Year-Month],Таблица1[[#This Row],[Order-Year-Month]])</f>
        <v>1</v>
      </c>
    </row>
    <row r="7252" spans="1:26" x14ac:dyDescent="0.2">
      <c r="A7252" s="6">
        <v>7359</v>
      </c>
      <c r="B7252" s="7">
        <v>52423</v>
      </c>
      <c r="C7252" s="8">
        <f>DATE(2012,12,31)-630</f>
        <v>40644</v>
      </c>
      <c r="D7252" s="8" t="str">
        <f t="shared" si="136"/>
        <v>2011-04 (апрель 2011)</v>
      </c>
      <c r="E7252" s="9" t="s">
        <v>78</v>
      </c>
      <c r="F7252" s="7">
        <v>49</v>
      </c>
      <c r="G7252" s="7">
        <v>1734.4</v>
      </c>
      <c r="H7252" s="7">
        <v>0.02</v>
      </c>
      <c r="I7252" s="9" t="s">
        <v>22</v>
      </c>
      <c r="J7252" s="10">
        <v>749.16</v>
      </c>
      <c r="K7252" s="11">
        <v>35.409999999999997</v>
      </c>
      <c r="L7252" s="11">
        <v>1.99</v>
      </c>
      <c r="M7252" s="9" t="s">
        <v>2006</v>
      </c>
      <c r="N7252" s="6" t="s">
        <v>703</v>
      </c>
      <c r="O7252" s="6" t="s">
        <v>704</v>
      </c>
      <c r="P7252" s="9" t="s">
        <v>60</v>
      </c>
      <c r="Q7252" s="9" t="s">
        <v>42</v>
      </c>
      <c r="R7252" s="9" t="s">
        <v>70</v>
      </c>
      <c r="S7252" s="7" t="s">
        <v>971</v>
      </c>
      <c r="T7252" s="9" t="s">
        <v>52</v>
      </c>
      <c r="U7252" s="7">
        <v>0.43</v>
      </c>
      <c r="V7252" s="12">
        <f>C7252+2</f>
        <v>40646</v>
      </c>
      <c r="W7252">
        <f>IF(D7252=' Pivot Tables'!$A$4,1,0)</f>
        <v>0</v>
      </c>
      <c r="X7252">
        <f>IF(AND(LEFT(D7252,4)+1=LEFT(' Pivot Tables'!$A$4,4)+0,RIGHT(LEFT(D7252,7),2)=RIGHT(LEFT(' Pivot Tables'!$A$4,7),2)),1,0)</f>
        <v>0</v>
      </c>
      <c r="Y7252" s="6">
        <f>1/COUNTIF(Таблица1[Order ID],Таблица1[[#This Row],[Order ID]])</f>
        <v>0.5</v>
      </c>
      <c r="Z7252" s="9">
        <f>1/COUNTIFS(Таблица1[Customer Name],Таблица1[[#This Row],[Customer Name]],Таблица1[Order-Year-Month],Таблица1[[#This Row],[Order-Year-Month]])</f>
        <v>0.33333333333333331</v>
      </c>
    </row>
    <row r="7253" spans="1:26" x14ac:dyDescent="0.2">
      <c r="A7253" s="6">
        <v>7360</v>
      </c>
      <c r="B7253" s="7">
        <v>52423</v>
      </c>
      <c r="C7253" s="8">
        <f>DATE(2012,12,31)-630</f>
        <v>40644</v>
      </c>
      <c r="D7253" s="8" t="str">
        <f t="shared" si="136"/>
        <v>2011-04 (апрель 2011)</v>
      </c>
      <c r="E7253" s="9" t="s">
        <v>78</v>
      </c>
      <c r="F7253" s="7">
        <v>25</v>
      </c>
      <c r="G7253" s="7">
        <v>1128.03</v>
      </c>
      <c r="H7253" s="7">
        <v>0.01</v>
      </c>
      <c r="I7253" s="9" t="s">
        <v>22</v>
      </c>
      <c r="J7253" s="10">
        <v>256.3</v>
      </c>
      <c r="K7253" s="11">
        <v>42.76</v>
      </c>
      <c r="L7253" s="11">
        <v>6.22</v>
      </c>
      <c r="M7253" s="9" t="s">
        <v>2006</v>
      </c>
      <c r="N7253" s="6" t="s">
        <v>703</v>
      </c>
      <c r="O7253" s="6" t="s">
        <v>704</v>
      </c>
      <c r="P7253" s="9" t="s">
        <v>60</v>
      </c>
      <c r="Q7253" s="9" t="s">
        <v>26</v>
      </c>
      <c r="R7253" s="9" t="s">
        <v>27</v>
      </c>
      <c r="S7253" s="7" t="s">
        <v>55</v>
      </c>
      <c r="T7253" s="9" t="s">
        <v>39</v>
      </c>
      <c r="U7253" s="7"/>
      <c r="V7253" s="12">
        <f>C7253+1</f>
        <v>40645</v>
      </c>
      <c r="W7253">
        <f>IF(D7253=' Pivot Tables'!$A$4,1,0)</f>
        <v>0</v>
      </c>
      <c r="X7253">
        <f>IF(AND(LEFT(D7253,4)+1=LEFT(' Pivot Tables'!$A$4,4)+0,RIGHT(LEFT(D7253,7),2)=RIGHT(LEFT(' Pivot Tables'!$A$4,7),2)),1,0)</f>
        <v>0</v>
      </c>
      <c r="Y7253" s="6">
        <f>1/COUNTIF(Таблица1[Order ID],Таблица1[[#This Row],[Order ID]])</f>
        <v>0.5</v>
      </c>
      <c r="Z7253" s="9">
        <f>1/COUNTIFS(Таблица1[Customer Name],Таблица1[[#This Row],[Customer Name]],Таблица1[Order-Year-Month],Таблица1[[#This Row],[Order-Year-Month]])</f>
        <v>0.33333333333333331</v>
      </c>
    </row>
    <row r="7254" spans="1:26" x14ac:dyDescent="0.2">
      <c r="A7254" s="6">
        <v>7361</v>
      </c>
      <c r="B7254" s="7">
        <v>52448</v>
      </c>
      <c r="C7254" s="8">
        <f>DATE(2012,12,31)-843</f>
        <v>40431</v>
      </c>
      <c r="D7254" s="8" t="str">
        <f t="shared" si="136"/>
        <v>2010-09 (сентябрь 2010)</v>
      </c>
      <c r="E7254" s="9" t="s">
        <v>45</v>
      </c>
      <c r="F7254" s="7">
        <v>22</v>
      </c>
      <c r="G7254" s="7">
        <v>6767.43</v>
      </c>
      <c r="H7254" s="7">
        <v>0.05</v>
      </c>
      <c r="I7254" s="9" t="s">
        <v>31</v>
      </c>
      <c r="J7254" s="10">
        <v>803.48</v>
      </c>
      <c r="K7254" s="11">
        <v>320.98</v>
      </c>
      <c r="L7254" s="11">
        <v>58.95</v>
      </c>
      <c r="M7254" s="9" t="s">
        <v>149</v>
      </c>
      <c r="N7254" s="6" t="s">
        <v>703</v>
      </c>
      <c r="O7254" s="6" t="s">
        <v>704</v>
      </c>
      <c r="P7254" s="9" t="s">
        <v>41</v>
      </c>
      <c r="Q7254" s="9" t="s">
        <v>49</v>
      </c>
      <c r="R7254" s="9" t="s">
        <v>112</v>
      </c>
      <c r="S7254" s="7" t="s">
        <v>181</v>
      </c>
      <c r="T7254" s="9" t="s">
        <v>36</v>
      </c>
      <c r="U7254" s="7">
        <v>0.56999999999999995</v>
      </c>
      <c r="V7254" s="12">
        <f>C7254+1</f>
        <v>40432</v>
      </c>
      <c r="W7254">
        <f>IF(D7254=' Pivot Tables'!$A$4,1,0)</f>
        <v>0</v>
      </c>
      <c r="X7254">
        <f>IF(AND(LEFT(D7254,4)+1=LEFT(' Pivot Tables'!$A$4,4)+0,RIGHT(LEFT(D7254,7),2)=RIGHT(LEFT(' Pivot Tables'!$A$4,7),2)),1,0)</f>
        <v>0</v>
      </c>
      <c r="Y7254" s="6">
        <f>1/COUNTIF(Таблица1[Order ID],Таблица1[[#This Row],[Order ID]])</f>
        <v>1</v>
      </c>
      <c r="Z7254" s="9">
        <f>1/COUNTIFS(Таблица1[Customer Name],Таблица1[[#This Row],[Customer Name]],Таблица1[Order-Year-Month],Таблица1[[#This Row],[Order-Year-Month]])</f>
        <v>1</v>
      </c>
    </row>
    <row r="7255" spans="1:26" x14ac:dyDescent="0.2">
      <c r="A7255" s="6">
        <v>7376</v>
      </c>
      <c r="B7255" s="7">
        <v>52580</v>
      </c>
      <c r="C7255" s="8">
        <f>DATE(2012,12,31)-125</f>
        <v>41149</v>
      </c>
      <c r="D7255" s="8" t="str">
        <f t="shared" si="136"/>
        <v>2012-08 (август 2012)</v>
      </c>
      <c r="E7255" s="9" t="s">
        <v>30</v>
      </c>
      <c r="F7255" s="7">
        <v>16</v>
      </c>
      <c r="G7255" s="7">
        <v>367.09</v>
      </c>
      <c r="H7255" s="7">
        <v>0.04</v>
      </c>
      <c r="I7255" s="9" t="s">
        <v>22</v>
      </c>
      <c r="J7255" s="10">
        <v>74.2</v>
      </c>
      <c r="K7255" s="11">
        <v>22.98</v>
      </c>
      <c r="L7255" s="11">
        <v>1.99</v>
      </c>
      <c r="M7255" s="9" t="s">
        <v>1875</v>
      </c>
      <c r="N7255" s="6" t="s">
        <v>703</v>
      </c>
      <c r="O7255" s="6" t="s">
        <v>704</v>
      </c>
      <c r="P7255" s="9" t="s">
        <v>41</v>
      </c>
      <c r="Q7255" s="9" t="s">
        <v>42</v>
      </c>
      <c r="R7255" s="9" t="s">
        <v>70</v>
      </c>
      <c r="S7255" s="7" t="s">
        <v>501</v>
      </c>
      <c r="T7255" s="9" t="s">
        <v>52</v>
      </c>
      <c r="U7255" s="7">
        <v>0.46</v>
      </c>
      <c r="V7255" s="12">
        <f>C7255+2</f>
        <v>41151</v>
      </c>
      <c r="W7255">
        <f>IF(D7255=' Pivot Tables'!$A$4,1,0)</f>
        <v>0</v>
      </c>
      <c r="X7255">
        <f>IF(AND(LEFT(D7255,4)+1=LEFT(' Pivot Tables'!$A$4,4)+0,RIGHT(LEFT(D7255,7),2)=RIGHT(LEFT(' Pivot Tables'!$A$4,7),2)),1,0)</f>
        <v>0</v>
      </c>
      <c r="Y7255" s="6">
        <f>1/COUNTIF(Таблица1[Order ID],Таблица1[[#This Row],[Order ID]])</f>
        <v>0.5</v>
      </c>
      <c r="Z7255" s="9">
        <f>1/COUNTIFS(Таблица1[Customer Name],Таблица1[[#This Row],[Customer Name]],Таблица1[Order-Year-Month],Таблица1[[#This Row],[Order-Year-Month]])</f>
        <v>0.5</v>
      </c>
    </row>
    <row r="7256" spans="1:26" x14ac:dyDescent="0.2">
      <c r="A7256" s="6">
        <v>7377</v>
      </c>
      <c r="B7256" s="7">
        <v>52580</v>
      </c>
      <c r="C7256" s="8">
        <f>DATE(2012,12,31)-125</f>
        <v>41149</v>
      </c>
      <c r="D7256" s="8" t="str">
        <f t="shared" si="136"/>
        <v>2012-08 (август 2012)</v>
      </c>
      <c r="E7256" s="9" t="s">
        <v>30</v>
      </c>
      <c r="F7256" s="7">
        <v>23</v>
      </c>
      <c r="G7256" s="7">
        <v>139.66</v>
      </c>
      <c r="H7256" s="7">
        <v>0.02</v>
      </c>
      <c r="I7256" s="9" t="s">
        <v>22</v>
      </c>
      <c r="J7256" s="10">
        <v>46.69</v>
      </c>
      <c r="K7256" s="11">
        <v>5.68</v>
      </c>
      <c r="L7256" s="11">
        <v>1.39</v>
      </c>
      <c r="M7256" s="9" t="s">
        <v>1875</v>
      </c>
      <c r="N7256" s="6" t="s">
        <v>703</v>
      </c>
      <c r="O7256" s="6" t="s">
        <v>704</v>
      </c>
      <c r="P7256" s="9" t="s">
        <v>41</v>
      </c>
      <c r="Q7256" s="9" t="s">
        <v>26</v>
      </c>
      <c r="R7256" s="9" t="s">
        <v>76</v>
      </c>
      <c r="S7256" s="7" t="s">
        <v>620</v>
      </c>
      <c r="T7256" s="9" t="s">
        <v>39</v>
      </c>
      <c r="U7256" s="7">
        <v>0.38</v>
      </c>
      <c r="V7256" s="12">
        <f>C7256+2</f>
        <v>41151</v>
      </c>
      <c r="W7256">
        <f>IF(D7256=' Pivot Tables'!$A$4,1,0)</f>
        <v>0</v>
      </c>
      <c r="X7256">
        <f>IF(AND(LEFT(D7256,4)+1=LEFT(' Pivot Tables'!$A$4,4)+0,RIGHT(LEFT(D7256,7),2)=RIGHT(LEFT(' Pivot Tables'!$A$4,7),2)),1,0)</f>
        <v>0</v>
      </c>
      <c r="Y7256" s="6">
        <f>1/COUNTIF(Таблица1[Order ID],Таблица1[[#This Row],[Order ID]])</f>
        <v>0.5</v>
      </c>
      <c r="Z7256" s="9">
        <f>1/COUNTIFS(Таблица1[Customer Name],Таблица1[[#This Row],[Customer Name]],Таблица1[Order-Year-Month],Таблица1[[#This Row],[Order-Year-Month]])</f>
        <v>0.5</v>
      </c>
    </row>
    <row r="7257" spans="1:26" x14ac:dyDescent="0.2">
      <c r="A7257" s="6">
        <v>7441</v>
      </c>
      <c r="B7257" s="7">
        <v>53056</v>
      </c>
      <c r="C7257" s="8">
        <f>DATE(2012,12,31)-424</f>
        <v>40850</v>
      </c>
      <c r="D7257" s="8" t="str">
        <f t="shared" si="136"/>
        <v>2011-11 (ноябрь 2011)</v>
      </c>
      <c r="E7257" s="9" t="s">
        <v>78</v>
      </c>
      <c r="F7257" s="7">
        <v>13</v>
      </c>
      <c r="G7257" s="7">
        <v>509.49</v>
      </c>
      <c r="H7257" s="7">
        <v>7.0000000000000007E-2</v>
      </c>
      <c r="I7257" s="9" t="s">
        <v>22</v>
      </c>
      <c r="J7257" s="10">
        <v>-51.182099999999998</v>
      </c>
      <c r="K7257" s="11">
        <v>40.99</v>
      </c>
      <c r="L7257" s="11">
        <v>8.9700000000000006</v>
      </c>
      <c r="M7257" s="9" t="s">
        <v>1094</v>
      </c>
      <c r="N7257" s="6" t="s">
        <v>703</v>
      </c>
      <c r="O7257" s="6" t="s">
        <v>704</v>
      </c>
      <c r="P7257" s="9" t="s">
        <v>41</v>
      </c>
      <c r="Q7257" s="9" t="s">
        <v>42</v>
      </c>
      <c r="R7257" s="9" t="s">
        <v>210</v>
      </c>
      <c r="S7257" s="7" t="s">
        <v>2059</v>
      </c>
      <c r="T7257" s="9" t="s">
        <v>39</v>
      </c>
      <c r="U7257" s="7">
        <v>0.54</v>
      </c>
      <c r="V7257" s="12">
        <f>C7257+1</f>
        <v>40851</v>
      </c>
      <c r="W7257">
        <f>IF(D7257=' Pivot Tables'!$A$4,1,0)</f>
        <v>0</v>
      </c>
      <c r="X7257">
        <f>IF(AND(LEFT(D7257,4)+1=LEFT(' Pivot Tables'!$A$4,4)+0,RIGHT(LEFT(D7257,7),2)=RIGHT(LEFT(' Pivot Tables'!$A$4,7),2)),1,0)</f>
        <v>0</v>
      </c>
      <c r="Y7257" s="6">
        <f>1/COUNTIF(Таблица1[Order ID],Таблица1[[#This Row],[Order ID]])</f>
        <v>1</v>
      </c>
      <c r="Z7257" s="9">
        <f>1/COUNTIFS(Таблица1[Customer Name],Таблица1[[#This Row],[Customer Name]],Таблица1[Order-Year-Month],Таблица1[[#This Row],[Order-Year-Month]])</f>
        <v>1</v>
      </c>
    </row>
    <row r="7258" spans="1:26" x14ac:dyDescent="0.2">
      <c r="A7258" s="6">
        <v>7442</v>
      </c>
      <c r="B7258" s="7">
        <v>53060</v>
      </c>
      <c r="C7258" s="8">
        <f>DATE(2012,12,31)-1015</f>
        <v>40259</v>
      </c>
      <c r="D7258" s="8" t="str">
        <f t="shared" si="136"/>
        <v>2010-03 (март 2010)</v>
      </c>
      <c r="E7258" s="9" t="s">
        <v>78</v>
      </c>
      <c r="F7258" s="7">
        <v>36</v>
      </c>
      <c r="G7258" s="7">
        <v>739.07</v>
      </c>
      <c r="H7258" s="7">
        <v>0.1</v>
      </c>
      <c r="I7258" s="9" t="s">
        <v>22</v>
      </c>
      <c r="J7258" s="10">
        <v>-71.55</v>
      </c>
      <c r="K7258" s="11">
        <v>20.95</v>
      </c>
      <c r="L7258" s="11">
        <v>5.99</v>
      </c>
      <c r="M7258" s="9" t="s">
        <v>1462</v>
      </c>
      <c r="N7258" s="6" t="s">
        <v>703</v>
      </c>
      <c r="O7258" s="6" t="s">
        <v>704</v>
      </c>
      <c r="P7258" s="9" t="s">
        <v>33</v>
      </c>
      <c r="Q7258" s="9" t="s">
        <v>42</v>
      </c>
      <c r="R7258" s="9" t="s">
        <v>70</v>
      </c>
      <c r="S7258" s="7" t="s">
        <v>231</v>
      </c>
      <c r="T7258" s="9" t="s">
        <v>39</v>
      </c>
      <c r="U7258" s="7">
        <v>0.65</v>
      </c>
      <c r="V7258" s="12">
        <f>C7258+2</f>
        <v>40261</v>
      </c>
      <c r="W7258">
        <f>IF(D7258=' Pivot Tables'!$A$4,1,0)</f>
        <v>0</v>
      </c>
      <c r="X7258">
        <f>IF(AND(LEFT(D7258,4)+1=LEFT(' Pivot Tables'!$A$4,4)+0,RIGHT(LEFT(D7258,7),2)=RIGHT(LEFT(' Pivot Tables'!$A$4,7),2)),1,0)</f>
        <v>0</v>
      </c>
      <c r="Y7258" s="6">
        <f>1/COUNTIF(Таблица1[Order ID],Таблица1[[#This Row],[Order ID]])</f>
        <v>0.5</v>
      </c>
      <c r="Z7258" s="9">
        <f>1/COUNTIFS(Таблица1[Customer Name],Таблица1[[#This Row],[Customer Name]],Таблица1[Order-Year-Month],Таблица1[[#This Row],[Order-Year-Month]])</f>
        <v>0.5</v>
      </c>
    </row>
    <row r="7259" spans="1:26" x14ac:dyDescent="0.2">
      <c r="A7259" s="6">
        <v>7443</v>
      </c>
      <c r="B7259" s="7">
        <v>53060</v>
      </c>
      <c r="C7259" s="8">
        <f>DATE(2012,12,31)-1015</f>
        <v>40259</v>
      </c>
      <c r="D7259" s="8" t="str">
        <f t="shared" si="136"/>
        <v>2010-03 (март 2010)</v>
      </c>
      <c r="E7259" s="9" t="s">
        <v>78</v>
      </c>
      <c r="F7259" s="7">
        <v>4</v>
      </c>
      <c r="G7259" s="7">
        <v>38.58</v>
      </c>
      <c r="H7259" s="7">
        <v>0.02</v>
      </c>
      <c r="I7259" s="9" t="s">
        <v>22</v>
      </c>
      <c r="J7259" s="10">
        <v>-2.82</v>
      </c>
      <c r="K7259" s="11">
        <v>9.11</v>
      </c>
      <c r="L7259" s="11">
        <v>2.15</v>
      </c>
      <c r="M7259" s="9" t="s">
        <v>1462</v>
      </c>
      <c r="N7259" s="6" t="s">
        <v>703</v>
      </c>
      <c r="O7259" s="6" t="s">
        <v>704</v>
      </c>
      <c r="P7259" s="9" t="s">
        <v>33</v>
      </c>
      <c r="Q7259" s="9" t="s">
        <v>26</v>
      </c>
      <c r="R7259" s="9" t="s">
        <v>61</v>
      </c>
      <c r="S7259" s="7" t="s">
        <v>1402</v>
      </c>
      <c r="T7259" s="9" t="s">
        <v>68</v>
      </c>
      <c r="U7259" s="7">
        <v>0.4</v>
      </c>
      <c r="V7259" s="12">
        <f>C7259+2</f>
        <v>40261</v>
      </c>
      <c r="W7259">
        <f>IF(D7259=' Pivot Tables'!$A$4,1,0)</f>
        <v>0</v>
      </c>
      <c r="X7259">
        <f>IF(AND(LEFT(D7259,4)+1=LEFT(' Pivot Tables'!$A$4,4)+0,RIGHT(LEFT(D7259,7),2)=RIGHT(LEFT(' Pivot Tables'!$A$4,7),2)),1,0)</f>
        <v>0</v>
      </c>
      <c r="Y7259" s="6">
        <f>1/COUNTIF(Таблица1[Order ID],Таблица1[[#This Row],[Order ID]])</f>
        <v>0.5</v>
      </c>
      <c r="Z7259" s="9">
        <f>1/COUNTIFS(Таблица1[Customer Name],Таблица1[[#This Row],[Customer Name]],Таблица1[Order-Year-Month],Таблица1[[#This Row],[Order-Year-Month]])</f>
        <v>0.5</v>
      </c>
    </row>
    <row r="7260" spans="1:26" x14ac:dyDescent="0.2">
      <c r="A7260" s="6">
        <v>7465</v>
      </c>
      <c r="B7260" s="7">
        <v>53283</v>
      </c>
      <c r="C7260" s="8">
        <f>DATE(2012,12,31)-430</f>
        <v>40844</v>
      </c>
      <c r="D7260" s="8" t="str">
        <f t="shared" si="136"/>
        <v>2011-10 (октябрь 2011)</v>
      </c>
      <c r="E7260" s="9" t="s">
        <v>30</v>
      </c>
      <c r="F7260" s="7">
        <v>2</v>
      </c>
      <c r="G7260" s="7">
        <v>25.07</v>
      </c>
      <c r="H7260" s="7">
        <v>0.04</v>
      </c>
      <c r="I7260" s="9" t="s">
        <v>22</v>
      </c>
      <c r="J7260" s="10">
        <v>-27.674699999999998</v>
      </c>
      <c r="K7260" s="11">
        <v>9.49</v>
      </c>
      <c r="L7260" s="11">
        <v>5.76</v>
      </c>
      <c r="M7260" s="9" t="s">
        <v>1651</v>
      </c>
      <c r="N7260" s="6" t="s">
        <v>703</v>
      </c>
      <c r="O7260" s="6" t="s">
        <v>704</v>
      </c>
      <c r="P7260" s="9" t="s">
        <v>60</v>
      </c>
      <c r="Q7260" s="9" t="s">
        <v>42</v>
      </c>
      <c r="R7260" s="9" t="s">
        <v>210</v>
      </c>
      <c r="S7260" s="7" t="s">
        <v>659</v>
      </c>
      <c r="T7260" s="9" t="s">
        <v>48</v>
      </c>
      <c r="U7260" s="7">
        <v>0.39</v>
      </c>
      <c r="V7260" s="12">
        <f>C7260+1</f>
        <v>40845</v>
      </c>
      <c r="W7260">
        <f>IF(D7260=' Pivot Tables'!$A$4,1,0)</f>
        <v>0</v>
      </c>
      <c r="X7260">
        <f>IF(AND(LEFT(D7260,4)+1=LEFT(' Pivot Tables'!$A$4,4)+0,RIGHT(LEFT(D7260,7),2)=RIGHT(LEFT(' Pivot Tables'!$A$4,7),2)),1,0)</f>
        <v>0</v>
      </c>
      <c r="Y7260" s="6">
        <f>1/COUNTIF(Таблица1[Order ID],Таблица1[[#This Row],[Order ID]])</f>
        <v>1</v>
      </c>
      <c r="Z7260" s="9">
        <f>1/COUNTIFS(Таблица1[Customer Name],Таблица1[[#This Row],[Customer Name]],Таблица1[Order-Year-Month],Таблица1[[#This Row],[Order-Year-Month]])</f>
        <v>1</v>
      </c>
    </row>
    <row r="7261" spans="1:26" x14ac:dyDescent="0.2">
      <c r="A7261" s="6">
        <v>7471</v>
      </c>
      <c r="B7261" s="7">
        <v>53344</v>
      </c>
      <c r="C7261" s="8">
        <f>DATE(2012,12,31)-1041</f>
        <v>40233</v>
      </c>
      <c r="D7261" s="8" t="str">
        <f t="shared" si="136"/>
        <v>2010-02 (февраль 2010)</v>
      </c>
      <c r="E7261" s="9" t="s">
        <v>30</v>
      </c>
      <c r="F7261" s="7">
        <v>36</v>
      </c>
      <c r="G7261" s="7">
        <v>181.95</v>
      </c>
      <c r="H7261" s="7">
        <v>0.03</v>
      </c>
      <c r="I7261" s="9" t="s">
        <v>22</v>
      </c>
      <c r="J7261" s="10">
        <v>-132.26150000000001</v>
      </c>
      <c r="K7261" s="11">
        <v>4.8899999999999997</v>
      </c>
      <c r="L7261" s="11">
        <v>6.07</v>
      </c>
      <c r="M7261" s="9" t="s">
        <v>1472</v>
      </c>
      <c r="N7261" s="6" t="s">
        <v>703</v>
      </c>
      <c r="O7261" s="6" t="s">
        <v>704</v>
      </c>
      <c r="P7261" s="9" t="s">
        <v>25</v>
      </c>
      <c r="Q7261" s="9" t="s">
        <v>26</v>
      </c>
      <c r="R7261" s="9" t="s">
        <v>37</v>
      </c>
      <c r="S7261" s="7" t="s">
        <v>2060</v>
      </c>
      <c r="T7261" s="9" t="s">
        <v>39</v>
      </c>
      <c r="U7261" s="7">
        <v>0.39</v>
      </c>
      <c r="V7261" s="12">
        <f>C7261+2</f>
        <v>40235</v>
      </c>
      <c r="W7261">
        <f>IF(D7261=' Pivot Tables'!$A$4,1,0)</f>
        <v>0</v>
      </c>
      <c r="X7261">
        <f>IF(AND(LEFT(D7261,4)+1=LEFT(' Pivot Tables'!$A$4,4)+0,RIGHT(LEFT(D7261,7),2)=RIGHT(LEFT(' Pivot Tables'!$A$4,7),2)),1,0)</f>
        <v>0</v>
      </c>
      <c r="Y7261" s="6">
        <f>1/COUNTIF(Таблица1[Order ID],Таблица1[[#This Row],[Order ID]])</f>
        <v>1</v>
      </c>
      <c r="Z7261" s="9">
        <f>1/COUNTIFS(Таблица1[Customer Name],Таблица1[[#This Row],[Customer Name]],Таблица1[Order-Year-Month],Таблица1[[#This Row],[Order-Year-Month]])</f>
        <v>1</v>
      </c>
    </row>
    <row r="7262" spans="1:26" x14ac:dyDescent="0.2">
      <c r="A7262" s="6">
        <v>7477</v>
      </c>
      <c r="B7262" s="7">
        <v>53381</v>
      </c>
      <c r="C7262" s="8">
        <f>DATE(2012,12,31)-827</f>
        <v>40447</v>
      </c>
      <c r="D7262" s="8" t="str">
        <f t="shared" si="136"/>
        <v>2010-09 (сентябрь 2010)</v>
      </c>
      <c r="E7262" s="9" t="s">
        <v>78</v>
      </c>
      <c r="F7262" s="7">
        <v>26</v>
      </c>
      <c r="G7262" s="7">
        <v>287.43</v>
      </c>
      <c r="H7262" s="7">
        <v>0.01</v>
      </c>
      <c r="I7262" s="9" t="s">
        <v>22</v>
      </c>
      <c r="J7262" s="10">
        <v>37.9</v>
      </c>
      <c r="K7262" s="11">
        <v>10.98</v>
      </c>
      <c r="L7262" s="11">
        <v>4.8</v>
      </c>
      <c r="M7262" s="9" t="s">
        <v>2048</v>
      </c>
      <c r="N7262" s="6" t="s">
        <v>703</v>
      </c>
      <c r="O7262" s="6" t="s">
        <v>704</v>
      </c>
      <c r="P7262" s="9" t="s">
        <v>41</v>
      </c>
      <c r="Q7262" s="9" t="s">
        <v>26</v>
      </c>
      <c r="R7262" s="9" t="s">
        <v>76</v>
      </c>
      <c r="S7262" s="7" t="s">
        <v>546</v>
      </c>
      <c r="T7262" s="9" t="s">
        <v>39</v>
      </c>
      <c r="U7262" s="7">
        <v>0.36</v>
      </c>
      <c r="V7262" s="12">
        <f>C7262+1</f>
        <v>40448</v>
      </c>
      <c r="W7262">
        <f>IF(D7262=' Pivot Tables'!$A$4,1,0)</f>
        <v>0</v>
      </c>
      <c r="X7262">
        <f>IF(AND(LEFT(D7262,4)+1=LEFT(' Pivot Tables'!$A$4,4)+0,RIGHT(LEFT(D7262,7),2)=RIGHT(LEFT(' Pivot Tables'!$A$4,7),2)),1,0)</f>
        <v>0</v>
      </c>
      <c r="Y7262" s="6">
        <f>1/COUNTIF(Таблица1[Order ID],Таблица1[[#This Row],[Order ID]])</f>
        <v>1</v>
      </c>
      <c r="Z7262" s="9">
        <f>1/COUNTIFS(Таблица1[Customer Name],Таблица1[[#This Row],[Customer Name]],Таблица1[Order-Year-Month],Таблица1[[#This Row],[Order-Year-Month]])</f>
        <v>1</v>
      </c>
    </row>
    <row r="7263" spans="1:26" x14ac:dyDescent="0.2">
      <c r="A7263" s="6">
        <v>7505</v>
      </c>
      <c r="B7263" s="7">
        <v>53571</v>
      </c>
      <c r="C7263" s="8">
        <f>DATE(2012,12,31)-291</f>
        <v>40983</v>
      </c>
      <c r="D7263" s="8" t="str">
        <f t="shared" si="136"/>
        <v>2012-03 (март 2012)</v>
      </c>
      <c r="E7263" s="9" t="s">
        <v>45</v>
      </c>
      <c r="F7263" s="7">
        <v>21</v>
      </c>
      <c r="G7263" s="7">
        <v>238.06</v>
      </c>
      <c r="H7263" s="7">
        <v>0.05</v>
      </c>
      <c r="I7263" s="9" t="s">
        <v>22</v>
      </c>
      <c r="J7263" s="10">
        <v>56.4315</v>
      </c>
      <c r="K7263" s="11">
        <v>10.91</v>
      </c>
      <c r="L7263" s="11">
        <v>2.99</v>
      </c>
      <c r="M7263" s="9" t="s">
        <v>1475</v>
      </c>
      <c r="N7263" s="6" t="s">
        <v>703</v>
      </c>
      <c r="O7263" s="6" t="s">
        <v>704</v>
      </c>
      <c r="P7263" s="9" t="s">
        <v>25</v>
      </c>
      <c r="Q7263" s="9" t="s">
        <v>26</v>
      </c>
      <c r="R7263" s="9" t="s">
        <v>37</v>
      </c>
      <c r="S7263" s="7" t="s">
        <v>357</v>
      </c>
      <c r="T7263" s="9" t="s">
        <v>39</v>
      </c>
      <c r="U7263" s="7">
        <v>0.38</v>
      </c>
      <c r="V7263" s="12">
        <f>C7263+2</f>
        <v>40985</v>
      </c>
      <c r="W7263">
        <f>IF(D7263=' Pivot Tables'!$A$4,1,0)</f>
        <v>0</v>
      </c>
      <c r="X7263">
        <f>IF(AND(LEFT(D7263,4)+1=LEFT(' Pivot Tables'!$A$4,4)+0,RIGHT(LEFT(D7263,7),2)=RIGHT(LEFT(' Pivot Tables'!$A$4,7),2)),1,0)</f>
        <v>0</v>
      </c>
      <c r="Y7263" s="6">
        <f>1/COUNTIF(Таблица1[Order ID],Таблица1[[#This Row],[Order ID]])</f>
        <v>1</v>
      </c>
      <c r="Z7263" s="9">
        <f>1/COUNTIFS(Таблица1[Customer Name],Таблица1[[#This Row],[Customer Name]],Таблица1[Order-Year-Month],Таблица1[[#This Row],[Order-Year-Month]])</f>
        <v>1</v>
      </c>
    </row>
    <row r="7264" spans="1:26" x14ac:dyDescent="0.2">
      <c r="A7264" s="6">
        <v>7513</v>
      </c>
      <c r="B7264" s="7">
        <v>53635</v>
      </c>
      <c r="C7264" s="8">
        <f>DATE(2012,12,31)-166</f>
        <v>41108</v>
      </c>
      <c r="D7264" s="8" t="str">
        <f t="shared" si="136"/>
        <v>2012-07 (июль 2012)</v>
      </c>
      <c r="E7264" s="9" t="s">
        <v>45</v>
      </c>
      <c r="F7264" s="7">
        <v>33</v>
      </c>
      <c r="G7264" s="7">
        <v>103.92</v>
      </c>
      <c r="H7264" s="7">
        <v>0.08</v>
      </c>
      <c r="I7264" s="9" t="s">
        <v>22</v>
      </c>
      <c r="J7264" s="10">
        <v>-52.76</v>
      </c>
      <c r="K7264" s="11">
        <v>3.14</v>
      </c>
      <c r="L7264" s="11">
        <v>1.92</v>
      </c>
      <c r="M7264" s="9" t="s">
        <v>1458</v>
      </c>
      <c r="N7264" s="6" t="s">
        <v>703</v>
      </c>
      <c r="O7264" s="6" t="s">
        <v>704</v>
      </c>
      <c r="P7264" s="9" t="s">
        <v>25</v>
      </c>
      <c r="Q7264" s="9" t="s">
        <v>26</v>
      </c>
      <c r="R7264" s="9" t="s">
        <v>150</v>
      </c>
      <c r="S7264" s="7" t="s">
        <v>699</v>
      </c>
      <c r="T7264" s="9" t="s">
        <v>68</v>
      </c>
      <c r="U7264" s="7">
        <v>0.84</v>
      </c>
      <c r="V7264" s="12">
        <f>C7264+2</f>
        <v>41110</v>
      </c>
      <c r="W7264">
        <f>IF(D7264=' Pivot Tables'!$A$4,1,0)</f>
        <v>0</v>
      </c>
      <c r="X7264">
        <f>IF(AND(LEFT(D7264,4)+1=LEFT(' Pivot Tables'!$A$4,4)+0,RIGHT(LEFT(D7264,7),2)=RIGHT(LEFT(' Pivot Tables'!$A$4,7),2)),1,0)</f>
        <v>0</v>
      </c>
      <c r="Y7264" s="6">
        <f>1/COUNTIF(Таблица1[Order ID],Таблица1[[#This Row],[Order ID]])</f>
        <v>1</v>
      </c>
      <c r="Z7264" s="9">
        <f>1/COUNTIFS(Таблица1[Customer Name],Таблица1[[#This Row],[Customer Name]],Таблица1[Order-Year-Month],Таблица1[[#This Row],[Order-Year-Month]])</f>
        <v>0.5</v>
      </c>
    </row>
    <row r="7265" spans="1:26" x14ac:dyDescent="0.2">
      <c r="A7265" s="6">
        <v>7525</v>
      </c>
      <c r="B7265" s="7">
        <v>53762</v>
      </c>
      <c r="C7265" s="8">
        <f>DATE(2012,12,31)-213</f>
        <v>41061</v>
      </c>
      <c r="D7265" s="8" t="str">
        <f t="shared" si="136"/>
        <v>2012-06 (июнь 2012)</v>
      </c>
      <c r="E7265" s="9" t="s">
        <v>78</v>
      </c>
      <c r="F7265" s="7">
        <v>28</v>
      </c>
      <c r="G7265" s="7">
        <v>136.16</v>
      </c>
      <c r="H7265" s="7">
        <v>7.0000000000000007E-2</v>
      </c>
      <c r="I7265" s="9" t="s">
        <v>22</v>
      </c>
      <c r="J7265" s="10">
        <v>58.1</v>
      </c>
      <c r="K7265" s="11">
        <v>4.9800000000000004</v>
      </c>
      <c r="L7265" s="11">
        <v>0.49</v>
      </c>
      <c r="M7265" s="9" t="s">
        <v>1025</v>
      </c>
      <c r="N7265" s="6" t="s">
        <v>703</v>
      </c>
      <c r="O7265" s="6" t="s">
        <v>704</v>
      </c>
      <c r="P7265" s="9" t="s">
        <v>33</v>
      </c>
      <c r="Q7265" s="9" t="s">
        <v>26</v>
      </c>
      <c r="R7265" s="9" t="s">
        <v>88</v>
      </c>
      <c r="S7265" s="7" t="s">
        <v>836</v>
      </c>
      <c r="T7265" s="9" t="s">
        <v>39</v>
      </c>
      <c r="U7265" s="7">
        <v>0.39</v>
      </c>
      <c r="V7265" s="12">
        <f>C7265+1</f>
        <v>41062</v>
      </c>
      <c r="W7265">
        <f>IF(D7265=' Pivot Tables'!$A$4,1,0)</f>
        <v>0</v>
      </c>
      <c r="X7265">
        <f>IF(AND(LEFT(D7265,4)+1=LEFT(' Pivot Tables'!$A$4,4)+0,RIGHT(LEFT(D7265,7),2)=RIGHT(LEFT(' Pivot Tables'!$A$4,7),2)),1,0)</f>
        <v>0</v>
      </c>
      <c r="Y7265" s="6">
        <f>1/COUNTIF(Таблица1[Order ID],Таблица1[[#This Row],[Order ID]])</f>
        <v>1</v>
      </c>
      <c r="Z7265" s="9">
        <f>1/COUNTIFS(Таблица1[Customer Name],Таблица1[[#This Row],[Customer Name]],Таблица1[Order-Year-Month],Таблица1[[#This Row],[Order-Year-Month]])</f>
        <v>1</v>
      </c>
    </row>
    <row r="7266" spans="1:26" x14ac:dyDescent="0.2">
      <c r="A7266" s="6">
        <v>7561</v>
      </c>
      <c r="B7266" s="7">
        <v>54086</v>
      </c>
      <c r="C7266" s="8">
        <f>DATE(2012,12,31)-116</f>
        <v>41158</v>
      </c>
      <c r="D7266" s="8" t="str">
        <f t="shared" si="136"/>
        <v>2012-09 (сентябрь 2012)</v>
      </c>
      <c r="E7266" s="9" t="s">
        <v>21</v>
      </c>
      <c r="F7266" s="7">
        <v>23</v>
      </c>
      <c r="G7266" s="7">
        <v>5062.18</v>
      </c>
      <c r="H7266" s="7">
        <v>0.06</v>
      </c>
      <c r="I7266" s="9" t="s">
        <v>31</v>
      </c>
      <c r="J7266" s="10">
        <v>842.83</v>
      </c>
      <c r="K7266" s="11">
        <v>270.97000000000003</v>
      </c>
      <c r="L7266" s="11">
        <v>28.06</v>
      </c>
      <c r="M7266" s="9" t="s">
        <v>2029</v>
      </c>
      <c r="N7266" s="6" t="s">
        <v>703</v>
      </c>
      <c r="O7266" s="6" t="s">
        <v>704</v>
      </c>
      <c r="P7266" s="9" t="s">
        <v>25</v>
      </c>
      <c r="Q7266" s="9" t="s">
        <v>42</v>
      </c>
      <c r="R7266" s="9" t="s">
        <v>210</v>
      </c>
      <c r="S7266" s="7" t="s">
        <v>364</v>
      </c>
      <c r="T7266" s="9" t="s">
        <v>36</v>
      </c>
      <c r="U7266" s="7">
        <v>0.56000000000000005</v>
      </c>
      <c r="V7266" s="12">
        <f t="shared" ref="V7266:V7271" si="137">C7266+2</f>
        <v>41160</v>
      </c>
      <c r="W7266">
        <f>IF(D7266=' Pivot Tables'!$A$4,1,0)</f>
        <v>0</v>
      </c>
      <c r="X7266">
        <f>IF(AND(LEFT(D7266,4)+1=LEFT(' Pivot Tables'!$A$4,4)+0,RIGHT(LEFT(D7266,7),2)=RIGHT(LEFT(' Pivot Tables'!$A$4,7),2)),1,0)</f>
        <v>0</v>
      </c>
      <c r="Y7266" s="6">
        <f>1/COUNTIF(Таблица1[Order ID],Таблица1[[#This Row],[Order ID]])</f>
        <v>1</v>
      </c>
      <c r="Z7266" s="9">
        <f>1/COUNTIFS(Таблица1[Customer Name],Таблица1[[#This Row],[Customer Name]],Таблица1[Order-Year-Month],Таблица1[[#This Row],[Order-Year-Month]])</f>
        <v>1</v>
      </c>
    </row>
    <row r="7267" spans="1:26" x14ac:dyDescent="0.2">
      <c r="A7267" s="6">
        <v>7575</v>
      </c>
      <c r="B7267" s="7">
        <v>54180</v>
      </c>
      <c r="C7267" s="8">
        <f>DATE(2012,12,31)-70</f>
        <v>41204</v>
      </c>
      <c r="D7267" s="8" t="str">
        <f t="shared" si="136"/>
        <v>2012-10 (октябрь 2012)</v>
      </c>
      <c r="E7267" s="9" t="s">
        <v>78</v>
      </c>
      <c r="F7267" s="7">
        <v>43</v>
      </c>
      <c r="G7267" s="7">
        <v>913.99</v>
      </c>
      <c r="H7267" s="7">
        <v>0.08</v>
      </c>
      <c r="I7267" s="9" t="s">
        <v>22</v>
      </c>
      <c r="J7267" s="10">
        <v>-57.75</v>
      </c>
      <c r="K7267" s="11">
        <v>21.38</v>
      </c>
      <c r="L7267" s="11">
        <v>8.99</v>
      </c>
      <c r="M7267" s="9" t="s">
        <v>2046</v>
      </c>
      <c r="N7267" s="6" t="s">
        <v>703</v>
      </c>
      <c r="O7267" s="6" t="s">
        <v>704</v>
      </c>
      <c r="P7267" s="9" t="s">
        <v>33</v>
      </c>
      <c r="Q7267" s="9" t="s">
        <v>26</v>
      </c>
      <c r="R7267" s="9" t="s">
        <v>95</v>
      </c>
      <c r="S7267" s="7" t="s">
        <v>436</v>
      </c>
      <c r="T7267" s="9" t="s">
        <v>52</v>
      </c>
      <c r="U7267" s="7">
        <v>0.59</v>
      </c>
      <c r="V7267" s="12">
        <f t="shared" si="137"/>
        <v>41206</v>
      </c>
      <c r="W7267">
        <f>IF(D7267=' Pivot Tables'!$A$4,1,0)</f>
        <v>0</v>
      </c>
      <c r="X7267">
        <f>IF(AND(LEFT(D7267,4)+1=LEFT(' Pivot Tables'!$A$4,4)+0,RIGHT(LEFT(D7267,7),2)=RIGHT(LEFT(' Pivot Tables'!$A$4,7),2)),1,0)</f>
        <v>0</v>
      </c>
      <c r="Y7267" s="6">
        <f>1/COUNTIF(Таблица1[Order ID],Таблица1[[#This Row],[Order ID]])</f>
        <v>1</v>
      </c>
      <c r="Z7267" s="9">
        <f>1/COUNTIFS(Таблица1[Customer Name],Таблица1[[#This Row],[Customer Name]],Таблица1[Order-Year-Month],Таблица1[[#This Row],[Order-Year-Month]])</f>
        <v>1</v>
      </c>
    </row>
    <row r="7268" spans="1:26" x14ac:dyDescent="0.2">
      <c r="A7268" s="6">
        <v>7581</v>
      </c>
      <c r="B7268" s="7">
        <v>54215</v>
      </c>
      <c r="C7268" s="8">
        <f>DATE(2012,12,31)-437</f>
        <v>40837</v>
      </c>
      <c r="D7268" s="8" t="str">
        <f t="shared" si="136"/>
        <v>2011-10 (октябрь 2011)</v>
      </c>
      <c r="E7268" s="9" t="s">
        <v>30</v>
      </c>
      <c r="F7268" s="7">
        <v>14</v>
      </c>
      <c r="G7268" s="7">
        <v>321.20999999999998</v>
      </c>
      <c r="H7268" s="7">
        <v>0.04</v>
      </c>
      <c r="I7268" s="9" t="s">
        <v>22</v>
      </c>
      <c r="J7268" s="10">
        <v>53.44</v>
      </c>
      <c r="K7268" s="11">
        <v>22.98</v>
      </c>
      <c r="L7268" s="11">
        <v>1.99</v>
      </c>
      <c r="M7268" s="9" t="s">
        <v>2029</v>
      </c>
      <c r="N7268" s="6" t="s">
        <v>703</v>
      </c>
      <c r="O7268" s="6" t="s">
        <v>704</v>
      </c>
      <c r="P7268" s="9" t="s">
        <v>25</v>
      </c>
      <c r="Q7268" s="9" t="s">
        <v>42</v>
      </c>
      <c r="R7268" s="9" t="s">
        <v>70</v>
      </c>
      <c r="S7268" s="7" t="s">
        <v>501</v>
      </c>
      <c r="T7268" s="9" t="s">
        <v>52</v>
      </c>
      <c r="U7268" s="7">
        <v>0.46</v>
      </c>
      <c r="V7268" s="12">
        <f t="shared" si="137"/>
        <v>40839</v>
      </c>
      <c r="W7268">
        <f>IF(D7268=' Pivot Tables'!$A$4,1,0)</f>
        <v>0</v>
      </c>
      <c r="X7268">
        <f>IF(AND(LEFT(D7268,4)+1=LEFT(' Pivot Tables'!$A$4,4)+0,RIGHT(LEFT(D7268,7),2)=RIGHT(LEFT(' Pivot Tables'!$A$4,7),2)),1,0)</f>
        <v>0</v>
      </c>
      <c r="Y7268" s="6">
        <f>1/COUNTIF(Таблица1[Order ID],Таблица1[[#This Row],[Order ID]])</f>
        <v>1</v>
      </c>
      <c r="Z7268" s="9">
        <f>1/COUNTIFS(Таблица1[Customer Name],Таблица1[[#This Row],[Customer Name]],Таблица1[Order-Year-Month],Таблица1[[#This Row],[Order-Year-Month]])</f>
        <v>1</v>
      </c>
    </row>
    <row r="7269" spans="1:26" x14ac:dyDescent="0.2">
      <c r="A7269" s="6">
        <v>7591</v>
      </c>
      <c r="B7269" s="7">
        <v>54336</v>
      </c>
      <c r="C7269" s="8">
        <f>DATE(2012,12,31)-991</f>
        <v>40283</v>
      </c>
      <c r="D7269" s="8" t="str">
        <f t="shared" si="136"/>
        <v>2010-04 (апрель 2010)</v>
      </c>
      <c r="E7269" s="9" t="s">
        <v>63</v>
      </c>
      <c r="F7269" s="7">
        <v>50</v>
      </c>
      <c r="G7269" s="7">
        <v>952.21</v>
      </c>
      <c r="H7269" s="7">
        <v>0.05</v>
      </c>
      <c r="I7269" s="9" t="s">
        <v>22</v>
      </c>
      <c r="J7269" s="10">
        <v>403.83</v>
      </c>
      <c r="K7269" s="11">
        <v>18.84</v>
      </c>
      <c r="L7269" s="11">
        <v>3.62</v>
      </c>
      <c r="M7269" s="9" t="s">
        <v>1802</v>
      </c>
      <c r="N7269" s="6" t="s">
        <v>703</v>
      </c>
      <c r="O7269" s="6" t="s">
        <v>704</v>
      </c>
      <c r="P7269" s="9" t="s">
        <v>41</v>
      </c>
      <c r="Q7269" s="9" t="s">
        <v>49</v>
      </c>
      <c r="R7269" s="9" t="s">
        <v>50</v>
      </c>
      <c r="S7269" s="7" t="s">
        <v>992</v>
      </c>
      <c r="T7269" s="9" t="s">
        <v>68</v>
      </c>
      <c r="U7269" s="7">
        <v>0.43</v>
      </c>
      <c r="V7269" s="12">
        <f t="shared" si="137"/>
        <v>40285</v>
      </c>
      <c r="W7269">
        <f>IF(D7269=' Pivot Tables'!$A$4,1,0)</f>
        <v>0</v>
      </c>
      <c r="X7269">
        <f>IF(AND(LEFT(D7269,4)+1=LEFT(' Pivot Tables'!$A$4,4)+0,RIGHT(LEFT(D7269,7),2)=RIGHT(LEFT(' Pivot Tables'!$A$4,7),2)),1,0)</f>
        <v>0</v>
      </c>
      <c r="Y7269" s="6">
        <f>1/COUNTIF(Таблица1[Order ID],Таблица1[[#This Row],[Order ID]])</f>
        <v>1</v>
      </c>
      <c r="Z7269" s="9">
        <f>1/COUNTIFS(Таблица1[Customer Name],Таблица1[[#This Row],[Customer Name]],Таблица1[Order-Year-Month],Таблица1[[#This Row],[Order-Year-Month]])</f>
        <v>1</v>
      </c>
    </row>
    <row r="7270" spans="1:26" x14ac:dyDescent="0.2">
      <c r="A7270" s="6">
        <v>7610</v>
      </c>
      <c r="B7270" s="7">
        <v>54467</v>
      </c>
      <c r="C7270" s="8">
        <f>DATE(2012,12,31)-805</f>
        <v>40469</v>
      </c>
      <c r="D7270" s="8" t="str">
        <f t="shared" si="136"/>
        <v>2010-10 (октябрь 2010)</v>
      </c>
      <c r="E7270" s="9" t="s">
        <v>21</v>
      </c>
      <c r="F7270" s="7">
        <v>37</v>
      </c>
      <c r="G7270" s="7">
        <v>436.67</v>
      </c>
      <c r="H7270" s="7">
        <v>0.06</v>
      </c>
      <c r="I7270" s="9" t="s">
        <v>22</v>
      </c>
      <c r="J7270" s="10">
        <v>51.91</v>
      </c>
      <c r="K7270" s="11">
        <v>11.58</v>
      </c>
      <c r="L7270" s="11">
        <v>5.72</v>
      </c>
      <c r="M7270" s="9" t="s">
        <v>1546</v>
      </c>
      <c r="N7270" s="6" t="s">
        <v>703</v>
      </c>
      <c r="O7270" s="6" t="s">
        <v>704</v>
      </c>
      <c r="P7270" s="9" t="s">
        <v>25</v>
      </c>
      <c r="Q7270" s="9" t="s">
        <v>26</v>
      </c>
      <c r="R7270" s="9" t="s">
        <v>76</v>
      </c>
      <c r="S7270" s="7" t="s">
        <v>304</v>
      </c>
      <c r="T7270" s="9" t="s">
        <v>39</v>
      </c>
      <c r="U7270" s="7">
        <v>0.35</v>
      </c>
      <c r="V7270" s="12">
        <f t="shared" si="137"/>
        <v>40471</v>
      </c>
      <c r="W7270">
        <f>IF(D7270=' Pivot Tables'!$A$4,1,0)</f>
        <v>0</v>
      </c>
      <c r="X7270">
        <f>IF(AND(LEFT(D7270,4)+1=LEFT(' Pivot Tables'!$A$4,4)+0,RIGHT(LEFT(D7270,7),2)=RIGHT(LEFT(' Pivot Tables'!$A$4,7),2)),1,0)</f>
        <v>0</v>
      </c>
      <c r="Y7270" s="6">
        <f>1/COUNTIF(Таблица1[Order ID],Таблица1[[#This Row],[Order ID]])</f>
        <v>0.33333333333333331</v>
      </c>
      <c r="Z7270" s="9">
        <f>1/COUNTIFS(Таблица1[Customer Name],Таблица1[[#This Row],[Customer Name]],Таблица1[Order-Year-Month],Таблица1[[#This Row],[Order-Year-Month]])</f>
        <v>0.33333333333333331</v>
      </c>
    </row>
    <row r="7271" spans="1:26" x14ac:dyDescent="0.2">
      <c r="A7271" s="6">
        <v>7611</v>
      </c>
      <c r="B7271" s="7">
        <v>54467</v>
      </c>
      <c r="C7271" s="8">
        <f>DATE(2012,12,31)-805</f>
        <v>40469</v>
      </c>
      <c r="D7271" s="8" t="str">
        <f t="shared" si="136"/>
        <v>2010-10 (октябрь 2010)</v>
      </c>
      <c r="E7271" s="9" t="s">
        <v>21</v>
      </c>
      <c r="F7271" s="7">
        <v>30</v>
      </c>
      <c r="G7271" s="7">
        <v>146.72</v>
      </c>
      <c r="H7271" s="7">
        <v>0.06</v>
      </c>
      <c r="I7271" s="9" t="s">
        <v>22</v>
      </c>
      <c r="J7271" s="10">
        <v>18.260000000000002</v>
      </c>
      <c r="K7271" s="11">
        <v>5.08</v>
      </c>
      <c r="L7271" s="11">
        <v>2.0299999999999998</v>
      </c>
      <c r="M7271" s="9" t="s">
        <v>1546</v>
      </c>
      <c r="N7271" s="6" t="s">
        <v>703</v>
      </c>
      <c r="O7271" s="6" t="s">
        <v>704</v>
      </c>
      <c r="P7271" s="9" t="s">
        <v>25</v>
      </c>
      <c r="Q7271" s="9" t="s">
        <v>49</v>
      </c>
      <c r="R7271" s="9" t="s">
        <v>50</v>
      </c>
      <c r="S7271" s="7" t="s">
        <v>918</v>
      </c>
      <c r="T7271" s="9" t="s">
        <v>68</v>
      </c>
      <c r="U7271" s="7">
        <v>0.51</v>
      </c>
      <c r="V7271" s="12">
        <f t="shared" si="137"/>
        <v>40471</v>
      </c>
      <c r="W7271">
        <f>IF(D7271=' Pivot Tables'!$A$4,1,0)</f>
        <v>0</v>
      </c>
      <c r="X7271">
        <f>IF(AND(LEFT(D7271,4)+1=LEFT(' Pivot Tables'!$A$4,4)+0,RIGHT(LEFT(D7271,7),2)=RIGHT(LEFT(' Pivot Tables'!$A$4,7),2)),1,0)</f>
        <v>0</v>
      </c>
      <c r="Y7271" s="6">
        <f>1/COUNTIF(Таблица1[Order ID],Таблица1[[#This Row],[Order ID]])</f>
        <v>0.33333333333333331</v>
      </c>
      <c r="Z7271" s="9">
        <f>1/COUNTIFS(Таблица1[Customer Name],Таблица1[[#This Row],[Customer Name]],Таблица1[Order-Year-Month],Таблица1[[#This Row],[Order-Year-Month]])</f>
        <v>0.33333333333333331</v>
      </c>
    </row>
    <row r="7272" spans="1:26" x14ac:dyDescent="0.2">
      <c r="A7272" s="6">
        <v>7612</v>
      </c>
      <c r="B7272" s="7">
        <v>54467</v>
      </c>
      <c r="C7272" s="8">
        <f>DATE(2012,12,31)-805</f>
        <v>40469</v>
      </c>
      <c r="D7272" s="8" t="str">
        <f t="shared" si="136"/>
        <v>2010-10 (октябрь 2010)</v>
      </c>
      <c r="E7272" s="9" t="s">
        <v>21</v>
      </c>
      <c r="F7272" s="7">
        <v>17</v>
      </c>
      <c r="G7272" s="7">
        <v>74.83</v>
      </c>
      <c r="H7272" s="7">
        <v>0.08</v>
      </c>
      <c r="I7272" s="9" t="s">
        <v>22</v>
      </c>
      <c r="J7272" s="10">
        <v>-83.71</v>
      </c>
      <c r="K7272" s="11">
        <v>4.0599999999999996</v>
      </c>
      <c r="L7272" s="11">
        <v>6.89</v>
      </c>
      <c r="M7272" s="9" t="s">
        <v>1546</v>
      </c>
      <c r="N7272" s="6" t="s">
        <v>703</v>
      </c>
      <c r="O7272" s="6" t="s">
        <v>704</v>
      </c>
      <c r="P7272" s="9" t="s">
        <v>25</v>
      </c>
      <c r="Q7272" s="9" t="s">
        <v>26</v>
      </c>
      <c r="R7272" s="9" t="s">
        <v>34</v>
      </c>
      <c r="S7272" s="7" t="s">
        <v>408</v>
      </c>
      <c r="T7272" s="9" t="s">
        <v>39</v>
      </c>
      <c r="U7272" s="7">
        <v>0.6</v>
      </c>
      <c r="V7272" s="12">
        <f>C7272+5</f>
        <v>40474</v>
      </c>
      <c r="W7272">
        <f>IF(D7272=' Pivot Tables'!$A$4,1,0)</f>
        <v>0</v>
      </c>
      <c r="X7272">
        <f>IF(AND(LEFT(D7272,4)+1=LEFT(' Pivot Tables'!$A$4,4)+0,RIGHT(LEFT(D7272,7),2)=RIGHT(LEFT(' Pivot Tables'!$A$4,7),2)),1,0)</f>
        <v>0</v>
      </c>
      <c r="Y7272" s="6">
        <f>1/COUNTIF(Таблица1[Order ID],Таблица1[[#This Row],[Order ID]])</f>
        <v>0.33333333333333331</v>
      </c>
      <c r="Z7272" s="9">
        <f>1/COUNTIFS(Таблица1[Customer Name],Таблица1[[#This Row],[Customer Name]],Таблица1[Order-Year-Month],Таблица1[[#This Row],[Order-Year-Month]])</f>
        <v>0.33333333333333331</v>
      </c>
    </row>
    <row r="7273" spans="1:26" x14ac:dyDescent="0.2">
      <c r="A7273" s="6">
        <v>7623</v>
      </c>
      <c r="B7273" s="7">
        <v>54534</v>
      </c>
      <c r="C7273" s="8">
        <f>DATE(2012,12,31)-287</f>
        <v>40987</v>
      </c>
      <c r="D7273" s="8" t="str">
        <f t="shared" si="136"/>
        <v>2012-03 (март 2012)</v>
      </c>
      <c r="E7273" s="9" t="s">
        <v>45</v>
      </c>
      <c r="F7273" s="7">
        <v>16</v>
      </c>
      <c r="G7273" s="7">
        <v>124.71</v>
      </c>
      <c r="H7273" s="7">
        <v>0.01</v>
      </c>
      <c r="I7273" s="9" t="s">
        <v>22</v>
      </c>
      <c r="J7273" s="10">
        <v>-30.04</v>
      </c>
      <c r="K7273" s="11">
        <v>7.35</v>
      </c>
      <c r="L7273" s="11">
        <v>5.96</v>
      </c>
      <c r="M7273" s="9" t="s">
        <v>1972</v>
      </c>
      <c r="N7273" s="6" t="s">
        <v>703</v>
      </c>
      <c r="O7273" s="6" t="s">
        <v>704</v>
      </c>
      <c r="P7273" s="9" t="s">
        <v>25</v>
      </c>
      <c r="Q7273" s="9" t="s">
        <v>26</v>
      </c>
      <c r="R7273" s="9" t="s">
        <v>61</v>
      </c>
      <c r="S7273" s="7" t="s">
        <v>1111</v>
      </c>
      <c r="T7273" s="9" t="s">
        <v>39</v>
      </c>
      <c r="U7273" s="7">
        <v>0.38</v>
      </c>
      <c r="V7273" s="12">
        <f>C7273+2</f>
        <v>40989</v>
      </c>
      <c r="W7273">
        <f>IF(D7273=' Pivot Tables'!$A$4,1,0)</f>
        <v>0</v>
      </c>
      <c r="X7273">
        <f>IF(AND(LEFT(D7273,4)+1=LEFT(' Pivot Tables'!$A$4,4)+0,RIGHT(LEFT(D7273,7),2)=RIGHT(LEFT(' Pivot Tables'!$A$4,7),2)),1,0)</f>
        <v>0</v>
      </c>
      <c r="Y7273" s="6">
        <f>1/COUNTIF(Таблица1[Order ID],Таблица1[[#This Row],[Order ID]])</f>
        <v>1</v>
      </c>
      <c r="Z7273" s="9">
        <f>1/COUNTIFS(Таблица1[Customer Name],Таблица1[[#This Row],[Customer Name]],Таблица1[Order-Year-Month],Таблица1[[#This Row],[Order-Year-Month]])</f>
        <v>1</v>
      </c>
    </row>
    <row r="7274" spans="1:26" x14ac:dyDescent="0.2">
      <c r="A7274" s="6">
        <v>7627</v>
      </c>
      <c r="B7274" s="7">
        <v>54564</v>
      </c>
      <c r="C7274" s="8">
        <f>DATE(2012,12,31)-756</f>
        <v>40518</v>
      </c>
      <c r="D7274" s="8" t="str">
        <f t="shared" si="136"/>
        <v>2010-12 (декабрь 2010)</v>
      </c>
      <c r="E7274" s="9" t="s">
        <v>30</v>
      </c>
      <c r="F7274" s="7">
        <v>27</v>
      </c>
      <c r="G7274" s="7">
        <v>1553.8679999999999</v>
      </c>
      <c r="H7274" s="7">
        <v>0.04</v>
      </c>
      <c r="I7274" s="9" t="s">
        <v>56</v>
      </c>
      <c r="J7274" s="10">
        <v>322.50599999999997</v>
      </c>
      <c r="K7274" s="11">
        <v>65.989999999999995</v>
      </c>
      <c r="L7274" s="11">
        <v>5.92</v>
      </c>
      <c r="M7274" s="9" t="s">
        <v>1550</v>
      </c>
      <c r="N7274" s="6" t="s">
        <v>703</v>
      </c>
      <c r="O7274" s="6" t="s">
        <v>704</v>
      </c>
      <c r="P7274" s="9" t="s">
        <v>41</v>
      </c>
      <c r="Q7274" s="9" t="s">
        <v>42</v>
      </c>
      <c r="R7274" s="9" t="s">
        <v>43</v>
      </c>
      <c r="S7274" s="7" t="s">
        <v>359</v>
      </c>
      <c r="T7274" s="9" t="s">
        <v>39</v>
      </c>
      <c r="U7274" s="7">
        <v>0.55000000000000004</v>
      </c>
      <c r="V7274" s="12">
        <f>C7274+2</f>
        <v>40520</v>
      </c>
      <c r="W7274">
        <f>IF(D7274=' Pivot Tables'!$A$4,1,0)</f>
        <v>0</v>
      </c>
      <c r="X7274">
        <f>IF(AND(LEFT(D7274,4)+1=LEFT(' Pivot Tables'!$A$4,4)+0,RIGHT(LEFT(D7274,7),2)=RIGHT(LEFT(' Pivot Tables'!$A$4,7),2)),1,0)</f>
        <v>0</v>
      </c>
      <c r="Y7274" s="6">
        <f>1/COUNTIF(Таблица1[Order ID],Таблица1[[#This Row],[Order ID]])</f>
        <v>1</v>
      </c>
      <c r="Z7274" s="9">
        <f>1/COUNTIFS(Таблица1[Customer Name],Таблица1[[#This Row],[Customer Name]],Таблица1[Order-Year-Month],Таблица1[[#This Row],[Order-Year-Month]])</f>
        <v>1</v>
      </c>
    </row>
    <row r="7275" spans="1:26" x14ac:dyDescent="0.2">
      <c r="A7275" s="6">
        <v>7637</v>
      </c>
      <c r="B7275" s="7">
        <v>54692</v>
      </c>
      <c r="C7275" s="8">
        <f>DATE(2012,12,31)-1032</f>
        <v>40242</v>
      </c>
      <c r="D7275" s="8" t="str">
        <f t="shared" si="136"/>
        <v>2010-03 (март 2010)</v>
      </c>
      <c r="E7275" s="9" t="s">
        <v>63</v>
      </c>
      <c r="F7275" s="7">
        <v>16</v>
      </c>
      <c r="G7275" s="7">
        <v>43.65</v>
      </c>
      <c r="H7275" s="7">
        <v>0.05</v>
      </c>
      <c r="I7275" s="9" t="s">
        <v>22</v>
      </c>
      <c r="J7275" s="10">
        <v>-3.67</v>
      </c>
      <c r="K7275" s="11">
        <v>2.78</v>
      </c>
      <c r="L7275" s="11">
        <v>0.97</v>
      </c>
      <c r="M7275" s="9" t="s">
        <v>2051</v>
      </c>
      <c r="N7275" s="6" t="s">
        <v>703</v>
      </c>
      <c r="O7275" s="6" t="s">
        <v>704</v>
      </c>
      <c r="P7275" s="9" t="s">
        <v>60</v>
      </c>
      <c r="Q7275" s="9" t="s">
        <v>26</v>
      </c>
      <c r="R7275" s="9" t="s">
        <v>95</v>
      </c>
      <c r="S7275" s="7" t="s">
        <v>1183</v>
      </c>
      <c r="T7275" s="9" t="s">
        <v>68</v>
      </c>
      <c r="U7275" s="7">
        <v>0.59</v>
      </c>
      <c r="V7275" s="12">
        <f>C7275+0</f>
        <v>40242</v>
      </c>
      <c r="W7275">
        <f>IF(D7275=' Pivot Tables'!$A$4,1,0)</f>
        <v>0</v>
      </c>
      <c r="X7275">
        <f>IF(AND(LEFT(D7275,4)+1=LEFT(' Pivot Tables'!$A$4,4)+0,RIGHT(LEFT(D7275,7),2)=RIGHT(LEFT(' Pivot Tables'!$A$4,7),2)),1,0)</f>
        <v>0</v>
      </c>
      <c r="Y7275" s="6">
        <f>1/COUNTIF(Таблица1[Order ID],Таблица1[[#This Row],[Order ID]])</f>
        <v>0.5</v>
      </c>
      <c r="Z7275" s="9">
        <f>1/COUNTIFS(Таблица1[Customer Name],Таблица1[[#This Row],[Customer Name]],Таблица1[Order-Year-Month],Таблица1[[#This Row],[Order-Year-Month]])</f>
        <v>0.5</v>
      </c>
    </row>
    <row r="7276" spans="1:26" x14ac:dyDescent="0.2">
      <c r="A7276" s="6">
        <v>7638</v>
      </c>
      <c r="B7276" s="7">
        <v>54692</v>
      </c>
      <c r="C7276" s="8">
        <f>DATE(2012,12,31)-1032</f>
        <v>40242</v>
      </c>
      <c r="D7276" s="8" t="str">
        <f t="shared" si="136"/>
        <v>2010-03 (март 2010)</v>
      </c>
      <c r="E7276" s="9" t="s">
        <v>63</v>
      </c>
      <c r="F7276" s="7">
        <v>27</v>
      </c>
      <c r="G7276" s="7">
        <v>2478.4810000000002</v>
      </c>
      <c r="H7276" s="7">
        <v>0.09</v>
      </c>
      <c r="I7276" s="9" t="s">
        <v>22</v>
      </c>
      <c r="J7276" s="10">
        <v>249.10199999999998</v>
      </c>
      <c r="K7276" s="11">
        <v>115.99</v>
      </c>
      <c r="L7276" s="11">
        <v>8.99</v>
      </c>
      <c r="M7276" s="9" t="s">
        <v>2051</v>
      </c>
      <c r="N7276" s="6" t="s">
        <v>703</v>
      </c>
      <c r="O7276" s="6" t="s">
        <v>704</v>
      </c>
      <c r="P7276" s="9" t="s">
        <v>60</v>
      </c>
      <c r="Q7276" s="9" t="s">
        <v>42</v>
      </c>
      <c r="R7276" s="9" t="s">
        <v>43</v>
      </c>
      <c r="S7276" s="7" t="s">
        <v>847</v>
      </c>
      <c r="T7276" s="9" t="s">
        <v>39</v>
      </c>
      <c r="U7276" s="7">
        <v>0.57999999999999996</v>
      </c>
      <c r="V7276" s="12">
        <f>C7276+2</f>
        <v>40244</v>
      </c>
      <c r="W7276">
        <f>IF(D7276=' Pivot Tables'!$A$4,1,0)</f>
        <v>0</v>
      </c>
      <c r="X7276">
        <f>IF(AND(LEFT(D7276,4)+1=LEFT(' Pivot Tables'!$A$4,4)+0,RIGHT(LEFT(D7276,7),2)=RIGHT(LEFT(' Pivot Tables'!$A$4,7),2)),1,0)</f>
        <v>0</v>
      </c>
      <c r="Y7276" s="6">
        <f>1/COUNTIF(Таблица1[Order ID],Таблица1[[#This Row],[Order ID]])</f>
        <v>0.5</v>
      </c>
      <c r="Z7276" s="9">
        <f>1/COUNTIFS(Таблица1[Customer Name],Таблица1[[#This Row],[Customer Name]],Таблица1[Order-Year-Month],Таблица1[[#This Row],[Order-Year-Month]])</f>
        <v>0.5</v>
      </c>
    </row>
    <row r="7277" spans="1:26" x14ac:dyDescent="0.2">
      <c r="A7277" s="6">
        <v>7641</v>
      </c>
      <c r="B7277" s="7">
        <v>54727</v>
      </c>
      <c r="C7277" s="8">
        <f>DATE(2012,12,31)-749</f>
        <v>40525</v>
      </c>
      <c r="D7277" s="8" t="str">
        <f t="shared" si="136"/>
        <v>2010-12 (декабрь 2010)</v>
      </c>
      <c r="E7277" s="9" t="s">
        <v>63</v>
      </c>
      <c r="F7277" s="7">
        <v>29</v>
      </c>
      <c r="G7277" s="7">
        <v>1427.14</v>
      </c>
      <c r="H7277" s="7">
        <v>0.02</v>
      </c>
      <c r="I7277" s="9" t="s">
        <v>22</v>
      </c>
      <c r="J7277" s="10">
        <v>605.91999999999996</v>
      </c>
      <c r="K7277" s="11">
        <v>48.04</v>
      </c>
      <c r="L7277" s="11">
        <v>7.23</v>
      </c>
      <c r="M7277" s="9" t="s">
        <v>1546</v>
      </c>
      <c r="N7277" s="6" t="s">
        <v>703</v>
      </c>
      <c r="O7277" s="6" t="s">
        <v>704</v>
      </c>
      <c r="P7277" s="9" t="s">
        <v>25</v>
      </c>
      <c r="Q7277" s="9" t="s">
        <v>26</v>
      </c>
      <c r="R7277" s="9" t="s">
        <v>61</v>
      </c>
      <c r="S7277" s="7" t="s">
        <v>527</v>
      </c>
      <c r="T7277" s="9" t="s">
        <v>39</v>
      </c>
      <c r="U7277" s="7">
        <v>0.37</v>
      </c>
      <c r="V7277" s="12">
        <f>C7277+1</f>
        <v>40526</v>
      </c>
      <c r="W7277">
        <f>IF(D7277=' Pivot Tables'!$A$4,1,0)</f>
        <v>0</v>
      </c>
      <c r="X7277">
        <f>IF(AND(LEFT(D7277,4)+1=LEFT(' Pivot Tables'!$A$4,4)+0,RIGHT(LEFT(D7277,7),2)=RIGHT(LEFT(' Pivot Tables'!$A$4,7),2)),1,0)</f>
        <v>0</v>
      </c>
      <c r="Y7277" s="6">
        <f>1/COUNTIF(Таблица1[Order ID],Таблица1[[#This Row],[Order ID]])</f>
        <v>1</v>
      </c>
      <c r="Z7277" s="9">
        <f>1/COUNTIFS(Таблица1[Customer Name],Таблица1[[#This Row],[Customer Name]],Таблица1[Order-Year-Month],Таблица1[[#This Row],[Order-Year-Month]])</f>
        <v>1</v>
      </c>
    </row>
    <row r="7278" spans="1:26" x14ac:dyDescent="0.2">
      <c r="A7278" s="6">
        <v>7656</v>
      </c>
      <c r="B7278" s="7">
        <v>54886</v>
      </c>
      <c r="C7278" s="8">
        <f>DATE(2012,12,31)-149</f>
        <v>41125</v>
      </c>
      <c r="D7278" s="8" t="str">
        <f t="shared" si="136"/>
        <v>2012-08 (август 2012)</v>
      </c>
      <c r="E7278" s="9" t="s">
        <v>78</v>
      </c>
      <c r="F7278" s="7">
        <v>39</v>
      </c>
      <c r="G7278" s="7">
        <v>419.95</v>
      </c>
      <c r="H7278" s="7">
        <v>0.02</v>
      </c>
      <c r="I7278" s="9" t="s">
        <v>22</v>
      </c>
      <c r="J7278" s="10">
        <v>-39.1</v>
      </c>
      <c r="K7278" s="11">
        <v>10.64</v>
      </c>
      <c r="L7278" s="11">
        <v>5.16</v>
      </c>
      <c r="M7278" s="9" t="s">
        <v>1156</v>
      </c>
      <c r="N7278" s="6" t="s">
        <v>703</v>
      </c>
      <c r="O7278" s="6" t="s">
        <v>704</v>
      </c>
      <c r="P7278" s="9" t="s">
        <v>25</v>
      </c>
      <c r="Q7278" s="9" t="s">
        <v>49</v>
      </c>
      <c r="R7278" s="9" t="s">
        <v>50</v>
      </c>
      <c r="S7278" s="7" t="s">
        <v>593</v>
      </c>
      <c r="T7278" s="9" t="s">
        <v>39</v>
      </c>
      <c r="U7278" s="7">
        <v>0.56999999999999995</v>
      </c>
      <c r="V7278" s="12">
        <f>C7278+1</f>
        <v>41126</v>
      </c>
      <c r="W7278">
        <f>IF(D7278=' Pivot Tables'!$A$4,1,0)</f>
        <v>0</v>
      </c>
      <c r="X7278">
        <f>IF(AND(LEFT(D7278,4)+1=LEFT(' Pivot Tables'!$A$4,4)+0,RIGHT(LEFT(D7278,7),2)=RIGHT(LEFT(' Pivot Tables'!$A$4,7),2)),1,0)</f>
        <v>0</v>
      </c>
      <c r="Y7278" s="6">
        <f>1/COUNTIF(Таблица1[Order ID],Таблица1[[#This Row],[Order ID]])</f>
        <v>1</v>
      </c>
      <c r="Z7278" s="9">
        <f>1/COUNTIFS(Таблица1[Customer Name],Таблица1[[#This Row],[Customer Name]],Таблица1[Order-Year-Month],Таблица1[[#This Row],[Order-Year-Month]])</f>
        <v>1</v>
      </c>
    </row>
    <row r="7279" spans="1:26" x14ac:dyDescent="0.2">
      <c r="A7279" s="6">
        <v>7668</v>
      </c>
      <c r="B7279" s="7">
        <v>54977</v>
      </c>
      <c r="C7279" s="8">
        <f>DATE(2012,12,31)-540</f>
        <v>40734</v>
      </c>
      <c r="D7279" s="8" t="str">
        <f t="shared" si="136"/>
        <v>2011-07 (июль 2011)</v>
      </c>
      <c r="E7279" s="9" t="s">
        <v>21</v>
      </c>
      <c r="F7279" s="7">
        <v>24</v>
      </c>
      <c r="G7279" s="7">
        <v>344.25</v>
      </c>
      <c r="H7279" s="7">
        <v>0.1</v>
      </c>
      <c r="I7279" s="9" t="s">
        <v>22</v>
      </c>
      <c r="J7279" s="10">
        <v>23.961500000000001</v>
      </c>
      <c r="K7279" s="11">
        <v>14.48</v>
      </c>
      <c r="L7279" s="11">
        <v>6.46</v>
      </c>
      <c r="M7279" s="9" t="s">
        <v>1517</v>
      </c>
      <c r="N7279" s="6" t="s">
        <v>703</v>
      </c>
      <c r="O7279" s="6" t="s">
        <v>704</v>
      </c>
      <c r="P7279" s="9" t="s">
        <v>60</v>
      </c>
      <c r="Q7279" s="9" t="s">
        <v>26</v>
      </c>
      <c r="R7279" s="9" t="s">
        <v>37</v>
      </c>
      <c r="S7279" s="7" t="s">
        <v>816</v>
      </c>
      <c r="T7279" s="9" t="s">
        <v>39</v>
      </c>
      <c r="U7279" s="7">
        <v>0.38</v>
      </c>
      <c r="V7279" s="12">
        <f>C7279+4</f>
        <v>40738</v>
      </c>
      <c r="W7279">
        <f>IF(D7279=' Pivot Tables'!$A$4,1,0)</f>
        <v>0</v>
      </c>
      <c r="X7279">
        <f>IF(AND(LEFT(D7279,4)+1=LEFT(' Pivot Tables'!$A$4,4)+0,RIGHT(LEFT(D7279,7),2)=RIGHT(LEFT(' Pivot Tables'!$A$4,7),2)),1,0)</f>
        <v>0</v>
      </c>
      <c r="Y7279" s="6">
        <f>1/COUNTIF(Таблица1[Order ID],Таблица1[[#This Row],[Order ID]])</f>
        <v>0.5</v>
      </c>
      <c r="Z7279" s="9">
        <f>1/COUNTIFS(Таблица1[Customer Name],Таблица1[[#This Row],[Customer Name]],Таблица1[Order-Year-Month],Таблица1[[#This Row],[Order-Year-Month]])</f>
        <v>0.5</v>
      </c>
    </row>
    <row r="7280" spans="1:26" x14ac:dyDescent="0.2">
      <c r="A7280" s="6">
        <v>7669</v>
      </c>
      <c r="B7280" s="7">
        <v>54977</v>
      </c>
      <c r="C7280" s="8">
        <f>DATE(2012,12,31)-540</f>
        <v>40734</v>
      </c>
      <c r="D7280" s="8" t="str">
        <f t="shared" si="136"/>
        <v>2011-07 (июль 2011)</v>
      </c>
      <c r="E7280" s="9" t="s">
        <v>21</v>
      </c>
      <c r="F7280" s="7">
        <v>12</v>
      </c>
      <c r="G7280" s="7">
        <v>64.77</v>
      </c>
      <c r="H7280" s="7">
        <v>0.09</v>
      </c>
      <c r="I7280" s="9" t="s">
        <v>22</v>
      </c>
      <c r="J7280" s="10">
        <v>14.46</v>
      </c>
      <c r="K7280" s="11">
        <v>5.84</v>
      </c>
      <c r="L7280" s="11">
        <v>1</v>
      </c>
      <c r="M7280" s="9" t="s">
        <v>1517</v>
      </c>
      <c r="N7280" s="6" t="s">
        <v>703</v>
      </c>
      <c r="O7280" s="6" t="s">
        <v>704</v>
      </c>
      <c r="P7280" s="9" t="s">
        <v>60</v>
      </c>
      <c r="Q7280" s="9" t="s">
        <v>26</v>
      </c>
      <c r="R7280" s="9" t="s">
        <v>95</v>
      </c>
      <c r="S7280" s="7" t="s">
        <v>1144</v>
      </c>
      <c r="T7280" s="9" t="s">
        <v>68</v>
      </c>
      <c r="U7280" s="7">
        <v>0.38</v>
      </c>
      <c r="V7280" s="12">
        <f>C7280+5</f>
        <v>40739</v>
      </c>
      <c r="W7280">
        <f>IF(D7280=' Pivot Tables'!$A$4,1,0)</f>
        <v>0</v>
      </c>
      <c r="X7280">
        <f>IF(AND(LEFT(D7280,4)+1=LEFT(' Pivot Tables'!$A$4,4)+0,RIGHT(LEFT(D7280,7),2)=RIGHT(LEFT(' Pivot Tables'!$A$4,7),2)),1,0)</f>
        <v>0</v>
      </c>
      <c r="Y7280" s="6">
        <f>1/COUNTIF(Таблица1[Order ID],Таблица1[[#This Row],[Order ID]])</f>
        <v>0.5</v>
      </c>
      <c r="Z7280" s="9">
        <f>1/COUNTIFS(Таблица1[Customer Name],Таблица1[[#This Row],[Customer Name]],Таблица1[Order-Year-Month],Таблица1[[#This Row],[Order-Year-Month]])</f>
        <v>0.5</v>
      </c>
    </row>
    <row r="7281" spans="1:26" x14ac:dyDescent="0.2">
      <c r="A7281" s="6">
        <v>7676</v>
      </c>
      <c r="B7281" s="7">
        <v>55040</v>
      </c>
      <c r="C7281" s="8">
        <f>DATE(2012,12,31)-1359</f>
        <v>39915</v>
      </c>
      <c r="D7281" s="8" t="str">
        <f t="shared" si="136"/>
        <v>2009-04 (апрель 2009)</v>
      </c>
      <c r="E7281" s="9" t="s">
        <v>30</v>
      </c>
      <c r="F7281" s="7">
        <v>8</v>
      </c>
      <c r="G7281" s="7">
        <v>292.38</v>
      </c>
      <c r="H7281" s="7">
        <v>0.05</v>
      </c>
      <c r="I7281" s="9" t="s">
        <v>22</v>
      </c>
      <c r="J7281" s="10">
        <v>6.11</v>
      </c>
      <c r="K7281" s="11">
        <v>35.51</v>
      </c>
      <c r="L7281" s="11">
        <v>6.31</v>
      </c>
      <c r="M7281" s="9" t="s">
        <v>2044</v>
      </c>
      <c r="N7281" s="6" t="s">
        <v>703</v>
      </c>
      <c r="O7281" s="6" t="s">
        <v>704</v>
      </c>
      <c r="P7281" s="9" t="s">
        <v>33</v>
      </c>
      <c r="Q7281" s="9" t="s">
        <v>26</v>
      </c>
      <c r="R7281" s="9" t="s">
        <v>27</v>
      </c>
      <c r="S7281" s="7" t="s">
        <v>1850</v>
      </c>
      <c r="T7281" s="9" t="s">
        <v>39</v>
      </c>
      <c r="U7281" s="7">
        <v>0.57999999999999996</v>
      </c>
      <c r="V7281" s="12">
        <f>C7281+2</f>
        <v>39917</v>
      </c>
      <c r="W7281">
        <f>IF(D7281=' Pivot Tables'!$A$4,1,0)</f>
        <v>0</v>
      </c>
      <c r="X7281">
        <f>IF(AND(LEFT(D7281,4)+1=LEFT(' Pivot Tables'!$A$4,4)+0,RIGHT(LEFT(D7281,7),2)=RIGHT(LEFT(' Pivot Tables'!$A$4,7),2)),1,0)</f>
        <v>0</v>
      </c>
      <c r="Y7281" s="6">
        <f>1/COUNTIF(Таблица1[Order ID],Таблица1[[#This Row],[Order ID]])</f>
        <v>0.25</v>
      </c>
      <c r="Z7281" s="9">
        <f>1/COUNTIFS(Таблица1[Customer Name],Таблица1[[#This Row],[Customer Name]],Таблица1[Order-Year-Month],Таблица1[[#This Row],[Order-Year-Month]])</f>
        <v>0.25</v>
      </c>
    </row>
    <row r="7282" spans="1:26" x14ac:dyDescent="0.2">
      <c r="A7282" s="6">
        <v>7677</v>
      </c>
      <c r="B7282" s="7">
        <v>55040</v>
      </c>
      <c r="C7282" s="8">
        <f>DATE(2012,12,31)-1359</f>
        <v>39915</v>
      </c>
      <c r="D7282" s="8" t="str">
        <f t="shared" si="136"/>
        <v>2009-04 (апрель 2009)</v>
      </c>
      <c r="E7282" s="9" t="s">
        <v>30</v>
      </c>
      <c r="F7282" s="7">
        <v>24</v>
      </c>
      <c r="G7282" s="7">
        <v>191.79</v>
      </c>
      <c r="H7282" s="7">
        <v>0.1</v>
      </c>
      <c r="I7282" s="9" t="s">
        <v>22</v>
      </c>
      <c r="J7282" s="10">
        <v>-6.34</v>
      </c>
      <c r="K7282" s="11">
        <v>8.34</v>
      </c>
      <c r="L7282" s="11">
        <v>2.64</v>
      </c>
      <c r="M7282" s="9" t="s">
        <v>2044</v>
      </c>
      <c r="N7282" s="6" t="s">
        <v>703</v>
      </c>
      <c r="O7282" s="6" t="s">
        <v>704</v>
      </c>
      <c r="P7282" s="9" t="s">
        <v>33</v>
      </c>
      <c r="Q7282" s="9" t="s">
        <v>26</v>
      </c>
      <c r="R7282" s="9" t="s">
        <v>150</v>
      </c>
      <c r="S7282" s="7" t="s">
        <v>1381</v>
      </c>
      <c r="T7282" s="9" t="s">
        <v>52</v>
      </c>
      <c r="U7282" s="7">
        <v>0.59</v>
      </c>
      <c r="V7282" s="12">
        <f>C7282+0</f>
        <v>39915</v>
      </c>
      <c r="W7282">
        <f>IF(D7282=' Pivot Tables'!$A$4,1,0)</f>
        <v>0</v>
      </c>
      <c r="X7282">
        <f>IF(AND(LEFT(D7282,4)+1=LEFT(' Pivot Tables'!$A$4,4)+0,RIGHT(LEFT(D7282,7),2)=RIGHT(LEFT(' Pivot Tables'!$A$4,7),2)),1,0)</f>
        <v>0</v>
      </c>
      <c r="Y7282" s="6">
        <f>1/COUNTIF(Таблица1[Order ID],Таблица1[[#This Row],[Order ID]])</f>
        <v>0.25</v>
      </c>
      <c r="Z7282" s="9">
        <f>1/COUNTIFS(Таблица1[Customer Name],Таблица1[[#This Row],[Customer Name]],Таблица1[Order-Year-Month],Таблица1[[#This Row],[Order-Year-Month]])</f>
        <v>0.25</v>
      </c>
    </row>
    <row r="7283" spans="1:26" x14ac:dyDescent="0.2">
      <c r="A7283" s="6">
        <v>7678</v>
      </c>
      <c r="B7283" s="7">
        <v>55040</v>
      </c>
      <c r="C7283" s="8">
        <f>DATE(2012,12,31)-1359</f>
        <v>39915</v>
      </c>
      <c r="D7283" s="8" t="str">
        <f t="shared" si="136"/>
        <v>2009-04 (апрель 2009)</v>
      </c>
      <c r="E7283" s="9" t="s">
        <v>30</v>
      </c>
      <c r="F7283" s="7">
        <v>34</v>
      </c>
      <c r="G7283" s="7">
        <v>290.01</v>
      </c>
      <c r="H7283" s="7">
        <v>0.03</v>
      </c>
      <c r="I7283" s="9" t="s">
        <v>22</v>
      </c>
      <c r="J7283" s="10">
        <v>-160.27549999999999</v>
      </c>
      <c r="K7283" s="11">
        <v>8.0399999999999991</v>
      </c>
      <c r="L7283" s="11">
        <v>8.94</v>
      </c>
      <c r="M7283" s="9" t="s">
        <v>2044</v>
      </c>
      <c r="N7283" s="6" t="s">
        <v>703</v>
      </c>
      <c r="O7283" s="6" t="s">
        <v>704</v>
      </c>
      <c r="P7283" s="9" t="s">
        <v>33</v>
      </c>
      <c r="Q7283" s="9" t="s">
        <v>26</v>
      </c>
      <c r="R7283" s="9" t="s">
        <v>37</v>
      </c>
      <c r="S7283" s="7" t="s">
        <v>529</v>
      </c>
      <c r="T7283" s="9" t="s">
        <v>39</v>
      </c>
      <c r="U7283" s="7">
        <v>0.4</v>
      </c>
      <c r="V7283" s="12">
        <f>C7283+2</f>
        <v>39917</v>
      </c>
      <c r="W7283">
        <f>IF(D7283=' Pivot Tables'!$A$4,1,0)</f>
        <v>0</v>
      </c>
      <c r="X7283">
        <f>IF(AND(LEFT(D7283,4)+1=LEFT(' Pivot Tables'!$A$4,4)+0,RIGHT(LEFT(D7283,7),2)=RIGHT(LEFT(' Pivot Tables'!$A$4,7),2)),1,0)</f>
        <v>0</v>
      </c>
      <c r="Y7283" s="6">
        <f>1/COUNTIF(Таблица1[Order ID],Таблица1[[#This Row],[Order ID]])</f>
        <v>0.25</v>
      </c>
      <c r="Z7283" s="9">
        <f>1/COUNTIFS(Таблица1[Customer Name],Таблица1[[#This Row],[Customer Name]],Таблица1[Order-Year-Month],Таблица1[[#This Row],[Order-Year-Month]])</f>
        <v>0.25</v>
      </c>
    </row>
    <row r="7284" spans="1:26" x14ac:dyDescent="0.2">
      <c r="A7284" s="6">
        <v>7679</v>
      </c>
      <c r="B7284" s="7">
        <v>55040</v>
      </c>
      <c r="C7284" s="8">
        <f>DATE(2012,12,31)-1359</f>
        <v>39915</v>
      </c>
      <c r="D7284" s="8" t="str">
        <f t="shared" si="136"/>
        <v>2009-04 (апрель 2009)</v>
      </c>
      <c r="E7284" s="9" t="s">
        <v>30</v>
      </c>
      <c r="F7284" s="7">
        <v>2</v>
      </c>
      <c r="G7284" s="7">
        <v>4692.26</v>
      </c>
      <c r="H7284" s="7">
        <v>0.08</v>
      </c>
      <c r="I7284" s="9" t="s">
        <v>31</v>
      </c>
      <c r="J7284" s="10">
        <v>-7373.1282000000001</v>
      </c>
      <c r="K7284" s="11">
        <v>2550.14</v>
      </c>
      <c r="L7284" s="11">
        <v>29.7</v>
      </c>
      <c r="M7284" s="9" t="s">
        <v>2044</v>
      </c>
      <c r="N7284" s="6" t="s">
        <v>703</v>
      </c>
      <c r="O7284" s="6" t="s">
        <v>704</v>
      </c>
      <c r="P7284" s="9" t="s">
        <v>33</v>
      </c>
      <c r="Q7284" s="9" t="s">
        <v>42</v>
      </c>
      <c r="R7284" s="9" t="s">
        <v>210</v>
      </c>
      <c r="S7284" s="7" t="s">
        <v>506</v>
      </c>
      <c r="T7284" s="9" t="s">
        <v>36</v>
      </c>
      <c r="U7284" s="7">
        <v>0.56999999999999995</v>
      </c>
      <c r="V7284" s="12">
        <f>C7284+2</f>
        <v>39917</v>
      </c>
      <c r="W7284">
        <f>IF(D7284=' Pivot Tables'!$A$4,1,0)</f>
        <v>0</v>
      </c>
      <c r="X7284">
        <f>IF(AND(LEFT(D7284,4)+1=LEFT(' Pivot Tables'!$A$4,4)+0,RIGHT(LEFT(D7284,7),2)=RIGHT(LEFT(' Pivot Tables'!$A$4,7),2)),1,0)</f>
        <v>0</v>
      </c>
      <c r="Y7284" s="6">
        <f>1/COUNTIF(Таблица1[Order ID],Таблица1[[#This Row],[Order ID]])</f>
        <v>0.25</v>
      </c>
      <c r="Z7284" s="9">
        <f>1/COUNTIFS(Таблица1[Customer Name],Таблица1[[#This Row],[Customer Name]],Таблица1[Order-Year-Month],Таблица1[[#This Row],[Order-Year-Month]])</f>
        <v>0.25</v>
      </c>
    </row>
    <row r="7285" spans="1:26" x14ac:dyDescent="0.2">
      <c r="A7285" s="6">
        <v>7692</v>
      </c>
      <c r="B7285" s="7">
        <v>55139</v>
      </c>
      <c r="C7285" s="8">
        <f>DATE(2012,12,31)-1079</f>
        <v>40195</v>
      </c>
      <c r="D7285" s="8" t="str">
        <f t="shared" si="136"/>
        <v>2010-01 (январь 2010)</v>
      </c>
      <c r="E7285" s="9" t="s">
        <v>45</v>
      </c>
      <c r="F7285" s="7">
        <v>41</v>
      </c>
      <c r="G7285" s="7">
        <v>576.58000000000004</v>
      </c>
      <c r="H7285" s="7">
        <v>0.04</v>
      </c>
      <c r="I7285" s="9" t="s">
        <v>22</v>
      </c>
      <c r="J7285" s="10">
        <v>-81.55</v>
      </c>
      <c r="K7285" s="11">
        <v>13.9</v>
      </c>
      <c r="L7285" s="11">
        <v>7.59</v>
      </c>
      <c r="M7285" s="9" t="s">
        <v>1560</v>
      </c>
      <c r="N7285" s="6" t="s">
        <v>703</v>
      </c>
      <c r="O7285" s="6" t="s">
        <v>704</v>
      </c>
      <c r="P7285" s="9" t="s">
        <v>25</v>
      </c>
      <c r="Q7285" s="9" t="s">
        <v>26</v>
      </c>
      <c r="R7285" s="9" t="s">
        <v>150</v>
      </c>
      <c r="S7285" s="7" t="s">
        <v>422</v>
      </c>
      <c r="T7285" s="9" t="s">
        <v>52</v>
      </c>
      <c r="U7285" s="7">
        <v>0.56000000000000005</v>
      </c>
      <c r="V7285" s="12">
        <f>C7285+1</f>
        <v>40196</v>
      </c>
      <c r="W7285">
        <f>IF(D7285=' Pivot Tables'!$A$4,1,0)</f>
        <v>1</v>
      </c>
      <c r="X7285">
        <f>IF(AND(LEFT(D7285,4)+1=LEFT(' Pivot Tables'!$A$4,4)+0,RIGHT(LEFT(D7285,7),2)=RIGHT(LEFT(' Pivot Tables'!$A$4,7),2)),1,0)</f>
        <v>0</v>
      </c>
      <c r="Y7285" s="6">
        <f>1/COUNTIF(Таблица1[Order ID],Таблица1[[#This Row],[Order ID]])</f>
        <v>0.5</v>
      </c>
      <c r="Z7285" s="9">
        <f>1/COUNTIFS(Таблица1[Customer Name],Таблица1[[#This Row],[Customer Name]],Таблица1[Order-Year-Month],Таблица1[[#This Row],[Order-Year-Month]])</f>
        <v>0.5</v>
      </c>
    </row>
    <row r="7286" spans="1:26" x14ac:dyDescent="0.2">
      <c r="A7286" s="6">
        <v>7702</v>
      </c>
      <c r="B7286" s="7">
        <v>55203</v>
      </c>
      <c r="C7286" s="8">
        <f>DATE(2012,12,31)-995</f>
        <v>40279</v>
      </c>
      <c r="D7286" s="8" t="str">
        <f t="shared" si="136"/>
        <v>2010-04 (апрель 2010)</v>
      </c>
      <c r="E7286" s="9" t="s">
        <v>21</v>
      </c>
      <c r="F7286" s="7">
        <v>18</v>
      </c>
      <c r="G7286" s="7">
        <v>994.47450000000003</v>
      </c>
      <c r="H7286" s="7">
        <v>0.05</v>
      </c>
      <c r="I7286" s="9" t="s">
        <v>22</v>
      </c>
      <c r="J7286" s="10">
        <v>0.71100000000000563</v>
      </c>
      <c r="K7286" s="11">
        <v>65.989999999999995</v>
      </c>
      <c r="L7286" s="11">
        <v>7.69</v>
      </c>
      <c r="M7286" s="9" t="s">
        <v>1460</v>
      </c>
      <c r="N7286" s="6" t="s">
        <v>703</v>
      </c>
      <c r="O7286" s="6" t="s">
        <v>704</v>
      </c>
      <c r="P7286" s="9" t="s">
        <v>41</v>
      </c>
      <c r="Q7286" s="9" t="s">
        <v>42</v>
      </c>
      <c r="R7286" s="9" t="s">
        <v>43</v>
      </c>
      <c r="S7286" s="7" t="s">
        <v>923</v>
      </c>
      <c r="T7286" s="9" t="s">
        <v>39</v>
      </c>
      <c r="U7286" s="7">
        <v>0.59</v>
      </c>
      <c r="V7286" s="12">
        <f>C7286+0</f>
        <v>40279</v>
      </c>
      <c r="W7286">
        <f>IF(D7286=' Pivot Tables'!$A$4,1,0)</f>
        <v>0</v>
      </c>
      <c r="X7286">
        <f>IF(AND(LEFT(D7286,4)+1=LEFT(' Pivot Tables'!$A$4,4)+0,RIGHT(LEFT(D7286,7),2)=RIGHT(LEFT(' Pivot Tables'!$A$4,7),2)),1,0)</f>
        <v>0</v>
      </c>
      <c r="Y7286" s="6">
        <f>1/COUNTIF(Таблица1[Order ID],Таблица1[[#This Row],[Order ID]])</f>
        <v>1</v>
      </c>
      <c r="Z7286" s="9">
        <f>1/COUNTIFS(Таблица1[Customer Name],Таблица1[[#This Row],[Customer Name]],Таблица1[Order-Year-Month],Таблица1[[#This Row],[Order-Year-Month]])</f>
        <v>1</v>
      </c>
    </row>
    <row r="7287" spans="1:26" x14ac:dyDescent="0.2">
      <c r="A7287" s="6">
        <v>7721</v>
      </c>
      <c r="B7287" s="7">
        <v>55330</v>
      </c>
      <c r="C7287" s="8">
        <f>DATE(2012,12,31)-1237</f>
        <v>40037</v>
      </c>
      <c r="D7287" s="8" t="str">
        <f t="shared" si="136"/>
        <v>2009-08 (август 2009)</v>
      </c>
      <c r="E7287" s="9" t="s">
        <v>63</v>
      </c>
      <c r="F7287" s="7">
        <v>49</v>
      </c>
      <c r="G7287" s="7">
        <v>633.91</v>
      </c>
      <c r="H7287" s="7">
        <v>0</v>
      </c>
      <c r="I7287" s="9" t="s">
        <v>22</v>
      </c>
      <c r="J7287" s="10">
        <v>141.16999999999999</v>
      </c>
      <c r="K7287" s="11">
        <v>12.58</v>
      </c>
      <c r="L7287" s="11">
        <v>5.16</v>
      </c>
      <c r="M7287" s="9" t="s">
        <v>1491</v>
      </c>
      <c r="N7287" s="6" t="s">
        <v>703</v>
      </c>
      <c r="O7287" s="6" t="s">
        <v>704</v>
      </c>
      <c r="P7287" s="9" t="s">
        <v>41</v>
      </c>
      <c r="Q7287" s="9" t="s">
        <v>49</v>
      </c>
      <c r="R7287" s="9" t="s">
        <v>50</v>
      </c>
      <c r="S7287" s="7" t="s">
        <v>239</v>
      </c>
      <c r="T7287" s="9" t="s">
        <v>39</v>
      </c>
      <c r="U7287" s="7">
        <v>0.43</v>
      </c>
      <c r="V7287" s="12">
        <f>C7287+0</f>
        <v>40037</v>
      </c>
      <c r="W7287">
        <f>IF(D7287=' Pivot Tables'!$A$4,1,0)</f>
        <v>0</v>
      </c>
      <c r="X7287">
        <f>IF(AND(LEFT(D7287,4)+1=LEFT(' Pivot Tables'!$A$4,4)+0,RIGHT(LEFT(D7287,7),2)=RIGHT(LEFT(' Pivot Tables'!$A$4,7),2)),1,0)</f>
        <v>0</v>
      </c>
      <c r="Y7287" s="6">
        <f>1/COUNTIF(Таблица1[Order ID],Таблица1[[#This Row],[Order ID]])</f>
        <v>1</v>
      </c>
      <c r="Z7287" s="9">
        <f>1/COUNTIFS(Таблица1[Customer Name],Таблица1[[#This Row],[Customer Name]],Таблица1[Order-Year-Month],Таблица1[[#This Row],[Order-Year-Month]])</f>
        <v>0.5</v>
      </c>
    </row>
    <row r="7288" spans="1:26" x14ac:dyDescent="0.2">
      <c r="A7288" s="6">
        <v>7744</v>
      </c>
      <c r="B7288" s="7">
        <v>55431</v>
      </c>
      <c r="C7288" s="8">
        <f>DATE(2012,12,31)-206</f>
        <v>41068</v>
      </c>
      <c r="D7288" s="8" t="str">
        <f t="shared" si="136"/>
        <v>2012-06 (июнь 2012)</v>
      </c>
      <c r="E7288" s="9" t="s">
        <v>45</v>
      </c>
      <c r="F7288" s="7">
        <v>39</v>
      </c>
      <c r="G7288" s="7">
        <v>61.94</v>
      </c>
      <c r="H7288" s="7">
        <v>0.1</v>
      </c>
      <c r="I7288" s="9" t="s">
        <v>22</v>
      </c>
      <c r="J7288" s="10">
        <v>-17.78</v>
      </c>
      <c r="K7288" s="11">
        <v>1.6</v>
      </c>
      <c r="L7288" s="11">
        <v>1.29</v>
      </c>
      <c r="M7288" s="9" t="s">
        <v>1805</v>
      </c>
      <c r="N7288" s="6" t="s">
        <v>703</v>
      </c>
      <c r="O7288" s="6" t="s">
        <v>704</v>
      </c>
      <c r="P7288" s="9" t="s">
        <v>41</v>
      </c>
      <c r="Q7288" s="9" t="s">
        <v>26</v>
      </c>
      <c r="R7288" s="9" t="s">
        <v>95</v>
      </c>
      <c r="S7288" s="7" t="s">
        <v>1892</v>
      </c>
      <c r="T7288" s="9" t="s">
        <v>68</v>
      </c>
      <c r="U7288" s="7">
        <v>0.42</v>
      </c>
      <c r="V7288" s="12">
        <f>C7288+1</f>
        <v>41069</v>
      </c>
      <c r="W7288">
        <f>IF(D7288=' Pivot Tables'!$A$4,1,0)</f>
        <v>0</v>
      </c>
      <c r="X7288">
        <f>IF(AND(LEFT(D7288,4)+1=LEFT(' Pivot Tables'!$A$4,4)+0,RIGHT(LEFT(D7288,7),2)=RIGHT(LEFT(' Pivot Tables'!$A$4,7),2)),1,0)</f>
        <v>0</v>
      </c>
      <c r="Y7288" s="6">
        <f>1/COUNTIF(Таблица1[Order ID],Таблица1[[#This Row],[Order ID]])</f>
        <v>0.5</v>
      </c>
      <c r="Z7288" s="9">
        <f>1/COUNTIFS(Таблица1[Customer Name],Таблица1[[#This Row],[Customer Name]],Таблица1[Order-Year-Month],Таблица1[[#This Row],[Order-Year-Month]])</f>
        <v>0.5</v>
      </c>
    </row>
    <row r="7289" spans="1:26" x14ac:dyDescent="0.2">
      <c r="A7289" s="6">
        <v>7756</v>
      </c>
      <c r="B7289" s="7">
        <v>55494</v>
      </c>
      <c r="C7289" s="8">
        <f>DATE(2012,12,31)-189</f>
        <v>41085</v>
      </c>
      <c r="D7289" s="8" t="str">
        <f t="shared" si="136"/>
        <v>2012-06 (июнь 2012)</v>
      </c>
      <c r="E7289" s="9" t="s">
        <v>45</v>
      </c>
      <c r="F7289" s="7">
        <v>4</v>
      </c>
      <c r="G7289" s="7">
        <v>57.82</v>
      </c>
      <c r="H7289" s="7">
        <v>0.08</v>
      </c>
      <c r="I7289" s="9" t="s">
        <v>56</v>
      </c>
      <c r="J7289" s="10">
        <v>0.84999999999999787</v>
      </c>
      <c r="K7289" s="11">
        <v>10.98</v>
      </c>
      <c r="L7289" s="11">
        <v>4.8</v>
      </c>
      <c r="M7289" s="9" t="s">
        <v>1524</v>
      </c>
      <c r="N7289" s="6" t="s">
        <v>703</v>
      </c>
      <c r="O7289" s="6" t="s">
        <v>704</v>
      </c>
      <c r="P7289" s="9" t="s">
        <v>25</v>
      </c>
      <c r="Q7289" s="9" t="s">
        <v>26</v>
      </c>
      <c r="R7289" s="9" t="s">
        <v>76</v>
      </c>
      <c r="S7289" s="7" t="s">
        <v>546</v>
      </c>
      <c r="T7289" s="9" t="s">
        <v>39</v>
      </c>
      <c r="U7289" s="7">
        <v>0.36</v>
      </c>
      <c r="V7289" s="12">
        <f>C7289+2</f>
        <v>41087</v>
      </c>
      <c r="W7289">
        <f>IF(D7289=' Pivot Tables'!$A$4,1,0)</f>
        <v>0</v>
      </c>
      <c r="X7289">
        <f>IF(AND(LEFT(D7289,4)+1=LEFT(' Pivot Tables'!$A$4,4)+0,RIGHT(LEFT(D7289,7),2)=RIGHT(LEFT(' Pivot Tables'!$A$4,7),2)),1,0)</f>
        <v>0</v>
      </c>
      <c r="Y7289" s="6">
        <f>1/COUNTIF(Таблица1[Order ID],Таблица1[[#This Row],[Order ID]])</f>
        <v>0.5</v>
      </c>
      <c r="Z7289" s="9">
        <f>1/COUNTIFS(Таблица1[Customer Name],Таблица1[[#This Row],[Customer Name]],Таблица1[Order-Year-Month],Таблица1[[#This Row],[Order-Year-Month]])</f>
        <v>0.5</v>
      </c>
    </row>
    <row r="7290" spans="1:26" x14ac:dyDescent="0.2">
      <c r="A7290" s="6">
        <v>7757</v>
      </c>
      <c r="B7290" s="7">
        <v>55494</v>
      </c>
      <c r="C7290" s="8">
        <f>DATE(2012,12,31)-189</f>
        <v>41085</v>
      </c>
      <c r="D7290" s="8" t="str">
        <f t="shared" si="136"/>
        <v>2012-06 (июнь 2012)</v>
      </c>
      <c r="E7290" s="9" t="s">
        <v>45</v>
      </c>
      <c r="F7290" s="7">
        <v>49</v>
      </c>
      <c r="G7290" s="7">
        <v>544.89</v>
      </c>
      <c r="H7290" s="7">
        <v>0.09</v>
      </c>
      <c r="I7290" s="9" t="s">
        <v>22</v>
      </c>
      <c r="J7290" s="10">
        <v>-115.66</v>
      </c>
      <c r="K7290" s="11">
        <v>11.97</v>
      </c>
      <c r="L7290" s="11">
        <v>5.81</v>
      </c>
      <c r="M7290" s="9" t="s">
        <v>1524</v>
      </c>
      <c r="N7290" s="6" t="s">
        <v>703</v>
      </c>
      <c r="O7290" s="6" t="s">
        <v>704</v>
      </c>
      <c r="P7290" s="9" t="s">
        <v>25</v>
      </c>
      <c r="Q7290" s="9" t="s">
        <v>26</v>
      </c>
      <c r="R7290" s="9" t="s">
        <v>95</v>
      </c>
      <c r="S7290" s="7" t="s">
        <v>521</v>
      </c>
      <c r="T7290" s="9" t="s">
        <v>52</v>
      </c>
      <c r="U7290" s="7">
        <v>0.6</v>
      </c>
      <c r="V7290" s="12">
        <f>C7290+1</f>
        <v>41086</v>
      </c>
      <c r="W7290">
        <f>IF(D7290=' Pivot Tables'!$A$4,1,0)</f>
        <v>0</v>
      </c>
      <c r="X7290">
        <f>IF(AND(LEFT(D7290,4)+1=LEFT(' Pivot Tables'!$A$4,4)+0,RIGHT(LEFT(D7290,7),2)=RIGHT(LEFT(' Pivot Tables'!$A$4,7),2)),1,0)</f>
        <v>0</v>
      </c>
      <c r="Y7290" s="6">
        <f>1/COUNTIF(Таблица1[Order ID],Таблица1[[#This Row],[Order ID]])</f>
        <v>0.5</v>
      </c>
      <c r="Z7290" s="9">
        <f>1/COUNTIFS(Таблица1[Customer Name],Таблица1[[#This Row],[Customer Name]],Таблица1[Order-Year-Month],Таблица1[[#This Row],[Order-Year-Month]])</f>
        <v>0.5</v>
      </c>
    </row>
    <row r="7291" spans="1:26" x14ac:dyDescent="0.2">
      <c r="A7291" s="6">
        <v>7762</v>
      </c>
      <c r="B7291" s="7">
        <v>55554</v>
      </c>
      <c r="C7291" s="8">
        <f>DATE(2012,12,31)-1141</f>
        <v>40133</v>
      </c>
      <c r="D7291" s="8" t="str">
        <f t="shared" si="136"/>
        <v>2009-11 (ноябрь 2009)</v>
      </c>
      <c r="E7291" s="9" t="s">
        <v>78</v>
      </c>
      <c r="F7291" s="7">
        <v>6</v>
      </c>
      <c r="G7291" s="7">
        <v>122.09</v>
      </c>
      <c r="H7291" s="7">
        <v>0.04</v>
      </c>
      <c r="I7291" s="9" t="s">
        <v>22</v>
      </c>
      <c r="J7291" s="10">
        <v>-15.2</v>
      </c>
      <c r="K7291" s="11">
        <v>18.97</v>
      </c>
      <c r="L7291" s="11">
        <v>9.5399999999999991</v>
      </c>
      <c r="M7291" s="9" t="s">
        <v>1523</v>
      </c>
      <c r="N7291" s="6" t="s">
        <v>703</v>
      </c>
      <c r="O7291" s="6" t="s">
        <v>704</v>
      </c>
      <c r="P7291" s="9" t="s">
        <v>25</v>
      </c>
      <c r="Q7291" s="9" t="s">
        <v>26</v>
      </c>
      <c r="R7291" s="9" t="s">
        <v>61</v>
      </c>
      <c r="S7291" s="7" t="s">
        <v>581</v>
      </c>
      <c r="T7291" s="9" t="s">
        <v>39</v>
      </c>
      <c r="U7291" s="7">
        <v>0.37</v>
      </c>
      <c r="V7291" s="12">
        <f>C7291+1</f>
        <v>40134</v>
      </c>
      <c r="W7291">
        <f>IF(D7291=' Pivot Tables'!$A$4,1,0)</f>
        <v>0</v>
      </c>
      <c r="X7291">
        <f>IF(AND(LEFT(D7291,4)+1=LEFT(' Pivot Tables'!$A$4,4)+0,RIGHT(LEFT(D7291,7),2)=RIGHT(LEFT(' Pivot Tables'!$A$4,7),2)),1,0)</f>
        <v>0</v>
      </c>
      <c r="Y7291" s="6">
        <f>1/COUNTIF(Таблица1[Order ID],Таблица1[[#This Row],[Order ID]])</f>
        <v>0.33333333333333331</v>
      </c>
      <c r="Z7291" s="9">
        <f>1/COUNTIFS(Таблица1[Customer Name],Таблица1[[#This Row],[Customer Name]],Таблица1[Order-Year-Month],Таблица1[[#This Row],[Order-Year-Month]])</f>
        <v>0.33333333333333331</v>
      </c>
    </row>
    <row r="7292" spans="1:26" x14ac:dyDescent="0.2">
      <c r="A7292" s="6">
        <v>7763</v>
      </c>
      <c r="B7292" s="7">
        <v>55554</v>
      </c>
      <c r="C7292" s="8">
        <f>DATE(2012,12,31)-1141</f>
        <v>40133</v>
      </c>
      <c r="D7292" s="8" t="str">
        <f t="shared" si="136"/>
        <v>2009-11 (ноябрь 2009)</v>
      </c>
      <c r="E7292" s="9" t="s">
        <v>78</v>
      </c>
      <c r="F7292" s="7">
        <v>49</v>
      </c>
      <c r="G7292" s="7">
        <v>150.06</v>
      </c>
      <c r="H7292" s="7">
        <v>0.02</v>
      </c>
      <c r="I7292" s="9" t="s">
        <v>22</v>
      </c>
      <c r="J7292" s="10">
        <v>30.97</v>
      </c>
      <c r="K7292" s="11">
        <v>2.88</v>
      </c>
      <c r="L7292" s="11">
        <v>0.7</v>
      </c>
      <c r="M7292" s="9" t="s">
        <v>1523</v>
      </c>
      <c r="N7292" s="6" t="s">
        <v>703</v>
      </c>
      <c r="O7292" s="6" t="s">
        <v>704</v>
      </c>
      <c r="P7292" s="9" t="s">
        <v>25</v>
      </c>
      <c r="Q7292" s="9" t="s">
        <v>26</v>
      </c>
      <c r="R7292" s="9" t="s">
        <v>95</v>
      </c>
      <c r="S7292" s="7" t="s">
        <v>1059</v>
      </c>
      <c r="T7292" s="9" t="s">
        <v>68</v>
      </c>
      <c r="U7292" s="7">
        <v>0.56000000000000005</v>
      </c>
      <c r="V7292" s="12">
        <f>C7292+3</f>
        <v>40136</v>
      </c>
      <c r="W7292">
        <f>IF(D7292=' Pivot Tables'!$A$4,1,0)</f>
        <v>0</v>
      </c>
      <c r="X7292">
        <f>IF(AND(LEFT(D7292,4)+1=LEFT(' Pivot Tables'!$A$4,4)+0,RIGHT(LEFT(D7292,7),2)=RIGHT(LEFT(' Pivot Tables'!$A$4,7),2)),1,0)</f>
        <v>0</v>
      </c>
      <c r="Y7292" s="6">
        <f>1/COUNTIF(Таблица1[Order ID],Таблица1[[#This Row],[Order ID]])</f>
        <v>0.33333333333333331</v>
      </c>
      <c r="Z7292" s="9">
        <f>1/COUNTIFS(Таблица1[Customer Name],Таблица1[[#This Row],[Customer Name]],Таблица1[Order-Year-Month],Таблица1[[#This Row],[Order-Year-Month]])</f>
        <v>0.33333333333333331</v>
      </c>
    </row>
    <row r="7293" spans="1:26" x14ac:dyDescent="0.2">
      <c r="A7293" s="6">
        <v>7764</v>
      </c>
      <c r="B7293" s="7">
        <v>55554</v>
      </c>
      <c r="C7293" s="8">
        <f>DATE(2012,12,31)-1141</f>
        <v>40133</v>
      </c>
      <c r="D7293" s="8" t="str">
        <f t="shared" si="136"/>
        <v>2009-11 (ноябрь 2009)</v>
      </c>
      <c r="E7293" s="9" t="s">
        <v>78</v>
      </c>
      <c r="F7293" s="7">
        <v>9</v>
      </c>
      <c r="G7293" s="7">
        <v>95.09</v>
      </c>
      <c r="H7293" s="7">
        <v>0.09</v>
      </c>
      <c r="I7293" s="9" t="s">
        <v>22</v>
      </c>
      <c r="J7293" s="10">
        <v>-13.53</v>
      </c>
      <c r="K7293" s="11">
        <v>10.98</v>
      </c>
      <c r="L7293" s="11">
        <v>3.37</v>
      </c>
      <c r="M7293" s="9" t="s">
        <v>1523</v>
      </c>
      <c r="N7293" s="6" t="s">
        <v>703</v>
      </c>
      <c r="O7293" s="6" t="s">
        <v>704</v>
      </c>
      <c r="P7293" s="9" t="s">
        <v>25</v>
      </c>
      <c r="Q7293" s="9" t="s">
        <v>26</v>
      </c>
      <c r="R7293" s="9" t="s">
        <v>150</v>
      </c>
      <c r="S7293" s="7" t="s">
        <v>465</v>
      </c>
      <c r="T7293" s="9" t="s">
        <v>52</v>
      </c>
      <c r="U7293" s="7">
        <v>0.56999999999999995</v>
      </c>
      <c r="V7293" s="12">
        <f>C7293+1</f>
        <v>40134</v>
      </c>
      <c r="W7293">
        <f>IF(D7293=' Pivot Tables'!$A$4,1,0)</f>
        <v>0</v>
      </c>
      <c r="X7293">
        <f>IF(AND(LEFT(D7293,4)+1=LEFT(' Pivot Tables'!$A$4,4)+0,RIGHT(LEFT(D7293,7),2)=RIGHT(LEFT(' Pivot Tables'!$A$4,7),2)),1,0)</f>
        <v>0</v>
      </c>
      <c r="Y7293" s="6">
        <f>1/COUNTIF(Таблица1[Order ID],Таблица1[[#This Row],[Order ID]])</f>
        <v>0.33333333333333331</v>
      </c>
      <c r="Z7293" s="9">
        <f>1/COUNTIFS(Таблица1[Customer Name],Таблица1[[#This Row],[Customer Name]],Таблица1[Order-Year-Month],Таблица1[[#This Row],[Order-Year-Month]])</f>
        <v>0.33333333333333331</v>
      </c>
    </row>
    <row r="7294" spans="1:26" x14ac:dyDescent="0.2">
      <c r="A7294" s="6">
        <v>7775</v>
      </c>
      <c r="B7294" s="7">
        <v>55651</v>
      </c>
      <c r="C7294" s="8">
        <f>DATE(2012,12,31)-299</f>
        <v>40975</v>
      </c>
      <c r="D7294" s="8" t="str">
        <f t="shared" si="136"/>
        <v>2012-03 (март 2012)</v>
      </c>
      <c r="E7294" s="9" t="s">
        <v>63</v>
      </c>
      <c r="F7294" s="7">
        <v>11</v>
      </c>
      <c r="G7294" s="7">
        <v>995.72400000000005</v>
      </c>
      <c r="H7294" s="7">
        <v>0.05</v>
      </c>
      <c r="I7294" s="9" t="s">
        <v>22</v>
      </c>
      <c r="J7294" s="10">
        <v>-117.61199999999999</v>
      </c>
      <c r="K7294" s="11">
        <v>110.99</v>
      </c>
      <c r="L7294" s="11">
        <v>2.5</v>
      </c>
      <c r="M7294" s="9" t="s">
        <v>1094</v>
      </c>
      <c r="N7294" s="6" t="s">
        <v>703</v>
      </c>
      <c r="O7294" s="6" t="s">
        <v>704</v>
      </c>
      <c r="P7294" s="9" t="s">
        <v>41</v>
      </c>
      <c r="Q7294" s="9" t="s">
        <v>42</v>
      </c>
      <c r="R7294" s="9" t="s">
        <v>43</v>
      </c>
      <c r="S7294" s="7" t="s">
        <v>493</v>
      </c>
      <c r="T7294" s="9" t="s">
        <v>39</v>
      </c>
      <c r="U7294" s="7">
        <v>0.56999999999999995</v>
      </c>
      <c r="V7294" s="12">
        <f>C7294+1</f>
        <v>40976</v>
      </c>
      <c r="W7294">
        <f>IF(D7294=' Pivot Tables'!$A$4,1,0)</f>
        <v>0</v>
      </c>
      <c r="X7294">
        <f>IF(AND(LEFT(D7294,4)+1=LEFT(' Pivot Tables'!$A$4,4)+0,RIGHT(LEFT(D7294,7),2)=RIGHT(LEFT(' Pivot Tables'!$A$4,7),2)),1,0)</f>
        <v>0</v>
      </c>
      <c r="Y7294" s="6">
        <f>1/COUNTIF(Таблица1[Order ID],Таблица1[[#This Row],[Order ID]])</f>
        <v>0.33333333333333331</v>
      </c>
      <c r="Z7294" s="9">
        <f>1/COUNTIFS(Таблица1[Customer Name],Таблица1[[#This Row],[Customer Name]],Таблица1[Order-Year-Month],Таблица1[[#This Row],[Order-Year-Month]])</f>
        <v>0.33333333333333331</v>
      </c>
    </row>
    <row r="7295" spans="1:26" x14ac:dyDescent="0.2">
      <c r="A7295" s="6">
        <v>7836</v>
      </c>
      <c r="B7295" s="7">
        <v>56006</v>
      </c>
      <c r="C7295" s="8">
        <f>DATE(2012,12,31)-457</f>
        <v>40817</v>
      </c>
      <c r="D7295" s="8" t="str">
        <f t="shared" si="136"/>
        <v>2011-10 (октябрь 2011)</v>
      </c>
      <c r="E7295" s="9" t="s">
        <v>78</v>
      </c>
      <c r="F7295" s="7">
        <v>16</v>
      </c>
      <c r="G7295" s="7">
        <v>102.99</v>
      </c>
      <c r="H7295" s="7">
        <v>0.1</v>
      </c>
      <c r="I7295" s="9" t="s">
        <v>22</v>
      </c>
      <c r="J7295" s="10">
        <v>-102.17</v>
      </c>
      <c r="K7295" s="11">
        <v>6.48</v>
      </c>
      <c r="L7295" s="11">
        <v>9.68</v>
      </c>
      <c r="M7295" s="9" t="s">
        <v>1581</v>
      </c>
      <c r="N7295" s="6" t="s">
        <v>703</v>
      </c>
      <c r="O7295" s="6" t="s">
        <v>704</v>
      </c>
      <c r="P7295" s="9" t="s">
        <v>25</v>
      </c>
      <c r="Q7295" s="9" t="s">
        <v>26</v>
      </c>
      <c r="R7295" s="9" t="s">
        <v>61</v>
      </c>
      <c r="S7295" s="7" t="s">
        <v>766</v>
      </c>
      <c r="T7295" s="9" t="s">
        <v>39</v>
      </c>
      <c r="U7295" s="7">
        <v>0.36</v>
      </c>
      <c r="V7295" s="12">
        <f>C7295+0</f>
        <v>40817</v>
      </c>
      <c r="W7295">
        <f>IF(D7295=' Pivot Tables'!$A$4,1,0)</f>
        <v>0</v>
      </c>
      <c r="X7295">
        <f>IF(AND(LEFT(D7295,4)+1=LEFT(' Pivot Tables'!$A$4,4)+0,RIGHT(LEFT(D7295,7),2)=RIGHT(LEFT(' Pivot Tables'!$A$4,7),2)),1,0)</f>
        <v>0</v>
      </c>
      <c r="Y7295" s="6">
        <f>1/COUNTIF(Таблица1[Order ID],Таблица1[[#This Row],[Order ID]])</f>
        <v>0.5</v>
      </c>
      <c r="Z7295" s="9">
        <f>1/COUNTIFS(Таблица1[Customer Name],Таблица1[[#This Row],[Customer Name]],Таблица1[Order-Year-Month],Таблица1[[#This Row],[Order-Year-Month]])</f>
        <v>0.5</v>
      </c>
    </row>
    <row r="7296" spans="1:26" x14ac:dyDescent="0.2">
      <c r="A7296" s="6">
        <v>7837</v>
      </c>
      <c r="B7296" s="7">
        <v>56006</v>
      </c>
      <c r="C7296" s="8">
        <f>DATE(2012,12,31)-457</f>
        <v>40817</v>
      </c>
      <c r="D7296" s="8" t="str">
        <f t="shared" si="136"/>
        <v>2011-10 (октябрь 2011)</v>
      </c>
      <c r="E7296" s="9" t="s">
        <v>78</v>
      </c>
      <c r="F7296" s="7">
        <v>20</v>
      </c>
      <c r="G7296" s="7">
        <v>1429.088</v>
      </c>
      <c r="H7296" s="7">
        <v>0.06</v>
      </c>
      <c r="I7296" s="9" t="s">
        <v>22</v>
      </c>
      <c r="J7296" s="10">
        <v>500.04899999999998</v>
      </c>
      <c r="K7296" s="11">
        <v>85.99</v>
      </c>
      <c r="L7296" s="11">
        <v>1.25</v>
      </c>
      <c r="M7296" s="9" t="s">
        <v>1581</v>
      </c>
      <c r="N7296" s="6" t="s">
        <v>703</v>
      </c>
      <c r="O7296" s="6" t="s">
        <v>704</v>
      </c>
      <c r="P7296" s="9" t="s">
        <v>25</v>
      </c>
      <c r="Q7296" s="9" t="s">
        <v>42</v>
      </c>
      <c r="R7296" s="9" t="s">
        <v>43</v>
      </c>
      <c r="S7296" s="7" t="s">
        <v>438</v>
      </c>
      <c r="T7296" s="9" t="s">
        <v>52</v>
      </c>
      <c r="U7296" s="7">
        <v>0.39</v>
      </c>
      <c r="V7296" s="12">
        <f t="shared" ref="V7296:V7301" si="138">C7296+2</f>
        <v>40819</v>
      </c>
      <c r="W7296">
        <f>IF(D7296=' Pivot Tables'!$A$4,1,0)</f>
        <v>0</v>
      </c>
      <c r="X7296">
        <f>IF(AND(LEFT(D7296,4)+1=LEFT(' Pivot Tables'!$A$4,4)+0,RIGHT(LEFT(D7296,7),2)=RIGHT(LEFT(' Pivot Tables'!$A$4,7),2)),1,0)</f>
        <v>0</v>
      </c>
      <c r="Y7296" s="6">
        <f>1/COUNTIF(Таблица1[Order ID],Таблица1[[#This Row],[Order ID]])</f>
        <v>0.5</v>
      </c>
      <c r="Z7296" s="9">
        <f>1/COUNTIFS(Таблица1[Customer Name],Таблица1[[#This Row],[Customer Name]],Таблица1[Order-Year-Month],Таблица1[[#This Row],[Order-Year-Month]])</f>
        <v>0.5</v>
      </c>
    </row>
    <row r="7297" spans="1:26" x14ac:dyDescent="0.2">
      <c r="A7297" s="6">
        <v>7850</v>
      </c>
      <c r="B7297" s="7">
        <v>56130</v>
      </c>
      <c r="C7297" s="8">
        <f>DATE(2012,12,31)-398</f>
        <v>40876</v>
      </c>
      <c r="D7297" s="8" t="str">
        <f t="shared" si="136"/>
        <v>2011-11 (ноябрь 2011)</v>
      </c>
      <c r="E7297" s="9" t="s">
        <v>63</v>
      </c>
      <c r="F7297" s="7">
        <v>13</v>
      </c>
      <c r="G7297" s="7">
        <v>246.06</v>
      </c>
      <c r="H7297" s="7">
        <v>0.08</v>
      </c>
      <c r="I7297" s="9" t="s">
        <v>22</v>
      </c>
      <c r="J7297" s="10">
        <v>52.33</v>
      </c>
      <c r="K7297" s="11">
        <v>18.7</v>
      </c>
      <c r="L7297" s="11">
        <v>8.99</v>
      </c>
      <c r="M7297" s="9" t="s">
        <v>2045</v>
      </c>
      <c r="N7297" s="6" t="s">
        <v>703</v>
      </c>
      <c r="O7297" s="6" t="s">
        <v>704</v>
      </c>
      <c r="P7297" s="9" t="s">
        <v>41</v>
      </c>
      <c r="Q7297" s="9" t="s">
        <v>49</v>
      </c>
      <c r="R7297" s="9" t="s">
        <v>50</v>
      </c>
      <c r="S7297" s="7" t="s">
        <v>1077</v>
      </c>
      <c r="T7297" s="9" t="s">
        <v>52</v>
      </c>
      <c r="U7297" s="7">
        <v>0.47</v>
      </c>
      <c r="V7297" s="12">
        <f t="shared" si="138"/>
        <v>40878</v>
      </c>
      <c r="W7297">
        <f>IF(D7297=' Pivot Tables'!$A$4,1,0)</f>
        <v>0</v>
      </c>
      <c r="X7297">
        <f>IF(AND(LEFT(D7297,4)+1=LEFT(' Pivot Tables'!$A$4,4)+0,RIGHT(LEFT(D7297,7),2)=RIGHT(LEFT(' Pivot Tables'!$A$4,7),2)),1,0)</f>
        <v>0</v>
      </c>
      <c r="Y7297" s="6">
        <f>1/COUNTIF(Таблица1[Order ID],Таблица1[[#This Row],[Order ID]])</f>
        <v>0.5</v>
      </c>
      <c r="Z7297" s="9">
        <f>1/COUNTIFS(Таблица1[Customer Name],Таблица1[[#This Row],[Customer Name]],Таблица1[Order-Year-Month],Таблица1[[#This Row],[Order-Year-Month]])</f>
        <v>0.5</v>
      </c>
    </row>
    <row r="7298" spans="1:26" x14ac:dyDescent="0.2">
      <c r="A7298" s="6">
        <v>7851</v>
      </c>
      <c r="B7298" s="7">
        <v>56130</v>
      </c>
      <c r="C7298" s="8">
        <f>DATE(2012,12,31)-398</f>
        <v>40876</v>
      </c>
      <c r="D7298" s="8" t="str">
        <f t="shared" si="136"/>
        <v>2011-11 (ноябрь 2011)</v>
      </c>
      <c r="E7298" s="9" t="s">
        <v>63</v>
      </c>
      <c r="F7298" s="7">
        <v>25</v>
      </c>
      <c r="G7298" s="7">
        <v>41.87</v>
      </c>
      <c r="H7298" s="7">
        <v>0.05</v>
      </c>
      <c r="I7298" s="9" t="s">
        <v>22</v>
      </c>
      <c r="J7298" s="10">
        <v>-25.52</v>
      </c>
      <c r="K7298" s="11">
        <v>1.68</v>
      </c>
      <c r="L7298" s="11">
        <v>1.57</v>
      </c>
      <c r="M7298" s="9" t="s">
        <v>2045</v>
      </c>
      <c r="N7298" s="6" t="s">
        <v>703</v>
      </c>
      <c r="O7298" s="6" t="s">
        <v>704</v>
      </c>
      <c r="P7298" s="9" t="s">
        <v>41</v>
      </c>
      <c r="Q7298" s="9" t="s">
        <v>26</v>
      </c>
      <c r="R7298" s="9" t="s">
        <v>95</v>
      </c>
      <c r="S7298" s="7" t="s">
        <v>220</v>
      </c>
      <c r="T7298" s="9" t="s">
        <v>68</v>
      </c>
      <c r="U7298" s="7">
        <v>0.59</v>
      </c>
      <c r="V7298" s="12">
        <f t="shared" si="138"/>
        <v>40878</v>
      </c>
      <c r="W7298">
        <f>IF(D7298=' Pivot Tables'!$A$4,1,0)</f>
        <v>0</v>
      </c>
      <c r="X7298">
        <f>IF(AND(LEFT(D7298,4)+1=LEFT(' Pivot Tables'!$A$4,4)+0,RIGHT(LEFT(D7298,7),2)=RIGHT(LEFT(' Pivot Tables'!$A$4,7),2)),1,0)</f>
        <v>0</v>
      </c>
      <c r="Y7298" s="6">
        <f>1/COUNTIF(Таблица1[Order ID],Таблица1[[#This Row],[Order ID]])</f>
        <v>0.5</v>
      </c>
      <c r="Z7298" s="9">
        <f>1/COUNTIFS(Таблица1[Customer Name],Таблица1[[#This Row],[Customer Name]],Таблица1[Order-Year-Month],Таблица1[[#This Row],[Order-Year-Month]])</f>
        <v>0.5</v>
      </c>
    </row>
    <row r="7299" spans="1:26" x14ac:dyDescent="0.2">
      <c r="A7299" s="6">
        <v>7855</v>
      </c>
      <c r="B7299" s="7">
        <v>56162</v>
      </c>
      <c r="C7299" s="8">
        <f>DATE(2012,12,31)-616</f>
        <v>40658</v>
      </c>
      <c r="D7299" s="8" t="str">
        <f t="shared" ref="D7299:D7362" si="139">TEXT(C7299,"гггг-ММ (ММММ гггг)")</f>
        <v>2011-04 (апрель 2011)</v>
      </c>
      <c r="E7299" s="9" t="s">
        <v>45</v>
      </c>
      <c r="F7299" s="7">
        <v>30</v>
      </c>
      <c r="G7299" s="7">
        <v>5217.79</v>
      </c>
      <c r="H7299" s="7">
        <v>0.09</v>
      </c>
      <c r="I7299" s="9" t="s">
        <v>31</v>
      </c>
      <c r="J7299" s="10">
        <v>209.54</v>
      </c>
      <c r="K7299" s="11">
        <v>180.98</v>
      </c>
      <c r="L7299" s="11">
        <v>30</v>
      </c>
      <c r="M7299" s="9" t="s">
        <v>1566</v>
      </c>
      <c r="N7299" s="6" t="s">
        <v>703</v>
      </c>
      <c r="O7299" s="6" t="s">
        <v>704</v>
      </c>
      <c r="P7299" s="9" t="s">
        <v>41</v>
      </c>
      <c r="Q7299" s="9" t="s">
        <v>49</v>
      </c>
      <c r="R7299" s="9" t="s">
        <v>112</v>
      </c>
      <c r="S7299" s="7" t="s">
        <v>957</v>
      </c>
      <c r="T7299" s="9" t="s">
        <v>36</v>
      </c>
      <c r="U7299" s="7">
        <v>0.69</v>
      </c>
      <c r="V7299" s="12">
        <f t="shared" si="138"/>
        <v>40660</v>
      </c>
      <c r="W7299">
        <f>IF(D7299=' Pivot Tables'!$A$4,1,0)</f>
        <v>0</v>
      </c>
      <c r="X7299">
        <f>IF(AND(LEFT(D7299,4)+1=LEFT(' Pivot Tables'!$A$4,4)+0,RIGHT(LEFT(D7299,7),2)=RIGHT(LEFT(' Pivot Tables'!$A$4,7),2)),1,0)</f>
        <v>0</v>
      </c>
      <c r="Y7299" s="6">
        <f>1/COUNTIF(Таблица1[Order ID],Таблица1[[#This Row],[Order ID]])</f>
        <v>1</v>
      </c>
      <c r="Z7299" s="9">
        <f>1/COUNTIFS(Таблица1[Customer Name],Таблица1[[#This Row],[Customer Name]],Таблица1[Order-Year-Month],Таблица1[[#This Row],[Order-Year-Month]])</f>
        <v>1</v>
      </c>
    </row>
    <row r="7300" spans="1:26" x14ac:dyDescent="0.2">
      <c r="A7300" s="6">
        <v>7867</v>
      </c>
      <c r="B7300" s="7">
        <v>56261</v>
      </c>
      <c r="C7300" s="8">
        <f>DATE(2012,12,31)-308</f>
        <v>40966</v>
      </c>
      <c r="D7300" s="8" t="str">
        <f t="shared" si="139"/>
        <v>2012-02 (февраль 2012)</v>
      </c>
      <c r="E7300" s="9" t="s">
        <v>78</v>
      </c>
      <c r="F7300" s="7">
        <v>43</v>
      </c>
      <c r="G7300" s="7">
        <v>16886.759999999998</v>
      </c>
      <c r="H7300" s="7">
        <v>0.02</v>
      </c>
      <c r="I7300" s="9" t="s">
        <v>31</v>
      </c>
      <c r="J7300" s="10">
        <v>483.95</v>
      </c>
      <c r="K7300" s="11">
        <v>376.13</v>
      </c>
      <c r="L7300" s="11">
        <v>85.63</v>
      </c>
      <c r="M7300" s="9" t="s">
        <v>2050</v>
      </c>
      <c r="N7300" s="6" t="s">
        <v>703</v>
      </c>
      <c r="O7300" s="6" t="s">
        <v>704</v>
      </c>
      <c r="P7300" s="9" t="s">
        <v>33</v>
      </c>
      <c r="Q7300" s="9" t="s">
        <v>49</v>
      </c>
      <c r="R7300" s="9" t="s">
        <v>83</v>
      </c>
      <c r="S7300" s="7" t="s">
        <v>725</v>
      </c>
      <c r="T7300" s="9" t="s">
        <v>82</v>
      </c>
      <c r="U7300" s="7">
        <v>0.74</v>
      </c>
      <c r="V7300" s="12">
        <f t="shared" si="138"/>
        <v>40968</v>
      </c>
      <c r="W7300">
        <f>IF(D7300=' Pivot Tables'!$A$4,1,0)</f>
        <v>0</v>
      </c>
      <c r="X7300">
        <f>IF(AND(LEFT(D7300,4)+1=LEFT(' Pivot Tables'!$A$4,4)+0,RIGHT(LEFT(D7300,7),2)=RIGHT(LEFT(' Pivot Tables'!$A$4,7),2)),1,0)</f>
        <v>0</v>
      </c>
      <c r="Y7300" s="6">
        <f>1/COUNTIF(Таблица1[Order ID],Таблица1[[#This Row],[Order ID]])</f>
        <v>1</v>
      </c>
      <c r="Z7300" s="9">
        <f>1/COUNTIFS(Таблица1[Customer Name],Таблица1[[#This Row],[Customer Name]],Таблица1[Order-Year-Month],Таблица1[[#This Row],[Order-Year-Month]])</f>
        <v>1</v>
      </c>
    </row>
    <row r="7301" spans="1:26" x14ac:dyDescent="0.2">
      <c r="A7301" s="6">
        <v>7881</v>
      </c>
      <c r="B7301" s="7">
        <v>56358</v>
      </c>
      <c r="C7301" s="8">
        <f>DATE(2012,12,31)-305</f>
        <v>40969</v>
      </c>
      <c r="D7301" s="8" t="str">
        <f t="shared" si="139"/>
        <v>2012-03 (март 2012)</v>
      </c>
      <c r="E7301" s="9" t="s">
        <v>45</v>
      </c>
      <c r="F7301" s="7">
        <v>1</v>
      </c>
      <c r="G7301" s="7">
        <v>11.7</v>
      </c>
      <c r="H7301" s="7">
        <v>0</v>
      </c>
      <c r="I7301" s="9" t="s">
        <v>22</v>
      </c>
      <c r="J7301" s="10">
        <v>-8.06</v>
      </c>
      <c r="K7301" s="11">
        <v>5.89</v>
      </c>
      <c r="L7301" s="11">
        <v>5.57</v>
      </c>
      <c r="M7301" s="9" t="s">
        <v>2035</v>
      </c>
      <c r="N7301" s="6" t="s">
        <v>703</v>
      </c>
      <c r="O7301" s="6" t="s">
        <v>704</v>
      </c>
      <c r="P7301" s="9" t="s">
        <v>33</v>
      </c>
      <c r="Q7301" s="9" t="s">
        <v>49</v>
      </c>
      <c r="R7301" s="9" t="s">
        <v>50</v>
      </c>
      <c r="S7301" s="7" t="s">
        <v>467</v>
      </c>
      <c r="T7301" s="9" t="s">
        <v>39</v>
      </c>
      <c r="U7301" s="7">
        <v>0.41</v>
      </c>
      <c r="V7301" s="12">
        <f t="shared" si="138"/>
        <v>40971</v>
      </c>
      <c r="W7301">
        <f>IF(D7301=' Pivot Tables'!$A$4,1,0)</f>
        <v>0</v>
      </c>
      <c r="X7301">
        <f>IF(AND(LEFT(D7301,4)+1=LEFT(' Pivot Tables'!$A$4,4)+0,RIGHT(LEFT(D7301,7),2)=RIGHT(LEFT(' Pivot Tables'!$A$4,7),2)),1,0)</f>
        <v>0</v>
      </c>
      <c r="Y7301" s="6">
        <f>1/COUNTIF(Таблица1[Order ID],Таблица1[[#This Row],[Order ID]])</f>
        <v>1</v>
      </c>
      <c r="Z7301" s="9">
        <f>1/COUNTIFS(Таблица1[Customer Name],Таблица1[[#This Row],[Customer Name]],Таблица1[Order-Year-Month],Таблица1[[#This Row],[Order-Year-Month]])</f>
        <v>1</v>
      </c>
    </row>
    <row r="7302" spans="1:26" x14ac:dyDescent="0.2">
      <c r="A7302" s="6">
        <v>7893</v>
      </c>
      <c r="B7302" s="7">
        <v>56452</v>
      </c>
      <c r="C7302" s="8">
        <f>DATE(2012,12,31)-1416</f>
        <v>39858</v>
      </c>
      <c r="D7302" s="8" t="str">
        <f t="shared" si="139"/>
        <v>2009-02 (февраль 2009)</v>
      </c>
      <c r="E7302" s="9" t="s">
        <v>45</v>
      </c>
      <c r="F7302" s="7">
        <v>34</v>
      </c>
      <c r="G7302" s="7">
        <v>6686.344000000001</v>
      </c>
      <c r="H7302" s="7">
        <v>0</v>
      </c>
      <c r="I7302" s="9" t="s">
        <v>31</v>
      </c>
      <c r="J7302" s="10">
        <v>1192.04</v>
      </c>
      <c r="K7302" s="11">
        <v>236.97</v>
      </c>
      <c r="L7302" s="11">
        <v>59.24</v>
      </c>
      <c r="M7302" s="9" t="s">
        <v>2031</v>
      </c>
      <c r="N7302" s="6" t="s">
        <v>703</v>
      </c>
      <c r="O7302" s="6" t="s">
        <v>704</v>
      </c>
      <c r="P7302" s="9" t="s">
        <v>33</v>
      </c>
      <c r="Q7302" s="9" t="s">
        <v>49</v>
      </c>
      <c r="R7302" s="9" t="s">
        <v>83</v>
      </c>
      <c r="S7302" s="7" t="s">
        <v>1149</v>
      </c>
      <c r="T7302" s="9" t="s">
        <v>82</v>
      </c>
      <c r="U7302" s="7">
        <v>0.61</v>
      </c>
      <c r="V7302" s="12">
        <f>C7302+1</f>
        <v>39859</v>
      </c>
      <c r="W7302">
        <f>IF(D7302=' Pivot Tables'!$A$4,1,0)</f>
        <v>0</v>
      </c>
      <c r="X7302">
        <f>IF(AND(LEFT(D7302,4)+1=LEFT(' Pivot Tables'!$A$4,4)+0,RIGHT(LEFT(D7302,7),2)=RIGHT(LEFT(' Pivot Tables'!$A$4,7),2)),1,0)</f>
        <v>0</v>
      </c>
      <c r="Y7302" s="6">
        <f>1/COUNTIF(Таблица1[Order ID],Таблица1[[#This Row],[Order ID]])</f>
        <v>1</v>
      </c>
      <c r="Z7302" s="9">
        <f>1/COUNTIFS(Таблица1[Customer Name],Таблица1[[#This Row],[Customer Name]],Таблица1[Order-Year-Month],Таблица1[[#This Row],[Order-Year-Month]])</f>
        <v>1</v>
      </c>
    </row>
    <row r="7303" spans="1:26" x14ac:dyDescent="0.2">
      <c r="A7303" s="6">
        <v>7895</v>
      </c>
      <c r="B7303" s="7">
        <v>56483</v>
      </c>
      <c r="C7303" s="8">
        <f>DATE(2012,12,31)-1411</f>
        <v>39863</v>
      </c>
      <c r="D7303" s="8" t="str">
        <f t="shared" si="139"/>
        <v>2009-02 (февраль 2009)</v>
      </c>
      <c r="E7303" s="9" t="s">
        <v>30</v>
      </c>
      <c r="F7303" s="7">
        <v>37</v>
      </c>
      <c r="G7303" s="7">
        <v>158.62</v>
      </c>
      <c r="H7303" s="7">
        <v>0.05</v>
      </c>
      <c r="I7303" s="9" t="s">
        <v>22</v>
      </c>
      <c r="J7303" s="10">
        <v>-104.57</v>
      </c>
      <c r="K7303" s="11">
        <v>4.28</v>
      </c>
      <c r="L7303" s="11">
        <v>5.17</v>
      </c>
      <c r="M7303" s="9" t="s">
        <v>1575</v>
      </c>
      <c r="N7303" s="6" t="s">
        <v>703</v>
      </c>
      <c r="O7303" s="6" t="s">
        <v>704</v>
      </c>
      <c r="P7303" s="9" t="s">
        <v>25</v>
      </c>
      <c r="Q7303" s="9" t="s">
        <v>26</v>
      </c>
      <c r="R7303" s="9" t="s">
        <v>61</v>
      </c>
      <c r="S7303" s="7" t="s">
        <v>266</v>
      </c>
      <c r="T7303" s="9" t="s">
        <v>39</v>
      </c>
      <c r="U7303" s="7">
        <v>0.4</v>
      </c>
      <c r="V7303" s="12">
        <f>C7303+0</f>
        <v>39863</v>
      </c>
      <c r="W7303">
        <f>IF(D7303=' Pivot Tables'!$A$4,1,0)</f>
        <v>0</v>
      </c>
      <c r="X7303">
        <f>IF(AND(LEFT(D7303,4)+1=LEFT(' Pivot Tables'!$A$4,4)+0,RIGHT(LEFT(D7303,7),2)=RIGHT(LEFT(' Pivot Tables'!$A$4,7),2)),1,0)</f>
        <v>0</v>
      </c>
      <c r="Y7303" s="6">
        <f>1/COUNTIF(Таблица1[Order ID],Таблица1[[#This Row],[Order ID]])</f>
        <v>1</v>
      </c>
      <c r="Z7303" s="9">
        <f>1/COUNTIFS(Таблица1[Customer Name],Таблица1[[#This Row],[Customer Name]],Таблица1[Order-Year-Month],Таблица1[[#This Row],[Order-Year-Month]])</f>
        <v>1</v>
      </c>
    </row>
    <row r="7304" spans="1:26" x14ac:dyDescent="0.2">
      <c r="A7304" s="6">
        <v>7896</v>
      </c>
      <c r="B7304" s="7">
        <v>56484</v>
      </c>
      <c r="C7304" s="8">
        <f>DATE(2012,12,31)-406</f>
        <v>40868</v>
      </c>
      <c r="D7304" s="8" t="str">
        <f t="shared" si="139"/>
        <v>2011-11 (ноябрь 2011)</v>
      </c>
      <c r="E7304" s="9" t="s">
        <v>45</v>
      </c>
      <c r="F7304" s="7">
        <v>6</v>
      </c>
      <c r="G7304" s="7">
        <v>176.58</v>
      </c>
      <c r="H7304" s="7">
        <v>0.1</v>
      </c>
      <c r="I7304" s="9" t="s">
        <v>22</v>
      </c>
      <c r="J7304" s="10">
        <v>28.339000000000002</v>
      </c>
      <c r="K7304" s="11">
        <v>30.56</v>
      </c>
      <c r="L7304" s="11">
        <v>2.99</v>
      </c>
      <c r="M7304" s="9" t="s">
        <v>1469</v>
      </c>
      <c r="N7304" s="6" t="s">
        <v>703</v>
      </c>
      <c r="O7304" s="6" t="s">
        <v>704</v>
      </c>
      <c r="P7304" s="9" t="s">
        <v>25</v>
      </c>
      <c r="Q7304" s="9" t="s">
        <v>26</v>
      </c>
      <c r="R7304" s="9" t="s">
        <v>37</v>
      </c>
      <c r="S7304" s="7" t="s">
        <v>250</v>
      </c>
      <c r="T7304" s="9" t="s">
        <v>39</v>
      </c>
      <c r="U7304" s="7">
        <v>0.35</v>
      </c>
      <c r="V7304" s="12">
        <f>C7304+1</f>
        <v>40869</v>
      </c>
      <c r="W7304">
        <f>IF(D7304=' Pivot Tables'!$A$4,1,0)</f>
        <v>0</v>
      </c>
      <c r="X7304">
        <f>IF(AND(LEFT(D7304,4)+1=LEFT(' Pivot Tables'!$A$4,4)+0,RIGHT(LEFT(D7304,7),2)=RIGHT(LEFT(' Pivot Tables'!$A$4,7),2)),1,0)</f>
        <v>0</v>
      </c>
      <c r="Y7304" s="6">
        <f>1/COUNTIF(Таблица1[Order ID],Таблица1[[#This Row],[Order ID]])</f>
        <v>0.5</v>
      </c>
      <c r="Z7304" s="9">
        <f>1/COUNTIFS(Таблица1[Customer Name],Таблица1[[#This Row],[Customer Name]],Таблица1[Order-Year-Month],Таблица1[[#This Row],[Order-Year-Month]])</f>
        <v>0.5</v>
      </c>
    </row>
    <row r="7305" spans="1:26" x14ac:dyDescent="0.2">
      <c r="A7305" s="6">
        <v>7897</v>
      </c>
      <c r="B7305" s="7">
        <v>56484</v>
      </c>
      <c r="C7305" s="8">
        <f>DATE(2012,12,31)-406</f>
        <v>40868</v>
      </c>
      <c r="D7305" s="8" t="str">
        <f t="shared" si="139"/>
        <v>2011-11 (ноябрь 2011)</v>
      </c>
      <c r="E7305" s="9" t="s">
        <v>45</v>
      </c>
      <c r="F7305" s="7">
        <v>15</v>
      </c>
      <c r="G7305" s="7">
        <v>1121.8399999999999</v>
      </c>
      <c r="H7305" s="7">
        <v>0</v>
      </c>
      <c r="I7305" s="9" t="s">
        <v>22</v>
      </c>
      <c r="J7305" s="10">
        <v>-173.66</v>
      </c>
      <c r="K7305" s="11">
        <v>73.98</v>
      </c>
      <c r="L7305" s="11">
        <v>12.14</v>
      </c>
      <c r="M7305" s="9" t="s">
        <v>1469</v>
      </c>
      <c r="N7305" s="6" t="s">
        <v>703</v>
      </c>
      <c r="O7305" s="6" t="s">
        <v>704</v>
      </c>
      <c r="P7305" s="9" t="s">
        <v>25</v>
      </c>
      <c r="Q7305" s="9" t="s">
        <v>42</v>
      </c>
      <c r="R7305" s="9" t="s">
        <v>70</v>
      </c>
      <c r="S7305" s="7" t="s">
        <v>810</v>
      </c>
      <c r="T7305" s="9" t="s">
        <v>39</v>
      </c>
      <c r="U7305" s="7">
        <v>0.67</v>
      </c>
      <c r="V7305" s="12">
        <f>C7305+1</f>
        <v>40869</v>
      </c>
      <c r="W7305">
        <f>IF(D7305=' Pivot Tables'!$A$4,1,0)</f>
        <v>0</v>
      </c>
      <c r="X7305">
        <f>IF(AND(LEFT(D7305,4)+1=LEFT(' Pivot Tables'!$A$4,4)+0,RIGHT(LEFT(D7305,7),2)=RIGHT(LEFT(' Pivot Tables'!$A$4,7),2)),1,0)</f>
        <v>0</v>
      </c>
      <c r="Y7305" s="6">
        <f>1/COUNTIF(Таблица1[Order ID],Таблица1[[#This Row],[Order ID]])</f>
        <v>0.5</v>
      </c>
      <c r="Z7305" s="9">
        <f>1/COUNTIFS(Таблица1[Customer Name],Таблица1[[#This Row],[Customer Name]],Таблица1[Order-Year-Month],Таблица1[[#This Row],[Order-Year-Month]])</f>
        <v>0.5</v>
      </c>
    </row>
    <row r="7306" spans="1:26" x14ac:dyDescent="0.2">
      <c r="A7306" s="6">
        <v>7931</v>
      </c>
      <c r="B7306" s="7">
        <v>56676</v>
      </c>
      <c r="C7306" s="8">
        <f>DATE(2012,12,31)-67</f>
        <v>41207</v>
      </c>
      <c r="D7306" s="8" t="str">
        <f t="shared" si="139"/>
        <v>2012-10 (октябрь 2012)</v>
      </c>
      <c r="E7306" s="9" t="s">
        <v>78</v>
      </c>
      <c r="F7306" s="7">
        <v>39</v>
      </c>
      <c r="G7306" s="7">
        <v>206.47</v>
      </c>
      <c r="H7306" s="7">
        <v>0.08</v>
      </c>
      <c r="I7306" s="9" t="s">
        <v>22</v>
      </c>
      <c r="J7306" s="10">
        <v>-107.2</v>
      </c>
      <c r="K7306" s="11">
        <v>5.28</v>
      </c>
      <c r="L7306" s="11">
        <v>5.66</v>
      </c>
      <c r="M7306" s="9" t="s">
        <v>2044</v>
      </c>
      <c r="N7306" s="6" t="s">
        <v>703</v>
      </c>
      <c r="O7306" s="6" t="s">
        <v>704</v>
      </c>
      <c r="P7306" s="9" t="s">
        <v>33</v>
      </c>
      <c r="Q7306" s="9" t="s">
        <v>26</v>
      </c>
      <c r="R7306" s="9" t="s">
        <v>61</v>
      </c>
      <c r="S7306" s="7" t="s">
        <v>424</v>
      </c>
      <c r="T7306" s="9" t="s">
        <v>39</v>
      </c>
      <c r="U7306" s="7">
        <v>0.4</v>
      </c>
      <c r="V7306" s="12">
        <f>C7306+1</f>
        <v>41208</v>
      </c>
      <c r="W7306">
        <f>IF(D7306=' Pivot Tables'!$A$4,1,0)</f>
        <v>0</v>
      </c>
      <c r="X7306">
        <f>IF(AND(LEFT(D7306,4)+1=LEFT(' Pivot Tables'!$A$4,4)+0,RIGHT(LEFT(D7306,7),2)=RIGHT(LEFT(' Pivot Tables'!$A$4,7),2)),1,0)</f>
        <v>0</v>
      </c>
      <c r="Y7306" s="6">
        <f>1/COUNTIF(Таблица1[Order ID],Таблица1[[#This Row],[Order ID]])</f>
        <v>1</v>
      </c>
      <c r="Z7306" s="9">
        <f>1/COUNTIFS(Таблица1[Customer Name],Таблица1[[#This Row],[Customer Name]],Таблица1[Order-Year-Month],Таблица1[[#This Row],[Order-Year-Month]])</f>
        <v>1</v>
      </c>
    </row>
    <row r="7307" spans="1:26" x14ac:dyDescent="0.2">
      <c r="A7307" s="6">
        <v>7941</v>
      </c>
      <c r="B7307" s="7">
        <v>56740</v>
      </c>
      <c r="C7307" s="8">
        <f>DATE(2012,12,31)-76</f>
        <v>41198</v>
      </c>
      <c r="D7307" s="8" t="str">
        <f t="shared" si="139"/>
        <v>2012-10 (октябрь 2012)</v>
      </c>
      <c r="E7307" s="9" t="s">
        <v>21</v>
      </c>
      <c r="F7307" s="7">
        <v>6</v>
      </c>
      <c r="G7307" s="7">
        <v>34.29</v>
      </c>
      <c r="H7307" s="7">
        <v>0.05</v>
      </c>
      <c r="I7307" s="9" t="s">
        <v>22</v>
      </c>
      <c r="J7307" s="10">
        <v>-6.8194999999999997</v>
      </c>
      <c r="K7307" s="11">
        <v>5.28</v>
      </c>
      <c r="L7307" s="11">
        <v>2.99</v>
      </c>
      <c r="M7307" s="9" t="s">
        <v>1474</v>
      </c>
      <c r="N7307" s="6" t="s">
        <v>703</v>
      </c>
      <c r="O7307" s="6" t="s">
        <v>704</v>
      </c>
      <c r="P7307" s="9" t="s">
        <v>33</v>
      </c>
      <c r="Q7307" s="9" t="s">
        <v>26</v>
      </c>
      <c r="R7307" s="9" t="s">
        <v>37</v>
      </c>
      <c r="S7307" s="7" t="s">
        <v>73</v>
      </c>
      <c r="T7307" s="9" t="s">
        <v>39</v>
      </c>
      <c r="U7307" s="7">
        <v>0.37</v>
      </c>
      <c r="V7307" s="12">
        <f>C7307+2</f>
        <v>41200</v>
      </c>
      <c r="W7307">
        <f>IF(D7307=' Pivot Tables'!$A$4,1,0)</f>
        <v>0</v>
      </c>
      <c r="X7307">
        <f>IF(AND(LEFT(D7307,4)+1=LEFT(' Pivot Tables'!$A$4,4)+0,RIGHT(LEFT(D7307,7),2)=RIGHT(LEFT(' Pivot Tables'!$A$4,7),2)),1,0)</f>
        <v>0</v>
      </c>
      <c r="Y7307" s="6">
        <f>1/COUNTIF(Таблица1[Order ID],Таблица1[[#This Row],[Order ID]])</f>
        <v>0.33333333333333331</v>
      </c>
      <c r="Z7307" s="9">
        <f>1/COUNTIFS(Таблица1[Customer Name],Таблица1[[#This Row],[Customer Name]],Таблица1[Order-Year-Month],Таблица1[[#This Row],[Order-Year-Month]])</f>
        <v>0.5</v>
      </c>
    </row>
    <row r="7308" spans="1:26" x14ac:dyDescent="0.2">
      <c r="A7308" s="6">
        <v>7942</v>
      </c>
      <c r="B7308" s="7">
        <v>56740</v>
      </c>
      <c r="C7308" s="8">
        <f>DATE(2012,12,31)-76</f>
        <v>41198</v>
      </c>
      <c r="D7308" s="8" t="str">
        <f t="shared" si="139"/>
        <v>2012-10 (октябрь 2012)</v>
      </c>
      <c r="E7308" s="9" t="s">
        <v>21</v>
      </c>
      <c r="F7308" s="7">
        <v>29</v>
      </c>
      <c r="G7308" s="7">
        <v>23516.31</v>
      </c>
      <c r="H7308" s="7">
        <v>0.09</v>
      </c>
      <c r="I7308" s="9" t="s">
        <v>22</v>
      </c>
      <c r="J7308" s="10">
        <v>1094.74</v>
      </c>
      <c r="K7308" s="11">
        <v>832.81</v>
      </c>
      <c r="L7308" s="11">
        <v>24.49</v>
      </c>
      <c r="M7308" s="9" t="s">
        <v>1474</v>
      </c>
      <c r="N7308" s="6" t="s">
        <v>703</v>
      </c>
      <c r="O7308" s="6" t="s">
        <v>704</v>
      </c>
      <c r="P7308" s="9" t="s">
        <v>33</v>
      </c>
      <c r="Q7308" s="9" t="s">
        <v>26</v>
      </c>
      <c r="R7308" s="9" t="s">
        <v>150</v>
      </c>
      <c r="S7308" s="7" t="s">
        <v>1936</v>
      </c>
      <c r="T7308" s="9" t="s">
        <v>48</v>
      </c>
      <c r="U7308" s="7">
        <v>0.83</v>
      </c>
      <c r="V7308" s="12">
        <f>C7308+4</f>
        <v>41202</v>
      </c>
      <c r="W7308">
        <f>IF(D7308=' Pivot Tables'!$A$4,1,0)</f>
        <v>0</v>
      </c>
      <c r="X7308">
        <f>IF(AND(LEFT(D7308,4)+1=LEFT(' Pivot Tables'!$A$4,4)+0,RIGHT(LEFT(D7308,7),2)=RIGHT(LEFT(' Pivot Tables'!$A$4,7),2)),1,0)</f>
        <v>0</v>
      </c>
      <c r="Y7308" s="6">
        <f>1/COUNTIF(Таблица1[Order ID],Таблица1[[#This Row],[Order ID]])</f>
        <v>0.33333333333333331</v>
      </c>
      <c r="Z7308" s="9">
        <f>1/COUNTIFS(Таблица1[Customer Name],Таблица1[[#This Row],[Customer Name]],Таблица1[Order-Year-Month],Таблица1[[#This Row],[Order-Year-Month]])</f>
        <v>0.5</v>
      </c>
    </row>
    <row r="7309" spans="1:26" x14ac:dyDescent="0.2">
      <c r="A7309" s="6">
        <v>7948</v>
      </c>
      <c r="B7309" s="7">
        <v>56802</v>
      </c>
      <c r="C7309" s="8">
        <f>DATE(2012,12,31)-216</f>
        <v>41058</v>
      </c>
      <c r="D7309" s="8" t="str">
        <f t="shared" si="139"/>
        <v>2012-05 (май 2012)</v>
      </c>
      <c r="E7309" s="9" t="s">
        <v>30</v>
      </c>
      <c r="F7309" s="7">
        <v>50</v>
      </c>
      <c r="G7309" s="7">
        <v>78.2</v>
      </c>
      <c r="H7309" s="7">
        <v>0.09</v>
      </c>
      <c r="I7309" s="9" t="s">
        <v>22</v>
      </c>
      <c r="J7309" s="10">
        <v>-4.5599999999999996</v>
      </c>
      <c r="K7309" s="11">
        <v>1.68</v>
      </c>
      <c r="L7309" s="11">
        <v>1</v>
      </c>
      <c r="M7309" s="9" t="s">
        <v>1452</v>
      </c>
      <c r="N7309" s="6" t="s">
        <v>703</v>
      </c>
      <c r="O7309" s="6" t="s">
        <v>704</v>
      </c>
      <c r="P7309" s="9" t="s">
        <v>60</v>
      </c>
      <c r="Q7309" s="9" t="s">
        <v>26</v>
      </c>
      <c r="R7309" s="9" t="s">
        <v>95</v>
      </c>
      <c r="S7309" s="7" t="s">
        <v>1468</v>
      </c>
      <c r="T7309" s="9" t="s">
        <v>68</v>
      </c>
      <c r="U7309" s="7">
        <v>0.35</v>
      </c>
      <c r="V7309" s="12">
        <f>C7309+1</f>
        <v>41059</v>
      </c>
      <c r="W7309">
        <f>IF(D7309=' Pivot Tables'!$A$4,1,0)</f>
        <v>0</v>
      </c>
      <c r="X7309">
        <f>IF(AND(LEFT(D7309,4)+1=LEFT(' Pivot Tables'!$A$4,4)+0,RIGHT(LEFT(D7309,7),2)=RIGHT(LEFT(' Pivot Tables'!$A$4,7),2)),1,0)</f>
        <v>0</v>
      </c>
      <c r="Y7309" s="6">
        <f>1/COUNTIF(Таблица1[Order ID],Таблица1[[#This Row],[Order ID]])</f>
        <v>1</v>
      </c>
      <c r="Z7309" s="9">
        <f>1/COUNTIFS(Таблица1[Customer Name],Таблица1[[#This Row],[Customer Name]],Таблица1[Order-Year-Month],Таблица1[[#This Row],[Order-Year-Month]])</f>
        <v>1</v>
      </c>
    </row>
    <row r="7310" spans="1:26" x14ac:dyDescent="0.2">
      <c r="A7310" s="6">
        <v>7959</v>
      </c>
      <c r="B7310" s="7">
        <v>56868</v>
      </c>
      <c r="C7310" s="8">
        <f>DATE(2012,12,31)-394</f>
        <v>40880</v>
      </c>
      <c r="D7310" s="8" t="str">
        <f t="shared" si="139"/>
        <v>2011-12 (декабрь 2011)</v>
      </c>
      <c r="E7310" s="9" t="s">
        <v>21</v>
      </c>
      <c r="F7310" s="7">
        <v>34</v>
      </c>
      <c r="G7310" s="7">
        <v>1947.4265</v>
      </c>
      <c r="H7310" s="7">
        <v>0.03</v>
      </c>
      <c r="I7310" s="9" t="s">
        <v>22</v>
      </c>
      <c r="J7310" s="10">
        <v>473.26499999999999</v>
      </c>
      <c r="K7310" s="11">
        <v>65.989999999999995</v>
      </c>
      <c r="L7310" s="11">
        <v>5.92</v>
      </c>
      <c r="M7310" s="9" t="s">
        <v>1469</v>
      </c>
      <c r="N7310" s="6" t="s">
        <v>703</v>
      </c>
      <c r="O7310" s="6" t="s">
        <v>704</v>
      </c>
      <c r="P7310" s="9" t="s">
        <v>41</v>
      </c>
      <c r="Q7310" s="9" t="s">
        <v>42</v>
      </c>
      <c r="R7310" s="9" t="s">
        <v>43</v>
      </c>
      <c r="S7310" s="7" t="s">
        <v>359</v>
      </c>
      <c r="T7310" s="9" t="s">
        <v>39</v>
      </c>
      <c r="U7310" s="7">
        <v>0.55000000000000004</v>
      </c>
      <c r="V7310" s="12">
        <f>C7310+7</f>
        <v>40887</v>
      </c>
      <c r="W7310">
        <f>IF(D7310=' Pivot Tables'!$A$4,1,0)</f>
        <v>0</v>
      </c>
      <c r="X7310">
        <f>IF(AND(LEFT(D7310,4)+1=LEFT(' Pivot Tables'!$A$4,4)+0,RIGHT(LEFT(D7310,7),2)=RIGHT(LEFT(' Pivot Tables'!$A$4,7),2)),1,0)</f>
        <v>0</v>
      </c>
      <c r="Y7310" s="6">
        <f>1/COUNTIF(Таблица1[Order ID],Таблица1[[#This Row],[Order ID]])</f>
        <v>1</v>
      </c>
      <c r="Z7310" s="9">
        <f>1/COUNTIFS(Таблица1[Customer Name],Таблица1[[#This Row],[Customer Name]],Таблица1[Order-Year-Month],Таблица1[[#This Row],[Order-Year-Month]])</f>
        <v>1</v>
      </c>
    </row>
    <row r="7311" spans="1:26" x14ac:dyDescent="0.2">
      <c r="A7311" s="6">
        <v>7960</v>
      </c>
      <c r="B7311" s="7">
        <v>56869</v>
      </c>
      <c r="C7311" s="8">
        <f>DATE(2012,12,31)-892</f>
        <v>40382</v>
      </c>
      <c r="D7311" s="8" t="str">
        <f t="shared" si="139"/>
        <v>2010-07 (июль 2010)</v>
      </c>
      <c r="E7311" s="9" t="s">
        <v>21</v>
      </c>
      <c r="F7311" s="7">
        <v>10</v>
      </c>
      <c r="G7311" s="7">
        <v>842.19</v>
      </c>
      <c r="H7311" s="7">
        <v>0</v>
      </c>
      <c r="I7311" s="9" t="s">
        <v>22</v>
      </c>
      <c r="J7311" s="10">
        <v>157.44999999999999</v>
      </c>
      <c r="K7311" s="11">
        <v>80.98</v>
      </c>
      <c r="L7311" s="11">
        <v>4.5</v>
      </c>
      <c r="M7311" s="9" t="s">
        <v>1460</v>
      </c>
      <c r="N7311" s="6" t="s">
        <v>703</v>
      </c>
      <c r="O7311" s="6" t="s">
        <v>704</v>
      </c>
      <c r="P7311" s="9" t="s">
        <v>33</v>
      </c>
      <c r="Q7311" s="9" t="s">
        <v>26</v>
      </c>
      <c r="R7311" s="9" t="s">
        <v>34</v>
      </c>
      <c r="S7311" s="7" t="s">
        <v>1369</v>
      </c>
      <c r="T7311" s="9" t="s">
        <v>39</v>
      </c>
      <c r="U7311" s="7">
        <v>0.59</v>
      </c>
      <c r="V7311" s="12">
        <f>C7311+2</f>
        <v>40384</v>
      </c>
      <c r="W7311">
        <f>IF(D7311=' Pivot Tables'!$A$4,1,0)</f>
        <v>0</v>
      </c>
      <c r="X7311">
        <f>IF(AND(LEFT(D7311,4)+1=LEFT(' Pivot Tables'!$A$4,4)+0,RIGHT(LEFT(D7311,7),2)=RIGHT(LEFT(' Pivot Tables'!$A$4,7),2)),1,0)</f>
        <v>0</v>
      </c>
      <c r="Y7311" s="6">
        <f>1/COUNTIF(Таблица1[Order ID],Таблица1[[#This Row],[Order ID]])</f>
        <v>1</v>
      </c>
      <c r="Z7311" s="9">
        <f>1/COUNTIFS(Таблица1[Customer Name],Таблица1[[#This Row],[Customer Name]],Таблица1[Order-Year-Month],Таблица1[[#This Row],[Order-Year-Month]])</f>
        <v>1</v>
      </c>
    </row>
    <row r="7312" spans="1:26" x14ac:dyDescent="0.2">
      <c r="A7312" s="6">
        <v>8004</v>
      </c>
      <c r="B7312" s="7">
        <v>57190</v>
      </c>
      <c r="C7312" s="8">
        <f>DATE(2012,12,31)-948</f>
        <v>40326</v>
      </c>
      <c r="D7312" s="8" t="str">
        <f t="shared" si="139"/>
        <v>2010-05 (май 2010)</v>
      </c>
      <c r="E7312" s="9" t="s">
        <v>63</v>
      </c>
      <c r="F7312" s="7">
        <v>48</v>
      </c>
      <c r="G7312" s="7">
        <v>2052.83</v>
      </c>
      <c r="H7312" s="7">
        <v>0.02</v>
      </c>
      <c r="I7312" s="9" t="s">
        <v>22</v>
      </c>
      <c r="J7312" s="10">
        <v>395.85</v>
      </c>
      <c r="K7312" s="11">
        <v>40.99</v>
      </c>
      <c r="L7312" s="11">
        <v>8.9700000000000006</v>
      </c>
      <c r="M7312" s="9" t="s">
        <v>1545</v>
      </c>
      <c r="N7312" s="6" t="s">
        <v>703</v>
      </c>
      <c r="O7312" s="6" t="s">
        <v>704</v>
      </c>
      <c r="P7312" s="9" t="s">
        <v>25</v>
      </c>
      <c r="Q7312" s="9" t="s">
        <v>42</v>
      </c>
      <c r="R7312" s="9" t="s">
        <v>210</v>
      </c>
      <c r="S7312" s="7" t="s">
        <v>2059</v>
      </c>
      <c r="T7312" s="9" t="s">
        <v>39</v>
      </c>
      <c r="U7312" s="7">
        <v>0.54</v>
      </c>
      <c r="V7312" s="12">
        <f>C7312+0</f>
        <v>40326</v>
      </c>
      <c r="W7312">
        <f>IF(D7312=' Pivot Tables'!$A$4,1,0)</f>
        <v>0</v>
      </c>
      <c r="X7312">
        <f>IF(AND(LEFT(D7312,4)+1=LEFT(' Pivot Tables'!$A$4,4)+0,RIGHT(LEFT(D7312,7),2)=RIGHT(LEFT(' Pivot Tables'!$A$4,7),2)),1,0)</f>
        <v>0</v>
      </c>
      <c r="Y7312" s="6">
        <f>1/COUNTIF(Таблица1[Order ID],Таблица1[[#This Row],[Order ID]])</f>
        <v>0.5</v>
      </c>
      <c r="Z7312" s="9">
        <f>1/COUNTIFS(Таблица1[Customer Name],Таблица1[[#This Row],[Customer Name]],Таблица1[Order-Year-Month],Таблица1[[#This Row],[Order-Year-Month]])</f>
        <v>0.5</v>
      </c>
    </row>
    <row r="7313" spans="1:26" x14ac:dyDescent="0.2">
      <c r="A7313" s="6">
        <v>8005</v>
      </c>
      <c r="B7313" s="7">
        <v>57190</v>
      </c>
      <c r="C7313" s="8">
        <f>DATE(2012,12,31)-948</f>
        <v>40326</v>
      </c>
      <c r="D7313" s="8" t="str">
        <f t="shared" si="139"/>
        <v>2010-05 (май 2010)</v>
      </c>
      <c r="E7313" s="9" t="s">
        <v>63</v>
      </c>
      <c r="F7313" s="7">
        <v>36</v>
      </c>
      <c r="G7313" s="7">
        <v>620.45000000000005</v>
      </c>
      <c r="H7313" s="7">
        <v>0.09</v>
      </c>
      <c r="I7313" s="9" t="s">
        <v>22</v>
      </c>
      <c r="J7313" s="10">
        <v>171.94</v>
      </c>
      <c r="K7313" s="11">
        <v>17.48</v>
      </c>
      <c r="L7313" s="11">
        <v>1.99</v>
      </c>
      <c r="M7313" s="9" t="s">
        <v>1545</v>
      </c>
      <c r="N7313" s="6" t="s">
        <v>703</v>
      </c>
      <c r="O7313" s="6" t="s">
        <v>704</v>
      </c>
      <c r="P7313" s="9" t="s">
        <v>25</v>
      </c>
      <c r="Q7313" s="9" t="s">
        <v>42</v>
      </c>
      <c r="R7313" s="9" t="s">
        <v>70</v>
      </c>
      <c r="S7313" s="7" t="s">
        <v>1449</v>
      </c>
      <c r="T7313" s="9" t="s">
        <v>52</v>
      </c>
      <c r="U7313" s="7">
        <v>0.46</v>
      </c>
      <c r="V7313" s="12">
        <f>C7313+1</f>
        <v>40327</v>
      </c>
      <c r="W7313">
        <f>IF(D7313=' Pivot Tables'!$A$4,1,0)</f>
        <v>0</v>
      </c>
      <c r="X7313">
        <f>IF(AND(LEFT(D7313,4)+1=LEFT(' Pivot Tables'!$A$4,4)+0,RIGHT(LEFT(D7313,7),2)=RIGHT(LEFT(' Pivot Tables'!$A$4,7),2)),1,0)</f>
        <v>0</v>
      </c>
      <c r="Y7313" s="6">
        <f>1/COUNTIF(Таблица1[Order ID],Таблица1[[#This Row],[Order ID]])</f>
        <v>0.5</v>
      </c>
      <c r="Z7313" s="9">
        <f>1/COUNTIFS(Таблица1[Customer Name],Таблица1[[#This Row],[Customer Name]],Таблица1[Order-Year-Month],Таблица1[[#This Row],[Order-Year-Month]])</f>
        <v>0.5</v>
      </c>
    </row>
    <row r="7314" spans="1:26" x14ac:dyDescent="0.2">
      <c r="A7314" s="6">
        <v>8009</v>
      </c>
      <c r="B7314" s="7">
        <v>57248</v>
      </c>
      <c r="C7314" s="8">
        <f>DATE(2012,12,31)-1173</f>
        <v>40101</v>
      </c>
      <c r="D7314" s="8" t="str">
        <f t="shared" si="139"/>
        <v>2009-10 (октябрь 2009)</v>
      </c>
      <c r="E7314" s="9" t="s">
        <v>78</v>
      </c>
      <c r="F7314" s="7">
        <v>34</v>
      </c>
      <c r="G7314" s="7">
        <v>167.5</v>
      </c>
      <c r="H7314" s="7">
        <v>0.04</v>
      </c>
      <c r="I7314" s="9" t="s">
        <v>22</v>
      </c>
      <c r="J7314" s="10">
        <v>-84.421499999999995</v>
      </c>
      <c r="K7314" s="11">
        <v>4.9800000000000004</v>
      </c>
      <c r="L7314" s="11">
        <v>4.95</v>
      </c>
      <c r="M7314" s="9" t="s">
        <v>1484</v>
      </c>
      <c r="N7314" s="6" t="s">
        <v>703</v>
      </c>
      <c r="O7314" s="6" t="s">
        <v>704</v>
      </c>
      <c r="P7314" s="9" t="s">
        <v>41</v>
      </c>
      <c r="Q7314" s="9" t="s">
        <v>26</v>
      </c>
      <c r="R7314" s="9" t="s">
        <v>37</v>
      </c>
      <c r="S7314" s="7" t="s">
        <v>691</v>
      </c>
      <c r="T7314" s="9" t="s">
        <v>39</v>
      </c>
      <c r="U7314" s="7">
        <v>0.37</v>
      </c>
      <c r="V7314" s="12">
        <f>C7314+2</f>
        <v>40103</v>
      </c>
      <c r="W7314">
        <f>IF(D7314=' Pivot Tables'!$A$4,1,0)</f>
        <v>0</v>
      </c>
      <c r="X7314">
        <f>IF(AND(LEFT(D7314,4)+1=LEFT(' Pivot Tables'!$A$4,4)+0,RIGHT(LEFT(D7314,7),2)=RIGHT(LEFT(' Pivot Tables'!$A$4,7),2)),1,0)</f>
        <v>0</v>
      </c>
      <c r="Y7314" s="6">
        <f>1/COUNTIF(Таблица1[Order ID],Таблица1[[#This Row],[Order ID]])</f>
        <v>1</v>
      </c>
      <c r="Z7314" s="9">
        <f>1/COUNTIFS(Таблица1[Customer Name],Таблица1[[#This Row],[Customer Name]],Таблица1[Order-Year-Month],Таблица1[[#This Row],[Order-Year-Month]])</f>
        <v>1</v>
      </c>
    </row>
    <row r="7315" spans="1:26" x14ac:dyDescent="0.2">
      <c r="A7315" s="6">
        <v>8022</v>
      </c>
      <c r="B7315" s="7">
        <v>57318</v>
      </c>
      <c r="C7315" s="8">
        <f>DATE(2012,12,31)-1086</f>
        <v>40188</v>
      </c>
      <c r="D7315" s="8" t="str">
        <f t="shared" si="139"/>
        <v>2010-01 (январь 2010)</v>
      </c>
      <c r="E7315" s="9" t="s">
        <v>63</v>
      </c>
      <c r="F7315" s="7">
        <v>33</v>
      </c>
      <c r="G7315" s="7">
        <v>158.79</v>
      </c>
      <c r="H7315" s="7">
        <v>0.02</v>
      </c>
      <c r="I7315" s="9" t="s">
        <v>22</v>
      </c>
      <c r="J7315" s="10">
        <v>74.14</v>
      </c>
      <c r="K7315" s="11">
        <v>4.91</v>
      </c>
      <c r="L7315" s="11">
        <v>0.5</v>
      </c>
      <c r="M7315" s="9" t="s">
        <v>1462</v>
      </c>
      <c r="N7315" s="6" t="s">
        <v>703</v>
      </c>
      <c r="O7315" s="6" t="s">
        <v>704</v>
      </c>
      <c r="P7315" s="9" t="s">
        <v>25</v>
      </c>
      <c r="Q7315" s="9" t="s">
        <v>26</v>
      </c>
      <c r="R7315" s="9" t="s">
        <v>88</v>
      </c>
      <c r="S7315" s="7" t="s">
        <v>1370</v>
      </c>
      <c r="T7315" s="9" t="s">
        <v>39</v>
      </c>
      <c r="U7315" s="7">
        <v>0.36</v>
      </c>
      <c r="V7315" s="12">
        <f>C7315+2</f>
        <v>40190</v>
      </c>
      <c r="W7315">
        <f>IF(D7315=' Pivot Tables'!$A$4,1,0)</f>
        <v>1</v>
      </c>
      <c r="X7315">
        <f>IF(AND(LEFT(D7315,4)+1=LEFT(' Pivot Tables'!$A$4,4)+0,RIGHT(LEFT(D7315,7),2)=RIGHT(LEFT(' Pivot Tables'!$A$4,7),2)),1,0)</f>
        <v>0</v>
      </c>
      <c r="Y7315" s="6">
        <f>1/COUNTIF(Таблица1[Order ID],Таблица1[[#This Row],[Order ID]])</f>
        <v>0.5</v>
      </c>
      <c r="Z7315" s="9">
        <f>1/COUNTIFS(Таблица1[Customer Name],Таблица1[[#This Row],[Customer Name]],Таблица1[Order-Year-Month],Таблица1[[#This Row],[Order-Year-Month]])</f>
        <v>0.25</v>
      </c>
    </row>
    <row r="7316" spans="1:26" x14ac:dyDescent="0.2">
      <c r="A7316" s="6">
        <v>8023</v>
      </c>
      <c r="B7316" s="7">
        <v>57318</v>
      </c>
      <c r="C7316" s="8">
        <f>DATE(2012,12,31)-1086</f>
        <v>40188</v>
      </c>
      <c r="D7316" s="8" t="str">
        <f t="shared" si="139"/>
        <v>2010-01 (январь 2010)</v>
      </c>
      <c r="E7316" s="9" t="s">
        <v>63</v>
      </c>
      <c r="F7316" s="7">
        <v>12</v>
      </c>
      <c r="G7316" s="7">
        <v>79.06</v>
      </c>
      <c r="H7316" s="7">
        <v>0.1</v>
      </c>
      <c r="I7316" s="9" t="s">
        <v>22</v>
      </c>
      <c r="J7316" s="10">
        <v>-47</v>
      </c>
      <c r="K7316" s="11">
        <v>6.68</v>
      </c>
      <c r="L7316" s="11">
        <v>6.92</v>
      </c>
      <c r="M7316" s="9" t="s">
        <v>1462</v>
      </c>
      <c r="N7316" s="6" t="s">
        <v>703</v>
      </c>
      <c r="O7316" s="6" t="s">
        <v>704</v>
      </c>
      <c r="P7316" s="9" t="s">
        <v>25</v>
      </c>
      <c r="Q7316" s="9" t="s">
        <v>26</v>
      </c>
      <c r="R7316" s="9" t="s">
        <v>61</v>
      </c>
      <c r="S7316" s="7" t="s">
        <v>678</v>
      </c>
      <c r="T7316" s="9" t="s">
        <v>39</v>
      </c>
      <c r="U7316" s="7">
        <v>0.37</v>
      </c>
      <c r="V7316" s="12">
        <f>C7316+2</f>
        <v>40190</v>
      </c>
      <c r="W7316">
        <f>IF(D7316=' Pivot Tables'!$A$4,1,0)</f>
        <v>1</v>
      </c>
      <c r="X7316">
        <f>IF(AND(LEFT(D7316,4)+1=LEFT(' Pivot Tables'!$A$4,4)+0,RIGHT(LEFT(D7316,7),2)=RIGHT(LEFT(' Pivot Tables'!$A$4,7),2)),1,0)</f>
        <v>0</v>
      </c>
      <c r="Y7316" s="6">
        <f>1/COUNTIF(Таблица1[Order ID],Таблица1[[#This Row],[Order ID]])</f>
        <v>0.5</v>
      </c>
      <c r="Z7316" s="9">
        <f>1/COUNTIFS(Таблица1[Customer Name],Таблица1[[#This Row],[Customer Name]],Таблица1[Order-Year-Month],Таблица1[[#This Row],[Order-Year-Month]])</f>
        <v>0.25</v>
      </c>
    </row>
    <row r="7317" spans="1:26" x14ac:dyDescent="0.2">
      <c r="A7317" s="6">
        <v>8025</v>
      </c>
      <c r="B7317" s="7">
        <v>57350</v>
      </c>
      <c r="C7317" s="8">
        <f>DATE(2012,12,31)-586</f>
        <v>40688</v>
      </c>
      <c r="D7317" s="8" t="str">
        <f t="shared" si="139"/>
        <v>2011-05 (май 2011)</v>
      </c>
      <c r="E7317" s="9" t="s">
        <v>30</v>
      </c>
      <c r="F7317" s="7">
        <v>33</v>
      </c>
      <c r="G7317" s="7">
        <v>140.63</v>
      </c>
      <c r="H7317" s="7">
        <v>0.09</v>
      </c>
      <c r="I7317" s="9" t="s">
        <v>22</v>
      </c>
      <c r="J7317" s="10">
        <v>-111.87</v>
      </c>
      <c r="K7317" s="11">
        <v>4.28</v>
      </c>
      <c r="L7317" s="11">
        <v>5.68</v>
      </c>
      <c r="M7317" s="9" t="s">
        <v>1972</v>
      </c>
      <c r="N7317" s="6" t="s">
        <v>703</v>
      </c>
      <c r="O7317" s="6" t="s">
        <v>704</v>
      </c>
      <c r="P7317" s="9" t="s">
        <v>25</v>
      </c>
      <c r="Q7317" s="9" t="s">
        <v>26</v>
      </c>
      <c r="R7317" s="9" t="s">
        <v>61</v>
      </c>
      <c r="S7317" s="7" t="s">
        <v>838</v>
      </c>
      <c r="T7317" s="9" t="s">
        <v>39</v>
      </c>
      <c r="U7317" s="7">
        <v>0.4</v>
      </c>
      <c r="V7317" s="12">
        <f>C7317+1</f>
        <v>40689</v>
      </c>
      <c r="W7317">
        <f>IF(D7317=' Pivot Tables'!$A$4,1,0)</f>
        <v>0</v>
      </c>
      <c r="X7317">
        <f>IF(AND(LEFT(D7317,4)+1=LEFT(' Pivot Tables'!$A$4,4)+0,RIGHT(LEFT(D7317,7),2)=RIGHT(LEFT(' Pivot Tables'!$A$4,7),2)),1,0)</f>
        <v>0</v>
      </c>
      <c r="Y7317" s="6">
        <f>1/COUNTIF(Таблица1[Order ID],Таблица1[[#This Row],[Order ID]])</f>
        <v>0.5</v>
      </c>
      <c r="Z7317" s="9">
        <f>1/COUNTIFS(Таблица1[Customer Name],Таблица1[[#This Row],[Customer Name]],Таблица1[Order-Year-Month],Таблица1[[#This Row],[Order-Year-Month]])</f>
        <v>0.5</v>
      </c>
    </row>
    <row r="7318" spans="1:26" x14ac:dyDescent="0.2">
      <c r="A7318" s="6">
        <v>8026</v>
      </c>
      <c r="B7318" s="7">
        <v>57350</v>
      </c>
      <c r="C7318" s="8">
        <f>DATE(2012,12,31)-586</f>
        <v>40688</v>
      </c>
      <c r="D7318" s="8" t="str">
        <f t="shared" si="139"/>
        <v>2011-05 (май 2011)</v>
      </c>
      <c r="E7318" s="9" t="s">
        <v>30</v>
      </c>
      <c r="F7318" s="7">
        <v>50</v>
      </c>
      <c r="G7318" s="7">
        <v>4872.6675000000005</v>
      </c>
      <c r="H7318" s="7">
        <v>0.09</v>
      </c>
      <c r="I7318" s="9" t="s">
        <v>22</v>
      </c>
      <c r="J7318" s="10">
        <v>851.31</v>
      </c>
      <c r="K7318" s="11">
        <v>125.99</v>
      </c>
      <c r="L7318" s="11">
        <v>8.8000000000000007</v>
      </c>
      <c r="M7318" s="9" t="s">
        <v>1972</v>
      </c>
      <c r="N7318" s="6" t="s">
        <v>703</v>
      </c>
      <c r="O7318" s="6" t="s">
        <v>704</v>
      </c>
      <c r="P7318" s="9" t="s">
        <v>25</v>
      </c>
      <c r="Q7318" s="9" t="s">
        <v>42</v>
      </c>
      <c r="R7318" s="9" t="s">
        <v>43</v>
      </c>
      <c r="S7318" s="7" t="s">
        <v>800</v>
      </c>
      <c r="T7318" s="9" t="s">
        <v>39</v>
      </c>
      <c r="U7318" s="7">
        <v>0.59</v>
      </c>
      <c r="V7318" s="12">
        <f>C7318+1</f>
        <v>40689</v>
      </c>
      <c r="W7318">
        <f>IF(D7318=' Pivot Tables'!$A$4,1,0)</f>
        <v>0</v>
      </c>
      <c r="X7318">
        <f>IF(AND(LEFT(D7318,4)+1=LEFT(' Pivot Tables'!$A$4,4)+0,RIGHT(LEFT(D7318,7),2)=RIGHT(LEFT(' Pivot Tables'!$A$4,7),2)),1,0)</f>
        <v>0</v>
      </c>
      <c r="Y7318" s="6">
        <f>1/COUNTIF(Таблица1[Order ID],Таблица1[[#This Row],[Order ID]])</f>
        <v>0.5</v>
      </c>
      <c r="Z7318" s="9">
        <f>1/COUNTIFS(Таблица1[Customer Name],Таблица1[[#This Row],[Customer Name]],Таблица1[Order-Year-Month],Таблица1[[#This Row],[Order-Year-Month]])</f>
        <v>0.5</v>
      </c>
    </row>
    <row r="7319" spans="1:26" x14ac:dyDescent="0.2">
      <c r="A7319" s="6">
        <v>8032</v>
      </c>
      <c r="B7319" s="7">
        <v>57381</v>
      </c>
      <c r="C7319" s="8">
        <f>DATE(2012,12,31)-1242</f>
        <v>40032</v>
      </c>
      <c r="D7319" s="8" t="str">
        <f t="shared" si="139"/>
        <v>2009-08 (август 2009)</v>
      </c>
      <c r="E7319" s="9" t="s">
        <v>30</v>
      </c>
      <c r="F7319" s="7">
        <v>13</v>
      </c>
      <c r="G7319" s="7">
        <v>515.23</v>
      </c>
      <c r="H7319" s="7">
        <v>0.1</v>
      </c>
      <c r="I7319" s="9" t="s">
        <v>22</v>
      </c>
      <c r="J7319" s="10">
        <v>171.4025</v>
      </c>
      <c r="K7319" s="11">
        <v>41.94</v>
      </c>
      <c r="L7319" s="11">
        <v>2.99</v>
      </c>
      <c r="M7319" s="9" t="s">
        <v>2050</v>
      </c>
      <c r="N7319" s="6" t="s">
        <v>703</v>
      </c>
      <c r="O7319" s="6" t="s">
        <v>704</v>
      </c>
      <c r="P7319" s="9" t="s">
        <v>33</v>
      </c>
      <c r="Q7319" s="9" t="s">
        <v>26</v>
      </c>
      <c r="R7319" s="9" t="s">
        <v>37</v>
      </c>
      <c r="S7319" s="7" t="s">
        <v>369</v>
      </c>
      <c r="T7319" s="9" t="s">
        <v>39</v>
      </c>
      <c r="U7319" s="7">
        <v>0.35</v>
      </c>
      <c r="V7319" s="12">
        <f>C7319+1</f>
        <v>40033</v>
      </c>
      <c r="W7319">
        <f>IF(D7319=' Pivot Tables'!$A$4,1,0)</f>
        <v>0</v>
      </c>
      <c r="X7319">
        <f>IF(AND(LEFT(D7319,4)+1=LEFT(' Pivot Tables'!$A$4,4)+0,RIGHT(LEFT(D7319,7),2)=RIGHT(LEFT(' Pivot Tables'!$A$4,7),2)),1,0)</f>
        <v>0</v>
      </c>
      <c r="Y7319" s="6">
        <f>1/COUNTIF(Таблица1[Order ID],Таблица1[[#This Row],[Order ID]])</f>
        <v>0.5</v>
      </c>
      <c r="Z7319" s="9">
        <f>1/COUNTIFS(Таблица1[Customer Name],Таблица1[[#This Row],[Customer Name]],Таблица1[Order-Year-Month],Таблица1[[#This Row],[Order-Year-Month]])</f>
        <v>0.5</v>
      </c>
    </row>
    <row r="7320" spans="1:26" x14ac:dyDescent="0.2">
      <c r="A7320" s="6">
        <v>8033</v>
      </c>
      <c r="B7320" s="7">
        <v>57381</v>
      </c>
      <c r="C7320" s="8">
        <f>DATE(2012,12,31)-1242</f>
        <v>40032</v>
      </c>
      <c r="D7320" s="8" t="str">
        <f t="shared" si="139"/>
        <v>2009-08 (август 2009)</v>
      </c>
      <c r="E7320" s="9" t="s">
        <v>30</v>
      </c>
      <c r="F7320" s="7">
        <v>22</v>
      </c>
      <c r="G7320" s="7">
        <v>41.65</v>
      </c>
      <c r="H7320" s="7">
        <v>0.06</v>
      </c>
      <c r="I7320" s="9" t="s">
        <v>22</v>
      </c>
      <c r="J7320" s="10">
        <v>-13.86</v>
      </c>
      <c r="K7320" s="11">
        <v>1.98</v>
      </c>
      <c r="L7320" s="11">
        <v>0.7</v>
      </c>
      <c r="M7320" s="9" t="s">
        <v>2050</v>
      </c>
      <c r="N7320" s="6" t="s">
        <v>703</v>
      </c>
      <c r="O7320" s="6" t="s">
        <v>704</v>
      </c>
      <c r="P7320" s="9" t="s">
        <v>33</v>
      </c>
      <c r="Q7320" s="9" t="s">
        <v>26</v>
      </c>
      <c r="R7320" s="9" t="s">
        <v>66</v>
      </c>
      <c r="S7320" s="7" t="s">
        <v>1114</v>
      </c>
      <c r="T7320" s="9" t="s">
        <v>68</v>
      </c>
      <c r="U7320" s="7">
        <v>0.83</v>
      </c>
      <c r="V7320" s="12">
        <f>C7320+0</f>
        <v>40032</v>
      </c>
      <c r="W7320">
        <f>IF(D7320=' Pivot Tables'!$A$4,1,0)</f>
        <v>0</v>
      </c>
      <c r="X7320">
        <f>IF(AND(LEFT(D7320,4)+1=LEFT(' Pivot Tables'!$A$4,4)+0,RIGHT(LEFT(D7320,7),2)=RIGHT(LEFT(' Pivot Tables'!$A$4,7),2)),1,0)</f>
        <v>0</v>
      </c>
      <c r="Y7320" s="6">
        <f>1/COUNTIF(Таблица1[Order ID],Таблица1[[#This Row],[Order ID]])</f>
        <v>0.5</v>
      </c>
      <c r="Z7320" s="9">
        <f>1/COUNTIFS(Таблица1[Customer Name],Таблица1[[#This Row],[Customer Name]],Таблица1[Order-Year-Month],Таблица1[[#This Row],[Order-Year-Month]])</f>
        <v>0.5</v>
      </c>
    </row>
    <row r="7321" spans="1:26" x14ac:dyDescent="0.2">
      <c r="A7321" s="6">
        <v>8041</v>
      </c>
      <c r="B7321" s="7">
        <v>57444</v>
      </c>
      <c r="C7321" s="8">
        <f>DATE(2012,12,31)-597</f>
        <v>40677</v>
      </c>
      <c r="D7321" s="8" t="str">
        <f t="shared" si="139"/>
        <v>2011-05 (май 2011)</v>
      </c>
      <c r="E7321" s="9" t="s">
        <v>78</v>
      </c>
      <c r="F7321" s="7">
        <v>24</v>
      </c>
      <c r="G7321" s="7">
        <v>178.92</v>
      </c>
      <c r="H7321" s="7">
        <v>0.09</v>
      </c>
      <c r="I7321" s="9" t="s">
        <v>22</v>
      </c>
      <c r="J7321" s="10">
        <v>-56.108499999999999</v>
      </c>
      <c r="K7321" s="11">
        <v>7.68</v>
      </c>
      <c r="L7321" s="11">
        <v>6.16</v>
      </c>
      <c r="M7321" s="9" t="s">
        <v>2038</v>
      </c>
      <c r="N7321" s="6" t="s">
        <v>703</v>
      </c>
      <c r="O7321" s="6" t="s">
        <v>704</v>
      </c>
      <c r="P7321" s="9" t="s">
        <v>33</v>
      </c>
      <c r="Q7321" s="9" t="s">
        <v>26</v>
      </c>
      <c r="R7321" s="9" t="s">
        <v>37</v>
      </c>
      <c r="S7321" s="7" t="s">
        <v>854</v>
      </c>
      <c r="T7321" s="9" t="s">
        <v>39</v>
      </c>
      <c r="U7321" s="7">
        <v>0.35</v>
      </c>
      <c r="V7321" s="12">
        <f>C7321+1</f>
        <v>40678</v>
      </c>
      <c r="W7321">
        <f>IF(D7321=' Pivot Tables'!$A$4,1,0)</f>
        <v>0</v>
      </c>
      <c r="X7321">
        <f>IF(AND(LEFT(D7321,4)+1=LEFT(' Pivot Tables'!$A$4,4)+0,RIGHT(LEFT(D7321,7),2)=RIGHT(LEFT(' Pivot Tables'!$A$4,7),2)),1,0)</f>
        <v>0</v>
      </c>
      <c r="Y7321" s="6">
        <f>1/COUNTIF(Таблица1[Order ID],Таблица1[[#This Row],[Order ID]])</f>
        <v>1</v>
      </c>
      <c r="Z7321" s="9">
        <f>1/COUNTIFS(Таблица1[Customer Name],Таблица1[[#This Row],[Customer Name]],Таблица1[Order-Year-Month],Таблица1[[#This Row],[Order-Year-Month]])</f>
        <v>1</v>
      </c>
    </row>
    <row r="7322" spans="1:26" x14ac:dyDescent="0.2">
      <c r="A7322" s="6">
        <v>8048</v>
      </c>
      <c r="B7322" s="7">
        <v>57476</v>
      </c>
      <c r="C7322" s="8">
        <f>DATE(2012,12,31)-1386</f>
        <v>39888</v>
      </c>
      <c r="D7322" s="8" t="str">
        <f t="shared" si="139"/>
        <v>2009-03 (март 2009)</v>
      </c>
      <c r="E7322" s="9" t="s">
        <v>30</v>
      </c>
      <c r="F7322" s="7">
        <v>20</v>
      </c>
      <c r="G7322" s="7">
        <v>1351.43</v>
      </c>
      <c r="H7322" s="7">
        <v>0.08</v>
      </c>
      <c r="I7322" s="9" t="s">
        <v>31</v>
      </c>
      <c r="J7322" s="10">
        <v>-550.42999999999995</v>
      </c>
      <c r="K7322" s="11">
        <v>68.81</v>
      </c>
      <c r="L7322" s="11">
        <v>60</v>
      </c>
      <c r="M7322" s="9" t="s">
        <v>1524</v>
      </c>
      <c r="N7322" s="6" t="s">
        <v>703</v>
      </c>
      <c r="O7322" s="6" t="s">
        <v>704</v>
      </c>
      <c r="P7322" s="9" t="s">
        <v>25</v>
      </c>
      <c r="Q7322" s="9" t="s">
        <v>26</v>
      </c>
      <c r="R7322" s="9" t="s">
        <v>34</v>
      </c>
      <c r="S7322" s="7" t="s">
        <v>605</v>
      </c>
      <c r="T7322" s="9" t="s">
        <v>36</v>
      </c>
      <c r="U7322" s="7">
        <v>0.41</v>
      </c>
      <c r="V7322" s="12">
        <f>C7322+1</f>
        <v>39889</v>
      </c>
      <c r="W7322">
        <f>IF(D7322=' Pivot Tables'!$A$4,1,0)</f>
        <v>0</v>
      </c>
      <c r="X7322">
        <f>IF(AND(LEFT(D7322,4)+1=LEFT(' Pivot Tables'!$A$4,4)+0,RIGHT(LEFT(D7322,7),2)=RIGHT(LEFT(' Pivot Tables'!$A$4,7),2)),1,0)</f>
        <v>0</v>
      </c>
      <c r="Y7322" s="6">
        <f>1/COUNTIF(Таблица1[Order ID],Таблица1[[#This Row],[Order ID]])</f>
        <v>0.5</v>
      </c>
      <c r="Z7322" s="9">
        <f>1/COUNTIFS(Таблица1[Customer Name],Таблица1[[#This Row],[Customer Name]],Таблица1[Order-Year-Month],Таблица1[[#This Row],[Order-Year-Month]])</f>
        <v>0.5</v>
      </c>
    </row>
    <row r="7323" spans="1:26" x14ac:dyDescent="0.2">
      <c r="A7323" s="6">
        <v>8049</v>
      </c>
      <c r="B7323" s="7">
        <v>57476</v>
      </c>
      <c r="C7323" s="8">
        <f>DATE(2012,12,31)-1386</f>
        <v>39888</v>
      </c>
      <c r="D7323" s="8" t="str">
        <f t="shared" si="139"/>
        <v>2009-03 (март 2009)</v>
      </c>
      <c r="E7323" s="9" t="s">
        <v>30</v>
      </c>
      <c r="F7323" s="7">
        <v>17</v>
      </c>
      <c r="G7323" s="7">
        <v>357.91</v>
      </c>
      <c r="H7323" s="7">
        <v>0.04</v>
      </c>
      <c r="I7323" s="9" t="s">
        <v>22</v>
      </c>
      <c r="J7323" s="10">
        <v>-52.12</v>
      </c>
      <c r="K7323" s="11">
        <v>21.38</v>
      </c>
      <c r="L7323" s="11">
        <v>8.99</v>
      </c>
      <c r="M7323" s="9" t="s">
        <v>1524</v>
      </c>
      <c r="N7323" s="6" t="s">
        <v>703</v>
      </c>
      <c r="O7323" s="6" t="s">
        <v>704</v>
      </c>
      <c r="P7323" s="9" t="s">
        <v>25</v>
      </c>
      <c r="Q7323" s="9" t="s">
        <v>26</v>
      </c>
      <c r="R7323" s="9" t="s">
        <v>95</v>
      </c>
      <c r="S7323" s="7" t="s">
        <v>436</v>
      </c>
      <c r="T7323" s="9" t="s">
        <v>52</v>
      </c>
      <c r="U7323" s="7">
        <v>0.59</v>
      </c>
      <c r="V7323" s="12">
        <f>C7323+2</f>
        <v>39890</v>
      </c>
      <c r="W7323">
        <f>IF(D7323=' Pivot Tables'!$A$4,1,0)</f>
        <v>0</v>
      </c>
      <c r="X7323">
        <f>IF(AND(LEFT(D7323,4)+1=LEFT(' Pivot Tables'!$A$4,4)+0,RIGHT(LEFT(D7323,7),2)=RIGHT(LEFT(' Pivot Tables'!$A$4,7),2)),1,0)</f>
        <v>0</v>
      </c>
      <c r="Y7323" s="6">
        <f>1/COUNTIF(Таблица1[Order ID],Таблица1[[#This Row],[Order ID]])</f>
        <v>0.5</v>
      </c>
      <c r="Z7323" s="9">
        <f>1/COUNTIFS(Таблица1[Customer Name],Таблица1[[#This Row],[Customer Name]],Таблица1[Order-Year-Month],Таблица1[[#This Row],[Order-Year-Month]])</f>
        <v>0.5</v>
      </c>
    </row>
    <row r="7324" spans="1:26" x14ac:dyDescent="0.2">
      <c r="A7324" s="6">
        <v>8078</v>
      </c>
      <c r="B7324" s="7">
        <v>57633</v>
      </c>
      <c r="C7324" s="8">
        <f>DATE(2012,12,31)-694</f>
        <v>40580</v>
      </c>
      <c r="D7324" s="8" t="str">
        <f t="shared" si="139"/>
        <v>2011-02 (февраль 2011)</v>
      </c>
      <c r="E7324" s="9" t="s">
        <v>30</v>
      </c>
      <c r="F7324" s="7">
        <v>12</v>
      </c>
      <c r="G7324" s="7">
        <v>351.12</v>
      </c>
      <c r="H7324" s="7">
        <v>0.09</v>
      </c>
      <c r="I7324" s="9" t="s">
        <v>56</v>
      </c>
      <c r="J7324" s="10">
        <v>202.63</v>
      </c>
      <c r="K7324" s="11">
        <v>30.93</v>
      </c>
      <c r="L7324" s="11">
        <v>3.92</v>
      </c>
      <c r="M7324" s="9" t="s">
        <v>1637</v>
      </c>
      <c r="N7324" s="6" t="s">
        <v>703</v>
      </c>
      <c r="O7324" s="6" t="s">
        <v>704</v>
      </c>
      <c r="P7324" s="9" t="s">
        <v>41</v>
      </c>
      <c r="Q7324" s="9" t="s">
        <v>49</v>
      </c>
      <c r="R7324" s="9" t="s">
        <v>50</v>
      </c>
      <c r="S7324" s="7" t="s">
        <v>786</v>
      </c>
      <c r="T7324" s="9" t="s">
        <v>52</v>
      </c>
      <c r="U7324" s="7">
        <v>0.44</v>
      </c>
      <c r="V7324" s="12">
        <f>C7324+1</f>
        <v>40581</v>
      </c>
      <c r="W7324">
        <f>IF(D7324=' Pivot Tables'!$A$4,1,0)</f>
        <v>0</v>
      </c>
      <c r="X7324">
        <f>IF(AND(LEFT(D7324,4)+1=LEFT(' Pivot Tables'!$A$4,4)+0,RIGHT(LEFT(D7324,7),2)=RIGHT(LEFT(' Pivot Tables'!$A$4,7),2)),1,0)</f>
        <v>0</v>
      </c>
      <c r="Y7324" s="6">
        <f>1/COUNTIF(Таблица1[Order ID],Таблица1[[#This Row],[Order ID]])</f>
        <v>1</v>
      </c>
      <c r="Z7324" s="9">
        <f>1/COUNTIFS(Таблица1[Customer Name],Таблица1[[#This Row],[Customer Name]],Таблица1[Order-Year-Month],Таблица1[[#This Row],[Order-Year-Month]])</f>
        <v>1</v>
      </c>
    </row>
    <row r="7325" spans="1:26" x14ac:dyDescent="0.2">
      <c r="A7325" s="6">
        <v>8085</v>
      </c>
      <c r="B7325" s="7">
        <v>57669</v>
      </c>
      <c r="C7325" s="8">
        <f>DATE(2012,12,31)-876</f>
        <v>40398</v>
      </c>
      <c r="D7325" s="8" t="str">
        <f t="shared" si="139"/>
        <v>2010-08 (август 2010)</v>
      </c>
      <c r="E7325" s="9" t="s">
        <v>78</v>
      </c>
      <c r="F7325" s="7">
        <v>41</v>
      </c>
      <c r="G7325" s="7">
        <v>1803.12</v>
      </c>
      <c r="H7325" s="7">
        <v>0</v>
      </c>
      <c r="I7325" s="9" t="s">
        <v>22</v>
      </c>
      <c r="J7325" s="10">
        <v>544.92999999999995</v>
      </c>
      <c r="K7325" s="11">
        <v>40.98</v>
      </c>
      <c r="L7325" s="11">
        <v>5.33</v>
      </c>
      <c r="M7325" s="9" t="s">
        <v>2040</v>
      </c>
      <c r="N7325" s="6" t="s">
        <v>703</v>
      </c>
      <c r="O7325" s="6" t="s">
        <v>704</v>
      </c>
      <c r="P7325" s="9" t="s">
        <v>33</v>
      </c>
      <c r="Q7325" s="9" t="s">
        <v>26</v>
      </c>
      <c r="R7325" s="9" t="s">
        <v>34</v>
      </c>
      <c r="S7325" s="7" t="s">
        <v>682</v>
      </c>
      <c r="T7325" s="9" t="s">
        <v>39</v>
      </c>
      <c r="U7325" s="7">
        <v>0.56999999999999995</v>
      </c>
      <c r="V7325" s="12">
        <f>C7325+1</f>
        <v>40399</v>
      </c>
      <c r="W7325">
        <f>IF(D7325=' Pivot Tables'!$A$4,1,0)</f>
        <v>0</v>
      </c>
      <c r="X7325">
        <f>IF(AND(LEFT(D7325,4)+1=LEFT(' Pivot Tables'!$A$4,4)+0,RIGHT(LEFT(D7325,7),2)=RIGHT(LEFT(' Pivot Tables'!$A$4,7),2)),1,0)</f>
        <v>0</v>
      </c>
      <c r="Y7325" s="6">
        <f>1/COUNTIF(Таблица1[Order ID],Таблица1[[#This Row],[Order ID]])</f>
        <v>1</v>
      </c>
      <c r="Z7325" s="9">
        <f>1/COUNTIFS(Таблица1[Customer Name],Таблица1[[#This Row],[Customer Name]],Таблица1[Order-Year-Month],Таблица1[[#This Row],[Order-Year-Month]])</f>
        <v>1</v>
      </c>
    </row>
    <row r="7326" spans="1:26" x14ac:dyDescent="0.2">
      <c r="A7326" s="6">
        <v>8093</v>
      </c>
      <c r="B7326" s="7">
        <v>57734</v>
      </c>
      <c r="C7326" s="8">
        <f>DATE(2012,12,31)-1202</f>
        <v>40072</v>
      </c>
      <c r="D7326" s="8" t="str">
        <f t="shared" si="139"/>
        <v>2009-09 (сентябрь 2009)</v>
      </c>
      <c r="E7326" s="9" t="s">
        <v>30</v>
      </c>
      <c r="F7326" s="7">
        <v>26</v>
      </c>
      <c r="G7326" s="7">
        <v>110.14</v>
      </c>
      <c r="H7326" s="7">
        <v>0.05</v>
      </c>
      <c r="I7326" s="9" t="s">
        <v>22</v>
      </c>
      <c r="J7326" s="10">
        <v>-89.216999999999999</v>
      </c>
      <c r="K7326" s="11">
        <v>4.24</v>
      </c>
      <c r="L7326" s="11">
        <v>5.41</v>
      </c>
      <c r="M7326" s="9" t="s">
        <v>1475</v>
      </c>
      <c r="N7326" s="6" t="s">
        <v>703</v>
      </c>
      <c r="O7326" s="6" t="s">
        <v>704</v>
      </c>
      <c r="P7326" s="9" t="s">
        <v>25</v>
      </c>
      <c r="Q7326" s="9" t="s">
        <v>26</v>
      </c>
      <c r="R7326" s="9" t="s">
        <v>37</v>
      </c>
      <c r="S7326" s="7" t="s">
        <v>873</v>
      </c>
      <c r="T7326" s="9" t="s">
        <v>39</v>
      </c>
      <c r="U7326" s="7">
        <v>0.35</v>
      </c>
      <c r="V7326" s="12">
        <f>C7326+2</f>
        <v>40074</v>
      </c>
      <c r="W7326">
        <f>IF(D7326=' Pivot Tables'!$A$4,1,0)</f>
        <v>0</v>
      </c>
      <c r="X7326">
        <f>IF(AND(LEFT(D7326,4)+1=LEFT(' Pivot Tables'!$A$4,4)+0,RIGHT(LEFT(D7326,7),2)=RIGHT(LEFT(' Pivot Tables'!$A$4,7),2)),1,0)</f>
        <v>0</v>
      </c>
      <c r="Y7326" s="6">
        <f>1/COUNTIF(Таблица1[Order ID],Таблица1[[#This Row],[Order ID]])</f>
        <v>0.5</v>
      </c>
      <c r="Z7326" s="9">
        <f>1/COUNTIFS(Таблица1[Customer Name],Таблица1[[#This Row],[Customer Name]],Таблица1[Order-Year-Month],Таблица1[[#This Row],[Order-Year-Month]])</f>
        <v>0.2</v>
      </c>
    </row>
    <row r="7327" spans="1:26" x14ac:dyDescent="0.2">
      <c r="A7327" s="6">
        <v>8094</v>
      </c>
      <c r="B7327" s="7">
        <v>57734</v>
      </c>
      <c r="C7327" s="8">
        <f>DATE(2012,12,31)-1202</f>
        <v>40072</v>
      </c>
      <c r="D7327" s="8" t="str">
        <f t="shared" si="139"/>
        <v>2009-09 (сентябрь 2009)</v>
      </c>
      <c r="E7327" s="9" t="s">
        <v>30</v>
      </c>
      <c r="F7327" s="7">
        <v>27</v>
      </c>
      <c r="G7327" s="7">
        <v>453.89</v>
      </c>
      <c r="H7327" s="7">
        <v>0.1</v>
      </c>
      <c r="I7327" s="9" t="s">
        <v>22</v>
      </c>
      <c r="J7327" s="10">
        <v>-75.06</v>
      </c>
      <c r="K7327" s="11">
        <v>16.98</v>
      </c>
      <c r="L7327" s="11">
        <v>12.39</v>
      </c>
      <c r="M7327" s="9" t="s">
        <v>1475</v>
      </c>
      <c r="N7327" s="6" t="s">
        <v>703</v>
      </c>
      <c r="O7327" s="6" t="s">
        <v>704</v>
      </c>
      <c r="P7327" s="9" t="s">
        <v>25</v>
      </c>
      <c r="Q7327" s="9" t="s">
        <v>26</v>
      </c>
      <c r="R7327" s="9" t="s">
        <v>76</v>
      </c>
      <c r="S7327" s="7" t="s">
        <v>478</v>
      </c>
      <c r="T7327" s="9" t="s">
        <v>39</v>
      </c>
      <c r="U7327" s="7">
        <v>0.35</v>
      </c>
      <c r="V7327" s="12">
        <f>C7327+2</f>
        <v>40074</v>
      </c>
      <c r="W7327">
        <f>IF(D7327=' Pivot Tables'!$A$4,1,0)</f>
        <v>0</v>
      </c>
      <c r="X7327">
        <f>IF(AND(LEFT(D7327,4)+1=LEFT(' Pivot Tables'!$A$4,4)+0,RIGHT(LEFT(D7327,7),2)=RIGHT(LEFT(' Pivot Tables'!$A$4,7),2)),1,0)</f>
        <v>0</v>
      </c>
      <c r="Y7327" s="6">
        <f>1/COUNTIF(Таблица1[Order ID],Таблица1[[#This Row],[Order ID]])</f>
        <v>0.5</v>
      </c>
      <c r="Z7327" s="9">
        <f>1/COUNTIFS(Таблица1[Customer Name],Таблица1[[#This Row],[Customer Name]],Таблица1[Order-Year-Month],Таблица1[[#This Row],[Order-Year-Month]])</f>
        <v>0.2</v>
      </c>
    </row>
    <row r="7328" spans="1:26" x14ac:dyDescent="0.2">
      <c r="A7328" s="6">
        <v>8095</v>
      </c>
      <c r="B7328" s="7">
        <v>57760</v>
      </c>
      <c r="C7328" s="8">
        <f>DATE(2012,12,31)-538</f>
        <v>40736</v>
      </c>
      <c r="D7328" s="8" t="str">
        <f t="shared" si="139"/>
        <v>2011-07 (июль 2011)</v>
      </c>
      <c r="E7328" s="9" t="s">
        <v>45</v>
      </c>
      <c r="F7328" s="7">
        <v>38</v>
      </c>
      <c r="G7328" s="7">
        <v>275.11</v>
      </c>
      <c r="H7328" s="7">
        <v>0.06</v>
      </c>
      <c r="I7328" s="9" t="s">
        <v>22</v>
      </c>
      <c r="J7328" s="10">
        <v>17.149999999999999</v>
      </c>
      <c r="K7328" s="11">
        <v>7.59</v>
      </c>
      <c r="L7328" s="11">
        <v>4</v>
      </c>
      <c r="M7328" s="9" t="s">
        <v>2057</v>
      </c>
      <c r="N7328" s="6" t="s">
        <v>703</v>
      </c>
      <c r="O7328" s="6" t="s">
        <v>704</v>
      </c>
      <c r="P7328" s="9" t="s">
        <v>41</v>
      </c>
      <c r="Q7328" s="9" t="s">
        <v>49</v>
      </c>
      <c r="R7328" s="9" t="s">
        <v>50</v>
      </c>
      <c r="S7328" s="7" t="s">
        <v>504</v>
      </c>
      <c r="T7328" s="9" t="s">
        <v>68</v>
      </c>
      <c r="U7328" s="7">
        <v>0.42</v>
      </c>
      <c r="V7328" s="12">
        <f>C7328+2</f>
        <v>40738</v>
      </c>
      <c r="W7328">
        <f>IF(D7328=' Pivot Tables'!$A$4,1,0)</f>
        <v>0</v>
      </c>
      <c r="X7328">
        <f>IF(AND(LEFT(D7328,4)+1=LEFT(' Pivot Tables'!$A$4,4)+0,RIGHT(LEFT(D7328,7),2)=RIGHT(LEFT(' Pivot Tables'!$A$4,7),2)),1,0)</f>
        <v>0</v>
      </c>
      <c r="Y7328" s="6">
        <f>1/COUNTIF(Таблица1[Order ID],Таблица1[[#This Row],[Order ID]])</f>
        <v>0.5</v>
      </c>
      <c r="Z7328" s="9">
        <f>1/COUNTIFS(Таблица1[Customer Name],Таблица1[[#This Row],[Customer Name]],Таблица1[Order-Year-Month],Таблица1[[#This Row],[Order-Year-Month]])</f>
        <v>0.5</v>
      </c>
    </row>
    <row r="7329" spans="1:26" x14ac:dyDescent="0.2">
      <c r="A7329" s="6">
        <v>8096</v>
      </c>
      <c r="B7329" s="7">
        <v>57760</v>
      </c>
      <c r="C7329" s="8">
        <f>DATE(2012,12,31)-538</f>
        <v>40736</v>
      </c>
      <c r="D7329" s="8" t="str">
        <f t="shared" si="139"/>
        <v>2011-07 (июль 2011)</v>
      </c>
      <c r="E7329" s="9" t="s">
        <v>45</v>
      </c>
      <c r="F7329" s="7">
        <v>34</v>
      </c>
      <c r="G7329" s="7">
        <v>102.34</v>
      </c>
      <c r="H7329" s="7">
        <v>0.01</v>
      </c>
      <c r="I7329" s="9" t="s">
        <v>22</v>
      </c>
      <c r="J7329" s="10">
        <v>-30.39</v>
      </c>
      <c r="K7329" s="11">
        <v>2.98</v>
      </c>
      <c r="L7329" s="11">
        <v>2.0299999999999998</v>
      </c>
      <c r="M7329" s="9" t="s">
        <v>2057</v>
      </c>
      <c r="N7329" s="6" t="s">
        <v>703</v>
      </c>
      <c r="O7329" s="6" t="s">
        <v>704</v>
      </c>
      <c r="P7329" s="9" t="s">
        <v>41</v>
      </c>
      <c r="Q7329" s="9" t="s">
        <v>26</v>
      </c>
      <c r="R7329" s="9" t="s">
        <v>95</v>
      </c>
      <c r="S7329" s="7" t="s">
        <v>1764</v>
      </c>
      <c r="T7329" s="9" t="s">
        <v>68</v>
      </c>
      <c r="U7329" s="7">
        <v>0.56999999999999995</v>
      </c>
      <c r="V7329" s="12">
        <f>C7329+2</f>
        <v>40738</v>
      </c>
      <c r="W7329">
        <f>IF(D7329=' Pivot Tables'!$A$4,1,0)</f>
        <v>0</v>
      </c>
      <c r="X7329">
        <f>IF(AND(LEFT(D7329,4)+1=LEFT(' Pivot Tables'!$A$4,4)+0,RIGHT(LEFT(D7329,7),2)=RIGHT(LEFT(' Pivot Tables'!$A$4,7),2)),1,0)</f>
        <v>0</v>
      </c>
      <c r="Y7329" s="6">
        <f>1/COUNTIF(Таблица1[Order ID],Таблица1[[#This Row],[Order ID]])</f>
        <v>0.5</v>
      </c>
      <c r="Z7329" s="9">
        <f>1/COUNTIFS(Таблица1[Customer Name],Таблица1[[#This Row],[Customer Name]],Таблица1[Order-Year-Month],Таблица1[[#This Row],[Order-Year-Month]])</f>
        <v>0.5</v>
      </c>
    </row>
    <row r="7330" spans="1:26" x14ac:dyDescent="0.2">
      <c r="A7330" s="6">
        <v>8110</v>
      </c>
      <c r="B7330" s="7">
        <v>57891</v>
      </c>
      <c r="C7330" s="8">
        <f>DATE(2012,12,31)-745</f>
        <v>40529</v>
      </c>
      <c r="D7330" s="8" t="str">
        <f t="shared" si="139"/>
        <v>2010-12 (декабрь 2010)</v>
      </c>
      <c r="E7330" s="9" t="s">
        <v>63</v>
      </c>
      <c r="F7330" s="7">
        <v>17</v>
      </c>
      <c r="G7330" s="7">
        <v>934.94050000000004</v>
      </c>
      <c r="H7330" s="7">
        <v>0.08</v>
      </c>
      <c r="I7330" s="9" t="s">
        <v>22</v>
      </c>
      <c r="J7330" s="10">
        <v>47.096999999999994</v>
      </c>
      <c r="K7330" s="11">
        <v>65.989999999999995</v>
      </c>
      <c r="L7330" s="11">
        <v>5.92</v>
      </c>
      <c r="M7330" s="9" t="s">
        <v>1651</v>
      </c>
      <c r="N7330" s="6" t="s">
        <v>703</v>
      </c>
      <c r="O7330" s="6" t="s">
        <v>704</v>
      </c>
      <c r="P7330" s="9" t="s">
        <v>60</v>
      </c>
      <c r="Q7330" s="9" t="s">
        <v>42</v>
      </c>
      <c r="R7330" s="9" t="s">
        <v>43</v>
      </c>
      <c r="S7330" s="7" t="s">
        <v>359</v>
      </c>
      <c r="T7330" s="9" t="s">
        <v>39</v>
      </c>
      <c r="U7330" s="7">
        <v>0.55000000000000004</v>
      </c>
      <c r="V7330" s="12">
        <f>C7330+0</f>
        <v>40529</v>
      </c>
      <c r="W7330">
        <f>IF(D7330=' Pivot Tables'!$A$4,1,0)</f>
        <v>0</v>
      </c>
      <c r="X7330">
        <f>IF(AND(LEFT(D7330,4)+1=LEFT(' Pivot Tables'!$A$4,4)+0,RIGHT(LEFT(D7330,7),2)=RIGHT(LEFT(' Pivot Tables'!$A$4,7),2)),1,0)</f>
        <v>0</v>
      </c>
      <c r="Y7330" s="6">
        <f>1/COUNTIF(Таблица1[Order ID],Таблица1[[#This Row],[Order ID]])</f>
        <v>1</v>
      </c>
      <c r="Z7330" s="9">
        <f>1/COUNTIFS(Таблица1[Customer Name],Таблица1[[#This Row],[Customer Name]],Таблица1[Order-Year-Month],Таблица1[[#This Row],[Order-Year-Month]])</f>
        <v>1</v>
      </c>
    </row>
    <row r="7331" spans="1:26" x14ac:dyDescent="0.2">
      <c r="A7331" s="6">
        <v>8125</v>
      </c>
      <c r="B7331" s="7">
        <v>58084</v>
      </c>
      <c r="C7331" s="8">
        <f>DATE(2012,12,31)-134</f>
        <v>41140</v>
      </c>
      <c r="D7331" s="8" t="str">
        <f t="shared" si="139"/>
        <v>2012-08 (август 2012)</v>
      </c>
      <c r="E7331" s="9" t="s">
        <v>63</v>
      </c>
      <c r="F7331" s="7">
        <v>3</v>
      </c>
      <c r="G7331" s="7">
        <v>21.55</v>
      </c>
      <c r="H7331" s="7">
        <v>0.09</v>
      </c>
      <c r="I7331" s="9" t="s">
        <v>22</v>
      </c>
      <c r="J7331" s="10">
        <v>-2.87</v>
      </c>
      <c r="K7331" s="11">
        <v>7.31</v>
      </c>
      <c r="L7331" s="11">
        <v>0.49</v>
      </c>
      <c r="M7331" s="9" t="s">
        <v>1458</v>
      </c>
      <c r="N7331" s="6" t="s">
        <v>703</v>
      </c>
      <c r="O7331" s="6" t="s">
        <v>704</v>
      </c>
      <c r="P7331" s="9" t="s">
        <v>25</v>
      </c>
      <c r="Q7331" s="9" t="s">
        <v>26</v>
      </c>
      <c r="R7331" s="9" t="s">
        <v>88</v>
      </c>
      <c r="S7331" s="7" t="s">
        <v>107</v>
      </c>
      <c r="T7331" s="9" t="s">
        <v>39</v>
      </c>
      <c r="U7331" s="7">
        <v>0.38</v>
      </c>
      <c r="V7331" s="12">
        <f>C7331+0</f>
        <v>41140</v>
      </c>
      <c r="W7331">
        <f>IF(D7331=' Pivot Tables'!$A$4,1,0)</f>
        <v>0</v>
      </c>
      <c r="X7331">
        <f>IF(AND(LEFT(D7331,4)+1=LEFT(' Pivot Tables'!$A$4,4)+0,RIGHT(LEFT(D7331,7),2)=RIGHT(LEFT(' Pivot Tables'!$A$4,7),2)),1,0)</f>
        <v>0</v>
      </c>
      <c r="Y7331" s="6">
        <f>1/COUNTIF(Таблица1[Order ID],Таблица1[[#This Row],[Order ID]])</f>
        <v>0.5</v>
      </c>
      <c r="Z7331" s="9">
        <f>1/COUNTIFS(Таблица1[Customer Name],Таблица1[[#This Row],[Customer Name]],Таблица1[Order-Year-Month],Таблица1[[#This Row],[Order-Year-Month]])</f>
        <v>0.5</v>
      </c>
    </row>
    <row r="7332" spans="1:26" x14ac:dyDescent="0.2">
      <c r="A7332" s="6">
        <v>8126</v>
      </c>
      <c r="B7332" s="7">
        <v>58084</v>
      </c>
      <c r="C7332" s="8">
        <f>DATE(2012,12,31)-134</f>
        <v>41140</v>
      </c>
      <c r="D7332" s="8" t="str">
        <f t="shared" si="139"/>
        <v>2012-08 (август 2012)</v>
      </c>
      <c r="E7332" s="9" t="s">
        <v>63</v>
      </c>
      <c r="F7332" s="7">
        <v>36</v>
      </c>
      <c r="G7332" s="7">
        <v>266.16000000000003</v>
      </c>
      <c r="H7332" s="7">
        <v>0.03</v>
      </c>
      <c r="I7332" s="9" t="s">
        <v>22</v>
      </c>
      <c r="J7332" s="10">
        <v>90.91</v>
      </c>
      <c r="K7332" s="11">
        <v>7.28</v>
      </c>
      <c r="L7332" s="11">
        <v>1.77</v>
      </c>
      <c r="M7332" s="9" t="s">
        <v>1458</v>
      </c>
      <c r="N7332" s="6" t="s">
        <v>703</v>
      </c>
      <c r="O7332" s="6" t="s">
        <v>704</v>
      </c>
      <c r="P7332" s="9" t="s">
        <v>25</v>
      </c>
      <c r="Q7332" s="9" t="s">
        <v>26</v>
      </c>
      <c r="R7332" s="9" t="s">
        <v>61</v>
      </c>
      <c r="S7332" s="7" t="s">
        <v>1638</v>
      </c>
      <c r="T7332" s="9" t="s">
        <v>68</v>
      </c>
      <c r="U7332" s="7">
        <v>0.37</v>
      </c>
      <c r="V7332" s="12">
        <f>C7332+2</f>
        <v>41142</v>
      </c>
      <c r="W7332">
        <f>IF(D7332=' Pivot Tables'!$A$4,1,0)</f>
        <v>0</v>
      </c>
      <c r="X7332">
        <f>IF(AND(LEFT(D7332,4)+1=LEFT(' Pivot Tables'!$A$4,4)+0,RIGHT(LEFT(D7332,7),2)=RIGHT(LEFT(' Pivot Tables'!$A$4,7),2)),1,0)</f>
        <v>0</v>
      </c>
      <c r="Y7332" s="6">
        <f>1/COUNTIF(Таблица1[Order ID],Таблица1[[#This Row],[Order ID]])</f>
        <v>0.5</v>
      </c>
      <c r="Z7332" s="9">
        <f>1/COUNTIFS(Таблица1[Customer Name],Таблица1[[#This Row],[Customer Name]],Таблица1[Order-Year-Month],Таблица1[[#This Row],[Order-Year-Month]])</f>
        <v>0.5</v>
      </c>
    </row>
    <row r="7333" spans="1:26" x14ac:dyDescent="0.2">
      <c r="A7333" s="6">
        <v>8139</v>
      </c>
      <c r="B7333" s="7">
        <v>58179</v>
      </c>
      <c r="C7333" s="8">
        <f>DATE(2012,12,31)-483</f>
        <v>40791</v>
      </c>
      <c r="D7333" s="8" t="str">
        <f t="shared" si="139"/>
        <v>2011-09 (сентябрь 2011)</v>
      </c>
      <c r="E7333" s="9" t="s">
        <v>63</v>
      </c>
      <c r="F7333" s="7">
        <v>3</v>
      </c>
      <c r="G7333" s="7">
        <v>39.49</v>
      </c>
      <c r="H7333" s="7">
        <v>0.1</v>
      </c>
      <c r="I7333" s="9" t="s">
        <v>22</v>
      </c>
      <c r="J7333" s="10">
        <v>-12.99</v>
      </c>
      <c r="K7333" s="11">
        <v>11.58</v>
      </c>
      <c r="L7333" s="11">
        <v>5.72</v>
      </c>
      <c r="M7333" s="9" t="s">
        <v>1455</v>
      </c>
      <c r="N7333" s="6" t="s">
        <v>703</v>
      </c>
      <c r="O7333" s="6" t="s">
        <v>704</v>
      </c>
      <c r="P7333" s="9" t="s">
        <v>25</v>
      </c>
      <c r="Q7333" s="9" t="s">
        <v>26</v>
      </c>
      <c r="R7333" s="9" t="s">
        <v>76</v>
      </c>
      <c r="S7333" s="7" t="s">
        <v>304</v>
      </c>
      <c r="T7333" s="9" t="s">
        <v>39</v>
      </c>
      <c r="U7333" s="7">
        <v>0.35</v>
      </c>
      <c r="V7333" s="12">
        <f>C7333+1</f>
        <v>40792</v>
      </c>
      <c r="W7333">
        <f>IF(D7333=' Pivot Tables'!$A$4,1,0)</f>
        <v>0</v>
      </c>
      <c r="X7333">
        <f>IF(AND(LEFT(D7333,4)+1=LEFT(' Pivot Tables'!$A$4,4)+0,RIGHT(LEFT(D7333,7),2)=RIGHT(LEFT(' Pivot Tables'!$A$4,7),2)),1,0)</f>
        <v>0</v>
      </c>
      <c r="Y7333" s="6">
        <f>1/COUNTIF(Таблица1[Order ID],Таблица1[[#This Row],[Order ID]])</f>
        <v>1</v>
      </c>
      <c r="Z7333" s="9">
        <f>1/COUNTIFS(Таблица1[Customer Name],Таблица1[[#This Row],[Customer Name]],Таблица1[Order-Year-Month],Таблица1[[#This Row],[Order-Year-Month]])</f>
        <v>1</v>
      </c>
    </row>
    <row r="7334" spans="1:26" x14ac:dyDescent="0.2">
      <c r="A7334" s="6">
        <v>8151</v>
      </c>
      <c r="B7334" s="7">
        <v>58279</v>
      </c>
      <c r="C7334" s="8">
        <f>DATE(2012,12,31)-1360</f>
        <v>39914</v>
      </c>
      <c r="D7334" s="8" t="str">
        <f t="shared" si="139"/>
        <v>2009-04 (апрель 2009)</v>
      </c>
      <c r="E7334" s="9" t="s">
        <v>63</v>
      </c>
      <c r="F7334" s="7">
        <v>44</v>
      </c>
      <c r="G7334" s="7">
        <v>1317.34</v>
      </c>
      <c r="H7334" s="7">
        <v>0.03</v>
      </c>
      <c r="I7334" s="9" t="s">
        <v>22</v>
      </c>
      <c r="J7334" s="10">
        <v>555.93399999999997</v>
      </c>
      <c r="K7334" s="11">
        <v>30.56</v>
      </c>
      <c r="L7334" s="11">
        <v>2.99</v>
      </c>
      <c r="M7334" s="9" t="s">
        <v>1567</v>
      </c>
      <c r="N7334" s="6" t="s">
        <v>703</v>
      </c>
      <c r="O7334" s="6" t="s">
        <v>704</v>
      </c>
      <c r="P7334" s="9" t="s">
        <v>33</v>
      </c>
      <c r="Q7334" s="9" t="s">
        <v>26</v>
      </c>
      <c r="R7334" s="9" t="s">
        <v>37</v>
      </c>
      <c r="S7334" s="7" t="s">
        <v>250</v>
      </c>
      <c r="T7334" s="9" t="s">
        <v>39</v>
      </c>
      <c r="U7334" s="7">
        <v>0.35</v>
      </c>
      <c r="V7334" s="12">
        <f>C7334+0</f>
        <v>39914</v>
      </c>
      <c r="W7334">
        <f>IF(D7334=' Pivot Tables'!$A$4,1,0)</f>
        <v>0</v>
      </c>
      <c r="X7334">
        <f>IF(AND(LEFT(D7334,4)+1=LEFT(' Pivot Tables'!$A$4,4)+0,RIGHT(LEFT(D7334,7),2)=RIGHT(LEFT(' Pivot Tables'!$A$4,7),2)),1,0)</f>
        <v>0</v>
      </c>
      <c r="Y7334" s="6">
        <f>1/COUNTIF(Таблица1[Order ID],Таблица1[[#This Row],[Order ID]])</f>
        <v>1</v>
      </c>
      <c r="Z7334" s="9">
        <f>1/COUNTIFS(Таблица1[Customer Name],Таблица1[[#This Row],[Customer Name]],Таблица1[Order-Year-Month],Таблица1[[#This Row],[Order-Year-Month]])</f>
        <v>0.33333333333333331</v>
      </c>
    </row>
    <row r="7335" spans="1:26" x14ac:dyDescent="0.2">
      <c r="A7335" s="6">
        <v>8165</v>
      </c>
      <c r="B7335" s="7">
        <v>58369</v>
      </c>
      <c r="C7335" s="8">
        <f>DATE(2012,12,31)-123</f>
        <v>41151</v>
      </c>
      <c r="D7335" s="8" t="str">
        <f t="shared" si="139"/>
        <v>2012-08 (август 2012)</v>
      </c>
      <c r="E7335" s="9" t="s">
        <v>30</v>
      </c>
      <c r="F7335" s="7">
        <v>46</v>
      </c>
      <c r="G7335" s="7">
        <v>320.57</v>
      </c>
      <c r="H7335" s="7">
        <v>0.1</v>
      </c>
      <c r="I7335" s="9" t="s">
        <v>22</v>
      </c>
      <c r="J7335" s="10">
        <v>-114.19499999999999</v>
      </c>
      <c r="K7335" s="11">
        <v>7.1</v>
      </c>
      <c r="L7335" s="11">
        <v>6.05</v>
      </c>
      <c r="M7335" s="9" t="s">
        <v>2006</v>
      </c>
      <c r="N7335" s="6" t="s">
        <v>703</v>
      </c>
      <c r="O7335" s="6" t="s">
        <v>704</v>
      </c>
      <c r="P7335" s="9" t="s">
        <v>60</v>
      </c>
      <c r="Q7335" s="9" t="s">
        <v>26</v>
      </c>
      <c r="R7335" s="9" t="s">
        <v>37</v>
      </c>
      <c r="S7335" s="7" t="s">
        <v>435</v>
      </c>
      <c r="T7335" s="9" t="s">
        <v>39</v>
      </c>
      <c r="U7335" s="7">
        <v>0.39</v>
      </c>
      <c r="V7335" s="12">
        <f>C7335+1</f>
        <v>41152</v>
      </c>
      <c r="W7335">
        <f>IF(D7335=' Pivot Tables'!$A$4,1,0)</f>
        <v>0</v>
      </c>
      <c r="X7335">
        <f>IF(AND(LEFT(D7335,4)+1=LEFT(' Pivot Tables'!$A$4,4)+0,RIGHT(LEFT(D7335,7),2)=RIGHT(LEFT(' Pivot Tables'!$A$4,7),2)),1,0)</f>
        <v>0</v>
      </c>
      <c r="Y7335" s="6">
        <f>1/COUNTIF(Таблица1[Order ID],Таблица1[[#This Row],[Order ID]])</f>
        <v>0.5</v>
      </c>
      <c r="Z7335" s="9">
        <f>1/COUNTIFS(Таблица1[Customer Name],Таблица1[[#This Row],[Customer Name]],Таблица1[Order-Year-Month],Таблица1[[#This Row],[Order-Year-Month]])</f>
        <v>0.5</v>
      </c>
    </row>
    <row r="7336" spans="1:26" x14ac:dyDescent="0.2">
      <c r="A7336" s="6">
        <v>8166</v>
      </c>
      <c r="B7336" s="7">
        <v>58369</v>
      </c>
      <c r="C7336" s="8">
        <f>DATE(2012,12,31)-123</f>
        <v>41151</v>
      </c>
      <c r="D7336" s="8" t="str">
        <f t="shared" si="139"/>
        <v>2012-08 (август 2012)</v>
      </c>
      <c r="E7336" s="9" t="s">
        <v>30</v>
      </c>
      <c r="F7336" s="7">
        <v>16</v>
      </c>
      <c r="G7336" s="7">
        <v>2013.8</v>
      </c>
      <c r="H7336" s="7">
        <v>0.01</v>
      </c>
      <c r="I7336" s="9" t="s">
        <v>31</v>
      </c>
      <c r="J7336" s="10">
        <v>-98.431799999999996</v>
      </c>
      <c r="K7336" s="11">
        <v>119.99</v>
      </c>
      <c r="L7336" s="11">
        <v>56.14</v>
      </c>
      <c r="M7336" s="9" t="s">
        <v>2006</v>
      </c>
      <c r="N7336" s="6" t="s">
        <v>703</v>
      </c>
      <c r="O7336" s="6" t="s">
        <v>704</v>
      </c>
      <c r="P7336" s="9" t="s">
        <v>60</v>
      </c>
      <c r="Q7336" s="9" t="s">
        <v>42</v>
      </c>
      <c r="R7336" s="9" t="s">
        <v>210</v>
      </c>
      <c r="S7336" s="7" t="s">
        <v>950</v>
      </c>
      <c r="T7336" s="9" t="s">
        <v>82</v>
      </c>
      <c r="U7336" s="7">
        <v>0.39</v>
      </c>
      <c r="V7336" s="12">
        <f>C7336+0</f>
        <v>41151</v>
      </c>
      <c r="W7336">
        <f>IF(D7336=' Pivot Tables'!$A$4,1,0)</f>
        <v>0</v>
      </c>
      <c r="X7336">
        <f>IF(AND(LEFT(D7336,4)+1=LEFT(' Pivot Tables'!$A$4,4)+0,RIGHT(LEFT(D7336,7),2)=RIGHT(LEFT(' Pivot Tables'!$A$4,7),2)),1,0)</f>
        <v>0</v>
      </c>
      <c r="Y7336" s="6">
        <f>1/COUNTIF(Таблица1[Order ID],Таблица1[[#This Row],[Order ID]])</f>
        <v>0.5</v>
      </c>
      <c r="Z7336" s="9">
        <f>1/COUNTIFS(Таблица1[Customer Name],Таблица1[[#This Row],[Customer Name]],Таблица1[Order-Year-Month],Таблица1[[#This Row],[Order-Year-Month]])</f>
        <v>0.5</v>
      </c>
    </row>
    <row r="7337" spans="1:26" x14ac:dyDescent="0.2">
      <c r="A7337" s="6">
        <v>8167</v>
      </c>
      <c r="B7337" s="7">
        <v>58371</v>
      </c>
      <c r="C7337" s="8">
        <f>DATE(2012,12,31)-965</f>
        <v>40309</v>
      </c>
      <c r="D7337" s="8" t="str">
        <f t="shared" si="139"/>
        <v>2010-05 (май 2010)</v>
      </c>
      <c r="E7337" s="9" t="s">
        <v>63</v>
      </c>
      <c r="F7337" s="7">
        <v>5</v>
      </c>
      <c r="G7337" s="7">
        <v>2168.0500000000002</v>
      </c>
      <c r="H7337" s="7">
        <v>0</v>
      </c>
      <c r="I7337" s="9" t="s">
        <v>22</v>
      </c>
      <c r="J7337" s="10">
        <v>416.01549999999997</v>
      </c>
      <c r="K7337" s="11">
        <v>420.98</v>
      </c>
      <c r="L7337" s="11">
        <v>19.989999999999998</v>
      </c>
      <c r="M7337" s="9" t="s">
        <v>2038</v>
      </c>
      <c r="N7337" s="6" t="s">
        <v>703</v>
      </c>
      <c r="O7337" s="6" t="s">
        <v>704</v>
      </c>
      <c r="P7337" s="9" t="s">
        <v>33</v>
      </c>
      <c r="Q7337" s="9" t="s">
        <v>26</v>
      </c>
      <c r="R7337" s="9" t="s">
        <v>37</v>
      </c>
      <c r="S7337" s="7" t="s">
        <v>607</v>
      </c>
      <c r="T7337" s="9" t="s">
        <v>39</v>
      </c>
      <c r="U7337" s="7">
        <v>0.35</v>
      </c>
      <c r="V7337" s="12">
        <f>C7337+2</f>
        <v>40311</v>
      </c>
      <c r="W7337">
        <f>IF(D7337=' Pivot Tables'!$A$4,1,0)</f>
        <v>0</v>
      </c>
      <c r="X7337">
        <f>IF(AND(LEFT(D7337,4)+1=LEFT(' Pivot Tables'!$A$4,4)+0,RIGHT(LEFT(D7337,7),2)=RIGHT(LEFT(' Pivot Tables'!$A$4,7),2)),1,0)</f>
        <v>0</v>
      </c>
      <c r="Y7337" s="6">
        <f>1/COUNTIF(Таблица1[Order ID],Таблица1[[#This Row],[Order ID]])</f>
        <v>0.33333333333333331</v>
      </c>
      <c r="Z7337" s="9">
        <f>1/COUNTIFS(Таблица1[Customer Name],Таблица1[[#This Row],[Customer Name]],Таблица1[Order-Year-Month],Таблица1[[#This Row],[Order-Year-Month]])</f>
        <v>0.33333333333333331</v>
      </c>
    </row>
    <row r="7338" spans="1:26" x14ac:dyDescent="0.2">
      <c r="A7338" s="6">
        <v>8168</v>
      </c>
      <c r="B7338" s="7">
        <v>58371</v>
      </c>
      <c r="C7338" s="8">
        <f>DATE(2012,12,31)-965</f>
        <v>40309</v>
      </c>
      <c r="D7338" s="8" t="str">
        <f t="shared" si="139"/>
        <v>2010-05 (май 2010)</v>
      </c>
      <c r="E7338" s="9" t="s">
        <v>63</v>
      </c>
      <c r="F7338" s="7">
        <v>44</v>
      </c>
      <c r="G7338" s="7">
        <v>303.07</v>
      </c>
      <c r="H7338" s="7">
        <v>0.02</v>
      </c>
      <c r="I7338" s="9" t="s">
        <v>22</v>
      </c>
      <c r="J7338" s="10">
        <v>-238.45</v>
      </c>
      <c r="K7338" s="11">
        <v>6.48</v>
      </c>
      <c r="L7338" s="11">
        <v>9.68</v>
      </c>
      <c r="M7338" s="9" t="s">
        <v>2038</v>
      </c>
      <c r="N7338" s="6" t="s">
        <v>703</v>
      </c>
      <c r="O7338" s="6" t="s">
        <v>704</v>
      </c>
      <c r="P7338" s="9" t="s">
        <v>33</v>
      </c>
      <c r="Q7338" s="9" t="s">
        <v>26</v>
      </c>
      <c r="R7338" s="9" t="s">
        <v>61</v>
      </c>
      <c r="S7338" s="7" t="s">
        <v>766</v>
      </c>
      <c r="T7338" s="9" t="s">
        <v>39</v>
      </c>
      <c r="U7338" s="7">
        <v>0.36</v>
      </c>
      <c r="V7338" s="12">
        <f>C7338+1</f>
        <v>40310</v>
      </c>
      <c r="W7338">
        <f>IF(D7338=' Pivot Tables'!$A$4,1,0)</f>
        <v>0</v>
      </c>
      <c r="X7338">
        <f>IF(AND(LEFT(D7338,4)+1=LEFT(' Pivot Tables'!$A$4,4)+0,RIGHT(LEFT(D7338,7),2)=RIGHT(LEFT(' Pivot Tables'!$A$4,7),2)),1,0)</f>
        <v>0</v>
      </c>
      <c r="Y7338" s="6">
        <f>1/COUNTIF(Таблица1[Order ID],Таблица1[[#This Row],[Order ID]])</f>
        <v>0.33333333333333331</v>
      </c>
      <c r="Z7338" s="9">
        <f>1/COUNTIFS(Таблица1[Customer Name],Таблица1[[#This Row],[Customer Name]],Таблица1[Order-Year-Month],Таблица1[[#This Row],[Order-Year-Month]])</f>
        <v>0.33333333333333331</v>
      </c>
    </row>
    <row r="7339" spans="1:26" x14ac:dyDescent="0.2">
      <c r="A7339" s="6">
        <v>8169</v>
      </c>
      <c r="B7339" s="7">
        <v>58371</v>
      </c>
      <c r="C7339" s="8">
        <f>DATE(2012,12,31)-965</f>
        <v>40309</v>
      </c>
      <c r="D7339" s="8" t="str">
        <f t="shared" si="139"/>
        <v>2010-05 (май 2010)</v>
      </c>
      <c r="E7339" s="9" t="s">
        <v>63</v>
      </c>
      <c r="F7339" s="7">
        <v>48</v>
      </c>
      <c r="G7339" s="7">
        <v>1661.8</v>
      </c>
      <c r="H7339" s="7">
        <v>7.0000000000000007E-2</v>
      </c>
      <c r="I7339" s="9" t="s">
        <v>22</v>
      </c>
      <c r="J7339" s="10">
        <v>202.68</v>
      </c>
      <c r="K7339" s="11">
        <v>36.549999999999997</v>
      </c>
      <c r="L7339" s="11">
        <v>13.89</v>
      </c>
      <c r="M7339" s="9" t="s">
        <v>2038</v>
      </c>
      <c r="N7339" s="6" t="s">
        <v>703</v>
      </c>
      <c r="O7339" s="6" t="s">
        <v>704</v>
      </c>
      <c r="P7339" s="9" t="s">
        <v>33</v>
      </c>
      <c r="Q7339" s="9" t="s">
        <v>26</v>
      </c>
      <c r="R7339" s="9" t="s">
        <v>95</v>
      </c>
      <c r="S7339" s="7" t="s">
        <v>290</v>
      </c>
      <c r="T7339" s="9" t="s">
        <v>68</v>
      </c>
      <c r="U7339" s="7">
        <v>0.41</v>
      </c>
      <c r="V7339" s="12">
        <f>C7339+2</f>
        <v>40311</v>
      </c>
      <c r="W7339">
        <f>IF(D7339=' Pivot Tables'!$A$4,1,0)</f>
        <v>0</v>
      </c>
      <c r="X7339">
        <f>IF(AND(LEFT(D7339,4)+1=LEFT(' Pivot Tables'!$A$4,4)+0,RIGHT(LEFT(D7339,7),2)=RIGHT(LEFT(' Pivot Tables'!$A$4,7),2)),1,0)</f>
        <v>0</v>
      </c>
      <c r="Y7339" s="6">
        <f>1/COUNTIF(Таблица1[Order ID],Таблица1[[#This Row],[Order ID]])</f>
        <v>0.33333333333333331</v>
      </c>
      <c r="Z7339" s="9">
        <f>1/COUNTIFS(Таблица1[Customer Name],Таблица1[[#This Row],[Customer Name]],Таблица1[Order-Year-Month],Таблица1[[#This Row],[Order-Year-Month]])</f>
        <v>0.33333333333333331</v>
      </c>
    </row>
    <row r="7340" spans="1:26" x14ac:dyDescent="0.2">
      <c r="A7340" s="6">
        <v>8173</v>
      </c>
      <c r="B7340" s="7">
        <v>58433</v>
      </c>
      <c r="C7340" s="8">
        <f>DATE(2012,12,31)-549</f>
        <v>40725</v>
      </c>
      <c r="D7340" s="8" t="str">
        <f t="shared" si="139"/>
        <v>2011-07 (июль 2011)</v>
      </c>
      <c r="E7340" s="9" t="s">
        <v>30</v>
      </c>
      <c r="F7340" s="7">
        <v>11</v>
      </c>
      <c r="G7340" s="7">
        <v>2020.58</v>
      </c>
      <c r="H7340" s="7">
        <v>0.01</v>
      </c>
      <c r="I7340" s="9" t="s">
        <v>31</v>
      </c>
      <c r="J7340" s="10">
        <v>-45.02</v>
      </c>
      <c r="K7340" s="11">
        <v>180.98</v>
      </c>
      <c r="L7340" s="11">
        <v>30</v>
      </c>
      <c r="M7340" s="9" t="s">
        <v>2036</v>
      </c>
      <c r="N7340" s="6" t="s">
        <v>703</v>
      </c>
      <c r="O7340" s="6" t="s">
        <v>704</v>
      </c>
      <c r="P7340" s="9" t="s">
        <v>60</v>
      </c>
      <c r="Q7340" s="9" t="s">
        <v>49</v>
      </c>
      <c r="R7340" s="9" t="s">
        <v>112</v>
      </c>
      <c r="S7340" s="7" t="s">
        <v>957</v>
      </c>
      <c r="T7340" s="9" t="s">
        <v>36</v>
      </c>
      <c r="U7340" s="7">
        <v>0.69</v>
      </c>
      <c r="V7340" s="12">
        <f>C7340+1</f>
        <v>40726</v>
      </c>
      <c r="W7340">
        <f>IF(D7340=' Pivot Tables'!$A$4,1,0)</f>
        <v>0</v>
      </c>
      <c r="X7340">
        <f>IF(AND(LEFT(D7340,4)+1=LEFT(' Pivot Tables'!$A$4,4)+0,RIGHT(LEFT(D7340,7),2)=RIGHT(LEFT(' Pivot Tables'!$A$4,7),2)),1,0)</f>
        <v>0</v>
      </c>
      <c r="Y7340" s="6">
        <f>1/COUNTIF(Таблица1[Order ID],Таблица1[[#This Row],[Order ID]])</f>
        <v>0.33333333333333331</v>
      </c>
      <c r="Z7340" s="9">
        <f>1/COUNTIFS(Таблица1[Customer Name],Таблица1[[#This Row],[Customer Name]],Таблица1[Order-Year-Month],Таблица1[[#This Row],[Order-Year-Month]])</f>
        <v>0.33333333333333331</v>
      </c>
    </row>
    <row r="7341" spans="1:26" x14ac:dyDescent="0.2">
      <c r="A7341" s="6">
        <v>8174</v>
      </c>
      <c r="B7341" s="7">
        <v>58433</v>
      </c>
      <c r="C7341" s="8">
        <f>DATE(2012,12,31)-549</f>
        <v>40725</v>
      </c>
      <c r="D7341" s="8" t="str">
        <f t="shared" si="139"/>
        <v>2011-07 (июль 2011)</v>
      </c>
      <c r="E7341" s="9" t="s">
        <v>30</v>
      </c>
      <c r="F7341" s="7">
        <v>30</v>
      </c>
      <c r="G7341" s="7">
        <v>1533.46</v>
      </c>
      <c r="H7341" s="7">
        <v>0</v>
      </c>
      <c r="I7341" s="9" t="s">
        <v>22</v>
      </c>
      <c r="J7341" s="10">
        <v>730.44</v>
      </c>
      <c r="K7341" s="11">
        <v>48.04</v>
      </c>
      <c r="L7341" s="11">
        <v>5.79</v>
      </c>
      <c r="M7341" s="9" t="s">
        <v>2036</v>
      </c>
      <c r="N7341" s="6" t="s">
        <v>703</v>
      </c>
      <c r="O7341" s="6" t="s">
        <v>704</v>
      </c>
      <c r="P7341" s="9" t="s">
        <v>60</v>
      </c>
      <c r="Q7341" s="9" t="s">
        <v>26</v>
      </c>
      <c r="R7341" s="9" t="s">
        <v>61</v>
      </c>
      <c r="S7341" s="7" t="s">
        <v>940</v>
      </c>
      <c r="T7341" s="9" t="s">
        <v>39</v>
      </c>
      <c r="U7341" s="7">
        <v>0.37</v>
      </c>
      <c r="V7341" s="12">
        <f>C7341+2</f>
        <v>40727</v>
      </c>
      <c r="W7341">
        <f>IF(D7341=' Pivot Tables'!$A$4,1,0)</f>
        <v>0</v>
      </c>
      <c r="X7341">
        <f>IF(AND(LEFT(D7341,4)+1=LEFT(' Pivot Tables'!$A$4,4)+0,RIGHT(LEFT(D7341,7),2)=RIGHT(LEFT(' Pivot Tables'!$A$4,7),2)),1,0)</f>
        <v>0</v>
      </c>
      <c r="Y7341" s="6">
        <f>1/COUNTIF(Таблица1[Order ID],Таблица1[[#This Row],[Order ID]])</f>
        <v>0.33333333333333331</v>
      </c>
      <c r="Z7341" s="9">
        <f>1/COUNTIFS(Таблица1[Customer Name],Таблица1[[#This Row],[Customer Name]],Таблица1[Order-Year-Month],Таблица1[[#This Row],[Order-Year-Month]])</f>
        <v>0.33333333333333331</v>
      </c>
    </row>
    <row r="7342" spans="1:26" x14ac:dyDescent="0.2">
      <c r="A7342" s="6">
        <v>8175</v>
      </c>
      <c r="B7342" s="7">
        <v>58433</v>
      </c>
      <c r="C7342" s="8">
        <f>DATE(2012,12,31)-549</f>
        <v>40725</v>
      </c>
      <c r="D7342" s="8" t="str">
        <f t="shared" si="139"/>
        <v>2011-07 (июль 2011)</v>
      </c>
      <c r="E7342" s="9" t="s">
        <v>30</v>
      </c>
      <c r="F7342" s="7">
        <v>20</v>
      </c>
      <c r="G7342" s="7">
        <v>5989.0480000000007</v>
      </c>
      <c r="H7342" s="7">
        <v>0.09</v>
      </c>
      <c r="I7342" s="9" t="s">
        <v>31</v>
      </c>
      <c r="J7342" s="10">
        <v>541.01</v>
      </c>
      <c r="K7342" s="11">
        <v>400.98</v>
      </c>
      <c r="L7342" s="11">
        <v>42.52</v>
      </c>
      <c r="M7342" s="9" t="s">
        <v>2036</v>
      </c>
      <c r="N7342" s="6" t="s">
        <v>703</v>
      </c>
      <c r="O7342" s="6" t="s">
        <v>704</v>
      </c>
      <c r="P7342" s="9" t="s">
        <v>60</v>
      </c>
      <c r="Q7342" s="9" t="s">
        <v>49</v>
      </c>
      <c r="R7342" s="9" t="s">
        <v>83</v>
      </c>
      <c r="S7342" s="7" t="s">
        <v>1136</v>
      </c>
      <c r="T7342" s="9" t="s">
        <v>82</v>
      </c>
      <c r="U7342" s="7">
        <v>0.71</v>
      </c>
      <c r="V7342" s="12">
        <f>C7342+2</f>
        <v>40727</v>
      </c>
      <c r="W7342">
        <f>IF(D7342=' Pivot Tables'!$A$4,1,0)</f>
        <v>0</v>
      </c>
      <c r="X7342">
        <f>IF(AND(LEFT(D7342,4)+1=LEFT(' Pivot Tables'!$A$4,4)+0,RIGHT(LEFT(D7342,7),2)=RIGHT(LEFT(' Pivot Tables'!$A$4,7),2)),1,0)</f>
        <v>0</v>
      </c>
      <c r="Y7342" s="6">
        <f>1/COUNTIF(Таблица1[Order ID],Таблица1[[#This Row],[Order ID]])</f>
        <v>0.33333333333333331</v>
      </c>
      <c r="Z7342" s="9">
        <f>1/COUNTIFS(Таблица1[Customer Name],Таблица1[[#This Row],[Customer Name]],Таблица1[Order-Year-Month],Таблица1[[#This Row],[Order-Year-Month]])</f>
        <v>0.33333333333333331</v>
      </c>
    </row>
    <row r="7343" spans="1:26" x14ac:dyDescent="0.2">
      <c r="A7343" s="6">
        <v>8236</v>
      </c>
      <c r="B7343" s="7">
        <v>58855</v>
      </c>
      <c r="C7343" s="8">
        <f>DATE(2012,12,31)-792</f>
        <v>40482</v>
      </c>
      <c r="D7343" s="8" t="str">
        <f t="shared" si="139"/>
        <v>2010-10 (октябрь 2010)</v>
      </c>
      <c r="E7343" s="9" t="s">
        <v>63</v>
      </c>
      <c r="F7343" s="7">
        <v>38</v>
      </c>
      <c r="G7343" s="7">
        <v>69.260000000000005</v>
      </c>
      <c r="H7343" s="7">
        <v>7.0000000000000007E-2</v>
      </c>
      <c r="I7343" s="9" t="s">
        <v>22</v>
      </c>
      <c r="J7343" s="10">
        <v>-113.86</v>
      </c>
      <c r="K7343" s="11">
        <v>1.74</v>
      </c>
      <c r="L7343" s="11">
        <v>4.08</v>
      </c>
      <c r="M7343" s="9" t="s">
        <v>2039</v>
      </c>
      <c r="N7343" s="6" t="s">
        <v>703</v>
      </c>
      <c r="O7343" s="6" t="s">
        <v>704</v>
      </c>
      <c r="P7343" s="9" t="s">
        <v>41</v>
      </c>
      <c r="Q7343" s="9" t="s">
        <v>49</v>
      </c>
      <c r="R7343" s="9" t="s">
        <v>50</v>
      </c>
      <c r="S7343" s="7" t="s">
        <v>456</v>
      </c>
      <c r="T7343" s="9" t="s">
        <v>52</v>
      </c>
      <c r="U7343" s="7">
        <v>0.53</v>
      </c>
      <c r="V7343" s="12">
        <f>C7343+0</f>
        <v>40482</v>
      </c>
      <c r="W7343">
        <f>IF(D7343=' Pivot Tables'!$A$4,1,0)</f>
        <v>0</v>
      </c>
      <c r="X7343">
        <f>IF(AND(LEFT(D7343,4)+1=LEFT(' Pivot Tables'!$A$4,4)+0,RIGHT(LEFT(D7343,7),2)=RIGHT(LEFT(' Pivot Tables'!$A$4,7),2)),1,0)</f>
        <v>0</v>
      </c>
      <c r="Y7343" s="6">
        <f>1/COUNTIF(Таблица1[Order ID],Таблица1[[#This Row],[Order ID]])</f>
        <v>1</v>
      </c>
      <c r="Z7343" s="9">
        <f>1/COUNTIFS(Таблица1[Customer Name],Таблица1[[#This Row],[Customer Name]],Таблица1[Order-Year-Month],Таблица1[[#This Row],[Order-Year-Month]])</f>
        <v>1</v>
      </c>
    </row>
    <row r="7344" spans="1:26" x14ac:dyDescent="0.2">
      <c r="A7344" s="6">
        <v>8278</v>
      </c>
      <c r="B7344" s="7">
        <v>59173</v>
      </c>
      <c r="C7344" s="8">
        <f>DATE(2012,12,31)-742</f>
        <v>40532</v>
      </c>
      <c r="D7344" s="8" t="str">
        <f t="shared" si="139"/>
        <v>2010-12 (декабрь 2010)</v>
      </c>
      <c r="E7344" s="9" t="s">
        <v>30</v>
      </c>
      <c r="F7344" s="7">
        <v>27</v>
      </c>
      <c r="G7344" s="7">
        <v>2896.99</v>
      </c>
      <c r="H7344" s="7">
        <v>0.01</v>
      </c>
      <c r="I7344" s="9" t="s">
        <v>31</v>
      </c>
      <c r="J7344" s="10">
        <v>36.94</v>
      </c>
      <c r="K7344" s="11">
        <v>100.98</v>
      </c>
      <c r="L7344" s="11">
        <v>35.840000000000003</v>
      </c>
      <c r="M7344" s="9" t="s">
        <v>1512</v>
      </c>
      <c r="N7344" s="6" t="s">
        <v>703</v>
      </c>
      <c r="O7344" s="6" t="s">
        <v>704</v>
      </c>
      <c r="P7344" s="9" t="s">
        <v>60</v>
      </c>
      <c r="Q7344" s="9" t="s">
        <v>49</v>
      </c>
      <c r="R7344" s="9" t="s">
        <v>80</v>
      </c>
      <c r="S7344" s="7" t="s">
        <v>705</v>
      </c>
      <c r="T7344" s="9" t="s">
        <v>82</v>
      </c>
      <c r="U7344" s="7">
        <v>0.62</v>
      </c>
      <c r="V7344" s="12">
        <f>C7344+1</f>
        <v>40533</v>
      </c>
      <c r="W7344">
        <f>IF(D7344=' Pivot Tables'!$A$4,1,0)</f>
        <v>0</v>
      </c>
      <c r="X7344">
        <f>IF(AND(LEFT(D7344,4)+1=LEFT(' Pivot Tables'!$A$4,4)+0,RIGHT(LEFT(D7344,7),2)=RIGHT(LEFT(' Pivot Tables'!$A$4,7),2)),1,0)</f>
        <v>0</v>
      </c>
      <c r="Y7344" s="6">
        <f>1/COUNTIF(Таблица1[Order ID],Таблица1[[#This Row],[Order ID]])</f>
        <v>1</v>
      </c>
      <c r="Z7344" s="9">
        <f>1/COUNTIFS(Таблица1[Customer Name],Таблица1[[#This Row],[Customer Name]],Таблица1[Order-Year-Month],Таблица1[[#This Row],[Order-Year-Month]])</f>
        <v>1</v>
      </c>
    </row>
    <row r="7345" spans="1:26" x14ac:dyDescent="0.2">
      <c r="A7345" s="6">
        <v>8284</v>
      </c>
      <c r="B7345" s="7">
        <v>59204</v>
      </c>
      <c r="C7345" s="8">
        <f>DATE(2012,12,31)-306</f>
        <v>40968</v>
      </c>
      <c r="D7345" s="8" t="str">
        <f t="shared" si="139"/>
        <v>2012-02 (февраль 2012)</v>
      </c>
      <c r="E7345" s="9" t="s">
        <v>63</v>
      </c>
      <c r="F7345" s="7">
        <v>8</v>
      </c>
      <c r="G7345" s="7">
        <v>250.29</v>
      </c>
      <c r="H7345" s="7">
        <v>0.1</v>
      </c>
      <c r="I7345" s="9" t="s">
        <v>22</v>
      </c>
      <c r="J7345" s="10">
        <v>-9.3149999999999942</v>
      </c>
      <c r="K7345" s="11">
        <v>31.74</v>
      </c>
      <c r="L7345" s="11">
        <v>12.62</v>
      </c>
      <c r="M7345" s="9" t="s">
        <v>1454</v>
      </c>
      <c r="N7345" s="6" t="s">
        <v>703</v>
      </c>
      <c r="O7345" s="6" t="s">
        <v>704</v>
      </c>
      <c r="P7345" s="9" t="s">
        <v>60</v>
      </c>
      <c r="Q7345" s="9" t="s">
        <v>26</v>
      </c>
      <c r="R7345" s="9" t="s">
        <v>37</v>
      </c>
      <c r="S7345" s="7" t="s">
        <v>1223</v>
      </c>
      <c r="T7345" s="9" t="s">
        <v>39</v>
      </c>
      <c r="U7345" s="7">
        <v>0.37</v>
      </c>
      <c r="V7345" s="12">
        <f>C7345+1</f>
        <v>40969</v>
      </c>
      <c r="W7345">
        <f>IF(D7345=' Pivot Tables'!$A$4,1,0)</f>
        <v>0</v>
      </c>
      <c r="X7345">
        <f>IF(AND(LEFT(D7345,4)+1=LEFT(' Pivot Tables'!$A$4,4)+0,RIGHT(LEFT(D7345,7),2)=RIGHT(LEFT(' Pivot Tables'!$A$4,7),2)),1,0)</f>
        <v>0</v>
      </c>
      <c r="Y7345" s="6">
        <f>1/COUNTIF(Таблица1[Order ID],Таблица1[[#This Row],[Order ID]])</f>
        <v>0.33333333333333331</v>
      </c>
      <c r="Z7345" s="9">
        <f>1/COUNTIFS(Таблица1[Customer Name],Таблица1[[#This Row],[Customer Name]],Таблица1[Order-Year-Month],Таблица1[[#This Row],[Order-Year-Month]])</f>
        <v>0.33333333333333331</v>
      </c>
    </row>
    <row r="7346" spans="1:26" x14ac:dyDescent="0.2">
      <c r="A7346" s="6">
        <v>8285</v>
      </c>
      <c r="B7346" s="7">
        <v>59204</v>
      </c>
      <c r="C7346" s="8">
        <f>DATE(2012,12,31)-306</f>
        <v>40968</v>
      </c>
      <c r="D7346" s="8" t="str">
        <f t="shared" si="139"/>
        <v>2012-02 (февраль 2012)</v>
      </c>
      <c r="E7346" s="9" t="s">
        <v>63</v>
      </c>
      <c r="F7346" s="7">
        <v>7</v>
      </c>
      <c r="G7346" s="7">
        <v>251.59</v>
      </c>
      <c r="H7346" s="7">
        <v>0.09</v>
      </c>
      <c r="I7346" s="9" t="s">
        <v>22</v>
      </c>
      <c r="J7346" s="10">
        <v>39.229999999999997</v>
      </c>
      <c r="K7346" s="11">
        <v>37.94</v>
      </c>
      <c r="L7346" s="11">
        <v>5.08</v>
      </c>
      <c r="M7346" s="9" t="s">
        <v>1454</v>
      </c>
      <c r="N7346" s="6" t="s">
        <v>703</v>
      </c>
      <c r="O7346" s="6" t="s">
        <v>704</v>
      </c>
      <c r="P7346" s="9" t="s">
        <v>60</v>
      </c>
      <c r="Q7346" s="9" t="s">
        <v>26</v>
      </c>
      <c r="R7346" s="9" t="s">
        <v>61</v>
      </c>
      <c r="S7346" s="7" t="s">
        <v>684</v>
      </c>
      <c r="T7346" s="9" t="s">
        <v>68</v>
      </c>
      <c r="U7346" s="7">
        <v>0.38</v>
      </c>
      <c r="V7346" s="12">
        <f>C7346+1</f>
        <v>40969</v>
      </c>
      <c r="W7346">
        <f>IF(D7346=' Pivot Tables'!$A$4,1,0)</f>
        <v>0</v>
      </c>
      <c r="X7346">
        <f>IF(AND(LEFT(D7346,4)+1=LEFT(' Pivot Tables'!$A$4,4)+0,RIGHT(LEFT(D7346,7),2)=RIGHT(LEFT(' Pivot Tables'!$A$4,7),2)),1,0)</f>
        <v>0</v>
      </c>
      <c r="Y7346" s="6">
        <f>1/COUNTIF(Таблица1[Order ID],Таблица1[[#This Row],[Order ID]])</f>
        <v>0.33333333333333331</v>
      </c>
      <c r="Z7346" s="9">
        <f>1/COUNTIFS(Таблица1[Customer Name],Таблица1[[#This Row],[Customer Name]],Таблица1[Order-Year-Month],Таблица1[[#This Row],[Order-Year-Month]])</f>
        <v>0.33333333333333331</v>
      </c>
    </row>
    <row r="7347" spans="1:26" x14ac:dyDescent="0.2">
      <c r="A7347" s="6">
        <v>8309</v>
      </c>
      <c r="B7347" s="7">
        <v>59363</v>
      </c>
      <c r="C7347" s="8">
        <f>DATE(2012,12,31)-1339</f>
        <v>39935</v>
      </c>
      <c r="D7347" s="8" t="str">
        <f t="shared" si="139"/>
        <v>2009-05 (май 2009)</v>
      </c>
      <c r="E7347" s="9" t="s">
        <v>30</v>
      </c>
      <c r="F7347" s="7">
        <v>24</v>
      </c>
      <c r="G7347" s="7">
        <v>158.91</v>
      </c>
      <c r="H7347" s="7">
        <v>0.06</v>
      </c>
      <c r="I7347" s="9" t="s">
        <v>22</v>
      </c>
      <c r="J7347" s="10">
        <v>-38.57</v>
      </c>
      <c r="K7347" s="11">
        <v>6.68</v>
      </c>
      <c r="L7347" s="11">
        <v>5.2</v>
      </c>
      <c r="M7347" s="9" t="s">
        <v>1523</v>
      </c>
      <c r="N7347" s="6" t="s">
        <v>703</v>
      </c>
      <c r="O7347" s="6" t="s">
        <v>704</v>
      </c>
      <c r="P7347" s="9" t="s">
        <v>25</v>
      </c>
      <c r="Q7347" s="9" t="s">
        <v>26</v>
      </c>
      <c r="R7347" s="9" t="s">
        <v>61</v>
      </c>
      <c r="S7347" s="7" t="s">
        <v>445</v>
      </c>
      <c r="T7347" s="9" t="s">
        <v>39</v>
      </c>
      <c r="U7347" s="7">
        <v>0.37</v>
      </c>
      <c r="V7347" s="12">
        <f>C7347+0</f>
        <v>39935</v>
      </c>
      <c r="W7347">
        <f>IF(D7347=' Pivot Tables'!$A$4,1,0)</f>
        <v>0</v>
      </c>
      <c r="X7347">
        <f>IF(AND(LEFT(D7347,4)+1=LEFT(' Pivot Tables'!$A$4,4)+0,RIGHT(LEFT(D7347,7),2)=RIGHT(LEFT(' Pivot Tables'!$A$4,7),2)),1,0)</f>
        <v>0</v>
      </c>
      <c r="Y7347" s="6">
        <f>1/COUNTIF(Таблица1[Order ID],Таблица1[[#This Row],[Order ID]])</f>
        <v>1</v>
      </c>
      <c r="Z7347" s="9">
        <f>1/COUNTIFS(Таблица1[Customer Name],Таблица1[[#This Row],[Customer Name]],Таблица1[Order-Year-Month],Таблица1[[#This Row],[Order-Year-Month]])</f>
        <v>1</v>
      </c>
    </row>
    <row r="7348" spans="1:26" x14ac:dyDescent="0.2">
      <c r="A7348" s="6">
        <v>8328</v>
      </c>
      <c r="B7348" s="7">
        <v>59553</v>
      </c>
      <c r="C7348" s="8">
        <f>DATE(2012,12,31)-780</f>
        <v>40494</v>
      </c>
      <c r="D7348" s="8" t="str">
        <f t="shared" si="139"/>
        <v>2010-11 (ноябрь 2010)</v>
      </c>
      <c r="E7348" s="9" t="s">
        <v>45</v>
      </c>
      <c r="F7348" s="7">
        <v>15</v>
      </c>
      <c r="G7348" s="7">
        <v>171.57</v>
      </c>
      <c r="H7348" s="7">
        <v>0.04</v>
      </c>
      <c r="I7348" s="9" t="s">
        <v>22</v>
      </c>
      <c r="J7348" s="10">
        <v>12.5</v>
      </c>
      <c r="K7348" s="11">
        <v>11.34</v>
      </c>
      <c r="L7348" s="11">
        <v>5.01</v>
      </c>
      <c r="M7348" s="9" t="s">
        <v>1458</v>
      </c>
      <c r="N7348" s="6" t="s">
        <v>703</v>
      </c>
      <c r="O7348" s="6" t="s">
        <v>704</v>
      </c>
      <c r="P7348" s="9" t="s">
        <v>25</v>
      </c>
      <c r="Q7348" s="9" t="s">
        <v>26</v>
      </c>
      <c r="R7348" s="9" t="s">
        <v>61</v>
      </c>
      <c r="S7348" s="7" t="s">
        <v>226</v>
      </c>
      <c r="T7348" s="9" t="s">
        <v>39</v>
      </c>
      <c r="U7348" s="7">
        <v>0.36</v>
      </c>
      <c r="V7348" s="12">
        <f>C7348+1</f>
        <v>40495</v>
      </c>
      <c r="W7348">
        <f>IF(D7348=' Pivot Tables'!$A$4,1,0)</f>
        <v>0</v>
      </c>
      <c r="X7348">
        <f>IF(AND(LEFT(D7348,4)+1=LEFT(' Pivot Tables'!$A$4,4)+0,RIGHT(LEFT(D7348,7),2)=RIGHT(LEFT(' Pivot Tables'!$A$4,7),2)),1,0)</f>
        <v>0</v>
      </c>
      <c r="Y7348" s="6">
        <f>1/COUNTIF(Таблица1[Order ID],Таблица1[[#This Row],[Order ID]])</f>
        <v>0.5</v>
      </c>
      <c r="Z7348" s="9">
        <f>1/COUNTIFS(Таблица1[Customer Name],Таблица1[[#This Row],[Customer Name]],Таблица1[Order-Year-Month],Таблица1[[#This Row],[Order-Year-Month]])</f>
        <v>0.5</v>
      </c>
    </row>
    <row r="7349" spans="1:26" x14ac:dyDescent="0.2">
      <c r="A7349" s="6">
        <v>8329</v>
      </c>
      <c r="B7349" s="7">
        <v>59553</v>
      </c>
      <c r="C7349" s="8">
        <f>DATE(2012,12,31)-780</f>
        <v>40494</v>
      </c>
      <c r="D7349" s="8" t="str">
        <f t="shared" si="139"/>
        <v>2010-11 (ноябрь 2010)</v>
      </c>
      <c r="E7349" s="9" t="s">
        <v>45</v>
      </c>
      <c r="F7349" s="7">
        <v>42</v>
      </c>
      <c r="G7349" s="7">
        <v>2170.3049999999998</v>
      </c>
      <c r="H7349" s="7">
        <v>0.1</v>
      </c>
      <c r="I7349" s="9" t="s">
        <v>22</v>
      </c>
      <c r="J7349" s="10">
        <v>264.32100000000003</v>
      </c>
      <c r="K7349" s="11">
        <v>65.989999999999995</v>
      </c>
      <c r="L7349" s="11">
        <v>8.99</v>
      </c>
      <c r="M7349" s="9" t="s">
        <v>1458</v>
      </c>
      <c r="N7349" s="6" t="s">
        <v>703</v>
      </c>
      <c r="O7349" s="6" t="s">
        <v>704</v>
      </c>
      <c r="P7349" s="9" t="s">
        <v>25</v>
      </c>
      <c r="Q7349" s="9" t="s">
        <v>42</v>
      </c>
      <c r="R7349" s="9" t="s">
        <v>43</v>
      </c>
      <c r="S7349" s="7" t="s">
        <v>1181</v>
      </c>
      <c r="T7349" s="9" t="s">
        <v>39</v>
      </c>
      <c r="U7349" s="7">
        <v>0.56000000000000005</v>
      </c>
      <c r="V7349" s="12">
        <f>C7349+2</f>
        <v>40496</v>
      </c>
      <c r="W7349">
        <f>IF(D7349=' Pivot Tables'!$A$4,1,0)</f>
        <v>0</v>
      </c>
      <c r="X7349">
        <f>IF(AND(LEFT(D7349,4)+1=LEFT(' Pivot Tables'!$A$4,4)+0,RIGHT(LEFT(D7349,7),2)=RIGHT(LEFT(' Pivot Tables'!$A$4,7),2)),1,0)</f>
        <v>0</v>
      </c>
      <c r="Y7349" s="6">
        <f>1/COUNTIF(Таблица1[Order ID],Таблица1[[#This Row],[Order ID]])</f>
        <v>0.5</v>
      </c>
      <c r="Z7349" s="9">
        <f>1/COUNTIFS(Таблица1[Customer Name],Таблица1[[#This Row],[Customer Name]],Таблица1[Order-Year-Month],Таблица1[[#This Row],[Order-Year-Month]])</f>
        <v>0.5</v>
      </c>
    </row>
    <row r="7350" spans="1:26" x14ac:dyDescent="0.2">
      <c r="A7350" s="6">
        <v>8348</v>
      </c>
      <c r="B7350" s="7">
        <v>59681</v>
      </c>
      <c r="C7350" s="8">
        <f>DATE(2012,12,31)-1299</f>
        <v>39975</v>
      </c>
      <c r="D7350" s="8" t="str">
        <f t="shared" si="139"/>
        <v>2009-06 (июнь 2009)</v>
      </c>
      <c r="E7350" s="9" t="s">
        <v>78</v>
      </c>
      <c r="F7350" s="7">
        <v>23</v>
      </c>
      <c r="G7350" s="7">
        <v>224.34</v>
      </c>
      <c r="H7350" s="7">
        <v>0.02</v>
      </c>
      <c r="I7350" s="9" t="s">
        <v>56</v>
      </c>
      <c r="J7350" s="10">
        <v>-11.948500000000001</v>
      </c>
      <c r="K7350" s="11">
        <v>8.6</v>
      </c>
      <c r="L7350" s="11">
        <v>6.19</v>
      </c>
      <c r="M7350" s="9" t="s">
        <v>1482</v>
      </c>
      <c r="N7350" s="6" t="s">
        <v>703</v>
      </c>
      <c r="O7350" s="6" t="s">
        <v>704</v>
      </c>
      <c r="P7350" s="9" t="s">
        <v>25</v>
      </c>
      <c r="Q7350" s="9" t="s">
        <v>26</v>
      </c>
      <c r="R7350" s="9" t="s">
        <v>37</v>
      </c>
      <c r="S7350" s="7" t="s">
        <v>872</v>
      </c>
      <c r="T7350" s="9" t="s">
        <v>39</v>
      </c>
      <c r="U7350" s="7">
        <v>0.38</v>
      </c>
      <c r="V7350" s="12">
        <f>C7350+2</f>
        <v>39977</v>
      </c>
      <c r="W7350">
        <f>IF(D7350=' Pivot Tables'!$A$4,1,0)</f>
        <v>0</v>
      </c>
      <c r="X7350">
        <f>IF(AND(LEFT(D7350,4)+1=LEFT(' Pivot Tables'!$A$4,4)+0,RIGHT(LEFT(D7350,7),2)=RIGHT(LEFT(' Pivot Tables'!$A$4,7),2)),1,0)</f>
        <v>0</v>
      </c>
      <c r="Y7350" s="6">
        <f>1/COUNTIF(Таблица1[Order ID],Таблица1[[#This Row],[Order ID]])</f>
        <v>1</v>
      </c>
      <c r="Z7350" s="9">
        <f>1/COUNTIFS(Таблица1[Customer Name],Таблица1[[#This Row],[Customer Name]],Таблица1[Order-Year-Month],Таблица1[[#This Row],[Order-Year-Month]])</f>
        <v>0.5</v>
      </c>
    </row>
    <row r="7351" spans="1:26" x14ac:dyDescent="0.2">
      <c r="A7351" s="6">
        <v>8369</v>
      </c>
      <c r="B7351" s="7">
        <v>59781</v>
      </c>
      <c r="C7351" s="8">
        <f>DATE(2012,12,31)-19</f>
        <v>41255</v>
      </c>
      <c r="D7351" s="8" t="str">
        <f t="shared" si="139"/>
        <v>2012-12 (декабрь 2012)</v>
      </c>
      <c r="E7351" s="9" t="s">
        <v>45</v>
      </c>
      <c r="F7351" s="7">
        <v>43</v>
      </c>
      <c r="G7351" s="7">
        <v>262.13</v>
      </c>
      <c r="H7351" s="7">
        <v>0</v>
      </c>
      <c r="I7351" s="9" t="s">
        <v>56</v>
      </c>
      <c r="J7351" s="10">
        <v>-60.91</v>
      </c>
      <c r="K7351" s="11">
        <v>5.58</v>
      </c>
      <c r="L7351" s="11">
        <v>5.3</v>
      </c>
      <c r="M7351" s="9" t="s">
        <v>1566</v>
      </c>
      <c r="N7351" s="6" t="s">
        <v>703</v>
      </c>
      <c r="O7351" s="6" t="s">
        <v>704</v>
      </c>
      <c r="P7351" s="9" t="s">
        <v>41</v>
      </c>
      <c r="Q7351" s="9" t="s">
        <v>26</v>
      </c>
      <c r="R7351" s="9" t="s">
        <v>76</v>
      </c>
      <c r="S7351" s="7" t="s">
        <v>881</v>
      </c>
      <c r="T7351" s="9" t="s">
        <v>39</v>
      </c>
      <c r="U7351" s="7">
        <v>0.35</v>
      </c>
      <c r="V7351" s="12">
        <f>C7351+1</f>
        <v>41256</v>
      </c>
      <c r="W7351">
        <f>IF(D7351=' Pivot Tables'!$A$4,1,0)</f>
        <v>0</v>
      </c>
      <c r="X7351">
        <f>IF(AND(LEFT(D7351,4)+1=LEFT(' Pivot Tables'!$A$4,4)+0,RIGHT(LEFT(D7351,7),2)=RIGHT(LEFT(' Pivot Tables'!$A$4,7),2)),1,0)</f>
        <v>0</v>
      </c>
      <c r="Y7351" s="6">
        <f>1/COUNTIF(Таблица1[Order ID],Таблица1[[#This Row],[Order ID]])</f>
        <v>0.2</v>
      </c>
      <c r="Z7351" s="9">
        <f>1/COUNTIFS(Таблица1[Customer Name],Таблица1[[#This Row],[Customer Name]],Таблица1[Order-Year-Month],Таблица1[[#This Row],[Order-Year-Month]])</f>
        <v>0.2</v>
      </c>
    </row>
    <row r="7352" spans="1:26" x14ac:dyDescent="0.2">
      <c r="A7352" s="6">
        <v>8370</v>
      </c>
      <c r="B7352" s="7">
        <v>59781</v>
      </c>
      <c r="C7352" s="8">
        <f>DATE(2012,12,31)-19</f>
        <v>41255</v>
      </c>
      <c r="D7352" s="8" t="str">
        <f t="shared" si="139"/>
        <v>2012-12 (декабрь 2012)</v>
      </c>
      <c r="E7352" s="9" t="s">
        <v>45</v>
      </c>
      <c r="F7352" s="7">
        <v>24</v>
      </c>
      <c r="G7352" s="7">
        <v>173.12</v>
      </c>
      <c r="H7352" s="7">
        <v>0.1</v>
      </c>
      <c r="I7352" s="9" t="s">
        <v>22</v>
      </c>
      <c r="J7352" s="10">
        <v>-166.41</v>
      </c>
      <c r="K7352" s="11">
        <v>7.28</v>
      </c>
      <c r="L7352" s="11">
        <v>11.15</v>
      </c>
      <c r="M7352" s="9" t="s">
        <v>1566</v>
      </c>
      <c r="N7352" s="6" t="s">
        <v>703</v>
      </c>
      <c r="O7352" s="6" t="s">
        <v>704</v>
      </c>
      <c r="P7352" s="9" t="s">
        <v>41</v>
      </c>
      <c r="Q7352" s="9" t="s">
        <v>26</v>
      </c>
      <c r="R7352" s="9" t="s">
        <v>61</v>
      </c>
      <c r="S7352" s="7" t="s">
        <v>666</v>
      </c>
      <c r="T7352" s="9" t="s">
        <v>39</v>
      </c>
      <c r="U7352" s="7">
        <v>0.37</v>
      </c>
      <c r="V7352" s="12">
        <f>C7352+1</f>
        <v>41256</v>
      </c>
      <c r="W7352">
        <f>IF(D7352=' Pivot Tables'!$A$4,1,0)</f>
        <v>0</v>
      </c>
      <c r="X7352">
        <f>IF(AND(LEFT(D7352,4)+1=LEFT(' Pivot Tables'!$A$4,4)+0,RIGHT(LEFT(D7352,7),2)=RIGHT(LEFT(' Pivot Tables'!$A$4,7),2)),1,0)</f>
        <v>0</v>
      </c>
      <c r="Y7352" s="6">
        <f>1/COUNTIF(Таблица1[Order ID],Таблица1[[#This Row],[Order ID]])</f>
        <v>0.2</v>
      </c>
      <c r="Z7352" s="9">
        <f>1/COUNTIFS(Таблица1[Customer Name],Таблица1[[#This Row],[Customer Name]],Таблица1[Order-Year-Month],Таблица1[[#This Row],[Order-Year-Month]])</f>
        <v>0.2</v>
      </c>
    </row>
    <row r="7353" spans="1:26" x14ac:dyDescent="0.2">
      <c r="A7353" s="6">
        <v>8374</v>
      </c>
      <c r="B7353" s="7">
        <v>59812</v>
      </c>
      <c r="C7353" s="8">
        <f>DATE(2012,12,31)-558</f>
        <v>40716</v>
      </c>
      <c r="D7353" s="8" t="str">
        <f t="shared" si="139"/>
        <v>2011-06 (июнь 2011)</v>
      </c>
      <c r="E7353" s="9" t="s">
        <v>63</v>
      </c>
      <c r="F7353" s="7">
        <v>46</v>
      </c>
      <c r="G7353" s="7">
        <v>9261.24</v>
      </c>
      <c r="H7353" s="7">
        <v>0</v>
      </c>
      <c r="I7353" s="9" t="s">
        <v>22</v>
      </c>
      <c r="J7353" s="10">
        <v>1646.43</v>
      </c>
      <c r="K7353" s="11">
        <v>193.17</v>
      </c>
      <c r="L7353" s="11">
        <v>19.989999999999998</v>
      </c>
      <c r="M7353" s="9" t="s">
        <v>1467</v>
      </c>
      <c r="N7353" s="6" t="s">
        <v>703</v>
      </c>
      <c r="O7353" s="6" t="s">
        <v>704</v>
      </c>
      <c r="P7353" s="9" t="s">
        <v>33</v>
      </c>
      <c r="Q7353" s="9" t="s">
        <v>26</v>
      </c>
      <c r="R7353" s="9" t="s">
        <v>27</v>
      </c>
      <c r="S7353" s="7" t="s">
        <v>338</v>
      </c>
      <c r="T7353" s="9" t="s">
        <v>39</v>
      </c>
      <c r="U7353" s="7">
        <v>0.71</v>
      </c>
      <c r="V7353" s="12">
        <f>C7353+0</f>
        <v>40716</v>
      </c>
      <c r="W7353">
        <f>IF(D7353=' Pivot Tables'!$A$4,1,0)</f>
        <v>0</v>
      </c>
      <c r="X7353">
        <f>IF(AND(LEFT(D7353,4)+1=LEFT(' Pivot Tables'!$A$4,4)+0,RIGHT(LEFT(D7353,7),2)=RIGHT(LEFT(' Pivot Tables'!$A$4,7),2)),1,0)</f>
        <v>0</v>
      </c>
      <c r="Y7353" s="6">
        <f>1/COUNTIF(Таблица1[Order ID],Таблица1[[#This Row],[Order ID]])</f>
        <v>0.5</v>
      </c>
      <c r="Z7353" s="9">
        <f>1/COUNTIFS(Таблица1[Customer Name],Таблица1[[#This Row],[Customer Name]],Таблица1[Order-Year-Month],Таблица1[[#This Row],[Order-Year-Month]])</f>
        <v>0.5</v>
      </c>
    </row>
    <row r="7354" spans="1:26" x14ac:dyDescent="0.2">
      <c r="A7354" s="6">
        <v>8375</v>
      </c>
      <c r="B7354" s="7">
        <v>59812</v>
      </c>
      <c r="C7354" s="8">
        <f>DATE(2012,12,31)-558</f>
        <v>40716</v>
      </c>
      <c r="D7354" s="8" t="str">
        <f t="shared" si="139"/>
        <v>2011-06 (июнь 2011)</v>
      </c>
      <c r="E7354" s="9" t="s">
        <v>63</v>
      </c>
      <c r="F7354" s="7">
        <v>2</v>
      </c>
      <c r="G7354" s="7">
        <v>28.98</v>
      </c>
      <c r="H7354" s="7">
        <v>0.06</v>
      </c>
      <c r="I7354" s="9" t="s">
        <v>22</v>
      </c>
      <c r="J7354" s="10">
        <v>-18.39</v>
      </c>
      <c r="K7354" s="11">
        <v>12.64</v>
      </c>
      <c r="L7354" s="11">
        <v>4.9800000000000004</v>
      </c>
      <c r="M7354" s="9" t="s">
        <v>1467</v>
      </c>
      <c r="N7354" s="6" t="s">
        <v>703</v>
      </c>
      <c r="O7354" s="6" t="s">
        <v>704</v>
      </c>
      <c r="P7354" s="9" t="s">
        <v>33</v>
      </c>
      <c r="Q7354" s="9" t="s">
        <v>49</v>
      </c>
      <c r="R7354" s="9" t="s">
        <v>50</v>
      </c>
      <c r="S7354" s="7" t="s">
        <v>997</v>
      </c>
      <c r="T7354" s="9" t="s">
        <v>52</v>
      </c>
      <c r="U7354" s="7">
        <v>0.48</v>
      </c>
      <c r="V7354" s="12">
        <f>C7354+1</f>
        <v>40717</v>
      </c>
      <c r="W7354">
        <f>IF(D7354=' Pivot Tables'!$A$4,1,0)</f>
        <v>0</v>
      </c>
      <c r="X7354">
        <f>IF(AND(LEFT(D7354,4)+1=LEFT(' Pivot Tables'!$A$4,4)+0,RIGHT(LEFT(D7354,7),2)=RIGHT(LEFT(' Pivot Tables'!$A$4,7),2)),1,0)</f>
        <v>0</v>
      </c>
      <c r="Y7354" s="6">
        <f>1/COUNTIF(Таблица1[Order ID],Таблица1[[#This Row],[Order ID]])</f>
        <v>0.5</v>
      </c>
      <c r="Z7354" s="9">
        <f>1/COUNTIFS(Таблица1[Customer Name],Таблица1[[#This Row],[Customer Name]],Таблица1[Order-Year-Month],Таблица1[[#This Row],[Order-Year-Month]])</f>
        <v>0.5</v>
      </c>
    </row>
    <row r="7355" spans="1:26" x14ac:dyDescent="0.2">
      <c r="A7355" s="6">
        <v>8376</v>
      </c>
      <c r="B7355" s="7">
        <v>59815</v>
      </c>
      <c r="C7355" s="8">
        <f>DATE(2012,12,31)-747</f>
        <v>40527</v>
      </c>
      <c r="D7355" s="8" t="str">
        <f t="shared" si="139"/>
        <v>2010-12 (декабрь 2010)</v>
      </c>
      <c r="E7355" s="9" t="s">
        <v>45</v>
      </c>
      <c r="F7355" s="7">
        <v>14</v>
      </c>
      <c r="G7355" s="7">
        <v>51.56</v>
      </c>
      <c r="H7355" s="7">
        <v>0.09</v>
      </c>
      <c r="I7355" s="9" t="s">
        <v>22</v>
      </c>
      <c r="J7355" s="10">
        <v>-1.06</v>
      </c>
      <c r="K7355" s="11">
        <v>3.71</v>
      </c>
      <c r="L7355" s="11">
        <v>1.93</v>
      </c>
      <c r="M7355" s="9" t="s">
        <v>1488</v>
      </c>
      <c r="N7355" s="6" t="s">
        <v>703</v>
      </c>
      <c r="O7355" s="6" t="s">
        <v>704</v>
      </c>
      <c r="P7355" s="9" t="s">
        <v>33</v>
      </c>
      <c r="Q7355" s="9" t="s">
        <v>26</v>
      </c>
      <c r="R7355" s="9" t="s">
        <v>61</v>
      </c>
      <c r="S7355" s="7" t="s">
        <v>1170</v>
      </c>
      <c r="T7355" s="9" t="s">
        <v>68</v>
      </c>
      <c r="U7355" s="7">
        <v>0.35</v>
      </c>
      <c r="V7355" s="12">
        <f>C7355+2</f>
        <v>40529</v>
      </c>
      <c r="W7355">
        <f>IF(D7355=' Pivot Tables'!$A$4,1,0)</f>
        <v>0</v>
      </c>
      <c r="X7355">
        <f>IF(AND(LEFT(D7355,4)+1=LEFT(' Pivot Tables'!$A$4,4)+0,RIGHT(LEFT(D7355,7),2)=RIGHT(LEFT(' Pivot Tables'!$A$4,7),2)),1,0)</f>
        <v>0</v>
      </c>
      <c r="Y7355" s="6">
        <f>1/COUNTIF(Таблица1[Order ID],Таблица1[[#This Row],[Order ID]])</f>
        <v>1</v>
      </c>
      <c r="Z7355" s="9">
        <f>1/COUNTIFS(Таблица1[Customer Name],Таблица1[[#This Row],[Customer Name]],Таблица1[Order-Year-Month],Таблица1[[#This Row],[Order-Year-Month]])</f>
        <v>1</v>
      </c>
    </row>
    <row r="7356" spans="1:26" x14ac:dyDescent="0.2">
      <c r="A7356" s="6">
        <v>8395</v>
      </c>
      <c r="B7356" s="7">
        <v>59971</v>
      </c>
      <c r="C7356" s="8">
        <f>DATE(2012,12,31)-580</f>
        <v>40694</v>
      </c>
      <c r="D7356" s="8" t="str">
        <f t="shared" si="139"/>
        <v>2011-05 (май 2011)</v>
      </c>
      <c r="E7356" s="9" t="s">
        <v>78</v>
      </c>
      <c r="F7356" s="7">
        <v>26</v>
      </c>
      <c r="G7356" s="7">
        <v>437.77</v>
      </c>
      <c r="H7356" s="7">
        <v>0.01</v>
      </c>
      <c r="I7356" s="9" t="s">
        <v>56</v>
      </c>
      <c r="J7356" s="10">
        <v>-125.8</v>
      </c>
      <c r="K7356" s="11">
        <v>15.98</v>
      </c>
      <c r="L7356" s="11">
        <v>8.99</v>
      </c>
      <c r="M7356" s="9" t="s">
        <v>1491</v>
      </c>
      <c r="N7356" s="6" t="s">
        <v>703</v>
      </c>
      <c r="O7356" s="6" t="s">
        <v>704</v>
      </c>
      <c r="P7356" s="9" t="s">
        <v>60</v>
      </c>
      <c r="Q7356" s="9" t="s">
        <v>42</v>
      </c>
      <c r="R7356" s="9" t="s">
        <v>70</v>
      </c>
      <c r="S7356" s="7" t="s">
        <v>414</v>
      </c>
      <c r="T7356" s="9" t="s">
        <v>52</v>
      </c>
      <c r="U7356" s="7">
        <v>0.64</v>
      </c>
      <c r="V7356" s="12">
        <f>C7356+2</f>
        <v>40696</v>
      </c>
      <c r="W7356">
        <f>IF(D7356=' Pivot Tables'!$A$4,1,0)</f>
        <v>0</v>
      </c>
      <c r="X7356">
        <f>IF(AND(LEFT(D7356,4)+1=LEFT(' Pivot Tables'!$A$4,4)+0,RIGHT(LEFT(D7356,7),2)=RIGHT(LEFT(' Pivot Tables'!$A$4,7),2)),1,0)</f>
        <v>0</v>
      </c>
      <c r="Y7356" s="6">
        <f>1/COUNTIF(Таблица1[Order ID],Таблица1[[#This Row],[Order ID]])</f>
        <v>0.33333333333333331</v>
      </c>
      <c r="Z7356" s="9">
        <f>1/COUNTIFS(Таблица1[Customer Name],Таблица1[[#This Row],[Customer Name]],Таблица1[Order-Year-Month],Таблица1[[#This Row],[Order-Year-Month]])</f>
        <v>0.33333333333333331</v>
      </c>
    </row>
    <row r="7357" spans="1:26" x14ac:dyDescent="0.2">
      <c r="A7357" s="6">
        <v>8396</v>
      </c>
      <c r="B7357" s="7">
        <v>59971</v>
      </c>
      <c r="C7357" s="8">
        <f>DATE(2012,12,31)-580</f>
        <v>40694</v>
      </c>
      <c r="D7357" s="8" t="str">
        <f t="shared" si="139"/>
        <v>2011-05 (май 2011)</v>
      </c>
      <c r="E7357" s="9" t="s">
        <v>78</v>
      </c>
      <c r="F7357" s="7">
        <v>45</v>
      </c>
      <c r="G7357" s="7">
        <v>514.86</v>
      </c>
      <c r="H7357" s="7">
        <v>0.08</v>
      </c>
      <c r="I7357" s="9" t="s">
        <v>22</v>
      </c>
      <c r="J7357" s="10">
        <v>-10.84</v>
      </c>
      <c r="K7357" s="11">
        <v>12.28</v>
      </c>
      <c r="L7357" s="11">
        <v>6.47</v>
      </c>
      <c r="M7357" s="9" t="s">
        <v>1491</v>
      </c>
      <c r="N7357" s="6" t="s">
        <v>703</v>
      </c>
      <c r="O7357" s="6" t="s">
        <v>704</v>
      </c>
      <c r="P7357" s="9" t="s">
        <v>60</v>
      </c>
      <c r="Q7357" s="9" t="s">
        <v>26</v>
      </c>
      <c r="R7357" s="9" t="s">
        <v>61</v>
      </c>
      <c r="S7357" s="7" t="s">
        <v>131</v>
      </c>
      <c r="T7357" s="9" t="s">
        <v>39</v>
      </c>
      <c r="U7357" s="7">
        <v>0.38</v>
      </c>
      <c r="V7357" s="12">
        <f>C7357+2</f>
        <v>40696</v>
      </c>
      <c r="W7357">
        <f>IF(D7357=' Pivot Tables'!$A$4,1,0)</f>
        <v>0</v>
      </c>
      <c r="X7357">
        <f>IF(AND(LEFT(D7357,4)+1=LEFT(' Pivot Tables'!$A$4,4)+0,RIGHT(LEFT(D7357,7),2)=RIGHT(LEFT(' Pivot Tables'!$A$4,7),2)),1,0)</f>
        <v>0</v>
      </c>
      <c r="Y7357" s="6">
        <f>1/COUNTIF(Таблица1[Order ID],Таблица1[[#This Row],[Order ID]])</f>
        <v>0.33333333333333331</v>
      </c>
      <c r="Z7357" s="9">
        <f>1/COUNTIFS(Таблица1[Customer Name],Таблица1[[#This Row],[Customer Name]],Таблица1[Order-Year-Month],Таблица1[[#This Row],[Order-Year-Month]])</f>
        <v>0.33333333333333331</v>
      </c>
    </row>
    <row r="7358" spans="1:26" x14ac:dyDescent="0.2">
      <c r="A7358" s="6">
        <v>8397</v>
      </c>
      <c r="B7358" s="7">
        <v>59971</v>
      </c>
      <c r="C7358" s="8">
        <f>DATE(2012,12,31)-580</f>
        <v>40694</v>
      </c>
      <c r="D7358" s="8" t="str">
        <f t="shared" si="139"/>
        <v>2011-05 (май 2011)</v>
      </c>
      <c r="E7358" s="9" t="s">
        <v>78</v>
      </c>
      <c r="F7358" s="7">
        <v>12</v>
      </c>
      <c r="G7358" s="7">
        <v>356.27</v>
      </c>
      <c r="H7358" s="7">
        <v>0.1</v>
      </c>
      <c r="I7358" s="9" t="s">
        <v>56</v>
      </c>
      <c r="J7358" s="10">
        <v>84.53</v>
      </c>
      <c r="K7358" s="11">
        <v>30.98</v>
      </c>
      <c r="L7358" s="11">
        <v>5.09</v>
      </c>
      <c r="M7358" s="9" t="s">
        <v>1491</v>
      </c>
      <c r="N7358" s="6" t="s">
        <v>703</v>
      </c>
      <c r="O7358" s="6" t="s">
        <v>704</v>
      </c>
      <c r="P7358" s="9" t="s">
        <v>60</v>
      </c>
      <c r="Q7358" s="9" t="s">
        <v>26</v>
      </c>
      <c r="R7358" s="9" t="s">
        <v>61</v>
      </c>
      <c r="S7358" s="7" t="s">
        <v>1684</v>
      </c>
      <c r="T7358" s="9" t="s">
        <v>39</v>
      </c>
      <c r="U7358" s="7">
        <v>0.4</v>
      </c>
      <c r="V7358" s="12">
        <f>C7358+2</f>
        <v>40696</v>
      </c>
      <c r="W7358">
        <f>IF(D7358=' Pivot Tables'!$A$4,1,0)</f>
        <v>0</v>
      </c>
      <c r="X7358">
        <f>IF(AND(LEFT(D7358,4)+1=LEFT(' Pivot Tables'!$A$4,4)+0,RIGHT(LEFT(D7358,7),2)=RIGHT(LEFT(' Pivot Tables'!$A$4,7),2)),1,0)</f>
        <v>0</v>
      </c>
      <c r="Y7358" s="6">
        <f>1/COUNTIF(Таблица1[Order ID],Таблица1[[#This Row],[Order ID]])</f>
        <v>0.33333333333333331</v>
      </c>
      <c r="Z7358" s="9">
        <f>1/COUNTIFS(Таблица1[Customer Name],Таблица1[[#This Row],[Customer Name]],Таблица1[Order-Year-Month],Таблица1[[#This Row],[Order-Year-Month]])</f>
        <v>0.33333333333333331</v>
      </c>
    </row>
    <row r="7359" spans="1:26" x14ac:dyDescent="0.2">
      <c r="A7359" s="6">
        <v>79</v>
      </c>
      <c r="B7359" s="7">
        <v>481</v>
      </c>
      <c r="C7359" s="8">
        <f>DATE(2012,12,31)-85</f>
        <v>41189</v>
      </c>
      <c r="D7359" s="8" t="str">
        <f t="shared" si="139"/>
        <v>2012-10 (октябрь 2012)</v>
      </c>
      <c r="E7359" s="9" t="s">
        <v>30</v>
      </c>
      <c r="F7359" s="7">
        <v>44</v>
      </c>
      <c r="G7359" s="7">
        <v>4509.3774999999996</v>
      </c>
      <c r="H7359" s="7">
        <v>0.01</v>
      </c>
      <c r="I7359" s="9" t="s">
        <v>22</v>
      </c>
      <c r="J7359" s="10">
        <v>1426.2570000000001</v>
      </c>
      <c r="K7359" s="11">
        <v>115.99</v>
      </c>
      <c r="L7359" s="11">
        <v>5.26</v>
      </c>
      <c r="M7359" s="9" t="s">
        <v>1782</v>
      </c>
      <c r="N7359" s="6" t="s">
        <v>703</v>
      </c>
      <c r="O7359" s="6" t="s">
        <v>704</v>
      </c>
      <c r="P7359" s="9" t="s">
        <v>60</v>
      </c>
      <c r="Q7359" s="9" t="s">
        <v>42</v>
      </c>
      <c r="R7359" s="9" t="s">
        <v>43</v>
      </c>
      <c r="S7359" s="7" t="s">
        <v>832</v>
      </c>
      <c r="T7359" s="9" t="s">
        <v>39</v>
      </c>
      <c r="U7359" s="7">
        <v>0.56999999999999995</v>
      </c>
      <c r="V7359" s="12">
        <f>C7359+2</f>
        <v>41191</v>
      </c>
      <c r="W7359">
        <f>IF(D7359=' Pivot Tables'!$A$4,1,0)</f>
        <v>0</v>
      </c>
      <c r="X7359">
        <f>IF(AND(LEFT(D7359,4)+1=LEFT(' Pivot Tables'!$A$4,4)+0,RIGHT(LEFT(D7359,7),2)=RIGHT(LEFT(' Pivot Tables'!$A$4,7),2)),1,0)</f>
        <v>0</v>
      </c>
      <c r="Y7359" s="6">
        <f>1/COUNTIF(Таблица1[Order ID],Таблица1[[#This Row],[Order ID]])</f>
        <v>1</v>
      </c>
      <c r="Z7359" s="9">
        <f>1/COUNTIFS(Таблица1[Customer Name],Таблица1[[#This Row],[Customer Name]],Таблица1[Order-Year-Month],Таблица1[[#This Row],[Order-Year-Month]])</f>
        <v>1</v>
      </c>
    </row>
    <row r="7360" spans="1:26" x14ac:dyDescent="0.2">
      <c r="A7360" s="6">
        <v>131</v>
      </c>
      <c r="B7360" s="7">
        <v>834</v>
      </c>
      <c r="C7360" s="8">
        <f>DATE(2012,12,31)-1319</f>
        <v>39955</v>
      </c>
      <c r="D7360" s="8" t="str">
        <f t="shared" si="139"/>
        <v>2009-05 (май 2009)</v>
      </c>
      <c r="E7360" s="9" t="s">
        <v>63</v>
      </c>
      <c r="F7360" s="7">
        <v>15</v>
      </c>
      <c r="G7360" s="7">
        <v>1813.04</v>
      </c>
      <c r="H7360" s="7">
        <v>0.01</v>
      </c>
      <c r="I7360" s="9" t="s">
        <v>31</v>
      </c>
      <c r="J7360" s="10">
        <v>-164.39520000000002</v>
      </c>
      <c r="K7360" s="11">
        <v>115.99</v>
      </c>
      <c r="L7360" s="11">
        <v>56.14</v>
      </c>
      <c r="M7360" s="9" t="s">
        <v>1933</v>
      </c>
      <c r="N7360" s="6" t="s">
        <v>703</v>
      </c>
      <c r="O7360" s="6" t="s">
        <v>704</v>
      </c>
      <c r="P7360" s="9" t="s">
        <v>60</v>
      </c>
      <c r="Q7360" s="9" t="s">
        <v>42</v>
      </c>
      <c r="R7360" s="9" t="s">
        <v>210</v>
      </c>
      <c r="S7360" s="7" t="s">
        <v>482</v>
      </c>
      <c r="T7360" s="9" t="s">
        <v>36</v>
      </c>
      <c r="U7360" s="7">
        <v>0.4</v>
      </c>
      <c r="V7360" s="12">
        <f>C7360+1</f>
        <v>39956</v>
      </c>
      <c r="W7360">
        <f>IF(D7360=' Pivot Tables'!$A$4,1,0)</f>
        <v>0</v>
      </c>
      <c r="X7360">
        <f>IF(AND(LEFT(D7360,4)+1=LEFT(' Pivot Tables'!$A$4,4)+0,RIGHT(LEFT(D7360,7),2)=RIGHT(LEFT(' Pivot Tables'!$A$4,7),2)),1,0)</f>
        <v>0</v>
      </c>
      <c r="Y7360" s="6">
        <f>1/COUNTIF(Таблица1[Order ID],Таблица1[[#This Row],[Order ID]])</f>
        <v>1</v>
      </c>
      <c r="Z7360" s="9">
        <f>1/COUNTIFS(Таблица1[Customer Name],Таблица1[[#This Row],[Customer Name]],Таблица1[Order-Year-Month],Таблица1[[#This Row],[Order-Year-Month]])</f>
        <v>1</v>
      </c>
    </row>
    <row r="7361" spans="1:26" x14ac:dyDescent="0.2">
      <c r="A7361" s="6">
        <v>215</v>
      </c>
      <c r="B7361" s="7">
        <v>1414</v>
      </c>
      <c r="C7361" s="8">
        <f>DATE(2012,12,31)-504</f>
        <v>40770</v>
      </c>
      <c r="D7361" s="8" t="str">
        <f t="shared" si="139"/>
        <v>2011-08 (август 2011)</v>
      </c>
      <c r="E7361" s="9" t="s">
        <v>78</v>
      </c>
      <c r="F7361" s="7">
        <v>44</v>
      </c>
      <c r="G7361" s="7">
        <v>4530.96</v>
      </c>
      <c r="H7361" s="7">
        <v>7.0000000000000007E-2</v>
      </c>
      <c r="I7361" s="9" t="s">
        <v>31</v>
      </c>
      <c r="J7361" s="10">
        <v>-993.35</v>
      </c>
      <c r="K7361" s="11">
        <v>105.49</v>
      </c>
      <c r="L7361" s="11">
        <v>41.64</v>
      </c>
      <c r="M7361" s="9" t="s">
        <v>2061</v>
      </c>
      <c r="N7361" s="6" t="s">
        <v>703</v>
      </c>
      <c r="O7361" s="6" t="s">
        <v>704</v>
      </c>
      <c r="P7361" s="9" t="s">
        <v>25</v>
      </c>
      <c r="Q7361" s="9" t="s">
        <v>49</v>
      </c>
      <c r="R7361" s="9" t="s">
        <v>83</v>
      </c>
      <c r="S7361" s="7" t="s">
        <v>1394</v>
      </c>
      <c r="T7361" s="9" t="s">
        <v>82</v>
      </c>
      <c r="U7361" s="7">
        <v>0.75</v>
      </c>
      <c r="V7361" s="12">
        <f>C7361+0</f>
        <v>40770</v>
      </c>
      <c r="W7361">
        <f>IF(D7361=' Pivot Tables'!$A$4,1,0)</f>
        <v>0</v>
      </c>
      <c r="X7361">
        <f>IF(AND(LEFT(D7361,4)+1=LEFT(' Pivot Tables'!$A$4,4)+0,RIGHT(LEFT(D7361,7),2)=RIGHT(LEFT(' Pivot Tables'!$A$4,7),2)),1,0)</f>
        <v>0</v>
      </c>
      <c r="Y7361" s="6">
        <f>1/COUNTIF(Таблица1[Order ID],Таблица1[[#This Row],[Order ID]])</f>
        <v>1</v>
      </c>
      <c r="Z7361" s="9">
        <f>1/COUNTIFS(Таблица1[Customer Name],Таблица1[[#This Row],[Customer Name]],Таблица1[Order-Year-Month],Таблица1[[#This Row],[Order-Year-Month]])</f>
        <v>1</v>
      </c>
    </row>
    <row r="7362" spans="1:26" x14ac:dyDescent="0.2">
      <c r="A7362" s="6">
        <v>335</v>
      </c>
      <c r="B7362" s="7">
        <v>2305</v>
      </c>
      <c r="C7362" s="8">
        <f>DATE(2012,12,31)-1071</f>
        <v>40203</v>
      </c>
      <c r="D7362" s="8" t="str">
        <f t="shared" si="139"/>
        <v>2010-01 (январь 2010)</v>
      </c>
      <c r="E7362" s="9" t="s">
        <v>30</v>
      </c>
      <c r="F7362" s="7">
        <v>33</v>
      </c>
      <c r="G7362" s="7">
        <v>3116.47</v>
      </c>
      <c r="H7362" s="7">
        <v>0.1</v>
      </c>
      <c r="I7362" s="9" t="s">
        <v>31</v>
      </c>
      <c r="J7362" s="10">
        <v>-1578.26</v>
      </c>
      <c r="K7362" s="11">
        <v>100.98</v>
      </c>
      <c r="L7362" s="11">
        <v>57.38</v>
      </c>
      <c r="M7362" s="9" t="s">
        <v>1644</v>
      </c>
      <c r="N7362" s="6" t="s">
        <v>703</v>
      </c>
      <c r="O7362" s="6" t="s">
        <v>704</v>
      </c>
      <c r="P7362" s="9" t="s">
        <v>60</v>
      </c>
      <c r="Q7362" s="9" t="s">
        <v>49</v>
      </c>
      <c r="R7362" s="9" t="s">
        <v>80</v>
      </c>
      <c r="S7362" s="7" t="s">
        <v>162</v>
      </c>
      <c r="T7362" s="9" t="s">
        <v>82</v>
      </c>
      <c r="U7362" s="7">
        <v>0.78</v>
      </c>
      <c r="V7362" s="12">
        <f>C7362+2</f>
        <v>40205</v>
      </c>
      <c r="W7362">
        <f>IF(D7362=' Pivot Tables'!$A$4,1,0)</f>
        <v>1</v>
      </c>
      <c r="X7362">
        <f>IF(AND(LEFT(D7362,4)+1=LEFT(' Pivot Tables'!$A$4,4)+0,RIGHT(LEFT(D7362,7),2)=RIGHT(LEFT(' Pivot Tables'!$A$4,7),2)),1,0)</f>
        <v>0</v>
      </c>
      <c r="Y7362" s="6">
        <f>1/COUNTIF(Таблица1[Order ID],Таблица1[[#This Row],[Order ID]])</f>
        <v>0.33333333333333331</v>
      </c>
      <c r="Z7362" s="9">
        <f>1/COUNTIFS(Таблица1[Customer Name],Таблица1[[#This Row],[Customer Name]],Таблица1[Order-Year-Month],Таблица1[[#This Row],[Order-Year-Month]])</f>
        <v>0.33333333333333331</v>
      </c>
    </row>
    <row r="7363" spans="1:26" x14ac:dyDescent="0.2">
      <c r="A7363" s="6">
        <v>336</v>
      </c>
      <c r="B7363" s="7">
        <v>2305</v>
      </c>
      <c r="C7363" s="8">
        <f>DATE(2012,12,31)-1071</f>
        <v>40203</v>
      </c>
      <c r="D7363" s="8" t="str">
        <f t="shared" ref="D7363:D7426" si="140">TEXT(C7363,"гггг-ММ (ММММ гггг)")</f>
        <v>2010-01 (январь 2010)</v>
      </c>
      <c r="E7363" s="9" t="s">
        <v>30</v>
      </c>
      <c r="F7363" s="7">
        <v>1</v>
      </c>
      <c r="G7363" s="7">
        <v>12.41</v>
      </c>
      <c r="H7363" s="7">
        <v>0.01</v>
      </c>
      <c r="I7363" s="9" t="s">
        <v>22</v>
      </c>
      <c r="J7363" s="10">
        <v>-9.08</v>
      </c>
      <c r="K7363" s="11">
        <v>6.68</v>
      </c>
      <c r="L7363" s="11">
        <v>5.66</v>
      </c>
      <c r="M7363" s="9" t="s">
        <v>1644</v>
      </c>
      <c r="N7363" s="6" t="s">
        <v>703</v>
      </c>
      <c r="O7363" s="6" t="s">
        <v>704</v>
      </c>
      <c r="P7363" s="9" t="s">
        <v>60</v>
      </c>
      <c r="Q7363" s="9" t="s">
        <v>26</v>
      </c>
      <c r="R7363" s="9" t="s">
        <v>61</v>
      </c>
      <c r="S7363" s="7" t="s">
        <v>860</v>
      </c>
      <c r="T7363" s="9" t="s">
        <v>39</v>
      </c>
      <c r="U7363" s="7">
        <v>0.37</v>
      </c>
      <c r="V7363" s="12">
        <f>C7363+1</f>
        <v>40204</v>
      </c>
      <c r="W7363">
        <f>IF(D7363=' Pivot Tables'!$A$4,1,0)</f>
        <v>1</v>
      </c>
      <c r="X7363">
        <f>IF(AND(LEFT(D7363,4)+1=LEFT(' Pivot Tables'!$A$4,4)+0,RIGHT(LEFT(D7363,7),2)=RIGHT(LEFT(' Pivot Tables'!$A$4,7),2)),1,0)</f>
        <v>0</v>
      </c>
      <c r="Y7363" s="6">
        <f>1/COUNTIF(Таблица1[Order ID],Таблица1[[#This Row],[Order ID]])</f>
        <v>0.33333333333333331</v>
      </c>
      <c r="Z7363" s="9">
        <f>1/COUNTIFS(Таблица1[Customer Name],Таблица1[[#This Row],[Customer Name]],Таблица1[Order-Year-Month],Таблица1[[#This Row],[Order-Year-Month]])</f>
        <v>0.33333333333333331</v>
      </c>
    </row>
    <row r="7364" spans="1:26" x14ac:dyDescent="0.2">
      <c r="A7364" s="6">
        <v>341</v>
      </c>
      <c r="B7364" s="7">
        <v>2311</v>
      </c>
      <c r="C7364" s="8">
        <f>DATE(2012,12,31)-610</f>
        <v>40664</v>
      </c>
      <c r="D7364" s="8" t="str">
        <f t="shared" si="140"/>
        <v>2011-05 (май 2011)</v>
      </c>
      <c r="E7364" s="9" t="s">
        <v>30</v>
      </c>
      <c r="F7364" s="7">
        <v>31</v>
      </c>
      <c r="G7364" s="7">
        <v>1324.09</v>
      </c>
      <c r="H7364" s="7">
        <v>0.01</v>
      </c>
      <c r="I7364" s="9" t="s">
        <v>22</v>
      </c>
      <c r="J7364" s="10">
        <v>94.96</v>
      </c>
      <c r="K7364" s="11">
        <v>40.89</v>
      </c>
      <c r="L7364" s="11">
        <v>18.98</v>
      </c>
      <c r="M7364" s="9" t="s">
        <v>2062</v>
      </c>
      <c r="N7364" s="6" t="s">
        <v>703</v>
      </c>
      <c r="O7364" s="6" t="s">
        <v>704</v>
      </c>
      <c r="P7364" s="9" t="s">
        <v>60</v>
      </c>
      <c r="Q7364" s="9" t="s">
        <v>49</v>
      </c>
      <c r="R7364" s="9" t="s">
        <v>50</v>
      </c>
      <c r="S7364" s="7" t="s">
        <v>681</v>
      </c>
      <c r="T7364" s="9" t="s">
        <v>39</v>
      </c>
      <c r="U7364" s="7">
        <v>0.56999999999999995</v>
      </c>
      <c r="V7364" s="12">
        <f>C7364+1</f>
        <v>40665</v>
      </c>
      <c r="W7364">
        <f>IF(D7364=' Pivot Tables'!$A$4,1,0)</f>
        <v>0</v>
      </c>
      <c r="X7364">
        <f>IF(AND(LEFT(D7364,4)+1=LEFT(' Pivot Tables'!$A$4,4)+0,RIGHT(LEFT(D7364,7),2)=RIGHT(LEFT(' Pivot Tables'!$A$4,7),2)),1,0)</f>
        <v>0</v>
      </c>
      <c r="Y7364" s="6">
        <f>1/COUNTIF(Таблица1[Order ID],Таблица1[[#This Row],[Order ID]])</f>
        <v>1</v>
      </c>
      <c r="Z7364" s="9">
        <f>1/COUNTIFS(Таблица1[Customer Name],Таблица1[[#This Row],[Customer Name]],Таблица1[Order-Year-Month],Таблица1[[#This Row],[Order-Year-Month]])</f>
        <v>1</v>
      </c>
    </row>
    <row r="7365" spans="1:26" x14ac:dyDescent="0.2">
      <c r="A7365" s="6">
        <v>351</v>
      </c>
      <c r="B7365" s="7">
        <v>2438</v>
      </c>
      <c r="C7365" s="8">
        <f>DATE(2012,12,31)-901</f>
        <v>40373</v>
      </c>
      <c r="D7365" s="8" t="str">
        <f t="shared" si="140"/>
        <v>2010-07 (июль 2010)</v>
      </c>
      <c r="E7365" s="9" t="s">
        <v>30</v>
      </c>
      <c r="F7365" s="7">
        <v>20</v>
      </c>
      <c r="G7365" s="7">
        <v>278.68</v>
      </c>
      <c r="H7365" s="7">
        <v>0.06</v>
      </c>
      <c r="I7365" s="9" t="s">
        <v>22</v>
      </c>
      <c r="J7365" s="10">
        <v>8.8994999999999997</v>
      </c>
      <c r="K7365" s="11">
        <v>14.48</v>
      </c>
      <c r="L7365" s="11">
        <v>6.46</v>
      </c>
      <c r="M7365" s="9" t="s">
        <v>2063</v>
      </c>
      <c r="N7365" s="6" t="s">
        <v>703</v>
      </c>
      <c r="O7365" s="6" t="s">
        <v>704</v>
      </c>
      <c r="P7365" s="9" t="s">
        <v>41</v>
      </c>
      <c r="Q7365" s="9" t="s">
        <v>26</v>
      </c>
      <c r="R7365" s="9" t="s">
        <v>37</v>
      </c>
      <c r="S7365" s="7" t="s">
        <v>816</v>
      </c>
      <c r="T7365" s="9" t="s">
        <v>39</v>
      </c>
      <c r="U7365" s="7">
        <v>0.38</v>
      </c>
      <c r="V7365" s="12">
        <f>C7365+3</f>
        <v>40376</v>
      </c>
      <c r="W7365">
        <f>IF(D7365=' Pivot Tables'!$A$4,1,0)</f>
        <v>0</v>
      </c>
      <c r="X7365">
        <f>IF(AND(LEFT(D7365,4)+1=LEFT(' Pivot Tables'!$A$4,4)+0,RIGHT(LEFT(D7365,7),2)=RIGHT(LEFT(' Pivot Tables'!$A$4,7),2)),1,0)</f>
        <v>0</v>
      </c>
      <c r="Y7365" s="6">
        <f>1/COUNTIF(Таблица1[Order ID],Таблица1[[#This Row],[Order ID]])</f>
        <v>0.5</v>
      </c>
      <c r="Z7365" s="9">
        <f>1/COUNTIFS(Таблица1[Customer Name],Таблица1[[#This Row],[Customer Name]],Таблица1[Order-Year-Month],Таблица1[[#This Row],[Order-Year-Month]])</f>
        <v>0.5</v>
      </c>
    </row>
    <row r="7366" spans="1:26" x14ac:dyDescent="0.2">
      <c r="A7366" s="6">
        <v>352</v>
      </c>
      <c r="B7366" s="7">
        <v>2438</v>
      </c>
      <c r="C7366" s="8">
        <f>DATE(2012,12,31)-901</f>
        <v>40373</v>
      </c>
      <c r="D7366" s="8" t="str">
        <f t="shared" si="140"/>
        <v>2010-07 (июль 2010)</v>
      </c>
      <c r="E7366" s="9" t="s">
        <v>30</v>
      </c>
      <c r="F7366" s="7">
        <v>23</v>
      </c>
      <c r="G7366" s="7">
        <v>717.46799999999996</v>
      </c>
      <c r="H7366" s="7">
        <v>0.01</v>
      </c>
      <c r="I7366" s="9" t="s">
        <v>22</v>
      </c>
      <c r="J7366" s="10">
        <v>316.476</v>
      </c>
      <c r="K7366" s="11">
        <v>35.99</v>
      </c>
      <c r="L7366" s="11">
        <v>0.99</v>
      </c>
      <c r="M7366" s="9" t="s">
        <v>2063</v>
      </c>
      <c r="N7366" s="6" t="s">
        <v>703</v>
      </c>
      <c r="O7366" s="6" t="s">
        <v>704</v>
      </c>
      <c r="P7366" s="9" t="s">
        <v>41</v>
      </c>
      <c r="Q7366" s="9" t="s">
        <v>42</v>
      </c>
      <c r="R7366" s="9" t="s">
        <v>43</v>
      </c>
      <c r="S7366" s="7" t="s">
        <v>437</v>
      </c>
      <c r="T7366" s="9" t="s">
        <v>52</v>
      </c>
      <c r="U7366" s="7">
        <v>0.35</v>
      </c>
      <c r="V7366" s="12">
        <f>C7366+2</f>
        <v>40375</v>
      </c>
      <c r="W7366">
        <f>IF(D7366=' Pivot Tables'!$A$4,1,0)</f>
        <v>0</v>
      </c>
      <c r="X7366">
        <f>IF(AND(LEFT(D7366,4)+1=LEFT(' Pivot Tables'!$A$4,4)+0,RIGHT(LEFT(D7366,7),2)=RIGHT(LEFT(' Pivot Tables'!$A$4,7),2)),1,0)</f>
        <v>0</v>
      </c>
      <c r="Y7366" s="6">
        <f>1/COUNTIF(Таблица1[Order ID],Таблица1[[#This Row],[Order ID]])</f>
        <v>0.5</v>
      </c>
      <c r="Z7366" s="9">
        <f>1/COUNTIFS(Таблица1[Customer Name],Таблица1[[#This Row],[Customer Name]],Таблица1[Order-Year-Month],Таблица1[[#This Row],[Order-Year-Month]])</f>
        <v>0.5</v>
      </c>
    </row>
    <row r="7367" spans="1:26" x14ac:dyDescent="0.2">
      <c r="A7367" s="6">
        <v>374</v>
      </c>
      <c r="B7367" s="7">
        <v>2595</v>
      </c>
      <c r="C7367" s="8">
        <f>DATE(2012,12,31)-384</f>
        <v>40890</v>
      </c>
      <c r="D7367" s="8" t="str">
        <f t="shared" si="140"/>
        <v>2011-12 (декабрь 2011)</v>
      </c>
      <c r="E7367" s="9" t="s">
        <v>45</v>
      </c>
      <c r="F7367" s="7">
        <v>13</v>
      </c>
      <c r="G7367" s="7">
        <v>11764.25</v>
      </c>
      <c r="H7367" s="7">
        <v>0.04</v>
      </c>
      <c r="I7367" s="9" t="s">
        <v>31</v>
      </c>
      <c r="J7367" s="10">
        <v>2322.44</v>
      </c>
      <c r="K7367" s="11">
        <v>880.98</v>
      </c>
      <c r="L7367" s="11">
        <v>44.55</v>
      </c>
      <c r="M7367" s="9" t="s">
        <v>2064</v>
      </c>
      <c r="N7367" s="6" t="s">
        <v>703</v>
      </c>
      <c r="O7367" s="6" t="s">
        <v>704</v>
      </c>
      <c r="P7367" s="9" t="s">
        <v>41</v>
      </c>
      <c r="Q7367" s="9" t="s">
        <v>49</v>
      </c>
      <c r="R7367" s="9" t="s">
        <v>80</v>
      </c>
      <c r="S7367" s="7" t="s">
        <v>301</v>
      </c>
      <c r="T7367" s="9" t="s">
        <v>82</v>
      </c>
      <c r="U7367" s="7">
        <v>0.62</v>
      </c>
      <c r="V7367" s="12">
        <f>C7367+1</f>
        <v>40891</v>
      </c>
      <c r="W7367">
        <f>IF(D7367=' Pivot Tables'!$A$4,1,0)</f>
        <v>0</v>
      </c>
      <c r="X7367">
        <f>IF(AND(LEFT(D7367,4)+1=LEFT(' Pivot Tables'!$A$4,4)+0,RIGHT(LEFT(D7367,7),2)=RIGHT(LEFT(' Pivot Tables'!$A$4,7),2)),1,0)</f>
        <v>0</v>
      </c>
      <c r="Y7367" s="6">
        <f>1/COUNTIF(Таблица1[Order ID],Таблица1[[#This Row],[Order ID]])</f>
        <v>0.33333333333333331</v>
      </c>
      <c r="Z7367" s="9">
        <f>1/COUNTIFS(Таблица1[Customer Name],Таблица1[[#This Row],[Customer Name]],Таблица1[Order-Year-Month],Таблица1[[#This Row],[Order-Year-Month]])</f>
        <v>0.33333333333333331</v>
      </c>
    </row>
    <row r="7368" spans="1:26" x14ac:dyDescent="0.2">
      <c r="A7368" s="6">
        <v>375</v>
      </c>
      <c r="B7368" s="7">
        <v>2595</v>
      </c>
      <c r="C7368" s="8">
        <f>DATE(2012,12,31)-384</f>
        <v>40890</v>
      </c>
      <c r="D7368" s="8" t="str">
        <f t="shared" si="140"/>
        <v>2011-12 (декабрь 2011)</v>
      </c>
      <c r="E7368" s="9" t="s">
        <v>45</v>
      </c>
      <c r="F7368" s="7">
        <v>4</v>
      </c>
      <c r="G7368" s="7">
        <v>25.17</v>
      </c>
      <c r="H7368" s="7">
        <v>0.09</v>
      </c>
      <c r="I7368" s="9" t="s">
        <v>22</v>
      </c>
      <c r="J7368" s="10">
        <v>5.88</v>
      </c>
      <c r="K7368" s="11">
        <v>5.47</v>
      </c>
      <c r="L7368" s="11">
        <v>5.26</v>
      </c>
      <c r="M7368" s="9" t="s">
        <v>2064</v>
      </c>
      <c r="N7368" s="6" t="s">
        <v>703</v>
      </c>
      <c r="O7368" s="6" t="s">
        <v>704</v>
      </c>
      <c r="P7368" s="9" t="s">
        <v>41</v>
      </c>
      <c r="Q7368" s="9" t="s">
        <v>49</v>
      </c>
      <c r="R7368" s="9" t="s">
        <v>50</v>
      </c>
      <c r="S7368" s="7" t="s">
        <v>1894</v>
      </c>
      <c r="T7368" s="9" t="s">
        <v>52</v>
      </c>
      <c r="U7368" s="7">
        <v>0.42</v>
      </c>
      <c r="V7368" s="12">
        <f>C7368+2</f>
        <v>40892</v>
      </c>
      <c r="W7368">
        <f>IF(D7368=' Pivot Tables'!$A$4,1,0)</f>
        <v>0</v>
      </c>
      <c r="X7368">
        <f>IF(AND(LEFT(D7368,4)+1=LEFT(' Pivot Tables'!$A$4,4)+0,RIGHT(LEFT(D7368,7),2)=RIGHT(LEFT(' Pivot Tables'!$A$4,7),2)),1,0)</f>
        <v>0</v>
      </c>
      <c r="Y7368" s="6">
        <f>1/COUNTIF(Таблица1[Order ID],Таблица1[[#This Row],[Order ID]])</f>
        <v>0.33333333333333331</v>
      </c>
      <c r="Z7368" s="9">
        <f>1/COUNTIFS(Таблица1[Customer Name],Таблица1[[#This Row],[Customer Name]],Таблица1[Order-Year-Month],Таблица1[[#This Row],[Order-Year-Month]])</f>
        <v>0.33333333333333331</v>
      </c>
    </row>
    <row r="7369" spans="1:26" x14ac:dyDescent="0.2">
      <c r="A7369" s="6">
        <v>376</v>
      </c>
      <c r="B7369" s="7">
        <v>2595</v>
      </c>
      <c r="C7369" s="8">
        <f>DATE(2012,12,31)-384</f>
        <v>40890</v>
      </c>
      <c r="D7369" s="8" t="str">
        <f t="shared" si="140"/>
        <v>2011-12 (декабрь 2011)</v>
      </c>
      <c r="E7369" s="9" t="s">
        <v>45</v>
      </c>
      <c r="F7369" s="7">
        <v>29</v>
      </c>
      <c r="G7369" s="7">
        <v>208.47</v>
      </c>
      <c r="H7369" s="7">
        <v>0.01</v>
      </c>
      <c r="I7369" s="9" t="s">
        <v>56</v>
      </c>
      <c r="J7369" s="10">
        <v>-125.6</v>
      </c>
      <c r="K7369" s="11">
        <v>6.48</v>
      </c>
      <c r="L7369" s="11">
        <v>8.74</v>
      </c>
      <c r="M7369" s="9" t="s">
        <v>2064</v>
      </c>
      <c r="N7369" s="6" t="s">
        <v>703</v>
      </c>
      <c r="O7369" s="6" t="s">
        <v>704</v>
      </c>
      <c r="P7369" s="9" t="s">
        <v>41</v>
      </c>
      <c r="Q7369" s="9" t="s">
        <v>26</v>
      </c>
      <c r="R7369" s="9" t="s">
        <v>61</v>
      </c>
      <c r="S7369" s="7" t="s">
        <v>1210</v>
      </c>
      <c r="T7369" s="9" t="s">
        <v>39</v>
      </c>
      <c r="U7369" s="7">
        <v>0.36</v>
      </c>
      <c r="V7369" s="12">
        <f>C7369+2</f>
        <v>40892</v>
      </c>
      <c r="W7369">
        <f>IF(D7369=' Pivot Tables'!$A$4,1,0)</f>
        <v>0</v>
      </c>
      <c r="X7369">
        <f>IF(AND(LEFT(D7369,4)+1=LEFT(' Pivot Tables'!$A$4,4)+0,RIGHT(LEFT(D7369,7),2)=RIGHT(LEFT(' Pivot Tables'!$A$4,7),2)),1,0)</f>
        <v>0</v>
      </c>
      <c r="Y7369" s="6">
        <f>1/COUNTIF(Таблица1[Order ID],Таблица1[[#This Row],[Order ID]])</f>
        <v>0.33333333333333331</v>
      </c>
      <c r="Z7369" s="9">
        <f>1/COUNTIFS(Таблица1[Customer Name],Таблица1[[#This Row],[Customer Name]],Таблица1[Order-Year-Month],Таблица1[[#This Row],[Order-Year-Month]])</f>
        <v>0.33333333333333331</v>
      </c>
    </row>
    <row r="7370" spans="1:26" x14ac:dyDescent="0.2">
      <c r="A7370" s="6">
        <v>409</v>
      </c>
      <c r="B7370" s="7">
        <v>2790</v>
      </c>
      <c r="C7370" s="8">
        <f>DATE(2012,12,31)-1231</f>
        <v>40043</v>
      </c>
      <c r="D7370" s="8" t="str">
        <f t="shared" si="140"/>
        <v>2009-08 (август 2009)</v>
      </c>
      <c r="E7370" s="9" t="s">
        <v>30</v>
      </c>
      <c r="F7370" s="7">
        <v>7</v>
      </c>
      <c r="G7370" s="7">
        <v>45.91</v>
      </c>
      <c r="H7370" s="7">
        <v>0.01</v>
      </c>
      <c r="I7370" s="9" t="s">
        <v>22</v>
      </c>
      <c r="J7370" s="10">
        <v>-35.534999999999997</v>
      </c>
      <c r="K7370" s="11">
        <v>5.44</v>
      </c>
      <c r="L7370" s="11">
        <v>7.46</v>
      </c>
      <c r="M7370" s="9" t="s">
        <v>1644</v>
      </c>
      <c r="N7370" s="6" t="s">
        <v>703</v>
      </c>
      <c r="O7370" s="6" t="s">
        <v>704</v>
      </c>
      <c r="P7370" s="9" t="s">
        <v>60</v>
      </c>
      <c r="Q7370" s="9" t="s">
        <v>26</v>
      </c>
      <c r="R7370" s="9" t="s">
        <v>37</v>
      </c>
      <c r="S7370" s="7" t="s">
        <v>1911</v>
      </c>
      <c r="T7370" s="9" t="s">
        <v>39</v>
      </c>
      <c r="U7370" s="7">
        <v>0.36</v>
      </c>
      <c r="V7370" s="12">
        <f>C7370+1</f>
        <v>40044</v>
      </c>
      <c r="W7370">
        <f>IF(D7370=' Pivot Tables'!$A$4,1,0)</f>
        <v>0</v>
      </c>
      <c r="X7370">
        <f>IF(AND(LEFT(D7370,4)+1=LEFT(' Pivot Tables'!$A$4,4)+0,RIGHT(LEFT(D7370,7),2)=RIGHT(LEFT(' Pivot Tables'!$A$4,7),2)),1,0)</f>
        <v>0</v>
      </c>
      <c r="Y7370" s="6">
        <f>1/COUNTIF(Таблица1[Order ID],Таблица1[[#This Row],[Order ID]])</f>
        <v>0.25</v>
      </c>
      <c r="Z7370" s="9">
        <f>1/COUNTIFS(Таблица1[Customer Name],Таблица1[[#This Row],[Customer Name]],Таблица1[Order-Year-Month],Таблица1[[#This Row],[Order-Year-Month]])</f>
        <v>0.25</v>
      </c>
    </row>
    <row r="7371" spans="1:26" x14ac:dyDescent="0.2">
      <c r="A7371" s="6">
        <v>410</v>
      </c>
      <c r="B7371" s="7">
        <v>2790</v>
      </c>
      <c r="C7371" s="8">
        <f>DATE(2012,12,31)-1231</f>
        <v>40043</v>
      </c>
      <c r="D7371" s="8" t="str">
        <f t="shared" si="140"/>
        <v>2009-08 (август 2009)</v>
      </c>
      <c r="E7371" s="9" t="s">
        <v>30</v>
      </c>
      <c r="F7371" s="7">
        <v>41</v>
      </c>
      <c r="G7371" s="7">
        <v>22319.58</v>
      </c>
      <c r="H7371" s="7">
        <v>0.02</v>
      </c>
      <c r="I7371" s="9" t="s">
        <v>31</v>
      </c>
      <c r="J7371" s="10">
        <v>-734.31</v>
      </c>
      <c r="K7371" s="11">
        <v>549.99</v>
      </c>
      <c r="L7371" s="11">
        <v>49</v>
      </c>
      <c r="M7371" s="9" t="s">
        <v>1644</v>
      </c>
      <c r="N7371" s="6" t="s">
        <v>703</v>
      </c>
      <c r="O7371" s="6" t="s">
        <v>704</v>
      </c>
      <c r="P7371" s="9" t="s">
        <v>60</v>
      </c>
      <c r="Q7371" s="9" t="s">
        <v>42</v>
      </c>
      <c r="R7371" s="9" t="s">
        <v>99</v>
      </c>
      <c r="S7371" s="7" t="s">
        <v>604</v>
      </c>
      <c r="T7371" s="9" t="s">
        <v>36</v>
      </c>
      <c r="U7371" s="7">
        <v>0.35</v>
      </c>
      <c r="V7371" s="12">
        <f>C7371+2</f>
        <v>40045</v>
      </c>
      <c r="W7371">
        <f>IF(D7371=' Pivot Tables'!$A$4,1,0)</f>
        <v>0</v>
      </c>
      <c r="X7371">
        <f>IF(AND(LEFT(D7371,4)+1=LEFT(' Pivot Tables'!$A$4,4)+0,RIGHT(LEFT(D7371,7),2)=RIGHT(LEFT(' Pivot Tables'!$A$4,7),2)),1,0)</f>
        <v>0</v>
      </c>
      <c r="Y7371" s="6">
        <f>1/COUNTIF(Таблица1[Order ID],Таблица1[[#This Row],[Order ID]])</f>
        <v>0.25</v>
      </c>
      <c r="Z7371" s="9">
        <f>1/COUNTIFS(Таблица1[Customer Name],Таблица1[[#This Row],[Customer Name]],Таблица1[Order-Year-Month],Таблица1[[#This Row],[Order-Year-Month]])</f>
        <v>0.25</v>
      </c>
    </row>
    <row r="7372" spans="1:26" x14ac:dyDescent="0.2">
      <c r="A7372" s="6">
        <v>411</v>
      </c>
      <c r="B7372" s="7">
        <v>2790</v>
      </c>
      <c r="C7372" s="8">
        <f>DATE(2012,12,31)-1231</f>
        <v>40043</v>
      </c>
      <c r="D7372" s="8" t="str">
        <f t="shared" si="140"/>
        <v>2009-08 (август 2009)</v>
      </c>
      <c r="E7372" s="9" t="s">
        <v>30</v>
      </c>
      <c r="F7372" s="7">
        <v>15</v>
      </c>
      <c r="G7372" s="7">
        <v>330.24</v>
      </c>
      <c r="H7372" s="7">
        <v>0.03</v>
      </c>
      <c r="I7372" s="9" t="s">
        <v>56</v>
      </c>
      <c r="J7372" s="10">
        <v>8.48</v>
      </c>
      <c r="K7372" s="11">
        <v>22.01</v>
      </c>
      <c r="L7372" s="11">
        <v>5.53</v>
      </c>
      <c r="M7372" s="9" t="s">
        <v>1644</v>
      </c>
      <c r="N7372" s="6" t="s">
        <v>703</v>
      </c>
      <c r="O7372" s="6" t="s">
        <v>704</v>
      </c>
      <c r="P7372" s="9" t="s">
        <v>60</v>
      </c>
      <c r="Q7372" s="9" t="s">
        <v>26</v>
      </c>
      <c r="R7372" s="9" t="s">
        <v>95</v>
      </c>
      <c r="S7372" s="7" t="s">
        <v>1147</v>
      </c>
      <c r="T7372" s="9" t="s">
        <v>52</v>
      </c>
      <c r="U7372" s="7">
        <v>0.59</v>
      </c>
      <c r="V7372" s="12">
        <f>C7372+1</f>
        <v>40044</v>
      </c>
      <c r="W7372">
        <f>IF(D7372=' Pivot Tables'!$A$4,1,0)</f>
        <v>0</v>
      </c>
      <c r="X7372">
        <f>IF(AND(LEFT(D7372,4)+1=LEFT(' Pivot Tables'!$A$4,4)+0,RIGHT(LEFT(D7372,7),2)=RIGHT(LEFT(' Pivot Tables'!$A$4,7),2)),1,0)</f>
        <v>0</v>
      </c>
      <c r="Y7372" s="6">
        <f>1/COUNTIF(Таблица1[Order ID],Таблица1[[#This Row],[Order ID]])</f>
        <v>0.25</v>
      </c>
      <c r="Z7372" s="9">
        <f>1/COUNTIFS(Таблица1[Customer Name],Таблица1[[#This Row],[Customer Name]],Таблица1[Order-Year-Month],Таблица1[[#This Row],[Order-Year-Month]])</f>
        <v>0.25</v>
      </c>
    </row>
    <row r="7373" spans="1:26" x14ac:dyDescent="0.2">
      <c r="A7373" s="6">
        <v>412</v>
      </c>
      <c r="B7373" s="7">
        <v>2790</v>
      </c>
      <c r="C7373" s="8">
        <f>DATE(2012,12,31)-1231</f>
        <v>40043</v>
      </c>
      <c r="D7373" s="8" t="str">
        <f t="shared" si="140"/>
        <v>2009-08 (август 2009)</v>
      </c>
      <c r="E7373" s="9" t="s">
        <v>30</v>
      </c>
      <c r="F7373" s="7">
        <v>15</v>
      </c>
      <c r="G7373" s="7">
        <v>520.65</v>
      </c>
      <c r="H7373" s="7">
        <v>0.09</v>
      </c>
      <c r="I7373" s="9" t="s">
        <v>22</v>
      </c>
      <c r="J7373" s="10">
        <v>30.63</v>
      </c>
      <c r="K7373" s="11">
        <v>34.76</v>
      </c>
      <c r="L7373" s="11">
        <v>8.2200000000000006</v>
      </c>
      <c r="M7373" s="9" t="s">
        <v>1644</v>
      </c>
      <c r="N7373" s="6" t="s">
        <v>703</v>
      </c>
      <c r="O7373" s="6" t="s">
        <v>704</v>
      </c>
      <c r="P7373" s="9" t="s">
        <v>60</v>
      </c>
      <c r="Q7373" s="9" t="s">
        <v>26</v>
      </c>
      <c r="R7373" s="9" t="s">
        <v>27</v>
      </c>
      <c r="S7373" s="7" t="s">
        <v>247</v>
      </c>
      <c r="T7373" s="9" t="s">
        <v>39</v>
      </c>
      <c r="U7373" s="7">
        <v>0.56999999999999995</v>
      </c>
      <c r="V7373" s="12">
        <f>C7373+2</f>
        <v>40045</v>
      </c>
      <c r="W7373">
        <f>IF(D7373=' Pivot Tables'!$A$4,1,0)</f>
        <v>0</v>
      </c>
      <c r="X7373">
        <f>IF(AND(LEFT(D7373,4)+1=LEFT(' Pivot Tables'!$A$4,4)+0,RIGHT(LEFT(D7373,7),2)=RIGHT(LEFT(' Pivot Tables'!$A$4,7),2)),1,0)</f>
        <v>0</v>
      </c>
      <c r="Y7373" s="6">
        <f>1/COUNTIF(Таблица1[Order ID],Таблица1[[#This Row],[Order ID]])</f>
        <v>0.25</v>
      </c>
      <c r="Z7373" s="9">
        <f>1/COUNTIFS(Таблица1[Customer Name],Таблица1[[#This Row],[Customer Name]],Таблица1[Order-Year-Month],Таблица1[[#This Row],[Order-Year-Month]])</f>
        <v>0.25</v>
      </c>
    </row>
    <row r="7374" spans="1:26" x14ac:dyDescent="0.2">
      <c r="A7374" s="6">
        <v>490</v>
      </c>
      <c r="B7374" s="7">
        <v>3395</v>
      </c>
      <c r="C7374" s="8">
        <f>DATE(2012,12,31)-1159</f>
        <v>40115</v>
      </c>
      <c r="D7374" s="8" t="str">
        <f t="shared" si="140"/>
        <v>2009-10 (октябрь 2009)</v>
      </c>
      <c r="E7374" s="9" t="s">
        <v>45</v>
      </c>
      <c r="F7374" s="7">
        <v>31</v>
      </c>
      <c r="G7374" s="7">
        <v>181.17</v>
      </c>
      <c r="H7374" s="7">
        <v>0.06</v>
      </c>
      <c r="I7374" s="9" t="s">
        <v>56</v>
      </c>
      <c r="J7374" s="10">
        <v>-59.880499999999998</v>
      </c>
      <c r="K7374" s="11">
        <v>5.38</v>
      </c>
      <c r="L7374" s="11">
        <v>5.24</v>
      </c>
      <c r="M7374" s="9" t="s">
        <v>953</v>
      </c>
      <c r="N7374" s="6" t="s">
        <v>703</v>
      </c>
      <c r="O7374" s="6" t="s">
        <v>704</v>
      </c>
      <c r="P7374" s="9" t="s">
        <v>33</v>
      </c>
      <c r="Q7374" s="9" t="s">
        <v>26</v>
      </c>
      <c r="R7374" s="9" t="s">
        <v>37</v>
      </c>
      <c r="S7374" s="7" t="s">
        <v>2065</v>
      </c>
      <c r="T7374" s="9" t="s">
        <v>39</v>
      </c>
      <c r="U7374" s="7">
        <v>0.36</v>
      </c>
      <c r="V7374" s="12">
        <f>C7374+2</f>
        <v>40117</v>
      </c>
      <c r="W7374">
        <f>IF(D7374=' Pivot Tables'!$A$4,1,0)</f>
        <v>0</v>
      </c>
      <c r="X7374">
        <f>IF(AND(LEFT(D7374,4)+1=LEFT(' Pivot Tables'!$A$4,4)+0,RIGHT(LEFT(D7374,7),2)=RIGHT(LEFT(' Pivot Tables'!$A$4,7),2)),1,0)</f>
        <v>0</v>
      </c>
      <c r="Y7374" s="6">
        <f>1/COUNTIF(Таблица1[Order ID],Таблица1[[#This Row],[Order ID]])</f>
        <v>0.25</v>
      </c>
      <c r="Z7374" s="9">
        <f>1/COUNTIFS(Таблица1[Customer Name],Таблица1[[#This Row],[Customer Name]],Таблица1[Order-Year-Month],Таблица1[[#This Row],[Order-Year-Month]])</f>
        <v>0.25</v>
      </c>
    </row>
    <row r="7375" spans="1:26" x14ac:dyDescent="0.2">
      <c r="A7375" s="6">
        <v>491</v>
      </c>
      <c r="B7375" s="7">
        <v>3395</v>
      </c>
      <c r="C7375" s="8">
        <f>DATE(2012,12,31)-1159</f>
        <v>40115</v>
      </c>
      <c r="D7375" s="8" t="str">
        <f t="shared" si="140"/>
        <v>2009-10 (октябрь 2009)</v>
      </c>
      <c r="E7375" s="9" t="s">
        <v>45</v>
      </c>
      <c r="F7375" s="7">
        <v>1</v>
      </c>
      <c r="G7375" s="7">
        <v>13.16</v>
      </c>
      <c r="H7375" s="7">
        <v>0.03</v>
      </c>
      <c r="I7375" s="9" t="s">
        <v>22</v>
      </c>
      <c r="J7375" s="10">
        <v>-10.29</v>
      </c>
      <c r="K7375" s="11">
        <v>7.35</v>
      </c>
      <c r="L7375" s="11">
        <v>5.96</v>
      </c>
      <c r="M7375" s="9" t="s">
        <v>953</v>
      </c>
      <c r="N7375" s="6" t="s">
        <v>703</v>
      </c>
      <c r="O7375" s="6" t="s">
        <v>704</v>
      </c>
      <c r="P7375" s="9" t="s">
        <v>33</v>
      </c>
      <c r="Q7375" s="9" t="s">
        <v>26</v>
      </c>
      <c r="R7375" s="9" t="s">
        <v>61</v>
      </c>
      <c r="S7375" s="7" t="s">
        <v>1111</v>
      </c>
      <c r="T7375" s="9" t="s">
        <v>39</v>
      </c>
      <c r="U7375" s="7">
        <v>0.38</v>
      </c>
      <c r="V7375" s="12">
        <f>C7375+2</f>
        <v>40117</v>
      </c>
      <c r="W7375">
        <f>IF(D7375=' Pivot Tables'!$A$4,1,0)</f>
        <v>0</v>
      </c>
      <c r="X7375">
        <f>IF(AND(LEFT(D7375,4)+1=LEFT(' Pivot Tables'!$A$4,4)+0,RIGHT(LEFT(D7375,7),2)=RIGHT(LEFT(' Pivot Tables'!$A$4,7),2)),1,0)</f>
        <v>0</v>
      </c>
      <c r="Y7375" s="6">
        <f>1/COUNTIF(Таблица1[Order ID],Таблица1[[#This Row],[Order ID]])</f>
        <v>0.25</v>
      </c>
      <c r="Z7375" s="9">
        <f>1/COUNTIFS(Таблица1[Customer Name],Таблица1[[#This Row],[Customer Name]],Таблица1[Order-Year-Month],Таблица1[[#This Row],[Order-Year-Month]])</f>
        <v>0.25</v>
      </c>
    </row>
    <row r="7376" spans="1:26" x14ac:dyDescent="0.2">
      <c r="A7376" s="6">
        <v>492</v>
      </c>
      <c r="B7376" s="7">
        <v>3395</v>
      </c>
      <c r="C7376" s="8">
        <f>DATE(2012,12,31)-1159</f>
        <v>40115</v>
      </c>
      <c r="D7376" s="8" t="str">
        <f t="shared" si="140"/>
        <v>2009-10 (октябрь 2009)</v>
      </c>
      <c r="E7376" s="9" t="s">
        <v>45</v>
      </c>
      <c r="F7376" s="7">
        <v>7</v>
      </c>
      <c r="G7376" s="7">
        <v>107.88</v>
      </c>
      <c r="H7376" s="7">
        <v>0.02</v>
      </c>
      <c r="I7376" s="9" t="s">
        <v>22</v>
      </c>
      <c r="J7376" s="10">
        <v>25.59</v>
      </c>
      <c r="K7376" s="11">
        <v>15.57</v>
      </c>
      <c r="L7376" s="11">
        <v>1.39</v>
      </c>
      <c r="M7376" s="9" t="s">
        <v>953</v>
      </c>
      <c r="N7376" s="6" t="s">
        <v>703</v>
      </c>
      <c r="O7376" s="6" t="s">
        <v>704</v>
      </c>
      <c r="P7376" s="9" t="s">
        <v>33</v>
      </c>
      <c r="Q7376" s="9" t="s">
        <v>26</v>
      </c>
      <c r="R7376" s="9" t="s">
        <v>76</v>
      </c>
      <c r="S7376" s="7" t="s">
        <v>1176</v>
      </c>
      <c r="T7376" s="9" t="s">
        <v>39</v>
      </c>
      <c r="U7376" s="7">
        <v>0.38</v>
      </c>
      <c r="V7376" s="12">
        <f>C7376+1</f>
        <v>40116</v>
      </c>
      <c r="W7376">
        <f>IF(D7376=' Pivot Tables'!$A$4,1,0)</f>
        <v>0</v>
      </c>
      <c r="X7376">
        <f>IF(AND(LEFT(D7376,4)+1=LEFT(' Pivot Tables'!$A$4,4)+0,RIGHT(LEFT(D7376,7),2)=RIGHT(LEFT(' Pivot Tables'!$A$4,7),2)),1,0)</f>
        <v>0</v>
      </c>
      <c r="Y7376" s="6">
        <f>1/COUNTIF(Таблица1[Order ID],Таблица1[[#This Row],[Order ID]])</f>
        <v>0.25</v>
      </c>
      <c r="Z7376" s="9">
        <f>1/COUNTIFS(Таблица1[Customer Name],Таблица1[[#This Row],[Customer Name]],Таблица1[Order-Year-Month],Таблица1[[#This Row],[Order-Year-Month]])</f>
        <v>0.25</v>
      </c>
    </row>
    <row r="7377" spans="1:26" x14ac:dyDescent="0.2">
      <c r="A7377" s="6">
        <v>493</v>
      </c>
      <c r="B7377" s="7">
        <v>3395</v>
      </c>
      <c r="C7377" s="8">
        <f>DATE(2012,12,31)-1159</f>
        <v>40115</v>
      </c>
      <c r="D7377" s="8" t="str">
        <f t="shared" si="140"/>
        <v>2009-10 (октябрь 2009)</v>
      </c>
      <c r="E7377" s="9" t="s">
        <v>45</v>
      </c>
      <c r="F7377" s="7">
        <v>29</v>
      </c>
      <c r="G7377" s="7">
        <v>623.02</v>
      </c>
      <c r="H7377" s="7">
        <v>0.02</v>
      </c>
      <c r="I7377" s="9" t="s">
        <v>22</v>
      </c>
      <c r="J7377" s="10">
        <v>-255.66</v>
      </c>
      <c r="K7377" s="11">
        <v>20.89</v>
      </c>
      <c r="L7377" s="11">
        <v>11.52</v>
      </c>
      <c r="M7377" s="9" t="s">
        <v>953</v>
      </c>
      <c r="N7377" s="6" t="s">
        <v>703</v>
      </c>
      <c r="O7377" s="6" t="s">
        <v>704</v>
      </c>
      <c r="P7377" s="9" t="s">
        <v>33</v>
      </c>
      <c r="Q7377" s="9" t="s">
        <v>26</v>
      </c>
      <c r="R7377" s="9" t="s">
        <v>27</v>
      </c>
      <c r="S7377" s="7" t="s">
        <v>1041</v>
      </c>
      <c r="T7377" s="9" t="s">
        <v>39</v>
      </c>
      <c r="U7377" s="7">
        <v>0.83</v>
      </c>
      <c r="V7377" s="12">
        <f>C7377+1</f>
        <v>40116</v>
      </c>
      <c r="W7377">
        <f>IF(D7377=' Pivot Tables'!$A$4,1,0)</f>
        <v>0</v>
      </c>
      <c r="X7377">
        <f>IF(AND(LEFT(D7377,4)+1=LEFT(' Pivot Tables'!$A$4,4)+0,RIGHT(LEFT(D7377,7),2)=RIGHT(LEFT(' Pivot Tables'!$A$4,7),2)),1,0)</f>
        <v>0</v>
      </c>
      <c r="Y7377" s="6">
        <f>1/COUNTIF(Таблица1[Order ID],Таблица1[[#This Row],[Order ID]])</f>
        <v>0.25</v>
      </c>
      <c r="Z7377" s="9">
        <f>1/COUNTIFS(Таблица1[Customer Name],Таблица1[[#This Row],[Customer Name]],Таблица1[Order-Year-Month],Таблица1[[#This Row],[Order-Year-Month]])</f>
        <v>0.25</v>
      </c>
    </row>
    <row r="7378" spans="1:26" x14ac:dyDescent="0.2">
      <c r="A7378" s="6">
        <v>575</v>
      </c>
      <c r="B7378" s="7">
        <v>3907</v>
      </c>
      <c r="C7378" s="8">
        <f>DATE(2012,12,31)-135</f>
        <v>41139</v>
      </c>
      <c r="D7378" s="8" t="str">
        <f t="shared" si="140"/>
        <v>2012-08 (август 2012)</v>
      </c>
      <c r="E7378" s="9" t="s">
        <v>63</v>
      </c>
      <c r="F7378" s="7">
        <v>34</v>
      </c>
      <c r="G7378" s="7">
        <v>729.83</v>
      </c>
      <c r="H7378" s="7">
        <v>7.0000000000000007E-2</v>
      </c>
      <c r="I7378" s="9" t="s">
        <v>22</v>
      </c>
      <c r="J7378" s="10">
        <v>-135.102</v>
      </c>
      <c r="K7378" s="11">
        <v>22.38</v>
      </c>
      <c r="L7378" s="11">
        <v>15.1</v>
      </c>
      <c r="M7378" s="9" t="s">
        <v>877</v>
      </c>
      <c r="N7378" s="6" t="s">
        <v>703</v>
      </c>
      <c r="O7378" s="6" t="s">
        <v>704</v>
      </c>
      <c r="P7378" s="9" t="s">
        <v>25</v>
      </c>
      <c r="Q7378" s="9" t="s">
        <v>26</v>
      </c>
      <c r="R7378" s="9" t="s">
        <v>37</v>
      </c>
      <c r="S7378" s="7" t="s">
        <v>415</v>
      </c>
      <c r="T7378" s="9" t="s">
        <v>39</v>
      </c>
      <c r="U7378" s="7">
        <v>0.38</v>
      </c>
      <c r="V7378" s="12">
        <f>C7378+2</f>
        <v>41141</v>
      </c>
      <c r="W7378">
        <f>IF(D7378=' Pivot Tables'!$A$4,1,0)</f>
        <v>0</v>
      </c>
      <c r="X7378">
        <f>IF(AND(LEFT(D7378,4)+1=LEFT(' Pivot Tables'!$A$4,4)+0,RIGHT(LEFT(D7378,7),2)=RIGHT(LEFT(' Pivot Tables'!$A$4,7),2)),1,0)</f>
        <v>0</v>
      </c>
      <c r="Y7378" s="6">
        <f>1/COUNTIF(Таблица1[Order ID],Таблица1[[#This Row],[Order ID]])</f>
        <v>0.33333333333333331</v>
      </c>
      <c r="Z7378" s="9">
        <f>1/COUNTIFS(Таблица1[Customer Name],Таблица1[[#This Row],[Customer Name]],Таблица1[Order-Year-Month],Таблица1[[#This Row],[Order-Year-Month]])</f>
        <v>0.33333333333333331</v>
      </c>
    </row>
    <row r="7379" spans="1:26" x14ac:dyDescent="0.2">
      <c r="A7379" s="6">
        <v>576</v>
      </c>
      <c r="B7379" s="7">
        <v>3907</v>
      </c>
      <c r="C7379" s="8">
        <f>DATE(2012,12,31)-135</f>
        <v>41139</v>
      </c>
      <c r="D7379" s="8" t="str">
        <f t="shared" si="140"/>
        <v>2012-08 (август 2012)</v>
      </c>
      <c r="E7379" s="9" t="s">
        <v>63</v>
      </c>
      <c r="F7379" s="7">
        <v>36</v>
      </c>
      <c r="G7379" s="7">
        <v>1083.19</v>
      </c>
      <c r="H7379" s="7">
        <v>0.03</v>
      </c>
      <c r="I7379" s="9" t="s">
        <v>56</v>
      </c>
      <c r="J7379" s="10">
        <v>214.61</v>
      </c>
      <c r="K7379" s="11">
        <v>29.99</v>
      </c>
      <c r="L7379" s="11">
        <v>5.5</v>
      </c>
      <c r="M7379" s="9" t="s">
        <v>877</v>
      </c>
      <c r="N7379" s="6" t="s">
        <v>703</v>
      </c>
      <c r="O7379" s="6" t="s">
        <v>704</v>
      </c>
      <c r="P7379" s="9" t="s">
        <v>25</v>
      </c>
      <c r="Q7379" s="9" t="s">
        <v>42</v>
      </c>
      <c r="R7379" s="9" t="s">
        <v>70</v>
      </c>
      <c r="S7379" s="7" t="s">
        <v>1177</v>
      </c>
      <c r="T7379" s="9" t="s">
        <v>39</v>
      </c>
      <c r="U7379" s="7">
        <v>0.51</v>
      </c>
      <c r="V7379" s="12">
        <f>C7379+1</f>
        <v>41140</v>
      </c>
      <c r="W7379">
        <f>IF(D7379=' Pivot Tables'!$A$4,1,0)</f>
        <v>0</v>
      </c>
      <c r="X7379">
        <f>IF(AND(LEFT(D7379,4)+1=LEFT(' Pivot Tables'!$A$4,4)+0,RIGHT(LEFT(D7379,7),2)=RIGHT(LEFT(' Pivot Tables'!$A$4,7),2)),1,0)</f>
        <v>0</v>
      </c>
      <c r="Y7379" s="6">
        <f>1/COUNTIF(Таблица1[Order ID],Таблица1[[#This Row],[Order ID]])</f>
        <v>0.33333333333333331</v>
      </c>
      <c r="Z7379" s="9">
        <f>1/COUNTIFS(Таблица1[Customer Name],Таблица1[[#This Row],[Customer Name]],Таблица1[Order-Year-Month],Таблица1[[#This Row],[Order-Year-Month]])</f>
        <v>0.33333333333333331</v>
      </c>
    </row>
    <row r="7380" spans="1:26" x14ac:dyDescent="0.2">
      <c r="A7380" s="6">
        <v>613</v>
      </c>
      <c r="B7380" s="7">
        <v>4195</v>
      </c>
      <c r="C7380" s="8">
        <f>DATE(2012,12,31)-948</f>
        <v>40326</v>
      </c>
      <c r="D7380" s="8" t="str">
        <f t="shared" si="140"/>
        <v>2010-05 (май 2010)</v>
      </c>
      <c r="E7380" s="9" t="s">
        <v>45</v>
      </c>
      <c r="F7380" s="7">
        <v>30</v>
      </c>
      <c r="G7380" s="7">
        <v>255.74</v>
      </c>
      <c r="H7380" s="7">
        <v>7.0000000000000007E-2</v>
      </c>
      <c r="I7380" s="9" t="s">
        <v>22</v>
      </c>
      <c r="J7380" s="10">
        <v>37.090000000000003</v>
      </c>
      <c r="K7380" s="11">
        <v>8.5</v>
      </c>
      <c r="L7380" s="11">
        <v>1.99</v>
      </c>
      <c r="M7380" s="9" t="s">
        <v>2064</v>
      </c>
      <c r="N7380" s="6" t="s">
        <v>703</v>
      </c>
      <c r="O7380" s="6" t="s">
        <v>704</v>
      </c>
      <c r="P7380" s="9" t="s">
        <v>41</v>
      </c>
      <c r="Q7380" s="9" t="s">
        <v>42</v>
      </c>
      <c r="R7380" s="9" t="s">
        <v>70</v>
      </c>
      <c r="S7380" s="7" t="s">
        <v>863</v>
      </c>
      <c r="T7380" s="9" t="s">
        <v>52</v>
      </c>
      <c r="U7380" s="7">
        <v>0.49</v>
      </c>
      <c r="V7380" s="12">
        <f>C7380+2</f>
        <v>40328</v>
      </c>
      <c r="W7380">
        <f>IF(D7380=' Pivot Tables'!$A$4,1,0)</f>
        <v>0</v>
      </c>
      <c r="X7380">
        <f>IF(AND(LEFT(D7380,4)+1=LEFT(' Pivot Tables'!$A$4,4)+0,RIGHT(LEFT(D7380,7),2)=RIGHT(LEFT(' Pivot Tables'!$A$4,7),2)),1,0)</f>
        <v>0</v>
      </c>
      <c r="Y7380" s="6">
        <f>1/COUNTIF(Таблица1[Order ID],Таблица1[[#This Row],[Order ID]])</f>
        <v>1</v>
      </c>
      <c r="Z7380" s="9">
        <f>1/COUNTIFS(Таблица1[Customer Name],Таблица1[[#This Row],[Customer Name]],Таблица1[Order-Year-Month],Таблица1[[#This Row],[Order-Year-Month]])</f>
        <v>1</v>
      </c>
    </row>
    <row r="7381" spans="1:26" x14ac:dyDescent="0.2">
      <c r="A7381" s="6">
        <v>631</v>
      </c>
      <c r="B7381" s="7">
        <v>4391</v>
      </c>
      <c r="C7381" s="8">
        <f>DATE(2012,12,31)-318</f>
        <v>40956</v>
      </c>
      <c r="D7381" s="8" t="str">
        <f t="shared" si="140"/>
        <v>2012-02 (февраль 2012)</v>
      </c>
      <c r="E7381" s="9" t="s">
        <v>30</v>
      </c>
      <c r="F7381" s="7">
        <v>20</v>
      </c>
      <c r="G7381" s="7">
        <v>2592.4319999999998</v>
      </c>
      <c r="H7381" s="7">
        <v>0.06</v>
      </c>
      <c r="I7381" s="9" t="s">
        <v>22</v>
      </c>
      <c r="J7381" s="10">
        <v>428.47199999999998</v>
      </c>
      <c r="K7381" s="11">
        <v>155.99</v>
      </c>
      <c r="L7381" s="11">
        <v>3.9</v>
      </c>
      <c r="M7381" s="9" t="s">
        <v>1933</v>
      </c>
      <c r="N7381" s="6" t="s">
        <v>703</v>
      </c>
      <c r="O7381" s="6" t="s">
        <v>704</v>
      </c>
      <c r="P7381" s="9" t="s">
        <v>60</v>
      </c>
      <c r="Q7381" s="9" t="s">
        <v>42</v>
      </c>
      <c r="R7381" s="9" t="s">
        <v>43</v>
      </c>
      <c r="S7381" s="7" t="s">
        <v>257</v>
      </c>
      <c r="T7381" s="9" t="s">
        <v>39</v>
      </c>
      <c r="U7381" s="7">
        <v>0.55000000000000004</v>
      </c>
      <c r="V7381" s="12">
        <f>C7381+2</f>
        <v>40958</v>
      </c>
      <c r="W7381">
        <f>IF(D7381=' Pivot Tables'!$A$4,1,0)</f>
        <v>0</v>
      </c>
      <c r="X7381">
        <f>IF(AND(LEFT(D7381,4)+1=LEFT(' Pivot Tables'!$A$4,4)+0,RIGHT(LEFT(D7381,7),2)=RIGHT(LEFT(' Pivot Tables'!$A$4,7),2)),1,0)</f>
        <v>0</v>
      </c>
      <c r="Y7381" s="6">
        <f>1/COUNTIF(Таблица1[Order ID],Таблица1[[#This Row],[Order ID]])</f>
        <v>1</v>
      </c>
      <c r="Z7381" s="9">
        <f>1/COUNTIFS(Таблица1[Customer Name],Таблица1[[#This Row],[Customer Name]],Таблица1[Order-Year-Month],Таблица1[[#This Row],[Order-Year-Month]])</f>
        <v>1</v>
      </c>
    </row>
    <row r="7382" spans="1:26" x14ac:dyDescent="0.2">
      <c r="A7382" s="6">
        <v>633</v>
      </c>
      <c r="B7382" s="7">
        <v>4422</v>
      </c>
      <c r="C7382" s="8">
        <f>DATE(2012,12,31)-590</f>
        <v>40684</v>
      </c>
      <c r="D7382" s="8" t="str">
        <f t="shared" si="140"/>
        <v>2011-05 (май 2011)</v>
      </c>
      <c r="E7382" s="9" t="s">
        <v>63</v>
      </c>
      <c r="F7382" s="7">
        <v>12</v>
      </c>
      <c r="G7382" s="7">
        <v>313.43</v>
      </c>
      <c r="H7382" s="7">
        <v>0.02</v>
      </c>
      <c r="I7382" s="9" t="s">
        <v>22</v>
      </c>
      <c r="J7382" s="10">
        <v>104.03</v>
      </c>
      <c r="K7382" s="11">
        <v>25.38</v>
      </c>
      <c r="L7382" s="11">
        <v>8.99</v>
      </c>
      <c r="M7382" s="9" t="s">
        <v>1622</v>
      </c>
      <c r="N7382" s="6" t="s">
        <v>703</v>
      </c>
      <c r="O7382" s="6" t="s">
        <v>704</v>
      </c>
      <c r="P7382" s="9" t="s">
        <v>33</v>
      </c>
      <c r="Q7382" s="9" t="s">
        <v>49</v>
      </c>
      <c r="R7382" s="9" t="s">
        <v>50</v>
      </c>
      <c r="S7382" s="7" t="s">
        <v>335</v>
      </c>
      <c r="T7382" s="9" t="s">
        <v>52</v>
      </c>
      <c r="U7382" s="7">
        <v>0.5</v>
      </c>
      <c r="V7382" s="12">
        <f>C7382+0</f>
        <v>40684</v>
      </c>
      <c r="W7382">
        <f>IF(D7382=' Pivot Tables'!$A$4,1,0)</f>
        <v>0</v>
      </c>
      <c r="X7382">
        <f>IF(AND(LEFT(D7382,4)+1=LEFT(' Pivot Tables'!$A$4,4)+0,RIGHT(LEFT(D7382,7),2)=RIGHT(LEFT(' Pivot Tables'!$A$4,7),2)),1,0)</f>
        <v>0</v>
      </c>
      <c r="Y7382" s="6">
        <f>1/COUNTIF(Таблица1[Order ID],Таблица1[[#This Row],[Order ID]])</f>
        <v>0.5</v>
      </c>
      <c r="Z7382" s="9">
        <f>1/COUNTIFS(Таблица1[Customer Name],Таблица1[[#This Row],[Customer Name]],Таблица1[Order-Year-Month],Таблица1[[#This Row],[Order-Year-Month]])</f>
        <v>0.5</v>
      </c>
    </row>
    <row r="7383" spans="1:26" x14ac:dyDescent="0.2">
      <c r="A7383" s="6">
        <v>634</v>
      </c>
      <c r="B7383" s="7">
        <v>4422</v>
      </c>
      <c r="C7383" s="8">
        <f>DATE(2012,12,31)-590</f>
        <v>40684</v>
      </c>
      <c r="D7383" s="8" t="str">
        <f t="shared" si="140"/>
        <v>2011-05 (май 2011)</v>
      </c>
      <c r="E7383" s="9" t="s">
        <v>63</v>
      </c>
      <c r="F7383" s="7">
        <v>17</v>
      </c>
      <c r="G7383" s="7">
        <v>390.11</v>
      </c>
      <c r="H7383" s="7">
        <v>0.02</v>
      </c>
      <c r="I7383" s="9" t="s">
        <v>22</v>
      </c>
      <c r="J7383" s="10">
        <v>-19.920000000000002</v>
      </c>
      <c r="K7383" s="11">
        <v>21.38</v>
      </c>
      <c r="L7383" s="11">
        <v>8.99</v>
      </c>
      <c r="M7383" s="9" t="s">
        <v>1622</v>
      </c>
      <c r="N7383" s="6" t="s">
        <v>703</v>
      </c>
      <c r="O7383" s="6" t="s">
        <v>704</v>
      </c>
      <c r="P7383" s="9" t="s">
        <v>33</v>
      </c>
      <c r="Q7383" s="9" t="s">
        <v>26</v>
      </c>
      <c r="R7383" s="9" t="s">
        <v>95</v>
      </c>
      <c r="S7383" s="7" t="s">
        <v>436</v>
      </c>
      <c r="T7383" s="9" t="s">
        <v>52</v>
      </c>
      <c r="U7383" s="7">
        <v>0.59</v>
      </c>
      <c r="V7383" s="12">
        <f>C7383+0</f>
        <v>40684</v>
      </c>
      <c r="W7383">
        <f>IF(D7383=' Pivot Tables'!$A$4,1,0)</f>
        <v>0</v>
      </c>
      <c r="X7383">
        <f>IF(AND(LEFT(D7383,4)+1=LEFT(' Pivot Tables'!$A$4,4)+0,RIGHT(LEFT(D7383,7),2)=RIGHT(LEFT(' Pivot Tables'!$A$4,7),2)),1,0)</f>
        <v>0</v>
      </c>
      <c r="Y7383" s="6">
        <f>1/COUNTIF(Таблица1[Order ID],Таблица1[[#This Row],[Order ID]])</f>
        <v>0.5</v>
      </c>
      <c r="Z7383" s="9">
        <f>1/COUNTIFS(Таблица1[Customer Name],Таблица1[[#This Row],[Customer Name]],Таблица1[Order-Year-Month],Таблица1[[#This Row],[Order-Year-Month]])</f>
        <v>0.5</v>
      </c>
    </row>
    <row r="7384" spans="1:26" x14ac:dyDescent="0.2">
      <c r="A7384" s="6">
        <v>679</v>
      </c>
      <c r="B7384" s="7">
        <v>4741</v>
      </c>
      <c r="C7384" s="8">
        <f>DATE(2012,12,31)-178</f>
        <v>41096</v>
      </c>
      <c r="D7384" s="8" t="str">
        <f t="shared" si="140"/>
        <v>2012-07 (июль 2012)</v>
      </c>
      <c r="E7384" s="9" t="s">
        <v>45</v>
      </c>
      <c r="F7384" s="7">
        <v>40</v>
      </c>
      <c r="G7384" s="7">
        <v>342.97</v>
      </c>
      <c r="H7384" s="7">
        <v>0.09</v>
      </c>
      <c r="I7384" s="9" t="s">
        <v>22</v>
      </c>
      <c r="J7384" s="10">
        <v>-131.63</v>
      </c>
      <c r="K7384" s="11">
        <v>8.75</v>
      </c>
      <c r="L7384" s="11">
        <v>8.5399999999999991</v>
      </c>
      <c r="M7384" s="9" t="s">
        <v>797</v>
      </c>
      <c r="N7384" s="6" t="s">
        <v>703</v>
      </c>
      <c r="O7384" s="6" t="s">
        <v>704</v>
      </c>
      <c r="P7384" s="9" t="s">
        <v>33</v>
      </c>
      <c r="Q7384" s="9" t="s">
        <v>49</v>
      </c>
      <c r="R7384" s="9" t="s">
        <v>50</v>
      </c>
      <c r="S7384" s="7" t="s">
        <v>663</v>
      </c>
      <c r="T7384" s="9" t="s">
        <v>52</v>
      </c>
      <c r="U7384" s="7">
        <v>0.43</v>
      </c>
      <c r="V7384" s="12">
        <f>C7384+1</f>
        <v>41097</v>
      </c>
      <c r="W7384">
        <f>IF(D7384=' Pivot Tables'!$A$4,1,0)</f>
        <v>0</v>
      </c>
      <c r="X7384">
        <f>IF(AND(LEFT(D7384,4)+1=LEFT(' Pivot Tables'!$A$4,4)+0,RIGHT(LEFT(D7384,7),2)=RIGHT(LEFT(' Pivot Tables'!$A$4,7),2)),1,0)</f>
        <v>0</v>
      </c>
      <c r="Y7384" s="6">
        <f>1/COUNTIF(Таблица1[Order ID],Таблица1[[#This Row],[Order ID]])</f>
        <v>1</v>
      </c>
      <c r="Z7384" s="9">
        <f>1/COUNTIFS(Таблица1[Customer Name],Таблица1[[#This Row],[Customer Name]],Таблица1[Order-Year-Month],Таблица1[[#This Row],[Order-Year-Month]])</f>
        <v>1</v>
      </c>
    </row>
    <row r="7385" spans="1:26" x14ac:dyDescent="0.2">
      <c r="A7385" s="6">
        <v>693</v>
      </c>
      <c r="B7385" s="7">
        <v>4835</v>
      </c>
      <c r="C7385" s="8">
        <f>DATE(2012,12,31)-1164</f>
        <v>40110</v>
      </c>
      <c r="D7385" s="8" t="str">
        <f t="shared" si="140"/>
        <v>2009-10 (октябрь 2009)</v>
      </c>
      <c r="E7385" s="9" t="s">
        <v>78</v>
      </c>
      <c r="F7385" s="7">
        <v>3</v>
      </c>
      <c r="G7385" s="7">
        <v>9.4</v>
      </c>
      <c r="H7385" s="7">
        <v>0.04</v>
      </c>
      <c r="I7385" s="9" t="s">
        <v>22</v>
      </c>
      <c r="J7385" s="10">
        <v>-7.6</v>
      </c>
      <c r="K7385" s="11">
        <v>2.52</v>
      </c>
      <c r="L7385" s="11">
        <v>1.92</v>
      </c>
      <c r="M7385" s="9" t="s">
        <v>1933</v>
      </c>
      <c r="N7385" s="6" t="s">
        <v>703</v>
      </c>
      <c r="O7385" s="6" t="s">
        <v>704</v>
      </c>
      <c r="P7385" s="9" t="s">
        <v>60</v>
      </c>
      <c r="Q7385" s="9" t="s">
        <v>26</v>
      </c>
      <c r="R7385" s="9" t="s">
        <v>150</v>
      </c>
      <c r="S7385" s="7" t="s">
        <v>1336</v>
      </c>
      <c r="T7385" s="9" t="s">
        <v>68</v>
      </c>
      <c r="U7385" s="7">
        <v>0.82</v>
      </c>
      <c r="V7385" s="12">
        <f>C7385+0</f>
        <v>40110</v>
      </c>
      <c r="W7385">
        <f>IF(D7385=' Pivot Tables'!$A$4,1,0)</f>
        <v>0</v>
      </c>
      <c r="X7385">
        <f>IF(AND(LEFT(D7385,4)+1=LEFT(' Pivot Tables'!$A$4,4)+0,RIGHT(LEFT(D7385,7),2)=RIGHT(LEFT(' Pivot Tables'!$A$4,7),2)),1,0)</f>
        <v>0</v>
      </c>
      <c r="Y7385" s="6">
        <f>1/COUNTIF(Таблица1[Order ID],Таблица1[[#This Row],[Order ID]])</f>
        <v>1</v>
      </c>
      <c r="Z7385" s="9">
        <f>1/COUNTIFS(Таблица1[Customer Name],Таблица1[[#This Row],[Customer Name]],Таблица1[Order-Year-Month],Таблица1[[#This Row],[Order-Year-Month]])</f>
        <v>1</v>
      </c>
    </row>
    <row r="7386" spans="1:26" x14ac:dyDescent="0.2">
      <c r="A7386" s="6">
        <v>711</v>
      </c>
      <c r="B7386" s="7">
        <v>5028</v>
      </c>
      <c r="C7386" s="8">
        <f>DATE(2012,12,31)-259</f>
        <v>41015</v>
      </c>
      <c r="D7386" s="8" t="str">
        <f t="shared" si="140"/>
        <v>2012-04 (апрель 2012)</v>
      </c>
      <c r="E7386" s="9" t="s">
        <v>30</v>
      </c>
      <c r="F7386" s="7">
        <v>10</v>
      </c>
      <c r="G7386" s="7">
        <v>79.680000000000007</v>
      </c>
      <c r="H7386" s="7">
        <v>0.06</v>
      </c>
      <c r="I7386" s="9" t="s">
        <v>22</v>
      </c>
      <c r="J7386" s="10">
        <v>18.239999999999998</v>
      </c>
      <c r="K7386" s="11">
        <v>7.7</v>
      </c>
      <c r="L7386" s="11">
        <v>3.68</v>
      </c>
      <c r="M7386" s="9" t="s">
        <v>2064</v>
      </c>
      <c r="N7386" s="6" t="s">
        <v>703</v>
      </c>
      <c r="O7386" s="6" t="s">
        <v>704</v>
      </c>
      <c r="P7386" s="9" t="s">
        <v>41</v>
      </c>
      <c r="Q7386" s="9" t="s">
        <v>49</v>
      </c>
      <c r="R7386" s="9" t="s">
        <v>50</v>
      </c>
      <c r="S7386" s="7" t="s">
        <v>1052</v>
      </c>
      <c r="T7386" s="9" t="s">
        <v>68</v>
      </c>
      <c r="U7386" s="7">
        <v>0.52</v>
      </c>
      <c r="V7386" s="12">
        <f>C7386+2</f>
        <v>41017</v>
      </c>
      <c r="W7386">
        <f>IF(D7386=' Pivot Tables'!$A$4,1,0)</f>
        <v>0</v>
      </c>
      <c r="X7386">
        <f>IF(AND(LEFT(D7386,4)+1=LEFT(' Pivot Tables'!$A$4,4)+0,RIGHT(LEFT(D7386,7),2)=RIGHT(LEFT(' Pivot Tables'!$A$4,7),2)),1,0)</f>
        <v>0</v>
      </c>
      <c r="Y7386" s="6">
        <f>1/COUNTIF(Таблица1[Order ID],Таблица1[[#This Row],[Order ID]])</f>
        <v>1</v>
      </c>
      <c r="Z7386" s="9">
        <f>1/COUNTIFS(Таблица1[Customer Name],Таблица1[[#This Row],[Customer Name]],Таблица1[Order-Year-Month],Таблица1[[#This Row],[Order-Year-Month]])</f>
        <v>1</v>
      </c>
    </row>
    <row r="7387" spans="1:26" x14ac:dyDescent="0.2">
      <c r="A7387" s="6">
        <v>717</v>
      </c>
      <c r="B7387" s="7">
        <v>5095</v>
      </c>
      <c r="C7387" s="8">
        <f>DATE(2012,12,31)-254</f>
        <v>41020</v>
      </c>
      <c r="D7387" s="8" t="str">
        <f t="shared" si="140"/>
        <v>2012-04 (апрель 2012)</v>
      </c>
      <c r="E7387" s="9" t="s">
        <v>30</v>
      </c>
      <c r="F7387" s="7">
        <v>7</v>
      </c>
      <c r="G7387" s="7">
        <v>786.67499999999995</v>
      </c>
      <c r="H7387" s="7">
        <v>0.01</v>
      </c>
      <c r="I7387" s="9" t="s">
        <v>22</v>
      </c>
      <c r="J7387" s="10">
        <v>-315.029</v>
      </c>
      <c r="K7387" s="11">
        <v>125.99</v>
      </c>
      <c r="L7387" s="11">
        <v>8.8000000000000007</v>
      </c>
      <c r="M7387" s="9" t="s">
        <v>2066</v>
      </c>
      <c r="N7387" s="6" t="s">
        <v>703</v>
      </c>
      <c r="O7387" s="6" t="s">
        <v>704</v>
      </c>
      <c r="P7387" s="9" t="s">
        <v>41</v>
      </c>
      <c r="Q7387" s="9" t="s">
        <v>42</v>
      </c>
      <c r="R7387" s="9" t="s">
        <v>43</v>
      </c>
      <c r="S7387" s="7" t="s">
        <v>800</v>
      </c>
      <c r="T7387" s="9" t="s">
        <v>39</v>
      </c>
      <c r="U7387" s="7">
        <v>0.59</v>
      </c>
      <c r="V7387" s="12">
        <f>C7387+1</f>
        <v>41021</v>
      </c>
      <c r="W7387">
        <f>IF(D7387=' Pivot Tables'!$A$4,1,0)</f>
        <v>0</v>
      </c>
      <c r="X7387">
        <f>IF(AND(LEFT(D7387,4)+1=LEFT(' Pivot Tables'!$A$4,4)+0,RIGHT(LEFT(D7387,7),2)=RIGHT(LEFT(' Pivot Tables'!$A$4,7),2)),1,0)</f>
        <v>0</v>
      </c>
      <c r="Y7387" s="6">
        <f>1/COUNTIF(Таблица1[Order ID],Таблица1[[#This Row],[Order ID]])</f>
        <v>1</v>
      </c>
      <c r="Z7387" s="9">
        <f>1/COUNTIFS(Таблица1[Customer Name],Таблица1[[#This Row],[Customer Name]],Таблица1[Order-Year-Month],Таблица1[[#This Row],[Order-Year-Month]])</f>
        <v>1</v>
      </c>
    </row>
    <row r="7388" spans="1:26" x14ac:dyDescent="0.2">
      <c r="A7388" s="6">
        <v>736</v>
      </c>
      <c r="B7388" s="7">
        <v>5317</v>
      </c>
      <c r="C7388" s="8">
        <f>DATE(2012,12,31)-1210</f>
        <v>40064</v>
      </c>
      <c r="D7388" s="8" t="str">
        <f t="shared" si="140"/>
        <v>2009-09 (сентябрь 2009)</v>
      </c>
      <c r="E7388" s="9" t="s">
        <v>21</v>
      </c>
      <c r="F7388" s="7">
        <v>38</v>
      </c>
      <c r="G7388" s="7">
        <v>212.57</v>
      </c>
      <c r="H7388" s="7">
        <v>0.09</v>
      </c>
      <c r="I7388" s="9" t="s">
        <v>56</v>
      </c>
      <c r="J7388" s="10">
        <v>9.4860000000000007</v>
      </c>
      <c r="K7388" s="11">
        <v>5.34</v>
      </c>
      <c r="L7388" s="11">
        <v>2.99</v>
      </c>
      <c r="M7388" s="9" t="s">
        <v>877</v>
      </c>
      <c r="N7388" s="6" t="s">
        <v>703</v>
      </c>
      <c r="O7388" s="6" t="s">
        <v>704</v>
      </c>
      <c r="P7388" s="9" t="s">
        <v>25</v>
      </c>
      <c r="Q7388" s="9" t="s">
        <v>26</v>
      </c>
      <c r="R7388" s="9" t="s">
        <v>37</v>
      </c>
      <c r="S7388" s="7" t="s">
        <v>407</v>
      </c>
      <c r="T7388" s="9" t="s">
        <v>39</v>
      </c>
      <c r="U7388" s="7">
        <v>0.38</v>
      </c>
      <c r="V7388" s="12">
        <f>C7388+7</f>
        <v>40071</v>
      </c>
      <c r="W7388">
        <f>IF(D7388=' Pivot Tables'!$A$4,1,0)</f>
        <v>0</v>
      </c>
      <c r="X7388">
        <f>IF(AND(LEFT(D7388,4)+1=LEFT(' Pivot Tables'!$A$4,4)+0,RIGHT(LEFT(D7388,7),2)=RIGHT(LEFT(' Pivot Tables'!$A$4,7),2)),1,0)</f>
        <v>0</v>
      </c>
      <c r="Y7388" s="6">
        <f>1/COUNTIF(Таблица1[Order ID],Таблица1[[#This Row],[Order ID]])</f>
        <v>0.33333333333333331</v>
      </c>
      <c r="Z7388" s="9">
        <f>1/COUNTIFS(Таблица1[Customer Name],Таблица1[[#This Row],[Customer Name]],Таблица1[Order-Year-Month],Таблица1[[#This Row],[Order-Year-Month]])</f>
        <v>0.33333333333333331</v>
      </c>
    </row>
    <row r="7389" spans="1:26" x14ac:dyDescent="0.2">
      <c r="A7389" s="6">
        <v>737</v>
      </c>
      <c r="B7389" s="7">
        <v>5317</v>
      </c>
      <c r="C7389" s="8">
        <f>DATE(2012,12,31)-1210</f>
        <v>40064</v>
      </c>
      <c r="D7389" s="8" t="str">
        <f t="shared" si="140"/>
        <v>2009-09 (сентябрь 2009)</v>
      </c>
      <c r="E7389" s="9" t="s">
        <v>21</v>
      </c>
      <c r="F7389" s="7">
        <v>10</v>
      </c>
      <c r="G7389" s="7">
        <v>1469.48</v>
      </c>
      <c r="H7389" s="7">
        <v>7.0000000000000007E-2</v>
      </c>
      <c r="I7389" s="9" t="s">
        <v>31</v>
      </c>
      <c r="J7389" s="10">
        <v>-263.64999999999998</v>
      </c>
      <c r="K7389" s="11">
        <v>140.97999999999999</v>
      </c>
      <c r="L7389" s="11">
        <v>53.48</v>
      </c>
      <c r="M7389" s="9" t="s">
        <v>877</v>
      </c>
      <c r="N7389" s="6" t="s">
        <v>703</v>
      </c>
      <c r="O7389" s="6" t="s">
        <v>704</v>
      </c>
      <c r="P7389" s="9" t="s">
        <v>25</v>
      </c>
      <c r="Q7389" s="9" t="s">
        <v>49</v>
      </c>
      <c r="R7389" s="9" t="s">
        <v>80</v>
      </c>
      <c r="S7389" s="7" t="s">
        <v>185</v>
      </c>
      <c r="T7389" s="9" t="s">
        <v>82</v>
      </c>
      <c r="U7389" s="7">
        <v>0.65</v>
      </c>
      <c r="V7389" s="12">
        <f>C7389+7</f>
        <v>40071</v>
      </c>
      <c r="W7389">
        <f>IF(D7389=' Pivot Tables'!$A$4,1,0)</f>
        <v>0</v>
      </c>
      <c r="X7389">
        <f>IF(AND(LEFT(D7389,4)+1=LEFT(' Pivot Tables'!$A$4,4)+0,RIGHT(LEFT(D7389,7),2)=RIGHT(LEFT(' Pivot Tables'!$A$4,7),2)),1,0)</f>
        <v>0</v>
      </c>
      <c r="Y7389" s="6">
        <f>1/COUNTIF(Таблица1[Order ID],Таблица1[[#This Row],[Order ID]])</f>
        <v>0.33333333333333331</v>
      </c>
      <c r="Z7389" s="9">
        <f>1/COUNTIFS(Таблица1[Customer Name],Таблица1[[#This Row],[Customer Name]],Таблица1[Order-Year-Month],Таблица1[[#This Row],[Order-Year-Month]])</f>
        <v>0.33333333333333331</v>
      </c>
    </row>
    <row r="7390" spans="1:26" x14ac:dyDescent="0.2">
      <c r="A7390" s="6">
        <v>738</v>
      </c>
      <c r="B7390" s="7">
        <v>5317</v>
      </c>
      <c r="C7390" s="8">
        <f>DATE(2012,12,31)-1210</f>
        <v>40064</v>
      </c>
      <c r="D7390" s="8" t="str">
        <f t="shared" si="140"/>
        <v>2009-09 (сентябрь 2009)</v>
      </c>
      <c r="E7390" s="9" t="s">
        <v>21</v>
      </c>
      <c r="F7390" s="7">
        <v>25</v>
      </c>
      <c r="G7390" s="7">
        <v>4279.24</v>
      </c>
      <c r="H7390" s="7">
        <v>0.06</v>
      </c>
      <c r="I7390" s="9" t="s">
        <v>22</v>
      </c>
      <c r="J7390" s="10">
        <v>890.18100000000004</v>
      </c>
      <c r="K7390" s="11">
        <v>205.99</v>
      </c>
      <c r="L7390" s="11">
        <v>5.26</v>
      </c>
      <c r="M7390" s="9" t="s">
        <v>877</v>
      </c>
      <c r="N7390" s="6" t="s">
        <v>703</v>
      </c>
      <c r="O7390" s="6" t="s">
        <v>704</v>
      </c>
      <c r="P7390" s="9" t="s">
        <v>25</v>
      </c>
      <c r="Q7390" s="9" t="s">
        <v>42</v>
      </c>
      <c r="R7390" s="9" t="s">
        <v>43</v>
      </c>
      <c r="S7390" s="7" t="s">
        <v>329</v>
      </c>
      <c r="T7390" s="9" t="s">
        <v>39</v>
      </c>
      <c r="U7390" s="7">
        <v>0.56000000000000005</v>
      </c>
      <c r="V7390" s="12">
        <f>C7390+7</f>
        <v>40071</v>
      </c>
      <c r="W7390">
        <f>IF(D7390=' Pivot Tables'!$A$4,1,0)</f>
        <v>0</v>
      </c>
      <c r="X7390">
        <f>IF(AND(LEFT(D7390,4)+1=LEFT(' Pivot Tables'!$A$4,4)+0,RIGHT(LEFT(D7390,7),2)=RIGHT(LEFT(' Pivot Tables'!$A$4,7),2)),1,0)</f>
        <v>0</v>
      </c>
      <c r="Y7390" s="6">
        <f>1/COUNTIF(Таблица1[Order ID],Таблица1[[#This Row],[Order ID]])</f>
        <v>0.33333333333333331</v>
      </c>
      <c r="Z7390" s="9">
        <f>1/COUNTIFS(Таблица1[Customer Name],Таблица1[[#This Row],[Customer Name]],Таблица1[Order-Year-Month],Таблица1[[#This Row],[Order-Year-Month]])</f>
        <v>0.33333333333333331</v>
      </c>
    </row>
    <row r="7391" spans="1:26" x14ac:dyDescent="0.2">
      <c r="A7391" s="6">
        <v>801</v>
      </c>
      <c r="B7391" s="7">
        <v>5735</v>
      </c>
      <c r="C7391" s="8">
        <f>DATE(2012,12,31)-1117</f>
        <v>40157</v>
      </c>
      <c r="D7391" s="8" t="str">
        <f t="shared" si="140"/>
        <v>2009-12 (декабрь 2009)</v>
      </c>
      <c r="E7391" s="9" t="s">
        <v>63</v>
      </c>
      <c r="F7391" s="7">
        <v>10</v>
      </c>
      <c r="G7391" s="7">
        <v>2665.64</v>
      </c>
      <c r="H7391" s="7">
        <v>0.1</v>
      </c>
      <c r="I7391" s="9" t="s">
        <v>31</v>
      </c>
      <c r="J7391" s="10">
        <v>-107.49</v>
      </c>
      <c r="K7391" s="11">
        <v>280.98</v>
      </c>
      <c r="L7391" s="11">
        <v>35.67</v>
      </c>
      <c r="M7391" s="9" t="s">
        <v>1782</v>
      </c>
      <c r="N7391" s="6" t="s">
        <v>703</v>
      </c>
      <c r="O7391" s="6" t="s">
        <v>704</v>
      </c>
      <c r="P7391" s="9" t="s">
        <v>60</v>
      </c>
      <c r="Q7391" s="9" t="s">
        <v>49</v>
      </c>
      <c r="R7391" s="9" t="s">
        <v>83</v>
      </c>
      <c r="S7391" s="7" t="s">
        <v>526</v>
      </c>
      <c r="T7391" s="9" t="s">
        <v>82</v>
      </c>
      <c r="U7391" s="7">
        <v>0.66</v>
      </c>
      <c r="V7391" s="12">
        <f>C7391+1</f>
        <v>40158</v>
      </c>
      <c r="W7391">
        <f>IF(D7391=' Pivot Tables'!$A$4,1,0)</f>
        <v>0</v>
      </c>
      <c r="X7391">
        <f>IF(AND(LEFT(D7391,4)+1=LEFT(' Pivot Tables'!$A$4,4)+0,RIGHT(LEFT(D7391,7),2)=RIGHT(LEFT(' Pivot Tables'!$A$4,7),2)),1,0)</f>
        <v>0</v>
      </c>
      <c r="Y7391" s="6">
        <f>1/COUNTIF(Таблица1[Order ID],Таблица1[[#This Row],[Order ID]])</f>
        <v>1</v>
      </c>
      <c r="Z7391" s="9">
        <f>1/COUNTIFS(Таблица1[Customer Name],Таблица1[[#This Row],[Customer Name]],Таблица1[Order-Year-Month],Таблица1[[#This Row],[Order-Year-Month]])</f>
        <v>1</v>
      </c>
    </row>
    <row r="7392" spans="1:26" x14ac:dyDescent="0.2">
      <c r="A7392" s="6">
        <v>810</v>
      </c>
      <c r="B7392" s="7">
        <v>5856</v>
      </c>
      <c r="C7392" s="8">
        <f>DATE(2012,12,31)-1152</f>
        <v>40122</v>
      </c>
      <c r="D7392" s="8" t="str">
        <f t="shared" si="140"/>
        <v>2009-11 (ноябрь 2009)</v>
      </c>
      <c r="E7392" s="9" t="s">
        <v>30</v>
      </c>
      <c r="F7392" s="7">
        <v>42</v>
      </c>
      <c r="G7392" s="7">
        <v>10307.01</v>
      </c>
      <c r="H7392" s="7">
        <v>0</v>
      </c>
      <c r="I7392" s="9" t="s">
        <v>31</v>
      </c>
      <c r="J7392" s="10">
        <v>3025.59</v>
      </c>
      <c r="K7392" s="11">
        <v>230.98</v>
      </c>
      <c r="L7392" s="11">
        <v>23.78</v>
      </c>
      <c r="M7392" s="9" t="s">
        <v>877</v>
      </c>
      <c r="N7392" s="6" t="s">
        <v>703</v>
      </c>
      <c r="O7392" s="6" t="s">
        <v>704</v>
      </c>
      <c r="P7392" s="9" t="s">
        <v>25</v>
      </c>
      <c r="Q7392" s="9" t="s">
        <v>49</v>
      </c>
      <c r="R7392" s="9" t="s">
        <v>83</v>
      </c>
      <c r="S7392" s="7" t="s">
        <v>2067</v>
      </c>
      <c r="T7392" s="9" t="s">
        <v>82</v>
      </c>
      <c r="U7392" s="7">
        <v>0.6</v>
      </c>
      <c r="V7392" s="12">
        <f>C7392+2</f>
        <v>40124</v>
      </c>
      <c r="W7392">
        <f>IF(D7392=' Pivot Tables'!$A$4,1,0)</f>
        <v>0</v>
      </c>
      <c r="X7392">
        <f>IF(AND(LEFT(D7392,4)+1=LEFT(' Pivot Tables'!$A$4,4)+0,RIGHT(LEFT(D7392,7),2)=RIGHT(LEFT(' Pivot Tables'!$A$4,7),2)),1,0)</f>
        <v>0</v>
      </c>
      <c r="Y7392" s="6">
        <f>1/COUNTIF(Таблица1[Order ID],Таблица1[[#This Row],[Order ID]])</f>
        <v>1</v>
      </c>
      <c r="Z7392" s="9">
        <f>1/COUNTIFS(Таблица1[Customer Name],Таблица1[[#This Row],[Customer Name]],Таблица1[Order-Year-Month],Таблица1[[#This Row],[Order-Year-Month]])</f>
        <v>1</v>
      </c>
    </row>
    <row r="7393" spans="1:26" x14ac:dyDescent="0.2">
      <c r="A7393" s="6">
        <v>816</v>
      </c>
      <c r="B7393" s="7">
        <v>5891</v>
      </c>
      <c r="C7393" s="8">
        <f>DATE(2012,12,31)-3</f>
        <v>41271</v>
      </c>
      <c r="D7393" s="8" t="str">
        <f t="shared" si="140"/>
        <v>2012-12 (декабрь 2012)</v>
      </c>
      <c r="E7393" s="9" t="s">
        <v>63</v>
      </c>
      <c r="F7393" s="7">
        <v>2</v>
      </c>
      <c r="G7393" s="7">
        <v>44.45</v>
      </c>
      <c r="H7393" s="7">
        <v>0.01</v>
      </c>
      <c r="I7393" s="9" t="s">
        <v>22</v>
      </c>
      <c r="J7393" s="10">
        <v>-17.457000000000001</v>
      </c>
      <c r="K7393" s="11">
        <v>20.98</v>
      </c>
      <c r="L7393" s="11">
        <v>1.49</v>
      </c>
      <c r="M7393" s="9" t="s">
        <v>1782</v>
      </c>
      <c r="N7393" s="6" t="s">
        <v>703</v>
      </c>
      <c r="O7393" s="6" t="s">
        <v>704</v>
      </c>
      <c r="P7393" s="9" t="s">
        <v>60</v>
      </c>
      <c r="Q7393" s="9" t="s">
        <v>26</v>
      </c>
      <c r="R7393" s="9" t="s">
        <v>37</v>
      </c>
      <c r="S7393" s="7" t="s">
        <v>645</v>
      </c>
      <c r="T7393" s="9" t="s">
        <v>39</v>
      </c>
      <c r="U7393" s="7">
        <v>0.35</v>
      </c>
      <c r="V7393" s="12">
        <f>C7393+2</f>
        <v>41273</v>
      </c>
      <c r="W7393">
        <f>IF(D7393=' Pivot Tables'!$A$4,1,0)</f>
        <v>0</v>
      </c>
      <c r="X7393">
        <f>IF(AND(LEFT(D7393,4)+1=LEFT(' Pivot Tables'!$A$4,4)+0,RIGHT(LEFT(D7393,7),2)=RIGHT(LEFT(' Pivot Tables'!$A$4,7),2)),1,0)</f>
        <v>0</v>
      </c>
      <c r="Y7393" s="6">
        <f>1/COUNTIF(Таблица1[Order ID],Таблица1[[#This Row],[Order ID]])</f>
        <v>1</v>
      </c>
      <c r="Z7393" s="9">
        <f>1/COUNTIFS(Таблица1[Customer Name],Таблица1[[#This Row],[Customer Name]],Таблица1[Order-Year-Month],Таблица1[[#This Row],[Order-Year-Month]])</f>
        <v>1</v>
      </c>
    </row>
    <row r="7394" spans="1:26" x14ac:dyDescent="0.2">
      <c r="A7394" s="6">
        <v>875</v>
      </c>
      <c r="B7394" s="7">
        <v>6274</v>
      </c>
      <c r="C7394" s="8">
        <f>DATE(2012,12,31)-536</f>
        <v>40738</v>
      </c>
      <c r="D7394" s="8" t="str">
        <f t="shared" si="140"/>
        <v>2011-07 (июль 2011)</v>
      </c>
      <c r="E7394" s="9" t="s">
        <v>45</v>
      </c>
      <c r="F7394" s="7">
        <v>22</v>
      </c>
      <c r="G7394" s="7">
        <v>46.36</v>
      </c>
      <c r="H7394" s="7">
        <v>0.05</v>
      </c>
      <c r="I7394" s="9" t="s">
        <v>56</v>
      </c>
      <c r="J7394" s="10">
        <v>-56.73</v>
      </c>
      <c r="K7394" s="11">
        <v>1.74</v>
      </c>
      <c r="L7394" s="11">
        <v>4.08</v>
      </c>
      <c r="M7394" s="9" t="s">
        <v>1933</v>
      </c>
      <c r="N7394" s="6" t="s">
        <v>703</v>
      </c>
      <c r="O7394" s="6" t="s">
        <v>704</v>
      </c>
      <c r="P7394" s="9" t="s">
        <v>60</v>
      </c>
      <c r="Q7394" s="9" t="s">
        <v>49</v>
      </c>
      <c r="R7394" s="9" t="s">
        <v>50</v>
      </c>
      <c r="S7394" s="7" t="s">
        <v>456</v>
      </c>
      <c r="T7394" s="9" t="s">
        <v>52</v>
      </c>
      <c r="U7394" s="7">
        <v>0.53</v>
      </c>
      <c r="V7394" s="12">
        <f>C7394+1</f>
        <v>40739</v>
      </c>
      <c r="W7394">
        <f>IF(D7394=' Pivot Tables'!$A$4,1,0)</f>
        <v>0</v>
      </c>
      <c r="X7394">
        <f>IF(AND(LEFT(D7394,4)+1=LEFT(' Pivot Tables'!$A$4,4)+0,RIGHT(LEFT(D7394,7),2)=RIGHT(LEFT(' Pivot Tables'!$A$4,7),2)),1,0)</f>
        <v>0</v>
      </c>
      <c r="Y7394" s="6">
        <f>1/COUNTIF(Таблица1[Order ID],Таблица1[[#This Row],[Order ID]])</f>
        <v>1</v>
      </c>
      <c r="Z7394" s="9">
        <f>1/COUNTIFS(Таблица1[Customer Name],Таблица1[[#This Row],[Customer Name]],Таблица1[Order-Year-Month],Таблица1[[#This Row],[Order-Year-Month]])</f>
        <v>1</v>
      </c>
    </row>
    <row r="7395" spans="1:26" x14ac:dyDescent="0.2">
      <c r="A7395" s="6">
        <v>878</v>
      </c>
      <c r="B7395" s="7">
        <v>6309</v>
      </c>
      <c r="C7395" s="8">
        <f>DATE(2012,12,31)-936</f>
        <v>40338</v>
      </c>
      <c r="D7395" s="8" t="str">
        <f t="shared" si="140"/>
        <v>2010-06 (июнь 2010)</v>
      </c>
      <c r="E7395" s="9" t="s">
        <v>63</v>
      </c>
      <c r="F7395" s="7">
        <v>10</v>
      </c>
      <c r="G7395" s="7">
        <v>29.79</v>
      </c>
      <c r="H7395" s="7">
        <v>0.01</v>
      </c>
      <c r="I7395" s="9" t="s">
        <v>22</v>
      </c>
      <c r="J7395" s="10">
        <v>3.76</v>
      </c>
      <c r="K7395" s="11">
        <v>2.88</v>
      </c>
      <c r="L7395" s="11">
        <v>0.99</v>
      </c>
      <c r="M7395" s="9" t="s">
        <v>2064</v>
      </c>
      <c r="N7395" s="6" t="s">
        <v>703</v>
      </c>
      <c r="O7395" s="6" t="s">
        <v>704</v>
      </c>
      <c r="P7395" s="9" t="s">
        <v>41</v>
      </c>
      <c r="Q7395" s="9" t="s">
        <v>26</v>
      </c>
      <c r="R7395" s="9" t="s">
        <v>88</v>
      </c>
      <c r="S7395" s="7" t="s">
        <v>300</v>
      </c>
      <c r="T7395" s="9" t="s">
        <v>39</v>
      </c>
      <c r="U7395" s="7">
        <v>0.36</v>
      </c>
      <c r="V7395" s="12">
        <f>C7395+1</f>
        <v>40339</v>
      </c>
      <c r="W7395">
        <f>IF(D7395=' Pivot Tables'!$A$4,1,0)</f>
        <v>0</v>
      </c>
      <c r="X7395">
        <f>IF(AND(LEFT(D7395,4)+1=LEFT(' Pivot Tables'!$A$4,4)+0,RIGHT(LEFT(D7395,7),2)=RIGHT(LEFT(' Pivot Tables'!$A$4,7),2)),1,0)</f>
        <v>0</v>
      </c>
      <c r="Y7395" s="6">
        <f>1/COUNTIF(Таблица1[Order ID],Таблица1[[#This Row],[Order ID]])</f>
        <v>1</v>
      </c>
      <c r="Z7395" s="9">
        <f>1/COUNTIFS(Таблица1[Customer Name],Таблица1[[#This Row],[Customer Name]],Таблица1[Order-Year-Month],Таблица1[[#This Row],[Order-Year-Month]])</f>
        <v>1</v>
      </c>
    </row>
    <row r="7396" spans="1:26" x14ac:dyDescent="0.2">
      <c r="A7396" s="6">
        <v>885</v>
      </c>
      <c r="B7396" s="7">
        <v>6368</v>
      </c>
      <c r="C7396" s="8">
        <f>DATE(2012,12,31)-1408</f>
        <v>39866</v>
      </c>
      <c r="D7396" s="8" t="str">
        <f t="shared" si="140"/>
        <v>2009-02 (февраль 2009)</v>
      </c>
      <c r="E7396" s="9" t="s">
        <v>45</v>
      </c>
      <c r="F7396" s="7">
        <v>40</v>
      </c>
      <c r="G7396" s="7">
        <v>19100.45</v>
      </c>
      <c r="H7396" s="7">
        <v>0</v>
      </c>
      <c r="I7396" s="9" t="s">
        <v>31</v>
      </c>
      <c r="J7396" s="10">
        <v>6839.95</v>
      </c>
      <c r="K7396" s="11">
        <v>442.14</v>
      </c>
      <c r="L7396" s="11">
        <v>14.7</v>
      </c>
      <c r="M7396" s="9" t="s">
        <v>797</v>
      </c>
      <c r="N7396" s="6" t="s">
        <v>703</v>
      </c>
      <c r="O7396" s="6" t="s">
        <v>704</v>
      </c>
      <c r="P7396" s="9" t="s">
        <v>41</v>
      </c>
      <c r="Q7396" s="9" t="s">
        <v>42</v>
      </c>
      <c r="R7396" s="9" t="s">
        <v>210</v>
      </c>
      <c r="S7396" s="7" t="s">
        <v>455</v>
      </c>
      <c r="T7396" s="9" t="s">
        <v>36</v>
      </c>
      <c r="U7396" s="7">
        <v>0.56000000000000005</v>
      </c>
      <c r="V7396" s="12">
        <f>C7396+0</f>
        <v>39866</v>
      </c>
      <c r="W7396">
        <f>IF(D7396=' Pivot Tables'!$A$4,1,0)</f>
        <v>0</v>
      </c>
      <c r="X7396">
        <f>IF(AND(LEFT(D7396,4)+1=LEFT(' Pivot Tables'!$A$4,4)+0,RIGHT(LEFT(D7396,7),2)=RIGHT(LEFT(' Pivot Tables'!$A$4,7),2)),1,0)</f>
        <v>0</v>
      </c>
      <c r="Y7396" s="6">
        <f>1/COUNTIF(Таблица1[Order ID],Таблица1[[#This Row],[Order ID]])</f>
        <v>1</v>
      </c>
      <c r="Z7396" s="9">
        <f>1/COUNTIFS(Таблица1[Customer Name],Таблица1[[#This Row],[Customer Name]],Таблица1[Order-Year-Month],Таблица1[[#This Row],[Order-Year-Month]])</f>
        <v>1</v>
      </c>
    </row>
    <row r="7397" spans="1:26" x14ac:dyDescent="0.2">
      <c r="A7397" s="6">
        <v>961</v>
      </c>
      <c r="B7397" s="7">
        <v>6978</v>
      </c>
      <c r="C7397" s="8">
        <f>DATE(2012,12,31)-753</f>
        <v>40521</v>
      </c>
      <c r="D7397" s="8" t="str">
        <f t="shared" si="140"/>
        <v>2010-12 (декабрь 2010)</v>
      </c>
      <c r="E7397" s="9" t="s">
        <v>30</v>
      </c>
      <c r="F7397" s="7">
        <v>47</v>
      </c>
      <c r="G7397" s="7">
        <v>371.95</v>
      </c>
      <c r="H7397" s="7">
        <v>7.0000000000000007E-2</v>
      </c>
      <c r="I7397" s="9" t="s">
        <v>22</v>
      </c>
      <c r="J7397" s="10">
        <v>-87.4</v>
      </c>
      <c r="K7397" s="11">
        <v>8.1199999999999992</v>
      </c>
      <c r="L7397" s="11">
        <v>2.83</v>
      </c>
      <c r="M7397" s="9" t="s">
        <v>1782</v>
      </c>
      <c r="N7397" s="6" t="s">
        <v>703</v>
      </c>
      <c r="O7397" s="6" t="s">
        <v>704</v>
      </c>
      <c r="P7397" s="9" t="s">
        <v>60</v>
      </c>
      <c r="Q7397" s="9" t="s">
        <v>42</v>
      </c>
      <c r="R7397" s="9" t="s">
        <v>70</v>
      </c>
      <c r="S7397" s="7" t="s">
        <v>630</v>
      </c>
      <c r="T7397" s="9" t="s">
        <v>52</v>
      </c>
      <c r="U7397" s="7">
        <v>0.77</v>
      </c>
      <c r="V7397" s="12">
        <f>C7397+1</f>
        <v>40522</v>
      </c>
      <c r="W7397">
        <f>IF(D7397=' Pivot Tables'!$A$4,1,0)</f>
        <v>0</v>
      </c>
      <c r="X7397">
        <f>IF(AND(LEFT(D7397,4)+1=LEFT(' Pivot Tables'!$A$4,4)+0,RIGHT(LEFT(D7397,7),2)=RIGHT(LEFT(' Pivot Tables'!$A$4,7),2)),1,0)</f>
        <v>0</v>
      </c>
      <c r="Y7397" s="6">
        <f>1/COUNTIF(Таблица1[Order ID],Таблица1[[#This Row],[Order ID]])</f>
        <v>1</v>
      </c>
      <c r="Z7397" s="9">
        <f>1/COUNTIFS(Таблица1[Customer Name],Таблица1[[#This Row],[Customer Name]],Таблица1[Order-Year-Month],Таблица1[[#This Row],[Order-Year-Month]])</f>
        <v>1</v>
      </c>
    </row>
    <row r="7398" spans="1:26" x14ac:dyDescent="0.2">
      <c r="A7398" s="6">
        <v>1024</v>
      </c>
      <c r="B7398" s="7">
        <v>7461</v>
      </c>
      <c r="C7398" s="8">
        <f>DATE(2012,12,31)-1449</f>
        <v>39825</v>
      </c>
      <c r="D7398" s="8" t="str">
        <f t="shared" si="140"/>
        <v>2009-01 (январь 2009)</v>
      </c>
      <c r="E7398" s="9" t="s">
        <v>21</v>
      </c>
      <c r="F7398" s="7">
        <v>12</v>
      </c>
      <c r="G7398" s="7">
        <v>4080.3</v>
      </c>
      <c r="H7398" s="7">
        <v>0.05</v>
      </c>
      <c r="I7398" s="9" t="s">
        <v>31</v>
      </c>
      <c r="J7398" s="10">
        <v>593.79</v>
      </c>
      <c r="K7398" s="11">
        <v>350.99</v>
      </c>
      <c r="L7398" s="11">
        <v>39</v>
      </c>
      <c r="M7398" s="9" t="s">
        <v>2068</v>
      </c>
      <c r="N7398" s="6" t="s">
        <v>703</v>
      </c>
      <c r="O7398" s="6" t="s">
        <v>704</v>
      </c>
      <c r="P7398" s="9" t="s">
        <v>60</v>
      </c>
      <c r="Q7398" s="9" t="s">
        <v>49</v>
      </c>
      <c r="R7398" s="9" t="s">
        <v>112</v>
      </c>
      <c r="S7398" s="7" t="s">
        <v>1618</v>
      </c>
      <c r="T7398" s="9" t="s">
        <v>36</v>
      </c>
      <c r="U7398" s="7">
        <v>0.55000000000000004</v>
      </c>
      <c r="V7398" s="12">
        <f>C7398+2</f>
        <v>39827</v>
      </c>
      <c r="W7398">
        <f>IF(D7398=' Pivot Tables'!$A$4,1,0)</f>
        <v>0</v>
      </c>
      <c r="X7398">
        <f>IF(AND(LEFT(D7398,4)+1=LEFT(' Pivot Tables'!$A$4,4)+0,RIGHT(LEFT(D7398,7),2)=RIGHT(LEFT(' Pivot Tables'!$A$4,7),2)),1,0)</f>
        <v>1</v>
      </c>
      <c r="Y7398" s="6">
        <f>1/COUNTIF(Таблица1[Order ID],Таблица1[[#This Row],[Order ID]])</f>
        <v>0.33333333333333331</v>
      </c>
      <c r="Z7398" s="9">
        <f>1/COUNTIFS(Таблица1[Customer Name],Таблица1[[#This Row],[Customer Name]],Таблица1[Order-Year-Month],Таблица1[[#This Row],[Order-Year-Month]])</f>
        <v>0.33333333333333331</v>
      </c>
    </row>
    <row r="7399" spans="1:26" x14ac:dyDescent="0.2">
      <c r="A7399" s="6">
        <v>1025</v>
      </c>
      <c r="B7399" s="7">
        <v>7461</v>
      </c>
      <c r="C7399" s="8">
        <f>DATE(2012,12,31)-1449</f>
        <v>39825</v>
      </c>
      <c r="D7399" s="8" t="str">
        <f t="shared" si="140"/>
        <v>2009-01 (январь 2009)</v>
      </c>
      <c r="E7399" s="9" t="s">
        <v>21</v>
      </c>
      <c r="F7399" s="7">
        <v>28</v>
      </c>
      <c r="G7399" s="7">
        <v>260.79000000000002</v>
      </c>
      <c r="H7399" s="7">
        <v>0</v>
      </c>
      <c r="I7399" s="9" t="s">
        <v>22</v>
      </c>
      <c r="J7399" s="10">
        <v>111.4</v>
      </c>
      <c r="K7399" s="11">
        <v>8.74</v>
      </c>
      <c r="L7399" s="11">
        <v>1.39</v>
      </c>
      <c r="M7399" s="9" t="s">
        <v>2068</v>
      </c>
      <c r="N7399" s="6" t="s">
        <v>703</v>
      </c>
      <c r="O7399" s="6" t="s">
        <v>704</v>
      </c>
      <c r="P7399" s="9" t="s">
        <v>60</v>
      </c>
      <c r="Q7399" s="9" t="s">
        <v>26</v>
      </c>
      <c r="R7399" s="9" t="s">
        <v>76</v>
      </c>
      <c r="S7399" s="7" t="s">
        <v>567</v>
      </c>
      <c r="T7399" s="9" t="s">
        <v>39</v>
      </c>
      <c r="U7399" s="7">
        <v>0.38</v>
      </c>
      <c r="V7399" s="12">
        <f>C7399+4</f>
        <v>39829</v>
      </c>
      <c r="W7399">
        <f>IF(D7399=' Pivot Tables'!$A$4,1,0)</f>
        <v>0</v>
      </c>
      <c r="X7399">
        <f>IF(AND(LEFT(D7399,4)+1=LEFT(' Pivot Tables'!$A$4,4)+0,RIGHT(LEFT(D7399,7),2)=RIGHT(LEFT(' Pivot Tables'!$A$4,7),2)),1,0)</f>
        <v>1</v>
      </c>
      <c r="Y7399" s="6">
        <f>1/COUNTIF(Таблица1[Order ID],Таблица1[[#This Row],[Order ID]])</f>
        <v>0.33333333333333331</v>
      </c>
      <c r="Z7399" s="9">
        <f>1/COUNTIFS(Таблица1[Customer Name],Таблица1[[#This Row],[Customer Name]],Таблица1[Order-Year-Month],Таблица1[[#This Row],[Order-Year-Month]])</f>
        <v>0.33333333333333331</v>
      </c>
    </row>
    <row r="7400" spans="1:26" x14ac:dyDescent="0.2">
      <c r="A7400" s="6">
        <v>1026</v>
      </c>
      <c r="B7400" s="7">
        <v>7461</v>
      </c>
      <c r="C7400" s="8">
        <f>DATE(2012,12,31)-1449</f>
        <v>39825</v>
      </c>
      <c r="D7400" s="8" t="str">
        <f t="shared" si="140"/>
        <v>2009-01 (январь 2009)</v>
      </c>
      <c r="E7400" s="9" t="s">
        <v>21</v>
      </c>
      <c r="F7400" s="7">
        <v>44</v>
      </c>
      <c r="G7400" s="7">
        <v>90.35</v>
      </c>
      <c r="H7400" s="7">
        <v>0.02</v>
      </c>
      <c r="I7400" s="9" t="s">
        <v>22</v>
      </c>
      <c r="J7400" s="10">
        <v>-16.72</v>
      </c>
      <c r="K7400" s="11">
        <v>1.98</v>
      </c>
      <c r="L7400" s="11">
        <v>0.7</v>
      </c>
      <c r="M7400" s="9" t="s">
        <v>2068</v>
      </c>
      <c r="N7400" s="6" t="s">
        <v>703</v>
      </c>
      <c r="O7400" s="6" t="s">
        <v>704</v>
      </c>
      <c r="P7400" s="9" t="s">
        <v>60</v>
      </c>
      <c r="Q7400" s="9" t="s">
        <v>26</v>
      </c>
      <c r="R7400" s="9" t="s">
        <v>66</v>
      </c>
      <c r="S7400" s="7" t="s">
        <v>1114</v>
      </c>
      <c r="T7400" s="9" t="s">
        <v>68</v>
      </c>
      <c r="U7400" s="7">
        <v>0.83</v>
      </c>
      <c r="V7400" s="12">
        <f>C7400+4</f>
        <v>39829</v>
      </c>
      <c r="W7400">
        <f>IF(D7400=' Pivot Tables'!$A$4,1,0)</f>
        <v>0</v>
      </c>
      <c r="X7400">
        <f>IF(AND(LEFT(D7400,4)+1=LEFT(' Pivot Tables'!$A$4,4)+0,RIGHT(LEFT(D7400,7),2)=RIGHT(LEFT(' Pivot Tables'!$A$4,7),2)),1,0)</f>
        <v>1</v>
      </c>
      <c r="Y7400" s="6">
        <f>1/COUNTIF(Таблица1[Order ID],Таблица1[[#This Row],[Order ID]])</f>
        <v>0.33333333333333331</v>
      </c>
      <c r="Z7400" s="9">
        <f>1/COUNTIFS(Таблица1[Customer Name],Таблица1[[#This Row],[Customer Name]],Таблица1[Order-Year-Month],Таблица1[[#This Row],[Order-Year-Month]])</f>
        <v>0.33333333333333331</v>
      </c>
    </row>
    <row r="7401" spans="1:26" x14ac:dyDescent="0.2">
      <c r="A7401" s="6">
        <v>1297</v>
      </c>
      <c r="B7401" s="7">
        <v>9505</v>
      </c>
      <c r="C7401" s="8">
        <f>DATE(2012,12,31)-207</f>
        <v>41067</v>
      </c>
      <c r="D7401" s="8" t="str">
        <f t="shared" si="140"/>
        <v>2012-06 (июнь 2012)</v>
      </c>
      <c r="E7401" s="9" t="s">
        <v>30</v>
      </c>
      <c r="F7401" s="7">
        <v>2</v>
      </c>
      <c r="G7401" s="7">
        <v>316.52</v>
      </c>
      <c r="H7401" s="7">
        <v>0.03</v>
      </c>
      <c r="I7401" s="9" t="s">
        <v>22</v>
      </c>
      <c r="J7401" s="10">
        <v>-542.32000000000005</v>
      </c>
      <c r="K7401" s="11">
        <v>152.47999999999999</v>
      </c>
      <c r="L7401" s="11">
        <v>4</v>
      </c>
      <c r="M7401" s="9" t="s">
        <v>1644</v>
      </c>
      <c r="N7401" s="6" t="s">
        <v>703</v>
      </c>
      <c r="O7401" s="6" t="s">
        <v>704</v>
      </c>
      <c r="P7401" s="9" t="s">
        <v>60</v>
      </c>
      <c r="Q7401" s="9" t="s">
        <v>42</v>
      </c>
      <c r="R7401" s="9" t="s">
        <v>70</v>
      </c>
      <c r="S7401" s="7" t="s">
        <v>844</v>
      </c>
      <c r="T7401" s="9" t="s">
        <v>39</v>
      </c>
      <c r="U7401" s="7">
        <v>0.79</v>
      </c>
      <c r="V7401" s="12">
        <f>C7401+2</f>
        <v>41069</v>
      </c>
      <c r="W7401">
        <f>IF(D7401=' Pivot Tables'!$A$4,1,0)</f>
        <v>0</v>
      </c>
      <c r="X7401">
        <f>IF(AND(LEFT(D7401,4)+1=LEFT(' Pivot Tables'!$A$4,4)+0,RIGHT(LEFT(D7401,7),2)=RIGHT(LEFT(' Pivot Tables'!$A$4,7),2)),1,0)</f>
        <v>0</v>
      </c>
      <c r="Y7401" s="6">
        <f>1/COUNTIF(Таблица1[Order ID],Таблица1[[#This Row],[Order ID]])</f>
        <v>0.5</v>
      </c>
      <c r="Z7401" s="9">
        <f>1/COUNTIFS(Таблица1[Customer Name],Таблица1[[#This Row],[Customer Name]],Таблица1[Order-Year-Month],Таблица1[[#This Row],[Order-Year-Month]])</f>
        <v>0.5</v>
      </c>
    </row>
    <row r="7402" spans="1:26" x14ac:dyDescent="0.2">
      <c r="A7402" s="6">
        <v>1298</v>
      </c>
      <c r="B7402" s="7">
        <v>9505</v>
      </c>
      <c r="C7402" s="8">
        <f>DATE(2012,12,31)-207</f>
        <v>41067</v>
      </c>
      <c r="D7402" s="8" t="str">
        <f t="shared" si="140"/>
        <v>2012-06 (июнь 2012)</v>
      </c>
      <c r="E7402" s="9" t="s">
        <v>30</v>
      </c>
      <c r="F7402" s="7">
        <v>5</v>
      </c>
      <c r="G7402" s="7">
        <v>155.38999999999999</v>
      </c>
      <c r="H7402" s="7">
        <v>0.1</v>
      </c>
      <c r="I7402" s="9" t="s">
        <v>22</v>
      </c>
      <c r="J7402" s="10">
        <v>-127.7</v>
      </c>
      <c r="K7402" s="11">
        <v>32.979999999999997</v>
      </c>
      <c r="L7402" s="11">
        <v>5.5</v>
      </c>
      <c r="M7402" s="9" t="s">
        <v>1644</v>
      </c>
      <c r="N7402" s="6" t="s">
        <v>703</v>
      </c>
      <c r="O7402" s="6" t="s">
        <v>704</v>
      </c>
      <c r="P7402" s="9" t="s">
        <v>60</v>
      </c>
      <c r="Q7402" s="9" t="s">
        <v>42</v>
      </c>
      <c r="R7402" s="9" t="s">
        <v>70</v>
      </c>
      <c r="S7402" s="7" t="s">
        <v>403</v>
      </c>
      <c r="T7402" s="9" t="s">
        <v>39</v>
      </c>
      <c r="U7402" s="7">
        <v>0.75</v>
      </c>
      <c r="V7402" s="12">
        <f>C7402+3</f>
        <v>41070</v>
      </c>
      <c r="W7402">
        <f>IF(D7402=' Pivot Tables'!$A$4,1,0)</f>
        <v>0</v>
      </c>
      <c r="X7402">
        <f>IF(AND(LEFT(D7402,4)+1=LEFT(' Pivot Tables'!$A$4,4)+0,RIGHT(LEFT(D7402,7),2)=RIGHT(LEFT(' Pivot Tables'!$A$4,7),2)),1,0)</f>
        <v>0</v>
      </c>
      <c r="Y7402" s="6">
        <f>1/COUNTIF(Таблица1[Order ID],Таблица1[[#This Row],[Order ID]])</f>
        <v>0.5</v>
      </c>
      <c r="Z7402" s="9">
        <f>1/COUNTIFS(Таблица1[Customer Name],Таблица1[[#This Row],[Customer Name]],Таблица1[Order-Year-Month],Таблица1[[#This Row],[Order-Year-Month]])</f>
        <v>0.5</v>
      </c>
    </row>
    <row r="7403" spans="1:26" x14ac:dyDescent="0.2">
      <c r="A7403" s="6">
        <v>1340</v>
      </c>
      <c r="B7403" s="7">
        <v>9794</v>
      </c>
      <c r="C7403" s="8">
        <f>DATE(2012,12,31)-282</f>
        <v>40992</v>
      </c>
      <c r="D7403" s="8" t="str">
        <f t="shared" si="140"/>
        <v>2012-03 (март 2012)</v>
      </c>
      <c r="E7403" s="9" t="s">
        <v>45</v>
      </c>
      <c r="F7403" s="7">
        <v>25</v>
      </c>
      <c r="G7403" s="7">
        <v>135.22999999999999</v>
      </c>
      <c r="H7403" s="7">
        <v>0.1</v>
      </c>
      <c r="I7403" s="9" t="s">
        <v>22</v>
      </c>
      <c r="J7403" s="10">
        <v>-45.65</v>
      </c>
      <c r="K7403" s="11">
        <v>5.68</v>
      </c>
      <c r="L7403" s="11">
        <v>3.6</v>
      </c>
      <c r="M7403" s="9" t="s">
        <v>1622</v>
      </c>
      <c r="N7403" s="6" t="s">
        <v>703</v>
      </c>
      <c r="O7403" s="6" t="s">
        <v>704</v>
      </c>
      <c r="P7403" s="9" t="s">
        <v>33</v>
      </c>
      <c r="Q7403" s="9" t="s">
        <v>26</v>
      </c>
      <c r="R7403" s="9" t="s">
        <v>150</v>
      </c>
      <c r="S7403" s="7" t="s">
        <v>1716</v>
      </c>
      <c r="T7403" s="9" t="s">
        <v>52</v>
      </c>
      <c r="U7403" s="7">
        <v>0.56000000000000005</v>
      </c>
      <c r="V7403" s="12">
        <f>C7403+1</f>
        <v>40993</v>
      </c>
      <c r="W7403">
        <f>IF(D7403=' Pivot Tables'!$A$4,1,0)</f>
        <v>0</v>
      </c>
      <c r="X7403">
        <f>IF(AND(LEFT(D7403,4)+1=LEFT(' Pivot Tables'!$A$4,4)+0,RIGHT(LEFT(D7403,7),2)=RIGHT(LEFT(' Pivot Tables'!$A$4,7),2)),1,0)</f>
        <v>0</v>
      </c>
      <c r="Y7403" s="6">
        <f>1/COUNTIF(Таблица1[Order ID],Таблица1[[#This Row],[Order ID]])</f>
        <v>1</v>
      </c>
      <c r="Z7403" s="9">
        <f>1/COUNTIFS(Таблица1[Customer Name],Таблица1[[#This Row],[Customer Name]],Таблица1[Order-Year-Month],Таблица1[[#This Row],[Order-Year-Month]])</f>
        <v>1</v>
      </c>
    </row>
    <row r="7404" spans="1:26" x14ac:dyDescent="0.2">
      <c r="A7404" s="6">
        <v>1400</v>
      </c>
      <c r="B7404" s="7">
        <v>10148</v>
      </c>
      <c r="C7404" s="8">
        <f>DATE(2012,12,31)-1377</f>
        <v>39897</v>
      </c>
      <c r="D7404" s="8" t="str">
        <f t="shared" si="140"/>
        <v>2009-03 (март 2009)</v>
      </c>
      <c r="E7404" s="9" t="s">
        <v>21</v>
      </c>
      <c r="F7404" s="7">
        <v>27</v>
      </c>
      <c r="G7404" s="7">
        <v>14357.85</v>
      </c>
      <c r="H7404" s="7">
        <v>0.02</v>
      </c>
      <c r="I7404" s="9" t="s">
        <v>31</v>
      </c>
      <c r="J7404" s="10">
        <v>3309.55</v>
      </c>
      <c r="K7404" s="11">
        <v>500.98</v>
      </c>
      <c r="L7404" s="11">
        <v>41.44</v>
      </c>
      <c r="M7404" s="9" t="s">
        <v>877</v>
      </c>
      <c r="N7404" s="6" t="s">
        <v>703</v>
      </c>
      <c r="O7404" s="6" t="s">
        <v>704</v>
      </c>
      <c r="P7404" s="9" t="s">
        <v>25</v>
      </c>
      <c r="Q7404" s="9" t="s">
        <v>49</v>
      </c>
      <c r="R7404" s="9" t="s">
        <v>80</v>
      </c>
      <c r="S7404" s="7" t="s">
        <v>1572</v>
      </c>
      <c r="T7404" s="9" t="s">
        <v>82</v>
      </c>
      <c r="U7404" s="7">
        <v>0.66</v>
      </c>
      <c r="V7404" s="12">
        <f>C7404+0</f>
        <v>39897</v>
      </c>
      <c r="W7404">
        <f>IF(D7404=' Pivot Tables'!$A$4,1,0)</f>
        <v>0</v>
      </c>
      <c r="X7404">
        <f>IF(AND(LEFT(D7404,4)+1=LEFT(' Pivot Tables'!$A$4,4)+0,RIGHT(LEFT(D7404,7),2)=RIGHT(LEFT(' Pivot Tables'!$A$4,7),2)),1,0)</f>
        <v>0</v>
      </c>
      <c r="Y7404" s="6">
        <f>1/COUNTIF(Таблица1[Order ID],Таблица1[[#This Row],[Order ID]])</f>
        <v>1</v>
      </c>
      <c r="Z7404" s="9">
        <f>1/COUNTIFS(Таблица1[Customer Name],Таблица1[[#This Row],[Customer Name]],Таблица1[Order-Year-Month],Таблица1[[#This Row],[Order-Year-Month]])</f>
        <v>1</v>
      </c>
    </row>
    <row r="7405" spans="1:26" x14ac:dyDescent="0.2">
      <c r="A7405" s="6">
        <v>1534</v>
      </c>
      <c r="B7405" s="7">
        <v>11045</v>
      </c>
      <c r="C7405" s="8">
        <f>DATE(2012,12,31)-281</f>
        <v>40993</v>
      </c>
      <c r="D7405" s="8" t="str">
        <f t="shared" si="140"/>
        <v>2012-03 (март 2012)</v>
      </c>
      <c r="E7405" s="9" t="s">
        <v>63</v>
      </c>
      <c r="F7405" s="7">
        <v>35</v>
      </c>
      <c r="G7405" s="7">
        <v>710.86</v>
      </c>
      <c r="H7405" s="7">
        <v>0.04</v>
      </c>
      <c r="I7405" s="9" t="s">
        <v>22</v>
      </c>
      <c r="J7405" s="10">
        <v>196.22</v>
      </c>
      <c r="K7405" s="11">
        <v>19.98</v>
      </c>
      <c r="L7405" s="11">
        <v>5.97</v>
      </c>
      <c r="M7405" s="9" t="s">
        <v>1933</v>
      </c>
      <c r="N7405" s="6" t="s">
        <v>703</v>
      </c>
      <c r="O7405" s="6" t="s">
        <v>704</v>
      </c>
      <c r="P7405" s="9" t="s">
        <v>60</v>
      </c>
      <c r="Q7405" s="9" t="s">
        <v>26</v>
      </c>
      <c r="R7405" s="9" t="s">
        <v>61</v>
      </c>
      <c r="S7405" s="7" t="s">
        <v>169</v>
      </c>
      <c r="T7405" s="9" t="s">
        <v>39</v>
      </c>
      <c r="U7405" s="7">
        <v>0.38</v>
      </c>
      <c r="V7405" s="12">
        <f>C7405+1</f>
        <v>40994</v>
      </c>
      <c r="W7405">
        <f>IF(D7405=' Pivot Tables'!$A$4,1,0)</f>
        <v>0</v>
      </c>
      <c r="X7405">
        <f>IF(AND(LEFT(D7405,4)+1=LEFT(' Pivot Tables'!$A$4,4)+0,RIGHT(LEFT(D7405,7),2)=RIGHT(LEFT(' Pivot Tables'!$A$4,7),2)),1,0)</f>
        <v>0</v>
      </c>
      <c r="Y7405" s="6">
        <f>1/COUNTIF(Таблица1[Order ID],Таблица1[[#This Row],[Order ID]])</f>
        <v>1</v>
      </c>
      <c r="Z7405" s="9">
        <f>1/COUNTIFS(Таблица1[Customer Name],Таблица1[[#This Row],[Customer Name]],Таблица1[Order-Year-Month],Таблица1[[#This Row],[Order-Year-Month]])</f>
        <v>1</v>
      </c>
    </row>
    <row r="7406" spans="1:26" x14ac:dyDescent="0.2">
      <c r="A7406" s="6">
        <v>1537</v>
      </c>
      <c r="B7406" s="7">
        <v>11074</v>
      </c>
      <c r="C7406" s="8">
        <f>DATE(2012,12,31)-571</f>
        <v>40703</v>
      </c>
      <c r="D7406" s="8" t="str">
        <f t="shared" si="140"/>
        <v>2011-06 (июнь 2011)</v>
      </c>
      <c r="E7406" s="9" t="s">
        <v>30</v>
      </c>
      <c r="F7406" s="7">
        <v>21</v>
      </c>
      <c r="G7406" s="7">
        <v>114.53</v>
      </c>
      <c r="H7406" s="7">
        <v>7.0000000000000007E-2</v>
      </c>
      <c r="I7406" s="9" t="s">
        <v>22</v>
      </c>
      <c r="J7406" s="10">
        <v>-39.229999999999997</v>
      </c>
      <c r="K7406" s="11">
        <v>5.68</v>
      </c>
      <c r="L7406" s="11">
        <v>3.6</v>
      </c>
      <c r="M7406" s="9" t="s">
        <v>1627</v>
      </c>
      <c r="N7406" s="6" t="s">
        <v>703</v>
      </c>
      <c r="O7406" s="6" t="s">
        <v>704</v>
      </c>
      <c r="P7406" s="9" t="s">
        <v>41</v>
      </c>
      <c r="Q7406" s="9" t="s">
        <v>26</v>
      </c>
      <c r="R7406" s="9" t="s">
        <v>150</v>
      </c>
      <c r="S7406" s="7" t="s">
        <v>1716</v>
      </c>
      <c r="T7406" s="9" t="s">
        <v>52</v>
      </c>
      <c r="U7406" s="7">
        <v>0.56000000000000005</v>
      </c>
      <c r="V7406" s="12">
        <f>C7406+2</f>
        <v>40705</v>
      </c>
      <c r="W7406">
        <f>IF(D7406=' Pivot Tables'!$A$4,1,0)</f>
        <v>0</v>
      </c>
      <c r="X7406">
        <f>IF(AND(LEFT(D7406,4)+1=LEFT(' Pivot Tables'!$A$4,4)+0,RIGHT(LEFT(D7406,7),2)=RIGHT(LEFT(' Pivot Tables'!$A$4,7),2)),1,0)</f>
        <v>0</v>
      </c>
      <c r="Y7406" s="6">
        <f>1/COUNTIF(Таблица1[Order ID],Таблица1[[#This Row],[Order ID]])</f>
        <v>0.5</v>
      </c>
      <c r="Z7406" s="9">
        <f>1/COUNTIFS(Таблица1[Customer Name],Таблица1[[#This Row],[Customer Name]],Таблица1[Order-Year-Month],Таблица1[[#This Row],[Order-Year-Month]])</f>
        <v>0.33333333333333331</v>
      </c>
    </row>
    <row r="7407" spans="1:26" x14ac:dyDescent="0.2">
      <c r="A7407" s="6">
        <v>1538</v>
      </c>
      <c r="B7407" s="7">
        <v>11074</v>
      </c>
      <c r="C7407" s="8">
        <f>DATE(2012,12,31)-571</f>
        <v>40703</v>
      </c>
      <c r="D7407" s="8" t="str">
        <f t="shared" si="140"/>
        <v>2011-06 (июнь 2011)</v>
      </c>
      <c r="E7407" s="9" t="s">
        <v>30</v>
      </c>
      <c r="F7407" s="7">
        <v>44</v>
      </c>
      <c r="G7407" s="7">
        <v>7164.7435000000005</v>
      </c>
      <c r="H7407" s="7">
        <v>7.0000000000000007E-2</v>
      </c>
      <c r="I7407" s="9" t="s">
        <v>22</v>
      </c>
      <c r="J7407" s="10">
        <v>1609.29</v>
      </c>
      <c r="K7407" s="11">
        <v>205.99</v>
      </c>
      <c r="L7407" s="11">
        <v>5.99</v>
      </c>
      <c r="M7407" s="9" t="s">
        <v>1627</v>
      </c>
      <c r="N7407" s="6" t="s">
        <v>703</v>
      </c>
      <c r="O7407" s="6" t="s">
        <v>704</v>
      </c>
      <c r="P7407" s="9" t="s">
        <v>41</v>
      </c>
      <c r="Q7407" s="9" t="s">
        <v>42</v>
      </c>
      <c r="R7407" s="9" t="s">
        <v>43</v>
      </c>
      <c r="S7407" s="7" t="s">
        <v>714</v>
      </c>
      <c r="T7407" s="9" t="s">
        <v>39</v>
      </c>
      <c r="U7407" s="7">
        <v>0.59</v>
      </c>
      <c r="V7407" s="12">
        <f>C7407+1</f>
        <v>40704</v>
      </c>
      <c r="W7407">
        <f>IF(D7407=' Pivot Tables'!$A$4,1,0)</f>
        <v>0</v>
      </c>
      <c r="X7407">
        <f>IF(AND(LEFT(D7407,4)+1=LEFT(' Pivot Tables'!$A$4,4)+0,RIGHT(LEFT(D7407,7),2)=RIGHT(LEFT(' Pivot Tables'!$A$4,7),2)),1,0)</f>
        <v>0</v>
      </c>
      <c r="Y7407" s="6">
        <f>1/COUNTIF(Таблица1[Order ID],Таблица1[[#This Row],[Order ID]])</f>
        <v>0.5</v>
      </c>
      <c r="Z7407" s="9">
        <f>1/COUNTIFS(Таблица1[Customer Name],Таблица1[[#This Row],[Customer Name]],Таблица1[Order-Year-Month],Таблица1[[#This Row],[Order-Year-Month]])</f>
        <v>0.33333333333333331</v>
      </c>
    </row>
    <row r="7408" spans="1:26" x14ac:dyDescent="0.2">
      <c r="A7408" s="6">
        <v>1732</v>
      </c>
      <c r="B7408" s="7">
        <v>12449</v>
      </c>
      <c r="C7408" s="8">
        <f>DATE(2012,12,31)-1065</f>
        <v>40209</v>
      </c>
      <c r="D7408" s="8" t="str">
        <f t="shared" si="140"/>
        <v>2010-01 (январь 2010)</v>
      </c>
      <c r="E7408" s="9" t="s">
        <v>63</v>
      </c>
      <c r="F7408" s="7">
        <v>36</v>
      </c>
      <c r="G7408" s="7">
        <v>1400.1</v>
      </c>
      <c r="H7408" s="7">
        <v>0.03</v>
      </c>
      <c r="I7408" s="9" t="s">
        <v>22</v>
      </c>
      <c r="J7408" s="10">
        <v>88.68</v>
      </c>
      <c r="K7408" s="11">
        <v>39.979999999999997</v>
      </c>
      <c r="L7408" s="11">
        <v>4</v>
      </c>
      <c r="M7408" s="9" t="s">
        <v>2069</v>
      </c>
      <c r="N7408" s="6" t="s">
        <v>703</v>
      </c>
      <c r="O7408" s="6" t="s">
        <v>704</v>
      </c>
      <c r="P7408" s="9" t="s">
        <v>25</v>
      </c>
      <c r="Q7408" s="9" t="s">
        <v>42</v>
      </c>
      <c r="R7408" s="9" t="s">
        <v>70</v>
      </c>
      <c r="S7408" s="7" t="s">
        <v>906</v>
      </c>
      <c r="T7408" s="9" t="s">
        <v>39</v>
      </c>
      <c r="U7408" s="7">
        <v>0.7</v>
      </c>
      <c r="V7408" s="12">
        <f>C7408+2</f>
        <v>40211</v>
      </c>
      <c r="W7408">
        <f>IF(D7408=' Pivot Tables'!$A$4,1,0)</f>
        <v>1</v>
      </c>
      <c r="X7408">
        <f>IF(AND(LEFT(D7408,4)+1=LEFT(' Pivot Tables'!$A$4,4)+0,RIGHT(LEFT(D7408,7),2)=RIGHT(LEFT(' Pivot Tables'!$A$4,7),2)),1,0)</f>
        <v>0</v>
      </c>
      <c r="Y7408" s="6">
        <f>1/COUNTIF(Таблица1[Order ID],Таблица1[[#This Row],[Order ID]])</f>
        <v>1</v>
      </c>
      <c r="Z7408" s="9">
        <f>1/COUNTIFS(Таблица1[Customer Name],Таблица1[[#This Row],[Customer Name]],Таблица1[Order-Year-Month],Таблица1[[#This Row],[Order-Year-Month]])</f>
        <v>0.5</v>
      </c>
    </row>
    <row r="7409" spans="1:26" x14ac:dyDescent="0.2">
      <c r="A7409" s="6">
        <v>2051</v>
      </c>
      <c r="B7409" s="7">
        <v>14661</v>
      </c>
      <c r="C7409" s="8">
        <f>DATE(2012,12,31)-1072</f>
        <v>40202</v>
      </c>
      <c r="D7409" s="8" t="str">
        <f t="shared" si="140"/>
        <v>2010-01 (январь 2010)</v>
      </c>
      <c r="E7409" s="9" t="s">
        <v>45</v>
      </c>
      <c r="F7409" s="7">
        <v>38</v>
      </c>
      <c r="G7409" s="7">
        <v>1325.06</v>
      </c>
      <c r="H7409" s="7">
        <v>0.06</v>
      </c>
      <c r="I7409" s="9" t="s">
        <v>22</v>
      </c>
      <c r="J7409" s="10">
        <v>-180.23</v>
      </c>
      <c r="K7409" s="11">
        <v>35.770000000000003</v>
      </c>
      <c r="L7409" s="11">
        <v>9.02</v>
      </c>
      <c r="M7409" s="9" t="s">
        <v>2066</v>
      </c>
      <c r="N7409" s="6" t="s">
        <v>703</v>
      </c>
      <c r="O7409" s="6" t="s">
        <v>704</v>
      </c>
      <c r="P7409" s="9" t="s">
        <v>60</v>
      </c>
      <c r="Q7409" s="9" t="s">
        <v>42</v>
      </c>
      <c r="R7409" s="9" t="s">
        <v>70</v>
      </c>
      <c r="S7409" s="7" t="s">
        <v>1649</v>
      </c>
      <c r="T7409" s="9" t="s">
        <v>39</v>
      </c>
      <c r="U7409" s="7">
        <v>0.75</v>
      </c>
      <c r="V7409" s="12">
        <f>C7409+1</f>
        <v>40203</v>
      </c>
      <c r="W7409">
        <f>IF(D7409=' Pivot Tables'!$A$4,1,0)</f>
        <v>1</v>
      </c>
      <c r="X7409">
        <f>IF(AND(LEFT(D7409,4)+1=LEFT(' Pivot Tables'!$A$4,4)+0,RIGHT(LEFT(D7409,7),2)=RIGHT(LEFT(' Pivot Tables'!$A$4,7),2)),1,0)</f>
        <v>0</v>
      </c>
      <c r="Y7409" s="6">
        <f>1/COUNTIF(Таблица1[Order ID],Таблица1[[#This Row],[Order ID]])</f>
        <v>1</v>
      </c>
      <c r="Z7409" s="9">
        <f>1/COUNTIFS(Таблица1[Customer Name],Таблица1[[#This Row],[Customer Name]],Таблица1[Order-Year-Month],Таблица1[[#This Row],[Order-Year-Month]])</f>
        <v>0.2</v>
      </c>
    </row>
    <row r="7410" spans="1:26" x14ac:dyDescent="0.2">
      <c r="A7410" s="6">
        <v>2143</v>
      </c>
      <c r="B7410" s="7">
        <v>15303</v>
      </c>
      <c r="C7410" s="8">
        <f>DATE(2012,12,31)-840</f>
        <v>40434</v>
      </c>
      <c r="D7410" s="8" t="str">
        <f t="shared" si="140"/>
        <v>2010-09 (сентябрь 2010)</v>
      </c>
      <c r="E7410" s="9" t="s">
        <v>78</v>
      </c>
      <c r="F7410" s="7">
        <v>21</v>
      </c>
      <c r="G7410" s="7">
        <v>101.13</v>
      </c>
      <c r="H7410" s="7">
        <v>0.02</v>
      </c>
      <c r="I7410" s="9" t="s">
        <v>22</v>
      </c>
      <c r="J7410" s="10">
        <v>-74.405000000000001</v>
      </c>
      <c r="K7410" s="11">
        <v>4.54</v>
      </c>
      <c r="L7410" s="11">
        <v>5.83</v>
      </c>
      <c r="M7410" s="9" t="s">
        <v>2062</v>
      </c>
      <c r="N7410" s="6" t="s">
        <v>703</v>
      </c>
      <c r="O7410" s="6" t="s">
        <v>704</v>
      </c>
      <c r="P7410" s="9" t="s">
        <v>60</v>
      </c>
      <c r="Q7410" s="9" t="s">
        <v>26</v>
      </c>
      <c r="R7410" s="9" t="s">
        <v>37</v>
      </c>
      <c r="S7410" s="7" t="s">
        <v>1332</v>
      </c>
      <c r="T7410" s="9" t="s">
        <v>39</v>
      </c>
      <c r="U7410" s="7">
        <v>0.36</v>
      </c>
      <c r="V7410" s="12">
        <f>C7410+1</f>
        <v>40435</v>
      </c>
      <c r="W7410">
        <f>IF(D7410=' Pivot Tables'!$A$4,1,0)</f>
        <v>0</v>
      </c>
      <c r="X7410">
        <f>IF(AND(LEFT(D7410,4)+1=LEFT(' Pivot Tables'!$A$4,4)+0,RIGHT(LEFT(D7410,7),2)=RIGHT(LEFT(' Pivot Tables'!$A$4,7),2)),1,0)</f>
        <v>0</v>
      </c>
      <c r="Y7410" s="6">
        <f>1/COUNTIF(Таблица1[Order ID],Таблица1[[#This Row],[Order ID]])</f>
        <v>0.5</v>
      </c>
      <c r="Z7410" s="9">
        <f>1/COUNTIFS(Таблица1[Customer Name],Таблица1[[#This Row],[Customer Name]],Таблица1[Order-Year-Month],Таблица1[[#This Row],[Order-Year-Month]])</f>
        <v>0.5</v>
      </c>
    </row>
    <row r="7411" spans="1:26" x14ac:dyDescent="0.2">
      <c r="A7411" s="6">
        <v>2144</v>
      </c>
      <c r="B7411" s="7">
        <v>15303</v>
      </c>
      <c r="C7411" s="8">
        <f>DATE(2012,12,31)-840</f>
        <v>40434</v>
      </c>
      <c r="D7411" s="8" t="str">
        <f t="shared" si="140"/>
        <v>2010-09 (сентябрь 2010)</v>
      </c>
      <c r="E7411" s="9" t="s">
        <v>78</v>
      </c>
      <c r="F7411" s="7">
        <v>18</v>
      </c>
      <c r="G7411" s="7">
        <v>526.45000000000005</v>
      </c>
      <c r="H7411" s="7">
        <v>0.02</v>
      </c>
      <c r="I7411" s="9" t="s">
        <v>22</v>
      </c>
      <c r="J7411" s="10">
        <v>-108.14</v>
      </c>
      <c r="K7411" s="11">
        <v>28.48</v>
      </c>
      <c r="L7411" s="11">
        <v>8.99</v>
      </c>
      <c r="M7411" s="9" t="s">
        <v>2062</v>
      </c>
      <c r="N7411" s="6" t="s">
        <v>703</v>
      </c>
      <c r="O7411" s="6" t="s">
        <v>704</v>
      </c>
      <c r="P7411" s="9" t="s">
        <v>60</v>
      </c>
      <c r="Q7411" s="9" t="s">
        <v>42</v>
      </c>
      <c r="R7411" s="9" t="s">
        <v>70</v>
      </c>
      <c r="S7411" s="7" t="s">
        <v>738</v>
      </c>
      <c r="T7411" s="9" t="s">
        <v>52</v>
      </c>
      <c r="U7411" s="7">
        <v>0.7</v>
      </c>
      <c r="V7411" s="12">
        <f>C7411+2</f>
        <v>40436</v>
      </c>
      <c r="W7411">
        <f>IF(D7411=' Pivot Tables'!$A$4,1,0)</f>
        <v>0</v>
      </c>
      <c r="X7411">
        <f>IF(AND(LEFT(D7411,4)+1=LEFT(' Pivot Tables'!$A$4,4)+0,RIGHT(LEFT(D7411,7),2)=RIGHT(LEFT(' Pivot Tables'!$A$4,7),2)),1,0)</f>
        <v>0</v>
      </c>
      <c r="Y7411" s="6">
        <f>1/COUNTIF(Таблица1[Order ID],Таблица1[[#This Row],[Order ID]])</f>
        <v>0.5</v>
      </c>
      <c r="Z7411" s="9">
        <f>1/COUNTIFS(Таблица1[Customer Name],Таблица1[[#This Row],[Customer Name]],Таблица1[Order-Year-Month],Таблица1[[#This Row],[Order-Year-Month]])</f>
        <v>0.5</v>
      </c>
    </row>
    <row r="7412" spans="1:26" x14ac:dyDescent="0.2">
      <c r="A7412" s="6">
        <v>2171</v>
      </c>
      <c r="B7412" s="7">
        <v>15622</v>
      </c>
      <c r="C7412" s="8">
        <f>DATE(2012,12,31)-494</f>
        <v>40780</v>
      </c>
      <c r="D7412" s="8" t="str">
        <f t="shared" si="140"/>
        <v>2011-08 (август 2011)</v>
      </c>
      <c r="E7412" s="9" t="s">
        <v>30</v>
      </c>
      <c r="F7412" s="7">
        <v>34</v>
      </c>
      <c r="G7412" s="7">
        <v>8581.25</v>
      </c>
      <c r="H7412" s="7">
        <v>0</v>
      </c>
      <c r="I7412" s="9" t="s">
        <v>31</v>
      </c>
      <c r="J7412" s="10">
        <v>1464.23</v>
      </c>
      <c r="K7412" s="11">
        <v>240.98</v>
      </c>
      <c r="L7412" s="11">
        <v>60.2</v>
      </c>
      <c r="M7412" s="9" t="s">
        <v>953</v>
      </c>
      <c r="N7412" s="6" t="s">
        <v>703</v>
      </c>
      <c r="O7412" s="6" t="s">
        <v>704</v>
      </c>
      <c r="P7412" s="9" t="s">
        <v>33</v>
      </c>
      <c r="Q7412" s="9" t="s">
        <v>49</v>
      </c>
      <c r="R7412" s="9" t="s">
        <v>80</v>
      </c>
      <c r="S7412" s="7" t="s">
        <v>1172</v>
      </c>
      <c r="T7412" s="9" t="s">
        <v>82</v>
      </c>
      <c r="U7412" s="7">
        <v>0.56000000000000005</v>
      </c>
      <c r="V7412" s="12">
        <f>C7412+1</f>
        <v>40781</v>
      </c>
      <c r="W7412">
        <f>IF(D7412=' Pivot Tables'!$A$4,1,0)</f>
        <v>0</v>
      </c>
      <c r="X7412">
        <f>IF(AND(LEFT(D7412,4)+1=LEFT(' Pivot Tables'!$A$4,4)+0,RIGHT(LEFT(D7412,7),2)=RIGHT(LEFT(' Pivot Tables'!$A$4,7),2)),1,0)</f>
        <v>0</v>
      </c>
      <c r="Y7412" s="6">
        <f>1/COUNTIF(Таблица1[Order ID],Таблица1[[#This Row],[Order ID]])</f>
        <v>0.5</v>
      </c>
      <c r="Z7412" s="9">
        <f>1/COUNTIFS(Таблица1[Customer Name],Таблица1[[#This Row],[Customer Name]],Таблица1[Order-Year-Month],Таблица1[[#This Row],[Order-Year-Month]])</f>
        <v>0.5</v>
      </c>
    </row>
    <row r="7413" spans="1:26" x14ac:dyDescent="0.2">
      <c r="A7413" s="6">
        <v>2172</v>
      </c>
      <c r="B7413" s="7">
        <v>15622</v>
      </c>
      <c r="C7413" s="8">
        <f>DATE(2012,12,31)-494</f>
        <v>40780</v>
      </c>
      <c r="D7413" s="8" t="str">
        <f t="shared" si="140"/>
        <v>2011-08 (август 2011)</v>
      </c>
      <c r="E7413" s="9" t="s">
        <v>30</v>
      </c>
      <c r="F7413" s="7">
        <v>21</v>
      </c>
      <c r="G7413" s="7">
        <v>135.99</v>
      </c>
      <c r="H7413" s="7">
        <v>0.09</v>
      </c>
      <c r="I7413" s="9" t="s">
        <v>22</v>
      </c>
      <c r="J7413" s="10">
        <v>-129.24</v>
      </c>
      <c r="K7413" s="11">
        <v>6.48</v>
      </c>
      <c r="L7413" s="11">
        <v>9.68</v>
      </c>
      <c r="M7413" s="9" t="s">
        <v>953</v>
      </c>
      <c r="N7413" s="6" t="s">
        <v>703</v>
      </c>
      <c r="O7413" s="6" t="s">
        <v>704</v>
      </c>
      <c r="P7413" s="9" t="s">
        <v>33</v>
      </c>
      <c r="Q7413" s="9" t="s">
        <v>26</v>
      </c>
      <c r="R7413" s="9" t="s">
        <v>61</v>
      </c>
      <c r="S7413" s="7" t="s">
        <v>766</v>
      </c>
      <c r="T7413" s="9" t="s">
        <v>39</v>
      </c>
      <c r="U7413" s="7">
        <v>0.36</v>
      </c>
      <c r="V7413" s="12">
        <f>C7413+1</f>
        <v>40781</v>
      </c>
      <c r="W7413">
        <f>IF(D7413=' Pivot Tables'!$A$4,1,0)</f>
        <v>0</v>
      </c>
      <c r="X7413">
        <f>IF(AND(LEFT(D7413,4)+1=LEFT(' Pivot Tables'!$A$4,4)+0,RIGHT(LEFT(D7413,7),2)=RIGHT(LEFT(' Pivot Tables'!$A$4,7),2)),1,0)</f>
        <v>0</v>
      </c>
      <c r="Y7413" s="6">
        <f>1/COUNTIF(Таблица1[Order ID],Таблица1[[#This Row],[Order ID]])</f>
        <v>0.5</v>
      </c>
      <c r="Z7413" s="9">
        <f>1/COUNTIFS(Таблица1[Customer Name],Таблица1[[#This Row],[Customer Name]],Таблица1[Order-Year-Month],Таблица1[[#This Row],[Order-Year-Month]])</f>
        <v>0.5</v>
      </c>
    </row>
    <row r="7414" spans="1:26" x14ac:dyDescent="0.2">
      <c r="A7414" s="6">
        <v>2189</v>
      </c>
      <c r="B7414" s="7">
        <v>15778</v>
      </c>
      <c r="C7414" s="8">
        <f>DATE(2012,12,31)-970</f>
        <v>40304</v>
      </c>
      <c r="D7414" s="8" t="str">
        <f t="shared" si="140"/>
        <v>2010-05 (май 2010)</v>
      </c>
      <c r="E7414" s="9" t="s">
        <v>30</v>
      </c>
      <c r="F7414" s="7">
        <v>9</v>
      </c>
      <c r="G7414" s="7">
        <v>43.23</v>
      </c>
      <c r="H7414" s="7">
        <v>0</v>
      </c>
      <c r="I7414" s="9" t="s">
        <v>22</v>
      </c>
      <c r="J7414" s="10">
        <v>-29.532</v>
      </c>
      <c r="K7414" s="11">
        <v>3.98</v>
      </c>
      <c r="L7414" s="11">
        <v>5.26</v>
      </c>
      <c r="M7414" s="9" t="s">
        <v>2070</v>
      </c>
      <c r="N7414" s="6" t="s">
        <v>703</v>
      </c>
      <c r="O7414" s="6" t="s">
        <v>704</v>
      </c>
      <c r="P7414" s="9" t="s">
        <v>25</v>
      </c>
      <c r="Q7414" s="9" t="s">
        <v>26</v>
      </c>
      <c r="R7414" s="9" t="s">
        <v>37</v>
      </c>
      <c r="S7414" s="7" t="s">
        <v>1348</v>
      </c>
      <c r="T7414" s="9" t="s">
        <v>39</v>
      </c>
      <c r="U7414" s="7">
        <v>0.38</v>
      </c>
      <c r="V7414" s="12">
        <f>C7414+2</f>
        <v>40306</v>
      </c>
      <c r="W7414">
        <f>IF(D7414=' Pivot Tables'!$A$4,1,0)</f>
        <v>0</v>
      </c>
      <c r="X7414">
        <f>IF(AND(LEFT(D7414,4)+1=LEFT(' Pivot Tables'!$A$4,4)+0,RIGHT(LEFT(D7414,7),2)=RIGHT(LEFT(' Pivot Tables'!$A$4,7),2)),1,0)</f>
        <v>0</v>
      </c>
      <c r="Y7414" s="6">
        <f>1/COUNTIF(Таблица1[Order ID],Таблица1[[#This Row],[Order ID]])</f>
        <v>1</v>
      </c>
      <c r="Z7414" s="9">
        <f>1/COUNTIFS(Таблица1[Customer Name],Таблица1[[#This Row],[Customer Name]],Таблица1[Order-Year-Month],Таблица1[[#This Row],[Order-Year-Month]])</f>
        <v>1</v>
      </c>
    </row>
    <row r="7415" spans="1:26" x14ac:dyDescent="0.2">
      <c r="A7415" s="6">
        <v>2239</v>
      </c>
      <c r="B7415" s="7">
        <v>16164</v>
      </c>
      <c r="C7415" s="8">
        <f>DATE(2012,12,31)-363</f>
        <v>40911</v>
      </c>
      <c r="D7415" s="8" t="str">
        <f t="shared" si="140"/>
        <v>2012-01 (январь 2012)</v>
      </c>
      <c r="E7415" s="9" t="s">
        <v>21</v>
      </c>
      <c r="F7415" s="7">
        <v>22</v>
      </c>
      <c r="G7415" s="7">
        <v>3353.54</v>
      </c>
      <c r="H7415" s="7">
        <v>7.0000000000000007E-2</v>
      </c>
      <c r="I7415" s="9" t="s">
        <v>22</v>
      </c>
      <c r="J7415" s="10">
        <v>1189.96</v>
      </c>
      <c r="K7415" s="11">
        <v>162.93</v>
      </c>
      <c r="L7415" s="11">
        <v>19.989999999999998</v>
      </c>
      <c r="M7415" s="9" t="s">
        <v>1228</v>
      </c>
      <c r="N7415" s="6" t="s">
        <v>703</v>
      </c>
      <c r="O7415" s="6" t="s">
        <v>704</v>
      </c>
      <c r="P7415" s="9" t="s">
        <v>60</v>
      </c>
      <c r="Q7415" s="9" t="s">
        <v>26</v>
      </c>
      <c r="R7415" s="9" t="s">
        <v>76</v>
      </c>
      <c r="S7415" s="7" t="s">
        <v>449</v>
      </c>
      <c r="T7415" s="9" t="s">
        <v>39</v>
      </c>
      <c r="U7415" s="7">
        <v>0.39</v>
      </c>
      <c r="V7415" s="12">
        <f>C7415+9</f>
        <v>40920</v>
      </c>
      <c r="W7415">
        <f>IF(D7415=' Pivot Tables'!$A$4,1,0)</f>
        <v>0</v>
      </c>
      <c r="X7415">
        <f>IF(AND(LEFT(D7415,4)+1=LEFT(' Pivot Tables'!$A$4,4)+0,RIGHT(LEFT(D7415,7),2)=RIGHT(LEFT(' Pivot Tables'!$A$4,7),2)),1,0)</f>
        <v>0</v>
      </c>
      <c r="Y7415" s="6">
        <f>1/COUNTIF(Таблица1[Order ID],Таблица1[[#This Row],[Order ID]])</f>
        <v>0.33333333333333331</v>
      </c>
      <c r="Z7415" s="9">
        <f>1/COUNTIFS(Таблица1[Customer Name],Таблица1[[#This Row],[Customer Name]],Таблица1[Order-Year-Month],Таблица1[[#This Row],[Order-Year-Month]])</f>
        <v>0.33333333333333331</v>
      </c>
    </row>
    <row r="7416" spans="1:26" x14ac:dyDescent="0.2">
      <c r="A7416" s="6">
        <v>2240</v>
      </c>
      <c r="B7416" s="7">
        <v>16164</v>
      </c>
      <c r="C7416" s="8">
        <f>DATE(2012,12,31)-363</f>
        <v>40911</v>
      </c>
      <c r="D7416" s="8" t="str">
        <f t="shared" si="140"/>
        <v>2012-01 (январь 2012)</v>
      </c>
      <c r="E7416" s="9" t="s">
        <v>21</v>
      </c>
      <c r="F7416" s="7">
        <v>26</v>
      </c>
      <c r="G7416" s="7">
        <v>69.38</v>
      </c>
      <c r="H7416" s="7">
        <v>0.08</v>
      </c>
      <c r="I7416" s="9" t="s">
        <v>22</v>
      </c>
      <c r="J7416" s="10">
        <v>-70.73</v>
      </c>
      <c r="K7416" s="11">
        <v>2.52</v>
      </c>
      <c r="L7416" s="11">
        <v>4.28</v>
      </c>
      <c r="M7416" s="9" t="s">
        <v>1228</v>
      </c>
      <c r="N7416" s="6" t="s">
        <v>703</v>
      </c>
      <c r="O7416" s="6" t="s">
        <v>704</v>
      </c>
      <c r="P7416" s="9" t="s">
        <v>60</v>
      </c>
      <c r="Q7416" s="9" t="s">
        <v>26</v>
      </c>
      <c r="R7416" s="9" t="s">
        <v>95</v>
      </c>
      <c r="S7416" s="7" t="s">
        <v>1109</v>
      </c>
      <c r="T7416" s="9" t="s">
        <v>68</v>
      </c>
      <c r="U7416" s="7">
        <v>0.44</v>
      </c>
      <c r="V7416" s="12">
        <f>C7416+7</f>
        <v>40918</v>
      </c>
      <c r="W7416">
        <f>IF(D7416=' Pivot Tables'!$A$4,1,0)</f>
        <v>0</v>
      </c>
      <c r="X7416">
        <f>IF(AND(LEFT(D7416,4)+1=LEFT(' Pivot Tables'!$A$4,4)+0,RIGHT(LEFT(D7416,7),2)=RIGHT(LEFT(' Pivot Tables'!$A$4,7),2)),1,0)</f>
        <v>0</v>
      </c>
      <c r="Y7416" s="6">
        <f>1/COUNTIF(Таблица1[Order ID],Таблица1[[#This Row],[Order ID]])</f>
        <v>0.33333333333333331</v>
      </c>
      <c r="Z7416" s="9">
        <f>1/COUNTIFS(Таблица1[Customer Name],Таблица1[[#This Row],[Customer Name]],Таблица1[Order-Year-Month],Таблица1[[#This Row],[Order-Year-Month]])</f>
        <v>0.33333333333333331</v>
      </c>
    </row>
    <row r="7417" spans="1:26" x14ac:dyDescent="0.2">
      <c r="A7417" s="6">
        <v>2245</v>
      </c>
      <c r="B7417" s="7">
        <v>16166</v>
      </c>
      <c r="C7417" s="8">
        <f>DATE(2012,12,31)-1065</f>
        <v>40209</v>
      </c>
      <c r="D7417" s="8" t="str">
        <f t="shared" si="140"/>
        <v>2010-01 (январь 2010)</v>
      </c>
      <c r="E7417" s="9" t="s">
        <v>78</v>
      </c>
      <c r="F7417" s="7">
        <v>36</v>
      </c>
      <c r="G7417" s="7">
        <v>78.510000000000005</v>
      </c>
      <c r="H7417" s="7">
        <v>0.09</v>
      </c>
      <c r="I7417" s="9" t="s">
        <v>22</v>
      </c>
      <c r="J7417" s="10">
        <v>-10.06</v>
      </c>
      <c r="K7417" s="11">
        <v>2.1800000000000002</v>
      </c>
      <c r="L7417" s="11">
        <v>1.38</v>
      </c>
      <c r="M7417" s="9" t="s">
        <v>2069</v>
      </c>
      <c r="N7417" s="6" t="s">
        <v>703</v>
      </c>
      <c r="O7417" s="6" t="s">
        <v>704</v>
      </c>
      <c r="P7417" s="9" t="s">
        <v>25</v>
      </c>
      <c r="Q7417" s="9" t="s">
        <v>26</v>
      </c>
      <c r="R7417" s="9" t="s">
        <v>66</v>
      </c>
      <c r="S7417" s="7" t="s">
        <v>1577</v>
      </c>
      <c r="T7417" s="9" t="s">
        <v>68</v>
      </c>
      <c r="U7417" s="7">
        <v>0.44</v>
      </c>
      <c r="V7417" s="12">
        <f>C7417+1</f>
        <v>40210</v>
      </c>
      <c r="W7417">
        <f>IF(D7417=' Pivot Tables'!$A$4,1,0)</f>
        <v>1</v>
      </c>
      <c r="X7417">
        <f>IF(AND(LEFT(D7417,4)+1=LEFT(' Pivot Tables'!$A$4,4)+0,RIGHT(LEFT(D7417,7),2)=RIGHT(LEFT(' Pivot Tables'!$A$4,7),2)),1,0)</f>
        <v>0</v>
      </c>
      <c r="Y7417" s="6">
        <f>1/COUNTIF(Таблица1[Order ID],Таблица1[[#This Row],[Order ID]])</f>
        <v>1</v>
      </c>
      <c r="Z7417" s="9">
        <f>1/COUNTIFS(Таблица1[Customer Name],Таблица1[[#This Row],[Customer Name]],Таблица1[Order-Year-Month],Таблица1[[#This Row],[Order-Year-Month]])</f>
        <v>0.5</v>
      </c>
    </row>
    <row r="7418" spans="1:26" x14ac:dyDescent="0.2">
      <c r="A7418" s="6">
        <v>2324</v>
      </c>
      <c r="B7418" s="7">
        <v>16768</v>
      </c>
      <c r="C7418" s="8">
        <f>DATE(2012,12,31)-1255</f>
        <v>40019</v>
      </c>
      <c r="D7418" s="8" t="str">
        <f t="shared" si="140"/>
        <v>2009-07 (июль 2009)</v>
      </c>
      <c r="E7418" s="9" t="s">
        <v>30</v>
      </c>
      <c r="F7418" s="7">
        <v>9</v>
      </c>
      <c r="G7418" s="7">
        <v>101.47</v>
      </c>
      <c r="H7418" s="7">
        <v>0.03</v>
      </c>
      <c r="I7418" s="9" t="s">
        <v>22</v>
      </c>
      <c r="J7418" s="10">
        <v>-18.64</v>
      </c>
      <c r="K7418" s="11">
        <v>10.89</v>
      </c>
      <c r="L7418" s="11">
        <v>4.5</v>
      </c>
      <c r="M7418" s="9" t="s">
        <v>2063</v>
      </c>
      <c r="N7418" s="6" t="s">
        <v>703</v>
      </c>
      <c r="O7418" s="6" t="s">
        <v>704</v>
      </c>
      <c r="P7418" s="9" t="s">
        <v>41</v>
      </c>
      <c r="Q7418" s="9" t="s">
        <v>26</v>
      </c>
      <c r="R7418" s="9" t="s">
        <v>34</v>
      </c>
      <c r="S7418" s="7" t="s">
        <v>345</v>
      </c>
      <c r="T7418" s="9" t="s">
        <v>39</v>
      </c>
      <c r="U7418" s="7">
        <v>0.59</v>
      </c>
      <c r="V7418" s="12">
        <f>C7418+1</f>
        <v>40020</v>
      </c>
      <c r="W7418">
        <f>IF(D7418=' Pivot Tables'!$A$4,1,0)</f>
        <v>0</v>
      </c>
      <c r="X7418">
        <f>IF(AND(LEFT(D7418,4)+1=LEFT(' Pivot Tables'!$A$4,4)+0,RIGHT(LEFT(D7418,7),2)=RIGHT(LEFT(' Pivot Tables'!$A$4,7),2)),1,0)</f>
        <v>0</v>
      </c>
      <c r="Y7418" s="6">
        <f>1/COUNTIF(Таблица1[Order ID],Таблица1[[#This Row],[Order ID]])</f>
        <v>1</v>
      </c>
      <c r="Z7418" s="9">
        <f>1/COUNTIFS(Таблица1[Customer Name],Таблица1[[#This Row],[Customer Name]],Таблица1[Order-Year-Month],Таблица1[[#This Row],[Order-Year-Month]])</f>
        <v>1</v>
      </c>
    </row>
    <row r="7419" spans="1:26" x14ac:dyDescent="0.2">
      <c r="A7419" s="6">
        <v>2390</v>
      </c>
      <c r="B7419" s="7">
        <v>17313</v>
      </c>
      <c r="C7419" s="8">
        <f>DATE(2012,12,31)-1334</f>
        <v>39940</v>
      </c>
      <c r="D7419" s="8" t="str">
        <f t="shared" si="140"/>
        <v>2009-05 (май 2009)</v>
      </c>
      <c r="E7419" s="9" t="s">
        <v>30</v>
      </c>
      <c r="F7419" s="7">
        <v>27</v>
      </c>
      <c r="G7419" s="7">
        <v>130.49</v>
      </c>
      <c r="H7419" s="7">
        <v>7.0000000000000007E-2</v>
      </c>
      <c r="I7419" s="9" t="s">
        <v>56</v>
      </c>
      <c r="J7419" s="10">
        <v>47.09</v>
      </c>
      <c r="K7419" s="11">
        <v>4.76</v>
      </c>
      <c r="L7419" s="11">
        <v>0.88</v>
      </c>
      <c r="M7419" s="9" t="s">
        <v>1622</v>
      </c>
      <c r="N7419" s="6" t="s">
        <v>703</v>
      </c>
      <c r="O7419" s="6" t="s">
        <v>704</v>
      </c>
      <c r="P7419" s="9" t="s">
        <v>33</v>
      </c>
      <c r="Q7419" s="9" t="s">
        <v>26</v>
      </c>
      <c r="R7419" s="9" t="s">
        <v>61</v>
      </c>
      <c r="S7419" s="7" t="s">
        <v>726</v>
      </c>
      <c r="T7419" s="9" t="s">
        <v>68</v>
      </c>
      <c r="U7419" s="7">
        <v>0.39</v>
      </c>
      <c r="V7419" s="12">
        <f>C7419+2</f>
        <v>39942</v>
      </c>
      <c r="W7419">
        <f>IF(D7419=' Pivot Tables'!$A$4,1,0)</f>
        <v>0</v>
      </c>
      <c r="X7419">
        <f>IF(AND(LEFT(D7419,4)+1=LEFT(' Pivot Tables'!$A$4,4)+0,RIGHT(LEFT(D7419,7),2)=RIGHT(LEFT(' Pivot Tables'!$A$4,7),2)),1,0)</f>
        <v>0</v>
      </c>
      <c r="Y7419" s="6">
        <f>1/COUNTIF(Таблица1[Order ID],Таблица1[[#This Row],[Order ID]])</f>
        <v>1</v>
      </c>
      <c r="Z7419" s="9">
        <f>1/COUNTIFS(Таблица1[Customer Name],Таблица1[[#This Row],[Customer Name]],Таблица1[Order-Year-Month],Таблица1[[#This Row],[Order-Year-Month]])</f>
        <v>1</v>
      </c>
    </row>
    <row r="7420" spans="1:26" x14ac:dyDescent="0.2">
      <c r="A7420" s="6">
        <v>2409</v>
      </c>
      <c r="B7420" s="7">
        <v>17447</v>
      </c>
      <c r="C7420" s="8">
        <f>DATE(2012,12,31)-227</f>
        <v>41047</v>
      </c>
      <c r="D7420" s="8" t="str">
        <f t="shared" si="140"/>
        <v>2012-05 (май 2012)</v>
      </c>
      <c r="E7420" s="9" t="s">
        <v>21</v>
      </c>
      <c r="F7420" s="7">
        <v>42</v>
      </c>
      <c r="G7420" s="7">
        <v>861.41</v>
      </c>
      <c r="H7420" s="7">
        <v>0.01</v>
      </c>
      <c r="I7420" s="9" t="s">
        <v>22</v>
      </c>
      <c r="J7420" s="10">
        <v>128</v>
      </c>
      <c r="K7420" s="11">
        <v>18.97</v>
      </c>
      <c r="L7420" s="11">
        <v>9.5399999999999991</v>
      </c>
      <c r="M7420" s="9" t="s">
        <v>2061</v>
      </c>
      <c r="N7420" s="6" t="s">
        <v>703</v>
      </c>
      <c r="O7420" s="6" t="s">
        <v>704</v>
      </c>
      <c r="P7420" s="9" t="s">
        <v>60</v>
      </c>
      <c r="Q7420" s="9" t="s">
        <v>26</v>
      </c>
      <c r="R7420" s="9" t="s">
        <v>61</v>
      </c>
      <c r="S7420" s="7" t="s">
        <v>581</v>
      </c>
      <c r="T7420" s="9" t="s">
        <v>39</v>
      </c>
      <c r="U7420" s="7">
        <v>0.37</v>
      </c>
      <c r="V7420" s="12">
        <f>C7420+2</f>
        <v>41049</v>
      </c>
      <c r="W7420">
        <f>IF(D7420=' Pivot Tables'!$A$4,1,0)</f>
        <v>0</v>
      </c>
      <c r="X7420">
        <f>IF(AND(LEFT(D7420,4)+1=LEFT(' Pivot Tables'!$A$4,4)+0,RIGHT(LEFT(D7420,7),2)=RIGHT(LEFT(' Pivot Tables'!$A$4,7),2)),1,0)</f>
        <v>0</v>
      </c>
      <c r="Y7420" s="6">
        <f>1/COUNTIF(Таблица1[Order ID],Таблица1[[#This Row],[Order ID]])</f>
        <v>1</v>
      </c>
      <c r="Z7420" s="9">
        <f>1/COUNTIFS(Таблица1[Customer Name],Таблица1[[#This Row],[Customer Name]],Таблица1[Order-Year-Month],Таблица1[[#This Row],[Order-Year-Month]])</f>
        <v>1</v>
      </c>
    </row>
    <row r="7421" spans="1:26" x14ac:dyDescent="0.2">
      <c r="A7421" s="6">
        <v>2493</v>
      </c>
      <c r="B7421" s="7">
        <v>18145</v>
      </c>
      <c r="C7421" s="8">
        <f>DATE(2012,12,31)-849</f>
        <v>40425</v>
      </c>
      <c r="D7421" s="8" t="str">
        <f t="shared" si="140"/>
        <v>2010-09 (сентябрь 2010)</v>
      </c>
      <c r="E7421" s="9" t="s">
        <v>63</v>
      </c>
      <c r="F7421" s="7">
        <v>21</v>
      </c>
      <c r="G7421" s="7">
        <v>361.98</v>
      </c>
      <c r="H7421" s="7">
        <v>0</v>
      </c>
      <c r="I7421" s="9" t="s">
        <v>22</v>
      </c>
      <c r="J7421" s="10">
        <v>-55.610399999999998</v>
      </c>
      <c r="K7421" s="11">
        <v>15.99</v>
      </c>
      <c r="L7421" s="11">
        <v>9.4</v>
      </c>
      <c r="M7421" s="9" t="s">
        <v>2066</v>
      </c>
      <c r="N7421" s="6" t="s">
        <v>703</v>
      </c>
      <c r="O7421" s="6" t="s">
        <v>704</v>
      </c>
      <c r="P7421" s="9" t="s">
        <v>41</v>
      </c>
      <c r="Q7421" s="9" t="s">
        <v>42</v>
      </c>
      <c r="R7421" s="9" t="s">
        <v>210</v>
      </c>
      <c r="S7421" s="7" t="s">
        <v>489</v>
      </c>
      <c r="T7421" s="9" t="s">
        <v>39</v>
      </c>
      <c r="U7421" s="7">
        <v>0.49</v>
      </c>
      <c r="V7421" s="12">
        <f>C7421+1</f>
        <v>40426</v>
      </c>
      <c r="W7421">
        <f>IF(D7421=' Pivot Tables'!$A$4,1,0)</f>
        <v>0</v>
      </c>
      <c r="X7421">
        <f>IF(AND(LEFT(D7421,4)+1=LEFT(' Pivot Tables'!$A$4,4)+0,RIGHT(LEFT(D7421,7),2)=RIGHT(LEFT(' Pivot Tables'!$A$4,7),2)),1,0)</f>
        <v>0</v>
      </c>
      <c r="Y7421" s="6">
        <f>1/COUNTIF(Таблица1[Order ID],Таблица1[[#This Row],[Order ID]])</f>
        <v>0.5</v>
      </c>
      <c r="Z7421" s="9">
        <f>1/COUNTIFS(Таблица1[Customer Name],Таблица1[[#This Row],[Customer Name]],Таблица1[Order-Year-Month],Таблица1[[#This Row],[Order-Year-Month]])</f>
        <v>0.5</v>
      </c>
    </row>
    <row r="7422" spans="1:26" x14ac:dyDescent="0.2">
      <c r="A7422" s="6">
        <v>2509</v>
      </c>
      <c r="B7422" s="7">
        <v>18215</v>
      </c>
      <c r="C7422" s="8">
        <f>DATE(2012,12,31)-834</f>
        <v>40440</v>
      </c>
      <c r="D7422" s="8" t="str">
        <f t="shared" si="140"/>
        <v>2010-09 (сентябрь 2010)</v>
      </c>
      <c r="E7422" s="9" t="s">
        <v>63</v>
      </c>
      <c r="F7422" s="7">
        <v>29</v>
      </c>
      <c r="G7422" s="7">
        <v>965.82</v>
      </c>
      <c r="H7422" s="7">
        <v>0.09</v>
      </c>
      <c r="I7422" s="9" t="s">
        <v>22</v>
      </c>
      <c r="J7422" s="10">
        <v>169.15</v>
      </c>
      <c r="K7422" s="11">
        <v>34.99</v>
      </c>
      <c r="L7422" s="11">
        <v>5.5</v>
      </c>
      <c r="M7422" s="9" t="s">
        <v>1933</v>
      </c>
      <c r="N7422" s="6" t="s">
        <v>703</v>
      </c>
      <c r="O7422" s="6" t="s">
        <v>704</v>
      </c>
      <c r="P7422" s="9" t="s">
        <v>60</v>
      </c>
      <c r="Q7422" s="9" t="s">
        <v>42</v>
      </c>
      <c r="R7422" s="9" t="s">
        <v>70</v>
      </c>
      <c r="S7422" s="7" t="s">
        <v>2071</v>
      </c>
      <c r="T7422" s="9" t="s">
        <v>39</v>
      </c>
      <c r="U7422" s="7">
        <v>0.49</v>
      </c>
      <c r="V7422" s="12">
        <f>C7422+1</f>
        <v>40441</v>
      </c>
      <c r="W7422">
        <f>IF(D7422=' Pivot Tables'!$A$4,1,0)</f>
        <v>0</v>
      </c>
      <c r="X7422">
        <f>IF(AND(LEFT(D7422,4)+1=LEFT(' Pivot Tables'!$A$4,4)+0,RIGHT(LEFT(D7422,7),2)=RIGHT(LEFT(' Pivot Tables'!$A$4,7),2)),1,0)</f>
        <v>0</v>
      </c>
      <c r="Y7422" s="6">
        <f>1/COUNTIF(Таблица1[Order ID],Таблица1[[#This Row],[Order ID]])</f>
        <v>1</v>
      </c>
      <c r="Z7422" s="9">
        <f>1/COUNTIFS(Таблица1[Customer Name],Таблица1[[#This Row],[Customer Name]],Таблица1[Order-Year-Month],Таблица1[[#This Row],[Order-Year-Month]])</f>
        <v>1</v>
      </c>
    </row>
    <row r="7423" spans="1:26" x14ac:dyDescent="0.2">
      <c r="A7423" s="6">
        <v>2581</v>
      </c>
      <c r="B7423" s="7">
        <v>18598</v>
      </c>
      <c r="C7423" s="8">
        <f>DATE(2012,12,31)-878</f>
        <v>40396</v>
      </c>
      <c r="D7423" s="8" t="str">
        <f t="shared" si="140"/>
        <v>2010-08 (август 2010)</v>
      </c>
      <c r="E7423" s="9" t="s">
        <v>78</v>
      </c>
      <c r="F7423" s="7">
        <v>24</v>
      </c>
      <c r="G7423" s="7">
        <v>349.65</v>
      </c>
      <c r="H7423" s="7">
        <v>0.1</v>
      </c>
      <c r="I7423" s="9" t="s">
        <v>56</v>
      </c>
      <c r="J7423" s="10">
        <v>28.551500000000004</v>
      </c>
      <c r="K7423" s="11">
        <v>14.48</v>
      </c>
      <c r="L7423" s="11">
        <v>6.46</v>
      </c>
      <c r="M7423" s="9" t="s">
        <v>2062</v>
      </c>
      <c r="N7423" s="6" t="s">
        <v>703</v>
      </c>
      <c r="O7423" s="6" t="s">
        <v>704</v>
      </c>
      <c r="P7423" s="9" t="s">
        <v>60</v>
      </c>
      <c r="Q7423" s="9" t="s">
        <v>26</v>
      </c>
      <c r="R7423" s="9" t="s">
        <v>37</v>
      </c>
      <c r="S7423" s="7" t="s">
        <v>816</v>
      </c>
      <c r="T7423" s="9" t="s">
        <v>39</v>
      </c>
      <c r="U7423" s="7">
        <v>0.38</v>
      </c>
      <c r="V7423" s="12">
        <f>C7423+3</f>
        <v>40399</v>
      </c>
      <c r="W7423">
        <f>IF(D7423=' Pivot Tables'!$A$4,1,0)</f>
        <v>0</v>
      </c>
      <c r="X7423">
        <f>IF(AND(LEFT(D7423,4)+1=LEFT(' Pivot Tables'!$A$4,4)+0,RIGHT(LEFT(D7423,7),2)=RIGHT(LEFT(' Pivot Tables'!$A$4,7),2)),1,0)</f>
        <v>0</v>
      </c>
      <c r="Y7423" s="6">
        <f>1/COUNTIF(Таблица1[Order ID],Таблица1[[#This Row],[Order ID]])</f>
        <v>0.5</v>
      </c>
      <c r="Z7423" s="9">
        <f>1/COUNTIFS(Таблица1[Customer Name],Таблица1[[#This Row],[Customer Name]],Таблица1[Order-Year-Month],Таблица1[[#This Row],[Order-Year-Month]])</f>
        <v>0.5</v>
      </c>
    </row>
    <row r="7424" spans="1:26" x14ac:dyDescent="0.2">
      <c r="A7424" s="6">
        <v>2582</v>
      </c>
      <c r="B7424" s="7">
        <v>18598</v>
      </c>
      <c r="C7424" s="8">
        <f>DATE(2012,12,31)-878</f>
        <v>40396</v>
      </c>
      <c r="D7424" s="8" t="str">
        <f t="shared" si="140"/>
        <v>2010-08 (август 2010)</v>
      </c>
      <c r="E7424" s="9" t="s">
        <v>78</v>
      </c>
      <c r="F7424" s="7">
        <v>46</v>
      </c>
      <c r="G7424" s="7">
        <v>4814.12</v>
      </c>
      <c r="H7424" s="7">
        <v>0.03</v>
      </c>
      <c r="I7424" s="9" t="s">
        <v>22</v>
      </c>
      <c r="J7424" s="10">
        <v>855.14</v>
      </c>
      <c r="K7424" s="11">
        <v>102.3</v>
      </c>
      <c r="L7424" s="11">
        <v>21.26</v>
      </c>
      <c r="M7424" s="9" t="s">
        <v>2062</v>
      </c>
      <c r="N7424" s="6" t="s">
        <v>703</v>
      </c>
      <c r="O7424" s="6" t="s">
        <v>704</v>
      </c>
      <c r="P7424" s="9" t="s">
        <v>60</v>
      </c>
      <c r="Q7424" s="9" t="s">
        <v>49</v>
      </c>
      <c r="R7424" s="9" t="s">
        <v>50</v>
      </c>
      <c r="S7424" s="7" t="s">
        <v>175</v>
      </c>
      <c r="T7424" s="9" t="s">
        <v>29</v>
      </c>
      <c r="U7424" s="7">
        <v>0.59</v>
      </c>
      <c r="V7424" s="12">
        <f>C7424+2</f>
        <v>40398</v>
      </c>
      <c r="W7424">
        <f>IF(D7424=' Pivot Tables'!$A$4,1,0)</f>
        <v>0</v>
      </c>
      <c r="X7424">
        <f>IF(AND(LEFT(D7424,4)+1=LEFT(' Pivot Tables'!$A$4,4)+0,RIGHT(LEFT(D7424,7),2)=RIGHT(LEFT(' Pivot Tables'!$A$4,7),2)),1,0)</f>
        <v>0</v>
      </c>
      <c r="Y7424" s="6">
        <f>1/COUNTIF(Таблица1[Order ID],Таблица1[[#This Row],[Order ID]])</f>
        <v>0.5</v>
      </c>
      <c r="Z7424" s="9">
        <f>1/COUNTIFS(Таблица1[Customer Name],Таблица1[[#This Row],[Customer Name]],Таблица1[Order-Year-Month],Таблица1[[#This Row],[Order-Year-Month]])</f>
        <v>0.5</v>
      </c>
    </row>
    <row r="7425" spans="1:26" x14ac:dyDescent="0.2">
      <c r="A7425" s="6">
        <v>2664</v>
      </c>
      <c r="B7425" s="7">
        <v>19234</v>
      </c>
      <c r="C7425" s="8">
        <f>DATE(2012,12,31)-1437</f>
        <v>39837</v>
      </c>
      <c r="D7425" s="8" t="str">
        <f t="shared" si="140"/>
        <v>2009-01 (январь 2009)</v>
      </c>
      <c r="E7425" s="9" t="s">
        <v>30</v>
      </c>
      <c r="F7425" s="7">
        <v>24</v>
      </c>
      <c r="G7425" s="7">
        <v>359.65</v>
      </c>
      <c r="H7425" s="7">
        <v>0.01</v>
      </c>
      <c r="I7425" s="9" t="s">
        <v>22</v>
      </c>
      <c r="J7425" s="10">
        <v>-11.15</v>
      </c>
      <c r="K7425" s="11">
        <v>14.42</v>
      </c>
      <c r="L7425" s="11">
        <v>6.75</v>
      </c>
      <c r="M7425" s="9" t="s">
        <v>1627</v>
      </c>
      <c r="N7425" s="6" t="s">
        <v>703</v>
      </c>
      <c r="O7425" s="6" t="s">
        <v>704</v>
      </c>
      <c r="P7425" s="9" t="s">
        <v>41</v>
      </c>
      <c r="Q7425" s="9" t="s">
        <v>26</v>
      </c>
      <c r="R7425" s="9" t="s">
        <v>34</v>
      </c>
      <c r="S7425" s="7" t="s">
        <v>1036</v>
      </c>
      <c r="T7425" s="9" t="s">
        <v>48</v>
      </c>
      <c r="U7425" s="7">
        <v>0.52</v>
      </c>
      <c r="V7425" s="12">
        <f>C7425+0</f>
        <v>39837</v>
      </c>
      <c r="W7425">
        <f>IF(D7425=' Pivot Tables'!$A$4,1,0)</f>
        <v>0</v>
      </c>
      <c r="X7425">
        <f>IF(AND(LEFT(D7425,4)+1=LEFT(' Pivot Tables'!$A$4,4)+0,RIGHT(LEFT(D7425,7),2)=RIGHT(LEFT(' Pivot Tables'!$A$4,7),2)),1,0)</f>
        <v>1</v>
      </c>
      <c r="Y7425" s="6">
        <f>1/COUNTIF(Таблица1[Order ID],Таблица1[[#This Row],[Order ID]])</f>
        <v>1</v>
      </c>
      <c r="Z7425" s="9">
        <f>1/COUNTIFS(Таблица1[Customer Name],Таблица1[[#This Row],[Customer Name]],Таблица1[Order-Year-Month],Таблица1[[#This Row],[Order-Year-Month]])</f>
        <v>1</v>
      </c>
    </row>
    <row r="7426" spans="1:26" x14ac:dyDescent="0.2">
      <c r="A7426" s="6">
        <v>2701</v>
      </c>
      <c r="B7426" s="7">
        <v>19555</v>
      </c>
      <c r="C7426" s="8">
        <f>DATE(2012,12,31)-1054</f>
        <v>40220</v>
      </c>
      <c r="D7426" s="8" t="str">
        <f t="shared" si="140"/>
        <v>2010-02 (февраль 2010)</v>
      </c>
      <c r="E7426" s="9" t="s">
        <v>21</v>
      </c>
      <c r="F7426" s="7">
        <v>36</v>
      </c>
      <c r="G7426" s="7">
        <v>246.24</v>
      </c>
      <c r="H7426" s="7">
        <v>0.08</v>
      </c>
      <c r="I7426" s="9" t="s">
        <v>22</v>
      </c>
      <c r="J7426" s="10">
        <v>-118.9</v>
      </c>
      <c r="K7426" s="11">
        <v>6.68</v>
      </c>
      <c r="L7426" s="11">
        <v>7.3</v>
      </c>
      <c r="M7426" s="9" t="s">
        <v>2061</v>
      </c>
      <c r="N7426" s="6" t="s">
        <v>703</v>
      </c>
      <c r="O7426" s="6" t="s">
        <v>704</v>
      </c>
      <c r="P7426" s="9" t="s">
        <v>25</v>
      </c>
      <c r="Q7426" s="9" t="s">
        <v>26</v>
      </c>
      <c r="R7426" s="9" t="s">
        <v>61</v>
      </c>
      <c r="S7426" s="7" t="s">
        <v>1317</v>
      </c>
      <c r="T7426" s="9" t="s">
        <v>39</v>
      </c>
      <c r="U7426" s="7">
        <v>0.37</v>
      </c>
      <c r="V7426" s="12">
        <f>C7426+4</f>
        <v>40224</v>
      </c>
      <c r="W7426">
        <f>IF(D7426=' Pivot Tables'!$A$4,1,0)</f>
        <v>0</v>
      </c>
      <c r="X7426">
        <f>IF(AND(LEFT(D7426,4)+1=LEFT(' Pivot Tables'!$A$4,4)+0,RIGHT(LEFT(D7426,7),2)=RIGHT(LEFT(' Pivot Tables'!$A$4,7),2)),1,0)</f>
        <v>0</v>
      </c>
      <c r="Y7426" s="6">
        <f>1/COUNTIF(Таблица1[Order ID],Таблица1[[#This Row],[Order ID]])</f>
        <v>0.5</v>
      </c>
      <c r="Z7426" s="9">
        <f>1/COUNTIFS(Таблица1[Customer Name],Таблица1[[#This Row],[Customer Name]],Таблица1[Order-Year-Month],Таблица1[[#This Row],[Order-Year-Month]])</f>
        <v>0.5</v>
      </c>
    </row>
    <row r="7427" spans="1:26" x14ac:dyDescent="0.2">
      <c r="A7427" s="6">
        <v>2702</v>
      </c>
      <c r="B7427" s="7">
        <v>19555</v>
      </c>
      <c r="C7427" s="8">
        <f>DATE(2012,12,31)-1054</f>
        <v>40220</v>
      </c>
      <c r="D7427" s="8" t="str">
        <f t="shared" ref="D7427:D7490" si="141">TEXT(C7427,"гггг-ММ (ММММ гггг)")</f>
        <v>2010-02 (февраль 2010)</v>
      </c>
      <c r="E7427" s="9" t="s">
        <v>21</v>
      </c>
      <c r="F7427" s="7">
        <v>8</v>
      </c>
      <c r="G7427" s="7">
        <v>78.67</v>
      </c>
      <c r="H7427" s="7">
        <v>0</v>
      </c>
      <c r="I7427" s="9" t="s">
        <v>22</v>
      </c>
      <c r="J7427" s="10">
        <v>14.1</v>
      </c>
      <c r="K7427" s="11">
        <v>9.11</v>
      </c>
      <c r="L7427" s="11">
        <v>2.15</v>
      </c>
      <c r="M7427" s="9" t="s">
        <v>2061</v>
      </c>
      <c r="N7427" s="6" t="s">
        <v>703</v>
      </c>
      <c r="O7427" s="6" t="s">
        <v>704</v>
      </c>
      <c r="P7427" s="9" t="s">
        <v>25</v>
      </c>
      <c r="Q7427" s="9" t="s">
        <v>26</v>
      </c>
      <c r="R7427" s="9" t="s">
        <v>61</v>
      </c>
      <c r="S7427" s="7" t="s">
        <v>1402</v>
      </c>
      <c r="T7427" s="9" t="s">
        <v>68</v>
      </c>
      <c r="U7427" s="7">
        <v>0.4</v>
      </c>
      <c r="V7427" s="12">
        <f>C7427+7</f>
        <v>40227</v>
      </c>
      <c r="W7427">
        <f>IF(D7427=' Pivot Tables'!$A$4,1,0)</f>
        <v>0</v>
      </c>
      <c r="X7427">
        <f>IF(AND(LEFT(D7427,4)+1=LEFT(' Pivot Tables'!$A$4,4)+0,RIGHT(LEFT(D7427,7),2)=RIGHT(LEFT(' Pivot Tables'!$A$4,7),2)),1,0)</f>
        <v>0</v>
      </c>
      <c r="Y7427" s="6">
        <f>1/COUNTIF(Таблица1[Order ID],Таблица1[[#This Row],[Order ID]])</f>
        <v>0.5</v>
      </c>
      <c r="Z7427" s="9">
        <f>1/COUNTIFS(Таблица1[Customer Name],Таблица1[[#This Row],[Customer Name]],Таблица1[Order-Year-Month],Таблица1[[#This Row],[Order-Year-Month]])</f>
        <v>0.5</v>
      </c>
    </row>
    <row r="7428" spans="1:26" x14ac:dyDescent="0.2">
      <c r="A7428" s="6">
        <v>2751</v>
      </c>
      <c r="B7428" s="7">
        <v>19843</v>
      </c>
      <c r="C7428" s="8">
        <f>DATE(2012,12,31)-886</f>
        <v>40388</v>
      </c>
      <c r="D7428" s="8" t="str">
        <f t="shared" si="141"/>
        <v>2010-07 (июль 2010)</v>
      </c>
      <c r="E7428" s="9" t="s">
        <v>63</v>
      </c>
      <c r="F7428" s="7">
        <v>33</v>
      </c>
      <c r="G7428" s="7">
        <v>4416.6509999999998</v>
      </c>
      <c r="H7428" s="7">
        <v>0.02</v>
      </c>
      <c r="I7428" s="9" t="s">
        <v>22</v>
      </c>
      <c r="J7428" s="10">
        <v>1020.4109999999999</v>
      </c>
      <c r="K7428" s="11">
        <v>155.99</v>
      </c>
      <c r="L7428" s="11">
        <v>8.99</v>
      </c>
      <c r="M7428" s="9" t="s">
        <v>1933</v>
      </c>
      <c r="N7428" s="6" t="s">
        <v>703</v>
      </c>
      <c r="O7428" s="6" t="s">
        <v>704</v>
      </c>
      <c r="P7428" s="9" t="s">
        <v>60</v>
      </c>
      <c r="Q7428" s="9" t="s">
        <v>42</v>
      </c>
      <c r="R7428" s="9" t="s">
        <v>43</v>
      </c>
      <c r="S7428" s="7" t="s">
        <v>87</v>
      </c>
      <c r="T7428" s="9" t="s">
        <v>39</v>
      </c>
      <c r="U7428" s="7">
        <v>0.57999999999999996</v>
      </c>
      <c r="V7428" s="12">
        <f>C7428+0</f>
        <v>40388</v>
      </c>
      <c r="W7428">
        <f>IF(D7428=' Pivot Tables'!$A$4,1,0)</f>
        <v>0</v>
      </c>
      <c r="X7428">
        <f>IF(AND(LEFT(D7428,4)+1=LEFT(' Pivot Tables'!$A$4,4)+0,RIGHT(LEFT(D7428,7),2)=RIGHT(LEFT(' Pivot Tables'!$A$4,7),2)),1,0)</f>
        <v>0</v>
      </c>
      <c r="Y7428" s="6">
        <f>1/COUNTIF(Таблица1[Order ID],Таблица1[[#This Row],[Order ID]])</f>
        <v>1</v>
      </c>
      <c r="Z7428" s="9">
        <f>1/COUNTIFS(Таблица1[Customer Name],Таблица1[[#This Row],[Customer Name]],Таблица1[Order-Year-Month],Таблица1[[#This Row],[Order-Year-Month]])</f>
        <v>0.33333333333333331</v>
      </c>
    </row>
    <row r="7429" spans="1:26" x14ac:dyDescent="0.2">
      <c r="A7429" s="6">
        <v>2862</v>
      </c>
      <c r="B7429" s="7">
        <v>20646</v>
      </c>
      <c r="C7429" s="8">
        <f>DATE(2012,12,31)-642</f>
        <v>40632</v>
      </c>
      <c r="D7429" s="8" t="str">
        <f t="shared" si="141"/>
        <v>2011-03 (март 2011)</v>
      </c>
      <c r="E7429" s="9" t="s">
        <v>63</v>
      </c>
      <c r="F7429" s="7">
        <v>41</v>
      </c>
      <c r="G7429" s="7">
        <v>1204.0844999999999</v>
      </c>
      <c r="H7429" s="7">
        <v>0.04</v>
      </c>
      <c r="I7429" s="9" t="s">
        <v>22</v>
      </c>
      <c r="J7429" s="10">
        <v>341.95499999999998</v>
      </c>
      <c r="K7429" s="11">
        <v>35.99</v>
      </c>
      <c r="L7429" s="11">
        <v>1.1000000000000001</v>
      </c>
      <c r="M7429" s="9" t="s">
        <v>2066</v>
      </c>
      <c r="N7429" s="6" t="s">
        <v>703</v>
      </c>
      <c r="O7429" s="6" t="s">
        <v>704</v>
      </c>
      <c r="P7429" s="9" t="s">
        <v>41</v>
      </c>
      <c r="Q7429" s="9" t="s">
        <v>42</v>
      </c>
      <c r="R7429" s="9" t="s">
        <v>43</v>
      </c>
      <c r="S7429" s="7" t="s">
        <v>1082</v>
      </c>
      <c r="T7429" s="9" t="s">
        <v>39</v>
      </c>
      <c r="U7429" s="7">
        <v>0.55000000000000004</v>
      </c>
      <c r="V7429" s="12">
        <f>C7429+2</f>
        <v>40634</v>
      </c>
      <c r="W7429">
        <f>IF(D7429=' Pivot Tables'!$A$4,1,0)</f>
        <v>0</v>
      </c>
      <c r="X7429">
        <f>IF(AND(LEFT(D7429,4)+1=LEFT(' Pivot Tables'!$A$4,4)+0,RIGHT(LEFT(D7429,7),2)=RIGHT(LEFT(' Pivot Tables'!$A$4,7),2)),1,0)</f>
        <v>0</v>
      </c>
      <c r="Y7429" s="6">
        <f>1/COUNTIF(Таблица1[Order ID],Таблица1[[#This Row],[Order ID]])</f>
        <v>1</v>
      </c>
      <c r="Z7429" s="9">
        <f>1/COUNTIFS(Таблица1[Customer Name],Таблица1[[#This Row],[Customer Name]],Таблица1[Order-Year-Month],Таблица1[[#This Row],[Order-Year-Month]])</f>
        <v>1</v>
      </c>
    </row>
    <row r="7430" spans="1:26" x14ac:dyDescent="0.2">
      <c r="A7430" s="6">
        <v>2928</v>
      </c>
      <c r="B7430" s="7">
        <v>21222</v>
      </c>
      <c r="C7430" s="8">
        <f>DATE(2012,12,31)-1427</f>
        <v>39847</v>
      </c>
      <c r="D7430" s="8" t="str">
        <f t="shared" si="141"/>
        <v>2009-02 (февраль 2009)</v>
      </c>
      <c r="E7430" s="9" t="s">
        <v>45</v>
      </c>
      <c r="F7430" s="7">
        <v>36</v>
      </c>
      <c r="G7430" s="7">
        <v>181.39</v>
      </c>
      <c r="H7430" s="7">
        <v>0.1</v>
      </c>
      <c r="I7430" s="9" t="s">
        <v>22</v>
      </c>
      <c r="J7430" s="10">
        <v>-32.4</v>
      </c>
      <c r="K7430" s="11">
        <v>5.08</v>
      </c>
      <c r="L7430" s="11">
        <v>3.63</v>
      </c>
      <c r="M7430" s="9" t="s">
        <v>2061</v>
      </c>
      <c r="N7430" s="6" t="s">
        <v>703</v>
      </c>
      <c r="O7430" s="6" t="s">
        <v>704</v>
      </c>
      <c r="P7430" s="9" t="s">
        <v>60</v>
      </c>
      <c r="Q7430" s="9" t="s">
        <v>49</v>
      </c>
      <c r="R7430" s="9" t="s">
        <v>50</v>
      </c>
      <c r="S7430" s="7" t="s">
        <v>939</v>
      </c>
      <c r="T7430" s="9" t="s">
        <v>68</v>
      </c>
      <c r="U7430" s="7">
        <v>0.51</v>
      </c>
      <c r="V7430" s="12">
        <f>C7430+2</f>
        <v>39849</v>
      </c>
      <c r="W7430">
        <f>IF(D7430=' Pivot Tables'!$A$4,1,0)</f>
        <v>0</v>
      </c>
      <c r="X7430">
        <f>IF(AND(LEFT(D7430,4)+1=LEFT(' Pivot Tables'!$A$4,4)+0,RIGHT(LEFT(D7430,7),2)=RIGHT(LEFT(' Pivot Tables'!$A$4,7),2)),1,0)</f>
        <v>0</v>
      </c>
      <c r="Y7430" s="6">
        <f>1/COUNTIF(Таблица1[Order ID],Таблица1[[#This Row],[Order ID]])</f>
        <v>0.5</v>
      </c>
      <c r="Z7430" s="9">
        <f>1/COUNTIFS(Таблица1[Customer Name],Таблица1[[#This Row],[Customer Name]],Таблица1[Order-Year-Month],Таблица1[[#This Row],[Order-Year-Month]])</f>
        <v>0.5</v>
      </c>
    </row>
    <row r="7431" spans="1:26" x14ac:dyDescent="0.2">
      <c r="A7431" s="6">
        <v>2929</v>
      </c>
      <c r="B7431" s="7">
        <v>21222</v>
      </c>
      <c r="C7431" s="8">
        <f>DATE(2012,12,31)-1427</f>
        <v>39847</v>
      </c>
      <c r="D7431" s="8" t="str">
        <f t="shared" si="141"/>
        <v>2009-02 (февраль 2009)</v>
      </c>
      <c r="E7431" s="9" t="s">
        <v>45</v>
      </c>
      <c r="F7431" s="7">
        <v>26</v>
      </c>
      <c r="G7431" s="7">
        <v>846.08150000000001</v>
      </c>
      <c r="H7431" s="7">
        <v>0.02</v>
      </c>
      <c r="I7431" s="9" t="s">
        <v>22</v>
      </c>
      <c r="J7431" s="10">
        <v>-120.934</v>
      </c>
      <c r="K7431" s="11">
        <v>35.99</v>
      </c>
      <c r="L7431" s="11">
        <v>5</v>
      </c>
      <c r="M7431" s="9" t="s">
        <v>2061</v>
      </c>
      <c r="N7431" s="6" t="s">
        <v>703</v>
      </c>
      <c r="O7431" s="6" t="s">
        <v>704</v>
      </c>
      <c r="P7431" s="9" t="s">
        <v>60</v>
      </c>
      <c r="Q7431" s="9" t="s">
        <v>42</v>
      </c>
      <c r="R7431" s="9" t="s">
        <v>43</v>
      </c>
      <c r="S7431" s="7" t="s">
        <v>825</v>
      </c>
      <c r="T7431" s="9" t="s">
        <v>39</v>
      </c>
      <c r="U7431" s="7">
        <v>0.85</v>
      </c>
      <c r="V7431" s="12">
        <f>C7431+2</f>
        <v>39849</v>
      </c>
      <c r="W7431">
        <f>IF(D7431=' Pivot Tables'!$A$4,1,0)</f>
        <v>0</v>
      </c>
      <c r="X7431">
        <f>IF(AND(LEFT(D7431,4)+1=LEFT(' Pivot Tables'!$A$4,4)+0,RIGHT(LEFT(D7431,7),2)=RIGHT(LEFT(' Pivot Tables'!$A$4,7),2)),1,0)</f>
        <v>0</v>
      </c>
      <c r="Y7431" s="6">
        <f>1/COUNTIF(Таблица1[Order ID],Таблица1[[#This Row],[Order ID]])</f>
        <v>0.5</v>
      </c>
      <c r="Z7431" s="9">
        <f>1/COUNTIFS(Таблица1[Customer Name],Таблица1[[#This Row],[Customer Name]],Таблица1[Order-Year-Month],Таблица1[[#This Row],[Order-Year-Month]])</f>
        <v>0.5</v>
      </c>
    </row>
    <row r="7432" spans="1:26" x14ac:dyDescent="0.2">
      <c r="A7432" s="6">
        <v>3166</v>
      </c>
      <c r="B7432" s="7">
        <v>22755</v>
      </c>
      <c r="C7432" s="8">
        <f>DATE(2012,12,31)-1372</f>
        <v>39902</v>
      </c>
      <c r="D7432" s="8" t="str">
        <f t="shared" si="141"/>
        <v>2009-03 (март 2009)</v>
      </c>
      <c r="E7432" s="9" t="s">
        <v>63</v>
      </c>
      <c r="F7432" s="7">
        <v>35</v>
      </c>
      <c r="G7432" s="7">
        <v>187.84</v>
      </c>
      <c r="H7432" s="7">
        <v>0</v>
      </c>
      <c r="I7432" s="9" t="s">
        <v>22</v>
      </c>
      <c r="J7432" s="10">
        <v>-95.047499999999999</v>
      </c>
      <c r="K7432" s="11">
        <v>4.91</v>
      </c>
      <c r="L7432" s="11">
        <v>5.68</v>
      </c>
      <c r="M7432" s="9" t="s">
        <v>2062</v>
      </c>
      <c r="N7432" s="6" t="s">
        <v>703</v>
      </c>
      <c r="O7432" s="6" t="s">
        <v>704</v>
      </c>
      <c r="P7432" s="9" t="s">
        <v>60</v>
      </c>
      <c r="Q7432" s="9" t="s">
        <v>26</v>
      </c>
      <c r="R7432" s="9" t="s">
        <v>37</v>
      </c>
      <c r="S7432" s="7" t="s">
        <v>1345</v>
      </c>
      <c r="T7432" s="9" t="s">
        <v>39</v>
      </c>
      <c r="U7432" s="7">
        <v>0.36</v>
      </c>
      <c r="V7432" s="12">
        <f>C7432+1</f>
        <v>39903</v>
      </c>
      <c r="W7432">
        <f>IF(D7432=' Pivot Tables'!$A$4,1,0)</f>
        <v>0</v>
      </c>
      <c r="X7432">
        <f>IF(AND(LEFT(D7432,4)+1=LEFT(' Pivot Tables'!$A$4,4)+0,RIGHT(LEFT(D7432,7),2)=RIGHT(LEFT(' Pivot Tables'!$A$4,7),2)),1,0)</f>
        <v>0</v>
      </c>
      <c r="Y7432" s="6">
        <f>1/COUNTIF(Таблица1[Order ID],Таблица1[[#This Row],[Order ID]])</f>
        <v>0.33333333333333331</v>
      </c>
      <c r="Z7432" s="9">
        <f>1/COUNTIFS(Таблица1[Customer Name],Таблица1[[#This Row],[Customer Name]],Таблица1[Order-Year-Month],Таблица1[[#This Row],[Order-Year-Month]])</f>
        <v>0.33333333333333331</v>
      </c>
    </row>
    <row r="7433" spans="1:26" x14ac:dyDescent="0.2">
      <c r="A7433" s="6">
        <v>3167</v>
      </c>
      <c r="B7433" s="7">
        <v>22755</v>
      </c>
      <c r="C7433" s="8">
        <f>DATE(2012,12,31)-1372</f>
        <v>39902</v>
      </c>
      <c r="D7433" s="8" t="str">
        <f t="shared" si="141"/>
        <v>2009-03 (март 2009)</v>
      </c>
      <c r="E7433" s="9" t="s">
        <v>63</v>
      </c>
      <c r="F7433" s="7">
        <v>45</v>
      </c>
      <c r="G7433" s="7">
        <v>240.6</v>
      </c>
      <c r="H7433" s="7">
        <v>0.04</v>
      </c>
      <c r="I7433" s="9" t="s">
        <v>22</v>
      </c>
      <c r="J7433" s="10">
        <v>3.4509999999999996</v>
      </c>
      <c r="K7433" s="11">
        <v>5.34</v>
      </c>
      <c r="L7433" s="11">
        <v>2.99</v>
      </c>
      <c r="M7433" s="9" t="s">
        <v>2062</v>
      </c>
      <c r="N7433" s="6" t="s">
        <v>703</v>
      </c>
      <c r="O7433" s="6" t="s">
        <v>704</v>
      </c>
      <c r="P7433" s="9" t="s">
        <v>60</v>
      </c>
      <c r="Q7433" s="9" t="s">
        <v>26</v>
      </c>
      <c r="R7433" s="9" t="s">
        <v>37</v>
      </c>
      <c r="S7433" s="7" t="s">
        <v>407</v>
      </c>
      <c r="T7433" s="9" t="s">
        <v>39</v>
      </c>
      <c r="U7433" s="7">
        <v>0.38</v>
      </c>
      <c r="V7433" s="12">
        <f>C7433+2</f>
        <v>39904</v>
      </c>
      <c r="W7433">
        <f>IF(D7433=' Pivot Tables'!$A$4,1,0)</f>
        <v>0</v>
      </c>
      <c r="X7433">
        <f>IF(AND(LEFT(D7433,4)+1=LEFT(' Pivot Tables'!$A$4,4)+0,RIGHT(LEFT(D7433,7),2)=RIGHT(LEFT(' Pivot Tables'!$A$4,7),2)),1,0)</f>
        <v>0</v>
      </c>
      <c r="Y7433" s="6">
        <f>1/COUNTIF(Таблица1[Order ID],Таблица1[[#This Row],[Order ID]])</f>
        <v>0.33333333333333331</v>
      </c>
      <c r="Z7433" s="9">
        <f>1/COUNTIFS(Таблица1[Customer Name],Таблица1[[#This Row],[Customer Name]],Таблица1[Order-Year-Month],Таблица1[[#This Row],[Order-Year-Month]])</f>
        <v>0.33333333333333331</v>
      </c>
    </row>
    <row r="7434" spans="1:26" x14ac:dyDescent="0.2">
      <c r="A7434" s="6">
        <v>3168</v>
      </c>
      <c r="B7434" s="7">
        <v>22755</v>
      </c>
      <c r="C7434" s="8">
        <f>DATE(2012,12,31)-1372</f>
        <v>39902</v>
      </c>
      <c r="D7434" s="8" t="str">
        <f t="shared" si="141"/>
        <v>2009-03 (март 2009)</v>
      </c>
      <c r="E7434" s="9" t="s">
        <v>63</v>
      </c>
      <c r="F7434" s="7">
        <v>5</v>
      </c>
      <c r="G7434" s="7">
        <v>236.87799999999999</v>
      </c>
      <c r="H7434" s="7">
        <v>0.06</v>
      </c>
      <c r="I7434" s="9" t="s">
        <v>22</v>
      </c>
      <c r="J7434" s="10">
        <v>-275.25299999999999</v>
      </c>
      <c r="K7434" s="11">
        <v>55.99</v>
      </c>
      <c r="L7434" s="11">
        <v>5</v>
      </c>
      <c r="M7434" s="9" t="s">
        <v>2062</v>
      </c>
      <c r="N7434" s="6" t="s">
        <v>703</v>
      </c>
      <c r="O7434" s="6" t="s">
        <v>704</v>
      </c>
      <c r="P7434" s="9" t="s">
        <v>60</v>
      </c>
      <c r="Q7434" s="9" t="s">
        <v>42</v>
      </c>
      <c r="R7434" s="9" t="s">
        <v>43</v>
      </c>
      <c r="S7434" s="7" t="s">
        <v>268</v>
      </c>
      <c r="T7434" s="9" t="s">
        <v>52</v>
      </c>
      <c r="U7434" s="7">
        <v>0.8</v>
      </c>
      <c r="V7434" s="12">
        <f>C7434+2</f>
        <v>39904</v>
      </c>
      <c r="W7434">
        <f>IF(D7434=' Pivot Tables'!$A$4,1,0)</f>
        <v>0</v>
      </c>
      <c r="X7434">
        <f>IF(AND(LEFT(D7434,4)+1=LEFT(' Pivot Tables'!$A$4,4)+0,RIGHT(LEFT(D7434,7),2)=RIGHT(LEFT(' Pivot Tables'!$A$4,7),2)),1,0)</f>
        <v>0</v>
      </c>
      <c r="Y7434" s="6">
        <f>1/COUNTIF(Таблица1[Order ID],Таблица1[[#This Row],[Order ID]])</f>
        <v>0.33333333333333331</v>
      </c>
      <c r="Z7434" s="9">
        <f>1/COUNTIFS(Таблица1[Customer Name],Таблица1[[#This Row],[Customer Name]],Таблица1[Order-Year-Month],Таблица1[[#This Row],[Order-Year-Month]])</f>
        <v>0.33333333333333331</v>
      </c>
    </row>
    <row r="7435" spans="1:26" x14ac:dyDescent="0.2">
      <c r="A7435" s="6">
        <v>3222</v>
      </c>
      <c r="B7435" s="7">
        <v>23136</v>
      </c>
      <c r="C7435" s="8">
        <f>DATE(2012,12,31)-1193</f>
        <v>40081</v>
      </c>
      <c r="D7435" s="8" t="str">
        <f t="shared" si="141"/>
        <v>2009-09 (сентябрь 2009)</v>
      </c>
      <c r="E7435" s="9" t="s">
        <v>45</v>
      </c>
      <c r="F7435" s="7">
        <v>41</v>
      </c>
      <c r="G7435" s="7">
        <v>9312.52</v>
      </c>
      <c r="H7435" s="7">
        <v>0.01</v>
      </c>
      <c r="I7435" s="9" t="s">
        <v>22</v>
      </c>
      <c r="J7435" s="10">
        <v>3039.37</v>
      </c>
      <c r="K7435" s="11">
        <v>218.08</v>
      </c>
      <c r="L7435" s="11">
        <v>18.059999999999999</v>
      </c>
      <c r="M7435" s="9" t="s">
        <v>2070</v>
      </c>
      <c r="N7435" s="6" t="s">
        <v>703</v>
      </c>
      <c r="O7435" s="6" t="s">
        <v>704</v>
      </c>
      <c r="P7435" s="9" t="s">
        <v>25</v>
      </c>
      <c r="Q7435" s="9" t="s">
        <v>49</v>
      </c>
      <c r="R7435" s="9" t="s">
        <v>112</v>
      </c>
      <c r="S7435" s="7" t="s">
        <v>186</v>
      </c>
      <c r="T7435" s="9" t="s">
        <v>29</v>
      </c>
      <c r="U7435" s="7">
        <v>0.56999999999999995</v>
      </c>
      <c r="V7435" s="12">
        <f>C7435+1</f>
        <v>40082</v>
      </c>
      <c r="W7435">
        <f>IF(D7435=' Pivot Tables'!$A$4,1,0)</f>
        <v>0</v>
      </c>
      <c r="X7435">
        <f>IF(AND(LEFT(D7435,4)+1=LEFT(' Pivot Tables'!$A$4,4)+0,RIGHT(LEFT(D7435,7),2)=RIGHT(LEFT(' Pivot Tables'!$A$4,7),2)),1,0)</f>
        <v>0</v>
      </c>
      <c r="Y7435" s="6">
        <f>1/COUNTIF(Таблица1[Order ID],Таблица1[[#This Row],[Order ID]])</f>
        <v>0.5</v>
      </c>
      <c r="Z7435" s="9">
        <f>1/COUNTIFS(Таблица1[Customer Name],Таблица1[[#This Row],[Customer Name]],Таблица1[Order-Year-Month],Таблица1[[#This Row],[Order-Year-Month]])</f>
        <v>0.5</v>
      </c>
    </row>
    <row r="7436" spans="1:26" x14ac:dyDescent="0.2">
      <c r="A7436" s="6">
        <v>3223</v>
      </c>
      <c r="B7436" s="7">
        <v>23136</v>
      </c>
      <c r="C7436" s="8">
        <f>DATE(2012,12,31)-1193</f>
        <v>40081</v>
      </c>
      <c r="D7436" s="8" t="str">
        <f t="shared" si="141"/>
        <v>2009-09 (сентябрь 2009)</v>
      </c>
      <c r="E7436" s="9" t="s">
        <v>45</v>
      </c>
      <c r="F7436" s="7">
        <v>43</v>
      </c>
      <c r="G7436" s="7">
        <v>220.47</v>
      </c>
      <c r="H7436" s="7">
        <v>0.04</v>
      </c>
      <c r="I7436" s="9" t="s">
        <v>22</v>
      </c>
      <c r="J7436" s="10">
        <v>-135.16</v>
      </c>
      <c r="K7436" s="11">
        <v>4.9800000000000004</v>
      </c>
      <c r="L7436" s="11">
        <v>4.62</v>
      </c>
      <c r="M7436" s="9" t="s">
        <v>2070</v>
      </c>
      <c r="N7436" s="6" t="s">
        <v>703</v>
      </c>
      <c r="O7436" s="6" t="s">
        <v>704</v>
      </c>
      <c r="P7436" s="9" t="s">
        <v>25</v>
      </c>
      <c r="Q7436" s="9" t="s">
        <v>42</v>
      </c>
      <c r="R7436" s="9" t="s">
        <v>70</v>
      </c>
      <c r="S7436" s="7" t="s">
        <v>402</v>
      </c>
      <c r="T7436" s="9" t="s">
        <v>52</v>
      </c>
      <c r="U7436" s="7">
        <v>0.64</v>
      </c>
      <c r="V7436" s="12">
        <f>C7436+1</f>
        <v>40082</v>
      </c>
      <c r="W7436">
        <f>IF(D7436=' Pivot Tables'!$A$4,1,0)</f>
        <v>0</v>
      </c>
      <c r="X7436">
        <f>IF(AND(LEFT(D7436,4)+1=LEFT(' Pivot Tables'!$A$4,4)+0,RIGHT(LEFT(D7436,7),2)=RIGHT(LEFT(' Pivot Tables'!$A$4,7),2)),1,0)</f>
        <v>0</v>
      </c>
      <c r="Y7436" s="6">
        <f>1/COUNTIF(Таблица1[Order ID],Таблица1[[#This Row],[Order ID]])</f>
        <v>0.5</v>
      </c>
      <c r="Z7436" s="9">
        <f>1/COUNTIFS(Таблица1[Customer Name],Таблица1[[#This Row],[Customer Name]],Таблица1[Order-Year-Month],Таблица1[[#This Row],[Order-Year-Month]])</f>
        <v>0.5</v>
      </c>
    </row>
    <row r="7437" spans="1:26" x14ac:dyDescent="0.2">
      <c r="A7437" s="6">
        <v>3316</v>
      </c>
      <c r="B7437" s="7">
        <v>23685</v>
      </c>
      <c r="C7437" s="8">
        <f>DATE(2012,12,31)-185</f>
        <v>41089</v>
      </c>
      <c r="D7437" s="8" t="str">
        <f t="shared" si="141"/>
        <v>2012-06 (июнь 2012)</v>
      </c>
      <c r="E7437" s="9" t="s">
        <v>45</v>
      </c>
      <c r="F7437" s="7">
        <v>46</v>
      </c>
      <c r="G7437" s="7">
        <v>7928.561999999999</v>
      </c>
      <c r="H7437" s="7">
        <v>0.08</v>
      </c>
      <c r="I7437" s="9" t="s">
        <v>22</v>
      </c>
      <c r="J7437" s="10">
        <v>2229.48</v>
      </c>
      <c r="K7437" s="11">
        <v>205.99</v>
      </c>
      <c r="L7437" s="11">
        <v>5</v>
      </c>
      <c r="M7437" s="9" t="s">
        <v>1627</v>
      </c>
      <c r="N7437" s="6" t="s">
        <v>703</v>
      </c>
      <c r="O7437" s="6" t="s">
        <v>704</v>
      </c>
      <c r="P7437" s="9" t="s">
        <v>41</v>
      </c>
      <c r="Q7437" s="9" t="s">
        <v>42</v>
      </c>
      <c r="R7437" s="9" t="s">
        <v>43</v>
      </c>
      <c r="S7437" s="7" t="s">
        <v>1318</v>
      </c>
      <c r="T7437" s="9" t="s">
        <v>39</v>
      </c>
      <c r="U7437" s="7">
        <v>0.59</v>
      </c>
      <c r="V7437" s="12">
        <f>C7437+1</f>
        <v>41090</v>
      </c>
      <c r="W7437">
        <f>IF(D7437=' Pivot Tables'!$A$4,1,0)</f>
        <v>0</v>
      </c>
      <c r="X7437">
        <f>IF(AND(LEFT(D7437,4)+1=LEFT(' Pivot Tables'!$A$4,4)+0,RIGHT(LEFT(D7437,7),2)=RIGHT(LEFT(' Pivot Tables'!$A$4,7),2)),1,0)</f>
        <v>0</v>
      </c>
      <c r="Y7437" s="6">
        <f>1/COUNTIF(Таблица1[Order ID],Таблица1[[#This Row],[Order ID]])</f>
        <v>1</v>
      </c>
      <c r="Z7437" s="9">
        <f>1/COUNTIFS(Таблица1[Customer Name],Таблица1[[#This Row],[Customer Name]],Таблица1[Order-Year-Month],Таблица1[[#This Row],[Order-Year-Month]])</f>
        <v>1</v>
      </c>
    </row>
    <row r="7438" spans="1:26" x14ac:dyDescent="0.2">
      <c r="A7438" s="6">
        <v>3319</v>
      </c>
      <c r="B7438" s="7">
        <v>23745</v>
      </c>
      <c r="C7438" s="8">
        <f>DATE(2012,12,31)-26</f>
        <v>41248</v>
      </c>
      <c r="D7438" s="8" t="str">
        <f t="shared" si="141"/>
        <v>2012-12 (декабрь 2012)</v>
      </c>
      <c r="E7438" s="9" t="s">
        <v>21</v>
      </c>
      <c r="F7438" s="7">
        <v>12</v>
      </c>
      <c r="G7438" s="7">
        <v>715.8</v>
      </c>
      <c r="H7438" s="7">
        <v>0.06</v>
      </c>
      <c r="I7438" s="9" t="s">
        <v>22</v>
      </c>
      <c r="J7438" s="10">
        <v>-279.12</v>
      </c>
      <c r="K7438" s="11">
        <v>55.5</v>
      </c>
      <c r="L7438" s="11">
        <v>52.2</v>
      </c>
      <c r="M7438" s="9" t="s">
        <v>2049</v>
      </c>
      <c r="N7438" s="6" t="s">
        <v>703</v>
      </c>
      <c r="O7438" s="6" t="s">
        <v>704</v>
      </c>
      <c r="P7438" s="9" t="s">
        <v>41</v>
      </c>
      <c r="Q7438" s="9" t="s">
        <v>49</v>
      </c>
      <c r="R7438" s="9" t="s">
        <v>50</v>
      </c>
      <c r="S7438" s="7" t="s">
        <v>423</v>
      </c>
      <c r="T7438" s="9" t="s">
        <v>48</v>
      </c>
      <c r="U7438" s="7">
        <v>0.72</v>
      </c>
      <c r="V7438" s="12">
        <f>C7438+0</f>
        <v>41248</v>
      </c>
      <c r="W7438">
        <f>IF(D7438=' Pivot Tables'!$A$4,1,0)</f>
        <v>0</v>
      </c>
      <c r="X7438">
        <f>IF(AND(LEFT(D7438,4)+1=LEFT(' Pivot Tables'!$A$4,4)+0,RIGHT(LEFT(D7438,7),2)=RIGHT(LEFT(' Pivot Tables'!$A$4,7),2)),1,0)</f>
        <v>0</v>
      </c>
      <c r="Y7438" s="6">
        <f>1/COUNTIF(Таблица1[Order ID],Таблица1[[#This Row],[Order ID]])</f>
        <v>0.5</v>
      </c>
      <c r="Z7438" s="9">
        <f>1/COUNTIFS(Таблица1[Customer Name],Таблица1[[#This Row],[Customer Name]],Таблица1[Order-Year-Month],Таблица1[[#This Row],[Order-Year-Month]])</f>
        <v>0.5</v>
      </c>
    </row>
    <row r="7439" spans="1:26" x14ac:dyDescent="0.2">
      <c r="A7439" s="6">
        <v>3320</v>
      </c>
      <c r="B7439" s="7">
        <v>23745</v>
      </c>
      <c r="C7439" s="8">
        <f>DATE(2012,12,31)-26</f>
        <v>41248</v>
      </c>
      <c r="D7439" s="8" t="str">
        <f t="shared" si="141"/>
        <v>2012-12 (декабрь 2012)</v>
      </c>
      <c r="E7439" s="9" t="s">
        <v>21</v>
      </c>
      <c r="F7439" s="7">
        <v>47</v>
      </c>
      <c r="G7439" s="7">
        <v>10941.23</v>
      </c>
      <c r="H7439" s="7">
        <v>0</v>
      </c>
      <c r="I7439" s="9" t="s">
        <v>31</v>
      </c>
      <c r="J7439" s="10">
        <v>1687.07</v>
      </c>
      <c r="K7439" s="11">
        <v>227.55</v>
      </c>
      <c r="L7439" s="11">
        <v>32.479999999999997</v>
      </c>
      <c r="M7439" s="9" t="s">
        <v>2049</v>
      </c>
      <c r="N7439" s="6" t="s">
        <v>703</v>
      </c>
      <c r="O7439" s="6" t="s">
        <v>704</v>
      </c>
      <c r="P7439" s="9" t="s">
        <v>41</v>
      </c>
      <c r="Q7439" s="9" t="s">
        <v>49</v>
      </c>
      <c r="R7439" s="9" t="s">
        <v>83</v>
      </c>
      <c r="S7439" s="7" t="s">
        <v>1632</v>
      </c>
      <c r="T7439" s="9" t="s">
        <v>82</v>
      </c>
      <c r="U7439" s="7">
        <v>0.68</v>
      </c>
      <c r="V7439" s="12">
        <f>C7439+4</f>
        <v>41252</v>
      </c>
      <c r="W7439">
        <f>IF(D7439=' Pivot Tables'!$A$4,1,0)</f>
        <v>0</v>
      </c>
      <c r="X7439">
        <f>IF(AND(LEFT(D7439,4)+1=LEFT(' Pivot Tables'!$A$4,4)+0,RIGHT(LEFT(D7439,7),2)=RIGHT(LEFT(' Pivot Tables'!$A$4,7),2)),1,0)</f>
        <v>0</v>
      </c>
      <c r="Y7439" s="6">
        <f>1/COUNTIF(Таблица1[Order ID],Таблица1[[#This Row],[Order ID]])</f>
        <v>0.5</v>
      </c>
      <c r="Z7439" s="9">
        <f>1/COUNTIFS(Таблица1[Customer Name],Таблица1[[#This Row],[Customer Name]],Таблица1[Order-Year-Month],Таблица1[[#This Row],[Order-Year-Month]])</f>
        <v>0.5</v>
      </c>
    </row>
    <row r="7440" spans="1:26" x14ac:dyDescent="0.2">
      <c r="A7440" s="6">
        <v>3585</v>
      </c>
      <c r="B7440" s="7">
        <v>25571</v>
      </c>
      <c r="C7440" s="8">
        <f>DATE(2012,12,31)-135</f>
        <v>41139</v>
      </c>
      <c r="D7440" s="8" t="str">
        <f t="shared" si="141"/>
        <v>2012-08 (август 2012)</v>
      </c>
      <c r="E7440" s="9" t="s">
        <v>78</v>
      </c>
      <c r="F7440" s="7">
        <v>42</v>
      </c>
      <c r="G7440" s="7">
        <v>3749</v>
      </c>
      <c r="H7440" s="7">
        <v>0.08</v>
      </c>
      <c r="I7440" s="9" t="s">
        <v>22</v>
      </c>
      <c r="J7440" s="10">
        <v>-1032.1300000000001</v>
      </c>
      <c r="K7440" s="11">
        <v>89.83</v>
      </c>
      <c r="L7440" s="11">
        <v>35</v>
      </c>
      <c r="M7440" s="9" t="s">
        <v>953</v>
      </c>
      <c r="N7440" s="6" t="s">
        <v>703</v>
      </c>
      <c r="O7440" s="6" t="s">
        <v>704</v>
      </c>
      <c r="P7440" s="9" t="s">
        <v>33</v>
      </c>
      <c r="Q7440" s="9" t="s">
        <v>26</v>
      </c>
      <c r="R7440" s="9" t="s">
        <v>27</v>
      </c>
      <c r="S7440" s="7" t="s">
        <v>1771</v>
      </c>
      <c r="T7440" s="9" t="s">
        <v>29</v>
      </c>
      <c r="U7440" s="7">
        <v>0.83</v>
      </c>
      <c r="V7440" s="12">
        <f>C7440+2</f>
        <v>41141</v>
      </c>
      <c r="W7440">
        <f>IF(D7440=' Pivot Tables'!$A$4,1,0)</f>
        <v>0</v>
      </c>
      <c r="X7440">
        <f>IF(AND(LEFT(D7440,4)+1=LEFT(' Pivot Tables'!$A$4,4)+0,RIGHT(LEFT(D7440,7),2)=RIGHT(LEFT(' Pivot Tables'!$A$4,7),2)),1,0)</f>
        <v>0</v>
      </c>
      <c r="Y7440" s="6">
        <f>1/COUNTIF(Таблица1[Order ID],Таблица1[[#This Row],[Order ID]])</f>
        <v>1</v>
      </c>
      <c r="Z7440" s="9">
        <f>1/COUNTIFS(Таблица1[Customer Name],Таблица1[[#This Row],[Customer Name]],Таблица1[Order-Year-Month],Таблица1[[#This Row],[Order-Year-Month]])</f>
        <v>1</v>
      </c>
    </row>
    <row r="7441" spans="1:26" x14ac:dyDescent="0.2">
      <c r="A7441" s="6">
        <v>3645</v>
      </c>
      <c r="B7441" s="7">
        <v>26053</v>
      </c>
      <c r="C7441" s="8">
        <f>DATE(2012,12,31)-342</f>
        <v>40932</v>
      </c>
      <c r="D7441" s="8" t="str">
        <f t="shared" si="141"/>
        <v>2012-01 (январь 2012)</v>
      </c>
      <c r="E7441" s="9" t="s">
        <v>21</v>
      </c>
      <c r="F7441" s="7">
        <v>48</v>
      </c>
      <c r="G7441" s="7">
        <v>878.75</v>
      </c>
      <c r="H7441" s="7">
        <v>7.0000000000000007E-2</v>
      </c>
      <c r="I7441" s="9" t="s">
        <v>56</v>
      </c>
      <c r="J7441" s="10">
        <v>70.459999999999994</v>
      </c>
      <c r="K7441" s="11">
        <v>18.97</v>
      </c>
      <c r="L7441" s="11">
        <v>9.0299999999999994</v>
      </c>
      <c r="M7441" s="9" t="s">
        <v>1627</v>
      </c>
      <c r="N7441" s="6" t="s">
        <v>703</v>
      </c>
      <c r="O7441" s="6" t="s">
        <v>704</v>
      </c>
      <c r="P7441" s="9" t="s">
        <v>41</v>
      </c>
      <c r="Q7441" s="9" t="s">
        <v>26</v>
      </c>
      <c r="R7441" s="9" t="s">
        <v>61</v>
      </c>
      <c r="S7441" s="7" t="s">
        <v>123</v>
      </c>
      <c r="T7441" s="9" t="s">
        <v>39</v>
      </c>
      <c r="U7441" s="7">
        <v>0.37</v>
      </c>
      <c r="V7441" s="12">
        <f>C7441+0</f>
        <v>40932</v>
      </c>
      <c r="W7441">
        <f>IF(D7441=' Pivot Tables'!$A$4,1,0)</f>
        <v>0</v>
      </c>
      <c r="X7441">
        <f>IF(AND(LEFT(D7441,4)+1=LEFT(' Pivot Tables'!$A$4,4)+0,RIGHT(LEFT(D7441,7),2)=RIGHT(LEFT(' Pivot Tables'!$A$4,7),2)),1,0)</f>
        <v>0</v>
      </c>
      <c r="Y7441" s="6">
        <f>1/COUNTIF(Таблица1[Order ID],Таблица1[[#This Row],[Order ID]])</f>
        <v>1</v>
      </c>
      <c r="Z7441" s="9">
        <f>1/COUNTIFS(Таблица1[Customer Name],Таблица1[[#This Row],[Customer Name]],Таблица1[Order-Year-Month],Таблица1[[#This Row],[Order-Year-Month]])</f>
        <v>1</v>
      </c>
    </row>
    <row r="7442" spans="1:26" x14ac:dyDescent="0.2">
      <c r="A7442" s="6">
        <v>3670</v>
      </c>
      <c r="B7442" s="7">
        <v>26277</v>
      </c>
      <c r="C7442" s="8">
        <f>DATE(2012,12,31)-553</f>
        <v>40721</v>
      </c>
      <c r="D7442" s="8" t="str">
        <f t="shared" si="141"/>
        <v>2011-06 (июнь 2011)</v>
      </c>
      <c r="E7442" s="9" t="s">
        <v>63</v>
      </c>
      <c r="F7442" s="7">
        <v>17</v>
      </c>
      <c r="G7442" s="7">
        <v>877.81</v>
      </c>
      <c r="H7442" s="7">
        <v>0.02</v>
      </c>
      <c r="I7442" s="9" t="s">
        <v>22</v>
      </c>
      <c r="J7442" s="10">
        <v>-44.4</v>
      </c>
      <c r="K7442" s="11">
        <v>49.99</v>
      </c>
      <c r="L7442" s="11">
        <v>19.989999999999998</v>
      </c>
      <c r="M7442" s="9" t="s">
        <v>2064</v>
      </c>
      <c r="N7442" s="6" t="s">
        <v>703</v>
      </c>
      <c r="O7442" s="6" t="s">
        <v>704</v>
      </c>
      <c r="P7442" s="9" t="s">
        <v>41</v>
      </c>
      <c r="Q7442" s="9" t="s">
        <v>42</v>
      </c>
      <c r="R7442" s="9" t="s">
        <v>70</v>
      </c>
      <c r="S7442" s="7" t="s">
        <v>1682</v>
      </c>
      <c r="T7442" s="9" t="s">
        <v>39</v>
      </c>
      <c r="U7442" s="7">
        <v>0.45</v>
      </c>
      <c r="V7442" s="12">
        <f>C7442+1</f>
        <v>40722</v>
      </c>
      <c r="W7442">
        <f>IF(D7442=' Pivot Tables'!$A$4,1,0)</f>
        <v>0</v>
      </c>
      <c r="X7442">
        <f>IF(AND(LEFT(D7442,4)+1=LEFT(' Pivot Tables'!$A$4,4)+0,RIGHT(LEFT(D7442,7),2)=RIGHT(LEFT(' Pivot Tables'!$A$4,7),2)),1,0)</f>
        <v>0</v>
      </c>
      <c r="Y7442" s="6">
        <f>1/COUNTIF(Таблица1[Order ID],Таблица1[[#This Row],[Order ID]])</f>
        <v>1</v>
      </c>
      <c r="Z7442" s="9">
        <f>1/COUNTIFS(Таблица1[Customer Name],Таблица1[[#This Row],[Customer Name]],Таблица1[Order-Year-Month],Таблица1[[#This Row],[Order-Year-Month]])</f>
        <v>1</v>
      </c>
    </row>
    <row r="7443" spans="1:26" x14ac:dyDescent="0.2">
      <c r="A7443" s="6">
        <v>3692</v>
      </c>
      <c r="B7443" s="7">
        <v>26374</v>
      </c>
      <c r="C7443" s="8">
        <f>DATE(2012,12,31)-1152</f>
        <v>40122</v>
      </c>
      <c r="D7443" s="8" t="str">
        <f t="shared" si="141"/>
        <v>2009-11 (ноябрь 2009)</v>
      </c>
      <c r="E7443" s="9" t="s">
        <v>45</v>
      </c>
      <c r="F7443" s="7">
        <v>5</v>
      </c>
      <c r="G7443" s="7">
        <v>90.941499999999991</v>
      </c>
      <c r="H7443" s="7">
        <v>0.05</v>
      </c>
      <c r="I7443" s="9" t="s">
        <v>22</v>
      </c>
      <c r="J7443" s="10">
        <v>-109.417</v>
      </c>
      <c r="K7443" s="11">
        <v>20.99</v>
      </c>
      <c r="L7443" s="11">
        <v>3.3</v>
      </c>
      <c r="M7443" s="9" t="s">
        <v>2064</v>
      </c>
      <c r="N7443" s="6" t="s">
        <v>703</v>
      </c>
      <c r="O7443" s="6" t="s">
        <v>704</v>
      </c>
      <c r="P7443" s="9" t="s">
        <v>41</v>
      </c>
      <c r="Q7443" s="9" t="s">
        <v>42</v>
      </c>
      <c r="R7443" s="9" t="s">
        <v>43</v>
      </c>
      <c r="S7443" s="7" t="s">
        <v>295</v>
      </c>
      <c r="T7443" s="9" t="s">
        <v>52</v>
      </c>
      <c r="U7443" s="7">
        <v>0.81</v>
      </c>
      <c r="V7443" s="12">
        <f>C7443+1</f>
        <v>40123</v>
      </c>
      <c r="W7443">
        <f>IF(D7443=' Pivot Tables'!$A$4,1,0)</f>
        <v>0</v>
      </c>
      <c r="X7443">
        <f>IF(AND(LEFT(D7443,4)+1=LEFT(' Pivot Tables'!$A$4,4)+0,RIGHT(LEFT(D7443,7),2)=RIGHT(LEFT(' Pivot Tables'!$A$4,7),2)),1,0)</f>
        <v>0</v>
      </c>
      <c r="Y7443" s="6">
        <f>1/COUNTIF(Таблица1[Order ID],Таблица1[[#This Row],[Order ID]])</f>
        <v>1</v>
      </c>
      <c r="Z7443" s="9">
        <f>1/COUNTIFS(Таблица1[Customer Name],Таблица1[[#This Row],[Customer Name]],Таблица1[Order-Year-Month],Таблица1[[#This Row],[Order-Year-Month]])</f>
        <v>1</v>
      </c>
    </row>
    <row r="7444" spans="1:26" x14ac:dyDescent="0.2">
      <c r="A7444" s="6">
        <v>3771</v>
      </c>
      <c r="B7444" s="7">
        <v>26944</v>
      </c>
      <c r="C7444" s="8">
        <f>DATE(2012,12,31)-1150</f>
        <v>40124</v>
      </c>
      <c r="D7444" s="8" t="str">
        <f t="shared" si="141"/>
        <v>2009-11 (ноябрь 2009)</v>
      </c>
      <c r="E7444" s="9" t="s">
        <v>78</v>
      </c>
      <c r="F7444" s="7">
        <v>6</v>
      </c>
      <c r="G7444" s="7">
        <v>453.87</v>
      </c>
      <c r="H7444" s="7">
        <v>0.02</v>
      </c>
      <c r="I7444" s="9" t="s">
        <v>22</v>
      </c>
      <c r="J7444" s="10">
        <v>-217.69</v>
      </c>
      <c r="K7444" s="11">
        <v>73.98</v>
      </c>
      <c r="L7444" s="11">
        <v>14.52</v>
      </c>
      <c r="M7444" s="9" t="s">
        <v>1228</v>
      </c>
      <c r="N7444" s="6" t="s">
        <v>703</v>
      </c>
      <c r="O7444" s="6" t="s">
        <v>704</v>
      </c>
      <c r="P7444" s="9" t="s">
        <v>60</v>
      </c>
      <c r="Q7444" s="9" t="s">
        <v>42</v>
      </c>
      <c r="R7444" s="9" t="s">
        <v>70</v>
      </c>
      <c r="S7444" s="7" t="s">
        <v>822</v>
      </c>
      <c r="T7444" s="9" t="s">
        <v>39</v>
      </c>
      <c r="U7444" s="7">
        <v>0.65</v>
      </c>
      <c r="V7444" s="12">
        <f>C7444+3</f>
        <v>40127</v>
      </c>
      <c r="W7444">
        <f>IF(D7444=' Pivot Tables'!$A$4,1,0)</f>
        <v>0</v>
      </c>
      <c r="X7444">
        <f>IF(AND(LEFT(D7444,4)+1=LEFT(' Pivot Tables'!$A$4,4)+0,RIGHT(LEFT(D7444,7),2)=RIGHT(LEFT(' Pivot Tables'!$A$4,7),2)),1,0)</f>
        <v>0</v>
      </c>
      <c r="Y7444" s="6">
        <f>1/COUNTIF(Таблица1[Order ID],Таблица1[[#This Row],[Order ID]])</f>
        <v>1</v>
      </c>
      <c r="Z7444" s="9">
        <f>1/COUNTIFS(Таблица1[Customer Name],Таблица1[[#This Row],[Customer Name]],Таблица1[Order-Year-Month],Таблица1[[#This Row],[Order-Year-Month]])</f>
        <v>1</v>
      </c>
    </row>
    <row r="7445" spans="1:26" x14ac:dyDescent="0.2">
      <c r="A7445" s="6">
        <v>3791</v>
      </c>
      <c r="B7445" s="7">
        <v>27013</v>
      </c>
      <c r="C7445" s="8">
        <f>DATE(2012,12,31)-1275</f>
        <v>39999</v>
      </c>
      <c r="D7445" s="8" t="str">
        <f t="shared" si="141"/>
        <v>2009-07 (июль 2009)</v>
      </c>
      <c r="E7445" s="9" t="s">
        <v>21</v>
      </c>
      <c r="F7445" s="7">
        <v>28</v>
      </c>
      <c r="G7445" s="7">
        <v>2232.15</v>
      </c>
      <c r="H7445" s="7">
        <v>0.05</v>
      </c>
      <c r="I7445" s="9" t="s">
        <v>22</v>
      </c>
      <c r="J7445" s="10">
        <v>-746.44</v>
      </c>
      <c r="K7445" s="11">
        <v>80.98</v>
      </c>
      <c r="L7445" s="11">
        <v>35</v>
      </c>
      <c r="M7445" s="9" t="s">
        <v>2062</v>
      </c>
      <c r="N7445" s="6" t="s">
        <v>703</v>
      </c>
      <c r="O7445" s="6" t="s">
        <v>704</v>
      </c>
      <c r="P7445" s="9" t="s">
        <v>60</v>
      </c>
      <c r="Q7445" s="9" t="s">
        <v>26</v>
      </c>
      <c r="R7445" s="9" t="s">
        <v>27</v>
      </c>
      <c r="S7445" s="7" t="s">
        <v>171</v>
      </c>
      <c r="T7445" s="9" t="s">
        <v>29</v>
      </c>
      <c r="U7445" s="7">
        <v>0.81</v>
      </c>
      <c r="V7445" s="12">
        <f>C7445+4</f>
        <v>40003</v>
      </c>
      <c r="W7445">
        <f>IF(D7445=' Pivot Tables'!$A$4,1,0)</f>
        <v>0</v>
      </c>
      <c r="X7445">
        <f>IF(AND(LEFT(D7445,4)+1=LEFT(' Pivot Tables'!$A$4,4)+0,RIGHT(LEFT(D7445,7),2)=RIGHT(LEFT(' Pivot Tables'!$A$4,7),2)),1,0)</f>
        <v>0</v>
      </c>
      <c r="Y7445" s="6">
        <f>1/COUNTIF(Таблица1[Order ID],Таблица1[[#This Row],[Order ID]])</f>
        <v>0.5</v>
      </c>
      <c r="Z7445" s="9">
        <f>1/COUNTIFS(Таблица1[Customer Name],Таблица1[[#This Row],[Customer Name]],Таблица1[Order-Year-Month],Таблица1[[#This Row],[Order-Year-Month]])</f>
        <v>0.5</v>
      </c>
    </row>
    <row r="7446" spans="1:26" x14ac:dyDescent="0.2">
      <c r="A7446" s="6">
        <v>3792</v>
      </c>
      <c r="B7446" s="7">
        <v>27013</v>
      </c>
      <c r="C7446" s="8">
        <f>DATE(2012,12,31)-1275</f>
        <v>39999</v>
      </c>
      <c r="D7446" s="8" t="str">
        <f t="shared" si="141"/>
        <v>2009-07 (июль 2009)</v>
      </c>
      <c r="E7446" s="9" t="s">
        <v>21</v>
      </c>
      <c r="F7446" s="7">
        <v>26</v>
      </c>
      <c r="G7446" s="7">
        <v>7007.19</v>
      </c>
      <c r="H7446" s="7">
        <v>0.05</v>
      </c>
      <c r="I7446" s="9" t="s">
        <v>22</v>
      </c>
      <c r="J7446" s="10">
        <v>-274.95</v>
      </c>
      <c r="K7446" s="11">
        <v>279.48</v>
      </c>
      <c r="L7446" s="11">
        <v>35</v>
      </c>
      <c r="M7446" s="9" t="s">
        <v>2062</v>
      </c>
      <c r="N7446" s="6" t="s">
        <v>703</v>
      </c>
      <c r="O7446" s="6" t="s">
        <v>704</v>
      </c>
      <c r="P7446" s="9" t="s">
        <v>60</v>
      </c>
      <c r="Q7446" s="9" t="s">
        <v>26</v>
      </c>
      <c r="R7446" s="9" t="s">
        <v>27</v>
      </c>
      <c r="S7446" s="7" t="s">
        <v>180</v>
      </c>
      <c r="T7446" s="9" t="s">
        <v>29</v>
      </c>
      <c r="U7446" s="7">
        <v>0.8</v>
      </c>
      <c r="V7446" s="12">
        <f>C7446+0</f>
        <v>39999</v>
      </c>
      <c r="W7446">
        <f>IF(D7446=' Pivot Tables'!$A$4,1,0)</f>
        <v>0</v>
      </c>
      <c r="X7446">
        <f>IF(AND(LEFT(D7446,4)+1=LEFT(' Pivot Tables'!$A$4,4)+0,RIGHT(LEFT(D7446,7),2)=RIGHT(LEFT(' Pivot Tables'!$A$4,7),2)),1,0)</f>
        <v>0</v>
      </c>
      <c r="Y7446" s="6">
        <f>1/COUNTIF(Таблица1[Order ID],Таблица1[[#This Row],[Order ID]])</f>
        <v>0.5</v>
      </c>
      <c r="Z7446" s="9">
        <f>1/COUNTIFS(Таблица1[Customer Name],Таблица1[[#This Row],[Customer Name]],Таблица1[Order-Year-Month],Таблица1[[#This Row],[Order-Year-Month]])</f>
        <v>0.5</v>
      </c>
    </row>
    <row r="7447" spans="1:26" x14ac:dyDescent="0.2">
      <c r="A7447" s="6">
        <v>3913</v>
      </c>
      <c r="B7447" s="7">
        <v>27904</v>
      </c>
      <c r="C7447" s="8">
        <f>DATE(2012,12,31)-485</f>
        <v>40789</v>
      </c>
      <c r="D7447" s="8" t="str">
        <f t="shared" si="141"/>
        <v>2011-09 (сентябрь 2011)</v>
      </c>
      <c r="E7447" s="9" t="s">
        <v>30</v>
      </c>
      <c r="F7447" s="7">
        <v>8</v>
      </c>
      <c r="G7447" s="7">
        <v>460.58949999999999</v>
      </c>
      <c r="H7447" s="7">
        <v>0.02</v>
      </c>
      <c r="I7447" s="9" t="s">
        <v>22</v>
      </c>
      <c r="J7447" s="10">
        <v>-171.20399999999998</v>
      </c>
      <c r="K7447" s="11">
        <v>65.989999999999995</v>
      </c>
      <c r="L7447" s="11">
        <v>8.99</v>
      </c>
      <c r="M7447" s="9" t="s">
        <v>797</v>
      </c>
      <c r="N7447" s="6" t="s">
        <v>703</v>
      </c>
      <c r="O7447" s="6" t="s">
        <v>704</v>
      </c>
      <c r="P7447" s="9" t="s">
        <v>33</v>
      </c>
      <c r="Q7447" s="9" t="s">
        <v>42</v>
      </c>
      <c r="R7447" s="9" t="s">
        <v>43</v>
      </c>
      <c r="S7447" s="7" t="s">
        <v>534</v>
      </c>
      <c r="T7447" s="9" t="s">
        <v>39</v>
      </c>
      <c r="U7447" s="7">
        <v>0.56000000000000005</v>
      </c>
      <c r="V7447" s="12">
        <f>C7447+1</f>
        <v>40790</v>
      </c>
      <c r="W7447">
        <f>IF(D7447=' Pivot Tables'!$A$4,1,0)</f>
        <v>0</v>
      </c>
      <c r="X7447">
        <f>IF(AND(LEFT(D7447,4)+1=LEFT(' Pivot Tables'!$A$4,4)+0,RIGHT(LEFT(D7447,7),2)=RIGHT(LEFT(' Pivot Tables'!$A$4,7),2)),1,0)</f>
        <v>0</v>
      </c>
      <c r="Y7447" s="6">
        <f>1/COUNTIF(Таблица1[Order ID],Таблица1[[#This Row],[Order ID]])</f>
        <v>1</v>
      </c>
      <c r="Z7447" s="9">
        <f>1/COUNTIFS(Таблица1[Customer Name],Таблица1[[#This Row],[Customer Name]],Таблица1[Order-Year-Month],Таблица1[[#This Row],[Order-Year-Month]])</f>
        <v>1</v>
      </c>
    </row>
    <row r="7448" spans="1:26" x14ac:dyDescent="0.2">
      <c r="A7448" s="6">
        <v>3925</v>
      </c>
      <c r="B7448" s="7">
        <v>27974</v>
      </c>
      <c r="C7448" s="8">
        <f>DATE(2012,12,31)-816</f>
        <v>40458</v>
      </c>
      <c r="D7448" s="8" t="str">
        <f t="shared" si="141"/>
        <v>2010-10 (октябрь 2010)</v>
      </c>
      <c r="E7448" s="9" t="s">
        <v>30</v>
      </c>
      <c r="F7448" s="7">
        <v>31</v>
      </c>
      <c r="G7448" s="7">
        <v>813.41</v>
      </c>
      <c r="H7448" s="7">
        <v>0.09</v>
      </c>
      <c r="I7448" s="9" t="s">
        <v>56</v>
      </c>
      <c r="J7448" s="10">
        <v>284.64999999999998</v>
      </c>
      <c r="K7448" s="11">
        <v>28.48</v>
      </c>
      <c r="L7448" s="11">
        <v>1.99</v>
      </c>
      <c r="M7448" s="9" t="s">
        <v>1782</v>
      </c>
      <c r="N7448" s="6" t="s">
        <v>703</v>
      </c>
      <c r="O7448" s="6" t="s">
        <v>704</v>
      </c>
      <c r="P7448" s="9" t="s">
        <v>60</v>
      </c>
      <c r="Q7448" s="9" t="s">
        <v>42</v>
      </c>
      <c r="R7448" s="9" t="s">
        <v>70</v>
      </c>
      <c r="S7448" s="7" t="s">
        <v>523</v>
      </c>
      <c r="T7448" s="9" t="s">
        <v>52</v>
      </c>
      <c r="U7448" s="7">
        <v>0.4</v>
      </c>
      <c r="V7448" s="12">
        <f>C7448+2</f>
        <v>40460</v>
      </c>
      <c r="W7448">
        <f>IF(D7448=' Pivot Tables'!$A$4,1,0)</f>
        <v>0</v>
      </c>
      <c r="X7448">
        <f>IF(AND(LEFT(D7448,4)+1=LEFT(' Pivot Tables'!$A$4,4)+0,RIGHT(LEFT(D7448,7),2)=RIGHT(LEFT(' Pivot Tables'!$A$4,7),2)),1,0)</f>
        <v>0</v>
      </c>
      <c r="Y7448" s="6">
        <f>1/COUNTIF(Таблица1[Order ID],Таблица1[[#This Row],[Order ID]])</f>
        <v>0.33333333333333331</v>
      </c>
      <c r="Z7448" s="9">
        <f>1/COUNTIFS(Таблица1[Customer Name],Таблица1[[#This Row],[Customer Name]],Таблица1[Order-Year-Month],Таблица1[[#This Row],[Order-Year-Month]])</f>
        <v>0.33333333333333331</v>
      </c>
    </row>
    <row r="7449" spans="1:26" x14ac:dyDescent="0.2">
      <c r="A7449" s="6">
        <v>4192</v>
      </c>
      <c r="B7449" s="7">
        <v>29767</v>
      </c>
      <c r="C7449" s="8">
        <f>DATE(2012,12,31)-695</f>
        <v>40579</v>
      </c>
      <c r="D7449" s="8" t="str">
        <f t="shared" si="141"/>
        <v>2011-02 (февраль 2011)</v>
      </c>
      <c r="E7449" s="9" t="s">
        <v>30</v>
      </c>
      <c r="F7449" s="7">
        <v>48</v>
      </c>
      <c r="G7449" s="7">
        <v>4153.0600000000004</v>
      </c>
      <c r="H7449" s="7">
        <v>0.06</v>
      </c>
      <c r="I7449" s="9" t="s">
        <v>22</v>
      </c>
      <c r="J7449" s="10">
        <v>1499.41</v>
      </c>
      <c r="K7449" s="11">
        <v>90.24</v>
      </c>
      <c r="L7449" s="11">
        <v>0.99</v>
      </c>
      <c r="M7449" s="9" t="s">
        <v>1228</v>
      </c>
      <c r="N7449" s="6" t="s">
        <v>703</v>
      </c>
      <c r="O7449" s="6" t="s">
        <v>704</v>
      </c>
      <c r="P7449" s="9" t="s">
        <v>60</v>
      </c>
      <c r="Q7449" s="9" t="s">
        <v>26</v>
      </c>
      <c r="R7449" s="9" t="s">
        <v>34</v>
      </c>
      <c r="S7449" s="7" t="s">
        <v>1729</v>
      </c>
      <c r="T7449" s="9" t="s">
        <v>39</v>
      </c>
      <c r="U7449" s="7">
        <v>0.56000000000000005</v>
      </c>
      <c r="V7449" s="12">
        <f>C7449+1</f>
        <v>40580</v>
      </c>
      <c r="W7449">
        <f>IF(D7449=' Pivot Tables'!$A$4,1,0)</f>
        <v>0</v>
      </c>
      <c r="X7449">
        <f>IF(AND(LEFT(D7449,4)+1=LEFT(' Pivot Tables'!$A$4,4)+0,RIGHT(LEFT(D7449,7),2)=RIGHT(LEFT(' Pivot Tables'!$A$4,7),2)),1,0)</f>
        <v>0</v>
      </c>
      <c r="Y7449" s="6">
        <f>1/COUNTIF(Таблица1[Order ID],Таблица1[[#This Row],[Order ID]])</f>
        <v>1</v>
      </c>
      <c r="Z7449" s="9">
        <f>1/COUNTIFS(Таблица1[Customer Name],Таблица1[[#This Row],[Customer Name]],Таблица1[Order-Year-Month],Таблица1[[#This Row],[Order-Year-Month]])</f>
        <v>1</v>
      </c>
    </row>
    <row r="7450" spans="1:26" x14ac:dyDescent="0.2">
      <c r="A7450" s="6">
        <v>4196</v>
      </c>
      <c r="B7450" s="7">
        <v>29826</v>
      </c>
      <c r="C7450" s="8">
        <f>DATE(2012,12,31)-1194</f>
        <v>40080</v>
      </c>
      <c r="D7450" s="8" t="str">
        <f t="shared" si="141"/>
        <v>2009-09 (сентябрь 2009)</v>
      </c>
      <c r="E7450" s="9" t="s">
        <v>78</v>
      </c>
      <c r="F7450" s="7">
        <v>9</v>
      </c>
      <c r="G7450" s="7">
        <v>157.63</v>
      </c>
      <c r="H7450" s="7">
        <v>0.06</v>
      </c>
      <c r="I7450" s="9" t="s">
        <v>22</v>
      </c>
      <c r="J7450" s="10">
        <v>-78.13</v>
      </c>
      <c r="K7450" s="11">
        <v>17.98</v>
      </c>
      <c r="L7450" s="11">
        <v>4</v>
      </c>
      <c r="M7450" s="9" t="s">
        <v>953</v>
      </c>
      <c r="N7450" s="6" t="s">
        <v>703</v>
      </c>
      <c r="O7450" s="6" t="s">
        <v>704</v>
      </c>
      <c r="P7450" s="9" t="s">
        <v>33</v>
      </c>
      <c r="Q7450" s="9" t="s">
        <v>42</v>
      </c>
      <c r="R7450" s="9" t="s">
        <v>70</v>
      </c>
      <c r="S7450" s="7" t="s">
        <v>846</v>
      </c>
      <c r="T7450" s="9" t="s">
        <v>39</v>
      </c>
      <c r="U7450" s="7">
        <v>0.79</v>
      </c>
      <c r="V7450" s="12">
        <f>C7450+1</f>
        <v>40081</v>
      </c>
      <c r="W7450">
        <f>IF(D7450=' Pivot Tables'!$A$4,1,0)</f>
        <v>0</v>
      </c>
      <c r="X7450">
        <f>IF(AND(LEFT(D7450,4)+1=LEFT(' Pivot Tables'!$A$4,4)+0,RIGHT(LEFT(D7450,7),2)=RIGHT(LEFT(' Pivot Tables'!$A$4,7),2)),1,0)</f>
        <v>0</v>
      </c>
      <c r="Y7450" s="6">
        <f>1/COUNTIF(Таблица1[Order ID],Таблица1[[#This Row],[Order ID]])</f>
        <v>1</v>
      </c>
      <c r="Z7450" s="9">
        <f>1/COUNTIFS(Таблица1[Customer Name],Таблица1[[#This Row],[Customer Name]],Таблица1[Order-Year-Month],Таблица1[[#This Row],[Order-Year-Month]])</f>
        <v>1</v>
      </c>
    </row>
    <row r="7451" spans="1:26" x14ac:dyDescent="0.2">
      <c r="A7451" s="6">
        <v>4290</v>
      </c>
      <c r="B7451" s="7">
        <v>30566</v>
      </c>
      <c r="C7451" s="8">
        <f>DATE(2012,12,31)-549</f>
        <v>40725</v>
      </c>
      <c r="D7451" s="8" t="str">
        <f t="shared" si="141"/>
        <v>2011-07 (июль 2011)</v>
      </c>
      <c r="E7451" s="9" t="s">
        <v>21</v>
      </c>
      <c r="F7451" s="7">
        <v>34</v>
      </c>
      <c r="G7451" s="7">
        <v>225.45</v>
      </c>
      <c r="H7451" s="7">
        <v>0.02</v>
      </c>
      <c r="I7451" s="9" t="s">
        <v>22</v>
      </c>
      <c r="J7451" s="10">
        <v>-193.39</v>
      </c>
      <c r="K7451" s="11">
        <v>6.48</v>
      </c>
      <c r="L7451" s="11">
        <v>9.5399999999999991</v>
      </c>
      <c r="M7451" s="9" t="s">
        <v>2070</v>
      </c>
      <c r="N7451" s="6" t="s">
        <v>703</v>
      </c>
      <c r="O7451" s="6" t="s">
        <v>704</v>
      </c>
      <c r="P7451" s="9" t="s">
        <v>25</v>
      </c>
      <c r="Q7451" s="9" t="s">
        <v>26</v>
      </c>
      <c r="R7451" s="9" t="s">
        <v>61</v>
      </c>
      <c r="S7451" s="7" t="s">
        <v>518</v>
      </c>
      <c r="T7451" s="9" t="s">
        <v>39</v>
      </c>
      <c r="U7451" s="7">
        <v>0.37</v>
      </c>
      <c r="V7451" s="12">
        <f>C7451+2</f>
        <v>40727</v>
      </c>
      <c r="W7451">
        <f>IF(D7451=' Pivot Tables'!$A$4,1,0)</f>
        <v>0</v>
      </c>
      <c r="X7451">
        <f>IF(AND(LEFT(D7451,4)+1=LEFT(' Pivot Tables'!$A$4,4)+0,RIGHT(LEFT(D7451,7),2)=RIGHT(LEFT(' Pivot Tables'!$A$4,7),2)),1,0)</f>
        <v>0</v>
      </c>
      <c r="Y7451" s="6">
        <f>1/COUNTIF(Таблица1[Order ID],Таблица1[[#This Row],[Order ID]])</f>
        <v>1</v>
      </c>
      <c r="Z7451" s="9">
        <f>1/COUNTIFS(Таблица1[Customer Name],Таблица1[[#This Row],[Customer Name]],Таблица1[Order-Year-Month],Таблица1[[#This Row],[Order-Year-Month]])</f>
        <v>1</v>
      </c>
    </row>
    <row r="7452" spans="1:26" x14ac:dyDescent="0.2">
      <c r="A7452" s="6">
        <v>4329</v>
      </c>
      <c r="B7452" s="7">
        <v>30852</v>
      </c>
      <c r="C7452" s="8">
        <f>DATE(2012,12,31)-1327</f>
        <v>39947</v>
      </c>
      <c r="D7452" s="8" t="str">
        <f t="shared" si="141"/>
        <v>2009-05 (май 2009)</v>
      </c>
      <c r="E7452" s="9" t="s">
        <v>78</v>
      </c>
      <c r="F7452" s="7">
        <v>35</v>
      </c>
      <c r="G7452" s="7">
        <v>2827.1424999999999</v>
      </c>
      <c r="H7452" s="7">
        <v>0.01</v>
      </c>
      <c r="I7452" s="9" t="s">
        <v>22</v>
      </c>
      <c r="J7452" s="10">
        <v>713.88</v>
      </c>
      <c r="K7452" s="11">
        <v>95.99</v>
      </c>
      <c r="L7452" s="11">
        <v>4.9000000000000004</v>
      </c>
      <c r="M7452" s="9" t="s">
        <v>2063</v>
      </c>
      <c r="N7452" s="6" t="s">
        <v>703</v>
      </c>
      <c r="O7452" s="6" t="s">
        <v>704</v>
      </c>
      <c r="P7452" s="9" t="s">
        <v>41</v>
      </c>
      <c r="Q7452" s="9" t="s">
        <v>42</v>
      </c>
      <c r="R7452" s="9" t="s">
        <v>43</v>
      </c>
      <c r="S7452" s="7" t="s">
        <v>1254</v>
      </c>
      <c r="T7452" s="9" t="s">
        <v>39</v>
      </c>
      <c r="U7452" s="7">
        <v>0.56000000000000005</v>
      </c>
      <c r="V7452" s="12">
        <f>C7452+1</f>
        <v>39948</v>
      </c>
      <c r="W7452">
        <f>IF(D7452=' Pivot Tables'!$A$4,1,0)</f>
        <v>0</v>
      </c>
      <c r="X7452">
        <f>IF(AND(LEFT(D7452,4)+1=LEFT(' Pivot Tables'!$A$4,4)+0,RIGHT(LEFT(D7452,7),2)=RIGHT(LEFT(' Pivot Tables'!$A$4,7),2)),1,0)</f>
        <v>0</v>
      </c>
      <c r="Y7452" s="6">
        <f>1/COUNTIF(Таблица1[Order ID],Таблица1[[#This Row],[Order ID]])</f>
        <v>1</v>
      </c>
      <c r="Z7452" s="9">
        <f>1/COUNTIFS(Таблица1[Customer Name],Таблица1[[#This Row],[Customer Name]],Таблица1[Order-Year-Month],Таблица1[[#This Row],[Order-Year-Month]])</f>
        <v>1</v>
      </c>
    </row>
    <row r="7453" spans="1:26" x14ac:dyDescent="0.2">
      <c r="A7453" s="6">
        <v>4379</v>
      </c>
      <c r="B7453" s="7">
        <v>31204</v>
      </c>
      <c r="C7453" s="8">
        <f>DATE(2012,12,31)-863</f>
        <v>40411</v>
      </c>
      <c r="D7453" s="8" t="str">
        <f t="shared" si="141"/>
        <v>2010-08 (август 2010)</v>
      </c>
      <c r="E7453" s="9" t="s">
        <v>21</v>
      </c>
      <c r="F7453" s="7">
        <v>14</v>
      </c>
      <c r="G7453" s="7">
        <v>215.52</v>
      </c>
      <c r="H7453" s="7">
        <v>0.02</v>
      </c>
      <c r="I7453" s="9" t="s">
        <v>22</v>
      </c>
      <c r="J7453" s="10">
        <v>75.83</v>
      </c>
      <c r="K7453" s="11">
        <v>14.34</v>
      </c>
      <c r="L7453" s="11">
        <v>5</v>
      </c>
      <c r="M7453" s="9" t="s">
        <v>877</v>
      </c>
      <c r="N7453" s="6" t="s">
        <v>703</v>
      </c>
      <c r="O7453" s="6" t="s">
        <v>704</v>
      </c>
      <c r="P7453" s="9" t="s">
        <v>25</v>
      </c>
      <c r="Q7453" s="9" t="s">
        <v>49</v>
      </c>
      <c r="R7453" s="9" t="s">
        <v>50</v>
      </c>
      <c r="S7453" s="7" t="s">
        <v>706</v>
      </c>
      <c r="T7453" s="9" t="s">
        <v>52</v>
      </c>
      <c r="U7453" s="7">
        <v>0.49</v>
      </c>
      <c r="V7453" s="12">
        <f>C7453+5</f>
        <v>40416</v>
      </c>
      <c r="W7453">
        <f>IF(D7453=' Pivot Tables'!$A$4,1,0)</f>
        <v>0</v>
      </c>
      <c r="X7453">
        <f>IF(AND(LEFT(D7453,4)+1=LEFT(' Pivot Tables'!$A$4,4)+0,RIGHT(LEFT(D7453,7),2)=RIGHT(LEFT(' Pivot Tables'!$A$4,7),2)),1,0)</f>
        <v>0</v>
      </c>
      <c r="Y7453" s="6">
        <f>1/COUNTIF(Таблица1[Order ID],Таблица1[[#This Row],[Order ID]])</f>
        <v>0.5</v>
      </c>
      <c r="Z7453" s="9">
        <f>1/COUNTIFS(Таблица1[Customer Name],Таблица1[[#This Row],[Customer Name]],Таблица1[Order-Year-Month],Таблица1[[#This Row],[Order-Year-Month]])</f>
        <v>0.5</v>
      </c>
    </row>
    <row r="7454" spans="1:26" x14ac:dyDescent="0.2">
      <c r="A7454" s="6">
        <v>4380</v>
      </c>
      <c r="B7454" s="7">
        <v>31204</v>
      </c>
      <c r="C7454" s="8">
        <f>DATE(2012,12,31)-863</f>
        <v>40411</v>
      </c>
      <c r="D7454" s="8" t="str">
        <f t="shared" si="141"/>
        <v>2010-08 (август 2010)</v>
      </c>
      <c r="E7454" s="9" t="s">
        <v>21</v>
      </c>
      <c r="F7454" s="7">
        <v>8</v>
      </c>
      <c r="G7454" s="7">
        <v>10.46</v>
      </c>
      <c r="H7454" s="7">
        <v>0</v>
      </c>
      <c r="I7454" s="9" t="s">
        <v>22</v>
      </c>
      <c r="J7454" s="10">
        <v>-0.89</v>
      </c>
      <c r="K7454" s="11">
        <v>1.1399999999999999</v>
      </c>
      <c r="L7454" s="11">
        <v>0.7</v>
      </c>
      <c r="M7454" s="9" t="s">
        <v>877</v>
      </c>
      <c r="N7454" s="6" t="s">
        <v>703</v>
      </c>
      <c r="O7454" s="6" t="s">
        <v>704</v>
      </c>
      <c r="P7454" s="9" t="s">
        <v>25</v>
      </c>
      <c r="Q7454" s="9" t="s">
        <v>26</v>
      </c>
      <c r="R7454" s="9" t="s">
        <v>66</v>
      </c>
      <c r="S7454" s="7" t="s">
        <v>1657</v>
      </c>
      <c r="T7454" s="9" t="s">
        <v>68</v>
      </c>
      <c r="U7454" s="7">
        <v>0.38</v>
      </c>
      <c r="V7454" s="12">
        <f>C7454+0</f>
        <v>40411</v>
      </c>
      <c r="W7454">
        <f>IF(D7454=' Pivot Tables'!$A$4,1,0)</f>
        <v>0</v>
      </c>
      <c r="X7454">
        <f>IF(AND(LEFT(D7454,4)+1=LEFT(' Pivot Tables'!$A$4,4)+0,RIGHT(LEFT(D7454,7),2)=RIGHT(LEFT(' Pivot Tables'!$A$4,7),2)),1,0)</f>
        <v>0</v>
      </c>
      <c r="Y7454" s="6">
        <f>1/COUNTIF(Таблица1[Order ID],Таблица1[[#This Row],[Order ID]])</f>
        <v>0.5</v>
      </c>
      <c r="Z7454" s="9">
        <f>1/COUNTIFS(Таблица1[Customer Name],Таблица1[[#This Row],[Customer Name]],Таблица1[Order-Year-Month],Таблица1[[#This Row],[Order-Year-Month]])</f>
        <v>0.5</v>
      </c>
    </row>
    <row r="7455" spans="1:26" x14ac:dyDescent="0.2">
      <c r="A7455" s="6">
        <v>4567</v>
      </c>
      <c r="B7455" s="7">
        <v>32513</v>
      </c>
      <c r="C7455" s="8">
        <f>DATE(2012,12,31)-333</f>
        <v>40941</v>
      </c>
      <c r="D7455" s="8" t="str">
        <f t="shared" si="141"/>
        <v>2012-02 (февраль 2012)</v>
      </c>
      <c r="E7455" s="9" t="s">
        <v>21</v>
      </c>
      <c r="F7455" s="7">
        <v>23</v>
      </c>
      <c r="G7455" s="7">
        <v>3982.21</v>
      </c>
      <c r="H7455" s="7">
        <v>0.03</v>
      </c>
      <c r="I7455" s="9" t="s">
        <v>22</v>
      </c>
      <c r="J7455" s="10">
        <v>1413.941</v>
      </c>
      <c r="K7455" s="11">
        <v>165.98</v>
      </c>
      <c r="L7455" s="11">
        <v>19.989999999999998</v>
      </c>
      <c r="M7455" s="9" t="s">
        <v>2063</v>
      </c>
      <c r="N7455" s="6" t="s">
        <v>703</v>
      </c>
      <c r="O7455" s="6" t="s">
        <v>704</v>
      </c>
      <c r="P7455" s="9" t="s">
        <v>41</v>
      </c>
      <c r="Q7455" s="9" t="s">
        <v>26</v>
      </c>
      <c r="R7455" s="9" t="s">
        <v>37</v>
      </c>
      <c r="S7455" s="7" t="s">
        <v>543</v>
      </c>
      <c r="T7455" s="9" t="s">
        <v>39</v>
      </c>
      <c r="U7455" s="7">
        <v>0.4</v>
      </c>
      <c r="V7455" s="12">
        <f>C7455+5</f>
        <v>40946</v>
      </c>
      <c r="W7455">
        <f>IF(D7455=' Pivot Tables'!$A$4,1,0)</f>
        <v>0</v>
      </c>
      <c r="X7455">
        <f>IF(AND(LEFT(D7455,4)+1=LEFT(' Pivot Tables'!$A$4,4)+0,RIGHT(LEFT(D7455,7),2)=RIGHT(LEFT(' Pivot Tables'!$A$4,7),2)),1,0)</f>
        <v>0</v>
      </c>
      <c r="Y7455" s="6">
        <f>1/COUNTIF(Таблица1[Order ID],Таблица1[[#This Row],[Order ID]])</f>
        <v>0.5</v>
      </c>
      <c r="Z7455" s="9">
        <f>1/COUNTIFS(Таблица1[Customer Name],Таблица1[[#This Row],[Customer Name]],Таблица1[Order-Year-Month],Таблица1[[#This Row],[Order-Year-Month]])</f>
        <v>0.5</v>
      </c>
    </row>
    <row r="7456" spans="1:26" x14ac:dyDescent="0.2">
      <c r="A7456" s="6">
        <v>4568</v>
      </c>
      <c r="B7456" s="7">
        <v>32513</v>
      </c>
      <c r="C7456" s="8">
        <f>DATE(2012,12,31)-333</f>
        <v>40941</v>
      </c>
      <c r="D7456" s="8" t="str">
        <f t="shared" si="141"/>
        <v>2012-02 (февраль 2012)</v>
      </c>
      <c r="E7456" s="9" t="s">
        <v>21</v>
      </c>
      <c r="F7456" s="7">
        <v>40</v>
      </c>
      <c r="G7456" s="7">
        <v>66.55</v>
      </c>
      <c r="H7456" s="7">
        <v>0.01</v>
      </c>
      <c r="I7456" s="9" t="s">
        <v>22</v>
      </c>
      <c r="J7456" s="10">
        <v>-15.13</v>
      </c>
      <c r="K7456" s="11">
        <v>1.6</v>
      </c>
      <c r="L7456" s="11">
        <v>1.29</v>
      </c>
      <c r="M7456" s="9" t="s">
        <v>2063</v>
      </c>
      <c r="N7456" s="6" t="s">
        <v>703</v>
      </c>
      <c r="O7456" s="6" t="s">
        <v>704</v>
      </c>
      <c r="P7456" s="9" t="s">
        <v>41</v>
      </c>
      <c r="Q7456" s="9" t="s">
        <v>26</v>
      </c>
      <c r="R7456" s="9" t="s">
        <v>95</v>
      </c>
      <c r="S7456" s="7" t="s">
        <v>1892</v>
      </c>
      <c r="T7456" s="9" t="s">
        <v>68</v>
      </c>
      <c r="U7456" s="7">
        <v>0.42</v>
      </c>
      <c r="V7456" s="12">
        <f>C7456+5</f>
        <v>40946</v>
      </c>
      <c r="W7456">
        <f>IF(D7456=' Pivot Tables'!$A$4,1,0)</f>
        <v>0</v>
      </c>
      <c r="X7456">
        <f>IF(AND(LEFT(D7456,4)+1=LEFT(' Pivot Tables'!$A$4,4)+0,RIGHT(LEFT(D7456,7),2)=RIGHT(LEFT(' Pivot Tables'!$A$4,7),2)),1,0)</f>
        <v>0</v>
      </c>
      <c r="Y7456" s="6">
        <f>1/COUNTIF(Таблица1[Order ID],Таблица1[[#This Row],[Order ID]])</f>
        <v>0.5</v>
      </c>
      <c r="Z7456" s="9">
        <f>1/COUNTIFS(Таблица1[Customer Name],Таблица1[[#This Row],[Customer Name]],Таблица1[Order-Year-Month],Таблица1[[#This Row],[Order-Year-Month]])</f>
        <v>0.5</v>
      </c>
    </row>
    <row r="7457" spans="1:26" x14ac:dyDescent="0.2">
      <c r="A7457" s="6">
        <v>4589</v>
      </c>
      <c r="B7457" s="7">
        <v>32641</v>
      </c>
      <c r="C7457" s="8">
        <f>DATE(2012,12,31)-1016</f>
        <v>40258</v>
      </c>
      <c r="D7457" s="8" t="str">
        <f t="shared" si="141"/>
        <v>2010-03 (март 2010)</v>
      </c>
      <c r="E7457" s="9" t="s">
        <v>30</v>
      </c>
      <c r="F7457" s="7">
        <v>18</v>
      </c>
      <c r="G7457" s="7">
        <v>167.53</v>
      </c>
      <c r="H7457" s="7">
        <v>0.05</v>
      </c>
      <c r="I7457" s="9" t="s">
        <v>22</v>
      </c>
      <c r="J7457" s="10">
        <v>-9.5679999999999996</v>
      </c>
      <c r="K7457" s="11">
        <v>8.85</v>
      </c>
      <c r="L7457" s="11">
        <v>5.6</v>
      </c>
      <c r="M7457" s="9" t="s">
        <v>2062</v>
      </c>
      <c r="N7457" s="6" t="s">
        <v>703</v>
      </c>
      <c r="O7457" s="6" t="s">
        <v>704</v>
      </c>
      <c r="P7457" s="9" t="s">
        <v>60</v>
      </c>
      <c r="Q7457" s="9" t="s">
        <v>26</v>
      </c>
      <c r="R7457" s="9" t="s">
        <v>37</v>
      </c>
      <c r="S7457" s="7" t="s">
        <v>298</v>
      </c>
      <c r="T7457" s="9" t="s">
        <v>39</v>
      </c>
      <c r="U7457" s="7">
        <v>0.36</v>
      </c>
      <c r="V7457" s="12">
        <f>C7457+1</f>
        <v>40259</v>
      </c>
      <c r="W7457">
        <f>IF(D7457=' Pivot Tables'!$A$4,1,0)</f>
        <v>0</v>
      </c>
      <c r="X7457">
        <f>IF(AND(LEFT(D7457,4)+1=LEFT(' Pivot Tables'!$A$4,4)+0,RIGHT(LEFT(D7457,7),2)=RIGHT(LEFT(' Pivot Tables'!$A$4,7),2)),1,0)</f>
        <v>0</v>
      </c>
      <c r="Y7457" s="6">
        <f>1/COUNTIF(Таблица1[Order ID],Таблица1[[#This Row],[Order ID]])</f>
        <v>1</v>
      </c>
      <c r="Z7457" s="9">
        <f>1/COUNTIFS(Таблица1[Customer Name],Таблица1[[#This Row],[Customer Name]],Таблица1[Order-Year-Month],Таблица1[[#This Row],[Order-Year-Month]])</f>
        <v>1</v>
      </c>
    </row>
    <row r="7458" spans="1:26" x14ac:dyDescent="0.2">
      <c r="A7458" s="6">
        <v>4741</v>
      </c>
      <c r="B7458" s="7">
        <v>33729</v>
      </c>
      <c r="C7458" s="8">
        <f>DATE(2012,12,31)-103</f>
        <v>41171</v>
      </c>
      <c r="D7458" s="8" t="str">
        <f t="shared" si="141"/>
        <v>2012-09 (сентябрь 2012)</v>
      </c>
      <c r="E7458" s="9" t="s">
        <v>45</v>
      </c>
      <c r="F7458" s="7">
        <v>26</v>
      </c>
      <c r="G7458" s="7">
        <v>6995.56</v>
      </c>
      <c r="H7458" s="7">
        <v>7.0000000000000007E-2</v>
      </c>
      <c r="I7458" s="9" t="s">
        <v>22</v>
      </c>
      <c r="J7458" s="10">
        <v>-286.58</v>
      </c>
      <c r="K7458" s="11">
        <v>279.48</v>
      </c>
      <c r="L7458" s="11">
        <v>35</v>
      </c>
      <c r="M7458" s="9" t="s">
        <v>2069</v>
      </c>
      <c r="N7458" s="6" t="s">
        <v>703</v>
      </c>
      <c r="O7458" s="6" t="s">
        <v>704</v>
      </c>
      <c r="P7458" s="9" t="s">
        <v>25</v>
      </c>
      <c r="Q7458" s="9" t="s">
        <v>26</v>
      </c>
      <c r="R7458" s="9" t="s">
        <v>27</v>
      </c>
      <c r="S7458" s="7" t="s">
        <v>180</v>
      </c>
      <c r="T7458" s="9" t="s">
        <v>29</v>
      </c>
      <c r="U7458" s="7">
        <v>0.8</v>
      </c>
      <c r="V7458" s="12">
        <f>C7458+1</f>
        <v>41172</v>
      </c>
      <c r="W7458">
        <f>IF(D7458=' Pivot Tables'!$A$4,1,0)</f>
        <v>0</v>
      </c>
      <c r="X7458">
        <f>IF(AND(LEFT(D7458,4)+1=LEFT(' Pivot Tables'!$A$4,4)+0,RIGHT(LEFT(D7458,7),2)=RIGHT(LEFT(' Pivot Tables'!$A$4,7),2)),1,0)</f>
        <v>0</v>
      </c>
      <c r="Y7458" s="6">
        <f>1/COUNTIF(Таблица1[Order ID],Таблица1[[#This Row],[Order ID]])</f>
        <v>1</v>
      </c>
      <c r="Z7458" s="9">
        <f>1/COUNTIFS(Таблица1[Customer Name],Таблица1[[#This Row],[Customer Name]],Таблица1[Order-Year-Month],Таблица1[[#This Row],[Order-Year-Month]])</f>
        <v>1</v>
      </c>
    </row>
    <row r="7459" spans="1:26" x14ac:dyDescent="0.2">
      <c r="A7459" s="6">
        <v>4796</v>
      </c>
      <c r="B7459" s="7">
        <v>34083</v>
      </c>
      <c r="C7459" s="8">
        <f>DATE(2012,12,31)-330</f>
        <v>40944</v>
      </c>
      <c r="D7459" s="8" t="str">
        <f t="shared" si="141"/>
        <v>2012-02 (февраль 2012)</v>
      </c>
      <c r="E7459" s="9" t="s">
        <v>45</v>
      </c>
      <c r="F7459" s="7">
        <v>29</v>
      </c>
      <c r="G7459" s="7">
        <v>1415.1480000000001</v>
      </c>
      <c r="H7459" s="7">
        <v>0.02</v>
      </c>
      <c r="I7459" s="9" t="s">
        <v>56</v>
      </c>
      <c r="J7459" s="10">
        <v>-64.944000000000003</v>
      </c>
      <c r="K7459" s="11">
        <v>55.99</v>
      </c>
      <c r="L7459" s="11">
        <v>5</v>
      </c>
      <c r="M7459" s="9" t="s">
        <v>2070</v>
      </c>
      <c r="N7459" s="6" t="s">
        <v>703</v>
      </c>
      <c r="O7459" s="6" t="s">
        <v>704</v>
      </c>
      <c r="P7459" s="9" t="s">
        <v>25</v>
      </c>
      <c r="Q7459" s="9" t="s">
        <v>42</v>
      </c>
      <c r="R7459" s="9" t="s">
        <v>43</v>
      </c>
      <c r="S7459" s="7" t="s">
        <v>268</v>
      </c>
      <c r="T7459" s="9" t="s">
        <v>52</v>
      </c>
      <c r="U7459" s="7">
        <v>0.8</v>
      </c>
      <c r="V7459" s="12">
        <f>C7459+0</f>
        <v>40944</v>
      </c>
      <c r="W7459">
        <f>IF(D7459=' Pivot Tables'!$A$4,1,0)</f>
        <v>0</v>
      </c>
      <c r="X7459">
        <f>IF(AND(LEFT(D7459,4)+1=LEFT(' Pivot Tables'!$A$4,4)+0,RIGHT(LEFT(D7459,7),2)=RIGHT(LEFT(' Pivot Tables'!$A$4,7),2)),1,0)</f>
        <v>0</v>
      </c>
      <c r="Y7459" s="6">
        <f>1/COUNTIF(Таблица1[Order ID],Таблица1[[#This Row],[Order ID]])</f>
        <v>1</v>
      </c>
      <c r="Z7459" s="9">
        <f>1/COUNTIFS(Таблица1[Customer Name],Таблица1[[#This Row],[Customer Name]],Таблица1[Order-Year-Month],Таблица1[[#This Row],[Order-Year-Month]])</f>
        <v>1</v>
      </c>
    </row>
    <row r="7460" spans="1:26" x14ac:dyDescent="0.2">
      <c r="A7460" s="6">
        <v>4824</v>
      </c>
      <c r="B7460" s="7">
        <v>34275</v>
      </c>
      <c r="C7460" s="8">
        <f>DATE(2012,12,31)-1279</f>
        <v>39995</v>
      </c>
      <c r="D7460" s="8" t="str">
        <f t="shared" si="141"/>
        <v>2009-07 (июль 2009)</v>
      </c>
      <c r="E7460" s="9" t="s">
        <v>21</v>
      </c>
      <c r="F7460" s="7">
        <v>3</v>
      </c>
      <c r="G7460" s="7">
        <v>6041.01</v>
      </c>
      <c r="H7460" s="7">
        <v>0.04</v>
      </c>
      <c r="I7460" s="9" t="s">
        <v>31</v>
      </c>
      <c r="J7460" s="10">
        <v>-4793.0039999999999</v>
      </c>
      <c r="K7460" s="11">
        <v>2036.48</v>
      </c>
      <c r="L7460" s="11">
        <v>14.7</v>
      </c>
      <c r="M7460" s="9" t="s">
        <v>2068</v>
      </c>
      <c r="N7460" s="6" t="s">
        <v>703</v>
      </c>
      <c r="O7460" s="6" t="s">
        <v>704</v>
      </c>
      <c r="P7460" s="9" t="s">
        <v>25</v>
      </c>
      <c r="Q7460" s="9" t="s">
        <v>42</v>
      </c>
      <c r="R7460" s="9" t="s">
        <v>210</v>
      </c>
      <c r="S7460" s="7" t="s">
        <v>1996</v>
      </c>
      <c r="T7460" s="9" t="s">
        <v>36</v>
      </c>
      <c r="U7460" s="7">
        <v>0.55000000000000004</v>
      </c>
      <c r="V7460" s="12">
        <f>C7460+5</f>
        <v>40000</v>
      </c>
      <c r="W7460">
        <f>IF(D7460=' Pivot Tables'!$A$4,1,0)</f>
        <v>0</v>
      </c>
      <c r="X7460">
        <f>IF(AND(LEFT(D7460,4)+1=LEFT(' Pivot Tables'!$A$4,4)+0,RIGHT(LEFT(D7460,7),2)=RIGHT(LEFT(' Pivot Tables'!$A$4,7),2)),1,0)</f>
        <v>0</v>
      </c>
      <c r="Y7460" s="6">
        <f>1/COUNTIF(Таблица1[Order ID],Таблица1[[#This Row],[Order ID]])</f>
        <v>0.5</v>
      </c>
      <c r="Z7460" s="9">
        <f>1/COUNTIFS(Таблица1[Customer Name],Таблица1[[#This Row],[Customer Name]],Таблица1[Order-Year-Month],Таблица1[[#This Row],[Order-Year-Month]])</f>
        <v>1</v>
      </c>
    </row>
    <row r="7461" spans="1:26" x14ac:dyDescent="0.2">
      <c r="A7461" s="6">
        <v>4854</v>
      </c>
      <c r="B7461" s="7">
        <v>34532</v>
      </c>
      <c r="C7461" s="8">
        <f>DATE(2012,12,31)-20</f>
        <v>41254</v>
      </c>
      <c r="D7461" s="8" t="str">
        <f t="shared" si="141"/>
        <v>2012-12 (декабрь 2012)</v>
      </c>
      <c r="E7461" s="9" t="s">
        <v>21</v>
      </c>
      <c r="F7461" s="7">
        <v>41</v>
      </c>
      <c r="G7461" s="7">
        <v>1234.3599999999999</v>
      </c>
      <c r="H7461" s="7">
        <v>0.04</v>
      </c>
      <c r="I7461" s="9" t="s">
        <v>56</v>
      </c>
      <c r="J7461" s="10">
        <v>-84.77</v>
      </c>
      <c r="K7461" s="11">
        <v>30.98</v>
      </c>
      <c r="L7461" s="11">
        <v>19.510000000000002</v>
      </c>
      <c r="M7461" s="9" t="s">
        <v>2061</v>
      </c>
      <c r="N7461" s="6" t="s">
        <v>703</v>
      </c>
      <c r="O7461" s="6" t="s">
        <v>704</v>
      </c>
      <c r="P7461" s="9" t="s">
        <v>25</v>
      </c>
      <c r="Q7461" s="9" t="s">
        <v>26</v>
      </c>
      <c r="R7461" s="9" t="s">
        <v>76</v>
      </c>
      <c r="S7461" s="7" t="s">
        <v>1504</v>
      </c>
      <c r="T7461" s="9" t="s">
        <v>39</v>
      </c>
      <c r="U7461" s="7">
        <v>0.36</v>
      </c>
      <c r="V7461" s="12">
        <f>C7461+7</f>
        <v>41261</v>
      </c>
      <c r="W7461">
        <f>IF(D7461=' Pivot Tables'!$A$4,1,0)</f>
        <v>0</v>
      </c>
      <c r="X7461">
        <f>IF(AND(LEFT(D7461,4)+1=LEFT(' Pivot Tables'!$A$4,4)+0,RIGHT(LEFT(D7461,7),2)=RIGHT(LEFT(' Pivot Tables'!$A$4,7),2)),1,0)</f>
        <v>0</v>
      </c>
      <c r="Y7461" s="6">
        <f>1/COUNTIF(Таблица1[Order ID],Таблица1[[#This Row],[Order ID]])</f>
        <v>1</v>
      </c>
      <c r="Z7461" s="9">
        <f>1/COUNTIFS(Таблица1[Customer Name],Таблица1[[#This Row],[Customer Name]],Таблица1[Order-Year-Month],Таблица1[[#This Row],[Order-Year-Month]])</f>
        <v>1</v>
      </c>
    </row>
    <row r="7462" spans="1:26" x14ac:dyDescent="0.2">
      <c r="A7462" s="6">
        <v>4942</v>
      </c>
      <c r="B7462" s="7">
        <v>35139</v>
      </c>
      <c r="C7462" s="8">
        <f>DATE(2012,12,31)-1078</f>
        <v>40196</v>
      </c>
      <c r="D7462" s="8" t="str">
        <f t="shared" si="141"/>
        <v>2010-01 (январь 2010)</v>
      </c>
      <c r="E7462" s="9" t="s">
        <v>30</v>
      </c>
      <c r="F7462" s="7">
        <v>3</v>
      </c>
      <c r="G7462" s="7">
        <v>10380.34</v>
      </c>
      <c r="H7462" s="7">
        <v>0.05</v>
      </c>
      <c r="I7462" s="9" t="s">
        <v>31</v>
      </c>
      <c r="J7462" s="10">
        <v>-8389.4709000000003</v>
      </c>
      <c r="K7462" s="11">
        <v>3502.14</v>
      </c>
      <c r="L7462" s="11">
        <v>8.73</v>
      </c>
      <c r="M7462" s="9" t="s">
        <v>2066</v>
      </c>
      <c r="N7462" s="6" t="s">
        <v>703</v>
      </c>
      <c r="O7462" s="6" t="s">
        <v>704</v>
      </c>
      <c r="P7462" s="9" t="s">
        <v>60</v>
      </c>
      <c r="Q7462" s="9" t="s">
        <v>42</v>
      </c>
      <c r="R7462" s="9" t="s">
        <v>210</v>
      </c>
      <c r="S7462" s="7" t="s">
        <v>2043</v>
      </c>
      <c r="T7462" s="9" t="s">
        <v>82</v>
      </c>
      <c r="U7462" s="7">
        <v>0.56999999999999995</v>
      </c>
      <c r="V7462" s="12">
        <f>C7462+1</f>
        <v>40197</v>
      </c>
      <c r="W7462">
        <f>IF(D7462=' Pivot Tables'!$A$4,1,0)</f>
        <v>1</v>
      </c>
      <c r="X7462">
        <f>IF(AND(LEFT(D7462,4)+1=LEFT(' Pivot Tables'!$A$4,4)+0,RIGHT(LEFT(D7462,7),2)=RIGHT(LEFT(' Pivot Tables'!$A$4,7),2)),1,0)</f>
        <v>0</v>
      </c>
      <c r="Y7462" s="6">
        <f>1/COUNTIF(Таблица1[Order ID],Таблица1[[#This Row],[Order ID]])</f>
        <v>0.25</v>
      </c>
      <c r="Z7462" s="9">
        <f>1/COUNTIFS(Таблица1[Customer Name],Таблица1[[#This Row],[Customer Name]],Таблица1[Order-Year-Month],Таблица1[[#This Row],[Order-Year-Month]])</f>
        <v>0.2</v>
      </c>
    </row>
    <row r="7463" spans="1:26" x14ac:dyDescent="0.2">
      <c r="A7463" s="6">
        <v>4943</v>
      </c>
      <c r="B7463" s="7">
        <v>35139</v>
      </c>
      <c r="C7463" s="8">
        <f>DATE(2012,12,31)-1078</f>
        <v>40196</v>
      </c>
      <c r="D7463" s="8" t="str">
        <f t="shared" si="141"/>
        <v>2010-01 (январь 2010)</v>
      </c>
      <c r="E7463" s="9" t="s">
        <v>30</v>
      </c>
      <c r="F7463" s="7">
        <v>25</v>
      </c>
      <c r="G7463" s="7">
        <v>854.9</v>
      </c>
      <c r="H7463" s="7">
        <v>0.05</v>
      </c>
      <c r="I7463" s="9" t="s">
        <v>22</v>
      </c>
      <c r="J7463" s="10">
        <v>76.87</v>
      </c>
      <c r="K7463" s="11">
        <v>34.58</v>
      </c>
      <c r="L7463" s="11">
        <v>8.99</v>
      </c>
      <c r="M7463" s="9" t="s">
        <v>2066</v>
      </c>
      <c r="N7463" s="6" t="s">
        <v>703</v>
      </c>
      <c r="O7463" s="6" t="s">
        <v>704</v>
      </c>
      <c r="P7463" s="9" t="s">
        <v>60</v>
      </c>
      <c r="Q7463" s="9" t="s">
        <v>26</v>
      </c>
      <c r="R7463" s="9" t="s">
        <v>95</v>
      </c>
      <c r="S7463" s="7" t="s">
        <v>713</v>
      </c>
      <c r="T7463" s="9" t="s">
        <v>52</v>
      </c>
      <c r="U7463" s="7">
        <v>0.56000000000000005</v>
      </c>
      <c r="V7463" s="12">
        <f>C7463+2</f>
        <v>40198</v>
      </c>
      <c r="W7463">
        <f>IF(D7463=' Pivot Tables'!$A$4,1,0)</f>
        <v>1</v>
      </c>
      <c r="X7463">
        <f>IF(AND(LEFT(D7463,4)+1=LEFT(' Pivot Tables'!$A$4,4)+0,RIGHT(LEFT(D7463,7),2)=RIGHT(LEFT(' Pivot Tables'!$A$4,7),2)),1,0)</f>
        <v>0</v>
      </c>
      <c r="Y7463" s="6">
        <f>1/COUNTIF(Таблица1[Order ID],Таблица1[[#This Row],[Order ID]])</f>
        <v>0.25</v>
      </c>
      <c r="Z7463" s="9">
        <f>1/COUNTIFS(Таблица1[Customer Name],Таблица1[[#This Row],[Customer Name]],Таблица1[Order-Year-Month],Таблица1[[#This Row],[Order-Year-Month]])</f>
        <v>0.2</v>
      </c>
    </row>
    <row r="7464" spans="1:26" x14ac:dyDescent="0.2">
      <c r="A7464" s="6">
        <v>4944</v>
      </c>
      <c r="B7464" s="7">
        <v>35139</v>
      </c>
      <c r="C7464" s="8">
        <f>DATE(2012,12,31)-1078</f>
        <v>40196</v>
      </c>
      <c r="D7464" s="8" t="str">
        <f t="shared" si="141"/>
        <v>2010-01 (январь 2010)</v>
      </c>
      <c r="E7464" s="9" t="s">
        <v>30</v>
      </c>
      <c r="F7464" s="7">
        <v>32</v>
      </c>
      <c r="G7464" s="7">
        <v>389.98</v>
      </c>
      <c r="H7464" s="7">
        <v>7.0000000000000007E-2</v>
      </c>
      <c r="I7464" s="9" t="s">
        <v>22</v>
      </c>
      <c r="J7464" s="10">
        <v>-14.98</v>
      </c>
      <c r="K7464" s="11">
        <v>12.21</v>
      </c>
      <c r="L7464" s="11">
        <v>4.8099999999999996</v>
      </c>
      <c r="M7464" s="9" t="s">
        <v>2066</v>
      </c>
      <c r="N7464" s="6" t="s">
        <v>703</v>
      </c>
      <c r="O7464" s="6" t="s">
        <v>704</v>
      </c>
      <c r="P7464" s="9" t="s">
        <v>60</v>
      </c>
      <c r="Q7464" s="9" t="s">
        <v>26</v>
      </c>
      <c r="R7464" s="9" t="s">
        <v>27</v>
      </c>
      <c r="S7464" s="7" t="s">
        <v>396</v>
      </c>
      <c r="T7464" s="9" t="s">
        <v>39</v>
      </c>
      <c r="U7464" s="7">
        <v>0.57999999999999996</v>
      </c>
      <c r="V7464" s="12">
        <f>C7464+2</f>
        <v>40198</v>
      </c>
      <c r="W7464">
        <f>IF(D7464=' Pivot Tables'!$A$4,1,0)</f>
        <v>1</v>
      </c>
      <c r="X7464">
        <f>IF(AND(LEFT(D7464,4)+1=LEFT(' Pivot Tables'!$A$4,4)+0,RIGHT(LEFT(D7464,7),2)=RIGHT(LEFT(' Pivot Tables'!$A$4,7),2)),1,0)</f>
        <v>0</v>
      </c>
      <c r="Y7464" s="6">
        <f>1/COUNTIF(Таблица1[Order ID],Таблица1[[#This Row],[Order ID]])</f>
        <v>0.25</v>
      </c>
      <c r="Z7464" s="9">
        <f>1/COUNTIFS(Таблица1[Customer Name],Таблица1[[#This Row],[Customer Name]],Таблица1[Order-Year-Month],Таблица1[[#This Row],[Order-Year-Month]])</f>
        <v>0.2</v>
      </c>
    </row>
    <row r="7465" spans="1:26" x14ac:dyDescent="0.2">
      <c r="A7465" s="6">
        <v>4952</v>
      </c>
      <c r="B7465" s="7">
        <v>35239</v>
      </c>
      <c r="C7465" s="8">
        <f>DATE(2012,12,31)-415</f>
        <v>40859</v>
      </c>
      <c r="D7465" s="8" t="str">
        <f t="shared" si="141"/>
        <v>2011-11 (ноябрь 2011)</v>
      </c>
      <c r="E7465" s="9" t="s">
        <v>78</v>
      </c>
      <c r="F7465" s="7">
        <v>21</v>
      </c>
      <c r="G7465" s="7">
        <v>109.29</v>
      </c>
      <c r="H7465" s="7">
        <v>0.08</v>
      </c>
      <c r="I7465" s="9" t="s">
        <v>22</v>
      </c>
      <c r="J7465" s="10">
        <v>-77.08</v>
      </c>
      <c r="K7465" s="11">
        <v>5.28</v>
      </c>
      <c r="L7465" s="11">
        <v>6.26</v>
      </c>
      <c r="M7465" s="9" t="s">
        <v>2070</v>
      </c>
      <c r="N7465" s="6" t="s">
        <v>703</v>
      </c>
      <c r="O7465" s="6" t="s">
        <v>704</v>
      </c>
      <c r="P7465" s="9" t="s">
        <v>25</v>
      </c>
      <c r="Q7465" s="9" t="s">
        <v>26</v>
      </c>
      <c r="R7465" s="9" t="s">
        <v>61</v>
      </c>
      <c r="S7465" s="7" t="s">
        <v>580</v>
      </c>
      <c r="T7465" s="9" t="s">
        <v>39</v>
      </c>
      <c r="U7465" s="7">
        <v>0.4</v>
      </c>
      <c r="V7465" s="12">
        <f>C7465+1</f>
        <v>40860</v>
      </c>
      <c r="W7465">
        <f>IF(D7465=' Pivot Tables'!$A$4,1,0)</f>
        <v>0</v>
      </c>
      <c r="X7465">
        <f>IF(AND(LEFT(D7465,4)+1=LEFT(' Pivot Tables'!$A$4,4)+0,RIGHT(LEFT(D7465,7),2)=RIGHT(LEFT(' Pivot Tables'!$A$4,7),2)),1,0)</f>
        <v>0</v>
      </c>
      <c r="Y7465" s="6">
        <f>1/COUNTIF(Таблица1[Order ID],Таблица1[[#This Row],[Order ID]])</f>
        <v>0.5</v>
      </c>
      <c r="Z7465" s="9">
        <f>1/COUNTIFS(Таблица1[Customer Name],Таблица1[[#This Row],[Customer Name]],Таблица1[Order-Year-Month],Таблица1[[#This Row],[Order-Year-Month]])</f>
        <v>0.5</v>
      </c>
    </row>
    <row r="7466" spans="1:26" x14ac:dyDescent="0.2">
      <c r="A7466" s="6">
        <v>4953</v>
      </c>
      <c r="B7466" s="7">
        <v>35239</v>
      </c>
      <c r="C7466" s="8">
        <f>DATE(2012,12,31)-415</f>
        <v>40859</v>
      </c>
      <c r="D7466" s="8" t="str">
        <f t="shared" si="141"/>
        <v>2011-11 (ноябрь 2011)</v>
      </c>
      <c r="E7466" s="9" t="s">
        <v>78</v>
      </c>
      <c r="F7466" s="7">
        <v>38</v>
      </c>
      <c r="G7466" s="7">
        <v>2257.88</v>
      </c>
      <c r="H7466" s="7">
        <v>0.01</v>
      </c>
      <c r="I7466" s="9" t="s">
        <v>22</v>
      </c>
      <c r="J7466" s="10">
        <v>474.98</v>
      </c>
      <c r="K7466" s="11">
        <v>59.76</v>
      </c>
      <c r="L7466" s="11">
        <v>9.7100000000000009</v>
      </c>
      <c r="M7466" s="9" t="s">
        <v>2070</v>
      </c>
      <c r="N7466" s="6" t="s">
        <v>703</v>
      </c>
      <c r="O7466" s="6" t="s">
        <v>704</v>
      </c>
      <c r="P7466" s="9" t="s">
        <v>25</v>
      </c>
      <c r="Q7466" s="9" t="s">
        <v>26</v>
      </c>
      <c r="R7466" s="9" t="s">
        <v>27</v>
      </c>
      <c r="S7466" s="7" t="s">
        <v>1617</v>
      </c>
      <c r="T7466" s="9" t="s">
        <v>39</v>
      </c>
      <c r="U7466" s="7">
        <v>0.56999999999999995</v>
      </c>
      <c r="V7466" s="12">
        <f>C7466+2</f>
        <v>40861</v>
      </c>
      <c r="W7466">
        <f>IF(D7466=' Pivot Tables'!$A$4,1,0)</f>
        <v>0</v>
      </c>
      <c r="X7466">
        <f>IF(AND(LEFT(D7466,4)+1=LEFT(' Pivot Tables'!$A$4,4)+0,RIGHT(LEFT(D7466,7),2)=RIGHT(LEFT(' Pivot Tables'!$A$4,7),2)),1,0)</f>
        <v>0</v>
      </c>
      <c r="Y7466" s="6">
        <f>1/COUNTIF(Таблица1[Order ID],Таблица1[[#This Row],[Order ID]])</f>
        <v>0.5</v>
      </c>
      <c r="Z7466" s="9">
        <f>1/COUNTIFS(Таблица1[Customer Name],Таблица1[[#This Row],[Customer Name]],Таблица1[Order-Year-Month],Таблица1[[#This Row],[Order-Year-Month]])</f>
        <v>0.5</v>
      </c>
    </row>
    <row r="7467" spans="1:26" x14ac:dyDescent="0.2">
      <c r="A7467" s="6">
        <v>5032</v>
      </c>
      <c r="B7467" s="7">
        <v>35875</v>
      </c>
      <c r="C7467" s="8">
        <f>DATE(2012,12,31)-566</f>
        <v>40708</v>
      </c>
      <c r="D7467" s="8" t="str">
        <f t="shared" si="141"/>
        <v>2011-06 (июнь 2011)</v>
      </c>
      <c r="E7467" s="9" t="s">
        <v>30</v>
      </c>
      <c r="F7467" s="7">
        <v>31</v>
      </c>
      <c r="G7467" s="7">
        <v>348.92</v>
      </c>
      <c r="H7467" s="7">
        <v>0.06</v>
      </c>
      <c r="I7467" s="9" t="s">
        <v>22</v>
      </c>
      <c r="J7467" s="10">
        <v>28.47</v>
      </c>
      <c r="K7467" s="11">
        <v>10.98</v>
      </c>
      <c r="L7467" s="11">
        <v>3.37</v>
      </c>
      <c r="M7467" s="9" t="s">
        <v>1627</v>
      </c>
      <c r="N7467" s="6" t="s">
        <v>703</v>
      </c>
      <c r="O7467" s="6" t="s">
        <v>704</v>
      </c>
      <c r="P7467" s="9" t="s">
        <v>41</v>
      </c>
      <c r="Q7467" s="9" t="s">
        <v>26</v>
      </c>
      <c r="R7467" s="9" t="s">
        <v>150</v>
      </c>
      <c r="S7467" s="7" t="s">
        <v>465</v>
      </c>
      <c r="T7467" s="9" t="s">
        <v>52</v>
      </c>
      <c r="U7467" s="7">
        <v>0.56999999999999995</v>
      </c>
      <c r="V7467" s="12">
        <f>C7467+0</f>
        <v>40708</v>
      </c>
      <c r="W7467">
        <f>IF(D7467=' Pivot Tables'!$A$4,1,0)</f>
        <v>0</v>
      </c>
      <c r="X7467">
        <f>IF(AND(LEFT(D7467,4)+1=LEFT(' Pivot Tables'!$A$4,4)+0,RIGHT(LEFT(D7467,7),2)=RIGHT(LEFT(' Pivot Tables'!$A$4,7),2)),1,0)</f>
        <v>0</v>
      </c>
      <c r="Y7467" s="6">
        <f>1/COUNTIF(Таблица1[Order ID],Таблица1[[#This Row],[Order ID]])</f>
        <v>1</v>
      </c>
      <c r="Z7467" s="9">
        <f>1/COUNTIFS(Таблица1[Customer Name],Таблица1[[#This Row],[Customer Name]],Таблица1[Order-Year-Month],Таблица1[[#This Row],[Order-Year-Month]])</f>
        <v>0.33333333333333331</v>
      </c>
    </row>
    <row r="7468" spans="1:26" x14ac:dyDescent="0.2">
      <c r="A7468" s="6">
        <v>5217</v>
      </c>
      <c r="B7468" s="7">
        <v>37125</v>
      </c>
      <c r="C7468" s="8">
        <f>DATE(2012,12,31)-1082</f>
        <v>40192</v>
      </c>
      <c r="D7468" s="8" t="str">
        <f t="shared" si="141"/>
        <v>2010-01 (январь 2010)</v>
      </c>
      <c r="E7468" s="9" t="s">
        <v>30</v>
      </c>
      <c r="F7468" s="7">
        <v>46</v>
      </c>
      <c r="G7468" s="7">
        <v>72.180000000000007</v>
      </c>
      <c r="H7468" s="7">
        <v>0</v>
      </c>
      <c r="I7468" s="9" t="s">
        <v>22</v>
      </c>
      <c r="J7468" s="10">
        <v>11.83</v>
      </c>
      <c r="K7468" s="11">
        <v>1.48</v>
      </c>
      <c r="L7468" s="11">
        <v>0.7</v>
      </c>
      <c r="M7468" s="9" t="s">
        <v>1597</v>
      </c>
      <c r="N7468" s="6" t="s">
        <v>703</v>
      </c>
      <c r="O7468" s="6" t="s">
        <v>704</v>
      </c>
      <c r="P7468" s="9" t="s">
        <v>33</v>
      </c>
      <c r="Q7468" s="9" t="s">
        <v>26</v>
      </c>
      <c r="R7468" s="9" t="s">
        <v>66</v>
      </c>
      <c r="S7468" s="7" t="s">
        <v>623</v>
      </c>
      <c r="T7468" s="9" t="s">
        <v>68</v>
      </c>
      <c r="U7468" s="7">
        <v>0.37</v>
      </c>
      <c r="V7468" s="12">
        <f>C7468+1</f>
        <v>40193</v>
      </c>
      <c r="W7468">
        <f>IF(D7468=' Pivot Tables'!$A$4,1,0)</f>
        <v>1</v>
      </c>
      <c r="X7468">
        <f>IF(AND(LEFT(D7468,4)+1=LEFT(' Pivot Tables'!$A$4,4)+0,RIGHT(LEFT(D7468,7),2)=RIGHT(LEFT(' Pivot Tables'!$A$4,7),2)),1,0)</f>
        <v>0</v>
      </c>
      <c r="Y7468" s="6">
        <f>1/COUNTIF(Таблица1[Order ID],Таблица1[[#This Row],[Order ID]])</f>
        <v>1</v>
      </c>
      <c r="Z7468" s="9">
        <f>1/COUNTIFS(Таблица1[Customer Name],Таблица1[[#This Row],[Customer Name]],Таблица1[Order-Year-Month],Таблица1[[#This Row],[Order-Year-Month]])</f>
        <v>1</v>
      </c>
    </row>
    <row r="7469" spans="1:26" x14ac:dyDescent="0.2">
      <c r="A7469" s="6">
        <v>5222</v>
      </c>
      <c r="B7469" s="7">
        <v>37158</v>
      </c>
      <c r="C7469" s="8">
        <f>DATE(2012,12,31)-100</f>
        <v>41174</v>
      </c>
      <c r="D7469" s="8" t="str">
        <f t="shared" si="141"/>
        <v>2012-09 (сентябрь 2012)</v>
      </c>
      <c r="E7469" s="9" t="s">
        <v>21</v>
      </c>
      <c r="F7469" s="7">
        <v>25</v>
      </c>
      <c r="G7469" s="7">
        <v>172.04</v>
      </c>
      <c r="H7469" s="7">
        <v>0.05</v>
      </c>
      <c r="I7469" s="9" t="s">
        <v>22</v>
      </c>
      <c r="J7469" s="10">
        <v>-85.11</v>
      </c>
      <c r="K7469" s="11">
        <v>6.48</v>
      </c>
      <c r="L7469" s="11">
        <v>7.37</v>
      </c>
      <c r="M7469" s="9" t="s">
        <v>797</v>
      </c>
      <c r="N7469" s="6" t="s">
        <v>703</v>
      </c>
      <c r="O7469" s="6" t="s">
        <v>704</v>
      </c>
      <c r="P7469" s="9" t="s">
        <v>33</v>
      </c>
      <c r="Q7469" s="9" t="s">
        <v>26</v>
      </c>
      <c r="R7469" s="9" t="s">
        <v>61</v>
      </c>
      <c r="S7469" s="7" t="s">
        <v>859</v>
      </c>
      <c r="T7469" s="9" t="s">
        <v>39</v>
      </c>
      <c r="U7469" s="7">
        <v>0.37</v>
      </c>
      <c r="V7469" s="12">
        <f>C7469+5</f>
        <v>41179</v>
      </c>
      <c r="W7469">
        <f>IF(D7469=' Pivot Tables'!$A$4,1,0)</f>
        <v>0</v>
      </c>
      <c r="X7469">
        <f>IF(AND(LEFT(D7469,4)+1=LEFT(' Pivot Tables'!$A$4,4)+0,RIGHT(LEFT(D7469,7),2)=RIGHT(LEFT(' Pivot Tables'!$A$4,7),2)),1,0)</f>
        <v>0</v>
      </c>
      <c r="Y7469" s="6">
        <f>1/COUNTIF(Таблица1[Order ID],Таблица1[[#This Row],[Order ID]])</f>
        <v>1</v>
      </c>
      <c r="Z7469" s="9">
        <f>1/COUNTIFS(Таблица1[Customer Name],Таблица1[[#This Row],[Customer Name]],Таблица1[Order-Year-Month],Таблица1[[#This Row],[Order-Year-Month]])</f>
        <v>1</v>
      </c>
    </row>
    <row r="7470" spans="1:26" x14ac:dyDescent="0.2">
      <c r="A7470" s="6">
        <v>5252</v>
      </c>
      <c r="B7470" s="7">
        <v>37380</v>
      </c>
      <c r="C7470" s="8">
        <f>DATE(2012,12,31)-640</f>
        <v>40634</v>
      </c>
      <c r="D7470" s="8" t="str">
        <f t="shared" si="141"/>
        <v>2011-04 (апрель 2011)</v>
      </c>
      <c r="E7470" s="9" t="s">
        <v>78</v>
      </c>
      <c r="F7470" s="7">
        <v>29</v>
      </c>
      <c r="G7470" s="7">
        <v>737.38</v>
      </c>
      <c r="H7470" s="7">
        <v>0.08</v>
      </c>
      <c r="I7470" s="9" t="s">
        <v>22</v>
      </c>
      <c r="J7470" s="10">
        <v>90.04</v>
      </c>
      <c r="K7470" s="11">
        <v>26.64</v>
      </c>
      <c r="L7470" s="11">
        <v>5.3</v>
      </c>
      <c r="M7470" s="9" t="s">
        <v>2062</v>
      </c>
      <c r="N7470" s="6" t="s">
        <v>703</v>
      </c>
      <c r="O7470" s="6" t="s">
        <v>704</v>
      </c>
      <c r="P7470" s="9" t="s">
        <v>60</v>
      </c>
      <c r="Q7470" s="9" t="s">
        <v>49</v>
      </c>
      <c r="R7470" s="9" t="s">
        <v>112</v>
      </c>
      <c r="S7470" s="7" t="s">
        <v>1377</v>
      </c>
      <c r="T7470" s="9" t="s">
        <v>48</v>
      </c>
      <c r="U7470" s="7"/>
      <c r="V7470" s="12">
        <f>C7470+1</f>
        <v>40635</v>
      </c>
      <c r="W7470">
        <f>IF(D7470=' Pivot Tables'!$A$4,1,0)</f>
        <v>0</v>
      </c>
      <c r="X7470">
        <f>IF(AND(LEFT(D7470,4)+1=LEFT(' Pivot Tables'!$A$4,4)+0,RIGHT(LEFT(D7470,7),2)=RIGHT(LEFT(' Pivot Tables'!$A$4,7),2)),1,0)</f>
        <v>0</v>
      </c>
      <c r="Y7470" s="6">
        <f>1/COUNTIF(Таблица1[Order ID],Таблица1[[#This Row],[Order ID]])</f>
        <v>0.33333333333333331</v>
      </c>
      <c r="Z7470" s="9">
        <f>1/COUNTIFS(Таблица1[Customer Name],Таблица1[[#This Row],[Customer Name]],Таблица1[Order-Year-Month],Таблица1[[#This Row],[Order-Year-Month]])</f>
        <v>0.25</v>
      </c>
    </row>
    <row r="7471" spans="1:26" x14ac:dyDescent="0.2">
      <c r="A7471" s="6">
        <v>5253</v>
      </c>
      <c r="B7471" s="7">
        <v>37380</v>
      </c>
      <c r="C7471" s="8">
        <f>DATE(2012,12,31)-640</f>
        <v>40634</v>
      </c>
      <c r="D7471" s="8" t="str">
        <f t="shared" si="141"/>
        <v>2011-04 (апрель 2011)</v>
      </c>
      <c r="E7471" s="9" t="s">
        <v>78</v>
      </c>
      <c r="F7471" s="7">
        <v>47</v>
      </c>
      <c r="G7471" s="7">
        <v>507.18</v>
      </c>
      <c r="H7471" s="7">
        <v>0</v>
      </c>
      <c r="I7471" s="9" t="s">
        <v>22</v>
      </c>
      <c r="J7471" s="10">
        <v>74.73</v>
      </c>
      <c r="K7471" s="11">
        <v>9.99</v>
      </c>
      <c r="L7471" s="11">
        <v>4.78</v>
      </c>
      <c r="M7471" s="9" t="s">
        <v>2062</v>
      </c>
      <c r="N7471" s="6" t="s">
        <v>703</v>
      </c>
      <c r="O7471" s="6" t="s">
        <v>704</v>
      </c>
      <c r="P7471" s="9" t="s">
        <v>60</v>
      </c>
      <c r="Q7471" s="9" t="s">
        <v>26</v>
      </c>
      <c r="R7471" s="9" t="s">
        <v>61</v>
      </c>
      <c r="S7471" s="7" t="s">
        <v>976</v>
      </c>
      <c r="T7471" s="9" t="s">
        <v>39</v>
      </c>
      <c r="U7471" s="7">
        <v>0.4</v>
      </c>
      <c r="V7471" s="12">
        <f>C7471+1</f>
        <v>40635</v>
      </c>
      <c r="W7471">
        <f>IF(D7471=' Pivot Tables'!$A$4,1,0)</f>
        <v>0</v>
      </c>
      <c r="X7471">
        <f>IF(AND(LEFT(D7471,4)+1=LEFT(' Pivot Tables'!$A$4,4)+0,RIGHT(LEFT(D7471,7),2)=RIGHT(LEFT(' Pivot Tables'!$A$4,7),2)),1,0)</f>
        <v>0</v>
      </c>
      <c r="Y7471" s="6">
        <f>1/COUNTIF(Таблица1[Order ID],Таблица1[[#This Row],[Order ID]])</f>
        <v>0.33333333333333331</v>
      </c>
      <c r="Z7471" s="9">
        <f>1/COUNTIFS(Таблица1[Customer Name],Таблица1[[#This Row],[Customer Name]],Таблица1[Order-Year-Month],Таблица1[[#This Row],[Order-Year-Month]])</f>
        <v>0.25</v>
      </c>
    </row>
    <row r="7472" spans="1:26" x14ac:dyDescent="0.2">
      <c r="A7472" s="6">
        <v>5254</v>
      </c>
      <c r="B7472" s="7">
        <v>37380</v>
      </c>
      <c r="C7472" s="8">
        <f>DATE(2012,12,31)-640</f>
        <v>40634</v>
      </c>
      <c r="D7472" s="8" t="str">
        <f t="shared" si="141"/>
        <v>2011-04 (апрель 2011)</v>
      </c>
      <c r="E7472" s="9" t="s">
        <v>78</v>
      </c>
      <c r="F7472" s="7">
        <v>42</v>
      </c>
      <c r="G7472" s="7">
        <v>151.19</v>
      </c>
      <c r="H7472" s="7">
        <v>7.0000000000000007E-2</v>
      </c>
      <c r="I7472" s="9" t="s">
        <v>22</v>
      </c>
      <c r="J7472" s="10">
        <v>27.37</v>
      </c>
      <c r="K7472" s="11">
        <v>3.55</v>
      </c>
      <c r="L7472" s="11">
        <v>1.43</v>
      </c>
      <c r="M7472" s="9" t="s">
        <v>2062</v>
      </c>
      <c r="N7472" s="6" t="s">
        <v>703</v>
      </c>
      <c r="O7472" s="6" t="s">
        <v>704</v>
      </c>
      <c r="P7472" s="9" t="s">
        <v>60</v>
      </c>
      <c r="Q7472" s="9" t="s">
        <v>26</v>
      </c>
      <c r="R7472" s="9" t="s">
        <v>66</v>
      </c>
      <c r="S7472" s="7" t="s">
        <v>2010</v>
      </c>
      <c r="T7472" s="9" t="s">
        <v>68</v>
      </c>
      <c r="U7472" s="7">
        <v>0.38</v>
      </c>
      <c r="V7472" s="12">
        <f>C7472+1</f>
        <v>40635</v>
      </c>
      <c r="W7472">
        <f>IF(D7472=' Pivot Tables'!$A$4,1,0)</f>
        <v>0</v>
      </c>
      <c r="X7472">
        <f>IF(AND(LEFT(D7472,4)+1=LEFT(' Pivot Tables'!$A$4,4)+0,RIGHT(LEFT(D7472,7),2)=RIGHT(LEFT(' Pivot Tables'!$A$4,7),2)),1,0)</f>
        <v>0</v>
      </c>
      <c r="Y7472" s="6">
        <f>1/COUNTIF(Таблица1[Order ID],Таблица1[[#This Row],[Order ID]])</f>
        <v>0.33333333333333331</v>
      </c>
      <c r="Z7472" s="9">
        <f>1/COUNTIFS(Таблица1[Customer Name],Таблица1[[#This Row],[Customer Name]],Таблица1[Order-Year-Month],Таблица1[[#This Row],[Order-Year-Month]])</f>
        <v>0.25</v>
      </c>
    </row>
    <row r="7473" spans="1:26" x14ac:dyDescent="0.2">
      <c r="A7473" s="6">
        <v>5264</v>
      </c>
      <c r="B7473" s="7">
        <v>37445</v>
      </c>
      <c r="C7473" s="8">
        <f>DATE(2012,12,31)-317</f>
        <v>40957</v>
      </c>
      <c r="D7473" s="8" t="str">
        <f t="shared" si="141"/>
        <v>2012-02 (февраль 2012)</v>
      </c>
      <c r="E7473" s="9" t="s">
        <v>30</v>
      </c>
      <c r="F7473" s="7">
        <v>37</v>
      </c>
      <c r="G7473" s="7">
        <v>2180.23</v>
      </c>
      <c r="H7473" s="7">
        <v>0.05</v>
      </c>
      <c r="I7473" s="9" t="s">
        <v>22</v>
      </c>
      <c r="J7473" s="10">
        <v>660.25</v>
      </c>
      <c r="K7473" s="11">
        <v>60.22</v>
      </c>
      <c r="L7473" s="11">
        <v>3.5</v>
      </c>
      <c r="M7473" s="9" t="s">
        <v>797</v>
      </c>
      <c r="N7473" s="6" t="s">
        <v>703</v>
      </c>
      <c r="O7473" s="6" t="s">
        <v>704</v>
      </c>
      <c r="P7473" s="9" t="s">
        <v>41</v>
      </c>
      <c r="Q7473" s="9" t="s">
        <v>26</v>
      </c>
      <c r="R7473" s="9" t="s">
        <v>34</v>
      </c>
      <c r="S7473" s="7" t="s">
        <v>624</v>
      </c>
      <c r="T7473" s="9" t="s">
        <v>39</v>
      </c>
      <c r="U7473" s="7">
        <v>0.56999999999999995</v>
      </c>
      <c r="V7473" s="12">
        <f>C7473+1</f>
        <v>40958</v>
      </c>
      <c r="W7473">
        <f>IF(D7473=' Pivot Tables'!$A$4,1,0)</f>
        <v>0</v>
      </c>
      <c r="X7473">
        <f>IF(AND(LEFT(D7473,4)+1=LEFT(' Pivot Tables'!$A$4,4)+0,RIGHT(LEFT(D7473,7),2)=RIGHT(LEFT(' Pivot Tables'!$A$4,7),2)),1,0)</f>
        <v>0</v>
      </c>
      <c r="Y7473" s="6">
        <f>1/COUNTIF(Таблица1[Order ID],Таблица1[[#This Row],[Order ID]])</f>
        <v>1</v>
      </c>
      <c r="Z7473" s="9">
        <f>1/COUNTIFS(Таблица1[Customer Name],Таблица1[[#This Row],[Customer Name]],Таблица1[Order-Year-Month],Таблица1[[#This Row],[Order-Year-Month]])</f>
        <v>1</v>
      </c>
    </row>
    <row r="7474" spans="1:26" x14ac:dyDescent="0.2">
      <c r="A7474" s="6">
        <v>5373</v>
      </c>
      <c r="B7474" s="7">
        <v>38212</v>
      </c>
      <c r="C7474" s="8">
        <f>DATE(2012,12,31)-637</f>
        <v>40637</v>
      </c>
      <c r="D7474" s="8" t="str">
        <f t="shared" si="141"/>
        <v>2011-04 (апрель 2011)</v>
      </c>
      <c r="E7474" s="9" t="s">
        <v>63</v>
      </c>
      <c r="F7474" s="7">
        <v>24</v>
      </c>
      <c r="G7474" s="7">
        <v>123.75</v>
      </c>
      <c r="H7474" s="7">
        <v>0.09</v>
      </c>
      <c r="I7474" s="9" t="s">
        <v>56</v>
      </c>
      <c r="J7474" s="10">
        <v>55.42</v>
      </c>
      <c r="K7474" s="11">
        <v>4.9800000000000004</v>
      </c>
      <c r="L7474" s="11">
        <v>0.49</v>
      </c>
      <c r="M7474" s="9" t="s">
        <v>1228</v>
      </c>
      <c r="N7474" s="6" t="s">
        <v>703</v>
      </c>
      <c r="O7474" s="6" t="s">
        <v>704</v>
      </c>
      <c r="P7474" s="9" t="s">
        <v>60</v>
      </c>
      <c r="Q7474" s="9" t="s">
        <v>26</v>
      </c>
      <c r="R7474" s="9" t="s">
        <v>88</v>
      </c>
      <c r="S7474" s="7" t="s">
        <v>836</v>
      </c>
      <c r="T7474" s="9" t="s">
        <v>39</v>
      </c>
      <c r="U7474" s="7">
        <v>0.39</v>
      </c>
      <c r="V7474" s="12">
        <f>C7474+1</f>
        <v>40638</v>
      </c>
      <c r="W7474">
        <f>IF(D7474=' Pivot Tables'!$A$4,1,0)</f>
        <v>0</v>
      </c>
      <c r="X7474">
        <f>IF(AND(LEFT(D7474,4)+1=LEFT(' Pivot Tables'!$A$4,4)+0,RIGHT(LEFT(D7474,7),2)=RIGHT(LEFT(' Pivot Tables'!$A$4,7),2)),1,0)</f>
        <v>0</v>
      </c>
      <c r="Y7474" s="6">
        <f>1/COUNTIF(Таблица1[Order ID],Таблица1[[#This Row],[Order ID]])</f>
        <v>0.33333333333333331</v>
      </c>
      <c r="Z7474" s="9">
        <f>1/COUNTIFS(Таблица1[Customer Name],Таблица1[[#This Row],[Customer Name]],Таблица1[Order-Year-Month],Таблица1[[#This Row],[Order-Year-Month]])</f>
        <v>0.33333333333333331</v>
      </c>
    </row>
    <row r="7475" spans="1:26" x14ac:dyDescent="0.2">
      <c r="A7475" s="6">
        <v>5374</v>
      </c>
      <c r="B7475" s="7">
        <v>38212</v>
      </c>
      <c r="C7475" s="8">
        <f>DATE(2012,12,31)-637</f>
        <v>40637</v>
      </c>
      <c r="D7475" s="8" t="str">
        <f t="shared" si="141"/>
        <v>2011-04 (апрель 2011)</v>
      </c>
      <c r="E7475" s="9" t="s">
        <v>63</v>
      </c>
      <c r="F7475" s="7">
        <v>46</v>
      </c>
      <c r="G7475" s="7">
        <v>3533.97</v>
      </c>
      <c r="H7475" s="7">
        <v>7.0000000000000007E-2</v>
      </c>
      <c r="I7475" s="9" t="s">
        <v>22</v>
      </c>
      <c r="J7475" s="10">
        <v>-1329.81</v>
      </c>
      <c r="K7475" s="11">
        <v>80.98</v>
      </c>
      <c r="L7475" s="11">
        <v>35</v>
      </c>
      <c r="M7475" s="9" t="s">
        <v>1228</v>
      </c>
      <c r="N7475" s="6" t="s">
        <v>703</v>
      </c>
      <c r="O7475" s="6" t="s">
        <v>704</v>
      </c>
      <c r="P7475" s="9" t="s">
        <v>60</v>
      </c>
      <c r="Q7475" s="9" t="s">
        <v>26</v>
      </c>
      <c r="R7475" s="9" t="s">
        <v>27</v>
      </c>
      <c r="S7475" s="7" t="s">
        <v>1045</v>
      </c>
      <c r="T7475" s="9" t="s">
        <v>29</v>
      </c>
      <c r="U7475" s="7">
        <v>0.83</v>
      </c>
      <c r="V7475" s="12">
        <f>C7475+2</f>
        <v>40639</v>
      </c>
      <c r="W7475">
        <f>IF(D7475=' Pivot Tables'!$A$4,1,0)</f>
        <v>0</v>
      </c>
      <c r="X7475">
        <f>IF(AND(LEFT(D7475,4)+1=LEFT(' Pivot Tables'!$A$4,4)+0,RIGHT(LEFT(D7475,7),2)=RIGHT(LEFT(' Pivot Tables'!$A$4,7),2)),1,0)</f>
        <v>0</v>
      </c>
      <c r="Y7475" s="6">
        <f>1/COUNTIF(Таблица1[Order ID],Таблица1[[#This Row],[Order ID]])</f>
        <v>0.33333333333333331</v>
      </c>
      <c r="Z7475" s="9">
        <f>1/COUNTIFS(Таблица1[Customer Name],Таблица1[[#This Row],[Customer Name]],Таблица1[Order-Year-Month],Таблица1[[#This Row],[Order-Year-Month]])</f>
        <v>0.33333333333333331</v>
      </c>
    </row>
    <row r="7476" spans="1:26" x14ac:dyDescent="0.2">
      <c r="A7476" s="6">
        <v>5375</v>
      </c>
      <c r="B7476" s="7">
        <v>38212</v>
      </c>
      <c r="C7476" s="8">
        <f>DATE(2012,12,31)-637</f>
        <v>40637</v>
      </c>
      <c r="D7476" s="8" t="str">
        <f t="shared" si="141"/>
        <v>2011-04 (апрель 2011)</v>
      </c>
      <c r="E7476" s="9" t="s">
        <v>63</v>
      </c>
      <c r="F7476" s="7">
        <v>38</v>
      </c>
      <c r="G7476" s="7">
        <v>3821.4045000000001</v>
      </c>
      <c r="H7476" s="7">
        <v>0</v>
      </c>
      <c r="I7476" s="9" t="s">
        <v>22</v>
      </c>
      <c r="J7476" s="10">
        <v>1256.9670000000001</v>
      </c>
      <c r="K7476" s="11">
        <v>115.99</v>
      </c>
      <c r="L7476" s="11">
        <v>2.5</v>
      </c>
      <c r="M7476" s="9" t="s">
        <v>1228</v>
      </c>
      <c r="N7476" s="6" t="s">
        <v>703</v>
      </c>
      <c r="O7476" s="6" t="s">
        <v>704</v>
      </c>
      <c r="P7476" s="9" t="s">
        <v>60</v>
      </c>
      <c r="Q7476" s="9" t="s">
        <v>42</v>
      </c>
      <c r="R7476" s="9" t="s">
        <v>43</v>
      </c>
      <c r="S7476" s="7" t="s">
        <v>1719</v>
      </c>
      <c r="T7476" s="9" t="s">
        <v>39</v>
      </c>
      <c r="U7476" s="7">
        <v>0.55000000000000004</v>
      </c>
      <c r="V7476" s="12">
        <f>C7476+2</f>
        <v>40639</v>
      </c>
      <c r="W7476">
        <f>IF(D7476=' Pivot Tables'!$A$4,1,0)</f>
        <v>0</v>
      </c>
      <c r="X7476">
        <f>IF(AND(LEFT(D7476,4)+1=LEFT(' Pivot Tables'!$A$4,4)+0,RIGHT(LEFT(D7476,7),2)=RIGHT(LEFT(' Pivot Tables'!$A$4,7),2)),1,0)</f>
        <v>0</v>
      </c>
      <c r="Y7476" s="6">
        <f>1/COUNTIF(Таблица1[Order ID],Таблица1[[#This Row],[Order ID]])</f>
        <v>0.33333333333333331</v>
      </c>
      <c r="Z7476" s="9">
        <f>1/COUNTIFS(Таблица1[Customer Name],Таблица1[[#This Row],[Customer Name]],Таблица1[Order-Year-Month],Таблица1[[#This Row],[Order-Year-Month]])</f>
        <v>0.33333333333333331</v>
      </c>
    </row>
    <row r="7477" spans="1:26" x14ac:dyDescent="0.2">
      <c r="A7477" s="6">
        <v>5378</v>
      </c>
      <c r="B7477" s="7">
        <v>38240</v>
      </c>
      <c r="C7477" s="8">
        <f>DATE(2012,12,31)-1108</f>
        <v>40166</v>
      </c>
      <c r="D7477" s="8" t="str">
        <f t="shared" si="141"/>
        <v>2009-12 (декабрь 2009)</v>
      </c>
      <c r="E7477" s="9" t="s">
        <v>30</v>
      </c>
      <c r="F7477" s="7">
        <v>42</v>
      </c>
      <c r="G7477" s="7">
        <v>1651.07</v>
      </c>
      <c r="H7477" s="7">
        <v>0.09</v>
      </c>
      <c r="I7477" s="9" t="s">
        <v>22</v>
      </c>
      <c r="J7477" s="10">
        <v>-100.49</v>
      </c>
      <c r="K7477" s="11">
        <v>40.98</v>
      </c>
      <c r="L7477" s="11">
        <v>6.5</v>
      </c>
      <c r="M7477" s="9" t="s">
        <v>1106</v>
      </c>
      <c r="N7477" s="6" t="s">
        <v>703</v>
      </c>
      <c r="O7477" s="6" t="s">
        <v>704</v>
      </c>
      <c r="P7477" s="9" t="s">
        <v>33</v>
      </c>
      <c r="Q7477" s="9" t="s">
        <v>42</v>
      </c>
      <c r="R7477" s="9" t="s">
        <v>70</v>
      </c>
      <c r="S7477" s="7" t="s">
        <v>1120</v>
      </c>
      <c r="T7477" s="9" t="s">
        <v>39</v>
      </c>
      <c r="U7477" s="7">
        <v>0.74</v>
      </c>
      <c r="V7477" s="12">
        <f>C7477+2</f>
        <v>40168</v>
      </c>
      <c r="W7477">
        <f>IF(D7477=' Pivot Tables'!$A$4,1,0)</f>
        <v>0</v>
      </c>
      <c r="X7477">
        <f>IF(AND(LEFT(D7477,4)+1=LEFT(' Pivot Tables'!$A$4,4)+0,RIGHT(LEFT(D7477,7),2)=RIGHT(LEFT(' Pivot Tables'!$A$4,7),2)),1,0)</f>
        <v>0</v>
      </c>
      <c r="Y7477" s="6">
        <f>1/COUNTIF(Таблица1[Order ID],Таблица1[[#This Row],[Order ID]])</f>
        <v>0.5</v>
      </c>
      <c r="Z7477" s="9">
        <f>1/COUNTIFS(Таблица1[Customer Name],Таблица1[[#This Row],[Customer Name]],Таблица1[Order-Year-Month],Таблица1[[#This Row],[Order-Year-Month]])</f>
        <v>0.33333333333333331</v>
      </c>
    </row>
    <row r="7478" spans="1:26" x14ac:dyDescent="0.2">
      <c r="A7478" s="6">
        <v>5447</v>
      </c>
      <c r="B7478" s="7">
        <v>38661</v>
      </c>
      <c r="C7478" s="8">
        <f>DATE(2012,12,31)-323</f>
        <v>40951</v>
      </c>
      <c r="D7478" s="8" t="str">
        <f t="shared" si="141"/>
        <v>2012-02 (февраль 2012)</v>
      </c>
      <c r="E7478" s="9" t="s">
        <v>30</v>
      </c>
      <c r="F7478" s="7">
        <v>48</v>
      </c>
      <c r="G7478" s="7">
        <v>326.10000000000002</v>
      </c>
      <c r="H7478" s="7">
        <v>0.04</v>
      </c>
      <c r="I7478" s="9" t="s">
        <v>22</v>
      </c>
      <c r="J7478" s="10">
        <v>-118.74</v>
      </c>
      <c r="K7478" s="11">
        <v>6.48</v>
      </c>
      <c r="L7478" s="11">
        <v>6.6</v>
      </c>
      <c r="M7478" s="9" t="s">
        <v>2049</v>
      </c>
      <c r="N7478" s="6" t="s">
        <v>703</v>
      </c>
      <c r="O7478" s="6" t="s">
        <v>704</v>
      </c>
      <c r="P7478" s="9" t="s">
        <v>41</v>
      </c>
      <c r="Q7478" s="9" t="s">
        <v>26</v>
      </c>
      <c r="R7478" s="9" t="s">
        <v>61</v>
      </c>
      <c r="S7478" s="7" t="s">
        <v>346</v>
      </c>
      <c r="T7478" s="9" t="s">
        <v>39</v>
      </c>
      <c r="U7478" s="7">
        <v>0.37</v>
      </c>
      <c r="V7478" s="12">
        <f>C7478+1</f>
        <v>40952</v>
      </c>
      <c r="W7478">
        <f>IF(D7478=' Pivot Tables'!$A$4,1,0)</f>
        <v>0</v>
      </c>
      <c r="X7478">
        <f>IF(AND(LEFT(D7478,4)+1=LEFT(' Pivot Tables'!$A$4,4)+0,RIGHT(LEFT(D7478,7),2)=RIGHT(LEFT(' Pivot Tables'!$A$4,7),2)),1,0)</f>
        <v>0</v>
      </c>
      <c r="Y7478" s="6">
        <f>1/COUNTIF(Таблица1[Order ID],Таблица1[[#This Row],[Order ID]])</f>
        <v>0.5</v>
      </c>
      <c r="Z7478" s="9">
        <f>1/COUNTIFS(Таблица1[Customer Name],Таблица1[[#This Row],[Customer Name]],Таблица1[Order-Year-Month],Таблица1[[#This Row],[Order-Year-Month]])</f>
        <v>0.5</v>
      </c>
    </row>
    <row r="7479" spans="1:26" x14ac:dyDescent="0.2">
      <c r="A7479" s="6">
        <v>5448</v>
      </c>
      <c r="B7479" s="7">
        <v>38661</v>
      </c>
      <c r="C7479" s="8">
        <f>DATE(2012,12,31)-323</f>
        <v>40951</v>
      </c>
      <c r="D7479" s="8" t="str">
        <f t="shared" si="141"/>
        <v>2012-02 (февраль 2012)</v>
      </c>
      <c r="E7479" s="9" t="s">
        <v>30</v>
      </c>
      <c r="F7479" s="7">
        <v>6</v>
      </c>
      <c r="G7479" s="7">
        <v>170.374</v>
      </c>
      <c r="H7479" s="7">
        <v>0.09</v>
      </c>
      <c r="I7479" s="9" t="s">
        <v>22</v>
      </c>
      <c r="J7479" s="10">
        <v>-67.132999999999996</v>
      </c>
      <c r="K7479" s="11">
        <v>35.99</v>
      </c>
      <c r="L7479" s="11">
        <v>0.99</v>
      </c>
      <c r="M7479" s="9" t="s">
        <v>2049</v>
      </c>
      <c r="N7479" s="6" t="s">
        <v>703</v>
      </c>
      <c r="O7479" s="6" t="s">
        <v>704</v>
      </c>
      <c r="P7479" s="9" t="s">
        <v>41</v>
      </c>
      <c r="Q7479" s="9" t="s">
        <v>42</v>
      </c>
      <c r="R7479" s="9" t="s">
        <v>43</v>
      </c>
      <c r="S7479" s="7" t="s">
        <v>437</v>
      </c>
      <c r="T7479" s="9" t="s">
        <v>52</v>
      </c>
      <c r="U7479" s="7">
        <v>0.35</v>
      </c>
      <c r="V7479" s="12">
        <f>C7479+3</f>
        <v>40954</v>
      </c>
      <c r="W7479">
        <f>IF(D7479=' Pivot Tables'!$A$4,1,0)</f>
        <v>0</v>
      </c>
      <c r="X7479">
        <f>IF(AND(LEFT(D7479,4)+1=LEFT(' Pivot Tables'!$A$4,4)+0,RIGHT(LEFT(D7479,7),2)=RIGHT(LEFT(' Pivot Tables'!$A$4,7),2)),1,0)</f>
        <v>0</v>
      </c>
      <c r="Y7479" s="6">
        <f>1/COUNTIF(Таблица1[Order ID],Таблица1[[#This Row],[Order ID]])</f>
        <v>0.5</v>
      </c>
      <c r="Z7479" s="9">
        <f>1/COUNTIFS(Таблица1[Customer Name],Таблица1[[#This Row],[Customer Name]],Таблица1[Order-Year-Month],Таблица1[[#This Row],[Order-Year-Month]])</f>
        <v>0.5</v>
      </c>
    </row>
    <row r="7480" spans="1:26" x14ac:dyDescent="0.2">
      <c r="A7480" s="6">
        <v>5516</v>
      </c>
      <c r="B7480" s="7">
        <v>39110</v>
      </c>
      <c r="C7480" s="8">
        <f>DATE(2012,12,31)-1060</f>
        <v>40214</v>
      </c>
      <c r="D7480" s="8" t="str">
        <f t="shared" si="141"/>
        <v>2010-02 (февраль 2010)</v>
      </c>
      <c r="E7480" s="9" t="s">
        <v>63</v>
      </c>
      <c r="F7480" s="7">
        <v>14</v>
      </c>
      <c r="G7480" s="7">
        <v>2595.0700000000002</v>
      </c>
      <c r="H7480" s="7">
        <v>0.1</v>
      </c>
      <c r="I7480" s="9" t="s">
        <v>22</v>
      </c>
      <c r="J7480" s="10">
        <v>1217.19</v>
      </c>
      <c r="K7480" s="11">
        <v>194.3</v>
      </c>
      <c r="L7480" s="11">
        <v>11.54</v>
      </c>
      <c r="M7480" s="9" t="s">
        <v>1228</v>
      </c>
      <c r="N7480" s="6" t="s">
        <v>703</v>
      </c>
      <c r="O7480" s="6" t="s">
        <v>704</v>
      </c>
      <c r="P7480" s="9" t="s">
        <v>60</v>
      </c>
      <c r="Q7480" s="9" t="s">
        <v>49</v>
      </c>
      <c r="R7480" s="9" t="s">
        <v>50</v>
      </c>
      <c r="S7480" s="7" t="s">
        <v>209</v>
      </c>
      <c r="T7480" s="9" t="s">
        <v>29</v>
      </c>
      <c r="U7480" s="7">
        <v>0.59</v>
      </c>
      <c r="V7480" s="12">
        <f>C7480+0</f>
        <v>40214</v>
      </c>
      <c r="W7480">
        <f>IF(D7480=' Pivot Tables'!$A$4,1,0)</f>
        <v>0</v>
      </c>
      <c r="X7480">
        <f>IF(AND(LEFT(D7480,4)+1=LEFT(' Pivot Tables'!$A$4,4)+0,RIGHT(LEFT(D7480,7),2)=RIGHT(LEFT(' Pivot Tables'!$A$4,7),2)),1,0)</f>
        <v>0</v>
      </c>
      <c r="Y7480" s="6">
        <f>1/COUNTIF(Таблица1[Order ID],Таблица1[[#This Row],[Order ID]])</f>
        <v>1</v>
      </c>
      <c r="Z7480" s="9">
        <f>1/COUNTIFS(Таблица1[Customer Name],Таблица1[[#This Row],[Customer Name]],Таблица1[Order-Year-Month],Таблица1[[#This Row],[Order-Year-Month]])</f>
        <v>1</v>
      </c>
    </row>
    <row r="7481" spans="1:26" x14ac:dyDescent="0.2">
      <c r="A7481" s="6">
        <v>5537</v>
      </c>
      <c r="B7481" s="7">
        <v>39235</v>
      </c>
      <c r="C7481" s="8">
        <f>DATE(2012,12,31)-901</f>
        <v>40373</v>
      </c>
      <c r="D7481" s="8" t="str">
        <f t="shared" si="141"/>
        <v>2010-07 (июль 2010)</v>
      </c>
      <c r="E7481" s="9" t="s">
        <v>63</v>
      </c>
      <c r="F7481" s="7">
        <v>34</v>
      </c>
      <c r="G7481" s="7">
        <v>801.98</v>
      </c>
      <c r="H7481" s="7">
        <v>0</v>
      </c>
      <c r="I7481" s="9" t="s">
        <v>22</v>
      </c>
      <c r="J7481" s="10">
        <v>-99.95</v>
      </c>
      <c r="K7481" s="11">
        <v>21.66</v>
      </c>
      <c r="L7481" s="11">
        <v>13.99</v>
      </c>
      <c r="M7481" s="9" t="s">
        <v>2066</v>
      </c>
      <c r="N7481" s="6" t="s">
        <v>703</v>
      </c>
      <c r="O7481" s="6" t="s">
        <v>704</v>
      </c>
      <c r="P7481" s="9" t="s">
        <v>41</v>
      </c>
      <c r="Q7481" s="9" t="s">
        <v>26</v>
      </c>
      <c r="R7481" s="9" t="s">
        <v>34</v>
      </c>
      <c r="S7481" s="7" t="s">
        <v>223</v>
      </c>
      <c r="T7481" s="9" t="s">
        <v>48</v>
      </c>
      <c r="U7481" s="7">
        <v>0.52</v>
      </c>
      <c r="V7481" s="12">
        <f>C7481+2</f>
        <v>40375</v>
      </c>
      <c r="W7481">
        <f>IF(D7481=' Pivot Tables'!$A$4,1,0)</f>
        <v>0</v>
      </c>
      <c r="X7481">
        <f>IF(AND(LEFT(D7481,4)+1=LEFT(' Pivot Tables'!$A$4,4)+0,RIGHT(LEFT(D7481,7),2)=RIGHT(LEFT(' Pivot Tables'!$A$4,7),2)),1,0)</f>
        <v>0</v>
      </c>
      <c r="Y7481" s="6">
        <f>1/COUNTIF(Таблица1[Order ID],Таблица1[[#This Row],[Order ID]])</f>
        <v>1</v>
      </c>
      <c r="Z7481" s="9">
        <f>1/COUNTIFS(Таблица1[Customer Name],Таблица1[[#This Row],[Customer Name]],Таблица1[Order-Year-Month],Таблица1[[#This Row],[Order-Year-Month]])</f>
        <v>0.5</v>
      </c>
    </row>
    <row r="7482" spans="1:26" x14ac:dyDescent="0.2">
      <c r="A7482" s="6">
        <v>5548</v>
      </c>
      <c r="B7482" s="7">
        <v>39270</v>
      </c>
      <c r="C7482" s="8">
        <f>DATE(2012,12,31)-694</f>
        <v>40580</v>
      </c>
      <c r="D7482" s="8" t="str">
        <f t="shared" si="141"/>
        <v>2011-02 (февраль 2011)</v>
      </c>
      <c r="E7482" s="9" t="s">
        <v>30</v>
      </c>
      <c r="F7482" s="7">
        <v>11</v>
      </c>
      <c r="G7482" s="7">
        <v>65.78</v>
      </c>
      <c r="H7482" s="7">
        <v>7.0000000000000007E-2</v>
      </c>
      <c r="I7482" s="9" t="s">
        <v>22</v>
      </c>
      <c r="J7482" s="10">
        <v>-17.420000000000002</v>
      </c>
      <c r="K7482" s="11">
        <v>5.81</v>
      </c>
      <c r="L7482" s="11">
        <v>3.37</v>
      </c>
      <c r="M7482" s="9" t="s">
        <v>2068</v>
      </c>
      <c r="N7482" s="6" t="s">
        <v>703</v>
      </c>
      <c r="O7482" s="6" t="s">
        <v>704</v>
      </c>
      <c r="P7482" s="9" t="s">
        <v>60</v>
      </c>
      <c r="Q7482" s="9" t="s">
        <v>26</v>
      </c>
      <c r="R7482" s="9" t="s">
        <v>66</v>
      </c>
      <c r="S7482" s="7" t="s">
        <v>792</v>
      </c>
      <c r="T7482" s="9" t="s">
        <v>68</v>
      </c>
      <c r="U7482" s="7">
        <v>0.54</v>
      </c>
      <c r="V7482" s="12">
        <f>C7482+0</f>
        <v>40580</v>
      </c>
      <c r="W7482">
        <f>IF(D7482=' Pivot Tables'!$A$4,1,0)</f>
        <v>0</v>
      </c>
      <c r="X7482">
        <f>IF(AND(LEFT(D7482,4)+1=LEFT(' Pivot Tables'!$A$4,4)+0,RIGHT(LEFT(D7482,7),2)=RIGHT(LEFT(' Pivot Tables'!$A$4,7),2)),1,0)</f>
        <v>0</v>
      </c>
      <c r="Y7482" s="6">
        <f>1/COUNTIF(Таблица1[Order ID],Таблица1[[#This Row],[Order ID]])</f>
        <v>1</v>
      </c>
      <c r="Z7482" s="9">
        <f>1/COUNTIFS(Таблица1[Customer Name],Таблица1[[#This Row],[Customer Name]],Таблица1[Order-Year-Month],Таблица1[[#This Row],[Order-Year-Month]])</f>
        <v>1</v>
      </c>
    </row>
    <row r="7483" spans="1:26" x14ac:dyDescent="0.2">
      <c r="A7483" s="6">
        <v>5582</v>
      </c>
      <c r="B7483" s="7">
        <v>39586</v>
      </c>
      <c r="C7483" s="8">
        <f>DATE(2012,12,31)-592</f>
        <v>40682</v>
      </c>
      <c r="D7483" s="8" t="str">
        <f t="shared" si="141"/>
        <v>2011-05 (май 2011)</v>
      </c>
      <c r="E7483" s="9" t="s">
        <v>45</v>
      </c>
      <c r="F7483" s="7">
        <v>1</v>
      </c>
      <c r="G7483" s="7">
        <v>10.48</v>
      </c>
      <c r="H7483" s="7">
        <v>0.04</v>
      </c>
      <c r="I7483" s="9" t="s">
        <v>22</v>
      </c>
      <c r="J7483" s="10">
        <v>-5.4395000000000007</v>
      </c>
      <c r="K7483" s="11">
        <v>3.52</v>
      </c>
      <c r="L7483" s="11">
        <v>6.83</v>
      </c>
      <c r="M7483" s="9" t="s">
        <v>2066</v>
      </c>
      <c r="N7483" s="6" t="s">
        <v>703</v>
      </c>
      <c r="O7483" s="6" t="s">
        <v>704</v>
      </c>
      <c r="P7483" s="9" t="s">
        <v>41</v>
      </c>
      <c r="Q7483" s="9" t="s">
        <v>26</v>
      </c>
      <c r="R7483" s="9" t="s">
        <v>37</v>
      </c>
      <c r="S7483" s="7" t="s">
        <v>636</v>
      </c>
      <c r="T7483" s="9" t="s">
        <v>39</v>
      </c>
      <c r="U7483" s="7">
        <v>0.38</v>
      </c>
      <c r="V7483" s="12">
        <f>C7483+2</f>
        <v>40684</v>
      </c>
      <c r="W7483">
        <f>IF(D7483=' Pivot Tables'!$A$4,1,0)</f>
        <v>0</v>
      </c>
      <c r="X7483">
        <f>IF(AND(LEFT(D7483,4)+1=LEFT(' Pivot Tables'!$A$4,4)+0,RIGHT(LEFT(D7483,7),2)=RIGHT(LEFT(' Pivot Tables'!$A$4,7),2)),1,0)</f>
        <v>0</v>
      </c>
      <c r="Y7483" s="6">
        <f>1/COUNTIF(Таблица1[Order ID],Таблица1[[#This Row],[Order ID]])</f>
        <v>1</v>
      </c>
      <c r="Z7483" s="9">
        <f>1/COUNTIFS(Таблица1[Customer Name],Таблица1[[#This Row],[Customer Name]],Таблица1[Order-Year-Month],Таблица1[[#This Row],[Order-Year-Month]])</f>
        <v>1</v>
      </c>
    </row>
    <row r="7484" spans="1:26" x14ac:dyDescent="0.2">
      <c r="A7484" s="6">
        <v>5620</v>
      </c>
      <c r="B7484" s="7">
        <v>39812</v>
      </c>
      <c r="C7484" s="8">
        <f>DATE(2012,12,31)-1290</f>
        <v>39984</v>
      </c>
      <c r="D7484" s="8" t="str">
        <f t="shared" si="141"/>
        <v>2009-06 (июнь 2009)</v>
      </c>
      <c r="E7484" s="9" t="s">
        <v>45</v>
      </c>
      <c r="F7484" s="7">
        <v>40</v>
      </c>
      <c r="G7484" s="7">
        <v>323.63</v>
      </c>
      <c r="H7484" s="7">
        <v>0.05</v>
      </c>
      <c r="I7484" s="9" t="s">
        <v>22</v>
      </c>
      <c r="J7484" s="10">
        <v>-205.49349999999998</v>
      </c>
      <c r="K7484" s="11">
        <v>8.0399999999999991</v>
      </c>
      <c r="L7484" s="11">
        <v>8.94</v>
      </c>
      <c r="M7484" s="9" t="s">
        <v>2068</v>
      </c>
      <c r="N7484" s="6" t="s">
        <v>703</v>
      </c>
      <c r="O7484" s="6" t="s">
        <v>704</v>
      </c>
      <c r="P7484" s="9" t="s">
        <v>60</v>
      </c>
      <c r="Q7484" s="9" t="s">
        <v>26</v>
      </c>
      <c r="R7484" s="9" t="s">
        <v>37</v>
      </c>
      <c r="S7484" s="7" t="s">
        <v>529</v>
      </c>
      <c r="T7484" s="9" t="s">
        <v>39</v>
      </c>
      <c r="U7484" s="7">
        <v>0.4</v>
      </c>
      <c r="V7484" s="12">
        <f>C7484+2</f>
        <v>39986</v>
      </c>
      <c r="W7484">
        <f>IF(D7484=' Pivot Tables'!$A$4,1,0)</f>
        <v>0</v>
      </c>
      <c r="X7484">
        <f>IF(AND(LEFT(D7484,4)+1=LEFT(' Pivot Tables'!$A$4,4)+0,RIGHT(LEFT(D7484,7),2)=RIGHT(LEFT(' Pivot Tables'!$A$4,7),2)),1,0)</f>
        <v>0</v>
      </c>
      <c r="Y7484" s="6">
        <f>1/COUNTIF(Таблица1[Order ID],Таблица1[[#This Row],[Order ID]])</f>
        <v>1</v>
      </c>
      <c r="Z7484" s="9">
        <f>1/COUNTIFS(Таблица1[Customer Name],Таблица1[[#This Row],[Customer Name]],Таблица1[Order-Year-Month],Таблица1[[#This Row],[Order-Year-Month]])</f>
        <v>1</v>
      </c>
    </row>
    <row r="7485" spans="1:26" x14ac:dyDescent="0.2">
      <c r="A7485" s="6">
        <v>5731</v>
      </c>
      <c r="B7485" s="7">
        <v>40673</v>
      </c>
      <c r="C7485" s="8">
        <f>DATE(2012,12,31)-318</f>
        <v>40956</v>
      </c>
      <c r="D7485" s="8" t="str">
        <f t="shared" si="141"/>
        <v>2012-02 (февраль 2012)</v>
      </c>
      <c r="E7485" s="9" t="s">
        <v>21</v>
      </c>
      <c r="F7485" s="7">
        <v>14</v>
      </c>
      <c r="G7485" s="7">
        <v>157.49</v>
      </c>
      <c r="H7485" s="7">
        <v>0.02</v>
      </c>
      <c r="I7485" s="9" t="s">
        <v>22</v>
      </c>
      <c r="J7485" s="10">
        <v>62.54</v>
      </c>
      <c r="K7485" s="11">
        <v>10.94</v>
      </c>
      <c r="L7485" s="11">
        <v>1.39</v>
      </c>
      <c r="M7485" s="9" t="s">
        <v>1782</v>
      </c>
      <c r="N7485" s="6" t="s">
        <v>703</v>
      </c>
      <c r="O7485" s="6" t="s">
        <v>704</v>
      </c>
      <c r="P7485" s="9" t="s">
        <v>60</v>
      </c>
      <c r="Q7485" s="9" t="s">
        <v>26</v>
      </c>
      <c r="R7485" s="9" t="s">
        <v>76</v>
      </c>
      <c r="S7485" s="7" t="s">
        <v>450</v>
      </c>
      <c r="T7485" s="9" t="s">
        <v>39</v>
      </c>
      <c r="U7485" s="7">
        <v>0.35</v>
      </c>
      <c r="V7485" s="12">
        <f>C7485+5</f>
        <v>40961</v>
      </c>
      <c r="W7485">
        <f>IF(D7485=' Pivot Tables'!$A$4,1,0)</f>
        <v>0</v>
      </c>
      <c r="X7485">
        <f>IF(AND(LEFT(D7485,4)+1=LEFT(' Pivot Tables'!$A$4,4)+0,RIGHT(LEFT(D7485,7),2)=RIGHT(LEFT(' Pivot Tables'!$A$4,7),2)),1,0)</f>
        <v>0</v>
      </c>
      <c r="Y7485" s="6">
        <f>1/COUNTIF(Таблица1[Order ID],Таблица1[[#This Row],[Order ID]])</f>
        <v>1</v>
      </c>
      <c r="Z7485" s="9">
        <f>1/COUNTIFS(Таблица1[Customer Name],Таблица1[[#This Row],[Customer Name]],Таблица1[Order-Year-Month],Таблица1[[#This Row],[Order-Year-Month]])</f>
        <v>1</v>
      </c>
    </row>
    <row r="7486" spans="1:26" x14ac:dyDescent="0.2">
      <c r="A7486" s="6">
        <v>5837</v>
      </c>
      <c r="B7486" s="7">
        <v>41413</v>
      </c>
      <c r="C7486" s="8">
        <f>DATE(2012,12,31)-411</f>
        <v>40863</v>
      </c>
      <c r="D7486" s="8" t="str">
        <f t="shared" si="141"/>
        <v>2011-11 (ноябрь 2011)</v>
      </c>
      <c r="E7486" s="9" t="s">
        <v>21</v>
      </c>
      <c r="F7486" s="7">
        <v>17</v>
      </c>
      <c r="G7486" s="7">
        <v>10134.549999999999</v>
      </c>
      <c r="H7486" s="7">
        <v>0.08</v>
      </c>
      <c r="I7486" s="9" t="s">
        <v>22</v>
      </c>
      <c r="J7486" s="10">
        <v>-597.21</v>
      </c>
      <c r="K7486" s="11">
        <v>599.99</v>
      </c>
      <c r="L7486" s="11">
        <v>24.49</v>
      </c>
      <c r="M7486" s="9" t="s">
        <v>2064</v>
      </c>
      <c r="N7486" s="6" t="s">
        <v>703</v>
      </c>
      <c r="O7486" s="6" t="s">
        <v>704</v>
      </c>
      <c r="P7486" s="9" t="s">
        <v>41</v>
      </c>
      <c r="Q7486" s="9" t="s">
        <v>42</v>
      </c>
      <c r="R7486" s="9" t="s">
        <v>99</v>
      </c>
      <c r="S7486" s="7" t="s">
        <v>1004</v>
      </c>
      <c r="T7486" s="9" t="s">
        <v>29</v>
      </c>
      <c r="U7486" s="7">
        <v>0.37</v>
      </c>
      <c r="V7486" s="12">
        <f>C7486+7</f>
        <v>40870</v>
      </c>
      <c r="W7486">
        <f>IF(D7486=' Pivot Tables'!$A$4,1,0)</f>
        <v>0</v>
      </c>
      <c r="X7486">
        <f>IF(AND(LEFT(D7486,4)+1=LEFT(' Pivot Tables'!$A$4,4)+0,RIGHT(LEFT(D7486,7),2)=RIGHT(LEFT(' Pivot Tables'!$A$4,7),2)),1,0)</f>
        <v>0</v>
      </c>
      <c r="Y7486" s="6">
        <f>1/COUNTIF(Таблица1[Order ID],Таблица1[[#This Row],[Order ID]])</f>
        <v>0.33333333333333331</v>
      </c>
      <c r="Z7486" s="9">
        <f>1/COUNTIFS(Таблица1[Customer Name],Таблица1[[#This Row],[Customer Name]],Таблица1[Order-Year-Month],Таблица1[[#This Row],[Order-Year-Month]])</f>
        <v>0.33333333333333331</v>
      </c>
    </row>
    <row r="7487" spans="1:26" x14ac:dyDescent="0.2">
      <c r="A7487" s="6">
        <v>5838</v>
      </c>
      <c r="B7487" s="7">
        <v>41413</v>
      </c>
      <c r="C7487" s="8">
        <f>DATE(2012,12,31)-411</f>
        <v>40863</v>
      </c>
      <c r="D7487" s="8" t="str">
        <f t="shared" si="141"/>
        <v>2011-11 (ноябрь 2011)</v>
      </c>
      <c r="E7487" s="9" t="s">
        <v>21</v>
      </c>
      <c r="F7487" s="7">
        <v>46</v>
      </c>
      <c r="G7487" s="7">
        <v>1765.64</v>
      </c>
      <c r="H7487" s="7">
        <v>0.08</v>
      </c>
      <c r="I7487" s="9" t="s">
        <v>22</v>
      </c>
      <c r="J7487" s="10">
        <v>108.65</v>
      </c>
      <c r="K7487" s="11">
        <v>40.97</v>
      </c>
      <c r="L7487" s="11">
        <v>14.45</v>
      </c>
      <c r="M7487" s="9" t="s">
        <v>2064</v>
      </c>
      <c r="N7487" s="6" t="s">
        <v>703</v>
      </c>
      <c r="O7487" s="6" t="s">
        <v>704</v>
      </c>
      <c r="P7487" s="9" t="s">
        <v>41</v>
      </c>
      <c r="Q7487" s="9" t="s">
        <v>49</v>
      </c>
      <c r="R7487" s="9" t="s">
        <v>50</v>
      </c>
      <c r="S7487" s="7" t="s">
        <v>310</v>
      </c>
      <c r="T7487" s="9" t="s">
        <v>29</v>
      </c>
      <c r="U7487" s="7">
        <v>0.56999999999999995</v>
      </c>
      <c r="V7487" s="12">
        <f>C7487+2</f>
        <v>40865</v>
      </c>
      <c r="W7487">
        <f>IF(D7487=' Pivot Tables'!$A$4,1,0)</f>
        <v>0</v>
      </c>
      <c r="X7487">
        <f>IF(AND(LEFT(D7487,4)+1=LEFT(' Pivot Tables'!$A$4,4)+0,RIGHT(LEFT(D7487,7),2)=RIGHT(LEFT(' Pivot Tables'!$A$4,7),2)),1,0)</f>
        <v>0</v>
      </c>
      <c r="Y7487" s="6">
        <f>1/COUNTIF(Таблица1[Order ID],Таблица1[[#This Row],[Order ID]])</f>
        <v>0.33333333333333331</v>
      </c>
      <c r="Z7487" s="9">
        <f>1/COUNTIFS(Таблица1[Customer Name],Таблица1[[#This Row],[Customer Name]],Таблица1[Order-Year-Month],Таблица1[[#This Row],[Order-Year-Month]])</f>
        <v>0.33333333333333331</v>
      </c>
    </row>
    <row r="7488" spans="1:26" x14ac:dyDescent="0.2">
      <c r="A7488" s="6">
        <v>5839</v>
      </c>
      <c r="B7488" s="7">
        <v>41413</v>
      </c>
      <c r="C7488" s="8">
        <f>DATE(2012,12,31)-411</f>
        <v>40863</v>
      </c>
      <c r="D7488" s="8" t="str">
        <f t="shared" si="141"/>
        <v>2011-11 (ноябрь 2011)</v>
      </c>
      <c r="E7488" s="9" t="s">
        <v>21</v>
      </c>
      <c r="F7488" s="7">
        <v>23</v>
      </c>
      <c r="G7488" s="7">
        <v>156.5</v>
      </c>
      <c r="H7488" s="7">
        <v>0.01</v>
      </c>
      <c r="I7488" s="9" t="s">
        <v>22</v>
      </c>
      <c r="J7488" s="10">
        <v>-49.6</v>
      </c>
      <c r="K7488" s="11">
        <v>6.48</v>
      </c>
      <c r="L7488" s="11">
        <v>6</v>
      </c>
      <c r="M7488" s="9" t="s">
        <v>2064</v>
      </c>
      <c r="N7488" s="6" t="s">
        <v>703</v>
      </c>
      <c r="O7488" s="6" t="s">
        <v>704</v>
      </c>
      <c r="P7488" s="9" t="s">
        <v>41</v>
      </c>
      <c r="Q7488" s="9" t="s">
        <v>26</v>
      </c>
      <c r="R7488" s="9" t="s">
        <v>61</v>
      </c>
      <c r="S7488" s="7" t="s">
        <v>1522</v>
      </c>
      <c r="T7488" s="9" t="s">
        <v>39</v>
      </c>
      <c r="U7488" s="7">
        <v>0.37</v>
      </c>
      <c r="V7488" s="12">
        <f>C7488+4</f>
        <v>40867</v>
      </c>
      <c r="W7488">
        <f>IF(D7488=' Pivot Tables'!$A$4,1,0)</f>
        <v>0</v>
      </c>
      <c r="X7488">
        <f>IF(AND(LEFT(D7488,4)+1=LEFT(' Pivot Tables'!$A$4,4)+0,RIGHT(LEFT(D7488,7),2)=RIGHT(LEFT(' Pivot Tables'!$A$4,7),2)),1,0)</f>
        <v>0</v>
      </c>
      <c r="Y7488" s="6">
        <f>1/COUNTIF(Таблица1[Order ID],Таблица1[[#This Row],[Order ID]])</f>
        <v>0.33333333333333331</v>
      </c>
      <c r="Z7488" s="9">
        <f>1/COUNTIFS(Таблица1[Customer Name],Таблица1[[#This Row],[Customer Name]],Таблица1[Order-Year-Month],Таблица1[[#This Row],[Order-Year-Month]])</f>
        <v>0.33333333333333331</v>
      </c>
    </row>
    <row r="7489" spans="1:26" x14ac:dyDescent="0.2">
      <c r="A7489" s="6">
        <v>5895</v>
      </c>
      <c r="B7489" s="7">
        <v>41824</v>
      </c>
      <c r="C7489" s="8">
        <f>DATE(2012,12,31)-911</f>
        <v>40363</v>
      </c>
      <c r="D7489" s="8" t="str">
        <f t="shared" si="141"/>
        <v>2010-07 (июль 2010)</v>
      </c>
      <c r="E7489" s="9" t="s">
        <v>45</v>
      </c>
      <c r="F7489" s="7">
        <v>8</v>
      </c>
      <c r="G7489" s="7">
        <v>157.51</v>
      </c>
      <c r="H7489" s="7">
        <v>0.01</v>
      </c>
      <c r="I7489" s="9" t="s">
        <v>22</v>
      </c>
      <c r="J7489" s="10">
        <v>46.478000000000002</v>
      </c>
      <c r="K7489" s="11">
        <v>18.940000000000001</v>
      </c>
      <c r="L7489" s="11">
        <v>1.49</v>
      </c>
      <c r="M7489" s="9" t="s">
        <v>2064</v>
      </c>
      <c r="N7489" s="6" t="s">
        <v>703</v>
      </c>
      <c r="O7489" s="6" t="s">
        <v>704</v>
      </c>
      <c r="P7489" s="9" t="s">
        <v>41</v>
      </c>
      <c r="Q7489" s="9" t="s">
        <v>26</v>
      </c>
      <c r="R7489" s="9" t="s">
        <v>37</v>
      </c>
      <c r="S7489" s="7" t="s">
        <v>896</v>
      </c>
      <c r="T7489" s="9" t="s">
        <v>39</v>
      </c>
      <c r="U7489" s="7">
        <v>0.35</v>
      </c>
      <c r="V7489" s="12">
        <f>C7489+1</f>
        <v>40364</v>
      </c>
      <c r="W7489">
        <f>IF(D7489=' Pivot Tables'!$A$4,1,0)</f>
        <v>0</v>
      </c>
      <c r="X7489">
        <f>IF(AND(LEFT(D7489,4)+1=LEFT(' Pivot Tables'!$A$4,4)+0,RIGHT(LEFT(D7489,7),2)=RIGHT(LEFT(' Pivot Tables'!$A$4,7),2)),1,0)</f>
        <v>0</v>
      </c>
      <c r="Y7489" s="6">
        <f>1/COUNTIF(Таблица1[Order ID],Таблица1[[#This Row],[Order ID]])</f>
        <v>0.5</v>
      </c>
      <c r="Z7489" s="9">
        <f>1/COUNTIFS(Таблица1[Customer Name],Таблица1[[#This Row],[Customer Name]],Таблица1[Order-Year-Month],Таблица1[[#This Row],[Order-Year-Month]])</f>
        <v>0.5</v>
      </c>
    </row>
    <row r="7490" spans="1:26" x14ac:dyDescent="0.2">
      <c r="A7490" s="6">
        <v>5896</v>
      </c>
      <c r="B7490" s="7">
        <v>41824</v>
      </c>
      <c r="C7490" s="8">
        <f>DATE(2012,12,31)-911</f>
        <v>40363</v>
      </c>
      <c r="D7490" s="8" t="str">
        <f t="shared" si="141"/>
        <v>2010-07 (июль 2010)</v>
      </c>
      <c r="E7490" s="9" t="s">
        <v>45</v>
      </c>
      <c r="F7490" s="7">
        <v>33</v>
      </c>
      <c r="G7490" s="7">
        <v>97.78</v>
      </c>
      <c r="H7490" s="7">
        <v>0.09</v>
      </c>
      <c r="I7490" s="9" t="s">
        <v>22</v>
      </c>
      <c r="J7490" s="10">
        <v>-31.22</v>
      </c>
      <c r="K7490" s="11">
        <v>2.98</v>
      </c>
      <c r="L7490" s="11">
        <v>2.0299999999999998</v>
      </c>
      <c r="M7490" s="9" t="s">
        <v>2064</v>
      </c>
      <c r="N7490" s="6" t="s">
        <v>703</v>
      </c>
      <c r="O7490" s="6" t="s">
        <v>704</v>
      </c>
      <c r="P7490" s="9" t="s">
        <v>41</v>
      </c>
      <c r="Q7490" s="9" t="s">
        <v>26</v>
      </c>
      <c r="R7490" s="9" t="s">
        <v>95</v>
      </c>
      <c r="S7490" s="7" t="s">
        <v>1764</v>
      </c>
      <c r="T7490" s="9" t="s">
        <v>68</v>
      </c>
      <c r="U7490" s="7">
        <v>0.56999999999999995</v>
      </c>
      <c r="V7490" s="12">
        <f>C7490+2</f>
        <v>40365</v>
      </c>
      <c r="W7490">
        <f>IF(D7490=' Pivot Tables'!$A$4,1,0)</f>
        <v>0</v>
      </c>
      <c r="X7490">
        <f>IF(AND(LEFT(D7490,4)+1=LEFT(' Pivot Tables'!$A$4,4)+0,RIGHT(LEFT(D7490,7),2)=RIGHT(LEFT(' Pivot Tables'!$A$4,7),2)),1,0)</f>
        <v>0</v>
      </c>
      <c r="Y7490" s="6">
        <f>1/COUNTIF(Таблица1[Order ID],Таблица1[[#This Row],[Order ID]])</f>
        <v>0.5</v>
      </c>
      <c r="Z7490" s="9">
        <f>1/COUNTIFS(Таблица1[Customer Name],Таблица1[[#This Row],[Customer Name]],Таблица1[Order-Year-Month],Таблица1[[#This Row],[Order-Year-Month]])</f>
        <v>0.5</v>
      </c>
    </row>
    <row r="7491" spans="1:26" x14ac:dyDescent="0.2">
      <c r="A7491" s="6">
        <v>6015</v>
      </c>
      <c r="B7491" s="7">
        <v>42628</v>
      </c>
      <c r="C7491" s="8">
        <f>DATE(2012,12,31)-606</f>
        <v>40668</v>
      </c>
      <c r="D7491" s="8" t="str">
        <f t="shared" ref="D7491:D7554" si="142">TEXT(C7491,"гггг-ММ (ММММ гггг)")</f>
        <v>2011-05 (май 2011)</v>
      </c>
      <c r="E7491" s="9" t="s">
        <v>45</v>
      </c>
      <c r="F7491" s="7">
        <v>4</v>
      </c>
      <c r="G7491" s="7">
        <v>1199.336</v>
      </c>
      <c r="H7491" s="7">
        <v>0.01</v>
      </c>
      <c r="I7491" s="9" t="s">
        <v>31</v>
      </c>
      <c r="J7491" s="10">
        <v>224.8</v>
      </c>
      <c r="K7491" s="11">
        <v>349.45</v>
      </c>
      <c r="L7491" s="11">
        <v>60</v>
      </c>
      <c r="M7491" s="9" t="s">
        <v>1106</v>
      </c>
      <c r="N7491" s="6" t="s">
        <v>703</v>
      </c>
      <c r="O7491" s="6" t="s">
        <v>704</v>
      </c>
      <c r="P7491" s="9" t="s">
        <v>33</v>
      </c>
      <c r="Q7491" s="9" t="s">
        <v>49</v>
      </c>
      <c r="R7491" s="9" t="s">
        <v>83</v>
      </c>
      <c r="S7491" s="7" t="s">
        <v>311</v>
      </c>
      <c r="T7491" s="9" t="s">
        <v>36</v>
      </c>
      <c r="U7491" s="7"/>
      <c r="V7491" s="12">
        <f>C7491+2</f>
        <v>40670</v>
      </c>
      <c r="W7491">
        <f>IF(D7491=' Pivot Tables'!$A$4,1,0)</f>
        <v>0</v>
      </c>
      <c r="X7491">
        <f>IF(AND(LEFT(D7491,4)+1=LEFT(' Pivot Tables'!$A$4,4)+0,RIGHT(LEFT(D7491,7),2)=RIGHT(LEFT(' Pivot Tables'!$A$4,7),2)),1,0)</f>
        <v>0</v>
      </c>
      <c r="Y7491" s="6">
        <f>1/COUNTIF(Таблица1[Order ID],Таблица1[[#This Row],[Order ID]])</f>
        <v>1</v>
      </c>
      <c r="Z7491" s="9">
        <f>1/COUNTIFS(Таблица1[Customer Name],Таблица1[[#This Row],[Customer Name]],Таблица1[Order-Year-Month],Таблица1[[#This Row],[Order-Year-Month]])</f>
        <v>1</v>
      </c>
    </row>
    <row r="7492" spans="1:26" x14ac:dyDescent="0.2">
      <c r="A7492" s="6">
        <v>6030</v>
      </c>
      <c r="B7492" s="7">
        <v>42722</v>
      </c>
      <c r="C7492" s="8">
        <f>DATE(2012,12,31)-85</f>
        <v>41189</v>
      </c>
      <c r="D7492" s="8" t="str">
        <f t="shared" si="142"/>
        <v>2012-10 (октябрь 2012)</v>
      </c>
      <c r="E7492" s="9" t="s">
        <v>45</v>
      </c>
      <c r="F7492" s="7">
        <v>23</v>
      </c>
      <c r="G7492" s="7">
        <v>1152.1600000000001</v>
      </c>
      <c r="H7492" s="7">
        <v>0</v>
      </c>
      <c r="I7492" s="9" t="s">
        <v>22</v>
      </c>
      <c r="J7492" s="10">
        <v>286.98</v>
      </c>
      <c r="K7492" s="11">
        <v>48.92</v>
      </c>
      <c r="L7492" s="11">
        <v>4.5</v>
      </c>
      <c r="M7492" s="9" t="s">
        <v>2062</v>
      </c>
      <c r="N7492" s="6" t="s">
        <v>703</v>
      </c>
      <c r="O7492" s="6" t="s">
        <v>704</v>
      </c>
      <c r="P7492" s="9" t="s">
        <v>60</v>
      </c>
      <c r="Q7492" s="9" t="s">
        <v>26</v>
      </c>
      <c r="R7492" s="9" t="s">
        <v>34</v>
      </c>
      <c r="S7492" s="7" t="s">
        <v>775</v>
      </c>
      <c r="T7492" s="9" t="s">
        <v>39</v>
      </c>
      <c r="U7492" s="7">
        <v>0.59</v>
      </c>
      <c r="V7492" s="12">
        <f>C7492+1</f>
        <v>41190</v>
      </c>
      <c r="W7492">
        <f>IF(D7492=' Pivot Tables'!$A$4,1,0)</f>
        <v>0</v>
      </c>
      <c r="X7492">
        <f>IF(AND(LEFT(D7492,4)+1=LEFT(' Pivot Tables'!$A$4,4)+0,RIGHT(LEFT(D7492,7),2)=RIGHT(LEFT(' Pivot Tables'!$A$4,7),2)),1,0)</f>
        <v>0</v>
      </c>
      <c r="Y7492" s="6">
        <f>1/COUNTIF(Таблица1[Order ID],Таблица1[[#This Row],[Order ID]])</f>
        <v>0.5</v>
      </c>
      <c r="Z7492" s="9">
        <f>1/COUNTIFS(Таблица1[Customer Name],Таблица1[[#This Row],[Customer Name]],Таблица1[Order-Year-Month],Таблица1[[#This Row],[Order-Year-Month]])</f>
        <v>0.5</v>
      </c>
    </row>
    <row r="7493" spans="1:26" x14ac:dyDescent="0.2">
      <c r="A7493" s="6">
        <v>6031</v>
      </c>
      <c r="B7493" s="7">
        <v>42722</v>
      </c>
      <c r="C7493" s="8">
        <f>DATE(2012,12,31)-85</f>
        <v>41189</v>
      </c>
      <c r="D7493" s="8" t="str">
        <f t="shared" si="142"/>
        <v>2012-10 (октябрь 2012)</v>
      </c>
      <c r="E7493" s="9" t="s">
        <v>45</v>
      </c>
      <c r="F7493" s="7">
        <v>2</v>
      </c>
      <c r="G7493" s="7">
        <v>19.899999999999999</v>
      </c>
      <c r="H7493" s="7">
        <v>7.0000000000000007E-2</v>
      </c>
      <c r="I7493" s="9" t="s">
        <v>22</v>
      </c>
      <c r="J7493" s="10">
        <v>15.97</v>
      </c>
      <c r="K7493" s="11">
        <v>7.38</v>
      </c>
      <c r="L7493" s="11">
        <v>5.21</v>
      </c>
      <c r="M7493" s="9" t="s">
        <v>2062</v>
      </c>
      <c r="N7493" s="6" t="s">
        <v>703</v>
      </c>
      <c r="O7493" s="6" t="s">
        <v>704</v>
      </c>
      <c r="P7493" s="9" t="s">
        <v>60</v>
      </c>
      <c r="Q7493" s="9" t="s">
        <v>49</v>
      </c>
      <c r="R7493" s="9" t="s">
        <v>50</v>
      </c>
      <c r="S7493" s="7" t="s">
        <v>514</v>
      </c>
      <c r="T7493" s="9" t="s">
        <v>39</v>
      </c>
      <c r="U7493" s="7">
        <v>0.56000000000000005</v>
      </c>
      <c r="V7493" s="12">
        <f>C7493+2</f>
        <v>41191</v>
      </c>
      <c r="W7493">
        <f>IF(D7493=' Pivot Tables'!$A$4,1,0)</f>
        <v>0</v>
      </c>
      <c r="X7493">
        <f>IF(AND(LEFT(D7493,4)+1=LEFT(' Pivot Tables'!$A$4,4)+0,RIGHT(LEFT(D7493,7),2)=RIGHT(LEFT(' Pivot Tables'!$A$4,7),2)),1,0)</f>
        <v>0</v>
      </c>
      <c r="Y7493" s="6">
        <f>1/COUNTIF(Таблица1[Order ID],Таблица1[[#This Row],[Order ID]])</f>
        <v>0.5</v>
      </c>
      <c r="Z7493" s="9">
        <f>1/COUNTIFS(Таблица1[Customer Name],Таблица1[[#This Row],[Customer Name]],Таблица1[Order-Year-Month],Таблица1[[#This Row],[Order-Year-Month]])</f>
        <v>0.5</v>
      </c>
    </row>
    <row r="7494" spans="1:26" x14ac:dyDescent="0.2">
      <c r="A7494" s="6">
        <v>6035</v>
      </c>
      <c r="B7494" s="7">
        <v>42753</v>
      </c>
      <c r="C7494" s="8">
        <f>DATE(2012,12,31)-348</f>
        <v>40926</v>
      </c>
      <c r="D7494" s="8" t="str">
        <f t="shared" si="142"/>
        <v>2012-01 (январь 2012)</v>
      </c>
      <c r="E7494" s="9" t="s">
        <v>63</v>
      </c>
      <c r="F7494" s="7">
        <v>45</v>
      </c>
      <c r="G7494" s="7">
        <v>4072.8175000000001</v>
      </c>
      <c r="H7494" s="7">
        <v>0.1</v>
      </c>
      <c r="I7494" s="9" t="s">
        <v>22</v>
      </c>
      <c r="J7494" s="10">
        <v>897.36300000000006</v>
      </c>
      <c r="K7494" s="11">
        <v>115.99</v>
      </c>
      <c r="L7494" s="11">
        <v>3</v>
      </c>
      <c r="M7494" s="9" t="s">
        <v>2069</v>
      </c>
      <c r="N7494" s="6" t="s">
        <v>703</v>
      </c>
      <c r="O7494" s="6" t="s">
        <v>704</v>
      </c>
      <c r="P7494" s="9" t="s">
        <v>25</v>
      </c>
      <c r="Q7494" s="9" t="s">
        <v>42</v>
      </c>
      <c r="R7494" s="9" t="s">
        <v>43</v>
      </c>
      <c r="S7494" s="7" t="s">
        <v>2072</v>
      </c>
      <c r="T7494" s="9" t="s">
        <v>39</v>
      </c>
      <c r="U7494" s="7">
        <v>0.59</v>
      </c>
      <c r="V7494" s="12">
        <f>C7494+2</f>
        <v>40928</v>
      </c>
      <c r="W7494">
        <f>IF(D7494=' Pivot Tables'!$A$4,1,0)</f>
        <v>0</v>
      </c>
      <c r="X7494">
        <f>IF(AND(LEFT(D7494,4)+1=LEFT(' Pivot Tables'!$A$4,4)+0,RIGHT(LEFT(D7494,7),2)=RIGHT(LEFT(' Pivot Tables'!$A$4,7),2)),1,0)</f>
        <v>0</v>
      </c>
      <c r="Y7494" s="6">
        <f>1/COUNTIF(Таблица1[Order ID],Таблица1[[#This Row],[Order ID]])</f>
        <v>1</v>
      </c>
      <c r="Z7494" s="9">
        <f>1/COUNTIFS(Таблица1[Customer Name],Таблица1[[#This Row],[Customer Name]],Таблица1[Order-Year-Month],Таблица1[[#This Row],[Order-Year-Month]])</f>
        <v>1</v>
      </c>
    </row>
    <row r="7495" spans="1:26" x14ac:dyDescent="0.2">
      <c r="A7495" s="6">
        <v>6073</v>
      </c>
      <c r="B7495" s="7">
        <v>43013</v>
      </c>
      <c r="C7495" s="8">
        <f>DATE(2012,12,31)-619</f>
        <v>40655</v>
      </c>
      <c r="D7495" s="8" t="str">
        <f t="shared" si="142"/>
        <v>2011-04 (апрель 2011)</v>
      </c>
      <c r="E7495" s="9" t="s">
        <v>21</v>
      </c>
      <c r="F7495" s="7">
        <v>43</v>
      </c>
      <c r="G7495" s="7">
        <v>1438.33</v>
      </c>
      <c r="H7495" s="7">
        <v>0.08</v>
      </c>
      <c r="I7495" s="9" t="s">
        <v>22</v>
      </c>
      <c r="J7495" s="10">
        <v>163.38</v>
      </c>
      <c r="K7495" s="11">
        <v>34.76</v>
      </c>
      <c r="L7495" s="11">
        <v>8.2200000000000006</v>
      </c>
      <c r="M7495" s="9" t="s">
        <v>2066</v>
      </c>
      <c r="N7495" s="6" t="s">
        <v>703</v>
      </c>
      <c r="O7495" s="6" t="s">
        <v>704</v>
      </c>
      <c r="P7495" s="9" t="s">
        <v>60</v>
      </c>
      <c r="Q7495" s="9" t="s">
        <v>26</v>
      </c>
      <c r="R7495" s="9" t="s">
        <v>27</v>
      </c>
      <c r="S7495" s="7" t="s">
        <v>247</v>
      </c>
      <c r="T7495" s="9" t="s">
        <v>39</v>
      </c>
      <c r="U7495" s="7">
        <v>0.56999999999999995</v>
      </c>
      <c r="V7495" s="12">
        <f>C7495+5</f>
        <v>40660</v>
      </c>
      <c r="W7495">
        <f>IF(D7495=' Pivot Tables'!$A$4,1,0)</f>
        <v>0</v>
      </c>
      <c r="X7495">
        <f>IF(AND(LEFT(D7495,4)+1=LEFT(' Pivot Tables'!$A$4,4)+0,RIGHT(LEFT(D7495,7),2)=RIGHT(LEFT(' Pivot Tables'!$A$4,7),2)),1,0)</f>
        <v>0</v>
      </c>
      <c r="Y7495" s="6">
        <f>1/COUNTIF(Таблица1[Order ID],Таблица1[[#This Row],[Order ID]])</f>
        <v>0.5</v>
      </c>
      <c r="Z7495" s="9">
        <f>1/COUNTIFS(Таблица1[Customer Name],Таблица1[[#This Row],[Customer Name]],Таблица1[Order-Year-Month],Таблица1[[#This Row],[Order-Year-Month]])</f>
        <v>0.5</v>
      </c>
    </row>
    <row r="7496" spans="1:26" x14ac:dyDescent="0.2">
      <c r="A7496" s="6">
        <v>6238</v>
      </c>
      <c r="B7496" s="7">
        <v>44198</v>
      </c>
      <c r="C7496" s="8">
        <f>DATE(2012,12,31)-727</f>
        <v>40547</v>
      </c>
      <c r="D7496" s="8" t="str">
        <f t="shared" si="142"/>
        <v>2011-01 (январь 2011)</v>
      </c>
      <c r="E7496" s="9" t="s">
        <v>78</v>
      </c>
      <c r="F7496" s="7">
        <v>35</v>
      </c>
      <c r="G7496" s="7">
        <v>625.94849999999997</v>
      </c>
      <c r="H7496" s="7">
        <v>0.04</v>
      </c>
      <c r="I7496" s="9" t="s">
        <v>56</v>
      </c>
      <c r="J7496" s="10">
        <v>-87.021000000000001</v>
      </c>
      <c r="K7496" s="11">
        <v>20.99</v>
      </c>
      <c r="L7496" s="11">
        <v>3.3</v>
      </c>
      <c r="M7496" s="9" t="s">
        <v>2068</v>
      </c>
      <c r="N7496" s="6" t="s">
        <v>703</v>
      </c>
      <c r="O7496" s="6" t="s">
        <v>704</v>
      </c>
      <c r="P7496" s="9" t="s">
        <v>60</v>
      </c>
      <c r="Q7496" s="9" t="s">
        <v>42</v>
      </c>
      <c r="R7496" s="9" t="s">
        <v>43</v>
      </c>
      <c r="S7496" s="7" t="s">
        <v>295</v>
      </c>
      <c r="T7496" s="9" t="s">
        <v>52</v>
      </c>
      <c r="U7496" s="7">
        <v>0.81</v>
      </c>
      <c r="V7496" s="12">
        <f>C7496+0</f>
        <v>40547</v>
      </c>
      <c r="W7496">
        <f>IF(D7496=' Pivot Tables'!$A$4,1,0)</f>
        <v>0</v>
      </c>
      <c r="X7496">
        <f>IF(AND(LEFT(D7496,4)+1=LEFT(' Pivot Tables'!$A$4,4)+0,RIGHT(LEFT(D7496,7),2)=RIGHT(LEFT(' Pivot Tables'!$A$4,7),2)),1,0)</f>
        <v>0</v>
      </c>
      <c r="Y7496" s="6">
        <f>1/COUNTIF(Таблица1[Order ID],Таблица1[[#This Row],[Order ID]])</f>
        <v>1</v>
      </c>
      <c r="Z7496" s="9">
        <f>1/COUNTIFS(Таблица1[Customer Name],Таблица1[[#This Row],[Customer Name]],Таблица1[Order-Year-Month],Таблица1[[#This Row],[Order-Year-Month]])</f>
        <v>1</v>
      </c>
    </row>
    <row r="7497" spans="1:26" x14ac:dyDescent="0.2">
      <c r="A7497" s="6">
        <v>6281</v>
      </c>
      <c r="B7497" s="7">
        <v>44451</v>
      </c>
      <c r="C7497" s="8">
        <f>DATE(2012,12,31)-477</f>
        <v>40797</v>
      </c>
      <c r="D7497" s="8" t="str">
        <f t="shared" si="142"/>
        <v>2011-09 (сентябрь 2011)</v>
      </c>
      <c r="E7497" s="9" t="s">
        <v>21</v>
      </c>
      <c r="F7497" s="7">
        <v>4</v>
      </c>
      <c r="G7497" s="7">
        <v>12.49</v>
      </c>
      <c r="H7497" s="7">
        <v>0.08</v>
      </c>
      <c r="I7497" s="9" t="s">
        <v>22</v>
      </c>
      <c r="J7497" s="10">
        <v>-13.500999999999999</v>
      </c>
      <c r="K7497" s="11">
        <v>1.98</v>
      </c>
      <c r="L7497" s="11">
        <v>4.7699999999999996</v>
      </c>
      <c r="M7497" s="9" t="s">
        <v>1228</v>
      </c>
      <c r="N7497" s="6" t="s">
        <v>703</v>
      </c>
      <c r="O7497" s="6" t="s">
        <v>704</v>
      </c>
      <c r="P7497" s="9" t="s">
        <v>60</v>
      </c>
      <c r="Q7497" s="9" t="s">
        <v>26</v>
      </c>
      <c r="R7497" s="9" t="s">
        <v>37</v>
      </c>
      <c r="S7497" s="7" t="s">
        <v>1667</v>
      </c>
      <c r="T7497" s="9" t="s">
        <v>39</v>
      </c>
      <c r="U7497" s="7">
        <v>0.4</v>
      </c>
      <c r="V7497" s="12">
        <f>C7497+4</f>
        <v>40801</v>
      </c>
      <c r="W7497">
        <f>IF(D7497=' Pivot Tables'!$A$4,1,0)</f>
        <v>0</v>
      </c>
      <c r="X7497">
        <f>IF(AND(LEFT(D7497,4)+1=LEFT(' Pivot Tables'!$A$4,4)+0,RIGHT(LEFT(D7497,7),2)=RIGHT(LEFT(' Pivot Tables'!$A$4,7),2)),1,0)</f>
        <v>0</v>
      </c>
      <c r="Y7497" s="6">
        <f>1/COUNTIF(Таблица1[Order ID],Таблица1[[#This Row],[Order ID]])</f>
        <v>0.5</v>
      </c>
      <c r="Z7497" s="9">
        <f>1/COUNTIFS(Таблица1[Customer Name],Таблица1[[#This Row],[Customer Name]],Таблица1[Order-Year-Month],Таблица1[[#This Row],[Order-Year-Month]])</f>
        <v>1</v>
      </c>
    </row>
    <row r="7498" spans="1:26" x14ac:dyDescent="0.2">
      <c r="A7498" s="6">
        <v>6296</v>
      </c>
      <c r="B7498" s="7">
        <v>44576</v>
      </c>
      <c r="C7498" s="8">
        <f>DATE(2012,12,31)-1102</f>
        <v>40172</v>
      </c>
      <c r="D7498" s="8" t="str">
        <f t="shared" si="142"/>
        <v>2009-12 (декабрь 2009)</v>
      </c>
      <c r="E7498" s="9" t="s">
        <v>45</v>
      </c>
      <c r="F7498" s="7">
        <v>30</v>
      </c>
      <c r="G7498" s="7">
        <v>1653.607</v>
      </c>
      <c r="H7498" s="7">
        <v>0.02</v>
      </c>
      <c r="I7498" s="9" t="s">
        <v>22</v>
      </c>
      <c r="J7498" s="10">
        <v>294.96600000000001</v>
      </c>
      <c r="K7498" s="11">
        <v>65.989999999999995</v>
      </c>
      <c r="L7498" s="11">
        <v>5.31</v>
      </c>
      <c r="M7498" s="9" t="s">
        <v>2068</v>
      </c>
      <c r="N7498" s="6" t="s">
        <v>703</v>
      </c>
      <c r="O7498" s="6" t="s">
        <v>704</v>
      </c>
      <c r="P7498" s="9" t="s">
        <v>25</v>
      </c>
      <c r="Q7498" s="9" t="s">
        <v>42</v>
      </c>
      <c r="R7498" s="9" t="s">
        <v>43</v>
      </c>
      <c r="S7498" s="7" t="s">
        <v>430</v>
      </c>
      <c r="T7498" s="9" t="s">
        <v>39</v>
      </c>
      <c r="U7498" s="7">
        <v>0.56999999999999995</v>
      </c>
      <c r="V7498" s="12">
        <f>C7498+1</f>
        <v>40173</v>
      </c>
      <c r="W7498">
        <f>IF(D7498=' Pivot Tables'!$A$4,1,0)</f>
        <v>0</v>
      </c>
      <c r="X7498">
        <f>IF(AND(LEFT(D7498,4)+1=LEFT(' Pivot Tables'!$A$4,4)+0,RIGHT(LEFT(D7498,7),2)=RIGHT(LEFT(' Pivot Tables'!$A$4,7),2)),1,0)</f>
        <v>0</v>
      </c>
      <c r="Y7498" s="6">
        <f>1/COUNTIF(Таблица1[Order ID],Таблица1[[#This Row],[Order ID]])</f>
        <v>0.5</v>
      </c>
      <c r="Z7498" s="9">
        <f>1/COUNTIFS(Таблица1[Customer Name],Таблица1[[#This Row],[Customer Name]],Таблица1[Order-Year-Month],Таблица1[[#This Row],[Order-Year-Month]])</f>
        <v>1</v>
      </c>
    </row>
    <row r="7499" spans="1:26" x14ac:dyDescent="0.2">
      <c r="A7499" s="6">
        <v>6327</v>
      </c>
      <c r="B7499" s="7">
        <v>44834</v>
      </c>
      <c r="C7499" s="8">
        <f>DATE(2012,12,31)-1351</f>
        <v>39923</v>
      </c>
      <c r="D7499" s="8" t="str">
        <f t="shared" si="142"/>
        <v>2009-04 (апрель 2009)</v>
      </c>
      <c r="E7499" s="9" t="s">
        <v>63</v>
      </c>
      <c r="F7499" s="7">
        <v>13</v>
      </c>
      <c r="G7499" s="7">
        <v>248.76</v>
      </c>
      <c r="H7499" s="7">
        <v>0.1</v>
      </c>
      <c r="I7499" s="9" t="s">
        <v>56</v>
      </c>
      <c r="J7499" s="10">
        <v>35.090000000000003</v>
      </c>
      <c r="K7499" s="11">
        <v>19.98</v>
      </c>
      <c r="L7499" s="11">
        <v>5.77</v>
      </c>
      <c r="M7499" s="9" t="s">
        <v>2069</v>
      </c>
      <c r="N7499" s="6" t="s">
        <v>703</v>
      </c>
      <c r="O7499" s="6" t="s">
        <v>704</v>
      </c>
      <c r="P7499" s="9" t="s">
        <v>25</v>
      </c>
      <c r="Q7499" s="9" t="s">
        <v>26</v>
      </c>
      <c r="R7499" s="9" t="s">
        <v>61</v>
      </c>
      <c r="S7499" s="7" t="s">
        <v>197</v>
      </c>
      <c r="T7499" s="9" t="s">
        <v>39</v>
      </c>
      <c r="U7499" s="7">
        <v>0.38</v>
      </c>
      <c r="V7499" s="12">
        <f>C7499+0</f>
        <v>39923</v>
      </c>
      <c r="W7499">
        <f>IF(D7499=' Pivot Tables'!$A$4,1,0)</f>
        <v>0</v>
      </c>
      <c r="X7499">
        <f>IF(AND(LEFT(D7499,4)+1=LEFT(' Pivot Tables'!$A$4,4)+0,RIGHT(LEFT(D7499,7),2)=RIGHT(LEFT(' Pivot Tables'!$A$4,7),2)),1,0)</f>
        <v>0</v>
      </c>
      <c r="Y7499" s="6">
        <f>1/COUNTIF(Таблица1[Order ID],Таблица1[[#This Row],[Order ID]])</f>
        <v>0.5</v>
      </c>
      <c r="Z7499" s="9">
        <f>1/COUNTIFS(Таблица1[Customer Name],Таблица1[[#This Row],[Customer Name]],Таблица1[Order-Year-Month],Таблица1[[#This Row],[Order-Year-Month]])</f>
        <v>0.5</v>
      </c>
    </row>
    <row r="7500" spans="1:26" x14ac:dyDescent="0.2">
      <c r="A7500" s="6">
        <v>6328</v>
      </c>
      <c r="B7500" s="7">
        <v>44834</v>
      </c>
      <c r="C7500" s="8">
        <f>DATE(2012,12,31)-1351</f>
        <v>39923</v>
      </c>
      <c r="D7500" s="8" t="str">
        <f t="shared" si="142"/>
        <v>2009-04 (апрель 2009)</v>
      </c>
      <c r="E7500" s="9" t="s">
        <v>63</v>
      </c>
      <c r="F7500" s="7">
        <v>43</v>
      </c>
      <c r="G7500" s="7">
        <v>10984.05</v>
      </c>
      <c r="H7500" s="7">
        <v>0.06</v>
      </c>
      <c r="I7500" s="9" t="s">
        <v>31</v>
      </c>
      <c r="J7500" s="10">
        <v>785.63</v>
      </c>
      <c r="K7500" s="11">
        <v>259.70999999999998</v>
      </c>
      <c r="L7500" s="11">
        <v>66.67</v>
      </c>
      <c r="M7500" s="9" t="s">
        <v>2069</v>
      </c>
      <c r="N7500" s="6" t="s">
        <v>703</v>
      </c>
      <c r="O7500" s="6" t="s">
        <v>704</v>
      </c>
      <c r="P7500" s="9" t="s">
        <v>25</v>
      </c>
      <c r="Q7500" s="9" t="s">
        <v>49</v>
      </c>
      <c r="R7500" s="9" t="s">
        <v>83</v>
      </c>
      <c r="S7500" s="7" t="s">
        <v>510</v>
      </c>
      <c r="T7500" s="9" t="s">
        <v>82</v>
      </c>
      <c r="U7500" s="7">
        <v>0.61</v>
      </c>
      <c r="V7500" s="12">
        <f>C7500+1</f>
        <v>39924</v>
      </c>
      <c r="W7500">
        <f>IF(D7500=' Pivot Tables'!$A$4,1,0)</f>
        <v>0</v>
      </c>
      <c r="X7500">
        <f>IF(AND(LEFT(D7500,4)+1=LEFT(' Pivot Tables'!$A$4,4)+0,RIGHT(LEFT(D7500,7),2)=RIGHT(LEFT(' Pivot Tables'!$A$4,7),2)),1,0)</f>
        <v>0</v>
      </c>
      <c r="Y7500" s="6">
        <f>1/COUNTIF(Таблица1[Order ID],Таблица1[[#This Row],[Order ID]])</f>
        <v>0.5</v>
      </c>
      <c r="Z7500" s="9">
        <f>1/COUNTIFS(Таблица1[Customer Name],Таблица1[[#This Row],[Customer Name]],Таблица1[Order-Year-Month],Таблица1[[#This Row],[Order-Year-Month]])</f>
        <v>0.5</v>
      </c>
    </row>
    <row r="7501" spans="1:26" x14ac:dyDescent="0.2">
      <c r="A7501" s="6">
        <v>6473</v>
      </c>
      <c r="B7501" s="7">
        <v>46053</v>
      </c>
      <c r="C7501" s="8">
        <f>DATE(2012,12,31)-109</f>
        <v>41165</v>
      </c>
      <c r="D7501" s="8" t="str">
        <f t="shared" si="142"/>
        <v>2012-09 (сентябрь 2012)</v>
      </c>
      <c r="E7501" s="9" t="s">
        <v>30</v>
      </c>
      <c r="F7501" s="7">
        <v>31</v>
      </c>
      <c r="G7501" s="7">
        <v>2447.1074999999996</v>
      </c>
      <c r="H7501" s="7">
        <v>0</v>
      </c>
      <c r="I7501" s="9" t="s">
        <v>22</v>
      </c>
      <c r="J7501" s="10">
        <v>856.96199999999999</v>
      </c>
      <c r="K7501" s="11">
        <v>85.99</v>
      </c>
      <c r="L7501" s="11">
        <v>0.99</v>
      </c>
      <c r="M7501" s="9" t="s">
        <v>1106</v>
      </c>
      <c r="N7501" s="6" t="s">
        <v>703</v>
      </c>
      <c r="O7501" s="6" t="s">
        <v>704</v>
      </c>
      <c r="P7501" s="9" t="s">
        <v>33</v>
      </c>
      <c r="Q7501" s="9" t="s">
        <v>42</v>
      </c>
      <c r="R7501" s="9" t="s">
        <v>43</v>
      </c>
      <c r="S7501" s="7" t="s">
        <v>741</v>
      </c>
      <c r="T7501" s="9" t="s">
        <v>68</v>
      </c>
      <c r="U7501" s="7">
        <v>0.55000000000000004</v>
      </c>
      <c r="V7501" s="12">
        <f>C7501+1</f>
        <v>41166</v>
      </c>
      <c r="W7501">
        <f>IF(D7501=' Pivot Tables'!$A$4,1,0)</f>
        <v>0</v>
      </c>
      <c r="X7501">
        <f>IF(AND(LEFT(D7501,4)+1=LEFT(' Pivot Tables'!$A$4,4)+0,RIGHT(LEFT(D7501,7),2)=RIGHT(LEFT(' Pivot Tables'!$A$4,7),2)),1,0)</f>
        <v>0</v>
      </c>
      <c r="Y7501" s="6">
        <f>1/COUNTIF(Таблица1[Order ID],Таблица1[[#This Row],[Order ID]])</f>
        <v>0.5</v>
      </c>
      <c r="Z7501" s="9">
        <f>1/COUNTIFS(Таблица1[Customer Name],Таблица1[[#This Row],[Customer Name]],Таблица1[Order-Year-Month],Таблица1[[#This Row],[Order-Year-Month]])</f>
        <v>0.5</v>
      </c>
    </row>
    <row r="7502" spans="1:26" x14ac:dyDescent="0.2">
      <c r="A7502" s="6">
        <v>6654</v>
      </c>
      <c r="B7502" s="7">
        <v>47329</v>
      </c>
      <c r="C7502" s="8">
        <f>DATE(2012,12,31)-1055</f>
        <v>40219</v>
      </c>
      <c r="D7502" s="8" t="str">
        <f t="shared" si="142"/>
        <v>2010-02 (февраль 2010)</v>
      </c>
      <c r="E7502" s="9" t="s">
        <v>21</v>
      </c>
      <c r="F7502" s="7">
        <v>2</v>
      </c>
      <c r="G7502" s="7">
        <v>26.64</v>
      </c>
      <c r="H7502" s="7">
        <v>0.09</v>
      </c>
      <c r="I7502" s="9" t="s">
        <v>56</v>
      </c>
      <c r="J7502" s="10">
        <v>-13.88</v>
      </c>
      <c r="K7502" s="11">
        <v>11.55</v>
      </c>
      <c r="L7502" s="11">
        <v>2.36</v>
      </c>
      <c r="M7502" s="9" t="s">
        <v>2068</v>
      </c>
      <c r="N7502" s="6" t="s">
        <v>703</v>
      </c>
      <c r="O7502" s="6" t="s">
        <v>704</v>
      </c>
      <c r="P7502" s="9" t="s">
        <v>60</v>
      </c>
      <c r="Q7502" s="9" t="s">
        <v>26</v>
      </c>
      <c r="R7502" s="9" t="s">
        <v>95</v>
      </c>
      <c r="S7502" s="7" t="s">
        <v>990</v>
      </c>
      <c r="T7502" s="9" t="s">
        <v>68</v>
      </c>
      <c r="U7502" s="7">
        <v>0.55000000000000004</v>
      </c>
      <c r="V7502" s="12">
        <f>C7502+5</f>
        <v>40224</v>
      </c>
      <c r="W7502">
        <f>IF(D7502=' Pivot Tables'!$A$4,1,0)</f>
        <v>0</v>
      </c>
      <c r="X7502">
        <f>IF(AND(LEFT(D7502,4)+1=LEFT(' Pivot Tables'!$A$4,4)+0,RIGHT(LEFT(D7502,7),2)=RIGHT(LEFT(' Pivot Tables'!$A$4,7),2)),1,0)</f>
        <v>0</v>
      </c>
      <c r="Y7502" s="6">
        <f>1/COUNTIF(Таблица1[Order ID],Таблица1[[#This Row],[Order ID]])</f>
        <v>0.5</v>
      </c>
      <c r="Z7502" s="9">
        <f>1/COUNTIFS(Таблица1[Customer Name],Таблица1[[#This Row],[Customer Name]],Таблица1[Order-Year-Month],Таблица1[[#This Row],[Order-Year-Month]])</f>
        <v>0.5</v>
      </c>
    </row>
    <row r="7503" spans="1:26" x14ac:dyDescent="0.2">
      <c r="A7503" s="6">
        <v>6655</v>
      </c>
      <c r="B7503" s="7">
        <v>47329</v>
      </c>
      <c r="C7503" s="8">
        <f>DATE(2012,12,31)-1055</f>
        <v>40219</v>
      </c>
      <c r="D7503" s="8" t="str">
        <f t="shared" si="142"/>
        <v>2010-02 (февраль 2010)</v>
      </c>
      <c r="E7503" s="9" t="s">
        <v>21</v>
      </c>
      <c r="F7503" s="7">
        <v>16</v>
      </c>
      <c r="G7503" s="7">
        <v>88.19</v>
      </c>
      <c r="H7503" s="7">
        <v>0.03</v>
      </c>
      <c r="I7503" s="9" t="s">
        <v>22</v>
      </c>
      <c r="J7503" s="10">
        <v>-25.97</v>
      </c>
      <c r="K7503" s="11">
        <v>4.9800000000000004</v>
      </c>
      <c r="L7503" s="11">
        <v>4.72</v>
      </c>
      <c r="M7503" s="9" t="s">
        <v>2068</v>
      </c>
      <c r="N7503" s="6" t="s">
        <v>703</v>
      </c>
      <c r="O7503" s="6" t="s">
        <v>704</v>
      </c>
      <c r="P7503" s="9" t="s">
        <v>60</v>
      </c>
      <c r="Q7503" s="9" t="s">
        <v>26</v>
      </c>
      <c r="R7503" s="9" t="s">
        <v>61</v>
      </c>
      <c r="S7503" s="7" t="s">
        <v>968</v>
      </c>
      <c r="T7503" s="9" t="s">
        <v>39</v>
      </c>
      <c r="U7503" s="7">
        <v>0.36</v>
      </c>
      <c r="V7503" s="12">
        <f>C7503+9</f>
        <v>40228</v>
      </c>
      <c r="W7503">
        <f>IF(D7503=' Pivot Tables'!$A$4,1,0)</f>
        <v>0</v>
      </c>
      <c r="X7503">
        <f>IF(AND(LEFT(D7503,4)+1=LEFT(' Pivot Tables'!$A$4,4)+0,RIGHT(LEFT(D7503,7),2)=RIGHT(LEFT(' Pivot Tables'!$A$4,7),2)),1,0)</f>
        <v>0</v>
      </c>
      <c r="Y7503" s="6">
        <f>1/COUNTIF(Таблица1[Order ID],Таблица1[[#This Row],[Order ID]])</f>
        <v>0.5</v>
      </c>
      <c r="Z7503" s="9">
        <f>1/COUNTIFS(Таблица1[Customer Name],Таблица1[[#This Row],[Customer Name]],Таблица1[Order-Year-Month],Таблица1[[#This Row],[Order-Year-Month]])</f>
        <v>0.5</v>
      </c>
    </row>
    <row r="7504" spans="1:26" x14ac:dyDescent="0.2">
      <c r="A7504" s="6">
        <v>6666</v>
      </c>
      <c r="B7504" s="7">
        <v>47461</v>
      </c>
      <c r="C7504" s="8">
        <f>DATE(2012,12,31)-981</f>
        <v>40293</v>
      </c>
      <c r="D7504" s="8" t="str">
        <f t="shared" si="142"/>
        <v>2010-04 (апрель 2010)</v>
      </c>
      <c r="E7504" s="9" t="s">
        <v>30</v>
      </c>
      <c r="F7504" s="7">
        <v>39</v>
      </c>
      <c r="G7504" s="7">
        <v>318.27999999999997</v>
      </c>
      <c r="H7504" s="7">
        <v>0.08</v>
      </c>
      <c r="I7504" s="9" t="s">
        <v>22</v>
      </c>
      <c r="J7504" s="10">
        <v>114.95</v>
      </c>
      <c r="K7504" s="11">
        <v>8.17</v>
      </c>
      <c r="L7504" s="11">
        <v>1.69</v>
      </c>
      <c r="M7504" s="9" t="s">
        <v>877</v>
      </c>
      <c r="N7504" s="6" t="s">
        <v>703</v>
      </c>
      <c r="O7504" s="6" t="s">
        <v>704</v>
      </c>
      <c r="P7504" s="9" t="s">
        <v>25</v>
      </c>
      <c r="Q7504" s="9" t="s">
        <v>26</v>
      </c>
      <c r="R7504" s="9" t="s">
        <v>61</v>
      </c>
      <c r="S7504" s="7" t="s">
        <v>1335</v>
      </c>
      <c r="T7504" s="9" t="s">
        <v>68</v>
      </c>
      <c r="U7504" s="7">
        <v>0.38</v>
      </c>
      <c r="V7504" s="12">
        <f>C7504+1</f>
        <v>40294</v>
      </c>
      <c r="W7504">
        <f>IF(D7504=' Pivot Tables'!$A$4,1,0)</f>
        <v>0</v>
      </c>
      <c r="X7504">
        <f>IF(AND(LEFT(D7504,4)+1=LEFT(' Pivot Tables'!$A$4,4)+0,RIGHT(LEFT(D7504,7),2)=RIGHT(LEFT(' Pivot Tables'!$A$4,7),2)),1,0)</f>
        <v>0</v>
      </c>
      <c r="Y7504" s="6">
        <f>1/COUNTIF(Таблица1[Order ID],Таблица1[[#This Row],[Order ID]])</f>
        <v>0.33333333333333331</v>
      </c>
      <c r="Z7504" s="9">
        <f>1/COUNTIFS(Таблица1[Customer Name],Таблица1[[#This Row],[Customer Name]],Таблица1[Order-Year-Month],Таблица1[[#This Row],[Order-Year-Month]])</f>
        <v>0.33333333333333331</v>
      </c>
    </row>
    <row r="7505" spans="1:26" x14ac:dyDescent="0.2">
      <c r="A7505" s="6">
        <v>6667</v>
      </c>
      <c r="B7505" s="7">
        <v>47461</v>
      </c>
      <c r="C7505" s="8">
        <f>DATE(2012,12,31)-981</f>
        <v>40293</v>
      </c>
      <c r="D7505" s="8" t="str">
        <f t="shared" si="142"/>
        <v>2010-04 (апрель 2010)</v>
      </c>
      <c r="E7505" s="9" t="s">
        <v>30</v>
      </c>
      <c r="F7505" s="7">
        <v>34</v>
      </c>
      <c r="G7505" s="7">
        <v>289.52999999999997</v>
      </c>
      <c r="H7505" s="7">
        <v>0.08</v>
      </c>
      <c r="I7505" s="9" t="s">
        <v>56</v>
      </c>
      <c r="J7505" s="10">
        <v>46.970999999999997</v>
      </c>
      <c r="K7505" s="11">
        <v>8.69</v>
      </c>
      <c r="L7505" s="11">
        <v>2.99</v>
      </c>
      <c r="M7505" s="9" t="s">
        <v>877</v>
      </c>
      <c r="N7505" s="6" t="s">
        <v>703</v>
      </c>
      <c r="O7505" s="6" t="s">
        <v>704</v>
      </c>
      <c r="P7505" s="9" t="s">
        <v>25</v>
      </c>
      <c r="Q7505" s="9" t="s">
        <v>26</v>
      </c>
      <c r="R7505" s="9" t="s">
        <v>37</v>
      </c>
      <c r="S7505" s="7" t="s">
        <v>38</v>
      </c>
      <c r="T7505" s="9" t="s">
        <v>39</v>
      </c>
      <c r="U7505" s="7">
        <v>0.39</v>
      </c>
      <c r="V7505" s="12">
        <f>C7505+1</f>
        <v>40294</v>
      </c>
      <c r="W7505">
        <f>IF(D7505=' Pivot Tables'!$A$4,1,0)</f>
        <v>0</v>
      </c>
      <c r="X7505">
        <f>IF(AND(LEFT(D7505,4)+1=LEFT(' Pivot Tables'!$A$4,4)+0,RIGHT(LEFT(D7505,7),2)=RIGHT(LEFT(' Pivot Tables'!$A$4,7),2)),1,0)</f>
        <v>0</v>
      </c>
      <c r="Y7505" s="6">
        <f>1/COUNTIF(Таблица1[Order ID],Таблица1[[#This Row],[Order ID]])</f>
        <v>0.33333333333333331</v>
      </c>
      <c r="Z7505" s="9">
        <f>1/COUNTIFS(Таблица1[Customer Name],Таблица1[[#This Row],[Customer Name]],Таблица1[Order-Year-Month],Таблица1[[#This Row],[Order-Year-Month]])</f>
        <v>0.33333333333333331</v>
      </c>
    </row>
    <row r="7506" spans="1:26" x14ac:dyDescent="0.2">
      <c r="A7506" s="6">
        <v>6668</v>
      </c>
      <c r="B7506" s="7">
        <v>47461</v>
      </c>
      <c r="C7506" s="8">
        <f>DATE(2012,12,31)-981</f>
        <v>40293</v>
      </c>
      <c r="D7506" s="8" t="str">
        <f t="shared" si="142"/>
        <v>2010-04 (апрель 2010)</v>
      </c>
      <c r="E7506" s="9" t="s">
        <v>30</v>
      </c>
      <c r="F7506" s="7">
        <v>45</v>
      </c>
      <c r="G7506" s="7">
        <v>322.8</v>
      </c>
      <c r="H7506" s="7">
        <v>0.06</v>
      </c>
      <c r="I7506" s="9" t="s">
        <v>22</v>
      </c>
      <c r="J7506" s="10">
        <v>53.15</v>
      </c>
      <c r="K7506" s="11">
        <v>7.08</v>
      </c>
      <c r="L7506" s="11">
        <v>2.35</v>
      </c>
      <c r="M7506" s="9" t="s">
        <v>877</v>
      </c>
      <c r="N7506" s="6" t="s">
        <v>703</v>
      </c>
      <c r="O7506" s="6" t="s">
        <v>704</v>
      </c>
      <c r="P7506" s="9" t="s">
        <v>25</v>
      </c>
      <c r="Q7506" s="9" t="s">
        <v>26</v>
      </c>
      <c r="R7506" s="9" t="s">
        <v>95</v>
      </c>
      <c r="S7506" s="7" t="s">
        <v>286</v>
      </c>
      <c r="T7506" s="9" t="s">
        <v>68</v>
      </c>
      <c r="U7506" s="7">
        <v>0.47</v>
      </c>
      <c r="V7506" s="12">
        <f>C7506+2</f>
        <v>40295</v>
      </c>
      <c r="W7506">
        <f>IF(D7506=' Pivot Tables'!$A$4,1,0)</f>
        <v>0</v>
      </c>
      <c r="X7506">
        <f>IF(AND(LEFT(D7506,4)+1=LEFT(' Pivot Tables'!$A$4,4)+0,RIGHT(LEFT(D7506,7),2)=RIGHT(LEFT(' Pivot Tables'!$A$4,7),2)),1,0)</f>
        <v>0</v>
      </c>
      <c r="Y7506" s="6">
        <f>1/COUNTIF(Таблица1[Order ID],Таблица1[[#This Row],[Order ID]])</f>
        <v>0.33333333333333331</v>
      </c>
      <c r="Z7506" s="9">
        <f>1/COUNTIFS(Таблица1[Customer Name],Таблица1[[#This Row],[Customer Name]],Таблица1[Order-Year-Month],Таблица1[[#This Row],[Order-Year-Month]])</f>
        <v>0.33333333333333331</v>
      </c>
    </row>
    <row r="7507" spans="1:26" x14ac:dyDescent="0.2">
      <c r="A7507" s="6">
        <v>6682</v>
      </c>
      <c r="B7507" s="7">
        <v>47525</v>
      </c>
      <c r="C7507" s="8">
        <f>DATE(2012,12,31)-669</f>
        <v>40605</v>
      </c>
      <c r="D7507" s="8" t="str">
        <f t="shared" si="142"/>
        <v>2011-03 (март 2011)</v>
      </c>
      <c r="E7507" s="9" t="s">
        <v>63</v>
      </c>
      <c r="F7507" s="7">
        <v>40</v>
      </c>
      <c r="G7507" s="7">
        <v>649.46</v>
      </c>
      <c r="H7507" s="7">
        <v>0.01</v>
      </c>
      <c r="I7507" s="9" t="s">
        <v>22</v>
      </c>
      <c r="J7507" s="10">
        <v>189.04</v>
      </c>
      <c r="K7507" s="11">
        <v>15.98</v>
      </c>
      <c r="L7507" s="11">
        <v>4</v>
      </c>
      <c r="M7507" s="9" t="s">
        <v>2069</v>
      </c>
      <c r="N7507" s="6" t="s">
        <v>703</v>
      </c>
      <c r="O7507" s="6" t="s">
        <v>704</v>
      </c>
      <c r="P7507" s="9" t="s">
        <v>25</v>
      </c>
      <c r="Q7507" s="9" t="s">
        <v>42</v>
      </c>
      <c r="R7507" s="9" t="s">
        <v>70</v>
      </c>
      <c r="S7507" s="7" t="s">
        <v>536</v>
      </c>
      <c r="T7507" s="9" t="s">
        <v>39</v>
      </c>
      <c r="U7507" s="7">
        <v>0.37</v>
      </c>
      <c r="V7507" s="12">
        <f t="shared" ref="V7507:V7512" si="143">C7507+1</f>
        <v>40606</v>
      </c>
      <c r="W7507">
        <f>IF(D7507=' Pivot Tables'!$A$4,1,0)</f>
        <v>0</v>
      </c>
      <c r="X7507">
        <f>IF(AND(LEFT(D7507,4)+1=LEFT(' Pivot Tables'!$A$4,4)+0,RIGHT(LEFT(D7507,7),2)=RIGHT(LEFT(' Pivot Tables'!$A$4,7),2)),1,0)</f>
        <v>0</v>
      </c>
      <c r="Y7507" s="6">
        <f>1/COUNTIF(Таблица1[Order ID],Таблица1[[#This Row],[Order ID]])</f>
        <v>1</v>
      </c>
      <c r="Z7507" s="9">
        <f>1/COUNTIFS(Таблица1[Customer Name],Таблица1[[#This Row],[Customer Name]],Таблица1[Order-Year-Month],Таблица1[[#This Row],[Order-Year-Month]])</f>
        <v>1</v>
      </c>
    </row>
    <row r="7508" spans="1:26" x14ac:dyDescent="0.2">
      <c r="A7508" s="6">
        <v>6854</v>
      </c>
      <c r="B7508" s="7">
        <v>48803</v>
      </c>
      <c r="C7508" s="8">
        <f>DATE(2012,12,31)-52</f>
        <v>41222</v>
      </c>
      <c r="D7508" s="8" t="str">
        <f t="shared" si="142"/>
        <v>2012-11 (ноябрь 2012)</v>
      </c>
      <c r="E7508" s="9" t="s">
        <v>78</v>
      </c>
      <c r="F7508" s="7">
        <v>19</v>
      </c>
      <c r="G7508" s="7">
        <v>200.41</v>
      </c>
      <c r="H7508" s="7">
        <v>0.05</v>
      </c>
      <c r="I7508" s="9" t="s">
        <v>22</v>
      </c>
      <c r="J7508" s="10">
        <v>-23.65</v>
      </c>
      <c r="K7508" s="11">
        <v>10.23</v>
      </c>
      <c r="L7508" s="11">
        <v>4.68</v>
      </c>
      <c r="M7508" s="9" t="s">
        <v>877</v>
      </c>
      <c r="N7508" s="6" t="s">
        <v>703</v>
      </c>
      <c r="O7508" s="6" t="s">
        <v>704</v>
      </c>
      <c r="P7508" s="9" t="s">
        <v>60</v>
      </c>
      <c r="Q7508" s="9" t="s">
        <v>26</v>
      </c>
      <c r="R7508" s="9" t="s">
        <v>150</v>
      </c>
      <c r="S7508" s="7" t="s">
        <v>1054</v>
      </c>
      <c r="T7508" s="9" t="s">
        <v>52</v>
      </c>
      <c r="U7508" s="7">
        <v>0.59</v>
      </c>
      <c r="V7508" s="12">
        <f t="shared" si="143"/>
        <v>41223</v>
      </c>
      <c r="W7508">
        <f>IF(D7508=' Pivot Tables'!$A$4,1,0)</f>
        <v>0</v>
      </c>
      <c r="X7508">
        <f>IF(AND(LEFT(D7508,4)+1=LEFT(' Pivot Tables'!$A$4,4)+0,RIGHT(LEFT(D7508,7),2)=RIGHT(LEFT(' Pivot Tables'!$A$4,7),2)),1,0)</f>
        <v>0</v>
      </c>
      <c r="Y7508" s="6">
        <f>1/COUNTIF(Таблица1[Order ID],Таблица1[[#This Row],[Order ID]])</f>
        <v>1</v>
      </c>
      <c r="Z7508" s="9">
        <f>1/COUNTIFS(Таблица1[Customer Name],Таблица1[[#This Row],[Customer Name]],Таблица1[Order-Year-Month],Таблица1[[#This Row],[Order-Year-Month]])</f>
        <v>1</v>
      </c>
    </row>
    <row r="7509" spans="1:26" x14ac:dyDescent="0.2">
      <c r="A7509" s="6">
        <v>6878</v>
      </c>
      <c r="B7509" s="7">
        <v>49027</v>
      </c>
      <c r="C7509" s="8">
        <f>DATE(2012,12,31)-630</f>
        <v>40644</v>
      </c>
      <c r="D7509" s="8" t="str">
        <f t="shared" si="142"/>
        <v>2011-04 (апрель 2011)</v>
      </c>
      <c r="E7509" s="9" t="s">
        <v>30</v>
      </c>
      <c r="F7509" s="7">
        <v>41</v>
      </c>
      <c r="G7509" s="7">
        <v>708.83</v>
      </c>
      <c r="H7509" s="7">
        <v>0.08</v>
      </c>
      <c r="I7509" s="9" t="s">
        <v>22</v>
      </c>
      <c r="J7509" s="10">
        <v>35.08</v>
      </c>
      <c r="K7509" s="11">
        <v>17.670000000000002</v>
      </c>
      <c r="L7509" s="11">
        <v>8.99</v>
      </c>
      <c r="M7509" s="9" t="s">
        <v>2062</v>
      </c>
      <c r="N7509" s="6" t="s">
        <v>703</v>
      </c>
      <c r="O7509" s="6" t="s">
        <v>704</v>
      </c>
      <c r="P7509" s="9" t="s">
        <v>60</v>
      </c>
      <c r="Q7509" s="9" t="s">
        <v>49</v>
      </c>
      <c r="R7509" s="9" t="s">
        <v>50</v>
      </c>
      <c r="S7509" s="7" t="s">
        <v>763</v>
      </c>
      <c r="T7509" s="9" t="s">
        <v>52</v>
      </c>
      <c r="U7509" s="7">
        <v>0.47</v>
      </c>
      <c r="V7509" s="12">
        <f t="shared" si="143"/>
        <v>40645</v>
      </c>
      <c r="W7509">
        <f>IF(D7509=' Pivot Tables'!$A$4,1,0)</f>
        <v>0</v>
      </c>
      <c r="X7509">
        <f>IF(AND(LEFT(D7509,4)+1=LEFT(' Pivot Tables'!$A$4,4)+0,RIGHT(LEFT(D7509,7),2)=RIGHT(LEFT(' Pivot Tables'!$A$4,7),2)),1,0)</f>
        <v>0</v>
      </c>
      <c r="Y7509" s="6">
        <f>1/COUNTIF(Таблица1[Order ID],Таблица1[[#This Row],[Order ID]])</f>
        <v>1</v>
      </c>
      <c r="Z7509" s="9">
        <f>1/COUNTIFS(Таблица1[Customer Name],Таблица1[[#This Row],[Customer Name]],Таблица1[Order-Year-Month],Таблица1[[#This Row],[Order-Year-Month]])</f>
        <v>0.25</v>
      </c>
    </row>
    <row r="7510" spans="1:26" x14ac:dyDescent="0.2">
      <c r="A7510" s="6">
        <v>7124</v>
      </c>
      <c r="B7510" s="7">
        <v>50822</v>
      </c>
      <c r="C7510" s="8">
        <f>DATE(2012,12,31)-328</f>
        <v>40946</v>
      </c>
      <c r="D7510" s="8" t="str">
        <f t="shared" si="142"/>
        <v>2012-02 (февраль 2012)</v>
      </c>
      <c r="E7510" s="9" t="s">
        <v>63</v>
      </c>
      <c r="F7510" s="7">
        <v>6</v>
      </c>
      <c r="G7510" s="7">
        <v>1635.29</v>
      </c>
      <c r="H7510" s="7">
        <v>0.1</v>
      </c>
      <c r="I7510" s="9" t="s">
        <v>22</v>
      </c>
      <c r="J7510" s="10">
        <v>7.9200000000000728</v>
      </c>
      <c r="K7510" s="11">
        <v>276.2</v>
      </c>
      <c r="L7510" s="11">
        <v>24.49</v>
      </c>
      <c r="M7510" s="9" t="s">
        <v>2061</v>
      </c>
      <c r="N7510" s="6" t="s">
        <v>703</v>
      </c>
      <c r="O7510" s="6" t="s">
        <v>704</v>
      </c>
      <c r="P7510" s="9" t="s">
        <v>25</v>
      </c>
      <c r="Q7510" s="9" t="s">
        <v>49</v>
      </c>
      <c r="R7510" s="9" t="s">
        <v>112</v>
      </c>
      <c r="S7510" s="7" t="s">
        <v>164</v>
      </c>
      <c r="T7510" s="9" t="s">
        <v>29</v>
      </c>
      <c r="U7510" s="7"/>
      <c r="V7510" s="12">
        <f t="shared" si="143"/>
        <v>40947</v>
      </c>
      <c r="W7510">
        <f>IF(D7510=' Pivot Tables'!$A$4,1,0)</f>
        <v>0</v>
      </c>
      <c r="X7510">
        <f>IF(AND(LEFT(D7510,4)+1=LEFT(' Pivot Tables'!$A$4,4)+0,RIGHT(LEFT(D7510,7),2)=RIGHT(LEFT(' Pivot Tables'!$A$4,7),2)),1,0)</f>
        <v>0</v>
      </c>
      <c r="Y7510" s="6">
        <f>1/COUNTIF(Таблица1[Order ID],Таблица1[[#This Row],[Order ID]])</f>
        <v>0.5</v>
      </c>
      <c r="Z7510" s="9">
        <f>1/COUNTIFS(Таблица1[Customer Name],Таблица1[[#This Row],[Customer Name]],Таблица1[Order-Year-Month],Таблица1[[#This Row],[Order-Year-Month]])</f>
        <v>0.5</v>
      </c>
    </row>
    <row r="7511" spans="1:26" x14ac:dyDescent="0.2">
      <c r="A7511" s="6">
        <v>7125</v>
      </c>
      <c r="B7511" s="7">
        <v>50822</v>
      </c>
      <c r="C7511" s="8">
        <f>DATE(2012,12,31)-328</f>
        <v>40946</v>
      </c>
      <c r="D7511" s="8" t="str">
        <f t="shared" si="142"/>
        <v>2012-02 (февраль 2012)</v>
      </c>
      <c r="E7511" s="9" t="s">
        <v>63</v>
      </c>
      <c r="F7511" s="7">
        <v>37</v>
      </c>
      <c r="G7511" s="7">
        <v>316.35000000000002</v>
      </c>
      <c r="H7511" s="7">
        <v>0.01</v>
      </c>
      <c r="I7511" s="9" t="s">
        <v>56</v>
      </c>
      <c r="J7511" s="10">
        <v>-52.18</v>
      </c>
      <c r="K7511" s="11">
        <v>8.1199999999999992</v>
      </c>
      <c r="L7511" s="11">
        <v>2.83</v>
      </c>
      <c r="M7511" s="9" t="s">
        <v>2061</v>
      </c>
      <c r="N7511" s="6" t="s">
        <v>703</v>
      </c>
      <c r="O7511" s="6" t="s">
        <v>704</v>
      </c>
      <c r="P7511" s="9" t="s">
        <v>25</v>
      </c>
      <c r="Q7511" s="9" t="s">
        <v>42</v>
      </c>
      <c r="R7511" s="9" t="s">
        <v>70</v>
      </c>
      <c r="S7511" s="7" t="s">
        <v>630</v>
      </c>
      <c r="T7511" s="9" t="s">
        <v>52</v>
      </c>
      <c r="U7511" s="7">
        <v>0.77</v>
      </c>
      <c r="V7511" s="12">
        <f t="shared" si="143"/>
        <v>40947</v>
      </c>
      <c r="W7511">
        <f>IF(D7511=' Pivot Tables'!$A$4,1,0)</f>
        <v>0</v>
      </c>
      <c r="X7511">
        <f>IF(AND(LEFT(D7511,4)+1=LEFT(' Pivot Tables'!$A$4,4)+0,RIGHT(LEFT(D7511,7),2)=RIGHT(LEFT(' Pivot Tables'!$A$4,7),2)),1,0)</f>
        <v>0</v>
      </c>
      <c r="Y7511" s="6">
        <f>1/COUNTIF(Таблица1[Order ID],Таблица1[[#This Row],[Order ID]])</f>
        <v>0.5</v>
      </c>
      <c r="Z7511" s="9">
        <f>1/COUNTIFS(Таблица1[Customer Name],Таблица1[[#This Row],[Customer Name]],Таблица1[Order-Year-Month],Таблица1[[#This Row],[Order-Year-Month]])</f>
        <v>0.5</v>
      </c>
    </row>
    <row r="7512" spans="1:26" x14ac:dyDescent="0.2">
      <c r="A7512" s="6">
        <v>7251</v>
      </c>
      <c r="B7512" s="7">
        <v>51714</v>
      </c>
      <c r="C7512" s="8">
        <f>DATE(2012,12,31)-1213</f>
        <v>40061</v>
      </c>
      <c r="D7512" s="8" t="str">
        <f t="shared" si="142"/>
        <v>2009-09 (сентябрь 2009)</v>
      </c>
      <c r="E7512" s="9" t="s">
        <v>45</v>
      </c>
      <c r="F7512" s="7">
        <v>33</v>
      </c>
      <c r="G7512" s="7">
        <v>194.09</v>
      </c>
      <c r="H7512" s="7">
        <v>0.03</v>
      </c>
      <c r="I7512" s="9" t="s">
        <v>22</v>
      </c>
      <c r="J7512" s="10">
        <v>-63.35</v>
      </c>
      <c r="K7512" s="11">
        <v>5.78</v>
      </c>
      <c r="L7512" s="11">
        <v>5.37</v>
      </c>
      <c r="M7512" s="9" t="s">
        <v>2066</v>
      </c>
      <c r="N7512" s="6" t="s">
        <v>703</v>
      </c>
      <c r="O7512" s="6" t="s">
        <v>704</v>
      </c>
      <c r="P7512" s="9" t="s">
        <v>60</v>
      </c>
      <c r="Q7512" s="9" t="s">
        <v>26</v>
      </c>
      <c r="R7512" s="9" t="s">
        <v>61</v>
      </c>
      <c r="S7512" s="7" t="s">
        <v>883</v>
      </c>
      <c r="T7512" s="9" t="s">
        <v>39</v>
      </c>
      <c r="U7512" s="7">
        <v>0.36</v>
      </c>
      <c r="V7512" s="12">
        <f t="shared" si="143"/>
        <v>40062</v>
      </c>
      <c r="W7512">
        <f>IF(D7512=' Pivot Tables'!$A$4,1,0)</f>
        <v>0</v>
      </c>
      <c r="X7512">
        <f>IF(AND(LEFT(D7512,4)+1=LEFT(' Pivot Tables'!$A$4,4)+0,RIGHT(LEFT(D7512,7),2)=RIGHT(LEFT(' Pivot Tables'!$A$4,7),2)),1,0)</f>
        <v>0</v>
      </c>
      <c r="Y7512" s="6">
        <f>1/COUNTIF(Таблица1[Order ID],Таблица1[[#This Row],[Order ID]])</f>
        <v>1</v>
      </c>
      <c r="Z7512" s="9">
        <f>1/COUNTIFS(Таблица1[Customer Name],Таблица1[[#This Row],[Customer Name]],Таблица1[Order-Year-Month],Таблица1[[#This Row],[Order-Year-Month]])</f>
        <v>1</v>
      </c>
    </row>
    <row r="7513" spans="1:26" x14ac:dyDescent="0.2">
      <c r="A7513" s="6">
        <v>7264</v>
      </c>
      <c r="B7513" s="7">
        <v>51815</v>
      </c>
      <c r="C7513" s="8">
        <f>DATE(2012,12,31)-1315</f>
        <v>39959</v>
      </c>
      <c r="D7513" s="8" t="str">
        <f t="shared" si="142"/>
        <v>2009-05 (май 2009)</v>
      </c>
      <c r="E7513" s="9" t="s">
        <v>21</v>
      </c>
      <c r="F7513" s="7">
        <v>37</v>
      </c>
      <c r="G7513" s="7">
        <v>227.5</v>
      </c>
      <c r="H7513" s="7">
        <v>0.01</v>
      </c>
      <c r="I7513" s="9" t="s">
        <v>22</v>
      </c>
      <c r="J7513" s="10">
        <v>-256.51900000000001</v>
      </c>
      <c r="K7513" s="11">
        <v>5.94</v>
      </c>
      <c r="L7513" s="11">
        <v>9.92</v>
      </c>
      <c r="M7513" s="9" t="s">
        <v>2069</v>
      </c>
      <c r="N7513" s="6" t="s">
        <v>703</v>
      </c>
      <c r="O7513" s="6" t="s">
        <v>704</v>
      </c>
      <c r="P7513" s="9" t="s">
        <v>25</v>
      </c>
      <c r="Q7513" s="9" t="s">
        <v>26</v>
      </c>
      <c r="R7513" s="9" t="s">
        <v>37</v>
      </c>
      <c r="S7513" s="7" t="s">
        <v>1436</v>
      </c>
      <c r="T7513" s="9" t="s">
        <v>39</v>
      </c>
      <c r="U7513" s="7">
        <v>0.38</v>
      </c>
      <c r="V7513" s="12">
        <f>C7513+7</f>
        <v>39966</v>
      </c>
      <c r="W7513">
        <f>IF(D7513=' Pivot Tables'!$A$4,1,0)</f>
        <v>0</v>
      </c>
      <c r="X7513">
        <f>IF(AND(LEFT(D7513,4)+1=LEFT(' Pivot Tables'!$A$4,4)+0,RIGHT(LEFT(D7513,7),2)=RIGHT(LEFT(' Pivot Tables'!$A$4,7),2)),1,0)</f>
        <v>0</v>
      </c>
      <c r="Y7513" s="6">
        <f>1/COUNTIF(Таблица1[Order ID],Таблица1[[#This Row],[Order ID]])</f>
        <v>0.5</v>
      </c>
      <c r="Z7513" s="9">
        <f>1/COUNTIFS(Таблица1[Customer Name],Таблица1[[#This Row],[Customer Name]],Таблица1[Order-Year-Month],Таблица1[[#This Row],[Order-Year-Month]])</f>
        <v>0.5</v>
      </c>
    </row>
    <row r="7514" spans="1:26" x14ac:dyDescent="0.2">
      <c r="A7514" s="6">
        <v>7265</v>
      </c>
      <c r="B7514" s="7">
        <v>51815</v>
      </c>
      <c r="C7514" s="8">
        <f>DATE(2012,12,31)-1315</f>
        <v>39959</v>
      </c>
      <c r="D7514" s="8" t="str">
        <f t="shared" si="142"/>
        <v>2009-05 (май 2009)</v>
      </c>
      <c r="E7514" s="9" t="s">
        <v>21</v>
      </c>
      <c r="F7514" s="7">
        <v>21</v>
      </c>
      <c r="G7514" s="7">
        <v>2292.1015000000002</v>
      </c>
      <c r="H7514" s="7">
        <v>0.02</v>
      </c>
      <c r="I7514" s="9" t="s">
        <v>22</v>
      </c>
      <c r="J7514" s="10">
        <v>398.358</v>
      </c>
      <c r="K7514" s="11">
        <v>125.99</v>
      </c>
      <c r="L7514" s="11">
        <v>3</v>
      </c>
      <c r="M7514" s="9" t="s">
        <v>2069</v>
      </c>
      <c r="N7514" s="6" t="s">
        <v>703</v>
      </c>
      <c r="O7514" s="6" t="s">
        <v>704</v>
      </c>
      <c r="P7514" s="9" t="s">
        <v>25</v>
      </c>
      <c r="Q7514" s="9" t="s">
        <v>42</v>
      </c>
      <c r="R7514" s="9" t="s">
        <v>43</v>
      </c>
      <c r="S7514" s="7" t="s">
        <v>669</v>
      </c>
      <c r="T7514" s="9" t="s">
        <v>39</v>
      </c>
      <c r="U7514" s="7">
        <v>0.59</v>
      </c>
      <c r="V7514" s="12">
        <f>C7514+0</f>
        <v>39959</v>
      </c>
      <c r="W7514">
        <f>IF(D7514=' Pivot Tables'!$A$4,1,0)</f>
        <v>0</v>
      </c>
      <c r="X7514">
        <f>IF(AND(LEFT(D7514,4)+1=LEFT(' Pivot Tables'!$A$4,4)+0,RIGHT(LEFT(D7514,7),2)=RIGHT(LEFT(' Pivot Tables'!$A$4,7),2)),1,0)</f>
        <v>0</v>
      </c>
      <c r="Y7514" s="6">
        <f>1/COUNTIF(Таблица1[Order ID],Таблица1[[#This Row],[Order ID]])</f>
        <v>0.5</v>
      </c>
      <c r="Z7514" s="9">
        <f>1/COUNTIFS(Таблица1[Customer Name],Таблица1[[#This Row],[Customer Name]],Таблица1[Order-Year-Month],Таблица1[[#This Row],[Order-Year-Month]])</f>
        <v>0.5</v>
      </c>
    </row>
    <row r="7515" spans="1:26" x14ac:dyDescent="0.2">
      <c r="A7515" s="6">
        <v>7275</v>
      </c>
      <c r="B7515" s="7">
        <v>51906</v>
      </c>
      <c r="C7515" s="8">
        <f>DATE(2012,12,31)-487</f>
        <v>40787</v>
      </c>
      <c r="D7515" s="8" t="str">
        <f t="shared" si="142"/>
        <v>2011-09 (сентябрь 2011)</v>
      </c>
      <c r="E7515" s="9" t="s">
        <v>30</v>
      </c>
      <c r="F7515" s="7">
        <v>24</v>
      </c>
      <c r="G7515" s="7">
        <v>206.34</v>
      </c>
      <c r="H7515" s="7">
        <v>0.04</v>
      </c>
      <c r="I7515" s="9" t="s">
        <v>22</v>
      </c>
      <c r="J7515" s="10">
        <v>-38.229999999999997</v>
      </c>
      <c r="K7515" s="11">
        <v>8.4600000000000009</v>
      </c>
      <c r="L7515" s="11">
        <v>3.62</v>
      </c>
      <c r="M7515" s="9" t="s">
        <v>1782</v>
      </c>
      <c r="N7515" s="6" t="s">
        <v>703</v>
      </c>
      <c r="O7515" s="6" t="s">
        <v>704</v>
      </c>
      <c r="P7515" s="9" t="s">
        <v>60</v>
      </c>
      <c r="Q7515" s="9" t="s">
        <v>42</v>
      </c>
      <c r="R7515" s="9" t="s">
        <v>70</v>
      </c>
      <c r="S7515" s="7" t="s">
        <v>1221</v>
      </c>
      <c r="T7515" s="9" t="s">
        <v>52</v>
      </c>
      <c r="U7515" s="7">
        <v>0.61</v>
      </c>
      <c r="V7515" s="12">
        <f>C7515+1</f>
        <v>40788</v>
      </c>
      <c r="W7515">
        <f>IF(D7515=' Pivot Tables'!$A$4,1,0)</f>
        <v>0</v>
      </c>
      <c r="X7515">
        <f>IF(AND(LEFT(D7515,4)+1=LEFT(' Pivot Tables'!$A$4,4)+0,RIGHT(LEFT(D7515,7),2)=RIGHT(LEFT(' Pivot Tables'!$A$4,7),2)),1,0)</f>
        <v>0</v>
      </c>
      <c r="Y7515" s="6">
        <f>1/COUNTIF(Таблица1[Order ID],Таблица1[[#This Row],[Order ID]])</f>
        <v>1</v>
      </c>
      <c r="Z7515" s="9">
        <f>1/COUNTIFS(Таблица1[Customer Name],Таблица1[[#This Row],[Customer Name]],Таблица1[Order-Year-Month],Таблица1[[#This Row],[Order-Year-Month]])</f>
        <v>1</v>
      </c>
    </row>
    <row r="7516" spans="1:26" x14ac:dyDescent="0.2">
      <c r="A7516" s="6">
        <v>7309</v>
      </c>
      <c r="B7516" s="7">
        <v>52128</v>
      </c>
      <c r="C7516" s="8">
        <f>DATE(2012,12,31)-770</f>
        <v>40504</v>
      </c>
      <c r="D7516" s="8" t="str">
        <f t="shared" si="142"/>
        <v>2010-11 (ноябрь 2010)</v>
      </c>
      <c r="E7516" s="9" t="s">
        <v>45</v>
      </c>
      <c r="F7516" s="7">
        <v>11</v>
      </c>
      <c r="G7516" s="7">
        <v>13.52</v>
      </c>
      <c r="H7516" s="7">
        <v>0.03</v>
      </c>
      <c r="I7516" s="9" t="s">
        <v>22</v>
      </c>
      <c r="J7516" s="10">
        <v>-27.66</v>
      </c>
      <c r="K7516" s="11">
        <v>0.99</v>
      </c>
      <c r="L7516" s="11">
        <v>2.96</v>
      </c>
      <c r="M7516" s="9" t="s">
        <v>1597</v>
      </c>
      <c r="N7516" s="6" t="s">
        <v>703</v>
      </c>
      <c r="O7516" s="6" t="s">
        <v>704</v>
      </c>
      <c r="P7516" s="9" t="s">
        <v>33</v>
      </c>
      <c r="Q7516" s="9" t="s">
        <v>42</v>
      </c>
      <c r="R7516" s="9" t="s">
        <v>70</v>
      </c>
      <c r="S7516" s="7" t="s">
        <v>2011</v>
      </c>
      <c r="T7516" s="9" t="s">
        <v>52</v>
      </c>
      <c r="U7516" s="7">
        <v>0.61</v>
      </c>
      <c r="V7516" s="12">
        <f>C7516+1</f>
        <v>40505</v>
      </c>
      <c r="W7516">
        <f>IF(D7516=' Pivot Tables'!$A$4,1,0)</f>
        <v>0</v>
      </c>
      <c r="X7516">
        <f>IF(AND(LEFT(D7516,4)+1=LEFT(' Pivot Tables'!$A$4,4)+0,RIGHT(LEFT(D7516,7),2)=RIGHT(LEFT(' Pivot Tables'!$A$4,7),2)),1,0)</f>
        <v>0</v>
      </c>
      <c r="Y7516" s="6">
        <f>1/COUNTIF(Таблица1[Order ID],Таблица1[[#This Row],[Order ID]])</f>
        <v>1</v>
      </c>
      <c r="Z7516" s="9">
        <f>1/COUNTIFS(Таблица1[Customer Name],Таблица1[[#This Row],[Customer Name]],Таблица1[Order-Year-Month],Таблица1[[#This Row],[Order-Year-Month]])</f>
        <v>1</v>
      </c>
    </row>
    <row r="7517" spans="1:26" x14ac:dyDescent="0.2">
      <c r="A7517" s="6">
        <v>7392</v>
      </c>
      <c r="B7517" s="7">
        <v>52675</v>
      </c>
      <c r="C7517" s="8">
        <f>DATE(2012,12,31)-448</f>
        <v>40826</v>
      </c>
      <c r="D7517" s="8" t="str">
        <f t="shared" si="142"/>
        <v>2011-10 (октябрь 2011)</v>
      </c>
      <c r="E7517" s="9" t="s">
        <v>63</v>
      </c>
      <c r="F7517" s="7">
        <v>4</v>
      </c>
      <c r="G7517" s="7">
        <v>20.25</v>
      </c>
      <c r="H7517" s="7">
        <v>0.1</v>
      </c>
      <c r="I7517" s="9" t="s">
        <v>22</v>
      </c>
      <c r="J7517" s="10">
        <v>-22.13</v>
      </c>
      <c r="K7517" s="11">
        <v>4.7699999999999996</v>
      </c>
      <c r="L7517" s="11">
        <v>2.39</v>
      </c>
      <c r="M7517" s="9" t="s">
        <v>877</v>
      </c>
      <c r="N7517" s="6" t="s">
        <v>703</v>
      </c>
      <c r="O7517" s="6" t="s">
        <v>704</v>
      </c>
      <c r="P7517" s="9" t="s">
        <v>25</v>
      </c>
      <c r="Q7517" s="9" t="s">
        <v>42</v>
      </c>
      <c r="R7517" s="9" t="s">
        <v>70</v>
      </c>
      <c r="S7517" s="7" t="s">
        <v>732</v>
      </c>
      <c r="T7517" s="9" t="s">
        <v>52</v>
      </c>
      <c r="U7517" s="7">
        <v>0.72</v>
      </c>
      <c r="V7517" s="12">
        <f>C7517+2</f>
        <v>40828</v>
      </c>
      <c r="W7517">
        <f>IF(D7517=' Pivot Tables'!$A$4,1,0)</f>
        <v>0</v>
      </c>
      <c r="X7517">
        <f>IF(AND(LEFT(D7517,4)+1=LEFT(' Pivot Tables'!$A$4,4)+0,RIGHT(LEFT(D7517,7),2)=RIGHT(LEFT(' Pivot Tables'!$A$4,7),2)),1,0)</f>
        <v>0</v>
      </c>
      <c r="Y7517" s="6">
        <f>1/COUNTIF(Таблица1[Order ID],Таблица1[[#This Row],[Order ID]])</f>
        <v>0.5</v>
      </c>
      <c r="Z7517" s="9">
        <f>1/COUNTIFS(Таблица1[Customer Name],Таблица1[[#This Row],[Customer Name]],Таблица1[Order-Year-Month],Таблица1[[#This Row],[Order-Year-Month]])</f>
        <v>0.5</v>
      </c>
    </row>
    <row r="7518" spans="1:26" x14ac:dyDescent="0.2">
      <c r="A7518" s="6">
        <v>7393</v>
      </c>
      <c r="B7518" s="7">
        <v>52675</v>
      </c>
      <c r="C7518" s="8">
        <f>DATE(2012,12,31)-448</f>
        <v>40826</v>
      </c>
      <c r="D7518" s="8" t="str">
        <f t="shared" si="142"/>
        <v>2011-10 (октябрь 2011)</v>
      </c>
      <c r="E7518" s="9" t="s">
        <v>63</v>
      </c>
      <c r="F7518" s="7">
        <v>22</v>
      </c>
      <c r="G7518" s="7">
        <v>52.62</v>
      </c>
      <c r="H7518" s="7">
        <v>0.01</v>
      </c>
      <c r="I7518" s="9" t="s">
        <v>22</v>
      </c>
      <c r="J7518" s="10">
        <v>-4.6399999999999997</v>
      </c>
      <c r="K7518" s="11">
        <v>2.21</v>
      </c>
      <c r="L7518" s="11">
        <v>1.1200000000000001</v>
      </c>
      <c r="M7518" s="9" t="s">
        <v>877</v>
      </c>
      <c r="N7518" s="6" t="s">
        <v>703</v>
      </c>
      <c r="O7518" s="6" t="s">
        <v>704</v>
      </c>
      <c r="P7518" s="9" t="s">
        <v>25</v>
      </c>
      <c r="Q7518" s="9" t="s">
        <v>26</v>
      </c>
      <c r="R7518" s="9" t="s">
        <v>95</v>
      </c>
      <c r="S7518" s="7" t="s">
        <v>235</v>
      </c>
      <c r="T7518" s="9" t="s">
        <v>68</v>
      </c>
      <c r="U7518" s="7">
        <v>0.57999999999999996</v>
      </c>
      <c r="V7518" s="12">
        <f>C7518+2</f>
        <v>40828</v>
      </c>
      <c r="W7518">
        <f>IF(D7518=' Pivot Tables'!$A$4,1,0)</f>
        <v>0</v>
      </c>
      <c r="X7518">
        <f>IF(AND(LEFT(D7518,4)+1=LEFT(' Pivot Tables'!$A$4,4)+0,RIGHT(LEFT(D7518,7),2)=RIGHT(LEFT(' Pivot Tables'!$A$4,7),2)),1,0)</f>
        <v>0</v>
      </c>
      <c r="Y7518" s="6">
        <f>1/COUNTIF(Таблица1[Order ID],Таблица1[[#This Row],[Order ID]])</f>
        <v>0.5</v>
      </c>
      <c r="Z7518" s="9">
        <f>1/COUNTIFS(Таблица1[Customer Name],Таблица1[[#This Row],[Customer Name]],Таблица1[Order-Year-Month],Таблица1[[#This Row],[Order-Year-Month]])</f>
        <v>0.5</v>
      </c>
    </row>
    <row r="7519" spans="1:26" x14ac:dyDescent="0.2">
      <c r="A7519" s="6">
        <v>7455</v>
      </c>
      <c r="B7519" s="7">
        <v>53189</v>
      </c>
      <c r="C7519" s="8">
        <f>DATE(2012,12,31)-496</f>
        <v>40778</v>
      </c>
      <c r="D7519" s="8" t="str">
        <f t="shared" si="142"/>
        <v>2011-08 (август 2011)</v>
      </c>
      <c r="E7519" s="9" t="s">
        <v>78</v>
      </c>
      <c r="F7519" s="7">
        <v>29</v>
      </c>
      <c r="G7519" s="7">
        <v>214.19</v>
      </c>
      <c r="H7519" s="7">
        <v>0</v>
      </c>
      <c r="I7519" s="9" t="s">
        <v>56</v>
      </c>
      <c r="J7519" s="10">
        <v>-40.56</v>
      </c>
      <c r="K7519" s="11">
        <v>6.48</v>
      </c>
      <c r="L7519" s="11">
        <v>5.94</v>
      </c>
      <c r="M7519" s="9" t="s">
        <v>2049</v>
      </c>
      <c r="N7519" s="6" t="s">
        <v>703</v>
      </c>
      <c r="O7519" s="6" t="s">
        <v>704</v>
      </c>
      <c r="P7519" s="9" t="s">
        <v>41</v>
      </c>
      <c r="Q7519" s="9" t="s">
        <v>26</v>
      </c>
      <c r="R7519" s="9" t="s">
        <v>61</v>
      </c>
      <c r="S7519" s="7" t="s">
        <v>994</v>
      </c>
      <c r="T7519" s="9" t="s">
        <v>39</v>
      </c>
      <c r="U7519" s="7">
        <v>0.37</v>
      </c>
      <c r="V7519" s="12">
        <f>C7519+0</f>
        <v>40778</v>
      </c>
      <c r="W7519">
        <f>IF(D7519=' Pivot Tables'!$A$4,1,0)</f>
        <v>0</v>
      </c>
      <c r="X7519">
        <f>IF(AND(LEFT(D7519,4)+1=LEFT(' Pivot Tables'!$A$4,4)+0,RIGHT(LEFT(D7519,7),2)=RIGHT(LEFT(' Pivot Tables'!$A$4,7),2)),1,0)</f>
        <v>0</v>
      </c>
      <c r="Y7519" s="6">
        <f>1/COUNTIF(Таблица1[Order ID],Таблица1[[#This Row],[Order ID]])</f>
        <v>1</v>
      </c>
      <c r="Z7519" s="9">
        <f>1/COUNTIFS(Таблица1[Customer Name],Таблица1[[#This Row],[Customer Name]],Таблица1[Order-Year-Month],Таблица1[[#This Row],[Order-Year-Month]])</f>
        <v>1</v>
      </c>
    </row>
    <row r="7520" spans="1:26" x14ac:dyDescent="0.2">
      <c r="A7520" s="6">
        <v>7590</v>
      </c>
      <c r="B7520" s="7">
        <v>54307</v>
      </c>
      <c r="C7520" s="8">
        <f>DATE(2012,12,31)-358</f>
        <v>40916</v>
      </c>
      <c r="D7520" s="8" t="str">
        <f t="shared" si="142"/>
        <v>2012-01 (январь 2012)</v>
      </c>
      <c r="E7520" s="9" t="s">
        <v>30</v>
      </c>
      <c r="F7520" s="7">
        <v>41</v>
      </c>
      <c r="G7520" s="7">
        <v>198.29</v>
      </c>
      <c r="H7520" s="7">
        <v>0.08</v>
      </c>
      <c r="I7520" s="9" t="s">
        <v>22</v>
      </c>
      <c r="J7520" s="10">
        <v>-134.41200000000001</v>
      </c>
      <c r="K7520" s="11">
        <v>4.91</v>
      </c>
      <c r="L7520" s="11">
        <v>5.68</v>
      </c>
      <c r="M7520" s="9" t="s">
        <v>2066</v>
      </c>
      <c r="N7520" s="6" t="s">
        <v>703</v>
      </c>
      <c r="O7520" s="6" t="s">
        <v>704</v>
      </c>
      <c r="P7520" s="9" t="s">
        <v>41</v>
      </c>
      <c r="Q7520" s="9" t="s">
        <v>26</v>
      </c>
      <c r="R7520" s="9" t="s">
        <v>37</v>
      </c>
      <c r="S7520" s="7" t="s">
        <v>1345</v>
      </c>
      <c r="T7520" s="9" t="s">
        <v>39</v>
      </c>
      <c r="U7520" s="7">
        <v>0.36</v>
      </c>
      <c r="V7520" s="12">
        <f>C7520+1</f>
        <v>40917</v>
      </c>
      <c r="W7520">
        <f>IF(D7520=' Pivot Tables'!$A$4,1,0)</f>
        <v>0</v>
      </c>
      <c r="X7520">
        <f>IF(AND(LEFT(D7520,4)+1=LEFT(' Pivot Tables'!$A$4,4)+0,RIGHT(LEFT(D7520,7),2)=RIGHT(LEFT(' Pivot Tables'!$A$4,7),2)),1,0)</f>
        <v>0</v>
      </c>
      <c r="Y7520" s="6">
        <f>1/COUNTIF(Таблица1[Order ID],Таблица1[[#This Row],[Order ID]])</f>
        <v>0.33333333333333331</v>
      </c>
      <c r="Z7520" s="9">
        <f>1/COUNTIFS(Таблица1[Customer Name],Таблица1[[#This Row],[Customer Name]],Таблица1[Order-Year-Month],Таблица1[[#This Row],[Order-Year-Month]])</f>
        <v>0.33333333333333331</v>
      </c>
    </row>
    <row r="7521" spans="1:26" x14ac:dyDescent="0.2">
      <c r="A7521" s="6">
        <v>7661</v>
      </c>
      <c r="B7521" s="7">
        <v>54917</v>
      </c>
      <c r="C7521" s="8">
        <f>DATE(2012,12,31)-997</f>
        <v>40277</v>
      </c>
      <c r="D7521" s="8" t="str">
        <f t="shared" si="142"/>
        <v>2010-04 (апрель 2010)</v>
      </c>
      <c r="E7521" s="9" t="s">
        <v>30</v>
      </c>
      <c r="F7521" s="7">
        <v>12</v>
      </c>
      <c r="G7521" s="7">
        <v>6034.68</v>
      </c>
      <c r="H7521" s="7">
        <v>0.06</v>
      </c>
      <c r="I7521" s="9" t="s">
        <v>22</v>
      </c>
      <c r="J7521" s="10">
        <v>-517.08000000000004</v>
      </c>
      <c r="K7521" s="11">
        <v>499.99</v>
      </c>
      <c r="L7521" s="11">
        <v>24.49</v>
      </c>
      <c r="M7521" s="9" t="s">
        <v>2069</v>
      </c>
      <c r="N7521" s="6" t="s">
        <v>703</v>
      </c>
      <c r="O7521" s="6" t="s">
        <v>704</v>
      </c>
      <c r="P7521" s="9" t="s">
        <v>25</v>
      </c>
      <c r="Q7521" s="9" t="s">
        <v>42</v>
      </c>
      <c r="R7521" s="9" t="s">
        <v>99</v>
      </c>
      <c r="S7521" s="7" t="s">
        <v>217</v>
      </c>
      <c r="T7521" s="9" t="s">
        <v>29</v>
      </c>
      <c r="U7521" s="7">
        <v>0.36</v>
      </c>
      <c r="V7521" s="12">
        <f>C7521+1</f>
        <v>40278</v>
      </c>
      <c r="W7521">
        <f>IF(D7521=' Pivot Tables'!$A$4,1,0)</f>
        <v>0</v>
      </c>
      <c r="X7521">
        <f>IF(AND(LEFT(D7521,4)+1=LEFT(' Pivot Tables'!$A$4,4)+0,RIGHT(LEFT(D7521,7),2)=RIGHT(LEFT(' Pivot Tables'!$A$4,7),2)),1,0)</f>
        <v>0</v>
      </c>
      <c r="Y7521" s="6">
        <f>1/COUNTIF(Таблица1[Order ID],Таблица1[[#This Row],[Order ID]])</f>
        <v>1</v>
      </c>
      <c r="Z7521" s="9">
        <f>1/COUNTIFS(Таблица1[Customer Name],Таблица1[[#This Row],[Customer Name]],Таблица1[Order-Year-Month],Таблица1[[#This Row],[Order-Year-Month]])</f>
        <v>1</v>
      </c>
    </row>
    <row r="7522" spans="1:26" x14ac:dyDescent="0.2">
      <c r="A7522" s="6">
        <v>7965</v>
      </c>
      <c r="B7522" s="7">
        <v>56930</v>
      </c>
      <c r="C7522" s="8">
        <f>DATE(2012,12,31)-136</f>
        <v>41138</v>
      </c>
      <c r="D7522" s="8" t="str">
        <f t="shared" si="142"/>
        <v>2012-08 (август 2012)</v>
      </c>
      <c r="E7522" s="9" t="s">
        <v>21</v>
      </c>
      <c r="F7522" s="7">
        <v>47</v>
      </c>
      <c r="G7522" s="7">
        <v>228.31</v>
      </c>
      <c r="H7522" s="7">
        <v>0.03</v>
      </c>
      <c r="I7522" s="9" t="s">
        <v>22</v>
      </c>
      <c r="J7522" s="10">
        <v>8.89</v>
      </c>
      <c r="K7522" s="11">
        <v>4.71</v>
      </c>
      <c r="L7522" s="11">
        <v>0.7</v>
      </c>
      <c r="M7522" s="9" t="s">
        <v>1228</v>
      </c>
      <c r="N7522" s="6" t="s">
        <v>703</v>
      </c>
      <c r="O7522" s="6" t="s">
        <v>704</v>
      </c>
      <c r="P7522" s="9" t="s">
        <v>60</v>
      </c>
      <c r="Q7522" s="9" t="s">
        <v>26</v>
      </c>
      <c r="R7522" s="9" t="s">
        <v>66</v>
      </c>
      <c r="S7522" s="7" t="s">
        <v>90</v>
      </c>
      <c r="T7522" s="9" t="s">
        <v>68</v>
      </c>
      <c r="U7522" s="7">
        <v>0.8</v>
      </c>
      <c r="V7522" s="12">
        <f>C7522+7</f>
        <v>41145</v>
      </c>
      <c r="W7522">
        <f>IF(D7522=' Pivot Tables'!$A$4,1,0)</f>
        <v>0</v>
      </c>
      <c r="X7522">
        <f>IF(AND(LEFT(D7522,4)+1=LEFT(' Pivot Tables'!$A$4,4)+0,RIGHT(LEFT(D7522,7),2)=RIGHT(LEFT(' Pivot Tables'!$A$4,7),2)),1,0)</f>
        <v>0</v>
      </c>
      <c r="Y7522" s="6">
        <f>1/COUNTIF(Таблица1[Order ID],Таблица1[[#This Row],[Order ID]])</f>
        <v>0.5</v>
      </c>
      <c r="Z7522" s="9">
        <f>1/COUNTIFS(Таблица1[Customer Name],Таблица1[[#This Row],[Customer Name]],Таблица1[Order-Year-Month],Таблица1[[#This Row],[Order-Year-Month]])</f>
        <v>0.5</v>
      </c>
    </row>
    <row r="7523" spans="1:26" x14ac:dyDescent="0.2">
      <c r="A7523" s="6">
        <v>8060</v>
      </c>
      <c r="B7523" s="7">
        <v>57511</v>
      </c>
      <c r="C7523" s="8">
        <f>DATE(2012,12,31)-1182</f>
        <v>40092</v>
      </c>
      <c r="D7523" s="8" t="str">
        <f t="shared" si="142"/>
        <v>2009-10 (октябрь 2009)</v>
      </c>
      <c r="E7523" s="9" t="s">
        <v>78</v>
      </c>
      <c r="F7523" s="7">
        <v>32</v>
      </c>
      <c r="G7523" s="7">
        <v>98.46</v>
      </c>
      <c r="H7523" s="7">
        <v>0.01</v>
      </c>
      <c r="I7523" s="9" t="s">
        <v>22</v>
      </c>
      <c r="J7523" s="10">
        <v>41.54</v>
      </c>
      <c r="K7523" s="11">
        <v>2.89</v>
      </c>
      <c r="L7523" s="11">
        <v>0.5</v>
      </c>
      <c r="M7523" s="9" t="s">
        <v>2049</v>
      </c>
      <c r="N7523" s="6" t="s">
        <v>703</v>
      </c>
      <c r="O7523" s="6" t="s">
        <v>704</v>
      </c>
      <c r="P7523" s="9" t="s">
        <v>41</v>
      </c>
      <c r="Q7523" s="9" t="s">
        <v>26</v>
      </c>
      <c r="R7523" s="9" t="s">
        <v>88</v>
      </c>
      <c r="S7523" s="7" t="s">
        <v>474</v>
      </c>
      <c r="T7523" s="9" t="s">
        <v>39</v>
      </c>
      <c r="U7523" s="7">
        <v>0.38</v>
      </c>
      <c r="V7523" s="12">
        <f>C7523+1</f>
        <v>40093</v>
      </c>
      <c r="W7523">
        <f>IF(D7523=' Pivot Tables'!$A$4,1,0)</f>
        <v>0</v>
      </c>
      <c r="X7523">
        <f>IF(AND(LEFT(D7523,4)+1=LEFT(' Pivot Tables'!$A$4,4)+0,RIGHT(LEFT(D7523,7),2)=RIGHT(LEFT(' Pivot Tables'!$A$4,7),2)),1,0)</f>
        <v>0</v>
      </c>
      <c r="Y7523" s="6">
        <f>1/COUNTIF(Таблица1[Order ID],Таблица1[[#This Row],[Order ID]])</f>
        <v>0.5</v>
      </c>
      <c r="Z7523" s="9">
        <f>1/COUNTIFS(Таблица1[Customer Name],Таблица1[[#This Row],[Customer Name]],Таблица1[Order-Year-Month],Таблица1[[#This Row],[Order-Year-Month]])</f>
        <v>0.25</v>
      </c>
    </row>
    <row r="7524" spans="1:26" x14ac:dyDescent="0.2">
      <c r="A7524" s="6">
        <v>8061</v>
      </c>
      <c r="B7524" s="7">
        <v>57511</v>
      </c>
      <c r="C7524" s="8">
        <f>DATE(2012,12,31)-1182</f>
        <v>40092</v>
      </c>
      <c r="D7524" s="8" t="str">
        <f t="shared" si="142"/>
        <v>2009-10 (октябрь 2009)</v>
      </c>
      <c r="E7524" s="9" t="s">
        <v>78</v>
      </c>
      <c r="F7524" s="7">
        <v>11</v>
      </c>
      <c r="G7524" s="7">
        <v>569.63599999999997</v>
      </c>
      <c r="H7524" s="7">
        <v>0</v>
      </c>
      <c r="I7524" s="9" t="s">
        <v>22</v>
      </c>
      <c r="J7524" s="10">
        <v>-173.25</v>
      </c>
      <c r="K7524" s="11">
        <v>55.99</v>
      </c>
      <c r="L7524" s="11">
        <v>5</v>
      </c>
      <c r="M7524" s="9" t="s">
        <v>2049</v>
      </c>
      <c r="N7524" s="6" t="s">
        <v>703</v>
      </c>
      <c r="O7524" s="6" t="s">
        <v>704</v>
      </c>
      <c r="P7524" s="9" t="s">
        <v>41</v>
      </c>
      <c r="Q7524" s="9" t="s">
        <v>42</v>
      </c>
      <c r="R7524" s="9" t="s">
        <v>43</v>
      </c>
      <c r="S7524" s="7" t="s">
        <v>268</v>
      </c>
      <c r="T7524" s="9" t="s">
        <v>52</v>
      </c>
      <c r="U7524" s="7">
        <v>0.8</v>
      </c>
      <c r="V7524" s="12">
        <f>C7524+2</f>
        <v>40094</v>
      </c>
      <c r="W7524">
        <f>IF(D7524=' Pivot Tables'!$A$4,1,0)</f>
        <v>0</v>
      </c>
      <c r="X7524">
        <f>IF(AND(LEFT(D7524,4)+1=LEFT(' Pivot Tables'!$A$4,4)+0,RIGHT(LEFT(D7524,7),2)=RIGHT(LEFT(' Pivot Tables'!$A$4,7),2)),1,0)</f>
        <v>0</v>
      </c>
      <c r="Y7524" s="6">
        <f>1/COUNTIF(Таблица1[Order ID],Таблица1[[#This Row],[Order ID]])</f>
        <v>0.5</v>
      </c>
      <c r="Z7524" s="9">
        <f>1/COUNTIFS(Таблица1[Customer Name],Таблица1[[#This Row],[Customer Name]],Таблица1[Order-Year-Month],Таблица1[[#This Row],[Order-Year-Month]])</f>
        <v>0.25</v>
      </c>
    </row>
    <row r="7525" spans="1:26" x14ac:dyDescent="0.2">
      <c r="A7525" s="6">
        <v>8106</v>
      </c>
      <c r="B7525" s="7">
        <v>57857</v>
      </c>
      <c r="C7525" s="8">
        <f>DATE(2012,12,31)-975</f>
        <v>40299</v>
      </c>
      <c r="D7525" s="8" t="str">
        <f t="shared" si="142"/>
        <v>2010-05 (май 2010)</v>
      </c>
      <c r="E7525" s="9" t="s">
        <v>30</v>
      </c>
      <c r="F7525" s="7">
        <v>18</v>
      </c>
      <c r="G7525" s="7">
        <v>314.95999999999998</v>
      </c>
      <c r="H7525" s="7">
        <v>0.1</v>
      </c>
      <c r="I7525" s="9" t="s">
        <v>22</v>
      </c>
      <c r="J7525" s="10">
        <v>153.47999999999999</v>
      </c>
      <c r="K7525" s="11">
        <v>18.649999999999999</v>
      </c>
      <c r="L7525" s="11">
        <v>3.77</v>
      </c>
      <c r="M7525" s="9" t="s">
        <v>2069</v>
      </c>
      <c r="N7525" s="6" t="s">
        <v>703</v>
      </c>
      <c r="O7525" s="6" t="s">
        <v>704</v>
      </c>
      <c r="P7525" s="9" t="s">
        <v>25</v>
      </c>
      <c r="Q7525" s="9" t="s">
        <v>49</v>
      </c>
      <c r="R7525" s="9" t="s">
        <v>50</v>
      </c>
      <c r="S7525" s="7" t="s">
        <v>916</v>
      </c>
      <c r="T7525" s="9" t="s">
        <v>52</v>
      </c>
      <c r="U7525" s="7">
        <v>0.39</v>
      </c>
      <c r="V7525" s="12">
        <f>C7525+0</f>
        <v>40299</v>
      </c>
      <c r="W7525">
        <f>IF(D7525=' Pivot Tables'!$A$4,1,0)</f>
        <v>0</v>
      </c>
      <c r="X7525">
        <f>IF(AND(LEFT(D7525,4)+1=LEFT(' Pivot Tables'!$A$4,4)+0,RIGHT(LEFT(D7525,7),2)=RIGHT(LEFT(' Pivot Tables'!$A$4,7),2)),1,0)</f>
        <v>0</v>
      </c>
      <c r="Y7525" s="6">
        <f>1/COUNTIF(Таблица1[Order ID],Таблица1[[#This Row],[Order ID]])</f>
        <v>1</v>
      </c>
      <c r="Z7525" s="9">
        <f>1/COUNTIFS(Таблица1[Customer Name],Таблица1[[#This Row],[Customer Name]],Таблица1[Order-Year-Month],Таблица1[[#This Row],[Order-Year-Month]])</f>
        <v>1</v>
      </c>
    </row>
    <row r="7526" spans="1:26" x14ac:dyDescent="0.2">
      <c r="A7526" s="6">
        <v>8107</v>
      </c>
      <c r="B7526" s="7">
        <v>57861</v>
      </c>
      <c r="C7526" s="8">
        <f>DATE(2012,12,31)-67</f>
        <v>41207</v>
      </c>
      <c r="D7526" s="8" t="str">
        <f t="shared" si="142"/>
        <v>2012-10 (октябрь 2012)</v>
      </c>
      <c r="E7526" s="9" t="s">
        <v>63</v>
      </c>
      <c r="F7526" s="7">
        <v>40</v>
      </c>
      <c r="G7526" s="7">
        <v>120.15</v>
      </c>
      <c r="H7526" s="7">
        <v>0</v>
      </c>
      <c r="I7526" s="9" t="s">
        <v>22</v>
      </c>
      <c r="J7526" s="10">
        <v>11.322000000000001</v>
      </c>
      <c r="K7526" s="11">
        <v>2.88</v>
      </c>
      <c r="L7526" s="11">
        <v>1.49</v>
      </c>
      <c r="M7526" s="9" t="s">
        <v>2069</v>
      </c>
      <c r="N7526" s="6" t="s">
        <v>703</v>
      </c>
      <c r="O7526" s="6" t="s">
        <v>704</v>
      </c>
      <c r="P7526" s="9" t="s">
        <v>25</v>
      </c>
      <c r="Q7526" s="9" t="s">
        <v>26</v>
      </c>
      <c r="R7526" s="9" t="s">
        <v>37</v>
      </c>
      <c r="S7526" s="7" t="s">
        <v>782</v>
      </c>
      <c r="T7526" s="9" t="s">
        <v>39</v>
      </c>
      <c r="U7526" s="7">
        <v>0.36</v>
      </c>
      <c r="V7526" s="12">
        <f>C7526+2</f>
        <v>41209</v>
      </c>
      <c r="W7526">
        <f>IF(D7526=' Pivot Tables'!$A$4,1,0)</f>
        <v>0</v>
      </c>
      <c r="X7526">
        <f>IF(AND(LEFT(D7526,4)+1=LEFT(' Pivot Tables'!$A$4,4)+0,RIGHT(LEFT(D7526,7),2)=RIGHT(LEFT(' Pivot Tables'!$A$4,7),2)),1,0)</f>
        <v>0</v>
      </c>
      <c r="Y7526" s="6">
        <f>1/COUNTIF(Таблица1[Order ID],Таблица1[[#This Row],[Order ID]])</f>
        <v>1</v>
      </c>
      <c r="Z7526" s="9">
        <f>1/COUNTIFS(Таблица1[Customer Name],Таблица1[[#This Row],[Customer Name]],Таблица1[Order-Year-Month],Таблица1[[#This Row],[Order-Year-Month]])</f>
        <v>1</v>
      </c>
    </row>
    <row r="7527" spans="1:26" x14ac:dyDescent="0.2">
      <c r="A7527" s="6">
        <v>8145</v>
      </c>
      <c r="B7527" s="7">
        <v>58247</v>
      </c>
      <c r="C7527" s="8">
        <f>DATE(2012,12,31)-465</f>
        <v>40809</v>
      </c>
      <c r="D7527" s="8" t="str">
        <f t="shared" si="142"/>
        <v>2011-09 (сентябрь 2011)</v>
      </c>
      <c r="E7527" s="9" t="s">
        <v>45</v>
      </c>
      <c r="F7527" s="7">
        <v>8</v>
      </c>
      <c r="G7527" s="7">
        <v>1058.82</v>
      </c>
      <c r="H7527" s="7">
        <v>0.02</v>
      </c>
      <c r="I7527" s="9" t="s">
        <v>22</v>
      </c>
      <c r="J7527" s="10">
        <v>211.73</v>
      </c>
      <c r="K7527" s="11">
        <v>131.12</v>
      </c>
      <c r="L7527" s="11">
        <v>0.99</v>
      </c>
      <c r="M7527" s="9" t="s">
        <v>877</v>
      </c>
      <c r="N7527" s="6" t="s">
        <v>703</v>
      </c>
      <c r="O7527" s="6" t="s">
        <v>704</v>
      </c>
      <c r="P7527" s="9" t="s">
        <v>60</v>
      </c>
      <c r="Q7527" s="9" t="s">
        <v>26</v>
      </c>
      <c r="R7527" s="9" t="s">
        <v>34</v>
      </c>
      <c r="S7527" s="7" t="s">
        <v>722</v>
      </c>
      <c r="T7527" s="9" t="s">
        <v>39</v>
      </c>
      <c r="U7527" s="7">
        <v>0.55000000000000004</v>
      </c>
      <c r="V7527" s="12">
        <f>C7527+0</f>
        <v>40809</v>
      </c>
      <c r="W7527">
        <f>IF(D7527=' Pivot Tables'!$A$4,1,0)</f>
        <v>0</v>
      </c>
      <c r="X7527">
        <f>IF(AND(LEFT(D7527,4)+1=LEFT(' Pivot Tables'!$A$4,4)+0,RIGHT(LEFT(D7527,7),2)=RIGHT(LEFT(' Pivot Tables'!$A$4,7),2)),1,0)</f>
        <v>0</v>
      </c>
      <c r="Y7527" s="6">
        <f>1/COUNTIF(Таблица1[Order ID],Таблица1[[#This Row],[Order ID]])</f>
        <v>0.5</v>
      </c>
      <c r="Z7527" s="9">
        <f>1/COUNTIFS(Таблица1[Customer Name],Таблица1[[#This Row],[Customer Name]],Таблица1[Order-Year-Month],Таблица1[[#This Row],[Order-Year-Month]])</f>
        <v>0.5</v>
      </c>
    </row>
    <row r="7528" spans="1:26" x14ac:dyDescent="0.2">
      <c r="A7528" s="6">
        <v>8146</v>
      </c>
      <c r="B7528" s="7">
        <v>58247</v>
      </c>
      <c r="C7528" s="8">
        <f>DATE(2012,12,31)-465</f>
        <v>40809</v>
      </c>
      <c r="D7528" s="8" t="str">
        <f t="shared" si="142"/>
        <v>2011-09 (сентябрь 2011)</v>
      </c>
      <c r="E7528" s="9" t="s">
        <v>45</v>
      </c>
      <c r="F7528" s="7">
        <v>14</v>
      </c>
      <c r="G7528" s="7">
        <v>92.07</v>
      </c>
      <c r="H7528" s="7">
        <v>0.09</v>
      </c>
      <c r="I7528" s="9" t="s">
        <v>22</v>
      </c>
      <c r="J7528" s="10">
        <v>-64.5</v>
      </c>
      <c r="K7528" s="11">
        <v>6.48</v>
      </c>
      <c r="L7528" s="11">
        <v>7.86</v>
      </c>
      <c r="M7528" s="9" t="s">
        <v>877</v>
      </c>
      <c r="N7528" s="6" t="s">
        <v>703</v>
      </c>
      <c r="O7528" s="6" t="s">
        <v>704</v>
      </c>
      <c r="P7528" s="9" t="s">
        <v>60</v>
      </c>
      <c r="Q7528" s="9" t="s">
        <v>26</v>
      </c>
      <c r="R7528" s="9" t="s">
        <v>61</v>
      </c>
      <c r="S7528" s="7" t="s">
        <v>153</v>
      </c>
      <c r="T7528" s="9" t="s">
        <v>39</v>
      </c>
      <c r="U7528" s="7">
        <v>0.37</v>
      </c>
      <c r="V7528" s="12">
        <f>C7528+2</f>
        <v>40811</v>
      </c>
      <c r="W7528">
        <f>IF(D7528=' Pivot Tables'!$A$4,1,0)</f>
        <v>0</v>
      </c>
      <c r="X7528">
        <f>IF(AND(LEFT(D7528,4)+1=LEFT(' Pivot Tables'!$A$4,4)+0,RIGHT(LEFT(D7528,7),2)=RIGHT(LEFT(' Pivot Tables'!$A$4,7),2)),1,0)</f>
        <v>0</v>
      </c>
      <c r="Y7528" s="6">
        <f>1/COUNTIF(Таблица1[Order ID],Таблица1[[#This Row],[Order ID]])</f>
        <v>0.5</v>
      </c>
      <c r="Z7528" s="9">
        <f>1/COUNTIFS(Таблица1[Customer Name],Таблица1[[#This Row],[Customer Name]],Таблица1[Order-Year-Month],Таблица1[[#This Row],[Order-Year-Month]])</f>
        <v>0.5</v>
      </c>
    </row>
    <row r="7529" spans="1:26" x14ac:dyDescent="0.2">
      <c r="A7529" s="6">
        <v>8178</v>
      </c>
      <c r="B7529" s="7">
        <v>58470</v>
      </c>
      <c r="C7529" s="8">
        <f>DATE(2012,12,31)-572</f>
        <v>40702</v>
      </c>
      <c r="D7529" s="8" t="str">
        <f t="shared" si="142"/>
        <v>2011-06 (июнь 2011)</v>
      </c>
      <c r="E7529" s="9" t="s">
        <v>30</v>
      </c>
      <c r="F7529" s="7">
        <v>24</v>
      </c>
      <c r="G7529" s="7">
        <v>1811.55</v>
      </c>
      <c r="H7529" s="7">
        <v>0.09</v>
      </c>
      <c r="I7529" s="9" t="s">
        <v>22</v>
      </c>
      <c r="J7529" s="10">
        <v>512.69000000000005</v>
      </c>
      <c r="K7529" s="11">
        <v>81.319999999999993</v>
      </c>
      <c r="L7529" s="11">
        <v>0.99</v>
      </c>
      <c r="M7529" s="9" t="s">
        <v>2070</v>
      </c>
      <c r="N7529" s="6" t="s">
        <v>703</v>
      </c>
      <c r="O7529" s="6" t="s">
        <v>704</v>
      </c>
      <c r="P7529" s="9" t="s">
        <v>25</v>
      </c>
      <c r="Q7529" s="9" t="s">
        <v>26</v>
      </c>
      <c r="R7529" s="9" t="s">
        <v>34</v>
      </c>
      <c r="S7529" s="7" t="s">
        <v>1949</v>
      </c>
      <c r="T7529" s="9" t="s">
        <v>39</v>
      </c>
      <c r="U7529" s="7">
        <v>0.56999999999999995</v>
      </c>
      <c r="V7529" s="12">
        <f>C7529+1</f>
        <v>40703</v>
      </c>
      <c r="W7529">
        <f>IF(D7529=' Pivot Tables'!$A$4,1,0)</f>
        <v>0</v>
      </c>
      <c r="X7529">
        <f>IF(AND(LEFT(D7529,4)+1=LEFT(' Pivot Tables'!$A$4,4)+0,RIGHT(LEFT(D7529,7),2)=RIGHT(LEFT(' Pivot Tables'!$A$4,7),2)),1,0)</f>
        <v>0</v>
      </c>
      <c r="Y7529" s="6">
        <f>1/COUNTIF(Таблица1[Order ID],Таблица1[[#This Row],[Order ID]])</f>
        <v>0.2</v>
      </c>
      <c r="Z7529" s="9">
        <f>1/COUNTIFS(Таблица1[Customer Name],Таблица1[[#This Row],[Customer Name]],Таблица1[Order-Year-Month],Таблица1[[#This Row],[Order-Year-Month]])</f>
        <v>0.2</v>
      </c>
    </row>
    <row r="7530" spans="1:26" x14ac:dyDescent="0.2">
      <c r="A7530" s="6">
        <v>8179</v>
      </c>
      <c r="B7530" s="7">
        <v>58470</v>
      </c>
      <c r="C7530" s="8">
        <f>DATE(2012,12,31)-572</f>
        <v>40702</v>
      </c>
      <c r="D7530" s="8" t="str">
        <f t="shared" si="142"/>
        <v>2011-06 (июнь 2011)</v>
      </c>
      <c r="E7530" s="9" t="s">
        <v>30</v>
      </c>
      <c r="F7530" s="7">
        <v>13</v>
      </c>
      <c r="G7530" s="7">
        <v>49.08</v>
      </c>
      <c r="H7530" s="7">
        <v>0.06</v>
      </c>
      <c r="I7530" s="9" t="s">
        <v>22</v>
      </c>
      <c r="J7530" s="10">
        <v>-0.31</v>
      </c>
      <c r="K7530" s="11">
        <v>3.71</v>
      </c>
      <c r="L7530" s="11">
        <v>1.93</v>
      </c>
      <c r="M7530" s="9" t="s">
        <v>2070</v>
      </c>
      <c r="N7530" s="6" t="s">
        <v>703</v>
      </c>
      <c r="O7530" s="6" t="s">
        <v>704</v>
      </c>
      <c r="P7530" s="9" t="s">
        <v>25</v>
      </c>
      <c r="Q7530" s="9" t="s">
        <v>26</v>
      </c>
      <c r="R7530" s="9" t="s">
        <v>61</v>
      </c>
      <c r="S7530" s="7" t="s">
        <v>1170</v>
      </c>
      <c r="T7530" s="9" t="s">
        <v>68</v>
      </c>
      <c r="U7530" s="7">
        <v>0.35</v>
      </c>
      <c r="V7530" s="12">
        <f>C7530+0</f>
        <v>40702</v>
      </c>
      <c r="W7530">
        <f>IF(D7530=' Pivot Tables'!$A$4,1,0)</f>
        <v>0</v>
      </c>
      <c r="X7530">
        <f>IF(AND(LEFT(D7530,4)+1=LEFT(' Pivot Tables'!$A$4,4)+0,RIGHT(LEFT(D7530,7),2)=RIGHT(LEFT(' Pivot Tables'!$A$4,7),2)),1,0)</f>
        <v>0</v>
      </c>
      <c r="Y7530" s="6">
        <f>1/COUNTIF(Таблица1[Order ID],Таблица1[[#This Row],[Order ID]])</f>
        <v>0.2</v>
      </c>
      <c r="Z7530" s="9">
        <f>1/COUNTIFS(Таблица1[Customer Name],Таблица1[[#This Row],[Customer Name]],Таблица1[Order-Year-Month],Таблица1[[#This Row],[Order-Year-Month]])</f>
        <v>0.2</v>
      </c>
    </row>
    <row r="7531" spans="1:26" x14ac:dyDescent="0.2">
      <c r="A7531" s="6">
        <v>8180</v>
      </c>
      <c r="B7531" s="7">
        <v>58470</v>
      </c>
      <c r="C7531" s="8">
        <f>DATE(2012,12,31)-572</f>
        <v>40702</v>
      </c>
      <c r="D7531" s="8" t="str">
        <f t="shared" si="142"/>
        <v>2011-06 (июнь 2011)</v>
      </c>
      <c r="E7531" s="9" t="s">
        <v>30</v>
      </c>
      <c r="F7531" s="7">
        <v>36</v>
      </c>
      <c r="G7531" s="7">
        <v>236.19</v>
      </c>
      <c r="H7531" s="7">
        <v>0.06</v>
      </c>
      <c r="I7531" s="9" t="s">
        <v>22</v>
      </c>
      <c r="J7531" s="10">
        <v>-76.92</v>
      </c>
      <c r="K7531" s="11">
        <v>6.48</v>
      </c>
      <c r="L7531" s="11">
        <v>5.94</v>
      </c>
      <c r="M7531" s="9" t="s">
        <v>2070</v>
      </c>
      <c r="N7531" s="6" t="s">
        <v>703</v>
      </c>
      <c r="O7531" s="6" t="s">
        <v>704</v>
      </c>
      <c r="P7531" s="9" t="s">
        <v>25</v>
      </c>
      <c r="Q7531" s="9" t="s">
        <v>26</v>
      </c>
      <c r="R7531" s="9" t="s">
        <v>61</v>
      </c>
      <c r="S7531" s="7" t="s">
        <v>994</v>
      </c>
      <c r="T7531" s="9" t="s">
        <v>39</v>
      </c>
      <c r="U7531" s="7">
        <v>0.37</v>
      </c>
      <c r="V7531" s="12">
        <f>C7531+1</f>
        <v>40703</v>
      </c>
      <c r="W7531">
        <f>IF(D7531=' Pivot Tables'!$A$4,1,0)</f>
        <v>0</v>
      </c>
      <c r="X7531">
        <f>IF(AND(LEFT(D7531,4)+1=LEFT(' Pivot Tables'!$A$4,4)+0,RIGHT(LEFT(D7531,7),2)=RIGHT(LEFT(' Pivot Tables'!$A$4,7),2)),1,0)</f>
        <v>0</v>
      </c>
      <c r="Y7531" s="6">
        <f>1/COUNTIF(Таблица1[Order ID],Таблица1[[#This Row],[Order ID]])</f>
        <v>0.2</v>
      </c>
      <c r="Z7531" s="9">
        <f>1/COUNTIFS(Таблица1[Customer Name],Таблица1[[#This Row],[Customer Name]],Таблица1[Order-Year-Month],Таблица1[[#This Row],[Order-Year-Month]])</f>
        <v>0.2</v>
      </c>
    </row>
    <row r="7532" spans="1:26" x14ac:dyDescent="0.2">
      <c r="A7532" s="6">
        <v>8181</v>
      </c>
      <c r="B7532" s="7">
        <v>58470</v>
      </c>
      <c r="C7532" s="8">
        <f>DATE(2012,12,31)-572</f>
        <v>40702</v>
      </c>
      <c r="D7532" s="8" t="str">
        <f t="shared" si="142"/>
        <v>2011-06 (июнь 2011)</v>
      </c>
      <c r="E7532" s="9" t="s">
        <v>30</v>
      </c>
      <c r="F7532" s="7">
        <v>45</v>
      </c>
      <c r="G7532" s="7">
        <v>854.14</v>
      </c>
      <c r="H7532" s="7">
        <v>0.01</v>
      </c>
      <c r="I7532" s="9" t="s">
        <v>22</v>
      </c>
      <c r="J7532" s="10">
        <v>94</v>
      </c>
      <c r="K7532" s="11">
        <v>18.97</v>
      </c>
      <c r="L7532" s="11">
        <v>9.0299999999999994</v>
      </c>
      <c r="M7532" s="9" t="s">
        <v>2070</v>
      </c>
      <c r="N7532" s="6" t="s">
        <v>703</v>
      </c>
      <c r="O7532" s="6" t="s">
        <v>704</v>
      </c>
      <c r="P7532" s="9" t="s">
        <v>25</v>
      </c>
      <c r="Q7532" s="9" t="s">
        <v>26</v>
      </c>
      <c r="R7532" s="9" t="s">
        <v>61</v>
      </c>
      <c r="S7532" s="7" t="s">
        <v>123</v>
      </c>
      <c r="T7532" s="9" t="s">
        <v>39</v>
      </c>
      <c r="U7532" s="7">
        <v>0.37</v>
      </c>
      <c r="V7532" s="12">
        <f>C7532+2</f>
        <v>40704</v>
      </c>
      <c r="W7532">
        <f>IF(D7532=' Pivot Tables'!$A$4,1,0)</f>
        <v>0</v>
      </c>
      <c r="X7532">
        <f>IF(AND(LEFT(D7532,4)+1=LEFT(' Pivot Tables'!$A$4,4)+0,RIGHT(LEFT(D7532,7),2)=RIGHT(LEFT(' Pivot Tables'!$A$4,7),2)),1,0)</f>
        <v>0</v>
      </c>
      <c r="Y7532" s="6">
        <f>1/COUNTIF(Таблица1[Order ID],Таблица1[[#This Row],[Order ID]])</f>
        <v>0.2</v>
      </c>
      <c r="Z7532" s="9">
        <f>1/COUNTIFS(Таблица1[Customer Name],Таблица1[[#This Row],[Customer Name]],Таблица1[Order-Year-Month],Таблица1[[#This Row],[Order-Year-Month]])</f>
        <v>0.2</v>
      </c>
    </row>
    <row r="7533" spans="1:26" x14ac:dyDescent="0.2">
      <c r="A7533" s="6">
        <v>8182</v>
      </c>
      <c r="B7533" s="7">
        <v>58470</v>
      </c>
      <c r="C7533" s="8">
        <f>DATE(2012,12,31)-572</f>
        <v>40702</v>
      </c>
      <c r="D7533" s="8" t="str">
        <f t="shared" si="142"/>
        <v>2011-06 (июнь 2011)</v>
      </c>
      <c r="E7533" s="9" t="s">
        <v>30</v>
      </c>
      <c r="F7533" s="7">
        <v>5</v>
      </c>
      <c r="G7533" s="7">
        <v>159.5</v>
      </c>
      <c r="H7533" s="7">
        <v>0.09</v>
      </c>
      <c r="I7533" s="9" t="s">
        <v>22</v>
      </c>
      <c r="J7533" s="10">
        <v>-57.98</v>
      </c>
      <c r="K7533" s="11">
        <v>31.98</v>
      </c>
      <c r="L7533" s="11">
        <v>6.72</v>
      </c>
      <c r="M7533" s="9" t="s">
        <v>2070</v>
      </c>
      <c r="N7533" s="6" t="s">
        <v>703</v>
      </c>
      <c r="O7533" s="6" t="s">
        <v>704</v>
      </c>
      <c r="P7533" s="9" t="s">
        <v>25</v>
      </c>
      <c r="Q7533" s="9" t="s">
        <v>26</v>
      </c>
      <c r="R7533" s="9" t="s">
        <v>27</v>
      </c>
      <c r="S7533" s="7" t="s">
        <v>1822</v>
      </c>
      <c r="T7533" s="9" t="s">
        <v>39</v>
      </c>
      <c r="U7533" s="7">
        <v>0.75</v>
      </c>
      <c r="V7533" s="12">
        <f>C7533+1</f>
        <v>40703</v>
      </c>
      <c r="W7533">
        <f>IF(D7533=' Pivot Tables'!$A$4,1,0)</f>
        <v>0</v>
      </c>
      <c r="X7533">
        <f>IF(AND(LEFT(D7533,4)+1=LEFT(' Pivot Tables'!$A$4,4)+0,RIGHT(LEFT(D7533,7),2)=RIGHT(LEFT(' Pivot Tables'!$A$4,7),2)),1,0)</f>
        <v>0</v>
      </c>
      <c r="Y7533" s="6">
        <f>1/COUNTIF(Таблица1[Order ID],Таблица1[[#This Row],[Order ID]])</f>
        <v>0.2</v>
      </c>
      <c r="Z7533" s="9">
        <f>1/COUNTIFS(Таблица1[Customer Name],Таблица1[[#This Row],[Customer Name]],Таблица1[Order-Year-Month],Таблица1[[#This Row],[Order-Year-Month]])</f>
        <v>0.2</v>
      </c>
    </row>
    <row r="7534" spans="1:26" x14ac:dyDescent="0.2">
      <c r="A7534" s="6">
        <v>8219</v>
      </c>
      <c r="B7534" s="7">
        <v>58759</v>
      </c>
      <c r="C7534" s="8">
        <f>DATE(2012,12,31)-1440</f>
        <v>39834</v>
      </c>
      <c r="D7534" s="8" t="str">
        <f t="shared" si="142"/>
        <v>2009-01 (январь 2009)</v>
      </c>
      <c r="E7534" s="9" t="s">
        <v>21</v>
      </c>
      <c r="F7534" s="7">
        <v>4</v>
      </c>
      <c r="G7534" s="7">
        <v>33.44</v>
      </c>
      <c r="H7534" s="7">
        <v>0.1</v>
      </c>
      <c r="I7534" s="9" t="s">
        <v>22</v>
      </c>
      <c r="J7534" s="10">
        <v>-6.88</v>
      </c>
      <c r="K7534" s="11">
        <v>8.01</v>
      </c>
      <c r="L7534" s="11">
        <v>2.87</v>
      </c>
      <c r="M7534" s="9" t="s">
        <v>2063</v>
      </c>
      <c r="N7534" s="6" t="s">
        <v>703</v>
      </c>
      <c r="O7534" s="6" t="s">
        <v>704</v>
      </c>
      <c r="P7534" s="9" t="s">
        <v>41</v>
      </c>
      <c r="Q7534" s="9" t="s">
        <v>26</v>
      </c>
      <c r="R7534" s="9" t="s">
        <v>61</v>
      </c>
      <c r="S7534" s="7" t="s">
        <v>701</v>
      </c>
      <c r="T7534" s="9" t="s">
        <v>68</v>
      </c>
      <c r="U7534" s="7">
        <v>0.4</v>
      </c>
      <c r="V7534" s="12">
        <f>C7534+7</f>
        <v>39841</v>
      </c>
      <c r="W7534">
        <f>IF(D7534=' Pivot Tables'!$A$4,1,0)</f>
        <v>0</v>
      </c>
      <c r="X7534">
        <f>IF(AND(LEFT(D7534,4)+1=LEFT(' Pivot Tables'!$A$4,4)+0,RIGHT(LEFT(D7534,7),2)=RIGHT(LEFT(' Pivot Tables'!$A$4,7),2)),1,0)</f>
        <v>1</v>
      </c>
      <c r="Y7534" s="6">
        <f>1/COUNTIF(Таблица1[Order ID],Таблица1[[#This Row],[Order ID]])</f>
        <v>1</v>
      </c>
      <c r="Z7534" s="9">
        <f>1/COUNTIFS(Таблица1[Customer Name],Таблица1[[#This Row],[Customer Name]],Таблица1[Order-Year-Month],Таблица1[[#This Row],[Order-Year-Month]])</f>
        <v>1</v>
      </c>
    </row>
    <row r="7535" spans="1:26" x14ac:dyDescent="0.2">
      <c r="A7535" s="6">
        <v>8365</v>
      </c>
      <c r="B7535" s="7">
        <v>59780</v>
      </c>
      <c r="C7535" s="8">
        <f>DATE(2012,12,31)-1045</f>
        <v>40229</v>
      </c>
      <c r="D7535" s="8" t="str">
        <f t="shared" si="142"/>
        <v>2010-02 (февраль 2010)</v>
      </c>
      <c r="E7535" s="9" t="s">
        <v>78</v>
      </c>
      <c r="F7535" s="7">
        <v>21</v>
      </c>
      <c r="G7535" s="7">
        <v>6776.92</v>
      </c>
      <c r="H7535" s="7">
        <v>0</v>
      </c>
      <c r="I7535" s="9" t="s">
        <v>31</v>
      </c>
      <c r="J7535" s="10">
        <v>1395.02</v>
      </c>
      <c r="K7535" s="11">
        <v>306.14</v>
      </c>
      <c r="L7535" s="11">
        <v>26.53</v>
      </c>
      <c r="M7535" s="9" t="s">
        <v>1782</v>
      </c>
      <c r="N7535" s="6" t="s">
        <v>703</v>
      </c>
      <c r="O7535" s="6" t="s">
        <v>704</v>
      </c>
      <c r="P7535" s="9" t="s">
        <v>60</v>
      </c>
      <c r="Q7535" s="9" t="s">
        <v>42</v>
      </c>
      <c r="R7535" s="9" t="s">
        <v>210</v>
      </c>
      <c r="S7535" s="7" t="s">
        <v>1085</v>
      </c>
      <c r="T7535" s="9" t="s">
        <v>36</v>
      </c>
      <c r="U7535" s="7">
        <v>0.56000000000000005</v>
      </c>
      <c r="V7535" s="12">
        <f>C7535+0</f>
        <v>40229</v>
      </c>
      <c r="W7535">
        <f>IF(D7535=' Pivot Tables'!$A$4,1,0)</f>
        <v>0</v>
      </c>
      <c r="X7535">
        <f>IF(AND(LEFT(D7535,4)+1=LEFT(' Pivot Tables'!$A$4,4)+0,RIGHT(LEFT(D7535,7),2)=RIGHT(LEFT(' Pivot Tables'!$A$4,7),2)),1,0)</f>
        <v>0</v>
      </c>
      <c r="Y7535" s="6">
        <f>1/COUNTIF(Таблица1[Order ID],Таблица1[[#This Row],[Order ID]])</f>
        <v>1</v>
      </c>
      <c r="Z7535" s="9">
        <f>1/COUNTIFS(Таблица1[Customer Name],Таблица1[[#This Row],[Customer Name]],Таблица1[Order-Year-Month],Таблица1[[#This Row],[Order-Year-Month]])</f>
        <v>1</v>
      </c>
    </row>
    <row r="7536" spans="1:26" x14ac:dyDescent="0.2">
      <c r="A7536" s="6">
        <v>62</v>
      </c>
      <c r="B7536" s="7">
        <v>358</v>
      </c>
      <c r="C7536" s="8">
        <f>DATE(2012,12,31)-834</f>
        <v>40440</v>
      </c>
      <c r="D7536" s="8" t="str">
        <f t="shared" si="142"/>
        <v>2010-09 (сентябрь 2010)</v>
      </c>
      <c r="E7536" s="9" t="s">
        <v>30</v>
      </c>
      <c r="F7536" s="7">
        <v>33</v>
      </c>
      <c r="G7536" s="7">
        <v>1640.9</v>
      </c>
      <c r="H7536" s="7">
        <v>0.02</v>
      </c>
      <c r="I7536" s="9" t="s">
        <v>31</v>
      </c>
      <c r="J7536" s="10">
        <v>-1348.06</v>
      </c>
      <c r="K7536" s="11">
        <v>48.58</v>
      </c>
      <c r="L7536" s="11">
        <v>54.11</v>
      </c>
      <c r="M7536" s="9" t="s">
        <v>2020</v>
      </c>
      <c r="N7536" s="6" t="s">
        <v>2073</v>
      </c>
      <c r="O7536" s="6" t="s">
        <v>704</v>
      </c>
      <c r="P7536" s="9" t="s">
        <v>41</v>
      </c>
      <c r="Q7536" s="9" t="s">
        <v>49</v>
      </c>
      <c r="R7536" s="9" t="s">
        <v>80</v>
      </c>
      <c r="S7536" s="7" t="s">
        <v>241</v>
      </c>
      <c r="T7536" s="9" t="s">
        <v>82</v>
      </c>
      <c r="U7536" s="7">
        <v>0.69</v>
      </c>
      <c r="V7536" s="12">
        <f>C7536+2</f>
        <v>40442</v>
      </c>
      <c r="W7536">
        <f>IF(D7536=' Pivot Tables'!$A$4,1,0)</f>
        <v>0</v>
      </c>
      <c r="X7536">
        <f>IF(AND(LEFT(D7536,4)+1=LEFT(' Pivot Tables'!$A$4,4)+0,RIGHT(LEFT(D7536,7),2)=RIGHT(LEFT(' Pivot Tables'!$A$4,7),2)),1,0)</f>
        <v>0</v>
      </c>
      <c r="Y7536" s="6">
        <f>1/COUNTIF(Таблица1[Order ID],Таблица1[[#This Row],[Order ID]])</f>
        <v>0.5</v>
      </c>
      <c r="Z7536" s="9">
        <f>1/COUNTIFS(Таблица1[Customer Name],Таблица1[[#This Row],[Customer Name]],Таблица1[Order-Year-Month],Таблица1[[#This Row],[Order-Year-Month]])</f>
        <v>0.5</v>
      </c>
    </row>
    <row r="7537" spans="1:26" x14ac:dyDescent="0.2">
      <c r="A7537" s="6">
        <v>63</v>
      </c>
      <c r="B7537" s="7">
        <v>358</v>
      </c>
      <c r="C7537" s="8">
        <f>DATE(2012,12,31)-834</f>
        <v>40440</v>
      </c>
      <c r="D7537" s="8" t="str">
        <f t="shared" si="142"/>
        <v>2010-09 (сентябрь 2010)</v>
      </c>
      <c r="E7537" s="9" t="s">
        <v>30</v>
      </c>
      <c r="F7537" s="7">
        <v>33</v>
      </c>
      <c r="G7537" s="7">
        <v>1235.8699999999999</v>
      </c>
      <c r="H7537" s="7">
        <v>7.0000000000000007E-2</v>
      </c>
      <c r="I7537" s="9" t="s">
        <v>22</v>
      </c>
      <c r="J7537" s="10">
        <v>269.27</v>
      </c>
      <c r="K7537" s="11">
        <v>39.479999999999997</v>
      </c>
      <c r="L7537" s="11">
        <v>1.99</v>
      </c>
      <c r="M7537" s="9" t="s">
        <v>2020</v>
      </c>
      <c r="N7537" s="6" t="s">
        <v>2073</v>
      </c>
      <c r="O7537" s="6" t="s">
        <v>704</v>
      </c>
      <c r="P7537" s="9" t="s">
        <v>41</v>
      </c>
      <c r="Q7537" s="9" t="s">
        <v>42</v>
      </c>
      <c r="R7537" s="9" t="s">
        <v>70</v>
      </c>
      <c r="S7537" s="7" t="s">
        <v>161</v>
      </c>
      <c r="T7537" s="9" t="s">
        <v>52</v>
      </c>
      <c r="U7537" s="7">
        <v>0.54</v>
      </c>
      <c r="V7537" s="12">
        <f>C7537+0</f>
        <v>40440</v>
      </c>
      <c r="W7537">
        <f>IF(D7537=' Pivot Tables'!$A$4,1,0)</f>
        <v>0</v>
      </c>
      <c r="X7537">
        <f>IF(AND(LEFT(D7537,4)+1=LEFT(' Pivot Tables'!$A$4,4)+0,RIGHT(LEFT(D7537,7),2)=RIGHT(LEFT(' Pivot Tables'!$A$4,7),2)),1,0)</f>
        <v>0</v>
      </c>
      <c r="Y7537" s="6">
        <f>1/COUNTIF(Таблица1[Order ID],Таблица1[[#This Row],[Order ID]])</f>
        <v>0.5</v>
      </c>
      <c r="Z7537" s="9">
        <f>1/COUNTIFS(Таблица1[Customer Name],Таблица1[[#This Row],[Customer Name]],Таблица1[Order-Year-Month],Таблица1[[#This Row],[Order-Year-Month]])</f>
        <v>0.5</v>
      </c>
    </row>
    <row r="7538" spans="1:26" x14ac:dyDescent="0.2">
      <c r="A7538" s="6">
        <v>255</v>
      </c>
      <c r="B7538" s="7">
        <v>1767</v>
      </c>
      <c r="C7538" s="8">
        <f>DATE(2012,12,31)-659</f>
        <v>40615</v>
      </c>
      <c r="D7538" s="8" t="str">
        <f t="shared" si="142"/>
        <v>2011-03 (март 2011)</v>
      </c>
      <c r="E7538" s="9" t="s">
        <v>30</v>
      </c>
      <c r="F7538" s="7">
        <v>10</v>
      </c>
      <c r="G7538" s="7">
        <v>46.34</v>
      </c>
      <c r="H7538" s="7">
        <v>0.05</v>
      </c>
      <c r="I7538" s="9" t="s">
        <v>22</v>
      </c>
      <c r="J7538" s="10">
        <v>-7.76</v>
      </c>
      <c r="K7538" s="11">
        <v>4.71</v>
      </c>
      <c r="L7538" s="11">
        <v>0.7</v>
      </c>
      <c r="M7538" s="9" t="s">
        <v>2074</v>
      </c>
      <c r="N7538" s="6" t="s">
        <v>2073</v>
      </c>
      <c r="O7538" s="6" t="s">
        <v>704</v>
      </c>
      <c r="P7538" s="9" t="s">
        <v>41</v>
      </c>
      <c r="Q7538" s="9" t="s">
        <v>26</v>
      </c>
      <c r="R7538" s="9" t="s">
        <v>66</v>
      </c>
      <c r="S7538" s="7" t="s">
        <v>90</v>
      </c>
      <c r="T7538" s="9" t="s">
        <v>68</v>
      </c>
      <c r="U7538" s="7">
        <v>0.8</v>
      </c>
      <c r="V7538" s="12">
        <f>C7538+2</f>
        <v>40617</v>
      </c>
      <c r="W7538">
        <f>IF(D7538=' Pivot Tables'!$A$4,1,0)</f>
        <v>0</v>
      </c>
      <c r="X7538">
        <f>IF(AND(LEFT(D7538,4)+1=LEFT(' Pivot Tables'!$A$4,4)+0,RIGHT(LEFT(D7538,7),2)=RIGHT(LEFT(' Pivot Tables'!$A$4,7),2)),1,0)</f>
        <v>0</v>
      </c>
      <c r="Y7538" s="6">
        <f>1/COUNTIF(Таблица1[Order ID],Таблица1[[#This Row],[Order ID]])</f>
        <v>1</v>
      </c>
      <c r="Z7538" s="9">
        <f>1/COUNTIFS(Таблица1[Customer Name],Таблица1[[#This Row],[Customer Name]],Таблица1[Order-Year-Month],Таблица1[[#This Row],[Order-Year-Month]])</f>
        <v>1</v>
      </c>
    </row>
    <row r="7539" spans="1:26" x14ac:dyDescent="0.2">
      <c r="A7539" s="6">
        <v>271</v>
      </c>
      <c r="B7539" s="7">
        <v>1863</v>
      </c>
      <c r="C7539" s="8">
        <f>DATE(2012,12,31)-831</f>
        <v>40443</v>
      </c>
      <c r="D7539" s="8" t="str">
        <f t="shared" si="142"/>
        <v>2010-09 (сентябрь 2010)</v>
      </c>
      <c r="E7539" s="9" t="s">
        <v>45</v>
      </c>
      <c r="F7539" s="7">
        <v>26</v>
      </c>
      <c r="G7539" s="7">
        <v>2415.38</v>
      </c>
      <c r="H7539" s="7">
        <v>0.08</v>
      </c>
      <c r="I7539" s="9" t="s">
        <v>31</v>
      </c>
      <c r="J7539" s="10">
        <v>-1131.5999999999999</v>
      </c>
      <c r="K7539" s="11">
        <v>95.95</v>
      </c>
      <c r="L7539" s="11">
        <v>74.349999999999994</v>
      </c>
      <c r="M7539" s="9" t="s">
        <v>2075</v>
      </c>
      <c r="N7539" s="6" t="s">
        <v>2073</v>
      </c>
      <c r="O7539" s="6" t="s">
        <v>704</v>
      </c>
      <c r="P7539" s="9" t="s">
        <v>25</v>
      </c>
      <c r="Q7539" s="9" t="s">
        <v>49</v>
      </c>
      <c r="R7539" s="9" t="s">
        <v>112</v>
      </c>
      <c r="S7539" s="7" t="s">
        <v>113</v>
      </c>
      <c r="T7539" s="9" t="s">
        <v>36</v>
      </c>
      <c r="U7539" s="7">
        <v>0.56999999999999995</v>
      </c>
      <c r="V7539" s="12">
        <f>C7539+1</f>
        <v>40444</v>
      </c>
      <c r="W7539">
        <f>IF(D7539=' Pivot Tables'!$A$4,1,0)</f>
        <v>0</v>
      </c>
      <c r="X7539">
        <f>IF(AND(LEFT(D7539,4)+1=LEFT(' Pivot Tables'!$A$4,4)+0,RIGHT(LEFT(D7539,7),2)=RIGHT(LEFT(' Pivot Tables'!$A$4,7),2)),1,0)</f>
        <v>0</v>
      </c>
      <c r="Y7539" s="6">
        <f>1/COUNTIF(Таблица1[Order ID],Таблица1[[#This Row],[Order ID]])</f>
        <v>1</v>
      </c>
      <c r="Z7539" s="9">
        <f>1/COUNTIFS(Таблица1[Customer Name],Таблица1[[#This Row],[Customer Name]],Таблица1[Order-Year-Month],Таблица1[[#This Row],[Order-Year-Month]])</f>
        <v>1</v>
      </c>
    </row>
    <row r="7540" spans="1:26" x14ac:dyDescent="0.2">
      <c r="A7540" s="6">
        <v>437</v>
      </c>
      <c r="B7540" s="7">
        <v>2915</v>
      </c>
      <c r="C7540" s="8">
        <f>DATE(2012,12,31)-1372</f>
        <v>39902</v>
      </c>
      <c r="D7540" s="8" t="str">
        <f t="shared" si="142"/>
        <v>2009-03 (март 2009)</v>
      </c>
      <c r="E7540" s="9" t="s">
        <v>21</v>
      </c>
      <c r="F7540" s="7">
        <v>41</v>
      </c>
      <c r="G7540" s="7">
        <v>231.26</v>
      </c>
      <c r="H7540" s="7">
        <v>7.0000000000000007E-2</v>
      </c>
      <c r="I7540" s="9" t="s">
        <v>22</v>
      </c>
      <c r="J7540" s="10">
        <v>32.83</v>
      </c>
      <c r="K7540" s="11">
        <v>5.98</v>
      </c>
      <c r="L7540" s="11">
        <v>0.96</v>
      </c>
      <c r="M7540" s="9" t="s">
        <v>2076</v>
      </c>
      <c r="N7540" s="6" t="s">
        <v>2073</v>
      </c>
      <c r="O7540" s="6" t="s">
        <v>704</v>
      </c>
      <c r="P7540" s="9" t="s">
        <v>33</v>
      </c>
      <c r="Q7540" s="9" t="s">
        <v>26</v>
      </c>
      <c r="R7540" s="9" t="s">
        <v>95</v>
      </c>
      <c r="S7540" s="7" t="s">
        <v>749</v>
      </c>
      <c r="T7540" s="9" t="s">
        <v>68</v>
      </c>
      <c r="U7540" s="7">
        <v>0.6</v>
      </c>
      <c r="V7540" s="12">
        <f>C7540+4</f>
        <v>39906</v>
      </c>
      <c r="W7540">
        <f>IF(D7540=' Pivot Tables'!$A$4,1,0)</f>
        <v>0</v>
      </c>
      <c r="X7540">
        <f>IF(AND(LEFT(D7540,4)+1=LEFT(' Pivot Tables'!$A$4,4)+0,RIGHT(LEFT(D7540,7),2)=RIGHT(LEFT(' Pivot Tables'!$A$4,7),2)),1,0)</f>
        <v>0</v>
      </c>
      <c r="Y7540" s="6">
        <f>1/COUNTIF(Таблица1[Order ID],Таблица1[[#This Row],[Order ID]])</f>
        <v>0.5</v>
      </c>
      <c r="Z7540" s="9">
        <f>1/COUNTIFS(Таблица1[Customer Name],Таблица1[[#This Row],[Customer Name]],Таблица1[Order-Year-Month],Таблица1[[#This Row],[Order-Year-Month]])</f>
        <v>0.5</v>
      </c>
    </row>
    <row r="7541" spans="1:26" x14ac:dyDescent="0.2">
      <c r="A7541" s="6">
        <v>438</v>
      </c>
      <c r="B7541" s="7">
        <v>2915</v>
      </c>
      <c r="C7541" s="8">
        <f>DATE(2012,12,31)-1372</f>
        <v>39902</v>
      </c>
      <c r="D7541" s="8" t="str">
        <f t="shared" si="142"/>
        <v>2009-03 (март 2009)</v>
      </c>
      <c r="E7541" s="9" t="s">
        <v>21</v>
      </c>
      <c r="F7541" s="7">
        <v>23</v>
      </c>
      <c r="G7541" s="7">
        <v>987.17</v>
      </c>
      <c r="H7541" s="7">
        <v>0.01</v>
      </c>
      <c r="I7541" s="9" t="s">
        <v>22</v>
      </c>
      <c r="J7541" s="10">
        <v>51.590000000000053</v>
      </c>
      <c r="K7541" s="11">
        <v>39.979999999999997</v>
      </c>
      <c r="L7541" s="11">
        <v>4</v>
      </c>
      <c r="M7541" s="9" t="s">
        <v>2076</v>
      </c>
      <c r="N7541" s="6" t="s">
        <v>2073</v>
      </c>
      <c r="O7541" s="6" t="s">
        <v>704</v>
      </c>
      <c r="P7541" s="9" t="s">
        <v>33</v>
      </c>
      <c r="Q7541" s="9" t="s">
        <v>42</v>
      </c>
      <c r="R7541" s="9" t="s">
        <v>70</v>
      </c>
      <c r="S7541" s="7" t="s">
        <v>906</v>
      </c>
      <c r="T7541" s="9" t="s">
        <v>39</v>
      </c>
      <c r="U7541" s="7">
        <v>0.7</v>
      </c>
      <c r="V7541" s="12">
        <f>C7541+5</f>
        <v>39907</v>
      </c>
      <c r="W7541">
        <f>IF(D7541=' Pivot Tables'!$A$4,1,0)</f>
        <v>0</v>
      </c>
      <c r="X7541">
        <f>IF(AND(LEFT(D7541,4)+1=LEFT(' Pivot Tables'!$A$4,4)+0,RIGHT(LEFT(D7541,7),2)=RIGHT(LEFT(' Pivot Tables'!$A$4,7),2)),1,0)</f>
        <v>0</v>
      </c>
      <c r="Y7541" s="6">
        <f>1/COUNTIF(Таблица1[Order ID],Таблица1[[#This Row],[Order ID]])</f>
        <v>0.5</v>
      </c>
      <c r="Z7541" s="9">
        <f>1/COUNTIFS(Таблица1[Customer Name],Таблица1[[#This Row],[Customer Name]],Таблица1[Order-Year-Month],Таблица1[[#This Row],[Order-Year-Month]])</f>
        <v>0.5</v>
      </c>
    </row>
    <row r="7542" spans="1:26" x14ac:dyDescent="0.2">
      <c r="A7542" s="6">
        <v>449</v>
      </c>
      <c r="B7542" s="7">
        <v>3046</v>
      </c>
      <c r="C7542" s="8">
        <f>DATE(2012,12,31)-398</f>
        <v>40876</v>
      </c>
      <c r="D7542" s="8" t="str">
        <f t="shared" si="142"/>
        <v>2011-11 (ноябрь 2011)</v>
      </c>
      <c r="E7542" s="9" t="s">
        <v>30</v>
      </c>
      <c r="F7542" s="7">
        <v>24</v>
      </c>
      <c r="G7542" s="7">
        <v>10094.43</v>
      </c>
      <c r="H7542" s="7">
        <v>0.03</v>
      </c>
      <c r="I7542" s="9" t="s">
        <v>22</v>
      </c>
      <c r="J7542" s="10">
        <v>4451.0079999999998</v>
      </c>
      <c r="K7542" s="11">
        <v>420.98</v>
      </c>
      <c r="L7542" s="11">
        <v>19.989999999999998</v>
      </c>
      <c r="M7542" s="9" t="s">
        <v>2075</v>
      </c>
      <c r="N7542" s="6" t="s">
        <v>2073</v>
      </c>
      <c r="O7542" s="6" t="s">
        <v>704</v>
      </c>
      <c r="P7542" s="9" t="s">
        <v>25</v>
      </c>
      <c r="Q7542" s="9" t="s">
        <v>26</v>
      </c>
      <c r="R7542" s="9" t="s">
        <v>37</v>
      </c>
      <c r="S7542" s="7" t="s">
        <v>607</v>
      </c>
      <c r="T7542" s="9" t="s">
        <v>39</v>
      </c>
      <c r="U7542" s="7">
        <v>0.35</v>
      </c>
      <c r="V7542" s="12">
        <f>C7542+2</f>
        <v>40878</v>
      </c>
      <c r="W7542">
        <f>IF(D7542=' Pivot Tables'!$A$4,1,0)</f>
        <v>0</v>
      </c>
      <c r="X7542">
        <f>IF(AND(LEFT(D7542,4)+1=LEFT(' Pivot Tables'!$A$4,4)+0,RIGHT(LEFT(D7542,7),2)=RIGHT(LEFT(' Pivot Tables'!$A$4,7),2)),1,0)</f>
        <v>0</v>
      </c>
      <c r="Y7542" s="6">
        <f>1/COUNTIF(Таблица1[Order ID],Таблица1[[#This Row],[Order ID]])</f>
        <v>1</v>
      </c>
      <c r="Z7542" s="9">
        <f>1/COUNTIFS(Таблица1[Customer Name],Таблица1[[#This Row],[Customer Name]],Таблица1[Order-Year-Month],Таблица1[[#This Row],[Order-Year-Month]])</f>
        <v>1</v>
      </c>
    </row>
    <row r="7543" spans="1:26" x14ac:dyDescent="0.2">
      <c r="A7543" s="6">
        <v>628</v>
      </c>
      <c r="B7543" s="7">
        <v>4389</v>
      </c>
      <c r="C7543" s="8">
        <f>DATE(2012,12,31)-1337</f>
        <v>39937</v>
      </c>
      <c r="D7543" s="8" t="str">
        <f t="shared" si="142"/>
        <v>2009-05 (май 2009)</v>
      </c>
      <c r="E7543" s="9" t="s">
        <v>63</v>
      </c>
      <c r="F7543" s="7">
        <v>35</v>
      </c>
      <c r="G7543" s="7">
        <v>179.45</v>
      </c>
      <c r="H7543" s="7">
        <v>7.0000000000000007E-2</v>
      </c>
      <c r="I7543" s="9" t="s">
        <v>22</v>
      </c>
      <c r="J7543" s="10">
        <v>-116.3455</v>
      </c>
      <c r="K7543" s="11">
        <v>5.34</v>
      </c>
      <c r="L7543" s="11">
        <v>5.63</v>
      </c>
      <c r="M7543" s="9" t="s">
        <v>2042</v>
      </c>
      <c r="N7543" s="6" t="s">
        <v>2073</v>
      </c>
      <c r="O7543" s="6" t="s">
        <v>704</v>
      </c>
      <c r="P7543" s="9" t="s">
        <v>41</v>
      </c>
      <c r="Q7543" s="9" t="s">
        <v>26</v>
      </c>
      <c r="R7543" s="9" t="s">
        <v>37</v>
      </c>
      <c r="S7543" s="7" t="s">
        <v>1339</v>
      </c>
      <c r="T7543" s="9" t="s">
        <v>39</v>
      </c>
      <c r="U7543" s="7">
        <v>0.39</v>
      </c>
      <c r="V7543" s="12">
        <f>C7543+2</f>
        <v>39939</v>
      </c>
      <c r="W7543">
        <f>IF(D7543=' Pivot Tables'!$A$4,1,0)</f>
        <v>0</v>
      </c>
      <c r="X7543">
        <f>IF(AND(LEFT(D7543,4)+1=LEFT(' Pivot Tables'!$A$4,4)+0,RIGHT(LEFT(D7543,7),2)=RIGHT(LEFT(' Pivot Tables'!$A$4,7),2)),1,0)</f>
        <v>0</v>
      </c>
      <c r="Y7543" s="6">
        <f>1/COUNTIF(Таблица1[Order ID],Таблица1[[#This Row],[Order ID]])</f>
        <v>0.33333333333333331</v>
      </c>
      <c r="Z7543" s="9">
        <f>1/COUNTIFS(Таблица1[Customer Name],Таблица1[[#This Row],[Customer Name]],Таблица1[Order-Year-Month],Таблица1[[#This Row],[Order-Year-Month]])</f>
        <v>0.2</v>
      </c>
    </row>
    <row r="7544" spans="1:26" x14ac:dyDescent="0.2">
      <c r="A7544" s="6">
        <v>629</v>
      </c>
      <c r="B7544" s="7">
        <v>4389</v>
      </c>
      <c r="C7544" s="8">
        <f>DATE(2012,12,31)-1337</f>
        <v>39937</v>
      </c>
      <c r="D7544" s="8" t="str">
        <f t="shared" si="142"/>
        <v>2009-05 (май 2009)</v>
      </c>
      <c r="E7544" s="9" t="s">
        <v>63</v>
      </c>
      <c r="F7544" s="7">
        <v>49</v>
      </c>
      <c r="G7544" s="7">
        <v>7987.43</v>
      </c>
      <c r="H7544" s="7">
        <v>0.03</v>
      </c>
      <c r="I7544" s="9" t="s">
        <v>31</v>
      </c>
      <c r="J7544" s="10">
        <v>1304.9000000000001</v>
      </c>
      <c r="K7544" s="11">
        <v>160.97999999999999</v>
      </c>
      <c r="L7544" s="11">
        <v>30</v>
      </c>
      <c r="M7544" s="9" t="s">
        <v>2042</v>
      </c>
      <c r="N7544" s="6" t="s">
        <v>2073</v>
      </c>
      <c r="O7544" s="6" t="s">
        <v>704</v>
      </c>
      <c r="P7544" s="9" t="s">
        <v>41</v>
      </c>
      <c r="Q7544" s="9" t="s">
        <v>49</v>
      </c>
      <c r="R7544" s="9" t="s">
        <v>112</v>
      </c>
      <c r="S7544" s="7" t="s">
        <v>746</v>
      </c>
      <c r="T7544" s="9" t="s">
        <v>36</v>
      </c>
      <c r="U7544" s="7">
        <v>0.62</v>
      </c>
      <c r="V7544" s="12">
        <f>C7544+1</f>
        <v>39938</v>
      </c>
      <c r="W7544">
        <f>IF(D7544=' Pivot Tables'!$A$4,1,0)</f>
        <v>0</v>
      </c>
      <c r="X7544">
        <f>IF(AND(LEFT(D7544,4)+1=LEFT(' Pivot Tables'!$A$4,4)+0,RIGHT(LEFT(D7544,7),2)=RIGHT(LEFT(' Pivot Tables'!$A$4,7),2)),1,0)</f>
        <v>0</v>
      </c>
      <c r="Y7544" s="6">
        <f>1/COUNTIF(Таблица1[Order ID],Таблица1[[#This Row],[Order ID]])</f>
        <v>0.33333333333333331</v>
      </c>
      <c r="Z7544" s="9">
        <f>1/COUNTIFS(Таблица1[Customer Name],Таблица1[[#This Row],[Customer Name]],Таблица1[Order-Year-Month],Таблица1[[#This Row],[Order-Year-Month]])</f>
        <v>0.2</v>
      </c>
    </row>
    <row r="7545" spans="1:26" x14ac:dyDescent="0.2">
      <c r="A7545" s="6">
        <v>630</v>
      </c>
      <c r="B7545" s="7">
        <v>4389</v>
      </c>
      <c r="C7545" s="8">
        <f>DATE(2012,12,31)-1337</f>
        <v>39937</v>
      </c>
      <c r="D7545" s="8" t="str">
        <f t="shared" si="142"/>
        <v>2009-05 (май 2009)</v>
      </c>
      <c r="E7545" s="9" t="s">
        <v>63</v>
      </c>
      <c r="F7545" s="7">
        <v>42</v>
      </c>
      <c r="G7545" s="7">
        <v>2455.2759999999998</v>
      </c>
      <c r="H7545" s="7">
        <v>0.04</v>
      </c>
      <c r="I7545" s="9" t="s">
        <v>56</v>
      </c>
      <c r="J7545" s="10">
        <v>693.0630000000001</v>
      </c>
      <c r="K7545" s="11">
        <v>65.989999999999995</v>
      </c>
      <c r="L7545" s="11">
        <v>5.63</v>
      </c>
      <c r="M7545" s="9" t="s">
        <v>2042</v>
      </c>
      <c r="N7545" s="6" t="s">
        <v>2073</v>
      </c>
      <c r="O7545" s="6" t="s">
        <v>704</v>
      </c>
      <c r="P7545" s="9" t="s">
        <v>41</v>
      </c>
      <c r="Q7545" s="9" t="s">
        <v>42</v>
      </c>
      <c r="R7545" s="9" t="s">
        <v>43</v>
      </c>
      <c r="S7545" s="7" t="s">
        <v>1419</v>
      </c>
      <c r="T7545" s="9" t="s">
        <v>39</v>
      </c>
      <c r="U7545" s="7">
        <v>0.56000000000000005</v>
      </c>
      <c r="V7545" s="12">
        <f>C7545+0</f>
        <v>39937</v>
      </c>
      <c r="W7545">
        <f>IF(D7545=' Pivot Tables'!$A$4,1,0)</f>
        <v>0</v>
      </c>
      <c r="X7545">
        <f>IF(AND(LEFT(D7545,4)+1=LEFT(' Pivot Tables'!$A$4,4)+0,RIGHT(LEFT(D7545,7),2)=RIGHT(LEFT(' Pivot Tables'!$A$4,7),2)),1,0)</f>
        <v>0</v>
      </c>
      <c r="Y7545" s="6">
        <f>1/COUNTIF(Таблица1[Order ID],Таблица1[[#This Row],[Order ID]])</f>
        <v>0.33333333333333331</v>
      </c>
      <c r="Z7545" s="9">
        <f>1/COUNTIFS(Таблица1[Customer Name],Таблица1[[#This Row],[Customer Name]],Таблица1[Order-Year-Month],Таблица1[[#This Row],[Order-Year-Month]])</f>
        <v>0.2</v>
      </c>
    </row>
    <row r="7546" spans="1:26" x14ac:dyDescent="0.2">
      <c r="A7546" s="6">
        <v>862</v>
      </c>
      <c r="B7546" s="7">
        <v>6180</v>
      </c>
      <c r="C7546" s="8">
        <f>DATE(2012,12,31)-630</f>
        <v>40644</v>
      </c>
      <c r="D7546" s="8" t="str">
        <f t="shared" si="142"/>
        <v>2011-04 (апрель 2011)</v>
      </c>
      <c r="E7546" s="9" t="s">
        <v>63</v>
      </c>
      <c r="F7546" s="7">
        <v>44</v>
      </c>
      <c r="G7546" s="7">
        <v>2443.3420000000001</v>
      </c>
      <c r="H7546" s="7">
        <v>0.01</v>
      </c>
      <c r="I7546" s="9" t="s">
        <v>22</v>
      </c>
      <c r="J7546" s="10">
        <v>590.31899999999996</v>
      </c>
      <c r="K7546" s="11">
        <v>65.989999999999995</v>
      </c>
      <c r="L7546" s="11">
        <v>3.99</v>
      </c>
      <c r="M7546" s="9" t="s">
        <v>1927</v>
      </c>
      <c r="N7546" s="6" t="s">
        <v>2073</v>
      </c>
      <c r="O7546" s="6" t="s">
        <v>704</v>
      </c>
      <c r="P7546" s="9" t="s">
        <v>60</v>
      </c>
      <c r="Q7546" s="9" t="s">
        <v>42</v>
      </c>
      <c r="R7546" s="9" t="s">
        <v>43</v>
      </c>
      <c r="S7546" s="7" t="s">
        <v>582</v>
      </c>
      <c r="T7546" s="9" t="s">
        <v>39</v>
      </c>
      <c r="U7546" s="7">
        <v>0.59</v>
      </c>
      <c r="V7546" s="12">
        <f>C7546+2</f>
        <v>40646</v>
      </c>
      <c r="W7546">
        <f>IF(D7546=' Pivot Tables'!$A$4,1,0)</f>
        <v>0</v>
      </c>
      <c r="X7546">
        <f>IF(AND(LEFT(D7546,4)+1=LEFT(' Pivot Tables'!$A$4,4)+0,RIGHT(LEFT(D7546,7),2)=RIGHT(LEFT(' Pivot Tables'!$A$4,7),2)),1,0)</f>
        <v>0</v>
      </c>
      <c r="Y7546" s="6">
        <f>1/COUNTIF(Таблица1[Order ID],Таблица1[[#This Row],[Order ID]])</f>
        <v>1</v>
      </c>
      <c r="Z7546" s="9">
        <f>1/COUNTIFS(Таблица1[Customer Name],Таблица1[[#This Row],[Customer Name]],Таблица1[Order-Year-Month],Таблица1[[#This Row],[Order-Year-Month]])</f>
        <v>1</v>
      </c>
    </row>
    <row r="7547" spans="1:26" x14ac:dyDescent="0.2">
      <c r="A7547" s="6">
        <v>975</v>
      </c>
      <c r="B7547" s="7">
        <v>7078</v>
      </c>
      <c r="C7547" s="8">
        <f>DATE(2012,12,31)-995</f>
        <v>40279</v>
      </c>
      <c r="D7547" s="8" t="str">
        <f t="shared" si="142"/>
        <v>2010-04 (апрель 2010)</v>
      </c>
      <c r="E7547" s="9" t="s">
        <v>30</v>
      </c>
      <c r="F7547" s="7">
        <v>9</v>
      </c>
      <c r="G7547" s="7">
        <v>112.12</v>
      </c>
      <c r="H7547" s="7">
        <v>0.01</v>
      </c>
      <c r="I7547" s="9" t="s">
        <v>22</v>
      </c>
      <c r="J7547" s="10">
        <v>-8.4499999999999993</v>
      </c>
      <c r="K7547" s="11">
        <v>11.33</v>
      </c>
      <c r="L7547" s="11">
        <v>6.12</v>
      </c>
      <c r="M7547" s="9" t="s">
        <v>2020</v>
      </c>
      <c r="N7547" s="6" t="s">
        <v>2073</v>
      </c>
      <c r="O7547" s="6" t="s">
        <v>704</v>
      </c>
      <c r="P7547" s="9" t="s">
        <v>41</v>
      </c>
      <c r="Q7547" s="9" t="s">
        <v>26</v>
      </c>
      <c r="R7547" s="9" t="s">
        <v>34</v>
      </c>
      <c r="S7547" s="7" t="s">
        <v>1155</v>
      </c>
      <c r="T7547" s="9" t="s">
        <v>48</v>
      </c>
      <c r="U7547" s="7">
        <v>0.42</v>
      </c>
      <c r="V7547" s="12">
        <f>C7547+2</f>
        <v>40281</v>
      </c>
      <c r="W7547">
        <f>IF(D7547=' Pivot Tables'!$A$4,1,0)</f>
        <v>0</v>
      </c>
      <c r="X7547">
        <f>IF(AND(LEFT(D7547,4)+1=LEFT(' Pivot Tables'!$A$4,4)+0,RIGHT(LEFT(D7547,7),2)=RIGHT(LEFT(' Pivot Tables'!$A$4,7),2)),1,0)</f>
        <v>0</v>
      </c>
      <c r="Y7547" s="6">
        <f>1/COUNTIF(Таблица1[Order ID],Таблица1[[#This Row],[Order ID]])</f>
        <v>0.25</v>
      </c>
      <c r="Z7547" s="9">
        <f>1/COUNTIFS(Таблица1[Customer Name],Таблица1[[#This Row],[Customer Name]],Таблица1[Order-Year-Month],Таблица1[[#This Row],[Order-Year-Month]])</f>
        <v>0.25</v>
      </c>
    </row>
    <row r="7548" spans="1:26" x14ac:dyDescent="0.2">
      <c r="A7548" s="6">
        <v>976</v>
      </c>
      <c r="B7548" s="7">
        <v>7078</v>
      </c>
      <c r="C7548" s="8">
        <f>DATE(2012,12,31)-995</f>
        <v>40279</v>
      </c>
      <c r="D7548" s="8" t="str">
        <f t="shared" si="142"/>
        <v>2010-04 (апрель 2010)</v>
      </c>
      <c r="E7548" s="9" t="s">
        <v>30</v>
      </c>
      <c r="F7548" s="7">
        <v>11</v>
      </c>
      <c r="G7548" s="7">
        <v>49.58</v>
      </c>
      <c r="H7548" s="7">
        <v>0.1</v>
      </c>
      <c r="I7548" s="9" t="s">
        <v>56</v>
      </c>
      <c r="J7548" s="10">
        <v>-47.023499999999999</v>
      </c>
      <c r="K7548" s="11">
        <v>3.36</v>
      </c>
      <c r="L7548" s="11">
        <v>6.27</v>
      </c>
      <c r="M7548" s="9" t="s">
        <v>2020</v>
      </c>
      <c r="N7548" s="6" t="s">
        <v>2073</v>
      </c>
      <c r="O7548" s="6" t="s">
        <v>704</v>
      </c>
      <c r="P7548" s="9" t="s">
        <v>41</v>
      </c>
      <c r="Q7548" s="9" t="s">
        <v>26</v>
      </c>
      <c r="R7548" s="9" t="s">
        <v>37</v>
      </c>
      <c r="S7548" s="7" t="s">
        <v>410</v>
      </c>
      <c r="T7548" s="9" t="s">
        <v>39</v>
      </c>
      <c r="U7548" s="7">
        <v>0.4</v>
      </c>
      <c r="V7548" s="12">
        <f>C7548+1</f>
        <v>40280</v>
      </c>
      <c r="W7548">
        <f>IF(D7548=' Pivot Tables'!$A$4,1,0)</f>
        <v>0</v>
      </c>
      <c r="X7548">
        <f>IF(AND(LEFT(D7548,4)+1=LEFT(' Pivot Tables'!$A$4,4)+0,RIGHT(LEFT(D7548,7),2)=RIGHT(LEFT(' Pivot Tables'!$A$4,7),2)),1,0)</f>
        <v>0</v>
      </c>
      <c r="Y7548" s="6">
        <f>1/COUNTIF(Таблица1[Order ID],Таблица1[[#This Row],[Order ID]])</f>
        <v>0.25</v>
      </c>
      <c r="Z7548" s="9">
        <f>1/COUNTIFS(Таблица1[Customer Name],Таблица1[[#This Row],[Customer Name]],Таблица1[Order-Year-Month],Таблица1[[#This Row],[Order-Year-Month]])</f>
        <v>0.25</v>
      </c>
    </row>
    <row r="7549" spans="1:26" x14ac:dyDescent="0.2">
      <c r="A7549" s="6">
        <v>977</v>
      </c>
      <c r="B7549" s="7">
        <v>7078</v>
      </c>
      <c r="C7549" s="8">
        <f>DATE(2012,12,31)-995</f>
        <v>40279</v>
      </c>
      <c r="D7549" s="8" t="str">
        <f t="shared" si="142"/>
        <v>2010-04 (апрель 2010)</v>
      </c>
      <c r="E7549" s="9" t="s">
        <v>30</v>
      </c>
      <c r="F7549" s="7">
        <v>16</v>
      </c>
      <c r="G7549" s="7">
        <v>1939.65</v>
      </c>
      <c r="H7549" s="7">
        <v>0.05</v>
      </c>
      <c r="I7549" s="9" t="s">
        <v>31</v>
      </c>
      <c r="J7549" s="10">
        <v>-885.73</v>
      </c>
      <c r="K7549" s="11">
        <v>122.99</v>
      </c>
      <c r="L7549" s="11">
        <v>70.2</v>
      </c>
      <c r="M7549" s="9" t="s">
        <v>2020</v>
      </c>
      <c r="N7549" s="6" t="s">
        <v>2073</v>
      </c>
      <c r="O7549" s="6" t="s">
        <v>704</v>
      </c>
      <c r="P7549" s="9" t="s">
        <v>41</v>
      </c>
      <c r="Q7549" s="9" t="s">
        <v>49</v>
      </c>
      <c r="R7549" s="9" t="s">
        <v>112</v>
      </c>
      <c r="S7549" s="7" t="s">
        <v>426</v>
      </c>
      <c r="T7549" s="9" t="s">
        <v>36</v>
      </c>
      <c r="U7549" s="7">
        <v>0.74</v>
      </c>
      <c r="V7549" s="12">
        <f>C7549+2</f>
        <v>40281</v>
      </c>
      <c r="W7549">
        <f>IF(D7549=' Pivot Tables'!$A$4,1,0)</f>
        <v>0</v>
      </c>
      <c r="X7549">
        <f>IF(AND(LEFT(D7549,4)+1=LEFT(' Pivot Tables'!$A$4,4)+0,RIGHT(LEFT(D7549,7),2)=RIGHT(LEFT(' Pivot Tables'!$A$4,7),2)),1,0)</f>
        <v>0</v>
      </c>
      <c r="Y7549" s="6">
        <f>1/COUNTIF(Таблица1[Order ID],Таблица1[[#This Row],[Order ID]])</f>
        <v>0.25</v>
      </c>
      <c r="Z7549" s="9">
        <f>1/COUNTIFS(Таблица1[Customer Name],Таблица1[[#This Row],[Customer Name]],Таблица1[Order-Year-Month],Таблица1[[#This Row],[Order-Year-Month]])</f>
        <v>0.25</v>
      </c>
    </row>
    <row r="7550" spans="1:26" x14ac:dyDescent="0.2">
      <c r="A7550" s="6">
        <v>978</v>
      </c>
      <c r="B7550" s="7">
        <v>7078</v>
      </c>
      <c r="C7550" s="8">
        <f>DATE(2012,12,31)-995</f>
        <v>40279</v>
      </c>
      <c r="D7550" s="8" t="str">
        <f t="shared" si="142"/>
        <v>2010-04 (апрель 2010)</v>
      </c>
      <c r="E7550" s="9" t="s">
        <v>30</v>
      </c>
      <c r="F7550" s="7">
        <v>29</v>
      </c>
      <c r="G7550" s="7">
        <v>465.52</v>
      </c>
      <c r="H7550" s="7">
        <v>0.02</v>
      </c>
      <c r="I7550" s="9" t="s">
        <v>56</v>
      </c>
      <c r="J7550" s="10">
        <v>65.349999999999994</v>
      </c>
      <c r="K7550" s="11">
        <v>14.98</v>
      </c>
      <c r="L7550" s="11">
        <v>8.99</v>
      </c>
      <c r="M7550" s="9" t="s">
        <v>2020</v>
      </c>
      <c r="N7550" s="6" t="s">
        <v>2073</v>
      </c>
      <c r="O7550" s="6" t="s">
        <v>704</v>
      </c>
      <c r="P7550" s="9" t="s">
        <v>41</v>
      </c>
      <c r="Q7550" s="9" t="s">
        <v>49</v>
      </c>
      <c r="R7550" s="9" t="s">
        <v>50</v>
      </c>
      <c r="S7550" s="7" t="s">
        <v>332</v>
      </c>
      <c r="T7550" s="9" t="s">
        <v>52</v>
      </c>
      <c r="U7550" s="7">
        <v>0.39</v>
      </c>
      <c r="V7550" s="12">
        <f>C7550+1</f>
        <v>40280</v>
      </c>
      <c r="W7550">
        <f>IF(D7550=' Pivot Tables'!$A$4,1,0)</f>
        <v>0</v>
      </c>
      <c r="X7550">
        <f>IF(AND(LEFT(D7550,4)+1=LEFT(' Pivot Tables'!$A$4,4)+0,RIGHT(LEFT(D7550,7),2)=RIGHT(LEFT(' Pivot Tables'!$A$4,7),2)),1,0)</f>
        <v>0</v>
      </c>
      <c r="Y7550" s="6">
        <f>1/COUNTIF(Таблица1[Order ID],Таблица1[[#This Row],[Order ID]])</f>
        <v>0.25</v>
      </c>
      <c r="Z7550" s="9">
        <f>1/COUNTIFS(Таблица1[Customer Name],Таблица1[[#This Row],[Customer Name]],Таблица1[Order-Year-Month],Таблица1[[#This Row],[Order-Year-Month]])</f>
        <v>0.25</v>
      </c>
    </row>
    <row r="7551" spans="1:26" x14ac:dyDescent="0.2">
      <c r="A7551" s="6">
        <v>1045</v>
      </c>
      <c r="B7551" s="7">
        <v>7654</v>
      </c>
      <c r="C7551" s="8">
        <f>DATE(2012,12,31)-1055</f>
        <v>40219</v>
      </c>
      <c r="D7551" s="8" t="str">
        <f t="shared" si="142"/>
        <v>2010-02 (февраль 2010)</v>
      </c>
      <c r="E7551" s="9" t="s">
        <v>30</v>
      </c>
      <c r="F7551" s="7">
        <v>3</v>
      </c>
      <c r="G7551" s="7">
        <v>19.47</v>
      </c>
      <c r="H7551" s="7">
        <v>0.06</v>
      </c>
      <c r="I7551" s="9" t="s">
        <v>22</v>
      </c>
      <c r="J7551" s="10">
        <v>-14.29</v>
      </c>
      <c r="K7551" s="11">
        <v>4.13</v>
      </c>
      <c r="L7551" s="11">
        <v>6.89</v>
      </c>
      <c r="M7551" s="9" t="s">
        <v>2077</v>
      </c>
      <c r="N7551" s="6" t="s">
        <v>2073</v>
      </c>
      <c r="O7551" s="6" t="s">
        <v>704</v>
      </c>
      <c r="P7551" s="9" t="s">
        <v>25</v>
      </c>
      <c r="Q7551" s="9" t="s">
        <v>26</v>
      </c>
      <c r="R7551" s="9" t="s">
        <v>88</v>
      </c>
      <c r="S7551" s="7" t="s">
        <v>1219</v>
      </c>
      <c r="T7551" s="9" t="s">
        <v>39</v>
      </c>
      <c r="U7551" s="7">
        <v>0.39</v>
      </c>
      <c r="V7551" s="12">
        <f>C7551+2</f>
        <v>40221</v>
      </c>
      <c r="W7551">
        <f>IF(D7551=' Pivot Tables'!$A$4,1,0)</f>
        <v>0</v>
      </c>
      <c r="X7551">
        <f>IF(AND(LEFT(D7551,4)+1=LEFT(' Pivot Tables'!$A$4,4)+0,RIGHT(LEFT(D7551,7),2)=RIGHT(LEFT(' Pivot Tables'!$A$4,7),2)),1,0)</f>
        <v>0</v>
      </c>
      <c r="Y7551" s="6">
        <f>1/COUNTIF(Таблица1[Order ID],Таблица1[[#This Row],[Order ID]])</f>
        <v>1</v>
      </c>
      <c r="Z7551" s="9">
        <f>1/COUNTIFS(Таблица1[Customer Name],Таблица1[[#This Row],[Customer Name]],Таблица1[Order-Year-Month],Таблица1[[#This Row],[Order-Year-Month]])</f>
        <v>0.5</v>
      </c>
    </row>
    <row r="7552" spans="1:26" x14ac:dyDescent="0.2">
      <c r="A7552" s="6">
        <v>1050</v>
      </c>
      <c r="B7552" s="7">
        <v>7746</v>
      </c>
      <c r="C7552" s="8">
        <f>DATE(2012,12,31)-757</f>
        <v>40517</v>
      </c>
      <c r="D7552" s="8" t="str">
        <f t="shared" si="142"/>
        <v>2010-12 (декабрь 2010)</v>
      </c>
      <c r="E7552" s="9" t="s">
        <v>63</v>
      </c>
      <c r="F7552" s="7">
        <v>1</v>
      </c>
      <c r="G7552" s="7">
        <v>28.96</v>
      </c>
      <c r="H7552" s="7">
        <v>0.06</v>
      </c>
      <c r="I7552" s="9" t="s">
        <v>22</v>
      </c>
      <c r="J7552" s="10">
        <v>-27.07</v>
      </c>
      <c r="K7552" s="11">
        <v>19.98</v>
      </c>
      <c r="L7552" s="11">
        <v>8.68</v>
      </c>
      <c r="M7552" s="9" t="s">
        <v>2078</v>
      </c>
      <c r="N7552" s="6" t="s">
        <v>2073</v>
      </c>
      <c r="O7552" s="6" t="s">
        <v>704</v>
      </c>
      <c r="P7552" s="9" t="s">
        <v>33</v>
      </c>
      <c r="Q7552" s="9" t="s">
        <v>26</v>
      </c>
      <c r="R7552" s="9" t="s">
        <v>61</v>
      </c>
      <c r="S7552" s="7" t="s">
        <v>617</v>
      </c>
      <c r="T7552" s="9" t="s">
        <v>39</v>
      </c>
      <c r="U7552" s="7">
        <v>0.37</v>
      </c>
      <c r="V7552" s="12">
        <f>C7552+2</f>
        <v>40519</v>
      </c>
      <c r="W7552">
        <f>IF(D7552=' Pivot Tables'!$A$4,1,0)</f>
        <v>0</v>
      </c>
      <c r="X7552">
        <f>IF(AND(LEFT(D7552,4)+1=LEFT(' Pivot Tables'!$A$4,4)+0,RIGHT(LEFT(D7552,7),2)=RIGHT(LEFT(' Pivot Tables'!$A$4,7),2)),1,0)</f>
        <v>0</v>
      </c>
      <c r="Y7552" s="6">
        <f>1/COUNTIF(Таблица1[Order ID],Таблица1[[#This Row],[Order ID]])</f>
        <v>1</v>
      </c>
      <c r="Z7552" s="9">
        <f>1/COUNTIFS(Таблица1[Customer Name],Таблица1[[#This Row],[Customer Name]],Таблица1[Order-Year-Month],Таблица1[[#This Row],[Order-Year-Month]])</f>
        <v>1</v>
      </c>
    </row>
    <row r="7553" spans="1:26" x14ac:dyDescent="0.2">
      <c r="A7553" s="6">
        <v>1149</v>
      </c>
      <c r="B7553" s="7">
        <v>8387</v>
      </c>
      <c r="C7553" s="8">
        <f>DATE(2012,12,31)-1017</f>
        <v>40257</v>
      </c>
      <c r="D7553" s="8" t="str">
        <f t="shared" si="142"/>
        <v>2010-03 (март 2010)</v>
      </c>
      <c r="E7553" s="9" t="s">
        <v>45</v>
      </c>
      <c r="F7553" s="7">
        <v>35</v>
      </c>
      <c r="G7553" s="7">
        <v>1133.96</v>
      </c>
      <c r="H7553" s="7">
        <v>0.02</v>
      </c>
      <c r="I7553" s="9" t="s">
        <v>22</v>
      </c>
      <c r="J7553" s="10">
        <v>185.08750000000001</v>
      </c>
      <c r="K7553" s="11">
        <v>31.74</v>
      </c>
      <c r="L7553" s="11">
        <v>12.62</v>
      </c>
      <c r="M7553" s="9" t="s">
        <v>2079</v>
      </c>
      <c r="N7553" s="6" t="s">
        <v>2073</v>
      </c>
      <c r="O7553" s="6" t="s">
        <v>704</v>
      </c>
      <c r="P7553" s="9" t="s">
        <v>41</v>
      </c>
      <c r="Q7553" s="9" t="s">
        <v>26</v>
      </c>
      <c r="R7553" s="9" t="s">
        <v>37</v>
      </c>
      <c r="S7553" s="7" t="s">
        <v>1223</v>
      </c>
      <c r="T7553" s="9" t="s">
        <v>39</v>
      </c>
      <c r="U7553" s="7">
        <v>0.37</v>
      </c>
      <c r="V7553" s="12">
        <f>C7553+1</f>
        <v>40258</v>
      </c>
      <c r="W7553">
        <f>IF(D7553=' Pivot Tables'!$A$4,1,0)</f>
        <v>0</v>
      </c>
      <c r="X7553">
        <f>IF(AND(LEFT(D7553,4)+1=LEFT(' Pivot Tables'!$A$4,4)+0,RIGHT(LEFT(D7553,7),2)=RIGHT(LEFT(' Pivot Tables'!$A$4,7),2)),1,0)</f>
        <v>0</v>
      </c>
      <c r="Y7553" s="6">
        <f>1/COUNTIF(Таблица1[Order ID],Таблица1[[#This Row],[Order ID]])</f>
        <v>1</v>
      </c>
      <c r="Z7553" s="9">
        <f>1/COUNTIFS(Таблица1[Customer Name],Таблица1[[#This Row],[Customer Name]],Таблица1[Order-Year-Month],Таблица1[[#This Row],[Order-Year-Month]])</f>
        <v>1</v>
      </c>
    </row>
    <row r="7554" spans="1:26" x14ac:dyDescent="0.2">
      <c r="A7554" s="6">
        <v>1195</v>
      </c>
      <c r="B7554" s="7">
        <v>8768</v>
      </c>
      <c r="C7554" s="8">
        <f>DATE(2012,12,31)-501</f>
        <v>40773</v>
      </c>
      <c r="D7554" s="8" t="str">
        <f t="shared" si="142"/>
        <v>2011-08 (август 2011)</v>
      </c>
      <c r="E7554" s="9" t="s">
        <v>30</v>
      </c>
      <c r="F7554" s="7">
        <v>44</v>
      </c>
      <c r="G7554" s="7">
        <v>2422.4404999999997</v>
      </c>
      <c r="H7554" s="7">
        <v>0.03</v>
      </c>
      <c r="I7554" s="9" t="s">
        <v>22</v>
      </c>
      <c r="J7554" s="10">
        <v>568.17899999999997</v>
      </c>
      <c r="K7554" s="11">
        <v>65.989999999999995</v>
      </c>
      <c r="L7554" s="11">
        <v>5.31</v>
      </c>
      <c r="M7554" s="9" t="s">
        <v>2077</v>
      </c>
      <c r="N7554" s="6" t="s">
        <v>2073</v>
      </c>
      <c r="O7554" s="6" t="s">
        <v>704</v>
      </c>
      <c r="P7554" s="9" t="s">
        <v>25</v>
      </c>
      <c r="Q7554" s="9" t="s">
        <v>42</v>
      </c>
      <c r="R7554" s="9" t="s">
        <v>43</v>
      </c>
      <c r="S7554" s="7" t="s">
        <v>430</v>
      </c>
      <c r="T7554" s="9" t="s">
        <v>39</v>
      </c>
      <c r="U7554" s="7">
        <v>0.56999999999999995</v>
      </c>
      <c r="V7554" s="12">
        <f>C7554+1</f>
        <v>40774</v>
      </c>
      <c r="W7554">
        <f>IF(D7554=' Pivot Tables'!$A$4,1,0)</f>
        <v>0</v>
      </c>
      <c r="X7554">
        <f>IF(AND(LEFT(D7554,4)+1=LEFT(' Pivot Tables'!$A$4,4)+0,RIGHT(LEFT(D7554,7),2)=RIGHT(LEFT(' Pivot Tables'!$A$4,7),2)),1,0)</f>
        <v>0</v>
      </c>
      <c r="Y7554" s="6">
        <f>1/COUNTIF(Таблица1[Order ID],Таблица1[[#This Row],[Order ID]])</f>
        <v>1</v>
      </c>
      <c r="Z7554" s="9">
        <f>1/COUNTIFS(Таблица1[Customer Name],Таблица1[[#This Row],[Customer Name]],Таблица1[Order-Year-Month],Таблица1[[#This Row],[Order-Year-Month]])</f>
        <v>0.5</v>
      </c>
    </row>
    <row r="7555" spans="1:26" x14ac:dyDescent="0.2">
      <c r="A7555" s="6">
        <v>1296</v>
      </c>
      <c r="B7555" s="7">
        <v>9504</v>
      </c>
      <c r="C7555" s="8">
        <f>DATE(2012,12,31)-36</f>
        <v>41238</v>
      </c>
      <c r="D7555" s="8" t="str">
        <f t="shared" ref="D7555:D7618" si="144">TEXT(C7555,"гггг-ММ (ММММ гггг)")</f>
        <v>2012-11 (ноябрь 2012)</v>
      </c>
      <c r="E7555" s="9" t="s">
        <v>63</v>
      </c>
      <c r="F7555" s="7">
        <v>17</v>
      </c>
      <c r="G7555" s="7">
        <v>1954.796</v>
      </c>
      <c r="H7555" s="7">
        <v>0.05</v>
      </c>
      <c r="I7555" s="9" t="s">
        <v>22</v>
      </c>
      <c r="J7555" s="10">
        <v>98.352000000000004</v>
      </c>
      <c r="K7555" s="11">
        <v>140.99</v>
      </c>
      <c r="L7555" s="11">
        <v>4.2</v>
      </c>
      <c r="M7555" s="9" t="s">
        <v>2075</v>
      </c>
      <c r="N7555" s="6" t="s">
        <v>2073</v>
      </c>
      <c r="O7555" s="6" t="s">
        <v>704</v>
      </c>
      <c r="P7555" s="9" t="s">
        <v>25</v>
      </c>
      <c r="Q7555" s="9" t="s">
        <v>42</v>
      </c>
      <c r="R7555" s="9" t="s">
        <v>43</v>
      </c>
      <c r="S7555" s="7" t="s">
        <v>796</v>
      </c>
      <c r="T7555" s="9" t="s">
        <v>39</v>
      </c>
      <c r="U7555" s="7">
        <v>0.59</v>
      </c>
      <c r="V7555" s="12">
        <f>C7555+2</f>
        <v>41240</v>
      </c>
      <c r="W7555">
        <f>IF(D7555=' Pivot Tables'!$A$4,1,0)</f>
        <v>0</v>
      </c>
      <c r="X7555">
        <f>IF(AND(LEFT(D7555,4)+1=LEFT(' Pivot Tables'!$A$4,4)+0,RIGHT(LEFT(D7555,7),2)=RIGHT(LEFT(' Pivot Tables'!$A$4,7),2)),1,0)</f>
        <v>0</v>
      </c>
      <c r="Y7555" s="6">
        <f>1/COUNTIF(Таблица1[Order ID],Таблица1[[#This Row],[Order ID]])</f>
        <v>1</v>
      </c>
      <c r="Z7555" s="9">
        <f>1/COUNTIFS(Таблица1[Customer Name],Таблица1[[#This Row],[Customer Name]],Таблица1[Order-Year-Month],Таблица1[[#This Row],[Order-Year-Month]])</f>
        <v>1</v>
      </c>
    </row>
    <row r="7556" spans="1:26" x14ac:dyDescent="0.2">
      <c r="A7556" s="6">
        <v>1431</v>
      </c>
      <c r="B7556" s="7">
        <v>10341</v>
      </c>
      <c r="C7556" s="8">
        <f>DATE(2012,12,31)-10</f>
        <v>41264</v>
      </c>
      <c r="D7556" s="8" t="str">
        <f t="shared" si="144"/>
        <v>2012-12 (декабрь 2012)</v>
      </c>
      <c r="E7556" s="9" t="s">
        <v>30</v>
      </c>
      <c r="F7556" s="7">
        <v>17</v>
      </c>
      <c r="G7556" s="7">
        <v>2312.96</v>
      </c>
      <c r="H7556" s="7">
        <v>0.09</v>
      </c>
      <c r="I7556" s="9" t="s">
        <v>31</v>
      </c>
      <c r="J7556" s="10">
        <v>43.030000000000086</v>
      </c>
      <c r="K7556" s="11">
        <v>145.44999999999999</v>
      </c>
      <c r="L7556" s="11">
        <v>17.850000000000001</v>
      </c>
      <c r="M7556" s="9" t="s">
        <v>2075</v>
      </c>
      <c r="N7556" s="6" t="s">
        <v>2073</v>
      </c>
      <c r="O7556" s="6" t="s">
        <v>704</v>
      </c>
      <c r="P7556" s="9" t="s">
        <v>25</v>
      </c>
      <c r="Q7556" s="9" t="s">
        <v>42</v>
      </c>
      <c r="R7556" s="9" t="s">
        <v>210</v>
      </c>
      <c r="S7556" s="7" t="s">
        <v>234</v>
      </c>
      <c r="T7556" s="9" t="s">
        <v>36</v>
      </c>
      <c r="U7556" s="7">
        <v>0.56000000000000005</v>
      </c>
      <c r="V7556" s="12">
        <f>C7556+1</f>
        <v>41265</v>
      </c>
      <c r="W7556">
        <f>IF(D7556=' Pivot Tables'!$A$4,1,0)</f>
        <v>0</v>
      </c>
      <c r="X7556">
        <f>IF(AND(LEFT(D7556,4)+1=LEFT(' Pivot Tables'!$A$4,4)+0,RIGHT(LEFT(D7556,7),2)=RIGHT(LEFT(' Pivot Tables'!$A$4,7),2)),1,0)</f>
        <v>0</v>
      </c>
      <c r="Y7556" s="6">
        <f>1/COUNTIF(Таблица1[Order ID],Таблица1[[#This Row],[Order ID]])</f>
        <v>1</v>
      </c>
      <c r="Z7556" s="9">
        <f>1/COUNTIFS(Таблица1[Customer Name],Таблица1[[#This Row],[Customer Name]],Таблица1[Order-Year-Month],Таблица1[[#This Row],[Order-Year-Month]])</f>
        <v>1</v>
      </c>
    </row>
    <row r="7557" spans="1:26" x14ac:dyDescent="0.2">
      <c r="A7557" s="6">
        <v>1522</v>
      </c>
      <c r="B7557" s="7">
        <v>10982</v>
      </c>
      <c r="C7557" s="8">
        <f>DATE(2012,12,31)-21</f>
        <v>41253</v>
      </c>
      <c r="D7557" s="8" t="str">
        <f t="shared" si="144"/>
        <v>2012-12 (декабрь 2012)</v>
      </c>
      <c r="E7557" s="9" t="s">
        <v>45</v>
      </c>
      <c r="F7557" s="7">
        <v>29</v>
      </c>
      <c r="G7557" s="7">
        <v>538.27</v>
      </c>
      <c r="H7557" s="7">
        <v>0.02</v>
      </c>
      <c r="I7557" s="9" t="s">
        <v>22</v>
      </c>
      <c r="J7557" s="10">
        <v>225.19900000000001</v>
      </c>
      <c r="K7557" s="11">
        <v>18.940000000000001</v>
      </c>
      <c r="L7557" s="11">
        <v>1.49</v>
      </c>
      <c r="M7557" s="9" t="s">
        <v>1927</v>
      </c>
      <c r="N7557" s="6" t="s">
        <v>2073</v>
      </c>
      <c r="O7557" s="6" t="s">
        <v>704</v>
      </c>
      <c r="P7557" s="9" t="s">
        <v>60</v>
      </c>
      <c r="Q7557" s="9" t="s">
        <v>26</v>
      </c>
      <c r="R7557" s="9" t="s">
        <v>37</v>
      </c>
      <c r="S7557" s="7" t="s">
        <v>896</v>
      </c>
      <c r="T7557" s="9" t="s">
        <v>39</v>
      </c>
      <c r="U7557" s="7">
        <v>0.35</v>
      </c>
      <c r="V7557" s="12">
        <f>C7557+1</f>
        <v>41254</v>
      </c>
      <c r="W7557">
        <f>IF(D7557=' Pivot Tables'!$A$4,1,0)</f>
        <v>0</v>
      </c>
      <c r="X7557">
        <f>IF(AND(LEFT(D7557,4)+1=LEFT(' Pivot Tables'!$A$4,4)+0,RIGHT(LEFT(D7557,7),2)=RIGHT(LEFT(' Pivot Tables'!$A$4,7),2)),1,0)</f>
        <v>0</v>
      </c>
      <c r="Y7557" s="6">
        <f>1/COUNTIF(Таблица1[Order ID],Таблица1[[#This Row],[Order ID]])</f>
        <v>0.33333333333333331</v>
      </c>
      <c r="Z7557" s="9">
        <f>1/COUNTIFS(Таблица1[Customer Name],Таблица1[[#This Row],[Customer Name]],Таблица1[Order-Year-Month],Таблица1[[#This Row],[Order-Year-Month]])</f>
        <v>0.33333333333333331</v>
      </c>
    </row>
    <row r="7558" spans="1:26" x14ac:dyDescent="0.2">
      <c r="A7558" s="6">
        <v>1523</v>
      </c>
      <c r="B7558" s="7">
        <v>10982</v>
      </c>
      <c r="C7558" s="8">
        <f>DATE(2012,12,31)-21</f>
        <v>41253</v>
      </c>
      <c r="D7558" s="8" t="str">
        <f t="shared" si="144"/>
        <v>2012-12 (декабрь 2012)</v>
      </c>
      <c r="E7558" s="9" t="s">
        <v>45</v>
      </c>
      <c r="F7558" s="7">
        <v>30</v>
      </c>
      <c r="G7558" s="7">
        <v>3665.41</v>
      </c>
      <c r="H7558" s="7">
        <v>0.05</v>
      </c>
      <c r="I7558" s="9" t="s">
        <v>22</v>
      </c>
      <c r="J7558" s="10">
        <v>1236.3589999999999</v>
      </c>
      <c r="K7558" s="11">
        <v>122.99</v>
      </c>
      <c r="L7558" s="11">
        <v>19.989999999999998</v>
      </c>
      <c r="M7558" s="9" t="s">
        <v>1927</v>
      </c>
      <c r="N7558" s="6" t="s">
        <v>2073</v>
      </c>
      <c r="O7558" s="6" t="s">
        <v>704</v>
      </c>
      <c r="P7558" s="9" t="s">
        <v>60</v>
      </c>
      <c r="Q7558" s="9" t="s">
        <v>26</v>
      </c>
      <c r="R7558" s="9" t="s">
        <v>37</v>
      </c>
      <c r="S7558" s="7" t="s">
        <v>870</v>
      </c>
      <c r="T7558" s="9" t="s">
        <v>39</v>
      </c>
      <c r="U7558" s="7">
        <v>0.37</v>
      </c>
      <c r="V7558" s="12">
        <f>C7558+2</f>
        <v>41255</v>
      </c>
      <c r="W7558">
        <f>IF(D7558=' Pivot Tables'!$A$4,1,0)</f>
        <v>0</v>
      </c>
      <c r="X7558">
        <f>IF(AND(LEFT(D7558,4)+1=LEFT(' Pivot Tables'!$A$4,4)+0,RIGHT(LEFT(D7558,7),2)=RIGHT(LEFT(' Pivot Tables'!$A$4,7),2)),1,0)</f>
        <v>0</v>
      </c>
      <c r="Y7558" s="6">
        <f>1/COUNTIF(Таблица1[Order ID],Таблица1[[#This Row],[Order ID]])</f>
        <v>0.33333333333333331</v>
      </c>
      <c r="Z7558" s="9">
        <f>1/COUNTIFS(Таблица1[Customer Name],Таблица1[[#This Row],[Customer Name]],Таблица1[Order-Year-Month],Таблица1[[#This Row],[Order-Year-Month]])</f>
        <v>0.33333333333333331</v>
      </c>
    </row>
    <row r="7559" spans="1:26" x14ac:dyDescent="0.2">
      <c r="A7559" s="6">
        <v>1524</v>
      </c>
      <c r="B7559" s="7">
        <v>10982</v>
      </c>
      <c r="C7559" s="8">
        <f>DATE(2012,12,31)-21</f>
        <v>41253</v>
      </c>
      <c r="D7559" s="8" t="str">
        <f t="shared" si="144"/>
        <v>2012-12 (декабрь 2012)</v>
      </c>
      <c r="E7559" s="9" t="s">
        <v>45</v>
      </c>
      <c r="F7559" s="7">
        <v>14</v>
      </c>
      <c r="G7559" s="7">
        <v>20.95</v>
      </c>
      <c r="H7559" s="7">
        <v>0</v>
      </c>
      <c r="I7559" s="9" t="s">
        <v>56</v>
      </c>
      <c r="J7559" s="10">
        <v>2.81</v>
      </c>
      <c r="K7559" s="11">
        <v>1.1399999999999999</v>
      </c>
      <c r="L7559" s="11">
        <v>0.7</v>
      </c>
      <c r="M7559" s="9" t="s">
        <v>1927</v>
      </c>
      <c r="N7559" s="6" t="s">
        <v>2073</v>
      </c>
      <c r="O7559" s="6" t="s">
        <v>704</v>
      </c>
      <c r="P7559" s="9" t="s">
        <v>60</v>
      </c>
      <c r="Q7559" s="9" t="s">
        <v>26</v>
      </c>
      <c r="R7559" s="9" t="s">
        <v>66</v>
      </c>
      <c r="S7559" s="7" t="s">
        <v>1657</v>
      </c>
      <c r="T7559" s="9" t="s">
        <v>68</v>
      </c>
      <c r="U7559" s="7">
        <v>0.38</v>
      </c>
      <c r="V7559" s="12">
        <f>C7559+2</f>
        <v>41255</v>
      </c>
      <c r="W7559">
        <f>IF(D7559=' Pivot Tables'!$A$4,1,0)</f>
        <v>0</v>
      </c>
      <c r="X7559">
        <f>IF(AND(LEFT(D7559,4)+1=LEFT(' Pivot Tables'!$A$4,4)+0,RIGHT(LEFT(D7559,7),2)=RIGHT(LEFT(' Pivot Tables'!$A$4,7),2)),1,0)</f>
        <v>0</v>
      </c>
      <c r="Y7559" s="6">
        <f>1/COUNTIF(Таблица1[Order ID],Таблица1[[#This Row],[Order ID]])</f>
        <v>0.33333333333333331</v>
      </c>
      <c r="Z7559" s="9">
        <f>1/COUNTIFS(Таблица1[Customer Name],Таблица1[[#This Row],[Customer Name]],Таблица1[Order-Year-Month],Таблица1[[#This Row],[Order-Year-Month]])</f>
        <v>0.33333333333333331</v>
      </c>
    </row>
    <row r="7560" spans="1:26" x14ac:dyDescent="0.2">
      <c r="A7560" s="6">
        <v>1531</v>
      </c>
      <c r="B7560" s="7">
        <v>11014</v>
      </c>
      <c r="C7560" s="8">
        <f>DATE(2012,12,31)-846</f>
        <v>40428</v>
      </c>
      <c r="D7560" s="8" t="str">
        <f t="shared" si="144"/>
        <v>2010-09 (сентябрь 2010)</v>
      </c>
      <c r="E7560" s="9" t="s">
        <v>30</v>
      </c>
      <c r="F7560" s="7">
        <v>39</v>
      </c>
      <c r="G7560" s="7">
        <v>286.81</v>
      </c>
      <c r="H7560" s="7">
        <v>7.0000000000000007E-2</v>
      </c>
      <c r="I7560" s="9" t="s">
        <v>22</v>
      </c>
      <c r="J7560" s="10">
        <v>110.05</v>
      </c>
      <c r="K7560" s="11">
        <v>7.64</v>
      </c>
      <c r="L7560" s="11">
        <v>1.39</v>
      </c>
      <c r="M7560" s="9" t="s">
        <v>2042</v>
      </c>
      <c r="N7560" s="6" t="s">
        <v>2073</v>
      </c>
      <c r="O7560" s="6" t="s">
        <v>704</v>
      </c>
      <c r="P7560" s="9" t="s">
        <v>41</v>
      </c>
      <c r="Q7560" s="9" t="s">
        <v>26</v>
      </c>
      <c r="R7560" s="9" t="s">
        <v>76</v>
      </c>
      <c r="S7560" s="7" t="s">
        <v>297</v>
      </c>
      <c r="T7560" s="9" t="s">
        <v>39</v>
      </c>
      <c r="U7560" s="7">
        <v>0.36</v>
      </c>
      <c r="V7560" s="12">
        <f>C7560+1</f>
        <v>40429</v>
      </c>
      <c r="W7560">
        <f>IF(D7560=' Pivot Tables'!$A$4,1,0)</f>
        <v>0</v>
      </c>
      <c r="X7560">
        <f>IF(AND(LEFT(D7560,4)+1=LEFT(' Pivot Tables'!$A$4,4)+0,RIGHT(LEFT(D7560,7),2)=RIGHT(LEFT(' Pivot Tables'!$A$4,7),2)),1,0)</f>
        <v>0</v>
      </c>
      <c r="Y7560" s="6">
        <f>1/COUNTIF(Таблица1[Order ID],Таблица1[[#This Row],[Order ID]])</f>
        <v>0.5</v>
      </c>
      <c r="Z7560" s="9">
        <f>1/COUNTIFS(Таблица1[Customer Name],Таблица1[[#This Row],[Customer Name]],Таблица1[Order-Year-Month],Таблица1[[#This Row],[Order-Year-Month]])</f>
        <v>0.5</v>
      </c>
    </row>
    <row r="7561" spans="1:26" x14ac:dyDescent="0.2">
      <c r="A7561" s="6">
        <v>1987</v>
      </c>
      <c r="B7561" s="7">
        <v>14176</v>
      </c>
      <c r="C7561" s="8">
        <f>DATE(2012,12,31)-1390</f>
        <v>39884</v>
      </c>
      <c r="D7561" s="8" t="str">
        <f t="shared" si="144"/>
        <v>2009-03 (март 2009)</v>
      </c>
      <c r="E7561" s="9" t="s">
        <v>21</v>
      </c>
      <c r="F7561" s="7">
        <v>39</v>
      </c>
      <c r="G7561" s="7">
        <v>1233.4775</v>
      </c>
      <c r="H7561" s="7">
        <v>0.01</v>
      </c>
      <c r="I7561" s="9" t="s">
        <v>22</v>
      </c>
      <c r="J7561" s="10">
        <v>453.798</v>
      </c>
      <c r="K7561" s="11">
        <v>35.99</v>
      </c>
      <c r="L7561" s="11">
        <v>5.99</v>
      </c>
      <c r="M7561" s="9" t="s">
        <v>2077</v>
      </c>
      <c r="N7561" s="6" t="s">
        <v>2073</v>
      </c>
      <c r="O7561" s="6" t="s">
        <v>704</v>
      </c>
      <c r="P7561" s="9" t="s">
        <v>25</v>
      </c>
      <c r="Q7561" s="9" t="s">
        <v>42</v>
      </c>
      <c r="R7561" s="9" t="s">
        <v>43</v>
      </c>
      <c r="S7561" s="7" t="s">
        <v>907</v>
      </c>
      <c r="T7561" s="9" t="s">
        <v>68</v>
      </c>
      <c r="U7561" s="7">
        <v>0.38</v>
      </c>
      <c r="V7561" s="12">
        <f>C7561+7</f>
        <v>39891</v>
      </c>
      <c r="W7561">
        <f>IF(D7561=' Pivot Tables'!$A$4,1,0)</f>
        <v>0</v>
      </c>
      <c r="X7561">
        <f>IF(AND(LEFT(D7561,4)+1=LEFT(' Pivot Tables'!$A$4,4)+0,RIGHT(LEFT(D7561,7),2)=RIGHT(LEFT(' Pivot Tables'!$A$4,7),2)),1,0)</f>
        <v>0</v>
      </c>
      <c r="Y7561" s="6">
        <f>1/COUNTIF(Таблица1[Order ID],Таблица1[[#This Row],[Order ID]])</f>
        <v>1</v>
      </c>
      <c r="Z7561" s="9">
        <f>1/COUNTIFS(Таблица1[Customer Name],Таблица1[[#This Row],[Customer Name]],Таблица1[Order-Year-Month],Таблица1[[#This Row],[Order-Year-Month]])</f>
        <v>1</v>
      </c>
    </row>
    <row r="7562" spans="1:26" x14ac:dyDescent="0.2">
      <c r="A7562" s="6">
        <v>2031</v>
      </c>
      <c r="B7562" s="7">
        <v>14497</v>
      </c>
      <c r="C7562" s="8">
        <f>DATE(2012,12,31)-225</f>
        <v>41049</v>
      </c>
      <c r="D7562" s="8" t="str">
        <f t="shared" si="144"/>
        <v>2012-05 (май 2012)</v>
      </c>
      <c r="E7562" s="9" t="s">
        <v>63</v>
      </c>
      <c r="F7562" s="7">
        <v>34</v>
      </c>
      <c r="G7562" s="7">
        <v>214.03</v>
      </c>
      <c r="H7562" s="7">
        <v>0.02</v>
      </c>
      <c r="I7562" s="9" t="s">
        <v>22</v>
      </c>
      <c r="J7562" s="10">
        <v>-138.91999999999999</v>
      </c>
      <c r="K7562" s="11">
        <v>5.78</v>
      </c>
      <c r="L7562" s="11">
        <v>7.96</v>
      </c>
      <c r="M7562" s="9" t="s">
        <v>2075</v>
      </c>
      <c r="N7562" s="6" t="s">
        <v>2073</v>
      </c>
      <c r="O7562" s="6" t="s">
        <v>704</v>
      </c>
      <c r="P7562" s="9" t="s">
        <v>25</v>
      </c>
      <c r="Q7562" s="9" t="s">
        <v>26</v>
      </c>
      <c r="R7562" s="9" t="s">
        <v>61</v>
      </c>
      <c r="S7562" s="7" t="s">
        <v>754</v>
      </c>
      <c r="T7562" s="9" t="s">
        <v>39</v>
      </c>
      <c r="U7562" s="7">
        <v>0.36</v>
      </c>
      <c r="V7562" s="12">
        <f>C7562+3</f>
        <v>41052</v>
      </c>
      <c r="W7562">
        <f>IF(D7562=' Pivot Tables'!$A$4,1,0)</f>
        <v>0</v>
      </c>
      <c r="X7562">
        <f>IF(AND(LEFT(D7562,4)+1=LEFT(' Pivot Tables'!$A$4,4)+0,RIGHT(LEFT(D7562,7),2)=RIGHT(LEFT(' Pivot Tables'!$A$4,7),2)),1,0)</f>
        <v>0</v>
      </c>
      <c r="Y7562" s="6">
        <f>1/COUNTIF(Таблица1[Order ID],Таблица1[[#This Row],[Order ID]])</f>
        <v>1</v>
      </c>
      <c r="Z7562" s="9">
        <f>1/COUNTIFS(Таблица1[Customer Name],Таблица1[[#This Row],[Customer Name]],Таблица1[Order-Year-Month],Таблица1[[#This Row],[Order-Year-Month]])</f>
        <v>1</v>
      </c>
    </row>
    <row r="7563" spans="1:26" x14ac:dyDescent="0.2">
      <c r="A7563" s="6">
        <v>2106</v>
      </c>
      <c r="B7563" s="7">
        <v>15074</v>
      </c>
      <c r="C7563" s="8">
        <f>DATE(2012,12,31)-1129</f>
        <v>40145</v>
      </c>
      <c r="D7563" s="8" t="str">
        <f t="shared" si="144"/>
        <v>2009-11 (ноябрь 2009)</v>
      </c>
      <c r="E7563" s="9" t="s">
        <v>45</v>
      </c>
      <c r="F7563" s="7">
        <v>27</v>
      </c>
      <c r="G7563" s="7">
        <v>941.4</v>
      </c>
      <c r="H7563" s="7">
        <v>0.05</v>
      </c>
      <c r="I7563" s="9" t="s">
        <v>22</v>
      </c>
      <c r="J7563" s="10">
        <v>369.48</v>
      </c>
      <c r="K7563" s="11">
        <v>35.44</v>
      </c>
      <c r="L7563" s="11">
        <v>5.09</v>
      </c>
      <c r="M7563" s="9" t="s">
        <v>2076</v>
      </c>
      <c r="N7563" s="6" t="s">
        <v>2073</v>
      </c>
      <c r="O7563" s="6" t="s">
        <v>704</v>
      </c>
      <c r="P7563" s="9" t="s">
        <v>33</v>
      </c>
      <c r="Q7563" s="9" t="s">
        <v>26</v>
      </c>
      <c r="R7563" s="9" t="s">
        <v>61</v>
      </c>
      <c r="S7563" s="7" t="s">
        <v>227</v>
      </c>
      <c r="T7563" s="9" t="s">
        <v>39</v>
      </c>
      <c r="U7563" s="7">
        <v>0.38</v>
      </c>
      <c r="V7563" s="12">
        <f>C7563+1</f>
        <v>40146</v>
      </c>
      <c r="W7563">
        <f>IF(D7563=' Pivot Tables'!$A$4,1,0)</f>
        <v>0</v>
      </c>
      <c r="X7563">
        <f>IF(AND(LEFT(D7563,4)+1=LEFT(' Pivot Tables'!$A$4,4)+0,RIGHT(LEFT(D7563,7),2)=RIGHT(LEFT(' Pivot Tables'!$A$4,7),2)),1,0)</f>
        <v>0</v>
      </c>
      <c r="Y7563" s="6">
        <f>1/COUNTIF(Таблица1[Order ID],Таблица1[[#This Row],[Order ID]])</f>
        <v>1</v>
      </c>
      <c r="Z7563" s="9">
        <f>1/COUNTIFS(Таблица1[Customer Name],Таблица1[[#This Row],[Customer Name]],Таблица1[Order-Year-Month],Таблица1[[#This Row],[Order-Year-Month]])</f>
        <v>1</v>
      </c>
    </row>
    <row r="7564" spans="1:26" x14ac:dyDescent="0.2">
      <c r="A7564" s="6">
        <v>2112</v>
      </c>
      <c r="B7564" s="7">
        <v>15104</v>
      </c>
      <c r="C7564" s="8">
        <f>DATE(2012,12,31)-277</f>
        <v>40997</v>
      </c>
      <c r="D7564" s="8" t="str">
        <f t="shared" si="144"/>
        <v>2012-03 (март 2012)</v>
      </c>
      <c r="E7564" s="9" t="s">
        <v>63</v>
      </c>
      <c r="F7564" s="7">
        <v>23</v>
      </c>
      <c r="G7564" s="7">
        <v>109.43</v>
      </c>
      <c r="H7564" s="7">
        <v>0.09</v>
      </c>
      <c r="I7564" s="9" t="s">
        <v>22</v>
      </c>
      <c r="J7564" s="10">
        <v>21.7685</v>
      </c>
      <c r="K7564" s="11">
        <v>4.82</v>
      </c>
      <c r="L7564" s="11">
        <v>1.49</v>
      </c>
      <c r="M7564" s="9" t="s">
        <v>2077</v>
      </c>
      <c r="N7564" s="6" t="s">
        <v>2073</v>
      </c>
      <c r="O7564" s="6" t="s">
        <v>704</v>
      </c>
      <c r="P7564" s="9" t="s">
        <v>25</v>
      </c>
      <c r="Q7564" s="9" t="s">
        <v>26</v>
      </c>
      <c r="R7564" s="9" t="s">
        <v>37</v>
      </c>
      <c r="S7564" s="7" t="s">
        <v>961</v>
      </c>
      <c r="T7564" s="9" t="s">
        <v>39</v>
      </c>
      <c r="U7564" s="7">
        <v>0.36</v>
      </c>
      <c r="V7564" s="12">
        <f>C7564+3</f>
        <v>41000</v>
      </c>
      <c r="W7564">
        <f>IF(D7564=' Pivot Tables'!$A$4,1,0)</f>
        <v>0</v>
      </c>
      <c r="X7564">
        <f>IF(AND(LEFT(D7564,4)+1=LEFT(' Pivot Tables'!$A$4,4)+0,RIGHT(LEFT(D7564,7),2)=RIGHT(LEFT(' Pivot Tables'!$A$4,7),2)),1,0)</f>
        <v>0</v>
      </c>
      <c r="Y7564" s="6">
        <f>1/COUNTIF(Таблица1[Order ID],Таблица1[[#This Row],[Order ID]])</f>
        <v>1</v>
      </c>
      <c r="Z7564" s="9">
        <f>1/COUNTIFS(Таблица1[Customer Name],Таблица1[[#This Row],[Customer Name]],Таблица1[Order-Year-Month],Таблица1[[#This Row],[Order-Year-Month]])</f>
        <v>0.5</v>
      </c>
    </row>
    <row r="7565" spans="1:26" x14ac:dyDescent="0.2">
      <c r="A7565" s="6">
        <v>2339</v>
      </c>
      <c r="B7565" s="7">
        <v>16834</v>
      </c>
      <c r="C7565" s="8">
        <f>DATE(2012,12,31)-800</f>
        <v>40474</v>
      </c>
      <c r="D7565" s="8" t="str">
        <f t="shared" si="144"/>
        <v>2010-10 (октябрь 2010)</v>
      </c>
      <c r="E7565" s="9" t="s">
        <v>21</v>
      </c>
      <c r="F7565" s="7">
        <v>23</v>
      </c>
      <c r="G7565" s="7">
        <v>158.78</v>
      </c>
      <c r="H7565" s="7">
        <v>7.0000000000000007E-2</v>
      </c>
      <c r="I7565" s="9" t="s">
        <v>22</v>
      </c>
      <c r="J7565" s="10">
        <v>33.26</v>
      </c>
      <c r="K7565" s="11">
        <v>7.04</v>
      </c>
      <c r="L7565" s="11">
        <v>2.17</v>
      </c>
      <c r="M7565" s="9" t="s">
        <v>1873</v>
      </c>
      <c r="N7565" s="6" t="s">
        <v>2073</v>
      </c>
      <c r="O7565" s="6" t="s">
        <v>704</v>
      </c>
      <c r="P7565" s="9" t="s">
        <v>33</v>
      </c>
      <c r="Q7565" s="9" t="s">
        <v>26</v>
      </c>
      <c r="R7565" s="9" t="s">
        <v>61</v>
      </c>
      <c r="S7565" s="7" t="s">
        <v>243</v>
      </c>
      <c r="T7565" s="9" t="s">
        <v>68</v>
      </c>
      <c r="U7565" s="7">
        <v>0.38</v>
      </c>
      <c r="V7565" s="12">
        <f>C7565+7</f>
        <v>40481</v>
      </c>
      <c r="W7565">
        <f>IF(D7565=' Pivot Tables'!$A$4,1,0)</f>
        <v>0</v>
      </c>
      <c r="X7565">
        <f>IF(AND(LEFT(D7565,4)+1=LEFT(' Pivot Tables'!$A$4,4)+0,RIGHT(LEFT(D7565,7),2)=RIGHT(LEFT(' Pivot Tables'!$A$4,7),2)),1,0)</f>
        <v>0</v>
      </c>
      <c r="Y7565" s="6">
        <f>1/COUNTIF(Таблица1[Order ID],Таблица1[[#This Row],[Order ID]])</f>
        <v>0.5</v>
      </c>
      <c r="Z7565" s="9">
        <f>1/COUNTIFS(Таблица1[Customer Name],Таблица1[[#This Row],[Customer Name]],Таблица1[Order-Year-Month],Таблица1[[#This Row],[Order-Year-Month]])</f>
        <v>0.5</v>
      </c>
    </row>
    <row r="7566" spans="1:26" x14ac:dyDescent="0.2">
      <c r="A7566" s="6">
        <v>2407</v>
      </c>
      <c r="B7566" s="7">
        <v>17445</v>
      </c>
      <c r="C7566" s="8">
        <f>DATE(2012,12,31)-498</f>
        <v>40776</v>
      </c>
      <c r="D7566" s="8" t="str">
        <f t="shared" si="144"/>
        <v>2011-08 (август 2011)</v>
      </c>
      <c r="E7566" s="9" t="s">
        <v>45</v>
      </c>
      <c r="F7566" s="7">
        <v>33</v>
      </c>
      <c r="G7566" s="7">
        <v>249.48</v>
      </c>
      <c r="H7566" s="7">
        <v>0.1</v>
      </c>
      <c r="I7566" s="9" t="s">
        <v>22</v>
      </c>
      <c r="J7566" s="10">
        <v>-73.83</v>
      </c>
      <c r="K7566" s="11">
        <v>8.32</v>
      </c>
      <c r="L7566" s="11">
        <v>2.38</v>
      </c>
      <c r="M7566" s="9" t="s">
        <v>2077</v>
      </c>
      <c r="N7566" s="6" t="s">
        <v>2073</v>
      </c>
      <c r="O7566" s="6" t="s">
        <v>704</v>
      </c>
      <c r="P7566" s="9" t="s">
        <v>25</v>
      </c>
      <c r="Q7566" s="9" t="s">
        <v>42</v>
      </c>
      <c r="R7566" s="9" t="s">
        <v>70</v>
      </c>
      <c r="S7566" s="7" t="s">
        <v>1584</v>
      </c>
      <c r="T7566" s="9" t="s">
        <v>52</v>
      </c>
      <c r="U7566" s="7">
        <v>0.74</v>
      </c>
      <c r="V7566" s="12">
        <f>C7566+3</f>
        <v>40779</v>
      </c>
      <c r="W7566">
        <f>IF(D7566=' Pivot Tables'!$A$4,1,0)</f>
        <v>0</v>
      </c>
      <c r="X7566">
        <f>IF(AND(LEFT(D7566,4)+1=LEFT(' Pivot Tables'!$A$4,4)+0,RIGHT(LEFT(D7566,7),2)=RIGHT(LEFT(' Pivot Tables'!$A$4,7),2)),1,0)</f>
        <v>0</v>
      </c>
      <c r="Y7566" s="6">
        <f>1/COUNTIF(Таблица1[Order ID],Таблица1[[#This Row],[Order ID]])</f>
        <v>1</v>
      </c>
      <c r="Z7566" s="9">
        <f>1/COUNTIFS(Таблица1[Customer Name],Таблица1[[#This Row],[Customer Name]],Таблица1[Order-Year-Month],Таблица1[[#This Row],[Order-Year-Month]])</f>
        <v>0.5</v>
      </c>
    </row>
    <row r="7567" spans="1:26" x14ac:dyDescent="0.2">
      <c r="A7567" s="6">
        <v>2574</v>
      </c>
      <c r="B7567" s="7">
        <v>18593</v>
      </c>
      <c r="C7567" s="8">
        <f>DATE(2012,12,31)-466</f>
        <v>40808</v>
      </c>
      <c r="D7567" s="8" t="str">
        <f t="shared" si="144"/>
        <v>2011-09 (сентябрь 2011)</v>
      </c>
      <c r="E7567" s="9" t="s">
        <v>30</v>
      </c>
      <c r="F7567" s="7">
        <v>23</v>
      </c>
      <c r="G7567" s="7">
        <v>6572.04</v>
      </c>
      <c r="H7567" s="7">
        <v>0.06</v>
      </c>
      <c r="I7567" s="9" t="s">
        <v>22</v>
      </c>
      <c r="J7567" s="10">
        <v>1579.34</v>
      </c>
      <c r="K7567" s="11">
        <v>300.97000000000003</v>
      </c>
      <c r="L7567" s="11">
        <v>7.18</v>
      </c>
      <c r="M7567" s="9" t="s">
        <v>2079</v>
      </c>
      <c r="N7567" s="6" t="s">
        <v>2073</v>
      </c>
      <c r="O7567" s="6" t="s">
        <v>704</v>
      </c>
      <c r="P7567" s="9" t="s">
        <v>41</v>
      </c>
      <c r="Q7567" s="9" t="s">
        <v>42</v>
      </c>
      <c r="R7567" s="9" t="s">
        <v>70</v>
      </c>
      <c r="S7567" s="7" t="s">
        <v>1658</v>
      </c>
      <c r="T7567" s="9" t="s">
        <v>39</v>
      </c>
      <c r="U7567" s="7">
        <v>0.48</v>
      </c>
      <c r="V7567" s="12">
        <f>C7567+1</f>
        <v>40809</v>
      </c>
      <c r="W7567">
        <f>IF(D7567=' Pivot Tables'!$A$4,1,0)</f>
        <v>0</v>
      </c>
      <c r="X7567">
        <f>IF(AND(LEFT(D7567,4)+1=LEFT(' Pivot Tables'!$A$4,4)+0,RIGHT(LEFT(D7567,7),2)=RIGHT(LEFT(' Pivot Tables'!$A$4,7),2)),1,0)</f>
        <v>0</v>
      </c>
      <c r="Y7567" s="6">
        <f>1/COUNTIF(Таблица1[Order ID],Таблица1[[#This Row],[Order ID]])</f>
        <v>0.5</v>
      </c>
      <c r="Z7567" s="9">
        <f>1/COUNTIFS(Таблица1[Customer Name],Таблица1[[#This Row],[Customer Name]],Таблица1[Order-Year-Month],Таблица1[[#This Row],[Order-Year-Month]])</f>
        <v>0.5</v>
      </c>
    </row>
    <row r="7568" spans="1:26" x14ac:dyDescent="0.2">
      <c r="A7568" s="6">
        <v>2575</v>
      </c>
      <c r="B7568" s="7">
        <v>18593</v>
      </c>
      <c r="C7568" s="8">
        <f>DATE(2012,12,31)-466</f>
        <v>40808</v>
      </c>
      <c r="D7568" s="8" t="str">
        <f t="shared" si="144"/>
        <v>2011-09 (сентябрь 2011)</v>
      </c>
      <c r="E7568" s="9" t="s">
        <v>30</v>
      </c>
      <c r="F7568" s="7">
        <v>19</v>
      </c>
      <c r="G7568" s="7">
        <v>1051.992</v>
      </c>
      <c r="H7568" s="7">
        <v>0.09</v>
      </c>
      <c r="I7568" s="9" t="s">
        <v>31</v>
      </c>
      <c r="J7568" s="10">
        <v>-1280.5999999999999</v>
      </c>
      <c r="K7568" s="11">
        <v>70.89</v>
      </c>
      <c r="L7568" s="11">
        <v>89.3</v>
      </c>
      <c r="M7568" s="9" t="s">
        <v>2079</v>
      </c>
      <c r="N7568" s="6" t="s">
        <v>2073</v>
      </c>
      <c r="O7568" s="6" t="s">
        <v>704</v>
      </c>
      <c r="P7568" s="9" t="s">
        <v>41</v>
      </c>
      <c r="Q7568" s="9" t="s">
        <v>49</v>
      </c>
      <c r="R7568" s="9" t="s">
        <v>83</v>
      </c>
      <c r="S7568" s="7" t="s">
        <v>1071</v>
      </c>
      <c r="T7568" s="9" t="s">
        <v>82</v>
      </c>
      <c r="U7568" s="7">
        <v>0.72</v>
      </c>
      <c r="V7568" s="12">
        <f>C7568+2</f>
        <v>40810</v>
      </c>
      <c r="W7568">
        <f>IF(D7568=' Pivot Tables'!$A$4,1,0)</f>
        <v>0</v>
      </c>
      <c r="X7568">
        <f>IF(AND(LEFT(D7568,4)+1=LEFT(' Pivot Tables'!$A$4,4)+0,RIGHT(LEFT(D7568,7),2)=RIGHT(LEFT(' Pivot Tables'!$A$4,7),2)),1,0)</f>
        <v>0</v>
      </c>
      <c r="Y7568" s="6">
        <f>1/COUNTIF(Таблица1[Order ID],Таблица1[[#This Row],[Order ID]])</f>
        <v>0.5</v>
      </c>
      <c r="Z7568" s="9">
        <f>1/COUNTIFS(Таблица1[Customer Name],Таблица1[[#This Row],[Customer Name]],Таблица1[Order-Year-Month],Таблица1[[#This Row],[Order-Year-Month]])</f>
        <v>0.5</v>
      </c>
    </row>
    <row r="7569" spans="1:26" x14ac:dyDescent="0.2">
      <c r="A7569" s="6">
        <v>2722</v>
      </c>
      <c r="B7569" s="7">
        <v>19652</v>
      </c>
      <c r="C7569" s="8">
        <f>DATE(2012,12,31)-212</f>
        <v>41062</v>
      </c>
      <c r="D7569" s="8" t="str">
        <f t="shared" si="144"/>
        <v>2012-06 (июнь 2012)</v>
      </c>
      <c r="E7569" s="9" t="s">
        <v>78</v>
      </c>
      <c r="F7569" s="7">
        <v>28</v>
      </c>
      <c r="G7569" s="7">
        <v>2711.14</v>
      </c>
      <c r="H7569" s="7">
        <v>0.01</v>
      </c>
      <c r="I7569" s="9" t="s">
        <v>31</v>
      </c>
      <c r="J7569" s="10">
        <v>-307.86</v>
      </c>
      <c r="K7569" s="11">
        <v>89.99</v>
      </c>
      <c r="L7569" s="11">
        <v>42</v>
      </c>
      <c r="M7569" s="9" t="s">
        <v>2079</v>
      </c>
      <c r="N7569" s="6" t="s">
        <v>2073</v>
      </c>
      <c r="O7569" s="6" t="s">
        <v>704</v>
      </c>
      <c r="P7569" s="9" t="s">
        <v>41</v>
      </c>
      <c r="Q7569" s="9" t="s">
        <v>49</v>
      </c>
      <c r="R7569" s="9" t="s">
        <v>112</v>
      </c>
      <c r="S7569" s="7" t="s">
        <v>853</v>
      </c>
      <c r="T7569" s="9" t="s">
        <v>36</v>
      </c>
      <c r="U7569" s="7">
        <v>0.66</v>
      </c>
      <c r="V7569" s="12">
        <f>C7569+1</f>
        <v>41063</v>
      </c>
      <c r="W7569">
        <f>IF(D7569=' Pivot Tables'!$A$4,1,0)</f>
        <v>0</v>
      </c>
      <c r="X7569">
        <f>IF(AND(LEFT(D7569,4)+1=LEFT(' Pivot Tables'!$A$4,4)+0,RIGHT(LEFT(D7569,7),2)=RIGHT(LEFT(' Pivot Tables'!$A$4,7),2)),1,0)</f>
        <v>0</v>
      </c>
      <c r="Y7569" s="6">
        <f>1/COUNTIF(Таблица1[Order ID],Таблица1[[#This Row],[Order ID]])</f>
        <v>0.5</v>
      </c>
      <c r="Z7569" s="9">
        <f>1/COUNTIFS(Таблица1[Customer Name],Таблица1[[#This Row],[Customer Name]],Таблица1[Order-Year-Month],Таблица1[[#This Row],[Order-Year-Month]])</f>
        <v>0.5</v>
      </c>
    </row>
    <row r="7570" spans="1:26" x14ac:dyDescent="0.2">
      <c r="A7570" s="6">
        <v>2723</v>
      </c>
      <c r="B7570" s="7">
        <v>19652</v>
      </c>
      <c r="C7570" s="8">
        <f>DATE(2012,12,31)-212</f>
        <v>41062</v>
      </c>
      <c r="D7570" s="8" t="str">
        <f t="shared" si="144"/>
        <v>2012-06 (июнь 2012)</v>
      </c>
      <c r="E7570" s="9" t="s">
        <v>78</v>
      </c>
      <c r="F7570" s="7">
        <v>34</v>
      </c>
      <c r="G7570" s="7">
        <v>1829.8715</v>
      </c>
      <c r="H7570" s="7">
        <v>0.05</v>
      </c>
      <c r="I7570" s="9" t="s">
        <v>22</v>
      </c>
      <c r="J7570" s="10">
        <v>367.46100000000001</v>
      </c>
      <c r="K7570" s="11">
        <v>65.989999999999995</v>
      </c>
      <c r="L7570" s="11">
        <v>3.99</v>
      </c>
      <c r="M7570" s="9" t="s">
        <v>2079</v>
      </c>
      <c r="N7570" s="6" t="s">
        <v>2073</v>
      </c>
      <c r="O7570" s="6" t="s">
        <v>704</v>
      </c>
      <c r="P7570" s="9" t="s">
        <v>41</v>
      </c>
      <c r="Q7570" s="9" t="s">
        <v>42</v>
      </c>
      <c r="R7570" s="9" t="s">
        <v>43</v>
      </c>
      <c r="S7570" s="7" t="s">
        <v>1238</v>
      </c>
      <c r="T7570" s="9" t="s">
        <v>39</v>
      </c>
      <c r="U7570" s="7">
        <v>0.56999999999999995</v>
      </c>
      <c r="V7570" s="12">
        <f>C7570+2</f>
        <v>41064</v>
      </c>
      <c r="W7570">
        <f>IF(D7570=' Pivot Tables'!$A$4,1,0)</f>
        <v>0</v>
      </c>
      <c r="X7570">
        <f>IF(AND(LEFT(D7570,4)+1=LEFT(' Pivot Tables'!$A$4,4)+0,RIGHT(LEFT(D7570,7),2)=RIGHT(LEFT(' Pivot Tables'!$A$4,7),2)),1,0)</f>
        <v>0</v>
      </c>
      <c r="Y7570" s="6">
        <f>1/COUNTIF(Таблица1[Order ID],Таблица1[[#This Row],[Order ID]])</f>
        <v>0.5</v>
      </c>
      <c r="Z7570" s="9">
        <f>1/COUNTIFS(Таблица1[Customer Name],Таблица1[[#This Row],[Customer Name]],Таблица1[Order-Year-Month],Таблица1[[#This Row],[Order-Year-Month]])</f>
        <v>0.5</v>
      </c>
    </row>
    <row r="7571" spans="1:26" x14ac:dyDescent="0.2">
      <c r="A7571" s="6">
        <v>2879</v>
      </c>
      <c r="B7571" s="7">
        <v>20743</v>
      </c>
      <c r="C7571" s="8">
        <f>DATE(2012,12,31)-382</f>
        <v>40892</v>
      </c>
      <c r="D7571" s="8" t="str">
        <f t="shared" si="144"/>
        <v>2011-12 (декабрь 2011)</v>
      </c>
      <c r="E7571" s="9" t="s">
        <v>30</v>
      </c>
      <c r="F7571" s="7">
        <v>39</v>
      </c>
      <c r="G7571" s="7">
        <v>231.21</v>
      </c>
      <c r="H7571" s="7">
        <v>0</v>
      </c>
      <c r="I7571" s="9" t="s">
        <v>56</v>
      </c>
      <c r="J7571" s="10">
        <v>-179.96</v>
      </c>
      <c r="K7571" s="11">
        <v>5.28</v>
      </c>
      <c r="L7571" s="11">
        <v>8.16</v>
      </c>
      <c r="M7571" s="9" t="s">
        <v>2078</v>
      </c>
      <c r="N7571" s="6" t="s">
        <v>2073</v>
      </c>
      <c r="O7571" s="6" t="s">
        <v>704</v>
      </c>
      <c r="P7571" s="9" t="s">
        <v>33</v>
      </c>
      <c r="Q7571" s="9" t="s">
        <v>26</v>
      </c>
      <c r="R7571" s="9" t="s">
        <v>61</v>
      </c>
      <c r="S7571" s="7" t="s">
        <v>1640</v>
      </c>
      <c r="T7571" s="9" t="s">
        <v>39</v>
      </c>
      <c r="U7571" s="7">
        <v>0.4</v>
      </c>
      <c r="V7571" s="12">
        <f>C7571+1</f>
        <v>40893</v>
      </c>
      <c r="W7571">
        <f>IF(D7571=' Pivot Tables'!$A$4,1,0)</f>
        <v>0</v>
      </c>
      <c r="X7571">
        <f>IF(AND(LEFT(D7571,4)+1=LEFT(' Pivot Tables'!$A$4,4)+0,RIGHT(LEFT(D7571,7),2)=RIGHT(LEFT(' Pivot Tables'!$A$4,7),2)),1,0)</f>
        <v>0</v>
      </c>
      <c r="Y7571" s="6">
        <f>1/COUNTIF(Таблица1[Order ID],Таблица1[[#This Row],[Order ID]])</f>
        <v>1</v>
      </c>
      <c r="Z7571" s="9">
        <f>1/COUNTIFS(Таблица1[Customer Name],Таблица1[[#This Row],[Customer Name]],Таблица1[Order-Year-Month],Таблица1[[#This Row],[Order-Year-Month]])</f>
        <v>1</v>
      </c>
    </row>
    <row r="7572" spans="1:26" x14ac:dyDescent="0.2">
      <c r="A7572" s="6">
        <v>3047</v>
      </c>
      <c r="B7572" s="7">
        <v>21862</v>
      </c>
      <c r="C7572" s="8">
        <f>DATE(2012,12,31)-841</f>
        <v>40433</v>
      </c>
      <c r="D7572" s="8" t="str">
        <f t="shared" si="144"/>
        <v>2010-09 (сентябрь 2010)</v>
      </c>
      <c r="E7572" s="9" t="s">
        <v>45</v>
      </c>
      <c r="F7572" s="7">
        <v>1</v>
      </c>
      <c r="G7572" s="7">
        <v>28.75</v>
      </c>
      <c r="H7572" s="7">
        <v>0.09</v>
      </c>
      <c r="I7572" s="9" t="s">
        <v>56</v>
      </c>
      <c r="J7572" s="10">
        <v>-14.352</v>
      </c>
      <c r="K7572" s="11">
        <v>14.27</v>
      </c>
      <c r="L7572" s="11">
        <v>7.27</v>
      </c>
      <c r="M7572" s="9" t="s">
        <v>2078</v>
      </c>
      <c r="N7572" s="6" t="s">
        <v>2073</v>
      </c>
      <c r="O7572" s="6" t="s">
        <v>704</v>
      </c>
      <c r="P7572" s="9" t="s">
        <v>33</v>
      </c>
      <c r="Q7572" s="9" t="s">
        <v>26</v>
      </c>
      <c r="R7572" s="9" t="s">
        <v>37</v>
      </c>
      <c r="S7572" s="7" t="s">
        <v>658</v>
      </c>
      <c r="T7572" s="9" t="s">
        <v>39</v>
      </c>
      <c r="U7572" s="7">
        <v>0.38</v>
      </c>
      <c r="V7572" s="12">
        <f>C7572+0</f>
        <v>40433</v>
      </c>
      <c r="W7572">
        <f>IF(D7572=' Pivot Tables'!$A$4,1,0)</f>
        <v>0</v>
      </c>
      <c r="X7572">
        <f>IF(AND(LEFT(D7572,4)+1=LEFT(' Pivot Tables'!$A$4,4)+0,RIGHT(LEFT(D7572,7),2)=RIGHT(LEFT(' Pivot Tables'!$A$4,7),2)),1,0)</f>
        <v>0</v>
      </c>
      <c r="Y7572" s="6">
        <f>1/COUNTIF(Таблица1[Order ID],Таблица1[[#This Row],[Order ID]])</f>
        <v>0.33333333333333331</v>
      </c>
      <c r="Z7572" s="9">
        <f>1/COUNTIFS(Таблица1[Customer Name],Таблица1[[#This Row],[Customer Name]],Таблица1[Order-Year-Month],Таблица1[[#This Row],[Order-Year-Month]])</f>
        <v>0.33333333333333331</v>
      </c>
    </row>
    <row r="7573" spans="1:26" x14ac:dyDescent="0.2">
      <c r="A7573" s="6">
        <v>3048</v>
      </c>
      <c r="B7573" s="7">
        <v>21862</v>
      </c>
      <c r="C7573" s="8">
        <f>DATE(2012,12,31)-841</f>
        <v>40433</v>
      </c>
      <c r="D7573" s="8" t="str">
        <f t="shared" si="144"/>
        <v>2010-09 (сентябрь 2010)</v>
      </c>
      <c r="E7573" s="9" t="s">
        <v>45</v>
      </c>
      <c r="F7573" s="7">
        <v>4</v>
      </c>
      <c r="G7573" s="7">
        <v>19014.240000000002</v>
      </c>
      <c r="H7573" s="7">
        <v>0.06</v>
      </c>
      <c r="I7573" s="9" t="s">
        <v>22</v>
      </c>
      <c r="J7573" s="10">
        <v>-10263.6597</v>
      </c>
      <c r="K7573" s="11">
        <v>6783.02</v>
      </c>
      <c r="L7573" s="11">
        <v>24.49</v>
      </c>
      <c r="M7573" s="9" t="s">
        <v>2078</v>
      </c>
      <c r="N7573" s="6" t="s">
        <v>2073</v>
      </c>
      <c r="O7573" s="6" t="s">
        <v>704</v>
      </c>
      <c r="P7573" s="9" t="s">
        <v>33</v>
      </c>
      <c r="Q7573" s="9" t="s">
        <v>42</v>
      </c>
      <c r="R7573" s="9" t="s">
        <v>210</v>
      </c>
      <c r="S7573" s="7" t="s">
        <v>1668</v>
      </c>
      <c r="T7573" s="9" t="s">
        <v>29</v>
      </c>
      <c r="U7573" s="7">
        <v>0.39</v>
      </c>
      <c r="V7573" s="12">
        <f>C7573+2</f>
        <v>40435</v>
      </c>
      <c r="W7573">
        <f>IF(D7573=' Pivot Tables'!$A$4,1,0)</f>
        <v>0</v>
      </c>
      <c r="X7573">
        <f>IF(AND(LEFT(D7573,4)+1=LEFT(' Pivot Tables'!$A$4,4)+0,RIGHT(LEFT(D7573,7),2)=RIGHT(LEFT(' Pivot Tables'!$A$4,7),2)),1,0)</f>
        <v>0</v>
      </c>
      <c r="Y7573" s="6">
        <f>1/COUNTIF(Таблица1[Order ID],Таблица1[[#This Row],[Order ID]])</f>
        <v>0.33333333333333331</v>
      </c>
      <c r="Z7573" s="9">
        <f>1/COUNTIFS(Таблица1[Customer Name],Таблица1[[#This Row],[Customer Name]],Таблица1[Order-Year-Month],Таблица1[[#This Row],[Order-Year-Month]])</f>
        <v>0.33333333333333331</v>
      </c>
    </row>
    <row r="7574" spans="1:26" x14ac:dyDescent="0.2">
      <c r="A7574" s="6">
        <v>3049</v>
      </c>
      <c r="B7574" s="7">
        <v>21862</v>
      </c>
      <c r="C7574" s="8">
        <f>DATE(2012,12,31)-841</f>
        <v>40433</v>
      </c>
      <c r="D7574" s="8" t="str">
        <f t="shared" si="144"/>
        <v>2010-09 (сентябрь 2010)</v>
      </c>
      <c r="E7574" s="9" t="s">
        <v>45</v>
      </c>
      <c r="F7574" s="7">
        <v>46</v>
      </c>
      <c r="G7574" s="7">
        <v>385.05</v>
      </c>
      <c r="H7574" s="7">
        <v>0</v>
      </c>
      <c r="I7574" s="9" t="s">
        <v>22</v>
      </c>
      <c r="J7574" s="10">
        <v>56.75</v>
      </c>
      <c r="K7574" s="11">
        <v>8.14</v>
      </c>
      <c r="L7574" s="11">
        <v>3.12</v>
      </c>
      <c r="M7574" s="9" t="s">
        <v>2078</v>
      </c>
      <c r="N7574" s="6" t="s">
        <v>2073</v>
      </c>
      <c r="O7574" s="6" t="s">
        <v>704</v>
      </c>
      <c r="P7574" s="9" t="s">
        <v>33</v>
      </c>
      <c r="Q7574" s="9" t="s">
        <v>26</v>
      </c>
      <c r="R7574" s="9" t="s">
        <v>95</v>
      </c>
      <c r="S7574" s="7" t="s">
        <v>1979</v>
      </c>
      <c r="T7574" s="9" t="s">
        <v>68</v>
      </c>
      <c r="U7574" s="7">
        <v>0.45</v>
      </c>
      <c r="V7574" s="12">
        <f>C7574+1</f>
        <v>40434</v>
      </c>
      <c r="W7574">
        <f>IF(D7574=' Pivot Tables'!$A$4,1,0)</f>
        <v>0</v>
      </c>
      <c r="X7574">
        <f>IF(AND(LEFT(D7574,4)+1=LEFT(' Pivot Tables'!$A$4,4)+0,RIGHT(LEFT(D7574,7),2)=RIGHT(LEFT(' Pivot Tables'!$A$4,7),2)),1,0)</f>
        <v>0</v>
      </c>
      <c r="Y7574" s="6">
        <f>1/COUNTIF(Таблица1[Order ID],Таблица1[[#This Row],[Order ID]])</f>
        <v>0.33333333333333331</v>
      </c>
      <c r="Z7574" s="9">
        <f>1/COUNTIFS(Таблица1[Customer Name],Таблица1[[#This Row],[Customer Name]],Таблица1[Order-Year-Month],Таблица1[[#This Row],[Order-Year-Month]])</f>
        <v>0.33333333333333331</v>
      </c>
    </row>
    <row r="7575" spans="1:26" x14ac:dyDescent="0.2">
      <c r="A7575" s="6">
        <v>3169</v>
      </c>
      <c r="B7575" s="7">
        <v>22787</v>
      </c>
      <c r="C7575" s="8">
        <f>DATE(2012,12,31)-636</f>
        <v>40638</v>
      </c>
      <c r="D7575" s="8" t="str">
        <f t="shared" si="144"/>
        <v>2011-04 (апрель 2011)</v>
      </c>
      <c r="E7575" s="9" t="s">
        <v>63</v>
      </c>
      <c r="F7575" s="7">
        <v>35</v>
      </c>
      <c r="G7575" s="7">
        <v>46.44</v>
      </c>
      <c r="H7575" s="7">
        <v>0.06</v>
      </c>
      <c r="I7575" s="9" t="s">
        <v>56</v>
      </c>
      <c r="J7575" s="10">
        <v>-16.3</v>
      </c>
      <c r="K7575" s="11">
        <v>1.26</v>
      </c>
      <c r="L7575" s="11">
        <v>0.7</v>
      </c>
      <c r="M7575" s="9" t="s">
        <v>2020</v>
      </c>
      <c r="N7575" s="6" t="s">
        <v>2073</v>
      </c>
      <c r="O7575" s="6" t="s">
        <v>704</v>
      </c>
      <c r="P7575" s="9" t="s">
        <v>41</v>
      </c>
      <c r="Q7575" s="9" t="s">
        <v>26</v>
      </c>
      <c r="R7575" s="9" t="s">
        <v>66</v>
      </c>
      <c r="S7575" s="7" t="s">
        <v>351</v>
      </c>
      <c r="T7575" s="9" t="s">
        <v>68</v>
      </c>
      <c r="U7575" s="7">
        <v>0.81</v>
      </c>
      <c r="V7575" s="12">
        <f>C7575+0</f>
        <v>40638</v>
      </c>
      <c r="W7575">
        <f>IF(D7575=' Pivot Tables'!$A$4,1,0)</f>
        <v>0</v>
      </c>
      <c r="X7575">
        <f>IF(AND(LEFT(D7575,4)+1=LEFT(' Pivot Tables'!$A$4,4)+0,RIGHT(LEFT(D7575,7),2)=RIGHT(LEFT(' Pivot Tables'!$A$4,7),2)),1,0)</f>
        <v>0</v>
      </c>
      <c r="Y7575" s="6">
        <f>1/COUNTIF(Таблица1[Order ID],Таблица1[[#This Row],[Order ID]])</f>
        <v>1</v>
      </c>
      <c r="Z7575" s="9">
        <f>1/COUNTIFS(Таблица1[Customer Name],Таблица1[[#This Row],[Customer Name]],Таблица1[Order-Year-Month],Таблица1[[#This Row],[Order-Year-Month]])</f>
        <v>1</v>
      </c>
    </row>
    <row r="7576" spans="1:26" x14ac:dyDescent="0.2">
      <c r="A7576" s="6">
        <v>3229</v>
      </c>
      <c r="B7576" s="7">
        <v>23170</v>
      </c>
      <c r="C7576" s="8">
        <f>DATE(2012,12,31)-1320</f>
        <v>39954</v>
      </c>
      <c r="D7576" s="8" t="str">
        <f t="shared" si="144"/>
        <v>2009-05 (май 2009)</v>
      </c>
      <c r="E7576" s="9" t="s">
        <v>45</v>
      </c>
      <c r="F7576" s="7">
        <v>20</v>
      </c>
      <c r="G7576" s="7">
        <v>4252.8900000000003</v>
      </c>
      <c r="H7576" s="7">
        <v>0.06</v>
      </c>
      <c r="I7576" s="9" t="s">
        <v>56</v>
      </c>
      <c r="J7576" s="10">
        <v>969.42</v>
      </c>
      <c r="K7576" s="11">
        <v>218.08</v>
      </c>
      <c r="L7576" s="11">
        <v>18.059999999999999</v>
      </c>
      <c r="M7576" s="9" t="s">
        <v>2076</v>
      </c>
      <c r="N7576" s="6" t="s">
        <v>2073</v>
      </c>
      <c r="O7576" s="6" t="s">
        <v>704</v>
      </c>
      <c r="P7576" s="9" t="s">
        <v>33</v>
      </c>
      <c r="Q7576" s="9" t="s">
        <v>49</v>
      </c>
      <c r="R7576" s="9" t="s">
        <v>112</v>
      </c>
      <c r="S7576" s="7" t="s">
        <v>186</v>
      </c>
      <c r="T7576" s="9" t="s">
        <v>29</v>
      </c>
      <c r="U7576" s="7">
        <v>0.56999999999999995</v>
      </c>
      <c r="V7576" s="12">
        <f>C7576+2</f>
        <v>39956</v>
      </c>
      <c r="W7576">
        <f>IF(D7576=' Pivot Tables'!$A$4,1,0)</f>
        <v>0</v>
      </c>
      <c r="X7576">
        <f>IF(AND(LEFT(D7576,4)+1=LEFT(' Pivot Tables'!$A$4,4)+0,RIGHT(LEFT(D7576,7),2)=RIGHT(LEFT(' Pivot Tables'!$A$4,7),2)),1,0)</f>
        <v>0</v>
      </c>
      <c r="Y7576" s="6">
        <f>1/COUNTIF(Таблица1[Order ID],Таблица1[[#This Row],[Order ID]])</f>
        <v>1</v>
      </c>
      <c r="Z7576" s="9">
        <f>1/COUNTIFS(Таблица1[Customer Name],Таблица1[[#This Row],[Customer Name]],Таблица1[Order-Year-Month],Таблица1[[#This Row],[Order-Year-Month]])</f>
        <v>1</v>
      </c>
    </row>
    <row r="7577" spans="1:26" x14ac:dyDescent="0.2">
      <c r="A7577" s="6">
        <v>3256</v>
      </c>
      <c r="B7577" s="7">
        <v>23328</v>
      </c>
      <c r="C7577" s="8">
        <f>DATE(2012,12,31)-838</f>
        <v>40436</v>
      </c>
      <c r="D7577" s="8" t="str">
        <f t="shared" si="144"/>
        <v>2010-09 (сентябрь 2010)</v>
      </c>
      <c r="E7577" s="9" t="s">
        <v>30</v>
      </c>
      <c r="F7577" s="7">
        <v>39</v>
      </c>
      <c r="G7577" s="7">
        <v>5740.32</v>
      </c>
      <c r="H7577" s="7">
        <v>0.03</v>
      </c>
      <c r="I7577" s="9" t="s">
        <v>31</v>
      </c>
      <c r="J7577" s="10">
        <v>1285.74</v>
      </c>
      <c r="K7577" s="11">
        <v>145.44999999999999</v>
      </c>
      <c r="L7577" s="11">
        <v>17.850000000000001</v>
      </c>
      <c r="M7577" s="9" t="s">
        <v>2077</v>
      </c>
      <c r="N7577" s="6" t="s">
        <v>2073</v>
      </c>
      <c r="O7577" s="6" t="s">
        <v>704</v>
      </c>
      <c r="P7577" s="9" t="s">
        <v>25</v>
      </c>
      <c r="Q7577" s="9" t="s">
        <v>42</v>
      </c>
      <c r="R7577" s="9" t="s">
        <v>210</v>
      </c>
      <c r="S7577" s="7" t="s">
        <v>234</v>
      </c>
      <c r="T7577" s="9" t="s">
        <v>36</v>
      </c>
      <c r="U7577" s="7">
        <v>0.56000000000000005</v>
      </c>
      <c r="V7577" s="12">
        <f>C7577+1</f>
        <v>40437</v>
      </c>
      <c r="W7577">
        <f>IF(D7577=' Pivot Tables'!$A$4,1,0)</f>
        <v>0</v>
      </c>
      <c r="X7577">
        <f>IF(AND(LEFT(D7577,4)+1=LEFT(' Pivot Tables'!$A$4,4)+0,RIGHT(LEFT(D7577,7),2)=RIGHT(LEFT(' Pivot Tables'!$A$4,7),2)),1,0)</f>
        <v>0</v>
      </c>
      <c r="Y7577" s="6">
        <f>1/COUNTIF(Таблица1[Order ID],Таблица1[[#This Row],[Order ID]])</f>
        <v>1</v>
      </c>
      <c r="Z7577" s="9">
        <f>1/COUNTIFS(Таблица1[Customer Name],Таблица1[[#This Row],[Customer Name]],Таблица1[Order-Year-Month],Таблица1[[#This Row],[Order-Year-Month]])</f>
        <v>1</v>
      </c>
    </row>
    <row r="7578" spans="1:26" x14ac:dyDescent="0.2">
      <c r="A7578" s="6">
        <v>3403</v>
      </c>
      <c r="B7578" s="7">
        <v>24260</v>
      </c>
      <c r="C7578" s="8">
        <f>DATE(2012,12,31)-820</f>
        <v>40454</v>
      </c>
      <c r="D7578" s="8" t="str">
        <f t="shared" si="144"/>
        <v>2010-10 (октябрь 2010)</v>
      </c>
      <c r="E7578" s="9" t="s">
        <v>45</v>
      </c>
      <c r="F7578" s="7">
        <v>48</v>
      </c>
      <c r="G7578" s="7">
        <v>548.29999999999995</v>
      </c>
      <c r="H7578" s="7">
        <v>0.09</v>
      </c>
      <c r="I7578" s="9" t="s">
        <v>56</v>
      </c>
      <c r="J7578" s="10">
        <v>-47.92</v>
      </c>
      <c r="K7578" s="11">
        <v>11.97</v>
      </c>
      <c r="L7578" s="11">
        <v>4.9800000000000004</v>
      </c>
      <c r="M7578" s="9" t="s">
        <v>2074</v>
      </c>
      <c r="N7578" s="6" t="s">
        <v>2073</v>
      </c>
      <c r="O7578" s="6" t="s">
        <v>704</v>
      </c>
      <c r="P7578" s="9" t="s">
        <v>41</v>
      </c>
      <c r="Q7578" s="9" t="s">
        <v>26</v>
      </c>
      <c r="R7578" s="9" t="s">
        <v>34</v>
      </c>
      <c r="S7578" s="7" t="s">
        <v>274</v>
      </c>
      <c r="T7578" s="9" t="s">
        <v>39</v>
      </c>
      <c r="U7578" s="7">
        <v>0.57999999999999996</v>
      </c>
      <c r="V7578" s="12">
        <f>C7578+1</f>
        <v>40455</v>
      </c>
      <c r="W7578">
        <f>IF(D7578=' Pivot Tables'!$A$4,1,0)</f>
        <v>0</v>
      </c>
      <c r="X7578">
        <f>IF(AND(LEFT(D7578,4)+1=LEFT(' Pivot Tables'!$A$4,4)+0,RIGHT(LEFT(D7578,7),2)=RIGHT(LEFT(' Pivot Tables'!$A$4,7),2)),1,0)</f>
        <v>0</v>
      </c>
      <c r="Y7578" s="6">
        <f>1/COUNTIF(Таблица1[Order ID],Таблица1[[#This Row],[Order ID]])</f>
        <v>1</v>
      </c>
      <c r="Z7578" s="9">
        <f>1/COUNTIFS(Таблица1[Customer Name],Таблица1[[#This Row],[Customer Name]],Таблица1[Order-Year-Month],Таблица1[[#This Row],[Order-Year-Month]])</f>
        <v>1</v>
      </c>
    </row>
    <row r="7579" spans="1:26" x14ac:dyDescent="0.2">
      <c r="A7579" s="6">
        <v>3404</v>
      </c>
      <c r="B7579" s="7">
        <v>24261</v>
      </c>
      <c r="C7579" s="8">
        <f>DATE(2012,12,31)-105</f>
        <v>41169</v>
      </c>
      <c r="D7579" s="8" t="str">
        <f t="shared" si="144"/>
        <v>2012-09 (сентябрь 2012)</v>
      </c>
      <c r="E7579" s="9" t="s">
        <v>78</v>
      </c>
      <c r="F7579" s="7">
        <v>28</v>
      </c>
      <c r="G7579" s="7">
        <v>946.27</v>
      </c>
      <c r="H7579" s="7">
        <v>0.06</v>
      </c>
      <c r="I7579" s="9" t="s">
        <v>22</v>
      </c>
      <c r="J7579" s="10">
        <v>66.38</v>
      </c>
      <c r="K7579" s="11">
        <v>33.29</v>
      </c>
      <c r="L7579" s="11">
        <v>8.74</v>
      </c>
      <c r="M7579" s="9" t="s">
        <v>2075</v>
      </c>
      <c r="N7579" s="6" t="s">
        <v>2073</v>
      </c>
      <c r="O7579" s="6" t="s">
        <v>704</v>
      </c>
      <c r="P7579" s="9" t="s">
        <v>25</v>
      </c>
      <c r="Q7579" s="9" t="s">
        <v>26</v>
      </c>
      <c r="R7579" s="9" t="s">
        <v>27</v>
      </c>
      <c r="S7579" s="7" t="s">
        <v>1320</v>
      </c>
      <c r="T7579" s="9" t="s">
        <v>39</v>
      </c>
      <c r="U7579" s="7">
        <v>0.61</v>
      </c>
      <c r="V7579" s="12">
        <f>C7579+2</f>
        <v>41171</v>
      </c>
      <c r="W7579">
        <f>IF(D7579=' Pivot Tables'!$A$4,1,0)</f>
        <v>0</v>
      </c>
      <c r="X7579">
        <f>IF(AND(LEFT(D7579,4)+1=LEFT(' Pivot Tables'!$A$4,4)+0,RIGHT(LEFT(D7579,7),2)=RIGHT(LEFT(' Pivot Tables'!$A$4,7),2)),1,0)</f>
        <v>0</v>
      </c>
      <c r="Y7579" s="6">
        <f>1/COUNTIF(Таблица1[Order ID],Таблица1[[#This Row],[Order ID]])</f>
        <v>1</v>
      </c>
      <c r="Z7579" s="9">
        <f>1/COUNTIFS(Таблица1[Customer Name],Таблица1[[#This Row],[Customer Name]],Таблица1[Order-Year-Month],Таблица1[[#This Row],[Order-Year-Month]])</f>
        <v>1</v>
      </c>
    </row>
    <row r="7580" spans="1:26" x14ac:dyDescent="0.2">
      <c r="A7580" s="6">
        <v>3646</v>
      </c>
      <c r="B7580" s="7">
        <v>26054</v>
      </c>
      <c r="C7580" s="8">
        <f>DATE(2012,12,31)-1053</f>
        <v>40221</v>
      </c>
      <c r="D7580" s="8" t="str">
        <f t="shared" si="144"/>
        <v>2010-02 (февраль 2010)</v>
      </c>
      <c r="E7580" s="9" t="s">
        <v>78</v>
      </c>
      <c r="F7580" s="7">
        <v>47</v>
      </c>
      <c r="G7580" s="7">
        <v>396.78</v>
      </c>
      <c r="H7580" s="7">
        <v>0.09</v>
      </c>
      <c r="I7580" s="9" t="s">
        <v>22</v>
      </c>
      <c r="J7580" s="10">
        <v>-321.20999999999998</v>
      </c>
      <c r="K7580" s="11">
        <v>8.3699999999999992</v>
      </c>
      <c r="L7580" s="11">
        <v>10.16</v>
      </c>
      <c r="M7580" s="9" t="s">
        <v>2077</v>
      </c>
      <c r="N7580" s="6" t="s">
        <v>2073</v>
      </c>
      <c r="O7580" s="6" t="s">
        <v>704</v>
      </c>
      <c r="P7580" s="9" t="s">
        <v>25</v>
      </c>
      <c r="Q7580" s="9" t="s">
        <v>49</v>
      </c>
      <c r="R7580" s="9" t="s">
        <v>50</v>
      </c>
      <c r="S7580" s="7" t="s">
        <v>948</v>
      </c>
      <c r="T7580" s="9" t="s">
        <v>29</v>
      </c>
      <c r="U7580" s="7">
        <v>0.59</v>
      </c>
      <c r="V7580" s="12">
        <f>C7580+2</f>
        <v>40223</v>
      </c>
      <c r="W7580">
        <f>IF(D7580=' Pivot Tables'!$A$4,1,0)</f>
        <v>0</v>
      </c>
      <c r="X7580">
        <f>IF(AND(LEFT(D7580,4)+1=LEFT(' Pivot Tables'!$A$4,4)+0,RIGHT(LEFT(D7580,7),2)=RIGHT(LEFT(' Pivot Tables'!$A$4,7),2)),1,0)</f>
        <v>0</v>
      </c>
      <c r="Y7580" s="6">
        <f>1/COUNTIF(Таблица1[Order ID],Таблица1[[#This Row],[Order ID]])</f>
        <v>1</v>
      </c>
      <c r="Z7580" s="9">
        <f>1/COUNTIFS(Таблица1[Customer Name],Таблица1[[#This Row],[Customer Name]],Таблица1[Order-Year-Month],Таблица1[[#This Row],[Order-Year-Month]])</f>
        <v>0.5</v>
      </c>
    </row>
    <row r="7581" spans="1:26" x14ac:dyDescent="0.2">
      <c r="A7581" s="6">
        <v>3887</v>
      </c>
      <c r="B7581" s="7">
        <v>27750</v>
      </c>
      <c r="C7581" s="8">
        <f>DATE(2012,12,31)-73</f>
        <v>41201</v>
      </c>
      <c r="D7581" s="8" t="str">
        <f t="shared" si="144"/>
        <v>2012-10 (октябрь 2012)</v>
      </c>
      <c r="E7581" s="9" t="s">
        <v>21</v>
      </c>
      <c r="F7581" s="7">
        <v>12</v>
      </c>
      <c r="G7581" s="7">
        <v>769.17</v>
      </c>
      <c r="H7581" s="7">
        <v>0</v>
      </c>
      <c r="I7581" s="9" t="s">
        <v>31</v>
      </c>
      <c r="J7581" s="10">
        <v>-212.01</v>
      </c>
      <c r="K7581" s="11">
        <v>58.14</v>
      </c>
      <c r="L7581" s="11">
        <v>36.61</v>
      </c>
      <c r="M7581" s="9" t="s">
        <v>914</v>
      </c>
      <c r="N7581" s="6" t="s">
        <v>2073</v>
      </c>
      <c r="O7581" s="6" t="s">
        <v>704</v>
      </c>
      <c r="P7581" s="9" t="s">
        <v>25</v>
      </c>
      <c r="Q7581" s="9" t="s">
        <v>49</v>
      </c>
      <c r="R7581" s="9" t="s">
        <v>80</v>
      </c>
      <c r="S7581" s="7" t="s">
        <v>233</v>
      </c>
      <c r="T7581" s="9" t="s">
        <v>82</v>
      </c>
      <c r="U7581" s="7">
        <v>0.61</v>
      </c>
      <c r="V7581" s="12">
        <f>C7581+4</f>
        <v>41205</v>
      </c>
      <c r="W7581">
        <f>IF(D7581=' Pivot Tables'!$A$4,1,0)</f>
        <v>0</v>
      </c>
      <c r="X7581">
        <f>IF(AND(LEFT(D7581,4)+1=LEFT(' Pivot Tables'!$A$4,4)+0,RIGHT(LEFT(D7581,7),2)=RIGHT(LEFT(' Pivot Tables'!$A$4,7),2)),1,0)</f>
        <v>0</v>
      </c>
      <c r="Y7581" s="6">
        <f>1/COUNTIF(Таблица1[Order ID],Таблица1[[#This Row],[Order ID]])</f>
        <v>0.5</v>
      </c>
      <c r="Z7581" s="9">
        <f>1/COUNTIFS(Таблица1[Customer Name],Таблица1[[#This Row],[Customer Name]],Таблица1[Order-Year-Month],Таблица1[[#This Row],[Order-Year-Month]])</f>
        <v>0.25</v>
      </c>
    </row>
    <row r="7582" spans="1:26" x14ac:dyDescent="0.2">
      <c r="A7582" s="6">
        <v>3888</v>
      </c>
      <c r="B7582" s="7">
        <v>27750</v>
      </c>
      <c r="C7582" s="8">
        <f>DATE(2012,12,31)-73</f>
        <v>41201</v>
      </c>
      <c r="D7582" s="8" t="str">
        <f t="shared" si="144"/>
        <v>2012-10 (октябрь 2012)</v>
      </c>
      <c r="E7582" s="9" t="s">
        <v>21</v>
      </c>
      <c r="F7582" s="7">
        <v>18</v>
      </c>
      <c r="G7582" s="7">
        <v>7370.84</v>
      </c>
      <c r="H7582" s="7">
        <v>0.09</v>
      </c>
      <c r="I7582" s="9" t="s">
        <v>31</v>
      </c>
      <c r="J7582" s="10">
        <v>999.86500000000001</v>
      </c>
      <c r="K7582" s="11">
        <v>449.99</v>
      </c>
      <c r="L7582" s="11">
        <v>49</v>
      </c>
      <c r="M7582" s="9" t="s">
        <v>914</v>
      </c>
      <c r="N7582" s="6" t="s">
        <v>2073</v>
      </c>
      <c r="O7582" s="6" t="s">
        <v>704</v>
      </c>
      <c r="P7582" s="9" t="s">
        <v>25</v>
      </c>
      <c r="Q7582" s="9" t="s">
        <v>42</v>
      </c>
      <c r="R7582" s="9" t="s">
        <v>99</v>
      </c>
      <c r="S7582" s="7" t="s">
        <v>100</v>
      </c>
      <c r="T7582" s="9" t="s">
        <v>36</v>
      </c>
      <c r="U7582" s="7">
        <v>0.38</v>
      </c>
      <c r="V7582" s="12">
        <f>C7582+0</f>
        <v>41201</v>
      </c>
      <c r="W7582">
        <f>IF(D7582=' Pivot Tables'!$A$4,1,0)</f>
        <v>0</v>
      </c>
      <c r="X7582">
        <f>IF(AND(LEFT(D7582,4)+1=LEFT(' Pivot Tables'!$A$4,4)+0,RIGHT(LEFT(D7582,7),2)=RIGHT(LEFT(' Pivot Tables'!$A$4,7),2)),1,0)</f>
        <v>0</v>
      </c>
      <c r="Y7582" s="6">
        <f>1/COUNTIF(Таблица1[Order ID],Таблица1[[#This Row],[Order ID]])</f>
        <v>0.5</v>
      </c>
      <c r="Z7582" s="9">
        <f>1/COUNTIFS(Таблица1[Customer Name],Таблица1[[#This Row],[Customer Name]],Таблица1[Order-Year-Month],Таблица1[[#This Row],[Order-Year-Month]])</f>
        <v>0.25</v>
      </c>
    </row>
    <row r="7583" spans="1:26" x14ac:dyDescent="0.2">
      <c r="A7583" s="6">
        <v>3908</v>
      </c>
      <c r="B7583" s="7">
        <v>27872</v>
      </c>
      <c r="C7583" s="8">
        <f>DATE(2012,12,31)-445</f>
        <v>40829</v>
      </c>
      <c r="D7583" s="8" t="str">
        <f t="shared" si="144"/>
        <v>2011-10 (октябрь 2011)</v>
      </c>
      <c r="E7583" s="9" t="s">
        <v>45</v>
      </c>
      <c r="F7583" s="7">
        <v>25</v>
      </c>
      <c r="G7583" s="7">
        <v>388.71</v>
      </c>
      <c r="H7583" s="7">
        <v>0.01</v>
      </c>
      <c r="I7583" s="9" t="s">
        <v>22</v>
      </c>
      <c r="J7583" s="10">
        <v>36.430999999999997</v>
      </c>
      <c r="K7583" s="11">
        <v>14.27</v>
      </c>
      <c r="L7583" s="11">
        <v>7.27</v>
      </c>
      <c r="M7583" s="9" t="s">
        <v>2080</v>
      </c>
      <c r="N7583" s="6" t="s">
        <v>2073</v>
      </c>
      <c r="O7583" s="6" t="s">
        <v>704</v>
      </c>
      <c r="P7583" s="9" t="s">
        <v>41</v>
      </c>
      <c r="Q7583" s="9" t="s">
        <v>26</v>
      </c>
      <c r="R7583" s="9" t="s">
        <v>37</v>
      </c>
      <c r="S7583" s="7" t="s">
        <v>658</v>
      </c>
      <c r="T7583" s="9" t="s">
        <v>39</v>
      </c>
      <c r="U7583" s="7">
        <v>0.38</v>
      </c>
      <c r="V7583" s="12">
        <f>C7583+2</f>
        <v>40831</v>
      </c>
      <c r="W7583">
        <f>IF(D7583=' Pivot Tables'!$A$4,1,0)</f>
        <v>0</v>
      </c>
      <c r="X7583">
        <f>IF(AND(LEFT(D7583,4)+1=LEFT(' Pivot Tables'!$A$4,4)+0,RIGHT(LEFT(D7583,7),2)=RIGHT(LEFT(' Pivot Tables'!$A$4,7),2)),1,0)</f>
        <v>0</v>
      </c>
      <c r="Y7583" s="6">
        <f>1/COUNTIF(Таблица1[Order ID],Таблица1[[#This Row],[Order ID]])</f>
        <v>1</v>
      </c>
      <c r="Z7583" s="9">
        <f>1/COUNTIFS(Таблица1[Customer Name],Таблица1[[#This Row],[Customer Name]],Таблица1[Order-Year-Month],Таблица1[[#This Row],[Order-Year-Month]])</f>
        <v>0.5</v>
      </c>
    </row>
    <row r="7584" spans="1:26" x14ac:dyDescent="0.2">
      <c r="A7584" s="6">
        <v>4368</v>
      </c>
      <c r="B7584" s="7">
        <v>31109</v>
      </c>
      <c r="C7584" s="8">
        <f>DATE(2012,12,31)-430</f>
        <v>40844</v>
      </c>
      <c r="D7584" s="8" t="str">
        <f t="shared" si="144"/>
        <v>2011-10 (октябрь 2011)</v>
      </c>
      <c r="E7584" s="9" t="s">
        <v>21</v>
      </c>
      <c r="F7584" s="7">
        <v>49</v>
      </c>
      <c r="G7584" s="7">
        <v>1515</v>
      </c>
      <c r="H7584" s="7">
        <v>0.08</v>
      </c>
      <c r="I7584" s="9" t="s">
        <v>22</v>
      </c>
      <c r="J7584" s="10">
        <v>219.03649999999999</v>
      </c>
      <c r="K7584" s="11">
        <v>31.74</v>
      </c>
      <c r="L7584" s="11">
        <v>12.62</v>
      </c>
      <c r="M7584" s="9" t="s">
        <v>2075</v>
      </c>
      <c r="N7584" s="6" t="s">
        <v>2073</v>
      </c>
      <c r="O7584" s="6" t="s">
        <v>704</v>
      </c>
      <c r="P7584" s="9" t="s">
        <v>25</v>
      </c>
      <c r="Q7584" s="9" t="s">
        <v>26</v>
      </c>
      <c r="R7584" s="9" t="s">
        <v>37</v>
      </c>
      <c r="S7584" s="7" t="s">
        <v>1223</v>
      </c>
      <c r="T7584" s="9" t="s">
        <v>39</v>
      </c>
      <c r="U7584" s="7">
        <v>0.37</v>
      </c>
      <c r="V7584" s="12">
        <f>C7584+4</f>
        <v>40848</v>
      </c>
      <c r="W7584">
        <f>IF(D7584=' Pivot Tables'!$A$4,1,0)</f>
        <v>0</v>
      </c>
      <c r="X7584">
        <f>IF(AND(LEFT(D7584,4)+1=LEFT(' Pivot Tables'!$A$4,4)+0,RIGHT(LEFT(D7584,7),2)=RIGHT(LEFT(' Pivot Tables'!$A$4,7),2)),1,0)</f>
        <v>0</v>
      </c>
      <c r="Y7584" s="6">
        <f>1/COUNTIF(Таблица1[Order ID],Таблица1[[#This Row],[Order ID]])</f>
        <v>1</v>
      </c>
      <c r="Z7584" s="9">
        <f>1/COUNTIFS(Таблица1[Customer Name],Таблица1[[#This Row],[Customer Name]],Таблица1[Order-Year-Month],Таблица1[[#This Row],[Order-Year-Month]])</f>
        <v>1</v>
      </c>
    </row>
    <row r="7585" spans="1:26" x14ac:dyDescent="0.2">
      <c r="A7585" s="6">
        <v>4521</v>
      </c>
      <c r="B7585" s="7">
        <v>32165</v>
      </c>
      <c r="C7585" s="8">
        <f>DATE(2012,12,31)-78</f>
        <v>41196</v>
      </c>
      <c r="D7585" s="8" t="str">
        <f t="shared" si="144"/>
        <v>2012-10 (октябрь 2012)</v>
      </c>
      <c r="E7585" s="9" t="s">
        <v>45</v>
      </c>
      <c r="F7585" s="7">
        <v>47</v>
      </c>
      <c r="G7585" s="7">
        <v>3413.69</v>
      </c>
      <c r="H7585" s="7">
        <v>0.06</v>
      </c>
      <c r="I7585" s="9" t="s">
        <v>22</v>
      </c>
      <c r="J7585" s="10">
        <v>175.24</v>
      </c>
      <c r="K7585" s="11">
        <v>73.98</v>
      </c>
      <c r="L7585" s="11">
        <v>14.52</v>
      </c>
      <c r="M7585" s="9" t="s">
        <v>914</v>
      </c>
      <c r="N7585" s="6" t="s">
        <v>2073</v>
      </c>
      <c r="O7585" s="6" t="s">
        <v>704</v>
      </c>
      <c r="P7585" s="9" t="s">
        <v>25</v>
      </c>
      <c r="Q7585" s="9" t="s">
        <v>42</v>
      </c>
      <c r="R7585" s="9" t="s">
        <v>70</v>
      </c>
      <c r="S7585" s="7" t="s">
        <v>822</v>
      </c>
      <c r="T7585" s="9" t="s">
        <v>39</v>
      </c>
      <c r="U7585" s="7">
        <v>0.65</v>
      </c>
      <c r="V7585" s="12">
        <f>C7585+2</f>
        <v>41198</v>
      </c>
      <c r="W7585">
        <f>IF(D7585=' Pivot Tables'!$A$4,1,0)</f>
        <v>0</v>
      </c>
      <c r="X7585">
        <f>IF(AND(LEFT(D7585,4)+1=LEFT(' Pivot Tables'!$A$4,4)+0,RIGHT(LEFT(D7585,7),2)=RIGHT(LEFT(' Pivot Tables'!$A$4,7),2)),1,0)</f>
        <v>0</v>
      </c>
      <c r="Y7585" s="6">
        <f>1/COUNTIF(Таблица1[Order ID],Таблица1[[#This Row],[Order ID]])</f>
        <v>0.5</v>
      </c>
      <c r="Z7585" s="9">
        <f>1/COUNTIFS(Таблица1[Customer Name],Таблица1[[#This Row],[Customer Name]],Таблица1[Order-Year-Month],Таблица1[[#This Row],[Order-Year-Month]])</f>
        <v>0.25</v>
      </c>
    </row>
    <row r="7586" spans="1:26" x14ac:dyDescent="0.2">
      <c r="A7586" s="6">
        <v>4522</v>
      </c>
      <c r="B7586" s="7">
        <v>32165</v>
      </c>
      <c r="C7586" s="8">
        <f>DATE(2012,12,31)-78</f>
        <v>41196</v>
      </c>
      <c r="D7586" s="8" t="str">
        <f t="shared" si="144"/>
        <v>2012-10 (октябрь 2012)</v>
      </c>
      <c r="E7586" s="9" t="s">
        <v>45</v>
      </c>
      <c r="F7586" s="7">
        <v>38</v>
      </c>
      <c r="G7586" s="7">
        <v>2939.6824999999999</v>
      </c>
      <c r="H7586" s="7">
        <v>0.02</v>
      </c>
      <c r="I7586" s="9" t="s">
        <v>22</v>
      </c>
      <c r="J7586" s="10">
        <v>192.06</v>
      </c>
      <c r="K7586" s="11">
        <v>85.99</v>
      </c>
      <c r="L7586" s="11">
        <v>0.99</v>
      </c>
      <c r="M7586" s="9" t="s">
        <v>914</v>
      </c>
      <c r="N7586" s="6" t="s">
        <v>2073</v>
      </c>
      <c r="O7586" s="6" t="s">
        <v>704</v>
      </c>
      <c r="P7586" s="9" t="s">
        <v>25</v>
      </c>
      <c r="Q7586" s="9" t="s">
        <v>42</v>
      </c>
      <c r="R7586" s="9" t="s">
        <v>43</v>
      </c>
      <c r="S7586" s="7" t="s">
        <v>146</v>
      </c>
      <c r="T7586" s="9" t="s">
        <v>68</v>
      </c>
      <c r="U7586" s="7">
        <v>0.85</v>
      </c>
      <c r="V7586" s="12">
        <f>C7586+1</f>
        <v>41197</v>
      </c>
      <c r="W7586">
        <f>IF(D7586=' Pivot Tables'!$A$4,1,0)</f>
        <v>0</v>
      </c>
      <c r="X7586">
        <f>IF(AND(LEFT(D7586,4)+1=LEFT(' Pivot Tables'!$A$4,4)+0,RIGHT(LEFT(D7586,7),2)=RIGHT(LEFT(' Pivot Tables'!$A$4,7),2)),1,0)</f>
        <v>0</v>
      </c>
      <c r="Y7586" s="6">
        <f>1/COUNTIF(Таблица1[Order ID],Таблица1[[#This Row],[Order ID]])</f>
        <v>0.5</v>
      </c>
      <c r="Z7586" s="9">
        <f>1/COUNTIFS(Таблица1[Customer Name],Таблица1[[#This Row],[Customer Name]],Таблица1[Order-Year-Month],Таблица1[[#This Row],[Order-Year-Month]])</f>
        <v>0.25</v>
      </c>
    </row>
    <row r="7587" spans="1:26" x14ac:dyDescent="0.2">
      <c r="A7587" s="6">
        <v>4544</v>
      </c>
      <c r="B7587" s="7">
        <v>32325</v>
      </c>
      <c r="C7587" s="8">
        <f>DATE(2012,12,31)-60</f>
        <v>41214</v>
      </c>
      <c r="D7587" s="8" t="str">
        <f t="shared" si="144"/>
        <v>2012-11 (ноябрь 2012)</v>
      </c>
      <c r="E7587" s="9" t="s">
        <v>78</v>
      </c>
      <c r="F7587" s="7">
        <v>45</v>
      </c>
      <c r="G7587" s="7">
        <v>1103.73</v>
      </c>
      <c r="H7587" s="7">
        <v>0</v>
      </c>
      <c r="I7587" s="9" t="s">
        <v>22</v>
      </c>
      <c r="J7587" s="10">
        <v>189.28</v>
      </c>
      <c r="K7587" s="11">
        <v>22.98</v>
      </c>
      <c r="L7587" s="11">
        <v>7.58</v>
      </c>
      <c r="M7587" s="9" t="s">
        <v>1289</v>
      </c>
      <c r="N7587" s="6" t="s">
        <v>2073</v>
      </c>
      <c r="O7587" s="6" t="s">
        <v>704</v>
      </c>
      <c r="P7587" s="9" t="s">
        <v>41</v>
      </c>
      <c r="Q7587" s="9" t="s">
        <v>49</v>
      </c>
      <c r="R7587" s="9" t="s">
        <v>50</v>
      </c>
      <c r="S7587" s="7" t="s">
        <v>789</v>
      </c>
      <c r="T7587" s="9" t="s">
        <v>39</v>
      </c>
      <c r="U7587" s="7">
        <v>0.51</v>
      </c>
      <c r="V7587" s="12">
        <f>C7587+1</f>
        <v>41215</v>
      </c>
      <c r="W7587">
        <f>IF(D7587=' Pivot Tables'!$A$4,1,0)</f>
        <v>0</v>
      </c>
      <c r="X7587">
        <f>IF(AND(LEFT(D7587,4)+1=LEFT(' Pivot Tables'!$A$4,4)+0,RIGHT(LEFT(D7587,7),2)=RIGHT(LEFT(' Pivot Tables'!$A$4,7),2)),1,0)</f>
        <v>0</v>
      </c>
      <c r="Y7587" s="6">
        <f>1/COUNTIF(Таблица1[Order ID],Таблица1[[#This Row],[Order ID]])</f>
        <v>1</v>
      </c>
      <c r="Z7587" s="9">
        <f>1/COUNTIFS(Таблица1[Customer Name],Таблица1[[#This Row],[Customer Name]],Таблица1[Order-Year-Month],Таблица1[[#This Row],[Order-Year-Month]])</f>
        <v>1</v>
      </c>
    </row>
    <row r="7588" spans="1:26" x14ac:dyDescent="0.2">
      <c r="A7588" s="6">
        <v>4627</v>
      </c>
      <c r="B7588" s="7">
        <v>32931</v>
      </c>
      <c r="C7588" s="8">
        <f>DATE(2012,12,31)-1050</f>
        <v>40224</v>
      </c>
      <c r="D7588" s="8" t="str">
        <f t="shared" si="144"/>
        <v>2010-02 (февраль 2010)</v>
      </c>
      <c r="E7588" s="9" t="s">
        <v>21</v>
      </c>
      <c r="F7588" s="7">
        <v>31</v>
      </c>
      <c r="G7588" s="7">
        <v>86.1</v>
      </c>
      <c r="H7588" s="7">
        <v>0.06</v>
      </c>
      <c r="I7588" s="9" t="s">
        <v>22</v>
      </c>
      <c r="J7588" s="10">
        <v>32.700000000000003</v>
      </c>
      <c r="K7588" s="11">
        <v>2.88</v>
      </c>
      <c r="L7588" s="11">
        <v>0.5</v>
      </c>
      <c r="M7588" s="9" t="s">
        <v>2080</v>
      </c>
      <c r="N7588" s="6" t="s">
        <v>2073</v>
      </c>
      <c r="O7588" s="6" t="s">
        <v>704</v>
      </c>
      <c r="P7588" s="9" t="s">
        <v>41</v>
      </c>
      <c r="Q7588" s="9" t="s">
        <v>26</v>
      </c>
      <c r="R7588" s="9" t="s">
        <v>88</v>
      </c>
      <c r="S7588" s="7" t="s">
        <v>1398</v>
      </c>
      <c r="T7588" s="9" t="s">
        <v>39</v>
      </c>
      <c r="U7588" s="7">
        <v>0.36</v>
      </c>
      <c r="V7588" s="12">
        <f>C7588+7</f>
        <v>40231</v>
      </c>
      <c r="W7588">
        <f>IF(D7588=' Pivot Tables'!$A$4,1,0)</f>
        <v>0</v>
      </c>
      <c r="X7588">
        <f>IF(AND(LEFT(D7588,4)+1=LEFT(' Pivot Tables'!$A$4,4)+0,RIGHT(LEFT(D7588,7),2)=RIGHT(LEFT(' Pivot Tables'!$A$4,7),2)),1,0)</f>
        <v>0</v>
      </c>
      <c r="Y7588" s="6">
        <f>1/COUNTIF(Таблица1[Order ID],Таблица1[[#This Row],[Order ID]])</f>
        <v>0.5</v>
      </c>
      <c r="Z7588" s="9">
        <f>1/COUNTIFS(Таблица1[Customer Name],Таблица1[[#This Row],[Customer Name]],Таблица1[Order-Year-Month],Таблица1[[#This Row],[Order-Year-Month]])</f>
        <v>0.5</v>
      </c>
    </row>
    <row r="7589" spans="1:26" x14ac:dyDescent="0.2">
      <c r="A7589" s="6">
        <v>4628</v>
      </c>
      <c r="B7589" s="7">
        <v>32931</v>
      </c>
      <c r="C7589" s="8">
        <f>DATE(2012,12,31)-1050</f>
        <v>40224</v>
      </c>
      <c r="D7589" s="8" t="str">
        <f t="shared" si="144"/>
        <v>2010-02 (февраль 2010)</v>
      </c>
      <c r="E7589" s="9" t="s">
        <v>21</v>
      </c>
      <c r="F7589" s="7">
        <v>25</v>
      </c>
      <c r="G7589" s="7">
        <v>298.11</v>
      </c>
      <c r="H7589" s="7">
        <v>0.08</v>
      </c>
      <c r="I7589" s="9" t="s">
        <v>22</v>
      </c>
      <c r="J7589" s="10">
        <v>-60.79</v>
      </c>
      <c r="K7589" s="11">
        <v>12.44</v>
      </c>
      <c r="L7589" s="11">
        <v>6.27</v>
      </c>
      <c r="M7589" s="9" t="s">
        <v>2080</v>
      </c>
      <c r="N7589" s="6" t="s">
        <v>2073</v>
      </c>
      <c r="O7589" s="6" t="s">
        <v>704</v>
      </c>
      <c r="P7589" s="9" t="s">
        <v>41</v>
      </c>
      <c r="Q7589" s="9" t="s">
        <v>26</v>
      </c>
      <c r="R7589" s="9" t="s">
        <v>27</v>
      </c>
      <c r="S7589" s="7" t="s">
        <v>756</v>
      </c>
      <c r="T7589" s="9" t="s">
        <v>48</v>
      </c>
      <c r="U7589" s="7">
        <v>0.56999999999999995</v>
      </c>
      <c r="V7589" s="12">
        <f>C7589+5</f>
        <v>40229</v>
      </c>
      <c r="W7589">
        <f>IF(D7589=' Pivot Tables'!$A$4,1,0)</f>
        <v>0</v>
      </c>
      <c r="X7589">
        <f>IF(AND(LEFT(D7589,4)+1=LEFT(' Pivot Tables'!$A$4,4)+0,RIGHT(LEFT(D7589,7),2)=RIGHT(LEFT(' Pivot Tables'!$A$4,7),2)),1,0)</f>
        <v>0</v>
      </c>
      <c r="Y7589" s="6">
        <f>1/COUNTIF(Таблица1[Order ID],Таблица1[[#This Row],[Order ID]])</f>
        <v>0.5</v>
      </c>
      <c r="Z7589" s="9">
        <f>1/COUNTIFS(Таблица1[Customer Name],Таблица1[[#This Row],[Customer Name]],Таблица1[Order-Year-Month],Таблица1[[#This Row],[Order-Year-Month]])</f>
        <v>0.5</v>
      </c>
    </row>
    <row r="7590" spans="1:26" x14ac:dyDescent="0.2">
      <c r="A7590" s="6">
        <v>4660</v>
      </c>
      <c r="B7590" s="7">
        <v>33189</v>
      </c>
      <c r="C7590" s="8">
        <f>DATE(2012,12,31)-1137</f>
        <v>40137</v>
      </c>
      <c r="D7590" s="8" t="str">
        <f t="shared" si="144"/>
        <v>2009-11 (ноябрь 2009)</v>
      </c>
      <c r="E7590" s="9" t="s">
        <v>21</v>
      </c>
      <c r="F7590" s="7">
        <v>3</v>
      </c>
      <c r="G7590" s="7">
        <v>87.21</v>
      </c>
      <c r="H7590" s="7">
        <v>0.02</v>
      </c>
      <c r="I7590" s="9" t="s">
        <v>22</v>
      </c>
      <c r="J7590" s="10">
        <v>-96.54</v>
      </c>
      <c r="K7590" s="11">
        <v>27.48</v>
      </c>
      <c r="L7590" s="11">
        <v>4</v>
      </c>
      <c r="M7590" s="9" t="s">
        <v>2078</v>
      </c>
      <c r="N7590" s="6" t="s">
        <v>2073</v>
      </c>
      <c r="O7590" s="6" t="s">
        <v>704</v>
      </c>
      <c r="P7590" s="9" t="s">
        <v>33</v>
      </c>
      <c r="Q7590" s="9" t="s">
        <v>42</v>
      </c>
      <c r="R7590" s="9" t="s">
        <v>70</v>
      </c>
      <c r="S7590" s="7" t="s">
        <v>762</v>
      </c>
      <c r="T7590" s="9" t="s">
        <v>39</v>
      </c>
      <c r="U7590" s="7">
        <v>0.75</v>
      </c>
      <c r="V7590" s="12">
        <f>C7590+7</f>
        <v>40144</v>
      </c>
      <c r="W7590">
        <f>IF(D7590=' Pivot Tables'!$A$4,1,0)</f>
        <v>0</v>
      </c>
      <c r="X7590">
        <f>IF(AND(LEFT(D7590,4)+1=LEFT(' Pivot Tables'!$A$4,4)+0,RIGHT(LEFT(D7590,7),2)=RIGHT(LEFT(' Pivot Tables'!$A$4,7),2)),1,0)</f>
        <v>0</v>
      </c>
      <c r="Y7590" s="6">
        <f>1/COUNTIF(Таблица1[Order ID],Таблица1[[#This Row],[Order ID]])</f>
        <v>0.5</v>
      </c>
      <c r="Z7590" s="9">
        <f>1/COUNTIFS(Таблица1[Customer Name],Таблица1[[#This Row],[Customer Name]],Таблица1[Order-Year-Month],Таблица1[[#This Row],[Order-Year-Month]])</f>
        <v>0.5</v>
      </c>
    </row>
    <row r="7591" spans="1:26" x14ac:dyDescent="0.2">
      <c r="A7591" s="6">
        <v>4661</v>
      </c>
      <c r="B7591" s="7">
        <v>33189</v>
      </c>
      <c r="C7591" s="8">
        <f>DATE(2012,12,31)-1137</f>
        <v>40137</v>
      </c>
      <c r="D7591" s="8" t="str">
        <f t="shared" si="144"/>
        <v>2009-11 (ноябрь 2009)</v>
      </c>
      <c r="E7591" s="9" t="s">
        <v>21</v>
      </c>
      <c r="F7591" s="7">
        <v>5</v>
      </c>
      <c r="G7591" s="7">
        <v>50.19</v>
      </c>
      <c r="H7591" s="7">
        <v>0.08</v>
      </c>
      <c r="I7591" s="9" t="s">
        <v>22</v>
      </c>
      <c r="J7591" s="10">
        <v>0.14999999999999858</v>
      </c>
      <c r="K7591" s="11">
        <v>10.06</v>
      </c>
      <c r="L7591" s="11">
        <v>2.06</v>
      </c>
      <c r="M7591" s="9" t="s">
        <v>2078</v>
      </c>
      <c r="N7591" s="6" t="s">
        <v>2073</v>
      </c>
      <c r="O7591" s="6" t="s">
        <v>704</v>
      </c>
      <c r="P7591" s="9" t="s">
        <v>33</v>
      </c>
      <c r="Q7591" s="9" t="s">
        <v>26</v>
      </c>
      <c r="R7591" s="9" t="s">
        <v>61</v>
      </c>
      <c r="S7591" s="7" t="s">
        <v>602</v>
      </c>
      <c r="T7591" s="9" t="s">
        <v>68</v>
      </c>
      <c r="U7591" s="7">
        <v>0.39</v>
      </c>
      <c r="V7591" s="12">
        <f>C7591+4</f>
        <v>40141</v>
      </c>
      <c r="W7591">
        <f>IF(D7591=' Pivot Tables'!$A$4,1,0)</f>
        <v>0</v>
      </c>
      <c r="X7591">
        <f>IF(AND(LEFT(D7591,4)+1=LEFT(' Pivot Tables'!$A$4,4)+0,RIGHT(LEFT(D7591,7),2)=RIGHT(LEFT(' Pivot Tables'!$A$4,7),2)),1,0)</f>
        <v>0</v>
      </c>
      <c r="Y7591" s="6">
        <f>1/COUNTIF(Таблица1[Order ID],Таблица1[[#This Row],[Order ID]])</f>
        <v>0.5</v>
      </c>
      <c r="Z7591" s="9">
        <f>1/COUNTIFS(Таблица1[Customer Name],Таблица1[[#This Row],[Customer Name]],Таблица1[Order-Year-Month],Таблица1[[#This Row],[Order-Year-Month]])</f>
        <v>0.5</v>
      </c>
    </row>
    <row r="7592" spans="1:26" x14ac:dyDescent="0.2">
      <c r="A7592" s="6">
        <v>4699</v>
      </c>
      <c r="B7592" s="7">
        <v>33479</v>
      </c>
      <c r="C7592" s="8">
        <f>DATE(2012,12,31)-104</f>
        <v>41170</v>
      </c>
      <c r="D7592" s="8" t="str">
        <f t="shared" si="144"/>
        <v>2012-09 (сентябрь 2012)</v>
      </c>
      <c r="E7592" s="9" t="s">
        <v>78</v>
      </c>
      <c r="F7592" s="7">
        <v>50</v>
      </c>
      <c r="G7592" s="7">
        <v>762.2</v>
      </c>
      <c r="H7592" s="7">
        <v>7.0000000000000007E-2</v>
      </c>
      <c r="I7592" s="9" t="s">
        <v>22</v>
      </c>
      <c r="J7592" s="10">
        <v>16.566499999999998</v>
      </c>
      <c r="K7592" s="11">
        <v>15.01</v>
      </c>
      <c r="L7592" s="11">
        <v>8.4</v>
      </c>
      <c r="M7592" s="9" t="s">
        <v>1844</v>
      </c>
      <c r="N7592" s="6" t="s">
        <v>2073</v>
      </c>
      <c r="O7592" s="6" t="s">
        <v>704</v>
      </c>
      <c r="P7592" s="9" t="s">
        <v>60</v>
      </c>
      <c r="Q7592" s="9" t="s">
        <v>26</v>
      </c>
      <c r="R7592" s="9" t="s">
        <v>37</v>
      </c>
      <c r="S7592" s="7" t="s">
        <v>443</v>
      </c>
      <c r="T7592" s="9" t="s">
        <v>39</v>
      </c>
      <c r="U7592" s="7">
        <v>0.39</v>
      </c>
      <c r="V7592" s="12">
        <f>C7592+2</f>
        <v>41172</v>
      </c>
      <c r="W7592">
        <f>IF(D7592=' Pivot Tables'!$A$4,1,0)</f>
        <v>0</v>
      </c>
      <c r="X7592">
        <f>IF(AND(LEFT(D7592,4)+1=LEFT(' Pivot Tables'!$A$4,4)+0,RIGHT(LEFT(D7592,7),2)=RIGHT(LEFT(' Pivot Tables'!$A$4,7),2)),1,0)</f>
        <v>0</v>
      </c>
      <c r="Y7592" s="6">
        <f>1/COUNTIF(Таблица1[Order ID],Таблица1[[#This Row],[Order ID]])</f>
        <v>0.33333333333333331</v>
      </c>
      <c r="Z7592" s="9">
        <f>1/COUNTIFS(Таблица1[Customer Name],Таблица1[[#This Row],[Customer Name]],Таблица1[Order-Year-Month],Таблица1[[#This Row],[Order-Year-Month]])</f>
        <v>0.33333333333333331</v>
      </c>
    </row>
    <row r="7593" spans="1:26" x14ac:dyDescent="0.2">
      <c r="A7593" s="6">
        <v>4700</v>
      </c>
      <c r="B7593" s="7">
        <v>33479</v>
      </c>
      <c r="C7593" s="8">
        <f>DATE(2012,12,31)-104</f>
        <v>41170</v>
      </c>
      <c r="D7593" s="8" t="str">
        <f t="shared" si="144"/>
        <v>2012-09 (сентябрь 2012)</v>
      </c>
      <c r="E7593" s="9" t="s">
        <v>78</v>
      </c>
      <c r="F7593" s="7">
        <v>27</v>
      </c>
      <c r="G7593" s="7">
        <v>235.45</v>
      </c>
      <c r="H7593" s="7">
        <v>0.06</v>
      </c>
      <c r="I7593" s="9" t="s">
        <v>22</v>
      </c>
      <c r="J7593" s="10">
        <v>-8.82</v>
      </c>
      <c r="K7593" s="11">
        <v>8.56</v>
      </c>
      <c r="L7593" s="11">
        <v>5.16</v>
      </c>
      <c r="M7593" s="9" t="s">
        <v>1844</v>
      </c>
      <c r="N7593" s="6" t="s">
        <v>2073</v>
      </c>
      <c r="O7593" s="6" t="s">
        <v>704</v>
      </c>
      <c r="P7593" s="9" t="s">
        <v>60</v>
      </c>
      <c r="Q7593" s="9" t="s">
        <v>26</v>
      </c>
      <c r="R7593" s="9" t="s">
        <v>61</v>
      </c>
      <c r="S7593" s="7" t="s">
        <v>1883</v>
      </c>
      <c r="T7593" s="9" t="s">
        <v>68</v>
      </c>
      <c r="U7593" s="7">
        <v>0.38</v>
      </c>
      <c r="V7593" s="12">
        <f>C7593+2</f>
        <v>41172</v>
      </c>
      <c r="W7593">
        <f>IF(D7593=' Pivot Tables'!$A$4,1,0)</f>
        <v>0</v>
      </c>
      <c r="X7593">
        <f>IF(AND(LEFT(D7593,4)+1=LEFT(' Pivot Tables'!$A$4,4)+0,RIGHT(LEFT(D7593,7),2)=RIGHT(LEFT(' Pivot Tables'!$A$4,7),2)),1,0)</f>
        <v>0</v>
      </c>
      <c r="Y7593" s="6">
        <f>1/COUNTIF(Таблица1[Order ID],Таблица1[[#This Row],[Order ID]])</f>
        <v>0.33333333333333331</v>
      </c>
      <c r="Z7593" s="9">
        <f>1/COUNTIFS(Таблица1[Customer Name],Таблица1[[#This Row],[Customer Name]],Таблица1[Order-Year-Month],Таблица1[[#This Row],[Order-Year-Month]])</f>
        <v>0.33333333333333331</v>
      </c>
    </row>
    <row r="7594" spans="1:26" x14ac:dyDescent="0.2">
      <c r="A7594" s="6">
        <v>4827</v>
      </c>
      <c r="B7594" s="7">
        <v>34311</v>
      </c>
      <c r="C7594" s="8">
        <f>DATE(2012,12,31)-1213</f>
        <v>40061</v>
      </c>
      <c r="D7594" s="8" t="str">
        <f t="shared" si="144"/>
        <v>2009-09 (сентябрь 2009)</v>
      </c>
      <c r="E7594" s="9" t="s">
        <v>30</v>
      </c>
      <c r="F7594" s="7">
        <v>39</v>
      </c>
      <c r="G7594" s="7">
        <v>132.79</v>
      </c>
      <c r="H7594" s="7">
        <v>0.05</v>
      </c>
      <c r="I7594" s="9" t="s">
        <v>22</v>
      </c>
      <c r="J7594" s="10">
        <v>-100.24</v>
      </c>
      <c r="K7594" s="11">
        <v>3.28</v>
      </c>
      <c r="L7594" s="11">
        <v>3.97</v>
      </c>
      <c r="M7594" s="9" t="s">
        <v>317</v>
      </c>
      <c r="N7594" s="6" t="s">
        <v>2073</v>
      </c>
      <c r="O7594" s="6" t="s">
        <v>704</v>
      </c>
      <c r="P7594" s="9" t="s">
        <v>41</v>
      </c>
      <c r="Q7594" s="9" t="s">
        <v>26</v>
      </c>
      <c r="R7594" s="9" t="s">
        <v>95</v>
      </c>
      <c r="S7594" s="7" t="s">
        <v>570</v>
      </c>
      <c r="T7594" s="9" t="s">
        <v>68</v>
      </c>
      <c r="U7594" s="7">
        <v>0.56000000000000005</v>
      </c>
      <c r="V7594" s="12">
        <f>C7594+1</f>
        <v>40062</v>
      </c>
      <c r="W7594">
        <f>IF(D7594=' Pivot Tables'!$A$4,1,0)</f>
        <v>0</v>
      </c>
      <c r="X7594">
        <f>IF(AND(LEFT(D7594,4)+1=LEFT(' Pivot Tables'!$A$4,4)+0,RIGHT(LEFT(D7594,7),2)=RIGHT(LEFT(' Pivot Tables'!$A$4,7),2)),1,0)</f>
        <v>0</v>
      </c>
      <c r="Y7594" s="6">
        <f>1/COUNTIF(Таблица1[Order ID],Таблица1[[#This Row],[Order ID]])</f>
        <v>0.5</v>
      </c>
      <c r="Z7594" s="9">
        <f>1/COUNTIFS(Таблица1[Customer Name],Таблица1[[#This Row],[Customer Name]],Таблица1[Order-Year-Month],Таблица1[[#This Row],[Order-Year-Month]])</f>
        <v>0.5</v>
      </c>
    </row>
    <row r="7595" spans="1:26" x14ac:dyDescent="0.2">
      <c r="A7595" s="6">
        <v>4828</v>
      </c>
      <c r="B7595" s="7">
        <v>34311</v>
      </c>
      <c r="C7595" s="8">
        <f>DATE(2012,12,31)-1213</f>
        <v>40061</v>
      </c>
      <c r="D7595" s="8" t="str">
        <f t="shared" si="144"/>
        <v>2009-09 (сентябрь 2009)</v>
      </c>
      <c r="E7595" s="9" t="s">
        <v>30</v>
      </c>
      <c r="F7595" s="7">
        <v>32</v>
      </c>
      <c r="G7595" s="7">
        <v>232.85</v>
      </c>
      <c r="H7595" s="7">
        <v>0.03</v>
      </c>
      <c r="I7595" s="9" t="s">
        <v>22</v>
      </c>
      <c r="J7595" s="10">
        <v>-262.62</v>
      </c>
      <c r="K7595" s="11">
        <v>6.98</v>
      </c>
      <c r="L7595" s="11">
        <v>9.69</v>
      </c>
      <c r="M7595" s="9" t="s">
        <v>317</v>
      </c>
      <c r="N7595" s="6" t="s">
        <v>2073</v>
      </c>
      <c r="O7595" s="6" t="s">
        <v>704</v>
      </c>
      <c r="P7595" s="9" t="s">
        <v>41</v>
      </c>
      <c r="Q7595" s="9" t="s">
        <v>26</v>
      </c>
      <c r="R7595" s="9" t="s">
        <v>27</v>
      </c>
      <c r="S7595" s="7" t="s">
        <v>1314</v>
      </c>
      <c r="T7595" s="9" t="s">
        <v>39</v>
      </c>
      <c r="U7595" s="7">
        <v>0.83</v>
      </c>
      <c r="V7595" s="12">
        <f>C7595+2</f>
        <v>40063</v>
      </c>
      <c r="W7595">
        <f>IF(D7595=' Pivot Tables'!$A$4,1,0)</f>
        <v>0</v>
      </c>
      <c r="X7595">
        <f>IF(AND(LEFT(D7595,4)+1=LEFT(' Pivot Tables'!$A$4,4)+0,RIGHT(LEFT(D7595,7),2)=RIGHT(LEFT(' Pivot Tables'!$A$4,7),2)),1,0)</f>
        <v>0</v>
      </c>
      <c r="Y7595" s="6">
        <f>1/COUNTIF(Таблица1[Order ID],Таблица1[[#This Row],[Order ID]])</f>
        <v>0.5</v>
      </c>
      <c r="Z7595" s="9">
        <f>1/COUNTIFS(Таблица1[Customer Name],Таблица1[[#This Row],[Customer Name]],Таблица1[Order-Year-Month],Таблица1[[#This Row],[Order-Year-Month]])</f>
        <v>0.5</v>
      </c>
    </row>
    <row r="7596" spans="1:26" x14ac:dyDescent="0.2">
      <c r="A7596" s="6">
        <v>4937</v>
      </c>
      <c r="B7596" s="7">
        <v>35111</v>
      </c>
      <c r="C7596" s="8">
        <f>DATE(2012,12,31)-940</f>
        <v>40334</v>
      </c>
      <c r="D7596" s="8" t="str">
        <f t="shared" si="144"/>
        <v>2010-06 (июнь 2010)</v>
      </c>
      <c r="E7596" s="9" t="s">
        <v>78</v>
      </c>
      <c r="F7596" s="7">
        <v>39</v>
      </c>
      <c r="G7596" s="7">
        <v>893.29</v>
      </c>
      <c r="H7596" s="7">
        <v>0.08</v>
      </c>
      <c r="I7596" s="9" t="s">
        <v>22</v>
      </c>
      <c r="J7596" s="10">
        <v>256.16000000000003</v>
      </c>
      <c r="K7596" s="11">
        <v>23.99</v>
      </c>
      <c r="L7596" s="11">
        <v>6.71</v>
      </c>
      <c r="M7596" s="9" t="s">
        <v>2075</v>
      </c>
      <c r="N7596" s="6" t="s">
        <v>2073</v>
      </c>
      <c r="O7596" s="6" t="s">
        <v>704</v>
      </c>
      <c r="P7596" s="9" t="s">
        <v>25</v>
      </c>
      <c r="Q7596" s="9" t="s">
        <v>26</v>
      </c>
      <c r="R7596" s="9" t="s">
        <v>76</v>
      </c>
      <c r="S7596" s="7" t="s">
        <v>318</v>
      </c>
      <c r="T7596" s="9" t="s">
        <v>39</v>
      </c>
      <c r="U7596" s="7">
        <v>0.35</v>
      </c>
      <c r="V7596" s="12">
        <f>C7596+2</f>
        <v>40336</v>
      </c>
      <c r="W7596">
        <f>IF(D7596=' Pivot Tables'!$A$4,1,0)</f>
        <v>0</v>
      </c>
      <c r="X7596">
        <f>IF(AND(LEFT(D7596,4)+1=LEFT(' Pivot Tables'!$A$4,4)+0,RIGHT(LEFT(D7596,7),2)=RIGHT(LEFT(' Pivot Tables'!$A$4,7),2)),1,0)</f>
        <v>0</v>
      </c>
      <c r="Y7596" s="6">
        <f>1/COUNTIF(Таблица1[Order ID],Таблица1[[#This Row],[Order ID]])</f>
        <v>1</v>
      </c>
      <c r="Z7596" s="9">
        <f>1/COUNTIFS(Таблица1[Customer Name],Таблица1[[#This Row],[Customer Name]],Таблица1[Order-Year-Month],Таблица1[[#This Row],[Order-Year-Month]])</f>
        <v>1</v>
      </c>
    </row>
    <row r="7597" spans="1:26" x14ac:dyDescent="0.2">
      <c r="A7597" s="6">
        <v>4947</v>
      </c>
      <c r="B7597" s="7">
        <v>35173</v>
      </c>
      <c r="C7597" s="8">
        <f>DATE(2012,12,31)-293</f>
        <v>40981</v>
      </c>
      <c r="D7597" s="8" t="str">
        <f t="shared" si="144"/>
        <v>2012-03 (март 2012)</v>
      </c>
      <c r="E7597" s="9" t="s">
        <v>45</v>
      </c>
      <c r="F7597" s="7">
        <v>29</v>
      </c>
      <c r="G7597" s="7">
        <v>6483.26</v>
      </c>
      <c r="H7597" s="7">
        <v>0.09</v>
      </c>
      <c r="I7597" s="9" t="s">
        <v>31</v>
      </c>
      <c r="J7597" s="10">
        <v>341.98</v>
      </c>
      <c r="K7597" s="11">
        <v>240.98</v>
      </c>
      <c r="L7597" s="11">
        <v>60.2</v>
      </c>
      <c r="M7597" s="9" t="s">
        <v>317</v>
      </c>
      <c r="N7597" s="6" t="s">
        <v>2073</v>
      </c>
      <c r="O7597" s="6" t="s">
        <v>704</v>
      </c>
      <c r="P7597" s="9" t="s">
        <v>41</v>
      </c>
      <c r="Q7597" s="9" t="s">
        <v>49</v>
      </c>
      <c r="R7597" s="9" t="s">
        <v>80</v>
      </c>
      <c r="S7597" s="7" t="s">
        <v>1172</v>
      </c>
      <c r="T7597" s="9" t="s">
        <v>82</v>
      </c>
      <c r="U7597" s="7">
        <v>0.56000000000000005</v>
      </c>
      <c r="V7597" s="12">
        <f>C7597+2</f>
        <v>40983</v>
      </c>
      <c r="W7597">
        <f>IF(D7597=' Pivot Tables'!$A$4,1,0)</f>
        <v>0</v>
      </c>
      <c r="X7597">
        <f>IF(AND(LEFT(D7597,4)+1=LEFT(' Pivot Tables'!$A$4,4)+0,RIGHT(LEFT(D7597,7),2)=RIGHT(LEFT(' Pivot Tables'!$A$4,7),2)),1,0)</f>
        <v>0</v>
      </c>
      <c r="Y7597" s="6">
        <f>1/COUNTIF(Таблица1[Order ID],Таблица1[[#This Row],[Order ID]])</f>
        <v>0.5</v>
      </c>
      <c r="Z7597" s="9">
        <f>1/COUNTIFS(Таблица1[Customer Name],Таблица1[[#This Row],[Customer Name]],Таблица1[Order-Year-Month],Таблица1[[#This Row],[Order-Year-Month]])</f>
        <v>0.5</v>
      </c>
    </row>
    <row r="7598" spans="1:26" x14ac:dyDescent="0.2">
      <c r="A7598" s="6">
        <v>4948</v>
      </c>
      <c r="B7598" s="7">
        <v>35173</v>
      </c>
      <c r="C7598" s="8">
        <f>DATE(2012,12,31)-293</f>
        <v>40981</v>
      </c>
      <c r="D7598" s="8" t="str">
        <f t="shared" si="144"/>
        <v>2012-03 (март 2012)</v>
      </c>
      <c r="E7598" s="9" t="s">
        <v>45</v>
      </c>
      <c r="F7598" s="7">
        <v>13</v>
      </c>
      <c r="G7598" s="7">
        <v>1446.2070000000001</v>
      </c>
      <c r="H7598" s="7">
        <v>0.02</v>
      </c>
      <c r="I7598" s="9" t="s">
        <v>22</v>
      </c>
      <c r="J7598" s="10">
        <v>29.556000000000004</v>
      </c>
      <c r="K7598" s="11">
        <v>125.99</v>
      </c>
      <c r="L7598" s="11">
        <v>8.08</v>
      </c>
      <c r="M7598" s="9" t="s">
        <v>317</v>
      </c>
      <c r="N7598" s="6" t="s">
        <v>2073</v>
      </c>
      <c r="O7598" s="6" t="s">
        <v>704</v>
      </c>
      <c r="P7598" s="9" t="s">
        <v>41</v>
      </c>
      <c r="Q7598" s="9" t="s">
        <v>42</v>
      </c>
      <c r="R7598" s="9" t="s">
        <v>43</v>
      </c>
      <c r="S7598" s="7" t="s">
        <v>271</v>
      </c>
      <c r="T7598" s="9" t="s">
        <v>39</v>
      </c>
      <c r="U7598" s="7">
        <v>0.56999999999999995</v>
      </c>
      <c r="V7598" s="12">
        <f>C7598+2</f>
        <v>40983</v>
      </c>
      <c r="W7598">
        <f>IF(D7598=' Pivot Tables'!$A$4,1,0)</f>
        <v>0</v>
      </c>
      <c r="X7598">
        <f>IF(AND(LEFT(D7598,4)+1=LEFT(' Pivot Tables'!$A$4,4)+0,RIGHT(LEFT(D7598,7),2)=RIGHT(LEFT(' Pivot Tables'!$A$4,7),2)),1,0)</f>
        <v>0</v>
      </c>
      <c r="Y7598" s="6">
        <f>1/COUNTIF(Таблица1[Order ID],Таблица1[[#This Row],[Order ID]])</f>
        <v>0.5</v>
      </c>
      <c r="Z7598" s="9">
        <f>1/COUNTIFS(Таблица1[Customer Name],Таблица1[[#This Row],[Customer Name]],Таблица1[Order-Year-Month],Таблица1[[#This Row],[Order-Year-Month]])</f>
        <v>0.5</v>
      </c>
    </row>
    <row r="7599" spans="1:26" x14ac:dyDescent="0.2">
      <c r="A7599" s="6">
        <v>5169</v>
      </c>
      <c r="B7599" s="7">
        <v>36773</v>
      </c>
      <c r="C7599" s="8">
        <f>DATE(2012,12,31)-830</f>
        <v>40444</v>
      </c>
      <c r="D7599" s="8" t="str">
        <f t="shared" si="144"/>
        <v>2010-09 (сентябрь 2010)</v>
      </c>
      <c r="E7599" s="9" t="s">
        <v>45</v>
      </c>
      <c r="F7599" s="7">
        <v>24</v>
      </c>
      <c r="G7599" s="7">
        <v>2048.7800000000002</v>
      </c>
      <c r="H7599" s="7">
        <v>0.05</v>
      </c>
      <c r="I7599" s="9" t="s">
        <v>22</v>
      </c>
      <c r="J7599" s="10">
        <v>994.68</v>
      </c>
      <c r="K7599" s="11">
        <v>83.98</v>
      </c>
      <c r="L7599" s="11">
        <v>5.01</v>
      </c>
      <c r="M7599" s="9" t="s">
        <v>914</v>
      </c>
      <c r="N7599" s="6" t="s">
        <v>2073</v>
      </c>
      <c r="O7599" s="6" t="s">
        <v>704</v>
      </c>
      <c r="P7599" s="9" t="s">
        <v>25</v>
      </c>
      <c r="Q7599" s="9" t="s">
        <v>26</v>
      </c>
      <c r="R7599" s="9" t="s">
        <v>76</v>
      </c>
      <c r="S7599" s="7" t="s">
        <v>955</v>
      </c>
      <c r="T7599" s="9" t="s">
        <v>39</v>
      </c>
      <c r="U7599" s="7">
        <v>0.38</v>
      </c>
      <c r="V7599" s="12">
        <f>C7599+2</f>
        <v>40446</v>
      </c>
      <c r="W7599">
        <f>IF(D7599=' Pivot Tables'!$A$4,1,0)</f>
        <v>0</v>
      </c>
      <c r="X7599">
        <f>IF(AND(LEFT(D7599,4)+1=LEFT(' Pivot Tables'!$A$4,4)+0,RIGHT(LEFT(D7599,7),2)=RIGHT(LEFT(' Pivot Tables'!$A$4,7),2)),1,0)</f>
        <v>0</v>
      </c>
      <c r="Y7599" s="6">
        <f>1/COUNTIF(Таблица1[Order ID],Таблица1[[#This Row],[Order ID]])</f>
        <v>1</v>
      </c>
      <c r="Z7599" s="9">
        <f>1/COUNTIFS(Таблица1[Customer Name],Таблица1[[#This Row],[Customer Name]],Таблица1[Order-Year-Month],Таблица1[[#This Row],[Order-Year-Month]])</f>
        <v>1</v>
      </c>
    </row>
    <row r="7600" spans="1:26" x14ac:dyDescent="0.2">
      <c r="A7600" s="6">
        <v>5205</v>
      </c>
      <c r="B7600" s="7">
        <v>36997</v>
      </c>
      <c r="C7600" s="8">
        <f>DATE(2012,12,31)-757</f>
        <v>40517</v>
      </c>
      <c r="D7600" s="8" t="str">
        <f t="shared" si="144"/>
        <v>2010-12 (декабрь 2010)</v>
      </c>
      <c r="E7600" s="9" t="s">
        <v>45</v>
      </c>
      <c r="F7600" s="7">
        <v>39</v>
      </c>
      <c r="G7600" s="7">
        <v>104.33</v>
      </c>
      <c r="H7600" s="7">
        <v>0</v>
      </c>
      <c r="I7600" s="9" t="s">
        <v>22</v>
      </c>
      <c r="J7600" s="10">
        <v>39.909999999999997</v>
      </c>
      <c r="K7600" s="11">
        <v>2.61</v>
      </c>
      <c r="L7600" s="11">
        <v>0.5</v>
      </c>
      <c r="M7600" s="9" t="s">
        <v>2076</v>
      </c>
      <c r="N7600" s="6" t="s">
        <v>2073</v>
      </c>
      <c r="O7600" s="6" t="s">
        <v>704</v>
      </c>
      <c r="P7600" s="9" t="s">
        <v>33</v>
      </c>
      <c r="Q7600" s="9" t="s">
        <v>26</v>
      </c>
      <c r="R7600" s="9" t="s">
        <v>88</v>
      </c>
      <c r="S7600" s="7" t="s">
        <v>406</v>
      </c>
      <c r="T7600" s="9" t="s">
        <v>39</v>
      </c>
      <c r="U7600" s="7">
        <v>0.39</v>
      </c>
      <c r="V7600" s="12">
        <f>C7600+1</f>
        <v>40518</v>
      </c>
      <c r="W7600">
        <f>IF(D7600=' Pivot Tables'!$A$4,1,0)</f>
        <v>0</v>
      </c>
      <c r="X7600">
        <f>IF(AND(LEFT(D7600,4)+1=LEFT(' Pivot Tables'!$A$4,4)+0,RIGHT(LEFT(D7600,7),2)=RIGHT(LEFT(' Pivot Tables'!$A$4,7),2)),1,0)</f>
        <v>0</v>
      </c>
      <c r="Y7600" s="6">
        <f>1/COUNTIF(Таблица1[Order ID],Таблица1[[#This Row],[Order ID]])</f>
        <v>1</v>
      </c>
      <c r="Z7600" s="9">
        <f>1/COUNTIFS(Таблица1[Customer Name],Таблица1[[#This Row],[Customer Name]],Таблица1[Order-Year-Month],Таблица1[[#This Row],[Order-Year-Month]])</f>
        <v>0.5</v>
      </c>
    </row>
    <row r="7601" spans="1:26" x14ac:dyDescent="0.2">
      <c r="A7601" s="6">
        <v>5295</v>
      </c>
      <c r="B7601" s="7">
        <v>37700</v>
      </c>
      <c r="C7601" s="8">
        <f>DATE(2012,12,31)-1119</f>
        <v>40155</v>
      </c>
      <c r="D7601" s="8" t="str">
        <f t="shared" si="144"/>
        <v>2009-12 (декабрь 2009)</v>
      </c>
      <c r="E7601" s="9" t="s">
        <v>78</v>
      </c>
      <c r="F7601" s="7">
        <v>27</v>
      </c>
      <c r="G7601" s="7">
        <v>3390.51</v>
      </c>
      <c r="H7601" s="7">
        <v>0.05</v>
      </c>
      <c r="I7601" s="9" t="s">
        <v>56</v>
      </c>
      <c r="J7601" s="10">
        <v>1169.7105000000001</v>
      </c>
      <c r="K7601" s="11">
        <v>122.99</v>
      </c>
      <c r="L7601" s="11">
        <v>19.989999999999998</v>
      </c>
      <c r="M7601" s="9" t="s">
        <v>2080</v>
      </c>
      <c r="N7601" s="6" t="s">
        <v>2073</v>
      </c>
      <c r="O7601" s="6" t="s">
        <v>704</v>
      </c>
      <c r="P7601" s="9" t="s">
        <v>41</v>
      </c>
      <c r="Q7601" s="9" t="s">
        <v>26</v>
      </c>
      <c r="R7601" s="9" t="s">
        <v>37</v>
      </c>
      <c r="S7601" s="7" t="s">
        <v>870</v>
      </c>
      <c r="T7601" s="9" t="s">
        <v>39</v>
      </c>
      <c r="U7601" s="7">
        <v>0.37</v>
      </c>
      <c r="V7601" s="12">
        <f>C7601+3</f>
        <v>40158</v>
      </c>
      <c r="W7601">
        <f>IF(D7601=' Pivot Tables'!$A$4,1,0)</f>
        <v>0</v>
      </c>
      <c r="X7601">
        <f>IF(AND(LEFT(D7601,4)+1=LEFT(' Pivot Tables'!$A$4,4)+0,RIGHT(LEFT(D7601,7),2)=RIGHT(LEFT(' Pivot Tables'!$A$4,7),2)),1,0)</f>
        <v>0</v>
      </c>
      <c r="Y7601" s="6">
        <f>1/COUNTIF(Таблица1[Order ID],Таблица1[[#This Row],[Order ID]])</f>
        <v>1</v>
      </c>
      <c r="Z7601" s="9">
        <f>1/COUNTIFS(Таблица1[Customer Name],Таблица1[[#This Row],[Customer Name]],Таблица1[Order-Year-Month],Таблица1[[#This Row],[Order-Year-Month]])</f>
        <v>1</v>
      </c>
    </row>
    <row r="7602" spans="1:26" x14ac:dyDescent="0.2">
      <c r="A7602" s="6">
        <v>5421</v>
      </c>
      <c r="B7602" s="7">
        <v>38529</v>
      </c>
      <c r="C7602" s="8">
        <f>DATE(2012,12,31)-1428</f>
        <v>39846</v>
      </c>
      <c r="D7602" s="8" t="str">
        <f t="shared" si="144"/>
        <v>2009-02 (февраль 2009)</v>
      </c>
      <c r="E7602" s="9" t="s">
        <v>21</v>
      </c>
      <c r="F7602" s="7">
        <v>38</v>
      </c>
      <c r="G7602" s="7">
        <v>44.85</v>
      </c>
      <c r="H7602" s="7">
        <v>0.02</v>
      </c>
      <c r="I7602" s="9" t="s">
        <v>22</v>
      </c>
      <c r="J7602" s="10">
        <v>-0.49</v>
      </c>
      <c r="K7602" s="11">
        <v>1.1399999999999999</v>
      </c>
      <c r="L7602" s="11">
        <v>0.7</v>
      </c>
      <c r="M7602" s="9" t="s">
        <v>1289</v>
      </c>
      <c r="N7602" s="6" t="s">
        <v>2073</v>
      </c>
      <c r="O7602" s="6" t="s">
        <v>704</v>
      </c>
      <c r="P7602" s="9" t="s">
        <v>41</v>
      </c>
      <c r="Q7602" s="9" t="s">
        <v>26</v>
      </c>
      <c r="R7602" s="9" t="s">
        <v>66</v>
      </c>
      <c r="S7602" s="7" t="s">
        <v>1657</v>
      </c>
      <c r="T7602" s="9" t="s">
        <v>68</v>
      </c>
      <c r="U7602" s="7">
        <v>0.38</v>
      </c>
      <c r="V7602" s="12">
        <f>C7602+0</f>
        <v>39846</v>
      </c>
      <c r="W7602">
        <f>IF(D7602=' Pivot Tables'!$A$4,1,0)</f>
        <v>0</v>
      </c>
      <c r="X7602">
        <f>IF(AND(LEFT(D7602,4)+1=LEFT(' Pivot Tables'!$A$4,4)+0,RIGHT(LEFT(D7602,7),2)=RIGHT(LEFT(' Pivot Tables'!$A$4,7),2)),1,0)</f>
        <v>0</v>
      </c>
      <c r="Y7602" s="6">
        <f>1/COUNTIF(Таблица1[Order ID],Таблица1[[#This Row],[Order ID]])</f>
        <v>1</v>
      </c>
      <c r="Z7602" s="9">
        <f>1/COUNTIFS(Таблица1[Customer Name],Таблица1[[#This Row],[Customer Name]],Таблица1[Order-Year-Month],Таблица1[[#This Row],[Order-Year-Month]])</f>
        <v>1</v>
      </c>
    </row>
    <row r="7603" spans="1:26" x14ac:dyDescent="0.2">
      <c r="A7603" s="6">
        <v>5682</v>
      </c>
      <c r="B7603" s="7">
        <v>40162</v>
      </c>
      <c r="C7603" s="8">
        <f>DATE(2012,12,31)-1072</f>
        <v>40202</v>
      </c>
      <c r="D7603" s="8" t="str">
        <f t="shared" si="144"/>
        <v>2010-01 (январь 2010)</v>
      </c>
      <c r="E7603" s="9" t="s">
        <v>78</v>
      </c>
      <c r="F7603" s="7">
        <v>28</v>
      </c>
      <c r="G7603" s="7">
        <v>1581.23</v>
      </c>
      <c r="H7603" s="7">
        <v>0.03</v>
      </c>
      <c r="I7603" s="9" t="s">
        <v>22</v>
      </c>
      <c r="J7603" s="10">
        <v>760.79</v>
      </c>
      <c r="K7603" s="11">
        <v>55.98</v>
      </c>
      <c r="L7603" s="11">
        <v>5.15</v>
      </c>
      <c r="M7603" s="9" t="s">
        <v>1844</v>
      </c>
      <c r="N7603" s="6" t="s">
        <v>2073</v>
      </c>
      <c r="O7603" s="6" t="s">
        <v>704</v>
      </c>
      <c r="P7603" s="9" t="s">
        <v>60</v>
      </c>
      <c r="Q7603" s="9" t="s">
        <v>26</v>
      </c>
      <c r="R7603" s="9" t="s">
        <v>61</v>
      </c>
      <c r="S7603" s="7" t="s">
        <v>1169</v>
      </c>
      <c r="T7603" s="9" t="s">
        <v>39</v>
      </c>
      <c r="U7603" s="7">
        <v>0.36</v>
      </c>
      <c r="V7603" s="12">
        <f>C7603+2</f>
        <v>40204</v>
      </c>
      <c r="W7603">
        <f>IF(D7603=' Pivot Tables'!$A$4,1,0)</f>
        <v>1</v>
      </c>
      <c r="X7603">
        <f>IF(AND(LEFT(D7603,4)+1=LEFT(' Pivot Tables'!$A$4,4)+0,RIGHT(LEFT(D7603,7),2)=RIGHT(LEFT(' Pivot Tables'!$A$4,7),2)),1,0)</f>
        <v>0</v>
      </c>
      <c r="Y7603" s="6">
        <f>1/COUNTIF(Таблица1[Order ID],Таблица1[[#This Row],[Order ID]])</f>
        <v>1</v>
      </c>
      <c r="Z7603" s="9">
        <f>1/COUNTIFS(Таблица1[Customer Name],Таблица1[[#This Row],[Customer Name]],Таблица1[Order-Year-Month],Таблица1[[#This Row],[Order-Year-Month]])</f>
        <v>1</v>
      </c>
    </row>
    <row r="7604" spans="1:26" x14ac:dyDescent="0.2">
      <c r="A7604" s="6">
        <v>5727</v>
      </c>
      <c r="B7604" s="7">
        <v>40612</v>
      </c>
      <c r="C7604" s="8">
        <f>DATE(2012,12,31)-672</f>
        <v>40602</v>
      </c>
      <c r="D7604" s="8" t="str">
        <f t="shared" si="144"/>
        <v>2011-02 (февраль 2011)</v>
      </c>
      <c r="E7604" s="9" t="s">
        <v>30</v>
      </c>
      <c r="F7604" s="7">
        <v>9</v>
      </c>
      <c r="G7604" s="7">
        <v>19.2</v>
      </c>
      <c r="H7604" s="7">
        <v>0.1</v>
      </c>
      <c r="I7604" s="9" t="s">
        <v>22</v>
      </c>
      <c r="J7604" s="10">
        <v>-6.84</v>
      </c>
      <c r="K7604" s="11">
        <v>2.21</v>
      </c>
      <c r="L7604" s="11">
        <v>1.1200000000000001</v>
      </c>
      <c r="M7604" s="9" t="s">
        <v>2080</v>
      </c>
      <c r="N7604" s="6" t="s">
        <v>2073</v>
      </c>
      <c r="O7604" s="6" t="s">
        <v>704</v>
      </c>
      <c r="P7604" s="9" t="s">
        <v>41</v>
      </c>
      <c r="Q7604" s="9" t="s">
        <v>26</v>
      </c>
      <c r="R7604" s="9" t="s">
        <v>95</v>
      </c>
      <c r="S7604" s="7" t="s">
        <v>235</v>
      </c>
      <c r="T7604" s="9" t="s">
        <v>68</v>
      </c>
      <c r="U7604" s="7">
        <v>0.57999999999999996</v>
      </c>
      <c r="V7604" s="12">
        <f>C7604+1</f>
        <v>40603</v>
      </c>
      <c r="W7604">
        <f>IF(D7604=' Pivot Tables'!$A$4,1,0)</f>
        <v>0</v>
      </c>
      <c r="X7604">
        <f>IF(AND(LEFT(D7604,4)+1=LEFT(' Pivot Tables'!$A$4,4)+0,RIGHT(LEFT(D7604,7),2)=RIGHT(LEFT(' Pivot Tables'!$A$4,7),2)),1,0)</f>
        <v>0</v>
      </c>
      <c r="Y7604" s="6">
        <f>1/COUNTIF(Таблица1[Order ID],Таблица1[[#This Row],[Order ID]])</f>
        <v>1</v>
      </c>
      <c r="Z7604" s="9">
        <f>1/COUNTIFS(Таблица1[Customer Name],Таблица1[[#This Row],[Customer Name]],Таблица1[Order-Year-Month],Таблица1[[#This Row],[Order-Year-Month]])</f>
        <v>1</v>
      </c>
    </row>
    <row r="7605" spans="1:26" x14ac:dyDescent="0.2">
      <c r="A7605" s="6">
        <v>5918</v>
      </c>
      <c r="B7605" s="7">
        <v>41987</v>
      </c>
      <c r="C7605" s="8">
        <f>DATE(2012,12,31)-437</f>
        <v>40837</v>
      </c>
      <c r="D7605" s="8" t="str">
        <f t="shared" si="144"/>
        <v>2011-10 (октябрь 2011)</v>
      </c>
      <c r="E7605" s="9" t="s">
        <v>45</v>
      </c>
      <c r="F7605" s="7">
        <v>25</v>
      </c>
      <c r="G7605" s="7">
        <v>6481.0480000000007</v>
      </c>
      <c r="H7605" s="7">
        <v>0.05</v>
      </c>
      <c r="I7605" s="9" t="s">
        <v>31</v>
      </c>
      <c r="J7605" s="10">
        <v>1760.11</v>
      </c>
      <c r="K7605" s="11">
        <v>320.64</v>
      </c>
      <c r="L7605" s="11">
        <v>29.2</v>
      </c>
      <c r="M7605" s="9" t="s">
        <v>2080</v>
      </c>
      <c r="N7605" s="6" t="s">
        <v>2073</v>
      </c>
      <c r="O7605" s="6" t="s">
        <v>704</v>
      </c>
      <c r="P7605" s="9" t="s">
        <v>41</v>
      </c>
      <c r="Q7605" s="9" t="s">
        <v>49</v>
      </c>
      <c r="R7605" s="9" t="s">
        <v>83</v>
      </c>
      <c r="S7605" s="7" t="s">
        <v>1619</v>
      </c>
      <c r="T7605" s="9" t="s">
        <v>82</v>
      </c>
      <c r="U7605" s="7">
        <v>0.66</v>
      </c>
      <c r="V7605" s="12">
        <f>C7605+1</f>
        <v>40838</v>
      </c>
      <c r="W7605">
        <f>IF(D7605=' Pivot Tables'!$A$4,1,0)</f>
        <v>0</v>
      </c>
      <c r="X7605">
        <f>IF(AND(LEFT(D7605,4)+1=LEFT(' Pivot Tables'!$A$4,4)+0,RIGHT(LEFT(D7605,7),2)=RIGHT(LEFT(' Pivot Tables'!$A$4,7),2)),1,0)</f>
        <v>0</v>
      </c>
      <c r="Y7605" s="6">
        <f>1/COUNTIF(Таблица1[Order ID],Таблица1[[#This Row],[Order ID]])</f>
        <v>1</v>
      </c>
      <c r="Z7605" s="9">
        <f>1/COUNTIFS(Таблица1[Customer Name],Таблица1[[#This Row],[Customer Name]],Таблица1[Order-Year-Month],Таблица1[[#This Row],[Order-Year-Month]])</f>
        <v>0.5</v>
      </c>
    </row>
    <row r="7606" spans="1:26" x14ac:dyDescent="0.2">
      <c r="A7606" s="6">
        <v>5932</v>
      </c>
      <c r="B7606" s="7">
        <v>42083</v>
      </c>
      <c r="C7606" s="8">
        <f>DATE(2012,12,31)-386</f>
        <v>40888</v>
      </c>
      <c r="D7606" s="8" t="str">
        <f t="shared" si="144"/>
        <v>2011-12 (декабрь 2011)</v>
      </c>
      <c r="E7606" s="9" t="s">
        <v>78</v>
      </c>
      <c r="F7606" s="7">
        <v>38</v>
      </c>
      <c r="G7606" s="7">
        <v>5526.16</v>
      </c>
      <c r="H7606" s="7">
        <v>0.03</v>
      </c>
      <c r="I7606" s="9" t="s">
        <v>22</v>
      </c>
      <c r="J7606" s="10">
        <v>1263.98</v>
      </c>
      <c r="K7606" s="11">
        <v>140.81</v>
      </c>
      <c r="L7606" s="11">
        <v>24.49</v>
      </c>
      <c r="M7606" s="9" t="s">
        <v>1873</v>
      </c>
      <c r="N7606" s="6" t="s">
        <v>2073</v>
      </c>
      <c r="O7606" s="6" t="s">
        <v>704</v>
      </c>
      <c r="P7606" s="9" t="s">
        <v>33</v>
      </c>
      <c r="Q7606" s="9" t="s">
        <v>49</v>
      </c>
      <c r="R7606" s="9" t="s">
        <v>112</v>
      </c>
      <c r="S7606" s="7" t="s">
        <v>314</v>
      </c>
      <c r="T7606" s="9" t="s">
        <v>29</v>
      </c>
      <c r="U7606" s="7">
        <v>0.56999999999999995</v>
      </c>
      <c r="V7606" s="12">
        <f>C7606+2</f>
        <v>40890</v>
      </c>
      <c r="W7606">
        <f>IF(D7606=' Pivot Tables'!$A$4,1,0)</f>
        <v>0</v>
      </c>
      <c r="X7606">
        <f>IF(AND(LEFT(D7606,4)+1=LEFT(' Pivot Tables'!$A$4,4)+0,RIGHT(LEFT(D7606,7),2)=RIGHT(LEFT(' Pivot Tables'!$A$4,7),2)),1,0)</f>
        <v>0</v>
      </c>
      <c r="Y7606" s="6">
        <f>1/COUNTIF(Таблица1[Order ID],Таблица1[[#This Row],[Order ID]])</f>
        <v>0.33333333333333331</v>
      </c>
      <c r="Z7606" s="9">
        <f>1/COUNTIFS(Таблица1[Customer Name],Таблица1[[#This Row],[Customer Name]],Таблица1[Order-Year-Month],Таблица1[[#This Row],[Order-Year-Month]])</f>
        <v>0.33333333333333331</v>
      </c>
    </row>
    <row r="7607" spans="1:26" x14ac:dyDescent="0.2">
      <c r="A7607" s="6">
        <v>5933</v>
      </c>
      <c r="B7607" s="7">
        <v>42083</v>
      </c>
      <c r="C7607" s="8">
        <f>DATE(2012,12,31)-386</f>
        <v>40888</v>
      </c>
      <c r="D7607" s="8" t="str">
        <f t="shared" si="144"/>
        <v>2011-12 (декабрь 2011)</v>
      </c>
      <c r="E7607" s="9" t="s">
        <v>78</v>
      </c>
      <c r="F7607" s="7">
        <v>36</v>
      </c>
      <c r="G7607" s="7">
        <v>236.89</v>
      </c>
      <c r="H7607" s="7">
        <v>0.04</v>
      </c>
      <c r="I7607" s="9" t="s">
        <v>22</v>
      </c>
      <c r="J7607" s="10">
        <v>-86.3</v>
      </c>
      <c r="K7607" s="11">
        <v>6.48</v>
      </c>
      <c r="L7607" s="11">
        <v>6.22</v>
      </c>
      <c r="M7607" s="9" t="s">
        <v>1873</v>
      </c>
      <c r="N7607" s="6" t="s">
        <v>2073</v>
      </c>
      <c r="O7607" s="6" t="s">
        <v>704</v>
      </c>
      <c r="P7607" s="9" t="s">
        <v>33</v>
      </c>
      <c r="Q7607" s="9" t="s">
        <v>26</v>
      </c>
      <c r="R7607" s="9" t="s">
        <v>61</v>
      </c>
      <c r="S7607" s="7" t="s">
        <v>943</v>
      </c>
      <c r="T7607" s="9" t="s">
        <v>39</v>
      </c>
      <c r="U7607" s="7">
        <v>0.37</v>
      </c>
      <c r="V7607" s="12">
        <f>C7607+2</f>
        <v>40890</v>
      </c>
      <c r="W7607">
        <f>IF(D7607=' Pivot Tables'!$A$4,1,0)</f>
        <v>0</v>
      </c>
      <c r="X7607">
        <f>IF(AND(LEFT(D7607,4)+1=LEFT(' Pivot Tables'!$A$4,4)+0,RIGHT(LEFT(D7607,7),2)=RIGHT(LEFT(' Pivot Tables'!$A$4,7),2)),1,0)</f>
        <v>0</v>
      </c>
      <c r="Y7607" s="6">
        <f>1/COUNTIF(Таблица1[Order ID],Таблица1[[#This Row],[Order ID]])</f>
        <v>0.33333333333333331</v>
      </c>
      <c r="Z7607" s="9">
        <f>1/COUNTIFS(Таблица1[Customer Name],Таблица1[[#This Row],[Customer Name]],Таблица1[Order-Year-Month],Таблица1[[#This Row],[Order-Year-Month]])</f>
        <v>0.33333333333333331</v>
      </c>
    </row>
    <row r="7608" spans="1:26" x14ac:dyDescent="0.2">
      <c r="A7608" s="6">
        <v>5934</v>
      </c>
      <c r="B7608" s="7">
        <v>42083</v>
      </c>
      <c r="C7608" s="8">
        <f>DATE(2012,12,31)-386</f>
        <v>40888</v>
      </c>
      <c r="D7608" s="8" t="str">
        <f t="shared" si="144"/>
        <v>2011-12 (декабрь 2011)</v>
      </c>
      <c r="E7608" s="9" t="s">
        <v>78</v>
      </c>
      <c r="F7608" s="7">
        <v>33</v>
      </c>
      <c r="G7608" s="7">
        <v>68.42</v>
      </c>
      <c r="H7608" s="7">
        <v>0.05</v>
      </c>
      <c r="I7608" s="9" t="s">
        <v>22</v>
      </c>
      <c r="J7608" s="10">
        <v>-57.97</v>
      </c>
      <c r="K7608" s="11">
        <v>2.08</v>
      </c>
      <c r="L7608" s="11">
        <v>2.56</v>
      </c>
      <c r="M7608" s="9" t="s">
        <v>1873</v>
      </c>
      <c r="N7608" s="6" t="s">
        <v>2073</v>
      </c>
      <c r="O7608" s="6" t="s">
        <v>704</v>
      </c>
      <c r="P7608" s="9" t="s">
        <v>33</v>
      </c>
      <c r="Q7608" s="9" t="s">
        <v>26</v>
      </c>
      <c r="R7608" s="9" t="s">
        <v>150</v>
      </c>
      <c r="S7608" s="7" t="s">
        <v>750</v>
      </c>
      <c r="T7608" s="9" t="s">
        <v>52</v>
      </c>
      <c r="U7608" s="7">
        <v>0.55000000000000004</v>
      </c>
      <c r="V7608" s="12">
        <f>C7608+0</f>
        <v>40888</v>
      </c>
      <c r="W7608">
        <f>IF(D7608=' Pivot Tables'!$A$4,1,0)</f>
        <v>0</v>
      </c>
      <c r="X7608">
        <f>IF(AND(LEFT(D7608,4)+1=LEFT(' Pivot Tables'!$A$4,4)+0,RIGHT(LEFT(D7608,7),2)=RIGHT(LEFT(' Pivot Tables'!$A$4,7),2)),1,0)</f>
        <v>0</v>
      </c>
      <c r="Y7608" s="6">
        <f>1/COUNTIF(Таблица1[Order ID],Таблица1[[#This Row],[Order ID]])</f>
        <v>0.33333333333333331</v>
      </c>
      <c r="Z7608" s="9">
        <f>1/COUNTIFS(Таблица1[Customer Name],Таблица1[[#This Row],[Customer Name]],Таблица1[Order-Year-Month],Таблица1[[#This Row],[Order-Year-Month]])</f>
        <v>0.33333333333333331</v>
      </c>
    </row>
    <row r="7609" spans="1:26" x14ac:dyDescent="0.2">
      <c r="A7609" s="6">
        <v>5941</v>
      </c>
      <c r="B7609" s="7">
        <v>42151</v>
      </c>
      <c r="C7609" s="8">
        <f>DATE(2012,12,31)-747</f>
        <v>40527</v>
      </c>
      <c r="D7609" s="8" t="str">
        <f t="shared" si="144"/>
        <v>2010-12 (декабрь 2010)</v>
      </c>
      <c r="E7609" s="9" t="s">
        <v>30</v>
      </c>
      <c r="F7609" s="7">
        <v>35</v>
      </c>
      <c r="G7609" s="7">
        <v>4408.6695</v>
      </c>
      <c r="H7609" s="7">
        <v>0.05</v>
      </c>
      <c r="I7609" s="9" t="s">
        <v>22</v>
      </c>
      <c r="J7609" s="10">
        <v>1140.6690000000001</v>
      </c>
      <c r="K7609" s="11">
        <v>155.99</v>
      </c>
      <c r="L7609" s="11">
        <v>3.9</v>
      </c>
      <c r="M7609" s="9" t="s">
        <v>2076</v>
      </c>
      <c r="N7609" s="6" t="s">
        <v>2073</v>
      </c>
      <c r="O7609" s="6" t="s">
        <v>704</v>
      </c>
      <c r="P7609" s="9" t="s">
        <v>33</v>
      </c>
      <c r="Q7609" s="9" t="s">
        <v>42</v>
      </c>
      <c r="R7609" s="9" t="s">
        <v>43</v>
      </c>
      <c r="S7609" s="7" t="s">
        <v>257</v>
      </c>
      <c r="T7609" s="9" t="s">
        <v>39</v>
      </c>
      <c r="U7609" s="7">
        <v>0.55000000000000004</v>
      </c>
      <c r="V7609" s="12">
        <f>C7609+3</f>
        <v>40530</v>
      </c>
      <c r="W7609">
        <f>IF(D7609=' Pivot Tables'!$A$4,1,0)</f>
        <v>0</v>
      </c>
      <c r="X7609">
        <f>IF(AND(LEFT(D7609,4)+1=LEFT(' Pivot Tables'!$A$4,4)+0,RIGHT(LEFT(D7609,7),2)=RIGHT(LEFT(' Pivot Tables'!$A$4,7),2)),1,0)</f>
        <v>0</v>
      </c>
      <c r="Y7609" s="6">
        <f>1/COUNTIF(Таблица1[Order ID],Таблица1[[#This Row],[Order ID]])</f>
        <v>1</v>
      </c>
      <c r="Z7609" s="9">
        <f>1/COUNTIFS(Таблица1[Customer Name],Таблица1[[#This Row],[Customer Name]],Таблица1[Order-Year-Month],Таблица1[[#This Row],[Order-Year-Month]])</f>
        <v>0.5</v>
      </c>
    </row>
    <row r="7610" spans="1:26" x14ac:dyDescent="0.2">
      <c r="A7610" s="6">
        <v>6021</v>
      </c>
      <c r="B7610" s="7">
        <v>42658</v>
      </c>
      <c r="C7610" s="8">
        <f>DATE(2012,12,31)-930</f>
        <v>40344</v>
      </c>
      <c r="D7610" s="8" t="str">
        <f t="shared" si="144"/>
        <v>2010-06 (июнь 2010)</v>
      </c>
      <c r="E7610" s="9" t="s">
        <v>63</v>
      </c>
      <c r="F7610" s="7">
        <v>29</v>
      </c>
      <c r="G7610" s="7">
        <v>146.68</v>
      </c>
      <c r="H7610" s="7">
        <v>0.08</v>
      </c>
      <c r="I7610" s="9" t="s">
        <v>22</v>
      </c>
      <c r="J7610" s="10">
        <v>-8.3260000000000005</v>
      </c>
      <c r="K7610" s="11">
        <v>5.28</v>
      </c>
      <c r="L7610" s="11">
        <v>2.99</v>
      </c>
      <c r="M7610" s="9" t="s">
        <v>1927</v>
      </c>
      <c r="N7610" s="6" t="s">
        <v>2073</v>
      </c>
      <c r="O7610" s="6" t="s">
        <v>704</v>
      </c>
      <c r="P7610" s="9" t="s">
        <v>60</v>
      </c>
      <c r="Q7610" s="9" t="s">
        <v>26</v>
      </c>
      <c r="R7610" s="9" t="s">
        <v>37</v>
      </c>
      <c r="S7610" s="7" t="s">
        <v>73</v>
      </c>
      <c r="T7610" s="9" t="s">
        <v>39</v>
      </c>
      <c r="U7610" s="7">
        <v>0.37</v>
      </c>
      <c r="V7610" s="12">
        <f>C7610+0</f>
        <v>40344</v>
      </c>
      <c r="W7610">
        <f>IF(D7610=' Pivot Tables'!$A$4,1,0)</f>
        <v>0</v>
      </c>
      <c r="X7610">
        <f>IF(AND(LEFT(D7610,4)+1=LEFT(' Pivot Tables'!$A$4,4)+0,RIGHT(LEFT(D7610,7),2)=RIGHT(LEFT(' Pivot Tables'!$A$4,7),2)),1,0)</f>
        <v>0</v>
      </c>
      <c r="Y7610" s="6">
        <f>1/COUNTIF(Таблица1[Order ID],Таблица1[[#This Row],[Order ID]])</f>
        <v>1</v>
      </c>
      <c r="Z7610" s="9">
        <f>1/COUNTIFS(Таблица1[Customer Name],Таблица1[[#This Row],[Customer Name]],Таблица1[Order-Year-Month],Таблица1[[#This Row],[Order-Year-Month]])</f>
        <v>1</v>
      </c>
    </row>
    <row r="7611" spans="1:26" x14ac:dyDescent="0.2">
      <c r="A7611" s="6">
        <v>6200</v>
      </c>
      <c r="B7611" s="7">
        <v>43911</v>
      </c>
      <c r="C7611" s="8">
        <f>DATE(2012,12,31)-1447</f>
        <v>39827</v>
      </c>
      <c r="D7611" s="8" t="str">
        <f t="shared" si="144"/>
        <v>2009-01 (январь 2009)</v>
      </c>
      <c r="E7611" s="9" t="s">
        <v>63</v>
      </c>
      <c r="F7611" s="7">
        <v>29</v>
      </c>
      <c r="G7611" s="7">
        <v>577.89</v>
      </c>
      <c r="H7611" s="7">
        <v>0.06</v>
      </c>
      <c r="I7611" s="9" t="s">
        <v>22</v>
      </c>
      <c r="J7611" s="10">
        <v>-53.89</v>
      </c>
      <c r="K7611" s="11">
        <v>19.989999999999998</v>
      </c>
      <c r="L7611" s="11">
        <v>11.17</v>
      </c>
      <c r="M7611" s="9" t="s">
        <v>2079</v>
      </c>
      <c r="N7611" s="6" t="s">
        <v>2073</v>
      </c>
      <c r="O7611" s="6" t="s">
        <v>704</v>
      </c>
      <c r="P7611" s="9" t="s">
        <v>41</v>
      </c>
      <c r="Q7611" s="9" t="s">
        <v>49</v>
      </c>
      <c r="R7611" s="9" t="s">
        <v>50</v>
      </c>
      <c r="S7611" s="7" t="s">
        <v>340</v>
      </c>
      <c r="T7611" s="9" t="s">
        <v>29</v>
      </c>
      <c r="U7611" s="7">
        <v>0.6</v>
      </c>
      <c r="V7611" s="12">
        <f>C7611+0</f>
        <v>39827</v>
      </c>
      <c r="W7611">
        <f>IF(D7611=' Pivot Tables'!$A$4,1,0)</f>
        <v>0</v>
      </c>
      <c r="X7611">
        <f>IF(AND(LEFT(D7611,4)+1=LEFT(' Pivot Tables'!$A$4,4)+0,RIGHT(LEFT(D7611,7),2)=RIGHT(LEFT(' Pivot Tables'!$A$4,7),2)),1,0)</f>
        <v>1</v>
      </c>
      <c r="Y7611" s="6">
        <f>1/COUNTIF(Таблица1[Order ID],Таблица1[[#This Row],[Order ID]])</f>
        <v>0.33333333333333331</v>
      </c>
      <c r="Z7611" s="9">
        <f>1/COUNTIFS(Таблица1[Customer Name],Таблица1[[#This Row],[Customer Name]],Таблица1[Order-Year-Month],Таблица1[[#This Row],[Order-Year-Month]])</f>
        <v>0.33333333333333331</v>
      </c>
    </row>
    <row r="7612" spans="1:26" x14ac:dyDescent="0.2">
      <c r="A7612" s="6">
        <v>6201</v>
      </c>
      <c r="B7612" s="7">
        <v>43911</v>
      </c>
      <c r="C7612" s="8">
        <f>DATE(2012,12,31)-1447</f>
        <v>39827</v>
      </c>
      <c r="D7612" s="8" t="str">
        <f t="shared" si="144"/>
        <v>2009-01 (январь 2009)</v>
      </c>
      <c r="E7612" s="9" t="s">
        <v>63</v>
      </c>
      <c r="F7612" s="7">
        <v>36</v>
      </c>
      <c r="G7612" s="7">
        <v>9920.85</v>
      </c>
      <c r="H7612" s="7">
        <v>0</v>
      </c>
      <c r="I7612" s="9" t="s">
        <v>31</v>
      </c>
      <c r="J7612" s="10">
        <v>2685.19</v>
      </c>
      <c r="K7612" s="11">
        <v>264.98</v>
      </c>
      <c r="L7612" s="11">
        <v>17.86</v>
      </c>
      <c r="M7612" s="9" t="s">
        <v>2079</v>
      </c>
      <c r="N7612" s="6" t="s">
        <v>2073</v>
      </c>
      <c r="O7612" s="6" t="s">
        <v>704</v>
      </c>
      <c r="P7612" s="9" t="s">
        <v>41</v>
      </c>
      <c r="Q7612" s="9" t="s">
        <v>42</v>
      </c>
      <c r="R7612" s="9" t="s">
        <v>210</v>
      </c>
      <c r="S7612" s="7" t="s">
        <v>1207</v>
      </c>
      <c r="T7612" s="9" t="s">
        <v>36</v>
      </c>
      <c r="U7612" s="7">
        <v>0.57999999999999996</v>
      </c>
      <c r="V7612" s="12">
        <f>C7612+1</f>
        <v>39828</v>
      </c>
      <c r="W7612">
        <f>IF(D7612=' Pivot Tables'!$A$4,1,0)</f>
        <v>0</v>
      </c>
      <c r="X7612">
        <f>IF(AND(LEFT(D7612,4)+1=LEFT(' Pivot Tables'!$A$4,4)+0,RIGHT(LEFT(D7612,7),2)=RIGHT(LEFT(' Pivot Tables'!$A$4,7),2)),1,0)</f>
        <v>1</v>
      </c>
      <c r="Y7612" s="6">
        <f>1/COUNTIF(Таблица1[Order ID],Таблица1[[#This Row],[Order ID]])</f>
        <v>0.33333333333333331</v>
      </c>
      <c r="Z7612" s="9">
        <f>1/COUNTIFS(Таблица1[Customer Name],Таблица1[[#This Row],[Customer Name]],Таблица1[Order-Year-Month],Таблица1[[#This Row],[Order-Year-Month]])</f>
        <v>0.33333333333333331</v>
      </c>
    </row>
    <row r="7613" spans="1:26" x14ac:dyDescent="0.2">
      <c r="A7613" s="6">
        <v>6202</v>
      </c>
      <c r="B7613" s="7">
        <v>43911</v>
      </c>
      <c r="C7613" s="8">
        <f>DATE(2012,12,31)-1447</f>
        <v>39827</v>
      </c>
      <c r="D7613" s="8" t="str">
        <f t="shared" si="144"/>
        <v>2009-01 (январь 2009)</v>
      </c>
      <c r="E7613" s="9" t="s">
        <v>63</v>
      </c>
      <c r="F7613" s="7">
        <v>23</v>
      </c>
      <c r="G7613" s="7">
        <v>7484.31</v>
      </c>
      <c r="H7613" s="7">
        <v>0.06</v>
      </c>
      <c r="I7613" s="9" t="s">
        <v>31</v>
      </c>
      <c r="J7613" s="10">
        <v>1278.45</v>
      </c>
      <c r="K7613" s="11">
        <v>320.98</v>
      </c>
      <c r="L7613" s="11">
        <v>58.95</v>
      </c>
      <c r="M7613" s="9" t="s">
        <v>2079</v>
      </c>
      <c r="N7613" s="6" t="s">
        <v>2073</v>
      </c>
      <c r="O7613" s="6" t="s">
        <v>704</v>
      </c>
      <c r="P7613" s="9" t="s">
        <v>41</v>
      </c>
      <c r="Q7613" s="9" t="s">
        <v>49</v>
      </c>
      <c r="R7613" s="9" t="s">
        <v>112</v>
      </c>
      <c r="S7613" s="7" t="s">
        <v>181</v>
      </c>
      <c r="T7613" s="9" t="s">
        <v>36</v>
      </c>
      <c r="U7613" s="7">
        <v>0.56999999999999995</v>
      </c>
      <c r="V7613" s="12">
        <f>C7613+2</f>
        <v>39829</v>
      </c>
      <c r="W7613">
        <f>IF(D7613=' Pivot Tables'!$A$4,1,0)</f>
        <v>0</v>
      </c>
      <c r="X7613">
        <f>IF(AND(LEFT(D7613,4)+1=LEFT(' Pivot Tables'!$A$4,4)+0,RIGHT(LEFT(D7613,7),2)=RIGHT(LEFT(' Pivot Tables'!$A$4,7),2)),1,0)</f>
        <v>1</v>
      </c>
      <c r="Y7613" s="6">
        <f>1/COUNTIF(Таблица1[Order ID],Таблица1[[#This Row],[Order ID]])</f>
        <v>0.33333333333333331</v>
      </c>
      <c r="Z7613" s="9">
        <f>1/COUNTIFS(Таблица1[Customer Name],Таблица1[[#This Row],[Customer Name]],Таблица1[Order-Year-Month],Таблица1[[#This Row],[Order-Year-Month]])</f>
        <v>0.33333333333333331</v>
      </c>
    </row>
    <row r="7614" spans="1:26" x14ac:dyDescent="0.2">
      <c r="A7614" s="6">
        <v>6215</v>
      </c>
      <c r="B7614" s="7">
        <v>44005</v>
      </c>
      <c r="C7614" s="8">
        <f>DATE(2012,12,31)-850</f>
        <v>40424</v>
      </c>
      <c r="D7614" s="8" t="str">
        <f t="shared" si="144"/>
        <v>2010-09 (сентябрь 2010)</v>
      </c>
      <c r="E7614" s="9" t="s">
        <v>63</v>
      </c>
      <c r="F7614" s="7">
        <v>7</v>
      </c>
      <c r="G7614" s="7">
        <v>733.36</v>
      </c>
      <c r="H7614" s="7">
        <v>0.02</v>
      </c>
      <c r="I7614" s="9" t="s">
        <v>22</v>
      </c>
      <c r="J7614" s="10">
        <v>-270.48</v>
      </c>
      <c r="K7614" s="11">
        <v>99.99</v>
      </c>
      <c r="L7614" s="11">
        <v>19.989999999999998</v>
      </c>
      <c r="M7614" s="9" t="s">
        <v>2080</v>
      </c>
      <c r="N7614" s="6" t="s">
        <v>2073</v>
      </c>
      <c r="O7614" s="6" t="s">
        <v>704</v>
      </c>
      <c r="P7614" s="9" t="s">
        <v>41</v>
      </c>
      <c r="Q7614" s="9" t="s">
        <v>42</v>
      </c>
      <c r="R7614" s="9" t="s">
        <v>70</v>
      </c>
      <c r="S7614" s="7" t="s">
        <v>337</v>
      </c>
      <c r="T7614" s="9" t="s">
        <v>39</v>
      </c>
      <c r="U7614" s="7">
        <v>0.52</v>
      </c>
      <c r="V7614" s="12">
        <f>C7614+1</f>
        <v>40425</v>
      </c>
      <c r="W7614">
        <f>IF(D7614=' Pivot Tables'!$A$4,1,0)</f>
        <v>0</v>
      </c>
      <c r="X7614">
        <f>IF(AND(LEFT(D7614,4)+1=LEFT(' Pivot Tables'!$A$4,4)+0,RIGHT(LEFT(D7614,7),2)=RIGHT(LEFT(' Pivot Tables'!$A$4,7),2)),1,0)</f>
        <v>0</v>
      </c>
      <c r="Y7614" s="6">
        <f>1/COUNTIF(Таблица1[Order ID],Таблица1[[#This Row],[Order ID]])</f>
        <v>1</v>
      </c>
      <c r="Z7614" s="9">
        <f>1/COUNTIFS(Таблица1[Customer Name],Таблица1[[#This Row],[Customer Name]],Таблица1[Order-Year-Month],Таблица1[[#This Row],[Order-Year-Month]])</f>
        <v>1</v>
      </c>
    </row>
    <row r="7615" spans="1:26" x14ac:dyDescent="0.2">
      <c r="A7615" s="6">
        <v>6285</v>
      </c>
      <c r="B7615" s="7">
        <v>44486</v>
      </c>
      <c r="C7615" s="8">
        <f>DATE(2012,12,31)-175</f>
        <v>41099</v>
      </c>
      <c r="D7615" s="8" t="str">
        <f t="shared" si="144"/>
        <v>2012-07 (июль 2012)</v>
      </c>
      <c r="E7615" s="9" t="s">
        <v>78</v>
      </c>
      <c r="F7615" s="7">
        <v>36</v>
      </c>
      <c r="G7615" s="7">
        <v>198.1</v>
      </c>
      <c r="H7615" s="7">
        <v>0.09</v>
      </c>
      <c r="I7615" s="9" t="s">
        <v>22</v>
      </c>
      <c r="J7615" s="10">
        <v>-66.930000000000007</v>
      </c>
      <c r="K7615" s="11">
        <v>5.78</v>
      </c>
      <c r="L7615" s="11">
        <v>4.96</v>
      </c>
      <c r="M7615" s="9" t="s">
        <v>1489</v>
      </c>
      <c r="N7615" s="6" t="s">
        <v>2073</v>
      </c>
      <c r="O7615" s="6" t="s">
        <v>704</v>
      </c>
      <c r="P7615" s="9" t="s">
        <v>25</v>
      </c>
      <c r="Q7615" s="9" t="s">
        <v>26</v>
      </c>
      <c r="R7615" s="9" t="s">
        <v>61</v>
      </c>
      <c r="S7615" s="7" t="s">
        <v>737</v>
      </c>
      <c r="T7615" s="9" t="s">
        <v>39</v>
      </c>
      <c r="U7615" s="7">
        <v>0.36</v>
      </c>
      <c r="V7615" s="12">
        <f>C7615+3</f>
        <v>41102</v>
      </c>
      <c r="W7615">
        <f>IF(D7615=' Pivot Tables'!$A$4,1,0)</f>
        <v>0</v>
      </c>
      <c r="X7615">
        <f>IF(AND(LEFT(D7615,4)+1=LEFT(' Pivot Tables'!$A$4,4)+0,RIGHT(LEFT(D7615,7),2)=RIGHT(LEFT(' Pivot Tables'!$A$4,7),2)),1,0)</f>
        <v>0</v>
      </c>
      <c r="Y7615" s="6">
        <f>1/COUNTIF(Таблица1[Order ID],Таблица1[[#This Row],[Order ID]])</f>
        <v>1</v>
      </c>
      <c r="Z7615" s="9">
        <f>1/COUNTIFS(Таблица1[Customer Name],Таблица1[[#This Row],[Customer Name]],Таблица1[Order-Year-Month],Таблица1[[#This Row],[Order-Year-Month]])</f>
        <v>1</v>
      </c>
    </row>
    <row r="7616" spans="1:26" x14ac:dyDescent="0.2">
      <c r="A7616" s="6">
        <v>6378</v>
      </c>
      <c r="B7616" s="7">
        <v>45284</v>
      </c>
      <c r="C7616" s="8">
        <f>DATE(2012,12,31)-359</f>
        <v>40915</v>
      </c>
      <c r="D7616" s="8" t="str">
        <f t="shared" si="144"/>
        <v>2012-01 (январь 2012)</v>
      </c>
      <c r="E7616" s="9" t="s">
        <v>30</v>
      </c>
      <c r="F7616" s="7">
        <v>7</v>
      </c>
      <c r="G7616" s="7">
        <v>91.43</v>
      </c>
      <c r="H7616" s="7">
        <v>0</v>
      </c>
      <c r="I7616" s="9" t="s">
        <v>22</v>
      </c>
      <c r="J7616" s="10">
        <v>-42.98</v>
      </c>
      <c r="K7616" s="11">
        <v>11.66</v>
      </c>
      <c r="L7616" s="11">
        <v>8.99</v>
      </c>
      <c r="M7616" s="9" t="s">
        <v>2078</v>
      </c>
      <c r="N7616" s="6" t="s">
        <v>2073</v>
      </c>
      <c r="O7616" s="6" t="s">
        <v>704</v>
      </c>
      <c r="P7616" s="9" t="s">
        <v>33</v>
      </c>
      <c r="Q7616" s="9" t="s">
        <v>26</v>
      </c>
      <c r="R7616" s="9" t="s">
        <v>95</v>
      </c>
      <c r="S7616" s="7" t="s">
        <v>498</v>
      </c>
      <c r="T7616" s="9" t="s">
        <v>52</v>
      </c>
      <c r="U7616" s="7">
        <v>0.59</v>
      </c>
      <c r="V7616" s="12">
        <f>C7616+1</f>
        <v>40916</v>
      </c>
      <c r="W7616">
        <f>IF(D7616=' Pivot Tables'!$A$4,1,0)</f>
        <v>0</v>
      </c>
      <c r="X7616">
        <f>IF(AND(LEFT(D7616,4)+1=LEFT(' Pivot Tables'!$A$4,4)+0,RIGHT(LEFT(D7616,7),2)=RIGHT(LEFT(' Pivot Tables'!$A$4,7),2)),1,0)</f>
        <v>0</v>
      </c>
      <c r="Y7616" s="6">
        <f>1/COUNTIF(Таблица1[Order ID],Таблица1[[#This Row],[Order ID]])</f>
        <v>1</v>
      </c>
      <c r="Z7616" s="9">
        <f>1/COUNTIFS(Таблица1[Customer Name],Таблица1[[#This Row],[Customer Name]],Таблица1[Order-Year-Month],Таблица1[[#This Row],[Order-Year-Month]])</f>
        <v>1</v>
      </c>
    </row>
    <row r="7617" spans="1:26" x14ac:dyDescent="0.2">
      <c r="A7617" s="6">
        <v>6424</v>
      </c>
      <c r="B7617" s="7">
        <v>45668</v>
      </c>
      <c r="C7617" s="8">
        <f>DATE(2012,12,31)-750</f>
        <v>40524</v>
      </c>
      <c r="D7617" s="8" t="str">
        <f t="shared" si="144"/>
        <v>2010-12 (декабрь 2010)</v>
      </c>
      <c r="E7617" s="9" t="s">
        <v>45</v>
      </c>
      <c r="F7617" s="7">
        <v>8</v>
      </c>
      <c r="G7617" s="7">
        <v>704.77</v>
      </c>
      <c r="H7617" s="7">
        <v>0.01</v>
      </c>
      <c r="I7617" s="9" t="s">
        <v>31</v>
      </c>
      <c r="J7617" s="10">
        <v>-298.89999999999998</v>
      </c>
      <c r="K7617" s="11">
        <v>81.94</v>
      </c>
      <c r="L7617" s="11">
        <v>55.81</v>
      </c>
      <c r="M7617" s="9" t="s">
        <v>2080</v>
      </c>
      <c r="N7617" s="6" t="s">
        <v>2073</v>
      </c>
      <c r="O7617" s="6" t="s">
        <v>704</v>
      </c>
      <c r="P7617" s="9" t="s">
        <v>41</v>
      </c>
      <c r="Q7617" s="9" t="s">
        <v>49</v>
      </c>
      <c r="R7617" s="9" t="s">
        <v>80</v>
      </c>
      <c r="S7617" s="7" t="s">
        <v>1104</v>
      </c>
      <c r="T7617" s="9" t="s">
        <v>82</v>
      </c>
      <c r="U7617" s="7">
        <v>0.6</v>
      </c>
      <c r="V7617" s="12">
        <f>C7617+1</f>
        <v>40525</v>
      </c>
      <c r="W7617">
        <f>IF(D7617=' Pivot Tables'!$A$4,1,0)</f>
        <v>0</v>
      </c>
      <c r="X7617">
        <f>IF(AND(LEFT(D7617,4)+1=LEFT(' Pivot Tables'!$A$4,4)+0,RIGHT(LEFT(D7617,7),2)=RIGHT(LEFT(' Pivot Tables'!$A$4,7),2)),1,0)</f>
        <v>0</v>
      </c>
      <c r="Y7617" s="6">
        <f>1/COUNTIF(Таблица1[Order ID],Таблица1[[#This Row],[Order ID]])</f>
        <v>1</v>
      </c>
      <c r="Z7617" s="9">
        <f>1/COUNTIFS(Таблица1[Customer Name],Таблица1[[#This Row],[Customer Name]],Таблица1[Order-Year-Month],Таблица1[[#This Row],[Order-Year-Month]])</f>
        <v>1</v>
      </c>
    </row>
    <row r="7618" spans="1:26" x14ac:dyDescent="0.2">
      <c r="A7618" s="6">
        <v>6465</v>
      </c>
      <c r="B7618" s="7">
        <v>46023</v>
      </c>
      <c r="C7618" s="8">
        <f>DATE(2012,12,31)-282</f>
        <v>40992</v>
      </c>
      <c r="D7618" s="8" t="str">
        <f t="shared" si="144"/>
        <v>2012-03 (март 2012)</v>
      </c>
      <c r="E7618" s="9" t="s">
        <v>45</v>
      </c>
      <c r="F7618" s="7">
        <v>50</v>
      </c>
      <c r="G7618" s="7">
        <v>1101.76</v>
      </c>
      <c r="H7618" s="7">
        <v>7.0000000000000007E-2</v>
      </c>
      <c r="I7618" s="9" t="s">
        <v>22</v>
      </c>
      <c r="J7618" s="10">
        <v>-204.22</v>
      </c>
      <c r="K7618" s="11">
        <v>21.66</v>
      </c>
      <c r="L7618" s="11">
        <v>13.99</v>
      </c>
      <c r="M7618" s="9" t="s">
        <v>2077</v>
      </c>
      <c r="N7618" s="6" t="s">
        <v>2073</v>
      </c>
      <c r="O7618" s="6" t="s">
        <v>704</v>
      </c>
      <c r="P7618" s="9" t="s">
        <v>25</v>
      </c>
      <c r="Q7618" s="9" t="s">
        <v>26</v>
      </c>
      <c r="R7618" s="9" t="s">
        <v>34</v>
      </c>
      <c r="S7618" s="7" t="s">
        <v>223</v>
      </c>
      <c r="T7618" s="9" t="s">
        <v>48</v>
      </c>
      <c r="U7618" s="7">
        <v>0.52</v>
      </c>
      <c r="V7618" s="12">
        <f>C7618+1</f>
        <v>40993</v>
      </c>
      <c r="W7618">
        <f>IF(D7618=' Pivot Tables'!$A$4,1,0)</f>
        <v>0</v>
      </c>
      <c r="X7618">
        <f>IF(AND(LEFT(D7618,4)+1=LEFT(' Pivot Tables'!$A$4,4)+0,RIGHT(LEFT(D7618,7),2)=RIGHT(LEFT(' Pivot Tables'!$A$4,7),2)),1,0)</f>
        <v>0</v>
      </c>
      <c r="Y7618" s="6">
        <f>1/COUNTIF(Таблица1[Order ID],Таблица1[[#This Row],[Order ID]])</f>
        <v>1</v>
      </c>
      <c r="Z7618" s="9">
        <f>1/COUNTIFS(Таблица1[Customer Name],Таблица1[[#This Row],[Customer Name]],Таблица1[Order-Year-Month],Таблица1[[#This Row],[Order-Year-Month]])</f>
        <v>0.5</v>
      </c>
    </row>
    <row r="7619" spans="1:26" x14ac:dyDescent="0.2">
      <c r="A7619" s="6">
        <v>6544</v>
      </c>
      <c r="B7619" s="7">
        <v>46533</v>
      </c>
      <c r="C7619" s="8">
        <f>DATE(2012,12,31)-1181</f>
        <v>40093</v>
      </c>
      <c r="D7619" s="8" t="str">
        <f t="shared" ref="D7619:D7682" si="145">TEXT(C7619,"гггг-ММ (ММММ гггг)")</f>
        <v>2009-10 (октябрь 2009)</v>
      </c>
      <c r="E7619" s="9" t="s">
        <v>30</v>
      </c>
      <c r="F7619" s="7">
        <v>3</v>
      </c>
      <c r="G7619" s="7">
        <v>215.24</v>
      </c>
      <c r="H7619" s="7">
        <v>0.04</v>
      </c>
      <c r="I7619" s="9" t="s">
        <v>22</v>
      </c>
      <c r="J7619" s="10">
        <v>49.76</v>
      </c>
      <c r="K7619" s="11">
        <v>55.5</v>
      </c>
      <c r="L7619" s="11">
        <v>52.2</v>
      </c>
      <c r="M7619" s="9" t="s">
        <v>914</v>
      </c>
      <c r="N7619" s="6" t="s">
        <v>2073</v>
      </c>
      <c r="O7619" s="6" t="s">
        <v>704</v>
      </c>
      <c r="P7619" s="9" t="s">
        <v>25</v>
      </c>
      <c r="Q7619" s="9" t="s">
        <v>49</v>
      </c>
      <c r="R7619" s="9" t="s">
        <v>50</v>
      </c>
      <c r="S7619" s="7" t="s">
        <v>423</v>
      </c>
      <c r="T7619" s="9" t="s">
        <v>48</v>
      </c>
      <c r="U7619" s="7">
        <v>0.72</v>
      </c>
      <c r="V7619" s="12">
        <f>C7619+1</f>
        <v>40094</v>
      </c>
      <c r="W7619">
        <f>IF(D7619=' Pivot Tables'!$A$4,1,0)</f>
        <v>0</v>
      </c>
      <c r="X7619">
        <f>IF(AND(LEFT(D7619,4)+1=LEFT(' Pivot Tables'!$A$4,4)+0,RIGHT(LEFT(D7619,7),2)=RIGHT(LEFT(' Pivot Tables'!$A$4,7),2)),1,0)</f>
        <v>0</v>
      </c>
      <c r="Y7619" s="6">
        <f>1/COUNTIF(Таблица1[Order ID],Таблица1[[#This Row],[Order ID]])</f>
        <v>0.5</v>
      </c>
      <c r="Z7619" s="9">
        <f>1/COUNTIFS(Таблица1[Customer Name],Таблица1[[#This Row],[Customer Name]],Таблица1[Order-Year-Month],Таблица1[[#This Row],[Order-Year-Month]])</f>
        <v>0.5</v>
      </c>
    </row>
    <row r="7620" spans="1:26" x14ac:dyDescent="0.2">
      <c r="A7620" s="6">
        <v>6545</v>
      </c>
      <c r="B7620" s="7">
        <v>46533</v>
      </c>
      <c r="C7620" s="8">
        <f>DATE(2012,12,31)-1181</f>
        <v>40093</v>
      </c>
      <c r="D7620" s="8" t="str">
        <f t="shared" si="145"/>
        <v>2009-10 (октябрь 2009)</v>
      </c>
      <c r="E7620" s="9" t="s">
        <v>30</v>
      </c>
      <c r="F7620" s="7">
        <v>12</v>
      </c>
      <c r="G7620" s="7">
        <v>654.87400000000002</v>
      </c>
      <c r="H7620" s="7">
        <v>0.1</v>
      </c>
      <c r="I7620" s="9" t="s">
        <v>56</v>
      </c>
      <c r="J7620" s="10">
        <v>-82.06</v>
      </c>
      <c r="K7620" s="11">
        <v>65.989999999999995</v>
      </c>
      <c r="L7620" s="11">
        <v>3.99</v>
      </c>
      <c r="M7620" s="9" t="s">
        <v>914</v>
      </c>
      <c r="N7620" s="6" t="s">
        <v>2073</v>
      </c>
      <c r="O7620" s="6" t="s">
        <v>704</v>
      </c>
      <c r="P7620" s="9" t="s">
        <v>25</v>
      </c>
      <c r="Q7620" s="9" t="s">
        <v>42</v>
      </c>
      <c r="R7620" s="9" t="s">
        <v>43</v>
      </c>
      <c r="S7620" s="7" t="s">
        <v>582</v>
      </c>
      <c r="T7620" s="9" t="s">
        <v>39</v>
      </c>
      <c r="U7620" s="7">
        <v>0.59</v>
      </c>
      <c r="V7620" s="12">
        <f>C7620+2</f>
        <v>40095</v>
      </c>
      <c r="W7620">
        <f>IF(D7620=' Pivot Tables'!$A$4,1,0)</f>
        <v>0</v>
      </c>
      <c r="X7620">
        <f>IF(AND(LEFT(D7620,4)+1=LEFT(' Pivot Tables'!$A$4,4)+0,RIGHT(LEFT(D7620,7),2)=RIGHT(LEFT(' Pivot Tables'!$A$4,7),2)),1,0)</f>
        <v>0</v>
      </c>
      <c r="Y7620" s="6">
        <f>1/COUNTIF(Таблица1[Order ID],Таблица1[[#This Row],[Order ID]])</f>
        <v>0.5</v>
      </c>
      <c r="Z7620" s="9">
        <f>1/COUNTIFS(Таблица1[Customer Name],Таблица1[[#This Row],[Customer Name]],Таблица1[Order-Year-Month],Таблица1[[#This Row],[Order-Year-Month]])</f>
        <v>0.5</v>
      </c>
    </row>
    <row r="7621" spans="1:26" x14ac:dyDescent="0.2">
      <c r="A7621" s="6">
        <v>6784</v>
      </c>
      <c r="B7621" s="7">
        <v>48321</v>
      </c>
      <c r="C7621" s="8">
        <f>DATE(2012,12,31)-886</f>
        <v>40388</v>
      </c>
      <c r="D7621" s="8" t="str">
        <f t="shared" si="145"/>
        <v>2010-07 (июль 2010)</v>
      </c>
      <c r="E7621" s="9" t="s">
        <v>30</v>
      </c>
      <c r="F7621" s="7">
        <v>31</v>
      </c>
      <c r="G7621" s="7">
        <v>5875.66</v>
      </c>
      <c r="H7621" s="7">
        <v>0.02</v>
      </c>
      <c r="I7621" s="9" t="s">
        <v>22</v>
      </c>
      <c r="J7621" s="10">
        <v>1856.12</v>
      </c>
      <c r="K7621" s="11">
        <v>178.47</v>
      </c>
      <c r="L7621" s="11">
        <v>19.989999999999998</v>
      </c>
      <c r="M7621" s="9" t="s">
        <v>2076</v>
      </c>
      <c r="N7621" s="6" t="s">
        <v>2073</v>
      </c>
      <c r="O7621" s="6" t="s">
        <v>704</v>
      </c>
      <c r="P7621" s="9" t="s">
        <v>33</v>
      </c>
      <c r="Q7621" s="9" t="s">
        <v>26</v>
      </c>
      <c r="R7621" s="9" t="s">
        <v>27</v>
      </c>
      <c r="S7621" s="7" t="s">
        <v>1195</v>
      </c>
      <c r="T7621" s="9" t="s">
        <v>39</v>
      </c>
      <c r="U7621" s="7">
        <v>0.55000000000000004</v>
      </c>
      <c r="V7621" s="12">
        <f>C7621+1</f>
        <v>40389</v>
      </c>
      <c r="W7621">
        <f>IF(D7621=' Pivot Tables'!$A$4,1,0)</f>
        <v>0</v>
      </c>
      <c r="X7621">
        <f>IF(AND(LEFT(D7621,4)+1=LEFT(' Pivot Tables'!$A$4,4)+0,RIGHT(LEFT(D7621,7),2)=RIGHT(LEFT(' Pivot Tables'!$A$4,7),2)),1,0)</f>
        <v>0</v>
      </c>
      <c r="Y7621" s="6">
        <f>1/COUNTIF(Таблица1[Order ID],Таблица1[[#This Row],[Order ID]])</f>
        <v>1</v>
      </c>
      <c r="Z7621" s="9">
        <f>1/COUNTIFS(Таблица1[Customer Name],Таблица1[[#This Row],[Customer Name]],Таблица1[Order-Year-Month],Таблица1[[#This Row],[Order-Year-Month]])</f>
        <v>1</v>
      </c>
    </row>
    <row r="7622" spans="1:26" x14ac:dyDescent="0.2">
      <c r="A7622" s="6">
        <v>6837</v>
      </c>
      <c r="B7622" s="7">
        <v>48673</v>
      </c>
      <c r="C7622" s="8">
        <f>DATE(2012,12,31)-249</f>
        <v>41025</v>
      </c>
      <c r="D7622" s="8" t="str">
        <f t="shared" si="145"/>
        <v>2012-04 (апрель 2012)</v>
      </c>
      <c r="E7622" s="9" t="s">
        <v>45</v>
      </c>
      <c r="F7622" s="7">
        <v>36</v>
      </c>
      <c r="G7622" s="7">
        <v>570.14</v>
      </c>
      <c r="H7622" s="7">
        <v>0.03</v>
      </c>
      <c r="I7622" s="9" t="s">
        <v>22</v>
      </c>
      <c r="J7622" s="10">
        <v>-90.72</v>
      </c>
      <c r="K7622" s="11">
        <v>15.31</v>
      </c>
      <c r="L7622" s="11">
        <v>8.7799999999999994</v>
      </c>
      <c r="M7622" s="9" t="s">
        <v>1844</v>
      </c>
      <c r="N7622" s="6" t="s">
        <v>2073</v>
      </c>
      <c r="O7622" s="6" t="s">
        <v>704</v>
      </c>
      <c r="P7622" s="9" t="s">
        <v>60</v>
      </c>
      <c r="Q7622" s="9" t="s">
        <v>26</v>
      </c>
      <c r="R7622" s="9" t="s">
        <v>27</v>
      </c>
      <c r="S7622" s="7" t="s">
        <v>748</v>
      </c>
      <c r="T7622" s="9" t="s">
        <v>39</v>
      </c>
      <c r="U7622" s="7">
        <v>0.56999999999999995</v>
      </c>
      <c r="V7622" s="12">
        <f>C7622+1</f>
        <v>41026</v>
      </c>
      <c r="W7622">
        <f>IF(D7622=' Pivot Tables'!$A$4,1,0)</f>
        <v>0</v>
      </c>
      <c r="X7622">
        <f>IF(AND(LEFT(D7622,4)+1=LEFT(' Pivot Tables'!$A$4,4)+0,RIGHT(LEFT(D7622,7),2)=RIGHT(LEFT(' Pivot Tables'!$A$4,7),2)),1,0)</f>
        <v>0</v>
      </c>
      <c r="Y7622" s="6">
        <f>1/COUNTIF(Таблица1[Order ID],Таблица1[[#This Row],[Order ID]])</f>
        <v>1</v>
      </c>
      <c r="Z7622" s="9">
        <f>1/COUNTIFS(Таблица1[Customer Name],Таблица1[[#This Row],[Customer Name]],Таблица1[Order-Year-Month],Таблица1[[#This Row],[Order-Year-Month]])</f>
        <v>1</v>
      </c>
    </row>
    <row r="7623" spans="1:26" x14ac:dyDescent="0.2">
      <c r="A7623" s="6">
        <v>6843</v>
      </c>
      <c r="B7623" s="7">
        <v>48742</v>
      </c>
      <c r="C7623" s="8">
        <f>DATE(2012,12,31)-258</f>
        <v>41016</v>
      </c>
      <c r="D7623" s="8" t="str">
        <f t="shared" si="145"/>
        <v>2012-04 (апрель 2012)</v>
      </c>
      <c r="E7623" s="9" t="s">
        <v>45</v>
      </c>
      <c r="F7623" s="7">
        <v>42</v>
      </c>
      <c r="G7623" s="7">
        <v>825.63</v>
      </c>
      <c r="H7623" s="7">
        <v>0.03</v>
      </c>
      <c r="I7623" s="9" t="s">
        <v>22</v>
      </c>
      <c r="J7623" s="10">
        <v>379.73750000000001</v>
      </c>
      <c r="K7623" s="11">
        <v>18.940000000000001</v>
      </c>
      <c r="L7623" s="11">
        <v>1.49</v>
      </c>
      <c r="M7623" s="9" t="s">
        <v>2078</v>
      </c>
      <c r="N7623" s="6" t="s">
        <v>2073</v>
      </c>
      <c r="O7623" s="6" t="s">
        <v>704</v>
      </c>
      <c r="P7623" s="9" t="s">
        <v>33</v>
      </c>
      <c r="Q7623" s="9" t="s">
        <v>26</v>
      </c>
      <c r="R7623" s="9" t="s">
        <v>37</v>
      </c>
      <c r="S7623" s="7" t="s">
        <v>896</v>
      </c>
      <c r="T7623" s="9" t="s">
        <v>39</v>
      </c>
      <c r="U7623" s="7">
        <v>0.35</v>
      </c>
      <c r="V7623" s="12">
        <f>C7623+2</f>
        <v>41018</v>
      </c>
      <c r="W7623">
        <f>IF(D7623=' Pivot Tables'!$A$4,1,0)</f>
        <v>0</v>
      </c>
      <c r="X7623">
        <f>IF(AND(LEFT(D7623,4)+1=LEFT(' Pivot Tables'!$A$4,4)+0,RIGHT(LEFT(D7623,7),2)=RIGHT(LEFT(' Pivot Tables'!$A$4,7),2)),1,0)</f>
        <v>0</v>
      </c>
      <c r="Y7623" s="6">
        <f>1/COUNTIF(Таблица1[Order ID],Таблица1[[#This Row],[Order ID]])</f>
        <v>1</v>
      </c>
      <c r="Z7623" s="9">
        <f>1/COUNTIFS(Таблица1[Customer Name],Таблица1[[#This Row],[Customer Name]],Таблица1[Order-Year-Month],Таблица1[[#This Row],[Order-Year-Month]])</f>
        <v>1</v>
      </c>
    </row>
    <row r="7624" spans="1:26" x14ac:dyDescent="0.2">
      <c r="A7624" s="6">
        <v>6876</v>
      </c>
      <c r="B7624" s="7">
        <v>48998</v>
      </c>
      <c r="C7624" s="8">
        <f>DATE(2012,12,31)-1414</f>
        <v>39860</v>
      </c>
      <c r="D7624" s="8" t="str">
        <f t="shared" si="145"/>
        <v>2009-02 (февраль 2009)</v>
      </c>
      <c r="E7624" s="9" t="s">
        <v>21</v>
      </c>
      <c r="F7624" s="7">
        <v>15</v>
      </c>
      <c r="G7624" s="7">
        <v>180.39</v>
      </c>
      <c r="H7624" s="7">
        <v>0.04</v>
      </c>
      <c r="I7624" s="9" t="s">
        <v>22</v>
      </c>
      <c r="J7624" s="10">
        <v>-8.11</v>
      </c>
      <c r="K7624" s="11">
        <v>11.58</v>
      </c>
      <c r="L7624" s="11">
        <v>6.97</v>
      </c>
      <c r="M7624" s="9" t="s">
        <v>2081</v>
      </c>
      <c r="N7624" s="6" t="s">
        <v>2073</v>
      </c>
      <c r="O7624" s="6" t="s">
        <v>704</v>
      </c>
      <c r="P7624" s="9" t="s">
        <v>60</v>
      </c>
      <c r="Q7624" s="9" t="s">
        <v>26</v>
      </c>
      <c r="R7624" s="9" t="s">
        <v>76</v>
      </c>
      <c r="S7624" s="7" t="s">
        <v>304</v>
      </c>
      <c r="T7624" s="9" t="s">
        <v>39</v>
      </c>
      <c r="U7624" s="7">
        <v>0.35</v>
      </c>
      <c r="V7624" s="12">
        <f>C7624+2</f>
        <v>39862</v>
      </c>
      <c r="W7624">
        <f>IF(D7624=' Pivot Tables'!$A$4,1,0)</f>
        <v>0</v>
      </c>
      <c r="X7624">
        <f>IF(AND(LEFT(D7624,4)+1=LEFT(' Pivot Tables'!$A$4,4)+0,RIGHT(LEFT(D7624,7),2)=RIGHT(LEFT(' Pivot Tables'!$A$4,7),2)),1,0)</f>
        <v>0</v>
      </c>
      <c r="Y7624" s="6">
        <f>1/COUNTIF(Таблица1[Order ID],Таблица1[[#This Row],[Order ID]])</f>
        <v>1</v>
      </c>
      <c r="Z7624" s="9">
        <f>1/COUNTIFS(Таблица1[Customer Name],Таблица1[[#This Row],[Customer Name]],Таблица1[Order-Year-Month],Таблица1[[#This Row],[Order-Year-Month]])</f>
        <v>1</v>
      </c>
    </row>
    <row r="7625" spans="1:26" x14ac:dyDescent="0.2">
      <c r="A7625" s="6">
        <v>7038</v>
      </c>
      <c r="B7625" s="7">
        <v>50246</v>
      </c>
      <c r="C7625" s="8">
        <f>DATE(2012,12,31)-866</f>
        <v>40408</v>
      </c>
      <c r="D7625" s="8" t="str">
        <f t="shared" si="145"/>
        <v>2010-08 (август 2010)</v>
      </c>
      <c r="E7625" s="9" t="s">
        <v>63</v>
      </c>
      <c r="F7625" s="7">
        <v>14</v>
      </c>
      <c r="G7625" s="7">
        <v>102.04</v>
      </c>
      <c r="H7625" s="7">
        <v>0.05</v>
      </c>
      <c r="I7625" s="9" t="s">
        <v>56</v>
      </c>
      <c r="J7625" s="10">
        <v>-47.67</v>
      </c>
      <c r="K7625" s="11">
        <v>6.48</v>
      </c>
      <c r="L7625" s="11">
        <v>7.37</v>
      </c>
      <c r="M7625" s="9" t="s">
        <v>1289</v>
      </c>
      <c r="N7625" s="6" t="s">
        <v>2073</v>
      </c>
      <c r="O7625" s="6" t="s">
        <v>704</v>
      </c>
      <c r="P7625" s="9" t="s">
        <v>41</v>
      </c>
      <c r="Q7625" s="9" t="s">
        <v>26</v>
      </c>
      <c r="R7625" s="9" t="s">
        <v>61</v>
      </c>
      <c r="S7625" s="7" t="s">
        <v>859</v>
      </c>
      <c r="T7625" s="9" t="s">
        <v>39</v>
      </c>
      <c r="U7625" s="7">
        <v>0.37</v>
      </c>
      <c r="V7625" s="12">
        <f>C7625+1</f>
        <v>40409</v>
      </c>
      <c r="W7625">
        <f>IF(D7625=' Pivot Tables'!$A$4,1,0)</f>
        <v>0</v>
      </c>
      <c r="X7625">
        <f>IF(AND(LEFT(D7625,4)+1=LEFT(' Pivot Tables'!$A$4,4)+0,RIGHT(LEFT(D7625,7),2)=RIGHT(LEFT(' Pivot Tables'!$A$4,7),2)),1,0)</f>
        <v>0</v>
      </c>
      <c r="Y7625" s="6">
        <f>1/COUNTIF(Таблица1[Order ID],Таблица1[[#This Row],[Order ID]])</f>
        <v>1</v>
      </c>
      <c r="Z7625" s="9">
        <f>1/COUNTIFS(Таблица1[Customer Name],Таблица1[[#This Row],[Customer Name]],Таблица1[Order-Year-Month],Таблица1[[#This Row],[Order-Year-Month]])</f>
        <v>1</v>
      </c>
    </row>
    <row r="7626" spans="1:26" x14ac:dyDescent="0.2">
      <c r="A7626" s="6">
        <v>7172</v>
      </c>
      <c r="B7626" s="7">
        <v>51200</v>
      </c>
      <c r="C7626" s="8">
        <f>DATE(2012,12,31)-409</f>
        <v>40865</v>
      </c>
      <c r="D7626" s="8" t="str">
        <f t="shared" si="145"/>
        <v>2011-11 (ноябрь 2011)</v>
      </c>
      <c r="E7626" s="9" t="s">
        <v>63</v>
      </c>
      <c r="F7626" s="7">
        <v>29</v>
      </c>
      <c r="G7626" s="7">
        <v>1617.88</v>
      </c>
      <c r="H7626" s="7">
        <v>0</v>
      </c>
      <c r="I7626" s="9" t="s">
        <v>22</v>
      </c>
      <c r="J7626" s="10">
        <v>271.89999999999998</v>
      </c>
      <c r="K7626" s="11">
        <v>53.98</v>
      </c>
      <c r="L7626" s="11">
        <v>5.5</v>
      </c>
      <c r="M7626" s="9" t="s">
        <v>1489</v>
      </c>
      <c r="N7626" s="6" t="s">
        <v>2073</v>
      </c>
      <c r="O7626" s="6" t="s">
        <v>704</v>
      </c>
      <c r="P7626" s="9" t="s">
        <v>25</v>
      </c>
      <c r="Q7626" s="9" t="s">
        <v>42</v>
      </c>
      <c r="R7626" s="9" t="s">
        <v>70</v>
      </c>
      <c r="S7626" s="7" t="s">
        <v>958</v>
      </c>
      <c r="T7626" s="9" t="s">
        <v>39</v>
      </c>
      <c r="U7626" s="7">
        <v>0.62</v>
      </c>
      <c r="V7626" s="12">
        <f>C7626+3</f>
        <v>40868</v>
      </c>
      <c r="W7626">
        <f>IF(D7626=' Pivot Tables'!$A$4,1,0)</f>
        <v>0</v>
      </c>
      <c r="X7626">
        <f>IF(AND(LEFT(D7626,4)+1=LEFT(' Pivot Tables'!$A$4,4)+0,RIGHT(LEFT(D7626,7),2)=RIGHT(LEFT(' Pivot Tables'!$A$4,7),2)),1,0)</f>
        <v>0</v>
      </c>
      <c r="Y7626" s="6">
        <f>1/COUNTIF(Таблица1[Order ID],Таблица1[[#This Row],[Order ID]])</f>
        <v>1</v>
      </c>
      <c r="Z7626" s="9">
        <f>1/COUNTIFS(Таблица1[Customer Name],Таблица1[[#This Row],[Customer Name]],Таблица1[Order-Year-Month],Таблица1[[#This Row],[Order-Year-Month]])</f>
        <v>1</v>
      </c>
    </row>
    <row r="7627" spans="1:26" x14ac:dyDescent="0.2">
      <c r="A7627" s="6">
        <v>7189</v>
      </c>
      <c r="B7627" s="7">
        <v>51271</v>
      </c>
      <c r="C7627" s="8">
        <f>DATE(2012,12,31)-798</f>
        <v>40476</v>
      </c>
      <c r="D7627" s="8" t="str">
        <f t="shared" si="145"/>
        <v>2010-10 (октябрь 2010)</v>
      </c>
      <c r="E7627" s="9" t="s">
        <v>30</v>
      </c>
      <c r="F7627" s="7">
        <v>31</v>
      </c>
      <c r="G7627" s="7">
        <v>3969.43</v>
      </c>
      <c r="H7627" s="7">
        <v>0.1</v>
      </c>
      <c r="I7627" s="9" t="s">
        <v>31</v>
      </c>
      <c r="J7627" s="10">
        <v>-796.51</v>
      </c>
      <c r="K7627" s="11">
        <v>140.97999999999999</v>
      </c>
      <c r="L7627" s="11">
        <v>36.090000000000003</v>
      </c>
      <c r="M7627" s="9" t="s">
        <v>2076</v>
      </c>
      <c r="N7627" s="6" t="s">
        <v>2073</v>
      </c>
      <c r="O7627" s="6" t="s">
        <v>704</v>
      </c>
      <c r="P7627" s="9" t="s">
        <v>33</v>
      </c>
      <c r="Q7627" s="9" t="s">
        <v>49</v>
      </c>
      <c r="R7627" s="9" t="s">
        <v>80</v>
      </c>
      <c r="S7627" s="7" t="s">
        <v>349</v>
      </c>
      <c r="T7627" s="9" t="s">
        <v>82</v>
      </c>
      <c r="U7627" s="7">
        <v>0.77</v>
      </c>
      <c r="V7627" s="12">
        <f>C7627+2</f>
        <v>40478</v>
      </c>
      <c r="W7627">
        <f>IF(D7627=' Pivot Tables'!$A$4,1,0)</f>
        <v>0</v>
      </c>
      <c r="X7627">
        <f>IF(AND(LEFT(D7627,4)+1=LEFT(' Pivot Tables'!$A$4,4)+0,RIGHT(LEFT(D7627,7),2)=RIGHT(LEFT(' Pivot Tables'!$A$4,7),2)),1,0)</f>
        <v>0</v>
      </c>
      <c r="Y7627" s="6">
        <f>1/COUNTIF(Таблица1[Order ID],Таблица1[[#This Row],[Order ID]])</f>
        <v>0.5</v>
      </c>
      <c r="Z7627" s="9">
        <f>1/COUNTIFS(Таблица1[Customer Name],Таблица1[[#This Row],[Customer Name]],Таблица1[Order-Year-Month],Таблица1[[#This Row],[Order-Year-Month]])</f>
        <v>0.5</v>
      </c>
    </row>
    <row r="7628" spans="1:26" x14ac:dyDescent="0.2">
      <c r="A7628" s="6">
        <v>7190</v>
      </c>
      <c r="B7628" s="7">
        <v>51271</v>
      </c>
      <c r="C7628" s="8">
        <f>DATE(2012,12,31)-798</f>
        <v>40476</v>
      </c>
      <c r="D7628" s="8" t="str">
        <f t="shared" si="145"/>
        <v>2010-10 (октябрь 2010)</v>
      </c>
      <c r="E7628" s="9" t="s">
        <v>30</v>
      </c>
      <c r="F7628" s="7">
        <v>16</v>
      </c>
      <c r="G7628" s="7">
        <v>2882.7069999999999</v>
      </c>
      <c r="H7628" s="7">
        <v>0.02</v>
      </c>
      <c r="I7628" s="9" t="s">
        <v>22</v>
      </c>
      <c r="J7628" s="10">
        <v>303.22800000000001</v>
      </c>
      <c r="K7628" s="11">
        <v>205.99</v>
      </c>
      <c r="L7628" s="11">
        <v>5</v>
      </c>
      <c r="M7628" s="9" t="s">
        <v>2076</v>
      </c>
      <c r="N7628" s="6" t="s">
        <v>2073</v>
      </c>
      <c r="O7628" s="6" t="s">
        <v>704</v>
      </c>
      <c r="P7628" s="9" t="s">
        <v>33</v>
      </c>
      <c r="Q7628" s="9" t="s">
        <v>42</v>
      </c>
      <c r="R7628" s="9" t="s">
        <v>43</v>
      </c>
      <c r="S7628" s="7" t="s">
        <v>1318</v>
      </c>
      <c r="T7628" s="9" t="s">
        <v>39</v>
      </c>
      <c r="U7628" s="7">
        <v>0.59</v>
      </c>
      <c r="V7628" s="12">
        <f>C7628+2</f>
        <v>40478</v>
      </c>
      <c r="W7628">
        <f>IF(D7628=' Pivot Tables'!$A$4,1,0)</f>
        <v>0</v>
      </c>
      <c r="X7628">
        <f>IF(AND(LEFT(D7628,4)+1=LEFT(' Pivot Tables'!$A$4,4)+0,RIGHT(LEFT(D7628,7),2)=RIGHT(LEFT(' Pivot Tables'!$A$4,7),2)),1,0)</f>
        <v>0</v>
      </c>
      <c r="Y7628" s="6">
        <f>1/COUNTIF(Таблица1[Order ID],Таблица1[[#This Row],[Order ID]])</f>
        <v>0.5</v>
      </c>
      <c r="Z7628" s="9">
        <f>1/COUNTIFS(Таблица1[Customer Name],Таблица1[[#This Row],[Customer Name]],Таблица1[Order-Year-Month],Таблица1[[#This Row],[Order-Year-Month]])</f>
        <v>0.5</v>
      </c>
    </row>
    <row r="7629" spans="1:26" x14ac:dyDescent="0.2">
      <c r="A7629" s="6">
        <v>7191</v>
      </c>
      <c r="B7629" s="7">
        <v>51297</v>
      </c>
      <c r="C7629" s="8">
        <f>DATE(2012,12,31)-50</f>
        <v>41224</v>
      </c>
      <c r="D7629" s="8" t="str">
        <f t="shared" si="145"/>
        <v>2012-11 (ноябрь 2012)</v>
      </c>
      <c r="E7629" s="9" t="s">
        <v>21</v>
      </c>
      <c r="F7629" s="7">
        <v>41</v>
      </c>
      <c r="G7629" s="7">
        <v>356.28</v>
      </c>
      <c r="H7629" s="7">
        <v>7.0000000000000007E-2</v>
      </c>
      <c r="I7629" s="9" t="s">
        <v>56</v>
      </c>
      <c r="J7629" s="10">
        <v>65.756</v>
      </c>
      <c r="K7629" s="11">
        <v>8.69</v>
      </c>
      <c r="L7629" s="11">
        <v>2.99</v>
      </c>
      <c r="M7629" s="9" t="s">
        <v>1489</v>
      </c>
      <c r="N7629" s="6" t="s">
        <v>2073</v>
      </c>
      <c r="O7629" s="6" t="s">
        <v>704</v>
      </c>
      <c r="P7629" s="9" t="s">
        <v>25</v>
      </c>
      <c r="Q7629" s="9" t="s">
        <v>26</v>
      </c>
      <c r="R7629" s="9" t="s">
        <v>37</v>
      </c>
      <c r="S7629" s="7" t="s">
        <v>38</v>
      </c>
      <c r="T7629" s="9" t="s">
        <v>39</v>
      </c>
      <c r="U7629" s="7">
        <v>0.39</v>
      </c>
      <c r="V7629" s="12">
        <f>C7629+9</f>
        <v>41233</v>
      </c>
      <c r="W7629">
        <f>IF(D7629=' Pivot Tables'!$A$4,1,0)</f>
        <v>0</v>
      </c>
      <c r="X7629">
        <f>IF(AND(LEFT(D7629,4)+1=LEFT(' Pivot Tables'!$A$4,4)+0,RIGHT(LEFT(D7629,7),2)=RIGHT(LEFT(' Pivot Tables'!$A$4,7),2)),1,0)</f>
        <v>0</v>
      </c>
      <c r="Y7629" s="6">
        <f>1/COUNTIF(Таблица1[Order ID],Таблица1[[#This Row],[Order ID]])</f>
        <v>1</v>
      </c>
      <c r="Z7629" s="9">
        <f>1/COUNTIFS(Таблица1[Customer Name],Таблица1[[#This Row],[Customer Name]],Таблица1[Order-Year-Month],Таблица1[[#This Row],[Order-Year-Month]])</f>
        <v>1</v>
      </c>
    </row>
    <row r="7630" spans="1:26" x14ac:dyDescent="0.2">
      <c r="A7630" s="6">
        <v>7266</v>
      </c>
      <c r="B7630" s="7">
        <v>51842</v>
      </c>
      <c r="C7630" s="8">
        <f>DATE(2012,12,31)-399</f>
        <v>40875</v>
      </c>
      <c r="D7630" s="8" t="str">
        <f t="shared" si="145"/>
        <v>2011-11 (ноябрь 2011)</v>
      </c>
      <c r="E7630" s="9" t="s">
        <v>21</v>
      </c>
      <c r="F7630" s="7">
        <v>1</v>
      </c>
      <c r="G7630" s="7">
        <v>54.22</v>
      </c>
      <c r="H7630" s="7">
        <v>0.02</v>
      </c>
      <c r="I7630" s="9" t="s">
        <v>22</v>
      </c>
      <c r="J7630" s="10">
        <v>-19.09</v>
      </c>
      <c r="K7630" s="11">
        <v>48.91</v>
      </c>
      <c r="L7630" s="11">
        <v>5.81</v>
      </c>
      <c r="M7630" s="9" t="s">
        <v>2079</v>
      </c>
      <c r="N7630" s="6" t="s">
        <v>2073</v>
      </c>
      <c r="O7630" s="6" t="s">
        <v>704</v>
      </c>
      <c r="P7630" s="9" t="s">
        <v>41</v>
      </c>
      <c r="Q7630" s="9" t="s">
        <v>26</v>
      </c>
      <c r="R7630" s="9" t="s">
        <v>61</v>
      </c>
      <c r="S7630" s="7" t="s">
        <v>183</v>
      </c>
      <c r="T7630" s="9" t="s">
        <v>39</v>
      </c>
      <c r="U7630" s="7">
        <v>0.38</v>
      </c>
      <c r="V7630" s="12">
        <f>C7630+5</f>
        <v>40880</v>
      </c>
      <c r="W7630">
        <f>IF(D7630=' Pivot Tables'!$A$4,1,0)</f>
        <v>0</v>
      </c>
      <c r="X7630">
        <f>IF(AND(LEFT(D7630,4)+1=LEFT(' Pivot Tables'!$A$4,4)+0,RIGHT(LEFT(D7630,7),2)=RIGHT(LEFT(' Pivot Tables'!$A$4,7),2)),1,0)</f>
        <v>0</v>
      </c>
      <c r="Y7630" s="6">
        <f>1/COUNTIF(Таблица1[Order ID],Таблица1[[#This Row],[Order ID]])</f>
        <v>0.5</v>
      </c>
      <c r="Z7630" s="9">
        <f>1/COUNTIFS(Таблица1[Customer Name],Таблица1[[#This Row],[Customer Name]],Таблица1[Order-Year-Month],Таблица1[[#This Row],[Order-Year-Month]])</f>
        <v>0.5</v>
      </c>
    </row>
    <row r="7631" spans="1:26" x14ac:dyDescent="0.2">
      <c r="A7631" s="6">
        <v>7267</v>
      </c>
      <c r="B7631" s="7">
        <v>51842</v>
      </c>
      <c r="C7631" s="8">
        <f>DATE(2012,12,31)-399</f>
        <v>40875</v>
      </c>
      <c r="D7631" s="8" t="str">
        <f t="shared" si="145"/>
        <v>2011-11 (ноябрь 2011)</v>
      </c>
      <c r="E7631" s="9" t="s">
        <v>21</v>
      </c>
      <c r="F7631" s="7">
        <v>4</v>
      </c>
      <c r="G7631" s="7">
        <v>431.11</v>
      </c>
      <c r="H7631" s="7">
        <v>7.0000000000000007E-2</v>
      </c>
      <c r="I7631" s="9" t="s">
        <v>22</v>
      </c>
      <c r="J7631" s="10">
        <v>-244.33</v>
      </c>
      <c r="K7631" s="11">
        <v>101.41</v>
      </c>
      <c r="L7631" s="11">
        <v>35</v>
      </c>
      <c r="M7631" s="9" t="s">
        <v>2079</v>
      </c>
      <c r="N7631" s="6" t="s">
        <v>2073</v>
      </c>
      <c r="O7631" s="6" t="s">
        <v>704</v>
      </c>
      <c r="P7631" s="9" t="s">
        <v>41</v>
      </c>
      <c r="Q7631" s="9" t="s">
        <v>26</v>
      </c>
      <c r="R7631" s="9" t="s">
        <v>27</v>
      </c>
      <c r="S7631" s="7" t="s">
        <v>1231</v>
      </c>
      <c r="T7631" s="9" t="s">
        <v>29</v>
      </c>
      <c r="U7631" s="7">
        <v>0.82</v>
      </c>
      <c r="V7631" s="12">
        <f>C7631+4</f>
        <v>40879</v>
      </c>
      <c r="W7631">
        <f>IF(D7631=' Pivot Tables'!$A$4,1,0)</f>
        <v>0</v>
      </c>
      <c r="X7631">
        <f>IF(AND(LEFT(D7631,4)+1=LEFT(' Pivot Tables'!$A$4,4)+0,RIGHT(LEFT(D7631,7),2)=RIGHT(LEFT(' Pivot Tables'!$A$4,7),2)),1,0)</f>
        <v>0</v>
      </c>
      <c r="Y7631" s="6">
        <f>1/COUNTIF(Таблица1[Order ID],Таблица1[[#This Row],[Order ID]])</f>
        <v>0.5</v>
      </c>
      <c r="Z7631" s="9">
        <f>1/COUNTIFS(Таблица1[Customer Name],Таблица1[[#This Row],[Customer Name]],Таблица1[Order-Year-Month],Таблица1[[#This Row],[Order-Year-Month]])</f>
        <v>0.5</v>
      </c>
    </row>
    <row r="7632" spans="1:26" x14ac:dyDescent="0.2">
      <c r="A7632" s="6">
        <v>7282</v>
      </c>
      <c r="B7632" s="7">
        <v>51968</v>
      </c>
      <c r="C7632" s="8">
        <f>DATE(2012,12,31)-1213</f>
        <v>40061</v>
      </c>
      <c r="D7632" s="8" t="str">
        <f t="shared" si="145"/>
        <v>2009-09 (сентябрь 2009)</v>
      </c>
      <c r="E7632" s="9" t="s">
        <v>63</v>
      </c>
      <c r="F7632" s="7">
        <v>43</v>
      </c>
      <c r="G7632" s="7">
        <v>3231.5639999999999</v>
      </c>
      <c r="H7632" s="7">
        <v>0.03</v>
      </c>
      <c r="I7632" s="9" t="s">
        <v>22</v>
      </c>
      <c r="J7632" s="10">
        <v>1166.0940000000001</v>
      </c>
      <c r="K7632" s="11">
        <v>85.99</v>
      </c>
      <c r="L7632" s="11">
        <v>0.99</v>
      </c>
      <c r="M7632" s="9" t="s">
        <v>2081</v>
      </c>
      <c r="N7632" s="6" t="s">
        <v>2073</v>
      </c>
      <c r="O7632" s="6" t="s">
        <v>704</v>
      </c>
      <c r="P7632" s="9" t="s">
        <v>60</v>
      </c>
      <c r="Q7632" s="9" t="s">
        <v>42</v>
      </c>
      <c r="R7632" s="9" t="s">
        <v>43</v>
      </c>
      <c r="S7632" s="7" t="s">
        <v>741</v>
      </c>
      <c r="T7632" s="9" t="s">
        <v>68</v>
      </c>
      <c r="U7632" s="7">
        <v>0.55000000000000004</v>
      </c>
      <c r="V7632" s="12">
        <f>C7632+1</f>
        <v>40062</v>
      </c>
      <c r="W7632">
        <f>IF(D7632=' Pivot Tables'!$A$4,1,0)</f>
        <v>0</v>
      </c>
      <c r="X7632">
        <f>IF(AND(LEFT(D7632,4)+1=LEFT(' Pivot Tables'!$A$4,4)+0,RIGHT(LEFT(D7632,7),2)=RIGHT(LEFT(' Pivot Tables'!$A$4,7),2)),1,0)</f>
        <v>0</v>
      </c>
      <c r="Y7632" s="6">
        <f>1/COUNTIF(Таблица1[Order ID],Таблица1[[#This Row],[Order ID]])</f>
        <v>1</v>
      </c>
      <c r="Z7632" s="9">
        <f>1/COUNTIFS(Таблица1[Customer Name],Таблица1[[#This Row],[Customer Name]],Таблица1[Order-Year-Month],Таблица1[[#This Row],[Order-Year-Month]])</f>
        <v>1</v>
      </c>
    </row>
    <row r="7633" spans="1:26" x14ac:dyDescent="0.2">
      <c r="A7633" s="6">
        <v>7374</v>
      </c>
      <c r="B7633" s="7">
        <v>52578</v>
      </c>
      <c r="C7633" s="8">
        <f>DATE(2012,12,31)-665</f>
        <v>40609</v>
      </c>
      <c r="D7633" s="8" t="str">
        <f t="shared" si="145"/>
        <v>2011-03 (март 2011)</v>
      </c>
      <c r="E7633" s="9" t="s">
        <v>78</v>
      </c>
      <c r="F7633" s="7">
        <v>38</v>
      </c>
      <c r="G7633" s="7">
        <v>6230.68</v>
      </c>
      <c r="H7633" s="7">
        <v>0.09</v>
      </c>
      <c r="I7633" s="9" t="s">
        <v>31</v>
      </c>
      <c r="J7633" s="10">
        <v>835.46</v>
      </c>
      <c r="K7633" s="11">
        <v>217.85</v>
      </c>
      <c r="L7633" s="11">
        <v>29.1</v>
      </c>
      <c r="M7633" s="9" t="s">
        <v>1920</v>
      </c>
      <c r="N7633" s="6" t="s">
        <v>2073</v>
      </c>
      <c r="O7633" s="6" t="s">
        <v>704</v>
      </c>
      <c r="P7633" s="9" t="s">
        <v>33</v>
      </c>
      <c r="Q7633" s="9" t="s">
        <v>49</v>
      </c>
      <c r="R7633" s="9" t="s">
        <v>83</v>
      </c>
      <c r="S7633" s="7" t="s">
        <v>1199</v>
      </c>
      <c r="T7633" s="9" t="s">
        <v>82</v>
      </c>
      <c r="U7633" s="7">
        <v>0.68</v>
      </c>
      <c r="V7633" s="12">
        <f>C7633+2</f>
        <v>40611</v>
      </c>
      <c r="W7633">
        <f>IF(D7633=' Pivot Tables'!$A$4,1,0)</f>
        <v>0</v>
      </c>
      <c r="X7633">
        <f>IF(AND(LEFT(D7633,4)+1=LEFT(' Pivot Tables'!$A$4,4)+0,RIGHT(LEFT(D7633,7),2)=RIGHT(LEFT(' Pivot Tables'!$A$4,7),2)),1,0)</f>
        <v>0</v>
      </c>
      <c r="Y7633" s="6">
        <f>1/COUNTIF(Таблица1[Order ID],Таблица1[[#This Row],[Order ID]])</f>
        <v>0.5</v>
      </c>
      <c r="Z7633" s="9">
        <f>1/COUNTIFS(Таблица1[Customer Name],Таблица1[[#This Row],[Customer Name]],Таблица1[Order-Year-Month],Таблица1[[#This Row],[Order-Year-Month]])</f>
        <v>0.33333333333333331</v>
      </c>
    </row>
    <row r="7634" spans="1:26" x14ac:dyDescent="0.2">
      <c r="A7634" s="6">
        <v>7375</v>
      </c>
      <c r="B7634" s="7">
        <v>52578</v>
      </c>
      <c r="C7634" s="8">
        <f>DATE(2012,12,31)-665</f>
        <v>40609</v>
      </c>
      <c r="D7634" s="8" t="str">
        <f t="shared" si="145"/>
        <v>2011-03 (март 2011)</v>
      </c>
      <c r="E7634" s="9" t="s">
        <v>78</v>
      </c>
      <c r="F7634" s="7">
        <v>8</v>
      </c>
      <c r="G7634" s="7">
        <v>1391.816</v>
      </c>
      <c r="H7634" s="7">
        <v>0.05</v>
      </c>
      <c r="I7634" s="9" t="s">
        <v>22</v>
      </c>
      <c r="J7634" s="10">
        <v>-344.82</v>
      </c>
      <c r="K7634" s="11">
        <v>209.37</v>
      </c>
      <c r="L7634" s="11">
        <v>69</v>
      </c>
      <c r="M7634" s="9" t="s">
        <v>1920</v>
      </c>
      <c r="N7634" s="6" t="s">
        <v>2073</v>
      </c>
      <c r="O7634" s="6" t="s">
        <v>704</v>
      </c>
      <c r="P7634" s="9" t="s">
        <v>33</v>
      </c>
      <c r="Q7634" s="9" t="s">
        <v>49</v>
      </c>
      <c r="R7634" s="9" t="s">
        <v>83</v>
      </c>
      <c r="S7634" s="7" t="s">
        <v>936</v>
      </c>
      <c r="T7634" s="9" t="s">
        <v>29</v>
      </c>
      <c r="U7634" s="7">
        <v>0.79</v>
      </c>
      <c r="V7634" s="12">
        <f>C7634+3</f>
        <v>40612</v>
      </c>
      <c r="W7634">
        <f>IF(D7634=' Pivot Tables'!$A$4,1,0)</f>
        <v>0</v>
      </c>
      <c r="X7634">
        <f>IF(AND(LEFT(D7634,4)+1=LEFT(' Pivot Tables'!$A$4,4)+0,RIGHT(LEFT(D7634,7),2)=RIGHT(LEFT(' Pivot Tables'!$A$4,7),2)),1,0)</f>
        <v>0</v>
      </c>
      <c r="Y7634" s="6">
        <f>1/COUNTIF(Таблица1[Order ID],Таблица1[[#This Row],[Order ID]])</f>
        <v>0.5</v>
      </c>
      <c r="Z7634" s="9">
        <f>1/COUNTIFS(Таблица1[Customer Name],Таблица1[[#This Row],[Customer Name]],Таблица1[Order-Year-Month],Таблица1[[#This Row],[Order-Year-Month]])</f>
        <v>0.33333333333333331</v>
      </c>
    </row>
    <row r="7635" spans="1:26" x14ac:dyDescent="0.2">
      <c r="A7635" s="6">
        <v>7439</v>
      </c>
      <c r="B7635" s="7">
        <v>53027</v>
      </c>
      <c r="C7635" s="8">
        <f>DATE(2012,12,31)-797</f>
        <v>40477</v>
      </c>
      <c r="D7635" s="8" t="str">
        <f t="shared" si="145"/>
        <v>2010-10 (октябрь 2010)</v>
      </c>
      <c r="E7635" s="9" t="s">
        <v>21</v>
      </c>
      <c r="F7635" s="7">
        <v>38</v>
      </c>
      <c r="G7635" s="7">
        <v>1323.31</v>
      </c>
      <c r="H7635" s="7">
        <v>0.05</v>
      </c>
      <c r="I7635" s="9" t="s">
        <v>22</v>
      </c>
      <c r="J7635" s="10">
        <v>146.63999999999999</v>
      </c>
      <c r="K7635" s="11">
        <v>35.89</v>
      </c>
      <c r="L7635" s="11">
        <v>14.72</v>
      </c>
      <c r="M7635" s="9" t="s">
        <v>2081</v>
      </c>
      <c r="N7635" s="6" t="s">
        <v>2073</v>
      </c>
      <c r="O7635" s="6" t="s">
        <v>704</v>
      </c>
      <c r="P7635" s="9" t="s">
        <v>60</v>
      </c>
      <c r="Q7635" s="9" t="s">
        <v>26</v>
      </c>
      <c r="R7635" s="9" t="s">
        <v>76</v>
      </c>
      <c r="S7635" s="7" t="s">
        <v>813</v>
      </c>
      <c r="T7635" s="9" t="s">
        <v>39</v>
      </c>
      <c r="U7635" s="7">
        <v>0.4</v>
      </c>
      <c r="V7635" s="12">
        <f>C7635+0</f>
        <v>40477</v>
      </c>
      <c r="W7635">
        <f>IF(D7635=' Pivot Tables'!$A$4,1,0)</f>
        <v>0</v>
      </c>
      <c r="X7635">
        <f>IF(AND(LEFT(D7635,4)+1=LEFT(' Pivot Tables'!$A$4,4)+0,RIGHT(LEFT(D7635,7),2)=RIGHT(LEFT(' Pivot Tables'!$A$4,7),2)),1,0)</f>
        <v>0</v>
      </c>
      <c r="Y7635" s="6">
        <f>1/COUNTIF(Таблица1[Order ID],Таблица1[[#This Row],[Order ID]])</f>
        <v>1</v>
      </c>
      <c r="Z7635" s="9">
        <f>1/COUNTIFS(Таблица1[Customer Name],Таблица1[[#This Row],[Customer Name]],Таблица1[Order-Year-Month],Таблица1[[#This Row],[Order-Year-Month]])</f>
        <v>1</v>
      </c>
    </row>
    <row r="7636" spans="1:26" x14ac:dyDescent="0.2">
      <c r="A7636" s="6">
        <v>7580</v>
      </c>
      <c r="B7636" s="7">
        <v>54214</v>
      </c>
      <c r="C7636" s="8">
        <f>DATE(2012,12,31)-364</f>
        <v>40910</v>
      </c>
      <c r="D7636" s="8" t="str">
        <f t="shared" si="145"/>
        <v>2012-01 (январь 2012)</v>
      </c>
      <c r="E7636" s="9" t="s">
        <v>63</v>
      </c>
      <c r="F7636" s="7">
        <v>38</v>
      </c>
      <c r="G7636" s="7">
        <v>7325.63</v>
      </c>
      <c r="H7636" s="7">
        <v>0.04</v>
      </c>
      <c r="I7636" s="9" t="s">
        <v>56</v>
      </c>
      <c r="J7636" s="10">
        <v>1899.23</v>
      </c>
      <c r="K7636" s="11">
        <v>199.99</v>
      </c>
      <c r="L7636" s="11">
        <v>24.49</v>
      </c>
      <c r="M7636" s="9" t="s">
        <v>2077</v>
      </c>
      <c r="N7636" s="6" t="s">
        <v>2073</v>
      </c>
      <c r="O7636" s="6" t="s">
        <v>704</v>
      </c>
      <c r="P7636" s="9" t="s">
        <v>25</v>
      </c>
      <c r="Q7636" s="9" t="s">
        <v>42</v>
      </c>
      <c r="R7636" s="9" t="s">
        <v>99</v>
      </c>
      <c r="S7636" s="7" t="s">
        <v>619</v>
      </c>
      <c r="T7636" s="9" t="s">
        <v>29</v>
      </c>
      <c r="U7636" s="7">
        <v>0.46</v>
      </c>
      <c r="V7636" s="12">
        <f>C7636+3</f>
        <v>40913</v>
      </c>
      <c r="W7636">
        <f>IF(D7636=' Pivot Tables'!$A$4,1,0)</f>
        <v>0</v>
      </c>
      <c r="X7636">
        <f>IF(AND(LEFT(D7636,4)+1=LEFT(' Pivot Tables'!$A$4,4)+0,RIGHT(LEFT(D7636,7),2)=RIGHT(LEFT(' Pivot Tables'!$A$4,7),2)),1,0)</f>
        <v>0</v>
      </c>
      <c r="Y7636" s="6">
        <f>1/COUNTIF(Таблица1[Order ID],Таблица1[[#This Row],[Order ID]])</f>
        <v>1</v>
      </c>
      <c r="Z7636" s="9">
        <f>1/COUNTIFS(Таблица1[Customer Name],Таблица1[[#This Row],[Customer Name]],Таблица1[Order-Year-Month],Таблица1[[#This Row],[Order-Year-Month]])</f>
        <v>1</v>
      </c>
    </row>
    <row r="7637" spans="1:26" x14ac:dyDescent="0.2">
      <c r="A7637" s="6">
        <v>7594</v>
      </c>
      <c r="B7637" s="7">
        <v>54342</v>
      </c>
      <c r="C7637" s="8">
        <f>DATE(2012,12,31)-1302</f>
        <v>39972</v>
      </c>
      <c r="D7637" s="8" t="str">
        <f t="shared" si="145"/>
        <v>2009-06 (июнь 2009)</v>
      </c>
      <c r="E7637" s="9" t="s">
        <v>21</v>
      </c>
      <c r="F7637" s="7">
        <v>35</v>
      </c>
      <c r="G7637" s="7">
        <v>3439.39</v>
      </c>
      <c r="H7637" s="7">
        <v>0.05</v>
      </c>
      <c r="I7637" s="9" t="s">
        <v>56</v>
      </c>
      <c r="J7637" s="10">
        <v>1057.6199999999999</v>
      </c>
      <c r="K7637" s="11">
        <v>100.97</v>
      </c>
      <c r="L7637" s="11">
        <v>7.18</v>
      </c>
      <c r="M7637" s="9" t="s">
        <v>1920</v>
      </c>
      <c r="N7637" s="6" t="s">
        <v>2073</v>
      </c>
      <c r="O7637" s="6" t="s">
        <v>704</v>
      </c>
      <c r="P7637" s="9" t="s">
        <v>33</v>
      </c>
      <c r="Q7637" s="9" t="s">
        <v>42</v>
      </c>
      <c r="R7637" s="9" t="s">
        <v>70</v>
      </c>
      <c r="S7637" s="7" t="s">
        <v>1078</v>
      </c>
      <c r="T7637" s="9" t="s">
        <v>39</v>
      </c>
      <c r="U7637" s="7">
        <v>0.46</v>
      </c>
      <c r="V7637" s="12">
        <f>C7637+0</f>
        <v>39972</v>
      </c>
      <c r="W7637">
        <f>IF(D7637=' Pivot Tables'!$A$4,1,0)</f>
        <v>0</v>
      </c>
      <c r="X7637">
        <f>IF(AND(LEFT(D7637,4)+1=LEFT(' Pivot Tables'!$A$4,4)+0,RIGHT(LEFT(D7637,7),2)=RIGHT(LEFT(' Pivot Tables'!$A$4,7),2)),1,0)</f>
        <v>0</v>
      </c>
      <c r="Y7637" s="6">
        <f>1/COUNTIF(Таблица1[Order ID],Таблица1[[#This Row],[Order ID]])</f>
        <v>0.5</v>
      </c>
      <c r="Z7637" s="9">
        <f>1/COUNTIFS(Таблица1[Customer Name],Таблица1[[#This Row],[Customer Name]],Таблица1[Order-Year-Month],Таблица1[[#This Row],[Order-Year-Month]])</f>
        <v>0.5</v>
      </c>
    </row>
    <row r="7638" spans="1:26" x14ac:dyDescent="0.2">
      <c r="A7638" s="6">
        <v>7595</v>
      </c>
      <c r="B7638" s="7">
        <v>54342</v>
      </c>
      <c r="C7638" s="8">
        <f>DATE(2012,12,31)-1302</f>
        <v>39972</v>
      </c>
      <c r="D7638" s="8" t="str">
        <f t="shared" si="145"/>
        <v>2009-06 (июнь 2009)</v>
      </c>
      <c r="E7638" s="9" t="s">
        <v>21</v>
      </c>
      <c r="F7638" s="7">
        <v>2</v>
      </c>
      <c r="G7638" s="7">
        <v>10.48</v>
      </c>
      <c r="H7638" s="7">
        <v>0.02</v>
      </c>
      <c r="I7638" s="9" t="s">
        <v>22</v>
      </c>
      <c r="J7638" s="10">
        <v>-5.65</v>
      </c>
      <c r="K7638" s="11">
        <v>4.84</v>
      </c>
      <c r="L7638" s="11">
        <v>0.71</v>
      </c>
      <c r="M7638" s="9" t="s">
        <v>1920</v>
      </c>
      <c r="N7638" s="6" t="s">
        <v>2073</v>
      </c>
      <c r="O7638" s="6" t="s">
        <v>704</v>
      </c>
      <c r="P7638" s="9" t="s">
        <v>33</v>
      </c>
      <c r="Q7638" s="9" t="s">
        <v>26</v>
      </c>
      <c r="R7638" s="9" t="s">
        <v>95</v>
      </c>
      <c r="S7638" s="7" t="s">
        <v>633</v>
      </c>
      <c r="T7638" s="9" t="s">
        <v>68</v>
      </c>
      <c r="U7638" s="7">
        <v>0.52</v>
      </c>
      <c r="V7638" s="12">
        <f>C7638+0</f>
        <v>39972</v>
      </c>
      <c r="W7638">
        <f>IF(D7638=' Pivot Tables'!$A$4,1,0)</f>
        <v>0</v>
      </c>
      <c r="X7638">
        <f>IF(AND(LEFT(D7638,4)+1=LEFT(' Pivot Tables'!$A$4,4)+0,RIGHT(LEFT(D7638,7),2)=RIGHT(LEFT(' Pivot Tables'!$A$4,7),2)),1,0)</f>
        <v>0</v>
      </c>
      <c r="Y7638" s="6">
        <f>1/COUNTIF(Таблица1[Order ID],Таблица1[[#This Row],[Order ID]])</f>
        <v>0.5</v>
      </c>
      <c r="Z7638" s="9">
        <f>1/COUNTIFS(Таблица1[Customer Name],Таблица1[[#This Row],[Customer Name]],Таблица1[Order-Year-Month],Таблица1[[#This Row],[Order-Year-Month]])</f>
        <v>0.5</v>
      </c>
    </row>
    <row r="7639" spans="1:26" x14ac:dyDescent="0.2">
      <c r="A7639" s="6">
        <v>7635</v>
      </c>
      <c r="B7639" s="7">
        <v>54656</v>
      </c>
      <c r="C7639" s="8">
        <f>DATE(2012,12,31)-42</f>
        <v>41232</v>
      </c>
      <c r="D7639" s="8" t="str">
        <f t="shared" si="145"/>
        <v>2012-11 (ноябрь 2012)</v>
      </c>
      <c r="E7639" s="9" t="s">
        <v>30</v>
      </c>
      <c r="F7639" s="7">
        <v>22</v>
      </c>
      <c r="G7639" s="7">
        <v>109.52</v>
      </c>
      <c r="H7639" s="7">
        <v>0.09</v>
      </c>
      <c r="I7639" s="9" t="s">
        <v>56</v>
      </c>
      <c r="J7639" s="10">
        <v>-73.347000000000008</v>
      </c>
      <c r="K7639" s="11">
        <v>4.54</v>
      </c>
      <c r="L7639" s="11">
        <v>5.83</v>
      </c>
      <c r="M7639" s="9" t="s">
        <v>2079</v>
      </c>
      <c r="N7639" s="6" t="s">
        <v>2073</v>
      </c>
      <c r="O7639" s="6" t="s">
        <v>704</v>
      </c>
      <c r="P7639" s="9" t="s">
        <v>41</v>
      </c>
      <c r="Q7639" s="9" t="s">
        <v>26</v>
      </c>
      <c r="R7639" s="9" t="s">
        <v>37</v>
      </c>
      <c r="S7639" s="7" t="s">
        <v>1332</v>
      </c>
      <c r="T7639" s="9" t="s">
        <v>39</v>
      </c>
      <c r="U7639" s="7">
        <v>0.36</v>
      </c>
      <c r="V7639" s="12">
        <f>C7639+2</f>
        <v>41234</v>
      </c>
      <c r="W7639">
        <f>IF(D7639=' Pivot Tables'!$A$4,1,0)</f>
        <v>0</v>
      </c>
      <c r="X7639">
        <f>IF(AND(LEFT(D7639,4)+1=LEFT(' Pivot Tables'!$A$4,4)+0,RIGHT(LEFT(D7639,7),2)=RIGHT(LEFT(' Pivot Tables'!$A$4,7),2)),1,0)</f>
        <v>0</v>
      </c>
      <c r="Y7639" s="6">
        <f>1/COUNTIF(Таблица1[Order ID],Таблица1[[#This Row],[Order ID]])</f>
        <v>1</v>
      </c>
      <c r="Z7639" s="9">
        <f>1/COUNTIFS(Таблица1[Customer Name],Таблица1[[#This Row],[Customer Name]],Таблица1[Order-Year-Month],Таблица1[[#This Row],[Order-Year-Month]])</f>
        <v>1</v>
      </c>
    </row>
    <row r="7640" spans="1:26" x14ac:dyDescent="0.2">
      <c r="A7640" s="6">
        <v>7664</v>
      </c>
      <c r="B7640" s="7">
        <v>54949</v>
      </c>
      <c r="C7640" s="8">
        <f>DATE(2012,12,31)-1239</f>
        <v>40035</v>
      </c>
      <c r="D7640" s="8" t="str">
        <f t="shared" si="145"/>
        <v>2009-08 (август 2009)</v>
      </c>
      <c r="E7640" s="9" t="s">
        <v>21</v>
      </c>
      <c r="F7640" s="7">
        <v>32</v>
      </c>
      <c r="G7640" s="7">
        <v>210.94</v>
      </c>
      <c r="H7640" s="7">
        <v>0.08</v>
      </c>
      <c r="I7640" s="9" t="s">
        <v>22</v>
      </c>
      <c r="J7640" s="10">
        <v>-94.59</v>
      </c>
      <c r="K7640" s="11">
        <v>6.48</v>
      </c>
      <c r="L7640" s="11">
        <v>6.81</v>
      </c>
      <c r="M7640" s="9" t="s">
        <v>2080</v>
      </c>
      <c r="N7640" s="6" t="s">
        <v>2073</v>
      </c>
      <c r="O7640" s="6" t="s">
        <v>704</v>
      </c>
      <c r="P7640" s="9" t="s">
        <v>41</v>
      </c>
      <c r="Q7640" s="9" t="s">
        <v>26</v>
      </c>
      <c r="R7640" s="9" t="s">
        <v>61</v>
      </c>
      <c r="S7640" s="7" t="s">
        <v>299</v>
      </c>
      <c r="T7640" s="9" t="s">
        <v>39</v>
      </c>
      <c r="U7640" s="7">
        <v>0.36</v>
      </c>
      <c r="V7640" s="12">
        <f>C7640+5</f>
        <v>40040</v>
      </c>
      <c r="W7640">
        <f>IF(D7640=' Pivot Tables'!$A$4,1,0)</f>
        <v>0</v>
      </c>
      <c r="X7640">
        <f>IF(AND(LEFT(D7640,4)+1=LEFT(' Pivot Tables'!$A$4,4)+0,RIGHT(LEFT(D7640,7),2)=RIGHT(LEFT(' Pivot Tables'!$A$4,7),2)),1,0)</f>
        <v>0</v>
      </c>
      <c r="Y7640" s="6">
        <f>1/COUNTIF(Таблица1[Order ID],Таблица1[[#This Row],[Order ID]])</f>
        <v>0.5</v>
      </c>
      <c r="Z7640" s="9">
        <f>1/COUNTIFS(Таблица1[Customer Name],Таблица1[[#This Row],[Customer Name]],Таблица1[Order-Year-Month],Таблица1[[#This Row],[Order-Year-Month]])</f>
        <v>0.5</v>
      </c>
    </row>
    <row r="7641" spans="1:26" x14ac:dyDescent="0.2">
      <c r="A7641" s="6">
        <v>7665</v>
      </c>
      <c r="B7641" s="7">
        <v>54949</v>
      </c>
      <c r="C7641" s="8">
        <f>DATE(2012,12,31)-1239</f>
        <v>40035</v>
      </c>
      <c r="D7641" s="8" t="str">
        <f t="shared" si="145"/>
        <v>2009-08 (август 2009)</v>
      </c>
      <c r="E7641" s="9" t="s">
        <v>21</v>
      </c>
      <c r="F7641" s="7">
        <v>7</v>
      </c>
      <c r="G7641" s="7">
        <v>192.02</v>
      </c>
      <c r="H7641" s="7">
        <v>0.09</v>
      </c>
      <c r="I7641" s="9" t="s">
        <v>31</v>
      </c>
      <c r="J7641" s="10">
        <v>-293.74</v>
      </c>
      <c r="K7641" s="11">
        <v>20.98</v>
      </c>
      <c r="L7641" s="11">
        <v>53.03</v>
      </c>
      <c r="M7641" s="9" t="s">
        <v>2080</v>
      </c>
      <c r="N7641" s="6" t="s">
        <v>2073</v>
      </c>
      <c r="O7641" s="6" t="s">
        <v>704</v>
      </c>
      <c r="P7641" s="9" t="s">
        <v>41</v>
      </c>
      <c r="Q7641" s="9" t="s">
        <v>26</v>
      </c>
      <c r="R7641" s="9" t="s">
        <v>27</v>
      </c>
      <c r="S7641" s="7" t="s">
        <v>218</v>
      </c>
      <c r="T7641" s="9" t="s">
        <v>36</v>
      </c>
      <c r="U7641" s="7">
        <v>0.78</v>
      </c>
      <c r="V7641" s="12">
        <f>C7641+7</f>
        <v>40042</v>
      </c>
      <c r="W7641">
        <f>IF(D7641=' Pivot Tables'!$A$4,1,0)</f>
        <v>0</v>
      </c>
      <c r="X7641">
        <f>IF(AND(LEFT(D7641,4)+1=LEFT(' Pivot Tables'!$A$4,4)+0,RIGHT(LEFT(D7641,7),2)=RIGHT(LEFT(' Pivot Tables'!$A$4,7),2)),1,0)</f>
        <v>0</v>
      </c>
      <c r="Y7641" s="6">
        <f>1/COUNTIF(Таблица1[Order ID],Таблица1[[#This Row],[Order ID]])</f>
        <v>0.5</v>
      </c>
      <c r="Z7641" s="9">
        <f>1/COUNTIFS(Таблица1[Customer Name],Таблица1[[#This Row],[Customer Name]],Таблица1[Order-Year-Month],Таблица1[[#This Row],[Order-Year-Month]])</f>
        <v>0.5</v>
      </c>
    </row>
    <row r="7642" spans="1:26" x14ac:dyDescent="0.2">
      <c r="A7642" s="6">
        <v>7802</v>
      </c>
      <c r="B7642" s="7">
        <v>55813</v>
      </c>
      <c r="C7642" s="8">
        <f>DATE(2012,12,31)-156</f>
        <v>41118</v>
      </c>
      <c r="D7642" s="8" t="str">
        <f t="shared" si="145"/>
        <v>2012-07 (июль 2012)</v>
      </c>
      <c r="E7642" s="9" t="s">
        <v>21</v>
      </c>
      <c r="F7642" s="7">
        <v>39</v>
      </c>
      <c r="G7642" s="7">
        <v>2650.77</v>
      </c>
      <c r="H7642" s="7">
        <v>0.08</v>
      </c>
      <c r="I7642" s="9" t="s">
        <v>22</v>
      </c>
      <c r="J7642" s="10">
        <v>-824.43</v>
      </c>
      <c r="K7642" s="11">
        <v>70.709999999999994</v>
      </c>
      <c r="L7642" s="11">
        <v>37.58</v>
      </c>
      <c r="M7642" s="9" t="s">
        <v>1289</v>
      </c>
      <c r="N7642" s="6" t="s">
        <v>2073</v>
      </c>
      <c r="O7642" s="6" t="s">
        <v>704</v>
      </c>
      <c r="P7642" s="9" t="s">
        <v>41</v>
      </c>
      <c r="Q7642" s="9" t="s">
        <v>49</v>
      </c>
      <c r="R7642" s="9" t="s">
        <v>50</v>
      </c>
      <c r="S7642" s="7" t="s">
        <v>724</v>
      </c>
      <c r="T7642" s="9" t="s">
        <v>68</v>
      </c>
      <c r="U7642" s="7">
        <v>0.78</v>
      </c>
      <c r="V7642" s="12">
        <f>C7642+0</f>
        <v>41118</v>
      </c>
      <c r="W7642">
        <f>IF(D7642=' Pivot Tables'!$A$4,1,0)</f>
        <v>0</v>
      </c>
      <c r="X7642">
        <f>IF(AND(LEFT(D7642,4)+1=LEFT(' Pivot Tables'!$A$4,4)+0,RIGHT(LEFT(D7642,7),2)=RIGHT(LEFT(' Pivot Tables'!$A$4,7),2)),1,0)</f>
        <v>0</v>
      </c>
      <c r="Y7642" s="6">
        <f>1/COUNTIF(Таблица1[Order ID],Таблица1[[#This Row],[Order ID]])</f>
        <v>1</v>
      </c>
      <c r="Z7642" s="9">
        <f>1/COUNTIFS(Таблица1[Customer Name],Таблица1[[#This Row],[Customer Name]],Таблица1[Order-Year-Month],Таблица1[[#This Row],[Order-Year-Month]])</f>
        <v>1</v>
      </c>
    </row>
    <row r="7643" spans="1:26" x14ac:dyDescent="0.2">
      <c r="A7643" s="6">
        <v>7910</v>
      </c>
      <c r="B7643" s="7">
        <v>56577</v>
      </c>
      <c r="C7643" s="8">
        <f>DATE(2012,12,31)-425</f>
        <v>40849</v>
      </c>
      <c r="D7643" s="8" t="str">
        <f t="shared" si="145"/>
        <v>2011-11 (ноябрь 2011)</v>
      </c>
      <c r="E7643" s="9" t="s">
        <v>78</v>
      </c>
      <c r="F7643" s="7">
        <v>19</v>
      </c>
      <c r="G7643" s="7">
        <v>1134.2</v>
      </c>
      <c r="H7643" s="7">
        <v>0.08</v>
      </c>
      <c r="I7643" s="9" t="s">
        <v>31</v>
      </c>
      <c r="J7643" s="10">
        <v>-351.51</v>
      </c>
      <c r="K7643" s="11">
        <v>58.14</v>
      </c>
      <c r="L7643" s="11">
        <v>36.61</v>
      </c>
      <c r="M7643" s="9" t="s">
        <v>1815</v>
      </c>
      <c r="N7643" s="6" t="s">
        <v>2073</v>
      </c>
      <c r="O7643" s="6" t="s">
        <v>704</v>
      </c>
      <c r="P7643" s="9" t="s">
        <v>25</v>
      </c>
      <c r="Q7643" s="9" t="s">
        <v>49</v>
      </c>
      <c r="R7643" s="9" t="s">
        <v>80</v>
      </c>
      <c r="S7643" s="7" t="s">
        <v>233</v>
      </c>
      <c r="T7643" s="9" t="s">
        <v>82</v>
      </c>
      <c r="U7643" s="7">
        <v>0.61</v>
      </c>
      <c r="V7643" s="12">
        <f>C7643+2</f>
        <v>40851</v>
      </c>
      <c r="W7643">
        <f>IF(D7643=' Pivot Tables'!$A$4,1,0)</f>
        <v>0</v>
      </c>
      <c r="X7643">
        <f>IF(AND(LEFT(D7643,4)+1=LEFT(' Pivot Tables'!$A$4,4)+0,RIGHT(LEFT(D7643,7),2)=RIGHT(LEFT(' Pivot Tables'!$A$4,7),2)),1,0)</f>
        <v>0</v>
      </c>
      <c r="Y7643" s="6">
        <f>1/COUNTIF(Таблица1[Order ID],Таблица1[[#This Row],[Order ID]])</f>
        <v>0.5</v>
      </c>
      <c r="Z7643" s="9">
        <f>1/COUNTIFS(Таблица1[Customer Name],Таблица1[[#This Row],[Customer Name]],Таблица1[Order-Year-Month],Таблица1[[#This Row],[Order-Year-Month]])</f>
        <v>0.5</v>
      </c>
    </row>
    <row r="7644" spans="1:26" x14ac:dyDescent="0.2">
      <c r="A7644" s="6">
        <v>7954</v>
      </c>
      <c r="B7644" s="7">
        <v>56834</v>
      </c>
      <c r="C7644" s="8">
        <f>DATE(2012,12,31)-610</f>
        <v>40664</v>
      </c>
      <c r="D7644" s="8" t="str">
        <f t="shared" si="145"/>
        <v>2011-05 (май 2011)</v>
      </c>
      <c r="E7644" s="9" t="s">
        <v>30</v>
      </c>
      <c r="F7644" s="7">
        <v>22</v>
      </c>
      <c r="G7644" s="7">
        <v>1900.47</v>
      </c>
      <c r="H7644" s="7">
        <v>0</v>
      </c>
      <c r="I7644" s="9" t="s">
        <v>31</v>
      </c>
      <c r="J7644" s="10">
        <v>202.73</v>
      </c>
      <c r="K7644" s="11">
        <v>80.97</v>
      </c>
      <c r="L7644" s="11">
        <v>30.06</v>
      </c>
      <c r="M7644" s="9" t="s">
        <v>1289</v>
      </c>
      <c r="N7644" s="6" t="s">
        <v>2073</v>
      </c>
      <c r="O7644" s="6" t="s">
        <v>704</v>
      </c>
      <c r="P7644" s="9" t="s">
        <v>41</v>
      </c>
      <c r="Q7644" s="9" t="s">
        <v>42</v>
      </c>
      <c r="R7644" s="9" t="s">
        <v>210</v>
      </c>
      <c r="S7644" s="7" t="s">
        <v>1035</v>
      </c>
      <c r="T7644" s="9" t="s">
        <v>82</v>
      </c>
      <c r="U7644" s="7">
        <v>0.4</v>
      </c>
      <c r="V7644" s="12">
        <f>C7644+2</f>
        <v>40666</v>
      </c>
      <c r="W7644">
        <f>IF(D7644=' Pivot Tables'!$A$4,1,0)</f>
        <v>0</v>
      </c>
      <c r="X7644">
        <f>IF(AND(LEFT(D7644,4)+1=LEFT(' Pivot Tables'!$A$4,4)+0,RIGHT(LEFT(D7644,7),2)=RIGHT(LEFT(' Pivot Tables'!$A$4,7),2)),1,0)</f>
        <v>0</v>
      </c>
      <c r="Y7644" s="6">
        <f>1/COUNTIF(Таблица1[Order ID],Таблица1[[#This Row],[Order ID]])</f>
        <v>0.5</v>
      </c>
      <c r="Z7644" s="9">
        <f>1/COUNTIFS(Таблица1[Customer Name],Таблица1[[#This Row],[Customer Name]],Таблица1[Order-Year-Month],Таблица1[[#This Row],[Order-Year-Month]])</f>
        <v>0.5</v>
      </c>
    </row>
    <row r="7645" spans="1:26" x14ac:dyDescent="0.2">
      <c r="A7645" s="6">
        <v>7955</v>
      </c>
      <c r="B7645" s="7">
        <v>56834</v>
      </c>
      <c r="C7645" s="8">
        <f>DATE(2012,12,31)-610</f>
        <v>40664</v>
      </c>
      <c r="D7645" s="8" t="str">
        <f t="shared" si="145"/>
        <v>2011-05 (май 2011)</v>
      </c>
      <c r="E7645" s="9" t="s">
        <v>30</v>
      </c>
      <c r="F7645" s="7">
        <v>33</v>
      </c>
      <c r="G7645" s="7">
        <v>205.52</v>
      </c>
      <c r="H7645" s="7">
        <v>0.09</v>
      </c>
      <c r="I7645" s="9" t="s">
        <v>22</v>
      </c>
      <c r="J7645" s="10">
        <v>-118.55</v>
      </c>
      <c r="K7645" s="11">
        <v>6.48</v>
      </c>
      <c r="L7645" s="11">
        <v>7.03</v>
      </c>
      <c r="M7645" s="9" t="s">
        <v>1289</v>
      </c>
      <c r="N7645" s="6" t="s">
        <v>2073</v>
      </c>
      <c r="O7645" s="6" t="s">
        <v>704</v>
      </c>
      <c r="P7645" s="9" t="s">
        <v>41</v>
      </c>
      <c r="Q7645" s="9" t="s">
        <v>26</v>
      </c>
      <c r="R7645" s="9" t="s">
        <v>61</v>
      </c>
      <c r="S7645" s="7" t="s">
        <v>170</v>
      </c>
      <c r="T7645" s="9" t="s">
        <v>39</v>
      </c>
      <c r="U7645" s="7">
        <v>0.37</v>
      </c>
      <c r="V7645" s="12">
        <f>C7645+1</f>
        <v>40665</v>
      </c>
      <c r="W7645">
        <f>IF(D7645=' Pivot Tables'!$A$4,1,0)</f>
        <v>0</v>
      </c>
      <c r="X7645">
        <f>IF(AND(LEFT(D7645,4)+1=LEFT(' Pivot Tables'!$A$4,4)+0,RIGHT(LEFT(D7645,7),2)=RIGHT(LEFT(' Pivot Tables'!$A$4,7),2)),1,0)</f>
        <v>0</v>
      </c>
      <c r="Y7645" s="6">
        <f>1/COUNTIF(Таблица1[Order ID],Таблица1[[#This Row],[Order ID]])</f>
        <v>0.5</v>
      </c>
      <c r="Z7645" s="9">
        <f>1/COUNTIFS(Таблица1[Customer Name],Таблица1[[#This Row],[Customer Name]],Таблица1[Order-Year-Month],Таблица1[[#This Row],[Order-Year-Month]])</f>
        <v>0.5</v>
      </c>
    </row>
    <row r="7646" spans="1:26" x14ac:dyDescent="0.2">
      <c r="A7646" s="6">
        <v>8031</v>
      </c>
      <c r="B7646" s="7">
        <v>57380</v>
      </c>
      <c r="C7646" s="8">
        <f>DATE(2012,12,31)-438</f>
        <v>40836</v>
      </c>
      <c r="D7646" s="8" t="str">
        <f t="shared" si="145"/>
        <v>2011-10 (октябрь 2011)</v>
      </c>
      <c r="E7646" s="9" t="s">
        <v>21</v>
      </c>
      <c r="F7646" s="7">
        <v>3</v>
      </c>
      <c r="G7646" s="7">
        <v>545.88</v>
      </c>
      <c r="H7646" s="7">
        <v>0.05</v>
      </c>
      <c r="I7646" s="9" t="s">
        <v>31</v>
      </c>
      <c r="J7646" s="10">
        <v>-95.04</v>
      </c>
      <c r="K7646" s="11">
        <v>212.6</v>
      </c>
      <c r="L7646" s="11">
        <v>52.2</v>
      </c>
      <c r="M7646" s="9" t="s">
        <v>1920</v>
      </c>
      <c r="N7646" s="6" t="s">
        <v>2073</v>
      </c>
      <c r="O7646" s="6" t="s">
        <v>704</v>
      </c>
      <c r="P7646" s="9" t="s">
        <v>33</v>
      </c>
      <c r="Q7646" s="9" t="s">
        <v>49</v>
      </c>
      <c r="R7646" s="9" t="s">
        <v>83</v>
      </c>
      <c r="S7646" s="7" t="s">
        <v>984</v>
      </c>
      <c r="T7646" s="9" t="s">
        <v>82</v>
      </c>
      <c r="U7646" s="7">
        <v>0.64</v>
      </c>
      <c r="V7646" s="12">
        <f>C7646+4</f>
        <v>40840</v>
      </c>
      <c r="W7646">
        <f>IF(D7646=' Pivot Tables'!$A$4,1,0)</f>
        <v>0</v>
      </c>
      <c r="X7646">
        <f>IF(AND(LEFT(D7646,4)+1=LEFT(' Pivot Tables'!$A$4,4)+0,RIGHT(LEFT(D7646,7),2)=RIGHT(LEFT(' Pivot Tables'!$A$4,7),2)),1,0)</f>
        <v>0</v>
      </c>
      <c r="Y7646" s="6">
        <f>1/COUNTIF(Таблица1[Order ID],Таблица1[[#This Row],[Order ID]])</f>
        <v>1</v>
      </c>
      <c r="Z7646" s="9">
        <f>1/COUNTIFS(Таблица1[Customer Name],Таблица1[[#This Row],[Customer Name]],Таблица1[Order-Year-Month],Таблица1[[#This Row],[Order-Year-Month]])</f>
        <v>1</v>
      </c>
    </row>
    <row r="7647" spans="1:26" x14ac:dyDescent="0.2">
      <c r="A7647" s="6">
        <v>8213</v>
      </c>
      <c r="B7647" s="7">
        <v>58722</v>
      </c>
      <c r="C7647" s="8">
        <f>DATE(2012,12,31)-81</f>
        <v>41193</v>
      </c>
      <c r="D7647" s="8" t="str">
        <f t="shared" si="145"/>
        <v>2012-10 (октябрь 2012)</v>
      </c>
      <c r="E7647" s="9" t="s">
        <v>78</v>
      </c>
      <c r="F7647" s="7">
        <v>45</v>
      </c>
      <c r="G7647" s="7">
        <v>4042.96</v>
      </c>
      <c r="H7647" s="7">
        <v>0.05</v>
      </c>
      <c r="I7647" s="9" t="s">
        <v>31</v>
      </c>
      <c r="J7647" s="10">
        <v>-699.72</v>
      </c>
      <c r="K7647" s="11">
        <v>89.99</v>
      </c>
      <c r="L7647" s="11">
        <v>42</v>
      </c>
      <c r="M7647" s="9" t="s">
        <v>1489</v>
      </c>
      <c r="N7647" s="6" t="s">
        <v>2073</v>
      </c>
      <c r="O7647" s="6" t="s">
        <v>704</v>
      </c>
      <c r="P7647" s="9" t="s">
        <v>25</v>
      </c>
      <c r="Q7647" s="9" t="s">
        <v>49</v>
      </c>
      <c r="R7647" s="9" t="s">
        <v>112</v>
      </c>
      <c r="S7647" s="7" t="s">
        <v>853</v>
      </c>
      <c r="T7647" s="9" t="s">
        <v>36</v>
      </c>
      <c r="U7647" s="7">
        <v>0.66</v>
      </c>
      <c r="V7647" s="12">
        <f>C7647+2</f>
        <v>41195</v>
      </c>
      <c r="W7647">
        <f>IF(D7647=' Pivot Tables'!$A$4,1,0)</f>
        <v>0</v>
      </c>
      <c r="X7647">
        <f>IF(AND(LEFT(D7647,4)+1=LEFT(' Pivot Tables'!$A$4,4)+0,RIGHT(LEFT(D7647,7),2)=RIGHT(LEFT(' Pivot Tables'!$A$4,7),2)),1,0)</f>
        <v>0</v>
      </c>
      <c r="Y7647" s="6">
        <f>1/COUNTIF(Таблица1[Order ID],Таблица1[[#This Row],[Order ID]])</f>
        <v>1</v>
      </c>
      <c r="Z7647" s="9">
        <f>1/COUNTIFS(Таблица1[Customer Name],Таблица1[[#This Row],[Customer Name]],Таблица1[Order-Year-Month],Таблица1[[#This Row],[Order-Year-Month]])</f>
        <v>1</v>
      </c>
    </row>
    <row r="7648" spans="1:26" x14ac:dyDescent="0.2">
      <c r="A7648" s="6">
        <v>8249</v>
      </c>
      <c r="B7648" s="7">
        <v>58981</v>
      </c>
      <c r="C7648" s="8">
        <f>DATE(2012,12,31)-700</f>
        <v>40574</v>
      </c>
      <c r="D7648" s="8" t="str">
        <f t="shared" si="145"/>
        <v>2011-01 (январь 2011)</v>
      </c>
      <c r="E7648" s="9" t="s">
        <v>30</v>
      </c>
      <c r="F7648" s="7">
        <v>28</v>
      </c>
      <c r="G7648" s="7">
        <v>1262.75</v>
      </c>
      <c r="H7648" s="7">
        <v>7.0000000000000007E-2</v>
      </c>
      <c r="I7648" s="9" t="s">
        <v>22</v>
      </c>
      <c r="J7648" s="10">
        <v>422.23</v>
      </c>
      <c r="K7648" s="11">
        <v>46.89</v>
      </c>
      <c r="L7648" s="11">
        <v>5.0999999999999996</v>
      </c>
      <c r="M7648" s="9" t="s">
        <v>2079</v>
      </c>
      <c r="N7648" s="6" t="s">
        <v>2073</v>
      </c>
      <c r="O7648" s="6" t="s">
        <v>704</v>
      </c>
      <c r="P7648" s="9" t="s">
        <v>41</v>
      </c>
      <c r="Q7648" s="9" t="s">
        <v>26</v>
      </c>
      <c r="R7648" s="9" t="s">
        <v>34</v>
      </c>
      <c r="S7648" s="7" t="s">
        <v>355</v>
      </c>
      <c r="T7648" s="9" t="s">
        <v>48</v>
      </c>
      <c r="U7648" s="7">
        <v>0.46</v>
      </c>
      <c r="V7648" s="12">
        <f>C7648+2</f>
        <v>40576</v>
      </c>
      <c r="W7648">
        <f>IF(D7648=' Pivot Tables'!$A$4,1,0)</f>
        <v>0</v>
      </c>
      <c r="X7648">
        <f>IF(AND(LEFT(D7648,4)+1=LEFT(' Pivot Tables'!$A$4,4)+0,RIGHT(LEFT(D7648,7),2)=RIGHT(LEFT(' Pivot Tables'!$A$4,7),2)),1,0)</f>
        <v>0</v>
      </c>
      <c r="Y7648" s="6">
        <f>1/COUNTIF(Таблица1[Order ID],Таблица1[[#This Row],[Order ID]])</f>
        <v>1</v>
      </c>
      <c r="Z7648" s="9">
        <f>1/COUNTIFS(Таблица1[Customer Name],Таблица1[[#This Row],[Customer Name]],Таблица1[Order-Year-Month],Таблица1[[#This Row],[Order-Year-Month]])</f>
        <v>1</v>
      </c>
    </row>
    <row r="7649" spans="1:26" x14ac:dyDescent="0.2">
      <c r="A7649" s="6">
        <v>8356</v>
      </c>
      <c r="B7649" s="7">
        <v>59686</v>
      </c>
      <c r="C7649" s="8">
        <f>DATE(2012,12,31)-664</f>
        <v>40610</v>
      </c>
      <c r="D7649" s="8" t="str">
        <f t="shared" si="145"/>
        <v>2011-03 (март 2011)</v>
      </c>
      <c r="E7649" s="9" t="s">
        <v>21</v>
      </c>
      <c r="F7649" s="7">
        <v>41</v>
      </c>
      <c r="G7649" s="7">
        <v>243.37</v>
      </c>
      <c r="H7649" s="7">
        <v>0.01</v>
      </c>
      <c r="I7649" s="9" t="s">
        <v>22</v>
      </c>
      <c r="J7649" s="10">
        <v>-106.42100000000001</v>
      </c>
      <c r="K7649" s="11">
        <v>5.8</v>
      </c>
      <c r="L7649" s="11">
        <v>5.59</v>
      </c>
      <c r="M7649" s="9" t="s">
        <v>2080</v>
      </c>
      <c r="N7649" s="6" t="s">
        <v>2073</v>
      </c>
      <c r="O7649" s="6" t="s">
        <v>704</v>
      </c>
      <c r="P7649" s="9" t="s">
        <v>41</v>
      </c>
      <c r="Q7649" s="9" t="s">
        <v>26</v>
      </c>
      <c r="R7649" s="9" t="s">
        <v>37</v>
      </c>
      <c r="S7649" s="7" t="s">
        <v>991</v>
      </c>
      <c r="T7649" s="9" t="s">
        <v>39</v>
      </c>
      <c r="U7649" s="7">
        <v>0.4</v>
      </c>
      <c r="V7649" s="12">
        <f>C7649+5</f>
        <v>40615</v>
      </c>
      <c r="W7649">
        <f>IF(D7649=' Pivot Tables'!$A$4,1,0)</f>
        <v>0</v>
      </c>
      <c r="X7649">
        <f>IF(AND(LEFT(D7649,4)+1=LEFT(' Pivot Tables'!$A$4,4)+0,RIGHT(LEFT(D7649,7),2)=RIGHT(LEFT(' Pivot Tables'!$A$4,7),2)),1,0)</f>
        <v>0</v>
      </c>
      <c r="Y7649" s="6">
        <f>1/COUNTIF(Таблица1[Order ID],Таблица1[[#This Row],[Order ID]])</f>
        <v>1</v>
      </c>
      <c r="Z7649" s="9">
        <f>1/COUNTIFS(Таблица1[Customer Name],Таблица1[[#This Row],[Customer Name]],Таблица1[Order-Year-Month],Таблица1[[#This Row],[Order-Year-Month]])</f>
        <v>1</v>
      </c>
    </row>
    <row r="7650" spans="1:26" x14ac:dyDescent="0.2">
      <c r="A7650" s="6">
        <v>939</v>
      </c>
      <c r="B7650" s="7">
        <v>6791</v>
      </c>
      <c r="C7650" s="8">
        <f>DATE(2012,12,31)-699</f>
        <v>40575</v>
      </c>
      <c r="D7650" s="8" t="str">
        <f t="shared" si="145"/>
        <v>2011-02 (февраль 2011)</v>
      </c>
      <c r="E7650" s="9" t="s">
        <v>63</v>
      </c>
      <c r="F7650" s="7">
        <v>14</v>
      </c>
      <c r="G7650" s="7">
        <v>730.33</v>
      </c>
      <c r="H7650" s="7">
        <v>0.1</v>
      </c>
      <c r="I7650" s="9" t="s">
        <v>56</v>
      </c>
      <c r="J7650" s="10">
        <v>110.77</v>
      </c>
      <c r="K7650" s="11">
        <v>51.98</v>
      </c>
      <c r="L7650" s="11">
        <v>10.17</v>
      </c>
      <c r="M7650" s="9" t="s">
        <v>1705</v>
      </c>
      <c r="N7650" s="6" t="s">
        <v>2073</v>
      </c>
      <c r="O7650" s="6" t="s">
        <v>704</v>
      </c>
      <c r="P7650" s="9" t="s">
        <v>25</v>
      </c>
      <c r="Q7650" s="9" t="s">
        <v>42</v>
      </c>
      <c r="R7650" s="9" t="s">
        <v>210</v>
      </c>
      <c r="S7650" s="7" t="s">
        <v>1215</v>
      </c>
      <c r="T7650" s="9" t="s">
        <v>48</v>
      </c>
      <c r="U7650" s="7">
        <v>0.37</v>
      </c>
      <c r="V7650" s="12">
        <f>C7650+2</f>
        <v>40577</v>
      </c>
      <c r="W7650">
        <f>IF(D7650=' Pivot Tables'!$A$4,1,0)</f>
        <v>0</v>
      </c>
      <c r="X7650">
        <f>IF(AND(LEFT(D7650,4)+1=LEFT(' Pivot Tables'!$A$4,4)+0,RIGHT(LEFT(D7650,7),2)=RIGHT(LEFT(' Pivot Tables'!$A$4,7),2)),1,0)</f>
        <v>0</v>
      </c>
      <c r="Y7650" s="6">
        <f>1/COUNTIF(Таблица1[Order ID],Таблица1[[#This Row],[Order ID]])</f>
        <v>1</v>
      </c>
      <c r="Z7650" s="9">
        <f>1/COUNTIFS(Таблица1[Customer Name],Таблица1[[#This Row],[Customer Name]],Таблица1[Order-Year-Month],Таблица1[[#This Row],[Order-Year-Month]])</f>
        <v>1</v>
      </c>
    </row>
    <row r="7651" spans="1:26" x14ac:dyDescent="0.2">
      <c r="A7651" s="6">
        <v>1359</v>
      </c>
      <c r="B7651" s="7">
        <v>9895</v>
      </c>
      <c r="C7651" s="8">
        <f>DATE(2012,12,31)-986</f>
        <v>40288</v>
      </c>
      <c r="D7651" s="8" t="str">
        <f t="shared" si="145"/>
        <v>2010-04 (апрель 2010)</v>
      </c>
      <c r="E7651" s="9" t="s">
        <v>21</v>
      </c>
      <c r="F7651" s="7">
        <v>9</v>
      </c>
      <c r="G7651" s="7">
        <v>54.79</v>
      </c>
      <c r="H7651" s="7">
        <v>0.05</v>
      </c>
      <c r="I7651" s="9" t="s">
        <v>22</v>
      </c>
      <c r="J7651" s="10">
        <v>-6.82</v>
      </c>
      <c r="K7651" s="11">
        <v>5.85</v>
      </c>
      <c r="L7651" s="11">
        <v>2.27</v>
      </c>
      <c r="M7651" s="9" t="s">
        <v>1185</v>
      </c>
      <c r="N7651" s="6" t="s">
        <v>2073</v>
      </c>
      <c r="O7651" s="6" t="s">
        <v>704</v>
      </c>
      <c r="P7651" s="9" t="s">
        <v>25</v>
      </c>
      <c r="Q7651" s="9" t="s">
        <v>26</v>
      </c>
      <c r="R7651" s="9" t="s">
        <v>95</v>
      </c>
      <c r="S7651" s="7" t="s">
        <v>463</v>
      </c>
      <c r="T7651" s="9" t="s">
        <v>68</v>
      </c>
      <c r="U7651" s="7">
        <v>0.56000000000000005</v>
      </c>
      <c r="V7651" s="12">
        <f>C7651+4</f>
        <v>40292</v>
      </c>
      <c r="W7651">
        <f>IF(D7651=' Pivot Tables'!$A$4,1,0)</f>
        <v>0</v>
      </c>
      <c r="X7651">
        <f>IF(AND(LEFT(D7651,4)+1=LEFT(' Pivot Tables'!$A$4,4)+0,RIGHT(LEFT(D7651,7),2)=RIGHT(LEFT(' Pivot Tables'!$A$4,7),2)),1,0)</f>
        <v>0</v>
      </c>
      <c r="Y7651" s="6">
        <f>1/COUNTIF(Таблица1[Order ID],Таблица1[[#This Row],[Order ID]])</f>
        <v>1</v>
      </c>
      <c r="Z7651" s="9">
        <f>1/COUNTIFS(Таблица1[Customer Name],Таблица1[[#This Row],[Customer Name]],Таблица1[Order-Year-Month],Таблица1[[#This Row],[Order-Year-Month]])</f>
        <v>1</v>
      </c>
    </row>
    <row r="7652" spans="1:26" x14ac:dyDescent="0.2">
      <c r="A7652" s="6">
        <v>1640</v>
      </c>
      <c r="B7652" s="7">
        <v>11846</v>
      </c>
      <c r="C7652" s="8">
        <f>DATE(2012,12,31)-986</f>
        <v>40288</v>
      </c>
      <c r="D7652" s="8" t="str">
        <f t="shared" si="145"/>
        <v>2010-04 (апрель 2010)</v>
      </c>
      <c r="E7652" s="9" t="s">
        <v>21</v>
      </c>
      <c r="F7652" s="7">
        <v>49</v>
      </c>
      <c r="G7652" s="7">
        <v>7319.85</v>
      </c>
      <c r="H7652" s="7">
        <v>0.03</v>
      </c>
      <c r="I7652" s="9" t="s">
        <v>22</v>
      </c>
      <c r="J7652" s="10">
        <v>611.42999999999995</v>
      </c>
      <c r="K7652" s="11">
        <v>152.47999999999999</v>
      </c>
      <c r="L7652" s="11">
        <v>4</v>
      </c>
      <c r="M7652" s="9" t="s">
        <v>2082</v>
      </c>
      <c r="N7652" s="6" t="s">
        <v>2073</v>
      </c>
      <c r="O7652" s="6" t="s">
        <v>704</v>
      </c>
      <c r="P7652" s="9" t="s">
        <v>41</v>
      </c>
      <c r="Q7652" s="9" t="s">
        <v>42</v>
      </c>
      <c r="R7652" s="9" t="s">
        <v>70</v>
      </c>
      <c r="S7652" s="7" t="s">
        <v>844</v>
      </c>
      <c r="T7652" s="9" t="s">
        <v>39</v>
      </c>
      <c r="U7652" s="7">
        <v>0.79</v>
      </c>
      <c r="V7652" s="12">
        <f>C7652+4</f>
        <v>40292</v>
      </c>
      <c r="W7652">
        <f>IF(D7652=' Pivot Tables'!$A$4,1,0)</f>
        <v>0</v>
      </c>
      <c r="X7652">
        <f>IF(AND(LEFT(D7652,4)+1=LEFT(' Pivot Tables'!$A$4,4)+0,RIGHT(LEFT(D7652,7),2)=RIGHT(LEFT(' Pivot Tables'!$A$4,7),2)),1,0)</f>
        <v>0</v>
      </c>
      <c r="Y7652" s="6">
        <f>1/COUNTIF(Таблица1[Order ID],Таблица1[[#This Row],[Order ID]])</f>
        <v>0.5</v>
      </c>
      <c r="Z7652" s="9">
        <f>1/COUNTIFS(Таблица1[Customer Name],Таблица1[[#This Row],[Customer Name]],Таблица1[Order-Year-Month],Таблица1[[#This Row],[Order-Year-Month]])</f>
        <v>0.5</v>
      </c>
    </row>
    <row r="7653" spans="1:26" x14ac:dyDescent="0.2">
      <c r="A7653" s="6">
        <v>1641</v>
      </c>
      <c r="B7653" s="7">
        <v>11846</v>
      </c>
      <c r="C7653" s="8">
        <f>DATE(2012,12,31)-986</f>
        <v>40288</v>
      </c>
      <c r="D7653" s="8" t="str">
        <f t="shared" si="145"/>
        <v>2010-04 (апрель 2010)</v>
      </c>
      <c r="E7653" s="9" t="s">
        <v>21</v>
      </c>
      <c r="F7653" s="7">
        <v>28</v>
      </c>
      <c r="G7653" s="7">
        <v>707.44</v>
      </c>
      <c r="H7653" s="7">
        <v>0.01</v>
      </c>
      <c r="I7653" s="9" t="s">
        <v>56</v>
      </c>
      <c r="J7653" s="10">
        <v>-50.27</v>
      </c>
      <c r="K7653" s="11">
        <v>24.98</v>
      </c>
      <c r="L7653" s="11">
        <v>8.7899999999999991</v>
      </c>
      <c r="M7653" s="9" t="s">
        <v>2082</v>
      </c>
      <c r="N7653" s="6" t="s">
        <v>2073</v>
      </c>
      <c r="O7653" s="6" t="s">
        <v>704</v>
      </c>
      <c r="P7653" s="9" t="s">
        <v>41</v>
      </c>
      <c r="Q7653" s="9" t="s">
        <v>26</v>
      </c>
      <c r="R7653" s="9" t="s">
        <v>27</v>
      </c>
      <c r="S7653" s="7" t="s">
        <v>1476</v>
      </c>
      <c r="T7653" s="9" t="s">
        <v>39</v>
      </c>
      <c r="U7653" s="7">
        <v>0.66</v>
      </c>
      <c r="V7653" s="12">
        <f>C7653+7</f>
        <v>40295</v>
      </c>
      <c r="W7653">
        <f>IF(D7653=' Pivot Tables'!$A$4,1,0)</f>
        <v>0</v>
      </c>
      <c r="X7653">
        <f>IF(AND(LEFT(D7653,4)+1=LEFT(' Pivot Tables'!$A$4,4)+0,RIGHT(LEFT(D7653,7),2)=RIGHT(LEFT(' Pivot Tables'!$A$4,7),2)),1,0)</f>
        <v>0</v>
      </c>
      <c r="Y7653" s="6">
        <f>1/COUNTIF(Таблица1[Order ID],Таблица1[[#This Row],[Order ID]])</f>
        <v>0.5</v>
      </c>
      <c r="Z7653" s="9">
        <f>1/COUNTIFS(Таблица1[Customer Name],Таблица1[[#This Row],[Customer Name]],Таблица1[Order-Year-Month],Таблица1[[#This Row],[Order-Year-Month]])</f>
        <v>0.5</v>
      </c>
    </row>
    <row r="7654" spans="1:26" x14ac:dyDescent="0.2">
      <c r="A7654" s="6">
        <v>1733</v>
      </c>
      <c r="B7654" s="7">
        <v>12450</v>
      </c>
      <c r="C7654" s="8">
        <f>DATE(2012,12,31)-1390</f>
        <v>39884</v>
      </c>
      <c r="D7654" s="8" t="str">
        <f t="shared" si="145"/>
        <v>2009-03 (март 2009)</v>
      </c>
      <c r="E7654" s="9" t="s">
        <v>45</v>
      </c>
      <c r="F7654" s="7">
        <v>15</v>
      </c>
      <c r="G7654" s="7">
        <v>1146.4100000000001</v>
      </c>
      <c r="H7654" s="7">
        <v>0</v>
      </c>
      <c r="I7654" s="9" t="s">
        <v>22</v>
      </c>
      <c r="J7654" s="10">
        <v>-88.61</v>
      </c>
      <c r="K7654" s="11">
        <v>73.98</v>
      </c>
      <c r="L7654" s="11">
        <v>14.52</v>
      </c>
      <c r="M7654" s="9" t="s">
        <v>1705</v>
      </c>
      <c r="N7654" s="6" t="s">
        <v>2073</v>
      </c>
      <c r="O7654" s="6" t="s">
        <v>704</v>
      </c>
      <c r="P7654" s="9" t="s">
        <v>25</v>
      </c>
      <c r="Q7654" s="9" t="s">
        <v>42</v>
      </c>
      <c r="R7654" s="9" t="s">
        <v>70</v>
      </c>
      <c r="S7654" s="7" t="s">
        <v>822</v>
      </c>
      <c r="T7654" s="9" t="s">
        <v>39</v>
      </c>
      <c r="U7654" s="7">
        <v>0.65</v>
      </c>
      <c r="V7654" s="12">
        <f>C7654+2</f>
        <v>39886</v>
      </c>
      <c r="W7654">
        <f>IF(D7654=' Pivot Tables'!$A$4,1,0)</f>
        <v>0</v>
      </c>
      <c r="X7654">
        <f>IF(AND(LEFT(D7654,4)+1=LEFT(' Pivot Tables'!$A$4,4)+0,RIGHT(LEFT(D7654,7),2)=RIGHT(LEFT(' Pivot Tables'!$A$4,7),2)),1,0)</f>
        <v>0</v>
      </c>
      <c r="Y7654" s="6">
        <f>1/COUNTIF(Таблица1[Order ID],Таблица1[[#This Row],[Order ID]])</f>
        <v>1</v>
      </c>
      <c r="Z7654" s="9">
        <f>1/COUNTIFS(Таблица1[Customer Name],Таблица1[[#This Row],[Customer Name]],Таблица1[Order-Year-Month],Таблица1[[#This Row],[Order-Year-Month]])</f>
        <v>1</v>
      </c>
    </row>
    <row r="7655" spans="1:26" x14ac:dyDescent="0.2">
      <c r="A7655" s="6">
        <v>2290</v>
      </c>
      <c r="B7655" s="7">
        <v>16518</v>
      </c>
      <c r="C7655" s="8">
        <f>DATE(2012,12,31)-93</f>
        <v>41181</v>
      </c>
      <c r="D7655" s="8" t="str">
        <f t="shared" si="145"/>
        <v>2012-09 (сентябрь 2012)</v>
      </c>
      <c r="E7655" s="9" t="s">
        <v>78</v>
      </c>
      <c r="F7655" s="7">
        <v>4</v>
      </c>
      <c r="G7655" s="7">
        <v>80.290000000000006</v>
      </c>
      <c r="H7655" s="7">
        <v>0.03</v>
      </c>
      <c r="I7655" s="9" t="s">
        <v>22</v>
      </c>
      <c r="J7655" s="10">
        <v>-6.57</v>
      </c>
      <c r="K7655" s="11">
        <v>18.97</v>
      </c>
      <c r="L7655" s="11">
        <v>5.21</v>
      </c>
      <c r="M7655" s="9" t="s">
        <v>2082</v>
      </c>
      <c r="N7655" s="6" t="s">
        <v>2073</v>
      </c>
      <c r="O7655" s="6" t="s">
        <v>704</v>
      </c>
      <c r="P7655" s="9" t="s">
        <v>41</v>
      </c>
      <c r="Q7655" s="9" t="s">
        <v>26</v>
      </c>
      <c r="R7655" s="9" t="s">
        <v>61</v>
      </c>
      <c r="S7655" s="7" t="s">
        <v>182</v>
      </c>
      <c r="T7655" s="9" t="s">
        <v>39</v>
      </c>
      <c r="U7655" s="7">
        <v>0.37</v>
      </c>
      <c r="V7655" s="12">
        <f>C7655+1</f>
        <v>41182</v>
      </c>
      <c r="W7655">
        <f>IF(D7655=' Pivot Tables'!$A$4,1,0)</f>
        <v>0</v>
      </c>
      <c r="X7655">
        <f>IF(AND(LEFT(D7655,4)+1=LEFT(' Pivot Tables'!$A$4,4)+0,RIGHT(LEFT(D7655,7),2)=RIGHT(LEFT(' Pivot Tables'!$A$4,7),2)),1,0)</f>
        <v>0</v>
      </c>
      <c r="Y7655" s="6">
        <f>1/COUNTIF(Таблица1[Order ID],Таблица1[[#This Row],[Order ID]])</f>
        <v>0.5</v>
      </c>
      <c r="Z7655" s="9">
        <f>1/COUNTIFS(Таблица1[Customer Name],Таблица1[[#This Row],[Customer Name]],Таблица1[Order-Year-Month],Таблица1[[#This Row],[Order-Year-Month]])</f>
        <v>0.5</v>
      </c>
    </row>
    <row r="7656" spans="1:26" x14ac:dyDescent="0.2">
      <c r="A7656" s="6">
        <v>2291</v>
      </c>
      <c r="B7656" s="7">
        <v>16518</v>
      </c>
      <c r="C7656" s="8">
        <f>DATE(2012,12,31)-93</f>
        <v>41181</v>
      </c>
      <c r="D7656" s="8" t="str">
        <f t="shared" si="145"/>
        <v>2012-09 (сентябрь 2012)</v>
      </c>
      <c r="E7656" s="9" t="s">
        <v>78</v>
      </c>
      <c r="F7656" s="7">
        <v>36</v>
      </c>
      <c r="G7656" s="7">
        <v>2628.9224999999997</v>
      </c>
      <c r="H7656" s="7">
        <v>0.03</v>
      </c>
      <c r="I7656" s="9" t="s">
        <v>22</v>
      </c>
      <c r="J7656" s="10">
        <v>832.19399999999996</v>
      </c>
      <c r="K7656" s="11">
        <v>85.99</v>
      </c>
      <c r="L7656" s="11">
        <v>0.99</v>
      </c>
      <c r="M7656" s="9" t="s">
        <v>2082</v>
      </c>
      <c r="N7656" s="6" t="s">
        <v>2073</v>
      </c>
      <c r="O7656" s="6" t="s">
        <v>704</v>
      </c>
      <c r="P7656" s="9" t="s">
        <v>41</v>
      </c>
      <c r="Q7656" s="9" t="s">
        <v>42</v>
      </c>
      <c r="R7656" s="9" t="s">
        <v>43</v>
      </c>
      <c r="S7656" s="7" t="s">
        <v>741</v>
      </c>
      <c r="T7656" s="9" t="s">
        <v>68</v>
      </c>
      <c r="U7656" s="7">
        <v>0.55000000000000004</v>
      </c>
      <c r="V7656" s="12">
        <f>C7656+3</f>
        <v>41184</v>
      </c>
      <c r="W7656">
        <f>IF(D7656=' Pivot Tables'!$A$4,1,0)</f>
        <v>0</v>
      </c>
      <c r="X7656">
        <f>IF(AND(LEFT(D7656,4)+1=LEFT(' Pivot Tables'!$A$4,4)+0,RIGHT(LEFT(D7656,7),2)=RIGHT(LEFT(' Pivot Tables'!$A$4,7),2)),1,0)</f>
        <v>0</v>
      </c>
      <c r="Y7656" s="6">
        <f>1/COUNTIF(Таблица1[Order ID],Таблица1[[#This Row],[Order ID]])</f>
        <v>0.5</v>
      </c>
      <c r="Z7656" s="9">
        <f>1/COUNTIFS(Таблица1[Customer Name],Таблица1[[#This Row],[Customer Name]],Таблица1[Order-Year-Month],Таблица1[[#This Row],[Order-Year-Month]])</f>
        <v>0.5</v>
      </c>
    </row>
    <row r="7657" spans="1:26" x14ac:dyDescent="0.2">
      <c r="A7657" s="6">
        <v>2459</v>
      </c>
      <c r="B7657" s="7">
        <v>17860</v>
      </c>
      <c r="C7657" s="8">
        <f>DATE(2012,12,31)-635</f>
        <v>40639</v>
      </c>
      <c r="D7657" s="8" t="str">
        <f t="shared" si="145"/>
        <v>2011-04 (апрель 2011)</v>
      </c>
      <c r="E7657" s="9" t="s">
        <v>78</v>
      </c>
      <c r="F7657" s="7">
        <v>16</v>
      </c>
      <c r="G7657" s="7">
        <v>139</v>
      </c>
      <c r="H7657" s="7">
        <v>0.05</v>
      </c>
      <c r="I7657" s="9" t="s">
        <v>56</v>
      </c>
      <c r="J7657" s="10">
        <v>-96.33</v>
      </c>
      <c r="K7657" s="11">
        <v>7.77</v>
      </c>
      <c r="L7657" s="11">
        <v>9.23</v>
      </c>
      <c r="M7657" s="9" t="s">
        <v>1185</v>
      </c>
      <c r="N7657" s="6" t="s">
        <v>2073</v>
      </c>
      <c r="O7657" s="6" t="s">
        <v>704</v>
      </c>
      <c r="P7657" s="9" t="s">
        <v>25</v>
      </c>
      <c r="Q7657" s="9" t="s">
        <v>26</v>
      </c>
      <c r="R7657" s="9" t="s">
        <v>34</v>
      </c>
      <c r="S7657" s="7" t="s">
        <v>1386</v>
      </c>
      <c r="T7657" s="9" t="s">
        <v>39</v>
      </c>
      <c r="U7657" s="7">
        <v>0.57999999999999996</v>
      </c>
      <c r="V7657" s="12">
        <f>C7657+2</f>
        <v>40641</v>
      </c>
      <c r="W7657">
        <f>IF(D7657=' Pivot Tables'!$A$4,1,0)</f>
        <v>0</v>
      </c>
      <c r="X7657">
        <f>IF(AND(LEFT(D7657,4)+1=LEFT(' Pivot Tables'!$A$4,4)+0,RIGHT(LEFT(D7657,7),2)=RIGHT(LEFT(' Pivot Tables'!$A$4,7),2)),1,0)</f>
        <v>0</v>
      </c>
      <c r="Y7657" s="6">
        <f>1/COUNTIF(Таблица1[Order ID],Таблица1[[#This Row],[Order ID]])</f>
        <v>1</v>
      </c>
      <c r="Z7657" s="9">
        <f>1/COUNTIFS(Таблица1[Customer Name],Таблица1[[#This Row],[Customer Name]],Таблица1[Order-Year-Month],Таблица1[[#This Row],[Order-Year-Month]])</f>
        <v>1</v>
      </c>
    </row>
    <row r="7658" spans="1:26" x14ac:dyDescent="0.2">
      <c r="A7658" s="6">
        <v>2465</v>
      </c>
      <c r="B7658" s="7">
        <v>17952</v>
      </c>
      <c r="C7658" s="8">
        <f>DATE(2012,12,31)-812</f>
        <v>40462</v>
      </c>
      <c r="D7658" s="8" t="str">
        <f t="shared" si="145"/>
        <v>2010-10 (октябрь 2010)</v>
      </c>
      <c r="E7658" s="9" t="s">
        <v>63</v>
      </c>
      <c r="F7658" s="7">
        <v>28</v>
      </c>
      <c r="G7658" s="7">
        <v>430.13</v>
      </c>
      <c r="H7658" s="7">
        <v>0.02</v>
      </c>
      <c r="I7658" s="9" t="s">
        <v>22</v>
      </c>
      <c r="J7658" s="10">
        <v>2.33</v>
      </c>
      <c r="K7658" s="11">
        <v>14.42</v>
      </c>
      <c r="L7658" s="11">
        <v>6.75</v>
      </c>
      <c r="M7658" s="9" t="s">
        <v>2082</v>
      </c>
      <c r="N7658" s="6" t="s">
        <v>2073</v>
      </c>
      <c r="O7658" s="6" t="s">
        <v>704</v>
      </c>
      <c r="P7658" s="9" t="s">
        <v>25</v>
      </c>
      <c r="Q7658" s="9" t="s">
        <v>26</v>
      </c>
      <c r="R7658" s="9" t="s">
        <v>34</v>
      </c>
      <c r="S7658" s="7" t="s">
        <v>1036</v>
      </c>
      <c r="T7658" s="9" t="s">
        <v>48</v>
      </c>
      <c r="U7658" s="7">
        <v>0.52</v>
      </c>
      <c r="V7658" s="12">
        <f>C7658+1</f>
        <v>40463</v>
      </c>
      <c r="W7658">
        <f>IF(D7658=' Pivot Tables'!$A$4,1,0)</f>
        <v>0</v>
      </c>
      <c r="X7658">
        <f>IF(AND(LEFT(D7658,4)+1=LEFT(' Pivot Tables'!$A$4,4)+0,RIGHT(LEFT(D7658,7),2)=RIGHT(LEFT(' Pivot Tables'!$A$4,7),2)),1,0)</f>
        <v>0</v>
      </c>
      <c r="Y7658" s="6">
        <f>1/COUNTIF(Таблица1[Order ID],Таблица1[[#This Row],[Order ID]])</f>
        <v>1</v>
      </c>
      <c r="Z7658" s="9">
        <f>1/COUNTIFS(Таблица1[Customer Name],Таблица1[[#This Row],[Customer Name]],Таблица1[Order-Year-Month],Таблица1[[#This Row],[Order-Year-Month]])</f>
        <v>1</v>
      </c>
    </row>
    <row r="7659" spans="1:26" x14ac:dyDescent="0.2">
      <c r="A7659" s="6">
        <v>2578</v>
      </c>
      <c r="B7659" s="7">
        <v>18596</v>
      </c>
      <c r="C7659" s="8">
        <f>DATE(2012,12,31)-90</f>
        <v>41184</v>
      </c>
      <c r="D7659" s="8" t="str">
        <f t="shared" si="145"/>
        <v>2012-10 (октябрь 2012)</v>
      </c>
      <c r="E7659" s="9" t="s">
        <v>21</v>
      </c>
      <c r="F7659" s="7">
        <v>42</v>
      </c>
      <c r="G7659" s="7">
        <v>4917.6899999999996</v>
      </c>
      <c r="H7659" s="7">
        <v>0.02</v>
      </c>
      <c r="I7659" s="9" t="s">
        <v>31</v>
      </c>
      <c r="J7659" s="10">
        <v>126.31</v>
      </c>
      <c r="K7659" s="11">
        <v>110.98</v>
      </c>
      <c r="L7659" s="11">
        <v>30</v>
      </c>
      <c r="M7659" s="9" t="s">
        <v>1185</v>
      </c>
      <c r="N7659" s="6" t="s">
        <v>2073</v>
      </c>
      <c r="O7659" s="6" t="s">
        <v>704</v>
      </c>
      <c r="P7659" s="9" t="s">
        <v>25</v>
      </c>
      <c r="Q7659" s="9" t="s">
        <v>49</v>
      </c>
      <c r="R7659" s="9" t="s">
        <v>112</v>
      </c>
      <c r="S7659" s="7" t="s">
        <v>651</v>
      </c>
      <c r="T7659" s="9" t="s">
        <v>36</v>
      </c>
      <c r="U7659" s="7">
        <v>0.71</v>
      </c>
      <c r="V7659" s="12">
        <f>C7659+2</f>
        <v>41186</v>
      </c>
      <c r="W7659">
        <f>IF(D7659=' Pivot Tables'!$A$4,1,0)</f>
        <v>0</v>
      </c>
      <c r="X7659">
        <f>IF(AND(LEFT(D7659,4)+1=LEFT(' Pivot Tables'!$A$4,4)+0,RIGHT(LEFT(D7659,7),2)=RIGHT(LEFT(' Pivot Tables'!$A$4,7),2)),1,0)</f>
        <v>0</v>
      </c>
      <c r="Y7659" s="6">
        <f>1/COUNTIF(Таблица1[Order ID],Таблица1[[#This Row],[Order ID]])</f>
        <v>0.5</v>
      </c>
      <c r="Z7659" s="9">
        <f>1/COUNTIFS(Таблица1[Customer Name],Таблица1[[#This Row],[Customer Name]],Таблица1[Order-Year-Month],Таблица1[[#This Row],[Order-Year-Month]])</f>
        <v>0.5</v>
      </c>
    </row>
    <row r="7660" spans="1:26" x14ac:dyDescent="0.2">
      <c r="A7660" s="6">
        <v>2579</v>
      </c>
      <c r="B7660" s="7">
        <v>18596</v>
      </c>
      <c r="C7660" s="8">
        <f>DATE(2012,12,31)-90</f>
        <v>41184</v>
      </c>
      <c r="D7660" s="8" t="str">
        <f t="shared" si="145"/>
        <v>2012-10 (октябрь 2012)</v>
      </c>
      <c r="E7660" s="9" t="s">
        <v>21</v>
      </c>
      <c r="F7660" s="7">
        <v>32</v>
      </c>
      <c r="G7660" s="7">
        <v>416.8</v>
      </c>
      <c r="H7660" s="7">
        <v>0.01</v>
      </c>
      <c r="I7660" s="9" t="s">
        <v>22</v>
      </c>
      <c r="J7660" s="10">
        <v>223.38</v>
      </c>
      <c r="K7660" s="11">
        <v>12.53</v>
      </c>
      <c r="L7660" s="11">
        <v>0.5</v>
      </c>
      <c r="M7660" s="9" t="s">
        <v>1185</v>
      </c>
      <c r="N7660" s="6" t="s">
        <v>2073</v>
      </c>
      <c r="O7660" s="6" t="s">
        <v>704</v>
      </c>
      <c r="P7660" s="9" t="s">
        <v>25</v>
      </c>
      <c r="Q7660" s="9" t="s">
        <v>26</v>
      </c>
      <c r="R7660" s="9" t="s">
        <v>88</v>
      </c>
      <c r="S7660" s="7" t="s">
        <v>525</v>
      </c>
      <c r="T7660" s="9" t="s">
        <v>39</v>
      </c>
      <c r="U7660" s="7">
        <v>0.38</v>
      </c>
      <c r="V7660" s="12">
        <f>C7660+2</f>
        <v>41186</v>
      </c>
      <c r="W7660">
        <f>IF(D7660=' Pivot Tables'!$A$4,1,0)</f>
        <v>0</v>
      </c>
      <c r="X7660">
        <f>IF(AND(LEFT(D7660,4)+1=LEFT(' Pivot Tables'!$A$4,4)+0,RIGHT(LEFT(D7660,7),2)=RIGHT(LEFT(' Pivot Tables'!$A$4,7),2)),1,0)</f>
        <v>0</v>
      </c>
      <c r="Y7660" s="6">
        <f>1/COUNTIF(Таблица1[Order ID],Таблица1[[#This Row],[Order ID]])</f>
        <v>0.5</v>
      </c>
      <c r="Z7660" s="9">
        <f>1/COUNTIFS(Таблица1[Customer Name],Таблица1[[#This Row],[Customer Name]],Таблица1[Order-Year-Month],Таблица1[[#This Row],[Order-Year-Month]])</f>
        <v>0.5</v>
      </c>
    </row>
    <row r="7661" spans="1:26" x14ac:dyDescent="0.2">
      <c r="A7661" s="6">
        <v>2957</v>
      </c>
      <c r="B7661" s="7">
        <v>21410</v>
      </c>
      <c r="C7661" s="8">
        <f>DATE(2012,12,31)-244</f>
        <v>41030</v>
      </c>
      <c r="D7661" s="8" t="str">
        <f t="shared" si="145"/>
        <v>2012-05 (май 2012)</v>
      </c>
      <c r="E7661" s="9" t="s">
        <v>78</v>
      </c>
      <c r="F7661" s="7">
        <v>16</v>
      </c>
      <c r="G7661" s="7">
        <v>2101.59</v>
      </c>
      <c r="H7661" s="7">
        <v>0.01</v>
      </c>
      <c r="I7661" s="9" t="s">
        <v>56</v>
      </c>
      <c r="J7661" s="10">
        <v>554.91</v>
      </c>
      <c r="K7661" s="11">
        <v>123.38</v>
      </c>
      <c r="L7661" s="11">
        <v>24.49</v>
      </c>
      <c r="M7661" s="9" t="s">
        <v>1705</v>
      </c>
      <c r="N7661" s="6" t="s">
        <v>2073</v>
      </c>
      <c r="O7661" s="6" t="s">
        <v>704</v>
      </c>
      <c r="P7661" s="9" t="s">
        <v>41</v>
      </c>
      <c r="Q7661" s="9" t="s">
        <v>26</v>
      </c>
      <c r="R7661" s="9" t="s">
        <v>34</v>
      </c>
      <c r="S7661" s="7" t="s">
        <v>1943</v>
      </c>
      <c r="T7661" s="9" t="s">
        <v>29</v>
      </c>
      <c r="U7661" s="7">
        <v>0.46</v>
      </c>
      <c r="V7661" s="12">
        <f>C7661+2</f>
        <v>41032</v>
      </c>
      <c r="W7661">
        <f>IF(D7661=' Pivot Tables'!$A$4,1,0)</f>
        <v>0</v>
      </c>
      <c r="X7661">
        <f>IF(AND(LEFT(D7661,4)+1=LEFT(' Pivot Tables'!$A$4,4)+0,RIGHT(LEFT(D7661,7),2)=RIGHT(LEFT(' Pivot Tables'!$A$4,7),2)),1,0)</f>
        <v>0</v>
      </c>
      <c r="Y7661" s="6">
        <f>1/COUNTIF(Таблица1[Order ID],Таблица1[[#This Row],[Order ID]])</f>
        <v>1</v>
      </c>
      <c r="Z7661" s="9">
        <f>1/COUNTIFS(Таблица1[Customer Name],Таблица1[[#This Row],[Customer Name]],Таблица1[Order-Year-Month],Таблица1[[#This Row],[Order-Year-Month]])</f>
        <v>0.5</v>
      </c>
    </row>
    <row r="7662" spans="1:26" x14ac:dyDescent="0.2">
      <c r="A7662" s="6">
        <v>3148</v>
      </c>
      <c r="B7662" s="7">
        <v>22563</v>
      </c>
      <c r="C7662" s="8">
        <f>DATE(2012,12,31)-225</f>
        <v>41049</v>
      </c>
      <c r="D7662" s="8" t="str">
        <f t="shared" si="145"/>
        <v>2012-05 (май 2012)</v>
      </c>
      <c r="E7662" s="9" t="s">
        <v>78</v>
      </c>
      <c r="F7662" s="7">
        <v>32</v>
      </c>
      <c r="G7662" s="7">
        <v>251.51</v>
      </c>
      <c r="H7662" s="7">
        <v>0.06</v>
      </c>
      <c r="I7662" s="9" t="s">
        <v>22</v>
      </c>
      <c r="J7662" s="10">
        <v>-9.7799999999999994</v>
      </c>
      <c r="K7662" s="11">
        <v>7.7</v>
      </c>
      <c r="L7662" s="11">
        <v>3.68</v>
      </c>
      <c r="M7662" s="9" t="s">
        <v>2083</v>
      </c>
      <c r="N7662" s="6" t="s">
        <v>2073</v>
      </c>
      <c r="O7662" s="6" t="s">
        <v>704</v>
      </c>
      <c r="P7662" s="9" t="s">
        <v>60</v>
      </c>
      <c r="Q7662" s="9" t="s">
        <v>49</v>
      </c>
      <c r="R7662" s="9" t="s">
        <v>50</v>
      </c>
      <c r="S7662" s="7" t="s">
        <v>1052</v>
      </c>
      <c r="T7662" s="9" t="s">
        <v>68</v>
      </c>
      <c r="U7662" s="7">
        <v>0.52</v>
      </c>
      <c r="V7662" s="12">
        <f>C7662+3</f>
        <v>41052</v>
      </c>
      <c r="W7662">
        <f>IF(D7662=' Pivot Tables'!$A$4,1,0)</f>
        <v>0</v>
      </c>
      <c r="X7662">
        <f>IF(AND(LEFT(D7662,4)+1=LEFT(' Pivot Tables'!$A$4,4)+0,RIGHT(LEFT(D7662,7),2)=RIGHT(LEFT(' Pivot Tables'!$A$4,7),2)),1,0)</f>
        <v>0</v>
      </c>
      <c r="Y7662" s="6">
        <f>1/COUNTIF(Таблица1[Order ID],Таблица1[[#This Row],[Order ID]])</f>
        <v>1</v>
      </c>
      <c r="Z7662" s="9">
        <f>1/COUNTIFS(Таблица1[Customer Name],Таблица1[[#This Row],[Customer Name]],Таблица1[Order-Year-Month],Таблица1[[#This Row],[Order-Year-Month]])</f>
        <v>1</v>
      </c>
    </row>
    <row r="7663" spans="1:26" x14ac:dyDescent="0.2">
      <c r="A7663" s="6">
        <v>3553</v>
      </c>
      <c r="B7663" s="7">
        <v>25318</v>
      </c>
      <c r="C7663" s="8">
        <f>DATE(2012,12,31)-408</f>
        <v>40866</v>
      </c>
      <c r="D7663" s="8" t="str">
        <f t="shared" si="145"/>
        <v>2011-11 (ноябрь 2011)</v>
      </c>
      <c r="E7663" s="9" t="s">
        <v>78</v>
      </c>
      <c r="F7663" s="7">
        <v>1</v>
      </c>
      <c r="G7663" s="7">
        <v>3.2</v>
      </c>
      <c r="H7663" s="7">
        <v>0.09</v>
      </c>
      <c r="I7663" s="9" t="s">
        <v>22</v>
      </c>
      <c r="J7663" s="10">
        <v>-3.1625000000000001</v>
      </c>
      <c r="K7663" s="11">
        <v>1.88</v>
      </c>
      <c r="L7663" s="11">
        <v>1.49</v>
      </c>
      <c r="M7663" s="9" t="s">
        <v>2082</v>
      </c>
      <c r="N7663" s="6" t="s">
        <v>2073</v>
      </c>
      <c r="O7663" s="6" t="s">
        <v>704</v>
      </c>
      <c r="P7663" s="9" t="s">
        <v>25</v>
      </c>
      <c r="Q7663" s="9" t="s">
        <v>26</v>
      </c>
      <c r="R7663" s="9" t="s">
        <v>37</v>
      </c>
      <c r="S7663" s="7" t="s">
        <v>172</v>
      </c>
      <c r="T7663" s="9" t="s">
        <v>39</v>
      </c>
      <c r="U7663" s="7">
        <v>0.37</v>
      </c>
      <c r="V7663" s="12">
        <f>C7663+2</f>
        <v>40868</v>
      </c>
      <c r="W7663">
        <f>IF(D7663=' Pivot Tables'!$A$4,1,0)</f>
        <v>0</v>
      </c>
      <c r="X7663">
        <f>IF(AND(LEFT(D7663,4)+1=LEFT(' Pivot Tables'!$A$4,4)+0,RIGHT(LEFT(D7663,7),2)=RIGHT(LEFT(' Pivot Tables'!$A$4,7),2)),1,0)</f>
        <v>0</v>
      </c>
      <c r="Y7663" s="6">
        <f>1/COUNTIF(Таблица1[Order ID],Таблица1[[#This Row],[Order ID]])</f>
        <v>0.5</v>
      </c>
      <c r="Z7663" s="9">
        <f>1/COUNTIFS(Таблица1[Customer Name],Таблица1[[#This Row],[Customer Name]],Таблица1[Order-Year-Month],Таблица1[[#This Row],[Order-Year-Month]])</f>
        <v>1</v>
      </c>
    </row>
    <row r="7664" spans="1:26" x14ac:dyDescent="0.2">
      <c r="A7664" s="6">
        <v>3732</v>
      </c>
      <c r="B7664" s="7">
        <v>26688</v>
      </c>
      <c r="C7664" s="8">
        <f>DATE(2012,12,31)-866</f>
        <v>40408</v>
      </c>
      <c r="D7664" s="8" t="str">
        <f t="shared" si="145"/>
        <v>2010-08 (август 2010)</v>
      </c>
      <c r="E7664" s="9" t="s">
        <v>63</v>
      </c>
      <c r="F7664" s="7">
        <v>21</v>
      </c>
      <c r="G7664" s="7">
        <v>424.13</v>
      </c>
      <c r="H7664" s="7">
        <v>0.06</v>
      </c>
      <c r="I7664" s="9" t="s">
        <v>22</v>
      </c>
      <c r="J7664" s="10">
        <v>57.17</v>
      </c>
      <c r="K7664" s="11">
        <v>20.27</v>
      </c>
      <c r="L7664" s="11">
        <v>3.99</v>
      </c>
      <c r="M7664" s="9" t="s">
        <v>2083</v>
      </c>
      <c r="N7664" s="6" t="s">
        <v>2073</v>
      </c>
      <c r="O7664" s="6" t="s">
        <v>704</v>
      </c>
      <c r="P7664" s="9" t="s">
        <v>60</v>
      </c>
      <c r="Q7664" s="9" t="s">
        <v>26</v>
      </c>
      <c r="R7664" s="9" t="s">
        <v>34</v>
      </c>
      <c r="S7664" s="7" t="s">
        <v>1763</v>
      </c>
      <c r="T7664" s="9" t="s">
        <v>39</v>
      </c>
      <c r="U7664" s="7">
        <v>0.56999999999999995</v>
      </c>
      <c r="V7664" s="12">
        <f>C7664+2</f>
        <v>40410</v>
      </c>
      <c r="W7664">
        <f>IF(D7664=' Pivot Tables'!$A$4,1,0)</f>
        <v>0</v>
      </c>
      <c r="X7664">
        <f>IF(AND(LEFT(D7664,4)+1=LEFT(' Pivot Tables'!$A$4,4)+0,RIGHT(LEFT(D7664,7),2)=RIGHT(LEFT(' Pivot Tables'!$A$4,7),2)),1,0)</f>
        <v>0</v>
      </c>
      <c r="Y7664" s="6">
        <f>1/COUNTIF(Таблица1[Order ID],Таблица1[[#This Row],[Order ID]])</f>
        <v>0.5</v>
      </c>
      <c r="Z7664" s="9">
        <f>1/COUNTIFS(Таблица1[Customer Name],Таблица1[[#This Row],[Customer Name]],Таблица1[Order-Year-Month],Таблица1[[#This Row],[Order-Year-Month]])</f>
        <v>0.5</v>
      </c>
    </row>
    <row r="7665" spans="1:26" x14ac:dyDescent="0.2">
      <c r="A7665" s="6">
        <v>3733</v>
      </c>
      <c r="B7665" s="7">
        <v>26688</v>
      </c>
      <c r="C7665" s="8">
        <f>DATE(2012,12,31)-866</f>
        <v>40408</v>
      </c>
      <c r="D7665" s="8" t="str">
        <f t="shared" si="145"/>
        <v>2010-08 (август 2010)</v>
      </c>
      <c r="E7665" s="9" t="s">
        <v>63</v>
      </c>
      <c r="F7665" s="7">
        <v>7</v>
      </c>
      <c r="G7665" s="7">
        <v>69.400000000000006</v>
      </c>
      <c r="H7665" s="7">
        <v>0.09</v>
      </c>
      <c r="I7665" s="9" t="s">
        <v>22</v>
      </c>
      <c r="J7665" s="10">
        <v>12.02</v>
      </c>
      <c r="K7665" s="11">
        <v>9.93</v>
      </c>
      <c r="L7665" s="11">
        <v>1.0900000000000001</v>
      </c>
      <c r="M7665" s="9" t="s">
        <v>2083</v>
      </c>
      <c r="N7665" s="6" t="s">
        <v>2073</v>
      </c>
      <c r="O7665" s="6" t="s">
        <v>704</v>
      </c>
      <c r="P7665" s="9" t="s">
        <v>60</v>
      </c>
      <c r="Q7665" s="9" t="s">
        <v>26</v>
      </c>
      <c r="R7665" s="9" t="s">
        <v>95</v>
      </c>
      <c r="S7665" s="7" t="s">
        <v>1048</v>
      </c>
      <c r="T7665" s="9" t="s">
        <v>68</v>
      </c>
      <c r="U7665" s="7">
        <v>0.43</v>
      </c>
      <c r="V7665" s="12">
        <f>C7665+1</f>
        <v>40409</v>
      </c>
      <c r="W7665">
        <f>IF(D7665=' Pivot Tables'!$A$4,1,0)</f>
        <v>0</v>
      </c>
      <c r="X7665">
        <f>IF(AND(LEFT(D7665,4)+1=LEFT(' Pivot Tables'!$A$4,4)+0,RIGHT(LEFT(D7665,7),2)=RIGHT(LEFT(' Pivot Tables'!$A$4,7),2)),1,0)</f>
        <v>0</v>
      </c>
      <c r="Y7665" s="6">
        <f>1/COUNTIF(Таблица1[Order ID],Таблица1[[#This Row],[Order ID]])</f>
        <v>0.5</v>
      </c>
      <c r="Z7665" s="9">
        <f>1/COUNTIFS(Таблица1[Customer Name],Таблица1[[#This Row],[Customer Name]],Таблица1[Order-Year-Month],Таблица1[[#This Row],[Order-Year-Month]])</f>
        <v>0.5</v>
      </c>
    </row>
    <row r="7666" spans="1:26" x14ac:dyDescent="0.2">
      <c r="A7666" s="6">
        <v>3762</v>
      </c>
      <c r="B7666" s="7">
        <v>26881</v>
      </c>
      <c r="C7666" s="8">
        <f>DATE(2012,12,31)-1248</f>
        <v>40026</v>
      </c>
      <c r="D7666" s="8" t="str">
        <f t="shared" si="145"/>
        <v>2009-08 (август 2009)</v>
      </c>
      <c r="E7666" s="9" t="s">
        <v>21</v>
      </c>
      <c r="F7666" s="7">
        <v>26</v>
      </c>
      <c r="G7666" s="7">
        <v>10692.97</v>
      </c>
      <c r="H7666" s="7">
        <v>0.05</v>
      </c>
      <c r="I7666" s="9" t="s">
        <v>31</v>
      </c>
      <c r="J7666" s="10">
        <v>-410.39</v>
      </c>
      <c r="K7666" s="11">
        <v>424.21</v>
      </c>
      <c r="L7666" s="11">
        <v>110.2</v>
      </c>
      <c r="M7666" s="9" t="s">
        <v>2082</v>
      </c>
      <c r="N7666" s="6" t="s">
        <v>2073</v>
      </c>
      <c r="O7666" s="6" t="s">
        <v>704</v>
      </c>
      <c r="P7666" s="9" t="s">
        <v>25</v>
      </c>
      <c r="Q7666" s="9" t="s">
        <v>49</v>
      </c>
      <c r="R7666" s="9" t="s">
        <v>83</v>
      </c>
      <c r="S7666" s="7" t="s">
        <v>839</v>
      </c>
      <c r="T7666" s="9" t="s">
        <v>82</v>
      </c>
      <c r="U7666" s="7">
        <v>0.67</v>
      </c>
      <c r="V7666" s="12">
        <f>C7666+4</f>
        <v>40030</v>
      </c>
      <c r="W7666">
        <f>IF(D7666=' Pivot Tables'!$A$4,1,0)</f>
        <v>0</v>
      </c>
      <c r="X7666">
        <f>IF(AND(LEFT(D7666,4)+1=LEFT(' Pivot Tables'!$A$4,4)+0,RIGHT(LEFT(D7666,7),2)=RIGHT(LEFT(' Pivot Tables'!$A$4,7),2)),1,0)</f>
        <v>0</v>
      </c>
      <c r="Y7666" s="6">
        <f>1/COUNTIF(Таблица1[Order ID],Таблица1[[#This Row],[Order ID]])</f>
        <v>1</v>
      </c>
      <c r="Z7666" s="9">
        <f>1/COUNTIFS(Таблица1[Customer Name],Таблица1[[#This Row],[Customer Name]],Таблица1[Order-Year-Month],Таблица1[[#This Row],[Order-Year-Month]])</f>
        <v>1</v>
      </c>
    </row>
    <row r="7667" spans="1:26" x14ac:dyDescent="0.2">
      <c r="A7667" s="6">
        <v>3763</v>
      </c>
      <c r="B7667" s="7">
        <v>26887</v>
      </c>
      <c r="C7667" s="8">
        <f>DATE(2012,12,31)-596</f>
        <v>40678</v>
      </c>
      <c r="D7667" s="8" t="str">
        <f t="shared" si="145"/>
        <v>2011-05 (май 2011)</v>
      </c>
      <c r="E7667" s="9" t="s">
        <v>78</v>
      </c>
      <c r="F7667" s="7">
        <v>38</v>
      </c>
      <c r="G7667" s="7">
        <v>1637.78</v>
      </c>
      <c r="H7667" s="7">
        <v>0.08</v>
      </c>
      <c r="I7667" s="9" t="s">
        <v>56</v>
      </c>
      <c r="J7667" s="10">
        <v>461.65</v>
      </c>
      <c r="K7667" s="11">
        <v>42.98</v>
      </c>
      <c r="L7667" s="11">
        <v>4.62</v>
      </c>
      <c r="M7667" s="9" t="s">
        <v>1185</v>
      </c>
      <c r="N7667" s="6" t="s">
        <v>2073</v>
      </c>
      <c r="O7667" s="6" t="s">
        <v>704</v>
      </c>
      <c r="P7667" s="9" t="s">
        <v>25</v>
      </c>
      <c r="Q7667" s="9" t="s">
        <v>26</v>
      </c>
      <c r="R7667" s="9" t="s">
        <v>34</v>
      </c>
      <c r="S7667" s="7" t="s">
        <v>852</v>
      </c>
      <c r="T7667" s="9" t="s">
        <v>39</v>
      </c>
      <c r="U7667" s="7">
        <v>0.56000000000000005</v>
      </c>
      <c r="V7667" s="12">
        <f>C7667+1</f>
        <v>40679</v>
      </c>
      <c r="W7667">
        <f>IF(D7667=' Pivot Tables'!$A$4,1,0)</f>
        <v>0</v>
      </c>
      <c r="X7667">
        <f>IF(AND(LEFT(D7667,4)+1=LEFT(' Pivot Tables'!$A$4,4)+0,RIGHT(LEFT(D7667,7),2)=RIGHT(LEFT(' Pivot Tables'!$A$4,7),2)),1,0)</f>
        <v>0</v>
      </c>
      <c r="Y7667" s="6">
        <f>1/COUNTIF(Таблица1[Order ID],Таблица1[[#This Row],[Order ID]])</f>
        <v>0.5</v>
      </c>
      <c r="Z7667" s="9">
        <f>1/COUNTIFS(Таблица1[Customer Name],Таблица1[[#This Row],[Customer Name]],Таблица1[Order-Year-Month],Таблица1[[#This Row],[Order-Year-Month]])</f>
        <v>0.25</v>
      </c>
    </row>
    <row r="7668" spans="1:26" x14ac:dyDescent="0.2">
      <c r="A7668" s="6">
        <v>3764</v>
      </c>
      <c r="B7668" s="7">
        <v>26887</v>
      </c>
      <c r="C7668" s="8">
        <f>DATE(2012,12,31)-596</f>
        <v>40678</v>
      </c>
      <c r="D7668" s="8" t="str">
        <f t="shared" si="145"/>
        <v>2011-05 (май 2011)</v>
      </c>
      <c r="E7668" s="9" t="s">
        <v>78</v>
      </c>
      <c r="F7668" s="7">
        <v>23</v>
      </c>
      <c r="G7668" s="7">
        <v>193.84</v>
      </c>
      <c r="H7668" s="7">
        <v>7.0000000000000007E-2</v>
      </c>
      <c r="I7668" s="9" t="s">
        <v>56</v>
      </c>
      <c r="J7668" s="10">
        <v>-117.1045</v>
      </c>
      <c r="K7668" s="11">
        <v>8.0399999999999991</v>
      </c>
      <c r="L7668" s="11">
        <v>8.94</v>
      </c>
      <c r="M7668" s="9" t="s">
        <v>1185</v>
      </c>
      <c r="N7668" s="6" t="s">
        <v>2073</v>
      </c>
      <c r="O7668" s="6" t="s">
        <v>704</v>
      </c>
      <c r="P7668" s="9" t="s">
        <v>25</v>
      </c>
      <c r="Q7668" s="9" t="s">
        <v>26</v>
      </c>
      <c r="R7668" s="9" t="s">
        <v>37</v>
      </c>
      <c r="S7668" s="7" t="s">
        <v>529</v>
      </c>
      <c r="T7668" s="9" t="s">
        <v>39</v>
      </c>
      <c r="U7668" s="7">
        <v>0.4</v>
      </c>
      <c r="V7668" s="12">
        <f>C7668+0</f>
        <v>40678</v>
      </c>
      <c r="W7668">
        <f>IF(D7668=' Pivot Tables'!$A$4,1,0)</f>
        <v>0</v>
      </c>
      <c r="X7668">
        <f>IF(AND(LEFT(D7668,4)+1=LEFT(' Pivot Tables'!$A$4,4)+0,RIGHT(LEFT(D7668,7),2)=RIGHT(LEFT(' Pivot Tables'!$A$4,7),2)),1,0)</f>
        <v>0</v>
      </c>
      <c r="Y7668" s="6">
        <f>1/COUNTIF(Таблица1[Order ID],Таблица1[[#This Row],[Order ID]])</f>
        <v>0.5</v>
      </c>
      <c r="Z7668" s="9">
        <f>1/COUNTIFS(Таблица1[Customer Name],Таблица1[[#This Row],[Customer Name]],Таблица1[Order-Year-Month],Таблица1[[#This Row],[Order-Year-Month]])</f>
        <v>0.25</v>
      </c>
    </row>
    <row r="7669" spans="1:26" x14ac:dyDescent="0.2">
      <c r="A7669" s="6">
        <v>4184</v>
      </c>
      <c r="B7669" s="7">
        <v>29761</v>
      </c>
      <c r="C7669" s="8">
        <f>DATE(2012,12,31)-181</f>
        <v>41093</v>
      </c>
      <c r="D7669" s="8" t="str">
        <f t="shared" si="145"/>
        <v>2012-07 (июль 2012)</v>
      </c>
      <c r="E7669" s="9" t="s">
        <v>63</v>
      </c>
      <c r="F7669" s="7">
        <v>48</v>
      </c>
      <c r="G7669" s="7">
        <v>1463.105</v>
      </c>
      <c r="H7669" s="7">
        <v>0.06</v>
      </c>
      <c r="I7669" s="9" t="s">
        <v>22</v>
      </c>
      <c r="J7669" s="10">
        <v>446.99400000000003</v>
      </c>
      <c r="K7669" s="11">
        <v>35.99</v>
      </c>
      <c r="L7669" s="11">
        <v>1.25</v>
      </c>
      <c r="M7669" s="9" t="s">
        <v>2082</v>
      </c>
      <c r="N7669" s="6" t="s">
        <v>2073</v>
      </c>
      <c r="O7669" s="6" t="s">
        <v>704</v>
      </c>
      <c r="P7669" s="9" t="s">
        <v>41</v>
      </c>
      <c r="Q7669" s="9" t="s">
        <v>42</v>
      </c>
      <c r="R7669" s="9" t="s">
        <v>43</v>
      </c>
      <c r="S7669" s="7" t="s">
        <v>695</v>
      </c>
      <c r="T7669" s="9" t="s">
        <v>52</v>
      </c>
      <c r="U7669" s="7">
        <v>0.56999999999999995</v>
      </c>
      <c r="V7669" s="12">
        <f>C7669+1</f>
        <v>41094</v>
      </c>
      <c r="W7669">
        <f>IF(D7669=' Pivot Tables'!$A$4,1,0)</f>
        <v>0</v>
      </c>
      <c r="X7669">
        <f>IF(AND(LEFT(D7669,4)+1=LEFT(' Pivot Tables'!$A$4,4)+0,RIGHT(LEFT(D7669,7),2)=RIGHT(LEFT(' Pivot Tables'!$A$4,7),2)),1,0)</f>
        <v>0</v>
      </c>
      <c r="Y7669" s="6">
        <f>1/COUNTIF(Таблица1[Order ID],Таблица1[[#This Row],[Order ID]])</f>
        <v>0.33333333333333331</v>
      </c>
      <c r="Z7669" s="9">
        <f>1/COUNTIFS(Таблица1[Customer Name],Таблица1[[#This Row],[Customer Name]],Таблица1[Order-Year-Month],Таблица1[[#This Row],[Order-Year-Month]])</f>
        <v>0.33333333333333331</v>
      </c>
    </row>
    <row r="7670" spans="1:26" x14ac:dyDescent="0.2">
      <c r="A7670" s="6">
        <v>4185</v>
      </c>
      <c r="B7670" s="7">
        <v>29761</v>
      </c>
      <c r="C7670" s="8">
        <f>DATE(2012,12,31)-181</f>
        <v>41093</v>
      </c>
      <c r="D7670" s="8" t="str">
        <f t="shared" si="145"/>
        <v>2012-07 (июль 2012)</v>
      </c>
      <c r="E7670" s="9" t="s">
        <v>63</v>
      </c>
      <c r="F7670" s="7">
        <v>42</v>
      </c>
      <c r="G7670" s="7">
        <v>1085.4000000000001</v>
      </c>
      <c r="H7670" s="7">
        <v>0.02</v>
      </c>
      <c r="I7670" s="9" t="s">
        <v>22</v>
      </c>
      <c r="J7670" s="10">
        <v>262.32</v>
      </c>
      <c r="K7670" s="11">
        <v>25.98</v>
      </c>
      <c r="L7670" s="11">
        <v>5.37</v>
      </c>
      <c r="M7670" s="9" t="s">
        <v>2082</v>
      </c>
      <c r="N7670" s="6" t="s">
        <v>2073</v>
      </c>
      <c r="O7670" s="6" t="s">
        <v>704</v>
      </c>
      <c r="P7670" s="9" t="s">
        <v>41</v>
      </c>
      <c r="Q7670" s="9" t="s">
        <v>26</v>
      </c>
      <c r="R7670" s="9" t="s">
        <v>34</v>
      </c>
      <c r="S7670" s="7" t="s">
        <v>167</v>
      </c>
      <c r="T7670" s="9" t="s">
        <v>48</v>
      </c>
      <c r="U7670" s="7">
        <v>0.5</v>
      </c>
      <c r="V7670" s="12">
        <f>C7670+3</f>
        <v>41096</v>
      </c>
      <c r="W7670">
        <f>IF(D7670=' Pivot Tables'!$A$4,1,0)</f>
        <v>0</v>
      </c>
      <c r="X7670">
        <f>IF(AND(LEFT(D7670,4)+1=LEFT(' Pivot Tables'!$A$4,4)+0,RIGHT(LEFT(D7670,7),2)=RIGHT(LEFT(' Pivot Tables'!$A$4,7),2)),1,0)</f>
        <v>0</v>
      </c>
      <c r="Y7670" s="6">
        <f>1/COUNTIF(Таблица1[Order ID],Таблица1[[#This Row],[Order ID]])</f>
        <v>0.33333333333333331</v>
      </c>
      <c r="Z7670" s="9">
        <f>1/COUNTIFS(Таблица1[Customer Name],Таблица1[[#This Row],[Customer Name]],Таблица1[Order-Year-Month],Таблица1[[#This Row],[Order-Year-Month]])</f>
        <v>0.33333333333333331</v>
      </c>
    </row>
    <row r="7671" spans="1:26" x14ac:dyDescent="0.2">
      <c r="A7671" s="6">
        <v>4186</v>
      </c>
      <c r="B7671" s="7">
        <v>29761</v>
      </c>
      <c r="C7671" s="8">
        <f>DATE(2012,12,31)-181</f>
        <v>41093</v>
      </c>
      <c r="D7671" s="8" t="str">
        <f t="shared" si="145"/>
        <v>2012-07 (июль 2012)</v>
      </c>
      <c r="E7671" s="9" t="s">
        <v>63</v>
      </c>
      <c r="F7671" s="7">
        <v>19</v>
      </c>
      <c r="G7671" s="7">
        <v>123.67</v>
      </c>
      <c r="H7671" s="7">
        <v>0.03</v>
      </c>
      <c r="I7671" s="9" t="s">
        <v>22</v>
      </c>
      <c r="J7671" s="10">
        <v>-34.17</v>
      </c>
      <c r="K7671" s="11">
        <v>6.24</v>
      </c>
      <c r="L7671" s="11">
        <v>5.22</v>
      </c>
      <c r="M7671" s="9" t="s">
        <v>2082</v>
      </c>
      <c r="N7671" s="6" t="s">
        <v>2073</v>
      </c>
      <c r="O7671" s="6" t="s">
        <v>704</v>
      </c>
      <c r="P7671" s="9" t="s">
        <v>41</v>
      </c>
      <c r="Q7671" s="9" t="s">
        <v>49</v>
      </c>
      <c r="R7671" s="9" t="s">
        <v>50</v>
      </c>
      <c r="S7671" s="7" t="s">
        <v>1140</v>
      </c>
      <c r="T7671" s="9" t="s">
        <v>39</v>
      </c>
      <c r="U7671" s="7">
        <v>0.6</v>
      </c>
      <c r="V7671" s="12">
        <f>C7671+2</f>
        <v>41095</v>
      </c>
      <c r="W7671">
        <f>IF(D7671=' Pivot Tables'!$A$4,1,0)</f>
        <v>0</v>
      </c>
      <c r="X7671">
        <f>IF(AND(LEFT(D7671,4)+1=LEFT(' Pivot Tables'!$A$4,4)+0,RIGHT(LEFT(D7671,7),2)=RIGHT(LEFT(' Pivot Tables'!$A$4,7),2)),1,0)</f>
        <v>0</v>
      </c>
      <c r="Y7671" s="6">
        <f>1/COUNTIF(Таблица1[Order ID],Таблица1[[#This Row],[Order ID]])</f>
        <v>0.33333333333333331</v>
      </c>
      <c r="Z7671" s="9">
        <f>1/COUNTIFS(Таблица1[Customer Name],Таблица1[[#This Row],[Customer Name]],Таблица1[Order-Year-Month],Таблица1[[#This Row],[Order-Year-Month]])</f>
        <v>0.33333333333333331</v>
      </c>
    </row>
    <row r="7672" spans="1:26" x14ac:dyDescent="0.2">
      <c r="A7672" s="6">
        <v>4462</v>
      </c>
      <c r="B7672" s="7">
        <v>31810</v>
      </c>
      <c r="C7672" s="8">
        <f>DATE(2012,12,31)-1320</f>
        <v>39954</v>
      </c>
      <c r="D7672" s="8" t="str">
        <f t="shared" si="145"/>
        <v>2009-05 (май 2009)</v>
      </c>
      <c r="E7672" s="9" t="s">
        <v>78</v>
      </c>
      <c r="F7672" s="7">
        <v>46</v>
      </c>
      <c r="G7672" s="7">
        <v>355.55</v>
      </c>
      <c r="H7672" s="7">
        <v>0.03</v>
      </c>
      <c r="I7672" s="9" t="s">
        <v>22</v>
      </c>
      <c r="J7672" s="10">
        <v>-166.74</v>
      </c>
      <c r="K7672" s="11">
        <v>7.28</v>
      </c>
      <c r="L7672" s="11">
        <v>7.98</v>
      </c>
      <c r="M7672" s="9" t="s">
        <v>2084</v>
      </c>
      <c r="N7672" s="6" t="s">
        <v>2073</v>
      </c>
      <c r="O7672" s="6" t="s">
        <v>704</v>
      </c>
      <c r="P7672" s="9" t="s">
        <v>60</v>
      </c>
      <c r="Q7672" s="9" t="s">
        <v>49</v>
      </c>
      <c r="R7672" s="9" t="s">
        <v>50</v>
      </c>
      <c r="S7672" s="7" t="s">
        <v>1362</v>
      </c>
      <c r="T7672" s="9" t="s">
        <v>68</v>
      </c>
      <c r="U7672" s="7">
        <v>0.42</v>
      </c>
      <c r="V7672" s="12">
        <f>C7672+0</f>
        <v>39954</v>
      </c>
      <c r="W7672">
        <f>IF(D7672=' Pivot Tables'!$A$4,1,0)</f>
        <v>0</v>
      </c>
      <c r="X7672">
        <f>IF(AND(LEFT(D7672,4)+1=LEFT(' Pivot Tables'!$A$4,4)+0,RIGHT(LEFT(D7672,7),2)=RIGHT(LEFT(' Pivot Tables'!$A$4,7),2)),1,0)</f>
        <v>0</v>
      </c>
      <c r="Y7672" s="6">
        <f>1/COUNTIF(Таблица1[Order ID],Таблица1[[#This Row],[Order ID]])</f>
        <v>1</v>
      </c>
      <c r="Z7672" s="9">
        <f>1/COUNTIFS(Таблица1[Customer Name],Таблица1[[#This Row],[Customer Name]],Таблица1[Order-Year-Month],Таблица1[[#This Row],[Order-Year-Month]])</f>
        <v>1</v>
      </c>
    </row>
    <row r="7673" spans="1:26" x14ac:dyDescent="0.2">
      <c r="A7673" s="6">
        <v>5131</v>
      </c>
      <c r="B7673" s="7">
        <v>36548</v>
      </c>
      <c r="C7673" s="8">
        <f>DATE(2012,12,31)-793</f>
        <v>40481</v>
      </c>
      <c r="D7673" s="8" t="str">
        <f t="shared" si="145"/>
        <v>2010-10 (октябрь 2010)</v>
      </c>
      <c r="E7673" s="9" t="s">
        <v>21</v>
      </c>
      <c r="F7673" s="7">
        <v>8</v>
      </c>
      <c r="G7673" s="7">
        <v>44.99</v>
      </c>
      <c r="H7673" s="7">
        <v>0.06</v>
      </c>
      <c r="I7673" s="9" t="s">
        <v>22</v>
      </c>
      <c r="J7673" s="10">
        <v>-40.43</v>
      </c>
      <c r="K7673" s="11">
        <v>4.9800000000000004</v>
      </c>
      <c r="L7673" s="11">
        <v>7.54</v>
      </c>
      <c r="M7673" s="9" t="s">
        <v>1675</v>
      </c>
      <c r="N7673" s="6" t="s">
        <v>2073</v>
      </c>
      <c r="O7673" s="6" t="s">
        <v>704</v>
      </c>
      <c r="P7673" s="9" t="s">
        <v>41</v>
      </c>
      <c r="Q7673" s="9" t="s">
        <v>26</v>
      </c>
      <c r="R7673" s="9" t="s">
        <v>61</v>
      </c>
      <c r="S7673" s="7" t="s">
        <v>1554</v>
      </c>
      <c r="T7673" s="9" t="s">
        <v>39</v>
      </c>
      <c r="U7673" s="7">
        <v>0.38</v>
      </c>
      <c r="V7673" s="12">
        <f>C7673+2</f>
        <v>40483</v>
      </c>
      <c r="W7673">
        <f>IF(D7673=' Pivot Tables'!$A$4,1,0)</f>
        <v>0</v>
      </c>
      <c r="X7673">
        <f>IF(AND(LEFT(D7673,4)+1=LEFT(' Pivot Tables'!$A$4,4)+0,RIGHT(LEFT(D7673,7),2)=RIGHT(LEFT(' Pivot Tables'!$A$4,7),2)),1,0)</f>
        <v>0</v>
      </c>
      <c r="Y7673" s="6">
        <f>1/COUNTIF(Таблица1[Order ID],Таблица1[[#This Row],[Order ID]])</f>
        <v>1</v>
      </c>
      <c r="Z7673" s="9">
        <f>1/COUNTIFS(Таблица1[Customer Name],Таблица1[[#This Row],[Customer Name]],Таблица1[Order-Year-Month],Таблица1[[#This Row],[Order-Year-Month]])</f>
        <v>1</v>
      </c>
    </row>
    <row r="7674" spans="1:26" x14ac:dyDescent="0.2">
      <c r="A7674" s="6">
        <v>5581</v>
      </c>
      <c r="B7674" s="7">
        <v>39585</v>
      </c>
      <c r="C7674" s="8">
        <f>DATE(2012,12,31)-368</f>
        <v>40906</v>
      </c>
      <c r="D7674" s="8" t="str">
        <f t="shared" si="145"/>
        <v>2011-12 (декабрь 2011)</v>
      </c>
      <c r="E7674" s="9" t="s">
        <v>45</v>
      </c>
      <c r="F7674" s="7">
        <v>32</v>
      </c>
      <c r="G7674" s="7">
        <v>166.17</v>
      </c>
      <c r="H7674" s="7">
        <v>0.01</v>
      </c>
      <c r="I7674" s="9" t="s">
        <v>22</v>
      </c>
      <c r="J7674" s="10">
        <v>-22.74</v>
      </c>
      <c r="K7674" s="11">
        <v>5.08</v>
      </c>
      <c r="L7674" s="11">
        <v>3.63</v>
      </c>
      <c r="M7674" s="9" t="s">
        <v>1675</v>
      </c>
      <c r="N7674" s="6" t="s">
        <v>2073</v>
      </c>
      <c r="O7674" s="6" t="s">
        <v>704</v>
      </c>
      <c r="P7674" s="9" t="s">
        <v>41</v>
      </c>
      <c r="Q7674" s="9" t="s">
        <v>49</v>
      </c>
      <c r="R7674" s="9" t="s">
        <v>50</v>
      </c>
      <c r="S7674" s="7" t="s">
        <v>939</v>
      </c>
      <c r="T7674" s="9" t="s">
        <v>68</v>
      </c>
      <c r="U7674" s="7">
        <v>0.51</v>
      </c>
      <c r="V7674" s="12">
        <f>C7674+1</f>
        <v>40907</v>
      </c>
      <c r="W7674">
        <f>IF(D7674=' Pivot Tables'!$A$4,1,0)</f>
        <v>0</v>
      </c>
      <c r="X7674">
        <f>IF(AND(LEFT(D7674,4)+1=LEFT(' Pivot Tables'!$A$4,4)+0,RIGHT(LEFT(D7674,7),2)=RIGHT(LEFT(' Pivot Tables'!$A$4,7),2)),1,0)</f>
        <v>0</v>
      </c>
      <c r="Y7674" s="6">
        <f>1/COUNTIF(Таблица1[Order ID],Таблица1[[#This Row],[Order ID]])</f>
        <v>1</v>
      </c>
      <c r="Z7674" s="9">
        <f>1/COUNTIFS(Таблица1[Customer Name],Таблица1[[#This Row],[Customer Name]],Таблица1[Order-Year-Month],Таблица1[[#This Row],[Order-Year-Month]])</f>
        <v>1</v>
      </c>
    </row>
    <row r="7675" spans="1:26" x14ac:dyDescent="0.2">
      <c r="A7675" s="6">
        <v>5890</v>
      </c>
      <c r="B7675" s="7">
        <v>41793</v>
      </c>
      <c r="C7675" s="8">
        <f>DATE(2012,12,31)-1326</f>
        <v>39948</v>
      </c>
      <c r="D7675" s="8" t="str">
        <f t="shared" si="145"/>
        <v>2009-05 (май 2009)</v>
      </c>
      <c r="E7675" s="9" t="s">
        <v>30</v>
      </c>
      <c r="F7675" s="7">
        <v>48</v>
      </c>
      <c r="G7675" s="7">
        <v>1286.8699999999999</v>
      </c>
      <c r="H7675" s="7">
        <v>0.05</v>
      </c>
      <c r="I7675" s="9" t="s">
        <v>22</v>
      </c>
      <c r="J7675" s="10">
        <v>384.38</v>
      </c>
      <c r="K7675" s="11">
        <v>26.48</v>
      </c>
      <c r="L7675" s="11">
        <v>6.93</v>
      </c>
      <c r="M7675" s="9" t="s">
        <v>1185</v>
      </c>
      <c r="N7675" s="6" t="s">
        <v>2073</v>
      </c>
      <c r="O7675" s="6" t="s">
        <v>704</v>
      </c>
      <c r="P7675" s="9" t="s">
        <v>25</v>
      </c>
      <c r="Q7675" s="9" t="s">
        <v>49</v>
      </c>
      <c r="R7675" s="9" t="s">
        <v>50</v>
      </c>
      <c r="S7675" s="7" t="s">
        <v>649</v>
      </c>
      <c r="T7675" s="9" t="s">
        <v>39</v>
      </c>
      <c r="U7675" s="7">
        <v>0.49</v>
      </c>
      <c r="V7675" s="12">
        <f>C7675+1</f>
        <v>39949</v>
      </c>
      <c r="W7675">
        <f>IF(D7675=' Pivot Tables'!$A$4,1,0)</f>
        <v>0</v>
      </c>
      <c r="X7675">
        <f>IF(AND(LEFT(D7675,4)+1=LEFT(' Pivot Tables'!$A$4,4)+0,RIGHT(LEFT(D7675,7),2)=RIGHT(LEFT(' Pivot Tables'!$A$4,7),2)),1,0)</f>
        <v>0</v>
      </c>
      <c r="Y7675" s="6">
        <f>1/COUNTIF(Таблица1[Order ID],Таблица1[[#This Row],[Order ID]])</f>
        <v>1</v>
      </c>
      <c r="Z7675" s="9">
        <f>1/COUNTIFS(Таблица1[Customer Name],Таблица1[[#This Row],[Customer Name]],Таблица1[Order-Year-Month],Таблица1[[#This Row],[Order-Year-Month]])</f>
        <v>0.33333333333333331</v>
      </c>
    </row>
    <row r="7676" spans="1:26" x14ac:dyDescent="0.2">
      <c r="A7676" s="6">
        <v>6062</v>
      </c>
      <c r="B7676" s="7">
        <v>42949</v>
      </c>
      <c r="C7676" s="8">
        <f>DATE(2012,12,31)-1320</f>
        <v>39954</v>
      </c>
      <c r="D7676" s="8" t="str">
        <f t="shared" si="145"/>
        <v>2009-05 (май 2009)</v>
      </c>
      <c r="E7676" s="9" t="s">
        <v>45</v>
      </c>
      <c r="F7676" s="7">
        <v>40</v>
      </c>
      <c r="G7676" s="7">
        <v>202.11</v>
      </c>
      <c r="H7676" s="7">
        <v>0.08</v>
      </c>
      <c r="I7676" s="9" t="s">
        <v>22</v>
      </c>
      <c r="J7676" s="10">
        <v>-17.489999999999998</v>
      </c>
      <c r="K7676" s="11">
        <v>5</v>
      </c>
      <c r="L7676" s="11">
        <v>3.39</v>
      </c>
      <c r="M7676" s="9" t="s">
        <v>1185</v>
      </c>
      <c r="N7676" s="6" t="s">
        <v>2073</v>
      </c>
      <c r="O7676" s="6" t="s">
        <v>704</v>
      </c>
      <c r="P7676" s="9" t="s">
        <v>25</v>
      </c>
      <c r="Q7676" s="9" t="s">
        <v>26</v>
      </c>
      <c r="R7676" s="9" t="s">
        <v>66</v>
      </c>
      <c r="S7676" s="7" t="s">
        <v>2085</v>
      </c>
      <c r="T7676" s="9" t="s">
        <v>68</v>
      </c>
      <c r="U7676" s="7">
        <v>0.37</v>
      </c>
      <c r="V7676" s="12">
        <f>C7676+1</f>
        <v>39955</v>
      </c>
      <c r="W7676">
        <f>IF(D7676=' Pivot Tables'!$A$4,1,0)</f>
        <v>0</v>
      </c>
      <c r="X7676">
        <f>IF(AND(LEFT(D7676,4)+1=LEFT(' Pivot Tables'!$A$4,4)+0,RIGHT(LEFT(D7676,7),2)=RIGHT(LEFT(' Pivot Tables'!$A$4,7),2)),1,0)</f>
        <v>0</v>
      </c>
      <c r="Y7676" s="6">
        <f>1/COUNTIF(Таблица1[Order ID],Таблица1[[#This Row],[Order ID]])</f>
        <v>0.5</v>
      </c>
      <c r="Z7676" s="9">
        <f>1/COUNTIFS(Таблица1[Customer Name],Таблица1[[#This Row],[Customer Name]],Таблица1[Order-Year-Month],Таблица1[[#This Row],[Order-Year-Month]])</f>
        <v>0.33333333333333331</v>
      </c>
    </row>
    <row r="7677" spans="1:26" x14ac:dyDescent="0.2">
      <c r="A7677" s="6">
        <v>6063</v>
      </c>
      <c r="B7677" s="7">
        <v>42949</v>
      </c>
      <c r="C7677" s="8">
        <f>DATE(2012,12,31)-1320</f>
        <v>39954</v>
      </c>
      <c r="D7677" s="8" t="str">
        <f t="shared" si="145"/>
        <v>2009-05 (май 2009)</v>
      </c>
      <c r="E7677" s="9" t="s">
        <v>45</v>
      </c>
      <c r="F7677" s="7">
        <v>49</v>
      </c>
      <c r="G7677" s="7">
        <v>630.99</v>
      </c>
      <c r="H7677" s="7">
        <v>7.0000000000000007E-2</v>
      </c>
      <c r="I7677" s="9" t="s">
        <v>22</v>
      </c>
      <c r="J7677" s="10">
        <v>-114.63990000000001</v>
      </c>
      <c r="K7677" s="11">
        <v>12.99</v>
      </c>
      <c r="L7677" s="11">
        <v>9.44</v>
      </c>
      <c r="M7677" s="9" t="s">
        <v>1185</v>
      </c>
      <c r="N7677" s="6" t="s">
        <v>2073</v>
      </c>
      <c r="O7677" s="6" t="s">
        <v>704</v>
      </c>
      <c r="P7677" s="9" t="s">
        <v>25</v>
      </c>
      <c r="Q7677" s="9" t="s">
        <v>42</v>
      </c>
      <c r="R7677" s="9" t="s">
        <v>210</v>
      </c>
      <c r="S7677" s="7" t="s">
        <v>1924</v>
      </c>
      <c r="T7677" s="9" t="s">
        <v>48</v>
      </c>
      <c r="U7677" s="7">
        <v>0.39</v>
      </c>
      <c r="V7677" s="12">
        <f>C7677+2</f>
        <v>39956</v>
      </c>
      <c r="W7677">
        <f>IF(D7677=' Pivot Tables'!$A$4,1,0)</f>
        <v>0</v>
      </c>
      <c r="X7677">
        <f>IF(AND(LEFT(D7677,4)+1=LEFT(' Pivot Tables'!$A$4,4)+0,RIGHT(LEFT(D7677,7),2)=RIGHT(LEFT(' Pivot Tables'!$A$4,7),2)),1,0)</f>
        <v>0</v>
      </c>
      <c r="Y7677" s="6">
        <f>1/COUNTIF(Таблица1[Order ID],Таблица1[[#This Row],[Order ID]])</f>
        <v>0.5</v>
      </c>
      <c r="Z7677" s="9">
        <f>1/COUNTIFS(Таблица1[Customer Name],Таблица1[[#This Row],[Customer Name]],Таблица1[Order-Year-Month],Таблица1[[#This Row],[Order-Year-Month]])</f>
        <v>0.33333333333333331</v>
      </c>
    </row>
    <row r="7678" spans="1:26" x14ac:dyDescent="0.2">
      <c r="A7678" s="6">
        <v>6075</v>
      </c>
      <c r="B7678" s="7">
        <v>43044</v>
      </c>
      <c r="C7678" s="8">
        <f>DATE(2012,12,31)-1171</f>
        <v>40103</v>
      </c>
      <c r="D7678" s="8" t="str">
        <f t="shared" si="145"/>
        <v>2009-10 (октябрь 2009)</v>
      </c>
      <c r="E7678" s="9" t="s">
        <v>63</v>
      </c>
      <c r="F7678" s="7">
        <v>23</v>
      </c>
      <c r="G7678" s="7">
        <v>103.5</v>
      </c>
      <c r="H7678" s="7">
        <v>0.06</v>
      </c>
      <c r="I7678" s="9" t="s">
        <v>22</v>
      </c>
      <c r="J7678" s="10">
        <v>-73.070999999999998</v>
      </c>
      <c r="K7678" s="11">
        <v>4.24</v>
      </c>
      <c r="L7678" s="11">
        <v>5.41</v>
      </c>
      <c r="M7678" s="9" t="s">
        <v>2083</v>
      </c>
      <c r="N7678" s="6" t="s">
        <v>2073</v>
      </c>
      <c r="O7678" s="6" t="s">
        <v>704</v>
      </c>
      <c r="P7678" s="9" t="s">
        <v>60</v>
      </c>
      <c r="Q7678" s="9" t="s">
        <v>26</v>
      </c>
      <c r="R7678" s="9" t="s">
        <v>37</v>
      </c>
      <c r="S7678" s="7" t="s">
        <v>873</v>
      </c>
      <c r="T7678" s="9" t="s">
        <v>39</v>
      </c>
      <c r="U7678" s="7">
        <v>0.35</v>
      </c>
      <c r="V7678" s="12">
        <f>C7678+2</f>
        <v>40105</v>
      </c>
      <c r="W7678">
        <f>IF(D7678=' Pivot Tables'!$A$4,1,0)</f>
        <v>0</v>
      </c>
      <c r="X7678">
        <f>IF(AND(LEFT(D7678,4)+1=LEFT(' Pivot Tables'!$A$4,4)+0,RIGHT(LEFT(D7678,7),2)=RIGHT(LEFT(' Pivot Tables'!$A$4,7),2)),1,0)</f>
        <v>0</v>
      </c>
      <c r="Y7678" s="6">
        <f>1/COUNTIF(Таблица1[Order ID],Таблица1[[#This Row],[Order ID]])</f>
        <v>0.5</v>
      </c>
      <c r="Z7678" s="9">
        <f>1/COUNTIFS(Таблица1[Customer Name],Таблица1[[#This Row],[Customer Name]],Таблица1[Order-Year-Month],Таблица1[[#This Row],[Order-Year-Month]])</f>
        <v>0.5</v>
      </c>
    </row>
    <row r="7679" spans="1:26" x14ac:dyDescent="0.2">
      <c r="A7679" s="6">
        <v>6076</v>
      </c>
      <c r="B7679" s="7">
        <v>43044</v>
      </c>
      <c r="C7679" s="8">
        <f>DATE(2012,12,31)-1171</f>
        <v>40103</v>
      </c>
      <c r="D7679" s="8" t="str">
        <f t="shared" si="145"/>
        <v>2009-10 (октябрь 2009)</v>
      </c>
      <c r="E7679" s="9" t="s">
        <v>63</v>
      </c>
      <c r="F7679" s="7">
        <v>3</v>
      </c>
      <c r="G7679" s="7">
        <v>19707.2</v>
      </c>
      <c r="H7679" s="7">
        <v>0.04</v>
      </c>
      <c r="I7679" s="9" t="s">
        <v>22</v>
      </c>
      <c r="J7679" s="10">
        <v>-12557.997599999999</v>
      </c>
      <c r="K7679" s="11">
        <v>6783.02</v>
      </c>
      <c r="L7679" s="11">
        <v>24.49</v>
      </c>
      <c r="M7679" s="9" t="s">
        <v>2083</v>
      </c>
      <c r="N7679" s="6" t="s">
        <v>2073</v>
      </c>
      <c r="O7679" s="6" t="s">
        <v>704</v>
      </c>
      <c r="P7679" s="9" t="s">
        <v>60</v>
      </c>
      <c r="Q7679" s="9" t="s">
        <v>42</v>
      </c>
      <c r="R7679" s="9" t="s">
        <v>210</v>
      </c>
      <c r="S7679" s="7" t="s">
        <v>1668</v>
      </c>
      <c r="T7679" s="9" t="s">
        <v>29</v>
      </c>
      <c r="U7679" s="7">
        <v>0.39</v>
      </c>
      <c r="V7679" s="12">
        <f>C7679+2</f>
        <v>40105</v>
      </c>
      <c r="W7679">
        <f>IF(D7679=' Pivot Tables'!$A$4,1,0)</f>
        <v>0</v>
      </c>
      <c r="X7679">
        <f>IF(AND(LEFT(D7679,4)+1=LEFT(' Pivot Tables'!$A$4,4)+0,RIGHT(LEFT(D7679,7),2)=RIGHT(LEFT(' Pivot Tables'!$A$4,7),2)),1,0)</f>
        <v>0</v>
      </c>
      <c r="Y7679" s="6">
        <f>1/COUNTIF(Таблица1[Order ID],Таблица1[[#This Row],[Order ID]])</f>
        <v>0.5</v>
      </c>
      <c r="Z7679" s="9">
        <f>1/COUNTIFS(Таблица1[Customer Name],Таблица1[[#This Row],[Customer Name]],Таблица1[Order-Year-Month],Таблица1[[#This Row],[Order-Year-Month]])</f>
        <v>0.5</v>
      </c>
    </row>
    <row r="7680" spans="1:26" x14ac:dyDescent="0.2">
      <c r="A7680" s="6">
        <v>6466</v>
      </c>
      <c r="B7680" s="7">
        <v>46048</v>
      </c>
      <c r="C7680" s="8">
        <f>DATE(2012,12,31)-20</f>
        <v>41254</v>
      </c>
      <c r="D7680" s="8" t="str">
        <f t="shared" si="145"/>
        <v>2012-12 (декабрь 2012)</v>
      </c>
      <c r="E7680" s="9" t="s">
        <v>63</v>
      </c>
      <c r="F7680" s="7">
        <v>10</v>
      </c>
      <c r="G7680" s="7">
        <v>135.77000000000001</v>
      </c>
      <c r="H7680" s="7">
        <v>0.05</v>
      </c>
      <c r="I7680" s="9" t="s">
        <v>56</v>
      </c>
      <c r="J7680" s="10">
        <v>0.52999999999999758</v>
      </c>
      <c r="K7680" s="11">
        <v>12.98</v>
      </c>
      <c r="L7680" s="11">
        <v>3.14</v>
      </c>
      <c r="M7680" s="9" t="s">
        <v>2083</v>
      </c>
      <c r="N7680" s="6" t="s">
        <v>2073</v>
      </c>
      <c r="O7680" s="6" t="s">
        <v>704</v>
      </c>
      <c r="P7680" s="9" t="s">
        <v>60</v>
      </c>
      <c r="Q7680" s="9" t="s">
        <v>26</v>
      </c>
      <c r="R7680" s="9" t="s">
        <v>150</v>
      </c>
      <c r="S7680" s="7" t="s">
        <v>356</v>
      </c>
      <c r="T7680" s="9" t="s">
        <v>52</v>
      </c>
      <c r="U7680" s="7">
        <v>0.6</v>
      </c>
      <c r="V7680" s="12">
        <f>C7680+2</f>
        <v>41256</v>
      </c>
      <c r="W7680">
        <f>IF(D7680=' Pivot Tables'!$A$4,1,0)</f>
        <v>0</v>
      </c>
      <c r="X7680">
        <f>IF(AND(LEFT(D7680,4)+1=LEFT(' Pivot Tables'!$A$4,4)+0,RIGHT(LEFT(D7680,7),2)=RIGHT(LEFT(' Pivot Tables'!$A$4,7),2)),1,0)</f>
        <v>0</v>
      </c>
      <c r="Y7680" s="6">
        <f>1/COUNTIF(Таблица1[Order ID],Таблица1[[#This Row],[Order ID]])</f>
        <v>0.5</v>
      </c>
      <c r="Z7680" s="9">
        <f>1/COUNTIFS(Таблица1[Customer Name],Таблица1[[#This Row],[Customer Name]],Таблица1[Order-Year-Month],Таблица1[[#This Row],[Order-Year-Month]])</f>
        <v>0.5</v>
      </c>
    </row>
    <row r="7681" spans="1:26" x14ac:dyDescent="0.2">
      <c r="A7681" s="6">
        <v>6467</v>
      </c>
      <c r="B7681" s="7">
        <v>46048</v>
      </c>
      <c r="C7681" s="8">
        <f>DATE(2012,12,31)-20</f>
        <v>41254</v>
      </c>
      <c r="D7681" s="8" t="str">
        <f t="shared" si="145"/>
        <v>2012-12 (декабрь 2012)</v>
      </c>
      <c r="E7681" s="9" t="s">
        <v>63</v>
      </c>
      <c r="F7681" s="7">
        <v>35</v>
      </c>
      <c r="G7681" s="7">
        <v>447.25</v>
      </c>
      <c r="H7681" s="7">
        <v>0.08</v>
      </c>
      <c r="I7681" s="9" t="s">
        <v>22</v>
      </c>
      <c r="J7681" s="10">
        <v>-15.92</v>
      </c>
      <c r="K7681" s="11">
        <v>13.48</v>
      </c>
      <c r="L7681" s="11">
        <v>4.51</v>
      </c>
      <c r="M7681" s="9" t="s">
        <v>2083</v>
      </c>
      <c r="N7681" s="6" t="s">
        <v>2073</v>
      </c>
      <c r="O7681" s="6" t="s">
        <v>704</v>
      </c>
      <c r="P7681" s="9" t="s">
        <v>60</v>
      </c>
      <c r="Q7681" s="9" t="s">
        <v>26</v>
      </c>
      <c r="R7681" s="9" t="s">
        <v>27</v>
      </c>
      <c r="S7681" s="7" t="s">
        <v>101</v>
      </c>
      <c r="T7681" s="9" t="s">
        <v>39</v>
      </c>
      <c r="U7681" s="7">
        <v>0.59</v>
      </c>
      <c r="V7681" s="12">
        <f>C7681+2</f>
        <v>41256</v>
      </c>
      <c r="W7681">
        <f>IF(D7681=' Pivot Tables'!$A$4,1,0)</f>
        <v>0</v>
      </c>
      <c r="X7681">
        <f>IF(AND(LEFT(D7681,4)+1=LEFT(' Pivot Tables'!$A$4,4)+0,RIGHT(LEFT(D7681,7),2)=RIGHT(LEFT(' Pivot Tables'!$A$4,7),2)),1,0)</f>
        <v>0</v>
      </c>
      <c r="Y7681" s="6">
        <f>1/COUNTIF(Таблица1[Order ID],Таблица1[[#This Row],[Order ID]])</f>
        <v>0.5</v>
      </c>
      <c r="Z7681" s="9">
        <f>1/COUNTIFS(Таблица1[Customer Name],Таблица1[[#This Row],[Customer Name]],Таблица1[Order-Year-Month],Таблица1[[#This Row],[Order-Year-Month]])</f>
        <v>0.5</v>
      </c>
    </row>
    <row r="7682" spans="1:26" x14ac:dyDescent="0.2">
      <c r="A7682" s="6">
        <v>6788</v>
      </c>
      <c r="B7682" s="7">
        <v>48354</v>
      </c>
      <c r="C7682" s="8">
        <f>DATE(2012,12,31)-621</f>
        <v>40653</v>
      </c>
      <c r="D7682" s="8" t="str">
        <f t="shared" si="145"/>
        <v>2011-04 (апрель 2011)</v>
      </c>
      <c r="E7682" s="9" t="s">
        <v>63</v>
      </c>
      <c r="F7682" s="7">
        <v>25</v>
      </c>
      <c r="G7682" s="7">
        <v>1387.29</v>
      </c>
      <c r="H7682" s="7">
        <v>0.03</v>
      </c>
      <c r="I7682" s="9" t="s">
        <v>56</v>
      </c>
      <c r="J7682" s="10">
        <v>405.64</v>
      </c>
      <c r="K7682" s="11">
        <v>55.48</v>
      </c>
      <c r="L7682" s="11">
        <v>14.3</v>
      </c>
      <c r="M7682" s="9" t="s">
        <v>2084</v>
      </c>
      <c r="N7682" s="6" t="s">
        <v>2073</v>
      </c>
      <c r="O7682" s="6" t="s">
        <v>704</v>
      </c>
      <c r="P7682" s="9" t="s">
        <v>60</v>
      </c>
      <c r="Q7682" s="9" t="s">
        <v>26</v>
      </c>
      <c r="R7682" s="9" t="s">
        <v>61</v>
      </c>
      <c r="S7682" s="7" t="s">
        <v>507</v>
      </c>
      <c r="T7682" s="9" t="s">
        <v>39</v>
      </c>
      <c r="U7682" s="7">
        <v>0.37</v>
      </c>
      <c r="V7682" s="12">
        <f>C7682+1</f>
        <v>40654</v>
      </c>
      <c r="W7682">
        <f>IF(D7682=' Pivot Tables'!$A$4,1,0)</f>
        <v>0</v>
      </c>
      <c r="X7682">
        <f>IF(AND(LEFT(D7682,4)+1=LEFT(' Pivot Tables'!$A$4,4)+0,RIGHT(LEFT(D7682,7),2)=RIGHT(LEFT(' Pivot Tables'!$A$4,7),2)),1,0)</f>
        <v>0</v>
      </c>
      <c r="Y7682" s="6">
        <f>1/COUNTIF(Таблица1[Order ID],Таблица1[[#This Row],[Order ID]])</f>
        <v>1</v>
      </c>
      <c r="Z7682" s="9">
        <f>1/COUNTIFS(Таблица1[Customer Name],Таблица1[[#This Row],[Customer Name]],Таблица1[Order-Year-Month],Таблица1[[#This Row],[Order-Year-Month]])</f>
        <v>1</v>
      </c>
    </row>
    <row r="7683" spans="1:26" x14ac:dyDescent="0.2">
      <c r="A7683" s="6">
        <v>6793</v>
      </c>
      <c r="B7683" s="7">
        <v>48416</v>
      </c>
      <c r="C7683" s="8">
        <f>DATE(2012,12,31)-1274</f>
        <v>40000</v>
      </c>
      <c r="D7683" s="8" t="str">
        <f t="shared" ref="D7683:D7746" si="146">TEXT(C7683,"гггг-ММ (ММММ гггг)")</f>
        <v>2009-07 (июль 2009)</v>
      </c>
      <c r="E7683" s="9" t="s">
        <v>45</v>
      </c>
      <c r="F7683" s="7">
        <v>23</v>
      </c>
      <c r="G7683" s="7">
        <v>167.66</v>
      </c>
      <c r="H7683" s="7">
        <v>0.01</v>
      </c>
      <c r="I7683" s="9" t="s">
        <v>22</v>
      </c>
      <c r="J7683" s="10">
        <v>-15.48</v>
      </c>
      <c r="K7683" s="11">
        <v>6.68</v>
      </c>
      <c r="L7683" s="11">
        <v>4.91</v>
      </c>
      <c r="M7683" s="9" t="s">
        <v>2082</v>
      </c>
      <c r="N7683" s="6" t="s">
        <v>2073</v>
      </c>
      <c r="O7683" s="6" t="s">
        <v>704</v>
      </c>
      <c r="P7683" s="9" t="s">
        <v>25</v>
      </c>
      <c r="Q7683" s="9" t="s">
        <v>26</v>
      </c>
      <c r="R7683" s="9" t="s">
        <v>61</v>
      </c>
      <c r="S7683" s="7" t="s">
        <v>941</v>
      </c>
      <c r="T7683" s="9" t="s">
        <v>39</v>
      </c>
      <c r="U7683" s="7">
        <v>0.37</v>
      </c>
      <c r="V7683" s="12">
        <f>C7683+2</f>
        <v>40002</v>
      </c>
      <c r="W7683">
        <f>IF(D7683=' Pivot Tables'!$A$4,1,0)</f>
        <v>0</v>
      </c>
      <c r="X7683">
        <f>IF(AND(LEFT(D7683,4)+1=LEFT(' Pivot Tables'!$A$4,4)+0,RIGHT(LEFT(D7683,7),2)=RIGHT(LEFT(' Pivot Tables'!$A$4,7),2)),1,0)</f>
        <v>0</v>
      </c>
      <c r="Y7683" s="6">
        <f>1/COUNTIF(Таблица1[Order ID],Таблица1[[#This Row],[Order ID]])</f>
        <v>1</v>
      </c>
      <c r="Z7683" s="9">
        <f>1/COUNTIFS(Таблица1[Customer Name],Таблица1[[#This Row],[Customer Name]],Таблица1[Order-Year-Month],Таблица1[[#This Row],[Order-Year-Month]])</f>
        <v>1</v>
      </c>
    </row>
    <row r="7684" spans="1:26" x14ac:dyDescent="0.2">
      <c r="A7684" s="6">
        <v>6968</v>
      </c>
      <c r="B7684" s="7">
        <v>49798</v>
      </c>
      <c r="C7684" s="8">
        <f>DATE(2012,12,31)-23</f>
        <v>41251</v>
      </c>
      <c r="D7684" s="8" t="str">
        <f t="shared" si="146"/>
        <v>2012-12 (декабрь 2012)</v>
      </c>
      <c r="E7684" s="9" t="s">
        <v>78</v>
      </c>
      <c r="F7684" s="7">
        <v>5</v>
      </c>
      <c r="G7684" s="7">
        <v>1424.95</v>
      </c>
      <c r="H7684" s="7">
        <v>0.09</v>
      </c>
      <c r="I7684" s="9" t="s">
        <v>31</v>
      </c>
      <c r="J7684" s="10">
        <v>-517.83000000000004</v>
      </c>
      <c r="K7684" s="11">
        <v>280.98</v>
      </c>
      <c r="L7684" s="11">
        <v>57</v>
      </c>
      <c r="M7684" s="9" t="s">
        <v>2084</v>
      </c>
      <c r="N7684" s="6" t="s">
        <v>2073</v>
      </c>
      <c r="O7684" s="6" t="s">
        <v>704</v>
      </c>
      <c r="P7684" s="9" t="s">
        <v>60</v>
      </c>
      <c r="Q7684" s="9" t="s">
        <v>49</v>
      </c>
      <c r="R7684" s="9" t="s">
        <v>112</v>
      </c>
      <c r="S7684" s="7" t="s">
        <v>697</v>
      </c>
      <c r="T7684" s="9" t="s">
        <v>36</v>
      </c>
      <c r="U7684" s="7">
        <v>0.78</v>
      </c>
      <c r="V7684" s="12">
        <f>C7684+1</f>
        <v>41252</v>
      </c>
      <c r="W7684">
        <f>IF(D7684=' Pivot Tables'!$A$4,1,0)</f>
        <v>0</v>
      </c>
      <c r="X7684">
        <f>IF(AND(LEFT(D7684,4)+1=LEFT(' Pivot Tables'!$A$4,4)+0,RIGHT(LEFT(D7684,7),2)=RIGHT(LEFT(' Pivot Tables'!$A$4,7),2)),1,0)</f>
        <v>0</v>
      </c>
      <c r="Y7684" s="6">
        <f>1/COUNTIF(Таблица1[Order ID],Таблица1[[#This Row],[Order ID]])</f>
        <v>0.5</v>
      </c>
      <c r="Z7684" s="9">
        <f>1/COUNTIFS(Таблица1[Customer Name],Таблица1[[#This Row],[Customer Name]],Таблица1[Order-Year-Month],Таблица1[[#This Row],[Order-Year-Month]])</f>
        <v>0.5</v>
      </c>
    </row>
    <row r="7685" spans="1:26" x14ac:dyDescent="0.2">
      <c r="A7685" s="6">
        <v>6969</v>
      </c>
      <c r="B7685" s="7">
        <v>49798</v>
      </c>
      <c r="C7685" s="8">
        <f>DATE(2012,12,31)-23</f>
        <v>41251</v>
      </c>
      <c r="D7685" s="8" t="str">
        <f t="shared" si="146"/>
        <v>2012-12 (декабрь 2012)</v>
      </c>
      <c r="E7685" s="9" t="s">
        <v>78</v>
      </c>
      <c r="F7685" s="7">
        <v>29</v>
      </c>
      <c r="G7685" s="7">
        <v>321.5</v>
      </c>
      <c r="H7685" s="7">
        <v>0.03</v>
      </c>
      <c r="I7685" s="9" t="s">
        <v>22</v>
      </c>
      <c r="J7685" s="10">
        <v>20.309999999999999</v>
      </c>
      <c r="K7685" s="11">
        <v>10.98</v>
      </c>
      <c r="L7685" s="11">
        <v>3.37</v>
      </c>
      <c r="M7685" s="9" t="s">
        <v>2084</v>
      </c>
      <c r="N7685" s="6" t="s">
        <v>2073</v>
      </c>
      <c r="O7685" s="6" t="s">
        <v>704</v>
      </c>
      <c r="P7685" s="9" t="s">
        <v>60</v>
      </c>
      <c r="Q7685" s="9" t="s">
        <v>26</v>
      </c>
      <c r="R7685" s="9" t="s">
        <v>150</v>
      </c>
      <c r="S7685" s="7" t="s">
        <v>465</v>
      </c>
      <c r="T7685" s="9" t="s">
        <v>52</v>
      </c>
      <c r="U7685" s="7">
        <v>0.56999999999999995</v>
      </c>
      <c r="V7685" s="12">
        <f>C7685+0</f>
        <v>41251</v>
      </c>
      <c r="W7685">
        <f>IF(D7685=' Pivot Tables'!$A$4,1,0)</f>
        <v>0</v>
      </c>
      <c r="X7685">
        <f>IF(AND(LEFT(D7685,4)+1=LEFT(' Pivot Tables'!$A$4,4)+0,RIGHT(LEFT(D7685,7),2)=RIGHT(LEFT(' Pivot Tables'!$A$4,7),2)),1,0)</f>
        <v>0</v>
      </c>
      <c r="Y7685" s="6">
        <f>1/COUNTIF(Таблица1[Order ID],Таблица1[[#This Row],[Order ID]])</f>
        <v>0.5</v>
      </c>
      <c r="Z7685" s="9">
        <f>1/COUNTIFS(Таблица1[Customer Name],Таблица1[[#This Row],[Customer Name]],Таблица1[Order-Year-Month],Таблица1[[#This Row],[Order-Year-Month]])</f>
        <v>0.5</v>
      </c>
    </row>
    <row r="7686" spans="1:26" x14ac:dyDescent="0.2">
      <c r="A7686" s="6">
        <v>7073</v>
      </c>
      <c r="B7686" s="7">
        <v>50470</v>
      </c>
      <c r="C7686" s="8">
        <f>DATE(2012,12,31)-861</f>
        <v>40413</v>
      </c>
      <c r="D7686" s="8" t="str">
        <f t="shared" si="146"/>
        <v>2010-08 (август 2010)</v>
      </c>
      <c r="E7686" s="9" t="s">
        <v>21</v>
      </c>
      <c r="F7686" s="7">
        <v>38</v>
      </c>
      <c r="G7686" s="7">
        <v>827.83</v>
      </c>
      <c r="H7686" s="7">
        <v>0.09</v>
      </c>
      <c r="I7686" s="9" t="s">
        <v>22</v>
      </c>
      <c r="J7686" s="10">
        <v>-57.73</v>
      </c>
      <c r="K7686" s="11">
        <v>22.99</v>
      </c>
      <c r="L7686" s="11">
        <v>8.99</v>
      </c>
      <c r="M7686" s="9" t="s">
        <v>2082</v>
      </c>
      <c r="N7686" s="6" t="s">
        <v>2073</v>
      </c>
      <c r="O7686" s="6" t="s">
        <v>704</v>
      </c>
      <c r="P7686" s="9" t="s">
        <v>25</v>
      </c>
      <c r="Q7686" s="9" t="s">
        <v>26</v>
      </c>
      <c r="R7686" s="9" t="s">
        <v>95</v>
      </c>
      <c r="S7686" s="7" t="s">
        <v>554</v>
      </c>
      <c r="T7686" s="9" t="s">
        <v>52</v>
      </c>
      <c r="U7686" s="7">
        <v>0.56999999999999995</v>
      </c>
      <c r="V7686" s="12">
        <f>C7686+5</f>
        <v>40418</v>
      </c>
      <c r="W7686">
        <f>IF(D7686=' Pivot Tables'!$A$4,1,0)</f>
        <v>0</v>
      </c>
      <c r="X7686">
        <f>IF(AND(LEFT(D7686,4)+1=LEFT(' Pivot Tables'!$A$4,4)+0,RIGHT(LEFT(D7686,7),2)=RIGHT(LEFT(' Pivot Tables'!$A$4,7),2)),1,0)</f>
        <v>0</v>
      </c>
      <c r="Y7686" s="6">
        <f>1/COUNTIF(Таблица1[Order ID],Таблица1[[#This Row],[Order ID]])</f>
        <v>1</v>
      </c>
      <c r="Z7686" s="9">
        <f>1/COUNTIFS(Таблица1[Customer Name],Таблица1[[#This Row],[Customer Name]],Таблица1[Order-Year-Month],Таблица1[[#This Row],[Order-Year-Month]])</f>
        <v>1</v>
      </c>
    </row>
    <row r="7687" spans="1:26" x14ac:dyDescent="0.2">
      <c r="A7687" s="6">
        <v>7418</v>
      </c>
      <c r="B7687" s="7">
        <v>52900</v>
      </c>
      <c r="C7687" s="8">
        <f>DATE(2012,12,31)-591</f>
        <v>40683</v>
      </c>
      <c r="D7687" s="8" t="str">
        <f t="shared" si="146"/>
        <v>2011-05 (май 2011)</v>
      </c>
      <c r="E7687" s="9" t="s">
        <v>30</v>
      </c>
      <c r="F7687" s="7">
        <v>16</v>
      </c>
      <c r="G7687" s="7">
        <v>101.14</v>
      </c>
      <c r="H7687" s="7">
        <v>0</v>
      </c>
      <c r="I7687" s="9" t="s">
        <v>22</v>
      </c>
      <c r="J7687" s="10">
        <v>-32.619999999999997</v>
      </c>
      <c r="K7687" s="11">
        <v>5.98</v>
      </c>
      <c r="L7687" s="11">
        <v>5.46</v>
      </c>
      <c r="M7687" s="9" t="s">
        <v>1611</v>
      </c>
      <c r="N7687" s="6" t="s">
        <v>2073</v>
      </c>
      <c r="O7687" s="6" t="s">
        <v>704</v>
      </c>
      <c r="P7687" s="9" t="s">
        <v>60</v>
      </c>
      <c r="Q7687" s="9" t="s">
        <v>26</v>
      </c>
      <c r="R7687" s="9" t="s">
        <v>61</v>
      </c>
      <c r="S7687" s="7" t="s">
        <v>751</v>
      </c>
      <c r="T7687" s="9" t="s">
        <v>39</v>
      </c>
      <c r="U7687" s="7">
        <v>0.36</v>
      </c>
      <c r="V7687" s="12">
        <f>C7687+2</f>
        <v>40685</v>
      </c>
      <c r="W7687">
        <f>IF(D7687=' Pivot Tables'!$A$4,1,0)</f>
        <v>0</v>
      </c>
      <c r="X7687">
        <f>IF(AND(LEFT(D7687,4)+1=LEFT(' Pivot Tables'!$A$4,4)+0,RIGHT(LEFT(D7687,7),2)=RIGHT(LEFT(' Pivot Tables'!$A$4,7),2)),1,0)</f>
        <v>0</v>
      </c>
      <c r="Y7687" s="6">
        <f>1/COUNTIF(Таблица1[Order ID],Таблица1[[#This Row],[Order ID]])</f>
        <v>1</v>
      </c>
      <c r="Z7687" s="9">
        <f>1/COUNTIFS(Таблица1[Customer Name],Таблица1[[#This Row],[Customer Name]],Таблица1[Order-Year-Month],Таблица1[[#This Row],[Order-Year-Month]])</f>
        <v>1</v>
      </c>
    </row>
    <row r="7688" spans="1:26" x14ac:dyDescent="0.2">
      <c r="A7688" s="6">
        <v>8070</v>
      </c>
      <c r="B7688" s="7">
        <v>57572</v>
      </c>
      <c r="C7688" s="8">
        <f>DATE(2012,12,31)-538</f>
        <v>40736</v>
      </c>
      <c r="D7688" s="8" t="str">
        <f t="shared" si="146"/>
        <v>2011-07 (июль 2011)</v>
      </c>
      <c r="E7688" s="9" t="s">
        <v>63</v>
      </c>
      <c r="F7688" s="7">
        <v>30</v>
      </c>
      <c r="G7688" s="7">
        <v>139.08000000000001</v>
      </c>
      <c r="H7688" s="7">
        <v>0.1</v>
      </c>
      <c r="I7688" s="9" t="s">
        <v>22</v>
      </c>
      <c r="J7688" s="10">
        <v>-120.04</v>
      </c>
      <c r="K7688" s="11">
        <v>4.9800000000000004</v>
      </c>
      <c r="L7688" s="11">
        <v>4.62</v>
      </c>
      <c r="M7688" s="9" t="s">
        <v>1611</v>
      </c>
      <c r="N7688" s="6" t="s">
        <v>2073</v>
      </c>
      <c r="O7688" s="6" t="s">
        <v>704</v>
      </c>
      <c r="P7688" s="9" t="s">
        <v>60</v>
      </c>
      <c r="Q7688" s="9" t="s">
        <v>42</v>
      </c>
      <c r="R7688" s="9" t="s">
        <v>70</v>
      </c>
      <c r="S7688" s="7" t="s">
        <v>402</v>
      </c>
      <c r="T7688" s="9" t="s">
        <v>52</v>
      </c>
      <c r="U7688" s="7">
        <v>0.64</v>
      </c>
      <c r="V7688" s="12">
        <f>C7688+2</f>
        <v>40738</v>
      </c>
      <c r="W7688">
        <f>IF(D7688=' Pivot Tables'!$A$4,1,0)</f>
        <v>0</v>
      </c>
      <c r="X7688">
        <f>IF(AND(LEFT(D7688,4)+1=LEFT(' Pivot Tables'!$A$4,4)+0,RIGHT(LEFT(D7688,7),2)=RIGHT(LEFT(' Pivot Tables'!$A$4,7),2)),1,0)</f>
        <v>0</v>
      </c>
      <c r="Y7688" s="6">
        <f>1/COUNTIF(Таблица1[Order ID],Таблица1[[#This Row],[Order ID]])</f>
        <v>0.5</v>
      </c>
      <c r="Z7688" s="9">
        <f>1/COUNTIFS(Таблица1[Customer Name],Таблица1[[#This Row],[Customer Name]],Таблица1[Order-Year-Month],Таблица1[[#This Row],[Order-Year-Month]])</f>
        <v>0.5</v>
      </c>
    </row>
    <row r="7689" spans="1:26" x14ac:dyDescent="0.2">
      <c r="A7689" s="6">
        <v>8071</v>
      </c>
      <c r="B7689" s="7">
        <v>57572</v>
      </c>
      <c r="C7689" s="8">
        <f>DATE(2012,12,31)-538</f>
        <v>40736</v>
      </c>
      <c r="D7689" s="8" t="str">
        <f t="shared" si="146"/>
        <v>2011-07 (июль 2011)</v>
      </c>
      <c r="E7689" s="9" t="s">
        <v>63</v>
      </c>
      <c r="F7689" s="7">
        <v>9</v>
      </c>
      <c r="G7689" s="7">
        <v>75.28</v>
      </c>
      <c r="H7689" s="7">
        <v>0</v>
      </c>
      <c r="I7689" s="9" t="s">
        <v>22</v>
      </c>
      <c r="J7689" s="10">
        <v>-17.22</v>
      </c>
      <c r="K7689" s="11">
        <v>7.64</v>
      </c>
      <c r="L7689" s="11">
        <v>5.83</v>
      </c>
      <c r="M7689" s="9" t="s">
        <v>1611</v>
      </c>
      <c r="N7689" s="6" t="s">
        <v>2073</v>
      </c>
      <c r="O7689" s="6" t="s">
        <v>704</v>
      </c>
      <c r="P7689" s="9" t="s">
        <v>60</v>
      </c>
      <c r="Q7689" s="9" t="s">
        <v>26</v>
      </c>
      <c r="R7689" s="9" t="s">
        <v>61</v>
      </c>
      <c r="S7689" s="7" t="s">
        <v>371</v>
      </c>
      <c r="T7689" s="9" t="s">
        <v>68</v>
      </c>
      <c r="U7689" s="7">
        <v>0.36</v>
      </c>
      <c r="V7689" s="12">
        <f>C7689+1</f>
        <v>40737</v>
      </c>
      <c r="W7689">
        <f>IF(D7689=' Pivot Tables'!$A$4,1,0)</f>
        <v>0</v>
      </c>
      <c r="X7689">
        <f>IF(AND(LEFT(D7689,4)+1=LEFT(' Pivot Tables'!$A$4,4)+0,RIGHT(LEFT(D7689,7),2)=RIGHT(LEFT(' Pivot Tables'!$A$4,7),2)),1,0)</f>
        <v>0</v>
      </c>
      <c r="Y7689" s="6">
        <f>1/COUNTIF(Таблица1[Order ID],Таблица1[[#This Row],[Order ID]])</f>
        <v>0.5</v>
      </c>
      <c r="Z7689" s="9">
        <f>1/COUNTIFS(Таблица1[Customer Name],Таблица1[[#This Row],[Customer Name]],Таблица1[Order-Year-Month],Таблица1[[#This Row],[Order-Year-Month]])</f>
        <v>0.5</v>
      </c>
    </row>
    <row r="7690" spans="1:26" x14ac:dyDescent="0.2">
      <c r="A7690" s="6">
        <v>8097</v>
      </c>
      <c r="B7690" s="7">
        <v>57766</v>
      </c>
      <c r="C7690" s="8">
        <f>DATE(2012,12,31)-976</f>
        <v>40298</v>
      </c>
      <c r="D7690" s="8" t="str">
        <f t="shared" si="146"/>
        <v>2010-04 (апрель 2010)</v>
      </c>
      <c r="E7690" s="9" t="s">
        <v>30</v>
      </c>
      <c r="F7690" s="7">
        <v>17</v>
      </c>
      <c r="G7690" s="7">
        <v>517.98</v>
      </c>
      <c r="H7690" s="7">
        <v>0.05</v>
      </c>
      <c r="I7690" s="9" t="s">
        <v>22</v>
      </c>
      <c r="J7690" s="10">
        <v>-85.32</v>
      </c>
      <c r="K7690" s="11">
        <v>30.53</v>
      </c>
      <c r="L7690" s="11">
        <v>19.989999999999998</v>
      </c>
      <c r="M7690" s="9" t="s">
        <v>1096</v>
      </c>
      <c r="N7690" s="6" t="s">
        <v>2073</v>
      </c>
      <c r="O7690" s="6" t="s">
        <v>704</v>
      </c>
      <c r="P7690" s="9" t="s">
        <v>33</v>
      </c>
      <c r="Q7690" s="9" t="s">
        <v>26</v>
      </c>
      <c r="R7690" s="9" t="s">
        <v>88</v>
      </c>
      <c r="S7690" s="7" t="s">
        <v>219</v>
      </c>
      <c r="T7690" s="9" t="s">
        <v>39</v>
      </c>
      <c r="U7690" s="7">
        <v>0.39</v>
      </c>
      <c r="V7690" s="12">
        <f>C7690+3</f>
        <v>40301</v>
      </c>
      <c r="W7690">
        <f>IF(D7690=' Pivot Tables'!$A$4,1,0)</f>
        <v>0</v>
      </c>
      <c r="X7690">
        <f>IF(AND(LEFT(D7690,4)+1=LEFT(' Pivot Tables'!$A$4,4)+0,RIGHT(LEFT(D7690,7),2)=RIGHT(LEFT(' Pivot Tables'!$A$4,7),2)),1,0)</f>
        <v>0</v>
      </c>
      <c r="Y7690" s="6">
        <f>1/COUNTIF(Таблица1[Order ID],Таблица1[[#This Row],[Order ID]])</f>
        <v>1</v>
      </c>
      <c r="Z7690" s="9">
        <f>1/COUNTIFS(Таблица1[Customer Name],Таблица1[[#This Row],[Customer Name]],Таблица1[Order-Year-Month],Таблица1[[#This Row],[Order-Year-Month]])</f>
        <v>1</v>
      </c>
    </row>
    <row r="7691" spans="1:26" x14ac:dyDescent="0.2">
      <c r="A7691" s="6">
        <v>8189</v>
      </c>
      <c r="B7691" s="7">
        <v>58566</v>
      </c>
      <c r="C7691" s="8">
        <f>DATE(2012,12,31)-496</f>
        <v>40778</v>
      </c>
      <c r="D7691" s="8" t="str">
        <f t="shared" si="146"/>
        <v>2011-08 (август 2011)</v>
      </c>
      <c r="E7691" s="9" t="s">
        <v>45</v>
      </c>
      <c r="F7691" s="7">
        <v>45</v>
      </c>
      <c r="G7691" s="7">
        <v>4680.8900000000003</v>
      </c>
      <c r="H7691" s="7">
        <v>7.0000000000000007E-2</v>
      </c>
      <c r="I7691" s="9" t="s">
        <v>22</v>
      </c>
      <c r="J7691" s="10">
        <v>693.01</v>
      </c>
      <c r="K7691" s="11">
        <v>105.29</v>
      </c>
      <c r="L7691" s="11">
        <v>10.119999999999999</v>
      </c>
      <c r="M7691" s="9" t="s">
        <v>1096</v>
      </c>
      <c r="N7691" s="6" t="s">
        <v>2073</v>
      </c>
      <c r="O7691" s="6" t="s">
        <v>704</v>
      </c>
      <c r="P7691" s="9" t="s">
        <v>33</v>
      </c>
      <c r="Q7691" s="9" t="s">
        <v>49</v>
      </c>
      <c r="R7691" s="9" t="s">
        <v>50</v>
      </c>
      <c r="S7691" s="7" t="s">
        <v>1510</v>
      </c>
      <c r="T7691" s="9" t="s">
        <v>29</v>
      </c>
      <c r="U7691" s="7">
        <v>0.79</v>
      </c>
      <c r="V7691" s="12">
        <f>C7691+1</f>
        <v>40779</v>
      </c>
      <c r="W7691">
        <f>IF(D7691=' Pivot Tables'!$A$4,1,0)</f>
        <v>0</v>
      </c>
      <c r="X7691">
        <f>IF(AND(LEFT(D7691,4)+1=LEFT(' Pivot Tables'!$A$4,4)+0,RIGHT(LEFT(D7691,7),2)=RIGHT(LEFT(' Pivot Tables'!$A$4,7),2)),1,0)</f>
        <v>0</v>
      </c>
      <c r="Y7691" s="6">
        <f>1/COUNTIF(Таблица1[Order ID],Таблица1[[#This Row],[Order ID]])</f>
        <v>0.5</v>
      </c>
      <c r="Z7691" s="9">
        <f>1/COUNTIFS(Таблица1[Customer Name],Таблица1[[#This Row],[Customer Name]],Таблица1[Order-Year-Month],Таблица1[[#This Row],[Order-Year-Month]])</f>
        <v>0.5</v>
      </c>
    </row>
    <row r="7692" spans="1:26" x14ac:dyDescent="0.2">
      <c r="A7692" s="6">
        <v>8190</v>
      </c>
      <c r="B7692" s="7">
        <v>58566</v>
      </c>
      <c r="C7692" s="8">
        <f>DATE(2012,12,31)-496</f>
        <v>40778</v>
      </c>
      <c r="D7692" s="8" t="str">
        <f t="shared" si="146"/>
        <v>2011-08 (август 2011)</v>
      </c>
      <c r="E7692" s="9" t="s">
        <v>45</v>
      </c>
      <c r="F7692" s="7">
        <v>42</v>
      </c>
      <c r="G7692" s="7">
        <v>2414.9944999999998</v>
      </c>
      <c r="H7692" s="7">
        <v>0.01</v>
      </c>
      <c r="I7692" s="9" t="s">
        <v>56</v>
      </c>
      <c r="J7692" s="10">
        <v>624.70799999999997</v>
      </c>
      <c r="K7692" s="11">
        <v>65.989999999999995</v>
      </c>
      <c r="L7692" s="11">
        <v>4.99</v>
      </c>
      <c r="M7692" s="9" t="s">
        <v>1096</v>
      </c>
      <c r="N7692" s="6" t="s">
        <v>2073</v>
      </c>
      <c r="O7692" s="6" t="s">
        <v>704</v>
      </c>
      <c r="P7692" s="9" t="s">
        <v>33</v>
      </c>
      <c r="Q7692" s="9" t="s">
        <v>42</v>
      </c>
      <c r="R7692" s="9" t="s">
        <v>43</v>
      </c>
      <c r="S7692" s="7" t="s">
        <v>855</v>
      </c>
      <c r="T7692" s="9" t="s">
        <v>39</v>
      </c>
      <c r="U7692" s="7">
        <v>0.57999999999999996</v>
      </c>
      <c r="V7692" s="12">
        <f>C7692+2</f>
        <v>40780</v>
      </c>
      <c r="W7692">
        <f>IF(D7692=' Pivot Tables'!$A$4,1,0)</f>
        <v>0</v>
      </c>
      <c r="X7692">
        <f>IF(AND(LEFT(D7692,4)+1=LEFT(' Pivot Tables'!$A$4,4)+0,RIGHT(LEFT(D7692,7),2)=RIGHT(LEFT(' Pivot Tables'!$A$4,7),2)),1,0)</f>
        <v>0</v>
      </c>
      <c r="Y7692" s="6">
        <f>1/COUNTIF(Таблица1[Order ID],Таблица1[[#This Row],[Order ID]])</f>
        <v>0.5</v>
      </c>
      <c r="Z7692" s="9">
        <f>1/COUNTIFS(Таблица1[Customer Name],Таблица1[[#This Row],[Customer Name]],Таблица1[Order-Year-Month],Таблица1[[#This Row],[Order-Year-Month]])</f>
        <v>0.5</v>
      </c>
    </row>
    <row r="7693" spans="1:26" x14ac:dyDescent="0.2">
      <c r="A7693" s="6">
        <v>8204</v>
      </c>
      <c r="B7693" s="7">
        <v>58658</v>
      </c>
      <c r="C7693" s="8">
        <f>DATE(2012,12,31)-203</f>
        <v>41071</v>
      </c>
      <c r="D7693" s="8" t="str">
        <f t="shared" si="146"/>
        <v>2012-06 (июнь 2012)</v>
      </c>
      <c r="E7693" s="9" t="s">
        <v>63</v>
      </c>
      <c r="F7693" s="7">
        <v>7</v>
      </c>
      <c r="G7693" s="7">
        <v>883.23</v>
      </c>
      <c r="H7693" s="7">
        <v>0.09</v>
      </c>
      <c r="I7693" s="9" t="s">
        <v>31</v>
      </c>
      <c r="J7693" s="10">
        <v>-404.36</v>
      </c>
      <c r="K7693" s="11">
        <v>120.98</v>
      </c>
      <c r="L7693" s="11">
        <v>58.64</v>
      </c>
      <c r="M7693" s="9" t="s">
        <v>1096</v>
      </c>
      <c r="N7693" s="6" t="s">
        <v>2073</v>
      </c>
      <c r="O7693" s="6" t="s">
        <v>704</v>
      </c>
      <c r="P7693" s="9" t="s">
        <v>33</v>
      </c>
      <c r="Q7693" s="9" t="s">
        <v>49</v>
      </c>
      <c r="R7693" s="9" t="s">
        <v>80</v>
      </c>
      <c r="S7693" s="7" t="s">
        <v>1247</v>
      </c>
      <c r="T7693" s="9" t="s">
        <v>82</v>
      </c>
      <c r="U7693" s="7">
        <v>0.75</v>
      </c>
      <c r="V7693" s="12">
        <f>C7693+1</f>
        <v>41072</v>
      </c>
      <c r="W7693">
        <f>IF(D7693=' Pivot Tables'!$A$4,1,0)</f>
        <v>0</v>
      </c>
      <c r="X7693">
        <f>IF(AND(LEFT(D7693,4)+1=LEFT(' Pivot Tables'!$A$4,4)+0,RIGHT(LEFT(D7693,7),2)=RIGHT(LEFT(' Pivot Tables'!$A$4,7),2)),1,0)</f>
        <v>0</v>
      </c>
      <c r="Y7693" s="6">
        <f>1/COUNTIF(Таблица1[Order ID],Таблица1[[#This Row],[Order ID]])</f>
        <v>0.33333333333333331</v>
      </c>
      <c r="Z7693" s="9">
        <f>1/COUNTIFS(Таблица1[Customer Name],Таблица1[[#This Row],[Customer Name]],Таблица1[Order-Year-Month],Таблица1[[#This Row],[Order-Year-Month]])</f>
        <v>0.33333333333333331</v>
      </c>
    </row>
    <row r="7694" spans="1:26" x14ac:dyDescent="0.2">
      <c r="A7694" s="6">
        <v>8205</v>
      </c>
      <c r="B7694" s="7">
        <v>58658</v>
      </c>
      <c r="C7694" s="8">
        <f>DATE(2012,12,31)-203</f>
        <v>41071</v>
      </c>
      <c r="D7694" s="8" t="str">
        <f t="shared" si="146"/>
        <v>2012-06 (июнь 2012)</v>
      </c>
      <c r="E7694" s="9" t="s">
        <v>63</v>
      </c>
      <c r="F7694" s="7">
        <v>41</v>
      </c>
      <c r="G7694" s="7">
        <v>917.25</v>
      </c>
      <c r="H7694" s="7">
        <v>0.01</v>
      </c>
      <c r="I7694" s="9" t="s">
        <v>22</v>
      </c>
      <c r="J7694" s="10">
        <v>-103.75</v>
      </c>
      <c r="K7694" s="11">
        <v>20.97</v>
      </c>
      <c r="L7694" s="11">
        <v>6.5</v>
      </c>
      <c r="M7694" s="9" t="s">
        <v>1096</v>
      </c>
      <c r="N7694" s="6" t="s">
        <v>2073</v>
      </c>
      <c r="O7694" s="6" t="s">
        <v>704</v>
      </c>
      <c r="P7694" s="9" t="s">
        <v>33</v>
      </c>
      <c r="Q7694" s="9" t="s">
        <v>42</v>
      </c>
      <c r="R7694" s="9" t="s">
        <v>70</v>
      </c>
      <c r="S7694" s="7" t="s">
        <v>262</v>
      </c>
      <c r="T7694" s="9" t="s">
        <v>39</v>
      </c>
      <c r="U7694" s="7">
        <v>0.78</v>
      </c>
      <c r="V7694" s="12">
        <f>C7694+1</f>
        <v>41072</v>
      </c>
      <c r="W7694">
        <f>IF(D7694=' Pivot Tables'!$A$4,1,0)</f>
        <v>0</v>
      </c>
      <c r="X7694">
        <f>IF(AND(LEFT(D7694,4)+1=LEFT(' Pivot Tables'!$A$4,4)+0,RIGHT(LEFT(D7694,7),2)=RIGHT(LEFT(' Pivot Tables'!$A$4,7),2)),1,0)</f>
        <v>0</v>
      </c>
      <c r="Y7694" s="6">
        <f>1/COUNTIF(Таблица1[Order ID],Таблица1[[#This Row],[Order ID]])</f>
        <v>0.33333333333333331</v>
      </c>
      <c r="Z7694" s="9">
        <f>1/COUNTIFS(Таблица1[Customer Name],Таблица1[[#This Row],[Customer Name]],Таблица1[Order-Year-Month],Таблица1[[#This Row],[Order-Year-Month]])</f>
        <v>0.33333333333333331</v>
      </c>
    </row>
    <row r="7695" spans="1:26" x14ac:dyDescent="0.2">
      <c r="A7695" s="6">
        <v>8206</v>
      </c>
      <c r="B7695" s="7">
        <v>58658</v>
      </c>
      <c r="C7695" s="8">
        <f>DATE(2012,12,31)-203</f>
        <v>41071</v>
      </c>
      <c r="D7695" s="8" t="str">
        <f t="shared" si="146"/>
        <v>2012-06 (июнь 2012)</v>
      </c>
      <c r="E7695" s="9" t="s">
        <v>63</v>
      </c>
      <c r="F7695" s="7">
        <v>46</v>
      </c>
      <c r="G7695" s="7">
        <v>760.80099999999993</v>
      </c>
      <c r="H7695" s="7">
        <v>0.1</v>
      </c>
      <c r="I7695" s="9" t="s">
        <v>22</v>
      </c>
      <c r="J7695" s="10">
        <v>348.58799999999997</v>
      </c>
      <c r="K7695" s="11">
        <v>20.99</v>
      </c>
      <c r="L7695" s="11">
        <v>0.99</v>
      </c>
      <c r="M7695" s="9" t="s">
        <v>1096</v>
      </c>
      <c r="N7695" s="6" t="s">
        <v>2073</v>
      </c>
      <c r="O7695" s="6" t="s">
        <v>704</v>
      </c>
      <c r="P7695" s="9" t="s">
        <v>33</v>
      </c>
      <c r="Q7695" s="9" t="s">
        <v>42</v>
      </c>
      <c r="R7695" s="9" t="s">
        <v>43</v>
      </c>
      <c r="S7695" s="7" t="s">
        <v>272</v>
      </c>
      <c r="T7695" s="9" t="s">
        <v>68</v>
      </c>
      <c r="U7695" s="7">
        <v>0.37</v>
      </c>
      <c r="V7695" s="12">
        <f>C7695+2</f>
        <v>41073</v>
      </c>
      <c r="W7695">
        <f>IF(D7695=' Pivot Tables'!$A$4,1,0)</f>
        <v>0</v>
      </c>
      <c r="X7695">
        <f>IF(AND(LEFT(D7695,4)+1=LEFT(' Pivot Tables'!$A$4,4)+0,RIGHT(LEFT(D7695,7),2)=RIGHT(LEFT(' Pivot Tables'!$A$4,7),2)),1,0)</f>
        <v>0</v>
      </c>
      <c r="Y7695" s="6">
        <f>1/COUNTIF(Таблица1[Order ID],Таблица1[[#This Row],[Order ID]])</f>
        <v>0.33333333333333331</v>
      </c>
      <c r="Z7695" s="9">
        <f>1/COUNTIFS(Таблица1[Customer Name],Таблица1[[#This Row],[Customer Name]],Таблица1[Order-Year-Month],Таблица1[[#This Row],[Order-Year-Month]])</f>
        <v>0.33333333333333331</v>
      </c>
    </row>
    <row r="7696" spans="1:26" x14ac:dyDescent="0.2">
      <c r="A7696" s="6">
        <v>8271</v>
      </c>
      <c r="B7696" s="7">
        <v>59139</v>
      </c>
      <c r="C7696" s="8">
        <f>DATE(2012,12,31)-702</f>
        <v>40572</v>
      </c>
      <c r="D7696" s="8" t="str">
        <f t="shared" si="146"/>
        <v>2011-01 (январь 2011)</v>
      </c>
      <c r="E7696" s="9" t="s">
        <v>78</v>
      </c>
      <c r="F7696" s="7">
        <v>12</v>
      </c>
      <c r="G7696" s="7">
        <v>849.51</v>
      </c>
      <c r="H7696" s="7">
        <v>0.05</v>
      </c>
      <c r="I7696" s="9" t="s">
        <v>22</v>
      </c>
      <c r="J7696" s="10">
        <v>163.1</v>
      </c>
      <c r="K7696" s="11">
        <v>70.97</v>
      </c>
      <c r="L7696" s="11">
        <v>3.5</v>
      </c>
      <c r="M7696" s="9" t="s">
        <v>1611</v>
      </c>
      <c r="N7696" s="6" t="s">
        <v>2073</v>
      </c>
      <c r="O7696" s="6" t="s">
        <v>704</v>
      </c>
      <c r="P7696" s="9" t="s">
        <v>60</v>
      </c>
      <c r="Q7696" s="9" t="s">
        <v>26</v>
      </c>
      <c r="R7696" s="9" t="s">
        <v>34</v>
      </c>
      <c r="S7696" s="7" t="s">
        <v>1401</v>
      </c>
      <c r="T7696" s="9" t="s">
        <v>39</v>
      </c>
      <c r="U7696" s="7">
        <v>0.59</v>
      </c>
      <c r="V7696" s="12">
        <f>C7696+1</f>
        <v>40573</v>
      </c>
      <c r="W7696">
        <f>IF(D7696=' Pivot Tables'!$A$4,1,0)</f>
        <v>0</v>
      </c>
      <c r="X7696">
        <f>IF(AND(LEFT(D7696,4)+1=LEFT(' Pivot Tables'!$A$4,4)+0,RIGHT(LEFT(D7696,7),2)=RIGHT(LEFT(' Pivot Tables'!$A$4,7),2)),1,0)</f>
        <v>0</v>
      </c>
      <c r="Y7696" s="6">
        <f>1/COUNTIF(Таблица1[Order ID],Таблица1[[#This Row],[Order ID]])</f>
        <v>0.5</v>
      </c>
      <c r="Z7696" s="9">
        <f>1/COUNTIFS(Таблица1[Customer Name],Таблица1[[#This Row],[Customer Name]],Таблица1[Order-Year-Month],Таблица1[[#This Row],[Order-Year-Month]])</f>
        <v>0.5</v>
      </c>
    </row>
    <row r="7697" spans="1:26" x14ac:dyDescent="0.2">
      <c r="A7697" s="6">
        <v>8272</v>
      </c>
      <c r="B7697" s="7">
        <v>59139</v>
      </c>
      <c r="C7697" s="8">
        <f>DATE(2012,12,31)-702</f>
        <v>40572</v>
      </c>
      <c r="D7697" s="8" t="str">
        <f t="shared" si="146"/>
        <v>2011-01 (январь 2011)</v>
      </c>
      <c r="E7697" s="9" t="s">
        <v>78</v>
      </c>
      <c r="F7697" s="7">
        <v>38</v>
      </c>
      <c r="G7697" s="7">
        <v>189.49</v>
      </c>
      <c r="H7697" s="7">
        <v>0.09</v>
      </c>
      <c r="I7697" s="9" t="s">
        <v>22</v>
      </c>
      <c r="J7697" s="10">
        <v>-13.708</v>
      </c>
      <c r="K7697" s="11">
        <v>5.34</v>
      </c>
      <c r="L7697" s="11">
        <v>2.99</v>
      </c>
      <c r="M7697" s="9" t="s">
        <v>1611</v>
      </c>
      <c r="N7697" s="6" t="s">
        <v>2073</v>
      </c>
      <c r="O7697" s="6" t="s">
        <v>704</v>
      </c>
      <c r="P7697" s="9" t="s">
        <v>60</v>
      </c>
      <c r="Q7697" s="9" t="s">
        <v>26</v>
      </c>
      <c r="R7697" s="9" t="s">
        <v>37</v>
      </c>
      <c r="S7697" s="7" t="s">
        <v>407</v>
      </c>
      <c r="T7697" s="9" t="s">
        <v>39</v>
      </c>
      <c r="U7697" s="7">
        <v>0.38</v>
      </c>
      <c r="V7697" s="12">
        <f>C7697+1</f>
        <v>40573</v>
      </c>
      <c r="W7697">
        <f>IF(D7697=' Pivot Tables'!$A$4,1,0)</f>
        <v>0</v>
      </c>
      <c r="X7697">
        <f>IF(AND(LEFT(D7697,4)+1=LEFT(' Pivot Tables'!$A$4,4)+0,RIGHT(LEFT(D7697,7),2)=RIGHT(LEFT(' Pivot Tables'!$A$4,7),2)),1,0)</f>
        <v>0</v>
      </c>
      <c r="Y7697" s="6">
        <f>1/COUNTIF(Таблица1[Order ID],Таблица1[[#This Row],[Order ID]])</f>
        <v>0.5</v>
      </c>
      <c r="Z7697" s="9">
        <f>1/COUNTIFS(Таблица1[Customer Name],Таблица1[[#This Row],[Customer Name]],Таблица1[Order-Year-Month],Таблица1[[#This Row],[Order-Year-Month]])</f>
        <v>0.5</v>
      </c>
    </row>
    <row r="7698" spans="1:26" x14ac:dyDescent="0.2">
      <c r="A7698" s="6">
        <v>8391</v>
      </c>
      <c r="B7698" s="7">
        <v>59942</v>
      </c>
      <c r="C7698" s="8">
        <f>DATE(2012,12,31)-1422</f>
        <v>39852</v>
      </c>
      <c r="D7698" s="8" t="str">
        <f t="shared" si="146"/>
        <v>2009-02 (февраль 2009)</v>
      </c>
      <c r="E7698" s="9" t="s">
        <v>63</v>
      </c>
      <c r="F7698" s="7">
        <v>47</v>
      </c>
      <c r="G7698" s="7">
        <v>714.46</v>
      </c>
      <c r="H7698" s="7">
        <v>7.0000000000000007E-2</v>
      </c>
      <c r="I7698" s="9" t="s">
        <v>22</v>
      </c>
      <c r="J7698" s="10">
        <v>-268.64999999999998</v>
      </c>
      <c r="K7698" s="11">
        <v>15.98</v>
      </c>
      <c r="L7698" s="11">
        <v>8.99</v>
      </c>
      <c r="M7698" s="9" t="s">
        <v>1675</v>
      </c>
      <c r="N7698" s="6" t="s">
        <v>2073</v>
      </c>
      <c r="O7698" s="6" t="s">
        <v>704</v>
      </c>
      <c r="P7698" s="9" t="s">
        <v>41</v>
      </c>
      <c r="Q7698" s="9" t="s">
        <v>42</v>
      </c>
      <c r="R7698" s="9" t="s">
        <v>70</v>
      </c>
      <c r="S7698" s="7" t="s">
        <v>414</v>
      </c>
      <c r="T7698" s="9" t="s">
        <v>52</v>
      </c>
      <c r="U7698" s="7">
        <v>0.64</v>
      </c>
      <c r="V7698" s="12">
        <f>C7698+2</f>
        <v>39854</v>
      </c>
      <c r="W7698">
        <f>IF(D7698=' Pivot Tables'!$A$4,1,0)</f>
        <v>0</v>
      </c>
      <c r="X7698">
        <f>IF(AND(LEFT(D7698,4)+1=LEFT(' Pivot Tables'!$A$4,4)+0,RIGHT(LEFT(D7698,7),2)=RIGHT(LEFT(' Pivot Tables'!$A$4,7),2)),1,0)</f>
        <v>0</v>
      </c>
      <c r="Y7698" s="6">
        <f>1/COUNTIF(Таблица1[Order ID],Таблица1[[#This Row],[Order ID]])</f>
        <v>1</v>
      </c>
      <c r="Z7698" s="9">
        <f>1/COUNTIFS(Таблица1[Customer Name],Таблица1[[#This Row],[Customer Name]],Таблица1[Order-Year-Month],Таблица1[[#This Row],[Order-Year-Month]])</f>
        <v>1</v>
      </c>
    </row>
    <row r="7699" spans="1:26" x14ac:dyDescent="0.2">
      <c r="A7699" s="6">
        <v>747</v>
      </c>
      <c r="B7699" s="7">
        <v>5350</v>
      </c>
      <c r="C7699" s="8">
        <f>DATE(2012,12,31)-814</f>
        <v>40460</v>
      </c>
      <c r="D7699" s="8" t="str">
        <f t="shared" si="146"/>
        <v>2010-10 (октябрь 2010)</v>
      </c>
      <c r="E7699" s="9" t="s">
        <v>21</v>
      </c>
      <c r="F7699" s="7">
        <v>39</v>
      </c>
      <c r="G7699" s="7">
        <v>434.73</v>
      </c>
      <c r="H7699" s="7">
        <v>0.03</v>
      </c>
      <c r="I7699" s="9" t="s">
        <v>22</v>
      </c>
      <c r="J7699" s="10">
        <v>-12.2</v>
      </c>
      <c r="K7699" s="11">
        <v>11.33</v>
      </c>
      <c r="L7699" s="11">
        <v>6.12</v>
      </c>
      <c r="M7699" s="9" t="s">
        <v>1950</v>
      </c>
      <c r="N7699" s="6" t="s">
        <v>2073</v>
      </c>
      <c r="O7699" s="6" t="s">
        <v>704</v>
      </c>
      <c r="P7699" s="9" t="s">
        <v>33</v>
      </c>
      <c r="Q7699" s="9" t="s">
        <v>26</v>
      </c>
      <c r="R7699" s="9" t="s">
        <v>34</v>
      </c>
      <c r="S7699" s="7" t="s">
        <v>1155</v>
      </c>
      <c r="T7699" s="9" t="s">
        <v>48</v>
      </c>
      <c r="U7699" s="7">
        <v>0.42</v>
      </c>
      <c r="V7699" s="12">
        <f>C7699+2</f>
        <v>40462</v>
      </c>
      <c r="W7699">
        <f>IF(D7699=' Pivot Tables'!$A$4,1,0)</f>
        <v>0</v>
      </c>
      <c r="X7699">
        <f>IF(AND(LEFT(D7699,4)+1=LEFT(' Pivot Tables'!$A$4,4)+0,RIGHT(LEFT(D7699,7),2)=RIGHT(LEFT(' Pivot Tables'!$A$4,7),2)),1,0)</f>
        <v>0</v>
      </c>
      <c r="Y7699" s="6">
        <f>1/COUNTIF(Таблица1[Order ID],Таблица1[[#This Row],[Order ID]])</f>
        <v>0.5</v>
      </c>
      <c r="Z7699" s="9">
        <f>1/COUNTIFS(Таблица1[Customer Name],Таблица1[[#This Row],[Customer Name]],Таблица1[Order-Year-Month],Таблица1[[#This Row],[Order-Year-Month]])</f>
        <v>0.5</v>
      </c>
    </row>
    <row r="7700" spans="1:26" x14ac:dyDescent="0.2">
      <c r="A7700" s="6">
        <v>943</v>
      </c>
      <c r="B7700" s="7">
        <v>6850</v>
      </c>
      <c r="C7700" s="8">
        <f>DATE(2012,12,31)-1054</f>
        <v>40220</v>
      </c>
      <c r="D7700" s="8" t="str">
        <f t="shared" si="146"/>
        <v>2010-02 (февраль 2010)</v>
      </c>
      <c r="E7700" s="9" t="s">
        <v>30</v>
      </c>
      <c r="F7700" s="7">
        <v>8</v>
      </c>
      <c r="G7700" s="7">
        <v>81.56</v>
      </c>
      <c r="H7700" s="7">
        <v>0.08</v>
      </c>
      <c r="I7700" s="9" t="s">
        <v>22</v>
      </c>
      <c r="J7700" s="10">
        <v>-7.23</v>
      </c>
      <c r="K7700" s="11">
        <v>10.01</v>
      </c>
      <c r="L7700" s="11">
        <v>1.99</v>
      </c>
      <c r="M7700" s="9" t="s">
        <v>965</v>
      </c>
      <c r="N7700" s="6" t="s">
        <v>2073</v>
      </c>
      <c r="O7700" s="6" t="s">
        <v>704</v>
      </c>
      <c r="P7700" s="9" t="s">
        <v>41</v>
      </c>
      <c r="Q7700" s="9" t="s">
        <v>42</v>
      </c>
      <c r="R7700" s="9" t="s">
        <v>70</v>
      </c>
      <c r="S7700" s="7" t="s">
        <v>444</v>
      </c>
      <c r="T7700" s="9" t="s">
        <v>52</v>
      </c>
      <c r="U7700" s="7">
        <v>0.41</v>
      </c>
      <c r="V7700" s="12">
        <f>C7700+0</f>
        <v>40220</v>
      </c>
      <c r="W7700">
        <f>IF(D7700=' Pivot Tables'!$A$4,1,0)</f>
        <v>0</v>
      </c>
      <c r="X7700">
        <f>IF(AND(LEFT(D7700,4)+1=LEFT(' Pivot Tables'!$A$4,4)+0,RIGHT(LEFT(D7700,7),2)=RIGHT(LEFT(' Pivot Tables'!$A$4,7),2)),1,0)</f>
        <v>0</v>
      </c>
      <c r="Y7700" s="6">
        <f>1/COUNTIF(Таблица1[Order ID],Таблица1[[#This Row],[Order ID]])</f>
        <v>0.25</v>
      </c>
      <c r="Z7700" s="9">
        <f>1/COUNTIFS(Таблица1[Customer Name],Таблица1[[#This Row],[Customer Name]],Таблица1[Order-Year-Month],Таблица1[[#This Row],[Order-Year-Month]])</f>
        <v>0.25</v>
      </c>
    </row>
    <row r="7701" spans="1:26" x14ac:dyDescent="0.2">
      <c r="A7701" s="6">
        <v>944</v>
      </c>
      <c r="B7701" s="7">
        <v>6850</v>
      </c>
      <c r="C7701" s="8">
        <f>DATE(2012,12,31)-1054</f>
        <v>40220</v>
      </c>
      <c r="D7701" s="8" t="str">
        <f t="shared" si="146"/>
        <v>2010-02 (февраль 2010)</v>
      </c>
      <c r="E7701" s="9" t="s">
        <v>30</v>
      </c>
      <c r="F7701" s="7">
        <v>41</v>
      </c>
      <c r="G7701" s="7">
        <v>2088.5</v>
      </c>
      <c r="H7701" s="7">
        <v>0.08</v>
      </c>
      <c r="I7701" s="9" t="s">
        <v>22</v>
      </c>
      <c r="J7701" s="10">
        <v>675.07</v>
      </c>
      <c r="K7701" s="11">
        <v>51.98</v>
      </c>
      <c r="L7701" s="11">
        <v>10.17</v>
      </c>
      <c r="M7701" s="9" t="s">
        <v>965</v>
      </c>
      <c r="N7701" s="6" t="s">
        <v>2073</v>
      </c>
      <c r="O7701" s="6" t="s">
        <v>704</v>
      </c>
      <c r="P7701" s="9" t="s">
        <v>41</v>
      </c>
      <c r="Q7701" s="9" t="s">
        <v>42</v>
      </c>
      <c r="R7701" s="9" t="s">
        <v>210</v>
      </c>
      <c r="S7701" s="7" t="s">
        <v>1215</v>
      </c>
      <c r="T7701" s="9" t="s">
        <v>48</v>
      </c>
      <c r="U7701" s="7">
        <v>0.37</v>
      </c>
      <c r="V7701" s="12">
        <f>C7701+1</f>
        <v>40221</v>
      </c>
      <c r="W7701">
        <f>IF(D7701=' Pivot Tables'!$A$4,1,0)</f>
        <v>0</v>
      </c>
      <c r="X7701">
        <f>IF(AND(LEFT(D7701,4)+1=LEFT(' Pivot Tables'!$A$4,4)+0,RIGHT(LEFT(D7701,7),2)=RIGHT(LEFT(' Pivot Tables'!$A$4,7),2)),1,0)</f>
        <v>0</v>
      </c>
      <c r="Y7701" s="6">
        <f>1/COUNTIF(Таблица1[Order ID],Таблица1[[#This Row],[Order ID]])</f>
        <v>0.25</v>
      </c>
      <c r="Z7701" s="9">
        <f>1/COUNTIFS(Таблица1[Customer Name],Таблица1[[#This Row],[Customer Name]],Таблица1[Order-Year-Month],Таблица1[[#This Row],[Order-Year-Month]])</f>
        <v>0.25</v>
      </c>
    </row>
    <row r="7702" spans="1:26" x14ac:dyDescent="0.2">
      <c r="A7702" s="6">
        <v>945</v>
      </c>
      <c r="B7702" s="7">
        <v>6850</v>
      </c>
      <c r="C7702" s="8">
        <f>DATE(2012,12,31)-1054</f>
        <v>40220</v>
      </c>
      <c r="D7702" s="8" t="str">
        <f t="shared" si="146"/>
        <v>2010-02 (февраль 2010)</v>
      </c>
      <c r="E7702" s="9" t="s">
        <v>30</v>
      </c>
      <c r="F7702" s="7">
        <v>34</v>
      </c>
      <c r="G7702" s="7">
        <v>2126.7199999999998</v>
      </c>
      <c r="H7702" s="7">
        <v>0.05</v>
      </c>
      <c r="I7702" s="9" t="s">
        <v>22</v>
      </c>
      <c r="J7702" s="10">
        <v>150.04</v>
      </c>
      <c r="K7702" s="11">
        <v>64.98</v>
      </c>
      <c r="L7702" s="11">
        <v>6.88</v>
      </c>
      <c r="M7702" s="9" t="s">
        <v>965</v>
      </c>
      <c r="N7702" s="6" t="s">
        <v>2073</v>
      </c>
      <c r="O7702" s="6" t="s">
        <v>704</v>
      </c>
      <c r="P7702" s="9" t="s">
        <v>41</v>
      </c>
      <c r="Q7702" s="9" t="s">
        <v>26</v>
      </c>
      <c r="R7702" s="9" t="s">
        <v>27</v>
      </c>
      <c r="S7702" s="7" t="s">
        <v>519</v>
      </c>
      <c r="T7702" s="9" t="s">
        <v>39</v>
      </c>
      <c r="U7702" s="7">
        <v>0.73</v>
      </c>
      <c r="V7702" s="12">
        <f>C7702+2</f>
        <v>40222</v>
      </c>
      <c r="W7702">
        <f>IF(D7702=' Pivot Tables'!$A$4,1,0)</f>
        <v>0</v>
      </c>
      <c r="X7702">
        <f>IF(AND(LEFT(D7702,4)+1=LEFT(' Pivot Tables'!$A$4,4)+0,RIGHT(LEFT(D7702,7),2)=RIGHT(LEFT(' Pivot Tables'!$A$4,7),2)),1,0)</f>
        <v>0</v>
      </c>
      <c r="Y7702" s="6">
        <f>1/COUNTIF(Таблица1[Order ID],Таблица1[[#This Row],[Order ID]])</f>
        <v>0.25</v>
      </c>
      <c r="Z7702" s="9">
        <f>1/COUNTIFS(Таблица1[Customer Name],Таблица1[[#This Row],[Customer Name]],Таблица1[Order-Year-Month],Таблица1[[#This Row],[Order-Year-Month]])</f>
        <v>0.25</v>
      </c>
    </row>
    <row r="7703" spans="1:26" x14ac:dyDescent="0.2">
      <c r="A7703" s="6">
        <v>946</v>
      </c>
      <c r="B7703" s="7">
        <v>6850</v>
      </c>
      <c r="C7703" s="8">
        <f>DATE(2012,12,31)-1054</f>
        <v>40220</v>
      </c>
      <c r="D7703" s="8" t="str">
        <f t="shared" si="146"/>
        <v>2010-02 (февраль 2010)</v>
      </c>
      <c r="E7703" s="9" t="s">
        <v>30</v>
      </c>
      <c r="F7703" s="7">
        <v>26</v>
      </c>
      <c r="G7703" s="7">
        <v>3753.72</v>
      </c>
      <c r="H7703" s="7">
        <v>0.05</v>
      </c>
      <c r="I7703" s="9" t="s">
        <v>31</v>
      </c>
      <c r="J7703" s="10">
        <v>-556.25</v>
      </c>
      <c r="K7703" s="11">
        <v>138.75</v>
      </c>
      <c r="L7703" s="11">
        <v>52.42</v>
      </c>
      <c r="M7703" s="9" t="s">
        <v>965</v>
      </c>
      <c r="N7703" s="6" t="s">
        <v>2073</v>
      </c>
      <c r="O7703" s="6" t="s">
        <v>704</v>
      </c>
      <c r="P7703" s="9" t="s">
        <v>41</v>
      </c>
      <c r="Q7703" s="9" t="s">
        <v>49</v>
      </c>
      <c r="R7703" s="9" t="s">
        <v>83</v>
      </c>
      <c r="S7703" s="7" t="s">
        <v>1596</v>
      </c>
      <c r="T7703" s="9" t="s">
        <v>82</v>
      </c>
      <c r="U7703" s="7">
        <v>0.74</v>
      </c>
      <c r="V7703" s="12">
        <f>C7703+1</f>
        <v>40221</v>
      </c>
      <c r="W7703">
        <f>IF(D7703=' Pivot Tables'!$A$4,1,0)</f>
        <v>0</v>
      </c>
      <c r="X7703">
        <f>IF(AND(LEFT(D7703,4)+1=LEFT(' Pivot Tables'!$A$4,4)+0,RIGHT(LEFT(D7703,7),2)=RIGHT(LEFT(' Pivot Tables'!$A$4,7),2)),1,0)</f>
        <v>0</v>
      </c>
      <c r="Y7703" s="6">
        <f>1/COUNTIF(Таблица1[Order ID],Таблица1[[#This Row],[Order ID]])</f>
        <v>0.25</v>
      </c>
      <c r="Z7703" s="9">
        <f>1/COUNTIFS(Таблица1[Customer Name],Таблица1[[#This Row],[Customer Name]],Таблица1[Order-Year-Month],Таблица1[[#This Row],[Order-Year-Month]])</f>
        <v>0.25</v>
      </c>
    </row>
    <row r="7704" spans="1:26" x14ac:dyDescent="0.2">
      <c r="A7704" s="6">
        <v>1028</v>
      </c>
      <c r="B7704" s="7">
        <v>7488</v>
      </c>
      <c r="C7704" s="8">
        <f>DATE(2012,12,31)-242</f>
        <v>41032</v>
      </c>
      <c r="D7704" s="8" t="str">
        <f t="shared" si="146"/>
        <v>2012-05 (май 2012)</v>
      </c>
      <c r="E7704" s="9" t="s">
        <v>78</v>
      </c>
      <c r="F7704" s="7">
        <v>9</v>
      </c>
      <c r="G7704" s="7">
        <v>26.09</v>
      </c>
      <c r="H7704" s="7">
        <v>0.08</v>
      </c>
      <c r="I7704" s="9" t="s">
        <v>22</v>
      </c>
      <c r="J7704" s="10">
        <v>-1.76</v>
      </c>
      <c r="K7704" s="11">
        <v>2.84</v>
      </c>
      <c r="L7704" s="11">
        <v>0.93</v>
      </c>
      <c r="M7704" s="9" t="s">
        <v>965</v>
      </c>
      <c r="N7704" s="6" t="s">
        <v>2073</v>
      </c>
      <c r="O7704" s="6" t="s">
        <v>704</v>
      </c>
      <c r="P7704" s="9" t="s">
        <v>41</v>
      </c>
      <c r="Q7704" s="9" t="s">
        <v>26</v>
      </c>
      <c r="R7704" s="9" t="s">
        <v>95</v>
      </c>
      <c r="S7704" s="7" t="s">
        <v>98</v>
      </c>
      <c r="T7704" s="9" t="s">
        <v>68</v>
      </c>
      <c r="U7704" s="7">
        <v>0.54</v>
      </c>
      <c r="V7704" s="12">
        <f>C7704+1</f>
        <v>41033</v>
      </c>
      <c r="W7704">
        <f>IF(D7704=' Pivot Tables'!$A$4,1,0)</f>
        <v>0</v>
      </c>
      <c r="X7704">
        <f>IF(AND(LEFT(D7704,4)+1=LEFT(' Pivot Tables'!$A$4,4)+0,RIGHT(LEFT(D7704,7),2)=RIGHT(LEFT(' Pivot Tables'!$A$4,7),2)),1,0)</f>
        <v>0</v>
      </c>
      <c r="Y7704" s="6">
        <f>1/COUNTIF(Таблица1[Order ID],Таблица1[[#This Row],[Order ID]])</f>
        <v>1</v>
      </c>
      <c r="Z7704" s="9">
        <f>1/COUNTIFS(Таблица1[Customer Name],Таблица1[[#This Row],[Customer Name]],Таблица1[Order-Year-Month],Таблица1[[#This Row],[Order-Year-Month]])</f>
        <v>1</v>
      </c>
    </row>
    <row r="7705" spans="1:26" x14ac:dyDescent="0.2">
      <c r="A7705" s="6">
        <v>1033</v>
      </c>
      <c r="B7705" s="7">
        <v>7552</v>
      </c>
      <c r="C7705" s="8">
        <f>DATE(2012,12,31)-112</f>
        <v>41162</v>
      </c>
      <c r="D7705" s="8" t="str">
        <f t="shared" si="146"/>
        <v>2012-09 (сентябрь 2012)</v>
      </c>
      <c r="E7705" s="9" t="s">
        <v>78</v>
      </c>
      <c r="F7705" s="7">
        <v>47</v>
      </c>
      <c r="G7705" s="7">
        <v>1406.49</v>
      </c>
      <c r="H7705" s="7">
        <v>0.02</v>
      </c>
      <c r="I7705" s="9" t="s">
        <v>22</v>
      </c>
      <c r="J7705" s="10">
        <v>332.52</v>
      </c>
      <c r="K7705" s="11">
        <v>28.15</v>
      </c>
      <c r="L7705" s="11">
        <v>6.17</v>
      </c>
      <c r="M7705" s="9" t="s">
        <v>965</v>
      </c>
      <c r="N7705" s="6" t="s">
        <v>2073</v>
      </c>
      <c r="O7705" s="6" t="s">
        <v>704</v>
      </c>
      <c r="P7705" s="9" t="s">
        <v>41</v>
      </c>
      <c r="Q7705" s="9" t="s">
        <v>26</v>
      </c>
      <c r="R7705" s="9" t="s">
        <v>95</v>
      </c>
      <c r="S7705" s="7" t="s">
        <v>1753</v>
      </c>
      <c r="T7705" s="9" t="s">
        <v>52</v>
      </c>
      <c r="U7705" s="7">
        <v>0.55000000000000004</v>
      </c>
      <c r="V7705" s="12">
        <f>C7705+2</f>
        <v>41164</v>
      </c>
      <c r="W7705">
        <f>IF(D7705=' Pivot Tables'!$A$4,1,0)</f>
        <v>0</v>
      </c>
      <c r="X7705">
        <f>IF(AND(LEFT(D7705,4)+1=LEFT(' Pivot Tables'!$A$4,4)+0,RIGHT(LEFT(D7705,7),2)=RIGHT(LEFT(' Pivot Tables'!$A$4,7),2)),1,0)</f>
        <v>0</v>
      </c>
      <c r="Y7705" s="6">
        <f>1/COUNTIF(Таблица1[Order ID],Таблица1[[#This Row],[Order ID]])</f>
        <v>0.5</v>
      </c>
      <c r="Z7705" s="9">
        <f>1/COUNTIFS(Таблица1[Customer Name],Таблица1[[#This Row],[Customer Name]],Таблица1[Order-Year-Month],Таблица1[[#This Row],[Order-Year-Month]])</f>
        <v>0.5</v>
      </c>
    </row>
    <row r="7706" spans="1:26" x14ac:dyDescent="0.2">
      <c r="A7706" s="6">
        <v>1034</v>
      </c>
      <c r="B7706" s="7">
        <v>7552</v>
      </c>
      <c r="C7706" s="8">
        <f>DATE(2012,12,31)-112</f>
        <v>41162</v>
      </c>
      <c r="D7706" s="8" t="str">
        <f t="shared" si="146"/>
        <v>2012-09 (сентябрь 2012)</v>
      </c>
      <c r="E7706" s="9" t="s">
        <v>78</v>
      </c>
      <c r="F7706" s="7">
        <v>49</v>
      </c>
      <c r="G7706" s="7">
        <v>587.71</v>
      </c>
      <c r="H7706" s="7">
        <v>0.09</v>
      </c>
      <c r="I7706" s="9" t="s">
        <v>22</v>
      </c>
      <c r="J7706" s="10">
        <v>26.28</v>
      </c>
      <c r="K7706" s="11">
        <v>12.98</v>
      </c>
      <c r="L7706" s="11">
        <v>3.14</v>
      </c>
      <c r="M7706" s="9" t="s">
        <v>965</v>
      </c>
      <c r="N7706" s="6" t="s">
        <v>2073</v>
      </c>
      <c r="O7706" s="6" t="s">
        <v>704</v>
      </c>
      <c r="P7706" s="9" t="s">
        <v>41</v>
      </c>
      <c r="Q7706" s="9" t="s">
        <v>26</v>
      </c>
      <c r="R7706" s="9" t="s">
        <v>150</v>
      </c>
      <c r="S7706" s="7" t="s">
        <v>356</v>
      </c>
      <c r="T7706" s="9" t="s">
        <v>52</v>
      </c>
      <c r="U7706" s="7">
        <v>0.6</v>
      </c>
      <c r="V7706" s="12">
        <f>C7706+2</f>
        <v>41164</v>
      </c>
      <c r="W7706">
        <f>IF(D7706=' Pivot Tables'!$A$4,1,0)</f>
        <v>0</v>
      </c>
      <c r="X7706">
        <f>IF(AND(LEFT(D7706,4)+1=LEFT(' Pivot Tables'!$A$4,4)+0,RIGHT(LEFT(D7706,7),2)=RIGHT(LEFT(' Pivot Tables'!$A$4,7),2)),1,0)</f>
        <v>0</v>
      </c>
      <c r="Y7706" s="6">
        <f>1/COUNTIF(Таблица1[Order ID],Таблица1[[#This Row],[Order ID]])</f>
        <v>0.5</v>
      </c>
      <c r="Z7706" s="9">
        <f>1/COUNTIFS(Таблица1[Customer Name],Таблица1[[#This Row],[Customer Name]],Таблица1[Order-Year-Month],Таблица1[[#This Row],[Order-Year-Month]])</f>
        <v>0.5</v>
      </c>
    </row>
    <row r="7707" spans="1:26" x14ac:dyDescent="0.2">
      <c r="A7707" s="6">
        <v>1039</v>
      </c>
      <c r="B7707" s="7">
        <v>7585</v>
      </c>
      <c r="C7707" s="8">
        <f>DATE(2012,12,31)-592</f>
        <v>40682</v>
      </c>
      <c r="D7707" s="8" t="str">
        <f t="shared" si="146"/>
        <v>2011-05 (май 2011)</v>
      </c>
      <c r="E7707" s="9" t="s">
        <v>30</v>
      </c>
      <c r="F7707" s="7">
        <v>34</v>
      </c>
      <c r="G7707" s="7">
        <v>650.1395</v>
      </c>
      <c r="H7707" s="7">
        <v>0</v>
      </c>
      <c r="I7707" s="9" t="s">
        <v>22</v>
      </c>
      <c r="J7707" s="10">
        <v>22.571999999999999</v>
      </c>
      <c r="K7707" s="11">
        <v>20.99</v>
      </c>
      <c r="L7707" s="11">
        <v>1.25</v>
      </c>
      <c r="M7707" s="9" t="s">
        <v>1043</v>
      </c>
      <c r="N7707" s="6" t="s">
        <v>2073</v>
      </c>
      <c r="O7707" s="6" t="s">
        <v>704</v>
      </c>
      <c r="P7707" s="9" t="s">
        <v>33</v>
      </c>
      <c r="Q7707" s="9" t="s">
        <v>42</v>
      </c>
      <c r="R7707" s="9" t="s">
        <v>43</v>
      </c>
      <c r="S7707" s="7" t="s">
        <v>285</v>
      </c>
      <c r="T7707" s="9" t="s">
        <v>52</v>
      </c>
      <c r="U7707" s="7">
        <v>0.83</v>
      </c>
      <c r="V7707" s="12">
        <f>C7707+2</f>
        <v>40684</v>
      </c>
      <c r="W7707">
        <f>IF(D7707=' Pivot Tables'!$A$4,1,0)</f>
        <v>0</v>
      </c>
      <c r="X7707">
        <f>IF(AND(LEFT(D7707,4)+1=LEFT(' Pivot Tables'!$A$4,4)+0,RIGHT(LEFT(D7707,7),2)=RIGHT(LEFT(' Pivot Tables'!$A$4,7),2)),1,0)</f>
        <v>0</v>
      </c>
      <c r="Y7707" s="6">
        <f>1/COUNTIF(Таблица1[Order ID],Таблица1[[#This Row],[Order ID]])</f>
        <v>1</v>
      </c>
      <c r="Z7707" s="9">
        <f>1/COUNTIFS(Таблица1[Customer Name],Таблица1[[#This Row],[Customer Name]],Таблица1[Order-Year-Month],Таблица1[[#This Row],[Order-Year-Month]])</f>
        <v>1</v>
      </c>
    </row>
    <row r="7708" spans="1:26" x14ac:dyDescent="0.2">
      <c r="A7708" s="6">
        <v>1133</v>
      </c>
      <c r="B7708" s="7">
        <v>8289</v>
      </c>
      <c r="C7708" s="8">
        <f>DATE(2012,12,31)-64</f>
        <v>41210</v>
      </c>
      <c r="D7708" s="8" t="str">
        <f t="shared" si="146"/>
        <v>2012-10 (октябрь 2012)</v>
      </c>
      <c r="E7708" s="9" t="s">
        <v>21</v>
      </c>
      <c r="F7708" s="7">
        <v>38</v>
      </c>
      <c r="G7708" s="7">
        <v>572.74</v>
      </c>
      <c r="H7708" s="7">
        <v>0</v>
      </c>
      <c r="I7708" s="9" t="s">
        <v>22</v>
      </c>
      <c r="J7708" s="10">
        <v>53.311999999999998</v>
      </c>
      <c r="K7708" s="11">
        <v>14.45</v>
      </c>
      <c r="L7708" s="11">
        <v>7.17</v>
      </c>
      <c r="M7708" s="9" t="s">
        <v>1043</v>
      </c>
      <c r="N7708" s="6" t="s">
        <v>2073</v>
      </c>
      <c r="O7708" s="6" t="s">
        <v>704</v>
      </c>
      <c r="P7708" s="9" t="s">
        <v>33</v>
      </c>
      <c r="Q7708" s="9" t="s">
        <v>26</v>
      </c>
      <c r="R7708" s="9" t="s">
        <v>37</v>
      </c>
      <c r="S7708" s="7" t="s">
        <v>1125</v>
      </c>
      <c r="T7708" s="9" t="s">
        <v>39</v>
      </c>
      <c r="U7708" s="7">
        <v>0.38</v>
      </c>
      <c r="V7708" s="12">
        <f>C7708+0</f>
        <v>41210</v>
      </c>
      <c r="W7708">
        <f>IF(D7708=' Pivot Tables'!$A$4,1,0)</f>
        <v>0</v>
      </c>
      <c r="X7708">
        <f>IF(AND(LEFT(D7708,4)+1=LEFT(' Pivot Tables'!$A$4,4)+0,RIGHT(LEFT(D7708,7),2)=RIGHT(LEFT(' Pivot Tables'!$A$4,7),2)),1,0)</f>
        <v>0</v>
      </c>
      <c r="Y7708" s="6">
        <f>1/COUNTIF(Таблица1[Order ID],Таблица1[[#This Row],[Order ID]])</f>
        <v>1</v>
      </c>
      <c r="Z7708" s="9">
        <f>1/COUNTIFS(Таблица1[Customer Name],Таблица1[[#This Row],[Customer Name]],Таблица1[Order-Year-Month],Таблица1[[#This Row],[Order-Year-Month]])</f>
        <v>1</v>
      </c>
    </row>
    <row r="7709" spans="1:26" x14ac:dyDescent="0.2">
      <c r="A7709" s="6">
        <v>1188</v>
      </c>
      <c r="B7709" s="7">
        <v>8679</v>
      </c>
      <c r="C7709" s="8">
        <f>DATE(2012,12,31)-239</f>
        <v>41035</v>
      </c>
      <c r="D7709" s="8" t="str">
        <f t="shared" si="146"/>
        <v>2012-05 (май 2012)</v>
      </c>
      <c r="E7709" s="9" t="s">
        <v>63</v>
      </c>
      <c r="F7709" s="7">
        <v>46</v>
      </c>
      <c r="G7709" s="7">
        <v>446.06</v>
      </c>
      <c r="H7709" s="7">
        <v>0.01</v>
      </c>
      <c r="I7709" s="9" t="s">
        <v>22</v>
      </c>
      <c r="J7709" s="10">
        <v>161.32</v>
      </c>
      <c r="K7709" s="11">
        <v>9.11</v>
      </c>
      <c r="L7709" s="11">
        <v>2.15</v>
      </c>
      <c r="M7709" s="9" t="s">
        <v>1902</v>
      </c>
      <c r="N7709" s="6" t="s">
        <v>2073</v>
      </c>
      <c r="O7709" s="6" t="s">
        <v>704</v>
      </c>
      <c r="P7709" s="9" t="s">
        <v>60</v>
      </c>
      <c r="Q7709" s="9" t="s">
        <v>26</v>
      </c>
      <c r="R7709" s="9" t="s">
        <v>61</v>
      </c>
      <c r="S7709" s="7" t="s">
        <v>1402</v>
      </c>
      <c r="T7709" s="9" t="s">
        <v>68</v>
      </c>
      <c r="U7709" s="7">
        <v>0.4</v>
      </c>
      <c r="V7709" s="12">
        <f>C7709+1</f>
        <v>41036</v>
      </c>
      <c r="W7709">
        <f>IF(D7709=' Pivot Tables'!$A$4,1,0)</f>
        <v>0</v>
      </c>
      <c r="X7709">
        <f>IF(AND(LEFT(D7709,4)+1=LEFT(' Pivot Tables'!$A$4,4)+0,RIGHT(LEFT(D7709,7),2)=RIGHT(LEFT(' Pivot Tables'!$A$4,7),2)),1,0)</f>
        <v>0</v>
      </c>
      <c r="Y7709" s="6">
        <f>1/COUNTIF(Таблица1[Order ID],Таблица1[[#This Row],[Order ID]])</f>
        <v>1</v>
      </c>
      <c r="Z7709" s="9">
        <f>1/COUNTIFS(Таблица1[Customer Name],Таблица1[[#This Row],[Customer Name]],Таблица1[Order-Year-Month],Таблица1[[#This Row],[Order-Year-Month]])</f>
        <v>1</v>
      </c>
    </row>
    <row r="7710" spans="1:26" x14ac:dyDescent="0.2">
      <c r="A7710" s="6">
        <v>1740</v>
      </c>
      <c r="B7710" s="7">
        <v>12481</v>
      </c>
      <c r="C7710" s="8">
        <f>DATE(2012,12,31)-540</f>
        <v>40734</v>
      </c>
      <c r="D7710" s="8" t="str">
        <f t="shared" si="146"/>
        <v>2011-07 (июль 2011)</v>
      </c>
      <c r="E7710" s="9" t="s">
        <v>78</v>
      </c>
      <c r="F7710" s="7">
        <v>37</v>
      </c>
      <c r="G7710" s="7">
        <v>744</v>
      </c>
      <c r="H7710" s="7">
        <v>0.04</v>
      </c>
      <c r="I7710" s="9" t="s">
        <v>22</v>
      </c>
      <c r="J7710" s="10">
        <v>215.8</v>
      </c>
      <c r="K7710" s="11">
        <v>20.89</v>
      </c>
      <c r="L7710" s="11">
        <v>1.99</v>
      </c>
      <c r="M7710" s="9" t="s">
        <v>965</v>
      </c>
      <c r="N7710" s="6" t="s">
        <v>2073</v>
      </c>
      <c r="O7710" s="6" t="s">
        <v>704</v>
      </c>
      <c r="P7710" s="9" t="s">
        <v>41</v>
      </c>
      <c r="Q7710" s="9" t="s">
        <v>42</v>
      </c>
      <c r="R7710" s="9" t="s">
        <v>70</v>
      </c>
      <c r="S7710" s="7" t="s">
        <v>303</v>
      </c>
      <c r="T7710" s="9" t="s">
        <v>52</v>
      </c>
      <c r="U7710" s="7">
        <v>0.48</v>
      </c>
      <c r="V7710" s="12">
        <f>C7710+2</f>
        <v>40736</v>
      </c>
      <c r="W7710">
        <f>IF(D7710=' Pivot Tables'!$A$4,1,0)</f>
        <v>0</v>
      </c>
      <c r="X7710">
        <f>IF(AND(LEFT(D7710,4)+1=LEFT(' Pivot Tables'!$A$4,4)+0,RIGHT(LEFT(D7710,7),2)=RIGHT(LEFT(' Pivot Tables'!$A$4,7),2)),1,0)</f>
        <v>0</v>
      </c>
      <c r="Y7710" s="6">
        <f>1/COUNTIF(Таблица1[Order ID],Таблица1[[#This Row],[Order ID]])</f>
        <v>0.5</v>
      </c>
      <c r="Z7710" s="9">
        <f>1/COUNTIFS(Таблица1[Customer Name],Таблица1[[#This Row],[Customer Name]],Таблица1[Order-Year-Month],Таблица1[[#This Row],[Order-Year-Month]])</f>
        <v>0.5</v>
      </c>
    </row>
    <row r="7711" spans="1:26" x14ac:dyDescent="0.2">
      <c r="A7711" s="6">
        <v>1741</v>
      </c>
      <c r="B7711" s="7">
        <v>12481</v>
      </c>
      <c r="C7711" s="8">
        <f>DATE(2012,12,31)-540</f>
        <v>40734</v>
      </c>
      <c r="D7711" s="8" t="str">
        <f t="shared" si="146"/>
        <v>2011-07 (июль 2011)</v>
      </c>
      <c r="E7711" s="9" t="s">
        <v>78</v>
      </c>
      <c r="F7711" s="7">
        <v>12</v>
      </c>
      <c r="G7711" s="7">
        <v>388.86649999999997</v>
      </c>
      <c r="H7711" s="7">
        <v>0.01</v>
      </c>
      <c r="I7711" s="9" t="s">
        <v>22</v>
      </c>
      <c r="J7711" s="10">
        <v>103.05</v>
      </c>
      <c r="K7711" s="11">
        <v>35.99</v>
      </c>
      <c r="L7711" s="11">
        <v>0.99</v>
      </c>
      <c r="M7711" s="9" t="s">
        <v>965</v>
      </c>
      <c r="N7711" s="6" t="s">
        <v>2073</v>
      </c>
      <c r="O7711" s="6" t="s">
        <v>704</v>
      </c>
      <c r="P7711" s="9" t="s">
        <v>41</v>
      </c>
      <c r="Q7711" s="9" t="s">
        <v>42</v>
      </c>
      <c r="R7711" s="9" t="s">
        <v>43</v>
      </c>
      <c r="S7711" s="7" t="s">
        <v>437</v>
      </c>
      <c r="T7711" s="9" t="s">
        <v>52</v>
      </c>
      <c r="U7711" s="7">
        <v>0.35</v>
      </c>
      <c r="V7711" s="12">
        <f>C7711+0</f>
        <v>40734</v>
      </c>
      <c r="W7711">
        <f>IF(D7711=' Pivot Tables'!$A$4,1,0)</f>
        <v>0</v>
      </c>
      <c r="X7711">
        <f>IF(AND(LEFT(D7711,4)+1=LEFT(' Pivot Tables'!$A$4,4)+0,RIGHT(LEFT(D7711,7),2)=RIGHT(LEFT(' Pivot Tables'!$A$4,7),2)),1,0)</f>
        <v>0</v>
      </c>
      <c r="Y7711" s="6">
        <f>1/COUNTIF(Таблица1[Order ID],Таблица1[[#This Row],[Order ID]])</f>
        <v>0.5</v>
      </c>
      <c r="Z7711" s="9">
        <f>1/COUNTIFS(Таблица1[Customer Name],Таблица1[[#This Row],[Customer Name]],Таблица1[Order-Year-Month],Таблица1[[#This Row],[Order-Year-Month]])</f>
        <v>0.5</v>
      </c>
    </row>
    <row r="7712" spans="1:26" x14ac:dyDescent="0.2">
      <c r="A7712" s="6">
        <v>1804</v>
      </c>
      <c r="B7712" s="7">
        <v>12902</v>
      </c>
      <c r="C7712" s="8">
        <f>DATE(2012,12,31)-794</f>
        <v>40480</v>
      </c>
      <c r="D7712" s="8" t="str">
        <f t="shared" si="146"/>
        <v>2010-10 (октябрь 2010)</v>
      </c>
      <c r="E7712" s="9" t="s">
        <v>45</v>
      </c>
      <c r="F7712" s="7">
        <v>30</v>
      </c>
      <c r="G7712" s="7">
        <v>3645.45</v>
      </c>
      <c r="H7712" s="7">
        <v>0.04</v>
      </c>
      <c r="I7712" s="9" t="s">
        <v>31</v>
      </c>
      <c r="J7712" s="10">
        <v>-765.5</v>
      </c>
      <c r="K7712" s="11">
        <v>120.98</v>
      </c>
      <c r="L7712" s="11">
        <v>56.7</v>
      </c>
      <c r="M7712" s="9" t="s">
        <v>912</v>
      </c>
      <c r="N7712" s="6" t="s">
        <v>2073</v>
      </c>
      <c r="O7712" s="6" t="s">
        <v>704</v>
      </c>
      <c r="P7712" s="9" t="s">
        <v>60</v>
      </c>
      <c r="Q7712" s="9" t="s">
        <v>49</v>
      </c>
      <c r="R7712" s="9" t="s">
        <v>80</v>
      </c>
      <c r="S7712" s="7" t="s">
        <v>2086</v>
      </c>
      <c r="T7712" s="9" t="s">
        <v>82</v>
      </c>
      <c r="U7712" s="7">
        <v>0.68</v>
      </c>
      <c r="V7712" s="12">
        <f>C7712+2</f>
        <v>40482</v>
      </c>
      <c r="W7712">
        <f>IF(D7712=' Pivot Tables'!$A$4,1,0)</f>
        <v>0</v>
      </c>
      <c r="X7712">
        <f>IF(AND(LEFT(D7712,4)+1=LEFT(' Pivot Tables'!$A$4,4)+0,RIGHT(LEFT(D7712,7),2)=RIGHT(LEFT(' Pivot Tables'!$A$4,7),2)),1,0)</f>
        <v>0</v>
      </c>
      <c r="Y7712" s="6">
        <f>1/COUNTIF(Таблица1[Order ID],Таблица1[[#This Row],[Order ID]])</f>
        <v>0.5</v>
      </c>
      <c r="Z7712" s="9">
        <f>1/COUNTIFS(Таблица1[Customer Name],Таблица1[[#This Row],[Customer Name]],Таблица1[Order-Year-Month],Таблица1[[#This Row],[Order-Year-Month]])</f>
        <v>0.5</v>
      </c>
    </row>
    <row r="7713" spans="1:26" x14ac:dyDescent="0.2">
      <c r="A7713" s="6">
        <v>2789</v>
      </c>
      <c r="B7713" s="7">
        <v>20128</v>
      </c>
      <c r="C7713" s="8">
        <f>DATE(2012,12,31)-1218</f>
        <v>40056</v>
      </c>
      <c r="D7713" s="8" t="str">
        <f t="shared" si="146"/>
        <v>2009-08 (август 2009)</v>
      </c>
      <c r="E7713" s="9" t="s">
        <v>45</v>
      </c>
      <c r="F7713" s="7">
        <v>32</v>
      </c>
      <c r="G7713" s="7">
        <v>279.43</v>
      </c>
      <c r="H7713" s="7">
        <v>0</v>
      </c>
      <c r="I7713" s="9" t="s">
        <v>22</v>
      </c>
      <c r="J7713" s="10">
        <v>48.47</v>
      </c>
      <c r="K7713" s="11">
        <v>8.5</v>
      </c>
      <c r="L7713" s="11">
        <v>1.99</v>
      </c>
      <c r="M7713" s="9" t="s">
        <v>965</v>
      </c>
      <c r="N7713" s="6" t="s">
        <v>2073</v>
      </c>
      <c r="O7713" s="6" t="s">
        <v>704</v>
      </c>
      <c r="P7713" s="9" t="s">
        <v>41</v>
      </c>
      <c r="Q7713" s="9" t="s">
        <v>42</v>
      </c>
      <c r="R7713" s="9" t="s">
        <v>70</v>
      </c>
      <c r="S7713" s="7" t="s">
        <v>863</v>
      </c>
      <c r="T7713" s="9" t="s">
        <v>52</v>
      </c>
      <c r="U7713" s="7">
        <v>0.49</v>
      </c>
      <c r="V7713" s="12">
        <f>C7713+2</f>
        <v>40058</v>
      </c>
      <c r="W7713">
        <f>IF(D7713=' Pivot Tables'!$A$4,1,0)</f>
        <v>0</v>
      </c>
      <c r="X7713">
        <f>IF(AND(LEFT(D7713,4)+1=LEFT(' Pivot Tables'!$A$4,4)+0,RIGHT(LEFT(D7713,7),2)=RIGHT(LEFT(' Pivot Tables'!$A$4,7),2)),1,0)</f>
        <v>0</v>
      </c>
      <c r="Y7713" s="6">
        <f>1/COUNTIF(Таблица1[Order ID],Таблица1[[#This Row],[Order ID]])</f>
        <v>0.5</v>
      </c>
      <c r="Z7713" s="9">
        <f>1/COUNTIFS(Таблица1[Customer Name],Таблица1[[#This Row],[Customer Name]],Таблица1[Order-Year-Month],Таблица1[[#This Row],[Order-Year-Month]])</f>
        <v>0.5</v>
      </c>
    </row>
    <row r="7714" spans="1:26" x14ac:dyDescent="0.2">
      <c r="A7714" s="6">
        <v>2790</v>
      </c>
      <c r="B7714" s="7">
        <v>20128</v>
      </c>
      <c r="C7714" s="8">
        <f>DATE(2012,12,31)-1218</f>
        <v>40056</v>
      </c>
      <c r="D7714" s="8" t="str">
        <f t="shared" si="146"/>
        <v>2009-08 (август 2009)</v>
      </c>
      <c r="E7714" s="9" t="s">
        <v>45</v>
      </c>
      <c r="F7714" s="7">
        <v>5</v>
      </c>
      <c r="G7714" s="7">
        <v>515.22</v>
      </c>
      <c r="H7714" s="7">
        <v>0.03</v>
      </c>
      <c r="I7714" s="9" t="s">
        <v>22</v>
      </c>
      <c r="J7714" s="10">
        <v>-152.54</v>
      </c>
      <c r="K7714" s="11">
        <v>95.43</v>
      </c>
      <c r="L7714" s="11">
        <v>19.989999999999998</v>
      </c>
      <c r="M7714" s="9" t="s">
        <v>965</v>
      </c>
      <c r="N7714" s="6" t="s">
        <v>2073</v>
      </c>
      <c r="O7714" s="6" t="s">
        <v>704</v>
      </c>
      <c r="P7714" s="9" t="s">
        <v>41</v>
      </c>
      <c r="Q7714" s="9" t="s">
        <v>26</v>
      </c>
      <c r="R7714" s="9" t="s">
        <v>27</v>
      </c>
      <c r="S7714" s="7" t="s">
        <v>377</v>
      </c>
      <c r="T7714" s="9" t="s">
        <v>39</v>
      </c>
      <c r="U7714" s="7">
        <v>0.79</v>
      </c>
      <c r="V7714" s="12">
        <f>C7714+2</f>
        <v>40058</v>
      </c>
      <c r="W7714">
        <f>IF(D7714=' Pivot Tables'!$A$4,1,0)</f>
        <v>0</v>
      </c>
      <c r="X7714">
        <f>IF(AND(LEFT(D7714,4)+1=LEFT(' Pivot Tables'!$A$4,4)+0,RIGHT(LEFT(D7714,7),2)=RIGHT(LEFT(' Pivot Tables'!$A$4,7),2)),1,0)</f>
        <v>0</v>
      </c>
      <c r="Y7714" s="6">
        <f>1/COUNTIF(Таблица1[Order ID],Таблица1[[#This Row],[Order ID]])</f>
        <v>0.5</v>
      </c>
      <c r="Z7714" s="9">
        <f>1/COUNTIFS(Таблица1[Customer Name],Таблица1[[#This Row],[Customer Name]],Таблица1[Order-Year-Month],Таблица1[[#This Row],[Order-Year-Month]])</f>
        <v>0.5</v>
      </c>
    </row>
    <row r="7715" spans="1:26" x14ac:dyDescent="0.2">
      <c r="A7715" s="6">
        <v>2861</v>
      </c>
      <c r="B7715" s="7">
        <v>20642</v>
      </c>
      <c r="C7715" s="8">
        <f>DATE(2012,12,31)-226</f>
        <v>41048</v>
      </c>
      <c r="D7715" s="8" t="str">
        <f t="shared" si="146"/>
        <v>2012-05 (май 2012)</v>
      </c>
      <c r="E7715" s="9" t="s">
        <v>30</v>
      </c>
      <c r="F7715" s="7">
        <v>47</v>
      </c>
      <c r="G7715" s="7">
        <v>1078.98</v>
      </c>
      <c r="H7715" s="7">
        <v>0.02</v>
      </c>
      <c r="I7715" s="9" t="s">
        <v>31</v>
      </c>
      <c r="J7715" s="10">
        <v>-1637.52</v>
      </c>
      <c r="K7715" s="11">
        <v>20.98</v>
      </c>
      <c r="L7715" s="11">
        <v>45</v>
      </c>
      <c r="M7715" s="9" t="s">
        <v>1043</v>
      </c>
      <c r="N7715" s="6" t="s">
        <v>2073</v>
      </c>
      <c r="O7715" s="6" t="s">
        <v>704</v>
      </c>
      <c r="P7715" s="9" t="s">
        <v>33</v>
      </c>
      <c r="Q7715" s="9" t="s">
        <v>26</v>
      </c>
      <c r="R7715" s="9" t="s">
        <v>27</v>
      </c>
      <c r="S7715" s="7" t="s">
        <v>578</v>
      </c>
      <c r="T7715" s="9" t="s">
        <v>36</v>
      </c>
      <c r="U7715" s="7">
        <v>0.61</v>
      </c>
      <c r="V7715" s="12">
        <f>C7715+0</f>
        <v>41048</v>
      </c>
      <c r="W7715">
        <f>IF(D7715=' Pivot Tables'!$A$4,1,0)</f>
        <v>0</v>
      </c>
      <c r="X7715">
        <f>IF(AND(LEFT(D7715,4)+1=LEFT(' Pivot Tables'!$A$4,4)+0,RIGHT(LEFT(D7715,7),2)=RIGHT(LEFT(' Pivot Tables'!$A$4,7),2)),1,0)</f>
        <v>0</v>
      </c>
      <c r="Y7715" s="6">
        <f>1/COUNTIF(Таблица1[Order ID],Таблица1[[#This Row],[Order ID]])</f>
        <v>0.5</v>
      </c>
      <c r="Z7715" s="9">
        <f>1/COUNTIFS(Таблица1[Customer Name],Таблица1[[#This Row],[Customer Name]],Таблица1[Order-Year-Month],Таблица1[[#This Row],[Order-Year-Month]])</f>
        <v>0.5</v>
      </c>
    </row>
    <row r="7716" spans="1:26" x14ac:dyDescent="0.2">
      <c r="A7716" s="6">
        <v>3486</v>
      </c>
      <c r="B7716" s="7">
        <v>24804</v>
      </c>
      <c r="C7716" s="8">
        <f>DATE(2012,12,31)-584</f>
        <v>40690</v>
      </c>
      <c r="D7716" s="8" t="str">
        <f t="shared" si="146"/>
        <v>2011-05 (май 2011)</v>
      </c>
      <c r="E7716" s="9" t="s">
        <v>45</v>
      </c>
      <c r="F7716" s="7">
        <v>20</v>
      </c>
      <c r="G7716" s="7">
        <v>211.42</v>
      </c>
      <c r="H7716" s="7">
        <v>0</v>
      </c>
      <c r="I7716" s="9" t="s">
        <v>22</v>
      </c>
      <c r="J7716" s="10">
        <v>-113.52</v>
      </c>
      <c r="K7716" s="11">
        <v>9.7100000000000009</v>
      </c>
      <c r="L7716" s="11">
        <v>9.4499999999999993</v>
      </c>
      <c r="M7716" s="9" t="s">
        <v>1902</v>
      </c>
      <c r="N7716" s="6" t="s">
        <v>2073</v>
      </c>
      <c r="O7716" s="6" t="s">
        <v>704</v>
      </c>
      <c r="P7716" s="9" t="s">
        <v>60</v>
      </c>
      <c r="Q7716" s="9" t="s">
        <v>26</v>
      </c>
      <c r="R7716" s="9" t="s">
        <v>27</v>
      </c>
      <c r="S7716" s="7" t="s">
        <v>927</v>
      </c>
      <c r="T7716" s="9" t="s">
        <v>39</v>
      </c>
      <c r="U7716" s="7">
        <v>0.6</v>
      </c>
      <c r="V7716" s="12">
        <f>C7716+2</f>
        <v>40692</v>
      </c>
      <c r="W7716">
        <f>IF(D7716=' Pivot Tables'!$A$4,1,0)</f>
        <v>0</v>
      </c>
      <c r="X7716">
        <f>IF(AND(LEFT(D7716,4)+1=LEFT(' Pivot Tables'!$A$4,4)+0,RIGHT(LEFT(D7716,7),2)=RIGHT(LEFT(' Pivot Tables'!$A$4,7),2)),1,0)</f>
        <v>0</v>
      </c>
      <c r="Y7716" s="6">
        <f>1/COUNTIF(Таблица1[Order ID],Таблица1[[#This Row],[Order ID]])</f>
        <v>1</v>
      </c>
      <c r="Z7716" s="9">
        <f>1/COUNTIFS(Таблица1[Customer Name],Таблица1[[#This Row],[Customer Name]],Таблица1[Order-Year-Month],Таблица1[[#This Row],[Order-Year-Month]])</f>
        <v>1</v>
      </c>
    </row>
    <row r="7717" spans="1:26" x14ac:dyDescent="0.2">
      <c r="A7717" s="6">
        <v>3971</v>
      </c>
      <c r="B7717" s="7">
        <v>28357</v>
      </c>
      <c r="C7717" s="8">
        <f>DATE(2012,12,31)-955</f>
        <v>40319</v>
      </c>
      <c r="D7717" s="8" t="str">
        <f t="shared" si="146"/>
        <v>2010-05 (май 2010)</v>
      </c>
      <c r="E7717" s="9" t="s">
        <v>45</v>
      </c>
      <c r="F7717" s="7">
        <v>50</v>
      </c>
      <c r="G7717" s="7">
        <v>390.46</v>
      </c>
      <c r="H7717" s="7">
        <v>0.02</v>
      </c>
      <c r="I7717" s="9" t="s">
        <v>22</v>
      </c>
      <c r="J7717" s="10">
        <v>-171.166</v>
      </c>
      <c r="K7717" s="11">
        <v>7.3</v>
      </c>
      <c r="L7717" s="11">
        <v>7.72</v>
      </c>
      <c r="M7717" s="9" t="s">
        <v>912</v>
      </c>
      <c r="N7717" s="6" t="s">
        <v>2073</v>
      </c>
      <c r="O7717" s="6" t="s">
        <v>704</v>
      </c>
      <c r="P7717" s="9" t="s">
        <v>60</v>
      </c>
      <c r="Q7717" s="9" t="s">
        <v>26</v>
      </c>
      <c r="R7717" s="9" t="s">
        <v>37</v>
      </c>
      <c r="S7717" s="7" t="s">
        <v>54</v>
      </c>
      <c r="T7717" s="9" t="s">
        <v>39</v>
      </c>
      <c r="U7717" s="7">
        <v>0.38</v>
      </c>
      <c r="V7717" s="12">
        <f>C7717+1</f>
        <v>40320</v>
      </c>
      <c r="W7717">
        <f>IF(D7717=' Pivot Tables'!$A$4,1,0)</f>
        <v>0</v>
      </c>
      <c r="X7717">
        <f>IF(AND(LEFT(D7717,4)+1=LEFT(' Pivot Tables'!$A$4,4)+0,RIGHT(LEFT(D7717,7),2)=RIGHT(LEFT(' Pivot Tables'!$A$4,7),2)),1,0)</f>
        <v>0</v>
      </c>
      <c r="Y7717" s="6">
        <f>1/COUNTIF(Таблица1[Order ID],Таблица1[[#This Row],[Order ID]])</f>
        <v>0.5</v>
      </c>
      <c r="Z7717" s="9">
        <f>1/COUNTIFS(Таблица1[Customer Name],Таблица1[[#This Row],[Customer Name]],Таблица1[Order-Year-Month],Таблица1[[#This Row],[Order-Year-Month]])</f>
        <v>0.5</v>
      </c>
    </row>
    <row r="7718" spans="1:26" x14ac:dyDescent="0.2">
      <c r="A7718" s="6">
        <v>3972</v>
      </c>
      <c r="B7718" s="7">
        <v>28357</v>
      </c>
      <c r="C7718" s="8">
        <f>DATE(2012,12,31)-955</f>
        <v>40319</v>
      </c>
      <c r="D7718" s="8" t="str">
        <f t="shared" si="146"/>
        <v>2010-05 (май 2010)</v>
      </c>
      <c r="E7718" s="9" t="s">
        <v>45</v>
      </c>
      <c r="F7718" s="7">
        <v>43</v>
      </c>
      <c r="G7718" s="7">
        <v>113.43</v>
      </c>
      <c r="H7718" s="7">
        <v>0.02</v>
      </c>
      <c r="I7718" s="9" t="s">
        <v>22</v>
      </c>
      <c r="J7718" s="10">
        <v>24.27</v>
      </c>
      <c r="K7718" s="11">
        <v>2.4700000000000002</v>
      </c>
      <c r="L7718" s="11">
        <v>1.02</v>
      </c>
      <c r="M7718" s="9" t="s">
        <v>912</v>
      </c>
      <c r="N7718" s="6" t="s">
        <v>2073</v>
      </c>
      <c r="O7718" s="6" t="s">
        <v>704</v>
      </c>
      <c r="P7718" s="9" t="s">
        <v>60</v>
      </c>
      <c r="Q7718" s="9" t="s">
        <v>26</v>
      </c>
      <c r="R7718" s="9" t="s">
        <v>66</v>
      </c>
      <c r="S7718" s="7" t="s">
        <v>322</v>
      </c>
      <c r="T7718" s="9" t="s">
        <v>68</v>
      </c>
      <c r="U7718" s="7">
        <v>0.38</v>
      </c>
      <c r="V7718" s="12">
        <f>C7718+1</f>
        <v>40320</v>
      </c>
      <c r="W7718">
        <f>IF(D7718=' Pivot Tables'!$A$4,1,0)</f>
        <v>0</v>
      </c>
      <c r="X7718">
        <f>IF(AND(LEFT(D7718,4)+1=LEFT(' Pivot Tables'!$A$4,4)+0,RIGHT(LEFT(D7718,7),2)=RIGHT(LEFT(' Pivot Tables'!$A$4,7),2)),1,0)</f>
        <v>0</v>
      </c>
      <c r="Y7718" s="6">
        <f>1/COUNTIF(Таблица1[Order ID],Таблица1[[#This Row],[Order ID]])</f>
        <v>0.5</v>
      </c>
      <c r="Z7718" s="9">
        <f>1/COUNTIFS(Таблица1[Customer Name],Таблица1[[#This Row],[Customer Name]],Таблица1[Order-Year-Month],Таблица1[[#This Row],[Order-Year-Month]])</f>
        <v>0.5</v>
      </c>
    </row>
    <row r="7719" spans="1:26" x14ac:dyDescent="0.2">
      <c r="A7719" s="6">
        <v>4355</v>
      </c>
      <c r="B7719" s="7">
        <v>31043</v>
      </c>
      <c r="C7719" s="8">
        <f>DATE(2012,12,31)-1265</f>
        <v>40009</v>
      </c>
      <c r="D7719" s="8" t="str">
        <f t="shared" si="146"/>
        <v>2009-07 (июль 2009)</v>
      </c>
      <c r="E7719" s="9" t="s">
        <v>30</v>
      </c>
      <c r="F7719" s="7">
        <v>49</v>
      </c>
      <c r="G7719" s="7">
        <v>772.42</v>
      </c>
      <c r="H7719" s="7">
        <v>0.02</v>
      </c>
      <c r="I7719" s="9" t="s">
        <v>22</v>
      </c>
      <c r="J7719" s="10">
        <v>299.33</v>
      </c>
      <c r="K7719" s="11">
        <v>15.28</v>
      </c>
      <c r="L7719" s="11">
        <v>1.99</v>
      </c>
      <c r="M7719" s="9" t="s">
        <v>1163</v>
      </c>
      <c r="N7719" s="6" t="s">
        <v>2073</v>
      </c>
      <c r="O7719" s="6" t="s">
        <v>704</v>
      </c>
      <c r="P7719" s="9" t="s">
        <v>41</v>
      </c>
      <c r="Q7719" s="9" t="s">
        <v>42</v>
      </c>
      <c r="R7719" s="9" t="s">
        <v>70</v>
      </c>
      <c r="S7719" s="7" t="s">
        <v>785</v>
      </c>
      <c r="T7719" s="9" t="s">
        <v>52</v>
      </c>
      <c r="U7719" s="7">
        <v>0.42</v>
      </c>
      <c r="V7719" s="12">
        <f>C7719+1</f>
        <v>40010</v>
      </c>
      <c r="W7719">
        <f>IF(D7719=' Pivot Tables'!$A$4,1,0)</f>
        <v>0</v>
      </c>
      <c r="X7719">
        <f>IF(AND(LEFT(D7719,4)+1=LEFT(' Pivot Tables'!$A$4,4)+0,RIGHT(LEFT(D7719,7),2)=RIGHT(LEFT(' Pivot Tables'!$A$4,7),2)),1,0)</f>
        <v>0</v>
      </c>
      <c r="Y7719" s="6">
        <f>1/COUNTIF(Таблица1[Order ID],Таблица1[[#This Row],[Order ID]])</f>
        <v>0.5</v>
      </c>
      <c r="Z7719" s="9">
        <f>1/COUNTIFS(Таблица1[Customer Name],Таблица1[[#This Row],[Customer Name]],Таблица1[Order-Year-Month],Таблица1[[#This Row],[Order-Year-Month]])</f>
        <v>0.5</v>
      </c>
    </row>
    <row r="7720" spans="1:26" x14ac:dyDescent="0.2">
      <c r="A7720" s="6">
        <v>4356</v>
      </c>
      <c r="B7720" s="7">
        <v>31043</v>
      </c>
      <c r="C7720" s="8">
        <f>DATE(2012,12,31)-1265</f>
        <v>40009</v>
      </c>
      <c r="D7720" s="8" t="str">
        <f t="shared" si="146"/>
        <v>2009-07 (июль 2009)</v>
      </c>
      <c r="E7720" s="9" t="s">
        <v>30</v>
      </c>
      <c r="F7720" s="7">
        <v>3</v>
      </c>
      <c r="G7720" s="7">
        <v>221.4675</v>
      </c>
      <c r="H7720" s="7">
        <v>0</v>
      </c>
      <c r="I7720" s="9" t="s">
        <v>22</v>
      </c>
      <c r="J7720" s="10">
        <v>-302.22500000000002</v>
      </c>
      <c r="K7720" s="11">
        <v>85.99</v>
      </c>
      <c r="L7720" s="11">
        <v>3.3</v>
      </c>
      <c r="M7720" s="9" t="s">
        <v>1163</v>
      </c>
      <c r="N7720" s="6" t="s">
        <v>2073</v>
      </c>
      <c r="O7720" s="6" t="s">
        <v>704</v>
      </c>
      <c r="P7720" s="9" t="s">
        <v>41</v>
      </c>
      <c r="Q7720" s="9" t="s">
        <v>42</v>
      </c>
      <c r="R7720" s="9" t="s">
        <v>43</v>
      </c>
      <c r="S7720" s="7" t="s">
        <v>770</v>
      </c>
      <c r="T7720" s="9" t="s">
        <v>52</v>
      </c>
      <c r="U7720" s="7">
        <v>0.37</v>
      </c>
      <c r="V7720" s="12">
        <f>C7720+1</f>
        <v>40010</v>
      </c>
      <c r="W7720">
        <f>IF(D7720=' Pivot Tables'!$A$4,1,0)</f>
        <v>0</v>
      </c>
      <c r="X7720">
        <f>IF(AND(LEFT(D7720,4)+1=LEFT(' Pivot Tables'!$A$4,4)+0,RIGHT(LEFT(D7720,7),2)=RIGHT(LEFT(' Pivot Tables'!$A$4,7),2)),1,0)</f>
        <v>0</v>
      </c>
      <c r="Y7720" s="6">
        <f>1/COUNTIF(Таблица1[Order ID],Таблица1[[#This Row],[Order ID]])</f>
        <v>0.5</v>
      </c>
      <c r="Z7720" s="9">
        <f>1/COUNTIFS(Таблица1[Customer Name],Таблица1[[#This Row],[Customer Name]],Таблица1[Order-Year-Month],Таблица1[[#This Row],[Order-Year-Month]])</f>
        <v>0.5</v>
      </c>
    </row>
    <row r="7721" spans="1:26" x14ac:dyDescent="0.2">
      <c r="A7721" s="6">
        <v>4547</v>
      </c>
      <c r="B7721" s="7">
        <v>32355</v>
      </c>
      <c r="C7721" s="8">
        <f>DATE(2012,12,31)-1321</f>
        <v>39953</v>
      </c>
      <c r="D7721" s="8" t="str">
        <f t="shared" si="146"/>
        <v>2009-05 (май 2009)</v>
      </c>
      <c r="E7721" s="9" t="s">
        <v>45</v>
      </c>
      <c r="F7721" s="7">
        <v>34</v>
      </c>
      <c r="G7721" s="7">
        <v>211.86</v>
      </c>
      <c r="H7721" s="7">
        <v>0.01</v>
      </c>
      <c r="I7721" s="9" t="s">
        <v>22</v>
      </c>
      <c r="J7721" s="10">
        <v>-239.315</v>
      </c>
      <c r="K7721" s="11">
        <v>5.94</v>
      </c>
      <c r="L7721" s="11">
        <v>9.92</v>
      </c>
      <c r="M7721" s="9" t="s">
        <v>912</v>
      </c>
      <c r="N7721" s="6" t="s">
        <v>2073</v>
      </c>
      <c r="O7721" s="6" t="s">
        <v>704</v>
      </c>
      <c r="P7721" s="9" t="s">
        <v>60</v>
      </c>
      <c r="Q7721" s="9" t="s">
        <v>26</v>
      </c>
      <c r="R7721" s="9" t="s">
        <v>37</v>
      </c>
      <c r="S7721" s="7" t="s">
        <v>1436</v>
      </c>
      <c r="T7721" s="9" t="s">
        <v>39</v>
      </c>
      <c r="U7721" s="7">
        <v>0.38</v>
      </c>
      <c r="V7721" s="12">
        <f>C7721+3</f>
        <v>39956</v>
      </c>
      <c r="W7721">
        <f>IF(D7721=' Pivot Tables'!$A$4,1,0)</f>
        <v>0</v>
      </c>
      <c r="X7721">
        <f>IF(AND(LEFT(D7721,4)+1=LEFT(' Pivot Tables'!$A$4,4)+0,RIGHT(LEFT(D7721,7),2)=RIGHT(LEFT(' Pivot Tables'!$A$4,7),2)),1,0)</f>
        <v>0</v>
      </c>
      <c r="Y7721" s="6">
        <f>1/COUNTIF(Таблица1[Order ID],Таблица1[[#This Row],[Order ID]])</f>
        <v>0.5</v>
      </c>
      <c r="Z7721" s="9">
        <f>1/COUNTIFS(Таблица1[Customer Name],Таблица1[[#This Row],[Customer Name]],Таблица1[Order-Year-Month],Таблица1[[#This Row],[Order-Year-Month]])</f>
        <v>0.5</v>
      </c>
    </row>
    <row r="7722" spans="1:26" x14ac:dyDescent="0.2">
      <c r="A7722" s="6">
        <v>4548</v>
      </c>
      <c r="B7722" s="7">
        <v>32355</v>
      </c>
      <c r="C7722" s="8">
        <f>DATE(2012,12,31)-1321</f>
        <v>39953</v>
      </c>
      <c r="D7722" s="8" t="str">
        <f t="shared" si="146"/>
        <v>2009-05 (май 2009)</v>
      </c>
      <c r="E7722" s="9" t="s">
        <v>45</v>
      </c>
      <c r="F7722" s="7">
        <v>50</v>
      </c>
      <c r="G7722" s="7">
        <v>355.03</v>
      </c>
      <c r="H7722" s="7">
        <v>0</v>
      </c>
      <c r="I7722" s="9" t="s">
        <v>22</v>
      </c>
      <c r="J7722" s="10">
        <v>-33.31</v>
      </c>
      <c r="K7722" s="11">
        <v>6.48</v>
      </c>
      <c r="L7722" s="11">
        <v>5.1100000000000003</v>
      </c>
      <c r="M7722" s="9" t="s">
        <v>912</v>
      </c>
      <c r="N7722" s="6" t="s">
        <v>2073</v>
      </c>
      <c r="O7722" s="6" t="s">
        <v>704</v>
      </c>
      <c r="P7722" s="9" t="s">
        <v>60</v>
      </c>
      <c r="Q7722" s="9" t="s">
        <v>26</v>
      </c>
      <c r="R7722" s="9" t="s">
        <v>61</v>
      </c>
      <c r="S7722" s="7" t="s">
        <v>1745</v>
      </c>
      <c r="T7722" s="9" t="s">
        <v>39</v>
      </c>
      <c r="U7722" s="7">
        <v>0.37</v>
      </c>
      <c r="V7722" s="12">
        <f>C7722+2</f>
        <v>39955</v>
      </c>
      <c r="W7722">
        <f>IF(D7722=' Pivot Tables'!$A$4,1,0)</f>
        <v>0</v>
      </c>
      <c r="X7722">
        <f>IF(AND(LEFT(D7722,4)+1=LEFT(' Pivot Tables'!$A$4,4)+0,RIGHT(LEFT(D7722,7),2)=RIGHT(LEFT(' Pivot Tables'!$A$4,7),2)),1,0)</f>
        <v>0</v>
      </c>
      <c r="Y7722" s="6">
        <f>1/COUNTIF(Таблица1[Order ID],Таблица1[[#This Row],[Order ID]])</f>
        <v>0.5</v>
      </c>
      <c r="Z7722" s="9">
        <f>1/COUNTIFS(Таблица1[Customer Name],Таблица1[[#This Row],[Customer Name]],Таблица1[Order-Year-Month],Таблица1[[#This Row],[Order-Year-Month]])</f>
        <v>0.5</v>
      </c>
    </row>
    <row r="7723" spans="1:26" x14ac:dyDescent="0.2">
      <c r="A7723" s="6">
        <v>4735</v>
      </c>
      <c r="B7723" s="7">
        <v>33700</v>
      </c>
      <c r="C7723" s="8">
        <f>DATE(2012,12,31)-634</f>
        <v>40640</v>
      </c>
      <c r="D7723" s="8" t="str">
        <f t="shared" si="146"/>
        <v>2011-04 (апрель 2011)</v>
      </c>
      <c r="E7723" s="9" t="s">
        <v>21</v>
      </c>
      <c r="F7723" s="7">
        <v>36</v>
      </c>
      <c r="G7723" s="7">
        <v>260.13</v>
      </c>
      <c r="H7723" s="7">
        <v>0</v>
      </c>
      <c r="I7723" s="9" t="s">
        <v>22</v>
      </c>
      <c r="J7723" s="10">
        <v>-133.97999999999999</v>
      </c>
      <c r="K7723" s="11">
        <v>6.48</v>
      </c>
      <c r="L7723" s="11">
        <v>8.19</v>
      </c>
      <c r="M7723" s="9" t="s">
        <v>965</v>
      </c>
      <c r="N7723" s="6" t="s">
        <v>2073</v>
      </c>
      <c r="O7723" s="6" t="s">
        <v>704</v>
      </c>
      <c r="P7723" s="9" t="s">
        <v>41</v>
      </c>
      <c r="Q7723" s="9" t="s">
        <v>26</v>
      </c>
      <c r="R7723" s="9" t="s">
        <v>61</v>
      </c>
      <c r="S7723" s="7" t="s">
        <v>176</v>
      </c>
      <c r="T7723" s="9" t="s">
        <v>39</v>
      </c>
      <c r="U7723" s="7">
        <v>0.37</v>
      </c>
      <c r="V7723" s="12">
        <f>C7723+4</f>
        <v>40644</v>
      </c>
      <c r="W7723">
        <f>IF(D7723=' Pivot Tables'!$A$4,1,0)</f>
        <v>0</v>
      </c>
      <c r="X7723">
        <f>IF(AND(LEFT(D7723,4)+1=LEFT(' Pivot Tables'!$A$4,4)+0,RIGHT(LEFT(D7723,7),2)=RIGHT(LEFT(' Pivot Tables'!$A$4,7),2)),1,0)</f>
        <v>0</v>
      </c>
      <c r="Y7723" s="6">
        <f>1/COUNTIF(Таблица1[Order ID],Таблица1[[#This Row],[Order ID]])</f>
        <v>1</v>
      </c>
      <c r="Z7723" s="9">
        <f>1/COUNTIFS(Таблица1[Customer Name],Таблица1[[#This Row],[Customer Name]],Таблица1[Order-Year-Month],Таблица1[[#This Row],[Order-Year-Month]])</f>
        <v>1</v>
      </c>
    </row>
    <row r="7724" spans="1:26" x14ac:dyDescent="0.2">
      <c r="A7724" s="6">
        <v>5017</v>
      </c>
      <c r="B7724" s="7">
        <v>35811</v>
      </c>
      <c r="C7724" s="8">
        <f>DATE(2012,12,31)-363</f>
        <v>40911</v>
      </c>
      <c r="D7724" s="8" t="str">
        <f t="shared" si="146"/>
        <v>2012-01 (январь 2012)</v>
      </c>
      <c r="E7724" s="9" t="s">
        <v>78</v>
      </c>
      <c r="F7724" s="7">
        <v>49</v>
      </c>
      <c r="G7724" s="7">
        <v>741.57</v>
      </c>
      <c r="H7724" s="7">
        <v>0.1</v>
      </c>
      <c r="I7724" s="9" t="s">
        <v>22</v>
      </c>
      <c r="J7724" s="10">
        <v>352.41</v>
      </c>
      <c r="K7724" s="11">
        <v>15.57</v>
      </c>
      <c r="L7724" s="11">
        <v>1.39</v>
      </c>
      <c r="M7724" s="9" t="s">
        <v>965</v>
      </c>
      <c r="N7724" s="6" t="s">
        <v>2073</v>
      </c>
      <c r="O7724" s="6" t="s">
        <v>704</v>
      </c>
      <c r="P7724" s="9" t="s">
        <v>41</v>
      </c>
      <c r="Q7724" s="9" t="s">
        <v>26</v>
      </c>
      <c r="R7724" s="9" t="s">
        <v>76</v>
      </c>
      <c r="S7724" s="7" t="s">
        <v>1176</v>
      </c>
      <c r="T7724" s="9" t="s">
        <v>39</v>
      </c>
      <c r="U7724" s="7">
        <v>0.38</v>
      </c>
      <c r="V7724" s="12">
        <f>C7724+1</f>
        <v>40912</v>
      </c>
      <c r="W7724">
        <f>IF(D7724=' Pivot Tables'!$A$4,1,0)</f>
        <v>0</v>
      </c>
      <c r="X7724">
        <f>IF(AND(LEFT(D7724,4)+1=LEFT(' Pivot Tables'!$A$4,4)+0,RIGHT(LEFT(D7724,7),2)=RIGHT(LEFT(' Pivot Tables'!$A$4,7),2)),1,0)</f>
        <v>0</v>
      </c>
      <c r="Y7724" s="6">
        <f>1/COUNTIF(Таблица1[Order ID],Таблица1[[#This Row],[Order ID]])</f>
        <v>0.5</v>
      </c>
      <c r="Z7724" s="9">
        <f>1/COUNTIFS(Таблица1[Customer Name],Таблица1[[#This Row],[Customer Name]],Таблица1[Order-Year-Month],Таблица1[[#This Row],[Order-Year-Month]])</f>
        <v>0.5</v>
      </c>
    </row>
    <row r="7725" spans="1:26" x14ac:dyDescent="0.2">
      <c r="A7725" s="6">
        <v>5018</v>
      </c>
      <c r="B7725" s="7">
        <v>35811</v>
      </c>
      <c r="C7725" s="8">
        <f>DATE(2012,12,31)-363</f>
        <v>40911</v>
      </c>
      <c r="D7725" s="8" t="str">
        <f t="shared" si="146"/>
        <v>2012-01 (январь 2012)</v>
      </c>
      <c r="E7725" s="9" t="s">
        <v>78</v>
      </c>
      <c r="F7725" s="7">
        <v>6</v>
      </c>
      <c r="G7725" s="7">
        <v>10.39</v>
      </c>
      <c r="H7725" s="7">
        <v>0.1</v>
      </c>
      <c r="I7725" s="9" t="s">
        <v>22</v>
      </c>
      <c r="J7725" s="10">
        <v>-3.24</v>
      </c>
      <c r="K7725" s="11">
        <v>1.76</v>
      </c>
      <c r="L7725" s="11">
        <v>0.7</v>
      </c>
      <c r="M7725" s="9" t="s">
        <v>965</v>
      </c>
      <c r="N7725" s="6" t="s">
        <v>2073</v>
      </c>
      <c r="O7725" s="6" t="s">
        <v>704</v>
      </c>
      <c r="P7725" s="9" t="s">
        <v>41</v>
      </c>
      <c r="Q7725" s="9" t="s">
        <v>26</v>
      </c>
      <c r="R7725" s="9" t="s">
        <v>95</v>
      </c>
      <c r="S7725" s="7" t="s">
        <v>387</v>
      </c>
      <c r="T7725" s="9" t="s">
        <v>68</v>
      </c>
      <c r="U7725" s="7">
        <v>0.56000000000000005</v>
      </c>
      <c r="V7725" s="12">
        <f>C7725+2</f>
        <v>40913</v>
      </c>
      <c r="W7725">
        <f>IF(D7725=' Pivot Tables'!$A$4,1,0)</f>
        <v>0</v>
      </c>
      <c r="X7725">
        <f>IF(AND(LEFT(D7725,4)+1=LEFT(' Pivot Tables'!$A$4,4)+0,RIGHT(LEFT(D7725,7),2)=RIGHT(LEFT(' Pivot Tables'!$A$4,7),2)),1,0)</f>
        <v>0</v>
      </c>
      <c r="Y7725" s="6">
        <f>1/COUNTIF(Таблица1[Order ID],Таблица1[[#This Row],[Order ID]])</f>
        <v>0.5</v>
      </c>
      <c r="Z7725" s="9">
        <f>1/COUNTIFS(Таблица1[Customer Name],Таблица1[[#This Row],[Customer Name]],Таблица1[Order-Year-Month],Таблица1[[#This Row],[Order-Year-Month]])</f>
        <v>0.5</v>
      </c>
    </row>
    <row r="7726" spans="1:26" x14ac:dyDescent="0.2">
      <c r="A7726" s="6">
        <v>5433</v>
      </c>
      <c r="B7726" s="7">
        <v>38598</v>
      </c>
      <c r="C7726" s="8">
        <f>DATE(2012,12,31)-1234</f>
        <v>40040</v>
      </c>
      <c r="D7726" s="8" t="str">
        <f t="shared" si="146"/>
        <v>2009-08 (август 2009)</v>
      </c>
      <c r="E7726" s="9" t="s">
        <v>21</v>
      </c>
      <c r="F7726" s="7">
        <v>17</v>
      </c>
      <c r="G7726" s="7">
        <v>14665.15</v>
      </c>
      <c r="H7726" s="7">
        <v>0.04</v>
      </c>
      <c r="I7726" s="9" t="s">
        <v>31</v>
      </c>
      <c r="J7726" s="10">
        <v>2860.31</v>
      </c>
      <c r="K7726" s="11">
        <v>880.98</v>
      </c>
      <c r="L7726" s="11">
        <v>44.55</v>
      </c>
      <c r="M7726" s="9" t="s">
        <v>2087</v>
      </c>
      <c r="N7726" s="6" t="s">
        <v>2073</v>
      </c>
      <c r="O7726" s="6" t="s">
        <v>704</v>
      </c>
      <c r="P7726" s="9" t="s">
        <v>33</v>
      </c>
      <c r="Q7726" s="9" t="s">
        <v>49</v>
      </c>
      <c r="R7726" s="9" t="s">
        <v>80</v>
      </c>
      <c r="S7726" s="7" t="s">
        <v>301</v>
      </c>
      <c r="T7726" s="9" t="s">
        <v>82</v>
      </c>
      <c r="U7726" s="7">
        <v>0.62</v>
      </c>
      <c r="V7726" s="12">
        <f>C7726+4</f>
        <v>40044</v>
      </c>
      <c r="W7726">
        <f>IF(D7726=' Pivot Tables'!$A$4,1,0)</f>
        <v>0</v>
      </c>
      <c r="X7726">
        <f>IF(AND(LEFT(D7726,4)+1=LEFT(' Pivot Tables'!$A$4,4)+0,RIGHT(LEFT(D7726,7),2)=RIGHT(LEFT(' Pivot Tables'!$A$4,7),2)),1,0)</f>
        <v>0</v>
      </c>
      <c r="Y7726" s="6">
        <f>1/COUNTIF(Таблица1[Order ID],Таблица1[[#This Row],[Order ID]])</f>
        <v>0.33333333333333331</v>
      </c>
      <c r="Z7726" s="9">
        <f>1/COUNTIFS(Таблица1[Customer Name],Таблица1[[#This Row],[Customer Name]],Таблица1[Order-Year-Month],Таблица1[[#This Row],[Order-Year-Month]])</f>
        <v>0.33333333333333331</v>
      </c>
    </row>
    <row r="7727" spans="1:26" x14ac:dyDescent="0.2">
      <c r="A7727" s="6">
        <v>5434</v>
      </c>
      <c r="B7727" s="7">
        <v>38598</v>
      </c>
      <c r="C7727" s="8">
        <f>DATE(2012,12,31)-1234</f>
        <v>40040</v>
      </c>
      <c r="D7727" s="8" t="str">
        <f t="shared" si="146"/>
        <v>2009-08 (август 2009)</v>
      </c>
      <c r="E7727" s="9" t="s">
        <v>21</v>
      </c>
      <c r="F7727" s="7">
        <v>24</v>
      </c>
      <c r="G7727" s="7">
        <v>324.97000000000003</v>
      </c>
      <c r="H7727" s="7">
        <v>7.0000000000000007E-2</v>
      </c>
      <c r="I7727" s="9" t="s">
        <v>22</v>
      </c>
      <c r="J7727" s="10">
        <v>113.98</v>
      </c>
      <c r="K7727" s="11">
        <v>13.4</v>
      </c>
      <c r="L7727" s="11">
        <v>4.95</v>
      </c>
      <c r="M7727" s="9" t="s">
        <v>2087</v>
      </c>
      <c r="N7727" s="6" t="s">
        <v>2073</v>
      </c>
      <c r="O7727" s="6" t="s">
        <v>704</v>
      </c>
      <c r="P7727" s="9" t="s">
        <v>33</v>
      </c>
      <c r="Q7727" s="9" t="s">
        <v>49</v>
      </c>
      <c r="R7727" s="9" t="s">
        <v>50</v>
      </c>
      <c r="S7727" s="7" t="s">
        <v>1709</v>
      </c>
      <c r="T7727" s="9" t="s">
        <v>52</v>
      </c>
      <c r="U7727" s="7">
        <v>0.37</v>
      </c>
      <c r="V7727" s="12">
        <f>C7727+5</f>
        <v>40045</v>
      </c>
      <c r="W7727">
        <f>IF(D7727=' Pivot Tables'!$A$4,1,0)</f>
        <v>0</v>
      </c>
      <c r="X7727">
        <f>IF(AND(LEFT(D7727,4)+1=LEFT(' Pivot Tables'!$A$4,4)+0,RIGHT(LEFT(D7727,7),2)=RIGHT(LEFT(' Pivot Tables'!$A$4,7),2)),1,0)</f>
        <v>0</v>
      </c>
      <c r="Y7727" s="6">
        <f>1/COUNTIF(Таблица1[Order ID],Таблица1[[#This Row],[Order ID]])</f>
        <v>0.33333333333333331</v>
      </c>
      <c r="Z7727" s="9">
        <f>1/COUNTIFS(Таблица1[Customer Name],Таблица1[[#This Row],[Customer Name]],Таблица1[Order-Year-Month],Таблица1[[#This Row],[Order-Year-Month]])</f>
        <v>0.33333333333333331</v>
      </c>
    </row>
    <row r="7728" spans="1:26" x14ac:dyDescent="0.2">
      <c r="A7728" s="6">
        <v>5435</v>
      </c>
      <c r="B7728" s="7">
        <v>38598</v>
      </c>
      <c r="C7728" s="8">
        <f>DATE(2012,12,31)-1234</f>
        <v>40040</v>
      </c>
      <c r="D7728" s="8" t="str">
        <f t="shared" si="146"/>
        <v>2009-08 (август 2009)</v>
      </c>
      <c r="E7728" s="9" t="s">
        <v>21</v>
      </c>
      <c r="F7728" s="7">
        <v>27</v>
      </c>
      <c r="G7728" s="7">
        <v>451.52</v>
      </c>
      <c r="H7728" s="7">
        <v>0.01</v>
      </c>
      <c r="I7728" s="9" t="s">
        <v>22</v>
      </c>
      <c r="J7728" s="10">
        <v>-70.522199999999998</v>
      </c>
      <c r="K7728" s="11">
        <v>15.99</v>
      </c>
      <c r="L7728" s="11">
        <v>11.28</v>
      </c>
      <c r="M7728" s="9" t="s">
        <v>2087</v>
      </c>
      <c r="N7728" s="6" t="s">
        <v>2073</v>
      </c>
      <c r="O7728" s="6" t="s">
        <v>704</v>
      </c>
      <c r="P7728" s="9" t="s">
        <v>33</v>
      </c>
      <c r="Q7728" s="9" t="s">
        <v>42</v>
      </c>
      <c r="R7728" s="9" t="s">
        <v>210</v>
      </c>
      <c r="S7728" s="7" t="s">
        <v>1966</v>
      </c>
      <c r="T7728" s="9" t="s">
        <v>48</v>
      </c>
      <c r="U7728" s="7">
        <v>0.38</v>
      </c>
      <c r="V7728" s="12">
        <f>C7728+7</f>
        <v>40047</v>
      </c>
      <c r="W7728">
        <f>IF(D7728=' Pivot Tables'!$A$4,1,0)</f>
        <v>0</v>
      </c>
      <c r="X7728">
        <f>IF(AND(LEFT(D7728,4)+1=LEFT(' Pivot Tables'!$A$4,4)+0,RIGHT(LEFT(D7728,7),2)=RIGHT(LEFT(' Pivot Tables'!$A$4,7),2)),1,0)</f>
        <v>0</v>
      </c>
      <c r="Y7728" s="6">
        <f>1/COUNTIF(Таблица1[Order ID],Таблица1[[#This Row],[Order ID]])</f>
        <v>0.33333333333333331</v>
      </c>
      <c r="Z7728" s="9">
        <f>1/COUNTIFS(Таблица1[Customer Name],Таблица1[[#This Row],[Customer Name]],Таблица1[Order-Year-Month],Таблица1[[#This Row],[Order-Year-Month]])</f>
        <v>0.33333333333333331</v>
      </c>
    </row>
    <row r="7729" spans="1:26" x14ac:dyDescent="0.2">
      <c r="A7729" s="6">
        <v>5732</v>
      </c>
      <c r="B7729" s="7">
        <v>40678</v>
      </c>
      <c r="C7729" s="8">
        <f>DATE(2012,12,31)-978</f>
        <v>40296</v>
      </c>
      <c r="D7729" s="8" t="str">
        <f t="shared" si="146"/>
        <v>2010-04 (апрель 2010)</v>
      </c>
      <c r="E7729" s="9" t="s">
        <v>21</v>
      </c>
      <c r="F7729" s="7">
        <v>42</v>
      </c>
      <c r="G7729" s="7">
        <v>2753.07</v>
      </c>
      <c r="H7729" s="7">
        <v>7.0000000000000007E-2</v>
      </c>
      <c r="I7729" s="9" t="s">
        <v>22</v>
      </c>
      <c r="J7729" s="10">
        <v>551.33550000000002</v>
      </c>
      <c r="K7729" s="11">
        <v>67.28</v>
      </c>
      <c r="L7729" s="11">
        <v>19.989999999999998</v>
      </c>
      <c r="M7729" s="9" t="s">
        <v>912</v>
      </c>
      <c r="N7729" s="6" t="s">
        <v>2073</v>
      </c>
      <c r="O7729" s="6" t="s">
        <v>704</v>
      </c>
      <c r="P7729" s="9" t="s">
        <v>60</v>
      </c>
      <c r="Q7729" s="9" t="s">
        <v>26</v>
      </c>
      <c r="R7729" s="9" t="s">
        <v>37</v>
      </c>
      <c r="S7729" s="7" t="s">
        <v>637</v>
      </c>
      <c r="T7729" s="9" t="s">
        <v>39</v>
      </c>
      <c r="U7729" s="7">
        <v>0.4</v>
      </c>
      <c r="V7729" s="12">
        <f>C7729+7</f>
        <v>40303</v>
      </c>
      <c r="W7729">
        <f>IF(D7729=' Pivot Tables'!$A$4,1,0)</f>
        <v>0</v>
      </c>
      <c r="X7729">
        <f>IF(AND(LEFT(D7729,4)+1=LEFT(' Pivot Tables'!$A$4,4)+0,RIGHT(LEFT(D7729,7),2)=RIGHT(LEFT(' Pivot Tables'!$A$4,7),2)),1,0)</f>
        <v>0</v>
      </c>
      <c r="Y7729" s="6">
        <f>1/COUNTIF(Таблица1[Order ID],Таблица1[[#This Row],[Order ID]])</f>
        <v>1</v>
      </c>
      <c r="Z7729" s="9">
        <f>1/COUNTIFS(Таблица1[Customer Name],Таблица1[[#This Row],[Customer Name]],Таблица1[Order-Year-Month],Таблица1[[#This Row],[Order-Year-Month]])</f>
        <v>1</v>
      </c>
    </row>
    <row r="7730" spans="1:26" x14ac:dyDescent="0.2">
      <c r="A7730" s="6">
        <v>5803</v>
      </c>
      <c r="B7730" s="7">
        <v>41154</v>
      </c>
      <c r="C7730" s="8">
        <f>DATE(2012,12,31)-1341</f>
        <v>39933</v>
      </c>
      <c r="D7730" s="8" t="str">
        <f t="shared" si="146"/>
        <v>2009-04 (апрель 2009)</v>
      </c>
      <c r="E7730" s="9" t="s">
        <v>21</v>
      </c>
      <c r="F7730" s="7">
        <v>43</v>
      </c>
      <c r="G7730" s="7">
        <v>938.37</v>
      </c>
      <c r="H7730" s="7">
        <v>0.02</v>
      </c>
      <c r="I7730" s="9" t="s">
        <v>22</v>
      </c>
      <c r="J7730" s="10">
        <v>251.17</v>
      </c>
      <c r="K7730" s="11">
        <v>21.98</v>
      </c>
      <c r="L7730" s="11">
        <v>2.87</v>
      </c>
      <c r="M7730" s="9" t="s">
        <v>2074</v>
      </c>
      <c r="N7730" s="6" t="s">
        <v>2073</v>
      </c>
      <c r="O7730" s="6" t="s">
        <v>704</v>
      </c>
      <c r="P7730" s="9" t="s">
        <v>41</v>
      </c>
      <c r="Q7730" s="9" t="s">
        <v>26</v>
      </c>
      <c r="R7730" s="9" t="s">
        <v>95</v>
      </c>
      <c r="S7730" s="7" t="s">
        <v>488</v>
      </c>
      <c r="T7730" s="9" t="s">
        <v>52</v>
      </c>
      <c r="U7730" s="7">
        <v>0.55000000000000004</v>
      </c>
      <c r="V7730" s="12">
        <f>C7730+2</f>
        <v>39935</v>
      </c>
      <c r="W7730">
        <f>IF(D7730=' Pivot Tables'!$A$4,1,0)</f>
        <v>0</v>
      </c>
      <c r="X7730">
        <f>IF(AND(LEFT(D7730,4)+1=LEFT(' Pivot Tables'!$A$4,4)+0,RIGHT(LEFT(D7730,7),2)=RIGHT(LEFT(' Pivot Tables'!$A$4,7),2)),1,0)</f>
        <v>0</v>
      </c>
      <c r="Y7730" s="6">
        <f>1/COUNTIF(Таблица1[Order ID],Таблица1[[#This Row],[Order ID]])</f>
        <v>1</v>
      </c>
      <c r="Z7730" s="9">
        <f>1/COUNTIFS(Таблица1[Customer Name],Таблица1[[#This Row],[Customer Name]],Таблица1[Order-Year-Month],Таблица1[[#This Row],[Order-Year-Month]])</f>
        <v>1</v>
      </c>
    </row>
    <row r="7731" spans="1:26" x14ac:dyDescent="0.2">
      <c r="A7731" s="6">
        <v>6199</v>
      </c>
      <c r="B7731" s="7">
        <v>43909</v>
      </c>
      <c r="C7731" s="8">
        <f>DATE(2012,12,31)-1454</f>
        <v>39820</v>
      </c>
      <c r="D7731" s="8" t="str">
        <f t="shared" si="146"/>
        <v>2009-01 (январь 2009)</v>
      </c>
      <c r="E7731" s="9" t="s">
        <v>30</v>
      </c>
      <c r="F7731" s="7">
        <v>46</v>
      </c>
      <c r="G7731" s="7">
        <v>737.25</v>
      </c>
      <c r="H7731" s="7">
        <v>0.08</v>
      </c>
      <c r="I7731" s="9" t="s">
        <v>22</v>
      </c>
      <c r="J7731" s="10">
        <v>-199.13399999999999</v>
      </c>
      <c r="K7731" s="11">
        <v>15.99</v>
      </c>
      <c r="L7731" s="11">
        <v>13.18</v>
      </c>
      <c r="M7731" s="9" t="s">
        <v>2087</v>
      </c>
      <c r="N7731" s="6" t="s">
        <v>2073</v>
      </c>
      <c r="O7731" s="6" t="s">
        <v>704</v>
      </c>
      <c r="P7731" s="9" t="s">
        <v>33</v>
      </c>
      <c r="Q7731" s="9" t="s">
        <v>26</v>
      </c>
      <c r="R7731" s="9" t="s">
        <v>37</v>
      </c>
      <c r="S7731" s="7" t="s">
        <v>92</v>
      </c>
      <c r="T7731" s="9" t="s">
        <v>39</v>
      </c>
      <c r="U7731" s="7">
        <v>0.37</v>
      </c>
      <c r="V7731" s="12">
        <f>C7731+1</f>
        <v>39821</v>
      </c>
      <c r="W7731">
        <f>IF(D7731=' Pivot Tables'!$A$4,1,0)</f>
        <v>0</v>
      </c>
      <c r="X7731">
        <f>IF(AND(LEFT(D7731,4)+1=LEFT(' Pivot Tables'!$A$4,4)+0,RIGHT(LEFT(D7731,7),2)=RIGHT(LEFT(' Pivot Tables'!$A$4,7),2)),1,0)</f>
        <v>1</v>
      </c>
      <c r="Y7731" s="6">
        <f>1/COUNTIF(Таблица1[Order ID],Таблица1[[#This Row],[Order ID]])</f>
        <v>1</v>
      </c>
      <c r="Z7731" s="9">
        <f>1/COUNTIFS(Таблица1[Customer Name],Таблица1[[#This Row],[Customer Name]],Таблица1[Order-Year-Month],Таблица1[[#This Row],[Order-Year-Month]])</f>
        <v>1</v>
      </c>
    </row>
    <row r="7732" spans="1:26" x14ac:dyDescent="0.2">
      <c r="A7732" s="6">
        <v>6382</v>
      </c>
      <c r="B7732" s="7">
        <v>45346</v>
      </c>
      <c r="C7732" s="8">
        <f>DATE(2012,12,31)-46</f>
        <v>41228</v>
      </c>
      <c r="D7732" s="8" t="str">
        <f t="shared" si="146"/>
        <v>2012-11 (ноябрь 2012)</v>
      </c>
      <c r="E7732" s="9" t="s">
        <v>30</v>
      </c>
      <c r="F7732" s="7">
        <v>37</v>
      </c>
      <c r="G7732" s="7">
        <v>692.15</v>
      </c>
      <c r="H7732" s="7">
        <v>0.09</v>
      </c>
      <c r="I7732" s="9" t="s">
        <v>22</v>
      </c>
      <c r="J7732" s="10">
        <v>150.38</v>
      </c>
      <c r="K7732" s="11">
        <v>19.98</v>
      </c>
      <c r="L7732" s="11">
        <v>5.97</v>
      </c>
      <c r="M7732" s="9" t="s">
        <v>1163</v>
      </c>
      <c r="N7732" s="6" t="s">
        <v>2073</v>
      </c>
      <c r="O7732" s="6" t="s">
        <v>704</v>
      </c>
      <c r="P7732" s="9" t="s">
        <v>33</v>
      </c>
      <c r="Q7732" s="9" t="s">
        <v>26</v>
      </c>
      <c r="R7732" s="9" t="s">
        <v>61</v>
      </c>
      <c r="S7732" s="7" t="s">
        <v>169</v>
      </c>
      <c r="T7732" s="9" t="s">
        <v>39</v>
      </c>
      <c r="U7732" s="7">
        <v>0.38</v>
      </c>
      <c r="V7732" s="12">
        <f>C7732+0</f>
        <v>41228</v>
      </c>
      <c r="W7732">
        <f>IF(D7732=' Pivot Tables'!$A$4,1,0)</f>
        <v>0</v>
      </c>
      <c r="X7732">
        <f>IF(AND(LEFT(D7732,4)+1=LEFT(' Pivot Tables'!$A$4,4)+0,RIGHT(LEFT(D7732,7),2)=RIGHT(LEFT(' Pivot Tables'!$A$4,7),2)),1,0)</f>
        <v>0</v>
      </c>
      <c r="Y7732" s="6">
        <f>1/COUNTIF(Таблица1[Order ID],Таблица1[[#This Row],[Order ID]])</f>
        <v>1</v>
      </c>
      <c r="Z7732" s="9">
        <f>1/COUNTIFS(Таблица1[Customer Name],Таблица1[[#This Row],[Customer Name]],Таблица1[Order-Year-Month],Таблица1[[#This Row],[Order-Year-Month]])</f>
        <v>1</v>
      </c>
    </row>
    <row r="7733" spans="1:26" x14ac:dyDescent="0.2">
      <c r="A7733" s="6">
        <v>6510</v>
      </c>
      <c r="B7733" s="7">
        <v>46336</v>
      </c>
      <c r="C7733" s="8">
        <f>DATE(2012,12,31)-521</f>
        <v>40753</v>
      </c>
      <c r="D7733" s="8" t="str">
        <f t="shared" si="146"/>
        <v>2011-07 (июль 2011)</v>
      </c>
      <c r="E7733" s="9" t="s">
        <v>30</v>
      </c>
      <c r="F7733" s="7">
        <v>31</v>
      </c>
      <c r="G7733" s="7">
        <v>143.85</v>
      </c>
      <c r="H7733" s="7">
        <v>0.1</v>
      </c>
      <c r="I7733" s="9" t="s">
        <v>22</v>
      </c>
      <c r="J7733" s="10">
        <v>34.14</v>
      </c>
      <c r="K7733" s="11">
        <v>4.84</v>
      </c>
      <c r="L7733" s="11">
        <v>0.71</v>
      </c>
      <c r="M7733" s="9" t="s">
        <v>1950</v>
      </c>
      <c r="N7733" s="6" t="s">
        <v>2073</v>
      </c>
      <c r="O7733" s="6" t="s">
        <v>704</v>
      </c>
      <c r="P7733" s="9" t="s">
        <v>33</v>
      </c>
      <c r="Q7733" s="9" t="s">
        <v>26</v>
      </c>
      <c r="R7733" s="9" t="s">
        <v>95</v>
      </c>
      <c r="S7733" s="7" t="s">
        <v>633</v>
      </c>
      <c r="T7733" s="9" t="s">
        <v>68</v>
      </c>
      <c r="U7733" s="7">
        <v>0.52</v>
      </c>
      <c r="V7733" s="12">
        <f>C7733+2</f>
        <v>40755</v>
      </c>
      <c r="W7733">
        <f>IF(D7733=' Pivot Tables'!$A$4,1,0)</f>
        <v>0</v>
      </c>
      <c r="X7733">
        <f>IF(AND(LEFT(D7733,4)+1=LEFT(' Pivot Tables'!$A$4,4)+0,RIGHT(LEFT(D7733,7),2)=RIGHT(LEFT(' Pivot Tables'!$A$4,7),2)),1,0)</f>
        <v>0</v>
      </c>
      <c r="Y7733" s="6">
        <f>1/COUNTIF(Таблица1[Order ID],Таблица1[[#This Row],[Order ID]])</f>
        <v>1</v>
      </c>
      <c r="Z7733" s="9">
        <f>1/COUNTIFS(Таблица1[Customer Name],Таблица1[[#This Row],[Customer Name]],Таблица1[Order-Year-Month],Таблица1[[#This Row],[Order-Year-Month]])</f>
        <v>0.2</v>
      </c>
    </row>
    <row r="7734" spans="1:26" x14ac:dyDescent="0.2">
      <c r="A7734" s="6">
        <v>7342</v>
      </c>
      <c r="B7734" s="7">
        <v>52320</v>
      </c>
      <c r="C7734" s="8">
        <f>DATE(2012,12,31)-98</f>
        <v>41176</v>
      </c>
      <c r="D7734" s="8" t="str">
        <f t="shared" si="146"/>
        <v>2012-09 (сентябрь 2012)</v>
      </c>
      <c r="E7734" s="9" t="s">
        <v>21</v>
      </c>
      <c r="F7734" s="7">
        <v>41</v>
      </c>
      <c r="G7734" s="7">
        <v>112.6</v>
      </c>
      <c r="H7734" s="7">
        <v>0.1</v>
      </c>
      <c r="I7734" s="9" t="s">
        <v>22</v>
      </c>
      <c r="J7734" s="10">
        <v>0.49</v>
      </c>
      <c r="K7734" s="11">
        <v>2.88</v>
      </c>
      <c r="L7734" s="11">
        <v>1.01</v>
      </c>
      <c r="M7734" s="9" t="s">
        <v>1902</v>
      </c>
      <c r="N7734" s="6" t="s">
        <v>2073</v>
      </c>
      <c r="O7734" s="6" t="s">
        <v>704</v>
      </c>
      <c r="P7734" s="9" t="s">
        <v>60</v>
      </c>
      <c r="Q7734" s="9" t="s">
        <v>26</v>
      </c>
      <c r="R7734" s="9" t="s">
        <v>95</v>
      </c>
      <c r="S7734" s="7" t="s">
        <v>736</v>
      </c>
      <c r="T7734" s="9" t="s">
        <v>68</v>
      </c>
      <c r="U7734" s="7">
        <v>0.55000000000000004</v>
      </c>
      <c r="V7734" s="12">
        <f>C7734+4</f>
        <v>41180</v>
      </c>
      <c r="W7734">
        <f>IF(D7734=' Pivot Tables'!$A$4,1,0)</f>
        <v>0</v>
      </c>
      <c r="X7734">
        <f>IF(AND(LEFT(D7734,4)+1=LEFT(' Pivot Tables'!$A$4,4)+0,RIGHT(LEFT(D7734,7),2)=RIGHT(LEFT(' Pivot Tables'!$A$4,7),2)),1,0)</f>
        <v>0</v>
      </c>
      <c r="Y7734" s="6">
        <f>1/COUNTIF(Таблица1[Order ID],Таблица1[[#This Row],[Order ID]])</f>
        <v>1</v>
      </c>
      <c r="Z7734" s="9">
        <f>1/COUNTIFS(Таблица1[Customer Name],Таблица1[[#This Row],[Customer Name]],Таблица1[Order-Year-Month],Таблица1[[#This Row],[Order-Year-Month]])</f>
        <v>1</v>
      </c>
    </row>
    <row r="7735" spans="1:26" x14ac:dyDescent="0.2">
      <c r="A7735" s="6">
        <v>7351</v>
      </c>
      <c r="B7735" s="7">
        <v>52357</v>
      </c>
      <c r="C7735" s="8">
        <f>DATE(2012,12,31)-1215</f>
        <v>40059</v>
      </c>
      <c r="D7735" s="8" t="str">
        <f t="shared" si="146"/>
        <v>2009-09 (сентябрь 2009)</v>
      </c>
      <c r="E7735" s="9" t="s">
        <v>45</v>
      </c>
      <c r="F7735" s="7">
        <v>49</v>
      </c>
      <c r="G7735" s="7">
        <v>541.47</v>
      </c>
      <c r="H7735" s="7">
        <v>0.05</v>
      </c>
      <c r="I7735" s="9" t="s">
        <v>22</v>
      </c>
      <c r="J7735" s="10">
        <v>90.62</v>
      </c>
      <c r="K7735" s="11">
        <v>10.98</v>
      </c>
      <c r="L7735" s="11">
        <v>4.8</v>
      </c>
      <c r="M7735" s="9" t="s">
        <v>1163</v>
      </c>
      <c r="N7735" s="6" t="s">
        <v>2073</v>
      </c>
      <c r="O7735" s="6" t="s">
        <v>704</v>
      </c>
      <c r="P7735" s="9" t="s">
        <v>41</v>
      </c>
      <c r="Q7735" s="9" t="s">
        <v>26</v>
      </c>
      <c r="R7735" s="9" t="s">
        <v>76</v>
      </c>
      <c r="S7735" s="7" t="s">
        <v>546</v>
      </c>
      <c r="T7735" s="9" t="s">
        <v>39</v>
      </c>
      <c r="U7735" s="7">
        <v>0.36</v>
      </c>
      <c r="V7735" s="12">
        <f>C7735+2</f>
        <v>40061</v>
      </c>
      <c r="W7735">
        <f>IF(D7735=' Pivot Tables'!$A$4,1,0)</f>
        <v>0</v>
      </c>
      <c r="X7735">
        <f>IF(AND(LEFT(D7735,4)+1=LEFT(' Pivot Tables'!$A$4,4)+0,RIGHT(LEFT(D7735,7),2)=RIGHT(LEFT(' Pivot Tables'!$A$4,7),2)),1,0)</f>
        <v>0</v>
      </c>
      <c r="Y7735" s="6">
        <f>1/COUNTIF(Таблица1[Order ID],Таблица1[[#This Row],[Order ID]])</f>
        <v>1</v>
      </c>
      <c r="Z7735" s="9">
        <f>1/COUNTIFS(Таблица1[Customer Name],Таблица1[[#This Row],[Customer Name]],Таблица1[Order-Year-Month],Таблица1[[#This Row],[Order-Year-Month]])</f>
        <v>1</v>
      </c>
    </row>
    <row r="7736" spans="1:26" x14ac:dyDescent="0.2">
      <c r="A7736" s="6">
        <v>7507</v>
      </c>
      <c r="B7736" s="7">
        <v>53573</v>
      </c>
      <c r="C7736" s="8">
        <f>DATE(2012,12,31)-1387</f>
        <v>39887</v>
      </c>
      <c r="D7736" s="8" t="str">
        <f t="shared" si="146"/>
        <v>2009-03 (март 2009)</v>
      </c>
      <c r="E7736" s="9" t="s">
        <v>45</v>
      </c>
      <c r="F7736" s="7">
        <v>6</v>
      </c>
      <c r="G7736" s="7">
        <v>93.73</v>
      </c>
      <c r="H7736" s="7">
        <v>0.03</v>
      </c>
      <c r="I7736" s="9" t="s">
        <v>22</v>
      </c>
      <c r="J7736" s="10">
        <v>51.14</v>
      </c>
      <c r="K7736" s="11">
        <v>14.2</v>
      </c>
      <c r="L7736" s="11">
        <v>5.3</v>
      </c>
      <c r="M7736" s="9" t="s">
        <v>912</v>
      </c>
      <c r="N7736" s="6" t="s">
        <v>2073</v>
      </c>
      <c r="O7736" s="6" t="s">
        <v>704</v>
      </c>
      <c r="P7736" s="9" t="s">
        <v>60</v>
      </c>
      <c r="Q7736" s="9" t="s">
        <v>49</v>
      </c>
      <c r="R7736" s="9" t="s">
        <v>50</v>
      </c>
      <c r="S7736" s="7" t="s">
        <v>603</v>
      </c>
      <c r="T7736" s="9" t="s">
        <v>68</v>
      </c>
      <c r="U7736" s="7">
        <v>0.46</v>
      </c>
      <c r="V7736" s="12">
        <f>C7736+2</f>
        <v>39889</v>
      </c>
      <c r="W7736">
        <f>IF(D7736=' Pivot Tables'!$A$4,1,0)</f>
        <v>0</v>
      </c>
      <c r="X7736">
        <f>IF(AND(LEFT(D7736,4)+1=LEFT(' Pivot Tables'!$A$4,4)+0,RIGHT(LEFT(D7736,7),2)=RIGHT(LEFT(' Pivot Tables'!$A$4,7),2)),1,0)</f>
        <v>0</v>
      </c>
      <c r="Y7736" s="6">
        <f>1/COUNTIF(Таблица1[Order ID],Таблица1[[#This Row],[Order ID]])</f>
        <v>1</v>
      </c>
      <c r="Z7736" s="9">
        <f>1/COUNTIFS(Таблица1[Customer Name],Таблица1[[#This Row],[Customer Name]],Таблица1[Order-Year-Month],Таблица1[[#This Row],[Order-Year-Month]])</f>
        <v>1</v>
      </c>
    </row>
    <row r="7737" spans="1:26" x14ac:dyDescent="0.2">
      <c r="A7737" s="6">
        <v>7887</v>
      </c>
      <c r="B7737" s="7">
        <v>56420</v>
      </c>
      <c r="C7737" s="8">
        <f>DATE(2012,12,31)-526</f>
        <v>40748</v>
      </c>
      <c r="D7737" s="8" t="str">
        <f t="shared" si="146"/>
        <v>2011-07 (июль 2011)</v>
      </c>
      <c r="E7737" s="9" t="s">
        <v>21</v>
      </c>
      <c r="F7737" s="7">
        <v>16</v>
      </c>
      <c r="G7737" s="7">
        <v>597.44000000000005</v>
      </c>
      <c r="H7737" s="7">
        <v>0.09</v>
      </c>
      <c r="I7737" s="9" t="s">
        <v>22</v>
      </c>
      <c r="J7737" s="10">
        <v>108.3</v>
      </c>
      <c r="K7737" s="11">
        <v>38.06</v>
      </c>
      <c r="L7737" s="11">
        <v>4.5</v>
      </c>
      <c r="M7737" s="9" t="s">
        <v>1950</v>
      </c>
      <c r="N7737" s="6" t="s">
        <v>2073</v>
      </c>
      <c r="O7737" s="6" t="s">
        <v>704</v>
      </c>
      <c r="P7737" s="9" t="s">
        <v>33</v>
      </c>
      <c r="Q7737" s="9" t="s">
        <v>26</v>
      </c>
      <c r="R7737" s="9" t="s">
        <v>34</v>
      </c>
      <c r="S7737" s="7" t="s">
        <v>1389</v>
      </c>
      <c r="T7737" s="9" t="s">
        <v>39</v>
      </c>
      <c r="U7737" s="7">
        <v>0.56000000000000005</v>
      </c>
      <c r="V7737" s="12">
        <f>C7737+4</f>
        <v>40752</v>
      </c>
      <c r="W7737">
        <f>IF(D7737=' Pivot Tables'!$A$4,1,0)</f>
        <v>0</v>
      </c>
      <c r="X7737">
        <f>IF(AND(LEFT(D7737,4)+1=LEFT(' Pivot Tables'!$A$4,4)+0,RIGHT(LEFT(D7737,7),2)=RIGHT(LEFT(' Pivot Tables'!$A$4,7),2)),1,0)</f>
        <v>0</v>
      </c>
      <c r="Y7737" s="6">
        <f>1/COUNTIF(Таблица1[Order ID],Таблица1[[#This Row],[Order ID]])</f>
        <v>0.25</v>
      </c>
      <c r="Z7737" s="9">
        <f>1/COUNTIFS(Таблица1[Customer Name],Таблица1[[#This Row],[Customer Name]],Таблица1[Order-Year-Month],Таблица1[[#This Row],[Order-Year-Month]])</f>
        <v>0.2</v>
      </c>
    </row>
    <row r="7738" spans="1:26" x14ac:dyDescent="0.2">
      <c r="A7738" s="6">
        <v>7888</v>
      </c>
      <c r="B7738" s="7">
        <v>56420</v>
      </c>
      <c r="C7738" s="8">
        <f>DATE(2012,12,31)-526</f>
        <v>40748</v>
      </c>
      <c r="D7738" s="8" t="str">
        <f t="shared" si="146"/>
        <v>2011-07 (июль 2011)</v>
      </c>
      <c r="E7738" s="9" t="s">
        <v>21</v>
      </c>
      <c r="F7738" s="7">
        <v>26</v>
      </c>
      <c r="G7738" s="7">
        <v>132.22999999999999</v>
      </c>
      <c r="H7738" s="7">
        <v>7.0000000000000007E-2</v>
      </c>
      <c r="I7738" s="9" t="s">
        <v>22</v>
      </c>
      <c r="J7738" s="10">
        <v>22.25</v>
      </c>
      <c r="K7738" s="11">
        <v>5.08</v>
      </c>
      <c r="L7738" s="11">
        <v>2.0299999999999998</v>
      </c>
      <c r="M7738" s="9" t="s">
        <v>1950</v>
      </c>
      <c r="N7738" s="6" t="s">
        <v>2073</v>
      </c>
      <c r="O7738" s="6" t="s">
        <v>704</v>
      </c>
      <c r="P7738" s="9" t="s">
        <v>33</v>
      </c>
      <c r="Q7738" s="9" t="s">
        <v>49</v>
      </c>
      <c r="R7738" s="9" t="s">
        <v>50</v>
      </c>
      <c r="S7738" s="7" t="s">
        <v>918</v>
      </c>
      <c r="T7738" s="9" t="s">
        <v>68</v>
      </c>
      <c r="U7738" s="7">
        <v>0.51</v>
      </c>
      <c r="V7738" s="12">
        <f>C7738+2</f>
        <v>40750</v>
      </c>
      <c r="W7738">
        <f>IF(D7738=' Pivot Tables'!$A$4,1,0)</f>
        <v>0</v>
      </c>
      <c r="X7738">
        <f>IF(AND(LEFT(D7738,4)+1=LEFT(' Pivot Tables'!$A$4,4)+0,RIGHT(LEFT(D7738,7),2)=RIGHT(LEFT(' Pivot Tables'!$A$4,7),2)),1,0)</f>
        <v>0</v>
      </c>
      <c r="Y7738" s="6">
        <f>1/COUNTIF(Таблица1[Order ID],Таблица1[[#This Row],[Order ID]])</f>
        <v>0.25</v>
      </c>
      <c r="Z7738" s="9">
        <f>1/COUNTIFS(Таблица1[Customer Name],Таблица1[[#This Row],[Customer Name]],Таблица1[Order-Year-Month],Таблица1[[#This Row],[Order-Year-Month]])</f>
        <v>0.2</v>
      </c>
    </row>
    <row r="7739" spans="1:26" x14ac:dyDescent="0.2">
      <c r="A7739" s="6">
        <v>7889</v>
      </c>
      <c r="B7739" s="7">
        <v>56420</v>
      </c>
      <c r="C7739" s="8">
        <f>DATE(2012,12,31)-526</f>
        <v>40748</v>
      </c>
      <c r="D7739" s="8" t="str">
        <f t="shared" si="146"/>
        <v>2011-07 (июль 2011)</v>
      </c>
      <c r="E7739" s="9" t="s">
        <v>21</v>
      </c>
      <c r="F7739" s="7">
        <v>22</v>
      </c>
      <c r="G7739" s="7">
        <v>2403.1369999999997</v>
      </c>
      <c r="H7739" s="7">
        <v>0</v>
      </c>
      <c r="I7739" s="9" t="s">
        <v>22</v>
      </c>
      <c r="J7739" s="10">
        <v>377.62199999999996</v>
      </c>
      <c r="K7739" s="11">
        <v>125.99</v>
      </c>
      <c r="L7739" s="11">
        <v>8.99</v>
      </c>
      <c r="M7739" s="9" t="s">
        <v>1950</v>
      </c>
      <c r="N7739" s="6" t="s">
        <v>2073</v>
      </c>
      <c r="O7739" s="6" t="s">
        <v>704</v>
      </c>
      <c r="P7739" s="9" t="s">
        <v>33</v>
      </c>
      <c r="Q7739" s="9" t="s">
        <v>42</v>
      </c>
      <c r="R7739" s="9" t="s">
        <v>43</v>
      </c>
      <c r="S7739" s="7" t="s">
        <v>1977</v>
      </c>
      <c r="T7739" s="9" t="s">
        <v>39</v>
      </c>
      <c r="U7739" s="7">
        <v>0.56999999999999995</v>
      </c>
      <c r="V7739" s="12">
        <f>C7739+5</f>
        <v>40753</v>
      </c>
      <c r="W7739">
        <f>IF(D7739=' Pivot Tables'!$A$4,1,0)</f>
        <v>0</v>
      </c>
      <c r="X7739">
        <f>IF(AND(LEFT(D7739,4)+1=LEFT(' Pivot Tables'!$A$4,4)+0,RIGHT(LEFT(D7739,7),2)=RIGHT(LEFT(' Pivot Tables'!$A$4,7),2)),1,0)</f>
        <v>0</v>
      </c>
      <c r="Y7739" s="6">
        <f>1/COUNTIF(Таблица1[Order ID],Таблица1[[#This Row],[Order ID]])</f>
        <v>0.25</v>
      </c>
      <c r="Z7739" s="9">
        <f>1/COUNTIFS(Таблица1[Customer Name],Таблица1[[#This Row],[Customer Name]],Таблица1[Order-Year-Month],Таблица1[[#This Row],[Order-Year-Month]])</f>
        <v>0.2</v>
      </c>
    </row>
    <row r="7740" spans="1:26" x14ac:dyDescent="0.2">
      <c r="A7740" s="6">
        <v>7890</v>
      </c>
      <c r="B7740" s="7">
        <v>56420</v>
      </c>
      <c r="C7740" s="8">
        <f>DATE(2012,12,31)-526</f>
        <v>40748</v>
      </c>
      <c r="D7740" s="8" t="str">
        <f t="shared" si="146"/>
        <v>2011-07 (июль 2011)</v>
      </c>
      <c r="E7740" s="9" t="s">
        <v>21</v>
      </c>
      <c r="F7740" s="7">
        <v>48</v>
      </c>
      <c r="G7740" s="7">
        <v>5138.335</v>
      </c>
      <c r="H7740" s="7">
        <v>0.02</v>
      </c>
      <c r="I7740" s="9" t="s">
        <v>22</v>
      </c>
      <c r="J7740" s="10">
        <v>1422.1980000000001</v>
      </c>
      <c r="K7740" s="11">
        <v>125.99</v>
      </c>
      <c r="L7740" s="11">
        <v>8.08</v>
      </c>
      <c r="M7740" s="9" t="s">
        <v>1950</v>
      </c>
      <c r="N7740" s="6" t="s">
        <v>2073</v>
      </c>
      <c r="O7740" s="6" t="s">
        <v>704</v>
      </c>
      <c r="P7740" s="9" t="s">
        <v>33</v>
      </c>
      <c r="Q7740" s="9" t="s">
        <v>42</v>
      </c>
      <c r="R7740" s="9" t="s">
        <v>43</v>
      </c>
      <c r="S7740" s="7" t="s">
        <v>271</v>
      </c>
      <c r="T7740" s="9" t="s">
        <v>39</v>
      </c>
      <c r="U7740" s="7">
        <v>0.56999999999999995</v>
      </c>
      <c r="V7740" s="12">
        <f>C7740+2</f>
        <v>40750</v>
      </c>
      <c r="W7740">
        <f>IF(D7740=' Pivot Tables'!$A$4,1,0)</f>
        <v>0</v>
      </c>
      <c r="X7740">
        <f>IF(AND(LEFT(D7740,4)+1=LEFT(' Pivot Tables'!$A$4,4)+0,RIGHT(LEFT(D7740,7),2)=RIGHT(LEFT(' Pivot Tables'!$A$4,7),2)),1,0)</f>
        <v>0</v>
      </c>
      <c r="Y7740" s="6">
        <f>1/COUNTIF(Таблица1[Order ID],Таблица1[[#This Row],[Order ID]])</f>
        <v>0.25</v>
      </c>
      <c r="Z7740" s="9">
        <f>1/COUNTIFS(Таблица1[Customer Name],Таблица1[[#This Row],[Customer Name]],Таблица1[Order-Year-Month],Таблица1[[#This Row],[Order-Year-Month]])</f>
        <v>0.2</v>
      </c>
    </row>
    <row r="7741" spans="1:26" x14ac:dyDescent="0.2">
      <c r="A7741" s="6">
        <v>8038</v>
      </c>
      <c r="B7741" s="7">
        <v>57412</v>
      </c>
      <c r="C7741" s="8">
        <f>DATE(2012,12,31)-1267</f>
        <v>40007</v>
      </c>
      <c r="D7741" s="8" t="str">
        <f t="shared" si="146"/>
        <v>2009-07 (июль 2009)</v>
      </c>
      <c r="E7741" s="9" t="s">
        <v>21</v>
      </c>
      <c r="F7741" s="7">
        <v>34</v>
      </c>
      <c r="G7741" s="7">
        <v>223.499</v>
      </c>
      <c r="H7741" s="7">
        <v>0.06</v>
      </c>
      <c r="I7741" s="9" t="s">
        <v>22</v>
      </c>
      <c r="J7741" s="10">
        <v>-122.13300000000001</v>
      </c>
      <c r="K7741" s="11">
        <v>7.99</v>
      </c>
      <c r="L7741" s="11">
        <v>5.03</v>
      </c>
      <c r="M7741" s="9" t="s">
        <v>1950</v>
      </c>
      <c r="N7741" s="6" t="s">
        <v>2073</v>
      </c>
      <c r="O7741" s="6" t="s">
        <v>704</v>
      </c>
      <c r="P7741" s="9" t="s">
        <v>33</v>
      </c>
      <c r="Q7741" s="9" t="s">
        <v>42</v>
      </c>
      <c r="R7741" s="9" t="s">
        <v>43</v>
      </c>
      <c r="S7741" s="7" t="s">
        <v>140</v>
      </c>
      <c r="T7741" s="9" t="s">
        <v>48</v>
      </c>
      <c r="U7741" s="7">
        <v>0.6</v>
      </c>
      <c r="V7741" s="12">
        <f>C7741+0</f>
        <v>40007</v>
      </c>
      <c r="W7741">
        <f>IF(D7741=' Pivot Tables'!$A$4,1,0)</f>
        <v>0</v>
      </c>
      <c r="X7741">
        <f>IF(AND(LEFT(D7741,4)+1=LEFT(' Pivot Tables'!$A$4,4)+0,RIGHT(LEFT(D7741,7),2)=RIGHT(LEFT(' Pivot Tables'!$A$4,7),2)),1,0)</f>
        <v>0</v>
      </c>
      <c r="Y7741" s="6">
        <f>1/COUNTIF(Таблица1[Order ID],Таблица1[[#This Row],[Order ID]])</f>
        <v>1</v>
      </c>
      <c r="Z7741" s="9">
        <f>1/COUNTIFS(Таблица1[Customer Name],Таблица1[[#This Row],[Customer Name]],Таблица1[Order-Year-Month],Таблица1[[#This Row],[Order-Year-Month]])</f>
        <v>1</v>
      </c>
    </row>
    <row r="7742" spans="1:26" x14ac:dyDescent="0.2">
      <c r="A7742" s="6">
        <v>11</v>
      </c>
      <c r="B7742" s="7">
        <v>66</v>
      </c>
      <c r="C7742" s="8">
        <f>DATE(2012,12,31)-1442</f>
        <v>39832</v>
      </c>
      <c r="D7742" s="8" t="str">
        <f t="shared" si="146"/>
        <v>2009-01 (январь 2009)</v>
      </c>
      <c r="E7742" s="9" t="s">
        <v>21</v>
      </c>
      <c r="F7742" s="7">
        <v>41</v>
      </c>
      <c r="G7742" s="7">
        <v>108.15</v>
      </c>
      <c r="H7742" s="7">
        <v>0.09</v>
      </c>
      <c r="I7742" s="9" t="s">
        <v>22</v>
      </c>
      <c r="J7742" s="10">
        <v>7.57</v>
      </c>
      <c r="K7742" s="11">
        <v>2.88</v>
      </c>
      <c r="L7742" s="11">
        <v>0.7</v>
      </c>
      <c r="M7742" s="9" t="s">
        <v>1718</v>
      </c>
      <c r="N7742" s="6" t="s">
        <v>2073</v>
      </c>
      <c r="O7742" s="6" t="s">
        <v>704</v>
      </c>
      <c r="P7742" s="9" t="s">
        <v>33</v>
      </c>
      <c r="Q7742" s="9" t="s">
        <v>26</v>
      </c>
      <c r="R7742" s="9" t="s">
        <v>95</v>
      </c>
      <c r="S7742" s="7" t="s">
        <v>1059</v>
      </c>
      <c r="T7742" s="9" t="s">
        <v>68</v>
      </c>
      <c r="U7742" s="7">
        <v>0.56000000000000005</v>
      </c>
      <c r="V7742" s="12">
        <f>C7742+0</f>
        <v>39832</v>
      </c>
      <c r="W7742">
        <f>IF(D7742=' Pivot Tables'!$A$4,1,0)</f>
        <v>0</v>
      </c>
      <c r="X7742">
        <f>IF(AND(LEFT(D7742,4)+1=LEFT(' Pivot Tables'!$A$4,4)+0,RIGHT(LEFT(D7742,7),2)=RIGHT(LEFT(' Pivot Tables'!$A$4,7),2)),1,0)</f>
        <v>1</v>
      </c>
      <c r="Y7742" s="6">
        <f>1/COUNTIF(Таблица1[Order ID],Таблица1[[#This Row],[Order ID]])</f>
        <v>1</v>
      </c>
      <c r="Z7742" s="9">
        <f>1/COUNTIFS(Таблица1[Customer Name],Таблица1[[#This Row],[Customer Name]],Таблица1[Order-Year-Month],Таблица1[[#This Row],[Order-Year-Month]])</f>
        <v>1</v>
      </c>
    </row>
    <row r="7743" spans="1:26" x14ac:dyDescent="0.2">
      <c r="A7743" s="6">
        <v>251</v>
      </c>
      <c r="B7743" s="7">
        <v>1762</v>
      </c>
      <c r="C7743" s="8">
        <f>DATE(2012,12,31)-1230</f>
        <v>40044</v>
      </c>
      <c r="D7743" s="8" t="str">
        <f t="shared" si="146"/>
        <v>2009-08 (август 2009)</v>
      </c>
      <c r="E7743" s="9" t="s">
        <v>45</v>
      </c>
      <c r="F7743" s="7">
        <v>29</v>
      </c>
      <c r="G7743" s="7">
        <v>857.11</v>
      </c>
      <c r="H7743" s="7">
        <v>7.0000000000000007E-2</v>
      </c>
      <c r="I7743" s="9" t="s">
        <v>22</v>
      </c>
      <c r="J7743" s="10">
        <v>285.2</v>
      </c>
      <c r="K7743" s="11">
        <v>31.78</v>
      </c>
      <c r="L7743" s="11">
        <v>1.99</v>
      </c>
      <c r="M7743" s="9" t="s">
        <v>2088</v>
      </c>
      <c r="N7743" s="6" t="s">
        <v>2073</v>
      </c>
      <c r="O7743" s="6" t="s">
        <v>704</v>
      </c>
      <c r="P7743" s="9" t="s">
        <v>60</v>
      </c>
      <c r="Q7743" s="9" t="s">
        <v>42</v>
      </c>
      <c r="R7743" s="9" t="s">
        <v>70</v>
      </c>
      <c r="S7743" s="7" t="s">
        <v>132</v>
      </c>
      <c r="T7743" s="9" t="s">
        <v>52</v>
      </c>
      <c r="U7743" s="7">
        <v>0.42</v>
      </c>
      <c r="V7743" s="12">
        <f>C7743+2</f>
        <v>40046</v>
      </c>
      <c r="W7743">
        <f>IF(D7743=' Pivot Tables'!$A$4,1,0)</f>
        <v>0</v>
      </c>
      <c r="X7743">
        <f>IF(AND(LEFT(D7743,4)+1=LEFT(' Pivot Tables'!$A$4,4)+0,RIGHT(LEFT(D7743,7),2)=RIGHT(LEFT(' Pivot Tables'!$A$4,7),2)),1,0)</f>
        <v>0</v>
      </c>
      <c r="Y7743" s="6">
        <f>1/COUNTIF(Таблица1[Order ID],Таблица1[[#This Row],[Order ID]])</f>
        <v>0.33333333333333331</v>
      </c>
      <c r="Z7743" s="9">
        <f>1/COUNTIFS(Таблица1[Customer Name],Таблица1[[#This Row],[Customer Name]],Таблица1[Order-Year-Month],Таблица1[[#This Row],[Order-Year-Month]])</f>
        <v>0.33333333333333331</v>
      </c>
    </row>
    <row r="7744" spans="1:26" x14ac:dyDescent="0.2">
      <c r="A7744" s="6">
        <v>252</v>
      </c>
      <c r="B7744" s="7">
        <v>1762</v>
      </c>
      <c r="C7744" s="8">
        <f>DATE(2012,12,31)-1230</f>
        <v>40044</v>
      </c>
      <c r="D7744" s="8" t="str">
        <f t="shared" si="146"/>
        <v>2009-08 (август 2009)</v>
      </c>
      <c r="E7744" s="9" t="s">
        <v>45</v>
      </c>
      <c r="F7744" s="7">
        <v>11</v>
      </c>
      <c r="G7744" s="7">
        <v>69.599999999999994</v>
      </c>
      <c r="H7744" s="7">
        <v>0</v>
      </c>
      <c r="I7744" s="9" t="s">
        <v>22</v>
      </c>
      <c r="J7744" s="10">
        <v>6.46</v>
      </c>
      <c r="K7744" s="11">
        <v>5.98</v>
      </c>
      <c r="L7744" s="11">
        <v>2.5</v>
      </c>
      <c r="M7744" s="9" t="s">
        <v>2088</v>
      </c>
      <c r="N7744" s="6" t="s">
        <v>2073</v>
      </c>
      <c r="O7744" s="6" t="s">
        <v>704</v>
      </c>
      <c r="P7744" s="9" t="s">
        <v>60</v>
      </c>
      <c r="Q7744" s="9" t="s">
        <v>26</v>
      </c>
      <c r="R7744" s="9" t="s">
        <v>76</v>
      </c>
      <c r="S7744" s="7" t="s">
        <v>625</v>
      </c>
      <c r="T7744" s="9" t="s">
        <v>39</v>
      </c>
      <c r="U7744" s="7">
        <v>0.36</v>
      </c>
      <c r="V7744" s="12">
        <f>C7744+1</f>
        <v>40045</v>
      </c>
      <c r="W7744">
        <f>IF(D7744=' Pivot Tables'!$A$4,1,0)</f>
        <v>0</v>
      </c>
      <c r="X7744">
        <f>IF(AND(LEFT(D7744,4)+1=LEFT(' Pivot Tables'!$A$4,4)+0,RIGHT(LEFT(D7744,7),2)=RIGHT(LEFT(' Pivot Tables'!$A$4,7),2)),1,0)</f>
        <v>0</v>
      </c>
      <c r="Y7744" s="6">
        <f>1/COUNTIF(Таблица1[Order ID],Таблица1[[#This Row],[Order ID]])</f>
        <v>0.33333333333333331</v>
      </c>
      <c r="Z7744" s="9">
        <f>1/COUNTIFS(Таблица1[Customer Name],Таблица1[[#This Row],[Customer Name]],Таблица1[Order-Year-Month],Таблица1[[#This Row],[Order-Year-Month]])</f>
        <v>0.33333333333333331</v>
      </c>
    </row>
    <row r="7745" spans="1:26" x14ac:dyDescent="0.2">
      <c r="A7745" s="6">
        <v>253</v>
      </c>
      <c r="B7745" s="7">
        <v>1762</v>
      </c>
      <c r="C7745" s="8">
        <f>DATE(2012,12,31)-1230</f>
        <v>40044</v>
      </c>
      <c r="D7745" s="8" t="str">
        <f t="shared" si="146"/>
        <v>2009-08 (август 2009)</v>
      </c>
      <c r="E7745" s="9" t="s">
        <v>45</v>
      </c>
      <c r="F7745" s="7">
        <v>43</v>
      </c>
      <c r="G7745" s="7">
        <v>1279.5050000000001</v>
      </c>
      <c r="H7745" s="7">
        <v>0.1</v>
      </c>
      <c r="I7745" s="9" t="s">
        <v>56</v>
      </c>
      <c r="J7745" s="10">
        <v>384.20099999999996</v>
      </c>
      <c r="K7745" s="11">
        <v>35.99</v>
      </c>
      <c r="L7745" s="11">
        <v>1.1000000000000001</v>
      </c>
      <c r="M7745" s="9" t="s">
        <v>2088</v>
      </c>
      <c r="N7745" s="6" t="s">
        <v>2073</v>
      </c>
      <c r="O7745" s="6" t="s">
        <v>704</v>
      </c>
      <c r="P7745" s="9" t="s">
        <v>60</v>
      </c>
      <c r="Q7745" s="9" t="s">
        <v>42</v>
      </c>
      <c r="R7745" s="9" t="s">
        <v>43</v>
      </c>
      <c r="S7745" s="7" t="s">
        <v>1082</v>
      </c>
      <c r="T7745" s="9" t="s">
        <v>39</v>
      </c>
      <c r="U7745" s="7">
        <v>0.55000000000000004</v>
      </c>
      <c r="V7745" s="12">
        <f>C7745+1</f>
        <v>40045</v>
      </c>
      <c r="W7745">
        <f>IF(D7745=' Pivot Tables'!$A$4,1,0)</f>
        <v>0</v>
      </c>
      <c r="X7745">
        <f>IF(AND(LEFT(D7745,4)+1=LEFT(' Pivot Tables'!$A$4,4)+0,RIGHT(LEFT(D7745,7),2)=RIGHT(LEFT(' Pivot Tables'!$A$4,7),2)),1,0)</f>
        <v>0</v>
      </c>
      <c r="Y7745" s="6">
        <f>1/COUNTIF(Таблица1[Order ID],Таблица1[[#This Row],[Order ID]])</f>
        <v>0.33333333333333331</v>
      </c>
      <c r="Z7745" s="9">
        <f>1/COUNTIFS(Таблица1[Customer Name],Таблица1[[#This Row],[Customer Name]],Таблица1[Order-Year-Month],Таблица1[[#This Row],[Order-Year-Month]])</f>
        <v>0.33333333333333331</v>
      </c>
    </row>
    <row r="7746" spans="1:26" x14ac:dyDescent="0.2">
      <c r="A7746" s="6">
        <v>859</v>
      </c>
      <c r="B7746" s="7">
        <v>6150</v>
      </c>
      <c r="C7746" s="8">
        <f>DATE(2012,12,31)-91</f>
        <v>41183</v>
      </c>
      <c r="D7746" s="8" t="str">
        <f t="shared" si="146"/>
        <v>2012-10 (октябрь 2012)</v>
      </c>
      <c r="E7746" s="9" t="s">
        <v>78</v>
      </c>
      <c r="F7746" s="7">
        <v>38</v>
      </c>
      <c r="G7746" s="7">
        <v>191.14</v>
      </c>
      <c r="H7746" s="7">
        <v>0.06</v>
      </c>
      <c r="I7746" s="9" t="s">
        <v>22</v>
      </c>
      <c r="J7746" s="10">
        <v>82.65</v>
      </c>
      <c r="K7746" s="11">
        <v>4.9800000000000004</v>
      </c>
      <c r="L7746" s="11">
        <v>0.8</v>
      </c>
      <c r="M7746" s="9" t="s">
        <v>2089</v>
      </c>
      <c r="N7746" s="6" t="s">
        <v>2073</v>
      </c>
      <c r="O7746" s="6" t="s">
        <v>704</v>
      </c>
      <c r="P7746" s="9" t="s">
        <v>25</v>
      </c>
      <c r="Q7746" s="9" t="s">
        <v>26</v>
      </c>
      <c r="R7746" s="9" t="s">
        <v>61</v>
      </c>
      <c r="S7746" s="7" t="s">
        <v>842</v>
      </c>
      <c r="T7746" s="9" t="s">
        <v>68</v>
      </c>
      <c r="U7746" s="7">
        <v>0.36</v>
      </c>
      <c r="V7746" s="12">
        <f>C7746+1</f>
        <v>41184</v>
      </c>
      <c r="W7746">
        <f>IF(D7746=' Pivot Tables'!$A$4,1,0)</f>
        <v>0</v>
      </c>
      <c r="X7746">
        <f>IF(AND(LEFT(D7746,4)+1=LEFT(' Pivot Tables'!$A$4,4)+0,RIGHT(LEFT(D7746,7),2)=RIGHT(LEFT(' Pivot Tables'!$A$4,7),2)),1,0)</f>
        <v>0</v>
      </c>
      <c r="Y7746" s="6">
        <f>1/COUNTIF(Таблица1[Order ID],Таблица1[[#This Row],[Order ID]])</f>
        <v>1</v>
      </c>
      <c r="Z7746" s="9">
        <f>1/COUNTIFS(Таблица1[Customer Name],Таблица1[[#This Row],[Customer Name]],Таблица1[Order-Year-Month],Таблица1[[#This Row],[Order-Year-Month]])</f>
        <v>1</v>
      </c>
    </row>
    <row r="7747" spans="1:26" x14ac:dyDescent="0.2">
      <c r="A7747" s="6">
        <v>879</v>
      </c>
      <c r="B7747" s="7">
        <v>6310</v>
      </c>
      <c r="C7747" s="8">
        <f>DATE(2012,12,31)-1338</f>
        <v>39936</v>
      </c>
      <c r="D7747" s="8" t="str">
        <f t="shared" ref="D7747:D7810" si="147">TEXT(C7747,"гггг-ММ (ММММ гггг)")</f>
        <v>2009-05 (май 2009)</v>
      </c>
      <c r="E7747" s="9" t="s">
        <v>45</v>
      </c>
      <c r="F7747" s="7">
        <v>27</v>
      </c>
      <c r="G7747" s="7">
        <v>216.95</v>
      </c>
      <c r="H7747" s="7">
        <v>0.08</v>
      </c>
      <c r="I7747" s="9" t="s">
        <v>22</v>
      </c>
      <c r="J7747" s="10">
        <v>-88.82</v>
      </c>
      <c r="K7747" s="11">
        <v>8.09</v>
      </c>
      <c r="L7747" s="11">
        <v>7.96</v>
      </c>
      <c r="M7747" s="9" t="s">
        <v>2090</v>
      </c>
      <c r="N7747" s="6" t="s">
        <v>2073</v>
      </c>
      <c r="O7747" s="6" t="s">
        <v>704</v>
      </c>
      <c r="P7747" s="9" t="s">
        <v>33</v>
      </c>
      <c r="Q7747" s="9" t="s">
        <v>49</v>
      </c>
      <c r="R7747" s="9" t="s">
        <v>50</v>
      </c>
      <c r="S7747" s="7" t="s">
        <v>1769</v>
      </c>
      <c r="T7747" s="9" t="s">
        <v>39</v>
      </c>
      <c r="U7747" s="7">
        <v>0.49</v>
      </c>
      <c r="V7747" s="12">
        <f>C7747+1</f>
        <v>39937</v>
      </c>
      <c r="W7747">
        <f>IF(D7747=' Pivot Tables'!$A$4,1,0)</f>
        <v>0</v>
      </c>
      <c r="X7747">
        <f>IF(AND(LEFT(D7747,4)+1=LEFT(' Pivot Tables'!$A$4,4)+0,RIGHT(LEFT(D7747,7),2)=RIGHT(LEFT(' Pivot Tables'!$A$4,7),2)),1,0)</f>
        <v>0</v>
      </c>
      <c r="Y7747" s="6">
        <f>1/COUNTIF(Таблица1[Order ID],Таблица1[[#This Row],[Order ID]])</f>
        <v>1</v>
      </c>
      <c r="Z7747" s="9">
        <f>1/COUNTIFS(Таблица1[Customer Name],Таблица1[[#This Row],[Customer Name]],Таблица1[Order-Year-Month],Таблица1[[#This Row],[Order-Year-Month]])</f>
        <v>1</v>
      </c>
    </row>
    <row r="7748" spans="1:26" x14ac:dyDescent="0.2">
      <c r="A7748" s="6">
        <v>1321</v>
      </c>
      <c r="B7748" s="7">
        <v>9664</v>
      </c>
      <c r="C7748" s="8">
        <f>DATE(2012,12,31)-999</f>
        <v>40275</v>
      </c>
      <c r="D7748" s="8" t="str">
        <f t="shared" si="147"/>
        <v>2010-04 (апрель 2010)</v>
      </c>
      <c r="E7748" s="9" t="s">
        <v>30</v>
      </c>
      <c r="F7748" s="7">
        <v>13</v>
      </c>
      <c r="G7748" s="7">
        <v>88.38</v>
      </c>
      <c r="H7748" s="7">
        <v>0.06</v>
      </c>
      <c r="I7748" s="9" t="s">
        <v>22</v>
      </c>
      <c r="J7748" s="10">
        <v>-64.95</v>
      </c>
      <c r="K7748" s="11">
        <v>6.48</v>
      </c>
      <c r="L7748" s="11">
        <v>8.4</v>
      </c>
      <c r="M7748" s="9" t="s">
        <v>2091</v>
      </c>
      <c r="N7748" s="6" t="s">
        <v>2073</v>
      </c>
      <c r="O7748" s="6" t="s">
        <v>704</v>
      </c>
      <c r="P7748" s="9" t="s">
        <v>25</v>
      </c>
      <c r="Q7748" s="9" t="s">
        <v>26</v>
      </c>
      <c r="R7748" s="9" t="s">
        <v>61</v>
      </c>
      <c r="S7748" s="7" t="s">
        <v>1097</v>
      </c>
      <c r="T7748" s="9" t="s">
        <v>39</v>
      </c>
      <c r="U7748" s="7">
        <v>0.37</v>
      </c>
      <c r="V7748" s="12">
        <f>C7748+3</f>
        <v>40278</v>
      </c>
      <c r="W7748">
        <f>IF(D7748=' Pivot Tables'!$A$4,1,0)</f>
        <v>0</v>
      </c>
      <c r="X7748">
        <f>IF(AND(LEFT(D7748,4)+1=LEFT(' Pivot Tables'!$A$4,4)+0,RIGHT(LEFT(D7748,7),2)=RIGHT(LEFT(' Pivot Tables'!$A$4,7),2)),1,0)</f>
        <v>0</v>
      </c>
      <c r="Y7748" s="6">
        <f>1/COUNTIF(Таблица1[Order ID],Таблица1[[#This Row],[Order ID]])</f>
        <v>1</v>
      </c>
      <c r="Z7748" s="9">
        <f>1/COUNTIFS(Таблица1[Customer Name],Таблица1[[#This Row],[Customer Name]],Таблица1[Order-Year-Month],Таблица1[[#This Row],[Order-Year-Month]])</f>
        <v>0.25</v>
      </c>
    </row>
    <row r="7749" spans="1:26" x14ac:dyDescent="0.2">
      <c r="A7749" s="6">
        <v>1545</v>
      </c>
      <c r="B7749" s="7">
        <v>11168</v>
      </c>
      <c r="C7749" s="8">
        <f>DATE(2012,12,31)-71</f>
        <v>41203</v>
      </c>
      <c r="D7749" s="8" t="str">
        <f t="shared" si="147"/>
        <v>2012-10 (октябрь 2012)</v>
      </c>
      <c r="E7749" s="9" t="s">
        <v>78</v>
      </c>
      <c r="F7749" s="7">
        <v>35</v>
      </c>
      <c r="G7749" s="7">
        <v>182.86</v>
      </c>
      <c r="H7749" s="7">
        <v>0</v>
      </c>
      <c r="I7749" s="9" t="s">
        <v>22</v>
      </c>
      <c r="J7749" s="10">
        <v>-106.27</v>
      </c>
      <c r="K7749" s="11">
        <v>4.82</v>
      </c>
      <c r="L7749" s="11">
        <v>5.72</v>
      </c>
      <c r="M7749" s="9" t="s">
        <v>2088</v>
      </c>
      <c r="N7749" s="6" t="s">
        <v>2073</v>
      </c>
      <c r="O7749" s="6" t="s">
        <v>704</v>
      </c>
      <c r="P7749" s="9" t="s">
        <v>60</v>
      </c>
      <c r="Q7749" s="9" t="s">
        <v>49</v>
      </c>
      <c r="R7749" s="9" t="s">
        <v>50</v>
      </c>
      <c r="S7749" s="7" t="s">
        <v>584</v>
      </c>
      <c r="T7749" s="9" t="s">
        <v>52</v>
      </c>
      <c r="U7749" s="7">
        <v>0.47</v>
      </c>
      <c r="V7749" s="12">
        <f>C7749+2</f>
        <v>41205</v>
      </c>
      <c r="W7749">
        <f>IF(D7749=' Pivot Tables'!$A$4,1,0)</f>
        <v>0</v>
      </c>
      <c r="X7749">
        <f>IF(AND(LEFT(D7749,4)+1=LEFT(' Pivot Tables'!$A$4,4)+0,RIGHT(LEFT(D7749,7),2)=RIGHT(LEFT(' Pivot Tables'!$A$4,7),2)),1,0)</f>
        <v>0</v>
      </c>
      <c r="Y7749" s="6">
        <f>1/COUNTIF(Таблица1[Order ID],Таблица1[[#This Row],[Order ID]])</f>
        <v>1</v>
      </c>
      <c r="Z7749" s="9">
        <f>1/COUNTIFS(Таблица1[Customer Name],Таблица1[[#This Row],[Customer Name]],Таблица1[Order-Year-Month],Таблица1[[#This Row],[Order-Year-Month]])</f>
        <v>1</v>
      </c>
    </row>
    <row r="7750" spans="1:26" x14ac:dyDescent="0.2">
      <c r="A7750" s="6">
        <v>1725</v>
      </c>
      <c r="B7750" s="7">
        <v>12417</v>
      </c>
      <c r="C7750" s="8">
        <f>DATE(2012,12,31)-799</f>
        <v>40475</v>
      </c>
      <c r="D7750" s="8" t="str">
        <f t="shared" si="147"/>
        <v>2010-10 (октябрь 2010)</v>
      </c>
      <c r="E7750" s="9" t="s">
        <v>78</v>
      </c>
      <c r="F7750" s="7">
        <v>19</v>
      </c>
      <c r="G7750" s="7">
        <v>137.84</v>
      </c>
      <c r="H7750" s="7">
        <v>0.06</v>
      </c>
      <c r="I7750" s="9" t="s">
        <v>22</v>
      </c>
      <c r="J7750" s="10">
        <v>34.31</v>
      </c>
      <c r="K7750" s="11">
        <v>7.4</v>
      </c>
      <c r="L7750" s="11">
        <v>1.71</v>
      </c>
      <c r="M7750" s="9" t="s">
        <v>1757</v>
      </c>
      <c r="N7750" s="6" t="s">
        <v>2073</v>
      </c>
      <c r="O7750" s="6" t="s">
        <v>704</v>
      </c>
      <c r="P7750" s="9" t="s">
        <v>41</v>
      </c>
      <c r="Q7750" s="9" t="s">
        <v>26</v>
      </c>
      <c r="R7750" s="9" t="s">
        <v>61</v>
      </c>
      <c r="S7750" s="7" t="s">
        <v>864</v>
      </c>
      <c r="T7750" s="9" t="s">
        <v>68</v>
      </c>
      <c r="U7750" s="7">
        <v>0.4</v>
      </c>
      <c r="V7750" s="12">
        <f>C7750+2</f>
        <v>40477</v>
      </c>
      <c r="W7750">
        <f>IF(D7750=' Pivot Tables'!$A$4,1,0)</f>
        <v>0</v>
      </c>
      <c r="X7750">
        <f>IF(AND(LEFT(D7750,4)+1=LEFT(' Pivot Tables'!$A$4,4)+0,RIGHT(LEFT(D7750,7),2)=RIGHT(LEFT(' Pivot Tables'!$A$4,7),2)),1,0)</f>
        <v>0</v>
      </c>
      <c r="Y7750" s="6">
        <f>1/COUNTIF(Таблица1[Order ID],Таблица1[[#This Row],[Order ID]])</f>
        <v>1</v>
      </c>
      <c r="Z7750" s="9">
        <f>1/COUNTIFS(Таблица1[Customer Name],Таблица1[[#This Row],[Customer Name]],Таблица1[Order-Year-Month],Таблица1[[#This Row],[Order-Year-Month]])</f>
        <v>1</v>
      </c>
    </row>
    <row r="7751" spans="1:26" x14ac:dyDescent="0.2">
      <c r="A7751" s="6">
        <v>1899</v>
      </c>
      <c r="B7751" s="7">
        <v>13607</v>
      </c>
      <c r="C7751" s="8">
        <f>DATE(2012,12,31)-774</f>
        <v>40500</v>
      </c>
      <c r="D7751" s="8" t="str">
        <f t="shared" si="147"/>
        <v>2010-11 (ноябрь 2010)</v>
      </c>
      <c r="E7751" s="9" t="s">
        <v>78</v>
      </c>
      <c r="F7751" s="7">
        <v>12</v>
      </c>
      <c r="G7751" s="7">
        <v>440.6</v>
      </c>
      <c r="H7751" s="7">
        <v>7.0000000000000007E-2</v>
      </c>
      <c r="I7751" s="9" t="s">
        <v>22</v>
      </c>
      <c r="J7751" s="10">
        <v>2.9700000000000131</v>
      </c>
      <c r="K7751" s="11">
        <v>39.479999999999997</v>
      </c>
      <c r="L7751" s="11">
        <v>1.99</v>
      </c>
      <c r="M7751" s="9" t="s">
        <v>2091</v>
      </c>
      <c r="N7751" s="6" t="s">
        <v>2073</v>
      </c>
      <c r="O7751" s="6" t="s">
        <v>704</v>
      </c>
      <c r="P7751" s="9" t="s">
        <v>25</v>
      </c>
      <c r="Q7751" s="9" t="s">
        <v>42</v>
      </c>
      <c r="R7751" s="9" t="s">
        <v>70</v>
      </c>
      <c r="S7751" s="7" t="s">
        <v>161</v>
      </c>
      <c r="T7751" s="9" t="s">
        <v>52</v>
      </c>
      <c r="U7751" s="7">
        <v>0.54</v>
      </c>
      <c r="V7751" s="12">
        <f>C7751+1</f>
        <v>40501</v>
      </c>
      <c r="W7751">
        <f>IF(D7751=' Pivot Tables'!$A$4,1,0)</f>
        <v>0</v>
      </c>
      <c r="X7751">
        <f>IF(AND(LEFT(D7751,4)+1=LEFT(' Pivot Tables'!$A$4,4)+0,RIGHT(LEFT(D7751,7),2)=RIGHT(LEFT(' Pivot Tables'!$A$4,7),2)),1,0)</f>
        <v>0</v>
      </c>
      <c r="Y7751" s="6">
        <f>1/COUNTIF(Таблица1[Order ID],Таблица1[[#This Row],[Order ID]])</f>
        <v>0.33333333333333331</v>
      </c>
      <c r="Z7751" s="9">
        <f>1/COUNTIFS(Таблица1[Customer Name],Таблица1[[#This Row],[Customer Name]],Таблица1[Order-Year-Month],Таблица1[[#This Row],[Order-Year-Month]])</f>
        <v>0.25</v>
      </c>
    </row>
    <row r="7752" spans="1:26" x14ac:dyDescent="0.2">
      <c r="A7752" s="6">
        <v>1900</v>
      </c>
      <c r="B7752" s="7">
        <v>13607</v>
      </c>
      <c r="C7752" s="8">
        <f>DATE(2012,12,31)-774</f>
        <v>40500</v>
      </c>
      <c r="D7752" s="8" t="str">
        <f t="shared" si="147"/>
        <v>2010-11 (ноябрь 2010)</v>
      </c>
      <c r="E7752" s="9" t="s">
        <v>78</v>
      </c>
      <c r="F7752" s="7">
        <v>37</v>
      </c>
      <c r="G7752" s="7">
        <v>109.9</v>
      </c>
      <c r="H7752" s="7">
        <v>0.09</v>
      </c>
      <c r="I7752" s="9" t="s">
        <v>56</v>
      </c>
      <c r="J7752" s="10">
        <v>48.52</v>
      </c>
      <c r="K7752" s="11">
        <v>2.61</v>
      </c>
      <c r="L7752" s="11">
        <v>0.5</v>
      </c>
      <c r="M7752" s="9" t="s">
        <v>2091</v>
      </c>
      <c r="N7752" s="6" t="s">
        <v>2073</v>
      </c>
      <c r="O7752" s="6" t="s">
        <v>704</v>
      </c>
      <c r="P7752" s="9" t="s">
        <v>25</v>
      </c>
      <c r="Q7752" s="9" t="s">
        <v>26</v>
      </c>
      <c r="R7752" s="9" t="s">
        <v>88</v>
      </c>
      <c r="S7752" s="7" t="s">
        <v>528</v>
      </c>
      <c r="T7752" s="9" t="s">
        <v>39</v>
      </c>
      <c r="U7752" s="7">
        <v>0.39</v>
      </c>
      <c r="V7752" s="12">
        <f>C7752+1</f>
        <v>40501</v>
      </c>
      <c r="W7752">
        <f>IF(D7752=' Pivot Tables'!$A$4,1,0)</f>
        <v>0</v>
      </c>
      <c r="X7752">
        <f>IF(AND(LEFT(D7752,4)+1=LEFT(' Pivot Tables'!$A$4,4)+0,RIGHT(LEFT(D7752,7),2)=RIGHT(LEFT(' Pivot Tables'!$A$4,7),2)),1,0)</f>
        <v>0</v>
      </c>
      <c r="Y7752" s="6">
        <f>1/COUNTIF(Таблица1[Order ID],Таблица1[[#This Row],[Order ID]])</f>
        <v>0.33333333333333331</v>
      </c>
      <c r="Z7752" s="9">
        <f>1/COUNTIFS(Таблица1[Customer Name],Таблица1[[#This Row],[Customer Name]],Таблица1[Order-Year-Month],Таблица1[[#This Row],[Order-Year-Month]])</f>
        <v>0.25</v>
      </c>
    </row>
    <row r="7753" spans="1:26" x14ac:dyDescent="0.2">
      <c r="A7753" s="6">
        <v>1901</v>
      </c>
      <c r="B7753" s="7">
        <v>13607</v>
      </c>
      <c r="C7753" s="8">
        <f>DATE(2012,12,31)-774</f>
        <v>40500</v>
      </c>
      <c r="D7753" s="8" t="str">
        <f t="shared" si="147"/>
        <v>2010-11 (ноябрь 2010)</v>
      </c>
      <c r="E7753" s="9" t="s">
        <v>78</v>
      </c>
      <c r="F7753" s="7">
        <v>13</v>
      </c>
      <c r="G7753" s="7">
        <v>315.29000000000002</v>
      </c>
      <c r="H7753" s="7">
        <v>0</v>
      </c>
      <c r="I7753" s="9" t="s">
        <v>22</v>
      </c>
      <c r="J7753" s="10">
        <v>-361.82</v>
      </c>
      <c r="K7753" s="11">
        <v>20.34</v>
      </c>
      <c r="L7753" s="11">
        <v>35</v>
      </c>
      <c r="M7753" s="9" t="s">
        <v>2091</v>
      </c>
      <c r="N7753" s="6" t="s">
        <v>2073</v>
      </c>
      <c r="O7753" s="6" t="s">
        <v>704</v>
      </c>
      <c r="P7753" s="9" t="s">
        <v>25</v>
      </c>
      <c r="Q7753" s="9" t="s">
        <v>26</v>
      </c>
      <c r="R7753" s="9" t="s">
        <v>27</v>
      </c>
      <c r="S7753" s="7" t="s">
        <v>693</v>
      </c>
      <c r="T7753" s="9" t="s">
        <v>29</v>
      </c>
      <c r="U7753" s="7">
        <v>0.84</v>
      </c>
      <c r="V7753" s="12">
        <f>C7753+2</f>
        <v>40502</v>
      </c>
      <c r="W7753">
        <f>IF(D7753=' Pivot Tables'!$A$4,1,0)</f>
        <v>0</v>
      </c>
      <c r="X7753">
        <f>IF(AND(LEFT(D7753,4)+1=LEFT(' Pivot Tables'!$A$4,4)+0,RIGHT(LEFT(D7753,7),2)=RIGHT(LEFT(' Pivot Tables'!$A$4,7),2)),1,0)</f>
        <v>0</v>
      </c>
      <c r="Y7753" s="6">
        <f>1/COUNTIF(Таблица1[Order ID],Таблица1[[#This Row],[Order ID]])</f>
        <v>0.33333333333333331</v>
      </c>
      <c r="Z7753" s="9">
        <f>1/COUNTIFS(Таблица1[Customer Name],Таблица1[[#This Row],[Customer Name]],Таблица1[Order-Year-Month],Таблица1[[#This Row],[Order-Year-Month]])</f>
        <v>0.25</v>
      </c>
    </row>
    <row r="7754" spans="1:26" x14ac:dyDescent="0.2">
      <c r="A7754" s="6">
        <v>2047</v>
      </c>
      <c r="B7754" s="7">
        <v>14597</v>
      </c>
      <c r="C7754" s="8">
        <f>DATE(2012,12,31)-854</f>
        <v>40420</v>
      </c>
      <c r="D7754" s="8" t="str">
        <f t="shared" si="147"/>
        <v>2010-08 (август 2010)</v>
      </c>
      <c r="E7754" s="9" t="s">
        <v>78</v>
      </c>
      <c r="F7754" s="7">
        <v>41</v>
      </c>
      <c r="G7754" s="7">
        <v>320.42</v>
      </c>
      <c r="H7754" s="7">
        <v>0.03</v>
      </c>
      <c r="I7754" s="9" t="s">
        <v>56</v>
      </c>
      <c r="J7754" s="10">
        <v>-66.366500000000002</v>
      </c>
      <c r="K7754" s="11">
        <v>7.68</v>
      </c>
      <c r="L7754" s="11">
        <v>6.16</v>
      </c>
      <c r="M7754" s="9" t="s">
        <v>2066</v>
      </c>
      <c r="N7754" s="6" t="s">
        <v>2073</v>
      </c>
      <c r="O7754" s="6" t="s">
        <v>704</v>
      </c>
      <c r="P7754" s="9" t="s">
        <v>41</v>
      </c>
      <c r="Q7754" s="9" t="s">
        <v>26</v>
      </c>
      <c r="R7754" s="9" t="s">
        <v>37</v>
      </c>
      <c r="S7754" s="7" t="s">
        <v>854</v>
      </c>
      <c r="T7754" s="9" t="s">
        <v>39</v>
      </c>
      <c r="U7754" s="7">
        <v>0.35</v>
      </c>
      <c r="V7754" s="12">
        <f t="shared" ref="V7754:V7759" si="148">C7754+1</f>
        <v>40421</v>
      </c>
      <c r="W7754">
        <f>IF(D7754=' Pivot Tables'!$A$4,1,0)</f>
        <v>0</v>
      </c>
      <c r="X7754">
        <f>IF(AND(LEFT(D7754,4)+1=LEFT(' Pivot Tables'!$A$4,4)+0,RIGHT(LEFT(D7754,7),2)=RIGHT(LEFT(' Pivot Tables'!$A$4,7),2)),1,0)</f>
        <v>0</v>
      </c>
      <c r="Y7754" s="6">
        <f>1/COUNTIF(Таблица1[Order ID],Таблица1[[#This Row],[Order ID]])</f>
        <v>0.5</v>
      </c>
      <c r="Z7754" s="9">
        <f>1/COUNTIFS(Таблица1[Customer Name],Таблица1[[#This Row],[Customer Name]],Таблица1[Order-Year-Month],Таблица1[[#This Row],[Order-Year-Month]])</f>
        <v>0.5</v>
      </c>
    </row>
    <row r="7755" spans="1:26" x14ac:dyDescent="0.2">
      <c r="A7755" s="6">
        <v>2048</v>
      </c>
      <c r="B7755" s="7">
        <v>14597</v>
      </c>
      <c r="C7755" s="8">
        <f>DATE(2012,12,31)-854</f>
        <v>40420</v>
      </c>
      <c r="D7755" s="8" t="str">
        <f t="shared" si="147"/>
        <v>2010-08 (август 2010)</v>
      </c>
      <c r="E7755" s="9" t="s">
        <v>78</v>
      </c>
      <c r="F7755" s="7">
        <v>35</v>
      </c>
      <c r="G7755" s="7">
        <v>266.64</v>
      </c>
      <c r="H7755" s="7">
        <v>7.0000000000000007E-2</v>
      </c>
      <c r="I7755" s="9" t="s">
        <v>22</v>
      </c>
      <c r="J7755" s="10">
        <v>-36.76</v>
      </c>
      <c r="K7755" s="11">
        <v>7.96</v>
      </c>
      <c r="L7755" s="11">
        <v>4.95</v>
      </c>
      <c r="M7755" s="9" t="s">
        <v>2066</v>
      </c>
      <c r="N7755" s="6" t="s">
        <v>2073</v>
      </c>
      <c r="O7755" s="6" t="s">
        <v>704</v>
      </c>
      <c r="P7755" s="9" t="s">
        <v>41</v>
      </c>
      <c r="Q7755" s="9" t="s">
        <v>49</v>
      </c>
      <c r="R7755" s="9" t="s">
        <v>50</v>
      </c>
      <c r="S7755" s="7" t="s">
        <v>951</v>
      </c>
      <c r="T7755" s="9" t="s">
        <v>39</v>
      </c>
      <c r="U7755" s="7">
        <v>0.41</v>
      </c>
      <c r="V7755" s="12">
        <f t="shared" si="148"/>
        <v>40421</v>
      </c>
      <c r="W7755">
        <f>IF(D7755=' Pivot Tables'!$A$4,1,0)</f>
        <v>0</v>
      </c>
      <c r="X7755">
        <f>IF(AND(LEFT(D7755,4)+1=LEFT(' Pivot Tables'!$A$4,4)+0,RIGHT(LEFT(D7755,7),2)=RIGHT(LEFT(' Pivot Tables'!$A$4,7),2)),1,0)</f>
        <v>0</v>
      </c>
      <c r="Y7755" s="6">
        <f>1/COUNTIF(Таблица1[Order ID],Таблица1[[#This Row],[Order ID]])</f>
        <v>0.5</v>
      </c>
      <c r="Z7755" s="9">
        <f>1/COUNTIFS(Таблица1[Customer Name],Таблица1[[#This Row],[Customer Name]],Таблица1[Order-Year-Month],Таблица1[[#This Row],[Order-Year-Month]])</f>
        <v>0.5</v>
      </c>
    </row>
    <row r="7756" spans="1:26" x14ac:dyDescent="0.2">
      <c r="A7756" s="6">
        <v>2102</v>
      </c>
      <c r="B7756" s="7">
        <v>15015</v>
      </c>
      <c r="C7756" s="8">
        <f>DATE(2012,12,31)-767</f>
        <v>40507</v>
      </c>
      <c r="D7756" s="8" t="str">
        <f t="shared" si="147"/>
        <v>2010-11 (ноябрь 2010)</v>
      </c>
      <c r="E7756" s="9" t="s">
        <v>30</v>
      </c>
      <c r="F7756" s="7">
        <v>47</v>
      </c>
      <c r="G7756" s="7">
        <v>306.77</v>
      </c>
      <c r="H7756" s="7">
        <v>0.03</v>
      </c>
      <c r="I7756" s="9" t="s">
        <v>22</v>
      </c>
      <c r="J7756" s="10">
        <v>-102.06</v>
      </c>
      <c r="K7756" s="11">
        <v>6.24</v>
      </c>
      <c r="L7756" s="11">
        <v>5.22</v>
      </c>
      <c r="M7756" s="9" t="s">
        <v>2091</v>
      </c>
      <c r="N7756" s="6" t="s">
        <v>2073</v>
      </c>
      <c r="O7756" s="6" t="s">
        <v>704</v>
      </c>
      <c r="P7756" s="9" t="s">
        <v>25</v>
      </c>
      <c r="Q7756" s="9" t="s">
        <v>49</v>
      </c>
      <c r="R7756" s="9" t="s">
        <v>50</v>
      </c>
      <c r="S7756" s="7" t="s">
        <v>1140</v>
      </c>
      <c r="T7756" s="9" t="s">
        <v>39</v>
      </c>
      <c r="U7756" s="7">
        <v>0.6</v>
      </c>
      <c r="V7756" s="12">
        <f t="shared" si="148"/>
        <v>40508</v>
      </c>
      <c r="W7756">
        <f>IF(D7756=' Pivot Tables'!$A$4,1,0)</f>
        <v>0</v>
      </c>
      <c r="X7756">
        <f>IF(AND(LEFT(D7756,4)+1=LEFT(' Pivot Tables'!$A$4,4)+0,RIGHT(LEFT(D7756,7),2)=RIGHT(LEFT(' Pivot Tables'!$A$4,7),2)),1,0)</f>
        <v>0</v>
      </c>
      <c r="Y7756" s="6">
        <f>1/COUNTIF(Таблица1[Order ID],Таблица1[[#This Row],[Order ID]])</f>
        <v>1</v>
      </c>
      <c r="Z7756" s="9">
        <f>1/COUNTIFS(Таблица1[Customer Name],Таблица1[[#This Row],[Customer Name]],Таблица1[Order-Year-Month],Таблица1[[#This Row],[Order-Year-Month]])</f>
        <v>0.25</v>
      </c>
    </row>
    <row r="7757" spans="1:26" x14ac:dyDescent="0.2">
      <c r="A7757" s="6">
        <v>2415</v>
      </c>
      <c r="B7757" s="7">
        <v>17539</v>
      </c>
      <c r="C7757" s="8">
        <f>DATE(2012,12,31)-473</f>
        <v>40801</v>
      </c>
      <c r="D7757" s="8" t="str">
        <f t="shared" si="147"/>
        <v>2011-09 (сентябрь 2011)</v>
      </c>
      <c r="E7757" s="9" t="s">
        <v>45</v>
      </c>
      <c r="F7757" s="7">
        <v>28</v>
      </c>
      <c r="G7757" s="7">
        <v>381.79</v>
      </c>
      <c r="H7757" s="7">
        <v>0.08</v>
      </c>
      <c r="I7757" s="9" t="s">
        <v>22</v>
      </c>
      <c r="J7757" s="10">
        <v>73.73</v>
      </c>
      <c r="K7757" s="11">
        <v>14.34</v>
      </c>
      <c r="L7757" s="11">
        <v>5</v>
      </c>
      <c r="M7757" s="9" t="s">
        <v>1920</v>
      </c>
      <c r="N7757" s="6" t="s">
        <v>2073</v>
      </c>
      <c r="O7757" s="6" t="s">
        <v>704</v>
      </c>
      <c r="P7757" s="9" t="s">
        <v>33</v>
      </c>
      <c r="Q7757" s="9" t="s">
        <v>49</v>
      </c>
      <c r="R7757" s="9" t="s">
        <v>50</v>
      </c>
      <c r="S7757" s="7" t="s">
        <v>706</v>
      </c>
      <c r="T7757" s="9" t="s">
        <v>52</v>
      </c>
      <c r="U7757" s="7">
        <v>0.49</v>
      </c>
      <c r="V7757" s="12">
        <f t="shared" si="148"/>
        <v>40802</v>
      </c>
      <c r="W7757">
        <f>IF(D7757=' Pivot Tables'!$A$4,1,0)</f>
        <v>0</v>
      </c>
      <c r="X7757">
        <f>IF(AND(LEFT(D7757,4)+1=LEFT(' Pivot Tables'!$A$4,4)+0,RIGHT(LEFT(D7757,7),2)=RIGHT(LEFT(' Pivot Tables'!$A$4,7),2)),1,0)</f>
        <v>0</v>
      </c>
      <c r="Y7757" s="6">
        <f>1/COUNTIF(Таблица1[Order ID],Таблица1[[#This Row],[Order ID]])</f>
        <v>0.5</v>
      </c>
      <c r="Z7757" s="9">
        <f>1/COUNTIFS(Таблица1[Customer Name],Таблица1[[#This Row],[Customer Name]],Таблица1[Order-Year-Month],Таблица1[[#This Row],[Order-Year-Month]])</f>
        <v>0.5</v>
      </c>
    </row>
    <row r="7758" spans="1:26" x14ac:dyDescent="0.2">
      <c r="A7758" s="6">
        <v>2416</v>
      </c>
      <c r="B7758" s="7">
        <v>17539</v>
      </c>
      <c r="C7758" s="8">
        <f>DATE(2012,12,31)-473</f>
        <v>40801</v>
      </c>
      <c r="D7758" s="8" t="str">
        <f t="shared" si="147"/>
        <v>2011-09 (сентябрь 2011)</v>
      </c>
      <c r="E7758" s="9" t="s">
        <v>45</v>
      </c>
      <c r="F7758" s="7">
        <v>10</v>
      </c>
      <c r="G7758" s="7">
        <v>1529.3115</v>
      </c>
      <c r="H7758" s="7">
        <v>0.1</v>
      </c>
      <c r="I7758" s="9" t="s">
        <v>22</v>
      </c>
      <c r="J7758" s="10">
        <v>-491.26</v>
      </c>
      <c r="K7758" s="11">
        <v>195.99</v>
      </c>
      <c r="L7758" s="11">
        <v>8.99</v>
      </c>
      <c r="M7758" s="9" t="s">
        <v>1920</v>
      </c>
      <c r="N7758" s="6" t="s">
        <v>2073</v>
      </c>
      <c r="O7758" s="6" t="s">
        <v>704</v>
      </c>
      <c r="P7758" s="9" t="s">
        <v>33</v>
      </c>
      <c r="Q7758" s="9" t="s">
        <v>42</v>
      </c>
      <c r="R7758" s="9" t="s">
        <v>43</v>
      </c>
      <c r="S7758" s="7" t="s">
        <v>670</v>
      </c>
      <c r="T7758" s="9" t="s">
        <v>39</v>
      </c>
      <c r="U7758" s="7">
        <v>0.6</v>
      </c>
      <c r="V7758" s="12">
        <f t="shared" si="148"/>
        <v>40802</v>
      </c>
      <c r="W7758">
        <f>IF(D7758=' Pivot Tables'!$A$4,1,0)</f>
        <v>0</v>
      </c>
      <c r="X7758">
        <f>IF(AND(LEFT(D7758,4)+1=LEFT(' Pivot Tables'!$A$4,4)+0,RIGHT(LEFT(D7758,7),2)=RIGHT(LEFT(' Pivot Tables'!$A$4,7),2)),1,0)</f>
        <v>0</v>
      </c>
      <c r="Y7758" s="6">
        <f>1/COUNTIF(Таблица1[Order ID],Таблица1[[#This Row],[Order ID]])</f>
        <v>0.5</v>
      </c>
      <c r="Z7758" s="9">
        <f>1/COUNTIFS(Таблица1[Customer Name],Таблица1[[#This Row],[Customer Name]],Таблица1[Order-Year-Month],Таблица1[[#This Row],[Order-Year-Month]])</f>
        <v>0.5</v>
      </c>
    </row>
    <row r="7759" spans="1:26" x14ac:dyDescent="0.2">
      <c r="A7759" s="6">
        <v>2492</v>
      </c>
      <c r="B7759" s="7">
        <v>18145</v>
      </c>
      <c r="C7759" s="8">
        <f>DATE(2012,12,31)-849</f>
        <v>40425</v>
      </c>
      <c r="D7759" s="8" t="str">
        <f t="shared" si="147"/>
        <v>2010-09 (сентябрь 2010)</v>
      </c>
      <c r="E7759" s="9" t="s">
        <v>63</v>
      </c>
      <c r="F7759" s="7">
        <v>47</v>
      </c>
      <c r="G7759" s="7">
        <v>270.32</v>
      </c>
      <c r="H7759" s="7">
        <v>0.06</v>
      </c>
      <c r="I7759" s="9" t="s">
        <v>22</v>
      </c>
      <c r="J7759" s="10">
        <v>-47.15</v>
      </c>
      <c r="K7759" s="11">
        <v>5.81</v>
      </c>
      <c r="L7759" s="11">
        <v>3.37</v>
      </c>
      <c r="M7759" s="9" t="s">
        <v>2066</v>
      </c>
      <c r="N7759" s="6" t="s">
        <v>2073</v>
      </c>
      <c r="O7759" s="6" t="s">
        <v>704</v>
      </c>
      <c r="P7759" s="9" t="s">
        <v>41</v>
      </c>
      <c r="Q7759" s="9" t="s">
        <v>26</v>
      </c>
      <c r="R7759" s="9" t="s">
        <v>66</v>
      </c>
      <c r="S7759" s="7" t="s">
        <v>792</v>
      </c>
      <c r="T7759" s="9" t="s">
        <v>68</v>
      </c>
      <c r="U7759" s="7">
        <v>0.54</v>
      </c>
      <c r="V7759" s="12">
        <f t="shared" si="148"/>
        <v>40426</v>
      </c>
      <c r="W7759">
        <f>IF(D7759=' Pivot Tables'!$A$4,1,0)</f>
        <v>0</v>
      </c>
      <c r="X7759">
        <f>IF(AND(LEFT(D7759,4)+1=LEFT(' Pivot Tables'!$A$4,4)+0,RIGHT(LEFT(D7759,7),2)=RIGHT(LEFT(' Pivot Tables'!$A$4,7),2)),1,0)</f>
        <v>0</v>
      </c>
      <c r="Y7759" s="6">
        <f>1/COUNTIF(Таблица1[Order ID],Таблица1[[#This Row],[Order ID]])</f>
        <v>0.5</v>
      </c>
      <c r="Z7759" s="9">
        <f>1/COUNTIFS(Таблица1[Customer Name],Таблица1[[#This Row],[Customer Name]],Таблица1[Order-Year-Month],Таблица1[[#This Row],[Order-Year-Month]])</f>
        <v>0.5</v>
      </c>
    </row>
    <row r="7760" spans="1:26" x14ac:dyDescent="0.2">
      <c r="A7760" s="6">
        <v>2709</v>
      </c>
      <c r="B7760" s="7">
        <v>19559</v>
      </c>
      <c r="C7760" s="8">
        <f>DATE(2012,12,31)-991</f>
        <v>40283</v>
      </c>
      <c r="D7760" s="8" t="str">
        <f t="shared" si="147"/>
        <v>2010-04 (апрель 2010)</v>
      </c>
      <c r="E7760" s="9" t="s">
        <v>30</v>
      </c>
      <c r="F7760" s="7">
        <v>31</v>
      </c>
      <c r="G7760" s="7">
        <v>260.77</v>
      </c>
      <c r="H7760" s="7">
        <v>0.01</v>
      </c>
      <c r="I7760" s="9" t="s">
        <v>22</v>
      </c>
      <c r="J7760" s="10">
        <v>-8.75</v>
      </c>
      <c r="K7760" s="11">
        <v>8.34</v>
      </c>
      <c r="L7760" s="11">
        <v>4.82</v>
      </c>
      <c r="M7760" s="9" t="s">
        <v>2091</v>
      </c>
      <c r="N7760" s="6" t="s">
        <v>2073</v>
      </c>
      <c r="O7760" s="6" t="s">
        <v>704</v>
      </c>
      <c r="P7760" s="9" t="s">
        <v>25</v>
      </c>
      <c r="Q7760" s="9" t="s">
        <v>26</v>
      </c>
      <c r="R7760" s="9" t="s">
        <v>61</v>
      </c>
      <c r="S7760" s="7" t="s">
        <v>662</v>
      </c>
      <c r="T7760" s="9" t="s">
        <v>39</v>
      </c>
      <c r="U7760" s="7">
        <v>0.4</v>
      </c>
      <c r="V7760" s="12">
        <f>C7760+2</f>
        <v>40285</v>
      </c>
      <c r="W7760">
        <f>IF(D7760=' Pivot Tables'!$A$4,1,0)</f>
        <v>0</v>
      </c>
      <c r="X7760">
        <f>IF(AND(LEFT(D7760,4)+1=LEFT(' Pivot Tables'!$A$4,4)+0,RIGHT(LEFT(D7760,7),2)=RIGHT(LEFT(' Pivot Tables'!$A$4,7),2)),1,0)</f>
        <v>0</v>
      </c>
      <c r="Y7760" s="6">
        <f>1/COUNTIF(Таблица1[Order ID],Таблица1[[#This Row],[Order ID]])</f>
        <v>0.33333333333333331</v>
      </c>
      <c r="Z7760" s="9">
        <f>1/COUNTIFS(Таблица1[Customer Name],Таблица1[[#This Row],[Customer Name]],Таблица1[Order-Year-Month],Таблица1[[#This Row],[Order-Year-Month]])</f>
        <v>0.25</v>
      </c>
    </row>
    <row r="7761" spans="1:26" x14ac:dyDescent="0.2">
      <c r="A7761" s="6">
        <v>2710</v>
      </c>
      <c r="B7761" s="7">
        <v>19559</v>
      </c>
      <c r="C7761" s="8">
        <f>DATE(2012,12,31)-991</f>
        <v>40283</v>
      </c>
      <c r="D7761" s="8" t="str">
        <f t="shared" si="147"/>
        <v>2010-04 (апрель 2010)</v>
      </c>
      <c r="E7761" s="9" t="s">
        <v>30</v>
      </c>
      <c r="F7761" s="7">
        <v>18</v>
      </c>
      <c r="G7761" s="7">
        <v>2445.212</v>
      </c>
      <c r="H7761" s="7">
        <v>0.02</v>
      </c>
      <c r="I7761" s="9" t="s">
        <v>56</v>
      </c>
      <c r="J7761" s="10">
        <v>275.76900000000001</v>
      </c>
      <c r="K7761" s="11">
        <v>155.99</v>
      </c>
      <c r="L7761" s="11">
        <v>8.99</v>
      </c>
      <c r="M7761" s="9" t="s">
        <v>2091</v>
      </c>
      <c r="N7761" s="6" t="s">
        <v>2073</v>
      </c>
      <c r="O7761" s="6" t="s">
        <v>704</v>
      </c>
      <c r="P7761" s="9" t="s">
        <v>25</v>
      </c>
      <c r="Q7761" s="9" t="s">
        <v>42</v>
      </c>
      <c r="R7761" s="9" t="s">
        <v>43</v>
      </c>
      <c r="S7761" s="7" t="s">
        <v>710</v>
      </c>
      <c r="T7761" s="9" t="s">
        <v>39</v>
      </c>
      <c r="U7761" s="7">
        <v>0.57999999999999996</v>
      </c>
      <c r="V7761" s="12">
        <f>C7761+1</f>
        <v>40284</v>
      </c>
      <c r="W7761">
        <f>IF(D7761=' Pivot Tables'!$A$4,1,0)</f>
        <v>0</v>
      </c>
      <c r="X7761">
        <f>IF(AND(LEFT(D7761,4)+1=LEFT(' Pivot Tables'!$A$4,4)+0,RIGHT(LEFT(D7761,7),2)=RIGHT(LEFT(' Pivot Tables'!$A$4,7),2)),1,0)</f>
        <v>0</v>
      </c>
      <c r="Y7761" s="6">
        <f>1/COUNTIF(Таблица1[Order ID],Таблица1[[#This Row],[Order ID]])</f>
        <v>0.33333333333333331</v>
      </c>
      <c r="Z7761" s="9">
        <f>1/COUNTIFS(Таблица1[Customer Name],Таблица1[[#This Row],[Customer Name]],Таблица1[Order-Year-Month],Таблица1[[#This Row],[Order-Year-Month]])</f>
        <v>0.25</v>
      </c>
    </row>
    <row r="7762" spans="1:26" x14ac:dyDescent="0.2">
      <c r="A7762" s="6">
        <v>2711</v>
      </c>
      <c r="B7762" s="7">
        <v>19559</v>
      </c>
      <c r="C7762" s="8">
        <f>DATE(2012,12,31)-991</f>
        <v>40283</v>
      </c>
      <c r="D7762" s="8" t="str">
        <f t="shared" si="147"/>
        <v>2010-04 (апрель 2010)</v>
      </c>
      <c r="E7762" s="9" t="s">
        <v>30</v>
      </c>
      <c r="F7762" s="7">
        <v>14</v>
      </c>
      <c r="G7762" s="7">
        <v>1032.0274999999999</v>
      </c>
      <c r="H7762" s="7">
        <v>7.0000000000000007E-2</v>
      </c>
      <c r="I7762" s="9" t="s">
        <v>56</v>
      </c>
      <c r="J7762" s="10">
        <v>97.397999999999996</v>
      </c>
      <c r="K7762" s="11">
        <v>85.99</v>
      </c>
      <c r="L7762" s="11">
        <v>0.99</v>
      </c>
      <c r="M7762" s="9" t="s">
        <v>2091</v>
      </c>
      <c r="N7762" s="6" t="s">
        <v>2073</v>
      </c>
      <c r="O7762" s="6" t="s">
        <v>704</v>
      </c>
      <c r="P7762" s="9" t="s">
        <v>25</v>
      </c>
      <c r="Q7762" s="9" t="s">
        <v>42</v>
      </c>
      <c r="R7762" s="9" t="s">
        <v>43</v>
      </c>
      <c r="S7762" s="7" t="s">
        <v>741</v>
      </c>
      <c r="T7762" s="9" t="s">
        <v>68</v>
      </c>
      <c r="U7762" s="7">
        <v>0.55000000000000004</v>
      </c>
      <c r="V7762" s="12">
        <f>C7762+3</f>
        <v>40286</v>
      </c>
      <c r="W7762">
        <f>IF(D7762=' Pivot Tables'!$A$4,1,0)</f>
        <v>0</v>
      </c>
      <c r="X7762">
        <f>IF(AND(LEFT(D7762,4)+1=LEFT(' Pivot Tables'!$A$4,4)+0,RIGHT(LEFT(D7762,7),2)=RIGHT(LEFT(' Pivot Tables'!$A$4,7),2)),1,0)</f>
        <v>0</v>
      </c>
      <c r="Y7762" s="6">
        <f>1/COUNTIF(Таблица1[Order ID],Таблица1[[#This Row],[Order ID]])</f>
        <v>0.33333333333333331</v>
      </c>
      <c r="Z7762" s="9">
        <f>1/COUNTIFS(Таблица1[Customer Name],Таблица1[[#This Row],[Customer Name]],Таблица1[Order-Year-Month],Таблица1[[#This Row],[Order-Year-Month]])</f>
        <v>0.25</v>
      </c>
    </row>
    <row r="7763" spans="1:26" x14ac:dyDescent="0.2">
      <c r="A7763" s="6">
        <v>2924</v>
      </c>
      <c r="B7763" s="7">
        <v>21188</v>
      </c>
      <c r="C7763" s="8">
        <f>DATE(2012,12,31)-467</f>
        <v>40807</v>
      </c>
      <c r="D7763" s="8" t="str">
        <f t="shared" si="147"/>
        <v>2011-09 (сентябрь 2011)</v>
      </c>
      <c r="E7763" s="9" t="s">
        <v>78</v>
      </c>
      <c r="F7763" s="7">
        <v>29</v>
      </c>
      <c r="G7763" s="7">
        <v>21046.74</v>
      </c>
      <c r="H7763" s="7">
        <v>0.04</v>
      </c>
      <c r="I7763" s="9" t="s">
        <v>22</v>
      </c>
      <c r="J7763" s="10">
        <v>5217.2669999999998</v>
      </c>
      <c r="K7763" s="11">
        <v>699.99</v>
      </c>
      <c r="L7763" s="11">
        <v>24.49</v>
      </c>
      <c r="M7763" s="9" t="s">
        <v>2091</v>
      </c>
      <c r="N7763" s="6" t="s">
        <v>2073</v>
      </c>
      <c r="O7763" s="6" t="s">
        <v>704</v>
      </c>
      <c r="P7763" s="9" t="s">
        <v>25</v>
      </c>
      <c r="Q7763" s="9" t="s">
        <v>42</v>
      </c>
      <c r="R7763" s="9" t="s">
        <v>99</v>
      </c>
      <c r="S7763" s="7" t="s">
        <v>1357</v>
      </c>
      <c r="T7763" s="9" t="s">
        <v>29</v>
      </c>
      <c r="U7763" s="7">
        <v>0.54</v>
      </c>
      <c r="V7763" s="12">
        <f>C7763+2</f>
        <v>40809</v>
      </c>
      <c r="W7763">
        <f>IF(D7763=' Pivot Tables'!$A$4,1,0)</f>
        <v>0</v>
      </c>
      <c r="X7763">
        <f>IF(AND(LEFT(D7763,4)+1=LEFT(' Pivot Tables'!$A$4,4)+0,RIGHT(LEFT(D7763,7),2)=RIGHT(LEFT(' Pivot Tables'!$A$4,7),2)),1,0)</f>
        <v>0</v>
      </c>
      <c r="Y7763" s="6">
        <f>1/COUNTIF(Таблица1[Order ID],Таблица1[[#This Row],[Order ID]])</f>
        <v>1</v>
      </c>
      <c r="Z7763" s="9">
        <f>1/COUNTIFS(Таблица1[Customer Name],Таблица1[[#This Row],[Customer Name]],Таблица1[Order-Year-Month],Таблица1[[#This Row],[Order-Year-Month]])</f>
        <v>1</v>
      </c>
    </row>
    <row r="7764" spans="1:26" x14ac:dyDescent="0.2">
      <c r="A7764" s="6">
        <v>2941</v>
      </c>
      <c r="B7764" s="7">
        <v>21318</v>
      </c>
      <c r="C7764" s="8">
        <f>DATE(2012,12,31)-911</f>
        <v>40363</v>
      </c>
      <c r="D7764" s="8" t="str">
        <f t="shared" si="147"/>
        <v>2010-07 (июль 2010)</v>
      </c>
      <c r="E7764" s="9" t="s">
        <v>30</v>
      </c>
      <c r="F7764" s="7">
        <v>40</v>
      </c>
      <c r="G7764" s="7">
        <v>1384.34</v>
      </c>
      <c r="H7764" s="7">
        <v>0.1</v>
      </c>
      <c r="I7764" s="9" t="s">
        <v>22</v>
      </c>
      <c r="J7764" s="10">
        <v>562.30899999999997</v>
      </c>
      <c r="K7764" s="11">
        <v>37.700000000000003</v>
      </c>
      <c r="L7764" s="11">
        <v>2.99</v>
      </c>
      <c r="M7764" s="9" t="s">
        <v>2088</v>
      </c>
      <c r="N7764" s="6" t="s">
        <v>2073</v>
      </c>
      <c r="O7764" s="6" t="s">
        <v>704</v>
      </c>
      <c r="P7764" s="9" t="s">
        <v>60</v>
      </c>
      <c r="Q7764" s="9" t="s">
        <v>26</v>
      </c>
      <c r="R7764" s="9" t="s">
        <v>37</v>
      </c>
      <c r="S7764" s="7" t="s">
        <v>952</v>
      </c>
      <c r="T7764" s="9" t="s">
        <v>39</v>
      </c>
      <c r="U7764" s="7">
        <v>0.35</v>
      </c>
      <c r="V7764" s="12">
        <f>C7764+2</f>
        <v>40365</v>
      </c>
      <c r="W7764">
        <f>IF(D7764=' Pivot Tables'!$A$4,1,0)</f>
        <v>0</v>
      </c>
      <c r="X7764">
        <f>IF(AND(LEFT(D7764,4)+1=LEFT(' Pivot Tables'!$A$4,4)+0,RIGHT(LEFT(D7764,7),2)=RIGHT(LEFT(' Pivot Tables'!$A$4,7),2)),1,0)</f>
        <v>0</v>
      </c>
      <c r="Y7764" s="6">
        <f>1/COUNTIF(Таблица1[Order ID],Таблица1[[#This Row],[Order ID]])</f>
        <v>1</v>
      </c>
      <c r="Z7764" s="9">
        <f>1/COUNTIFS(Таблица1[Customer Name],Таблица1[[#This Row],[Customer Name]],Таблица1[Order-Year-Month],Таблица1[[#This Row],[Order-Year-Month]])</f>
        <v>1</v>
      </c>
    </row>
    <row r="7765" spans="1:26" x14ac:dyDescent="0.2">
      <c r="A7765" s="6">
        <v>3029</v>
      </c>
      <c r="B7765" s="7">
        <v>21792</v>
      </c>
      <c r="C7765" s="8">
        <f>DATE(2012,12,31)-97</f>
        <v>41177</v>
      </c>
      <c r="D7765" s="8" t="str">
        <f t="shared" si="147"/>
        <v>2012-09 (сентябрь 2012)</v>
      </c>
      <c r="E7765" s="9" t="s">
        <v>45</v>
      </c>
      <c r="F7765" s="7">
        <v>26</v>
      </c>
      <c r="G7765" s="7">
        <v>362.76</v>
      </c>
      <c r="H7765" s="7">
        <v>0.09</v>
      </c>
      <c r="I7765" s="9" t="s">
        <v>22</v>
      </c>
      <c r="J7765" s="10">
        <v>19.363</v>
      </c>
      <c r="K7765" s="11">
        <v>14.48</v>
      </c>
      <c r="L7765" s="11">
        <v>6.46</v>
      </c>
      <c r="M7765" s="9" t="s">
        <v>1920</v>
      </c>
      <c r="N7765" s="6" t="s">
        <v>2073</v>
      </c>
      <c r="O7765" s="6" t="s">
        <v>704</v>
      </c>
      <c r="P7765" s="9" t="s">
        <v>33</v>
      </c>
      <c r="Q7765" s="9" t="s">
        <v>26</v>
      </c>
      <c r="R7765" s="9" t="s">
        <v>37</v>
      </c>
      <c r="S7765" s="7" t="s">
        <v>816</v>
      </c>
      <c r="T7765" s="9" t="s">
        <v>39</v>
      </c>
      <c r="U7765" s="7">
        <v>0.38</v>
      </c>
      <c r="V7765" s="12">
        <f>C7765+2</f>
        <v>41179</v>
      </c>
      <c r="W7765">
        <f>IF(D7765=' Pivot Tables'!$A$4,1,0)</f>
        <v>0</v>
      </c>
      <c r="X7765">
        <f>IF(AND(LEFT(D7765,4)+1=LEFT(' Pivot Tables'!$A$4,4)+0,RIGHT(LEFT(D7765,7),2)=RIGHT(LEFT(' Pivot Tables'!$A$4,7),2)),1,0)</f>
        <v>0</v>
      </c>
      <c r="Y7765" s="6">
        <f>1/COUNTIF(Таблица1[Order ID],Таблица1[[#This Row],[Order ID]])</f>
        <v>1</v>
      </c>
      <c r="Z7765" s="9">
        <f>1/COUNTIFS(Таблица1[Customer Name],Таблица1[[#This Row],[Customer Name]],Таблица1[Order-Year-Month],Таблица1[[#This Row],[Order-Year-Month]])</f>
        <v>1</v>
      </c>
    </row>
    <row r="7766" spans="1:26" x14ac:dyDescent="0.2">
      <c r="A7766" s="6">
        <v>3041</v>
      </c>
      <c r="B7766" s="7">
        <v>21831</v>
      </c>
      <c r="C7766" s="8">
        <f>DATE(2012,12,31)-1199</f>
        <v>40075</v>
      </c>
      <c r="D7766" s="8" t="str">
        <f t="shared" si="147"/>
        <v>2009-09 (сентябрь 2009)</v>
      </c>
      <c r="E7766" s="9" t="s">
        <v>45</v>
      </c>
      <c r="F7766" s="7">
        <v>6</v>
      </c>
      <c r="G7766" s="7">
        <v>28.39</v>
      </c>
      <c r="H7766" s="7">
        <v>0.05</v>
      </c>
      <c r="I7766" s="9" t="s">
        <v>22</v>
      </c>
      <c r="J7766" s="10">
        <v>3.84</v>
      </c>
      <c r="K7766" s="11">
        <v>4.9800000000000004</v>
      </c>
      <c r="L7766" s="11">
        <v>0.49</v>
      </c>
      <c r="M7766" s="9" t="s">
        <v>1920</v>
      </c>
      <c r="N7766" s="6" t="s">
        <v>2073</v>
      </c>
      <c r="O7766" s="6" t="s">
        <v>704</v>
      </c>
      <c r="P7766" s="9" t="s">
        <v>33</v>
      </c>
      <c r="Q7766" s="9" t="s">
        <v>26</v>
      </c>
      <c r="R7766" s="9" t="s">
        <v>88</v>
      </c>
      <c r="S7766" s="7" t="s">
        <v>836</v>
      </c>
      <c r="T7766" s="9" t="s">
        <v>39</v>
      </c>
      <c r="U7766" s="7">
        <v>0.39</v>
      </c>
      <c r="V7766" s="12">
        <f>C7766+0</f>
        <v>40075</v>
      </c>
      <c r="W7766">
        <f>IF(D7766=' Pivot Tables'!$A$4,1,0)</f>
        <v>0</v>
      </c>
      <c r="X7766">
        <f>IF(AND(LEFT(D7766,4)+1=LEFT(' Pivot Tables'!$A$4,4)+0,RIGHT(LEFT(D7766,7),2)=RIGHT(LEFT(' Pivot Tables'!$A$4,7),2)),1,0)</f>
        <v>0</v>
      </c>
      <c r="Y7766" s="6">
        <f>1/COUNTIF(Таблица1[Order ID],Таблица1[[#This Row],[Order ID]])</f>
        <v>1</v>
      </c>
      <c r="Z7766" s="9">
        <f>1/COUNTIFS(Таблица1[Customer Name],Таблица1[[#This Row],[Customer Name]],Таблица1[Order-Year-Month],Таблица1[[#This Row],[Order-Year-Month]])</f>
        <v>1</v>
      </c>
    </row>
    <row r="7767" spans="1:26" x14ac:dyDescent="0.2">
      <c r="A7767" s="6">
        <v>3171</v>
      </c>
      <c r="B7767" s="7">
        <v>22818</v>
      </c>
      <c r="C7767" s="8">
        <f>DATE(2012,12,31)-1319</f>
        <v>39955</v>
      </c>
      <c r="D7767" s="8" t="str">
        <f t="shared" si="147"/>
        <v>2009-05 (май 2009)</v>
      </c>
      <c r="E7767" s="9" t="s">
        <v>78</v>
      </c>
      <c r="F7767" s="7">
        <v>50</v>
      </c>
      <c r="G7767" s="7">
        <v>6277.75</v>
      </c>
      <c r="H7767" s="7">
        <v>0.1</v>
      </c>
      <c r="I7767" s="9" t="s">
        <v>31</v>
      </c>
      <c r="J7767" s="10">
        <v>-592.42999999999995</v>
      </c>
      <c r="K7767" s="11">
        <v>130.97999999999999</v>
      </c>
      <c r="L7767" s="11">
        <v>30</v>
      </c>
      <c r="M7767" s="9" t="s">
        <v>2089</v>
      </c>
      <c r="N7767" s="6" t="s">
        <v>2073</v>
      </c>
      <c r="O7767" s="6" t="s">
        <v>704</v>
      </c>
      <c r="P7767" s="9" t="s">
        <v>25</v>
      </c>
      <c r="Q7767" s="9" t="s">
        <v>49</v>
      </c>
      <c r="R7767" s="9" t="s">
        <v>112</v>
      </c>
      <c r="S7767" s="7" t="s">
        <v>265</v>
      </c>
      <c r="T7767" s="9" t="s">
        <v>36</v>
      </c>
      <c r="U7767" s="7">
        <v>0.78</v>
      </c>
      <c r="V7767" s="12">
        <f>C7767+2</f>
        <v>39957</v>
      </c>
      <c r="W7767">
        <f>IF(D7767=' Pivot Tables'!$A$4,1,0)</f>
        <v>0</v>
      </c>
      <c r="X7767">
        <f>IF(AND(LEFT(D7767,4)+1=LEFT(' Pivot Tables'!$A$4,4)+0,RIGHT(LEFT(D7767,7),2)=RIGHT(LEFT(' Pivot Tables'!$A$4,7),2)),1,0)</f>
        <v>0</v>
      </c>
      <c r="Y7767" s="6">
        <f>1/COUNTIF(Таблица1[Order ID],Таблица1[[#This Row],[Order ID]])</f>
        <v>0.5</v>
      </c>
      <c r="Z7767" s="9">
        <f>1/COUNTIFS(Таблица1[Customer Name],Таблица1[[#This Row],[Customer Name]],Таблица1[Order-Year-Month],Таблица1[[#This Row],[Order-Year-Month]])</f>
        <v>0.5</v>
      </c>
    </row>
    <row r="7768" spans="1:26" x14ac:dyDescent="0.2">
      <c r="A7768" s="6">
        <v>3172</v>
      </c>
      <c r="B7768" s="7">
        <v>22818</v>
      </c>
      <c r="C7768" s="8">
        <f>DATE(2012,12,31)-1319</f>
        <v>39955</v>
      </c>
      <c r="D7768" s="8" t="str">
        <f t="shared" si="147"/>
        <v>2009-05 (май 2009)</v>
      </c>
      <c r="E7768" s="9" t="s">
        <v>21</v>
      </c>
      <c r="F7768" s="7">
        <v>19</v>
      </c>
      <c r="G7768" s="7">
        <v>360.24</v>
      </c>
      <c r="H7768" s="7">
        <v>0.08</v>
      </c>
      <c r="I7768" s="9" t="s">
        <v>22</v>
      </c>
      <c r="J7768" s="10">
        <v>-53.82</v>
      </c>
      <c r="K7768" s="11">
        <v>19.98</v>
      </c>
      <c r="L7768" s="11">
        <v>4</v>
      </c>
      <c r="M7768" s="9" t="s">
        <v>2089</v>
      </c>
      <c r="N7768" s="6" t="s">
        <v>2073</v>
      </c>
      <c r="O7768" s="6" t="s">
        <v>704</v>
      </c>
      <c r="P7768" s="9" t="s">
        <v>25</v>
      </c>
      <c r="Q7768" s="9" t="s">
        <v>42</v>
      </c>
      <c r="R7768" s="9" t="s">
        <v>70</v>
      </c>
      <c r="S7768" s="7" t="s">
        <v>655</v>
      </c>
      <c r="T7768" s="9" t="s">
        <v>39</v>
      </c>
      <c r="U7768" s="7">
        <v>0.68</v>
      </c>
      <c r="V7768" s="12">
        <f>C7768+4</f>
        <v>39959</v>
      </c>
      <c r="W7768">
        <f>IF(D7768=' Pivot Tables'!$A$4,1,0)</f>
        <v>0</v>
      </c>
      <c r="X7768">
        <f>IF(AND(LEFT(D7768,4)+1=LEFT(' Pivot Tables'!$A$4,4)+0,RIGHT(LEFT(D7768,7),2)=RIGHT(LEFT(' Pivot Tables'!$A$4,7),2)),1,0)</f>
        <v>0</v>
      </c>
      <c r="Y7768" s="6">
        <f>1/COUNTIF(Таблица1[Order ID],Таблица1[[#This Row],[Order ID]])</f>
        <v>0.5</v>
      </c>
      <c r="Z7768" s="9">
        <f>1/COUNTIFS(Таблица1[Customer Name],Таблица1[[#This Row],[Customer Name]],Таблица1[Order-Year-Month],Таблица1[[#This Row],[Order-Year-Month]])</f>
        <v>0.5</v>
      </c>
    </row>
    <row r="7769" spans="1:26" x14ac:dyDescent="0.2">
      <c r="A7769" s="6">
        <v>3482</v>
      </c>
      <c r="B7769" s="7">
        <v>24801</v>
      </c>
      <c r="C7769" s="8">
        <f>DATE(2012,12,31)-46</f>
        <v>41228</v>
      </c>
      <c r="D7769" s="8" t="str">
        <f t="shared" si="147"/>
        <v>2012-11 (ноябрь 2012)</v>
      </c>
      <c r="E7769" s="9" t="s">
        <v>30</v>
      </c>
      <c r="F7769" s="7">
        <v>3</v>
      </c>
      <c r="G7769" s="7">
        <v>18.91</v>
      </c>
      <c r="H7769" s="7">
        <v>0</v>
      </c>
      <c r="I7769" s="9" t="s">
        <v>22</v>
      </c>
      <c r="J7769" s="10">
        <v>-16.353000000000002</v>
      </c>
      <c r="K7769" s="11">
        <v>3.89</v>
      </c>
      <c r="L7769" s="11">
        <v>7.01</v>
      </c>
      <c r="M7769" s="9" t="s">
        <v>2088</v>
      </c>
      <c r="N7769" s="6" t="s">
        <v>2073</v>
      </c>
      <c r="O7769" s="6" t="s">
        <v>704</v>
      </c>
      <c r="P7769" s="9" t="s">
        <v>60</v>
      </c>
      <c r="Q7769" s="9" t="s">
        <v>26</v>
      </c>
      <c r="R7769" s="9" t="s">
        <v>37</v>
      </c>
      <c r="S7769" s="7" t="s">
        <v>115</v>
      </c>
      <c r="T7769" s="9" t="s">
        <v>39</v>
      </c>
      <c r="U7769" s="7">
        <v>0.37</v>
      </c>
      <c r="V7769" s="12">
        <f>C7769+1</f>
        <v>41229</v>
      </c>
      <c r="W7769">
        <f>IF(D7769=' Pivot Tables'!$A$4,1,0)</f>
        <v>0</v>
      </c>
      <c r="X7769">
        <f>IF(AND(LEFT(D7769,4)+1=LEFT(' Pivot Tables'!$A$4,4)+0,RIGHT(LEFT(D7769,7),2)=RIGHT(LEFT(' Pivot Tables'!$A$4,7),2)),1,0)</f>
        <v>0</v>
      </c>
      <c r="Y7769" s="6">
        <f>1/COUNTIF(Таблица1[Order ID],Таблица1[[#This Row],[Order ID]])</f>
        <v>0.33333333333333331</v>
      </c>
      <c r="Z7769" s="9">
        <f>1/COUNTIFS(Таблица1[Customer Name],Таблица1[[#This Row],[Customer Name]],Таблица1[Order-Year-Month],Таблица1[[#This Row],[Order-Year-Month]])</f>
        <v>0.33333333333333331</v>
      </c>
    </row>
    <row r="7770" spans="1:26" x14ac:dyDescent="0.2">
      <c r="A7770" s="6">
        <v>3483</v>
      </c>
      <c r="B7770" s="7">
        <v>24801</v>
      </c>
      <c r="C7770" s="8">
        <f>DATE(2012,12,31)-46</f>
        <v>41228</v>
      </c>
      <c r="D7770" s="8" t="str">
        <f t="shared" si="147"/>
        <v>2012-11 (ноябрь 2012)</v>
      </c>
      <c r="E7770" s="9" t="s">
        <v>30</v>
      </c>
      <c r="F7770" s="7">
        <v>7</v>
      </c>
      <c r="G7770" s="7">
        <v>685.7</v>
      </c>
      <c r="H7770" s="7">
        <v>0.01</v>
      </c>
      <c r="I7770" s="9" t="s">
        <v>22</v>
      </c>
      <c r="J7770" s="10">
        <v>350.94</v>
      </c>
      <c r="K7770" s="11">
        <v>88.84</v>
      </c>
      <c r="L7770" s="11">
        <v>20.79</v>
      </c>
      <c r="M7770" s="9" t="s">
        <v>2088</v>
      </c>
      <c r="N7770" s="6" t="s">
        <v>2073</v>
      </c>
      <c r="O7770" s="6" t="s">
        <v>704</v>
      </c>
      <c r="P7770" s="9" t="s">
        <v>60</v>
      </c>
      <c r="Q7770" s="9" t="s">
        <v>49</v>
      </c>
      <c r="R7770" s="9" t="s">
        <v>50</v>
      </c>
      <c r="S7770" s="7" t="s">
        <v>1890</v>
      </c>
      <c r="T7770" s="9" t="s">
        <v>29</v>
      </c>
      <c r="U7770" s="7">
        <v>0.59</v>
      </c>
      <c r="V7770" s="12">
        <f>C7770+1</f>
        <v>41229</v>
      </c>
      <c r="W7770">
        <f>IF(D7770=' Pivot Tables'!$A$4,1,0)</f>
        <v>0</v>
      </c>
      <c r="X7770">
        <f>IF(AND(LEFT(D7770,4)+1=LEFT(' Pivot Tables'!$A$4,4)+0,RIGHT(LEFT(D7770,7),2)=RIGHT(LEFT(' Pivot Tables'!$A$4,7),2)),1,0)</f>
        <v>0</v>
      </c>
      <c r="Y7770" s="6">
        <f>1/COUNTIF(Таблица1[Order ID],Таблица1[[#This Row],[Order ID]])</f>
        <v>0.33333333333333331</v>
      </c>
      <c r="Z7770" s="9">
        <f>1/COUNTIFS(Таблица1[Customer Name],Таблица1[[#This Row],[Customer Name]],Таблица1[Order-Year-Month],Таблица1[[#This Row],[Order-Year-Month]])</f>
        <v>0.33333333333333331</v>
      </c>
    </row>
    <row r="7771" spans="1:26" x14ac:dyDescent="0.2">
      <c r="A7771" s="6">
        <v>3484</v>
      </c>
      <c r="B7771" s="7">
        <v>24801</v>
      </c>
      <c r="C7771" s="8">
        <f>DATE(2012,12,31)-46</f>
        <v>41228</v>
      </c>
      <c r="D7771" s="8" t="str">
        <f t="shared" si="147"/>
        <v>2012-11 (ноябрь 2012)</v>
      </c>
      <c r="E7771" s="9" t="s">
        <v>30</v>
      </c>
      <c r="F7771" s="7">
        <v>10</v>
      </c>
      <c r="G7771" s="7">
        <v>1024.165</v>
      </c>
      <c r="H7771" s="7">
        <v>0.02</v>
      </c>
      <c r="I7771" s="9" t="s">
        <v>22</v>
      </c>
      <c r="J7771" s="10">
        <v>-105.69900000000001</v>
      </c>
      <c r="K7771" s="11">
        <v>115.99</v>
      </c>
      <c r="L7771" s="11">
        <v>5.99</v>
      </c>
      <c r="M7771" s="9" t="s">
        <v>2088</v>
      </c>
      <c r="N7771" s="6" t="s">
        <v>2073</v>
      </c>
      <c r="O7771" s="6" t="s">
        <v>704</v>
      </c>
      <c r="P7771" s="9" t="s">
        <v>60</v>
      </c>
      <c r="Q7771" s="9" t="s">
        <v>42</v>
      </c>
      <c r="R7771" s="9" t="s">
        <v>43</v>
      </c>
      <c r="S7771" s="7" t="s">
        <v>1270</v>
      </c>
      <c r="T7771" s="9" t="s">
        <v>39</v>
      </c>
      <c r="U7771" s="7">
        <v>0.56999999999999995</v>
      </c>
      <c r="V7771" s="12">
        <f>C7771+1</f>
        <v>41229</v>
      </c>
      <c r="W7771">
        <f>IF(D7771=' Pivot Tables'!$A$4,1,0)</f>
        <v>0</v>
      </c>
      <c r="X7771">
        <f>IF(AND(LEFT(D7771,4)+1=LEFT(' Pivot Tables'!$A$4,4)+0,RIGHT(LEFT(D7771,7),2)=RIGHT(LEFT(' Pivot Tables'!$A$4,7),2)),1,0)</f>
        <v>0</v>
      </c>
      <c r="Y7771" s="6">
        <f>1/COUNTIF(Таблица1[Order ID],Таблица1[[#This Row],[Order ID]])</f>
        <v>0.33333333333333331</v>
      </c>
      <c r="Z7771" s="9">
        <f>1/COUNTIFS(Таблица1[Customer Name],Таблица1[[#This Row],[Customer Name]],Таблица1[Order-Year-Month],Таблица1[[#This Row],[Order-Year-Month]])</f>
        <v>0.33333333333333331</v>
      </c>
    </row>
    <row r="7772" spans="1:26" x14ac:dyDescent="0.2">
      <c r="A7772" s="6">
        <v>3714</v>
      </c>
      <c r="B7772" s="7">
        <v>26529</v>
      </c>
      <c r="C7772" s="8">
        <f>DATE(2012,12,31)-703</f>
        <v>40571</v>
      </c>
      <c r="D7772" s="8" t="str">
        <f t="shared" si="147"/>
        <v>2011-01 (январь 2011)</v>
      </c>
      <c r="E7772" s="9" t="s">
        <v>21</v>
      </c>
      <c r="F7772" s="7">
        <v>17</v>
      </c>
      <c r="G7772" s="7">
        <v>201.72</v>
      </c>
      <c r="H7772" s="7">
        <v>0.05</v>
      </c>
      <c r="I7772" s="9" t="s">
        <v>22</v>
      </c>
      <c r="J7772" s="10">
        <v>-81.61</v>
      </c>
      <c r="K7772" s="11">
        <v>11.34</v>
      </c>
      <c r="L7772" s="11">
        <v>11.25</v>
      </c>
      <c r="M7772" s="9" t="s">
        <v>1920</v>
      </c>
      <c r="N7772" s="6" t="s">
        <v>2073</v>
      </c>
      <c r="O7772" s="6" t="s">
        <v>704</v>
      </c>
      <c r="P7772" s="9" t="s">
        <v>33</v>
      </c>
      <c r="Q7772" s="9" t="s">
        <v>26</v>
      </c>
      <c r="R7772" s="9" t="s">
        <v>61</v>
      </c>
      <c r="S7772" s="7" t="s">
        <v>1281</v>
      </c>
      <c r="T7772" s="9" t="s">
        <v>39</v>
      </c>
      <c r="U7772" s="7">
        <v>0.36</v>
      </c>
      <c r="V7772" s="12">
        <f>C7772+4</f>
        <v>40575</v>
      </c>
      <c r="W7772">
        <f>IF(D7772=' Pivot Tables'!$A$4,1,0)</f>
        <v>0</v>
      </c>
      <c r="X7772">
        <f>IF(AND(LEFT(D7772,4)+1=LEFT(' Pivot Tables'!$A$4,4)+0,RIGHT(LEFT(D7772,7),2)=RIGHT(LEFT(' Pivot Tables'!$A$4,7),2)),1,0)</f>
        <v>0</v>
      </c>
      <c r="Y7772" s="6">
        <f>1/COUNTIF(Таблица1[Order ID],Таблица1[[#This Row],[Order ID]])</f>
        <v>0.5</v>
      </c>
      <c r="Z7772" s="9">
        <f>1/COUNTIFS(Таблица1[Customer Name],Таблица1[[#This Row],[Customer Name]],Таблица1[Order-Year-Month],Таблица1[[#This Row],[Order-Year-Month]])</f>
        <v>0.5</v>
      </c>
    </row>
    <row r="7773" spans="1:26" x14ac:dyDescent="0.2">
      <c r="A7773" s="6">
        <v>3893</v>
      </c>
      <c r="B7773" s="7">
        <v>27780</v>
      </c>
      <c r="C7773" s="8">
        <f>DATE(2012,12,31)-72</f>
        <v>41202</v>
      </c>
      <c r="D7773" s="8" t="str">
        <f t="shared" si="147"/>
        <v>2012-10 (октябрь 2012)</v>
      </c>
      <c r="E7773" s="9" t="s">
        <v>78</v>
      </c>
      <c r="F7773" s="7">
        <v>18</v>
      </c>
      <c r="G7773" s="7">
        <v>56.41</v>
      </c>
      <c r="H7773" s="7">
        <v>0.02</v>
      </c>
      <c r="I7773" s="9" t="s">
        <v>22</v>
      </c>
      <c r="J7773" s="10">
        <v>11.92</v>
      </c>
      <c r="K7773" s="11">
        <v>3.08</v>
      </c>
      <c r="L7773" s="11">
        <v>0.99</v>
      </c>
      <c r="M7773" s="9" t="s">
        <v>2091</v>
      </c>
      <c r="N7773" s="6" t="s">
        <v>2073</v>
      </c>
      <c r="O7773" s="6" t="s">
        <v>704</v>
      </c>
      <c r="P7773" s="9" t="s">
        <v>25</v>
      </c>
      <c r="Q7773" s="9" t="s">
        <v>26</v>
      </c>
      <c r="R7773" s="9" t="s">
        <v>88</v>
      </c>
      <c r="S7773" s="7" t="s">
        <v>368</v>
      </c>
      <c r="T7773" s="9" t="s">
        <v>39</v>
      </c>
      <c r="U7773" s="7">
        <v>0.37</v>
      </c>
      <c r="V7773" s="12">
        <f>C7773+1</f>
        <v>41203</v>
      </c>
      <c r="W7773">
        <f>IF(D7773=' Pivot Tables'!$A$4,1,0)</f>
        <v>0</v>
      </c>
      <c r="X7773">
        <f>IF(AND(LEFT(D7773,4)+1=LEFT(' Pivot Tables'!$A$4,4)+0,RIGHT(LEFT(D7773,7),2)=RIGHT(LEFT(' Pivot Tables'!$A$4,7),2)),1,0)</f>
        <v>0</v>
      </c>
      <c r="Y7773" s="6">
        <f>1/COUNTIF(Таблица1[Order ID],Таблица1[[#This Row],[Order ID]])</f>
        <v>0.33333333333333331</v>
      </c>
      <c r="Z7773" s="9">
        <f>1/COUNTIFS(Таблица1[Customer Name],Таблица1[[#This Row],[Customer Name]],Таблица1[Order-Year-Month],Таблица1[[#This Row],[Order-Year-Month]])</f>
        <v>0.25</v>
      </c>
    </row>
    <row r="7774" spans="1:26" x14ac:dyDescent="0.2">
      <c r="A7774" s="6">
        <v>3894</v>
      </c>
      <c r="B7774" s="7">
        <v>27780</v>
      </c>
      <c r="C7774" s="8">
        <f>DATE(2012,12,31)-72</f>
        <v>41202</v>
      </c>
      <c r="D7774" s="8" t="str">
        <f t="shared" si="147"/>
        <v>2012-10 (октябрь 2012)</v>
      </c>
      <c r="E7774" s="9" t="s">
        <v>78</v>
      </c>
      <c r="F7774" s="7">
        <v>39</v>
      </c>
      <c r="G7774" s="7">
        <v>147.71</v>
      </c>
      <c r="H7774" s="7">
        <v>0</v>
      </c>
      <c r="I7774" s="9" t="s">
        <v>22</v>
      </c>
      <c r="J7774" s="10">
        <v>-30.25</v>
      </c>
      <c r="K7774" s="11">
        <v>3.68</v>
      </c>
      <c r="L7774" s="11">
        <v>1.32</v>
      </c>
      <c r="M7774" s="9" t="s">
        <v>2091</v>
      </c>
      <c r="N7774" s="6" t="s">
        <v>2073</v>
      </c>
      <c r="O7774" s="6" t="s">
        <v>704</v>
      </c>
      <c r="P7774" s="9" t="s">
        <v>25</v>
      </c>
      <c r="Q7774" s="9" t="s">
        <v>26</v>
      </c>
      <c r="R7774" s="9" t="s">
        <v>150</v>
      </c>
      <c r="S7774" s="7" t="s">
        <v>252</v>
      </c>
      <c r="T7774" s="9" t="s">
        <v>68</v>
      </c>
      <c r="U7774" s="7">
        <v>0.83</v>
      </c>
      <c r="V7774" s="12">
        <f>C7774+0</f>
        <v>41202</v>
      </c>
      <c r="W7774">
        <f>IF(D7774=' Pivot Tables'!$A$4,1,0)</f>
        <v>0</v>
      </c>
      <c r="X7774">
        <f>IF(AND(LEFT(D7774,4)+1=LEFT(' Pivot Tables'!$A$4,4)+0,RIGHT(LEFT(D7774,7),2)=RIGHT(LEFT(' Pivot Tables'!$A$4,7),2)),1,0)</f>
        <v>0</v>
      </c>
      <c r="Y7774" s="6">
        <f>1/COUNTIF(Таблица1[Order ID],Таблица1[[#This Row],[Order ID]])</f>
        <v>0.33333333333333331</v>
      </c>
      <c r="Z7774" s="9">
        <f>1/COUNTIFS(Таблица1[Customer Name],Таблица1[[#This Row],[Customer Name]],Таблица1[Order-Year-Month],Таблица1[[#This Row],[Order-Year-Month]])</f>
        <v>0.25</v>
      </c>
    </row>
    <row r="7775" spans="1:26" x14ac:dyDescent="0.2">
      <c r="A7775" s="6">
        <v>3895</v>
      </c>
      <c r="B7775" s="7">
        <v>27780</v>
      </c>
      <c r="C7775" s="8">
        <f>DATE(2012,12,31)-72</f>
        <v>41202</v>
      </c>
      <c r="D7775" s="8" t="str">
        <f t="shared" si="147"/>
        <v>2012-10 (октябрь 2012)</v>
      </c>
      <c r="E7775" s="9" t="s">
        <v>78</v>
      </c>
      <c r="F7775" s="7">
        <v>39</v>
      </c>
      <c r="G7775" s="7">
        <v>1678.34</v>
      </c>
      <c r="H7775" s="7">
        <v>0.05</v>
      </c>
      <c r="I7775" s="9" t="s">
        <v>22</v>
      </c>
      <c r="J7775" s="10">
        <v>670.11</v>
      </c>
      <c r="K7775" s="11">
        <v>43.98</v>
      </c>
      <c r="L7775" s="11">
        <v>1.99</v>
      </c>
      <c r="M7775" s="9" t="s">
        <v>2091</v>
      </c>
      <c r="N7775" s="6" t="s">
        <v>2073</v>
      </c>
      <c r="O7775" s="6" t="s">
        <v>704</v>
      </c>
      <c r="P7775" s="9" t="s">
        <v>25</v>
      </c>
      <c r="Q7775" s="9" t="s">
        <v>42</v>
      </c>
      <c r="R7775" s="9" t="s">
        <v>70</v>
      </c>
      <c r="S7775" s="7" t="s">
        <v>246</v>
      </c>
      <c r="T7775" s="9" t="s">
        <v>52</v>
      </c>
      <c r="U7775" s="7">
        <v>0.44</v>
      </c>
      <c r="V7775" s="12">
        <f>C7775+1</f>
        <v>41203</v>
      </c>
      <c r="W7775">
        <f>IF(D7775=' Pivot Tables'!$A$4,1,0)</f>
        <v>0</v>
      </c>
      <c r="X7775">
        <f>IF(AND(LEFT(D7775,4)+1=LEFT(' Pivot Tables'!$A$4,4)+0,RIGHT(LEFT(D7775,7),2)=RIGHT(LEFT(' Pivot Tables'!$A$4,7),2)),1,0)</f>
        <v>0</v>
      </c>
      <c r="Y7775" s="6">
        <f>1/COUNTIF(Таблица1[Order ID],Таблица1[[#This Row],[Order ID]])</f>
        <v>0.33333333333333331</v>
      </c>
      <c r="Z7775" s="9">
        <f>1/COUNTIFS(Таблица1[Customer Name],Таблица1[[#This Row],[Customer Name]],Таблица1[Order-Year-Month],Таблица1[[#This Row],[Order-Year-Month]])</f>
        <v>0.25</v>
      </c>
    </row>
    <row r="7776" spans="1:26" x14ac:dyDescent="0.2">
      <c r="A7776" s="6">
        <v>3904</v>
      </c>
      <c r="B7776" s="7">
        <v>27843</v>
      </c>
      <c r="C7776" s="8">
        <f>DATE(2012,12,31)-848</f>
        <v>40426</v>
      </c>
      <c r="D7776" s="8" t="str">
        <f t="shared" si="147"/>
        <v>2010-09 (сентябрь 2010)</v>
      </c>
      <c r="E7776" s="9" t="s">
        <v>63</v>
      </c>
      <c r="F7776" s="7">
        <v>26</v>
      </c>
      <c r="G7776" s="7">
        <v>139.61000000000001</v>
      </c>
      <c r="H7776" s="7">
        <v>0.01</v>
      </c>
      <c r="I7776" s="9" t="s">
        <v>22</v>
      </c>
      <c r="J7776" s="10">
        <v>-92.04</v>
      </c>
      <c r="K7776" s="11">
        <v>4.8899999999999997</v>
      </c>
      <c r="L7776" s="11">
        <v>4.93</v>
      </c>
      <c r="M7776" s="9" t="s">
        <v>2088</v>
      </c>
      <c r="N7776" s="6" t="s">
        <v>2073</v>
      </c>
      <c r="O7776" s="6" t="s">
        <v>704</v>
      </c>
      <c r="P7776" s="9" t="s">
        <v>60</v>
      </c>
      <c r="Q7776" s="9" t="s">
        <v>42</v>
      </c>
      <c r="R7776" s="9" t="s">
        <v>70</v>
      </c>
      <c r="S7776" s="7" t="s">
        <v>93</v>
      </c>
      <c r="T7776" s="9" t="s">
        <v>52</v>
      </c>
      <c r="U7776" s="7">
        <v>0.66</v>
      </c>
      <c r="V7776" s="12">
        <f>C7776+2</f>
        <v>40428</v>
      </c>
      <c r="W7776">
        <f>IF(D7776=' Pivot Tables'!$A$4,1,0)</f>
        <v>0</v>
      </c>
      <c r="X7776">
        <f>IF(AND(LEFT(D7776,4)+1=LEFT(' Pivot Tables'!$A$4,4)+0,RIGHT(LEFT(D7776,7),2)=RIGHT(LEFT(' Pivot Tables'!$A$4,7),2)),1,0)</f>
        <v>0</v>
      </c>
      <c r="Y7776" s="6">
        <f>1/COUNTIF(Таблица1[Order ID],Таблица1[[#This Row],[Order ID]])</f>
        <v>1</v>
      </c>
      <c r="Z7776" s="9">
        <f>1/COUNTIFS(Таблица1[Customer Name],Таблица1[[#This Row],[Customer Name]],Таблица1[Order-Year-Month],Таблица1[[#This Row],[Order-Year-Month]])</f>
        <v>1</v>
      </c>
    </row>
    <row r="7777" spans="1:26" x14ac:dyDescent="0.2">
      <c r="A7777" s="6">
        <v>4030</v>
      </c>
      <c r="B7777" s="7">
        <v>28773</v>
      </c>
      <c r="C7777" s="8">
        <f>DATE(2012,12,31)-690</f>
        <v>40584</v>
      </c>
      <c r="D7777" s="8" t="str">
        <f t="shared" si="147"/>
        <v>2011-02 (февраль 2011)</v>
      </c>
      <c r="E7777" s="9" t="s">
        <v>21</v>
      </c>
      <c r="F7777" s="7">
        <v>48</v>
      </c>
      <c r="G7777" s="7">
        <v>2174.4189999999999</v>
      </c>
      <c r="H7777" s="7">
        <v>0.05</v>
      </c>
      <c r="I7777" s="9" t="s">
        <v>22</v>
      </c>
      <c r="J7777" s="10">
        <v>-211.69499999999999</v>
      </c>
      <c r="K7777" s="11">
        <v>55.99</v>
      </c>
      <c r="L7777" s="11">
        <v>5</v>
      </c>
      <c r="M7777" s="9" t="s">
        <v>2089</v>
      </c>
      <c r="N7777" s="6" t="s">
        <v>2073</v>
      </c>
      <c r="O7777" s="6" t="s">
        <v>704</v>
      </c>
      <c r="P7777" s="9" t="s">
        <v>25</v>
      </c>
      <c r="Q7777" s="9" t="s">
        <v>42</v>
      </c>
      <c r="R7777" s="9" t="s">
        <v>43</v>
      </c>
      <c r="S7777" s="7" t="s">
        <v>248</v>
      </c>
      <c r="T7777" s="9" t="s">
        <v>52</v>
      </c>
      <c r="U7777" s="7">
        <v>0.83</v>
      </c>
      <c r="V7777" s="12">
        <f>C7777+7</f>
        <v>40591</v>
      </c>
      <c r="W7777">
        <f>IF(D7777=' Pivot Tables'!$A$4,1,0)</f>
        <v>0</v>
      </c>
      <c r="X7777">
        <f>IF(AND(LEFT(D7777,4)+1=LEFT(' Pivot Tables'!$A$4,4)+0,RIGHT(LEFT(D7777,7),2)=RIGHT(LEFT(' Pivot Tables'!$A$4,7),2)),1,0)</f>
        <v>0</v>
      </c>
      <c r="Y7777" s="6">
        <f>1/COUNTIF(Таблица1[Order ID],Таблица1[[#This Row],[Order ID]])</f>
        <v>1</v>
      </c>
      <c r="Z7777" s="9">
        <f>1/COUNTIFS(Таблица1[Customer Name],Таблица1[[#This Row],[Customer Name]],Таблица1[Order-Year-Month],Таблица1[[#This Row],[Order-Year-Month]])</f>
        <v>1</v>
      </c>
    </row>
    <row r="7778" spans="1:26" x14ac:dyDescent="0.2">
      <c r="A7778" s="6">
        <v>4323</v>
      </c>
      <c r="B7778" s="7">
        <v>30786</v>
      </c>
      <c r="C7778" s="8">
        <f>DATE(2012,12,31)-168</f>
        <v>41106</v>
      </c>
      <c r="D7778" s="8" t="str">
        <f t="shared" si="147"/>
        <v>2012-07 (июль 2012)</v>
      </c>
      <c r="E7778" s="9" t="s">
        <v>63</v>
      </c>
      <c r="F7778" s="7">
        <v>23</v>
      </c>
      <c r="G7778" s="7">
        <v>65.91</v>
      </c>
      <c r="H7778" s="7">
        <v>0.01</v>
      </c>
      <c r="I7778" s="9" t="s">
        <v>22</v>
      </c>
      <c r="J7778" s="10">
        <v>0.76000000000000068</v>
      </c>
      <c r="K7778" s="11">
        <v>2.78</v>
      </c>
      <c r="L7778" s="11">
        <v>1.34</v>
      </c>
      <c r="M7778" s="9" t="s">
        <v>1815</v>
      </c>
      <c r="N7778" s="6" t="s">
        <v>2073</v>
      </c>
      <c r="O7778" s="6" t="s">
        <v>704</v>
      </c>
      <c r="P7778" s="9" t="s">
        <v>25</v>
      </c>
      <c r="Q7778" s="9" t="s">
        <v>26</v>
      </c>
      <c r="R7778" s="9" t="s">
        <v>95</v>
      </c>
      <c r="S7778" s="7" t="s">
        <v>256</v>
      </c>
      <c r="T7778" s="9" t="s">
        <v>68</v>
      </c>
      <c r="U7778" s="7">
        <v>0.45</v>
      </c>
      <c r="V7778" s="12">
        <f>C7778+0</f>
        <v>41106</v>
      </c>
      <c r="W7778">
        <f>IF(D7778=' Pivot Tables'!$A$4,1,0)</f>
        <v>0</v>
      </c>
      <c r="X7778">
        <f>IF(AND(LEFT(D7778,4)+1=LEFT(' Pivot Tables'!$A$4,4)+0,RIGHT(LEFT(D7778,7),2)=RIGHT(LEFT(' Pivot Tables'!$A$4,7),2)),1,0)</f>
        <v>0</v>
      </c>
      <c r="Y7778" s="6">
        <f>1/COUNTIF(Таблица1[Order ID],Таблица1[[#This Row],[Order ID]])</f>
        <v>0.5</v>
      </c>
      <c r="Z7778" s="9">
        <f>1/COUNTIFS(Таблица1[Customer Name],Таблица1[[#This Row],[Customer Name]],Таблица1[Order-Year-Month],Таблица1[[#This Row],[Order-Year-Month]])</f>
        <v>0.5</v>
      </c>
    </row>
    <row r="7779" spans="1:26" x14ac:dyDescent="0.2">
      <c r="A7779" s="6">
        <v>4324</v>
      </c>
      <c r="B7779" s="7">
        <v>30786</v>
      </c>
      <c r="C7779" s="8">
        <f>DATE(2012,12,31)-168</f>
        <v>41106</v>
      </c>
      <c r="D7779" s="8" t="str">
        <f t="shared" si="147"/>
        <v>2012-07 (июль 2012)</v>
      </c>
      <c r="E7779" s="9" t="s">
        <v>63</v>
      </c>
      <c r="F7779" s="7">
        <v>4</v>
      </c>
      <c r="G7779" s="7">
        <v>72.72</v>
      </c>
      <c r="H7779" s="7">
        <v>0.06</v>
      </c>
      <c r="I7779" s="9" t="s">
        <v>22</v>
      </c>
      <c r="J7779" s="10">
        <v>-36.61</v>
      </c>
      <c r="K7779" s="11">
        <v>15.42</v>
      </c>
      <c r="L7779" s="11">
        <v>10.68</v>
      </c>
      <c r="M7779" s="9" t="s">
        <v>1815</v>
      </c>
      <c r="N7779" s="6" t="s">
        <v>2073</v>
      </c>
      <c r="O7779" s="6" t="s">
        <v>704</v>
      </c>
      <c r="P7779" s="9" t="s">
        <v>25</v>
      </c>
      <c r="Q7779" s="9" t="s">
        <v>26</v>
      </c>
      <c r="R7779" s="9" t="s">
        <v>27</v>
      </c>
      <c r="S7779" s="7" t="s">
        <v>1645</v>
      </c>
      <c r="T7779" s="9" t="s">
        <v>39</v>
      </c>
      <c r="U7779" s="7">
        <v>0.57999999999999996</v>
      </c>
      <c r="V7779" s="12">
        <f>C7779+1</f>
        <v>41107</v>
      </c>
      <c r="W7779">
        <f>IF(D7779=' Pivot Tables'!$A$4,1,0)</f>
        <v>0</v>
      </c>
      <c r="X7779">
        <f>IF(AND(LEFT(D7779,4)+1=LEFT(' Pivot Tables'!$A$4,4)+0,RIGHT(LEFT(D7779,7),2)=RIGHT(LEFT(' Pivot Tables'!$A$4,7),2)),1,0)</f>
        <v>0</v>
      </c>
      <c r="Y7779" s="6">
        <f>1/COUNTIF(Таблица1[Order ID],Таблица1[[#This Row],[Order ID]])</f>
        <v>0.5</v>
      </c>
      <c r="Z7779" s="9">
        <f>1/COUNTIFS(Таблица1[Customer Name],Таблица1[[#This Row],[Customer Name]],Таблица1[Order-Year-Month],Таблица1[[#This Row],[Order-Year-Month]])</f>
        <v>0.5</v>
      </c>
    </row>
    <row r="7780" spans="1:26" x14ac:dyDescent="0.2">
      <c r="A7780" s="6">
        <v>4461</v>
      </c>
      <c r="B7780" s="7">
        <v>31809</v>
      </c>
      <c r="C7780" s="8">
        <f>DATE(2012,12,31)-887</f>
        <v>40387</v>
      </c>
      <c r="D7780" s="8" t="str">
        <f t="shared" si="147"/>
        <v>2010-07 (июль 2010)</v>
      </c>
      <c r="E7780" s="9" t="s">
        <v>30</v>
      </c>
      <c r="F7780" s="7">
        <v>1</v>
      </c>
      <c r="G7780" s="7">
        <v>15</v>
      </c>
      <c r="H7780" s="7">
        <v>0.1</v>
      </c>
      <c r="I7780" s="9" t="s">
        <v>22</v>
      </c>
      <c r="J7780" s="10">
        <v>-13.74</v>
      </c>
      <c r="K7780" s="11">
        <v>9.7799999999999994</v>
      </c>
      <c r="L7780" s="11">
        <v>5.76</v>
      </c>
      <c r="M7780" s="9" t="s">
        <v>2066</v>
      </c>
      <c r="N7780" s="6" t="s">
        <v>2073</v>
      </c>
      <c r="O7780" s="6" t="s">
        <v>704</v>
      </c>
      <c r="P7780" s="9" t="s">
        <v>41</v>
      </c>
      <c r="Q7780" s="9" t="s">
        <v>26</v>
      </c>
      <c r="R7780" s="9" t="s">
        <v>76</v>
      </c>
      <c r="S7780" s="7" t="s">
        <v>571</v>
      </c>
      <c r="T7780" s="9" t="s">
        <v>39</v>
      </c>
      <c r="U7780" s="7">
        <v>0.35</v>
      </c>
      <c r="V7780" s="12">
        <f>C7780+2</f>
        <v>40389</v>
      </c>
      <c r="W7780">
        <f>IF(D7780=' Pivot Tables'!$A$4,1,0)</f>
        <v>0</v>
      </c>
      <c r="X7780">
        <f>IF(AND(LEFT(D7780,4)+1=LEFT(' Pivot Tables'!$A$4,4)+0,RIGHT(LEFT(D7780,7),2)=RIGHT(LEFT(' Pivot Tables'!$A$4,7),2)),1,0)</f>
        <v>0</v>
      </c>
      <c r="Y7780" s="6">
        <f>1/COUNTIF(Таблица1[Order ID],Таблица1[[#This Row],[Order ID]])</f>
        <v>1</v>
      </c>
      <c r="Z7780" s="9">
        <f>1/COUNTIFS(Таблица1[Customer Name],Таблица1[[#This Row],[Customer Name]],Таблица1[Order-Year-Month],Таблица1[[#This Row],[Order-Year-Month]])</f>
        <v>0.5</v>
      </c>
    </row>
    <row r="7781" spans="1:26" x14ac:dyDescent="0.2">
      <c r="A7781" s="6">
        <v>4481</v>
      </c>
      <c r="B7781" s="7">
        <v>31878</v>
      </c>
      <c r="C7781" s="8">
        <f>DATE(2012,12,31)-379</f>
        <v>40895</v>
      </c>
      <c r="D7781" s="8" t="str">
        <f t="shared" si="147"/>
        <v>2011-12 (декабрь 2011)</v>
      </c>
      <c r="E7781" s="9" t="s">
        <v>63</v>
      </c>
      <c r="F7781" s="7">
        <v>14</v>
      </c>
      <c r="G7781" s="7">
        <v>138.94999999999999</v>
      </c>
      <c r="H7781" s="7">
        <v>0.04</v>
      </c>
      <c r="I7781" s="9" t="s">
        <v>22</v>
      </c>
      <c r="J7781" s="10">
        <v>9.6300000000000008</v>
      </c>
      <c r="K7781" s="11">
        <v>9.27</v>
      </c>
      <c r="L7781" s="11">
        <v>4.3899999999999997</v>
      </c>
      <c r="M7781" s="9" t="s">
        <v>2088</v>
      </c>
      <c r="N7781" s="6" t="s">
        <v>2073</v>
      </c>
      <c r="O7781" s="6" t="s">
        <v>704</v>
      </c>
      <c r="P7781" s="9" t="s">
        <v>60</v>
      </c>
      <c r="Q7781" s="9" t="s">
        <v>26</v>
      </c>
      <c r="R7781" s="9" t="s">
        <v>61</v>
      </c>
      <c r="S7781" s="7" t="s">
        <v>400</v>
      </c>
      <c r="T7781" s="9" t="s">
        <v>68</v>
      </c>
      <c r="U7781" s="7">
        <v>0.38</v>
      </c>
      <c r="V7781" s="12">
        <f>C7781+0</f>
        <v>40895</v>
      </c>
      <c r="W7781">
        <f>IF(D7781=' Pivot Tables'!$A$4,1,0)</f>
        <v>0</v>
      </c>
      <c r="X7781">
        <f>IF(AND(LEFT(D7781,4)+1=LEFT(' Pivot Tables'!$A$4,4)+0,RIGHT(LEFT(D7781,7),2)=RIGHT(LEFT(' Pivot Tables'!$A$4,7),2)),1,0)</f>
        <v>0</v>
      </c>
      <c r="Y7781" s="6">
        <f>1/COUNTIF(Таблица1[Order ID],Таблица1[[#This Row],[Order ID]])</f>
        <v>0.5</v>
      </c>
      <c r="Z7781" s="9">
        <f>1/COUNTIFS(Таблица1[Customer Name],Таблица1[[#This Row],[Customer Name]],Таблица1[Order-Year-Month],Таблица1[[#This Row],[Order-Year-Month]])</f>
        <v>0.5</v>
      </c>
    </row>
    <row r="7782" spans="1:26" x14ac:dyDescent="0.2">
      <c r="A7782" s="6">
        <v>4482</v>
      </c>
      <c r="B7782" s="7">
        <v>31878</v>
      </c>
      <c r="C7782" s="8">
        <f>DATE(2012,12,31)-379</f>
        <v>40895</v>
      </c>
      <c r="D7782" s="8" t="str">
        <f t="shared" si="147"/>
        <v>2011-12 (декабрь 2011)</v>
      </c>
      <c r="E7782" s="9" t="s">
        <v>63</v>
      </c>
      <c r="F7782" s="7">
        <v>42</v>
      </c>
      <c r="G7782" s="7">
        <v>5678.5524999999998</v>
      </c>
      <c r="H7782" s="7">
        <v>0.01</v>
      </c>
      <c r="I7782" s="9" t="s">
        <v>22</v>
      </c>
      <c r="J7782" s="10">
        <v>1727.7750000000001</v>
      </c>
      <c r="K7782" s="11">
        <v>155.99</v>
      </c>
      <c r="L7782" s="11">
        <v>8.99</v>
      </c>
      <c r="M7782" s="9" t="s">
        <v>2088</v>
      </c>
      <c r="N7782" s="6" t="s">
        <v>2073</v>
      </c>
      <c r="O7782" s="6" t="s">
        <v>704</v>
      </c>
      <c r="P7782" s="9" t="s">
        <v>60</v>
      </c>
      <c r="Q7782" s="9" t="s">
        <v>42</v>
      </c>
      <c r="R7782" s="9" t="s">
        <v>43</v>
      </c>
      <c r="S7782" s="7" t="s">
        <v>416</v>
      </c>
      <c r="T7782" s="9" t="s">
        <v>39</v>
      </c>
      <c r="U7782" s="7">
        <v>0.55000000000000004</v>
      </c>
      <c r="V7782" s="12">
        <f>C7782+1</f>
        <v>40896</v>
      </c>
      <c r="W7782">
        <f>IF(D7782=' Pivot Tables'!$A$4,1,0)</f>
        <v>0</v>
      </c>
      <c r="X7782">
        <f>IF(AND(LEFT(D7782,4)+1=LEFT(' Pivot Tables'!$A$4,4)+0,RIGHT(LEFT(D7782,7),2)=RIGHT(LEFT(' Pivot Tables'!$A$4,7),2)),1,0)</f>
        <v>0</v>
      </c>
      <c r="Y7782" s="6">
        <f>1/COUNTIF(Таблица1[Order ID],Таблица1[[#This Row],[Order ID]])</f>
        <v>0.5</v>
      </c>
      <c r="Z7782" s="9">
        <f>1/COUNTIFS(Таблица1[Customer Name],Таблица1[[#This Row],[Customer Name]],Таблица1[Order-Year-Month],Таблица1[[#This Row],[Order-Year-Month]])</f>
        <v>0.5</v>
      </c>
    </row>
    <row r="7783" spans="1:26" x14ac:dyDescent="0.2">
      <c r="A7783" s="6">
        <v>4910</v>
      </c>
      <c r="B7783" s="7">
        <v>34976</v>
      </c>
      <c r="C7783" s="8">
        <f>DATE(2012,12,31)-37</f>
        <v>41237</v>
      </c>
      <c r="D7783" s="8" t="str">
        <f t="shared" si="147"/>
        <v>2012-11 (ноябрь 2012)</v>
      </c>
      <c r="E7783" s="9" t="s">
        <v>63</v>
      </c>
      <c r="F7783" s="7">
        <v>45</v>
      </c>
      <c r="G7783" s="7">
        <v>4475</v>
      </c>
      <c r="H7783" s="7">
        <v>0.02</v>
      </c>
      <c r="I7783" s="9" t="s">
        <v>31</v>
      </c>
      <c r="J7783" s="10">
        <v>-1523.77</v>
      </c>
      <c r="K7783" s="11">
        <v>95.95</v>
      </c>
      <c r="L7783" s="11">
        <v>74.349999999999994</v>
      </c>
      <c r="M7783" s="9" t="s">
        <v>2066</v>
      </c>
      <c r="N7783" s="6" t="s">
        <v>2073</v>
      </c>
      <c r="O7783" s="6" t="s">
        <v>704</v>
      </c>
      <c r="P7783" s="9" t="s">
        <v>60</v>
      </c>
      <c r="Q7783" s="9" t="s">
        <v>49</v>
      </c>
      <c r="R7783" s="9" t="s">
        <v>112</v>
      </c>
      <c r="S7783" s="7" t="s">
        <v>113</v>
      </c>
      <c r="T7783" s="9" t="s">
        <v>36</v>
      </c>
      <c r="U7783" s="7">
        <v>0.56999999999999995</v>
      </c>
      <c r="V7783" s="12">
        <f>C7783+2</f>
        <v>41239</v>
      </c>
      <c r="W7783">
        <f>IF(D7783=' Pivot Tables'!$A$4,1,0)</f>
        <v>0</v>
      </c>
      <c r="X7783">
        <f>IF(AND(LEFT(D7783,4)+1=LEFT(' Pivot Tables'!$A$4,4)+0,RIGHT(LEFT(D7783,7),2)=RIGHT(LEFT(' Pivot Tables'!$A$4,7),2)),1,0)</f>
        <v>0</v>
      </c>
      <c r="Y7783" s="6">
        <f>1/COUNTIF(Таблица1[Order ID],Таблица1[[#This Row],[Order ID]])</f>
        <v>0.5</v>
      </c>
      <c r="Z7783" s="9">
        <f>1/COUNTIFS(Таблица1[Customer Name],Таблица1[[#This Row],[Customer Name]],Таблица1[Order-Year-Month],Таблица1[[#This Row],[Order-Year-Month]])</f>
        <v>0.5</v>
      </c>
    </row>
    <row r="7784" spans="1:26" x14ac:dyDescent="0.2">
      <c r="A7784" s="6">
        <v>4911</v>
      </c>
      <c r="B7784" s="7">
        <v>34976</v>
      </c>
      <c r="C7784" s="8">
        <f>DATE(2012,12,31)-37</f>
        <v>41237</v>
      </c>
      <c r="D7784" s="8" t="str">
        <f t="shared" si="147"/>
        <v>2012-11 (ноябрь 2012)</v>
      </c>
      <c r="E7784" s="9" t="s">
        <v>63</v>
      </c>
      <c r="F7784" s="7">
        <v>29</v>
      </c>
      <c r="G7784" s="7">
        <v>168.2</v>
      </c>
      <c r="H7784" s="7">
        <v>0.08</v>
      </c>
      <c r="I7784" s="9" t="s">
        <v>22</v>
      </c>
      <c r="J7784" s="10">
        <v>-64.53</v>
      </c>
      <c r="K7784" s="11">
        <v>5.98</v>
      </c>
      <c r="L7784" s="11">
        <v>5.46</v>
      </c>
      <c r="M7784" s="9" t="s">
        <v>2066</v>
      </c>
      <c r="N7784" s="6" t="s">
        <v>2073</v>
      </c>
      <c r="O7784" s="6" t="s">
        <v>704</v>
      </c>
      <c r="P7784" s="9" t="s">
        <v>60</v>
      </c>
      <c r="Q7784" s="9" t="s">
        <v>26</v>
      </c>
      <c r="R7784" s="9" t="s">
        <v>61</v>
      </c>
      <c r="S7784" s="7" t="s">
        <v>751</v>
      </c>
      <c r="T7784" s="9" t="s">
        <v>39</v>
      </c>
      <c r="U7784" s="7">
        <v>0.36</v>
      </c>
      <c r="V7784" s="12">
        <f>C7784+1</f>
        <v>41238</v>
      </c>
      <c r="W7784">
        <f>IF(D7784=' Pivot Tables'!$A$4,1,0)</f>
        <v>0</v>
      </c>
      <c r="X7784">
        <f>IF(AND(LEFT(D7784,4)+1=LEFT(' Pivot Tables'!$A$4,4)+0,RIGHT(LEFT(D7784,7),2)=RIGHT(LEFT(' Pivot Tables'!$A$4,7),2)),1,0)</f>
        <v>0</v>
      </c>
      <c r="Y7784" s="6">
        <f>1/COUNTIF(Таблица1[Order ID],Таблица1[[#This Row],[Order ID]])</f>
        <v>0.5</v>
      </c>
      <c r="Z7784" s="9">
        <f>1/COUNTIFS(Таблица1[Customer Name],Таблица1[[#This Row],[Customer Name]],Таблица1[Order-Year-Month],Таблица1[[#This Row],[Order-Year-Month]])</f>
        <v>0.5</v>
      </c>
    </row>
    <row r="7785" spans="1:26" x14ac:dyDescent="0.2">
      <c r="A7785" s="6">
        <v>4913</v>
      </c>
      <c r="B7785" s="7">
        <v>34979</v>
      </c>
      <c r="C7785" s="8">
        <f>DATE(2012,12,31)-825</f>
        <v>40449</v>
      </c>
      <c r="D7785" s="8" t="str">
        <f t="shared" si="147"/>
        <v>2010-09 (сентябрь 2010)</v>
      </c>
      <c r="E7785" s="9" t="s">
        <v>78</v>
      </c>
      <c r="F7785" s="7">
        <v>15</v>
      </c>
      <c r="G7785" s="7">
        <v>609.97</v>
      </c>
      <c r="H7785" s="7">
        <v>0</v>
      </c>
      <c r="I7785" s="9" t="s">
        <v>22</v>
      </c>
      <c r="J7785" s="10">
        <v>62.93</v>
      </c>
      <c r="K7785" s="11">
        <v>39.479999999999997</v>
      </c>
      <c r="L7785" s="11">
        <v>1.99</v>
      </c>
      <c r="M7785" s="9" t="s">
        <v>1815</v>
      </c>
      <c r="N7785" s="6" t="s">
        <v>2073</v>
      </c>
      <c r="O7785" s="6" t="s">
        <v>704</v>
      </c>
      <c r="P7785" s="9" t="s">
        <v>25</v>
      </c>
      <c r="Q7785" s="9" t="s">
        <v>42</v>
      </c>
      <c r="R7785" s="9" t="s">
        <v>70</v>
      </c>
      <c r="S7785" s="7" t="s">
        <v>161</v>
      </c>
      <c r="T7785" s="9" t="s">
        <v>52</v>
      </c>
      <c r="U7785" s="7">
        <v>0.54</v>
      </c>
      <c r="V7785" s="12">
        <f>C7785+2</f>
        <v>40451</v>
      </c>
      <c r="W7785">
        <f>IF(D7785=' Pivot Tables'!$A$4,1,0)</f>
        <v>0</v>
      </c>
      <c r="X7785">
        <f>IF(AND(LEFT(D7785,4)+1=LEFT(' Pivot Tables'!$A$4,4)+0,RIGHT(LEFT(D7785,7),2)=RIGHT(LEFT(' Pivot Tables'!$A$4,7),2)),1,0)</f>
        <v>0</v>
      </c>
      <c r="Y7785" s="6">
        <f>1/COUNTIF(Таблица1[Order ID],Таблица1[[#This Row],[Order ID]])</f>
        <v>1</v>
      </c>
      <c r="Z7785" s="9">
        <f>1/COUNTIFS(Таблица1[Customer Name],Таблица1[[#This Row],[Customer Name]],Таблица1[Order-Year-Month],Таблица1[[#This Row],[Order-Year-Month]])</f>
        <v>1</v>
      </c>
    </row>
    <row r="7786" spans="1:26" x14ac:dyDescent="0.2">
      <c r="A7786" s="6">
        <v>4941</v>
      </c>
      <c r="B7786" s="7">
        <v>35139</v>
      </c>
      <c r="C7786" s="8">
        <f>DATE(2012,12,31)-1078</f>
        <v>40196</v>
      </c>
      <c r="D7786" s="8" t="str">
        <f t="shared" si="147"/>
        <v>2010-01 (январь 2010)</v>
      </c>
      <c r="E7786" s="9" t="s">
        <v>30</v>
      </c>
      <c r="F7786" s="7">
        <v>29</v>
      </c>
      <c r="G7786" s="7">
        <v>264.77999999999997</v>
      </c>
      <c r="H7786" s="7">
        <v>0.02</v>
      </c>
      <c r="I7786" s="9" t="s">
        <v>22</v>
      </c>
      <c r="J7786" s="10">
        <v>53.048499999999997</v>
      </c>
      <c r="K7786" s="11">
        <v>8.69</v>
      </c>
      <c r="L7786" s="11">
        <v>2.99</v>
      </c>
      <c r="M7786" s="9" t="s">
        <v>2066</v>
      </c>
      <c r="N7786" s="6" t="s">
        <v>2073</v>
      </c>
      <c r="O7786" s="6" t="s">
        <v>704</v>
      </c>
      <c r="P7786" s="9" t="s">
        <v>60</v>
      </c>
      <c r="Q7786" s="9" t="s">
        <v>26</v>
      </c>
      <c r="R7786" s="9" t="s">
        <v>37</v>
      </c>
      <c r="S7786" s="7" t="s">
        <v>38</v>
      </c>
      <c r="T7786" s="9" t="s">
        <v>39</v>
      </c>
      <c r="U7786" s="7">
        <v>0.39</v>
      </c>
      <c r="V7786" s="12">
        <f>C7786+1</f>
        <v>40197</v>
      </c>
      <c r="W7786">
        <f>IF(D7786=' Pivot Tables'!$A$4,1,0)</f>
        <v>1</v>
      </c>
      <c r="X7786">
        <f>IF(AND(LEFT(D7786,4)+1=LEFT(' Pivot Tables'!$A$4,4)+0,RIGHT(LEFT(D7786,7),2)=RIGHT(LEFT(' Pivot Tables'!$A$4,7),2)),1,0)</f>
        <v>0</v>
      </c>
      <c r="Y7786" s="6">
        <f>1/COUNTIF(Таблица1[Order ID],Таблица1[[#This Row],[Order ID]])</f>
        <v>0.25</v>
      </c>
      <c r="Z7786" s="9">
        <f>1/COUNTIFS(Таблица1[Customer Name],Таблица1[[#This Row],[Customer Name]],Таблица1[Order-Year-Month],Таблица1[[#This Row],[Order-Year-Month]])</f>
        <v>0.2</v>
      </c>
    </row>
    <row r="7787" spans="1:26" x14ac:dyDescent="0.2">
      <c r="A7787" s="6">
        <v>5132</v>
      </c>
      <c r="B7787" s="7">
        <v>36608</v>
      </c>
      <c r="C7787" s="8">
        <f>DATE(2012,12,31)-460</f>
        <v>40814</v>
      </c>
      <c r="D7787" s="8" t="str">
        <f t="shared" si="147"/>
        <v>2011-09 (сентябрь 2011)</v>
      </c>
      <c r="E7787" s="9" t="s">
        <v>21</v>
      </c>
      <c r="F7787" s="7">
        <v>40</v>
      </c>
      <c r="G7787" s="7">
        <v>825.8</v>
      </c>
      <c r="H7787" s="7">
        <v>0.1</v>
      </c>
      <c r="I7787" s="9" t="s">
        <v>22</v>
      </c>
      <c r="J7787" s="10">
        <v>183.48</v>
      </c>
      <c r="K7787" s="11">
        <v>21.98</v>
      </c>
      <c r="L7787" s="11">
        <v>2.87</v>
      </c>
      <c r="M7787" s="9" t="s">
        <v>2089</v>
      </c>
      <c r="N7787" s="6" t="s">
        <v>2073</v>
      </c>
      <c r="O7787" s="6" t="s">
        <v>704</v>
      </c>
      <c r="P7787" s="9" t="s">
        <v>25</v>
      </c>
      <c r="Q7787" s="9" t="s">
        <v>26</v>
      </c>
      <c r="R7787" s="9" t="s">
        <v>95</v>
      </c>
      <c r="S7787" s="7" t="s">
        <v>488</v>
      </c>
      <c r="T7787" s="9" t="s">
        <v>52</v>
      </c>
      <c r="U7787" s="7">
        <v>0.55000000000000004</v>
      </c>
      <c r="V7787" s="12">
        <f>C7787+4</f>
        <v>40818</v>
      </c>
      <c r="W7787">
        <f>IF(D7787=' Pivot Tables'!$A$4,1,0)</f>
        <v>0</v>
      </c>
      <c r="X7787">
        <f>IF(AND(LEFT(D7787,4)+1=LEFT(' Pivot Tables'!$A$4,4)+0,RIGHT(LEFT(D7787,7),2)=RIGHT(LEFT(' Pivot Tables'!$A$4,7),2)),1,0)</f>
        <v>0</v>
      </c>
      <c r="Y7787" s="6">
        <f>1/COUNTIF(Таблица1[Order ID],Таблица1[[#This Row],[Order ID]])</f>
        <v>0.5</v>
      </c>
      <c r="Z7787" s="9">
        <f>1/COUNTIFS(Таблица1[Customer Name],Таблица1[[#This Row],[Customer Name]],Таблица1[Order-Year-Month],Таблица1[[#This Row],[Order-Year-Month]])</f>
        <v>0.5</v>
      </c>
    </row>
    <row r="7788" spans="1:26" x14ac:dyDescent="0.2">
      <c r="A7788" s="6">
        <v>5133</v>
      </c>
      <c r="B7788" s="7">
        <v>36608</v>
      </c>
      <c r="C7788" s="8">
        <f>DATE(2012,12,31)-460</f>
        <v>40814</v>
      </c>
      <c r="D7788" s="8" t="str">
        <f t="shared" si="147"/>
        <v>2011-09 (сентябрь 2011)</v>
      </c>
      <c r="E7788" s="9" t="s">
        <v>21</v>
      </c>
      <c r="F7788" s="7">
        <v>49</v>
      </c>
      <c r="G7788" s="7">
        <v>4273.95</v>
      </c>
      <c r="H7788" s="7">
        <v>0.05</v>
      </c>
      <c r="I7788" s="9" t="s">
        <v>22</v>
      </c>
      <c r="J7788" s="10">
        <v>1340.07</v>
      </c>
      <c r="K7788" s="11">
        <v>90.48</v>
      </c>
      <c r="L7788" s="11">
        <v>19.989999999999998</v>
      </c>
      <c r="M7788" s="9" t="s">
        <v>2089</v>
      </c>
      <c r="N7788" s="6" t="s">
        <v>2073</v>
      </c>
      <c r="O7788" s="6" t="s">
        <v>704</v>
      </c>
      <c r="P7788" s="9" t="s">
        <v>25</v>
      </c>
      <c r="Q7788" s="9" t="s">
        <v>26</v>
      </c>
      <c r="R7788" s="9" t="s">
        <v>76</v>
      </c>
      <c r="S7788" s="7" t="s">
        <v>1167</v>
      </c>
      <c r="T7788" s="9" t="s">
        <v>39</v>
      </c>
      <c r="U7788" s="7">
        <v>0.4</v>
      </c>
      <c r="V7788" s="12">
        <f>C7788+7</f>
        <v>40821</v>
      </c>
      <c r="W7788">
        <f>IF(D7788=' Pivot Tables'!$A$4,1,0)</f>
        <v>0</v>
      </c>
      <c r="X7788">
        <f>IF(AND(LEFT(D7788,4)+1=LEFT(' Pivot Tables'!$A$4,4)+0,RIGHT(LEFT(D7788,7),2)=RIGHT(LEFT(' Pivot Tables'!$A$4,7),2)),1,0)</f>
        <v>0</v>
      </c>
      <c r="Y7788" s="6">
        <f>1/COUNTIF(Таблица1[Order ID],Таблица1[[#This Row],[Order ID]])</f>
        <v>0.5</v>
      </c>
      <c r="Z7788" s="9">
        <f>1/COUNTIFS(Таблица1[Customer Name],Таблица1[[#This Row],[Customer Name]],Таблица1[Order-Year-Month],Таблица1[[#This Row],[Order-Year-Month]])</f>
        <v>0.5</v>
      </c>
    </row>
    <row r="7789" spans="1:26" x14ac:dyDescent="0.2">
      <c r="A7789" s="6">
        <v>5204</v>
      </c>
      <c r="B7789" s="7">
        <v>36994</v>
      </c>
      <c r="C7789" s="8">
        <f>DATE(2012,12,31)-563</f>
        <v>40711</v>
      </c>
      <c r="D7789" s="8" t="str">
        <f t="shared" si="147"/>
        <v>2011-06 (июнь 2011)</v>
      </c>
      <c r="E7789" s="9" t="s">
        <v>78</v>
      </c>
      <c r="F7789" s="7">
        <v>40</v>
      </c>
      <c r="G7789" s="7">
        <v>5264.48</v>
      </c>
      <c r="H7789" s="7">
        <v>0.03</v>
      </c>
      <c r="I7789" s="9" t="s">
        <v>31</v>
      </c>
      <c r="J7789" s="10">
        <v>-284.06</v>
      </c>
      <c r="K7789" s="11">
        <v>130.97999999999999</v>
      </c>
      <c r="L7789" s="11">
        <v>30</v>
      </c>
      <c r="M7789" s="9" t="s">
        <v>2089</v>
      </c>
      <c r="N7789" s="6" t="s">
        <v>2073</v>
      </c>
      <c r="O7789" s="6" t="s">
        <v>704</v>
      </c>
      <c r="P7789" s="9" t="s">
        <v>41</v>
      </c>
      <c r="Q7789" s="9" t="s">
        <v>49</v>
      </c>
      <c r="R7789" s="9" t="s">
        <v>112</v>
      </c>
      <c r="S7789" s="7" t="s">
        <v>265</v>
      </c>
      <c r="T7789" s="9" t="s">
        <v>36</v>
      </c>
      <c r="U7789" s="7">
        <v>0.78</v>
      </c>
      <c r="V7789" s="12">
        <f>C7789+0</f>
        <v>40711</v>
      </c>
      <c r="W7789">
        <f>IF(D7789=' Pivot Tables'!$A$4,1,0)</f>
        <v>0</v>
      </c>
      <c r="X7789">
        <f>IF(AND(LEFT(D7789,4)+1=LEFT(' Pivot Tables'!$A$4,4)+0,RIGHT(LEFT(D7789,7),2)=RIGHT(LEFT(' Pivot Tables'!$A$4,7),2)),1,0)</f>
        <v>0</v>
      </c>
      <c r="Y7789" s="6">
        <f>1/COUNTIF(Таблица1[Order ID],Таблица1[[#This Row],[Order ID]])</f>
        <v>1</v>
      </c>
      <c r="Z7789" s="9">
        <f>1/COUNTIFS(Таблица1[Customer Name],Таблица1[[#This Row],[Customer Name]],Таблица1[Order-Year-Month],Таблица1[[#This Row],[Order-Year-Month]])</f>
        <v>1</v>
      </c>
    </row>
    <row r="7790" spans="1:26" x14ac:dyDescent="0.2">
      <c r="A7790" s="6">
        <v>5484</v>
      </c>
      <c r="B7790" s="7">
        <v>38944</v>
      </c>
      <c r="C7790" s="8">
        <f>DATE(2012,12,31)-986</f>
        <v>40288</v>
      </c>
      <c r="D7790" s="8" t="str">
        <f t="shared" si="147"/>
        <v>2010-04 (апрель 2010)</v>
      </c>
      <c r="E7790" s="9" t="s">
        <v>63</v>
      </c>
      <c r="F7790" s="7">
        <v>17</v>
      </c>
      <c r="G7790" s="7">
        <v>1873.3489999999999</v>
      </c>
      <c r="H7790" s="7">
        <v>0.02</v>
      </c>
      <c r="I7790" s="9" t="s">
        <v>22</v>
      </c>
      <c r="J7790" s="10">
        <v>194.21099999999998</v>
      </c>
      <c r="K7790" s="11">
        <v>125.99</v>
      </c>
      <c r="L7790" s="11">
        <v>8.08</v>
      </c>
      <c r="M7790" s="9" t="s">
        <v>2089</v>
      </c>
      <c r="N7790" s="6" t="s">
        <v>2073</v>
      </c>
      <c r="O7790" s="6" t="s">
        <v>704</v>
      </c>
      <c r="P7790" s="9" t="s">
        <v>25</v>
      </c>
      <c r="Q7790" s="9" t="s">
        <v>42</v>
      </c>
      <c r="R7790" s="9" t="s">
        <v>43</v>
      </c>
      <c r="S7790" s="7" t="s">
        <v>586</v>
      </c>
      <c r="T7790" s="9" t="s">
        <v>39</v>
      </c>
      <c r="U7790" s="7">
        <v>0.56999999999999995</v>
      </c>
      <c r="V7790" s="12">
        <f>C7790+1</f>
        <v>40289</v>
      </c>
      <c r="W7790">
        <f>IF(D7790=' Pivot Tables'!$A$4,1,0)</f>
        <v>0</v>
      </c>
      <c r="X7790">
        <f>IF(AND(LEFT(D7790,4)+1=LEFT(' Pivot Tables'!$A$4,4)+0,RIGHT(LEFT(D7790,7),2)=RIGHT(LEFT(' Pivot Tables'!$A$4,7),2)),1,0)</f>
        <v>0</v>
      </c>
      <c r="Y7790" s="6">
        <f>1/COUNTIF(Таблица1[Order ID],Таблица1[[#This Row],[Order ID]])</f>
        <v>0.33333333333333331</v>
      </c>
      <c r="Z7790" s="9">
        <f>1/COUNTIFS(Таблица1[Customer Name],Таблица1[[#This Row],[Customer Name]],Таблица1[Order-Year-Month],Таблица1[[#This Row],[Order-Year-Month]])</f>
        <v>0.33333333333333331</v>
      </c>
    </row>
    <row r="7791" spans="1:26" x14ac:dyDescent="0.2">
      <c r="A7791" s="6">
        <v>5485</v>
      </c>
      <c r="B7791" s="7">
        <v>38944</v>
      </c>
      <c r="C7791" s="8">
        <f>DATE(2012,12,31)-986</f>
        <v>40288</v>
      </c>
      <c r="D7791" s="8" t="str">
        <f t="shared" si="147"/>
        <v>2010-04 (апрель 2010)</v>
      </c>
      <c r="E7791" s="9" t="s">
        <v>63</v>
      </c>
      <c r="F7791" s="7">
        <v>46</v>
      </c>
      <c r="G7791" s="7">
        <v>24639.8</v>
      </c>
      <c r="H7791" s="7">
        <v>0.01</v>
      </c>
      <c r="I7791" s="9" t="s">
        <v>31</v>
      </c>
      <c r="J7791" s="10">
        <v>8614.7900000000009</v>
      </c>
      <c r="K7791" s="11">
        <v>500.98</v>
      </c>
      <c r="L7791" s="11">
        <v>26</v>
      </c>
      <c r="M7791" s="9" t="s">
        <v>2089</v>
      </c>
      <c r="N7791" s="6" t="s">
        <v>2073</v>
      </c>
      <c r="O7791" s="6" t="s">
        <v>704</v>
      </c>
      <c r="P7791" s="9" t="s">
        <v>25</v>
      </c>
      <c r="Q7791" s="9" t="s">
        <v>49</v>
      </c>
      <c r="R7791" s="9" t="s">
        <v>112</v>
      </c>
      <c r="S7791" s="7" t="s">
        <v>119</v>
      </c>
      <c r="T7791" s="9" t="s">
        <v>36</v>
      </c>
      <c r="U7791" s="7">
        <v>0.6</v>
      </c>
      <c r="V7791" s="12">
        <f>C7791+1</f>
        <v>40289</v>
      </c>
      <c r="W7791">
        <f>IF(D7791=' Pivot Tables'!$A$4,1,0)</f>
        <v>0</v>
      </c>
      <c r="X7791">
        <f>IF(AND(LEFT(D7791,4)+1=LEFT(' Pivot Tables'!$A$4,4)+0,RIGHT(LEFT(D7791,7),2)=RIGHT(LEFT(' Pivot Tables'!$A$4,7),2)),1,0)</f>
        <v>0</v>
      </c>
      <c r="Y7791" s="6">
        <f>1/COUNTIF(Таблица1[Order ID],Таблица1[[#This Row],[Order ID]])</f>
        <v>0.33333333333333331</v>
      </c>
      <c r="Z7791" s="9">
        <f>1/COUNTIFS(Таблица1[Customer Name],Таблица1[[#This Row],[Customer Name]],Таблица1[Order-Year-Month],Таблица1[[#This Row],[Order-Year-Month]])</f>
        <v>0.33333333333333331</v>
      </c>
    </row>
    <row r="7792" spans="1:26" x14ac:dyDescent="0.2">
      <c r="A7792" s="6">
        <v>5486</v>
      </c>
      <c r="B7792" s="7">
        <v>38944</v>
      </c>
      <c r="C7792" s="8">
        <f>DATE(2012,12,31)-986</f>
        <v>40288</v>
      </c>
      <c r="D7792" s="8" t="str">
        <f t="shared" si="147"/>
        <v>2010-04 (апрель 2010)</v>
      </c>
      <c r="E7792" s="9" t="s">
        <v>63</v>
      </c>
      <c r="F7792" s="7">
        <v>32</v>
      </c>
      <c r="G7792" s="7">
        <v>921.3</v>
      </c>
      <c r="H7792" s="7">
        <v>0.09</v>
      </c>
      <c r="I7792" s="9" t="s">
        <v>22</v>
      </c>
      <c r="J7792" s="10">
        <v>353.16</v>
      </c>
      <c r="K7792" s="11">
        <v>29.14</v>
      </c>
      <c r="L7792" s="11">
        <v>4.8600000000000003</v>
      </c>
      <c r="M7792" s="9" t="s">
        <v>2089</v>
      </c>
      <c r="N7792" s="6" t="s">
        <v>2073</v>
      </c>
      <c r="O7792" s="6" t="s">
        <v>704</v>
      </c>
      <c r="P7792" s="9" t="s">
        <v>25</v>
      </c>
      <c r="Q7792" s="9" t="s">
        <v>26</v>
      </c>
      <c r="R7792" s="9" t="s">
        <v>61</v>
      </c>
      <c r="S7792" s="7" t="s">
        <v>397</v>
      </c>
      <c r="T7792" s="9" t="s">
        <v>68</v>
      </c>
      <c r="U7792" s="7">
        <v>0.38</v>
      </c>
      <c r="V7792" s="12">
        <f>C7792+2</f>
        <v>40290</v>
      </c>
      <c r="W7792">
        <f>IF(D7792=' Pivot Tables'!$A$4,1,0)</f>
        <v>0</v>
      </c>
      <c r="X7792">
        <f>IF(AND(LEFT(D7792,4)+1=LEFT(' Pivot Tables'!$A$4,4)+0,RIGHT(LEFT(D7792,7),2)=RIGHT(LEFT(' Pivot Tables'!$A$4,7),2)),1,0)</f>
        <v>0</v>
      </c>
      <c r="Y7792" s="6">
        <f>1/COUNTIF(Таблица1[Order ID],Таблица1[[#This Row],[Order ID]])</f>
        <v>0.33333333333333331</v>
      </c>
      <c r="Z7792" s="9">
        <f>1/COUNTIFS(Таблица1[Customer Name],Таблица1[[#This Row],[Customer Name]],Таблица1[Order-Year-Month],Таблица1[[#This Row],[Order-Year-Month]])</f>
        <v>0.33333333333333331</v>
      </c>
    </row>
    <row r="7793" spans="1:26" x14ac:dyDescent="0.2">
      <c r="A7793" s="6">
        <v>5510</v>
      </c>
      <c r="B7793" s="7">
        <v>39075</v>
      </c>
      <c r="C7793" s="8">
        <f>DATE(2012,12,31)-316</f>
        <v>40958</v>
      </c>
      <c r="D7793" s="8" t="str">
        <f t="shared" si="147"/>
        <v>2012-02 (февраль 2012)</v>
      </c>
      <c r="E7793" s="9" t="s">
        <v>45</v>
      </c>
      <c r="F7793" s="7">
        <v>50</v>
      </c>
      <c r="G7793" s="7">
        <v>512.33000000000004</v>
      </c>
      <c r="H7793" s="7">
        <v>0.01</v>
      </c>
      <c r="I7793" s="9" t="s">
        <v>22</v>
      </c>
      <c r="J7793" s="10">
        <v>250.66</v>
      </c>
      <c r="K7793" s="11">
        <v>10.35</v>
      </c>
      <c r="L7793" s="11">
        <v>0.99</v>
      </c>
      <c r="M7793" s="9" t="s">
        <v>1815</v>
      </c>
      <c r="N7793" s="6" t="s">
        <v>2073</v>
      </c>
      <c r="O7793" s="6" t="s">
        <v>704</v>
      </c>
      <c r="P7793" s="9" t="s">
        <v>41</v>
      </c>
      <c r="Q7793" s="9" t="s">
        <v>26</v>
      </c>
      <c r="R7793" s="9" t="s">
        <v>88</v>
      </c>
      <c r="S7793" s="7" t="s">
        <v>1360</v>
      </c>
      <c r="T7793" s="9" t="s">
        <v>39</v>
      </c>
      <c r="U7793" s="7">
        <v>0.37</v>
      </c>
      <c r="V7793" s="12">
        <f>C7793+1</f>
        <v>40959</v>
      </c>
      <c r="W7793">
        <f>IF(D7793=' Pivot Tables'!$A$4,1,0)</f>
        <v>0</v>
      </c>
      <c r="X7793">
        <f>IF(AND(LEFT(D7793,4)+1=LEFT(' Pivot Tables'!$A$4,4)+0,RIGHT(LEFT(D7793,7),2)=RIGHT(LEFT(' Pivot Tables'!$A$4,7),2)),1,0)</f>
        <v>0</v>
      </c>
      <c r="Y7793" s="6">
        <f>1/COUNTIF(Таблица1[Order ID],Таблица1[[#This Row],[Order ID]])</f>
        <v>1</v>
      </c>
      <c r="Z7793" s="9">
        <f>1/COUNTIFS(Таблица1[Customer Name],Таблица1[[#This Row],[Customer Name]],Таблица1[Order-Year-Month],Таблица1[[#This Row],[Order-Year-Month]])</f>
        <v>1</v>
      </c>
    </row>
    <row r="7794" spans="1:26" x14ac:dyDescent="0.2">
      <c r="A7794" s="6">
        <v>5566</v>
      </c>
      <c r="B7794" s="7">
        <v>39425</v>
      </c>
      <c r="C7794" s="8">
        <f>DATE(2012,12,31)-137</f>
        <v>41137</v>
      </c>
      <c r="D7794" s="8" t="str">
        <f t="shared" si="147"/>
        <v>2012-08 (август 2012)</v>
      </c>
      <c r="E7794" s="9" t="s">
        <v>78</v>
      </c>
      <c r="F7794" s="7">
        <v>23</v>
      </c>
      <c r="G7794" s="7">
        <v>1267.4605000000001</v>
      </c>
      <c r="H7794" s="7">
        <v>0.05</v>
      </c>
      <c r="I7794" s="9" t="s">
        <v>22</v>
      </c>
      <c r="J7794" s="10">
        <v>128.79</v>
      </c>
      <c r="K7794" s="11">
        <v>65.989999999999995</v>
      </c>
      <c r="L7794" s="11">
        <v>5.99</v>
      </c>
      <c r="M7794" s="9" t="s">
        <v>2089</v>
      </c>
      <c r="N7794" s="6" t="s">
        <v>2073</v>
      </c>
      <c r="O7794" s="6" t="s">
        <v>704</v>
      </c>
      <c r="P7794" s="9" t="s">
        <v>25</v>
      </c>
      <c r="Q7794" s="9" t="s">
        <v>42</v>
      </c>
      <c r="R7794" s="9" t="s">
        <v>43</v>
      </c>
      <c r="S7794" s="7" t="s">
        <v>560</v>
      </c>
      <c r="T7794" s="9" t="s">
        <v>39</v>
      </c>
      <c r="U7794" s="7">
        <v>0.57999999999999996</v>
      </c>
      <c r="V7794" s="12">
        <f>C7794+2</f>
        <v>41139</v>
      </c>
      <c r="W7794">
        <f>IF(D7794=' Pivot Tables'!$A$4,1,0)</f>
        <v>0</v>
      </c>
      <c r="X7794">
        <f>IF(AND(LEFT(D7794,4)+1=LEFT(' Pivot Tables'!$A$4,4)+0,RIGHT(LEFT(D7794,7),2)=RIGHT(LEFT(' Pivot Tables'!$A$4,7),2)),1,0)</f>
        <v>0</v>
      </c>
      <c r="Y7794" s="6">
        <f>1/COUNTIF(Таблица1[Order ID],Таблица1[[#This Row],[Order ID]])</f>
        <v>1</v>
      </c>
      <c r="Z7794" s="9">
        <f>1/COUNTIFS(Таблица1[Customer Name],Таблица1[[#This Row],[Customer Name]],Таблица1[Order-Year-Month],Таблица1[[#This Row],[Order-Year-Month]])</f>
        <v>1</v>
      </c>
    </row>
    <row r="7795" spans="1:26" x14ac:dyDescent="0.2">
      <c r="A7795" s="6">
        <v>5911</v>
      </c>
      <c r="B7795" s="7">
        <v>41921</v>
      </c>
      <c r="C7795" s="8">
        <f>DATE(2012,12,31)-312</f>
        <v>40962</v>
      </c>
      <c r="D7795" s="8" t="str">
        <f t="shared" si="147"/>
        <v>2012-02 (февраль 2012)</v>
      </c>
      <c r="E7795" s="9" t="s">
        <v>63</v>
      </c>
      <c r="F7795" s="7">
        <v>32</v>
      </c>
      <c r="G7795" s="7">
        <v>16313.51</v>
      </c>
      <c r="H7795" s="7">
        <v>0.04</v>
      </c>
      <c r="I7795" s="9" t="s">
        <v>31</v>
      </c>
      <c r="J7795" s="10">
        <v>4860.7299999999996</v>
      </c>
      <c r="K7795" s="11">
        <v>500.98</v>
      </c>
      <c r="L7795" s="11">
        <v>26</v>
      </c>
      <c r="M7795" s="9" t="s">
        <v>2090</v>
      </c>
      <c r="N7795" s="6" t="s">
        <v>2073</v>
      </c>
      <c r="O7795" s="6" t="s">
        <v>704</v>
      </c>
      <c r="P7795" s="9" t="s">
        <v>33</v>
      </c>
      <c r="Q7795" s="9" t="s">
        <v>49</v>
      </c>
      <c r="R7795" s="9" t="s">
        <v>112</v>
      </c>
      <c r="S7795" s="7" t="s">
        <v>119</v>
      </c>
      <c r="T7795" s="9" t="s">
        <v>36</v>
      </c>
      <c r="U7795" s="7">
        <v>0.6</v>
      </c>
      <c r="V7795" s="12">
        <f>C7795+3</f>
        <v>40965</v>
      </c>
      <c r="W7795">
        <f>IF(D7795=' Pivot Tables'!$A$4,1,0)</f>
        <v>0</v>
      </c>
      <c r="X7795">
        <f>IF(AND(LEFT(D7795,4)+1=LEFT(' Pivot Tables'!$A$4,4)+0,RIGHT(LEFT(D7795,7),2)=RIGHT(LEFT(' Pivot Tables'!$A$4,7),2)),1,0)</f>
        <v>0</v>
      </c>
      <c r="Y7795" s="6">
        <f>1/COUNTIF(Таблица1[Order ID],Таблица1[[#This Row],[Order ID]])</f>
        <v>0.5</v>
      </c>
      <c r="Z7795" s="9">
        <f>1/COUNTIFS(Таблица1[Customer Name],Таблица1[[#This Row],[Customer Name]],Таблица1[Order-Year-Month],Таблица1[[#This Row],[Order-Year-Month]])</f>
        <v>0.33333333333333331</v>
      </c>
    </row>
    <row r="7796" spans="1:26" x14ac:dyDescent="0.2">
      <c r="A7796" s="6">
        <v>5912</v>
      </c>
      <c r="B7796" s="7">
        <v>41921</v>
      </c>
      <c r="C7796" s="8">
        <f>DATE(2012,12,31)-312</f>
        <v>40962</v>
      </c>
      <c r="D7796" s="8" t="str">
        <f t="shared" si="147"/>
        <v>2012-02 (февраль 2012)</v>
      </c>
      <c r="E7796" s="9" t="s">
        <v>63</v>
      </c>
      <c r="F7796" s="7">
        <v>29</v>
      </c>
      <c r="G7796" s="7">
        <v>337.38</v>
      </c>
      <c r="H7796" s="7">
        <v>0.04</v>
      </c>
      <c r="I7796" s="9" t="s">
        <v>56</v>
      </c>
      <c r="J7796" s="10">
        <v>-5.45</v>
      </c>
      <c r="K7796" s="11">
        <v>11.58</v>
      </c>
      <c r="L7796" s="11">
        <v>6.97</v>
      </c>
      <c r="M7796" s="9" t="s">
        <v>2090</v>
      </c>
      <c r="N7796" s="6" t="s">
        <v>2073</v>
      </c>
      <c r="O7796" s="6" t="s">
        <v>704</v>
      </c>
      <c r="P7796" s="9" t="s">
        <v>33</v>
      </c>
      <c r="Q7796" s="9" t="s">
        <v>26</v>
      </c>
      <c r="R7796" s="9" t="s">
        <v>76</v>
      </c>
      <c r="S7796" s="7" t="s">
        <v>304</v>
      </c>
      <c r="T7796" s="9" t="s">
        <v>39</v>
      </c>
      <c r="U7796" s="7">
        <v>0.35</v>
      </c>
      <c r="V7796" s="12">
        <f>C7796+1</f>
        <v>40963</v>
      </c>
      <c r="W7796">
        <f>IF(D7796=' Pivot Tables'!$A$4,1,0)</f>
        <v>0</v>
      </c>
      <c r="X7796">
        <f>IF(AND(LEFT(D7796,4)+1=LEFT(' Pivot Tables'!$A$4,4)+0,RIGHT(LEFT(D7796,7),2)=RIGHT(LEFT(' Pivot Tables'!$A$4,7),2)),1,0)</f>
        <v>0</v>
      </c>
      <c r="Y7796" s="6">
        <f>1/COUNTIF(Таблица1[Order ID],Таблица1[[#This Row],[Order ID]])</f>
        <v>0.5</v>
      </c>
      <c r="Z7796" s="9">
        <f>1/COUNTIFS(Таблица1[Customer Name],Таблица1[[#This Row],[Customer Name]],Таблица1[Order-Year-Month],Таблица1[[#This Row],[Order-Year-Month]])</f>
        <v>0.33333333333333331</v>
      </c>
    </row>
    <row r="7797" spans="1:26" x14ac:dyDescent="0.2">
      <c r="A7797" s="6">
        <v>6060</v>
      </c>
      <c r="B7797" s="7">
        <v>42945</v>
      </c>
      <c r="C7797" s="8">
        <f>DATE(2012,12,31)-2</f>
        <v>41272</v>
      </c>
      <c r="D7797" s="8" t="str">
        <f t="shared" si="147"/>
        <v>2012-12 (декабрь 2012)</v>
      </c>
      <c r="E7797" s="9" t="s">
        <v>45</v>
      </c>
      <c r="F7797" s="7">
        <v>45</v>
      </c>
      <c r="G7797" s="7">
        <v>178.7</v>
      </c>
      <c r="H7797" s="7">
        <v>7.0000000000000007E-2</v>
      </c>
      <c r="I7797" s="9" t="s">
        <v>22</v>
      </c>
      <c r="J7797" s="10">
        <v>-164.92</v>
      </c>
      <c r="K7797" s="11">
        <v>3.95</v>
      </c>
      <c r="L7797" s="11">
        <v>5.13</v>
      </c>
      <c r="M7797" s="9" t="s">
        <v>1815</v>
      </c>
      <c r="N7797" s="6" t="s">
        <v>2073</v>
      </c>
      <c r="O7797" s="6" t="s">
        <v>704</v>
      </c>
      <c r="P7797" s="9" t="s">
        <v>41</v>
      </c>
      <c r="Q7797" s="9" t="s">
        <v>26</v>
      </c>
      <c r="R7797" s="9" t="s">
        <v>34</v>
      </c>
      <c r="S7797" s="7" t="s">
        <v>1029</v>
      </c>
      <c r="T7797" s="9" t="s">
        <v>39</v>
      </c>
      <c r="U7797" s="7">
        <v>0.59</v>
      </c>
      <c r="V7797" s="12">
        <f>C7797+0</f>
        <v>41272</v>
      </c>
      <c r="W7797">
        <f>IF(D7797=' Pivot Tables'!$A$4,1,0)</f>
        <v>0</v>
      </c>
      <c r="X7797">
        <f>IF(AND(LEFT(D7797,4)+1=LEFT(' Pivot Tables'!$A$4,4)+0,RIGHT(LEFT(D7797,7),2)=RIGHT(LEFT(' Pivot Tables'!$A$4,7),2)),1,0)</f>
        <v>0</v>
      </c>
      <c r="Y7797" s="6">
        <f>1/COUNTIF(Таблица1[Order ID],Таблица1[[#This Row],[Order ID]])</f>
        <v>1</v>
      </c>
      <c r="Z7797" s="9">
        <f>1/COUNTIFS(Таблица1[Customer Name],Таблица1[[#This Row],[Customer Name]],Таблица1[Order-Year-Month],Таблица1[[#This Row],[Order-Year-Month]])</f>
        <v>1</v>
      </c>
    </row>
    <row r="7798" spans="1:26" x14ac:dyDescent="0.2">
      <c r="A7798" s="6">
        <v>6072</v>
      </c>
      <c r="B7798" s="7">
        <v>43013</v>
      </c>
      <c r="C7798" s="8">
        <f>DATE(2012,12,31)-619</f>
        <v>40655</v>
      </c>
      <c r="D7798" s="8" t="str">
        <f t="shared" si="147"/>
        <v>2011-04 (апрель 2011)</v>
      </c>
      <c r="E7798" s="9" t="s">
        <v>21</v>
      </c>
      <c r="F7798" s="7">
        <v>50</v>
      </c>
      <c r="G7798" s="7">
        <v>2437.67</v>
      </c>
      <c r="H7798" s="7">
        <v>0.08</v>
      </c>
      <c r="I7798" s="9" t="s">
        <v>22</v>
      </c>
      <c r="J7798" s="10">
        <v>25.68</v>
      </c>
      <c r="K7798" s="11">
        <v>50.98</v>
      </c>
      <c r="L7798" s="11">
        <v>22.24</v>
      </c>
      <c r="M7798" s="9" t="s">
        <v>2066</v>
      </c>
      <c r="N7798" s="6" t="s">
        <v>2073</v>
      </c>
      <c r="O7798" s="6" t="s">
        <v>704</v>
      </c>
      <c r="P7798" s="9" t="s">
        <v>60</v>
      </c>
      <c r="Q7798" s="9" t="s">
        <v>49</v>
      </c>
      <c r="R7798" s="9" t="s">
        <v>50</v>
      </c>
      <c r="S7798" s="7" t="s">
        <v>1292</v>
      </c>
      <c r="T7798" s="9" t="s">
        <v>29</v>
      </c>
      <c r="U7798" s="7">
        <v>0.55000000000000004</v>
      </c>
      <c r="V7798" s="12">
        <f>C7798+4</f>
        <v>40659</v>
      </c>
      <c r="W7798">
        <f>IF(D7798=' Pivot Tables'!$A$4,1,0)</f>
        <v>0</v>
      </c>
      <c r="X7798">
        <f>IF(AND(LEFT(D7798,4)+1=LEFT(' Pivot Tables'!$A$4,4)+0,RIGHT(LEFT(D7798,7),2)=RIGHT(LEFT(' Pivot Tables'!$A$4,7),2)),1,0)</f>
        <v>0</v>
      </c>
      <c r="Y7798" s="6">
        <f>1/COUNTIF(Таблица1[Order ID],Таблица1[[#This Row],[Order ID]])</f>
        <v>0.5</v>
      </c>
      <c r="Z7798" s="9">
        <f>1/COUNTIFS(Таблица1[Customer Name],Таблица1[[#This Row],[Customer Name]],Таблица1[Order-Year-Month],Таблица1[[#This Row],[Order-Year-Month]])</f>
        <v>0.5</v>
      </c>
    </row>
    <row r="7799" spans="1:26" x14ac:dyDescent="0.2">
      <c r="A7799" s="6">
        <v>6081</v>
      </c>
      <c r="B7799" s="7">
        <v>43104</v>
      </c>
      <c r="C7799" s="8">
        <f>DATE(2012,12,31)-64</f>
        <v>41210</v>
      </c>
      <c r="D7799" s="8" t="str">
        <f t="shared" si="147"/>
        <v>2012-10 (октябрь 2012)</v>
      </c>
      <c r="E7799" s="9" t="s">
        <v>30</v>
      </c>
      <c r="F7799" s="7">
        <v>50</v>
      </c>
      <c r="G7799" s="7">
        <v>4648.5200000000004</v>
      </c>
      <c r="H7799" s="7">
        <v>0.1</v>
      </c>
      <c r="I7799" s="9" t="s">
        <v>31</v>
      </c>
      <c r="J7799" s="10">
        <v>1676.7</v>
      </c>
      <c r="K7799" s="11">
        <v>100.97</v>
      </c>
      <c r="L7799" s="11">
        <v>14</v>
      </c>
      <c r="M7799" s="9" t="s">
        <v>2091</v>
      </c>
      <c r="N7799" s="6" t="s">
        <v>2073</v>
      </c>
      <c r="O7799" s="6" t="s">
        <v>704</v>
      </c>
      <c r="P7799" s="9" t="s">
        <v>25</v>
      </c>
      <c r="Q7799" s="9" t="s">
        <v>42</v>
      </c>
      <c r="R7799" s="9" t="s">
        <v>210</v>
      </c>
      <c r="S7799" s="7" t="s">
        <v>911</v>
      </c>
      <c r="T7799" s="9" t="s">
        <v>36</v>
      </c>
      <c r="U7799" s="7">
        <v>0.37</v>
      </c>
      <c r="V7799" s="12">
        <f>C7799+3</f>
        <v>41213</v>
      </c>
      <c r="W7799">
        <f>IF(D7799=' Pivot Tables'!$A$4,1,0)</f>
        <v>0</v>
      </c>
      <c r="X7799">
        <f>IF(AND(LEFT(D7799,4)+1=LEFT(' Pivot Tables'!$A$4,4)+0,RIGHT(LEFT(D7799,7),2)=RIGHT(LEFT(' Pivot Tables'!$A$4,7),2)),1,0)</f>
        <v>0</v>
      </c>
      <c r="Y7799" s="6">
        <f>1/COUNTIF(Таблица1[Order ID],Таблица1[[#This Row],[Order ID]])</f>
        <v>1</v>
      </c>
      <c r="Z7799" s="9">
        <f>1/COUNTIFS(Таблица1[Customer Name],Таблица1[[#This Row],[Customer Name]],Таблица1[Order-Year-Month],Таблица1[[#This Row],[Order-Year-Month]])</f>
        <v>0.25</v>
      </c>
    </row>
    <row r="7800" spans="1:26" x14ac:dyDescent="0.2">
      <c r="A7800" s="6">
        <v>6113</v>
      </c>
      <c r="B7800" s="7">
        <v>43301</v>
      </c>
      <c r="C7800" s="8">
        <f>DATE(2012,12,31)-1228</f>
        <v>40046</v>
      </c>
      <c r="D7800" s="8" t="str">
        <f t="shared" si="147"/>
        <v>2009-08 (август 2009)</v>
      </c>
      <c r="E7800" s="9" t="s">
        <v>78</v>
      </c>
      <c r="F7800" s="7">
        <v>33</v>
      </c>
      <c r="G7800" s="7">
        <v>3537.84</v>
      </c>
      <c r="H7800" s="7">
        <v>0</v>
      </c>
      <c r="I7800" s="9" t="s">
        <v>31</v>
      </c>
      <c r="J7800" s="10">
        <v>-80.86</v>
      </c>
      <c r="K7800" s="11">
        <v>100.89</v>
      </c>
      <c r="L7800" s="11">
        <v>42</v>
      </c>
      <c r="M7800" s="9" t="s">
        <v>2091</v>
      </c>
      <c r="N7800" s="6" t="s">
        <v>2073</v>
      </c>
      <c r="O7800" s="6" t="s">
        <v>704</v>
      </c>
      <c r="P7800" s="9" t="s">
        <v>25</v>
      </c>
      <c r="Q7800" s="9" t="s">
        <v>49</v>
      </c>
      <c r="R7800" s="9" t="s">
        <v>112</v>
      </c>
      <c r="S7800" s="7" t="s">
        <v>694</v>
      </c>
      <c r="T7800" s="9" t="s">
        <v>36</v>
      </c>
      <c r="U7800" s="7">
        <v>0.61</v>
      </c>
      <c r="V7800" s="12">
        <f>C7800+1</f>
        <v>40047</v>
      </c>
      <c r="W7800">
        <f>IF(D7800=' Pivot Tables'!$A$4,1,0)</f>
        <v>0</v>
      </c>
      <c r="X7800">
        <f>IF(AND(LEFT(D7800,4)+1=LEFT(' Pivot Tables'!$A$4,4)+0,RIGHT(LEFT(D7800,7),2)=RIGHT(LEFT(' Pivot Tables'!$A$4,7),2)),1,0)</f>
        <v>0</v>
      </c>
      <c r="Y7800" s="6">
        <f>1/COUNTIF(Таблица1[Order ID],Таблица1[[#This Row],[Order ID]])</f>
        <v>0.5</v>
      </c>
      <c r="Z7800" s="9">
        <f>1/COUNTIFS(Таблица1[Customer Name],Таблица1[[#This Row],[Customer Name]],Таблица1[Order-Year-Month],Таблица1[[#This Row],[Order-Year-Month]])</f>
        <v>0.5</v>
      </c>
    </row>
    <row r="7801" spans="1:26" x14ac:dyDescent="0.2">
      <c r="A7801" s="6">
        <v>6114</v>
      </c>
      <c r="B7801" s="7">
        <v>43301</v>
      </c>
      <c r="C7801" s="8">
        <f>DATE(2012,12,31)-1228</f>
        <v>40046</v>
      </c>
      <c r="D7801" s="8" t="str">
        <f t="shared" si="147"/>
        <v>2009-08 (август 2009)</v>
      </c>
      <c r="E7801" s="9" t="s">
        <v>78</v>
      </c>
      <c r="F7801" s="7">
        <v>43</v>
      </c>
      <c r="G7801" s="7">
        <v>2221.1999999999998</v>
      </c>
      <c r="H7801" s="7">
        <v>0.01</v>
      </c>
      <c r="I7801" s="9" t="s">
        <v>22</v>
      </c>
      <c r="J7801" s="10">
        <v>-1127.22</v>
      </c>
      <c r="K7801" s="11">
        <v>48.91</v>
      </c>
      <c r="L7801" s="11">
        <v>35</v>
      </c>
      <c r="M7801" s="9" t="s">
        <v>2091</v>
      </c>
      <c r="N7801" s="6" t="s">
        <v>2073</v>
      </c>
      <c r="O7801" s="6" t="s">
        <v>704</v>
      </c>
      <c r="P7801" s="9" t="s">
        <v>25</v>
      </c>
      <c r="Q7801" s="9" t="s">
        <v>26</v>
      </c>
      <c r="R7801" s="9" t="s">
        <v>27</v>
      </c>
      <c r="S7801" s="7" t="s">
        <v>418</v>
      </c>
      <c r="T7801" s="9" t="s">
        <v>29</v>
      </c>
      <c r="U7801" s="7">
        <v>0.83</v>
      </c>
      <c r="V7801" s="12">
        <f>C7801+2</f>
        <v>40048</v>
      </c>
      <c r="W7801">
        <f>IF(D7801=' Pivot Tables'!$A$4,1,0)</f>
        <v>0</v>
      </c>
      <c r="X7801">
        <f>IF(AND(LEFT(D7801,4)+1=LEFT(' Pivot Tables'!$A$4,4)+0,RIGHT(LEFT(D7801,7),2)=RIGHT(LEFT(' Pivot Tables'!$A$4,7),2)),1,0)</f>
        <v>0</v>
      </c>
      <c r="Y7801" s="6">
        <f>1/COUNTIF(Таблица1[Order ID],Таблица1[[#This Row],[Order ID]])</f>
        <v>0.5</v>
      </c>
      <c r="Z7801" s="9">
        <f>1/COUNTIFS(Таблица1[Customer Name],Таблица1[[#This Row],[Customer Name]],Таблица1[Order-Year-Month],Таблица1[[#This Row],[Order-Year-Month]])</f>
        <v>0.5</v>
      </c>
    </row>
    <row r="7802" spans="1:26" x14ac:dyDescent="0.2">
      <c r="A7802" s="6">
        <v>6337</v>
      </c>
      <c r="B7802" s="7">
        <v>44935</v>
      </c>
      <c r="C7802" s="8">
        <f>DATE(2012,12,31)-775</f>
        <v>40499</v>
      </c>
      <c r="D7802" s="8" t="str">
        <f t="shared" si="147"/>
        <v>2010-11 (ноябрь 2010)</v>
      </c>
      <c r="E7802" s="9" t="s">
        <v>30</v>
      </c>
      <c r="F7802" s="7">
        <v>39</v>
      </c>
      <c r="G7802" s="7">
        <v>9362.73</v>
      </c>
      <c r="H7802" s="7">
        <v>0</v>
      </c>
      <c r="I7802" s="9" t="s">
        <v>22</v>
      </c>
      <c r="J7802" s="10">
        <v>2766.29</v>
      </c>
      <c r="K7802" s="11">
        <v>232.58</v>
      </c>
      <c r="L7802" s="11">
        <v>19.989999999999998</v>
      </c>
      <c r="M7802" s="9" t="s">
        <v>1718</v>
      </c>
      <c r="N7802" s="6" t="s">
        <v>2073</v>
      </c>
      <c r="O7802" s="6" t="s">
        <v>704</v>
      </c>
      <c r="P7802" s="9" t="s">
        <v>33</v>
      </c>
      <c r="Q7802" s="9" t="s">
        <v>26</v>
      </c>
      <c r="R7802" s="9" t="s">
        <v>34</v>
      </c>
      <c r="S7802" s="7" t="s">
        <v>1373</v>
      </c>
      <c r="T7802" s="9" t="s">
        <v>39</v>
      </c>
      <c r="U7802" s="7">
        <v>0.59</v>
      </c>
      <c r="V7802" s="12">
        <f>C7802+1</f>
        <v>40500</v>
      </c>
      <c r="W7802">
        <f>IF(D7802=' Pivot Tables'!$A$4,1,0)</f>
        <v>0</v>
      </c>
      <c r="X7802">
        <f>IF(AND(LEFT(D7802,4)+1=LEFT(' Pivot Tables'!$A$4,4)+0,RIGHT(LEFT(D7802,7),2)=RIGHT(LEFT(' Pivot Tables'!$A$4,7),2)),1,0)</f>
        <v>0</v>
      </c>
      <c r="Y7802" s="6">
        <f>1/COUNTIF(Таблица1[Order ID],Таблица1[[#This Row],[Order ID]])</f>
        <v>0.33333333333333331</v>
      </c>
      <c r="Z7802" s="9">
        <f>1/COUNTIFS(Таблица1[Customer Name],Таблица1[[#This Row],[Customer Name]],Таблица1[Order-Year-Month],Таблица1[[#This Row],[Order-Year-Month]])</f>
        <v>0.33333333333333331</v>
      </c>
    </row>
    <row r="7803" spans="1:26" x14ac:dyDescent="0.2">
      <c r="A7803" s="6">
        <v>6338</v>
      </c>
      <c r="B7803" s="7">
        <v>44935</v>
      </c>
      <c r="C7803" s="8">
        <f>DATE(2012,12,31)-775</f>
        <v>40499</v>
      </c>
      <c r="D7803" s="8" t="str">
        <f t="shared" si="147"/>
        <v>2010-11 (ноябрь 2010)</v>
      </c>
      <c r="E7803" s="9" t="s">
        <v>30</v>
      </c>
      <c r="F7803" s="7">
        <v>37</v>
      </c>
      <c r="G7803" s="7">
        <v>125.33</v>
      </c>
      <c r="H7803" s="7">
        <v>0.06</v>
      </c>
      <c r="I7803" s="9" t="s">
        <v>56</v>
      </c>
      <c r="J7803" s="10">
        <v>58.5</v>
      </c>
      <c r="K7803" s="11">
        <v>3.08</v>
      </c>
      <c r="L7803" s="11">
        <v>0.5</v>
      </c>
      <c r="M7803" s="9" t="s">
        <v>1718</v>
      </c>
      <c r="N7803" s="6" t="s">
        <v>2073</v>
      </c>
      <c r="O7803" s="6" t="s">
        <v>704</v>
      </c>
      <c r="P7803" s="9" t="s">
        <v>33</v>
      </c>
      <c r="Q7803" s="9" t="s">
        <v>26</v>
      </c>
      <c r="R7803" s="9" t="s">
        <v>88</v>
      </c>
      <c r="S7803" s="7" t="s">
        <v>544</v>
      </c>
      <c r="T7803" s="9" t="s">
        <v>39</v>
      </c>
      <c r="U7803" s="7">
        <v>0.37</v>
      </c>
      <c r="V7803" s="12">
        <f>C7803+1</f>
        <v>40500</v>
      </c>
      <c r="W7803">
        <f>IF(D7803=' Pivot Tables'!$A$4,1,0)</f>
        <v>0</v>
      </c>
      <c r="X7803">
        <f>IF(AND(LEFT(D7803,4)+1=LEFT(' Pivot Tables'!$A$4,4)+0,RIGHT(LEFT(D7803,7),2)=RIGHT(LEFT(' Pivot Tables'!$A$4,7),2)),1,0)</f>
        <v>0</v>
      </c>
      <c r="Y7803" s="6">
        <f>1/COUNTIF(Таблица1[Order ID],Таблица1[[#This Row],[Order ID]])</f>
        <v>0.33333333333333331</v>
      </c>
      <c r="Z7803" s="9">
        <f>1/COUNTIFS(Таблица1[Customer Name],Таблица1[[#This Row],[Customer Name]],Таблица1[Order-Year-Month],Таблица1[[#This Row],[Order-Year-Month]])</f>
        <v>0.33333333333333331</v>
      </c>
    </row>
    <row r="7804" spans="1:26" x14ac:dyDescent="0.2">
      <c r="A7804" s="6">
        <v>6348</v>
      </c>
      <c r="B7804" s="7">
        <v>44995</v>
      </c>
      <c r="C7804" s="8">
        <f>DATE(2012,12,31)-1243</f>
        <v>40031</v>
      </c>
      <c r="D7804" s="8" t="str">
        <f t="shared" si="147"/>
        <v>2009-08 (август 2009)</v>
      </c>
      <c r="E7804" s="9" t="s">
        <v>30</v>
      </c>
      <c r="F7804" s="7">
        <v>46</v>
      </c>
      <c r="G7804" s="7">
        <v>1219.2485000000001</v>
      </c>
      <c r="H7804" s="7">
        <v>0.01</v>
      </c>
      <c r="I7804" s="9" t="s">
        <v>22</v>
      </c>
      <c r="J7804" s="10">
        <v>132.786</v>
      </c>
      <c r="K7804" s="11">
        <v>28.99</v>
      </c>
      <c r="L7804" s="11">
        <v>8.59</v>
      </c>
      <c r="M7804" s="9" t="s">
        <v>2092</v>
      </c>
      <c r="N7804" s="6" t="s">
        <v>2073</v>
      </c>
      <c r="O7804" s="6" t="s">
        <v>704</v>
      </c>
      <c r="P7804" s="9" t="s">
        <v>60</v>
      </c>
      <c r="Q7804" s="9" t="s">
        <v>42</v>
      </c>
      <c r="R7804" s="9" t="s">
        <v>43</v>
      </c>
      <c r="S7804" s="7" t="s">
        <v>508</v>
      </c>
      <c r="T7804" s="9" t="s">
        <v>48</v>
      </c>
      <c r="U7804" s="7">
        <v>0.56000000000000005</v>
      </c>
      <c r="V7804" s="12">
        <f>C7804+1</f>
        <v>40032</v>
      </c>
      <c r="W7804">
        <f>IF(D7804=' Pivot Tables'!$A$4,1,0)</f>
        <v>0</v>
      </c>
      <c r="X7804">
        <f>IF(AND(LEFT(D7804,4)+1=LEFT(' Pivot Tables'!$A$4,4)+0,RIGHT(LEFT(D7804,7),2)=RIGHT(LEFT(' Pivot Tables'!$A$4,7),2)),1,0)</f>
        <v>0</v>
      </c>
      <c r="Y7804" s="6">
        <f>1/COUNTIF(Таблица1[Order ID],Таблица1[[#This Row],[Order ID]])</f>
        <v>1</v>
      </c>
      <c r="Z7804" s="9">
        <f>1/COUNTIFS(Таблица1[Customer Name],Таблица1[[#This Row],[Customer Name]],Таблица1[Order-Year-Month],Таблица1[[#This Row],[Order-Year-Month]])</f>
        <v>1</v>
      </c>
    </row>
    <row r="7805" spans="1:26" x14ac:dyDescent="0.2">
      <c r="A7805" s="6">
        <v>6460</v>
      </c>
      <c r="B7805" s="7">
        <v>45989</v>
      </c>
      <c r="C7805" s="8">
        <f>DATE(2012,12,31)-861</f>
        <v>40413</v>
      </c>
      <c r="D7805" s="8" t="str">
        <f t="shared" si="147"/>
        <v>2010-08 (август 2010)</v>
      </c>
      <c r="E7805" s="9" t="s">
        <v>30</v>
      </c>
      <c r="F7805" s="7">
        <v>26</v>
      </c>
      <c r="G7805" s="7">
        <v>148.12</v>
      </c>
      <c r="H7805" s="7">
        <v>0.08</v>
      </c>
      <c r="I7805" s="9" t="s">
        <v>22</v>
      </c>
      <c r="J7805" s="10">
        <v>-51.62</v>
      </c>
      <c r="K7805" s="11">
        <v>5.58</v>
      </c>
      <c r="L7805" s="11">
        <v>5.3</v>
      </c>
      <c r="M7805" s="9" t="s">
        <v>2091</v>
      </c>
      <c r="N7805" s="6" t="s">
        <v>2073</v>
      </c>
      <c r="O7805" s="6" t="s">
        <v>704</v>
      </c>
      <c r="P7805" s="9" t="s">
        <v>25</v>
      </c>
      <c r="Q7805" s="9" t="s">
        <v>26</v>
      </c>
      <c r="R7805" s="9" t="s">
        <v>76</v>
      </c>
      <c r="S7805" s="7" t="s">
        <v>881</v>
      </c>
      <c r="T7805" s="9" t="s">
        <v>39</v>
      </c>
      <c r="U7805" s="7">
        <v>0.35</v>
      </c>
      <c r="V7805" s="12">
        <f>C7805+0</f>
        <v>40413</v>
      </c>
      <c r="W7805">
        <f>IF(D7805=' Pivot Tables'!$A$4,1,0)</f>
        <v>0</v>
      </c>
      <c r="X7805">
        <f>IF(AND(LEFT(D7805,4)+1=LEFT(' Pivot Tables'!$A$4,4)+0,RIGHT(LEFT(D7805,7),2)=RIGHT(LEFT(' Pivot Tables'!$A$4,7),2)),1,0)</f>
        <v>0</v>
      </c>
      <c r="Y7805" s="6">
        <f>1/COUNTIF(Таблица1[Order ID],Таблица1[[#This Row],[Order ID]])</f>
        <v>1</v>
      </c>
      <c r="Z7805" s="9">
        <f>1/COUNTIFS(Таблица1[Customer Name],Таблица1[[#This Row],[Customer Name]],Таблица1[Order-Year-Month],Таблица1[[#This Row],[Order-Year-Month]])</f>
        <v>1</v>
      </c>
    </row>
    <row r="7806" spans="1:26" x14ac:dyDescent="0.2">
      <c r="A7806" s="6">
        <v>6963</v>
      </c>
      <c r="B7806" s="7">
        <v>49767</v>
      </c>
      <c r="C7806" s="8">
        <f>DATE(2012,12,31)-784</f>
        <v>40490</v>
      </c>
      <c r="D7806" s="8" t="str">
        <f t="shared" si="147"/>
        <v>2010-11 (ноябрь 2010)</v>
      </c>
      <c r="E7806" s="9" t="s">
        <v>78</v>
      </c>
      <c r="F7806" s="7">
        <v>43</v>
      </c>
      <c r="G7806" s="7">
        <v>634.38</v>
      </c>
      <c r="H7806" s="7">
        <v>0.09</v>
      </c>
      <c r="I7806" s="9" t="s">
        <v>22</v>
      </c>
      <c r="J7806" s="10">
        <v>272.39999999999998</v>
      </c>
      <c r="K7806" s="11">
        <v>15.74</v>
      </c>
      <c r="L7806" s="11">
        <v>1.39</v>
      </c>
      <c r="M7806" s="9" t="s">
        <v>914</v>
      </c>
      <c r="N7806" s="6" t="s">
        <v>2073</v>
      </c>
      <c r="O7806" s="6" t="s">
        <v>704</v>
      </c>
      <c r="P7806" s="9" t="s">
        <v>25</v>
      </c>
      <c r="Q7806" s="9" t="s">
        <v>26</v>
      </c>
      <c r="R7806" s="9" t="s">
        <v>76</v>
      </c>
      <c r="S7806" s="7" t="s">
        <v>77</v>
      </c>
      <c r="T7806" s="9" t="s">
        <v>39</v>
      </c>
      <c r="U7806" s="7">
        <v>0.4</v>
      </c>
      <c r="V7806" s="12">
        <f>C7806+0</f>
        <v>40490</v>
      </c>
      <c r="W7806">
        <f>IF(D7806=' Pivot Tables'!$A$4,1,0)</f>
        <v>0</v>
      </c>
      <c r="X7806">
        <f>IF(AND(LEFT(D7806,4)+1=LEFT(' Pivot Tables'!$A$4,4)+0,RIGHT(LEFT(D7806,7),2)=RIGHT(LEFT(' Pivot Tables'!$A$4,7),2)),1,0)</f>
        <v>0</v>
      </c>
      <c r="Y7806" s="6">
        <f>1/COUNTIF(Таблица1[Order ID],Таблица1[[#This Row],[Order ID]])</f>
        <v>0.33333333333333331</v>
      </c>
      <c r="Z7806" s="9">
        <f>1/COUNTIFS(Таблица1[Customer Name],Таблица1[[#This Row],[Customer Name]],Таблица1[Order-Year-Month],Таблица1[[#This Row],[Order-Year-Month]])</f>
        <v>0.33333333333333331</v>
      </c>
    </row>
    <row r="7807" spans="1:26" x14ac:dyDescent="0.2">
      <c r="A7807" s="6">
        <v>6964</v>
      </c>
      <c r="B7807" s="7">
        <v>49767</v>
      </c>
      <c r="C7807" s="8">
        <f>DATE(2012,12,31)-784</f>
        <v>40490</v>
      </c>
      <c r="D7807" s="8" t="str">
        <f t="shared" si="147"/>
        <v>2010-11 (ноябрь 2010)</v>
      </c>
      <c r="E7807" s="9" t="s">
        <v>78</v>
      </c>
      <c r="F7807" s="7">
        <v>39</v>
      </c>
      <c r="G7807" s="7">
        <v>5196.1899999999996</v>
      </c>
      <c r="H7807" s="7">
        <v>0.1</v>
      </c>
      <c r="I7807" s="9" t="s">
        <v>22</v>
      </c>
      <c r="J7807" s="10">
        <v>2052.13</v>
      </c>
      <c r="K7807" s="11">
        <v>140.99</v>
      </c>
      <c r="L7807" s="11">
        <v>13.99</v>
      </c>
      <c r="M7807" s="9" t="s">
        <v>914</v>
      </c>
      <c r="N7807" s="6" t="s">
        <v>2073</v>
      </c>
      <c r="O7807" s="6" t="s">
        <v>704</v>
      </c>
      <c r="P7807" s="9" t="s">
        <v>25</v>
      </c>
      <c r="Q7807" s="9" t="s">
        <v>42</v>
      </c>
      <c r="R7807" s="9" t="s">
        <v>210</v>
      </c>
      <c r="S7807" s="7" t="s">
        <v>459</v>
      </c>
      <c r="T7807" s="9" t="s">
        <v>48</v>
      </c>
      <c r="U7807" s="7">
        <v>0.37</v>
      </c>
      <c r="V7807" s="12">
        <f>C7807+1</f>
        <v>40491</v>
      </c>
      <c r="W7807">
        <f>IF(D7807=' Pivot Tables'!$A$4,1,0)</f>
        <v>0</v>
      </c>
      <c r="X7807">
        <f>IF(AND(LEFT(D7807,4)+1=LEFT(' Pivot Tables'!$A$4,4)+0,RIGHT(LEFT(D7807,7),2)=RIGHT(LEFT(' Pivot Tables'!$A$4,7),2)),1,0)</f>
        <v>0</v>
      </c>
      <c r="Y7807" s="6">
        <f>1/COUNTIF(Таблица1[Order ID],Таблица1[[#This Row],[Order ID]])</f>
        <v>0.33333333333333331</v>
      </c>
      <c r="Z7807" s="9">
        <f>1/COUNTIFS(Таблица1[Customer Name],Таблица1[[#This Row],[Customer Name]],Таблица1[Order-Year-Month],Таблица1[[#This Row],[Order-Year-Month]])</f>
        <v>0.33333333333333331</v>
      </c>
    </row>
    <row r="7808" spans="1:26" x14ac:dyDescent="0.2">
      <c r="A7808" s="6">
        <v>6965</v>
      </c>
      <c r="B7808" s="7">
        <v>49767</v>
      </c>
      <c r="C7808" s="8">
        <f>DATE(2012,12,31)-784</f>
        <v>40490</v>
      </c>
      <c r="D7808" s="8" t="str">
        <f t="shared" si="147"/>
        <v>2010-11 (ноябрь 2010)</v>
      </c>
      <c r="E7808" s="9" t="s">
        <v>78</v>
      </c>
      <c r="F7808" s="7">
        <v>7</v>
      </c>
      <c r="G7808" s="7">
        <v>50.47</v>
      </c>
      <c r="H7808" s="7">
        <v>0.08</v>
      </c>
      <c r="I7808" s="9" t="s">
        <v>22</v>
      </c>
      <c r="J7808" s="10">
        <v>-31.7</v>
      </c>
      <c r="K7808" s="11">
        <v>6.48</v>
      </c>
      <c r="L7808" s="11">
        <v>7.49</v>
      </c>
      <c r="M7808" s="9" t="s">
        <v>914</v>
      </c>
      <c r="N7808" s="6" t="s">
        <v>2073</v>
      </c>
      <c r="O7808" s="6" t="s">
        <v>704</v>
      </c>
      <c r="P7808" s="9" t="s">
        <v>25</v>
      </c>
      <c r="Q7808" s="9" t="s">
        <v>26</v>
      </c>
      <c r="R7808" s="9" t="s">
        <v>61</v>
      </c>
      <c r="S7808" s="7" t="s">
        <v>643</v>
      </c>
      <c r="T7808" s="9" t="s">
        <v>39</v>
      </c>
      <c r="U7808" s="7">
        <v>0.37</v>
      </c>
      <c r="V7808" s="12">
        <f>C7808+2</f>
        <v>40492</v>
      </c>
      <c r="W7808">
        <f>IF(D7808=' Pivot Tables'!$A$4,1,0)</f>
        <v>0</v>
      </c>
      <c r="X7808">
        <f>IF(AND(LEFT(D7808,4)+1=LEFT(' Pivot Tables'!$A$4,4)+0,RIGHT(LEFT(D7808,7),2)=RIGHT(LEFT(' Pivot Tables'!$A$4,7),2)),1,0)</f>
        <v>0</v>
      </c>
      <c r="Y7808" s="6">
        <f>1/COUNTIF(Таблица1[Order ID],Таблица1[[#This Row],[Order ID]])</f>
        <v>0.33333333333333331</v>
      </c>
      <c r="Z7808" s="9">
        <f>1/COUNTIFS(Таблица1[Customer Name],Таблица1[[#This Row],[Customer Name]],Таблица1[Order-Year-Month],Таблица1[[#This Row],[Order-Year-Month]])</f>
        <v>0.33333333333333331</v>
      </c>
    </row>
    <row r="7809" spans="1:26" x14ac:dyDescent="0.2">
      <c r="A7809" s="6">
        <v>7181</v>
      </c>
      <c r="B7809" s="7">
        <v>51239</v>
      </c>
      <c r="C7809" s="8">
        <f>DATE(2012,12,31)-312</f>
        <v>40962</v>
      </c>
      <c r="D7809" s="8" t="str">
        <f t="shared" si="147"/>
        <v>2012-02 (февраль 2012)</v>
      </c>
      <c r="E7809" s="9" t="s">
        <v>21</v>
      </c>
      <c r="F7809" s="7">
        <v>48</v>
      </c>
      <c r="G7809" s="7">
        <v>4046.25</v>
      </c>
      <c r="H7809" s="7">
        <v>0.09</v>
      </c>
      <c r="I7809" s="9" t="s">
        <v>31</v>
      </c>
      <c r="J7809" s="10">
        <v>-1296.93</v>
      </c>
      <c r="K7809" s="11">
        <v>85.29</v>
      </c>
      <c r="L7809" s="11">
        <v>60</v>
      </c>
      <c r="M7809" s="9" t="s">
        <v>2090</v>
      </c>
      <c r="N7809" s="6" t="s">
        <v>2073</v>
      </c>
      <c r="O7809" s="6" t="s">
        <v>704</v>
      </c>
      <c r="P7809" s="9" t="s">
        <v>33</v>
      </c>
      <c r="Q7809" s="9" t="s">
        <v>49</v>
      </c>
      <c r="R7809" s="9" t="s">
        <v>83</v>
      </c>
      <c r="S7809" s="7" t="s">
        <v>679</v>
      </c>
      <c r="T7809" s="9" t="s">
        <v>36</v>
      </c>
      <c r="U7809" s="7">
        <v>0.56000000000000005</v>
      </c>
      <c r="V7809" s="12">
        <f>C7809+2</f>
        <v>40964</v>
      </c>
      <c r="W7809">
        <f>IF(D7809=' Pivot Tables'!$A$4,1,0)</f>
        <v>0</v>
      </c>
      <c r="X7809">
        <f>IF(AND(LEFT(D7809,4)+1=LEFT(' Pivot Tables'!$A$4,4)+0,RIGHT(LEFT(D7809,7),2)=RIGHT(LEFT(' Pivot Tables'!$A$4,7),2)),1,0)</f>
        <v>0</v>
      </c>
      <c r="Y7809" s="6">
        <f>1/COUNTIF(Таблица1[Order ID],Таблица1[[#This Row],[Order ID]])</f>
        <v>1</v>
      </c>
      <c r="Z7809" s="9">
        <f>1/COUNTIFS(Таблица1[Customer Name],Таблица1[[#This Row],[Customer Name]],Таблица1[Order-Year-Month],Таблица1[[#This Row],[Order-Year-Month]])</f>
        <v>0.33333333333333331</v>
      </c>
    </row>
    <row r="7810" spans="1:26" x14ac:dyDescent="0.2">
      <c r="A7810" s="6">
        <v>7187</v>
      </c>
      <c r="B7810" s="7">
        <v>51269</v>
      </c>
      <c r="C7810" s="8">
        <f>DATE(2012,12,31)-354</f>
        <v>40920</v>
      </c>
      <c r="D7810" s="8" t="str">
        <f t="shared" si="147"/>
        <v>2012-01 (январь 2012)</v>
      </c>
      <c r="E7810" s="9" t="s">
        <v>30</v>
      </c>
      <c r="F7810" s="7">
        <v>2</v>
      </c>
      <c r="G7810" s="7">
        <v>21.07</v>
      </c>
      <c r="H7810" s="7">
        <v>0</v>
      </c>
      <c r="I7810" s="9" t="s">
        <v>22</v>
      </c>
      <c r="J7810" s="10">
        <v>-10.4305</v>
      </c>
      <c r="K7810" s="11">
        <v>8.69</v>
      </c>
      <c r="L7810" s="11">
        <v>2.99</v>
      </c>
      <c r="M7810" s="9" t="s">
        <v>2089</v>
      </c>
      <c r="N7810" s="6" t="s">
        <v>2073</v>
      </c>
      <c r="O7810" s="6" t="s">
        <v>704</v>
      </c>
      <c r="P7810" s="9" t="s">
        <v>25</v>
      </c>
      <c r="Q7810" s="9" t="s">
        <v>26</v>
      </c>
      <c r="R7810" s="9" t="s">
        <v>37</v>
      </c>
      <c r="S7810" s="7" t="s">
        <v>38</v>
      </c>
      <c r="T7810" s="9" t="s">
        <v>39</v>
      </c>
      <c r="U7810" s="7">
        <v>0.39</v>
      </c>
      <c r="V7810" s="12">
        <f>C7810+1</f>
        <v>40921</v>
      </c>
      <c r="W7810">
        <f>IF(D7810=' Pivot Tables'!$A$4,1,0)</f>
        <v>0</v>
      </c>
      <c r="X7810">
        <f>IF(AND(LEFT(D7810,4)+1=LEFT(' Pivot Tables'!$A$4,4)+0,RIGHT(LEFT(D7810,7),2)=RIGHT(LEFT(' Pivot Tables'!$A$4,7),2)),1,0)</f>
        <v>0</v>
      </c>
      <c r="Y7810" s="6">
        <f>1/COUNTIF(Таблица1[Order ID],Таблица1[[#This Row],[Order ID]])</f>
        <v>0.5</v>
      </c>
      <c r="Z7810" s="9">
        <f>1/COUNTIFS(Таблица1[Customer Name],Таблица1[[#This Row],[Customer Name]],Таблица1[Order-Year-Month],Таблица1[[#This Row],[Order-Year-Month]])</f>
        <v>0.5</v>
      </c>
    </row>
    <row r="7811" spans="1:26" x14ac:dyDescent="0.2">
      <c r="A7811" s="6">
        <v>7188</v>
      </c>
      <c r="B7811" s="7">
        <v>51269</v>
      </c>
      <c r="C7811" s="8">
        <f>DATE(2012,12,31)-354</f>
        <v>40920</v>
      </c>
      <c r="D7811" s="8" t="str">
        <f t="shared" ref="D7811:D7874" si="149">TEXT(C7811,"гггг-ММ (ММММ гггг)")</f>
        <v>2012-01 (январь 2012)</v>
      </c>
      <c r="E7811" s="9" t="s">
        <v>78</v>
      </c>
      <c r="F7811" s="7">
        <v>20</v>
      </c>
      <c r="G7811" s="7">
        <v>430.41</v>
      </c>
      <c r="H7811" s="7">
        <v>0.08</v>
      </c>
      <c r="I7811" s="9" t="s">
        <v>22</v>
      </c>
      <c r="J7811" s="10">
        <v>-1.55</v>
      </c>
      <c r="K7811" s="11">
        <v>22.98</v>
      </c>
      <c r="L7811" s="11">
        <v>7.58</v>
      </c>
      <c r="M7811" s="9" t="s">
        <v>2089</v>
      </c>
      <c r="N7811" s="6" t="s">
        <v>2073</v>
      </c>
      <c r="O7811" s="6" t="s">
        <v>704</v>
      </c>
      <c r="P7811" s="9" t="s">
        <v>25</v>
      </c>
      <c r="Q7811" s="9" t="s">
        <v>49</v>
      </c>
      <c r="R7811" s="9" t="s">
        <v>50</v>
      </c>
      <c r="S7811" s="7" t="s">
        <v>789</v>
      </c>
      <c r="T7811" s="9" t="s">
        <v>39</v>
      </c>
      <c r="U7811" s="7">
        <v>0.51</v>
      </c>
      <c r="V7811" s="12">
        <f>C7811+1</f>
        <v>40921</v>
      </c>
      <c r="W7811">
        <f>IF(D7811=' Pivot Tables'!$A$4,1,0)</f>
        <v>0</v>
      </c>
      <c r="X7811">
        <f>IF(AND(LEFT(D7811,4)+1=LEFT(' Pivot Tables'!$A$4,4)+0,RIGHT(LEFT(D7811,7),2)=RIGHT(LEFT(' Pivot Tables'!$A$4,7),2)),1,0)</f>
        <v>0</v>
      </c>
      <c r="Y7811" s="6">
        <f>1/COUNTIF(Таблица1[Order ID],Таблица1[[#This Row],[Order ID]])</f>
        <v>0.5</v>
      </c>
      <c r="Z7811" s="9">
        <f>1/COUNTIFS(Таблица1[Customer Name],Таблица1[[#This Row],[Customer Name]],Таблица1[Order-Year-Month],Таблица1[[#This Row],[Order-Year-Month]])</f>
        <v>0.5</v>
      </c>
    </row>
    <row r="7812" spans="1:26" x14ac:dyDescent="0.2">
      <c r="A7812" s="6">
        <v>7560</v>
      </c>
      <c r="B7812" s="7">
        <v>54084</v>
      </c>
      <c r="C7812" s="8">
        <f>DATE(2012,12,31)-478</f>
        <v>40796</v>
      </c>
      <c r="D7812" s="8" t="str">
        <f t="shared" si="149"/>
        <v>2011-09 (сентябрь 2011)</v>
      </c>
      <c r="E7812" s="9" t="s">
        <v>78</v>
      </c>
      <c r="F7812" s="7">
        <v>3</v>
      </c>
      <c r="G7812" s="7">
        <v>160.52000000000001</v>
      </c>
      <c r="H7812" s="7">
        <v>0.08</v>
      </c>
      <c r="I7812" s="9" t="s">
        <v>31</v>
      </c>
      <c r="J7812" s="10">
        <v>-69.66</v>
      </c>
      <c r="K7812" s="11">
        <v>50.98</v>
      </c>
      <c r="L7812" s="11">
        <v>14.19</v>
      </c>
      <c r="M7812" s="9" t="s">
        <v>2066</v>
      </c>
      <c r="N7812" s="6" t="s">
        <v>2073</v>
      </c>
      <c r="O7812" s="6" t="s">
        <v>704</v>
      </c>
      <c r="P7812" s="9" t="s">
        <v>41</v>
      </c>
      <c r="Q7812" s="9" t="s">
        <v>49</v>
      </c>
      <c r="R7812" s="9" t="s">
        <v>112</v>
      </c>
      <c r="S7812" s="7" t="s">
        <v>431</v>
      </c>
      <c r="T7812" s="9" t="s">
        <v>36</v>
      </c>
      <c r="U7812" s="7">
        <v>0.56000000000000005</v>
      </c>
      <c r="V7812" s="12">
        <f>C7812+2</f>
        <v>40798</v>
      </c>
      <c r="W7812">
        <f>IF(D7812=' Pivot Tables'!$A$4,1,0)</f>
        <v>0</v>
      </c>
      <c r="X7812">
        <f>IF(AND(LEFT(D7812,4)+1=LEFT(' Pivot Tables'!$A$4,4)+0,RIGHT(LEFT(D7812,7),2)=RIGHT(LEFT(' Pivot Tables'!$A$4,7),2)),1,0)</f>
        <v>0</v>
      </c>
      <c r="Y7812" s="6">
        <f>1/COUNTIF(Таблица1[Order ID],Таблица1[[#This Row],[Order ID]])</f>
        <v>1</v>
      </c>
      <c r="Z7812" s="9">
        <f>1/COUNTIFS(Таблица1[Customer Name],Таблица1[[#This Row],[Customer Name]],Таблица1[Order-Year-Month],Таблица1[[#This Row],[Order-Year-Month]])</f>
        <v>1</v>
      </c>
    </row>
    <row r="7813" spans="1:26" x14ac:dyDescent="0.2">
      <c r="A7813" s="6">
        <v>7588</v>
      </c>
      <c r="B7813" s="7">
        <v>54307</v>
      </c>
      <c r="C7813" s="8">
        <f>DATE(2012,12,31)-358</f>
        <v>40916</v>
      </c>
      <c r="D7813" s="8" t="str">
        <f t="shared" si="149"/>
        <v>2012-01 (январь 2012)</v>
      </c>
      <c r="E7813" s="9" t="s">
        <v>30</v>
      </c>
      <c r="F7813" s="7">
        <v>15</v>
      </c>
      <c r="G7813" s="7">
        <v>243.52</v>
      </c>
      <c r="H7813" s="7">
        <v>0.01</v>
      </c>
      <c r="I7813" s="9" t="s">
        <v>22</v>
      </c>
      <c r="J7813" s="10">
        <v>-59.64</v>
      </c>
      <c r="K7813" s="11">
        <v>14.89</v>
      </c>
      <c r="L7813" s="11">
        <v>13.56</v>
      </c>
      <c r="M7813" s="9" t="s">
        <v>2066</v>
      </c>
      <c r="N7813" s="6" t="s">
        <v>2073</v>
      </c>
      <c r="O7813" s="6" t="s">
        <v>704</v>
      </c>
      <c r="P7813" s="9" t="s">
        <v>41</v>
      </c>
      <c r="Q7813" s="9" t="s">
        <v>49</v>
      </c>
      <c r="R7813" s="9" t="s">
        <v>50</v>
      </c>
      <c r="S7813" s="7" t="s">
        <v>1034</v>
      </c>
      <c r="T7813" s="9" t="s">
        <v>29</v>
      </c>
      <c r="U7813" s="7">
        <v>0.57999999999999996</v>
      </c>
      <c r="V7813" s="12">
        <f>C7813+1</f>
        <v>40917</v>
      </c>
      <c r="W7813">
        <f>IF(D7813=' Pivot Tables'!$A$4,1,0)</f>
        <v>0</v>
      </c>
      <c r="X7813">
        <f>IF(AND(LEFT(D7813,4)+1=LEFT(' Pivot Tables'!$A$4,4)+0,RIGHT(LEFT(D7813,7),2)=RIGHT(LEFT(' Pivot Tables'!$A$4,7),2)),1,0)</f>
        <v>0</v>
      </c>
      <c r="Y7813" s="6">
        <f>1/COUNTIF(Таблица1[Order ID],Таблица1[[#This Row],[Order ID]])</f>
        <v>0.33333333333333331</v>
      </c>
      <c r="Z7813" s="9">
        <f>1/COUNTIFS(Таблица1[Customer Name],Таблица1[[#This Row],[Customer Name]],Таблица1[Order-Year-Month],Таблица1[[#This Row],[Order-Year-Month]])</f>
        <v>0.33333333333333331</v>
      </c>
    </row>
    <row r="7814" spans="1:26" x14ac:dyDescent="0.2">
      <c r="A7814" s="6">
        <v>7589</v>
      </c>
      <c r="B7814" s="7">
        <v>54307</v>
      </c>
      <c r="C7814" s="8">
        <f>DATE(2012,12,31)-358</f>
        <v>40916</v>
      </c>
      <c r="D7814" s="8" t="str">
        <f t="shared" si="149"/>
        <v>2012-01 (январь 2012)</v>
      </c>
      <c r="E7814" s="9" t="s">
        <v>30</v>
      </c>
      <c r="F7814" s="7">
        <v>14</v>
      </c>
      <c r="G7814" s="7">
        <v>3849.8</v>
      </c>
      <c r="H7814" s="7">
        <v>0.04</v>
      </c>
      <c r="I7814" s="9" t="s">
        <v>31</v>
      </c>
      <c r="J7814" s="10">
        <v>192.2</v>
      </c>
      <c r="K7814" s="11">
        <v>280.98</v>
      </c>
      <c r="L7814" s="11">
        <v>35.67</v>
      </c>
      <c r="M7814" s="9" t="s">
        <v>2066</v>
      </c>
      <c r="N7814" s="6" t="s">
        <v>2073</v>
      </c>
      <c r="O7814" s="6" t="s">
        <v>704</v>
      </c>
      <c r="P7814" s="9" t="s">
        <v>41</v>
      </c>
      <c r="Q7814" s="9" t="s">
        <v>49</v>
      </c>
      <c r="R7814" s="9" t="s">
        <v>83</v>
      </c>
      <c r="S7814" s="7" t="s">
        <v>526</v>
      </c>
      <c r="T7814" s="9" t="s">
        <v>82</v>
      </c>
      <c r="U7814" s="7">
        <v>0.66</v>
      </c>
      <c r="V7814" s="12">
        <f>C7814+1</f>
        <v>40917</v>
      </c>
      <c r="W7814">
        <f>IF(D7814=' Pivot Tables'!$A$4,1,0)</f>
        <v>0</v>
      </c>
      <c r="X7814">
        <f>IF(AND(LEFT(D7814,4)+1=LEFT(' Pivot Tables'!$A$4,4)+0,RIGHT(LEFT(D7814,7),2)=RIGHT(LEFT(' Pivot Tables'!$A$4,7),2)),1,0)</f>
        <v>0</v>
      </c>
      <c r="Y7814" s="6">
        <f>1/COUNTIF(Таблица1[Order ID],Таблица1[[#This Row],[Order ID]])</f>
        <v>0.33333333333333331</v>
      </c>
      <c r="Z7814" s="9">
        <f>1/COUNTIFS(Таблица1[Customer Name],Таблица1[[#This Row],[Customer Name]],Таблица1[Order-Year-Month],Таблица1[[#This Row],[Order-Year-Month]])</f>
        <v>0.33333333333333331</v>
      </c>
    </row>
    <row r="7815" spans="1:26" x14ac:dyDescent="0.2">
      <c r="A7815" s="6">
        <v>7675</v>
      </c>
      <c r="B7815" s="7">
        <v>55014</v>
      </c>
      <c r="C7815" s="8">
        <f>DATE(2012,12,31)-791</f>
        <v>40483</v>
      </c>
      <c r="D7815" s="8" t="str">
        <f t="shared" si="149"/>
        <v>2010-11 (ноябрь 2010)</v>
      </c>
      <c r="E7815" s="9" t="s">
        <v>30</v>
      </c>
      <c r="F7815" s="7">
        <v>38</v>
      </c>
      <c r="G7815" s="7">
        <v>235.15</v>
      </c>
      <c r="H7815" s="7">
        <v>0.03</v>
      </c>
      <c r="I7815" s="9" t="s">
        <v>22</v>
      </c>
      <c r="J7815" s="10">
        <v>12.7</v>
      </c>
      <c r="K7815" s="11">
        <v>5.85</v>
      </c>
      <c r="L7815" s="11">
        <v>2.27</v>
      </c>
      <c r="M7815" s="9" t="s">
        <v>1815</v>
      </c>
      <c r="N7815" s="6" t="s">
        <v>2073</v>
      </c>
      <c r="O7815" s="6" t="s">
        <v>704</v>
      </c>
      <c r="P7815" s="9" t="s">
        <v>25</v>
      </c>
      <c r="Q7815" s="9" t="s">
        <v>26</v>
      </c>
      <c r="R7815" s="9" t="s">
        <v>95</v>
      </c>
      <c r="S7815" s="7" t="s">
        <v>463</v>
      </c>
      <c r="T7815" s="9" t="s">
        <v>68</v>
      </c>
      <c r="U7815" s="7">
        <v>0.56000000000000005</v>
      </c>
      <c r="V7815" s="12">
        <f>C7815+1</f>
        <v>40484</v>
      </c>
      <c r="W7815">
        <f>IF(D7815=' Pivot Tables'!$A$4,1,0)</f>
        <v>0</v>
      </c>
      <c r="X7815">
        <f>IF(AND(LEFT(D7815,4)+1=LEFT(' Pivot Tables'!$A$4,4)+0,RIGHT(LEFT(D7815,7),2)=RIGHT(LEFT(' Pivot Tables'!$A$4,7),2)),1,0)</f>
        <v>0</v>
      </c>
      <c r="Y7815" s="6">
        <f>1/COUNTIF(Таблица1[Order ID],Таблица1[[#This Row],[Order ID]])</f>
        <v>1</v>
      </c>
      <c r="Z7815" s="9">
        <f>1/COUNTIFS(Таблица1[Customer Name],Таблица1[[#This Row],[Customer Name]],Таблица1[Order-Year-Month],Таблица1[[#This Row],[Order-Year-Month]])</f>
        <v>1</v>
      </c>
    </row>
    <row r="7816" spans="1:26" x14ac:dyDescent="0.2">
      <c r="A7816" s="6">
        <v>7805</v>
      </c>
      <c r="B7816" s="7">
        <v>55845</v>
      </c>
      <c r="C7816" s="8">
        <f>DATE(2012,12,31)-529</f>
        <v>40745</v>
      </c>
      <c r="D7816" s="8" t="str">
        <f t="shared" si="149"/>
        <v>2011-07 (июль 2011)</v>
      </c>
      <c r="E7816" s="9" t="s">
        <v>21</v>
      </c>
      <c r="F7816" s="7">
        <v>29</v>
      </c>
      <c r="G7816" s="7">
        <v>4203.88</v>
      </c>
      <c r="H7816" s="7">
        <v>0.1</v>
      </c>
      <c r="I7816" s="9" t="s">
        <v>31</v>
      </c>
      <c r="J7816" s="10">
        <v>-865.88</v>
      </c>
      <c r="K7816" s="11">
        <v>150.97999999999999</v>
      </c>
      <c r="L7816" s="11">
        <v>66.27</v>
      </c>
      <c r="M7816" s="9" t="s">
        <v>2066</v>
      </c>
      <c r="N7816" s="6" t="s">
        <v>2073</v>
      </c>
      <c r="O7816" s="6" t="s">
        <v>704</v>
      </c>
      <c r="P7816" s="9" t="s">
        <v>60</v>
      </c>
      <c r="Q7816" s="9" t="s">
        <v>49</v>
      </c>
      <c r="R7816" s="9" t="s">
        <v>80</v>
      </c>
      <c r="S7816" s="7" t="s">
        <v>325</v>
      </c>
      <c r="T7816" s="9" t="s">
        <v>82</v>
      </c>
      <c r="U7816" s="7">
        <v>0.65</v>
      </c>
      <c r="V7816" s="12">
        <f>C7816+4</f>
        <v>40749</v>
      </c>
      <c r="W7816">
        <f>IF(D7816=' Pivot Tables'!$A$4,1,0)</f>
        <v>0</v>
      </c>
      <c r="X7816">
        <f>IF(AND(LEFT(D7816,4)+1=LEFT(' Pivot Tables'!$A$4,4)+0,RIGHT(LEFT(D7816,7),2)=RIGHT(LEFT(' Pivot Tables'!$A$4,7),2)),1,0)</f>
        <v>0</v>
      </c>
      <c r="Y7816" s="6">
        <f>1/COUNTIF(Таблица1[Order ID],Таблица1[[#This Row],[Order ID]])</f>
        <v>1</v>
      </c>
      <c r="Z7816" s="9">
        <f>1/COUNTIFS(Таблица1[Customer Name],Таблица1[[#This Row],[Customer Name]],Таблица1[Order-Year-Month],Таблица1[[#This Row],[Order-Year-Month]])</f>
        <v>1</v>
      </c>
    </row>
    <row r="7817" spans="1:26" x14ac:dyDescent="0.2">
      <c r="A7817" s="6">
        <v>7806</v>
      </c>
      <c r="B7817" s="7">
        <v>55846</v>
      </c>
      <c r="C7817" s="8">
        <f>DATE(2012,12,31)-1260</f>
        <v>40014</v>
      </c>
      <c r="D7817" s="8" t="str">
        <f t="shared" si="149"/>
        <v>2009-07 (июль 2009)</v>
      </c>
      <c r="E7817" s="9" t="s">
        <v>45</v>
      </c>
      <c r="F7817" s="7">
        <v>30</v>
      </c>
      <c r="G7817" s="7">
        <v>221.05</v>
      </c>
      <c r="H7817" s="7">
        <v>0.02</v>
      </c>
      <c r="I7817" s="9" t="s">
        <v>22</v>
      </c>
      <c r="J7817" s="10">
        <v>-66.378</v>
      </c>
      <c r="K7817" s="11">
        <v>7.1</v>
      </c>
      <c r="L7817" s="11">
        <v>6.05</v>
      </c>
      <c r="M7817" s="9" t="s">
        <v>1364</v>
      </c>
      <c r="N7817" s="6" t="s">
        <v>2073</v>
      </c>
      <c r="O7817" s="6" t="s">
        <v>704</v>
      </c>
      <c r="P7817" s="9" t="s">
        <v>41</v>
      </c>
      <c r="Q7817" s="9" t="s">
        <v>26</v>
      </c>
      <c r="R7817" s="9" t="s">
        <v>37</v>
      </c>
      <c r="S7817" s="7" t="s">
        <v>435</v>
      </c>
      <c r="T7817" s="9" t="s">
        <v>39</v>
      </c>
      <c r="U7817" s="7">
        <v>0.39</v>
      </c>
      <c r="V7817" s="12">
        <f>C7817+0</f>
        <v>40014</v>
      </c>
      <c r="W7817">
        <f>IF(D7817=' Pivot Tables'!$A$4,1,0)</f>
        <v>0</v>
      </c>
      <c r="X7817">
        <f>IF(AND(LEFT(D7817,4)+1=LEFT(' Pivot Tables'!$A$4,4)+0,RIGHT(LEFT(D7817,7),2)=RIGHT(LEFT(' Pivot Tables'!$A$4,7),2)),1,0)</f>
        <v>0</v>
      </c>
      <c r="Y7817" s="6">
        <f>1/COUNTIF(Таблица1[Order ID],Таблица1[[#This Row],[Order ID]])</f>
        <v>1</v>
      </c>
      <c r="Z7817" s="9">
        <f>1/COUNTIFS(Таблица1[Customer Name],Таблица1[[#This Row],[Customer Name]],Таблица1[Order-Year-Month],Таблица1[[#This Row],[Order-Year-Month]])</f>
        <v>0.25</v>
      </c>
    </row>
    <row r="7818" spans="1:26" x14ac:dyDescent="0.2">
      <c r="A7818" s="6">
        <v>7982</v>
      </c>
      <c r="B7818" s="7">
        <v>57063</v>
      </c>
      <c r="C7818" s="8">
        <f>DATE(2012,12,31)-578</f>
        <v>40696</v>
      </c>
      <c r="D7818" s="8" t="str">
        <f t="shared" si="149"/>
        <v>2011-06 (июнь 2011)</v>
      </c>
      <c r="E7818" s="9" t="s">
        <v>63</v>
      </c>
      <c r="F7818" s="7">
        <v>26</v>
      </c>
      <c r="G7818" s="7">
        <v>173.78</v>
      </c>
      <c r="H7818" s="7">
        <v>0.06</v>
      </c>
      <c r="I7818" s="9" t="s">
        <v>22</v>
      </c>
      <c r="J7818" s="10">
        <v>-96.26</v>
      </c>
      <c r="K7818" s="11">
        <v>6.48</v>
      </c>
      <c r="L7818" s="11">
        <v>7.49</v>
      </c>
      <c r="M7818" s="9" t="s">
        <v>2091</v>
      </c>
      <c r="N7818" s="6" t="s">
        <v>2073</v>
      </c>
      <c r="O7818" s="6" t="s">
        <v>704</v>
      </c>
      <c r="P7818" s="9" t="s">
        <v>25</v>
      </c>
      <c r="Q7818" s="9" t="s">
        <v>26</v>
      </c>
      <c r="R7818" s="9" t="s">
        <v>61</v>
      </c>
      <c r="S7818" s="7" t="s">
        <v>643</v>
      </c>
      <c r="T7818" s="9" t="s">
        <v>39</v>
      </c>
      <c r="U7818" s="7">
        <v>0.37</v>
      </c>
      <c r="V7818" s="12">
        <f>C7818+0</f>
        <v>40696</v>
      </c>
      <c r="W7818">
        <f>IF(D7818=' Pivot Tables'!$A$4,1,0)</f>
        <v>0</v>
      </c>
      <c r="X7818">
        <f>IF(AND(LEFT(D7818,4)+1=LEFT(' Pivot Tables'!$A$4,4)+0,RIGHT(LEFT(D7818,7),2)=RIGHT(LEFT(' Pivot Tables'!$A$4,7),2)),1,0)</f>
        <v>0</v>
      </c>
      <c r="Y7818" s="6">
        <f>1/COUNTIF(Таблица1[Order ID],Таблица1[[#This Row],[Order ID]])</f>
        <v>0.5</v>
      </c>
      <c r="Z7818" s="9">
        <f>1/COUNTIFS(Таблица1[Customer Name],Таблица1[[#This Row],[Customer Name]],Таблица1[Order-Year-Month],Таблица1[[#This Row],[Order-Year-Month]])</f>
        <v>0.5</v>
      </c>
    </row>
    <row r="7819" spans="1:26" x14ac:dyDescent="0.2">
      <c r="A7819" s="6">
        <v>7983</v>
      </c>
      <c r="B7819" s="7">
        <v>57063</v>
      </c>
      <c r="C7819" s="8">
        <f>DATE(2012,12,31)-578</f>
        <v>40696</v>
      </c>
      <c r="D7819" s="8" t="str">
        <f t="shared" si="149"/>
        <v>2011-06 (июнь 2011)</v>
      </c>
      <c r="E7819" s="9" t="s">
        <v>63</v>
      </c>
      <c r="F7819" s="7">
        <v>22</v>
      </c>
      <c r="G7819" s="7">
        <v>41.18</v>
      </c>
      <c r="H7819" s="7">
        <v>7.0000000000000007E-2</v>
      </c>
      <c r="I7819" s="9" t="s">
        <v>22</v>
      </c>
      <c r="J7819" s="10">
        <v>-0.64</v>
      </c>
      <c r="K7819" s="11">
        <v>1.88</v>
      </c>
      <c r="L7819" s="11">
        <v>0.79</v>
      </c>
      <c r="M7819" s="9" t="s">
        <v>2091</v>
      </c>
      <c r="N7819" s="6" t="s">
        <v>2073</v>
      </c>
      <c r="O7819" s="6" t="s">
        <v>704</v>
      </c>
      <c r="P7819" s="9" t="s">
        <v>25</v>
      </c>
      <c r="Q7819" s="9" t="s">
        <v>26</v>
      </c>
      <c r="R7819" s="9" t="s">
        <v>66</v>
      </c>
      <c r="S7819" s="7" t="s">
        <v>1378</v>
      </c>
      <c r="T7819" s="9" t="s">
        <v>68</v>
      </c>
      <c r="U7819" s="7">
        <v>0.5</v>
      </c>
      <c r="V7819" s="12">
        <f>C7819+2</f>
        <v>40698</v>
      </c>
      <c r="W7819">
        <f>IF(D7819=' Pivot Tables'!$A$4,1,0)</f>
        <v>0</v>
      </c>
      <c r="X7819">
        <f>IF(AND(LEFT(D7819,4)+1=LEFT(' Pivot Tables'!$A$4,4)+0,RIGHT(LEFT(D7819,7),2)=RIGHT(LEFT(' Pivot Tables'!$A$4,7),2)),1,0)</f>
        <v>0</v>
      </c>
      <c r="Y7819" s="6">
        <f>1/COUNTIF(Таблица1[Order ID],Таблица1[[#This Row],[Order ID]])</f>
        <v>0.5</v>
      </c>
      <c r="Z7819" s="9">
        <f>1/COUNTIFS(Таблица1[Customer Name],Таблица1[[#This Row],[Customer Name]],Таблица1[Order-Year-Month],Таблица1[[#This Row],[Order-Year-Month]])</f>
        <v>0.5</v>
      </c>
    </row>
    <row r="7820" spans="1:26" x14ac:dyDescent="0.2">
      <c r="A7820" s="6">
        <v>7986</v>
      </c>
      <c r="B7820" s="7">
        <v>57093</v>
      </c>
      <c r="C7820" s="8">
        <f>DATE(2012,12,31)-243</f>
        <v>41031</v>
      </c>
      <c r="D7820" s="8" t="str">
        <f t="shared" si="149"/>
        <v>2012-05 (май 2012)</v>
      </c>
      <c r="E7820" s="9" t="s">
        <v>21</v>
      </c>
      <c r="F7820" s="7">
        <v>3</v>
      </c>
      <c r="G7820" s="7">
        <v>18.97</v>
      </c>
      <c r="H7820" s="7">
        <v>0.05</v>
      </c>
      <c r="I7820" s="9" t="s">
        <v>22</v>
      </c>
      <c r="J7820" s="10">
        <v>-7.785499999999999</v>
      </c>
      <c r="K7820" s="11">
        <v>5.34</v>
      </c>
      <c r="L7820" s="11">
        <v>2.99</v>
      </c>
      <c r="M7820" s="9" t="s">
        <v>914</v>
      </c>
      <c r="N7820" s="6" t="s">
        <v>2073</v>
      </c>
      <c r="O7820" s="6" t="s">
        <v>704</v>
      </c>
      <c r="P7820" s="9" t="s">
        <v>25</v>
      </c>
      <c r="Q7820" s="9" t="s">
        <v>26</v>
      </c>
      <c r="R7820" s="9" t="s">
        <v>37</v>
      </c>
      <c r="S7820" s="7" t="s">
        <v>407</v>
      </c>
      <c r="T7820" s="9" t="s">
        <v>39</v>
      </c>
      <c r="U7820" s="7">
        <v>0.38</v>
      </c>
      <c r="V7820" s="12">
        <f>C7820+7</f>
        <v>41038</v>
      </c>
      <c r="W7820">
        <f>IF(D7820=' Pivot Tables'!$A$4,1,0)</f>
        <v>0</v>
      </c>
      <c r="X7820">
        <f>IF(AND(LEFT(D7820,4)+1=LEFT(' Pivot Tables'!$A$4,4)+0,RIGHT(LEFT(D7820,7),2)=RIGHT(LEFT(' Pivot Tables'!$A$4,7),2)),1,0)</f>
        <v>0</v>
      </c>
      <c r="Y7820" s="6">
        <f>1/COUNTIF(Таблица1[Order ID],Таблица1[[#This Row],[Order ID]])</f>
        <v>0.5</v>
      </c>
      <c r="Z7820" s="9">
        <f>1/COUNTIFS(Таблица1[Customer Name],Таблица1[[#This Row],[Customer Name]],Таблица1[Order-Year-Month],Таблица1[[#This Row],[Order-Year-Month]])</f>
        <v>0.5</v>
      </c>
    </row>
    <row r="7821" spans="1:26" x14ac:dyDescent="0.2">
      <c r="A7821" s="6">
        <v>7987</v>
      </c>
      <c r="B7821" s="7">
        <v>57093</v>
      </c>
      <c r="C7821" s="8">
        <f>DATE(2012,12,31)-243</f>
        <v>41031</v>
      </c>
      <c r="D7821" s="8" t="str">
        <f t="shared" si="149"/>
        <v>2012-05 (май 2012)</v>
      </c>
      <c r="E7821" s="9" t="s">
        <v>21</v>
      </c>
      <c r="F7821" s="7">
        <v>47</v>
      </c>
      <c r="G7821" s="7">
        <v>744.64</v>
      </c>
      <c r="H7821" s="7">
        <v>0</v>
      </c>
      <c r="I7821" s="9" t="s">
        <v>22</v>
      </c>
      <c r="J7821" s="10">
        <v>31.93</v>
      </c>
      <c r="K7821" s="11">
        <v>15.42</v>
      </c>
      <c r="L7821" s="11">
        <v>5.41</v>
      </c>
      <c r="M7821" s="9" t="s">
        <v>914</v>
      </c>
      <c r="N7821" s="6" t="s">
        <v>2073</v>
      </c>
      <c r="O7821" s="6" t="s">
        <v>704</v>
      </c>
      <c r="P7821" s="9" t="s">
        <v>25</v>
      </c>
      <c r="Q7821" s="9" t="s">
        <v>26</v>
      </c>
      <c r="R7821" s="9" t="s">
        <v>27</v>
      </c>
      <c r="S7821" s="7" t="s">
        <v>1405</v>
      </c>
      <c r="T7821" s="9" t="s">
        <v>39</v>
      </c>
      <c r="U7821" s="7">
        <v>0.59</v>
      </c>
      <c r="V7821" s="12">
        <f>C7821+7</f>
        <v>41038</v>
      </c>
      <c r="W7821">
        <f>IF(D7821=' Pivot Tables'!$A$4,1,0)</f>
        <v>0</v>
      </c>
      <c r="X7821">
        <f>IF(AND(LEFT(D7821,4)+1=LEFT(' Pivot Tables'!$A$4,4)+0,RIGHT(LEFT(D7821,7),2)=RIGHT(LEFT(' Pivot Tables'!$A$4,7),2)),1,0)</f>
        <v>0</v>
      </c>
      <c r="Y7821" s="6">
        <f>1/COUNTIF(Таблица1[Order ID],Таблица1[[#This Row],[Order ID]])</f>
        <v>0.5</v>
      </c>
      <c r="Z7821" s="9">
        <f>1/COUNTIFS(Таблица1[Customer Name],Таблица1[[#This Row],[Customer Name]],Таблица1[Order-Year-Month],Таблица1[[#This Row],[Order-Year-Month]])</f>
        <v>0.5</v>
      </c>
    </row>
    <row r="7822" spans="1:26" x14ac:dyDescent="0.2">
      <c r="A7822" s="6">
        <v>8304</v>
      </c>
      <c r="B7822" s="7">
        <v>59329</v>
      </c>
      <c r="C7822" s="8">
        <f>DATE(2012,12,31)-27</f>
        <v>41247</v>
      </c>
      <c r="D7822" s="8" t="str">
        <f t="shared" si="149"/>
        <v>2012-12 (декабрь 2012)</v>
      </c>
      <c r="E7822" s="9" t="s">
        <v>78</v>
      </c>
      <c r="F7822" s="7">
        <v>35</v>
      </c>
      <c r="G7822" s="7">
        <v>128.12</v>
      </c>
      <c r="H7822" s="7">
        <v>0.08</v>
      </c>
      <c r="I7822" s="9" t="s">
        <v>22</v>
      </c>
      <c r="J7822" s="10">
        <v>-135.59649999999999</v>
      </c>
      <c r="K7822" s="11">
        <v>3.81</v>
      </c>
      <c r="L7822" s="11">
        <v>5.44</v>
      </c>
      <c r="M7822" s="9" t="s">
        <v>1364</v>
      </c>
      <c r="N7822" s="6" t="s">
        <v>2073</v>
      </c>
      <c r="O7822" s="6" t="s">
        <v>704</v>
      </c>
      <c r="P7822" s="9" t="s">
        <v>41</v>
      </c>
      <c r="Q7822" s="9" t="s">
        <v>26</v>
      </c>
      <c r="R7822" s="9" t="s">
        <v>37</v>
      </c>
      <c r="S7822" s="7" t="s">
        <v>551</v>
      </c>
      <c r="T7822" s="9" t="s">
        <v>39</v>
      </c>
      <c r="U7822" s="7">
        <v>0.36</v>
      </c>
      <c r="V7822" s="12">
        <f>C7822+2</f>
        <v>41249</v>
      </c>
      <c r="W7822">
        <f>IF(D7822=' Pivot Tables'!$A$4,1,0)</f>
        <v>0</v>
      </c>
      <c r="X7822">
        <f>IF(AND(LEFT(D7822,4)+1=LEFT(' Pivot Tables'!$A$4,4)+0,RIGHT(LEFT(D7822,7),2)=RIGHT(LEFT(' Pivot Tables'!$A$4,7),2)),1,0)</f>
        <v>0</v>
      </c>
      <c r="Y7822" s="6">
        <f>1/COUNTIF(Таблица1[Order ID],Таблица1[[#This Row],[Order ID]])</f>
        <v>0.25</v>
      </c>
      <c r="Z7822" s="9">
        <f>1/COUNTIFS(Таблица1[Customer Name],Таблица1[[#This Row],[Customer Name]],Таблица1[Order-Year-Month],Таблица1[[#This Row],[Order-Year-Month]])</f>
        <v>0.25</v>
      </c>
    </row>
    <row r="7823" spans="1:26" x14ac:dyDescent="0.2">
      <c r="A7823" s="6">
        <v>8305</v>
      </c>
      <c r="B7823" s="7">
        <v>59329</v>
      </c>
      <c r="C7823" s="8">
        <f>DATE(2012,12,31)-27</f>
        <v>41247</v>
      </c>
      <c r="D7823" s="8" t="str">
        <f t="shared" si="149"/>
        <v>2012-12 (декабрь 2012)</v>
      </c>
      <c r="E7823" s="9" t="s">
        <v>78</v>
      </c>
      <c r="F7823" s="7">
        <v>25</v>
      </c>
      <c r="G7823" s="7">
        <v>165.62</v>
      </c>
      <c r="H7823" s="7">
        <v>0.03</v>
      </c>
      <c r="I7823" s="9" t="s">
        <v>22</v>
      </c>
      <c r="J7823" s="10">
        <v>-64.72</v>
      </c>
      <c r="K7823" s="11">
        <v>6.24</v>
      </c>
      <c r="L7823" s="11">
        <v>5.22</v>
      </c>
      <c r="M7823" s="9" t="s">
        <v>1364</v>
      </c>
      <c r="N7823" s="6" t="s">
        <v>2073</v>
      </c>
      <c r="O7823" s="6" t="s">
        <v>704</v>
      </c>
      <c r="P7823" s="9" t="s">
        <v>41</v>
      </c>
      <c r="Q7823" s="9" t="s">
        <v>49</v>
      </c>
      <c r="R7823" s="9" t="s">
        <v>50</v>
      </c>
      <c r="S7823" s="7" t="s">
        <v>1140</v>
      </c>
      <c r="T7823" s="9" t="s">
        <v>39</v>
      </c>
      <c r="U7823" s="7">
        <v>0.6</v>
      </c>
      <c r="V7823" s="12">
        <f>C7823+0</f>
        <v>41247</v>
      </c>
      <c r="W7823">
        <f>IF(D7823=' Pivot Tables'!$A$4,1,0)</f>
        <v>0</v>
      </c>
      <c r="X7823">
        <f>IF(AND(LEFT(D7823,4)+1=LEFT(' Pivot Tables'!$A$4,4)+0,RIGHT(LEFT(D7823,7),2)=RIGHT(LEFT(' Pivot Tables'!$A$4,7),2)),1,0)</f>
        <v>0</v>
      </c>
      <c r="Y7823" s="6">
        <f>1/COUNTIF(Таблица1[Order ID],Таблица1[[#This Row],[Order ID]])</f>
        <v>0.25</v>
      </c>
      <c r="Z7823" s="9">
        <f>1/COUNTIFS(Таблица1[Customer Name],Таблица1[[#This Row],[Customer Name]],Таблица1[Order-Year-Month],Таблица1[[#This Row],[Order-Year-Month]])</f>
        <v>0.25</v>
      </c>
    </row>
    <row r="7824" spans="1:26" x14ac:dyDescent="0.2">
      <c r="A7824" s="6">
        <v>8306</v>
      </c>
      <c r="B7824" s="7">
        <v>59329</v>
      </c>
      <c r="C7824" s="8">
        <f>DATE(2012,12,31)-27</f>
        <v>41247</v>
      </c>
      <c r="D7824" s="8" t="str">
        <f t="shared" si="149"/>
        <v>2012-12 (декабрь 2012)</v>
      </c>
      <c r="E7824" s="9" t="s">
        <v>78</v>
      </c>
      <c r="F7824" s="7">
        <v>41</v>
      </c>
      <c r="G7824" s="7">
        <v>214.23</v>
      </c>
      <c r="H7824" s="7">
        <v>0.01</v>
      </c>
      <c r="I7824" s="9" t="s">
        <v>22</v>
      </c>
      <c r="J7824" s="10">
        <v>-165.42</v>
      </c>
      <c r="K7824" s="11">
        <v>4.8600000000000003</v>
      </c>
      <c r="L7824" s="11">
        <v>7.1</v>
      </c>
      <c r="M7824" s="9" t="s">
        <v>1364</v>
      </c>
      <c r="N7824" s="6" t="s">
        <v>2073</v>
      </c>
      <c r="O7824" s="6" t="s">
        <v>704</v>
      </c>
      <c r="P7824" s="9" t="s">
        <v>41</v>
      </c>
      <c r="Q7824" s="9" t="s">
        <v>49</v>
      </c>
      <c r="R7824" s="9" t="s">
        <v>50</v>
      </c>
      <c r="S7824" s="7" t="s">
        <v>1770</v>
      </c>
      <c r="T7824" s="9" t="s">
        <v>39</v>
      </c>
      <c r="U7824" s="7">
        <v>0.42</v>
      </c>
      <c r="V7824" s="12">
        <f>C7824+2</f>
        <v>41249</v>
      </c>
      <c r="W7824">
        <f>IF(D7824=' Pivot Tables'!$A$4,1,0)</f>
        <v>0</v>
      </c>
      <c r="X7824">
        <f>IF(AND(LEFT(D7824,4)+1=LEFT(' Pivot Tables'!$A$4,4)+0,RIGHT(LEFT(D7824,7),2)=RIGHT(LEFT(' Pivot Tables'!$A$4,7),2)),1,0)</f>
        <v>0</v>
      </c>
      <c r="Y7824" s="6">
        <f>1/COUNTIF(Таблица1[Order ID],Таблица1[[#This Row],[Order ID]])</f>
        <v>0.25</v>
      </c>
      <c r="Z7824" s="9">
        <f>1/COUNTIFS(Таблица1[Customer Name],Таблица1[[#This Row],[Customer Name]],Таблица1[Order-Year-Month],Таблица1[[#This Row],[Order-Year-Month]])</f>
        <v>0.25</v>
      </c>
    </row>
    <row r="7825" spans="1:26" x14ac:dyDescent="0.2">
      <c r="A7825" s="6">
        <v>8307</v>
      </c>
      <c r="B7825" s="7">
        <v>59329</v>
      </c>
      <c r="C7825" s="8">
        <f>DATE(2012,12,31)-27</f>
        <v>41247</v>
      </c>
      <c r="D7825" s="8" t="str">
        <f t="shared" si="149"/>
        <v>2012-12 (декабрь 2012)</v>
      </c>
      <c r="E7825" s="9" t="s">
        <v>78</v>
      </c>
      <c r="F7825" s="7">
        <v>41</v>
      </c>
      <c r="G7825" s="7">
        <v>214.19</v>
      </c>
      <c r="H7825" s="7">
        <v>0.05</v>
      </c>
      <c r="I7825" s="9" t="s">
        <v>22</v>
      </c>
      <c r="J7825" s="10">
        <v>-66.06</v>
      </c>
      <c r="K7825" s="11">
        <v>4.9800000000000004</v>
      </c>
      <c r="L7825" s="11">
        <v>4.7</v>
      </c>
      <c r="M7825" s="9" t="s">
        <v>1364</v>
      </c>
      <c r="N7825" s="6" t="s">
        <v>2073</v>
      </c>
      <c r="O7825" s="6" t="s">
        <v>704</v>
      </c>
      <c r="P7825" s="9" t="s">
        <v>41</v>
      </c>
      <c r="Q7825" s="9" t="s">
        <v>26</v>
      </c>
      <c r="R7825" s="9" t="s">
        <v>61</v>
      </c>
      <c r="S7825" s="7" t="s">
        <v>937</v>
      </c>
      <c r="T7825" s="9" t="s">
        <v>39</v>
      </c>
      <c r="U7825" s="7">
        <v>0.38</v>
      </c>
      <c r="V7825" s="12">
        <f>C7825+1</f>
        <v>41248</v>
      </c>
      <c r="W7825">
        <f>IF(D7825=' Pivot Tables'!$A$4,1,0)</f>
        <v>0</v>
      </c>
      <c r="X7825">
        <f>IF(AND(LEFT(D7825,4)+1=LEFT(' Pivot Tables'!$A$4,4)+0,RIGHT(LEFT(D7825,7),2)=RIGHT(LEFT(' Pivot Tables'!$A$4,7),2)),1,0)</f>
        <v>0</v>
      </c>
      <c r="Y7825" s="6">
        <f>1/COUNTIF(Таблица1[Order ID],Таблица1[[#This Row],[Order ID]])</f>
        <v>0.25</v>
      </c>
      <c r="Z7825" s="9">
        <f>1/COUNTIFS(Таблица1[Customer Name],Таблица1[[#This Row],[Customer Name]],Таблица1[Order-Year-Month],Таблица1[[#This Row],[Order-Year-Month]])</f>
        <v>0.25</v>
      </c>
    </row>
    <row r="7826" spans="1:26" x14ac:dyDescent="0.2">
      <c r="A7826" s="6">
        <v>9</v>
      </c>
      <c r="B7826" s="7">
        <v>36</v>
      </c>
      <c r="C7826" s="8">
        <f>DATE(2012,12,31)-425</f>
        <v>40849</v>
      </c>
      <c r="D7826" s="8" t="str">
        <f t="shared" si="149"/>
        <v>2011-11 (ноябрь 2011)</v>
      </c>
      <c r="E7826" s="9" t="s">
        <v>78</v>
      </c>
      <c r="F7826" s="7">
        <v>46</v>
      </c>
      <c r="G7826" s="7">
        <v>2484.7455</v>
      </c>
      <c r="H7826" s="7">
        <v>0.1</v>
      </c>
      <c r="I7826" s="9" t="s">
        <v>22</v>
      </c>
      <c r="J7826" s="10">
        <v>657.47699999999998</v>
      </c>
      <c r="K7826" s="11">
        <v>65.989999999999995</v>
      </c>
      <c r="L7826" s="11">
        <v>4.2</v>
      </c>
      <c r="M7826" s="9" t="s">
        <v>2093</v>
      </c>
      <c r="N7826" s="6" t="s">
        <v>2073</v>
      </c>
      <c r="O7826" s="6" t="s">
        <v>704</v>
      </c>
      <c r="P7826" s="9" t="s">
        <v>60</v>
      </c>
      <c r="Q7826" s="9" t="s">
        <v>42</v>
      </c>
      <c r="R7826" s="9" t="s">
        <v>43</v>
      </c>
      <c r="S7826" s="7" t="s">
        <v>919</v>
      </c>
      <c r="T7826" s="9" t="s">
        <v>39</v>
      </c>
      <c r="U7826" s="7">
        <v>0.55000000000000004</v>
      </c>
      <c r="V7826" s="12">
        <f>C7826+0</f>
        <v>40849</v>
      </c>
      <c r="W7826">
        <f>IF(D7826=' Pivot Tables'!$A$4,1,0)</f>
        <v>0</v>
      </c>
      <c r="X7826">
        <f>IF(AND(LEFT(D7826,4)+1=LEFT(' Pivot Tables'!$A$4,4)+0,RIGHT(LEFT(D7826,7),2)=RIGHT(LEFT(' Pivot Tables'!$A$4,7),2)),1,0)</f>
        <v>0</v>
      </c>
      <c r="Y7826" s="6">
        <f>1/COUNTIF(Таблица1[Order ID],Таблица1[[#This Row],[Order ID]])</f>
        <v>1</v>
      </c>
      <c r="Z7826" s="9">
        <f>1/COUNTIFS(Таблица1[Customer Name],Таблица1[[#This Row],[Customer Name]],Таблица1[Order-Year-Month],Таблица1[[#This Row],[Order-Year-Month]])</f>
        <v>1</v>
      </c>
    </row>
    <row r="7827" spans="1:26" x14ac:dyDescent="0.2">
      <c r="A7827" s="6">
        <v>28</v>
      </c>
      <c r="B7827" s="7">
        <v>194</v>
      </c>
      <c r="C7827" s="8">
        <f>DATE(2012,12,31)-271</f>
        <v>41003</v>
      </c>
      <c r="D7827" s="8" t="str">
        <f t="shared" si="149"/>
        <v>2012-04 (апрель 2012)</v>
      </c>
      <c r="E7827" s="9" t="s">
        <v>63</v>
      </c>
      <c r="F7827" s="7">
        <v>49</v>
      </c>
      <c r="G7827" s="7">
        <v>329.03</v>
      </c>
      <c r="H7827" s="7">
        <v>0.1</v>
      </c>
      <c r="I7827" s="9" t="s">
        <v>22</v>
      </c>
      <c r="J7827" s="10">
        <v>-197.25</v>
      </c>
      <c r="K7827" s="11">
        <v>7.28</v>
      </c>
      <c r="L7827" s="11">
        <v>7.98</v>
      </c>
      <c r="M7827" s="9" t="s">
        <v>1433</v>
      </c>
      <c r="N7827" s="6" t="s">
        <v>2073</v>
      </c>
      <c r="O7827" s="6" t="s">
        <v>704</v>
      </c>
      <c r="P7827" s="9" t="s">
        <v>41</v>
      </c>
      <c r="Q7827" s="9" t="s">
        <v>49</v>
      </c>
      <c r="R7827" s="9" t="s">
        <v>50</v>
      </c>
      <c r="S7827" s="7" t="s">
        <v>1362</v>
      </c>
      <c r="T7827" s="9" t="s">
        <v>68</v>
      </c>
      <c r="U7827" s="7">
        <v>0.42</v>
      </c>
      <c r="V7827" s="12">
        <f>C7827+2</f>
        <v>41005</v>
      </c>
      <c r="W7827">
        <f>IF(D7827=' Pivot Tables'!$A$4,1,0)</f>
        <v>0</v>
      </c>
      <c r="X7827">
        <f>IF(AND(LEFT(D7827,4)+1=LEFT(' Pivot Tables'!$A$4,4)+0,RIGHT(LEFT(D7827,7),2)=RIGHT(LEFT(' Pivot Tables'!$A$4,7),2)),1,0)</f>
        <v>0</v>
      </c>
      <c r="Y7827" s="6">
        <f>1/COUNTIF(Таблица1[Order ID],Таблица1[[#This Row],[Order ID]])</f>
        <v>0.5</v>
      </c>
      <c r="Z7827" s="9">
        <f>1/COUNTIFS(Таблица1[Customer Name],Таблица1[[#This Row],[Customer Name]],Таблица1[Order-Year-Month],Таблица1[[#This Row],[Order-Year-Month]])</f>
        <v>0.5</v>
      </c>
    </row>
    <row r="7828" spans="1:26" x14ac:dyDescent="0.2">
      <c r="A7828" s="6">
        <v>29</v>
      </c>
      <c r="B7828" s="7">
        <v>194</v>
      </c>
      <c r="C7828" s="8">
        <f>DATE(2012,12,31)-271</f>
        <v>41003</v>
      </c>
      <c r="D7828" s="8" t="str">
        <f t="shared" si="149"/>
        <v>2012-04 (апрель 2012)</v>
      </c>
      <c r="E7828" s="9" t="s">
        <v>63</v>
      </c>
      <c r="F7828" s="7">
        <v>6</v>
      </c>
      <c r="G7828" s="7">
        <v>20.190000000000001</v>
      </c>
      <c r="H7828" s="7">
        <v>0.04</v>
      </c>
      <c r="I7828" s="9" t="s">
        <v>22</v>
      </c>
      <c r="J7828" s="10">
        <v>-13.44</v>
      </c>
      <c r="K7828" s="11">
        <v>3.14</v>
      </c>
      <c r="L7828" s="11">
        <v>1.92</v>
      </c>
      <c r="M7828" s="9" t="s">
        <v>1433</v>
      </c>
      <c r="N7828" s="6" t="s">
        <v>2073</v>
      </c>
      <c r="O7828" s="6" t="s">
        <v>704</v>
      </c>
      <c r="P7828" s="9" t="s">
        <v>41</v>
      </c>
      <c r="Q7828" s="9" t="s">
        <v>26</v>
      </c>
      <c r="R7828" s="9" t="s">
        <v>150</v>
      </c>
      <c r="S7828" s="7" t="s">
        <v>699</v>
      </c>
      <c r="T7828" s="9" t="s">
        <v>68</v>
      </c>
      <c r="U7828" s="7">
        <v>0.84</v>
      </c>
      <c r="V7828" s="12">
        <f>C7828+2</f>
        <v>41005</v>
      </c>
      <c r="W7828">
        <f>IF(D7828=' Pivot Tables'!$A$4,1,0)</f>
        <v>0</v>
      </c>
      <c r="X7828">
        <f>IF(AND(LEFT(D7828,4)+1=LEFT(' Pivot Tables'!$A$4,4)+0,RIGHT(LEFT(D7828,7),2)=RIGHT(LEFT(' Pivot Tables'!$A$4,7),2)),1,0)</f>
        <v>0</v>
      </c>
      <c r="Y7828" s="6">
        <f>1/COUNTIF(Таблица1[Order ID],Таблица1[[#This Row],[Order ID]])</f>
        <v>0.5</v>
      </c>
      <c r="Z7828" s="9">
        <f>1/COUNTIFS(Таблица1[Customer Name],Таблица1[[#This Row],[Customer Name]],Таблица1[Order-Year-Month],Таблица1[[#This Row],[Order-Year-Month]])</f>
        <v>0.5</v>
      </c>
    </row>
    <row r="7829" spans="1:26" x14ac:dyDescent="0.2">
      <c r="A7829" s="6">
        <v>65</v>
      </c>
      <c r="B7829" s="7">
        <v>384</v>
      </c>
      <c r="C7829" s="8">
        <f>DATE(2012,12,31)-304</f>
        <v>40970</v>
      </c>
      <c r="D7829" s="8" t="str">
        <f t="shared" si="149"/>
        <v>2012-03 (март 2012)</v>
      </c>
      <c r="E7829" s="9" t="s">
        <v>21</v>
      </c>
      <c r="F7829" s="7">
        <v>50</v>
      </c>
      <c r="G7829" s="7">
        <v>7666.04</v>
      </c>
      <c r="H7829" s="7">
        <v>0.02</v>
      </c>
      <c r="I7829" s="9" t="s">
        <v>31</v>
      </c>
      <c r="J7829" s="10">
        <v>-1820.84</v>
      </c>
      <c r="K7829" s="11">
        <v>146.05000000000001</v>
      </c>
      <c r="L7829" s="11">
        <v>80.2</v>
      </c>
      <c r="M7829" s="9" t="s">
        <v>2094</v>
      </c>
      <c r="N7829" s="6" t="s">
        <v>2073</v>
      </c>
      <c r="O7829" s="6" t="s">
        <v>704</v>
      </c>
      <c r="P7829" s="9" t="s">
        <v>41</v>
      </c>
      <c r="Q7829" s="9" t="s">
        <v>49</v>
      </c>
      <c r="R7829" s="9" t="s">
        <v>83</v>
      </c>
      <c r="S7829" s="7" t="s">
        <v>1101</v>
      </c>
      <c r="T7829" s="9" t="s">
        <v>82</v>
      </c>
      <c r="U7829" s="7">
        <v>0.71</v>
      </c>
      <c r="V7829" s="12">
        <f>C7829+7</f>
        <v>40977</v>
      </c>
      <c r="W7829">
        <f>IF(D7829=' Pivot Tables'!$A$4,1,0)</f>
        <v>0</v>
      </c>
      <c r="X7829">
        <f>IF(AND(LEFT(D7829,4)+1=LEFT(' Pivot Tables'!$A$4,4)+0,RIGHT(LEFT(D7829,7),2)=RIGHT(LEFT(' Pivot Tables'!$A$4,7),2)),1,0)</f>
        <v>0</v>
      </c>
      <c r="Y7829" s="6">
        <f>1/COUNTIF(Таблица1[Order ID],Таблица1[[#This Row],[Order ID]])</f>
        <v>1</v>
      </c>
      <c r="Z7829" s="9">
        <f>1/COUNTIFS(Таблица1[Customer Name],Таблица1[[#This Row],[Customer Name]],Таблица1[Order-Year-Month],Таблица1[[#This Row],[Order-Year-Month]])</f>
        <v>1</v>
      </c>
    </row>
    <row r="7830" spans="1:26" x14ac:dyDescent="0.2">
      <c r="A7830" s="6">
        <v>120</v>
      </c>
      <c r="B7830" s="7">
        <v>774</v>
      </c>
      <c r="C7830" s="8">
        <f>DATE(2012,12,31)-394</f>
        <v>40880</v>
      </c>
      <c r="D7830" s="8" t="str">
        <f t="shared" si="149"/>
        <v>2011-12 (декабрь 2011)</v>
      </c>
      <c r="E7830" s="9" t="s">
        <v>78</v>
      </c>
      <c r="F7830" s="7">
        <v>17</v>
      </c>
      <c r="G7830" s="7">
        <v>126.57</v>
      </c>
      <c r="H7830" s="7">
        <v>0.03</v>
      </c>
      <c r="I7830" s="9" t="s">
        <v>22</v>
      </c>
      <c r="J7830" s="10">
        <v>-752.13</v>
      </c>
      <c r="K7830" s="11">
        <v>4.4800000000000004</v>
      </c>
      <c r="L7830" s="11">
        <v>49</v>
      </c>
      <c r="M7830" s="9" t="s">
        <v>2095</v>
      </c>
      <c r="N7830" s="6" t="s">
        <v>2073</v>
      </c>
      <c r="O7830" s="6" t="s">
        <v>704</v>
      </c>
      <c r="P7830" s="9" t="s">
        <v>25</v>
      </c>
      <c r="Q7830" s="9" t="s">
        <v>26</v>
      </c>
      <c r="R7830" s="9" t="s">
        <v>34</v>
      </c>
      <c r="S7830" s="7" t="s">
        <v>128</v>
      </c>
      <c r="T7830" s="9" t="s">
        <v>29</v>
      </c>
      <c r="U7830" s="7">
        <v>0.6</v>
      </c>
      <c r="V7830" s="12">
        <f>C7830+2</f>
        <v>40882</v>
      </c>
      <c r="W7830">
        <f>IF(D7830=' Pivot Tables'!$A$4,1,0)</f>
        <v>0</v>
      </c>
      <c r="X7830">
        <f>IF(AND(LEFT(D7830,4)+1=LEFT(' Pivot Tables'!$A$4,4)+0,RIGHT(LEFT(D7830,7),2)=RIGHT(LEFT(' Pivot Tables'!$A$4,7),2)),1,0)</f>
        <v>0</v>
      </c>
      <c r="Y7830" s="6">
        <f>1/COUNTIF(Таблица1[Order ID],Таблица1[[#This Row],[Order ID]])</f>
        <v>1</v>
      </c>
      <c r="Z7830" s="9">
        <f>1/COUNTIFS(Таблица1[Customer Name],Таблица1[[#This Row],[Customer Name]],Таблица1[Order-Year-Month],Таблица1[[#This Row],[Order-Year-Month]])</f>
        <v>1</v>
      </c>
    </row>
    <row r="7831" spans="1:26" x14ac:dyDescent="0.2">
      <c r="A7831" s="6">
        <v>163</v>
      </c>
      <c r="B7831" s="7">
        <v>1027</v>
      </c>
      <c r="C7831" s="8">
        <f>DATE(2012,12,31)-212</f>
        <v>41062</v>
      </c>
      <c r="D7831" s="8" t="str">
        <f t="shared" si="149"/>
        <v>2012-06 (июнь 2012)</v>
      </c>
      <c r="E7831" s="9" t="s">
        <v>63</v>
      </c>
      <c r="F7831" s="7">
        <v>19</v>
      </c>
      <c r="G7831" s="7">
        <v>1406.15</v>
      </c>
      <c r="H7831" s="7">
        <v>0.04</v>
      </c>
      <c r="I7831" s="9" t="s">
        <v>31</v>
      </c>
      <c r="J7831" s="10">
        <v>-379.1</v>
      </c>
      <c r="K7831" s="11">
        <v>70.98</v>
      </c>
      <c r="L7831" s="11">
        <v>46.74</v>
      </c>
      <c r="M7831" s="9" t="s">
        <v>1090</v>
      </c>
      <c r="N7831" s="6" t="s">
        <v>2073</v>
      </c>
      <c r="O7831" s="6" t="s">
        <v>704</v>
      </c>
      <c r="P7831" s="9" t="s">
        <v>60</v>
      </c>
      <c r="Q7831" s="9" t="s">
        <v>49</v>
      </c>
      <c r="R7831" s="9" t="s">
        <v>80</v>
      </c>
      <c r="S7831" s="7" t="s">
        <v>989</v>
      </c>
      <c r="T7831" s="9" t="s">
        <v>82</v>
      </c>
      <c r="U7831" s="7">
        <v>0.56000000000000005</v>
      </c>
      <c r="V7831" s="12">
        <f>C7831+2</f>
        <v>41064</v>
      </c>
      <c r="W7831">
        <f>IF(D7831=' Pivot Tables'!$A$4,1,0)</f>
        <v>0</v>
      </c>
      <c r="X7831">
        <f>IF(AND(LEFT(D7831,4)+1=LEFT(' Pivot Tables'!$A$4,4)+0,RIGHT(LEFT(D7831,7),2)=RIGHT(LEFT(' Pivot Tables'!$A$4,7),2)),1,0)</f>
        <v>0</v>
      </c>
      <c r="Y7831" s="6">
        <f>1/COUNTIF(Таблица1[Order ID],Таблица1[[#This Row],[Order ID]])</f>
        <v>1</v>
      </c>
      <c r="Z7831" s="9">
        <f>1/COUNTIFS(Таблица1[Customer Name],Таблица1[[#This Row],[Customer Name]],Таблица1[Order-Year-Month],Таблица1[[#This Row],[Order-Year-Month]])</f>
        <v>0.5</v>
      </c>
    </row>
    <row r="7832" spans="1:26" x14ac:dyDescent="0.2">
      <c r="A7832" s="6">
        <v>171</v>
      </c>
      <c r="B7832" s="7">
        <v>1060</v>
      </c>
      <c r="C7832" s="8">
        <f>DATE(2012,12,31)-1045</f>
        <v>40229</v>
      </c>
      <c r="D7832" s="8" t="str">
        <f t="shared" si="149"/>
        <v>2010-02 (февраль 2010)</v>
      </c>
      <c r="E7832" s="9" t="s">
        <v>63</v>
      </c>
      <c r="F7832" s="7">
        <v>30</v>
      </c>
      <c r="G7832" s="7">
        <v>1187.55</v>
      </c>
      <c r="H7832" s="7">
        <v>0</v>
      </c>
      <c r="I7832" s="9" t="s">
        <v>22</v>
      </c>
      <c r="J7832" s="10">
        <v>532.61</v>
      </c>
      <c r="K7832" s="11">
        <v>37.700000000000003</v>
      </c>
      <c r="L7832" s="11">
        <v>2.99</v>
      </c>
      <c r="M7832" s="9" t="s">
        <v>1473</v>
      </c>
      <c r="N7832" s="6" t="s">
        <v>2073</v>
      </c>
      <c r="O7832" s="6" t="s">
        <v>704</v>
      </c>
      <c r="P7832" s="9" t="s">
        <v>41</v>
      </c>
      <c r="Q7832" s="9" t="s">
        <v>26</v>
      </c>
      <c r="R7832" s="9" t="s">
        <v>37</v>
      </c>
      <c r="S7832" s="7" t="s">
        <v>952</v>
      </c>
      <c r="T7832" s="9" t="s">
        <v>39</v>
      </c>
      <c r="U7832" s="7">
        <v>0.35</v>
      </c>
      <c r="V7832" s="12">
        <f>C7832+2</f>
        <v>40231</v>
      </c>
      <c r="W7832">
        <f>IF(D7832=' Pivot Tables'!$A$4,1,0)</f>
        <v>0</v>
      </c>
      <c r="X7832">
        <f>IF(AND(LEFT(D7832,4)+1=LEFT(' Pivot Tables'!$A$4,4)+0,RIGHT(LEFT(D7832,7),2)=RIGHT(LEFT(' Pivot Tables'!$A$4,7),2)),1,0)</f>
        <v>0</v>
      </c>
      <c r="Y7832" s="6">
        <f>1/COUNTIF(Таблица1[Order ID],Таблица1[[#This Row],[Order ID]])</f>
        <v>1</v>
      </c>
      <c r="Z7832" s="9">
        <f>1/COUNTIFS(Таблица1[Customer Name],Таблица1[[#This Row],[Customer Name]],Таблица1[Order-Year-Month],Таблица1[[#This Row],[Order-Year-Month]])</f>
        <v>0.25</v>
      </c>
    </row>
    <row r="7833" spans="1:26" x14ac:dyDescent="0.2">
      <c r="A7833" s="6">
        <v>190</v>
      </c>
      <c r="B7833" s="7">
        <v>1280</v>
      </c>
      <c r="C7833" s="8">
        <f>DATE(2012,12,31)-1086</f>
        <v>40188</v>
      </c>
      <c r="D7833" s="8" t="str">
        <f t="shared" si="149"/>
        <v>2010-01 (январь 2010)</v>
      </c>
      <c r="E7833" s="9" t="s">
        <v>21</v>
      </c>
      <c r="F7833" s="7">
        <v>40</v>
      </c>
      <c r="G7833" s="7">
        <v>827.27</v>
      </c>
      <c r="H7833" s="7">
        <v>0.05</v>
      </c>
      <c r="I7833" s="9" t="s">
        <v>22</v>
      </c>
      <c r="J7833" s="10">
        <v>-170.87</v>
      </c>
      <c r="K7833" s="11">
        <v>20.97</v>
      </c>
      <c r="L7833" s="11">
        <v>6.5</v>
      </c>
      <c r="M7833" s="9" t="s">
        <v>1473</v>
      </c>
      <c r="N7833" s="6" t="s">
        <v>2073</v>
      </c>
      <c r="O7833" s="6" t="s">
        <v>704</v>
      </c>
      <c r="P7833" s="9" t="s">
        <v>41</v>
      </c>
      <c r="Q7833" s="9" t="s">
        <v>42</v>
      </c>
      <c r="R7833" s="9" t="s">
        <v>70</v>
      </c>
      <c r="S7833" s="7" t="s">
        <v>262</v>
      </c>
      <c r="T7833" s="9" t="s">
        <v>39</v>
      </c>
      <c r="U7833" s="7">
        <v>0.78</v>
      </c>
      <c r="V7833" s="12">
        <f>C7833+0</f>
        <v>40188</v>
      </c>
      <c r="W7833">
        <f>IF(D7833=' Pivot Tables'!$A$4,1,0)</f>
        <v>1</v>
      </c>
      <c r="X7833">
        <f>IF(AND(LEFT(D7833,4)+1=LEFT(' Pivot Tables'!$A$4,4)+0,RIGHT(LEFT(D7833,7),2)=RIGHT(LEFT(' Pivot Tables'!$A$4,7),2)),1,0)</f>
        <v>0</v>
      </c>
      <c r="Y7833" s="6">
        <f>1/COUNTIF(Таблица1[Order ID],Таблица1[[#This Row],[Order ID]])</f>
        <v>1</v>
      </c>
      <c r="Z7833" s="9">
        <f>1/COUNTIFS(Таблица1[Customer Name],Таблица1[[#This Row],[Customer Name]],Таблица1[Order-Year-Month],Таблица1[[#This Row],[Order-Year-Month]])</f>
        <v>1</v>
      </c>
    </row>
    <row r="7834" spans="1:26" x14ac:dyDescent="0.2">
      <c r="A7834" s="6">
        <v>254</v>
      </c>
      <c r="B7834" s="7">
        <v>1764</v>
      </c>
      <c r="C7834" s="8">
        <f>DATE(2012,12,31)-282</f>
        <v>40992</v>
      </c>
      <c r="D7834" s="8" t="str">
        <f t="shared" si="149"/>
        <v>2012-03 (март 2012)</v>
      </c>
      <c r="E7834" s="9" t="s">
        <v>78</v>
      </c>
      <c r="F7834" s="7">
        <v>7</v>
      </c>
      <c r="G7834" s="7">
        <v>59.99</v>
      </c>
      <c r="H7834" s="7">
        <v>0.1</v>
      </c>
      <c r="I7834" s="9" t="s">
        <v>22</v>
      </c>
      <c r="J7834" s="10">
        <v>-13.78</v>
      </c>
      <c r="K7834" s="11">
        <v>8.34</v>
      </c>
      <c r="L7834" s="11">
        <v>4.82</v>
      </c>
      <c r="M7834" s="9" t="s">
        <v>1090</v>
      </c>
      <c r="N7834" s="6" t="s">
        <v>2073</v>
      </c>
      <c r="O7834" s="6" t="s">
        <v>704</v>
      </c>
      <c r="P7834" s="9" t="s">
        <v>25</v>
      </c>
      <c r="Q7834" s="9" t="s">
        <v>26</v>
      </c>
      <c r="R7834" s="9" t="s">
        <v>61</v>
      </c>
      <c r="S7834" s="7" t="s">
        <v>662</v>
      </c>
      <c r="T7834" s="9" t="s">
        <v>39</v>
      </c>
      <c r="U7834" s="7">
        <v>0.4</v>
      </c>
      <c r="V7834" s="12">
        <f>C7834+3</f>
        <v>40995</v>
      </c>
      <c r="W7834">
        <f>IF(D7834=' Pivot Tables'!$A$4,1,0)</f>
        <v>0</v>
      </c>
      <c r="X7834">
        <f>IF(AND(LEFT(D7834,4)+1=LEFT(' Pivot Tables'!$A$4,4)+0,RIGHT(LEFT(D7834,7),2)=RIGHT(LEFT(' Pivot Tables'!$A$4,7),2)),1,0)</f>
        <v>0</v>
      </c>
      <c r="Y7834" s="6">
        <f>1/COUNTIF(Таблица1[Order ID],Таблица1[[#This Row],[Order ID]])</f>
        <v>1</v>
      </c>
      <c r="Z7834" s="9">
        <f>1/COUNTIFS(Таблица1[Customer Name],Таблица1[[#This Row],[Customer Name]],Таблица1[Order-Year-Month],Таблица1[[#This Row],[Order-Year-Month]])</f>
        <v>1</v>
      </c>
    </row>
    <row r="7835" spans="1:26" x14ac:dyDescent="0.2">
      <c r="A7835" s="6">
        <v>261</v>
      </c>
      <c r="B7835" s="7">
        <v>1824</v>
      </c>
      <c r="C7835" s="8">
        <f>DATE(2012,12,31)-1337</f>
        <v>39937</v>
      </c>
      <c r="D7835" s="8" t="str">
        <f t="shared" si="149"/>
        <v>2009-05 (май 2009)</v>
      </c>
      <c r="E7835" s="9" t="s">
        <v>78</v>
      </c>
      <c r="F7835" s="7">
        <v>39</v>
      </c>
      <c r="G7835" s="7">
        <v>10656.26</v>
      </c>
      <c r="H7835" s="7">
        <v>0.06</v>
      </c>
      <c r="I7835" s="9" t="s">
        <v>22</v>
      </c>
      <c r="J7835" s="10">
        <v>3116.54</v>
      </c>
      <c r="K7835" s="11">
        <v>276.2</v>
      </c>
      <c r="L7835" s="11">
        <v>24.49</v>
      </c>
      <c r="M7835" s="9" t="s">
        <v>2096</v>
      </c>
      <c r="N7835" s="6" t="s">
        <v>2073</v>
      </c>
      <c r="O7835" s="6" t="s">
        <v>704</v>
      </c>
      <c r="P7835" s="9" t="s">
        <v>41</v>
      </c>
      <c r="Q7835" s="9" t="s">
        <v>49</v>
      </c>
      <c r="R7835" s="9" t="s">
        <v>112</v>
      </c>
      <c r="S7835" s="7" t="s">
        <v>164</v>
      </c>
      <c r="T7835" s="9" t="s">
        <v>29</v>
      </c>
      <c r="U7835" s="7"/>
      <c r="V7835" s="12">
        <f>C7835+1</f>
        <v>39938</v>
      </c>
      <c r="W7835">
        <f>IF(D7835=' Pivot Tables'!$A$4,1,0)</f>
        <v>0</v>
      </c>
      <c r="X7835">
        <f>IF(AND(LEFT(D7835,4)+1=LEFT(' Pivot Tables'!$A$4,4)+0,RIGHT(LEFT(D7835,7),2)=RIGHT(LEFT(' Pivot Tables'!$A$4,7),2)),1,0)</f>
        <v>0</v>
      </c>
      <c r="Y7835" s="6">
        <f>1/COUNTIF(Таблица1[Order ID],Таблица1[[#This Row],[Order ID]])</f>
        <v>0.5</v>
      </c>
      <c r="Z7835" s="9">
        <f>1/COUNTIFS(Таблица1[Customer Name],Таблица1[[#This Row],[Customer Name]],Таблица1[Order-Year-Month],Таблица1[[#This Row],[Order-Year-Month]])</f>
        <v>0.5</v>
      </c>
    </row>
    <row r="7836" spans="1:26" x14ac:dyDescent="0.2">
      <c r="A7836" s="6">
        <v>262</v>
      </c>
      <c r="B7836" s="7">
        <v>1824</v>
      </c>
      <c r="C7836" s="8">
        <f>DATE(2012,12,31)-1337</f>
        <v>39937</v>
      </c>
      <c r="D7836" s="8" t="str">
        <f t="shared" si="149"/>
        <v>2009-05 (май 2009)</v>
      </c>
      <c r="E7836" s="9" t="s">
        <v>78</v>
      </c>
      <c r="F7836" s="7">
        <v>2</v>
      </c>
      <c r="G7836" s="7">
        <v>17.059999999999999</v>
      </c>
      <c r="H7836" s="7">
        <v>0.09</v>
      </c>
      <c r="I7836" s="9" t="s">
        <v>22</v>
      </c>
      <c r="J7836" s="10">
        <v>-5.2</v>
      </c>
      <c r="K7836" s="11">
        <v>6.28</v>
      </c>
      <c r="L7836" s="11">
        <v>5.29</v>
      </c>
      <c r="M7836" s="9" t="s">
        <v>2096</v>
      </c>
      <c r="N7836" s="6" t="s">
        <v>2073</v>
      </c>
      <c r="O7836" s="6" t="s">
        <v>704</v>
      </c>
      <c r="P7836" s="9" t="s">
        <v>41</v>
      </c>
      <c r="Q7836" s="9" t="s">
        <v>49</v>
      </c>
      <c r="R7836" s="9" t="s">
        <v>50</v>
      </c>
      <c r="S7836" s="7" t="s">
        <v>612</v>
      </c>
      <c r="T7836" s="9" t="s">
        <v>39</v>
      </c>
      <c r="U7836" s="7">
        <v>0.43</v>
      </c>
      <c r="V7836" s="12">
        <f>C7836+0</f>
        <v>39937</v>
      </c>
      <c r="W7836">
        <f>IF(D7836=' Pivot Tables'!$A$4,1,0)</f>
        <v>0</v>
      </c>
      <c r="X7836">
        <f>IF(AND(LEFT(D7836,4)+1=LEFT(' Pivot Tables'!$A$4,4)+0,RIGHT(LEFT(D7836,7),2)=RIGHT(LEFT(' Pivot Tables'!$A$4,7),2)),1,0)</f>
        <v>0</v>
      </c>
      <c r="Y7836" s="6">
        <f>1/COUNTIF(Таблица1[Order ID],Таблица1[[#This Row],[Order ID]])</f>
        <v>0.5</v>
      </c>
      <c r="Z7836" s="9">
        <f>1/COUNTIFS(Таблица1[Customer Name],Таблица1[[#This Row],[Customer Name]],Таблица1[Order-Year-Month],Таблица1[[#This Row],[Order-Year-Month]])</f>
        <v>0.5</v>
      </c>
    </row>
    <row r="7837" spans="1:26" x14ac:dyDescent="0.2">
      <c r="A7837" s="6">
        <v>358</v>
      </c>
      <c r="B7837" s="7">
        <v>2503</v>
      </c>
      <c r="C7837" s="8">
        <f>DATE(2012,12,31)-926</f>
        <v>40348</v>
      </c>
      <c r="D7837" s="8" t="str">
        <f t="shared" si="149"/>
        <v>2010-06 (июнь 2010)</v>
      </c>
      <c r="E7837" s="9" t="s">
        <v>63</v>
      </c>
      <c r="F7837" s="7">
        <v>21</v>
      </c>
      <c r="G7837" s="7">
        <v>91.15</v>
      </c>
      <c r="H7837" s="7">
        <v>0.03</v>
      </c>
      <c r="I7837" s="9" t="s">
        <v>22</v>
      </c>
      <c r="J7837" s="10">
        <v>-71.541499999999999</v>
      </c>
      <c r="K7837" s="11">
        <v>4.13</v>
      </c>
      <c r="L7837" s="11">
        <v>5.34</v>
      </c>
      <c r="M7837" s="9" t="s">
        <v>1433</v>
      </c>
      <c r="N7837" s="6" t="s">
        <v>2073</v>
      </c>
      <c r="O7837" s="6" t="s">
        <v>704</v>
      </c>
      <c r="P7837" s="9" t="s">
        <v>41</v>
      </c>
      <c r="Q7837" s="9" t="s">
        <v>26</v>
      </c>
      <c r="R7837" s="9" t="s">
        <v>37</v>
      </c>
      <c r="S7837" s="7" t="s">
        <v>680</v>
      </c>
      <c r="T7837" s="9" t="s">
        <v>39</v>
      </c>
      <c r="U7837" s="7">
        <v>0.38</v>
      </c>
      <c r="V7837" s="12">
        <f>C7837+1</f>
        <v>40349</v>
      </c>
      <c r="W7837">
        <f>IF(D7837=' Pivot Tables'!$A$4,1,0)</f>
        <v>0</v>
      </c>
      <c r="X7837">
        <f>IF(AND(LEFT(D7837,4)+1=LEFT(' Pivot Tables'!$A$4,4)+0,RIGHT(LEFT(D7837,7),2)=RIGHT(LEFT(' Pivot Tables'!$A$4,7),2)),1,0)</f>
        <v>0</v>
      </c>
      <c r="Y7837" s="6">
        <f>1/COUNTIF(Таблица1[Order ID],Таблица1[[#This Row],[Order ID]])</f>
        <v>0.33333333333333331</v>
      </c>
      <c r="Z7837" s="9">
        <f>1/COUNTIFS(Таблица1[Customer Name],Таблица1[[#This Row],[Customer Name]],Таблица1[Order-Year-Month],Таблица1[[#This Row],[Order-Year-Month]])</f>
        <v>0.33333333333333331</v>
      </c>
    </row>
    <row r="7838" spans="1:26" x14ac:dyDescent="0.2">
      <c r="A7838" s="6">
        <v>359</v>
      </c>
      <c r="B7838" s="7">
        <v>2503</v>
      </c>
      <c r="C7838" s="8">
        <f>DATE(2012,12,31)-926</f>
        <v>40348</v>
      </c>
      <c r="D7838" s="8" t="str">
        <f t="shared" si="149"/>
        <v>2010-06 (июнь 2010)</v>
      </c>
      <c r="E7838" s="9" t="s">
        <v>63</v>
      </c>
      <c r="F7838" s="7">
        <v>46</v>
      </c>
      <c r="G7838" s="7">
        <v>171.48</v>
      </c>
      <c r="H7838" s="7">
        <v>0.1</v>
      </c>
      <c r="I7838" s="9" t="s">
        <v>22</v>
      </c>
      <c r="J7838" s="10">
        <v>66.13</v>
      </c>
      <c r="K7838" s="11">
        <v>4.13</v>
      </c>
      <c r="L7838" s="11">
        <v>0.5</v>
      </c>
      <c r="M7838" s="9" t="s">
        <v>1433</v>
      </c>
      <c r="N7838" s="6" t="s">
        <v>2073</v>
      </c>
      <c r="O7838" s="6" t="s">
        <v>704</v>
      </c>
      <c r="P7838" s="9" t="s">
        <v>41</v>
      </c>
      <c r="Q7838" s="9" t="s">
        <v>26</v>
      </c>
      <c r="R7838" s="9" t="s">
        <v>88</v>
      </c>
      <c r="S7838" s="7" t="s">
        <v>184</v>
      </c>
      <c r="T7838" s="9" t="s">
        <v>39</v>
      </c>
      <c r="U7838" s="7">
        <v>0.39</v>
      </c>
      <c r="V7838" s="12">
        <f>C7838+1</f>
        <v>40349</v>
      </c>
      <c r="W7838">
        <f>IF(D7838=' Pivot Tables'!$A$4,1,0)</f>
        <v>0</v>
      </c>
      <c r="X7838">
        <f>IF(AND(LEFT(D7838,4)+1=LEFT(' Pivot Tables'!$A$4,4)+0,RIGHT(LEFT(D7838,7),2)=RIGHT(LEFT(' Pivot Tables'!$A$4,7),2)),1,0)</f>
        <v>0</v>
      </c>
      <c r="Y7838" s="6">
        <f>1/COUNTIF(Таблица1[Order ID],Таблица1[[#This Row],[Order ID]])</f>
        <v>0.33333333333333331</v>
      </c>
      <c r="Z7838" s="9">
        <f>1/COUNTIFS(Таблица1[Customer Name],Таблица1[[#This Row],[Customer Name]],Таблица1[Order-Year-Month],Таблица1[[#This Row],[Order-Year-Month]])</f>
        <v>0.33333333333333331</v>
      </c>
    </row>
    <row r="7839" spans="1:26" x14ac:dyDescent="0.2">
      <c r="A7839" s="6">
        <v>360</v>
      </c>
      <c r="B7839" s="7">
        <v>2503</v>
      </c>
      <c r="C7839" s="8">
        <f>DATE(2012,12,31)-926</f>
        <v>40348</v>
      </c>
      <c r="D7839" s="8" t="str">
        <f t="shared" si="149"/>
        <v>2010-06 (июнь 2010)</v>
      </c>
      <c r="E7839" s="9" t="s">
        <v>63</v>
      </c>
      <c r="F7839" s="7">
        <v>9</v>
      </c>
      <c r="G7839" s="7">
        <v>162.15450000000001</v>
      </c>
      <c r="H7839" s="7">
        <v>0.08</v>
      </c>
      <c r="I7839" s="9" t="s">
        <v>22</v>
      </c>
      <c r="J7839" s="10">
        <v>-73.744</v>
      </c>
      <c r="K7839" s="11">
        <v>20.99</v>
      </c>
      <c r="L7839" s="11">
        <v>4.8099999999999996</v>
      </c>
      <c r="M7839" s="9" t="s">
        <v>1433</v>
      </c>
      <c r="N7839" s="6" t="s">
        <v>2073</v>
      </c>
      <c r="O7839" s="6" t="s">
        <v>704</v>
      </c>
      <c r="P7839" s="9" t="s">
        <v>41</v>
      </c>
      <c r="Q7839" s="9" t="s">
        <v>42</v>
      </c>
      <c r="R7839" s="9" t="s">
        <v>43</v>
      </c>
      <c r="S7839" s="7" t="s">
        <v>760</v>
      </c>
      <c r="T7839" s="9" t="s">
        <v>48</v>
      </c>
      <c r="U7839" s="7">
        <v>0.57999999999999996</v>
      </c>
      <c r="V7839" s="12">
        <f>C7839+2</f>
        <v>40350</v>
      </c>
      <c r="W7839">
        <f>IF(D7839=' Pivot Tables'!$A$4,1,0)</f>
        <v>0</v>
      </c>
      <c r="X7839">
        <f>IF(AND(LEFT(D7839,4)+1=LEFT(' Pivot Tables'!$A$4,4)+0,RIGHT(LEFT(D7839,7),2)=RIGHT(LEFT(' Pivot Tables'!$A$4,7),2)),1,0)</f>
        <v>0</v>
      </c>
      <c r="Y7839" s="6">
        <f>1/COUNTIF(Таблица1[Order ID],Таблица1[[#This Row],[Order ID]])</f>
        <v>0.33333333333333331</v>
      </c>
      <c r="Z7839" s="9">
        <f>1/COUNTIFS(Таблица1[Customer Name],Таблица1[[#This Row],[Customer Name]],Таблица1[Order-Year-Month],Таблица1[[#This Row],[Order-Year-Month]])</f>
        <v>0.33333333333333331</v>
      </c>
    </row>
    <row r="7840" spans="1:26" x14ac:dyDescent="0.2">
      <c r="A7840" s="6">
        <v>595</v>
      </c>
      <c r="B7840" s="7">
        <v>4069</v>
      </c>
      <c r="C7840" s="8">
        <f>DATE(2012,12,31)-233</f>
        <v>41041</v>
      </c>
      <c r="D7840" s="8" t="str">
        <f t="shared" si="149"/>
        <v>2012-05 (май 2012)</v>
      </c>
      <c r="E7840" s="9" t="s">
        <v>63</v>
      </c>
      <c r="F7840" s="7">
        <v>8</v>
      </c>
      <c r="G7840" s="7">
        <v>54.43</v>
      </c>
      <c r="H7840" s="7">
        <v>0.08</v>
      </c>
      <c r="I7840" s="9" t="s">
        <v>22</v>
      </c>
      <c r="J7840" s="10">
        <v>-31.63</v>
      </c>
      <c r="K7840" s="11">
        <v>6.48</v>
      </c>
      <c r="L7840" s="11">
        <v>6.74</v>
      </c>
      <c r="M7840" s="9" t="s">
        <v>1473</v>
      </c>
      <c r="N7840" s="6" t="s">
        <v>2073</v>
      </c>
      <c r="O7840" s="6" t="s">
        <v>704</v>
      </c>
      <c r="P7840" s="9" t="s">
        <v>33</v>
      </c>
      <c r="Q7840" s="9" t="s">
        <v>26</v>
      </c>
      <c r="R7840" s="9" t="s">
        <v>61</v>
      </c>
      <c r="S7840" s="7" t="s">
        <v>1761</v>
      </c>
      <c r="T7840" s="9" t="s">
        <v>39</v>
      </c>
      <c r="U7840" s="7">
        <v>0.37</v>
      </c>
      <c r="V7840" s="12">
        <f>C7840+2</f>
        <v>41043</v>
      </c>
      <c r="W7840">
        <f>IF(D7840=' Pivot Tables'!$A$4,1,0)</f>
        <v>0</v>
      </c>
      <c r="X7840">
        <f>IF(AND(LEFT(D7840,4)+1=LEFT(' Pivot Tables'!$A$4,4)+0,RIGHT(LEFT(D7840,7),2)=RIGHT(LEFT(' Pivot Tables'!$A$4,7),2)),1,0)</f>
        <v>0</v>
      </c>
      <c r="Y7840" s="6">
        <f>1/COUNTIF(Таблица1[Order ID],Таблица1[[#This Row],[Order ID]])</f>
        <v>0.33333333333333331</v>
      </c>
      <c r="Z7840" s="9">
        <f>1/COUNTIFS(Таблица1[Customer Name],Таблица1[[#This Row],[Customer Name]],Таблица1[Order-Year-Month],Таблица1[[#This Row],[Order-Year-Month]])</f>
        <v>0.33333333333333331</v>
      </c>
    </row>
    <row r="7841" spans="1:26" x14ac:dyDescent="0.2">
      <c r="A7841" s="6">
        <v>596</v>
      </c>
      <c r="B7841" s="7">
        <v>4069</v>
      </c>
      <c r="C7841" s="8">
        <f>DATE(2012,12,31)-233</f>
        <v>41041</v>
      </c>
      <c r="D7841" s="8" t="str">
        <f t="shared" si="149"/>
        <v>2012-05 (май 2012)</v>
      </c>
      <c r="E7841" s="9" t="s">
        <v>63</v>
      </c>
      <c r="F7841" s="7">
        <v>47</v>
      </c>
      <c r="G7841" s="7">
        <v>124.94</v>
      </c>
      <c r="H7841" s="7">
        <v>0.1</v>
      </c>
      <c r="I7841" s="9" t="s">
        <v>56</v>
      </c>
      <c r="J7841" s="10">
        <v>-2.4</v>
      </c>
      <c r="K7841" s="11">
        <v>2.78</v>
      </c>
      <c r="L7841" s="11">
        <v>1.34</v>
      </c>
      <c r="M7841" s="9" t="s">
        <v>1473</v>
      </c>
      <c r="N7841" s="6" t="s">
        <v>2073</v>
      </c>
      <c r="O7841" s="6" t="s">
        <v>704</v>
      </c>
      <c r="P7841" s="9" t="s">
        <v>33</v>
      </c>
      <c r="Q7841" s="9" t="s">
        <v>26</v>
      </c>
      <c r="R7841" s="9" t="s">
        <v>95</v>
      </c>
      <c r="S7841" s="7" t="s">
        <v>256</v>
      </c>
      <c r="T7841" s="9" t="s">
        <v>68</v>
      </c>
      <c r="U7841" s="7">
        <v>0.45</v>
      </c>
      <c r="V7841" s="12">
        <f>C7841+0</f>
        <v>41041</v>
      </c>
      <c r="W7841">
        <f>IF(D7841=' Pivot Tables'!$A$4,1,0)</f>
        <v>0</v>
      </c>
      <c r="X7841">
        <f>IF(AND(LEFT(D7841,4)+1=LEFT(' Pivot Tables'!$A$4,4)+0,RIGHT(LEFT(D7841,7),2)=RIGHT(LEFT(' Pivot Tables'!$A$4,7),2)),1,0)</f>
        <v>0</v>
      </c>
      <c r="Y7841" s="6">
        <f>1/COUNTIF(Таблица1[Order ID],Таблица1[[#This Row],[Order ID]])</f>
        <v>0.33333333333333331</v>
      </c>
      <c r="Z7841" s="9">
        <f>1/COUNTIFS(Таблица1[Customer Name],Таблица1[[#This Row],[Customer Name]],Таблица1[Order-Year-Month],Таблица1[[#This Row],[Order-Year-Month]])</f>
        <v>0.33333333333333331</v>
      </c>
    </row>
    <row r="7842" spans="1:26" x14ac:dyDescent="0.2">
      <c r="A7842" s="6">
        <v>597</v>
      </c>
      <c r="B7842" s="7">
        <v>4069</v>
      </c>
      <c r="C7842" s="8">
        <f>DATE(2012,12,31)-233</f>
        <v>41041</v>
      </c>
      <c r="D7842" s="8" t="str">
        <f t="shared" si="149"/>
        <v>2012-05 (май 2012)</v>
      </c>
      <c r="E7842" s="9" t="s">
        <v>63</v>
      </c>
      <c r="F7842" s="7">
        <v>30</v>
      </c>
      <c r="G7842" s="7">
        <v>78.459999999999994</v>
      </c>
      <c r="H7842" s="7">
        <v>0.05</v>
      </c>
      <c r="I7842" s="9" t="s">
        <v>22</v>
      </c>
      <c r="J7842" s="10">
        <v>18.57</v>
      </c>
      <c r="K7842" s="11">
        <v>2.62</v>
      </c>
      <c r="L7842" s="11">
        <v>0.8</v>
      </c>
      <c r="M7842" s="9" t="s">
        <v>1473</v>
      </c>
      <c r="N7842" s="6" t="s">
        <v>2073</v>
      </c>
      <c r="O7842" s="6" t="s">
        <v>704</v>
      </c>
      <c r="P7842" s="9" t="s">
        <v>33</v>
      </c>
      <c r="Q7842" s="9" t="s">
        <v>26</v>
      </c>
      <c r="R7842" s="9" t="s">
        <v>66</v>
      </c>
      <c r="S7842" s="7" t="s">
        <v>861</v>
      </c>
      <c r="T7842" s="9" t="s">
        <v>68</v>
      </c>
      <c r="U7842" s="7">
        <v>0.39</v>
      </c>
      <c r="V7842" s="12">
        <f>C7842+3</f>
        <v>41044</v>
      </c>
      <c r="W7842">
        <f>IF(D7842=' Pivot Tables'!$A$4,1,0)</f>
        <v>0</v>
      </c>
      <c r="X7842">
        <f>IF(AND(LEFT(D7842,4)+1=LEFT(' Pivot Tables'!$A$4,4)+0,RIGHT(LEFT(D7842,7),2)=RIGHT(LEFT(' Pivot Tables'!$A$4,7),2)),1,0)</f>
        <v>0</v>
      </c>
      <c r="Y7842" s="6">
        <f>1/COUNTIF(Таблица1[Order ID],Таблица1[[#This Row],[Order ID]])</f>
        <v>0.33333333333333331</v>
      </c>
      <c r="Z7842" s="9">
        <f>1/COUNTIFS(Таблица1[Customer Name],Таблица1[[#This Row],[Customer Name]],Таблица1[Order-Year-Month],Таблица1[[#This Row],[Order-Year-Month]])</f>
        <v>0.33333333333333331</v>
      </c>
    </row>
    <row r="7843" spans="1:26" x14ac:dyDescent="0.2">
      <c r="A7843" s="6">
        <v>659</v>
      </c>
      <c r="B7843" s="7">
        <v>4645</v>
      </c>
      <c r="C7843" s="8">
        <f>DATE(2012,12,31)-1199</f>
        <v>40075</v>
      </c>
      <c r="D7843" s="8" t="str">
        <f t="shared" si="149"/>
        <v>2009-09 (сентябрь 2009)</v>
      </c>
      <c r="E7843" s="9" t="s">
        <v>78</v>
      </c>
      <c r="F7843" s="7">
        <v>30</v>
      </c>
      <c r="G7843" s="7">
        <v>920</v>
      </c>
      <c r="H7843" s="7">
        <v>0.08</v>
      </c>
      <c r="I7843" s="9" t="s">
        <v>22</v>
      </c>
      <c r="J7843" s="10">
        <v>-45.07</v>
      </c>
      <c r="K7843" s="11">
        <v>30.73</v>
      </c>
      <c r="L7843" s="11">
        <v>4</v>
      </c>
      <c r="M7843" s="9" t="s">
        <v>1791</v>
      </c>
      <c r="N7843" s="6" t="s">
        <v>2073</v>
      </c>
      <c r="O7843" s="6" t="s">
        <v>704</v>
      </c>
      <c r="P7843" s="9" t="s">
        <v>25</v>
      </c>
      <c r="Q7843" s="9" t="s">
        <v>42</v>
      </c>
      <c r="R7843" s="9" t="s">
        <v>70</v>
      </c>
      <c r="S7843" s="7" t="s">
        <v>270</v>
      </c>
      <c r="T7843" s="9" t="s">
        <v>39</v>
      </c>
      <c r="U7843" s="7">
        <v>0.75</v>
      </c>
      <c r="V7843" s="12">
        <f>C7843+0</f>
        <v>40075</v>
      </c>
      <c r="W7843">
        <f>IF(D7843=' Pivot Tables'!$A$4,1,0)</f>
        <v>0</v>
      </c>
      <c r="X7843">
        <f>IF(AND(LEFT(D7843,4)+1=LEFT(' Pivot Tables'!$A$4,4)+0,RIGHT(LEFT(D7843,7),2)=RIGHT(LEFT(' Pivot Tables'!$A$4,7),2)),1,0)</f>
        <v>0</v>
      </c>
      <c r="Y7843" s="6">
        <f>1/COUNTIF(Таблица1[Order ID],Таблица1[[#This Row],[Order ID]])</f>
        <v>0.33333333333333331</v>
      </c>
      <c r="Z7843" s="9">
        <f>1/COUNTIFS(Таблица1[Customer Name],Таблица1[[#This Row],[Customer Name]],Таблица1[Order-Year-Month],Таблица1[[#This Row],[Order-Year-Month]])</f>
        <v>0.33333333333333331</v>
      </c>
    </row>
    <row r="7844" spans="1:26" x14ac:dyDescent="0.2">
      <c r="A7844" s="6">
        <v>660</v>
      </c>
      <c r="B7844" s="7">
        <v>4645</v>
      </c>
      <c r="C7844" s="8">
        <f>DATE(2012,12,31)-1199</f>
        <v>40075</v>
      </c>
      <c r="D7844" s="8" t="str">
        <f t="shared" si="149"/>
        <v>2009-09 (сентябрь 2009)</v>
      </c>
      <c r="E7844" s="9" t="s">
        <v>78</v>
      </c>
      <c r="F7844" s="7">
        <v>7</v>
      </c>
      <c r="G7844" s="7">
        <v>104.2</v>
      </c>
      <c r="H7844" s="7">
        <v>0.05</v>
      </c>
      <c r="I7844" s="9" t="s">
        <v>22</v>
      </c>
      <c r="J7844" s="10">
        <v>-8.5299999999999994</v>
      </c>
      <c r="K7844" s="11">
        <v>14.56</v>
      </c>
      <c r="L7844" s="11">
        <v>3.5</v>
      </c>
      <c r="M7844" s="9" t="s">
        <v>1791</v>
      </c>
      <c r="N7844" s="6" t="s">
        <v>2073</v>
      </c>
      <c r="O7844" s="6" t="s">
        <v>704</v>
      </c>
      <c r="P7844" s="9" t="s">
        <v>25</v>
      </c>
      <c r="Q7844" s="9" t="s">
        <v>26</v>
      </c>
      <c r="R7844" s="9" t="s">
        <v>34</v>
      </c>
      <c r="S7844" s="7" t="s">
        <v>925</v>
      </c>
      <c r="T7844" s="9" t="s">
        <v>39</v>
      </c>
      <c r="U7844" s="7">
        <v>0.57999999999999996</v>
      </c>
      <c r="V7844" s="12">
        <f>C7844+2</f>
        <v>40077</v>
      </c>
      <c r="W7844">
        <f>IF(D7844=' Pivot Tables'!$A$4,1,0)</f>
        <v>0</v>
      </c>
      <c r="X7844">
        <f>IF(AND(LEFT(D7844,4)+1=LEFT(' Pivot Tables'!$A$4,4)+0,RIGHT(LEFT(D7844,7),2)=RIGHT(LEFT(' Pivot Tables'!$A$4,7),2)),1,0)</f>
        <v>0</v>
      </c>
      <c r="Y7844" s="6">
        <f>1/COUNTIF(Таблица1[Order ID],Таблица1[[#This Row],[Order ID]])</f>
        <v>0.33333333333333331</v>
      </c>
      <c r="Z7844" s="9">
        <f>1/COUNTIFS(Таблица1[Customer Name],Таблица1[[#This Row],[Customer Name]],Таблица1[Order-Year-Month],Таблица1[[#This Row],[Order-Year-Month]])</f>
        <v>0.33333333333333331</v>
      </c>
    </row>
    <row r="7845" spans="1:26" x14ac:dyDescent="0.2">
      <c r="A7845" s="6">
        <v>661</v>
      </c>
      <c r="B7845" s="7">
        <v>4645</v>
      </c>
      <c r="C7845" s="8">
        <f>DATE(2012,12,31)-1199</f>
        <v>40075</v>
      </c>
      <c r="D7845" s="8" t="str">
        <f t="shared" si="149"/>
        <v>2009-09 (сентябрь 2009)</v>
      </c>
      <c r="E7845" s="9" t="s">
        <v>78</v>
      </c>
      <c r="F7845" s="7">
        <v>11</v>
      </c>
      <c r="G7845" s="7">
        <v>3563.88</v>
      </c>
      <c r="H7845" s="7">
        <v>0</v>
      </c>
      <c r="I7845" s="9" t="s">
        <v>22</v>
      </c>
      <c r="J7845" s="10">
        <v>285.95</v>
      </c>
      <c r="K7845" s="11">
        <v>299.99</v>
      </c>
      <c r="L7845" s="11">
        <v>11.64</v>
      </c>
      <c r="M7845" s="9" t="s">
        <v>1791</v>
      </c>
      <c r="N7845" s="6" t="s">
        <v>2073</v>
      </c>
      <c r="O7845" s="6" t="s">
        <v>704</v>
      </c>
      <c r="P7845" s="9" t="s">
        <v>25</v>
      </c>
      <c r="Q7845" s="9" t="s">
        <v>42</v>
      </c>
      <c r="R7845" s="9" t="s">
        <v>99</v>
      </c>
      <c r="S7845" s="7" t="s">
        <v>1425</v>
      </c>
      <c r="T7845" s="9" t="s">
        <v>29</v>
      </c>
      <c r="U7845" s="7">
        <v>0.5</v>
      </c>
      <c r="V7845" s="12">
        <f>C7845+2</f>
        <v>40077</v>
      </c>
      <c r="W7845">
        <f>IF(D7845=' Pivot Tables'!$A$4,1,0)</f>
        <v>0</v>
      </c>
      <c r="X7845">
        <f>IF(AND(LEFT(D7845,4)+1=LEFT(' Pivot Tables'!$A$4,4)+0,RIGHT(LEFT(D7845,7),2)=RIGHT(LEFT(' Pivot Tables'!$A$4,7),2)),1,0)</f>
        <v>0</v>
      </c>
      <c r="Y7845" s="6">
        <f>1/COUNTIF(Таблица1[Order ID],Таблица1[[#This Row],[Order ID]])</f>
        <v>0.33333333333333331</v>
      </c>
      <c r="Z7845" s="9">
        <f>1/COUNTIFS(Таблица1[Customer Name],Таблица1[[#This Row],[Customer Name]],Таблица1[Order-Year-Month],Таблица1[[#This Row],[Order-Year-Month]])</f>
        <v>0.33333333333333331</v>
      </c>
    </row>
    <row r="7846" spans="1:26" x14ac:dyDescent="0.2">
      <c r="A7846" s="6">
        <v>811</v>
      </c>
      <c r="B7846" s="7">
        <v>5858</v>
      </c>
      <c r="C7846" s="8">
        <f>DATE(2012,12,31)-171</f>
        <v>41103</v>
      </c>
      <c r="D7846" s="8" t="str">
        <f t="shared" si="149"/>
        <v>2012-07 (июль 2012)</v>
      </c>
      <c r="E7846" s="9" t="s">
        <v>45</v>
      </c>
      <c r="F7846" s="7">
        <v>48</v>
      </c>
      <c r="G7846" s="7">
        <v>2531.66</v>
      </c>
      <c r="H7846" s="7">
        <v>0.02</v>
      </c>
      <c r="I7846" s="9" t="s">
        <v>22</v>
      </c>
      <c r="J7846" s="10">
        <v>354.74</v>
      </c>
      <c r="K7846" s="11">
        <v>50.98</v>
      </c>
      <c r="L7846" s="11">
        <v>13.66</v>
      </c>
      <c r="M7846" s="9" t="s">
        <v>2095</v>
      </c>
      <c r="N7846" s="6" t="s">
        <v>2073</v>
      </c>
      <c r="O7846" s="6" t="s">
        <v>704</v>
      </c>
      <c r="P7846" s="9" t="s">
        <v>25</v>
      </c>
      <c r="Q7846" s="9" t="s">
        <v>26</v>
      </c>
      <c r="R7846" s="9" t="s">
        <v>34</v>
      </c>
      <c r="S7846" s="7" t="s">
        <v>517</v>
      </c>
      <c r="T7846" s="9" t="s">
        <v>39</v>
      </c>
      <c r="U7846" s="7">
        <v>0.57999999999999996</v>
      </c>
      <c r="V7846" s="12">
        <f>C7846+2</f>
        <v>41105</v>
      </c>
      <c r="W7846">
        <f>IF(D7846=' Pivot Tables'!$A$4,1,0)</f>
        <v>0</v>
      </c>
      <c r="X7846">
        <f>IF(AND(LEFT(D7846,4)+1=LEFT(' Pivot Tables'!$A$4,4)+0,RIGHT(LEFT(D7846,7),2)=RIGHT(LEFT(' Pivot Tables'!$A$4,7),2)),1,0)</f>
        <v>0</v>
      </c>
      <c r="Y7846" s="6">
        <f>1/COUNTIF(Таблица1[Order ID],Таблица1[[#This Row],[Order ID]])</f>
        <v>0.5</v>
      </c>
      <c r="Z7846" s="9">
        <f>1/COUNTIFS(Таблица1[Customer Name],Таблица1[[#This Row],[Customer Name]],Таблица1[Order-Year-Month],Таблица1[[#This Row],[Order-Year-Month]])</f>
        <v>0.5</v>
      </c>
    </row>
    <row r="7847" spans="1:26" x14ac:dyDescent="0.2">
      <c r="A7847" s="6">
        <v>812</v>
      </c>
      <c r="B7847" s="7">
        <v>5858</v>
      </c>
      <c r="C7847" s="8">
        <f>DATE(2012,12,31)-171</f>
        <v>41103</v>
      </c>
      <c r="D7847" s="8" t="str">
        <f t="shared" si="149"/>
        <v>2012-07 (июль 2012)</v>
      </c>
      <c r="E7847" s="9" t="s">
        <v>45</v>
      </c>
      <c r="F7847" s="7">
        <v>29</v>
      </c>
      <c r="G7847" s="7">
        <v>5382.3104999999996</v>
      </c>
      <c r="H7847" s="7">
        <v>0</v>
      </c>
      <c r="I7847" s="9" t="s">
        <v>22</v>
      </c>
      <c r="J7847" s="10">
        <v>1419.048</v>
      </c>
      <c r="K7847" s="11">
        <v>205.99</v>
      </c>
      <c r="L7847" s="11">
        <v>8.99</v>
      </c>
      <c r="M7847" s="9" t="s">
        <v>2095</v>
      </c>
      <c r="N7847" s="6" t="s">
        <v>2073</v>
      </c>
      <c r="O7847" s="6" t="s">
        <v>704</v>
      </c>
      <c r="P7847" s="9" t="s">
        <v>25</v>
      </c>
      <c r="Q7847" s="9" t="s">
        <v>42</v>
      </c>
      <c r="R7847" s="9" t="s">
        <v>43</v>
      </c>
      <c r="S7847" s="7" t="s">
        <v>1162</v>
      </c>
      <c r="T7847" s="9" t="s">
        <v>39</v>
      </c>
      <c r="U7847" s="7">
        <v>0.57999999999999996</v>
      </c>
      <c r="V7847" s="12">
        <f>C7847+2</f>
        <v>41105</v>
      </c>
      <c r="W7847">
        <f>IF(D7847=' Pivot Tables'!$A$4,1,0)</f>
        <v>0</v>
      </c>
      <c r="X7847">
        <f>IF(AND(LEFT(D7847,4)+1=LEFT(' Pivot Tables'!$A$4,4)+0,RIGHT(LEFT(D7847,7),2)=RIGHT(LEFT(' Pivot Tables'!$A$4,7),2)),1,0)</f>
        <v>0</v>
      </c>
      <c r="Y7847" s="6">
        <f>1/COUNTIF(Таблица1[Order ID],Таблица1[[#This Row],[Order ID]])</f>
        <v>0.5</v>
      </c>
      <c r="Z7847" s="9">
        <f>1/COUNTIFS(Таблица1[Customer Name],Таблица1[[#This Row],[Customer Name]],Таблица1[Order-Year-Month],Таблица1[[#This Row],[Order-Year-Month]])</f>
        <v>0.5</v>
      </c>
    </row>
    <row r="7848" spans="1:26" x14ac:dyDescent="0.2">
      <c r="A7848" s="6">
        <v>877</v>
      </c>
      <c r="B7848" s="7">
        <v>6304</v>
      </c>
      <c r="C7848" s="8">
        <f>DATE(2012,12,31)-508</f>
        <v>40766</v>
      </c>
      <c r="D7848" s="8" t="str">
        <f t="shared" si="149"/>
        <v>2011-08 (август 2011)</v>
      </c>
      <c r="E7848" s="9" t="s">
        <v>30</v>
      </c>
      <c r="F7848" s="7">
        <v>30</v>
      </c>
      <c r="G7848" s="7">
        <v>199.11</v>
      </c>
      <c r="H7848" s="7">
        <v>0.01</v>
      </c>
      <c r="I7848" s="9" t="s">
        <v>22</v>
      </c>
      <c r="J7848" s="10">
        <v>-83.33</v>
      </c>
      <c r="K7848" s="11">
        <v>6.48</v>
      </c>
      <c r="L7848" s="11">
        <v>6.65</v>
      </c>
      <c r="M7848" s="9" t="s">
        <v>2097</v>
      </c>
      <c r="N7848" s="6" t="s">
        <v>2073</v>
      </c>
      <c r="O7848" s="6" t="s">
        <v>704</v>
      </c>
      <c r="P7848" s="9" t="s">
        <v>41</v>
      </c>
      <c r="Q7848" s="9" t="s">
        <v>26</v>
      </c>
      <c r="R7848" s="9" t="s">
        <v>61</v>
      </c>
      <c r="S7848" s="7" t="s">
        <v>152</v>
      </c>
      <c r="T7848" s="9" t="s">
        <v>39</v>
      </c>
      <c r="U7848" s="7">
        <v>0.36</v>
      </c>
      <c r="V7848" s="12">
        <f>C7848+2</f>
        <v>40768</v>
      </c>
      <c r="W7848">
        <f>IF(D7848=' Pivot Tables'!$A$4,1,0)</f>
        <v>0</v>
      </c>
      <c r="X7848">
        <f>IF(AND(LEFT(D7848,4)+1=LEFT(' Pivot Tables'!$A$4,4)+0,RIGHT(LEFT(D7848,7),2)=RIGHT(LEFT(' Pivot Tables'!$A$4,7),2)),1,0)</f>
        <v>0</v>
      </c>
      <c r="Y7848" s="6">
        <f>1/COUNTIF(Таблица1[Order ID],Таблица1[[#This Row],[Order ID]])</f>
        <v>1</v>
      </c>
      <c r="Z7848" s="9">
        <f>1/COUNTIFS(Таблица1[Customer Name],Таблица1[[#This Row],[Customer Name]],Таблица1[Order-Year-Month],Таблица1[[#This Row],[Order-Year-Month]])</f>
        <v>1</v>
      </c>
    </row>
    <row r="7849" spans="1:26" x14ac:dyDescent="0.2">
      <c r="A7849" s="6">
        <v>923</v>
      </c>
      <c r="B7849" s="7">
        <v>6661</v>
      </c>
      <c r="C7849" s="8">
        <f>DATE(2012,12,31)-990</f>
        <v>40284</v>
      </c>
      <c r="D7849" s="8" t="str">
        <f t="shared" si="149"/>
        <v>2010-04 (апрель 2010)</v>
      </c>
      <c r="E7849" s="9" t="s">
        <v>21</v>
      </c>
      <c r="F7849" s="7">
        <v>47</v>
      </c>
      <c r="G7849" s="7">
        <v>19224.919999999998</v>
      </c>
      <c r="H7849" s="7">
        <v>0.1</v>
      </c>
      <c r="I7849" s="9" t="s">
        <v>31</v>
      </c>
      <c r="J7849" s="10">
        <v>6635.15</v>
      </c>
      <c r="K7849" s="11">
        <v>449.99</v>
      </c>
      <c r="L7849" s="11">
        <v>49</v>
      </c>
      <c r="M7849" s="9" t="s">
        <v>1791</v>
      </c>
      <c r="N7849" s="6" t="s">
        <v>2073</v>
      </c>
      <c r="O7849" s="6" t="s">
        <v>704</v>
      </c>
      <c r="P7849" s="9" t="s">
        <v>25</v>
      </c>
      <c r="Q7849" s="9" t="s">
        <v>42</v>
      </c>
      <c r="R7849" s="9" t="s">
        <v>99</v>
      </c>
      <c r="S7849" s="7" t="s">
        <v>100</v>
      </c>
      <c r="T7849" s="9" t="s">
        <v>36</v>
      </c>
      <c r="U7849" s="7">
        <v>0.38</v>
      </c>
      <c r="V7849" s="12">
        <f>C7849+4</f>
        <v>40288</v>
      </c>
      <c r="W7849">
        <f>IF(D7849=' Pivot Tables'!$A$4,1,0)</f>
        <v>0</v>
      </c>
      <c r="X7849">
        <f>IF(AND(LEFT(D7849,4)+1=LEFT(' Pivot Tables'!$A$4,4)+0,RIGHT(LEFT(D7849,7),2)=RIGHT(LEFT(' Pivot Tables'!$A$4,7),2)),1,0)</f>
        <v>0</v>
      </c>
      <c r="Y7849" s="6">
        <f>1/COUNTIF(Таблица1[Order ID],Таблица1[[#This Row],[Order ID]])</f>
        <v>0.5</v>
      </c>
      <c r="Z7849" s="9">
        <f>1/COUNTIFS(Таблица1[Customer Name],Таблица1[[#This Row],[Customer Name]],Таблица1[Order-Year-Month],Таблица1[[#This Row],[Order-Year-Month]])</f>
        <v>0.5</v>
      </c>
    </row>
    <row r="7850" spans="1:26" x14ac:dyDescent="0.2">
      <c r="A7850" s="6">
        <v>924</v>
      </c>
      <c r="B7850" s="7">
        <v>6661</v>
      </c>
      <c r="C7850" s="8">
        <f>DATE(2012,12,31)-990</f>
        <v>40284</v>
      </c>
      <c r="D7850" s="8" t="str">
        <f t="shared" si="149"/>
        <v>2010-04 (апрель 2010)</v>
      </c>
      <c r="E7850" s="9" t="s">
        <v>21</v>
      </c>
      <c r="F7850" s="7">
        <v>39</v>
      </c>
      <c r="G7850" s="7">
        <v>778.62</v>
      </c>
      <c r="H7850" s="7">
        <v>0</v>
      </c>
      <c r="I7850" s="9" t="s">
        <v>22</v>
      </c>
      <c r="J7850" s="10">
        <v>247.24</v>
      </c>
      <c r="K7850" s="11">
        <v>19.23</v>
      </c>
      <c r="L7850" s="11">
        <v>6.15</v>
      </c>
      <c r="M7850" s="9" t="s">
        <v>1791</v>
      </c>
      <c r="N7850" s="6" t="s">
        <v>2073</v>
      </c>
      <c r="O7850" s="6" t="s">
        <v>704</v>
      </c>
      <c r="P7850" s="9" t="s">
        <v>25</v>
      </c>
      <c r="Q7850" s="9" t="s">
        <v>49</v>
      </c>
      <c r="R7850" s="9" t="s">
        <v>50</v>
      </c>
      <c r="S7850" s="7" t="s">
        <v>520</v>
      </c>
      <c r="T7850" s="9" t="s">
        <v>52</v>
      </c>
      <c r="U7850" s="7">
        <v>0.44</v>
      </c>
      <c r="V7850" s="12">
        <f>C7850+7</f>
        <v>40291</v>
      </c>
      <c r="W7850">
        <f>IF(D7850=' Pivot Tables'!$A$4,1,0)</f>
        <v>0</v>
      </c>
      <c r="X7850">
        <f>IF(AND(LEFT(D7850,4)+1=LEFT(' Pivot Tables'!$A$4,4)+0,RIGHT(LEFT(D7850,7),2)=RIGHT(LEFT(' Pivot Tables'!$A$4,7),2)),1,0)</f>
        <v>0</v>
      </c>
      <c r="Y7850" s="6">
        <f>1/COUNTIF(Таблица1[Order ID],Таблица1[[#This Row],[Order ID]])</f>
        <v>0.5</v>
      </c>
      <c r="Z7850" s="9">
        <f>1/COUNTIFS(Таблица1[Customer Name],Таблица1[[#This Row],[Customer Name]],Таблица1[Order-Year-Month],Таблица1[[#This Row],[Order-Year-Month]])</f>
        <v>0.5</v>
      </c>
    </row>
    <row r="7851" spans="1:26" x14ac:dyDescent="0.2">
      <c r="A7851" s="6">
        <v>934</v>
      </c>
      <c r="B7851" s="7">
        <v>6757</v>
      </c>
      <c r="C7851" s="8">
        <f>DATE(2012,12,31)-334</f>
        <v>40940</v>
      </c>
      <c r="D7851" s="8" t="str">
        <f t="shared" si="149"/>
        <v>2012-02 (февраль 2012)</v>
      </c>
      <c r="E7851" s="9" t="s">
        <v>63</v>
      </c>
      <c r="F7851" s="7">
        <v>27</v>
      </c>
      <c r="G7851" s="7">
        <v>869.78</v>
      </c>
      <c r="H7851" s="7">
        <v>0.1</v>
      </c>
      <c r="I7851" s="9" t="s">
        <v>22</v>
      </c>
      <c r="J7851" s="10">
        <v>43.36</v>
      </c>
      <c r="K7851" s="11">
        <v>34.76</v>
      </c>
      <c r="L7851" s="11">
        <v>8.2200000000000006</v>
      </c>
      <c r="M7851" s="9" t="s">
        <v>2098</v>
      </c>
      <c r="N7851" s="6" t="s">
        <v>2073</v>
      </c>
      <c r="O7851" s="6" t="s">
        <v>704</v>
      </c>
      <c r="P7851" s="9" t="s">
        <v>25</v>
      </c>
      <c r="Q7851" s="9" t="s">
        <v>26</v>
      </c>
      <c r="R7851" s="9" t="s">
        <v>27</v>
      </c>
      <c r="S7851" s="7" t="s">
        <v>247</v>
      </c>
      <c r="T7851" s="9" t="s">
        <v>39</v>
      </c>
      <c r="U7851" s="7">
        <v>0.56999999999999995</v>
      </c>
      <c r="V7851" s="12">
        <f>C7851+2</f>
        <v>40942</v>
      </c>
      <c r="W7851">
        <f>IF(D7851=' Pivot Tables'!$A$4,1,0)</f>
        <v>0</v>
      </c>
      <c r="X7851">
        <f>IF(AND(LEFT(D7851,4)+1=LEFT(' Pivot Tables'!$A$4,4)+0,RIGHT(LEFT(D7851,7),2)=RIGHT(LEFT(' Pivot Tables'!$A$4,7),2)),1,0)</f>
        <v>0</v>
      </c>
      <c r="Y7851" s="6">
        <f>1/COUNTIF(Таблица1[Order ID],Таблица1[[#This Row],[Order ID]])</f>
        <v>0.5</v>
      </c>
      <c r="Z7851" s="9">
        <f>1/COUNTIFS(Таблица1[Customer Name],Таблица1[[#This Row],[Customer Name]],Таблица1[Order-Year-Month],Таблица1[[#This Row],[Order-Year-Month]])</f>
        <v>0.33333333333333331</v>
      </c>
    </row>
    <row r="7852" spans="1:26" x14ac:dyDescent="0.2">
      <c r="A7852" s="6">
        <v>935</v>
      </c>
      <c r="B7852" s="7">
        <v>6757</v>
      </c>
      <c r="C7852" s="8">
        <f>DATE(2012,12,31)-334</f>
        <v>40940</v>
      </c>
      <c r="D7852" s="8" t="str">
        <f t="shared" si="149"/>
        <v>2012-02 (февраль 2012)</v>
      </c>
      <c r="E7852" s="9" t="s">
        <v>63</v>
      </c>
      <c r="F7852" s="7">
        <v>11</v>
      </c>
      <c r="G7852" s="7">
        <v>2503.0080000000003</v>
      </c>
      <c r="H7852" s="7">
        <v>0.1</v>
      </c>
      <c r="I7852" s="9" t="s">
        <v>31</v>
      </c>
      <c r="J7852" s="10">
        <v>-298.62</v>
      </c>
      <c r="K7852" s="11">
        <v>286.85000000000002</v>
      </c>
      <c r="L7852" s="11">
        <v>61.76</v>
      </c>
      <c r="M7852" s="9" t="s">
        <v>2098</v>
      </c>
      <c r="N7852" s="6" t="s">
        <v>2073</v>
      </c>
      <c r="O7852" s="6" t="s">
        <v>704</v>
      </c>
      <c r="P7852" s="9" t="s">
        <v>25</v>
      </c>
      <c r="Q7852" s="9" t="s">
        <v>49</v>
      </c>
      <c r="R7852" s="9" t="s">
        <v>83</v>
      </c>
      <c r="S7852" s="7" t="s">
        <v>1086</v>
      </c>
      <c r="T7852" s="9" t="s">
        <v>82</v>
      </c>
      <c r="U7852" s="7">
        <v>0.78</v>
      </c>
      <c r="V7852" s="12">
        <f>C7852+1</f>
        <v>40941</v>
      </c>
      <c r="W7852">
        <f>IF(D7852=' Pivot Tables'!$A$4,1,0)</f>
        <v>0</v>
      </c>
      <c r="X7852">
        <f>IF(AND(LEFT(D7852,4)+1=LEFT(' Pivot Tables'!$A$4,4)+0,RIGHT(LEFT(D7852,7),2)=RIGHT(LEFT(' Pivot Tables'!$A$4,7),2)),1,0)</f>
        <v>0</v>
      </c>
      <c r="Y7852" s="6">
        <f>1/COUNTIF(Таблица1[Order ID],Таблица1[[#This Row],[Order ID]])</f>
        <v>0.5</v>
      </c>
      <c r="Z7852" s="9">
        <f>1/COUNTIFS(Таблица1[Customer Name],Таблица1[[#This Row],[Customer Name]],Таблица1[Order-Year-Month],Таблица1[[#This Row],[Order-Year-Month]])</f>
        <v>0.33333333333333331</v>
      </c>
    </row>
    <row r="7853" spans="1:26" x14ac:dyDescent="0.2">
      <c r="A7853" s="6">
        <v>1071</v>
      </c>
      <c r="B7853" s="7">
        <v>7904</v>
      </c>
      <c r="C7853" s="8">
        <f>DATE(2012,12,31)-949</f>
        <v>40325</v>
      </c>
      <c r="D7853" s="8" t="str">
        <f t="shared" si="149"/>
        <v>2010-05 (май 2010)</v>
      </c>
      <c r="E7853" s="9" t="s">
        <v>21</v>
      </c>
      <c r="F7853" s="7">
        <v>47</v>
      </c>
      <c r="G7853" s="7">
        <v>298.3</v>
      </c>
      <c r="H7853" s="7">
        <v>0.08</v>
      </c>
      <c r="I7853" s="9" t="s">
        <v>56</v>
      </c>
      <c r="J7853" s="10">
        <v>146.72</v>
      </c>
      <c r="K7853" s="11">
        <v>6.3</v>
      </c>
      <c r="L7853" s="11">
        <v>0.5</v>
      </c>
      <c r="M7853" s="9" t="s">
        <v>2099</v>
      </c>
      <c r="N7853" s="6" t="s">
        <v>2073</v>
      </c>
      <c r="O7853" s="6" t="s">
        <v>704</v>
      </c>
      <c r="P7853" s="9" t="s">
        <v>41</v>
      </c>
      <c r="Q7853" s="9" t="s">
        <v>26</v>
      </c>
      <c r="R7853" s="9" t="s">
        <v>88</v>
      </c>
      <c r="S7853" s="7" t="s">
        <v>461</v>
      </c>
      <c r="T7853" s="9" t="s">
        <v>39</v>
      </c>
      <c r="U7853" s="7">
        <v>0.39</v>
      </c>
      <c r="V7853" s="12">
        <f>C7853+9</f>
        <v>40334</v>
      </c>
      <c r="W7853">
        <f>IF(D7853=' Pivot Tables'!$A$4,1,0)</f>
        <v>0</v>
      </c>
      <c r="X7853">
        <f>IF(AND(LEFT(D7853,4)+1=LEFT(' Pivot Tables'!$A$4,4)+0,RIGHT(LEFT(D7853,7),2)=RIGHT(LEFT(' Pivot Tables'!$A$4,7),2)),1,0)</f>
        <v>0</v>
      </c>
      <c r="Y7853" s="6">
        <f>1/COUNTIF(Таблица1[Order ID],Таблица1[[#This Row],[Order ID]])</f>
        <v>1</v>
      </c>
      <c r="Z7853" s="9">
        <f>1/COUNTIFS(Таблица1[Customer Name],Таблица1[[#This Row],[Customer Name]],Таблица1[Order-Year-Month],Таблица1[[#This Row],[Order-Year-Month]])</f>
        <v>1</v>
      </c>
    </row>
    <row r="7854" spans="1:26" x14ac:dyDescent="0.2">
      <c r="A7854" s="6">
        <v>1074</v>
      </c>
      <c r="B7854" s="7">
        <v>7909</v>
      </c>
      <c r="C7854" s="8">
        <f>DATE(2012,12,31)-1458</f>
        <v>39816</v>
      </c>
      <c r="D7854" s="8" t="str">
        <f t="shared" si="149"/>
        <v>2009-01 (январь 2009)</v>
      </c>
      <c r="E7854" s="9" t="s">
        <v>30</v>
      </c>
      <c r="F7854" s="7">
        <v>29</v>
      </c>
      <c r="G7854" s="7">
        <v>122.23</v>
      </c>
      <c r="H7854" s="7">
        <v>0.03</v>
      </c>
      <c r="I7854" s="9" t="s">
        <v>22</v>
      </c>
      <c r="J7854" s="10">
        <v>24.55</v>
      </c>
      <c r="K7854" s="11">
        <v>4.26</v>
      </c>
      <c r="L7854" s="11">
        <v>1.2</v>
      </c>
      <c r="M7854" s="9" t="s">
        <v>2100</v>
      </c>
      <c r="N7854" s="6" t="s">
        <v>2073</v>
      </c>
      <c r="O7854" s="6" t="s">
        <v>704</v>
      </c>
      <c r="P7854" s="9" t="s">
        <v>60</v>
      </c>
      <c r="Q7854" s="9" t="s">
        <v>26</v>
      </c>
      <c r="R7854" s="9" t="s">
        <v>95</v>
      </c>
      <c r="S7854" s="7" t="s">
        <v>865</v>
      </c>
      <c r="T7854" s="9" t="s">
        <v>68</v>
      </c>
      <c r="U7854" s="7">
        <v>0.44</v>
      </c>
      <c r="V7854" s="12">
        <f>C7854+1</f>
        <v>39817</v>
      </c>
      <c r="W7854">
        <f>IF(D7854=' Pivot Tables'!$A$4,1,0)</f>
        <v>0</v>
      </c>
      <c r="X7854">
        <f>IF(AND(LEFT(D7854,4)+1=LEFT(' Pivot Tables'!$A$4,4)+0,RIGHT(LEFT(D7854,7),2)=RIGHT(LEFT(' Pivot Tables'!$A$4,7),2)),1,0)</f>
        <v>1</v>
      </c>
      <c r="Y7854" s="6">
        <f>1/COUNTIF(Таблица1[Order ID],Таблица1[[#This Row],[Order ID]])</f>
        <v>1</v>
      </c>
      <c r="Z7854" s="9">
        <f>1/COUNTIFS(Таблица1[Customer Name],Таблица1[[#This Row],[Customer Name]],Таблица1[Order-Year-Month],Таблица1[[#This Row],[Order-Year-Month]])</f>
        <v>1</v>
      </c>
    </row>
    <row r="7855" spans="1:26" x14ac:dyDescent="0.2">
      <c r="A7855" s="6">
        <v>1179</v>
      </c>
      <c r="B7855" s="7">
        <v>8614</v>
      </c>
      <c r="C7855" s="8">
        <f>DATE(2012,12,31)-1306</f>
        <v>39968</v>
      </c>
      <c r="D7855" s="8" t="str">
        <f t="shared" si="149"/>
        <v>2009-06 (июнь 2009)</v>
      </c>
      <c r="E7855" s="9" t="s">
        <v>21</v>
      </c>
      <c r="F7855" s="7">
        <v>13</v>
      </c>
      <c r="G7855" s="7">
        <v>1289.127</v>
      </c>
      <c r="H7855" s="7">
        <v>0.06</v>
      </c>
      <c r="I7855" s="9" t="s">
        <v>22</v>
      </c>
      <c r="J7855" s="10">
        <v>-16.335000000000001</v>
      </c>
      <c r="K7855" s="11">
        <v>115.99</v>
      </c>
      <c r="L7855" s="11">
        <v>5.92</v>
      </c>
      <c r="M7855" s="9" t="s">
        <v>2099</v>
      </c>
      <c r="N7855" s="6" t="s">
        <v>2073</v>
      </c>
      <c r="O7855" s="6" t="s">
        <v>704</v>
      </c>
      <c r="P7855" s="9" t="s">
        <v>41</v>
      </c>
      <c r="Q7855" s="9" t="s">
        <v>42</v>
      </c>
      <c r="R7855" s="9" t="s">
        <v>43</v>
      </c>
      <c r="S7855" s="7" t="s">
        <v>977</v>
      </c>
      <c r="T7855" s="9" t="s">
        <v>39</v>
      </c>
      <c r="U7855" s="7">
        <v>0.57999999999999996</v>
      </c>
      <c r="V7855" s="12">
        <f>C7855+2</f>
        <v>39970</v>
      </c>
      <c r="W7855">
        <f>IF(D7855=' Pivot Tables'!$A$4,1,0)</f>
        <v>0</v>
      </c>
      <c r="X7855">
        <f>IF(AND(LEFT(D7855,4)+1=LEFT(' Pivot Tables'!$A$4,4)+0,RIGHT(LEFT(D7855,7),2)=RIGHT(LEFT(' Pivot Tables'!$A$4,7),2)),1,0)</f>
        <v>0</v>
      </c>
      <c r="Y7855" s="6">
        <f>1/COUNTIF(Таблица1[Order ID],Таблица1[[#This Row],[Order ID]])</f>
        <v>1</v>
      </c>
      <c r="Z7855" s="9">
        <f>1/COUNTIFS(Таблица1[Customer Name],Таблица1[[#This Row],[Customer Name]],Таблица1[Order-Year-Month],Таблица1[[#This Row],[Order-Year-Month]])</f>
        <v>1</v>
      </c>
    </row>
    <row r="7856" spans="1:26" x14ac:dyDescent="0.2">
      <c r="A7856" s="6">
        <v>1271</v>
      </c>
      <c r="B7856" s="7">
        <v>9249</v>
      </c>
      <c r="C7856" s="8">
        <f>DATE(2012,12,31)-957</f>
        <v>40317</v>
      </c>
      <c r="D7856" s="8" t="str">
        <f t="shared" si="149"/>
        <v>2010-05 (май 2010)</v>
      </c>
      <c r="E7856" s="9" t="s">
        <v>30</v>
      </c>
      <c r="F7856" s="7">
        <v>46</v>
      </c>
      <c r="G7856" s="7">
        <v>176.5</v>
      </c>
      <c r="H7856" s="7">
        <v>0.01</v>
      </c>
      <c r="I7856" s="9" t="s">
        <v>22</v>
      </c>
      <c r="J7856" s="10">
        <v>-119.35</v>
      </c>
      <c r="K7856" s="11">
        <v>3.57</v>
      </c>
      <c r="L7856" s="11">
        <v>4.17</v>
      </c>
      <c r="M7856" s="9" t="s">
        <v>2101</v>
      </c>
      <c r="N7856" s="6" t="s">
        <v>2073</v>
      </c>
      <c r="O7856" s="6" t="s">
        <v>704</v>
      </c>
      <c r="P7856" s="9" t="s">
        <v>25</v>
      </c>
      <c r="Q7856" s="9" t="s">
        <v>26</v>
      </c>
      <c r="R7856" s="9" t="s">
        <v>95</v>
      </c>
      <c r="S7856" s="7" t="s">
        <v>739</v>
      </c>
      <c r="T7856" s="9" t="s">
        <v>52</v>
      </c>
      <c r="U7856" s="7">
        <v>0.59</v>
      </c>
      <c r="V7856" s="12">
        <f>C7856+1</f>
        <v>40318</v>
      </c>
      <c r="W7856">
        <f>IF(D7856=' Pivot Tables'!$A$4,1,0)</f>
        <v>0</v>
      </c>
      <c r="X7856">
        <f>IF(AND(LEFT(D7856,4)+1=LEFT(' Pivot Tables'!$A$4,4)+0,RIGHT(LEFT(D7856,7),2)=RIGHT(LEFT(' Pivot Tables'!$A$4,7),2)),1,0)</f>
        <v>0</v>
      </c>
      <c r="Y7856" s="6">
        <f>1/COUNTIF(Таблица1[Order ID],Таблица1[[#This Row],[Order ID]])</f>
        <v>0.33333333333333331</v>
      </c>
      <c r="Z7856" s="9">
        <f>1/COUNTIFS(Таблица1[Customer Name],Таблица1[[#This Row],[Customer Name]],Таблица1[Order-Year-Month],Таблица1[[#This Row],[Order-Year-Month]])</f>
        <v>0.25</v>
      </c>
    </row>
    <row r="7857" spans="1:26" x14ac:dyDescent="0.2">
      <c r="A7857" s="6">
        <v>1272</v>
      </c>
      <c r="B7857" s="7">
        <v>9249</v>
      </c>
      <c r="C7857" s="8">
        <f>DATE(2012,12,31)-957</f>
        <v>40317</v>
      </c>
      <c r="D7857" s="8" t="str">
        <f t="shared" si="149"/>
        <v>2010-05 (май 2010)</v>
      </c>
      <c r="E7857" s="9" t="s">
        <v>30</v>
      </c>
      <c r="F7857" s="7">
        <v>42</v>
      </c>
      <c r="G7857" s="7">
        <v>1546.8</v>
      </c>
      <c r="H7857" s="7">
        <v>7.0000000000000007E-2</v>
      </c>
      <c r="I7857" s="9" t="s">
        <v>22</v>
      </c>
      <c r="J7857" s="10">
        <v>25.51</v>
      </c>
      <c r="K7857" s="11">
        <v>37.76</v>
      </c>
      <c r="L7857" s="11">
        <v>12.9</v>
      </c>
      <c r="M7857" s="9" t="s">
        <v>2101</v>
      </c>
      <c r="N7857" s="6" t="s">
        <v>2073</v>
      </c>
      <c r="O7857" s="6" t="s">
        <v>704</v>
      </c>
      <c r="P7857" s="9" t="s">
        <v>25</v>
      </c>
      <c r="Q7857" s="9" t="s">
        <v>26</v>
      </c>
      <c r="R7857" s="9" t="s">
        <v>27</v>
      </c>
      <c r="S7857" s="7" t="s">
        <v>1087</v>
      </c>
      <c r="T7857" s="9" t="s">
        <v>39</v>
      </c>
      <c r="U7857" s="7">
        <v>0.56999999999999995</v>
      </c>
      <c r="V7857" s="12">
        <f>C7857+1</f>
        <v>40318</v>
      </c>
      <c r="W7857">
        <f>IF(D7857=' Pivot Tables'!$A$4,1,0)</f>
        <v>0</v>
      </c>
      <c r="X7857">
        <f>IF(AND(LEFT(D7857,4)+1=LEFT(' Pivot Tables'!$A$4,4)+0,RIGHT(LEFT(D7857,7),2)=RIGHT(LEFT(' Pivot Tables'!$A$4,7),2)),1,0)</f>
        <v>0</v>
      </c>
      <c r="Y7857" s="6">
        <f>1/COUNTIF(Таблица1[Order ID],Таблица1[[#This Row],[Order ID]])</f>
        <v>0.33333333333333331</v>
      </c>
      <c r="Z7857" s="9">
        <f>1/COUNTIFS(Таблица1[Customer Name],Таблица1[[#This Row],[Customer Name]],Таблица1[Order-Year-Month],Таблица1[[#This Row],[Order-Year-Month]])</f>
        <v>0.25</v>
      </c>
    </row>
    <row r="7858" spans="1:26" x14ac:dyDescent="0.2">
      <c r="A7858" s="6">
        <v>1273</v>
      </c>
      <c r="B7858" s="7">
        <v>9249</v>
      </c>
      <c r="C7858" s="8">
        <f>DATE(2012,12,31)-957</f>
        <v>40317</v>
      </c>
      <c r="D7858" s="8" t="str">
        <f t="shared" si="149"/>
        <v>2010-05 (май 2010)</v>
      </c>
      <c r="E7858" s="9" t="s">
        <v>30</v>
      </c>
      <c r="F7858" s="7">
        <v>35</v>
      </c>
      <c r="G7858" s="7">
        <v>3457.56</v>
      </c>
      <c r="H7858" s="7">
        <v>0.02</v>
      </c>
      <c r="I7858" s="9" t="s">
        <v>31</v>
      </c>
      <c r="J7858" s="10">
        <v>-365.44</v>
      </c>
      <c r="K7858" s="11">
        <v>124.49</v>
      </c>
      <c r="L7858" s="11">
        <v>51.94</v>
      </c>
      <c r="M7858" s="9" t="s">
        <v>2101</v>
      </c>
      <c r="N7858" s="6" t="s">
        <v>2073</v>
      </c>
      <c r="O7858" s="6" t="s">
        <v>704</v>
      </c>
      <c r="P7858" s="9" t="s">
        <v>25</v>
      </c>
      <c r="Q7858" s="9" t="s">
        <v>49</v>
      </c>
      <c r="R7858" s="9" t="s">
        <v>83</v>
      </c>
      <c r="S7858" s="7" t="s">
        <v>432</v>
      </c>
      <c r="T7858" s="9" t="s">
        <v>82</v>
      </c>
      <c r="U7858" s="7">
        <v>0.63</v>
      </c>
      <c r="V7858" s="12">
        <f>C7858+2</f>
        <v>40319</v>
      </c>
      <c r="W7858">
        <f>IF(D7858=' Pivot Tables'!$A$4,1,0)</f>
        <v>0</v>
      </c>
      <c r="X7858">
        <f>IF(AND(LEFT(D7858,4)+1=LEFT(' Pivot Tables'!$A$4,4)+0,RIGHT(LEFT(D7858,7),2)=RIGHT(LEFT(' Pivot Tables'!$A$4,7),2)),1,0)</f>
        <v>0</v>
      </c>
      <c r="Y7858" s="6">
        <f>1/COUNTIF(Таблица1[Order ID],Таблица1[[#This Row],[Order ID]])</f>
        <v>0.33333333333333331</v>
      </c>
      <c r="Z7858" s="9">
        <f>1/COUNTIFS(Таблица1[Customer Name],Таблица1[[#This Row],[Customer Name]],Таблица1[Order-Year-Month],Таблица1[[#This Row],[Order-Year-Month]])</f>
        <v>0.25</v>
      </c>
    </row>
    <row r="7859" spans="1:26" x14ac:dyDescent="0.2">
      <c r="A7859" s="6">
        <v>1318</v>
      </c>
      <c r="B7859" s="7">
        <v>9639</v>
      </c>
      <c r="C7859" s="8">
        <f>DATE(2012,12,31)-848</f>
        <v>40426</v>
      </c>
      <c r="D7859" s="8" t="str">
        <f t="shared" si="149"/>
        <v>2010-09 (сентябрь 2010)</v>
      </c>
      <c r="E7859" s="9" t="s">
        <v>45</v>
      </c>
      <c r="F7859" s="7">
        <v>47</v>
      </c>
      <c r="G7859" s="7">
        <v>1124.3</v>
      </c>
      <c r="H7859" s="7">
        <v>0.1</v>
      </c>
      <c r="I7859" s="9" t="s">
        <v>31</v>
      </c>
      <c r="J7859" s="10">
        <v>-335.22</v>
      </c>
      <c r="K7859" s="11">
        <v>25.98</v>
      </c>
      <c r="L7859" s="11">
        <v>14.36</v>
      </c>
      <c r="M7859" s="9" t="s">
        <v>2096</v>
      </c>
      <c r="N7859" s="6" t="s">
        <v>2073</v>
      </c>
      <c r="O7859" s="6" t="s">
        <v>704</v>
      </c>
      <c r="P7859" s="9" t="s">
        <v>41</v>
      </c>
      <c r="Q7859" s="9" t="s">
        <v>49</v>
      </c>
      <c r="R7859" s="9" t="s">
        <v>112</v>
      </c>
      <c r="S7859" s="7" t="s">
        <v>280</v>
      </c>
      <c r="T7859" s="9" t="s">
        <v>36</v>
      </c>
      <c r="U7859" s="7">
        <v>0.6</v>
      </c>
      <c r="V7859" s="12">
        <f>C7859+2</f>
        <v>40428</v>
      </c>
      <c r="W7859">
        <f>IF(D7859=' Pivot Tables'!$A$4,1,0)</f>
        <v>0</v>
      </c>
      <c r="X7859">
        <f>IF(AND(LEFT(D7859,4)+1=LEFT(' Pivot Tables'!$A$4,4)+0,RIGHT(LEFT(D7859,7),2)=RIGHT(LEFT(' Pivot Tables'!$A$4,7),2)),1,0)</f>
        <v>0</v>
      </c>
      <c r="Y7859" s="6">
        <f>1/COUNTIF(Таблица1[Order ID],Таблица1[[#This Row],[Order ID]])</f>
        <v>0.33333333333333331</v>
      </c>
      <c r="Z7859" s="9">
        <f>1/COUNTIFS(Таблица1[Customer Name],Таблица1[[#This Row],[Customer Name]],Таблица1[Order-Year-Month],Таблица1[[#This Row],[Order-Year-Month]])</f>
        <v>0.33333333333333331</v>
      </c>
    </row>
    <row r="7860" spans="1:26" x14ac:dyDescent="0.2">
      <c r="A7860" s="6">
        <v>1319</v>
      </c>
      <c r="B7860" s="7">
        <v>9639</v>
      </c>
      <c r="C7860" s="8">
        <f>DATE(2012,12,31)-848</f>
        <v>40426</v>
      </c>
      <c r="D7860" s="8" t="str">
        <f t="shared" si="149"/>
        <v>2010-09 (сентябрь 2010)</v>
      </c>
      <c r="E7860" s="9" t="s">
        <v>45</v>
      </c>
      <c r="F7860" s="7">
        <v>11</v>
      </c>
      <c r="G7860" s="7">
        <v>43.57</v>
      </c>
      <c r="H7860" s="7">
        <v>0.09</v>
      </c>
      <c r="I7860" s="9" t="s">
        <v>22</v>
      </c>
      <c r="J7860" s="10">
        <v>6.7</v>
      </c>
      <c r="K7860" s="11">
        <v>4.13</v>
      </c>
      <c r="L7860" s="11">
        <v>0.99</v>
      </c>
      <c r="M7860" s="9" t="s">
        <v>2096</v>
      </c>
      <c r="N7860" s="6" t="s">
        <v>2073</v>
      </c>
      <c r="O7860" s="6" t="s">
        <v>704</v>
      </c>
      <c r="P7860" s="9" t="s">
        <v>41</v>
      </c>
      <c r="Q7860" s="9" t="s">
        <v>26</v>
      </c>
      <c r="R7860" s="9" t="s">
        <v>88</v>
      </c>
      <c r="S7860" s="7" t="s">
        <v>492</v>
      </c>
      <c r="T7860" s="9" t="s">
        <v>39</v>
      </c>
      <c r="U7860" s="7">
        <v>0.39</v>
      </c>
      <c r="V7860" s="12">
        <f>C7860+0</f>
        <v>40426</v>
      </c>
      <c r="W7860">
        <f>IF(D7860=' Pivot Tables'!$A$4,1,0)</f>
        <v>0</v>
      </c>
      <c r="X7860">
        <f>IF(AND(LEFT(D7860,4)+1=LEFT(' Pivot Tables'!$A$4,4)+0,RIGHT(LEFT(D7860,7),2)=RIGHT(LEFT(' Pivot Tables'!$A$4,7),2)),1,0)</f>
        <v>0</v>
      </c>
      <c r="Y7860" s="6">
        <f>1/COUNTIF(Таблица1[Order ID],Таблица1[[#This Row],[Order ID]])</f>
        <v>0.33333333333333331</v>
      </c>
      <c r="Z7860" s="9">
        <f>1/COUNTIFS(Таблица1[Customer Name],Таблица1[[#This Row],[Customer Name]],Таблица1[Order-Year-Month],Таблица1[[#This Row],[Order-Year-Month]])</f>
        <v>0.33333333333333331</v>
      </c>
    </row>
    <row r="7861" spans="1:26" x14ac:dyDescent="0.2">
      <c r="A7861" s="6">
        <v>1320</v>
      </c>
      <c r="B7861" s="7">
        <v>9639</v>
      </c>
      <c r="C7861" s="8">
        <f>DATE(2012,12,31)-848</f>
        <v>40426</v>
      </c>
      <c r="D7861" s="8" t="str">
        <f t="shared" si="149"/>
        <v>2010-09 (сентябрь 2010)</v>
      </c>
      <c r="E7861" s="9" t="s">
        <v>45</v>
      </c>
      <c r="F7861" s="7">
        <v>23</v>
      </c>
      <c r="G7861" s="7">
        <v>2610.8939999999998</v>
      </c>
      <c r="H7861" s="7">
        <v>0</v>
      </c>
      <c r="I7861" s="9" t="s">
        <v>22</v>
      </c>
      <c r="J7861" s="10">
        <v>516.18599999999992</v>
      </c>
      <c r="K7861" s="11">
        <v>125.99</v>
      </c>
      <c r="L7861" s="11">
        <v>5.63</v>
      </c>
      <c r="M7861" s="9" t="s">
        <v>2096</v>
      </c>
      <c r="N7861" s="6" t="s">
        <v>2073</v>
      </c>
      <c r="O7861" s="6" t="s">
        <v>704</v>
      </c>
      <c r="P7861" s="9" t="s">
        <v>41</v>
      </c>
      <c r="Q7861" s="9" t="s">
        <v>42</v>
      </c>
      <c r="R7861" s="9" t="s">
        <v>43</v>
      </c>
      <c r="S7861" s="7" t="s">
        <v>481</v>
      </c>
      <c r="T7861" s="9" t="s">
        <v>39</v>
      </c>
      <c r="U7861" s="7">
        <v>0.6</v>
      </c>
      <c r="V7861" s="12">
        <f>C7861+0</f>
        <v>40426</v>
      </c>
      <c r="W7861">
        <f>IF(D7861=' Pivot Tables'!$A$4,1,0)</f>
        <v>0</v>
      </c>
      <c r="X7861">
        <f>IF(AND(LEFT(D7861,4)+1=LEFT(' Pivot Tables'!$A$4,4)+0,RIGHT(LEFT(D7861,7),2)=RIGHT(LEFT(' Pivot Tables'!$A$4,7),2)),1,0)</f>
        <v>0</v>
      </c>
      <c r="Y7861" s="6">
        <f>1/COUNTIF(Таблица1[Order ID],Таблица1[[#This Row],[Order ID]])</f>
        <v>0.33333333333333331</v>
      </c>
      <c r="Z7861" s="9">
        <f>1/COUNTIFS(Таблица1[Customer Name],Таблица1[[#This Row],[Customer Name]],Таблица1[Order-Year-Month],Таблица1[[#This Row],[Order-Year-Month]])</f>
        <v>0.33333333333333331</v>
      </c>
    </row>
    <row r="7862" spans="1:26" x14ac:dyDescent="0.2">
      <c r="A7862" s="6">
        <v>1328</v>
      </c>
      <c r="B7862" s="7">
        <v>9696</v>
      </c>
      <c r="C7862" s="8">
        <f>DATE(2012,12,31)-681</f>
        <v>40593</v>
      </c>
      <c r="D7862" s="8" t="str">
        <f t="shared" si="149"/>
        <v>2011-02 (февраль 2011)</v>
      </c>
      <c r="E7862" s="9" t="s">
        <v>45</v>
      </c>
      <c r="F7862" s="7">
        <v>15</v>
      </c>
      <c r="G7862" s="7">
        <v>110.15</v>
      </c>
      <c r="H7862" s="7">
        <v>0.02</v>
      </c>
      <c r="I7862" s="9" t="s">
        <v>22</v>
      </c>
      <c r="J7862" s="10">
        <v>13.905999999999999</v>
      </c>
      <c r="K7862" s="11">
        <v>6.75</v>
      </c>
      <c r="L7862" s="11">
        <v>2.99</v>
      </c>
      <c r="M7862" s="9" t="s">
        <v>1473</v>
      </c>
      <c r="N7862" s="6" t="s">
        <v>2073</v>
      </c>
      <c r="O7862" s="6" t="s">
        <v>704</v>
      </c>
      <c r="P7862" s="9" t="s">
        <v>41</v>
      </c>
      <c r="Q7862" s="9" t="s">
        <v>26</v>
      </c>
      <c r="R7862" s="9" t="s">
        <v>37</v>
      </c>
      <c r="S7862" s="7" t="s">
        <v>362</v>
      </c>
      <c r="T7862" s="9" t="s">
        <v>39</v>
      </c>
      <c r="U7862" s="7">
        <v>0.35</v>
      </c>
      <c r="V7862" s="12">
        <f>C7862+2</f>
        <v>40595</v>
      </c>
      <c r="W7862">
        <f>IF(D7862=' Pivot Tables'!$A$4,1,0)</f>
        <v>0</v>
      </c>
      <c r="X7862">
        <f>IF(AND(LEFT(D7862,4)+1=LEFT(' Pivot Tables'!$A$4,4)+0,RIGHT(LEFT(D7862,7),2)=RIGHT(LEFT(' Pivot Tables'!$A$4,7),2)),1,0)</f>
        <v>0</v>
      </c>
      <c r="Y7862" s="6">
        <f>1/COUNTIF(Таблица1[Order ID],Таблица1[[#This Row],[Order ID]])</f>
        <v>0.5</v>
      </c>
      <c r="Z7862" s="9">
        <f>1/COUNTIFS(Таблица1[Customer Name],Таблица1[[#This Row],[Customer Name]],Таблица1[Order-Year-Month],Таблица1[[#This Row],[Order-Year-Month]])</f>
        <v>0.5</v>
      </c>
    </row>
    <row r="7863" spans="1:26" x14ac:dyDescent="0.2">
      <c r="A7863" s="6">
        <v>1329</v>
      </c>
      <c r="B7863" s="7">
        <v>9696</v>
      </c>
      <c r="C7863" s="8">
        <f>DATE(2012,12,31)-681</f>
        <v>40593</v>
      </c>
      <c r="D7863" s="8" t="str">
        <f t="shared" si="149"/>
        <v>2011-02 (февраль 2011)</v>
      </c>
      <c r="E7863" s="9" t="s">
        <v>45</v>
      </c>
      <c r="F7863" s="7">
        <v>13</v>
      </c>
      <c r="G7863" s="7">
        <v>3335.27</v>
      </c>
      <c r="H7863" s="7">
        <v>0.03</v>
      </c>
      <c r="I7863" s="9" t="s">
        <v>31</v>
      </c>
      <c r="J7863" s="10">
        <v>539.69000000000005</v>
      </c>
      <c r="K7863" s="11">
        <v>243.98</v>
      </c>
      <c r="L7863" s="11">
        <v>43.32</v>
      </c>
      <c r="M7863" s="9" t="s">
        <v>1473</v>
      </c>
      <c r="N7863" s="6" t="s">
        <v>2073</v>
      </c>
      <c r="O7863" s="6" t="s">
        <v>704</v>
      </c>
      <c r="P7863" s="9" t="s">
        <v>41</v>
      </c>
      <c r="Q7863" s="9" t="s">
        <v>49</v>
      </c>
      <c r="R7863" s="9" t="s">
        <v>112</v>
      </c>
      <c r="S7863" s="7" t="s">
        <v>237</v>
      </c>
      <c r="T7863" s="9" t="s">
        <v>36</v>
      </c>
      <c r="U7863" s="7">
        <v>0.55000000000000004</v>
      </c>
      <c r="V7863" s="12">
        <f>C7863+2</f>
        <v>40595</v>
      </c>
      <c r="W7863">
        <f>IF(D7863=' Pivot Tables'!$A$4,1,0)</f>
        <v>0</v>
      </c>
      <c r="X7863">
        <f>IF(AND(LEFT(D7863,4)+1=LEFT(' Pivot Tables'!$A$4,4)+0,RIGHT(LEFT(D7863,7),2)=RIGHT(LEFT(' Pivot Tables'!$A$4,7),2)),1,0)</f>
        <v>0</v>
      </c>
      <c r="Y7863" s="6">
        <f>1/COUNTIF(Таблица1[Order ID],Таблица1[[#This Row],[Order ID]])</f>
        <v>0.5</v>
      </c>
      <c r="Z7863" s="9">
        <f>1/COUNTIFS(Таблица1[Customer Name],Таблица1[[#This Row],[Customer Name]],Таблица1[Order-Year-Month],Таблица1[[#This Row],[Order-Year-Month]])</f>
        <v>0.5</v>
      </c>
    </row>
    <row r="7864" spans="1:26" x14ac:dyDescent="0.2">
      <c r="A7864" s="6">
        <v>1355</v>
      </c>
      <c r="B7864" s="7">
        <v>9888</v>
      </c>
      <c r="C7864" s="8">
        <f>DATE(2012,12,31)-1206</f>
        <v>40068</v>
      </c>
      <c r="D7864" s="8" t="str">
        <f t="shared" si="149"/>
        <v>2009-09 (сентябрь 2009)</v>
      </c>
      <c r="E7864" s="9" t="s">
        <v>21</v>
      </c>
      <c r="F7864" s="7">
        <v>48</v>
      </c>
      <c r="G7864" s="7">
        <v>8374.1319999999996</v>
      </c>
      <c r="H7864" s="7">
        <v>0.06</v>
      </c>
      <c r="I7864" s="9" t="s">
        <v>22</v>
      </c>
      <c r="J7864" s="10">
        <v>2568.096</v>
      </c>
      <c r="K7864" s="11">
        <v>205.99</v>
      </c>
      <c r="L7864" s="11">
        <v>8.99</v>
      </c>
      <c r="M7864" s="9" t="s">
        <v>2097</v>
      </c>
      <c r="N7864" s="6" t="s">
        <v>2073</v>
      </c>
      <c r="O7864" s="6" t="s">
        <v>704</v>
      </c>
      <c r="P7864" s="9" t="s">
        <v>41</v>
      </c>
      <c r="Q7864" s="9" t="s">
        <v>42</v>
      </c>
      <c r="R7864" s="9" t="s">
        <v>43</v>
      </c>
      <c r="S7864" s="7" t="s">
        <v>1444</v>
      </c>
      <c r="T7864" s="9" t="s">
        <v>39</v>
      </c>
      <c r="U7864" s="7">
        <v>0.56000000000000005</v>
      </c>
      <c r="V7864" s="12">
        <f>C7864+7</f>
        <v>40075</v>
      </c>
      <c r="W7864">
        <f>IF(D7864=' Pivot Tables'!$A$4,1,0)</f>
        <v>0</v>
      </c>
      <c r="X7864">
        <f>IF(AND(LEFT(D7864,4)+1=LEFT(' Pivot Tables'!$A$4,4)+0,RIGHT(LEFT(D7864,7),2)=RIGHT(LEFT(' Pivot Tables'!$A$4,7),2)),1,0)</f>
        <v>0</v>
      </c>
      <c r="Y7864" s="6">
        <f>1/COUNTIF(Таблица1[Order ID],Таблица1[[#This Row],[Order ID]])</f>
        <v>1</v>
      </c>
      <c r="Z7864" s="9">
        <f>1/COUNTIFS(Таблица1[Customer Name],Таблица1[[#This Row],[Customer Name]],Таблица1[Order-Year-Month],Таблица1[[#This Row],[Order-Year-Month]])</f>
        <v>1</v>
      </c>
    </row>
    <row r="7865" spans="1:26" x14ac:dyDescent="0.2">
      <c r="A7865" s="6">
        <v>1508</v>
      </c>
      <c r="B7865" s="7">
        <v>10913</v>
      </c>
      <c r="C7865" s="8">
        <f>DATE(2012,12,31)-1059</f>
        <v>40215</v>
      </c>
      <c r="D7865" s="8" t="str">
        <f t="shared" si="149"/>
        <v>2010-02 (февраль 2010)</v>
      </c>
      <c r="E7865" s="9" t="s">
        <v>21</v>
      </c>
      <c r="F7865" s="7">
        <v>27</v>
      </c>
      <c r="G7865" s="7">
        <v>5149.0600000000004</v>
      </c>
      <c r="H7865" s="7">
        <v>0.03</v>
      </c>
      <c r="I7865" s="9" t="s">
        <v>31</v>
      </c>
      <c r="J7865" s="10">
        <v>605.44000000000005</v>
      </c>
      <c r="K7865" s="11">
        <v>180.98</v>
      </c>
      <c r="L7865" s="11">
        <v>30</v>
      </c>
      <c r="M7865" s="9" t="s">
        <v>2101</v>
      </c>
      <c r="N7865" s="6" t="s">
        <v>2073</v>
      </c>
      <c r="O7865" s="6" t="s">
        <v>704</v>
      </c>
      <c r="P7865" s="9" t="s">
        <v>25</v>
      </c>
      <c r="Q7865" s="9" t="s">
        <v>49</v>
      </c>
      <c r="R7865" s="9" t="s">
        <v>112</v>
      </c>
      <c r="S7865" s="7" t="s">
        <v>957</v>
      </c>
      <c r="T7865" s="9" t="s">
        <v>36</v>
      </c>
      <c r="U7865" s="7">
        <v>0.69</v>
      </c>
      <c r="V7865" s="12">
        <f>C7865+0</f>
        <v>40215</v>
      </c>
      <c r="W7865">
        <f>IF(D7865=' Pivot Tables'!$A$4,1,0)</f>
        <v>0</v>
      </c>
      <c r="X7865">
        <f>IF(AND(LEFT(D7865,4)+1=LEFT(' Pivot Tables'!$A$4,4)+0,RIGHT(LEFT(D7865,7),2)=RIGHT(LEFT(' Pivot Tables'!$A$4,7),2)),1,0)</f>
        <v>0</v>
      </c>
      <c r="Y7865" s="6">
        <f>1/COUNTIF(Таблица1[Order ID],Таблица1[[#This Row],[Order ID]])</f>
        <v>1</v>
      </c>
      <c r="Z7865" s="9">
        <f>1/COUNTIFS(Таблица1[Customer Name],Таблица1[[#This Row],[Customer Name]],Таблица1[Order-Year-Month],Таблица1[[#This Row],[Order-Year-Month]])</f>
        <v>1</v>
      </c>
    </row>
    <row r="7866" spans="1:26" x14ac:dyDescent="0.2">
      <c r="A7866" s="6">
        <v>1520</v>
      </c>
      <c r="B7866" s="7">
        <v>10981</v>
      </c>
      <c r="C7866" s="8">
        <f>DATE(2012,12,31)-962</f>
        <v>40312</v>
      </c>
      <c r="D7866" s="8" t="str">
        <f t="shared" si="149"/>
        <v>2010-05 (май 2010)</v>
      </c>
      <c r="E7866" s="9" t="s">
        <v>30</v>
      </c>
      <c r="F7866" s="7">
        <v>41</v>
      </c>
      <c r="G7866" s="7">
        <v>73.36</v>
      </c>
      <c r="H7866" s="7">
        <v>0.09</v>
      </c>
      <c r="I7866" s="9" t="s">
        <v>22</v>
      </c>
      <c r="J7866" s="10">
        <v>-94.95</v>
      </c>
      <c r="K7866" s="11">
        <v>1.86</v>
      </c>
      <c r="L7866" s="11">
        <v>2.58</v>
      </c>
      <c r="M7866" s="9" t="s">
        <v>2102</v>
      </c>
      <c r="N7866" s="6" t="s">
        <v>2073</v>
      </c>
      <c r="O7866" s="6" t="s">
        <v>704</v>
      </c>
      <c r="P7866" s="9" t="s">
        <v>60</v>
      </c>
      <c r="Q7866" s="9" t="s">
        <v>26</v>
      </c>
      <c r="R7866" s="9" t="s">
        <v>66</v>
      </c>
      <c r="S7866" s="7" t="s">
        <v>783</v>
      </c>
      <c r="T7866" s="9" t="s">
        <v>68</v>
      </c>
      <c r="U7866" s="7">
        <v>0.82</v>
      </c>
      <c r="V7866" s="12">
        <f t="shared" ref="V7866:V7872" si="150">C7866+2</f>
        <v>40314</v>
      </c>
      <c r="W7866">
        <f>IF(D7866=' Pivot Tables'!$A$4,1,0)</f>
        <v>0</v>
      </c>
      <c r="X7866">
        <f>IF(AND(LEFT(D7866,4)+1=LEFT(' Pivot Tables'!$A$4,4)+0,RIGHT(LEFT(D7866,7),2)=RIGHT(LEFT(' Pivot Tables'!$A$4,7),2)),1,0)</f>
        <v>0</v>
      </c>
      <c r="Y7866" s="6">
        <f>1/COUNTIF(Таблица1[Order ID],Таблица1[[#This Row],[Order ID]])</f>
        <v>0.5</v>
      </c>
      <c r="Z7866" s="9">
        <f>1/COUNTIFS(Таблица1[Customer Name],Таблица1[[#This Row],[Customer Name]],Таблица1[Order-Year-Month],Таблица1[[#This Row],[Order-Year-Month]])</f>
        <v>0.5</v>
      </c>
    </row>
    <row r="7867" spans="1:26" x14ac:dyDescent="0.2">
      <c r="A7867" s="6">
        <v>1521</v>
      </c>
      <c r="B7867" s="7">
        <v>10981</v>
      </c>
      <c r="C7867" s="8">
        <f>DATE(2012,12,31)-962</f>
        <v>40312</v>
      </c>
      <c r="D7867" s="8" t="str">
        <f t="shared" si="149"/>
        <v>2010-05 (май 2010)</v>
      </c>
      <c r="E7867" s="9" t="s">
        <v>30</v>
      </c>
      <c r="F7867" s="7">
        <v>33</v>
      </c>
      <c r="G7867" s="7">
        <v>3630.1460000000002</v>
      </c>
      <c r="H7867" s="7">
        <v>0.04</v>
      </c>
      <c r="I7867" s="9" t="s">
        <v>22</v>
      </c>
      <c r="J7867" s="10">
        <v>951.67800000000011</v>
      </c>
      <c r="K7867" s="11">
        <v>125.99</v>
      </c>
      <c r="L7867" s="11">
        <v>8.99</v>
      </c>
      <c r="M7867" s="9" t="s">
        <v>2102</v>
      </c>
      <c r="N7867" s="6" t="s">
        <v>2073</v>
      </c>
      <c r="O7867" s="6" t="s">
        <v>704</v>
      </c>
      <c r="P7867" s="9" t="s">
        <v>60</v>
      </c>
      <c r="Q7867" s="9" t="s">
        <v>42</v>
      </c>
      <c r="R7867" s="9" t="s">
        <v>43</v>
      </c>
      <c r="S7867" s="7" t="s">
        <v>849</v>
      </c>
      <c r="T7867" s="9" t="s">
        <v>39</v>
      </c>
      <c r="U7867" s="7">
        <v>0.55000000000000004</v>
      </c>
      <c r="V7867" s="12">
        <f t="shared" si="150"/>
        <v>40314</v>
      </c>
      <c r="W7867">
        <f>IF(D7867=' Pivot Tables'!$A$4,1,0)</f>
        <v>0</v>
      </c>
      <c r="X7867">
        <f>IF(AND(LEFT(D7867,4)+1=LEFT(' Pivot Tables'!$A$4,4)+0,RIGHT(LEFT(D7867,7),2)=RIGHT(LEFT(' Pivot Tables'!$A$4,7),2)),1,0)</f>
        <v>0</v>
      </c>
      <c r="Y7867" s="6">
        <f>1/COUNTIF(Таблица1[Order ID],Таблица1[[#This Row],[Order ID]])</f>
        <v>0.5</v>
      </c>
      <c r="Z7867" s="9">
        <f>1/COUNTIFS(Таблица1[Customer Name],Таблица1[[#This Row],[Customer Name]],Таблица1[Order-Year-Month],Таблица1[[#This Row],[Order-Year-Month]])</f>
        <v>0.5</v>
      </c>
    </row>
    <row r="7868" spans="1:26" x14ac:dyDescent="0.2">
      <c r="A7868" s="6">
        <v>1773</v>
      </c>
      <c r="B7868" s="7">
        <v>12707</v>
      </c>
      <c r="C7868" s="8">
        <f>DATE(2012,12,31)-947</f>
        <v>40327</v>
      </c>
      <c r="D7868" s="8" t="str">
        <f t="shared" si="149"/>
        <v>2010-05 (май 2010)</v>
      </c>
      <c r="E7868" s="9" t="s">
        <v>30</v>
      </c>
      <c r="F7868" s="7">
        <v>20</v>
      </c>
      <c r="G7868" s="7">
        <v>2213.92</v>
      </c>
      <c r="H7868" s="7">
        <v>0.03</v>
      </c>
      <c r="I7868" s="9" t="s">
        <v>22</v>
      </c>
      <c r="J7868" s="10">
        <v>768.34</v>
      </c>
      <c r="K7868" s="11">
        <v>105.98</v>
      </c>
      <c r="L7868" s="11">
        <v>13.99</v>
      </c>
      <c r="M7868" s="9" t="s">
        <v>2101</v>
      </c>
      <c r="N7868" s="6" t="s">
        <v>2073</v>
      </c>
      <c r="O7868" s="6" t="s">
        <v>704</v>
      </c>
      <c r="P7868" s="9" t="s">
        <v>25</v>
      </c>
      <c r="Q7868" s="9" t="s">
        <v>49</v>
      </c>
      <c r="R7868" s="9" t="s">
        <v>50</v>
      </c>
      <c r="S7868" s="7" t="s">
        <v>242</v>
      </c>
      <c r="T7868" s="9" t="s">
        <v>48</v>
      </c>
      <c r="U7868" s="7">
        <v>0.65</v>
      </c>
      <c r="V7868" s="12">
        <f t="shared" si="150"/>
        <v>40329</v>
      </c>
      <c r="W7868">
        <f>IF(D7868=' Pivot Tables'!$A$4,1,0)</f>
        <v>0</v>
      </c>
      <c r="X7868">
        <f>IF(AND(LEFT(D7868,4)+1=LEFT(' Pivot Tables'!$A$4,4)+0,RIGHT(LEFT(D7868,7),2)=RIGHT(LEFT(' Pivot Tables'!$A$4,7),2)),1,0)</f>
        <v>0</v>
      </c>
      <c r="Y7868" s="6">
        <f>1/COUNTIF(Таблица1[Order ID],Таблица1[[#This Row],[Order ID]])</f>
        <v>1</v>
      </c>
      <c r="Z7868" s="9">
        <f>1/COUNTIFS(Таблица1[Customer Name],Таблица1[[#This Row],[Customer Name]],Таблица1[Order-Year-Month],Таблица1[[#This Row],[Order-Year-Month]])</f>
        <v>0.25</v>
      </c>
    </row>
    <row r="7869" spans="1:26" x14ac:dyDescent="0.2">
      <c r="A7869" s="6">
        <v>1931</v>
      </c>
      <c r="B7869" s="7">
        <v>13799</v>
      </c>
      <c r="C7869" s="8">
        <f>DATE(2012,12,31)-761</f>
        <v>40513</v>
      </c>
      <c r="D7869" s="8" t="str">
        <f t="shared" si="149"/>
        <v>2010-12 (декабрь 2010)</v>
      </c>
      <c r="E7869" s="9" t="s">
        <v>78</v>
      </c>
      <c r="F7869" s="7">
        <v>5</v>
      </c>
      <c r="G7869" s="7">
        <v>118.06</v>
      </c>
      <c r="H7869" s="7">
        <v>0.05</v>
      </c>
      <c r="I7869" s="9" t="s">
        <v>22</v>
      </c>
      <c r="J7869" s="10">
        <v>2.63</v>
      </c>
      <c r="K7869" s="11">
        <v>22.23</v>
      </c>
      <c r="L7869" s="11">
        <v>5.08</v>
      </c>
      <c r="M7869" s="9" t="s">
        <v>2095</v>
      </c>
      <c r="N7869" s="6" t="s">
        <v>2073</v>
      </c>
      <c r="O7869" s="6" t="s">
        <v>704</v>
      </c>
      <c r="P7869" s="9" t="s">
        <v>25</v>
      </c>
      <c r="Q7869" s="9" t="s">
        <v>49</v>
      </c>
      <c r="R7869" s="9" t="s">
        <v>50</v>
      </c>
      <c r="S7869" s="7" t="s">
        <v>660</v>
      </c>
      <c r="T7869" s="9" t="s">
        <v>52</v>
      </c>
      <c r="U7869" s="7">
        <v>0.41</v>
      </c>
      <c r="V7869" s="12">
        <f t="shared" si="150"/>
        <v>40515</v>
      </c>
      <c r="W7869">
        <f>IF(D7869=' Pivot Tables'!$A$4,1,0)</f>
        <v>0</v>
      </c>
      <c r="X7869">
        <f>IF(AND(LEFT(D7869,4)+1=LEFT(' Pivot Tables'!$A$4,4)+0,RIGHT(LEFT(D7869,7),2)=RIGHT(LEFT(' Pivot Tables'!$A$4,7),2)),1,0)</f>
        <v>0</v>
      </c>
      <c r="Y7869" s="6">
        <f>1/COUNTIF(Таблица1[Order ID],Таблица1[[#This Row],[Order ID]])</f>
        <v>1</v>
      </c>
      <c r="Z7869" s="9">
        <f>1/COUNTIFS(Таблица1[Customer Name],Таблица1[[#This Row],[Customer Name]],Таблица1[Order-Year-Month],Таблица1[[#This Row],[Order-Year-Month]])</f>
        <v>1</v>
      </c>
    </row>
    <row r="7870" spans="1:26" x14ac:dyDescent="0.2">
      <c r="A7870" s="6">
        <v>1950</v>
      </c>
      <c r="B7870" s="7">
        <v>13959</v>
      </c>
      <c r="C7870" s="8">
        <f>DATE(2012,12,31)-1367</f>
        <v>39907</v>
      </c>
      <c r="D7870" s="8" t="str">
        <f t="shared" si="149"/>
        <v>2009-04 (апрель 2009)</v>
      </c>
      <c r="E7870" s="9" t="s">
        <v>63</v>
      </c>
      <c r="F7870" s="7">
        <v>47</v>
      </c>
      <c r="G7870" s="7">
        <v>228.46</v>
      </c>
      <c r="H7870" s="7">
        <v>0.01</v>
      </c>
      <c r="I7870" s="9" t="s">
        <v>22</v>
      </c>
      <c r="J7870" s="10">
        <v>112.06</v>
      </c>
      <c r="K7870" s="11">
        <v>4.91</v>
      </c>
      <c r="L7870" s="11">
        <v>0.5</v>
      </c>
      <c r="M7870" s="9" t="s">
        <v>2100</v>
      </c>
      <c r="N7870" s="6" t="s">
        <v>2073</v>
      </c>
      <c r="O7870" s="6" t="s">
        <v>704</v>
      </c>
      <c r="P7870" s="9" t="s">
        <v>60</v>
      </c>
      <c r="Q7870" s="9" t="s">
        <v>26</v>
      </c>
      <c r="R7870" s="9" t="s">
        <v>88</v>
      </c>
      <c r="S7870" s="7" t="s">
        <v>509</v>
      </c>
      <c r="T7870" s="9" t="s">
        <v>39</v>
      </c>
      <c r="U7870" s="7">
        <v>0.36</v>
      </c>
      <c r="V7870" s="12">
        <f t="shared" si="150"/>
        <v>39909</v>
      </c>
      <c r="W7870">
        <f>IF(D7870=' Pivot Tables'!$A$4,1,0)</f>
        <v>0</v>
      </c>
      <c r="X7870">
        <f>IF(AND(LEFT(D7870,4)+1=LEFT(' Pivot Tables'!$A$4,4)+0,RIGHT(LEFT(D7870,7),2)=RIGHT(LEFT(' Pivot Tables'!$A$4,7),2)),1,0)</f>
        <v>0</v>
      </c>
      <c r="Y7870" s="6">
        <f>1/COUNTIF(Таблица1[Order ID],Таблица1[[#This Row],[Order ID]])</f>
        <v>0.5</v>
      </c>
      <c r="Z7870" s="9">
        <f>1/COUNTIFS(Таблица1[Customer Name],Таблица1[[#This Row],[Customer Name]],Таблица1[Order-Year-Month],Таблица1[[#This Row],[Order-Year-Month]])</f>
        <v>0.25</v>
      </c>
    </row>
    <row r="7871" spans="1:26" x14ac:dyDescent="0.2">
      <c r="A7871" s="6">
        <v>1951</v>
      </c>
      <c r="B7871" s="7">
        <v>13959</v>
      </c>
      <c r="C7871" s="8">
        <f>DATE(2012,12,31)-1367</f>
        <v>39907</v>
      </c>
      <c r="D7871" s="8" t="str">
        <f t="shared" si="149"/>
        <v>2009-04 (апрель 2009)</v>
      </c>
      <c r="E7871" s="9" t="s">
        <v>63</v>
      </c>
      <c r="F7871" s="7">
        <v>19</v>
      </c>
      <c r="G7871" s="7">
        <v>77.61</v>
      </c>
      <c r="H7871" s="7">
        <v>0.09</v>
      </c>
      <c r="I7871" s="9" t="s">
        <v>56</v>
      </c>
      <c r="J7871" s="10">
        <v>16.79</v>
      </c>
      <c r="K7871" s="11">
        <v>4</v>
      </c>
      <c r="L7871" s="11">
        <v>1.3</v>
      </c>
      <c r="M7871" s="9" t="s">
        <v>2100</v>
      </c>
      <c r="N7871" s="6" t="s">
        <v>2073</v>
      </c>
      <c r="O7871" s="6" t="s">
        <v>704</v>
      </c>
      <c r="P7871" s="9" t="s">
        <v>60</v>
      </c>
      <c r="Q7871" s="9" t="s">
        <v>26</v>
      </c>
      <c r="R7871" s="9" t="s">
        <v>61</v>
      </c>
      <c r="S7871" s="7" t="s">
        <v>1209</v>
      </c>
      <c r="T7871" s="9" t="s">
        <v>68</v>
      </c>
      <c r="U7871" s="7">
        <v>0.37</v>
      </c>
      <c r="V7871" s="12">
        <f t="shared" si="150"/>
        <v>39909</v>
      </c>
      <c r="W7871">
        <f>IF(D7871=' Pivot Tables'!$A$4,1,0)</f>
        <v>0</v>
      </c>
      <c r="X7871">
        <f>IF(AND(LEFT(D7871,4)+1=LEFT(' Pivot Tables'!$A$4,4)+0,RIGHT(LEFT(D7871,7),2)=RIGHT(LEFT(' Pivot Tables'!$A$4,7),2)),1,0)</f>
        <v>0</v>
      </c>
      <c r="Y7871" s="6">
        <f>1/COUNTIF(Таблица1[Order ID],Таблица1[[#This Row],[Order ID]])</f>
        <v>0.5</v>
      </c>
      <c r="Z7871" s="9">
        <f>1/COUNTIFS(Таблица1[Customer Name],Таблица1[[#This Row],[Customer Name]],Таблица1[Order-Year-Month],Таблица1[[#This Row],[Order-Year-Month]])</f>
        <v>0.25</v>
      </c>
    </row>
    <row r="7872" spans="1:26" x14ac:dyDescent="0.2">
      <c r="A7872" s="6">
        <v>1959</v>
      </c>
      <c r="B7872" s="7">
        <v>14016</v>
      </c>
      <c r="C7872" s="8">
        <f>DATE(2012,12,31)-173</f>
        <v>41101</v>
      </c>
      <c r="D7872" s="8" t="str">
        <f t="shared" si="149"/>
        <v>2012-07 (июль 2012)</v>
      </c>
      <c r="E7872" s="9" t="s">
        <v>21</v>
      </c>
      <c r="F7872" s="7">
        <v>9</v>
      </c>
      <c r="G7872" s="7">
        <v>1137.6199999999999</v>
      </c>
      <c r="H7872" s="7">
        <v>0.05</v>
      </c>
      <c r="I7872" s="9" t="s">
        <v>31</v>
      </c>
      <c r="J7872" s="10">
        <v>-284.68</v>
      </c>
      <c r="K7872" s="11">
        <v>124.49</v>
      </c>
      <c r="L7872" s="11">
        <v>51.94</v>
      </c>
      <c r="M7872" s="9" t="s">
        <v>2099</v>
      </c>
      <c r="N7872" s="6" t="s">
        <v>2073</v>
      </c>
      <c r="O7872" s="6" t="s">
        <v>704</v>
      </c>
      <c r="P7872" s="9" t="s">
        <v>41</v>
      </c>
      <c r="Q7872" s="9" t="s">
        <v>49</v>
      </c>
      <c r="R7872" s="9" t="s">
        <v>83</v>
      </c>
      <c r="S7872" s="7" t="s">
        <v>432</v>
      </c>
      <c r="T7872" s="9" t="s">
        <v>82</v>
      </c>
      <c r="U7872" s="7">
        <v>0.63</v>
      </c>
      <c r="V7872" s="12">
        <f t="shared" si="150"/>
        <v>41103</v>
      </c>
      <c r="W7872">
        <f>IF(D7872=' Pivot Tables'!$A$4,1,0)</f>
        <v>0</v>
      </c>
      <c r="X7872">
        <f>IF(AND(LEFT(D7872,4)+1=LEFT(' Pivot Tables'!$A$4,4)+0,RIGHT(LEFT(D7872,7),2)=RIGHT(LEFT(' Pivot Tables'!$A$4,7),2)),1,0)</f>
        <v>0</v>
      </c>
      <c r="Y7872" s="6">
        <f>1/COUNTIF(Таблица1[Order ID],Таблица1[[#This Row],[Order ID]])</f>
        <v>1</v>
      </c>
      <c r="Z7872" s="9">
        <f>1/COUNTIFS(Таблица1[Customer Name],Таблица1[[#This Row],[Customer Name]],Таблица1[Order-Year-Month],Таблица1[[#This Row],[Order-Year-Month]])</f>
        <v>1</v>
      </c>
    </row>
    <row r="7873" spans="1:26" x14ac:dyDescent="0.2">
      <c r="A7873" s="6">
        <v>2044</v>
      </c>
      <c r="B7873" s="7">
        <v>14563</v>
      </c>
      <c r="C7873" s="8">
        <f>DATE(2012,12,31)-395</f>
        <v>40879</v>
      </c>
      <c r="D7873" s="8" t="str">
        <f t="shared" si="149"/>
        <v>2011-12 (декабрь 2011)</v>
      </c>
      <c r="E7873" s="9" t="s">
        <v>78</v>
      </c>
      <c r="F7873" s="7">
        <v>31</v>
      </c>
      <c r="G7873" s="7">
        <v>953.04549999999995</v>
      </c>
      <c r="H7873" s="7">
        <v>0.02</v>
      </c>
      <c r="I7873" s="9" t="s">
        <v>22</v>
      </c>
      <c r="J7873" s="10">
        <v>298.46699999999998</v>
      </c>
      <c r="K7873" s="11">
        <v>35.99</v>
      </c>
      <c r="L7873" s="11">
        <v>5.99</v>
      </c>
      <c r="M7873" s="9" t="s">
        <v>2096</v>
      </c>
      <c r="N7873" s="6" t="s">
        <v>2073</v>
      </c>
      <c r="O7873" s="6" t="s">
        <v>704</v>
      </c>
      <c r="P7873" s="9" t="s">
        <v>41</v>
      </c>
      <c r="Q7873" s="9" t="s">
        <v>42</v>
      </c>
      <c r="R7873" s="9" t="s">
        <v>43</v>
      </c>
      <c r="S7873" s="7" t="s">
        <v>907</v>
      </c>
      <c r="T7873" s="9" t="s">
        <v>68</v>
      </c>
      <c r="U7873" s="7">
        <v>0.38</v>
      </c>
      <c r="V7873" s="12">
        <f>C7873+1</f>
        <v>40880</v>
      </c>
      <c r="W7873">
        <f>IF(D7873=' Pivot Tables'!$A$4,1,0)</f>
        <v>0</v>
      </c>
      <c r="X7873">
        <f>IF(AND(LEFT(D7873,4)+1=LEFT(' Pivot Tables'!$A$4,4)+0,RIGHT(LEFT(D7873,7),2)=RIGHT(LEFT(' Pivot Tables'!$A$4,7),2)),1,0)</f>
        <v>0</v>
      </c>
      <c r="Y7873" s="6">
        <f>1/COUNTIF(Таблица1[Order ID],Таблица1[[#This Row],[Order ID]])</f>
        <v>1</v>
      </c>
      <c r="Z7873" s="9">
        <f>1/COUNTIFS(Таблица1[Customer Name],Таблица1[[#This Row],[Customer Name]],Таблица1[Order-Year-Month],Таблица1[[#This Row],[Order-Year-Month]])</f>
        <v>1</v>
      </c>
    </row>
    <row r="7874" spans="1:26" x14ac:dyDescent="0.2">
      <c r="A7874" s="6">
        <v>2155</v>
      </c>
      <c r="B7874" s="7">
        <v>15428</v>
      </c>
      <c r="C7874" s="8">
        <f>DATE(2012,12,31)-691</f>
        <v>40583</v>
      </c>
      <c r="D7874" s="8" t="str">
        <f t="shared" si="149"/>
        <v>2011-02 (февраль 2011)</v>
      </c>
      <c r="E7874" s="9" t="s">
        <v>78</v>
      </c>
      <c r="F7874" s="7">
        <v>50</v>
      </c>
      <c r="G7874" s="7">
        <v>1444.96</v>
      </c>
      <c r="H7874" s="7">
        <v>0.09</v>
      </c>
      <c r="I7874" s="9" t="s">
        <v>56</v>
      </c>
      <c r="J7874" s="10">
        <v>-6.34</v>
      </c>
      <c r="K7874" s="11">
        <v>29.1</v>
      </c>
      <c r="L7874" s="11">
        <v>4</v>
      </c>
      <c r="M7874" s="9" t="s">
        <v>2095</v>
      </c>
      <c r="N7874" s="6" t="s">
        <v>2073</v>
      </c>
      <c r="O7874" s="6" t="s">
        <v>704</v>
      </c>
      <c r="P7874" s="9" t="s">
        <v>25</v>
      </c>
      <c r="Q7874" s="9" t="s">
        <v>42</v>
      </c>
      <c r="R7874" s="9" t="s">
        <v>70</v>
      </c>
      <c r="S7874" s="7" t="s">
        <v>1636</v>
      </c>
      <c r="T7874" s="9" t="s">
        <v>39</v>
      </c>
      <c r="U7874" s="7">
        <v>0.78</v>
      </c>
      <c r="V7874" s="12">
        <f>C7874+1</f>
        <v>40584</v>
      </c>
      <c r="W7874">
        <f>IF(D7874=' Pivot Tables'!$A$4,1,0)</f>
        <v>0</v>
      </c>
      <c r="X7874">
        <f>IF(AND(LEFT(D7874,4)+1=LEFT(' Pivot Tables'!$A$4,4)+0,RIGHT(LEFT(D7874,7),2)=RIGHT(LEFT(' Pivot Tables'!$A$4,7),2)),1,0)</f>
        <v>0</v>
      </c>
      <c r="Y7874" s="6">
        <f>1/COUNTIF(Таблица1[Order ID],Таблица1[[#This Row],[Order ID]])</f>
        <v>0.5</v>
      </c>
      <c r="Z7874" s="9">
        <f>1/COUNTIFS(Таблица1[Customer Name],Таблица1[[#This Row],[Customer Name]],Таблица1[Order-Year-Month],Таблица1[[#This Row],[Order-Year-Month]])</f>
        <v>0.5</v>
      </c>
    </row>
    <row r="7875" spans="1:26" x14ac:dyDescent="0.2">
      <c r="A7875" s="6">
        <v>2156</v>
      </c>
      <c r="B7875" s="7">
        <v>15428</v>
      </c>
      <c r="C7875" s="8">
        <f>DATE(2012,12,31)-691</f>
        <v>40583</v>
      </c>
      <c r="D7875" s="8" t="str">
        <f t="shared" ref="D7875:D7938" si="151">TEXT(C7875,"гггг-ММ (ММММ гггг)")</f>
        <v>2011-02 (февраль 2011)</v>
      </c>
      <c r="E7875" s="9" t="s">
        <v>78</v>
      </c>
      <c r="F7875" s="7">
        <v>10</v>
      </c>
      <c r="G7875" s="7">
        <v>941.62149999999997</v>
      </c>
      <c r="H7875" s="7">
        <v>0.01</v>
      </c>
      <c r="I7875" s="9" t="s">
        <v>22</v>
      </c>
      <c r="J7875" s="10">
        <v>-186.67</v>
      </c>
      <c r="K7875" s="11">
        <v>110.99</v>
      </c>
      <c r="L7875" s="11">
        <v>8.99</v>
      </c>
      <c r="M7875" s="9" t="s">
        <v>2095</v>
      </c>
      <c r="N7875" s="6" t="s">
        <v>2073</v>
      </c>
      <c r="O7875" s="6" t="s">
        <v>704</v>
      </c>
      <c r="P7875" s="9" t="s">
        <v>25</v>
      </c>
      <c r="Q7875" s="9" t="s">
        <v>42</v>
      </c>
      <c r="R7875" s="9" t="s">
        <v>43</v>
      </c>
      <c r="S7875" s="7" t="s">
        <v>565</v>
      </c>
      <c r="T7875" s="9" t="s">
        <v>39</v>
      </c>
      <c r="U7875" s="7">
        <v>0.56999999999999995</v>
      </c>
      <c r="V7875" s="12">
        <f>C7875+3</f>
        <v>40586</v>
      </c>
      <c r="W7875">
        <f>IF(D7875=' Pivot Tables'!$A$4,1,0)</f>
        <v>0</v>
      </c>
      <c r="X7875">
        <f>IF(AND(LEFT(D7875,4)+1=LEFT(' Pivot Tables'!$A$4,4)+0,RIGHT(LEFT(D7875,7),2)=RIGHT(LEFT(' Pivot Tables'!$A$4,7),2)),1,0)</f>
        <v>0</v>
      </c>
      <c r="Y7875" s="6">
        <f>1/COUNTIF(Таблица1[Order ID],Таблица1[[#This Row],[Order ID]])</f>
        <v>0.5</v>
      </c>
      <c r="Z7875" s="9">
        <f>1/COUNTIFS(Таблица1[Customer Name],Таблица1[[#This Row],[Customer Name]],Таблица1[Order-Year-Month],Таблица1[[#This Row],[Order-Year-Month]])</f>
        <v>0.5</v>
      </c>
    </row>
    <row r="7876" spans="1:26" x14ac:dyDescent="0.2">
      <c r="A7876" s="6">
        <v>2327</v>
      </c>
      <c r="B7876" s="7">
        <v>16772</v>
      </c>
      <c r="C7876" s="8">
        <f>DATE(2012,12,31)-5</f>
        <v>41269</v>
      </c>
      <c r="D7876" s="8" t="str">
        <f t="shared" si="151"/>
        <v>2012-12 (декабрь 2012)</v>
      </c>
      <c r="E7876" s="9" t="s">
        <v>30</v>
      </c>
      <c r="F7876" s="7">
        <v>38</v>
      </c>
      <c r="G7876" s="7">
        <v>95.71</v>
      </c>
      <c r="H7876" s="7">
        <v>0.04</v>
      </c>
      <c r="I7876" s="9" t="s">
        <v>22</v>
      </c>
      <c r="J7876" s="10">
        <v>32.81</v>
      </c>
      <c r="K7876" s="11">
        <v>2.61</v>
      </c>
      <c r="L7876" s="11">
        <v>0.5</v>
      </c>
      <c r="M7876" s="9" t="s">
        <v>2100</v>
      </c>
      <c r="N7876" s="6" t="s">
        <v>2073</v>
      </c>
      <c r="O7876" s="6" t="s">
        <v>704</v>
      </c>
      <c r="P7876" s="9" t="s">
        <v>60</v>
      </c>
      <c r="Q7876" s="9" t="s">
        <v>26</v>
      </c>
      <c r="R7876" s="9" t="s">
        <v>88</v>
      </c>
      <c r="S7876" s="7" t="s">
        <v>528</v>
      </c>
      <c r="T7876" s="9" t="s">
        <v>39</v>
      </c>
      <c r="U7876" s="7">
        <v>0.39</v>
      </c>
      <c r="V7876" s="12">
        <f>C7876+2</f>
        <v>41271</v>
      </c>
      <c r="W7876">
        <f>IF(D7876=' Pivot Tables'!$A$4,1,0)</f>
        <v>0</v>
      </c>
      <c r="X7876">
        <f>IF(AND(LEFT(D7876,4)+1=LEFT(' Pivot Tables'!$A$4,4)+0,RIGHT(LEFT(D7876,7),2)=RIGHT(LEFT(' Pivot Tables'!$A$4,7),2)),1,0)</f>
        <v>0</v>
      </c>
      <c r="Y7876" s="6">
        <f>1/COUNTIF(Таблица1[Order ID],Таблица1[[#This Row],[Order ID]])</f>
        <v>1</v>
      </c>
      <c r="Z7876" s="9">
        <f>1/COUNTIFS(Таблица1[Customer Name],Таблица1[[#This Row],[Customer Name]],Таблица1[Order-Year-Month],Таблица1[[#This Row],[Order-Year-Month]])</f>
        <v>1</v>
      </c>
    </row>
    <row r="7877" spans="1:26" x14ac:dyDescent="0.2">
      <c r="A7877" s="6">
        <v>2425</v>
      </c>
      <c r="B7877" s="7">
        <v>17573</v>
      </c>
      <c r="C7877" s="8">
        <f>DATE(2012,12,31)-484</f>
        <v>40790</v>
      </c>
      <c r="D7877" s="8" t="str">
        <f t="shared" si="151"/>
        <v>2011-09 (сентябрь 2011)</v>
      </c>
      <c r="E7877" s="9" t="s">
        <v>21</v>
      </c>
      <c r="F7877" s="7">
        <v>47</v>
      </c>
      <c r="G7877" s="7">
        <v>21555.599999999999</v>
      </c>
      <c r="H7877" s="7">
        <v>0.02</v>
      </c>
      <c r="I7877" s="9" t="s">
        <v>31</v>
      </c>
      <c r="J7877" s="10">
        <v>8965.83</v>
      </c>
      <c r="K7877" s="11">
        <v>449.99</v>
      </c>
      <c r="L7877" s="11">
        <v>49</v>
      </c>
      <c r="M7877" s="9" t="s">
        <v>1791</v>
      </c>
      <c r="N7877" s="6" t="s">
        <v>2073</v>
      </c>
      <c r="O7877" s="6" t="s">
        <v>704</v>
      </c>
      <c r="P7877" s="9" t="s">
        <v>25</v>
      </c>
      <c r="Q7877" s="9" t="s">
        <v>42</v>
      </c>
      <c r="R7877" s="9" t="s">
        <v>99</v>
      </c>
      <c r="S7877" s="7" t="s">
        <v>100</v>
      </c>
      <c r="T7877" s="9" t="s">
        <v>36</v>
      </c>
      <c r="U7877" s="7">
        <v>0.38</v>
      </c>
      <c r="V7877" s="12">
        <f>C7877+2</f>
        <v>40792</v>
      </c>
      <c r="W7877">
        <f>IF(D7877=' Pivot Tables'!$A$4,1,0)</f>
        <v>0</v>
      </c>
      <c r="X7877">
        <f>IF(AND(LEFT(D7877,4)+1=LEFT(' Pivot Tables'!$A$4,4)+0,RIGHT(LEFT(D7877,7),2)=RIGHT(LEFT(' Pivot Tables'!$A$4,7),2)),1,0)</f>
        <v>0</v>
      </c>
      <c r="Y7877" s="6">
        <f>1/COUNTIF(Таблица1[Order ID],Таблица1[[#This Row],[Order ID]])</f>
        <v>0.5</v>
      </c>
      <c r="Z7877" s="9">
        <f>1/COUNTIFS(Таблица1[Customer Name],Таблица1[[#This Row],[Customer Name]],Таблица1[Order-Year-Month],Таблица1[[#This Row],[Order-Year-Month]])</f>
        <v>0.5</v>
      </c>
    </row>
    <row r="7878" spans="1:26" x14ac:dyDescent="0.2">
      <c r="A7878" s="6">
        <v>2488</v>
      </c>
      <c r="B7878" s="7">
        <v>18119</v>
      </c>
      <c r="C7878" s="8">
        <f>DATE(2012,12,31)-1286</f>
        <v>39988</v>
      </c>
      <c r="D7878" s="8" t="str">
        <f t="shared" si="151"/>
        <v>2009-06 (июнь 2009)</v>
      </c>
      <c r="E7878" s="9" t="s">
        <v>21</v>
      </c>
      <c r="F7878" s="7">
        <v>37</v>
      </c>
      <c r="G7878" s="7">
        <v>347.84</v>
      </c>
      <c r="H7878" s="7">
        <v>0</v>
      </c>
      <c r="I7878" s="9" t="s">
        <v>22</v>
      </c>
      <c r="J7878" s="10">
        <v>-99.25</v>
      </c>
      <c r="K7878" s="11">
        <v>8.74</v>
      </c>
      <c r="L7878" s="11">
        <v>8.2899999999999991</v>
      </c>
      <c r="M7878" s="9" t="s">
        <v>2023</v>
      </c>
      <c r="N7878" s="6" t="s">
        <v>2073</v>
      </c>
      <c r="O7878" s="6" t="s">
        <v>704</v>
      </c>
      <c r="P7878" s="9" t="s">
        <v>33</v>
      </c>
      <c r="Q7878" s="9" t="s">
        <v>26</v>
      </c>
      <c r="R7878" s="9" t="s">
        <v>76</v>
      </c>
      <c r="S7878" s="7" t="s">
        <v>567</v>
      </c>
      <c r="T7878" s="9" t="s">
        <v>39</v>
      </c>
      <c r="U7878" s="7">
        <v>0.38</v>
      </c>
      <c r="V7878" s="12">
        <f>C7878+2</f>
        <v>39990</v>
      </c>
      <c r="W7878">
        <f>IF(D7878=' Pivot Tables'!$A$4,1,0)</f>
        <v>0</v>
      </c>
      <c r="X7878">
        <f>IF(AND(LEFT(D7878,4)+1=LEFT(' Pivot Tables'!$A$4,4)+0,RIGHT(LEFT(D7878,7),2)=RIGHT(LEFT(' Pivot Tables'!$A$4,7),2)),1,0)</f>
        <v>0</v>
      </c>
      <c r="Y7878" s="6">
        <f>1/COUNTIF(Таблица1[Order ID],Таблица1[[#This Row],[Order ID]])</f>
        <v>1</v>
      </c>
      <c r="Z7878" s="9">
        <f>1/COUNTIFS(Таблица1[Customer Name],Таблица1[[#This Row],[Customer Name]],Таблица1[Order-Year-Month],Таблица1[[#This Row],[Order-Year-Month]])</f>
        <v>1</v>
      </c>
    </row>
    <row r="7879" spans="1:26" x14ac:dyDescent="0.2">
      <c r="A7879" s="6">
        <v>2527</v>
      </c>
      <c r="B7879" s="7">
        <v>18368</v>
      </c>
      <c r="C7879" s="8">
        <f>DATE(2012,12,31)-31</f>
        <v>41243</v>
      </c>
      <c r="D7879" s="8" t="str">
        <f t="shared" si="151"/>
        <v>2012-11 (ноябрь 2012)</v>
      </c>
      <c r="E7879" s="9" t="s">
        <v>45</v>
      </c>
      <c r="F7879" s="7">
        <v>3</v>
      </c>
      <c r="G7879" s="7">
        <v>212.91</v>
      </c>
      <c r="H7879" s="7">
        <v>0</v>
      </c>
      <c r="I7879" s="9" t="s">
        <v>22</v>
      </c>
      <c r="J7879" s="10">
        <v>-65.150000000000006</v>
      </c>
      <c r="K7879" s="11">
        <v>70.97</v>
      </c>
      <c r="L7879" s="11">
        <v>3.5</v>
      </c>
      <c r="M7879" s="9" t="s">
        <v>2103</v>
      </c>
      <c r="N7879" s="6" t="s">
        <v>2073</v>
      </c>
      <c r="O7879" s="6" t="s">
        <v>704</v>
      </c>
      <c r="P7879" s="9" t="s">
        <v>41</v>
      </c>
      <c r="Q7879" s="9" t="s">
        <v>26</v>
      </c>
      <c r="R7879" s="9" t="s">
        <v>34</v>
      </c>
      <c r="S7879" s="7" t="s">
        <v>1401</v>
      </c>
      <c r="T7879" s="9" t="s">
        <v>39</v>
      </c>
      <c r="U7879" s="7">
        <v>0.59</v>
      </c>
      <c r="V7879" s="12">
        <f>C7879+2</f>
        <v>41245</v>
      </c>
      <c r="W7879">
        <f>IF(D7879=' Pivot Tables'!$A$4,1,0)</f>
        <v>0</v>
      </c>
      <c r="X7879">
        <f>IF(AND(LEFT(D7879,4)+1=LEFT(' Pivot Tables'!$A$4,4)+0,RIGHT(LEFT(D7879,7),2)=RIGHT(LEFT(' Pivot Tables'!$A$4,7),2)),1,0)</f>
        <v>0</v>
      </c>
      <c r="Y7879" s="6">
        <f>1/COUNTIF(Таблица1[Order ID],Таблица1[[#This Row],[Order ID]])</f>
        <v>0.33333333333333331</v>
      </c>
      <c r="Z7879" s="9">
        <f>1/COUNTIFS(Таблица1[Customer Name],Таблица1[[#This Row],[Customer Name]],Таблица1[Order-Year-Month],Таблица1[[#This Row],[Order-Year-Month]])</f>
        <v>0.33333333333333331</v>
      </c>
    </row>
    <row r="7880" spans="1:26" x14ac:dyDescent="0.2">
      <c r="A7880" s="6">
        <v>2528</v>
      </c>
      <c r="B7880" s="7">
        <v>18368</v>
      </c>
      <c r="C7880" s="8">
        <f>DATE(2012,12,31)-31</f>
        <v>41243</v>
      </c>
      <c r="D7880" s="8" t="str">
        <f t="shared" si="151"/>
        <v>2012-11 (ноябрь 2012)</v>
      </c>
      <c r="E7880" s="9" t="s">
        <v>45</v>
      </c>
      <c r="F7880" s="7">
        <v>35</v>
      </c>
      <c r="G7880" s="7">
        <v>1275.6099999999999</v>
      </c>
      <c r="H7880" s="7">
        <v>0.08</v>
      </c>
      <c r="I7880" s="9" t="s">
        <v>22</v>
      </c>
      <c r="J7880" s="10">
        <v>517.33000000000004</v>
      </c>
      <c r="K7880" s="11">
        <v>37.94</v>
      </c>
      <c r="L7880" s="11">
        <v>5.08</v>
      </c>
      <c r="M7880" s="9" t="s">
        <v>2103</v>
      </c>
      <c r="N7880" s="6" t="s">
        <v>2073</v>
      </c>
      <c r="O7880" s="6" t="s">
        <v>704</v>
      </c>
      <c r="P7880" s="9" t="s">
        <v>41</v>
      </c>
      <c r="Q7880" s="9" t="s">
        <v>26</v>
      </c>
      <c r="R7880" s="9" t="s">
        <v>61</v>
      </c>
      <c r="S7880" s="7" t="s">
        <v>684</v>
      </c>
      <c r="T7880" s="9" t="s">
        <v>68</v>
      </c>
      <c r="U7880" s="7">
        <v>0.38</v>
      </c>
      <c r="V7880" s="12">
        <f>C7880+1</f>
        <v>41244</v>
      </c>
      <c r="W7880">
        <f>IF(D7880=' Pivot Tables'!$A$4,1,0)</f>
        <v>0</v>
      </c>
      <c r="X7880">
        <f>IF(AND(LEFT(D7880,4)+1=LEFT(' Pivot Tables'!$A$4,4)+0,RIGHT(LEFT(D7880,7),2)=RIGHT(LEFT(' Pivot Tables'!$A$4,7),2)),1,0)</f>
        <v>0</v>
      </c>
      <c r="Y7880" s="6">
        <f>1/COUNTIF(Таблица1[Order ID],Таблица1[[#This Row],[Order ID]])</f>
        <v>0.33333333333333331</v>
      </c>
      <c r="Z7880" s="9">
        <f>1/COUNTIFS(Таблица1[Customer Name],Таблица1[[#This Row],[Customer Name]],Таблица1[Order-Year-Month],Таблица1[[#This Row],[Order-Year-Month]])</f>
        <v>0.33333333333333331</v>
      </c>
    </row>
    <row r="7881" spans="1:26" x14ac:dyDescent="0.2">
      <c r="A7881" s="6">
        <v>2529</v>
      </c>
      <c r="B7881" s="7">
        <v>18368</v>
      </c>
      <c r="C7881" s="8">
        <f>DATE(2012,12,31)-31</f>
        <v>41243</v>
      </c>
      <c r="D7881" s="8" t="str">
        <f t="shared" si="151"/>
        <v>2012-11 (ноябрь 2012)</v>
      </c>
      <c r="E7881" s="9" t="s">
        <v>45</v>
      </c>
      <c r="F7881" s="7">
        <v>3</v>
      </c>
      <c r="G7881" s="7">
        <v>5972.59</v>
      </c>
      <c r="H7881" s="7">
        <v>0.06</v>
      </c>
      <c r="I7881" s="9" t="s">
        <v>31</v>
      </c>
      <c r="J7881" s="10">
        <v>-4852.5293999999994</v>
      </c>
      <c r="K7881" s="11">
        <v>2036.48</v>
      </c>
      <c r="L7881" s="11">
        <v>14.7</v>
      </c>
      <c r="M7881" s="9" t="s">
        <v>2103</v>
      </c>
      <c r="N7881" s="6" t="s">
        <v>2073</v>
      </c>
      <c r="O7881" s="6" t="s">
        <v>704</v>
      </c>
      <c r="P7881" s="9" t="s">
        <v>41</v>
      </c>
      <c r="Q7881" s="9" t="s">
        <v>42</v>
      </c>
      <c r="R7881" s="9" t="s">
        <v>210</v>
      </c>
      <c r="S7881" s="7" t="s">
        <v>1996</v>
      </c>
      <c r="T7881" s="9" t="s">
        <v>36</v>
      </c>
      <c r="U7881" s="7">
        <v>0.55000000000000004</v>
      </c>
      <c r="V7881" s="12">
        <f>C7881+2</f>
        <v>41245</v>
      </c>
      <c r="W7881">
        <f>IF(D7881=' Pivot Tables'!$A$4,1,0)</f>
        <v>0</v>
      </c>
      <c r="X7881">
        <f>IF(AND(LEFT(D7881,4)+1=LEFT(' Pivot Tables'!$A$4,4)+0,RIGHT(LEFT(D7881,7),2)=RIGHT(LEFT(' Pivot Tables'!$A$4,7),2)),1,0)</f>
        <v>0</v>
      </c>
      <c r="Y7881" s="6">
        <f>1/COUNTIF(Таблица1[Order ID],Таблица1[[#This Row],[Order ID]])</f>
        <v>0.33333333333333331</v>
      </c>
      <c r="Z7881" s="9">
        <f>1/COUNTIFS(Таблица1[Customer Name],Таблица1[[#This Row],[Customer Name]],Таблица1[Order-Year-Month],Таблица1[[#This Row],[Order-Year-Month]])</f>
        <v>0.33333333333333331</v>
      </c>
    </row>
    <row r="7882" spans="1:26" x14ac:dyDescent="0.2">
      <c r="A7882" s="6">
        <v>2682</v>
      </c>
      <c r="B7882" s="7">
        <v>19424</v>
      </c>
      <c r="C7882" s="8">
        <f>DATE(2012,12,31)-632</f>
        <v>40642</v>
      </c>
      <c r="D7882" s="8" t="str">
        <f t="shared" si="151"/>
        <v>2011-04 (апрель 2011)</v>
      </c>
      <c r="E7882" s="9" t="s">
        <v>45</v>
      </c>
      <c r="F7882" s="7">
        <v>29</v>
      </c>
      <c r="G7882" s="7">
        <v>60.68</v>
      </c>
      <c r="H7882" s="7">
        <v>0.09</v>
      </c>
      <c r="I7882" s="9" t="s">
        <v>22</v>
      </c>
      <c r="J7882" s="10">
        <v>-115.71300000000001</v>
      </c>
      <c r="K7882" s="11">
        <v>1.98</v>
      </c>
      <c r="L7882" s="11">
        <v>4.7699999999999996</v>
      </c>
      <c r="M7882" s="9" t="s">
        <v>2095</v>
      </c>
      <c r="N7882" s="6" t="s">
        <v>2073</v>
      </c>
      <c r="O7882" s="6" t="s">
        <v>704</v>
      </c>
      <c r="P7882" s="9" t="s">
        <v>25</v>
      </c>
      <c r="Q7882" s="9" t="s">
        <v>26</v>
      </c>
      <c r="R7882" s="9" t="s">
        <v>37</v>
      </c>
      <c r="S7882" s="7" t="s">
        <v>1667</v>
      </c>
      <c r="T7882" s="9" t="s">
        <v>39</v>
      </c>
      <c r="U7882" s="7">
        <v>0.4</v>
      </c>
      <c r="V7882" s="12">
        <f>C7882+0</f>
        <v>40642</v>
      </c>
      <c r="W7882">
        <f>IF(D7882=' Pivot Tables'!$A$4,1,0)</f>
        <v>0</v>
      </c>
      <c r="X7882">
        <f>IF(AND(LEFT(D7882,4)+1=LEFT(' Pivot Tables'!$A$4,4)+0,RIGHT(LEFT(D7882,7),2)=RIGHT(LEFT(' Pivot Tables'!$A$4,7),2)),1,0)</f>
        <v>0</v>
      </c>
      <c r="Y7882" s="6">
        <f>1/COUNTIF(Таблица1[Order ID],Таблица1[[#This Row],[Order ID]])</f>
        <v>0.5</v>
      </c>
      <c r="Z7882" s="9">
        <f>1/COUNTIFS(Таблица1[Customer Name],Таблица1[[#This Row],[Customer Name]],Таблица1[Order-Year-Month],Таблица1[[#This Row],[Order-Year-Month]])</f>
        <v>0.5</v>
      </c>
    </row>
    <row r="7883" spans="1:26" x14ac:dyDescent="0.2">
      <c r="A7883" s="6">
        <v>2683</v>
      </c>
      <c r="B7883" s="7">
        <v>19424</v>
      </c>
      <c r="C7883" s="8">
        <f>DATE(2012,12,31)-632</f>
        <v>40642</v>
      </c>
      <c r="D7883" s="8" t="str">
        <f t="shared" si="151"/>
        <v>2011-04 (апрель 2011)</v>
      </c>
      <c r="E7883" s="9" t="s">
        <v>45</v>
      </c>
      <c r="F7883" s="7">
        <v>37</v>
      </c>
      <c r="G7883" s="7">
        <v>1129.0550000000001</v>
      </c>
      <c r="H7883" s="7">
        <v>0.05</v>
      </c>
      <c r="I7883" s="9" t="s">
        <v>22</v>
      </c>
      <c r="J7883" s="10">
        <v>337.72500000000002</v>
      </c>
      <c r="K7883" s="11">
        <v>35.99</v>
      </c>
      <c r="L7883" s="11">
        <v>1.1000000000000001</v>
      </c>
      <c r="M7883" s="9" t="s">
        <v>2095</v>
      </c>
      <c r="N7883" s="6" t="s">
        <v>2073</v>
      </c>
      <c r="O7883" s="6" t="s">
        <v>704</v>
      </c>
      <c r="P7883" s="9" t="s">
        <v>25</v>
      </c>
      <c r="Q7883" s="9" t="s">
        <v>42</v>
      </c>
      <c r="R7883" s="9" t="s">
        <v>43</v>
      </c>
      <c r="S7883" s="7" t="s">
        <v>1082</v>
      </c>
      <c r="T7883" s="9" t="s">
        <v>39</v>
      </c>
      <c r="U7883" s="7">
        <v>0.55000000000000004</v>
      </c>
      <c r="V7883" s="12">
        <f>C7883+1</f>
        <v>40643</v>
      </c>
      <c r="W7883">
        <f>IF(D7883=' Pivot Tables'!$A$4,1,0)</f>
        <v>0</v>
      </c>
      <c r="X7883">
        <f>IF(AND(LEFT(D7883,4)+1=LEFT(' Pivot Tables'!$A$4,4)+0,RIGHT(LEFT(D7883,7),2)=RIGHT(LEFT(' Pivot Tables'!$A$4,7),2)),1,0)</f>
        <v>0</v>
      </c>
      <c r="Y7883" s="6">
        <f>1/COUNTIF(Таблица1[Order ID],Таблица1[[#This Row],[Order ID]])</f>
        <v>0.5</v>
      </c>
      <c r="Z7883" s="9">
        <f>1/COUNTIFS(Таблица1[Customer Name],Таблица1[[#This Row],[Customer Name]],Таблица1[Order-Year-Month],Таблица1[[#This Row],[Order-Year-Month]])</f>
        <v>0.5</v>
      </c>
    </row>
    <row r="7884" spans="1:26" x14ac:dyDescent="0.2">
      <c r="A7884" s="6">
        <v>2684</v>
      </c>
      <c r="B7884" s="7">
        <v>19425</v>
      </c>
      <c r="C7884" s="8">
        <f>DATE(2012,12,31)-98</f>
        <v>41176</v>
      </c>
      <c r="D7884" s="8" t="str">
        <f t="shared" si="151"/>
        <v>2012-09 (сентябрь 2012)</v>
      </c>
      <c r="E7884" s="9" t="s">
        <v>45</v>
      </c>
      <c r="F7884" s="7">
        <v>34</v>
      </c>
      <c r="G7884" s="7">
        <v>210.24</v>
      </c>
      <c r="H7884" s="7">
        <v>0</v>
      </c>
      <c r="I7884" s="9" t="s">
        <v>22</v>
      </c>
      <c r="J7884" s="10">
        <v>-31.67</v>
      </c>
      <c r="K7884" s="11">
        <v>5.68</v>
      </c>
      <c r="L7884" s="11">
        <v>3.6</v>
      </c>
      <c r="M7884" s="9" t="s">
        <v>2104</v>
      </c>
      <c r="N7884" s="6" t="s">
        <v>2073</v>
      </c>
      <c r="O7884" s="6" t="s">
        <v>704</v>
      </c>
      <c r="P7884" s="9" t="s">
        <v>60</v>
      </c>
      <c r="Q7884" s="9" t="s">
        <v>26</v>
      </c>
      <c r="R7884" s="9" t="s">
        <v>150</v>
      </c>
      <c r="S7884" s="7" t="s">
        <v>1716</v>
      </c>
      <c r="T7884" s="9" t="s">
        <v>52</v>
      </c>
      <c r="U7884" s="7">
        <v>0.56000000000000005</v>
      </c>
      <c r="V7884" s="12">
        <f>C7884+1</f>
        <v>41177</v>
      </c>
      <c r="W7884">
        <f>IF(D7884=' Pivot Tables'!$A$4,1,0)</f>
        <v>0</v>
      </c>
      <c r="X7884">
        <f>IF(AND(LEFT(D7884,4)+1=LEFT(' Pivot Tables'!$A$4,4)+0,RIGHT(LEFT(D7884,7),2)=RIGHT(LEFT(' Pivot Tables'!$A$4,7),2)),1,0)</f>
        <v>0</v>
      </c>
      <c r="Y7884" s="6">
        <f>1/COUNTIF(Таблица1[Order ID],Таблица1[[#This Row],[Order ID]])</f>
        <v>1</v>
      </c>
      <c r="Z7884" s="9">
        <f>1/COUNTIFS(Таблица1[Customer Name],Таблица1[[#This Row],[Customer Name]],Таблица1[Order-Year-Month],Таблица1[[#This Row],[Order-Year-Month]])</f>
        <v>1</v>
      </c>
    </row>
    <row r="7885" spans="1:26" x14ac:dyDescent="0.2">
      <c r="A7885" s="6">
        <v>2744</v>
      </c>
      <c r="B7885" s="7">
        <v>19812</v>
      </c>
      <c r="C7885" s="8">
        <f>DATE(2012,12,31)-1004</f>
        <v>40270</v>
      </c>
      <c r="D7885" s="8" t="str">
        <f t="shared" si="151"/>
        <v>2010-04 (апрель 2010)</v>
      </c>
      <c r="E7885" s="9" t="s">
        <v>21</v>
      </c>
      <c r="F7885" s="7">
        <v>3</v>
      </c>
      <c r="G7885" s="7">
        <v>1358.7760000000001</v>
      </c>
      <c r="H7885" s="7">
        <v>0.01</v>
      </c>
      <c r="I7885" s="9" t="s">
        <v>31</v>
      </c>
      <c r="J7885" s="10">
        <v>-163.19999999999999</v>
      </c>
      <c r="K7885" s="11">
        <v>550.98</v>
      </c>
      <c r="L7885" s="11">
        <v>45.7</v>
      </c>
      <c r="M7885" s="9" t="s">
        <v>2100</v>
      </c>
      <c r="N7885" s="6" t="s">
        <v>2073</v>
      </c>
      <c r="O7885" s="6" t="s">
        <v>704</v>
      </c>
      <c r="P7885" s="9" t="s">
        <v>60</v>
      </c>
      <c r="Q7885" s="9" t="s">
        <v>49</v>
      </c>
      <c r="R7885" s="9" t="s">
        <v>83</v>
      </c>
      <c r="S7885" s="7" t="s">
        <v>1557</v>
      </c>
      <c r="T7885" s="9" t="s">
        <v>82</v>
      </c>
      <c r="U7885" s="7">
        <v>0.71</v>
      </c>
      <c r="V7885" s="12">
        <f>C7885+5</f>
        <v>40275</v>
      </c>
      <c r="W7885">
        <f>IF(D7885=' Pivot Tables'!$A$4,1,0)</f>
        <v>0</v>
      </c>
      <c r="X7885">
        <f>IF(AND(LEFT(D7885,4)+1=LEFT(' Pivot Tables'!$A$4,4)+0,RIGHT(LEFT(D7885,7),2)=RIGHT(LEFT(' Pivot Tables'!$A$4,7),2)),1,0)</f>
        <v>0</v>
      </c>
      <c r="Y7885" s="6">
        <f>1/COUNTIF(Таблица1[Order ID],Таблица1[[#This Row],[Order ID]])</f>
        <v>1</v>
      </c>
      <c r="Z7885" s="9">
        <f>1/COUNTIFS(Таблица1[Customer Name],Таблица1[[#This Row],[Customer Name]],Таблица1[Order-Year-Month],Таблица1[[#This Row],[Order-Year-Month]])</f>
        <v>1</v>
      </c>
    </row>
    <row r="7886" spans="1:26" x14ac:dyDescent="0.2">
      <c r="A7886" s="6">
        <v>2979</v>
      </c>
      <c r="B7886" s="7">
        <v>21510</v>
      </c>
      <c r="C7886" s="8">
        <f>DATE(2012,12,31)-237</f>
        <v>41037</v>
      </c>
      <c r="D7886" s="8" t="str">
        <f t="shared" si="151"/>
        <v>2012-05 (май 2012)</v>
      </c>
      <c r="E7886" s="9" t="s">
        <v>30</v>
      </c>
      <c r="F7886" s="7">
        <v>16</v>
      </c>
      <c r="G7886" s="7">
        <v>372.09</v>
      </c>
      <c r="H7886" s="7">
        <v>0.04</v>
      </c>
      <c r="I7886" s="9" t="s">
        <v>56</v>
      </c>
      <c r="J7886" s="10">
        <v>98.28</v>
      </c>
      <c r="K7886" s="11">
        <v>22.24</v>
      </c>
      <c r="L7886" s="11">
        <v>1.99</v>
      </c>
      <c r="M7886" s="9" t="s">
        <v>2103</v>
      </c>
      <c r="N7886" s="6" t="s">
        <v>2073</v>
      </c>
      <c r="O7886" s="6" t="s">
        <v>704</v>
      </c>
      <c r="P7886" s="9" t="s">
        <v>41</v>
      </c>
      <c r="Q7886" s="9" t="s">
        <v>42</v>
      </c>
      <c r="R7886" s="9" t="s">
        <v>70</v>
      </c>
      <c r="S7886" s="7" t="s">
        <v>1116</v>
      </c>
      <c r="T7886" s="9" t="s">
        <v>52</v>
      </c>
      <c r="U7886" s="7">
        <v>0.43</v>
      </c>
      <c r="V7886" s="12">
        <f>C7886+0</f>
        <v>41037</v>
      </c>
      <c r="W7886">
        <f>IF(D7886=' Pivot Tables'!$A$4,1,0)</f>
        <v>0</v>
      </c>
      <c r="X7886">
        <f>IF(AND(LEFT(D7886,4)+1=LEFT(' Pivot Tables'!$A$4,4)+0,RIGHT(LEFT(D7886,7),2)=RIGHT(LEFT(' Pivot Tables'!$A$4,7),2)),1,0)</f>
        <v>0</v>
      </c>
      <c r="Y7886" s="6">
        <f>1/COUNTIF(Таблица1[Order ID],Таблица1[[#This Row],[Order ID]])</f>
        <v>1</v>
      </c>
      <c r="Z7886" s="9">
        <f>1/COUNTIFS(Таблица1[Customer Name],Таблица1[[#This Row],[Customer Name]],Таблица1[Order-Year-Month],Таблица1[[#This Row],[Order-Year-Month]])</f>
        <v>0.5</v>
      </c>
    </row>
    <row r="7887" spans="1:26" x14ac:dyDescent="0.2">
      <c r="A7887" s="6">
        <v>3026</v>
      </c>
      <c r="B7887" s="7">
        <v>21763</v>
      </c>
      <c r="C7887" s="8">
        <f>DATE(2012,12,31)-217</f>
        <v>41057</v>
      </c>
      <c r="D7887" s="8" t="str">
        <f t="shared" si="151"/>
        <v>2012-05 (май 2012)</v>
      </c>
      <c r="E7887" s="9" t="s">
        <v>21</v>
      </c>
      <c r="F7887" s="7">
        <v>22</v>
      </c>
      <c r="G7887" s="7">
        <v>1239.4445000000001</v>
      </c>
      <c r="H7887" s="7">
        <v>7.0000000000000007E-2</v>
      </c>
      <c r="I7887" s="9" t="s">
        <v>22</v>
      </c>
      <c r="J7887" s="10">
        <v>165.50099999999998</v>
      </c>
      <c r="K7887" s="11">
        <v>65.989999999999995</v>
      </c>
      <c r="L7887" s="11">
        <v>3.99</v>
      </c>
      <c r="M7887" s="9" t="s">
        <v>2105</v>
      </c>
      <c r="N7887" s="6" t="s">
        <v>2073</v>
      </c>
      <c r="O7887" s="6" t="s">
        <v>704</v>
      </c>
      <c r="P7887" s="9" t="s">
        <v>25</v>
      </c>
      <c r="Q7887" s="9" t="s">
        <v>42</v>
      </c>
      <c r="R7887" s="9" t="s">
        <v>43</v>
      </c>
      <c r="S7887" s="7" t="s">
        <v>582</v>
      </c>
      <c r="T7887" s="9" t="s">
        <v>39</v>
      </c>
      <c r="U7887" s="7">
        <v>0.59</v>
      </c>
      <c r="V7887" s="12">
        <f>C7887+5</f>
        <v>41062</v>
      </c>
      <c r="W7887">
        <f>IF(D7887=' Pivot Tables'!$A$4,1,0)</f>
        <v>0</v>
      </c>
      <c r="X7887">
        <f>IF(AND(LEFT(D7887,4)+1=LEFT(' Pivot Tables'!$A$4,4)+0,RIGHT(LEFT(D7887,7),2)=RIGHT(LEFT(' Pivot Tables'!$A$4,7),2)),1,0)</f>
        <v>0</v>
      </c>
      <c r="Y7887" s="6">
        <f>1/COUNTIF(Таблица1[Order ID],Таблица1[[#This Row],[Order ID]])</f>
        <v>1</v>
      </c>
      <c r="Z7887" s="9">
        <f>1/COUNTIFS(Таблица1[Customer Name],Таблица1[[#This Row],[Customer Name]],Таблица1[Order-Year-Month],Таблица1[[#This Row],[Order-Year-Month]])</f>
        <v>1</v>
      </c>
    </row>
    <row r="7888" spans="1:26" x14ac:dyDescent="0.2">
      <c r="A7888" s="6">
        <v>3101</v>
      </c>
      <c r="B7888" s="7">
        <v>22212</v>
      </c>
      <c r="C7888" s="8">
        <f>DATE(2012,12,31)-836</f>
        <v>40438</v>
      </c>
      <c r="D7888" s="8" t="str">
        <f t="shared" si="151"/>
        <v>2010-09 (сентябрь 2010)</v>
      </c>
      <c r="E7888" s="9" t="s">
        <v>63</v>
      </c>
      <c r="F7888" s="7">
        <v>19</v>
      </c>
      <c r="G7888" s="7">
        <v>116.22</v>
      </c>
      <c r="H7888" s="7">
        <v>0.01</v>
      </c>
      <c r="I7888" s="9" t="s">
        <v>22</v>
      </c>
      <c r="J7888" s="10">
        <v>26.894000000000002</v>
      </c>
      <c r="K7888" s="11">
        <v>5.98</v>
      </c>
      <c r="L7888" s="11">
        <v>1.49</v>
      </c>
      <c r="M7888" s="9" t="s">
        <v>2106</v>
      </c>
      <c r="N7888" s="6" t="s">
        <v>2073</v>
      </c>
      <c r="O7888" s="6" t="s">
        <v>704</v>
      </c>
      <c r="P7888" s="9" t="s">
        <v>60</v>
      </c>
      <c r="Q7888" s="9" t="s">
        <v>26</v>
      </c>
      <c r="R7888" s="9" t="s">
        <v>37</v>
      </c>
      <c r="S7888" s="7" t="s">
        <v>1351</v>
      </c>
      <c r="T7888" s="9" t="s">
        <v>39</v>
      </c>
      <c r="U7888" s="7">
        <v>0.39</v>
      </c>
      <c r="V7888" s="12">
        <f>C7888+1</f>
        <v>40439</v>
      </c>
      <c r="W7888">
        <f>IF(D7888=' Pivot Tables'!$A$4,1,0)</f>
        <v>0</v>
      </c>
      <c r="X7888">
        <f>IF(AND(LEFT(D7888,4)+1=LEFT(' Pivot Tables'!$A$4,4)+0,RIGHT(LEFT(D7888,7),2)=RIGHT(LEFT(' Pivot Tables'!$A$4,7),2)),1,0)</f>
        <v>0</v>
      </c>
      <c r="Y7888" s="6">
        <f>1/COUNTIF(Таблица1[Order ID],Таблица1[[#This Row],[Order ID]])</f>
        <v>1</v>
      </c>
      <c r="Z7888" s="9">
        <f>1/COUNTIFS(Таблица1[Customer Name],Таблица1[[#This Row],[Customer Name]],Таблица1[Order-Year-Month],Таблица1[[#This Row],[Order-Year-Month]])</f>
        <v>1</v>
      </c>
    </row>
    <row r="7889" spans="1:26" x14ac:dyDescent="0.2">
      <c r="A7889" s="6">
        <v>3213</v>
      </c>
      <c r="B7889" s="7">
        <v>23046</v>
      </c>
      <c r="C7889" s="8">
        <f>DATE(2012,12,31)-817</f>
        <v>40457</v>
      </c>
      <c r="D7889" s="8" t="str">
        <f t="shared" si="151"/>
        <v>2010-10 (октябрь 2010)</v>
      </c>
      <c r="E7889" s="9" t="s">
        <v>78</v>
      </c>
      <c r="F7889" s="7">
        <v>33</v>
      </c>
      <c r="G7889" s="7">
        <v>292.75</v>
      </c>
      <c r="H7889" s="7">
        <v>0.08</v>
      </c>
      <c r="I7889" s="9" t="s">
        <v>22</v>
      </c>
      <c r="J7889" s="10">
        <v>93.33</v>
      </c>
      <c r="K7889" s="11">
        <v>8.9499999999999993</v>
      </c>
      <c r="L7889" s="11">
        <v>2.0099999999999998</v>
      </c>
      <c r="M7889" s="9" t="s">
        <v>2097</v>
      </c>
      <c r="N7889" s="6" t="s">
        <v>2073</v>
      </c>
      <c r="O7889" s="6" t="s">
        <v>704</v>
      </c>
      <c r="P7889" s="9" t="s">
        <v>41</v>
      </c>
      <c r="Q7889" s="9" t="s">
        <v>26</v>
      </c>
      <c r="R7889" s="9" t="s">
        <v>61</v>
      </c>
      <c r="S7889" s="7" t="s">
        <v>640</v>
      </c>
      <c r="T7889" s="9" t="s">
        <v>68</v>
      </c>
      <c r="U7889" s="7">
        <v>0.39</v>
      </c>
      <c r="V7889" s="12">
        <f>C7889+2</f>
        <v>40459</v>
      </c>
      <c r="W7889">
        <f>IF(D7889=' Pivot Tables'!$A$4,1,0)</f>
        <v>0</v>
      </c>
      <c r="X7889">
        <f>IF(AND(LEFT(D7889,4)+1=LEFT(' Pivot Tables'!$A$4,4)+0,RIGHT(LEFT(D7889,7),2)=RIGHT(LEFT(' Pivot Tables'!$A$4,7),2)),1,0)</f>
        <v>0</v>
      </c>
      <c r="Y7889" s="6">
        <f>1/COUNTIF(Таблица1[Order ID],Таблица1[[#This Row],[Order ID]])</f>
        <v>1</v>
      </c>
      <c r="Z7889" s="9">
        <f>1/COUNTIFS(Таблица1[Customer Name],Таблица1[[#This Row],[Customer Name]],Таблица1[Order-Year-Month],Таблица1[[#This Row],[Order-Year-Month]])</f>
        <v>1</v>
      </c>
    </row>
    <row r="7890" spans="1:26" x14ac:dyDescent="0.2">
      <c r="A7890" s="6">
        <v>3230</v>
      </c>
      <c r="B7890" s="7">
        <v>23172</v>
      </c>
      <c r="C7890" s="8">
        <f>DATE(2012,12,31)-251</f>
        <v>41023</v>
      </c>
      <c r="D7890" s="8" t="str">
        <f t="shared" si="151"/>
        <v>2012-04 (апрель 2012)</v>
      </c>
      <c r="E7890" s="9" t="s">
        <v>21</v>
      </c>
      <c r="F7890" s="7">
        <v>13</v>
      </c>
      <c r="G7890" s="7">
        <v>1191.73</v>
      </c>
      <c r="H7890" s="7">
        <v>7.0000000000000007E-2</v>
      </c>
      <c r="I7890" s="9" t="s">
        <v>22</v>
      </c>
      <c r="J7890" s="10">
        <v>147.6</v>
      </c>
      <c r="K7890" s="11">
        <v>96.45</v>
      </c>
      <c r="L7890" s="11">
        <v>13.99</v>
      </c>
      <c r="M7890" s="9" t="s">
        <v>2100</v>
      </c>
      <c r="N7890" s="6" t="s">
        <v>2073</v>
      </c>
      <c r="O7890" s="6" t="s">
        <v>704</v>
      </c>
      <c r="P7890" s="9" t="s">
        <v>60</v>
      </c>
      <c r="Q7890" s="9" t="s">
        <v>42</v>
      </c>
      <c r="R7890" s="9" t="s">
        <v>210</v>
      </c>
      <c r="S7890" s="7" t="s">
        <v>1840</v>
      </c>
      <c r="T7890" s="9" t="s">
        <v>48</v>
      </c>
      <c r="U7890" s="7">
        <v>0.38</v>
      </c>
      <c r="V7890" s="12">
        <f>C7890+5</f>
        <v>41028</v>
      </c>
      <c r="W7890">
        <f>IF(D7890=' Pivot Tables'!$A$4,1,0)</f>
        <v>0</v>
      </c>
      <c r="X7890">
        <f>IF(AND(LEFT(D7890,4)+1=LEFT(' Pivot Tables'!$A$4,4)+0,RIGHT(LEFT(D7890,7),2)=RIGHT(LEFT(' Pivot Tables'!$A$4,7),2)),1,0)</f>
        <v>0</v>
      </c>
      <c r="Y7890" s="6">
        <f>1/COUNTIF(Таблица1[Order ID],Таблица1[[#This Row],[Order ID]])</f>
        <v>1</v>
      </c>
      <c r="Z7890" s="9">
        <f>1/COUNTIFS(Таблица1[Customer Name],Таблица1[[#This Row],[Customer Name]],Таблица1[Order-Year-Month],Таблица1[[#This Row],[Order-Year-Month]])</f>
        <v>1</v>
      </c>
    </row>
    <row r="7891" spans="1:26" x14ac:dyDescent="0.2">
      <c r="A7891" s="6">
        <v>3301</v>
      </c>
      <c r="B7891" s="7">
        <v>23585</v>
      </c>
      <c r="C7891" s="8">
        <f>DATE(2012,12,31)-61</f>
        <v>41213</v>
      </c>
      <c r="D7891" s="8" t="str">
        <f t="shared" si="151"/>
        <v>2012-10 (октябрь 2012)</v>
      </c>
      <c r="E7891" s="9" t="s">
        <v>78</v>
      </c>
      <c r="F7891" s="7">
        <v>44</v>
      </c>
      <c r="G7891" s="7">
        <v>192.78</v>
      </c>
      <c r="H7891" s="7">
        <v>0.06</v>
      </c>
      <c r="I7891" s="9" t="s">
        <v>22</v>
      </c>
      <c r="J7891" s="10">
        <v>4.59</v>
      </c>
      <c r="K7891" s="11">
        <v>4.28</v>
      </c>
      <c r="L7891" s="11">
        <v>1.6</v>
      </c>
      <c r="M7891" s="9" t="s">
        <v>2106</v>
      </c>
      <c r="N7891" s="6" t="s">
        <v>2073</v>
      </c>
      <c r="O7891" s="6" t="s">
        <v>704</v>
      </c>
      <c r="P7891" s="9" t="s">
        <v>60</v>
      </c>
      <c r="Q7891" s="9" t="s">
        <v>26</v>
      </c>
      <c r="R7891" s="9" t="s">
        <v>95</v>
      </c>
      <c r="S7891" s="7" t="s">
        <v>1023</v>
      </c>
      <c r="T7891" s="9" t="s">
        <v>68</v>
      </c>
      <c r="U7891" s="7">
        <v>0.57999999999999996</v>
      </c>
      <c r="V7891" s="12">
        <f>C7891+1</f>
        <v>41214</v>
      </c>
      <c r="W7891">
        <f>IF(D7891=' Pivot Tables'!$A$4,1,0)</f>
        <v>0</v>
      </c>
      <c r="X7891">
        <f>IF(AND(LEFT(D7891,4)+1=LEFT(' Pivot Tables'!$A$4,4)+0,RIGHT(LEFT(D7891,7),2)=RIGHT(LEFT(' Pivot Tables'!$A$4,7),2)),1,0)</f>
        <v>0</v>
      </c>
      <c r="Y7891" s="6">
        <f>1/COUNTIF(Таблица1[Order ID],Таблица1[[#This Row],[Order ID]])</f>
        <v>1</v>
      </c>
      <c r="Z7891" s="9">
        <f>1/COUNTIFS(Таблица1[Customer Name],Таблица1[[#This Row],[Customer Name]],Таблица1[Order-Year-Month],Таблица1[[#This Row],[Order-Year-Month]])</f>
        <v>1</v>
      </c>
    </row>
    <row r="7892" spans="1:26" x14ac:dyDescent="0.2">
      <c r="A7892" s="6">
        <v>3340</v>
      </c>
      <c r="B7892" s="7">
        <v>23906</v>
      </c>
      <c r="C7892" s="8">
        <f>DATE(2012,12,31)-833</f>
        <v>40441</v>
      </c>
      <c r="D7892" s="8" t="str">
        <f t="shared" si="151"/>
        <v>2010-09 (сентябрь 2010)</v>
      </c>
      <c r="E7892" s="9" t="s">
        <v>78</v>
      </c>
      <c r="F7892" s="7">
        <v>37</v>
      </c>
      <c r="G7892" s="7">
        <v>321.02</v>
      </c>
      <c r="H7892" s="7">
        <v>0.1</v>
      </c>
      <c r="I7892" s="9" t="s">
        <v>56</v>
      </c>
      <c r="J7892" s="10">
        <v>-11.88</v>
      </c>
      <c r="K7892" s="11">
        <v>8.67</v>
      </c>
      <c r="L7892" s="11">
        <v>3.5</v>
      </c>
      <c r="M7892" s="9" t="s">
        <v>2103</v>
      </c>
      <c r="N7892" s="6" t="s">
        <v>2073</v>
      </c>
      <c r="O7892" s="6" t="s">
        <v>704</v>
      </c>
      <c r="P7892" s="9" t="s">
        <v>41</v>
      </c>
      <c r="Q7892" s="9" t="s">
        <v>26</v>
      </c>
      <c r="R7892" s="9" t="s">
        <v>34</v>
      </c>
      <c r="S7892" s="7" t="s">
        <v>1128</v>
      </c>
      <c r="T7892" s="9" t="s">
        <v>39</v>
      </c>
      <c r="U7892" s="7">
        <v>0.57999999999999996</v>
      </c>
      <c r="V7892" s="12">
        <f>C7892+1</f>
        <v>40442</v>
      </c>
      <c r="W7892">
        <f>IF(D7892=' Pivot Tables'!$A$4,1,0)</f>
        <v>0</v>
      </c>
      <c r="X7892">
        <f>IF(AND(LEFT(D7892,4)+1=LEFT(' Pivot Tables'!$A$4,4)+0,RIGHT(LEFT(D7892,7),2)=RIGHT(LEFT(' Pivot Tables'!$A$4,7),2)),1,0)</f>
        <v>0</v>
      </c>
      <c r="Y7892" s="6">
        <f>1/COUNTIF(Таблица1[Order ID],Таблица1[[#This Row],[Order ID]])</f>
        <v>1</v>
      </c>
      <c r="Z7892" s="9">
        <f>1/COUNTIFS(Таблица1[Customer Name],Таблица1[[#This Row],[Customer Name]],Таблица1[Order-Year-Month],Таблица1[[#This Row],[Order-Year-Month]])</f>
        <v>1</v>
      </c>
    </row>
    <row r="7893" spans="1:26" x14ac:dyDescent="0.2">
      <c r="A7893" s="6">
        <v>3449</v>
      </c>
      <c r="B7893" s="7">
        <v>24583</v>
      </c>
      <c r="C7893" s="8">
        <f>DATE(2012,12,31)-510</f>
        <v>40764</v>
      </c>
      <c r="D7893" s="8" t="str">
        <f t="shared" si="151"/>
        <v>2011-08 (август 2011)</v>
      </c>
      <c r="E7893" s="9" t="s">
        <v>78</v>
      </c>
      <c r="F7893" s="7">
        <v>17</v>
      </c>
      <c r="G7893" s="7">
        <v>42.29</v>
      </c>
      <c r="H7893" s="7">
        <v>0.06</v>
      </c>
      <c r="I7893" s="9" t="s">
        <v>22</v>
      </c>
      <c r="J7893" s="10">
        <v>-85.272499999999994</v>
      </c>
      <c r="K7893" s="11">
        <v>2.16</v>
      </c>
      <c r="L7893" s="11">
        <v>6.05</v>
      </c>
      <c r="M7893" s="9" t="s">
        <v>2096</v>
      </c>
      <c r="N7893" s="6" t="s">
        <v>2073</v>
      </c>
      <c r="O7893" s="6" t="s">
        <v>704</v>
      </c>
      <c r="P7893" s="9" t="s">
        <v>41</v>
      </c>
      <c r="Q7893" s="9" t="s">
        <v>26</v>
      </c>
      <c r="R7893" s="9" t="s">
        <v>37</v>
      </c>
      <c r="S7893" s="7" t="s">
        <v>516</v>
      </c>
      <c r="T7893" s="9" t="s">
        <v>39</v>
      </c>
      <c r="U7893" s="7">
        <v>0.37</v>
      </c>
      <c r="V7893" s="12">
        <f>C7893+3</f>
        <v>40767</v>
      </c>
      <c r="W7893">
        <f>IF(D7893=' Pivot Tables'!$A$4,1,0)</f>
        <v>0</v>
      </c>
      <c r="X7893">
        <f>IF(AND(LEFT(D7893,4)+1=LEFT(' Pivot Tables'!$A$4,4)+0,RIGHT(LEFT(D7893,7),2)=RIGHT(LEFT(' Pivot Tables'!$A$4,7),2)),1,0)</f>
        <v>0</v>
      </c>
      <c r="Y7893" s="6">
        <f>1/COUNTIF(Таблица1[Order ID],Таблица1[[#This Row],[Order ID]])</f>
        <v>1</v>
      </c>
      <c r="Z7893" s="9">
        <f>1/COUNTIFS(Таблица1[Customer Name],Таблица1[[#This Row],[Customer Name]],Таблица1[Order-Year-Month],Таблица1[[#This Row],[Order-Year-Month]])</f>
        <v>1</v>
      </c>
    </row>
    <row r="7894" spans="1:26" x14ac:dyDescent="0.2">
      <c r="A7894" s="6">
        <v>3540</v>
      </c>
      <c r="B7894" s="7">
        <v>25191</v>
      </c>
      <c r="C7894" s="8">
        <f>DATE(2012,12,31)-642</f>
        <v>40632</v>
      </c>
      <c r="D7894" s="8" t="str">
        <f t="shared" si="151"/>
        <v>2011-03 (март 2011)</v>
      </c>
      <c r="E7894" s="9" t="s">
        <v>63</v>
      </c>
      <c r="F7894" s="7">
        <v>42</v>
      </c>
      <c r="G7894" s="7">
        <v>4091.1519999999996</v>
      </c>
      <c r="H7894" s="7">
        <v>0.05</v>
      </c>
      <c r="I7894" s="9" t="s">
        <v>22</v>
      </c>
      <c r="J7894" s="10">
        <v>1303.92</v>
      </c>
      <c r="K7894" s="11">
        <v>115.99</v>
      </c>
      <c r="L7894" s="11">
        <v>2.5</v>
      </c>
      <c r="M7894" s="9" t="s">
        <v>2095</v>
      </c>
      <c r="N7894" s="6" t="s">
        <v>2073</v>
      </c>
      <c r="O7894" s="6" t="s">
        <v>704</v>
      </c>
      <c r="P7894" s="9" t="s">
        <v>25</v>
      </c>
      <c r="Q7894" s="9" t="s">
        <v>42</v>
      </c>
      <c r="R7894" s="9" t="s">
        <v>43</v>
      </c>
      <c r="S7894" s="7" t="s">
        <v>1719</v>
      </c>
      <c r="T7894" s="9" t="s">
        <v>39</v>
      </c>
      <c r="U7894" s="7">
        <v>0.55000000000000004</v>
      </c>
      <c r="V7894" s="12">
        <f>C7894+0</f>
        <v>40632</v>
      </c>
      <c r="W7894">
        <f>IF(D7894=' Pivot Tables'!$A$4,1,0)</f>
        <v>0</v>
      </c>
      <c r="X7894">
        <f>IF(AND(LEFT(D7894,4)+1=LEFT(' Pivot Tables'!$A$4,4)+0,RIGHT(LEFT(D7894,7),2)=RIGHT(LEFT(' Pivot Tables'!$A$4,7),2)),1,0)</f>
        <v>0</v>
      </c>
      <c r="Y7894" s="6">
        <f>1/COUNTIF(Таблица1[Order ID],Таблица1[[#This Row],[Order ID]])</f>
        <v>1</v>
      </c>
      <c r="Z7894" s="9">
        <f>1/COUNTIFS(Таблица1[Customer Name],Таблица1[[#This Row],[Customer Name]],Таблица1[Order-Year-Month],Таблица1[[#This Row],[Order-Year-Month]])</f>
        <v>1</v>
      </c>
    </row>
    <row r="7895" spans="1:26" x14ac:dyDescent="0.2">
      <c r="A7895" s="6">
        <v>3589</v>
      </c>
      <c r="B7895" s="7">
        <v>25603</v>
      </c>
      <c r="C7895" s="8">
        <f>DATE(2012,12,31)-667</f>
        <v>40607</v>
      </c>
      <c r="D7895" s="8" t="str">
        <f t="shared" si="151"/>
        <v>2011-03 (март 2011)</v>
      </c>
      <c r="E7895" s="9" t="s">
        <v>21</v>
      </c>
      <c r="F7895" s="7">
        <v>23</v>
      </c>
      <c r="G7895" s="7">
        <v>862.64</v>
      </c>
      <c r="H7895" s="7">
        <v>0.04</v>
      </c>
      <c r="I7895" s="9" t="s">
        <v>22</v>
      </c>
      <c r="J7895" s="10">
        <v>122.11</v>
      </c>
      <c r="K7895" s="11">
        <v>35.89</v>
      </c>
      <c r="L7895" s="11">
        <v>14.72</v>
      </c>
      <c r="M7895" s="9" t="s">
        <v>2103</v>
      </c>
      <c r="N7895" s="6" t="s">
        <v>2073</v>
      </c>
      <c r="O7895" s="6" t="s">
        <v>704</v>
      </c>
      <c r="P7895" s="9" t="s">
        <v>41</v>
      </c>
      <c r="Q7895" s="9" t="s">
        <v>26</v>
      </c>
      <c r="R7895" s="9" t="s">
        <v>76</v>
      </c>
      <c r="S7895" s="7" t="s">
        <v>813</v>
      </c>
      <c r="T7895" s="9" t="s">
        <v>39</v>
      </c>
      <c r="U7895" s="7">
        <v>0.4</v>
      </c>
      <c r="V7895" s="12">
        <f>C7895+2</f>
        <v>40609</v>
      </c>
      <c r="W7895">
        <f>IF(D7895=' Pivot Tables'!$A$4,1,0)</f>
        <v>0</v>
      </c>
      <c r="X7895">
        <f>IF(AND(LEFT(D7895,4)+1=LEFT(' Pivot Tables'!$A$4,4)+0,RIGHT(LEFT(D7895,7),2)=RIGHT(LEFT(' Pivot Tables'!$A$4,7),2)),1,0)</f>
        <v>0</v>
      </c>
      <c r="Y7895" s="6">
        <f>1/COUNTIF(Таблица1[Order ID],Таблица1[[#This Row],[Order ID]])</f>
        <v>1</v>
      </c>
      <c r="Z7895" s="9">
        <f>1/COUNTIFS(Таблица1[Customer Name],Таблица1[[#This Row],[Customer Name]],Таблица1[Order-Year-Month],Таблица1[[#This Row],[Order-Year-Month]])</f>
        <v>1</v>
      </c>
    </row>
    <row r="7896" spans="1:26" x14ac:dyDescent="0.2">
      <c r="A7896" s="6">
        <v>3623</v>
      </c>
      <c r="B7896" s="7">
        <v>25861</v>
      </c>
      <c r="C7896" s="8">
        <f>DATE(2012,12,31)-146</f>
        <v>41128</v>
      </c>
      <c r="D7896" s="8" t="str">
        <f t="shared" si="151"/>
        <v>2012-08 (август 2012)</v>
      </c>
      <c r="E7896" s="9" t="s">
        <v>30</v>
      </c>
      <c r="F7896" s="7">
        <v>44</v>
      </c>
      <c r="G7896" s="7">
        <v>23775.56</v>
      </c>
      <c r="H7896" s="7">
        <v>0.03</v>
      </c>
      <c r="I7896" s="9" t="s">
        <v>31</v>
      </c>
      <c r="J7896" s="10">
        <v>7080.99</v>
      </c>
      <c r="K7896" s="11">
        <v>535.64</v>
      </c>
      <c r="L7896" s="11">
        <v>14.7</v>
      </c>
      <c r="M7896" s="9" t="s">
        <v>2098</v>
      </c>
      <c r="N7896" s="6" t="s">
        <v>2073</v>
      </c>
      <c r="O7896" s="6" t="s">
        <v>704</v>
      </c>
      <c r="P7896" s="9" t="s">
        <v>25</v>
      </c>
      <c r="Q7896" s="9" t="s">
        <v>42</v>
      </c>
      <c r="R7896" s="9" t="s">
        <v>210</v>
      </c>
      <c r="S7896" s="7" t="s">
        <v>1799</v>
      </c>
      <c r="T7896" s="9" t="s">
        <v>36</v>
      </c>
      <c r="U7896" s="7">
        <v>0.59</v>
      </c>
      <c r="V7896" s="12">
        <f>C7896+1</f>
        <v>41129</v>
      </c>
      <c r="W7896">
        <f>IF(D7896=' Pivot Tables'!$A$4,1,0)</f>
        <v>0</v>
      </c>
      <c r="X7896">
        <f>IF(AND(LEFT(D7896,4)+1=LEFT(' Pivot Tables'!$A$4,4)+0,RIGHT(LEFT(D7896,7),2)=RIGHT(LEFT(' Pivot Tables'!$A$4,7),2)),1,0)</f>
        <v>0</v>
      </c>
      <c r="Y7896" s="6">
        <f>1/COUNTIF(Таблица1[Order ID],Таблица1[[#This Row],[Order ID]])</f>
        <v>1</v>
      </c>
      <c r="Z7896" s="9">
        <f>1/COUNTIFS(Таблица1[Customer Name],Таблица1[[#This Row],[Customer Name]],Таблица1[Order-Year-Month],Таблица1[[#This Row],[Order-Year-Month]])</f>
        <v>1</v>
      </c>
    </row>
    <row r="7897" spans="1:26" x14ac:dyDescent="0.2">
      <c r="A7897" s="6">
        <v>3785</v>
      </c>
      <c r="B7897" s="7">
        <v>26979</v>
      </c>
      <c r="C7897" s="8">
        <f>DATE(2012,12,31)-278</f>
        <v>40996</v>
      </c>
      <c r="D7897" s="8" t="str">
        <f t="shared" si="151"/>
        <v>2012-03 (март 2012)</v>
      </c>
      <c r="E7897" s="9" t="s">
        <v>63</v>
      </c>
      <c r="F7897" s="7">
        <v>43</v>
      </c>
      <c r="G7897" s="7">
        <v>337.01</v>
      </c>
      <c r="H7897" s="7">
        <v>0.05</v>
      </c>
      <c r="I7897" s="9" t="s">
        <v>22</v>
      </c>
      <c r="J7897" s="10">
        <v>147.19999999999999</v>
      </c>
      <c r="K7897" s="11">
        <v>7.98</v>
      </c>
      <c r="L7897" s="11">
        <v>1.25</v>
      </c>
      <c r="M7897" s="9" t="s">
        <v>2099</v>
      </c>
      <c r="N7897" s="6" t="s">
        <v>2073</v>
      </c>
      <c r="O7897" s="6" t="s">
        <v>704</v>
      </c>
      <c r="P7897" s="9" t="s">
        <v>41</v>
      </c>
      <c r="Q7897" s="9" t="s">
        <v>26</v>
      </c>
      <c r="R7897" s="9" t="s">
        <v>61</v>
      </c>
      <c r="S7897" s="7" t="s">
        <v>664</v>
      </c>
      <c r="T7897" s="9" t="s">
        <v>68</v>
      </c>
      <c r="U7897" s="7">
        <v>0.35</v>
      </c>
      <c r="V7897" s="12">
        <f>C7897+2</f>
        <v>40998</v>
      </c>
      <c r="W7897">
        <f>IF(D7897=' Pivot Tables'!$A$4,1,0)</f>
        <v>0</v>
      </c>
      <c r="X7897">
        <f>IF(AND(LEFT(D7897,4)+1=LEFT(' Pivot Tables'!$A$4,4)+0,RIGHT(LEFT(D7897,7),2)=RIGHT(LEFT(' Pivot Tables'!$A$4,7),2)),1,0)</f>
        <v>0</v>
      </c>
      <c r="Y7897" s="6">
        <f>1/COUNTIF(Таблица1[Order ID],Таблица1[[#This Row],[Order ID]])</f>
        <v>0.5</v>
      </c>
      <c r="Z7897" s="9">
        <f>1/COUNTIFS(Таблица1[Customer Name],Таблица1[[#This Row],[Customer Name]],Таблица1[Order-Year-Month],Таблица1[[#This Row],[Order-Year-Month]])</f>
        <v>0.5</v>
      </c>
    </row>
    <row r="7898" spans="1:26" x14ac:dyDescent="0.2">
      <c r="A7898" s="6">
        <v>3786</v>
      </c>
      <c r="B7898" s="7">
        <v>26979</v>
      </c>
      <c r="C7898" s="8">
        <f>DATE(2012,12,31)-278</f>
        <v>40996</v>
      </c>
      <c r="D7898" s="8" t="str">
        <f t="shared" si="151"/>
        <v>2012-03 (март 2012)</v>
      </c>
      <c r="E7898" s="9" t="s">
        <v>63</v>
      </c>
      <c r="F7898" s="7">
        <v>50</v>
      </c>
      <c r="G7898" s="7">
        <v>6093.2420000000002</v>
      </c>
      <c r="H7898" s="7">
        <v>0.09</v>
      </c>
      <c r="I7898" s="9" t="s">
        <v>22</v>
      </c>
      <c r="J7898" s="10">
        <v>1174.3829999999998</v>
      </c>
      <c r="K7898" s="11">
        <v>155.99</v>
      </c>
      <c r="L7898" s="11">
        <v>8.08</v>
      </c>
      <c r="M7898" s="9" t="s">
        <v>2099</v>
      </c>
      <c r="N7898" s="6" t="s">
        <v>2073</v>
      </c>
      <c r="O7898" s="6" t="s">
        <v>704</v>
      </c>
      <c r="P7898" s="9" t="s">
        <v>41</v>
      </c>
      <c r="Q7898" s="9" t="s">
        <v>42</v>
      </c>
      <c r="R7898" s="9" t="s">
        <v>43</v>
      </c>
      <c r="S7898" s="7" t="s">
        <v>867</v>
      </c>
      <c r="T7898" s="9" t="s">
        <v>39</v>
      </c>
      <c r="U7898" s="7">
        <v>0.6</v>
      </c>
      <c r="V7898" s="12">
        <f>C7898+2</f>
        <v>40998</v>
      </c>
      <c r="W7898">
        <f>IF(D7898=' Pivot Tables'!$A$4,1,0)</f>
        <v>0</v>
      </c>
      <c r="X7898">
        <f>IF(AND(LEFT(D7898,4)+1=LEFT(' Pivot Tables'!$A$4,4)+0,RIGHT(LEFT(D7898,7),2)=RIGHT(LEFT(' Pivot Tables'!$A$4,7),2)),1,0)</f>
        <v>0</v>
      </c>
      <c r="Y7898" s="6">
        <f>1/COUNTIF(Таблица1[Order ID],Таблица1[[#This Row],[Order ID]])</f>
        <v>0.5</v>
      </c>
      <c r="Z7898" s="9">
        <f>1/COUNTIFS(Таблица1[Customer Name],Таблица1[[#This Row],[Customer Name]],Таблица1[Order-Year-Month],Таблица1[[#This Row],[Order-Year-Month]])</f>
        <v>0.5</v>
      </c>
    </row>
    <row r="7899" spans="1:26" x14ac:dyDescent="0.2">
      <c r="A7899" s="6">
        <v>3884</v>
      </c>
      <c r="B7899" s="7">
        <v>27746</v>
      </c>
      <c r="C7899" s="8">
        <f>DATE(2012,12,31)-758</f>
        <v>40516</v>
      </c>
      <c r="D7899" s="8" t="str">
        <f t="shared" si="151"/>
        <v>2010-12 (декабрь 2010)</v>
      </c>
      <c r="E7899" s="9" t="s">
        <v>78</v>
      </c>
      <c r="F7899" s="7">
        <v>3</v>
      </c>
      <c r="G7899" s="7">
        <v>87.09</v>
      </c>
      <c r="H7899" s="7">
        <v>0.1</v>
      </c>
      <c r="I7899" s="9" t="s">
        <v>22</v>
      </c>
      <c r="J7899" s="10">
        <v>-42.73</v>
      </c>
      <c r="K7899" s="11">
        <v>29.34</v>
      </c>
      <c r="L7899" s="11">
        <v>7.87</v>
      </c>
      <c r="M7899" s="9" t="s">
        <v>556</v>
      </c>
      <c r="N7899" s="6" t="s">
        <v>2073</v>
      </c>
      <c r="O7899" s="6" t="s">
        <v>704</v>
      </c>
      <c r="P7899" s="9" t="s">
        <v>33</v>
      </c>
      <c r="Q7899" s="9" t="s">
        <v>49</v>
      </c>
      <c r="R7899" s="9" t="s">
        <v>50</v>
      </c>
      <c r="S7899" s="7" t="s">
        <v>1347</v>
      </c>
      <c r="T7899" s="9" t="s">
        <v>39</v>
      </c>
      <c r="U7899" s="7">
        <v>0.54</v>
      </c>
      <c r="V7899" s="12">
        <f>C7899+1</f>
        <v>40517</v>
      </c>
      <c r="W7899">
        <f>IF(D7899=' Pivot Tables'!$A$4,1,0)</f>
        <v>0</v>
      </c>
      <c r="X7899">
        <f>IF(AND(LEFT(D7899,4)+1=LEFT(' Pivot Tables'!$A$4,4)+0,RIGHT(LEFT(D7899,7),2)=RIGHT(LEFT(' Pivot Tables'!$A$4,7),2)),1,0)</f>
        <v>0</v>
      </c>
      <c r="Y7899" s="6">
        <f>1/COUNTIF(Таблица1[Order ID],Таблица1[[#This Row],[Order ID]])</f>
        <v>0.33333333333333331</v>
      </c>
      <c r="Z7899" s="9">
        <f>1/COUNTIFS(Таблица1[Customer Name],Таблица1[[#This Row],[Customer Name]],Таблица1[Order-Year-Month],Таблица1[[#This Row],[Order-Year-Month]])</f>
        <v>0.33333333333333331</v>
      </c>
    </row>
    <row r="7900" spans="1:26" x14ac:dyDescent="0.2">
      <c r="A7900" s="6">
        <v>3885</v>
      </c>
      <c r="B7900" s="7">
        <v>27746</v>
      </c>
      <c r="C7900" s="8">
        <f>DATE(2012,12,31)-758</f>
        <v>40516</v>
      </c>
      <c r="D7900" s="8" t="str">
        <f t="shared" si="151"/>
        <v>2010-12 (декабрь 2010)</v>
      </c>
      <c r="E7900" s="9" t="s">
        <v>78</v>
      </c>
      <c r="F7900" s="7">
        <v>42</v>
      </c>
      <c r="G7900" s="7">
        <v>196.1</v>
      </c>
      <c r="H7900" s="7">
        <v>7.0000000000000007E-2</v>
      </c>
      <c r="I7900" s="9" t="s">
        <v>22</v>
      </c>
      <c r="J7900" s="10">
        <v>71.650000000000006</v>
      </c>
      <c r="K7900" s="11">
        <v>4.76</v>
      </c>
      <c r="L7900" s="11">
        <v>0.88</v>
      </c>
      <c r="M7900" s="9" t="s">
        <v>556</v>
      </c>
      <c r="N7900" s="6" t="s">
        <v>2073</v>
      </c>
      <c r="O7900" s="6" t="s">
        <v>704</v>
      </c>
      <c r="P7900" s="9" t="s">
        <v>33</v>
      </c>
      <c r="Q7900" s="9" t="s">
        <v>26</v>
      </c>
      <c r="R7900" s="9" t="s">
        <v>61</v>
      </c>
      <c r="S7900" s="7" t="s">
        <v>726</v>
      </c>
      <c r="T7900" s="9" t="s">
        <v>68</v>
      </c>
      <c r="U7900" s="7">
        <v>0.39</v>
      </c>
      <c r="V7900" s="12">
        <f>C7900+1</f>
        <v>40517</v>
      </c>
      <c r="W7900">
        <f>IF(D7900=' Pivot Tables'!$A$4,1,0)</f>
        <v>0</v>
      </c>
      <c r="X7900">
        <f>IF(AND(LEFT(D7900,4)+1=LEFT(' Pivot Tables'!$A$4,4)+0,RIGHT(LEFT(D7900,7),2)=RIGHT(LEFT(' Pivot Tables'!$A$4,7),2)),1,0)</f>
        <v>0</v>
      </c>
      <c r="Y7900" s="6">
        <f>1/COUNTIF(Таблица1[Order ID],Таблица1[[#This Row],[Order ID]])</f>
        <v>0.33333333333333331</v>
      </c>
      <c r="Z7900" s="9">
        <f>1/COUNTIFS(Таблица1[Customer Name],Таблица1[[#This Row],[Customer Name]],Таблица1[Order-Year-Month],Таблица1[[#This Row],[Order-Year-Month]])</f>
        <v>0.33333333333333331</v>
      </c>
    </row>
    <row r="7901" spans="1:26" x14ac:dyDescent="0.2">
      <c r="A7901" s="6">
        <v>3905</v>
      </c>
      <c r="B7901" s="7">
        <v>27844</v>
      </c>
      <c r="C7901" s="8">
        <f>DATE(2012,12,31)-551</f>
        <v>40723</v>
      </c>
      <c r="D7901" s="8" t="str">
        <f t="shared" si="151"/>
        <v>2011-06 (июнь 2011)</v>
      </c>
      <c r="E7901" s="9" t="s">
        <v>21</v>
      </c>
      <c r="F7901" s="7">
        <v>1</v>
      </c>
      <c r="G7901" s="7">
        <v>11.08</v>
      </c>
      <c r="H7901" s="7">
        <v>0.09</v>
      </c>
      <c r="I7901" s="9" t="s">
        <v>22</v>
      </c>
      <c r="J7901" s="10">
        <v>-9.6944999999999997</v>
      </c>
      <c r="K7901" s="11">
        <v>5.8</v>
      </c>
      <c r="L7901" s="11">
        <v>5.59</v>
      </c>
      <c r="M7901" s="9" t="s">
        <v>1214</v>
      </c>
      <c r="N7901" s="6" t="s">
        <v>2073</v>
      </c>
      <c r="O7901" s="6" t="s">
        <v>704</v>
      </c>
      <c r="P7901" s="9" t="s">
        <v>60</v>
      </c>
      <c r="Q7901" s="9" t="s">
        <v>26</v>
      </c>
      <c r="R7901" s="9" t="s">
        <v>37</v>
      </c>
      <c r="S7901" s="7" t="s">
        <v>991</v>
      </c>
      <c r="T7901" s="9" t="s">
        <v>39</v>
      </c>
      <c r="U7901" s="7">
        <v>0.4</v>
      </c>
      <c r="V7901" s="12">
        <f>C7901+7</f>
        <v>40730</v>
      </c>
      <c r="W7901">
        <f>IF(D7901=' Pivot Tables'!$A$4,1,0)</f>
        <v>0</v>
      </c>
      <c r="X7901">
        <f>IF(AND(LEFT(D7901,4)+1=LEFT(' Pivot Tables'!$A$4,4)+0,RIGHT(LEFT(D7901,7),2)=RIGHT(LEFT(' Pivot Tables'!$A$4,7),2)),1,0)</f>
        <v>0</v>
      </c>
      <c r="Y7901" s="6">
        <f>1/COUNTIF(Таблица1[Order ID],Таблица1[[#This Row],[Order ID]])</f>
        <v>0.5</v>
      </c>
      <c r="Z7901" s="9">
        <f>1/COUNTIFS(Таблица1[Customer Name],Таблица1[[#This Row],[Customer Name]],Таблица1[Order-Year-Month],Таблица1[[#This Row],[Order-Year-Month]])</f>
        <v>0.5</v>
      </c>
    </row>
    <row r="7902" spans="1:26" x14ac:dyDescent="0.2">
      <c r="A7902" s="6">
        <v>3943</v>
      </c>
      <c r="B7902" s="7">
        <v>28097</v>
      </c>
      <c r="C7902" s="8">
        <f>DATE(2012,12,31)-1328</f>
        <v>39946</v>
      </c>
      <c r="D7902" s="8" t="str">
        <f t="shared" si="151"/>
        <v>2009-05 (май 2009)</v>
      </c>
      <c r="E7902" s="9" t="s">
        <v>63</v>
      </c>
      <c r="F7902" s="7">
        <v>43</v>
      </c>
      <c r="G7902" s="7">
        <v>2438.6999999999998</v>
      </c>
      <c r="H7902" s="7">
        <v>0</v>
      </c>
      <c r="I7902" s="9" t="s">
        <v>22</v>
      </c>
      <c r="J7902" s="10">
        <v>-1413.18</v>
      </c>
      <c r="K7902" s="11">
        <v>55.5</v>
      </c>
      <c r="L7902" s="11">
        <v>52.2</v>
      </c>
      <c r="M7902" s="9" t="s">
        <v>2102</v>
      </c>
      <c r="N7902" s="6" t="s">
        <v>2073</v>
      </c>
      <c r="O7902" s="6" t="s">
        <v>704</v>
      </c>
      <c r="P7902" s="9" t="s">
        <v>60</v>
      </c>
      <c r="Q7902" s="9" t="s">
        <v>49</v>
      </c>
      <c r="R7902" s="9" t="s">
        <v>50</v>
      </c>
      <c r="S7902" s="7" t="s">
        <v>423</v>
      </c>
      <c r="T7902" s="9" t="s">
        <v>48</v>
      </c>
      <c r="U7902" s="7">
        <v>0.72</v>
      </c>
      <c r="V7902" s="12">
        <f>C7902+3</f>
        <v>39949</v>
      </c>
      <c r="W7902">
        <f>IF(D7902=' Pivot Tables'!$A$4,1,0)</f>
        <v>0</v>
      </c>
      <c r="X7902">
        <f>IF(AND(LEFT(D7902,4)+1=LEFT(' Pivot Tables'!$A$4,4)+0,RIGHT(LEFT(D7902,7),2)=RIGHT(LEFT(' Pivot Tables'!$A$4,7),2)),1,0)</f>
        <v>0</v>
      </c>
      <c r="Y7902" s="6">
        <f>1/COUNTIF(Таблица1[Order ID],Таблица1[[#This Row],[Order ID]])</f>
        <v>1</v>
      </c>
      <c r="Z7902" s="9">
        <f>1/COUNTIFS(Таблица1[Customer Name],Таблица1[[#This Row],[Customer Name]],Таблица1[Order-Year-Month],Таблица1[[#This Row],[Order-Year-Month]])</f>
        <v>1</v>
      </c>
    </row>
    <row r="7903" spans="1:26" x14ac:dyDescent="0.2">
      <c r="A7903" s="6">
        <v>3962</v>
      </c>
      <c r="B7903" s="7">
        <v>28262</v>
      </c>
      <c r="C7903" s="8">
        <f>DATE(2012,12,31)-731</f>
        <v>40543</v>
      </c>
      <c r="D7903" s="8" t="str">
        <f t="shared" si="151"/>
        <v>2010-12 (декабрь 2010)</v>
      </c>
      <c r="E7903" s="9" t="s">
        <v>63</v>
      </c>
      <c r="F7903" s="7">
        <v>26</v>
      </c>
      <c r="G7903" s="7">
        <v>299.11</v>
      </c>
      <c r="H7903" s="7">
        <v>0.05</v>
      </c>
      <c r="I7903" s="9" t="s">
        <v>22</v>
      </c>
      <c r="J7903" s="10">
        <v>40.03</v>
      </c>
      <c r="K7903" s="11">
        <v>11.34</v>
      </c>
      <c r="L7903" s="11">
        <v>5.01</v>
      </c>
      <c r="M7903" s="9" t="s">
        <v>2098</v>
      </c>
      <c r="N7903" s="6" t="s">
        <v>2073</v>
      </c>
      <c r="O7903" s="6" t="s">
        <v>704</v>
      </c>
      <c r="P7903" s="9" t="s">
        <v>25</v>
      </c>
      <c r="Q7903" s="9" t="s">
        <v>26</v>
      </c>
      <c r="R7903" s="9" t="s">
        <v>61</v>
      </c>
      <c r="S7903" s="7" t="s">
        <v>226</v>
      </c>
      <c r="T7903" s="9" t="s">
        <v>39</v>
      </c>
      <c r="U7903" s="7">
        <v>0.36</v>
      </c>
      <c r="V7903" s="12">
        <f>C7903+1</f>
        <v>40544</v>
      </c>
      <c r="W7903">
        <f>IF(D7903=' Pivot Tables'!$A$4,1,0)</f>
        <v>0</v>
      </c>
      <c r="X7903">
        <f>IF(AND(LEFT(D7903,4)+1=LEFT(' Pivot Tables'!$A$4,4)+0,RIGHT(LEFT(D7903,7),2)=RIGHT(LEFT(' Pivot Tables'!$A$4,7),2)),1,0)</f>
        <v>0</v>
      </c>
      <c r="Y7903" s="6">
        <f>1/COUNTIF(Таблица1[Order ID],Таблица1[[#This Row],[Order ID]])</f>
        <v>1</v>
      </c>
      <c r="Z7903" s="9">
        <f>1/COUNTIFS(Таблица1[Customer Name],Таблица1[[#This Row],[Customer Name]],Таблица1[Order-Year-Month],Таблица1[[#This Row],[Order-Year-Month]])</f>
        <v>1</v>
      </c>
    </row>
    <row r="7904" spans="1:26" x14ac:dyDescent="0.2">
      <c r="A7904" s="6">
        <v>3998</v>
      </c>
      <c r="B7904" s="7">
        <v>28519</v>
      </c>
      <c r="C7904" s="8">
        <f>DATE(2012,12,31)-923</f>
        <v>40351</v>
      </c>
      <c r="D7904" s="8" t="str">
        <f t="shared" si="151"/>
        <v>2010-06 (июнь 2010)</v>
      </c>
      <c r="E7904" s="9" t="s">
        <v>30</v>
      </c>
      <c r="F7904" s="7">
        <v>4</v>
      </c>
      <c r="G7904" s="7">
        <v>268.71049999999997</v>
      </c>
      <c r="H7904" s="7">
        <v>0.09</v>
      </c>
      <c r="I7904" s="9" t="s">
        <v>22</v>
      </c>
      <c r="J7904" s="10">
        <v>-337.65599999999995</v>
      </c>
      <c r="K7904" s="11">
        <v>85.99</v>
      </c>
      <c r="L7904" s="11">
        <v>0.99</v>
      </c>
      <c r="M7904" s="9" t="s">
        <v>2023</v>
      </c>
      <c r="N7904" s="6" t="s">
        <v>2073</v>
      </c>
      <c r="O7904" s="6" t="s">
        <v>704</v>
      </c>
      <c r="P7904" s="9" t="s">
        <v>33</v>
      </c>
      <c r="Q7904" s="9" t="s">
        <v>42</v>
      </c>
      <c r="R7904" s="9" t="s">
        <v>43</v>
      </c>
      <c r="S7904" s="7" t="s">
        <v>741</v>
      </c>
      <c r="T7904" s="9" t="s">
        <v>68</v>
      </c>
      <c r="U7904" s="7">
        <v>0.55000000000000004</v>
      </c>
      <c r="V7904" s="12">
        <f>C7904+2</f>
        <v>40353</v>
      </c>
      <c r="W7904">
        <f>IF(D7904=' Pivot Tables'!$A$4,1,0)</f>
        <v>0</v>
      </c>
      <c r="X7904">
        <f>IF(AND(LEFT(D7904,4)+1=LEFT(' Pivot Tables'!$A$4,4)+0,RIGHT(LEFT(D7904,7),2)=RIGHT(LEFT(' Pivot Tables'!$A$4,7),2)),1,0)</f>
        <v>0</v>
      </c>
      <c r="Y7904" s="6">
        <f>1/COUNTIF(Таблица1[Order ID],Таблица1[[#This Row],[Order ID]])</f>
        <v>1</v>
      </c>
      <c r="Z7904" s="9">
        <f>1/COUNTIFS(Таблица1[Customer Name],Таблица1[[#This Row],[Customer Name]],Таблица1[Order-Year-Month],Таблица1[[#This Row],[Order-Year-Month]])</f>
        <v>1</v>
      </c>
    </row>
    <row r="7905" spans="1:26" x14ac:dyDescent="0.2">
      <c r="A7905" s="6">
        <v>4079</v>
      </c>
      <c r="B7905" s="7">
        <v>29058</v>
      </c>
      <c r="C7905" s="8">
        <f>DATE(2012,12,31)-1093</f>
        <v>40181</v>
      </c>
      <c r="D7905" s="8" t="str">
        <f t="shared" si="151"/>
        <v>2010-01 (январь 2010)</v>
      </c>
      <c r="E7905" s="9" t="s">
        <v>30</v>
      </c>
      <c r="F7905" s="7">
        <v>33</v>
      </c>
      <c r="G7905" s="7">
        <v>28389.14</v>
      </c>
      <c r="H7905" s="7">
        <v>7.0000000000000007E-2</v>
      </c>
      <c r="I7905" s="9" t="s">
        <v>31</v>
      </c>
      <c r="J7905" s="10">
        <v>7132.18</v>
      </c>
      <c r="K7905" s="11">
        <v>880.98</v>
      </c>
      <c r="L7905" s="11">
        <v>44.55</v>
      </c>
      <c r="M7905" s="9" t="s">
        <v>1842</v>
      </c>
      <c r="N7905" s="6" t="s">
        <v>2073</v>
      </c>
      <c r="O7905" s="6" t="s">
        <v>704</v>
      </c>
      <c r="P7905" s="9" t="s">
        <v>33</v>
      </c>
      <c r="Q7905" s="9" t="s">
        <v>49</v>
      </c>
      <c r="R7905" s="9" t="s">
        <v>80</v>
      </c>
      <c r="S7905" s="7" t="s">
        <v>301</v>
      </c>
      <c r="T7905" s="9" t="s">
        <v>82</v>
      </c>
      <c r="U7905" s="7">
        <v>0.62</v>
      </c>
      <c r="V7905" s="12">
        <f>C7905+2</f>
        <v>40183</v>
      </c>
      <c r="W7905">
        <f>IF(D7905=' Pivot Tables'!$A$4,1,0)</f>
        <v>1</v>
      </c>
      <c r="X7905">
        <f>IF(AND(LEFT(D7905,4)+1=LEFT(' Pivot Tables'!$A$4,4)+0,RIGHT(LEFT(D7905,7),2)=RIGHT(LEFT(' Pivot Tables'!$A$4,7),2)),1,0)</f>
        <v>0</v>
      </c>
      <c r="Y7905" s="6">
        <f>1/COUNTIF(Таблица1[Order ID],Таблица1[[#This Row],[Order ID]])</f>
        <v>0.25</v>
      </c>
      <c r="Z7905" s="9">
        <f>1/COUNTIFS(Таблица1[Customer Name],Таблица1[[#This Row],[Customer Name]],Таблица1[Order-Year-Month],Таблица1[[#This Row],[Order-Year-Month]])</f>
        <v>0.25</v>
      </c>
    </row>
    <row r="7906" spans="1:26" x14ac:dyDescent="0.2">
      <c r="A7906" s="6">
        <v>4094</v>
      </c>
      <c r="B7906" s="7">
        <v>29187</v>
      </c>
      <c r="C7906" s="8">
        <f>DATE(2012,12,31)-1249</f>
        <v>40025</v>
      </c>
      <c r="D7906" s="8" t="str">
        <f t="shared" si="151"/>
        <v>2009-07 (июль 2009)</v>
      </c>
      <c r="E7906" s="9" t="s">
        <v>21</v>
      </c>
      <c r="F7906" s="7">
        <v>5</v>
      </c>
      <c r="G7906" s="7">
        <v>142.30000000000001</v>
      </c>
      <c r="H7906" s="7">
        <v>0.03</v>
      </c>
      <c r="I7906" s="9" t="s">
        <v>22</v>
      </c>
      <c r="J7906" s="10">
        <v>-24.1845</v>
      </c>
      <c r="K7906" s="11">
        <v>24.92</v>
      </c>
      <c r="L7906" s="11">
        <v>12.98</v>
      </c>
      <c r="M7906" s="9" t="s">
        <v>1196</v>
      </c>
      <c r="N7906" s="6" t="s">
        <v>2073</v>
      </c>
      <c r="O7906" s="6" t="s">
        <v>704</v>
      </c>
      <c r="P7906" s="9" t="s">
        <v>33</v>
      </c>
      <c r="Q7906" s="9" t="s">
        <v>26</v>
      </c>
      <c r="R7906" s="9" t="s">
        <v>37</v>
      </c>
      <c r="S7906" s="7" t="s">
        <v>319</v>
      </c>
      <c r="T7906" s="9" t="s">
        <v>39</v>
      </c>
      <c r="U7906" s="7">
        <v>0.39</v>
      </c>
      <c r="V7906" s="12">
        <f>C7906+4</f>
        <v>40029</v>
      </c>
      <c r="W7906">
        <f>IF(D7906=' Pivot Tables'!$A$4,1,0)</f>
        <v>0</v>
      </c>
      <c r="X7906">
        <f>IF(AND(LEFT(D7906,4)+1=LEFT(' Pivot Tables'!$A$4,4)+0,RIGHT(LEFT(D7906,7),2)=RIGHT(LEFT(' Pivot Tables'!$A$4,7),2)),1,0)</f>
        <v>0</v>
      </c>
      <c r="Y7906" s="6">
        <f>1/COUNTIF(Таблица1[Order ID],Таблица1[[#This Row],[Order ID]])</f>
        <v>0.2</v>
      </c>
      <c r="Z7906" s="9">
        <f>1/COUNTIFS(Таблица1[Customer Name],Таблица1[[#This Row],[Customer Name]],Таблица1[Order-Year-Month],Таблица1[[#This Row],[Order-Year-Month]])</f>
        <v>0.2</v>
      </c>
    </row>
    <row r="7907" spans="1:26" x14ac:dyDescent="0.2">
      <c r="A7907" s="6">
        <v>4095</v>
      </c>
      <c r="B7907" s="7">
        <v>29187</v>
      </c>
      <c r="C7907" s="8">
        <f>DATE(2012,12,31)-1249</f>
        <v>40025</v>
      </c>
      <c r="D7907" s="8" t="str">
        <f t="shared" si="151"/>
        <v>2009-07 (июль 2009)</v>
      </c>
      <c r="E7907" s="9" t="s">
        <v>21</v>
      </c>
      <c r="F7907" s="7">
        <v>8</v>
      </c>
      <c r="G7907" s="7">
        <v>21.93</v>
      </c>
      <c r="H7907" s="7">
        <v>0.09</v>
      </c>
      <c r="I7907" s="9" t="s">
        <v>22</v>
      </c>
      <c r="J7907" s="10">
        <v>-37.789000000000001</v>
      </c>
      <c r="K7907" s="11">
        <v>2.16</v>
      </c>
      <c r="L7907" s="11">
        <v>6.05</v>
      </c>
      <c r="M7907" s="9" t="s">
        <v>1196</v>
      </c>
      <c r="N7907" s="6" t="s">
        <v>2073</v>
      </c>
      <c r="O7907" s="6" t="s">
        <v>704</v>
      </c>
      <c r="P7907" s="9" t="s">
        <v>33</v>
      </c>
      <c r="Q7907" s="9" t="s">
        <v>26</v>
      </c>
      <c r="R7907" s="9" t="s">
        <v>37</v>
      </c>
      <c r="S7907" s="7" t="s">
        <v>516</v>
      </c>
      <c r="T7907" s="9" t="s">
        <v>39</v>
      </c>
      <c r="U7907" s="7">
        <v>0.37</v>
      </c>
      <c r="V7907" s="12">
        <f>C7907+4</f>
        <v>40029</v>
      </c>
      <c r="W7907">
        <f>IF(D7907=' Pivot Tables'!$A$4,1,0)</f>
        <v>0</v>
      </c>
      <c r="X7907">
        <f>IF(AND(LEFT(D7907,4)+1=LEFT(' Pivot Tables'!$A$4,4)+0,RIGHT(LEFT(D7907,7),2)=RIGHT(LEFT(' Pivot Tables'!$A$4,7),2)),1,0)</f>
        <v>0</v>
      </c>
      <c r="Y7907" s="6">
        <f>1/COUNTIF(Таблица1[Order ID],Таблица1[[#This Row],[Order ID]])</f>
        <v>0.2</v>
      </c>
      <c r="Z7907" s="9">
        <f>1/COUNTIFS(Таблица1[Customer Name],Таблица1[[#This Row],[Customer Name]],Таблица1[Order-Year-Month],Таблица1[[#This Row],[Order-Year-Month]])</f>
        <v>0.2</v>
      </c>
    </row>
    <row r="7908" spans="1:26" x14ac:dyDescent="0.2">
      <c r="A7908" s="6">
        <v>4096</v>
      </c>
      <c r="B7908" s="7">
        <v>29187</v>
      </c>
      <c r="C7908" s="8">
        <f>DATE(2012,12,31)-1249</f>
        <v>40025</v>
      </c>
      <c r="D7908" s="8" t="str">
        <f t="shared" si="151"/>
        <v>2009-07 (июль 2009)</v>
      </c>
      <c r="E7908" s="9" t="s">
        <v>21</v>
      </c>
      <c r="F7908" s="7">
        <v>35</v>
      </c>
      <c r="G7908" s="7">
        <v>26095.13</v>
      </c>
      <c r="H7908" s="7">
        <v>0.03</v>
      </c>
      <c r="I7908" s="9" t="s">
        <v>31</v>
      </c>
      <c r="J7908" s="10">
        <v>12606.81</v>
      </c>
      <c r="K7908" s="11">
        <v>808.49</v>
      </c>
      <c r="L7908" s="11">
        <v>55.3</v>
      </c>
      <c r="M7908" s="9" t="s">
        <v>1196</v>
      </c>
      <c r="N7908" s="6" t="s">
        <v>2073</v>
      </c>
      <c r="O7908" s="6" t="s">
        <v>704</v>
      </c>
      <c r="P7908" s="9" t="s">
        <v>33</v>
      </c>
      <c r="Q7908" s="9" t="s">
        <v>42</v>
      </c>
      <c r="R7908" s="9" t="s">
        <v>210</v>
      </c>
      <c r="S7908" s="7" t="s">
        <v>1537</v>
      </c>
      <c r="T7908" s="9" t="s">
        <v>36</v>
      </c>
      <c r="U7908" s="7">
        <v>0.4</v>
      </c>
      <c r="V7908" s="12">
        <f>C7908+7</f>
        <v>40032</v>
      </c>
      <c r="W7908">
        <f>IF(D7908=' Pivot Tables'!$A$4,1,0)</f>
        <v>0</v>
      </c>
      <c r="X7908">
        <f>IF(AND(LEFT(D7908,4)+1=LEFT(' Pivot Tables'!$A$4,4)+0,RIGHT(LEFT(D7908,7),2)=RIGHT(LEFT(' Pivot Tables'!$A$4,7),2)),1,0)</f>
        <v>0</v>
      </c>
      <c r="Y7908" s="6">
        <f>1/COUNTIF(Таблица1[Order ID],Таблица1[[#This Row],[Order ID]])</f>
        <v>0.2</v>
      </c>
      <c r="Z7908" s="9">
        <f>1/COUNTIFS(Таблица1[Customer Name],Таблица1[[#This Row],[Customer Name]],Таблица1[Order-Year-Month],Таблица1[[#This Row],[Order-Year-Month]])</f>
        <v>0.2</v>
      </c>
    </row>
    <row r="7909" spans="1:26" x14ac:dyDescent="0.2">
      <c r="A7909" s="6">
        <v>4097</v>
      </c>
      <c r="B7909" s="7">
        <v>29187</v>
      </c>
      <c r="C7909" s="8">
        <f>DATE(2012,12,31)-1249</f>
        <v>40025</v>
      </c>
      <c r="D7909" s="8" t="str">
        <f t="shared" si="151"/>
        <v>2009-07 (июль 2009)</v>
      </c>
      <c r="E7909" s="9" t="s">
        <v>21</v>
      </c>
      <c r="F7909" s="7">
        <v>10</v>
      </c>
      <c r="G7909" s="7">
        <v>75.58</v>
      </c>
      <c r="H7909" s="7">
        <v>0</v>
      </c>
      <c r="I7909" s="9" t="s">
        <v>22</v>
      </c>
      <c r="J7909" s="10">
        <v>-43.26</v>
      </c>
      <c r="K7909" s="11">
        <v>6.48</v>
      </c>
      <c r="L7909" s="11">
        <v>8.19</v>
      </c>
      <c r="M7909" s="9" t="s">
        <v>1196</v>
      </c>
      <c r="N7909" s="6" t="s">
        <v>2073</v>
      </c>
      <c r="O7909" s="6" t="s">
        <v>704</v>
      </c>
      <c r="P7909" s="9" t="s">
        <v>33</v>
      </c>
      <c r="Q7909" s="9" t="s">
        <v>26</v>
      </c>
      <c r="R7909" s="9" t="s">
        <v>61</v>
      </c>
      <c r="S7909" s="7" t="s">
        <v>176</v>
      </c>
      <c r="T7909" s="9" t="s">
        <v>39</v>
      </c>
      <c r="U7909" s="7">
        <v>0.37</v>
      </c>
      <c r="V7909" s="12">
        <f>C7909+7</f>
        <v>40032</v>
      </c>
      <c r="W7909">
        <f>IF(D7909=' Pivot Tables'!$A$4,1,0)</f>
        <v>0</v>
      </c>
      <c r="X7909">
        <f>IF(AND(LEFT(D7909,4)+1=LEFT(' Pivot Tables'!$A$4,4)+0,RIGHT(LEFT(D7909,7),2)=RIGHT(LEFT(' Pivot Tables'!$A$4,7),2)),1,0)</f>
        <v>0</v>
      </c>
      <c r="Y7909" s="6">
        <f>1/COUNTIF(Таблица1[Order ID],Таблица1[[#This Row],[Order ID]])</f>
        <v>0.2</v>
      </c>
      <c r="Z7909" s="9">
        <f>1/COUNTIFS(Таблица1[Customer Name],Таблица1[[#This Row],[Customer Name]],Таблица1[Order-Year-Month],Таблица1[[#This Row],[Order-Year-Month]])</f>
        <v>0.2</v>
      </c>
    </row>
    <row r="7910" spans="1:26" x14ac:dyDescent="0.2">
      <c r="A7910" s="6">
        <v>4098</v>
      </c>
      <c r="B7910" s="7">
        <v>29187</v>
      </c>
      <c r="C7910" s="8">
        <f>DATE(2012,12,31)-1249</f>
        <v>40025</v>
      </c>
      <c r="D7910" s="8" t="str">
        <f t="shared" si="151"/>
        <v>2009-07 (июль 2009)</v>
      </c>
      <c r="E7910" s="9" t="s">
        <v>21</v>
      </c>
      <c r="F7910" s="7">
        <v>42</v>
      </c>
      <c r="G7910" s="7">
        <v>477.53</v>
      </c>
      <c r="H7910" s="7">
        <v>0.03</v>
      </c>
      <c r="I7910" s="9" t="s">
        <v>22</v>
      </c>
      <c r="J7910" s="10">
        <v>51.17</v>
      </c>
      <c r="K7910" s="11">
        <v>10.98</v>
      </c>
      <c r="L7910" s="11">
        <v>3.37</v>
      </c>
      <c r="M7910" s="9" t="s">
        <v>1196</v>
      </c>
      <c r="N7910" s="6" t="s">
        <v>2073</v>
      </c>
      <c r="O7910" s="6" t="s">
        <v>704</v>
      </c>
      <c r="P7910" s="9" t="s">
        <v>33</v>
      </c>
      <c r="Q7910" s="9" t="s">
        <v>26</v>
      </c>
      <c r="R7910" s="9" t="s">
        <v>150</v>
      </c>
      <c r="S7910" s="7" t="s">
        <v>465</v>
      </c>
      <c r="T7910" s="9" t="s">
        <v>52</v>
      </c>
      <c r="U7910" s="7">
        <v>0.56999999999999995</v>
      </c>
      <c r="V7910" s="12">
        <f>C7910+4</f>
        <v>40029</v>
      </c>
      <c r="W7910">
        <f>IF(D7910=' Pivot Tables'!$A$4,1,0)</f>
        <v>0</v>
      </c>
      <c r="X7910">
        <f>IF(AND(LEFT(D7910,4)+1=LEFT(' Pivot Tables'!$A$4,4)+0,RIGHT(LEFT(D7910,7),2)=RIGHT(LEFT(' Pivot Tables'!$A$4,7),2)),1,0)</f>
        <v>0</v>
      </c>
      <c r="Y7910" s="6">
        <f>1/COUNTIF(Таблица1[Order ID],Таблица1[[#This Row],[Order ID]])</f>
        <v>0.2</v>
      </c>
      <c r="Z7910" s="9">
        <f>1/COUNTIFS(Таблица1[Customer Name],Таблица1[[#This Row],[Customer Name]],Таблица1[Order-Year-Month],Таблица1[[#This Row],[Order-Year-Month]])</f>
        <v>0.2</v>
      </c>
    </row>
    <row r="7911" spans="1:26" x14ac:dyDescent="0.2">
      <c r="A7911" s="6">
        <v>4120</v>
      </c>
      <c r="B7911" s="7">
        <v>29317</v>
      </c>
      <c r="C7911" s="8">
        <f>DATE(2012,12,31)-456</f>
        <v>40818</v>
      </c>
      <c r="D7911" s="8" t="str">
        <f t="shared" si="151"/>
        <v>2011-10 (октябрь 2011)</v>
      </c>
      <c r="E7911" s="9" t="s">
        <v>45</v>
      </c>
      <c r="F7911" s="7">
        <v>40</v>
      </c>
      <c r="G7911" s="7">
        <v>7789.63</v>
      </c>
      <c r="H7911" s="7">
        <v>0.08</v>
      </c>
      <c r="I7911" s="9" t="s">
        <v>31</v>
      </c>
      <c r="J7911" s="10">
        <v>1774.53</v>
      </c>
      <c r="K7911" s="11">
        <v>200.98</v>
      </c>
      <c r="L7911" s="11">
        <v>23.76</v>
      </c>
      <c r="M7911" s="9" t="s">
        <v>2096</v>
      </c>
      <c r="N7911" s="6" t="s">
        <v>2073</v>
      </c>
      <c r="O7911" s="6" t="s">
        <v>704</v>
      </c>
      <c r="P7911" s="9" t="s">
        <v>41</v>
      </c>
      <c r="Q7911" s="9" t="s">
        <v>49</v>
      </c>
      <c r="R7911" s="9" t="s">
        <v>112</v>
      </c>
      <c r="S7911" s="7" t="s">
        <v>441</v>
      </c>
      <c r="T7911" s="9" t="s">
        <v>36</v>
      </c>
      <c r="U7911" s="7">
        <v>0.57999999999999996</v>
      </c>
      <c r="V7911" s="12">
        <f>C7911+2</f>
        <v>40820</v>
      </c>
      <c r="W7911">
        <f>IF(D7911=' Pivot Tables'!$A$4,1,0)</f>
        <v>0</v>
      </c>
      <c r="X7911">
        <f>IF(AND(LEFT(D7911,4)+1=LEFT(' Pivot Tables'!$A$4,4)+0,RIGHT(LEFT(D7911,7),2)=RIGHT(LEFT(' Pivot Tables'!$A$4,7),2)),1,0)</f>
        <v>0</v>
      </c>
      <c r="Y7911" s="6">
        <f>1/COUNTIF(Таблица1[Order ID],Таблица1[[#This Row],[Order ID]])</f>
        <v>0.33333333333333331</v>
      </c>
      <c r="Z7911" s="9">
        <f>1/COUNTIFS(Таблица1[Customer Name],Таблица1[[#This Row],[Customer Name]],Таблица1[Order-Year-Month],Таблица1[[#This Row],[Order-Year-Month]])</f>
        <v>0.33333333333333331</v>
      </c>
    </row>
    <row r="7912" spans="1:26" x14ac:dyDescent="0.2">
      <c r="A7912" s="6">
        <v>4121</v>
      </c>
      <c r="B7912" s="7">
        <v>29317</v>
      </c>
      <c r="C7912" s="8">
        <f>DATE(2012,12,31)-456</f>
        <v>40818</v>
      </c>
      <c r="D7912" s="8" t="str">
        <f t="shared" si="151"/>
        <v>2011-10 (октябрь 2011)</v>
      </c>
      <c r="E7912" s="9" t="s">
        <v>45</v>
      </c>
      <c r="F7912" s="7">
        <v>20</v>
      </c>
      <c r="G7912" s="7">
        <v>15703.82</v>
      </c>
      <c r="H7912" s="7">
        <v>0.06</v>
      </c>
      <c r="I7912" s="9" t="s">
        <v>31</v>
      </c>
      <c r="J7912" s="10">
        <v>3055.72</v>
      </c>
      <c r="K7912" s="11">
        <v>810.98</v>
      </c>
      <c r="L7912" s="11">
        <v>16.059999999999999</v>
      </c>
      <c r="M7912" s="9" t="s">
        <v>2096</v>
      </c>
      <c r="N7912" s="6" t="s">
        <v>2073</v>
      </c>
      <c r="O7912" s="6" t="s">
        <v>704</v>
      </c>
      <c r="P7912" s="9" t="s">
        <v>41</v>
      </c>
      <c r="Q7912" s="9" t="s">
        <v>42</v>
      </c>
      <c r="R7912" s="9" t="s">
        <v>210</v>
      </c>
      <c r="S7912" s="7" t="s">
        <v>1315</v>
      </c>
      <c r="T7912" s="9" t="s">
        <v>36</v>
      </c>
      <c r="U7912" s="7">
        <v>0.56000000000000005</v>
      </c>
      <c r="V7912" s="12">
        <f>C7912+1</f>
        <v>40819</v>
      </c>
      <c r="W7912">
        <f>IF(D7912=' Pivot Tables'!$A$4,1,0)</f>
        <v>0</v>
      </c>
      <c r="X7912">
        <f>IF(AND(LEFT(D7912,4)+1=LEFT(' Pivot Tables'!$A$4,4)+0,RIGHT(LEFT(D7912,7),2)=RIGHT(LEFT(' Pivot Tables'!$A$4,7),2)),1,0)</f>
        <v>0</v>
      </c>
      <c r="Y7912" s="6">
        <f>1/COUNTIF(Таблица1[Order ID],Таблица1[[#This Row],[Order ID]])</f>
        <v>0.33333333333333331</v>
      </c>
      <c r="Z7912" s="9">
        <f>1/COUNTIFS(Таблица1[Customer Name],Таблица1[[#This Row],[Customer Name]],Таблица1[Order-Year-Month],Таблица1[[#This Row],[Order-Year-Month]])</f>
        <v>0.33333333333333331</v>
      </c>
    </row>
    <row r="7913" spans="1:26" x14ac:dyDescent="0.2">
      <c r="A7913" s="6">
        <v>4122</v>
      </c>
      <c r="B7913" s="7">
        <v>29317</v>
      </c>
      <c r="C7913" s="8">
        <f>DATE(2012,12,31)-456</f>
        <v>40818</v>
      </c>
      <c r="D7913" s="8" t="str">
        <f t="shared" si="151"/>
        <v>2011-10 (октябрь 2011)</v>
      </c>
      <c r="E7913" s="9" t="s">
        <v>45</v>
      </c>
      <c r="F7913" s="7">
        <v>31</v>
      </c>
      <c r="G7913" s="7">
        <v>140.69</v>
      </c>
      <c r="H7913" s="7">
        <v>0.06</v>
      </c>
      <c r="I7913" s="9" t="s">
        <v>22</v>
      </c>
      <c r="J7913" s="10">
        <v>-14.54</v>
      </c>
      <c r="K7913" s="11">
        <v>4.71</v>
      </c>
      <c r="L7913" s="11">
        <v>0.7</v>
      </c>
      <c r="M7913" s="9" t="s">
        <v>2096</v>
      </c>
      <c r="N7913" s="6" t="s">
        <v>2073</v>
      </c>
      <c r="O7913" s="6" t="s">
        <v>704</v>
      </c>
      <c r="P7913" s="9" t="s">
        <v>41</v>
      </c>
      <c r="Q7913" s="9" t="s">
        <v>26</v>
      </c>
      <c r="R7913" s="9" t="s">
        <v>66</v>
      </c>
      <c r="S7913" s="7" t="s">
        <v>412</v>
      </c>
      <c r="T7913" s="9" t="s">
        <v>68</v>
      </c>
      <c r="U7913" s="7">
        <v>0.85</v>
      </c>
      <c r="V7913" s="12">
        <f>C7913+0</f>
        <v>40818</v>
      </c>
      <c r="W7913">
        <f>IF(D7913=' Pivot Tables'!$A$4,1,0)</f>
        <v>0</v>
      </c>
      <c r="X7913">
        <f>IF(AND(LEFT(D7913,4)+1=LEFT(' Pivot Tables'!$A$4,4)+0,RIGHT(LEFT(D7913,7),2)=RIGHT(LEFT(' Pivot Tables'!$A$4,7),2)),1,0)</f>
        <v>0</v>
      </c>
      <c r="Y7913" s="6">
        <f>1/COUNTIF(Таблица1[Order ID],Таблица1[[#This Row],[Order ID]])</f>
        <v>0.33333333333333331</v>
      </c>
      <c r="Z7913" s="9">
        <f>1/COUNTIFS(Таблица1[Customer Name],Таблица1[[#This Row],[Customer Name]],Таблица1[Order-Year-Month],Таблица1[[#This Row],[Order-Year-Month]])</f>
        <v>0.33333333333333331</v>
      </c>
    </row>
    <row r="7914" spans="1:26" x14ac:dyDescent="0.2">
      <c r="A7914" s="6">
        <v>4221</v>
      </c>
      <c r="B7914" s="7">
        <v>29988</v>
      </c>
      <c r="C7914" s="8">
        <f>DATE(2012,12,31)-1298</f>
        <v>39976</v>
      </c>
      <c r="D7914" s="8" t="str">
        <f t="shared" si="151"/>
        <v>2009-06 (июнь 2009)</v>
      </c>
      <c r="E7914" s="9" t="s">
        <v>30</v>
      </c>
      <c r="F7914" s="7">
        <v>12</v>
      </c>
      <c r="G7914" s="7">
        <v>5177.3999999999996</v>
      </c>
      <c r="H7914" s="7">
        <v>0.06</v>
      </c>
      <c r="I7914" s="9" t="s">
        <v>31</v>
      </c>
      <c r="J7914" s="10">
        <v>287.5</v>
      </c>
      <c r="K7914" s="11">
        <v>449.99</v>
      </c>
      <c r="L7914" s="11">
        <v>49</v>
      </c>
      <c r="M7914" s="9" t="s">
        <v>2097</v>
      </c>
      <c r="N7914" s="6" t="s">
        <v>2073</v>
      </c>
      <c r="O7914" s="6" t="s">
        <v>704</v>
      </c>
      <c r="P7914" s="9" t="s">
        <v>41</v>
      </c>
      <c r="Q7914" s="9" t="s">
        <v>42</v>
      </c>
      <c r="R7914" s="9" t="s">
        <v>99</v>
      </c>
      <c r="S7914" s="7" t="s">
        <v>100</v>
      </c>
      <c r="T7914" s="9" t="s">
        <v>36</v>
      </c>
      <c r="U7914" s="7">
        <v>0.38</v>
      </c>
      <c r="V7914" s="12">
        <f>C7914+2</f>
        <v>39978</v>
      </c>
      <c r="W7914">
        <f>IF(D7914=' Pivot Tables'!$A$4,1,0)</f>
        <v>0</v>
      </c>
      <c r="X7914">
        <f>IF(AND(LEFT(D7914,4)+1=LEFT(' Pivot Tables'!$A$4,4)+0,RIGHT(LEFT(D7914,7),2)=RIGHT(LEFT(' Pivot Tables'!$A$4,7),2)),1,0)</f>
        <v>0</v>
      </c>
      <c r="Y7914" s="6">
        <f>1/COUNTIF(Таблица1[Order ID],Таблица1[[#This Row],[Order ID]])</f>
        <v>1</v>
      </c>
      <c r="Z7914" s="9">
        <f>1/COUNTIFS(Таблица1[Customer Name],Таблица1[[#This Row],[Customer Name]],Таблица1[Order-Year-Month],Таблица1[[#This Row],[Order-Year-Month]])</f>
        <v>0.33333333333333331</v>
      </c>
    </row>
    <row r="7915" spans="1:26" x14ac:dyDescent="0.2">
      <c r="A7915" s="6">
        <v>4230</v>
      </c>
      <c r="B7915" s="7">
        <v>30051</v>
      </c>
      <c r="C7915" s="8">
        <f>DATE(2012,12,31)-286</f>
        <v>40988</v>
      </c>
      <c r="D7915" s="8" t="str">
        <f t="shared" si="151"/>
        <v>2012-03 (март 2012)</v>
      </c>
      <c r="E7915" s="9" t="s">
        <v>45</v>
      </c>
      <c r="F7915" s="7">
        <v>42</v>
      </c>
      <c r="G7915" s="7">
        <v>243.06</v>
      </c>
      <c r="H7915" s="7">
        <v>0.02</v>
      </c>
      <c r="I7915" s="9" t="s">
        <v>22</v>
      </c>
      <c r="J7915" s="10">
        <v>-1.57</v>
      </c>
      <c r="K7915" s="11">
        <v>5.85</v>
      </c>
      <c r="L7915" s="11">
        <v>2.27</v>
      </c>
      <c r="M7915" s="9" t="s">
        <v>2106</v>
      </c>
      <c r="N7915" s="6" t="s">
        <v>2073</v>
      </c>
      <c r="O7915" s="6" t="s">
        <v>704</v>
      </c>
      <c r="P7915" s="9" t="s">
        <v>60</v>
      </c>
      <c r="Q7915" s="9" t="s">
        <v>26</v>
      </c>
      <c r="R7915" s="9" t="s">
        <v>95</v>
      </c>
      <c r="S7915" s="7" t="s">
        <v>463</v>
      </c>
      <c r="T7915" s="9" t="s">
        <v>68</v>
      </c>
      <c r="U7915" s="7">
        <v>0.56000000000000005</v>
      </c>
      <c r="V7915" s="12">
        <f>C7915+1</f>
        <v>40989</v>
      </c>
      <c r="W7915">
        <f>IF(D7915=' Pivot Tables'!$A$4,1,0)</f>
        <v>0</v>
      </c>
      <c r="X7915">
        <f>IF(AND(LEFT(D7915,4)+1=LEFT(' Pivot Tables'!$A$4,4)+0,RIGHT(LEFT(D7915,7),2)=RIGHT(LEFT(' Pivot Tables'!$A$4,7),2)),1,0)</f>
        <v>0</v>
      </c>
      <c r="Y7915" s="6">
        <f>1/COUNTIF(Таблица1[Order ID],Таблица1[[#This Row],[Order ID]])</f>
        <v>1</v>
      </c>
      <c r="Z7915" s="9">
        <f>1/COUNTIFS(Таблица1[Customer Name],Таблица1[[#This Row],[Customer Name]],Таблица1[Order-Year-Month],Таблица1[[#This Row],[Order-Year-Month]])</f>
        <v>1</v>
      </c>
    </row>
    <row r="7916" spans="1:26" x14ac:dyDescent="0.2">
      <c r="A7916" s="6">
        <v>4245</v>
      </c>
      <c r="B7916" s="7">
        <v>30211</v>
      </c>
      <c r="C7916" s="8">
        <f>DATE(2012,12,31)-938</f>
        <v>40336</v>
      </c>
      <c r="D7916" s="8" t="str">
        <f t="shared" si="151"/>
        <v>2010-06 (июнь 2010)</v>
      </c>
      <c r="E7916" s="9" t="s">
        <v>63</v>
      </c>
      <c r="F7916" s="7">
        <v>19</v>
      </c>
      <c r="G7916" s="7">
        <v>141.96</v>
      </c>
      <c r="H7916" s="7">
        <v>0.05</v>
      </c>
      <c r="I7916" s="9" t="s">
        <v>22</v>
      </c>
      <c r="J7916" s="10">
        <v>38.43</v>
      </c>
      <c r="K7916" s="11">
        <v>7.4</v>
      </c>
      <c r="L7916" s="11">
        <v>1.71</v>
      </c>
      <c r="M7916" s="9" t="s">
        <v>2095</v>
      </c>
      <c r="N7916" s="6" t="s">
        <v>2073</v>
      </c>
      <c r="O7916" s="6" t="s">
        <v>704</v>
      </c>
      <c r="P7916" s="9" t="s">
        <v>25</v>
      </c>
      <c r="Q7916" s="9" t="s">
        <v>26</v>
      </c>
      <c r="R7916" s="9" t="s">
        <v>61</v>
      </c>
      <c r="S7916" s="7" t="s">
        <v>864</v>
      </c>
      <c r="T7916" s="9" t="s">
        <v>68</v>
      </c>
      <c r="U7916" s="7">
        <v>0.4</v>
      </c>
      <c r="V7916" s="12">
        <f>C7916+1</f>
        <v>40337</v>
      </c>
      <c r="W7916">
        <f>IF(D7916=' Pivot Tables'!$A$4,1,0)</f>
        <v>0</v>
      </c>
      <c r="X7916">
        <f>IF(AND(LEFT(D7916,4)+1=LEFT(' Pivot Tables'!$A$4,4)+0,RIGHT(LEFT(D7916,7),2)=RIGHT(LEFT(' Pivot Tables'!$A$4,7),2)),1,0)</f>
        <v>0</v>
      </c>
      <c r="Y7916" s="6">
        <f>1/COUNTIF(Таблица1[Order ID],Таблица1[[#This Row],[Order ID]])</f>
        <v>1</v>
      </c>
      <c r="Z7916" s="9">
        <f>1/COUNTIFS(Таблица1[Customer Name],Таблица1[[#This Row],[Customer Name]],Таблица1[Order-Year-Month],Таблица1[[#This Row],[Order-Year-Month]])</f>
        <v>1</v>
      </c>
    </row>
    <row r="7917" spans="1:26" x14ac:dyDescent="0.2">
      <c r="A7917" s="6">
        <v>4271</v>
      </c>
      <c r="B7917" s="7">
        <v>30401</v>
      </c>
      <c r="C7917" s="8">
        <f>DATE(2012,12,31)-74</f>
        <v>41200</v>
      </c>
      <c r="D7917" s="8" t="str">
        <f t="shared" si="151"/>
        <v>2012-10 (октябрь 2012)</v>
      </c>
      <c r="E7917" s="9" t="s">
        <v>63</v>
      </c>
      <c r="F7917" s="7">
        <v>39</v>
      </c>
      <c r="G7917" s="7">
        <v>239.4</v>
      </c>
      <c r="H7917" s="7">
        <v>7.0000000000000007E-2</v>
      </c>
      <c r="I7917" s="9" t="s">
        <v>22</v>
      </c>
      <c r="J7917" s="10">
        <v>-57.37</v>
      </c>
      <c r="K7917" s="11">
        <v>5.98</v>
      </c>
      <c r="L7917" s="11">
        <v>5.15</v>
      </c>
      <c r="M7917" s="9" t="s">
        <v>2099</v>
      </c>
      <c r="N7917" s="6" t="s">
        <v>2073</v>
      </c>
      <c r="O7917" s="6" t="s">
        <v>704</v>
      </c>
      <c r="P7917" s="9" t="s">
        <v>41</v>
      </c>
      <c r="Q7917" s="9" t="s">
        <v>26</v>
      </c>
      <c r="R7917" s="9" t="s">
        <v>61</v>
      </c>
      <c r="S7917" s="7" t="s">
        <v>995</v>
      </c>
      <c r="T7917" s="9" t="s">
        <v>39</v>
      </c>
      <c r="U7917" s="7">
        <v>0.36</v>
      </c>
      <c r="V7917" s="12">
        <f>C7917+2</f>
        <v>41202</v>
      </c>
      <c r="W7917">
        <f>IF(D7917=' Pivot Tables'!$A$4,1,0)</f>
        <v>0</v>
      </c>
      <c r="X7917">
        <f>IF(AND(LEFT(D7917,4)+1=LEFT(' Pivot Tables'!$A$4,4)+0,RIGHT(LEFT(D7917,7),2)=RIGHT(LEFT(' Pivot Tables'!$A$4,7),2)),1,0)</f>
        <v>0</v>
      </c>
      <c r="Y7917" s="6">
        <f>1/COUNTIF(Таблица1[Order ID],Таблица1[[#This Row],[Order ID]])</f>
        <v>1</v>
      </c>
      <c r="Z7917" s="9">
        <f>1/COUNTIFS(Таблица1[Customer Name],Таблица1[[#This Row],[Customer Name]],Таблица1[Order-Year-Month],Таблица1[[#This Row],[Order-Year-Month]])</f>
        <v>1</v>
      </c>
    </row>
    <row r="7918" spans="1:26" x14ac:dyDescent="0.2">
      <c r="A7918" s="6">
        <v>4316</v>
      </c>
      <c r="B7918" s="7">
        <v>30757</v>
      </c>
      <c r="C7918" s="8">
        <f>DATE(2012,12,31)-736</f>
        <v>40538</v>
      </c>
      <c r="D7918" s="8" t="str">
        <f t="shared" si="151"/>
        <v>2010-12 (декабрь 2010)</v>
      </c>
      <c r="E7918" s="9" t="s">
        <v>63</v>
      </c>
      <c r="F7918" s="7">
        <v>5</v>
      </c>
      <c r="G7918" s="7">
        <v>21.32</v>
      </c>
      <c r="H7918" s="7">
        <v>0.08</v>
      </c>
      <c r="I7918" s="9" t="s">
        <v>56</v>
      </c>
      <c r="J7918" s="10">
        <v>2.2000000000000002</v>
      </c>
      <c r="K7918" s="11">
        <v>3.38</v>
      </c>
      <c r="L7918" s="11">
        <v>0.85</v>
      </c>
      <c r="M7918" s="9" t="s">
        <v>2102</v>
      </c>
      <c r="N7918" s="6" t="s">
        <v>2073</v>
      </c>
      <c r="O7918" s="6" t="s">
        <v>704</v>
      </c>
      <c r="P7918" s="9" t="s">
        <v>60</v>
      </c>
      <c r="Q7918" s="9" t="s">
        <v>26</v>
      </c>
      <c r="R7918" s="9" t="s">
        <v>95</v>
      </c>
      <c r="S7918" s="7" t="s">
        <v>566</v>
      </c>
      <c r="T7918" s="9" t="s">
        <v>68</v>
      </c>
      <c r="U7918" s="7">
        <v>0.48</v>
      </c>
      <c r="V7918" s="12">
        <f>C7918+0</f>
        <v>40538</v>
      </c>
      <c r="W7918">
        <f>IF(D7918=' Pivot Tables'!$A$4,1,0)</f>
        <v>0</v>
      </c>
      <c r="X7918">
        <f>IF(AND(LEFT(D7918,4)+1=LEFT(' Pivot Tables'!$A$4,4)+0,RIGHT(LEFT(D7918,7),2)=RIGHT(LEFT(' Pivot Tables'!$A$4,7),2)),1,0)</f>
        <v>0</v>
      </c>
      <c r="Y7918" s="6">
        <f>1/COUNTIF(Таблица1[Order ID],Таблица1[[#This Row],[Order ID]])</f>
        <v>0.5</v>
      </c>
      <c r="Z7918" s="9">
        <f>1/COUNTIFS(Таблица1[Customer Name],Таблица1[[#This Row],[Customer Name]],Таблица1[Order-Year-Month],Таблица1[[#This Row],[Order-Year-Month]])</f>
        <v>0.5</v>
      </c>
    </row>
    <row r="7919" spans="1:26" x14ac:dyDescent="0.2">
      <c r="A7919" s="6">
        <v>4317</v>
      </c>
      <c r="B7919" s="7">
        <v>30757</v>
      </c>
      <c r="C7919" s="8">
        <f>DATE(2012,12,31)-736</f>
        <v>40538</v>
      </c>
      <c r="D7919" s="8" t="str">
        <f t="shared" si="151"/>
        <v>2010-12 (декабрь 2010)</v>
      </c>
      <c r="E7919" s="9" t="s">
        <v>63</v>
      </c>
      <c r="F7919" s="7">
        <v>42</v>
      </c>
      <c r="G7919" s="7">
        <v>457.51</v>
      </c>
      <c r="H7919" s="7">
        <v>0.1</v>
      </c>
      <c r="I7919" s="9" t="s">
        <v>22</v>
      </c>
      <c r="J7919" s="10">
        <v>-183.75</v>
      </c>
      <c r="K7919" s="11">
        <v>11.66</v>
      </c>
      <c r="L7919" s="11">
        <v>7.95</v>
      </c>
      <c r="M7919" s="9" t="s">
        <v>2102</v>
      </c>
      <c r="N7919" s="6" t="s">
        <v>2073</v>
      </c>
      <c r="O7919" s="6" t="s">
        <v>704</v>
      </c>
      <c r="P7919" s="9" t="s">
        <v>60</v>
      </c>
      <c r="Q7919" s="9" t="s">
        <v>26</v>
      </c>
      <c r="R7919" s="9" t="s">
        <v>95</v>
      </c>
      <c r="S7919" s="7" t="s">
        <v>555</v>
      </c>
      <c r="T7919" s="9" t="s">
        <v>52</v>
      </c>
      <c r="U7919" s="7">
        <v>0.57999999999999996</v>
      </c>
      <c r="V7919" s="12">
        <f>C7919+1</f>
        <v>40539</v>
      </c>
      <c r="W7919">
        <f>IF(D7919=' Pivot Tables'!$A$4,1,0)</f>
        <v>0</v>
      </c>
      <c r="X7919">
        <f>IF(AND(LEFT(D7919,4)+1=LEFT(' Pivot Tables'!$A$4,4)+0,RIGHT(LEFT(D7919,7),2)=RIGHT(LEFT(' Pivot Tables'!$A$4,7),2)),1,0)</f>
        <v>0</v>
      </c>
      <c r="Y7919" s="6">
        <f>1/COUNTIF(Таблица1[Order ID],Таблица1[[#This Row],[Order ID]])</f>
        <v>0.5</v>
      </c>
      <c r="Z7919" s="9">
        <f>1/COUNTIFS(Таблица1[Customer Name],Таблица1[[#This Row],[Customer Name]],Таблица1[Order-Year-Month],Таблица1[[#This Row],[Order-Year-Month]])</f>
        <v>0.5</v>
      </c>
    </row>
    <row r="7920" spans="1:26" x14ac:dyDescent="0.2">
      <c r="A7920" s="6">
        <v>4386</v>
      </c>
      <c r="B7920" s="7">
        <v>31237</v>
      </c>
      <c r="C7920" s="8">
        <f>DATE(2012,12,31)-521</f>
        <v>40753</v>
      </c>
      <c r="D7920" s="8" t="str">
        <f t="shared" si="151"/>
        <v>2011-07 (июль 2011)</v>
      </c>
      <c r="E7920" s="9" t="s">
        <v>45</v>
      </c>
      <c r="F7920" s="7">
        <v>13</v>
      </c>
      <c r="G7920" s="7">
        <v>589.78</v>
      </c>
      <c r="H7920" s="7">
        <v>0</v>
      </c>
      <c r="I7920" s="9" t="s">
        <v>22</v>
      </c>
      <c r="J7920" s="10">
        <v>225.2585</v>
      </c>
      <c r="K7920" s="11">
        <v>42.8</v>
      </c>
      <c r="L7920" s="11">
        <v>2.99</v>
      </c>
      <c r="M7920" s="9" t="s">
        <v>2107</v>
      </c>
      <c r="N7920" s="6" t="s">
        <v>2073</v>
      </c>
      <c r="O7920" s="6" t="s">
        <v>704</v>
      </c>
      <c r="P7920" s="9" t="s">
        <v>25</v>
      </c>
      <c r="Q7920" s="9" t="s">
        <v>26</v>
      </c>
      <c r="R7920" s="9" t="s">
        <v>37</v>
      </c>
      <c r="S7920" s="7" t="s">
        <v>1154</v>
      </c>
      <c r="T7920" s="9" t="s">
        <v>39</v>
      </c>
      <c r="U7920" s="7">
        <v>0.36</v>
      </c>
      <c r="V7920" s="12">
        <f>C7920+0</f>
        <v>40753</v>
      </c>
      <c r="W7920">
        <f>IF(D7920=' Pivot Tables'!$A$4,1,0)</f>
        <v>0</v>
      </c>
      <c r="X7920">
        <f>IF(AND(LEFT(D7920,4)+1=LEFT(' Pivot Tables'!$A$4,4)+0,RIGHT(LEFT(D7920,7),2)=RIGHT(LEFT(' Pivot Tables'!$A$4,7),2)),1,0)</f>
        <v>0</v>
      </c>
      <c r="Y7920" s="6">
        <f>1/COUNTIF(Таблица1[Order ID],Таблица1[[#This Row],[Order ID]])</f>
        <v>1</v>
      </c>
      <c r="Z7920" s="9">
        <f>1/COUNTIFS(Таблица1[Customer Name],Таблица1[[#This Row],[Customer Name]],Таблица1[Order-Year-Month],Таблица1[[#This Row],[Order-Year-Month]])</f>
        <v>1</v>
      </c>
    </row>
    <row r="7921" spans="1:26" x14ac:dyDescent="0.2">
      <c r="A7921" s="6">
        <v>4523</v>
      </c>
      <c r="B7921" s="7">
        <v>32192</v>
      </c>
      <c r="C7921" s="8">
        <f>DATE(2012,12,31)-317</f>
        <v>40957</v>
      </c>
      <c r="D7921" s="8" t="str">
        <f t="shared" si="151"/>
        <v>2012-02 (февраль 2012)</v>
      </c>
      <c r="E7921" s="9" t="s">
        <v>45</v>
      </c>
      <c r="F7921" s="7">
        <v>4</v>
      </c>
      <c r="G7921" s="7">
        <v>159.256</v>
      </c>
      <c r="H7921" s="7">
        <v>0.03</v>
      </c>
      <c r="I7921" s="9" t="s">
        <v>22</v>
      </c>
      <c r="J7921" s="10">
        <v>-171.17100000000002</v>
      </c>
      <c r="K7921" s="11">
        <v>45.99</v>
      </c>
      <c r="L7921" s="11">
        <v>2.5</v>
      </c>
      <c r="M7921" s="9" t="s">
        <v>2098</v>
      </c>
      <c r="N7921" s="6" t="s">
        <v>2073</v>
      </c>
      <c r="O7921" s="6" t="s">
        <v>704</v>
      </c>
      <c r="P7921" s="9" t="s">
        <v>25</v>
      </c>
      <c r="Q7921" s="9" t="s">
        <v>42</v>
      </c>
      <c r="R7921" s="9" t="s">
        <v>43</v>
      </c>
      <c r="S7921" s="7" t="s">
        <v>752</v>
      </c>
      <c r="T7921" s="9" t="s">
        <v>39</v>
      </c>
      <c r="U7921" s="7">
        <v>0.56000000000000005</v>
      </c>
      <c r="V7921" s="12">
        <f>C7921+0</f>
        <v>40957</v>
      </c>
      <c r="W7921">
        <f>IF(D7921=' Pivot Tables'!$A$4,1,0)</f>
        <v>0</v>
      </c>
      <c r="X7921">
        <f>IF(AND(LEFT(D7921,4)+1=LEFT(' Pivot Tables'!$A$4,4)+0,RIGHT(LEFT(D7921,7),2)=RIGHT(LEFT(' Pivot Tables'!$A$4,7),2)),1,0)</f>
        <v>0</v>
      </c>
      <c r="Y7921" s="6">
        <f>1/COUNTIF(Таблица1[Order ID],Таблица1[[#This Row],[Order ID]])</f>
        <v>1</v>
      </c>
      <c r="Z7921" s="9">
        <f>1/COUNTIFS(Таблица1[Customer Name],Таблица1[[#This Row],[Customer Name]],Таблица1[Order-Year-Month],Таблица1[[#This Row],[Order-Year-Month]])</f>
        <v>0.33333333333333331</v>
      </c>
    </row>
    <row r="7922" spans="1:26" x14ac:dyDescent="0.2">
      <c r="A7922" s="6">
        <v>4710</v>
      </c>
      <c r="B7922" s="7">
        <v>33568</v>
      </c>
      <c r="C7922" s="8">
        <f>DATE(2012,12,31)-163</f>
        <v>41111</v>
      </c>
      <c r="D7922" s="8" t="str">
        <f t="shared" si="151"/>
        <v>2012-07 (июль 2012)</v>
      </c>
      <c r="E7922" s="9" t="s">
        <v>63</v>
      </c>
      <c r="F7922" s="7">
        <v>10</v>
      </c>
      <c r="G7922" s="7">
        <v>628.73</v>
      </c>
      <c r="H7922" s="7">
        <v>0.02</v>
      </c>
      <c r="I7922" s="9" t="s">
        <v>22</v>
      </c>
      <c r="J7922" s="10">
        <v>-181.87</v>
      </c>
      <c r="K7922" s="11">
        <v>55.5</v>
      </c>
      <c r="L7922" s="11">
        <v>52.2</v>
      </c>
      <c r="M7922" s="9" t="s">
        <v>2107</v>
      </c>
      <c r="N7922" s="6" t="s">
        <v>2073</v>
      </c>
      <c r="O7922" s="6" t="s">
        <v>704</v>
      </c>
      <c r="P7922" s="9" t="s">
        <v>25</v>
      </c>
      <c r="Q7922" s="9" t="s">
        <v>49</v>
      </c>
      <c r="R7922" s="9" t="s">
        <v>50</v>
      </c>
      <c r="S7922" s="7" t="s">
        <v>423</v>
      </c>
      <c r="T7922" s="9" t="s">
        <v>48</v>
      </c>
      <c r="U7922" s="7">
        <v>0.72</v>
      </c>
      <c r="V7922" s="12">
        <f>C7922+1</f>
        <v>41112</v>
      </c>
      <c r="W7922">
        <f>IF(D7922=' Pivot Tables'!$A$4,1,0)</f>
        <v>0</v>
      </c>
      <c r="X7922">
        <f>IF(AND(LEFT(D7922,4)+1=LEFT(' Pivot Tables'!$A$4,4)+0,RIGHT(LEFT(D7922,7),2)=RIGHT(LEFT(' Pivot Tables'!$A$4,7),2)),1,0)</f>
        <v>0</v>
      </c>
      <c r="Y7922" s="6">
        <f>1/COUNTIF(Таблица1[Order ID],Таблица1[[#This Row],[Order ID]])</f>
        <v>0.5</v>
      </c>
      <c r="Z7922" s="9">
        <f>1/COUNTIFS(Таблица1[Customer Name],Таблица1[[#This Row],[Customer Name]],Таблица1[Order-Year-Month],Таблица1[[#This Row],[Order-Year-Month]])</f>
        <v>0.5</v>
      </c>
    </row>
    <row r="7923" spans="1:26" x14ac:dyDescent="0.2">
      <c r="A7923" s="6">
        <v>4711</v>
      </c>
      <c r="B7923" s="7">
        <v>33568</v>
      </c>
      <c r="C7923" s="8">
        <f>DATE(2012,12,31)-163</f>
        <v>41111</v>
      </c>
      <c r="D7923" s="8" t="str">
        <f t="shared" si="151"/>
        <v>2012-07 (июль 2012)</v>
      </c>
      <c r="E7923" s="9" t="s">
        <v>63</v>
      </c>
      <c r="F7923" s="7">
        <v>23</v>
      </c>
      <c r="G7923" s="7">
        <v>385.81</v>
      </c>
      <c r="H7923" s="7">
        <v>0.01</v>
      </c>
      <c r="I7923" s="9" t="s">
        <v>56</v>
      </c>
      <c r="J7923" s="10">
        <v>7.35</v>
      </c>
      <c r="K7923" s="11">
        <v>15.51</v>
      </c>
      <c r="L7923" s="11">
        <v>5.8</v>
      </c>
      <c r="M7923" s="9" t="s">
        <v>2107</v>
      </c>
      <c r="N7923" s="6" t="s">
        <v>2073</v>
      </c>
      <c r="O7923" s="6" t="s">
        <v>704</v>
      </c>
      <c r="P7923" s="9" t="s">
        <v>25</v>
      </c>
      <c r="Q7923" s="9" t="s">
        <v>26</v>
      </c>
      <c r="R7923" s="9" t="s">
        <v>27</v>
      </c>
      <c r="S7923" s="7" t="s">
        <v>1803</v>
      </c>
      <c r="T7923" s="9" t="s">
        <v>39</v>
      </c>
      <c r="U7923" s="7">
        <v>0.6</v>
      </c>
      <c r="V7923" s="12">
        <f>C7923+1</f>
        <v>41112</v>
      </c>
      <c r="W7923">
        <f>IF(D7923=' Pivot Tables'!$A$4,1,0)</f>
        <v>0</v>
      </c>
      <c r="X7923">
        <f>IF(AND(LEFT(D7923,4)+1=LEFT(' Pivot Tables'!$A$4,4)+0,RIGHT(LEFT(D7923,7),2)=RIGHT(LEFT(' Pivot Tables'!$A$4,7),2)),1,0)</f>
        <v>0</v>
      </c>
      <c r="Y7923" s="6">
        <f>1/COUNTIF(Таблица1[Order ID],Таблица1[[#This Row],[Order ID]])</f>
        <v>0.5</v>
      </c>
      <c r="Z7923" s="9">
        <f>1/COUNTIFS(Таблица1[Customer Name],Таблица1[[#This Row],[Customer Name]],Таблица1[Order-Year-Month],Таблица1[[#This Row],[Order-Year-Month]])</f>
        <v>0.5</v>
      </c>
    </row>
    <row r="7924" spans="1:26" x14ac:dyDescent="0.2">
      <c r="A7924" s="6">
        <v>4723</v>
      </c>
      <c r="B7924" s="7">
        <v>33634</v>
      </c>
      <c r="C7924" s="8">
        <f>DATE(2012,12,31)-853</f>
        <v>40421</v>
      </c>
      <c r="D7924" s="8" t="str">
        <f t="shared" si="151"/>
        <v>2010-08 (август 2010)</v>
      </c>
      <c r="E7924" s="9" t="s">
        <v>45</v>
      </c>
      <c r="F7924" s="7">
        <v>40</v>
      </c>
      <c r="G7924" s="7">
        <v>271.33999999999997</v>
      </c>
      <c r="H7924" s="7">
        <v>0.05</v>
      </c>
      <c r="I7924" s="9" t="s">
        <v>22</v>
      </c>
      <c r="J7924" s="10">
        <v>-151.91999999999999</v>
      </c>
      <c r="K7924" s="11">
        <v>6.48</v>
      </c>
      <c r="L7924" s="11">
        <v>7.86</v>
      </c>
      <c r="M7924" s="9" t="s">
        <v>2098</v>
      </c>
      <c r="N7924" s="6" t="s">
        <v>2073</v>
      </c>
      <c r="O7924" s="6" t="s">
        <v>704</v>
      </c>
      <c r="P7924" s="9" t="s">
        <v>25</v>
      </c>
      <c r="Q7924" s="9" t="s">
        <v>26</v>
      </c>
      <c r="R7924" s="9" t="s">
        <v>61</v>
      </c>
      <c r="S7924" s="7" t="s">
        <v>153</v>
      </c>
      <c r="T7924" s="9" t="s">
        <v>39</v>
      </c>
      <c r="U7924" s="7">
        <v>0.37</v>
      </c>
      <c r="V7924" s="12">
        <f>C7924+2</f>
        <v>40423</v>
      </c>
      <c r="W7924">
        <f>IF(D7924=' Pivot Tables'!$A$4,1,0)</f>
        <v>0</v>
      </c>
      <c r="X7924">
        <f>IF(AND(LEFT(D7924,4)+1=LEFT(' Pivot Tables'!$A$4,4)+0,RIGHT(LEFT(D7924,7),2)=RIGHT(LEFT(' Pivot Tables'!$A$4,7),2)),1,0)</f>
        <v>0</v>
      </c>
      <c r="Y7924" s="6">
        <f>1/COUNTIF(Таблица1[Order ID],Таблица1[[#This Row],[Order ID]])</f>
        <v>1</v>
      </c>
      <c r="Z7924" s="9">
        <f>1/COUNTIFS(Таблица1[Customer Name],Таблица1[[#This Row],[Customer Name]],Таблица1[Order-Year-Month],Таблица1[[#This Row],[Order-Year-Month]])</f>
        <v>1</v>
      </c>
    </row>
    <row r="7925" spans="1:26" x14ac:dyDescent="0.2">
      <c r="A7925" s="6">
        <v>4780</v>
      </c>
      <c r="B7925" s="7">
        <v>33925</v>
      </c>
      <c r="C7925" s="8">
        <f>DATE(2012,12,31)-608</f>
        <v>40666</v>
      </c>
      <c r="D7925" s="8" t="str">
        <f t="shared" si="151"/>
        <v>2011-05 (май 2011)</v>
      </c>
      <c r="E7925" s="9" t="s">
        <v>21</v>
      </c>
      <c r="F7925" s="7">
        <v>47</v>
      </c>
      <c r="G7925" s="7">
        <v>1488.86</v>
      </c>
      <c r="H7925" s="7">
        <v>0.03</v>
      </c>
      <c r="I7925" s="9" t="s">
        <v>22</v>
      </c>
      <c r="J7925" s="10">
        <v>-95.05</v>
      </c>
      <c r="K7925" s="11">
        <v>30.98</v>
      </c>
      <c r="L7925" s="11">
        <v>19.989999999999998</v>
      </c>
      <c r="M7925" s="9" t="s">
        <v>2106</v>
      </c>
      <c r="N7925" s="6" t="s">
        <v>2073</v>
      </c>
      <c r="O7925" s="6" t="s">
        <v>704</v>
      </c>
      <c r="P7925" s="9" t="s">
        <v>60</v>
      </c>
      <c r="Q7925" s="9" t="s">
        <v>26</v>
      </c>
      <c r="R7925" s="9" t="s">
        <v>61</v>
      </c>
      <c r="S7925" s="7" t="s">
        <v>1918</v>
      </c>
      <c r="T7925" s="9" t="s">
        <v>39</v>
      </c>
      <c r="U7925" s="7">
        <v>0.4</v>
      </c>
      <c r="V7925" s="12">
        <f>C7925+4</f>
        <v>40670</v>
      </c>
      <c r="W7925">
        <f>IF(D7925=' Pivot Tables'!$A$4,1,0)</f>
        <v>0</v>
      </c>
      <c r="X7925">
        <f>IF(AND(LEFT(D7925,4)+1=LEFT(' Pivot Tables'!$A$4,4)+0,RIGHT(LEFT(D7925,7),2)=RIGHT(LEFT(' Pivot Tables'!$A$4,7),2)),1,0)</f>
        <v>0</v>
      </c>
      <c r="Y7925" s="6">
        <f>1/COUNTIF(Таблица1[Order ID],Таблица1[[#This Row],[Order ID]])</f>
        <v>1</v>
      </c>
      <c r="Z7925" s="9">
        <f>1/COUNTIFS(Таблица1[Customer Name],Таблица1[[#This Row],[Customer Name]],Таблица1[Order-Year-Month],Таблица1[[#This Row],[Order-Year-Month]])</f>
        <v>1</v>
      </c>
    </row>
    <row r="7926" spans="1:26" x14ac:dyDescent="0.2">
      <c r="A7926" s="6">
        <v>4830</v>
      </c>
      <c r="B7926" s="7">
        <v>34338</v>
      </c>
      <c r="C7926" s="8">
        <f>DATE(2012,12,31)-915</f>
        <v>40359</v>
      </c>
      <c r="D7926" s="8" t="str">
        <f t="shared" si="151"/>
        <v>2010-06 (июнь 2010)</v>
      </c>
      <c r="E7926" s="9" t="s">
        <v>21</v>
      </c>
      <c r="F7926" s="7">
        <v>26</v>
      </c>
      <c r="G7926" s="7">
        <v>1050.1600000000001</v>
      </c>
      <c r="H7926" s="7">
        <v>0.04</v>
      </c>
      <c r="I7926" s="9" t="s">
        <v>56</v>
      </c>
      <c r="J7926" s="10">
        <v>265.08999999999997</v>
      </c>
      <c r="K7926" s="11">
        <v>38.76</v>
      </c>
      <c r="L7926" s="11">
        <v>13.26</v>
      </c>
      <c r="M7926" s="9" t="s">
        <v>2094</v>
      </c>
      <c r="N7926" s="6" t="s">
        <v>2073</v>
      </c>
      <c r="O7926" s="6" t="s">
        <v>704</v>
      </c>
      <c r="P7926" s="9" t="s">
        <v>41</v>
      </c>
      <c r="Q7926" s="9" t="s">
        <v>26</v>
      </c>
      <c r="R7926" s="9" t="s">
        <v>61</v>
      </c>
      <c r="S7926" s="7" t="s">
        <v>320</v>
      </c>
      <c r="T7926" s="9" t="s">
        <v>39</v>
      </c>
      <c r="U7926" s="7">
        <v>0.36</v>
      </c>
      <c r="V7926" s="12">
        <f>C7926+5</f>
        <v>40364</v>
      </c>
      <c r="W7926">
        <f>IF(D7926=' Pivot Tables'!$A$4,1,0)</f>
        <v>0</v>
      </c>
      <c r="X7926">
        <f>IF(AND(LEFT(D7926,4)+1=LEFT(' Pivot Tables'!$A$4,4)+0,RIGHT(LEFT(D7926,7),2)=RIGHT(LEFT(' Pivot Tables'!$A$4,7),2)),1,0)</f>
        <v>0</v>
      </c>
      <c r="Y7926" s="6">
        <f>1/COUNTIF(Таблица1[Order ID],Таблица1[[#This Row],[Order ID]])</f>
        <v>1</v>
      </c>
      <c r="Z7926" s="9">
        <f>1/COUNTIFS(Таблица1[Customer Name],Таблица1[[#This Row],[Customer Name]],Таблица1[Order-Year-Month],Таблица1[[#This Row],[Order-Year-Month]])</f>
        <v>1</v>
      </c>
    </row>
    <row r="7927" spans="1:26" x14ac:dyDescent="0.2">
      <c r="A7927" s="6">
        <v>4832</v>
      </c>
      <c r="B7927" s="7">
        <v>34374</v>
      </c>
      <c r="C7927" s="8">
        <f>DATE(2012,12,31)-1280</f>
        <v>39994</v>
      </c>
      <c r="D7927" s="8" t="str">
        <f t="shared" si="151"/>
        <v>2009-06 (июнь 2009)</v>
      </c>
      <c r="E7927" s="9" t="s">
        <v>21</v>
      </c>
      <c r="F7927" s="7">
        <v>42</v>
      </c>
      <c r="G7927" s="7">
        <v>344.57</v>
      </c>
      <c r="H7927" s="7">
        <v>0.04</v>
      </c>
      <c r="I7927" s="9" t="s">
        <v>22</v>
      </c>
      <c r="J7927" s="10">
        <v>37.409999999999997</v>
      </c>
      <c r="K7927" s="11">
        <v>8.33</v>
      </c>
      <c r="L7927" s="11">
        <v>1.99</v>
      </c>
      <c r="M7927" s="9" t="s">
        <v>2107</v>
      </c>
      <c r="N7927" s="6" t="s">
        <v>2073</v>
      </c>
      <c r="O7927" s="6" t="s">
        <v>704</v>
      </c>
      <c r="P7927" s="9" t="s">
        <v>25</v>
      </c>
      <c r="Q7927" s="9" t="s">
        <v>42</v>
      </c>
      <c r="R7927" s="9" t="s">
        <v>70</v>
      </c>
      <c r="S7927" s="7" t="s">
        <v>324</v>
      </c>
      <c r="T7927" s="9" t="s">
        <v>52</v>
      </c>
      <c r="U7927" s="7">
        <v>0.52</v>
      </c>
      <c r="V7927" s="12">
        <f>C7927+7</f>
        <v>40001</v>
      </c>
      <c r="W7927">
        <f>IF(D7927=' Pivot Tables'!$A$4,1,0)</f>
        <v>0</v>
      </c>
      <c r="X7927">
        <f>IF(AND(LEFT(D7927,4)+1=LEFT(' Pivot Tables'!$A$4,4)+0,RIGHT(LEFT(D7927,7),2)=RIGHT(LEFT(' Pivot Tables'!$A$4,7),2)),1,0)</f>
        <v>0</v>
      </c>
      <c r="Y7927" s="6">
        <f>1/COUNTIF(Таблица1[Order ID],Таблица1[[#This Row],[Order ID]])</f>
        <v>1</v>
      </c>
      <c r="Z7927" s="9">
        <f>1/COUNTIFS(Таблица1[Customer Name],Таблица1[[#This Row],[Customer Name]],Таблица1[Order-Year-Month],Таблица1[[#This Row],[Order-Year-Month]])</f>
        <v>1</v>
      </c>
    </row>
    <row r="7928" spans="1:26" x14ac:dyDescent="0.2">
      <c r="A7928" s="6">
        <v>4857</v>
      </c>
      <c r="B7928" s="7">
        <v>34565</v>
      </c>
      <c r="C7928" s="8">
        <f>DATE(2012,12,31)-1267</f>
        <v>40007</v>
      </c>
      <c r="D7928" s="8" t="str">
        <f t="shared" si="151"/>
        <v>2009-07 (июль 2009)</v>
      </c>
      <c r="E7928" s="9" t="s">
        <v>63</v>
      </c>
      <c r="F7928" s="7">
        <v>47</v>
      </c>
      <c r="G7928" s="7">
        <v>4815.8620000000001</v>
      </c>
      <c r="H7928" s="7">
        <v>0.08</v>
      </c>
      <c r="I7928" s="9" t="s">
        <v>22</v>
      </c>
      <c r="J7928" s="10">
        <v>1316.79</v>
      </c>
      <c r="K7928" s="11">
        <v>125.99</v>
      </c>
      <c r="L7928" s="11">
        <v>4.2</v>
      </c>
      <c r="M7928" s="9" t="s">
        <v>1842</v>
      </c>
      <c r="N7928" s="6" t="s">
        <v>2073</v>
      </c>
      <c r="O7928" s="6" t="s">
        <v>704</v>
      </c>
      <c r="P7928" s="9" t="s">
        <v>33</v>
      </c>
      <c r="Q7928" s="9" t="s">
        <v>42</v>
      </c>
      <c r="R7928" s="9" t="s">
        <v>43</v>
      </c>
      <c r="S7928" s="7" t="s">
        <v>1461</v>
      </c>
      <c r="T7928" s="9" t="s">
        <v>39</v>
      </c>
      <c r="U7928" s="7">
        <v>0.56999999999999995</v>
      </c>
      <c r="V7928" s="12">
        <f>C7928+1</f>
        <v>40008</v>
      </c>
      <c r="W7928">
        <f>IF(D7928=' Pivot Tables'!$A$4,1,0)</f>
        <v>0</v>
      </c>
      <c r="X7928">
        <f>IF(AND(LEFT(D7928,4)+1=LEFT(' Pivot Tables'!$A$4,4)+0,RIGHT(LEFT(D7928,7),2)=RIGHT(LEFT(' Pivot Tables'!$A$4,7),2)),1,0)</f>
        <v>0</v>
      </c>
      <c r="Y7928" s="6">
        <f>1/COUNTIF(Таблица1[Order ID],Таблица1[[#This Row],[Order ID]])</f>
        <v>1</v>
      </c>
      <c r="Z7928" s="9">
        <f>1/COUNTIFS(Таблица1[Customer Name],Таблица1[[#This Row],[Customer Name]],Таблица1[Order-Year-Month],Таблица1[[#This Row],[Order-Year-Month]])</f>
        <v>1</v>
      </c>
    </row>
    <row r="7929" spans="1:26" x14ac:dyDescent="0.2">
      <c r="A7929" s="6">
        <v>4909</v>
      </c>
      <c r="B7929" s="7">
        <v>34948</v>
      </c>
      <c r="C7929" s="8">
        <f>DATE(2012,12,31)-1084</f>
        <v>40190</v>
      </c>
      <c r="D7929" s="8" t="str">
        <f t="shared" si="151"/>
        <v>2010-01 (январь 2010)</v>
      </c>
      <c r="E7929" s="9" t="s">
        <v>78</v>
      </c>
      <c r="F7929" s="7">
        <v>15</v>
      </c>
      <c r="G7929" s="7">
        <v>1057.06</v>
      </c>
      <c r="H7929" s="7">
        <v>0.08</v>
      </c>
      <c r="I7929" s="9" t="s">
        <v>31</v>
      </c>
      <c r="J7929" s="10">
        <v>-403.74</v>
      </c>
      <c r="K7929" s="11">
        <v>68.81</v>
      </c>
      <c r="L7929" s="11">
        <v>60</v>
      </c>
      <c r="M7929" s="9" t="s">
        <v>2106</v>
      </c>
      <c r="N7929" s="6" t="s">
        <v>2073</v>
      </c>
      <c r="O7929" s="6" t="s">
        <v>704</v>
      </c>
      <c r="P7929" s="9" t="s">
        <v>60</v>
      </c>
      <c r="Q7929" s="9" t="s">
        <v>26</v>
      </c>
      <c r="R7929" s="9" t="s">
        <v>34</v>
      </c>
      <c r="S7929" s="7" t="s">
        <v>605</v>
      </c>
      <c r="T7929" s="9" t="s">
        <v>36</v>
      </c>
      <c r="U7929" s="7">
        <v>0.41</v>
      </c>
      <c r="V7929" s="12">
        <f>C7929+0</f>
        <v>40190</v>
      </c>
      <c r="W7929">
        <f>IF(D7929=' Pivot Tables'!$A$4,1,0)</f>
        <v>1</v>
      </c>
      <c r="X7929">
        <f>IF(AND(LEFT(D7929,4)+1=LEFT(' Pivot Tables'!$A$4,4)+0,RIGHT(LEFT(D7929,7),2)=RIGHT(LEFT(' Pivot Tables'!$A$4,7),2)),1,0)</f>
        <v>0</v>
      </c>
      <c r="Y7929" s="6">
        <f>1/COUNTIF(Таблица1[Order ID],Таблица1[[#This Row],[Order ID]])</f>
        <v>1</v>
      </c>
      <c r="Z7929" s="9">
        <f>1/COUNTIFS(Таблица1[Customer Name],Таблица1[[#This Row],[Customer Name]],Таблица1[Order-Year-Month],Таблица1[[#This Row],[Order-Year-Month]])</f>
        <v>1</v>
      </c>
    </row>
    <row r="7930" spans="1:26" x14ac:dyDescent="0.2">
      <c r="A7930" s="6">
        <v>5003</v>
      </c>
      <c r="B7930" s="7">
        <v>35652</v>
      </c>
      <c r="C7930" s="8">
        <f>DATE(2012,12,31)-832</f>
        <v>40442</v>
      </c>
      <c r="D7930" s="8" t="str">
        <f t="shared" si="151"/>
        <v>2010-09 (сентябрь 2010)</v>
      </c>
      <c r="E7930" s="9" t="s">
        <v>21</v>
      </c>
      <c r="F7930" s="7">
        <v>21</v>
      </c>
      <c r="G7930" s="7">
        <v>2251.56</v>
      </c>
      <c r="H7930" s="7">
        <v>0.01</v>
      </c>
      <c r="I7930" s="9" t="s">
        <v>31</v>
      </c>
      <c r="J7930" s="10">
        <v>226.63</v>
      </c>
      <c r="K7930" s="11">
        <v>100.98</v>
      </c>
      <c r="L7930" s="11">
        <v>26.22</v>
      </c>
      <c r="M7930" s="9" t="s">
        <v>1196</v>
      </c>
      <c r="N7930" s="6" t="s">
        <v>2073</v>
      </c>
      <c r="O7930" s="6" t="s">
        <v>704</v>
      </c>
      <c r="P7930" s="9" t="s">
        <v>41</v>
      </c>
      <c r="Q7930" s="9" t="s">
        <v>49</v>
      </c>
      <c r="R7930" s="9" t="s">
        <v>80</v>
      </c>
      <c r="S7930" s="7" t="s">
        <v>81</v>
      </c>
      <c r="T7930" s="9" t="s">
        <v>82</v>
      </c>
      <c r="U7930" s="7">
        <v>0.6</v>
      </c>
      <c r="V7930" s="12">
        <f>C7930+2</f>
        <v>40444</v>
      </c>
      <c r="W7930">
        <f>IF(D7930=' Pivot Tables'!$A$4,1,0)</f>
        <v>0</v>
      </c>
      <c r="X7930">
        <f>IF(AND(LEFT(D7930,4)+1=LEFT(' Pivot Tables'!$A$4,4)+0,RIGHT(LEFT(D7930,7),2)=RIGHT(LEFT(' Pivot Tables'!$A$4,7),2)),1,0)</f>
        <v>0</v>
      </c>
      <c r="Y7930" s="6">
        <f>1/COUNTIF(Таблица1[Order ID],Таблица1[[#This Row],[Order ID]])</f>
        <v>1</v>
      </c>
      <c r="Z7930" s="9">
        <f>1/COUNTIFS(Таблица1[Customer Name],Таблица1[[#This Row],[Customer Name]],Таблица1[Order-Year-Month],Таблица1[[#This Row],[Order-Year-Month]])</f>
        <v>1</v>
      </c>
    </row>
    <row r="7931" spans="1:26" x14ac:dyDescent="0.2">
      <c r="A7931" s="6">
        <v>5055</v>
      </c>
      <c r="B7931" s="7">
        <v>36038</v>
      </c>
      <c r="C7931" s="8">
        <f>DATE(2012,12,31)-137</f>
        <v>41137</v>
      </c>
      <c r="D7931" s="8" t="str">
        <f t="shared" si="151"/>
        <v>2012-08 (август 2012)</v>
      </c>
      <c r="E7931" s="9" t="s">
        <v>30</v>
      </c>
      <c r="F7931" s="7">
        <v>26</v>
      </c>
      <c r="G7931" s="7">
        <v>95.26</v>
      </c>
      <c r="H7931" s="7">
        <v>0.02</v>
      </c>
      <c r="I7931" s="9" t="s">
        <v>22</v>
      </c>
      <c r="J7931" s="10">
        <v>-89.06</v>
      </c>
      <c r="K7931" s="11">
        <v>3.28</v>
      </c>
      <c r="L7931" s="11">
        <v>5</v>
      </c>
      <c r="M7931" s="9" t="s">
        <v>2100</v>
      </c>
      <c r="N7931" s="6" t="s">
        <v>2073</v>
      </c>
      <c r="O7931" s="6" t="s">
        <v>704</v>
      </c>
      <c r="P7931" s="9" t="s">
        <v>60</v>
      </c>
      <c r="Q7931" s="9" t="s">
        <v>26</v>
      </c>
      <c r="R7931" s="9" t="s">
        <v>95</v>
      </c>
      <c r="S7931" s="7" t="s">
        <v>878</v>
      </c>
      <c r="T7931" s="9" t="s">
        <v>68</v>
      </c>
      <c r="U7931" s="7">
        <v>0.56000000000000005</v>
      </c>
      <c r="V7931" s="12">
        <f>C7931+2</f>
        <v>41139</v>
      </c>
      <c r="W7931">
        <f>IF(D7931=' Pivot Tables'!$A$4,1,0)</f>
        <v>0</v>
      </c>
      <c r="X7931">
        <f>IF(AND(LEFT(D7931,4)+1=LEFT(' Pivot Tables'!$A$4,4)+0,RIGHT(LEFT(D7931,7),2)=RIGHT(LEFT(' Pivot Tables'!$A$4,7),2)),1,0)</f>
        <v>0</v>
      </c>
      <c r="Y7931" s="6">
        <f>1/COUNTIF(Таблица1[Order ID],Таблица1[[#This Row],[Order ID]])</f>
        <v>1</v>
      </c>
      <c r="Z7931" s="9">
        <f>1/COUNTIFS(Таблица1[Customer Name],Таблица1[[#This Row],[Customer Name]],Таблица1[Order-Year-Month],Таблица1[[#This Row],[Order-Year-Month]])</f>
        <v>1</v>
      </c>
    </row>
    <row r="7932" spans="1:26" x14ac:dyDescent="0.2">
      <c r="A7932" s="6">
        <v>5200</v>
      </c>
      <c r="B7932" s="7">
        <v>36934</v>
      </c>
      <c r="C7932" s="8">
        <f>DATE(2012,12,31)-1105</f>
        <v>40169</v>
      </c>
      <c r="D7932" s="8" t="str">
        <f t="shared" si="151"/>
        <v>2009-12 (декабрь 2009)</v>
      </c>
      <c r="E7932" s="9" t="s">
        <v>63</v>
      </c>
      <c r="F7932" s="7">
        <v>7</v>
      </c>
      <c r="G7932" s="7">
        <v>1120.8599999999999</v>
      </c>
      <c r="H7932" s="7">
        <v>0.02</v>
      </c>
      <c r="I7932" s="9" t="s">
        <v>56</v>
      </c>
      <c r="J7932" s="10">
        <v>17.399999999999999</v>
      </c>
      <c r="K7932" s="11">
        <v>150.97999999999999</v>
      </c>
      <c r="L7932" s="11">
        <v>13.99</v>
      </c>
      <c r="M7932" s="9" t="s">
        <v>2098</v>
      </c>
      <c r="N7932" s="6" t="s">
        <v>2073</v>
      </c>
      <c r="O7932" s="6" t="s">
        <v>704</v>
      </c>
      <c r="P7932" s="9" t="s">
        <v>25</v>
      </c>
      <c r="Q7932" s="9" t="s">
        <v>42</v>
      </c>
      <c r="R7932" s="9" t="s">
        <v>210</v>
      </c>
      <c r="S7932" s="7" t="s">
        <v>341</v>
      </c>
      <c r="T7932" s="9" t="s">
        <v>48</v>
      </c>
      <c r="U7932" s="7">
        <v>0.38</v>
      </c>
      <c r="V7932" s="12">
        <f>C7932+2</f>
        <v>40171</v>
      </c>
      <c r="W7932">
        <f>IF(D7932=' Pivot Tables'!$A$4,1,0)</f>
        <v>0</v>
      </c>
      <c r="X7932">
        <f>IF(AND(LEFT(D7932,4)+1=LEFT(' Pivot Tables'!$A$4,4)+0,RIGHT(LEFT(D7932,7),2)=RIGHT(LEFT(' Pivot Tables'!$A$4,7),2)),1,0)</f>
        <v>0</v>
      </c>
      <c r="Y7932" s="6">
        <f>1/COUNTIF(Таблица1[Order ID],Таблица1[[#This Row],[Order ID]])</f>
        <v>0.33333333333333331</v>
      </c>
      <c r="Z7932" s="9">
        <f>1/COUNTIFS(Таблица1[Customer Name],Таблица1[[#This Row],[Customer Name]],Таблица1[Order-Year-Month],Таблица1[[#This Row],[Order-Year-Month]])</f>
        <v>0.33333333333333331</v>
      </c>
    </row>
    <row r="7933" spans="1:26" x14ac:dyDescent="0.2">
      <c r="A7933" s="6">
        <v>5201</v>
      </c>
      <c r="B7933" s="7">
        <v>36934</v>
      </c>
      <c r="C7933" s="8">
        <f>DATE(2012,12,31)-1105</f>
        <v>40169</v>
      </c>
      <c r="D7933" s="8" t="str">
        <f t="shared" si="151"/>
        <v>2009-12 (декабрь 2009)</v>
      </c>
      <c r="E7933" s="9" t="s">
        <v>63</v>
      </c>
      <c r="F7933" s="7">
        <v>2</v>
      </c>
      <c r="G7933" s="7">
        <v>11.51</v>
      </c>
      <c r="H7933" s="7">
        <v>0.1</v>
      </c>
      <c r="I7933" s="9" t="s">
        <v>22</v>
      </c>
      <c r="J7933" s="10">
        <v>-5.16</v>
      </c>
      <c r="K7933" s="11">
        <v>5.43</v>
      </c>
      <c r="L7933" s="11">
        <v>0.95</v>
      </c>
      <c r="M7933" s="9" t="s">
        <v>2098</v>
      </c>
      <c r="N7933" s="6" t="s">
        <v>2073</v>
      </c>
      <c r="O7933" s="6" t="s">
        <v>704</v>
      </c>
      <c r="P7933" s="9" t="s">
        <v>25</v>
      </c>
      <c r="Q7933" s="9" t="s">
        <v>26</v>
      </c>
      <c r="R7933" s="9" t="s">
        <v>61</v>
      </c>
      <c r="S7933" s="7" t="s">
        <v>588</v>
      </c>
      <c r="T7933" s="9" t="s">
        <v>68</v>
      </c>
      <c r="U7933" s="7">
        <v>0.36</v>
      </c>
      <c r="V7933" s="12">
        <f>C7933+2</f>
        <v>40171</v>
      </c>
      <c r="W7933">
        <f>IF(D7933=' Pivot Tables'!$A$4,1,0)</f>
        <v>0</v>
      </c>
      <c r="X7933">
        <f>IF(AND(LEFT(D7933,4)+1=LEFT(' Pivot Tables'!$A$4,4)+0,RIGHT(LEFT(D7933,7),2)=RIGHT(LEFT(' Pivot Tables'!$A$4,7),2)),1,0)</f>
        <v>0</v>
      </c>
      <c r="Y7933" s="6">
        <f>1/COUNTIF(Таблица1[Order ID],Таблица1[[#This Row],[Order ID]])</f>
        <v>0.33333333333333331</v>
      </c>
      <c r="Z7933" s="9">
        <f>1/COUNTIFS(Таблица1[Customer Name],Таблица1[[#This Row],[Customer Name]],Таблица1[Order-Year-Month],Таблица1[[#This Row],[Order-Year-Month]])</f>
        <v>0.33333333333333331</v>
      </c>
    </row>
    <row r="7934" spans="1:26" x14ac:dyDescent="0.2">
      <c r="A7934" s="6">
        <v>5202</v>
      </c>
      <c r="B7934" s="7">
        <v>36934</v>
      </c>
      <c r="C7934" s="8">
        <f>DATE(2012,12,31)-1105</f>
        <v>40169</v>
      </c>
      <c r="D7934" s="8" t="str">
        <f t="shared" si="151"/>
        <v>2009-12 (декабрь 2009)</v>
      </c>
      <c r="E7934" s="9" t="s">
        <v>63</v>
      </c>
      <c r="F7934" s="7">
        <v>45</v>
      </c>
      <c r="G7934" s="7">
        <v>6668.8559999999998</v>
      </c>
      <c r="H7934" s="7">
        <v>0.01</v>
      </c>
      <c r="I7934" s="9" t="s">
        <v>31</v>
      </c>
      <c r="J7934" s="10">
        <v>871.97</v>
      </c>
      <c r="K7934" s="11">
        <v>179.29</v>
      </c>
      <c r="L7934" s="11">
        <v>29.21</v>
      </c>
      <c r="M7934" s="9" t="s">
        <v>2098</v>
      </c>
      <c r="N7934" s="6" t="s">
        <v>2073</v>
      </c>
      <c r="O7934" s="6" t="s">
        <v>704</v>
      </c>
      <c r="P7934" s="9" t="s">
        <v>25</v>
      </c>
      <c r="Q7934" s="9" t="s">
        <v>49</v>
      </c>
      <c r="R7934" s="9" t="s">
        <v>83</v>
      </c>
      <c r="S7934" s="7" t="s">
        <v>207</v>
      </c>
      <c r="T7934" s="9" t="s">
        <v>82</v>
      </c>
      <c r="U7934" s="7">
        <v>0.74</v>
      </c>
      <c r="V7934" s="12">
        <f>C7934+1</f>
        <v>40170</v>
      </c>
      <c r="W7934">
        <f>IF(D7934=' Pivot Tables'!$A$4,1,0)</f>
        <v>0</v>
      </c>
      <c r="X7934">
        <f>IF(AND(LEFT(D7934,4)+1=LEFT(' Pivot Tables'!$A$4,4)+0,RIGHT(LEFT(D7934,7),2)=RIGHT(LEFT(' Pivot Tables'!$A$4,7),2)),1,0)</f>
        <v>0</v>
      </c>
      <c r="Y7934" s="6">
        <f>1/COUNTIF(Таблица1[Order ID],Таблица1[[#This Row],[Order ID]])</f>
        <v>0.33333333333333331</v>
      </c>
      <c r="Z7934" s="9">
        <f>1/COUNTIFS(Таблица1[Customer Name],Таблица1[[#This Row],[Customer Name]],Таблица1[Order-Year-Month],Таблица1[[#This Row],[Order-Year-Month]])</f>
        <v>0.33333333333333331</v>
      </c>
    </row>
    <row r="7935" spans="1:26" x14ac:dyDescent="0.2">
      <c r="A7935" s="6">
        <v>5259</v>
      </c>
      <c r="B7935" s="7">
        <v>37440</v>
      </c>
      <c r="C7935" s="8">
        <f>DATE(2012,12,31)-922</f>
        <v>40352</v>
      </c>
      <c r="D7935" s="8" t="str">
        <f t="shared" si="151"/>
        <v>2010-06 (июнь 2010)</v>
      </c>
      <c r="E7935" s="9" t="s">
        <v>45</v>
      </c>
      <c r="F7935" s="7">
        <v>39</v>
      </c>
      <c r="G7935" s="7">
        <v>8407.08</v>
      </c>
      <c r="H7935" s="7">
        <v>0.04</v>
      </c>
      <c r="I7935" s="9" t="s">
        <v>31</v>
      </c>
      <c r="J7935" s="10">
        <v>629.4</v>
      </c>
      <c r="K7935" s="11">
        <v>208.16</v>
      </c>
      <c r="L7935" s="11">
        <v>68.02</v>
      </c>
      <c r="M7935" s="9" t="s">
        <v>1196</v>
      </c>
      <c r="N7935" s="6" t="s">
        <v>2073</v>
      </c>
      <c r="O7935" s="6" t="s">
        <v>704</v>
      </c>
      <c r="P7935" s="9" t="s">
        <v>41</v>
      </c>
      <c r="Q7935" s="9" t="s">
        <v>26</v>
      </c>
      <c r="R7935" s="9" t="s">
        <v>34</v>
      </c>
      <c r="S7935" s="7" t="s">
        <v>35</v>
      </c>
      <c r="T7935" s="9" t="s">
        <v>36</v>
      </c>
      <c r="U7935" s="7">
        <v>0.57999999999999996</v>
      </c>
      <c r="V7935" s="12">
        <f>C7935+1</f>
        <v>40353</v>
      </c>
      <c r="W7935">
        <f>IF(D7935=' Pivot Tables'!$A$4,1,0)</f>
        <v>0</v>
      </c>
      <c r="X7935">
        <f>IF(AND(LEFT(D7935,4)+1=LEFT(' Pivot Tables'!$A$4,4)+0,RIGHT(LEFT(D7935,7),2)=RIGHT(LEFT(' Pivot Tables'!$A$4,7),2)),1,0)</f>
        <v>0</v>
      </c>
      <c r="Y7935" s="6">
        <f>1/COUNTIF(Таблица1[Order ID],Таблица1[[#This Row],[Order ID]])</f>
        <v>0.5</v>
      </c>
      <c r="Z7935" s="9">
        <f>1/COUNTIFS(Таблица1[Customer Name],Таблица1[[#This Row],[Customer Name]],Таблица1[Order-Year-Month],Таблица1[[#This Row],[Order-Year-Month]])</f>
        <v>0.5</v>
      </c>
    </row>
    <row r="7936" spans="1:26" x14ac:dyDescent="0.2">
      <c r="A7936" s="6">
        <v>5278</v>
      </c>
      <c r="B7936" s="7">
        <v>37542</v>
      </c>
      <c r="C7936" s="8">
        <f>DATE(2012,12,31)-1260</f>
        <v>40014</v>
      </c>
      <c r="D7936" s="8" t="str">
        <f t="shared" si="151"/>
        <v>2009-07 (июль 2009)</v>
      </c>
      <c r="E7936" s="9" t="s">
        <v>63</v>
      </c>
      <c r="F7936" s="7">
        <v>26</v>
      </c>
      <c r="G7936" s="7">
        <v>2546.5234999999998</v>
      </c>
      <c r="H7936" s="7">
        <v>0.09</v>
      </c>
      <c r="I7936" s="9" t="s">
        <v>56</v>
      </c>
      <c r="J7936" s="10">
        <v>209.99700000000001</v>
      </c>
      <c r="K7936" s="11">
        <v>125.99</v>
      </c>
      <c r="L7936" s="11">
        <v>7.69</v>
      </c>
      <c r="M7936" s="9" t="s">
        <v>2097</v>
      </c>
      <c r="N7936" s="6" t="s">
        <v>2073</v>
      </c>
      <c r="O7936" s="6" t="s">
        <v>704</v>
      </c>
      <c r="P7936" s="9" t="s">
        <v>41</v>
      </c>
      <c r="Q7936" s="9" t="s">
        <v>42</v>
      </c>
      <c r="R7936" s="9" t="s">
        <v>43</v>
      </c>
      <c r="S7936" s="7" t="s">
        <v>843</v>
      </c>
      <c r="T7936" s="9" t="s">
        <v>39</v>
      </c>
      <c r="U7936" s="7">
        <v>0.59</v>
      </c>
      <c r="V7936" s="12">
        <f>C7936+2</f>
        <v>40016</v>
      </c>
      <c r="W7936">
        <f>IF(D7936=' Pivot Tables'!$A$4,1,0)</f>
        <v>0</v>
      </c>
      <c r="X7936">
        <f>IF(AND(LEFT(D7936,4)+1=LEFT(' Pivot Tables'!$A$4,4)+0,RIGHT(LEFT(D7936,7),2)=RIGHT(LEFT(' Pivot Tables'!$A$4,7),2)),1,0)</f>
        <v>0</v>
      </c>
      <c r="Y7936" s="6">
        <f>1/COUNTIF(Таблица1[Order ID],Таблица1[[#This Row],[Order ID]])</f>
        <v>1</v>
      </c>
      <c r="Z7936" s="9">
        <f>1/COUNTIFS(Таблица1[Customer Name],Таблица1[[#This Row],[Customer Name]],Таблица1[Order-Year-Month],Таблица1[[#This Row],[Order-Year-Month]])</f>
        <v>1</v>
      </c>
    </row>
    <row r="7937" spans="1:26" x14ac:dyDescent="0.2">
      <c r="A7937" s="6">
        <v>5367</v>
      </c>
      <c r="B7937" s="7">
        <v>38146</v>
      </c>
      <c r="C7937" s="8">
        <f>DATE(2012,12,31)-390</f>
        <v>40884</v>
      </c>
      <c r="D7937" s="8" t="str">
        <f t="shared" si="151"/>
        <v>2011-12 (декабрь 2011)</v>
      </c>
      <c r="E7937" s="9" t="s">
        <v>21</v>
      </c>
      <c r="F7937" s="7">
        <v>45</v>
      </c>
      <c r="G7937" s="7">
        <v>341.39</v>
      </c>
      <c r="H7937" s="7">
        <v>0.03</v>
      </c>
      <c r="I7937" s="9" t="s">
        <v>22</v>
      </c>
      <c r="J7937" s="10">
        <v>-82.9495</v>
      </c>
      <c r="K7937" s="11">
        <v>7.68</v>
      </c>
      <c r="L7937" s="11">
        <v>6.16</v>
      </c>
      <c r="M7937" s="9" t="s">
        <v>1783</v>
      </c>
      <c r="N7937" s="6" t="s">
        <v>2073</v>
      </c>
      <c r="O7937" s="6" t="s">
        <v>704</v>
      </c>
      <c r="P7937" s="9" t="s">
        <v>25</v>
      </c>
      <c r="Q7937" s="9" t="s">
        <v>26</v>
      </c>
      <c r="R7937" s="9" t="s">
        <v>37</v>
      </c>
      <c r="S7937" s="7" t="s">
        <v>854</v>
      </c>
      <c r="T7937" s="9" t="s">
        <v>39</v>
      </c>
      <c r="U7937" s="7">
        <v>0.35</v>
      </c>
      <c r="V7937" s="12">
        <f>C7937+4</f>
        <v>40888</v>
      </c>
      <c r="W7937">
        <f>IF(D7937=' Pivot Tables'!$A$4,1,0)</f>
        <v>0</v>
      </c>
      <c r="X7937">
        <f>IF(AND(LEFT(D7937,4)+1=LEFT(' Pivot Tables'!$A$4,4)+0,RIGHT(LEFT(D7937,7),2)=RIGHT(LEFT(' Pivot Tables'!$A$4,7),2)),1,0)</f>
        <v>0</v>
      </c>
      <c r="Y7937" s="6">
        <f>1/COUNTIF(Таблица1[Order ID],Таблица1[[#This Row],[Order ID]])</f>
        <v>0.5</v>
      </c>
      <c r="Z7937" s="9">
        <f>1/COUNTIFS(Таблица1[Customer Name],Таблица1[[#This Row],[Customer Name]],Таблица1[Order-Year-Month],Таблица1[[#This Row],[Order-Year-Month]])</f>
        <v>0.5</v>
      </c>
    </row>
    <row r="7938" spans="1:26" x14ac:dyDescent="0.2">
      <c r="A7938" s="6">
        <v>5370</v>
      </c>
      <c r="B7938" s="7">
        <v>38178</v>
      </c>
      <c r="C7938" s="8">
        <f>DATE(2012,12,31)-124</f>
        <v>41150</v>
      </c>
      <c r="D7938" s="8" t="str">
        <f t="shared" si="151"/>
        <v>2012-08 (август 2012)</v>
      </c>
      <c r="E7938" s="9" t="s">
        <v>63</v>
      </c>
      <c r="F7938" s="7">
        <v>32</v>
      </c>
      <c r="G7938" s="7">
        <v>153.97999999999999</v>
      </c>
      <c r="H7938" s="7">
        <v>0.02</v>
      </c>
      <c r="I7938" s="9" t="s">
        <v>22</v>
      </c>
      <c r="J7938" s="10">
        <v>71.599999999999994</v>
      </c>
      <c r="K7938" s="11">
        <v>4.91</v>
      </c>
      <c r="L7938" s="11">
        <v>0.5</v>
      </c>
      <c r="M7938" s="9" t="s">
        <v>2095</v>
      </c>
      <c r="N7938" s="6" t="s">
        <v>2073</v>
      </c>
      <c r="O7938" s="6" t="s">
        <v>704</v>
      </c>
      <c r="P7938" s="9" t="s">
        <v>25</v>
      </c>
      <c r="Q7938" s="9" t="s">
        <v>26</v>
      </c>
      <c r="R7938" s="9" t="s">
        <v>88</v>
      </c>
      <c r="S7938" s="7" t="s">
        <v>509</v>
      </c>
      <c r="T7938" s="9" t="s">
        <v>39</v>
      </c>
      <c r="U7938" s="7">
        <v>0.36</v>
      </c>
      <c r="V7938" s="12">
        <f>C7938+1</f>
        <v>41151</v>
      </c>
      <c r="W7938">
        <f>IF(D7938=' Pivot Tables'!$A$4,1,0)</f>
        <v>0</v>
      </c>
      <c r="X7938">
        <f>IF(AND(LEFT(D7938,4)+1=LEFT(' Pivot Tables'!$A$4,4)+0,RIGHT(LEFT(D7938,7),2)=RIGHT(LEFT(' Pivot Tables'!$A$4,7),2)),1,0)</f>
        <v>0</v>
      </c>
      <c r="Y7938" s="6">
        <f>1/COUNTIF(Таблица1[Order ID],Таблица1[[#This Row],[Order ID]])</f>
        <v>1</v>
      </c>
      <c r="Z7938" s="9">
        <f>1/COUNTIFS(Таблица1[Customer Name],Таблица1[[#This Row],[Customer Name]],Таблица1[Order-Year-Month],Таблица1[[#This Row],[Order-Year-Month]])</f>
        <v>1</v>
      </c>
    </row>
    <row r="7939" spans="1:26" x14ac:dyDescent="0.2">
      <c r="A7939" s="6">
        <v>5384</v>
      </c>
      <c r="B7939" s="7">
        <v>38279</v>
      </c>
      <c r="C7939" s="8">
        <f>DATE(2012,12,31)-246</f>
        <v>41028</v>
      </c>
      <c r="D7939" s="8" t="str">
        <f t="shared" ref="D7939:D8002" si="152">TEXT(C7939,"гггг-ММ (ММММ гггг)")</f>
        <v>2012-04 (апрель 2012)</v>
      </c>
      <c r="E7939" s="9" t="s">
        <v>63</v>
      </c>
      <c r="F7939" s="7">
        <v>1</v>
      </c>
      <c r="G7939" s="7">
        <v>11.64</v>
      </c>
      <c r="H7939" s="7">
        <v>0.05</v>
      </c>
      <c r="I7939" s="9" t="s">
        <v>22</v>
      </c>
      <c r="J7939" s="10">
        <v>-10.73</v>
      </c>
      <c r="K7939" s="11">
        <v>7.59</v>
      </c>
      <c r="L7939" s="11">
        <v>4</v>
      </c>
      <c r="M7939" s="9" t="s">
        <v>2099</v>
      </c>
      <c r="N7939" s="6" t="s">
        <v>2073</v>
      </c>
      <c r="O7939" s="6" t="s">
        <v>704</v>
      </c>
      <c r="P7939" s="9" t="s">
        <v>41</v>
      </c>
      <c r="Q7939" s="9" t="s">
        <v>49</v>
      </c>
      <c r="R7939" s="9" t="s">
        <v>50</v>
      </c>
      <c r="S7939" s="7" t="s">
        <v>504</v>
      </c>
      <c r="T7939" s="9" t="s">
        <v>68</v>
      </c>
      <c r="U7939" s="7">
        <v>0.42</v>
      </c>
      <c r="V7939" s="12">
        <f>C7939+2</f>
        <v>41030</v>
      </c>
      <c r="W7939">
        <f>IF(D7939=' Pivot Tables'!$A$4,1,0)</f>
        <v>0</v>
      </c>
      <c r="X7939">
        <f>IF(AND(LEFT(D7939,4)+1=LEFT(' Pivot Tables'!$A$4,4)+0,RIGHT(LEFT(D7939,7),2)=RIGHT(LEFT(' Pivot Tables'!$A$4,7),2)),1,0)</f>
        <v>0</v>
      </c>
      <c r="Y7939" s="6">
        <f>1/COUNTIF(Таблица1[Order ID],Таблица1[[#This Row],[Order ID]])</f>
        <v>1</v>
      </c>
      <c r="Z7939" s="9">
        <f>1/COUNTIFS(Таблица1[Customer Name],Таблица1[[#This Row],[Customer Name]],Таблица1[Order-Year-Month],Таблица1[[#This Row],[Order-Year-Month]])</f>
        <v>1</v>
      </c>
    </row>
    <row r="7940" spans="1:26" x14ac:dyDescent="0.2">
      <c r="A7940" s="6">
        <v>5460</v>
      </c>
      <c r="B7940" s="7">
        <v>38787</v>
      </c>
      <c r="C7940" s="8">
        <f>DATE(2012,12,31)-514</f>
        <v>40760</v>
      </c>
      <c r="D7940" s="8" t="str">
        <f t="shared" si="152"/>
        <v>2011-08 (август 2011)</v>
      </c>
      <c r="E7940" s="9" t="s">
        <v>21</v>
      </c>
      <c r="F7940" s="7">
        <v>22</v>
      </c>
      <c r="G7940" s="7">
        <v>79.040000000000006</v>
      </c>
      <c r="H7940" s="7">
        <v>0.05</v>
      </c>
      <c r="I7940" s="9" t="s">
        <v>22</v>
      </c>
      <c r="J7940" s="10">
        <v>-77.930000000000007</v>
      </c>
      <c r="K7940" s="11">
        <v>3.28</v>
      </c>
      <c r="L7940" s="11">
        <v>5</v>
      </c>
      <c r="M7940" s="9" t="s">
        <v>2023</v>
      </c>
      <c r="N7940" s="6" t="s">
        <v>2073</v>
      </c>
      <c r="O7940" s="6" t="s">
        <v>704</v>
      </c>
      <c r="P7940" s="9" t="s">
        <v>33</v>
      </c>
      <c r="Q7940" s="9" t="s">
        <v>26</v>
      </c>
      <c r="R7940" s="9" t="s">
        <v>95</v>
      </c>
      <c r="S7940" s="7" t="s">
        <v>878</v>
      </c>
      <c r="T7940" s="9" t="s">
        <v>68</v>
      </c>
      <c r="U7940" s="7">
        <v>0.56000000000000005</v>
      </c>
      <c r="V7940" s="12">
        <f>C7940+0</f>
        <v>40760</v>
      </c>
      <c r="W7940">
        <f>IF(D7940=' Pivot Tables'!$A$4,1,0)</f>
        <v>0</v>
      </c>
      <c r="X7940">
        <f>IF(AND(LEFT(D7940,4)+1=LEFT(' Pivot Tables'!$A$4,4)+0,RIGHT(LEFT(D7940,7),2)=RIGHT(LEFT(' Pivot Tables'!$A$4,7),2)),1,0)</f>
        <v>0</v>
      </c>
      <c r="Y7940" s="6">
        <f>1/COUNTIF(Таблица1[Order ID],Таблица1[[#This Row],[Order ID]])</f>
        <v>1</v>
      </c>
      <c r="Z7940" s="9">
        <f>1/COUNTIFS(Таблица1[Customer Name],Таблица1[[#This Row],[Customer Name]],Таблица1[Order-Year-Month],Таблица1[[#This Row],[Order-Year-Month]])</f>
        <v>1</v>
      </c>
    </row>
    <row r="7941" spans="1:26" x14ac:dyDescent="0.2">
      <c r="A7941" s="6">
        <v>5463</v>
      </c>
      <c r="B7941" s="7">
        <v>38791</v>
      </c>
      <c r="C7941" s="8">
        <f>DATE(2012,12,31)-1023</f>
        <v>40251</v>
      </c>
      <c r="D7941" s="8" t="str">
        <f t="shared" si="152"/>
        <v>2010-03 (март 2010)</v>
      </c>
      <c r="E7941" s="9" t="s">
        <v>21</v>
      </c>
      <c r="F7941" s="7">
        <v>24</v>
      </c>
      <c r="G7941" s="7">
        <v>1457.7120000000002</v>
      </c>
      <c r="H7941" s="7">
        <v>0.03</v>
      </c>
      <c r="I7941" s="9" t="s">
        <v>31</v>
      </c>
      <c r="J7941" s="10">
        <v>-1565.89</v>
      </c>
      <c r="K7941" s="11">
        <v>70.89</v>
      </c>
      <c r="L7941" s="11">
        <v>89.3</v>
      </c>
      <c r="M7941" s="9" t="s">
        <v>2103</v>
      </c>
      <c r="N7941" s="6" t="s">
        <v>2073</v>
      </c>
      <c r="O7941" s="6" t="s">
        <v>704</v>
      </c>
      <c r="P7941" s="9" t="s">
        <v>60</v>
      </c>
      <c r="Q7941" s="9" t="s">
        <v>49</v>
      </c>
      <c r="R7941" s="9" t="s">
        <v>83</v>
      </c>
      <c r="S7941" s="7" t="s">
        <v>1071</v>
      </c>
      <c r="T7941" s="9" t="s">
        <v>82</v>
      </c>
      <c r="U7941" s="7">
        <v>0.69</v>
      </c>
      <c r="V7941" s="12">
        <f>C7941+7</f>
        <v>40258</v>
      </c>
      <c r="W7941">
        <f>IF(D7941=' Pivot Tables'!$A$4,1,0)</f>
        <v>0</v>
      </c>
      <c r="X7941">
        <f>IF(AND(LEFT(D7941,4)+1=LEFT(' Pivot Tables'!$A$4,4)+0,RIGHT(LEFT(D7941,7),2)=RIGHT(LEFT(' Pivot Tables'!$A$4,7),2)),1,0)</f>
        <v>0</v>
      </c>
      <c r="Y7941" s="6">
        <f>1/COUNTIF(Таблица1[Order ID],Таблица1[[#This Row],[Order ID]])</f>
        <v>1</v>
      </c>
      <c r="Z7941" s="9">
        <f>1/COUNTIFS(Таблица1[Customer Name],Таблица1[[#This Row],[Customer Name]],Таблица1[Order-Year-Month],Таблица1[[#This Row],[Order-Year-Month]])</f>
        <v>1</v>
      </c>
    </row>
    <row r="7942" spans="1:26" x14ac:dyDescent="0.2">
      <c r="A7942" s="6">
        <v>5464</v>
      </c>
      <c r="B7942" s="7">
        <v>38817</v>
      </c>
      <c r="C7942" s="8">
        <f>DATE(2012,12,31)-225</f>
        <v>41049</v>
      </c>
      <c r="D7942" s="8" t="str">
        <f t="shared" si="152"/>
        <v>2012-05 (май 2012)</v>
      </c>
      <c r="E7942" s="9" t="s">
        <v>45</v>
      </c>
      <c r="F7942" s="7">
        <v>1</v>
      </c>
      <c r="G7942" s="7">
        <v>9.6999999999999993</v>
      </c>
      <c r="H7942" s="7">
        <v>0.02</v>
      </c>
      <c r="I7942" s="9" t="s">
        <v>22</v>
      </c>
      <c r="J7942" s="10">
        <v>-18.03</v>
      </c>
      <c r="K7942" s="11">
        <v>4.9800000000000004</v>
      </c>
      <c r="L7942" s="11">
        <v>4.62</v>
      </c>
      <c r="M7942" s="9" t="s">
        <v>1842</v>
      </c>
      <c r="N7942" s="6" t="s">
        <v>2073</v>
      </c>
      <c r="O7942" s="6" t="s">
        <v>704</v>
      </c>
      <c r="P7942" s="9" t="s">
        <v>33</v>
      </c>
      <c r="Q7942" s="9" t="s">
        <v>42</v>
      </c>
      <c r="R7942" s="9" t="s">
        <v>70</v>
      </c>
      <c r="S7942" s="7" t="s">
        <v>402</v>
      </c>
      <c r="T7942" s="9" t="s">
        <v>52</v>
      </c>
      <c r="U7942" s="7">
        <v>0.64</v>
      </c>
      <c r="V7942" s="12">
        <f>C7942+1</f>
        <v>41050</v>
      </c>
      <c r="W7942">
        <f>IF(D7942=' Pivot Tables'!$A$4,1,0)</f>
        <v>0</v>
      </c>
      <c r="X7942">
        <f>IF(AND(LEFT(D7942,4)+1=LEFT(' Pivot Tables'!$A$4,4)+0,RIGHT(LEFT(D7942,7),2)=RIGHT(LEFT(' Pivot Tables'!$A$4,7),2)),1,0)</f>
        <v>0</v>
      </c>
      <c r="Y7942" s="6">
        <f>1/COUNTIF(Таблица1[Order ID],Таблица1[[#This Row],[Order ID]])</f>
        <v>1</v>
      </c>
      <c r="Z7942" s="9">
        <f>1/COUNTIFS(Таблица1[Customer Name],Таблица1[[#This Row],[Customer Name]],Таблица1[Order-Year-Month],Таблица1[[#This Row],[Order-Year-Month]])</f>
        <v>0.33333333333333331</v>
      </c>
    </row>
    <row r="7943" spans="1:26" x14ac:dyDescent="0.2">
      <c r="A7943" s="6">
        <v>5475</v>
      </c>
      <c r="B7943" s="7">
        <v>38887</v>
      </c>
      <c r="C7943" s="8">
        <f>DATE(2012,12,31)-1164</f>
        <v>40110</v>
      </c>
      <c r="D7943" s="8" t="str">
        <f t="shared" si="152"/>
        <v>2009-10 (октябрь 2009)</v>
      </c>
      <c r="E7943" s="9" t="s">
        <v>78</v>
      </c>
      <c r="F7943" s="7">
        <v>25</v>
      </c>
      <c r="G7943" s="7">
        <v>378.9</v>
      </c>
      <c r="H7943" s="7">
        <v>0.02</v>
      </c>
      <c r="I7943" s="9" t="s">
        <v>22</v>
      </c>
      <c r="J7943" s="10">
        <v>28.457999999999998</v>
      </c>
      <c r="K7943" s="11">
        <v>14.45</v>
      </c>
      <c r="L7943" s="11">
        <v>7.17</v>
      </c>
      <c r="M7943" s="9" t="s">
        <v>2023</v>
      </c>
      <c r="N7943" s="6" t="s">
        <v>2073</v>
      </c>
      <c r="O7943" s="6" t="s">
        <v>704</v>
      </c>
      <c r="P7943" s="9" t="s">
        <v>33</v>
      </c>
      <c r="Q7943" s="9" t="s">
        <v>26</v>
      </c>
      <c r="R7943" s="9" t="s">
        <v>37</v>
      </c>
      <c r="S7943" s="7" t="s">
        <v>1125</v>
      </c>
      <c r="T7943" s="9" t="s">
        <v>39</v>
      </c>
      <c r="U7943" s="7">
        <v>0.38</v>
      </c>
      <c r="V7943" s="12">
        <f>C7943+1</f>
        <v>40111</v>
      </c>
      <c r="W7943">
        <f>IF(D7943=' Pivot Tables'!$A$4,1,0)</f>
        <v>0</v>
      </c>
      <c r="X7943">
        <f>IF(AND(LEFT(D7943,4)+1=LEFT(' Pivot Tables'!$A$4,4)+0,RIGHT(LEFT(D7943,7),2)=RIGHT(LEFT(' Pivot Tables'!$A$4,7),2)),1,0)</f>
        <v>0</v>
      </c>
      <c r="Y7943" s="6">
        <f>1/COUNTIF(Таблица1[Order ID],Таблица1[[#This Row],[Order ID]])</f>
        <v>0.5</v>
      </c>
      <c r="Z7943" s="9">
        <f>1/COUNTIFS(Таблица1[Customer Name],Таблица1[[#This Row],[Customer Name]],Таблица1[Order-Year-Month],Таблица1[[#This Row],[Order-Year-Month]])</f>
        <v>0.5</v>
      </c>
    </row>
    <row r="7944" spans="1:26" x14ac:dyDescent="0.2">
      <c r="A7944" s="6">
        <v>5476</v>
      </c>
      <c r="B7944" s="7">
        <v>38887</v>
      </c>
      <c r="C7944" s="8">
        <f>DATE(2012,12,31)-1164</f>
        <v>40110</v>
      </c>
      <c r="D7944" s="8" t="str">
        <f t="shared" si="152"/>
        <v>2009-10 (октябрь 2009)</v>
      </c>
      <c r="E7944" s="9" t="s">
        <v>78</v>
      </c>
      <c r="F7944" s="7">
        <v>50</v>
      </c>
      <c r="G7944" s="7">
        <v>264.05</v>
      </c>
      <c r="H7944" s="7">
        <v>7.0000000000000007E-2</v>
      </c>
      <c r="I7944" s="9" t="s">
        <v>22</v>
      </c>
      <c r="J7944" s="10">
        <v>25.05</v>
      </c>
      <c r="K7944" s="11">
        <v>5.58</v>
      </c>
      <c r="L7944" s="11">
        <v>1.99</v>
      </c>
      <c r="M7944" s="9" t="s">
        <v>2023</v>
      </c>
      <c r="N7944" s="6" t="s">
        <v>2073</v>
      </c>
      <c r="O7944" s="6" t="s">
        <v>704</v>
      </c>
      <c r="P7944" s="9" t="s">
        <v>33</v>
      </c>
      <c r="Q7944" s="9" t="s">
        <v>26</v>
      </c>
      <c r="R7944" s="9" t="s">
        <v>95</v>
      </c>
      <c r="S7944" s="7" t="s">
        <v>1239</v>
      </c>
      <c r="T7944" s="9" t="s">
        <v>68</v>
      </c>
      <c r="U7944" s="7">
        <v>0.46</v>
      </c>
      <c r="V7944" s="12">
        <f>C7944+2</f>
        <v>40112</v>
      </c>
      <c r="W7944">
        <f>IF(D7944=' Pivot Tables'!$A$4,1,0)</f>
        <v>0</v>
      </c>
      <c r="X7944">
        <f>IF(AND(LEFT(D7944,4)+1=LEFT(' Pivot Tables'!$A$4,4)+0,RIGHT(LEFT(D7944,7),2)=RIGHT(LEFT(' Pivot Tables'!$A$4,7),2)),1,0)</f>
        <v>0</v>
      </c>
      <c r="Y7944" s="6">
        <f>1/COUNTIF(Таблица1[Order ID],Таблица1[[#This Row],[Order ID]])</f>
        <v>0.5</v>
      </c>
      <c r="Z7944" s="9">
        <f>1/COUNTIFS(Таблица1[Customer Name],Таблица1[[#This Row],[Customer Name]],Таблица1[Order-Year-Month],Таблица1[[#This Row],[Order-Year-Month]])</f>
        <v>0.5</v>
      </c>
    </row>
    <row r="7945" spans="1:26" x14ac:dyDescent="0.2">
      <c r="A7945" s="6">
        <v>5480</v>
      </c>
      <c r="B7945" s="7">
        <v>38914</v>
      </c>
      <c r="C7945" s="8">
        <f>DATE(2012,12,31)-215</f>
        <v>41059</v>
      </c>
      <c r="D7945" s="8" t="str">
        <f t="shared" si="152"/>
        <v>2012-05 (май 2012)</v>
      </c>
      <c r="E7945" s="9" t="s">
        <v>63</v>
      </c>
      <c r="F7945" s="7">
        <v>43</v>
      </c>
      <c r="G7945" s="7">
        <v>447.12</v>
      </c>
      <c r="H7945" s="7">
        <v>0.08</v>
      </c>
      <c r="I7945" s="9" t="s">
        <v>22</v>
      </c>
      <c r="J7945" s="10">
        <v>-14.27</v>
      </c>
      <c r="K7945" s="11">
        <v>10.64</v>
      </c>
      <c r="L7945" s="11">
        <v>5.16</v>
      </c>
      <c r="M7945" s="9" t="s">
        <v>2103</v>
      </c>
      <c r="N7945" s="6" t="s">
        <v>2073</v>
      </c>
      <c r="O7945" s="6" t="s">
        <v>704</v>
      </c>
      <c r="P7945" s="9" t="s">
        <v>41</v>
      </c>
      <c r="Q7945" s="9" t="s">
        <v>49</v>
      </c>
      <c r="R7945" s="9" t="s">
        <v>50</v>
      </c>
      <c r="S7945" s="7" t="s">
        <v>593</v>
      </c>
      <c r="T7945" s="9" t="s">
        <v>39</v>
      </c>
      <c r="U7945" s="7">
        <v>0.56999999999999995</v>
      </c>
      <c r="V7945" s="12">
        <f>C7945+1</f>
        <v>41060</v>
      </c>
      <c r="W7945">
        <f>IF(D7945=' Pivot Tables'!$A$4,1,0)</f>
        <v>0</v>
      </c>
      <c r="X7945">
        <f>IF(AND(LEFT(D7945,4)+1=LEFT(' Pivot Tables'!$A$4,4)+0,RIGHT(LEFT(D7945,7),2)=RIGHT(LEFT(' Pivot Tables'!$A$4,7),2)),1,0)</f>
        <v>0</v>
      </c>
      <c r="Y7945" s="6">
        <f>1/COUNTIF(Таблица1[Order ID],Таблица1[[#This Row],[Order ID]])</f>
        <v>1</v>
      </c>
      <c r="Z7945" s="9">
        <f>1/COUNTIFS(Таблица1[Customer Name],Таблица1[[#This Row],[Customer Name]],Таблица1[Order-Year-Month],Таблица1[[#This Row],[Order-Year-Month]])</f>
        <v>0.5</v>
      </c>
    </row>
    <row r="7946" spans="1:26" x14ac:dyDescent="0.2">
      <c r="A7946" s="6">
        <v>5509</v>
      </c>
      <c r="B7946" s="7">
        <v>39072</v>
      </c>
      <c r="C7946" s="8">
        <f>DATE(2012,12,31)-1408</f>
        <v>39866</v>
      </c>
      <c r="D7946" s="8" t="str">
        <f t="shared" si="152"/>
        <v>2009-02 (февраль 2009)</v>
      </c>
      <c r="E7946" s="9" t="s">
        <v>30</v>
      </c>
      <c r="F7946" s="7">
        <v>50</v>
      </c>
      <c r="G7946" s="7">
        <v>1633.37</v>
      </c>
      <c r="H7946" s="7">
        <v>0.08</v>
      </c>
      <c r="I7946" s="9" t="s">
        <v>22</v>
      </c>
      <c r="J7946" s="10">
        <v>144.69</v>
      </c>
      <c r="K7946" s="11">
        <v>34.99</v>
      </c>
      <c r="L7946" s="11">
        <v>7.73</v>
      </c>
      <c r="M7946" s="9" t="s">
        <v>2097</v>
      </c>
      <c r="N7946" s="6" t="s">
        <v>2073</v>
      </c>
      <c r="O7946" s="6" t="s">
        <v>704</v>
      </c>
      <c r="P7946" s="9" t="s">
        <v>41</v>
      </c>
      <c r="Q7946" s="9" t="s">
        <v>26</v>
      </c>
      <c r="R7946" s="9" t="s">
        <v>95</v>
      </c>
      <c r="S7946" s="7" t="s">
        <v>1355</v>
      </c>
      <c r="T7946" s="9" t="s">
        <v>39</v>
      </c>
      <c r="U7946" s="7">
        <v>0.59</v>
      </c>
      <c r="V7946" s="12">
        <f>C7946+1</f>
        <v>39867</v>
      </c>
      <c r="W7946">
        <f>IF(D7946=' Pivot Tables'!$A$4,1,0)</f>
        <v>0</v>
      </c>
      <c r="X7946">
        <f>IF(AND(LEFT(D7946,4)+1=LEFT(' Pivot Tables'!$A$4,4)+0,RIGHT(LEFT(D7946,7),2)=RIGHT(LEFT(' Pivot Tables'!$A$4,7),2)),1,0)</f>
        <v>0</v>
      </c>
      <c r="Y7946" s="6">
        <f>1/COUNTIF(Таблица1[Order ID],Таблица1[[#This Row],[Order ID]])</f>
        <v>1</v>
      </c>
      <c r="Z7946" s="9">
        <f>1/COUNTIFS(Таблица1[Customer Name],Таблица1[[#This Row],[Customer Name]],Таблица1[Order-Year-Month],Таблица1[[#This Row],[Order-Year-Month]])</f>
        <v>1</v>
      </c>
    </row>
    <row r="7947" spans="1:26" x14ac:dyDescent="0.2">
      <c r="A7947" s="6">
        <v>5593</v>
      </c>
      <c r="B7947" s="7">
        <v>39652</v>
      </c>
      <c r="C7947" s="8">
        <f>DATE(2012,12,31)-241</f>
        <v>41033</v>
      </c>
      <c r="D7947" s="8" t="str">
        <f t="shared" si="152"/>
        <v>2012-05 (май 2012)</v>
      </c>
      <c r="E7947" s="9" t="s">
        <v>21</v>
      </c>
      <c r="F7947" s="7">
        <v>5</v>
      </c>
      <c r="G7947" s="7">
        <v>14.61</v>
      </c>
      <c r="H7947" s="7">
        <v>0.03</v>
      </c>
      <c r="I7947" s="9" t="s">
        <v>22</v>
      </c>
      <c r="J7947" s="10">
        <v>1.17</v>
      </c>
      <c r="K7947" s="11">
        <v>2.88</v>
      </c>
      <c r="L7947" s="11">
        <v>0.5</v>
      </c>
      <c r="M7947" s="9" t="s">
        <v>1842</v>
      </c>
      <c r="N7947" s="6" t="s">
        <v>2073</v>
      </c>
      <c r="O7947" s="6" t="s">
        <v>704</v>
      </c>
      <c r="P7947" s="9" t="s">
        <v>33</v>
      </c>
      <c r="Q7947" s="9" t="s">
        <v>26</v>
      </c>
      <c r="R7947" s="9" t="s">
        <v>88</v>
      </c>
      <c r="S7947" s="7" t="s">
        <v>1161</v>
      </c>
      <c r="T7947" s="9" t="s">
        <v>39</v>
      </c>
      <c r="U7947" s="7">
        <v>0.36</v>
      </c>
      <c r="V7947" s="12">
        <f>C7947+2</f>
        <v>41035</v>
      </c>
      <c r="W7947">
        <f>IF(D7947=' Pivot Tables'!$A$4,1,0)</f>
        <v>0</v>
      </c>
      <c r="X7947">
        <f>IF(AND(LEFT(D7947,4)+1=LEFT(' Pivot Tables'!$A$4,4)+0,RIGHT(LEFT(D7947,7),2)=RIGHT(LEFT(' Pivot Tables'!$A$4,7),2)),1,0)</f>
        <v>0</v>
      </c>
      <c r="Y7947" s="6">
        <f>1/COUNTIF(Таблица1[Order ID],Таблица1[[#This Row],[Order ID]])</f>
        <v>0.5</v>
      </c>
      <c r="Z7947" s="9">
        <f>1/COUNTIFS(Таблица1[Customer Name],Таблица1[[#This Row],[Customer Name]],Таблица1[Order-Year-Month],Таблица1[[#This Row],[Order-Year-Month]])</f>
        <v>0.33333333333333331</v>
      </c>
    </row>
    <row r="7948" spans="1:26" x14ac:dyDescent="0.2">
      <c r="A7948" s="6">
        <v>5594</v>
      </c>
      <c r="B7948" s="7">
        <v>39652</v>
      </c>
      <c r="C7948" s="8">
        <f>DATE(2012,12,31)-241</f>
        <v>41033</v>
      </c>
      <c r="D7948" s="8" t="str">
        <f t="shared" si="152"/>
        <v>2012-05 (май 2012)</v>
      </c>
      <c r="E7948" s="9" t="s">
        <v>21</v>
      </c>
      <c r="F7948" s="7">
        <v>4</v>
      </c>
      <c r="G7948" s="7">
        <v>665.76250000000005</v>
      </c>
      <c r="H7948" s="7">
        <v>0.03</v>
      </c>
      <c r="I7948" s="9" t="s">
        <v>22</v>
      </c>
      <c r="J7948" s="10">
        <v>-773.34399999999994</v>
      </c>
      <c r="K7948" s="11">
        <v>195.99</v>
      </c>
      <c r="L7948" s="11">
        <v>8.99</v>
      </c>
      <c r="M7948" s="9" t="s">
        <v>1842</v>
      </c>
      <c r="N7948" s="6" t="s">
        <v>2073</v>
      </c>
      <c r="O7948" s="6" t="s">
        <v>704</v>
      </c>
      <c r="P7948" s="9" t="s">
        <v>33</v>
      </c>
      <c r="Q7948" s="9" t="s">
        <v>42</v>
      </c>
      <c r="R7948" s="9" t="s">
        <v>43</v>
      </c>
      <c r="S7948" s="7" t="s">
        <v>670</v>
      </c>
      <c r="T7948" s="9" t="s">
        <v>39</v>
      </c>
      <c r="U7948" s="7">
        <v>0.6</v>
      </c>
      <c r="V7948" s="12">
        <f>C7948+5</f>
        <v>41038</v>
      </c>
      <c r="W7948">
        <f>IF(D7948=' Pivot Tables'!$A$4,1,0)</f>
        <v>0</v>
      </c>
      <c r="X7948">
        <f>IF(AND(LEFT(D7948,4)+1=LEFT(' Pivot Tables'!$A$4,4)+0,RIGHT(LEFT(D7948,7),2)=RIGHT(LEFT(' Pivot Tables'!$A$4,7),2)),1,0)</f>
        <v>0</v>
      </c>
      <c r="Y7948" s="6">
        <f>1/COUNTIF(Таблица1[Order ID],Таблица1[[#This Row],[Order ID]])</f>
        <v>0.5</v>
      </c>
      <c r="Z7948" s="9">
        <f>1/COUNTIFS(Таблица1[Customer Name],Таблица1[[#This Row],[Customer Name]],Таблица1[Order-Year-Month],Таблица1[[#This Row],[Order-Year-Month]])</f>
        <v>0.33333333333333331</v>
      </c>
    </row>
    <row r="7949" spans="1:26" x14ac:dyDescent="0.2">
      <c r="A7949" s="6">
        <v>5612</v>
      </c>
      <c r="B7949" s="7">
        <v>39750</v>
      </c>
      <c r="C7949" s="8">
        <f>DATE(2012,12,31)-1375</f>
        <v>39899</v>
      </c>
      <c r="D7949" s="8" t="str">
        <f t="shared" si="152"/>
        <v>2009-03 (март 2009)</v>
      </c>
      <c r="E7949" s="9" t="s">
        <v>30</v>
      </c>
      <c r="F7949" s="7">
        <v>7</v>
      </c>
      <c r="G7949" s="7">
        <v>140.59</v>
      </c>
      <c r="H7949" s="7">
        <v>0.01</v>
      </c>
      <c r="I7949" s="9" t="s">
        <v>22</v>
      </c>
      <c r="J7949" s="10">
        <v>-35.878799999999998</v>
      </c>
      <c r="K7949" s="11">
        <v>17.98</v>
      </c>
      <c r="L7949" s="11">
        <v>8.51</v>
      </c>
      <c r="M7949" s="9" t="s">
        <v>2097</v>
      </c>
      <c r="N7949" s="6" t="s">
        <v>2073</v>
      </c>
      <c r="O7949" s="6" t="s">
        <v>704</v>
      </c>
      <c r="P7949" s="9" t="s">
        <v>41</v>
      </c>
      <c r="Q7949" s="9" t="s">
        <v>42</v>
      </c>
      <c r="R7949" s="9" t="s">
        <v>210</v>
      </c>
      <c r="S7949" s="7" t="s">
        <v>277</v>
      </c>
      <c r="T7949" s="9" t="s">
        <v>48</v>
      </c>
      <c r="U7949" s="7">
        <v>0.4</v>
      </c>
      <c r="V7949" s="12">
        <f>C7949+1</f>
        <v>39900</v>
      </c>
      <c r="W7949">
        <f>IF(D7949=' Pivot Tables'!$A$4,1,0)</f>
        <v>0</v>
      </c>
      <c r="X7949">
        <f>IF(AND(LEFT(D7949,4)+1=LEFT(' Pivot Tables'!$A$4,4)+0,RIGHT(LEFT(D7949,7),2)=RIGHT(LEFT(' Pivot Tables'!$A$4,7),2)),1,0)</f>
        <v>0</v>
      </c>
      <c r="Y7949" s="6">
        <f>1/COUNTIF(Таблица1[Order ID],Таблица1[[#This Row],[Order ID]])</f>
        <v>1</v>
      </c>
      <c r="Z7949" s="9">
        <f>1/COUNTIFS(Таблица1[Customer Name],Таблица1[[#This Row],[Customer Name]],Таблица1[Order-Year-Month],Таблица1[[#This Row],[Order-Year-Month]])</f>
        <v>1</v>
      </c>
    </row>
    <row r="7950" spans="1:26" x14ac:dyDescent="0.2">
      <c r="A7950" s="6">
        <v>5654</v>
      </c>
      <c r="B7950" s="7">
        <v>40006</v>
      </c>
      <c r="C7950" s="8">
        <f>DATE(2012,12,31)-1295</f>
        <v>39979</v>
      </c>
      <c r="D7950" s="8" t="str">
        <f t="shared" si="152"/>
        <v>2009-06 (июнь 2009)</v>
      </c>
      <c r="E7950" s="9" t="s">
        <v>45</v>
      </c>
      <c r="F7950" s="7">
        <v>35</v>
      </c>
      <c r="G7950" s="7">
        <v>157.99</v>
      </c>
      <c r="H7950" s="7">
        <v>0.03</v>
      </c>
      <c r="I7950" s="9" t="s">
        <v>22</v>
      </c>
      <c r="J7950" s="10">
        <v>-105.547</v>
      </c>
      <c r="K7950" s="11">
        <v>4.24</v>
      </c>
      <c r="L7950" s="11">
        <v>5.41</v>
      </c>
      <c r="M7950" s="9" t="s">
        <v>2097</v>
      </c>
      <c r="N7950" s="6" t="s">
        <v>2073</v>
      </c>
      <c r="O7950" s="6" t="s">
        <v>704</v>
      </c>
      <c r="P7950" s="9" t="s">
        <v>41</v>
      </c>
      <c r="Q7950" s="9" t="s">
        <v>26</v>
      </c>
      <c r="R7950" s="9" t="s">
        <v>37</v>
      </c>
      <c r="S7950" s="7" t="s">
        <v>873</v>
      </c>
      <c r="T7950" s="9" t="s">
        <v>39</v>
      </c>
      <c r="U7950" s="7">
        <v>0.35</v>
      </c>
      <c r="V7950" s="12">
        <f>C7950+2</f>
        <v>39981</v>
      </c>
      <c r="W7950">
        <f>IF(D7950=' Pivot Tables'!$A$4,1,0)</f>
        <v>0</v>
      </c>
      <c r="X7950">
        <f>IF(AND(LEFT(D7950,4)+1=LEFT(' Pivot Tables'!$A$4,4)+0,RIGHT(LEFT(D7950,7),2)=RIGHT(LEFT(' Pivot Tables'!$A$4,7),2)),1,0)</f>
        <v>0</v>
      </c>
      <c r="Y7950" s="6">
        <f>1/COUNTIF(Таблица1[Order ID],Таблица1[[#This Row],[Order ID]])</f>
        <v>0.5</v>
      </c>
      <c r="Z7950" s="9">
        <f>1/COUNTIFS(Таблица1[Customer Name],Таблица1[[#This Row],[Customer Name]],Таблица1[Order-Year-Month],Таблица1[[#This Row],[Order-Year-Month]])</f>
        <v>0.33333333333333331</v>
      </c>
    </row>
    <row r="7951" spans="1:26" x14ac:dyDescent="0.2">
      <c r="A7951" s="6">
        <v>5655</v>
      </c>
      <c r="B7951" s="7">
        <v>40006</v>
      </c>
      <c r="C7951" s="8">
        <f>DATE(2012,12,31)-1295</f>
        <v>39979</v>
      </c>
      <c r="D7951" s="8" t="str">
        <f t="shared" si="152"/>
        <v>2009-06 (июнь 2009)</v>
      </c>
      <c r="E7951" s="9" t="s">
        <v>45</v>
      </c>
      <c r="F7951" s="7">
        <v>48</v>
      </c>
      <c r="G7951" s="7">
        <v>141.59</v>
      </c>
      <c r="H7951" s="7">
        <v>0.04</v>
      </c>
      <c r="I7951" s="9" t="s">
        <v>22</v>
      </c>
      <c r="J7951" s="10">
        <v>20.260000000000002</v>
      </c>
      <c r="K7951" s="11">
        <v>2.94</v>
      </c>
      <c r="L7951" s="11">
        <v>0.7</v>
      </c>
      <c r="M7951" s="9" t="s">
        <v>2097</v>
      </c>
      <c r="N7951" s="6" t="s">
        <v>2073</v>
      </c>
      <c r="O7951" s="6" t="s">
        <v>704</v>
      </c>
      <c r="P7951" s="9" t="s">
        <v>41</v>
      </c>
      <c r="Q7951" s="9" t="s">
        <v>26</v>
      </c>
      <c r="R7951" s="9" t="s">
        <v>95</v>
      </c>
      <c r="S7951" s="7" t="s">
        <v>1192</v>
      </c>
      <c r="T7951" s="9" t="s">
        <v>68</v>
      </c>
      <c r="U7951" s="7">
        <v>0.57999999999999996</v>
      </c>
      <c r="V7951" s="12">
        <f>C7951+1</f>
        <v>39980</v>
      </c>
      <c r="W7951">
        <f>IF(D7951=' Pivot Tables'!$A$4,1,0)</f>
        <v>0</v>
      </c>
      <c r="X7951">
        <f>IF(AND(LEFT(D7951,4)+1=LEFT(' Pivot Tables'!$A$4,4)+0,RIGHT(LEFT(D7951,7),2)=RIGHT(LEFT(' Pivot Tables'!$A$4,7),2)),1,0)</f>
        <v>0</v>
      </c>
      <c r="Y7951" s="6">
        <f>1/COUNTIF(Таблица1[Order ID],Таблица1[[#This Row],[Order ID]])</f>
        <v>0.5</v>
      </c>
      <c r="Z7951" s="9">
        <f>1/COUNTIFS(Таблица1[Customer Name],Таблица1[[#This Row],[Customer Name]],Таблица1[Order-Year-Month],Таблица1[[#This Row],[Order-Year-Month]])</f>
        <v>0.33333333333333331</v>
      </c>
    </row>
    <row r="7952" spans="1:26" x14ac:dyDescent="0.2">
      <c r="A7952" s="6">
        <v>5737</v>
      </c>
      <c r="B7952" s="7">
        <v>40770</v>
      </c>
      <c r="C7952" s="8">
        <f>DATE(2012,12,31)-625</f>
        <v>40649</v>
      </c>
      <c r="D7952" s="8" t="str">
        <f t="shared" si="152"/>
        <v>2011-04 (апрель 2011)</v>
      </c>
      <c r="E7952" s="9" t="s">
        <v>21</v>
      </c>
      <c r="F7952" s="7">
        <v>19</v>
      </c>
      <c r="G7952" s="7">
        <v>217.69</v>
      </c>
      <c r="H7952" s="7">
        <v>0.09</v>
      </c>
      <c r="I7952" s="9" t="s">
        <v>22</v>
      </c>
      <c r="J7952" s="10">
        <v>-11.66</v>
      </c>
      <c r="K7952" s="11">
        <v>11.33</v>
      </c>
      <c r="L7952" s="11">
        <v>6.12</v>
      </c>
      <c r="M7952" s="9" t="s">
        <v>2104</v>
      </c>
      <c r="N7952" s="6" t="s">
        <v>2073</v>
      </c>
      <c r="O7952" s="6" t="s">
        <v>704</v>
      </c>
      <c r="P7952" s="9" t="s">
        <v>60</v>
      </c>
      <c r="Q7952" s="9" t="s">
        <v>26</v>
      </c>
      <c r="R7952" s="9" t="s">
        <v>34</v>
      </c>
      <c r="S7952" s="7" t="s">
        <v>1155</v>
      </c>
      <c r="T7952" s="9" t="s">
        <v>48</v>
      </c>
      <c r="U7952" s="7">
        <v>0.42</v>
      </c>
      <c r="V7952" s="12">
        <f>C7952+5</f>
        <v>40654</v>
      </c>
      <c r="W7952">
        <f>IF(D7952=' Pivot Tables'!$A$4,1,0)</f>
        <v>0</v>
      </c>
      <c r="X7952">
        <f>IF(AND(LEFT(D7952,4)+1=LEFT(' Pivot Tables'!$A$4,4)+0,RIGHT(LEFT(D7952,7),2)=RIGHT(LEFT(' Pivot Tables'!$A$4,7),2)),1,0)</f>
        <v>0</v>
      </c>
      <c r="Y7952" s="6">
        <f>1/COUNTIF(Таблица1[Order ID],Таблица1[[#This Row],[Order ID]])</f>
        <v>1</v>
      </c>
      <c r="Z7952" s="9">
        <f>1/COUNTIFS(Таблица1[Customer Name],Таблица1[[#This Row],[Customer Name]],Таблица1[Order-Year-Month],Таблица1[[#This Row],[Order-Year-Month]])</f>
        <v>1</v>
      </c>
    </row>
    <row r="7953" spans="1:26" x14ac:dyDescent="0.2">
      <c r="A7953" s="6">
        <v>5766</v>
      </c>
      <c r="B7953" s="7">
        <v>40933</v>
      </c>
      <c r="C7953" s="8">
        <f>DATE(2012,12,31)-218</f>
        <v>41056</v>
      </c>
      <c r="D7953" s="8" t="str">
        <f t="shared" si="152"/>
        <v>2012-05 (май 2012)</v>
      </c>
      <c r="E7953" s="9" t="s">
        <v>30</v>
      </c>
      <c r="F7953" s="7">
        <v>37</v>
      </c>
      <c r="G7953" s="7">
        <v>95.43</v>
      </c>
      <c r="H7953" s="7">
        <v>0.06</v>
      </c>
      <c r="I7953" s="9" t="s">
        <v>22</v>
      </c>
      <c r="J7953" s="10">
        <v>-103.96</v>
      </c>
      <c r="K7953" s="11">
        <v>2.52</v>
      </c>
      <c r="L7953" s="11">
        <v>4.28</v>
      </c>
      <c r="M7953" s="9" t="s">
        <v>556</v>
      </c>
      <c r="N7953" s="6" t="s">
        <v>2073</v>
      </c>
      <c r="O7953" s="6" t="s">
        <v>704</v>
      </c>
      <c r="P7953" s="9" t="s">
        <v>33</v>
      </c>
      <c r="Q7953" s="9" t="s">
        <v>26</v>
      </c>
      <c r="R7953" s="9" t="s">
        <v>95</v>
      </c>
      <c r="S7953" s="7" t="s">
        <v>1109</v>
      </c>
      <c r="T7953" s="9" t="s">
        <v>68</v>
      </c>
      <c r="U7953" s="7">
        <v>0.44</v>
      </c>
      <c r="V7953" s="12">
        <f>C7953+1</f>
        <v>41057</v>
      </c>
      <c r="W7953">
        <f>IF(D7953=' Pivot Tables'!$A$4,1,0)</f>
        <v>0</v>
      </c>
      <c r="X7953">
        <f>IF(AND(LEFT(D7953,4)+1=LEFT(' Pivot Tables'!$A$4,4)+0,RIGHT(LEFT(D7953,7),2)=RIGHT(LEFT(' Pivot Tables'!$A$4,7),2)),1,0)</f>
        <v>0</v>
      </c>
      <c r="Y7953" s="6">
        <f>1/COUNTIF(Таблица1[Order ID],Таблица1[[#This Row],[Order ID]])</f>
        <v>1</v>
      </c>
      <c r="Z7953" s="9">
        <f>1/COUNTIFS(Таблица1[Customer Name],Таблица1[[#This Row],[Customer Name]],Таблица1[Order-Year-Month],Таблица1[[#This Row],[Order-Year-Month]])</f>
        <v>0.5</v>
      </c>
    </row>
    <row r="7954" spans="1:26" x14ac:dyDescent="0.2">
      <c r="A7954" s="6">
        <v>5975</v>
      </c>
      <c r="B7954" s="7">
        <v>42370</v>
      </c>
      <c r="C7954" s="8">
        <f>DATE(2012,12,31)-406</f>
        <v>40868</v>
      </c>
      <c r="D7954" s="8" t="str">
        <f t="shared" si="152"/>
        <v>2011-11 (ноябрь 2011)</v>
      </c>
      <c r="E7954" s="9" t="s">
        <v>30</v>
      </c>
      <c r="F7954" s="7">
        <v>33</v>
      </c>
      <c r="G7954" s="7">
        <v>125.27</v>
      </c>
      <c r="H7954" s="7">
        <v>7.0000000000000007E-2</v>
      </c>
      <c r="I7954" s="9" t="s">
        <v>22</v>
      </c>
      <c r="J7954" s="10">
        <v>-105.83450000000001</v>
      </c>
      <c r="K7954" s="11">
        <v>3.81</v>
      </c>
      <c r="L7954" s="11">
        <v>4.83</v>
      </c>
      <c r="M7954" s="9" t="s">
        <v>2106</v>
      </c>
      <c r="N7954" s="6" t="s">
        <v>2073</v>
      </c>
      <c r="O7954" s="6" t="s">
        <v>704</v>
      </c>
      <c r="P7954" s="9" t="s">
        <v>60</v>
      </c>
      <c r="Q7954" s="9" t="s">
        <v>26</v>
      </c>
      <c r="R7954" s="9" t="s">
        <v>37</v>
      </c>
      <c r="S7954" s="7" t="s">
        <v>2108</v>
      </c>
      <c r="T7954" s="9" t="s">
        <v>39</v>
      </c>
      <c r="U7954" s="7">
        <v>0.4</v>
      </c>
      <c r="V7954" s="12">
        <f>C7954+2</f>
        <v>40870</v>
      </c>
      <c r="W7954">
        <f>IF(D7954=' Pivot Tables'!$A$4,1,0)</f>
        <v>0</v>
      </c>
      <c r="X7954">
        <f>IF(AND(LEFT(D7954,4)+1=LEFT(' Pivot Tables'!$A$4,4)+0,RIGHT(LEFT(D7954,7),2)=RIGHT(LEFT(' Pivot Tables'!$A$4,7),2)),1,0)</f>
        <v>0</v>
      </c>
      <c r="Y7954" s="6">
        <f>1/COUNTIF(Таблица1[Order ID],Таблица1[[#This Row],[Order ID]])</f>
        <v>1</v>
      </c>
      <c r="Z7954" s="9">
        <f>1/COUNTIFS(Таблица1[Customer Name],Таблица1[[#This Row],[Customer Name]],Таблица1[Order-Year-Month],Таблица1[[#This Row],[Order-Year-Month]])</f>
        <v>1</v>
      </c>
    </row>
    <row r="7955" spans="1:26" x14ac:dyDescent="0.2">
      <c r="A7955" s="6">
        <v>5986</v>
      </c>
      <c r="B7955" s="7">
        <v>42436</v>
      </c>
      <c r="C7955" s="8">
        <f>DATE(2012,12,31)-144</f>
        <v>41130</v>
      </c>
      <c r="D7955" s="8" t="str">
        <f t="shared" si="152"/>
        <v>2012-08 (август 2012)</v>
      </c>
      <c r="E7955" s="9" t="s">
        <v>78</v>
      </c>
      <c r="F7955" s="7">
        <v>30</v>
      </c>
      <c r="G7955" s="7">
        <v>10994.74</v>
      </c>
      <c r="H7955" s="7">
        <v>0.09</v>
      </c>
      <c r="I7955" s="9" t="s">
        <v>31</v>
      </c>
      <c r="J7955" s="10">
        <v>3612.58</v>
      </c>
      <c r="K7955" s="11">
        <v>400.97</v>
      </c>
      <c r="L7955" s="11">
        <v>48.26</v>
      </c>
      <c r="M7955" s="9" t="s">
        <v>2096</v>
      </c>
      <c r="N7955" s="6" t="s">
        <v>2073</v>
      </c>
      <c r="O7955" s="6" t="s">
        <v>704</v>
      </c>
      <c r="P7955" s="9" t="s">
        <v>41</v>
      </c>
      <c r="Q7955" s="9" t="s">
        <v>42</v>
      </c>
      <c r="R7955" s="9" t="s">
        <v>210</v>
      </c>
      <c r="S7955" s="7" t="s">
        <v>966</v>
      </c>
      <c r="T7955" s="9" t="s">
        <v>82</v>
      </c>
      <c r="U7955" s="7">
        <v>0.36</v>
      </c>
      <c r="V7955" s="12">
        <f>C7955+1</f>
        <v>41131</v>
      </c>
      <c r="W7955">
        <f>IF(D7955=' Pivot Tables'!$A$4,1,0)</f>
        <v>0</v>
      </c>
      <c r="X7955">
        <f>IF(AND(LEFT(D7955,4)+1=LEFT(' Pivot Tables'!$A$4,4)+0,RIGHT(LEFT(D7955,7),2)=RIGHT(LEFT(' Pivot Tables'!$A$4,7),2)),1,0)</f>
        <v>0</v>
      </c>
      <c r="Y7955" s="6">
        <f>1/COUNTIF(Таблица1[Order ID],Таблица1[[#This Row],[Order ID]])</f>
        <v>1</v>
      </c>
      <c r="Z7955" s="9">
        <f>1/COUNTIFS(Таблица1[Customer Name],Таблица1[[#This Row],[Customer Name]],Таблица1[Order-Year-Month],Таблица1[[#This Row],[Order-Year-Month]])</f>
        <v>1</v>
      </c>
    </row>
    <row r="7956" spans="1:26" x14ac:dyDescent="0.2">
      <c r="A7956" s="6">
        <v>6047</v>
      </c>
      <c r="B7956" s="7">
        <v>42855</v>
      </c>
      <c r="C7956" s="8">
        <f>DATE(2012,12,31)-542</f>
        <v>40732</v>
      </c>
      <c r="D7956" s="8" t="str">
        <f t="shared" si="152"/>
        <v>2011-07 (июль 2011)</v>
      </c>
      <c r="E7956" s="9" t="s">
        <v>45</v>
      </c>
      <c r="F7956" s="7">
        <v>17</v>
      </c>
      <c r="G7956" s="7">
        <v>135.38</v>
      </c>
      <c r="H7956" s="7">
        <v>0.05</v>
      </c>
      <c r="I7956" s="9" t="s">
        <v>22</v>
      </c>
      <c r="J7956" s="10">
        <v>-71.12</v>
      </c>
      <c r="K7956" s="11">
        <v>7.98</v>
      </c>
      <c r="L7956" s="11">
        <v>6.5</v>
      </c>
      <c r="M7956" s="9" t="s">
        <v>2094</v>
      </c>
      <c r="N7956" s="6" t="s">
        <v>2073</v>
      </c>
      <c r="O7956" s="6" t="s">
        <v>704</v>
      </c>
      <c r="P7956" s="9" t="s">
        <v>41</v>
      </c>
      <c r="Q7956" s="9" t="s">
        <v>26</v>
      </c>
      <c r="R7956" s="9" t="s">
        <v>27</v>
      </c>
      <c r="S7956" s="7" t="s">
        <v>1549</v>
      </c>
      <c r="T7956" s="9" t="s">
        <v>48</v>
      </c>
      <c r="U7956" s="7">
        <v>0.59</v>
      </c>
      <c r="V7956" s="12">
        <f>C7956+2</f>
        <v>40734</v>
      </c>
      <c r="W7956">
        <f>IF(D7956=' Pivot Tables'!$A$4,1,0)</f>
        <v>0</v>
      </c>
      <c r="X7956">
        <f>IF(AND(LEFT(D7956,4)+1=LEFT(' Pivot Tables'!$A$4,4)+0,RIGHT(LEFT(D7956,7),2)=RIGHT(LEFT(' Pivot Tables'!$A$4,7),2)),1,0)</f>
        <v>0</v>
      </c>
      <c r="Y7956" s="6">
        <f>1/COUNTIF(Таблица1[Order ID],Таблица1[[#This Row],[Order ID]])</f>
        <v>1</v>
      </c>
      <c r="Z7956" s="9">
        <f>1/COUNTIFS(Таблица1[Customer Name],Таблица1[[#This Row],[Customer Name]],Таблица1[Order-Year-Month],Таблица1[[#This Row],[Order-Year-Month]])</f>
        <v>1</v>
      </c>
    </row>
    <row r="7957" spans="1:26" x14ac:dyDescent="0.2">
      <c r="A7957" s="6">
        <v>6166</v>
      </c>
      <c r="B7957" s="7">
        <v>43686</v>
      </c>
      <c r="C7957" s="8">
        <f>DATE(2012,12,31)-604</f>
        <v>40670</v>
      </c>
      <c r="D7957" s="8" t="str">
        <f t="shared" si="152"/>
        <v>2011-05 (май 2011)</v>
      </c>
      <c r="E7957" s="9" t="s">
        <v>63</v>
      </c>
      <c r="F7957" s="7">
        <v>16</v>
      </c>
      <c r="G7957" s="7">
        <v>1313.64</v>
      </c>
      <c r="H7957" s="7">
        <v>0.05</v>
      </c>
      <c r="I7957" s="9" t="s">
        <v>22</v>
      </c>
      <c r="J7957" s="10">
        <v>284.83999999999997</v>
      </c>
      <c r="K7957" s="11">
        <v>83.1</v>
      </c>
      <c r="L7957" s="11">
        <v>6.13</v>
      </c>
      <c r="M7957" s="9" t="s">
        <v>2099</v>
      </c>
      <c r="N7957" s="6" t="s">
        <v>2073</v>
      </c>
      <c r="O7957" s="6" t="s">
        <v>704</v>
      </c>
      <c r="P7957" s="9" t="s">
        <v>41</v>
      </c>
      <c r="Q7957" s="9" t="s">
        <v>42</v>
      </c>
      <c r="R7957" s="9" t="s">
        <v>70</v>
      </c>
      <c r="S7957" s="7" t="s">
        <v>573</v>
      </c>
      <c r="T7957" s="9" t="s">
        <v>39</v>
      </c>
      <c r="U7957" s="7">
        <v>0.45</v>
      </c>
      <c r="V7957" s="12">
        <f>C7957+1</f>
        <v>40671</v>
      </c>
      <c r="W7957">
        <f>IF(D7957=' Pivot Tables'!$A$4,1,0)</f>
        <v>0</v>
      </c>
      <c r="X7957">
        <f>IF(AND(LEFT(D7957,4)+1=LEFT(' Pivot Tables'!$A$4,4)+0,RIGHT(LEFT(D7957,7),2)=RIGHT(LEFT(' Pivot Tables'!$A$4,7),2)),1,0)</f>
        <v>0</v>
      </c>
      <c r="Y7957" s="6">
        <f>1/COUNTIF(Таблица1[Order ID],Таблица1[[#This Row],[Order ID]])</f>
        <v>1</v>
      </c>
      <c r="Z7957" s="9">
        <f>1/COUNTIFS(Таблица1[Customer Name],Таблица1[[#This Row],[Customer Name]],Таблица1[Order-Year-Month],Таблица1[[#This Row],[Order-Year-Month]])</f>
        <v>1</v>
      </c>
    </row>
    <row r="7958" spans="1:26" x14ac:dyDescent="0.2">
      <c r="A7958" s="6">
        <v>6260</v>
      </c>
      <c r="B7958" s="7">
        <v>44295</v>
      </c>
      <c r="C7958" s="8">
        <f>DATE(2012,12,31)-1073</f>
        <v>40201</v>
      </c>
      <c r="D7958" s="8" t="str">
        <f t="shared" si="152"/>
        <v>2010-01 (январь 2010)</v>
      </c>
      <c r="E7958" s="9" t="s">
        <v>63</v>
      </c>
      <c r="F7958" s="7">
        <v>47</v>
      </c>
      <c r="G7958" s="7">
        <v>4524.9070000000002</v>
      </c>
      <c r="H7958" s="7">
        <v>7.0000000000000007E-2</v>
      </c>
      <c r="I7958" s="9" t="s">
        <v>22</v>
      </c>
      <c r="J7958" s="10">
        <v>1464.8670000000002</v>
      </c>
      <c r="K7958" s="11">
        <v>115.99</v>
      </c>
      <c r="L7958" s="11">
        <v>2.5</v>
      </c>
      <c r="M7958" s="9" t="s">
        <v>2100</v>
      </c>
      <c r="N7958" s="6" t="s">
        <v>2073</v>
      </c>
      <c r="O7958" s="6" t="s">
        <v>704</v>
      </c>
      <c r="P7958" s="9" t="s">
        <v>60</v>
      </c>
      <c r="Q7958" s="9" t="s">
        <v>42</v>
      </c>
      <c r="R7958" s="9" t="s">
        <v>43</v>
      </c>
      <c r="S7958" s="7" t="s">
        <v>1719</v>
      </c>
      <c r="T7958" s="9" t="s">
        <v>39</v>
      </c>
      <c r="U7958" s="7">
        <v>0.55000000000000004</v>
      </c>
      <c r="V7958" s="12">
        <f>C7958+2</f>
        <v>40203</v>
      </c>
      <c r="W7958">
        <f>IF(D7958=' Pivot Tables'!$A$4,1,0)</f>
        <v>1</v>
      </c>
      <c r="X7958">
        <f>IF(AND(LEFT(D7958,4)+1=LEFT(' Pivot Tables'!$A$4,4)+0,RIGHT(LEFT(D7958,7),2)=RIGHT(LEFT(' Pivot Tables'!$A$4,7),2)),1,0)</f>
        <v>0</v>
      </c>
      <c r="Y7958" s="6">
        <f>1/COUNTIF(Таблица1[Order ID],Таблица1[[#This Row],[Order ID]])</f>
        <v>1</v>
      </c>
      <c r="Z7958" s="9">
        <f>1/COUNTIFS(Таблица1[Customer Name],Таблица1[[#This Row],[Customer Name]],Таблица1[Order-Year-Month],Таблица1[[#This Row],[Order-Year-Month]])</f>
        <v>1</v>
      </c>
    </row>
    <row r="7959" spans="1:26" x14ac:dyDescent="0.2">
      <c r="A7959" s="6">
        <v>6333</v>
      </c>
      <c r="B7959" s="7">
        <v>44869</v>
      </c>
      <c r="C7959" s="8">
        <f>DATE(2012,12,31)-131</f>
        <v>41143</v>
      </c>
      <c r="D7959" s="8" t="str">
        <f t="shared" si="152"/>
        <v>2012-08 (август 2012)</v>
      </c>
      <c r="E7959" s="9" t="s">
        <v>63</v>
      </c>
      <c r="F7959" s="7">
        <v>43</v>
      </c>
      <c r="G7959" s="7">
        <v>283.18</v>
      </c>
      <c r="H7959" s="7">
        <v>0.03</v>
      </c>
      <c r="I7959" s="9" t="s">
        <v>22</v>
      </c>
      <c r="J7959" s="10">
        <v>-154.94999999999999</v>
      </c>
      <c r="K7959" s="11">
        <v>6.48</v>
      </c>
      <c r="L7959" s="11">
        <v>7.49</v>
      </c>
      <c r="M7959" s="9" t="s">
        <v>2094</v>
      </c>
      <c r="N7959" s="6" t="s">
        <v>2073</v>
      </c>
      <c r="O7959" s="6" t="s">
        <v>704</v>
      </c>
      <c r="P7959" s="9" t="s">
        <v>41</v>
      </c>
      <c r="Q7959" s="9" t="s">
        <v>26</v>
      </c>
      <c r="R7959" s="9" t="s">
        <v>61</v>
      </c>
      <c r="S7959" s="7" t="s">
        <v>643</v>
      </c>
      <c r="T7959" s="9" t="s">
        <v>39</v>
      </c>
      <c r="U7959" s="7">
        <v>0.37</v>
      </c>
      <c r="V7959" s="12">
        <f>C7959+2</f>
        <v>41145</v>
      </c>
      <c r="W7959">
        <f>IF(D7959=' Pivot Tables'!$A$4,1,0)</f>
        <v>0</v>
      </c>
      <c r="X7959">
        <f>IF(AND(LEFT(D7959,4)+1=LEFT(' Pivot Tables'!$A$4,4)+0,RIGHT(LEFT(D7959,7),2)=RIGHT(LEFT(' Pivot Tables'!$A$4,7),2)),1,0)</f>
        <v>0</v>
      </c>
      <c r="Y7959" s="6">
        <f>1/COUNTIF(Таблица1[Order ID],Таблица1[[#This Row],[Order ID]])</f>
        <v>1</v>
      </c>
      <c r="Z7959" s="9">
        <f>1/COUNTIFS(Таблица1[Customer Name],Таблица1[[#This Row],[Customer Name]],Таблица1[Order-Year-Month],Таблица1[[#This Row],[Order-Year-Month]])</f>
        <v>1</v>
      </c>
    </row>
    <row r="7960" spans="1:26" x14ac:dyDescent="0.2">
      <c r="A7960" s="6">
        <v>6405</v>
      </c>
      <c r="B7960" s="7">
        <v>45511</v>
      </c>
      <c r="C7960" s="8">
        <f>DATE(2012,12,31)-863</f>
        <v>40411</v>
      </c>
      <c r="D7960" s="8" t="str">
        <f t="shared" si="152"/>
        <v>2010-08 (август 2010)</v>
      </c>
      <c r="E7960" s="9" t="s">
        <v>21</v>
      </c>
      <c r="F7960" s="7">
        <v>31</v>
      </c>
      <c r="G7960" s="7">
        <v>951.31</v>
      </c>
      <c r="H7960" s="7">
        <v>0.08</v>
      </c>
      <c r="I7960" s="9" t="s">
        <v>31</v>
      </c>
      <c r="J7960" s="10">
        <v>-1099.46</v>
      </c>
      <c r="K7960" s="11">
        <v>31.76</v>
      </c>
      <c r="L7960" s="11">
        <v>45.51</v>
      </c>
      <c r="M7960" s="9" t="s">
        <v>2094</v>
      </c>
      <c r="N7960" s="6" t="s">
        <v>2073</v>
      </c>
      <c r="O7960" s="6" t="s">
        <v>704</v>
      </c>
      <c r="P7960" s="9" t="s">
        <v>41</v>
      </c>
      <c r="Q7960" s="9" t="s">
        <v>49</v>
      </c>
      <c r="R7960" s="9" t="s">
        <v>83</v>
      </c>
      <c r="S7960" s="7" t="s">
        <v>611</v>
      </c>
      <c r="T7960" s="9" t="s">
        <v>82</v>
      </c>
      <c r="U7960" s="7">
        <v>0.65</v>
      </c>
      <c r="V7960" s="12">
        <f>C7960+7</f>
        <v>40418</v>
      </c>
      <c r="W7960">
        <f>IF(D7960=' Pivot Tables'!$A$4,1,0)</f>
        <v>0</v>
      </c>
      <c r="X7960">
        <f>IF(AND(LEFT(D7960,4)+1=LEFT(' Pivot Tables'!$A$4,4)+0,RIGHT(LEFT(D7960,7),2)=RIGHT(LEFT(' Pivot Tables'!$A$4,7),2)),1,0)</f>
        <v>0</v>
      </c>
      <c r="Y7960" s="6">
        <f>1/COUNTIF(Таблица1[Order ID],Таблица1[[#This Row],[Order ID]])</f>
        <v>1</v>
      </c>
      <c r="Z7960" s="9">
        <f>1/COUNTIFS(Таблица1[Customer Name],Таблица1[[#This Row],[Customer Name]],Таблица1[Order-Year-Month],Таблица1[[#This Row],[Order-Year-Month]])</f>
        <v>1</v>
      </c>
    </row>
    <row r="7961" spans="1:26" x14ac:dyDescent="0.2">
      <c r="A7961" s="6">
        <v>6474</v>
      </c>
      <c r="B7961" s="7">
        <v>46053</v>
      </c>
      <c r="C7961" s="8">
        <f>DATE(2012,12,31)-109</f>
        <v>41165</v>
      </c>
      <c r="D7961" s="8" t="str">
        <f t="shared" si="152"/>
        <v>2012-09 (сентябрь 2012)</v>
      </c>
      <c r="E7961" s="9" t="s">
        <v>30</v>
      </c>
      <c r="F7961" s="7">
        <v>25</v>
      </c>
      <c r="G7961" s="7">
        <v>1458.83</v>
      </c>
      <c r="H7961" s="7">
        <v>0.05</v>
      </c>
      <c r="I7961" s="9" t="s">
        <v>22</v>
      </c>
      <c r="J7961" s="10">
        <v>392.76</v>
      </c>
      <c r="K7961" s="11">
        <v>60.22</v>
      </c>
      <c r="L7961" s="11">
        <v>3.5</v>
      </c>
      <c r="M7961" s="9" t="s">
        <v>1106</v>
      </c>
      <c r="N7961" s="6" t="s">
        <v>2073</v>
      </c>
      <c r="O7961" s="6" t="s">
        <v>704</v>
      </c>
      <c r="P7961" s="9" t="s">
        <v>33</v>
      </c>
      <c r="Q7961" s="9" t="s">
        <v>26</v>
      </c>
      <c r="R7961" s="9" t="s">
        <v>34</v>
      </c>
      <c r="S7961" s="7" t="s">
        <v>624</v>
      </c>
      <c r="T7961" s="9" t="s">
        <v>39</v>
      </c>
      <c r="U7961" s="7">
        <v>0.56999999999999995</v>
      </c>
      <c r="V7961" s="12">
        <f>C7961+1</f>
        <v>41166</v>
      </c>
      <c r="W7961">
        <f>IF(D7961=' Pivot Tables'!$A$4,1,0)</f>
        <v>0</v>
      </c>
      <c r="X7961">
        <f>IF(AND(LEFT(D7961,4)+1=LEFT(' Pivot Tables'!$A$4,4)+0,RIGHT(LEFT(D7961,7),2)=RIGHT(LEFT(' Pivot Tables'!$A$4,7),2)),1,0)</f>
        <v>0</v>
      </c>
      <c r="Y7961" s="6">
        <f>1/COUNTIF(Таблица1[Order ID],Таблица1[[#This Row],[Order ID]])</f>
        <v>0.5</v>
      </c>
      <c r="Z7961" s="9">
        <f>1/COUNTIFS(Таблица1[Customer Name],Таблица1[[#This Row],[Customer Name]],Таблица1[Order-Year-Month],Таблица1[[#This Row],[Order-Year-Month]])</f>
        <v>0.5</v>
      </c>
    </row>
    <row r="7962" spans="1:26" x14ac:dyDescent="0.2">
      <c r="A7962" s="6">
        <v>6531</v>
      </c>
      <c r="B7962" s="7">
        <v>46469</v>
      </c>
      <c r="C7962" s="8">
        <f>DATE(2012,12,31)-1233</f>
        <v>40041</v>
      </c>
      <c r="D7962" s="8" t="str">
        <f t="shared" si="152"/>
        <v>2009-08 (август 2009)</v>
      </c>
      <c r="E7962" s="9" t="s">
        <v>78</v>
      </c>
      <c r="F7962" s="7">
        <v>17</v>
      </c>
      <c r="G7962" s="7">
        <v>1210.72</v>
      </c>
      <c r="H7962" s="7">
        <v>0.05</v>
      </c>
      <c r="I7962" s="9" t="s">
        <v>31</v>
      </c>
      <c r="J7962" s="10">
        <v>-382.43</v>
      </c>
      <c r="K7962" s="11">
        <v>70.98</v>
      </c>
      <c r="L7962" s="11">
        <v>30</v>
      </c>
      <c r="M7962" s="9" t="s">
        <v>2097</v>
      </c>
      <c r="N7962" s="6" t="s">
        <v>2073</v>
      </c>
      <c r="O7962" s="6" t="s">
        <v>704</v>
      </c>
      <c r="P7962" s="9" t="s">
        <v>41</v>
      </c>
      <c r="Q7962" s="9" t="s">
        <v>49</v>
      </c>
      <c r="R7962" s="9" t="s">
        <v>112</v>
      </c>
      <c r="S7962" s="7" t="s">
        <v>2109</v>
      </c>
      <c r="T7962" s="9" t="s">
        <v>36</v>
      </c>
      <c r="U7962" s="7">
        <v>0.78</v>
      </c>
      <c r="V7962" s="12">
        <f>C7962+2</f>
        <v>40043</v>
      </c>
      <c r="W7962">
        <f>IF(D7962=' Pivot Tables'!$A$4,1,0)</f>
        <v>0</v>
      </c>
      <c r="X7962">
        <f>IF(AND(LEFT(D7962,4)+1=LEFT(' Pivot Tables'!$A$4,4)+0,RIGHT(LEFT(D7962,7),2)=RIGHT(LEFT(' Pivot Tables'!$A$4,7),2)),1,0)</f>
        <v>0</v>
      </c>
      <c r="Y7962" s="6">
        <f>1/COUNTIF(Таблица1[Order ID],Таблица1[[#This Row],[Order ID]])</f>
        <v>0.5</v>
      </c>
      <c r="Z7962" s="9">
        <f>1/COUNTIFS(Таблица1[Customer Name],Таблица1[[#This Row],[Customer Name]],Таблица1[Order-Year-Month],Таблица1[[#This Row],[Order-Year-Month]])</f>
        <v>0.5</v>
      </c>
    </row>
    <row r="7963" spans="1:26" x14ac:dyDescent="0.2">
      <c r="A7963" s="6">
        <v>6532</v>
      </c>
      <c r="B7963" s="7">
        <v>46469</v>
      </c>
      <c r="C7963" s="8">
        <f>DATE(2012,12,31)-1233</f>
        <v>40041</v>
      </c>
      <c r="D7963" s="8" t="str">
        <f t="shared" si="152"/>
        <v>2009-08 (август 2009)</v>
      </c>
      <c r="E7963" s="9" t="s">
        <v>78</v>
      </c>
      <c r="F7963" s="7">
        <v>18</v>
      </c>
      <c r="G7963" s="7">
        <v>93.26</v>
      </c>
      <c r="H7963" s="7">
        <v>0.05</v>
      </c>
      <c r="I7963" s="9" t="s">
        <v>22</v>
      </c>
      <c r="J7963" s="10">
        <v>-35.36</v>
      </c>
      <c r="K7963" s="11">
        <v>4.9800000000000004</v>
      </c>
      <c r="L7963" s="11">
        <v>4.7</v>
      </c>
      <c r="M7963" s="9" t="s">
        <v>2097</v>
      </c>
      <c r="N7963" s="6" t="s">
        <v>2073</v>
      </c>
      <c r="O7963" s="6" t="s">
        <v>704</v>
      </c>
      <c r="P7963" s="9" t="s">
        <v>41</v>
      </c>
      <c r="Q7963" s="9" t="s">
        <v>26</v>
      </c>
      <c r="R7963" s="9" t="s">
        <v>61</v>
      </c>
      <c r="S7963" s="7" t="s">
        <v>937</v>
      </c>
      <c r="T7963" s="9" t="s">
        <v>39</v>
      </c>
      <c r="U7963" s="7">
        <v>0.38</v>
      </c>
      <c r="V7963" s="12">
        <f>C7963+2</f>
        <v>40043</v>
      </c>
      <c r="W7963">
        <f>IF(D7963=' Pivot Tables'!$A$4,1,0)</f>
        <v>0</v>
      </c>
      <c r="X7963">
        <f>IF(AND(LEFT(D7963,4)+1=LEFT(' Pivot Tables'!$A$4,4)+0,RIGHT(LEFT(D7963,7),2)=RIGHT(LEFT(' Pivot Tables'!$A$4,7),2)),1,0)</f>
        <v>0</v>
      </c>
      <c r="Y7963" s="6">
        <f>1/COUNTIF(Таблица1[Order ID],Таблица1[[#This Row],[Order ID]])</f>
        <v>0.5</v>
      </c>
      <c r="Z7963" s="9">
        <f>1/COUNTIFS(Таблица1[Customer Name],Таблица1[[#This Row],[Customer Name]],Таблица1[Order-Year-Month],Таблица1[[#This Row],[Order-Year-Month]])</f>
        <v>0.5</v>
      </c>
    </row>
    <row r="7964" spans="1:26" x14ac:dyDescent="0.2">
      <c r="A7964" s="6">
        <v>6640</v>
      </c>
      <c r="B7964" s="7">
        <v>47207</v>
      </c>
      <c r="C7964" s="8">
        <f>DATE(2012,12,31)-1109</f>
        <v>40165</v>
      </c>
      <c r="D7964" s="8" t="str">
        <f t="shared" si="152"/>
        <v>2009-12 (декабрь 2009)</v>
      </c>
      <c r="E7964" s="9" t="s">
        <v>21</v>
      </c>
      <c r="F7964" s="7">
        <v>15</v>
      </c>
      <c r="G7964" s="7">
        <v>437.87</v>
      </c>
      <c r="H7964" s="7">
        <v>0.09</v>
      </c>
      <c r="I7964" s="9" t="s">
        <v>56</v>
      </c>
      <c r="J7964" s="10">
        <v>-111.94</v>
      </c>
      <c r="K7964" s="11">
        <v>30.98</v>
      </c>
      <c r="L7964" s="11">
        <v>6.5</v>
      </c>
      <c r="M7964" s="9" t="s">
        <v>1106</v>
      </c>
      <c r="N7964" s="6" t="s">
        <v>2073</v>
      </c>
      <c r="O7964" s="6" t="s">
        <v>704</v>
      </c>
      <c r="P7964" s="9" t="s">
        <v>33</v>
      </c>
      <c r="Q7964" s="9" t="s">
        <v>42</v>
      </c>
      <c r="R7964" s="9" t="s">
        <v>70</v>
      </c>
      <c r="S7964" s="7" t="s">
        <v>601</v>
      </c>
      <c r="T7964" s="9" t="s">
        <v>39</v>
      </c>
      <c r="U7964" s="7">
        <v>0.64</v>
      </c>
      <c r="V7964" s="12">
        <f>C7964+4</f>
        <v>40169</v>
      </c>
      <c r="W7964">
        <f>IF(D7964=' Pivot Tables'!$A$4,1,0)</f>
        <v>0</v>
      </c>
      <c r="X7964">
        <f>IF(AND(LEFT(D7964,4)+1=LEFT(' Pivot Tables'!$A$4,4)+0,RIGHT(LEFT(D7964,7),2)=RIGHT(LEFT(' Pivot Tables'!$A$4,7),2)),1,0)</f>
        <v>0</v>
      </c>
      <c r="Y7964" s="6">
        <f>1/COUNTIF(Таблица1[Order ID],Таблица1[[#This Row],[Order ID]])</f>
        <v>1</v>
      </c>
      <c r="Z7964" s="9">
        <f>1/COUNTIFS(Таблица1[Customer Name],Таблица1[[#This Row],[Customer Name]],Таблица1[Order-Year-Month],Таблица1[[#This Row],[Order-Year-Month]])</f>
        <v>0.33333333333333331</v>
      </c>
    </row>
    <row r="7965" spans="1:26" x14ac:dyDescent="0.2">
      <c r="A7965" s="6">
        <v>6853</v>
      </c>
      <c r="B7965" s="7">
        <v>48801</v>
      </c>
      <c r="C7965" s="8">
        <f>DATE(2012,12,31)-79</f>
        <v>41195</v>
      </c>
      <c r="D7965" s="8" t="str">
        <f t="shared" si="152"/>
        <v>2012-10 (октябрь 2012)</v>
      </c>
      <c r="E7965" s="9" t="s">
        <v>30</v>
      </c>
      <c r="F7965" s="7">
        <v>43</v>
      </c>
      <c r="G7965" s="7">
        <v>2387.61</v>
      </c>
      <c r="H7965" s="7">
        <v>0.01</v>
      </c>
      <c r="I7965" s="9" t="s">
        <v>22</v>
      </c>
      <c r="J7965" s="10">
        <v>527.13</v>
      </c>
      <c r="K7965" s="11">
        <v>54.2</v>
      </c>
      <c r="L7965" s="11">
        <v>11.1</v>
      </c>
      <c r="M7965" s="9" t="s">
        <v>2104</v>
      </c>
      <c r="N7965" s="6" t="s">
        <v>2073</v>
      </c>
      <c r="O7965" s="6" t="s">
        <v>704</v>
      </c>
      <c r="P7965" s="9" t="s">
        <v>60</v>
      </c>
      <c r="Q7965" s="9" t="s">
        <v>49</v>
      </c>
      <c r="R7965" s="9" t="s">
        <v>50</v>
      </c>
      <c r="S7965" s="7" t="s">
        <v>1833</v>
      </c>
      <c r="T7965" s="9" t="s">
        <v>48</v>
      </c>
      <c r="U7965" s="7">
        <v>0.64</v>
      </c>
      <c r="V7965" s="12">
        <f>C7965+0</f>
        <v>41195</v>
      </c>
      <c r="W7965">
        <f>IF(D7965=' Pivot Tables'!$A$4,1,0)</f>
        <v>0</v>
      </c>
      <c r="X7965">
        <f>IF(AND(LEFT(D7965,4)+1=LEFT(' Pivot Tables'!$A$4,4)+0,RIGHT(LEFT(D7965,7),2)=RIGHT(LEFT(' Pivot Tables'!$A$4,7),2)),1,0)</f>
        <v>0</v>
      </c>
      <c r="Y7965" s="6">
        <f>1/COUNTIF(Таблица1[Order ID],Таблица1[[#This Row],[Order ID]])</f>
        <v>1</v>
      </c>
      <c r="Z7965" s="9">
        <f>1/COUNTIFS(Таблица1[Customer Name],Таблица1[[#This Row],[Customer Name]],Таблица1[Order-Year-Month],Таблица1[[#This Row],[Order-Year-Month]])</f>
        <v>1</v>
      </c>
    </row>
    <row r="7966" spans="1:26" x14ac:dyDescent="0.2">
      <c r="A7966" s="6">
        <v>6994</v>
      </c>
      <c r="B7966" s="7">
        <v>49954</v>
      </c>
      <c r="C7966" s="8">
        <f>DATE(2012,12,31)-308</f>
        <v>40966</v>
      </c>
      <c r="D7966" s="8" t="str">
        <f t="shared" si="152"/>
        <v>2012-02 (февраль 2012)</v>
      </c>
      <c r="E7966" s="9" t="s">
        <v>78</v>
      </c>
      <c r="F7966" s="7">
        <v>36</v>
      </c>
      <c r="G7966" s="7">
        <v>1921.1275000000001</v>
      </c>
      <c r="H7966" s="7">
        <v>0.08</v>
      </c>
      <c r="I7966" s="9" t="s">
        <v>22</v>
      </c>
      <c r="J7966" s="10">
        <v>248.58</v>
      </c>
      <c r="K7966" s="11">
        <v>65.989999999999995</v>
      </c>
      <c r="L7966" s="11">
        <v>8.99</v>
      </c>
      <c r="M7966" s="9" t="s">
        <v>2102</v>
      </c>
      <c r="N7966" s="6" t="s">
        <v>2073</v>
      </c>
      <c r="O7966" s="6" t="s">
        <v>704</v>
      </c>
      <c r="P7966" s="9" t="s">
        <v>60</v>
      </c>
      <c r="Q7966" s="9" t="s">
        <v>42</v>
      </c>
      <c r="R7966" s="9" t="s">
        <v>43</v>
      </c>
      <c r="S7966" s="7" t="s">
        <v>534</v>
      </c>
      <c r="T7966" s="9" t="s">
        <v>39</v>
      </c>
      <c r="U7966" s="7">
        <v>0.56000000000000005</v>
      </c>
      <c r="V7966" s="12">
        <f>C7966+2</f>
        <v>40968</v>
      </c>
      <c r="W7966">
        <f>IF(D7966=' Pivot Tables'!$A$4,1,0)</f>
        <v>0</v>
      </c>
      <c r="X7966">
        <f>IF(AND(LEFT(D7966,4)+1=LEFT(' Pivot Tables'!$A$4,4)+0,RIGHT(LEFT(D7966,7),2)=RIGHT(LEFT(' Pivot Tables'!$A$4,7),2)),1,0)</f>
        <v>0</v>
      </c>
      <c r="Y7966" s="6">
        <f>1/COUNTIF(Таблица1[Order ID],Таблица1[[#This Row],[Order ID]])</f>
        <v>1</v>
      </c>
      <c r="Z7966" s="9">
        <f>1/COUNTIFS(Таблица1[Customer Name],Таблица1[[#This Row],[Customer Name]],Таблица1[Order-Year-Month],Таблица1[[#This Row],[Order-Year-Month]])</f>
        <v>1</v>
      </c>
    </row>
    <row r="7967" spans="1:26" x14ac:dyDescent="0.2">
      <c r="A7967" s="6">
        <v>7084</v>
      </c>
      <c r="B7967" s="7">
        <v>50563</v>
      </c>
      <c r="C7967" s="8">
        <f>DATE(2012,12,31)-534</f>
        <v>40740</v>
      </c>
      <c r="D7967" s="8" t="str">
        <f t="shared" si="152"/>
        <v>2011-07 (июль 2011)</v>
      </c>
      <c r="E7967" s="9" t="s">
        <v>30</v>
      </c>
      <c r="F7967" s="7">
        <v>2</v>
      </c>
      <c r="G7967" s="7">
        <v>423.04</v>
      </c>
      <c r="H7967" s="7">
        <v>0.05</v>
      </c>
      <c r="I7967" s="9" t="s">
        <v>56</v>
      </c>
      <c r="J7967" s="10">
        <v>-270.7</v>
      </c>
      <c r="K7967" s="11">
        <v>210.55</v>
      </c>
      <c r="L7967" s="11">
        <v>9.99</v>
      </c>
      <c r="M7967" s="9" t="s">
        <v>2101</v>
      </c>
      <c r="N7967" s="6" t="s">
        <v>2073</v>
      </c>
      <c r="O7967" s="6" t="s">
        <v>704</v>
      </c>
      <c r="P7967" s="9" t="s">
        <v>25</v>
      </c>
      <c r="Q7967" s="9" t="s">
        <v>26</v>
      </c>
      <c r="R7967" s="9" t="s">
        <v>27</v>
      </c>
      <c r="S7967" s="7" t="s">
        <v>676</v>
      </c>
      <c r="T7967" s="9" t="s">
        <v>39</v>
      </c>
      <c r="U7967" s="7">
        <v>0.6</v>
      </c>
      <c r="V7967" s="12">
        <f>C7967+1</f>
        <v>40741</v>
      </c>
      <c r="W7967">
        <f>IF(D7967=' Pivot Tables'!$A$4,1,0)</f>
        <v>0</v>
      </c>
      <c r="X7967">
        <f>IF(AND(LEFT(D7967,4)+1=LEFT(' Pivot Tables'!$A$4,4)+0,RIGHT(LEFT(D7967,7),2)=RIGHT(LEFT(' Pivot Tables'!$A$4,7),2)),1,0)</f>
        <v>0</v>
      </c>
      <c r="Y7967" s="6">
        <f>1/COUNTIF(Таблица1[Order ID],Таблица1[[#This Row],[Order ID]])</f>
        <v>0.5</v>
      </c>
      <c r="Z7967" s="9">
        <f>1/COUNTIFS(Таблица1[Customer Name],Таблица1[[#This Row],[Customer Name]],Таблица1[Order-Year-Month],Таблица1[[#This Row],[Order-Year-Month]])</f>
        <v>0.5</v>
      </c>
    </row>
    <row r="7968" spans="1:26" x14ac:dyDescent="0.2">
      <c r="A7968" s="6">
        <v>7085</v>
      </c>
      <c r="B7968" s="7">
        <v>50563</v>
      </c>
      <c r="C7968" s="8">
        <f>DATE(2012,12,31)-534</f>
        <v>40740</v>
      </c>
      <c r="D7968" s="8" t="str">
        <f t="shared" si="152"/>
        <v>2011-07 (июль 2011)</v>
      </c>
      <c r="E7968" s="9" t="s">
        <v>30</v>
      </c>
      <c r="F7968" s="7">
        <v>20</v>
      </c>
      <c r="G7968" s="7">
        <v>2197.4115000000002</v>
      </c>
      <c r="H7968" s="7">
        <v>0</v>
      </c>
      <c r="I7968" s="9" t="s">
        <v>56</v>
      </c>
      <c r="J7968" s="10">
        <v>305.964</v>
      </c>
      <c r="K7968" s="11">
        <v>125.99</v>
      </c>
      <c r="L7968" s="11">
        <v>7.69</v>
      </c>
      <c r="M7968" s="9" t="s">
        <v>2101</v>
      </c>
      <c r="N7968" s="6" t="s">
        <v>2073</v>
      </c>
      <c r="O7968" s="6" t="s">
        <v>704</v>
      </c>
      <c r="P7968" s="9" t="s">
        <v>25</v>
      </c>
      <c r="Q7968" s="9" t="s">
        <v>42</v>
      </c>
      <c r="R7968" s="9" t="s">
        <v>43</v>
      </c>
      <c r="S7968" s="7" t="s">
        <v>129</v>
      </c>
      <c r="T7968" s="9" t="s">
        <v>39</v>
      </c>
      <c r="U7968" s="7">
        <v>0.57999999999999996</v>
      </c>
      <c r="V7968" s="12">
        <f>C7968+1</f>
        <v>40741</v>
      </c>
      <c r="W7968">
        <f>IF(D7968=' Pivot Tables'!$A$4,1,0)</f>
        <v>0</v>
      </c>
      <c r="X7968">
        <f>IF(AND(LEFT(D7968,4)+1=LEFT(' Pivot Tables'!$A$4,4)+0,RIGHT(LEFT(D7968,7),2)=RIGHT(LEFT(' Pivot Tables'!$A$4,7),2)),1,0)</f>
        <v>0</v>
      </c>
      <c r="Y7968" s="6">
        <f>1/COUNTIF(Таблица1[Order ID],Таблица1[[#This Row],[Order ID]])</f>
        <v>0.5</v>
      </c>
      <c r="Z7968" s="9">
        <f>1/COUNTIFS(Таблица1[Customer Name],Таблица1[[#This Row],[Customer Name]],Таблица1[Order-Year-Month],Таблица1[[#This Row],[Order-Year-Month]])</f>
        <v>0.5</v>
      </c>
    </row>
    <row r="7969" spans="1:26" x14ac:dyDescent="0.2">
      <c r="A7969" s="6">
        <v>7134</v>
      </c>
      <c r="B7969" s="7">
        <v>50882</v>
      </c>
      <c r="C7969" s="8">
        <f>DATE(2012,12,31)-853</f>
        <v>40421</v>
      </c>
      <c r="D7969" s="8" t="str">
        <f t="shared" si="152"/>
        <v>2010-08 (август 2010)</v>
      </c>
      <c r="E7969" s="9" t="s">
        <v>30</v>
      </c>
      <c r="F7969" s="7">
        <v>37</v>
      </c>
      <c r="G7969" s="7">
        <v>366.84</v>
      </c>
      <c r="H7969" s="7">
        <v>0.08</v>
      </c>
      <c r="I7969" s="9" t="s">
        <v>22</v>
      </c>
      <c r="J7969" s="10">
        <v>-50.1</v>
      </c>
      <c r="K7969" s="11">
        <v>10.23</v>
      </c>
      <c r="L7969" s="11">
        <v>4.68</v>
      </c>
      <c r="M7969" s="9" t="s">
        <v>2023</v>
      </c>
      <c r="N7969" s="6" t="s">
        <v>2073</v>
      </c>
      <c r="O7969" s="6" t="s">
        <v>704</v>
      </c>
      <c r="P7969" s="9" t="s">
        <v>33</v>
      </c>
      <c r="Q7969" s="9" t="s">
        <v>26</v>
      </c>
      <c r="R7969" s="9" t="s">
        <v>150</v>
      </c>
      <c r="S7969" s="7" t="s">
        <v>1054</v>
      </c>
      <c r="T7969" s="9" t="s">
        <v>52</v>
      </c>
      <c r="U7969" s="7">
        <v>0.59</v>
      </c>
      <c r="V7969" s="12">
        <f>C7969+0</f>
        <v>40421</v>
      </c>
      <c r="W7969">
        <f>IF(D7969=' Pivot Tables'!$A$4,1,0)</f>
        <v>0</v>
      </c>
      <c r="X7969">
        <f>IF(AND(LEFT(D7969,4)+1=LEFT(' Pivot Tables'!$A$4,4)+0,RIGHT(LEFT(D7969,7),2)=RIGHT(LEFT(' Pivot Tables'!$A$4,7),2)),1,0)</f>
        <v>0</v>
      </c>
      <c r="Y7969" s="6">
        <f>1/COUNTIF(Таблица1[Order ID],Таблица1[[#This Row],[Order ID]])</f>
        <v>1</v>
      </c>
      <c r="Z7969" s="9">
        <f>1/COUNTIFS(Таблица1[Customer Name],Таблица1[[#This Row],[Customer Name]],Таблица1[Order-Year-Month],Таблица1[[#This Row],[Order-Year-Month]])</f>
        <v>1</v>
      </c>
    </row>
    <row r="7970" spans="1:26" x14ac:dyDescent="0.2">
      <c r="A7970" s="6">
        <v>7223</v>
      </c>
      <c r="B7970" s="7">
        <v>51553</v>
      </c>
      <c r="C7970" s="8">
        <f>DATE(2012,12,31)-400</f>
        <v>40874</v>
      </c>
      <c r="D7970" s="8" t="str">
        <f t="shared" si="152"/>
        <v>2011-11 (ноябрь 2011)</v>
      </c>
      <c r="E7970" s="9" t="s">
        <v>45</v>
      </c>
      <c r="F7970" s="7">
        <v>3</v>
      </c>
      <c r="G7970" s="7">
        <v>21366.51</v>
      </c>
      <c r="H7970" s="7">
        <v>0</v>
      </c>
      <c r="I7970" s="9" t="s">
        <v>22</v>
      </c>
      <c r="J7970" s="10">
        <v>-11984.3979</v>
      </c>
      <c r="K7970" s="11">
        <v>6783.02</v>
      </c>
      <c r="L7970" s="11">
        <v>24.49</v>
      </c>
      <c r="M7970" s="9" t="s">
        <v>2105</v>
      </c>
      <c r="N7970" s="6" t="s">
        <v>2073</v>
      </c>
      <c r="O7970" s="6" t="s">
        <v>704</v>
      </c>
      <c r="P7970" s="9" t="s">
        <v>25</v>
      </c>
      <c r="Q7970" s="9" t="s">
        <v>42</v>
      </c>
      <c r="R7970" s="9" t="s">
        <v>210</v>
      </c>
      <c r="S7970" s="7" t="s">
        <v>1668</v>
      </c>
      <c r="T7970" s="9" t="s">
        <v>29</v>
      </c>
      <c r="U7970" s="7">
        <v>0.39</v>
      </c>
      <c r="V7970" s="12">
        <f>C7970+1</f>
        <v>40875</v>
      </c>
      <c r="W7970">
        <f>IF(D7970=' Pivot Tables'!$A$4,1,0)</f>
        <v>0</v>
      </c>
      <c r="X7970">
        <f>IF(AND(LEFT(D7970,4)+1=LEFT(' Pivot Tables'!$A$4,4)+0,RIGHT(LEFT(D7970,7),2)=RIGHT(LEFT(' Pivot Tables'!$A$4,7),2)),1,0)</f>
        <v>0</v>
      </c>
      <c r="Y7970" s="6">
        <f>1/COUNTIF(Таблица1[Order ID],Таблица1[[#This Row],[Order ID]])</f>
        <v>0.25</v>
      </c>
      <c r="Z7970" s="9">
        <f>1/COUNTIFS(Таблица1[Customer Name],Таблица1[[#This Row],[Customer Name]],Таблица1[Order-Year-Month],Таблица1[[#This Row],[Order-Year-Month]])</f>
        <v>0.25</v>
      </c>
    </row>
    <row r="7971" spans="1:26" x14ac:dyDescent="0.2">
      <c r="A7971" s="6">
        <v>7224</v>
      </c>
      <c r="B7971" s="7">
        <v>51553</v>
      </c>
      <c r="C7971" s="8">
        <f>DATE(2012,12,31)-400</f>
        <v>40874</v>
      </c>
      <c r="D7971" s="8" t="str">
        <f t="shared" si="152"/>
        <v>2011-11 (ноябрь 2011)</v>
      </c>
      <c r="E7971" s="9" t="s">
        <v>45</v>
      </c>
      <c r="F7971" s="7">
        <v>34</v>
      </c>
      <c r="G7971" s="7">
        <v>320.04000000000002</v>
      </c>
      <c r="H7971" s="7">
        <v>0.02</v>
      </c>
      <c r="I7971" s="9" t="s">
        <v>56</v>
      </c>
      <c r="J7971" s="10">
        <v>32.47</v>
      </c>
      <c r="K7971" s="11">
        <v>9.27</v>
      </c>
      <c r="L7971" s="11">
        <v>4.3899999999999997</v>
      </c>
      <c r="M7971" s="9" t="s">
        <v>2105</v>
      </c>
      <c r="N7971" s="6" t="s">
        <v>2073</v>
      </c>
      <c r="O7971" s="6" t="s">
        <v>704</v>
      </c>
      <c r="P7971" s="9" t="s">
        <v>25</v>
      </c>
      <c r="Q7971" s="9" t="s">
        <v>26</v>
      </c>
      <c r="R7971" s="9" t="s">
        <v>61</v>
      </c>
      <c r="S7971" s="7" t="s">
        <v>400</v>
      </c>
      <c r="T7971" s="9" t="s">
        <v>68</v>
      </c>
      <c r="U7971" s="7">
        <v>0.38</v>
      </c>
      <c r="V7971" s="12">
        <f>C7971+2</f>
        <v>40876</v>
      </c>
      <c r="W7971">
        <f>IF(D7971=' Pivot Tables'!$A$4,1,0)</f>
        <v>0</v>
      </c>
      <c r="X7971">
        <f>IF(AND(LEFT(D7971,4)+1=LEFT(' Pivot Tables'!$A$4,4)+0,RIGHT(LEFT(D7971,7),2)=RIGHT(LEFT(' Pivot Tables'!$A$4,7),2)),1,0)</f>
        <v>0</v>
      </c>
      <c r="Y7971" s="6">
        <f>1/COUNTIF(Таблица1[Order ID],Таблица1[[#This Row],[Order ID]])</f>
        <v>0.25</v>
      </c>
      <c r="Z7971" s="9">
        <f>1/COUNTIFS(Таблица1[Customer Name],Таблица1[[#This Row],[Customer Name]],Таблица1[Order-Year-Month],Таблица1[[#This Row],[Order-Year-Month]])</f>
        <v>0.25</v>
      </c>
    </row>
    <row r="7972" spans="1:26" x14ac:dyDescent="0.2">
      <c r="A7972" s="6">
        <v>7225</v>
      </c>
      <c r="B7972" s="7">
        <v>51553</v>
      </c>
      <c r="C7972" s="8">
        <f>DATE(2012,12,31)-400</f>
        <v>40874</v>
      </c>
      <c r="D7972" s="8" t="str">
        <f t="shared" si="152"/>
        <v>2011-11 (ноябрь 2011)</v>
      </c>
      <c r="E7972" s="9" t="s">
        <v>45</v>
      </c>
      <c r="F7972" s="7">
        <v>12</v>
      </c>
      <c r="G7972" s="7">
        <v>88.57</v>
      </c>
      <c r="H7972" s="7">
        <v>0.03</v>
      </c>
      <c r="I7972" s="9" t="s">
        <v>22</v>
      </c>
      <c r="J7972" s="10">
        <v>-28.25</v>
      </c>
      <c r="K7972" s="11">
        <v>6.68</v>
      </c>
      <c r="L7972" s="11">
        <v>6.15</v>
      </c>
      <c r="M7972" s="9" t="s">
        <v>2105</v>
      </c>
      <c r="N7972" s="6" t="s">
        <v>2073</v>
      </c>
      <c r="O7972" s="6" t="s">
        <v>704</v>
      </c>
      <c r="P7972" s="9" t="s">
        <v>25</v>
      </c>
      <c r="Q7972" s="9" t="s">
        <v>26</v>
      </c>
      <c r="R7972" s="9" t="s">
        <v>61</v>
      </c>
      <c r="S7972" s="7" t="s">
        <v>1714</v>
      </c>
      <c r="T7972" s="9" t="s">
        <v>39</v>
      </c>
      <c r="U7972" s="7">
        <v>0.37</v>
      </c>
      <c r="V7972" s="12">
        <f>C7972+2</f>
        <v>40876</v>
      </c>
      <c r="W7972">
        <f>IF(D7972=' Pivot Tables'!$A$4,1,0)</f>
        <v>0</v>
      </c>
      <c r="X7972">
        <f>IF(AND(LEFT(D7972,4)+1=LEFT(' Pivot Tables'!$A$4,4)+0,RIGHT(LEFT(D7972,7),2)=RIGHT(LEFT(' Pivot Tables'!$A$4,7),2)),1,0)</f>
        <v>0</v>
      </c>
      <c r="Y7972" s="6">
        <f>1/COUNTIF(Таблица1[Order ID],Таблица1[[#This Row],[Order ID]])</f>
        <v>0.25</v>
      </c>
      <c r="Z7972" s="9">
        <f>1/COUNTIFS(Таблица1[Customer Name],Таблица1[[#This Row],[Customer Name]],Таблица1[Order-Year-Month],Таблица1[[#This Row],[Order-Year-Month]])</f>
        <v>0.25</v>
      </c>
    </row>
    <row r="7973" spans="1:26" x14ac:dyDescent="0.2">
      <c r="A7973" s="6">
        <v>7226</v>
      </c>
      <c r="B7973" s="7">
        <v>51553</v>
      </c>
      <c r="C7973" s="8">
        <f>DATE(2012,12,31)-400</f>
        <v>40874</v>
      </c>
      <c r="D7973" s="8" t="str">
        <f t="shared" si="152"/>
        <v>2011-11 (ноябрь 2011)</v>
      </c>
      <c r="E7973" s="9" t="s">
        <v>45</v>
      </c>
      <c r="F7973" s="7">
        <v>13</v>
      </c>
      <c r="G7973" s="7">
        <v>73.97</v>
      </c>
      <c r="H7973" s="7">
        <v>0.1</v>
      </c>
      <c r="I7973" s="9" t="s">
        <v>22</v>
      </c>
      <c r="J7973" s="10">
        <v>-38.35</v>
      </c>
      <c r="K7973" s="11">
        <v>5.78</v>
      </c>
      <c r="L7973" s="11">
        <v>5.67</v>
      </c>
      <c r="M7973" s="9" t="s">
        <v>2105</v>
      </c>
      <c r="N7973" s="6" t="s">
        <v>2073</v>
      </c>
      <c r="O7973" s="6" t="s">
        <v>704</v>
      </c>
      <c r="P7973" s="9" t="s">
        <v>25</v>
      </c>
      <c r="Q7973" s="9" t="s">
        <v>26</v>
      </c>
      <c r="R7973" s="9" t="s">
        <v>61</v>
      </c>
      <c r="S7973" s="7" t="s">
        <v>587</v>
      </c>
      <c r="T7973" s="9" t="s">
        <v>39</v>
      </c>
      <c r="U7973" s="7">
        <v>0.36</v>
      </c>
      <c r="V7973" s="12">
        <f>C7973+3</f>
        <v>40877</v>
      </c>
      <c r="W7973">
        <f>IF(D7973=' Pivot Tables'!$A$4,1,0)</f>
        <v>0</v>
      </c>
      <c r="X7973">
        <f>IF(AND(LEFT(D7973,4)+1=LEFT(' Pivot Tables'!$A$4,4)+0,RIGHT(LEFT(D7973,7),2)=RIGHT(LEFT(' Pivot Tables'!$A$4,7),2)),1,0)</f>
        <v>0</v>
      </c>
      <c r="Y7973" s="6">
        <f>1/COUNTIF(Таблица1[Order ID],Таблица1[[#This Row],[Order ID]])</f>
        <v>0.25</v>
      </c>
      <c r="Z7973" s="9">
        <f>1/COUNTIFS(Таблица1[Customer Name],Таблица1[[#This Row],[Customer Name]],Таблица1[Order-Year-Month],Таблица1[[#This Row],[Order-Year-Month]])</f>
        <v>0.25</v>
      </c>
    </row>
    <row r="7974" spans="1:26" x14ac:dyDescent="0.2">
      <c r="A7974" s="6">
        <v>7327</v>
      </c>
      <c r="B7974" s="7">
        <v>52199</v>
      </c>
      <c r="C7974" s="8">
        <f>DATE(2012,12,31)-705</f>
        <v>40569</v>
      </c>
      <c r="D7974" s="8" t="str">
        <f t="shared" si="152"/>
        <v>2011-01 (январь 2011)</v>
      </c>
      <c r="E7974" s="9" t="s">
        <v>63</v>
      </c>
      <c r="F7974" s="7">
        <v>19</v>
      </c>
      <c r="G7974" s="7">
        <v>92.24</v>
      </c>
      <c r="H7974" s="7">
        <v>0.05</v>
      </c>
      <c r="I7974" s="9" t="s">
        <v>22</v>
      </c>
      <c r="J7974" s="10">
        <v>-60.582000000000001</v>
      </c>
      <c r="K7974" s="11">
        <v>4.82</v>
      </c>
      <c r="L7974" s="11">
        <v>5.24</v>
      </c>
      <c r="M7974" s="9" t="s">
        <v>2097</v>
      </c>
      <c r="N7974" s="6" t="s">
        <v>2073</v>
      </c>
      <c r="O7974" s="6" t="s">
        <v>704</v>
      </c>
      <c r="P7974" s="9" t="s">
        <v>41</v>
      </c>
      <c r="Q7974" s="9" t="s">
        <v>26</v>
      </c>
      <c r="R7974" s="9" t="s">
        <v>37</v>
      </c>
      <c r="S7974" s="7" t="s">
        <v>1683</v>
      </c>
      <c r="T7974" s="9" t="s">
        <v>39</v>
      </c>
      <c r="U7974" s="7">
        <v>0.39</v>
      </c>
      <c r="V7974" s="12">
        <f>C7974+1</f>
        <v>40570</v>
      </c>
      <c r="W7974">
        <f>IF(D7974=' Pivot Tables'!$A$4,1,0)</f>
        <v>0</v>
      </c>
      <c r="X7974">
        <f>IF(AND(LEFT(D7974,4)+1=LEFT(' Pivot Tables'!$A$4,4)+0,RIGHT(LEFT(D7974,7),2)=RIGHT(LEFT(' Pivot Tables'!$A$4,7),2)),1,0)</f>
        <v>0</v>
      </c>
      <c r="Y7974" s="6">
        <f>1/COUNTIF(Таблица1[Order ID],Таблица1[[#This Row],[Order ID]])</f>
        <v>1</v>
      </c>
      <c r="Z7974" s="9">
        <f>1/COUNTIFS(Таблица1[Customer Name],Таблица1[[#This Row],[Customer Name]],Таблица1[Order-Year-Month],Таблица1[[#This Row],[Order-Year-Month]])</f>
        <v>1</v>
      </c>
    </row>
    <row r="7975" spans="1:26" x14ac:dyDescent="0.2">
      <c r="A7975" s="6">
        <v>7341</v>
      </c>
      <c r="B7975" s="7">
        <v>52293</v>
      </c>
      <c r="C7975" s="8">
        <f>DATE(2012,12,31)-626</f>
        <v>40648</v>
      </c>
      <c r="D7975" s="8" t="str">
        <f t="shared" si="152"/>
        <v>2011-04 (апрель 2011)</v>
      </c>
      <c r="E7975" s="9" t="s">
        <v>30</v>
      </c>
      <c r="F7975" s="7">
        <v>4</v>
      </c>
      <c r="G7975" s="7">
        <v>31.14</v>
      </c>
      <c r="H7975" s="7">
        <v>0.08</v>
      </c>
      <c r="I7975" s="9" t="s">
        <v>22</v>
      </c>
      <c r="J7975" s="10">
        <v>-14.59</v>
      </c>
      <c r="K7975" s="11">
        <v>6.48</v>
      </c>
      <c r="L7975" s="11">
        <v>5.86</v>
      </c>
      <c r="M7975" s="9" t="s">
        <v>1106</v>
      </c>
      <c r="N7975" s="6" t="s">
        <v>2073</v>
      </c>
      <c r="O7975" s="6" t="s">
        <v>704</v>
      </c>
      <c r="P7975" s="9" t="s">
        <v>33</v>
      </c>
      <c r="Q7975" s="9" t="s">
        <v>26</v>
      </c>
      <c r="R7975" s="9" t="s">
        <v>61</v>
      </c>
      <c r="S7975" s="7" t="s">
        <v>174</v>
      </c>
      <c r="T7975" s="9" t="s">
        <v>39</v>
      </c>
      <c r="U7975" s="7">
        <v>0.36</v>
      </c>
      <c r="V7975" s="12">
        <f>C7975+1</f>
        <v>40649</v>
      </c>
      <c r="W7975">
        <f>IF(D7975=' Pivot Tables'!$A$4,1,0)</f>
        <v>0</v>
      </c>
      <c r="X7975">
        <f>IF(AND(LEFT(D7975,4)+1=LEFT(' Pivot Tables'!$A$4,4)+0,RIGHT(LEFT(D7975,7),2)=RIGHT(LEFT(' Pivot Tables'!$A$4,7),2)),1,0)</f>
        <v>0</v>
      </c>
      <c r="Y7975" s="6">
        <f>1/COUNTIF(Таблица1[Order ID],Таблица1[[#This Row],[Order ID]])</f>
        <v>1</v>
      </c>
      <c r="Z7975" s="9">
        <f>1/COUNTIFS(Таблица1[Customer Name],Таблица1[[#This Row],[Customer Name]],Таблица1[Order-Year-Month],Таблица1[[#This Row],[Order-Year-Month]])</f>
        <v>1</v>
      </c>
    </row>
    <row r="7976" spans="1:26" x14ac:dyDescent="0.2">
      <c r="A7976" s="6">
        <v>7407</v>
      </c>
      <c r="B7976" s="7">
        <v>52839</v>
      </c>
      <c r="C7976" s="8">
        <f>DATE(2012,12,31)-995</f>
        <v>40279</v>
      </c>
      <c r="D7976" s="8" t="str">
        <f t="shared" si="152"/>
        <v>2010-04 (апрель 2010)</v>
      </c>
      <c r="E7976" s="9" t="s">
        <v>30</v>
      </c>
      <c r="F7976" s="7">
        <v>8</v>
      </c>
      <c r="G7976" s="7">
        <v>30.17</v>
      </c>
      <c r="H7976" s="7">
        <v>0.04</v>
      </c>
      <c r="I7976" s="9" t="s">
        <v>22</v>
      </c>
      <c r="J7976" s="10">
        <v>-22.84</v>
      </c>
      <c r="K7976" s="11">
        <v>3.28</v>
      </c>
      <c r="L7976" s="11">
        <v>3.97</v>
      </c>
      <c r="M7976" s="9" t="s">
        <v>2106</v>
      </c>
      <c r="N7976" s="6" t="s">
        <v>2073</v>
      </c>
      <c r="O7976" s="6" t="s">
        <v>704</v>
      </c>
      <c r="P7976" s="9" t="s">
        <v>60</v>
      </c>
      <c r="Q7976" s="9" t="s">
        <v>26</v>
      </c>
      <c r="R7976" s="9" t="s">
        <v>95</v>
      </c>
      <c r="S7976" s="7" t="s">
        <v>572</v>
      </c>
      <c r="T7976" s="9" t="s">
        <v>68</v>
      </c>
      <c r="U7976" s="7">
        <v>0.56000000000000005</v>
      </c>
      <c r="V7976" s="12">
        <f>C7976+0</f>
        <v>40279</v>
      </c>
      <c r="W7976">
        <f>IF(D7976=' Pivot Tables'!$A$4,1,0)</f>
        <v>0</v>
      </c>
      <c r="X7976">
        <f>IF(AND(LEFT(D7976,4)+1=LEFT(' Pivot Tables'!$A$4,4)+0,RIGHT(LEFT(D7976,7),2)=RIGHT(LEFT(' Pivot Tables'!$A$4,7),2)),1,0)</f>
        <v>0</v>
      </c>
      <c r="Y7976" s="6">
        <f>1/COUNTIF(Таблица1[Order ID],Таблица1[[#This Row],[Order ID]])</f>
        <v>0.5</v>
      </c>
      <c r="Z7976" s="9">
        <f>1/COUNTIFS(Таблица1[Customer Name],Таблица1[[#This Row],[Customer Name]],Таблица1[Order-Year-Month],Таблица1[[#This Row],[Order-Year-Month]])</f>
        <v>0.5</v>
      </c>
    </row>
    <row r="7977" spans="1:26" x14ac:dyDescent="0.2">
      <c r="A7977" s="6">
        <v>7408</v>
      </c>
      <c r="B7977" s="7">
        <v>52839</v>
      </c>
      <c r="C7977" s="8">
        <f>DATE(2012,12,31)-995</f>
        <v>40279</v>
      </c>
      <c r="D7977" s="8" t="str">
        <f t="shared" si="152"/>
        <v>2010-04 (апрель 2010)</v>
      </c>
      <c r="E7977" s="9" t="s">
        <v>30</v>
      </c>
      <c r="F7977" s="7">
        <v>25</v>
      </c>
      <c r="G7977" s="7">
        <v>1158.6009999999999</v>
      </c>
      <c r="H7977" s="7">
        <v>0.1</v>
      </c>
      <c r="I7977" s="9" t="s">
        <v>22</v>
      </c>
      <c r="J7977" s="10">
        <v>-155.298</v>
      </c>
      <c r="K7977" s="11">
        <v>55.99</v>
      </c>
      <c r="L7977" s="11">
        <v>2.5</v>
      </c>
      <c r="M7977" s="9" t="s">
        <v>2106</v>
      </c>
      <c r="N7977" s="6" t="s">
        <v>2073</v>
      </c>
      <c r="O7977" s="6" t="s">
        <v>704</v>
      </c>
      <c r="P7977" s="9" t="s">
        <v>60</v>
      </c>
      <c r="Q7977" s="9" t="s">
        <v>42</v>
      </c>
      <c r="R7977" s="9" t="s">
        <v>43</v>
      </c>
      <c r="S7977" s="7" t="s">
        <v>1323</v>
      </c>
      <c r="T7977" s="9" t="s">
        <v>52</v>
      </c>
      <c r="U7977" s="7">
        <v>0.83</v>
      </c>
      <c r="V7977" s="12">
        <f>C7977+1</f>
        <v>40280</v>
      </c>
      <c r="W7977">
        <f>IF(D7977=' Pivot Tables'!$A$4,1,0)</f>
        <v>0</v>
      </c>
      <c r="X7977">
        <f>IF(AND(LEFT(D7977,4)+1=LEFT(' Pivot Tables'!$A$4,4)+0,RIGHT(LEFT(D7977,7),2)=RIGHT(LEFT(' Pivot Tables'!$A$4,7),2)),1,0)</f>
        <v>0</v>
      </c>
      <c r="Y7977" s="6">
        <f>1/COUNTIF(Таблица1[Order ID],Таблица1[[#This Row],[Order ID]])</f>
        <v>0.5</v>
      </c>
      <c r="Z7977" s="9">
        <f>1/COUNTIFS(Таблица1[Customer Name],Таблица1[[#This Row],[Customer Name]],Таблица1[Order-Year-Month],Таблица1[[#This Row],[Order-Year-Month]])</f>
        <v>0.5</v>
      </c>
    </row>
    <row r="7978" spans="1:26" x14ac:dyDescent="0.2">
      <c r="A7978" s="6">
        <v>7484</v>
      </c>
      <c r="B7978" s="7">
        <v>53443</v>
      </c>
      <c r="C7978" s="8">
        <f>DATE(2012,12,31)-450</f>
        <v>40824</v>
      </c>
      <c r="D7978" s="8" t="str">
        <f t="shared" si="152"/>
        <v>2011-10 (октябрь 2011)</v>
      </c>
      <c r="E7978" s="9" t="s">
        <v>78</v>
      </c>
      <c r="F7978" s="7">
        <v>35</v>
      </c>
      <c r="G7978" s="7">
        <v>1477.63</v>
      </c>
      <c r="H7978" s="7">
        <v>0.04</v>
      </c>
      <c r="I7978" s="9" t="s">
        <v>22</v>
      </c>
      <c r="J7978" s="10">
        <v>387.56</v>
      </c>
      <c r="K7978" s="11">
        <v>42.98</v>
      </c>
      <c r="L7978" s="11">
        <v>4.62</v>
      </c>
      <c r="M7978" s="9" t="s">
        <v>556</v>
      </c>
      <c r="N7978" s="6" t="s">
        <v>2073</v>
      </c>
      <c r="O7978" s="6" t="s">
        <v>704</v>
      </c>
      <c r="P7978" s="9" t="s">
        <v>33</v>
      </c>
      <c r="Q7978" s="9" t="s">
        <v>26</v>
      </c>
      <c r="R7978" s="9" t="s">
        <v>34</v>
      </c>
      <c r="S7978" s="7" t="s">
        <v>852</v>
      </c>
      <c r="T7978" s="9" t="s">
        <v>39</v>
      </c>
      <c r="U7978" s="7">
        <v>0.56000000000000005</v>
      </c>
      <c r="V7978" s="12">
        <f>C7978+1</f>
        <v>40825</v>
      </c>
      <c r="W7978">
        <f>IF(D7978=' Pivot Tables'!$A$4,1,0)</f>
        <v>0</v>
      </c>
      <c r="X7978">
        <f>IF(AND(LEFT(D7978,4)+1=LEFT(' Pivot Tables'!$A$4,4)+0,RIGHT(LEFT(D7978,7),2)=RIGHT(LEFT(' Pivot Tables'!$A$4,7),2)),1,0)</f>
        <v>0</v>
      </c>
      <c r="Y7978" s="6">
        <f>1/COUNTIF(Таблица1[Order ID],Таблица1[[#This Row],[Order ID]])</f>
        <v>0.33333333333333331</v>
      </c>
      <c r="Z7978" s="9">
        <f>1/COUNTIFS(Таблица1[Customer Name],Таблица1[[#This Row],[Customer Name]],Таблица1[Order-Year-Month],Таблица1[[#This Row],[Order-Year-Month]])</f>
        <v>0.33333333333333331</v>
      </c>
    </row>
    <row r="7979" spans="1:26" x14ac:dyDescent="0.2">
      <c r="A7979" s="6">
        <v>7485</v>
      </c>
      <c r="B7979" s="7">
        <v>53443</v>
      </c>
      <c r="C7979" s="8">
        <f>DATE(2012,12,31)-450</f>
        <v>40824</v>
      </c>
      <c r="D7979" s="8" t="str">
        <f t="shared" si="152"/>
        <v>2011-10 (октябрь 2011)</v>
      </c>
      <c r="E7979" s="9" t="s">
        <v>78</v>
      </c>
      <c r="F7979" s="7">
        <v>3</v>
      </c>
      <c r="G7979" s="7">
        <v>19.46</v>
      </c>
      <c r="H7979" s="7">
        <v>0.01</v>
      </c>
      <c r="I7979" s="9" t="s">
        <v>22</v>
      </c>
      <c r="J7979" s="10">
        <v>-2.0099999999999998</v>
      </c>
      <c r="K7979" s="11">
        <v>6.3</v>
      </c>
      <c r="L7979" s="11">
        <v>0.5</v>
      </c>
      <c r="M7979" s="9" t="s">
        <v>556</v>
      </c>
      <c r="N7979" s="6" t="s">
        <v>2073</v>
      </c>
      <c r="O7979" s="6" t="s">
        <v>704</v>
      </c>
      <c r="P7979" s="9" t="s">
        <v>33</v>
      </c>
      <c r="Q7979" s="9" t="s">
        <v>26</v>
      </c>
      <c r="R7979" s="9" t="s">
        <v>88</v>
      </c>
      <c r="S7979" s="7" t="s">
        <v>461</v>
      </c>
      <c r="T7979" s="9" t="s">
        <v>39</v>
      </c>
      <c r="U7979" s="7">
        <v>0.39</v>
      </c>
      <c r="V7979" s="12">
        <f>C7979+2</f>
        <v>40826</v>
      </c>
      <c r="W7979">
        <f>IF(D7979=' Pivot Tables'!$A$4,1,0)</f>
        <v>0</v>
      </c>
      <c r="X7979">
        <f>IF(AND(LEFT(D7979,4)+1=LEFT(' Pivot Tables'!$A$4,4)+0,RIGHT(LEFT(D7979,7),2)=RIGHT(LEFT(' Pivot Tables'!$A$4,7),2)),1,0)</f>
        <v>0</v>
      </c>
      <c r="Y7979" s="6">
        <f>1/COUNTIF(Таблица1[Order ID],Таблица1[[#This Row],[Order ID]])</f>
        <v>0.33333333333333331</v>
      </c>
      <c r="Z7979" s="9">
        <f>1/COUNTIFS(Таблица1[Customer Name],Таблица1[[#This Row],[Customer Name]],Таблица1[Order-Year-Month],Таблица1[[#This Row],[Order-Year-Month]])</f>
        <v>0.33333333333333331</v>
      </c>
    </row>
    <row r="7980" spans="1:26" x14ac:dyDescent="0.2">
      <c r="A7980" s="6">
        <v>7486</v>
      </c>
      <c r="B7980" s="7">
        <v>53443</v>
      </c>
      <c r="C7980" s="8">
        <f>DATE(2012,12,31)-450</f>
        <v>40824</v>
      </c>
      <c r="D7980" s="8" t="str">
        <f t="shared" si="152"/>
        <v>2011-10 (октябрь 2011)</v>
      </c>
      <c r="E7980" s="9" t="s">
        <v>78</v>
      </c>
      <c r="F7980" s="7">
        <v>22</v>
      </c>
      <c r="G7980" s="7">
        <v>148.80000000000001</v>
      </c>
      <c r="H7980" s="7">
        <v>0.04</v>
      </c>
      <c r="I7980" s="9" t="s">
        <v>22</v>
      </c>
      <c r="J7980" s="10">
        <v>52.08</v>
      </c>
      <c r="K7980" s="11">
        <v>6.47</v>
      </c>
      <c r="L7980" s="11">
        <v>1.22</v>
      </c>
      <c r="M7980" s="9" t="s">
        <v>556</v>
      </c>
      <c r="N7980" s="6" t="s">
        <v>2073</v>
      </c>
      <c r="O7980" s="6" t="s">
        <v>704</v>
      </c>
      <c r="P7980" s="9" t="s">
        <v>33</v>
      </c>
      <c r="Q7980" s="9" t="s">
        <v>26</v>
      </c>
      <c r="R7980" s="9" t="s">
        <v>95</v>
      </c>
      <c r="S7980" s="7" t="s">
        <v>491</v>
      </c>
      <c r="T7980" s="9" t="s">
        <v>68</v>
      </c>
      <c r="U7980" s="7">
        <v>0.4</v>
      </c>
      <c r="V7980" s="12">
        <f t="shared" ref="V7980:V7985" si="153">C7980+1</f>
        <v>40825</v>
      </c>
      <c r="W7980">
        <f>IF(D7980=' Pivot Tables'!$A$4,1,0)</f>
        <v>0</v>
      </c>
      <c r="X7980">
        <f>IF(AND(LEFT(D7980,4)+1=LEFT(' Pivot Tables'!$A$4,4)+0,RIGHT(LEFT(D7980,7),2)=RIGHT(LEFT(' Pivot Tables'!$A$4,7),2)),1,0)</f>
        <v>0</v>
      </c>
      <c r="Y7980" s="6">
        <f>1/COUNTIF(Таблица1[Order ID],Таблица1[[#This Row],[Order ID]])</f>
        <v>0.33333333333333331</v>
      </c>
      <c r="Z7980" s="9">
        <f>1/COUNTIFS(Таблица1[Customer Name],Таблица1[[#This Row],[Customer Name]],Таблица1[Order-Year-Month],Таблица1[[#This Row],[Order-Year-Month]])</f>
        <v>0.33333333333333331</v>
      </c>
    </row>
    <row r="7981" spans="1:26" x14ac:dyDescent="0.2">
      <c r="A7981" s="6">
        <v>7527</v>
      </c>
      <c r="B7981" s="7">
        <v>53767</v>
      </c>
      <c r="C7981" s="8">
        <f>DATE(2012,12,31)-493</f>
        <v>40781</v>
      </c>
      <c r="D7981" s="8" t="str">
        <f t="shared" si="152"/>
        <v>2011-08 (август 2011)</v>
      </c>
      <c r="E7981" s="9" t="s">
        <v>45</v>
      </c>
      <c r="F7981" s="7">
        <v>35</v>
      </c>
      <c r="G7981" s="7">
        <v>1131.1500000000001</v>
      </c>
      <c r="H7981" s="7">
        <v>0.03</v>
      </c>
      <c r="I7981" s="9" t="s">
        <v>22</v>
      </c>
      <c r="J7981" s="10">
        <v>433.87</v>
      </c>
      <c r="K7981" s="11">
        <v>30.98</v>
      </c>
      <c r="L7981" s="11">
        <v>5.76</v>
      </c>
      <c r="M7981" s="9" t="s">
        <v>2095</v>
      </c>
      <c r="N7981" s="6" t="s">
        <v>2073</v>
      </c>
      <c r="O7981" s="6" t="s">
        <v>704</v>
      </c>
      <c r="P7981" s="9" t="s">
        <v>25</v>
      </c>
      <c r="Q7981" s="9" t="s">
        <v>26</v>
      </c>
      <c r="R7981" s="9" t="s">
        <v>61</v>
      </c>
      <c r="S7981" s="7" t="s">
        <v>117</v>
      </c>
      <c r="T7981" s="9" t="s">
        <v>39</v>
      </c>
      <c r="U7981" s="7">
        <v>0.4</v>
      </c>
      <c r="V7981" s="12">
        <f t="shared" si="153"/>
        <v>40782</v>
      </c>
      <c r="W7981">
        <f>IF(D7981=' Pivot Tables'!$A$4,1,0)</f>
        <v>0</v>
      </c>
      <c r="X7981">
        <f>IF(AND(LEFT(D7981,4)+1=LEFT(' Pivot Tables'!$A$4,4)+0,RIGHT(LEFT(D7981,7),2)=RIGHT(LEFT(' Pivot Tables'!$A$4,7),2)),1,0)</f>
        <v>0</v>
      </c>
      <c r="Y7981" s="6">
        <f>1/COUNTIF(Таблица1[Order ID],Таблица1[[#This Row],[Order ID]])</f>
        <v>1</v>
      </c>
      <c r="Z7981" s="9">
        <f>1/COUNTIFS(Таблица1[Customer Name],Таблица1[[#This Row],[Customer Name]],Таблица1[Order-Year-Month],Таблица1[[#This Row],[Order-Year-Month]])</f>
        <v>1</v>
      </c>
    </row>
    <row r="7982" spans="1:26" x14ac:dyDescent="0.2">
      <c r="A7982" s="6">
        <v>7645</v>
      </c>
      <c r="B7982" s="7">
        <v>54787</v>
      </c>
      <c r="C7982" s="8">
        <f>DATE(2012,12,31)-676</f>
        <v>40598</v>
      </c>
      <c r="D7982" s="8" t="str">
        <f t="shared" si="152"/>
        <v>2011-02 (февраль 2011)</v>
      </c>
      <c r="E7982" s="9" t="s">
        <v>30</v>
      </c>
      <c r="F7982" s="7">
        <v>7</v>
      </c>
      <c r="G7982" s="7">
        <v>170.02</v>
      </c>
      <c r="H7982" s="7">
        <v>7.0000000000000007E-2</v>
      </c>
      <c r="I7982" s="9" t="s">
        <v>22</v>
      </c>
      <c r="J7982" s="10">
        <v>-56.1</v>
      </c>
      <c r="K7982" s="11">
        <v>22.84</v>
      </c>
      <c r="L7982" s="11">
        <v>16.87</v>
      </c>
      <c r="M7982" s="9" t="s">
        <v>2104</v>
      </c>
      <c r="N7982" s="6" t="s">
        <v>2073</v>
      </c>
      <c r="O7982" s="6" t="s">
        <v>704</v>
      </c>
      <c r="P7982" s="9" t="s">
        <v>60</v>
      </c>
      <c r="Q7982" s="9" t="s">
        <v>26</v>
      </c>
      <c r="R7982" s="9" t="s">
        <v>61</v>
      </c>
      <c r="S7982" s="7" t="s">
        <v>258</v>
      </c>
      <c r="T7982" s="9" t="s">
        <v>39</v>
      </c>
      <c r="U7982" s="7">
        <v>0.39</v>
      </c>
      <c r="V7982" s="12">
        <f t="shared" si="153"/>
        <v>40599</v>
      </c>
      <c r="W7982">
        <f>IF(D7982=' Pivot Tables'!$A$4,1,0)</f>
        <v>0</v>
      </c>
      <c r="X7982">
        <f>IF(AND(LEFT(D7982,4)+1=LEFT(' Pivot Tables'!$A$4,4)+0,RIGHT(LEFT(D7982,7),2)=RIGHT(LEFT(' Pivot Tables'!$A$4,7),2)),1,0)</f>
        <v>0</v>
      </c>
      <c r="Y7982" s="6">
        <f>1/COUNTIF(Таблица1[Order ID],Таблица1[[#This Row],[Order ID]])</f>
        <v>1</v>
      </c>
      <c r="Z7982" s="9">
        <f>1/COUNTIFS(Таблица1[Customer Name],Таблица1[[#This Row],[Customer Name]],Таблица1[Order-Year-Month],Таблица1[[#This Row],[Order-Year-Month]])</f>
        <v>1</v>
      </c>
    </row>
    <row r="7983" spans="1:26" x14ac:dyDescent="0.2">
      <c r="A7983" s="6">
        <v>7671</v>
      </c>
      <c r="B7983" s="7">
        <v>55011</v>
      </c>
      <c r="C7983" s="8">
        <f>DATE(2012,12,31)-362</f>
        <v>40912</v>
      </c>
      <c r="D7983" s="8" t="str">
        <f t="shared" si="152"/>
        <v>2012-01 (январь 2012)</v>
      </c>
      <c r="E7983" s="9" t="s">
        <v>78</v>
      </c>
      <c r="F7983" s="7">
        <v>48</v>
      </c>
      <c r="G7983" s="7">
        <v>452.28</v>
      </c>
      <c r="H7983" s="7">
        <v>0.09</v>
      </c>
      <c r="I7983" s="9" t="s">
        <v>22</v>
      </c>
      <c r="J7983" s="10">
        <v>-21</v>
      </c>
      <c r="K7983" s="11">
        <v>9.85</v>
      </c>
      <c r="L7983" s="11">
        <v>4.82</v>
      </c>
      <c r="M7983" s="9" t="s">
        <v>2101</v>
      </c>
      <c r="N7983" s="6" t="s">
        <v>2073</v>
      </c>
      <c r="O7983" s="6" t="s">
        <v>704</v>
      </c>
      <c r="P7983" s="9" t="s">
        <v>25</v>
      </c>
      <c r="Q7983" s="9" t="s">
        <v>26</v>
      </c>
      <c r="R7983" s="9" t="s">
        <v>95</v>
      </c>
      <c r="S7983" s="7" t="s">
        <v>1625</v>
      </c>
      <c r="T7983" s="9" t="s">
        <v>68</v>
      </c>
      <c r="U7983" s="7">
        <v>0.47</v>
      </c>
      <c r="V7983" s="12">
        <f t="shared" si="153"/>
        <v>40913</v>
      </c>
      <c r="W7983">
        <f>IF(D7983=' Pivot Tables'!$A$4,1,0)</f>
        <v>0</v>
      </c>
      <c r="X7983">
        <f>IF(AND(LEFT(D7983,4)+1=LEFT(' Pivot Tables'!$A$4,4)+0,RIGHT(LEFT(D7983,7),2)=RIGHT(LEFT(' Pivot Tables'!$A$4,7),2)),1,0)</f>
        <v>0</v>
      </c>
      <c r="Y7983" s="6">
        <f>1/COUNTIF(Таблица1[Order ID],Таблица1[[#This Row],[Order ID]])</f>
        <v>0.5</v>
      </c>
      <c r="Z7983" s="9">
        <f>1/COUNTIFS(Таблица1[Customer Name],Таблица1[[#This Row],[Customer Name]],Таблица1[Order-Year-Month],Таблица1[[#This Row],[Order-Year-Month]])</f>
        <v>0.5</v>
      </c>
    </row>
    <row r="7984" spans="1:26" x14ac:dyDescent="0.2">
      <c r="A7984" s="6">
        <v>7672</v>
      </c>
      <c r="B7984" s="7">
        <v>55011</v>
      </c>
      <c r="C7984" s="8">
        <f>DATE(2012,12,31)-362</f>
        <v>40912</v>
      </c>
      <c r="D7984" s="8" t="str">
        <f t="shared" si="152"/>
        <v>2012-01 (январь 2012)</v>
      </c>
      <c r="E7984" s="9" t="s">
        <v>78</v>
      </c>
      <c r="F7984" s="7">
        <v>18</v>
      </c>
      <c r="G7984" s="7">
        <v>55.82</v>
      </c>
      <c r="H7984" s="7">
        <v>0.01</v>
      </c>
      <c r="I7984" s="9" t="s">
        <v>22</v>
      </c>
      <c r="J7984" s="10">
        <v>14.19</v>
      </c>
      <c r="K7984" s="11">
        <v>2.94</v>
      </c>
      <c r="L7984" s="11">
        <v>0.81</v>
      </c>
      <c r="M7984" s="9" t="s">
        <v>2101</v>
      </c>
      <c r="N7984" s="6" t="s">
        <v>2073</v>
      </c>
      <c r="O7984" s="6" t="s">
        <v>704</v>
      </c>
      <c r="P7984" s="9" t="s">
        <v>25</v>
      </c>
      <c r="Q7984" s="9" t="s">
        <v>26</v>
      </c>
      <c r="R7984" s="9" t="s">
        <v>95</v>
      </c>
      <c r="S7984" s="7" t="s">
        <v>1130</v>
      </c>
      <c r="T7984" s="9" t="s">
        <v>68</v>
      </c>
      <c r="U7984" s="7">
        <v>0.4</v>
      </c>
      <c r="V7984" s="12">
        <f t="shared" si="153"/>
        <v>40913</v>
      </c>
      <c r="W7984">
        <f>IF(D7984=' Pivot Tables'!$A$4,1,0)</f>
        <v>0</v>
      </c>
      <c r="X7984">
        <f>IF(AND(LEFT(D7984,4)+1=LEFT(' Pivot Tables'!$A$4,4)+0,RIGHT(LEFT(D7984,7),2)=RIGHT(LEFT(' Pivot Tables'!$A$4,7),2)),1,0)</f>
        <v>0</v>
      </c>
      <c r="Y7984" s="6">
        <f>1/COUNTIF(Таблица1[Order ID],Таблица1[[#This Row],[Order ID]])</f>
        <v>0.5</v>
      </c>
      <c r="Z7984" s="9">
        <f>1/COUNTIFS(Таблица1[Customer Name],Таблица1[[#This Row],[Customer Name]],Таблица1[Order-Year-Month],Таблица1[[#This Row],[Order-Year-Month]])</f>
        <v>0.5</v>
      </c>
    </row>
    <row r="7985" spans="1:26" x14ac:dyDescent="0.2">
      <c r="A7985" s="6">
        <v>7754</v>
      </c>
      <c r="B7985" s="7">
        <v>55490</v>
      </c>
      <c r="C7985" s="8">
        <f>DATE(2012,12,31)-1141</f>
        <v>40133</v>
      </c>
      <c r="D7985" s="8" t="str">
        <f t="shared" si="152"/>
        <v>2009-11 (ноябрь 2009)</v>
      </c>
      <c r="E7985" s="9" t="s">
        <v>63</v>
      </c>
      <c r="F7985" s="7">
        <v>3</v>
      </c>
      <c r="G7985" s="7">
        <v>246.2</v>
      </c>
      <c r="H7985" s="7">
        <v>0.04</v>
      </c>
      <c r="I7985" s="9" t="s">
        <v>31</v>
      </c>
      <c r="J7985" s="10">
        <v>-184.16</v>
      </c>
      <c r="K7985" s="11">
        <v>70.89</v>
      </c>
      <c r="L7985" s="11">
        <v>89.3</v>
      </c>
      <c r="M7985" s="9" t="s">
        <v>2096</v>
      </c>
      <c r="N7985" s="6" t="s">
        <v>2073</v>
      </c>
      <c r="O7985" s="6" t="s">
        <v>704</v>
      </c>
      <c r="P7985" s="9" t="s">
        <v>41</v>
      </c>
      <c r="Q7985" s="9" t="s">
        <v>49</v>
      </c>
      <c r="R7985" s="9" t="s">
        <v>83</v>
      </c>
      <c r="S7985" s="7" t="s">
        <v>1071</v>
      </c>
      <c r="T7985" s="9" t="s">
        <v>82</v>
      </c>
      <c r="U7985" s="7">
        <v>0.72</v>
      </c>
      <c r="V7985" s="12">
        <f t="shared" si="153"/>
        <v>40134</v>
      </c>
      <c r="W7985">
        <f>IF(D7985=' Pivot Tables'!$A$4,1,0)</f>
        <v>0</v>
      </c>
      <c r="X7985">
        <f>IF(AND(LEFT(D7985,4)+1=LEFT(' Pivot Tables'!$A$4,4)+0,RIGHT(LEFT(D7985,7),2)=RIGHT(LEFT(' Pivot Tables'!$A$4,7),2)),1,0)</f>
        <v>0</v>
      </c>
      <c r="Y7985" s="6">
        <f>1/COUNTIF(Таблица1[Order ID],Таблица1[[#This Row],[Order ID]])</f>
        <v>1</v>
      </c>
      <c r="Z7985" s="9">
        <f>1/COUNTIFS(Таблица1[Customer Name],Таблица1[[#This Row],[Customer Name]],Таблица1[Order-Year-Month],Таблица1[[#This Row],[Order-Year-Month]])</f>
        <v>1</v>
      </c>
    </row>
    <row r="7986" spans="1:26" x14ac:dyDescent="0.2">
      <c r="A7986" s="6">
        <v>7842</v>
      </c>
      <c r="B7986" s="7">
        <v>56069</v>
      </c>
      <c r="C7986" s="8">
        <f>DATE(2012,12,31)-78</f>
        <v>41196</v>
      </c>
      <c r="D7986" s="8" t="str">
        <f t="shared" si="152"/>
        <v>2012-10 (октябрь 2012)</v>
      </c>
      <c r="E7986" s="9" t="s">
        <v>21</v>
      </c>
      <c r="F7986" s="7">
        <v>10</v>
      </c>
      <c r="G7986" s="7">
        <v>55.66</v>
      </c>
      <c r="H7986" s="7">
        <v>0.09</v>
      </c>
      <c r="I7986" s="9" t="s">
        <v>22</v>
      </c>
      <c r="J7986" s="10">
        <v>8.82</v>
      </c>
      <c r="K7986" s="11">
        <v>5.68</v>
      </c>
      <c r="L7986" s="11">
        <v>1.39</v>
      </c>
      <c r="M7986" s="9" t="s">
        <v>2096</v>
      </c>
      <c r="N7986" s="6" t="s">
        <v>2073</v>
      </c>
      <c r="O7986" s="6" t="s">
        <v>704</v>
      </c>
      <c r="P7986" s="9" t="s">
        <v>41</v>
      </c>
      <c r="Q7986" s="9" t="s">
        <v>26</v>
      </c>
      <c r="R7986" s="9" t="s">
        <v>76</v>
      </c>
      <c r="S7986" s="7" t="s">
        <v>620</v>
      </c>
      <c r="T7986" s="9" t="s">
        <v>39</v>
      </c>
      <c r="U7986" s="7">
        <v>0.38</v>
      </c>
      <c r="V7986" s="12">
        <f>C7986+5</f>
        <v>41201</v>
      </c>
      <c r="W7986">
        <f>IF(D7986=' Pivot Tables'!$A$4,1,0)</f>
        <v>0</v>
      </c>
      <c r="X7986">
        <f>IF(AND(LEFT(D7986,4)+1=LEFT(' Pivot Tables'!$A$4,4)+0,RIGHT(LEFT(D7986,7),2)=RIGHT(LEFT(' Pivot Tables'!$A$4,7),2)),1,0)</f>
        <v>0</v>
      </c>
      <c r="Y7986" s="6">
        <f>1/COUNTIF(Таблица1[Order ID],Таблица1[[#This Row],[Order ID]])</f>
        <v>1</v>
      </c>
      <c r="Z7986" s="9">
        <f>1/COUNTIFS(Таблица1[Customer Name],Таблица1[[#This Row],[Customer Name]],Таблица1[Order-Year-Month],Таблица1[[#This Row],[Order-Year-Month]])</f>
        <v>1</v>
      </c>
    </row>
    <row r="7987" spans="1:26" x14ac:dyDescent="0.2">
      <c r="A7987" s="6">
        <v>7856</v>
      </c>
      <c r="B7987" s="7">
        <v>56163</v>
      </c>
      <c r="C7987" s="8">
        <f>DATE(2012,12,31)-1238</f>
        <v>40036</v>
      </c>
      <c r="D7987" s="8" t="str">
        <f t="shared" si="152"/>
        <v>2009-08 (август 2009)</v>
      </c>
      <c r="E7987" s="9" t="s">
        <v>45</v>
      </c>
      <c r="F7987" s="7">
        <v>3</v>
      </c>
      <c r="G7987" s="7">
        <v>119.9</v>
      </c>
      <c r="H7987" s="7">
        <v>0.03</v>
      </c>
      <c r="I7987" s="9" t="s">
        <v>22</v>
      </c>
      <c r="J7987" s="10">
        <v>-14.47</v>
      </c>
      <c r="K7987" s="11">
        <v>37.94</v>
      </c>
      <c r="L7987" s="11">
        <v>5.08</v>
      </c>
      <c r="M7987" s="9" t="s">
        <v>2102</v>
      </c>
      <c r="N7987" s="6" t="s">
        <v>2073</v>
      </c>
      <c r="O7987" s="6" t="s">
        <v>704</v>
      </c>
      <c r="P7987" s="9" t="s">
        <v>60</v>
      </c>
      <c r="Q7987" s="9" t="s">
        <v>26</v>
      </c>
      <c r="R7987" s="9" t="s">
        <v>61</v>
      </c>
      <c r="S7987" s="7" t="s">
        <v>684</v>
      </c>
      <c r="T7987" s="9" t="s">
        <v>68</v>
      </c>
      <c r="U7987" s="7">
        <v>0.38</v>
      </c>
      <c r="V7987" s="12">
        <f>C7987+2</f>
        <v>40038</v>
      </c>
      <c r="W7987">
        <f>IF(D7987=' Pivot Tables'!$A$4,1,0)</f>
        <v>0</v>
      </c>
      <c r="X7987">
        <f>IF(AND(LEFT(D7987,4)+1=LEFT(' Pivot Tables'!$A$4,4)+0,RIGHT(LEFT(D7987,7),2)=RIGHT(LEFT(' Pivot Tables'!$A$4,7),2)),1,0)</f>
        <v>0</v>
      </c>
      <c r="Y7987" s="6">
        <f>1/COUNTIF(Таблица1[Order ID],Таблица1[[#This Row],[Order ID]])</f>
        <v>1</v>
      </c>
      <c r="Z7987" s="9">
        <f>1/COUNTIFS(Таблица1[Customer Name],Таблица1[[#This Row],[Customer Name]],Таблица1[Order-Year-Month],Таблица1[[#This Row],[Order-Year-Month]])</f>
        <v>1</v>
      </c>
    </row>
    <row r="7988" spans="1:26" x14ac:dyDescent="0.2">
      <c r="A7988" s="6">
        <v>7963</v>
      </c>
      <c r="B7988" s="7">
        <v>56929</v>
      </c>
      <c r="C7988" s="8">
        <f>DATE(2012,12,31)-462</f>
        <v>40812</v>
      </c>
      <c r="D7988" s="8" t="str">
        <f t="shared" si="152"/>
        <v>2011-09 (сентябрь 2011)</v>
      </c>
      <c r="E7988" s="9" t="s">
        <v>30</v>
      </c>
      <c r="F7988" s="7">
        <v>22</v>
      </c>
      <c r="G7988" s="7">
        <v>205.88</v>
      </c>
      <c r="H7988" s="7">
        <v>0.08</v>
      </c>
      <c r="I7988" s="9" t="s">
        <v>22</v>
      </c>
      <c r="J7988" s="10">
        <v>20.68</v>
      </c>
      <c r="K7988" s="11">
        <v>9.7799999999999994</v>
      </c>
      <c r="L7988" s="11">
        <v>1.99</v>
      </c>
      <c r="M7988" s="9" t="s">
        <v>2102</v>
      </c>
      <c r="N7988" s="6" t="s">
        <v>2073</v>
      </c>
      <c r="O7988" s="6" t="s">
        <v>704</v>
      </c>
      <c r="P7988" s="9" t="s">
        <v>60</v>
      </c>
      <c r="Q7988" s="9" t="s">
        <v>42</v>
      </c>
      <c r="R7988" s="9" t="s">
        <v>70</v>
      </c>
      <c r="S7988" s="7" t="s">
        <v>244</v>
      </c>
      <c r="T7988" s="9" t="s">
        <v>52</v>
      </c>
      <c r="U7988" s="7">
        <v>0.43</v>
      </c>
      <c r="V7988" s="12">
        <f>C7988+2</f>
        <v>40814</v>
      </c>
      <c r="W7988">
        <f>IF(D7988=' Pivot Tables'!$A$4,1,0)</f>
        <v>0</v>
      </c>
      <c r="X7988">
        <f>IF(AND(LEFT(D7988,4)+1=LEFT(' Pivot Tables'!$A$4,4)+0,RIGHT(LEFT(D7988,7),2)=RIGHT(LEFT(' Pivot Tables'!$A$4,7),2)),1,0)</f>
        <v>0</v>
      </c>
      <c r="Y7988" s="6">
        <f>1/COUNTIF(Таблица1[Order ID],Таблица1[[#This Row],[Order ID]])</f>
        <v>1</v>
      </c>
      <c r="Z7988" s="9">
        <f>1/COUNTIFS(Таблица1[Customer Name],Таблица1[[#This Row],[Customer Name]],Таблица1[Order-Year-Month],Таблица1[[#This Row],[Order-Year-Month]])</f>
        <v>1</v>
      </c>
    </row>
    <row r="7989" spans="1:26" x14ac:dyDescent="0.2">
      <c r="A7989" s="6">
        <v>8029</v>
      </c>
      <c r="B7989" s="7">
        <v>57378</v>
      </c>
      <c r="C7989" s="8">
        <f>DATE(2012,12,31)-1099</f>
        <v>40175</v>
      </c>
      <c r="D7989" s="8" t="str">
        <f t="shared" si="152"/>
        <v>2009-12 (декабрь 2009)</v>
      </c>
      <c r="E7989" s="9" t="s">
        <v>45</v>
      </c>
      <c r="F7989" s="7">
        <v>9</v>
      </c>
      <c r="G7989" s="7">
        <v>266.27</v>
      </c>
      <c r="H7989" s="7">
        <v>0.02</v>
      </c>
      <c r="I7989" s="9" t="s">
        <v>22</v>
      </c>
      <c r="J7989" s="10">
        <v>-5.7</v>
      </c>
      <c r="K7989" s="11">
        <v>29.89</v>
      </c>
      <c r="L7989" s="11">
        <v>1.99</v>
      </c>
      <c r="M7989" s="9" t="s">
        <v>2095</v>
      </c>
      <c r="N7989" s="6" t="s">
        <v>2073</v>
      </c>
      <c r="O7989" s="6" t="s">
        <v>704</v>
      </c>
      <c r="P7989" s="9" t="s">
        <v>25</v>
      </c>
      <c r="Q7989" s="9" t="s">
        <v>42</v>
      </c>
      <c r="R7989" s="9" t="s">
        <v>70</v>
      </c>
      <c r="S7989" s="7" t="s">
        <v>547</v>
      </c>
      <c r="T7989" s="9" t="s">
        <v>52</v>
      </c>
      <c r="U7989" s="7">
        <v>0.5</v>
      </c>
      <c r="V7989" s="12">
        <f>C7989+1</f>
        <v>40176</v>
      </c>
      <c r="W7989">
        <f>IF(D7989=' Pivot Tables'!$A$4,1,0)</f>
        <v>0</v>
      </c>
      <c r="X7989">
        <f>IF(AND(LEFT(D7989,4)+1=LEFT(' Pivot Tables'!$A$4,4)+0,RIGHT(LEFT(D7989,7),2)=RIGHT(LEFT(' Pivot Tables'!$A$4,7),2)),1,0)</f>
        <v>0</v>
      </c>
      <c r="Y7989" s="6">
        <f>1/COUNTIF(Таблица1[Order ID],Таблица1[[#This Row],[Order ID]])</f>
        <v>0.5</v>
      </c>
      <c r="Z7989" s="9">
        <f>1/COUNTIFS(Таблица1[Customer Name],Таблица1[[#This Row],[Customer Name]],Таблица1[Order-Year-Month],Таблица1[[#This Row],[Order-Year-Month]])</f>
        <v>0.5</v>
      </c>
    </row>
    <row r="7990" spans="1:26" x14ac:dyDescent="0.2">
      <c r="A7990" s="6">
        <v>8030</v>
      </c>
      <c r="B7990" s="7">
        <v>57378</v>
      </c>
      <c r="C7990" s="8">
        <f>DATE(2012,12,31)-1099</f>
        <v>40175</v>
      </c>
      <c r="D7990" s="8" t="str">
        <f t="shared" si="152"/>
        <v>2009-12 (декабрь 2009)</v>
      </c>
      <c r="E7990" s="9" t="s">
        <v>45</v>
      </c>
      <c r="F7990" s="7">
        <v>10</v>
      </c>
      <c r="G7990" s="7">
        <v>38.44</v>
      </c>
      <c r="H7990" s="7">
        <v>0.01</v>
      </c>
      <c r="I7990" s="9" t="s">
        <v>56</v>
      </c>
      <c r="J7990" s="10">
        <v>-26.19</v>
      </c>
      <c r="K7990" s="11">
        <v>3.28</v>
      </c>
      <c r="L7990" s="11">
        <v>3.97</v>
      </c>
      <c r="M7990" s="9" t="s">
        <v>2095</v>
      </c>
      <c r="N7990" s="6" t="s">
        <v>2073</v>
      </c>
      <c r="O7990" s="6" t="s">
        <v>704</v>
      </c>
      <c r="P7990" s="9" t="s">
        <v>25</v>
      </c>
      <c r="Q7990" s="9" t="s">
        <v>26</v>
      </c>
      <c r="R7990" s="9" t="s">
        <v>95</v>
      </c>
      <c r="S7990" s="7" t="s">
        <v>572</v>
      </c>
      <c r="T7990" s="9" t="s">
        <v>68</v>
      </c>
      <c r="U7990" s="7">
        <v>0.56000000000000005</v>
      </c>
      <c r="V7990" s="12">
        <f>C7990+0</f>
        <v>40175</v>
      </c>
      <c r="W7990">
        <f>IF(D7990=' Pivot Tables'!$A$4,1,0)</f>
        <v>0</v>
      </c>
      <c r="X7990">
        <f>IF(AND(LEFT(D7990,4)+1=LEFT(' Pivot Tables'!$A$4,4)+0,RIGHT(LEFT(D7990,7),2)=RIGHT(LEFT(' Pivot Tables'!$A$4,7),2)),1,0)</f>
        <v>0</v>
      </c>
      <c r="Y7990" s="6">
        <f>1/COUNTIF(Таблица1[Order ID],Таблица1[[#This Row],[Order ID]])</f>
        <v>0.5</v>
      </c>
      <c r="Z7990" s="9">
        <f>1/COUNTIFS(Таблица1[Customer Name],Таблица1[[#This Row],[Customer Name]],Таблица1[Order-Year-Month],Таблица1[[#This Row],[Order-Year-Month]])</f>
        <v>0.5</v>
      </c>
    </row>
    <row r="7991" spans="1:26" x14ac:dyDescent="0.2">
      <c r="A7991" s="6">
        <v>8241</v>
      </c>
      <c r="B7991" s="7">
        <v>58914</v>
      </c>
      <c r="C7991" s="8">
        <f>DATE(2012,12,31)-1362</f>
        <v>39912</v>
      </c>
      <c r="D7991" s="8" t="str">
        <f t="shared" si="152"/>
        <v>2009-04 (апрель 2009)</v>
      </c>
      <c r="E7991" s="9" t="s">
        <v>21</v>
      </c>
      <c r="F7991" s="7">
        <v>46</v>
      </c>
      <c r="G7991" s="7">
        <v>99.94</v>
      </c>
      <c r="H7991" s="7">
        <v>7.0000000000000007E-2</v>
      </c>
      <c r="I7991" s="9" t="s">
        <v>22</v>
      </c>
      <c r="J7991" s="10">
        <v>-55.84</v>
      </c>
      <c r="K7991" s="11">
        <v>2.12</v>
      </c>
      <c r="L7991" s="11">
        <v>1.99</v>
      </c>
      <c r="M7991" s="9" t="s">
        <v>2100</v>
      </c>
      <c r="N7991" s="6" t="s">
        <v>2073</v>
      </c>
      <c r="O7991" s="6" t="s">
        <v>704</v>
      </c>
      <c r="P7991" s="9" t="s">
        <v>60</v>
      </c>
      <c r="Q7991" s="9" t="s">
        <v>42</v>
      </c>
      <c r="R7991" s="9" t="s">
        <v>70</v>
      </c>
      <c r="S7991" s="7" t="s">
        <v>1232</v>
      </c>
      <c r="T7991" s="9" t="s">
        <v>52</v>
      </c>
      <c r="U7991" s="7">
        <v>0.55000000000000004</v>
      </c>
      <c r="V7991" s="12">
        <f>C7991+2</f>
        <v>39914</v>
      </c>
      <c r="W7991">
        <f>IF(D7991=' Pivot Tables'!$A$4,1,0)</f>
        <v>0</v>
      </c>
      <c r="X7991">
        <f>IF(AND(LEFT(D7991,4)+1=LEFT(' Pivot Tables'!$A$4,4)+0,RIGHT(LEFT(D7991,7),2)=RIGHT(LEFT(' Pivot Tables'!$A$4,7),2)),1,0)</f>
        <v>0</v>
      </c>
      <c r="Y7991" s="6">
        <f>1/COUNTIF(Таблица1[Order ID],Таблица1[[#This Row],[Order ID]])</f>
        <v>0.5</v>
      </c>
      <c r="Z7991" s="9">
        <f>1/COUNTIFS(Таблица1[Customer Name],Таблица1[[#This Row],[Customer Name]],Таблица1[Order-Year-Month],Таблица1[[#This Row],[Order-Year-Month]])</f>
        <v>0.25</v>
      </c>
    </row>
    <row r="7992" spans="1:26" x14ac:dyDescent="0.2">
      <c r="A7992" s="6">
        <v>8242</v>
      </c>
      <c r="B7992" s="7">
        <v>58914</v>
      </c>
      <c r="C7992" s="8">
        <f>DATE(2012,12,31)-1362</f>
        <v>39912</v>
      </c>
      <c r="D7992" s="8" t="str">
        <f t="shared" si="152"/>
        <v>2009-04 (апрель 2009)</v>
      </c>
      <c r="E7992" s="9" t="s">
        <v>21</v>
      </c>
      <c r="F7992" s="7">
        <v>11</v>
      </c>
      <c r="G7992" s="7">
        <v>18.7</v>
      </c>
      <c r="H7992" s="7">
        <v>7.0000000000000007E-2</v>
      </c>
      <c r="I7992" s="9" t="s">
        <v>22</v>
      </c>
      <c r="J7992" s="10">
        <v>-3.36</v>
      </c>
      <c r="K7992" s="11">
        <v>1.76</v>
      </c>
      <c r="L7992" s="11">
        <v>0.7</v>
      </c>
      <c r="M7992" s="9" t="s">
        <v>2100</v>
      </c>
      <c r="N7992" s="6" t="s">
        <v>2073</v>
      </c>
      <c r="O7992" s="6" t="s">
        <v>704</v>
      </c>
      <c r="P7992" s="9" t="s">
        <v>60</v>
      </c>
      <c r="Q7992" s="9" t="s">
        <v>26</v>
      </c>
      <c r="R7992" s="9" t="s">
        <v>95</v>
      </c>
      <c r="S7992" s="7" t="s">
        <v>193</v>
      </c>
      <c r="T7992" s="9" t="s">
        <v>68</v>
      </c>
      <c r="U7992" s="7">
        <v>0.56000000000000005</v>
      </c>
      <c r="V7992" s="12">
        <f>C7992+7</f>
        <v>39919</v>
      </c>
      <c r="W7992">
        <f>IF(D7992=' Pivot Tables'!$A$4,1,0)</f>
        <v>0</v>
      </c>
      <c r="X7992">
        <f>IF(AND(LEFT(D7992,4)+1=LEFT(' Pivot Tables'!$A$4,4)+0,RIGHT(LEFT(D7992,7),2)=RIGHT(LEFT(' Pivot Tables'!$A$4,7),2)),1,0)</f>
        <v>0</v>
      </c>
      <c r="Y7992" s="6">
        <f>1/COUNTIF(Таблица1[Order ID],Таблица1[[#This Row],[Order ID]])</f>
        <v>0.5</v>
      </c>
      <c r="Z7992" s="9">
        <f>1/COUNTIFS(Таблица1[Customer Name],Таблица1[[#This Row],[Customer Name]],Таблица1[Order-Year-Month],Таблица1[[#This Row],[Order-Year-Month]])</f>
        <v>0.25</v>
      </c>
    </row>
    <row r="7993" spans="1:26" x14ac:dyDescent="0.2">
      <c r="A7993" s="6">
        <v>8338</v>
      </c>
      <c r="B7993" s="7">
        <v>59586</v>
      </c>
      <c r="C7993" s="8">
        <f>DATE(2012,12,31)-299</f>
        <v>40975</v>
      </c>
      <c r="D7993" s="8" t="str">
        <f t="shared" si="152"/>
        <v>2012-03 (март 2012)</v>
      </c>
      <c r="E7993" s="9" t="s">
        <v>21</v>
      </c>
      <c r="F7993" s="7">
        <v>25</v>
      </c>
      <c r="G7993" s="7">
        <v>167.23</v>
      </c>
      <c r="H7993" s="7">
        <v>0.05</v>
      </c>
      <c r="I7993" s="9" t="s">
        <v>22</v>
      </c>
      <c r="J7993" s="10">
        <v>-43.17</v>
      </c>
      <c r="K7993" s="11">
        <v>6.68</v>
      </c>
      <c r="L7993" s="11">
        <v>5.41</v>
      </c>
      <c r="M7993" s="9" t="s">
        <v>556</v>
      </c>
      <c r="N7993" s="6" t="s">
        <v>2073</v>
      </c>
      <c r="O7993" s="6" t="s">
        <v>704</v>
      </c>
      <c r="P7993" s="9" t="s">
        <v>33</v>
      </c>
      <c r="Q7993" s="9" t="s">
        <v>26</v>
      </c>
      <c r="R7993" s="9" t="s">
        <v>61</v>
      </c>
      <c r="S7993" s="7" t="s">
        <v>1827</v>
      </c>
      <c r="T7993" s="9" t="s">
        <v>39</v>
      </c>
      <c r="U7993" s="7">
        <v>0.37</v>
      </c>
      <c r="V7993" s="12">
        <f>C7993+4</f>
        <v>40979</v>
      </c>
      <c r="W7993">
        <f>IF(D7993=' Pivot Tables'!$A$4,1,0)</f>
        <v>0</v>
      </c>
      <c r="X7993">
        <f>IF(AND(LEFT(D7993,4)+1=LEFT(' Pivot Tables'!$A$4,4)+0,RIGHT(LEFT(D7993,7),2)=RIGHT(LEFT(' Pivot Tables'!$A$4,7),2)),1,0)</f>
        <v>0</v>
      </c>
      <c r="Y7993" s="6">
        <f>1/COUNTIF(Таблица1[Order ID],Таблица1[[#This Row],[Order ID]])</f>
        <v>1</v>
      </c>
      <c r="Z7993" s="9">
        <f>1/COUNTIFS(Таблица1[Customer Name],Таблица1[[#This Row],[Customer Name]],Таблица1[Order-Year-Month],Таблица1[[#This Row],[Order-Year-Month]])</f>
        <v>1</v>
      </c>
    </row>
    <row r="7994" spans="1:26" x14ac:dyDescent="0.2">
      <c r="A7994" s="6">
        <v>64</v>
      </c>
      <c r="B7994" s="7">
        <v>359</v>
      </c>
      <c r="C7994" s="8">
        <f>DATE(2012,12,31)-1109</f>
        <v>40165</v>
      </c>
      <c r="D7994" s="8" t="str">
        <f t="shared" si="152"/>
        <v>2009-12 (декабрь 2009)</v>
      </c>
      <c r="E7994" s="9" t="s">
        <v>63</v>
      </c>
      <c r="F7994" s="7">
        <v>30</v>
      </c>
      <c r="G7994" s="7">
        <v>3659.66</v>
      </c>
      <c r="H7994" s="7">
        <v>0.08</v>
      </c>
      <c r="I7994" s="9" t="s">
        <v>31</v>
      </c>
      <c r="J7994" s="10">
        <v>-500.38</v>
      </c>
      <c r="K7994" s="11">
        <v>124.49</v>
      </c>
      <c r="L7994" s="11">
        <v>51.94</v>
      </c>
      <c r="M7994" s="9" t="s">
        <v>1187</v>
      </c>
      <c r="N7994" s="6" t="s">
        <v>2073</v>
      </c>
      <c r="O7994" s="6" t="s">
        <v>704</v>
      </c>
      <c r="P7994" s="9" t="s">
        <v>41</v>
      </c>
      <c r="Q7994" s="9" t="s">
        <v>49</v>
      </c>
      <c r="R7994" s="9" t="s">
        <v>83</v>
      </c>
      <c r="S7994" s="7" t="s">
        <v>432</v>
      </c>
      <c r="T7994" s="9" t="s">
        <v>82</v>
      </c>
      <c r="U7994" s="7">
        <v>0.63</v>
      </c>
      <c r="V7994" s="12">
        <f>C7994+1</f>
        <v>40166</v>
      </c>
      <c r="W7994">
        <f>IF(D7994=' Pivot Tables'!$A$4,1,0)</f>
        <v>0</v>
      </c>
      <c r="X7994">
        <f>IF(AND(LEFT(D7994,4)+1=LEFT(' Pivot Tables'!$A$4,4)+0,RIGHT(LEFT(D7994,7),2)=RIGHT(LEFT(' Pivot Tables'!$A$4,7),2)),1,0)</f>
        <v>0</v>
      </c>
      <c r="Y7994" s="6">
        <f>1/COUNTIF(Таблица1[Order ID],Таблица1[[#This Row],[Order ID]])</f>
        <v>1</v>
      </c>
      <c r="Z7994" s="9">
        <f>1/COUNTIFS(Таблица1[Customer Name],Таблица1[[#This Row],[Customer Name]],Таблица1[Order-Year-Month],Таблица1[[#This Row],[Order-Year-Month]])</f>
        <v>1</v>
      </c>
    </row>
    <row r="7995" spans="1:26" x14ac:dyDescent="0.2">
      <c r="A7995" s="6">
        <v>129</v>
      </c>
      <c r="B7995" s="7">
        <v>832</v>
      </c>
      <c r="C7995" s="8">
        <f>DATE(2012,12,31)-257</f>
        <v>41017</v>
      </c>
      <c r="D7995" s="8" t="str">
        <f t="shared" si="152"/>
        <v>2012-04 (апрель 2012)</v>
      </c>
      <c r="E7995" s="9" t="s">
        <v>21</v>
      </c>
      <c r="F7995" s="7">
        <v>7</v>
      </c>
      <c r="G7995" s="7">
        <v>53.46</v>
      </c>
      <c r="H7995" s="7">
        <v>0.02</v>
      </c>
      <c r="I7995" s="9" t="s">
        <v>22</v>
      </c>
      <c r="J7995" s="10">
        <v>-17.579999999999998</v>
      </c>
      <c r="K7995" s="11">
        <v>6.48</v>
      </c>
      <c r="L7995" s="11">
        <v>5.9</v>
      </c>
      <c r="M7995" s="9" t="s">
        <v>2110</v>
      </c>
      <c r="N7995" s="6" t="s">
        <v>2073</v>
      </c>
      <c r="O7995" s="6" t="s">
        <v>704</v>
      </c>
      <c r="P7995" s="9" t="s">
        <v>41</v>
      </c>
      <c r="Q7995" s="9" t="s">
        <v>26</v>
      </c>
      <c r="R7995" s="9" t="s">
        <v>61</v>
      </c>
      <c r="S7995" s="7" t="s">
        <v>696</v>
      </c>
      <c r="T7995" s="9" t="s">
        <v>39</v>
      </c>
      <c r="U7995" s="7">
        <v>0.37</v>
      </c>
      <c r="V7995" s="12">
        <f>C7995+4</f>
        <v>41021</v>
      </c>
      <c r="W7995">
        <f>IF(D7995=' Pivot Tables'!$A$4,1,0)</f>
        <v>0</v>
      </c>
      <c r="X7995">
        <f>IF(AND(LEFT(D7995,4)+1=LEFT(' Pivot Tables'!$A$4,4)+0,RIGHT(LEFT(D7995,7),2)=RIGHT(LEFT(' Pivot Tables'!$A$4,7),2)),1,0)</f>
        <v>0</v>
      </c>
      <c r="Y7995" s="6">
        <f>1/COUNTIF(Таблица1[Order ID],Таблица1[[#This Row],[Order ID]])</f>
        <v>1</v>
      </c>
      <c r="Z7995" s="9">
        <f>1/COUNTIFS(Таблица1[Customer Name],Таблица1[[#This Row],[Customer Name]],Таблица1[Order-Year-Month],Таблица1[[#This Row],[Order-Year-Month]])</f>
        <v>1</v>
      </c>
    </row>
    <row r="7996" spans="1:26" x14ac:dyDescent="0.2">
      <c r="A7996" s="6">
        <v>210</v>
      </c>
      <c r="B7996" s="7">
        <v>1383</v>
      </c>
      <c r="C7996" s="8">
        <f>DATE(2012,12,31)-980</f>
        <v>40294</v>
      </c>
      <c r="D7996" s="8" t="str">
        <f t="shared" si="152"/>
        <v>2010-04 (апрель 2010)</v>
      </c>
      <c r="E7996" s="9" t="s">
        <v>30</v>
      </c>
      <c r="F7996" s="7">
        <v>43</v>
      </c>
      <c r="G7996" s="7">
        <v>17129.97</v>
      </c>
      <c r="H7996" s="7">
        <v>7.0000000000000007E-2</v>
      </c>
      <c r="I7996" s="9" t="s">
        <v>22</v>
      </c>
      <c r="J7996" s="10">
        <v>5616.08</v>
      </c>
      <c r="K7996" s="11">
        <v>415.88</v>
      </c>
      <c r="L7996" s="11">
        <v>11.37</v>
      </c>
      <c r="M7996" s="9" t="s">
        <v>2111</v>
      </c>
      <c r="N7996" s="6" t="s">
        <v>2073</v>
      </c>
      <c r="O7996" s="6" t="s">
        <v>704</v>
      </c>
      <c r="P7996" s="9" t="s">
        <v>33</v>
      </c>
      <c r="Q7996" s="9" t="s">
        <v>26</v>
      </c>
      <c r="R7996" s="9" t="s">
        <v>27</v>
      </c>
      <c r="S7996" s="7" t="s">
        <v>358</v>
      </c>
      <c r="T7996" s="9" t="s">
        <v>39</v>
      </c>
      <c r="U7996" s="7">
        <v>0.56999999999999995</v>
      </c>
      <c r="V7996" s="12">
        <f>C7996+1</f>
        <v>40295</v>
      </c>
      <c r="W7996">
        <f>IF(D7996=' Pivot Tables'!$A$4,1,0)</f>
        <v>0</v>
      </c>
      <c r="X7996">
        <f>IF(AND(LEFT(D7996,4)+1=LEFT(' Pivot Tables'!$A$4,4)+0,RIGHT(LEFT(D7996,7),2)=RIGHT(LEFT(' Pivot Tables'!$A$4,7),2)),1,0)</f>
        <v>0</v>
      </c>
      <c r="Y7996" s="6">
        <f>1/COUNTIF(Таблица1[Order ID],Таблица1[[#This Row],[Order ID]])</f>
        <v>1</v>
      </c>
      <c r="Z7996" s="9">
        <f>1/COUNTIFS(Таблица1[Customer Name],Таблица1[[#This Row],[Customer Name]],Таблица1[Order-Year-Month],Таблица1[[#This Row],[Order-Year-Month]])</f>
        <v>1</v>
      </c>
    </row>
    <row r="7997" spans="1:26" x14ac:dyDescent="0.2">
      <c r="A7997" s="6">
        <v>349</v>
      </c>
      <c r="B7997" s="7">
        <v>2433</v>
      </c>
      <c r="C7997" s="8">
        <f>DATE(2012,12,31)-1228</f>
        <v>40046</v>
      </c>
      <c r="D7997" s="8" t="str">
        <f t="shared" si="152"/>
        <v>2009-08 (август 2009)</v>
      </c>
      <c r="E7997" s="9" t="s">
        <v>45</v>
      </c>
      <c r="F7997" s="7">
        <v>14</v>
      </c>
      <c r="G7997" s="7">
        <v>24105.87</v>
      </c>
      <c r="H7997" s="7">
        <v>7.0000000000000007E-2</v>
      </c>
      <c r="I7997" s="9" t="s">
        <v>31</v>
      </c>
      <c r="J7997" s="10">
        <v>4073.25</v>
      </c>
      <c r="K7997" s="11">
        <v>2036.48</v>
      </c>
      <c r="L7997" s="11">
        <v>14.7</v>
      </c>
      <c r="M7997" s="9" t="s">
        <v>1187</v>
      </c>
      <c r="N7997" s="6" t="s">
        <v>2073</v>
      </c>
      <c r="O7997" s="6" t="s">
        <v>704</v>
      </c>
      <c r="P7997" s="9" t="s">
        <v>41</v>
      </c>
      <c r="Q7997" s="9" t="s">
        <v>42</v>
      </c>
      <c r="R7997" s="9" t="s">
        <v>210</v>
      </c>
      <c r="S7997" s="7" t="s">
        <v>1996</v>
      </c>
      <c r="T7997" s="9" t="s">
        <v>36</v>
      </c>
      <c r="U7997" s="7">
        <v>0.55000000000000004</v>
      </c>
      <c r="V7997" s="12">
        <f>C7997+0</f>
        <v>40046</v>
      </c>
      <c r="W7997">
        <f>IF(D7997=' Pivot Tables'!$A$4,1,0)</f>
        <v>0</v>
      </c>
      <c r="X7997">
        <f>IF(AND(LEFT(D7997,4)+1=LEFT(' Pivot Tables'!$A$4,4)+0,RIGHT(LEFT(D7997,7),2)=RIGHT(LEFT(' Pivot Tables'!$A$4,7),2)),1,0)</f>
        <v>0</v>
      </c>
      <c r="Y7997" s="6">
        <f>1/COUNTIF(Таблица1[Order ID],Таблица1[[#This Row],[Order ID]])</f>
        <v>1</v>
      </c>
      <c r="Z7997" s="9">
        <f>1/COUNTIFS(Таблица1[Customer Name],Таблица1[[#This Row],[Customer Name]],Таблица1[Order-Year-Month],Таблица1[[#This Row],[Order-Year-Month]])</f>
        <v>1</v>
      </c>
    </row>
    <row r="7998" spans="1:26" x14ac:dyDescent="0.2">
      <c r="A7998" s="6">
        <v>388</v>
      </c>
      <c r="B7998" s="7">
        <v>2659</v>
      </c>
      <c r="C7998" s="8">
        <f>DATE(2012,12,31)-745</f>
        <v>40529</v>
      </c>
      <c r="D7998" s="8" t="str">
        <f t="shared" si="152"/>
        <v>2010-12 (декабрь 2010)</v>
      </c>
      <c r="E7998" s="9" t="s">
        <v>45</v>
      </c>
      <c r="F7998" s="7">
        <v>50</v>
      </c>
      <c r="G7998" s="7">
        <v>881.65</v>
      </c>
      <c r="H7998" s="7">
        <v>0.08</v>
      </c>
      <c r="I7998" s="9" t="s">
        <v>22</v>
      </c>
      <c r="J7998" s="10">
        <v>41.27</v>
      </c>
      <c r="K7998" s="11">
        <v>18.97</v>
      </c>
      <c r="L7998" s="11">
        <v>9.0299999999999994</v>
      </c>
      <c r="M7998" s="9" t="s">
        <v>2110</v>
      </c>
      <c r="N7998" s="6" t="s">
        <v>2073</v>
      </c>
      <c r="O7998" s="6" t="s">
        <v>704</v>
      </c>
      <c r="P7998" s="9" t="s">
        <v>41</v>
      </c>
      <c r="Q7998" s="9" t="s">
        <v>26</v>
      </c>
      <c r="R7998" s="9" t="s">
        <v>61</v>
      </c>
      <c r="S7998" s="7" t="s">
        <v>123</v>
      </c>
      <c r="T7998" s="9" t="s">
        <v>39</v>
      </c>
      <c r="U7998" s="7">
        <v>0.37</v>
      </c>
      <c r="V7998" s="12">
        <f>C7998+2</f>
        <v>40531</v>
      </c>
      <c r="W7998">
        <f>IF(D7998=' Pivot Tables'!$A$4,1,0)</f>
        <v>0</v>
      </c>
      <c r="X7998">
        <f>IF(AND(LEFT(D7998,4)+1=LEFT(' Pivot Tables'!$A$4,4)+0,RIGHT(LEFT(D7998,7),2)=RIGHT(LEFT(' Pivot Tables'!$A$4,7),2)),1,0)</f>
        <v>0</v>
      </c>
      <c r="Y7998" s="6">
        <f>1/COUNTIF(Таблица1[Order ID],Таблица1[[#This Row],[Order ID]])</f>
        <v>1</v>
      </c>
      <c r="Z7998" s="9">
        <f>1/COUNTIFS(Таблица1[Customer Name],Таблица1[[#This Row],[Customer Name]],Таблица1[Order-Year-Month],Таблица1[[#This Row],[Order-Year-Month]])</f>
        <v>1</v>
      </c>
    </row>
    <row r="7999" spans="1:26" x14ac:dyDescent="0.2">
      <c r="A7999" s="6">
        <v>466</v>
      </c>
      <c r="B7999" s="7">
        <v>3172</v>
      </c>
      <c r="C7999" s="8">
        <f>DATE(2012,12,31)-212</f>
        <v>41062</v>
      </c>
      <c r="D7999" s="8" t="str">
        <f t="shared" si="152"/>
        <v>2012-06 (июнь 2012)</v>
      </c>
      <c r="E7999" s="9" t="s">
        <v>45</v>
      </c>
      <c r="F7999" s="7">
        <v>33</v>
      </c>
      <c r="G7999" s="7">
        <v>584.51099999999997</v>
      </c>
      <c r="H7999" s="7">
        <v>0.05</v>
      </c>
      <c r="I7999" s="9" t="s">
        <v>22</v>
      </c>
      <c r="J7999" s="10">
        <v>-95.974999999999994</v>
      </c>
      <c r="K7999" s="11">
        <v>20.99</v>
      </c>
      <c r="L7999" s="11">
        <v>3.3</v>
      </c>
      <c r="M7999" s="9" t="s">
        <v>1145</v>
      </c>
      <c r="N7999" s="6" t="s">
        <v>2073</v>
      </c>
      <c r="O7999" s="6" t="s">
        <v>704</v>
      </c>
      <c r="P7999" s="9" t="s">
        <v>33</v>
      </c>
      <c r="Q7999" s="9" t="s">
        <v>42</v>
      </c>
      <c r="R7999" s="9" t="s">
        <v>43</v>
      </c>
      <c r="S7999" s="7" t="s">
        <v>295</v>
      </c>
      <c r="T7999" s="9" t="s">
        <v>52</v>
      </c>
      <c r="U7999" s="7">
        <v>0.81</v>
      </c>
      <c r="V7999" s="12">
        <f>C7999+2</f>
        <v>41064</v>
      </c>
      <c r="W7999">
        <f>IF(D7999=' Pivot Tables'!$A$4,1,0)</f>
        <v>0</v>
      </c>
      <c r="X7999">
        <f>IF(AND(LEFT(D7999,4)+1=LEFT(' Pivot Tables'!$A$4,4)+0,RIGHT(LEFT(D7999,7),2)=RIGHT(LEFT(' Pivot Tables'!$A$4,7),2)),1,0)</f>
        <v>0</v>
      </c>
      <c r="Y7999" s="6">
        <f>1/COUNTIF(Таблица1[Order ID],Таблица1[[#This Row],[Order ID]])</f>
        <v>1</v>
      </c>
      <c r="Z7999" s="9">
        <f>1/COUNTIFS(Таблица1[Customer Name],Таблица1[[#This Row],[Customer Name]],Таблица1[Order-Year-Month],Таблица1[[#This Row],[Order-Year-Month]])</f>
        <v>1</v>
      </c>
    </row>
    <row r="8000" spans="1:26" x14ac:dyDescent="0.2">
      <c r="A8000" s="6">
        <v>614</v>
      </c>
      <c r="B8000" s="7">
        <v>4199</v>
      </c>
      <c r="C8000" s="8">
        <f>DATE(2012,12,31)-323</f>
        <v>40951</v>
      </c>
      <c r="D8000" s="8" t="str">
        <f t="shared" si="152"/>
        <v>2012-02 (февраль 2012)</v>
      </c>
      <c r="E8000" s="9" t="s">
        <v>78</v>
      </c>
      <c r="F8000" s="7">
        <v>43</v>
      </c>
      <c r="G8000" s="7">
        <v>639.71</v>
      </c>
      <c r="H8000" s="7">
        <v>0.01</v>
      </c>
      <c r="I8000" s="9" t="s">
        <v>56</v>
      </c>
      <c r="J8000" s="10">
        <v>102.53</v>
      </c>
      <c r="K8000" s="11">
        <v>14.2</v>
      </c>
      <c r="L8000" s="11">
        <v>5.3</v>
      </c>
      <c r="M8000" s="9" t="s">
        <v>2112</v>
      </c>
      <c r="N8000" s="6" t="s">
        <v>2073</v>
      </c>
      <c r="O8000" s="6" t="s">
        <v>704</v>
      </c>
      <c r="P8000" s="9" t="s">
        <v>41</v>
      </c>
      <c r="Q8000" s="9" t="s">
        <v>49</v>
      </c>
      <c r="R8000" s="9" t="s">
        <v>50</v>
      </c>
      <c r="S8000" s="7" t="s">
        <v>603</v>
      </c>
      <c r="T8000" s="9" t="s">
        <v>68</v>
      </c>
      <c r="U8000" s="7">
        <v>0.46</v>
      </c>
      <c r="V8000" s="12">
        <f>C8000+1</f>
        <v>40952</v>
      </c>
      <c r="W8000">
        <f>IF(D8000=' Pivot Tables'!$A$4,1,0)</f>
        <v>0</v>
      </c>
      <c r="X8000">
        <f>IF(AND(LEFT(D8000,4)+1=LEFT(' Pivot Tables'!$A$4,4)+0,RIGHT(LEFT(D8000,7),2)=RIGHT(LEFT(' Pivot Tables'!$A$4,7),2)),1,0)</f>
        <v>0</v>
      </c>
      <c r="Y8000" s="6">
        <f>1/COUNTIF(Таблица1[Order ID],Таблица1[[#This Row],[Order ID]])</f>
        <v>1</v>
      </c>
      <c r="Z8000" s="9">
        <f>1/COUNTIFS(Таблица1[Customer Name],Таблица1[[#This Row],[Customer Name]],Таблица1[Order-Year-Month],Таблица1[[#This Row],[Order-Year-Month]])</f>
        <v>1</v>
      </c>
    </row>
    <row r="8001" spans="1:26" x14ac:dyDescent="0.2">
      <c r="A8001" s="6">
        <v>744</v>
      </c>
      <c r="B8001" s="7">
        <v>5347</v>
      </c>
      <c r="C8001" s="8">
        <f>DATE(2012,12,31)-679</f>
        <v>40595</v>
      </c>
      <c r="D8001" s="8" t="str">
        <f t="shared" si="152"/>
        <v>2011-02 (февраль 2011)</v>
      </c>
      <c r="E8001" s="9" t="s">
        <v>63</v>
      </c>
      <c r="F8001" s="7">
        <v>7</v>
      </c>
      <c r="G8001" s="7">
        <v>525.55499999999995</v>
      </c>
      <c r="H8001" s="7">
        <v>0.04</v>
      </c>
      <c r="I8001" s="9" t="s">
        <v>22</v>
      </c>
      <c r="J8001" s="10">
        <v>-60.664999999999999</v>
      </c>
      <c r="K8001" s="11">
        <v>85.99</v>
      </c>
      <c r="L8001" s="11">
        <v>1.25</v>
      </c>
      <c r="M8001" s="9" t="s">
        <v>808</v>
      </c>
      <c r="N8001" s="6" t="s">
        <v>2073</v>
      </c>
      <c r="O8001" s="6" t="s">
        <v>704</v>
      </c>
      <c r="P8001" s="9" t="s">
        <v>41</v>
      </c>
      <c r="Q8001" s="9" t="s">
        <v>42</v>
      </c>
      <c r="R8001" s="9" t="s">
        <v>43</v>
      </c>
      <c r="S8001" s="7" t="s">
        <v>438</v>
      </c>
      <c r="T8001" s="9" t="s">
        <v>52</v>
      </c>
      <c r="U8001" s="7">
        <v>0.39</v>
      </c>
      <c r="V8001" s="12">
        <f>C8001+2</f>
        <v>40597</v>
      </c>
      <c r="W8001">
        <f>IF(D8001=' Pivot Tables'!$A$4,1,0)</f>
        <v>0</v>
      </c>
      <c r="X8001">
        <f>IF(AND(LEFT(D8001,4)+1=LEFT(' Pivot Tables'!$A$4,4)+0,RIGHT(LEFT(D8001,7),2)=RIGHT(LEFT(' Pivot Tables'!$A$4,7),2)),1,0)</f>
        <v>0</v>
      </c>
      <c r="Y8001" s="6">
        <f>1/COUNTIF(Таблица1[Order ID],Таблица1[[#This Row],[Order ID]])</f>
        <v>0.33333333333333331</v>
      </c>
      <c r="Z8001" s="9">
        <f>1/COUNTIFS(Таблица1[Customer Name],Таблица1[[#This Row],[Customer Name]],Таблица1[Order-Year-Month],Таблица1[[#This Row],[Order-Year-Month]])</f>
        <v>0.33333333333333331</v>
      </c>
    </row>
    <row r="8002" spans="1:26" x14ac:dyDescent="0.2">
      <c r="A8002" s="6">
        <v>745</v>
      </c>
      <c r="B8002" s="7">
        <v>5347</v>
      </c>
      <c r="C8002" s="8">
        <f>DATE(2012,12,31)-679</f>
        <v>40595</v>
      </c>
      <c r="D8002" s="8" t="str">
        <f t="shared" si="152"/>
        <v>2011-02 (февраль 2011)</v>
      </c>
      <c r="E8002" s="9" t="s">
        <v>63</v>
      </c>
      <c r="F8002" s="7">
        <v>39</v>
      </c>
      <c r="G8002" s="7">
        <v>276.029</v>
      </c>
      <c r="H8002" s="7">
        <v>0.05</v>
      </c>
      <c r="I8002" s="9" t="s">
        <v>22</v>
      </c>
      <c r="J8002" s="10">
        <v>-108.185</v>
      </c>
      <c r="K8002" s="11">
        <v>7.99</v>
      </c>
      <c r="L8002" s="11">
        <v>5.03</v>
      </c>
      <c r="M8002" s="9" t="s">
        <v>808</v>
      </c>
      <c r="N8002" s="6" t="s">
        <v>2073</v>
      </c>
      <c r="O8002" s="6" t="s">
        <v>704</v>
      </c>
      <c r="P8002" s="9" t="s">
        <v>41</v>
      </c>
      <c r="Q8002" s="9" t="s">
        <v>42</v>
      </c>
      <c r="R8002" s="9" t="s">
        <v>43</v>
      </c>
      <c r="S8002" s="7" t="s">
        <v>140</v>
      </c>
      <c r="T8002" s="9" t="s">
        <v>48</v>
      </c>
      <c r="U8002" s="7">
        <v>0.6</v>
      </c>
      <c r="V8002" s="12">
        <f>C8002+3</f>
        <v>40598</v>
      </c>
      <c r="W8002">
        <f>IF(D8002=' Pivot Tables'!$A$4,1,0)</f>
        <v>0</v>
      </c>
      <c r="X8002">
        <f>IF(AND(LEFT(D8002,4)+1=LEFT(' Pivot Tables'!$A$4,4)+0,RIGHT(LEFT(D8002,7),2)=RIGHT(LEFT(' Pivot Tables'!$A$4,7),2)),1,0)</f>
        <v>0</v>
      </c>
      <c r="Y8002" s="6">
        <f>1/COUNTIF(Таблица1[Order ID],Таблица1[[#This Row],[Order ID]])</f>
        <v>0.33333333333333331</v>
      </c>
      <c r="Z8002" s="9">
        <f>1/COUNTIFS(Таблица1[Customer Name],Таблица1[[#This Row],[Customer Name]],Таблица1[Order-Year-Month],Таблица1[[#This Row],[Order-Year-Month]])</f>
        <v>0.33333333333333331</v>
      </c>
    </row>
    <row r="8003" spans="1:26" x14ac:dyDescent="0.2">
      <c r="A8003" s="6">
        <v>746</v>
      </c>
      <c r="B8003" s="7">
        <v>5347</v>
      </c>
      <c r="C8003" s="8">
        <f>DATE(2012,12,31)-679</f>
        <v>40595</v>
      </c>
      <c r="D8003" s="8" t="str">
        <f t="shared" ref="D8003:D8066" si="154">TEXT(C8003,"гггг-ММ (ММММ гггг)")</f>
        <v>2011-02 (февраль 2011)</v>
      </c>
      <c r="E8003" s="9" t="s">
        <v>63</v>
      </c>
      <c r="F8003" s="7">
        <v>1</v>
      </c>
      <c r="G8003" s="7">
        <v>187.20400000000001</v>
      </c>
      <c r="H8003" s="7">
        <v>0.01</v>
      </c>
      <c r="I8003" s="9" t="s">
        <v>22</v>
      </c>
      <c r="J8003" s="10">
        <v>-796.76300000000003</v>
      </c>
      <c r="K8003" s="11">
        <v>205.99</v>
      </c>
      <c r="L8003" s="11">
        <v>5.26</v>
      </c>
      <c r="M8003" s="9" t="s">
        <v>808</v>
      </c>
      <c r="N8003" s="6" t="s">
        <v>2073</v>
      </c>
      <c r="O8003" s="6" t="s">
        <v>704</v>
      </c>
      <c r="P8003" s="9" t="s">
        <v>41</v>
      </c>
      <c r="Q8003" s="9" t="s">
        <v>42</v>
      </c>
      <c r="R8003" s="9" t="s">
        <v>43</v>
      </c>
      <c r="S8003" s="7" t="s">
        <v>329</v>
      </c>
      <c r="T8003" s="9" t="s">
        <v>39</v>
      </c>
      <c r="U8003" s="7">
        <v>0.56000000000000005</v>
      </c>
      <c r="V8003" s="12">
        <f>C8003+1</f>
        <v>40596</v>
      </c>
      <c r="W8003">
        <f>IF(D8003=' Pivot Tables'!$A$4,1,0)</f>
        <v>0</v>
      </c>
      <c r="X8003">
        <f>IF(AND(LEFT(D8003,4)+1=LEFT(' Pivot Tables'!$A$4,4)+0,RIGHT(LEFT(D8003,7),2)=RIGHT(LEFT(' Pivot Tables'!$A$4,7),2)),1,0)</f>
        <v>0</v>
      </c>
      <c r="Y8003" s="6">
        <f>1/COUNTIF(Таблица1[Order ID],Таблица1[[#This Row],[Order ID]])</f>
        <v>0.33333333333333331</v>
      </c>
      <c r="Z8003" s="9">
        <f>1/COUNTIFS(Таблица1[Customer Name],Таблица1[[#This Row],[Customer Name]],Таблица1[Order-Year-Month],Таблица1[[#This Row],[Order-Year-Month]])</f>
        <v>0.33333333333333331</v>
      </c>
    </row>
    <row r="8004" spans="1:26" x14ac:dyDescent="0.2">
      <c r="A8004" s="6">
        <v>803</v>
      </c>
      <c r="B8004" s="7">
        <v>5764</v>
      </c>
      <c r="C8004" s="8">
        <f>DATE(2012,12,31)-821</f>
        <v>40453</v>
      </c>
      <c r="D8004" s="8" t="str">
        <f t="shared" si="154"/>
        <v>2010-10 (октябрь 2010)</v>
      </c>
      <c r="E8004" s="9" t="s">
        <v>45</v>
      </c>
      <c r="F8004" s="7">
        <v>23</v>
      </c>
      <c r="G8004" s="7">
        <v>193.79</v>
      </c>
      <c r="H8004" s="7">
        <v>0.02</v>
      </c>
      <c r="I8004" s="9" t="s">
        <v>22</v>
      </c>
      <c r="J8004" s="10">
        <v>-117.16199999999999</v>
      </c>
      <c r="K8004" s="11">
        <v>8.0399999999999991</v>
      </c>
      <c r="L8004" s="11">
        <v>8.94</v>
      </c>
      <c r="M8004" s="9" t="s">
        <v>862</v>
      </c>
      <c r="N8004" s="6" t="s">
        <v>2073</v>
      </c>
      <c r="O8004" s="6" t="s">
        <v>704</v>
      </c>
      <c r="P8004" s="9" t="s">
        <v>25</v>
      </c>
      <c r="Q8004" s="9" t="s">
        <v>26</v>
      </c>
      <c r="R8004" s="9" t="s">
        <v>37</v>
      </c>
      <c r="S8004" s="7" t="s">
        <v>529</v>
      </c>
      <c r="T8004" s="9" t="s">
        <v>39</v>
      </c>
      <c r="U8004" s="7">
        <v>0.4</v>
      </c>
      <c r="V8004" s="12">
        <f>C8004+1</f>
        <v>40454</v>
      </c>
      <c r="W8004">
        <f>IF(D8004=' Pivot Tables'!$A$4,1,0)</f>
        <v>0</v>
      </c>
      <c r="X8004">
        <f>IF(AND(LEFT(D8004,4)+1=LEFT(' Pivot Tables'!$A$4,4)+0,RIGHT(LEFT(D8004,7),2)=RIGHT(LEFT(' Pivot Tables'!$A$4,7),2)),1,0)</f>
        <v>0</v>
      </c>
      <c r="Y8004" s="6">
        <f>1/COUNTIF(Таблица1[Order ID],Таблица1[[#This Row],[Order ID]])</f>
        <v>1</v>
      </c>
      <c r="Z8004" s="9">
        <f>1/COUNTIFS(Таблица1[Customer Name],Таблица1[[#This Row],[Customer Name]],Таблица1[Order-Year-Month],Таблица1[[#This Row],[Order-Year-Month]])</f>
        <v>1</v>
      </c>
    </row>
    <row r="8005" spans="1:26" x14ac:dyDescent="0.2">
      <c r="A8005" s="6">
        <v>813</v>
      </c>
      <c r="B8005" s="7">
        <v>5860</v>
      </c>
      <c r="C8005" s="8">
        <f>DATE(2012,12,31)-316</f>
        <v>40958</v>
      </c>
      <c r="D8005" s="8" t="str">
        <f t="shared" si="154"/>
        <v>2012-02 (февраль 2012)</v>
      </c>
      <c r="E8005" s="9" t="s">
        <v>45</v>
      </c>
      <c r="F8005" s="7">
        <v>12</v>
      </c>
      <c r="G8005" s="7">
        <v>56.73</v>
      </c>
      <c r="H8005" s="7">
        <v>0.09</v>
      </c>
      <c r="I8005" s="9" t="s">
        <v>22</v>
      </c>
      <c r="J8005" s="10">
        <v>8.33</v>
      </c>
      <c r="K8005" s="11">
        <v>4.84</v>
      </c>
      <c r="L8005" s="11">
        <v>0.71</v>
      </c>
      <c r="M8005" s="9" t="s">
        <v>1145</v>
      </c>
      <c r="N8005" s="6" t="s">
        <v>2073</v>
      </c>
      <c r="O8005" s="6" t="s">
        <v>704</v>
      </c>
      <c r="P8005" s="9" t="s">
        <v>33</v>
      </c>
      <c r="Q8005" s="9" t="s">
        <v>26</v>
      </c>
      <c r="R8005" s="9" t="s">
        <v>95</v>
      </c>
      <c r="S8005" s="7" t="s">
        <v>633</v>
      </c>
      <c r="T8005" s="9" t="s">
        <v>68</v>
      </c>
      <c r="U8005" s="7">
        <v>0.52</v>
      </c>
      <c r="V8005" s="12">
        <f>C8005+2</f>
        <v>40960</v>
      </c>
      <c r="W8005">
        <f>IF(D8005=' Pivot Tables'!$A$4,1,0)</f>
        <v>0</v>
      </c>
      <c r="X8005">
        <f>IF(AND(LEFT(D8005,4)+1=LEFT(' Pivot Tables'!$A$4,4)+0,RIGHT(LEFT(D8005,7),2)=RIGHT(LEFT(' Pivot Tables'!$A$4,7),2)),1,0)</f>
        <v>0</v>
      </c>
      <c r="Y8005" s="6">
        <f>1/COUNTIF(Таблица1[Order ID],Таблица1[[#This Row],[Order ID]])</f>
        <v>1</v>
      </c>
      <c r="Z8005" s="9">
        <f>1/COUNTIFS(Таблица1[Customer Name],Таблица1[[#This Row],[Customer Name]],Таблица1[Order-Year-Month],Таблица1[[#This Row],[Order-Year-Month]])</f>
        <v>1</v>
      </c>
    </row>
    <row r="8006" spans="1:26" x14ac:dyDescent="0.2">
      <c r="A8006" s="6">
        <v>854</v>
      </c>
      <c r="B8006" s="7">
        <v>6117</v>
      </c>
      <c r="C8006" s="8">
        <f>DATE(2012,12,31)-10</f>
        <v>41264</v>
      </c>
      <c r="D8006" s="8" t="str">
        <f t="shared" si="154"/>
        <v>2012-12 (декабрь 2012)</v>
      </c>
      <c r="E8006" s="9" t="s">
        <v>78</v>
      </c>
      <c r="F8006" s="7">
        <v>7</v>
      </c>
      <c r="G8006" s="7">
        <v>157.03</v>
      </c>
      <c r="H8006" s="7">
        <v>7.0000000000000007E-2</v>
      </c>
      <c r="I8006" s="9" t="s">
        <v>22</v>
      </c>
      <c r="J8006" s="10">
        <v>13.21</v>
      </c>
      <c r="K8006" s="11">
        <v>22.23</v>
      </c>
      <c r="L8006" s="11">
        <v>5.08</v>
      </c>
      <c r="M8006" s="9" t="s">
        <v>1145</v>
      </c>
      <c r="N8006" s="6" t="s">
        <v>2073</v>
      </c>
      <c r="O8006" s="6" t="s">
        <v>704</v>
      </c>
      <c r="P8006" s="9" t="s">
        <v>60</v>
      </c>
      <c r="Q8006" s="9" t="s">
        <v>49</v>
      </c>
      <c r="R8006" s="9" t="s">
        <v>50</v>
      </c>
      <c r="S8006" s="7" t="s">
        <v>660</v>
      </c>
      <c r="T8006" s="9" t="s">
        <v>52</v>
      </c>
      <c r="U8006" s="7">
        <v>0.41</v>
      </c>
      <c r="V8006" s="12">
        <f>C8006+1</f>
        <v>41265</v>
      </c>
      <c r="W8006">
        <f>IF(D8006=' Pivot Tables'!$A$4,1,0)</f>
        <v>0</v>
      </c>
      <c r="X8006">
        <f>IF(AND(LEFT(D8006,4)+1=LEFT(' Pivot Tables'!$A$4,4)+0,RIGHT(LEFT(D8006,7),2)=RIGHT(LEFT(' Pivot Tables'!$A$4,7),2)),1,0)</f>
        <v>0</v>
      </c>
      <c r="Y8006" s="6">
        <f>1/COUNTIF(Таблица1[Order ID],Таблица1[[#This Row],[Order ID]])</f>
        <v>1</v>
      </c>
      <c r="Z8006" s="9">
        <f>1/COUNTIFS(Таблица1[Customer Name],Таблица1[[#This Row],[Customer Name]],Таблица1[Order-Year-Month],Таблица1[[#This Row],[Order-Year-Month]])</f>
        <v>1</v>
      </c>
    </row>
    <row r="8007" spans="1:26" x14ac:dyDescent="0.2">
      <c r="A8007" s="6">
        <v>974</v>
      </c>
      <c r="B8007" s="7">
        <v>7077</v>
      </c>
      <c r="C8007" s="8">
        <f>DATE(2012,12,31)-376</f>
        <v>40898</v>
      </c>
      <c r="D8007" s="8" t="str">
        <f t="shared" si="154"/>
        <v>2011-12 (декабрь 2011)</v>
      </c>
      <c r="E8007" s="9" t="s">
        <v>30</v>
      </c>
      <c r="F8007" s="7">
        <v>14</v>
      </c>
      <c r="G8007" s="7">
        <v>304.52</v>
      </c>
      <c r="H8007" s="7">
        <v>0.04</v>
      </c>
      <c r="I8007" s="9" t="s">
        <v>22</v>
      </c>
      <c r="J8007" s="10">
        <v>25.34</v>
      </c>
      <c r="K8007" s="11">
        <v>21.78</v>
      </c>
      <c r="L8007" s="11">
        <v>5.94</v>
      </c>
      <c r="M8007" s="9" t="s">
        <v>2005</v>
      </c>
      <c r="N8007" s="6" t="s">
        <v>2073</v>
      </c>
      <c r="O8007" s="6" t="s">
        <v>704</v>
      </c>
      <c r="P8007" s="9" t="s">
        <v>33</v>
      </c>
      <c r="Q8007" s="9" t="s">
        <v>26</v>
      </c>
      <c r="R8007" s="9" t="s">
        <v>34</v>
      </c>
      <c r="S8007" s="7" t="s">
        <v>47</v>
      </c>
      <c r="T8007" s="9" t="s">
        <v>48</v>
      </c>
      <c r="U8007" s="7">
        <v>0.5</v>
      </c>
      <c r="V8007" s="12">
        <f>C8007+2</f>
        <v>40900</v>
      </c>
      <c r="W8007">
        <f>IF(D8007=' Pivot Tables'!$A$4,1,0)</f>
        <v>0</v>
      </c>
      <c r="X8007">
        <f>IF(AND(LEFT(D8007,4)+1=LEFT(' Pivot Tables'!$A$4,4)+0,RIGHT(LEFT(D8007,7),2)=RIGHT(LEFT(' Pivot Tables'!$A$4,7),2)),1,0)</f>
        <v>0</v>
      </c>
      <c r="Y8007" s="6">
        <f>1/COUNTIF(Таблица1[Order ID],Таблица1[[#This Row],[Order ID]])</f>
        <v>1</v>
      </c>
      <c r="Z8007" s="9">
        <f>1/COUNTIFS(Таблица1[Customer Name],Таблица1[[#This Row],[Customer Name]],Таблица1[Order-Year-Month],Таблица1[[#This Row],[Order-Year-Month]])</f>
        <v>1</v>
      </c>
    </row>
    <row r="8008" spans="1:26" x14ac:dyDescent="0.2">
      <c r="A8008" s="6">
        <v>991</v>
      </c>
      <c r="B8008" s="7">
        <v>7142</v>
      </c>
      <c r="C8008" s="8">
        <f>DATE(2012,12,31)-529</f>
        <v>40745</v>
      </c>
      <c r="D8008" s="8" t="str">
        <f t="shared" si="154"/>
        <v>2011-07 (июль 2011)</v>
      </c>
      <c r="E8008" s="9" t="s">
        <v>78</v>
      </c>
      <c r="F8008" s="7">
        <v>36</v>
      </c>
      <c r="G8008" s="7">
        <v>132.86000000000001</v>
      </c>
      <c r="H8008" s="7">
        <v>0.06</v>
      </c>
      <c r="I8008" s="9" t="s">
        <v>22</v>
      </c>
      <c r="J8008" s="10">
        <v>57</v>
      </c>
      <c r="K8008" s="11">
        <v>3.69</v>
      </c>
      <c r="L8008" s="11">
        <v>0.5</v>
      </c>
      <c r="M8008" s="9" t="s">
        <v>1187</v>
      </c>
      <c r="N8008" s="6" t="s">
        <v>2073</v>
      </c>
      <c r="O8008" s="6" t="s">
        <v>704</v>
      </c>
      <c r="P8008" s="9" t="s">
        <v>41</v>
      </c>
      <c r="Q8008" s="9" t="s">
        <v>26</v>
      </c>
      <c r="R8008" s="9" t="s">
        <v>88</v>
      </c>
      <c r="S8008" s="7" t="s">
        <v>1445</v>
      </c>
      <c r="T8008" s="9" t="s">
        <v>39</v>
      </c>
      <c r="U8008" s="7">
        <v>0.38</v>
      </c>
      <c r="V8008" s="12">
        <f>C8008+2</f>
        <v>40747</v>
      </c>
      <c r="W8008">
        <f>IF(D8008=' Pivot Tables'!$A$4,1,0)</f>
        <v>0</v>
      </c>
      <c r="X8008">
        <f>IF(AND(LEFT(D8008,4)+1=LEFT(' Pivot Tables'!$A$4,4)+0,RIGHT(LEFT(D8008,7),2)=RIGHT(LEFT(' Pivot Tables'!$A$4,7),2)),1,0)</f>
        <v>0</v>
      </c>
      <c r="Y8008" s="6">
        <f>1/COUNTIF(Таблица1[Order ID],Таблица1[[#This Row],[Order ID]])</f>
        <v>1</v>
      </c>
      <c r="Z8008" s="9">
        <f>1/COUNTIFS(Таблица1[Customer Name],Таблица1[[#This Row],[Customer Name]],Таблица1[Order-Year-Month],Таблица1[[#This Row],[Order-Year-Month]])</f>
        <v>1</v>
      </c>
    </row>
    <row r="8009" spans="1:26" x14ac:dyDescent="0.2">
      <c r="A8009" s="6">
        <v>1011</v>
      </c>
      <c r="B8009" s="7">
        <v>7398</v>
      </c>
      <c r="C8009" s="8">
        <f>DATE(2012,12,31)-1309</f>
        <v>39965</v>
      </c>
      <c r="D8009" s="8" t="str">
        <f t="shared" si="154"/>
        <v>2009-06 (июнь 2009)</v>
      </c>
      <c r="E8009" s="9" t="s">
        <v>45</v>
      </c>
      <c r="F8009" s="7">
        <v>6</v>
      </c>
      <c r="G8009" s="7">
        <v>55.77</v>
      </c>
      <c r="H8009" s="7">
        <v>0.04</v>
      </c>
      <c r="I8009" s="9" t="s">
        <v>22</v>
      </c>
      <c r="J8009" s="10">
        <v>-4.37</v>
      </c>
      <c r="K8009" s="11">
        <v>9.11</v>
      </c>
      <c r="L8009" s="11">
        <v>2.25</v>
      </c>
      <c r="M8009" s="9" t="s">
        <v>1157</v>
      </c>
      <c r="N8009" s="6" t="s">
        <v>2073</v>
      </c>
      <c r="O8009" s="6" t="s">
        <v>704</v>
      </c>
      <c r="P8009" s="9" t="s">
        <v>41</v>
      </c>
      <c r="Q8009" s="9" t="s">
        <v>26</v>
      </c>
      <c r="R8009" s="9" t="s">
        <v>95</v>
      </c>
      <c r="S8009" s="7" t="s">
        <v>709</v>
      </c>
      <c r="T8009" s="9" t="s">
        <v>68</v>
      </c>
      <c r="U8009" s="7">
        <v>0.52</v>
      </c>
      <c r="V8009" s="12">
        <f>C8009+3</f>
        <v>39968</v>
      </c>
      <c r="W8009">
        <f>IF(D8009=' Pivot Tables'!$A$4,1,0)</f>
        <v>0</v>
      </c>
      <c r="X8009">
        <f>IF(AND(LEFT(D8009,4)+1=LEFT(' Pivot Tables'!$A$4,4)+0,RIGHT(LEFT(D8009,7),2)=RIGHT(LEFT(' Pivot Tables'!$A$4,7),2)),1,0)</f>
        <v>0</v>
      </c>
      <c r="Y8009" s="6">
        <f>1/COUNTIF(Таблица1[Order ID],Таблица1[[#This Row],[Order ID]])</f>
        <v>0.5</v>
      </c>
      <c r="Z8009" s="9">
        <f>1/COUNTIFS(Таблица1[Customer Name],Таблица1[[#This Row],[Customer Name]],Таблица1[Order-Year-Month],Таблица1[[#This Row],[Order-Year-Month]])</f>
        <v>0.33333333333333331</v>
      </c>
    </row>
    <row r="8010" spans="1:26" x14ac:dyDescent="0.2">
      <c r="A8010" s="6">
        <v>1012</v>
      </c>
      <c r="B8010" s="7">
        <v>7398</v>
      </c>
      <c r="C8010" s="8">
        <f>DATE(2012,12,31)-1309</f>
        <v>39965</v>
      </c>
      <c r="D8010" s="8" t="str">
        <f t="shared" si="154"/>
        <v>2009-06 (июнь 2009)</v>
      </c>
      <c r="E8010" s="9" t="s">
        <v>45</v>
      </c>
      <c r="F8010" s="7">
        <v>34</v>
      </c>
      <c r="G8010" s="7">
        <v>2181.44</v>
      </c>
      <c r="H8010" s="7">
        <v>7.0000000000000007E-2</v>
      </c>
      <c r="I8010" s="9" t="s">
        <v>22</v>
      </c>
      <c r="J8010" s="10">
        <v>-896.34</v>
      </c>
      <c r="K8010" s="11">
        <v>64.650000000000006</v>
      </c>
      <c r="L8010" s="11">
        <v>35</v>
      </c>
      <c r="M8010" s="9" t="s">
        <v>1157</v>
      </c>
      <c r="N8010" s="6" t="s">
        <v>2073</v>
      </c>
      <c r="O8010" s="6" t="s">
        <v>704</v>
      </c>
      <c r="P8010" s="9" t="s">
        <v>41</v>
      </c>
      <c r="Q8010" s="9" t="s">
        <v>26</v>
      </c>
      <c r="R8010" s="9" t="s">
        <v>27</v>
      </c>
      <c r="S8010" s="7" t="s">
        <v>1060</v>
      </c>
      <c r="T8010" s="9" t="s">
        <v>29</v>
      </c>
      <c r="U8010" s="7">
        <v>0.8</v>
      </c>
      <c r="V8010" s="12">
        <f>C8010+2</f>
        <v>39967</v>
      </c>
      <c r="W8010">
        <f>IF(D8010=' Pivot Tables'!$A$4,1,0)</f>
        <v>0</v>
      </c>
      <c r="X8010">
        <f>IF(AND(LEFT(D8010,4)+1=LEFT(' Pivot Tables'!$A$4,4)+0,RIGHT(LEFT(D8010,7),2)=RIGHT(LEFT(' Pivot Tables'!$A$4,7),2)),1,0)</f>
        <v>0</v>
      </c>
      <c r="Y8010" s="6">
        <f>1/COUNTIF(Таблица1[Order ID],Таблица1[[#This Row],[Order ID]])</f>
        <v>0.5</v>
      </c>
      <c r="Z8010" s="9">
        <f>1/COUNTIFS(Таблица1[Customer Name],Таблица1[[#This Row],[Customer Name]],Таблица1[Order-Year-Month],Таблица1[[#This Row],[Order-Year-Month]])</f>
        <v>0.33333333333333331</v>
      </c>
    </row>
    <row r="8011" spans="1:26" x14ac:dyDescent="0.2">
      <c r="A8011" s="6">
        <v>1018</v>
      </c>
      <c r="B8011" s="7">
        <v>7431</v>
      </c>
      <c r="C8011" s="8">
        <f>DATE(2012,12,31)-1340</f>
        <v>39934</v>
      </c>
      <c r="D8011" s="8" t="str">
        <f t="shared" si="154"/>
        <v>2009-05 (май 2009)</v>
      </c>
      <c r="E8011" s="9" t="s">
        <v>63</v>
      </c>
      <c r="F8011" s="7">
        <v>33</v>
      </c>
      <c r="G8011" s="7">
        <v>78.81</v>
      </c>
      <c r="H8011" s="7">
        <v>0.03</v>
      </c>
      <c r="I8011" s="9" t="s">
        <v>22</v>
      </c>
      <c r="J8011" s="10">
        <v>-93.25</v>
      </c>
      <c r="K8011" s="11">
        <v>2.23</v>
      </c>
      <c r="L8011" s="11">
        <v>4.57</v>
      </c>
      <c r="M8011" s="9" t="s">
        <v>2005</v>
      </c>
      <c r="N8011" s="6" t="s">
        <v>2073</v>
      </c>
      <c r="O8011" s="6" t="s">
        <v>704</v>
      </c>
      <c r="P8011" s="9" t="s">
        <v>33</v>
      </c>
      <c r="Q8011" s="9" t="s">
        <v>49</v>
      </c>
      <c r="R8011" s="9" t="s">
        <v>50</v>
      </c>
      <c r="S8011" s="7" t="s">
        <v>530</v>
      </c>
      <c r="T8011" s="9" t="s">
        <v>52</v>
      </c>
      <c r="U8011" s="7">
        <v>0.41</v>
      </c>
      <c r="V8011" s="12">
        <f>C8011+1</f>
        <v>39935</v>
      </c>
      <c r="W8011">
        <f>IF(D8011=' Pivot Tables'!$A$4,1,0)</f>
        <v>0</v>
      </c>
      <c r="X8011">
        <f>IF(AND(LEFT(D8011,4)+1=LEFT(' Pivot Tables'!$A$4,4)+0,RIGHT(LEFT(D8011,7),2)=RIGHT(LEFT(' Pivot Tables'!$A$4,7),2)),1,0)</f>
        <v>0</v>
      </c>
      <c r="Y8011" s="6">
        <f>1/COUNTIF(Таблица1[Order ID],Таблица1[[#This Row],[Order ID]])</f>
        <v>1</v>
      </c>
      <c r="Z8011" s="9">
        <f>1/COUNTIFS(Таблица1[Customer Name],Таблица1[[#This Row],[Customer Name]],Таблица1[Order-Year-Month],Таблица1[[#This Row],[Order-Year-Month]])</f>
        <v>0.5</v>
      </c>
    </row>
    <row r="8012" spans="1:26" x14ac:dyDescent="0.2">
      <c r="A8012" s="6">
        <v>1088</v>
      </c>
      <c r="B8012" s="7">
        <v>8005</v>
      </c>
      <c r="C8012" s="8">
        <f>DATE(2012,12,31)-270</f>
        <v>41004</v>
      </c>
      <c r="D8012" s="8" t="str">
        <f t="shared" si="154"/>
        <v>2012-04 (апрель 2012)</v>
      </c>
      <c r="E8012" s="9" t="s">
        <v>78</v>
      </c>
      <c r="F8012" s="7">
        <v>24</v>
      </c>
      <c r="G8012" s="7">
        <v>790.63</v>
      </c>
      <c r="H8012" s="7">
        <v>0.1</v>
      </c>
      <c r="I8012" s="9" t="s">
        <v>22</v>
      </c>
      <c r="J8012" s="10">
        <v>52.317500000000003</v>
      </c>
      <c r="K8012" s="11">
        <v>34.54</v>
      </c>
      <c r="L8012" s="11">
        <v>14.72</v>
      </c>
      <c r="M8012" s="9" t="s">
        <v>1157</v>
      </c>
      <c r="N8012" s="6" t="s">
        <v>2073</v>
      </c>
      <c r="O8012" s="6" t="s">
        <v>704</v>
      </c>
      <c r="P8012" s="9" t="s">
        <v>25</v>
      </c>
      <c r="Q8012" s="9" t="s">
        <v>26</v>
      </c>
      <c r="R8012" s="9" t="s">
        <v>37</v>
      </c>
      <c r="S8012" s="7" t="s">
        <v>229</v>
      </c>
      <c r="T8012" s="9" t="s">
        <v>39</v>
      </c>
      <c r="U8012" s="7">
        <v>0.37</v>
      </c>
      <c r="V8012" s="12">
        <f>C8012+2</f>
        <v>41006</v>
      </c>
      <c r="W8012">
        <f>IF(D8012=' Pivot Tables'!$A$4,1,0)</f>
        <v>0</v>
      </c>
      <c r="X8012">
        <f>IF(AND(LEFT(D8012,4)+1=LEFT(' Pivot Tables'!$A$4,4)+0,RIGHT(LEFT(D8012,7),2)=RIGHT(LEFT(' Pivot Tables'!$A$4,7),2)),1,0)</f>
        <v>0</v>
      </c>
      <c r="Y8012" s="6">
        <f>1/COUNTIF(Таблица1[Order ID],Таблица1[[#This Row],[Order ID]])</f>
        <v>1</v>
      </c>
      <c r="Z8012" s="9">
        <f>1/COUNTIFS(Таблица1[Customer Name],Таблица1[[#This Row],[Customer Name]],Таблица1[Order-Year-Month],Таблица1[[#This Row],[Order-Year-Month]])</f>
        <v>1</v>
      </c>
    </row>
    <row r="8013" spans="1:26" x14ac:dyDescent="0.2">
      <c r="A8013" s="6">
        <v>1115</v>
      </c>
      <c r="B8013" s="7">
        <v>8165</v>
      </c>
      <c r="C8013" s="8">
        <f>DATE(2012,12,31)-1173</f>
        <v>40101</v>
      </c>
      <c r="D8013" s="8" t="str">
        <f t="shared" si="154"/>
        <v>2009-10 (октябрь 2009)</v>
      </c>
      <c r="E8013" s="9" t="s">
        <v>21</v>
      </c>
      <c r="F8013" s="7">
        <v>35</v>
      </c>
      <c r="G8013" s="7">
        <v>183.45</v>
      </c>
      <c r="H8013" s="7">
        <v>0.01</v>
      </c>
      <c r="I8013" s="9" t="s">
        <v>22</v>
      </c>
      <c r="J8013" s="10">
        <v>-149.66</v>
      </c>
      <c r="K8013" s="11">
        <v>4.9800000000000004</v>
      </c>
      <c r="L8013" s="11">
        <v>7.44</v>
      </c>
      <c r="M8013" s="9" t="s">
        <v>1187</v>
      </c>
      <c r="N8013" s="6" t="s">
        <v>2073</v>
      </c>
      <c r="O8013" s="6" t="s">
        <v>704</v>
      </c>
      <c r="P8013" s="9" t="s">
        <v>41</v>
      </c>
      <c r="Q8013" s="9" t="s">
        <v>26</v>
      </c>
      <c r="R8013" s="9" t="s">
        <v>61</v>
      </c>
      <c r="S8013" s="7" t="s">
        <v>1159</v>
      </c>
      <c r="T8013" s="9" t="s">
        <v>39</v>
      </c>
      <c r="U8013" s="7">
        <v>0.36</v>
      </c>
      <c r="V8013" s="12">
        <f>C8013+9</f>
        <v>40110</v>
      </c>
      <c r="W8013">
        <f>IF(D8013=' Pivot Tables'!$A$4,1,0)</f>
        <v>0</v>
      </c>
      <c r="X8013">
        <f>IF(AND(LEFT(D8013,4)+1=LEFT(' Pivot Tables'!$A$4,4)+0,RIGHT(LEFT(D8013,7),2)=RIGHT(LEFT(' Pivot Tables'!$A$4,7),2)),1,0)</f>
        <v>0</v>
      </c>
      <c r="Y8013" s="6">
        <f>1/COUNTIF(Таблица1[Order ID],Таблица1[[#This Row],[Order ID]])</f>
        <v>1</v>
      </c>
      <c r="Z8013" s="9">
        <f>1/COUNTIFS(Таблица1[Customer Name],Таблица1[[#This Row],[Customer Name]],Таблица1[Order-Year-Month],Таблица1[[#This Row],[Order-Year-Month]])</f>
        <v>1</v>
      </c>
    </row>
    <row r="8014" spans="1:26" x14ac:dyDescent="0.2">
      <c r="A8014" s="6">
        <v>1213</v>
      </c>
      <c r="B8014" s="7">
        <v>8902</v>
      </c>
      <c r="C8014" s="8">
        <f>DATE(2012,12,31)-561</f>
        <v>40713</v>
      </c>
      <c r="D8014" s="8" t="str">
        <f t="shared" si="154"/>
        <v>2011-06 (июнь 2011)</v>
      </c>
      <c r="E8014" s="9" t="s">
        <v>30</v>
      </c>
      <c r="F8014" s="7">
        <v>27</v>
      </c>
      <c r="G8014" s="7">
        <v>180.46</v>
      </c>
      <c r="H8014" s="7">
        <v>0.05</v>
      </c>
      <c r="I8014" s="9" t="s">
        <v>22</v>
      </c>
      <c r="J8014" s="10">
        <v>-57.62</v>
      </c>
      <c r="K8014" s="11">
        <v>6.48</v>
      </c>
      <c r="L8014" s="11">
        <v>5.94</v>
      </c>
      <c r="M8014" s="9" t="s">
        <v>2005</v>
      </c>
      <c r="N8014" s="6" t="s">
        <v>2073</v>
      </c>
      <c r="O8014" s="6" t="s">
        <v>704</v>
      </c>
      <c r="P8014" s="9" t="s">
        <v>33</v>
      </c>
      <c r="Q8014" s="9" t="s">
        <v>26</v>
      </c>
      <c r="R8014" s="9" t="s">
        <v>61</v>
      </c>
      <c r="S8014" s="7" t="s">
        <v>994</v>
      </c>
      <c r="T8014" s="9" t="s">
        <v>39</v>
      </c>
      <c r="U8014" s="7">
        <v>0.37</v>
      </c>
      <c r="V8014" s="12">
        <f>C8014+2</f>
        <v>40715</v>
      </c>
      <c r="W8014">
        <f>IF(D8014=' Pivot Tables'!$A$4,1,0)</f>
        <v>0</v>
      </c>
      <c r="X8014">
        <f>IF(AND(LEFT(D8014,4)+1=LEFT(' Pivot Tables'!$A$4,4)+0,RIGHT(LEFT(D8014,7),2)=RIGHT(LEFT(' Pivot Tables'!$A$4,7),2)),1,0)</f>
        <v>0</v>
      </c>
      <c r="Y8014" s="6">
        <f>1/COUNTIF(Таблица1[Order ID],Таблица1[[#This Row],[Order ID]])</f>
        <v>1</v>
      </c>
      <c r="Z8014" s="9">
        <f>1/COUNTIFS(Таблица1[Customer Name],Таблица1[[#This Row],[Customer Name]],Таблица1[Order-Year-Month],Таблица1[[#This Row],[Order-Year-Month]])</f>
        <v>1</v>
      </c>
    </row>
    <row r="8015" spans="1:26" x14ac:dyDescent="0.2">
      <c r="A8015" s="6">
        <v>1262</v>
      </c>
      <c r="B8015" s="7">
        <v>9187</v>
      </c>
      <c r="C8015" s="8">
        <f>DATE(2012,12,31)-1228</f>
        <v>40046</v>
      </c>
      <c r="D8015" s="8" t="str">
        <f t="shared" si="154"/>
        <v>2009-08 (август 2009)</v>
      </c>
      <c r="E8015" s="9" t="s">
        <v>30</v>
      </c>
      <c r="F8015" s="7">
        <v>40</v>
      </c>
      <c r="G8015" s="7">
        <v>174.64</v>
      </c>
      <c r="H8015" s="7">
        <v>0.04</v>
      </c>
      <c r="I8015" s="9" t="s">
        <v>22</v>
      </c>
      <c r="J8015" s="10">
        <v>-143.22999999999999</v>
      </c>
      <c r="K8015" s="11">
        <v>4.37</v>
      </c>
      <c r="L8015" s="11">
        <v>5.15</v>
      </c>
      <c r="M8015" s="9" t="s">
        <v>862</v>
      </c>
      <c r="N8015" s="6" t="s">
        <v>2073</v>
      </c>
      <c r="O8015" s="6" t="s">
        <v>704</v>
      </c>
      <c r="P8015" s="9" t="s">
        <v>25</v>
      </c>
      <c r="Q8015" s="9" t="s">
        <v>26</v>
      </c>
      <c r="R8015" s="9" t="s">
        <v>34</v>
      </c>
      <c r="S8015" s="7" t="s">
        <v>690</v>
      </c>
      <c r="T8015" s="9" t="s">
        <v>39</v>
      </c>
      <c r="U8015" s="7">
        <v>0.59</v>
      </c>
      <c r="V8015" s="12">
        <f>C8015+1</f>
        <v>40047</v>
      </c>
      <c r="W8015">
        <f>IF(D8015=' Pivot Tables'!$A$4,1,0)</f>
        <v>0</v>
      </c>
      <c r="X8015">
        <f>IF(AND(LEFT(D8015,4)+1=LEFT(' Pivot Tables'!$A$4,4)+0,RIGHT(LEFT(D8015,7),2)=RIGHT(LEFT(' Pivot Tables'!$A$4,7),2)),1,0)</f>
        <v>0</v>
      </c>
      <c r="Y8015" s="6">
        <f>1/COUNTIF(Таблица1[Order ID],Таблица1[[#This Row],[Order ID]])</f>
        <v>0.5</v>
      </c>
      <c r="Z8015" s="9">
        <f>1/COUNTIFS(Таблица1[Customer Name],Таблица1[[#This Row],[Customer Name]],Таблица1[Order-Year-Month],Таблица1[[#This Row],[Order-Year-Month]])</f>
        <v>0.5</v>
      </c>
    </row>
    <row r="8016" spans="1:26" x14ac:dyDescent="0.2">
      <c r="A8016" s="6">
        <v>1263</v>
      </c>
      <c r="B8016" s="7">
        <v>9187</v>
      </c>
      <c r="C8016" s="8">
        <f>DATE(2012,12,31)-1228</f>
        <v>40046</v>
      </c>
      <c r="D8016" s="8" t="str">
        <f t="shared" si="154"/>
        <v>2009-08 (август 2009)</v>
      </c>
      <c r="E8016" s="9" t="s">
        <v>30</v>
      </c>
      <c r="F8016" s="7">
        <v>8</v>
      </c>
      <c r="G8016" s="7">
        <v>994.22800000000007</v>
      </c>
      <c r="H8016" s="7">
        <v>0.09</v>
      </c>
      <c r="I8016" s="9" t="s">
        <v>22</v>
      </c>
      <c r="J8016" s="10">
        <v>-446.57800000000003</v>
      </c>
      <c r="K8016" s="11">
        <v>155.99</v>
      </c>
      <c r="L8016" s="11">
        <v>8.99</v>
      </c>
      <c r="M8016" s="9" t="s">
        <v>862</v>
      </c>
      <c r="N8016" s="6" t="s">
        <v>2073</v>
      </c>
      <c r="O8016" s="6" t="s">
        <v>704</v>
      </c>
      <c r="P8016" s="9" t="s">
        <v>25</v>
      </c>
      <c r="Q8016" s="9" t="s">
        <v>42</v>
      </c>
      <c r="R8016" s="9" t="s">
        <v>43</v>
      </c>
      <c r="S8016" s="7" t="s">
        <v>710</v>
      </c>
      <c r="T8016" s="9" t="s">
        <v>39</v>
      </c>
      <c r="U8016" s="7">
        <v>0.57999999999999996</v>
      </c>
      <c r="V8016" s="12">
        <f>C8016+2</f>
        <v>40048</v>
      </c>
      <c r="W8016">
        <f>IF(D8016=' Pivot Tables'!$A$4,1,0)</f>
        <v>0</v>
      </c>
      <c r="X8016">
        <f>IF(AND(LEFT(D8016,4)+1=LEFT(' Pivot Tables'!$A$4,4)+0,RIGHT(LEFT(D8016,7),2)=RIGHT(LEFT(' Pivot Tables'!$A$4,7),2)),1,0)</f>
        <v>0</v>
      </c>
      <c r="Y8016" s="6">
        <f>1/COUNTIF(Таблица1[Order ID],Таблица1[[#This Row],[Order ID]])</f>
        <v>0.5</v>
      </c>
      <c r="Z8016" s="9">
        <f>1/COUNTIFS(Таблица1[Customer Name],Таблица1[[#This Row],[Customer Name]],Таблица1[Order-Year-Month],Таблица1[[#This Row],[Order-Year-Month]])</f>
        <v>0.5</v>
      </c>
    </row>
    <row r="8017" spans="1:26" x14ac:dyDescent="0.2">
      <c r="A8017" s="6">
        <v>1265</v>
      </c>
      <c r="B8017" s="7">
        <v>9219</v>
      </c>
      <c r="C8017" s="8">
        <f>DATE(2012,12,31)-1190</f>
        <v>40084</v>
      </c>
      <c r="D8017" s="8" t="str">
        <f t="shared" si="154"/>
        <v>2009-09 (сентябрь 2009)</v>
      </c>
      <c r="E8017" s="9" t="s">
        <v>21</v>
      </c>
      <c r="F8017" s="7">
        <v>24</v>
      </c>
      <c r="G8017" s="7">
        <v>1239.81</v>
      </c>
      <c r="H8017" s="7">
        <v>0.04</v>
      </c>
      <c r="I8017" s="9" t="s">
        <v>22</v>
      </c>
      <c r="J8017" s="10">
        <v>-13.28</v>
      </c>
      <c r="K8017" s="11">
        <v>50.98</v>
      </c>
      <c r="L8017" s="11">
        <v>6.5</v>
      </c>
      <c r="M8017" s="9" t="s">
        <v>1973</v>
      </c>
      <c r="N8017" s="6" t="s">
        <v>2073</v>
      </c>
      <c r="O8017" s="6" t="s">
        <v>704</v>
      </c>
      <c r="P8017" s="9" t="s">
        <v>33</v>
      </c>
      <c r="Q8017" s="9" t="s">
        <v>42</v>
      </c>
      <c r="R8017" s="9" t="s">
        <v>70</v>
      </c>
      <c r="S8017" s="7" t="s">
        <v>187</v>
      </c>
      <c r="T8017" s="9" t="s">
        <v>39</v>
      </c>
      <c r="U8017" s="7">
        <v>0.73</v>
      </c>
      <c r="V8017" s="12">
        <f>C8017+5</f>
        <v>40089</v>
      </c>
      <c r="W8017">
        <f>IF(D8017=' Pivot Tables'!$A$4,1,0)</f>
        <v>0</v>
      </c>
      <c r="X8017">
        <f>IF(AND(LEFT(D8017,4)+1=LEFT(' Pivot Tables'!$A$4,4)+0,RIGHT(LEFT(D8017,7),2)=RIGHT(LEFT(' Pivot Tables'!$A$4,7),2)),1,0)</f>
        <v>0</v>
      </c>
      <c r="Y8017" s="6">
        <f>1/COUNTIF(Таблица1[Order ID],Таблица1[[#This Row],[Order ID]])</f>
        <v>0.5</v>
      </c>
      <c r="Z8017" s="9">
        <f>1/COUNTIFS(Таблица1[Customer Name],Таблица1[[#This Row],[Customer Name]],Таблица1[Order-Year-Month],Таблица1[[#This Row],[Order-Year-Month]])</f>
        <v>0.5</v>
      </c>
    </row>
    <row r="8018" spans="1:26" x14ac:dyDescent="0.2">
      <c r="A8018" s="6">
        <v>1266</v>
      </c>
      <c r="B8018" s="7">
        <v>9219</v>
      </c>
      <c r="C8018" s="8">
        <f>DATE(2012,12,31)-1190</f>
        <v>40084</v>
      </c>
      <c r="D8018" s="8" t="str">
        <f t="shared" si="154"/>
        <v>2009-09 (сентябрь 2009)</v>
      </c>
      <c r="E8018" s="9" t="s">
        <v>21</v>
      </c>
      <c r="F8018" s="7">
        <v>41</v>
      </c>
      <c r="G8018" s="7">
        <v>273.32</v>
      </c>
      <c r="H8018" s="7">
        <v>0.02</v>
      </c>
      <c r="I8018" s="9" t="s">
        <v>22</v>
      </c>
      <c r="J8018" s="10">
        <v>-48.68</v>
      </c>
      <c r="K8018" s="11">
        <v>6.48</v>
      </c>
      <c r="L8018" s="11">
        <v>5.14</v>
      </c>
      <c r="M8018" s="9" t="s">
        <v>1973</v>
      </c>
      <c r="N8018" s="6" t="s">
        <v>2073</v>
      </c>
      <c r="O8018" s="6" t="s">
        <v>704</v>
      </c>
      <c r="P8018" s="9" t="s">
        <v>33</v>
      </c>
      <c r="Q8018" s="9" t="s">
        <v>26</v>
      </c>
      <c r="R8018" s="9" t="s">
        <v>61</v>
      </c>
      <c r="S8018" s="7" t="s">
        <v>1184</v>
      </c>
      <c r="T8018" s="9" t="s">
        <v>39</v>
      </c>
      <c r="U8018" s="7">
        <v>0.37</v>
      </c>
      <c r="V8018" s="12">
        <f>C8018+2</f>
        <v>40086</v>
      </c>
      <c r="W8018">
        <f>IF(D8018=' Pivot Tables'!$A$4,1,0)</f>
        <v>0</v>
      </c>
      <c r="X8018">
        <f>IF(AND(LEFT(D8018,4)+1=LEFT(' Pivot Tables'!$A$4,4)+0,RIGHT(LEFT(D8018,7),2)=RIGHT(LEFT(' Pivot Tables'!$A$4,7),2)),1,0)</f>
        <v>0</v>
      </c>
      <c r="Y8018" s="6">
        <f>1/COUNTIF(Таблица1[Order ID],Таблица1[[#This Row],[Order ID]])</f>
        <v>0.5</v>
      </c>
      <c r="Z8018" s="9">
        <f>1/COUNTIFS(Таблица1[Customer Name],Таблица1[[#This Row],[Customer Name]],Таблица1[Order-Year-Month],Таблица1[[#This Row],[Order-Year-Month]])</f>
        <v>0.5</v>
      </c>
    </row>
    <row r="8019" spans="1:26" x14ac:dyDescent="0.2">
      <c r="A8019" s="6">
        <v>1306</v>
      </c>
      <c r="B8019" s="7">
        <v>9573</v>
      </c>
      <c r="C8019" s="8">
        <f>DATE(2012,12,31)-201</f>
        <v>41073</v>
      </c>
      <c r="D8019" s="8" t="str">
        <f t="shared" si="154"/>
        <v>2012-06 (июнь 2012)</v>
      </c>
      <c r="E8019" s="9" t="s">
        <v>63</v>
      </c>
      <c r="F8019" s="7">
        <v>21</v>
      </c>
      <c r="G8019" s="7">
        <v>146.25</v>
      </c>
      <c r="H8019" s="7">
        <v>0.01</v>
      </c>
      <c r="I8019" s="9" t="s">
        <v>56</v>
      </c>
      <c r="J8019" s="10">
        <v>60.12</v>
      </c>
      <c r="K8019" s="11">
        <v>6.35</v>
      </c>
      <c r="L8019" s="11">
        <v>1.02</v>
      </c>
      <c r="M8019" s="9" t="s">
        <v>798</v>
      </c>
      <c r="N8019" s="6" t="s">
        <v>2073</v>
      </c>
      <c r="O8019" s="6" t="s">
        <v>704</v>
      </c>
      <c r="P8019" s="9" t="s">
        <v>60</v>
      </c>
      <c r="Q8019" s="9" t="s">
        <v>26</v>
      </c>
      <c r="R8019" s="9" t="s">
        <v>61</v>
      </c>
      <c r="S8019" s="7" t="s">
        <v>157</v>
      </c>
      <c r="T8019" s="9" t="s">
        <v>68</v>
      </c>
      <c r="U8019" s="7">
        <v>0.39</v>
      </c>
      <c r="V8019" s="12">
        <f>C8019+1</f>
        <v>41074</v>
      </c>
      <c r="W8019">
        <f>IF(D8019=' Pivot Tables'!$A$4,1,0)</f>
        <v>0</v>
      </c>
      <c r="X8019">
        <f>IF(AND(LEFT(D8019,4)+1=LEFT(' Pivot Tables'!$A$4,4)+0,RIGHT(LEFT(D8019,7),2)=RIGHT(LEFT(' Pivot Tables'!$A$4,7),2)),1,0)</f>
        <v>0</v>
      </c>
      <c r="Y8019" s="6">
        <f>1/COUNTIF(Таблица1[Order ID],Таблица1[[#This Row],[Order ID]])</f>
        <v>0.5</v>
      </c>
      <c r="Z8019" s="9">
        <f>1/COUNTIFS(Таблица1[Customer Name],Таблица1[[#This Row],[Customer Name]],Таблица1[Order-Year-Month],Таблица1[[#This Row],[Order-Year-Month]])</f>
        <v>0.5</v>
      </c>
    </row>
    <row r="8020" spans="1:26" x14ac:dyDescent="0.2">
      <c r="A8020" s="6">
        <v>1336</v>
      </c>
      <c r="B8020" s="7">
        <v>9762</v>
      </c>
      <c r="C8020" s="8">
        <f>DATE(2012,12,31)-1458</f>
        <v>39816</v>
      </c>
      <c r="D8020" s="8" t="str">
        <f t="shared" si="154"/>
        <v>2009-01 (январь 2009)</v>
      </c>
      <c r="E8020" s="9" t="s">
        <v>30</v>
      </c>
      <c r="F8020" s="7">
        <v>12</v>
      </c>
      <c r="G8020" s="7">
        <v>262.76</v>
      </c>
      <c r="H8020" s="7">
        <v>0.05</v>
      </c>
      <c r="I8020" s="9" t="s">
        <v>22</v>
      </c>
      <c r="J8020" s="10">
        <v>-146.05000000000001</v>
      </c>
      <c r="K8020" s="11">
        <v>20.98</v>
      </c>
      <c r="L8020" s="11">
        <v>21.2</v>
      </c>
      <c r="M8020" s="9" t="s">
        <v>2113</v>
      </c>
      <c r="N8020" s="6" t="s">
        <v>2073</v>
      </c>
      <c r="O8020" s="6" t="s">
        <v>704</v>
      </c>
      <c r="P8020" s="9" t="s">
        <v>60</v>
      </c>
      <c r="Q8020" s="9" t="s">
        <v>49</v>
      </c>
      <c r="R8020" s="9" t="s">
        <v>50</v>
      </c>
      <c r="S8020" s="7" t="s">
        <v>1654</v>
      </c>
      <c r="T8020" s="9" t="s">
        <v>48</v>
      </c>
      <c r="U8020" s="7">
        <v>0.78</v>
      </c>
      <c r="V8020" s="12">
        <f>C8020+1</f>
        <v>39817</v>
      </c>
      <c r="W8020">
        <f>IF(D8020=' Pivot Tables'!$A$4,1,0)</f>
        <v>0</v>
      </c>
      <c r="X8020">
        <f>IF(AND(LEFT(D8020,4)+1=LEFT(' Pivot Tables'!$A$4,4)+0,RIGHT(LEFT(D8020,7),2)=RIGHT(LEFT(' Pivot Tables'!$A$4,7),2)),1,0)</f>
        <v>1</v>
      </c>
      <c r="Y8020" s="6">
        <f>1/COUNTIF(Таблица1[Order ID],Таблица1[[#This Row],[Order ID]])</f>
        <v>1</v>
      </c>
      <c r="Z8020" s="9">
        <f>1/COUNTIFS(Таблица1[Customer Name],Таблица1[[#This Row],[Customer Name]],Таблица1[Order-Year-Month],Таблица1[[#This Row],[Order-Year-Month]])</f>
        <v>0.25</v>
      </c>
    </row>
    <row r="8021" spans="1:26" x14ac:dyDescent="0.2">
      <c r="A8021" s="6">
        <v>1484</v>
      </c>
      <c r="B8021" s="7">
        <v>10663</v>
      </c>
      <c r="C8021" s="8">
        <f>DATE(2012,12,31)-1318</f>
        <v>39956</v>
      </c>
      <c r="D8021" s="8" t="str">
        <f t="shared" si="154"/>
        <v>2009-05 (май 2009)</v>
      </c>
      <c r="E8021" s="9" t="s">
        <v>30</v>
      </c>
      <c r="F8021" s="7">
        <v>40</v>
      </c>
      <c r="G8021" s="7">
        <v>104.39</v>
      </c>
      <c r="H8021" s="7">
        <v>7.0000000000000007E-2</v>
      </c>
      <c r="I8021" s="9" t="s">
        <v>22</v>
      </c>
      <c r="J8021" s="10">
        <v>38.450000000000003</v>
      </c>
      <c r="K8021" s="11">
        <v>2.61</v>
      </c>
      <c r="L8021" s="11">
        <v>0.5</v>
      </c>
      <c r="M8021" s="9" t="s">
        <v>798</v>
      </c>
      <c r="N8021" s="6" t="s">
        <v>2073</v>
      </c>
      <c r="O8021" s="6" t="s">
        <v>704</v>
      </c>
      <c r="P8021" s="9" t="s">
        <v>60</v>
      </c>
      <c r="Q8021" s="9" t="s">
        <v>26</v>
      </c>
      <c r="R8021" s="9" t="s">
        <v>88</v>
      </c>
      <c r="S8021" s="7" t="s">
        <v>406</v>
      </c>
      <c r="T8021" s="9" t="s">
        <v>39</v>
      </c>
      <c r="U8021" s="7">
        <v>0.39</v>
      </c>
      <c r="V8021" s="12">
        <f>C8021+0</f>
        <v>39956</v>
      </c>
      <c r="W8021">
        <f>IF(D8021=' Pivot Tables'!$A$4,1,0)</f>
        <v>0</v>
      </c>
      <c r="X8021">
        <f>IF(AND(LEFT(D8021,4)+1=LEFT(' Pivot Tables'!$A$4,4)+0,RIGHT(LEFT(D8021,7),2)=RIGHT(LEFT(' Pivot Tables'!$A$4,7),2)),1,0)</f>
        <v>0</v>
      </c>
      <c r="Y8021" s="6">
        <f>1/COUNTIF(Таблица1[Order ID],Таблица1[[#This Row],[Order ID]])</f>
        <v>1</v>
      </c>
      <c r="Z8021" s="9">
        <f>1/COUNTIFS(Таблица1[Customer Name],Таблица1[[#This Row],[Customer Name]],Таблица1[Order-Year-Month],Таблица1[[#This Row],[Order-Year-Month]])</f>
        <v>1</v>
      </c>
    </row>
    <row r="8022" spans="1:26" x14ac:dyDescent="0.2">
      <c r="A8022" s="6">
        <v>1510</v>
      </c>
      <c r="B8022" s="7">
        <v>10917</v>
      </c>
      <c r="C8022" s="8">
        <f>DATE(2012,12,31)-325</f>
        <v>40949</v>
      </c>
      <c r="D8022" s="8" t="str">
        <f t="shared" si="154"/>
        <v>2012-02 (февраль 2012)</v>
      </c>
      <c r="E8022" s="9" t="s">
        <v>78</v>
      </c>
      <c r="F8022" s="7">
        <v>14</v>
      </c>
      <c r="G8022" s="7">
        <v>1281.3579999999999</v>
      </c>
      <c r="H8022" s="7">
        <v>0.09</v>
      </c>
      <c r="I8022" s="9" t="s">
        <v>56</v>
      </c>
      <c r="J8022" s="10">
        <v>-90.123000000000005</v>
      </c>
      <c r="K8022" s="11">
        <v>115.99</v>
      </c>
      <c r="L8022" s="11">
        <v>5.99</v>
      </c>
      <c r="M8022" s="9" t="s">
        <v>2110</v>
      </c>
      <c r="N8022" s="6" t="s">
        <v>2073</v>
      </c>
      <c r="O8022" s="6" t="s">
        <v>704</v>
      </c>
      <c r="P8022" s="9" t="s">
        <v>41</v>
      </c>
      <c r="Q8022" s="9" t="s">
        <v>42</v>
      </c>
      <c r="R8022" s="9" t="s">
        <v>43</v>
      </c>
      <c r="S8022" s="7" t="s">
        <v>1270</v>
      </c>
      <c r="T8022" s="9" t="s">
        <v>39</v>
      </c>
      <c r="U8022" s="7">
        <v>0.56999999999999995</v>
      </c>
      <c r="V8022" s="12">
        <f>C8022+2</f>
        <v>40951</v>
      </c>
      <c r="W8022">
        <f>IF(D8022=' Pivot Tables'!$A$4,1,0)</f>
        <v>0</v>
      </c>
      <c r="X8022">
        <f>IF(AND(LEFT(D8022,4)+1=LEFT(' Pivot Tables'!$A$4,4)+0,RIGHT(LEFT(D8022,7),2)=RIGHT(LEFT(' Pivot Tables'!$A$4,7),2)),1,0)</f>
        <v>0</v>
      </c>
      <c r="Y8022" s="6">
        <f>1/COUNTIF(Таблица1[Order ID],Таблица1[[#This Row],[Order ID]])</f>
        <v>1</v>
      </c>
      <c r="Z8022" s="9">
        <f>1/COUNTIFS(Таблица1[Customer Name],Таблица1[[#This Row],[Customer Name]],Таблица1[Order-Year-Month],Таблица1[[#This Row],[Order-Year-Month]])</f>
        <v>1</v>
      </c>
    </row>
    <row r="8023" spans="1:26" x14ac:dyDescent="0.2">
      <c r="A8023" s="6">
        <v>1602</v>
      </c>
      <c r="B8023" s="7">
        <v>11648</v>
      </c>
      <c r="C8023" s="8">
        <f>DATE(2012,12,31)-632</f>
        <v>40642</v>
      </c>
      <c r="D8023" s="8" t="str">
        <f t="shared" si="154"/>
        <v>2011-04 (апрель 2011)</v>
      </c>
      <c r="E8023" s="9" t="s">
        <v>21</v>
      </c>
      <c r="F8023" s="7">
        <v>1</v>
      </c>
      <c r="G8023" s="7">
        <v>32.51</v>
      </c>
      <c r="H8023" s="7">
        <v>0.1</v>
      </c>
      <c r="I8023" s="9" t="s">
        <v>22</v>
      </c>
      <c r="J8023" s="10">
        <v>-90.94</v>
      </c>
      <c r="K8023" s="11">
        <v>35.409999999999997</v>
      </c>
      <c r="L8023" s="11">
        <v>1.99</v>
      </c>
      <c r="M8023" s="9" t="s">
        <v>2114</v>
      </c>
      <c r="N8023" s="6" t="s">
        <v>2073</v>
      </c>
      <c r="O8023" s="6" t="s">
        <v>704</v>
      </c>
      <c r="P8023" s="9" t="s">
        <v>41</v>
      </c>
      <c r="Q8023" s="9" t="s">
        <v>42</v>
      </c>
      <c r="R8023" s="9" t="s">
        <v>70</v>
      </c>
      <c r="S8023" s="7" t="s">
        <v>971</v>
      </c>
      <c r="T8023" s="9" t="s">
        <v>52</v>
      </c>
      <c r="U8023" s="7">
        <v>0.43</v>
      </c>
      <c r="V8023" s="12">
        <f>C8023+7</f>
        <v>40649</v>
      </c>
      <c r="W8023">
        <f>IF(D8023=' Pivot Tables'!$A$4,1,0)</f>
        <v>0</v>
      </c>
      <c r="X8023">
        <f>IF(AND(LEFT(D8023,4)+1=LEFT(' Pivot Tables'!$A$4,4)+0,RIGHT(LEFT(D8023,7),2)=RIGHT(LEFT(' Pivot Tables'!$A$4,7),2)),1,0)</f>
        <v>0</v>
      </c>
      <c r="Y8023" s="6">
        <f>1/COUNTIF(Таблица1[Order ID],Таблица1[[#This Row],[Order ID]])</f>
        <v>0.5</v>
      </c>
      <c r="Z8023" s="9">
        <f>1/COUNTIFS(Таблица1[Customer Name],Таблица1[[#This Row],[Customer Name]],Таблица1[Order-Year-Month],Таблица1[[#This Row],[Order-Year-Month]])</f>
        <v>0.5</v>
      </c>
    </row>
    <row r="8024" spans="1:26" x14ac:dyDescent="0.2">
      <c r="A8024" s="6">
        <v>1603</v>
      </c>
      <c r="B8024" s="7">
        <v>11648</v>
      </c>
      <c r="C8024" s="8">
        <f>DATE(2012,12,31)-632</f>
        <v>40642</v>
      </c>
      <c r="D8024" s="8" t="str">
        <f t="shared" si="154"/>
        <v>2011-04 (апрель 2011)</v>
      </c>
      <c r="E8024" s="9" t="s">
        <v>21</v>
      </c>
      <c r="F8024" s="7">
        <v>33</v>
      </c>
      <c r="G8024" s="7">
        <v>570.51</v>
      </c>
      <c r="H8024" s="7">
        <v>0</v>
      </c>
      <c r="I8024" s="9" t="s">
        <v>22</v>
      </c>
      <c r="J8024" s="10">
        <v>-142.75</v>
      </c>
      <c r="K8024" s="11">
        <v>16.739999999999998</v>
      </c>
      <c r="L8024" s="11">
        <v>7.04</v>
      </c>
      <c r="M8024" s="9" t="s">
        <v>2114</v>
      </c>
      <c r="N8024" s="6" t="s">
        <v>2073</v>
      </c>
      <c r="O8024" s="6" t="s">
        <v>704</v>
      </c>
      <c r="P8024" s="9" t="s">
        <v>41</v>
      </c>
      <c r="Q8024" s="9" t="s">
        <v>26</v>
      </c>
      <c r="R8024" s="9" t="s">
        <v>27</v>
      </c>
      <c r="S8024" s="7" t="s">
        <v>1441</v>
      </c>
      <c r="T8024" s="9" t="s">
        <v>39</v>
      </c>
      <c r="U8024" s="7">
        <v>0.81</v>
      </c>
      <c r="V8024" s="12">
        <f>C8024+0</f>
        <v>40642</v>
      </c>
      <c r="W8024">
        <f>IF(D8024=' Pivot Tables'!$A$4,1,0)</f>
        <v>0</v>
      </c>
      <c r="X8024">
        <f>IF(AND(LEFT(D8024,4)+1=LEFT(' Pivot Tables'!$A$4,4)+0,RIGHT(LEFT(D8024,7),2)=RIGHT(LEFT(' Pivot Tables'!$A$4,7),2)),1,0)</f>
        <v>0</v>
      </c>
      <c r="Y8024" s="6">
        <f>1/COUNTIF(Таблица1[Order ID],Таблица1[[#This Row],[Order ID]])</f>
        <v>0.5</v>
      </c>
      <c r="Z8024" s="9">
        <f>1/COUNTIFS(Таблица1[Customer Name],Таблица1[[#This Row],[Customer Name]],Таблица1[Order-Year-Month],Таблица1[[#This Row],[Order-Year-Month]])</f>
        <v>0.5</v>
      </c>
    </row>
    <row r="8025" spans="1:26" x14ac:dyDescent="0.2">
      <c r="A8025" s="6">
        <v>1663</v>
      </c>
      <c r="B8025" s="7">
        <v>11972</v>
      </c>
      <c r="C8025" s="8">
        <f>DATE(2012,12,31)-1458</f>
        <v>39816</v>
      </c>
      <c r="D8025" s="8" t="str">
        <f t="shared" si="154"/>
        <v>2009-01 (январь 2009)</v>
      </c>
      <c r="E8025" s="9" t="s">
        <v>45</v>
      </c>
      <c r="F8025" s="7">
        <v>4</v>
      </c>
      <c r="G8025" s="7">
        <v>896.49</v>
      </c>
      <c r="H8025" s="7">
        <v>0</v>
      </c>
      <c r="I8025" s="9" t="s">
        <v>31</v>
      </c>
      <c r="J8025" s="10">
        <v>-452.26949999999999</v>
      </c>
      <c r="K8025" s="11">
        <v>213.45</v>
      </c>
      <c r="L8025" s="11">
        <v>14.7</v>
      </c>
      <c r="M8025" s="9" t="s">
        <v>2115</v>
      </c>
      <c r="N8025" s="6" t="s">
        <v>2073</v>
      </c>
      <c r="O8025" s="6" t="s">
        <v>704</v>
      </c>
      <c r="P8025" s="9" t="s">
        <v>41</v>
      </c>
      <c r="Q8025" s="9" t="s">
        <v>42</v>
      </c>
      <c r="R8025" s="9" t="s">
        <v>210</v>
      </c>
      <c r="S8025" s="7" t="s">
        <v>1700</v>
      </c>
      <c r="T8025" s="9" t="s">
        <v>36</v>
      </c>
      <c r="U8025" s="7">
        <v>0.59</v>
      </c>
      <c r="V8025" s="12">
        <f>C8025+2</f>
        <v>39818</v>
      </c>
      <c r="W8025">
        <f>IF(D8025=' Pivot Tables'!$A$4,1,0)</f>
        <v>0</v>
      </c>
      <c r="X8025">
        <f>IF(AND(LEFT(D8025,4)+1=LEFT(' Pivot Tables'!$A$4,4)+0,RIGHT(LEFT(D8025,7),2)=RIGHT(LEFT(' Pivot Tables'!$A$4,7),2)),1,0)</f>
        <v>1</v>
      </c>
      <c r="Y8025" s="6">
        <f>1/COUNTIF(Таблица1[Order ID],Таблица1[[#This Row],[Order ID]])</f>
        <v>1</v>
      </c>
      <c r="Z8025" s="9">
        <f>1/COUNTIFS(Таблица1[Customer Name],Таблица1[[#This Row],[Customer Name]],Таблица1[Order-Year-Month],Таблица1[[#This Row],[Order-Year-Month]])</f>
        <v>0.5</v>
      </c>
    </row>
    <row r="8026" spans="1:26" x14ac:dyDescent="0.2">
      <c r="A8026" s="6">
        <v>1763</v>
      </c>
      <c r="B8026" s="7">
        <v>12641</v>
      </c>
      <c r="C8026" s="8">
        <f>DATE(2012,12,31)-678</f>
        <v>40596</v>
      </c>
      <c r="D8026" s="8" t="str">
        <f t="shared" si="154"/>
        <v>2011-02 (февраль 2011)</v>
      </c>
      <c r="E8026" s="9" t="s">
        <v>21</v>
      </c>
      <c r="F8026" s="7">
        <v>2</v>
      </c>
      <c r="G8026" s="7">
        <v>107.12</v>
      </c>
      <c r="H8026" s="7">
        <v>0.08</v>
      </c>
      <c r="I8026" s="9" t="s">
        <v>22</v>
      </c>
      <c r="J8026" s="10">
        <v>-54.87</v>
      </c>
      <c r="K8026" s="11">
        <v>55.98</v>
      </c>
      <c r="L8026" s="11">
        <v>4.8600000000000003</v>
      </c>
      <c r="M8026" s="9" t="s">
        <v>1145</v>
      </c>
      <c r="N8026" s="6" t="s">
        <v>2073</v>
      </c>
      <c r="O8026" s="6" t="s">
        <v>704</v>
      </c>
      <c r="P8026" s="9" t="s">
        <v>60</v>
      </c>
      <c r="Q8026" s="9" t="s">
        <v>26</v>
      </c>
      <c r="R8026" s="9" t="s">
        <v>61</v>
      </c>
      <c r="S8026" s="7" t="s">
        <v>1260</v>
      </c>
      <c r="T8026" s="9" t="s">
        <v>39</v>
      </c>
      <c r="U8026" s="7">
        <v>0.36</v>
      </c>
      <c r="V8026" s="12">
        <f>C8026+6</f>
        <v>40602</v>
      </c>
      <c r="W8026">
        <f>IF(D8026=' Pivot Tables'!$A$4,1,0)</f>
        <v>0</v>
      </c>
      <c r="X8026">
        <f>IF(AND(LEFT(D8026,4)+1=LEFT(' Pivot Tables'!$A$4,4)+0,RIGHT(LEFT(D8026,7),2)=RIGHT(LEFT(' Pivot Tables'!$A$4,7),2)),1,0)</f>
        <v>0</v>
      </c>
      <c r="Y8026" s="6">
        <f>1/COUNTIF(Таблица1[Order ID],Таблица1[[#This Row],[Order ID]])</f>
        <v>0.33333333333333331</v>
      </c>
      <c r="Z8026" s="9">
        <f>1/COUNTIFS(Таблица1[Customer Name],Таблица1[[#This Row],[Customer Name]],Таблица1[Order-Year-Month],Таблица1[[#This Row],[Order-Year-Month]])</f>
        <v>0.33333333333333331</v>
      </c>
    </row>
    <row r="8027" spans="1:26" x14ac:dyDescent="0.2">
      <c r="A8027" s="6">
        <v>1764</v>
      </c>
      <c r="B8027" s="7">
        <v>12641</v>
      </c>
      <c r="C8027" s="8">
        <f>DATE(2012,12,31)-678</f>
        <v>40596</v>
      </c>
      <c r="D8027" s="8" t="str">
        <f t="shared" si="154"/>
        <v>2011-02 (февраль 2011)</v>
      </c>
      <c r="E8027" s="9" t="s">
        <v>21</v>
      </c>
      <c r="F8027" s="7">
        <v>25</v>
      </c>
      <c r="G8027" s="7">
        <v>676.24</v>
      </c>
      <c r="H8027" s="7">
        <v>0.05</v>
      </c>
      <c r="I8027" s="9" t="s">
        <v>22</v>
      </c>
      <c r="J8027" s="10">
        <v>219.78</v>
      </c>
      <c r="K8027" s="11">
        <v>26.38</v>
      </c>
      <c r="L8027" s="11">
        <v>5.86</v>
      </c>
      <c r="M8027" s="9" t="s">
        <v>1145</v>
      </c>
      <c r="N8027" s="6" t="s">
        <v>2073</v>
      </c>
      <c r="O8027" s="6" t="s">
        <v>704</v>
      </c>
      <c r="P8027" s="9" t="s">
        <v>60</v>
      </c>
      <c r="Q8027" s="9" t="s">
        <v>26</v>
      </c>
      <c r="R8027" s="9" t="s">
        <v>61</v>
      </c>
      <c r="S8027" s="7" t="s">
        <v>515</v>
      </c>
      <c r="T8027" s="9" t="s">
        <v>39</v>
      </c>
      <c r="U8027" s="7">
        <v>0.39</v>
      </c>
      <c r="V8027" s="12">
        <f>C8027+4</f>
        <v>40600</v>
      </c>
      <c r="W8027">
        <f>IF(D8027=' Pivot Tables'!$A$4,1,0)</f>
        <v>0</v>
      </c>
      <c r="X8027">
        <f>IF(AND(LEFT(D8027,4)+1=LEFT(' Pivot Tables'!$A$4,4)+0,RIGHT(LEFT(D8027,7),2)=RIGHT(LEFT(' Pivot Tables'!$A$4,7),2)),1,0)</f>
        <v>0</v>
      </c>
      <c r="Y8027" s="6">
        <f>1/COUNTIF(Таблица1[Order ID],Таблица1[[#This Row],[Order ID]])</f>
        <v>0.33333333333333331</v>
      </c>
      <c r="Z8027" s="9">
        <f>1/COUNTIFS(Таблица1[Customer Name],Таблица1[[#This Row],[Customer Name]],Таблица1[Order-Year-Month],Таблица1[[#This Row],[Order-Year-Month]])</f>
        <v>0.33333333333333331</v>
      </c>
    </row>
    <row r="8028" spans="1:26" x14ac:dyDescent="0.2">
      <c r="A8028" s="6">
        <v>1765</v>
      </c>
      <c r="B8028" s="7">
        <v>12641</v>
      </c>
      <c r="C8028" s="8">
        <f>DATE(2012,12,31)-678</f>
        <v>40596</v>
      </c>
      <c r="D8028" s="8" t="str">
        <f t="shared" si="154"/>
        <v>2011-02 (февраль 2011)</v>
      </c>
      <c r="E8028" s="9" t="s">
        <v>21</v>
      </c>
      <c r="F8028" s="7">
        <v>24</v>
      </c>
      <c r="G8028" s="7">
        <v>3668.6</v>
      </c>
      <c r="H8028" s="7">
        <v>7.0000000000000007E-2</v>
      </c>
      <c r="I8028" s="9" t="s">
        <v>22</v>
      </c>
      <c r="J8028" s="10">
        <v>993.15</v>
      </c>
      <c r="K8028" s="11">
        <v>155.06</v>
      </c>
      <c r="L8028" s="11">
        <v>7.07</v>
      </c>
      <c r="M8028" s="9" t="s">
        <v>1145</v>
      </c>
      <c r="N8028" s="6" t="s">
        <v>2073</v>
      </c>
      <c r="O8028" s="6" t="s">
        <v>704</v>
      </c>
      <c r="P8028" s="9" t="s">
        <v>60</v>
      </c>
      <c r="Q8028" s="9" t="s">
        <v>26</v>
      </c>
      <c r="R8028" s="9" t="s">
        <v>27</v>
      </c>
      <c r="S8028" s="7" t="s">
        <v>502</v>
      </c>
      <c r="T8028" s="9" t="s">
        <v>39</v>
      </c>
      <c r="U8028" s="7">
        <v>0.59</v>
      </c>
      <c r="V8028" s="12">
        <f>C8028+4</f>
        <v>40600</v>
      </c>
      <c r="W8028">
        <f>IF(D8028=' Pivot Tables'!$A$4,1,0)</f>
        <v>0</v>
      </c>
      <c r="X8028">
        <f>IF(AND(LEFT(D8028,4)+1=LEFT(' Pivot Tables'!$A$4,4)+0,RIGHT(LEFT(D8028,7),2)=RIGHT(LEFT(' Pivot Tables'!$A$4,7),2)),1,0)</f>
        <v>0</v>
      </c>
      <c r="Y8028" s="6">
        <f>1/COUNTIF(Таблица1[Order ID],Таблица1[[#This Row],[Order ID]])</f>
        <v>0.33333333333333331</v>
      </c>
      <c r="Z8028" s="9">
        <f>1/COUNTIFS(Таблица1[Customer Name],Таблица1[[#This Row],[Customer Name]],Таблица1[Order-Year-Month],Таблица1[[#This Row],[Order-Year-Month]])</f>
        <v>0.33333333333333331</v>
      </c>
    </row>
    <row r="8029" spans="1:26" x14ac:dyDescent="0.2">
      <c r="A8029" s="6">
        <v>1960</v>
      </c>
      <c r="B8029" s="7">
        <v>14018</v>
      </c>
      <c r="C8029" s="8">
        <f>DATE(2012,12,31)-939</f>
        <v>40335</v>
      </c>
      <c r="D8029" s="8" t="str">
        <f t="shared" si="154"/>
        <v>2010-06 (июнь 2010)</v>
      </c>
      <c r="E8029" s="9" t="s">
        <v>30</v>
      </c>
      <c r="F8029" s="7">
        <v>30</v>
      </c>
      <c r="G8029" s="7">
        <v>160.68</v>
      </c>
      <c r="H8029" s="7">
        <v>0.08</v>
      </c>
      <c r="I8029" s="9" t="s">
        <v>56</v>
      </c>
      <c r="J8029" s="10">
        <v>77.75</v>
      </c>
      <c r="K8029" s="11">
        <v>4.9800000000000004</v>
      </c>
      <c r="L8029" s="11">
        <v>0.49</v>
      </c>
      <c r="M8029" s="9" t="s">
        <v>1145</v>
      </c>
      <c r="N8029" s="6" t="s">
        <v>2073</v>
      </c>
      <c r="O8029" s="6" t="s">
        <v>704</v>
      </c>
      <c r="P8029" s="9" t="s">
        <v>33</v>
      </c>
      <c r="Q8029" s="9" t="s">
        <v>26</v>
      </c>
      <c r="R8029" s="9" t="s">
        <v>88</v>
      </c>
      <c r="S8029" s="7" t="s">
        <v>836</v>
      </c>
      <c r="T8029" s="9" t="s">
        <v>39</v>
      </c>
      <c r="U8029" s="7">
        <v>0.39</v>
      </c>
      <c r="V8029" s="12">
        <f>C8029+0</f>
        <v>40335</v>
      </c>
      <c r="W8029">
        <f>IF(D8029=' Pivot Tables'!$A$4,1,0)</f>
        <v>0</v>
      </c>
      <c r="X8029">
        <f>IF(AND(LEFT(D8029,4)+1=LEFT(' Pivot Tables'!$A$4,4)+0,RIGHT(LEFT(D8029,7),2)=RIGHT(LEFT(' Pivot Tables'!$A$4,7),2)),1,0)</f>
        <v>0</v>
      </c>
      <c r="Y8029" s="6">
        <f>1/COUNTIF(Таблица1[Order ID],Таблица1[[#This Row],[Order ID]])</f>
        <v>1</v>
      </c>
      <c r="Z8029" s="9">
        <f>1/COUNTIFS(Таблица1[Customer Name],Таблица1[[#This Row],[Customer Name]],Таблица1[Order-Year-Month],Таблица1[[#This Row],[Order-Year-Month]])</f>
        <v>1</v>
      </c>
    </row>
    <row r="8030" spans="1:26" x14ac:dyDescent="0.2">
      <c r="A8030" s="6">
        <v>2086</v>
      </c>
      <c r="B8030" s="7">
        <v>14916</v>
      </c>
      <c r="C8030" s="8">
        <f>DATE(2012,12,31)-1403</f>
        <v>39871</v>
      </c>
      <c r="D8030" s="8" t="str">
        <f t="shared" si="154"/>
        <v>2009-02 (февраль 2009)</v>
      </c>
      <c r="E8030" s="9" t="s">
        <v>21</v>
      </c>
      <c r="F8030" s="7">
        <v>16</v>
      </c>
      <c r="G8030" s="7">
        <v>1685.941</v>
      </c>
      <c r="H8030" s="7">
        <v>7.0000000000000007E-2</v>
      </c>
      <c r="I8030" s="9" t="s">
        <v>56</v>
      </c>
      <c r="J8030" s="10">
        <v>21.024000000000001</v>
      </c>
      <c r="K8030" s="11">
        <v>125.99</v>
      </c>
      <c r="L8030" s="11">
        <v>8.8000000000000007</v>
      </c>
      <c r="M8030" s="9" t="s">
        <v>1187</v>
      </c>
      <c r="N8030" s="6" t="s">
        <v>2073</v>
      </c>
      <c r="O8030" s="6" t="s">
        <v>704</v>
      </c>
      <c r="P8030" s="9" t="s">
        <v>41</v>
      </c>
      <c r="Q8030" s="9" t="s">
        <v>42</v>
      </c>
      <c r="R8030" s="9" t="s">
        <v>43</v>
      </c>
      <c r="S8030" s="7" t="s">
        <v>800</v>
      </c>
      <c r="T8030" s="9" t="s">
        <v>39</v>
      </c>
      <c r="U8030" s="7">
        <v>0.59</v>
      </c>
      <c r="V8030" s="12">
        <f>C8030+2</f>
        <v>39873</v>
      </c>
      <c r="W8030">
        <f>IF(D8030=' Pivot Tables'!$A$4,1,0)</f>
        <v>0</v>
      </c>
      <c r="X8030">
        <f>IF(AND(LEFT(D8030,4)+1=LEFT(' Pivot Tables'!$A$4,4)+0,RIGHT(LEFT(D8030,7),2)=RIGHT(LEFT(' Pivot Tables'!$A$4,7),2)),1,0)</f>
        <v>0</v>
      </c>
      <c r="Y8030" s="6">
        <f>1/COUNTIF(Таблица1[Order ID],Таблица1[[#This Row],[Order ID]])</f>
        <v>1</v>
      </c>
      <c r="Z8030" s="9">
        <f>1/COUNTIFS(Таблица1[Customer Name],Таблица1[[#This Row],[Customer Name]],Таблица1[Order-Year-Month],Таблица1[[#This Row],[Order-Year-Month]])</f>
        <v>1</v>
      </c>
    </row>
    <row r="8031" spans="1:26" x14ac:dyDescent="0.2">
      <c r="A8031" s="6">
        <v>2142</v>
      </c>
      <c r="B8031" s="7">
        <v>15300</v>
      </c>
      <c r="C8031" s="8">
        <f>DATE(2012,12,31)-692</f>
        <v>40582</v>
      </c>
      <c r="D8031" s="8" t="str">
        <f t="shared" si="154"/>
        <v>2011-02 (февраль 2011)</v>
      </c>
      <c r="E8031" s="9" t="s">
        <v>30</v>
      </c>
      <c r="F8031" s="7">
        <v>42</v>
      </c>
      <c r="G8031" s="7">
        <v>229.88</v>
      </c>
      <c r="H8031" s="7">
        <v>0.05</v>
      </c>
      <c r="I8031" s="9" t="s">
        <v>56</v>
      </c>
      <c r="J8031" s="10">
        <v>-75.25</v>
      </c>
      <c r="K8031" s="11">
        <v>5.28</v>
      </c>
      <c r="L8031" s="11">
        <v>5.0599999999999996</v>
      </c>
      <c r="M8031" s="9" t="s">
        <v>1187</v>
      </c>
      <c r="N8031" s="6" t="s">
        <v>2073</v>
      </c>
      <c r="O8031" s="6" t="s">
        <v>704</v>
      </c>
      <c r="P8031" s="9" t="s">
        <v>60</v>
      </c>
      <c r="Q8031" s="9" t="s">
        <v>26</v>
      </c>
      <c r="R8031" s="9" t="s">
        <v>61</v>
      </c>
      <c r="S8031" s="7" t="s">
        <v>1580</v>
      </c>
      <c r="T8031" s="9" t="s">
        <v>39</v>
      </c>
      <c r="U8031" s="7">
        <v>0.37</v>
      </c>
      <c r="V8031" s="12">
        <f>C8031+2</f>
        <v>40584</v>
      </c>
      <c r="W8031">
        <f>IF(D8031=' Pivot Tables'!$A$4,1,0)</f>
        <v>0</v>
      </c>
      <c r="X8031">
        <f>IF(AND(LEFT(D8031,4)+1=LEFT(' Pivot Tables'!$A$4,4)+0,RIGHT(LEFT(D8031,7),2)=RIGHT(LEFT(' Pivot Tables'!$A$4,7),2)),1,0)</f>
        <v>0</v>
      </c>
      <c r="Y8031" s="6">
        <f>1/COUNTIF(Таблица1[Order ID],Таблица1[[#This Row],[Order ID]])</f>
        <v>1</v>
      </c>
      <c r="Z8031" s="9">
        <f>1/COUNTIFS(Таблица1[Customer Name],Таблица1[[#This Row],[Customer Name]],Таблица1[Order-Year-Month],Таблица1[[#This Row],[Order-Year-Month]])</f>
        <v>1</v>
      </c>
    </row>
    <row r="8032" spans="1:26" x14ac:dyDescent="0.2">
      <c r="A8032" s="6">
        <v>2154</v>
      </c>
      <c r="B8032" s="7">
        <v>15425</v>
      </c>
      <c r="C8032" s="8">
        <f>DATE(2012,12,31)-525</f>
        <v>40749</v>
      </c>
      <c r="D8032" s="8" t="str">
        <f t="shared" si="154"/>
        <v>2011-07 (июль 2011)</v>
      </c>
      <c r="E8032" s="9" t="s">
        <v>21</v>
      </c>
      <c r="F8032" s="7">
        <v>29</v>
      </c>
      <c r="G8032" s="7">
        <v>2896.14</v>
      </c>
      <c r="H8032" s="7">
        <v>0.08</v>
      </c>
      <c r="I8032" s="9" t="s">
        <v>56</v>
      </c>
      <c r="J8032" s="10">
        <v>366.63</v>
      </c>
      <c r="K8032" s="11">
        <v>99.99</v>
      </c>
      <c r="L8032" s="11">
        <v>19.989999999999998</v>
      </c>
      <c r="M8032" s="9" t="s">
        <v>2113</v>
      </c>
      <c r="N8032" s="6" t="s">
        <v>2073</v>
      </c>
      <c r="O8032" s="6" t="s">
        <v>704</v>
      </c>
      <c r="P8032" s="9" t="s">
        <v>60</v>
      </c>
      <c r="Q8032" s="9" t="s">
        <v>42</v>
      </c>
      <c r="R8032" s="9" t="s">
        <v>70</v>
      </c>
      <c r="S8032" s="7" t="s">
        <v>306</v>
      </c>
      <c r="T8032" s="9" t="s">
        <v>39</v>
      </c>
      <c r="U8032" s="7">
        <v>0.5</v>
      </c>
      <c r="V8032" s="12">
        <f>C8032+4</f>
        <v>40753</v>
      </c>
      <c r="W8032">
        <f>IF(D8032=' Pivot Tables'!$A$4,1,0)</f>
        <v>0</v>
      </c>
      <c r="X8032">
        <f>IF(AND(LEFT(D8032,4)+1=LEFT(' Pivot Tables'!$A$4,4)+0,RIGHT(LEFT(D8032,7),2)=RIGHT(LEFT(' Pivot Tables'!$A$4,7),2)),1,0)</f>
        <v>0</v>
      </c>
      <c r="Y8032" s="6">
        <f>1/COUNTIF(Таблица1[Order ID],Таблица1[[#This Row],[Order ID]])</f>
        <v>1</v>
      </c>
      <c r="Z8032" s="9">
        <f>1/COUNTIFS(Таблица1[Customer Name],Таблица1[[#This Row],[Customer Name]],Таблица1[Order-Year-Month],Таблица1[[#This Row],[Order-Year-Month]])</f>
        <v>1</v>
      </c>
    </row>
    <row r="8033" spans="1:26" x14ac:dyDescent="0.2">
      <c r="A8033" s="6">
        <v>2277</v>
      </c>
      <c r="B8033" s="7">
        <v>16390</v>
      </c>
      <c r="C8033" s="8">
        <f>DATE(2012,12,31)-282</f>
        <v>40992</v>
      </c>
      <c r="D8033" s="8" t="str">
        <f t="shared" si="154"/>
        <v>2012-03 (март 2012)</v>
      </c>
      <c r="E8033" s="9" t="s">
        <v>63</v>
      </c>
      <c r="F8033" s="7">
        <v>8</v>
      </c>
      <c r="G8033" s="7">
        <v>86.38</v>
      </c>
      <c r="H8033" s="7">
        <v>0.1</v>
      </c>
      <c r="I8033" s="9" t="s">
        <v>22</v>
      </c>
      <c r="J8033" s="10">
        <v>-12.61</v>
      </c>
      <c r="K8033" s="11">
        <v>10.98</v>
      </c>
      <c r="L8033" s="11">
        <v>3.37</v>
      </c>
      <c r="M8033" s="9" t="s">
        <v>2111</v>
      </c>
      <c r="N8033" s="6" t="s">
        <v>2073</v>
      </c>
      <c r="O8033" s="6" t="s">
        <v>704</v>
      </c>
      <c r="P8033" s="9" t="s">
        <v>33</v>
      </c>
      <c r="Q8033" s="9" t="s">
        <v>26</v>
      </c>
      <c r="R8033" s="9" t="s">
        <v>150</v>
      </c>
      <c r="S8033" s="7" t="s">
        <v>465</v>
      </c>
      <c r="T8033" s="9" t="s">
        <v>52</v>
      </c>
      <c r="U8033" s="7">
        <v>0.56999999999999995</v>
      </c>
      <c r="V8033" s="12">
        <f>C8033+2</f>
        <v>40994</v>
      </c>
      <c r="W8033">
        <f>IF(D8033=' Pivot Tables'!$A$4,1,0)</f>
        <v>0</v>
      </c>
      <c r="X8033">
        <f>IF(AND(LEFT(D8033,4)+1=LEFT(' Pivot Tables'!$A$4,4)+0,RIGHT(LEFT(D8033,7),2)=RIGHT(LEFT(' Pivot Tables'!$A$4,7),2)),1,0)</f>
        <v>0</v>
      </c>
      <c r="Y8033" s="6">
        <f>1/COUNTIF(Таблица1[Order ID],Таблица1[[#This Row],[Order ID]])</f>
        <v>1</v>
      </c>
      <c r="Z8033" s="9">
        <f>1/COUNTIFS(Таблица1[Customer Name],Таблица1[[#This Row],[Customer Name]],Таблица1[Order-Year-Month],Таблица1[[#This Row],[Order-Year-Month]])</f>
        <v>1</v>
      </c>
    </row>
    <row r="8034" spans="1:26" x14ac:dyDescent="0.2">
      <c r="A8034" s="6">
        <v>2333</v>
      </c>
      <c r="B8034" s="7">
        <v>16805</v>
      </c>
      <c r="C8034" s="8">
        <f>DATE(2012,12,31)-367</f>
        <v>40907</v>
      </c>
      <c r="D8034" s="8" t="str">
        <f t="shared" si="154"/>
        <v>2011-12 (декабрь 2011)</v>
      </c>
      <c r="E8034" s="9" t="s">
        <v>21</v>
      </c>
      <c r="F8034" s="7">
        <v>29</v>
      </c>
      <c r="G8034" s="7">
        <v>852.75</v>
      </c>
      <c r="H8034" s="7">
        <v>0.08</v>
      </c>
      <c r="I8034" s="9" t="s">
        <v>22</v>
      </c>
      <c r="J8034" s="10">
        <v>358.73400000000004</v>
      </c>
      <c r="K8034" s="11">
        <v>30.44</v>
      </c>
      <c r="L8034" s="11">
        <v>1.49</v>
      </c>
      <c r="M8034" s="9" t="s">
        <v>2110</v>
      </c>
      <c r="N8034" s="6" t="s">
        <v>2073</v>
      </c>
      <c r="O8034" s="6" t="s">
        <v>704</v>
      </c>
      <c r="P8034" s="9" t="s">
        <v>41</v>
      </c>
      <c r="Q8034" s="9" t="s">
        <v>26</v>
      </c>
      <c r="R8034" s="9" t="s">
        <v>37</v>
      </c>
      <c r="S8034" s="7" t="s">
        <v>773</v>
      </c>
      <c r="T8034" s="9" t="s">
        <v>39</v>
      </c>
      <c r="U8034" s="7">
        <v>0.37</v>
      </c>
      <c r="V8034" s="12">
        <f>C8034+2</f>
        <v>40909</v>
      </c>
      <c r="W8034">
        <f>IF(D8034=' Pivot Tables'!$A$4,1,0)</f>
        <v>0</v>
      </c>
      <c r="X8034">
        <f>IF(AND(LEFT(D8034,4)+1=LEFT(' Pivot Tables'!$A$4,4)+0,RIGHT(LEFT(D8034,7),2)=RIGHT(LEFT(' Pivot Tables'!$A$4,7),2)),1,0)</f>
        <v>0</v>
      </c>
      <c r="Y8034" s="6">
        <f>1/COUNTIF(Таблица1[Order ID],Таблица1[[#This Row],[Order ID]])</f>
        <v>0.5</v>
      </c>
      <c r="Z8034" s="9">
        <f>1/COUNTIFS(Таблица1[Customer Name],Таблица1[[#This Row],[Customer Name]],Таблица1[Order-Year-Month],Таблица1[[#This Row],[Order-Year-Month]])</f>
        <v>0.5</v>
      </c>
    </row>
    <row r="8035" spans="1:26" x14ac:dyDescent="0.2">
      <c r="A8035" s="6">
        <v>2334</v>
      </c>
      <c r="B8035" s="7">
        <v>16805</v>
      </c>
      <c r="C8035" s="8">
        <f>DATE(2012,12,31)-367</f>
        <v>40907</v>
      </c>
      <c r="D8035" s="8" t="str">
        <f t="shared" si="154"/>
        <v>2011-12 (декабрь 2011)</v>
      </c>
      <c r="E8035" s="9" t="s">
        <v>21</v>
      </c>
      <c r="F8035" s="7">
        <v>26</v>
      </c>
      <c r="G8035" s="7">
        <v>172.33</v>
      </c>
      <c r="H8035" s="7">
        <v>0.04</v>
      </c>
      <c r="I8035" s="9" t="s">
        <v>22</v>
      </c>
      <c r="J8035" s="10">
        <v>-52.21</v>
      </c>
      <c r="K8035" s="11">
        <v>6.48</v>
      </c>
      <c r="L8035" s="11">
        <v>5.74</v>
      </c>
      <c r="M8035" s="9" t="s">
        <v>2110</v>
      </c>
      <c r="N8035" s="6" t="s">
        <v>2073</v>
      </c>
      <c r="O8035" s="6" t="s">
        <v>704</v>
      </c>
      <c r="P8035" s="9" t="s">
        <v>41</v>
      </c>
      <c r="Q8035" s="9" t="s">
        <v>26</v>
      </c>
      <c r="R8035" s="9" t="s">
        <v>61</v>
      </c>
      <c r="S8035" s="7" t="s">
        <v>707</v>
      </c>
      <c r="T8035" s="9" t="s">
        <v>39</v>
      </c>
      <c r="U8035" s="7">
        <v>0.37</v>
      </c>
      <c r="V8035" s="12">
        <f>C8035+2</f>
        <v>40909</v>
      </c>
      <c r="W8035">
        <f>IF(D8035=' Pivot Tables'!$A$4,1,0)</f>
        <v>0</v>
      </c>
      <c r="X8035">
        <f>IF(AND(LEFT(D8035,4)+1=LEFT(' Pivot Tables'!$A$4,4)+0,RIGHT(LEFT(D8035,7),2)=RIGHT(LEFT(' Pivot Tables'!$A$4,7),2)),1,0)</f>
        <v>0</v>
      </c>
      <c r="Y8035" s="6">
        <f>1/COUNTIF(Таблица1[Order ID],Таблица1[[#This Row],[Order ID]])</f>
        <v>0.5</v>
      </c>
      <c r="Z8035" s="9">
        <f>1/COUNTIFS(Таблица1[Customer Name],Таблица1[[#This Row],[Customer Name]],Таблица1[Order-Year-Month],Таблица1[[#This Row],[Order-Year-Month]])</f>
        <v>0.5</v>
      </c>
    </row>
    <row r="8036" spans="1:26" x14ac:dyDescent="0.2">
      <c r="A8036" s="6">
        <v>2368</v>
      </c>
      <c r="B8036" s="7">
        <v>17155</v>
      </c>
      <c r="C8036" s="8">
        <f>DATE(2012,12,31)-1433</f>
        <v>39841</v>
      </c>
      <c r="D8036" s="8" t="str">
        <f t="shared" si="154"/>
        <v>2009-01 (январь 2009)</v>
      </c>
      <c r="E8036" s="9" t="s">
        <v>63</v>
      </c>
      <c r="F8036" s="7">
        <v>36</v>
      </c>
      <c r="G8036" s="7">
        <v>267.52999999999997</v>
      </c>
      <c r="H8036" s="7">
        <v>0</v>
      </c>
      <c r="I8036" s="9" t="s">
        <v>56</v>
      </c>
      <c r="J8036" s="10">
        <v>85.17</v>
      </c>
      <c r="K8036" s="11">
        <v>6.88</v>
      </c>
      <c r="L8036" s="11">
        <v>2</v>
      </c>
      <c r="M8036" s="9" t="s">
        <v>1187</v>
      </c>
      <c r="N8036" s="6" t="s">
        <v>2073</v>
      </c>
      <c r="O8036" s="6" t="s">
        <v>704</v>
      </c>
      <c r="P8036" s="9" t="s">
        <v>60</v>
      </c>
      <c r="Q8036" s="9" t="s">
        <v>26</v>
      </c>
      <c r="R8036" s="9" t="s">
        <v>61</v>
      </c>
      <c r="S8036" s="7" t="s">
        <v>1063</v>
      </c>
      <c r="T8036" s="9" t="s">
        <v>68</v>
      </c>
      <c r="U8036" s="7">
        <v>0.39</v>
      </c>
      <c r="V8036" s="12">
        <f>C8036+1</f>
        <v>39842</v>
      </c>
      <c r="W8036">
        <f>IF(D8036=' Pivot Tables'!$A$4,1,0)</f>
        <v>0</v>
      </c>
      <c r="X8036">
        <f>IF(AND(LEFT(D8036,4)+1=LEFT(' Pivot Tables'!$A$4,4)+0,RIGHT(LEFT(D8036,7),2)=RIGHT(LEFT(' Pivot Tables'!$A$4,7),2)),1,0)</f>
        <v>1</v>
      </c>
      <c r="Y8036" s="6">
        <f>1/COUNTIF(Таблица1[Order ID],Таблица1[[#This Row],[Order ID]])</f>
        <v>0.5</v>
      </c>
      <c r="Z8036" s="9">
        <f>1/COUNTIFS(Таблица1[Customer Name],Таблица1[[#This Row],[Customer Name]],Таблица1[Order-Year-Month],Таблица1[[#This Row],[Order-Year-Month]])</f>
        <v>0.5</v>
      </c>
    </row>
    <row r="8037" spans="1:26" x14ac:dyDescent="0.2">
      <c r="A8037" s="6">
        <v>2369</v>
      </c>
      <c r="B8037" s="7">
        <v>17155</v>
      </c>
      <c r="C8037" s="8">
        <f>DATE(2012,12,31)-1433</f>
        <v>39841</v>
      </c>
      <c r="D8037" s="8" t="str">
        <f t="shared" si="154"/>
        <v>2009-01 (январь 2009)</v>
      </c>
      <c r="E8037" s="9" t="s">
        <v>63</v>
      </c>
      <c r="F8037" s="7">
        <v>31</v>
      </c>
      <c r="G8037" s="7">
        <v>1065.26</v>
      </c>
      <c r="H8037" s="7">
        <v>0.03</v>
      </c>
      <c r="I8037" s="9" t="s">
        <v>56</v>
      </c>
      <c r="J8037" s="10">
        <v>-900.27</v>
      </c>
      <c r="K8037" s="11">
        <v>32.479999999999997</v>
      </c>
      <c r="L8037" s="11">
        <v>35</v>
      </c>
      <c r="M8037" s="9" t="s">
        <v>1187</v>
      </c>
      <c r="N8037" s="6" t="s">
        <v>2073</v>
      </c>
      <c r="O8037" s="6" t="s">
        <v>704</v>
      </c>
      <c r="P8037" s="9" t="s">
        <v>60</v>
      </c>
      <c r="Q8037" s="9" t="s">
        <v>26</v>
      </c>
      <c r="R8037" s="9" t="s">
        <v>27</v>
      </c>
      <c r="S8037" s="7" t="s">
        <v>483</v>
      </c>
      <c r="T8037" s="9" t="s">
        <v>29</v>
      </c>
      <c r="U8037" s="7">
        <v>0.81</v>
      </c>
      <c r="V8037" s="12">
        <f>C8037+0</f>
        <v>39841</v>
      </c>
      <c r="W8037">
        <f>IF(D8037=' Pivot Tables'!$A$4,1,0)</f>
        <v>0</v>
      </c>
      <c r="X8037">
        <f>IF(AND(LEFT(D8037,4)+1=LEFT(' Pivot Tables'!$A$4,4)+0,RIGHT(LEFT(D8037,7),2)=RIGHT(LEFT(' Pivot Tables'!$A$4,7),2)),1,0)</f>
        <v>1</v>
      </c>
      <c r="Y8037" s="6">
        <f>1/COUNTIF(Таблица1[Order ID],Таблица1[[#This Row],[Order ID]])</f>
        <v>0.5</v>
      </c>
      <c r="Z8037" s="9">
        <f>1/COUNTIFS(Таблица1[Customer Name],Таблица1[[#This Row],[Customer Name]],Таблица1[Order-Year-Month],Таблица1[[#This Row],[Order-Year-Month]])</f>
        <v>0.5</v>
      </c>
    </row>
    <row r="8038" spans="1:26" x14ac:dyDescent="0.2">
      <c r="A8038" s="6">
        <v>2554</v>
      </c>
      <c r="B8038" s="7">
        <v>18496</v>
      </c>
      <c r="C8038" s="8">
        <f>DATE(2012,12,31)-1326</f>
        <v>39948</v>
      </c>
      <c r="D8038" s="8" t="str">
        <f t="shared" si="154"/>
        <v>2009-05 (май 2009)</v>
      </c>
      <c r="E8038" s="9" t="s">
        <v>30</v>
      </c>
      <c r="F8038" s="7">
        <v>30</v>
      </c>
      <c r="G8038" s="7">
        <v>991.01</v>
      </c>
      <c r="H8038" s="7">
        <v>0.01</v>
      </c>
      <c r="I8038" s="9" t="s">
        <v>22</v>
      </c>
      <c r="J8038" s="10">
        <v>46.29</v>
      </c>
      <c r="K8038" s="11">
        <v>30.98</v>
      </c>
      <c r="L8038" s="11">
        <v>6.5</v>
      </c>
      <c r="M8038" s="9" t="s">
        <v>2113</v>
      </c>
      <c r="N8038" s="6" t="s">
        <v>2073</v>
      </c>
      <c r="O8038" s="6" t="s">
        <v>704</v>
      </c>
      <c r="P8038" s="9" t="s">
        <v>41</v>
      </c>
      <c r="Q8038" s="9" t="s">
        <v>42</v>
      </c>
      <c r="R8038" s="9" t="s">
        <v>70</v>
      </c>
      <c r="S8038" s="7" t="s">
        <v>601</v>
      </c>
      <c r="T8038" s="9" t="s">
        <v>39</v>
      </c>
      <c r="U8038" s="7">
        <v>0.64</v>
      </c>
      <c r="V8038" s="12">
        <f>C8038+1</f>
        <v>39949</v>
      </c>
      <c r="W8038">
        <f>IF(D8038=' Pivot Tables'!$A$4,1,0)</f>
        <v>0</v>
      </c>
      <c r="X8038">
        <f>IF(AND(LEFT(D8038,4)+1=LEFT(' Pivot Tables'!$A$4,4)+0,RIGHT(LEFT(D8038,7),2)=RIGHT(LEFT(' Pivot Tables'!$A$4,7),2)),1,0)</f>
        <v>0</v>
      </c>
      <c r="Y8038" s="6">
        <f>1/COUNTIF(Таблица1[Order ID],Таблица1[[#This Row],[Order ID]])</f>
        <v>0.5</v>
      </c>
      <c r="Z8038" s="9">
        <f>1/COUNTIFS(Таблица1[Customer Name],Таблица1[[#This Row],[Customer Name]],Таблица1[Order-Year-Month],Таблица1[[#This Row],[Order-Year-Month]])</f>
        <v>0.5</v>
      </c>
    </row>
    <row r="8039" spans="1:26" x14ac:dyDescent="0.2">
      <c r="A8039" s="6">
        <v>2555</v>
      </c>
      <c r="B8039" s="7">
        <v>18496</v>
      </c>
      <c r="C8039" s="8">
        <f>DATE(2012,12,31)-1326</f>
        <v>39948</v>
      </c>
      <c r="D8039" s="8" t="str">
        <f t="shared" si="154"/>
        <v>2009-05 (май 2009)</v>
      </c>
      <c r="E8039" s="9" t="s">
        <v>30</v>
      </c>
      <c r="F8039" s="7">
        <v>29</v>
      </c>
      <c r="G8039" s="7">
        <v>1267.42</v>
      </c>
      <c r="H8039" s="7">
        <v>0.01</v>
      </c>
      <c r="I8039" s="9" t="s">
        <v>22</v>
      </c>
      <c r="J8039" s="10">
        <v>177.79</v>
      </c>
      <c r="K8039" s="11">
        <v>40.99</v>
      </c>
      <c r="L8039" s="11">
        <v>19.989999999999998</v>
      </c>
      <c r="M8039" s="9" t="s">
        <v>2113</v>
      </c>
      <c r="N8039" s="6" t="s">
        <v>2073</v>
      </c>
      <c r="O8039" s="6" t="s">
        <v>704</v>
      </c>
      <c r="P8039" s="9" t="s">
        <v>41</v>
      </c>
      <c r="Q8039" s="9" t="s">
        <v>26</v>
      </c>
      <c r="R8039" s="9" t="s">
        <v>61</v>
      </c>
      <c r="S8039" s="7" t="s">
        <v>105</v>
      </c>
      <c r="T8039" s="9" t="s">
        <v>39</v>
      </c>
      <c r="U8039" s="7">
        <v>0.36</v>
      </c>
      <c r="V8039" s="12">
        <f>C8039+3</f>
        <v>39951</v>
      </c>
      <c r="W8039">
        <f>IF(D8039=' Pivot Tables'!$A$4,1,0)</f>
        <v>0</v>
      </c>
      <c r="X8039">
        <f>IF(AND(LEFT(D8039,4)+1=LEFT(' Pivot Tables'!$A$4,4)+0,RIGHT(LEFT(D8039,7),2)=RIGHT(LEFT(' Pivot Tables'!$A$4,7),2)),1,0)</f>
        <v>0</v>
      </c>
      <c r="Y8039" s="6">
        <f>1/COUNTIF(Таблица1[Order ID],Таблица1[[#This Row],[Order ID]])</f>
        <v>0.5</v>
      </c>
      <c r="Z8039" s="9">
        <f>1/COUNTIFS(Таблица1[Customer Name],Таблица1[[#This Row],[Customer Name]],Таблица1[Order-Year-Month],Таблица1[[#This Row],[Order-Year-Month]])</f>
        <v>0.5</v>
      </c>
    </row>
    <row r="8040" spans="1:26" x14ac:dyDescent="0.2">
      <c r="A8040" s="6">
        <v>2586</v>
      </c>
      <c r="B8040" s="7">
        <v>18688</v>
      </c>
      <c r="C8040" s="8">
        <f>DATE(2012,12,31)-667</f>
        <v>40607</v>
      </c>
      <c r="D8040" s="8" t="str">
        <f t="shared" si="154"/>
        <v>2011-03 (март 2011)</v>
      </c>
      <c r="E8040" s="9" t="s">
        <v>45</v>
      </c>
      <c r="F8040" s="7">
        <v>49</v>
      </c>
      <c r="G8040" s="7">
        <v>14346.73</v>
      </c>
      <c r="H8040" s="7">
        <v>0.04</v>
      </c>
      <c r="I8040" s="9" t="s">
        <v>22</v>
      </c>
      <c r="J8040" s="10">
        <v>5762.5239999999994</v>
      </c>
      <c r="K8040" s="11">
        <v>304.99</v>
      </c>
      <c r="L8040" s="11">
        <v>19.989999999999998</v>
      </c>
      <c r="M8040" s="9" t="s">
        <v>798</v>
      </c>
      <c r="N8040" s="6" t="s">
        <v>2073</v>
      </c>
      <c r="O8040" s="6" t="s">
        <v>704</v>
      </c>
      <c r="P8040" s="9" t="s">
        <v>60</v>
      </c>
      <c r="Q8040" s="9" t="s">
        <v>26</v>
      </c>
      <c r="R8040" s="9" t="s">
        <v>37</v>
      </c>
      <c r="S8040" s="7" t="s">
        <v>1165</v>
      </c>
      <c r="T8040" s="9" t="s">
        <v>39</v>
      </c>
      <c r="U8040" s="7">
        <v>0.4</v>
      </c>
      <c r="V8040" s="12">
        <f>C8040+2</f>
        <v>40609</v>
      </c>
      <c r="W8040">
        <f>IF(D8040=' Pivot Tables'!$A$4,1,0)</f>
        <v>0</v>
      </c>
      <c r="X8040">
        <f>IF(AND(LEFT(D8040,4)+1=LEFT(' Pivot Tables'!$A$4,4)+0,RIGHT(LEFT(D8040,7),2)=RIGHT(LEFT(' Pivot Tables'!$A$4,7),2)),1,0)</f>
        <v>0</v>
      </c>
      <c r="Y8040" s="6">
        <f>1/COUNTIF(Таблица1[Order ID],Таблица1[[#This Row],[Order ID]])</f>
        <v>0.33333333333333331</v>
      </c>
      <c r="Z8040" s="9">
        <f>1/COUNTIFS(Таблица1[Customer Name],Таблица1[[#This Row],[Customer Name]],Таблица1[Order-Year-Month],Таблица1[[#This Row],[Order-Year-Month]])</f>
        <v>0.33333333333333331</v>
      </c>
    </row>
    <row r="8041" spans="1:26" x14ac:dyDescent="0.2">
      <c r="A8041" s="6">
        <v>2587</v>
      </c>
      <c r="B8041" s="7">
        <v>18688</v>
      </c>
      <c r="C8041" s="8">
        <f>DATE(2012,12,31)-667</f>
        <v>40607</v>
      </c>
      <c r="D8041" s="8" t="str">
        <f t="shared" si="154"/>
        <v>2011-03 (март 2011)</v>
      </c>
      <c r="E8041" s="9" t="s">
        <v>45</v>
      </c>
      <c r="F8041" s="7">
        <v>15</v>
      </c>
      <c r="G8041" s="7">
        <v>40.340000000000003</v>
      </c>
      <c r="H8041" s="7">
        <v>0.09</v>
      </c>
      <c r="I8041" s="9" t="s">
        <v>22</v>
      </c>
      <c r="J8041" s="10">
        <v>10.59</v>
      </c>
      <c r="K8041" s="11">
        <v>2.89</v>
      </c>
      <c r="L8041" s="11">
        <v>0.5</v>
      </c>
      <c r="M8041" s="9" t="s">
        <v>798</v>
      </c>
      <c r="N8041" s="6" t="s">
        <v>2073</v>
      </c>
      <c r="O8041" s="6" t="s">
        <v>704</v>
      </c>
      <c r="P8041" s="9" t="s">
        <v>60</v>
      </c>
      <c r="Q8041" s="9" t="s">
        <v>26</v>
      </c>
      <c r="R8041" s="9" t="s">
        <v>88</v>
      </c>
      <c r="S8041" s="7" t="s">
        <v>474</v>
      </c>
      <c r="T8041" s="9" t="s">
        <v>39</v>
      </c>
      <c r="U8041" s="7">
        <v>0.38</v>
      </c>
      <c r="V8041" s="12">
        <f>C8041+2</f>
        <v>40609</v>
      </c>
      <c r="W8041">
        <f>IF(D8041=' Pivot Tables'!$A$4,1,0)</f>
        <v>0</v>
      </c>
      <c r="X8041">
        <f>IF(AND(LEFT(D8041,4)+1=LEFT(' Pivot Tables'!$A$4,4)+0,RIGHT(LEFT(D8041,7),2)=RIGHT(LEFT(' Pivot Tables'!$A$4,7),2)),1,0)</f>
        <v>0</v>
      </c>
      <c r="Y8041" s="6">
        <f>1/COUNTIF(Таблица1[Order ID],Таблица1[[#This Row],[Order ID]])</f>
        <v>0.33333333333333331</v>
      </c>
      <c r="Z8041" s="9">
        <f>1/COUNTIFS(Таблица1[Customer Name],Таблица1[[#This Row],[Customer Name]],Таблица1[Order-Year-Month],Таблица1[[#This Row],[Order-Year-Month]])</f>
        <v>0.33333333333333331</v>
      </c>
    </row>
    <row r="8042" spans="1:26" x14ac:dyDescent="0.2">
      <c r="A8042" s="6">
        <v>2588</v>
      </c>
      <c r="B8042" s="7">
        <v>18688</v>
      </c>
      <c r="C8042" s="8">
        <f>DATE(2012,12,31)-667</f>
        <v>40607</v>
      </c>
      <c r="D8042" s="8" t="str">
        <f t="shared" si="154"/>
        <v>2011-03 (март 2011)</v>
      </c>
      <c r="E8042" s="9" t="s">
        <v>45</v>
      </c>
      <c r="F8042" s="7">
        <v>41</v>
      </c>
      <c r="G8042" s="7">
        <v>3951.6754999999998</v>
      </c>
      <c r="H8042" s="7">
        <v>0.1</v>
      </c>
      <c r="I8042" s="9" t="s">
        <v>22</v>
      </c>
      <c r="J8042" s="10">
        <v>812.24099999999999</v>
      </c>
      <c r="K8042" s="11">
        <v>125.99</v>
      </c>
      <c r="L8042" s="11">
        <v>4.2</v>
      </c>
      <c r="M8042" s="9" t="s">
        <v>798</v>
      </c>
      <c r="N8042" s="6" t="s">
        <v>2073</v>
      </c>
      <c r="O8042" s="6" t="s">
        <v>704</v>
      </c>
      <c r="P8042" s="9" t="s">
        <v>60</v>
      </c>
      <c r="Q8042" s="9" t="s">
        <v>42</v>
      </c>
      <c r="R8042" s="9" t="s">
        <v>43</v>
      </c>
      <c r="S8042" s="7" t="s">
        <v>1461</v>
      </c>
      <c r="T8042" s="9" t="s">
        <v>39</v>
      </c>
      <c r="U8042" s="7">
        <v>0.56999999999999995</v>
      </c>
      <c r="V8042" s="12">
        <f>C8042+1</f>
        <v>40608</v>
      </c>
      <c r="W8042">
        <f>IF(D8042=' Pivot Tables'!$A$4,1,0)</f>
        <v>0</v>
      </c>
      <c r="X8042">
        <f>IF(AND(LEFT(D8042,4)+1=LEFT(' Pivot Tables'!$A$4,4)+0,RIGHT(LEFT(D8042,7),2)=RIGHT(LEFT(' Pivot Tables'!$A$4,7),2)),1,0)</f>
        <v>0</v>
      </c>
      <c r="Y8042" s="6">
        <f>1/COUNTIF(Таблица1[Order ID],Таблица1[[#This Row],[Order ID]])</f>
        <v>0.33333333333333331</v>
      </c>
      <c r="Z8042" s="9">
        <f>1/COUNTIFS(Таблица1[Customer Name],Таблица1[[#This Row],[Customer Name]],Таблица1[Order-Year-Month],Таблица1[[#This Row],[Order-Year-Month]])</f>
        <v>0.33333333333333331</v>
      </c>
    </row>
    <row r="8043" spans="1:26" x14ac:dyDescent="0.2">
      <c r="A8043" s="6">
        <v>2645</v>
      </c>
      <c r="B8043" s="7">
        <v>19140</v>
      </c>
      <c r="C8043" s="8">
        <f>DATE(2012,12,31)-1188</f>
        <v>40086</v>
      </c>
      <c r="D8043" s="8" t="str">
        <f t="shared" si="154"/>
        <v>2009-09 (сентябрь 2009)</v>
      </c>
      <c r="E8043" s="9" t="s">
        <v>63</v>
      </c>
      <c r="F8043" s="7">
        <v>47</v>
      </c>
      <c r="G8043" s="7">
        <v>314</v>
      </c>
      <c r="H8043" s="7">
        <v>7.0000000000000007E-2</v>
      </c>
      <c r="I8043" s="9" t="s">
        <v>22</v>
      </c>
      <c r="J8043" s="10">
        <v>-66.044499999999999</v>
      </c>
      <c r="K8043" s="11">
        <v>6.54</v>
      </c>
      <c r="L8043" s="11">
        <v>5.27</v>
      </c>
      <c r="M8043" s="9" t="s">
        <v>2115</v>
      </c>
      <c r="N8043" s="6" t="s">
        <v>2073</v>
      </c>
      <c r="O8043" s="6" t="s">
        <v>704</v>
      </c>
      <c r="P8043" s="9" t="s">
        <v>41</v>
      </c>
      <c r="Q8043" s="9" t="s">
        <v>26</v>
      </c>
      <c r="R8043" s="9" t="s">
        <v>37</v>
      </c>
      <c r="S8043" s="7" t="s">
        <v>744</v>
      </c>
      <c r="T8043" s="9" t="s">
        <v>39</v>
      </c>
      <c r="U8043" s="7">
        <v>0.36</v>
      </c>
      <c r="V8043" s="12">
        <f>C8043+1</f>
        <v>40087</v>
      </c>
      <c r="W8043">
        <f>IF(D8043=' Pivot Tables'!$A$4,1,0)</f>
        <v>0</v>
      </c>
      <c r="X8043">
        <f>IF(AND(LEFT(D8043,4)+1=LEFT(' Pivot Tables'!$A$4,4)+0,RIGHT(LEFT(D8043,7),2)=RIGHT(LEFT(' Pivot Tables'!$A$4,7),2)),1,0)</f>
        <v>0</v>
      </c>
      <c r="Y8043" s="6">
        <f>1/COUNTIF(Таблица1[Order ID],Таблица1[[#This Row],[Order ID]])</f>
        <v>0.5</v>
      </c>
      <c r="Z8043" s="9">
        <f>1/COUNTIFS(Таблица1[Customer Name],Таблица1[[#This Row],[Customer Name]],Таблица1[Order-Year-Month],Таблица1[[#This Row],[Order-Year-Month]])</f>
        <v>0.5</v>
      </c>
    </row>
    <row r="8044" spans="1:26" x14ac:dyDescent="0.2">
      <c r="A8044" s="6">
        <v>2646</v>
      </c>
      <c r="B8044" s="7">
        <v>19140</v>
      </c>
      <c r="C8044" s="8">
        <f>DATE(2012,12,31)-1188</f>
        <v>40086</v>
      </c>
      <c r="D8044" s="8" t="str">
        <f t="shared" si="154"/>
        <v>2009-09 (сентябрь 2009)</v>
      </c>
      <c r="E8044" s="9" t="s">
        <v>63</v>
      </c>
      <c r="F8044" s="7">
        <v>50</v>
      </c>
      <c r="G8044" s="7">
        <v>155.54</v>
      </c>
      <c r="H8044" s="7">
        <v>0.09</v>
      </c>
      <c r="I8044" s="9" t="s">
        <v>22</v>
      </c>
      <c r="J8044" s="10">
        <v>15.66</v>
      </c>
      <c r="K8044" s="11">
        <v>3.29</v>
      </c>
      <c r="L8044" s="11">
        <v>1.35</v>
      </c>
      <c r="M8044" s="9" t="s">
        <v>2115</v>
      </c>
      <c r="N8044" s="6" t="s">
        <v>2073</v>
      </c>
      <c r="O8044" s="6" t="s">
        <v>704</v>
      </c>
      <c r="P8044" s="9" t="s">
        <v>41</v>
      </c>
      <c r="Q8044" s="9" t="s">
        <v>26</v>
      </c>
      <c r="R8044" s="9" t="s">
        <v>66</v>
      </c>
      <c r="S8044" s="7" t="s">
        <v>464</v>
      </c>
      <c r="T8044" s="9" t="s">
        <v>68</v>
      </c>
      <c r="U8044" s="7">
        <v>0.4</v>
      </c>
      <c r="V8044" s="12">
        <f>C8044+1</f>
        <v>40087</v>
      </c>
      <c r="W8044">
        <f>IF(D8044=' Pivot Tables'!$A$4,1,0)</f>
        <v>0</v>
      </c>
      <c r="X8044">
        <f>IF(AND(LEFT(D8044,4)+1=LEFT(' Pivot Tables'!$A$4,4)+0,RIGHT(LEFT(D8044,7),2)=RIGHT(LEFT(' Pivot Tables'!$A$4,7),2)),1,0)</f>
        <v>0</v>
      </c>
      <c r="Y8044" s="6">
        <f>1/COUNTIF(Таблица1[Order ID],Таблица1[[#This Row],[Order ID]])</f>
        <v>0.5</v>
      </c>
      <c r="Z8044" s="9">
        <f>1/COUNTIFS(Таблица1[Customer Name],Таблица1[[#This Row],[Customer Name]],Таблица1[Order-Year-Month],Таблица1[[#This Row],[Order-Year-Month]])</f>
        <v>0.5</v>
      </c>
    </row>
    <row r="8045" spans="1:26" x14ac:dyDescent="0.2">
      <c r="A8045" s="6">
        <v>2652</v>
      </c>
      <c r="B8045" s="7">
        <v>19175</v>
      </c>
      <c r="C8045" s="8">
        <f>DATE(2012,12,31)-1230</f>
        <v>40044</v>
      </c>
      <c r="D8045" s="8" t="str">
        <f t="shared" si="154"/>
        <v>2009-08 (август 2009)</v>
      </c>
      <c r="E8045" s="9" t="s">
        <v>21</v>
      </c>
      <c r="F8045" s="7">
        <v>19</v>
      </c>
      <c r="G8045" s="7">
        <v>1133.4494999999999</v>
      </c>
      <c r="H8045" s="7">
        <v>0.01</v>
      </c>
      <c r="I8045" s="9" t="s">
        <v>22</v>
      </c>
      <c r="J8045" s="10">
        <v>169.16400000000002</v>
      </c>
      <c r="K8045" s="11">
        <v>65.989999999999995</v>
      </c>
      <c r="L8045" s="11">
        <v>5.31</v>
      </c>
      <c r="M8045" s="9" t="s">
        <v>2111</v>
      </c>
      <c r="N8045" s="6" t="s">
        <v>2073</v>
      </c>
      <c r="O8045" s="6" t="s">
        <v>704</v>
      </c>
      <c r="P8045" s="9" t="s">
        <v>33</v>
      </c>
      <c r="Q8045" s="9" t="s">
        <v>42</v>
      </c>
      <c r="R8045" s="9" t="s">
        <v>43</v>
      </c>
      <c r="S8045" s="7" t="s">
        <v>430</v>
      </c>
      <c r="T8045" s="9" t="s">
        <v>39</v>
      </c>
      <c r="U8045" s="7">
        <v>0.56999999999999995</v>
      </c>
      <c r="V8045" s="12">
        <f>C8045+7</f>
        <v>40051</v>
      </c>
      <c r="W8045">
        <f>IF(D8045=' Pivot Tables'!$A$4,1,0)</f>
        <v>0</v>
      </c>
      <c r="X8045">
        <f>IF(AND(LEFT(D8045,4)+1=LEFT(' Pivot Tables'!$A$4,4)+0,RIGHT(LEFT(D8045,7),2)=RIGHT(LEFT(' Pivot Tables'!$A$4,7),2)),1,0)</f>
        <v>0</v>
      </c>
      <c r="Y8045" s="6">
        <f>1/COUNTIF(Таблица1[Order ID],Таблица1[[#This Row],[Order ID]])</f>
        <v>1</v>
      </c>
      <c r="Z8045" s="9">
        <f>1/COUNTIFS(Таблица1[Customer Name],Таблица1[[#This Row],[Customer Name]],Таблица1[Order-Year-Month],Таблица1[[#This Row],[Order-Year-Month]])</f>
        <v>0.5</v>
      </c>
    </row>
    <row r="8046" spans="1:26" x14ac:dyDescent="0.2">
      <c r="A8046" s="6">
        <v>2688</v>
      </c>
      <c r="B8046" s="7">
        <v>19457</v>
      </c>
      <c r="C8046" s="8">
        <f>DATE(2012,12,31)-1268</f>
        <v>40006</v>
      </c>
      <c r="D8046" s="8" t="str">
        <f t="shared" si="154"/>
        <v>2009-07 (июль 2009)</v>
      </c>
      <c r="E8046" s="9" t="s">
        <v>30</v>
      </c>
      <c r="F8046" s="7">
        <v>34</v>
      </c>
      <c r="G8046" s="7">
        <v>203.49</v>
      </c>
      <c r="H8046" s="7">
        <v>0.05</v>
      </c>
      <c r="I8046" s="9" t="s">
        <v>22</v>
      </c>
      <c r="J8046" s="10">
        <v>90.35</v>
      </c>
      <c r="K8046" s="11">
        <v>6.3</v>
      </c>
      <c r="L8046" s="11">
        <v>0.5</v>
      </c>
      <c r="M8046" s="9" t="s">
        <v>2110</v>
      </c>
      <c r="N8046" s="6" t="s">
        <v>2073</v>
      </c>
      <c r="O8046" s="6" t="s">
        <v>704</v>
      </c>
      <c r="P8046" s="9" t="s">
        <v>41</v>
      </c>
      <c r="Q8046" s="9" t="s">
        <v>26</v>
      </c>
      <c r="R8046" s="9" t="s">
        <v>88</v>
      </c>
      <c r="S8046" s="7" t="s">
        <v>461</v>
      </c>
      <c r="T8046" s="9" t="s">
        <v>39</v>
      </c>
      <c r="U8046" s="7">
        <v>0.39</v>
      </c>
      <c r="V8046" s="12">
        <f>C8046+1</f>
        <v>40007</v>
      </c>
      <c r="W8046">
        <f>IF(D8046=' Pivot Tables'!$A$4,1,0)</f>
        <v>0</v>
      </c>
      <c r="X8046">
        <f>IF(AND(LEFT(D8046,4)+1=LEFT(' Pivot Tables'!$A$4,4)+0,RIGHT(LEFT(D8046,7),2)=RIGHT(LEFT(' Pivot Tables'!$A$4,7),2)),1,0)</f>
        <v>0</v>
      </c>
      <c r="Y8046" s="6">
        <f>1/COUNTIF(Таблица1[Order ID],Таблица1[[#This Row],[Order ID]])</f>
        <v>0.5</v>
      </c>
      <c r="Z8046" s="9">
        <f>1/COUNTIFS(Таблица1[Customer Name],Таблица1[[#This Row],[Customer Name]],Таблица1[Order-Year-Month],Таблица1[[#This Row],[Order-Year-Month]])</f>
        <v>0.5</v>
      </c>
    </row>
    <row r="8047" spans="1:26" x14ac:dyDescent="0.2">
      <c r="A8047" s="6">
        <v>2689</v>
      </c>
      <c r="B8047" s="7">
        <v>19457</v>
      </c>
      <c r="C8047" s="8">
        <f>DATE(2012,12,31)-1268</f>
        <v>40006</v>
      </c>
      <c r="D8047" s="8" t="str">
        <f t="shared" si="154"/>
        <v>2009-07 (июль 2009)</v>
      </c>
      <c r="E8047" s="9" t="s">
        <v>30</v>
      </c>
      <c r="F8047" s="7">
        <v>33</v>
      </c>
      <c r="G8047" s="7">
        <v>5638.7979999999998</v>
      </c>
      <c r="H8047" s="7">
        <v>0.09</v>
      </c>
      <c r="I8047" s="9" t="s">
        <v>56</v>
      </c>
      <c r="J8047" s="10">
        <v>1406.0519999999999</v>
      </c>
      <c r="K8047" s="11">
        <v>205.99</v>
      </c>
      <c r="L8047" s="11">
        <v>3</v>
      </c>
      <c r="M8047" s="9" t="s">
        <v>2110</v>
      </c>
      <c r="N8047" s="6" t="s">
        <v>2073</v>
      </c>
      <c r="O8047" s="6" t="s">
        <v>704</v>
      </c>
      <c r="P8047" s="9" t="s">
        <v>41</v>
      </c>
      <c r="Q8047" s="9" t="s">
        <v>42</v>
      </c>
      <c r="R8047" s="9" t="s">
        <v>43</v>
      </c>
      <c r="S8047" s="7" t="s">
        <v>764</v>
      </c>
      <c r="T8047" s="9" t="s">
        <v>39</v>
      </c>
      <c r="U8047" s="7">
        <v>0.57999999999999996</v>
      </c>
      <c r="V8047" s="12">
        <f>C8047+2</f>
        <v>40008</v>
      </c>
      <c r="W8047">
        <f>IF(D8047=' Pivot Tables'!$A$4,1,0)</f>
        <v>0</v>
      </c>
      <c r="X8047">
        <f>IF(AND(LEFT(D8047,4)+1=LEFT(' Pivot Tables'!$A$4,4)+0,RIGHT(LEFT(D8047,7),2)=RIGHT(LEFT(' Pivot Tables'!$A$4,7),2)),1,0)</f>
        <v>0</v>
      </c>
      <c r="Y8047" s="6">
        <f>1/COUNTIF(Таблица1[Order ID],Таблица1[[#This Row],[Order ID]])</f>
        <v>0.5</v>
      </c>
      <c r="Z8047" s="9">
        <f>1/COUNTIFS(Таблица1[Customer Name],Таблица1[[#This Row],[Customer Name]],Таблица1[Order-Year-Month],Таблица1[[#This Row],[Order-Year-Month]])</f>
        <v>0.5</v>
      </c>
    </row>
    <row r="8048" spans="1:26" x14ac:dyDescent="0.2">
      <c r="A8048" s="6">
        <v>2734</v>
      </c>
      <c r="B8048" s="7">
        <v>19745</v>
      </c>
      <c r="C8048" s="8">
        <f>DATE(2012,12,31)-13</f>
        <v>41261</v>
      </c>
      <c r="D8048" s="8" t="str">
        <f t="shared" si="154"/>
        <v>2012-12 (декабрь 2012)</v>
      </c>
      <c r="E8048" s="9" t="s">
        <v>30</v>
      </c>
      <c r="F8048" s="7">
        <v>25</v>
      </c>
      <c r="G8048" s="7">
        <v>1071.77</v>
      </c>
      <c r="H8048" s="7">
        <v>0.09</v>
      </c>
      <c r="I8048" s="9" t="s">
        <v>22</v>
      </c>
      <c r="J8048" s="10">
        <v>262.07</v>
      </c>
      <c r="K8048" s="11">
        <v>45.98</v>
      </c>
      <c r="L8048" s="11">
        <v>4.8</v>
      </c>
      <c r="M8048" s="9" t="s">
        <v>1180</v>
      </c>
      <c r="N8048" s="6" t="s">
        <v>2073</v>
      </c>
      <c r="O8048" s="6" t="s">
        <v>704</v>
      </c>
      <c r="P8048" s="9" t="s">
        <v>25</v>
      </c>
      <c r="Q8048" s="9" t="s">
        <v>49</v>
      </c>
      <c r="R8048" s="9" t="s">
        <v>50</v>
      </c>
      <c r="S8048" s="7" t="s">
        <v>654</v>
      </c>
      <c r="T8048" s="9" t="s">
        <v>68</v>
      </c>
      <c r="U8048" s="7">
        <v>0.68</v>
      </c>
      <c r="V8048" s="12">
        <f>C8048+1</f>
        <v>41262</v>
      </c>
      <c r="W8048">
        <f>IF(D8048=' Pivot Tables'!$A$4,1,0)</f>
        <v>0</v>
      </c>
      <c r="X8048">
        <f>IF(AND(LEFT(D8048,4)+1=LEFT(' Pivot Tables'!$A$4,4)+0,RIGHT(LEFT(D8048,7),2)=RIGHT(LEFT(' Pivot Tables'!$A$4,7),2)),1,0)</f>
        <v>0</v>
      </c>
      <c r="Y8048" s="6">
        <f>1/COUNTIF(Таблица1[Order ID],Таблица1[[#This Row],[Order ID]])</f>
        <v>0.25</v>
      </c>
      <c r="Z8048" s="9">
        <f>1/COUNTIFS(Таблица1[Customer Name],Таблица1[[#This Row],[Customer Name]],Таблица1[Order-Year-Month],Таблица1[[#This Row],[Order-Year-Month]])</f>
        <v>0.25</v>
      </c>
    </row>
    <row r="8049" spans="1:26" x14ac:dyDescent="0.2">
      <c r="A8049" s="6">
        <v>2735</v>
      </c>
      <c r="B8049" s="7">
        <v>19745</v>
      </c>
      <c r="C8049" s="8">
        <f>DATE(2012,12,31)-13</f>
        <v>41261</v>
      </c>
      <c r="D8049" s="8" t="str">
        <f t="shared" si="154"/>
        <v>2012-12 (декабрь 2012)</v>
      </c>
      <c r="E8049" s="9" t="s">
        <v>30</v>
      </c>
      <c r="F8049" s="7">
        <v>29</v>
      </c>
      <c r="G8049" s="7">
        <v>8635.61</v>
      </c>
      <c r="H8049" s="7">
        <v>0.03</v>
      </c>
      <c r="I8049" s="9" t="s">
        <v>22</v>
      </c>
      <c r="J8049" s="10">
        <v>2733.04</v>
      </c>
      <c r="K8049" s="11">
        <v>300.97000000000003</v>
      </c>
      <c r="L8049" s="11">
        <v>7.18</v>
      </c>
      <c r="M8049" s="9" t="s">
        <v>1180</v>
      </c>
      <c r="N8049" s="6" t="s">
        <v>2073</v>
      </c>
      <c r="O8049" s="6" t="s">
        <v>704</v>
      </c>
      <c r="P8049" s="9" t="s">
        <v>25</v>
      </c>
      <c r="Q8049" s="9" t="s">
        <v>42</v>
      </c>
      <c r="R8049" s="9" t="s">
        <v>70</v>
      </c>
      <c r="S8049" s="7" t="s">
        <v>1658</v>
      </c>
      <c r="T8049" s="9" t="s">
        <v>39</v>
      </c>
      <c r="U8049" s="7">
        <v>0.48</v>
      </c>
      <c r="V8049" s="12">
        <f>C8049+1</f>
        <v>41262</v>
      </c>
      <c r="W8049">
        <f>IF(D8049=' Pivot Tables'!$A$4,1,0)</f>
        <v>0</v>
      </c>
      <c r="X8049">
        <f>IF(AND(LEFT(D8049,4)+1=LEFT(' Pivot Tables'!$A$4,4)+0,RIGHT(LEFT(D8049,7),2)=RIGHT(LEFT(' Pivot Tables'!$A$4,7),2)),1,0)</f>
        <v>0</v>
      </c>
      <c r="Y8049" s="6">
        <f>1/COUNTIF(Таблица1[Order ID],Таблица1[[#This Row],[Order ID]])</f>
        <v>0.25</v>
      </c>
      <c r="Z8049" s="9">
        <f>1/COUNTIFS(Таблица1[Customer Name],Таблица1[[#This Row],[Customer Name]],Таблица1[Order-Year-Month],Таблица1[[#This Row],[Order-Year-Month]])</f>
        <v>0.25</v>
      </c>
    </row>
    <row r="8050" spans="1:26" x14ac:dyDescent="0.2">
      <c r="A8050" s="6">
        <v>2736</v>
      </c>
      <c r="B8050" s="7">
        <v>19745</v>
      </c>
      <c r="C8050" s="8">
        <f>DATE(2012,12,31)-13</f>
        <v>41261</v>
      </c>
      <c r="D8050" s="8" t="str">
        <f t="shared" si="154"/>
        <v>2012-12 (декабрь 2012)</v>
      </c>
      <c r="E8050" s="9" t="s">
        <v>30</v>
      </c>
      <c r="F8050" s="7">
        <v>2</v>
      </c>
      <c r="G8050" s="7">
        <v>63.96</v>
      </c>
      <c r="H8050" s="7">
        <v>0</v>
      </c>
      <c r="I8050" s="9" t="s">
        <v>22</v>
      </c>
      <c r="J8050" s="10">
        <v>-119.36</v>
      </c>
      <c r="K8050" s="11">
        <v>29.89</v>
      </c>
      <c r="L8050" s="11">
        <v>1.99</v>
      </c>
      <c r="M8050" s="9" t="s">
        <v>1180</v>
      </c>
      <c r="N8050" s="6" t="s">
        <v>2073</v>
      </c>
      <c r="O8050" s="6" t="s">
        <v>704</v>
      </c>
      <c r="P8050" s="9" t="s">
        <v>25</v>
      </c>
      <c r="Q8050" s="9" t="s">
        <v>42</v>
      </c>
      <c r="R8050" s="9" t="s">
        <v>70</v>
      </c>
      <c r="S8050" s="7" t="s">
        <v>547</v>
      </c>
      <c r="T8050" s="9" t="s">
        <v>52</v>
      </c>
      <c r="U8050" s="7">
        <v>0.5</v>
      </c>
      <c r="V8050" s="12">
        <f>C8050+2</f>
        <v>41263</v>
      </c>
      <c r="W8050">
        <f>IF(D8050=' Pivot Tables'!$A$4,1,0)</f>
        <v>0</v>
      </c>
      <c r="X8050">
        <f>IF(AND(LEFT(D8050,4)+1=LEFT(' Pivot Tables'!$A$4,4)+0,RIGHT(LEFT(D8050,7),2)=RIGHT(LEFT(' Pivot Tables'!$A$4,7),2)),1,0)</f>
        <v>0</v>
      </c>
      <c r="Y8050" s="6">
        <f>1/COUNTIF(Таблица1[Order ID],Таблица1[[#This Row],[Order ID]])</f>
        <v>0.25</v>
      </c>
      <c r="Z8050" s="9">
        <f>1/COUNTIFS(Таблица1[Customer Name],Таблица1[[#This Row],[Customer Name]],Таблица1[Order-Year-Month],Таблица1[[#This Row],[Order-Year-Month]])</f>
        <v>0.25</v>
      </c>
    </row>
    <row r="8051" spans="1:26" x14ac:dyDescent="0.2">
      <c r="A8051" s="6">
        <v>2737</v>
      </c>
      <c r="B8051" s="7">
        <v>19745</v>
      </c>
      <c r="C8051" s="8">
        <f>DATE(2012,12,31)-13</f>
        <v>41261</v>
      </c>
      <c r="D8051" s="8" t="str">
        <f t="shared" si="154"/>
        <v>2012-12 (декабрь 2012)</v>
      </c>
      <c r="E8051" s="9" t="s">
        <v>30</v>
      </c>
      <c r="F8051" s="7">
        <v>50</v>
      </c>
      <c r="G8051" s="7">
        <v>833</v>
      </c>
      <c r="H8051" s="7">
        <v>0</v>
      </c>
      <c r="I8051" s="9" t="s">
        <v>22</v>
      </c>
      <c r="J8051" s="10">
        <v>436.53</v>
      </c>
      <c r="K8051" s="11">
        <v>15.57</v>
      </c>
      <c r="L8051" s="11">
        <v>1.39</v>
      </c>
      <c r="M8051" s="9" t="s">
        <v>1180</v>
      </c>
      <c r="N8051" s="6" t="s">
        <v>2073</v>
      </c>
      <c r="O8051" s="6" t="s">
        <v>704</v>
      </c>
      <c r="P8051" s="9" t="s">
        <v>25</v>
      </c>
      <c r="Q8051" s="9" t="s">
        <v>26</v>
      </c>
      <c r="R8051" s="9" t="s">
        <v>76</v>
      </c>
      <c r="S8051" s="7" t="s">
        <v>1176</v>
      </c>
      <c r="T8051" s="9" t="s">
        <v>39</v>
      </c>
      <c r="U8051" s="7">
        <v>0.38</v>
      </c>
      <c r="V8051" s="12">
        <f>C8051+1</f>
        <v>41262</v>
      </c>
      <c r="W8051">
        <f>IF(D8051=' Pivot Tables'!$A$4,1,0)</f>
        <v>0</v>
      </c>
      <c r="X8051">
        <f>IF(AND(LEFT(D8051,4)+1=LEFT(' Pivot Tables'!$A$4,4)+0,RIGHT(LEFT(D8051,7),2)=RIGHT(LEFT(' Pivot Tables'!$A$4,7),2)),1,0)</f>
        <v>0</v>
      </c>
      <c r="Y8051" s="6">
        <f>1/COUNTIF(Таблица1[Order ID],Таблица1[[#This Row],[Order ID]])</f>
        <v>0.25</v>
      </c>
      <c r="Z8051" s="9">
        <f>1/COUNTIFS(Таблица1[Customer Name],Таблица1[[#This Row],[Customer Name]],Таблица1[Order-Year-Month],Таблица1[[#This Row],[Order-Year-Month]])</f>
        <v>0.25</v>
      </c>
    </row>
    <row r="8052" spans="1:26" x14ac:dyDescent="0.2">
      <c r="A8052" s="6">
        <v>2878</v>
      </c>
      <c r="B8052" s="7">
        <v>20741</v>
      </c>
      <c r="C8052" s="8">
        <f>DATE(2012,12,31)-793</f>
        <v>40481</v>
      </c>
      <c r="D8052" s="8" t="str">
        <f t="shared" si="154"/>
        <v>2010-10 (октябрь 2010)</v>
      </c>
      <c r="E8052" s="9" t="s">
        <v>21</v>
      </c>
      <c r="F8052" s="7">
        <v>43</v>
      </c>
      <c r="G8052" s="7">
        <v>1711.02</v>
      </c>
      <c r="H8052" s="7">
        <v>0.1</v>
      </c>
      <c r="I8052" s="9" t="s">
        <v>22</v>
      </c>
      <c r="J8052" s="10">
        <v>139.63</v>
      </c>
      <c r="K8052" s="11">
        <v>43.98</v>
      </c>
      <c r="L8052" s="11">
        <v>8.99</v>
      </c>
      <c r="M8052" s="9" t="s">
        <v>2111</v>
      </c>
      <c r="N8052" s="6" t="s">
        <v>2073</v>
      </c>
      <c r="O8052" s="6" t="s">
        <v>704</v>
      </c>
      <c r="P8052" s="9" t="s">
        <v>41</v>
      </c>
      <c r="Q8052" s="9" t="s">
        <v>26</v>
      </c>
      <c r="R8052" s="9" t="s">
        <v>95</v>
      </c>
      <c r="S8052" s="7" t="s">
        <v>858</v>
      </c>
      <c r="T8052" s="9" t="s">
        <v>52</v>
      </c>
      <c r="U8052" s="7">
        <v>0.57999999999999996</v>
      </c>
      <c r="V8052" s="12">
        <f>C8052+7</f>
        <v>40488</v>
      </c>
      <c r="W8052">
        <f>IF(D8052=' Pivot Tables'!$A$4,1,0)</f>
        <v>0</v>
      </c>
      <c r="X8052">
        <f>IF(AND(LEFT(D8052,4)+1=LEFT(' Pivot Tables'!$A$4,4)+0,RIGHT(LEFT(D8052,7),2)=RIGHT(LEFT(' Pivot Tables'!$A$4,7),2)),1,0)</f>
        <v>0</v>
      </c>
      <c r="Y8052" s="6">
        <f>1/COUNTIF(Таблица1[Order ID],Таблица1[[#This Row],[Order ID]])</f>
        <v>1</v>
      </c>
      <c r="Z8052" s="9">
        <f>1/COUNTIFS(Таблица1[Customer Name],Таблица1[[#This Row],[Customer Name]],Таблица1[Order-Year-Month],Таблица1[[#This Row],[Order-Year-Month]])</f>
        <v>1</v>
      </c>
    </row>
    <row r="8053" spans="1:26" x14ac:dyDescent="0.2">
      <c r="A8053" s="6">
        <v>3321</v>
      </c>
      <c r="B8053" s="7">
        <v>23746</v>
      </c>
      <c r="C8053" s="8">
        <f>DATE(2012,12,31)-747</f>
        <v>40527</v>
      </c>
      <c r="D8053" s="8" t="str">
        <f t="shared" si="154"/>
        <v>2010-12 (декабрь 2010)</v>
      </c>
      <c r="E8053" s="9" t="s">
        <v>30</v>
      </c>
      <c r="F8053" s="7">
        <v>10</v>
      </c>
      <c r="G8053" s="7">
        <v>408.23</v>
      </c>
      <c r="H8053" s="7">
        <v>0.06</v>
      </c>
      <c r="I8053" s="9" t="s">
        <v>22</v>
      </c>
      <c r="J8053" s="10">
        <v>52.38</v>
      </c>
      <c r="K8053" s="11">
        <v>40.97</v>
      </c>
      <c r="L8053" s="11">
        <v>1.99</v>
      </c>
      <c r="M8053" s="9" t="s">
        <v>798</v>
      </c>
      <c r="N8053" s="6" t="s">
        <v>2073</v>
      </c>
      <c r="O8053" s="6" t="s">
        <v>704</v>
      </c>
      <c r="P8053" s="9" t="s">
        <v>60</v>
      </c>
      <c r="Q8053" s="9" t="s">
        <v>42</v>
      </c>
      <c r="R8053" s="9" t="s">
        <v>70</v>
      </c>
      <c r="S8053" s="7" t="s">
        <v>1519</v>
      </c>
      <c r="T8053" s="9" t="s">
        <v>52</v>
      </c>
      <c r="U8053" s="7">
        <v>0.42</v>
      </c>
      <c r="V8053" s="12">
        <f>C8053+1</f>
        <v>40528</v>
      </c>
      <c r="W8053">
        <f>IF(D8053=' Pivot Tables'!$A$4,1,0)</f>
        <v>0</v>
      </c>
      <c r="X8053">
        <f>IF(AND(LEFT(D8053,4)+1=LEFT(' Pivot Tables'!$A$4,4)+0,RIGHT(LEFT(D8053,7),2)=RIGHT(LEFT(' Pivot Tables'!$A$4,7),2)),1,0)</f>
        <v>0</v>
      </c>
      <c r="Y8053" s="6">
        <f>1/COUNTIF(Таблица1[Order ID],Таблица1[[#This Row],[Order ID]])</f>
        <v>1</v>
      </c>
      <c r="Z8053" s="9">
        <f>1/COUNTIFS(Таблица1[Customer Name],Таблица1[[#This Row],[Customer Name]],Таблица1[Order-Year-Month],Таблица1[[#This Row],[Order-Year-Month]])</f>
        <v>1</v>
      </c>
    </row>
    <row r="8054" spans="1:26" x14ac:dyDescent="0.2">
      <c r="A8054" s="6">
        <v>3469</v>
      </c>
      <c r="B8054" s="7">
        <v>24705</v>
      </c>
      <c r="C8054" s="8">
        <f>DATE(2012,12,31)-473</f>
        <v>40801</v>
      </c>
      <c r="D8054" s="8" t="str">
        <f t="shared" si="154"/>
        <v>2011-09 (сентябрь 2011)</v>
      </c>
      <c r="E8054" s="9" t="s">
        <v>78</v>
      </c>
      <c r="F8054" s="7">
        <v>34</v>
      </c>
      <c r="G8054" s="7">
        <v>260.51</v>
      </c>
      <c r="H8054" s="7">
        <v>0.03</v>
      </c>
      <c r="I8054" s="9" t="s">
        <v>22</v>
      </c>
      <c r="J8054" s="10">
        <v>-127.5235</v>
      </c>
      <c r="K8054" s="11">
        <v>7.3</v>
      </c>
      <c r="L8054" s="11">
        <v>7.72</v>
      </c>
      <c r="M8054" s="9" t="s">
        <v>1145</v>
      </c>
      <c r="N8054" s="6" t="s">
        <v>2073</v>
      </c>
      <c r="O8054" s="6" t="s">
        <v>704</v>
      </c>
      <c r="P8054" s="9" t="s">
        <v>33</v>
      </c>
      <c r="Q8054" s="9" t="s">
        <v>26</v>
      </c>
      <c r="R8054" s="9" t="s">
        <v>37</v>
      </c>
      <c r="S8054" s="7" t="s">
        <v>54</v>
      </c>
      <c r="T8054" s="9" t="s">
        <v>39</v>
      </c>
      <c r="U8054" s="7">
        <v>0.38</v>
      </c>
      <c r="V8054" s="12">
        <f>C8054+2</f>
        <v>40803</v>
      </c>
      <c r="W8054">
        <f>IF(D8054=' Pivot Tables'!$A$4,1,0)</f>
        <v>0</v>
      </c>
      <c r="X8054">
        <f>IF(AND(LEFT(D8054,4)+1=LEFT(' Pivot Tables'!$A$4,4)+0,RIGHT(LEFT(D8054,7),2)=RIGHT(LEFT(' Pivot Tables'!$A$4,7),2)),1,0)</f>
        <v>0</v>
      </c>
      <c r="Y8054" s="6">
        <f>1/COUNTIF(Таблица1[Order ID],Таблица1[[#This Row],[Order ID]])</f>
        <v>0.5</v>
      </c>
      <c r="Z8054" s="9">
        <f>1/COUNTIFS(Таблица1[Customer Name],Таблица1[[#This Row],[Customer Name]],Таблица1[Order-Year-Month],Таблица1[[#This Row],[Order-Year-Month]])</f>
        <v>0.5</v>
      </c>
    </row>
    <row r="8055" spans="1:26" x14ac:dyDescent="0.2">
      <c r="A8055" s="6">
        <v>3470</v>
      </c>
      <c r="B8055" s="7">
        <v>24705</v>
      </c>
      <c r="C8055" s="8">
        <f>DATE(2012,12,31)-473</f>
        <v>40801</v>
      </c>
      <c r="D8055" s="8" t="str">
        <f t="shared" si="154"/>
        <v>2011-09 (сентябрь 2011)</v>
      </c>
      <c r="E8055" s="9" t="s">
        <v>78</v>
      </c>
      <c r="F8055" s="7">
        <v>15</v>
      </c>
      <c r="G8055" s="7">
        <v>466.28</v>
      </c>
      <c r="H8055" s="7">
        <v>0</v>
      </c>
      <c r="I8055" s="9" t="s">
        <v>22</v>
      </c>
      <c r="J8055" s="10">
        <v>92.7</v>
      </c>
      <c r="K8055" s="11">
        <v>29.89</v>
      </c>
      <c r="L8055" s="11">
        <v>1.99</v>
      </c>
      <c r="M8055" s="9" t="s">
        <v>1145</v>
      </c>
      <c r="N8055" s="6" t="s">
        <v>2073</v>
      </c>
      <c r="O8055" s="6" t="s">
        <v>704</v>
      </c>
      <c r="P8055" s="9" t="s">
        <v>33</v>
      </c>
      <c r="Q8055" s="9" t="s">
        <v>42</v>
      </c>
      <c r="R8055" s="9" t="s">
        <v>70</v>
      </c>
      <c r="S8055" s="7" t="s">
        <v>547</v>
      </c>
      <c r="T8055" s="9" t="s">
        <v>52</v>
      </c>
      <c r="U8055" s="7">
        <v>0.5</v>
      </c>
      <c r="V8055" s="12">
        <f>C8055+2</f>
        <v>40803</v>
      </c>
      <c r="W8055">
        <f>IF(D8055=' Pivot Tables'!$A$4,1,0)</f>
        <v>0</v>
      </c>
      <c r="X8055">
        <f>IF(AND(LEFT(D8055,4)+1=LEFT(' Pivot Tables'!$A$4,4)+0,RIGHT(LEFT(D8055,7),2)=RIGHT(LEFT(' Pivot Tables'!$A$4,7),2)),1,0)</f>
        <v>0</v>
      </c>
      <c r="Y8055" s="6">
        <f>1/COUNTIF(Таблица1[Order ID],Таблица1[[#This Row],[Order ID]])</f>
        <v>0.5</v>
      </c>
      <c r="Z8055" s="9">
        <f>1/COUNTIFS(Таблица1[Customer Name],Таблица1[[#This Row],[Customer Name]],Таблица1[Order-Year-Month],Таблица1[[#This Row],[Order-Year-Month]])</f>
        <v>0.5</v>
      </c>
    </row>
    <row r="8056" spans="1:26" x14ac:dyDescent="0.2">
      <c r="A8056" s="6">
        <v>3512</v>
      </c>
      <c r="B8056" s="7">
        <v>25028</v>
      </c>
      <c r="C8056" s="8">
        <f>DATE(2012,12,31)-726</f>
        <v>40548</v>
      </c>
      <c r="D8056" s="8" t="str">
        <f t="shared" si="154"/>
        <v>2011-01 (январь 2011)</v>
      </c>
      <c r="E8056" s="9" t="s">
        <v>78</v>
      </c>
      <c r="F8056" s="7">
        <v>5</v>
      </c>
      <c r="G8056" s="7">
        <v>477.39</v>
      </c>
      <c r="H8056" s="7">
        <v>0.02</v>
      </c>
      <c r="I8056" s="9" t="s">
        <v>31</v>
      </c>
      <c r="J8056" s="10">
        <v>-211.36</v>
      </c>
      <c r="K8056" s="11">
        <v>81.94</v>
      </c>
      <c r="L8056" s="11">
        <v>55.81</v>
      </c>
      <c r="M8056" s="9" t="s">
        <v>2116</v>
      </c>
      <c r="N8056" s="6" t="s">
        <v>2073</v>
      </c>
      <c r="O8056" s="6" t="s">
        <v>704</v>
      </c>
      <c r="P8056" s="9" t="s">
        <v>60</v>
      </c>
      <c r="Q8056" s="9" t="s">
        <v>49</v>
      </c>
      <c r="R8056" s="9" t="s">
        <v>80</v>
      </c>
      <c r="S8056" s="7" t="s">
        <v>1104</v>
      </c>
      <c r="T8056" s="9" t="s">
        <v>82</v>
      </c>
      <c r="U8056" s="7">
        <v>0.6</v>
      </c>
      <c r="V8056" s="12">
        <f>C8056+1</f>
        <v>40549</v>
      </c>
      <c r="W8056">
        <f>IF(D8056=' Pivot Tables'!$A$4,1,0)</f>
        <v>0</v>
      </c>
      <c r="X8056">
        <f>IF(AND(LEFT(D8056,4)+1=LEFT(' Pivot Tables'!$A$4,4)+0,RIGHT(LEFT(D8056,7),2)=RIGHT(LEFT(' Pivot Tables'!$A$4,7),2)),1,0)</f>
        <v>0</v>
      </c>
      <c r="Y8056" s="6">
        <f>1/COUNTIF(Таблица1[Order ID],Таблица1[[#This Row],[Order ID]])</f>
        <v>0.5</v>
      </c>
      <c r="Z8056" s="9">
        <f>1/COUNTIFS(Таблица1[Customer Name],Таблица1[[#This Row],[Customer Name]],Таблица1[Order-Year-Month],Таблица1[[#This Row],[Order-Year-Month]])</f>
        <v>0.5</v>
      </c>
    </row>
    <row r="8057" spans="1:26" x14ac:dyDescent="0.2">
      <c r="A8057" s="6">
        <v>3513</v>
      </c>
      <c r="B8057" s="7">
        <v>25028</v>
      </c>
      <c r="C8057" s="8">
        <f>DATE(2012,12,31)-726</f>
        <v>40548</v>
      </c>
      <c r="D8057" s="8" t="str">
        <f t="shared" si="154"/>
        <v>2011-01 (январь 2011)</v>
      </c>
      <c r="E8057" s="9" t="s">
        <v>78</v>
      </c>
      <c r="F8057" s="7">
        <v>14</v>
      </c>
      <c r="G8057" s="7">
        <v>552.08000000000004</v>
      </c>
      <c r="H8057" s="7">
        <v>0</v>
      </c>
      <c r="I8057" s="9" t="s">
        <v>56</v>
      </c>
      <c r="J8057" s="10">
        <v>203.24</v>
      </c>
      <c r="K8057" s="11">
        <v>37.94</v>
      </c>
      <c r="L8057" s="11">
        <v>5.08</v>
      </c>
      <c r="M8057" s="9" t="s">
        <v>2116</v>
      </c>
      <c r="N8057" s="6" t="s">
        <v>2073</v>
      </c>
      <c r="O8057" s="6" t="s">
        <v>704</v>
      </c>
      <c r="P8057" s="9" t="s">
        <v>60</v>
      </c>
      <c r="Q8057" s="9" t="s">
        <v>26</v>
      </c>
      <c r="R8057" s="9" t="s">
        <v>61</v>
      </c>
      <c r="S8057" s="7" t="s">
        <v>684</v>
      </c>
      <c r="T8057" s="9" t="s">
        <v>68</v>
      </c>
      <c r="U8057" s="7">
        <v>0.38</v>
      </c>
      <c r="V8057" s="12">
        <f>C8057+2</f>
        <v>40550</v>
      </c>
      <c r="W8057">
        <f>IF(D8057=' Pivot Tables'!$A$4,1,0)</f>
        <v>0</v>
      </c>
      <c r="X8057">
        <f>IF(AND(LEFT(D8057,4)+1=LEFT(' Pivot Tables'!$A$4,4)+0,RIGHT(LEFT(D8057,7),2)=RIGHT(LEFT(' Pivot Tables'!$A$4,7),2)),1,0)</f>
        <v>0</v>
      </c>
      <c r="Y8057" s="6">
        <f>1/COUNTIF(Таблица1[Order ID],Таблица1[[#This Row],[Order ID]])</f>
        <v>0.5</v>
      </c>
      <c r="Z8057" s="9">
        <f>1/COUNTIFS(Таблица1[Customer Name],Таблица1[[#This Row],[Customer Name]],Таблица1[Order-Year-Month],Таблица1[[#This Row],[Order-Year-Month]])</f>
        <v>0.5</v>
      </c>
    </row>
    <row r="8058" spans="1:26" x14ac:dyDescent="0.2">
      <c r="A8058" s="6">
        <v>3522</v>
      </c>
      <c r="B8058" s="7">
        <v>25063</v>
      </c>
      <c r="C8058" s="8">
        <f>DATE(2012,12,31)-1281</f>
        <v>39993</v>
      </c>
      <c r="D8058" s="8" t="str">
        <f t="shared" si="154"/>
        <v>2009-06 (июнь 2009)</v>
      </c>
      <c r="E8058" s="9" t="s">
        <v>45</v>
      </c>
      <c r="F8058" s="7">
        <v>24</v>
      </c>
      <c r="G8058" s="7">
        <v>711.875</v>
      </c>
      <c r="H8058" s="7">
        <v>0.04</v>
      </c>
      <c r="I8058" s="9" t="s">
        <v>22</v>
      </c>
      <c r="J8058" s="10">
        <v>217.33199999999999</v>
      </c>
      <c r="K8058" s="11">
        <v>35.99</v>
      </c>
      <c r="L8058" s="11">
        <v>3.3</v>
      </c>
      <c r="M8058" s="9" t="s">
        <v>798</v>
      </c>
      <c r="N8058" s="6" t="s">
        <v>2073</v>
      </c>
      <c r="O8058" s="6" t="s">
        <v>704</v>
      </c>
      <c r="P8058" s="9" t="s">
        <v>60</v>
      </c>
      <c r="Q8058" s="9" t="s">
        <v>42</v>
      </c>
      <c r="R8058" s="9" t="s">
        <v>43</v>
      </c>
      <c r="S8058" s="7" t="s">
        <v>417</v>
      </c>
      <c r="T8058" s="9" t="s">
        <v>52</v>
      </c>
      <c r="U8058" s="7">
        <v>0.39</v>
      </c>
      <c r="V8058" s="12">
        <f>C8058+0</f>
        <v>39993</v>
      </c>
      <c r="W8058">
        <f>IF(D8058=' Pivot Tables'!$A$4,1,0)</f>
        <v>0</v>
      </c>
      <c r="X8058">
        <f>IF(AND(LEFT(D8058,4)+1=LEFT(' Pivot Tables'!$A$4,4)+0,RIGHT(LEFT(D8058,7),2)=RIGHT(LEFT(' Pivot Tables'!$A$4,7),2)),1,0)</f>
        <v>0</v>
      </c>
      <c r="Y8058" s="6">
        <f>1/COUNTIF(Таблица1[Order ID],Таблица1[[#This Row],[Order ID]])</f>
        <v>1</v>
      </c>
      <c r="Z8058" s="9">
        <f>1/COUNTIFS(Таблица1[Customer Name],Таблица1[[#This Row],[Customer Name]],Таблица1[Order-Year-Month],Таблица1[[#This Row],[Order-Year-Month]])</f>
        <v>1</v>
      </c>
    </row>
    <row r="8059" spans="1:26" x14ac:dyDescent="0.2">
      <c r="A8059" s="6">
        <v>3562</v>
      </c>
      <c r="B8059" s="7">
        <v>25412</v>
      </c>
      <c r="C8059" s="8">
        <f>DATE(2012,12,31)-574</f>
        <v>40700</v>
      </c>
      <c r="D8059" s="8" t="str">
        <f t="shared" si="154"/>
        <v>2011-06 (июнь 2011)</v>
      </c>
      <c r="E8059" s="9" t="s">
        <v>45</v>
      </c>
      <c r="F8059" s="7">
        <v>18</v>
      </c>
      <c r="G8059" s="7">
        <v>129.77000000000001</v>
      </c>
      <c r="H8059" s="7">
        <v>0.01</v>
      </c>
      <c r="I8059" s="9" t="s">
        <v>22</v>
      </c>
      <c r="J8059" s="10">
        <v>-99.42</v>
      </c>
      <c r="K8059" s="11">
        <v>6.48</v>
      </c>
      <c r="L8059" s="11">
        <v>9.68</v>
      </c>
      <c r="M8059" s="9" t="s">
        <v>2117</v>
      </c>
      <c r="N8059" s="6" t="s">
        <v>2073</v>
      </c>
      <c r="O8059" s="6" t="s">
        <v>704</v>
      </c>
      <c r="P8059" s="9" t="s">
        <v>41</v>
      </c>
      <c r="Q8059" s="9" t="s">
        <v>26</v>
      </c>
      <c r="R8059" s="9" t="s">
        <v>61</v>
      </c>
      <c r="S8059" s="7" t="s">
        <v>766</v>
      </c>
      <c r="T8059" s="9" t="s">
        <v>39</v>
      </c>
      <c r="U8059" s="7">
        <v>0.36</v>
      </c>
      <c r="V8059" s="12">
        <f>C8059+2</f>
        <v>40702</v>
      </c>
      <c r="W8059">
        <f>IF(D8059=' Pivot Tables'!$A$4,1,0)</f>
        <v>0</v>
      </c>
      <c r="X8059">
        <f>IF(AND(LEFT(D8059,4)+1=LEFT(' Pivot Tables'!$A$4,4)+0,RIGHT(LEFT(D8059,7),2)=RIGHT(LEFT(' Pivot Tables'!$A$4,7),2)),1,0)</f>
        <v>0</v>
      </c>
      <c r="Y8059" s="6">
        <f>1/COUNTIF(Таблица1[Order ID],Таблица1[[#This Row],[Order ID]])</f>
        <v>1</v>
      </c>
      <c r="Z8059" s="9">
        <f>1/COUNTIFS(Таблица1[Customer Name],Таблица1[[#This Row],[Customer Name]],Таблица1[Order-Year-Month],Таблица1[[#This Row],[Order-Year-Month]])</f>
        <v>1</v>
      </c>
    </row>
    <row r="8060" spans="1:26" x14ac:dyDescent="0.2">
      <c r="A8060" s="6">
        <v>3723</v>
      </c>
      <c r="B8060" s="7">
        <v>26627</v>
      </c>
      <c r="C8060" s="8">
        <f>DATE(2012,12,31)-1158</f>
        <v>40116</v>
      </c>
      <c r="D8060" s="8" t="str">
        <f t="shared" si="154"/>
        <v>2009-10 (октябрь 2009)</v>
      </c>
      <c r="E8060" s="9" t="s">
        <v>63</v>
      </c>
      <c r="F8060" s="7">
        <v>25</v>
      </c>
      <c r="G8060" s="7">
        <v>38.369999999999997</v>
      </c>
      <c r="H8060" s="7">
        <v>0.1</v>
      </c>
      <c r="I8060" s="9" t="s">
        <v>22</v>
      </c>
      <c r="J8060" s="10">
        <v>-13.88</v>
      </c>
      <c r="K8060" s="11">
        <v>1.6</v>
      </c>
      <c r="L8060" s="11">
        <v>1.29</v>
      </c>
      <c r="M8060" s="9" t="s">
        <v>2113</v>
      </c>
      <c r="N8060" s="6" t="s">
        <v>2073</v>
      </c>
      <c r="O8060" s="6" t="s">
        <v>704</v>
      </c>
      <c r="P8060" s="9" t="s">
        <v>60</v>
      </c>
      <c r="Q8060" s="9" t="s">
        <v>26</v>
      </c>
      <c r="R8060" s="9" t="s">
        <v>95</v>
      </c>
      <c r="S8060" s="7" t="s">
        <v>1892</v>
      </c>
      <c r="T8060" s="9" t="s">
        <v>68</v>
      </c>
      <c r="U8060" s="7">
        <v>0.42</v>
      </c>
      <c r="V8060" s="12">
        <f>C8060+0</f>
        <v>40116</v>
      </c>
      <c r="W8060">
        <f>IF(D8060=' Pivot Tables'!$A$4,1,0)</f>
        <v>0</v>
      </c>
      <c r="X8060">
        <f>IF(AND(LEFT(D8060,4)+1=LEFT(' Pivot Tables'!$A$4,4)+0,RIGHT(LEFT(D8060,7),2)=RIGHT(LEFT(' Pivot Tables'!$A$4,7),2)),1,0)</f>
        <v>0</v>
      </c>
      <c r="Y8060" s="6">
        <f>1/COUNTIF(Таблица1[Order ID],Таблица1[[#This Row],[Order ID]])</f>
        <v>1</v>
      </c>
      <c r="Z8060" s="9">
        <f>1/COUNTIFS(Таблица1[Customer Name],Таблица1[[#This Row],[Customer Name]],Таблица1[Order-Year-Month],Таблица1[[#This Row],[Order-Year-Month]])</f>
        <v>1</v>
      </c>
    </row>
    <row r="8061" spans="1:26" x14ac:dyDescent="0.2">
      <c r="A8061" s="6">
        <v>3773</v>
      </c>
      <c r="B8061" s="7">
        <v>26947</v>
      </c>
      <c r="C8061" s="8">
        <f>DATE(2012,12,31)-941</f>
        <v>40333</v>
      </c>
      <c r="D8061" s="8" t="str">
        <f t="shared" si="154"/>
        <v>2010-06 (июнь 2010)</v>
      </c>
      <c r="E8061" s="9" t="s">
        <v>30</v>
      </c>
      <c r="F8061" s="7">
        <v>4</v>
      </c>
      <c r="G8061" s="7">
        <v>467.15</v>
      </c>
      <c r="H8061" s="7">
        <v>0.01</v>
      </c>
      <c r="I8061" s="9" t="s">
        <v>31</v>
      </c>
      <c r="J8061" s="10">
        <v>-212.34</v>
      </c>
      <c r="K8061" s="11">
        <v>100.8</v>
      </c>
      <c r="L8061" s="11">
        <v>60</v>
      </c>
      <c r="M8061" s="9" t="s">
        <v>2112</v>
      </c>
      <c r="N8061" s="6" t="s">
        <v>2073</v>
      </c>
      <c r="O8061" s="6" t="s">
        <v>704</v>
      </c>
      <c r="P8061" s="9" t="s">
        <v>41</v>
      </c>
      <c r="Q8061" s="9" t="s">
        <v>49</v>
      </c>
      <c r="R8061" s="9" t="s">
        <v>83</v>
      </c>
      <c r="S8061" s="7" t="s">
        <v>476</v>
      </c>
      <c r="T8061" s="9" t="s">
        <v>36</v>
      </c>
      <c r="U8061" s="7">
        <v>0.59</v>
      </c>
      <c r="V8061" s="12">
        <f>C8061+3</f>
        <v>40336</v>
      </c>
      <c r="W8061">
        <f>IF(D8061=' Pivot Tables'!$A$4,1,0)</f>
        <v>0</v>
      </c>
      <c r="X8061">
        <f>IF(AND(LEFT(D8061,4)+1=LEFT(' Pivot Tables'!$A$4,4)+0,RIGHT(LEFT(D8061,7),2)=RIGHT(LEFT(' Pivot Tables'!$A$4,7),2)),1,0)</f>
        <v>0</v>
      </c>
      <c r="Y8061" s="6">
        <f>1/COUNTIF(Таблица1[Order ID],Таблица1[[#This Row],[Order ID]])</f>
        <v>1</v>
      </c>
      <c r="Z8061" s="9">
        <f>1/COUNTIFS(Таблица1[Customer Name],Таблица1[[#This Row],[Customer Name]],Таблица1[Order-Year-Month],Таблица1[[#This Row],[Order-Year-Month]])</f>
        <v>1</v>
      </c>
    </row>
    <row r="8062" spans="1:26" x14ac:dyDescent="0.2">
      <c r="A8062" s="6">
        <v>3810</v>
      </c>
      <c r="B8062" s="7">
        <v>27138</v>
      </c>
      <c r="C8062" s="8">
        <f>DATE(2012,12,31)-215</f>
        <v>41059</v>
      </c>
      <c r="D8062" s="8" t="str">
        <f t="shared" si="154"/>
        <v>2012-05 (май 2012)</v>
      </c>
      <c r="E8062" s="9" t="s">
        <v>30</v>
      </c>
      <c r="F8062" s="7">
        <v>31</v>
      </c>
      <c r="G8062" s="7">
        <v>2976.21</v>
      </c>
      <c r="H8062" s="7">
        <v>7.0000000000000007E-2</v>
      </c>
      <c r="I8062" s="9" t="s">
        <v>31</v>
      </c>
      <c r="J8062" s="10">
        <v>-277.63</v>
      </c>
      <c r="K8062" s="11">
        <v>100.98</v>
      </c>
      <c r="L8062" s="11">
        <v>35.840000000000003</v>
      </c>
      <c r="M8062" s="9" t="s">
        <v>1187</v>
      </c>
      <c r="N8062" s="6" t="s">
        <v>2073</v>
      </c>
      <c r="O8062" s="6" t="s">
        <v>704</v>
      </c>
      <c r="P8062" s="9" t="s">
        <v>60</v>
      </c>
      <c r="Q8062" s="9" t="s">
        <v>49</v>
      </c>
      <c r="R8062" s="9" t="s">
        <v>80</v>
      </c>
      <c r="S8062" s="7" t="s">
        <v>705</v>
      </c>
      <c r="T8062" s="9" t="s">
        <v>82</v>
      </c>
      <c r="U8062" s="7">
        <v>0.62</v>
      </c>
      <c r="V8062" s="12">
        <f>C8062+2</f>
        <v>41061</v>
      </c>
      <c r="W8062">
        <f>IF(D8062=' Pivot Tables'!$A$4,1,0)</f>
        <v>0</v>
      </c>
      <c r="X8062">
        <f>IF(AND(LEFT(D8062,4)+1=LEFT(' Pivot Tables'!$A$4,4)+0,RIGHT(LEFT(D8062,7),2)=RIGHT(LEFT(' Pivot Tables'!$A$4,7),2)),1,0)</f>
        <v>0</v>
      </c>
      <c r="Y8062" s="6">
        <f>1/COUNTIF(Таблица1[Order ID],Таблица1[[#This Row],[Order ID]])</f>
        <v>0.5</v>
      </c>
      <c r="Z8062" s="9">
        <f>1/COUNTIFS(Таблица1[Customer Name],Таблица1[[#This Row],[Customer Name]],Таблица1[Order-Year-Month],Таблица1[[#This Row],[Order-Year-Month]])</f>
        <v>0.5</v>
      </c>
    </row>
    <row r="8063" spans="1:26" x14ac:dyDescent="0.2">
      <c r="A8063" s="6">
        <v>3811</v>
      </c>
      <c r="B8063" s="7">
        <v>27138</v>
      </c>
      <c r="C8063" s="8">
        <f>DATE(2012,12,31)-215</f>
        <v>41059</v>
      </c>
      <c r="D8063" s="8" t="str">
        <f t="shared" si="154"/>
        <v>2012-05 (май 2012)</v>
      </c>
      <c r="E8063" s="9" t="s">
        <v>30</v>
      </c>
      <c r="F8063" s="7">
        <v>37</v>
      </c>
      <c r="G8063" s="7">
        <v>1894.1654999999998</v>
      </c>
      <c r="H8063" s="7">
        <v>0.1</v>
      </c>
      <c r="I8063" s="9" t="s">
        <v>22</v>
      </c>
      <c r="J8063" s="10">
        <v>134.72999999999999</v>
      </c>
      <c r="K8063" s="11">
        <v>65.989999999999995</v>
      </c>
      <c r="L8063" s="11">
        <v>8.99</v>
      </c>
      <c r="M8063" s="9" t="s">
        <v>1187</v>
      </c>
      <c r="N8063" s="6" t="s">
        <v>2073</v>
      </c>
      <c r="O8063" s="6" t="s">
        <v>704</v>
      </c>
      <c r="P8063" s="9" t="s">
        <v>60</v>
      </c>
      <c r="Q8063" s="9" t="s">
        <v>42</v>
      </c>
      <c r="R8063" s="9" t="s">
        <v>43</v>
      </c>
      <c r="S8063" s="7" t="s">
        <v>596</v>
      </c>
      <c r="T8063" s="9" t="s">
        <v>39</v>
      </c>
      <c r="U8063" s="7">
        <v>0.57999999999999996</v>
      </c>
      <c r="V8063" s="12">
        <f>C8063+2</f>
        <v>41061</v>
      </c>
      <c r="W8063">
        <f>IF(D8063=' Pivot Tables'!$A$4,1,0)</f>
        <v>0</v>
      </c>
      <c r="X8063">
        <f>IF(AND(LEFT(D8063,4)+1=LEFT(' Pivot Tables'!$A$4,4)+0,RIGHT(LEFT(D8063,7),2)=RIGHT(LEFT(' Pivot Tables'!$A$4,7),2)),1,0)</f>
        <v>0</v>
      </c>
      <c r="Y8063" s="6">
        <f>1/COUNTIF(Таблица1[Order ID],Таблица1[[#This Row],[Order ID]])</f>
        <v>0.5</v>
      </c>
      <c r="Z8063" s="9">
        <f>1/COUNTIFS(Таблица1[Customer Name],Таблица1[[#This Row],[Customer Name]],Таблица1[Order-Year-Month],Таблица1[[#This Row],[Order-Year-Month]])</f>
        <v>0.5</v>
      </c>
    </row>
    <row r="8064" spans="1:26" x14ac:dyDescent="0.2">
      <c r="A8064" s="6">
        <v>3919</v>
      </c>
      <c r="B8064" s="7">
        <v>27939</v>
      </c>
      <c r="C8064" s="8">
        <f>DATE(2012,12,31)-265</f>
        <v>41009</v>
      </c>
      <c r="D8064" s="8" t="str">
        <f t="shared" si="154"/>
        <v>2012-04 (апрель 2012)</v>
      </c>
      <c r="E8064" s="9" t="s">
        <v>63</v>
      </c>
      <c r="F8064" s="7">
        <v>8</v>
      </c>
      <c r="G8064" s="7">
        <v>60.17</v>
      </c>
      <c r="H8064" s="7">
        <v>0</v>
      </c>
      <c r="I8064" s="9" t="s">
        <v>22</v>
      </c>
      <c r="J8064" s="10">
        <v>-18.239999999999998</v>
      </c>
      <c r="K8064" s="11">
        <v>6.68</v>
      </c>
      <c r="L8064" s="11">
        <v>5.66</v>
      </c>
      <c r="M8064" s="9" t="s">
        <v>2112</v>
      </c>
      <c r="N8064" s="6" t="s">
        <v>2073</v>
      </c>
      <c r="O8064" s="6" t="s">
        <v>704</v>
      </c>
      <c r="P8064" s="9" t="s">
        <v>41</v>
      </c>
      <c r="Q8064" s="9" t="s">
        <v>26</v>
      </c>
      <c r="R8064" s="9" t="s">
        <v>61</v>
      </c>
      <c r="S8064" s="7" t="s">
        <v>860</v>
      </c>
      <c r="T8064" s="9" t="s">
        <v>39</v>
      </c>
      <c r="U8064" s="7">
        <v>0.37</v>
      </c>
      <c r="V8064" s="12">
        <f>C8064+2</f>
        <v>41011</v>
      </c>
      <c r="W8064">
        <f>IF(D8064=' Pivot Tables'!$A$4,1,0)</f>
        <v>0</v>
      </c>
      <c r="X8064">
        <f>IF(AND(LEFT(D8064,4)+1=LEFT(' Pivot Tables'!$A$4,4)+0,RIGHT(LEFT(D8064,7),2)=RIGHT(LEFT(' Pivot Tables'!$A$4,7),2)),1,0)</f>
        <v>0</v>
      </c>
      <c r="Y8064" s="6">
        <f>1/COUNTIF(Таблица1[Order ID],Таблица1[[#This Row],[Order ID]])</f>
        <v>1</v>
      </c>
      <c r="Z8064" s="9">
        <f>1/COUNTIFS(Таблица1[Customer Name],Таблица1[[#This Row],[Customer Name]],Таблица1[Order-Year-Month],Таблица1[[#This Row],[Order-Year-Month]])</f>
        <v>1</v>
      </c>
    </row>
    <row r="8065" spans="1:26" x14ac:dyDescent="0.2">
      <c r="A8065" s="6">
        <v>3999</v>
      </c>
      <c r="B8065" s="7">
        <v>28544</v>
      </c>
      <c r="C8065" s="8">
        <f>DATE(2012,12,31)-125</f>
        <v>41149</v>
      </c>
      <c r="D8065" s="8" t="str">
        <f t="shared" si="154"/>
        <v>2012-08 (август 2012)</v>
      </c>
      <c r="E8065" s="9" t="s">
        <v>78</v>
      </c>
      <c r="F8065" s="7">
        <v>24</v>
      </c>
      <c r="G8065" s="7">
        <v>68.5</v>
      </c>
      <c r="H8065" s="7">
        <v>7.0000000000000007E-2</v>
      </c>
      <c r="I8065" s="9" t="s">
        <v>22</v>
      </c>
      <c r="J8065" s="10">
        <v>2.6859999999999999</v>
      </c>
      <c r="K8065" s="11">
        <v>2.78</v>
      </c>
      <c r="L8065" s="11">
        <v>1.49</v>
      </c>
      <c r="M8065" s="9" t="s">
        <v>1145</v>
      </c>
      <c r="N8065" s="6" t="s">
        <v>2073</v>
      </c>
      <c r="O8065" s="6" t="s">
        <v>704</v>
      </c>
      <c r="P8065" s="9" t="s">
        <v>33</v>
      </c>
      <c r="Q8065" s="9" t="s">
        <v>26</v>
      </c>
      <c r="R8065" s="9" t="s">
        <v>37</v>
      </c>
      <c r="S8065" s="7" t="s">
        <v>1938</v>
      </c>
      <c r="T8065" s="9" t="s">
        <v>39</v>
      </c>
      <c r="U8065" s="7">
        <v>0.36</v>
      </c>
      <c r="V8065" s="12">
        <f>C8065+1</f>
        <v>41150</v>
      </c>
      <c r="W8065">
        <f>IF(D8065=' Pivot Tables'!$A$4,1,0)</f>
        <v>0</v>
      </c>
      <c r="X8065">
        <f>IF(AND(LEFT(D8065,4)+1=LEFT(' Pivot Tables'!$A$4,4)+0,RIGHT(LEFT(D8065,7),2)=RIGHT(LEFT(' Pivot Tables'!$A$4,7),2)),1,0)</f>
        <v>0</v>
      </c>
      <c r="Y8065" s="6">
        <f>1/COUNTIF(Таблица1[Order ID],Таблица1[[#This Row],[Order ID]])</f>
        <v>1</v>
      </c>
      <c r="Z8065" s="9">
        <f>1/COUNTIFS(Таблица1[Customer Name],Таблица1[[#This Row],[Customer Name]],Таблица1[Order-Year-Month],Таблица1[[#This Row],[Order-Year-Month]])</f>
        <v>1</v>
      </c>
    </row>
    <row r="8066" spans="1:26" x14ac:dyDescent="0.2">
      <c r="A8066" s="6">
        <v>4262</v>
      </c>
      <c r="B8066" s="7">
        <v>30343</v>
      </c>
      <c r="C8066" s="8">
        <f>DATE(2012,12,31)-224</f>
        <v>41050</v>
      </c>
      <c r="D8066" s="8" t="str">
        <f t="shared" si="154"/>
        <v>2012-05 (май 2012)</v>
      </c>
      <c r="E8066" s="9" t="s">
        <v>78</v>
      </c>
      <c r="F8066" s="7">
        <v>48</v>
      </c>
      <c r="G8066" s="7">
        <v>1556.42</v>
      </c>
      <c r="H8066" s="7">
        <v>0</v>
      </c>
      <c r="I8066" s="9" t="s">
        <v>22</v>
      </c>
      <c r="J8066" s="10">
        <v>-60.98</v>
      </c>
      <c r="K8066" s="11">
        <v>30.42</v>
      </c>
      <c r="L8066" s="11">
        <v>8.65</v>
      </c>
      <c r="M8066" s="9" t="s">
        <v>2114</v>
      </c>
      <c r="N8066" s="6" t="s">
        <v>2073</v>
      </c>
      <c r="O8066" s="6" t="s">
        <v>704</v>
      </c>
      <c r="P8066" s="9" t="s">
        <v>41</v>
      </c>
      <c r="Q8066" s="9" t="s">
        <v>42</v>
      </c>
      <c r="R8066" s="9" t="s">
        <v>70</v>
      </c>
      <c r="S8066" s="7" t="s">
        <v>374</v>
      </c>
      <c r="T8066" s="9" t="s">
        <v>39</v>
      </c>
      <c r="U8066" s="7">
        <v>0.74</v>
      </c>
      <c r="V8066" s="12">
        <f>C8066+1</f>
        <v>41051</v>
      </c>
      <c r="W8066">
        <f>IF(D8066=' Pivot Tables'!$A$4,1,0)</f>
        <v>0</v>
      </c>
      <c r="X8066">
        <f>IF(AND(LEFT(D8066,4)+1=LEFT(' Pivot Tables'!$A$4,4)+0,RIGHT(LEFT(D8066,7),2)=RIGHT(LEFT(' Pivot Tables'!$A$4,7),2)),1,0)</f>
        <v>0</v>
      </c>
      <c r="Y8066" s="6">
        <f>1/COUNTIF(Таблица1[Order ID],Таблица1[[#This Row],[Order ID]])</f>
        <v>0.33333333333333331</v>
      </c>
      <c r="Z8066" s="9">
        <f>1/COUNTIFS(Таблица1[Customer Name],Таблица1[[#This Row],[Customer Name]],Таблица1[Order-Year-Month],Таблица1[[#This Row],[Order-Year-Month]])</f>
        <v>0.33333333333333331</v>
      </c>
    </row>
    <row r="8067" spans="1:26" x14ac:dyDescent="0.2">
      <c r="A8067" s="6">
        <v>4263</v>
      </c>
      <c r="B8067" s="7">
        <v>30343</v>
      </c>
      <c r="C8067" s="8">
        <f>DATE(2012,12,31)-224</f>
        <v>41050</v>
      </c>
      <c r="D8067" s="8" t="str">
        <f t="shared" ref="D8067:D8130" si="155">TEXT(C8067,"гггг-ММ (ММММ гггг)")</f>
        <v>2012-05 (май 2012)</v>
      </c>
      <c r="E8067" s="9" t="s">
        <v>78</v>
      </c>
      <c r="F8067" s="7">
        <v>28</v>
      </c>
      <c r="G8067" s="7">
        <v>130.28</v>
      </c>
      <c r="H8067" s="7">
        <v>0.08</v>
      </c>
      <c r="I8067" s="9" t="s">
        <v>22</v>
      </c>
      <c r="J8067" s="10">
        <v>56.97</v>
      </c>
      <c r="K8067" s="11">
        <v>4.91</v>
      </c>
      <c r="L8067" s="11">
        <v>0.5</v>
      </c>
      <c r="M8067" s="9" t="s">
        <v>2114</v>
      </c>
      <c r="N8067" s="6" t="s">
        <v>2073</v>
      </c>
      <c r="O8067" s="6" t="s">
        <v>704</v>
      </c>
      <c r="P8067" s="9" t="s">
        <v>41</v>
      </c>
      <c r="Q8067" s="9" t="s">
        <v>26</v>
      </c>
      <c r="R8067" s="9" t="s">
        <v>88</v>
      </c>
      <c r="S8067" s="7" t="s">
        <v>468</v>
      </c>
      <c r="T8067" s="9" t="s">
        <v>39</v>
      </c>
      <c r="U8067" s="7">
        <v>0.36</v>
      </c>
      <c r="V8067" s="12">
        <f>C8067+2</f>
        <v>41052</v>
      </c>
      <c r="W8067">
        <f>IF(D8067=' Pivot Tables'!$A$4,1,0)</f>
        <v>0</v>
      </c>
      <c r="X8067">
        <f>IF(AND(LEFT(D8067,4)+1=LEFT(' Pivot Tables'!$A$4,4)+0,RIGHT(LEFT(D8067,7),2)=RIGHT(LEFT(' Pivot Tables'!$A$4,7),2)),1,0)</f>
        <v>0</v>
      </c>
      <c r="Y8067" s="6">
        <f>1/COUNTIF(Таблица1[Order ID],Таблица1[[#This Row],[Order ID]])</f>
        <v>0.33333333333333331</v>
      </c>
      <c r="Z8067" s="9">
        <f>1/COUNTIFS(Таблица1[Customer Name],Таблица1[[#This Row],[Customer Name]],Таблица1[Order-Year-Month],Таблица1[[#This Row],[Order-Year-Month]])</f>
        <v>0.33333333333333331</v>
      </c>
    </row>
    <row r="8068" spans="1:26" x14ac:dyDescent="0.2">
      <c r="A8068" s="6">
        <v>4272</v>
      </c>
      <c r="B8068" s="7">
        <v>30403</v>
      </c>
      <c r="C8068" s="8">
        <f>DATE(2012,12,31)-174</f>
        <v>41100</v>
      </c>
      <c r="D8068" s="8" t="str">
        <f t="shared" si="155"/>
        <v>2012-07 (июль 2012)</v>
      </c>
      <c r="E8068" s="9" t="s">
        <v>30</v>
      </c>
      <c r="F8068" s="7">
        <v>41</v>
      </c>
      <c r="G8068" s="7">
        <v>305.01</v>
      </c>
      <c r="H8068" s="7">
        <v>0.05</v>
      </c>
      <c r="I8068" s="9" t="s">
        <v>56</v>
      </c>
      <c r="J8068" s="10">
        <v>-160.816</v>
      </c>
      <c r="K8068" s="11">
        <v>7.3</v>
      </c>
      <c r="L8068" s="11">
        <v>7.72</v>
      </c>
      <c r="M8068" s="9" t="s">
        <v>798</v>
      </c>
      <c r="N8068" s="6" t="s">
        <v>2073</v>
      </c>
      <c r="O8068" s="6" t="s">
        <v>704</v>
      </c>
      <c r="P8068" s="9" t="s">
        <v>60</v>
      </c>
      <c r="Q8068" s="9" t="s">
        <v>26</v>
      </c>
      <c r="R8068" s="9" t="s">
        <v>37</v>
      </c>
      <c r="S8068" s="7" t="s">
        <v>54</v>
      </c>
      <c r="T8068" s="9" t="s">
        <v>39</v>
      </c>
      <c r="U8068" s="7">
        <v>0.38</v>
      </c>
      <c r="V8068" s="12">
        <f>C8068+2</f>
        <v>41102</v>
      </c>
      <c r="W8068">
        <f>IF(D8068=' Pivot Tables'!$A$4,1,0)</f>
        <v>0</v>
      </c>
      <c r="X8068">
        <f>IF(AND(LEFT(D8068,4)+1=LEFT(' Pivot Tables'!$A$4,4)+0,RIGHT(LEFT(D8068,7),2)=RIGHT(LEFT(' Pivot Tables'!$A$4,7),2)),1,0)</f>
        <v>0</v>
      </c>
      <c r="Y8068" s="6">
        <f>1/COUNTIF(Таблица1[Order ID],Таблица1[[#This Row],[Order ID]])</f>
        <v>0.5</v>
      </c>
      <c r="Z8068" s="9">
        <f>1/COUNTIFS(Таблица1[Customer Name],Таблица1[[#This Row],[Customer Name]],Таблица1[Order-Year-Month],Таблица1[[#This Row],[Order-Year-Month]])</f>
        <v>0.33333333333333331</v>
      </c>
    </row>
    <row r="8069" spans="1:26" x14ac:dyDescent="0.2">
      <c r="A8069" s="6">
        <v>4273</v>
      </c>
      <c r="B8069" s="7">
        <v>30403</v>
      </c>
      <c r="C8069" s="8">
        <f>DATE(2012,12,31)-174</f>
        <v>41100</v>
      </c>
      <c r="D8069" s="8" t="str">
        <f t="shared" si="155"/>
        <v>2012-07 (июль 2012)</v>
      </c>
      <c r="E8069" s="9" t="s">
        <v>30</v>
      </c>
      <c r="F8069" s="7">
        <v>24</v>
      </c>
      <c r="G8069" s="7">
        <v>3583.52</v>
      </c>
      <c r="H8069" s="7">
        <v>0.09</v>
      </c>
      <c r="I8069" s="9" t="s">
        <v>22</v>
      </c>
      <c r="J8069" s="10">
        <v>221.71</v>
      </c>
      <c r="K8069" s="11">
        <v>161.55000000000001</v>
      </c>
      <c r="L8069" s="11">
        <v>19.989999999999998</v>
      </c>
      <c r="M8069" s="9" t="s">
        <v>798</v>
      </c>
      <c r="N8069" s="6" t="s">
        <v>2073</v>
      </c>
      <c r="O8069" s="6" t="s">
        <v>704</v>
      </c>
      <c r="P8069" s="9" t="s">
        <v>60</v>
      </c>
      <c r="Q8069" s="9" t="s">
        <v>26</v>
      </c>
      <c r="R8069" s="9" t="s">
        <v>27</v>
      </c>
      <c r="S8069" s="7" t="s">
        <v>685</v>
      </c>
      <c r="T8069" s="9" t="s">
        <v>39</v>
      </c>
      <c r="U8069" s="7">
        <v>0.66</v>
      </c>
      <c r="V8069" s="12">
        <f>C8069+1</f>
        <v>41101</v>
      </c>
      <c r="W8069">
        <f>IF(D8069=' Pivot Tables'!$A$4,1,0)</f>
        <v>0</v>
      </c>
      <c r="X8069">
        <f>IF(AND(LEFT(D8069,4)+1=LEFT(' Pivot Tables'!$A$4,4)+0,RIGHT(LEFT(D8069,7),2)=RIGHT(LEFT(' Pivot Tables'!$A$4,7),2)),1,0)</f>
        <v>0</v>
      </c>
      <c r="Y8069" s="6">
        <f>1/COUNTIF(Таблица1[Order ID],Таблица1[[#This Row],[Order ID]])</f>
        <v>0.5</v>
      </c>
      <c r="Z8069" s="9">
        <f>1/COUNTIFS(Таблица1[Customer Name],Таблица1[[#This Row],[Customer Name]],Таблица1[Order-Year-Month],Таблица1[[#This Row],[Order-Year-Month]])</f>
        <v>0.33333333333333331</v>
      </c>
    </row>
    <row r="8070" spans="1:26" x14ac:dyDescent="0.2">
      <c r="A8070" s="6">
        <v>4466</v>
      </c>
      <c r="B8070" s="7">
        <v>31844</v>
      </c>
      <c r="C8070" s="8">
        <f>DATE(2012,12,31)-548</f>
        <v>40726</v>
      </c>
      <c r="D8070" s="8" t="str">
        <f t="shared" si="155"/>
        <v>2011-07 (июль 2011)</v>
      </c>
      <c r="E8070" s="9" t="s">
        <v>45</v>
      </c>
      <c r="F8070" s="7">
        <v>14</v>
      </c>
      <c r="G8070" s="7">
        <v>2085.9299999999998</v>
      </c>
      <c r="H8070" s="7">
        <v>0.09</v>
      </c>
      <c r="I8070" s="9" t="s">
        <v>31</v>
      </c>
      <c r="J8070" s="10">
        <v>-517.73</v>
      </c>
      <c r="K8070" s="11">
        <v>150.97999999999999</v>
      </c>
      <c r="L8070" s="11">
        <v>66.27</v>
      </c>
      <c r="M8070" s="9" t="s">
        <v>1180</v>
      </c>
      <c r="N8070" s="6" t="s">
        <v>2073</v>
      </c>
      <c r="O8070" s="6" t="s">
        <v>704</v>
      </c>
      <c r="P8070" s="9" t="s">
        <v>25</v>
      </c>
      <c r="Q8070" s="9" t="s">
        <v>49</v>
      </c>
      <c r="R8070" s="9" t="s">
        <v>80</v>
      </c>
      <c r="S8070" s="7" t="s">
        <v>325</v>
      </c>
      <c r="T8070" s="9" t="s">
        <v>82</v>
      </c>
      <c r="U8070" s="7">
        <v>0.65</v>
      </c>
      <c r="V8070" s="12">
        <f>C8070+0</f>
        <v>40726</v>
      </c>
      <c r="W8070">
        <f>IF(D8070=' Pivot Tables'!$A$4,1,0)</f>
        <v>0</v>
      </c>
      <c r="X8070">
        <f>IF(AND(LEFT(D8070,4)+1=LEFT(' Pivot Tables'!$A$4,4)+0,RIGHT(LEFT(D8070,7),2)=RIGHT(LEFT(' Pivot Tables'!$A$4,7),2)),1,0)</f>
        <v>0</v>
      </c>
      <c r="Y8070" s="6">
        <f>1/COUNTIF(Таблица1[Order ID],Таблица1[[#This Row],[Order ID]])</f>
        <v>1</v>
      </c>
      <c r="Z8070" s="9">
        <f>1/COUNTIFS(Таблица1[Customer Name],Таблица1[[#This Row],[Customer Name]],Таблица1[Order-Year-Month],Таблица1[[#This Row],[Order-Year-Month]])</f>
        <v>0.5</v>
      </c>
    </row>
    <row r="8071" spans="1:26" x14ac:dyDescent="0.2">
      <c r="A8071" s="6">
        <v>4558</v>
      </c>
      <c r="B8071" s="7">
        <v>32449</v>
      </c>
      <c r="C8071" s="8">
        <f>DATE(2012,12,31)-22</f>
        <v>41252</v>
      </c>
      <c r="D8071" s="8" t="str">
        <f t="shared" si="155"/>
        <v>2012-12 (декабрь 2012)</v>
      </c>
      <c r="E8071" s="9" t="s">
        <v>78</v>
      </c>
      <c r="F8071" s="7">
        <v>39</v>
      </c>
      <c r="G8071" s="7">
        <v>277.58</v>
      </c>
      <c r="H8071" s="7">
        <v>0.08</v>
      </c>
      <c r="I8071" s="9" t="s">
        <v>22</v>
      </c>
      <c r="J8071" s="10">
        <v>-276.88</v>
      </c>
      <c r="K8071" s="11">
        <v>7.28</v>
      </c>
      <c r="L8071" s="11">
        <v>11.15</v>
      </c>
      <c r="M8071" s="9" t="s">
        <v>2115</v>
      </c>
      <c r="N8071" s="6" t="s">
        <v>2073</v>
      </c>
      <c r="O8071" s="6" t="s">
        <v>704</v>
      </c>
      <c r="P8071" s="9" t="s">
        <v>41</v>
      </c>
      <c r="Q8071" s="9" t="s">
        <v>26</v>
      </c>
      <c r="R8071" s="9" t="s">
        <v>61</v>
      </c>
      <c r="S8071" s="7" t="s">
        <v>666</v>
      </c>
      <c r="T8071" s="9" t="s">
        <v>39</v>
      </c>
      <c r="U8071" s="7">
        <v>0.37</v>
      </c>
      <c r="V8071" s="12">
        <f>C8071+1</f>
        <v>41253</v>
      </c>
      <c r="W8071">
        <f>IF(D8071=' Pivot Tables'!$A$4,1,0)</f>
        <v>0</v>
      </c>
      <c r="X8071">
        <f>IF(AND(LEFT(D8071,4)+1=LEFT(' Pivot Tables'!$A$4,4)+0,RIGHT(LEFT(D8071,7),2)=RIGHT(LEFT(' Pivot Tables'!$A$4,7),2)),1,0)</f>
        <v>0</v>
      </c>
      <c r="Y8071" s="6">
        <f>1/COUNTIF(Таблица1[Order ID],Таблица1[[#This Row],[Order ID]])</f>
        <v>0.33333333333333331</v>
      </c>
      <c r="Z8071" s="9">
        <f>1/COUNTIFS(Таблица1[Customer Name],Таблица1[[#This Row],[Customer Name]],Таблица1[Order-Year-Month],Таблица1[[#This Row],[Order-Year-Month]])</f>
        <v>0.33333333333333331</v>
      </c>
    </row>
    <row r="8072" spans="1:26" x14ac:dyDescent="0.2">
      <c r="A8072" s="6">
        <v>4559</v>
      </c>
      <c r="B8072" s="7">
        <v>32449</v>
      </c>
      <c r="C8072" s="8">
        <f>DATE(2012,12,31)-22</f>
        <v>41252</v>
      </c>
      <c r="D8072" s="8" t="str">
        <f t="shared" si="155"/>
        <v>2012-12 (декабрь 2012)</v>
      </c>
      <c r="E8072" s="9" t="s">
        <v>78</v>
      </c>
      <c r="F8072" s="7">
        <v>12</v>
      </c>
      <c r="G8072" s="7">
        <v>4887.1400000000003</v>
      </c>
      <c r="H8072" s="7">
        <v>0.08</v>
      </c>
      <c r="I8072" s="9" t="s">
        <v>31</v>
      </c>
      <c r="J8072" s="10">
        <v>-694.33</v>
      </c>
      <c r="K8072" s="11">
        <v>424.21</v>
      </c>
      <c r="L8072" s="11">
        <v>110.2</v>
      </c>
      <c r="M8072" s="9" t="s">
        <v>2115</v>
      </c>
      <c r="N8072" s="6" t="s">
        <v>2073</v>
      </c>
      <c r="O8072" s="6" t="s">
        <v>704</v>
      </c>
      <c r="P8072" s="9" t="s">
        <v>41</v>
      </c>
      <c r="Q8072" s="9" t="s">
        <v>49</v>
      </c>
      <c r="R8072" s="9" t="s">
        <v>83</v>
      </c>
      <c r="S8072" s="7" t="s">
        <v>839</v>
      </c>
      <c r="T8072" s="9" t="s">
        <v>82</v>
      </c>
      <c r="U8072" s="7">
        <v>0.67</v>
      </c>
      <c r="V8072" s="12">
        <f>C8072+1</f>
        <v>41253</v>
      </c>
      <c r="W8072">
        <f>IF(D8072=' Pivot Tables'!$A$4,1,0)</f>
        <v>0</v>
      </c>
      <c r="X8072">
        <f>IF(AND(LEFT(D8072,4)+1=LEFT(' Pivot Tables'!$A$4,4)+0,RIGHT(LEFT(D8072,7),2)=RIGHT(LEFT(' Pivot Tables'!$A$4,7),2)),1,0)</f>
        <v>0</v>
      </c>
      <c r="Y8072" s="6">
        <f>1/COUNTIF(Таблица1[Order ID],Таблица1[[#This Row],[Order ID]])</f>
        <v>0.33333333333333331</v>
      </c>
      <c r="Z8072" s="9">
        <f>1/COUNTIFS(Таблица1[Customer Name],Таблица1[[#This Row],[Customer Name]],Таблица1[Order-Year-Month],Таблица1[[#This Row],[Order-Year-Month]])</f>
        <v>0.33333333333333331</v>
      </c>
    </row>
    <row r="8073" spans="1:26" x14ac:dyDescent="0.2">
      <c r="A8073" s="6">
        <v>4560</v>
      </c>
      <c r="B8073" s="7">
        <v>32449</v>
      </c>
      <c r="C8073" s="8">
        <f>DATE(2012,12,31)-22</f>
        <v>41252</v>
      </c>
      <c r="D8073" s="8" t="str">
        <f t="shared" si="155"/>
        <v>2012-12 (декабрь 2012)</v>
      </c>
      <c r="E8073" s="9" t="s">
        <v>78</v>
      </c>
      <c r="F8073" s="7">
        <v>44</v>
      </c>
      <c r="G8073" s="7">
        <v>7195.2584999999999</v>
      </c>
      <c r="H8073" s="7">
        <v>0.09</v>
      </c>
      <c r="I8073" s="9" t="s">
        <v>56</v>
      </c>
      <c r="J8073" s="10">
        <v>1698.1559999999999</v>
      </c>
      <c r="K8073" s="11">
        <v>200.99</v>
      </c>
      <c r="L8073" s="11">
        <v>8.08</v>
      </c>
      <c r="M8073" s="9" t="s">
        <v>2115</v>
      </c>
      <c r="N8073" s="6" t="s">
        <v>2073</v>
      </c>
      <c r="O8073" s="6" t="s">
        <v>704</v>
      </c>
      <c r="P8073" s="9" t="s">
        <v>41</v>
      </c>
      <c r="Q8073" s="9" t="s">
        <v>42</v>
      </c>
      <c r="R8073" s="9" t="s">
        <v>43</v>
      </c>
      <c r="S8073" s="7" t="s">
        <v>208</v>
      </c>
      <c r="T8073" s="9" t="s">
        <v>39</v>
      </c>
      <c r="U8073" s="7">
        <v>0.59</v>
      </c>
      <c r="V8073" s="12">
        <f>C8073+1</f>
        <v>41253</v>
      </c>
      <c r="W8073">
        <f>IF(D8073=' Pivot Tables'!$A$4,1,0)</f>
        <v>0</v>
      </c>
      <c r="X8073">
        <f>IF(AND(LEFT(D8073,4)+1=LEFT(' Pivot Tables'!$A$4,4)+0,RIGHT(LEFT(D8073,7),2)=RIGHT(LEFT(' Pivot Tables'!$A$4,7),2)),1,0)</f>
        <v>0</v>
      </c>
      <c r="Y8073" s="6">
        <f>1/COUNTIF(Таблица1[Order ID],Таблица1[[#This Row],[Order ID]])</f>
        <v>0.33333333333333331</v>
      </c>
      <c r="Z8073" s="9">
        <f>1/COUNTIFS(Таблица1[Customer Name],Таблица1[[#This Row],[Customer Name]],Таблица1[Order-Year-Month],Таблица1[[#This Row],[Order-Year-Month]])</f>
        <v>0.33333333333333331</v>
      </c>
    </row>
    <row r="8074" spans="1:26" x14ac:dyDescent="0.2">
      <c r="A8074" s="6">
        <v>4600</v>
      </c>
      <c r="B8074" s="7">
        <v>32800</v>
      </c>
      <c r="C8074" s="8">
        <f>DATE(2012,12,31)-1440</f>
        <v>39834</v>
      </c>
      <c r="D8074" s="8" t="str">
        <f t="shared" si="155"/>
        <v>2009-01 (январь 2009)</v>
      </c>
      <c r="E8074" s="9" t="s">
        <v>45</v>
      </c>
      <c r="F8074" s="7">
        <v>33</v>
      </c>
      <c r="G8074" s="7">
        <v>11336.37</v>
      </c>
      <c r="H8074" s="7">
        <v>0.04</v>
      </c>
      <c r="I8074" s="9" t="s">
        <v>31</v>
      </c>
      <c r="J8074" s="10">
        <v>1161.75</v>
      </c>
      <c r="K8074" s="11">
        <v>355.98</v>
      </c>
      <c r="L8074" s="11">
        <v>58.92</v>
      </c>
      <c r="M8074" s="9" t="s">
        <v>2113</v>
      </c>
      <c r="N8074" s="6" t="s">
        <v>2073</v>
      </c>
      <c r="O8074" s="6" t="s">
        <v>704</v>
      </c>
      <c r="P8074" s="9" t="s">
        <v>60</v>
      </c>
      <c r="Q8074" s="9" t="s">
        <v>49</v>
      </c>
      <c r="R8074" s="9" t="s">
        <v>112</v>
      </c>
      <c r="S8074" s="7" t="s">
        <v>253</v>
      </c>
      <c r="T8074" s="9" t="s">
        <v>36</v>
      </c>
      <c r="U8074" s="7">
        <v>0.64</v>
      </c>
      <c r="V8074" s="12">
        <f>C8074+1</f>
        <v>39835</v>
      </c>
      <c r="W8074">
        <f>IF(D8074=' Pivot Tables'!$A$4,1,0)</f>
        <v>0</v>
      </c>
      <c r="X8074">
        <f>IF(AND(LEFT(D8074,4)+1=LEFT(' Pivot Tables'!$A$4,4)+0,RIGHT(LEFT(D8074,7),2)=RIGHT(LEFT(' Pivot Tables'!$A$4,7),2)),1,0)</f>
        <v>1</v>
      </c>
      <c r="Y8074" s="6">
        <f>1/COUNTIF(Таблица1[Order ID],Таблица1[[#This Row],[Order ID]])</f>
        <v>0.33333333333333331</v>
      </c>
      <c r="Z8074" s="9">
        <f>1/COUNTIFS(Таблица1[Customer Name],Таблица1[[#This Row],[Customer Name]],Таблица1[Order-Year-Month],Таблица1[[#This Row],[Order-Year-Month]])</f>
        <v>0.25</v>
      </c>
    </row>
    <row r="8075" spans="1:26" x14ac:dyDescent="0.2">
      <c r="A8075" s="6">
        <v>4601</v>
      </c>
      <c r="B8075" s="7">
        <v>32800</v>
      </c>
      <c r="C8075" s="8">
        <f>DATE(2012,12,31)-1440</f>
        <v>39834</v>
      </c>
      <c r="D8075" s="8" t="str">
        <f t="shared" si="155"/>
        <v>2009-01 (январь 2009)</v>
      </c>
      <c r="E8075" s="9" t="s">
        <v>45</v>
      </c>
      <c r="F8075" s="7">
        <v>19</v>
      </c>
      <c r="G8075" s="7">
        <v>354.13</v>
      </c>
      <c r="H8075" s="7">
        <v>0.09</v>
      </c>
      <c r="I8075" s="9" t="s">
        <v>22</v>
      </c>
      <c r="J8075" s="10">
        <v>8.7899999999999991</v>
      </c>
      <c r="K8075" s="11">
        <v>19.98</v>
      </c>
      <c r="L8075" s="11">
        <v>8.68</v>
      </c>
      <c r="M8075" s="9" t="s">
        <v>2113</v>
      </c>
      <c r="N8075" s="6" t="s">
        <v>2073</v>
      </c>
      <c r="O8075" s="6" t="s">
        <v>704</v>
      </c>
      <c r="P8075" s="9" t="s">
        <v>60</v>
      </c>
      <c r="Q8075" s="9" t="s">
        <v>26</v>
      </c>
      <c r="R8075" s="9" t="s">
        <v>61</v>
      </c>
      <c r="S8075" s="7" t="s">
        <v>617</v>
      </c>
      <c r="T8075" s="9" t="s">
        <v>39</v>
      </c>
      <c r="U8075" s="7">
        <v>0.37</v>
      </c>
      <c r="V8075" s="12">
        <f>C8075+1</f>
        <v>39835</v>
      </c>
      <c r="W8075">
        <f>IF(D8075=' Pivot Tables'!$A$4,1,0)</f>
        <v>0</v>
      </c>
      <c r="X8075">
        <f>IF(AND(LEFT(D8075,4)+1=LEFT(' Pivot Tables'!$A$4,4)+0,RIGHT(LEFT(D8075,7),2)=RIGHT(LEFT(' Pivot Tables'!$A$4,7),2)),1,0)</f>
        <v>1</v>
      </c>
      <c r="Y8075" s="6">
        <f>1/COUNTIF(Таблица1[Order ID],Таблица1[[#This Row],[Order ID]])</f>
        <v>0.33333333333333331</v>
      </c>
      <c r="Z8075" s="9">
        <f>1/COUNTIFS(Таблица1[Customer Name],Таблица1[[#This Row],[Customer Name]],Таблица1[Order-Year-Month],Таблица1[[#This Row],[Order-Year-Month]])</f>
        <v>0.25</v>
      </c>
    </row>
    <row r="8076" spans="1:26" x14ac:dyDescent="0.2">
      <c r="A8076" s="6">
        <v>4602</v>
      </c>
      <c r="B8076" s="7">
        <v>32800</v>
      </c>
      <c r="C8076" s="8">
        <f>DATE(2012,12,31)-1440</f>
        <v>39834</v>
      </c>
      <c r="D8076" s="8" t="str">
        <f t="shared" si="155"/>
        <v>2009-01 (январь 2009)</v>
      </c>
      <c r="E8076" s="9" t="s">
        <v>45</v>
      </c>
      <c r="F8076" s="7">
        <v>40</v>
      </c>
      <c r="G8076" s="7">
        <v>751.94</v>
      </c>
      <c r="H8076" s="7">
        <v>7.0000000000000007E-2</v>
      </c>
      <c r="I8076" s="9" t="s">
        <v>22</v>
      </c>
      <c r="J8076" s="10">
        <v>69.08</v>
      </c>
      <c r="K8076" s="11">
        <v>19.98</v>
      </c>
      <c r="L8076" s="11">
        <v>8.68</v>
      </c>
      <c r="M8076" s="9" t="s">
        <v>2113</v>
      </c>
      <c r="N8076" s="6" t="s">
        <v>2073</v>
      </c>
      <c r="O8076" s="6" t="s">
        <v>704</v>
      </c>
      <c r="P8076" s="9" t="s">
        <v>60</v>
      </c>
      <c r="Q8076" s="9" t="s">
        <v>26</v>
      </c>
      <c r="R8076" s="9" t="s">
        <v>61</v>
      </c>
      <c r="S8076" s="7" t="s">
        <v>617</v>
      </c>
      <c r="T8076" s="9" t="s">
        <v>39</v>
      </c>
      <c r="U8076" s="7">
        <v>0.37</v>
      </c>
      <c r="V8076" s="12">
        <f>C8076+2</f>
        <v>39836</v>
      </c>
      <c r="W8076">
        <f>IF(D8076=' Pivot Tables'!$A$4,1,0)</f>
        <v>0</v>
      </c>
      <c r="X8076">
        <f>IF(AND(LEFT(D8076,4)+1=LEFT(' Pivot Tables'!$A$4,4)+0,RIGHT(LEFT(D8076,7),2)=RIGHT(LEFT(' Pivot Tables'!$A$4,7),2)),1,0)</f>
        <v>1</v>
      </c>
      <c r="Y8076" s="6">
        <f>1/COUNTIF(Таблица1[Order ID],Таблица1[[#This Row],[Order ID]])</f>
        <v>0.33333333333333331</v>
      </c>
      <c r="Z8076" s="9">
        <f>1/COUNTIFS(Таблица1[Customer Name],Таблица1[[#This Row],[Customer Name]],Таблица1[Order-Year-Month],Таблица1[[#This Row],[Order-Year-Month]])</f>
        <v>0.25</v>
      </c>
    </row>
    <row r="8077" spans="1:26" x14ac:dyDescent="0.2">
      <c r="A8077" s="6">
        <v>4759</v>
      </c>
      <c r="B8077" s="7">
        <v>33824</v>
      </c>
      <c r="C8077" s="8">
        <f>DATE(2012,12,31)-670</f>
        <v>40604</v>
      </c>
      <c r="D8077" s="8" t="str">
        <f t="shared" si="155"/>
        <v>2011-03 (март 2011)</v>
      </c>
      <c r="E8077" s="9" t="s">
        <v>78</v>
      </c>
      <c r="F8077" s="7">
        <v>19</v>
      </c>
      <c r="G8077" s="7">
        <v>50.99</v>
      </c>
      <c r="H8077" s="7">
        <v>0.06</v>
      </c>
      <c r="I8077" s="9" t="s">
        <v>22</v>
      </c>
      <c r="J8077" s="10">
        <v>-3.8</v>
      </c>
      <c r="K8077" s="11">
        <v>2.78</v>
      </c>
      <c r="L8077" s="11">
        <v>1.34</v>
      </c>
      <c r="M8077" s="9" t="s">
        <v>2117</v>
      </c>
      <c r="N8077" s="6" t="s">
        <v>2073</v>
      </c>
      <c r="O8077" s="6" t="s">
        <v>704</v>
      </c>
      <c r="P8077" s="9" t="s">
        <v>41</v>
      </c>
      <c r="Q8077" s="9" t="s">
        <v>26</v>
      </c>
      <c r="R8077" s="9" t="s">
        <v>95</v>
      </c>
      <c r="S8077" s="7" t="s">
        <v>256</v>
      </c>
      <c r="T8077" s="9" t="s">
        <v>68</v>
      </c>
      <c r="U8077" s="7">
        <v>0.45</v>
      </c>
      <c r="V8077" s="12">
        <f>C8077+1</f>
        <v>40605</v>
      </c>
      <c r="W8077">
        <f>IF(D8077=' Pivot Tables'!$A$4,1,0)</f>
        <v>0</v>
      </c>
      <c r="X8077">
        <f>IF(AND(LEFT(D8077,4)+1=LEFT(' Pivot Tables'!$A$4,4)+0,RIGHT(LEFT(D8077,7),2)=RIGHT(LEFT(' Pivot Tables'!$A$4,7),2)),1,0)</f>
        <v>0</v>
      </c>
      <c r="Y8077" s="6">
        <f>1/COUNTIF(Таблица1[Order ID],Таблица1[[#This Row],[Order ID]])</f>
        <v>1</v>
      </c>
      <c r="Z8077" s="9">
        <f>1/COUNTIFS(Таблица1[Customer Name],Таблица1[[#This Row],[Customer Name]],Таблица1[Order-Year-Month],Таблица1[[#This Row],[Order-Year-Month]])</f>
        <v>1</v>
      </c>
    </row>
    <row r="8078" spans="1:26" x14ac:dyDescent="0.2">
      <c r="A8078" s="6">
        <v>4806</v>
      </c>
      <c r="B8078" s="7">
        <v>34179</v>
      </c>
      <c r="C8078" s="8">
        <f>DATE(2012,12,31)-425</f>
        <v>40849</v>
      </c>
      <c r="D8078" s="8" t="str">
        <f t="shared" si="155"/>
        <v>2011-11 (ноябрь 2011)</v>
      </c>
      <c r="E8078" s="9" t="s">
        <v>45</v>
      </c>
      <c r="F8078" s="7">
        <v>21</v>
      </c>
      <c r="G8078" s="7">
        <v>293.27</v>
      </c>
      <c r="H8078" s="7">
        <v>7.0000000000000007E-2</v>
      </c>
      <c r="I8078" s="9" t="s">
        <v>22</v>
      </c>
      <c r="J8078" s="10">
        <v>44.56</v>
      </c>
      <c r="K8078" s="11">
        <v>14.48</v>
      </c>
      <c r="L8078" s="11">
        <v>1.99</v>
      </c>
      <c r="M8078" s="9" t="s">
        <v>2114</v>
      </c>
      <c r="N8078" s="6" t="s">
        <v>2073</v>
      </c>
      <c r="O8078" s="6" t="s">
        <v>704</v>
      </c>
      <c r="P8078" s="9" t="s">
        <v>41</v>
      </c>
      <c r="Q8078" s="9" t="s">
        <v>42</v>
      </c>
      <c r="R8078" s="9" t="s">
        <v>70</v>
      </c>
      <c r="S8078" s="7" t="s">
        <v>305</v>
      </c>
      <c r="T8078" s="9" t="s">
        <v>52</v>
      </c>
      <c r="U8078" s="7">
        <v>0.49</v>
      </c>
      <c r="V8078" s="12">
        <f>C8078+2</f>
        <v>40851</v>
      </c>
      <c r="W8078">
        <f>IF(D8078=' Pivot Tables'!$A$4,1,0)</f>
        <v>0</v>
      </c>
      <c r="X8078">
        <f>IF(AND(LEFT(D8078,4)+1=LEFT(' Pivot Tables'!$A$4,4)+0,RIGHT(LEFT(D8078,7),2)=RIGHT(LEFT(' Pivot Tables'!$A$4,7),2)),1,0)</f>
        <v>0</v>
      </c>
      <c r="Y8078" s="6">
        <f>1/COUNTIF(Таблица1[Order ID],Таблица1[[#This Row],[Order ID]])</f>
        <v>1</v>
      </c>
      <c r="Z8078" s="9">
        <f>1/COUNTIFS(Таблица1[Customer Name],Таблица1[[#This Row],[Customer Name]],Таблица1[Order-Year-Month],Таблица1[[#This Row],[Order-Year-Month]])</f>
        <v>0.5</v>
      </c>
    </row>
    <row r="8079" spans="1:26" x14ac:dyDescent="0.2">
      <c r="A8079" s="6">
        <v>4819</v>
      </c>
      <c r="B8079" s="7">
        <v>34245</v>
      </c>
      <c r="C8079" s="8">
        <f>DATE(2012,12,31)-1058</f>
        <v>40216</v>
      </c>
      <c r="D8079" s="8" t="str">
        <f t="shared" si="155"/>
        <v>2010-02 (февраль 2010)</v>
      </c>
      <c r="E8079" s="9" t="s">
        <v>63</v>
      </c>
      <c r="F8079" s="7">
        <v>42</v>
      </c>
      <c r="G8079" s="7">
        <v>189.22</v>
      </c>
      <c r="H8079" s="7">
        <v>0.05</v>
      </c>
      <c r="I8079" s="9" t="s">
        <v>22</v>
      </c>
      <c r="J8079" s="10">
        <v>-92.42</v>
      </c>
      <c r="K8079" s="11">
        <v>4.28</v>
      </c>
      <c r="L8079" s="11">
        <v>4.79</v>
      </c>
      <c r="M8079" s="9" t="s">
        <v>1291</v>
      </c>
      <c r="N8079" s="6" t="s">
        <v>2073</v>
      </c>
      <c r="O8079" s="6" t="s">
        <v>704</v>
      </c>
      <c r="P8079" s="9" t="s">
        <v>33</v>
      </c>
      <c r="Q8079" s="9" t="s">
        <v>26</v>
      </c>
      <c r="R8079" s="9" t="s">
        <v>61</v>
      </c>
      <c r="S8079" s="7" t="s">
        <v>831</v>
      </c>
      <c r="T8079" s="9" t="s">
        <v>39</v>
      </c>
      <c r="U8079" s="7">
        <v>0.4</v>
      </c>
      <c r="V8079" s="12">
        <f>C8079+1</f>
        <v>40217</v>
      </c>
      <c r="W8079">
        <f>IF(D8079=' Pivot Tables'!$A$4,1,0)</f>
        <v>0</v>
      </c>
      <c r="X8079">
        <f>IF(AND(LEFT(D8079,4)+1=LEFT(' Pivot Tables'!$A$4,4)+0,RIGHT(LEFT(D8079,7),2)=RIGHT(LEFT(' Pivot Tables'!$A$4,7),2)),1,0)</f>
        <v>0</v>
      </c>
      <c r="Y8079" s="6">
        <f>1/COUNTIF(Таблица1[Order ID],Таблица1[[#This Row],[Order ID]])</f>
        <v>1</v>
      </c>
      <c r="Z8079" s="9">
        <f>1/COUNTIFS(Таблица1[Customer Name],Таблица1[[#This Row],[Customer Name]],Таблица1[Order-Year-Month],Таблица1[[#This Row],[Order-Year-Month]])</f>
        <v>1</v>
      </c>
    </row>
    <row r="8080" spans="1:26" x14ac:dyDescent="0.2">
      <c r="A8080" s="6">
        <v>4926</v>
      </c>
      <c r="B8080" s="7">
        <v>35046</v>
      </c>
      <c r="C8080" s="8">
        <f>DATE(2012,12,31)-891</f>
        <v>40383</v>
      </c>
      <c r="D8080" s="8" t="str">
        <f t="shared" si="155"/>
        <v>2010-07 (июль 2010)</v>
      </c>
      <c r="E8080" s="9" t="s">
        <v>63</v>
      </c>
      <c r="F8080" s="7">
        <v>21</v>
      </c>
      <c r="G8080" s="7">
        <v>151.86000000000001</v>
      </c>
      <c r="H8080" s="7">
        <v>0.1</v>
      </c>
      <c r="I8080" s="9" t="s">
        <v>56</v>
      </c>
      <c r="J8080" s="10">
        <v>-54.670999999999999</v>
      </c>
      <c r="K8080" s="11">
        <v>7.1</v>
      </c>
      <c r="L8080" s="11">
        <v>6.05</v>
      </c>
      <c r="M8080" s="9" t="s">
        <v>1187</v>
      </c>
      <c r="N8080" s="6" t="s">
        <v>2073</v>
      </c>
      <c r="O8080" s="6" t="s">
        <v>704</v>
      </c>
      <c r="P8080" s="9" t="s">
        <v>41</v>
      </c>
      <c r="Q8080" s="9" t="s">
        <v>26</v>
      </c>
      <c r="R8080" s="9" t="s">
        <v>37</v>
      </c>
      <c r="S8080" s="7" t="s">
        <v>435</v>
      </c>
      <c r="T8080" s="9" t="s">
        <v>39</v>
      </c>
      <c r="U8080" s="7">
        <v>0.39</v>
      </c>
      <c r="V8080" s="12">
        <f>C8080+0</f>
        <v>40383</v>
      </c>
      <c r="W8080">
        <f>IF(D8080=' Pivot Tables'!$A$4,1,0)</f>
        <v>0</v>
      </c>
      <c r="X8080">
        <f>IF(AND(LEFT(D8080,4)+1=LEFT(' Pivot Tables'!$A$4,4)+0,RIGHT(LEFT(D8080,7),2)=RIGHT(LEFT(' Pivot Tables'!$A$4,7),2)),1,0)</f>
        <v>0</v>
      </c>
      <c r="Y8080" s="6">
        <f>1/COUNTIF(Таблица1[Order ID],Таблица1[[#This Row],[Order ID]])</f>
        <v>0.33333333333333331</v>
      </c>
      <c r="Z8080" s="9">
        <f>1/COUNTIFS(Таблица1[Customer Name],Таблица1[[#This Row],[Customer Name]],Таблица1[Order-Year-Month],Таблица1[[#This Row],[Order-Year-Month]])</f>
        <v>0.33333333333333331</v>
      </c>
    </row>
    <row r="8081" spans="1:26" x14ac:dyDescent="0.2">
      <c r="A8081" s="6">
        <v>4927</v>
      </c>
      <c r="B8081" s="7">
        <v>35046</v>
      </c>
      <c r="C8081" s="8">
        <f>DATE(2012,12,31)-891</f>
        <v>40383</v>
      </c>
      <c r="D8081" s="8" t="str">
        <f t="shared" si="155"/>
        <v>2010-07 (июль 2010)</v>
      </c>
      <c r="E8081" s="9" t="s">
        <v>63</v>
      </c>
      <c r="F8081" s="7">
        <v>13</v>
      </c>
      <c r="G8081" s="7">
        <v>3583.87</v>
      </c>
      <c r="H8081" s="7">
        <v>7.0000000000000007E-2</v>
      </c>
      <c r="I8081" s="9" t="s">
        <v>31</v>
      </c>
      <c r="J8081" s="10">
        <v>-113.08</v>
      </c>
      <c r="K8081" s="11">
        <v>284.98</v>
      </c>
      <c r="L8081" s="11">
        <v>69.55</v>
      </c>
      <c r="M8081" s="9" t="s">
        <v>1187</v>
      </c>
      <c r="N8081" s="6" t="s">
        <v>2073</v>
      </c>
      <c r="O8081" s="6" t="s">
        <v>704</v>
      </c>
      <c r="P8081" s="9" t="s">
        <v>41</v>
      </c>
      <c r="Q8081" s="9" t="s">
        <v>49</v>
      </c>
      <c r="R8081" s="9" t="s">
        <v>112</v>
      </c>
      <c r="S8081" s="7" t="s">
        <v>834</v>
      </c>
      <c r="T8081" s="9" t="s">
        <v>36</v>
      </c>
      <c r="U8081" s="7">
        <v>0.6</v>
      </c>
      <c r="V8081" s="12">
        <f>C8081+1</f>
        <v>40384</v>
      </c>
      <c r="W8081">
        <f>IF(D8081=' Pivot Tables'!$A$4,1,0)</f>
        <v>0</v>
      </c>
      <c r="X8081">
        <f>IF(AND(LEFT(D8081,4)+1=LEFT(' Pivot Tables'!$A$4,4)+0,RIGHT(LEFT(D8081,7),2)=RIGHT(LEFT(' Pivot Tables'!$A$4,7),2)),1,0)</f>
        <v>0</v>
      </c>
      <c r="Y8081" s="6">
        <f>1/COUNTIF(Таблица1[Order ID],Таблица1[[#This Row],[Order ID]])</f>
        <v>0.33333333333333331</v>
      </c>
      <c r="Z8081" s="9">
        <f>1/COUNTIFS(Таблица1[Customer Name],Таблица1[[#This Row],[Customer Name]],Таблица1[Order-Year-Month],Таблица1[[#This Row],[Order-Year-Month]])</f>
        <v>0.33333333333333331</v>
      </c>
    </row>
    <row r="8082" spans="1:26" x14ac:dyDescent="0.2">
      <c r="A8082" s="6">
        <v>4928</v>
      </c>
      <c r="B8082" s="7">
        <v>35046</v>
      </c>
      <c r="C8082" s="8">
        <f>DATE(2012,12,31)-891</f>
        <v>40383</v>
      </c>
      <c r="D8082" s="8" t="str">
        <f t="shared" si="155"/>
        <v>2010-07 (июль 2010)</v>
      </c>
      <c r="E8082" s="9" t="s">
        <v>63</v>
      </c>
      <c r="F8082" s="7">
        <v>45</v>
      </c>
      <c r="G8082" s="7">
        <v>4951.3599999999997</v>
      </c>
      <c r="H8082" s="7">
        <v>0.03</v>
      </c>
      <c r="I8082" s="9" t="s">
        <v>56</v>
      </c>
      <c r="J8082" s="10">
        <v>1759.72</v>
      </c>
      <c r="K8082" s="11">
        <v>107.53</v>
      </c>
      <c r="L8082" s="11">
        <v>5.81</v>
      </c>
      <c r="M8082" s="9" t="s">
        <v>1187</v>
      </c>
      <c r="N8082" s="6" t="s">
        <v>2073</v>
      </c>
      <c r="O8082" s="6" t="s">
        <v>704</v>
      </c>
      <c r="P8082" s="9" t="s">
        <v>41</v>
      </c>
      <c r="Q8082" s="9" t="s">
        <v>49</v>
      </c>
      <c r="R8082" s="9" t="s">
        <v>50</v>
      </c>
      <c r="S8082" s="7" t="s">
        <v>473</v>
      </c>
      <c r="T8082" s="9" t="s">
        <v>48</v>
      </c>
      <c r="U8082" s="7">
        <v>0.65</v>
      </c>
      <c r="V8082" s="12">
        <f>C8082+1</f>
        <v>40384</v>
      </c>
      <c r="W8082">
        <f>IF(D8082=' Pivot Tables'!$A$4,1,0)</f>
        <v>0</v>
      </c>
      <c r="X8082">
        <f>IF(AND(LEFT(D8082,4)+1=LEFT(' Pivot Tables'!$A$4,4)+0,RIGHT(LEFT(D8082,7),2)=RIGHT(LEFT(' Pivot Tables'!$A$4,7),2)),1,0)</f>
        <v>0</v>
      </c>
      <c r="Y8082" s="6">
        <f>1/COUNTIF(Таблица1[Order ID],Таблица1[[#This Row],[Order ID]])</f>
        <v>0.33333333333333331</v>
      </c>
      <c r="Z8082" s="9">
        <f>1/COUNTIFS(Таблица1[Customer Name],Таблица1[[#This Row],[Customer Name]],Таблица1[Order-Year-Month],Таблица1[[#This Row],[Order-Year-Month]])</f>
        <v>0.33333333333333331</v>
      </c>
    </row>
    <row r="8083" spans="1:26" x14ac:dyDescent="0.2">
      <c r="A8083" s="6">
        <v>5004</v>
      </c>
      <c r="B8083" s="7">
        <v>35684</v>
      </c>
      <c r="C8083" s="8">
        <f>DATE(2012,12,31)-516</f>
        <v>40758</v>
      </c>
      <c r="D8083" s="8" t="str">
        <f t="shared" si="155"/>
        <v>2011-08 (август 2011)</v>
      </c>
      <c r="E8083" s="9" t="s">
        <v>21</v>
      </c>
      <c r="F8083" s="7">
        <v>10</v>
      </c>
      <c r="G8083" s="7">
        <v>910.98</v>
      </c>
      <c r="H8083" s="7">
        <v>7.0000000000000007E-2</v>
      </c>
      <c r="I8083" s="9" t="s">
        <v>22</v>
      </c>
      <c r="J8083" s="10">
        <v>18.77</v>
      </c>
      <c r="K8083" s="11">
        <v>96.45</v>
      </c>
      <c r="L8083" s="11">
        <v>13.99</v>
      </c>
      <c r="M8083" s="9" t="s">
        <v>1187</v>
      </c>
      <c r="N8083" s="6" t="s">
        <v>2073</v>
      </c>
      <c r="O8083" s="6" t="s">
        <v>704</v>
      </c>
      <c r="P8083" s="9" t="s">
        <v>41</v>
      </c>
      <c r="Q8083" s="9" t="s">
        <v>42</v>
      </c>
      <c r="R8083" s="9" t="s">
        <v>210</v>
      </c>
      <c r="S8083" s="7" t="s">
        <v>1840</v>
      </c>
      <c r="T8083" s="9" t="s">
        <v>48</v>
      </c>
      <c r="U8083" s="7">
        <v>0.38</v>
      </c>
      <c r="V8083" s="12">
        <f>C8083+5</f>
        <v>40763</v>
      </c>
      <c r="W8083">
        <f>IF(D8083=' Pivot Tables'!$A$4,1,0)</f>
        <v>0</v>
      </c>
      <c r="X8083">
        <f>IF(AND(LEFT(D8083,4)+1=LEFT(' Pivot Tables'!$A$4,4)+0,RIGHT(LEFT(D8083,7),2)=RIGHT(LEFT(' Pivot Tables'!$A$4,7),2)),1,0)</f>
        <v>0</v>
      </c>
      <c r="Y8083" s="6">
        <f>1/COUNTIF(Таблица1[Order ID],Таблица1[[#This Row],[Order ID]])</f>
        <v>1</v>
      </c>
      <c r="Z8083" s="9">
        <f>1/COUNTIFS(Таблица1[Customer Name],Таблица1[[#This Row],[Customer Name]],Таблица1[Order-Year-Month],Таблица1[[#This Row],[Order-Year-Month]])</f>
        <v>1</v>
      </c>
    </row>
    <row r="8084" spans="1:26" x14ac:dyDescent="0.2">
      <c r="A8084" s="6">
        <v>5064</v>
      </c>
      <c r="B8084" s="7">
        <v>36101</v>
      </c>
      <c r="C8084" s="8">
        <f>DATE(2012,12,31)-133</f>
        <v>41141</v>
      </c>
      <c r="D8084" s="8" t="str">
        <f t="shared" si="155"/>
        <v>2012-08 (август 2012)</v>
      </c>
      <c r="E8084" s="9" t="s">
        <v>30</v>
      </c>
      <c r="F8084" s="7">
        <v>3</v>
      </c>
      <c r="G8084" s="7">
        <v>446.05</v>
      </c>
      <c r="H8084" s="7">
        <v>0.09</v>
      </c>
      <c r="I8084" s="9" t="s">
        <v>31</v>
      </c>
      <c r="J8084" s="10">
        <v>-271.26</v>
      </c>
      <c r="K8084" s="11">
        <v>140.97999999999999</v>
      </c>
      <c r="L8084" s="11">
        <v>53.48</v>
      </c>
      <c r="M8084" s="9" t="s">
        <v>2115</v>
      </c>
      <c r="N8084" s="6" t="s">
        <v>2073</v>
      </c>
      <c r="O8084" s="6" t="s">
        <v>704</v>
      </c>
      <c r="P8084" s="9" t="s">
        <v>41</v>
      </c>
      <c r="Q8084" s="9" t="s">
        <v>49</v>
      </c>
      <c r="R8084" s="9" t="s">
        <v>80</v>
      </c>
      <c r="S8084" s="7" t="s">
        <v>185</v>
      </c>
      <c r="T8084" s="9" t="s">
        <v>82</v>
      </c>
      <c r="U8084" s="7">
        <v>0.65</v>
      </c>
      <c r="V8084" s="12">
        <f>C8084+1</f>
        <v>41142</v>
      </c>
      <c r="W8084">
        <f>IF(D8084=' Pivot Tables'!$A$4,1,0)</f>
        <v>0</v>
      </c>
      <c r="X8084">
        <f>IF(AND(LEFT(D8084,4)+1=LEFT(' Pivot Tables'!$A$4,4)+0,RIGHT(LEFT(D8084,7),2)=RIGHT(LEFT(' Pivot Tables'!$A$4,7),2)),1,0)</f>
        <v>0</v>
      </c>
      <c r="Y8084" s="6">
        <f>1/COUNTIF(Таблица1[Order ID],Таблица1[[#This Row],[Order ID]])</f>
        <v>1</v>
      </c>
      <c r="Z8084" s="9">
        <f>1/COUNTIFS(Таблица1[Customer Name],Таблица1[[#This Row],[Customer Name]],Таблица1[Order-Year-Month],Таблица1[[#This Row],[Order-Year-Month]])</f>
        <v>1</v>
      </c>
    </row>
    <row r="8085" spans="1:26" x14ac:dyDescent="0.2">
      <c r="A8085" s="6">
        <v>5107</v>
      </c>
      <c r="B8085" s="7">
        <v>36387</v>
      </c>
      <c r="C8085" s="8">
        <f>DATE(2012,12,31)-420</f>
        <v>40854</v>
      </c>
      <c r="D8085" s="8" t="str">
        <f t="shared" si="155"/>
        <v>2011-11 (ноябрь 2011)</v>
      </c>
      <c r="E8085" s="9" t="s">
        <v>30</v>
      </c>
      <c r="F8085" s="7">
        <v>32</v>
      </c>
      <c r="G8085" s="7">
        <v>616.39</v>
      </c>
      <c r="H8085" s="7">
        <v>0.09</v>
      </c>
      <c r="I8085" s="9" t="s">
        <v>22</v>
      </c>
      <c r="J8085" s="10">
        <v>148.28</v>
      </c>
      <c r="K8085" s="11">
        <v>20.89</v>
      </c>
      <c r="L8085" s="11">
        <v>1.99</v>
      </c>
      <c r="M8085" s="9" t="s">
        <v>2114</v>
      </c>
      <c r="N8085" s="6" t="s">
        <v>2073</v>
      </c>
      <c r="O8085" s="6" t="s">
        <v>704</v>
      </c>
      <c r="P8085" s="9" t="s">
        <v>41</v>
      </c>
      <c r="Q8085" s="9" t="s">
        <v>42</v>
      </c>
      <c r="R8085" s="9" t="s">
        <v>70</v>
      </c>
      <c r="S8085" s="7" t="s">
        <v>303</v>
      </c>
      <c r="T8085" s="9" t="s">
        <v>52</v>
      </c>
      <c r="U8085" s="7">
        <v>0.48</v>
      </c>
      <c r="V8085" s="12">
        <f>C8085+3</f>
        <v>40857</v>
      </c>
      <c r="W8085">
        <f>IF(D8085=' Pivot Tables'!$A$4,1,0)</f>
        <v>0</v>
      </c>
      <c r="X8085">
        <f>IF(AND(LEFT(D8085,4)+1=LEFT(' Pivot Tables'!$A$4,4)+0,RIGHT(LEFT(D8085,7),2)=RIGHT(LEFT(' Pivot Tables'!$A$4,7),2)),1,0)</f>
        <v>0</v>
      </c>
      <c r="Y8085" s="6">
        <f>1/COUNTIF(Таблица1[Order ID],Таблица1[[#This Row],[Order ID]])</f>
        <v>1</v>
      </c>
      <c r="Z8085" s="9">
        <f>1/COUNTIFS(Таблица1[Customer Name],Таблица1[[#This Row],[Customer Name]],Таблица1[Order-Year-Month],Таблица1[[#This Row],[Order-Year-Month]])</f>
        <v>0.5</v>
      </c>
    </row>
    <row r="8086" spans="1:26" x14ac:dyDescent="0.2">
      <c r="A8086" s="6">
        <v>5120</v>
      </c>
      <c r="B8086" s="7">
        <v>36455</v>
      </c>
      <c r="C8086" s="8">
        <f>DATE(2012,12,31)-1411</f>
        <v>39863</v>
      </c>
      <c r="D8086" s="8" t="str">
        <f t="shared" si="155"/>
        <v>2009-02 (февраль 2009)</v>
      </c>
      <c r="E8086" s="9" t="s">
        <v>30</v>
      </c>
      <c r="F8086" s="7">
        <v>48</v>
      </c>
      <c r="G8086" s="7">
        <v>1838.19</v>
      </c>
      <c r="H8086" s="7">
        <v>0.03</v>
      </c>
      <c r="I8086" s="9" t="s">
        <v>22</v>
      </c>
      <c r="J8086" s="10">
        <v>561.42999999999995</v>
      </c>
      <c r="K8086" s="11">
        <v>39.479999999999997</v>
      </c>
      <c r="L8086" s="11">
        <v>1.99</v>
      </c>
      <c r="M8086" s="9" t="s">
        <v>2111</v>
      </c>
      <c r="N8086" s="6" t="s">
        <v>2073</v>
      </c>
      <c r="O8086" s="6" t="s">
        <v>704</v>
      </c>
      <c r="P8086" s="9" t="s">
        <v>33</v>
      </c>
      <c r="Q8086" s="9" t="s">
        <v>42</v>
      </c>
      <c r="R8086" s="9" t="s">
        <v>70</v>
      </c>
      <c r="S8086" s="7" t="s">
        <v>161</v>
      </c>
      <c r="T8086" s="9" t="s">
        <v>52</v>
      </c>
      <c r="U8086" s="7">
        <v>0.54</v>
      </c>
      <c r="V8086" s="12">
        <f>C8086+2</f>
        <v>39865</v>
      </c>
      <c r="W8086">
        <f>IF(D8086=' Pivot Tables'!$A$4,1,0)</f>
        <v>0</v>
      </c>
      <c r="X8086">
        <f>IF(AND(LEFT(D8086,4)+1=LEFT(' Pivot Tables'!$A$4,4)+0,RIGHT(LEFT(D8086,7),2)=RIGHT(LEFT(' Pivot Tables'!$A$4,7),2)),1,0)</f>
        <v>0</v>
      </c>
      <c r="Y8086" s="6">
        <f>1/COUNTIF(Таблица1[Order ID],Таблица1[[#This Row],[Order ID]])</f>
        <v>1</v>
      </c>
      <c r="Z8086" s="9">
        <f>1/COUNTIFS(Таблица1[Customer Name],Таблица1[[#This Row],[Customer Name]],Таблица1[Order-Year-Month],Таблица1[[#This Row],[Order-Year-Month]])</f>
        <v>0.2</v>
      </c>
    </row>
    <row r="8087" spans="1:26" x14ac:dyDescent="0.2">
      <c r="A8087" s="6">
        <v>5143</v>
      </c>
      <c r="B8087" s="7">
        <v>36673</v>
      </c>
      <c r="C8087" s="8">
        <f>DATE(2012,12,31)-840</f>
        <v>40434</v>
      </c>
      <c r="D8087" s="8" t="str">
        <f t="shared" si="155"/>
        <v>2010-09 (сентябрь 2010)</v>
      </c>
      <c r="E8087" s="9" t="s">
        <v>21</v>
      </c>
      <c r="F8087" s="7">
        <v>20</v>
      </c>
      <c r="G8087" s="7">
        <v>984.63150000000007</v>
      </c>
      <c r="H8087" s="7">
        <v>0</v>
      </c>
      <c r="I8087" s="9" t="s">
        <v>22</v>
      </c>
      <c r="J8087" s="10">
        <v>-129.13999999999999</v>
      </c>
      <c r="K8087" s="11">
        <v>55.99</v>
      </c>
      <c r="L8087" s="11">
        <v>5</v>
      </c>
      <c r="M8087" s="9" t="s">
        <v>1145</v>
      </c>
      <c r="N8087" s="6" t="s">
        <v>2073</v>
      </c>
      <c r="O8087" s="6" t="s">
        <v>704</v>
      </c>
      <c r="P8087" s="9" t="s">
        <v>60</v>
      </c>
      <c r="Q8087" s="9" t="s">
        <v>42</v>
      </c>
      <c r="R8087" s="9" t="s">
        <v>43</v>
      </c>
      <c r="S8087" s="7" t="s">
        <v>268</v>
      </c>
      <c r="T8087" s="9" t="s">
        <v>52</v>
      </c>
      <c r="U8087" s="7">
        <v>0.8</v>
      </c>
      <c r="V8087" s="12">
        <f>C8087+7</f>
        <v>40441</v>
      </c>
      <c r="W8087">
        <f>IF(D8087=' Pivot Tables'!$A$4,1,0)</f>
        <v>0</v>
      </c>
      <c r="X8087">
        <f>IF(AND(LEFT(D8087,4)+1=LEFT(' Pivot Tables'!$A$4,4)+0,RIGHT(LEFT(D8087,7),2)=RIGHT(LEFT(' Pivot Tables'!$A$4,7),2)),1,0)</f>
        <v>0</v>
      </c>
      <c r="Y8087" s="6">
        <f>1/COUNTIF(Таблица1[Order ID],Таблица1[[#This Row],[Order ID]])</f>
        <v>1</v>
      </c>
      <c r="Z8087" s="9">
        <f>1/COUNTIFS(Таблица1[Customer Name],Таблица1[[#This Row],[Customer Name]],Таблица1[Order-Year-Month],Таблица1[[#This Row],[Order-Year-Month]])</f>
        <v>1</v>
      </c>
    </row>
    <row r="8088" spans="1:26" x14ac:dyDescent="0.2">
      <c r="A8088" s="6">
        <v>5149</v>
      </c>
      <c r="B8088" s="7">
        <v>36704</v>
      </c>
      <c r="C8088" s="8">
        <f>DATE(2012,12,31)-564</f>
        <v>40710</v>
      </c>
      <c r="D8088" s="8" t="str">
        <f t="shared" si="155"/>
        <v>2011-06 (июнь 2011)</v>
      </c>
      <c r="E8088" s="9" t="s">
        <v>30</v>
      </c>
      <c r="F8088" s="7">
        <v>43</v>
      </c>
      <c r="G8088" s="7">
        <v>134.33000000000001</v>
      </c>
      <c r="H8088" s="7">
        <v>7.0000000000000007E-2</v>
      </c>
      <c r="I8088" s="9" t="s">
        <v>56</v>
      </c>
      <c r="J8088" s="10">
        <v>25.02</v>
      </c>
      <c r="K8088" s="11">
        <v>3.14</v>
      </c>
      <c r="L8088" s="11">
        <v>1.1399999999999999</v>
      </c>
      <c r="M8088" s="9" t="s">
        <v>1145</v>
      </c>
      <c r="N8088" s="6" t="s">
        <v>2073</v>
      </c>
      <c r="O8088" s="6" t="s">
        <v>704</v>
      </c>
      <c r="P8088" s="9" t="s">
        <v>60</v>
      </c>
      <c r="Q8088" s="9" t="s">
        <v>26</v>
      </c>
      <c r="R8088" s="9" t="s">
        <v>61</v>
      </c>
      <c r="S8088" s="7" t="s">
        <v>1768</v>
      </c>
      <c r="T8088" s="9" t="s">
        <v>68</v>
      </c>
      <c r="U8088" s="7">
        <v>0.4</v>
      </c>
      <c r="V8088" s="12">
        <f>C8088+1</f>
        <v>40711</v>
      </c>
      <c r="W8088">
        <f>IF(D8088=' Pivot Tables'!$A$4,1,0)</f>
        <v>0</v>
      </c>
      <c r="X8088">
        <f>IF(AND(LEFT(D8088,4)+1=LEFT(' Pivot Tables'!$A$4,4)+0,RIGHT(LEFT(D8088,7),2)=RIGHT(LEFT(' Pivot Tables'!$A$4,7),2)),1,0)</f>
        <v>0</v>
      </c>
      <c r="Y8088" s="6">
        <f>1/COUNTIF(Таблица1[Order ID],Таблица1[[#This Row],[Order ID]])</f>
        <v>0.5</v>
      </c>
      <c r="Z8088" s="9">
        <f>1/COUNTIFS(Таблица1[Customer Name],Таблица1[[#This Row],[Customer Name]],Таблица1[Order-Year-Month],Таблица1[[#This Row],[Order-Year-Month]])</f>
        <v>0.5</v>
      </c>
    </row>
    <row r="8089" spans="1:26" x14ac:dyDescent="0.2">
      <c r="A8089" s="6">
        <v>5150</v>
      </c>
      <c r="B8089" s="7">
        <v>36704</v>
      </c>
      <c r="C8089" s="8">
        <f>DATE(2012,12,31)-564</f>
        <v>40710</v>
      </c>
      <c r="D8089" s="8" t="str">
        <f t="shared" si="155"/>
        <v>2011-06 (июнь 2011)</v>
      </c>
      <c r="E8089" s="9" t="s">
        <v>30</v>
      </c>
      <c r="F8089" s="7">
        <v>19</v>
      </c>
      <c r="G8089" s="7">
        <v>70.319999999999993</v>
      </c>
      <c r="H8089" s="7">
        <v>0.08</v>
      </c>
      <c r="I8089" s="9" t="s">
        <v>22</v>
      </c>
      <c r="J8089" s="10">
        <v>-56.07</v>
      </c>
      <c r="K8089" s="11">
        <v>3.57</v>
      </c>
      <c r="L8089" s="11">
        <v>4.17</v>
      </c>
      <c r="M8089" s="9" t="s">
        <v>1145</v>
      </c>
      <c r="N8089" s="6" t="s">
        <v>2073</v>
      </c>
      <c r="O8089" s="6" t="s">
        <v>704</v>
      </c>
      <c r="P8089" s="9" t="s">
        <v>60</v>
      </c>
      <c r="Q8089" s="9" t="s">
        <v>26</v>
      </c>
      <c r="R8089" s="9" t="s">
        <v>95</v>
      </c>
      <c r="S8089" s="7" t="s">
        <v>739</v>
      </c>
      <c r="T8089" s="9" t="s">
        <v>52</v>
      </c>
      <c r="U8089" s="7">
        <v>0.59</v>
      </c>
      <c r="V8089" s="12">
        <f>C8089+2</f>
        <v>40712</v>
      </c>
      <c r="W8089">
        <f>IF(D8089=' Pivot Tables'!$A$4,1,0)</f>
        <v>0</v>
      </c>
      <c r="X8089">
        <f>IF(AND(LEFT(D8089,4)+1=LEFT(' Pivot Tables'!$A$4,4)+0,RIGHT(LEFT(D8089,7),2)=RIGHT(LEFT(' Pivot Tables'!$A$4,7),2)),1,0)</f>
        <v>0</v>
      </c>
      <c r="Y8089" s="6">
        <f>1/COUNTIF(Таблица1[Order ID],Таблица1[[#This Row],[Order ID]])</f>
        <v>0.5</v>
      </c>
      <c r="Z8089" s="9">
        <f>1/COUNTIFS(Таблица1[Customer Name],Таблица1[[#This Row],[Customer Name]],Таблица1[Order-Year-Month],Таблица1[[#This Row],[Order-Year-Month]])</f>
        <v>0.5</v>
      </c>
    </row>
    <row r="8090" spans="1:26" x14ac:dyDescent="0.2">
      <c r="A8090" s="6">
        <v>5226</v>
      </c>
      <c r="B8090" s="7">
        <v>37218</v>
      </c>
      <c r="C8090" s="8">
        <f>DATE(2012,12,31)-743</f>
        <v>40531</v>
      </c>
      <c r="D8090" s="8" t="str">
        <f t="shared" si="155"/>
        <v>2010-12 (декабрь 2010)</v>
      </c>
      <c r="E8090" s="9" t="s">
        <v>30</v>
      </c>
      <c r="F8090" s="7">
        <v>29</v>
      </c>
      <c r="G8090" s="7">
        <v>1768.13</v>
      </c>
      <c r="H8090" s="7">
        <v>0</v>
      </c>
      <c r="I8090" s="9" t="s">
        <v>22</v>
      </c>
      <c r="J8090" s="10">
        <v>525.54</v>
      </c>
      <c r="K8090" s="11">
        <v>60.97</v>
      </c>
      <c r="L8090" s="11">
        <v>4.5</v>
      </c>
      <c r="M8090" s="9" t="s">
        <v>2111</v>
      </c>
      <c r="N8090" s="6" t="s">
        <v>2073</v>
      </c>
      <c r="O8090" s="6" t="s">
        <v>704</v>
      </c>
      <c r="P8090" s="9" t="s">
        <v>41</v>
      </c>
      <c r="Q8090" s="9" t="s">
        <v>26</v>
      </c>
      <c r="R8090" s="9" t="s">
        <v>34</v>
      </c>
      <c r="S8090" s="7" t="s">
        <v>1574</v>
      </c>
      <c r="T8090" s="9" t="s">
        <v>39</v>
      </c>
      <c r="U8090" s="7">
        <v>0.56000000000000005</v>
      </c>
      <c r="V8090" s="12">
        <f>C8090+2</f>
        <v>40533</v>
      </c>
      <c r="W8090">
        <f>IF(D8090=' Pivot Tables'!$A$4,1,0)</f>
        <v>0</v>
      </c>
      <c r="X8090">
        <f>IF(AND(LEFT(D8090,4)+1=LEFT(' Pivot Tables'!$A$4,4)+0,RIGHT(LEFT(D8090,7),2)=RIGHT(LEFT(' Pivot Tables'!$A$4,7),2)),1,0)</f>
        <v>0</v>
      </c>
      <c r="Y8090" s="6">
        <f>1/COUNTIF(Таблица1[Order ID],Таблица1[[#This Row],[Order ID]])</f>
        <v>0.5</v>
      </c>
      <c r="Z8090" s="9">
        <f>1/COUNTIFS(Таблица1[Customer Name],Таблица1[[#This Row],[Customer Name]],Таблица1[Order-Year-Month],Таблица1[[#This Row],[Order-Year-Month]])</f>
        <v>0.5</v>
      </c>
    </row>
    <row r="8091" spans="1:26" x14ac:dyDescent="0.2">
      <c r="A8091" s="6">
        <v>5227</v>
      </c>
      <c r="B8091" s="7">
        <v>37218</v>
      </c>
      <c r="C8091" s="8">
        <f>DATE(2012,12,31)-743</f>
        <v>40531</v>
      </c>
      <c r="D8091" s="8" t="str">
        <f t="shared" si="155"/>
        <v>2010-12 (декабрь 2010)</v>
      </c>
      <c r="E8091" s="9" t="s">
        <v>30</v>
      </c>
      <c r="F8091" s="7">
        <v>23</v>
      </c>
      <c r="G8091" s="7">
        <v>147.05000000000001</v>
      </c>
      <c r="H8091" s="7">
        <v>0.08</v>
      </c>
      <c r="I8091" s="9" t="s">
        <v>22</v>
      </c>
      <c r="J8091" s="10">
        <v>-54.91</v>
      </c>
      <c r="K8091" s="11">
        <v>6.48</v>
      </c>
      <c r="L8091" s="11">
        <v>5.82</v>
      </c>
      <c r="M8091" s="9" t="s">
        <v>2111</v>
      </c>
      <c r="N8091" s="6" t="s">
        <v>2073</v>
      </c>
      <c r="O8091" s="6" t="s">
        <v>704</v>
      </c>
      <c r="P8091" s="9" t="s">
        <v>41</v>
      </c>
      <c r="Q8091" s="9" t="s">
        <v>26</v>
      </c>
      <c r="R8091" s="9" t="s">
        <v>61</v>
      </c>
      <c r="S8091" s="7" t="s">
        <v>1766</v>
      </c>
      <c r="T8091" s="9" t="s">
        <v>39</v>
      </c>
      <c r="U8091" s="7">
        <v>0.37</v>
      </c>
      <c r="V8091" s="12">
        <f>C8091+1</f>
        <v>40532</v>
      </c>
      <c r="W8091">
        <f>IF(D8091=' Pivot Tables'!$A$4,1,0)</f>
        <v>0</v>
      </c>
      <c r="X8091">
        <f>IF(AND(LEFT(D8091,4)+1=LEFT(' Pivot Tables'!$A$4,4)+0,RIGHT(LEFT(D8091,7),2)=RIGHT(LEFT(' Pivot Tables'!$A$4,7),2)),1,0)</f>
        <v>0</v>
      </c>
      <c r="Y8091" s="6">
        <f>1/COUNTIF(Таблица1[Order ID],Таблица1[[#This Row],[Order ID]])</f>
        <v>0.5</v>
      </c>
      <c r="Z8091" s="9">
        <f>1/COUNTIFS(Таблица1[Customer Name],Таблица1[[#This Row],[Customer Name]],Таблица1[Order-Year-Month],Таблица1[[#This Row],[Order-Year-Month]])</f>
        <v>0.5</v>
      </c>
    </row>
    <row r="8092" spans="1:26" x14ac:dyDescent="0.2">
      <c r="A8092" s="6">
        <v>5388</v>
      </c>
      <c r="B8092" s="7">
        <v>38311</v>
      </c>
      <c r="C8092" s="8">
        <f>DATE(2012,12,31)-618</f>
        <v>40656</v>
      </c>
      <c r="D8092" s="8" t="str">
        <f t="shared" si="155"/>
        <v>2011-04 (апрель 2011)</v>
      </c>
      <c r="E8092" s="9" t="s">
        <v>63</v>
      </c>
      <c r="F8092" s="7">
        <v>9</v>
      </c>
      <c r="G8092" s="7">
        <v>1201.51</v>
      </c>
      <c r="H8092" s="7">
        <v>0.1</v>
      </c>
      <c r="I8092" s="9" t="s">
        <v>56</v>
      </c>
      <c r="J8092" s="10">
        <v>-185.48</v>
      </c>
      <c r="K8092" s="11">
        <v>140.85</v>
      </c>
      <c r="L8092" s="11">
        <v>19.989999999999998</v>
      </c>
      <c r="M8092" s="9" t="s">
        <v>1973</v>
      </c>
      <c r="N8092" s="6" t="s">
        <v>2073</v>
      </c>
      <c r="O8092" s="6" t="s">
        <v>704</v>
      </c>
      <c r="P8092" s="9" t="s">
        <v>33</v>
      </c>
      <c r="Q8092" s="9" t="s">
        <v>26</v>
      </c>
      <c r="R8092" s="9" t="s">
        <v>27</v>
      </c>
      <c r="S8092" s="7" t="s">
        <v>538</v>
      </c>
      <c r="T8092" s="9" t="s">
        <v>39</v>
      </c>
      <c r="U8092" s="7">
        <v>0.73</v>
      </c>
      <c r="V8092" s="12">
        <f>C8092+2</f>
        <v>40658</v>
      </c>
      <c r="W8092">
        <f>IF(D8092=' Pivot Tables'!$A$4,1,0)</f>
        <v>0</v>
      </c>
      <c r="X8092">
        <f>IF(AND(LEFT(D8092,4)+1=LEFT(' Pivot Tables'!$A$4,4)+0,RIGHT(LEFT(D8092,7),2)=RIGHT(LEFT(' Pivot Tables'!$A$4,7),2)),1,0)</f>
        <v>0</v>
      </c>
      <c r="Y8092" s="6">
        <f>1/COUNTIF(Таблица1[Order ID],Таблица1[[#This Row],[Order ID]])</f>
        <v>1</v>
      </c>
      <c r="Z8092" s="9">
        <f>1/COUNTIFS(Таблица1[Customer Name],Таблица1[[#This Row],[Customer Name]],Таблица1[Order-Year-Month],Таблица1[[#This Row],[Order-Year-Month]])</f>
        <v>1</v>
      </c>
    </row>
    <row r="8093" spans="1:26" x14ac:dyDescent="0.2">
      <c r="A8093" s="6">
        <v>5407</v>
      </c>
      <c r="B8093" s="7">
        <v>38438</v>
      </c>
      <c r="C8093" s="8">
        <f>DATE(2012,12,31)-580</f>
        <v>40694</v>
      </c>
      <c r="D8093" s="8" t="str">
        <f t="shared" si="155"/>
        <v>2011-05 (май 2011)</v>
      </c>
      <c r="E8093" s="9" t="s">
        <v>78</v>
      </c>
      <c r="F8093" s="7">
        <v>16</v>
      </c>
      <c r="G8093" s="7">
        <v>621.92999999999995</v>
      </c>
      <c r="H8093" s="7">
        <v>0.08</v>
      </c>
      <c r="I8093" s="9" t="s">
        <v>22</v>
      </c>
      <c r="J8093" s="10">
        <v>-49.77</v>
      </c>
      <c r="K8093" s="11">
        <v>39.979999999999997</v>
      </c>
      <c r="L8093" s="11">
        <v>4</v>
      </c>
      <c r="M8093" s="9" t="s">
        <v>798</v>
      </c>
      <c r="N8093" s="6" t="s">
        <v>2073</v>
      </c>
      <c r="O8093" s="6" t="s">
        <v>704</v>
      </c>
      <c r="P8093" s="9" t="s">
        <v>60</v>
      </c>
      <c r="Q8093" s="9" t="s">
        <v>42</v>
      </c>
      <c r="R8093" s="9" t="s">
        <v>70</v>
      </c>
      <c r="S8093" s="7" t="s">
        <v>906</v>
      </c>
      <c r="T8093" s="9" t="s">
        <v>39</v>
      </c>
      <c r="U8093" s="7">
        <v>0.7</v>
      </c>
      <c r="V8093" s="12">
        <f>C8093+2</f>
        <v>40696</v>
      </c>
      <c r="W8093">
        <f>IF(D8093=' Pivot Tables'!$A$4,1,0)</f>
        <v>0</v>
      </c>
      <c r="X8093">
        <f>IF(AND(LEFT(D8093,4)+1=LEFT(' Pivot Tables'!$A$4,4)+0,RIGHT(LEFT(D8093,7),2)=RIGHT(LEFT(' Pivot Tables'!$A$4,7),2)),1,0)</f>
        <v>0</v>
      </c>
      <c r="Y8093" s="6">
        <f>1/COUNTIF(Таблица1[Order ID],Таблица1[[#This Row],[Order ID]])</f>
        <v>0.5</v>
      </c>
      <c r="Z8093" s="9">
        <f>1/COUNTIFS(Таблица1[Customer Name],Таблица1[[#This Row],[Customer Name]],Таблица1[Order-Year-Month],Таблица1[[#This Row],[Order-Year-Month]])</f>
        <v>0.5</v>
      </c>
    </row>
    <row r="8094" spans="1:26" x14ac:dyDescent="0.2">
      <c r="A8094" s="6">
        <v>5408</v>
      </c>
      <c r="B8094" s="7">
        <v>38438</v>
      </c>
      <c r="C8094" s="8">
        <f>DATE(2012,12,31)-580</f>
        <v>40694</v>
      </c>
      <c r="D8094" s="8" t="str">
        <f t="shared" si="155"/>
        <v>2011-05 (май 2011)</v>
      </c>
      <c r="E8094" s="9" t="s">
        <v>78</v>
      </c>
      <c r="F8094" s="7">
        <v>17</v>
      </c>
      <c r="G8094" s="7">
        <v>121.09</v>
      </c>
      <c r="H8094" s="7">
        <v>0.05</v>
      </c>
      <c r="I8094" s="9" t="s">
        <v>22</v>
      </c>
      <c r="J8094" s="10">
        <v>-30.51</v>
      </c>
      <c r="K8094" s="11">
        <v>6.68</v>
      </c>
      <c r="L8094" s="11">
        <v>5.66</v>
      </c>
      <c r="M8094" s="9" t="s">
        <v>798</v>
      </c>
      <c r="N8094" s="6" t="s">
        <v>2073</v>
      </c>
      <c r="O8094" s="6" t="s">
        <v>704</v>
      </c>
      <c r="P8094" s="9" t="s">
        <v>60</v>
      </c>
      <c r="Q8094" s="9" t="s">
        <v>26</v>
      </c>
      <c r="R8094" s="9" t="s">
        <v>61</v>
      </c>
      <c r="S8094" s="7" t="s">
        <v>860</v>
      </c>
      <c r="T8094" s="9" t="s">
        <v>39</v>
      </c>
      <c r="U8094" s="7">
        <v>0.37</v>
      </c>
      <c r="V8094" s="12">
        <f>C8094+1</f>
        <v>40695</v>
      </c>
      <c r="W8094">
        <f>IF(D8094=' Pivot Tables'!$A$4,1,0)</f>
        <v>0</v>
      </c>
      <c r="X8094">
        <f>IF(AND(LEFT(D8094,4)+1=LEFT(' Pivot Tables'!$A$4,4)+0,RIGHT(LEFT(D8094,7),2)=RIGHT(LEFT(' Pivot Tables'!$A$4,7),2)),1,0)</f>
        <v>0</v>
      </c>
      <c r="Y8094" s="6">
        <f>1/COUNTIF(Таблица1[Order ID],Таблица1[[#This Row],[Order ID]])</f>
        <v>0.5</v>
      </c>
      <c r="Z8094" s="9">
        <f>1/COUNTIFS(Таблица1[Customer Name],Таблица1[[#This Row],[Customer Name]],Таблица1[Order-Year-Month],Таблица1[[#This Row],[Order-Year-Month]])</f>
        <v>0.5</v>
      </c>
    </row>
    <row r="8095" spans="1:26" x14ac:dyDescent="0.2">
      <c r="A8095" s="6">
        <v>5550</v>
      </c>
      <c r="B8095" s="7">
        <v>39301</v>
      </c>
      <c r="C8095" s="8">
        <f>DATE(2012,12,31)-1380</f>
        <v>39894</v>
      </c>
      <c r="D8095" s="8" t="str">
        <f t="shared" si="155"/>
        <v>2009-03 (март 2009)</v>
      </c>
      <c r="E8095" s="9" t="s">
        <v>63</v>
      </c>
      <c r="F8095" s="7">
        <v>4</v>
      </c>
      <c r="G8095" s="7">
        <v>33.54</v>
      </c>
      <c r="H8095" s="7">
        <v>0.08</v>
      </c>
      <c r="I8095" s="9" t="s">
        <v>22</v>
      </c>
      <c r="J8095" s="10">
        <v>-29.49</v>
      </c>
      <c r="K8095" s="11">
        <v>6.84</v>
      </c>
      <c r="L8095" s="11">
        <v>8.3699999999999992</v>
      </c>
      <c r="M8095" s="9" t="s">
        <v>808</v>
      </c>
      <c r="N8095" s="6" t="s">
        <v>2073</v>
      </c>
      <c r="O8095" s="6" t="s">
        <v>704</v>
      </c>
      <c r="P8095" s="9" t="s">
        <v>41</v>
      </c>
      <c r="Q8095" s="9" t="s">
        <v>26</v>
      </c>
      <c r="R8095" s="9" t="s">
        <v>150</v>
      </c>
      <c r="S8095" s="7" t="s">
        <v>401</v>
      </c>
      <c r="T8095" s="9" t="s">
        <v>52</v>
      </c>
      <c r="U8095" s="7">
        <v>0.57999999999999996</v>
      </c>
      <c r="V8095" s="12">
        <f>C8095+2</f>
        <v>39896</v>
      </c>
      <c r="W8095">
        <f>IF(D8095=' Pivot Tables'!$A$4,1,0)</f>
        <v>0</v>
      </c>
      <c r="X8095">
        <f>IF(AND(LEFT(D8095,4)+1=LEFT(' Pivot Tables'!$A$4,4)+0,RIGHT(LEFT(D8095,7),2)=RIGHT(LEFT(' Pivot Tables'!$A$4,7),2)),1,0)</f>
        <v>0</v>
      </c>
      <c r="Y8095" s="6">
        <f>1/COUNTIF(Таблица1[Order ID],Таблица1[[#This Row],[Order ID]])</f>
        <v>0.5</v>
      </c>
      <c r="Z8095" s="9">
        <f>1/COUNTIFS(Таблица1[Customer Name],Таблица1[[#This Row],[Customer Name]],Таблица1[Order-Year-Month],Таблица1[[#This Row],[Order-Year-Month]])</f>
        <v>0.5</v>
      </c>
    </row>
    <row r="8096" spans="1:26" x14ac:dyDescent="0.2">
      <c r="A8096" s="6">
        <v>5656</v>
      </c>
      <c r="B8096" s="7">
        <v>40007</v>
      </c>
      <c r="C8096" s="8">
        <f>DATE(2012,12,31)-123</f>
        <v>41151</v>
      </c>
      <c r="D8096" s="8" t="str">
        <f t="shared" si="155"/>
        <v>2012-08 (август 2012)</v>
      </c>
      <c r="E8096" s="9" t="s">
        <v>45</v>
      </c>
      <c r="F8096" s="7">
        <v>45</v>
      </c>
      <c r="G8096" s="7">
        <v>188.77</v>
      </c>
      <c r="H8096" s="7">
        <v>0.02</v>
      </c>
      <c r="I8096" s="9" t="s">
        <v>22</v>
      </c>
      <c r="J8096" s="10">
        <v>21.93</v>
      </c>
      <c r="K8096" s="11">
        <v>4.13</v>
      </c>
      <c r="L8096" s="11">
        <v>1.17</v>
      </c>
      <c r="M8096" s="9" t="s">
        <v>2113</v>
      </c>
      <c r="N8096" s="6" t="s">
        <v>2073</v>
      </c>
      <c r="O8096" s="6" t="s">
        <v>704</v>
      </c>
      <c r="P8096" s="9" t="s">
        <v>60</v>
      </c>
      <c r="Q8096" s="9" t="s">
        <v>26</v>
      </c>
      <c r="R8096" s="9" t="s">
        <v>95</v>
      </c>
      <c r="S8096" s="7" t="s">
        <v>1437</v>
      </c>
      <c r="T8096" s="9" t="s">
        <v>68</v>
      </c>
      <c r="U8096" s="7">
        <v>0.56999999999999995</v>
      </c>
      <c r="V8096" s="12">
        <f>C8096+2</f>
        <v>41153</v>
      </c>
      <c r="W8096">
        <f>IF(D8096=' Pivot Tables'!$A$4,1,0)</f>
        <v>0</v>
      </c>
      <c r="X8096">
        <f>IF(AND(LEFT(D8096,4)+1=LEFT(' Pivot Tables'!$A$4,4)+0,RIGHT(LEFT(D8096,7),2)=RIGHT(LEFT(' Pivot Tables'!$A$4,7),2)),1,0)</f>
        <v>0</v>
      </c>
      <c r="Y8096" s="6">
        <f>1/COUNTIF(Таблица1[Order ID],Таблица1[[#This Row],[Order ID]])</f>
        <v>1</v>
      </c>
      <c r="Z8096" s="9">
        <f>1/COUNTIFS(Таблица1[Customer Name],Таблица1[[#This Row],[Customer Name]],Таблица1[Order-Year-Month],Таблица1[[#This Row],[Order-Year-Month]])</f>
        <v>1</v>
      </c>
    </row>
    <row r="8097" spans="1:26" x14ac:dyDescent="0.2">
      <c r="A8097" s="6">
        <v>5660</v>
      </c>
      <c r="B8097" s="7">
        <v>40065</v>
      </c>
      <c r="C8097" s="8">
        <f>DATE(2012,12,31)-318</f>
        <v>40956</v>
      </c>
      <c r="D8097" s="8" t="str">
        <f t="shared" si="155"/>
        <v>2012-02 (февраль 2012)</v>
      </c>
      <c r="E8097" s="9" t="s">
        <v>30</v>
      </c>
      <c r="F8097" s="7">
        <v>49</v>
      </c>
      <c r="G8097" s="7">
        <v>21141.07</v>
      </c>
      <c r="H8097" s="7">
        <v>0.06</v>
      </c>
      <c r="I8097" s="9" t="s">
        <v>22</v>
      </c>
      <c r="J8097" s="10">
        <v>6225.36</v>
      </c>
      <c r="K8097" s="11">
        <v>449.99</v>
      </c>
      <c r="L8097" s="11">
        <v>24.49</v>
      </c>
      <c r="M8097" s="9" t="s">
        <v>1973</v>
      </c>
      <c r="N8097" s="6" t="s">
        <v>2073</v>
      </c>
      <c r="O8097" s="6" t="s">
        <v>704</v>
      </c>
      <c r="P8097" s="9" t="s">
        <v>33</v>
      </c>
      <c r="Q8097" s="9" t="s">
        <v>42</v>
      </c>
      <c r="R8097" s="9" t="s">
        <v>99</v>
      </c>
      <c r="S8097" s="7" t="s">
        <v>100</v>
      </c>
      <c r="T8097" s="9" t="s">
        <v>29</v>
      </c>
      <c r="U8097" s="7">
        <v>0.52</v>
      </c>
      <c r="V8097" s="12">
        <f>C8097+1</f>
        <v>40957</v>
      </c>
      <c r="W8097">
        <f>IF(D8097=' Pivot Tables'!$A$4,1,0)</f>
        <v>0</v>
      </c>
      <c r="X8097">
        <f>IF(AND(LEFT(D8097,4)+1=LEFT(' Pivot Tables'!$A$4,4)+0,RIGHT(LEFT(D8097,7),2)=RIGHT(LEFT(' Pivot Tables'!$A$4,7),2)),1,0)</f>
        <v>0</v>
      </c>
      <c r="Y8097" s="6">
        <f>1/COUNTIF(Таблица1[Order ID],Таблица1[[#This Row],[Order ID]])</f>
        <v>0.5</v>
      </c>
      <c r="Z8097" s="9">
        <f>1/COUNTIFS(Таблица1[Customer Name],Таблица1[[#This Row],[Customer Name]],Таблица1[Order-Year-Month],Таблица1[[#This Row],[Order-Year-Month]])</f>
        <v>0.5</v>
      </c>
    </row>
    <row r="8098" spans="1:26" x14ac:dyDescent="0.2">
      <c r="A8098" s="6">
        <v>5661</v>
      </c>
      <c r="B8098" s="7">
        <v>40065</v>
      </c>
      <c r="C8098" s="8">
        <f>DATE(2012,12,31)-318</f>
        <v>40956</v>
      </c>
      <c r="D8098" s="8" t="str">
        <f t="shared" si="155"/>
        <v>2012-02 (февраль 2012)</v>
      </c>
      <c r="E8098" s="9" t="s">
        <v>30</v>
      </c>
      <c r="F8098" s="7">
        <v>4</v>
      </c>
      <c r="G8098" s="7">
        <v>76.865499999999997</v>
      </c>
      <c r="H8098" s="7">
        <v>0.04</v>
      </c>
      <c r="I8098" s="9" t="s">
        <v>56</v>
      </c>
      <c r="J8098" s="10">
        <v>-54.505000000000003</v>
      </c>
      <c r="K8098" s="11">
        <v>20.99</v>
      </c>
      <c r="L8098" s="11">
        <v>0.99</v>
      </c>
      <c r="M8098" s="9" t="s">
        <v>1973</v>
      </c>
      <c r="N8098" s="6" t="s">
        <v>2073</v>
      </c>
      <c r="O8098" s="6" t="s">
        <v>704</v>
      </c>
      <c r="P8098" s="9" t="s">
        <v>33</v>
      </c>
      <c r="Q8098" s="9" t="s">
        <v>42</v>
      </c>
      <c r="R8098" s="9" t="s">
        <v>43</v>
      </c>
      <c r="S8098" s="7" t="s">
        <v>272</v>
      </c>
      <c r="T8098" s="9" t="s">
        <v>68</v>
      </c>
      <c r="U8098" s="7">
        <v>0.37</v>
      </c>
      <c r="V8098" s="12">
        <f>C8098+1</f>
        <v>40957</v>
      </c>
      <c r="W8098">
        <f>IF(D8098=' Pivot Tables'!$A$4,1,0)</f>
        <v>0</v>
      </c>
      <c r="X8098">
        <f>IF(AND(LEFT(D8098,4)+1=LEFT(' Pivot Tables'!$A$4,4)+0,RIGHT(LEFT(D8098,7),2)=RIGHT(LEFT(' Pivot Tables'!$A$4,7),2)),1,0)</f>
        <v>0</v>
      </c>
      <c r="Y8098" s="6">
        <f>1/COUNTIF(Таблица1[Order ID],Таблица1[[#This Row],[Order ID]])</f>
        <v>0.5</v>
      </c>
      <c r="Z8098" s="9">
        <f>1/COUNTIFS(Таблица1[Customer Name],Таблица1[[#This Row],[Customer Name]],Таблица1[Order-Year-Month],Таблица1[[#This Row],[Order-Year-Month]])</f>
        <v>0.5</v>
      </c>
    </row>
    <row r="8099" spans="1:26" x14ac:dyDescent="0.2">
      <c r="A8099" s="6">
        <v>5671</v>
      </c>
      <c r="B8099" s="7">
        <v>40102</v>
      </c>
      <c r="C8099" s="8">
        <f>DATE(2012,12,31)-697</f>
        <v>40577</v>
      </c>
      <c r="D8099" s="8" t="str">
        <f t="shared" si="155"/>
        <v>2011-02 (февраль 2011)</v>
      </c>
      <c r="E8099" s="9" t="s">
        <v>63</v>
      </c>
      <c r="F8099" s="7">
        <v>46</v>
      </c>
      <c r="G8099" s="7">
        <v>412.37</v>
      </c>
      <c r="H8099" s="7">
        <v>0.06</v>
      </c>
      <c r="I8099" s="9" t="s">
        <v>56</v>
      </c>
      <c r="J8099" s="10">
        <v>2.71</v>
      </c>
      <c r="K8099" s="11">
        <v>8.67</v>
      </c>
      <c r="L8099" s="11">
        <v>3.5</v>
      </c>
      <c r="M8099" s="9" t="s">
        <v>2110</v>
      </c>
      <c r="N8099" s="6" t="s">
        <v>2073</v>
      </c>
      <c r="O8099" s="6" t="s">
        <v>704</v>
      </c>
      <c r="P8099" s="9" t="s">
        <v>41</v>
      </c>
      <c r="Q8099" s="9" t="s">
        <v>26</v>
      </c>
      <c r="R8099" s="9" t="s">
        <v>34</v>
      </c>
      <c r="S8099" s="7" t="s">
        <v>1128</v>
      </c>
      <c r="T8099" s="9" t="s">
        <v>39</v>
      </c>
      <c r="U8099" s="7">
        <v>0.57999999999999996</v>
      </c>
      <c r="V8099" s="12">
        <f>C8099+2</f>
        <v>40579</v>
      </c>
      <c r="W8099">
        <f>IF(D8099=' Pivot Tables'!$A$4,1,0)</f>
        <v>0</v>
      </c>
      <c r="X8099">
        <f>IF(AND(LEFT(D8099,4)+1=LEFT(' Pivot Tables'!$A$4,4)+0,RIGHT(LEFT(D8099,7),2)=RIGHT(LEFT(' Pivot Tables'!$A$4,7),2)),1,0)</f>
        <v>0</v>
      </c>
      <c r="Y8099" s="6">
        <f>1/COUNTIF(Таблица1[Order ID],Таблица1[[#This Row],[Order ID]])</f>
        <v>1</v>
      </c>
      <c r="Z8099" s="9">
        <f>1/COUNTIFS(Таблица1[Customer Name],Таблица1[[#This Row],[Customer Name]],Таблица1[Order-Year-Month],Таблица1[[#This Row],[Order-Year-Month]])</f>
        <v>1</v>
      </c>
    </row>
    <row r="8100" spans="1:26" x14ac:dyDescent="0.2">
      <c r="A8100" s="6">
        <v>5707</v>
      </c>
      <c r="B8100" s="7">
        <v>40357</v>
      </c>
      <c r="C8100" s="8">
        <f>DATE(2012,12,31)-163</f>
        <v>41111</v>
      </c>
      <c r="D8100" s="8" t="str">
        <f t="shared" si="155"/>
        <v>2012-07 (июль 2012)</v>
      </c>
      <c r="E8100" s="9" t="s">
        <v>45</v>
      </c>
      <c r="F8100" s="7">
        <v>4</v>
      </c>
      <c r="G8100" s="7">
        <v>240.49</v>
      </c>
      <c r="H8100" s="7">
        <v>0.05</v>
      </c>
      <c r="I8100" s="9" t="s">
        <v>22</v>
      </c>
      <c r="J8100" s="10">
        <v>-53.9</v>
      </c>
      <c r="K8100" s="11">
        <v>56.96</v>
      </c>
      <c r="L8100" s="11">
        <v>13.22</v>
      </c>
      <c r="M8100" s="9" t="s">
        <v>798</v>
      </c>
      <c r="N8100" s="6" t="s">
        <v>2073</v>
      </c>
      <c r="O8100" s="6" t="s">
        <v>704</v>
      </c>
      <c r="P8100" s="9" t="s">
        <v>60</v>
      </c>
      <c r="Q8100" s="9" t="s">
        <v>26</v>
      </c>
      <c r="R8100" s="9" t="s">
        <v>34</v>
      </c>
      <c r="S8100" s="7" t="s">
        <v>541</v>
      </c>
      <c r="T8100" s="9" t="s">
        <v>39</v>
      </c>
      <c r="U8100" s="7">
        <v>0.56000000000000005</v>
      </c>
      <c r="V8100" s="12">
        <f>C8100+1</f>
        <v>41112</v>
      </c>
      <c r="W8100">
        <f>IF(D8100=' Pivot Tables'!$A$4,1,0)</f>
        <v>0</v>
      </c>
      <c r="X8100">
        <f>IF(AND(LEFT(D8100,4)+1=LEFT(' Pivot Tables'!$A$4,4)+0,RIGHT(LEFT(D8100,7),2)=RIGHT(LEFT(' Pivot Tables'!$A$4,7),2)),1,0)</f>
        <v>0</v>
      </c>
      <c r="Y8100" s="6">
        <f>1/COUNTIF(Таблица1[Order ID],Таблица1[[#This Row],[Order ID]])</f>
        <v>1</v>
      </c>
      <c r="Z8100" s="9">
        <f>1/COUNTIFS(Таблица1[Customer Name],Таблица1[[#This Row],[Customer Name]],Таблица1[Order-Year-Month],Таблица1[[#This Row],[Order-Year-Month]])</f>
        <v>0.33333333333333331</v>
      </c>
    </row>
    <row r="8101" spans="1:26" x14ac:dyDescent="0.2">
      <c r="A8101" s="6">
        <v>5799</v>
      </c>
      <c r="B8101" s="7">
        <v>41123</v>
      </c>
      <c r="C8101" s="8">
        <f>DATE(2012,12,31)-756</f>
        <v>40518</v>
      </c>
      <c r="D8101" s="8" t="str">
        <f t="shared" si="155"/>
        <v>2010-12 (декабрь 2010)</v>
      </c>
      <c r="E8101" s="9" t="s">
        <v>21</v>
      </c>
      <c r="F8101" s="7">
        <v>27</v>
      </c>
      <c r="G8101" s="7">
        <v>322.45999999999998</v>
      </c>
      <c r="H8101" s="7">
        <v>0.04</v>
      </c>
      <c r="I8101" s="9" t="s">
        <v>22</v>
      </c>
      <c r="J8101" s="10">
        <v>54.29</v>
      </c>
      <c r="K8101" s="11">
        <v>11.34</v>
      </c>
      <c r="L8101" s="11">
        <v>5.01</v>
      </c>
      <c r="M8101" s="9" t="s">
        <v>1958</v>
      </c>
      <c r="N8101" s="6" t="s">
        <v>2073</v>
      </c>
      <c r="O8101" s="6" t="s">
        <v>704</v>
      </c>
      <c r="P8101" s="9" t="s">
        <v>25</v>
      </c>
      <c r="Q8101" s="9" t="s">
        <v>26</v>
      </c>
      <c r="R8101" s="9" t="s">
        <v>61</v>
      </c>
      <c r="S8101" s="7" t="s">
        <v>226</v>
      </c>
      <c r="T8101" s="9" t="s">
        <v>39</v>
      </c>
      <c r="U8101" s="7">
        <v>0.36</v>
      </c>
      <c r="V8101" s="12">
        <f>C8101+5</f>
        <v>40523</v>
      </c>
      <c r="W8101">
        <f>IF(D8101=' Pivot Tables'!$A$4,1,0)</f>
        <v>0</v>
      </c>
      <c r="X8101">
        <f>IF(AND(LEFT(D8101,4)+1=LEFT(' Pivot Tables'!$A$4,4)+0,RIGHT(LEFT(D8101,7),2)=RIGHT(LEFT(' Pivot Tables'!$A$4,7),2)),1,0)</f>
        <v>0</v>
      </c>
      <c r="Y8101" s="6">
        <f>1/COUNTIF(Таблица1[Order ID],Таблица1[[#This Row],[Order ID]])</f>
        <v>1</v>
      </c>
      <c r="Z8101" s="9">
        <f>1/COUNTIFS(Таблица1[Customer Name],Таблица1[[#This Row],[Customer Name]],Таблица1[Order-Year-Month],Таблица1[[#This Row],[Order-Year-Month]])</f>
        <v>1</v>
      </c>
    </row>
    <row r="8102" spans="1:26" x14ac:dyDescent="0.2">
      <c r="A8102" s="6">
        <v>5891</v>
      </c>
      <c r="B8102" s="7">
        <v>41794</v>
      </c>
      <c r="C8102" s="8">
        <f>DATE(2012,12,31)-584</f>
        <v>40690</v>
      </c>
      <c r="D8102" s="8" t="str">
        <f t="shared" si="155"/>
        <v>2011-05 (май 2011)</v>
      </c>
      <c r="E8102" s="9" t="s">
        <v>78</v>
      </c>
      <c r="F8102" s="7">
        <v>48</v>
      </c>
      <c r="G8102" s="7">
        <v>836.59</v>
      </c>
      <c r="H8102" s="7">
        <v>0.06</v>
      </c>
      <c r="I8102" s="9" t="s">
        <v>22</v>
      </c>
      <c r="J8102" s="10">
        <v>-106.8</v>
      </c>
      <c r="K8102" s="11">
        <v>17.989999999999998</v>
      </c>
      <c r="L8102" s="11">
        <v>8.65</v>
      </c>
      <c r="M8102" s="9" t="s">
        <v>2113</v>
      </c>
      <c r="N8102" s="6" t="s">
        <v>2073</v>
      </c>
      <c r="O8102" s="6" t="s">
        <v>704</v>
      </c>
      <c r="P8102" s="9" t="s">
        <v>60</v>
      </c>
      <c r="Q8102" s="9" t="s">
        <v>26</v>
      </c>
      <c r="R8102" s="9" t="s">
        <v>95</v>
      </c>
      <c r="S8102" s="7" t="s">
        <v>1050</v>
      </c>
      <c r="T8102" s="9" t="s">
        <v>39</v>
      </c>
      <c r="U8102" s="7">
        <v>0.56999999999999995</v>
      </c>
      <c r="V8102" s="12">
        <f>C8102+1</f>
        <v>40691</v>
      </c>
      <c r="W8102">
        <f>IF(D8102=' Pivot Tables'!$A$4,1,0)</f>
        <v>0</v>
      </c>
      <c r="X8102">
        <f>IF(AND(LEFT(D8102,4)+1=LEFT(' Pivot Tables'!$A$4,4)+0,RIGHT(LEFT(D8102,7),2)=RIGHT(LEFT(' Pivot Tables'!$A$4,7),2)),1,0)</f>
        <v>0</v>
      </c>
      <c r="Y8102" s="6">
        <f>1/COUNTIF(Таблица1[Order ID],Таблица1[[#This Row],[Order ID]])</f>
        <v>0.33333333333333331</v>
      </c>
      <c r="Z8102" s="9">
        <f>1/COUNTIFS(Таблица1[Customer Name],Таблица1[[#This Row],[Customer Name]],Таблица1[Order-Year-Month],Таблица1[[#This Row],[Order-Year-Month]])</f>
        <v>0.33333333333333331</v>
      </c>
    </row>
    <row r="8103" spans="1:26" x14ac:dyDescent="0.2">
      <c r="A8103" s="6">
        <v>5892</v>
      </c>
      <c r="B8103" s="7">
        <v>41794</v>
      </c>
      <c r="C8103" s="8">
        <f>DATE(2012,12,31)-584</f>
        <v>40690</v>
      </c>
      <c r="D8103" s="8" t="str">
        <f t="shared" si="155"/>
        <v>2011-05 (май 2011)</v>
      </c>
      <c r="E8103" s="9" t="s">
        <v>78</v>
      </c>
      <c r="F8103" s="7">
        <v>21</v>
      </c>
      <c r="G8103" s="7">
        <v>58.14</v>
      </c>
      <c r="H8103" s="7">
        <v>0.04</v>
      </c>
      <c r="I8103" s="9" t="s">
        <v>22</v>
      </c>
      <c r="J8103" s="10">
        <v>-2.23</v>
      </c>
      <c r="K8103" s="11">
        <v>2.78</v>
      </c>
      <c r="L8103" s="11">
        <v>0.97</v>
      </c>
      <c r="M8103" s="9" t="s">
        <v>2113</v>
      </c>
      <c r="N8103" s="6" t="s">
        <v>2073</v>
      </c>
      <c r="O8103" s="6" t="s">
        <v>704</v>
      </c>
      <c r="P8103" s="9" t="s">
        <v>60</v>
      </c>
      <c r="Q8103" s="9" t="s">
        <v>26</v>
      </c>
      <c r="R8103" s="9" t="s">
        <v>95</v>
      </c>
      <c r="S8103" s="7" t="s">
        <v>1183</v>
      </c>
      <c r="T8103" s="9" t="s">
        <v>68</v>
      </c>
      <c r="U8103" s="7">
        <v>0.59</v>
      </c>
      <c r="V8103" s="12">
        <f>C8103+2</f>
        <v>40692</v>
      </c>
      <c r="W8103">
        <f>IF(D8103=' Pivot Tables'!$A$4,1,0)</f>
        <v>0</v>
      </c>
      <c r="X8103">
        <f>IF(AND(LEFT(D8103,4)+1=LEFT(' Pivot Tables'!$A$4,4)+0,RIGHT(LEFT(D8103,7),2)=RIGHT(LEFT(' Pivot Tables'!$A$4,7),2)),1,0)</f>
        <v>0</v>
      </c>
      <c r="Y8103" s="6">
        <f>1/COUNTIF(Таблица1[Order ID],Таблица1[[#This Row],[Order ID]])</f>
        <v>0.33333333333333331</v>
      </c>
      <c r="Z8103" s="9">
        <f>1/COUNTIFS(Таблица1[Customer Name],Таблица1[[#This Row],[Customer Name]],Таблица1[Order-Year-Month],Таблица1[[#This Row],[Order-Year-Month]])</f>
        <v>0.33333333333333331</v>
      </c>
    </row>
    <row r="8104" spans="1:26" x14ac:dyDescent="0.2">
      <c r="A8104" s="6">
        <v>5893</v>
      </c>
      <c r="B8104" s="7">
        <v>41794</v>
      </c>
      <c r="C8104" s="8">
        <f>DATE(2012,12,31)-584</f>
        <v>40690</v>
      </c>
      <c r="D8104" s="8" t="str">
        <f t="shared" si="155"/>
        <v>2011-05 (май 2011)</v>
      </c>
      <c r="E8104" s="9" t="s">
        <v>78</v>
      </c>
      <c r="F8104" s="7">
        <v>49</v>
      </c>
      <c r="G8104" s="7">
        <v>891.60749999999996</v>
      </c>
      <c r="H8104" s="7">
        <v>0.06</v>
      </c>
      <c r="I8104" s="9" t="s">
        <v>22</v>
      </c>
      <c r="J8104" s="10">
        <v>100.59299999999999</v>
      </c>
      <c r="K8104" s="11">
        <v>20.99</v>
      </c>
      <c r="L8104" s="11">
        <v>4.8099999999999996</v>
      </c>
      <c r="M8104" s="9" t="s">
        <v>2113</v>
      </c>
      <c r="N8104" s="6" t="s">
        <v>2073</v>
      </c>
      <c r="O8104" s="6" t="s">
        <v>704</v>
      </c>
      <c r="P8104" s="9" t="s">
        <v>60</v>
      </c>
      <c r="Q8104" s="9" t="s">
        <v>42</v>
      </c>
      <c r="R8104" s="9" t="s">
        <v>43</v>
      </c>
      <c r="S8104" s="7" t="s">
        <v>760</v>
      </c>
      <c r="T8104" s="9" t="s">
        <v>48</v>
      </c>
      <c r="U8104" s="7">
        <v>0.57999999999999996</v>
      </c>
      <c r="V8104" s="12">
        <f>C8104+2</f>
        <v>40692</v>
      </c>
      <c r="W8104">
        <f>IF(D8104=' Pivot Tables'!$A$4,1,0)</f>
        <v>0</v>
      </c>
      <c r="X8104">
        <f>IF(AND(LEFT(D8104,4)+1=LEFT(' Pivot Tables'!$A$4,4)+0,RIGHT(LEFT(D8104,7),2)=RIGHT(LEFT(' Pivot Tables'!$A$4,7),2)),1,0)</f>
        <v>0</v>
      </c>
      <c r="Y8104" s="6">
        <f>1/COUNTIF(Таблица1[Order ID],Таблица1[[#This Row],[Order ID]])</f>
        <v>0.33333333333333331</v>
      </c>
      <c r="Z8104" s="9">
        <f>1/COUNTIFS(Таблица1[Customer Name],Таблица1[[#This Row],[Customer Name]],Таблица1[Order-Year-Month],Таблица1[[#This Row],[Order-Year-Month]])</f>
        <v>0.33333333333333331</v>
      </c>
    </row>
    <row r="8105" spans="1:26" x14ac:dyDescent="0.2">
      <c r="A8105" s="6">
        <v>6032</v>
      </c>
      <c r="B8105" s="7">
        <v>42725</v>
      </c>
      <c r="C8105" s="8">
        <f>DATE(2012,12,31)-609</f>
        <v>40665</v>
      </c>
      <c r="D8105" s="8" t="str">
        <f t="shared" si="155"/>
        <v>2011-05 (май 2011)</v>
      </c>
      <c r="E8105" s="9" t="s">
        <v>63</v>
      </c>
      <c r="F8105" s="7">
        <v>18</v>
      </c>
      <c r="G8105" s="7">
        <v>231.06</v>
      </c>
      <c r="H8105" s="7">
        <v>0.04</v>
      </c>
      <c r="I8105" s="9" t="s">
        <v>22</v>
      </c>
      <c r="J8105" s="10">
        <v>-29.83</v>
      </c>
      <c r="K8105" s="11">
        <v>12.28</v>
      </c>
      <c r="L8105" s="11">
        <v>6.13</v>
      </c>
      <c r="M8105" s="9" t="s">
        <v>2111</v>
      </c>
      <c r="N8105" s="6" t="s">
        <v>2073</v>
      </c>
      <c r="O8105" s="6" t="s">
        <v>704</v>
      </c>
      <c r="P8105" s="9" t="s">
        <v>41</v>
      </c>
      <c r="Q8105" s="9" t="s">
        <v>26</v>
      </c>
      <c r="R8105" s="9" t="s">
        <v>27</v>
      </c>
      <c r="S8105" s="7" t="s">
        <v>275</v>
      </c>
      <c r="T8105" s="9" t="s">
        <v>39</v>
      </c>
      <c r="U8105" s="7">
        <v>0.56999999999999995</v>
      </c>
      <c r="V8105" s="12">
        <f>C8105+1</f>
        <v>40666</v>
      </c>
      <c r="W8105">
        <f>IF(D8105=' Pivot Tables'!$A$4,1,0)</f>
        <v>0</v>
      </c>
      <c r="X8105">
        <f>IF(AND(LEFT(D8105,4)+1=LEFT(' Pivot Tables'!$A$4,4)+0,RIGHT(LEFT(D8105,7),2)=RIGHT(LEFT(' Pivot Tables'!$A$4,7),2)),1,0)</f>
        <v>0</v>
      </c>
      <c r="Y8105" s="6">
        <f>1/COUNTIF(Таблица1[Order ID],Таблица1[[#This Row],[Order ID]])</f>
        <v>1</v>
      </c>
      <c r="Z8105" s="9">
        <f>1/COUNTIFS(Таблица1[Customer Name],Таблица1[[#This Row],[Customer Name]],Таблица1[Order-Year-Month],Таблица1[[#This Row],[Order-Year-Month]])</f>
        <v>0.5</v>
      </c>
    </row>
    <row r="8106" spans="1:26" x14ac:dyDescent="0.2">
      <c r="A8106" s="6">
        <v>6110</v>
      </c>
      <c r="B8106" s="7">
        <v>43296</v>
      </c>
      <c r="C8106" s="8">
        <f>DATE(2012,12,31)-303</f>
        <v>40971</v>
      </c>
      <c r="D8106" s="8" t="str">
        <f t="shared" si="155"/>
        <v>2012-03 (март 2012)</v>
      </c>
      <c r="E8106" s="9" t="s">
        <v>63</v>
      </c>
      <c r="F8106" s="7">
        <v>41</v>
      </c>
      <c r="G8106" s="7">
        <v>1665.81</v>
      </c>
      <c r="H8106" s="7">
        <v>0.06</v>
      </c>
      <c r="I8106" s="9" t="s">
        <v>22</v>
      </c>
      <c r="J8106" s="10">
        <v>557.52350000000001</v>
      </c>
      <c r="K8106" s="11">
        <v>40.98</v>
      </c>
      <c r="L8106" s="11">
        <v>7.47</v>
      </c>
      <c r="M8106" s="9" t="s">
        <v>2113</v>
      </c>
      <c r="N8106" s="6" t="s">
        <v>2073</v>
      </c>
      <c r="O8106" s="6" t="s">
        <v>704</v>
      </c>
      <c r="P8106" s="9" t="s">
        <v>41</v>
      </c>
      <c r="Q8106" s="9" t="s">
        <v>26</v>
      </c>
      <c r="R8106" s="9" t="s">
        <v>37</v>
      </c>
      <c r="S8106" s="7" t="s">
        <v>591</v>
      </c>
      <c r="T8106" s="9" t="s">
        <v>39</v>
      </c>
      <c r="U8106" s="7">
        <v>0.37</v>
      </c>
      <c r="V8106" s="12">
        <f>C8106+1</f>
        <v>40972</v>
      </c>
      <c r="W8106">
        <f>IF(D8106=' Pivot Tables'!$A$4,1,0)</f>
        <v>0</v>
      </c>
      <c r="X8106">
        <f>IF(AND(LEFT(D8106,4)+1=LEFT(' Pivot Tables'!$A$4,4)+0,RIGHT(LEFT(D8106,7),2)=RIGHT(LEFT(' Pivot Tables'!$A$4,7),2)),1,0)</f>
        <v>0</v>
      </c>
      <c r="Y8106" s="6">
        <f>1/COUNTIF(Таблица1[Order ID],Таблица1[[#This Row],[Order ID]])</f>
        <v>1</v>
      </c>
      <c r="Z8106" s="9">
        <f>1/COUNTIFS(Таблица1[Customer Name],Таблица1[[#This Row],[Customer Name]],Таблица1[Order-Year-Month],Таблица1[[#This Row],[Order-Year-Month]])</f>
        <v>1</v>
      </c>
    </row>
    <row r="8107" spans="1:26" x14ac:dyDescent="0.2">
      <c r="A8107" s="6">
        <v>6257</v>
      </c>
      <c r="B8107" s="7">
        <v>44294</v>
      </c>
      <c r="C8107" s="8">
        <f>DATE(2012,12,31)-1307</f>
        <v>39967</v>
      </c>
      <c r="D8107" s="8" t="str">
        <f t="shared" si="155"/>
        <v>2009-06 (июнь 2009)</v>
      </c>
      <c r="E8107" s="9" t="s">
        <v>21</v>
      </c>
      <c r="F8107" s="7">
        <v>15</v>
      </c>
      <c r="G8107" s="7">
        <v>107.86</v>
      </c>
      <c r="H8107" s="7">
        <v>0.09</v>
      </c>
      <c r="I8107" s="9" t="s">
        <v>56</v>
      </c>
      <c r="J8107" s="10">
        <v>-85.29</v>
      </c>
      <c r="K8107" s="11">
        <v>6.48</v>
      </c>
      <c r="L8107" s="11">
        <v>9.68</v>
      </c>
      <c r="M8107" s="9" t="s">
        <v>1291</v>
      </c>
      <c r="N8107" s="6" t="s">
        <v>2073</v>
      </c>
      <c r="O8107" s="6" t="s">
        <v>704</v>
      </c>
      <c r="P8107" s="9" t="s">
        <v>33</v>
      </c>
      <c r="Q8107" s="9" t="s">
        <v>26</v>
      </c>
      <c r="R8107" s="9" t="s">
        <v>61</v>
      </c>
      <c r="S8107" s="7" t="s">
        <v>766</v>
      </c>
      <c r="T8107" s="9" t="s">
        <v>39</v>
      </c>
      <c r="U8107" s="7">
        <v>0.36</v>
      </c>
      <c r="V8107" s="12">
        <f>C8107+7</f>
        <v>39974</v>
      </c>
      <c r="W8107">
        <f>IF(D8107=' Pivot Tables'!$A$4,1,0)</f>
        <v>0</v>
      </c>
      <c r="X8107">
        <f>IF(AND(LEFT(D8107,4)+1=LEFT(' Pivot Tables'!$A$4,4)+0,RIGHT(LEFT(D8107,7),2)=RIGHT(LEFT(' Pivot Tables'!$A$4,7),2)),1,0)</f>
        <v>0</v>
      </c>
      <c r="Y8107" s="6">
        <f>1/COUNTIF(Таблица1[Order ID],Таблица1[[#This Row],[Order ID]])</f>
        <v>0.33333333333333331</v>
      </c>
      <c r="Z8107" s="9">
        <f>1/COUNTIFS(Таблица1[Customer Name],Таблица1[[#This Row],[Customer Name]],Таблица1[Order-Year-Month],Таблица1[[#This Row],[Order-Year-Month]])</f>
        <v>0.33333333333333331</v>
      </c>
    </row>
    <row r="8108" spans="1:26" x14ac:dyDescent="0.2">
      <c r="A8108" s="6">
        <v>6258</v>
      </c>
      <c r="B8108" s="7">
        <v>44294</v>
      </c>
      <c r="C8108" s="8">
        <f>DATE(2012,12,31)-1307</f>
        <v>39967</v>
      </c>
      <c r="D8108" s="8" t="str">
        <f t="shared" si="155"/>
        <v>2009-06 (июнь 2009)</v>
      </c>
      <c r="E8108" s="9" t="s">
        <v>21</v>
      </c>
      <c r="F8108" s="7">
        <v>13</v>
      </c>
      <c r="G8108" s="7">
        <v>305.60000000000002</v>
      </c>
      <c r="H8108" s="7">
        <v>0.09</v>
      </c>
      <c r="I8108" s="9" t="s">
        <v>31</v>
      </c>
      <c r="J8108" s="10">
        <v>-445.77</v>
      </c>
      <c r="K8108" s="11">
        <v>20.98</v>
      </c>
      <c r="L8108" s="11">
        <v>45</v>
      </c>
      <c r="M8108" s="9" t="s">
        <v>1291</v>
      </c>
      <c r="N8108" s="6" t="s">
        <v>2073</v>
      </c>
      <c r="O8108" s="6" t="s">
        <v>704</v>
      </c>
      <c r="P8108" s="9" t="s">
        <v>33</v>
      </c>
      <c r="Q8108" s="9" t="s">
        <v>26</v>
      </c>
      <c r="R8108" s="9" t="s">
        <v>27</v>
      </c>
      <c r="S8108" s="7" t="s">
        <v>578</v>
      </c>
      <c r="T8108" s="9" t="s">
        <v>36</v>
      </c>
      <c r="U8108" s="7">
        <v>0.61</v>
      </c>
      <c r="V8108" s="12">
        <f>C8108+0</f>
        <v>39967</v>
      </c>
      <c r="W8108">
        <f>IF(D8108=' Pivot Tables'!$A$4,1,0)</f>
        <v>0</v>
      </c>
      <c r="X8108">
        <f>IF(AND(LEFT(D8108,4)+1=LEFT(' Pivot Tables'!$A$4,4)+0,RIGHT(LEFT(D8108,7),2)=RIGHT(LEFT(' Pivot Tables'!$A$4,7),2)),1,0)</f>
        <v>0</v>
      </c>
      <c r="Y8108" s="6">
        <f>1/COUNTIF(Таблица1[Order ID],Таблица1[[#This Row],[Order ID]])</f>
        <v>0.33333333333333331</v>
      </c>
      <c r="Z8108" s="9">
        <f>1/COUNTIFS(Таблица1[Customer Name],Таблица1[[#This Row],[Customer Name]],Таблица1[Order-Year-Month],Таблица1[[#This Row],[Order-Year-Month]])</f>
        <v>0.33333333333333331</v>
      </c>
    </row>
    <row r="8109" spans="1:26" x14ac:dyDescent="0.2">
      <c r="A8109" s="6">
        <v>6259</v>
      </c>
      <c r="B8109" s="7">
        <v>44294</v>
      </c>
      <c r="C8109" s="8">
        <f>DATE(2012,12,31)-1307</f>
        <v>39967</v>
      </c>
      <c r="D8109" s="8" t="str">
        <f t="shared" si="155"/>
        <v>2009-06 (июнь 2009)</v>
      </c>
      <c r="E8109" s="9" t="s">
        <v>21</v>
      </c>
      <c r="F8109" s="7">
        <v>8</v>
      </c>
      <c r="G8109" s="7">
        <v>447.04049999999995</v>
      </c>
      <c r="H8109" s="7">
        <v>0.04</v>
      </c>
      <c r="I8109" s="9" t="s">
        <v>22</v>
      </c>
      <c r="J8109" s="10">
        <v>-206.15100000000001</v>
      </c>
      <c r="K8109" s="11">
        <v>65.989999999999995</v>
      </c>
      <c r="L8109" s="11">
        <v>8.99</v>
      </c>
      <c r="M8109" s="9" t="s">
        <v>1291</v>
      </c>
      <c r="N8109" s="6" t="s">
        <v>2073</v>
      </c>
      <c r="O8109" s="6" t="s">
        <v>704</v>
      </c>
      <c r="P8109" s="9" t="s">
        <v>33</v>
      </c>
      <c r="Q8109" s="9" t="s">
        <v>42</v>
      </c>
      <c r="R8109" s="9" t="s">
        <v>43</v>
      </c>
      <c r="S8109" s="7" t="s">
        <v>1599</v>
      </c>
      <c r="T8109" s="9" t="s">
        <v>39</v>
      </c>
      <c r="U8109" s="7">
        <v>0.59</v>
      </c>
      <c r="V8109" s="12">
        <f>C8109+2</f>
        <v>39969</v>
      </c>
      <c r="W8109">
        <f>IF(D8109=' Pivot Tables'!$A$4,1,0)</f>
        <v>0</v>
      </c>
      <c r="X8109">
        <f>IF(AND(LEFT(D8109,4)+1=LEFT(' Pivot Tables'!$A$4,4)+0,RIGHT(LEFT(D8109,7),2)=RIGHT(LEFT(' Pivot Tables'!$A$4,7),2)),1,0)</f>
        <v>0</v>
      </c>
      <c r="Y8109" s="6">
        <f>1/COUNTIF(Таблица1[Order ID],Таблица1[[#This Row],[Order ID]])</f>
        <v>0.33333333333333331</v>
      </c>
      <c r="Z8109" s="9">
        <f>1/COUNTIFS(Таблица1[Customer Name],Таблица1[[#This Row],[Customer Name]],Таблица1[Order-Year-Month],Таблица1[[#This Row],[Order-Year-Month]])</f>
        <v>0.33333333333333331</v>
      </c>
    </row>
    <row r="8110" spans="1:26" x14ac:dyDescent="0.2">
      <c r="A8110" s="6">
        <v>6273</v>
      </c>
      <c r="B8110" s="7">
        <v>44391</v>
      </c>
      <c r="C8110" s="8">
        <f>DATE(2012,12,31)-1451</f>
        <v>39823</v>
      </c>
      <c r="D8110" s="8" t="str">
        <f t="shared" si="155"/>
        <v>2009-01 (январь 2009)</v>
      </c>
      <c r="E8110" s="9" t="s">
        <v>45</v>
      </c>
      <c r="F8110" s="7">
        <v>16</v>
      </c>
      <c r="G8110" s="7">
        <v>112.81</v>
      </c>
      <c r="H8110" s="7">
        <v>0.02</v>
      </c>
      <c r="I8110" s="9" t="s">
        <v>22</v>
      </c>
      <c r="J8110" s="10">
        <v>-85.23</v>
      </c>
      <c r="K8110" s="11">
        <v>6.48</v>
      </c>
      <c r="L8110" s="11">
        <v>9.17</v>
      </c>
      <c r="M8110" s="9" t="s">
        <v>2115</v>
      </c>
      <c r="N8110" s="6" t="s">
        <v>2073</v>
      </c>
      <c r="O8110" s="6" t="s">
        <v>704</v>
      </c>
      <c r="P8110" s="9" t="s">
        <v>41</v>
      </c>
      <c r="Q8110" s="9" t="s">
        <v>26</v>
      </c>
      <c r="R8110" s="9" t="s">
        <v>61</v>
      </c>
      <c r="S8110" s="7" t="s">
        <v>1612</v>
      </c>
      <c r="T8110" s="9" t="s">
        <v>39</v>
      </c>
      <c r="U8110" s="7">
        <v>0.37</v>
      </c>
      <c r="V8110" s="12">
        <f>C8110+1</f>
        <v>39824</v>
      </c>
      <c r="W8110">
        <f>IF(D8110=' Pivot Tables'!$A$4,1,0)</f>
        <v>0</v>
      </c>
      <c r="X8110">
        <f>IF(AND(LEFT(D8110,4)+1=LEFT(' Pivot Tables'!$A$4,4)+0,RIGHT(LEFT(D8110,7),2)=RIGHT(LEFT(' Pivot Tables'!$A$4,7),2)),1,0)</f>
        <v>1</v>
      </c>
      <c r="Y8110" s="6">
        <f>1/COUNTIF(Таблица1[Order ID],Таблица1[[#This Row],[Order ID]])</f>
        <v>1</v>
      </c>
      <c r="Z8110" s="9">
        <f>1/COUNTIFS(Таблица1[Customer Name],Таблица1[[#This Row],[Customer Name]],Таблица1[Order-Year-Month],Таблица1[[#This Row],[Order-Year-Month]])</f>
        <v>0.5</v>
      </c>
    </row>
    <row r="8111" spans="1:26" x14ac:dyDescent="0.2">
      <c r="A8111" s="6">
        <v>6662</v>
      </c>
      <c r="B8111" s="7">
        <v>47456</v>
      </c>
      <c r="C8111" s="8">
        <f>DATE(2012,12,31)-214</f>
        <v>41060</v>
      </c>
      <c r="D8111" s="8" t="str">
        <f t="shared" si="155"/>
        <v>2012-05 (май 2012)</v>
      </c>
      <c r="E8111" s="9" t="s">
        <v>21</v>
      </c>
      <c r="F8111" s="7">
        <v>43</v>
      </c>
      <c r="G8111" s="7">
        <v>277.08</v>
      </c>
      <c r="H8111" s="7">
        <v>0.08</v>
      </c>
      <c r="I8111" s="9" t="s">
        <v>22</v>
      </c>
      <c r="J8111" s="10">
        <v>-179.11</v>
      </c>
      <c r="K8111" s="11">
        <v>6.48</v>
      </c>
      <c r="L8111" s="11">
        <v>7.91</v>
      </c>
      <c r="M8111" s="9" t="s">
        <v>2114</v>
      </c>
      <c r="N8111" s="6" t="s">
        <v>2073</v>
      </c>
      <c r="O8111" s="6" t="s">
        <v>704</v>
      </c>
      <c r="P8111" s="9" t="s">
        <v>41</v>
      </c>
      <c r="Q8111" s="9" t="s">
        <v>26</v>
      </c>
      <c r="R8111" s="9" t="s">
        <v>61</v>
      </c>
      <c r="S8111" s="7" t="s">
        <v>1297</v>
      </c>
      <c r="T8111" s="9" t="s">
        <v>39</v>
      </c>
      <c r="U8111" s="7">
        <v>0.37</v>
      </c>
      <c r="V8111" s="12">
        <f>C8111+7</f>
        <v>41067</v>
      </c>
      <c r="W8111">
        <f>IF(D8111=' Pivot Tables'!$A$4,1,0)</f>
        <v>0</v>
      </c>
      <c r="X8111">
        <f>IF(AND(LEFT(D8111,4)+1=LEFT(' Pivot Tables'!$A$4,4)+0,RIGHT(LEFT(D8111,7),2)=RIGHT(LEFT(' Pivot Tables'!$A$4,7),2)),1,0)</f>
        <v>0</v>
      </c>
      <c r="Y8111" s="6">
        <f>1/COUNTIF(Таблица1[Order ID],Таблица1[[#This Row],[Order ID]])</f>
        <v>1</v>
      </c>
      <c r="Z8111" s="9">
        <f>1/COUNTIFS(Таблица1[Customer Name],Таблица1[[#This Row],[Customer Name]],Таблица1[Order-Year-Month],Таблица1[[#This Row],[Order-Year-Month]])</f>
        <v>0.33333333333333331</v>
      </c>
    </row>
    <row r="8112" spans="1:26" x14ac:dyDescent="0.2">
      <c r="A8112" s="6">
        <v>6709</v>
      </c>
      <c r="B8112" s="7">
        <v>47778</v>
      </c>
      <c r="C8112" s="8">
        <f>DATE(2012,12,31)-1051</f>
        <v>40223</v>
      </c>
      <c r="D8112" s="8" t="str">
        <f t="shared" si="155"/>
        <v>2010-02 (февраль 2010)</v>
      </c>
      <c r="E8112" s="9" t="s">
        <v>78</v>
      </c>
      <c r="F8112" s="7">
        <v>12</v>
      </c>
      <c r="G8112" s="7">
        <v>174.11</v>
      </c>
      <c r="H8112" s="7">
        <v>0.06</v>
      </c>
      <c r="I8112" s="9" t="s">
        <v>22</v>
      </c>
      <c r="J8112" s="10">
        <v>-24.52</v>
      </c>
      <c r="K8112" s="11">
        <v>13.73</v>
      </c>
      <c r="L8112" s="11">
        <v>6.85</v>
      </c>
      <c r="M8112" s="9" t="s">
        <v>2111</v>
      </c>
      <c r="N8112" s="6" t="s">
        <v>2073</v>
      </c>
      <c r="O8112" s="6" t="s">
        <v>704</v>
      </c>
      <c r="P8112" s="9" t="s">
        <v>41</v>
      </c>
      <c r="Q8112" s="9" t="s">
        <v>49</v>
      </c>
      <c r="R8112" s="9" t="s">
        <v>50</v>
      </c>
      <c r="S8112" s="7" t="s">
        <v>1058</v>
      </c>
      <c r="T8112" s="9" t="s">
        <v>68</v>
      </c>
      <c r="U8112" s="7">
        <v>0.54</v>
      </c>
      <c r="V8112" s="12">
        <f>C8112+2</f>
        <v>40225</v>
      </c>
      <c r="W8112">
        <f>IF(D8112=' Pivot Tables'!$A$4,1,0)</f>
        <v>0</v>
      </c>
      <c r="X8112">
        <f>IF(AND(LEFT(D8112,4)+1=LEFT(' Pivot Tables'!$A$4,4)+0,RIGHT(LEFT(D8112,7),2)=RIGHT(LEFT(' Pivot Tables'!$A$4,7),2)),1,0)</f>
        <v>0</v>
      </c>
      <c r="Y8112" s="6">
        <f>1/COUNTIF(Таблица1[Order ID],Таблица1[[#This Row],[Order ID]])</f>
        <v>1</v>
      </c>
      <c r="Z8112" s="9">
        <f>1/COUNTIFS(Таблица1[Customer Name],Таблица1[[#This Row],[Customer Name]],Таблица1[Order-Year-Month],Таблица1[[#This Row],[Order-Year-Month]])</f>
        <v>1</v>
      </c>
    </row>
    <row r="8113" spans="1:26" x14ac:dyDescent="0.2">
      <c r="A8113" s="6">
        <v>6740</v>
      </c>
      <c r="B8113" s="7">
        <v>47974</v>
      </c>
      <c r="C8113" s="8">
        <f>DATE(2012,12,31)-1218</f>
        <v>40056</v>
      </c>
      <c r="D8113" s="8" t="str">
        <f t="shared" si="155"/>
        <v>2009-08 (август 2009)</v>
      </c>
      <c r="E8113" s="9" t="s">
        <v>63</v>
      </c>
      <c r="F8113" s="7">
        <v>6</v>
      </c>
      <c r="G8113" s="7">
        <v>18.02</v>
      </c>
      <c r="H8113" s="7">
        <v>0.01</v>
      </c>
      <c r="I8113" s="9" t="s">
        <v>22</v>
      </c>
      <c r="J8113" s="10">
        <v>-3.09</v>
      </c>
      <c r="K8113" s="11">
        <v>2.78</v>
      </c>
      <c r="L8113" s="11">
        <v>1.34</v>
      </c>
      <c r="M8113" s="9" t="s">
        <v>2111</v>
      </c>
      <c r="N8113" s="6" t="s">
        <v>2073</v>
      </c>
      <c r="O8113" s="6" t="s">
        <v>704</v>
      </c>
      <c r="P8113" s="9" t="s">
        <v>41</v>
      </c>
      <c r="Q8113" s="9" t="s">
        <v>26</v>
      </c>
      <c r="R8113" s="9" t="s">
        <v>95</v>
      </c>
      <c r="S8113" s="7" t="s">
        <v>256</v>
      </c>
      <c r="T8113" s="9" t="s">
        <v>68</v>
      </c>
      <c r="U8113" s="7">
        <v>0.45</v>
      </c>
      <c r="V8113" s="12">
        <f>C8113+2</f>
        <v>40058</v>
      </c>
      <c r="W8113">
        <f>IF(D8113=' Pivot Tables'!$A$4,1,0)</f>
        <v>0</v>
      </c>
      <c r="X8113">
        <f>IF(AND(LEFT(D8113,4)+1=LEFT(' Pivot Tables'!$A$4,4)+0,RIGHT(LEFT(D8113,7),2)=RIGHT(LEFT(' Pivot Tables'!$A$4,7),2)),1,0)</f>
        <v>0</v>
      </c>
      <c r="Y8113" s="6">
        <f>1/COUNTIF(Таблица1[Order ID],Таблица1[[#This Row],[Order ID]])</f>
        <v>1</v>
      </c>
      <c r="Z8113" s="9">
        <f>1/COUNTIFS(Таблица1[Customer Name],Таблица1[[#This Row],[Customer Name]],Таблица1[Order-Year-Month],Таблица1[[#This Row],[Order-Year-Month]])</f>
        <v>0.5</v>
      </c>
    </row>
    <row r="8114" spans="1:26" x14ac:dyDescent="0.2">
      <c r="A8114" s="6">
        <v>6812</v>
      </c>
      <c r="B8114" s="7">
        <v>48486</v>
      </c>
      <c r="C8114" s="8">
        <f>DATE(2012,12,31)-599</f>
        <v>40675</v>
      </c>
      <c r="D8114" s="8" t="str">
        <f t="shared" si="155"/>
        <v>2011-05 (май 2011)</v>
      </c>
      <c r="E8114" s="9" t="s">
        <v>30</v>
      </c>
      <c r="F8114" s="7">
        <v>42</v>
      </c>
      <c r="G8114" s="7">
        <v>271.14</v>
      </c>
      <c r="H8114" s="7">
        <v>7.0000000000000007E-2</v>
      </c>
      <c r="I8114" s="9" t="s">
        <v>22</v>
      </c>
      <c r="J8114" s="10">
        <v>-174.74</v>
      </c>
      <c r="K8114" s="11">
        <v>6.48</v>
      </c>
      <c r="L8114" s="11">
        <v>7.91</v>
      </c>
      <c r="M8114" s="9" t="s">
        <v>2111</v>
      </c>
      <c r="N8114" s="6" t="s">
        <v>2073</v>
      </c>
      <c r="O8114" s="6" t="s">
        <v>704</v>
      </c>
      <c r="P8114" s="9" t="s">
        <v>41</v>
      </c>
      <c r="Q8114" s="9" t="s">
        <v>26</v>
      </c>
      <c r="R8114" s="9" t="s">
        <v>61</v>
      </c>
      <c r="S8114" s="7" t="s">
        <v>1297</v>
      </c>
      <c r="T8114" s="9" t="s">
        <v>39</v>
      </c>
      <c r="U8114" s="7">
        <v>0.37</v>
      </c>
      <c r="V8114" s="12">
        <f>C8114+2</f>
        <v>40677</v>
      </c>
      <c r="W8114">
        <f>IF(D8114=' Pivot Tables'!$A$4,1,0)</f>
        <v>0</v>
      </c>
      <c r="X8114">
        <f>IF(AND(LEFT(D8114,4)+1=LEFT(' Pivot Tables'!$A$4,4)+0,RIGHT(LEFT(D8114,7),2)=RIGHT(LEFT(' Pivot Tables'!$A$4,7),2)),1,0)</f>
        <v>0</v>
      </c>
      <c r="Y8114" s="6">
        <f>1/COUNTIF(Таблица1[Order ID],Таблица1[[#This Row],[Order ID]])</f>
        <v>1</v>
      </c>
      <c r="Z8114" s="9">
        <f>1/COUNTIFS(Таблица1[Customer Name],Таблица1[[#This Row],[Customer Name]],Таблица1[Order-Year-Month],Таблица1[[#This Row],[Order-Year-Month]])</f>
        <v>0.5</v>
      </c>
    </row>
    <row r="8115" spans="1:26" x14ac:dyDescent="0.2">
      <c r="A8115" s="6">
        <v>6851</v>
      </c>
      <c r="B8115" s="7">
        <v>48775</v>
      </c>
      <c r="C8115" s="8">
        <f>DATE(2012,12,31)-1212</f>
        <v>40062</v>
      </c>
      <c r="D8115" s="8" t="str">
        <f t="shared" si="155"/>
        <v>2009-09 (сентябрь 2009)</v>
      </c>
      <c r="E8115" s="9" t="s">
        <v>21</v>
      </c>
      <c r="F8115" s="7">
        <v>17</v>
      </c>
      <c r="G8115" s="7">
        <v>108.11</v>
      </c>
      <c r="H8115" s="7">
        <v>0.09</v>
      </c>
      <c r="I8115" s="9" t="s">
        <v>22</v>
      </c>
      <c r="J8115" s="10">
        <v>-62.23</v>
      </c>
      <c r="K8115" s="11">
        <v>6.48</v>
      </c>
      <c r="L8115" s="11">
        <v>6.86</v>
      </c>
      <c r="M8115" s="9" t="s">
        <v>1157</v>
      </c>
      <c r="N8115" s="6" t="s">
        <v>2073</v>
      </c>
      <c r="O8115" s="6" t="s">
        <v>704</v>
      </c>
      <c r="P8115" s="9" t="s">
        <v>41</v>
      </c>
      <c r="Q8115" s="9" t="s">
        <v>26</v>
      </c>
      <c r="R8115" s="9" t="s">
        <v>61</v>
      </c>
      <c r="S8115" s="7" t="s">
        <v>876</v>
      </c>
      <c r="T8115" s="9" t="s">
        <v>39</v>
      </c>
      <c r="U8115" s="7">
        <v>0.37</v>
      </c>
      <c r="V8115" s="12">
        <f>C8115+2</f>
        <v>40064</v>
      </c>
      <c r="W8115">
        <f>IF(D8115=' Pivot Tables'!$A$4,1,0)</f>
        <v>0</v>
      </c>
      <c r="X8115">
        <f>IF(AND(LEFT(D8115,4)+1=LEFT(' Pivot Tables'!$A$4,4)+0,RIGHT(LEFT(D8115,7),2)=RIGHT(LEFT(' Pivot Tables'!$A$4,7),2)),1,0)</f>
        <v>0</v>
      </c>
      <c r="Y8115" s="6">
        <f>1/COUNTIF(Таблица1[Order ID],Таблица1[[#This Row],[Order ID]])</f>
        <v>1</v>
      </c>
      <c r="Z8115" s="9">
        <f>1/COUNTIFS(Таблица1[Customer Name],Таблица1[[#This Row],[Customer Name]],Таблица1[Order-Year-Month],Таблица1[[#This Row],[Order-Year-Month]])</f>
        <v>1</v>
      </c>
    </row>
    <row r="8116" spans="1:26" x14ac:dyDescent="0.2">
      <c r="A8116" s="6">
        <v>6902</v>
      </c>
      <c r="B8116" s="7">
        <v>49218</v>
      </c>
      <c r="C8116" s="8">
        <f>DATE(2012,12,31)-941</f>
        <v>40333</v>
      </c>
      <c r="D8116" s="8" t="str">
        <f t="shared" si="155"/>
        <v>2010-06 (июнь 2010)</v>
      </c>
      <c r="E8116" s="9" t="s">
        <v>21</v>
      </c>
      <c r="F8116" s="7">
        <v>21</v>
      </c>
      <c r="G8116" s="7">
        <v>86.64</v>
      </c>
      <c r="H8116" s="7">
        <v>0.09</v>
      </c>
      <c r="I8116" s="9" t="s">
        <v>22</v>
      </c>
      <c r="J8116" s="10">
        <v>-73.070999999999998</v>
      </c>
      <c r="K8116" s="11">
        <v>3.98</v>
      </c>
      <c r="L8116" s="11">
        <v>5.26</v>
      </c>
      <c r="M8116" s="9" t="s">
        <v>2115</v>
      </c>
      <c r="N8116" s="6" t="s">
        <v>2073</v>
      </c>
      <c r="O8116" s="6" t="s">
        <v>704</v>
      </c>
      <c r="P8116" s="9" t="s">
        <v>41</v>
      </c>
      <c r="Q8116" s="9" t="s">
        <v>26</v>
      </c>
      <c r="R8116" s="9" t="s">
        <v>37</v>
      </c>
      <c r="S8116" s="7" t="s">
        <v>1348</v>
      </c>
      <c r="T8116" s="9" t="s">
        <v>39</v>
      </c>
      <c r="U8116" s="7">
        <v>0.38</v>
      </c>
      <c r="V8116" s="12">
        <f>C8116+0</f>
        <v>40333</v>
      </c>
      <c r="W8116">
        <f>IF(D8116=' Pivot Tables'!$A$4,1,0)</f>
        <v>0</v>
      </c>
      <c r="X8116">
        <f>IF(AND(LEFT(D8116,4)+1=LEFT(' Pivot Tables'!$A$4,4)+0,RIGHT(LEFT(D8116,7),2)=RIGHT(LEFT(' Pivot Tables'!$A$4,7),2)),1,0)</f>
        <v>0</v>
      </c>
      <c r="Y8116" s="6">
        <f>1/COUNTIF(Таблица1[Order ID],Таблица1[[#This Row],[Order ID]])</f>
        <v>1</v>
      </c>
      <c r="Z8116" s="9">
        <f>1/COUNTIFS(Таблица1[Customer Name],Таблица1[[#This Row],[Customer Name]],Таблица1[Order-Year-Month],Таблица1[[#This Row],[Order-Year-Month]])</f>
        <v>1</v>
      </c>
    </row>
    <row r="8117" spans="1:26" x14ac:dyDescent="0.2">
      <c r="A8117" s="6">
        <v>6928</v>
      </c>
      <c r="B8117" s="7">
        <v>49442</v>
      </c>
      <c r="C8117" s="8">
        <f>DATE(2012,12,31)-144</f>
        <v>41130</v>
      </c>
      <c r="D8117" s="8" t="str">
        <f t="shared" si="155"/>
        <v>2012-08 (август 2012)</v>
      </c>
      <c r="E8117" s="9" t="s">
        <v>30</v>
      </c>
      <c r="F8117" s="7">
        <v>11</v>
      </c>
      <c r="G8117" s="7">
        <v>131.12</v>
      </c>
      <c r="H8117" s="7">
        <v>0.03</v>
      </c>
      <c r="I8117" s="9" t="s">
        <v>22</v>
      </c>
      <c r="J8117" s="10">
        <v>-24.805500000000002</v>
      </c>
      <c r="K8117" s="11">
        <v>11.5</v>
      </c>
      <c r="L8117" s="11">
        <v>7.19</v>
      </c>
      <c r="M8117" s="9" t="s">
        <v>2114</v>
      </c>
      <c r="N8117" s="6" t="s">
        <v>2073</v>
      </c>
      <c r="O8117" s="6" t="s">
        <v>704</v>
      </c>
      <c r="P8117" s="9" t="s">
        <v>41</v>
      </c>
      <c r="Q8117" s="9" t="s">
        <v>26</v>
      </c>
      <c r="R8117" s="9" t="s">
        <v>37</v>
      </c>
      <c r="S8117" s="7" t="s">
        <v>398</v>
      </c>
      <c r="T8117" s="9" t="s">
        <v>39</v>
      </c>
      <c r="U8117" s="7">
        <v>0.4</v>
      </c>
      <c r="V8117" s="12">
        <f>C8117+0</f>
        <v>41130</v>
      </c>
      <c r="W8117">
        <f>IF(D8117=' Pivot Tables'!$A$4,1,0)</f>
        <v>0</v>
      </c>
      <c r="X8117">
        <f>IF(AND(LEFT(D8117,4)+1=LEFT(' Pivot Tables'!$A$4,4)+0,RIGHT(LEFT(D8117,7),2)=RIGHT(LEFT(' Pivot Tables'!$A$4,7),2)),1,0)</f>
        <v>0</v>
      </c>
      <c r="Y8117" s="6">
        <f>1/COUNTIF(Таблица1[Order ID],Таблица1[[#This Row],[Order ID]])</f>
        <v>1</v>
      </c>
      <c r="Z8117" s="9">
        <f>1/COUNTIFS(Таблица1[Customer Name],Таблица1[[#This Row],[Customer Name]],Таблица1[Order-Year-Month],Таблица1[[#This Row],[Order-Year-Month]])</f>
        <v>1</v>
      </c>
    </row>
    <row r="8118" spans="1:26" x14ac:dyDescent="0.2">
      <c r="A8118" s="6">
        <v>7092</v>
      </c>
      <c r="B8118" s="7">
        <v>50625</v>
      </c>
      <c r="C8118" s="8">
        <f>DATE(2012,12,31)-1348</f>
        <v>39926</v>
      </c>
      <c r="D8118" s="8" t="str">
        <f t="shared" si="155"/>
        <v>2009-04 (апрель 2009)</v>
      </c>
      <c r="E8118" s="9" t="s">
        <v>63</v>
      </c>
      <c r="F8118" s="7">
        <v>10</v>
      </c>
      <c r="G8118" s="7">
        <v>29.12</v>
      </c>
      <c r="H8118" s="7">
        <v>0.08</v>
      </c>
      <c r="I8118" s="9" t="s">
        <v>22</v>
      </c>
      <c r="J8118" s="10">
        <v>7.13</v>
      </c>
      <c r="K8118" s="11">
        <v>2.88</v>
      </c>
      <c r="L8118" s="11">
        <v>0.5</v>
      </c>
      <c r="M8118" s="9" t="s">
        <v>2111</v>
      </c>
      <c r="N8118" s="6" t="s">
        <v>2073</v>
      </c>
      <c r="O8118" s="6" t="s">
        <v>704</v>
      </c>
      <c r="P8118" s="9" t="s">
        <v>33</v>
      </c>
      <c r="Q8118" s="9" t="s">
        <v>26</v>
      </c>
      <c r="R8118" s="9" t="s">
        <v>88</v>
      </c>
      <c r="S8118" s="7" t="s">
        <v>328</v>
      </c>
      <c r="T8118" s="9" t="s">
        <v>39</v>
      </c>
      <c r="U8118" s="7">
        <v>0.39</v>
      </c>
      <c r="V8118" s="12">
        <f>C8118+1</f>
        <v>39927</v>
      </c>
      <c r="W8118">
        <f>IF(D8118=' Pivot Tables'!$A$4,1,0)</f>
        <v>0</v>
      </c>
      <c r="X8118">
        <f>IF(AND(LEFT(D8118,4)+1=LEFT(' Pivot Tables'!$A$4,4)+0,RIGHT(LEFT(D8118,7),2)=RIGHT(LEFT(' Pivot Tables'!$A$4,7),2)),1,0)</f>
        <v>0</v>
      </c>
      <c r="Y8118" s="6">
        <f>1/COUNTIF(Таблица1[Order ID],Таблица1[[#This Row],[Order ID]])</f>
        <v>1</v>
      </c>
      <c r="Z8118" s="9">
        <f>1/COUNTIFS(Таблица1[Customer Name],Таблица1[[#This Row],[Customer Name]],Таблица1[Order-Year-Month],Таблица1[[#This Row],[Order-Year-Month]])</f>
        <v>1</v>
      </c>
    </row>
    <row r="8119" spans="1:26" x14ac:dyDescent="0.2">
      <c r="A8119" s="6">
        <v>7127</v>
      </c>
      <c r="B8119" s="7">
        <v>50849</v>
      </c>
      <c r="C8119" s="8">
        <f>DATE(2012,12,31)-88</f>
        <v>41186</v>
      </c>
      <c r="D8119" s="8" t="str">
        <f t="shared" si="155"/>
        <v>2012-10 (октябрь 2012)</v>
      </c>
      <c r="E8119" s="9" t="s">
        <v>21</v>
      </c>
      <c r="F8119" s="7">
        <v>47</v>
      </c>
      <c r="G8119" s="7">
        <v>307.37</v>
      </c>
      <c r="H8119" s="7">
        <v>0.04</v>
      </c>
      <c r="I8119" s="9" t="s">
        <v>56</v>
      </c>
      <c r="J8119" s="10">
        <v>-249.27</v>
      </c>
      <c r="K8119" s="11">
        <v>6.48</v>
      </c>
      <c r="L8119" s="11">
        <v>9.17</v>
      </c>
      <c r="M8119" s="9" t="s">
        <v>2113</v>
      </c>
      <c r="N8119" s="6" t="s">
        <v>2073</v>
      </c>
      <c r="O8119" s="6" t="s">
        <v>704</v>
      </c>
      <c r="P8119" s="9" t="s">
        <v>60</v>
      </c>
      <c r="Q8119" s="9" t="s">
        <v>26</v>
      </c>
      <c r="R8119" s="9" t="s">
        <v>61</v>
      </c>
      <c r="S8119" s="7" t="s">
        <v>1612</v>
      </c>
      <c r="T8119" s="9" t="s">
        <v>39</v>
      </c>
      <c r="U8119" s="7">
        <v>0.37</v>
      </c>
      <c r="V8119" s="12">
        <f>C8119+5</f>
        <v>41191</v>
      </c>
      <c r="W8119">
        <f>IF(D8119=' Pivot Tables'!$A$4,1,0)</f>
        <v>0</v>
      </c>
      <c r="X8119">
        <f>IF(AND(LEFT(D8119,4)+1=LEFT(' Pivot Tables'!$A$4,4)+0,RIGHT(LEFT(D8119,7),2)=RIGHT(LEFT(' Pivot Tables'!$A$4,7),2)),1,0)</f>
        <v>0</v>
      </c>
      <c r="Y8119" s="6">
        <f>1/COUNTIF(Таблица1[Order ID],Таблица1[[#This Row],[Order ID]])</f>
        <v>1</v>
      </c>
      <c r="Z8119" s="9">
        <f>1/COUNTIFS(Таблица1[Customer Name],Таблица1[[#This Row],[Customer Name]],Таблица1[Order-Year-Month],Таблица1[[#This Row],[Order-Year-Month]])</f>
        <v>1</v>
      </c>
    </row>
    <row r="8120" spans="1:26" x14ac:dyDescent="0.2">
      <c r="A8120" s="6">
        <v>7230</v>
      </c>
      <c r="B8120" s="7">
        <v>51557</v>
      </c>
      <c r="C8120" s="8">
        <f>DATE(2012,12,31)-427</f>
        <v>40847</v>
      </c>
      <c r="D8120" s="8" t="str">
        <f t="shared" si="155"/>
        <v>2011-10 (октябрь 2011)</v>
      </c>
      <c r="E8120" s="9" t="s">
        <v>30</v>
      </c>
      <c r="F8120" s="7">
        <v>36</v>
      </c>
      <c r="G8120" s="7">
        <v>1749.07</v>
      </c>
      <c r="H8120" s="7">
        <v>0.04</v>
      </c>
      <c r="I8120" s="9" t="s">
        <v>22</v>
      </c>
      <c r="J8120" s="10">
        <v>804.66</v>
      </c>
      <c r="K8120" s="11">
        <v>48.04</v>
      </c>
      <c r="L8120" s="11">
        <v>5.79</v>
      </c>
      <c r="M8120" s="9" t="s">
        <v>1157</v>
      </c>
      <c r="N8120" s="6" t="s">
        <v>2073</v>
      </c>
      <c r="O8120" s="6" t="s">
        <v>704</v>
      </c>
      <c r="P8120" s="9" t="s">
        <v>41</v>
      </c>
      <c r="Q8120" s="9" t="s">
        <v>26</v>
      </c>
      <c r="R8120" s="9" t="s">
        <v>61</v>
      </c>
      <c r="S8120" s="7" t="s">
        <v>940</v>
      </c>
      <c r="T8120" s="9" t="s">
        <v>39</v>
      </c>
      <c r="U8120" s="7">
        <v>0.37</v>
      </c>
      <c r="V8120" s="12">
        <f>C8120+2</f>
        <v>40849</v>
      </c>
      <c r="W8120">
        <f>IF(D8120=' Pivot Tables'!$A$4,1,0)</f>
        <v>0</v>
      </c>
      <c r="X8120">
        <f>IF(AND(LEFT(D8120,4)+1=LEFT(' Pivot Tables'!$A$4,4)+0,RIGHT(LEFT(D8120,7),2)=RIGHT(LEFT(' Pivot Tables'!$A$4,7),2)),1,0)</f>
        <v>0</v>
      </c>
      <c r="Y8120" s="6">
        <f>1/COUNTIF(Таблица1[Order ID],Таблица1[[#This Row],[Order ID]])</f>
        <v>0.5</v>
      </c>
      <c r="Z8120" s="9">
        <f>1/COUNTIFS(Таблица1[Customer Name],Таблица1[[#This Row],[Customer Name]],Таблица1[Order-Year-Month],Таблица1[[#This Row],[Order-Year-Month]])</f>
        <v>0.5</v>
      </c>
    </row>
    <row r="8121" spans="1:26" x14ac:dyDescent="0.2">
      <c r="A8121" s="6">
        <v>7231</v>
      </c>
      <c r="B8121" s="7">
        <v>51557</v>
      </c>
      <c r="C8121" s="8">
        <f>DATE(2012,12,31)-427</f>
        <v>40847</v>
      </c>
      <c r="D8121" s="8" t="str">
        <f t="shared" si="155"/>
        <v>2011-10 (октябрь 2011)</v>
      </c>
      <c r="E8121" s="9" t="s">
        <v>30</v>
      </c>
      <c r="F8121" s="7">
        <v>14</v>
      </c>
      <c r="G8121" s="7">
        <v>37.9</v>
      </c>
      <c r="H8121" s="7">
        <v>0.08</v>
      </c>
      <c r="I8121" s="9" t="s">
        <v>22</v>
      </c>
      <c r="J8121" s="10">
        <v>-22.01</v>
      </c>
      <c r="K8121" s="11">
        <v>2.6</v>
      </c>
      <c r="L8121" s="11">
        <v>2.4</v>
      </c>
      <c r="M8121" s="9" t="s">
        <v>1157</v>
      </c>
      <c r="N8121" s="6" t="s">
        <v>2073</v>
      </c>
      <c r="O8121" s="6" t="s">
        <v>704</v>
      </c>
      <c r="P8121" s="9" t="s">
        <v>41</v>
      </c>
      <c r="Q8121" s="9" t="s">
        <v>26</v>
      </c>
      <c r="R8121" s="9" t="s">
        <v>95</v>
      </c>
      <c r="S8121" s="7" t="s">
        <v>393</v>
      </c>
      <c r="T8121" s="9" t="s">
        <v>68</v>
      </c>
      <c r="U8121" s="7">
        <v>0.57999999999999996</v>
      </c>
      <c r="V8121" s="12">
        <f>C8121+0</f>
        <v>40847</v>
      </c>
      <c r="W8121">
        <f>IF(D8121=' Pivot Tables'!$A$4,1,0)</f>
        <v>0</v>
      </c>
      <c r="X8121">
        <f>IF(AND(LEFT(D8121,4)+1=LEFT(' Pivot Tables'!$A$4,4)+0,RIGHT(LEFT(D8121,7),2)=RIGHT(LEFT(' Pivot Tables'!$A$4,7),2)),1,0)</f>
        <v>0</v>
      </c>
      <c r="Y8121" s="6">
        <f>1/COUNTIF(Таблица1[Order ID],Таблица1[[#This Row],[Order ID]])</f>
        <v>0.5</v>
      </c>
      <c r="Z8121" s="9">
        <f>1/COUNTIFS(Таблица1[Customer Name],Таблица1[[#This Row],[Customer Name]],Таблица1[Order-Year-Month],Таблица1[[#This Row],[Order-Year-Month]])</f>
        <v>0.5</v>
      </c>
    </row>
    <row r="8122" spans="1:26" x14ac:dyDescent="0.2">
      <c r="A8122" s="6">
        <v>7411</v>
      </c>
      <c r="B8122" s="7">
        <v>52870</v>
      </c>
      <c r="C8122" s="8">
        <f>DATE(2012,12,31)-1393</f>
        <v>39881</v>
      </c>
      <c r="D8122" s="8" t="str">
        <f t="shared" si="155"/>
        <v>2009-03 (март 2009)</v>
      </c>
      <c r="E8122" s="9" t="s">
        <v>45</v>
      </c>
      <c r="F8122" s="7">
        <v>21</v>
      </c>
      <c r="G8122" s="7">
        <v>118.51</v>
      </c>
      <c r="H8122" s="7">
        <v>0.03</v>
      </c>
      <c r="I8122" s="9" t="s">
        <v>22</v>
      </c>
      <c r="J8122" s="10">
        <v>-948.71</v>
      </c>
      <c r="K8122" s="11">
        <v>3.25</v>
      </c>
      <c r="L8122" s="11">
        <v>49</v>
      </c>
      <c r="M8122" s="9" t="s">
        <v>2115</v>
      </c>
      <c r="N8122" s="6" t="s">
        <v>2073</v>
      </c>
      <c r="O8122" s="6" t="s">
        <v>704</v>
      </c>
      <c r="P8122" s="9" t="s">
        <v>41</v>
      </c>
      <c r="Q8122" s="9" t="s">
        <v>26</v>
      </c>
      <c r="R8122" s="9" t="s">
        <v>34</v>
      </c>
      <c r="S8122" s="7" t="s">
        <v>1241</v>
      </c>
      <c r="T8122" s="9" t="s">
        <v>29</v>
      </c>
      <c r="U8122" s="7">
        <v>0.56000000000000005</v>
      </c>
      <c r="V8122" s="12">
        <f>C8122+2</f>
        <v>39883</v>
      </c>
      <c r="W8122">
        <f>IF(D8122=' Pivot Tables'!$A$4,1,0)</f>
        <v>0</v>
      </c>
      <c r="X8122">
        <f>IF(AND(LEFT(D8122,4)+1=LEFT(' Pivot Tables'!$A$4,4)+0,RIGHT(LEFT(D8122,7),2)=RIGHT(LEFT(' Pivot Tables'!$A$4,7),2)),1,0)</f>
        <v>0</v>
      </c>
      <c r="Y8122" s="6">
        <f>1/COUNTIF(Таблица1[Order ID],Таблица1[[#This Row],[Order ID]])</f>
        <v>1</v>
      </c>
      <c r="Z8122" s="9">
        <f>1/COUNTIFS(Таблица1[Customer Name],Таблица1[[#This Row],[Customer Name]],Таблица1[Order-Year-Month],Таблица1[[#This Row],[Order-Year-Month]])</f>
        <v>1</v>
      </c>
    </row>
    <row r="8123" spans="1:26" x14ac:dyDescent="0.2">
      <c r="A8123" s="6">
        <v>7417</v>
      </c>
      <c r="B8123" s="7">
        <v>52897</v>
      </c>
      <c r="C8123" s="8">
        <f>DATE(2012,12,31)-1227</f>
        <v>40047</v>
      </c>
      <c r="D8123" s="8" t="str">
        <f t="shared" si="155"/>
        <v>2009-08 (август 2009)</v>
      </c>
      <c r="E8123" s="9" t="s">
        <v>63</v>
      </c>
      <c r="F8123" s="7">
        <v>40</v>
      </c>
      <c r="G8123" s="7">
        <v>2055.98</v>
      </c>
      <c r="H8123" s="7">
        <v>0</v>
      </c>
      <c r="I8123" s="9" t="s">
        <v>22</v>
      </c>
      <c r="J8123" s="10">
        <v>1016.86</v>
      </c>
      <c r="K8123" s="11">
        <v>47.9</v>
      </c>
      <c r="L8123" s="11">
        <v>5.86</v>
      </c>
      <c r="M8123" s="9" t="s">
        <v>2113</v>
      </c>
      <c r="N8123" s="6" t="s">
        <v>2073</v>
      </c>
      <c r="O8123" s="6" t="s">
        <v>704</v>
      </c>
      <c r="P8123" s="9" t="s">
        <v>60</v>
      </c>
      <c r="Q8123" s="9" t="s">
        <v>26</v>
      </c>
      <c r="R8123" s="9" t="s">
        <v>61</v>
      </c>
      <c r="S8123" s="7" t="s">
        <v>841</v>
      </c>
      <c r="T8123" s="9" t="s">
        <v>39</v>
      </c>
      <c r="U8123" s="7">
        <v>0.37</v>
      </c>
      <c r="V8123" s="12">
        <f>C8123+2</f>
        <v>40049</v>
      </c>
      <c r="W8123">
        <f>IF(D8123=' Pivot Tables'!$A$4,1,0)</f>
        <v>0</v>
      </c>
      <c r="X8123">
        <f>IF(AND(LEFT(D8123,4)+1=LEFT(' Pivot Tables'!$A$4,4)+0,RIGHT(LEFT(D8123,7),2)=RIGHT(LEFT(' Pivot Tables'!$A$4,7),2)),1,0)</f>
        <v>0</v>
      </c>
      <c r="Y8123" s="6">
        <f>1/COUNTIF(Таблица1[Order ID],Таблица1[[#This Row],[Order ID]])</f>
        <v>1</v>
      </c>
      <c r="Z8123" s="9">
        <f>1/COUNTIFS(Таблица1[Customer Name],Таблица1[[#This Row],[Customer Name]],Таблица1[Order-Year-Month],Таблица1[[#This Row],[Order-Year-Month]])</f>
        <v>1</v>
      </c>
    </row>
    <row r="8124" spans="1:26" x14ac:dyDescent="0.2">
      <c r="A8124" s="6">
        <v>7531</v>
      </c>
      <c r="B8124" s="7">
        <v>53798</v>
      </c>
      <c r="C8124" s="8">
        <f>DATE(2012,12,31)-1352</f>
        <v>39922</v>
      </c>
      <c r="D8124" s="8" t="str">
        <f t="shared" si="155"/>
        <v>2009-04 (апрель 2009)</v>
      </c>
      <c r="E8124" s="9" t="s">
        <v>21</v>
      </c>
      <c r="F8124" s="7">
        <v>29</v>
      </c>
      <c r="G8124" s="7">
        <v>2317.65</v>
      </c>
      <c r="H8124" s="7">
        <v>0</v>
      </c>
      <c r="I8124" s="9" t="s">
        <v>22</v>
      </c>
      <c r="J8124" s="10">
        <v>568.6</v>
      </c>
      <c r="K8124" s="11">
        <v>78.650000000000006</v>
      </c>
      <c r="L8124" s="11">
        <v>13.99</v>
      </c>
      <c r="M8124" s="9" t="s">
        <v>808</v>
      </c>
      <c r="N8124" s="6" t="s">
        <v>2073</v>
      </c>
      <c r="O8124" s="6" t="s">
        <v>704</v>
      </c>
      <c r="P8124" s="9" t="s">
        <v>41</v>
      </c>
      <c r="Q8124" s="9" t="s">
        <v>26</v>
      </c>
      <c r="R8124" s="9" t="s">
        <v>34</v>
      </c>
      <c r="S8124" s="7" t="s">
        <v>495</v>
      </c>
      <c r="T8124" s="9" t="s">
        <v>48</v>
      </c>
      <c r="U8124" s="7">
        <v>0.52</v>
      </c>
      <c r="V8124" s="12">
        <f>C8124+7</f>
        <v>39929</v>
      </c>
      <c r="W8124">
        <f>IF(D8124=' Pivot Tables'!$A$4,1,0)</f>
        <v>0</v>
      </c>
      <c r="X8124">
        <f>IF(AND(LEFT(D8124,4)+1=LEFT(' Pivot Tables'!$A$4,4)+0,RIGHT(LEFT(D8124,7),2)=RIGHT(LEFT(' Pivot Tables'!$A$4,7),2)),1,0)</f>
        <v>0</v>
      </c>
      <c r="Y8124" s="6">
        <f>1/COUNTIF(Таблица1[Order ID],Таблица1[[#This Row],[Order ID]])</f>
        <v>0.5</v>
      </c>
      <c r="Z8124" s="9">
        <f>1/COUNTIFS(Таблица1[Customer Name],Таблица1[[#This Row],[Customer Name]],Таблица1[Order-Year-Month],Таблица1[[#This Row],[Order-Year-Month]])</f>
        <v>0.5</v>
      </c>
    </row>
    <row r="8125" spans="1:26" x14ac:dyDescent="0.2">
      <c r="A8125" s="6">
        <v>7532</v>
      </c>
      <c r="B8125" s="7">
        <v>53798</v>
      </c>
      <c r="C8125" s="8">
        <f>DATE(2012,12,31)-1352</f>
        <v>39922</v>
      </c>
      <c r="D8125" s="8" t="str">
        <f t="shared" si="155"/>
        <v>2009-04 (апрель 2009)</v>
      </c>
      <c r="E8125" s="9" t="s">
        <v>21</v>
      </c>
      <c r="F8125" s="7">
        <v>41</v>
      </c>
      <c r="G8125" s="7">
        <v>4987.7299999999996</v>
      </c>
      <c r="H8125" s="7">
        <v>0.08</v>
      </c>
      <c r="I8125" s="9" t="s">
        <v>31</v>
      </c>
      <c r="J8125" s="10">
        <v>-1867.97</v>
      </c>
      <c r="K8125" s="11">
        <v>122.99</v>
      </c>
      <c r="L8125" s="11">
        <v>70.2</v>
      </c>
      <c r="M8125" s="9" t="s">
        <v>808</v>
      </c>
      <c r="N8125" s="6" t="s">
        <v>2073</v>
      </c>
      <c r="O8125" s="6" t="s">
        <v>704</v>
      </c>
      <c r="P8125" s="9" t="s">
        <v>41</v>
      </c>
      <c r="Q8125" s="9" t="s">
        <v>49</v>
      </c>
      <c r="R8125" s="9" t="s">
        <v>112</v>
      </c>
      <c r="S8125" s="7" t="s">
        <v>426</v>
      </c>
      <c r="T8125" s="9" t="s">
        <v>36</v>
      </c>
      <c r="U8125" s="7">
        <v>0.74</v>
      </c>
      <c r="V8125" s="12">
        <f>C8125+5</f>
        <v>39927</v>
      </c>
      <c r="W8125">
        <f>IF(D8125=' Pivot Tables'!$A$4,1,0)</f>
        <v>0</v>
      </c>
      <c r="X8125">
        <f>IF(AND(LEFT(D8125,4)+1=LEFT(' Pivot Tables'!$A$4,4)+0,RIGHT(LEFT(D8125,7),2)=RIGHT(LEFT(' Pivot Tables'!$A$4,7),2)),1,0)</f>
        <v>0</v>
      </c>
      <c r="Y8125" s="6">
        <f>1/COUNTIF(Таблица1[Order ID],Таблица1[[#This Row],[Order ID]])</f>
        <v>0.5</v>
      </c>
      <c r="Z8125" s="9">
        <f>1/COUNTIFS(Таблица1[Customer Name],Таблица1[[#This Row],[Customer Name]],Таблица1[Order-Year-Month],Таблица1[[#This Row],[Order-Year-Month]])</f>
        <v>0.5</v>
      </c>
    </row>
    <row r="8126" spans="1:26" x14ac:dyDescent="0.2">
      <c r="A8126" s="6">
        <v>7553</v>
      </c>
      <c r="B8126" s="7">
        <v>54051</v>
      </c>
      <c r="C8126" s="8">
        <f>DATE(2012,12,31)-508</f>
        <v>40766</v>
      </c>
      <c r="D8126" s="8" t="str">
        <f t="shared" si="155"/>
        <v>2011-08 (август 2011)</v>
      </c>
      <c r="E8126" s="9" t="s">
        <v>63</v>
      </c>
      <c r="F8126" s="7">
        <v>23</v>
      </c>
      <c r="G8126" s="7">
        <v>3301.33</v>
      </c>
      <c r="H8126" s="7">
        <v>0.05</v>
      </c>
      <c r="I8126" s="9" t="s">
        <v>31</v>
      </c>
      <c r="J8126" s="10">
        <v>-307.45999999999998</v>
      </c>
      <c r="K8126" s="11">
        <v>140.97999999999999</v>
      </c>
      <c r="L8126" s="11">
        <v>36.090000000000003</v>
      </c>
      <c r="M8126" s="9" t="s">
        <v>2110</v>
      </c>
      <c r="N8126" s="6" t="s">
        <v>2073</v>
      </c>
      <c r="O8126" s="6" t="s">
        <v>704</v>
      </c>
      <c r="P8126" s="9" t="s">
        <v>41</v>
      </c>
      <c r="Q8126" s="9" t="s">
        <v>49</v>
      </c>
      <c r="R8126" s="9" t="s">
        <v>80</v>
      </c>
      <c r="S8126" s="7" t="s">
        <v>349</v>
      </c>
      <c r="T8126" s="9" t="s">
        <v>82</v>
      </c>
      <c r="U8126" s="7">
        <v>0.77</v>
      </c>
      <c r="V8126" s="12">
        <f>C8126+2</f>
        <v>40768</v>
      </c>
      <c r="W8126">
        <f>IF(D8126=' Pivot Tables'!$A$4,1,0)</f>
        <v>0</v>
      </c>
      <c r="X8126">
        <f>IF(AND(LEFT(D8126,4)+1=LEFT(' Pivot Tables'!$A$4,4)+0,RIGHT(LEFT(D8126,7),2)=RIGHT(LEFT(' Pivot Tables'!$A$4,7),2)),1,0)</f>
        <v>0</v>
      </c>
      <c r="Y8126" s="6">
        <f>1/COUNTIF(Таблица1[Order ID],Таблица1[[#This Row],[Order ID]])</f>
        <v>0.5</v>
      </c>
      <c r="Z8126" s="9">
        <f>1/COUNTIFS(Таблица1[Customer Name],Таблица1[[#This Row],[Customer Name]],Таблица1[Order-Year-Month],Таблица1[[#This Row],[Order-Year-Month]])</f>
        <v>0.5</v>
      </c>
    </row>
    <row r="8127" spans="1:26" x14ac:dyDescent="0.2">
      <c r="A8127" s="6">
        <v>7554</v>
      </c>
      <c r="B8127" s="7">
        <v>54051</v>
      </c>
      <c r="C8127" s="8">
        <f>DATE(2012,12,31)-508</f>
        <v>40766</v>
      </c>
      <c r="D8127" s="8" t="str">
        <f t="shared" si="155"/>
        <v>2011-08 (август 2011)</v>
      </c>
      <c r="E8127" s="9" t="s">
        <v>63</v>
      </c>
      <c r="F8127" s="7">
        <v>28</v>
      </c>
      <c r="G8127" s="7">
        <v>126.95</v>
      </c>
      <c r="H8127" s="7">
        <v>0.06</v>
      </c>
      <c r="I8127" s="9" t="s">
        <v>56</v>
      </c>
      <c r="J8127" s="10">
        <v>45.87</v>
      </c>
      <c r="K8127" s="11">
        <v>4.13</v>
      </c>
      <c r="L8127" s="11">
        <v>0.99</v>
      </c>
      <c r="M8127" s="9" t="s">
        <v>2110</v>
      </c>
      <c r="N8127" s="6" t="s">
        <v>2073</v>
      </c>
      <c r="O8127" s="6" t="s">
        <v>704</v>
      </c>
      <c r="P8127" s="9" t="s">
        <v>41</v>
      </c>
      <c r="Q8127" s="9" t="s">
        <v>26</v>
      </c>
      <c r="R8127" s="9" t="s">
        <v>88</v>
      </c>
      <c r="S8127" s="7" t="s">
        <v>492</v>
      </c>
      <c r="T8127" s="9" t="s">
        <v>39</v>
      </c>
      <c r="U8127" s="7">
        <v>0.39</v>
      </c>
      <c r="V8127" s="12">
        <f>C8127+1</f>
        <v>40767</v>
      </c>
      <c r="W8127">
        <f>IF(D8127=' Pivot Tables'!$A$4,1,0)</f>
        <v>0</v>
      </c>
      <c r="X8127">
        <f>IF(AND(LEFT(D8127,4)+1=LEFT(' Pivot Tables'!$A$4,4)+0,RIGHT(LEFT(D8127,7),2)=RIGHT(LEFT(' Pivot Tables'!$A$4,7),2)),1,0)</f>
        <v>0</v>
      </c>
      <c r="Y8127" s="6">
        <f>1/COUNTIF(Таблица1[Order ID],Таблица1[[#This Row],[Order ID]])</f>
        <v>0.5</v>
      </c>
      <c r="Z8127" s="9">
        <f>1/COUNTIFS(Таблица1[Customer Name],Таблица1[[#This Row],[Customer Name]],Таблица1[Order-Year-Month],Таблица1[[#This Row],[Order-Year-Month]])</f>
        <v>0.5</v>
      </c>
    </row>
    <row r="8128" spans="1:26" x14ac:dyDescent="0.2">
      <c r="A8128" s="6">
        <v>7564</v>
      </c>
      <c r="B8128" s="7">
        <v>54116</v>
      </c>
      <c r="C8128" s="8">
        <f>DATE(2012,12,31)-424</f>
        <v>40850</v>
      </c>
      <c r="D8128" s="8" t="str">
        <f t="shared" si="155"/>
        <v>2011-11 (ноябрь 2011)</v>
      </c>
      <c r="E8128" s="9" t="s">
        <v>78</v>
      </c>
      <c r="F8128" s="7">
        <v>22</v>
      </c>
      <c r="G8128" s="7">
        <v>3329.27</v>
      </c>
      <c r="H8128" s="7">
        <v>0.05</v>
      </c>
      <c r="I8128" s="9" t="s">
        <v>31</v>
      </c>
      <c r="J8128" s="10">
        <v>350</v>
      </c>
      <c r="K8128" s="11">
        <v>150.97999999999999</v>
      </c>
      <c r="L8128" s="11">
        <v>16.010000000000002</v>
      </c>
      <c r="M8128" s="9" t="s">
        <v>1958</v>
      </c>
      <c r="N8128" s="6" t="s">
        <v>2073</v>
      </c>
      <c r="O8128" s="6" t="s">
        <v>704</v>
      </c>
      <c r="P8128" s="9" t="s">
        <v>25</v>
      </c>
      <c r="Q8128" s="9" t="s">
        <v>49</v>
      </c>
      <c r="R8128" s="9" t="s">
        <v>83</v>
      </c>
      <c r="S8128" s="7" t="s">
        <v>1404</v>
      </c>
      <c r="T8128" s="9" t="s">
        <v>82</v>
      </c>
      <c r="U8128" s="7">
        <v>0.7</v>
      </c>
      <c r="V8128" s="12">
        <f>C8128+1</f>
        <v>40851</v>
      </c>
      <c r="W8128">
        <f>IF(D8128=' Pivot Tables'!$A$4,1,0)</f>
        <v>0</v>
      </c>
      <c r="X8128">
        <f>IF(AND(LEFT(D8128,4)+1=LEFT(' Pivot Tables'!$A$4,4)+0,RIGHT(LEFT(D8128,7),2)=RIGHT(LEFT(' Pivot Tables'!$A$4,7),2)),1,0)</f>
        <v>0</v>
      </c>
      <c r="Y8128" s="6">
        <f>1/COUNTIF(Таблица1[Order ID],Таблица1[[#This Row],[Order ID]])</f>
        <v>1</v>
      </c>
      <c r="Z8128" s="9">
        <f>1/COUNTIFS(Таблица1[Customer Name],Таблица1[[#This Row],[Customer Name]],Таблица1[Order-Year-Month],Таблица1[[#This Row],[Order-Year-Month]])</f>
        <v>1</v>
      </c>
    </row>
    <row r="8129" spans="1:26" x14ac:dyDescent="0.2">
      <c r="A8129" s="6">
        <v>7747</v>
      </c>
      <c r="B8129" s="7">
        <v>55459</v>
      </c>
      <c r="C8129" s="8">
        <f>DATE(2012,12,31)-1346</f>
        <v>39928</v>
      </c>
      <c r="D8129" s="8" t="str">
        <f t="shared" si="155"/>
        <v>2009-04 (апрель 2009)</v>
      </c>
      <c r="E8129" s="9" t="s">
        <v>78</v>
      </c>
      <c r="F8129" s="7">
        <v>5</v>
      </c>
      <c r="G8129" s="7">
        <v>126.95</v>
      </c>
      <c r="H8129" s="7">
        <v>0</v>
      </c>
      <c r="I8129" s="9" t="s">
        <v>22</v>
      </c>
      <c r="J8129" s="10">
        <v>-4.17</v>
      </c>
      <c r="K8129" s="11">
        <v>22.84</v>
      </c>
      <c r="L8129" s="11">
        <v>8.18</v>
      </c>
      <c r="M8129" s="9" t="s">
        <v>2113</v>
      </c>
      <c r="N8129" s="6" t="s">
        <v>2073</v>
      </c>
      <c r="O8129" s="6" t="s">
        <v>704</v>
      </c>
      <c r="P8129" s="9" t="s">
        <v>60</v>
      </c>
      <c r="Q8129" s="9" t="s">
        <v>26</v>
      </c>
      <c r="R8129" s="9" t="s">
        <v>61</v>
      </c>
      <c r="S8129" s="7" t="s">
        <v>1539</v>
      </c>
      <c r="T8129" s="9" t="s">
        <v>39</v>
      </c>
      <c r="U8129" s="7">
        <v>0.39</v>
      </c>
      <c r="V8129" s="12">
        <f>C8129+2</f>
        <v>39930</v>
      </c>
      <c r="W8129">
        <f>IF(D8129=' Pivot Tables'!$A$4,1,0)</f>
        <v>0</v>
      </c>
      <c r="X8129">
        <f>IF(AND(LEFT(D8129,4)+1=LEFT(' Pivot Tables'!$A$4,4)+0,RIGHT(LEFT(D8129,7),2)=RIGHT(LEFT(' Pivot Tables'!$A$4,7),2)),1,0)</f>
        <v>0</v>
      </c>
      <c r="Y8129" s="6">
        <f>1/COUNTIF(Таблица1[Order ID],Таблица1[[#This Row],[Order ID]])</f>
        <v>1</v>
      </c>
      <c r="Z8129" s="9">
        <f>1/COUNTIFS(Таблица1[Customer Name],Таблица1[[#This Row],[Customer Name]],Таблица1[Order-Year-Month],Таблица1[[#This Row],[Order-Year-Month]])</f>
        <v>1</v>
      </c>
    </row>
    <row r="8130" spans="1:26" x14ac:dyDescent="0.2">
      <c r="A8130" s="6">
        <v>7915</v>
      </c>
      <c r="B8130" s="7">
        <v>56582</v>
      </c>
      <c r="C8130" s="8">
        <f>DATE(2012,12,31)-1298</f>
        <v>39976</v>
      </c>
      <c r="D8130" s="8" t="str">
        <f t="shared" si="155"/>
        <v>2009-06 (июнь 2009)</v>
      </c>
      <c r="E8130" s="9" t="s">
        <v>21</v>
      </c>
      <c r="F8130" s="7">
        <v>25</v>
      </c>
      <c r="G8130" s="7">
        <v>2612.89</v>
      </c>
      <c r="H8130" s="7">
        <v>0.04</v>
      </c>
      <c r="I8130" s="9" t="s">
        <v>22</v>
      </c>
      <c r="J8130" s="10">
        <v>490.99</v>
      </c>
      <c r="K8130" s="11">
        <v>105.29</v>
      </c>
      <c r="L8130" s="11">
        <v>10.119999999999999</v>
      </c>
      <c r="M8130" s="9" t="s">
        <v>1180</v>
      </c>
      <c r="N8130" s="6" t="s">
        <v>2073</v>
      </c>
      <c r="O8130" s="6" t="s">
        <v>704</v>
      </c>
      <c r="P8130" s="9" t="s">
        <v>25</v>
      </c>
      <c r="Q8130" s="9" t="s">
        <v>49</v>
      </c>
      <c r="R8130" s="9" t="s">
        <v>50</v>
      </c>
      <c r="S8130" s="7" t="s">
        <v>1510</v>
      </c>
      <c r="T8130" s="9" t="s">
        <v>29</v>
      </c>
      <c r="U8130" s="7">
        <v>0.79</v>
      </c>
      <c r="V8130" s="12">
        <f>C8130+4</f>
        <v>39980</v>
      </c>
      <c r="W8130">
        <f>IF(D8130=' Pivot Tables'!$A$4,1,0)</f>
        <v>0</v>
      </c>
      <c r="X8130">
        <f>IF(AND(LEFT(D8130,4)+1=LEFT(' Pivot Tables'!$A$4,4)+0,RIGHT(LEFT(D8130,7),2)=RIGHT(LEFT(' Pivot Tables'!$A$4,7),2)),1,0)</f>
        <v>0</v>
      </c>
      <c r="Y8130" s="6">
        <f>1/COUNTIF(Таблица1[Order ID],Таблица1[[#This Row],[Order ID]])</f>
        <v>0.33333333333333331</v>
      </c>
      <c r="Z8130" s="9">
        <f>1/COUNTIFS(Таблица1[Customer Name],Таблица1[[#This Row],[Customer Name]],Таблица1[Order-Year-Month],Таблица1[[#This Row],[Order-Year-Month]])</f>
        <v>0.25</v>
      </c>
    </row>
    <row r="8131" spans="1:26" x14ac:dyDescent="0.2">
      <c r="A8131" s="6">
        <v>7916</v>
      </c>
      <c r="B8131" s="7">
        <v>56582</v>
      </c>
      <c r="C8131" s="8">
        <f>DATE(2012,12,31)-1298</f>
        <v>39976</v>
      </c>
      <c r="D8131" s="8" t="str">
        <f t="shared" ref="D8131:D8194" si="156">TEXT(C8131,"гггг-ММ (ММММ гггг)")</f>
        <v>2009-06 (июнь 2009)</v>
      </c>
      <c r="E8131" s="9" t="s">
        <v>21</v>
      </c>
      <c r="F8131" s="7">
        <v>47</v>
      </c>
      <c r="G8131" s="7">
        <v>1146.992</v>
      </c>
      <c r="H8131" s="7">
        <v>7.0000000000000007E-2</v>
      </c>
      <c r="I8131" s="9" t="s">
        <v>31</v>
      </c>
      <c r="J8131" s="10">
        <v>-1643.74</v>
      </c>
      <c r="K8131" s="11">
        <v>31.76</v>
      </c>
      <c r="L8131" s="11">
        <v>45.51</v>
      </c>
      <c r="M8131" s="9" t="s">
        <v>1180</v>
      </c>
      <c r="N8131" s="6" t="s">
        <v>2073</v>
      </c>
      <c r="O8131" s="6" t="s">
        <v>704</v>
      </c>
      <c r="P8131" s="9" t="s">
        <v>25</v>
      </c>
      <c r="Q8131" s="9" t="s">
        <v>49</v>
      </c>
      <c r="R8131" s="9" t="s">
        <v>83</v>
      </c>
      <c r="S8131" s="7" t="s">
        <v>611</v>
      </c>
      <c r="T8131" s="9" t="s">
        <v>82</v>
      </c>
      <c r="U8131" s="7">
        <v>0.65</v>
      </c>
      <c r="V8131" s="12">
        <f>C8131+2</f>
        <v>39978</v>
      </c>
      <c r="W8131">
        <f>IF(D8131=' Pivot Tables'!$A$4,1,0)</f>
        <v>0</v>
      </c>
      <c r="X8131">
        <f>IF(AND(LEFT(D8131,4)+1=LEFT(' Pivot Tables'!$A$4,4)+0,RIGHT(LEFT(D8131,7),2)=RIGHT(LEFT(' Pivot Tables'!$A$4,7),2)),1,0)</f>
        <v>0</v>
      </c>
      <c r="Y8131" s="6">
        <f>1/COUNTIF(Таблица1[Order ID],Таблица1[[#This Row],[Order ID]])</f>
        <v>0.33333333333333331</v>
      </c>
      <c r="Z8131" s="9">
        <f>1/COUNTIFS(Таблица1[Customer Name],Таблица1[[#This Row],[Customer Name]],Таблица1[Order-Year-Month],Таблица1[[#This Row],[Order-Year-Month]])</f>
        <v>0.25</v>
      </c>
    </row>
    <row r="8132" spans="1:26" x14ac:dyDescent="0.2">
      <c r="A8132" s="6">
        <v>7989</v>
      </c>
      <c r="B8132" s="7">
        <v>57121</v>
      </c>
      <c r="C8132" s="8">
        <f>DATE(2012,12,31)-411</f>
        <v>40863</v>
      </c>
      <c r="D8132" s="8" t="str">
        <f t="shared" si="156"/>
        <v>2011-11 (ноябрь 2011)</v>
      </c>
      <c r="E8132" s="9" t="s">
        <v>45</v>
      </c>
      <c r="F8132" s="7">
        <v>42</v>
      </c>
      <c r="G8132" s="7">
        <v>199.24</v>
      </c>
      <c r="H8132" s="7">
        <v>7.0000000000000007E-2</v>
      </c>
      <c r="I8132" s="9" t="s">
        <v>22</v>
      </c>
      <c r="J8132" s="10">
        <v>-84.26</v>
      </c>
      <c r="K8132" s="11">
        <v>4.9800000000000004</v>
      </c>
      <c r="L8132" s="11">
        <v>4.72</v>
      </c>
      <c r="M8132" s="9" t="s">
        <v>1291</v>
      </c>
      <c r="N8132" s="6" t="s">
        <v>2073</v>
      </c>
      <c r="O8132" s="6" t="s">
        <v>704</v>
      </c>
      <c r="P8132" s="9" t="s">
        <v>33</v>
      </c>
      <c r="Q8132" s="9" t="s">
        <v>26</v>
      </c>
      <c r="R8132" s="9" t="s">
        <v>61</v>
      </c>
      <c r="S8132" s="7" t="s">
        <v>968</v>
      </c>
      <c r="T8132" s="9" t="s">
        <v>39</v>
      </c>
      <c r="U8132" s="7">
        <v>0.36</v>
      </c>
      <c r="V8132" s="12">
        <f>C8132+2</f>
        <v>40865</v>
      </c>
      <c r="W8132">
        <f>IF(D8132=' Pivot Tables'!$A$4,1,0)</f>
        <v>0</v>
      </c>
      <c r="X8132">
        <f>IF(AND(LEFT(D8132,4)+1=LEFT(' Pivot Tables'!$A$4,4)+0,RIGHT(LEFT(D8132,7),2)=RIGHT(LEFT(' Pivot Tables'!$A$4,7),2)),1,0)</f>
        <v>0</v>
      </c>
      <c r="Y8132" s="6">
        <f>1/COUNTIF(Таблица1[Order ID],Таблица1[[#This Row],[Order ID]])</f>
        <v>0.5</v>
      </c>
      <c r="Z8132" s="9">
        <f>1/COUNTIFS(Таблица1[Customer Name],Таблица1[[#This Row],[Customer Name]],Таблица1[Order-Year-Month],Таблица1[[#This Row],[Order-Year-Month]])</f>
        <v>0.5</v>
      </c>
    </row>
    <row r="8133" spans="1:26" x14ac:dyDescent="0.2">
      <c r="A8133" s="6">
        <v>7990</v>
      </c>
      <c r="B8133" s="7">
        <v>57121</v>
      </c>
      <c r="C8133" s="8">
        <f>DATE(2012,12,31)-411</f>
        <v>40863</v>
      </c>
      <c r="D8133" s="8" t="str">
        <f t="shared" si="156"/>
        <v>2011-11 (ноябрь 2011)</v>
      </c>
      <c r="E8133" s="9" t="s">
        <v>45</v>
      </c>
      <c r="F8133" s="7">
        <v>3</v>
      </c>
      <c r="G8133" s="7">
        <v>504.6705</v>
      </c>
      <c r="H8133" s="7">
        <v>0.01</v>
      </c>
      <c r="I8133" s="9" t="s">
        <v>22</v>
      </c>
      <c r="J8133" s="10">
        <v>-800.88800000000003</v>
      </c>
      <c r="K8133" s="11">
        <v>195.99</v>
      </c>
      <c r="L8133" s="11">
        <v>4.2</v>
      </c>
      <c r="M8133" s="9" t="s">
        <v>1291</v>
      </c>
      <c r="N8133" s="6" t="s">
        <v>2073</v>
      </c>
      <c r="O8133" s="6" t="s">
        <v>704</v>
      </c>
      <c r="P8133" s="9" t="s">
        <v>33</v>
      </c>
      <c r="Q8133" s="9" t="s">
        <v>42</v>
      </c>
      <c r="R8133" s="9" t="s">
        <v>43</v>
      </c>
      <c r="S8133" s="7" t="s">
        <v>1017</v>
      </c>
      <c r="T8133" s="9" t="s">
        <v>39</v>
      </c>
      <c r="U8133" s="7">
        <v>0.56000000000000005</v>
      </c>
      <c r="V8133" s="12">
        <f>C8133+2</f>
        <v>40865</v>
      </c>
      <c r="W8133">
        <f>IF(D8133=' Pivot Tables'!$A$4,1,0)</f>
        <v>0</v>
      </c>
      <c r="X8133">
        <f>IF(AND(LEFT(D8133,4)+1=LEFT(' Pivot Tables'!$A$4,4)+0,RIGHT(LEFT(D8133,7),2)=RIGHT(LEFT(' Pivot Tables'!$A$4,7),2)),1,0)</f>
        <v>0</v>
      </c>
      <c r="Y8133" s="6">
        <f>1/COUNTIF(Таблица1[Order ID],Таблица1[[#This Row],[Order ID]])</f>
        <v>0.5</v>
      </c>
      <c r="Z8133" s="9">
        <f>1/COUNTIFS(Таблица1[Customer Name],Таблица1[[#This Row],[Customer Name]],Таблица1[Order-Year-Month],Таблица1[[#This Row],[Order-Year-Month]])</f>
        <v>0.5</v>
      </c>
    </row>
    <row r="8134" spans="1:26" x14ac:dyDescent="0.2">
      <c r="A8134" s="6">
        <v>8203</v>
      </c>
      <c r="B8134" s="7">
        <v>58657</v>
      </c>
      <c r="C8134" s="8">
        <f>DATE(2012,12,31)-1010</f>
        <v>40264</v>
      </c>
      <c r="D8134" s="8" t="str">
        <f t="shared" si="156"/>
        <v>2010-03 (март 2010)</v>
      </c>
      <c r="E8134" s="9" t="s">
        <v>78</v>
      </c>
      <c r="F8134" s="7">
        <v>43</v>
      </c>
      <c r="G8134" s="7">
        <v>1338.12</v>
      </c>
      <c r="H8134" s="7">
        <v>0.04</v>
      </c>
      <c r="I8134" s="9" t="s">
        <v>22</v>
      </c>
      <c r="J8134" s="10">
        <v>519.70000000000005</v>
      </c>
      <c r="K8134" s="11">
        <v>31.78</v>
      </c>
      <c r="L8134" s="11">
        <v>1.99</v>
      </c>
      <c r="M8134" s="9" t="s">
        <v>808</v>
      </c>
      <c r="N8134" s="6" t="s">
        <v>2073</v>
      </c>
      <c r="O8134" s="6" t="s">
        <v>704</v>
      </c>
      <c r="P8134" s="9" t="s">
        <v>41</v>
      </c>
      <c r="Q8134" s="9" t="s">
        <v>42</v>
      </c>
      <c r="R8134" s="9" t="s">
        <v>70</v>
      </c>
      <c r="S8134" s="7" t="s">
        <v>132</v>
      </c>
      <c r="T8134" s="9" t="s">
        <v>52</v>
      </c>
      <c r="U8134" s="7">
        <v>0.42</v>
      </c>
      <c r="V8134" s="12">
        <f>C8134+2</f>
        <v>40266</v>
      </c>
      <c r="W8134">
        <f>IF(D8134=' Pivot Tables'!$A$4,1,0)</f>
        <v>0</v>
      </c>
      <c r="X8134">
        <f>IF(AND(LEFT(D8134,4)+1=LEFT(' Pivot Tables'!$A$4,4)+0,RIGHT(LEFT(D8134,7),2)=RIGHT(LEFT(' Pivot Tables'!$A$4,7),2)),1,0)</f>
        <v>0</v>
      </c>
      <c r="Y8134" s="6">
        <f>1/COUNTIF(Таблица1[Order ID],Таблица1[[#This Row],[Order ID]])</f>
        <v>1</v>
      </c>
      <c r="Z8134" s="9">
        <f>1/COUNTIFS(Таблица1[Customer Name],Таблица1[[#This Row],[Customer Name]],Таблица1[Order-Year-Month],Таблица1[[#This Row],[Order-Year-Month]])</f>
        <v>1</v>
      </c>
    </row>
    <row r="8135" spans="1:26" x14ac:dyDescent="0.2">
      <c r="A8135" s="6">
        <v>8273</v>
      </c>
      <c r="B8135" s="7">
        <v>59170</v>
      </c>
      <c r="C8135" s="8">
        <f>DATE(2012,12,31)-1413</f>
        <v>39861</v>
      </c>
      <c r="D8135" s="8" t="str">
        <f t="shared" si="156"/>
        <v>2009-02 (февраль 2009)</v>
      </c>
      <c r="E8135" s="9" t="s">
        <v>30</v>
      </c>
      <c r="F8135" s="7">
        <v>44</v>
      </c>
      <c r="G8135" s="7">
        <v>242.46</v>
      </c>
      <c r="H8135" s="7">
        <v>0.02</v>
      </c>
      <c r="I8135" s="9" t="s">
        <v>22</v>
      </c>
      <c r="J8135" s="10">
        <v>9.2989999999999995</v>
      </c>
      <c r="K8135" s="11">
        <v>5.34</v>
      </c>
      <c r="L8135" s="11">
        <v>2.99</v>
      </c>
      <c r="M8135" s="9" t="s">
        <v>2111</v>
      </c>
      <c r="N8135" s="6" t="s">
        <v>2073</v>
      </c>
      <c r="O8135" s="6" t="s">
        <v>704</v>
      </c>
      <c r="P8135" s="9" t="s">
        <v>33</v>
      </c>
      <c r="Q8135" s="9" t="s">
        <v>26</v>
      </c>
      <c r="R8135" s="9" t="s">
        <v>37</v>
      </c>
      <c r="S8135" s="7" t="s">
        <v>407</v>
      </c>
      <c r="T8135" s="9" t="s">
        <v>39</v>
      </c>
      <c r="U8135" s="7">
        <v>0.38</v>
      </c>
      <c r="V8135" s="12">
        <f>C8135+1</f>
        <v>39862</v>
      </c>
      <c r="W8135">
        <f>IF(D8135=' Pivot Tables'!$A$4,1,0)</f>
        <v>0</v>
      </c>
      <c r="X8135">
        <f>IF(AND(LEFT(D8135,4)+1=LEFT(' Pivot Tables'!$A$4,4)+0,RIGHT(LEFT(D8135,7),2)=RIGHT(LEFT(' Pivot Tables'!$A$4,7),2)),1,0)</f>
        <v>0</v>
      </c>
      <c r="Y8135" s="6">
        <f>1/COUNTIF(Таблица1[Order ID],Таблица1[[#This Row],[Order ID]])</f>
        <v>0.25</v>
      </c>
      <c r="Z8135" s="9">
        <f>1/COUNTIFS(Таблица1[Customer Name],Таблица1[[#This Row],[Customer Name]],Таблица1[Order-Year-Month],Таблица1[[#This Row],[Order-Year-Month]])</f>
        <v>0.2</v>
      </c>
    </row>
    <row r="8136" spans="1:26" x14ac:dyDescent="0.2">
      <c r="A8136" s="6">
        <v>8274</v>
      </c>
      <c r="B8136" s="7">
        <v>59170</v>
      </c>
      <c r="C8136" s="8">
        <f>DATE(2012,12,31)-1413</f>
        <v>39861</v>
      </c>
      <c r="D8136" s="8" t="str">
        <f t="shared" si="156"/>
        <v>2009-02 (февраль 2009)</v>
      </c>
      <c r="E8136" s="9" t="s">
        <v>30</v>
      </c>
      <c r="F8136" s="7">
        <v>10</v>
      </c>
      <c r="G8136" s="7">
        <v>607.77</v>
      </c>
      <c r="H8136" s="7">
        <v>0.04</v>
      </c>
      <c r="I8136" s="9" t="s">
        <v>22</v>
      </c>
      <c r="J8136" s="10">
        <v>232</v>
      </c>
      <c r="K8136" s="11">
        <v>62.18</v>
      </c>
      <c r="L8136" s="11">
        <v>10.84</v>
      </c>
      <c r="M8136" s="9" t="s">
        <v>2111</v>
      </c>
      <c r="N8136" s="6" t="s">
        <v>2073</v>
      </c>
      <c r="O8136" s="6" t="s">
        <v>704</v>
      </c>
      <c r="P8136" s="9" t="s">
        <v>33</v>
      </c>
      <c r="Q8136" s="9" t="s">
        <v>49</v>
      </c>
      <c r="R8136" s="9" t="s">
        <v>50</v>
      </c>
      <c r="S8136" s="7" t="s">
        <v>1113</v>
      </c>
      <c r="T8136" s="9" t="s">
        <v>48</v>
      </c>
      <c r="U8136" s="7">
        <v>0.63</v>
      </c>
      <c r="V8136" s="12">
        <f>C8136+2</f>
        <v>39863</v>
      </c>
      <c r="W8136">
        <f>IF(D8136=' Pivot Tables'!$A$4,1,0)</f>
        <v>0</v>
      </c>
      <c r="X8136">
        <f>IF(AND(LEFT(D8136,4)+1=LEFT(' Pivot Tables'!$A$4,4)+0,RIGHT(LEFT(D8136,7),2)=RIGHT(LEFT(' Pivot Tables'!$A$4,7),2)),1,0)</f>
        <v>0</v>
      </c>
      <c r="Y8136" s="6">
        <f>1/COUNTIF(Таблица1[Order ID],Таблица1[[#This Row],[Order ID]])</f>
        <v>0.25</v>
      </c>
      <c r="Z8136" s="9">
        <f>1/COUNTIFS(Таблица1[Customer Name],Таблица1[[#This Row],[Customer Name]],Таблица1[Order-Year-Month],Таблица1[[#This Row],[Order-Year-Month]])</f>
        <v>0.2</v>
      </c>
    </row>
    <row r="8137" spans="1:26" x14ac:dyDescent="0.2">
      <c r="A8137" s="6">
        <v>8275</v>
      </c>
      <c r="B8137" s="7">
        <v>59170</v>
      </c>
      <c r="C8137" s="8">
        <f>DATE(2012,12,31)-1413</f>
        <v>39861</v>
      </c>
      <c r="D8137" s="8" t="str">
        <f t="shared" si="156"/>
        <v>2009-02 (февраль 2009)</v>
      </c>
      <c r="E8137" s="9" t="s">
        <v>30</v>
      </c>
      <c r="F8137" s="7">
        <v>22</v>
      </c>
      <c r="G8137" s="7">
        <v>954.57</v>
      </c>
      <c r="H8137" s="7">
        <v>0.03</v>
      </c>
      <c r="I8137" s="9" t="s">
        <v>22</v>
      </c>
      <c r="J8137" s="10">
        <v>-380.9</v>
      </c>
      <c r="K8137" s="11">
        <v>41.47</v>
      </c>
      <c r="L8137" s="11">
        <v>34.200000000000003</v>
      </c>
      <c r="M8137" s="9" t="s">
        <v>2111</v>
      </c>
      <c r="N8137" s="6" t="s">
        <v>2073</v>
      </c>
      <c r="O8137" s="6" t="s">
        <v>704</v>
      </c>
      <c r="P8137" s="9" t="s">
        <v>33</v>
      </c>
      <c r="Q8137" s="9" t="s">
        <v>49</v>
      </c>
      <c r="R8137" s="9" t="s">
        <v>50</v>
      </c>
      <c r="S8137" s="7" t="s">
        <v>255</v>
      </c>
      <c r="T8137" s="9" t="s">
        <v>68</v>
      </c>
      <c r="U8137" s="7">
        <v>0.73</v>
      </c>
      <c r="V8137" s="12">
        <f>C8137+2</f>
        <v>39863</v>
      </c>
      <c r="W8137">
        <f>IF(D8137=' Pivot Tables'!$A$4,1,0)</f>
        <v>0</v>
      </c>
      <c r="X8137">
        <f>IF(AND(LEFT(D8137,4)+1=LEFT(' Pivot Tables'!$A$4,4)+0,RIGHT(LEFT(D8137,7),2)=RIGHT(LEFT(' Pivot Tables'!$A$4,7),2)),1,0)</f>
        <v>0</v>
      </c>
      <c r="Y8137" s="6">
        <f>1/COUNTIF(Таблица1[Order ID],Таблица1[[#This Row],[Order ID]])</f>
        <v>0.25</v>
      </c>
      <c r="Z8137" s="9">
        <f>1/COUNTIFS(Таблица1[Customer Name],Таблица1[[#This Row],[Customer Name]],Таблица1[Order-Year-Month],Таблица1[[#This Row],[Order-Year-Month]])</f>
        <v>0.2</v>
      </c>
    </row>
    <row r="8138" spans="1:26" x14ac:dyDescent="0.2">
      <c r="A8138" s="6">
        <v>8276</v>
      </c>
      <c r="B8138" s="7">
        <v>59170</v>
      </c>
      <c r="C8138" s="8">
        <f>DATE(2012,12,31)-1413</f>
        <v>39861</v>
      </c>
      <c r="D8138" s="8" t="str">
        <f t="shared" si="156"/>
        <v>2009-02 (февраль 2009)</v>
      </c>
      <c r="E8138" s="9" t="s">
        <v>30</v>
      </c>
      <c r="F8138" s="7">
        <v>5</v>
      </c>
      <c r="G8138" s="7">
        <v>8767.6200000000008</v>
      </c>
      <c r="H8138" s="7">
        <v>0.04</v>
      </c>
      <c r="I8138" s="9" t="s">
        <v>22</v>
      </c>
      <c r="J8138" s="10">
        <v>-1510.8855000000001</v>
      </c>
      <c r="K8138" s="11">
        <v>1938.02</v>
      </c>
      <c r="L8138" s="11">
        <v>13.99</v>
      </c>
      <c r="M8138" s="9" t="s">
        <v>2111</v>
      </c>
      <c r="N8138" s="6" t="s">
        <v>2073</v>
      </c>
      <c r="O8138" s="6" t="s">
        <v>704</v>
      </c>
      <c r="P8138" s="9" t="s">
        <v>33</v>
      </c>
      <c r="Q8138" s="9" t="s">
        <v>42</v>
      </c>
      <c r="R8138" s="9" t="s">
        <v>210</v>
      </c>
      <c r="S8138" s="7" t="s">
        <v>214</v>
      </c>
      <c r="T8138" s="9" t="s">
        <v>48</v>
      </c>
      <c r="U8138" s="7">
        <v>0.38</v>
      </c>
      <c r="V8138" s="12">
        <f>C8138+2</f>
        <v>39863</v>
      </c>
      <c r="W8138">
        <f>IF(D8138=' Pivot Tables'!$A$4,1,0)</f>
        <v>0</v>
      </c>
      <c r="X8138">
        <f>IF(AND(LEFT(D8138,4)+1=LEFT(' Pivot Tables'!$A$4,4)+0,RIGHT(LEFT(D8138,7),2)=RIGHT(LEFT(' Pivot Tables'!$A$4,7),2)),1,0)</f>
        <v>0</v>
      </c>
      <c r="Y8138" s="6">
        <f>1/COUNTIF(Таблица1[Order ID],Таблица1[[#This Row],[Order ID]])</f>
        <v>0.25</v>
      </c>
      <c r="Z8138" s="9">
        <f>1/COUNTIFS(Таблица1[Customer Name],Таблица1[[#This Row],[Customer Name]],Таблица1[Order-Year-Month],Таблица1[[#This Row],[Order-Year-Month]])</f>
        <v>0.2</v>
      </c>
    </row>
    <row r="8139" spans="1:26" x14ac:dyDescent="0.2">
      <c r="A8139" s="6">
        <v>8303</v>
      </c>
      <c r="B8139" s="7">
        <v>59297</v>
      </c>
      <c r="C8139" s="8">
        <f>DATE(2012,12,31)-1118</f>
        <v>40156</v>
      </c>
      <c r="D8139" s="8" t="str">
        <f t="shared" si="156"/>
        <v>2009-12 (декабрь 2009)</v>
      </c>
      <c r="E8139" s="9" t="s">
        <v>63</v>
      </c>
      <c r="F8139" s="7">
        <v>13</v>
      </c>
      <c r="G8139" s="7">
        <v>1582.47</v>
      </c>
      <c r="H8139" s="7">
        <v>0.05</v>
      </c>
      <c r="I8139" s="9" t="s">
        <v>31</v>
      </c>
      <c r="J8139" s="10">
        <v>-205.02420000000001</v>
      </c>
      <c r="K8139" s="11">
        <v>119.99</v>
      </c>
      <c r="L8139" s="11">
        <v>56.14</v>
      </c>
      <c r="M8139" s="9" t="s">
        <v>1145</v>
      </c>
      <c r="N8139" s="6" t="s">
        <v>2073</v>
      </c>
      <c r="O8139" s="6" t="s">
        <v>704</v>
      </c>
      <c r="P8139" s="9" t="s">
        <v>33</v>
      </c>
      <c r="Q8139" s="9" t="s">
        <v>42</v>
      </c>
      <c r="R8139" s="9" t="s">
        <v>210</v>
      </c>
      <c r="S8139" s="7" t="s">
        <v>950</v>
      </c>
      <c r="T8139" s="9" t="s">
        <v>82</v>
      </c>
      <c r="U8139" s="7">
        <v>0.39</v>
      </c>
      <c r="V8139" s="12">
        <f>C8139+2</f>
        <v>40158</v>
      </c>
      <c r="W8139">
        <f>IF(D8139=' Pivot Tables'!$A$4,1,0)</f>
        <v>0</v>
      </c>
      <c r="X8139">
        <f>IF(AND(LEFT(D8139,4)+1=LEFT(' Pivot Tables'!$A$4,4)+0,RIGHT(LEFT(D8139,7),2)=RIGHT(LEFT(' Pivot Tables'!$A$4,7),2)),1,0)</f>
        <v>0</v>
      </c>
      <c r="Y8139" s="6">
        <f>1/COUNTIF(Таблица1[Order ID],Таблица1[[#This Row],[Order ID]])</f>
        <v>1</v>
      </c>
      <c r="Z8139" s="9">
        <f>1/COUNTIFS(Таблица1[Customer Name],Таблица1[[#This Row],[Customer Name]],Таблица1[Order-Year-Month],Таблица1[[#This Row],[Order-Year-Month]])</f>
        <v>1</v>
      </c>
    </row>
    <row r="8140" spans="1:26" x14ac:dyDescent="0.2">
      <c r="A8140" s="6">
        <v>2</v>
      </c>
      <c r="B8140" s="7">
        <v>6</v>
      </c>
      <c r="C8140" s="8">
        <f>DATE(2012,12,31)-315</f>
        <v>40959</v>
      </c>
      <c r="D8140" s="8" t="str">
        <f t="shared" si="156"/>
        <v>2012-02 (февраль 2012)</v>
      </c>
      <c r="E8140" s="9" t="s">
        <v>45</v>
      </c>
      <c r="F8140" s="7">
        <v>2</v>
      </c>
      <c r="G8140" s="7">
        <v>6.93</v>
      </c>
      <c r="H8140" s="7">
        <v>0.01</v>
      </c>
      <c r="I8140" s="9" t="s">
        <v>22</v>
      </c>
      <c r="J8140" s="10">
        <v>-4.6399999999999997</v>
      </c>
      <c r="K8140" s="11">
        <v>2.08</v>
      </c>
      <c r="L8140" s="11">
        <v>2.56</v>
      </c>
      <c r="M8140" s="9" t="s">
        <v>2118</v>
      </c>
      <c r="N8140" s="6" t="s">
        <v>2073</v>
      </c>
      <c r="O8140" s="6" t="s">
        <v>704</v>
      </c>
      <c r="P8140" s="9" t="s">
        <v>41</v>
      </c>
      <c r="Q8140" s="9" t="s">
        <v>26</v>
      </c>
      <c r="R8140" s="9" t="s">
        <v>150</v>
      </c>
      <c r="S8140" s="7" t="s">
        <v>750</v>
      </c>
      <c r="T8140" s="9" t="s">
        <v>52</v>
      </c>
      <c r="U8140" s="7">
        <v>0.55000000000000004</v>
      </c>
      <c r="V8140" s="12">
        <f>C8140+1</f>
        <v>40960</v>
      </c>
      <c r="W8140">
        <f>IF(D8140=' Pivot Tables'!$A$4,1,0)</f>
        <v>0</v>
      </c>
      <c r="X8140">
        <f>IF(AND(LEFT(D8140,4)+1=LEFT(' Pivot Tables'!$A$4,4)+0,RIGHT(LEFT(D8140,7),2)=RIGHT(LEFT(' Pivot Tables'!$A$4,7),2)),1,0)</f>
        <v>0</v>
      </c>
      <c r="Y8140" s="6">
        <f>1/COUNTIF(Таблица1[Order ID],Таблица1[[#This Row],[Order ID]])</f>
        <v>1</v>
      </c>
      <c r="Z8140" s="9">
        <f>1/COUNTIFS(Таблица1[Customer Name],Таблица1[[#This Row],[Customer Name]],Таблица1[Order-Year-Month],Таблица1[[#This Row],[Order-Year-Month]])</f>
        <v>1</v>
      </c>
    </row>
    <row r="8141" spans="1:26" x14ac:dyDescent="0.2">
      <c r="A8141" s="6">
        <v>3</v>
      </c>
      <c r="B8141" s="7">
        <v>32</v>
      </c>
      <c r="C8141" s="8">
        <f>DATE(2012,12,31)-535</f>
        <v>40739</v>
      </c>
      <c r="D8141" s="8" t="str">
        <f t="shared" si="156"/>
        <v>2011-07 (июль 2011)</v>
      </c>
      <c r="E8141" s="9" t="s">
        <v>30</v>
      </c>
      <c r="F8141" s="7">
        <v>26</v>
      </c>
      <c r="G8141" s="7">
        <v>2808.08</v>
      </c>
      <c r="H8141" s="7">
        <v>7.0000000000000007E-2</v>
      </c>
      <c r="I8141" s="9" t="s">
        <v>22</v>
      </c>
      <c r="J8141" s="10">
        <v>1054.82</v>
      </c>
      <c r="K8141" s="11">
        <v>107.53</v>
      </c>
      <c r="L8141" s="11">
        <v>5.81</v>
      </c>
      <c r="M8141" s="9" t="s">
        <v>1956</v>
      </c>
      <c r="N8141" s="6" t="s">
        <v>2073</v>
      </c>
      <c r="O8141" s="6" t="s">
        <v>704</v>
      </c>
      <c r="P8141" s="9" t="s">
        <v>41</v>
      </c>
      <c r="Q8141" s="9" t="s">
        <v>49</v>
      </c>
      <c r="R8141" s="9" t="s">
        <v>50</v>
      </c>
      <c r="S8141" s="7" t="s">
        <v>473</v>
      </c>
      <c r="T8141" s="9" t="s">
        <v>48</v>
      </c>
      <c r="U8141" s="7">
        <v>0.65</v>
      </c>
      <c r="V8141" s="12">
        <f>C8141+2</f>
        <v>40741</v>
      </c>
      <c r="W8141">
        <f>IF(D8141=' Pivot Tables'!$A$4,1,0)</f>
        <v>0</v>
      </c>
      <c r="X8141">
        <f>IF(AND(LEFT(D8141,4)+1=LEFT(' Pivot Tables'!$A$4,4)+0,RIGHT(LEFT(D8141,7),2)=RIGHT(LEFT(' Pivot Tables'!$A$4,7),2)),1,0)</f>
        <v>0</v>
      </c>
      <c r="Y8141" s="6">
        <f>1/COUNTIF(Таблица1[Order ID],Таблица1[[#This Row],[Order ID]])</f>
        <v>0.25</v>
      </c>
      <c r="Z8141" s="9">
        <f>1/COUNTIFS(Таблица1[Customer Name],Таблица1[[#This Row],[Customer Name]],Таблица1[Order-Year-Month],Таблица1[[#This Row],[Order-Year-Month]])</f>
        <v>0.25</v>
      </c>
    </row>
    <row r="8142" spans="1:26" x14ac:dyDescent="0.2">
      <c r="A8142" s="6">
        <v>4</v>
      </c>
      <c r="B8142" s="7">
        <v>32</v>
      </c>
      <c r="C8142" s="8">
        <f>DATE(2012,12,31)-535</f>
        <v>40739</v>
      </c>
      <c r="D8142" s="8" t="str">
        <f t="shared" si="156"/>
        <v>2011-07 (июль 2011)</v>
      </c>
      <c r="E8142" s="9" t="s">
        <v>30</v>
      </c>
      <c r="F8142" s="7">
        <v>24</v>
      </c>
      <c r="G8142" s="7">
        <v>1761.4</v>
      </c>
      <c r="H8142" s="7">
        <v>0.09</v>
      </c>
      <c r="I8142" s="9" t="s">
        <v>31</v>
      </c>
      <c r="J8142" s="10">
        <v>-1748.56</v>
      </c>
      <c r="K8142" s="11">
        <v>70.89</v>
      </c>
      <c r="L8142" s="11">
        <v>89.3</v>
      </c>
      <c r="M8142" s="9" t="s">
        <v>1956</v>
      </c>
      <c r="N8142" s="6" t="s">
        <v>2073</v>
      </c>
      <c r="O8142" s="6" t="s">
        <v>704</v>
      </c>
      <c r="P8142" s="9" t="s">
        <v>41</v>
      </c>
      <c r="Q8142" s="9" t="s">
        <v>49</v>
      </c>
      <c r="R8142" s="9" t="s">
        <v>83</v>
      </c>
      <c r="S8142" s="7" t="s">
        <v>1071</v>
      </c>
      <c r="T8142" s="9" t="s">
        <v>82</v>
      </c>
      <c r="U8142" s="7">
        <v>0.72</v>
      </c>
      <c r="V8142" s="12">
        <f>C8142+1</f>
        <v>40740</v>
      </c>
      <c r="W8142">
        <f>IF(D8142=' Pivot Tables'!$A$4,1,0)</f>
        <v>0</v>
      </c>
      <c r="X8142">
        <f>IF(AND(LEFT(D8142,4)+1=LEFT(' Pivot Tables'!$A$4,4)+0,RIGHT(LEFT(D8142,7),2)=RIGHT(LEFT(' Pivot Tables'!$A$4,7),2)),1,0)</f>
        <v>0</v>
      </c>
      <c r="Y8142" s="6">
        <f>1/COUNTIF(Таблица1[Order ID],Таблица1[[#This Row],[Order ID]])</f>
        <v>0.25</v>
      </c>
      <c r="Z8142" s="9">
        <f>1/COUNTIFS(Таблица1[Customer Name],Таблица1[[#This Row],[Customer Name]],Таблица1[Order-Year-Month],Таблица1[[#This Row],[Order-Year-Month]])</f>
        <v>0.25</v>
      </c>
    </row>
    <row r="8143" spans="1:26" x14ac:dyDescent="0.2">
      <c r="A8143" s="6">
        <v>5</v>
      </c>
      <c r="B8143" s="7">
        <v>32</v>
      </c>
      <c r="C8143" s="8">
        <f>DATE(2012,12,31)-535</f>
        <v>40739</v>
      </c>
      <c r="D8143" s="8" t="str">
        <f t="shared" si="156"/>
        <v>2011-07 (июль 2011)</v>
      </c>
      <c r="E8143" s="9" t="s">
        <v>30</v>
      </c>
      <c r="F8143" s="7">
        <v>23</v>
      </c>
      <c r="G8143" s="7">
        <v>160.23349999999999</v>
      </c>
      <c r="H8143" s="7">
        <v>0.04</v>
      </c>
      <c r="I8143" s="9" t="s">
        <v>22</v>
      </c>
      <c r="J8143" s="10">
        <v>-85.129000000000005</v>
      </c>
      <c r="K8143" s="11">
        <v>7.99</v>
      </c>
      <c r="L8143" s="11">
        <v>5.03</v>
      </c>
      <c r="M8143" s="9" t="s">
        <v>1956</v>
      </c>
      <c r="N8143" s="6" t="s">
        <v>2073</v>
      </c>
      <c r="O8143" s="6" t="s">
        <v>704</v>
      </c>
      <c r="P8143" s="9" t="s">
        <v>41</v>
      </c>
      <c r="Q8143" s="9" t="s">
        <v>42</v>
      </c>
      <c r="R8143" s="9" t="s">
        <v>43</v>
      </c>
      <c r="S8143" s="7" t="s">
        <v>140</v>
      </c>
      <c r="T8143" s="9" t="s">
        <v>48</v>
      </c>
      <c r="U8143" s="7">
        <v>0.6</v>
      </c>
      <c r="V8143" s="12">
        <f>C8143+2</f>
        <v>40741</v>
      </c>
      <c r="W8143">
        <f>IF(D8143=' Pivot Tables'!$A$4,1,0)</f>
        <v>0</v>
      </c>
      <c r="X8143">
        <f>IF(AND(LEFT(D8143,4)+1=LEFT(' Pivot Tables'!$A$4,4)+0,RIGHT(LEFT(D8143,7),2)=RIGHT(LEFT(' Pivot Tables'!$A$4,7),2)),1,0)</f>
        <v>0</v>
      </c>
      <c r="Y8143" s="6">
        <f>1/COUNTIF(Таблица1[Order ID],Таблица1[[#This Row],[Order ID]])</f>
        <v>0.25</v>
      </c>
      <c r="Z8143" s="9">
        <f>1/COUNTIFS(Таблица1[Customer Name],Таблица1[[#This Row],[Customer Name]],Таблица1[Order-Year-Month],Таблица1[[#This Row],[Order-Year-Month]])</f>
        <v>0.25</v>
      </c>
    </row>
    <row r="8144" spans="1:26" x14ac:dyDescent="0.2">
      <c r="A8144" s="6">
        <v>72</v>
      </c>
      <c r="B8144" s="7">
        <v>420</v>
      </c>
      <c r="C8144" s="8">
        <f>DATE(2012,12,31)-428</f>
        <v>40846</v>
      </c>
      <c r="D8144" s="8" t="str">
        <f t="shared" si="156"/>
        <v>2011-10 (октябрь 2011)</v>
      </c>
      <c r="E8144" s="9" t="s">
        <v>45</v>
      </c>
      <c r="F8144" s="7">
        <v>8</v>
      </c>
      <c r="G8144" s="7">
        <v>43.29</v>
      </c>
      <c r="H8144" s="7">
        <v>0.09</v>
      </c>
      <c r="I8144" s="9" t="s">
        <v>22</v>
      </c>
      <c r="J8144" s="10">
        <v>-20.69</v>
      </c>
      <c r="K8144" s="11">
        <v>4.9800000000000004</v>
      </c>
      <c r="L8144" s="11">
        <v>4.8600000000000003</v>
      </c>
      <c r="M8144" s="9" t="s">
        <v>1701</v>
      </c>
      <c r="N8144" s="6" t="s">
        <v>2073</v>
      </c>
      <c r="O8144" s="6" t="s">
        <v>704</v>
      </c>
      <c r="P8144" s="9" t="s">
        <v>25</v>
      </c>
      <c r="Q8144" s="9" t="s">
        <v>26</v>
      </c>
      <c r="R8144" s="9" t="s">
        <v>61</v>
      </c>
      <c r="S8144" s="7" t="s">
        <v>307</v>
      </c>
      <c r="T8144" s="9" t="s">
        <v>39</v>
      </c>
      <c r="U8144" s="7">
        <v>0.38</v>
      </c>
      <c r="V8144" s="12">
        <f>C8144+0</f>
        <v>40846</v>
      </c>
      <c r="W8144">
        <f>IF(D8144=' Pivot Tables'!$A$4,1,0)</f>
        <v>0</v>
      </c>
      <c r="X8144">
        <f>IF(AND(LEFT(D8144,4)+1=LEFT(' Pivot Tables'!$A$4,4)+0,RIGHT(LEFT(D8144,7),2)=RIGHT(LEFT(' Pivot Tables'!$A$4,7),2)),1,0)</f>
        <v>0</v>
      </c>
      <c r="Y8144" s="6">
        <f>1/COUNTIF(Таблица1[Order ID],Таблица1[[#This Row],[Order ID]])</f>
        <v>0.5</v>
      </c>
      <c r="Z8144" s="9">
        <f>1/COUNTIFS(Таблица1[Customer Name],Таблица1[[#This Row],[Customer Name]],Таблица1[Order-Year-Month],Таблица1[[#This Row],[Order-Year-Month]])</f>
        <v>0.5</v>
      </c>
    </row>
    <row r="8145" spans="1:26" x14ac:dyDescent="0.2">
      <c r="A8145" s="6">
        <v>73</v>
      </c>
      <c r="B8145" s="7">
        <v>420</v>
      </c>
      <c r="C8145" s="8">
        <f>DATE(2012,12,31)-428</f>
        <v>40846</v>
      </c>
      <c r="D8145" s="8" t="str">
        <f t="shared" si="156"/>
        <v>2011-10 (октябрь 2011)</v>
      </c>
      <c r="E8145" s="9" t="s">
        <v>45</v>
      </c>
      <c r="F8145" s="7">
        <v>6</v>
      </c>
      <c r="G8145" s="7">
        <v>41.7</v>
      </c>
      <c r="H8145" s="7">
        <v>0.03</v>
      </c>
      <c r="I8145" s="9" t="s">
        <v>22</v>
      </c>
      <c r="J8145" s="10">
        <v>-14.56</v>
      </c>
      <c r="K8145" s="11">
        <v>5.78</v>
      </c>
      <c r="L8145" s="11">
        <v>5.37</v>
      </c>
      <c r="M8145" s="9" t="s">
        <v>1701</v>
      </c>
      <c r="N8145" s="6" t="s">
        <v>2073</v>
      </c>
      <c r="O8145" s="6" t="s">
        <v>704</v>
      </c>
      <c r="P8145" s="9" t="s">
        <v>25</v>
      </c>
      <c r="Q8145" s="9" t="s">
        <v>26</v>
      </c>
      <c r="R8145" s="9" t="s">
        <v>61</v>
      </c>
      <c r="S8145" s="7" t="s">
        <v>883</v>
      </c>
      <c r="T8145" s="9" t="s">
        <v>39</v>
      </c>
      <c r="U8145" s="7">
        <v>0.36</v>
      </c>
      <c r="V8145" s="12">
        <f>C8145+2</f>
        <v>40848</v>
      </c>
      <c r="W8145">
        <f>IF(D8145=' Pivot Tables'!$A$4,1,0)</f>
        <v>0</v>
      </c>
      <c r="X8145">
        <f>IF(AND(LEFT(D8145,4)+1=LEFT(' Pivot Tables'!$A$4,4)+0,RIGHT(LEFT(D8145,7),2)=RIGHT(LEFT(' Pivot Tables'!$A$4,7),2)),1,0)</f>
        <v>0</v>
      </c>
      <c r="Y8145" s="6">
        <f>1/COUNTIF(Таблица1[Order ID],Таблица1[[#This Row],[Order ID]])</f>
        <v>0.5</v>
      </c>
      <c r="Z8145" s="9">
        <f>1/COUNTIFS(Таблица1[Customer Name],Таблица1[[#This Row],[Customer Name]],Таблица1[Order-Year-Month],Таблица1[[#This Row],[Order-Year-Month]])</f>
        <v>0.5</v>
      </c>
    </row>
    <row r="8146" spans="1:26" x14ac:dyDescent="0.2">
      <c r="A8146" s="6">
        <v>270</v>
      </c>
      <c r="B8146" s="7">
        <v>1857</v>
      </c>
      <c r="C8146" s="8">
        <f>DATE(2012,12,31)-1084</f>
        <v>40190</v>
      </c>
      <c r="D8146" s="8" t="str">
        <f t="shared" si="156"/>
        <v>2010-01 (январь 2010)</v>
      </c>
      <c r="E8146" s="9" t="s">
        <v>30</v>
      </c>
      <c r="F8146" s="7">
        <v>37</v>
      </c>
      <c r="G8146" s="7">
        <v>199.76</v>
      </c>
      <c r="H8146" s="7">
        <v>7.0000000000000007E-2</v>
      </c>
      <c r="I8146" s="9" t="s">
        <v>22</v>
      </c>
      <c r="J8146" s="10">
        <v>20</v>
      </c>
      <c r="K8146" s="11">
        <v>5.58</v>
      </c>
      <c r="L8146" s="11">
        <v>1.99</v>
      </c>
      <c r="M8146" s="9" t="s">
        <v>2119</v>
      </c>
      <c r="N8146" s="6" t="s">
        <v>2073</v>
      </c>
      <c r="O8146" s="6" t="s">
        <v>704</v>
      </c>
      <c r="P8146" s="9" t="s">
        <v>33</v>
      </c>
      <c r="Q8146" s="9" t="s">
        <v>26</v>
      </c>
      <c r="R8146" s="9" t="s">
        <v>95</v>
      </c>
      <c r="S8146" s="7" t="s">
        <v>1239</v>
      </c>
      <c r="T8146" s="9" t="s">
        <v>68</v>
      </c>
      <c r="U8146" s="7">
        <v>0.46</v>
      </c>
      <c r="V8146" s="12">
        <f>C8146+1</f>
        <v>40191</v>
      </c>
      <c r="W8146">
        <f>IF(D8146=' Pivot Tables'!$A$4,1,0)</f>
        <v>1</v>
      </c>
      <c r="X8146">
        <f>IF(AND(LEFT(D8146,4)+1=LEFT(' Pivot Tables'!$A$4,4)+0,RIGHT(LEFT(D8146,7),2)=RIGHT(LEFT(' Pivot Tables'!$A$4,7),2)),1,0)</f>
        <v>0</v>
      </c>
      <c r="Y8146" s="6">
        <f>1/COUNTIF(Таблица1[Order ID],Таблица1[[#This Row],[Order ID]])</f>
        <v>1</v>
      </c>
      <c r="Z8146" s="9">
        <f>1/COUNTIFS(Таблица1[Customer Name],Таблица1[[#This Row],[Customer Name]],Таблица1[Order-Year-Month],Таблица1[[#This Row],[Order-Year-Month]])</f>
        <v>1</v>
      </c>
    </row>
    <row r="8147" spans="1:26" x14ac:dyDescent="0.2">
      <c r="A8147" s="6">
        <v>328</v>
      </c>
      <c r="B8147" s="7">
        <v>2247</v>
      </c>
      <c r="C8147" s="8">
        <f>DATE(2012,12,31)-152</f>
        <v>41122</v>
      </c>
      <c r="D8147" s="8" t="str">
        <f t="shared" si="156"/>
        <v>2012-08 (август 2012)</v>
      </c>
      <c r="E8147" s="9" t="s">
        <v>45</v>
      </c>
      <c r="F8147" s="7">
        <v>6</v>
      </c>
      <c r="G8147" s="7">
        <v>21134.71</v>
      </c>
      <c r="H8147" s="7">
        <v>0.06</v>
      </c>
      <c r="I8147" s="9" t="s">
        <v>31</v>
      </c>
      <c r="J8147" s="10">
        <v>-4266.0884999999998</v>
      </c>
      <c r="K8147" s="11">
        <v>3502.14</v>
      </c>
      <c r="L8147" s="11">
        <v>8.73</v>
      </c>
      <c r="M8147" s="9" t="s">
        <v>2120</v>
      </c>
      <c r="N8147" s="6" t="s">
        <v>2073</v>
      </c>
      <c r="O8147" s="6" t="s">
        <v>704</v>
      </c>
      <c r="P8147" s="9" t="s">
        <v>25</v>
      </c>
      <c r="Q8147" s="9" t="s">
        <v>42</v>
      </c>
      <c r="R8147" s="9" t="s">
        <v>210</v>
      </c>
      <c r="S8147" s="7" t="s">
        <v>2043</v>
      </c>
      <c r="T8147" s="9" t="s">
        <v>82</v>
      </c>
      <c r="U8147" s="7">
        <v>0.56999999999999995</v>
      </c>
      <c r="V8147" s="12">
        <f>C8147+2</f>
        <v>41124</v>
      </c>
      <c r="W8147">
        <f>IF(D8147=' Pivot Tables'!$A$4,1,0)</f>
        <v>0</v>
      </c>
      <c r="X8147">
        <f>IF(AND(LEFT(D8147,4)+1=LEFT(' Pivot Tables'!$A$4,4)+0,RIGHT(LEFT(D8147,7),2)=RIGHT(LEFT(' Pivot Tables'!$A$4,7),2)),1,0)</f>
        <v>0</v>
      </c>
      <c r="Y8147" s="6">
        <f>1/COUNTIF(Таблица1[Order ID],Таблица1[[#This Row],[Order ID]])</f>
        <v>1</v>
      </c>
      <c r="Z8147" s="9">
        <f>1/COUNTIFS(Таблица1[Customer Name],Таблица1[[#This Row],[Customer Name]],Таблица1[Order-Year-Month],Таблица1[[#This Row],[Order-Year-Month]])</f>
        <v>1</v>
      </c>
    </row>
    <row r="8148" spans="1:26" x14ac:dyDescent="0.2">
      <c r="A8148" s="6">
        <v>429</v>
      </c>
      <c r="B8148" s="7">
        <v>2882</v>
      </c>
      <c r="C8148" s="8">
        <f>DATE(2012,12,31)-498</f>
        <v>40776</v>
      </c>
      <c r="D8148" s="8" t="str">
        <f t="shared" si="156"/>
        <v>2011-08 (август 2011)</v>
      </c>
      <c r="E8148" s="9" t="s">
        <v>30</v>
      </c>
      <c r="F8148" s="7">
        <v>23</v>
      </c>
      <c r="G8148" s="7">
        <v>3872.87</v>
      </c>
      <c r="H8148" s="7">
        <v>0.03</v>
      </c>
      <c r="I8148" s="9" t="s">
        <v>31</v>
      </c>
      <c r="J8148" s="10">
        <v>565.34</v>
      </c>
      <c r="K8148" s="11">
        <v>160.97999999999999</v>
      </c>
      <c r="L8148" s="11">
        <v>30</v>
      </c>
      <c r="M8148" s="9" t="s">
        <v>2121</v>
      </c>
      <c r="N8148" s="6" t="s">
        <v>2073</v>
      </c>
      <c r="O8148" s="6" t="s">
        <v>704</v>
      </c>
      <c r="P8148" s="9" t="s">
        <v>33</v>
      </c>
      <c r="Q8148" s="9" t="s">
        <v>49</v>
      </c>
      <c r="R8148" s="9" t="s">
        <v>112</v>
      </c>
      <c r="S8148" s="7" t="s">
        <v>746</v>
      </c>
      <c r="T8148" s="9" t="s">
        <v>36</v>
      </c>
      <c r="U8148" s="7">
        <v>0.62</v>
      </c>
      <c r="V8148" s="12">
        <f>C8148+2</f>
        <v>40778</v>
      </c>
      <c r="W8148">
        <f>IF(D8148=' Pivot Tables'!$A$4,1,0)</f>
        <v>0</v>
      </c>
      <c r="X8148">
        <f>IF(AND(LEFT(D8148,4)+1=LEFT(' Pivot Tables'!$A$4,4)+0,RIGHT(LEFT(D8148,7),2)=RIGHT(LEFT(' Pivot Tables'!$A$4,7),2)),1,0)</f>
        <v>0</v>
      </c>
      <c r="Y8148" s="6">
        <f>1/COUNTIF(Таблица1[Order ID],Таблица1[[#This Row],[Order ID]])</f>
        <v>0.5</v>
      </c>
      <c r="Z8148" s="9">
        <f>1/COUNTIFS(Таблица1[Customer Name],Таблица1[[#This Row],[Customer Name]],Таблица1[Order-Year-Month],Таблица1[[#This Row],[Order-Year-Month]])</f>
        <v>0.5</v>
      </c>
    </row>
    <row r="8149" spans="1:26" x14ac:dyDescent="0.2">
      <c r="A8149" s="6">
        <v>430</v>
      </c>
      <c r="B8149" s="7">
        <v>2882</v>
      </c>
      <c r="C8149" s="8">
        <f>DATE(2012,12,31)-498</f>
        <v>40776</v>
      </c>
      <c r="D8149" s="8" t="str">
        <f t="shared" si="156"/>
        <v>2011-08 (август 2011)</v>
      </c>
      <c r="E8149" s="9" t="s">
        <v>30</v>
      </c>
      <c r="F8149" s="7">
        <v>9</v>
      </c>
      <c r="G8149" s="7">
        <v>356.72</v>
      </c>
      <c r="H8149" s="7">
        <v>7.0000000000000007E-2</v>
      </c>
      <c r="I8149" s="9" t="s">
        <v>22</v>
      </c>
      <c r="J8149" s="10">
        <v>12.61</v>
      </c>
      <c r="K8149" s="11">
        <v>40.98</v>
      </c>
      <c r="L8149" s="11">
        <v>1.99</v>
      </c>
      <c r="M8149" s="9" t="s">
        <v>2121</v>
      </c>
      <c r="N8149" s="6" t="s">
        <v>2073</v>
      </c>
      <c r="O8149" s="6" t="s">
        <v>704</v>
      </c>
      <c r="P8149" s="9" t="s">
        <v>33</v>
      </c>
      <c r="Q8149" s="9" t="s">
        <v>42</v>
      </c>
      <c r="R8149" s="9" t="s">
        <v>70</v>
      </c>
      <c r="S8149" s="7" t="s">
        <v>720</v>
      </c>
      <c r="T8149" s="9" t="s">
        <v>52</v>
      </c>
      <c r="U8149" s="7">
        <v>0.44</v>
      </c>
      <c r="V8149" s="12">
        <f>C8149+1</f>
        <v>40777</v>
      </c>
      <c r="W8149">
        <f>IF(D8149=' Pivot Tables'!$A$4,1,0)</f>
        <v>0</v>
      </c>
      <c r="X8149">
        <f>IF(AND(LEFT(D8149,4)+1=LEFT(' Pivot Tables'!$A$4,4)+0,RIGHT(LEFT(D8149,7),2)=RIGHT(LEFT(' Pivot Tables'!$A$4,7),2)),1,0)</f>
        <v>0</v>
      </c>
      <c r="Y8149" s="6">
        <f>1/COUNTIF(Таблица1[Order ID],Таблица1[[#This Row],[Order ID]])</f>
        <v>0.5</v>
      </c>
      <c r="Z8149" s="9">
        <f>1/COUNTIFS(Таблица1[Customer Name],Таблица1[[#This Row],[Customer Name]],Таблица1[Order-Year-Month],Таблица1[[#This Row],[Order-Year-Month]])</f>
        <v>0.5</v>
      </c>
    </row>
    <row r="8150" spans="1:26" x14ac:dyDescent="0.2">
      <c r="A8150" s="6">
        <v>476</v>
      </c>
      <c r="B8150" s="7">
        <v>3297</v>
      </c>
      <c r="C8150" s="8">
        <f>DATE(2012,12,31)-59</f>
        <v>41215</v>
      </c>
      <c r="D8150" s="8" t="str">
        <f t="shared" si="156"/>
        <v>2012-11 (ноябрь 2012)</v>
      </c>
      <c r="E8150" s="9" t="s">
        <v>30</v>
      </c>
      <c r="F8150" s="7">
        <v>40</v>
      </c>
      <c r="G8150" s="7">
        <v>158.69999999999999</v>
      </c>
      <c r="H8150" s="7">
        <v>0.04</v>
      </c>
      <c r="I8150" s="9" t="s">
        <v>22</v>
      </c>
      <c r="J8150" s="10">
        <v>-196.8</v>
      </c>
      <c r="K8150" s="11">
        <v>3.75</v>
      </c>
      <c r="L8150" s="11">
        <v>7.5</v>
      </c>
      <c r="M8150" s="9" t="s">
        <v>2122</v>
      </c>
      <c r="N8150" s="6" t="s">
        <v>2073</v>
      </c>
      <c r="O8150" s="6" t="s">
        <v>704</v>
      </c>
      <c r="P8150" s="9" t="s">
        <v>33</v>
      </c>
      <c r="Q8150" s="9" t="s">
        <v>26</v>
      </c>
      <c r="R8150" s="9" t="s">
        <v>88</v>
      </c>
      <c r="S8150" s="7" t="s">
        <v>1885</v>
      </c>
      <c r="T8150" s="9" t="s">
        <v>39</v>
      </c>
      <c r="U8150" s="7">
        <v>0.37</v>
      </c>
      <c r="V8150" s="12">
        <f>C8150+1</f>
        <v>41216</v>
      </c>
      <c r="W8150">
        <f>IF(D8150=' Pivot Tables'!$A$4,1,0)</f>
        <v>0</v>
      </c>
      <c r="X8150">
        <f>IF(AND(LEFT(D8150,4)+1=LEFT(' Pivot Tables'!$A$4,4)+0,RIGHT(LEFT(D8150,7),2)=RIGHT(LEFT(' Pivot Tables'!$A$4,7),2)),1,0)</f>
        <v>0</v>
      </c>
      <c r="Y8150" s="6">
        <f>1/COUNTIF(Таблица1[Order ID],Таблица1[[#This Row],[Order ID]])</f>
        <v>1</v>
      </c>
      <c r="Z8150" s="9">
        <f>1/COUNTIFS(Таблица1[Customer Name],Таблица1[[#This Row],[Customer Name]],Таблица1[Order-Year-Month],Таблица1[[#This Row],[Order-Year-Month]])</f>
        <v>1</v>
      </c>
    </row>
    <row r="8151" spans="1:26" x14ac:dyDescent="0.2">
      <c r="A8151" s="6">
        <v>544</v>
      </c>
      <c r="B8151" s="7">
        <v>3655</v>
      </c>
      <c r="C8151" s="8">
        <f>DATE(2012,12,31)-87</f>
        <v>41187</v>
      </c>
      <c r="D8151" s="8" t="str">
        <f t="shared" si="156"/>
        <v>2012-10 (октябрь 2012)</v>
      </c>
      <c r="E8151" s="9" t="s">
        <v>78</v>
      </c>
      <c r="F8151" s="7">
        <v>3</v>
      </c>
      <c r="G8151" s="7">
        <v>62.54</v>
      </c>
      <c r="H8151" s="7">
        <v>0.02</v>
      </c>
      <c r="I8151" s="9" t="s">
        <v>22</v>
      </c>
      <c r="J8151" s="10">
        <v>-30.7395</v>
      </c>
      <c r="K8151" s="11">
        <v>15.99</v>
      </c>
      <c r="L8151" s="11">
        <v>13.18</v>
      </c>
      <c r="M8151" s="9" t="s">
        <v>1701</v>
      </c>
      <c r="N8151" s="6" t="s">
        <v>2073</v>
      </c>
      <c r="O8151" s="6" t="s">
        <v>704</v>
      </c>
      <c r="P8151" s="9" t="s">
        <v>25</v>
      </c>
      <c r="Q8151" s="9" t="s">
        <v>26</v>
      </c>
      <c r="R8151" s="9" t="s">
        <v>37</v>
      </c>
      <c r="S8151" s="7" t="s">
        <v>92</v>
      </c>
      <c r="T8151" s="9" t="s">
        <v>39</v>
      </c>
      <c r="U8151" s="7">
        <v>0.37</v>
      </c>
      <c r="V8151" s="12">
        <f>C8151+0</f>
        <v>41187</v>
      </c>
      <c r="W8151">
        <f>IF(D8151=' Pivot Tables'!$A$4,1,0)</f>
        <v>0</v>
      </c>
      <c r="X8151">
        <f>IF(AND(LEFT(D8151,4)+1=LEFT(' Pivot Tables'!$A$4,4)+0,RIGHT(LEFT(D8151,7),2)=RIGHT(LEFT(' Pivot Tables'!$A$4,7),2)),1,0)</f>
        <v>0</v>
      </c>
      <c r="Y8151" s="6">
        <f>1/COUNTIF(Таблица1[Order ID],Таблица1[[#This Row],[Order ID]])</f>
        <v>0.5</v>
      </c>
      <c r="Z8151" s="9">
        <f>1/COUNTIFS(Таблица1[Customer Name],Таблица1[[#This Row],[Customer Name]],Таблица1[Order-Year-Month],Таблица1[[#This Row],[Order-Year-Month]])</f>
        <v>0.25</v>
      </c>
    </row>
    <row r="8152" spans="1:26" x14ac:dyDescent="0.2">
      <c r="A8152" s="6">
        <v>545</v>
      </c>
      <c r="B8152" s="7">
        <v>3655</v>
      </c>
      <c r="C8152" s="8">
        <f>DATE(2012,12,31)-87</f>
        <v>41187</v>
      </c>
      <c r="D8152" s="8" t="str">
        <f t="shared" si="156"/>
        <v>2012-10 (октябрь 2012)</v>
      </c>
      <c r="E8152" s="9" t="s">
        <v>78</v>
      </c>
      <c r="F8152" s="7">
        <v>24</v>
      </c>
      <c r="G8152" s="7">
        <v>2750.107</v>
      </c>
      <c r="H8152" s="7">
        <v>0</v>
      </c>
      <c r="I8152" s="9" t="s">
        <v>22</v>
      </c>
      <c r="J8152" s="10">
        <v>600.41700000000003</v>
      </c>
      <c r="K8152" s="11">
        <v>125.99</v>
      </c>
      <c r="L8152" s="11">
        <v>7.69</v>
      </c>
      <c r="M8152" s="9" t="s">
        <v>1701</v>
      </c>
      <c r="N8152" s="6" t="s">
        <v>2073</v>
      </c>
      <c r="O8152" s="6" t="s">
        <v>704</v>
      </c>
      <c r="P8152" s="9" t="s">
        <v>25</v>
      </c>
      <c r="Q8152" s="9" t="s">
        <v>42</v>
      </c>
      <c r="R8152" s="9" t="s">
        <v>43</v>
      </c>
      <c r="S8152" s="7" t="s">
        <v>129</v>
      </c>
      <c r="T8152" s="9" t="s">
        <v>39</v>
      </c>
      <c r="U8152" s="7">
        <v>0.57999999999999996</v>
      </c>
      <c r="V8152" s="12">
        <f>C8152+1</f>
        <v>41188</v>
      </c>
      <c r="W8152">
        <f>IF(D8152=' Pivot Tables'!$A$4,1,0)</f>
        <v>0</v>
      </c>
      <c r="X8152">
        <f>IF(AND(LEFT(D8152,4)+1=LEFT(' Pivot Tables'!$A$4,4)+0,RIGHT(LEFT(D8152,7),2)=RIGHT(LEFT(' Pivot Tables'!$A$4,7),2)),1,0)</f>
        <v>0</v>
      </c>
      <c r="Y8152" s="6">
        <f>1/COUNTIF(Таблица1[Order ID],Таблица1[[#This Row],[Order ID]])</f>
        <v>0.5</v>
      </c>
      <c r="Z8152" s="9">
        <f>1/COUNTIFS(Таблица1[Customer Name],Таблица1[[#This Row],[Customer Name]],Таблица1[Order-Year-Month],Таблица1[[#This Row],[Order-Year-Month]])</f>
        <v>0.25</v>
      </c>
    </row>
    <row r="8153" spans="1:26" x14ac:dyDescent="0.2">
      <c r="A8153" s="6">
        <v>551</v>
      </c>
      <c r="B8153" s="7">
        <v>3746</v>
      </c>
      <c r="C8153" s="8">
        <f>DATE(2012,12,31)-1208</f>
        <v>40066</v>
      </c>
      <c r="D8153" s="8" t="str">
        <f t="shared" si="156"/>
        <v>2009-09 (сентябрь 2009)</v>
      </c>
      <c r="E8153" s="9" t="s">
        <v>45</v>
      </c>
      <c r="F8153" s="7">
        <v>14</v>
      </c>
      <c r="G8153" s="7">
        <v>1463.0964999999999</v>
      </c>
      <c r="H8153" s="7">
        <v>0</v>
      </c>
      <c r="I8153" s="9" t="s">
        <v>22</v>
      </c>
      <c r="J8153" s="10">
        <v>162.666</v>
      </c>
      <c r="K8153" s="11">
        <v>115.99</v>
      </c>
      <c r="L8153" s="11">
        <v>2.5</v>
      </c>
      <c r="M8153" s="9" t="s">
        <v>2123</v>
      </c>
      <c r="N8153" s="6" t="s">
        <v>2073</v>
      </c>
      <c r="O8153" s="6" t="s">
        <v>704</v>
      </c>
      <c r="P8153" s="9" t="s">
        <v>41</v>
      </c>
      <c r="Q8153" s="9" t="s">
        <v>42</v>
      </c>
      <c r="R8153" s="9" t="s">
        <v>43</v>
      </c>
      <c r="S8153" s="7" t="s">
        <v>125</v>
      </c>
      <c r="T8153" s="9" t="s">
        <v>39</v>
      </c>
      <c r="U8153" s="7">
        <v>0.56999999999999995</v>
      </c>
      <c r="V8153" s="12">
        <f>C8153+0</f>
        <v>40066</v>
      </c>
      <c r="W8153">
        <f>IF(D8153=' Pivot Tables'!$A$4,1,0)</f>
        <v>0</v>
      </c>
      <c r="X8153">
        <f>IF(AND(LEFT(D8153,4)+1=LEFT(' Pivot Tables'!$A$4,4)+0,RIGHT(LEFT(D8153,7),2)=RIGHT(LEFT(' Pivot Tables'!$A$4,7),2)),1,0)</f>
        <v>0</v>
      </c>
      <c r="Y8153" s="6">
        <f>1/COUNTIF(Таблица1[Order ID],Таблица1[[#This Row],[Order ID]])</f>
        <v>0.5</v>
      </c>
      <c r="Z8153" s="9">
        <f>1/COUNTIFS(Таблица1[Customer Name],Таблица1[[#This Row],[Customer Name]],Таблица1[Order-Year-Month],Таблица1[[#This Row],[Order-Year-Month]])</f>
        <v>0.5</v>
      </c>
    </row>
    <row r="8154" spans="1:26" x14ac:dyDescent="0.2">
      <c r="A8154" s="6">
        <v>552</v>
      </c>
      <c r="B8154" s="7">
        <v>3746</v>
      </c>
      <c r="C8154" s="8">
        <f>DATE(2012,12,31)-1208</f>
        <v>40066</v>
      </c>
      <c r="D8154" s="8" t="str">
        <f t="shared" si="156"/>
        <v>2009-09 (сентябрь 2009)</v>
      </c>
      <c r="E8154" s="9" t="s">
        <v>45</v>
      </c>
      <c r="F8154" s="7">
        <v>38</v>
      </c>
      <c r="G8154" s="7">
        <v>246.3</v>
      </c>
      <c r="H8154" s="7">
        <v>0.02</v>
      </c>
      <c r="I8154" s="9" t="s">
        <v>22</v>
      </c>
      <c r="J8154" s="10">
        <v>-67.489999999999995</v>
      </c>
      <c r="K8154" s="11">
        <v>5.98</v>
      </c>
      <c r="L8154" s="11">
        <v>5.79</v>
      </c>
      <c r="M8154" s="9" t="s">
        <v>2123</v>
      </c>
      <c r="N8154" s="6" t="s">
        <v>2073</v>
      </c>
      <c r="O8154" s="6" t="s">
        <v>704</v>
      </c>
      <c r="P8154" s="9" t="s">
        <v>41</v>
      </c>
      <c r="Q8154" s="9" t="s">
        <v>26</v>
      </c>
      <c r="R8154" s="9" t="s">
        <v>61</v>
      </c>
      <c r="S8154" s="7" t="s">
        <v>935</v>
      </c>
      <c r="T8154" s="9" t="s">
        <v>39</v>
      </c>
      <c r="U8154" s="7">
        <v>0.36</v>
      </c>
      <c r="V8154" s="12">
        <f>C8154+1</f>
        <v>40067</v>
      </c>
      <c r="W8154">
        <f>IF(D8154=' Pivot Tables'!$A$4,1,0)</f>
        <v>0</v>
      </c>
      <c r="X8154">
        <f>IF(AND(LEFT(D8154,4)+1=LEFT(' Pivot Tables'!$A$4,4)+0,RIGHT(LEFT(D8154,7),2)=RIGHT(LEFT(' Pivot Tables'!$A$4,7),2)),1,0)</f>
        <v>0</v>
      </c>
      <c r="Y8154" s="6">
        <f>1/COUNTIF(Таблица1[Order ID],Таблица1[[#This Row],[Order ID]])</f>
        <v>0.5</v>
      </c>
      <c r="Z8154" s="9">
        <f>1/COUNTIFS(Таблица1[Customer Name],Таблица1[[#This Row],[Customer Name]],Таблица1[Order-Year-Month],Таблица1[[#This Row],[Order-Year-Month]])</f>
        <v>0.5</v>
      </c>
    </row>
    <row r="8155" spans="1:26" x14ac:dyDescent="0.2">
      <c r="A8155" s="6">
        <v>569</v>
      </c>
      <c r="B8155" s="7">
        <v>3845</v>
      </c>
      <c r="C8155" s="8">
        <f>DATE(2012,12,31)-250</f>
        <v>41024</v>
      </c>
      <c r="D8155" s="8" t="str">
        <f t="shared" si="156"/>
        <v>2012-04 (апрель 2012)</v>
      </c>
      <c r="E8155" s="9" t="s">
        <v>78</v>
      </c>
      <c r="F8155" s="7">
        <v>9</v>
      </c>
      <c r="G8155" s="7">
        <v>3064.27</v>
      </c>
      <c r="H8155" s="7">
        <v>0.09</v>
      </c>
      <c r="I8155" s="9" t="s">
        <v>22</v>
      </c>
      <c r="J8155" s="10">
        <v>294.39</v>
      </c>
      <c r="K8155" s="11">
        <v>363.25</v>
      </c>
      <c r="L8155" s="11">
        <v>19.989999999999998</v>
      </c>
      <c r="M8155" s="9" t="s">
        <v>2124</v>
      </c>
      <c r="N8155" s="6" t="s">
        <v>2073</v>
      </c>
      <c r="O8155" s="6" t="s">
        <v>704</v>
      </c>
      <c r="P8155" s="9" t="s">
        <v>33</v>
      </c>
      <c r="Q8155" s="9" t="s">
        <v>26</v>
      </c>
      <c r="R8155" s="9" t="s">
        <v>34</v>
      </c>
      <c r="S8155" s="7" t="s">
        <v>589</v>
      </c>
      <c r="T8155" s="9" t="s">
        <v>39</v>
      </c>
      <c r="U8155" s="7">
        <v>0.56999999999999995</v>
      </c>
      <c r="V8155" s="12">
        <f>C8155+0</f>
        <v>41024</v>
      </c>
      <c r="W8155">
        <f>IF(D8155=' Pivot Tables'!$A$4,1,0)</f>
        <v>0</v>
      </c>
      <c r="X8155">
        <f>IF(AND(LEFT(D8155,4)+1=LEFT(' Pivot Tables'!$A$4,4)+0,RIGHT(LEFT(D8155,7),2)=RIGHT(LEFT(' Pivot Tables'!$A$4,7),2)),1,0)</f>
        <v>0</v>
      </c>
      <c r="Y8155" s="6">
        <f>1/COUNTIF(Таблица1[Order ID],Таблица1[[#This Row],[Order ID]])</f>
        <v>0.33333333333333331</v>
      </c>
      <c r="Z8155" s="9">
        <f>1/COUNTIFS(Таблица1[Customer Name],Таблица1[[#This Row],[Customer Name]],Таблица1[Order-Year-Month],Таблица1[[#This Row],[Order-Year-Month]])</f>
        <v>0.33333333333333331</v>
      </c>
    </row>
    <row r="8156" spans="1:26" x14ac:dyDescent="0.2">
      <c r="A8156" s="6">
        <v>570</v>
      </c>
      <c r="B8156" s="7">
        <v>3845</v>
      </c>
      <c r="C8156" s="8">
        <f>DATE(2012,12,31)-250</f>
        <v>41024</v>
      </c>
      <c r="D8156" s="8" t="str">
        <f t="shared" si="156"/>
        <v>2012-04 (апрель 2012)</v>
      </c>
      <c r="E8156" s="9" t="s">
        <v>78</v>
      </c>
      <c r="F8156" s="7">
        <v>22</v>
      </c>
      <c r="G8156" s="7">
        <v>475.72</v>
      </c>
      <c r="H8156" s="7">
        <v>0.02</v>
      </c>
      <c r="I8156" s="9" t="s">
        <v>22</v>
      </c>
      <c r="J8156" s="10">
        <v>-10.4</v>
      </c>
      <c r="K8156" s="11">
        <v>19.98</v>
      </c>
      <c r="L8156" s="11">
        <v>10.49</v>
      </c>
      <c r="M8156" s="9" t="s">
        <v>2124</v>
      </c>
      <c r="N8156" s="6" t="s">
        <v>2073</v>
      </c>
      <c r="O8156" s="6" t="s">
        <v>704</v>
      </c>
      <c r="P8156" s="9" t="s">
        <v>33</v>
      </c>
      <c r="Q8156" s="9" t="s">
        <v>49</v>
      </c>
      <c r="R8156" s="9" t="s">
        <v>50</v>
      </c>
      <c r="S8156" s="7" t="s">
        <v>163</v>
      </c>
      <c r="T8156" s="9" t="s">
        <v>39</v>
      </c>
      <c r="U8156" s="7">
        <v>0.49</v>
      </c>
      <c r="V8156" s="12">
        <f>C8156+2</f>
        <v>41026</v>
      </c>
      <c r="W8156">
        <f>IF(D8156=' Pivot Tables'!$A$4,1,0)</f>
        <v>0</v>
      </c>
      <c r="X8156">
        <f>IF(AND(LEFT(D8156,4)+1=LEFT(' Pivot Tables'!$A$4,4)+0,RIGHT(LEFT(D8156,7),2)=RIGHT(LEFT(' Pivot Tables'!$A$4,7),2)),1,0)</f>
        <v>0</v>
      </c>
      <c r="Y8156" s="6">
        <f>1/COUNTIF(Таблица1[Order ID],Таблица1[[#This Row],[Order ID]])</f>
        <v>0.33333333333333331</v>
      </c>
      <c r="Z8156" s="9">
        <f>1/COUNTIFS(Таблица1[Customer Name],Таблица1[[#This Row],[Customer Name]],Таблица1[Order-Year-Month],Таблица1[[#This Row],[Order-Year-Month]])</f>
        <v>0.33333333333333331</v>
      </c>
    </row>
    <row r="8157" spans="1:26" x14ac:dyDescent="0.2">
      <c r="A8157" s="6">
        <v>571</v>
      </c>
      <c r="B8157" s="7">
        <v>3845</v>
      </c>
      <c r="C8157" s="8">
        <f>DATE(2012,12,31)-250</f>
        <v>41024</v>
      </c>
      <c r="D8157" s="8" t="str">
        <f t="shared" si="156"/>
        <v>2012-04 (апрель 2012)</v>
      </c>
      <c r="E8157" s="9" t="s">
        <v>78</v>
      </c>
      <c r="F8157" s="7">
        <v>15</v>
      </c>
      <c r="G8157" s="7">
        <v>123.91</v>
      </c>
      <c r="H8157" s="7">
        <v>0.09</v>
      </c>
      <c r="I8157" s="9" t="s">
        <v>22</v>
      </c>
      <c r="J8157" s="10">
        <v>39.04</v>
      </c>
      <c r="K8157" s="11">
        <v>8.34</v>
      </c>
      <c r="L8157" s="11">
        <v>0.96</v>
      </c>
      <c r="M8157" s="9" t="s">
        <v>2124</v>
      </c>
      <c r="N8157" s="6" t="s">
        <v>2073</v>
      </c>
      <c r="O8157" s="6" t="s">
        <v>704</v>
      </c>
      <c r="P8157" s="9" t="s">
        <v>33</v>
      </c>
      <c r="Q8157" s="9" t="s">
        <v>49</v>
      </c>
      <c r="R8157" s="9" t="s">
        <v>50</v>
      </c>
      <c r="S8157" s="7" t="s">
        <v>1306</v>
      </c>
      <c r="T8157" s="9" t="s">
        <v>68</v>
      </c>
      <c r="U8157" s="7">
        <v>0.43</v>
      </c>
      <c r="V8157" s="12">
        <f>C8157+1</f>
        <v>41025</v>
      </c>
      <c r="W8157">
        <f>IF(D8157=' Pivot Tables'!$A$4,1,0)</f>
        <v>0</v>
      </c>
      <c r="X8157">
        <f>IF(AND(LEFT(D8157,4)+1=LEFT(' Pivot Tables'!$A$4,4)+0,RIGHT(LEFT(D8157,7),2)=RIGHT(LEFT(' Pivot Tables'!$A$4,7),2)),1,0)</f>
        <v>0</v>
      </c>
      <c r="Y8157" s="6">
        <f>1/COUNTIF(Таблица1[Order ID],Таблица1[[#This Row],[Order ID]])</f>
        <v>0.33333333333333331</v>
      </c>
      <c r="Z8157" s="9">
        <f>1/COUNTIFS(Таблица1[Customer Name],Таблица1[[#This Row],[Customer Name]],Таблица1[Order-Year-Month],Таблица1[[#This Row],[Order-Year-Month]])</f>
        <v>0.33333333333333331</v>
      </c>
    </row>
    <row r="8158" spans="1:26" x14ac:dyDescent="0.2">
      <c r="A8158" s="6">
        <v>640</v>
      </c>
      <c r="B8158" s="7">
        <v>4514</v>
      </c>
      <c r="C8158" s="8">
        <f>DATE(2012,12,31)-1342</f>
        <v>39932</v>
      </c>
      <c r="D8158" s="8" t="str">
        <f t="shared" si="156"/>
        <v>2009-04 (апрель 2009)</v>
      </c>
      <c r="E8158" s="9" t="s">
        <v>63</v>
      </c>
      <c r="F8158" s="7">
        <v>28</v>
      </c>
      <c r="G8158" s="7">
        <v>2841.4395</v>
      </c>
      <c r="H8158" s="7">
        <v>0.08</v>
      </c>
      <c r="I8158" s="9" t="s">
        <v>22</v>
      </c>
      <c r="J8158" s="10">
        <v>374.625</v>
      </c>
      <c r="K8158" s="11">
        <v>125.99</v>
      </c>
      <c r="L8158" s="11">
        <v>7.69</v>
      </c>
      <c r="M8158" s="9" t="s">
        <v>2121</v>
      </c>
      <c r="N8158" s="6" t="s">
        <v>2073</v>
      </c>
      <c r="O8158" s="6" t="s">
        <v>704</v>
      </c>
      <c r="P8158" s="9" t="s">
        <v>33</v>
      </c>
      <c r="Q8158" s="9" t="s">
        <v>42</v>
      </c>
      <c r="R8158" s="9" t="s">
        <v>43</v>
      </c>
      <c r="S8158" s="7" t="s">
        <v>843</v>
      </c>
      <c r="T8158" s="9" t="s">
        <v>39</v>
      </c>
      <c r="U8158" s="7">
        <v>0.59</v>
      </c>
      <c r="V8158" s="12">
        <f>C8158+1</f>
        <v>39933</v>
      </c>
      <c r="W8158">
        <f>IF(D8158=' Pivot Tables'!$A$4,1,0)</f>
        <v>0</v>
      </c>
      <c r="X8158">
        <f>IF(AND(LEFT(D8158,4)+1=LEFT(' Pivot Tables'!$A$4,4)+0,RIGHT(LEFT(D8158,7),2)=RIGHT(LEFT(' Pivot Tables'!$A$4,7),2)),1,0)</f>
        <v>0</v>
      </c>
      <c r="Y8158" s="6">
        <f>1/COUNTIF(Таблица1[Order ID],Таблица1[[#This Row],[Order ID]])</f>
        <v>1</v>
      </c>
      <c r="Z8158" s="9">
        <f>1/COUNTIFS(Таблица1[Customer Name],Таблица1[[#This Row],[Customer Name]],Таблица1[Order-Year-Month],Таблица1[[#This Row],[Order-Year-Month]])</f>
        <v>1</v>
      </c>
    </row>
    <row r="8159" spans="1:26" x14ac:dyDescent="0.2">
      <c r="A8159" s="6">
        <v>666</v>
      </c>
      <c r="B8159" s="7">
        <v>4672</v>
      </c>
      <c r="C8159" s="8">
        <f>DATE(2012,12,31)-421</f>
        <v>40853</v>
      </c>
      <c r="D8159" s="8" t="str">
        <f t="shared" si="156"/>
        <v>2011-11 (ноябрь 2011)</v>
      </c>
      <c r="E8159" s="9" t="s">
        <v>78</v>
      </c>
      <c r="F8159" s="7">
        <v>20</v>
      </c>
      <c r="G8159" s="7">
        <v>152.44</v>
      </c>
      <c r="H8159" s="7">
        <v>0.08</v>
      </c>
      <c r="I8159" s="9" t="s">
        <v>22</v>
      </c>
      <c r="J8159" s="10">
        <v>-16.64</v>
      </c>
      <c r="K8159" s="11">
        <v>7.7</v>
      </c>
      <c r="L8159" s="11">
        <v>3.68</v>
      </c>
      <c r="M8159" s="9" t="s">
        <v>2123</v>
      </c>
      <c r="N8159" s="6" t="s">
        <v>2073</v>
      </c>
      <c r="O8159" s="6" t="s">
        <v>704</v>
      </c>
      <c r="P8159" s="9" t="s">
        <v>41</v>
      </c>
      <c r="Q8159" s="9" t="s">
        <v>49</v>
      </c>
      <c r="R8159" s="9" t="s">
        <v>50</v>
      </c>
      <c r="S8159" s="7" t="s">
        <v>1052</v>
      </c>
      <c r="T8159" s="9" t="s">
        <v>68</v>
      </c>
      <c r="U8159" s="7">
        <v>0.52</v>
      </c>
      <c r="V8159" s="12">
        <f>C8159+1</f>
        <v>40854</v>
      </c>
      <c r="W8159">
        <f>IF(D8159=' Pivot Tables'!$A$4,1,0)</f>
        <v>0</v>
      </c>
      <c r="X8159">
        <f>IF(AND(LEFT(D8159,4)+1=LEFT(' Pivot Tables'!$A$4,4)+0,RIGHT(LEFT(D8159,7),2)=RIGHT(LEFT(' Pivot Tables'!$A$4,7),2)),1,0)</f>
        <v>0</v>
      </c>
      <c r="Y8159" s="6">
        <f>1/COUNTIF(Таблица1[Order ID],Таблица1[[#This Row],[Order ID]])</f>
        <v>1</v>
      </c>
      <c r="Z8159" s="9">
        <f>1/COUNTIFS(Таблица1[Customer Name],Таблица1[[#This Row],[Customer Name]],Таблица1[Order-Year-Month],Таблица1[[#This Row],[Order-Year-Month]])</f>
        <v>1</v>
      </c>
    </row>
    <row r="8160" spans="1:26" x14ac:dyDescent="0.2">
      <c r="A8160" s="6">
        <v>673</v>
      </c>
      <c r="B8160" s="7">
        <v>4705</v>
      </c>
      <c r="C8160" s="8">
        <f>DATE(2012,12,31)-285</f>
        <v>40989</v>
      </c>
      <c r="D8160" s="8" t="str">
        <f t="shared" si="156"/>
        <v>2012-03 (март 2012)</v>
      </c>
      <c r="E8160" s="9" t="s">
        <v>45</v>
      </c>
      <c r="F8160" s="7">
        <v>16</v>
      </c>
      <c r="G8160" s="7">
        <v>123.85</v>
      </c>
      <c r="H8160" s="7">
        <v>0.09</v>
      </c>
      <c r="I8160" s="9" t="s">
        <v>22</v>
      </c>
      <c r="J8160" s="10">
        <v>-71.44</v>
      </c>
      <c r="K8160" s="11">
        <v>7.98</v>
      </c>
      <c r="L8160" s="11">
        <v>6.5</v>
      </c>
      <c r="M8160" s="9" t="s">
        <v>154</v>
      </c>
      <c r="N8160" s="6" t="s">
        <v>2073</v>
      </c>
      <c r="O8160" s="6" t="s">
        <v>704</v>
      </c>
      <c r="P8160" s="9" t="s">
        <v>41</v>
      </c>
      <c r="Q8160" s="9" t="s">
        <v>26</v>
      </c>
      <c r="R8160" s="9" t="s">
        <v>27</v>
      </c>
      <c r="S8160" s="7" t="s">
        <v>1549</v>
      </c>
      <c r="T8160" s="9" t="s">
        <v>48</v>
      </c>
      <c r="U8160" s="7">
        <v>0.59</v>
      </c>
      <c r="V8160" s="12">
        <f>C8160+2</f>
        <v>40991</v>
      </c>
      <c r="W8160">
        <f>IF(D8160=' Pivot Tables'!$A$4,1,0)</f>
        <v>0</v>
      </c>
      <c r="X8160">
        <f>IF(AND(LEFT(D8160,4)+1=LEFT(' Pivot Tables'!$A$4,4)+0,RIGHT(LEFT(D8160,7),2)=RIGHT(LEFT(' Pivot Tables'!$A$4,7),2)),1,0)</f>
        <v>0</v>
      </c>
      <c r="Y8160" s="6">
        <f>1/COUNTIF(Таблица1[Order ID],Таблица1[[#This Row],[Order ID]])</f>
        <v>1</v>
      </c>
      <c r="Z8160" s="9">
        <f>1/COUNTIFS(Таблица1[Customer Name],Таблица1[[#This Row],[Customer Name]],Таблица1[Order-Year-Month],Таблица1[[#This Row],[Order-Year-Month]])</f>
        <v>1</v>
      </c>
    </row>
    <row r="8161" spans="1:26" x14ac:dyDescent="0.2">
      <c r="A8161" s="6">
        <v>692</v>
      </c>
      <c r="B8161" s="7">
        <v>4805</v>
      </c>
      <c r="C8161" s="8">
        <f>DATE(2012,12,31)-251</f>
        <v>41023</v>
      </c>
      <c r="D8161" s="8" t="str">
        <f t="shared" si="156"/>
        <v>2012-04 (апрель 2012)</v>
      </c>
      <c r="E8161" s="9" t="s">
        <v>45</v>
      </c>
      <c r="F8161" s="7">
        <v>7</v>
      </c>
      <c r="G8161" s="7">
        <v>55.38</v>
      </c>
      <c r="H8161" s="7">
        <v>0.02</v>
      </c>
      <c r="I8161" s="9" t="s">
        <v>22</v>
      </c>
      <c r="J8161" s="10">
        <v>-25.95</v>
      </c>
      <c r="K8161" s="11">
        <v>6.48</v>
      </c>
      <c r="L8161" s="11">
        <v>7.37</v>
      </c>
      <c r="M8161" s="9" t="s">
        <v>1701</v>
      </c>
      <c r="N8161" s="6" t="s">
        <v>2073</v>
      </c>
      <c r="O8161" s="6" t="s">
        <v>704</v>
      </c>
      <c r="P8161" s="9" t="s">
        <v>25</v>
      </c>
      <c r="Q8161" s="9" t="s">
        <v>26</v>
      </c>
      <c r="R8161" s="9" t="s">
        <v>61</v>
      </c>
      <c r="S8161" s="7" t="s">
        <v>859</v>
      </c>
      <c r="T8161" s="9" t="s">
        <v>39</v>
      </c>
      <c r="U8161" s="7">
        <v>0.37</v>
      </c>
      <c r="V8161" s="12">
        <f>C8161+3</f>
        <v>41026</v>
      </c>
      <c r="W8161">
        <f>IF(D8161=' Pivot Tables'!$A$4,1,0)</f>
        <v>0</v>
      </c>
      <c r="X8161">
        <f>IF(AND(LEFT(D8161,4)+1=LEFT(' Pivot Tables'!$A$4,4)+0,RIGHT(LEFT(D8161,7),2)=RIGHT(LEFT(' Pivot Tables'!$A$4,7),2)),1,0)</f>
        <v>0</v>
      </c>
      <c r="Y8161" s="6">
        <f>1/COUNTIF(Таблица1[Order ID],Таблица1[[#This Row],[Order ID]])</f>
        <v>1</v>
      </c>
      <c r="Z8161" s="9">
        <f>1/COUNTIFS(Таблица1[Customer Name],Таблица1[[#This Row],[Customer Name]],Таблица1[Order-Year-Month],Таблица1[[#This Row],[Order-Year-Month]])</f>
        <v>1</v>
      </c>
    </row>
    <row r="8162" spans="1:26" x14ac:dyDescent="0.2">
      <c r="A8162" s="6">
        <v>728</v>
      </c>
      <c r="B8162" s="7">
        <v>5222</v>
      </c>
      <c r="C8162" s="8">
        <f>DATE(2012,12,31)-1315</f>
        <v>39959</v>
      </c>
      <c r="D8162" s="8" t="str">
        <f t="shared" si="156"/>
        <v>2009-05 (май 2009)</v>
      </c>
      <c r="E8162" s="9" t="s">
        <v>45</v>
      </c>
      <c r="F8162" s="7">
        <v>40</v>
      </c>
      <c r="G8162" s="7">
        <v>14451.75</v>
      </c>
      <c r="H8162" s="7">
        <v>0.01</v>
      </c>
      <c r="I8162" s="9" t="s">
        <v>31</v>
      </c>
      <c r="J8162" s="10">
        <v>4503.63</v>
      </c>
      <c r="K8162" s="11">
        <v>349.45</v>
      </c>
      <c r="L8162" s="11">
        <v>60</v>
      </c>
      <c r="M8162" s="9" t="s">
        <v>2125</v>
      </c>
      <c r="N8162" s="6" t="s">
        <v>2073</v>
      </c>
      <c r="O8162" s="6" t="s">
        <v>704</v>
      </c>
      <c r="P8162" s="9" t="s">
        <v>33</v>
      </c>
      <c r="Q8162" s="9" t="s">
        <v>49</v>
      </c>
      <c r="R8162" s="9" t="s">
        <v>83</v>
      </c>
      <c r="S8162" s="7" t="s">
        <v>311</v>
      </c>
      <c r="T8162" s="9" t="s">
        <v>36</v>
      </c>
      <c r="U8162" s="7"/>
      <c r="V8162" s="12">
        <f>C8162+1</f>
        <v>39960</v>
      </c>
      <c r="W8162">
        <f>IF(D8162=' Pivot Tables'!$A$4,1,0)</f>
        <v>0</v>
      </c>
      <c r="X8162">
        <f>IF(AND(LEFT(D8162,4)+1=LEFT(' Pivot Tables'!$A$4,4)+0,RIGHT(LEFT(D8162,7),2)=RIGHT(LEFT(' Pivot Tables'!$A$4,7),2)),1,0)</f>
        <v>0</v>
      </c>
      <c r="Y8162" s="6">
        <f>1/COUNTIF(Таблица1[Order ID],Таблица1[[#This Row],[Order ID]])</f>
        <v>1</v>
      </c>
      <c r="Z8162" s="9">
        <f>1/COUNTIFS(Таблица1[Customer Name],Таблица1[[#This Row],[Customer Name]],Таблица1[Order-Year-Month],Таблица1[[#This Row],[Order-Year-Month]])</f>
        <v>1</v>
      </c>
    </row>
    <row r="8163" spans="1:26" x14ac:dyDescent="0.2">
      <c r="A8163" s="6">
        <v>757</v>
      </c>
      <c r="B8163" s="7">
        <v>5441</v>
      </c>
      <c r="C8163" s="8">
        <f>DATE(2012,12,31)-1260</f>
        <v>40014</v>
      </c>
      <c r="D8163" s="8" t="str">
        <f t="shared" si="156"/>
        <v>2009-07 (июль 2009)</v>
      </c>
      <c r="E8163" s="9" t="s">
        <v>45</v>
      </c>
      <c r="F8163" s="7">
        <v>34</v>
      </c>
      <c r="G8163" s="7">
        <v>226.83</v>
      </c>
      <c r="H8163" s="7">
        <v>0.02</v>
      </c>
      <c r="I8163" s="9" t="s">
        <v>22</v>
      </c>
      <c r="J8163" s="10">
        <v>-92.05</v>
      </c>
      <c r="K8163" s="11">
        <v>6.48</v>
      </c>
      <c r="L8163" s="11">
        <v>6.6</v>
      </c>
      <c r="M8163" s="9" t="s">
        <v>2009</v>
      </c>
      <c r="N8163" s="6" t="s">
        <v>2073</v>
      </c>
      <c r="O8163" s="6" t="s">
        <v>704</v>
      </c>
      <c r="P8163" s="9" t="s">
        <v>33</v>
      </c>
      <c r="Q8163" s="9" t="s">
        <v>26</v>
      </c>
      <c r="R8163" s="9" t="s">
        <v>61</v>
      </c>
      <c r="S8163" s="7" t="s">
        <v>346</v>
      </c>
      <c r="T8163" s="9" t="s">
        <v>39</v>
      </c>
      <c r="U8163" s="7">
        <v>0.37</v>
      </c>
      <c r="V8163" s="12">
        <f>C8163+2</f>
        <v>40016</v>
      </c>
      <c r="W8163">
        <f>IF(D8163=' Pivot Tables'!$A$4,1,0)</f>
        <v>0</v>
      </c>
      <c r="X8163">
        <f>IF(AND(LEFT(D8163,4)+1=LEFT(' Pivot Tables'!$A$4,4)+0,RIGHT(LEFT(D8163,7),2)=RIGHT(LEFT(' Pivot Tables'!$A$4,7),2)),1,0)</f>
        <v>0</v>
      </c>
      <c r="Y8163" s="6">
        <f>1/COUNTIF(Таблица1[Order ID],Таблица1[[#This Row],[Order ID]])</f>
        <v>0.5</v>
      </c>
      <c r="Z8163" s="9">
        <f>1/COUNTIFS(Таблица1[Customer Name],Таблица1[[#This Row],[Customer Name]],Таблица1[Order-Year-Month],Таблица1[[#This Row],[Order-Year-Month]])</f>
        <v>0.5</v>
      </c>
    </row>
    <row r="8164" spans="1:26" x14ac:dyDescent="0.2">
      <c r="A8164" s="6">
        <v>758</v>
      </c>
      <c r="B8164" s="7">
        <v>5441</v>
      </c>
      <c r="C8164" s="8">
        <f>DATE(2012,12,31)-1260</f>
        <v>40014</v>
      </c>
      <c r="D8164" s="8" t="str">
        <f t="shared" si="156"/>
        <v>2009-07 (июль 2009)</v>
      </c>
      <c r="E8164" s="9" t="s">
        <v>45</v>
      </c>
      <c r="F8164" s="7">
        <v>16</v>
      </c>
      <c r="G8164" s="7">
        <v>278.92</v>
      </c>
      <c r="H8164" s="7">
        <v>0.04</v>
      </c>
      <c r="I8164" s="9" t="s">
        <v>22</v>
      </c>
      <c r="J8164" s="10">
        <v>6.11</v>
      </c>
      <c r="K8164" s="11">
        <v>17.149999999999999</v>
      </c>
      <c r="L8164" s="11">
        <v>4.96</v>
      </c>
      <c r="M8164" s="9" t="s">
        <v>2009</v>
      </c>
      <c r="N8164" s="6" t="s">
        <v>2073</v>
      </c>
      <c r="O8164" s="6" t="s">
        <v>704</v>
      </c>
      <c r="P8164" s="9" t="s">
        <v>33</v>
      </c>
      <c r="Q8164" s="9" t="s">
        <v>26</v>
      </c>
      <c r="R8164" s="9" t="s">
        <v>27</v>
      </c>
      <c r="S8164" s="7" t="s">
        <v>1643</v>
      </c>
      <c r="T8164" s="9" t="s">
        <v>39</v>
      </c>
      <c r="U8164" s="7">
        <v>0.57999999999999996</v>
      </c>
      <c r="V8164" s="12">
        <f>C8164+1</f>
        <v>40015</v>
      </c>
      <c r="W8164">
        <f>IF(D8164=' Pivot Tables'!$A$4,1,0)</f>
        <v>0</v>
      </c>
      <c r="X8164">
        <f>IF(AND(LEFT(D8164,4)+1=LEFT(' Pivot Tables'!$A$4,4)+0,RIGHT(LEFT(D8164,7),2)=RIGHT(LEFT(' Pivot Tables'!$A$4,7),2)),1,0)</f>
        <v>0</v>
      </c>
      <c r="Y8164" s="6">
        <f>1/COUNTIF(Таблица1[Order ID],Таблица1[[#This Row],[Order ID]])</f>
        <v>0.5</v>
      </c>
      <c r="Z8164" s="9">
        <f>1/COUNTIFS(Таблица1[Customer Name],Таблица1[[#This Row],[Customer Name]],Таблица1[Order-Year-Month],Таблица1[[#This Row],[Order-Year-Month]])</f>
        <v>0.5</v>
      </c>
    </row>
    <row r="8165" spans="1:26" x14ac:dyDescent="0.2">
      <c r="A8165" s="6">
        <v>902</v>
      </c>
      <c r="B8165" s="7">
        <v>6500</v>
      </c>
      <c r="C8165" s="8">
        <f>DATE(2012,12,31)-80</f>
        <v>41194</v>
      </c>
      <c r="D8165" s="8" t="str">
        <f t="shared" si="156"/>
        <v>2012-10 (октябрь 2012)</v>
      </c>
      <c r="E8165" s="9" t="s">
        <v>78</v>
      </c>
      <c r="F8165" s="7">
        <v>15</v>
      </c>
      <c r="G8165" s="7">
        <v>448.07</v>
      </c>
      <c r="H8165" s="7">
        <v>0.1</v>
      </c>
      <c r="I8165" s="9" t="s">
        <v>22</v>
      </c>
      <c r="J8165" s="10">
        <v>-141.02000000000001</v>
      </c>
      <c r="K8165" s="11">
        <v>30.42</v>
      </c>
      <c r="L8165" s="11">
        <v>8.65</v>
      </c>
      <c r="M8165" s="9" t="s">
        <v>1701</v>
      </c>
      <c r="N8165" s="6" t="s">
        <v>2073</v>
      </c>
      <c r="O8165" s="6" t="s">
        <v>704</v>
      </c>
      <c r="P8165" s="9" t="s">
        <v>60</v>
      </c>
      <c r="Q8165" s="9" t="s">
        <v>42</v>
      </c>
      <c r="R8165" s="9" t="s">
        <v>70</v>
      </c>
      <c r="S8165" s="7" t="s">
        <v>374</v>
      </c>
      <c r="T8165" s="9" t="s">
        <v>39</v>
      </c>
      <c r="U8165" s="7">
        <v>0.74</v>
      </c>
      <c r="V8165" s="12">
        <f>C8165+2</f>
        <v>41196</v>
      </c>
      <c r="W8165">
        <f>IF(D8165=' Pivot Tables'!$A$4,1,0)</f>
        <v>0</v>
      </c>
      <c r="X8165">
        <f>IF(AND(LEFT(D8165,4)+1=LEFT(' Pivot Tables'!$A$4,4)+0,RIGHT(LEFT(D8165,7),2)=RIGHT(LEFT(' Pivot Tables'!$A$4,7),2)),1,0)</f>
        <v>0</v>
      </c>
      <c r="Y8165" s="6">
        <f>1/COUNTIF(Таблица1[Order ID],Таблица1[[#This Row],[Order ID]])</f>
        <v>0.5</v>
      </c>
      <c r="Z8165" s="9">
        <f>1/COUNTIFS(Таблица1[Customer Name],Таблица1[[#This Row],[Customer Name]],Таблица1[Order-Year-Month],Таблица1[[#This Row],[Order-Year-Month]])</f>
        <v>0.25</v>
      </c>
    </row>
    <row r="8166" spans="1:26" x14ac:dyDescent="0.2">
      <c r="A8166" s="6">
        <v>903</v>
      </c>
      <c r="B8166" s="7">
        <v>6500</v>
      </c>
      <c r="C8166" s="8">
        <f>DATE(2012,12,31)-80</f>
        <v>41194</v>
      </c>
      <c r="D8166" s="8" t="str">
        <f t="shared" si="156"/>
        <v>2012-10 (октябрь 2012)</v>
      </c>
      <c r="E8166" s="9" t="s">
        <v>78</v>
      </c>
      <c r="F8166" s="7">
        <v>20</v>
      </c>
      <c r="G8166" s="7">
        <v>38.29</v>
      </c>
      <c r="H8166" s="7">
        <v>0.06</v>
      </c>
      <c r="I8166" s="9" t="s">
        <v>22</v>
      </c>
      <c r="J8166" s="10">
        <v>-16.149999999999999</v>
      </c>
      <c r="K8166" s="11">
        <v>1.95</v>
      </c>
      <c r="L8166" s="11">
        <v>1.63</v>
      </c>
      <c r="M8166" s="9" t="s">
        <v>1701</v>
      </c>
      <c r="N8166" s="6" t="s">
        <v>2073</v>
      </c>
      <c r="O8166" s="6" t="s">
        <v>704</v>
      </c>
      <c r="P8166" s="9" t="s">
        <v>60</v>
      </c>
      <c r="Q8166" s="9" t="s">
        <v>26</v>
      </c>
      <c r="R8166" s="9" t="s">
        <v>95</v>
      </c>
      <c r="S8166" s="7" t="s">
        <v>1502</v>
      </c>
      <c r="T8166" s="9" t="s">
        <v>68</v>
      </c>
      <c r="U8166" s="7">
        <v>0.46</v>
      </c>
      <c r="V8166" s="12">
        <f>C8166+1</f>
        <v>41195</v>
      </c>
      <c r="W8166">
        <f>IF(D8166=' Pivot Tables'!$A$4,1,0)</f>
        <v>0</v>
      </c>
      <c r="X8166">
        <f>IF(AND(LEFT(D8166,4)+1=LEFT(' Pivot Tables'!$A$4,4)+0,RIGHT(LEFT(D8166,7),2)=RIGHT(LEFT(' Pivot Tables'!$A$4,7),2)),1,0)</f>
        <v>0</v>
      </c>
      <c r="Y8166" s="6">
        <f>1/COUNTIF(Таблица1[Order ID],Таблица1[[#This Row],[Order ID]])</f>
        <v>0.5</v>
      </c>
      <c r="Z8166" s="9">
        <f>1/COUNTIFS(Таблица1[Customer Name],Таблица1[[#This Row],[Customer Name]],Таблица1[Order-Year-Month],Таблица1[[#This Row],[Order-Year-Month]])</f>
        <v>0.25</v>
      </c>
    </row>
    <row r="8167" spans="1:26" x14ac:dyDescent="0.2">
      <c r="A8167" s="6">
        <v>914</v>
      </c>
      <c r="B8167" s="7">
        <v>6562</v>
      </c>
      <c r="C8167" s="8">
        <f>DATE(2012,12,31)-1107</f>
        <v>40167</v>
      </c>
      <c r="D8167" s="8" t="str">
        <f t="shared" si="156"/>
        <v>2009-12 (декабрь 2009)</v>
      </c>
      <c r="E8167" s="9" t="s">
        <v>78</v>
      </c>
      <c r="F8167" s="7">
        <v>12</v>
      </c>
      <c r="G8167" s="7">
        <v>17274.87</v>
      </c>
      <c r="H8167" s="7">
        <v>0.02</v>
      </c>
      <c r="I8167" s="9" t="s">
        <v>31</v>
      </c>
      <c r="J8167" s="10">
        <v>2028.12</v>
      </c>
      <c r="K8167" s="11">
        <v>1360.14</v>
      </c>
      <c r="L8167" s="11">
        <v>14.7</v>
      </c>
      <c r="M8167" s="9" t="s">
        <v>2009</v>
      </c>
      <c r="N8167" s="6" t="s">
        <v>2073</v>
      </c>
      <c r="O8167" s="6" t="s">
        <v>704</v>
      </c>
      <c r="P8167" s="9" t="s">
        <v>33</v>
      </c>
      <c r="Q8167" s="9" t="s">
        <v>42</v>
      </c>
      <c r="R8167" s="9" t="s">
        <v>210</v>
      </c>
      <c r="S8167" s="7" t="s">
        <v>261</v>
      </c>
      <c r="T8167" s="9" t="s">
        <v>36</v>
      </c>
      <c r="U8167" s="7">
        <v>0.59</v>
      </c>
      <c r="V8167" s="12">
        <f>C8167+2</f>
        <v>40169</v>
      </c>
      <c r="W8167">
        <f>IF(D8167=' Pivot Tables'!$A$4,1,0)</f>
        <v>0</v>
      </c>
      <c r="X8167">
        <f>IF(AND(LEFT(D8167,4)+1=LEFT(' Pivot Tables'!$A$4,4)+0,RIGHT(LEFT(D8167,7),2)=RIGHT(LEFT(' Pivot Tables'!$A$4,7),2)),1,0)</f>
        <v>0</v>
      </c>
      <c r="Y8167" s="6">
        <f>1/COUNTIF(Таблица1[Order ID],Таблица1[[#This Row],[Order ID]])</f>
        <v>1</v>
      </c>
      <c r="Z8167" s="9">
        <f>1/COUNTIFS(Таблица1[Customer Name],Таблица1[[#This Row],[Customer Name]],Таблица1[Order-Year-Month],Таблица1[[#This Row],[Order-Year-Month]])</f>
        <v>0.5</v>
      </c>
    </row>
    <row r="8168" spans="1:26" x14ac:dyDescent="0.2">
      <c r="A8168" s="6">
        <v>998</v>
      </c>
      <c r="B8168" s="7">
        <v>7203</v>
      </c>
      <c r="C8168" s="8">
        <f>DATE(2012,12,31)-1453</f>
        <v>39821</v>
      </c>
      <c r="D8168" s="8" t="str">
        <f t="shared" si="156"/>
        <v>2009-01 (январь 2009)</v>
      </c>
      <c r="E8168" s="9" t="s">
        <v>30</v>
      </c>
      <c r="F8168" s="7">
        <v>25</v>
      </c>
      <c r="G8168" s="7">
        <v>21752.01</v>
      </c>
      <c r="H8168" s="7">
        <v>0.03</v>
      </c>
      <c r="I8168" s="9" t="s">
        <v>22</v>
      </c>
      <c r="J8168" s="10">
        <v>9296.348</v>
      </c>
      <c r="K8168" s="11">
        <v>896.99</v>
      </c>
      <c r="L8168" s="11">
        <v>19.989999999999998</v>
      </c>
      <c r="M8168" s="9" t="s">
        <v>2118</v>
      </c>
      <c r="N8168" s="6" t="s">
        <v>2073</v>
      </c>
      <c r="O8168" s="6" t="s">
        <v>704</v>
      </c>
      <c r="P8168" s="9" t="s">
        <v>41</v>
      </c>
      <c r="Q8168" s="9" t="s">
        <v>26</v>
      </c>
      <c r="R8168" s="9" t="s">
        <v>37</v>
      </c>
      <c r="S8168" s="7" t="s">
        <v>442</v>
      </c>
      <c r="T8168" s="9" t="s">
        <v>39</v>
      </c>
      <c r="U8168" s="7">
        <v>0.38</v>
      </c>
      <c r="V8168" s="12">
        <f>C8168+2</f>
        <v>39823</v>
      </c>
      <c r="W8168">
        <f>IF(D8168=' Pivot Tables'!$A$4,1,0)</f>
        <v>0</v>
      </c>
      <c r="X8168">
        <f>IF(AND(LEFT(D8168,4)+1=LEFT(' Pivot Tables'!$A$4,4)+0,RIGHT(LEFT(D8168,7),2)=RIGHT(LEFT(' Pivot Tables'!$A$4,7),2)),1,0)</f>
        <v>1</v>
      </c>
      <c r="Y8168" s="6">
        <f>1/COUNTIF(Таблица1[Order ID],Таблица1[[#This Row],[Order ID]])</f>
        <v>1</v>
      </c>
      <c r="Z8168" s="9">
        <f>1/COUNTIFS(Таблица1[Customer Name],Таблица1[[#This Row],[Customer Name]],Таблица1[Order-Year-Month],Таблица1[[#This Row],[Order-Year-Month]])</f>
        <v>1</v>
      </c>
    </row>
    <row r="8169" spans="1:26" x14ac:dyDescent="0.2">
      <c r="A8169" s="6">
        <v>1035</v>
      </c>
      <c r="B8169" s="7">
        <v>7553</v>
      </c>
      <c r="C8169" s="8">
        <f>DATE(2012,12,31)-969</f>
        <v>40305</v>
      </c>
      <c r="D8169" s="8" t="str">
        <f t="shared" si="156"/>
        <v>2010-05 (май 2010)</v>
      </c>
      <c r="E8169" s="9" t="s">
        <v>63</v>
      </c>
      <c r="F8169" s="7">
        <v>12</v>
      </c>
      <c r="G8169" s="7">
        <v>1079.19</v>
      </c>
      <c r="H8169" s="7">
        <v>7.0000000000000007E-2</v>
      </c>
      <c r="I8169" s="9" t="s">
        <v>22</v>
      </c>
      <c r="J8169" s="10">
        <v>46.8</v>
      </c>
      <c r="K8169" s="11">
        <v>92.23</v>
      </c>
      <c r="L8169" s="11">
        <v>39.61</v>
      </c>
      <c r="M8169" s="9" t="s">
        <v>1701</v>
      </c>
      <c r="N8169" s="6" t="s">
        <v>2073</v>
      </c>
      <c r="O8169" s="6" t="s">
        <v>704</v>
      </c>
      <c r="P8169" s="9" t="s">
        <v>60</v>
      </c>
      <c r="Q8169" s="9" t="s">
        <v>49</v>
      </c>
      <c r="R8169" s="9" t="s">
        <v>50</v>
      </c>
      <c r="S8169" s="7" t="s">
        <v>145</v>
      </c>
      <c r="T8169" s="9" t="s">
        <v>48</v>
      </c>
      <c r="U8169" s="7">
        <v>0.67</v>
      </c>
      <c r="V8169" s="12">
        <f>C8169+1</f>
        <v>40306</v>
      </c>
      <c r="W8169">
        <f>IF(D8169=' Pivot Tables'!$A$4,1,0)</f>
        <v>0</v>
      </c>
      <c r="X8169">
        <f>IF(AND(LEFT(D8169,4)+1=LEFT(' Pivot Tables'!$A$4,4)+0,RIGHT(LEFT(D8169,7),2)=RIGHT(LEFT(' Pivot Tables'!$A$4,7),2)),1,0)</f>
        <v>0</v>
      </c>
      <c r="Y8169" s="6">
        <f>1/COUNTIF(Таблица1[Order ID],Таблица1[[#This Row],[Order ID]])</f>
        <v>0.5</v>
      </c>
      <c r="Z8169" s="9">
        <f>1/COUNTIFS(Таблица1[Customer Name],Таблица1[[#This Row],[Customer Name]],Таблица1[Order-Year-Month],Таблица1[[#This Row],[Order-Year-Month]])</f>
        <v>0.5</v>
      </c>
    </row>
    <row r="8170" spans="1:26" x14ac:dyDescent="0.2">
      <c r="A8170" s="6">
        <v>1036</v>
      </c>
      <c r="B8170" s="7">
        <v>7553</v>
      </c>
      <c r="C8170" s="8">
        <f>DATE(2012,12,31)-969</f>
        <v>40305</v>
      </c>
      <c r="D8170" s="8" t="str">
        <f t="shared" si="156"/>
        <v>2010-05 (май 2010)</v>
      </c>
      <c r="E8170" s="9" t="s">
        <v>63</v>
      </c>
      <c r="F8170" s="7">
        <v>3</v>
      </c>
      <c r="G8170" s="7">
        <v>19.05</v>
      </c>
      <c r="H8170" s="7">
        <v>0.04</v>
      </c>
      <c r="I8170" s="9" t="s">
        <v>22</v>
      </c>
      <c r="J8170" s="10">
        <v>-14.81</v>
      </c>
      <c r="K8170" s="11">
        <v>4.28</v>
      </c>
      <c r="L8170" s="11">
        <v>6.72</v>
      </c>
      <c r="M8170" s="9" t="s">
        <v>1701</v>
      </c>
      <c r="N8170" s="6" t="s">
        <v>2073</v>
      </c>
      <c r="O8170" s="6" t="s">
        <v>704</v>
      </c>
      <c r="P8170" s="9" t="s">
        <v>60</v>
      </c>
      <c r="Q8170" s="9" t="s">
        <v>26</v>
      </c>
      <c r="R8170" s="9" t="s">
        <v>61</v>
      </c>
      <c r="S8170" s="7" t="s">
        <v>1007</v>
      </c>
      <c r="T8170" s="9" t="s">
        <v>39</v>
      </c>
      <c r="U8170" s="7">
        <v>0.4</v>
      </c>
      <c r="V8170" s="12">
        <f>C8170+3</f>
        <v>40308</v>
      </c>
      <c r="W8170">
        <f>IF(D8170=' Pivot Tables'!$A$4,1,0)</f>
        <v>0</v>
      </c>
      <c r="X8170">
        <f>IF(AND(LEFT(D8170,4)+1=LEFT(' Pivot Tables'!$A$4,4)+0,RIGHT(LEFT(D8170,7),2)=RIGHT(LEFT(' Pivot Tables'!$A$4,7),2)),1,0)</f>
        <v>0</v>
      </c>
      <c r="Y8170" s="6">
        <f>1/COUNTIF(Таблица1[Order ID],Таблица1[[#This Row],[Order ID]])</f>
        <v>0.5</v>
      </c>
      <c r="Z8170" s="9">
        <f>1/COUNTIFS(Таблица1[Customer Name],Таблица1[[#This Row],[Customer Name]],Таблица1[Order-Year-Month],Таблица1[[#This Row],[Order-Year-Month]])</f>
        <v>0.5</v>
      </c>
    </row>
    <row r="8171" spans="1:26" x14ac:dyDescent="0.2">
      <c r="A8171" s="6">
        <v>1046</v>
      </c>
      <c r="B8171" s="7">
        <v>7680</v>
      </c>
      <c r="C8171" s="8">
        <f>DATE(2012,12,31)-633</f>
        <v>40641</v>
      </c>
      <c r="D8171" s="8" t="str">
        <f t="shared" si="156"/>
        <v>2011-04 (апрель 2011)</v>
      </c>
      <c r="E8171" s="9" t="s">
        <v>45</v>
      </c>
      <c r="F8171" s="7">
        <v>32</v>
      </c>
      <c r="G8171" s="7">
        <v>1141.3699999999999</v>
      </c>
      <c r="H8171" s="7">
        <v>0.04</v>
      </c>
      <c r="I8171" s="9" t="s">
        <v>22</v>
      </c>
      <c r="J8171" s="10">
        <v>-0.14000000000000057</v>
      </c>
      <c r="K8171" s="11">
        <v>35.44</v>
      </c>
      <c r="L8171" s="11">
        <v>19.989999999999998</v>
      </c>
      <c r="M8171" s="9" t="s">
        <v>830</v>
      </c>
      <c r="N8171" s="6" t="s">
        <v>2073</v>
      </c>
      <c r="O8171" s="6" t="s">
        <v>704</v>
      </c>
      <c r="P8171" s="9" t="s">
        <v>25</v>
      </c>
      <c r="Q8171" s="9" t="s">
        <v>26</v>
      </c>
      <c r="R8171" s="9" t="s">
        <v>61</v>
      </c>
      <c r="S8171" s="7" t="s">
        <v>1507</v>
      </c>
      <c r="T8171" s="9" t="s">
        <v>39</v>
      </c>
      <c r="U8171" s="7">
        <v>0.38</v>
      </c>
      <c r="V8171" s="12">
        <f>C8171+0</f>
        <v>40641</v>
      </c>
      <c r="W8171">
        <f>IF(D8171=' Pivot Tables'!$A$4,1,0)</f>
        <v>0</v>
      </c>
      <c r="X8171">
        <f>IF(AND(LEFT(D8171,4)+1=LEFT(' Pivot Tables'!$A$4,4)+0,RIGHT(LEFT(D8171,7),2)=RIGHT(LEFT(' Pivot Tables'!$A$4,7),2)),1,0)</f>
        <v>0</v>
      </c>
      <c r="Y8171" s="6">
        <f>1/COUNTIF(Таблица1[Order ID],Таблица1[[#This Row],[Order ID]])</f>
        <v>1</v>
      </c>
      <c r="Z8171" s="9">
        <f>1/COUNTIFS(Таблица1[Customer Name],Таблица1[[#This Row],[Customer Name]],Таблица1[Order-Year-Month],Таблица1[[#This Row],[Order-Year-Month]])</f>
        <v>0.33333333333333331</v>
      </c>
    </row>
    <row r="8172" spans="1:26" x14ac:dyDescent="0.2">
      <c r="A8172" s="6">
        <v>1047</v>
      </c>
      <c r="B8172" s="7">
        <v>7719</v>
      </c>
      <c r="C8172" s="8">
        <f>DATE(2012,12,31)-1381</f>
        <v>39893</v>
      </c>
      <c r="D8172" s="8" t="str">
        <f t="shared" si="156"/>
        <v>2009-03 (март 2009)</v>
      </c>
      <c r="E8172" s="9" t="s">
        <v>21</v>
      </c>
      <c r="F8172" s="7">
        <v>37</v>
      </c>
      <c r="G8172" s="7">
        <v>522.62</v>
      </c>
      <c r="H8172" s="7">
        <v>0.02</v>
      </c>
      <c r="I8172" s="9" t="s">
        <v>22</v>
      </c>
      <c r="J8172" s="10">
        <v>34.520000000000003</v>
      </c>
      <c r="K8172" s="11">
        <v>13.48</v>
      </c>
      <c r="L8172" s="11">
        <v>4.51</v>
      </c>
      <c r="M8172" s="9" t="s">
        <v>1701</v>
      </c>
      <c r="N8172" s="6" t="s">
        <v>2073</v>
      </c>
      <c r="O8172" s="6" t="s">
        <v>704</v>
      </c>
      <c r="P8172" s="9" t="s">
        <v>60</v>
      </c>
      <c r="Q8172" s="9" t="s">
        <v>26</v>
      </c>
      <c r="R8172" s="9" t="s">
        <v>27</v>
      </c>
      <c r="S8172" s="7" t="s">
        <v>101</v>
      </c>
      <c r="T8172" s="9" t="s">
        <v>39</v>
      </c>
      <c r="U8172" s="7">
        <v>0.59</v>
      </c>
      <c r="V8172" s="12">
        <f>C8172+2</f>
        <v>39895</v>
      </c>
      <c r="W8172">
        <f>IF(D8172=' Pivot Tables'!$A$4,1,0)</f>
        <v>0</v>
      </c>
      <c r="X8172">
        <f>IF(AND(LEFT(D8172,4)+1=LEFT(' Pivot Tables'!$A$4,4)+0,RIGHT(LEFT(D8172,7),2)=RIGHT(LEFT(' Pivot Tables'!$A$4,7),2)),1,0)</f>
        <v>0</v>
      </c>
      <c r="Y8172" s="6">
        <f>1/COUNTIF(Таблица1[Order ID],Таблица1[[#This Row],[Order ID]])</f>
        <v>1</v>
      </c>
      <c r="Z8172" s="9">
        <f>1/COUNTIFS(Таблица1[Customer Name],Таблица1[[#This Row],[Customer Name]],Таблица1[Order-Year-Month],Таблица1[[#This Row],[Order-Year-Month]])</f>
        <v>0.5</v>
      </c>
    </row>
    <row r="8173" spans="1:26" x14ac:dyDescent="0.2">
      <c r="A8173" s="6">
        <v>1116</v>
      </c>
      <c r="B8173" s="7">
        <v>8167</v>
      </c>
      <c r="C8173" s="8">
        <f>DATE(2012,12,31)-149</f>
        <v>41125</v>
      </c>
      <c r="D8173" s="8" t="str">
        <f t="shared" si="156"/>
        <v>2012-08 (август 2012)</v>
      </c>
      <c r="E8173" s="9" t="s">
        <v>78</v>
      </c>
      <c r="F8173" s="7">
        <v>4</v>
      </c>
      <c r="G8173" s="7">
        <v>30.95</v>
      </c>
      <c r="H8173" s="7">
        <v>0.1</v>
      </c>
      <c r="I8173" s="9" t="s">
        <v>22</v>
      </c>
      <c r="J8173" s="10">
        <v>-16.48</v>
      </c>
      <c r="K8173" s="11">
        <v>6.48</v>
      </c>
      <c r="L8173" s="11">
        <v>6.22</v>
      </c>
      <c r="M8173" s="9" t="s">
        <v>830</v>
      </c>
      <c r="N8173" s="6" t="s">
        <v>2073</v>
      </c>
      <c r="O8173" s="6" t="s">
        <v>704</v>
      </c>
      <c r="P8173" s="9" t="s">
        <v>25</v>
      </c>
      <c r="Q8173" s="9" t="s">
        <v>26</v>
      </c>
      <c r="R8173" s="9" t="s">
        <v>61</v>
      </c>
      <c r="S8173" s="7" t="s">
        <v>943</v>
      </c>
      <c r="T8173" s="9" t="s">
        <v>39</v>
      </c>
      <c r="U8173" s="7">
        <v>0.37</v>
      </c>
      <c r="V8173" s="12">
        <f>C8173+2</f>
        <v>41127</v>
      </c>
      <c r="W8173">
        <f>IF(D8173=' Pivot Tables'!$A$4,1,0)</f>
        <v>0</v>
      </c>
      <c r="X8173">
        <f>IF(AND(LEFT(D8173,4)+1=LEFT(' Pivot Tables'!$A$4,4)+0,RIGHT(LEFT(D8173,7),2)=RIGHT(LEFT(' Pivot Tables'!$A$4,7),2)),1,0)</f>
        <v>0</v>
      </c>
      <c r="Y8173" s="6">
        <f>1/COUNTIF(Таблица1[Order ID],Таблица1[[#This Row],[Order ID]])</f>
        <v>0.5</v>
      </c>
      <c r="Z8173" s="9">
        <f>1/COUNTIFS(Таблица1[Customer Name],Таблица1[[#This Row],[Customer Name]],Таблица1[Order-Year-Month],Таблица1[[#This Row],[Order-Year-Month]])</f>
        <v>0.5</v>
      </c>
    </row>
    <row r="8174" spans="1:26" x14ac:dyDescent="0.2">
      <c r="A8174" s="6">
        <v>1117</v>
      </c>
      <c r="B8174" s="7">
        <v>8167</v>
      </c>
      <c r="C8174" s="8">
        <f>DATE(2012,12,31)-149</f>
        <v>41125</v>
      </c>
      <c r="D8174" s="8" t="str">
        <f t="shared" si="156"/>
        <v>2012-08 (август 2012)</v>
      </c>
      <c r="E8174" s="9" t="s">
        <v>78</v>
      </c>
      <c r="F8174" s="7">
        <v>48</v>
      </c>
      <c r="G8174" s="7">
        <v>1449.3009999999999</v>
      </c>
      <c r="H8174" s="7">
        <v>0.06</v>
      </c>
      <c r="I8174" s="9" t="s">
        <v>22</v>
      </c>
      <c r="J8174" s="10">
        <v>432.37800000000004</v>
      </c>
      <c r="K8174" s="11">
        <v>35.99</v>
      </c>
      <c r="L8174" s="11">
        <v>1.25</v>
      </c>
      <c r="M8174" s="9" t="s">
        <v>830</v>
      </c>
      <c r="N8174" s="6" t="s">
        <v>2073</v>
      </c>
      <c r="O8174" s="6" t="s">
        <v>704</v>
      </c>
      <c r="P8174" s="9" t="s">
        <v>25</v>
      </c>
      <c r="Q8174" s="9" t="s">
        <v>42</v>
      </c>
      <c r="R8174" s="9" t="s">
        <v>43</v>
      </c>
      <c r="S8174" s="7" t="s">
        <v>695</v>
      </c>
      <c r="T8174" s="9" t="s">
        <v>52</v>
      </c>
      <c r="U8174" s="7">
        <v>0.56999999999999995</v>
      </c>
      <c r="V8174" s="12">
        <f>C8174+2</f>
        <v>41127</v>
      </c>
      <c r="W8174">
        <f>IF(D8174=' Pivot Tables'!$A$4,1,0)</f>
        <v>0</v>
      </c>
      <c r="X8174">
        <f>IF(AND(LEFT(D8174,4)+1=LEFT(' Pivot Tables'!$A$4,4)+0,RIGHT(LEFT(D8174,7),2)=RIGHT(LEFT(' Pivot Tables'!$A$4,7),2)),1,0)</f>
        <v>0</v>
      </c>
      <c r="Y8174" s="6">
        <f>1/COUNTIF(Таблица1[Order ID],Таблица1[[#This Row],[Order ID]])</f>
        <v>0.5</v>
      </c>
      <c r="Z8174" s="9">
        <f>1/COUNTIFS(Таблица1[Customer Name],Таблица1[[#This Row],[Customer Name]],Таблица1[Order-Year-Month],Таблица1[[#This Row],[Order-Year-Month]])</f>
        <v>0.5</v>
      </c>
    </row>
    <row r="8175" spans="1:26" x14ac:dyDescent="0.2">
      <c r="A8175" s="6">
        <v>1146</v>
      </c>
      <c r="B8175" s="7">
        <v>8353</v>
      </c>
      <c r="C8175" s="8">
        <f>DATE(2012,12,31)-1326</f>
        <v>39948</v>
      </c>
      <c r="D8175" s="8" t="str">
        <f t="shared" si="156"/>
        <v>2009-05 (май 2009)</v>
      </c>
      <c r="E8175" s="9" t="s">
        <v>63</v>
      </c>
      <c r="F8175" s="7">
        <v>34</v>
      </c>
      <c r="G8175" s="7">
        <v>286.89999999999998</v>
      </c>
      <c r="H8175" s="7">
        <v>0.06</v>
      </c>
      <c r="I8175" s="9" t="s">
        <v>22</v>
      </c>
      <c r="J8175" s="10">
        <v>-36.630000000000003</v>
      </c>
      <c r="K8175" s="11">
        <v>8.32</v>
      </c>
      <c r="L8175" s="11">
        <v>2.38</v>
      </c>
      <c r="M8175" s="9" t="s">
        <v>2009</v>
      </c>
      <c r="N8175" s="6" t="s">
        <v>2073</v>
      </c>
      <c r="O8175" s="6" t="s">
        <v>704</v>
      </c>
      <c r="P8175" s="9" t="s">
        <v>33</v>
      </c>
      <c r="Q8175" s="9" t="s">
        <v>42</v>
      </c>
      <c r="R8175" s="9" t="s">
        <v>70</v>
      </c>
      <c r="S8175" s="7" t="s">
        <v>1584</v>
      </c>
      <c r="T8175" s="9" t="s">
        <v>52</v>
      </c>
      <c r="U8175" s="7">
        <v>0.74</v>
      </c>
      <c r="V8175" s="12">
        <f>C8175+2</f>
        <v>39950</v>
      </c>
      <c r="W8175">
        <f>IF(D8175=' Pivot Tables'!$A$4,1,0)</f>
        <v>0</v>
      </c>
      <c r="X8175">
        <f>IF(AND(LEFT(D8175,4)+1=LEFT(' Pivot Tables'!$A$4,4)+0,RIGHT(LEFT(D8175,7),2)=RIGHT(LEFT(' Pivot Tables'!$A$4,7),2)),1,0)</f>
        <v>0</v>
      </c>
      <c r="Y8175" s="6">
        <f>1/COUNTIF(Таблица1[Order ID],Таблица1[[#This Row],[Order ID]])</f>
        <v>0.5</v>
      </c>
      <c r="Z8175" s="9">
        <f>1/COUNTIFS(Таблица1[Customer Name],Таблица1[[#This Row],[Customer Name]],Таблица1[Order-Year-Month],Таблица1[[#This Row],[Order-Year-Month]])</f>
        <v>0.5</v>
      </c>
    </row>
    <row r="8176" spans="1:26" x14ac:dyDescent="0.2">
      <c r="A8176" s="6">
        <v>1147</v>
      </c>
      <c r="B8176" s="7">
        <v>8353</v>
      </c>
      <c r="C8176" s="8">
        <f>DATE(2012,12,31)-1326</f>
        <v>39948</v>
      </c>
      <c r="D8176" s="8" t="str">
        <f t="shared" si="156"/>
        <v>2009-05 (май 2009)</v>
      </c>
      <c r="E8176" s="9" t="s">
        <v>63</v>
      </c>
      <c r="F8176" s="7">
        <v>16</v>
      </c>
      <c r="G8176" s="7">
        <v>46.4</v>
      </c>
      <c r="H8176" s="7">
        <v>0.08</v>
      </c>
      <c r="I8176" s="9" t="s">
        <v>22</v>
      </c>
      <c r="J8176" s="10">
        <v>-2.12</v>
      </c>
      <c r="K8176" s="11">
        <v>2.94</v>
      </c>
      <c r="L8176" s="11">
        <v>0.96</v>
      </c>
      <c r="M8176" s="9" t="s">
        <v>2009</v>
      </c>
      <c r="N8176" s="6" t="s">
        <v>2073</v>
      </c>
      <c r="O8176" s="6" t="s">
        <v>704</v>
      </c>
      <c r="P8176" s="9" t="s">
        <v>33</v>
      </c>
      <c r="Q8176" s="9" t="s">
        <v>26</v>
      </c>
      <c r="R8176" s="9" t="s">
        <v>95</v>
      </c>
      <c r="S8176" s="7" t="s">
        <v>486</v>
      </c>
      <c r="T8176" s="9" t="s">
        <v>68</v>
      </c>
      <c r="U8176" s="7">
        <v>0.57999999999999996</v>
      </c>
      <c r="V8176" s="12">
        <f>C8176+2</f>
        <v>39950</v>
      </c>
      <c r="W8176">
        <f>IF(D8176=' Pivot Tables'!$A$4,1,0)</f>
        <v>0</v>
      </c>
      <c r="X8176">
        <f>IF(AND(LEFT(D8176,4)+1=LEFT(' Pivot Tables'!$A$4,4)+0,RIGHT(LEFT(D8176,7),2)=RIGHT(LEFT(' Pivot Tables'!$A$4,7),2)),1,0)</f>
        <v>0</v>
      </c>
      <c r="Y8176" s="6">
        <f>1/COUNTIF(Таблица1[Order ID],Таблица1[[#This Row],[Order ID]])</f>
        <v>0.5</v>
      </c>
      <c r="Z8176" s="9">
        <f>1/COUNTIFS(Таблица1[Customer Name],Таблица1[[#This Row],[Customer Name]],Таблица1[Order-Year-Month],Таблица1[[#This Row],[Order-Year-Month]])</f>
        <v>0.5</v>
      </c>
    </row>
    <row r="8177" spans="1:26" x14ac:dyDescent="0.2">
      <c r="A8177" s="6">
        <v>1178</v>
      </c>
      <c r="B8177" s="7">
        <v>8609</v>
      </c>
      <c r="C8177" s="8">
        <f>DATE(2012,12,31)-261</f>
        <v>41013</v>
      </c>
      <c r="D8177" s="8" t="str">
        <f t="shared" si="156"/>
        <v>2012-04 (апрель 2012)</v>
      </c>
      <c r="E8177" s="9" t="s">
        <v>78</v>
      </c>
      <c r="F8177" s="7">
        <v>4</v>
      </c>
      <c r="G8177" s="7">
        <v>72.003499999999988</v>
      </c>
      <c r="H8177" s="7">
        <v>0.04</v>
      </c>
      <c r="I8177" s="9" t="s">
        <v>22</v>
      </c>
      <c r="J8177" s="10">
        <v>-108.075</v>
      </c>
      <c r="K8177" s="11">
        <v>20.99</v>
      </c>
      <c r="L8177" s="11">
        <v>2.5</v>
      </c>
      <c r="M8177" s="9" t="s">
        <v>2119</v>
      </c>
      <c r="N8177" s="6" t="s">
        <v>2073</v>
      </c>
      <c r="O8177" s="6" t="s">
        <v>704</v>
      </c>
      <c r="P8177" s="9" t="s">
        <v>41</v>
      </c>
      <c r="Q8177" s="9" t="s">
        <v>42</v>
      </c>
      <c r="R8177" s="9" t="s">
        <v>43</v>
      </c>
      <c r="S8177" s="7" t="s">
        <v>108</v>
      </c>
      <c r="T8177" s="9" t="s">
        <v>68</v>
      </c>
      <c r="U8177" s="7">
        <v>0.81</v>
      </c>
      <c r="V8177" s="12">
        <f>C8177+1</f>
        <v>41014</v>
      </c>
      <c r="W8177">
        <f>IF(D8177=' Pivot Tables'!$A$4,1,0)</f>
        <v>0</v>
      </c>
      <c r="X8177">
        <f>IF(AND(LEFT(D8177,4)+1=LEFT(' Pivot Tables'!$A$4,4)+0,RIGHT(LEFT(D8177,7),2)=RIGHT(LEFT(' Pivot Tables'!$A$4,7),2)),1,0)</f>
        <v>0</v>
      </c>
      <c r="Y8177" s="6">
        <f>1/COUNTIF(Таблица1[Order ID],Таблица1[[#This Row],[Order ID]])</f>
        <v>1</v>
      </c>
      <c r="Z8177" s="9">
        <f>1/COUNTIFS(Таблица1[Customer Name],Таблица1[[#This Row],[Customer Name]],Таблица1[Order-Year-Month],Таблица1[[#This Row],[Order-Year-Month]])</f>
        <v>0.5</v>
      </c>
    </row>
    <row r="8178" spans="1:26" x14ac:dyDescent="0.2">
      <c r="A8178" s="6">
        <v>1232</v>
      </c>
      <c r="B8178" s="7">
        <v>8997</v>
      </c>
      <c r="C8178" s="8">
        <f>DATE(2012,12,31)-1279</f>
        <v>39995</v>
      </c>
      <c r="D8178" s="8" t="str">
        <f t="shared" si="156"/>
        <v>2009-07 (июль 2009)</v>
      </c>
      <c r="E8178" s="9" t="s">
        <v>21</v>
      </c>
      <c r="F8178" s="7">
        <v>40</v>
      </c>
      <c r="G8178" s="7">
        <v>17279.62</v>
      </c>
      <c r="H8178" s="7">
        <v>0.04</v>
      </c>
      <c r="I8178" s="9" t="s">
        <v>22</v>
      </c>
      <c r="J8178" s="10">
        <v>4176.2530000000006</v>
      </c>
      <c r="K8178" s="11">
        <v>449.99</v>
      </c>
      <c r="L8178" s="11">
        <v>24.49</v>
      </c>
      <c r="M8178" s="9" t="s">
        <v>1701</v>
      </c>
      <c r="N8178" s="6" t="s">
        <v>2073</v>
      </c>
      <c r="O8178" s="6" t="s">
        <v>704</v>
      </c>
      <c r="P8178" s="9" t="s">
        <v>25</v>
      </c>
      <c r="Q8178" s="9" t="s">
        <v>42</v>
      </c>
      <c r="R8178" s="9" t="s">
        <v>99</v>
      </c>
      <c r="S8178" s="7" t="s">
        <v>100</v>
      </c>
      <c r="T8178" s="9" t="s">
        <v>29</v>
      </c>
      <c r="U8178" s="7">
        <v>0.52</v>
      </c>
      <c r="V8178" s="12">
        <f>C8178+4</f>
        <v>39999</v>
      </c>
      <c r="W8178">
        <f>IF(D8178=' Pivot Tables'!$A$4,1,0)</f>
        <v>0</v>
      </c>
      <c r="X8178">
        <f>IF(AND(LEFT(D8178,4)+1=LEFT(' Pivot Tables'!$A$4,4)+0,RIGHT(LEFT(D8178,7),2)=RIGHT(LEFT(' Pivot Tables'!$A$4,7),2)),1,0)</f>
        <v>0</v>
      </c>
      <c r="Y8178" s="6">
        <f>1/COUNTIF(Таблица1[Order ID],Таблица1[[#This Row],[Order ID]])</f>
        <v>0.5</v>
      </c>
      <c r="Z8178" s="9">
        <f>1/COUNTIFS(Таблица1[Customer Name],Таблица1[[#This Row],[Customer Name]],Таблица1[Order-Year-Month],Таблица1[[#This Row],[Order-Year-Month]])</f>
        <v>0.5</v>
      </c>
    </row>
    <row r="8179" spans="1:26" x14ac:dyDescent="0.2">
      <c r="A8179" s="6">
        <v>1233</v>
      </c>
      <c r="B8179" s="7">
        <v>8997</v>
      </c>
      <c r="C8179" s="8">
        <f>DATE(2012,12,31)-1279</f>
        <v>39995</v>
      </c>
      <c r="D8179" s="8" t="str">
        <f t="shared" si="156"/>
        <v>2009-07 (июль 2009)</v>
      </c>
      <c r="E8179" s="9" t="s">
        <v>21</v>
      </c>
      <c r="F8179" s="7">
        <v>20</v>
      </c>
      <c r="G8179" s="7">
        <v>120.3</v>
      </c>
      <c r="H8179" s="7">
        <v>0.01</v>
      </c>
      <c r="I8179" s="9" t="s">
        <v>22</v>
      </c>
      <c r="J8179" s="10">
        <v>20.38</v>
      </c>
      <c r="K8179" s="11">
        <v>5.84</v>
      </c>
      <c r="L8179" s="11">
        <v>1.2</v>
      </c>
      <c r="M8179" s="9" t="s">
        <v>1701</v>
      </c>
      <c r="N8179" s="6" t="s">
        <v>2073</v>
      </c>
      <c r="O8179" s="6" t="s">
        <v>704</v>
      </c>
      <c r="P8179" s="9" t="s">
        <v>25</v>
      </c>
      <c r="Q8179" s="9" t="s">
        <v>26</v>
      </c>
      <c r="R8179" s="9" t="s">
        <v>95</v>
      </c>
      <c r="S8179" s="7" t="s">
        <v>413</v>
      </c>
      <c r="T8179" s="9" t="s">
        <v>68</v>
      </c>
      <c r="U8179" s="7">
        <v>0.55000000000000004</v>
      </c>
      <c r="V8179" s="12">
        <f>C8179+9</f>
        <v>40004</v>
      </c>
      <c r="W8179">
        <f>IF(D8179=' Pivot Tables'!$A$4,1,0)</f>
        <v>0</v>
      </c>
      <c r="X8179">
        <f>IF(AND(LEFT(D8179,4)+1=LEFT(' Pivot Tables'!$A$4,4)+0,RIGHT(LEFT(D8179,7),2)=RIGHT(LEFT(' Pivot Tables'!$A$4,7),2)),1,0)</f>
        <v>0</v>
      </c>
      <c r="Y8179" s="6">
        <f>1/COUNTIF(Таблица1[Order ID],Таблица1[[#This Row],[Order ID]])</f>
        <v>0.5</v>
      </c>
      <c r="Z8179" s="9">
        <f>1/COUNTIFS(Таблица1[Customer Name],Таблица1[[#This Row],[Customer Name]],Таблица1[Order-Year-Month],Таблица1[[#This Row],[Order-Year-Month]])</f>
        <v>0.5</v>
      </c>
    </row>
    <row r="8180" spans="1:26" x14ac:dyDescent="0.2">
      <c r="A8180" s="6">
        <v>1248</v>
      </c>
      <c r="B8180" s="7">
        <v>9089</v>
      </c>
      <c r="C8180" s="8">
        <f>DATE(2012,12,31)-953</f>
        <v>40321</v>
      </c>
      <c r="D8180" s="8" t="str">
        <f t="shared" si="156"/>
        <v>2010-05 (май 2010)</v>
      </c>
      <c r="E8180" s="9" t="s">
        <v>78</v>
      </c>
      <c r="F8180" s="7">
        <v>8</v>
      </c>
      <c r="G8180" s="7">
        <v>822.34950000000003</v>
      </c>
      <c r="H8180" s="7">
        <v>0.1</v>
      </c>
      <c r="I8180" s="9" t="s">
        <v>56</v>
      </c>
      <c r="J8180" s="10">
        <v>-360.30500000000001</v>
      </c>
      <c r="K8180" s="11">
        <v>125.99</v>
      </c>
      <c r="L8180" s="11">
        <v>8.8000000000000007</v>
      </c>
      <c r="M8180" s="9" t="s">
        <v>1792</v>
      </c>
      <c r="N8180" s="6" t="s">
        <v>2073</v>
      </c>
      <c r="O8180" s="6" t="s">
        <v>704</v>
      </c>
      <c r="P8180" s="9" t="s">
        <v>25</v>
      </c>
      <c r="Q8180" s="9" t="s">
        <v>42</v>
      </c>
      <c r="R8180" s="9" t="s">
        <v>43</v>
      </c>
      <c r="S8180" s="7" t="s">
        <v>800</v>
      </c>
      <c r="T8180" s="9" t="s">
        <v>39</v>
      </c>
      <c r="U8180" s="7">
        <v>0.59</v>
      </c>
      <c r="V8180" s="12">
        <f>C8180+1</f>
        <v>40322</v>
      </c>
      <c r="W8180">
        <f>IF(D8180=' Pivot Tables'!$A$4,1,0)</f>
        <v>0</v>
      </c>
      <c r="X8180">
        <f>IF(AND(LEFT(D8180,4)+1=LEFT(' Pivot Tables'!$A$4,4)+0,RIGHT(LEFT(D8180,7),2)=RIGHT(LEFT(' Pivot Tables'!$A$4,7),2)),1,0)</f>
        <v>0</v>
      </c>
      <c r="Y8180" s="6">
        <f>1/COUNTIF(Таблица1[Order ID],Таблица1[[#This Row],[Order ID]])</f>
        <v>1</v>
      </c>
      <c r="Z8180" s="9">
        <f>1/COUNTIFS(Таблица1[Customer Name],Таблица1[[#This Row],[Customer Name]],Таблица1[Order-Year-Month],Таблица1[[#This Row],[Order-Year-Month]])</f>
        <v>1</v>
      </c>
    </row>
    <row r="8181" spans="1:26" x14ac:dyDescent="0.2">
      <c r="A8181" s="6">
        <v>1267</v>
      </c>
      <c r="B8181" s="7">
        <v>9221</v>
      </c>
      <c r="C8181" s="8">
        <f>DATE(2012,12,31)-728</f>
        <v>40546</v>
      </c>
      <c r="D8181" s="8" t="str">
        <f t="shared" si="156"/>
        <v>2011-01 (январь 2011)</v>
      </c>
      <c r="E8181" s="9" t="s">
        <v>21</v>
      </c>
      <c r="F8181" s="7">
        <v>9</v>
      </c>
      <c r="G8181" s="7">
        <v>79.64</v>
      </c>
      <c r="H8181" s="7">
        <v>0.03</v>
      </c>
      <c r="I8181" s="9" t="s">
        <v>22</v>
      </c>
      <c r="J8181" s="10">
        <v>-377.74</v>
      </c>
      <c r="K8181" s="11">
        <v>3.25</v>
      </c>
      <c r="L8181" s="11">
        <v>49</v>
      </c>
      <c r="M8181" s="9" t="s">
        <v>2126</v>
      </c>
      <c r="N8181" s="6" t="s">
        <v>2073</v>
      </c>
      <c r="O8181" s="6" t="s">
        <v>704</v>
      </c>
      <c r="P8181" s="9" t="s">
        <v>33</v>
      </c>
      <c r="Q8181" s="9" t="s">
        <v>26</v>
      </c>
      <c r="R8181" s="9" t="s">
        <v>34</v>
      </c>
      <c r="S8181" s="7" t="s">
        <v>1241</v>
      </c>
      <c r="T8181" s="9" t="s">
        <v>29</v>
      </c>
      <c r="U8181" s="7">
        <v>0.56000000000000005</v>
      </c>
      <c r="V8181" s="12">
        <f>C8181+4</f>
        <v>40550</v>
      </c>
      <c r="W8181">
        <f>IF(D8181=' Pivot Tables'!$A$4,1,0)</f>
        <v>0</v>
      </c>
      <c r="X8181">
        <f>IF(AND(LEFT(D8181,4)+1=LEFT(' Pivot Tables'!$A$4,4)+0,RIGHT(LEFT(D8181,7),2)=RIGHT(LEFT(' Pivot Tables'!$A$4,7),2)),1,0)</f>
        <v>0</v>
      </c>
      <c r="Y8181" s="6">
        <f>1/COUNTIF(Таблица1[Order ID],Таблица1[[#This Row],[Order ID]])</f>
        <v>0.5</v>
      </c>
      <c r="Z8181" s="9">
        <f>1/COUNTIFS(Таблица1[Customer Name],Таблица1[[#This Row],[Customer Name]],Таблица1[Order-Year-Month],Таблица1[[#This Row],[Order-Year-Month]])</f>
        <v>0.5</v>
      </c>
    </row>
    <row r="8182" spans="1:26" x14ac:dyDescent="0.2">
      <c r="A8182" s="6">
        <v>1268</v>
      </c>
      <c r="B8182" s="7">
        <v>9221</v>
      </c>
      <c r="C8182" s="8">
        <f>DATE(2012,12,31)-728</f>
        <v>40546</v>
      </c>
      <c r="D8182" s="8" t="str">
        <f t="shared" si="156"/>
        <v>2011-01 (январь 2011)</v>
      </c>
      <c r="E8182" s="9" t="s">
        <v>21</v>
      </c>
      <c r="F8182" s="7">
        <v>25</v>
      </c>
      <c r="G8182" s="7">
        <v>1527.42</v>
      </c>
      <c r="H8182" s="7">
        <v>0.04</v>
      </c>
      <c r="I8182" s="9" t="s">
        <v>22</v>
      </c>
      <c r="J8182" s="10">
        <v>326.39999999999998</v>
      </c>
      <c r="K8182" s="11">
        <v>60.98</v>
      </c>
      <c r="L8182" s="11">
        <v>19.989999999999998</v>
      </c>
      <c r="M8182" s="9" t="s">
        <v>2126</v>
      </c>
      <c r="N8182" s="6" t="s">
        <v>2073</v>
      </c>
      <c r="O8182" s="6" t="s">
        <v>704</v>
      </c>
      <c r="P8182" s="9" t="s">
        <v>33</v>
      </c>
      <c r="Q8182" s="9" t="s">
        <v>26</v>
      </c>
      <c r="R8182" s="9" t="s">
        <v>76</v>
      </c>
      <c r="S8182" s="7" t="s">
        <v>769</v>
      </c>
      <c r="T8182" s="9" t="s">
        <v>39</v>
      </c>
      <c r="U8182" s="7">
        <v>0.38</v>
      </c>
      <c r="V8182" s="12">
        <f>C8182+4</f>
        <v>40550</v>
      </c>
      <c r="W8182">
        <f>IF(D8182=' Pivot Tables'!$A$4,1,0)</f>
        <v>0</v>
      </c>
      <c r="X8182">
        <f>IF(AND(LEFT(D8182,4)+1=LEFT(' Pivot Tables'!$A$4,4)+0,RIGHT(LEFT(D8182,7),2)=RIGHT(LEFT(' Pivot Tables'!$A$4,7),2)),1,0)</f>
        <v>0</v>
      </c>
      <c r="Y8182" s="6">
        <f>1/COUNTIF(Таблица1[Order ID],Таблица1[[#This Row],[Order ID]])</f>
        <v>0.5</v>
      </c>
      <c r="Z8182" s="9">
        <f>1/COUNTIFS(Таблица1[Customer Name],Таблица1[[#This Row],[Customer Name]],Таблица1[Order-Year-Month],Таблица1[[#This Row],[Order-Year-Month]])</f>
        <v>0.5</v>
      </c>
    </row>
    <row r="8183" spans="1:26" x14ac:dyDescent="0.2">
      <c r="A8183" s="6">
        <v>1280</v>
      </c>
      <c r="B8183" s="7">
        <v>9286</v>
      </c>
      <c r="C8183" s="8">
        <f>DATE(2012,12,31)-638</f>
        <v>40636</v>
      </c>
      <c r="D8183" s="8" t="str">
        <f t="shared" si="156"/>
        <v>2011-04 (апрель 2011)</v>
      </c>
      <c r="E8183" s="9" t="s">
        <v>78</v>
      </c>
      <c r="F8183" s="7">
        <v>26</v>
      </c>
      <c r="G8183" s="7">
        <v>123.16</v>
      </c>
      <c r="H8183" s="7">
        <v>0.1</v>
      </c>
      <c r="I8183" s="9" t="s">
        <v>22</v>
      </c>
      <c r="J8183" s="10">
        <v>45.79</v>
      </c>
      <c r="K8183" s="11">
        <v>4.9800000000000004</v>
      </c>
      <c r="L8183" s="11">
        <v>0.8</v>
      </c>
      <c r="M8183" s="9" t="s">
        <v>2125</v>
      </c>
      <c r="N8183" s="6" t="s">
        <v>2073</v>
      </c>
      <c r="O8183" s="6" t="s">
        <v>704</v>
      </c>
      <c r="P8183" s="9" t="s">
        <v>33</v>
      </c>
      <c r="Q8183" s="9" t="s">
        <v>26</v>
      </c>
      <c r="R8183" s="9" t="s">
        <v>61</v>
      </c>
      <c r="S8183" s="7" t="s">
        <v>842</v>
      </c>
      <c r="T8183" s="9" t="s">
        <v>68</v>
      </c>
      <c r="U8183" s="7">
        <v>0.36</v>
      </c>
      <c r="V8183" s="12">
        <f>C8183+2</f>
        <v>40638</v>
      </c>
      <c r="W8183">
        <f>IF(D8183=' Pivot Tables'!$A$4,1,0)</f>
        <v>0</v>
      </c>
      <c r="X8183">
        <f>IF(AND(LEFT(D8183,4)+1=LEFT(' Pivot Tables'!$A$4,4)+0,RIGHT(LEFT(D8183,7),2)=RIGHT(LEFT(' Pivot Tables'!$A$4,7),2)),1,0)</f>
        <v>0</v>
      </c>
      <c r="Y8183" s="6">
        <f>1/COUNTIF(Таблица1[Order ID],Таблица1[[#This Row],[Order ID]])</f>
        <v>1</v>
      </c>
      <c r="Z8183" s="9">
        <f>1/COUNTIFS(Таблица1[Customer Name],Таблица1[[#This Row],[Customer Name]],Таблица1[Order-Year-Month],Таблица1[[#This Row],[Order-Year-Month]])</f>
        <v>1</v>
      </c>
    </row>
    <row r="8184" spans="1:26" x14ac:dyDescent="0.2">
      <c r="A8184" s="6">
        <v>1293</v>
      </c>
      <c r="B8184" s="7">
        <v>9476</v>
      </c>
      <c r="C8184" s="8">
        <f>DATE(2012,12,31)-1316</f>
        <v>39958</v>
      </c>
      <c r="D8184" s="8" t="str">
        <f t="shared" si="156"/>
        <v>2009-05 (май 2009)</v>
      </c>
      <c r="E8184" s="9" t="s">
        <v>45</v>
      </c>
      <c r="F8184" s="7">
        <v>10</v>
      </c>
      <c r="G8184" s="7">
        <v>165.04</v>
      </c>
      <c r="H8184" s="7">
        <v>0.08</v>
      </c>
      <c r="I8184" s="9" t="s">
        <v>56</v>
      </c>
      <c r="J8184" s="10">
        <v>-66.584999999999994</v>
      </c>
      <c r="K8184" s="11">
        <v>15.99</v>
      </c>
      <c r="L8184" s="11">
        <v>13.18</v>
      </c>
      <c r="M8184" s="9" t="s">
        <v>2118</v>
      </c>
      <c r="N8184" s="6" t="s">
        <v>2073</v>
      </c>
      <c r="O8184" s="6" t="s">
        <v>704</v>
      </c>
      <c r="P8184" s="9" t="s">
        <v>41</v>
      </c>
      <c r="Q8184" s="9" t="s">
        <v>26</v>
      </c>
      <c r="R8184" s="9" t="s">
        <v>37</v>
      </c>
      <c r="S8184" s="7" t="s">
        <v>92</v>
      </c>
      <c r="T8184" s="9" t="s">
        <v>39</v>
      </c>
      <c r="U8184" s="7">
        <v>0.37</v>
      </c>
      <c r="V8184" s="12">
        <f>C8184+2</f>
        <v>39960</v>
      </c>
      <c r="W8184">
        <f>IF(D8184=' Pivot Tables'!$A$4,1,0)</f>
        <v>0</v>
      </c>
      <c r="X8184">
        <f>IF(AND(LEFT(D8184,4)+1=LEFT(' Pivot Tables'!$A$4,4)+0,RIGHT(LEFT(D8184,7),2)=RIGHT(LEFT(' Pivot Tables'!$A$4,7),2)),1,0)</f>
        <v>0</v>
      </c>
      <c r="Y8184" s="6">
        <f>1/COUNTIF(Таблица1[Order ID],Таблица1[[#This Row],[Order ID]])</f>
        <v>1</v>
      </c>
      <c r="Z8184" s="9">
        <f>1/COUNTIFS(Таблица1[Customer Name],Таблица1[[#This Row],[Customer Name]],Таблица1[Order-Year-Month],Таблица1[[#This Row],[Order-Year-Month]])</f>
        <v>1</v>
      </c>
    </row>
    <row r="8185" spans="1:26" x14ac:dyDescent="0.2">
      <c r="A8185" s="6">
        <v>1313</v>
      </c>
      <c r="B8185" s="7">
        <v>9632</v>
      </c>
      <c r="C8185" s="8">
        <f>DATE(2012,12,31)-350</f>
        <v>40924</v>
      </c>
      <c r="D8185" s="8" t="str">
        <f t="shared" si="156"/>
        <v>2012-01 (январь 2012)</v>
      </c>
      <c r="E8185" s="9" t="s">
        <v>21</v>
      </c>
      <c r="F8185" s="7">
        <v>33</v>
      </c>
      <c r="G8185" s="7">
        <v>3633.03</v>
      </c>
      <c r="H8185" s="7">
        <v>0.09</v>
      </c>
      <c r="I8185" s="9" t="s">
        <v>22</v>
      </c>
      <c r="J8185" s="10">
        <v>1440.2740000000001</v>
      </c>
      <c r="K8185" s="11">
        <v>120.98</v>
      </c>
      <c r="L8185" s="11">
        <v>9.07</v>
      </c>
      <c r="M8185" s="9" t="s">
        <v>1408</v>
      </c>
      <c r="N8185" s="6" t="s">
        <v>2073</v>
      </c>
      <c r="O8185" s="6" t="s">
        <v>704</v>
      </c>
      <c r="P8185" s="9" t="s">
        <v>60</v>
      </c>
      <c r="Q8185" s="9" t="s">
        <v>26</v>
      </c>
      <c r="R8185" s="9" t="s">
        <v>37</v>
      </c>
      <c r="S8185" s="7" t="s">
        <v>477</v>
      </c>
      <c r="T8185" s="9" t="s">
        <v>39</v>
      </c>
      <c r="U8185" s="7">
        <v>0.35</v>
      </c>
      <c r="V8185" s="12">
        <f>C8185+4</f>
        <v>40928</v>
      </c>
      <c r="W8185">
        <f>IF(D8185=' Pivot Tables'!$A$4,1,0)</f>
        <v>0</v>
      </c>
      <c r="X8185">
        <f>IF(AND(LEFT(D8185,4)+1=LEFT(' Pivot Tables'!$A$4,4)+0,RIGHT(LEFT(D8185,7),2)=RIGHT(LEFT(' Pivot Tables'!$A$4,7),2)),1,0)</f>
        <v>0</v>
      </c>
      <c r="Y8185" s="6">
        <f>1/COUNTIF(Таблица1[Order ID],Таблица1[[#This Row],[Order ID]])</f>
        <v>1</v>
      </c>
      <c r="Z8185" s="9">
        <f>1/COUNTIFS(Таблица1[Customer Name],Таблица1[[#This Row],[Customer Name]],Таблица1[Order-Year-Month],Таблица1[[#This Row],[Order-Year-Month]])</f>
        <v>1</v>
      </c>
    </row>
    <row r="8186" spans="1:26" x14ac:dyDescent="0.2">
      <c r="A8186" s="6">
        <v>1341</v>
      </c>
      <c r="B8186" s="7">
        <v>9796</v>
      </c>
      <c r="C8186" s="8">
        <f>DATE(2012,12,31)-843</f>
        <v>40431</v>
      </c>
      <c r="D8186" s="8" t="str">
        <f t="shared" si="156"/>
        <v>2010-09 (сентябрь 2010)</v>
      </c>
      <c r="E8186" s="9" t="s">
        <v>78</v>
      </c>
      <c r="F8186" s="7">
        <v>29</v>
      </c>
      <c r="G8186" s="7">
        <v>1222.5899999999999</v>
      </c>
      <c r="H8186" s="7">
        <v>0.02</v>
      </c>
      <c r="I8186" s="9" t="s">
        <v>22</v>
      </c>
      <c r="J8186" s="10">
        <v>501.99</v>
      </c>
      <c r="K8186" s="11">
        <v>40.97</v>
      </c>
      <c r="L8186" s="11">
        <v>1.99</v>
      </c>
      <c r="M8186" s="9" t="s">
        <v>2123</v>
      </c>
      <c r="N8186" s="6" t="s">
        <v>2073</v>
      </c>
      <c r="O8186" s="6" t="s">
        <v>704</v>
      </c>
      <c r="P8186" s="9" t="s">
        <v>41</v>
      </c>
      <c r="Q8186" s="9" t="s">
        <v>42</v>
      </c>
      <c r="R8186" s="9" t="s">
        <v>70</v>
      </c>
      <c r="S8186" s="7" t="s">
        <v>1519</v>
      </c>
      <c r="T8186" s="9" t="s">
        <v>52</v>
      </c>
      <c r="U8186" s="7">
        <v>0.42</v>
      </c>
      <c r="V8186" s="12">
        <f>C8186+1</f>
        <v>40432</v>
      </c>
      <c r="W8186">
        <f>IF(D8186=' Pivot Tables'!$A$4,1,0)</f>
        <v>0</v>
      </c>
      <c r="X8186">
        <f>IF(AND(LEFT(D8186,4)+1=LEFT(' Pivot Tables'!$A$4,4)+0,RIGHT(LEFT(D8186,7),2)=RIGHT(LEFT(' Pivot Tables'!$A$4,7),2)),1,0)</f>
        <v>0</v>
      </c>
      <c r="Y8186" s="6">
        <f>1/COUNTIF(Таблица1[Order ID],Таблица1[[#This Row],[Order ID]])</f>
        <v>1</v>
      </c>
      <c r="Z8186" s="9">
        <f>1/COUNTIFS(Таблица1[Customer Name],Таблица1[[#This Row],[Customer Name]],Таблица1[Order-Year-Month],Таблица1[[#This Row],[Order-Year-Month]])</f>
        <v>1</v>
      </c>
    </row>
    <row r="8187" spans="1:26" x14ac:dyDescent="0.2">
      <c r="A8187" s="6">
        <v>1377</v>
      </c>
      <c r="B8187" s="7">
        <v>9955</v>
      </c>
      <c r="C8187" s="8">
        <f>DATE(2012,12,31)-484</f>
        <v>40790</v>
      </c>
      <c r="D8187" s="8" t="str">
        <f t="shared" si="156"/>
        <v>2011-09 (сентябрь 2011)</v>
      </c>
      <c r="E8187" s="9" t="s">
        <v>78</v>
      </c>
      <c r="F8187" s="7">
        <v>37</v>
      </c>
      <c r="G8187" s="7">
        <v>2912.0149999999999</v>
      </c>
      <c r="H8187" s="7">
        <v>0.09</v>
      </c>
      <c r="I8187" s="9" t="s">
        <v>22</v>
      </c>
      <c r="J8187" s="10">
        <v>698.16599999999994</v>
      </c>
      <c r="K8187" s="11">
        <v>95.99</v>
      </c>
      <c r="L8187" s="11">
        <v>4.9000000000000004</v>
      </c>
      <c r="M8187" s="9" t="s">
        <v>1956</v>
      </c>
      <c r="N8187" s="6" t="s">
        <v>2073</v>
      </c>
      <c r="O8187" s="6" t="s">
        <v>704</v>
      </c>
      <c r="P8187" s="9" t="s">
        <v>41</v>
      </c>
      <c r="Q8187" s="9" t="s">
        <v>42</v>
      </c>
      <c r="R8187" s="9" t="s">
        <v>43</v>
      </c>
      <c r="S8187" s="7" t="s">
        <v>1254</v>
      </c>
      <c r="T8187" s="9" t="s">
        <v>39</v>
      </c>
      <c r="U8187" s="7">
        <v>0.56000000000000005</v>
      </c>
      <c r="V8187" s="12">
        <f>C8187+2</f>
        <v>40792</v>
      </c>
      <c r="W8187">
        <f>IF(D8187=' Pivot Tables'!$A$4,1,0)</f>
        <v>0</v>
      </c>
      <c r="X8187">
        <f>IF(AND(LEFT(D8187,4)+1=LEFT(' Pivot Tables'!$A$4,4)+0,RIGHT(LEFT(D8187,7),2)=RIGHT(LEFT(' Pivot Tables'!$A$4,7),2)),1,0)</f>
        <v>0</v>
      </c>
      <c r="Y8187" s="6">
        <f>1/COUNTIF(Таблица1[Order ID],Таблица1[[#This Row],[Order ID]])</f>
        <v>1</v>
      </c>
      <c r="Z8187" s="9">
        <f>1/COUNTIFS(Таблица1[Customer Name],Таблица1[[#This Row],[Customer Name]],Таблица1[Order-Year-Month],Таблица1[[#This Row],[Order-Year-Month]])</f>
        <v>1</v>
      </c>
    </row>
    <row r="8188" spans="1:26" x14ac:dyDescent="0.2">
      <c r="A8188" s="6">
        <v>1379</v>
      </c>
      <c r="B8188" s="7">
        <v>9985</v>
      </c>
      <c r="C8188" s="8">
        <f>DATE(2012,12,31)-877</f>
        <v>40397</v>
      </c>
      <c r="D8188" s="8" t="str">
        <f t="shared" si="156"/>
        <v>2010-08 (август 2010)</v>
      </c>
      <c r="E8188" s="9" t="s">
        <v>21</v>
      </c>
      <c r="F8188" s="7">
        <v>12</v>
      </c>
      <c r="G8188" s="7">
        <v>81.900000000000006</v>
      </c>
      <c r="H8188" s="7">
        <v>0.08</v>
      </c>
      <c r="I8188" s="9" t="s">
        <v>22</v>
      </c>
      <c r="J8188" s="10">
        <v>-23.52</v>
      </c>
      <c r="K8188" s="11">
        <v>6.68</v>
      </c>
      <c r="L8188" s="11">
        <v>5.2</v>
      </c>
      <c r="M8188" s="9" t="s">
        <v>2122</v>
      </c>
      <c r="N8188" s="6" t="s">
        <v>2073</v>
      </c>
      <c r="O8188" s="6" t="s">
        <v>704</v>
      </c>
      <c r="P8188" s="9" t="s">
        <v>33</v>
      </c>
      <c r="Q8188" s="9" t="s">
        <v>26</v>
      </c>
      <c r="R8188" s="9" t="s">
        <v>61</v>
      </c>
      <c r="S8188" s="7" t="s">
        <v>445</v>
      </c>
      <c r="T8188" s="9" t="s">
        <v>39</v>
      </c>
      <c r="U8188" s="7">
        <v>0.37</v>
      </c>
      <c r="V8188" s="12">
        <f>C8188+0</f>
        <v>40397</v>
      </c>
      <c r="W8188">
        <f>IF(D8188=' Pivot Tables'!$A$4,1,0)</f>
        <v>0</v>
      </c>
      <c r="X8188">
        <f>IF(AND(LEFT(D8188,4)+1=LEFT(' Pivot Tables'!$A$4,4)+0,RIGHT(LEFT(D8188,7),2)=RIGHT(LEFT(' Pivot Tables'!$A$4,7),2)),1,0)</f>
        <v>0</v>
      </c>
      <c r="Y8188" s="6">
        <f>1/COUNTIF(Таблица1[Order ID],Таблица1[[#This Row],[Order ID]])</f>
        <v>1</v>
      </c>
      <c r="Z8188" s="9">
        <f>1/COUNTIFS(Таблица1[Customer Name],Таблица1[[#This Row],[Customer Name]],Таблица1[Order-Year-Month],Таблица1[[#This Row],[Order-Year-Month]])</f>
        <v>1</v>
      </c>
    </row>
    <row r="8189" spans="1:26" x14ac:dyDescent="0.2">
      <c r="A8189" s="6">
        <v>1405</v>
      </c>
      <c r="B8189" s="7">
        <v>10212</v>
      </c>
      <c r="C8189" s="8">
        <f>DATE(2012,12,31)-953</f>
        <v>40321</v>
      </c>
      <c r="D8189" s="8" t="str">
        <f t="shared" si="156"/>
        <v>2010-05 (май 2010)</v>
      </c>
      <c r="E8189" s="9" t="s">
        <v>21</v>
      </c>
      <c r="F8189" s="7">
        <v>14</v>
      </c>
      <c r="G8189" s="7">
        <v>74.02</v>
      </c>
      <c r="H8189" s="7">
        <v>0.02</v>
      </c>
      <c r="I8189" s="9" t="s">
        <v>22</v>
      </c>
      <c r="J8189" s="10">
        <v>-2.91</v>
      </c>
      <c r="K8189" s="11">
        <v>5.08</v>
      </c>
      <c r="L8189" s="11">
        <v>3.63</v>
      </c>
      <c r="M8189" s="9" t="s">
        <v>2125</v>
      </c>
      <c r="N8189" s="6" t="s">
        <v>2073</v>
      </c>
      <c r="O8189" s="6" t="s">
        <v>704</v>
      </c>
      <c r="P8189" s="9" t="s">
        <v>33</v>
      </c>
      <c r="Q8189" s="9" t="s">
        <v>49</v>
      </c>
      <c r="R8189" s="9" t="s">
        <v>50</v>
      </c>
      <c r="S8189" s="7" t="s">
        <v>939</v>
      </c>
      <c r="T8189" s="9" t="s">
        <v>68</v>
      </c>
      <c r="U8189" s="7">
        <v>0.51</v>
      </c>
      <c r="V8189" s="12">
        <f>C8189+2</f>
        <v>40323</v>
      </c>
      <c r="W8189">
        <f>IF(D8189=' Pivot Tables'!$A$4,1,0)</f>
        <v>0</v>
      </c>
      <c r="X8189">
        <f>IF(AND(LEFT(D8189,4)+1=LEFT(' Pivot Tables'!$A$4,4)+0,RIGHT(LEFT(D8189,7),2)=RIGHT(LEFT(' Pivot Tables'!$A$4,7),2)),1,0)</f>
        <v>0</v>
      </c>
      <c r="Y8189" s="6">
        <f>1/COUNTIF(Таблица1[Order ID],Таблица1[[#This Row],[Order ID]])</f>
        <v>0.5</v>
      </c>
      <c r="Z8189" s="9">
        <f>1/COUNTIFS(Таблица1[Customer Name],Таблица1[[#This Row],[Customer Name]],Таблица1[Order-Year-Month],Таблица1[[#This Row],[Order-Year-Month]])</f>
        <v>0.5</v>
      </c>
    </row>
    <row r="8190" spans="1:26" x14ac:dyDescent="0.2">
      <c r="A8190" s="6">
        <v>1406</v>
      </c>
      <c r="B8190" s="7">
        <v>10212</v>
      </c>
      <c r="C8190" s="8">
        <f>DATE(2012,12,31)-953</f>
        <v>40321</v>
      </c>
      <c r="D8190" s="8" t="str">
        <f t="shared" si="156"/>
        <v>2010-05 (май 2010)</v>
      </c>
      <c r="E8190" s="9" t="s">
        <v>21</v>
      </c>
      <c r="F8190" s="7">
        <v>22</v>
      </c>
      <c r="G8190" s="7">
        <v>1276.17</v>
      </c>
      <c r="H8190" s="7">
        <v>0</v>
      </c>
      <c r="I8190" s="9" t="s">
        <v>22</v>
      </c>
      <c r="J8190" s="10">
        <v>564.22</v>
      </c>
      <c r="K8190" s="11">
        <v>55.48</v>
      </c>
      <c r="L8190" s="11">
        <v>6.79</v>
      </c>
      <c r="M8190" s="9" t="s">
        <v>2125</v>
      </c>
      <c r="N8190" s="6" t="s">
        <v>2073</v>
      </c>
      <c r="O8190" s="6" t="s">
        <v>704</v>
      </c>
      <c r="P8190" s="9" t="s">
        <v>33</v>
      </c>
      <c r="Q8190" s="9" t="s">
        <v>26</v>
      </c>
      <c r="R8190" s="9" t="s">
        <v>61</v>
      </c>
      <c r="S8190" s="7" t="s">
        <v>1065</v>
      </c>
      <c r="T8190" s="9" t="s">
        <v>39</v>
      </c>
      <c r="U8190" s="7">
        <v>0.37</v>
      </c>
      <c r="V8190" s="12">
        <f>C8190+4</f>
        <v>40325</v>
      </c>
      <c r="W8190">
        <f>IF(D8190=' Pivot Tables'!$A$4,1,0)</f>
        <v>0</v>
      </c>
      <c r="X8190">
        <f>IF(AND(LEFT(D8190,4)+1=LEFT(' Pivot Tables'!$A$4,4)+0,RIGHT(LEFT(D8190,7),2)=RIGHT(LEFT(' Pivot Tables'!$A$4,7),2)),1,0)</f>
        <v>0</v>
      </c>
      <c r="Y8190" s="6">
        <f>1/COUNTIF(Таблица1[Order ID],Таблица1[[#This Row],[Order ID]])</f>
        <v>0.5</v>
      </c>
      <c r="Z8190" s="9">
        <f>1/COUNTIFS(Таблица1[Customer Name],Таблица1[[#This Row],[Customer Name]],Таблица1[Order-Year-Month],Таблица1[[#This Row],[Order-Year-Month]])</f>
        <v>0.5</v>
      </c>
    </row>
    <row r="8191" spans="1:26" x14ac:dyDescent="0.2">
      <c r="A8191" s="6">
        <v>1446</v>
      </c>
      <c r="B8191" s="7">
        <v>10439</v>
      </c>
      <c r="C8191" s="8">
        <f>DATE(2012,12,31)-278</f>
        <v>40996</v>
      </c>
      <c r="D8191" s="8" t="str">
        <f t="shared" si="156"/>
        <v>2012-03 (март 2012)</v>
      </c>
      <c r="E8191" s="9" t="s">
        <v>45</v>
      </c>
      <c r="F8191" s="7">
        <v>41</v>
      </c>
      <c r="G8191" s="7">
        <v>823.13</v>
      </c>
      <c r="H8191" s="7">
        <v>0</v>
      </c>
      <c r="I8191" s="9" t="s">
        <v>22</v>
      </c>
      <c r="J8191" s="10">
        <v>384.5145</v>
      </c>
      <c r="K8191" s="11">
        <v>18.940000000000001</v>
      </c>
      <c r="L8191" s="11">
        <v>1.49</v>
      </c>
      <c r="M8191" s="9" t="s">
        <v>2122</v>
      </c>
      <c r="N8191" s="6" t="s">
        <v>2073</v>
      </c>
      <c r="O8191" s="6" t="s">
        <v>704</v>
      </c>
      <c r="P8191" s="9" t="s">
        <v>33</v>
      </c>
      <c r="Q8191" s="9" t="s">
        <v>26</v>
      </c>
      <c r="R8191" s="9" t="s">
        <v>37</v>
      </c>
      <c r="S8191" s="7" t="s">
        <v>896</v>
      </c>
      <c r="T8191" s="9" t="s">
        <v>39</v>
      </c>
      <c r="U8191" s="7">
        <v>0.35</v>
      </c>
      <c r="V8191" s="12">
        <f>C8191+2</f>
        <v>40998</v>
      </c>
      <c r="W8191">
        <f>IF(D8191=' Pivot Tables'!$A$4,1,0)</f>
        <v>0</v>
      </c>
      <c r="X8191">
        <f>IF(AND(LEFT(D8191,4)+1=LEFT(' Pivot Tables'!$A$4,4)+0,RIGHT(LEFT(D8191,7),2)=RIGHT(LEFT(' Pivot Tables'!$A$4,7),2)),1,0)</f>
        <v>0</v>
      </c>
      <c r="Y8191" s="6">
        <f>1/COUNTIF(Таблица1[Order ID],Таблица1[[#This Row],[Order ID]])</f>
        <v>0.25</v>
      </c>
      <c r="Z8191" s="9">
        <f>1/COUNTIFS(Таблица1[Customer Name],Таблица1[[#This Row],[Customer Name]],Таблица1[Order-Year-Month],Таблица1[[#This Row],[Order-Year-Month]])</f>
        <v>0.25</v>
      </c>
    </row>
    <row r="8192" spans="1:26" x14ac:dyDescent="0.2">
      <c r="A8192" s="6">
        <v>1447</v>
      </c>
      <c r="B8192" s="7">
        <v>10439</v>
      </c>
      <c r="C8192" s="8">
        <f>DATE(2012,12,31)-278</f>
        <v>40996</v>
      </c>
      <c r="D8192" s="8" t="str">
        <f t="shared" si="156"/>
        <v>2012-03 (март 2012)</v>
      </c>
      <c r="E8192" s="9" t="s">
        <v>45</v>
      </c>
      <c r="F8192" s="7">
        <v>30</v>
      </c>
      <c r="G8192" s="7">
        <v>569.61</v>
      </c>
      <c r="H8192" s="7">
        <v>0.02</v>
      </c>
      <c r="I8192" s="9" t="s">
        <v>22</v>
      </c>
      <c r="J8192" s="10">
        <v>-48.44</v>
      </c>
      <c r="K8192" s="11">
        <v>17.98</v>
      </c>
      <c r="L8192" s="11">
        <v>4</v>
      </c>
      <c r="M8192" s="9" t="s">
        <v>2122</v>
      </c>
      <c r="N8192" s="6" t="s">
        <v>2073</v>
      </c>
      <c r="O8192" s="6" t="s">
        <v>704</v>
      </c>
      <c r="P8192" s="9" t="s">
        <v>33</v>
      </c>
      <c r="Q8192" s="9" t="s">
        <v>42</v>
      </c>
      <c r="R8192" s="9" t="s">
        <v>70</v>
      </c>
      <c r="S8192" s="7" t="s">
        <v>846</v>
      </c>
      <c r="T8192" s="9" t="s">
        <v>39</v>
      </c>
      <c r="U8192" s="7">
        <v>0.79</v>
      </c>
      <c r="V8192" s="12">
        <f>C8192+2</f>
        <v>40998</v>
      </c>
      <c r="W8192">
        <f>IF(D8192=' Pivot Tables'!$A$4,1,0)</f>
        <v>0</v>
      </c>
      <c r="X8192">
        <f>IF(AND(LEFT(D8192,4)+1=LEFT(' Pivot Tables'!$A$4,4)+0,RIGHT(LEFT(D8192,7),2)=RIGHT(LEFT(' Pivot Tables'!$A$4,7),2)),1,0)</f>
        <v>0</v>
      </c>
      <c r="Y8192" s="6">
        <f>1/COUNTIF(Таблица1[Order ID],Таблица1[[#This Row],[Order ID]])</f>
        <v>0.25</v>
      </c>
      <c r="Z8192" s="9">
        <f>1/COUNTIFS(Таблица1[Customer Name],Таблица1[[#This Row],[Customer Name]],Таблица1[Order-Year-Month],Таблица1[[#This Row],[Order-Year-Month]])</f>
        <v>0.25</v>
      </c>
    </row>
    <row r="8193" spans="1:26" x14ac:dyDescent="0.2">
      <c r="A8193" s="6">
        <v>1448</v>
      </c>
      <c r="B8193" s="7">
        <v>10439</v>
      </c>
      <c r="C8193" s="8">
        <f>DATE(2012,12,31)-278</f>
        <v>40996</v>
      </c>
      <c r="D8193" s="8" t="str">
        <f t="shared" si="156"/>
        <v>2012-03 (март 2012)</v>
      </c>
      <c r="E8193" s="9" t="s">
        <v>45</v>
      </c>
      <c r="F8193" s="7">
        <v>27</v>
      </c>
      <c r="G8193" s="7">
        <v>75.06</v>
      </c>
      <c r="H8193" s="7">
        <v>0.09</v>
      </c>
      <c r="I8193" s="9" t="s">
        <v>22</v>
      </c>
      <c r="J8193" s="10">
        <v>26.13</v>
      </c>
      <c r="K8193" s="11">
        <v>2.89</v>
      </c>
      <c r="L8193" s="11">
        <v>0.5</v>
      </c>
      <c r="M8193" s="9" t="s">
        <v>2122</v>
      </c>
      <c r="N8193" s="6" t="s">
        <v>2073</v>
      </c>
      <c r="O8193" s="6" t="s">
        <v>704</v>
      </c>
      <c r="P8193" s="9" t="s">
        <v>33</v>
      </c>
      <c r="Q8193" s="9" t="s">
        <v>26</v>
      </c>
      <c r="R8193" s="9" t="s">
        <v>88</v>
      </c>
      <c r="S8193" s="7" t="s">
        <v>474</v>
      </c>
      <c r="T8193" s="9" t="s">
        <v>39</v>
      </c>
      <c r="U8193" s="7">
        <v>0.38</v>
      </c>
      <c r="V8193" s="12">
        <f>C8193+1</f>
        <v>40997</v>
      </c>
      <c r="W8193">
        <f>IF(D8193=' Pivot Tables'!$A$4,1,0)</f>
        <v>0</v>
      </c>
      <c r="X8193">
        <f>IF(AND(LEFT(D8193,4)+1=LEFT(' Pivot Tables'!$A$4,4)+0,RIGHT(LEFT(D8193,7),2)=RIGHT(LEFT(' Pivot Tables'!$A$4,7),2)),1,0)</f>
        <v>0</v>
      </c>
      <c r="Y8193" s="6">
        <f>1/COUNTIF(Таблица1[Order ID],Таблица1[[#This Row],[Order ID]])</f>
        <v>0.25</v>
      </c>
      <c r="Z8193" s="9">
        <f>1/COUNTIFS(Таблица1[Customer Name],Таблица1[[#This Row],[Customer Name]],Таблица1[Order-Year-Month],Таблица1[[#This Row],[Order-Year-Month]])</f>
        <v>0.25</v>
      </c>
    </row>
    <row r="8194" spans="1:26" x14ac:dyDescent="0.2">
      <c r="A8194" s="6">
        <v>1449</v>
      </c>
      <c r="B8194" s="7">
        <v>10439</v>
      </c>
      <c r="C8194" s="8">
        <f>DATE(2012,12,31)-278</f>
        <v>40996</v>
      </c>
      <c r="D8194" s="8" t="str">
        <f t="shared" si="156"/>
        <v>2012-03 (март 2012)</v>
      </c>
      <c r="E8194" s="9" t="s">
        <v>45</v>
      </c>
      <c r="F8194" s="7">
        <v>46</v>
      </c>
      <c r="G8194" s="7">
        <v>225.13</v>
      </c>
      <c r="H8194" s="7">
        <v>0.01</v>
      </c>
      <c r="I8194" s="9" t="s">
        <v>56</v>
      </c>
      <c r="J8194" s="10">
        <v>-205.75</v>
      </c>
      <c r="K8194" s="11">
        <v>4.4800000000000004</v>
      </c>
      <c r="L8194" s="11">
        <v>7.24</v>
      </c>
      <c r="M8194" s="9" t="s">
        <v>2122</v>
      </c>
      <c r="N8194" s="6" t="s">
        <v>2073</v>
      </c>
      <c r="O8194" s="6" t="s">
        <v>704</v>
      </c>
      <c r="P8194" s="9" t="s">
        <v>33</v>
      </c>
      <c r="Q8194" s="9" t="s">
        <v>49</v>
      </c>
      <c r="R8194" s="9" t="s">
        <v>50</v>
      </c>
      <c r="S8194" s="7" t="s">
        <v>1652</v>
      </c>
      <c r="T8194" s="9" t="s">
        <v>39</v>
      </c>
      <c r="U8194" s="7">
        <v>0.54</v>
      </c>
      <c r="V8194" s="12">
        <f>C8194+2</f>
        <v>40998</v>
      </c>
      <c r="W8194">
        <f>IF(D8194=' Pivot Tables'!$A$4,1,0)</f>
        <v>0</v>
      </c>
      <c r="X8194">
        <f>IF(AND(LEFT(D8194,4)+1=LEFT(' Pivot Tables'!$A$4,4)+0,RIGHT(LEFT(D8194,7),2)=RIGHT(LEFT(' Pivot Tables'!$A$4,7),2)),1,0)</f>
        <v>0</v>
      </c>
      <c r="Y8194" s="6">
        <f>1/COUNTIF(Таблица1[Order ID],Таблица1[[#This Row],[Order ID]])</f>
        <v>0.25</v>
      </c>
      <c r="Z8194" s="9">
        <f>1/COUNTIFS(Таблица1[Customer Name],Таблица1[[#This Row],[Customer Name]],Таблица1[Order-Year-Month],Таблица1[[#This Row],[Order-Year-Month]])</f>
        <v>0.25</v>
      </c>
    </row>
    <row r="8195" spans="1:26" x14ac:dyDescent="0.2">
      <c r="A8195" s="6">
        <v>1450</v>
      </c>
      <c r="B8195" s="7">
        <v>10464</v>
      </c>
      <c r="C8195" s="8">
        <f>DATE(2012,12,31)-1239</f>
        <v>40035</v>
      </c>
      <c r="D8195" s="8" t="str">
        <f t="shared" ref="D8195:D8258" si="157">TEXT(C8195,"гггг-ММ (ММММ гггг)")</f>
        <v>2009-08 (август 2009)</v>
      </c>
      <c r="E8195" s="9" t="s">
        <v>78</v>
      </c>
      <c r="F8195" s="7">
        <v>23</v>
      </c>
      <c r="G8195" s="7">
        <v>121.73</v>
      </c>
      <c r="H8195" s="7">
        <v>0.01</v>
      </c>
      <c r="I8195" s="9" t="s">
        <v>22</v>
      </c>
      <c r="J8195" s="10">
        <v>-69.069999999999993</v>
      </c>
      <c r="K8195" s="11">
        <v>4.9800000000000004</v>
      </c>
      <c r="L8195" s="11">
        <v>6.07</v>
      </c>
      <c r="M8195" s="9" t="s">
        <v>2009</v>
      </c>
      <c r="N8195" s="6" t="s">
        <v>2073</v>
      </c>
      <c r="O8195" s="6" t="s">
        <v>704</v>
      </c>
      <c r="P8195" s="9" t="s">
        <v>33</v>
      </c>
      <c r="Q8195" s="9" t="s">
        <v>26</v>
      </c>
      <c r="R8195" s="9" t="s">
        <v>61</v>
      </c>
      <c r="S8195" s="7" t="s">
        <v>352</v>
      </c>
      <c r="T8195" s="9" t="s">
        <v>39</v>
      </c>
      <c r="U8195" s="7">
        <v>0.36</v>
      </c>
      <c r="V8195" s="12">
        <f>C8195+1</f>
        <v>40036</v>
      </c>
      <c r="W8195">
        <f>IF(D8195=' Pivot Tables'!$A$4,1,0)</f>
        <v>0</v>
      </c>
      <c r="X8195">
        <f>IF(AND(LEFT(D8195,4)+1=LEFT(' Pivot Tables'!$A$4,4)+0,RIGHT(LEFT(D8195,7),2)=RIGHT(LEFT(' Pivot Tables'!$A$4,7),2)),1,0)</f>
        <v>0</v>
      </c>
      <c r="Y8195" s="6">
        <f>1/COUNTIF(Таблица1[Order ID],Таблица1[[#This Row],[Order ID]])</f>
        <v>1</v>
      </c>
      <c r="Z8195" s="9">
        <f>1/COUNTIFS(Таблица1[Customer Name],Таблица1[[#This Row],[Customer Name]],Таблица1[Order-Year-Month],Таблица1[[#This Row],[Order-Year-Month]])</f>
        <v>1</v>
      </c>
    </row>
    <row r="8196" spans="1:26" x14ac:dyDescent="0.2">
      <c r="A8196" s="6">
        <v>1498</v>
      </c>
      <c r="B8196" s="7">
        <v>10820</v>
      </c>
      <c r="C8196" s="8">
        <f>DATE(2012,12,31)-370</f>
        <v>40904</v>
      </c>
      <c r="D8196" s="8" t="str">
        <f t="shared" si="157"/>
        <v>2011-12 (декабрь 2011)</v>
      </c>
      <c r="E8196" s="9" t="s">
        <v>45</v>
      </c>
      <c r="F8196" s="7">
        <v>49</v>
      </c>
      <c r="G8196" s="7">
        <v>2072.12</v>
      </c>
      <c r="H8196" s="7">
        <v>0.04</v>
      </c>
      <c r="I8196" s="9" t="s">
        <v>56</v>
      </c>
      <c r="J8196" s="10">
        <v>365.23</v>
      </c>
      <c r="K8196" s="11">
        <v>40.97</v>
      </c>
      <c r="L8196" s="11">
        <v>8.99</v>
      </c>
      <c r="M8196" s="9" t="s">
        <v>2127</v>
      </c>
      <c r="N8196" s="6" t="s">
        <v>2073</v>
      </c>
      <c r="O8196" s="6" t="s">
        <v>704</v>
      </c>
      <c r="P8196" s="9" t="s">
        <v>25</v>
      </c>
      <c r="Q8196" s="9" t="s">
        <v>26</v>
      </c>
      <c r="R8196" s="9" t="s">
        <v>95</v>
      </c>
      <c r="S8196" s="7" t="s">
        <v>777</v>
      </c>
      <c r="T8196" s="9" t="s">
        <v>52</v>
      </c>
      <c r="U8196" s="7">
        <v>0.59</v>
      </c>
      <c r="V8196" s="12">
        <f>C8196+1</f>
        <v>40905</v>
      </c>
      <c r="W8196">
        <f>IF(D8196=' Pivot Tables'!$A$4,1,0)</f>
        <v>0</v>
      </c>
      <c r="X8196">
        <f>IF(AND(LEFT(D8196,4)+1=LEFT(' Pivot Tables'!$A$4,4)+0,RIGHT(LEFT(D8196,7),2)=RIGHT(LEFT(' Pivot Tables'!$A$4,7),2)),1,0)</f>
        <v>0</v>
      </c>
      <c r="Y8196" s="6">
        <f>1/COUNTIF(Таблица1[Order ID],Таблица1[[#This Row],[Order ID]])</f>
        <v>0.5</v>
      </c>
      <c r="Z8196" s="9">
        <f>1/COUNTIFS(Таблица1[Customer Name],Таблица1[[#This Row],[Customer Name]],Таблица1[Order-Year-Month],Таблица1[[#This Row],[Order-Year-Month]])</f>
        <v>0.5</v>
      </c>
    </row>
    <row r="8197" spans="1:26" x14ac:dyDescent="0.2">
      <c r="A8197" s="6">
        <v>1499</v>
      </c>
      <c r="B8197" s="7">
        <v>10820</v>
      </c>
      <c r="C8197" s="8">
        <f>DATE(2012,12,31)-370</f>
        <v>40904</v>
      </c>
      <c r="D8197" s="8" t="str">
        <f t="shared" si="157"/>
        <v>2011-12 (декабрь 2011)</v>
      </c>
      <c r="E8197" s="9" t="s">
        <v>45</v>
      </c>
      <c r="F8197" s="7">
        <v>33</v>
      </c>
      <c r="G8197" s="7">
        <v>151.19</v>
      </c>
      <c r="H8197" s="7">
        <v>0.06</v>
      </c>
      <c r="I8197" s="9" t="s">
        <v>22</v>
      </c>
      <c r="J8197" s="10">
        <v>-13.45</v>
      </c>
      <c r="K8197" s="11">
        <v>4.71</v>
      </c>
      <c r="L8197" s="11">
        <v>0.7</v>
      </c>
      <c r="M8197" s="9" t="s">
        <v>2127</v>
      </c>
      <c r="N8197" s="6" t="s">
        <v>2073</v>
      </c>
      <c r="O8197" s="6" t="s">
        <v>704</v>
      </c>
      <c r="P8197" s="9" t="s">
        <v>25</v>
      </c>
      <c r="Q8197" s="9" t="s">
        <v>26</v>
      </c>
      <c r="R8197" s="9" t="s">
        <v>66</v>
      </c>
      <c r="S8197" s="7" t="s">
        <v>412</v>
      </c>
      <c r="T8197" s="9" t="s">
        <v>68</v>
      </c>
      <c r="U8197" s="7">
        <v>0.85</v>
      </c>
      <c r="V8197" s="12">
        <f>C8197+0</f>
        <v>40904</v>
      </c>
      <c r="W8197">
        <f>IF(D8197=' Pivot Tables'!$A$4,1,0)</f>
        <v>0</v>
      </c>
      <c r="X8197">
        <f>IF(AND(LEFT(D8197,4)+1=LEFT(' Pivot Tables'!$A$4,4)+0,RIGHT(LEFT(D8197,7),2)=RIGHT(LEFT(' Pivot Tables'!$A$4,7),2)),1,0)</f>
        <v>0</v>
      </c>
      <c r="Y8197" s="6">
        <f>1/COUNTIF(Таблица1[Order ID],Таблица1[[#This Row],[Order ID]])</f>
        <v>0.5</v>
      </c>
      <c r="Z8197" s="9">
        <f>1/COUNTIFS(Таблица1[Customer Name],Таблица1[[#This Row],[Customer Name]],Таблица1[Order-Year-Month],Таблица1[[#This Row],[Order-Year-Month]])</f>
        <v>0.5</v>
      </c>
    </row>
    <row r="8198" spans="1:26" x14ac:dyDescent="0.2">
      <c r="A8198" s="6">
        <v>1529</v>
      </c>
      <c r="B8198" s="7">
        <v>11013</v>
      </c>
      <c r="C8198" s="8">
        <f>DATE(2012,12,31)-1354</f>
        <v>39920</v>
      </c>
      <c r="D8198" s="8" t="str">
        <f t="shared" si="157"/>
        <v>2009-04 (апрель 2009)</v>
      </c>
      <c r="E8198" s="9" t="s">
        <v>30</v>
      </c>
      <c r="F8198" s="7">
        <v>2</v>
      </c>
      <c r="G8198" s="7">
        <v>226.88200000000001</v>
      </c>
      <c r="H8198" s="7">
        <v>0.01</v>
      </c>
      <c r="I8198" s="9" t="s">
        <v>22</v>
      </c>
      <c r="J8198" s="10">
        <v>-582.64799999999991</v>
      </c>
      <c r="K8198" s="11">
        <v>125.99</v>
      </c>
      <c r="L8198" s="11">
        <v>8.99</v>
      </c>
      <c r="M8198" s="9" t="s">
        <v>2118</v>
      </c>
      <c r="N8198" s="6" t="s">
        <v>2073</v>
      </c>
      <c r="O8198" s="6" t="s">
        <v>704</v>
      </c>
      <c r="P8198" s="9" t="s">
        <v>41</v>
      </c>
      <c r="Q8198" s="9" t="s">
        <v>42</v>
      </c>
      <c r="R8198" s="9" t="s">
        <v>43</v>
      </c>
      <c r="S8198" s="7" t="s">
        <v>924</v>
      </c>
      <c r="T8198" s="9" t="s">
        <v>39</v>
      </c>
      <c r="U8198" s="7">
        <v>0.59</v>
      </c>
      <c r="V8198" s="12">
        <f>C8198+1</f>
        <v>39921</v>
      </c>
      <c r="W8198">
        <f>IF(D8198=' Pivot Tables'!$A$4,1,0)</f>
        <v>0</v>
      </c>
      <c r="X8198">
        <f>IF(AND(LEFT(D8198,4)+1=LEFT(' Pivot Tables'!$A$4,4)+0,RIGHT(LEFT(D8198,7),2)=RIGHT(LEFT(' Pivot Tables'!$A$4,7),2)),1,0)</f>
        <v>0</v>
      </c>
      <c r="Y8198" s="6">
        <f>1/COUNTIF(Таблица1[Order ID],Таблица1[[#This Row],[Order ID]])</f>
        <v>1</v>
      </c>
      <c r="Z8198" s="9">
        <f>1/COUNTIFS(Таблица1[Customer Name],Таблица1[[#This Row],[Customer Name]],Таблица1[Order-Year-Month],Таблица1[[#This Row],[Order-Year-Month]])</f>
        <v>1</v>
      </c>
    </row>
    <row r="8199" spans="1:26" x14ac:dyDescent="0.2">
      <c r="A8199" s="6">
        <v>1546</v>
      </c>
      <c r="B8199" s="7">
        <v>11169</v>
      </c>
      <c r="C8199" s="8">
        <f>DATE(2012,12,31)-955</f>
        <v>40319</v>
      </c>
      <c r="D8199" s="8" t="str">
        <f t="shared" si="157"/>
        <v>2010-05 (май 2010)</v>
      </c>
      <c r="E8199" s="9" t="s">
        <v>63</v>
      </c>
      <c r="F8199" s="7">
        <v>46</v>
      </c>
      <c r="G8199" s="7">
        <v>398.86</v>
      </c>
      <c r="H8199" s="7">
        <v>0.08</v>
      </c>
      <c r="I8199" s="9" t="s">
        <v>22</v>
      </c>
      <c r="J8199" s="10">
        <v>-26.45</v>
      </c>
      <c r="K8199" s="11">
        <v>8.85</v>
      </c>
      <c r="L8199" s="11">
        <v>5.6</v>
      </c>
      <c r="M8199" s="9" t="s">
        <v>2003</v>
      </c>
      <c r="N8199" s="6" t="s">
        <v>2073</v>
      </c>
      <c r="O8199" s="6" t="s">
        <v>704</v>
      </c>
      <c r="P8199" s="9" t="s">
        <v>41</v>
      </c>
      <c r="Q8199" s="9" t="s">
        <v>26</v>
      </c>
      <c r="R8199" s="9" t="s">
        <v>37</v>
      </c>
      <c r="S8199" s="7" t="s">
        <v>298</v>
      </c>
      <c r="T8199" s="9" t="s">
        <v>39</v>
      </c>
      <c r="U8199" s="7">
        <v>0.36</v>
      </c>
      <c r="V8199" s="12">
        <f>C8199+1</f>
        <v>40320</v>
      </c>
      <c r="W8199">
        <f>IF(D8199=' Pivot Tables'!$A$4,1,0)</f>
        <v>0</v>
      </c>
      <c r="X8199">
        <f>IF(AND(LEFT(D8199,4)+1=LEFT(' Pivot Tables'!$A$4,4)+0,RIGHT(LEFT(D8199,7),2)=RIGHT(LEFT(' Pivot Tables'!$A$4,7),2)),1,0)</f>
        <v>0</v>
      </c>
      <c r="Y8199" s="6">
        <f>1/COUNTIF(Таблица1[Order ID],Таблица1[[#This Row],[Order ID]])</f>
        <v>0.33333333333333331</v>
      </c>
      <c r="Z8199" s="9">
        <f>1/COUNTIFS(Таблица1[Customer Name],Таблица1[[#This Row],[Customer Name]],Таблица1[Order-Year-Month],Таблица1[[#This Row],[Order-Year-Month]])</f>
        <v>0.33333333333333331</v>
      </c>
    </row>
    <row r="8200" spans="1:26" x14ac:dyDescent="0.2">
      <c r="A8200" s="6">
        <v>1547</v>
      </c>
      <c r="B8200" s="7">
        <v>11169</v>
      </c>
      <c r="C8200" s="8">
        <f>DATE(2012,12,31)-955</f>
        <v>40319</v>
      </c>
      <c r="D8200" s="8" t="str">
        <f t="shared" si="157"/>
        <v>2010-05 (май 2010)</v>
      </c>
      <c r="E8200" s="9" t="s">
        <v>63</v>
      </c>
      <c r="F8200" s="7">
        <v>44</v>
      </c>
      <c r="G8200" s="7">
        <v>109.18</v>
      </c>
      <c r="H8200" s="7">
        <v>0.09</v>
      </c>
      <c r="I8200" s="9" t="s">
        <v>22</v>
      </c>
      <c r="J8200" s="10">
        <v>37.17</v>
      </c>
      <c r="K8200" s="11">
        <v>2.61</v>
      </c>
      <c r="L8200" s="11">
        <v>0.5</v>
      </c>
      <c r="M8200" s="9" t="s">
        <v>2003</v>
      </c>
      <c r="N8200" s="6" t="s">
        <v>2073</v>
      </c>
      <c r="O8200" s="6" t="s">
        <v>704</v>
      </c>
      <c r="P8200" s="9" t="s">
        <v>41</v>
      </c>
      <c r="Q8200" s="9" t="s">
        <v>26</v>
      </c>
      <c r="R8200" s="9" t="s">
        <v>88</v>
      </c>
      <c r="S8200" s="7" t="s">
        <v>528</v>
      </c>
      <c r="T8200" s="9" t="s">
        <v>39</v>
      </c>
      <c r="U8200" s="7">
        <v>0.39</v>
      </c>
      <c r="V8200" s="12">
        <f>C8200+0</f>
        <v>40319</v>
      </c>
      <c r="W8200">
        <f>IF(D8200=' Pivot Tables'!$A$4,1,0)</f>
        <v>0</v>
      </c>
      <c r="X8200">
        <f>IF(AND(LEFT(D8200,4)+1=LEFT(' Pivot Tables'!$A$4,4)+0,RIGHT(LEFT(D8200,7),2)=RIGHT(LEFT(' Pivot Tables'!$A$4,7),2)),1,0)</f>
        <v>0</v>
      </c>
      <c r="Y8200" s="6">
        <f>1/COUNTIF(Таблица1[Order ID],Таблица1[[#This Row],[Order ID]])</f>
        <v>0.33333333333333331</v>
      </c>
      <c r="Z8200" s="9">
        <f>1/COUNTIFS(Таблица1[Customer Name],Таблица1[[#This Row],[Customer Name]],Таблица1[Order-Year-Month],Таблица1[[#This Row],[Order-Year-Month]])</f>
        <v>0.33333333333333331</v>
      </c>
    </row>
    <row r="8201" spans="1:26" x14ac:dyDescent="0.2">
      <c r="A8201" s="6">
        <v>1548</v>
      </c>
      <c r="B8201" s="7">
        <v>11169</v>
      </c>
      <c r="C8201" s="8">
        <f>DATE(2012,12,31)-955</f>
        <v>40319</v>
      </c>
      <c r="D8201" s="8" t="str">
        <f t="shared" si="157"/>
        <v>2010-05 (май 2010)</v>
      </c>
      <c r="E8201" s="9" t="s">
        <v>63</v>
      </c>
      <c r="F8201" s="7">
        <v>5</v>
      </c>
      <c r="G8201" s="7">
        <v>28.59</v>
      </c>
      <c r="H8201" s="7">
        <v>0.05</v>
      </c>
      <c r="I8201" s="9" t="s">
        <v>22</v>
      </c>
      <c r="J8201" s="10">
        <v>-14.33</v>
      </c>
      <c r="K8201" s="11">
        <v>4.9800000000000004</v>
      </c>
      <c r="L8201" s="11">
        <v>4.7</v>
      </c>
      <c r="M8201" s="9" t="s">
        <v>2003</v>
      </c>
      <c r="N8201" s="6" t="s">
        <v>2073</v>
      </c>
      <c r="O8201" s="6" t="s">
        <v>704</v>
      </c>
      <c r="P8201" s="9" t="s">
        <v>41</v>
      </c>
      <c r="Q8201" s="9" t="s">
        <v>26</v>
      </c>
      <c r="R8201" s="9" t="s">
        <v>61</v>
      </c>
      <c r="S8201" s="7" t="s">
        <v>937</v>
      </c>
      <c r="T8201" s="9" t="s">
        <v>39</v>
      </c>
      <c r="U8201" s="7">
        <v>0.38</v>
      </c>
      <c r="V8201" s="12">
        <f>C8201+1</f>
        <v>40320</v>
      </c>
      <c r="W8201">
        <f>IF(D8201=' Pivot Tables'!$A$4,1,0)</f>
        <v>0</v>
      </c>
      <c r="X8201">
        <f>IF(AND(LEFT(D8201,4)+1=LEFT(' Pivot Tables'!$A$4,4)+0,RIGHT(LEFT(D8201,7),2)=RIGHT(LEFT(' Pivot Tables'!$A$4,7),2)),1,0)</f>
        <v>0</v>
      </c>
      <c r="Y8201" s="6">
        <f>1/COUNTIF(Таблица1[Order ID],Таблица1[[#This Row],[Order ID]])</f>
        <v>0.33333333333333331</v>
      </c>
      <c r="Z8201" s="9">
        <f>1/COUNTIFS(Таблица1[Customer Name],Таблица1[[#This Row],[Customer Name]],Таблица1[Order-Year-Month],Таблица1[[#This Row],[Order-Year-Month]])</f>
        <v>0.33333333333333331</v>
      </c>
    </row>
    <row r="8202" spans="1:26" x14ac:dyDescent="0.2">
      <c r="A8202" s="6">
        <v>1606</v>
      </c>
      <c r="B8202" s="7">
        <v>11651</v>
      </c>
      <c r="C8202" s="8">
        <f>DATE(2012,12,31)-678</f>
        <v>40596</v>
      </c>
      <c r="D8202" s="8" t="str">
        <f t="shared" si="157"/>
        <v>2011-02 (февраль 2011)</v>
      </c>
      <c r="E8202" s="9" t="s">
        <v>63</v>
      </c>
      <c r="F8202" s="7">
        <v>19</v>
      </c>
      <c r="G8202" s="7">
        <v>65.849999999999994</v>
      </c>
      <c r="H8202" s="7">
        <v>7.0000000000000007E-2</v>
      </c>
      <c r="I8202" s="9" t="s">
        <v>56</v>
      </c>
      <c r="J8202" s="10">
        <v>3.9</v>
      </c>
      <c r="K8202" s="11">
        <v>3.28</v>
      </c>
      <c r="L8202" s="11">
        <v>0.98</v>
      </c>
      <c r="M8202" s="9" t="s">
        <v>1403</v>
      </c>
      <c r="N8202" s="6" t="s">
        <v>2073</v>
      </c>
      <c r="O8202" s="6" t="s">
        <v>704</v>
      </c>
      <c r="P8202" s="9" t="s">
        <v>25</v>
      </c>
      <c r="Q8202" s="9" t="s">
        <v>26</v>
      </c>
      <c r="R8202" s="9" t="s">
        <v>95</v>
      </c>
      <c r="S8202" s="7" t="s">
        <v>1808</v>
      </c>
      <c r="T8202" s="9" t="s">
        <v>68</v>
      </c>
      <c r="U8202" s="7">
        <v>0.59</v>
      </c>
      <c r="V8202" s="12">
        <f>C8202+2</f>
        <v>40598</v>
      </c>
      <c r="W8202">
        <f>IF(D8202=' Pivot Tables'!$A$4,1,0)</f>
        <v>0</v>
      </c>
      <c r="X8202">
        <f>IF(AND(LEFT(D8202,4)+1=LEFT(' Pivot Tables'!$A$4,4)+0,RIGHT(LEFT(D8202,7),2)=RIGHT(LEFT(' Pivot Tables'!$A$4,7),2)),1,0)</f>
        <v>0</v>
      </c>
      <c r="Y8202" s="6">
        <f>1/COUNTIF(Таблица1[Order ID],Таблица1[[#This Row],[Order ID]])</f>
        <v>1</v>
      </c>
      <c r="Z8202" s="9">
        <f>1/COUNTIFS(Таблица1[Customer Name],Таблица1[[#This Row],[Customer Name]],Таблица1[Order-Year-Month],Таблица1[[#This Row],[Order-Year-Month]])</f>
        <v>1</v>
      </c>
    </row>
    <row r="8203" spans="1:26" x14ac:dyDescent="0.2">
      <c r="A8203" s="6">
        <v>1635</v>
      </c>
      <c r="B8203" s="7">
        <v>11840</v>
      </c>
      <c r="C8203" s="8">
        <f>DATE(2012,12,31)-1235</f>
        <v>40039</v>
      </c>
      <c r="D8203" s="8" t="str">
        <f t="shared" si="157"/>
        <v>2009-08 (август 2009)</v>
      </c>
      <c r="E8203" s="9" t="s">
        <v>78</v>
      </c>
      <c r="F8203" s="7">
        <v>43</v>
      </c>
      <c r="G8203" s="7">
        <v>181.5</v>
      </c>
      <c r="H8203" s="7">
        <v>0.08</v>
      </c>
      <c r="I8203" s="9" t="s">
        <v>22</v>
      </c>
      <c r="J8203" s="10">
        <v>-6.24</v>
      </c>
      <c r="K8203" s="11">
        <v>4.4800000000000004</v>
      </c>
      <c r="L8203" s="11">
        <v>2.5</v>
      </c>
      <c r="M8203" s="9" t="s">
        <v>2121</v>
      </c>
      <c r="N8203" s="6" t="s">
        <v>2073</v>
      </c>
      <c r="O8203" s="6" t="s">
        <v>704</v>
      </c>
      <c r="P8203" s="9" t="s">
        <v>33</v>
      </c>
      <c r="Q8203" s="9" t="s">
        <v>26</v>
      </c>
      <c r="R8203" s="9" t="s">
        <v>76</v>
      </c>
      <c r="S8203" s="7" t="s">
        <v>845</v>
      </c>
      <c r="T8203" s="9" t="s">
        <v>39</v>
      </c>
      <c r="U8203" s="7">
        <v>0.37</v>
      </c>
      <c r="V8203" s="12">
        <f>C8203+1</f>
        <v>40040</v>
      </c>
      <c r="W8203">
        <f>IF(D8203=' Pivot Tables'!$A$4,1,0)</f>
        <v>0</v>
      </c>
      <c r="X8203">
        <f>IF(AND(LEFT(D8203,4)+1=LEFT(' Pivot Tables'!$A$4,4)+0,RIGHT(LEFT(D8203,7),2)=RIGHT(LEFT(' Pivot Tables'!$A$4,7),2)),1,0)</f>
        <v>0</v>
      </c>
      <c r="Y8203" s="6">
        <f>1/COUNTIF(Таблица1[Order ID],Таблица1[[#This Row],[Order ID]])</f>
        <v>1</v>
      </c>
      <c r="Z8203" s="9">
        <f>1/COUNTIFS(Таблица1[Customer Name],Таблица1[[#This Row],[Customer Name]],Таблица1[Order-Year-Month],Таблица1[[#This Row],[Order-Year-Month]])</f>
        <v>1</v>
      </c>
    </row>
    <row r="8204" spans="1:26" x14ac:dyDescent="0.2">
      <c r="A8204" s="6">
        <v>1652</v>
      </c>
      <c r="B8204" s="7">
        <v>11909</v>
      </c>
      <c r="C8204" s="8">
        <f>DATE(2012,12,31)-1133</f>
        <v>40141</v>
      </c>
      <c r="D8204" s="8" t="str">
        <f t="shared" si="157"/>
        <v>2009-11 (ноябрь 2009)</v>
      </c>
      <c r="E8204" s="9" t="s">
        <v>45</v>
      </c>
      <c r="F8204" s="7">
        <v>11</v>
      </c>
      <c r="G8204" s="7">
        <v>194.17400000000001</v>
      </c>
      <c r="H8204" s="7">
        <v>0.03</v>
      </c>
      <c r="I8204" s="9" t="s">
        <v>22</v>
      </c>
      <c r="J8204" s="10">
        <v>-20.911000000000001</v>
      </c>
      <c r="K8204" s="11">
        <v>20.99</v>
      </c>
      <c r="L8204" s="11">
        <v>0.99</v>
      </c>
      <c r="M8204" s="9" t="s">
        <v>2124</v>
      </c>
      <c r="N8204" s="6" t="s">
        <v>2073</v>
      </c>
      <c r="O8204" s="6" t="s">
        <v>704</v>
      </c>
      <c r="P8204" s="9" t="s">
        <v>33</v>
      </c>
      <c r="Q8204" s="9" t="s">
        <v>42</v>
      </c>
      <c r="R8204" s="9" t="s">
        <v>43</v>
      </c>
      <c r="S8204" s="7" t="s">
        <v>837</v>
      </c>
      <c r="T8204" s="9" t="s">
        <v>68</v>
      </c>
      <c r="U8204" s="7">
        <v>0.56999999999999995</v>
      </c>
      <c r="V8204" s="12">
        <f>C8204+2</f>
        <v>40143</v>
      </c>
      <c r="W8204">
        <f>IF(D8204=' Pivot Tables'!$A$4,1,0)</f>
        <v>0</v>
      </c>
      <c r="X8204">
        <f>IF(AND(LEFT(D8204,4)+1=LEFT(' Pivot Tables'!$A$4,4)+0,RIGHT(LEFT(D8204,7),2)=RIGHT(LEFT(' Pivot Tables'!$A$4,7),2)),1,0)</f>
        <v>0</v>
      </c>
      <c r="Y8204" s="6">
        <f>1/COUNTIF(Таблица1[Order ID],Таблица1[[#This Row],[Order ID]])</f>
        <v>1</v>
      </c>
      <c r="Z8204" s="9">
        <f>1/COUNTIFS(Таблица1[Customer Name],Таблица1[[#This Row],[Customer Name]],Таблица1[Order-Year-Month],Таблица1[[#This Row],[Order-Year-Month]])</f>
        <v>1</v>
      </c>
    </row>
    <row r="8205" spans="1:26" x14ac:dyDescent="0.2">
      <c r="A8205" s="6">
        <v>1653</v>
      </c>
      <c r="B8205" s="7">
        <v>11910</v>
      </c>
      <c r="C8205" s="8">
        <f>DATE(2012,12,31)-565</f>
        <v>40709</v>
      </c>
      <c r="D8205" s="8" t="str">
        <f t="shared" si="157"/>
        <v>2011-06 (июнь 2011)</v>
      </c>
      <c r="E8205" s="9" t="s">
        <v>30</v>
      </c>
      <c r="F8205" s="7">
        <v>21</v>
      </c>
      <c r="G8205" s="7">
        <v>49.23</v>
      </c>
      <c r="H8205" s="7">
        <v>0.01</v>
      </c>
      <c r="I8205" s="9" t="s">
        <v>22</v>
      </c>
      <c r="J8205" s="10">
        <v>-77.705499999999986</v>
      </c>
      <c r="K8205" s="11">
        <v>1.98</v>
      </c>
      <c r="L8205" s="11">
        <v>4.7699999999999996</v>
      </c>
      <c r="M8205" s="9" t="s">
        <v>2126</v>
      </c>
      <c r="N8205" s="6" t="s">
        <v>2073</v>
      </c>
      <c r="O8205" s="6" t="s">
        <v>704</v>
      </c>
      <c r="P8205" s="9" t="s">
        <v>60</v>
      </c>
      <c r="Q8205" s="9" t="s">
        <v>26</v>
      </c>
      <c r="R8205" s="9" t="s">
        <v>37</v>
      </c>
      <c r="S8205" s="7" t="s">
        <v>1667</v>
      </c>
      <c r="T8205" s="9" t="s">
        <v>39</v>
      </c>
      <c r="U8205" s="7">
        <v>0.4</v>
      </c>
      <c r="V8205" s="12">
        <f>C8205+2</f>
        <v>40711</v>
      </c>
      <c r="W8205">
        <f>IF(D8205=' Pivot Tables'!$A$4,1,0)</f>
        <v>0</v>
      </c>
      <c r="X8205">
        <f>IF(AND(LEFT(D8205,4)+1=LEFT(' Pivot Tables'!$A$4,4)+0,RIGHT(LEFT(D8205,7),2)=RIGHT(LEFT(' Pivot Tables'!$A$4,7),2)),1,0)</f>
        <v>0</v>
      </c>
      <c r="Y8205" s="6">
        <f>1/COUNTIF(Таблица1[Order ID],Таблица1[[#This Row],[Order ID]])</f>
        <v>1</v>
      </c>
      <c r="Z8205" s="9">
        <f>1/COUNTIFS(Таблица1[Customer Name],Таблица1[[#This Row],[Customer Name]],Таблица1[Order-Year-Month],Таблица1[[#This Row],[Order-Year-Month]])</f>
        <v>1</v>
      </c>
    </row>
    <row r="8206" spans="1:26" x14ac:dyDescent="0.2">
      <c r="A8206" s="6">
        <v>1657</v>
      </c>
      <c r="B8206" s="7">
        <v>11943</v>
      </c>
      <c r="C8206" s="8">
        <f>DATE(2012,12,31)-999</f>
        <v>40275</v>
      </c>
      <c r="D8206" s="8" t="str">
        <f t="shared" si="157"/>
        <v>2010-04 (апрель 2010)</v>
      </c>
      <c r="E8206" s="9" t="s">
        <v>21</v>
      </c>
      <c r="F8206" s="7">
        <v>49</v>
      </c>
      <c r="G8206" s="7">
        <v>657.94</v>
      </c>
      <c r="H8206" s="7">
        <v>0.09</v>
      </c>
      <c r="I8206" s="9" t="s">
        <v>22</v>
      </c>
      <c r="J8206" s="10">
        <v>7.3525</v>
      </c>
      <c r="K8206" s="11">
        <v>14.45</v>
      </c>
      <c r="L8206" s="11">
        <v>7.17</v>
      </c>
      <c r="M8206" s="9" t="s">
        <v>2124</v>
      </c>
      <c r="N8206" s="6" t="s">
        <v>2073</v>
      </c>
      <c r="O8206" s="6" t="s">
        <v>704</v>
      </c>
      <c r="P8206" s="9" t="s">
        <v>33</v>
      </c>
      <c r="Q8206" s="9" t="s">
        <v>26</v>
      </c>
      <c r="R8206" s="9" t="s">
        <v>37</v>
      </c>
      <c r="S8206" s="7" t="s">
        <v>1125</v>
      </c>
      <c r="T8206" s="9" t="s">
        <v>39</v>
      </c>
      <c r="U8206" s="7">
        <v>0.38</v>
      </c>
      <c r="V8206" s="12">
        <f>C8206+7</f>
        <v>40282</v>
      </c>
      <c r="W8206">
        <f>IF(D8206=' Pivot Tables'!$A$4,1,0)</f>
        <v>0</v>
      </c>
      <c r="X8206">
        <f>IF(AND(LEFT(D8206,4)+1=LEFT(' Pivot Tables'!$A$4,4)+0,RIGHT(LEFT(D8206,7),2)=RIGHT(LEFT(' Pivot Tables'!$A$4,7),2)),1,0)</f>
        <v>0</v>
      </c>
      <c r="Y8206" s="6">
        <f>1/COUNTIF(Таблица1[Order ID],Таблица1[[#This Row],[Order ID]])</f>
        <v>0.5</v>
      </c>
      <c r="Z8206" s="9">
        <f>1/COUNTIFS(Таблица1[Customer Name],Таблица1[[#This Row],[Customer Name]],Таблица1[Order-Year-Month],Таблица1[[#This Row],[Order-Year-Month]])</f>
        <v>0.5</v>
      </c>
    </row>
    <row r="8207" spans="1:26" x14ac:dyDescent="0.2">
      <c r="A8207" s="6">
        <v>1658</v>
      </c>
      <c r="B8207" s="7">
        <v>11943</v>
      </c>
      <c r="C8207" s="8">
        <f>DATE(2012,12,31)-999</f>
        <v>40275</v>
      </c>
      <c r="D8207" s="8" t="str">
        <f t="shared" si="157"/>
        <v>2010-04 (апрель 2010)</v>
      </c>
      <c r="E8207" s="9" t="s">
        <v>21</v>
      </c>
      <c r="F8207" s="7">
        <v>19</v>
      </c>
      <c r="G8207" s="7">
        <v>1270.73</v>
      </c>
      <c r="H8207" s="7">
        <v>0.08</v>
      </c>
      <c r="I8207" s="9" t="s">
        <v>31</v>
      </c>
      <c r="J8207" s="10">
        <v>-425.72</v>
      </c>
      <c r="K8207" s="11">
        <v>70.98</v>
      </c>
      <c r="L8207" s="11">
        <v>30</v>
      </c>
      <c r="M8207" s="9" t="s">
        <v>2124</v>
      </c>
      <c r="N8207" s="6" t="s">
        <v>2073</v>
      </c>
      <c r="O8207" s="6" t="s">
        <v>704</v>
      </c>
      <c r="P8207" s="9" t="s">
        <v>33</v>
      </c>
      <c r="Q8207" s="9" t="s">
        <v>49</v>
      </c>
      <c r="R8207" s="9" t="s">
        <v>112</v>
      </c>
      <c r="S8207" s="7" t="s">
        <v>850</v>
      </c>
      <c r="T8207" s="9" t="s">
        <v>36</v>
      </c>
      <c r="U8207" s="7">
        <v>0.73</v>
      </c>
      <c r="V8207" s="12">
        <f>C8207+2</f>
        <v>40277</v>
      </c>
      <c r="W8207">
        <f>IF(D8207=' Pivot Tables'!$A$4,1,0)</f>
        <v>0</v>
      </c>
      <c r="X8207">
        <f>IF(AND(LEFT(D8207,4)+1=LEFT(' Pivot Tables'!$A$4,4)+0,RIGHT(LEFT(D8207,7),2)=RIGHT(LEFT(' Pivot Tables'!$A$4,7),2)),1,0)</f>
        <v>0</v>
      </c>
      <c r="Y8207" s="6">
        <f>1/COUNTIF(Таблица1[Order ID],Таблица1[[#This Row],[Order ID]])</f>
        <v>0.5</v>
      </c>
      <c r="Z8207" s="9">
        <f>1/COUNTIFS(Таблица1[Customer Name],Таблица1[[#This Row],[Customer Name]],Таблица1[Order-Year-Month],Таблица1[[#This Row],[Order-Year-Month]])</f>
        <v>0.5</v>
      </c>
    </row>
    <row r="8208" spans="1:26" x14ac:dyDescent="0.2">
      <c r="A8208" s="6">
        <v>1722</v>
      </c>
      <c r="B8208" s="7">
        <v>12356</v>
      </c>
      <c r="C8208" s="8">
        <f>DATE(2012,12,31)-74</f>
        <v>41200</v>
      </c>
      <c r="D8208" s="8" t="str">
        <f t="shared" si="157"/>
        <v>2012-10 (октябрь 2012)</v>
      </c>
      <c r="E8208" s="9" t="s">
        <v>78</v>
      </c>
      <c r="F8208" s="7">
        <v>39</v>
      </c>
      <c r="G8208" s="7">
        <v>243.05</v>
      </c>
      <c r="H8208" s="7">
        <v>0.02</v>
      </c>
      <c r="I8208" s="9" t="s">
        <v>22</v>
      </c>
      <c r="J8208" s="10">
        <v>-70.849999999999994</v>
      </c>
      <c r="K8208" s="11">
        <v>5.98</v>
      </c>
      <c r="L8208" s="11">
        <v>5.35</v>
      </c>
      <c r="M8208" s="9" t="s">
        <v>2121</v>
      </c>
      <c r="N8208" s="6" t="s">
        <v>2073</v>
      </c>
      <c r="O8208" s="6" t="s">
        <v>704</v>
      </c>
      <c r="P8208" s="9" t="s">
        <v>33</v>
      </c>
      <c r="Q8208" s="9" t="s">
        <v>26</v>
      </c>
      <c r="R8208" s="9" t="s">
        <v>61</v>
      </c>
      <c r="S8208" s="7" t="s">
        <v>882</v>
      </c>
      <c r="T8208" s="9" t="s">
        <v>39</v>
      </c>
      <c r="U8208" s="7">
        <v>0.4</v>
      </c>
      <c r="V8208" s="12">
        <f>C8208+3</f>
        <v>41203</v>
      </c>
      <c r="W8208">
        <f>IF(D8208=' Pivot Tables'!$A$4,1,0)</f>
        <v>0</v>
      </c>
      <c r="X8208">
        <f>IF(AND(LEFT(D8208,4)+1=LEFT(' Pivot Tables'!$A$4,4)+0,RIGHT(LEFT(D8208,7),2)=RIGHT(LEFT(' Pivot Tables'!$A$4,7),2)),1,0)</f>
        <v>0</v>
      </c>
      <c r="Y8208" s="6">
        <f>1/COUNTIF(Таблица1[Order ID],Таблица1[[#This Row],[Order ID]])</f>
        <v>1</v>
      </c>
      <c r="Z8208" s="9">
        <f>1/COUNTIFS(Таблица1[Customer Name],Таблица1[[#This Row],[Customer Name]],Таблица1[Order-Year-Month],Таблица1[[#This Row],[Order-Year-Month]])</f>
        <v>1</v>
      </c>
    </row>
    <row r="8209" spans="1:26" x14ac:dyDescent="0.2">
      <c r="A8209" s="6">
        <v>1756</v>
      </c>
      <c r="B8209" s="7">
        <v>12581</v>
      </c>
      <c r="C8209" s="8">
        <f>DATE(2012,12,31)-1168</f>
        <v>40106</v>
      </c>
      <c r="D8209" s="8" t="str">
        <f t="shared" si="157"/>
        <v>2009-10 (октябрь 2009)</v>
      </c>
      <c r="E8209" s="9" t="s">
        <v>30</v>
      </c>
      <c r="F8209" s="7">
        <v>31</v>
      </c>
      <c r="G8209" s="7">
        <v>1768.9689999999998</v>
      </c>
      <c r="H8209" s="7">
        <v>0</v>
      </c>
      <c r="I8209" s="9" t="s">
        <v>56</v>
      </c>
      <c r="J8209" s="10">
        <v>341.1</v>
      </c>
      <c r="K8209" s="11">
        <v>65.989999999999995</v>
      </c>
      <c r="L8209" s="11">
        <v>5.99</v>
      </c>
      <c r="M8209" s="9" t="s">
        <v>1792</v>
      </c>
      <c r="N8209" s="6" t="s">
        <v>2073</v>
      </c>
      <c r="O8209" s="6" t="s">
        <v>704</v>
      </c>
      <c r="P8209" s="9" t="s">
        <v>25</v>
      </c>
      <c r="Q8209" s="9" t="s">
        <v>42</v>
      </c>
      <c r="R8209" s="9" t="s">
        <v>43</v>
      </c>
      <c r="S8209" s="7" t="s">
        <v>560</v>
      </c>
      <c r="T8209" s="9" t="s">
        <v>39</v>
      </c>
      <c r="U8209" s="7">
        <v>0.57999999999999996</v>
      </c>
      <c r="V8209" s="12">
        <f>C8209+2</f>
        <v>40108</v>
      </c>
      <c r="W8209">
        <f>IF(D8209=' Pivot Tables'!$A$4,1,0)</f>
        <v>0</v>
      </c>
      <c r="X8209">
        <f>IF(AND(LEFT(D8209,4)+1=LEFT(' Pivot Tables'!$A$4,4)+0,RIGHT(LEFT(D8209,7),2)=RIGHT(LEFT(' Pivot Tables'!$A$4,7),2)),1,0)</f>
        <v>0</v>
      </c>
      <c r="Y8209" s="6">
        <f>1/COUNTIF(Таблица1[Order ID],Таблица1[[#This Row],[Order ID]])</f>
        <v>1</v>
      </c>
      <c r="Z8209" s="9">
        <f>1/COUNTIFS(Таблица1[Customer Name],Таблица1[[#This Row],[Customer Name]],Таблица1[Order-Year-Month],Таблица1[[#This Row],[Order-Year-Month]])</f>
        <v>1</v>
      </c>
    </row>
    <row r="8210" spans="1:26" x14ac:dyDescent="0.2">
      <c r="A8210" s="6">
        <v>1818</v>
      </c>
      <c r="B8210" s="7">
        <v>13031</v>
      </c>
      <c r="C8210" s="8">
        <f>DATE(2012,12,31)-27</f>
        <v>41247</v>
      </c>
      <c r="D8210" s="8" t="str">
        <f t="shared" si="157"/>
        <v>2012-12 (декабрь 2012)</v>
      </c>
      <c r="E8210" s="9" t="s">
        <v>21</v>
      </c>
      <c r="F8210" s="7">
        <v>34</v>
      </c>
      <c r="G8210" s="7">
        <v>210.06</v>
      </c>
      <c r="H8210" s="7">
        <v>0.08</v>
      </c>
      <c r="I8210" s="9" t="s">
        <v>22</v>
      </c>
      <c r="J8210" s="10">
        <v>-135</v>
      </c>
      <c r="K8210" s="11">
        <v>6.48</v>
      </c>
      <c r="L8210" s="11">
        <v>7.37</v>
      </c>
      <c r="M8210" s="9" t="s">
        <v>1699</v>
      </c>
      <c r="N8210" s="6" t="s">
        <v>2073</v>
      </c>
      <c r="O8210" s="6" t="s">
        <v>704</v>
      </c>
      <c r="P8210" s="9" t="s">
        <v>33</v>
      </c>
      <c r="Q8210" s="9" t="s">
        <v>26</v>
      </c>
      <c r="R8210" s="9" t="s">
        <v>61</v>
      </c>
      <c r="S8210" s="7" t="s">
        <v>859</v>
      </c>
      <c r="T8210" s="9" t="s">
        <v>39</v>
      </c>
      <c r="U8210" s="7">
        <v>0.37</v>
      </c>
      <c r="V8210" s="12">
        <f>C8210+5</f>
        <v>41252</v>
      </c>
      <c r="W8210">
        <f>IF(D8210=' Pivot Tables'!$A$4,1,0)</f>
        <v>0</v>
      </c>
      <c r="X8210">
        <f>IF(AND(LEFT(D8210,4)+1=LEFT(' Pivot Tables'!$A$4,4)+0,RIGHT(LEFT(D8210,7),2)=RIGHT(LEFT(' Pivot Tables'!$A$4,7),2)),1,0)</f>
        <v>0</v>
      </c>
      <c r="Y8210" s="6">
        <f>1/COUNTIF(Таблица1[Order ID],Таблица1[[#This Row],[Order ID]])</f>
        <v>1</v>
      </c>
      <c r="Z8210" s="9">
        <f>1/COUNTIFS(Таблица1[Customer Name],Таблица1[[#This Row],[Customer Name]],Таблица1[Order-Year-Month],Таблица1[[#This Row],[Order-Year-Month]])</f>
        <v>1</v>
      </c>
    </row>
    <row r="8211" spans="1:26" x14ac:dyDescent="0.2">
      <c r="A8211" s="6">
        <v>1831</v>
      </c>
      <c r="B8211" s="7">
        <v>13126</v>
      </c>
      <c r="C8211" s="8">
        <f>DATE(2012,12,31)-439</f>
        <v>40835</v>
      </c>
      <c r="D8211" s="8" t="str">
        <f t="shared" si="157"/>
        <v>2011-10 (октябрь 2011)</v>
      </c>
      <c r="E8211" s="9" t="s">
        <v>45</v>
      </c>
      <c r="F8211" s="7">
        <v>43</v>
      </c>
      <c r="G8211" s="7">
        <v>24233.54</v>
      </c>
      <c r="H8211" s="7">
        <v>7.0000000000000007E-2</v>
      </c>
      <c r="I8211" s="9" t="s">
        <v>22</v>
      </c>
      <c r="J8211" s="10">
        <v>6492.6669999999995</v>
      </c>
      <c r="K8211" s="11">
        <v>599.99</v>
      </c>
      <c r="L8211" s="11">
        <v>24.49</v>
      </c>
      <c r="M8211" s="9" t="s">
        <v>2122</v>
      </c>
      <c r="N8211" s="6" t="s">
        <v>2073</v>
      </c>
      <c r="O8211" s="6" t="s">
        <v>704</v>
      </c>
      <c r="P8211" s="9" t="s">
        <v>33</v>
      </c>
      <c r="Q8211" s="9" t="s">
        <v>42</v>
      </c>
      <c r="R8211" s="9" t="s">
        <v>99</v>
      </c>
      <c r="S8211" s="7" t="s">
        <v>1349</v>
      </c>
      <c r="T8211" s="9" t="s">
        <v>29</v>
      </c>
      <c r="U8211" s="7">
        <v>0.5</v>
      </c>
      <c r="V8211" s="12">
        <f>C8211+1</f>
        <v>40836</v>
      </c>
      <c r="W8211">
        <f>IF(D8211=' Pivot Tables'!$A$4,1,0)</f>
        <v>0</v>
      </c>
      <c r="X8211">
        <f>IF(AND(LEFT(D8211,4)+1=LEFT(' Pivot Tables'!$A$4,4)+0,RIGHT(LEFT(D8211,7),2)=RIGHT(LEFT(' Pivot Tables'!$A$4,7),2)),1,0)</f>
        <v>0</v>
      </c>
      <c r="Y8211" s="6">
        <f>1/COUNTIF(Таблица1[Order ID],Таблица1[[#This Row],[Order ID]])</f>
        <v>0.33333333333333331</v>
      </c>
      <c r="Z8211" s="9">
        <f>1/COUNTIFS(Таблица1[Customer Name],Таблица1[[#This Row],[Customer Name]],Таблица1[Order-Year-Month],Таблица1[[#This Row],[Order-Year-Month]])</f>
        <v>0.33333333333333331</v>
      </c>
    </row>
    <row r="8212" spans="1:26" x14ac:dyDescent="0.2">
      <c r="A8212" s="6">
        <v>1832</v>
      </c>
      <c r="B8212" s="7">
        <v>13126</v>
      </c>
      <c r="C8212" s="8">
        <f>DATE(2012,12,31)-439</f>
        <v>40835</v>
      </c>
      <c r="D8212" s="8" t="str">
        <f t="shared" si="157"/>
        <v>2011-10 (октябрь 2011)</v>
      </c>
      <c r="E8212" s="9" t="s">
        <v>45</v>
      </c>
      <c r="F8212" s="7">
        <v>45</v>
      </c>
      <c r="G8212" s="7">
        <v>6325.65</v>
      </c>
      <c r="H8212" s="7">
        <v>0.02</v>
      </c>
      <c r="I8212" s="9" t="s">
        <v>31</v>
      </c>
      <c r="J8212" s="10">
        <v>114.46</v>
      </c>
      <c r="K8212" s="11">
        <v>135.99</v>
      </c>
      <c r="L8212" s="11">
        <v>28.63</v>
      </c>
      <c r="M8212" s="9" t="s">
        <v>2122</v>
      </c>
      <c r="N8212" s="6" t="s">
        <v>2073</v>
      </c>
      <c r="O8212" s="6" t="s">
        <v>704</v>
      </c>
      <c r="P8212" s="9" t="s">
        <v>33</v>
      </c>
      <c r="Q8212" s="9" t="s">
        <v>49</v>
      </c>
      <c r="R8212" s="9" t="s">
        <v>112</v>
      </c>
      <c r="S8212" s="7" t="s">
        <v>458</v>
      </c>
      <c r="T8212" s="9" t="s">
        <v>36</v>
      </c>
      <c r="U8212" s="7">
        <v>0.76</v>
      </c>
      <c r="V8212" s="12">
        <f>C8212+2</f>
        <v>40837</v>
      </c>
      <c r="W8212">
        <f>IF(D8212=' Pivot Tables'!$A$4,1,0)</f>
        <v>0</v>
      </c>
      <c r="X8212">
        <f>IF(AND(LEFT(D8212,4)+1=LEFT(' Pivot Tables'!$A$4,4)+0,RIGHT(LEFT(D8212,7),2)=RIGHT(LEFT(' Pivot Tables'!$A$4,7),2)),1,0)</f>
        <v>0</v>
      </c>
      <c r="Y8212" s="6">
        <f>1/COUNTIF(Таблица1[Order ID],Таблица1[[#This Row],[Order ID]])</f>
        <v>0.33333333333333331</v>
      </c>
      <c r="Z8212" s="9">
        <f>1/COUNTIFS(Таблица1[Customer Name],Таблица1[[#This Row],[Customer Name]],Таблица1[Order-Year-Month],Таблица1[[#This Row],[Order-Year-Month]])</f>
        <v>0.33333333333333331</v>
      </c>
    </row>
    <row r="8213" spans="1:26" x14ac:dyDescent="0.2">
      <c r="A8213" s="6">
        <v>1833</v>
      </c>
      <c r="B8213" s="7">
        <v>13126</v>
      </c>
      <c r="C8213" s="8">
        <f>DATE(2012,12,31)-439</f>
        <v>40835</v>
      </c>
      <c r="D8213" s="8" t="str">
        <f t="shared" si="157"/>
        <v>2011-10 (октябрь 2011)</v>
      </c>
      <c r="E8213" s="9" t="s">
        <v>45</v>
      </c>
      <c r="F8213" s="7">
        <v>2</v>
      </c>
      <c r="G8213" s="7">
        <v>380.62</v>
      </c>
      <c r="H8213" s="7">
        <v>0.02</v>
      </c>
      <c r="I8213" s="9" t="s">
        <v>31</v>
      </c>
      <c r="J8213" s="10">
        <v>-301.73</v>
      </c>
      <c r="K8213" s="11">
        <v>179.29</v>
      </c>
      <c r="L8213" s="11">
        <v>29.21</v>
      </c>
      <c r="M8213" s="9" t="s">
        <v>2122</v>
      </c>
      <c r="N8213" s="6" t="s">
        <v>2073</v>
      </c>
      <c r="O8213" s="6" t="s">
        <v>704</v>
      </c>
      <c r="P8213" s="9" t="s">
        <v>33</v>
      </c>
      <c r="Q8213" s="9" t="s">
        <v>49</v>
      </c>
      <c r="R8213" s="9" t="s">
        <v>83</v>
      </c>
      <c r="S8213" s="7" t="s">
        <v>207</v>
      </c>
      <c r="T8213" s="9" t="s">
        <v>82</v>
      </c>
      <c r="U8213" s="7">
        <v>0.74</v>
      </c>
      <c r="V8213" s="12">
        <f>C8213+2</f>
        <v>40837</v>
      </c>
      <c r="W8213">
        <f>IF(D8213=' Pivot Tables'!$A$4,1,0)</f>
        <v>0</v>
      </c>
      <c r="X8213">
        <f>IF(AND(LEFT(D8213,4)+1=LEFT(' Pivot Tables'!$A$4,4)+0,RIGHT(LEFT(D8213,7),2)=RIGHT(LEFT(' Pivot Tables'!$A$4,7),2)),1,0)</f>
        <v>0</v>
      </c>
      <c r="Y8213" s="6">
        <f>1/COUNTIF(Таблица1[Order ID],Таблица1[[#This Row],[Order ID]])</f>
        <v>0.33333333333333331</v>
      </c>
      <c r="Z8213" s="9">
        <f>1/COUNTIFS(Таблица1[Customer Name],Таблица1[[#This Row],[Customer Name]],Таблица1[Order-Year-Month],Таблица1[[#This Row],[Order-Year-Month]])</f>
        <v>0.33333333333333331</v>
      </c>
    </row>
    <row r="8214" spans="1:26" x14ac:dyDescent="0.2">
      <c r="A8214" s="6">
        <v>1844</v>
      </c>
      <c r="B8214" s="7">
        <v>13282</v>
      </c>
      <c r="C8214" s="8">
        <f>DATE(2012,12,31)-236</f>
        <v>41038</v>
      </c>
      <c r="D8214" s="8" t="str">
        <f t="shared" si="157"/>
        <v>2012-05 (май 2012)</v>
      </c>
      <c r="E8214" s="9" t="s">
        <v>21</v>
      </c>
      <c r="F8214" s="7">
        <v>22</v>
      </c>
      <c r="G8214" s="7">
        <v>763.85</v>
      </c>
      <c r="H8214" s="7">
        <v>0.09</v>
      </c>
      <c r="I8214" s="9" t="s">
        <v>22</v>
      </c>
      <c r="J8214" s="10">
        <v>-126.6</v>
      </c>
      <c r="K8214" s="11">
        <v>34.979999999999997</v>
      </c>
      <c r="L8214" s="11">
        <v>7.53</v>
      </c>
      <c r="M8214" s="9" t="s">
        <v>2119</v>
      </c>
      <c r="N8214" s="6" t="s">
        <v>2073</v>
      </c>
      <c r="O8214" s="6" t="s">
        <v>704</v>
      </c>
      <c r="P8214" s="9" t="s">
        <v>41</v>
      </c>
      <c r="Q8214" s="9" t="s">
        <v>42</v>
      </c>
      <c r="R8214" s="9" t="s">
        <v>70</v>
      </c>
      <c r="S8214" s="7" t="s">
        <v>1153</v>
      </c>
      <c r="T8214" s="9" t="s">
        <v>39</v>
      </c>
      <c r="U8214" s="7">
        <v>0.76</v>
      </c>
      <c r="V8214" s="12">
        <f>C8214+5</f>
        <v>41043</v>
      </c>
      <c r="W8214">
        <f>IF(D8214=' Pivot Tables'!$A$4,1,0)</f>
        <v>0</v>
      </c>
      <c r="X8214">
        <f>IF(AND(LEFT(D8214,4)+1=LEFT(' Pivot Tables'!$A$4,4)+0,RIGHT(LEFT(D8214,7),2)=RIGHT(LEFT(' Pivot Tables'!$A$4,7),2)),1,0)</f>
        <v>0</v>
      </c>
      <c r="Y8214" s="6">
        <f>1/COUNTIF(Таблица1[Order ID],Таблица1[[#This Row],[Order ID]])</f>
        <v>0.5</v>
      </c>
      <c r="Z8214" s="9">
        <f>1/COUNTIFS(Таблица1[Customer Name],Таблица1[[#This Row],[Customer Name]],Таблица1[Order-Year-Month],Таблица1[[#This Row],[Order-Year-Month]])</f>
        <v>0.5</v>
      </c>
    </row>
    <row r="8215" spans="1:26" x14ac:dyDescent="0.2">
      <c r="A8215" s="6">
        <v>1845</v>
      </c>
      <c r="B8215" s="7">
        <v>13282</v>
      </c>
      <c r="C8215" s="8">
        <f>DATE(2012,12,31)-236</f>
        <v>41038</v>
      </c>
      <c r="D8215" s="8" t="str">
        <f t="shared" si="157"/>
        <v>2012-05 (май 2012)</v>
      </c>
      <c r="E8215" s="9" t="s">
        <v>21</v>
      </c>
      <c r="F8215" s="7">
        <v>2</v>
      </c>
      <c r="G8215" s="7">
        <v>12.59</v>
      </c>
      <c r="H8215" s="7">
        <v>0.02</v>
      </c>
      <c r="I8215" s="9" t="s">
        <v>22</v>
      </c>
      <c r="J8215" s="10">
        <v>-5.92</v>
      </c>
      <c r="K8215" s="11">
        <v>6.3</v>
      </c>
      <c r="L8215" s="11">
        <v>0.5</v>
      </c>
      <c r="M8215" s="9" t="s">
        <v>2119</v>
      </c>
      <c r="N8215" s="6" t="s">
        <v>2073</v>
      </c>
      <c r="O8215" s="6" t="s">
        <v>704</v>
      </c>
      <c r="P8215" s="9" t="s">
        <v>41</v>
      </c>
      <c r="Q8215" s="9" t="s">
        <v>26</v>
      </c>
      <c r="R8215" s="9" t="s">
        <v>88</v>
      </c>
      <c r="S8215" s="7" t="s">
        <v>461</v>
      </c>
      <c r="T8215" s="9" t="s">
        <v>39</v>
      </c>
      <c r="U8215" s="7">
        <v>0.39</v>
      </c>
      <c r="V8215" s="12">
        <f>C8215+4</f>
        <v>41042</v>
      </c>
      <c r="W8215">
        <f>IF(D8215=' Pivot Tables'!$A$4,1,0)</f>
        <v>0</v>
      </c>
      <c r="X8215">
        <f>IF(AND(LEFT(D8215,4)+1=LEFT(' Pivot Tables'!$A$4,4)+0,RIGHT(LEFT(D8215,7),2)=RIGHT(LEFT(' Pivot Tables'!$A$4,7),2)),1,0)</f>
        <v>0</v>
      </c>
      <c r="Y8215" s="6">
        <f>1/COUNTIF(Таблица1[Order ID],Таблица1[[#This Row],[Order ID]])</f>
        <v>0.5</v>
      </c>
      <c r="Z8215" s="9">
        <f>1/COUNTIFS(Таблица1[Customer Name],Таблица1[[#This Row],[Customer Name]],Таблица1[Order-Year-Month],Таблица1[[#This Row],[Order-Year-Month]])</f>
        <v>0.5</v>
      </c>
    </row>
    <row r="8216" spans="1:26" x14ac:dyDescent="0.2">
      <c r="A8216" s="6">
        <v>1933</v>
      </c>
      <c r="B8216" s="7">
        <v>13825</v>
      </c>
      <c r="C8216" s="8">
        <f>DATE(2012,12,31)-1381</f>
        <v>39893</v>
      </c>
      <c r="D8216" s="8" t="str">
        <f t="shared" si="157"/>
        <v>2009-03 (март 2009)</v>
      </c>
      <c r="E8216" s="9" t="s">
        <v>30</v>
      </c>
      <c r="F8216" s="7">
        <v>30</v>
      </c>
      <c r="G8216" s="7">
        <v>186.79</v>
      </c>
      <c r="H8216" s="7">
        <v>0.09</v>
      </c>
      <c r="I8216" s="9" t="s">
        <v>22</v>
      </c>
      <c r="J8216" s="10">
        <v>-88.6</v>
      </c>
      <c r="K8216" s="11">
        <v>6.48</v>
      </c>
      <c r="L8216" s="11">
        <v>6.35</v>
      </c>
      <c r="M8216" s="9" t="s">
        <v>2126</v>
      </c>
      <c r="N8216" s="6" t="s">
        <v>2073</v>
      </c>
      <c r="O8216" s="6" t="s">
        <v>704</v>
      </c>
      <c r="P8216" s="9" t="s">
        <v>60</v>
      </c>
      <c r="Q8216" s="9" t="s">
        <v>26</v>
      </c>
      <c r="R8216" s="9" t="s">
        <v>61</v>
      </c>
      <c r="S8216" s="7" t="s">
        <v>1629</v>
      </c>
      <c r="T8216" s="9" t="s">
        <v>39</v>
      </c>
      <c r="U8216" s="7">
        <v>0.37</v>
      </c>
      <c r="V8216" s="12">
        <f>C8216+1</f>
        <v>39894</v>
      </c>
      <c r="W8216">
        <f>IF(D8216=' Pivot Tables'!$A$4,1,0)</f>
        <v>0</v>
      </c>
      <c r="X8216">
        <f>IF(AND(LEFT(D8216,4)+1=LEFT(' Pivot Tables'!$A$4,4)+0,RIGHT(LEFT(D8216,7),2)=RIGHT(LEFT(' Pivot Tables'!$A$4,7),2)),1,0)</f>
        <v>0</v>
      </c>
      <c r="Y8216" s="6">
        <f>1/COUNTIF(Таблица1[Order ID],Таблица1[[#This Row],[Order ID]])</f>
        <v>1</v>
      </c>
      <c r="Z8216" s="9">
        <f>1/COUNTIFS(Таблица1[Customer Name],Таблица1[[#This Row],[Customer Name]],Таблица1[Order-Year-Month],Таблица1[[#This Row],[Order-Year-Month]])</f>
        <v>1</v>
      </c>
    </row>
    <row r="8217" spans="1:26" x14ac:dyDescent="0.2">
      <c r="A8217" s="6">
        <v>1992</v>
      </c>
      <c r="B8217" s="7">
        <v>14212</v>
      </c>
      <c r="C8217" s="8">
        <f>DATE(2012,12,31)-319</f>
        <v>40955</v>
      </c>
      <c r="D8217" s="8" t="str">
        <f t="shared" si="157"/>
        <v>2012-02 (февраль 2012)</v>
      </c>
      <c r="E8217" s="9" t="s">
        <v>78</v>
      </c>
      <c r="F8217" s="7">
        <v>4</v>
      </c>
      <c r="G8217" s="7">
        <v>31.18</v>
      </c>
      <c r="H8217" s="7">
        <v>0</v>
      </c>
      <c r="I8217" s="9" t="s">
        <v>22</v>
      </c>
      <c r="J8217" s="10">
        <v>-17.16</v>
      </c>
      <c r="K8217" s="11">
        <v>6.24</v>
      </c>
      <c r="L8217" s="11">
        <v>5.22</v>
      </c>
      <c r="M8217" s="9" t="s">
        <v>2127</v>
      </c>
      <c r="N8217" s="6" t="s">
        <v>2073</v>
      </c>
      <c r="O8217" s="6" t="s">
        <v>704</v>
      </c>
      <c r="P8217" s="9" t="s">
        <v>25</v>
      </c>
      <c r="Q8217" s="9" t="s">
        <v>49</v>
      </c>
      <c r="R8217" s="9" t="s">
        <v>50</v>
      </c>
      <c r="S8217" s="7" t="s">
        <v>1140</v>
      </c>
      <c r="T8217" s="9" t="s">
        <v>39</v>
      </c>
      <c r="U8217" s="7">
        <v>0.6</v>
      </c>
      <c r="V8217" s="12">
        <f>C8217+1</f>
        <v>40956</v>
      </c>
      <c r="W8217">
        <f>IF(D8217=' Pivot Tables'!$A$4,1,0)</f>
        <v>0</v>
      </c>
      <c r="X8217">
        <f>IF(AND(LEFT(D8217,4)+1=LEFT(' Pivot Tables'!$A$4,4)+0,RIGHT(LEFT(D8217,7),2)=RIGHT(LEFT(' Pivot Tables'!$A$4,7),2)),1,0)</f>
        <v>0</v>
      </c>
      <c r="Y8217" s="6">
        <f>1/COUNTIF(Таблица1[Order ID],Таблица1[[#This Row],[Order ID]])</f>
        <v>0.5</v>
      </c>
      <c r="Z8217" s="9">
        <f>1/COUNTIFS(Таблица1[Customer Name],Таблица1[[#This Row],[Customer Name]],Таблица1[Order-Year-Month],Таблица1[[#This Row],[Order-Year-Month]])</f>
        <v>0.5</v>
      </c>
    </row>
    <row r="8218" spans="1:26" x14ac:dyDescent="0.2">
      <c r="A8218" s="6">
        <v>1993</v>
      </c>
      <c r="B8218" s="7">
        <v>14212</v>
      </c>
      <c r="C8218" s="8">
        <f>DATE(2012,12,31)-319</f>
        <v>40955</v>
      </c>
      <c r="D8218" s="8" t="str">
        <f t="shared" si="157"/>
        <v>2012-02 (февраль 2012)</v>
      </c>
      <c r="E8218" s="9" t="s">
        <v>78</v>
      </c>
      <c r="F8218" s="7">
        <v>8</v>
      </c>
      <c r="G8218" s="7">
        <v>21.99</v>
      </c>
      <c r="H8218" s="7">
        <v>0.02</v>
      </c>
      <c r="I8218" s="9" t="s">
        <v>22</v>
      </c>
      <c r="J8218" s="10">
        <v>4.63</v>
      </c>
      <c r="K8218" s="11">
        <v>2.61</v>
      </c>
      <c r="L8218" s="11">
        <v>0.5</v>
      </c>
      <c r="M8218" s="9" t="s">
        <v>2127</v>
      </c>
      <c r="N8218" s="6" t="s">
        <v>2073</v>
      </c>
      <c r="O8218" s="6" t="s">
        <v>704</v>
      </c>
      <c r="P8218" s="9" t="s">
        <v>25</v>
      </c>
      <c r="Q8218" s="9" t="s">
        <v>26</v>
      </c>
      <c r="R8218" s="9" t="s">
        <v>88</v>
      </c>
      <c r="S8218" s="7" t="s">
        <v>528</v>
      </c>
      <c r="T8218" s="9" t="s">
        <v>39</v>
      </c>
      <c r="U8218" s="7">
        <v>0.39</v>
      </c>
      <c r="V8218" s="12">
        <f>C8218+2</f>
        <v>40957</v>
      </c>
      <c r="W8218">
        <f>IF(D8218=' Pivot Tables'!$A$4,1,0)</f>
        <v>0</v>
      </c>
      <c r="X8218">
        <f>IF(AND(LEFT(D8218,4)+1=LEFT(' Pivot Tables'!$A$4,4)+0,RIGHT(LEFT(D8218,7),2)=RIGHT(LEFT(' Pivot Tables'!$A$4,7),2)),1,0)</f>
        <v>0</v>
      </c>
      <c r="Y8218" s="6">
        <f>1/COUNTIF(Таблица1[Order ID],Таблица1[[#This Row],[Order ID]])</f>
        <v>0.5</v>
      </c>
      <c r="Z8218" s="9">
        <f>1/COUNTIFS(Таблица1[Customer Name],Таблица1[[#This Row],[Customer Name]],Таблица1[Order-Year-Month],Таблица1[[#This Row],[Order-Year-Month]])</f>
        <v>0.5</v>
      </c>
    </row>
    <row r="8219" spans="1:26" x14ac:dyDescent="0.2">
      <c r="A8219" s="6">
        <v>2067</v>
      </c>
      <c r="B8219" s="7">
        <v>14789</v>
      </c>
      <c r="C8219" s="8">
        <f>DATE(2012,12,31)-763</f>
        <v>40511</v>
      </c>
      <c r="D8219" s="8" t="str">
        <f t="shared" si="157"/>
        <v>2010-11 (ноябрь 2010)</v>
      </c>
      <c r="E8219" s="9" t="s">
        <v>45</v>
      </c>
      <c r="F8219" s="7">
        <v>37</v>
      </c>
      <c r="G8219" s="7">
        <v>438.07</v>
      </c>
      <c r="H8219" s="7">
        <v>0</v>
      </c>
      <c r="I8219" s="9" t="s">
        <v>56</v>
      </c>
      <c r="J8219" s="10">
        <v>12.06</v>
      </c>
      <c r="K8219" s="11">
        <v>10.89</v>
      </c>
      <c r="L8219" s="11">
        <v>4.5</v>
      </c>
      <c r="M8219" s="9" t="s">
        <v>1699</v>
      </c>
      <c r="N8219" s="6" t="s">
        <v>2073</v>
      </c>
      <c r="O8219" s="6" t="s">
        <v>704</v>
      </c>
      <c r="P8219" s="9" t="s">
        <v>33</v>
      </c>
      <c r="Q8219" s="9" t="s">
        <v>26</v>
      </c>
      <c r="R8219" s="9" t="s">
        <v>34</v>
      </c>
      <c r="S8219" s="7" t="s">
        <v>345</v>
      </c>
      <c r="T8219" s="9" t="s">
        <v>39</v>
      </c>
      <c r="U8219" s="7">
        <v>0.59</v>
      </c>
      <c r="V8219" s="12">
        <f>C8219+2</f>
        <v>40513</v>
      </c>
      <c r="W8219">
        <f>IF(D8219=' Pivot Tables'!$A$4,1,0)</f>
        <v>0</v>
      </c>
      <c r="X8219">
        <f>IF(AND(LEFT(D8219,4)+1=LEFT(' Pivot Tables'!$A$4,4)+0,RIGHT(LEFT(D8219,7),2)=RIGHT(LEFT(' Pivot Tables'!$A$4,7),2)),1,0)</f>
        <v>0</v>
      </c>
      <c r="Y8219" s="6">
        <f>1/COUNTIF(Таблица1[Order ID],Таблица1[[#This Row],[Order ID]])</f>
        <v>0.5</v>
      </c>
      <c r="Z8219" s="9">
        <f>1/COUNTIFS(Таблица1[Customer Name],Таблица1[[#This Row],[Customer Name]],Таблица1[Order-Year-Month],Таблица1[[#This Row],[Order-Year-Month]])</f>
        <v>0.33333333333333331</v>
      </c>
    </row>
    <row r="8220" spans="1:26" x14ac:dyDescent="0.2">
      <c r="A8220" s="6">
        <v>2068</v>
      </c>
      <c r="B8220" s="7">
        <v>14789</v>
      </c>
      <c r="C8220" s="8">
        <f>DATE(2012,12,31)-763</f>
        <v>40511</v>
      </c>
      <c r="D8220" s="8" t="str">
        <f t="shared" si="157"/>
        <v>2010-11 (ноябрь 2010)</v>
      </c>
      <c r="E8220" s="9" t="s">
        <v>45</v>
      </c>
      <c r="F8220" s="7">
        <v>19</v>
      </c>
      <c r="G8220" s="7">
        <v>116.37</v>
      </c>
      <c r="H8220" s="7">
        <v>0.03</v>
      </c>
      <c r="I8220" s="9" t="s">
        <v>22</v>
      </c>
      <c r="J8220" s="10">
        <v>-32.6</v>
      </c>
      <c r="K8220" s="11">
        <v>5.58</v>
      </c>
      <c r="L8220" s="11">
        <v>5.3</v>
      </c>
      <c r="M8220" s="9" t="s">
        <v>1699</v>
      </c>
      <c r="N8220" s="6" t="s">
        <v>2073</v>
      </c>
      <c r="O8220" s="6" t="s">
        <v>704</v>
      </c>
      <c r="P8220" s="9" t="s">
        <v>33</v>
      </c>
      <c r="Q8220" s="9" t="s">
        <v>26</v>
      </c>
      <c r="R8220" s="9" t="s">
        <v>76</v>
      </c>
      <c r="S8220" s="7" t="s">
        <v>881</v>
      </c>
      <c r="T8220" s="9" t="s">
        <v>39</v>
      </c>
      <c r="U8220" s="7">
        <v>0.35</v>
      </c>
      <c r="V8220" s="12">
        <f>C8220+1</f>
        <v>40512</v>
      </c>
      <c r="W8220">
        <f>IF(D8220=' Pivot Tables'!$A$4,1,0)</f>
        <v>0</v>
      </c>
      <c r="X8220">
        <f>IF(AND(LEFT(D8220,4)+1=LEFT(' Pivot Tables'!$A$4,4)+0,RIGHT(LEFT(D8220,7),2)=RIGHT(LEFT(' Pivot Tables'!$A$4,7),2)),1,0)</f>
        <v>0</v>
      </c>
      <c r="Y8220" s="6">
        <f>1/COUNTIF(Таблица1[Order ID],Таблица1[[#This Row],[Order ID]])</f>
        <v>0.5</v>
      </c>
      <c r="Z8220" s="9">
        <f>1/COUNTIFS(Таблица1[Customer Name],Таблица1[[#This Row],[Customer Name]],Таблица1[Order-Year-Month],Таблица1[[#This Row],[Order-Year-Month]])</f>
        <v>0.33333333333333331</v>
      </c>
    </row>
    <row r="8221" spans="1:26" x14ac:dyDescent="0.2">
      <c r="A8221" s="6">
        <v>2192</v>
      </c>
      <c r="B8221" s="7">
        <v>15782</v>
      </c>
      <c r="C8221" s="8">
        <f>DATE(2012,12,31)-276</f>
        <v>40998</v>
      </c>
      <c r="D8221" s="8" t="str">
        <f t="shared" si="157"/>
        <v>2012-03 (март 2012)</v>
      </c>
      <c r="E8221" s="9" t="s">
        <v>30</v>
      </c>
      <c r="F8221" s="7">
        <v>35</v>
      </c>
      <c r="G8221" s="7">
        <v>2339.64</v>
      </c>
      <c r="H8221" s="7">
        <v>0.1</v>
      </c>
      <c r="I8221" s="9" t="s">
        <v>22</v>
      </c>
      <c r="J8221" s="10">
        <v>-1916.71</v>
      </c>
      <c r="K8221" s="11">
        <v>71.37</v>
      </c>
      <c r="L8221" s="11">
        <v>69</v>
      </c>
      <c r="M8221" s="9" t="s">
        <v>830</v>
      </c>
      <c r="N8221" s="6" t="s">
        <v>2073</v>
      </c>
      <c r="O8221" s="6" t="s">
        <v>704</v>
      </c>
      <c r="P8221" s="9" t="s">
        <v>25</v>
      </c>
      <c r="Q8221" s="9" t="s">
        <v>49</v>
      </c>
      <c r="R8221" s="9" t="s">
        <v>83</v>
      </c>
      <c r="S8221" s="7" t="s">
        <v>84</v>
      </c>
      <c r="T8221" s="9" t="s">
        <v>29</v>
      </c>
      <c r="U8221" s="7">
        <v>0.68</v>
      </c>
      <c r="V8221" s="12">
        <f>C8221+2</f>
        <v>41000</v>
      </c>
      <c r="W8221">
        <f>IF(D8221=' Pivot Tables'!$A$4,1,0)</f>
        <v>0</v>
      </c>
      <c r="X8221">
        <f>IF(AND(LEFT(D8221,4)+1=LEFT(' Pivot Tables'!$A$4,4)+0,RIGHT(LEFT(D8221,7),2)=RIGHT(LEFT(' Pivot Tables'!$A$4,7),2)),1,0)</f>
        <v>0</v>
      </c>
      <c r="Y8221" s="6">
        <f>1/COUNTIF(Таблица1[Order ID],Таблица1[[#This Row],[Order ID]])</f>
        <v>1</v>
      </c>
      <c r="Z8221" s="9">
        <f>1/COUNTIFS(Таблица1[Customer Name],Таблица1[[#This Row],[Customer Name]],Таблица1[Order-Year-Month],Таблица1[[#This Row],[Order-Year-Month]])</f>
        <v>1</v>
      </c>
    </row>
    <row r="8222" spans="1:26" x14ac:dyDescent="0.2">
      <c r="A8222" s="6">
        <v>2232</v>
      </c>
      <c r="B8222" s="7">
        <v>16132</v>
      </c>
      <c r="C8222" s="8">
        <f>DATE(2012,12,31)-65</f>
        <v>41209</v>
      </c>
      <c r="D8222" s="8" t="str">
        <f t="shared" si="157"/>
        <v>2012-10 (октябрь 2012)</v>
      </c>
      <c r="E8222" s="9" t="s">
        <v>63</v>
      </c>
      <c r="F8222" s="7">
        <v>26</v>
      </c>
      <c r="G8222" s="7">
        <v>519.96</v>
      </c>
      <c r="H8222" s="7">
        <v>7.0000000000000007E-2</v>
      </c>
      <c r="I8222" s="9" t="s">
        <v>22</v>
      </c>
      <c r="J8222" s="10">
        <v>169.43899999999999</v>
      </c>
      <c r="K8222" s="11">
        <v>21.38</v>
      </c>
      <c r="L8222" s="11">
        <v>2.99</v>
      </c>
      <c r="M8222" s="9" t="s">
        <v>2120</v>
      </c>
      <c r="N8222" s="6" t="s">
        <v>2073</v>
      </c>
      <c r="O8222" s="6" t="s">
        <v>704</v>
      </c>
      <c r="P8222" s="9" t="s">
        <v>25</v>
      </c>
      <c r="Q8222" s="9" t="s">
        <v>26</v>
      </c>
      <c r="R8222" s="9" t="s">
        <v>37</v>
      </c>
      <c r="S8222" s="7" t="s">
        <v>1303</v>
      </c>
      <c r="T8222" s="9" t="s">
        <v>39</v>
      </c>
      <c r="U8222" s="7">
        <v>0.36</v>
      </c>
      <c r="V8222" s="12">
        <f>C8222+1</f>
        <v>41210</v>
      </c>
      <c r="W8222">
        <f>IF(D8222=' Pivot Tables'!$A$4,1,0)</f>
        <v>0</v>
      </c>
      <c r="X8222">
        <f>IF(AND(LEFT(D8222,4)+1=LEFT(' Pivot Tables'!$A$4,4)+0,RIGHT(LEFT(D8222,7),2)=RIGHT(LEFT(' Pivot Tables'!$A$4,7),2)),1,0)</f>
        <v>0</v>
      </c>
      <c r="Y8222" s="6">
        <f>1/COUNTIF(Таблица1[Order ID],Таблица1[[#This Row],[Order ID]])</f>
        <v>1</v>
      </c>
      <c r="Z8222" s="9">
        <f>1/COUNTIFS(Таблица1[Customer Name],Таблица1[[#This Row],[Customer Name]],Таблица1[Order-Year-Month],Таблица1[[#This Row],[Order-Year-Month]])</f>
        <v>1</v>
      </c>
    </row>
    <row r="8223" spans="1:26" x14ac:dyDescent="0.2">
      <c r="A8223" s="6">
        <v>2377</v>
      </c>
      <c r="B8223" s="7">
        <v>17251</v>
      </c>
      <c r="C8223" s="8">
        <f>DATE(2012,12,31)-1161</f>
        <v>40113</v>
      </c>
      <c r="D8223" s="8" t="str">
        <f t="shared" si="157"/>
        <v>2009-10 (октябрь 2009)</v>
      </c>
      <c r="E8223" s="9" t="s">
        <v>45</v>
      </c>
      <c r="F8223" s="7">
        <v>26</v>
      </c>
      <c r="G8223" s="7">
        <v>2951.4380000000001</v>
      </c>
      <c r="H8223" s="7">
        <v>0</v>
      </c>
      <c r="I8223" s="9" t="s">
        <v>22</v>
      </c>
      <c r="J8223" s="10">
        <v>667.27800000000002</v>
      </c>
      <c r="K8223" s="11">
        <v>125.99</v>
      </c>
      <c r="L8223" s="11">
        <v>8.99</v>
      </c>
      <c r="M8223" s="9" t="s">
        <v>2120</v>
      </c>
      <c r="N8223" s="6" t="s">
        <v>2073</v>
      </c>
      <c r="O8223" s="6" t="s">
        <v>704</v>
      </c>
      <c r="P8223" s="9" t="s">
        <v>25</v>
      </c>
      <c r="Q8223" s="9" t="s">
        <v>42</v>
      </c>
      <c r="R8223" s="9" t="s">
        <v>43</v>
      </c>
      <c r="S8223" s="7" t="s">
        <v>1977</v>
      </c>
      <c r="T8223" s="9" t="s">
        <v>39</v>
      </c>
      <c r="U8223" s="7">
        <v>0.56999999999999995</v>
      </c>
      <c r="V8223" s="12">
        <f>C8223+2</f>
        <v>40115</v>
      </c>
      <c r="W8223">
        <f>IF(D8223=' Pivot Tables'!$A$4,1,0)</f>
        <v>0</v>
      </c>
      <c r="X8223">
        <f>IF(AND(LEFT(D8223,4)+1=LEFT(' Pivot Tables'!$A$4,4)+0,RIGHT(LEFT(D8223,7),2)=RIGHT(LEFT(' Pivot Tables'!$A$4,7),2)),1,0)</f>
        <v>0</v>
      </c>
      <c r="Y8223" s="6">
        <f>1/COUNTIF(Таблица1[Order ID],Таблица1[[#This Row],[Order ID]])</f>
        <v>1</v>
      </c>
      <c r="Z8223" s="9">
        <f>1/COUNTIFS(Таблица1[Customer Name],Таблица1[[#This Row],[Customer Name]],Таблица1[Order-Year-Month],Таблица1[[#This Row],[Order-Year-Month]])</f>
        <v>1</v>
      </c>
    </row>
    <row r="8224" spans="1:26" x14ac:dyDescent="0.2">
      <c r="A8224" s="6">
        <v>2380</v>
      </c>
      <c r="B8224" s="7">
        <v>17253</v>
      </c>
      <c r="C8224" s="8">
        <f>DATE(2012,12,31)-502</f>
        <v>40772</v>
      </c>
      <c r="D8224" s="8" t="str">
        <f t="shared" si="157"/>
        <v>2011-08 (август 2011)</v>
      </c>
      <c r="E8224" s="9" t="s">
        <v>78</v>
      </c>
      <c r="F8224" s="7">
        <v>13</v>
      </c>
      <c r="G8224" s="7">
        <v>50.19</v>
      </c>
      <c r="H8224" s="7">
        <v>0.08</v>
      </c>
      <c r="I8224" s="9" t="s">
        <v>22</v>
      </c>
      <c r="J8224" s="10">
        <v>-64.388500000000008</v>
      </c>
      <c r="K8224" s="11">
        <v>3.52</v>
      </c>
      <c r="L8224" s="11">
        <v>6.83</v>
      </c>
      <c r="M8224" s="9" t="s">
        <v>2119</v>
      </c>
      <c r="N8224" s="6" t="s">
        <v>2073</v>
      </c>
      <c r="O8224" s="6" t="s">
        <v>704</v>
      </c>
      <c r="P8224" s="9" t="s">
        <v>41</v>
      </c>
      <c r="Q8224" s="9" t="s">
        <v>26</v>
      </c>
      <c r="R8224" s="9" t="s">
        <v>37</v>
      </c>
      <c r="S8224" s="7" t="s">
        <v>636</v>
      </c>
      <c r="T8224" s="9" t="s">
        <v>39</v>
      </c>
      <c r="U8224" s="7">
        <v>0.38</v>
      </c>
      <c r="V8224" s="12">
        <f>C8224+2</f>
        <v>40774</v>
      </c>
      <c r="W8224">
        <f>IF(D8224=' Pivot Tables'!$A$4,1,0)</f>
        <v>0</v>
      </c>
      <c r="X8224">
        <f>IF(AND(LEFT(D8224,4)+1=LEFT(' Pivot Tables'!$A$4,4)+0,RIGHT(LEFT(D8224,7),2)=RIGHT(LEFT(' Pivot Tables'!$A$4,7),2)),1,0)</f>
        <v>0</v>
      </c>
      <c r="Y8224" s="6">
        <f>1/COUNTIF(Таблица1[Order ID],Таблица1[[#This Row],[Order ID]])</f>
        <v>1</v>
      </c>
      <c r="Z8224" s="9">
        <f>1/COUNTIFS(Таблица1[Customer Name],Таблица1[[#This Row],[Customer Name]],Таблица1[Order-Year-Month],Таблица1[[#This Row],[Order-Year-Month]])</f>
        <v>1</v>
      </c>
    </row>
    <row r="8225" spans="1:26" x14ac:dyDescent="0.2">
      <c r="A8225" s="6">
        <v>2385</v>
      </c>
      <c r="B8225" s="7">
        <v>17287</v>
      </c>
      <c r="C8225" s="8">
        <f>DATE(2012,12,31)-636</f>
        <v>40638</v>
      </c>
      <c r="D8225" s="8" t="str">
        <f t="shared" si="157"/>
        <v>2011-04 (апрель 2011)</v>
      </c>
      <c r="E8225" s="9" t="s">
        <v>30</v>
      </c>
      <c r="F8225" s="7">
        <v>38</v>
      </c>
      <c r="G8225" s="7">
        <v>5793.46</v>
      </c>
      <c r="H8225" s="7">
        <v>0.01</v>
      </c>
      <c r="I8225" s="9" t="s">
        <v>22</v>
      </c>
      <c r="J8225" s="10">
        <v>2477.77</v>
      </c>
      <c r="K8225" s="11">
        <v>150.97999999999999</v>
      </c>
      <c r="L8225" s="11">
        <v>13.99</v>
      </c>
      <c r="M8225" s="9" t="s">
        <v>2128</v>
      </c>
      <c r="N8225" s="6" t="s">
        <v>2073</v>
      </c>
      <c r="O8225" s="6" t="s">
        <v>704</v>
      </c>
      <c r="P8225" s="9" t="s">
        <v>60</v>
      </c>
      <c r="Q8225" s="9" t="s">
        <v>42</v>
      </c>
      <c r="R8225" s="9" t="s">
        <v>210</v>
      </c>
      <c r="S8225" s="7" t="s">
        <v>341</v>
      </c>
      <c r="T8225" s="9" t="s">
        <v>48</v>
      </c>
      <c r="U8225" s="7">
        <v>0.38</v>
      </c>
      <c r="V8225" s="12">
        <f>C8225+1</f>
        <v>40639</v>
      </c>
      <c r="W8225">
        <f>IF(D8225=' Pivot Tables'!$A$4,1,0)</f>
        <v>0</v>
      </c>
      <c r="X8225">
        <f>IF(AND(LEFT(D8225,4)+1=LEFT(' Pivot Tables'!$A$4,4)+0,RIGHT(LEFT(D8225,7),2)=RIGHT(LEFT(' Pivot Tables'!$A$4,7),2)),1,0)</f>
        <v>0</v>
      </c>
      <c r="Y8225" s="6">
        <f>1/COUNTIF(Таблица1[Order ID],Таблица1[[#This Row],[Order ID]])</f>
        <v>0.33333333333333331</v>
      </c>
      <c r="Z8225" s="9">
        <f>1/COUNTIFS(Таблица1[Customer Name],Таблица1[[#This Row],[Customer Name]],Таблица1[Order-Year-Month],Таблица1[[#This Row],[Order-Year-Month]])</f>
        <v>0.33333333333333331</v>
      </c>
    </row>
    <row r="8226" spans="1:26" x14ac:dyDescent="0.2">
      <c r="A8226" s="6">
        <v>2386</v>
      </c>
      <c r="B8226" s="7">
        <v>17287</v>
      </c>
      <c r="C8226" s="8">
        <f>DATE(2012,12,31)-636</f>
        <v>40638</v>
      </c>
      <c r="D8226" s="8" t="str">
        <f t="shared" si="157"/>
        <v>2011-04 (апрель 2011)</v>
      </c>
      <c r="E8226" s="9" t="s">
        <v>30</v>
      </c>
      <c r="F8226" s="7">
        <v>11</v>
      </c>
      <c r="G8226" s="7">
        <v>4558.21</v>
      </c>
      <c r="H8226" s="7">
        <v>0.06</v>
      </c>
      <c r="I8226" s="9" t="s">
        <v>22</v>
      </c>
      <c r="J8226" s="10">
        <v>993.81</v>
      </c>
      <c r="K8226" s="11">
        <v>415.88</v>
      </c>
      <c r="L8226" s="11">
        <v>11.37</v>
      </c>
      <c r="M8226" s="9" t="s">
        <v>2128</v>
      </c>
      <c r="N8226" s="6" t="s">
        <v>2073</v>
      </c>
      <c r="O8226" s="6" t="s">
        <v>704</v>
      </c>
      <c r="P8226" s="9" t="s">
        <v>60</v>
      </c>
      <c r="Q8226" s="9" t="s">
        <v>26</v>
      </c>
      <c r="R8226" s="9" t="s">
        <v>27</v>
      </c>
      <c r="S8226" s="7" t="s">
        <v>358</v>
      </c>
      <c r="T8226" s="9" t="s">
        <v>39</v>
      </c>
      <c r="U8226" s="7">
        <v>0.56999999999999995</v>
      </c>
      <c r="V8226" s="12">
        <f>C8226+2</f>
        <v>40640</v>
      </c>
      <c r="W8226">
        <f>IF(D8226=' Pivot Tables'!$A$4,1,0)</f>
        <v>0</v>
      </c>
      <c r="X8226">
        <f>IF(AND(LEFT(D8226,4)+1=LEFT(' Pivot Tables'!$A$4,4)+0,RIGHT(LEFT(D8226,7),2)=RIGHT(LEFT(' Pivot Tables'!$A$4,7),2)),1,0)</f>
        <v>0</v>
      </c>
      <c r="Y8226" s="6">
        <f>1/COUNTIF(Таблица1[Order ID],Таблица1[[#This Row],[Order ID]])</f>
        <v>0.33333333333333331</v>
      </c>
      <c r="Z8226" s="9">
        <f>1/COUNTIFS(Таблица1[Customer Name],Таблица1[[#This Row],[Customer Name]],Таблица1[Order-Year-Month],Таблица1[[#This Row],[Order-Year-Month]])</f>
        <v>0.33333333333333331</v>
      </c>
    </row>
    <row r="8227" spans="1:26" x14ac:dyDescent="0.2">
      <c r="A8227" s="6">
        <v>2387</v>
      </c>
      <c r="B8227" s="7">
        <v>17287</v>
      </c>
      <c r="C8227" s="8">
        <f>DATE(2012,12,31)-636</f>
        <v>40638</v>
      </c>
      <c r="D8227" s="8" t="str">
        <f t="shared" si="157"/>
        <v>2011-04 (апрель 2011)</v>
      </c>
      <c r="E8227" s="9" t="s">
        <v>30</v>
      </c>
      <c r="F8227" s="7">
        <v>26</v>
      </c>
      <c r="G8227" s="7">
        <v>4361.6984999999995</v>
      </c>
      <c r="H8227" s="7">
        <v>0.05</v>
      </c>
      <c r="I8227" s="9" t="s">
        <v>22</v>
      </c>
      <c r="J8227" s="10">
        <v>1069.7850000000001</v>
      </c>
      <c r="K8227" s="11">
        <v>195.99</v>
      </c>
      <c r="L8227" s="11">
        <v>4.2</v>
      </c>
      <c r="M8227" s="9" t="s">
        <v>2128</v>
      </c>
      <c r="N8227" s="6" t="s">
        <v>2073</v>
      </c>
      <c r="O8227" s="6" t="s">
        <v>704</v>
      </c>
      <c r="P8227" s="9" t="s">
        <v>60</v>
      </c>
      <c r="Q8227" s="9" t="s">
        <v>42</v>
      </c>
      <c r="R8227" s="9" t="s">
        <v>43</v>
      </c>
      <c r="S8227" s="7" t="s">
        <v>1017</v>
      </c>
      <c r="T8227" s="9" t="s">
        <v>39</v>
      </c>
      <c r="U8227" s="7">
        <v>0.56000000000000005</v>
      </c>
      <c r="V8227" s="12">
        <f>C8227+2</f>
        <v>40640</v>
      </c>
      <c r="W8227">
        <f>IF(D8227=' Pivot Tables'!$A$4,1,0)</f>
        <v>0</v>
      </c>
      <c r="X8227">
        <f>IF(AND(LEFT(D8227,4)+1=LEFT(' Pivot Tables'!$A$4,4)+0,RIGHT(LEFT(D8227,7),2)=RIGHT(LEFT(' Pivot Tables'!$A$4,7),2)),1,0)</f>
        <v>0</v>
      </c>
      <c r="Y8227" s="6">
        <f>1/COUNTIF(Таблица1[Order ID],Таблица1[[#This Row],[Order ID]])</f>
        <v>0.33333333333333331</v>
      </c>
      <c r="Z8227" s="9">
        <f>1/COUNTIFS(Таблица1[Customer Name],Таблица1[[#This Row],[Customer Name]],Таблица1[Order-Year-Month],Таблица1[[#This Row],[Order-Year-Month]])</f>
        <v>0.33333333333333331</v>
      </c>
    </row>
    <row r="8228" spans="1:26" x14ac:dyDescent="0.2">
      <c r="A8228" s="6">
        <v>2516</v>
      </c>
      <c r="B8228" s="7">
        <v>18279</v>
      </c>
      <c r="C8228" s="8">
        <f>DATE(2012,12,31)-1404</f>
        <v>39870</v>
      </c>
      <c r="D8228" s="8" t="str">
        <f t="shared" si="157"/>
        <v>2009-02 (февраль 2009)</v>
      </c>
      <c r="E8228" s="9" t="s">
        <v>63</v>
      </c>
      <c r="F8228" s="7">
        <v>22</v>
      </c>
      <c r="G8228" s="7">
        <v>184.35</v>
      </c>
      <c r="H8228" s="7">
        <v>7.0000000000000007E-2</v>
      </c>
      <c r="I8228" s="9" t="s">
        <v>22</v>
      </c>
      <c r="J8228" s="10">
        <v>11.95</v>
      </c>
      <c r="K8228" s="11">
        <v>8.33</v>
      </c>
      <c r="L8228" s="11">
        <v>1.99</v>
      </c>
      <c r="M8228" s="9" t="s">
        <v>2124</v>
      </c>
      <c r="N8228" s="6" t="s">
        <v>2073</v>
      </c>
      <c r="O8228" s="6" t="s">
        <v>704</v>
      </c>
      <c r="P8228" s="9" t="s">
        <v>33</v>
      </c>
      <c r="Q8228" s="9" t="s">
        <v>42</v>
      </c>
      <c r="R8228" s="9" t="s">
        <v>70</v>
      </c>
      <c r="S8228" s="7" t="s">
        <v>324</v>
      </c>
      <c r="T8228" s="9" t="s">
        <v>52</v>
      </c>
      <c r="U8228" s="7">
        <v>0.52</v>
      </c>
      <c r="V8228" s="12">
        <f>C8228+2</f>
        <v>39872</v>
      </c>
      <c r="W8228">
        <f>IF(D8228=' Pivot Tables'!$A$4,1,0)</f>
        <v>0</v>
      </c>
      <c r="X8228">
        <f>IF(AND(LEFT(D8228,4)+1=LEFT(' Pivot Tables'!$A$4,4)+0,RIGHT(LEFT(D8228,7),2)=RIGHT(LEFT(' Pivot Tables'!$A$4,7),2)),1,0)</f>
        <v>0</v>
      </c>
      <c r="Y8228" s="6">
        <f>1/COUNTIF(Таблица1[Order ID],Таблица1[[#This Row],[Order ID]])</f>
        <v>0.5</v>
      </c>
      <c r="Z8228" s="9">
        <f>1/COUNTIFS(Таблица1[Customer Name],Таблица1[[#This Row],[Customer Name]],Таблица1[Order-Year-Month],Таблица1[[#This Row],[Order-Year-Month]])</f>
        <v>0.5</v>
      </c>
    </row>
    <row r="8229" spans="1:26" x14ac:dyDescent="0.2">
      <c r="A8229" s="6">
        <v>2517</v>
      </c>
      <c r="B8229" s="7">
        <v>18279</v>
      </c>
      <c r="C8229" s="8">
        <f>DATE(2012,12,31)-1404</f>
        <v>39870</v>
      </c>
      <c r="D8229" s="8" t="str">
        <f t="shared" si="157"/>
        <v>2009-02 (февраль 2009)</v>
      </c>
      <c r="E8229" s="9" t="s">
        <v>63</v>
      </c>
      <c r="F8229" s="7">
        <v>20</v>
      </c>
      <c r="G8229" s="7">
        <v>10281.790000000001</v>
      </c>
      <c r="H8229" s="7">
        <v>0.03</v>
      </c>
      <c r="I8229" s="9" t="s">
        <v>22</v>
      </c>
      <c r="J8229" s="10">
        <v>3272.9</v>
      </c>
      <c r="K8229" s="11">
        <v>499.99</v>
      </c>
      <c r="L8229" s="11">
        <v>24.49</v>
      </c>
      <c r="M8229" s="9" t="s">
        <v>2124</v>
      </c>
      <c r="N8229" s="6" t="s">
        <v>2073</v>
      </c>
      <c r="O8229" s="6" t="s">
        <v>704</v>
      </c>
      <c r="P8229" s="9" t="s">
        <v>33</v>
      </c>
      <c r="Q8229" s="9" t="s">
        <v>42</v>
      </c>
      <c r="R8229" s="9" t="s">
        <v>99</v>
      </c>
      <c r="S8229" s="7" t="s">
        <v>217</v>
      </c>
      <c r="T8229" s="9" t="s">
        <v>29</v>
      </c>
      <c r="U8229" s="7">
        <v>0.36</v>
      </c>
      <c r="V8229" s="12">
        <f>C8229+1</f>
        <v>39871</v>
      </c>
      <c r="W8229">
        <f>IF(D8229=' Pivot Tables'!$A$4,1,0)</f>
        <v>0</v>
      </c>
      <c r="X8229">
        <f>IF(AND(LEFT(D8229,4)+1=LEFT(' Pivot Tables'!$A$4,4)+0,RIGHT(LEFT(D8229,7),2)=RIGHT(LEFT(' Pivot Tables'!$A$4,7),2)),1,0)</f>
        <v>0</v>
      </c>
      <c r="Y8229" s="6">
        <f>1/COUNTIF(Таблица1[Order ID],Таблица1[[#This Row],[Order ID]])</f>
        <v>0.5</v>
      </c>
      <c r="Z8229" s="9">
        <f>1/COUNTIFS(Таблица1[Customer Name],Таблица1[[#This Row],[Customer Name]],Таблица1[Order-Year-Month],Таблица1[[#This Row],[Order-Year-Month]])</f>
        <v>0.5</v>
      </c>
    </row>
    <row r="8230" spans="1:26" x14ac:dyDescent="0.2">
      <c r="A8230" s="6">
        <v>2559</v>
      </c>
      <c r="B8230" s="7">
        <v>18503</v>
      </c>
      <c r="C8230" s="8">
        <f>DATE(2012,12,31)-606</f>
        <v>40668</v>
      </c>
      <c r="D8230" s="8" t="str">
        <f t="shared" si="157"/>
        <v>2011-05 (май 2011)</v>
      </c>
      <c r="E8230" s="9" t="s">
        <v>45</v>
      </c>
      <c r="F8230" s="7">
        <v>46</v>
      </c>
      <c r="G8230" s="7">
        <v>6637.63</v>
      </c>
      <c r="H8230" s="7">
        <v>0.03</v>
      </c>
      <c r="I8230" s="9" t="s">
        <v>31</v>
      </c>
      <c r="J8230" s="10">
        <v>1487.94</v>
      </c>
      <c r="K8230" s="11">
        <v>145.44999999999999</v>
      </c>
      <c r="L8230" s="11">
        <v>17.850000000000001</v>
      </c>
      <c r="M8230" s="9" t="s">
        <v>1699</v>
      </c>
      <c r="N8230" s="6" t="s">
        <v>2073</v>
      </c>
      <c r="O8230" s="6" t="s">
        <v>704</v>
      </c>
      <c r="P8230" s="9" t="s">
        <v>33</v>
      </c>
      <c r="Q8230" s="9" t="s">
        <v>42</v>
      </c>
      <c r="R8230" s="9" t="s">
        <v>210</v>
      </c>
      <c r="S8230" s="7" t="s">
        <v>234</v>
      </c>
      <c r="T8230" s="9" t="s">
        <v>36</v>
      </c>
      <c r="U8230" s="7">
        <v>0.56000000000000005</v>
      </c>
      <c r="V8230" s="12">
        <f>C8230+2</f>
        <v>40670</v>
      </c>
      <c r="W8230">
        <f>IF(D8230=' Pivot Tables'!$A$4,1,0)</f>
        <v>0</v>
      </c>
      <c r="X8230">
        <f>IF(AND(LEFT(D8230,4)+1=LEFT(' Pivot Tables'!$A$4,4)+0,RIGHT(LEFT(D8230,7),2)=RIGHT(LEFT(' Pivot Tables'!$A$4,7),2)),1,0)</f>
        <v>0</v>
      </c>
      <c r="Y8230" s="6">
        <f>1/COUNTIF(Таблица1[Order ID],Таблица1[[#This Row],[Order ID]])</f>
        <v>0.5</v>
      </c>
      <c r="Z8230" s="9">
        <f>1/COUNTIFS(Таблица1[Customer Name],Таблица1[[#This Row],[Customer Name]],Таблица1[Order-Year-Month],Таблица1[[#This Row],[Order-Year-Month]])</f>
        <v>0.5</v>
      </c>
    </row>
    <row r="8231" spans="1:26" x14ac:dyDescent="0.2">
      <c r="A8231" s="6">
        <v>2560</v>
      </c>
      <c r="B8231" s="7">
        <v>18503</v>
      </c>
      <c r="C8231" s="8">
        <f>DATE(2012,12,31)-606</f>
        <v>40668</v>
      </c>
      <c r="D8231" s="8" t="str">
        <f t="shared" si="157"/>
        <v>2011-05 (май 2011)</v>
      </c>
      <c r="E8231" s="9" t="s">
        <v>45</v>
      </c>
      <c r="F8231" s="7">
        <v>13</v>
      </c>
      <c r="G8231" s="7">
        <v>928.90549999999996</v>
      </c>
      <c r="H8231" s="7">
        <v>0.06</v>
      </c>
      <c r="I8231" s="9" t="s">
        <v>22</v>
      </c>
      <c r="J8231" s="10">
        <v>-23.925000000000001</v>
      </c>
      <c r="K8231" s="11">
        <v>85.99</v>
      </c>
      <c r="L8231" s="11">
        <v>2.79</v>
      </c>
      <c r="M8231" s="9" t="s">
        <v>1699</v>
      </c>
      <c r="N8231" s="6" t="s">
        <v>2073</v>
      </c>
      <c r="O8231" s="6" t="s">
        <v>704</v>
      </c>
      <c r="P8231" s="9" t="s">
        <v>33</v>
      </c>
      <c r="Q8231" s="9" t="s">
        <v>42</v>
      </c>
      <c r="R8231" s="9" t="s">
        <v>43</v>
      </c>
      <c r="S8231" s="7" t="s">
        <v>903</v>
      </c>
      <c r="T8231" s="9" t="s">
        <v>39</v>
      </c>
      <c r="U8231" s="7">
        <v>0.57999999999999996</v>
      </c>
      <c r="V8231" s="12">
        <f>C8231+2</f>
        <v>40670</v>
      </c>
      <c r="W8231">
        <f>IF(D8231=' Pivot Tables'!$A$4,1,0)</f>
        <v>0</v>
      </c>
      <c r="X8231">
        <f>IF(AND(LEFT(D8231,4)+1=LEFT(' Pivot Tables'!$A$4,4)+0,RIGHT(LEFT(D8231,7),2)=RIGHT(LEFT(' Pivot Tables'!$A$4,7),2)),1,0)</f>
        <v>0</v>
      </c>
      <c r="Y8231" s="6">
        <f>1/COUNTIF(Таблица1[Order ID],Таблица1[[#This Row],[Order ID]])</f>
        <v>0.5</v>
      </c>
      <c r="Z8231" s="9">
        <f>1/COUNTIFS(Таблица1[Customer Name],Таблица1[[#This Row],[Customer Name]],Таблица1[Order-Year-Month],Таблица1[[#This Row],[Order-Year-Month]])</f>
        <v>0.5</v>
      </c>
    </row>
    <row r="8232" spans="1:26" x14ac:dyDescent="0.2">
      <c r="A8232" s="6">
        <v>2589</v>
      </c>
      <c r="B8232" s="7">
        <v>18689</v>
      </c>
      <c r="C8232" s="8">
        <f>DATE(2012,12,31)-1103</f>
        <v>40171</v>
      </c>
      <c r="D8232" s="8" t="str">
        <f t="shared" si="157"/>
        <v>2009-12 (декабрь 2009)</v>
      </c>
      <c r="E8232" s="9" t="s">
        <v>45</v>
      </c>
      <c r="F8232" s="7">
        <v>38</v>
      </c>
      <c r="G8232" s="7">
        <v>281.17</v>
      </c>
      <c r="H8232" s="7">
        <v>0.01</v>
      </c>
      <c r="I8232" s="9" t="s">
        <v>22</v>
      </c>
      <c r="J8232" s="10">
        <v>-78.372500000000002</v>
      </c>
      <c r="K8232" s="11">
        <v>7.1</v>
      </c>
      <c r="L8232" s="11">
        <v>6.05</v>
      </c>
      <c r="M8232" s="9" t="s">
        <v>1792</v>
      </c>
      <c r="N8232" s="6" t="s">
        <v>2073</v>
      </c>
      <c r="O8232" s="6" t="s">
        <v>704</v>
      </c>
      <c r="P8232" s="9" t="s">
        <v>25</v>
      </c>
      <c r="Q8232" s="9" t="s">
        <v>26</v>
      </c>
      <c r="R8232" s="9" t="s">
        <v>37</v>
      </c>
      <c r="S8232" s="7" t="s">
        <v>435</v>
      </c>
      <c r="T8232" s="9" t="s">
        <v>39</v>
      </c>
      <c r="U8232" s="7">
        <v>0.39</v>
      </c>
      <c r="V8232" s="12">
        <f>C8232+1</f>
        <v>40172</v>
      </c>
      <c r="W8232">
        <f>IF(D8232=' Pivot Tables'!$A$4,1,0)</f>
        <v>0</v>
      </c>
      <c r="X8232">
        <f>IF(AND(LEFT(D8232,4)+1=LEFT(' Pivot Tables'!$A$4,4)+0,RIGHT(LEFT(D8232,7),2)=RIGHT(LEFT(' Pivot Tables'!$A$4,7),2)),1,0)</f>
        <v>0</v>
      </c>
      <c r="Y8232" s="6">
        <f>1/COUNTIF(Таблица1[Order ID],Таблица1[[#This Row],[Order ID]])</f>
        <v>0.5</v>
      </c>
      <c r="Z8232" s="9">
        <f>1/COUNTIFS(Таблица1[Customer Name],Таблица1[[#This Row],[Customer Name]],Таблица1[Order-Year-Month],Таблица1[[#This Row],[Order-Year-Month]])</f>
        <v>0.5</v>
      </c>
    </row>
    <row r="8233" spans="1:26" x14ac:dyDescent="0.2">
      <c r="A8233" s="6">
        <v>2590</v>
      </c>
      <c r="B8233" s="7">
        <v>18689</v>
      </c>
      <c r="C8233" s="8">
        <f>DATE(2012,12,31)-1103</f>
        <v>40171</v>
      </c>
      <c r="D8233" s="8" t="str">
        <f t="shared" si="157"/>
        <v>2009-12 (декабрь 2009)</v>
      </c>
      <c r="E8233" s="9" t="s">
        <v>45</v>
      </c>
      <c r="F8233" s="7">
        <v>10</v>
      </c>
      <c r="G8233" s="7">
        <v>194.65</v>
      </c>
      <c r="H8233" s="7">
        <v>0.05</v>
      </c>
      <c r="I8233" s="9" t="s">
        <v>22</v>
      </c>
      <c r="J8233" s="10">
        <v>-3.78</v>
      </c>
      <c r="K8233" s="11">
        <v>18.97</v>
      </c>
      <c r="L8233" s="11">
        <v>9.0299999999999994</v>
      </c>
      <c r="M8233" s="9" t="s">
        <v>1792</v>
      </c>
      <c r="N8233" s="6" t="s">
        <v>2073</v>
      </c>
      <c r="O8233" s="6" t="s">
        <v>704</v>
      </c>
      <c r="P8233" s="9" t="s">
        <v>25</v>
      </c>
      <c r="Q8233" s="9" t="s">
        <v>26</v>
      </c>
      <c r="R8233" s="9" t="s">
        <v>61</v>
      </c>
      <c r="S8233" s="7" t="s">
        <v>123</v>
      </c>
      <c r="T8233" s="9" t="s">
        <v>39</v>
      </c>
      <c r="U8233" s="7">
        <v>0.37</v>
      </c>
      <c r="V8233" s="12">
        <f>C8233+1</f>
        <v>40172</v>
      </c>
      <c r="W8233">
        <f>IF(D8233=' Pivot Tables'!$A$4,1,0)</f>
        <v>0</v>
      </c>
      <c r="X8233">
        <f>IF(AND(LEFT(D8233,4)+1=LEFT(' Pivot Tables'!$A$4,4)+0,RIGHT(LEFT(D8233,7),2)=RIGHT(LEFT(' Pivot Tables'!$A$4,7),2)),1,0)</f>
        <v>0</v>
      </c>
      <c r="Y8233" s="6">
        <f>1/COUNTIF(Таблица1[Order ID],Таблица1[[#This Row],[Order ID]])</f>
        <v>0.5</v>
      </c>
      <c r="Z8233" s="9">
        <f>1/COUNTIFS(Таблица1[Customer Name],Таблица1[[#This Row],[Customer Name]],Таблица1[Order-Year-Month],Таблица1[[#This Row],[Order-Year-Month]])</f>
        <v>0.5</v>
      </c>
    </row>
    <row r="8234" spans="1:26" x14ac:dyDescent="0.2">
      <c r="A8234" s="6">
        <v>2599</v>
      </c>
      <c r="B8234" s="7">
        <v>18758</v>
      </c>
      <c r="C8234" s="8">
        <f>DATE(2012,12,31)-986</f>
        <v>40288</v>
      </c>
      <c r="D8234" s="8" t="str">
        <f t="shared" si="157"/>
        <v>2010-04 (апрель 2010)</v>
      </c>
      <c r="E8234" s="9" t="s">
        <v>45</v>
      </c>
      <c r="F8234" s="7">
        <v>20</v>
      </c>
      <c r="G8234" s="7">
        <v>2022.18</v>
      </c>
      <c r="H8234" s="7">
        <v>0.09</v>
      </c>
      <c r="I8234" s="9" t="s">
        <v>56</v>
      </c>
      <c r="J8234" s="10">
        <v>594.44000000000005</v>
      </c>
      <c r="K8234" s="11">
        <v>102.3</v>
      </c>
      <c r="L8234" s="11">
        <v>21.26</v>
      </c>
      <c r="M8234" s="9" t="s">
        <v>1956</v>
      </c>
      <c r="N8234" s="6" t="s">
        <v>2073</v>
      </c>
      <c r="O8234" s="6" t="s">
        <v>704</v>
      </c>
      <c r="P8234" s="9" t="s">
        <v>41</v>
      </c>
      <c r="Q8234" s="9" t="s">
        <v>49</v>
      </c>
      <c r="R8234" s="9" t="s">
        <v>50</v>
      </c>
      <c r="S8234" s="7" t="s">
        <v>175</v>
      </c>
      <c r="T8234" s="9" t="s">
        <v>29</v>
      </c>
      <c r="U8234" s="7">
        <v>0.59</v>
      </c>
      <c r="V8234" s="12">
        <f>C8234+2</f>
        <v>40290</v>
      </c>
      <c r="W8234">
        <f>IF(D8234=' Pivot Tables'!$A$4,1,0)</f>
        <v>0</v>
      </c>
      <c r="X8234">
        <f>IF(AND(LEFT(D8234,4)+1=LEFT(' Pivot Tables'!$A$4,4)+0,RIGHT(LEFT(D8234,7),2)=RIGHT(LEFT(' Pivot Tables'!$A$4,7),2)),1,0)</f>
        <v>0</v>
      </c>
      <c r="Y8234" s="6">
        <f>1/COUNTIF(Таблица1[Order ID],Таблица1[[#This Row],[Order ID]])</f>
        <v>1</v>
      </c>
      <c r="Z8234" s="9">
        <f>1/COUNTIFS(Таблица1[Customer Name],Таблица1[[#This Row],[Customer Name]],Таблица1[Order-Year-Month],Таблица1[[#This Row],[Order-Year-Month]])</f>
        <v>1</v>
      </c>
    </row>
    <row r="8235" spans="1:26" x14ac:dyDescent="0.2">
      <c r="A8235" s="6">
        <v>2696</v>
      </c>
      <c r="B8235" s="7">
        <v>19521</v>
      </c>
      <c r="C8235" s="8">
        <f>DATE(2012,12,31)-1134</f>
        <v>40140</v>
      </c>
      <c r="D8235" s="8" t="str">
        <f t="shared" si="157"/>
        <v>2009-11 (ноябрь 2009)</v>
      </c>
      <c r="E8235" s="9" t="s">
        <v>45</v>
      </c>
      <c r="F8235" s="7">
        <v>9</v>
      </c>
      <c r="G8235" s="7">
        <v>351.06</v>
      </c>
      <c r="H8235" s="7">
        <v>0.02</v>
      </c>
      <c r="I8235" s="9" t="s">
        <v>22</v>
      </c>
      <c r="J8235" s="10">
        <v>-306.32</v>
      </c>
      <c r="K8235" s="11">
        <v>35.479999999999997</v>
      </c>
      <c r="L8235" s="11">
        <v>35</v>
      </c>
      <c r="M8235" s="9" t="s">
        <v>1302</v>
      </c>
      <c r="N8235" s="6" t="s">
        <v>2073</v>
      </c>
      <c r="O8235" s="6" t="s">
        <v>704</v>
      </c>
      <c r="P8235" s="9" t="s">
        <v>60</v>
      </c>
      <c r="Q8235" s="9" t="s">
        <v>26</v>
      </c>
      <c r="R8235" s="9" t="s">
        <v>27</v>
      </c>
      <c r="S8235" s="7" t="s">
        <v>2025</v>
      </c>
      <c r="T8235" s="9" t="s">
        <v>29</v>
      </c>
      <c r="U8235" s="7">
        <v>0.85</v>
      </c>
      <c r="V8235" s="12">
        <f>C8235+1</f>
        <v>40141</v>
      </c>
      <c r="W8235">
        <f>IF(D8235=' Pivot Tables'!$A$4,1,0)</f>
        <v>0</v>
      </c>
      <c r="X8235">
        <f>IF(AND(LEFT(D8235,4)+1=LEFT(' Pivot Tables'!$A$4,4)+0,RIGHT(LEFT(D8235,7),2)=RIGHT(LEFT(' Pivot Tables'!$A$4,7),2)),1,0)</f>
        <v>0</v>
      </c>
      <c r="Y8235" s="6">
        <f>1/COUNTIF(Таблица1[Order ID],Таблица1[[#This Row],[Order ID]])</f>
        <v>1</v>
      </c>
      <c r="Z8235" s="9">
        <f>1/COUNTIFS(Таблица1[Customer Name],Таблица1[[#This Row],[Customer Name]],Таблица1[Order-Year-Month],Таблица1[[#This Row],[Order-Year-Month]])</f>
        <v>1</v>
      </c>
    </row>
    <row r="8236" spans="1:26" x14ac:dyDescent="0.2">
      <c r="A8236" s="6">
        <v>2847</v>
      </c>
      <c r="B8236" s="7">
        <v>20513</v>
      </c>
      <c r="C8236" s="8">
        <f>DATE(2012,12,31)-1273</f>
        <v>40001</v>
      </c>
      <c r="D8236" s="8" t="str">
        <f t="shared" si="157"/>
        <v>2009-07 (июль 2009)</v>
      </c>
      <c r="E8236" s="9" t="s">
        <v>30</v>
      </c>
      <c r="F8236" s="7">
        <v>13</v>
      </c>
      <c r="G8236" s="7">
        <v>42.27</v>
      </c>
      <c r="H8236" s="7">
        <v>0.01</v>
      </c>
      <c r="I8236" s="9" t="s">
        <v>56</v>
      </c>
      <c r="J8236" s="10">
        <v>4.5599999999999996</v>
      </c>
      <c r="K8236" s="11">
        <v>2.84</v>
      </c>
      <c r="L8236" s="11">
        <v>0.93</v>
      </c>
      <c r="M8236" s="9" t="s">
        <v>126</v>
      </c>
      <c r="N8236" s="6" t="s">
        <v>2073</v>
      </c>
      <c r="O8236" s="6" t="s">
        <v>704</v>
      </c>
      <c r="P8236" s="9" t="s">
        <v>41</v>
      </c>
      <c r="Q8236" s="9" t="s">
        <v>26</v>
      </c>
      <c r="R8236" s="9" t="s">
        <v>95</v>
      </c>
      <c r="S8236" s="7" t="s">
        <v>98</v>
      </c>
      <c r="T8236" s="9" t="s">
        <v>68</v>
      </c>
      <c r="U8236" s="7">
        <v>0.54</v>
      </c>
      <c r="V8236" s="12">
        <f>C8236+1</f>
        <v>40002</v>
      </c>
      <c r="W8236">
        <f>IF(D8236=' Pivot Tables'!$A$4,1,0)</f>
        <v>0</v>
      </c>
      <c r="X8236">
        <f>IF(AND(LEFT(D8236,4)+1=LEFT(' Pivot Tables'!$A$4,4)+0,RIGHT(LEFT(D8236,7),2)=RIGHT(LEFT(' Pivot Tables'!$A$4,7),2)),1,0)</f>
        <v>0</v>
      </c>
      <c r="Y8236" s="6">
        <f>1/COUNTIF(Таблица1[Order ID],Таблица1[[#This Row],[Order ID]])</f>
        <v>1</v>
      </c>
      <c r="Z8236" s="9">
        <f>1/COUNTIFS(Таблица1[Customer Name],Таблица1[[#This Row],[Customer Name]],Таблица1[Order-Year-Month],Таблица1[[#This Row],[Order-Year-Month]])</f>
        <v>0.5</v>
      </c>
    </row>
    <row r="8237" spans="1:26" x14ac:dyDescent="0.2">
      <c r="A8237" s="6">
        <v>2934</v>
      </c>
      <c r="B8237" s="7">
        <v>21253</v>
      </c>
      <c r="C8237" s="8">
        <f>DATE(2012,12,31)-258</f>
        <v>41016</v>
      </c>
      <c r="D8237" s="8" t="str">
        <f t="shared" si="157"/>
        <v>2012-04 (апрель 2012)</v>
      </c>
      <c r="E8237" s="9" t="s">
        <v>63</v>
      </c>
      <c r="F8237" s="7">
        <v>5</v>
      </c>
      <c r="G8237" s="7">
        <v>455.08</v>
      </c>
      <c r="H8237" s="7">
        <v>0.04</v>
      </c>
      <c r="I8237" s="9" t="s">
        <v>22</v>
      </c>
      <c r="J8237" s="10">
        <v>27.8</v>
      </c>
      <c r="K8237" s="11">
        <v>83.93</v>
      </c>
      <c r="L8237" s="11">
        <v>19.989999999999998</v>
      </c>
      <c r="M8237" s="9" t="s">
        <v>830</v>
      </c>
      <c r="N8237" s="6" t="s">
        <v>2073</v>
      </c>
      <c r="O8237" s="6" t="s">
        <v>704</v>
      </c>
      <c r="P8237" s="9" t="s">
        <v>25</v>
      </c>
      <c r="Q8237" s="9" t="s">
        <v>26</v>
      </c>
      <c r="R8237" s="9" t="s">
        <v>76</v>
      </c>
      <c r="S8237" s="7" t="s">
        <v>821</v>
      </c>
      <c r="T8237" s="9" t="s">
        <v>39</v>
      </c>
      <c r="U8237" s="7">
        <v>0.38</v>
      </c>
      <c r="V8237" s="12">
        <f>C8237+1</f>
        <v>41017</v>
      </c>
      <c r="W8237">
        <f>IF(D8237=' Pivot Tables'!$A$4,1,0)</f>
        <v>0</v>
      </c>
      <c r="X8237">
        <f>IF(AND(LEFT(D8237,4)+1=LEFT(' Pivot Tables'!$A$4,4)+0,RIGHT(LEFT(D8237,7),2)=RIGHT(LEFT(' Pivot Tables'!$A$4,7),2)),1,0)</f>
        <v>0</v>
      </c>
      <c r="Y8237" s="6">
        <f>1/COUNTIF(Таблица1[Order ID],Таблица1[[#This Row],[Order ID]])</f>
        <v>1</v>
      </c>
      <c r="Z8237" s="9">
        <f>1/COUNTIFS(Таблица1[Customer Name],Таблица1[[#This Row],[Customer Name]],Таблица1[Order-Year-Month],Таблица1[[#This Row],[Order-Year-Month]])</f>
        <v>1</v>
      </c>
    </row>
    <row r="8238" spans="1:26" x14ac:dyDescent="0.2">
      <c r="A8238" s="6">
        <v>3023</v>
      </c>
      <c r="B8238" s="7">
        <v>21735</v>
      </c>
      <c r="C8238" s="8">
        <f>DATE(2012,12,31)-1028</f>
        <v>40246</v>
      </c>
      <c r="D8238" s="8" t="str">
        <f t="shared" si="157"/>
        <v>2010-03 (март 2010)</v>
      </c>
      <c r="E8238" s="9" t="s">
        <v>45</v>
      </c>
      <c r="F8238" s="7">
        <v>23</v>
      </c>
      <c r="G8238" s="7">
        <v>239.49</v>
      </c>
      <c r="H8238" s="7">
        <v>0.04</v>
      </c>
      <c r="I8238" s="9" t="s">
        <v>22</v>
      </c>
      <c r="J8238" s="10">
        <v>-159.35</v>
      </c>
      <c r="K8238" s="11">
        <v>9.98</v>
      </c>
      <c r="L8238" s="11">
        <v>12.52</v>
      </c>
      <c r="M8238" s="9" t="s">
        <v>1956</v>
      </c>
      <c r="N8238" s="6" t="s">
        <v>2073</v>
      </c>
      <c r="O8238" s="6" t="s">
        <v>704</v>
      </c>
      <c r="P8238" s="9" t="s">
        <v>41</v>
      </c>
      <c r="Q8238" s="9" t="s">
        <v>49</v>
      </c>
      <c r="R8238" s="9" t="s">
        <v>50</v>
      </c>
      <c r="S8238" s="7" t="s">
        <v>1346</v>
      </c>
      <c r="T8238" s="9" t="s">
        <v>39</v>
      </c>
      <c r="U8238" s="7">
        <v>0.56999999999999995</v>
      </c>
      <c r="V8238" s="12">
        <f>C8238+2</f>
        <v>40248</v>
      </c>
      <c r="W8238">
        <f>IF(D8238=' Pivot Tables'!$A$4,1,0)</f>
        <v>0</v>
      </c>
      <c r="X8238">
        <f>IF(AND(LEFT(D8238,4)+1=LEFT(' Pivot Tables'!$A$4,4)+0,RIGHT(LEFT(D8238,7),2)=RIGHT(LEFT(' Pivot Tables'!$A$4,7),2)),1,0)</f>
        <v>0</v>
      </c>
      <c r="Y8238" s="6">
        <f>1/COUNTIF(Таблица1[Order ID],Таблица1[[#This Row],[Order ID]])</f>
        <v>0.5</v>
      </c>
      <c r="Z8238" s="9">
        <f>1/COUNTIFS(Таблица1[Customer Name],Таблица1[[#This Row],[Customer Name]],Таблица1[Order-Year-Month],Таблица1[[#This Row],[Order-Year-Month]])</f>
        <v>0.5</v>
      </c>
    </row>
    <row r="8239" spans="1:26" x14ac:dyDescent="0.2">
      <c r="A8239" s="6">
        <v>3024</v>
      </c>
      <c r="B8239" s="7">
        <v>21735</v>
      </c>
      <c r="C8239" s="8">
        <f>DATE(2012,12,31)-1028</f>
        <v>40246</v>
      </c>
      <c r="D8239" s="8" t="str">
        <f t="shared" si="157"/>
        <v>2010-03 (март 2010)</v>
      </c>
      <c r="E8239" s="9" t="s">
        <v>45</v>
      </c>
      <c r="F8239" s="7">
        <v>14</v>
      </c>
      <c r="G8239" s="7">
        <v>1819.1529999999998</v>
      </c>
      <c r="H8239" s="7">
        <v>0.02</v>
      </c>
      <c r="I8239" s="9" t="s">
        <v>22</v>
      </c>
      <c r="J8239" s="10">
        <v>-35.497</v>
      </c>
      <c r="K8239" s="11">
        <v>155.99</v>
      </c>
      <c r="L8239" s="11">
        <v>8.99</v>
      </c>
      <c r="M8239" s="9" t="s">
        <v>1956</v>
      </c>
      <c r="N8239" s="6" t="s">
        <v>2073</v>
      </c>
      <c r="O8239" s="6" t="s">
        <v>704</v>
      </c>
      <c r="P8239" s="9" t="s">
        <v>41</v>
      </c>
      <c r="Q8239" s="9" t="s">
        <v>42</v>
      </c>
      <c r="R8239" s="9" t="s">
        <v>43</v>
      </c>
      <c r="S8239" s="7" t="s">
        <v>87</v>
      </c>
      <c r="T8239" s="9" t="s">
        <v>39</v>
      </c>
      <c r="U8239" s="7">
        <v>0.57999999999999996</v>
      </c>
      <c r="V8239" s="12">
        <f>C8239+3</f>
        <v>40249</v>
      </c>
      <c r="W8239">
        <f>IF(D8239=' Pivot Tables'!$A$4,1,0)</f>
        <v>0</v>
      </c>
      <c r="X8239">
        <f>IF(AND(LEFT(D8239,4)+1=LEFT(' Pivot Tables'!$A$4,4)+0,RIGHT(LEFT(D8239,7),2)=RIGHT(LEFT(' Pivot Tables'!$A$4,7),2)),1,0)</f>
        <v>0</v>
      </c>
      <c r="Y8239" s="6">
        <f>1/COUNTIF(Таблица1[Order ID],Таблица1[[#This Row],[Order ID]])</f>
        <v>0.5</v>
      </c>
      <c r="Z8239" s="9">
        <f>1/COUNTIFS(Таблица1[Customer Name],Таблица1[[#This Row],[Customer Name]],Таблица1[Order-Year-Month],Таблица1[[#This Row],[Order-Year-Month]])</f>
        <v>0.5</v>
      </c>
    </row>
    <row r="8240" spans="1:26" x14ac:dyDescent="0.2">
      <c r="A8240" s="6">
        <v>3116</v>
      </c>
      <c r="B8240" s="7">
        <v>22375</v>
      </c>
      <c r="C8240" s="8">
        <f>DATE(2012,12,31)-634</f>
        <v>40640</v>
      </c>
      <c r="D8240" s="8" t="str">
        <f t="shared" si="157"/>
        <v>2011-04 (апрель 2011)</v>
      </c>
      <c r="E8240" s="9" t="s">
        <v>45</v>
      </c>
      <c r="F8240" s="7">
        <v>43</v>
      </c>
      <c r="G8240" s="7">
        <v>816.11</v>
      </c>
      <c r="H8240" s="7">
        <v>0.04</v>
      </c>
      <c r="I8240" s="9" t="s">
        <v>22</v>
      </c>
      <c r="J8240" s="10">
        <v>66.14</v>
      </c>
      <c r="K8240" s="11">
        <v>18.97</v>
      </c>
      <c r="L8240" s="11">
        <v>9.5399999999999991</v>
      </c>
      <c r="M8240" s="9" t="s">
        <v>2003</v>
      </c>
      <c r="N8240" s="6" t="s">
        <v>2073</v>
      </c>
      <c r="O8240" s="6" t="s">
        <v>704</v>
      </c>
      <c r="P8240" s="9" t="s">
        <v>41</v>
      </c>
      <c r="Q8240" s="9" t="s">
        <v>26</v>
      </c>
      <c r="R8240" s="9" t="s">
        <v>61</v>
      </c>
      <c r="S8240" s="7" t="s">
        <v>581</v>
      </c>
      <c r="T8240" s="9" t="s">
        <v>39</v>
      </c>
      <c r="U8240" s="7">
        <v>0.37</v>
      </c>
      <c r="V8240" s="12">
        <f>C8240+1</f>
        <v>40641</v>
      </c>
      <c r="W8240">
        <f>IF(D8240=' Pivot Tables'!$A$4,1,0)</f>
        <v>0</v>
      </c>
      <c r="X8240">
        <f>IF(AND(LEFT(D8240,4)+1=LEFT(' Pivot Tables'!$A$4,4)+0,RIGHT(LEFT(D8240,7),2)=RIGHT(LEFT(' Pivot Tables'!$A$4,7),2)),1,0)</f>
        <v>0</v>
      </c>
      <c r="Y8240" s="6">
        <f>1/COUNTIF(Таблица1[Order ID],Таблица1[[#This Row],[Order ID]])</f>
        <v>1</v>
      </c>
      <c r="Z8240" s="9">
        <f>1/COUNTIFS(Таблица1[Customer Name],Таблица1[[#This Row],[Customer Name]],Таблица1[Order-Year-Month],Таблица1[[#This Row],[Order-Year-Month]])</f>
        <v>1</v>
      </c>
    </row>
    <row r="8241" spans="1:26" x14ac:dyDescent="0.2">
      <c r="A8241" s="6">
        <v>3170</v>
      </c>
      <c r="B8241" s="7">
        <v>22817</v>
      </c>
      <c r="C8241" s="8">
        <f>DATE(2012,12,31)-40</f>
        <v>41234</v>
      </c>
      <c r="D8241" s="8" t="str">
        <f t="shared" si="157"/>
        <v>2012-11 (ноябрь 2012)</v>
      </c>
      <c r="E8241" s="9" t="s">
        <v>78</v>
      </c>
      <c r="F8241" s="7">
        <v>27</v>
      </c>
      <c r="G8241" s="7">
        <v>6785.86</v>
      </c>
      <c r="H8241" s="7">
        <v>0.05</v>
      </c>
      <c r="I8241" s="9" t="s">
        <v>31</v>
      </c>
      <c r="J8241" s="10">
        <v>-740.07</v>
      </c>
      <c r="K8241" s="11">
        <v>262.11</v>
      </c>
      <c r="L8241" s="11">
        <v>62.74</v>
      </c>
      <c r="M8241" s="9" t="s">
        <v>1408</v>
      </c>
      <c r="N8241" s="6" t="s">
        <v>2073</v>
      </c>
      <c r="O8241" s="6" t="s">
        <v>704</v>
      </c>
      <c r="P8241" s="9" t="s">
        <v>60</v>
      </c>
      <c r="Q8241" s="9" t="s">
        <v>49</v>
      </c>
      <c r="R8241" s="9" t="s">
        <v>83</v>
      </c>
      <c r="S8241" s="7" t="s">
        <v>191</v>
      </c>
      <c r="T8241" s="9" t="s">
        <v>82</v>
      </c>
      <c r="U8241" s="7">
        <v>0.75</v>
      </c>
      <c r="V8241" s="12">
        <f>C8241+2</f>
        <v>41236</v>
      </c>
      <c r="W8241">
        <f>IF(D8241=' Pivot Tables'!$A$4,1,0)</f>
        <v>0</v>
      </c>
      <c r="X8241">
        <f>IF(AND(LEFT(D8241,4)+1=LEFT(' Pivot Tables'!$A$4,4)+0,RIGHT(LEFT(D8241,7),2)=RIGHT(LEFT(' Pivot Tables'!$A$4,7),2)),1,0)</f>
        <v>0</v>
      </c>
      <c r="Y8241" s="6">
        <f>1/COUNTIF(Таблица1[Order ID],Таблица1[[#This Row],[Order ID]])</f>
        <v>1</v>
      </c>
      <c r="Z8241" s="9">
        <f>1/COUNTIFS(Таблица1[Customer Name],Таблица1[[#This Row],[Customer Name]],Таблица1[Order-Year-Month],Таблица1[[#This Row],[Order-Year-Month]])</f>
        <v>1</v>
      </c>
    </row>
    <row r="8242" spans="1:26" x14ac:dyDescent="0.2">
      <c r="A8242" s="6">
        <v>3333</v>
      </c>
      <c r="B8242" s="7">
        <v>23842</v>
      </c>
      <c r="C8242" s="8">
        <f>DATE(2012,12,31)-836</f>
        <v>40438</v>
      </c>
      <c r="D8242" s="8" t="str">
        <f t="shared" si="157"/>
        <v>2010-09 (сентябрь 2010)</v>
      </c>
      <c r="E8242" s="9" t="s">
        <v>21</v>
      </c>
      <c r="F8242" s="7">
        <v>20</v>
      </c>
      <c r="G8242" s="7">
        <v>127.16</v>
      </c>
      <c r="H8242" s="7">
        <v>0.1</v>
      </c>
      <c r="I8242" s="9" t="s">
        <v>22</v>
      </c>
      <c r="J8242" s="10">
        <v>-74.03</v>
      </c>
      <c r="K8242" s="11">
        <v>6.68</v>
      </c>
      <c r="L8242" s="11">
        <v>6.92</v>
      </c>
      <c r="M8242" s="9" t="s">
        <v>2121</v>
      </c>
      <c r="N8242" s="6" t="s">
        <v>2073</v>
      </c>
      <c r="O8242" s="6" t="s">
        <v>704</v>
      </c>
      <c r="P8242" s="9" t="s">
        <v>33</v>
      </c>
      <c r="Q8242" s="9" t="s">
        <v>26</v>
      </c>
      <c r="R8242" s="9" t="s">
        <v>61</v>
      </c>
      <c r="S8242" s="7" t="s">
        <v>678</v>
      </c>
      <c r="T8242" s="9" t="s">
        <v>39</v>
      </c>
      <c r="U8242" s="7">
        <v>0.37</v>
      </c>
      <c r="V8242" s="12">
        <f>C8242+7</f>
        <v>40445</v>
      </c>
      <c r="W8242">
        <f>IF(D8242=' Pivot Tables'!$A$4,1,0)</f>
        <v>0</v>
      </c>
      <c r="X8242">
        <f>IF(AND(LEFT(D8242,4)+1=LEFT(' Pivot Tables'!$A$4,4)+0,RIGHT(LEFT(D8242,7),2)=RIGHT(LEFT(' Pivot Tables'!$A$4,7),2)),1,0)</f>
        <v>0</v>
      </c>
      <c r="Y8242" s="6">
        <f>1/COUNTIF(Таблица1[Order ID],Таблица1[[#This Row],[Order ID]])</f>
        <v>1</v>
      </c>
      <c r="Z8242" s="9">
        <f>1/COUNTIFS(Таблица1[Customer Name],Таблица1[[#This Row],[Customer Name]],Таблица1[Order-Year-Month],Таблица1[[#This Row],[Order-Year-Month]])</f>
        <v>1</v>
      </c>
    </row>
    <row r="8243" spans="1:26" x14ac:dyDescent="0.2">
      <c r="A8243" s="6">
        <v>3342</v>
      </c>
      <c r="B8243" s="7">
        <v>23911</v>
      </c>
      <c r="C8243" s="8">
        <f>DATE(2012,12,31)-213</f>
        <v>41061</v>
      </c>
      <c r="D8243" s="8" t="str">
        <f t="shared" si="157"/>
        <v>2012-06 (июнь 2012)</v>
      </c>
      <c r="E8243" s="9" t="s">
        <v>78</v>
      </c>
      <c r="F8243" s="7">
        <v>21</v>
      </c>
      <c r="G8243" s="7">
        <v>2580.67</v>
      </c>
      <c r="H8243" s="7">
        <v>0.1</v>
      </c>
      <c r="I8243" s="9" t="s">
        <v>31</v>
      </c>
      <c r="J8243" s="10">
        <v>-1050.77</v>
      </c>
      <c r="K8243" s="11">
        <v>122.99</v>
      </c>
      <c r="L8243" s="11">
        <v>70.2</v>
      </c>
      <c r="M8243" s="9" t="s">
        <v>2126</v>
      </c>
      <c r="N8243" s="6" t="s">
        <v>2073</v>
      </c>
      <c r="O8243" s="6" t="s">
        <v>704</v>
      </c>
      <c r="P8243" s="9" t="s">
        <v>60</v>
      </c>
      <c r="Q8243" s="9" t="s">
        <v>49</v>
      </c>
      <c r="R8243" s="9" t="s">
        <v>112</v>
      </c>
      <c r="S8243" s="7" t="s">
        <v>426</v>
      </c>
      <c r="T8243" s="9" t="s">
        <v>36</v>
      </c>
      <c r="U8243" s="7">
        <v>0.74</v>
      </c>
      <c r="V8243" s="12">
        <f>C8243+1</f>
        <v>41062</v>
      </c>
      <c r="W8243">
        <f>IF(D8243=' Pivot Tables'!$A$4,1,0)</f>
        <v>0</v>
      </c>
      <c r="X8243">
        <f>IF(AND(LEFT(D8243,4)+1=LEFT(' Pivot Tables'!$A$4,4)+0,RIGHT(LEFT(D8243,7),2)=RIGHT(LEFT(' Pivot Tables'!$A$4,7),2)),1,0)</f>
        <v>0</v>
      </c>
      <c r="Y8243" s="6">
        <f>1/COUNTIF(Таблица1[Order ID],Таблица1[[#This Row],[Order ID]])</f>
        <v>0.33333333333333331</v>
      </c>
      <c r="Z8243" s="9">
        <f>1/COUNTIFS(Таблица1[Customer Name],Таблица1[[#This Row],[Customer Name]],Таблица1[Order-Year-Month],Таблица1[[#This Row],[Order-Year-Month]])</f>
        <v>0.33333333333333331</v>
      </c>
    </row>
    <row r="8244" spans="1:26" x14ac:dyDescent="0.2">
      <c r="A8244" s="6">
        <v>3343</v>
      </c>
      <c r="B8244" s="7">
        <v>23911</v>
      </c>
      <c r="C8244" s="8">
        <f>DATE(2012,12,31)-213</f>
        <v>41061</v>
      </c>
      <c r="D8244" s="8" t="str">
        <f t="shared" si="157"/>
        <v>2012-06 (июнь 2012)</v>
      </c>
      <c r="E8244" s="9" t="s">
        <v>78</v>
      </c>
      <c r="F8244" s="7">
        <v>19</v>
      </c>
      <c r="G8244" s="7">
        <v>955.46</v>
      </c>
      <c r="H8244" s="7">
        <v>0.03</v>
      </c>
      <c r="I8244" s="9" t="s">
        <v>22</v>
      </c>
      <c r="J8244" s="10">
        <v>-79.05</v>
      </c>
      <c r="K8244" s="11">
        <v>50.98</v>
      </c>
      <c r="L8244" s="11">
        <v>6.5</v>
      </c>
      <c r="M8244" s="9" t="s">
        <v>2126</v>
      </c>
      <c r="N8244" s="6" t="s">
        <v>2073</v>
      </c>
      <c r="O8244" s="6" t="s">
        <v>704</v>
      </c>
      <c r="P8244" s="9" t="s">
        <v>60</v>
      </c>
      <c r="Q8244" s="9" t="s">
        <v>42</v>
      </c>
      <c r="R8244" s="9" t="s">
        <v>70</v>
      </c>
      <c r="S8244" s="7" t="s">
        <v>187</v>
      </c>
      <c r="T8244" s="9" t="s">
        <v>39</v>
      </c>
      <c r="U8244" s="7">
        <v>0.73</v>
      </c>
      <c r="V8244" s="12">
        <f>C8244+1</f>
        <v>41062</v>
      </c>
      <c r="W8244">
        <f>IF(D8244=' Pivot Tables'!$A$4,1,0)</f>
        <v>0</v>
      </c>
      <c r="X8244">
        <f>IF(AND(LEFT(D8244,4)+1=LEFT(' Pivot Tables'!$A$4,4)+0,RIGHT(LEFT(D8244,7),2)=RIGHT(LEFT(' Pivot Tables'!$A$4,7),2)),1,0)</f>
        <v>0</v>
      </c>
      <c r="Y8244" s="6">
        <f>1/COUNTIF(Таблица1[Order ID],Таблица1[[#This Row],[Order ID]])</f>
        <v>0.33333333333333331</v>
      </c>
      <c r="Z8244" s="9">
        <f>1/COUNTIFS(Таблица1[Customer Name],Таблица1[[#This Row],[Customer Name]],Таблица1[Order-Year-Month],Таблица1[[#This Row],[Order-Year-Month]])</f>
        <v>0.33333333333333331</v>
      </c>
    </row>
    <row r="8245" spans="1:26" x14ac:dyDescent="0.2">
      <c r="A8245" s="6">
        <v>3344</v>
      </c>
      <c r="B8245" s="7">
        <v>23911</v>
      </c>
      <c r="C8245" s="8">
        <f>DATE(2012,12,31)-213</f>
        <v>41061</v>
      </c>
      <c r="D8245" s="8" t="str">
        <f t="shared" si="157"/>
        <v>2012-06 (июнь 2012)</v>
      </c>
      <c r="E8245" s="9" t="s">
        <v>78</v>
      </c>
      <c r="F8245" s="7">
        <v>3</v>
      </c>
      <c r="G8245" s="7">
        <v>121.26</v>
      </c>
      <c r="H8245" s="7">
        <v>0</v>
      </c>
      <c r="I8245" s="9" t="s">
        <v>22</v>
      </c>
      <c r="J8245" s="10">
        <v>-12.52</v>
      </c>
      <c r="K8245" s="11">
        <v>35.44</v>
      </c>
      <c r="L8245" s="11">
        <v>7.5</v>
      </c>
      <c r="M8245" s="9" t="s">
        <v>2126</v>
      </c>
      <c r="N8245" s="6" t="s">
        <v>2073</v>
      </c>
      <c r="O8245" s="6" t="s">
        <v>704</v>
      </c>
      <c r="P8245" s="9" t="s">
        <v>60</v>
      </c>
      <c r="Q8245" s="9" t="s">
        <v>26</v>
      </c>
      <c r="R8245" s="9" t="s">
        <v>61</v>
      </c>
      <c r="S8245" s="7" t="s">
        <v>225</v>
      </c>
      <c r="T8245" s="9" t="s">
        <v>39</v>
      </c>
      <c r="U8245" s="7">
        <v>0.38</v>
      </c>
      <c r="V8245" s="12">
        <f>C8245+1</f>
        <v>41062</v>
      </c>
      <c r="W8245">
        <f>IF(D8245=' Pivot Tables'!$A$4,1,0)</f>
        <v>0</v>
      </c>
      <c r="X8245">
        <f>IF(AND(LEFT(D8245,4)+1=LEFT(' Pivot Tables'!$A$4,4)+0,RIGHT(LEFT(D8245,7),2)=RIGHT(LEFT(' Pivot Tables'!$A$4,7),2)),1,0)</f>
        <v>0</v>
      </c>
      <c r="Y8245" s="6">
        <f>1/COUNTIF(Таблица1[Order ID],Таблица1[[#This Row],[Order ID]])</f>
        <v>0.33333333333333331</v>
      </c>
      <c r="Z8245" s="9">
        <f>1/COUNTIFS(Таблица1[Customer Name],Таблица1[[#This Row],[Customer Name]],Таблица1[Order-Year-Month],Таблица1[[#This Row],[Order-Year-Month]])</f>
        <v>0.33333333333333331</v>
      </c>
    </row>
    <row r="8246" spans="1:26" x14ac:dyDescent="0.2">
      <c r="A8246" s="6">
        <v>3422</v>
      </c>
      <c r="B8246" s="7">
        <v>24391</v>
      </c>
      <c r="C8246" s="8">
        <f>DATE(2012,12,31)-1396</f>
        <v>39878</v>
      </c>
      <c r="D8246" s="8" t="str">
        <f t="shared" si="157"/>
        <v>2009-03 (март 2009)</v>
      </c>
      <c r="E8246" s="9" t="s">
        <v>21</v>
      </c>
      <c r="F8246" s="7">
        <v>14</v>
      </c>
      <c r="G8246" s="7">
        <v>3236.8</v>
      </c>
      <c r="H8246" s="7">
        <v>0.08</v>
      </c>
      <c r="I8246" s="9" t="s">
        <v>31</v>
      </c>
      <c r="J8246" s="10">
        <v>501.69</v>
      </c>
      <c r="K8246" s="11">
        <v>230.98</v>
      </c>
      <c r="L8246" s="11">
        <v>23.78</v>
      </c>
      <c r="M8246" s="9" t="s">
        <v>2122</v>
      </c>
      <c r="N8246" s="6" t="s">
        <v>2073</v>
      </c>
      <c r="O8246" s="6" t="s">
        <v>704</v>
      </c>
      <c r="P8246" s="9" t="s">
        <v>33</v>
      </c>
      <c r="Q8246" s="9" t="s">
        <v>49</v>
      </c>
      <c r="R8246" s="9" t="s">
        <v>83</v>
      </c>
      <c r="S8246" s="7" t="s">
        <v>2067</v>
      </c>
      <c r="T8246" s="9" t="s">
        <v>82</v>
      </c>
      <c r="U8246" s="7">
        <v>0.6</v>
      </c>
      <c r="V8246" s="12">
        <f>C8246+4</f>
        <v>39882</v>
      </c>
      <c r="W8246">
        <f>IF(D8246=' Pivot Tables'!$A$4,1,0)</f>
        <v>0</v>
      </c>
      <c r="X8246">
        <f>IF(AND(LEFT(D8246,4)+1=LEFT(' Pivot Tables'!$A$4,4)+0,RIGHT(LEFT(D8246,7),2)=RIGHT(LEFT(' Pivot Tables'!$A$4,7),2)),1,0)</f>
        <v>0</v>
      </c>
      <c r="Y8246" s="6">
        <f>1/COUNTIF(Таблица1[Order ID],Таблица1[[#This Row],[Order ID]])</f>
        <v>1</v>
      </c>
      <c r="Z8246" s="9">
        <f>1/COUNTIFS(Таблица1[Customer Name],Таблица1[[#This Row],[Customer Name]],Таблица1[Order-Year-Month],Таблица1[[#This Row],[Order-Year-Month]])</f>
        <v>1</v>
      </c>
    </row>
    <row r="8247" spans="1:26" x14ac:dyDescent="0.2">
      <c r="A8247" s="6">
        <v>3485</v>
      </c>
      <c r="B8247" s="7">
        <v>24802</v>
      </c>
      <c r="C8247" s="8">
        <f>DATE(2012,12,31)-1438</f>
        <v>39836</v>
      </c>
      <c r="D8247" s="8" t="str">
        <f t="shared" si="157"/>
        <v>2009-01 (январь 2009)</v>
      </c>
      <c r="E8247" s="9" t="s">
        <v>63</v>
      </c>
      <c r="F8247" s="7">
        <v>18</v>
      </c>
      <c r="G8247" s="7">
        <v>1383.2</v>
      </c>
      <c r="H8247" s="7">
        <v>0.01</v>
      </c>
      <c r="I8247" s="9" t="s">
        <v>22</v>
      </c>
      <c r="J8247" s="10">
        <v>-23.44</v>
      </c>
      <c r="K8247" s="11">
        <v>73.98</v>
      </c>
      <c r="L8247" s="11">
        <v>12.14</v>
      </c>
      <c r="M8247" s="9" t="s">
        <v>2129</v>
      </c>
      <c r="N8247" s="6" t="s">
        <v>2073</v>
      </c>
      <c r="O8247" s="6" t="s">
        <v>704</v>
      </c>
      <c r="P8247" s="9" t="s">
        <v>25</v>
      </c>
      <c r="Q8247" s="9" t="s">
        <v>42</v>
      </c>
      <c r="R8247" s="9" t="s">
        <v>70</v>
      </c>
      <c r="S8247" s="7" t="s">
        <v>810</v>
      </c>
      <c r="T8247" s="9" t="s">
        <v>39</v>
      </c>
      <c r="U8247" s="7">
        <v>0.67</v>
      </c>
      <c r="V8247" s="12">
        <f>C8247+2</f>
        <v>39838</v>
      </c>
      <c r="W8247">
        <f>IF(D8247=' Pivot Tables'!$A$4,1,0)</f>
        <v>0</v>
      </c>
      <c r="X8247">
        <f>IF(AND(LEFT(D8247,4)+1=LEFT(' Pivot Tables'!$A$4,4)+0,RIGHT(LEFT(D8247,7),2)=RIGHT(LEFT(' Pivot Tables'!$A$4,7),2)),1,0)</f>
        <v>1</v>
      </c>
      <c r="Y8247" s="6">
        <f>1/COUNTIF(Таблица1[Order ID],Таблица1[[#This Row],[Order ID]])</f>
        <v>1</v>
      </c>
      <c r="Z8247" s="9">
        <f>1/COUNTIFS(Таблица1[Customer Name],Таблица1[[#This Row],[Customer Name]],Таблица1[Order-Year-Month],Таблица1[[#This Row],[Order-Year-Month]])</f>
        <v>1</v>
      </c>
    </row>
    <row r="8248" spans="1:26" x14ac:dyDescent="0.2">
      <c r="A8248" s="6">
        <v>3509</v>
      </c>
      <c r="B8248" s="7">
        <v>24996</v>
      </c>
      <c r="C8248" s="8">
        <f>DATE(2012,12,31)-463</f>
        <v>40811</v>
      </c>
      <c r="D8248" s="8" t="str">
        <f t="shared" si="157"/>
        <v>2011-09 (сентябрь 2011)</v>
      </c>
      <c r="E8248" s="9" t="s">
        <v>78</v>
      </c>
      <c r="F8248" s="7">
        <v>36</v>
      </c>
      <c r="G8248" s="7">
        <v>1793.24</v>
      </c>
      <c r="H8248" s="7">
        <v>0.01</v>
      </c>
      <c r="I8248" s="9" t="s">
        <v>22</v>
      </c>
      <c r="J8248" s="10">
        <v>739.36</v>
      </c>
      <c r="K8248" s="11">
        <v>46.89</v>
      </c>
      <c r="L8248" s="11">
        <v>5.0999999999999996</v>
      </c>
      <c r="M8248" s="9" t="s">
        <v>2119</v>
      </c>
      <c r="N8248" s="6" t="s">
        <v>2073</v>
      </c>
      <c r="O8248" s="6" t="s">
        <v>704</v>
      </c>
      <c r="P8248" s="9" t="s">
        <v>33</v>
      </c>
      <c r="Q8248" s="9" t="s">
        <v>26</v>
      </c>
      <c r="R8248" s="9" t="s">
        <v>34</v>
      </c>
      <c r="S8248" s="7" t="s">
        <v>355</v>
      </c>
      <c r="T8248" s="9" t="s">
        <v>48</v>
      </c>
      <c r="U8248" s="7">
        <v>0.46</v>
      </c>
      <c r="V8248" s="12">
        <f>C8248+1</f>
        <v>40812</v>
      </c>
      <c r="W8248">
        <f>IF(D8248=' Pivot Tables'!$A$4,1,0)</f>
        <v>0</v>
      </c>
      <c r="X8248">
        <f>IF(AND(LEFT(D8248,4)+1=LEFT(' Pivot Tables'!$A$4,4)+0,RIGHT(LEFT(D8248,7),2)=RIGHT(LEFT(' Pivot Tables'!$A$4,7),2)),1,0)</f>
        <v>0</v>
      </c>
      <c r="Y8248" s="6">
        <f>1/COUNTIF(Таблица1[Order ID],Таблица1[[#This Row],[Order ID]])</f>
        <v>0.5</v>
      </c>
      <c r="Z8248" s="9">
        <f>1/COUNTIFS(Таблица1[Customer Name],Таблица1[[#This Row],[Customer Name]],Таблица1[Order-Year-Month],Таблица1[[#This Row],[Order-Year-Month]])</f>
        <v>0.5</v>
      </c>
    </row>
    <row r="8249" spans="1:26" x14ac:dyDescent="0.2">
      <c r="A8249" s="6">
        <v>3510</v>
      </c>
      <c r="B8249" s="7">
        <v>24996</v>
      </c>
      <c r="C8249" s="8">
        <f>DATE(2012,12,31)-463</f>
        <v>40811</v>
      </c>
      <c r="D8249" s="8" t="str">
        <f t="shared" si="157"/>
        <v>2011-09 (сентябрь 2011)</v>
      </c>
      <c r="E8249" s="9" t="s">
        <v>78</v>
      </c>
      <c r="F8249" s="7">
        <v>2</v>
      </c>
      <c r="G8249" s="7">
        <v>143.667</v>
      </c>
      <c r="H8249" s="7">
        <v>0.09</v>
      </c>
      <c r="I8249" s="9" t="s">
        <v>22</v>
      </c>
      <c r="J8249" s="10">
        <v>-363.55</v>
      </c>
      <c r="K8249" s="11">
        <v>85.99</v>
      </c>
      <c r="L8249" s="11">
        <v>1.25</v>
      </c>
      <c r="M8249" s="9" t="s">
        <v>2119</v>
      </c>
      <c r="N8249" s="6" t="s">
        <v>2073</v>
      </c>
      <c r="O8249" s="6" t="s">
        <v>704</v>
      </c>
      <c r="P8249" s="9" t="s">
        <v>33</v>
      </c>
      <c r="Q8249" s="9" t="s">
        <v>42</v>
      </c>
      <c r="R8249" s="9" t="s">
        <v>43</v>
      </c>
      <c r="S8249" s="7" t="s">
        <v>438</v>
      </c>
      <c r="T8249" s="9" t="s">
        <v>52</v>
      </c>
      <c r="U8249" s="7">
        <v>0.39</v>
      </c>
      <c r="V8249" s="12">
        <f>C8249+2</f>
        <v>40813</v>
      </c>
      <c r="W8249">
        <f>IF(D8249=' Pivot Tables'!$A$4,1,0)</f>
        <v>0</v>
      </c>
      <c r="X8249">
        <f>IF(AND(LEFT(D8249,4)+1=LEFT(' Pivot Tables'!$A$4,4)+0,RIGHT(LEFT(D8249,7),2)=RIGHT(LEFT(' Pivot Tables'!$A$4,7),2)),1,0)</f>
        <v>0</v>
      </c>
      <c r="Y8249" s="6">
        <f>1/COUNTIF(Таблица1[Order ID],Таблица1[[#This Row],[Order ID]])</f>
        <v>0.5</v>
      </c>
      <c r="Z8249" s="9">
        <f>1/COUNTIFS(Таблица1[Customer Name],Таблица1[[#This Row],[Customer Name]],Таблица1[Order-Year-Month],Таблица1[[#This Row],[Order-Year-Month]])</f>
        <v>0.5</v>
      </c>
    </row>
    <row r="8250" spans="1:26" x14ac:dyDescent="0.2">
      <c r="A8250" s="6">
        <v>3609</v>
      </c>
      <c r="B8250" s="7">
        <v>25824</v>
      </c>
      <c r="C8250" s="8">
        <f>DATE(2012,12,31)-1214</f>
        <v>40060</v>
      </c>
      <c r="D8250" s="8" t="str">
        <f t="shared" si="157"/>
        <v>2009-09 (сентябрь 2009)</v>
      </c>
      <c r="E8250" s="9" t="s">
        <v>63</v>
      </c>
      <c r="F8250" s="7">
        <v>5</v>
      </c>
      <c r="G8250" s="7">
        <v>25.27</v>
      </c>
      <c r="H8250" s="7">
        <v>0.01</v>
      </c>
      <c r="I8250" s="9" t="s">
        <v>22</v>
      </c>
      <c r="J8250" s="10">
        <v>-19.93</v>
      </c>
      <c r="K8250" s="11">
        <v>3.95</v>
      </c>
      <c r="L8250" s="11">
        <v>5.13</v>
      </c>
      <c r="M8250" s="9" t="s">
        <v>2003</v>
      </c>
      <c r="N8250" s="6" t="s">
        <v>2073</v>
      </c>
      <c r="O8250" s="6" t="s">
        <v>704</v>
      </c>
      <c r="P8250" s="9" t="s">
        <v>41</v>
      </c>
      <c r="Q8250" s="9" t="s">
        <v>26</v>
      </c>
      <c r="R8250" s="9" t="s">
        <v>34</v>
      </c>
      <c r="S8250" s="7" t="s">
        <v>1029</v>
      </c>
      <c r="T8250" s="9" t="s">
        <v>39</v>
      </c>
      <c r="U8250" s="7">
        <v>0.59</v>
      </c>
      <c r="V8250" s="12">
        <f>C8250+1</f>
        <v>40061</v>
      </c>
      <c r="W8250">
        <f>IF(D8250=' Pivot Tables'!$A$4,1,0)</f>
        <v>0</v>
      </c>
      <c r="X8250">
        <f>IF(AND(LEFT(D8250,4)+1=LEFT(' Pivot Tables'!$A$4,4)+0,RIGHT(LEFT(D8250,7),2)=RIGHT(LEFT(' Pivot Tables'!$A$4,7),2)),1,0)</f>
        <v>0</v>
      </c>
      <c r="Y8250" s="6">
        <f>1/COUNTIF(Таблица1[Order ID],Таблица1[[#This Row],[Order ID]])</f>
        <v>0.25</v>
      </c>
      <c r="Z8250" s="9">
        <f>1/COUNTIFS(Таблица1[Customer Name],Таблица1[[#This Row],[Customer Name]],Таблица1[Order-Year-Month],Таблица1[[#This Row],[Order-Year-Month]])</f>
        <v>0.25</v>
      </c>
    </row>
    <row r="8251" spans="1:26" x14ac:dyDescent="0.2">
      <c r="A8251" s="6">
        <v>3610</v>
      </c>
      <c r="B8251" s="7">
        <v>25824</v>
      </c>
      <c r="C8251" s="8">
        <f>DATE(2012,12,31)-1214</f>
        <v>40060</v>
      </c>
      <c r="D8251" s="8" t="str">
        <f t="shared" si="157"/>
        <v>2009-09 (сентябрь 2009)</v>
      </c>
      <c r="E8251" s="9" t="s">
        <v>63</v>
      </c>
      <c r="F8251" s="7">
        <v>37</v>
      </c>
      <c r="G8251" s="7">
        <v>14410.78</v>
      </c>
      <c r="H8251" s="7">
        <v>0.02</v>
      </c>
      <c r="I8251" s="9" t="s">
        <v>22</v>
      </c>
      <c r="J8251" s="10">
        <v>6365.5820000000003</v>
      </c>
      <c r="K8251" s="11">
        <v>367.99</v>
      </c>
      <c r="L8251" s="11">
        <v>19.989999999999998</v>
      </c>
      <c r="M8251" s="9" t="s">
        <v>2003</v>
      </c>
      <c r="N8251" s="6" t="s">
        <v>2073</v>
      </c>
      <c r="O8251" s="6" t="s">
        <v>704</v>
      </c>
      <c r="P8251" s="9" t="s">
        <v>41</v>
      </c>
      <c r="Q8251" s="9" t="s">
        <v>26</v>
      </c>
      <c r="R8251" s="9" t="s">
        <v>37</v>
      </c>
      <c r="S8251" s="7" t="s">
        <v>1706</v>
      </c>
      <c r="T8251" s="9" t="s">
        <v>39</v>
      </c>
      <c r="U8251" s="7">
        <v>0.4</v>
      </c>
      <c r="V8251" s="12">
        <f>C8251+1</f>
        <v>40061</v>
      </c>
      <c r="W8251">
        <f>IF(D8251=' Pivot Tables'!$A$4,1,0)</f>
        <v>0</v>
      </c>
      <c r="X8251">
        <f>IF(AND(LEFT(D8251,4)+1=LEFT(' Pivot Tables'!$A$4,4)+0,RIGHT(LEFT(D8251,7),2)=RIGHT(LEFT(' Pivot Tables'!$A$4,7),2)),1,0)</f>
        <v>0</v>
      </c>
      <c r="Y8251" s="6">
        <f>1/COUNTIF(Таблица1[Order ID],Таблица1[[#This Row],[Order ID]])</f>
        <v>0.25</v>
      </c>
      <c r="Z8251" s="9">
        <f>1/COUNTIFS(Таблица1[Customer Name],Таблица1[[#This Row],[Customer Name]],Таблица1[Order-Year-Month],Таблица1[[#This Row],[Order-Year-Month]])</f>
        <v>0.25</v>
      </c>
    </row>
    <row r="8252" spans="1:26" x14ac:dyDescent="0.2">
      <c r="A8252" s="6">
        <v>3611</v>
      </c>
      <c r="B8252" s="7">
        <v>25824</v>
      </c>
      <c r="C8252" s="8">
        <f>DATE(2012,12,31)-1214</f>
        <v>40060</v>
      </c>
      <c r="D8252" s="8" t="str">
        <f t="shared" si="157"/>
        <v>2009-09 (сентябрь 2009)</v>
      </c>
      <c r="E8252" s="9" t="s">
        <v>63</v>
      </c>
      <c r="F8252" s="7">
        <v>39</v>
      </c>
      <c r="G8252" s="7">
        <v>15341.46</v>
      </c>
      <c r="H8252" s="7">
        <v>0</v>
      </c>
      <c r="I8252" s="9" t="s">
        <v>31</v>
      </c>
      <c r="J8252" s="10">
        <v>394.52</v>
      </c>
      <c r="K8252" s="11">
        <v>376.13</v>
      </c>
      <c r="L8252" s="11">
        <v>85.63</v>
      </c>
      <c r="M8252" s="9" t="s">
        <v>2003</v>
      </c>
      <c r="N8252" s="6" t="s">
        <v>2073</v>
      </c>
      <c r="O8252" s="6" t="s">
        <v>704</v>
      </c>
      <c r="P8252" s="9" t="s">
        <v>41</v>
      </c>
      <c r="Q8252" s="9" t="s">
        <v>49</v>
      </c>
      <c r="R8252" s="9" t="s">
        <v>83</v>
      </c>
      <c r="S8252" s="7" t="s">
        <v>725</v>
      </c>
      <c r="T8252" s="9" t="s">
        <v>82</v>
      </c>
      <c r="U8252" s="7">
        <v>0.74</v>
      </c>
      <c r="V8252" s="12">
        <f>C8252+1</f>
        <v>40061</v>
      </c>
      <c r="W8252">
        <f>IF(D8252=' Pivot Tables'!$A$4,1,0)</f>
        <v>0</v>
      </c>
      <c r="X8252">
        <f>IF(AND(LEFT(D8252,4)+1=LEFT(' Pivot Tables'!$A$4,4)+0,RIGHT(LEFT(D8252,7),2)=RIGHT(LEFT(' Pivot Tables'!$A$4,7),2)),1,0)</f>
        <v>0</v>
      </c>
      <c r="Y8252" s="6">
        <f>1/COUNTIF(Таблица1[Order ID],Таблица1[[#This Row],[Order ID]])</f>
        <v>0.25</v>
      </c>
      <c r="Z8252" s="9">
        <f>1/COUNTIFS(Таблица1[Customer Name],Таблица1[[#This Row],[Customer Name]],Таблица1[Order-Year-Month],Таблица1[[#This Row],[Order-Year-Month]])</f>
        <v>0.25</v>
      </c>
    </row>
    <row r="8253" spans="1:26" x14ac:dyDescent="0.2">
      <c r="A8253" s="6">
        <v>3612</v>
      </c>
      <c r="B8253" s="7">
        <v>25824</v>
      </c>
      <c r="C8253" s="8">
        <f>DATE(2012,12,31)-1214</f>
        <v>40060</v>
      </c>
      <c r="D8253" s="8" t="str">
        <f t="shared" si="157"/>
        <v>2009-09 (сентябрь 2009)</v>
      </c>
      <c r="E8253" s="9" t="s">
        <v>63</v>
      </c>
      <c r="F8253" s="7">
        <v>6</v>
      </c>
      <c r="G8253" s="7">
        <v>507.56049999999999</v>
      </c>
      <c r="H8253" s="7">
        <v>0.04</v>
      </c>
      <c r="I8253" s="9" t="s">
        <v>22</v>
      </c>
      <c r="J8253" s="10">
        <v>-258.22500000000002</v>
      </c>
      <c r="K8253" s="11">
        <v>95.99</v>
      </c>
      <c r="L8253" s="11">
        <v>4.9000000000000004</v>
      </c>
      <c r="M8253" s="9" t="s">
        <v>2003</v>
      </c>
      <c r="N8253" s="6" t="s">
        <v>2073</v>
      </c>
      <c r="O8253" s="6" t="s">
        <v>704</v>
      </c>
      <c r="P8253" s="9" t="s">
        <v>41</v>
      </c>
      <c r="Q8253" s="9" t="s">
        <v>42</v>
      </c>
      <c r="R8253" s="9" t="s">
        <v>43</v>
      </c>
      <c r="S8253" s="7" t="s">
        <v>1254</v>
      </c>
      <c r="T8253" s="9" t="s">
        <v>39</v>
      </c>
      <c r="U8253" s="7">
        <v>0.56000000000000005</v>
      </c>
      <c r="V8253" s="12">
        <f>C8253+2</f>
        <v>40062</v>
      </c>
      <c r="W8253">
        <f>IF(D8253=' Pivot Tables'!$A$4,1,0)</f>
        <v>0</v>
      </c>
      <c r="X8253">
        <f>IF(AND(LEFT(D8253,4)+1=LEFT(' Pivot Tables'!$A$4,4)+0,RIGHT(LEFT(D8253,7),2)=RIGHT(LEFT(' Pivot Tables'!$A$4,7),2)),1,0)</f>
        <v>0</v>
      </c>
      <c r="Y8253" s="6">
        <f>1/COUNTIF(Таблица1[Order ID],Таблица1[[#This Row],[Order ID]])</f>
        <v>0.25</v>
      </c>
      <c r="Z8253" s="9">
        <f>1/COUNTIFS(Таблица1[Customer Name],Таблица1[[#This Row],[Customer Name]],Таблица1[Order-Year-Month],Таблица1[[#This Row],[Order-Year-Month]])</f>
        <v>0.25</v>
      </c>
    </row>
    <row r="8254" spans="1:26" x14ac:dyDescent="0.2">
      <c r="A8254" s="6">
        <v>3677</v>
      </c>
      <c r="B8254" s="7">
        <v>26309</v>
      </c>
      <c r="C8254" s="8">
        <f>DATE(2012,12,31)-316</f>
        <v>40958</v>
      </c>
      <c r="D8254" s="8" t="str">
        <f t="shared" si="157"/>
        <v>2012-02 (февраль 2012)</v>
      </c>
      <c r="E8254" s="9" t="s">
        <v>21</v>
      </c>
      <c r="F8254" s="7">
        <v>42</v>
      </c>
      <c r="G8254" s="7">
        <v>128.13</v>
      </c>
      <c r="H8254" s="7">
        <v>0.09</v>
      </c>
      <c r="I8254" s="9" t="s">
        <v>22</v>
      </c>
      <c r="J8254" s="10">
        <v>32.53</v>
      </c>
      <c r="K8254" s="11">
        <v>3.08</v>
      </c>
      <c r="L8254" s="11">
        <v>0.99</v>
      </c>
      <c r="M8254" s="9" t="s">
        <v>2123</v>
      </c>
      <c r="N8254" s="6" t="s">
        <v>2073</v>
      </c>
      <c r="O8254" s="6" t="s">
        <v>704</v>
      </c>
      <c r="P8254" s="9" t="s">
        <v>41</v>
      </c>
      <c r="Q8254" s="9" t="s">
        <v>26</v>
      </c>
      <c r="R8254" s="9" t="s">
        <v>88</v>
      </c>
      <c r="S8254" s="7" t="s">
        <v>368</v>
      </c>
      <c r="T8254" s="9" t="s">
        <v>39</v>
      </c>
      <c r="U8254" s="7">
        <v>0.37</v>
      </c>
      <c r="V8254" s="12">
        <f>C8254+2</f>
        <v>40960</v>
      </c>
      <c r="W8254">
        <f>IF(D8254=' Pivot Tables'!$A$4,1,0)</f>
        <v>0</v>
      </c>
      <c r="X8254">
        <f>IF(AND(LEFT(D8254,4)+1=LEFT(' Pivot Tables'!$A$4,4)+0,RIGHT(LEFT(D8254,7),2)=RIGHT(LEFT(' Pivot Tables'!$A$4,7),2)),1,0)</f>
        <v>0</v>
      </c>
      <c r="Y8254" s="6">
        <f>1/COUNTIF(Таблица1[Order ID],Таблица1[[#This Row],[Order ID]])</f>
        <v>1</v>
      </c>
      <c r="Z8254" s="9">
        <f>1/COUNTIFS(Таблица1[Customer Name],Таблица1[[#This Row],[Customer Name]],Таблица1[Order-Year-Month],Таблица1[[#This Row],[Order-Year-Month]])</f>
        <v>1</v>
      </c>
    </row>
    <row r="8255" spans="1:26" x14ac:dyDescent="0.2">
      <c r="A8255" s="6">
        <v>3738</v>
      </c>
      <c r="B8255" s="7">
        <v>26723</v>
      </c>
      <c r="C8255" s="8">
        <f>DATE(2012,12,31)-669</f>
        <v>40605</v>
      </c>
      <c r="D8255" s="8" t="str">
        <f t="shared" si="157"/>
        <v>2011-03 (март 2011)</v>
      </c>
      <c r="E8255" s="9" t="s">
        <v>21</v>
      </c>
      <c r="F8255" s="7">
        <v>8</v>
      </c>
      <c r="G8255" s="7">
        <v>441.80449999999996</v>
      </c>
      <c r="H8255" s="7">
        <v>0.03</v>
      </c>
      <c r="I8255" s="9" t="s">
        <v>22</v>
      </c>
      <c r="J8255" s="10">
        <v>-201.48699999999999</v>
      </c>
      <c r="K8255" s="11">
        <v>65.989999999999995</v>
      </c>
      <c r="L8255" s="11">
        <v>7.69</v>
      </c>
      <c r="M8255" s="9" t="s">
        <v>2119</v>
      </c>
      <c r="N8255" s="6" t="s">
        <v>2073</v>
      </c>
      <c r="O8255" s="6" t="s">
        <v>704</v>
      </c>
      <c r="P8255" s="9" t="s">
        <v>33</v>
      </c>
      <c r="Q8255" s="9" t="s">
        <v>42</v>
      </c>
      <c r="R8255" s="9" t="s">
        <v>43</v>
      </c>
      <c r="S8255" s="7" t="s">
        <v>923</v>
      </c>
      <c r="T8255" s="9" t="s">
        <v>39</v>
      </c>
      <c r="U8255" s="7">
        <v>0.59</v>
      </c>
      <c r="V8255" s="12">
        <f>C8255+5</f>
        <v>40610</v>
      </c>
      <c r="W8255">
        <f>IF(D8255=' Pivot Tables'!$A$4,1,0)</f>
        <v>0</v>
      </c>
      <c r="X8255">
        <f>IF(AND(LEFT(D8255,4)+1=LEFT(' Pivot Tables'!$A$4,4)+0,RIGHT(LEFT(D8255,7),2)=RIGHT(LEFT(' Pivot Tables'!$A$4,7),2)),1,0)</f>
        <v>0</v>
      </c>
      <c r="Y8255" s="6">
        <f>1/COUNTIF(Таблица1[Order ID],Таблица1[[#This Row],[Order ID]])</f>
        <v>1</v>
      </c>
      <c r="Z8255" s="9">
        <f>1/COUNTIFS(Таблица1[Customer Name],Таблица1[[#This Row],[Customer Name]],Таблица1[Order-Year-Month],Таблица1[[#This Row],[Order-Year-Month]])</f>
        <v>1</v>
      </c>
    </row>
    <row r="8256" spans="1:26" x14ac:dyDescent="0.2">
      <c r="A8256" s="6">
        <v>3852</v>
      </c>
      <c r="B8256" s="7">
        <v>27463</v>
      </c>
      <c r="C8256" s="8">
        <f>DATE(2012,12,31)-1144</f>
        <v>40130</v>
      </c>
      <c r="D8256" s="8" t="str">
        <f t="shared" si="157"/>
        <v>2009-11 (ноябрь 2009)</v>
      </c>
      <c r="E8256" s="9" t="s">
        <v>63</v>
      </c>
      <c r="F8256" s="7">
        <v>31</v>
      </c>
      <c r="G8256" s="7">
        <v>835.11</v>
      </c>
      <c r="H8256" s="7">
        <v>0</v>
      </c>
      <c r="I8256" s="9" t="s">
        <v>22</v>
      </c>
      <c r="J8256" s="10">
        <v>213.79</v>
      </c>
      <c r="K8256" s="11">
        <v>25.38</v>
      </c>
      <c r="L8256" s="11">
        <v>8.99</v>
      </c>
      <c r="M8256" s="9" t="s">
        <v>2125</v>
      </c>
      <c r="N8256" s="6" t="s">
        <v>2073</v>
      </c>
      <c r="O8256" s="6" t="s">
        <v>704</v>
      </c>
      <c r="P8256" s="9" t="s">
        <v>33</v>
      </c>
      <c r="Q8256" s="9" t="s">
        <v>49</v>
      </c>
      <c r="R8256" s="9" t="s">
        <v>50</v>
      </c>
      <c r="S8256" s="7" t="s">
        <v>335</v>
      </c>
      <c r="T8256" s="9" t="s">
        <v>52</v>
      </c>
      <c r="U8256" s="7">
        <v>0.5</v>
      </c>
      <c r="V8256" s="12">
        <f>C8256+2</f>
        <v>40132</v>
      </c>
      <c r="W8256">
        <f>IF(D8256=' Pivot Tables'!$A$4,1,0)</f>
        <v>0</v>
      </c>
      <c r="X8256">
        <f>IF(AND(LEFT(D8256,4)+1=LEFT(' Pivot Tables'!$A$4,4)+0,RIGHT(LEFT(D8256,7),2)=RIGHT(LEFT(' Pivot Tables'!$A$4,7),2)),1,0)</f>
        <v>0</v>
      </c>
      <c r="Y8256" s="6">
        <f>1/COUNTIF(Таблица1[Order ID],Таблица1[[#This Row],[Order ID]])</f>
        <v>0.5</v>
      </c>
      <c r="Z8256" s="9">
        <f>1/COUNTIFS(Таблица1[Customer Name],Таблица1[[#This Row],[Customer Name]],Таблица1[Order-Year-Month],Таблица1[[#This Row],[Order-Year-Month]])</f>
        <v>0.5</v>
      </c>
    </row>
    <row r="8257" spans="1:26" x14ac:dyDescent="0.2">
      <c r="A8257" s="6">
        <v>3853</v>
      </c>
      <c r="B8257" s="7">
        <v>27463</v>
      </c>
      <c r="C8257" s="8">
        <f>DATE(2012,12,31)-1144</f>
        <v>40130</v>
      </c>
      <c r="D8257" s="8" t="str">
        <f t="shared" si="157"/>
        <v>2009-11 (ноябрь 2009)</v>
      </c>
      <c r="E8257" s="9" t="s">
        <v>63</v>
      </c>
      <c r="F8257" s="7">
        <v>10</v>
      </c>
      <c r="G8257" s="7">
        <v>54.52</v>
      </c>
      <c r="H8257" s="7">
        <v>0.01</v>
      </c>
      <c r="I8257" s="9" t="s">
        <v>22</v>
      </c>
      <c r="J8257" s="10">
        <v>-20.57</v>
      </c>
      <c r="K8257" s="11">
        <v>4.9800000000000004</v>
      </c>
      <c r="L8257" s="11">
        <v>4.72</v>
      </c>
      <c r="M8257" s="9" t="s">
        <v>2125</v>
      </c>
      <c r="N8257" s="6" t="s">
        <v>2073</v>
      </c>
      <c r="O8257" s="6" t="s">
        <v>704</v>
      </c>
      <c r="P8257" s="9" t="s">
        <v>33</v>
      </c>
      <c r="Q8257" s="9" t="s">
        <v>26</v>
      </c>
      <c r="R8257" s="9" t="s">
        <v>61</v>
      </c>
      <c r="S8257" s="7" t="s">
        <v>968</v>
      </c>
      <c r="T8257" s="9" t="s">
        <v>39</v>
      </c>
      <c r="U8257" s="7">
        <v>0.36</v>
      </c>
      <c r="V8257" s="12">
        <f>C8257+1</f>
        <v>40131</v>
      </c>
      <c r="W8257">
        <f>IF(D8257=' Pivot Tables'!$A$4,1,0)</f>
        <v>0</v>
      </c>
      <c r="X8257">
        <f>IF(AND(LEFT(D8257,4)+1=LEFT(' Pivot Tables'!$A$4,4)+0,RIGHT(LEFT(D8257,7),2)=RIGHT(LEFT(' Pivot Tables'!$A$4,7),2)),1,0)</f>
        <v>0</v>
      </c>
      <c r="Y8257" s="6">
        <f>1/COUNTIF(Таблица1[Order ID],Таблица1[[#This Row],[Order ID]])</f>
        <v>0.5</v>
      </c>
      <c r="Z8257" s="9">
        <f>1/COUNTIFS(Таблица1[Customer Name],Таблица1[[#This Row],[Customer Name]],Таблица1[Order-Year-Month],Таблица1[[#This Row],[Order-Year-Month]])</f>
        <v>0.5</v>
      </c>
    </row>
    <row r="8258" spans="1:26" x14ac:dyDescent="0.2">
      <c r="A8258" s="6">
        <v>3941</v>
      </c>
      <c r="B8258" s="7">
        <v>28069</v>
      </c>
      <c r="C8258" s="8">
        <f>DATE(2012,12,31)-1320</f>
        <v>39954</v>
      </c>
      <c r="D8258" s="8" t="str">
        <f t="shared" si="157"/>
        <v>2009-05 (май 2009)</v>
      </c>
      <c r="E8258" s="9" t="s">
        <v>21</v>
      </c>
      <c r="F8258" s="7">
        <v>1</v>
      </c>
      <c r="G8258" s="7">
        <v>10.17</v>
      </c>
      <c r="H8258" s="7">
        <v>0.02</v>
      </c>
      <c r="I8258" s="9" t="s">
        <v>56</v>
      </c>
      <c r="J8258" s="10">
        <v>-4.09</v>
      </c>
      <c r="K8258" s="11">
        <v>5.18</v>
      </c>
      <c r="L8258" s="11">
        <v>2.04</v>
      </c>
      <c r="M8258" s="9" t="s">
        <v>2127</v>
      </c>
      <c r="N8258" s="6" t="s">
        <v>2073</v>
      </c>
      <c r="O8258" s="6" t="s">
        <v>704</v>
      </c>
      <c r="P8258" s="9" t="s">
        <v>25</v>
      </c>
      <c r="Q8258" s="9" t="s">
        <v>26</v>
      </c>
      <c r="R8258" s="9" t="s">
        <v>61</v>
      </c>
      <c r="S8258" s="7" t="s">
        <v>391</v>
      </c>
      <c r="T8258" s="9" t="s">
        <v>68</v>
      </c>
      <c r="U8258" s="7">
        <v>0.36</v>
      </c>
      <c r="V8258" s="12">
        <f>C8258+5</f>
        <v>39959</v>
      </c>
      <c r="W8258">
        <f>IF(D8258=' Pivot Tables'!$A$4,1,0)</f>
        <v>0</v>
      </c>
      <c r="X8258">
        <f>IF(AND(LEFT(D8258,4)+1=LEFT(' Pivot Tables'!$A$4,4)+0,RIGHT(LEFT(D8258,7),2)=RIGHT(LEFT(' Pivot Tables'!$A$4,7),2)),1,0)</f>
        <v>0</v>
      </c>
      <c r="Y8258" s="6">
        <f>1/COUNTIF(Таблица1[Order ID],Таблица1[[#This Row],[Order ID]])</f>
        <v>0.5</v>
      </c>
      <c r="Z8258" s="9">
        <f>1/COUNTIFS(Таблица1[Customer Name],Таблица1[[#This Row],[Customer Name]],Таблица1[Order-Year-Month],Таблица1[[#This Row],[Order-Year-Month]])</f>
        <v>0.5</v>
      </c>
    </row>
    <row r="8259" spans="1:26" x14ac:dyDescent="0.2">
      <c r="A8259" s="6">
        <v>3942</v>
      </c>
      <c r="B8259" s="7">
        <v>28069</v>
      </c>
      <c r="C8259" s="8">
        <f>DATE(2012,12,31)-1320</f>
        <v>39954</v>
      </c>
      <c r="D8259" s="8" t="str">
        <f t="shared" ref="D8259:D8322" si="158">TEXT(C8259,"гггг-ММ (ММММ гггг)")</f>
        <v>2009-05 (май 2009)</v>
      </c>
      <c r="E8259" s="9" t="s">
        <v>21</v>
      </c>
      <c r="F8259" s="7">
        <v>4</v>
      </c>
      <c r="G8259" s="7">
        <v>23.58</v>
      </c>
      <c r="H8259" s="7">
        <v>0.09</v>
      </c>
      <c r="I8259" s="9" t="s">
        <v>22</v>
      </c>
      <c r="J8259" s="10">
        <v>-2.87</v>
      </c>
      <c r="K8259" s="11">
        <v>5.84</v>
      </c>
      <c r="L8259" s="11">
        <v>0.83</v>
      </c>
      <c r="M8259" s="9" t="s">
        <v>2127</v>
      </c>
      <c r="N8259" s="6" t="s">
        <v>2073</v>
      </c>
      <c r="O8259" s="6" t="s">
        <v>704</v>
      </c>
      <c r="P8259" s="9" t="s">
        <v>25</v>
      </c>
      <c r="Q8259" s="9" t="s">
        <v>26</v>
      </c>
      <c r="R8259" s="9" t="s">
        <v>95</v>
      </c>
      <c r="S8259" s="7" t="s">
        <v>1037</v>
      </c>
      <c r="T8259" s="9" t="s">
        <v>68</v>
      </c>
      <c r="U8259" s="7">
        <v>0.49</v>
      </c>
      <c r="V8259" s="12">
        <f>C8259+4</f>
        <v>39958</v>
      </c>
      <c r="W8259">
        <f>IF(D8259=' Pivot Tables'!$A$4,1,0)</f>
        <v>0</v>
      </c>
      <c r="X8259">
        <f>IF(AND(LEFT(D8259,4)+1=LEFT(' Pivot Tables'!$A$4,4)+0,RIGHT(LEFT(D8259,7),2)=RIGHT(LEFT(' Pivot Tables'!$A$4,7),2)),1,0)</f>
        <v>0</v>
      </c>
      <c r="Y8259" s="6">
        <f>1/COUNTIF(Таблица1[Order ID],Таблица1[[#This Row],[Order ID]])</f>
        <v>0.5</v>
      </c>
      <c r="Z8259" s="9">
        <f>1/COUNTIFS(Таблица1[Customer Name],Таблица1[[#This Row],[Customer Name]],Таблица1[Order-Year-Month],Таблица1[[#This Row],[Order-Year-Month]])</f>
        <v>0.5</v>
      </c>
    </row>
    <row r="8260" spans="1:26" x14ac:dyDescent="0.2">
      <c r="A8260" s="6">
        <v>4066</v>
      </c>
      <c r="B8260" s="7">
        <v>28934</v>
      </c>
      <c r="C8260" s="8">
        <f>DATE(2012,12,31)-33</f>
        <v>41241</v>
      </c>
      <c r="D8260" s="8" t="str">
        <f t="shared" si="158"/>
        <v>2012-11 (ноябрь 2012)</v>
      </c>
      <c r="E8260" s="9" t="s">
        <v>63</v>
      </c>
      <c r="F8260" s="7">
        <v>12</v>
      </c>
      <c r="G8260" s="7">
        <v>1272.3499999999999</v>
      </c>
      <c r="H8260" s="7">
        <v>0</v>
      </c>
      <c r="I8260" s="9" t="s">
        <v>22</v>
      </c>
      <c r="J8260" s="10">
        <v>297.57</v>
      </c>
      <c r="K8260" s="11">
        <v>100.98</v>
      </c>
      <c r="L8260" s="11">
        <v>7.18</v>
      </c>
      <c r="M8260" s="9" t="s">
        <v>2124</v>
      </c>
      <c r="N8260" s="6" t="s">
        <v>2073</v>
      </c>
      <c r="O8260" s="6" t="s">
        <v>704</v>
      </c>
      <c r="P8260" s="9" t="s">
        <v>33</v>
      </c>
      <c r="Q8260" s="9" t="s">
        <v>42</v>
      </c>
      <c r="R8260" s="9" t="s">
        <v>70</v>
      </c>
      <c r="S8260" s="7" t="s">
        <v>642</v>
      </c>
      <c r="T8260" s="9" t="s">
        <v>39</v>
      </c>
      <c r="U8260" s="7">
        <v>0.4</v>
      </c>
      <c r="V8260" s="12">
        <f>C8260+1</f>
        <v>41242</v>
      </c>
      <c r="W8260">
        <f>IF(D8260=' Pivot Tables'!$A$4,1,0)</f>
        <v>0</v>
      </c>
      <c r="X8260">
        <f>IF(AND(LEFT(D8260,4)+1=LEFT(' Pivot Tables'!$A$4,4)+0,RIGHT(LEFT(D8260,7),2)=RIGHT(LEFT(' Pivot Tables'!$A$4,7),2)),1,0)</f>
        <v>0</v>
      </c>
      <c r="Y8260" s="6">
        <f>1/COUNTIF(Таблица1[Order ID],Таблица1[[#This Row],[Order ID]])</f>
        <v>0.33333333333333331</v>
      </c>
      <c r="Z8260" s="9">
        <f>1/COUNTIFS(Таблица1[Customer Name],Таблица1[[#This Row],[Customer Name]],Таблица1[Order-Year-Month],Таблица1[[#This Row],[Order-Year-Month]])</f>
        <v>0.33333333333333331</v>
      </c>
    </row>
    <row r="8261" spans="1:26" x14ac:dyDescent="0.2">
      <c r="A8261" s="6">
        <v>4067</v>
      </c>
      <c r="B8261" s="7">
        <v>28934</v>
      </c>
      <c r="C8261" s="8">
        <f>DATE(2012,12,31)-33</f>
        <v>41241</v>
      </c>
      <c r="D8261" s="8" t="str">
        <f t="shared" si="158"/>
        <v>2012-11 (ноябрь 2012)</v>
      </c>
      <c r="E8261" s="9" t="s">
        <v>63</v>
      </c>
      <c r="F8261" s="7">
        <v>26</v>
      </c>
      <c r="G8261" s="7">
        <v>4000.35</v>
      </c>
      <c r="H8261" s="7">
        <v>7.0000000000000007E-2</v>
      </c>
      <c r="I8261" s="9" t="s">
        <v>31</v>
      </c>
      <c r="J8261" s="10">
        <v>303.39</v>
      </c>
      <c r="K8261" s="11">
        <v>160.97999999999999</v>
      </c>
      <c r="L8261" s="11">
        <v>30</v>
      </c>
      <c r="M8261" s="9" t="s">
        <v>2124</v>
      </c>
      <c r="N8261" s="6" t="s">
        <v>2073</v>
      </c>
      <c r="O8261" s="6" t="s">
        <v>704</v>
      </c>
      <c r="P8261" s="9" t="s">
        <v>33</v>
      </c>
      <c r="Q8261" s="9" t="s">
        <v>49</v>
      </c>
      <c r="R8261" s="9" t="s">
        <v>112</v>
      </c>
      <c r="S8261" s="7" t="s">
        <v>746</v>
      </c>
      <c r="T8261" s="9" t="s">
        <v>36</v>
      </c>
      <c r="U8261" s="7">
        <v>0.62</v>
      </c>
      <c r="V8261" s="12">
        <f>C8261+2</f>
        <v>41243</v>
      </c>
      <c r="W8261">
        <f>IF(D8261=' Pivot Tables'!$A$4,1,0)</f>
        <v>0</v>
      </c>
      <c r="X8261">
        <f>IF(AND(LEFT(D8261,4)+1=LEFT(' Pivot Tables'!$A$4,4)+0,RIGHT(LEFT(D8261,7),2)=RIGHT(LEFT(' Pivot Tables'!$A$4,7),2)),1,0)</f>
        <v>0</v>
      </c>
      <c r="Y8261" s="6">
        <f>1/COUNTIF(Таблица1[Order ID],Таблица1[[#This Row],[Order ID]])</f>
        <v>0.33333333333333331</v>
      </c>
      <c r="Z8261" s="9">
        <f>1/COUNTIFS(Таблица1[Customer Name],Таблица1[[#This Row],[Customer Name]],Таблица1[Order-Year-Month],Таблица1[[#This Row],[Order-Year-Month]])</f>
        <v>0.33333333333333331</v>
      </c>
    </row>
    <row r="8262" spans="1:26" x14ac:dyDescent="0.2">
      <c r="A8262" s="6">
        <v>4068</v>
      </c>
      <c r="B8262" s="7">
        <v>28934</v>
      </c>
      <c r="C8262" s="8">
        <f>DATE(2012,12,31)-33</f>
        <v>41241</v>
      </c>
      <c r="D8262" s="8" t="str">
        <f t="shared" si="158"/>
        <v>2012-11 (ноябрь 2012)</v>
      </c>
      <c r="E8262" s="9" t="s">
        <v>63</v>
      </c>
      <c r="F8262" s="7">
        <v>26</v>
      </c>
      <c r="G8262" s="7">
        <v>3356.92</v>
      </c>
      <c r="H8262" s="7">
        <v>0</v>
      </c>
      <c r="I8262" s="9" t="s">
        <v>56</v>
      </c>
      <c r="J8262" s="10">
        <v>1555.9</v>
      </c>
      <c r="K8262" s="11">
        <v>120.97</v>
      </c>
      <c r="L8262" s="11">
        <v>7.11</v>
      </c>
      <c r="M8262" s="9" t="s">
        <v>2124</v>
      </c>
      <c r="N8262" s="6" t="s">
        <v>2073</v>
      </c>
      <c r="O8262" s="6" t="s">
        <v>704</v>
      </c>
      <c r="P8262" s="9" t="s">
        <v>33</v>
      </c>
      <c r="Q8262" s="9" t="s">
        <v>42</v>
      </c>
      <c r="R8262" s="9" t="s">
        <v>210</v>
      </c>
      <c r="S8262" s="7" t="s">
        <v>211</v>
      </c>
      <c r="T8262" s="9" t="s">
        <v>48</v>
      </c>
      <c r="U8262" s="7">
        <v>0.36</v>
      </c>
      <c r="V8262" s="12">
        <f>C8262+2</f>
        <v>41243</v>
      </c>
      <c r="W8262">
        <f>IF(D8262=' Pivot Tables'!$A$4,1,0)</f>
        <v>0</v>
      </c>
      <c r="X8262">
        <f>IF(AND(LEFT(D8262,4)+1=LEFT(' Pivot Tables'!$A$4,4)+0,RIGHT(LEFT(D8262,7),2)=RIGHT(LEFT(' Pivot Tables'!$A$4,7),2)),1,0)</f>
        <v>0</v>
      </c>
      <c r="Y8262" s="6">
        <f>1/COUNTIF(Таблица1[Order ID],Таблица1[[#This Row],[Order ID]])</f>
        <v>0.33333333333333331</v>
      </c>
      <c r="Z8262" s="9">
        <f>1/COUNTIFS(Таблица1[Customer Name],Таблица1[[#This Row],[Customer Name]],Таблица1[Order-Year-Month],Таблица1[[#This Row],[Order-Year-Month]])</f>
        <v>0.33333333333333331</v>
      </c>
    </row>
    <row r="8263" spans="1:26" x14ac:dyDescent="0.2">
      <c r="A8263" s="6">
        <v>4102</v>
      </c>
      <c r="B8263" s="7">
        <v>29218</v>
      </c>
      <c r="C8263" s="8">
        <f>DATE(2012,12,31)-216</f>
        <v>41058</v>
      </c>
      <c r="D8263" s="8" t="str">
        <f t="shared" si="158"/>
        <v>2012-05 (май 2012)</v>
      </c>
      <c r="E8263" s="9" t="s">
        <v>21</v>
      </c>
      <c r="F8263" s="7">
        <v>19</v>
      </c>
      <c r="G8263" s="7">
        <v>1823.02</v>
      </c>
      <c r="H8263" s="7">
        <v>0.04</v>
      </c>
      <c r="I8263" s="9" t="s">
        <v>56</v>
      </c>
      <c r="J8263" s="10">
        <v>80.8</v>
      </c>
      <c r="K8263" s="11">
        <v>92.23</v>
      </c>
      <c r="L8263" s="11">
        <v>39.61</v>
      </c>
      <c r="M8263" s="9" t="s">
        <v>1408</v>
      </c>
      <c r="N8263" s="6" t="s">
        <v>2073</v>
      </c>
      <c r="O8263" s="6" t="s">
        <v>704</v>
      </c>
      <c r="P8263" s="9" t="s">
        <v>60</v>
      </c>
      <c r="Q8263" s="9" t="s">
        <v>49</v>
      </c>
      <c r="R8263" s="9" t="s">
        <v>50</v>
      </c>
      <c r="S8263" s="7" t="s">
        <v>145</v>
      </c>
      <c r="T8263" s="9" t="s">
        <v>48</v>
      </c>
      <c r="U8263" s="7">
        <v>0.67</v>
      </c>
      <c r="V8263" s="12">
        <f>C8263+0</f>
        <v>41058</v>
      </c>
      <c r="W8263">
        <f>IF(D8263=' Pivot Tables'!$A$4,1,0)</f>
        <v>0</v>
      </c>
      <c r="X8263">
        <f>IF(AND(LEFT(D8263,4)+1=LEFT(' Pivot Tables'!$A$4,4)+0,RIGHT(LEFT(D8263,7),2)=RIGHT(LEFT(' Pivot Tables'!$A$4,7),2)),1,0)</f>
        <v>0</v>
      </c>
      <c r="Y8263" s="6">
        <f>1/COUNTIF(Таблица1[Order ID],Таблица1[[#This Row],[Order ID]])</f>
        <v>0.33333333333333331</v>
      </c>
      <c r="Z8263" s="9">
        <f>1/COUNTIFS(Таблица1[Customer Name],Таблица1[[#This Row],[Customer Name]],Таблица1[Order-Year-Month],Таблица1[[#This Row],[Order-Year-Month]])</f>
        <v>0.16666666666666666</v>
      </c>
    </row>
    <row r="8264" spans="1:26" x14ac:dyDescent="0.2">
      <c r="A8264" s="6">
        <v>4103</v>
      </c>
      <c r="B8264" s="7">
        <v>29218</v>
      </c>
      <c r="C8264" s="8">
        <f>DATE(2012,12,31)-216</f>
        <v>41058</v>
      </c>
      <c r="D8264" s="8" t="str">
        <f t="shared" si="158"/>
        <v>2012-05 (май 2012)</v>
      </c>
      <c r="E8264" s="9" t="s">
        <v>21</v>
      </c>
      <c r="F8264" s="7">
        <v>26</v>
      </c>
      <c r="G8264" s="7">
        <v>74.02</v>
      </c>
      <c r="H8264" s="7">
        <v>0.04</v>
      </c>
      <c r="I8264" s="9" t="s">
        <v>22</v>
      </c>
      <c r="J8264" s="10">
        <v>8.1300000000000008</v>
      </c>
      <c r="K8264" s="11">
        <v>2.88</v>
      </c>
      <c r="L8264" s="11">
        <v>0.7</v>
      </c>
      <c r="M8264" s="9" t="s">
        <v>1408</v>
      </c>
      <c r="N8264" s="6" t="s">
        <v>2073</v>
      </c>
      <c r="O8264" s="6" t="s">
        <v>704</v>
      </c>
      <c r="P8264" s="9" t="s">
        <v>60</v>
      </c>
      <c r="Q8264" s="9" t="s">
        <v>26</v>
      </c>
      <c r="R8264" s="9" t="s">
        <v>95</v>
      </c>
      <c r="S8264" s="7" t="s">
        <v>1059</v>
      </c>
      <c r="T8264" s="9" t="s">
        <v>68</v>
      </c>
      <c r="U8264" s="7">
        <v>0.56000000000000005</v>
      </c>
      <c r="V8264" s="12">
        <f>C8264+0</f>
        <v>41058</v>
      </c>
      <c r="W8264">
        <f>IF(D8264=' Pivot Tables'!$A$4,1,0)</f>
        <v>0</v>
      </c>
      <c r="X8264">
        <f>IF(AND(LEFT(D8264,4)+1=LEFT(' Pivot Tables'!$A$4,4)+0,RIGHT(LEFT(D8264,7),2)=RIGHT(LEFT(' Pivot Tables'!$A$4,7),2)),1,0)</f>
        <v>0</v>
      </c>
      <c r="Y8264" s="6">
        <f>1/COUNTIF(Таблица1[Order ID],Таблица1[[#This Row],[Order ID]])</f>
        <v>0.33333333333333331</v>
      </c>
      <c r="Z8264" s="9">
        <f>1/COUNTIFS(Таблица1[Customer Name],Таблица1[[#This Row],[Customer Name]],Таблица1[Order-Year-Month],Таблица1[[#This Row],[Order-Year-Month]])</f>
        <v>0.16666666666666666</v>
      </c>
    </row>
    <row r="8265" spans="1:26" x14ac:dyDescent="0.2">
      <c r="A8265" s="6">
        <v>4104</v>
      </c>
      <c r="B8265" s="7">
        <v>29218</v>
      </c>
      <c r="C8265" s="8">
        <f>DATE(2012,12,31)-216</f>
        <v>41058</v>
      </c>
      <c r="D8265" s="8" t="str">
        <f t="shared" si="158"/>
        <v>2012-05 (май 2012)</v>
      </c>
      <c r="E8265" s="9" t="s">
        <v>21</v>
      </c>
      <c r="F8265" s="7">
        <v>13</v>
      </c>
      <c r="G8265" s="7">
        <v>2252.9760000000001</v>
      </c>
      <c r="H8265" s="7">
        <v>0.02</v>
      </c>
      <c r="I8265" s="9" t="s">
        <v>22</v>
      </c>
      <c r="J8265" s="10">
        <v>-54.362000000000002</v>
      </c>
      <c r="K8265" s="11">
        <v>205.99</v>
      </c>
      <c r="L8265" s="11">
        <v>8.99</v>
      </c>
      <c r="M8265" s="9" t="s">
        <v>1408</v>
      </c>
      <c r="N8265" s="6" t="s">
        <v>2073</v>
      </c>
      <c r="O8265" s="6" t="s">
        <v>704</v>
      </c>
      <c r="P8265" s="9" t="s">
        <v>60</v>
      </c>
      <c r="Q8265" s="9" t="s">
        <v>42</v>
      </c>
      <c r="R8265" s="9" t="s">
        <v>43</v>
      </c>
      <c r="S8265" s="7" t="s">
        <v>1162</v>
      </c>
      <c r="T8265" s="9" t="s">
        <v>39</v>
      </c>
      <c r="U8265" s="7">
        <v>0.57999999999999996</v>
      </c>
      <c r="V8265" s="12">
        <f>C8265+2</f>
        <v>41060</v>
      </c>
      <c r="W8265">
        <f>IF(D8265=' Pivot Tables'!$A$4,1,0)</f>
        <v>0</v>
      </c>
      <c r="X8265">
        <f>IF(AND(LEFT(D8265,4)+1=LEFT(' Pivot Tables'!$A$4,4)+0,RIGHT(LEFT(D8265,7),2)=RIGHT(LEFT(' Pivot Tables'!$A$4,7),2)),1,0)</f>
        <v>0</v>
      </c>
      <c r="Y8265" s="6">
        <f>1/COUNTIF(Таблица1[Order ID],Таблица1[[#This Row],[Order ID]])</f>
        <v>0.33333333333333331</v>
      </c>
      <c r="Z8265" s="9">
        <f>1/COUNTIFS(Таблица1[Customer Name],Таблица1[[#This Row],[Customer Name]],Таблица1[Order-Year-Month],Таблица1[[#This Row],[Order-Year-Month]])</f>
        <v>0.16666666666666666</v>
      </c>
    </row>
    <row r="8266" spans="1:26" x14ac:dyDescent="0.2">
      <c r="A8266" s="6">
        <v>4117</v>
      </c>
      <c r="B8266" s="7">
        <v>29286</v>
      </c>
      <c r="C8266" s="8">
        <f>DATE(2012,12,31)-1252</f>
        <v>40022</v>
      </c>
      <c r="D8266" s="8" t="str">
        <f t="shared" si="158"/>
        <v>2009-07 (июль 2009)</v>
      </c>
      <c r="E8266" s="9" t="s">
        <v>78</v>
      </c>
      <c r="F8266" s="7">
        <v>4</v>
      </c>
      <c r="G8266" s="7">
        <v>13070.2</v>
      </c>
      <c r="H8266" s="7">
        <v>7.0000000000000007E-2</v>
      </c>
      <c r="I8266" s="9" t="s">
        <v>31</v>
      </c>
      <c r="J8266" s="10">
        <v>-6923.5991999999997</v>
      </c>
      <c r="K8266" s="11">
        <v>3502.14</v>
      </c>
      <c r="L8266" s="11">
        <v>8.73</v>
      </c>
      <c r="M8266" s="9" t="s">
        <v>2123</v>
      </c>
      <c r="N8266" s="6" t="s">
        <v>2073</v>
      </c>
      <c r="O8266" s="6" t="s">
        <v>704</v>
      </c>
      <c r="P8266" s="9" t="s">
        <v>41</v>
      </c>
      <c r="Q8266" s="9" t="s">
        <v>42</v>
      </c>
      <c r="R8266" s="9" t="s">
        <v>210</v>
      </c>
      <c r="S8266" s="7" t="s">
        <v>2043</v>
      </c>
      <c r="T8266" s="9" t="s">
        <v>82</v>
      </c>
      <c r="U8266" s="7">
        <v>0.56999999999999995</v>
      </c>
      <c r="V8266" s="12">
        <f>C8266+2</f>
        <v>40024</v>
      </c>
      <c r="W8266">
        <f>IF(D8266=' Pivot Tables'!$A$4,1,0)</f>
        <v>0</v>
      </c>
      <c r="X8266">
        <f>IF(AND(LEFT(D8266,4)+1=LEFT(' Pivot Tables'!$A$4,4)+0,RIGHT(LEFT(D8266,7),2)=RIGHT(LEFT(' Pivot Tables'!$A$4,7),2)),1,0)</f>
        <v>0</v>
      </c>
      <c r="Y8266" s="6">
        <f>1/COUNTIF(Таблица1[Order ID],Таблица1[[#This Row],[Order ID]])</f>
        <v>1</v>
      </c>
      <c r="Z8266" s="9">
        <f>1/COUNTIFS(Таблица1[Customer Name],Таблица1[[#This Row],[Customer Name]],Таблица1[Order-Year-Month],Таблица1[[#This Row],[Order-Year-Month]])</f>
        <v>1</v>
      </c>
    </row>
    <row r="8267" spans="1:26" x14ac:dyDescent="0.2">
      <c r="A8267" s="6">
        <v>4165</v>
      </c>
      <c r="B8267" s="7">
        <v>29536</v>
      </c>
      <c r="C8267" s="8">
        <f>DATE(2012,12,31)-115</f>
        <v>41159</v>
      </c>
      <c r="D8267" s="8" t="str">
        <f t="shared" si="158"/>
        <v>2012-09 (сентябрь 2012)</v>
      </c>
      <c r="E8267" s="9" t="s">
        <v>63</v>
      </c>
      <c r="F8267" s="7">
        <v>5</v>
      </c>
      <c r="G8267" s="7">
        <v>495.32</v>
      </c>
      <c r="H8267" s="7">
        <v>0.05</v>
      </c>
      <c r="I8267" s="9" t="s">
        <v>31</v>
      </c>
      <c r="J8267" s="10">
        <v>-72.73</v>
      </c>
      <c r="K8267" s="11">
        <v>100.98</v>
      </c>
      <c r="L8267" s="11">
        <v>15.66</v>
      </c>
      <c r="M8267" s="9" t="s">
        <v>2122</v>
      </c>
      <c r="N8267" s="6" t="s">
        <v>2073</v>
      </c>
      <c r="O8267" s="6" t="s">
        <v>704</v>
      </c>
      <c r="P8267" s="9" t="s">
        <v>33</v>
      </c>
      <c r="Q8267" s="9" t="s">
        <v>26</v>
      </c>
      <c r="R8267" s="9" t="s">
        <v>34</v>
      </c>
      <c r="S8267" s="7" t="s">
        <v>1076</v>
      </c>
      <c r="T8267" s="9" t="s">
        <v>36</v>
      </c>
      <c r="U8267" s="7">
        <v>0.56999999999999995</v>
      </c>
      <c r="V8267" s="12">
        <f>C8267+2</f>
        <v>41161</v>
      </c>
      <c r="W8267">
        <f>IF(D8267=' Pivot Tables'!$A$4,1,0)</f>
        <v>0</v>
      </c>
      <c r="X8267">
        <f>IF(AND(LEFT(D8267,4)+1=LEFT(' Pivot Tables'!$A$4,4)+0,RIGHT(LEFT(D8267,7),2)=RIGHT(LEFT(' Pivot Tables'!$A$4,7),2)),1,0)</f>
        <v>0</v>
      </c>
      <c r="Y8267" s="6">
        <f>1/COUNTIF(Таблица1[Order ID],Таблица1[[#This Row],[Order ID]])</f>
        <v>0.33333333333333331</v>
      </c>
      <c r="Z8267" s="9">
        <f>1/COUNTIFS(Таблица1[Customer Name],Таблица1[[#This Row],[Customer Name]],Таблица1[Order-Year-Month],Таблица1[[#This Row],[Order-Year-Month]])</f>
        <v>0.33333333333333331</v>
      </c>
    </row>
    <row r="8268" spans="1:26" x14ac:dyDescent="0.2">
      <c r="A8268" s="6">
        <v>4166</v>
      </c>
      <c r="B8268" s="7">
        <v>29536</v>
      </c>
      <c r="C8268" s="8">
        <f>DATE(2012,12,31)-115</f>
        <v>41159</v>
      </c>
      <c r="D8268" s="8" t="str">
        <f t="shared" si="158"/>
        <v>2012-09 (сентябрь 2012)</v>
      </c>
      <c r="E8268" s="9" t="s">
        <v>63</v>
      </c>
      <c r="F8268" s="7">
        <v>11</v>
      </c>
      <c r="G8268" s="7">
        <v>2483.5300000000002</v>
      </c>
      <c r="H8268" s="7">
        <v>7.0000000000000007E-2</v>
      </c>
      <c r="I8268" s="9" t="s">
        <v>31</v>
      </c>
      <c r="J8268" s="10">
        <v>-176.77</v>
      </c>
      <c r="K8268" s="11">
        <v>220.98</v>
      </c>
      <c r="L8268" s="11">
        <v>64.66</v>
      </c>
      <c r="M8268" s="9" t="s">
        <v>2122</v>
      </c>
      <c r="N8268" s="6" t="s">
        <v>2073</v>
      </c>
      <c r="O8268" s="6" t="s">
        <v>704</v>
      </c>
      <c r="P8268" s="9" t="s">
        <v>33</v>
      </c>
      <c r="Q8268" s="9" t="s">
        <v>49</v>
      </c>
      <c r="R8268" s="9" t="s">
        <v>80</v>
      </c>
      <c r="S8268" s="7" t="s">
        <v>1012</v>
      </c>
      <c r="T8268" s="9" t="s">
        <v>82</v>
      </c>
      <c r="U8268" s="7">
        <v>0.62</v>
      </c>
      <c r="V8268" s="12">
        <f>C8268+2</f>
        <v>41161</v>
      </c>
      <c r="W8268">
        <f>IF(D8268=' Pivot Tables'!$A$4,1,0)</f>
        <v>0</v>
      </c>
      <c r="X8268">
        <f>IF(AND(LEFT(D8268,4)+1=LEFT(' Pivot Tables'!$A$4,4)+0,RIGHT(LEFT(D8268,7),2)=RIGHT(LEFT(' Pivot Tables'!$A$4,7),2)),1,0)</f>
        <v>0</v>
      </c>
      <c r="Y8268" s="6">
        <f>1/COUNTIF(Таблица1[Order ID],Таблица1[[#This Row],[Order ID]])</f>
        <v>0.33333333333333331</v>
      </c>
      <c r="Z8268" s="9">
        <f>1/COUNTIFS(Таблица1[Customer Name],Таблица1[[#This Row],[Customer Name]],Таблица1[Order-Year-Month],Таблица1[[#This Row],[Order-Year-Month]])</f>
        <v>0.33333333333333331</v>
      </c>
    </row>
    <row r="8269" spans="1:26" x14ac:dyDescent="0.2">
      <c r="A8269" s="6">
        <v>4167</v>
      </c>
      <c r="B8269" s="7">
        <v>29536</v>
      </c>
      <c r="C8269" s="8">
        <f>DATE(2012,12,31)-115</f>
        <v>41159</v>
      </c>
      <c r="D8269" s="8" t="str">
        <f t="shared" si="158"/>
        <v>2012-09 (сентябрь 2012)</v>
      </c>
      <c r="E8269" s="9" t="s">
        <v>63</v>
      </c>
      <c r="F8269" s="7">
        <v>26</v>
      </c>
      <c r="G8269" s="7">
        <v>967.41</v>
      </c>
      <c r="H8269" s="7">
        <v>0.03</v>
      </c>
      <c r="I8269" s="9" t="s">
        <v>22</v>
      </c>
      <c r="J8269" s="10">
        <v>26.64</v>
      </c>
      <c r="K8269" s="11">
        <v>35.44</v>
      </c>
      <c r="L8269" s="11">
        <v>19.989999999999998</v>
      </c>
      <c r="M8269" s="9" t="s">
        <v>2122</v>
      </c>
      <c r="N8269" s="6" t="s">
        <v>2073</v>
      </c>
      <c r="O8269" s="6" t="s">
        <v>704</v>
      </c>
      <c r="P8269" s="9" t="s">
        <v>33</v>
      </c>
      <c r="Q8269" s="9" t="s">
        <v>26</v>
      </c>
      <c r="R8269" s="9" t="s">
        <v>61</v>
      </c>
      <c r="S8269" s="7" t="s">
        <v>1507</v>
      </c>
      <c r="T8269" s="9" t="s">
        <v>39</v>
      </c>
      <c r="U8269" s="7">
        <v>0.38</v>
      </c>
      <c r="V8269" s="12">
        <f>C8269+2</f>
        <v>41161</v>
      </c>
      <c r="W8269">
        <f>IF(D8269=' Pivot Tables'!$A$4,1,0)</f>
        <v>0</v>
      </c>
      <c r="X8269">
        <f>IF(AND(LEFT(D8269,4)+1=LEFT(' Pivot Tables'!$A$4,4)+0,RIGHT(LEFT(D8269,7),2)=RIGHT(LEFT(' Pivot Tables'!$A$4,7),2)),1,0)</f>
        <v>0</v>
      </c>
      <c r="Y8269" s="6">
        <f>1/COUNTIF(Таблица1[Order ID],Таблица1[[#This Row],[Order ID]])</f>
        <v>0.33333333333333331</v>
      </c>
      <c r="Z8269" s="9">
        <f>1/COUNTIFS(Таблица1[Customer Name],Таблица1[[#This Row],[Customer Name]],Таблица1[Order-Year-Month],Таблица1[[#This Row],[Order-Year-Month]])</f>
        <v>0.33333333333333331</v>
      </c>
    </row>
    <row r="8270" spans="1:26" x14ac:dyDescent="0.2">
      <c r="A8270" s="6">
        <v>4170</v>
      </c>
      <c r="B8270" s="7">
        <v>29569</v>
      </c>
      <c r="C8270" s="8">
        <f>DATE(2012,12,31)-547</f>
        <v>40727</v>
      </c>
      <c r="D8270" s="8" t="str">
        <f t="shared" si="158"/>
        <v>2011-07 (июль 2011)</v>
      </c>
      <c r="E8270" s="9" t="s">
        <v>30</v>
      </c>
      <c r="F8270" s="7">
        <v>46</v>
      </c>
      <c r="G8270" s="7">
        <v>27720.98</v>
      </c>
      <c r="H8270" s="7">
        <v>7.0000000000000007E-2</v>
      </c>
      <c r="I8270" s="9" t="s">
        <v>22</v>
      </c>
      <c r="J8270" s="10">
        <v>11984.395</v>
      </c>
      <c r="K8270" s="11">
        <v>599.99</v>
      </c>
      <c r="L8270" s="11">
        <v>24.49</v>
      </c>
      <c r="M8270" s="9" t="s">
        <v>2122</v>
      </c>
      <c r="N8270" s="6" t="s">
        <v>2073</v>
      </c>
      <c r="O8270" s="6" t="s">
        <v>704</v>
      </c>
      <c r="P8270" s="9" t="s">
        <v>33</v>
      </c>
      <c r="Q8270" s="9" t="s">
        <v>42</v>
      </c>
      <c r="R8270" s="9" t="s">
        <v>99</v>
      </c>
      <c r="S8270" s="7" t="s">
        <v>1004</v>
      </c>
      <c r="T8270" s="9" t="s">
        <v>29</v>
      </c>
      <c r="U8270" s="7">
        <v>0.37</v>
      </c>
      <c r="V8270" s="12">
        <f>C8270+1</f>
        <v>40728</v>
      </c>
      <c r="W8270">
        <f>IF(D8270=' Pivot Tables'!$A$4,1,0)</f>
        <v>0</v>
      </c>
      <c r="X8270">
        <f>IF(AND(LEFT(D8270,4)+1=LEFT(' Pivot Tables'!$A$4,4)+0,RIGHT(LEFT(D8270,7),2)=RIGHT(LEFT(' Pivot Tables'!$A$4,7),2)),1,0)</f>
        <v>0</v>
      </c>
      <c r="Y8270" s="6">
        <f>1/COUNTIF(Таблица1[Order ID],Таблица1[[#This Row],[Order ID]])</f>
        <v>0.5</v>
      </c>
      <c r="Z8270" s="9">
        <f>1/COUNTIFS(Таблица1[Customer Name],Таблица1[[#This Row],[Customer Name]],Таблица1[Order-Year-Month],Таблица1[[#This Row],[Order-Year-Month]])</f>
        <v>0.25</v>
      </c>
    </row>
    <row r="8271" spans="1:26" x14ac:dyDescent="0.2">
      <c r="A8271" s="6">
        <v>4171</v>
      </c>
      <c r="B8271" s="7">
        <v>29569</v>
      </c>
      <c r="C8271" s="8">
        <f>DATE(2012,12,31)-547</f>
        <v>40727</v>
      </c>
      <c r="D8271" s="8" t="str">
        <f t="shared" si="158"/>
        <v>2011-07 (июль 2011)</v>
      </c>
      <c r="E8271" s="9" t="s">
        <v>30</v>
      </c>
      <c r="F8271" s="7">
        <v>29</v>
      </c>
      <c r="G8271" s="7">
        <v>520.13</v>
      </c>
      <c r="H8271" s="7">
        <v>0.1</v>
      </c>
      <c r="I8271" s="9" t="s">
        <v>22</v>
      </c>
      <c r="J8271" s="10">
        <v>127.55</v>
      </c>
      <c r="K8271" s="11">
        <v>18.97</v>
      </c>
      <c r="L8271" s="11">
        <v>5.21</v>
      </c>
      <c r="M8271" s="9" t="s">
        <v>2122</v>
      </c>
      <c r="N8271" s="6" t="s">
        <v>2073</v>
      </c>
      <c r="O8271" s="6" t="s">
        <v>704</v>
      </c>
      <c r="P8271" s="9" t="s">
        <v>33</v>
      </c>
      <c r="Q8271" s="9" t="s">
        <v>26</v>
      </c>
      <c r="R8271" s="9" t="s">
        <v>61</v>
      </c>
      <c r="S8271" s="7" t="s">
        <v>182</v>
      </c>
      <c r="T8271" s="9" t="s">
        <v>39</v>
      </c>
      <c r="U8271" s="7">
        <v>0.37</v>
      </c>
      <c r="V8271" s="12">
        <f>C8271+2</f>
        <v>40729</v>
      </c>
      <c r="W8271">
        <f>IF(D8271=' Pivot Tables'!$A$4,1,0)</f>
        <v>0</v>
      </c>
      <c r="X8271">
        <f>IF(AND(LEFT(D8271,4)+1=LEFT(' Pivot Tables'!$A$4,4)+0,RIGHT(LEFT(D8271,7),2)=RIGHT(LEFT(' Pivot Tables'!$A$4,7),2)),1,0)</f>
        <v>0</v>
      </c>
      <c r="Y8271" s="6">
        <f>1/COUNTIF(Таблица1[Order ID],Таблица1[[#This Row],[Order ID]])</f>
        <v>0.5</v>
      </c>
      <c r="Z8271" s="9">
        <f>1/COUNTIFS(Таблица1[Customer Name],Таблица1[[#This Row],[Customer Name]],Таблица1[Order-Year-Month],Таблица1[[#This Row],[Order-Year-Month]])</f>
        <v>0.25</v>
      </c>
    </row>
    <row r="8272" spans="1:26" x14ac:dyDescent="0.2">
      <c r="A8272" s="6">
        <v>4197</v>
      </c>
      <c r="B8272" s="7">
        <v>29827</v>
      </c>
      <c r="C8272" s="8">
        <f>DATE(2012,12,31)-536</f>
        <v>40738</v>
      </c>
      <c r="D8272" s="8" t="str">
        <f t="shared" si="158"/>
        <v>2011-07 (июль 2011)</v>
      </c>
      <c r="E8272" s="9" t="s">
        <v>78</v>
      </c>
      <c r="F8272" s="7">
        <v>35</v>
      </c>
      <c r="G8272" s="7">
        <v>926.65</v>
      </c>
      <c r="H8272" s="7">
        <v>0.01</v>
      </c>
      <c r="I8272" s="9" t="s">
        <v>22</v>
      </c>
      <c r="J8272" s="10">
        <v>-75.38</v>
      </c>
      <c r="K8272" s="11">
        <v>26.31</v>
      </c>
      <c r="L8272" s="11">
        <v>5.89</v>
      </c>
      <c r="M8272" s="9" t="s">
        <v>2122</v>
      </c>
      <c r="N8272" s="6" t="s">
        <v>2073</v>
      </c>
      <c r="O8272" s="6" t="s">
        <v>704</v>
      </c>
      <c r="P8272" s="9" t="s">
        <v>33</v>
      </c>
      <c r="Q8272" s="9" t="s">
        <v>42</v>
      </c>
      <c r="R8272" s="9" t="s">
        <v>70</v>
      </c>
      <c r="S8272" s="7" t="s">
        <v>420</v>
      </c>
      <c r="T8272" s="9" t="s">
        <v>39</v>
      </c>
      <c r="U8272" s="7">
        <v>0.75</v>
      </c>
      <c r="V8272" s="12">
        <f>C8272+1</f>
        <v>40739</v>
      </c>
      <c r="W8272">
        <f>IF(D8272=' Pivot Tables'!$A$4,1,0)</f>
        <v>0</v>
      </c>
      <c r="X8272">
        <f>IF(AND(LEFT(D8272,4)+1=LEFT(' Pivot Tables'!$A$4,4)+0,RIGHT(LEFT(D8272,7),2)=RIGHT(LEFT(' Pivot Tables'!$A$4,7),2)),1,0)</f>
        <v>0</v>
      </c>
      <c r="Y8272" s="6">
        <f>1/COUNTIF(Таблица1[Order ID],Таблица1[[#This Row],[Order ID]])</f>
        <v>1</v>
      </c>
      <c r="Z8272" s="9">
        <f>1/COUNTIFS(Таблица1[Customer Name],Таблица1[[#This Row],[Customer Name]],Таблица1[Order-Year-Month],Таблица1[[#This Row],[Order-Year-Month]])</f>
        <v>0.25</v>
      </c>
    </row>
    <row r="8273" spans="1:26" x14ac:dyDescent="0.2">
      <c r="A8273" s="6">
        <v>4210</v>
      </c>
      <c r="B8273" s="7">
        <v>29926</v>
      </c>
      <c r="C8273" s="8">
        <f>DATE(2012,12,31)-284</f>
        <v>40990</v>
      </c>
      <c r="D8273" s="8" t="str">
        <f t="shared" si="158"/>
        <v>2012-03 (март 2012)</v>
      </c>
      <c r="E8273" s="9" t="s">
        <v>63</v>
      </c>
      <c r="F8273" s="7">
        <v>9</v>
      </c>
      <c r="G8273" s="7">
        <v>20.21</v>
      </c>
      <c r="H8273" s="7">
        <v>0</v>
      </c>
      <c r="I8273" s="9" t="s">
        <v>22</v>
      </c>
      <c r="J8273" s="10">
        <v>-5.1404999999999994</v>
      </c>
      <c r="K8273" s="11">
        <v>2.08</v>
      </c>
      <c r="L8273" s="11">
        <v>1.49</v>
      </c>
      <c r="M8273" s="9" t="s">
        <v>2119</v>
      </c>
      <c r="N8273" s="6" t="s">
        <v>2073</v>
      </c>
      <c r="O8273" s="6" t="s">
        <v>704</v>
      </c>
      <c r="P8273" s="9" t="s">
        <v>41</v>
      </c>
      <c r="Q8273" s="9" t="s">
        <v>26</v>
      </c>
      <c r="R8273" s="9" t="s">
        <v>37</v>
      </c>
      <c r="S8273" s="7" t="s">
        <v>779</v>
      </c>
      <c r="T8273" s="9" t="s">
        <v>39</v>
      </c>
      <c r="U8273" s="7">
        <v>0.38</v>
      </c>
      <c r="V8273" s="12">
        <f>C8273+2</f>
        <v>40992</v>
      </c>
      <c r="W8273">
        <f>IF(D8273=' Pivot Tables'!$A$4,1,0)</f>
        <v>0</v>
      </c>
      <c r="X8273">
        <f>IF(AND(LEFT(D8273,4)+1=LEFT(' Pivot Tables'!$A$4,4)+0,RIGHT(LEFT(D8273,7),2)=RIGHT(LEFT(' Pivot Tables'!$A$4,7),2)),1,0)</f>
        <v>0</v>
      </c>
      <c r="Y8273" s="6">
        <f>1/COUNTIF(Таблица1[Order ID],Таблица1[[#This Row],[Order ID]])</f>
        <v>1</v>
      </c>
      <c r="Z8273" s="9">
        <f>1/COUNTIFS(Таблица1[Customer Name],Таблица1[[#This Row],[Customer Name]],Таблица1[Order-Year-Month],Таблица1[[#This Row],[Order-Year-Month]])</f>
        <v>1</v>
      </c>
    </row>
    <row r="8274" spans="1:26" x14ac:dyDescent="0.2">
      <c r="A8274" s="6">
        <v>4337</v>
      </c>
      <c r="B8274" s="7">
        <v>30913</v>
      </c>
      <c r="C8274" s="8">
        <f>DATE(2012,12,31)-100</f>
        <v>41174</v>
      </c>
      <c r="D8274" s="8" t="str">
        <f t="shared" si="158"/>
        <v>2012-09 (сентябрь 2012)</v>
      </c>
      <c r="E8274" s="9" t="s">
        <v>63</v>
      </c>
      <c r="F8274" s="7">
        <v>23</v>
      </c>
      <c r="G8274" s="7">
        <v>143.1</v>
      </c>
      <c r="H8274" s="7">
        <v>0.01</v>
      </c>
      <c r="I8274" s="9" t="s">
        <v>22</v>
      </c>
      <c r="J8274" s="10">
        <v>36.7455</v>
      </c>
      <c r="K8274" s="11">
        <v>5.98</v>
      </c>
      <c r="L8274" s="11">
        <v>1.49</v>
      </c>
      <c r="M8274" s="9" t="s">
        <v>2119</v>
      </c>
      <c r="N8274" s="6" t="s">
        <v>2073</v>
      </c>
      <c r="O8274" s="6" t="s">
        <v>704</v>
      </c>
      <c r="P8274" s="9" t="s">
        <v>41</v>
      </c>
      <c r="Q8274" s="9" t="s">
        <v>26</v>
      </c>
      <c r="R8274" s="9" t="s">
        <v>37</v>
      </c>
      <c r="S8274" s="7" t="s">
        <v>1351</v>
      </c>
      <c r="T8274" s="9" t="s">
        <v>39</v>
      </c>
      <c r="U8274" s="7">
        <v>0.39</v>
      </c>
      <c r="V8274" s="12">
        <f>C8274+1</f>
        <v>41175</v>
      </c>
      <c r="W8274">
        <f>IF(D8274=' Pivot Tables'!$A$4,1,0)</f>
        <v>0</v>
      </c>
      <c r="X8274">
        <f>IF(AND(LEFT(D8274,4)+1=LEFT(' Pivot Tables'!$A$4,4)+0,RIGHT(LEFT(D8274,7),2)=RIGHT(LEFT(' Pivot Tables'!$A$4,7),2)),1,0)</f>
        <v>0</v>
      </c>
      <c r="Y8274" s="6">
        <f>1/COUNTIF(Таблица1[Order ID],Таблица1[[#This Row],[Order ID]])</f>
        <v>0.25</v>
      </c>
      <c r="Z8274" s="9">
        <f>1/COUNTIFS(Таблица1[Customer Name],Таблица1[[#This Row],[Customer Name]],Таблица1[Order-Year-Month],Таблица1[[#This Row],[Order-Year-Month]])</f>
        <v>0.25</v>
      </c>
    </row>
    <row r="8275" spans="1:26" x14ac:dyDescent="0.2">
      <c r="A8275" s="6">
        <v>4338</v>
      </c>
      <c r="B8275" s="7">
        <v>30913</v>
      </c>
      <c r="C8275" s="8">
        <f>DATE(2012,12,31)-100</f>
        <v>41174</v>
      </c>
      <c r="D8275" s="8" t="str">
        <f t="shared" si="158"/>
        <v>2012-09 (сентябрь 2012)</v>
      </c>
      <c r="E8275" s="9" t="s">
        <v>63</v>
      </c>
      <c r="F8275" s="7">
        <v>36</v>
      </c>
      <c r="G8275" s="7">
        <v>795.52</v>
      </c>
      <c r="H8275" s="7">
        <v>0.08</v>
      </c>
      <c r="I8275" s="9" t="s">
        <v>22</v>
      </c>
      <c r="J8275" s="10">
        <v>290.64</v>
      </c>
      <c r="K8275" s="11">
        <v>22.24</v>
      </c>
      <c r="L8275" s="11">
        <v>1.99</v>
      </c>
      <c r="M8275" s="9" t="s">
        <v>2119</v>
      </c>
      <c r="N8275" s="6" t="s">
        <v>2073</v>
      </c>
      <c r="O8275" s="6" t="s">
        <v>704</v>
      </c>
      <c r="P8275" s="9" t="s">
        <v>41</v>
      </c>
      <c r="Q8275" s="9" t="s">
        <v>42</v>
      </c>
      <c r="R8275" s="9" t="s">
        <v>70</v>
      </c>
      <c r="S8275" s="7" t="s">
        <v>1116</v>
      </c>
      <c r="T8275" s="9" t="s">
        <v>52</v>
      </c>
      <c r="U8275" s="7">
        <v>0.43</v>
      </c>
      <c r="V8275" s="12">
        <f>C8275+2</f>
        <v>41176</v>
      </c>
      <c r="W8275">
        <f>IF(D8275=' Pivot Tables'!$A$4,1,0)</f>
        <v>0</v>
      </c>
      <c r="X8275">
        <f>IF(AND(LEFT(D8275,4)+1=LEFT(' Pivot Tables'!$A$4,4)+0,RIGHT(LEFT(D8275,7),2)=RIGHT(LEFT(' Pivot Tables'!$A$4,7),2)),1,0)</f>
        <v>0</v>
      </c>
      <c r="Y8275" s="6">
        <f>1/COUNTIF(Таблица1[Order ID],Таблица1[[#This Row],[Order ID]])</f>
        <v>0.25</v>
      </c>
      <c r="Z8275" s="9">
        <f>1/COUNTIFS(Таблица1[Customer Name],Таблица1[[#This Row],[Customer Name]],Таблица1[Order-Year-Month],Таблица1[[#This Row],[Order-Year-Month]])</f>
        <v>0.25</v>
      </c>
    </row>
    <row r="8276" spans="1:26" x14ac:dyDescent="0.2">
      <c r="A8276" s="6">
        <v>4339</v>
      </c>
      <c r="B8276" s="7">
        <v>30913</v>
      </c>
      <c r="C8276" s="8">
        <f>DATE(2012,12,31)-100</f>
        <v>41174</v>
      </c>
      <c r="D8276" s="8" t="str">
        <f t="shared" si="158"/>
        <v>2012-09 (сентябрь 2012)</v>
      </c>
      <c r="E8276" s="9" t="s">
        <v>63</v>
      </c>
      <c r="F8276" s="7">
        <v>44</v>
      </c>
      <c r="G8276" s="7">
        <v>126.36</v>
      </c>
      <c r="H8276" s="7">
        <v>0.02</v>
      </c>
      <c r="I8276" s="9" t="s">
        <v>22</v>
      </c>
      <c r="J8276" s="10">
        <v>50.26</v>
      </c>
      <c r="K8276" s="11">
        <v>2.89</v>
      </c>
      <c r="L8276" s="11">
        <v>0.5</v>
      </c>
      <c r="M8276" s="9" t="s">
        <v>2119</v>
      </c>
      <c r="N8276" s="6" t="s">
        <v>2073</v>
      </c>
      <c r="O8276" s="6" t="s">
        <v>704</v>
      </c>
      <c r="P8276" s="9" t="s">
        <v>41</v>
      </c>
      <c r="Q8276" s="9" t="s">
        <v>26</v>
      </c>
      <c r="R8276" s="9" t="s">
        <v>88</v>
      </c>
      <c r="S8276" s="7" t="s">
        <v>474</v>
      </c>
      <c r="T8276" s="9" t="s">
        <v>39</v>
      </c>
      <c r="U8276" s="7">
        <v>0.38</v>
      </c>
      <c r="V8276" s="12">
        <f>C8276+2</f>
        <v>41176</v>
      </c>
      <c r="W8276">
        <f>IF(D8276=' Pivot Tables'!$A$4,1,0)</f>
        <v>0</v>
      </c>
      <c r="X8276">
        <f>IF(AND(LEFT(D8276,4)+1=LEFT(' Pivot Tables'!$A$4,4)+0,RIGHT(LEFT(D8276,7),2)=RIGHT(LEFT(' Pivot Tables'!$A$4,7),2)),1,0)</f>
        <v>0</v>
      </c>
      <c r="Y8276" s="6">
        <f>1/COUNTIF(Таблица1[Order ID],Таблица1[[#This Row],[Order ID]])</f>
        <v>0.25</v>
      </c>
      <c r="Z8276" s="9">
        <f>1/COUNTIFS(Таблица1[Customer Name],Таблица1[[#This Row],[Customer Name]],Таблица1[Order-Year-Month],Таблица1[[#This Row],[Order-Year-Month]])</f>
        <v>0.25</v>
      </c>
    </row>
    <row r="8277" spans="1:26" x14ac:dyDescent="0.2">
      <c r="A8277" s="6">
        <v>4340</v>
      </c>
      <c r="B8277" s="7">
        <v>30913</v>
      </c>
      <c r="C8277" s="8">
        <f>DATE(2012,12,31)-100</f>
        <v>41174</v>
      </c>
      <c r="D8277" s="8" t="str">
        <f t="shared" si="158"/>
        <v>2012-09 (сентябрь 2012)</v>
      </c>
      <c r="E8277" s="9" t="s">
        <v>63</v>
      </c>
      <c r="F8277" s="7">
        <v>24</v>
      </c>
      <c r="G8277" s="7">
        <v>496.62</v>
      </c>
      <c r="H8277" s="7">
        <v>7.0000000000000007E-2</v>
      </c>
      <c r="I8277" s="9" t="s">
        <v>56</v>
      </c>
      <c r="J8277" s="10">
        <v>49.86</v>
      </c>
      <c r="K8277" s="11">
        <v>19.98</v>
      </c>
      <c r="L8277" s="11">
        <v>10.49</v>
      </c>
      <c r="M8277" s="9" t="s">
        <v>2119</v>
      </c>
      <c r="N8277" s="6" t="s">
        <v>2073</v>
      </c>
      <c r="O8277" s="6" t="s">
        <v>704</v>
      </c>
      <c r="P8277" s="9" t="s">
        <v>41</v>
      </c>
      <c r="Q8277" s="9" t="s">
        <v>49</v>
      </c>
      <c r="R8277" s="9" t="s">
        <v>50</v>
      </c>
      <c r="S8277" s="7" t="s">
        <v>163</v>
      </c>
      <c r="T8277" s="9" t="s">
        <v>39</v>
      </c>
      <c r="U8277" s="7">
        <v>0.49</v>
      </c>
      <c r="V8277" s="12">
        <f>C8277+2</f>
        <v>41176</v>
      </c>
      <c r="W8277">
        <f>IF(D8277=' Pivot Tables'!$A$4,1,0)</f>
        <v>0</v>
      </c>
      <c r="X8277">
        <f>IF(AND(LEFT(D8277,4)+1=LEFT(' Pivot Tables'!$A$4,4)+0,RIGHT(LEFT(D8277,7),2)=RIGHT(LEFT(' Pivot Tables'!$A$4,7),2)),1,0)</f>
        <v>0</v>
      </c>
      <c r="Y8277" s="6">
        <f>1/COUNTIF(Таблица1[Order ID],Таблица1[[#This Row],[Order ID]])</f>
        <v>0.25</v>
      </c>
      <c r="Z8277" s="9">
        <f>1/COUNTIFS(Таблица1[Customer Name],Таблица1[[#This Row],[Customer Name]],Таблица1[Order-Year-Month],Таблица1[[#This Row],[Order-Year-Month]])</f>
        <v>0.25</v>
      </c>
    </row>
    <row r="8278" spans="1:26" x14ac:dyDescent="0.2">
      <c r="A8278" s="6">
        <v>4393</v>
      </c>
      <c r="B8278" s="7">
        <v>31271</v>
      </c>
      <c r="C8278" s="8">
        <f>DATE(2012,12,31)-621</f>
        <v>40653</v>
      </c>
      <c r="D8278" s="8" t="str">
        <f t="shared" si="158"/>
        <v>2011-04 (апрель 2011)</v>
      </c>
      <c r="E8278" s="9" t="s">
        <v>21</v>
      </c>
      <c r="F8278" s="7">
        <v>4</v>
      </c>
      <c r="G8278" s="7">
        <v>43.29</v>
      </c>
      <c r="H8278" s="7">
        <v>0.03</v>
      </c>
      <c r="I8278" s="9" t="s">
        <v>22</v>
      </c>
      <c r="J8278" s="10">
        <v>-0.36000000000000654</v>
      </c>
      <c r="K8278" s="11">
        <v>8.3699999999999992</v>
      </c>
      <c r="L8278" s="11">
        <v>10.16</v>
      </c>
      <c r="M8278" s="9" t="s">
        <v>2120</v>
      </c>
      <c r="N8278" s="6" t="s">
        <v>2073</v>
      </c>
      <c r="O8278" s="6" t="s">
        <v>704</v>
      </c>
      <c r="P8278" s="9" t="s">
        <v>25</v>
      </c>
      <c r="Q8278" s="9" t="s">
        <v>49</v>
      </c>
      <c r="R8278" s="9" t="s">
        <v>50</v>
      </c>
      <c r="S8278" s="7" t="s">
        <v>948</v>
      </c>
      <c r="T8278" s="9" t="s">
        <v>29</v>
      </c>
      <c r="U8278" s="7">
        <v>0.59</v>
      </c>
      <c r="V8278" s="12">
        <f>C8278+7</f>
        <v>40660</v>
      </c>
      <c r="W8278">
        <f>IF(D8278=' Pivot Tables'!$A$4,1,0)</f>
        <v>0</v>
      </c>
      <c r="X8278">
        <f>IF(AND(LEFT(D8278,4)+1=LEFT(' Pivot Tables'!$A$4,4)+0,RIGHT(LEFT(D8278,7),2)=RIGHT(LEFT(' Pivot Tables'!$A$4,7),2)),1,0)</f>
        <v>0</v>
      </c>
      <c r="Y8278" s="6">
        <f>1/COUNTIF(Таблица1[Order ID],Таблица1[[#This Row],[Order ID]])</f>
        <v>1</v>
      </c>
      <c r="Z8278" s="9">
        <f>1/COUNTIFS(Таблица1[Customer Name],Таблица1[[#This Row],[Customer Name]],Таблица1[Order-Year-Month],Таблица1[[#This Row],[Order-Year-Month]])</f>
        <v>1</v>
      </c>
    </row>
    <row r="8279" spans="1:26" x14ac:dyDescent="0.2">
      <c r="A8279" s="6">
        <v>4406</v>
      </c>
      <c r="B8279" s="7">
        <v>31399</v>
      </c>
      <c r="C8279" s="8">
        <f>DATE(2012,12,31)-422</f>
        <v>40852</v>
      </c>
      <c r="D8279" s="8" t="str">
        <f t="shared" si="158"/>
        <v>2011-11 (ноябрь 2011)</v>
      </c>
      <c r="E8279" s="9" t="s">
        <v>45</v>
      </c>
      <c r="F8279" s="7">
        <v>9</v>
      </c>
      <c r="G8279" s="7">
        <v>337.20349999999996</v>
      </c>
      <c r="H8279" s="7">
        <v>0.09</v>
      </c>
      <c r="I8279" s="9" t="s">
        <v>22</v>
      </c>
      <c r="J8279" s="10">
        <v>-120.934</v>
      </c>
      <c r="K8279" s="11">
        <v>45.99</v>
      </c>
      <c r="L8279" s="11">
        <v>4.99</v>
      </c>
      <c r="M8279" s="9" t="s">
        <v>2130</v>
      </c>
      <c r="N8279" s="6" t="s">
        <v>2073</v>
      </c>
      <c r="O8279" s="6" t="s">
        <v>704</v>
      </c>
      <c r="P8279" s="9" t="s">
        <v>33</v>
      </c>
      <c r="Q8279" s="9" t="s">
        <v>42</v>
      </c>
      <c r="R8279" s="9" t="s">
        <v>43</v>
      </c>
      <c r="S8279" s="7" t="s">
        <v>629</v>
      </c>
      <c r="T8279" s="9" t="s">
        <v>39</v>
      </c>
      <c r="U8279" s="7">
        <v>0.56000000000000005</v>
      </c>
      <c r="V8279" s="12">
        <f>C8279+1</f>
        <v>40853</v>
      </c>
      <c r="W8279">
        <f>IF(D8279=' Pivot Tables'!$A$4,1,0)</f>
        <v>0</v>
      </c>
      <c r="X8279">
        <f>IF(AND(LEFT(D8279,4)+1=LEFT(' Pivot Tables'!$A$4,4)+0,RIGHT(LEFT(D8279,7),2)=RIGHT(LEFT(' Pivot Tables'!$A$4,7),2)),1,0)</f>
        <v>0</v>
      </c>
      <c r="Y8279" s="6">
        <f>1/COUNTIF(Таблица1[Order ID],Таблица1[[#This Row],[Order ID]])</f>
        <v>1</v>
      </c>
      <c r="Z8279" s="9">
        <f>1/COUNTIFS(Таблица1[Customer Name],Таблица1[[#This Row],[Customer Name]],Таблица1[Order-Year-Month],Таблица1[[#This Row],[Order-Year-Month]])</f>
        <v>1</v>
      </c>
    </row>
    <row r="8280" spans="1:26" x14ac:dyDescent="0.2">
      <c r="A8280" s="6">
        <v>4498</v>
      </c>
      <c r="B8280" s="7">
        <v>32007</v>
      </c>
      <c r="C8280" s="8">
        <f>DATE(2012,12,31)-695</f>
        <v>40579</v>
      </c>
      <c r="D8280" s="8" t="str">
        <f t="shared" si="158"/>
        <v>2011-02 (февраль 2011)</v>
      </c>
      <c r="E8280" s="9" t="s">
        <v>21</v>
      </c>
      <c r="F8280" s="7">
        <v>41</v>
      </c>
      <c r="G8280" s="7">
        <v>17448.75</v>
      </c>
      <c r="H8280" s="7">
        <v>0.06</v>
      </c>
      <c r="I8280" s="9" t="s">
        <v>31</v>
      </c>
      <c r="J8280" s="10">
        <v>9.9300000000000637</v>
      </c>
      <c r="K8280" s="11">
        <v>417.4</v>
      </c>
      <c r="L8280" s="11">
        <v>75.23</v>
      </c>
      <c r="M8280" s="9" t="s">
        <v>2125</v>
      </c>
      <c r="N8280" s="6" t="s">
        <v>2073</v>
      </c>
      <c r="O8280" s="6" t="s">
        <v>704</v>
      </c>
      <c r="P8280" s="9" t="s">
        <v>33</v>
      </c>
      <c r="Q8280" s="9" t="s">
        <v>49</v>
      </c>
      <c r="R8280" s="9" t="s">
        <v>83</v>
      </c>
      <c r="S8280" s="7" t="s">
        <v>665</v>
      </c>
      <c r="T8280" s="9" t="s">
        <v>82</v>
      </c>
      <c r="U8280" s="7">
        <v>0.79</v>
      </c>
      <c r="V8280" s="12">
        <f>C8280+4</f>
        <v>40583</v>
      </c>
      <c r="W8280">
        <f>IF(D8280=' Pivot Tables'!$A$4,1,0)</f>
        <v>0</v>
      </c>
      <c r="X8280">
        <f>IF(AND(LEFT(D8280,4)+1=LEFT(' Pivot Tables'!$A$4,4)+0,RIGHT(LEFT(D8280,7),2)=RIGHT(LEFT(' Pivot Tables'!$A$4,7),2)),1,0)</f>
        <v>0</v>
      </c>
      <c r="Y8280" s="6">
        <f>1/COUNTIF(Таблица1[Order ID],Таблица1[[#This Row],[Order ID]])</f>
        <v>1</v>
      </c>
      <c r="Z8280" s="9">
        <f>1/COUNTIFS(Таблица1[Customer Name],Таблица1[[#This Row],[Customer Name]],Таблица1[Order-Year-Month],Таблица1[[#This Row],[Order-Year-Month]])</f>
        <v>1</v>
      </c>
    </row>
    <row r="8281" spans="1:26" x14ac:dyDescent="0.2">
      <c r="A8281" s="6">
        <v>4518</v>
      </c>
      <c r="B8281" s="7">
        <v>32164</v>
      </c>
      <c r="C8281" s="8">
        <f>DATE(2012,12,31)-1063</f>
        <v>40211</v>
      </c>
      <c r="D8281" s="8" t="str">
        <f t="shared" si="158"/>
        <v>2010-02 (февраль 2010)</v>
      </c>
      <c r="E8281" s="9" t="s">
        <v>45</v>
      </c>
      <c r="F8281" s="7">
        <v>12</v>
      </c>
      <c r="G8281" s="7">
        <v>77.010000000000005</v>
      </c>
      <c r="H8281" s="7">
        <v>0.02</v>
      </c>
      <c r="I8281" s="9" t="s">
        <v>22</v>
      </c>
      <c r="J8281" s="10">
        <v>-19.04</v>
      </c>
      <c r="K8281" s="11">
        <v>5.78</v>
      </c>
      <c r="L8281" s="11">
        <v>4.96</v>
      </c>
      <c r="M8281" s="9" t="s">
        <v>1403</v>
      </c>
      <c r="N8281" s="6" t="s">
        <v>2073</v>
      </c>
      <c r="O8281" s="6" t="s">
        <v>704</v>
      </c>
      <c r="P8281" s="9" t="s">
        <v>25</v>
      </c>
      <c r="Q8281" s="9" t="s">
        <v>26</v>
      </c>
      <c r="R8281" s="9" t="s">
        <v>61</v>
      </c>
      <c r="S8281" s="7" t="s">
        <v>737</v>
      </c>
      <c r="T8281" s="9" t="s">
        <v>39</v>
      </c>
      <c r="U8281" s="7">
        <v>0.36</v>
      </c>
      <c r="V8281" s="12">
        <f>C8281+1</f>
        <v>40212</v>
      </c>
      <c r="W8281">
        <f>IF(D8281=' Pivot Tables'!$A$4,1,0)</f>
        <v>0</v>
      </c>
      <c r="X8281">
        <f>IF(AND(LEFT(D8281,4)+1=LEFT(' Pivot Tables'!$A$4,4)+0,RIGHT(LEFT(D8281,7),2)=RIGHT(LEFT(' Pivot Tables'!$A$4,7),2)),1,0)</f>
        <v>0</v>
      </c>
      <c r="Y8281" s="6">
        <f>1/COUNTIF(Таблица1[Order ID],Таблица1[[#This Row],[Order ID]])</f>
        <v>0.33333333333333331</v>
      </c>
      <c r="Z8281" s="9">
        <f>1/COUNTIFS(Таблица1[Customer Name],Таблица1[[#This Row],[Customer Name]],Таблица1[Order-Year-Month],Таблица1[[#This Row],[Order-Year-Month]])</f>
        <v>0.33333333333333331</v>
      </c>
    </row>
    <row r="8282" spans="1:26" x14ac:dyDescent="0.2">
      <c r="A8282" s="6">
        <v>4519</v>
      </c>
      <c r="B8282" s="7">
        <v>32164</v>
      </c>
      <c r="C8282" s="8">
        <f>DATE(2012,12,31)-1063</f>
        <v>40211</v>
      </c>
      <c r="D8282" s="8" t="str">
        <f t="shared" si="158"/>
        <v>2010-02 (февраль 2010)</v>
      </c>
      <c r="E8282" s="9" t="s">
        <v>45</v>
      </c>
      <c r="F8282" s="7">
        <v>34</v>
      </c>
      <c r="G8282" s="7">
        <v>111.83</v>
      </c>
      <c r="H8282" s="7">
        <v>7.0000000000000007E-2</v>
      </c>
      <c r="I8282" s="9" t="s">
        <v>22</v>
      </c>
      <c r="J8282" s="10">
        <v>-92.16</v>
      </c>
      <c r="K8282" s="11">
        <v>3.28</v>
      </c>
      <c r="L8282" s="11">
        <v>3.97</v>
      </c>
      <c r="M8282" s="9" t="s">
        <v>1403</v>
      </c>
      <c r="N8282" s="6" t="s">
        <v>2073</v>
      </c>
      <c r="O8282" s="6" t="s">
        <v>704</v>
      </c>
      <c r="P8282" s="9" t="s">
        <v>25</v>
      </c>
      <c r="Q8282" s="9" t="s">
        <v>26</v>
      </c>
      <c r="R8282" s="9" t="s">
        <v>95</v>
      </c>
      <c r="S8282" s="7" t="s">
        <v>572</v>
      </c>
      <c r="T8282" s="9" t="s">
        <v>68</v>
      </c>
      <c r="U8282" s="7">
        <v>0.56000000000000005</v>
      </c>
      <c r="V8282" s="12">
        <f>C8282+1</f>
        <v>40212</v>
      </c>
      <c r="W8282">
        <f>IF(D8282=' Pivot Tables'!$A$4,1,0)</f>
        <v>0</v>
      </c>
      <c r="X8282">
        <f>IF(AND(LEFT(D8282,4)+1=LEFT(' Pivot Tables'!$A$4,4)+0,RIGHT(LEFT(D8282,7),2)=RIGHT(LEFT(' Pivot Tables'!$A$4,7),2)),1,0)</f>
        <v>0</v>
      </c>
      <c r="Y8282" s="6">
        <f>1/COUNTIF(Таблица1[Order ID],Таблица1[[#This Row],[Order ID]])</f>
        <v>0.33333333333333331</v>
      </c>
      <c r="Z8282" s="9">
        <f>1/COUNTIFS(Таблица1[Customer Name],Таблица1[[#This Row],[Customer Name]],Таблица1[Order-Year-Month],Таблица1[[#This Row],[Order-Year-Month]])</f>
        <v>0.33333333333333331</v>
      </c>
    </row>
    <row r="8283" spans="1:26" x14ac:dyDescent="0.2">
      <c r="A8283" s="6">
        <v>4520</v>
      </c>
      <c r="B8283" s="7">
        <v>32164</v>
      </c>
      <c r="C8283" s="8">
        <f>DATE(2012,12,31)-1063</f>
        <v>40211</v>
      </c>
      <c r="D8283" s="8" t="str">
        <f t="shared" si="158"/>
        <v>2010-02 (февраль 2010)</v>
      </c>
      <c r="E8283" s="9" t="s">
        <v>45</v>
      </c>
      <c r="F8283" s="7">
        <v>23</v>
      </c>
      <c r="G8283" s="7">
        <v>6552.9</v>
      </c>
      <c r="H8283" s="7">
        <v>0.1</v>
      </c>
      <c r="I8283" s="9" t="s">
        <v>31</v>
      </c>
      <c r="J8283" s="10">
        <v>-461.45</v>
      </c>
      <c r="K8283" s="11">
        <v>296.18</v>
      </c>
      <c r="L8283" s="11">
        <v>54.12</v>
      </c>
      <c r="M8283" s="9" t="s">
        <v>1403</v>
      </c>
      <c r="N8283" s="6" t="s">
        <v>2073</v>
      </c>
      <c r="O8283" s="6" t="s">
        <v>704</v>
      </c>
      <c r="P8283" s="9" t="s">
        <v>25</v>
      </c>
      <c r="Q8283" s="9" t="s">
        <v>49</v>
      </c>
      <c r="R8283" s="9" t="s">
        <v>83</v>
      </c>
      <c r="S8283" s="7" t="s">
        <v>425</v>
      </c>
      <c r="T8283" s="9" t="s">
        <v>82</v>
      </c>
      <c r="U8283" s="7">
        <v>0.76</v>
      </c>
      <c r="V8283" s="12">
        <f>C8283+1</f>
        <v>40212</v>
      </c>
      <c r="W8283">
        <f>IF(D8283=' Pivot Tables'!$A$4,1,0)</f>
        <v>0</v>
      </c>
      <c r="X8283">
        <f>IF(AND(LEFT(D8283,4)+1=LEFT(' Pivot Tables'!$A$4,4)+0,RIGHT(LEFT(D8283,7),2)=RIGHT(LEFT(' Pivot Tables'!$A$4,7),2)),1,0)</f>
        <v>0</v>
      </c>
      <c r="Y8283" s="6">
        <f>1/COUNTIF(Таблица1[Order ID],Таблица1[[#This Row],[Order ID]])</f>
        <v>0.33333333333333331</v>
      </c>
      <c r="Z8283" s="9">
        <f>1/COUNTIFS(Таблица1[Customer Name],Таблица1[[#This Row],[Customer Name]],Таблица1[Order-Year-Month],Таблица1[[#This Row],[Order-Year-Month]])</f>
        <v>0.33333333333333331</v>
      </c>
    </row>
    <row r="8284" spans="1:26" x14ac:dyDescent="0.2">
      <c r="A8284" s="6">
        <v>4531</v>
      </c>
      <c r="B8284" s="7">
        <v>32228</v>
      </c>
      <c r="C8284" s="8">
        <f>DATE(2012,12,31)-788</f>
        <v>40486</v>
      </c>
      <c r="D8284" s="8" t="str">
        <f t="shared" si="158"/>
        <v>2010-11 (ноябрь 2010)</v>
      </c>
      <c r="E8284" s="9" t="s">
        <v>78</v>
      </c>
      <c r="F8284" s="7">
        <v>35</v>
      </c>
      <c r="G8284" s="7">
        <v>209.63</v>
      </c>
      <c r="H8284" s="7">
        <v>0.01</v>
      </c>
      <c r="I8284" s="9" t="s">
        <v>22</v>
      </c>
      <c r="J8284" s="10">
        <v>43.53</v>
      </c>
      <c r="K8284" s="11">
        <v>5.84</v>
      </c>
      <c r="L8284" s="11">
        <v>1.2</v>
      </c>
      <c r="M8284" s="9" t="s">
        <v>1408</v>
      </c>
      <c r="N8284" s="6" t="s">
        <v>2073</v>
      </c>
      <c r="O8284" s="6" t="s">
        <v>704</v>
      </c>
      <c r="P8284" s="9" t="s">
        <v>60</v>
      </c>
      <c r="Q8284" s="9" t="s">
        <v>26</v>
      </c>
      <c r="R8284" s="9" t="s">
        <v>95</v>
      </c>
      <c r="S8284" s="7" t="s">
        <v>413</v>
      </c>
      <c r="T8284" s="9" t="s">
        <v>68</v>
      </c>
      <c r="U8284" s="7">
        <v>0.55000000000000004</v>
      </c>
      <c r="V8284" s="12">
        <f>C8284+2</f>
        <v>40488</v>
      </c>
      <c r="W8284">
        <f>IF(D8284=' Pivot Tables'!$A$4,1,0)</f>
        <v>0</v>
      </c>
      <c r="X8284">
        <f>IF(AND(LEFT(D8284,4)+1=LEFT(' Pivot Tables'!$A$4,4)+0,RIGHT(LEFT(D8284,7),2)=RIGHT(LEFT(' Pivot Tables'!$A$4,7),2)),1,0)</f>
        <v>0</v>
      </c>
      <c r="Y8284" s="6">
        <f>1/COUNTIF(Таблица1[Order ID],Таблица1[[#This Row],[Order ID]])</f>
        <v>1</v>
      </c>
      <c r="Z8284" s="9">
        <f>1/COUNTIFS(Таблица1[Customer Name],Таблица1[[#This Row],[Customer Name]],Таблица1[Order-Year-Month],Таблица1[[#This Row],[Order-Year-Month]])</f>
        <v>1</v>
      </c>
    </row>
    <row r="8285" spans="1:26" x14ac:dyDescent="0.2">
      <c r="A8285" s="6">
        <v>4551</v>
      </c>
      <c r="B8285" s="7">
        <v>32386</v>
      </c>
      <c r="C8285" s="8">
        <f>DATE(2012,12,31)-257</f>
        <v>41017</v>
      </c>
      <c r="D8285" s="8" t="str">
        <f t="shared" si="158"/>
        <v>2012-04 (апрель 2012)</v>
      </c>
      <c r="E8285" s="9" t="s">
        <v>78</v>
      </c>
      <c r="F8285" s="7">
        <v>1</v>
      </c>
      <c r="G8285" s="7">
        <v>1996.16</v>
      </c>
      <c r="H8285" s="7">
        <v>0</v>
      </c>
      <c r="I8285" s="9" t="s">
        <v>22</v>
      </c>
      <c r="J8285" s="10">
        <v>-3974.4558000000002</v>
      </c>
      <c r="K8285" s="11">
        <v>1938.02</v>
      </c>
      <c r="L8285" s="11">
        <v>13.99</v>
      </c>
      <c r="M8285" s="9" t="s">
        <v>2126</v>
      </c>
      <c r="N8285" s="6" t="s">
        <v>2073</v>
      </c>
      <c r="O8285" s="6" t="s">
        <v>704</v>
      </c>
      <c r="P8285" s="9" t="s">
        <v>60</v>
      </c>
      <c r="Q8285" s="9" t="s">
        <v>42</v>
      </c>
      <c r="R8285" s="9" t="s">
        <v>210</v>
      </c>
      <c r="S8285" s="7" t="s">
        <v>214</v>
      </c>
      <c r="T8285" s="9" t="s">
        <v>48</v>
      </c>
      <c r="U8285" s="7">
        <v>0.38</v>
      </c>
      <c r="V8285" s="12">
        <f>C8285+2</f>
        <v>41019</v>
      </c>
      <c r="W8285">
        <f>IF(D8285=' Pivot Tables'!$A$4,1,0)</f>
        <v>0</v>
      </c>
      <c r="X8285">
        <f>IF(AND(LEFT(D8285,4)+1=LEFT(' Pivot Tables'!$A$4,4)+0,RIGHT(LEFT(D8285,7),2)=RIGHT(LEFT(' Pivot Tables'!$A$4,7),2)),1,0)</f>
        <v>0</v>
      </c>
      <c r="Y8285" s="6">
        <f>1/COUNTIF(Таблица1[Order ID],Таблица1[[#This Row],[Order ID]])</f>
        <v>1</v>
      </c>
      <c r="Z8285" s="9">
        <f>1/COUNTIFS(Таблица1[Customer Name],Таблица1[[#This Row],[Customer Name]],Таблица1[Order-Year-Month],Таблица1[[#This Row],[Order-Year-Month]])</f>
        <v>1</v>
      </c>
    </row>
    <row r="8286" spans="1:26" x14ac:dyDescent="0.2">
      <c r="A8286" s="6">
        <v>4578</v>
      </c>
      <c r="B8286" s="7">
        <v>32610</v>
      </c>
      <c r="C8286" s="8">
        <f>DATE(2012,12,31)-134</f>
        <v>41140</v>
      </c>
      <c r="D8286" s="8" t="str">
        <f t="shared" si="158"/>
        <v>2012-08 (август 2012)</v>
      </c>
      <c r="E8286" s="9" t="s">
        <v>45</v>
      </c>
      <c r="F8286" s="7">
        <v>47</v>
      </c>
      <c r="G8286" s="7">
        <v>316.99</v>
      </c>
      <c r="H8286" s="7">
        <v>0.04</v>
      </c>
      <c r="I8286" s="9" t="s">
        <v>22</v>
      </c>
      <c r="J8286" s="10">
        <v>-276.54000000000002</v>
      </c>
      <c r="K8286" s="11">
        <v>6.84</v>
      </c>
      <c r="L8286" s="11">
        <v>8.3699999999999992</v>
      </c>
      <c r="M8286" s="9" t="s">
        <v>2121</v>
      </c>
      <c r="N8286" s="6" t="s">
        <v>2073</v>
      </c>
      <c r="O8286" s="6" t="s">
        <v>704</v>
      </c>
      <c r="P8286" s="9" t="s">
        <v>33</v>
      </c>
      <c r="Q8286" s="9" t="s">
        <v>26</v>
      </c>
      <c r="R8286" s="9" t="s">
        <v>150</v>
      </c>
      <c r="S8286" s="7" t="s">
        <v>401</v>
      </c>
      <c r="T8286" s="9" t="s">
        <v>52</v>
      </c>
      <c r="U8286" s="7">
        <v>0.57999999999999996</v>
      </c>
      <c r="V8286" s="12">
        <f>C8286+1</f>
        <v>41141</v>
      </c>
      <c r="W8286">
        <f>IF(D8286=' Pivot Tables'!$A$4,1,0)</f>
        <v>0</v>
      </c>
      <c r="X8286">
        <f>IF(AND(LEFT(D8286,4)+1=LEFT(' Pivot Tables'!$A$4,4)+0,RIGHT(LEFT(D8286,7),2)=RIGHT(LEFT(' Pivot Tables'!$A$4,7),2)),1,0)</f>
        <v>0</v>
      </c>
      <c r="Y8286" s="6">
        <f>1/COUNTIF(Таблица1[Order ID],Таблица1[[#This Row],[Order ID]])</f>
        <v>0.5</v>
      </c>
      <c r="Z8286" s="9">
        <f>1/COUNTIFS(Таблица1[Customer Name],Таблица1[[#This Row],[Customer Name]],Таблица1[Order-Year-Month],Таблица1[[#This Row],[Order-Year-Month]])</f>
        <v>0.5</v>
      </c>
    </row>
    <row r="8287" spans="1:26" x14ac:dyDescent="0.2">
      <c r="A8287" s="6">
        <v>4579</v>
      </c>
      <c r="B8287" s="7">
        <v>32610</v>
      </c>
      <c r="C8287" s="8">
        <f>DATE(2012,12,31)-134</f>
        <v>41140</v>
      </c>
      <c r="D8287" s="8" t="str">
        <f t="shared" si="158"/>
        <v>2012-08 (август 2012)</v>
      </c>
      <c r="E8287" s="9" t="s">
        <v>45</v>
      </c>
      <c r="F8287" s="7">
        <v>20</v>
      </c>
      <c r="G8287" s="7">
        <v>1991.8984999999998</v>
      </c>
      <c r="H8287" s="7">
        <v>7.0000000000000007E-2</v>
      </c>
      <c r="I8287" s="9" t="s">
        <v>22</v>
      </c>
      <c r="J8287" s="10">
        <v>88.362000000000009</v>
      </c>
      <c r="K8287" s="11">
        <v>125.99</v>
      </c>
      <c r="L8287" s="11">
        <v>7.69</v>
      </c>
      <c r="M8287" s="9" t="s">
        <v>2121</v>
      </c>
      <c r="N8287" s="6" t="s">
        <v>2073</v>
      </c>
      <c r="O8287" s="6" t="s">
        <v>704</v>
      </c>
      <c r="P8287" s="9" t="s">
        <v>33</v>
      </c>
      <c r="Q8287" s="9" t="s">
        <v>42</v>
      </c>
      <c r="R8287" s="9" t="s">
        <v>43</v>
      </c>
      <c r="S8287" s="7" t="s">
        <v>129</v>
      </c>
      <c r="T8287" s="9" t="s">
        <v>39</v>
      </c>
      <c r="U8287" s="7">
        <v>0.57999999999999996</v>
      </c>
      <c r="V8287" s="12">
        <f>C8287+1</f>
        <v>41141</v>
      </c>
      <c r="W8287">
        <f>IF(D8287=' Pivot Tables'!$A$4,1,0)</f>
        <v>0</v>
      </c>
      <c r="X8287">
        <f>IF(AND(LEFT(D8287,4)+1=LEFT(' Pivot Tables'!$A$4,4)+0,RIGHT(LEFT(D8287,7),2)=RIGHT(LEFT(' Pivot Tables'!$A$4,7),2)),1,0)</f>
        <v>0</v>
      </c>
      <c r="Y8287" s="6">
        <f>1/COUNTIF(Таблица1[Order ID],Таблица1[[#This Row],[Order ID]])</f>
        <v>0.5</v>
      </c>
      <c r="Z8287" s="9">
        <f>1/COUNTIFS(Таблица1[Customer Name],Таблица1[[#This Row],[Customer Name]],Таблица1[Order-Year-Month],Таблица1[[#This Row],[Order-Year-Month]])</f>
        <v>0.5</v>
      </c>
    </row>
    <row r="8288" spans="1:26" x14ac:dyDescent="0.2">
      <c r="A8288" s="6">
        <v>4634</v>
      </c>
      <c r="B8288" s="7">
        <v>32994</v>
      </c>
      <c r="C8288" s="8">
        <f>DATE(2012,12,31)-106</f>
        <v>41168</v>
      </c>
      <c r="D8288" s="8" t="str">
        <f t="shared" si="158"/>
        <v>2012-09 (сентябрь 2012)</v>
      </c>
      <c r="E8288" s="9" t="s">
        <v>78</v>
      </c>
      <c r="F8288" s="7">
        <v>34</v>
      </c>
      <c r="G8288" s="7">
        <v>226.41</v>
      </c>
      <c r="H8288" s="7">
        <v>0.05</v>
      </c>
      <c r="I8288" s="9" t="s">
        <v>22</v>
      </c>
      <c r="J8288" s="10">
        <v>-164.89</v>
      </c>
      <c r="K8288" s="11">
        <v>6.48</v>
      </c>
      <c r="L8288" s="11">
        <v>8.73</v>
      </c>
      <c r="M8288" s="9" t="s">
        <v>2125</v>
      </c>
      <c r="N8288" s="6" t="s">
        <v>2073</v>
      </c>
      <c r="O8288" s="6" t="s">
        <v>704</v>
      </c>
      <c r="P8288" s="9" t="s">
        <v>33</v>
      </c>
      <c r="Q8288" s="9" t="s">
        <v>26</v>
      </c>
      <c r="R8288" s="9" t="s">
        <v>61</v>
      </c>
      <c r="S8288" s="7" t="s">
        <v>828</v>
      </c>
      <c r="T8288" s="9" t="s">
        <v>39</v>
      </c>
      <c r="U8288" s="7">
        <v>0.37</v>
      </c>
      <c r="V8288" s="12">
        <f>C8288+0</f>
        <v>41168</v>
      </c>
      <c r="W8288">
        <f>IF(D8288=' Pivot Tables'!$A$4,1,0)</f>
        <v>0</v>
      </c>
      <c r="X8288">
        <f>IF(AND(LEFT(D8288,4)+1=LEFT(' Pivot Tables'!$A$4,4)+0,RIGHT(LEFT(D8288,7),2)=RIGHT(LEFT(' Pivot Tables'!$A$4,7),2)),1,0)</f>
        <v>0</v>
      </c>
      <c r="Y8288" s="6">
        <f>1/COUNTIF(Таблица1[Order ID],Таблица1[[#This Row],[Order ID]])</f>
        <v>1</v>
      </c>
      <c r="Z8288" s="9">
        <f>1/COUNTIFS(Таблица1[Customer Name],Таблица1[[#This Row],[Customer Name]],Таблица1[Order-Year-Month],Таблица1[[#This Row],[Order-Year-Month]])</f>
        <v>1</v>
      </c>
    </row>
    <row r="8289" spans="1:26" x14ac:dyDescent="0.2">
      <c r="A8289" s="6">
        <v>4677</v>
      </c>
      <c r="B8289" s="7">
        <v>33283</v>
      </c>
      <c r="C8289" s="8">
        <f>DATE(2012,12,31)-1017</f>
        <v>40257</v>
      </c>
      <c r="D8289" s="8" t="str">
        <f t="shared" si="158"/>
        <v>2010-03 (март 2010)</v>
      </c>
      <c r="E8289" s="9" t="s">
        <v>63</v>
      </c>
      <c r="F8289" s="7">
        <v>48</v>
      </c>
      <c r="G8289" s="7">
        <v>10462.540000000001</v>
      </c>
      <c r="H8289" s="7">
        <v>0.02</v>
      </c>
      <c r="I8289" s="9" t="s">
        <v>31</v>
      </c>
      <c r="J8289" s="10">
        <v>-1402.68</v>
      </c>
      <c r="K8289" s="11">
        <v>218.75</v>
      </c>
      <c r="L8289" s="11">
        <v>69.64</v>
      </c>
      <c r="M8289" s="9" t="s">
        <v>1302</v>
      </c>
      <c r="N8289" s="6" t="s">
        <v>2073</v>
      </c>
      <c r="O8289" s="6" t="s">
        <v>704</v>
      </c>
      <c r="P8289" s="9" t="s">
        <v>60</v>
      </c>
      <c r="Q8289" s="9" t="s">
        <v>49</v>
      </c>
      <c r="R8289" s="9" t="s">
        <v>83</v>
      </c>
      <c r="S8289" s="7" t="s">
        <v>254</v>
      </c>
      <c r="T8289" s="9" t="s">
        <v>82</v>
      </c>
      <c r="U8289" s="7">
        <v>0.77</v>
      </c>
      <c r="V8289" s="12">
        <f>C8289+0</f>
        <v>40257</v>
      </c>
      <c r="W8289">
        <f>IF(D8289=' Pivot Tables'!$A$4,1,0)</f>
        <v>0</v>
      </c>
      <c r="X8289">
        <f>IF(AND(LEFT(D8289,4)+1=LEFT(' Pivot Tables'!$A$4,4)+0,RIGHT(LEFT(D8289,7),2)=RIGHT(LEFT(' Pivot Tables'!$A$4,7),2)),1,0)</f>
        <v>0</v>
      </c>
      <c r="Y8289" s="6">
        <f>1/COUNTIF(Таблица1[Order ID],Таблица1[[#This Row],[Order ID]])</f>
        <v>1</v>
      </c>
      <c r="Z8289" s="9">
        <f>1/COUNTIFS(Таблица1[Customer Name],Таблица1[[#This Row],[Customer Name]],Таблица1[Order-Year-Month],Таблица1[[#This Row],[Order-Year-Month]])</f>
        <v>1</v>
      </c>
    </row>
    <row r="8290" spans="1:26" x14ac:dyDescent="0.2">
      <c r="A8290" s="6">
        <v>4750</v>
      </c>
      <c r="B8290" s="7">
        <v>33764</v>
      </c>
      <c r="C8290" s="8">
        <f>DATE(2012,12,31)-690</f>
        <v>40584</v>
      </c>
      <c r="D8290" s="8" t="str">
        <f t="shared" si="158"/>
        <v>2011-02 (февраль 2011)</v>
      </c>
      <c r="E8290" s="9" t="s">
        <v>78</v>
      </c>
      <c r="F8290" s="7">
        <v>4</v>
      </c>
      <c r="G8290" s="7">
        <v>539.82000000000005</v>
      </c>
      <c r="H8290" s="7">
        <v>0</v>
      </c>
      <c r="I8290" s="9" t="s">
        <v>22</v>
      </c>
      <c r="J8290" s="10">
        <v>-64.78</v>
      </c>
      <c r="K8290" s="11">
        <v>120.33</v>
      </c>
      <c r="L8290" s="11">
        <v>19.989999999999998</v>
      </c>
      <c r="M8290" s="9" t="s">
        <v>1701</v>
      </c>
      <c r="N8290" s="6" t="s">
        <v>2073</v>
      </c>
      <c r="O8290" s="6" t="s">
        <v>704</v>
      </c>
      <c r="P8290" s="9" t="s">
        <v>25</v>
      </c>
      <c r="Q8290" s="9" t="s">
        <v>26</v>
      </c>
      <c r="R8290" s="9" t="s">
        <v>27</v>
      </c>
      <c r="S8290" s="7" t="s">
        <v>1148</v>
      </c>
      <c r="T8290" s="9" t="s">
        <v>39</v>
      </c>
      <c r="U8290" s="7">
        <v>0.59</v>
      </c>
      <c r="V8290" s="12">
        <f>C8290+2</f>
        <v>40586</v>
      </c>
      <c r="W8290">
        <f>IF(D8290=' Pivot Tables'!$A$4,1,0)</f>
        <v>0</v>
      </c>
      <c r="X8290">
        <f>IF(AND(LEFT(D8290,4)+1=LEFT(' Pivot Tables'!$A$4,4)+0,RIGHT(LEFT(D8290,7),2)=RIGHT(LEFT(' Pivot Tables'!$A$4,7),2)),1,0)</f>
        <v>0</v>
      </c>
      <c r="Y8290" s="6">
        <f>1/COUNTIF(Таблица1[Order ID],Таблица1[[#This Row],[Order ID]])</f>
        <v>0.33333333333333331</v>
      </c>
      <c r="Z8290" s="9">
        <f>1/COUNTIFS(Таблица1[Customer Name],Таблица1[[#This Row],[Customer Name]],Таблица1[Order-Year-Month],Таблица1[[#This Row],[Order-Year-Month]])</f>
        <v>0.33333333333333331</v>
      </c>
    </row>
    <row r="8291" spans="1:26" x14ac:dyDescent="0.2">
      <c r="A8291" s="6">
        <v>4751</v>
      </c>
      <c r="B8291" s="7">
        <v>33764</v>
      </c>
      <c r="C8291" s="8">
        <f>DATE(2012,12,31)-690</f>
        <v>40584</v>
      </c>
      <c r="D8291" s="8" t="str">
        <f t="shared" si="158"/>
        <v>2011-02 (февраль 2011)</v>
      </c>
      <c r="E8291" s="9" t="s">
        <v>78</v>
      </c>
      <c r="F8291" s="7">
        <v>6</v>
      </c>
      <c r="G8291" s="7">
        <v>1029.8855000000001</v>
      </c>
      <c r="H8291" s="7">
        <v>0.06</v>
      </c>
      <c r="I8291" s="9" t="s">
        <v>56</v>
      </c>
      <c r="J8291" s="10">
        <v>-620.82899999999995</v>
      </c>
      <c r="K8291" s="11">
        <v>205.99</v>
      </c>
      <c r="L8291" s="11">
        <v>8.99</v>
      </c>
      <c r="M8291" s="9" t="s">
        <v>1701</v>
      </c>
      <c r="N8291" s="6" t="s">
        <v>2073</v>
      </c>
      <c r="O8291" s="6" t="s">
        <v>704</v>
      </c>
      <c r="P8291" s="9" t="s">
        <v>25</v>
      </c>
      <c r="Q8291" s="9" t="s">
        <v>42</v>
      </c>
      <c r="R8291" s="9" t="s">
        <v>43</v>
      </c>
      <c r="S8291" s="7" t="s">
        <v>1444</v>
      </c>
      <c r="T8291" s="9" t="s">
        <v>39</v>
      </c>
      <c r="U8291" s="7">
        <v>0.56000000000000005</v>
      </c>
      <c r="V8291" s="12">
        <f>C8291+1</f>
        <v>40585</v>
      </c>
      <c r="W8291">
        <f>IF(D8291=' Pivot Tables'!$A$4,1,0)</f>
        <v>0</v>
      </c>
      <c r="X8291">
        <f>IF(AND(LEFT(D8291,4)+1=LEFT(' Pivot Tables'!$A$4,4)+0,RIGHT(LEFT(D8291,7),2)=RIGHT(LEFT(' Pivot Tables'!$A$4,7),2)),1,0)</f>
        <v>0</v>
      </c>
      <c r="Y8291" s="6">
        <f>1/COUNTIF(Таблица1[Order ID],Таблица1[[#This Row],[Order ID]])</f>
        <v>0.33333333333333331</v>
      </c>
      <c r="Z8291" s="9">
        <f>1/COUNTIFS(Таблица1[Customer Name],Таблица1[[#This Row],[Customer Name]],Таблица1[Order-Year-Month],Таблица1[[#This Row],[Order-Year-Month]])</f>
        <v>0.33333333333333331</v>
      </c>
    </row>
    <row r="8292" spans="1:26" x14ac:dyDescent="0.2">
      <c r="A8292" s="6">
        <v>4800</v>
      </c>
      <c r="B8292" s="7">
        <v>34117</v>
      </c>
      <c r="C8292" s="8">
        <f>DATE(2012,12,31)-328</f>
        <v>40946</v>
      </c>
      <c r="D8292" s="8" t="str">
        <f t="shared" si="158"/>
        <v>2012-02 (февраль 2012)</v>
      </c>
      <c r="E8292" s="9" t="s">
        <v>30</v>
      </c>
      <c r="F8292" s="7">
        <v>45</v>
      </c>
      <c r="G8292" s="7">
        <v>299.94</v>
      </c>
      <c r="H8292" s="7">
        <v>0.06</v>
      </c>
      <c r="I8292" s="9" t="s">
        <v>22</v>
      </c>
      <c r="J8292" s="10">
        <v>38.742999999999995</v>
      </c>
      <c r="K8292" s="11">
        <v>6.75</v>
      </c>
      <c r="L8292" s="11">
        <v>2.99</v>
      </c>
      <c r="M8292" s="9" t="s">
        <v>1701</v>
      </c>
      <c r="N8292" s="6" t="s">
        <v>2073</v>
      </c>
      <c r="O8292" s="6" t="s">
        <v>704</v>
      </c>
      <c r="P8292" s="9" t="s">
        <v>25</v>
      </c>
      <c r="Q8292" s="9" t="s">
        <v>26</v>
      </c>
      <c r="R8292" s="9" t="s">
        <v>37</v>
      </c>
      <c r="S8292" s="7" t="s">
        <v>362</v>
      </c>
      <c r="T8292" s="9" t="s">
        <v>39</v>
      </c>
      <c r="U8292" s="7">
        <v>0.35</v>
      </c>
      <c r="V8292" s="12">
        <f>C8292+2</f>
        <v>40948</v>
      </c>
      <c r="W8292">
        <f>IF(D8292=' Pivot Tables'!$A$4,1,0)</f>
        <v>0</v>
      </c>
      <c r="X8292">
        <f>IF(AND(LEFT(D8292,4)+1=LEFT(' Pivot Tables'!$A$4,4)+0,RIGHT(LEFT(D8292,7),2)=RIGHT(LEFT(' Pivot Tables'!$A$4,7),2)),1,0)</f>
        <v>0</v>
      </c>
      <c r="Y8292" s="6">
        <f>1/COUNTIF(Таблица1[Order ID],Таблица1[[#This Row],[Order ID]])</f>
        <v>1</v>
      </c>
      <c r="Z8292" s="9">
        <f>1/COUNTIFS(Таблица1[Customer Name],Таблица1[[#This Row],[Customer Name]],Таблица1[Order-Year-Month],Таблица1[[#This Row],[Order-Year-Month]])</f>
        <v>1</v>
      </c>
    </row>
    <row r="8293" spans="1:26" x14ac:dyDescent="0.2">
      <c r="A8293" s="6">
        <v>4974</v>
      </c>
      <c r="B8293" s="7">
        <v>35366</v>
      </c>
      <c r="C8293" s="8">
        <f>DATE(2012,12,31)-538</f>
        <v>40736</v>
      </c>
      <c r="D8293" s="8" t="str">
        <f t="shared" si="158"/>
        <v>2011-07 (июль 2011)</v>
      </c>
      <c r="E8293" s="9" t="s">
        <v>21</v>
      </c>
      <c r="F8293" s="7">
        <v>23</v>
      </c>
      <c r="G8293" s="7">
        <v>149.31</v>
      </c>
      <c r="H8293" s="7">
        <v>0.06</v>
      </c>
      <c r="I8293" s="9" t="s">
        <v>22</v>
      </c>
      <c r="J8293" s="10">
        <v>-98.42</v>
      </c>
      <c r="K8293" s="11">
        <v>6.48</v>
      </c>
      <c r="L8293" s="11">
        <v>7.81</v>
      </c>
      <c r="M8293" s="9" t="s">
        <v>2122</v>
      </c>
      <c r="N8293" s="6" t="s">
        <v>2073</v>
      </c>
      <c r="O8293" s="6" t="s">
        <v>704</v>
      </c>
      <c r="P8293" s="9" t="s">
        <v>33</v>
      </c>
      <c r="Q8293" s="9" t="s">
        <v>26</v>
      </c>
      <c r="R8293" s="9" t="s">
        <v>61</v>
      </c>
      <c r="S8293" s="7" t="s">
        <v>2131</v>
      </c>
      <c r="T8293" s="9" t="s">
        <v>39</v>
      </c>
      <c r="U8293" s="7">
        <v>0.37</v>
      </c>
      <c r="V8293" s="12">
        <f>C8293+7</f>
        <v>40743</v>
      </c>
      <c r="W8293">
        <f>IF(D8293=' Pivot Tables'!$A$4,1,0)</f>
        <v>0</v>
      </c>
      <c r="X8293">
        <f>IF(AND(LEFT(D8293,4)+1=LEFT(' Pivot Tables'!$A$4,4)+0,RIGHT(LEFT(D8293,7),2)=RIGHT(LEFT(' Pivot Tables'!$A$4,7),2)),1,0)</f>
        <v>0</v>
      </c>
      <c r="Y8293" s="6">
        <f>1/COUNTIF(Таблица1[Order ID],Таблица1[[#This Row],[Order ID]])</f>
        <v>1</v>
      </c>
      <c r="Z8293" s="9">
        <f>1/COUNTIFS(Таблица1[Customer Name],Таблица1[[#This Row],[Customer Name]],Таблица1[Order-Year-Month],Таблица1[[#This Row],[Order-Year-Month]])</f>
        <v>0.25</v>
      </c>
    </row>
    <row r="8294" spans="1:26" x14ac:dyDescent="0.2">
      <c r="A8294" s="6">
        <v>4979</v>
      </c>
      <c r="B8294" s="7">
        <v>35426</v>
      </c>
      <c r="C8294" s="8">
        <f>DATE(2012,12,31)-820</f>
        <v>40454</v>
      </c>
      <c r="D8294" s="8" t="str">
        <f t="shared" si="158"/>
        <v>2010-10 (октябрь 2010)</v>
      </c>
      <c r="E8294" s="9" t="s">
        <v>30</v>
      </c>
      <c r="F8294" s="7">
        <v>5</v>
      </c>
      <c r="G8294" s="7">
        <v>53.01</v>
      </c>
      <c r="H8294" s="7">
        <v>0.08</v>
      </c>
      <c r="I8294" s="9" t="s">
        <v>22</v>
      </c>
      <c r="J8294" s="10">
        <v>3.85</v>
      </c>
      <c r="K8294" s="11">
        <v>10.31</v>
      </c>
      <c r="L8294" s="11">
        <v>1.79</v>
      </c>
      <c r="M8294" s="9" t="s">
        <v>1998</v>
      </c>
      <c r="N8294" s="6" t="s">
        <v>2073</v>
      </c>
      <c r="O8294" s="6" t="s">
        <v>704</v>
      </c>
      <c r="P8294" s="9" t="s">
        <v>25</v>
      </c>
      <c r="Q8294" s="9" t="s">
        <v>26</v>
      </c>
      <c r="R8294" s="9" t="s">
        <v>61</v>
      </c>
      <c r="S8294" s="7" t="s">
        <v>282</v>
      </c>
      <c r="T8294" s="9" t="s">
        <v>68</v>
      </c>
      <c r="U8294" s="7">
        <v>0.38</v>
      </c>
      <c r="V8294" s="12">
        <f>C8294+1</f>
        <v>40455</v>
      </c>
      <c r="W8294">
        <f>IF(D8294=' Pivot Tables'!$A$4,1,0)</f>
        <v>0</v>
      </c>
      <c r="X8294">
        <f>IF(AND(LEFT(D8294,4)+1=LEFT(' Pivot Tables'!$A$4,4)+0,RIGHT(LEFT(D8294,7),2)=RIGHT(LEFT(' Pivot Tables'!$A$4,7),2)),1,0)</f>
        <v>0</v>
      </c>
      <c r="Y8294" s="6">
        <f>1/COUNTIF(Таблица1[Order ID],Таблица1[[#This Row],[Order ID]])</f>
        <v>1</v>
      </c>
      <c r="Z8294" s="9">
        <f>1/COUNTIFS(Таблица1[Customer Name],Таблица1[[#This Row],[Customer Name]],Таблица1[Order-Year-Month],Таблица1[[#This Row],[Order-Year-Month]])</f>
        <v>1</v>
      </c>
    </row>
    <row r="8295" spans="1:26" x14ac:dyDescent="0.2">
      <c r="A8295" s="6">
        <v>4987</v>
      </c>
      <c r="B8295" s="7">
        <v>35490</v>
      </c>
      <c r="C8295" s="8">
        <f>DATE(2012,12,31)-755</f>
        <v>40519</v>
      </c>
      <c r="D8295" s="8" t="str">
        <f t="shared" si="158"/>
        <v>2010-12 (декабрь 2010)</v>
      </c>
      <c r="E8295" s="9" t="s">
        <v>30</v>
      </c>
      <c r="F8295" s="7">
        <v>7</v>
      </c>
      <c r="G8295" s="7">
        <v>44.64</v>
      </c>
      <c r="H8295" s="7">
        <v>0.03</v>
      </c>
      <c r="I8295" s="9" t="s">
        <v>56</v>
      </c>
      <c r="J8295" s="10">
        <v>2.08</v>
      </c>
      <c r="K8295" s="11">
        <v>5.84</v>
      </c>
      <c r="L8295" s="11">
        <v>1.2</v>
      </c>
      <c r="M8295" s="9" t="s">
        <v>2129</v>
      </c>
      <c r="N8295" s="6" t="s">
        <v>2073</v>
      </c>
      <c r="O8295" s="6" t="s">
        <v>704</v>
      </c>
      <c r="P8295" s="9" t="s">
        <v>25</v>
      </c>
      <c r="Q8295" s="9" t="s">
        <v>26</v>
      </c>
      <c r="R8295" s="9" t="s">
        <v>95</v>
      </c>
      <c r="S8295" s="7" t="s">
        <v>413</v>
      </c>
      <c r="T8295" s="9" t="s">
        <v>68</v>
      </c>
      <c r="U8295" s="7">
        <v>0.55000000000000004</v>
      </c>
      <c r="V8295" s="12">
        <f>C8295+2</f>
        <v>40521</v>
      </c>
      <c r="W8295">
        <f>IF(D8295=' Pivot Tables'!$A$4,1,0)</f>
        <v>0</v>
      </c>
      <c r="X8295">
        <f>IF(AND(LEFT(D8295,4)+1=LEFT(' Pivot Tables'!$A$4,4)+0,RIGHT(LEFT(D8295,7),2)=RIGHT(LEFT(' Pivot Tables'!$A$4,7),2)),1,0)</f>
        <v>0</v>
      </c>
      <c r="Y8295" s="6">
        <f>1/COUNTIF(Таблица1[Order ID],Таблица1[[#This Row],[Order ID]])</f>
        <v>0.5</v>
      </c>
      <c r="Z8295" s="9">
        <f>1/COUNTIFS(Таблица1[Customer Name],Таблица1[[#This Row],[Customer Name]],Таблица1[Order-Year-Month],Таблица1[[#This Row],[Order-Year-Month]])</f>
        <v>0.5</v>
      </c>
    </row>
    <row r="8296" spans="1:26" x14ac:dyDescent="0.2">
      <c r="A8296" s="6">
        <v>4988</v>
      </c>
      <c r="B8296" s="7">
        <v>35490</v>
      </c>
      <c r="C8296" s="8">
        <f>DATE(2012,12,31)-755</f>
        <v>40519</v>
      </c>
      <c r="D8296" s="8" t="str">
        <f t="shared" si="158"/>
        <v>2010-12 (декабрь 2010)</v>
      </c>
      <c r="E8296" s="9" t="s">
        <v>30</v>
      </c>
      <c r="F8296" s="7">
        <v>41</v>
      </c>
      <c r="G8296" s="7">
        <v>1289.6199999999999</v>
      </c>
      <c r="H8296" s="7">
        <v>0.03</v>
      </c>
      <c r="I8296" s="9" t="s">
        <v>22</v>
      </c>
      <c r="J8296" s="10">
        <v>432.52199999999999</v>
      </c>
      <c r="K8296" s="11">
        <v>35.99</v>
      </c>
      <c r="L8296" s="11">
        <v>1.1000000000000001</v>
      </c>
      <c r="M8296" s="9" t="s">
        <v>2129</v>
      </c>
      <c r="N8296" s="6" t="s">
        <v>2073</v>
      </c>
      <c r="O8296" s="6" t="s">
        <v>704</v>
      </c>
      <c r="P8296" s="9" t="s">
        <v>25</v>
      </c>
      <c r="Q8296" s="9" t="s">
        <v>42</v>
      </c>
      <c r="R8296" s="9" t="s">
        <v>43</v>
      </c>
      <c r="S8296" s="7" t="s">
        <v>1082</v>
      </c>
      <c r="T8296" s="9" t="s">
        <v>39</v>
      </c>
      <c r="U8296" s="7">
        <v>0.55000000000000004</v>
      </c>
      <c r="V8296" s="12">
        <f>C8296+2</f>
        <v>40521</v>
      </c>
      <c r="W8296">
        <f>IF(D8296=' Pivot Tables'!$A$4,1,0)</f>
        <v>0</v>
      </c>
      <c r="X8296">
        <f>IF(AND(LEFT(D8296,4)+1=LEFT(' Pivot Tables'!$A$4,4)+0,RIGHT(LEFT(D8296,7),2)=RIGHT(LEFT(' Pivot Tables'!$A$4,7),2)),1,0)</f>
        <v>0</v>
      </c>
      <c r="Y8296" s="6">
        <f>1/COUNTIF(Таблица1[Order ID],Таблица1[[#This Row],[Order ID]])</f>
        <v>0.5</v>
      </c>
      <c r="Z8296" s="9">
        <f>1/COUNTIFS(Таблица1[Customer Name],Таблица1[[#This Row],[Customer Name]],Таблица1[Order-Year-Month],Таблица1[[#This Row],[Order-Year-Month]])</f>
        <v>0.5</v>
      </c>
    </row>
    <row r="8297" spans="1:26" x14ac:dyDescent="0.2">
      <c r="A8297" s="6">
        <v>5005</v>
      </c>
      <c r="B8297" s="7">
        <v>35686</v>
      </c>
      <c r="C8297" s="8">
        <f>DATE(2012,12,31)-821</f>
        <v>40453</v>
      </c>
      <c r="D8297" s="8" t="str">
        <f t="shared" si="158"/>
        <v>2010-10 (октябрь 2010)</v>
      </c>
      <c r="E8297" s="9" t="s">
        <v>30</v>
      </c>
      <c r="F8297" s="7">
        <v>48</v>
      </c>
      <c r="G8297" s="7">
        <v>313.52</v>
      </c>
      <c r="H8297" s="7">
        <v>0.05</v>
      </c>
      <c r="I8297" s="9" t="s">
        <v>22</v>
      </c>
      <c r="J8297" s="10">
        <v>-254.68</v>
      </c>
      <c r="K8297" s="11">
        <v>6.48</v>
      </c>
      <c r="L8297" s="11">
        <v>9.17</v>
      </c>
      <c r="M8297" s="9" t="s">
        <v>1408</v>
      </c>
      <c r="N8297" s="6" t="s">
        <v>2073</v>
      </c>
      <c r="O8297" s="6" t="s">
        <v>704</v>
      </c>
      <c r="P8297" s="9" t="s">
        <v>60</v>
      </c>
      <c r="Q8297" s="9" t="s">
        <v>26</v>
      </c>
      <c r="R8297" s="9" t="s">
        <v>61</v>
      </c>
      <c r="S8297" s="7" t="s">
        <v>1612</v>
      </c>
      <c r="T8297" s="9" t="s">
        <v>39</v>
      </c>
      <c r="U8297" s="7">
        <v>0.37</v>
      </c>
      <c r="V8297" s="12">
        <f>C8297+2</f>
        <v>40455</v>
      </c>
      <c r="W8297">
        <f>IF(D8297=' Pivot Tables'!$A$4,1,0)</f>
        <v>0</v>
      </c>
      <c r="X8297">
        <f>IF(AND(LEFT(D8297,4)+1=LEFT(' Pivot Tables'!$A$4,4)+0,RIGHT(LEFT(D8297,7),2)=RIGHT(LEFT(' Pivot Tables'!$A$4,7),2)),1,0)</f>
        <v>0</v>
      </c>
      <c r="Y8297" s="6">
        <f>1/COUNTIF(Таблица1[Order ID],Таблица1[[#This Row],[Order ID]])</f>
        <v>1</v>
      </c>
      <c r="Z8297" s="9">
        <f>1/COUNTIFS(Таблица1[Customer Name],Таблица1[[#This Row],[Customer Name]],Таблица1[Order-Year-Month],Таблица1[[#This Row],[Order-Year-Month]])</f>
        <v>1</v>
      </c>
    </row>
    <row r="8298" spans="1:26" x14ac:dyDescent="0.2">
      <c r="A8298" s="6">
        <v>5010</v>
      </c>
      <c r="B8298" s="7">
        <v>35744</v>
      </c>
      <c r="C8298" s="8">
        <f>DATE(2012,12,31)-1381</f>
        <v>39893</v>
      </c>
      <c r="D8298" s="8" t="str">
        <f t="shared" si="158"/>
        <v>2009-03 (март 2009)</v>
      </c>
      <c r="E8298" s="9" t="s">
        <v>45</v>
      </c>
      <c r="F8298" s="7">
        <v>44</v>
      </c>
      <c r="G8298" s="7">
        <v>2587.5300000000002</v>
      </c>
      <c r="H8298" s="7">
        <v>0.02</v>
      </c>
      <c r="I8298" s="9" t="s">
        <v>22</v>
      </c>
      <c r="J8298" s="10">
        <v>401.85</v>
      </c>
      <c r="K8298" s="11">
        <v>55.94</v>
      </c>
      <c r="L8298" s="11">
        <v>6.55</v>
      </c>
      <c r="M8298" s="9" t="s">
        <v>2125</v>
      </c>
      <c r="N8298" s="6" t="s">
        <v>2073</v>
      </c>
      <c r="O8298" s="6" t="s">
        <v>704</v>
      </c>
      <c r="P8298" s="9" t="s">
        <v>33</v>
      </c>
      <c r="Q8298" s="9" t="s">
        <v>42</v>
      </c>
      <c r="R8298" s="9" t="s">
        <v>70</v>
      </c>
      <c r="S8298" s="7" t="s">
        <v>503</v>
      </c>
      <c r="T8298" s="9" t="s">
        <v>39</v>
      </c>
      <c r="U8298" s="7">
        <v>0.68</v>
      </c>
      <c r="V8298" s="12">
        <f>C8298+2</f>
        <v>39895</v>
      </c>
      <c r="W8298">
        <f>IF(D8298=' Pivot Tables'!$A$4,1,0)</f>
        <v>0</v>
      </c>
      <c r="X8298">
        <f>IF(AND(LEFT(D8298,4)+1=LEFT(' Pivot Tables'!$A$4,4)+0,RIGHT(LEFT(D8298,7),2)=RIGHT(LEFT(' Pivot Tables'!$A$4,7),2)),1,0)</f>
        <v>0</v>
      </c>
      <c r="Y8298" s="6">
        <f>1/COUNTIF(Таблица1[Order ID],Таблица1[[#This Row],[Order ID]])</f>
        <v>1</v>
      </c>
      <c r="Z8298" s="9">
        <f>1/COUNTIFS(Таблица1[Customer Name],Таблица1[[#This Row],[Customer Name]],Таблица1[Order-Year-Month],Таблица1[[#This Row],[Order-Year-Month]])</f>
        <v>1</v>
      </c>
    </row>
    <row r="8299" spans="1:26" x14ac:dyDescent="0.2">
      <c r="A8299" s="6">
        <v>5042</v>
      </c>
      <c r="B8299" s="7">
        <v>35936</v>
      </c>
      <c r="C8299" s="8">
        <f>DATE(2012,12,31)-1440</f>
        <v>39834</v>
      </c>
      <c r="D8299" s="8" t="str">
        <f t="shared" si="158"/>
        <v>2009-01 (январь 2009)</v>
      </c>
      <c r="E8299" s="9" t="s">
        <v>63</v>
      </c>
      <c r="F8299" s="7">
        <v>41</v>
      </c>
      <c r="G8299" s="7">
        <v>312.26</v>
      </c>
      <c r="H8299" s="7">
        <v>0.08</v>
      </c>
      <c r="I8299" s="9" t="s">
        <v>22</v>
      </c>
      <c r="J8299" s="10">
        <v>-10.384499999999999</v>
      </c>
      <c r="K8299" s="11">
        <v>7.84</v>
      </c>
      <c r="L8299" s="11">
        <v>4.71</v>
      </c>
      <c r="M8299" s="9" t="s">
        <v>2119</v>
      </c>
      <c r="N8299" s="6" t="s">
        <v>2073</v>
      </c>
      <c r="O8299" s="6" t="s">
        <v>704</v>
      </c>
      <c r="P8299" s="9" t="s">
        <v>41</v>
      </c>
      <c r="Q8299" s="9" t="s">
        <v>26</v>
      </c>
      <c r="R8299" s="9" t="s">
        <v>37</v>
      </c>
      <c r="S8299" s="7" t="s">
        <v>121</v>
      </c>
      <c r="T8299" s="9" t="s">
        <v>39</v>
      </c>
      <c r="U8299" s="7">
        <v>0.35</v>
      </c>
      <c r="V8299" s="12">
        <f>C8299+1</f>
        <v>39835</v>
      </c>
      <c r="W8299">
        <f>IF(D8299=' Pivot Tables'!$A$4,1,0)</f>
        <v>0</v>
      </c>
      <c r="X8299">
        <f>IF(AND(LEFT(D8299,4)+1=LEFT(' Pivot Tables'!$A$4,4)+0,RIGHT(LEFT(D8299,7),2)=RIGHT(LEFT(' Pivot Tables'!$A$4,7),2)),1,0)</f>
        <v>1</v>
      </c>
      <c r="Y8299" s="6">
        <f>1/COUNTIF(Таблица1[Order ID],Таблица1[[#This Row],[Order ID]])</f>
        <v>0.5</v>
      </c>
      <c r="Z8299" s="9">
        <f>1/COUNTIFS(Таблица1[Customer Name],Таблица1[[#This Row],[Customer Name]],Таблица1[Order-Year-Month],Таблица1[[#This Row],[Order-Year-Month]])</f>
        <v>0.5</v>
      </c>
    </row>
    <row r="8300" spans="1:26" x14ac:dyDescent="0.2">
      <c r="A8300" s="6">
        <v>5043</v>
      </c>
      <c r="B8300" s="7">
        <v>35936</v>
      </c>
      <c r="C8300" s="8">
        <f>DATE(2012,12,31)-1440</f>
        <v>39834</v>
      </c>
      <c r="D8300" s="8" t="str">
        <f t="shared" si="158"/>
        <v>2009-01 (январь 2009)</v>
      </c>
      <c r="E8300" s="9" t="s">
        <v>63</v>
      </c>
      <c r="F8300" s="7">
        <v>40</v>
      </c>
      <c r="G8300" s="7">
        <v>4152.55</v>
      </c>
      <c r="H8300" s="7">
        <v>0.03</v>
      </c>
      <c r="I8300" s="9" t="s">
        <v>22</v>
      </c>
      <c r="J8300" s="10">
        <v>813.33</v>
      </c>
      <c r="K8300" s="11">
        <v>105.34</v>
      </c>
      <c r="L8300" s="11">
        <v>24.49</v>
      </c>
      <c r="M8300" s="9" t="s">
        <v>2119</v>
      </c>
      <c r="N8300" s="6" t="s">
        <v>2073</v>
      </c>
      <c r="O8300" s="6" t="s">
        <v>704</v>
      </c>
      <c r="P8300" s="9" t="s">
        <v>41</v>
      </c>
      <c r="Q8300" s="9" t="s">
        <v>49</v>
      </c>
      <c r="R8300" s="9" t="s">
        <v>50</v>
      </c>
      <c r="S8300" s="7" t="s">
        <v>201</v>
      </c>
      <c r="T8300" s="9" t="s">
        <v>29</v>
      </c>
      <c r="U8300" s="7">
        <v>0.61</v>
      </c>
      <c r="V8300" s="12">
        <f>C8300+1</f>
        <v>39835</v>
      </c>
      <c r="W8300">
        <f>IF(D8300=' Pivot Tables'!$A$4,1,0)</f>
        <v>0</v>
      </c>
      <c r="X8300">
        <f>IF(AND(LEFT(D8300,4)+1=LEFT(' Pivot Tables'!$A$4,4)+0,RIGHT(LEFT(D8300,7),2)=RIGHT(LEFT(' Pivot Tables'!$A$4,7),2)),1,0)</f>
        <v>1</v>
      </c>
      <c r="Y8300" s="6">
        <f>1/COUNTIF(Таблица1[Order ID],Таблица1[[#This Row],[Order ID]])</f>
        <v>0.5</v>
      </c>
      <c r="Z8300" s="9">
        <f>1/COUNTIFS(Таблица1[Customer Name],Таблица1[[#This Row],[Customer Name]],Таблица1[Order-Year-Month],Таблица1[[#This Row],[Order-Year-Month]])</f>
        <v>0.5</v>
      </c>
    </row>
    <row r="8301" spans="1:26" x14ac:dyDescent="0.2">
      <c r="A8301" s="6">
        <v>5085</v>
      </c>
      <c r="B8301" s="7">
        <v>36257</v>
      </c>
      <c r="C8301" s="8">
        <f>DATE(2012,12,31)-308</f>
        <v>40966</v>
      </c>
      <c r="D8301" s="8" t="str">
        <f t="shared" si="158"/>
        <v>2012-02 (февраль 2012)</v>
      </c>
      <c r="E8301" s="9" t="s">
        <v>30</v>
      </c>
      <c r="F8301" s="7">
        <v>43</v>
      </c>
      <c r="G8301" s="7">
        <v>894.51</v>
      </c>
      <c r="H8301" s="7">
        <v>0.08</v>
      </c>
      <c r="I8301" s="9" t="s">
        <v>22</v>
      </c>
      <c r="J8301" s="10">
        <v>294.20999999999998</v>
      </c>
      <c r="K8301" s="11">
        <v>20.89</v>
      </c>
      <c r="L8301" s="11">
        <v>1.99</v>
      </c>
      <c r="M8301" s="9" t="s">
        <v>1998</v>
      </c>
      <c r="N8301" s="6" t="s">
        <v>2073</v>
      </c>
      <c r="O8301" s="6" t="s">
        <v>704</v>
      </c>
      <c r="P8301" s="9" t="s">
        <v>25</v>
      </c>
      <c r="Q8301" s="9" t="s">
        <v>42</v>
      </c>
      <c r="R8301" s="9" t="s">
        <v>70</v>
      </c>
      <c r="S8301" s="7" t="s">
        <v>303</v>
      </c>
      <c r="T8301" s="9" t="s">
        <v>52</v>
      </c>
      <c r="U8301" s="7">
        <v>0.48</v>
      </c>
      <c r="V8301" s="12">
        <f>C8301+2</f>
        <v>40968</v>
      </c>
      <c r="W8301">
        <f>IF(D8301=' Pivot Tables'!$A$4,1,0)</f>
        <v>0</v>
      </c>
      <c r="X8301">
        <f>IF(AND(LEFT(D8301,4)+1=LEFT(' Pivot Tables'!$A$4,4)+0,RIGHT(LEFT(D8301,7),2)=RIGHT(LEFT(' Pivot Tables'!$A$4,7),2)),1,0)</f>
        <v>0</v>
      </c>
      <c r="Y8301" s="6">
        <f>1/COUNTIF(Таблица1[Order ID],Таблица1[[#This Row],[Order ID]])</f>
        <v>1</v>
      </c>
      <c r="Z8301" s="9">
        <f>1/COUNTIFS(Таблица1[Customer Name],Таблица1[[#This Row],[Customer Name]],Таблица1[Order-Year-Month],Таблица1[[#This Row],[Order-Year-Month]])</f>
        <v>0.5</v>
      </c>
    </row>
    <row r="8302" spans="1:26" x14ac:dyDescent="0.2">
      <c r="A8302" s="6">
        <v>5086</v>
      </c>
      <c r="B8302" s="7">
        <v>36262</v>
      </c>
      <c r="C8302" s="8">
        <f>DATE(2012,12,31)-888</f>
        <v>40386</v>
      </c>
      <c r="D8302" s="8" t="str">
        <f t="shared" si="158"/>
        <v>2010-07 (июль 2010)</v>
      </c>
      <c r="E8302" s="9" t="s">
        <v>45</v>
      </c>
      <c r="F8302" s="7">
        <v>23</v>
      </c>
      <c r="G8302" s="7">
        <v>164.02</v>
      </c>
      <c r="H8302" s="7">
        <v>0.03</v>
      </c>
      <c r="I8302" s="9" t="s">
        <v>56</v>
      </c>
      <c r="J8302" s="10">
        <v>-47.64</v>
      </c>
      <c r="K8302" s="11">
        <v>6.68</v>
      </c>
      <c r="L8302" s="11">
        <v>6.15</v>
      </c>
      <c r="M8302" s="9" t="s">
        <v>126</v>
      </c>
      <c r="N8302" s="6" t="s">
        <v>2073</v>
      </c>
      <c r="O8302" s="6" t="s">
        <v>704</v>
      </c>
      <c r="P8302" s="9" t="s">
        <v>41</v>
      </c>
      <c r="Q8302" s="9" t="s">
        <v>26</v>
      </c>
      <c r="R8302" s="9" t="s">
        <v>61</v>
      </c>
      <c r="S8302" s="7" t="s">
        <v>1714</v>
      </c>
      <c r="T8302" s="9" t="s">
        <v>39</v>
      </c>
      <c r="U8302" s="7">
        <v>0.37</v>
      </c>
      <c r="V8302" s="12">
        <f>C8302+1</f>
        <v>40387</v>
      </c>
      <c r="W8302">
        <f>IF(D8302=' Pivot Tables'!$A$4,1,0)</f>
        <v>0</v>
      </c>
      <c r="X8302">
        <f>IF(AND(LEFT(D8302,4)+1=LEFT(' Pivot Tables'!$A$4,4)+0,RIGHT(LEFT(D8302,7),2)=RIGHT(LEFT(' Pivot Tables'!$A$4,7),2)),1,0)</f>
        <v>0</v>
      </c>
      <c r="Y8302" s="6">
        <f>1/COUNTIF(Таблица1[Order ID],Таблица1[[#This Row],[Order ID]])</f>
        <v>0.33333333333333331</v>
      </c>
      <c r="Z8302" s="9">
        <f>1/COUNTIFS(Таблица1[Customer Name],Таблица1[[#This Row],[Customer Name]],Таблица1[Order-Year-Month],Таблица1[[#This Row],[Order-Year-Month]])</f>
        <v>0.33333333333333331</v>
      </c>
    </row>
    <row r="8303" spans="1:26" x14ac:dyDescent="0.2">
      <c r="A8303" s="6">
        <v>5087</v>
      </c>
      <c r="B8303" s="7">
        <v>36262</v>
      </c>
      <c r="C8303" s="8">
        <f>DATE(2012,12,31)-888</f>
        <v>40386</v>
      </c>
      <c r="D8303" s="8" t="str">
        <f t="shared" si="158"/>
        <v>2010-07 (июль 2010)</v>
      </c>
      <c r="E8303" s="9" t="s">
        <v>45</v>
      </c>
      <c r="F8303" s="7">
        <v>23</v>
      </c>
      <c r="G8303" s="7">
        <v>136.81</v>
      </c>
      <c r="H8303" s="7">
        <v>0.01</v>
      </c>
      <c r="I8303" s="9" t="s">
        <v>22</v>
      </c>
      <c r="J8303" s="10">
        <v>-30.51</v>
      </c>
      <c r="K8303" s="11">
        <v>5.68</v>
      </c>
      <c r="L8303" s="11">
        <v>3.6</v>
      </c>
      <c r="M8303" s="9" t="s">
        <v>126</v>
      </c>
      <c r="N8303" s="6" t="s">
        <v>2073</v>
      </c>
      <c r="O8303" s="6" t="s">
        <v>704</v>
      </c>
      <c r="P8303" s="9" t="s">
        <v>41</v>
      </c>
      <c r="Q8303" s="9" t="s">
        <v>26</v>
      </c>
      <c r="R8303" s="9" t="s">
        <v>150</v>
      </c>
      <c r="S8303" s="7" t="s">
        <v>1716</v>
      </c>
      <c r="T8303" s="9" t="s">
        <v>52</v>
      </c>
      <c r="U8303" s="7">
        <v>0.56000000000000005</v>
      </c>
      <c r="V8303" s="12">
        <f>C8303+1</f>
        <v>40387</v>
      </c>
      <c r="W8303">
        <f>IF(D8303=' Pivot Tables'!$A$4,1,0)</f>
        <v>0</v>
      </c>
      <c r="X8303">
        <f>IF(AND(LEFT(D8303,4)+1=LEFT(' Pivot Tables'!$A$4,4)+0,RIGHT(LEFT(D8303,7),2)=RIGHT(LEFT(' Pivot Tables'!$A$4,7),2)),1,0)</f>
        <v>0</v>
      </c>
      <c r="Y8303" s="6">
        <f>1/COUNTIF(Таблица1[Order ID],Таблица1[[#This Row],[Order ID]])</f>
        <v>0.33333333333333331</v>
      </c>
      <c r="Z8303" s="9">
        <f>1/COUNTIFS(Таблица1[Customer Name],Таблица1[[#This Row],[Customer Name]],Таблица1[Order-Year-Month],Таблица1[[#This Row],[Order-Year-Month]])</f>
        <v>0.33333333333333331</v>
      </c>
    </row>
    <row r="8304" spans="1:26" x14ac:dyDescent="0.2">
      <c r="A8304" s="6">
        <v>5088</v>
      </c>
      <c r="B8304" s="7">
        <v>36262</v>
      </c>
      <c r="C8304" s="8">
        <f>DATE(2012,12,31)-888</f>
        <v>40386</v>
      </c>
      <c r="D8304" s="8" t="str">
        <f t="shared" si="158"/>
        <v>2010-07 (июль 2010)</v>
      </c>
      <c r="E8304" s="9" t="s">
        <v>45</v>
      </c>
      <c r="F8304" s="7">
        <v>26</v>
      </c>
      <c r="G8304" s="7">
        <v>4701.6899999999996</v>
      </c>
      <c r="H8304" s="7">
        <v>0</v>
      </c>
      <c r="I8304" s="9" t="s">
        <v>56</v>
      </c>
      <c r="J8304" s="10">
        <v>1148.904</v>
      </c>
      <c r="K8304" s="11">
        <v>205.99</v>
      </c>
      <c r="L8304" s="11">
        <v>2.5</v>
      </c>
      <c r="M8304" s="9" t="s">
        <v>126</v>
      </c>
      <c r="N8304" s="6" t="s">
        <v>2073</v>
      </c>
      <c r="O8304" s="6" t="s">
        <v>704</v>
      </c>
      <c r="P8304" s="9" t="s">
        <v>41</v>
      </c>
      <c r="Q8304" s="9" t="s">
        <v>42</v>
      </c>
      <c r="R8304" s="9" t="s">
        <v>43</v>
      </c>
      <c r="S8304" s="7" t="s">
        <v>1431</v>
      </c>
      <c r="T8304" s="9" t="s">
        <v>39</v>
      </c>
      <c r="U8304" s="7">
        <v>0.59</v>
      </c>
      <c r="V8304" s="12">
        <f>C8304+0</f>
        <v>40386</v>
      </c>
      <c r="W8304">
        <f>IF(D8304=' Pivot Tables'!$A$4,1,0)</f>
        <v>0</v>
      </c>
      <c r="X8304">
        <f>IF(AND(LEFT(D8304,4)+1=LEFT(' Pivot Tables'!$A$4,4)+0,RIGHT(LEFT(D8304,7),2)=RIGHT(LEFT(' Pivot Tables'!$A$4,7),2)),1,0)</f>
        <v>0</v>
      </c>
      <c r="Y8304" s="6">
        <f>1/COUNTIF(Таблица1[Order ID],Таблица1[[#This Row],[Order ID]])</f>
        <v>0.33333333333333331</v>
      </c>
      <c r="Z8304" s="9">
        <f>1/COUNTIFS(Таблица1[Customer Name],Таблица1[[#This Row],[Customer Name]],Таблица1[Order-Year-Month],Таблица1[[#This Row],[Order-Year-Month]])</f>
        <v>0.33333333333333331</v>
      </c>
    </row>
    <row r="8305" spans="1:26" x14ac:dyDescent="0.2">
      <c r="A8305" s="6">
        <v>5089</v>
      </c>
      <c r="B8305" s="7">
        <v>36292</v>
      </c>
      <c r="C8305" s="8">
        <f>DATE(2012,12,31)-1058</f>
        <v>40216</v>
      </c>
      <c r="D8305" s="8" t="str">
        <f t="shared" si="158"/>
        <v>2010-02 (февраль 2010)</v>
      </c>
      <c r="E8305" s="9" t="s">
        <v>78</v>
      </c>
      <c r="F8305" s="7">
        <v>21</v>
      </c>
      <c r="G8305" s="7">
        <v>109.87</v>
      </c>
      <c r="H8305" s="7">
        <v>0.05</v>
      </c>
      <c r="I8305" s="9" t="s">
        <v>22</v>
      </c>
      <c r="J8305" s="10">
        <v>-98.17</v>
      </c>
      <c r="K8305" s="11">
        <v>4.9800000000000004</v>
      </c>
      <c r="L8305" s="11">
        <v>7.54</v>
      </c>
      <c r="M8305" s="9" t="s">
        <v>2003</v>
      </c>
      <c r="N8305" s="6" t="s">
        <v>2073</v>
      </c>
      <c r="O8305" s="6" t="s">
        <v>704</v>
      </c>
      <c r="P8305" s="9" t="s">
        <v>41</v>
      </c>
      <c r="Q8305" s="9" t="s">
        <v>26</v>
      </c>
      <c r="R8305" s="9" t="s">
        <v>61</v>
      </c>
      <c r="S8305" s="7" t="s">
        <v>1554</v>
      </c>
      <c r="T8305" s="9" t="s">
        <v>39</v>
      </c>
      <c r="U8305" s="7">
        <v>0.38</v>
      </c>
      <c r="V8305" s="12">
        <f>C8305+1</f>
        <v>40217</v>
      </c>
      <c r="W8305">
        <f>IF(D8305=' Pivot Tables'!$A$4,1,0)</f>
        <v>0</v>
      </c>
      <c r="X8305">
        <f>IF(AND(LEFT(D8305,4)+1=LEFT(' Pivot Tables'!$A$4,4)+0,RIGHT(LEFT(D8305,7),2)=RIGHT(LEFT(' Pivot Tables'!$A$4,7),2)),1,0)</f>
        <v>0</v>
      </c>
      <c r="Y8305" s="6">
        <f>1/COUNTIF(Таблица1[Order ID],Таблица1[[#This Row],[Order ID]])</f>
        <v>0.5</v>
      </c>
      <c r="Z8305" s="9">
        <f>1/COUNTIFS(Таблица1[Customer Name],Таблица1[[#This Row],[Customer Name]],Таблица1[Order-Year-Month],Таблица1[[#This Row],[Order-Year-Month]])</f>
        <v>0.5</v>
      </c>
    </row>
    <row r="8306" spans="1:26" x14ac:dyDescent="0.2">
      <c r="A8306" s="6">
        <v>5090</v>
      </c>
      <c r="B8306" s="7">
        <v>36292</v>
      </c>
      <c r="C8306" s="8">
        <f>DATE(2012,12,31)-1058</f>
        <v>40216</v>
      </c>
      <c r="D8306" s="8" t="str">
        <f t="shared" si="158"/>
        <v>2010-02 (февраль 2010)</v>
      </c>
      <c r="E8306" s="9" t="s">
        <v>78</v>
      </c>
      <c r="F8306" s="7">
        <v>37</v>
      </c>
      <c r="G8306" s="7">
        <v>816.65</v>
      </c>
      <c r="H8306" s="7">
        <v>0.09</v>
      </c>
      <c r="I8306" s="9" t="s">
        <v>22</v>
      </c>
      <c r="J8306" s="10">
        <v>-182.8</v>
      </c>
      <c r="K8306" s="11">
        <v>22.84</v>
      </c>
      <c r="L8306" s="11">
        <v>16.87</v>
      </c>
      <c r="M8306" s="9" t="s">
        <v>2003</v>
      </c>
      <c r="N8306" s="6" t="s">
        <v>2073</v>
      </c>
      <c r="O8306" s="6" t="s">
        <v>704</v>
      </c>
      <c r="P8306" s="9" t="s">
        <v>41</v>
      </c>
      <c r="Q8306" s="9" t="s">
        <v>26</v>
      </c>
      <c r="R8306" s="9" t="s">
        <v>61</v>
      </c>
      <c r="S8306" s="7" t="s">
        <v>258</v>
      </c>
      <c r="T8306" s="9" t="s">
        <v>39</v>
      </c>
      <c r="U8306" s="7">
        <v>0.39</v>
      </c>
      <c r="V8306" s="12">
        <f>C8306+0</f>
        <v>40216</v>
      </c>
      <c r="W8306">
        <f>IF(D8306=' Pivot Tables'!$A$4,1,0)</f>
        <v>0</v>
      </c>
      <c r="X8306">
        <f>IF(AND(LEFT(D8306,4)+1=LEFT(' Pivot Tables'!$A$4,4)+0,RIGHT(LEFT(D8306,7),2)=RIGHT(LEFT(' Pivot Tables'!$A$4,7),2)),1,0)</f>
        <v>0</v>
      </c>
      <c r="Y8306" s="6">
        <f>1/COUNTIF(Таблица1[Order ID],Таблица1[[#This Row],[Order ID]])</f>
        <v>0.5</v>
      </c>
      <c r="Z8306" s="9">
        <f>1/COUNTIFS(Таблица1[Customer Name],Таблица1[[#This Row],[Customer Name]],Таблица1[Order-Year-Month],Таблица1[[#This Row],[Order-Year-Month]])</f>
        <v>0.5</v>
      </c>
    </row>
    <row r="8307" spans="1:26" x14ac:dyDescent="0.2">
      <c r="A8307" s="6">
        <v>5103</v>
      </c>
      <c r="B8307" s="7">
        <v>36357</v>
      </c>
      <c r="C8307" s="8">
        <f>DATE(2012,12,31)-352</f>
        <v>40922</v>
      </c>
      <c r="D8307" s="8" t="str">
        <f t="shared" si="158"/>
        <v>2012-01 (январь 2012)</v>
      </c>
      <c r="E8307" s="9" t="s">
        <v>45</v>
      </c>
      <c r="F8307" s="7">
        <v>38</v>
      </c>
      <c r="G8307" s="7">
        <v>17605.77</v>
      </c>
      <c r="H8307" s="7">
        <v>0.01</v>
      </c>
      <c r="I8307" s="9" t="s">
        <v>31</v>
      </c>
      <c r="J8307" s="10">
        <v>-370.04</v>
      </c>
      <c r="K8307" s="11">
        <v>449.99</v>
      </c>
      <c r="L8307" s="11">
        <v>49</v>
      </c>
      <c r="M8307" s="9" t="s">
        <v>2120</v>
      </c>
      <c r="N8307" s="6" t="s">
        <v>2073</v>
      </c>
      <c r="O8307" s="6" t="s">
        <v>704</v>
      </c>
      <c r="P8307" s="9" t="s">
        <v>25</v>
      </c>
      <c r="Q8307" s="9" t="s">
        <v>42</v>
      </c>
      <c r="R8307" s="9" t="s">
        <v>99</v>
      </c>
      <c r="S8307" s="7" t="s">
        <v>100</v>
      </c>
      <c r="T8307" s="9" t="s">
        <v>36</v>
      </c>
      <c r="U8307" s="7">
        <v>0.38</v>
      </c>
      <c r="V8307" s="12">
        <f>C8307+1</f>
        <v>40923</v>
      </c>
      <c r="W8307">
        <f>IF(D8307=' Pivot Tables'!$A$4,1,0)</f>
        <v>0</v>
      </c>
      <c r="X8307">
        <f>IF(AND(LEFT(D8307,4)+1=LEFT(' Pivot Tables'!$A$4,4)+0,RIGHT(LEFT(D8307,7),2)=RIGHT(LEFT(' Pivot Tables'!$A$4,7),2)),1,0)</f>
        <v>0</v>
      </c>
      <c r="Y8307" s="6">
        <f>1/COUNTIF(Таблица1[Order ID],Таблица1[[#This Row],[Order ID]])</f>
        <v>1</v>
      </c>
      <c r="Z8307" s="9">
        <f>1/COUNTIFS(Таблица1[Customer Name],Таблица1[[#This Row],[Customer Name]],Таблица1[Order-Year-Month],Таблица1[[#This Row],[Order-Year-Month]])</f>
        <v>1</v>
      </c>
    </row>
    <row r="8308" spans="1:26" x14ac:dyDescent="0.2">
      <c r="A8308" s="6">
        <v>5122</v>
      </c>
      <c r="B8308" s="7">
        <v>36482</v>
      </c>
      <c r="C8308" s="8">
        <f>DATE(2012,12,31)-545</f>
        <v>40729</v>
      </c>
      <c r="D8308" s="8" t="str">
        <f t="shared" si="158"/>
        <v>2011-07 (июль 2011)</v>
      </c>
      <c r="E8308" s="9" t="s">
        <v>63</v>
      </c>
      <c r="F8308" s="7">
        <v>7</v>
      </c>
      <c r="G8308" s="7">
        <v>55.68</v>
      </c>
      <c r="H8308" s="7">
        <v>0.1</v>
      </c>
      <c r="I8308" s="9" t="s">
        <v>56</v>
      </c>
      <c r="J8308" s="10">
        <v>-7.4</v>
      </c>
      <c r="K8308" s="11">
        <v>5.98</v>
      </c>
      <c r="L8308" s="11">
        <v>5.15</v>
      </c>
      <c r="M8308" s="9" t="s">
        <v>1403</v>
      </c>
      <c r="N8308" s="6" t="s">
        <v>2073</v>
      </c>
      <c r="O8308" s="6" t="s">
        <v>704</v>
      </c>
      <c r="P8308" s="9" t="s">
        <v>25</v>
      </c>
      <c r="Q8308" s="9" t="s">
        <v>26</v>
      </c>
      <c r="R8308" s="9" t="s">
        <v>61</v>
      </c>
      <c r="S8308" s="7" t="s">
        <v>995</v>
      </c>
      <c r="T8308" s="9" t="s">
        <v>39</v>
      </c>
      <c r="U8308" s="7">
        <v>0.36</v>
      </c>
      <c r="V8308" s="12">
        <f>C8308+1</f>
        <v>40730</v>
      </c>
      <c r="W8308">
        <f>IF(D8308=' Pivot Tables'!$A$4,1,0)</f>
        <v>0</v>
      </c>
      <c r="X8308">
        <f>IF(AND(LEFT(D8308,4)+1=LEFT(' Pivot Tables'!$A$4,4)+0,RIGHT(LEFT(D8308,7),2)=RIGHT(LEFT(' Pivot Tables'!$A$4,7),2)),1,0)</f>
        <v>0</v>
      </c>
      <c r="Y8308" s="6">
        <f>1/COUNTIF(Таблица1[Order ID],Таблица1[[#This Row],[Order ID]])</f>
        <v>0.33333333333333331</v>
      </c>
      <c r="Z8308" s="9">
        <f>1/COUNTIFS(Таблица1[Customer Name],Таблица1[[#This Row],[Customer Name]],Таблица1[Order-Year-Month],Таблица1[[#This Row],[Order-Year-Month]])</f>
        <v>0.33333333333333331</v>
      </c>
    </row>
    <row r="8309" spans="1:26" x14ac:dyDescent="0.2">
      <c r="A8309" s="6">
        <v>5123</v>
      </c>
      <c r="B8309" s="7">
        <v>36482</v>
      </c>
      <c r="C8309" s="8">
        <f>DATE(2012,12,31)-545</f>
        <v>40729</v>
      </c>
      <c r="D8309" s="8" t="str">
        <f t="shared" si="158"/>
        <v>2011-07 (июль 2011)</v>
      </c>
      <c r="E8309" s="9" t="s">
        <v>63</v>
      </c>
      <c r="F8309" s="7">
        <v>47</v>
      </c>
      <c r="G8309" s="7">
        <v>14588.28</v>
      </c>
      <c r="H8309" s="7">
        <v>0.06</v>
      </c>
      <c r="I8309" s="9" t="s">
        <v>31</v>
      </c>
      <c r="J8309" s="10">
        <v>861.78</v>
      </c>
      <c r="K8309" s="11">
        <v>328.14</v>
      </c>
      <c r="L8309" s="11">
        <v>91.05</v>
      </c>
      <c r="M8309" s="9" t="s">
        <v>1403</v>
      </c>
      <c r="N8309" s="6" t="s">
        <v>2073</v>
      </c>
      <c r="O8309" s="6" t="s">
        <v>704</v>
      </c>
      <c r="P8309" s="9" t="s">
        <v>25</v>
      </c>
      <c r="Q8309" s="9" t="s">
        <v>26</v>
      </c>
      <c r="R8309" s="9" t="s">
        <v>34</v>
      </c>
      <c r="S8309" s="7" t="s">
        <v>1175</v>
      </c>
      <c r="T8309" s="9" t="s">
        <v>36</v>
      </c>
      <c r="U8309" s="7">
        <v>0.56999999999999995</v>
      </c>
      <c r="V8309" s="12">
        <f>C8309+1</f>
        <v>40730</v>
      </c>
      <c r="W8309">
        <f>IF(D8309=' Pivot Tables'!$A$4,1,0)</f>
        <v>0</v>
      </c>
      <c r="X8309">
        <f>IF(AND(LEFT(D8309,4)+1=LEFT(' Pivot Tables'!$A$4,4)+0,RIGHT(LEFT(D8309,7),2)=RIGHT(LEFT(' Pivot Tables'!$A$4,7),2)),1,0)</f>
        <v>0</v>
      </c>
      <c r="Y8309" s="6">
        <f>1/COUNTIF(Таблица1[Order ID],Таблица1[[#This Row],[Order ID]])</f>
        <v>0.33333333333333331</v>
      </c>
      <c r="Z8309" s="9">
        <f>1/COUNTIFS(Таблица1[Customer Name],Таблица1[[#This Row],[Customer Name]],Таблица1[Order-Year-Month],Таблица1[[#This Row],[Order-Year-Month]])</f>
        <v>0.33333333333333331</v>
      </c>
    </row>
    <row r="8310" spans="1:26" x14ac:dyDescent="0.2">
      <c r="A8310" s="6">
        <v>5124</v>
      </c>
      <c r="B8310" s="7">
        <v>36482</v>
      </c>
      <c r="C8310" s="8">
        <f>DATE(2012,12,31)-545</f>
        <v>40729</v>
      </c>
      <c r="D8310" s="8" t="str">
        <f t="shared" si="158"/>
        <v>2011-07 (июль 2011)</v>
      </c>
      <c r="E8310" s="9" t="s">
        <v>63</v>
      </c>
      <c r="F8310" s="7">
        <v>27</v>
      </c>
      <c r="G8310" s="7">
        <v>2675.08</v>
      </c>
      <c r="H8310" s="7">
        <v>7.0000000000000007E-2</v>
      </c>
      <c r="I8310" s="9" t="s">
        <v>56</v>
      </c>
      <c r="J8310" s="10">
        <v>489.58</v>
      </c>
      <c r="K8310" s="11">
        <v>105.34</v>
      </c>
      <c r="L8310" s="11">
        <v>24.49</v>
      </c>
      <c r="M8310" s="9" t="s">
        <v>1403</v>
      </c>
      <c r="N8310" s="6" t="s">
        <v>2073</v>
      </c>
      <c r="O8310" s="6" t="s">
        <v>704</v>
      </c>
      <c r="P8310" s="9" t="s">
        <v>25</v>
      </c>
      <c r="Q8310" s="9" t="s">
        <v>49</v>
      </c>
      <c r="R8310" s="9" t="s">
        <v>50</v>
      </c>
      <c r="S8310" s="7" t="s">
        <v>201</v>
      </c>
      <c r="T8310" s="9" t="s">
        <v>29</v>
      </c>
      <c r="U8310" s="7">
        <v>0.61</v>
      </c>
      <c r="V8310" s="12">
        <f>C8310+2</f>
        <v>40731</v>
      </c>
      <c r="W8310">
        <f>IF(D8310=' Pivot Tables'!$A$4,1,0)</f>
        <v>0</v>
      </c>
      <c r="X8310">
        <f>IF(AND(LEFT(D8310,4)+1=LEFT(' Pivot Tables'!$A$4,4)+0,RIGHT(LEFT(D8310,7),2)=RIGHT(LEFT(' Pivot Tables'!$A$4,7),2)),1,0)</f>
        <v>0</v>
      </c>
      <c r="Y8310" s="6">
        <f>1/COUNTIF(Таблица1[Order ID],Таблица1[[#This Row],[Order ID]])</f>
        <v>0.33333333333333331</v>
      </c>
      <c r="Z8310" s="9">
        <f>1/COUNTIFS(Таблица1[Customer Name],Таблица1[[#This Row],[Customer Name]],Таблица1[Order-Year-Month],Таблица1[[#This Row],[Order-Year-Month]])</f>
        <v>0.33333333333333331</v>
      </c>
    </row>
    <row r="8311" spans="1:26" x14ac:dyDescent="0.2">
      <c r="A8311" s="6">
        <v>5168</v>
      </c>
      <c r="B8311" s="7">
        <v>36772</v>
      </c>
      <c r="C8311" s="8">
        <f>DATE(2012,12,31)-961</f>
        <v>40313</v>
      </c>
      <c r="D8311" s="8" t="str">
        <f t="shared" si="158"/>
        <v>2010-05 (май 2010)</v>
      </c>
      <c r="E8311" s="9" t="s">
        <v>63</v>
      </c>
      <c r="F8311" s="7">
        <v>47</v>
      </c>
      <c r="G8311" s="7">
        <v>280.45</v>
      </c>
      <c r="H8311" s="7">
        <v>0.1</v>
      </c>
      <c r="I8311" s="9" t="s">
        <v>22</v>
      </c>
      <c r="J8311" s="10">
        <v>-143.65</v>
      </c>
      <c r="K8311" s="11">
        <v>6.48</v>
      </c>
      <c r="L8311" s="11">
        <v>6.35</v>
      </c>
      <c r="M8311" s="9" t="s">
        <v>1302</v>
      </c>
      <c r="N8311" s="6" t="s">
        <v>2073</v>
      </c>
      <c r="O8311" s="6" t="s">
        <v>704</v>
      </c>
      <c r="P8311" s="9" t="s">
        <v>60</v>
      </c>
      <c r="Q8311" s="9" t="s">
        <v>26</v>
      </c>
      <c r="R8311" s="9" t="s">
        <v>61</v>
      </c>
      <c r="S8311" s="7" t="s">
        <v>1629</v>
      </c>
      <c r="T8311" s="9" t="s">
        <v>39</v>
      </c>
      <c r="U8311" s="7">
        <v>0.37</v>
      </c>
      <c r="V8311" s="12">
        <f>C8311+0</f>
        <v>40313</v>
      </c>
      <c r="W8311">
        <f>IF(D8311=' Pivot Tables'!$A$4,1,0)</f>
        <v>0</v>
      </c>
      <c r="X8311">
        <f>IF(AND(LEFT(D8311,4)+1=LEFT(' Pivot Tables'!$A$4,4)+0,RIGHT(LEFT(D8311,7),2)=RIGHT(LEFT(' Pivot Tables'!$A$4,7),2)),1,0)</f>
        <v>0</v>
      </c>
      <c r="Y8311" s="6">
        <f>1/COUNTIF(Таблица1[Order ID],Таблица1[[#This Row],[Order ID]])</f>
        <v>0.33333333333333331</v>
      </c>
      <c r="Z8311" s="9">
        <f>1/COUNTIFS(Таблица1[Customer Name],Таблица1[[#This Row],[Customer Name]],Таблица1[Order-Year-Month],Таблица1[[#This Row],[Order-Year-Month]])</f>
        <v>0.33333333333333331</v>
      </c>
    </row>
    <row r="8312" spans="1:26" x14ac:dyDescent="0.2">
      <c r="A8312" s="6">
        <v>5206</v>
      </c>
      <c r="B8312" s="7">
        <v>36998</v>
      </c>
      <c r="C8312" s="8">
        <f>DATE(2012,12,31)-93</f>
        <v>41181</v>
      </c>
      <c r="D8312" s="8" t="str">
        <f t="shared" si="158"/>
        <v>2012-09 (сентябрь 2012)</v>
      </c>
      <c r="E8312" s="9" t="s">
        <v>21</v>
      </c>
      <c r="F8312" s="7">
        <v>50</v>
      </c>
      <c r="G8312" s="7">
        <v>481.23</v>
      </c>
      <c r="H8312" s="7">
        <v>7.0000000000000007E-2</v>
      </c>
      <c r="I8312" s="9" t="s">
        <v>22</v>
      </c>
      <c r="J8312" s="10">
        <v>-409.24</v>
      </c>
      <c r="K8312" s="11">
        <v>9.98</v>
      </c>
      <c r="L8312" s="11">
        <v>12.52</v>
      </c>
      <c r="M8312" s="9" t="s">
        <v>2003</v>
      </c>
      <c r="N8312" s="6" t="s">
        <v>2073</v>
      </c>
      <c r="O8312" s="6" t="s">
        <v>704</v>
      </c>
      <c r="P8312" s="9" t="s">
        <v>41</v>
      </c>
      <c r="Q8312" s="9" t="s">
        <v>49</v>
      </c>
      <c r="R8312" s="9" t="s">
        <v>50</v>
      </c>
      <c r="S8312" s="7" t="s">
        <v>1346</v>
      </c>
      <c r="T8312" s="9" t="s">
        <v>39</v>
      </c>
      <c r="U8312" s="7">
        <v>0.56999999999999995</v>
      </c>
      <c r="V8312" s="12">
        <f>C8312+5</f>
        <v>41186</v>
      </c>
      <c r="W8312">
        <f>IF(D8312=' Pivot Tables'!$A$4,1,0)</f>
        <v>0</v>
      </c>
      <c r="X8312">
        <f>IF(AND(LEFT(D8312,4)+1=LEFT(' Pivot Tables'!$A$4,4)+0,RIGHT(LEFT(D8312,7),2)=RIGHT(LEFT(' Pivot Tables'!$A$4,7),2)),1,0)</f>
        <v>0</v>
      </c>
      <c r="Y8312" s="6">
        <f>1/COUNTIF(Таблица1[Order ID],Таблица1[[#This Row],[Order ID]])</f>
        <v>0.33333333333333331</v>
      </c>
      <c r="Z8312" s="9">
        <f>1/COUNTIFS(Таблица1[Customer Name],Таблица1[[#This Row],[Customer Name]],Таблица1[Order-Year-Month],Таблица1[[#This Row],[Order-Year-Month]])</f>
        <v>0.33333333333333331</v>
      </c>
    </row>
    <row r="8313" spans="1:26" x14ac:dyDescent="0.2">
      <c r="A8313" s="6">
        <v>5207</v>
      </c>
      <c r="B8313" s="7">
        <v>36998</v>
      </c>
      <c r="C8313" s="8">
        <f>DATE(2012,12,31)-93</f>
        <v>41181</v>
      </c>
      <c r="D8313" s="8" t="str">
        <f t="shared" si="158"/>
        <v>2012-09 (сентябрь 2012)</v>
      </c>
      <c r="E8313" s="9" t="s">
        <v>21</v>
      </c>
      <c r="F8313" s="7">
        <v>41</v>
      </c>
      <c r="G8313" s="7">
        <v>265.39</v>
      </c>
      <c r="H8313" s="7">
        <v>0.1</v>
      </c>
      <c r="I8313" s="9" t="s">
        <v>22</v>
      </c>
      <c r="J8313" s="10">
        <v>-237.01</v>
      </c>
      <c r="K8313" s="11">
        <v>6.48</v>
      </c>
      <c r="L8313" s="11">
        <v>9.5399999999999991</v>
      </c>
      <c r="M8313" s="9" t="s">
        <v>2003</v>
      </c>
      <c r="N8313" s="6" t="s">
        <v>2073</v>
      </c>
      <c r="O8313" s="6" t="s">
        <v>704</v>
      </c>
      <c r="P8313" s="9" t="s">
        <v>41</v>
      </c>
      <c r="Q8313" s="9" t="s">
        <v>26</v>
      </c>
      <c r="R8313" s="9" t="s">
        <v>61</v>
      </c>
      <c r="S8313" s="7" t="s">
        <v>518</v>
      </c>
      <c r="T8313" s="9" t="s">
        <v>39</v>
      </c>
      <c r="U8313" s="7">
        <v>0.37</v>
      </c>
      <c r="V8313" s="12">
        <f>C8313+7</f>
        <v>41188</v>
      </c>
      <c r="W8313">
        <f>IF(D8313=' Pivot Tables'!$A$4,1,0)</f>
        <v>0</v>
      </c>
      <c r="X8313">
        <f>IF(AND(LEFT(D8313,4)+1=LEFT(' Pivot Tables'!$A$4,4)+0,RIGHT(LEFT(D8313,7),2)=RIGHT(LEFT(' Pivot Tables'!$A$4,7),2)),1,0)</f>
        <v>0</v>
      </c>
      <c r="Y8313" s="6">
        <f>1/COUNTIF(Таблица1[Order ID],Таблица1[[#This Row],[Order ID]])</f>
        <v>0.33333333333333331</v>
      </c>
      <c r="Z8313" s="9">
        <f>1/COUNTIFS(Таблица1[Customer Name],Таблица1[[#This Row],[Customer Name]],Таблица1[Order-Year-Month],Таблица1[[#This Row],[Order-Year-Month]])</f>
        <v>0.33333333333333331</v>
      </c>
    </row>
    <row r="8314" spans="1:26" x14ac:dyDescent="0.2">
      <c r="A8314" s="6">
        <v>5208</v>
      </c>
      <c r="B8314" s="7">
        <v>36998</v>
      </c>
      <c r="C8314" s="8">
        <f>DATE(2012,12,31)-93</f>
        <v>41181</v>
      </c>
      <c r="D8314" s="8" t="str">
        <f t="shared" si="158"/>
        <v>2012-09 (сентябрь 2012)</v>
      </c>
      <c r="E8314" s="9" t="s">
        <v>21</v>
      </c>
      <c r="F8314" s="7">
        <v>8</v>
      </c>
      <c r="G8314" s="7">
        <v>56.5</v>
      </c>
      <c r="H8314" s="7">
        <v>0.02</v>
      </c>
      <c r="I8314" s="9" t="s">
        <v>22</v>
      </c>
      <c r="J8314" s="10">
        <v>-17.16</v>
      </c>
      <c r="K8314" s="11">
        <v>6.48</v>
      </c>
      <c r="L8314" s="11">
        <v>5.19</v>
      </c>
      <c r="M8314" s="9" t="s">
        <v>2003</v>
      </c>
      <c r="N8314" s="6" t="s">
        <v>2073</v>
      </c>
      <c r="O8314" s="6" t="s">
        <v>704</v>
      </c>
      <c r="P8314" s="9" t="s">
        <v>41</v>
      </c>
      <c r="Q8314" s="9" t="s">
        <v>26</v>
      </c>
      <c r="R8314" s="9" t="s">
        <v>61</v>
      </c>
      <c r="S8314" s="7" t="s">
        <v>635</v>
      </c>
      <c r="T8314" s="9" t="s">
        <v>39</v>
      </c>
      <c r="U8314" s="7">
        <v>0.37</v>
      </c>
      <c r="V8314" s="12">
        <f>C8314+2</f>
        <v>41183</v>
      </c>
      <c r="W8314">
        <f>IF(D8314=' Pivot Tables'!$A$4,1,0)</f>
        <v>0</v>
      </c>
      <c r="X8314">
        <f>IF(AND(LEFT(D8314,4)+1=LEFT(' Pivot Tables'!$A$4,4)+0,RIGHT(LEFT(D8314,7),2)=RIGHT(LEFT(' Pivot Tables'!$A$4,7),2)),1,0)</f>
        <v>0</v>
      </c>
      <c r="Y8314" s="6">
        <f>1/COUNTIF(Таблица1[Order ID],Таблица1[[#This Row],[Order ID]])</f>
        <v>0.33333333333333331</v>
      </c>
      <c r="Z8314" s="9">
        <f>1/COUNTIFS(Таблица1[Customer Name],Таблица1[[#This Row],[Customer Name]],Таблица1[Order-Year-Month],Таблица1[[#This Row],[Order-Year-Month]])</f>
        <v>0.33333333333333331</v>
      </c>
    </row>
    <row r="8315" spans="1:26" x14ac:dyDescent="0.2">
      <c r="A8315" s="6">
        <v>5213</v>
      </c>
      <c r="B8315" s="7">
        <v>37095</v>
      </c>
      <c r="C8315" s="8">
        <f>DATE(2012,12,31)-1392</f>
        <v>39882</v>
      </c>
      <c r="D8315" s="8" t="str">
        <f t="shared" si="158"/>
        <v>2009-03 (март 2009)</v>
      </c>
      <c r="E8315" s="9" t="s">
        <v>21</v>
      </c>
      <c r="F8315" s="7">
        <v>3</v>
      </c>
      <c r="G8315" s="7">
        <v>18888</v>
      </c>
      <c r="H8315" s="7">
        <v>0.09</v>
      </c>
      <c r="I8315" s="9" t="s">
        <v>22</v>
      </c>
      <c r="J8315" s="10">
        <v>-14140.7016</v>
      </c>
      <c r="K8315" s="11">
        <v>6783.02</v>
      </c>
      <c r="L8315" s="11">
        <v>24.49</v>
      </c>
      <c r="M8315" s="9" t="s">
        <v>2119</v>
      </c>
      <c r="N8315" s="6" t="s">
        <v>2073</v>
      </c>
      <c r="O8315" s="6" t="s">
        <v>704</v>
      </c>
      <c r="P8315" s="9" t="s">
        <v>33</v>
      </c>
      <c r="Q8315" s="9" t="s">
        <v>42</v>
      </c>
      <c r="R8315" s="9" t="s">
        <v>210</v>
      </c>
      <c r="S8315" s="7" t="s">
        <v>1668</v>
      </c>
      <c r="T8315" s="9" t="s">
        <v>29</v>
      </c>
      <c r="U8315" s="7">
        <v>0.39</v>
      </c>
      <c r="V8315" s="12">
        <f>C8315+4</f>
        <v>39886</v>
      </c>
      <c r="W8315">
        <f>IF(D8315=' Pivot Tables'!$A$4,1,0)</f>
        <v>0</v>
      </c>
      <c r="X8315">
        <f>IF(AND(LEFT(D8315,4)+1=LEFT(' Pivot Tables'!$A$4,4)+0,RIGHT(LEFT(D8315,7),2)=RIGHT(LEFT(' Pivot Tables'!$A$4,7),2)),1,0)</f>
        <v>0</v>
      </c>
      <c r="Y8315" s="6">
        <f>1/COUNTIF(Таблица1[Order ID],Таблица1[[#This Row],[Order ID]])</f>
        <v>1</v>
      </c>
      <c r="Z8315" s="9">
        <f>1/COUNTIFS(Таблица1[Customer Name],Таблица1[[#This Row],[Customer Name]],Таблица1[Order-Year-Month],Таблица1[[#This Row],[Order-Year-Month]])</f>
        <v>1</v>
      </c>
    </row>
    <row r="8316" spans="1:26" x14ac:dyDescent="0.2">
      <c r="A8316" s="6">
        <v>5248</v>
      </c>
      <c r="B8316" s="7">
        <v>37319</v>
      </c>
      <c r="C8316" s="8">
        <f>DATE(2012,12,31)-1245</f>
        <v>40029</v>
      </c>
      <c r="D8316" s="8" t="str">
        <f t="shared" si="158"/>
        <v>2009-08 (август 2009)</v>
      </c>
      <c r="E8316" s="9" t="s">
        <v>78</v>
      </c>
      <c r="F8316" s="7">
        <v>37</v>
      </c>
      <c r="G8316" s="7">
        <v>388.9</v>
      </c>
      <c r="H8316" s="7">
        <v>0.1</v>
      </c>
      <c r="I8316" s="9" t="s">
        <v>22</v>
      </c>
      <c r="J8316" s="10">
        <v>-37.11</v>
      </c>
      <c r="K8316" s="11">
        <v>10.89</v>
      </c>
      <c r="L8316" s="11">
        <v>4.5</v>
      </c>
      <c r="M8316" s="9" t="s">
        <v>2129</v>
      </c>
      <c r="N8316" s="6" t="s">
        <v>2073</v>
      </c>
      <c r="O8316" s="6" t="s">
        <v>704</v>
      </c>
      <c r="P8316" s="9" t="s">
        <v>25</v>
      </c>
      <c r="Q8316" s="9" t="s">
        <v>26</v>
      </c>
      <c r="R8316" s="9" t="s">
        <v>34</v>
      </c>
      <c r="S8316" s="7" t="s">
        <v>345</v>
      </c>
      <c r="T8316" s="9" t="s">
        <v>39</v>
      </c>
      <c r="U8316" s="7">
        <v>0.59</v>
      </c>
      <c r="V8316" s="12">
        <f>C8316+2</f>
        <v>40031</v>
      </c>
      <c r="W8316">
        <f>IF(D8316=' Pivot Tables'!$A$4,1,0)</f>
        <v>0</v>
      </c>
      <c r="X8316">
        <f>IF(AND(LEFT(D8316,4)+1=LEFT(' Pivot Tables'!$A$4,4)+0,RIGHT(LEFT(D8316,7),2)=RIGHT(LEFT(' Pivot Tables'!$A$4,7),2)),1,0)</f>
        <v>0</v>
      </c>
      <c r="Y8316" s="6">
        <f>1/COUNTIF(Таблица1[Order ID],Таблица1[[#This Row],[Order ID]])</f>
        <v>1</v>
      </c>
      <c r="Z8316" s="9">
        <f>1/COUNTIFS(Таблица1[Customer Name],Таблица1[[#This Row],[Customer Name]],Таблица1[Order-Year-Month],Таблица1[[#This Row],[Order-Year-Month]])</f>
        <v>0.5</v>
      </c>
    </row>
    <row r="8317" spans="1:26" x14ac:dyDescent="0.2">
      <c r="A8317" s="6">
        <v>5474</v>
      </c>
      <c r="B8317" s="7">
        <v>38886</v>
      </c>
      <c r="C8317" s="8">
        <f>DATE(2012,12,31)-1242</f>
        <v>40032</v>
      </c>
      <c r="D8317" s="8" t="str">
        <f t="shared" si="158"/>
        <v>2009-08 (август 2009)</v>
      </c>
      <c r="E8317" s="9" t="s">
        <v>30</v>
      </c>
      <c r="F8317" s="7">
        <v>26</v>
      </c>
      <c r="G8317" s="7">
        <v>172.01</v>
      </c>
      <c r="H8317" s="7">
        <v>0.06</v>
      </c>
      <c r="I8317" s="9" t="s">
        <v>56</v>
      </c>
      <c r="J8317" s="10">
        <v>27.47</v>
      </c>
      <c r="K8317" s="11">
        <v>6.7</v>
      </c>
      <c r="L8317" s="11">
        <v>1.56</v>
      </c>
      <c r="M8317" s="9" t="s">
        <v>2129</v>
      </c>
      <c r="N8317" s="6" t="s">
        <v>2073</v>
      </c>
      <c r="O8317" s="6" t="s">
        <v>704</v>
      </c>
      <c r="P8317" s="9" t="s">
        <v>25</v>
      </c>
      <c r="Q8317" s="9" t="s">
        <v>26</v>
      </c>
      <c r="R8317" s="9" t="s">
        <v>95</v>
      </c>
      <c r="S8317" s="7" t="s">
        <v>260</v>
      </c>
      <c r="T8317" s="9" t="s">
        <v>68</v>
      </c>
      <c r="U8317" s="7">
        <v>0.52</v>
      </c>
      <c r="V8317" s="12">
        <f>C8317+2</f>
        <v>40034</v>
      </c>
      <c r="W8317">
        <f>IF(D8317=' Pivot Tables'!$A$4,1,0)</f>
        <v>0</v>
      </c>
      <c r="X8317">
        <f>IF(AND(LEFT(D8317,4)+1=LEFT(' Pivot Tables'!$A$4,4)+0,RIGHT(LEFT(D8317,7),2)=RIGHT(LEFT(' Pivot Tables'!$A$4,7),2)),1,0)</f>
        <v>0</v>
      </c>
      <c r="Y8317" s="6">
        <f>1/COUNTIF(Таблица1[Order ID],Таблица1[[#This Row],[Order ID]])</f>
        <v>1</v>
      </c>
      <c r="Z8317" s="9">
        <f>1/COUNTIFS(Таблица1[Customer Name],Таблица1[[#This Row],[Customer Name]],Таблица1[Order-Year-Month],Таблица1[[#This Row],[Order-Year-Month]])</f>
        <v>0.5</v>
      </c>
    </row>
    <row r="8318" spans="1:26" x14ac:dyDescent="0.2">
      <c r="A8318" s="6">
        <v>5523</v>
      </c>
      <c r="B8318" s="7">
        <v>39140</v>
      </c>
      <c r="C8318" s="8">
        <f>DATE(2012,12,31)-826</f>
        <v>40448</v>
      </c>
      <c r="D8318" s="8" t="str">
        <f t="shared" si="158"/>
        <v>2010-09 (сентябрь 2010)</v>
      </c>
      <c r="E8318" s="9" t="s">
        <v>21</v>
      </c>
      <c r="F8318" s="7">
        <v>26</v>
      </c>
      <c r="G8318" s="7">
        <v>2268.91</v>
      </c>
      <c r="H8318" s="7">
        <v>0.02</v>
      </c>
      <c r="I8318" s="9" t="s">
        <v>31</v>
      </c>
      <c r="J8318" s="10">
        <v>-624.29</v>
      </c>
      <c r="K8318" s="11">
        <v>81.94</v>
      </c>
      <c r="L8318" s="11">
        <v>55.81</v>
      </c>
      <c r="M8318" s="9" t="s">
        <v>2125</v>
      </c>
      <c r="N8318" s="6" t="s">
        <v>2073</v>
      </c>
      <c r="O8318" s="6" t="s">
        <v>704</v>
      </c>
      <c r="P8318" s="9" t="s">
        <v>33</v>
      </c>
      <c r="Q8318" s="9" t="s">
        <v>49</v>
      </c>
      <c r="R8318" s="9" t="s">
        <v>80</v>
      </c>
      <c r="S8318" s="7" t="s">
        <v>1104</v>
      </c>
      <c r="T8318" s="9" t="s">
        <v>82</v>
      </c>
      <c r="U8318" s="7">
        <v>0.6</v>
      </c>
      <c r="V8318" s="12">
        <f>C8318+5</f>
        <v>40453</v>
      </c>
      <c r="W8318">
        <f>IF(D8318=' Pivot Tables'!$A$4,1,0)</f>
        <v>0</v>
      </c>
      <c r="X8318">
        <f>IF(AND(LEFT(D8318,4)+1=LEFT(' Pivot Tables'!$A$4,4)+0,RIGHT(LEFT(D8318,7),2)=RIGHT(LEFT(' Pivot Tables'!$A$4,7),2)),1,0)</f>
        <v>0</v>
      </c>
      <c r="Y8318" s="6">
        <f>1/COUNTIF(Таблица1[Order ID],Таблица1[[#This Row],[Order ID]])</f>
        <v>1</v>
      </c>
      <c r="Z8318" s="9">
        <f>1/COUNTIFS(Таблица1[Customer Name],Таблица1[[#This Row],[Customer Name]],Таблица1[Order-Year-Month],Таблица1[[#This Row],[Order-Year-Month]])</f>
        <v>1</v>
      </c>
    </row>
    <row r="8319" spans="1:26" x14ac:dyDescent="0.2">
      <c r="A8319" s="6">
        <v>5597</v>
      </c>
      <c r="B8319" s="7">
        <v>39682</v>
      </c>
      <c r="C8319" s="8">
        <f>DATE(2012,12,31)-783</f>
        <v>40491</v>
      </c>
      <c r="D8319" s="8" t="str">
        <f t="shared" si="158"/>
        <v>2010-11 (ноябрь 2010)</v>
      </c>
      <c r="E8319" s="9" t="s">
        <v>63</v>
      </c>
      <c r="F8319" s="7">
        <v>43</v>
      </c>
      <c r="G8319" s="7">
        <v>2337.89</v>
      </c>
      <c r="H8319" s="7">
        <v>0.09</v>
      </c>
      <c r="I8319" s="9" t="s">
        <v>56</v>
      </c>
      <c r="J8319" s="10">
        <v>729.34</v>
      </c>
      <c r="K8319" s="11">
        <v>55.48</v>
      </c>
      <c r="L8319" s="11">
        <v>14.3</v>
      </c>
      <c r="M8319" s="9" t="s">
        <v>126</v>
      </c>
      <c r="N8319" s="6" t="s">
        <v>2073</v>
      </c>
      <c r="O8319" s="6" t="s">
        <v>704</v>
      </c>
      <c r="P8319" s="9" t="s">
        <v>41</v>
      </c>
      <c r="Q8319" s="9" t="s">
        <v>26</v>
      </c>
      <c r="R8319" s="9" t="s">
        <v>61</v>
      </c>
      <c r="S8319" s="7" t="s">
        <v>507</v>
      </c>
      <c r="T8319" s="9" t="s">
        <v>39</v>
      </c>
      <c r="U8319" s="7">
        <v>0.37</v>
      </c>
      <c r="V8319" s="12">
        <f>C8319+2</f>
        <v>40493</v>
      </c>
      <c r="W8319">
        <f>IF(D8319=' Pivot Tables'!$A$4,1,0)</f>
        <v>0</v>
      </c>
      <c r="X8319">
        <f>IF(AND(LEFT(D8319,4)+1=LEFT(' Pivot Tables'!$A$4,4)+0,RIGHT(LEFT(D8319,7),2)=RIGHT(LEFT(' Pivot Tables'!$A$4,7),2)),1,0)</f>
        <v>0</v>
      </c>
      <c r="Y8319" s="6">
        <f>1/COUNTIF(Таблица1[Order ID],Таблица1[[#This Row],[Order ID]])</f>
        <v>1</v>
      </c>
      <c r="Z8319" s="9">
        <f>1/COUNTIFS(Таблица1[Customer Name],Таблица1[[#This Row],[Customer Name]],Таблица1[Order-Year-Month],Таблица1[[#This Row],[Order-Year-Month]])</f>
        <v>1</v>
      </c>
    </row>
    <row r="8320" spans="1:26" x14ac:dyDescent="0.2">
      <c r="A8320" s="6">
        <v>5621</v>
      </c>
      <c r="B8320" s="7">
        <v>39813</v>
      </c>
      <c r="C8320" s="8">
        <f>DATE(2012,12,31)-333</f>
        <v>40941</v>
      </c>
      <c r="D8320" s="8" t="str">
        <f t="shared" si="158"/>
        <v>2012-02 (февраль 2012)</v>
      </c>
      <c r="E8320" s="9" t="s">
        <v>78</v>
      </c>
      <c r="F8320" s="7">
        <v>48</v>
      </c>
      <c r="G8320" s="7">
        <v>314.33999999999997</v>
      </c>
      <c r="H8320" s="7">
        <v>0.03</v>
      </c>
      <c r="I8320" s="9" t="s">
        <v>22</v>
      </c>
      <c r="J8320" s="10">
        <v>-130.5</v>
      </c>
      <c r="K8320" s="11">
        <v>6.48</v>
      </c>
      <c r="L8320" s="11">
        <v>6.6</v>
      </c>
      <c r="M8320" s="9" t="s">
        <v>2125</v>
      </c>
      <c r="N8320" s="6" t="s">
        <v>2073</v>
      </c>
      <c r="O8320" s="6" t="s">
        <v>704</v>
      </c>
      <c r="P8320" s="9" t="s">
        <v>33</v>
      </c>
      <c r="Q8320" s="9" t="s">
        <v>26</v>
      </c>
      <c r="R8320" s="9" t="s">
        <v>61</v>
      </c>
      <c r="S8320" s="7" t="s">
        <v>346</v>
      </c>
      <c r="T8320" s="9" t="s">
        <v>39</v>
      </c>
      <c r="U8320" s="7">
        <v>0.37</v>
      </c>
      <c r="V8320" s="12">
        <f>C8320+1</f>
        <v>40942</v>
      </c>
      <c r="W8320">
        <f>IF(D8320=' Pivot Tables'!$A$4,1,0)</f>
        <v>0</v>
      </c>
      <c r="X8320">
        <f>IF(AND(LEFT(D8320,4)+1=LEFT(' Pivot Tables'!$A$4,4)+0,RIGHT(LEFT(D8320,7),2)=RIGHT(LEFT(' Pivot Tables'!$A$4,7),2)),1,0)</f>
        <v>0</v>
      </c>
      <c r="Y8320" s="6">
        <f>1/COUNTIF(Таблица1[Order ID],Таблица1[[#This Row],[Order ID]])</f>
        <v>1</v>
      </c>
      <c r="Z8320" s="9">
        <f>1/COUNTIFS(Таблица1[Customer Name],Таблица1[[#This Row],[Customer Name]],Таблица1[Order-Year-Month],Таблица1[[#This Row],[Order-Year-Month]])</f>
        <v>1</v>
      </c>
    </row>
    <row r="8321" spans="1:26" x14ac:dyDescent="0.2">
      <c r="A8321" s="6">
        <v>5644</v>
      </c>
      <c r="B8321" s="7">
        <v>39937</v>
      </c>
      <c r="C8321" s="8">
        <f>DATE(2012,12,31)-588</f>
        <v>40686</v>
      </c>
      <c r="D8321" s="8" t="str">
        <f t="shared" si="158"/>
        <v>2011-05 (май 2011)</v>
      </c>
      <c r="E8321" s="9" t="s">
        <v>63</v>
      </c>
      <c r="F8321" s="7">
        <v>42</v>
      </c>
      <c r="G8321" s="7">
        <v>113.33</v>
      </c>
      <c r="H8321" s="7">
        <v>7.0000000000000007E-2</v>
      </c>
      <c r="I8321" s="9" t="s">
        <v>22</v>
      </c>
      <c r="J8321" s="10">
        <v>-0.40250000000000002</v>
      </c>
      <c r="K8321" s="11">
        <v>2.78</v>
      </c>
      <c r="L8321" s="11">
        <v>1.49</v>
      </c>
      <c r="M8321" s="9" t="s">
        <v>2122</v>
      </c>
      <c r="N8321" s="6" t="s">
        <v>2073</v>
      </c>
      <c r="O8321" s="6" t="s">
        <v>704</v>
      </c>
      <c r="P8321" s="9" t="s">
        <v>33</v>
      </c>
      <c r="Q8321" s="9" t="s">
        <v>26</v>
      </c>
      <c r="R8321" s="9" t="s">
        <v>37</v>
      </c>
      <c r="S8321" s="7" t="s">
        <v>569</v>
      </c>
      <c r="T8321" s="9" t="s">
        <v>39</v>
      </c>
      <c r="U8321" s="7">
        <v>0.39</v>
      </c>
      <c r="V8321" s="12">
        <f>C8321+0</f>
        <v>40686</v>
      </c>
      <c r="W8321">
        <f>IF(D8321=' Pivot Tables'!$A$4,1,0)</f>
        <v>0</v>
      </c>
      <c r="X8321">
        <f>IF(AND(LEFT(D8321,4)+1=LEFT(' Pivot Tables'!$A$4,4)+0,RIGHT(LEFT(D8321,7),2)=RIGHT(LEFT(' Pivot Tables'!$A$4,7),2)),1,0)</f>
        <v>0</v>
      </c>
      <c r="Y8321" s="6">
        <f>1/COUNTIF(Таблица1[Order ID],Таблица1[[#This Row],[Order ID]])</f>
        <v>1</v>
      </c>
      <c r="Z8321" s="9">
        <f>1/COUNTIFS(Таблица1[Customer Name],Таблица1[[#This Row],[Customer Name]],Таблица1[Order-Year-Month],Таблица1[[#This Row],[Order-Year-Month]])</f>
        <v>1</v>
      </c>
    </row>
    <row r="8322" spans="1:26" x14ac:dyDescent="0.2">
      <c r="A8322" s="6">
        <v>5658</v>
      </c>
      <c r="B8322" s="7">
        <v>40034</v>
      </c>
      <c r="C8322" s="8">
        <f>DATE(2012,12,31)-662</f>
        <v>40612</v>
      </c>
      <c r="D8322" s="8" t="str">
        <f t="shared" si="158"/>
        <v>2011-03 (март 2011)</v>
      </c>
      <c r="E8322" s="9" t="s">
        <v>63</v>
      </c>
      <c r="F8322" s="7">
        <v>47</v>
      </c>
      <c r="G8322" s="7">
        <v>603.69000000000005</v>
      </c>
      <c r="H8322" s="7">
        <v>0</v>
      </c>
      <c r="I8322" s="9" t="s">
        <v>56</v>
      </c>
      <c r="J8322" s="10">
        <v>131.38999999999999</v>
      </c>
      <c r="K8322" s="11">
        <v>12.28</v>
      </c>
      <c r="L8322" s="11">
        <v>4.8600000000000003</v>
      </c>
      <c r="M8322" s="9" t="s">
        <v>2121</v>
      </c>
      <c r="N8322" s="6" t="s">
        <v>2073</v>
      </c>
      <c r="O8322" s="6" t="s">
        <v>704</v>
      </c>
      <c r="P8322" s="9" t="s">
        <v>33</v>
      </c>
      <c r="Q8322" s="9" t="s">
        <v>26</v>
      </c>
      <c r="R8322" s="9" t="s">
        <v>61</v>
      </c>
      <c r="S8322" s="7" t="s">
        <v>1226</v>
      </c>
      <c r="T8322" s="9" t="s">
        <v>39</v>
      </c>
      <c r="U8322" s="7">
        <v>0.38</v>
      </c>
      <c r="V8322" s="12">
        <f>C8322+1</f>
        <v>40613</v>
      </c>
      <c r="W8322">
        <f>IF(D8322=' Pivot Tables'!$A$4,1,0)</f>
        <v>0</v>
      </c>
      <c r="X8322">
        <f>IF(AND(LEFT(D8322,4)+1=LEFT(' Pivot Tables'!$A$4,4)+0,RIGHT(LEFT(D8322,7),2)=RIGHT(LEFT(' Pivot Tables'!$A$4,7),2)),1,0)</f>
        <v>0</v>
      </c>
      <c r="Y8322" s="6">
        <f>1/COUNTIF(Таблица1[Order ID],Таблица1[[#This Row],[Order ID]])</f>
        <v>1</v>
      </c>
      <c r="Z8322" s="9">
        <f>1/COUNTIFS(Таблица1[Customer Name],Таблица1[[#This Row],[Customer Name]],Таблица1[Order-Year-Month],Таблица1[[#This Row],[Order-Year-Month]])</f>
        <v>1</v>
      </c>
    </row>
    <row r="8323" spans="1:26" x14ac:dyDescent="0.2">
      <c r="A8323" s="6">
        <v>5673</v>
      </c>
      <c r="B8323" s="7">
        <v>40128</v>
      </c>
      <c r="C8323" s="8">
        <f>DATE(2012,12,31)-1421</f>
        <v>39853</v>
      </c>
      <c r="D8323" s="8" t="str">
        <f t="shared" ref="D8323:D8386" si="159">TEXT(C8323,"гггг-ММ (ММММ гггг)")</f>
        <v>2009-02 (февраль 2009)</v>
      </c>
      <c r="E8323" s="9" t="s">
        <v>21</v>
      </c>
      <c r="F8323" s="7">
        <v>43</v>
      </c>
      <c r="G8323" s="7">
        <v>10318.719999999999</v>
      </c>
      <c r="H8323" s="7">
        <v>0.01</v>
      </c>
      <c r="I8323" s="9" t="s">
        <v>31</v>
      </c>
      <c r="J8323" s="10">
        <v>1445.36</v>
      </c>
      <c r="K8323" s="11">
        <v>240.98</v>
      </c>
      <c r="L8323" s="11">
        <v>60.2</v>
      </c>
      <c r="M8323" s="9" t="s">
        <v>2003</v>
      </c>
      <c r="N8323" s="6" t="s">
        <v>2073</v>
      </c>
      <c r="O8323" s="6" t="s">
        <v>704</v>
      </c>
      <c r="P8323" s="9" t="s">
        <v>41</v>
      </c>
      <c r="Q8323" s="9" t="s">
        <v>49</v>
      </c>
      <c r="R8323" s="9" t="s">
        <v>80</v>
      </c>
      <c r="S8323" s="7" t="s">
        <v>1172</v>
      </c>
      <c r="T8323" s="9" t="s">
        <v>82</v>
      </c>
      <c r="U8323" s="7">
        <v>0.56000000000000005</v>
      </c>
      <c r="V8323" s="12">
        <f>C8323+7</f>
        <v>39860</v>
      </c>
      <c r="W8323">
        <f>IF(D8323=' Pivot Tables'!$A$4,1,0)</f>
        <v>0</v>
      </c>
      <c r="X8323">
        <f>IF(AND(LEFT(D8323,4)+1=LEFT(' Pivot Tables'!$A$4,4)+0,RIGHT(LEFT(D8323,7),2)=RIGHT(LEFT(' Pivot Tables'!$A$4,7),2)),1,0)</f>
        <v>0</v>
      </c>
      <c r="Y8323" s="6">
        <f>1/COUNTIF(Таблица1[Order ID],Таблица1[[#This Row],[Order ID]])</f>
        <v>1</v>
      </c>
      <c r="Z8323" s="9">
        <f>1/COUNTIFS(Таблица1[Customer Name],Таблица1[[#This Row],[Customer Name]],Таблица1[Order-Year-Month],Таблица1[[#This Row],[Order-Year-Month]])</f>
        <v>1</v>
      </c>
    </row>
    <row r="8324" spans="1:26" x14ac:dyDescent="0.2">
      <c r="A8324" s="6">
        <v>5720</v>
      </c>
      <c r="B8324" s="7">
        <v>40519</v>
      </c>
      <c r="C8324" s="8">
        <f>DATE(2012,12,31)-741</f>
        <v>40533</v>
      </c>
      <c r="D8324" s="8" t="str">
        <f t="shared" si="159"/>
        <v>2010-12 (декабрь 2010)</v>
      </c>
      <c r="E8324" s="9" t="s">
        <v>78</v>
      </c>
      <c r="F8324" s="7">
        <v>38</v>
      </c>
      <c r="G8324" s="7">
        <v>82.93</v>
      </c>
      <c r="H8324" s="7">
        <v>0.08</v>
      </c>
      <c r="I8324" s="9" t="s">
        <v>22</v>
      </c>
      <c r="J8324" s="10">
        <v>-10.32</v>
      </c>
      <c r="K8324" s="11">
        <v>2.1800000000000002</v>
      </c>
      <c r="L8324" s="11">
        <v>1.38</v>
      </c>
      <c r="M8324" s="9" t="s">
        <v>1998</v>
      </c>
      <c r="N8324" s="6" t="s">
        <v>2073</v>
      </c>
      <c r="O8324" s="6" t="s">
        <v>704</v>
      </c>
      <c r="P8324" s="9" t="s">
        <v>25</v>
      </c>
      <c r="Q8324" s="9" t="s">
        <v>26</v>
      </c>
      <c r="R8324" s="9" t="s">
        <v>66</v>
      </c>
      <c r="S8324" s="7" t="s">
        <v>1577</v>
      </c>
      <c r="T8324" s="9" t="s">
        <v>68</v>
      </c>
      <c r="U8324" s="7">
        <v>0.44</v>
      </c>
      <c r="V8324" s="12">
        <f>C8324+2</f>
        <v>40535</v>
      </c>
      <c r="W8324">
        <f>IF(D8324=' Pivot Tables'!$A$4,1,0)</f>
        <v>0</v>
      </c>
      <c r="X8324">
        <f>IF(AND(LEFT(D8324,4)+1=LEFT(' Pivot Tables'!$A$4,4)+0,RIGHT(LEFT(D8324,7),2)=RIGHT(LEFT(' Pivot Tables'!$A$4,7),2)),1,0)</f>
        <v>0</v>
      </c>
      <c r="Y8324" s="6">
        <f>1/COUNTIF(Таблица1[Order ID],Таблица1[[#This Row],[Order ID]])</f>
        <v>1</v>
      </c>
      <c r="Z8324" s="9">
        <f>1/COUNTIFS(Таблица1[Customer Name],Таблица1[[#This Row],[Customer Name]],Таблица1[Order-Year-Month],Таблица1[[#This Row],[Order-Year-Month]])</f>
        <v>1</v>
      </c>
    </row>
    <row r="8325" spans="1:26" x14ac:dyDescent="0.2">
      <c r="A8325" s="6">
        <v>5753</v>
      </c>
      <c r="B8325" s="7">
        <v>40838</v>
      </c>
      <c r="C8325" s="8">
        <f>DATE(2012,12,31)-35</f>
        <v>41239</v>
      </c>
      <c r="D8325" s="8" t="str">
        <f t="shared" si="159"/>
        <v>2012-11 (ноябрь 2012)</v>
      </c>
      <c r="E8325" s="9" t="s">
        <v>45</v>
      </c>
      <c r="F8325" s="7">
        <v>40</v>
      </c>
      <c r="G8325" s="7">
        <v>323.95999999999998</v>
      </c>
      <c r="H8325" s="7">
        <v>7.0000000000000007E-2</v>
      </c>
      <c r="I8325" s="9" t="s">
        <v>22</v>
      </c>
      <c r="J8325" s="10">
        <v>-136.82</v>
      </c>
      <c r="K8325" s="11">
        <v>8.09</v>
      </c>
      <c r="L8325" s="11">
        <v>7.96</v>
      </c>
      <c r="M8325" s="9" t="s">
        <v>2130</v>
      </c>
      <c r="N8325" s="6" t="s">
        <v>2073</v>
      </c>
      <c r="O8325" s="6" t="s">
        <v>704</v>
      </c>
      <c r="P8325" s="9" t="s">
        <v>33</v>
      </c>
      <c r="Q8325" s="9" t="s">
        <v>49</v>
      </c>
      <c r="R8325" s="9" t="s">
        <v>50</v>
      </c>
      <c r="S8325" s="7" t="s">
        <v>1769</v>
      </c>
      <c r="T8325" s="9" t="s">
        <v>39</v>
      </c>
      <c r="U8325" s="7">
        <v>0.49</v>
      </c>
      <c r="V8325" s="12">
        <f>C8325+3</f>
        <v>41242</v>
      </c>
      <c r="W8325">
        <f>IF(D8325=' Pivot Tables'!$A$4,1,0)</f>
        <v>0</v>
      </c>
      <c r="X8325">
        <f>IF(AND(LEFT(D8325,4)+1=LEFT(' Pivot Tables'!$A$4,4)+0,RIGHT(LEFT(D8325,7),2)=RIGHT(LEFT(' Pivot Tables'!$A$4,7),2)),1,0)</f>
        <v>0</v>
      </c>
      <c r="Y8325" s="6">
        <f>1/COUNTIF(Таблица1[Order ID],Таблица1[[#This Row],[Order ID]])</f>
        <v>0.5</v>
      </c>
      <c r="Z8325" s="9">
        <f>1/COUNTIFS(Таблица1[Customer Name],Таблица1[[#This Row],[Customer Name]],Таблица1[Order-Year-Month],Таблица1[[#This Row],[Order-Year-Month]])</f>
        <v>0.5</v>
      </c>
    </row>
    <row r="8326" spans="1:26" x14ac:dyDescent="0.2">
      <c r="A8326" s="6">
        <v>5754</v>
      </c>
      <c r="B8326" s="7">
        <v>40838</v>
      </c>
      <c r="C8326" s="8">
        <f>DATE(2012,12,31)-35</f>
        <v>41239</v>
      </c>
      <c r="D8326" s="8" t="str">
        <f t="shared" si="159"/>
        <v>2012-11 (ноябрь 2012)</v>
      </c>
      <c r="E8326" s="9" t="s">
        <v>45</v>
      </c>
      <c r="F8326" s="7">
        <v>10</v>
      </c>
      <c r="G8326" s="7">
        <v>175.85649999999998</v>
      </c>
      <c r="H8326" s="7">
        <v>0.03</v>
      </c>
      <c r="I8326" s="9" t="s">
        <v>22</v>
      </c>
      <c r="J8326" s="10">
        <v>-93.257999999999996</v>
      </c>
      <c r="K8326" s="11">
        <v>20.99</v>
      </c>
      <c r="L8326" s="11">
        <v>1.25</v>
      </c>
      <c r="M8326" s="9" t="s">
        <v>2130</v>
      </c>
      <c r="N8326" s="6" t="s">
        <v>2073</v>
      </c>
      <c r="O8326" s="6" t="s">
        <v>704</v>
      </c>
      <c r="P8326" s="9" t="s">
        <v>33</v>
      </c>
      <c r="Q8326" s="9" t="s">
        <v>42</v>
      </c>
      <c r="R8326" s="9" t="s">
        <v>43</v>
      </c>
      <c r="S8326" s="7" t="s">
        <v>285</v>
      </c>
      <c r="T8326" s="9" t="s">
        <v>52</v>
      </c>
      <c r="U8326" s="7">
        <v>0.83</v>
      </c>
      <c r="V8326" s="12">
        <f>C8326+1</f>
        <v>41240</v>
      </c>
      <c r="W8326">
        <f>IF(D8326=' Pivot Tables'!$A$4,1,0)</f>
        <v>0</v>
      </c>
      <c r="X8326">
        <f>IF(AND(LEFT(D8326,4)+1=LEFT(' Pivot Tables'!$A$4,4)+0,RIGHT(LEFT(D8326,7),2)=RIGHT(LEFT(' Pivot Tables'!$A$4,7),2)),1,0)</f>
        <v>0</v>
      </c>
      <c r="Y8326" s="6">
        <f>1/COUNTIF(Таблица1[Order ID],Таблица1[[#This Row],[Order ID]])</f>
        <v>0.5</v>
      </c>
      <c r="Z8326" s="9">
        <f>1/COUNTIFS(Таблица1[Customer Name],Таблица1[[#This Row],[Customer Name]],Таблица1[Order-Year-Month],Таблица1[[#This Row],[Order-Year-Month]])</f>
        <v>0.5</v>
      </c>
    </row>
    <row r="8327" spans="1:26" x14ac:dyDescent="0.2">
      <c r="A8327" s="6">
        <v>5811</v>
      </c>
      <c r="B8327" s="7">
        <v>41189</v>
      </c>
      <c r="C8327" s="8">
        <f>DATE(2012,12,31)-1266</f>
        <v>40008</v>
      </c>
      <c r="D8327" s="8" t="str">
        <f t="shared" si="159"/>
        <v>2009-07 (июль 2009)</v>
      </c>
      <c r="E8327" s="9" t="s">
        <v>21</v>
      </c>
      <c r="F8327" s="7">
        <v>30</v>
      </c>
      <c r="G8327" s="7">
        <v>189.04</v>
      </c>
      <c r="H8327" s="7">
        <v>0.03</v>
      </c>
      <c r="I8327" s="9" t="s">
        <v>22</v>
      </c>
      <c r="J8327" s="10">
        <v>66.28</v>
      </c>
      <c r="K8327" s="11">
        <v>6.45</v>
      </c>
      <c r="L8327" s="11">
        <v>1.34</v>
      </c>
      <c r="M8327" s="9" t="s">
        <v>2124</v>
      </c>
      <c r="N8327" s="6" t="s">
        <v>2073</v>
      </c>
      <c r="O8327" s="6" t="s">
        <v>704</v>
      </c>
      <c r="P8327" s="9" t="s">
        <v>33</v>
      </c>
      <c r="Q8327" s="9" t="s">
        <v>26</v>
      </c>
      <c r="R8327" s="9" t="s">
        <v>61</v>
      </c>
      <c r="S8327" s="7" t="s">
        <v>1039</v>
      </c>
      <c r="T8327" s="9" t="s">
        <v>68</v>
      </c>
      <c r="U8327" s="7">
        <v>0.36</v>
      </c>
      <c r="V8327" s="12">
        <f>C8327+5</f>
        <v>40013</v>
      </c>
      <c r="W8327">
        <f>IF(D8327=' Pivot Tables'!$A$4,1,0)</f>
        <v>0</v>
      </c>
      <c r="X8327">
        <f>IF(AND(LEFT(D8327,4)+1=LEFT(' Pivot Tables'!$A$4,4)+0,RIGHT(LEFT(D8327,7),2)=RIGHT(LEFT(' Pivot Tables'!$A$4,7),2)),1,0)</f>
        <v>0</v>
      </c>
      <c r="Y8327" s="6">
        <f>1/COUNTIF(Таблица1[Order ID],Таблица1[[#This Row],[Order ID]])</f>
        <v>1</v>
      </c>
      <c r="Z8327" s="9">
        <f>1/COUNTIFS(Таблица1[Customer Name],Таблица1[[#This Row],[Customer Name]],Таблица1[Order-Year-Month],Таблица1[[#This Row],[Order-Year-Month]])</f>
        <v>1</v>
      </c>
    </row>
    <row r="8328" spans="1:26" x14ac:dyDescent="0.2">
      <c r="A8328" s="6">
        <v>5818</v>
      </c>
      <c r="B8328" s="7">
        <v>41255</v>
      </c>
      <c r="C8328" s="8">
        <f>DATE(2012,12,31)-1170</f>
        <v>40104</v>
      </c>
      <c r="D8328" s="8" t="str">
        <f t="shared" si="159"/>
        <v>2009-10 (октябрь 2009)</v>
      </c>
      <c r="E8328" s="9" t="s">
        <v>21</v>
      </c>
      <c r="F8328" s="7">
        <v>22</v>
      </c>
      <c r="G8328" s="7">
        <v>1333.19</v>
      </c>
      <c r="H8328" s="7">
        <v>0.01</v>
      </c>
      <c r="I8328" s="9" t="s">
        <v>22</v>
      </c>
      <c r="J8328" s="10">
        <v>331.48</v>
      </c>
      <c r="K8328" s="11">
        <v>60.65</v>
      </c>
      <c r="L8328" s="11">
        <v>12.23</v>
      </c>
      <c r="M8328" s="9" t="s">
        <v>2003</v>
      </c>
      <c r="N8328" s="6" t="s">
        <v>2073</v>
      </c>
      <c r="O8328" s="6" t="s">
        <v>704</v>
      </c>
      <c r="P8328" s="9" t="s">
        <v>41</v>
      </c>
      <c r="Q8328" s="9" t="s">
        <v>49</v>
      </c>
      <c r="R8328" s="9" t="s">
        <v>50</v>
      </c>
      <c r="S8328" s="7" t="s">
        <v>1217</v>
      </c>
      <c r="T8328" s="9" t="s">
        <v>48</v>
      </c>
      <c r="U8328" s="7">
        <v>0.64</v>
      </c>
      <c r="V8328" s="12">
        <f>C8328+7</f>
        <v>40111</v>
      </c>
      <c r="W8328">
        <f>IF(D8328=' Pivot Tables'!$A$4,1,0)</f>
        <v>0</v>
      </c>
      <c r="X8328">
        <f>IF(AND(LEFT(D8328,4)+1=LEFT(' Pivot Tables'!$A$4,4)+0,RIGHT(LEFT(D8328,7),2)=RIGHT(LEFT(' Pivot Tables'!$A$4,7),2)),1,0)</f>
        <v>0</v>
      </c>
      <c r="Y8328" s="6">
        <f>1/COUNTIF(Таблица1[Order ID],Таблица1[[#This Row],[Order ID]])</f>
        <v>1</v>
      </c>
      <c r="Z8328" s="9">
        <f>1/COUNTIFS(Таблица1[Customer Name],Таблица1[[#This Row],[Customer Name]],Таблица1[Order-Year-Month],Таблица1[[#This Row],[Order-Year-Month]])</f>
        <v>1</v>
      </c>
    </row>
    <row r="8329" spans="1:26" x14ac:dyDescent="0.2">
      <c r="A8329" s="6">
        <v>5882</v>
      </c>
      <c r="B8329" s="7">
        <v>41760</v>
      </c>
      <c r="C8329" s="8">
        <f>DATE(2012,12,31)-339</f>
        <v>40935</v>
      </c>
      <c r="D8329" s="8" t="str">
        <f t="shared" si="159"/>
        <v>2012-01 (январь 2012)</v>
      </c>
      <c r="E8329" s="9" t="s">
        <v>21</v>
      </c>
      <c r="F8329" s="7">
        <v>21</v>
      </c>
      <c r="G8329" s="7">
        <v>6688.66</v>
      </c>
      <c r="H8329" s="7">
        <v>0.04</v>
      </c>
      <c r="I8329" s="9" t="s">
        <v>22</v>
      </c>
      <c r="J8329" s="10">
        <v>2648.0814999999998</v>
      </c>
      <c r="K8329" s="11">
        <v>315.98</v>
      </c>
      <c r="L8329" s="11">
        <v>19.989999999999998</v>
      </c>
      <c r="M8329" s="9" t="s">
        <v>1403</v>
      </c>
      <c r="N8329" s="6" t="s">
        <v>2073</v>
      </c>
      <c r="O8329" s="6" t="s">
        <v>704</v>
      </c>
      <c r="P8329" s="9" t="s">
        <v>25</v>
      </c>
      <c r="Q8329" s="9" t="s">
        <v>26</v>
      </c>
      <c r="R8329" s="9" t="s">
        <v>37</v>
      </c>
      <c r="S8329" s="7" t="s">
        <v>885</v>
      </c>
      <c r="T8329" s="9" t="s">
        <v>39</v>
      </c>
      <c r="U8329" s="7">
        <v>0.38</v>
      </c>
      <c r="V8329" s="12">
        <f>C8329+5</f>
        <v>40940</v>
      </c>
      <c r="W8329">
        <f>IF(D8329=' Pivot Tables'!$A$4,1,0)</f>
        <v>0</v>
      </c>
      <c r="X8329">
        <f>IF(AND(LEFT(D8329,4)+1=LEFT(' Pivot Tables'!$A$4,4)+0,RIGHT(LEFT(D8329,7),2)=RIGHT(LEFT(' Pivot Tables'!$A$4,7),2)),1,0)</f>
        <v>0</v>
      </c>
      <c r="Y8329" s="6">
        <f>1/COUNTIF(Таблица1[Order ID],Таблица1[[#This Row],[Order ID]])</f>
        <v>0.25</v>
      </c>
      <c r="Z8329" s="9">
        <f>1/COUNTIFS(Таблица1[Customer Name],Таблица1[[#This Row],[Customer Name]],Таблица1[Order-Year-Month],Таблица1[[#This Row],[Order-Year-Month]])</f>
        <v>0.25</v>
      </c>
    </row>
    <row r="8330" spans="1:26" x14ac:dyDescent="0.2">
      <c r="A8330" s="6">
        <v>5883</v>
      </c>
      <c r="B8330" s="7">
        <v>41760</v>
      </c>
      <c r="C8330" s="8">
        <f>DATE(2012,12,31)-339</f>
        <v>40935</v>
      </c>
      <c r="D8330" s="8" t="str">
        <f t="shared" si="159"/>
        <v>2012-01 (январь 2012)</v>
      </c>
      <c r="E8330" s="9" t="s">
        <v>21</v>
      </c>
      <c r="F8330" s="7">
        <v>22</v>
      </c>
      <c r="G8330" s="7">
        <v>247.45</v>
      </c>
      <c r="H8330" s="7">
        <v>0</v>
      </c>
      <c r="I8330" s="9" t="s">
        <v>22</v>
      </c>
      <c r="J8330" s="10">
        <v>-133.18</v>
      </c>
      <c r="K8330" s="11">
        <v>9.98</v>
      </c>
      <c r="L8330" s="11">
        <v>12.52</v>
      </c>
      <c r="M8330" s="9" t="s">
        <v>1403</v>
      </c>
      <c r="N8330" s="6" t="s">
        <v>2073</v>
      </c>
      <c r="O8330" s="6" t="s">
        <v>704</v>
      </c>
      <c r="P8330" s="9" t="s">
        <v>25</v>
      </c>
      <c r="Q8330" s="9" t="s">
        <v>49</v>
      </c>
      <c r="R8330" s="9" t="s">
        <v>50</v>
      </c>
      <c r="S8330" s="7" t="s">
        <v>1346</v>
      </c>
      <c r="T8330" s="9" t="s">
        <v>39</v>
      </c>
      <c r="U8330" s="7">
        <v>0.56999999999999995</v>
      </c>
      <c r="V8330" s="12">
        <f>C8330+7</f>
        <v>40942</v>
      </c>
      <c r="W8330">
        <f>IF(D8330=' Pivot Tables'!$A$4,1,0)</f>
        <v>0</v>
      </c>
      <c r="X8330">
        <f>IF(AND(LEFT(D8330,4)+1=LEFT(' Pivot Tables'!$A$4,4)+0,RIGHT(LEFT(D8330,7),2)=RIGHT(LEFT(' Pivot Tables'!$A$4,7),2)),1,0)</f>
        <v>0</v>
      </c>
      <c r="Y8330" s="6">
        <f>1/COUNTIF(Таблица1[Order ID],Таблица1[[#This Row],[Order ID]])</f>
        <v>0.25</v>
      </c>
      <c r="Z8330" s="9">
        <f>1/COUNTIFS(Таблица1[Customer Name],Таблица1[[#This Row],[Customer Name]],Таблица1[Order-Year-Month],Таблица1[[#This Row],[Order-Year-Month]])</f>
        <v>0.25</v>
      </c>
    </row>
    <row r="8331" spans="1:26" x14ac:dyDescent="0.2">
      <c r="A8331" s="6">
        <v>5884</v>
      </c>
      <c r="B8331" s="7">
        <v>41760</v>
      </c>
      <c r="C8331" s="8">
        <f>DATE(2012,12,31)-339</f>
        <v>40935</v>
      </c>
      <c r="D8331" s="8" t="str">
        <f t="shared" si="159"/>
        <v>2012-01 (январь 2012)</v>
      </c>
      <c r="E8331" s="9" t="s">
        <v>21</v>
      </c>
      <c r="F8331" s="7">
        <v>7</v>
      </c>
      <c r="G8331" s="7">
        <v>685.72050000000002</v>
      </c>
      <c r="H8331" s="7">
        <v>0.08</v>
      </c>
      <c r="I8331" s="9" t="s">
        <v>22</v>
      </c>
      <c r="J8331" s="10">
        <v>-278.87200000000001</v>
      </c>
      <c r="K8331" s="11">
        <v>115.99</v>
      </c>
      <c r="L8331" s="11">
        <v>2.5</v>
      </c>
      <c r="M8331" s="9" t="s">
        <v>1403</v>
      </c>
      <c r="N8331" s="6" t="s">
        <v>2073</v>
      </c>
      <c r="O8331" s="6" t="s">
        <v>704</v>
      </c>
      <c r="P8331" s="9" t="s">
        <v>25</v>
      </c>
      <c r="Q8331" s="9" t="s">
        <v>42</v>
      </c>
      <c r="R8331" s="9" t="s">
        <v>43</v>
      </c>
      <c r="S8331" s="7" t="s">
        <v>125</v>
      </c>
      <c r="T8331" s="9" t="s">
        <v>39</v>
      </c>
      <c r="U8331" s="7">
        <v>0.56999999999999995</v>
      </c>
      <c r="V8331" s="12">
        <f>C8331+5</f>
        <v>40940</v>
      </c>
      <c r="W8331">
        <f>IF(D8331=' Pivot Tables'!$A$4,1,0)</f>
        <v>0</v>
      </c>
      <c r="X8331">
        <f>IF(AND(LEFT(D8331,4)+1=LEFT(' Pivot Tables'!$A$4,4)+0,RIGHT(LEFT(D8331,7),2)=RIGHT(LEFT(' Pivot Tables'!$A$4,7),2)),1,0)</f>
        <v>0</v>
      </c>
      <c r="Y8331" s="6">
        <f>1/COUNTIF(Таблица1[Order ID],Таблица1[[#This Row],[Order ID]])</f>
        <v>0.25</v>
      </c>
      <c r="Z8331" s="9">
        <f>1/COUNTIFS(Таблица1[Customer Name],Таблица1[[#This Row],[Customer Name]],Таблица1[Order-Year-Month],Таблица1[[#This Row],[Order-Year-Month]])</f>
        <v>0.25</v>
      </c>
    </row>
    <row r="8332" spans="1:26" x14ac:dyDescent="0.2">
      <c r="A8332" s="6">
        <v>5885</v>
      </c>
      <c r="B8332" s="7">
        <v>41760</v>
      </c>
      <c r="C8332" s="8">
        <f>DATE(2012,12,31)-339</f>
        <v>40935</v>
      </c>
      <c r="D8332" s="8" t="str">
        <f t="shared" si="159"/>
        <v>2012-01 (январь 2012)</v>
      </c>
      <c r="E8332" s="9" t="s">
        <v>21</v>
      </c>
      <c r="F8332" s="7">
        <v>40</v>
      </c>
      <c r="G8332" s="7">
        <v>3232.1334999999999</v>
      </c>
      <c r="H8332" s="7">
        <v>0.05</v>
      </c>
      <c r="I8332" s="9" t="s">
        <v>22</v>
      </c>
      <c r="J8332" s="10">
        <v>696.95100000000002</v>
      </c>
      <c r="K8332" s="11">
        <v>95.99</v>
      </c>
      <c r="L8332" s="11">
        <v>8.99</v>
      </c>
      <c r="M8332" s="9" t="s">
        <v>1403</v>
      </c>
      <c r="N8332" s="6" t="s">
        <v>2073</v>
      </c>
      <c r="O8332" s="6" t="s">
        <v>704</v>
      </c>
      <c r="P8332" s="9" t="s">
        <v>25</v>
      </c>
      <c r="Q8332" s="9" t="s">
        <v>42</v>
      </c>
      <c r="R8332" s="9" t="s">
        <v>43</v>
      </c>
      <c r="S8332" s="7" t="s">
        <v>198</v>
      </c>
      <c r="T8332" s="9" t="s">
        <v>39</v>
      </c>
      <c r="U8332" s="7">
        <v>0.56999999999999995</v>
      </c>
      <c r="V8332" s="12">
        <f>C8332+5</f>
        <v>40940</v>
      </c>
      <c r="W8332">
        <f>IF(D8332=' Pivot Tables'!$A$4,1,0)</f>
        <v>0</v>
      </c>
      <c r="X8332">
        <f>IF(AND(LEFT(D8332,4)+1=LEFT(' Pivot Tables'!$A$4,4)+0,RIGHT(LEFT(D8332,7),2)=RIGHT(LEFT(' Pivot Tables'!$A$4,7),2)),1,0)</f>
        <v>0</v>
      </c>
      <c r="Y8332" s="6">
        <f>1/COUNTIF(Таблица1[Order ID],Таблица1[[#This Row],[Order ID]])</f>
        <v>0.25</v>
      </c>
      <c r="Z8332" s="9">
        <f>1/COUNTIFS(Таблица1[Customer Name],Таблица1[[#This Row],[Customer Name]],Таблица1[Order-Year-Month],Таблица1[[#This Row],[Order-Year-Month]])</f>
        <v>0.25</v>
      </c>
    </row>
    <row r="8333" spans="1:26" x14ac:dyDescent="0.2">
      <c r="A8333" s="6">
        <v>6046</v>
      </c>
      <c r="B8333" s="7">
        <v>42852</v>
      </c>
      <c r="C8333" s="8">
        <f>DATE(2012,12,31)-1107</f>
        <v>40167</v>
      </c>
      <c r="D8333" s="8" t="str">
        <f t="shared" si="159"/>
        <v>2009-12 (декабрь 2009)</v>
      </c>
      <c r="E8333" s="9" t="s">
        <v>45</v>
      </c>
      <c r="F8333" s="7">
        <v>13</v>
      </c>
      <c r="G8333" s="7">
        <v>129.9</v>
      </c>
      <c r="H8333" s="7">
        <v>0.02</v>
      </c>
      <c r="I8333" s="9" t="s">
        <v>22</v>
      </c>
      <c r="J8333" s="10">
        <v>-63.51</v>
      </c>
      <c r="K8333" s="11">
        <v>9.06</v>
      </c>
      <c r="L8333" s="11">
        <v>9.86</v>
      </c>
      <c r="M8333" s="9" t="s">
        <v>2009</v>
      </c>
      <c r="N8333" s="6" t="s">
        <v>2073</v>
      </c>
      <c r="O8333" s="6" t="s">
        <v>704</v>
      </c>
      <c r="P8333" s="9" t="s">
        <v>33</v>
      </c>
      <c r="Q8333" s="9" t="s">
        <v>26</v>
      </c>
      <c r="R8333" s="9" t="s">
        <v>61</v>
      </c>
      <c r="S8333" s="7" t="s">
        <v>930</v>
      </c>
      <c r="T8333" s="9" t="s">
        <v>39</v>
      </c>
      <c r="U8333" s="7">
        <v>0.4</v>
      </c>
      <c r="V8333" s="12">
        <f>C8333+2</f>
        <v>40169</v>
      </c>
      <c r="W8333">
        <f>IF(D8333=' Pivot Tables'!$A$4,1,0)</f>
        <v>0</v>
      </c>
      <c r="X8333">
        <f>IF(AND(LEFT(D8333,4)+1=LEFT(' Pivot Tables'!$A$4,4)+0,RIGHT(LEFT(D8333,7),2)=RIGHT(LEFT(' Pivot Tables'!$A$4,7),2)),1,0)</f>
        <v>0</v>
      </c>
      <c r="Y8333" s="6">
        <f>1/COUNTIF(Таблица1[Order ID],Таблица1[[#This Row],[Order ID]])</f>
        <v>1</v>
      </c>
      <c r="Z8333" s="9">
        <f>1/COUNTIFS(Таблица1[Customer Name],Таблица1[[#This Row],[Customer Name]],Таблица1[Order-Year-Month],Таблица1[[#This Row],[Order-Year-Month]])</f>
        <v>0.5</v>
      </c>
    </row>
    <row r="8334" spans="1:26" x14ac:dyDescent="0.2">
      <c r="A8334" s="6">
        <v>6069</v>
      </c>
      <c r="B8334" s="7">
        <v>42982</v>
      </c>
      <c r="C8334" s="8">
        <f>DATE(2012,12,31)-157</f>
        <v>41117</v>
      </c>
      <c r="D8334" s="8" t="str">
        <f t="shared" si="159"/>
        <v>2012-07 (июль 2012)</v>
      </c>
      <c r="E8334" s="9" t="s">
        <v>21</v>
      </c>
      <c r="F8334" s="7">
        <v>42</v>
      </c>
      <c r="G8334" s="7">
        <v>1587.59</v>
      </c>
      <c r="H8334" s="7">
        <v>0.08</v>
      </c>
      <c r="I8334" s="9" t="s">
        <v>22</v>
      </c>
      <c r="J8334" s="10">
        <v>651.74</v>
      </c>
      <c r="K8334" s="11">
        <v>39.89</v>
      </c>
      <c r="L8334" s="11">
        <v>3.04</v>
      </c>
      <c r="M8334" s="9" t="s">
        <v>2009</v>
      </c>
      <c r="N8334" s="6" t="s">
        <v>2073</v>
      </c>
      <c r="O8334" s="6" t="s">
        <v>704</v>
      </c>
      <c r="P8334" s="9" t="s">
        <v>33</v>
      </c>
      <c r="Q8334" s="9" t="s">
        <v>49</v>
      </c>
      <c r="R8334" s="9" t="s">
        <v>50</v>
      </c>
      <c r="S8334" s="7" t="s">
        <v>74</v>
      </c>
      <c r="T8334" s="9" t="s">
        <v>68</v>
      </c>
      <c r="U8334" s="7">
        <v>0.53</v>
      </c>
      <c r="V8334" s="12">
        <f>C8334+5</f>
        <v>41122</v>
      </c>
      <c r="W8334">
        <f>IF(D8334=' Pivot Tables'!$A$4,1,0)</f>
        <v>0</v>
      </c>
      <c r="X8334">
        <f>IF(AND(LEFT(D8334,4)+1=LEFT(' Pivot Tables'!$A$4,4)+0,RIGHT(LEFT(D8334,7),2)=RIGHT(LEFT(' Pivot Tables'!$A$4,7),2)),1,0)</f>
        <v>0</v>
      </c>
      <c r="Y8334" s="6">
        <f>1/COUNTIF(Таблица1[Order ID],Таблица1[[#This Row],[Order ID]])</f>
        <v>0.5</v>
      </c>
      <c r="Z8334" s="9">
        <f>1/COUNTIFS(Таблица1[Customer Name],Таблица1[[#This Row],[Customer Name]],Таблица1[Order-Year-Month],Таблица1[[#This Row],[Order-Year-Month]])</f>
        <v>0.5</v>
      </c>
    </row>
    <row r="8335" spans="1:26" x14ac:dyDescent="0.2">
      <c r="A8335" s="6">
        <v>6111</v>
      </c>
      <c r="B8335" s="7">
        <v>43298</v>
      </c>
      <c r="C8335" s="8">
        <f>DATE(2012,12,31)-540</f>
        <v>40734</v>
      </c>
      <c r="D8335" s="8" t="str">
        <f t="shared" si="159"/>
        <v>2011-07 (июль 2011)</v>
      </c>
      <c r="E8335" s="9" t="s">
        <v>45</v>
      </c>
      <c r="F8335" s="7">
        <v>33</v>
      </c>
      <c r="G8335" s="7">
        <v>5964.19</v>
      </c>
      <c r="H8335" s="7">
        <v>0.1</v>
      </c>
      <c r="I8335" s="9" t="s">
        <v>22</v>
      </c>
      <c r="J8335" s="10">
        <v>988.19900000000007</v>
      </c>
      <c r="K8335" s="11">
        <v>199.99</v>
      </c>
      <c r="L8335" s="11">
        <v>24.49</v>
      </c>
      <c r="M8335" s="9" t="s">
        <v>2125</v>
      </c>
      <c r="N8335" s="6" t="s">
        <v>2073</v>
      </c>
      <c r="O8335" s="6" t="s">
        <v>704</v>
      </c>
      <c r="P8335" s="9" t="s">
        <v>33</v>
      </c>
      <c r="Q8335" s="9" t="s">
        <v>42</v>
      </c>
      <c r="R8335" s="9" t="s">
        <v>99</v>
      </c>
      <c r="S8335" s="7" t="s">
        <v>619</v>
      </c>
      <c r="T8335" s="9" t="s">
        <v>29</v>
      </c>
      <c r="U8335" s="7">
        <v>0.46</v>
      </c>
      <c r="V8335" s="12">
        <f>C8335+2</f>
        <v>40736</v>
      </c>
      <c r="W8335">
        <f>IF(D8335=' Pivot Tables'!$A$4,1,0)</f>
        <v>0</v>
      </c>
      <c r="X8335">
        <f>IF(AND(LEFT(D8335,4)+1=LEFT(' Pivot Tables'!$A$4,4)+0,RIGHT(LEFT(D8335,7),2)=RIGHT(LEFT(' Pivot Tables'!$A$4,7),2)),1,0)</f>
        <v>0</v>
      </c>
      <c r="Y8335" s="6">
        <f>1/COUNTIF(Таблица1[Order ID],Таблица1[[#This Row],[Order ID]])</f>
        <v>0.5</v>
      </c>
      <c r="Z8335" s="9">
        <f>1/COUNTIFS(Таблица1[Customer Name],Таблица1[[#This Row],[Customer Name]],Таблица1[Order-Year-Month],Таблица1[[#This Row],[Order-Year-Month]])</f>
        <v>0.5</v>
      </c>
    </row>
    <row r="8336" spans="1:26" x14ac:dyDescent="0.2">
      <c r="A8336" s="6">
        <v>6112</v>
      </c>
      <c r="B8336" s="7">
        <v>43298</v>
      </c>
      <c r="C8336" s="8">
        <f>DATE(2012,12,31)-540</f>
        <v>40734</v>
      </c>
      <c r="D8336" s="8" t="str">
        <f t="shared" si="159"/>
        <v>2011-07 (июль 2011)</v>
      </c>
      <c r="E8336" s="9" t="s">
        <v>45</v>
      </c>
      <c r="F8336" s="7">
        <v>15</v>
      </c>
      <c r="G8336" s="7">
        <v>109.2</v>
      </c>
      <c r="H8336" s="7">
        <v>0.03</v>
      </c>
      <c r="I8336" s="9" t="s">
        <v>22</v>
      </c>
      <c r="J8336" s="10">
        <v>-50.27</v>
      </c>
      <c r="K8336" s="11">
        <v>6.48</v>
      </c>
      <c r="L8336" s="11">
        <v>7.37</v>
      </c>
      <c r="M8336" s="9" t="s">
        <v>2125</v>
      </c>
      <c r="N8336" s="6" t="s">
        <v>2073</v>
      </c>
      <c r="O8336" s="6" t="s">
        <v>704</v>
      </c>
      <c r="P8336" s="9" t="s">
        <v>33</v>
      </c>
      <c r="Q8336" s="9" t="s">
        <v>26</v>
      </c>
      <c r="R8336" s="9" t="s">
        <v>61</v>
      </c>
      <c r="S8336" s="7" t="s">
        <v>859</v>
      </c>
      <c r="T8336" s="9" t="s">
        <v>39</v>
      </c>
      <c r="U8336" s="7">
        <v>0.37</v>
      </c>
      <c r="V8336" s="12">
        <f>C8336+2</f>
        <v>40736</v>
      </c>
      <c r="W8336">
        <f>IF(D8336=' Pivot Tables'!$A$4,1,0)</f>
        <v>0</v>
      </c>
      <c r="X8336">
        <f>IF(AND(LEFT(D8336,4)+1=LEFT(' Pivot Tables'!$A$4,4)+0,RIGHT(LEFT(D8336,7),2)=RIGHT(LEFT(' Pivot Tables'!$A$4,7),2)),1,0)</f>
        <v>0</v>
      </c>
      <c r="Y8336" s="6">
        <f>1/COUNTIF(Таблица1[Order ID],Таблица1[[#This Row],[Order ID]])</f>
        <v>0.5</v>
      </c>
      <c r="Z8336" s="9">
        <f>1/COUNTIFS(Таблица1[Customer Name],Таблица1[[#This Row],[Customer Name]],Таблица1[Order-Year-Month],Таблица1[[#This Row],[Order-Year-Month]])</f>
        <v>0.5</v>
      </c>
    </row>
    <row r="8337" spans="1:26" x14ac:dyDescent="0.2">
      <c r="A8337" s="6">
        <v>6288</v>
      </c>
      <c r="B8337" s="7">
        <v>44516</v>
      </c>
      <c r="C8337" s="8">
        <f>DATE(2012,12,31)-551</f>
        <v>40723</v>
      </c>
      <c r="D8337" s="8" t="str">
        <f t="shared" si="159"/>
        <v>2011-06 (июнь 2011)</v>
      </c>
      <c r="E8337" s="9" t="s">
        <v>78</v>
      </c>
      <c r="F8337" s="7">
        <v>17</v>
      </c>
      <c r="G8337" s="7">
        <v>57.96</v>
      </c>
      <c r="H8337" s="7">
        <v>0.06</v>
      </c>
      <c r="I8337" s="9" t="s">
        <v>22</v>
      </c>
      <c r="J8337" s="10">
        <v>-47.32</v>
      </c>
      <c r="K8337" s="11">
        <v>3.28</v>
      </c>
      <c r="L8337" s="11">
        <v>3.97</v>
      </c>
      <c r="M8337" s="9" t="s">
        <v>1408</v>
      </c>
      <c r="N8337" s="6" t="s">
        <v>2073</v>
      </c>
      <c r="O8337" s="6" t="s">
        <v>704</v>
      </c>
      <c r="P8337" s="9" t="s">
        <v>25</v>
      </c>
      <c r="Q8337" s="9" t="s">
        <v>26</v>
      </c>
      <c r="R8337" s="9" t="s">
        <v>95</v>
      </c>
      <c r="S8337" s="7" t="s">
        <v>570</v>
      </c>
      <c r="T8337" s="9" t="s">
        <v>68</v>
      </c>
      <c r="U8337" s="7">
        <v>0.56000000000000005</v>
      </c>
      <c r="V8337" s="12">
        <f>C8337+0</f>
        <v>40723</v>
      </c>
      <c r="W8337">
        <f>IF(D8337=' Pivot Tables'!$A$4,1,0)</f>
        <v>0</v>
      </c>
      <c r="X8337">
        <f>IF(AND(LEFT(D8337,4)+1=LEFT(' Pivot Tables'!$A$4,4)+0,RIGHT(LEFT(D8337,7),2)=RIGHT(LEFT(' Pivot Tables'!$A$4,7),2)),1,0)</f>
        <v>0</v>
      </c>
      <c r="Y8337" s="6">
        <f>1/COUNTIF(Таблица1[Order ID],Таблица1[[#This Row],[Order ID]])</f>
        <v>1</v>
      </c>
      <c r="Z8337" s="9">
        <f>1/COUNTIFS(Таблица1[Customer Name],Таблица1[[#This Row],[Customer Name]],Таблица1[Order-Year-Month],Таблица1[[#This Row],[Order-Year-Month]])</f>
        <v>1</v>
      </c>
    </row>
    <row r="8338" spans="1:26" x14ac:dyDescent="0.2">
      <c r="A8338" s="6">
        <v>6357</v>
      </c>
      <c r="B8338" s="7">
        <v>45088</v>
      </c>
      <c r="C8338" s="8">
        <f>DATE(2012,12,31)-770</f>
        <v>40504</v>
      </c>
      <c r="D8338" s="8" t="str">
        <f t="shared" si="159"/>
        <v>2010-11 (ноябрь 2010)</v>
      </c>
      <c r="E8338" s="9" t="s">
        <v>21</v>
      </c>
      <c r="F8338" s="7">
        <v>9</v>
      </c>
      <c r="G8338" s="7">
        <v>1418.9559999999999</v>
      </c>
      <c r="H8338" s="7">
        <v>0.09</v>
      </c>
      <c r="I8338" s="9" t="s">
        <v>22</v>
      </c>
      <c r="J8338" s="10">
        <v>-447.41399999999999</v>
      </c>
      <c r="K8338" s="11">
        <v>195.99</v>
      </c>
      <c r="L8338" s="11">
        <v>4.2</v>
      </c>
      <c r="M8338" s="9" t="s">
        <v>2126</v>
      </c>
      <c r="N8338" s="6" t="s">
        <v>2073</v>
      </c>
      <c r="O8338" s="6" t="s">
        <v>704</v>
      </c>
      <c r="P8338" s="9" t="s">
        <v>60</v>
      </c>
      <c r="Q8338" s="9" t="s">
        <v>42</v>
      </c>
      <c r="R8338" s="9" t="s">
        <v>43</v>
      </c>
      <c r="S8338" s="7" t="s">
        <v>615</v>
      </c>
      <c r="T8338" s="9" t="s">
        <v>39</v>
      </c>
      <c r="U8338" s="7">
        <v>0.6</v>
      </c>
      <c r="V8338" s="12">
        <f>C8338+7</f>
        <v>40511</v>
      </c>
      <c r="W8338">
        <f>IF(D8338=' Pivot Tables'!$A$4,1,0)</f>
        <v>0</v>
      </c>
      <c r="X8338">
        <f>IF(AND(LEFT(D8338,4)+1=LEFT(' Pivot Tables'!$A$4,4)+0,RIGHT(LEFT(D8338,7),2)=RIGHT(LEFT(' Pivot Tables'!$A$4,7),2)),1,0)</f>
        <v>0</v>
      </c>
      <c r="Y8338" s="6">
        <f>1/COUNTIF(Таблица1[Order ID],Таблица1[[#This Row],[Order ID]])</f>
        <v>1</v>
      </c>
      <c r="Z8338" s="9">
        <f>1/COUNTIFS(Таблица1[Customer Name],Таблица1[[#This Row],[Customer Name]],Таблица1[Order-Year-Month],Таблица1[[#This Row],[Order-Year-Month]])</f>
        <v>1</v>
      </c>
    </row>
    <row r="8339" spans="1:26" x14ac:dyDescent="0.2">
      <c r="A8339" s="6">
        <v>6555</v>
      </c>
      <c r="B8339" s="7">
        <v>46599</v>
      </c>
      <c r="C8339" s="8">
        <f>DATE(2012,12,31)-840</f>
        <v>40434</v>
      </c>
      <c r="D8339" s="8" t="str">
        <f t="shared" si="159"/>
        <v>2010-09 (сентябрь 2010)</v>
      </c>
      <c r="E8339" s="9" t="s">
        <v>45</v>
      </c>
      <c r="F8339" s="7">
        <v>4</v>
      </c>
      <c r="G8339" s="7">
        <v>284</v>
      </c>
      <c r="H8339" s="7">
        <v>0.01</v>
      </c>
      <c r="I8339" s="9" t="s">
        <v>56</v>
      </c>
      <c r="J8339" s="10">
        <v>208.31</v>
      </c>
      <c r="K8339" s="11">
        <v>62.18</v>
      </c>
      <c r="L8339" s="11">
        <v>10.84</v>
      </c>
      <c r="M8339" s="9" t="s">
        <v>2129</v>
      </c>
      <c r="N8339" s="6" t="s">
        <v>2073</v>
      </c>
      <c r="O8339" s="6" t="s">
        <v>704</v>
      </c>
      <c r="P8339" s="9" t="s">
        <v>25</v>
      </c>
      <c r="Q8339" s="9" t="s">
        <v>49</v>
      </c>
      <c r="R8339" s="9" t="s">
        <v>50</v>
      </c>
      <c r="S8339" s="7" t="s">
        <v>1113</v>
      </c>
      <c r="T8339" s="9" t="s">
        <v>48</v>
      </c>
      <c r="U8339" s="7">
        <v>0.63</v>
      </c>
      <c r="V8339" s="12">
        <f>C8339+1</f>
        <v>40435</v>
      </c>
      <c r="W8339">
        <f>IF(D8339=' Pivot Tables'!$A$4,1,0)</f>
        <v>0</v>
      </c>
      <c r="X8339">
        <f>IF(AND(LEFT(D8339,4)+1=LEFT(' Pivot Tables'!$A$4,4)+0,RIGHT(LEFT(D8339,7),2)=RIGHT(LEFT(' Pivot Tables'!$A$4,7),2)),1,0)</f>
        <v>0</v>
      </c>
      <c r="Y8339" s="6">
        <f>1/COUNTIF(Таблица1[Order ID],Таблица1[[#This Row],[Order ID]])</f>
        <v>1</v>
      </c>
      <c r="Z8339" s="9">
        <f>1/COUNTIFS(Таблица1[Customer Name],Таблица1[[#This Row],[Customer Name]],Таблица1[Order-Year-Month],Таблица1[[#This Row],[Order-Year-Month]])</f>
        <v>1</v>
      </c>
    </row>
    <row r="8340" spans="1:26" x14ac:dyDescent="0.2">
      <c r="A8340" s="6">
        <v>6681</v>
      </c>
      <c r="B8340" s="7">
        <v>47524</v>
      </c>
      <c r="C8340" s="8">
        <f>DATE(2012,12,31)-991</f>
        <v>40283</v>
      </c>
      <c r="D8340" s="8" t="str">
        <f t="shared" si="159"/>
        <v>2010-04 (апрель 2010)</v>
      </c>
      <c r="E8340" s="9" t="s">
        <v>63</v>
      </c>
      <c r="F8340" s="7">
        <v>8</v>
      </c>
      <c r="G8340" s="7">
        <v>269.14</v>
      </c>
      <c r="H8340" s="7">
        <v>0.1</v>
      </c>
      <c r="I8340" s="9" t="s">
        <v>22</v>
      </c>
      <c r="J8340" s="10">
        <v>-160.72</v>
      </c>
      <c r="K8340" s="11">
        <v>35.770000000000003</v>
      </c>
      <c r="L8340" s="11">
        <v>9.02</v>
      </c>
      <c r="M8340" s="9" t="s">
        <v>354</v>
      </c>
      <c r="N8340" s="6" t="s">
        <v>2073</v>
      </c>
      <c r="O8340" s="6" t="s">
        <v>704</v>
      </c>
      <c r="P8340" s="9" t="s">
        <v>41</v>
      </c>
      <c r="Q8340" s="9" t="s">
        <v>42</v>
      </c>
      <c r="R8340" s="9" t="s">
        <v>70</v>
      </c>
      <c r="S8340" s="7" t="s">
        <v>1649</v>
      </c>
      <c r="T8340" s="9" t="s">
        <v>39</v>
      </c>
      <c r="U8340" s="7">
        <v>0.75</v>
      </c>
      <c r="V8340" s="12">
        <f>C8340+2</f>
        <v>40285</v>
      </c>
      <c r="W8340">
        <f>IF(D8340=' Pivot Tables'!$A$4,1,0)</f>
        <v>0</v>
      </c>
      <c r="X8340">
        <f>IF(AND(LEFT(D8340,4)+1=LEFT(' Pivot Tables'!$A$4,4)+0,RIGHT(LEFT(D8340,7),2)=RIGHT(LEFT(' Pivot Tables'!$A$4,7),2)),1,0)</f>
        <v>0</v>
      </c>
      <c r="Y8340" s="6">
        <f>1/COUNTIF(Таблица1[Order ID],Таблица1[[#This Row],[Order ID]])</f>
        <v>0.5</v>
      </c>
      <c r="Z8340" s="9">
        <f>1/COUNTIFS(Таблица1[Customer Name],Таблица1[[#This Row],[Customer Name]],Таблица1[Order-Year-Month],Таблица1[[#This Row],[Order-Year-Month]])</f>
        <v>0.33333333333333331</v>
      </c>
    </row>
    <row r="8341" spans="1:26" x14ac:dyDescent="0.2">
      <c r="A8341" s="6">
        <v>6741</v>
      </c>
      <c r="B8341" s="7">
        <v>48000</v>
      </c>
      <c r="C8341" s="8">
        <f>DATE(2012,12,31)-140</f>
        <v>41134</v>
      </c>
      <c r="D8341" s="8" t="str">
        <f t="shared" si="159"/>
        <v>2012-08 (август 2012)</v>
      </c>
      <c r="E8341" s="9" t="s">
        <v>30</v>
      </c>
      <c r="F8341" s="7">
        <v>12</v>
      </c>
      <c r="G8341" s="7">
        <v>214.94</v>
      </c>
      <c r="H8341" s="7">
        <v>0.06</v>
      </c>
      <c r="I8341" s="9" t="s">
        <v>22</v>
      </c>
      <c r="J8341" s="10">
        <v>26.75</v>
      </c>
      <c r="K8341" s="11">
        <v>17.48</v>
      </c>
      <c r="L8341" s="11">
        <v>1.99</v>
      </c>
      <c r="M8341" s="9" t="s">
        <v>2129</v>
      </c>
      <c r="N8341" s="6" t="s">
        <v>2073</v>
      </c>
      <c r="O8341" s="6" t="s">
        <v>704</v>
      </c>
      <c r="P8341" s="9" t="s">
        <v>25</v>
      </c>
      <c r="Q8341" s="9" t="s">
        <v>42</v>
      </c>
      <c r="R8341" s="9" t="s">
        <v>70</v>
      </c>
      <c r="S8341" s="7" t="s">
        <v>1067</v>
      </c>
      <c r="T8341" s="9" t="s">
        <v>52</v>
      </c>
      <c r="U8341" s="7">
        <v>0.45</v>
      </c>
      <c r="V8341" s="12">
        <f>C8341+1</f>
        <v>41135</v>
      </c>
      <c r="W8341">
        <f>IF(D8341=' Pivot Tables'!$A$4,1,0)</f>
        <v>0</v>
      </c>
      <c r="X8341">
        <f>IF(AND(LEFT(D8341,4)+1=LEFT(' Pivot Tables'!$A$4,4)+0,RIGHT(LEFT(D8341,7),2)=RIGHT(LEFT(' Pivot Tables'!$A$4,7),2)),1,0)</f>
        <v>0</v>
      </c>
      <c r="Y8341" s="6">
        <f>1/COUNTIF(Таблица1[Order ID],Таблица1[[#This Row],[Order ID]])</f>
        <v>1</v>
      </c>
      <c r="Z8341" s="9">
        <f>1/COUNTIFS(Таблица1[Customer Name],Таблица1[[#This Row],[Customer Name]],Таблица1[Order-Year-Month],Таблица1[[#This Row],[Order-Year-Month]])</f>
        <v>1</v>
      </c>
    </row>
    <row r="8342" spans="1:26" x14ac:dyDescent="0.2">
      <c r="A8342" s="6">
        <v>6790</v>
      </c>
      <c r="B8342" s="7">
        <v>48385</v>
      </c>
      <c r="C8342" s="8">
        <f>DATE(2012,12,31)-1200</f>
        <v>40074</v>
      </c>
      <c r="D8342" s="8" t="str">
        <f t="shared" si="159"/>
        <v>2009-09 (сентябрь 2009)</v>
      </c>
      <c r="E8342" s="9" t="s">
        <v>63</v>
      </c>
      <c r="F8342" s="7">
        <v>16</v>
      </c>
      <c r="G8342" s="7">
        <v>88.24</v>
      </c>
      <c r="H8342" s="7">
        <v>0.01</v>
      </c>
      <c r="I8342" s="9" t="s">
        <v>22</v>
      </c>
      <c r="J8342" s="10">
        <v>-56.6</v>
      </c>
      <c r="K8342" s="11">
        <v>4.9800000000000004</v>
      </c>
      <c r="L8342" s="11">
        <v>4.62</v>
      </c>
      <c r="M8342" s="9" t="s">
        <v>1998</v>
      </c>
      <c r="N8342" s="6" t="s">
        <v>2073</v>
      </c>
      <c r="O8342" s="6" t="s">
        <v>704</v>
      </c>
      <c r="P8342" s="9" t="s">
        <v>25</v>
      </c>
      <c r="Q8342" s="9" t="s">
        <v>42</v>
      </c>
      <c r="R8342" s="9" t="s">
        <v>70</v>
      </c>
      <c r="S8342" s="7" t="s">
        <v>402</v>
      </c>
      <c r="T8342" s="9" t="s">
        <v>52</v>
      </c>
      <c r="U8342" s="7">
        <v>0.64</v>
      </c>
      <c r="V8342" s="12">
        <f>C8342+2</f>
        <v>40076</v>
      </c>
      <c r="W8342">
        <f>IF(D8342=' Pivot Tables'!$A$4,1,0)</f>
        <v>0</v>
      </c>
      <c r="X8342">
        <f>IF(AND(LEFT(D8342,4)+1=LEFT(' Pivot Tables'!$A$4,4)+0,RIGHT(LEFT(D8342,7),2)=RIGHT(LEFT(' Pivot Tables'!$A$4,7),2)),1,0)</f>
        <v>0</v>
      </c>
      <c r="Y8342" s="6">
        <f>1/COUNTIF(Таблица1[Order ID],Таблица1[[#This Row],[Order ID]])</f>
        <v>1</v>
      </c>
      <c r="Z8342" s="9">
        <f>1/COUNTIFS(Таблица1[Customer Name],Таблица1[[#This Row],[Customer Name]],Таблица1[Order-Year-Month],Таблица1[[#This Row],[Order-Year-Month]])</f>
        <v>1</v>
      </c>
    </row>
    <row r="8343" spans="1:26" x14ac:dyDescent="0.2">
      <c r="A8343" s="6">
        <v>6945</v>
      </c>
      <c r="B8343" s="7">
        <v>49602</v>
      </c>
      <c r="C8343" s="8">
        <f>DATE(2012,12,31)-298</f>
        <v>40976</v>
      </c>
      <c r="D8343" s="8" t="str">
        <f t="shared" si="159"/>
        <v>2012-03 (март 2012)</v>
      </c>
      <c r="E8343" s="9" t="s">
        <v>45</v>
      </c>
      <c r="F8343" s="7">
        <v>31</v>
      </c>
      <c r="G8343" s="7">
        <v>4878.6400000000003</v>
      </c>
      <c r="H8343" s="7">
        <v>0.03</v>
      </c>
      <c r="I8343" s="9" t="s">
        <v>31</v>
      </c>
      <c r="J8343" s="10">
        <v>-519.94000000000005</v>
      </c>
      <c r="K8343" s="11">
        <v>150.97999999999999</v>
      </c>
      <c r="L8343" s="11">
        <v>66.27</v>
      </c>
      <c r="M8343" s="9" t="s">
        <v>1408</v>
      </c>
      <c r="N8343" s="6" t="s">
        <v>2073</v>
      </c>
      <c r="O8343" s="6" t="s">
        <v>704</v>
      </c>
      <c r="P8343" s="9" t="s">
        <v>60</v>
      </c>
      <c r="Q8343" s="9" t="s">
        <v>49</v>
      </c>
      <c r="R8343" s="9" t="s">
        <v>80</v>
      </c>
      <c r="S8343" s="7" t="s">
        <v>325</v>
      </c>
      <c r="T8343" s="9" t="s">
        <v>82</v>
      </c>
      <c r="U8343" s="7">
        <v>0.65</v>
      </c>
      <c r="V8343" s="12">
        <f>C8343+1</f>
        <v>40977</v>
      </c>
      <c r="W8343">
        <f>IF(D8343=' Pivot Tables'!$A$4,1,0)</f>
        <v>0</v>
      </c>
      <c r="X8343">
        <f>IF(AND(LEFT(D8343,4)+1=LEFT(' Pivot Tables'!$A$4,4)+0,RIGHT(LEFT(D8343,7),2)=RIGHT(LEFT(' Pivot Tables'!$A$4,7),2)),1,0)</f>
        <v>0</v>
      </c>
      <c r="Y8343" s="6">
        <f>1/COUNTIF(Таблица1[Order ID],Таблица1[[#This Row],[Order ID]])</f>
        <v>1</v>
      </c>
      <c r="Z8343" s="9">
        <f>1/COUNTIFS(Таблица1[Customer Name],Таблица1[[#This Row],[Customer Name]],Таблица1[Order-Year-Month],Таблица1[[#This Row],[Order-Year-Month]])</f>
        <v>1</v>
      </c>
    </row>
    <row r="8344" spans="1:26" x14ac:dyDescent="0.2">
      <c r="A8344" s="6">
        <v>7026</v>
      </c>
      <c r="B8344" s="7">
        <v>50146</v>
      </c>
      <c r="C8344" s="8">
        <f>DATE(2012,12,31)-875</f>
        <v>40399</v>
      </c>
      <c r="D8344" s="8" t="str">
        <f t="shared" si="159"/>
        <v>2010-08 (август 2010)</v>
      </c>
      <c r="E8344" s="9" t="s">
        <v>45</v>
      </c>
      <c r="F8344" s="7">
        <v>32</v>
      </c>
      <c r="G8344" s="7">
        <v>2288.6419999999998</v>
      </c>
      <c r="H8344" s="7">
        <v>0.05</v>
      </c>
      <c r="I8344" s="9" t="s">
        <v>22</v>
      </c>
      <c r="J8344" s="10">
        <v>519.58800000000008</v>
      </c>
      <c r="K8344" s="11">
        <v>85.99</v>
      </c>
      <c r="L8344" s="11">
        <v>2.79</v>
      </c>
      <c r="M8344" s="9" t="s">
        <v>2128</v>
      </c>
      <c r="N8344" s="6" t="s">
        <v>2073</v>
      </c>
      <c r="O8344" s="6" t="s">
        <v>704</v>
      </c>
      <c r="P8344" s="9" t="s">
        <v>33</v>
      </c>
      <c r="Q8344" s="9" t="s">
        <v>42</v>
      </c>
      <c r="R8344" s="9" t="s">
        <v>43</v>
      </c>
      <c r="S8344" s="7" t="s">
        <v>903</v>
      </c>
      <c r="T8344" s="9" t="s">
        <v>39</v>
      </c>
      <c r="U8344" s="7">
        <v>0.57999999999999996</v>
      </c>
      <c r="V8344" s="12">
        <f>C8344+0</f>
        <v>40399</v>
      </c>
      <c r="W8344">
        <f>IF(D8344=' Pivot Tables'!$A$4,1,0)</f>
        <v>0</v>
      </c>
      <c r="X8344">
        <f>IF(AND(LEFT(D8344,4)+1=LEFT(' Pivot Tables'!$A$4,4)+0,RIGHT(LEFT(D8344,7),2)=RIGHT(LEFT(' Pivot Tables'!$A$4,7),2)),1,0)</f>
        <v>0</v>
      </c>
      <c r="Y8344" s="6">
        <f>1/COUNTIF(Таблица1[Order ID],Таблица1[[#This Row],[Order ID]])</f>
        <v>1</v>
      </c>
      <c r="Z8344" s="9">
        <f>1/COUNTIFS(Таблица1[Customer Name],Таблица1[[#This Row],[Customer Name]],Таблица1[Order-Year-Month],Таблица1[[#This Row],[Order-Year-Month]])</f>
        <v>1</v>
      </c>
    </row>
    <row r="8345" spans="1:26" x14ac:dyDescent="0.2">
      <c r="A8345" s="6">
        <v>7029</v>
      </c>
      <c r="B8345" s="7">
        <v>50148</v>
      </c>
      <c r="C8345" s="8">
        <f>DATE(2012,12,31)-334</f>
        <v>40940</v>
      </c>
      <c r="D8345" s="8" t="str">
        <f t="shared" si="159"/>
        <v>2012-02 (февраль 2012)</v>
      </c>
      <c r="E8345" s="9" t="s">
        <v>63</v>
      </c>
      <c r="F8345" s="7">
        <v>9</v>
      </c>
      <c r="G8345" s="7">
        <v>17965.45</v>
      </c>
      <c r="H8345" s="7">
        <v>0</v>
      </c>
      <c r="I8345" s="9" t="s">
        <v>22</v>
      </c>
      <c r="J8345" s="10">
        <v>3459.43</v>
      </c>
      <c r="K8345" s="11">
        <v>1938.02</v>
      </c>
      <c r="L8345" s="11">
        <v>13.99</v>
      </c>
      <c r="M8345" s="9" t="s">
        <v>2119</v>
      </c>
      <c r="N8345" s="6" t="s">
        <v>2073</v>
      </c>
      <c r="O8345" s="6" t="s">
        <v>704</v>
      </c>
      <c r="P8345" s="9" t="s">
        <v>33</v>
      </c>
      <c r="Q8345" s="9" t="s">
        <v>42</v>
      </c>
      <c r="R8345" s="9" t="s">
        <v>210</v>
      </c>
      <c r="S8345" s="7" t="s">
        <v>214</v>
      </c>
      <c r="T8345" s="9" t="s">
        <v>48</v>
      </c>
      <c r="U8345" s="7">
        <v>0.38</v>
      </c>
      <c r="V8345" s="12">
        <f>C8345+2</f>
        <v>40942</v>
      </c>
      <c r="W8345">
        <f>IF(D8345=' Pivot Tables'!$A$4,1,0)</f>
        <v>0</v>
      </c>
      <c r="X8345">
        <f>IF(AND(LEFT(D8345,4)+1=LEFT(' Pivot Tables'!$A$4,4)+0,RIGHT(LEFT(D8345,7),2)=RIGHT(LEFT(' Pivot Tables'!$A$4,7),2)),1,0)</f>
        <v>0</v>
      </c>
      <c r="Y8345" s="6">
        <f>1/COUNTIF(Таблица1[Order ID],Таблица1[[#This Row],[Order ID]])</f>
        <v>1</v>
      </c>
      <c r="Z8345" s="9">
        <f>1/COUNTIFS(Таблица1[Customer Name],Таблица1[[#This Row],[Customer Name]],Таблица1[Order-Year-Month],Таблица1[[#This Row],[Order-Year-Month]])</f>
        <v>1</v>
      </c>
    </row>
    <row r="8346" spans="1:26" x14ac:dyDescent="0.2">
      <c r="A8346" s="6">
        <v>7090</v>
      </c>
      <c r="B8346" s="7">
        <v>50594</v>
      </c>
      <c r="C8346" s="8">
        <f>DATE(2012,12,31)-959</f>
        <v>40315</v>
      </c>
      <c r="D8346" s="8" t="str">
        <f t="shared" si="159"/>
        <v>2010-05 (май 2010)</v>
      </c>
      <c r="E8346" s="9" t="s">
        <v>21</v>
      </c>
      <c r="F8346" s="7">
        <v>39</v>
      </c>
      <c r="G8346" s="7">
        <v>173.47</v>
      </c>
      <c r="H8346" s="7">
        <v>0.05</v>
      </c>
      <c r="I8346" s="9" t="s">
        <v>22</v>
      </c>
      <c r="J8346" s="10">
        <v>-4.96</v>
      </c>
      <c r="K8346" s="11">
        <v>4.63</v>
      </c>
      <c r="L8346" s="11">
        <v>1.93</v>
      </c>
      <c r="M8346" s="9" t="s">
        <v>2128</v>
      </c>
      <c r="N8346" s="6" t="s">
        <v>2073</v>
      </c>
      <c r="O8346" s="6" t="s">
        <v>704</v>
      </c>
      <c r="P8346" s="9" t="s">
        <v>33</v>
      </c>
      <c r="Q8346" s="9" t="s">
        <v>26</v>
      </c>
      <c r="R8346" s="9" t="s">
        <v>95</v>
      </c>
      <c r="S8346" s="7" t="s">
        <v>1392</v>
      </c>
      <c r="T8346" s="9" t="s">
        <v>68</v>
      </c>
      <c r="U8346" s="7">
        <v>0.52</v>
      </c>
      <c r="V8346" s="12">
        <f>C8346+2</f>
        <v>40317</v>
      </c>
      <c r="W8346">
        <f>IF(D8346=' Pivot Tables'!$A$4,1,0)</f>
        <v>0</v>
      </c>
      <c r="X8346">
        <f>IF(AND(LEFT(D8346,4)+1=LEFT(' Pivot Tables'!$A$4,4)+0,RIGHT(LEFT(D8346,7),2)=RIGHT(LEFT(' Pivot Tables'!$A$4,7),2)),1,0)</f>
        <v>0</v>
      </c>
      <c r="Y8346" s="6">
        <f>1/COUNTIF(Таблица1[Order ID],Таблица1[[#This Row],[Order ID]])</f>
        <v>0.5</v>
      </c>
      <c r="Z8346" s="9">
        <f>1/COUNTIFS(Таблица1[Customer Name],Таблица1[[#This Row],[Customer Name]],Таблица1[Order-Year-Month],Таблица1[[#This Row],[Order-Year-Month]])</f>
        <v>0.5</v>
      </c>
    </row>
    <row r="8347" spans="1:26" x14ac:dyDescent="0.2">
      <c r="A8347" s="6">
        <v>7091</v>
      </c>
      <c r="B8347" s="7">
        <v>50594</v>
      </c>
      <c r="C8347" s="8">
        <f>DATE(2012,12,31)-959</f>
        <v>40315</v>
      </c>
      <c r="D8347" s="8" t="str">
        <f t="shared" si="159"/>
        <v>2010-05 (май 2010)</v>
      </c>
      <c r="E8347" s="9" t="s">
        <v>21</v>
      </c>
      <c r="F8347" s="7">
        <v>48</v>
      </c>
      <c r="G8347" s="7">
        <v>2832.88</v>
      </c>
      <c r="H8347" s="7">
        <v>0.01</v>
      </c>
      <c r="I8347" s="9" t="s">
        <v>22</v>
      </c>
      <c r="J8347" s="10">
        <v>668.96100000000001</v>
      </c>
      <c r="K8347" s="11">
        <v>65.989999999999995</v>
      </c>
      <c r="L8347" s="11">
        <v>8.8000000000000007</v>
      </c>
      <c r="M8347" s="9" t="s">
        <v>2128</v>
      </c>
      <c r="N8347" s="6" t="s">
        <v>2073</v>
      </c>
      <c r="O8347" s="6" t="s">
        <v>704</v>
      </c>
      <c r="P8347" s="9" t="s">
        <v>33</v>
      </c>
      <c r="Q8347" s="9" t="s">
        <v>42</v>
      </c>
      <c r="R8347" s="9" t="s">
        <v>43</v>
      </c>
      <c r="S8347" s="7" t="s">
        <v>1132</v>
      </c>
      <c r="T8347" s="9" t="s">
        <v>39</v>
      </c>
      <c r="U8347" s="7">
        <v>0.57999999999999996</v>
      </c>
      <c r="V8347" s="12">
        <f>C8347+9</f>
        <v>40324</v>
      </c>
      <c r="W8347">
        <f>IF(D8347=' Pivot Tables'!$A$4,1,0)</f>
        <v>0</v>
      </c>
      <c r="X8347">
        <f>IF(AND(LEFT(D8347,4)+1=LEFT(' Pivot Tables'!$A$4,4)+0,RIGHT(LEFT(D8347,7),2)=RIGHT(LEFT(' Pivot Tables'!$A$4,7),2)),1,0)</f>
        <v>0</v>
      </c>
      <c r="Y8347" s="6">
        <f>1/COUNTIF(Таблица1[Order ID],Таблица1[[#This Row],[Order ID]])</f>
        <v>0.5</v>
      </c>
      <c r="Z8347" s="9">
        <f>1/COUNTIFS(Таблица1[Customer Name],Таблица1[[#This Row],[Customer Name]],Таблица1[Order-Year-Month],Таблица1[[#This Row],[Order-Year-Month]])</f>
        <v>0.5</v>
      </c>
    </row>
    <row r="8348" spans="1:26" x14ac:dyDescent="0.2">
      <c r="A8348" s="6">
        <v>7109</v>
      </c>
      <c r="B8348" s="7">
        <v>50726</v>
      </c>
      <c r="C8348" s="8">
        <f>DATE(2012,12,31)-427</f>
        <v>40847</v>
      </c>
      <c r="D8348" s="8" t="str">
        <f t="shared" si="159"/>
        <v>2011-10 (октябрь 2011)</v>
      </c>
      <c r="E8348" s="9" t="s">
        <v>21</v>
      </c>
      <c r="F8348" s="7">
        <v>45</v>
      </c>
      <c r="G8348" s="7">
        <v>9248.74</v>
      </c>
      <c r="H8348" s="7">
        <v>0</v>
      </c>
      <c r="I8348" s="9" t="s">
        <v>31</v>
      </c>
      <c r="J8348" s="10">
        <v>2532</v>
      </c>
      <c r="K8348" s="11">
        <v>200.98</v>
      </c>
      <c r="L8348" s="11">
        <v>23.76</v>
      </c>
      <c r="M8348" s="9" t="s">
        <v>2118</v>
      </c>
      <c r="N8348" s="6" t="s">
        <v>2073</v>
      </c>
      <c r="O8348" s="6" t="s">
        <v>704</v>
      </c>
      <c r="P8348" s="9" t="s">
        <v>41</v>
      </c>
      <c r="Q8348" s="9" t="s">
        <v>49</v>
      </c>
      <c r="R8348" s="9" t="s">
        <v>112</v>
      </c>
      <c r="S8348" s="7" t="s">
        <v>441</v>
      </c>
      <c r="T8348" s="9" t="s">
        <v>36</v>
      </c>
      <c r="U8348" s="7">
        <v>0.57999999999999996</v>
      </c>
      <c r="V8348" s="12">
        <f>C8348+4</f>
        <v>40851</v>
      </c>
      <c r="W8348">
        <f>IF(D8348=' Pivot Tables'!$A$4,1,0)</f>
        <v>0</v>
      </c>
      <c r="X8348">
        <f>IF(AND(LEFT(D8348,4)+1=LEFT(' Pivot Tables'!$A$4,4)+0,RIGHT(LEFT(D8348,7),2)=RIGHT(LEFT(' Pivot Tables'!$A$4,7),2)),1,0)</f>
        <v>0</v>
      </c>
      <c r="Y8348" s="6">
        <f>1/COUNTIF(Таблица1[Order ID],Таблица1[[#This Row],[Order ID]])</f>
        <v>0.5</v>
      </c>
      <c r="Z8348" s="9">
        <f>1/COUNTIFS(Таблица1[Customer Name],Таблица1[[#This Row],[Customer Name]],Таблица1[Order-Year-Month],Таблица1[[#This Row],[Order-Year-Month]])</f>
        <v>0.5</v>
      </c>
    </row>
    <row r="8349" spans="1:26" x14ac:dyDescent="0.2">
      <c r="A8349" s="6">
        <v>7110</v>
      </c>
      <c r="B8349" s="7">
        <v>50726</v>
      </c>
      <c r="C8349" s="8">
        <f>DATE(2012,12,31)-427</f>
        <v>40847</v>
      </c>
      <c r="D8349" s="8" t="str">
        <f t="shared" si="159"/>
        <v>2011-10 (октябрь 2011)</v>
      </c>
      <c r="E8349" s="9" t="s">
        <v>21</v>
      </c>
      <c r="F8349" s="7">
        <v>21</v>
      </c>
      <c r="G8349" s="7">
        <v>98.88</v>
      </c>
      <c r="H8349" s="7">
        <v>7.0000000000000007E-2</v>
      </c>
      <c r="I8349" s="9" t="s">
        <v>56</v>
      </c>
      <c r="J8349" s="10">
        <v>36.01</v>
      </c>
      <c r="K8349" s="11">
        <v>4.13</v>
      </c>
      <c r="L8349" s="11">
        <v>0.99</v>
      </c>
      <c r="M8349" s="9" t="s">
        <v>2118</v>
      </c>
      <c r="N8349" s="6" t="s">
        <v>2073</v>
      </c>
      <c r="O8349" s="6" t="s">
        <v>704</v>
      </c>
      <c r="P8349" s="9" t="s">
        <v>41</v>
      </c>
      <c r="Q8349" s="9" t="s">
        <v>26</v>
      </c>
      <c r="R8349" s="9" t="s">
        <v>88</v>
      </c>
      <c r="S8349" s="7" t="s">
        <v>492</v>
      </c>
      <c r="T8349" s="9" t="s">
        <v>39</v>
      </c>
      <c r="U8349" s="7">
        <v>0.39</v>
      </c>
      <c r="V8349" s="12">
        <f>C8349+0</f>
        <v>40847</v>
      </c>
      <c r="W8349">
        <f>IF(D8349=' Pivot Tables'!$A$4,1,0)</f>
        <v>0</v>
      </c>
      <c r="X8349">
        <f>IF(AND(LEFT(D8349,4)+1=LEFT(' Pivot Tables'!$A$4,4)+0,RIGHT(LEFT(D8349,7),2)=RIGHT(LEFT(' Pivot Tables'!$A$4,7),2)),1,0)</f>
        <v>0</v>
      </c>
      <c r="Y8349" s="6">
        <f>1/COUNTIF(Таблица1[Order ID],Таблица1[[#This Row],[Order ID]])</f>
        <v>0.5</v>
      </c>
      <c r="Z8349" s="9">
        <f>1/COUNTIFS(Таблица1[Customer Name],Таблица1[[#This Row],[Customer Name]],Таблица1[Order-Year-Month],Таблица1[[#This Row],[Order-Year-Month]])</f>
        <v>0.5</v>
      </c>
    </row>
    <row r="8350" spans="1:26" x14ac:dyDescent="0.2">
      <c r="A8350" s="6">
        <v>7119</v>
      </c>
      <c r="B8350" s="7">
        <v>50790</v>
      </c>
      <c r="C8350" s="8">
        <f>DATE(2012,12,31)-534</f>
        <v>40740</v>
      </c>
      <c r="D8350" s="8" t="str">
        <f t="shared" si="159"/>
        <v>2011-07 (июль 2011)</v>
      </c>
      <c r="E8350" s="9" t="s">
        <v>78</v>
      </c>
      <c r="F8350" s="7">
        <v>47</v>
      </c>
      <c r="G8350" s="7">
        <v>255.65</v>
      </c>
      <c r="H8350" s="7">
        <v>0</v>
      </c>
      <c r="I8350" s="9" t="s">
        <v>22</v>
      </c>
      <c r="J8350" s="10">
        <v>-148.80000000000001</v>
      </c>
      <c r="K8350" s="11">
        <v>4.97</v>
      </c>
      <c r="L8350" s="11">
        <v>5.71</v>
      </c>
      <c r="M8350" s="9" t="s">
        <v>2126</v>
      </c>
      <c r="N8350" s="6" t="s">
        <v>2073</v>
      </c>
      <c r="O8350" s="6" t="s">
        <v>704</v>
      </c>
      <c r="P8350" s="9" t="s">
        <v>60</v>
      </c>
      <c r="Q8350" s="9" t="s">
        <v>49</v>
      </c>
      <c r="R8350" s="9" t="s">
        <v>50</v>
      </c>
      <c r="S8350" s="7" t="s">
        <v>1634</v>
      </c>
      <c r="T8350" s="9" t="s">
        <v>48</v>
      </c>
      <c r="U8350" s="7">
        <v>0.54</v>
      </c>
      <c r="V8350" s="12">
        <f>C8350+2</f>
        <v>40742</v>
      </c>
      <c r="W8350">
        <f>IF(D8350=' Pivot Tables'!$A$4,1,0)</f>
        <v>0</v>
      </c>
      <c r="X8350">
        <f>IF(AND(LEFT(D8350,4)+1=LEFT(' Pivot Tables'!$A$4,4)+0,RIGHT(LEFT(D8350,7),2)=RIGHT(LEFT(' Pivot Tables'!$A$4,7),2)),1,0)</f>
        <v>0</v>
      </c>
      <c r="Y8350" s="6">
        <f>1/COUNTIF(Таблица1[Order ID],Таблица1[[#This Row],[Order ID]])</f>
        <v>1</v>
      </c>
      <c r="Z8350" s="9">
        <f>1/COUNTIFS(Таблица1[Customer Name],Таблица1[[#This Row],[Customer Name]],Таблица1[Order-Year-Month],Таблица1[[#This Row],[Order-Year-Month]])</f>
        <v>1</v>
      </c>
    </row>
    <row r="8351" spans="1:26" x14ac:dyDescent="0.2">
      <c r="A8351" s="6">
        <v>7206</v>
      </c>
      <c r="B8351" s="7">
        <v>51424</v>
      </c>
      <c r="C8351" s="8">
        <f>DATE(2012,12,31)-357</f>
        <v>40917</v>
      </c>
      <c r="D8351" s="8" t="str">
        <f t="shared" si="159"/>
        <v>2012-01 (январь 2012)</v>
      </c>
      <c r="E8351" s="9" t="s">
        <v>45</v>
      </c>
      <c r="F8351" s="7">
        <v>48</v>
      </c>
      <c r="G8351" s="7">
        <v>113.98</v>
      </c>
      <c r="H8351" s="7">
        <v>0.1</v>
      </c>
      <c r="I8351" s="9" t="s">
        <v>22</v>
      </c>
      <c r="J8351" s="10">
        <v>21.29</v>
      </c>
      <c r="K8351" s="11">
        <v>2.62</v>
      </c>
      <c r="L8351" s="11">
        <v>0.8</v>
      </c>
      <c r="M8351" s="9" t="s">
        <v>1701</v>
      </c>
      <c r="N8351" s="6" t="s">
        <v>2073</v>
      </c>
      <c r="O8351" s="6" t="s">
        <v>704</v>
      </c>
      <c r="P8351" s="9" t="s">
        <v>60</v>
      </c>
      <c r="Q8351" s="9" t="s">
        <v>26</v>
      </c>
      <c r="R8351" s="9" t="s">
        <v>66</v>
      </c>
      <c r="S8351" s="7" t="s">
        <v>861</v>
      </c>
      <c r="T8351" s="9" t="s">
        <v>68</v>
      </c>
      <c r="U8351" s="7">
        <v>0.39</v>
      </c>
      <c r="V8351" s="12">
        <f>C8351+1</f>
        <v>40918</v>
      </c>
      <c r="W8351">
        <f>IF(D8351=' Pivot Tables'!$A$4,1,0)</f>
        <v>0</v>
      </c>
      <c r="X8351">
        <f>IF(AND(LEFT(D8351,4)+1=LEFT(' Pivot Tables'!$A$4,4)+0,RIGHT(LEFT(D8351,7),2)=RIGHT(LEFT(' Pivot Tables'!$A$4,7),2)),1,0)</f>
        <v>0</v>
      </c>
      <c r="Y8351" s="6">
        <f>1/COUNTIF(Таблица1[Order ID],Таблица1[[#This Row],[Order ID]])</f>
        <v>0.5</v>
      </c>
      <c r="Z8351" s="9">
        <f>1/COUNTIFS(Таблица1[Customer Name],Таблица1[[#This Row],[Customer Name]],Таблица1[Order-Year-Month],Таблица1[[#This Row],[Order-Year-Month]])</f>
        <v>0.5</v>
      </c>
    </row>
    <row r="8352" spans="1:26" x14ac:dyDescent="0.2">
      <c r="A8352" s="6">
        <v>7207</v>
      </c>
      <c r="B8352" s="7">
        <v>51424</v>
      </c>
      <c r="C8352" s="8">
        <f>DATE(2012,12,31)-357</f>
        <v>40917</v>
      </c>
      <c r="D8352" s="8" t="str">
        <f t="shared" si="159"/>
        <v>2012-01 (январь 2012)</v>
      </c>
      <c r="E8352" s="9" t="s">
        <v>45</v>
      </c>
      <c r="F8352" s="7">
        <v>5</v>
      </c>
      <c r="G8352" s="7">
        <v>88.94</v>
      </c>
      <c r="H8352" s="7">
        <v>0.05</v>
      </c>
      <c r="I8352" s="9" t="s">
        <v>22</v>
      </c>
      <c r="J8352" s="10">
        <v>-47.54</v>
      </c>
      <c r="K8352" s="11">
        <v>16.739999999999998</v>
      </c>
      <c r="L8352" s="11">
        <v>7.04</v>
      </c>
      <c r="M8352" s="9" t="s">
        <v>1701</v>
      </c>
      <c r="N8352" s="6" t="s">
        <v>2073</v>
      </c>
      <c r="O8352" s="6" t="s">
        <v>704</v>
      </c>
      <c r="P8352" s="9" t="s">
        <v>60</v>
      </c>
      <c r="Q8352" s="9" t="s">
        <v>26</v>
      </c>
      <c r="R8352" s="9" t="s">
        <v>27</v>
      </c>
      <c r="S8352" s="7" t="s">
        <v>1441</v>
      </c>
      <c r="T8352" s="9" t="s">
        <v>39</v>
      </c>
      <c r="U8352" s="7">
        <v>0.81</v>
      </c>
      <c r="V8352" s="12">
        <f>C8352+2</f>
        <v>40919</v>
      </c>
      <c r="W8352">
        <f>IF(D8352=' Pivot Tables'!$A$4,1,0)</f>
        <v>0</v>
      </c>
      <c r="X8352">
        <f>IF(AND(LEFT(D8352,4)+1=LEFT(' Pivot Tables'!$A$4,4)+0,RIGHT(LEFT(D8352,7),2)=RIGHT(LEFT(' Pivot Tables'!$A$4,7),2)),1,0)</f>
        <v>0</v>
      </c>
      <c r="Y8352" s="6">
        <f>1/COUNTIF(Таблица1[Order ID],Таблица1[[#This Row],[Order ID]])</f>
        <v>0.5</v>
      </c>
      <c r="Z8352" s="9">
        <f>1/COUNTIFS(Таблица1[Customer Name],Таблица1[[#This Row],[Customer Name]],Таблица1[Order-Year-Month],Таблица1[[#This Row],[Order-Year-Month]])</f>
        <v>0.5</v>
      </c>
    </row>
    <row r="8353" spans="1:26" x14ac:dyDescent="0.2">
      <c r="A8353" s="6">
        <v>7268</v>
      </c>
      <c r="B8353" s="7">
        <v>51872</v>
      </c>
      <c r="C8353" s="8">
        <f>DATE(2012,12,31)-252</f>
        <v>41022</v>
      </c>
      <c r="D8353" s="8" t="str">
        <f t="shared" si="159"/>
        <v>2012-04 (апрель 2012)</v>
      </c>
      <c r="E8353" s="9" t="s">
        <v>63</v>
      </c>
      <c r="F8353" s="7">
        <v>10</v>
      </c>
      <c r="G8353" s="7">
        <v>2193.9299999999998</v>
      </c>
      <c r="H8353" s="7">
        <v>0.09</v>
      </c>
      <c r="I8353" s="9" t="s">
        <v>22</v>
      </c>
      <c r="J8353" s="10">
        <v>41.83</v>
      </c>
      <c r="K8353" s="11">
        <v>238.4</v>
      </c>
      <c r="L8353" s="11">
        <v>24.49</v>
      </c>
      <c r="M8353" s="9" t="s">
        <v>2128</v>
      </c>
      <c r="N8353" s="6" t="s">
        <v>2073</v>
      </c>
      <c r="O8353" s="6" t="s">
        <v>704</v>
      </c>
      <c r="P8353" s="9" t="s">
        <v>33</v>
      </c>
      <c r="Q8353" s="9" t="s">
        <v>49</v>
      </c>
      <c r="R8353" s="9" t="s">
        <v>112</v>
      </c>
      <c r="S8353" s="7" t="s">
        <v>618</v>
      </c>
      <c r="T8353" s="9" t="s">
        <v>29</v>
      </c>
      <c r="U8353" s="7"/>
      <c r="V8353" s="12">
        <f>C8353+1</f>
        <v>41023</v>
      </c>
      <c r="W8353">
        <f>IF(D8353=' Pivot Tables'!$A$4,1,0)</f>
        <v>0</v>
      </c>
      <c r="X8353">
        <f>IF(AND(LEFT(D8353,4)+1=LEFT(' Pivot Tables'!$A$4,4)+0,RIGHT(LEFT(D8353,7),2)=RIGHT(LEFT(' Pivot Tables'!$A$4,7),2)),1,0)</f>
        <v>0</v>
      </c>
      <c r="Y8353" s="6">
        <f>1/COUNTIF(Таблица1[Order ID],Таблица1[[#This Row],[Order ID]])</f>
        <v>0.33333333333333331</v>
      </c>
      <c r="Z8353" s="9">
        <f>1/COUNTIFS(Таблица1[Customer Name],Таблица1[[#This Row],[Customer Name]],Таблица1[Order-Year-Month],Таблица1[[#This Row],[Order-Year-Month]])</f>
        <v>0.33333333333333331</v>
      </c>
    </row>
    <row r="8354" spans="1:26" x14ac:dyDescent="0.2">
      <c r="A8354" s="6">
        <v>7269</v>
      </c>
      <c r="B8354" s="7">
        <v>51872</v>
      </c>
      <c r="C8354" s="8">
        <f>DATE(2012,12,31)-252</f>
        <v>41022</v>
      </c>
      <c r="D8354" s="8" t="str">
        <f t="shared" si="159"/>
        <v>2012-04 (апрель 2012)</v>
      </c>
      <c r="E8354" s="9" t="s">
        <v>63</v>
      </c>
      <c r="F8354" s="7">
        <v>11</v>
      </c>
      <c r="G8354" s="7">
        <v>812.49799999999993</v>
      </c>
      <c r="H8354" s="7">
        <v>0</v>
      </c>
      <c r="I8354" s="9" t="s">
        <v>56</v>
      </c>
      <c r="J8354" s="10">
        <v>128.952</v>
      </c>
      <c r="K8354" s="11">
        <v>85.99</v>
      </c>
      <c r="L8354" s="11">
        <v>1.25</v>
      </c>
      <c r="M8354" s="9" t="s">
        <v>2128</v>
      </c>
      <c r="N8354" s="6" t="s">
        <v>2073</v>
      </c>
      <c r="O8354" s="6" t="s">
        <v>704</v>
      </c>
      <c r="P8354" s="9" t="s">
        <v>33</v>
      </c>
      <c r="Q8354" s="9" t="s">
        <v>42</v>
      </c>
      <c r="R8354" s="9" t="s">
        <v>43</v>
      </c>
      <c r="S8354" s="7" t="s">
        <v>438</v>
      </c>
      <c r="T8354" s="9" t="s">
        <v>52</v>
      </c>
      <c r="U8354" s="7">
        <v>0.39</v>
      </c>
      <c r="V8354" s="12">
        <f>C8354+2</f>
        <v>41024</v>
      </c>
      <c r="W8354">
        <f>IF(D8354=' Pivot Tables'!$A$4,1,0)</f>
        <v>0</v>
      </c>
      <c r="X8354">
        <f>IF(AND(LEFT(D8354,4)+1=LEFT(' Pivot Tables'!$A$4,4)+0,RIGHT(LEFT(D8354,7),2)=RIGHT(LEFT(' Pivot Tables'!$A$4,7),2)),1,0)</f>
        <v>0</v>
      </c>
      <c r="Y8354" s="6">
        <f>1/COUNTIF(Таблица1[Order ID],Таблица1[[#This Row],[Order ID]])</f>
        <v>0.33333333333333331</v>
      </c>
      <c r="Z8354" s="9">
        <f>1/COUNTIFS(Таблица1[Customer Name],Таблица1[[#This Row],[Customer Name]],Таблица1[Order-Year-Month],Таблица1[[#This Row],[Order-Year-Month]])</f>
        <v>0.33333333333333331</v>
      </c>
    </row>
    <row r="8355" spans="1:26" x14ac:dyDescent="0.2">
      <c r="A8355" s="6">
        <v>7270</v>
      </c>
      <c r="B8355" s="7">
        <v>51872</v>
      </c>
      <c r="C8355" s="8">
        <f>DATE(2012,12,31)-252</f>
        <v>41022</v>
      </c>
      <c r="D8355" s="8" t="str">
        <f t="shared" si="159"/>
        <v>2012-04 (апрель 2012)</v>
      </c>
      <c r="E8355" s="9" t="s">
        <v>63</v>
      </c>
      <c r="F8355" s="7">
        <v>37</v>
      </c>
      <c r="G8355" s="7">
        <v>4657.6514999999999</v>
      </c>
      <c r="H8355" s="7">
        <v>0.06</v>
      </c>
      <c r="I8355" s="9" t="s">
        <v>22</v>
      </c>
      <c r="J8355" s="10">
        <v>1242.846</v>
      </c>
      <c r="K8355" s="11">
        <v>155.99</v>
      </c>
      <c r="L8355" s="11">
        <v>3.9</v>
      </c>
      <c r="M8355" s="9" t="s">
        <v>2128</v>
      </c>
      <c r="N8355" s="6" t="s">
        <v>2073</v>
      </c>
      <c r="O8355" s="6" t="s">
        <v>704</v>
      </c>
      <c r="P8355" s="9" t="s">
        <v>33</v>
      </c>
      <c r="Q8355" s="9" t="s">
        <v>42</v>
      </c>
      <c r="R8355" s="9" t="s">
        <v>43</v>
      </c>
      <c r="S8355" s="7" t="s">
        <v>257</v>
      </c>
      <c r="T8355" s="9" t="s">
        <v>39</v>
      </c>
      <c r="U8355" s="7">
        <v>0.55000000000000004</v>
      </c>
      <c r="V8355" s="12">
        <f>C8355+3</f>
        <v>41025</v>
      </c>
      <c r="W8355">
        <f>IF(D8355=' Pivot Tables'!$A$4,1,0)</f>
        <v>0</v>
      </c>
      <c r="X8355">
        <f>IF(AND(LEFT(D8355,4)+1=LEFT(' Pivot Tables'!$A$4,4)+0,RIGHT(LEFT(D8355,7),2)=RIGHT(LEFT(' Pivot Tables'!$A$4,7),2)),1,0)</f>
        <v>0</v>
      </c>
      <c r="Y8355" s="6">
        <f>1/COUNTIF(Таблица1[Order ID],Таблица1[[#This Row],[Order ID]])</f>
        <v>0.33333333333333331</v>
      </c>
      <c r="Z8355" s="9">
        <f>1/COUNTIFS(Таблица1[Customer Name],Таблица1[[#This Row],[Customer Name]],Таблица1[Order-Year-Month],Таблица1[[#This Row],[Order-Year-Month]])</f>
        <v>0.33333333333333331</v>
      </c>
    </row>
    <row r="8356" spans="1:26" x14ac:dyDescent="0.2">
      <c r="A8356" s="6">
        <v>7331</v>
      </c>
      <c r="B8356" s="7">
        <v>52230</v>
      </c>
      <c r="C8356" s="8">
        <f>DATE(2012,12,31)-123</f>
        <v>41151</v>
      </c>
      <c r="D8356" s="8" t="str">
        <f t="shared" si="159"/>
        <v>2012-08 (август 2012)</v>
      </c>
      <c r="E8356" s="9" t="s">
        <v>78</v>
      </c>
      <c r="F8356" s="7">
        <v>29</v>
      </c>
      <c r="G8356" s="7">
        <v>2700.78</v>
      </c>
      <c r="H8356" s="7">
        <v>0.06</v>
      </c>
      <c r="I8356" s="9" t="s">
        <v>31</v>
      </c>
      <c r="J8356" s="10">
        <v>-793.36</v>
      </c>
      <c r="K8356" s="11">
        <v>95.98</v>
      </c>
      <c r="L8356" s="11">
        <v>58.2</v>
      </c>
      <c r="M8356" s="9" t="s">
        <v>2130</v>
      </c>
      <c r="N8356" s="6" t="s">
        <v>2073</v>
      </c>
      <c r="O8356" s="6" t="s">
        <v>704</v>
      </c>
      <c r="P8356" s="9" t="s">
        <v>33</v>
      </c>
      <c r="Q8356" s="9" t="s">
        <v>49</v>
      </c>
      <c r="R8356" s="9" t="s">
        <v>112</v>
      </c>
      <c r="S8356" s="7" t="s">
        <v>1321</v>
      </c>
      <c r="T8356" s="9" t="s">
        <v>36</v>
      </c>
      <c r="U8356" s="7">
        <v>0.57999999999999996</v>
      </c>
      <c r="V8356" s="12">
        <f>C8356+2</f>
        <v>41153</v>
      </c>
      <c r="W8356">
        <f>IF(D8356=' Pivot Tables'!$A$4,1,0)</f>
        <v>0</v>
      </c>
      <c r="X8356">
        <f>IF(AND(LEFT(D8356,4)+1=LEFT(' Pivot Tables'!$A$4,4)+0,RIGHT(LEFT(D8356,7),2)=RIGHT(LEFT(' Pivot Tables'!$A$4,7),2)),1,0)</f>
        <v>0</v>
      </c>
      <c r="Y8356" s="6">
        <f>1/COUNTIF(Таблица1[Order ID],Таблица1[[#This Row],[Order ID]])</f>
        <v>1</v>
      </c>
      <c r="Z8356" s="9">
        <f>1/COUNTIFS(Таблица1[Customer Name],Таблица1[[#This Row],[Customer Name]],Таблица1[Order-Year-Month],Таблица1[[#This Row],[Order-Year-Month]])</f>
        <v>1</v>
      </c>
    </row>
    <row r="8357" spans="1:26" x14ac:dyDescent="0.2">
      <c r="A8357" s="6">
        <v>7371</v>
      </c>
      <c r="B8357" s="7">
        <v>52518</v>
      </c>
      <c r="C8357" s="8">
        <f>DATE(2012,12,31)-272</f>
        <v>41002</v>
      </c>
      <c r="D8357" s="8" t="str">
        <f t="shared" si="159"/>
        <v>2012-04 (апрель 2012)</v>
      </c>
      <c r="E8357" s="9" t="s">
        <v>78</v>
      </c>
      <c r="F8357" s="7">
        <v>8</v>
      </c>
      <c r="G8357" s="7">
        <v>168.99</v>
      </c>
      <c r="H8357" s="7">
        <v>0.08</v>
      </c>
      <c r="I8357" s="9" t="s">
        <v>22</v>
      </c>
      <c r="J8357" s="10">
        <v>-47.37</v>
      </c>
      <c r="K8357" s="11">
        <v>20.95</v>
      </c>
      <c r="L8357" s="11">
        <v>4</v>
      </c>
      <c r="M8357" s="9" t="s">
        <v>2119</v>
      </c>
      <c r="N8357" s="6" t="s">
        <v>2073</v>
      </c>
      <c r="O8357" s="6" t="s">
        <v>704</v>
      </c>
      <c r="P8357" s="9" t="s">
        <v>33</v>
      </c>
      <c r="Q8357" s="9" t="s">
        <v>42</v>
      </c>
      <c r="R8357" s="9" t="s">
        <v>70</v>
      </c>
      <c r="S8357" s="7" t="s">
        <v>231</v>
      </c>
      <c r="T8357" s="9" t="s">
        <v>39</v>
      </c>
      <c r="U8357" s="7">
        <v>0.6</v>
      </c>
      <c r="V8357" s="12">
        <f>C8357+1</f>
        <v>41003</v>
      </c>
      <c r="W8357">
        <f>IF(D8357=' Pivot Tables'!$A$4,1,0)</f>
        <v>0</v>
      </c>
      <c r="X8357">
        <f>IF(AND(LEFT(D8357,4)+1=LEFT(' Pivot Tables'!$A$4,4)+0,RIGHT(LEFT(D8357,7),2)=RIGHT(LEFT(' Pivot Tables'!$A$4,7),2)),1,0)</f>
        <v>0</v>
      </c>
      <c r="Y8357" s="6">
        <f>1/COUNTIF(Таблица1[Order ID],Таблица1[[#This Row],[Order ID]])</f>
        <v>1</v>
      </c>
      <c r="Z8357" s="9">
        <f>1/COUNTIFS(Таблица1[Customer Name],Таблица1[[#This Row],[Customer Name]],Таблица1[Order-Year-Month],Таблица1[[#This Row],[Order-Year-Month]])</f>
        <v>0.5</v>
      </c>
    </row>
    <row r="8358" spans="1:26" x14ac:dyDescent="0.2">
      <c r="A8358" s="6">
        <v>7390</v>
      </c>
      <c r="B8358" s="7">
        <v>52673</v>
      </c>
      <c r="C8358" s="8">
        <f>DATE(2012,12,31)-237</f>
        <v>41037</v>
      </c>
      <c r="D8358" s="8" t="str">
        <f t="shared" si="159"/>
        <v>2012-05 (май 2012)</v>
      </c>
      <c r="E8358" s="9" t="s">
        <v>63</v>
      </c>
      <c r="F8358" s="7">
        <v>14</v>
      </c>
      <c r="G8358" s="7">
        <v>2045.066</v>
      </c>
      <c r="H8358" s="7">
        <v>7.0000000000000007E-2</v>
      </c>
      <c r="I8358" s="9" t="s">
        <v>22</v>
      </c>
      <c r="J8358" s="10">
        <v>-4.6749999999999998</v>
      </c>
      <c r="K8358" s="11">
        <v>175.99</v>
      </c>
      <c r="L8358" s="11">
        <v>8.99</v>
      </c>
      <c r="M8358" s="9" t="s">
        <v>2118</v>
      </c>
      <c r="N8358" s="6" t="s">
        <v>2073</v>
      </c>
      <c r="O8358" s="6" t="s">
        <v>704</v>
      </c>
      <c r="P8358" s="9" t="s">
        <v>41</v>
      </c>
      <c r="Q8358" s="9" t="s">
        <v>42</v>
      </c>
      <c r="R8358" s="9" t="s">
        <v>43</v>
      </c>
      <c r="S8358" s="7" t="s">
        <v>631</v>
      </c>
      <c r="T8358" s="9" t="s">
        <v>39</v>
      </c>
      <c r="U8358" s="7">
        <v>0.56999999999999995</v>
      </c>
      <c r="V8358" s="12">
        <f>C8358+1</f>
        <v>41038</v>
      </c>
      <c r="W8358">
        <f>IF(D8358=' Pivot Tables'!$A$4,1,0)</f>
        <v>0</v>
      </c>
      <c r="X8358">
        <f>IF(AND(LEFT(D8358,4)+1=LEFT(' Pivot Tables'!$A$4,4)+0,RIGHT(LEFT(D8358,7),2)=RIGHT(LEFT(' Pivot Tables'!$A$4,7),2)),1,0)</f>
        <v>0</v>
      </c>
      <c r="Y8358" s="6">
        <f>1/COUNTIF(Таблица1[Order ID],Таблица1[[#This Row],[Order ID]])</f>
        <v>0.5</v>
      </c>
      <c r="Z8358" s="9">
        <f>1/COUNTIFS(Таблица1[Customer Name],Таблица1[[#This Row],[Customer Name]],Таблица1[Order-Year-Month],Таблица1[[#This Row],[Order-Year-Month]])</f>
        <v>0.5</v>
      </c>
    </row>
    <row r="8359" spans="1:26" x14ac:dyDescent="0.2">
      <c r="A8359" s="6">
        <v>7391</v>
      </c>
      <c r="B8359" s="7">
        <v>52673</v>
      </c>
      <c r="C8359" s="8">
        <f>DATE(2012,12,31)-237</f>
        <v>41037</v>
      </c>
      <c r="D8359" s="8" t="str">
        <f t="shared" si="159"/>
        <v>2012-05 (май 2012)</v>
      </c>
      <c r="E8359" s="9" t="s">
        <v>63</v>
      </c>
      <c r="F8359" s="7">
        <v>4</v>
      </c>
      <c r="G8359" s="7">
        <v>26.41</v>
      </c>
      <c r="H8359" s="7">
        <v>0.05</v>
      </c>
      <c r="I8359" s="9" t="s">
        <v>22</v>
      </c>
      <c r="J8359" s="10">
        <v>-16.525500000000001</v>
      </c>
      <c r="K8359" s="11">
        <v>5.18</v>
      </c>
      <c r="L8359" s="11">
        <v>5.74</v>
      </c>
      <c r="M8359" s="9" t="s">
        <v>2118</v>
      </c>
      <c r="N8359" s="6" t="s">
        <v>2073</v>
      </c>
      <c r="O8359" s="6" t="s">
        <v>704</v>
      </c>
      <c r="P8359" s="9" t="s">
        <v>41</v>
      </c>
      <c r="Q8359" s="9" t="s">
        <v>26</v>
      </c>
      <c r="R8359" s="9" t="s">
        <v>37</v>
      </c>
      <c r="S8359" s="7" t="s">
        <v>606</v>
      </c>
      <c r="T8359" s="9" t="s">
        <v>39</v>
      </c>
      <c r="U8359" s="7">
        <v>0.36</v>
      </c>
      <c r="V8359" s="12">
        <f>C8359+2</f>
        <v>41039</v>
      </c>
      <c r="W8359">
        <f>IF(D8359=' Pivot Tables'!$A$4,1,0)</f>
        <v>0</v>
      </c>
      <c r="X8359">
        <f>IF(AND(LEFT(D8359,4)+1=LEFT(' Pivot Tables'!$A$4,4)+0,RIGHT(LEFT(D8359,7),2)=RIGHT(LEFT(' Pivot Tables'!$A$4,7),2)),1,0)</f>
        <v>0</v>
      </c>
      <c r="Y8359" s="6">
        <f>1/COUNTIF(Таблица1[Order ID],Таблица1[[#This Row],[Order ID]])</f>
        <v>0.5</v>
      </c>
      <c r="Z8359" s="9">
        <f>1/COUNTIFS(Таблица1[Customer Name],Таблица1[[#This Row],[Customer Name]],Таблица1[Order-Year-Month],Таблица1[[#This Row],[Order-Year-Month]])</f>
        <v>0.5</v>
      </c>
    </row>
    <row r="8360" spans="1:26" x14ac:dyDescent="0.2">
      <c r="A8360" s="6">
        <v>7438</v>
      </c>
      <c r="B8360" s="7">
        <v>53026</v>
      </c>
      <c r="C8360" s="8">
        <f>DATE(2012,12,31)-309</f>
        <v>40965</v>
      </c>
      <c r="D8360" s="8" t="str">
        <f t="shared" si="159"/>
        <v>2012-02 (февраль 2012)</v>
      </c>
      <c r="E8360" s="9" t="s">
        <v>21</v>
      </c>
      <c r="F8360" s="7">
        <v>35</v>
      </c>
      <c r="G8360" s="7">
        <v>322.82</v>
      </c>
      <c r="H8360" s="7">
        <v>0.05</v>
      </c>
      <c r="I8360" s="9" t="s">
        <v>22</v>
      </c>
      <c r="J8360" s="10">
        <v>-17.579999999999998</v>
      </c>
      <c r="K8360" s="11">
        <v>9.31</v>
      </c>
      <c r="L8360" s="11">
        <v>3.98</v>
      </c>
      <c r="M8360" s="9" t="s">
        <v>2130</v>
      </c>
      <c r="N8360" s="6" t="s">
        <v>2073</v>
      </c>
      <c r="O8360" s="6" t="s">
        <v>704</v>
      </c>
      <c r="P8360" s="9" t="s">
        <v>33</v>
      </c>
      <c r="Q8360" s="9" t="s">
        <v>26</v>
      </c>
      <c r="R8360" s="9" t="s">
        <v>150</v>
      </c>
      <c r="S8360" s="7" t="s">
        <v>1249</v>
      </c>
      <c r="T8360" s="9" t="s">
        <v>52</v>
      </c>
      <c r="U8360" s="7">
        <v>0.56000000000000005</v>
      </c>
      <c r="V8360" s="12">
        <f>C8360+6</f>
        <v>40971</v>
      </c>
      <c r="W8360">
        <f>IF(D8360=' Pivot Tables'!$A$4,1,0)</f>
        <v>0</v>
      </c>
      <c r="X8360">
        <f>IF(AND(LEFT(D8360,4)+1=LEFT(' Pivot Tables'!$A$4,4)+0,RIGHT(LEFT(D8360,7),2)=RIGHT(LEFT(' Pivot Tables'!$A$4,7),2)),1,0)</f>
        <v>0</v>
      </c>
      <c r="Y8360" s="6">
        <f>1/COUNTIF(Таблица1[Order ID],Таблица1[[#This Row],[Order ID]])</f>
        <v>1</v>
      </c>
      <c r="Z8360" s="9">
        <f>1/COUNTIFS(Таблица1[Customer Name],Таблица1[[#This Row],[Customer Name]],Таблица1[Order-Year-Month],Таблица1[[#This Row],[Order-Year-Month]])</f>
        <v>1</v>
      </c>
    </row>
    <row r="8361" spans="1:26" x14ac:dyDescent="0.2">
      <c r="A8361" s="6">
        <v>7549</v>
      </c>
      <c r="B8361" s="7">
        <v>54019</v>
      </c>
      <c r="C8361" s="8">
        <f>DATE(2012,12,31)-1279</f>
        <v>39995</v>
      </c>
      <c r="D8361" s="8" t="str">
        <f t="shared" si="159"/>
        <v>2009-07 (июль 2009)</v>
      </c>
      <c r="E8361" s="9" t="s">
        <v>21</v>
      </c>
      <c r="F8361" s="7">
        <v>35</v>
      </c>
      <c r="G8361" s="7">
        <v>4233.1499999999996</v>
      </c>
      <c r="H8361" s="7">
        <v>0.08</v>
      </c>
      <c r="I8361" s="9" t="s">
        <v>31</v>
      </c>
      <c r="J8361" s="10">
        <v>1219.8699999999999</v>
      </c>
      <c r="K8361" s="11">
        <v>120.97</v>
      </c>
      <c r="L8361" s="11">
        <v>26.3</v>
      </c>
      <c r="M8361" s="9" t="s">
        <v>126</v>
      </c>
      <c r="N8361" s="6" t="s">
        <v>2073</v>
      </c>
      <c r="O8361" s="6" t="s">
        <v>704</v>
      </c>
      <c r="P8361" s="9" t="s">
        <v>41</v>
      </c>
      <c r="Q8361" s="9" t="s">
        <v>42</v>
      </c>
      <c r="R8361" s="9" t="s">
        <v>210</v>
      </c>
      <c r="S8361" s="7" t="s">
        <v>487</v>
      </c>
      <c r="T8361" s="9" t="s">
        <v>36</v>
      </c>
      <c r="U8361" s="7">
        <v>0.38</v>
      </c>
      <c r="V8361" s="12">
        <f>C8361+7</f>
        <v>40002</v>
      </c>
      <c r="W8361">
        <f>IF(D8361=' Pivot Tables'!$A$4,1,0)</f>
        <v>0</v>
      </c>
      <c r="X8361">
        <f>IF(AND(LEFT(D8361,4)+1=LEFT(' Pivot Tables'!$A$4,4)+0,RIGHT(LEFT(D8361,7),2)=RIGHT(LEFT(' Pivot Tables'!$A$4,7),2)),1,0)</f>
        <v>0</v>
      </c>
      <c r="Y8361" s="6">
        <f>1/COUNTIF(Таблица1[Order ID],Таблица1[[#This Row],[Order ID]])</f>
        <v>1</v>
      </c>
      <c r="Z8361" s="9">
        <f>1/COUNTIFS(Таблица1[Customer Name],Таблица1[[#This Row],[Customer Name]],Таблица1[Order-Year-Month],Таблица1[[#This Row],[Order-Year-Month]])</f>
        <v>0.5</v>
      </c>
    </row>
    <row r="8362" spans="1:26" x14ac:dyDescent="0.2">
      <c r="A8362" s="6">
        <v>7658</v>
      </c>
      <c r="B8362" s="7">
        <v>54913</v>
      </c>
      <c r="C8362" s="8">
        <f>DATE(2012,12,31)-912</f>
        <v>40362</v>
      </c>
      <c r="D8362" s="8" t="str">
        <f t="shared" si="159"/>
        <v>2010-07 (июль 2010)</v>
      </c>
      <c r="E8362" s="9" t="s">
        <v>30</v>
      </c>
      <c r="F8362" s="7">
        <v>11</v>
      </c>
      <c r="G8362" s="7">
        <v>54.61</v>
      </c>
      <c r="H8362" s="7">
        <v>0.08</v>
      </c>
      <c r="I8362" s="9" t="s">
        <v>56</v>
      </c>
      <c r="J8362" s="10">
        <v>14.99</v>
      </c>
      <c r="K8362" s="11">
        <v>4.76</v>
      </c>
      <c r="L8362" s="11">
        <v>0.88</v>
      </c>
      <c r="M8362" s="9" t="s">
        <v>2125</v>
      </c>
      <c r="N8362" s="6" t="s">
        <v>2073</v>
      </c>
      <c r="O8362" s="6" t="s">
        <v>704</v>
      </c>
      <c r="P8362" s="9" t="s">
        <v>33</v>
      </c>
      <c r="Q8362" s="9" t="s">
        <v>26</v>
      </c>
      <c r="R8362" s="9" t="s">
        <v>61</v>
      </c>
      <c r="S8362" s="7" t="s">
        <v>726</v>
      </c>
      <c r="T8362" s="9" t="s">
        <v>68</v>
      </c>
      <c r="U8362" s="7">
        <v>0.39</v>
      </c>
      <c r="V8362" s="12">
        <f>C8362+2</f>
        <v>40364</v>
      </c>
      <c r="W8362">
        <f>IF(D8362=' Pivot Tables'!$A$4,1,0)</f>
        <v>0</v>
      </c>
      <c r="X8362">
        <f>IF(AND(LEFT(D8362,4)+1=LEFT(' Pivot Tables'!$A$4,4)+0,RIGHT(LEFT(D8362,7),2)=RIGHT(LEFT(' Pivot Tables'!$A$4,7),2)),1,0)</f>
        <v>0</v>
      </c>
      <c r="Y8362" s="6">
        <f>1/COUNTIF(Таблица1[Order ID],Таблица1[[#This Row],[Order ID]])</f>
        <v>1</v>
      </c>
      <c r="Z8362" s="9">
        <f>1/COUNTIFS(Таблица1[Customer Name],Таблица1[[#This Row],[Customer Name]],Таблица1[Order-Year-Month],Таблица1[[#This Row],[Order-Year-Month]])</f>
        <v>1</v>
      </c>
    </row>
    <row r="8363" spans="1:26" x14ac:dyDescent="0.2">
      <c r="A8363" s="6">
        <v>7738</v>
      </c>
      <c r="B8363" s="7">
        <v>55424</v>
      </c>
      <c r="C8363" s="8">
        <f>DATE(2012,12,31)-1035</f>
        <v>40239</v>
      </c>
      <c r="D8363" s="8" t="str">
        <f t="shared" si="159"/>
        <v>2010-03 (март 2010)</v>
      </c>
      <c r="E8363" s="9" t="s">
        <v>63</v>
      </c>
      <c r="F8363" s="7">
        <v>6</v>
      </c>
      <c r="G8363" s="7">
        <v>25.84</v>
      </c>
      <c r="H8363" s="7">
        <v>0.04</v>
      </c>
      <c r="I8363" s="9" t="s">
        <v>56</v>
      </c>
      <c r="J8363" s="10">
        <v>-4.13</v>
      </c>
      <c r="K8363" s="11">
        <v>1.76</v>
      </c>
      <c r="L8363" s="11">
        <v>4.8600000000000003</v>
      </c>
      <c r="M8363" s="9" t="s">
        <v>2129</v>
      </c>
      <c r="N8363" s="6" t="s">
        <v>2073</v>
      </c>
      <c r="O8363" s="6" t="s">
        <v>704</v>
      </c>
      <c r="P8363" s="9" t="s">
        <v>25</v>
      </c>
      <c r="Q8363" s="9" t="s">
        <v>49</v>
      </c>
      <c r="R8363" s="9" t="s">
        <v>50</v>
      </c>
      <c r="S8363" s="7" t="s">
        <v>1607</v>
      </c>
      <c r="T8363" s="9" t="s">
        <v>39</v>
      </c>
      <c r="U8363" s="7">
        <v>0.41</v>
      </c>
      <c r="V8363" s="12">
        <f>C8363+2</f>
        <v>40241</v>
      </c>
      <c r="W8363">
        <f>IF(D8363=' Pivot Tables'!$A$4,1,0)</f>
        <v>0</v>
      </c>
      <c r="X8363">
        <f>IF(AND(LEFT(D8363,4)+1=LEFT(' Pivot Tables'!$A$4,4)+0,RIGHT(LEFT(D8363,7),2)=RIGHT(LEFT(' Pivot Tables'!$A$4,7),2)),1,0)</f>
        <v>0</v>
      </c>
      <c r="Y8363" s="6">
        <f>1/COUNTIF(Таблица1[Order ID],Таблица1[[#This Row],[Order ID]])</f>
        <v>1</v>
      </c>
      <c r="Z8363" s="9">
        <f>1/COUNTIFS(Таблица1[Customer Name],Таблица1[[#This Row],[Customer Name]],Таблица1[Order-Year-Month],Таблица1[[#This Row],[Order-Year-Month]])</f>
        <v>1</v>
      </c>
    </row>
    <row r="8364" spans="1:26" x14ac:dyDescent="0.2">
      <c r="A8364" s="6">
        <v>7812</v>
      </c>
      <c r="B8364" s="7">
        <v>55874</v>
      </c>
      <c r="C8364" s="8">
        <f>DATE(2012,12,31)-1414</f>
        <v>39860</v>
      </c>
      <c r="D8364" s="8" t="str">
        <f t="shared" si="159"/>
        <v>2009-02 (февраль 2009)</v>
      </c>
      <c r="E8364" s="9" t="s">
        <v>63</v>
      </c>
      <c r="F8364" s="7">
        <v>24</v>
      </c>
      <c r="G8364" s="7">
        <v>129.53</v>
      </c>
      <c r="H8364" s="7">
        <v>0.06</v>
      </c>
      <c r="I8364" s="9" t="s">
        <v>22</v>
      </c>
      <c r="J8364" s="10">
        <v>33.01</v>
      </c>
      <c r="K8364" s="11">
        <v>5.68</v>
      </c>
      <c r="L8364" s="11">
        <v>1.39</v>
      </c>
      <c r="M8364" s="9" t="s">
        <v>1403</v>
      </c>
      <c r="N8364" s="6" t="s">
        <v>2073</v>
      </c>
      <c r="O8364" s="6" t="s">
        <v>704</v>
      </c>
      <c r="P8364" s="9" t="s">
        <v>25</v>
      </c>
      <c r="Q8364" s="9" t="s">
        <v>26</v>
      </c>
      <c r="R8364" s="9" t="s">
        <v>76</v>
      </c>
      <c r="S8364" s="7" t="s">
        <v>620</v>
      </c>
      <c r="T8364" s="9" t="s">
        <v>39</v>
      </c>
      <c r="U8364" s="7">
        <v>0.38</v>
      </c>
      <c r="V8364" s="12">
        <f>C8364+0</f>
        <v>39860</v>
      </c>
      <c r="W8364">
        <f>IF(D8364=' Pivot Tables'!$A$4,1,0)</f>
        <v>0</v>
      </c>
      <c r="X8364">
        <f>IF(AND(LEFT(D8364,4)+1=LEFT(' Pivot Tables'!$A$4,4)+0,RIGHT(LEFT(D8364,7),2)=RIGHT(LEFT(' Pivot Tables'!$A$4,7),2)),1,0)</f>
        <v>0</v>
      </c>
      <c r="Y8364" s="6">
        <f>1/COUNTIF(Таблица1[Order ID],Таблица1[[#This Row],[Order ID]])</f>
        <v>0.33333333333333331</v>
      </c>
      <c r="Z8364" s="9">
        <f>1/COUNTIFS(Таблица1[Customer Name],Таблица1[[#This Row],[Customer Name]],Таблица1[Order-Year-Month],Таблица1[[#This Row],[Order-Year-Month]])</f>
        <v>0.33333333333333331</v>
      </c>
    </row>
    <row r="8365" spans="1:26" x14ac:dyDescent="0.2">
      <c r="A8365" s="6">
        <v>7878</v>
      </c>
      <c r="B8365" s="7">
        <v>56327</v>
      </c>
      <c r="C8365" s="8">
        <f>DATE(2012,12,31)-1085</f>
        <v>40189</v>
      </c>
      <c r="D8365" s="8" t="str">
        <f t="shared" si="159"/>
        <v>2010-01 (январь 2010)</v>
      </c>
      <c r="E8365" s="9" t="s">
        <v>63</v>
      </c>
      <c r="F8365" s="7">
        <v>42</v>
      </c>
      <c r="G8365" s="7">
        <v>1767.47</v>
      </c>
      <c r="H8365" s="7">
        <v>0.05</v>
      </c>
      <c r="I8365" s="9" t="s">
        <v>22</v>
      </c>
      <c r="J8365" s="10">
        <v>331.56</v>
      </c>
      <c r="K8365" s="11">
        <v>40.99</v>
      </c>
      <c r="L8365" s="11">
        <v>17.48</v>
      </c>
      <c r="M8365" s="9" t="s">
        <v>2129</v>
      </c>
      <c r="N8365" s="6" t="s">
        <v>2073</v>
      </c>
      <c r="O8365" s="6" t="s">
        <v>704</v>
      </c>
      <c r="P8365" s="9" t="s">
        <v>25</v>
      </c>
      <c r="Q8365" s="9" t="s">
        <v>26</v>
      </c>
      <c r="R8365" s="9" t="s">
        <v>61</v>
      </c>
      <c r="S8365" s="7" t="s">
        <v>236</v>
      </c>
      <c r="T8365" s="9" t="s">
        <v>39</v>
      </c>
      <c r="U8365" s="7">
        <v>0.36</v>
      </c>
      <c r="V8365" s="12">
        <f>C8365+1</f>
        <v>40190</v>
      </c>
      <c r="W8365">
        <f>IF(D8365=' Pivot Tables'!$A$4,1,0)</f>
        <v>1</v>
      </c>
      <c r="X8365">
        <f>IF(AND(LEFT(D8365,4)+1=LEFT(' Pivot Tables'!$A$4,4)+0,RIGHT(LEFT(D8365,7),2)=RIGHT(LEFT(' Pivot Tables'!$A$4,7),2)),1,0)</f>
        <v>0</v>
      </c>
      <c r="Y8365" s="6">
        <f>1/COUNTIF(Таблица1[Order ID],Таблица1[[#This Row],[Order ID]])</f>
        <v>0.33333333333333331</v>
      </c>
      <c r="Z8365" s="9">
        <f>1/COUNTIFS(Таблица1[Customer Name],Таблица1[[#This Row],[Customer Name]],Таблица1[Order-Year-Month],Таблица1[[#This Row],[Order-Year-Month]])</f>
        <v>0.33333333333333331</v>
      </c>
    </row>
    <row r="8366" spans="1:26" x14ac:dyDescent="0.2">
      <c r="A8366" s="6">
        <v>7879</v>
      </c>
      <c r="B8366" s="7">
        <v>56327</v>
      </c>
      <c r="C8366" s="8">
        <f>DATE(2012,12,31)-1085</f>
        <v>40189</v>
      </c>
      <c r="D8366" s="8" t="str">
        <f t="shared" si="159"/>
        <v>2010-01 (январь 2010)</v>
      </c>
      <c r="E8366" s="9" t="s">
        <v>63</v>
      </c>
      <c r="F8366" s="7">
        <v>11</v>
      </c>
      <c r="G8366" s="7">
        <v>2164.0700000000002</v>
      </c>
      <c r="H8366" s="7">
        <v>0.01</v>
      </c>
      <c r="I8366" s="9" t="s">
        <v>31</v>
      </c>
      <c r="J8366" s="10">
        <v>59.73</v>
      </c>
      <c r="K8366" s="11">
        <v>180.98</v>
      </c>
      <c r="L8366" s="11">
        <v>55.24</v>
      </c>
      <c r="M8366" s="9" t="s">
        <v>2129</v>
      </c>
      <c r="N8366" s="6" t="s">
        <v>2073</v>
      </c>
      <c r="O8366" s="6" t="s">
        <v>704</v>
      </c>
      <c r="P8366" s="9" t="s">
        <v>25</v>
      </c>
      <c r="Q8366" s="9" t="s">
        <v>26</v>
      </c>
      <c r="R8366" s="9" t="s">
        <v>34</v>
      </c>
      <c r="S8366" s="7" t="s">
        <v>550</v>
      </c>
      <c r="T8366" s="9" t="s">
        <v>36</v>
      </c>
      <c r="U8366" s="7">
        <v>0.56999999999999995</v>
      </c>
      <c r="V8366" s="12">
        <f>C8366+2</f>
        <v>40191</v>
      </c>
      <c r="W8366">
        <f>IF(D8366=' Pivot Tables'!$A$4,1,0)</f>
        <v>1</v>
      </c>
      <c r="X8366">
        <f>IF(AND(LEFT(D8366,4)+1=LEFT(' Pivot Tables'!$A$4,4)+0,RIGHT(LEFT(D8366,7),2)=RIGHT(LEFT(' Pivot Tables'!$A$4,7),2)),1,0)</f>
        <v>0</v>
      </c>
      <c r="Y8366" s="6">
        <f>1/COUNTIF(Таблица1[Order ID],Таблица1[[#This Row],[Order ID]])</f>
        <v>0.33333333333333331</v>
      </c>
      <c r="Z8366" s="9">
        <f>1/COUNTIFS(Таблица1[Customer Name],Таблица1[[#This Row],[Customer Name]],Таблица1[Order-Year-Month],Таблица1[[#This Row],[Order-Year-Month]])</f>
        <v>0.33333333333333331</v>
      </c>
    </row>
    <row r="8367" spans="1:26" x14ac:dyDescent="0.2">
      <c r="A8367" s="6">
        <v>7880</v>
      </c>
      <c r="B8367" s="7">
        <v>56327</v>
      </c>
      <c r="C8367" s="8">
        <f>DATE(2012,12,31)-1085</f>
        <v>40189</v>
      </c>
      <c r="D8367" s="8" t="str">
        <f t="shared" si="159"/>
        <v>2010-01 (январь 2010)</v>
      </c>
      <c r="E8367" s="9" t="s">
        <v>63</v>
      </c>
      <c r="F8367" s="7">
        <v>47</v>
      </c>
      <c r="G8367" s="7">
        <v>1276.73</v>
      </c>
      <c r="H8367" s="7">
        <v>0.08</v>
      </c>
      <c r="I8367" s="9" t="s">
        <v>56</v>
      </c>
      <c r="J8367" s="10">
        <v>357.23</v>
      </c>
      <c r="K8367" s="11">
        <v>29.18</v>
      </c>
      <c r="L8367" s="11">
        <v>8.5500000000000007</v>
      </c>
      <c r="M8367" s="9" t="s">
        <v>2129</v>
      </c>
      <c r="N8367" s="6" t="s">
        <v>2073</v>
      </c>
      <c r="O8367" s="6" t="s">
        <v>704</v>
      </c>
      <c r="P8367" s="9" t="s">
        <v>25</v>
      </c>
      <c r="Q8367" s="9" t="s">
        <v>49</v>
      </c>
      <c r="R8367" s="9" t="s">
        <v>50</v>
      </c>
      <c r="S8367" s="7" t="s">
        <v>608</v>
      </c>
      <c r="T8367" s="9" t="s">
        <v>39</v>
      </c>
      <c r="U8367" s="7">
        <v>0.42</v>
      </c>
      <c r="V8367" s="12">
        <f>C8367+1</f>
        <v>40190</v>
      </c>
      <c r="W8367">
        <f>IF(D8367=' Pivot Tables'!$A$4,1,0)</f>
        <v>1</v>
      </c>
      <c r="X8367">
        <f>IF(AND(LEFT(D8367,4)+1=LEFT(' Pivot Tables'!$A$4,4)+0,RIGHT(LEFT(D8367,7),2)=RIGHT(LEFT(' Pivot Tables'!$A$4,7),2)),1,0)</f>
        <v>0</v>
      </c>
      <c r="Y8367" s="6">
        <f>1/COUNTIF(Таблица1[Order ID],Таблица1[[#This Row],[Order ID]])</f>
        <v>0.33333333333333331</v>
      </c>
      <c r="Z8367" s="9">
        <f>1/COUNTIFS(Таблица1[Customer Name],Таблица1[[#This Row],[Customer Name]],Таблица1[Order-Year-Month],Таблица1[[#This Row],[Order-Year-Month]])</f>
        <v>0.33333333333333331</v>
      </c>
    </row>
    <row r="8368" spans="1:26" x14ac:dyDescent="0.2">
      <c r="A8368" s="6">
        <v>7933</v>
      </c>
      <c r="B8368" s="7">
        <v>56706</v>
      </c>
      <c r="C8368" s="8">
        <f>DATE(2012,12,31)-1147</f>
        <v>40127</v>
      </c>
      <c r="D8368" s="8" t="str">
        <f t="shared" si="159"/>
        <v>2009-11 (ноябрь 2009)</v>
      </c>
      <c r="E8368" s="9" t="s">
        <v>30</v>
      </c>
      <c r="F8368" s="7">
        <v>7</v>
      </c>
      <c r="G8368" s="7">
        <v>754.92</v>
      </c>
      <c r="H8368" s="7">
        <v>0</v>
      </c>
      <c r="I8368" s="9" t="s">
        <v>22</v>
      </c>
      <c r="J8368" s="10">
        <v>-129.56909999999999</v>
      </c>
      <c r="K8368" s="11">
        <v>99.99</v>
      </c>
      <c r="L8368" s="11">
        <v>19.989999999999998</v>
      </c>
      <c r="M8368" s="9" t="s">
        <v>2130</v>
      </c>
      <c r="N8368" s="6" t="s">
        <v>2073</v>
      </c>
      <c r="O8368" s="6" t="s">
        <v>704</v>
      </c>
      <c r="P8368" s="9" t="s">
        <v>33</v>
      </c>
      <c r="Q8368" s="9" t="s">
        <v>42</v>
      </c>
      <c r="R8368" s="9" t="s">
        <v>210</v>
      </c>
      <c r="S8368" s="7" t="s">
        <v>409</v>
      </c>
      <c r="T8368" s="9" t="s">
        <v>39</v>
      </c>
      <c r="U8368" s="7">
        <v>0.52</v>
      </c>
      <c r="V8368" s="12">
        <f>C8368+1</f>
        <v>40128</v>
      </c>
      <c r="W8368">
        <f>IF(D8368=' Pivot Tables'!$A$4,1,0)</f>
        <v>0</v>
      </c>
      <c r="X8368">
        <f>IF(AND(LEFT(D8368,4)+1=LEFT(' Pivot Tables'!$A$4,4)+0,RIGHT(LEFT(D8368,7),2)=RIGHT(LEFT(' Pivot Tables'!$A$4,7),2)),1,0)</f>
        <v>0</v>
      </c>
      <c r="Y8368" s="6">
        <f>1/COUNTIF(Таблица1[Order ID],Таблица1[[#This Row],[Order ID]])</f>
        <v>1</v>
      </c>
      <c r="Z8368" s="9">
        <f>1/COUNTIFS(Таблица1[Customer Name],Таблица1[[#This Row],[Customer Name]],Таблица1[Order-Year-Month],Таблица1[[#This Row],[Order-Year-Month]])</f>
        <v>1</v>
      </c>
    </row>
    <row r="8369" spans="1:26" x14ac:dyDescent="0.2">
      <c r="A8369" s="6">
        <v>7991</v>
      </c>
      <c r="B8369" s="7">
        <v>57125</v>
      </c>
      <c r="C8369" s="8">
        <f>DATE(2012,12,31)-942</f>
        <v>40332</v>
      </c>
      <c r="D8369" s="8" t="str">
        <f t="shared" si="159"/>
        <v>2010-06 (июнь 2010)</v>
      </c>
      <c r="E8369" s="9" t="s">
        <v>63</v>
      </c>
      <c r="F8369" s="7">
        <v>19</v>
      </c>
      <c r="G8369" s="7">
        <v>61.02</v>
      </c>
      <c r="H8369" s="7">
        <v>0</v>
      </c>
      <c r="I8369" s="9" t="s">
        <v>22</v>
      </c>
      <c r="J8369" s="10">
        <v>-71.035499999999999</v>
      </c>
      <c r="K8369" s="11">
        <v>2.84</v>
      </c>
      <c r="L8369" s="11">
        <v>5.44</v>
      </c>
      <c r="M8369" s="9" t="s">
        <v>2122</v>
      </c>
      <c r="N8369" s="6" t="s">
        <v>2073</v>
      </c>
      <c r="O8369" s="6" t="s">
        <v>704</v>
      </c>
      <c r="P8369" s="9" t="s">
        <v>33</v>
      </c>
      <c r="Q8369" s="9" t="s">
        <v>26</v>
      </c>
      <c r="R8369" s="9" t="s">
        <v>37</v>
      </c>
      <c r="S8369" s="7" t="s">
        <v>1117</v>
      </c>
      <c r="T8369" s="9" t="s">
        <v>39</v>
      </c>
      <c r="U8369" s="7">
        <v>0.36</v>
      </c>
      <c r="V8369" s="12">
        <f>C8369+2</f>
        <v>40334</v>
      </c>
      <c r="W8369">
        <f>IF(D8369=' Pivot Tables'!$A$4,1,0)</f>
        <v>0</v>
      </c>
      <c r="X8369">
        <f>IF(AND(LEFT(D8369,4)+1=LEFT(' Pivot Tables'!$A$4,4)+0,RIGHT(LEFT(D8369,7),2)=RIGHT(LEFT(' Pivot Tables'!$A$4,7),2)),1,0)</f>
        <v>0</v>
      </c>
      <c r="Y8369" s="6">
        <f>1/COUNTIF(Таблица1[Order ID],Таблица1[[#This Row],[Order ID]])</f>
        <v>0.5</v>
      </c>
      <c r="Z8369" s="9">
        <f>1/COUNTIFS(Таблица1[Customer Name],Таблица1[[#This Row],[Customer Name]],Таблица1[Order-Year-Month],Таблица1[[#This Row],[Order-Year-Month]])</f>
        <v>0.5</v>
      </c>
    </row>
    <row r="8370" spans="1:26" x14ac:dyDescent="0.2">
      <c r="A8370" s="6">
        <v>7992</v>
      </c>
      <c r="B8370" s="7">
        <v>57125</v>
      </c>
      <c r="C8370" s="8">
        <f>DATE(2012,12,31)-942</f>
        <v>40332</v>
      </c>
      <c r="D8370" s="8" t="str">
        <f t="shared" si="159"/>
        <v>2010-06 (июнь 2010)</v>
      </c>
      <c r="E8370" s="9" t="s">
        <v>63</v>
      </c>
      <c r="F8370" s="7">
        <v>31</v>
      </c>
      <c r="G8370" s="7">
        <v>878.77</v>
      </c>
      <c r="H8370" s="7">
        <v>0.08</v>
      </c>
      <c r="I8370" s="9" t="s">
        <v>22</v>
      </c>
      <c r="J8370" s="10">
        <v>373.524</v>
      </c>
      <c r="K8370" s="11">
        <v>28.53</v>
      </c>
      <c r="L8370" s="11">
        <v>1.49</v>
      </c>
      <c r="M8370" s="9" t="s">
        <v>2122</v>
      </c>
      <c r="N8370" s="6" t="s">
        <v>2073</v>
      </c>
      <c r="O8370" s="6" t="s">
        <v>704</v>
      </c>
      <c r="P8370" s="9" t="s">
        <v>33</v>
      </c>
      <c r="Q8370" s="9" t="s">
        <v>26</v>
      </c>
      <c r="R8370" s="9" t="s">
        <v>37</v>
      </c>
      <c r="S8370" s="7" t="s">
        <v>380</v>
      </c>
      <c r="T8370" s="9" t="s">
        <v>39</v>
      </c>
      <c r="U8370" s="7">
        <v>0.38</v>
      </c>
      <c r="V8370" s="12">
        <f>C8370+2</f>
        <v>40334</v>
      </c>
      <c r="W8370">
        <f>IF(D8370=' Pivot Tables'!$A$4,1,0)</f>
        <v>0</v>
      </c>
      <c r="X8370">
        <f>IF(AND(LEFT(D8370,4)+1=LEFT(' Pivot Tables'!$A$4,4)+0,RIGHT(LEFT(D8370,7),2)=RIGHT(LEFT(' Pivot Tables'!$A$4,7),2)),1,0)</f>
        <v>0</v>
      </c>
      <c r="Y8370" s="6">
        <f>1/COUNTIF(Таблица1[Order ID],Таблица1[[#This Row],[Order ID]])</f>
        <v>0.5</v>
      </c>
      <c r="Z8370" s="9">
        <f>1/COUNTIFS(Таблица1[Customer Name],Таблица1[[#This Row],[Customer Name]],Таблица1[Order-Year-Month],Таблица1[[#This Row],[Order-Year-Month]])</f>
        <v>0.5</v>
      </c>
    </row>
    <row r="8371" spans="1:26" x14ac:dyDescent="0.2">
      <c r="A8371" s="6">
        <v>7994</v>
      </c>
      <c r="B8371" s="7">
        <v>57152</v>
      </c>
      <c r="C8371" s="8">
        <f>DATE(2012,12,31)-119</f>
        <v>41155</v>
      </c>
      <c r="D8371" s="8" t="str">
        <f t="shared" si="159"/>
        <v>2012-09 (сентябрь 2012)</v>
      </c>
      <c r="E8371" s="9" t="s">
        <v>21</v>
      </c>
      <c r="F8371" s="7">
        <v>6</v>
      </c>
      <c r="G8371" s="7">
        <v>22.89</v>
      </c>
      <c r="H8371" s="7">
        <v>0.08</v>
      </c>
      <c r="I8371" s="9" t="s">
        <v>22</v>
      </c>
      <c r="J8371" s="10">
        <v>-2.6564999999999999</v>
      </c>
      <c r="K8371" s="11">
        <v>3.8</v>
      </c>
      <c r="L8371" s="11">
        <v>1.49</v>
      </c>
      <c r="M8371" s="9" t="s">
        <v>2126</v>
      </c>
      <c r="N8371" s="6" t="s">
        <v>2073</v>
      </c>
      <c r="O8371" s="6" t="s">
        <v>704</v>
      </c>
      <c r="P8371" s="9" t="s">
        <v>60</v>
      </c>
      <c r="Q8371" s="9" t="s">
        <v>26</v>
      </c>
      <c r="R8371" s="9" t="s">
        <v>37</v>
      </c>
      <c r="S8371" s="7" t="s">
        <v>269</v>
      </c>
      <c r="T8371" s="9" t="s">
        <v>39</v>
      </c>
      <c r="U8371" s="7">
        <v>0.38</v>
      </c>
      <c r="V8371" s="12">
        <f>C8371+0</f>
        <v>41155</v>
      </c>
      <c r="W8371">
        <f>IF(D8371=' Pivot Tables'!$A$4,1,0)</f>
        <v>0</v>
      </c>
      <c r="X8371">
        <f>IF(AND(LEFT(D8371,4)+1=LEFT(' Pivot Tables'!$A$4,4)+0,RIGHT(LEFT(D8371,7),2)=RIGHT(LEFT(' Pivot Tables'!$A$4,7),2)),1,0)</f>
        <v>0</v>
      </c>
      <c r="Y8371" s="6">
        <f>1/COUNTIF(Таблица1[Order ID],Таблица1[[#This Row],[Order ID]])</f>
        <v>0.5</v>
      </c>
      <c r="Z8371" s="9">
        <f>1/COUNTIFS(Таблица1[Customer Name],Таблица1[[#This Row],[Customer Name]],Таблица1[Order-Year-Month],Таблица1[[#This Row],[Order-Year-Month]])</f>
        <v>0.5</v>
      </c>
    </row>
    <row r="8372" spans="1:26" x14ac:dyDescent="0.2">
      <c r="A8372" s="6">
        <v>7995</v>
      </c>
      <c r="B8372" s="7">
        <v>57152</v>
      </c>
      <c r="C8372" s="8">
        <f>DATE(2012,12,31)-119</f>
        <v>41155</v>
      </c>
      <c r="D8372" s="8" t="str">
        <f t="shared" si="159"/>
        <v>2012-09 (сентябрь 2012)</v>
      </c>
      <c r="E8372" s="9" t="s">
        <v>21</v>
      </c>
      <c r="F8372" s="7">
        <v>18</v>
      </c>
      <c r="G8372" s="7">
        <v>271.85000000000002</v>
      </c>
      <c r="H8372" s="7">
        <v>0.03</v>
      </c>
      <c r="I8372" s="9" t="s">
        <v>22</v>
      </c>
      <c r="J8372" s="10">
        <v>109.19</v>
      </c>
      <c r="K8372" s="11">
        <v>15.57</v>
      </c>
      <c r="L8372" s="11">
        <v>1.39</v>
      </c>
      <c r="M8372" s="9" t="s">
        <v>2126</v>
      </c>
      <c r="N8372" s="6" t="s">
        <v>2073</v>
      </c>
      <c r="O8372" s="6" t="s">
        <v>704</v>
      </c>
      <c r="P8372" s="9" t="s">
        <v>60</v>
      </c>
      <c r="Q8372" s="9" t="s">
        <v>26</v>
      </c>
      <c r="R8372" s="9" t="s">
        <v>76</v>
      </c>
      <c r="S8372" s="7" t="s">
        <v>1176</v>
      </c>
      <c r="T8372" s="9" t="s">
        <v>39</v>
      </c>
      <c r="U8372" s="7">
        <v>0.38</v>
      </c>
      <c r="V8372" s="12">
        <f>C8372+7</f>
        <v>41162</v>
      </c>
      <c r="W8372">
        <f>IF(D8372=' Pivot Tables'!$A$4,1,0)</f>
        <v>0</v>
      </c>
      <c r="X8372">
        <f>IF(AND(LEFT(D8372,4)+1=LEFT(' Pivot Tables'!$A$4,4)+0,RIGHT(LEFT(D8372,7),2)=RIGHT(LEFT(' Pivot Tables'!$A$4,7),2)),1,0)</f>
        <v>0</v>
      </c>
      <c r="Y8372" s="6">
        <f>1/COUNTIF(Таблица1[Order ID],Таблица1[[#This Row],[Order ID]])</f>
        <v>0.5</v>
      </c>
      <c r="Z8372" s="9">
        <f>1/COUNTIFS(Таблица1[Customer Name],Таблица1[[#This Row],[Customer Name]],Таблица1[Order-Year-Month],Таблица1[[#This Row],[Order-Year-Month]])</f>
        <v>0.5</v>
      </c>
    </row>
    <row r="8373" spans="1:26" x14ac:dyDescent="0.2">
      <c r="A8373" s="6">
        <v>8006</v>
      </c>
      <c r="B8373" s="7">
        <v>57216</v>
      </c>
      <c r="C8373" s="8">
        <f>DATE(2012,12,31)-886</f>
        <v>40388</v>
      </c>
      <c r="D8373" s="8" t="str">
        <f t="shared" si="159"/>
        <v>2010-07 (июль 2010)</v>
      </c>
      <c r="E8373" s="9" t="s">
        <v>30</v>
      </c>
      <c r="F8373" s="7">
        <v>46</v>
      </c>
      <c r="G8373" s="7">
        <v>12719.7</v>
      </c>
      <c r="H8373" s="7">
        <v>0.03</v>
      </c>
      <c r="I8373" s="9" t="s">
        <v>31</v>
      </c>
      <c r="J8373" s="10">
        <v>-545.82000000000005</v>
      </c>
      <c r="K8373" s="11">
        <v>280.98</v>
      </c>
      <c r="L8373" s="11">
        <v>57</v>
      </c>
      <c r="M8373" s="9" t="s">
        <v>2118</v>
      </c>
      <c r="N8373" s="6" t="s">
        <v>2073</v>
      </c>
      <c r="O8373" s="6" t="s">
        <v>704</v>
      </c>
      <c r="P8373" s="9" t="s">
        <v>41</v>
      </c>
      <c r="Q8373" s="9" t="s">
        <v>49</v>
      </c>
      <c r="R8373" s="9" t="s">
        <v>112</v>
      </c>
      <c r="S8373" s="7" t="s">
        <v>697</v>
      </c>
      <c r="T8373" s="9" t="s">
        <v>36</v>
      </c>
      <c r="U8373" s="7">
        <v>0.78</v>
      </c>
      <c r="V8373" s="12">
        <f>C8373+0</f>
        <v>40388</v>
      </c>
      <c r="W8373">
        <f>IF(D8373=' Pivot Tables'!$A$4,1,0)</f>
        <v>0</v>
      </c>
      <c r="X8373">
        <f>IF(AND(LEFT(D8373,4)+1=LEFT(' Pivot Tables'!$A$4,4)+0,RIGHT(LEFT(D8373,7),2)=RIGHT(LEFT(' Pivot Tables'!$A$4,7),2)),1,0)</f>
        <v>0</v>
      </c>
      <c r="Y8373" s="6">
        <f>1/COUNTIF(Таблица1[Order ID],Таблица1[[#This Row],[Order ID]])</f>
        <v>0.5</v>
      </c>
      <c r="Z8373" s="9">
        <f>1/COUNTIFS(Таблица1[Customer Name],Таблица1[[#This Row],[Customer Name]],Таблица1[Order-Year-Month],Таблица1[[#This Row],[Order-Year-Month]])</f>
        <v>0.5</v>
      </c>
    </row>
    <row r="8374" spans="1:26" x14ac:dyDescent="0.2">
      <c r="A8374" s="6">
        <v>8007</v>
      </c>
      <c r="B8374" s="7">
        <v>57216</v>
      </c>
      <c r="C8374" s="8">
        <f>DATE(2012,12,31)-886</f>
        <v>40388</v>
      </c>
      <c r="D8374" s="8" t="str">
        <f t="shared" si="159"/>
        <v>2010-07 (июль 2010)</v>
      </c>
      <c r="E8374" s="9" t="s">
        <v>30</v>
      </c>
      <c r="F8374" s="7">
        <v>48</v>
      </c>
      <c r="G8374" s="7">
        <v>109.78</v>
      </c>
      <c r="H8374" s="7">
        <v>0.03</v>
      </c>
      <c r="I8374" s="9" t="s">
        <v>22</v>
      </c>
      <c r="J8374" s="10">
        <v>4.4800000000000004</v>
      </c>
      <c r="K8374" s="11">
        <v>2.2000000000000002</v>
      </c>
      <c r="L8374" s="11">
        <v>1.2</v>
      </c>
      <c r="M8374" s="9" t="s">
        <v>2118</v>
      </c>
      <c r="N8374" s="6" t="s">
        <v>2073</v>
      </c>
      <c r="O8374" s="6" t="s">
        <v>704</v>
      </c>
      <c r="P8374" s="9" t="s">
        <v>41</v>
      </c>
      <c r="Q8374" s="9" t="s">
        <v>26</v>
      </c>
      <c r="R8374" s="9" t="s">
        <v>95</v>
      </c>
      <c r="S8374" s="7" t="s">
        <v>2132</v>
      </c>
      <c r="T8374" s="9" t="s">
        <v>68</v>
      </c>
      <c r="U8374" s="7">
        <v>0.41</v>
      </c>
      <c r="V8374" s="12">
        <f>C8374+2</f>
        <v>40390</v>
      </c>
      <c r="W8374">
        <f>IF(D8374=' Pivot Tables'!$A$4,1,0)</f>
        <v>0</v>
      </c>
      <c r="X8374">
        <f>IF(AND(LEFT(D8374,4)+1=LEFT(' Pivot Tables'!$A$4,4)+0,RIGHT(LEFT(D8374,7),2)=RIGHT(LEFT(' Pivot Tables'!$A$4,7),2)),1,0)</f>
        <v>0</v>
      </c>
      <c r="Y8374" s="6">
        <f>1/COUNTIF(Таблица1[Order ID],Таблица1[[#This Row],[Order ID]])</f>
        <v>0.5</v>
      </c>
      <c r="Z8374" s="9">
        <f>1/COUNTIFS(Таблица1[Customer Name],Таблица1[[#This Row],[Customer Name]],Таблица1[Order-Year-Month],Таблица1[[#This Row],[Order-Year-Month]])</f>
        <v>0.5</v>
      </c>
    </row>
    <row r="8375" spans="1:26" x14ac:dyDescent="0.2">
      <c r="A8375" s="6">
        <v>8017</v>
      </c>
      <c r="B8375" s="7">
        <v>57281</v>
      </c>
      <c r="C8375" s="8">
        <f>DATE(2012,12,31)-986</f>
        <v>40288</v>
      </c>
      <c r="D8375" s="8" t="str">
        <f t="shared" si="159"/>
        <v>2010-04 (апрель 2010)</v>
      </c>
      <c r="E8375" s="9" t="s">
        <v>30</v>
      </c>
      <c r="F8375" s="7">
        <v>26</v>
      </c>
      <c r="G8375" s="7">
        <v>561.66</v>
      </c>
      <c r="H8375" s="7">
        <v>7.0000000000000007E-2</v>
      </c>
      <c r="I8375" s="9" t="s">
        <v>22</v>
      </c>
      <c r="J8375" s="10">
        <v>-111.33150000000001</v>
      </c>
      <c r="K8375" s="11">
        <v>22.38</v>
      </c>
      <c r="L8375" s="11">
        <v>15.1</v>
      </c>
      <c r="M8375" s="9" t="s">
        <v>1301</v>
      </c>
      <c r="N8375" s="6" t="s">
        <v>2073</v>
      </c>
      <c r="O8375" s="6" t="s">
        <v>704</v>
      </c>
      <c r="P8375" s="9" t="s">
        <v>41</v>
      </c>
      <c r="Q8375" s="9" t="s">
        <v>26</v>
      </c>
      <c r="R8375" s="9" t="s">
        <v>37</v>
      </c>
      <c r="S8375" s="7" t="s">
        <v>415</v>
      </c>
      <c r="T8375" s="9" t="s">
        <v>39</v>
      </c>
      <c r="U8375" s="7">
        <v>0.38</v>
      </c>
      <c r="V8375" s="12">
        <f>C8375+0</f>
        <v>40288</v>
      </c>
      <c r="W8375">
        <f>IF(D8375=' Pivot Tables'!$A$4,1,0)</f>
        <v>0</v>
      </c>
      <c r="X8375">
        <f>IF(AND(LEFT(D8375,4)+1=LEFT(' Pivot Tables'!$A$4,4)+0,RIGHT(LEFT(D8375,7),2)=RIGHT(LEFT(' Pivot Tables'!$A$4,7),2)),1,0)</f>
        <v>0</v>
      </c>
      <c r="Y8375" s="6">
        <f>1/COUNTIF(Таблица1[Order ID],Таблица1[[#This Row],[Order ID]])</f>
        <v>0.5</v>
      </c>
      <c r="Z8375" s="9">
        <f>1/COUNTIFS(Таблица1[Customer Name],Таблица1[[#This Row],[Customer Name]],Таблица1[Order-Year-Month],Таблица1[[#This Row],[Order-Year-Month]])</f>
        <v>0.5</v>
      </c>
    </row>
    <row r="8376" spans="1:26" x14ac:dyDescent="0.2">
      <c r="A8376" s="6">
        <v>8018</v>
      </c>
      <c r="B8376" s="7">
        <v>57281</v>
      </c>
      <c r="C8376" s="8">
        <f>DATE(2012,12,31)-986</f>
        <v>40288</v>
      </c>
      <c r="D8376" s="8" t="str">
        <f t="shared" si="159"/>
        <v>2010-04 (апрель 2010)</v>
      </c>
      <c r="E8376" s="9" t="s">
        <v>30</v>
      </c>
      <c r="F8376" s="7">
        <v>19</v>
      </c>
      <c r="G8376" s="7">
        <v>1851.62</v>
      </c>
      <c r="H8376" s="7">
        <v>0.09</v>
      </c>
      <c r="I8376" s="9" t="s">
        <v>31</v>
      </c>
      <c r="J8376" s="10">
        <v>-220.84</v>
      </c>
      <c r="K8376" s="11">
        <v>100.98</v>
      </c>
      <c r="L8376" s="11">
        <v>35.840000000000003</v>
      </c>
      <c r="M8376" s="9" t="s">
        <v>1301</v>
      </c>
      <c r="N8376" s="6" t="s">
        <v>2073</v>
      </c>
      <c r="O8376" s="6" t="s">
        <v>704</v>
      </c>
      <c r="P8376" s="9" t="s">
        <v>41</v>
      </c>
      <c r="Q8376" s="9" t="s">
        <v>49</v>
      </c>
      <c r="R8376" s="9" t="s">
        <v>80</v>
      </c>
      <c r="S8376" s="7" t="s">
        <v>705</v>
      </c>
      <c r="T8376" s="9" t="s">
        <v>82</v>
      </c>
      <c r="U8376" s="7">
        <v>0.62</v>
      </c>
      <c r="V8376" s="12">
        <f>C8376+2</f>
        <v>40290</v>
      </c>
      <c r="W8376">
        <f>IF(D8376=' Pivot Tables'!$A$4,1,0)</f>
        <v>0</v>
      </c>
      <c r="X8376">
        <f>IF(AND(LEFT(D8376,4)+1=LEFT(' Pivot Tables'!$A$4,4)+0,RIGHT(LEFT(D8376,7),2)=RIGHT(LEFT(' Pivot Tables'!$A$4,7),2)),1,0)</f>
        <v>0</v>
      </c>
      <c r="Y8376" s="6">
        <f>1/COUNTIF(Таблица1[Order ID],Таблица1[[#This Row],[Order ID]])</f>
        <v>0.5</v>
      </c>
      <c r="Z8376" s="9">
        <f>1/COUNTIFS(Таблица1[Customer Name],Таблица1[[#This Row],[Customer Name]],Таблица1[Order-Year-Month],Таблица1[[#This Row],[Order-Year-Month]])</f>
        <v>0.5</v>
      </c>
    </row>
    <row r="8377" spans="1:26" x14ac:dyDescent="0.2">
      <c r="A8377" s="6">
        <v>8102</v>
      </c>
      <c r="B8377" s="7">
        <v>57827</v>
      </c>
      <c r="C8377" s="8">
        <f>DATE(2012,12,31)-1278</f>
        <v>39996</v>
      </c>
      <c r="D8377" s="8" t="str">
        <f t="shared" si="159"/>
        <v>2009-07 (июль 2009)</v>
      </c>
      <c r="E8377" s="9" t="s">
        <v>63</v>
      </c>
      <c r="F8377" s="7">
        <v>24</v>
      </c>
      <c r="G8377" s="7">
        <v>2453.3000000000002</v>
      </c>
      <c r="H8377" s="7">
        <v>0.05</v>
      </c>
      <c r="I8377" s="9" t="s">
        <v>31</v>
      </c>
      <c r="J8377" s="10">
        <v>-111.4</v>
      </c>
      <c r="K8377" s="11">
        <v>100.98</v>
      </c>
      <c r="L8377" s="11">
        <v>35.840000000000003</v>
      </c>
      <c r="M8377" s="9" t="s">
        <v>1408</v>
      </c>
      <c r="N8377" s="6" t="s">
        <v>2073</v>
      </c>
      <c r="O8377" s="6" t="s">
        <v>704</v>
      </c>
      <c r="P8377" s="9" t="s">
        <v>60</v>
      </c>
      <c r="Q8377" s="9" t="s">
        <v>49</v>
      </c>
      <c r="R8377" s="9" t="s">
        <v>80</v>
      </c>
      <c r="S8377" s="7" t="s">
        <v>705</v>
      </c>
      <c r="T8377" s="9" t="s">
        <v>82</v>
      </c>
      <c r="U8377" s="7">
        <v>0.62</v>
      </c>
      <c r="V8377" s="12">
        <f>C8377+2</f>
        <v>39998</v>
      </c>
      <c r="W8377">
        <f>IF(D8377=' Pivot Tables'!$A$4,1,0)</f>
        <v>0</v>
      </c>
      <c r="X8377">
        <f>IF(AND(LEFT(D8377,4)+1=LEFT(' Pivot Tables'!$A$4,4)+0,RIGHT(LEFT(D8377,7),2)=RIGHT(LEFT(' Pivot Tables'!$A$4,7),2)),1,0)</f>
        <v>0</v>
      </c>
      <c r="Y8377" s="6">
        <f>1/COUNTIF(Таблица1[Order ID],Таблица1[[#This Row],[Order ID]])</f>
        <v>0.5</v>
      </c>
      <c r="Z8377" s="9">
        <f>1/COUNTIFS(Таблица1[Customer Name],Таблица1[[#This Row],[Customer Name]],Таблица1[Order-Year-Month],Таблица1[[#This Row],[Order-Year-Month]])</f>
        <v>0.5</v>
      </c>
    </row>
    <row r="8378" spans="1:26" x14ac:dyDescent="0.2">
      <c r="A8378" s="6">
        <v>8103</v>
      </c>
      <c r="B8378" s="7">
        <v>57827</v>
      </c>
      <c r="C8378" s="8">
        <f>DATE(2012,12,31)-1278</f>
        <v>39996</v>
      </c>
      <c r="D8378" s="8" t="str">
        <f t="shared" si="159"/>
        <v>2009-07 (июль 2009)</v>
      </c>
      <c r="E8378" s="9" t="s">
        <v>63</v>
      </c>
      <c r="F8378" s="7">
        <v>29</v>
      </c>
      <c r="G8378" s="7">
        <v>147.02000000000001</v>
      </c>
      <c r="H8378" s="7">
        <v>0.02</v>
      </c>
      <c r="I8378" s="9" t="s">
        <v>22</v>
      </c>
      <c r="J8378" s="10">
        <v>-77.03</v>
      </c>
      <c r="K8378" s="11">
        <v>4.9800000000000004</v>
      </c>
      <c r="L8378" s="11">
        <v>5.49</v>
      </c>
      <c r="M8378" s="9" t="s">
        <v>1408</v>
      </c>
      <c r="N8378" s="6" t="s">
        <v>2073</v>
      </c>
      <c r="O8378" s="6" t="s">
        <v>704</v>
      </c>
      <c r="P8378" s="9" t="s">
        <v>60</v>
      </c>
      <c r="Q8378" s="9" t="s">
        <v>26</v>
      </c>
      <c r="R8378" s="9" t="s">
        <v>61</v>
      </c>
      <c r="S8378" s="7" t="s">
        <v>1224</v>
      </c>
      <c r="T8378" s="9" t="s">
        <v>39</v>
      </c>
      <c r="U8378" s="7">
        <v>0.38</v>
      </c>
      <c r="V8378" s="12">
        <f>C8378+1</f>
        <v>39997</v>
      </c>
      <c r="W8378">
        <f>IF(D8378=' Pivot Tables'!$A$4,1,0)</f>
        <v>0</v>
      </c>
      <c r="X8378">
        <f>IF(AND(LEFT(D8378,4)+1=LEFT(' Pivot Tables'!$A$4,4)+0,RIGHT(LEFT(D8378,7),2)=RIGHT(LEFT(' Pivot Tables'!$A$4,7),2)),1,0)</f>
        <v>0</v>
      </c>
      <c r="Y8378" s="6">
        <f>1/COUNTIF(Таблица1[Order ID],Таблица1[[#This Row],[Order ID]])</f>
        <v>0.5</v>
      </c>
      <c r="Z8378" s="9">
        <f>1/COUNTIFS(Таблица1[Customer Name],Таблица1[[#This Row],[Customer Name]],Таблица1[Order-Year-Month],Таблица1[[#This Row],[Order-Year-Month]])</f>
        <v>0.5</v>
      </c>
    </row>
    <row r="8379" spans="1:26" x14ac:dyDescent="0.2">
      <c r="A8379" s="6">
        <v>8247</v>
      </c>
      <c r="B8379" s="7">
        <v>58949</v>
      </c>
      <c r="C8379" s="8">
        <f>DATE(2012,12,31)-15</f>
        <v>41259</v>
      </c>
      <c r="D8379" s="8" t="str">
        <f t="shared" si="159"/>
        <v>2012-12 (декабрь 2012)</v>
      </c>
      <c r="E8379" s="9" t="s">
        <v>78</v>
      </c>
      <c r="F8379" s="7">
        <v>50</v>
      </c>
      <c r="G8379" s="7">
        <v>1558.9424999999999</v>
      </c>
      <c r="H8379" s="7">
        <v>0.02</v>
      </c>
      <c r="I8379" s="9" t="s">
        <v>22</v>
      </c>
      <c r="J8379" s="10">
        <v>548.44200000000001</v>
      </c>
      <c r="K8379" s="11">
        <v>35.99</v>
      </c>
      <c r="L8379" s="11">
        <v>1.1000000000000001</v>
      </c>
      <c r="M8379" s="9" t="s">
        <v>1701</v>
      </c>
      <c r="N8379" s="6" t="s">
        <v>2073</v>
      </c>
      <c r="O8379" s="6" t="s">
        <v>704</v>
      </c>
      <c r="P8379" s="9" t="s">
        <v>25</v>
      </c>
      <c r="Q8379" s="9" t="s">
        <v>42</v>
      </c>
      <c r="R8379" s="9" t="s">
        <v>43</v>
      </c>
      <c r="S8379" s="7" t="s">
        <v>1082</v>
      </c>
      <c r="T8379" s="9" t="s">
        <v>39</v>
      </c>
      <c r="U8379" s="7">
        <v>0.55000000000000004</v>
      </c>
      <c r="V8379" s="12">
        <f>C8379+1</f>
        <v>41260</v>
      </c>
      <c r="W8379">
        <f>IF(D8379=' Pivot Tables'!$A$4,1,0)</f>
        <v>0</v>
      </c>
      <c r="X8379">
        <f>IF(AND(LEFT(D8379,4)+1=LEFT(' Pivot Tables'!$A$4,4)+0,RIGHT(LEFT(D8379,7),2)=RIGHT(LEFT(' Pivot Tables'!$A$4,7),2)),1,0)</f>
        <v>0</v>
      </c>
      <c r="Y8379" s="6">
        <f>1/COUNTIF(Таблица1[Order ID],Таблица1[[#This Row],[Order ID]])</f>
        <v>1</v>
      </c>
      <c r="Z8379" s="9">
        <f>1/COUNTIFS(Таблица1[Customer Name],Таблица1[[#This Row],[Customer Name]],Таблица1[Order-Year-Month],Таблица1[[#This Row],[Order-Year-Month]])</f>
        <v>1</v>
      </c>
    </row>
    <row r="8380" spans="1:26" x14ac:dyDescent="0.2">
      <c r="A8380" s="6">
        <v>188</v>
      </c>
      <c r="B8380" s="7">
        <v>1222</v>
      </c>
      <c r="C8380" s="8">
        <f>DATE(2012,12,31)-1061</f>
        <v>40213</v>
      </c>
      <c r="D8380" s="8" t="str">
        <f t="shared" si="159"/>
        <v>2010-02 (февраль 2010)</v>
      </c>
      <c r="E8380" s="9" t="s">
        <v>63</v>
      </c>
      <c r="F8380" s="7">
        <v>48</v>
      </c>
      <c r="G8380" s="7">
        <v>257.39</v>
      </c>
      <c r="H8380" s="7">
        <v>0.08</v>
      </c>
      <c r="I8380" s="9" t="s">
        <v>22</v>
      </c>
      <c r="J8380" s="10">
        <v>-121.91</v>
      </c>
      <c r="K8380" s="11">
        <v>5.28</v>
      </c>
      <c r="L8380" s="11">
        <v>5.57</v>
      </c>
      <c r="M8380" s="9" t="s">
        <v>1511</v>
      </c>
      <c r="N8380" s="6" t="s">
        <v>2073</v>
      </c>
      <c r="O8380" s="6" t="s">
        <v>704</v>
      </c>
      <c r="P8380" s="9" t="s">
        <v>60</v>
      </c>
      <c r="Q8380" s="9" t="s">
        <v>26</v>
      </c>
      <c r="R8380" s="9" t="s">
        <v>61</v>
      </c>
      <c r="S8380" s="7" t="s">
        <v>1650</v>
      </c>
      <c r="T8380" s="9" t="s">
        <v>39</v>
      </c>
      <c r="U8380" s="7">
        <v>0.4</v>
      </c>
      <c r="V8380" s="12">
        <f>C8380+0</f>
        <v>40213</v>
      </c>
      <c r="W8380">
        <f>IF(D8380=' Pivot Tables'!$A$4,1,0)</f>
        <v>0</v>
      </c>
      <c r="X8380">
        <f>IF(AND(LEFT(D8380,4)+1=LEFT(' Pivot Tables'!$A$4,4)+0,RIGHT(LEFT(D8380,7),2)=RIGHT(LEFT(' Pivot Tables'!$A$4,7),2)),1,0)</f>
        <v>0</v>
      </c>
      <c r="Y8380" s="6">
        <f>1/COUNTIF(Таблица1[Order ID],Таблица1[[#This Row],[Order ID]])</f>
        <v>1</v>
      </c>
      <c r="Z8380" s="9">
        <f>1/COUNTIFS(Таблица1[Customer Name],Таблица1[[#This Row],[Customer Name]],Таблица1[Order-Year-Month],Таблица1[[#This Row],[Order-Year-Month]])</f>
        <v>1</v>
      </c>
    </row>
    <row r="8381" spans="1:26" x14ac:dyDescent="0.2">
      <c r="A8381" s="6">
        <v>805</v>
      </c>
      <c r="B8381" s="7">
        <v>5767</v>
      </c>
      <c r="C8381" s="8">
        <f>DATE(2012,12,31)-247</f>
        <v>41027</v>
      </c>
      <c r="D8381" s="8" t="str">
        <f t="shared" si="159"/>
        <v>2012-04 (апрель 2012)</v>
      </c>
      <c r="E8381" s="9" t="s">
        <v>30</v>
      </c>
      <c r="F8381" s="7">
        <v>36</v>
      </c>
      <c r="G8381" s="7">
        <v>163.54</v>
      </c>
      <c r="H8381" s="7">
        <v>0.03</v>
      </c>
      <c r="I8381" s="9" t="s">
        <v>56</v>
      </c>
      <c r="J8381" s="10">
        <v>-95.058999999999997</v>
      </c>
      <c r="K8381" s="11">
        <v>4.13</v>
      </c>
      <c r="L8381" s="11">
        <v>5.04</v>
      </c>
      <c r="M8381" s="9" t="s">
        <v>1785</v>
      </c>
      <c r="N8381" s="6" t="s">
        <v>2073</v>
      </c>
      <c r="O8381" s="6" t="s">
        <v>704</v>
      </c>
      <c r="P8381" s="9" t="s">
        <v>25</v>
      </c>
      <c r="Q8381" s="9" t="s">
        <v>26</v>
      </c>
      <c r="R8381" s="9" t="s">
        <v>37</v>
      </c>
      <c r="S8381" s="7" t="s">
        <v>434</v>
      </c>
      <c r="T8381" s="9" t="s">
        <v>39</v>
      </c>
      <c r="U8381" s="7">
        <v>0.38</v>
      </c>
      <c r="V8381" s="12">
        <f>C8381+1</f>
        <v>41028</v>
      </c>
      <c r="W8381">
        <f>IF(D8381=' Pivot Tables'!$A$4,1,0)</f>
        <v>0</v>
      </c>
      <c r="X8381">
        <f>IF(AND(LEFT(D8381,4)+1=LEFT(' Pivot Tables'!$A$4,4)+0,RIGHT(LEFT(D8381,7),2)=RIGHT(LEFT(' Pivot Tables'!$A$4,7),2)),1,0)</f>
        <v>0</v>
      </c>
      <c r="Y8381" s="6">
        <f>1/COUNTIF(Таблица1[Order ID],Таблица1[[#This Row],[Order ID]])</f>
        <v>0.5</v>
      </c>
      <c r="Z8381" s="9">
        <f>1/COUNTIFS(Таблица1[Customer Name],Таблица1[[#This Row],[Customer Name]],Таблица1[Order-Year-Month],Таблица1[[#This Row],[Order-Year-Month]])</f>
        <v>0.5</v>
      </c>
    </row>
    <row r="8382" spans="1:26" x14ac:dyDescent="0.2">
      <c r="A8382" s="6">
        <v>806</v>
      </c>
      <c r="B8382" s="7">
        <v>5767</v>
      </c>
      <c r="C8382" s="8">
        <f>DATE(2012,12,31)-247</f>
        <v>41027</v>
      </c>
      <c r="D8382" s="8" t="str">
        <f t="shared" si="159"/>
        <v>2012-04 (апрель 2012)</v>
      </c>
      <c r="E8382" s="9" t="s">
        <v>30</v>
      </c>
      <c r="F8382" s="7">
        <v>31</v>
      </c>
      <c r="G8382" s="7">
        <v>2390.54</v>
      </c>
      <c r="H8382" s="7">
        <v>0.08</v>
      </c>
      <c r="I8382" s="9" t="s">
        <v>22</v>
      </c>
      <c r="J8382" s="10">
        <v>756.1</v>
      </c>
      <c r="K8382" s="11">
        <v>82.99</v>
      </c>
      <c r="L8382" s="11">
        <v>5.5</v>
      </c>
      <c r="M8382" s="9" t="s">
        <v>1785</v>
      </c>
      <c r="N8382" s="6" t="s">
        <v>2073</v>
      </c>
      <c r="O8382" s="6" t="s">
        <v>704</v>
      </c>
      <c r="P8382" s="9" t="s">
        <v>25</v>
      </c>
      <c r="Q8382" s="9" t="s">
        <v>42</v>
      </c>
      <c r="R8382" s="9" t="s">
        <v>70</v>
      </c>
      <c r="S8382" s="7" t="s">
        <v>573</v>
      </c>
      <c r="T8382" s="9" t="s">
        <v>39</v>
      </c>
      <c r="U8382" s="7">
        <v>0.44</v>
      </c>
      <c r="V8382" s="12">
        <f>C8382+2</f>
        <v>41029</v>
      </c>
      <c r="W8382">
        <f>IF(D8382=' Pivot Tables'!$A$4,1,0)</f>
        <v>0</v>
      </c>
      <c r="X8382">
        <f>IF(AND(LEFT(D8382,4)+1=LEFT(' Pivot Tables'!$A$4,4)+0,RIGHT(LEFT(D8382,7),2)=RIGHT(LEFT(' Pivot Tables'!$A$4,7),2)),1,0)</f>
        <v>0</v>
      </c>
      <c r="Y8382" s="6">
        <f>1/COUNTIF(Таблица1[Order ID],Таблица1[[#This Row],[Order ID]])</f>
        <v>0.5</v>
      </c>
      <c r="Z8382" s="9">
        <f>1/COUNTIFS(Таблица1[Customer Name],Таблица1[[#This Row],[Customer Name]],Таблица1[Order-Year-Month],Таблица1[[#This Row],[Order-Year-Month]])</f>
        <v>0.5</v>
      </c>
    </row>
    <row r="8383" spans="1:26" x14ac:dyDescent="0.2">
      <c r="A8383" s="6">
        <v>1219</v>
      </c>
      <c r="B8383" s="7">
        <v>8961</v>
      </c>
      <c r="C8383" s="8">
        <f>DATE(2012,12,31)-552</f>
        <v>40722</v>
      </c>
      <c r="D8383" s="8" t="str">
        <f t="shared" si="159"/>
        <v>2011-06 (июнь 2011)</v>
      </c>
      <c r="E8383" s="9" t="s">
        <v>21</v>
      </c>
      <c r="F8383" s="7">
        <v>48</v>
      </c>
      <c r="G8383" s="7">
        <v>4644.87</v>
      </c>
      <c r="H8383" s="7">
        <v>0.08</v>
      </c>
      <c r="I8383" s="9" t="s">
        <v>31</v>
      </c>
      <c r="J8383" s="10">
        <v>-1291.3900000000001</v>
      </c>
      <c r="K8383" s="11">
        <v>100.8</v>
      </c>
      <c r="L8383" s="11">
        <v>60</v>
      </c>
      <c r="M8383" s="9" t="s">
        <v>1785</v>
      </c>
      <c r="N8383" s="6" t="s">
        <v>2073</v>
      </c>
      <c r="O8383" s="6" t="s">
        <v>704</v>
      </c>
      <c r="P8383" s="9" t="s">
        <v>25</v>
      </c>
      <c r="Q8383" s="9" t="s">
        <v>49</v>
      </c>
      <c r="R8383" s="9" t="s">
        <v>83</v>
      </c>
      <c r="S8383" s="7" t="s">
        <v>476</v>
      </c>
      <c r="T8383" s="9" t="s">
        <v>36</v>
      </c>
      <c r="U8383" s="7">
        <v>0.59</v>
      </c>
      <c r="V8383" s="12">
        <f>C8383+5</f>
        <v>40727</v>
      </c>
      <c r="W8383">
        <f>IF(D8383=' Pivot Tables'!$A$4,1,0)</f>
        <v>0</v>
      </c>
      <c r="X8383">
        <f>IF(AND(LEFT(D8383,4)+1=LEFT(' Pivot Tables'!$A$4,4)+0,RIGHT(LEFT(D8383,7),2)=RIGHT(LEFT(' Pivot Tables'!$A$4,7),2)),1,0)</f>
        <v>0</v>
      </c>
      <c r="Y8383" s="6">
        <f>1/COUNTIF(Таблица1[Order ID],Таблица1[[#This Row],[Order ID]])</f>
        <v>0.5</v>
      </c>
      <c r="Z8383" s="9">
        <f>1/COUNTIFS(Таблица1[Customer Name],Таблица1[[#This Row],[Customer Name]],Таблица1[Order-Year-Month],Таблица1[[#This Row],[Order-Year-Month]])</f>
        <v>0.5</v>
      </c>
    </row>
    <row r="8384" spans="1:26" x14ac:dyDescent="0.2">
      <c r="A8384" s="6">
        <v>1617</v>
      </c>
      <c r="B8384" s="7">
        <v>11712</v>
      </c>
      <c r="C8384" s="8">
        <f>DATE(2012,12,31)-1345</f>
        <v>39929</v>
      </c>
      <c r="D8384" s="8" t="str">
        <f t="shared" si="159"/>
        <v>2009-04 (апрель 2009)</v>
      </c>
      <c r="E8384" s="9" t="s">
        <v>21</v>
      </c>
      <c r="F8384" s="7">
        <v>9</v>
      </c>
      <c r="G8384" s="7">
        <v>38.96</v>
      </c>
      <c r="H8384" s="7">
        <v>0.06</v>
      </c>
      <c r="I8384" s="9" t="s">
        <v>22</v>
      </c>
      <c r="J8384" s="10">
        <v>0.36999999999999922</v>
      </c>
      <c r="K8384" s="11">
        <v>4.28</v>
      </c>
      <c r="L8384" s="11">
        <v>0.94</v>
      </c>
      <c r="M8384" s="9" t="s">
        <v>1511</v>
      </c>
      <c r="N8384" s="6" t="s">
        <v>2073</v>
      </c>
      <c r="O8384" s="6" t="s">
        <v>704</v>
      </c>
      <c r="P8384" s="9" t="s">
        <v>33</v>
      </c>
      <c r="Q8384" s="9" t="s">
        <v>26</v>
      </c>
      <c r="R8384" s="9" t="s">
        <v>95</v>
      </c>
      <c r="S8384" s="7" t="s">
        <v>540</v>
      </c>
      <c r="T8384" s="9" t="s">
        <v>68</v>
      </c>
      <c r="U8384" s="7">
        <v>0.56000000000000005</v>
      </c>
      <c r="V8384" s="12">
        <f>C8384+2</f>
        <v>39931</v>
      </c>
      <c r="W8384">
        <f>IF(D8384=' Pivot Tables'!$A$4,1,0)</f>
        <v>0</v>
      </c>
      <c r="X8384">
        <f>IF(AND(LEFT(D8384,4)+1=LEFT(' Pivot Tables'!$A$4,4)+0,RIGHT(LEFT(D8384,7),2)=RIGHT(LEFT(' Pivot Tables'!$A$4,7),2)),1,0)</f>
        <v>0</v>
      </c>
      <c r="Y8384" s="6">
        <f>1/COUNTIF(Таблица1[Order ID],Таблица1[[#This Row],[Order ID]])</f>
        <v>1</v>
      </c>
      <c r="Z8384" s="9">
        <f>1/COUNTIFS(Таблица1[Customer Name],Таблица1[[#This Row],[Customer Name]],Таблица1[Order-Year-Month],Таблица1[[#This Row],[Order-Year-Month]])</f>
        <v>0.5</v>
      </c>
    </row>
    <row r="8385" spans="1:26" x14ac:dyDescent="0.2">
      <c r="A8385" s="6">
        <v>2082</v>
      </c>
      <c r="B8385" s="7">
        <v>14883</v>
      </c>
      <c r="C8385" s="8">
        <f>DATE(2012,12,31)-605</f>
        <v>40669</v>
      </c>
      <c r="D8385" s="8" t="str">
        <f t="shared" si="159"/>
        <v>2011-05 (май 2011)</v>
      </c>
      <c r="E8385" s="9" t="s">
        <v>21</v>
      </c>
      <c r="F8385" s="7">
        <v>38</v>
      </c>
      <c r="G8385" s="7">
        <v>978.4</v>
      </c>
      <c r="H8385" s="7">
        <v>7.0000000000000007E-2</v>
      </c>
      <c r="I8385" s="9" t="s">
        <v>31</v>
      </c>
      <c r="J8385" s="10">
        <v>-211.58</v>
      </c>
      <c r="K8385" s="11">
        <v>25.98</v>
      </c>
      <c r="L8385" s="11">
        <v>14.36</v>
      </c>
      <c r="M8385" s="9" t="s">
        <v>1807</v>
      </c>
      <c r="N8385" s="6" t="s">
        <v>2073</v>
      </c>
      <c r="O8385" s="6" t="s">
        <v>704</v>
      </c>
      <c r="P8385" s="9" t="s">
        <v>41</v>
      </c>
      <c r="Q8385" s="9" t="s">
        <v>49</v>
      </c>
      <c r="R8385" s="9" t="s">
        <v>112</v>
      </c>
      <c r="S8385" s="7" t="s">
        <v>280</v>
      </c>
      <c r="T8385" s="9" t="s">
        <v>36</v>
      </c>
      <c r="U8385" s="7">
        <v>0.6</v>
      </c>
      <c r="V8385" s="12">
        <f>C8385+5</f>
        <v>40674</v>
      </c>
      <c r="W8385">
        <f>IF(D8385=' Pivot Tables'!$A$4,1,0)</f>
        <v>0</v>
      </c>
      <c r="X8385">
        <f>IF(AND(LEFT(D8385,4)+1=LEFT(' Pivot Tables'!$A$4,4)+0,RIGHT(LEFT(D8385,7),2)=RIGHT(LEFT(' Pivot Tables'!$A$4,7),2)),1,0)</f>
        <v>0</v>
      </c>
      <c r="Y8385" s="6">
        <f>1/COUNTIF(Таблица1[Order ID],Таблица1[[#This Row],[Order ID]])</f>
        <v>0.5</v>
      </c>
      <c r="Z8385" s="9">
        <f>1/COUNTIFS(Таблица1[Customer Name],Таблица1[[#This Row],[Customer Name]],Таблица1[Order-Year-Month],Таблица1[[#This Row],[Order-Year-Month]])</f>
        <v>0.5</v>
      </c>
    </row>
    <row r="8386" spans="1:26" x14ac:dyDescent="0.2">
      <c r="A8386" s="6">
        <v>2083</v>
      </c>
      <c r="B8386" s="7">
        <v>14883</v>
      </c>
      <c r="C8386" s="8">
        <f>DATE(2012,12,31)-605</f>
        <v>40669</v>
      </c>
      <c r="D8386" s="8" t="str">
        <f t="shared" si="159"/>
        <v>2011-05 (май 2011)</v>
      </c>
      <c r="E8386" s="9" t="s">
        <v>21</v>
      </c>
      <c r="F8386" s="7">
        <v>47</v>
      </c>
      <c r="G8386" s="7">
        <v>5126.4179999999997</v>
      </c>
      <c r="H8386" s="7">
        <v>0.03</v>
      </c>
      <c r="I8386" s="9" t="s">
        <v>22</v>
      </c>
      <c r="J8386" s="10">
        <v>1557.6390000000001</v>
      </c>
      <c r="K8386" s="11">
        <v>125.99</v>
      </c>
      <c r="L8386" s="11">
        <v>2.5</v>
      </c>
      <c r="M8386" s="9" t="s">
        <v>1807</v>
      </c>
      <c r="N8386" s="6" t="s">
        <v>2073</v>
      </c>
      <c r="O8386" s="6" t="s">
        <v>704</v>
      </c>
      <c r="P8386" s="9" t="s">
        <v>41</v>
      </c>
      <c r="Q8386" s="9" t="s">
        <v>42</v>
      </c>
      <c r="R8386" s="9" t="s">
        <v>43</v>
      </c>
      <c r="S8386" s="7" t="s">
        <v>954</v>
      </c>
      <c r="T8386" s="9" t="s">
        <v>39</v>
      </c>
      <c r="U8386" s="7">
        <v>0.6</v>
      </c>
      <c r="V8386" s="12">
        <f>C8386+9</f>
        <v>40678</v>
      </c>
      <c r="W8386">
        <f>IF(D8386=' Pivot Tables'!$A$4,1,0)</f>
        <v>0</v>
      </c>
      <c r="X8386">
        <f>IF(AND(LEFT(D8386,4)+1=LEFT(' Pivot Tables'!$A$4,4)+0,RIGHT(LEFT(D8386,7),2)=RIGHT(LEFT(' Pivot Tables'!$A$4,7),2)),1,0)</f>
        <v>0</v>
      </c>
      <c r="Y8386" s="6">
        <f>1/COUNTIF(Таблица1[Order ID],Таблица1[[#This Row],[Order ID]])</f>
        <v>0.5</v>
      </c>
      <c r="Z8386" s="9">
        <f>1/COUNTIFS(Таблица1[Customer Name],Таблица1[[#This Row],[Customer Name]],Таблица1[Order-Year-Month],Таблица1[[#This Row],[Order-Year-Month]])</f>
        <v>0.5</v>
      </c>
    </row>
    <row r="8387" spans="1:26" x14ac:dyDescent="0.2">
      <c r="A8387" s="6">
        <v>2800</v>
      </c>
      <c r="B8387" s="7">
        <v>20193</v>
      </c>
      <c r="C8387" s="8">
        <f>DATE(2012,12,31)-785</f>
        <v>40489</v>
      </c>
      <c r="D8387" s="8" t="str">
        <f t="shared" ref="D8387:D8400" si="160">TEXT(C8387,"гггг-ММ (ММММ гггг)")</f>
        <v>2010-11 (ноябрь 2010)</v>
      </c>
      <c r="E8387" s="9" t="s">
        <v>63</v>
      </c>
      <c r="F8387" s="7">
        <v>23</v>
      </c>
      <c r="G8387" s="7">
        <v>82.12</v>
      </c>
      <c r="H8387" s="7">
        <v>7.0000000000000007E-2</v>
      </c>
      <c r="I8387" s="9" t="s">
        <v>22</v>
      </c>
      <c r="J8387" s="10">
        <v>-121.5895</v>
      </c>
      <c r="K8387" s="11">
        <v>3.52</v>
      </c>
      <c r="L8387" s="11">
        <v>6.83</v>
      </c>
      <c r="M8387" s="9" t="s">
        <v>2133</v>
      </c>
      <c r="N8387" s="6" t="s">
        <v>2073</v>
      </c>
      <c r="O8387" s="6" t="s">
        <v>704</v>
      </c>
      <c r="P8387" s="9" t="s">
        <v>41</v>
      </c>
      <c r="Q8387" s="9" t="s">
        <v>26</v>
      </c>
      <c r="R8387" s="9" t="s">
        <v>37</v>
      </c>
      <c r="S8387" s="7" t="s">
        <v>636</v>
      </c>
      <c r="T8387" s="9" t="s">
        <v>39</v>
      </c>
      <c r="U8387" s="7">
        <v>0.38</v>
      </c>
      <c r="V8387" s="12">
        <f>C8387+2</f>
        <v>40491</v>
      </c>
      <c r="W8387">
        <f>IF(D8387=' Pivot Tables'!$A$4,1,0)</f>
        <v>0</v>
      </c>
      <c r="X8387">
        <f>IF(AND(LEFT(D8387,4)+1=LEFT(' Pivot Tables'!$A$4,4)+0,RIGHT(LEFT(D8387,7),2)=RIGHT(LEFT(' Pivot Tables'!$A$4,7),2)),1,0)</f>
        <v>0</v>
      </c>
      <c r="Y8387" s="6">
        <f>1/COUNTIF(Таблица1[Order ID],Таблица1[[#This Row],[Order ID]])</f>
        <v>1</v>
      </c>
      <c r="Z8387" s="9">
        <f>1/COUNTIFS(Таблица1[Customer Name],Таблица1[[#This Row],[Customer Name]],Таблица1[Order-Year-Month],Таблица1[[#This Row],[Order-Year-Month]])</f>
        <v>1</v>
      </c>
    </row>
    <row r="8388" spans="1:26" x14ac:dyDescent="0.2">
      <c r="A8388" s="6">
        <v>5166</v>
      </c>
      <c r="B8388" s="7">
        <v>36772</v>
      </c>
      <c r="C8388" s="8">
        <f>DATE(2012,12,31)-961</f>
        <v>40313</v>
      </c>
      <c r="D8388" s="8" t="str">
        <f t="shared" si="160"/>
        <v>2010-05 (май 2010)</v>
      </c>
      <c r="E8388" s="9" t="s">
        <v>63</v>
      </c>
      <c r="F8388" s="7">
        <v>8</v>
      </c>
      <c r="G8388" s="7">
        <v>22.85</v>
      </c>
      <c r="H8388" s="7">
        <v>7.0000000000000007E-2</v>
      </c>
      <c r="I8388" s="9" t="s">
        <v>22</v>
      </c>
      <c r="J8388" s="10">
        <v>0.88</v>
      </c>
      <c r="K8388" s="11">
        <v>2.88</v>
      </c>
      <c r="L8388" s="11">
        <v>0.99</v>
      </c>
      <c r="M8388" s="9" t="s">
        <v>1302</v>
      </c>
      <c r="N8388" s="6" t="s">
        <v>2073</v>
      </c>
      <c r="O8388" s="6" t="s">
        <v>704</v>
      </c>
      <c r="P8388" s="9" t="s">
        <v>60</v>
      </c>
      <c r="Q8388" s="9" t="s">
        <v>26</v>
      </c>
      <c r="R8388" s="9" t="s">
        <v>88</v>
      </c>
      <c r="S8388" s="7" t="s">
        <v>300</v>
      </c>
      <c r="T8388" s="9" t="s">
        <v>39</v>
      </c>
      <c r="U8388" s="7">
        <v>0.36</v>
      </c>
      <c r="V8388" s="12">
        <f>C8388+0</f>
        <v>40313</v>
      </c>
      <c r="W8388">
        <f>IF(D8388=' Pivot Tables'!$A$4,1,0)</f>
        <v>0</v>
      </c>
      <c r="X8388">
        <f>IF(AND(LEFT(D8388,4)+1=LEFT(' Pivot Tables'!$A$4,4)+0,RIGHT(LEFT(D8388,7),2)=RIGHT(LEFT(' Pivot Tables'!$A$4,7),2)),1,0)</f>
        <v>0</v>
      </c>
      <c r="Y8388" s="6">
        <f>1/COUNTIF(Таблица1[Order ID],Таблица1[[#This Row],[Order ID]])</f>
        <v>0.33333333333333331</v>
      </c>
      <c r="Z8388" s="9">
        <f>1/COUNTIFS(Таблица1[Customer Name],Таблица1[[#This Row],[Customer Name]],Таблица1[Order-Year-Month],Таблица1[[#This Row],[Order-Year-Month]])</f>
        <v>0.33333333333333331</v>
      </c>
    </row>
    <row r="8389" spans="1:26" x14ac:dyDescent="0.2">
      <c r="A8389" s="6">
        <v>5167</v>
      </c>
      <c r="B8389" s="7">
        <v>36772</v>
      </c>
      <c r="C8389" s="8">
        <f>DATE(2012,12,31)-961</f>
        <v>40313</v>
      </c>
      <c r="D8389" s="8" t="str">
        <f t="shared" si="160"/>
        <v>2010-05 (май 2010)</v>
      </c>
      <c r="E8389" s="9" t="s">
        <v>63</v>
      </c>
      <c r="F8389" s="7">
        <v>16</v>
      </c>
      <c r="G8389" s="7">
        <v>12007.05</v>
      </c>
      <c r="H8389" s="7">
        <v>0.09</v>
      </c>
      <c r="I8389" s="9" t="s">
        <v>31</v>
      </c>
      <c r="J8389" s="10">
        <v>2713.95</v>
      </c>
      <c r="K8389" s="11">
        <v>808.49</v>
      </c>
      <c r="L8389" s="11">
        <v>55.3</v>
      </c>
      <c r="M8389" s="9" t="s">
        <v>1302</v>
      </c>
      <c r="N8389" s="6" t="s">
        <v>2073</v>
      </c>
      <c r="O8389" s="6" t="s">
        <v>704</v>
      </c>
      <c r="P8389" s="9" t="s">
        <v>60</v>
      </c>
      <c r="Q8389" s="9" t="s">
        <v>42</v>
      </c>
      <c r="R8389" s="9" t="s">
        <v>210</v>
      </c>
      <c r="S8389" s="7" t="s">
        <v>1537</v>
      </c>
      <c r="T8389" s="9" t="s">
        <v>36</v>
      </c>
      <c r="U8389" s="7">
        <v>0.4</v>
      </c>
      <c r="V8389" s="12">
        <f>C8389+2</f>
        <v>40315</v>
      </c>
      <c r="W8389">
        <f>IF(D8389=' Pivot Tables'!$A$4,1,0)</f>
        <v>0</v>
      </c>
      <c r="X8389">
        <f>IF(AND(LEFT(D8389,4)+1=LEFT(' Pivot Tables'!$A$4,4)+0,RIGHT(LEFT(D8389,7),2)=RIGHT(LEFT(' Pivot Tables'!$A$4,7),2)),1,0)</f>
        <v>0</v>
      </c>
      <c r="Y8389" s="6">
        <f>1/COUNTIF(Таблица1[Order ID],Таблица1[[#This Row],[Order ID]])</f>
        <v>0.33333333333333331</v>
      </c>
      <c r="Z8389" s="9">
        <f>1/COUNTIFS(Таблица1[Customer Name],Таблица1[[#This Row],[Customer Name]],Таблица1[Order-Year-Month],Таблица1[[#This Row],[Order-Year-Month]])</f>
        <v>0.33333333333333331</v>
      </c>
    </row>
    <row r="8390" spans="1:26" x14ac:dyDescent="0.2">
      <c r="A8390" s="6">
        <v>5577</v>
      </c>
      <c r="B8390" s="7">
        <v>39492</v>
      </c>
      <c r="C8390" s="8">
        <f>DATE(2012,12,31)-624</f>
        <v>40650</v>
      </c>
      <c r="D8390" s="8" t="str">
        <f t="shared" si="160"/>
        <v>2011-04 (апрель 2011)</v>
      </c>
      <c r="E8390" s="9" t="s">
        <v>45</v>
      </c>
      <c r="F8390" s="7">
        <v>31</v>
      </c>
      <c r="G8390" s="7">
        <v>5347.9875000000002</v>
      </c>
      <c r="H8390" s="7">
        <v>0.01</v>
      </c>
      <c r="I8390" s="9" t="s">
        <v>22</v>
      </c>
      <c r="J8390" s="10">
        <v>1332.441</v>
      </c>
      <c r="K8390" s="11">
        <v>200.99</v>
      </c>
      <c r="L8390" s="11">
        <v>4.2</v>
      </c>
      <c r="M8390" s="9" t="s">
        <v>1807</v>
      </c>
      <c r="N8390" s="6" t="s">
        <v>2073</v>
      </c>
      <c r="O8390" s="6" t="s">
        <v>704</v>
      </c>
      <c r="P8390" s="9" t="s">
        <v>41</v>
      </c>
      <c r="Q8390" s="9" t="s">
        <v>42</v>
      </c>
      <c r="R8390" s="9" t="s">
        <v>43</v>
      </c>
      <c r="S8390" s="7" t="s">
        <v>457</v>
      </c>
      <c r="T8390" s="9" t="s">
        <v>39</v>
      </c>
      <c r="U8390" s="7">
        <v>0.59</v>
      </c>
      <c r="V8390" s="12">
        <f>C8390+3</f>
        <v>40653</v>
      </c>
      <c r="W8390">
        <f>IF(D8390=' Pivot Tables'!$A$4,1,0)</f>
        <v>0</v>
      </c>
      <c r="X8390">
        <f>IF(AND(LEFT(D8390,4)+1=LEFT(' Pivot Tables'!$A$4,4)+0,RIGHT(LEFT(D8390,7),2)=RIGHT(LEFT(' Pivot Tables'!$A$4,7),2)),1,0)</f>
        <v>0</v>
      </c>
      <c r="Y8390" s="6">
        <f>1/COUNTIF(Таблица1[Order ID],Таблица1[[#This Row],[Order ID]])</f>
        <v>0.33333333333333331</v>
      </c>
      <c r="Z8390" s="9">
        <f>1/COUNTIFS(Таблица1[Customer Name],Таблица1[[#This Row],[Customer Name]],Таблица1[Order-Year-Month],Таблица1[[#This Row],[Order-Year-Month]])</f>
        <v>0.33333333333333331</v>
      </c>
    </row>
    <row r="8391" spans="1:26" x14ac:dyDescent="0.2">
      <c r="A8391" s="6">
        <v>6492</v>
      </c>
      <c r="B8391" s="7">
        <v>46212</v>
      </c>
      <c r="C8391" s="8">
        <f>DATE(2012,12,31)-110</f>
        <v>41164</v>
      </c>
      <c r="D8391" s="8" t="str">
        <f t="shared" si="160"/>
        <v>2012-09 (сентябрь 2012)</v>
      </c>
      <c r="E8391" s="9" t="s">
        <v>45</v>
      </c>
      <c r="F8391" s="7">
        <v>43</v>
      </c>
      <c r="G8391" s="7">
        <v>322.47000000000003</v>
      </c>
      <c r="H8391" s="7">
        <v>0.09</v>
      </c>
      <c r="I8391" s="9" t="s">
        <v>56</v>
      </c>
      <c r="J8391" s="10">
        <v>72.28</v>
      </c>
      <c r="K8391" s="11">
        <v>7.78</v>
      </c>
      <c r="L8391" s="11">
        <v>2.5</v>
      </c>
      <c r="M8391" s="9" t="s">
        <v>1806</v>
      </c>
      <c r="N8391" s="6" t="s">
        <v>2073</v>
      </c>
      <c r="O8391" s="6" t="s">
        <v>704</v>
      </c>
      <c r="P8391" s="9" t="s">
        <v>33</v>
      </c>
      <c r="Q8391" s="9" t="s">
        <v>26</v>
      </c>
      <c r="R8391" s="9" t="s">
        <v>76</v>
      </c>
      <c r="S8391" s="7" t="s">
        <v>1080</v>
      </c>
      <c r="T8391" s="9" t="s">
        <v>39</v>
      </c>
      <c r="U8391" s="7">
        <v>0.38</v>
      </c>
      <c r="V8391" s="12">
        <f>C8391+2</f>
        <v>41166</v>
      </c>
      <c r="W8391">
        <f>IF(D8391=' Pivot Tables'!$A$4,1,0)</f>
        <v>0</v>
      </c>
      <c r="X8391">
        <f>IF(AND(LEFT(D8391,4)+1=LEFT(' Pivot Tables'!$A$4,4)+0,RIGHT(LEFT(D8391,7),2)=RIGHT(LEFT(' Pivot Tables'!$A$4,7),2)),1,0)</f>
        <v>0</v>
      </c>
      <c r="Y8391" s="6">
        <f>1/COUNTIF(Таблица1[Order ID],Таблица1[[#This Row],[Order ID]])</f>
        <v>0.5</v>
      </c>
      <c r="Z8391" s="9">
        <f>1/COUNTIFS(Таблица1[Customer Name],Таблица1[[#This Row],[Customer Name]],Таблица1[Order-Year-Month],Таблица1[[#This Row],[Order-Year-Month]])</f>
        <v>0.5</v>
      </c>
    </row>
    <row r="8392" spans="1:26" x14ac:dyDescent="0.2">
      <c r="A8392" s="6">
        <v>6526</v>
      </c>
      <c r="B8392" s="7">
        <v>46437</v>
      </c>
      <c r="C8392" s="8">
        <f>DATE(2012,12,31)-1203</f>
        <v>40071</v>
      </c>
      <c r="D8392" s="8" t="str">
        <f t="shared" si="160"/>
        <v>2009-09 (сентябрь 2009)</v>
      </c>
      <c r="E8392" s="9" t="s">
        <v>63</v>
      </c>
      <c r="F8392" s="7">
        <v>49</v>
      </c>
      <c r="G8392" s="7">
        <v>1488.66</v>
      </c>
      <c r="H8392" s="7">
        <v>0</v>
      </c>
      <c r="I8392" s="9" t="s">
        <v>22</v>
      </c>
      <c r="J8392" s="10">
        <v>385.37</v>
      </c>
      <c r="K8392" s="11">
        <v>29.34</v>
      </c>
      <c r="L8392" s="11">
        <v>7.87</v>
      </c>
      <c r="M8392" s="9" t="s">
        <v>2053</v>
      </c>
      <c r="N8392" s="6" t="s">
        <v>2073</v>
      </c>
      <c r="O8392" s="6" t="s">
        <v>704</v>
      </c>
      <c r="P8392" s="9" t="s">
        <v>33</v>
      </c>
      <c r="Q8392" s="9" t="s">
        <v>49</v>
      </c>
      <c r="R8392" s="9" t="s">
        <v>50</v>
      </c>
      <c r="S8392" s="7" t="s">
        <v>1347</v>
      </c>
      <c r="T8392" s="9" t="s">
        <v>39</v>
      </c>
      <c r="U8392" s="7">
        <v>0.54</v>
      </c>
      <c r="V8392" s="12">
        <f>C8392+2</f>
        <v>40073</v>
      </c>
      <c r="W8392">
        <f>IF(D8392=' Pivot Tables'!$A$4,1,0)</f>
        <v>0</v>
      </c>
      <c r="X8392">
        <f>IF(AND(LEFT(D8392,4)+1=LEFT(' Pivot Tables'!$A$4,4)+0,RIGHT(LEFT(D8392,7),2)=RIGHT(LEFT(' Pivot Tables'!$A$4,7),2)),1,0)</f>
        <v>0</v>
      </c>
      <c r="Y8392" s="6">
        <f>1/COUNTIF(Таблица1[Order ID],Таблица1[[#This Row],[Order ID]])</f>
        <v>1</v>
      </c>
      <c r="Z8392" s="9">
        <f>1/COUNTIFS(Таблица1[Customer Name],Таблица1[[#This Row],[Customer Name]],Таблица1[Order-Year-Month],Таблица1[[#This Row],[Order-Year-Month]])</f>
        <v>1</v>
      </c>
    </row>
    <row r="8393" spans="1:26" x14ac:dyDescent="0.2">
      <c r="A8393" s="6">
        <v>6657</v>
      </c>
      <c r="B8393" s="7">
        <v>47360</v>
      </c>
      <c r="C8393" s="8">
        <f>DATE(2012,12,31)-815</f>
        <v>40459</v>
      </c>
      <c r="D8393" s="8" t="str">
        <f t="shared" si="160"/>
        <v>2010-10 (октябрь 2010)</v>
      </c>
      <c r="E8393" s="9" t="s">
        <v>45</v>
      </c>
      <c r="F8393" s="7">
        <v>25</v>
      </c>
      <c r="G8393" s="7">
        <v>2200.64</v>
      </c>
      <c r="H8393" s="7">
        <v>0.05</v>
      </c>
      <c r="I8393" s="9" t="s">
        <v>31</v>
      </c>
      <c r="J8393" s="10">
        <v>-514.17999999999995</v>
      </c>
      <c r="K8393" s="11">
        <v>89.99</v>
      </c>
      <c r="L8393" s="11">
        <v>42</v>
      </c>
      <c r="M8393" s="9" t="s">
        <v>1302</v>
      </c>
      <c r="N8393" s="6" t="s">
        <v>2073</v>
      </c>
      <c r="O8393" s="6" t="s">
        <v>704</v>
      </c>
      <c r="P8393" s="9" t="s">
        <v>60</v>
      </c>
      <c r="Q8393" s="9" t="s">
        <v>49</v>
      </c>
      <c r="R8393" s="9" t="s">
        <v>112</v>
      </c>
      <c r="S8393" s="7" t="s">
        <v>853</v>
      </c>
      <c r="T8393" s="9" t="s">
        <v>36</v>
      </c>
      <c r="U8393" s="7">
        <v>0.66</v>
      </c>
      <c r="V8393" s="12">
        <f>C8393+2</f>
        <v>40461</v>
      </c>
      <c r="W8393">
        <f>IF(D8393=' Pivot Tables'!$A$4,1,0)</f>
        <v>0</v>
      </c>
      <c r="X8393">
        <f>IF(AND(LEFT(D8393,4)+1=LEFT(' Pivot Tables'!$A$4,4)+0,RIGHT(LEFT(D8393,7),2)=RIGHT(LEFT(' Pivot Tables'!$A$4,7),2)),1,0)</f>
        <v>0</v>
      </c>
      <c r="Y8393" s="6">
        <f>1/COUNTIF(Таблица1[Order ID],Таблица1[[#This Row],[Order ID]])</f>
        <v>1</v>
      </c>
      <c r="Z8393" s="9">
        <f>1/COUNTIFS(Таблица1[Customer Name],Таблица1[[#This Row],[Customer Name]],Таблица1[Order-Year-Month],Таблица1[[#This Row],[Order-Year-Month]])</f>
        <v>1</v>
      </c>
    </row>
    <row r="8394" spans="1:26" x14ac:dyDescent="0.2">
      <c r="A8394" s="6">
        <v>7396</v>
      </c>
      <c r="B8394" s="7">
        <v>52706</v>
      </c>
      <c r="C8394" s="8">
        <f>DATE(2012,12,31)-175</f>
        <v>41099</v>
      </c>
      <c r="D8394" s="8" t="str">
        <f t="shared" si="160"/>
        <v>2012-07 (июль 2012)</v>
      </c>
      <c r="E8394" s="9" t="s">
        <v>21</v>
      </c>
      <c r="F8394" s="7">
        <v>34</v>
      </c>
      <c r="G8394" s="7">
        <v>1041.6600000000001</v>
      </c>
      <c r="H8394" s="7">
        <v>0.02</v>
      </c>
      <c r="I8394" s="9" t="s">
        <v>56</v>
      </c>
      <c r="J8394" s="10">
        <v>480.53050000000002</v>
      </c>
      <c r="K8394" s="11">
        <v>28.53</v>
      </c>
      <c r="L8394" s="11">
        <v>1.49</v>
      </c>
      <c r="M8394" s="9" t="s">
        <v>2133</v>
      </c>
      <c r="N8394" s="6" t="s">
        <v>2073</v>
      </c>
      <c r="O8394" s="6" t="s">
        <v>704</v>
      </c>
      <c r="P8394" s="9" t="s">
        <v>41</v>
      </c>
      <c r="Q8394" s="9" t="s">
        <v>26</v>
      </c>
      <c r="R8394" s="9" t="s">
        <v>37</v>
      </c>
      <c r="S8394" s="7" t="s">
        <v>380</v>
      </c>
      <c r="T8394" s="9" t="s">
        <v>39</v>
      </c>
      <c r="U8394" s="7">
        <v>0.38</v>
      </c>
      <c r="V8394" s="12">
        <f>C8394+7</f>
        <v>41106</v>
      </c>
      <c r="W8394">
        <f>IF(D8394=' Pivot Tables'!$A$4,1,0)</f>
        <v>0</v>
      </c>
      <c r="X8394">
        <f>IF(AND(LEFT(D8394,4)+1=LEFT(' Pivot Tables'!$A$4,4)+0,RIGHT(LEFT(D8394,7),2)=RIGHT(LEFT(' Pivot Tables'!$A$4,7),2)),1,0)</f>
        <v>0</v>
      </c>
      <c r="Y8394" s="6">
        <f>1/COUNTIF(Таблица1[Order ID],Таблица1[[#This Row],[Order ID]])</f>
        <v>1</v>
      </c>
      <c r="Z8394" s="9">
        <f>1/COUNTIFS(Таблица1[Customer Name],Таблица1[[#This Row],[Customer Name]],Таблица1[Order-Year-Month],Таблица1[[#This Row],[Order-Year-Month]])</f>
        <v>1</v>
      </c>
    </row>
    <row r="8395" spans="1:26" x14ac:dyDescent="0.2">
      <c r="A8395" s="6">
        <v>7586</v>
      </c>
      <c r="B8395" s="7">
        <v>54279</v>
      </c>
      <c r="C8395" s="8">
        <f>DATE(2012,12,31)-520</f>
        <v>40754</v>
      </c>
      <c r="D8395" s="8" t="str">
        <f t="shared" si="160"/>
        <v>2011-07 (июль 2011)</v>
      </c>
      <c r="E8395" s="9" t="s">
        <v>30</v>
      </c>
      <c r="F8395" s="7">
        <v>41</v>
      </c>
      <c r="G8395" s="7">
        <v>10071.09</v>
      </c>
      <c r="H8395" s="7">
        <v>0.1</v>
      </c>
      <c r="I8395" s="9" t="s">
        <v>31</v>
      </c>
      <c r="J8395" s="10">
        <v>1977.69</v>
      </c>
      <c r="K8395" s="11">
        <v>264.98</v>
      </c>
      <c r="L8395" s="11">
        <v>17.86</v>
      </c>
      <c r="M8395" s="9" t="s">
        <v>2133</v>
      </c>
      <c r="N8395" s="6" t="s">
        <v>2073</v>
      </c>
      <c r="O8395" s="6" t="s">
        <v>704</v>
      </c>
      <c r="P8395" s="9" t="s">
        <v>41</v>
      </c>
      <c r="Q8395" s="9" t="s">
        <v>42</v>
      </c>
      <c r="R8395" s="9" t="s">
        <v>210</v>
      </c>
      <c r="S8395" s="7" t="s">
        <v>1207</v>
      </c>
      <c r="T8395" s="9" t="s">
        <v>36</v>
      </c>
      <c r="U8395" s="7">
        <v>0.57999999999999996</v>
      </c>
      <c r="V8395" s="12">
        <f>C8395+1</f>
        <v>40755</v>
      </c>
      <c r="W8395">
        <f>IF(D8395=' Pivot Tables'!$A$4,1,0)</f>
        <v>0</v>
      </c>
      <c r="X8395">
        <f>IF(AND(LEFT(D8395,4)+1=LEFT(' Pivot Tables'!$A$4,4)+0,RIGHT(LEFT(D8395,7),2)=RIGHT(LEFT(' Pivot Tables'!$A$4,7),2)),1,0)</f>
        <v>0</v>
      </c>
      <c r="Y8395" s="6">
        <f>1/COUNTIF(Таблица1[Order ID],Таблица1[[#This Row],[Order ID]])</f>
        <v>1</v>
      </c>
      <c r="Z8395" s="9">
        <f>1/COUNTIFS(Таблица1[Customer Name],Таблица1[[#This Row],[Customer Name]],Таблица1[Order-Year-Month],Таблица1[[#This Row],[Order-Year-Month]])</f>
        <v>1</v>
      </c>
    </row>
    <row r="8396" spans="1:26" x14ac:dyDescent="0.2">
      <c r="A8396" s="6">
        <v>7765</v>
      </c>
      <c r="B8396" s="7">
        <v>55558</v>
      </c>
      <c r="C8396" s="8">
        <f>DATE(2012,12,31)-875</f>
        <v>40399</v>
      </c>
      <c r="D8396" s="8" t="str">
        <f t="shared" si="160"/>
        <v>2010-08 (август 2010)</v>
      </c>
      <c r="E8396" s="9" t="s">
        <v>63</v>
      </c>
      <c r="F8396" s="7">
        <v>8</v>
      </c>
      <c r="G8396" s="7">
        <v>1294.04</v>
      </c>
      <c r="H8396" s="7">
        <v>0.05</v>
      </c>
      <c r="I8396" s="9" t="s">
        <v>31</v>
      </c>
      <c r="J8396" s="10">
        <v>-323.18</v>
      </c>
      <c r="K8396" s="11">
        <v>150.97999999999999</v>
      </c>
      <c r="L8396" s="11">
        <v>66.27</v>
      </c>
      <c r="M8396" s="9" t="s">
        <v>2053</v>
      </c>
      <c r="N8396" s="6" t="s">
        <v>2073</v>
      </c>
      <c r="O8396" s="6" t="s">
        <v>704</v>
      </c>
      <c r="P8396" s="9" t="s">
        <v>33</v>
      </c>
      <c r="Q8396" s="9" t="s">
        <v>49</v>
      </c>
      <c r="R8396" s="9" t="s">
        <v>80</v>
      </c>
      <c r="S8396" s="7" t="s">
        <v>325</v>
      </c>
      <c r="T8396" s="9" t="s">
        <v>82</v>
      </c>
      <c r="U8396" s="7">
        <v>0.65</v>
      </c>
      <c r="V8396" s="12">
        <f>C8396+0</f>
        <v>40399</v>
      </c>
      <c r="W8396">
        <f>IF(D8396=' Pivot Tables'!$A$4,1,0)</f>
        <v>0</v>
      </c>
      <c r="X8396">
        <f>IF(AND(LEFT(D8396,4)+1=LEFT(' Pivot Tables'!$A$4,4)+0,RIGHT(LEFT(D8396,7),2)=RIGHT(LEFT(' Pivot Tables'!$A$4,7),2)),1,0)</f>
        <v>0</v>
      </c>
      <c r="Y8396" s="6">
        <f>1/COUNTIF(Таблица1[Order ID],Таблица1[[#This Row],[Order ID]])</f>
        <v>0.5</v>
      </c>
      <c r="Z8396" s="9">
        <f>1/COUNTIFS(Таблица1[Customer Name],Таблица1[[#This Row],[Customer Name]],Таблица1[Order-Year-Month],Таблица1[[#This Row],[Order-Year-Month]])</f>
        <v>0.5</v>
      </c>
    </row>
    <row r="8397" spans="1:26" x14ac:dyDescent="0.2">
      <c r="A8397" s="6">
        <v>7766</v>
      </c>
      <c r="B8397" s="7">
        <v>55558</v>
      </c>
      <c r="C8397" s="8">
        <f>DATE(2012,12,31)-875</f>
        <v>40399</v>
      </c>
      <c r="D8397" s="8" t="str">
        <f t="shared" si="160"/>
        <v>2010-08 (август 2010)</v>
      </c>
      <c r="E8397" s="9" t="s">
        <v>63</v>
      </c>
      <c r="F8397" s="7">
        <v>23</v>
      </c>
      <c r="G8397" s="7">
        <v>392.57</v>
      </c>
      <c r="H8397" s="7">
        <v>0.04</v>
      </c>
      <c r="I8397" s="9" t="s">
        <v>22</v>
      </c>
      <c r="J8397" s="10">
        <v>22.25</v>
      </c>
      <c r="K8397" s="11">
        <v>17.07</v>
      </c>
      <c r="L8397" s="11">
        <v>8.1300000000000008</v>
      </c>
      <c r="M8397" s="9" t="s">
        <v>2053</v>
      </c>
      <c r="N8397" s="6" t="s">
        <v>2073</v>
      </c>
      <c r="O8397" s="6" t="s">
        <v>704</v>
      </c>
      <c r="P8397" s="9" t="s">
        <v>33</v>
      </c>
      <c r="Q8397" s="9" t="s">
        <v>26</v>
      </c>
      <c r="R8397" s="9" t="s">
        <v>76</v>
      </c>
      <c r="S8397" s="7" t="s">
        <v>1330</v>
      </c>
      <c r="T8397" s="9" t="s">
        <v>39</v>
      </c>
      <c r="U8397" s="7">
        <v>0.38</v>
      </c>
      <c r="V8397" s="12">
        <f>C8397+2</f>
        <v>40401</v>
      </c>
      <c r="W8397">
        <f>IF(D8397=' Pivot Tables'!$A$4,1,0)</f>
        <v>0</v>
      </c>
      <c r="X8397">
        <f>IF(AND(LEFT(D8397,4)+1=LEFT(' Pivot Tables'!$A$4,4)+0,RIGHT(LEFT(D8397,7),2)=RIGHT(LEFT(' Pivot Tables'!$A$4,7),2)),1,0)</f>
        <v>0</v>
      </c>
      <c r="Y8397" s="6">
        <f>1/COUNTIF(Таблица1[Order ID],Таблица1[[#This Row],[Order ID]])</f>
        <v>0.5</v>
      </c>
      <c r="Z8397" s="9">
        <f>1/COUNTIFS(Таблица1[Customer Name],Таблица1[[#This Row],[Customer Name]],Таблица1[Order-Year-Month],Таблица1[[#This Row],[Order-Year-Month]])</f>
        <v>0.5</v>
      </c>
    </row>
    <row r="8398" spans="1:26" x14ac:dyDescent="0.2">
      <c r="A8398" s="6">
        <v>7906</v>
      </c>
      <c r="B8398" s="7">
        <v>56550</v>
      </c>
      <c r="C8398" s="8">
        <f>DATE(2012,12,31)-633</f>
        <v>40641</v>
      </c>
      <c r="D8398" s="8" t="str">
        <f t="shared" si="160"/>
        <v>2011-04 (апрель 2011)</v>
      </c>
      <c r="E8398" s="9" t="s">
        <v>45</v>
      </c>
      <c r="F8398" s="7">
        <v>37</v>
      </c>
      <c r="G8398" s="7">
        <v>823.78</v>
      </c>
      <c r="H8398" s="7">
        <v>0.03</v>
      </c>
      <c r="I8398" s="9" t="s">
        <v>56</v>
      </c>
      <c r="J8398" s="10">
        <v>343.05</v>
      </c>
      <c r="K8398" s="11">
        <v>22.23</v>
      </c>
      <c r="L8398" s="11">
        <v>5.08</v>
      </c>
      <c r="M8398" s="9" t="s">
        <v>1302</v>
      </c>
      <c r="N8398" s="6" t="s">
        <v>2073</v>
      </c>
      <c r="O8398" s="6" t="s">
        <v>704</v>
      </c>
      <c r="P8398" s="9" t="s">
        <v>60</v>
      </c>
      <c r="Q8398" s="9" t="s">
        <v>49</v>
      </c>
      <c r="R8398" s="9" t="s">
        <v>50</v>
      </c>
      <c r="S8398" s="7" t="s">
        <v>660</v>
      </c>
      <c r="T8398" s="9" t="s">
        <v>52</v>
      </c>
      <c r="U8398" s="7">
        <v>0.41</v>
      </c>
      <c r="V8398" s="12">
        <f>C8398+2</f>
        <v>40643</v>
      </c>
      <c r="W8398">
        <f>IF(D8398=' Pivot Tables'!$A$4,1,0)</f>
        <v>0</v>
      </c>
      <c r="X8398">
        <f>IF(AND(LEFT(D8398,4)+1=LEFT(' Pivot Tables'!$A$4,4)+0,RIGHT(LEFT(D8398,7),2)=RIGHT(LEFT(' Pivot Tables'!$A$4,7),2)),1,0)</f>
        <v>0</v>
      </c>
      <c r="Y8398" s="6">
        <f>1/COUNTIF(Таблица1[Order ID],Таблица1[[#This Row],[Order ID]])</f>
        <v>0.33333333333333331</v>
      </c>
      <c r="Z8398" s="9">
        <f>1/COUNTIFS(Таблица1[Customer Name],Таблица1[[#This Row],[Customer Name]],Таблица1[Order-Year-Month],Таблица1[[#This Row],[Order-Year-Month]])</f>
        <v>0.33333333333333331</v>
      </c>
    </row>
    <row r="8399" spans="1:26" x14ac:dyDescent="0.2">
      <c r="A8399" s="6">
        <v>7907</v>
      </c>
      <c r="B8399" s="7">
        <v>56550</v>
      </c>
      <c r="C8399" s="8">
        <f>DATE(2012,12,31)-633</f>
        <v>40641</v>
      </c>
      <c r="D8399" s="8" t="str">
        <f t="shared" si="160"/>
        <v>2011-04 (апрель 2011)</v>
      </c>
      <c r="E8399" s="9" t="s">
        <v>45</v>
      </c>
      <c r="F8399" s="7">
        <v>8</v>
      </c>
      <c r="G8399" s="7">
        <v>469.83749999999998</v>
      </c>
      <c r="H8399" s="7">
        <v>0</v>
      </c>
      <c r="I8399" s="9" t="s">
        <v>22</v>
      </c>
      <c r="J8399" s="10">
        <v>-159.23599999999999</v>
      </c>
      <c r="K8399" s="11">
        <v>65.989999999999995</v>
      </c>
      <c r="L8399" s="11">
        <v>8.99</v>
      </c>
      <c r="M8399" s="9" t="s">
        <v>1302</v>
      </c>
      <c r="N8399" s="6" t="s">
        <v>2073</v>
      </c>
      <c r="O8399" s="6" t="s">
        <v>704</v>
      </c>
      <c r="P8399" s="9" t="s">
        <v>60</v>
      </c>
      <c r="Q8399" s="9" t="s">
        <v>42</v>
      </c>
      <c r="R8399" s="9" t="s">
        <v>43</v>
      </c>
      <c r="S8399" s="7" t="s">
        <v>534</v>
      </c>
      <c r="T8399" s="9" t="s">
        <v>39</v>
      </c>
      <c r="U8399" s="7">
        <v>0.56000000000000005</v>
      </c>
      <c r="V8399" s="12">
        <f>C8399+1</f>
        <v>40642</v>
      </c>
      <c r="W8399">
        <f>IF(D8399=' Pivot Tables'!$A$4,1,0)</f>
        <v>0</v>
      </c>
      <c r="X8399">
        <f>IF(AND(LEFT(D8399,4)+1=LEFT(' Pivot Tables'!$A$4,4)+0,RIGHT(LEFT(D8399,7),2)=RIGHT(LEFT(' Pivot Tables'!$A$4,7),2)),1,0)</f>
        <v>0</v>
      </c>
      <c r="Y8399" s="6">
        <f>1/COUNTIF(Таблица1[Order ID],Таблица1[[#This Row],[Order ID]])</f>
        <v>0.33333333333333331</v>
      </c>
      <c r="Z8399" s="9">
        <f>1/COUNTIFS(Таблица1[Customer Name],Таблица1[[#This Row],[Customer Name]],Таблица1[Order-Year-Month],Таблица1[[#This Row],[Order-Year-Month]])</f>
        <v>0.33333333333333331</v>
      </c>
    </row>
    <row r="8400" spans="1:26" x14ac:dyDescent="0.2">
      <c r="A8400" s="6">
        <v>7914</v>
      </c>
      <c r="B8400" s="7">
        <v>56581</v>
      </c>
      <c r="C8400" s="8">
        <f>DATE(2012,12,31)-1422</f>
        <v>39852</v>
      </c>
      <c r="D8400" s="8" t="str">
        <f t="shared" si="160"/>
        <v>2009-02 (февраль 2009)</v>
      </c>
      <c r="E8400" s="9" t="s">
        <v>30</v>
      </c>
      <c r="F8400" s="7">
        <v>20</v>
      </c>
      <c r="G8400" s="7">
        <v>2026.01</v>
      </c>
      <c r="H8400" s="7">
        <v>0.1</v>
      </c>
      <c r="I8400" s="9" t="s">
        <v>56</v>
      </c>
      <c r="J8400" s="10">
        <v>580.42999999999995</v>
      </c>
      <c r="K8400" s="11">
        <v>105.98</v>
      </c>
      <c r="L8400" s="11">
        <v>13.99</v>
      </c>
      <c r="M8400" s="9" t="s">
        <v>1806</v>
      </c>
      <c r="N8400" s="6" t="s">
        <v>2073</v>
      </c>
      <c r="O8400" s="6" t="s">
        <v>704</v>
      </c>
      <c r="P8400" s="9" t="s">
        <v>33</v>
      </c>
      <c r="Q8400" s="9" t="s">
        <v>49</v>
      </c>
      <c r="R8400" s="9" t="s">
        <v>50</v>
      </c>
      <c r="S8400" s="7" t="s">
        <v>242</v>
      </c>
      <c r="T8400" s="9" t="s">
        <v>48</v>
      </c>
      <c r="U8400" s="7">
        <v>0.65</v>
      </c>
      <c r="V8400" s="12">
        <f>C8400+3</f>
        <v>39855</v>
      </c>
      <c r="W8400">
        <f>IF(D8400=' Pivot Tables'!$A$4,1,0)</f>
        <v>0</v>
      </c>
      <c r="X8400">
        <f>IF(AND(LEFT(D8400,4)+1=LEFT(' Pivot Tables'!$A$4,4)+0,RIGHT(LEFT(D8400,7),2)=RIGHT(LEFT(' Pivot Tables'!$A$4,7),2)),1,0)</f>
        <v>0</v>
      </c>
      <c r="Y8400" s="6">
        <f>1/COUNTIF(Таблица1[Order ID],Таблица1[[#This Row],[Order ID]])</f>
        <v>1</v>
      </c>
      <c r="Z8400" s="9">
        <f>1/COUNTIFS(Таблица1[Customer Name],Таблица1[[#This Row],[Customer Name]],Таблица1[Order-Year-Month],Таблица1[[#This Row],[Order-Year-Month]])</f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D215-85BA-AE4C-B530-D88A557F9353}">
  <sheetPr codeName="Лист3"/>
  <dimension ref="A1:Z44"/>
  <sheetViews>
    <sheetView tabSelected="1" zoomScale="90" zoomScaleNormal="90" workbookViewId="0">
      <selection activeCell="I7" sqref="I7"/>
    </sheetView>
  </sheetViews>
  <sheetFormatPr baseColWidth="10" defaultRowHeight="16" x14ac:dyDescent="0.2"/>
  <cols>
    <col min="1" max="1" width="42.1640625" style="16" customWidth="1"/>
    <col min="2" max="26" width="10.83203125" style="16"/>
    <col min="27" max="16384" width="10.83203125" style="28"/>
  </cols>
  <sheetData>
    <row r="1" spans="1:1" ht="22" customHeight="1" x14ac:dyDescent="0.2">
      <c r="A1" s="15" t="s">
        <v>2137</v>
      </c>
    </row>
    <row r="44" spans="19:19" x14ac:dyDescent="0.2">
      <c r="S44" s="24"/>
    </row>
  </sheetData>
  <pageMargins left="0.7" right="0.7" top="0.75" bottom="0.75" header="0.3" footer="0.3"/>
  <pageSetup paperSize="9" orientation="portrait" horizontalDpi="0" verticalDpi="0"/>
  <drawing r:id="rId1"/>
  <legacy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 Pivot Tables</vt:lpstr>
      <vt:lpstr>Data</vt:lpstr>
      <vt:lpstr>Superstore Dashboard</vt:lpstr>
      <vt:lpstr>pvtStart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Microsoft Office</dc:creator>
  <cp:lastModifiedBy>Пользователь Microsoft Office</cp:lastModifiedBy>
  <dcterms:created xsi:type="dcterms:W3CDTF">2020-11-19T09:37:04Z</dcterms:created>
  <dcterms:modified xsi:type="dcterms:W3CDTF">2020-11-30T16:26:52Z</dcterms:modified>
</cp:coreProperties>
</file>